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euille1" sheetId="1" state="visible" r:id="rId1"/>
    <sheet name="Feuille2" sheetId="2" state="visible" r:id="rId2"/>
  </sheets>
  <calcPr/>
</workbook>
</file>

<file path=xl/sharedStrings.xml><?xml version="1.0" encoding="utf-8"?>
<sst xmlns="http://schemas.openxmlformats.org/spreadsheetml/2006/main" count="57839" uniqueCount="57839">
  <si>
    <t>Contacté</t>
  </si>
  <si>
    <t xml:space="preserve">First Name</t>
  </si>
  <si>
    <t xml:space="preserve">Last Name</t>
  </si>
  <si>
    <t>Title</t>
  </si>
  <si>
    <t xml:space="preserve">Company Name for Emails</t>
  </si>
  <si>
    <t>Email</t>
  </si>
  <si>
    <t xml:space="preserve"># Employees</t>
  </si>
  <si>
    <t>Industry</t>
  </si>
  <si>
    <t xml:space="preserve">Person Linkedin Url</t>
  </si>
  <si>
    <t>Website</t>
  </si>
  <si>
    <t>City</t>
  </si>
  <si>
    <t>Country</t>
  </si>
  <si>
    <t xml:space="preserve">Company Address</t>
  </si>
  <si>
    <t xml:space="preserve">Company Country</t>
  </si>
  <si>
    <t xml:space="preserve">SEO Description</t>
  </si>
  <si>
    <t xml:space="preserve">Secondary Email</t>
  </si>
  <si>
    <t xml:space="preserve">Secondary Email Source</t>
  </si>
  <si>
    <t xml:space="preserve">Tertiary Email</t>
  </si>
  <si>
    <t xml:space="preserve">Tertiary Email Source</t>
  </si>
  <si>
    <t xml:space="preserve">First Liner</t>
  </si>
  <si>
    <t>Thomas</t>
  </si>
  <si>
    <t>Pruneyrac</t>
  </si>
  <si>
    <t xml:space="preserve">Co-founder &amp; General Manager</t>
  </si>
  <si>
    <t xml:space="preserve">DOMAINE DE ROCHEBOIS</t>
  </si>
  <si>
    <t>thomas.pruneyrac@rochebois.com</t>
  </si>
  <si>
    <t>hospitality</t>
  </si>
  <si>
    <t>http://www.linkedin.com/in/thomas-pruneyrac-81015a63</t>
  </si>
  <si>
    <t>http://www.rochebois.comm</t>
  </si>
  <si>
    <t>Sarlat-la-Caneda</t>
  </si>
  <si>
    <t>France</t>
  </si>
  <si>
    <t xml:space="preserve">Vitrac, Aquitaine, France</t>
  </si>
  <si>
    <t>Arthur</t>
  </si>
  <si>
    <t>Gambard</t>
  </si>
  <si>
    <t xml:space="preserve">Founder - CEO  Mozza &amp; Co.</t>
  </si>
  <si>
    <t>Mozza</t>
  </si>
  <si>
    <t>arthur.gambard@mozzaandco.fr</t>
  </si>
  <si>
    <t>restaurants</t>
  </si>
  <si>
    <t>http://www.linkedin.com/in/arthur-gambard-6b642632</t>
  </si>
  <si>
    <t>http://www.mozzaandco.it</t>
  </si>
  <si>
    <t>Paris</t>
  </si>
  <si>
    <t xml:space="preserve">65 Rue du Faubourg Poissonniere, Paris, Ile-de-France, France, 75009</t>
  </si>
  <si>
    <t xml:space="preserve">Mozza &amp; Co., la Trattoria Mobile de notre cher pavé parisien vous fait découvrir toutes les saveurs de l'Italie autour d'un produit phare, la Mozzarella.</t>
  </si>
  <si>
    <t>Ladislas</t>
  </si>
  <si>
    <t>Boehm</t>
  </si>
  <si>
    <t>Founder</t>
  </si>
  <si>
    <t xml:space="preserve">Petit VIP</t>
  </si>
  <si>
    <t>ladislas@petitvip.com</t>
  </si>
  <si>
    <t>http://www.linkedin.com/in/petitvip</t>
  </si>
  <si>
    <t>http://www.petitvip.com</t>
  </si>
  <si>
    <t>Nice</t>
  </si>
  <si>
    <t xml:space="preserve">85 Rue des Saints-Peres, Paris, Ile-de-France, France, 75006</t>
  </si>
  <si>
    <t xml:space="preserve">Petit VIP is the world leading provider of babies, kids &amp; teens concepts. It is the unique Quality Label for very exclusives « family-friendly » venues.</t>
  </si>
  <si>
    <t>Valentin</t>
  </si>
  <si>
    <t>Bauer</t>
  </si>
  <si>
    <t xml:space="preserve">President &amp; Founder</t>
  </si>
  <si>
    <t>Tripletta</t>
  </si>
  <si>
    <t>valentinbauer@triplettapizza.com</t>
  </si>
  <si>
    <t>http://www.linkedin.com/in/valentin-bauer-a8041220a</t>
  </si>
  <si>
    <t>http://www.triplettapizza.com</t>
  </si>
  <si>
    <t xml:space="preserve">88 Boulevard de Belleville, Paris, Ile-de-France, France, 75020</t>
  </si>
  <si>
    <t>Romeo</t>
  </si>
  <si>
    <t>Verdier</t>
  </si>
  <si>
    <t>Co-Founder</t>
  </si>
  <si>
    <t>hudi</t>
  </si>
  <si>
    <t>rverdier@hudi.fr</t>
  </si>
  <si>
    <t>http://www.linkedin.com/in/romeoverdier</t>
  </si>
  <si>
    <t>http://www.hudi.fr</t>
  </si>
  <si>
    <t xml:space="preserve">Paris, Ile-de-France, France</t>
  </si>
  <si>
    <t xml:space="preserve">hudi, inventeurs de « l’hospitality for good » en entreprise !</t>
  </si>
  <si>
    <t>Caroline</t>
  </si>
  <si>
    <t>Domange-Harding</t>
  </si>
  <si>
    <t xml:space="preserve">Founder and CEO</t>
  </si>
  <si>
    <t xml:space="preserve">OCTANS PARIS</t>
  </si>
  <si>
    <t>caroline.domange@octans-paris.com</t>
  </si>
  <si>
    <t>http://www.linkedin.com/in/caroline-domange-harding-5b121446</t>
  </si>
  <si>
    <t>http://www.octans-paris.com</t>
  </si>
  <si>
    <t>Laurent</t>
  </si>
  <si>
    <t>Pezareix</t>
  </si>
  <si>
    <t xml:space="preserve">CEO Associé LA COMPAGNIE FESTIVE</t>
  </si>
  <si>
    <t xml:space="preserve">Goguette et compagnie</t>
  </si>
  <si>
    <t>laurent@goguetteetcompagnie.fr</t>
  </si>
  <si>
    <t>http://www.linkedin.com/in/laurent-pezareix-50a3a98b</t>
  </si>
  <si>
    <t>http://www.goguetteetcompagnie.fr</t>
  </si>
  <si>
    <t>Toulouse</t>
  </si>
  <si>
    <t xml:space="preserve">Toulouse, Midi-Pyrenees, France</t>
  </si>
  <si>
    <t>Stephanie</t>
  </si>
  <si>
    <t>Boutet-Fajol</t>
  </si>
  <si>
    <t>CEO</t>
  </si>
  <si>
    <t xml:space="preserve">SACREBLEU PARIS</t>
  </si>
  <si>
    <t>stephanie@sacrebleu-paris.com</t>
  </si>
  <si>
    <t xml:space="preserve">leisure, travel &amp; tourism</t>
  </si>
  <si>
    <t>http://www.linkedin.com/in/st%c3%a9phanie-boutet-fajol-35a38516</t>
  </si>
  <si>
    <t>http://www.sacrebleu-paris.com</t>
  </si>
  <si>
    <t xml:space="preserve">58 Avenue de Wagram, Paris, Ile-de-France, France, 75017</t>
  </si>
  <si>
    <t xml:space="preserve">Sacrebleu Paris offers bespoke, confidential travel assistance in Paris and 
in France for the most discerning international clients</t>
  </si>
  <si>
    <t>Antoine</t>
  </si>
  <si>
    <t>Fesson</t>
  </si>
  <si>
    <t xml:space="preserve">Co-fondateur et CEO</t>
  </si>
  <si>
    <t>Parenthèse</t>
  </si>
  <si>
    <t>antoine@parenthese-tinyhouse.fr</t>
  </si>
  <si>
    <t>http://www.linkedin.com/in/antoine-fesson-14456b23</t>
  </si>
  <si>
    <t>http://www.parenthese-tinyhouse.fr</t>
  </si>
  <si>
    <t>Foucaud</t>
  </si>
  <si>
    <t xml:space="preserve">Directrice Générale Adjointe</t>
  </si>
  <si>
    <t>Oléla</t>
  </si>
  <si>
    <t>caroline.foucaud@olela.fr</t>
  </si>
  <si>
    <t>http://www.linkedin.com/in/caroline-foucaud-2070a494</t>
  </si>
  <si>
    <t>http://www.olela.fr</t>
  </si>
  <si>
    <t xml:space="preserve">2 Rue Auguste Herbert, Longeville-sur-Mer, Pays de la Loire, France, 85560</t>
  </si>
  <si>
    <t xml:space="preserve">Vos vacances en France au bord de la mer... Arrivée et départ possibles tous les jours, même en juillet et août !</t>
  </si>
  <si>
    <t>Nicolas</t>
  </si>
  <si>
    <t>Demoro</t>
  </si>
  <si>
    <t>Président</t>
  </si>
  <si>
    <t>Lunicco</t>
  </si>
  <si>
    <t>nicolas@lunicco.fr</t>
  </si>
  <si>
    <t>http://www.linkedin.com/in/nicolas-demoro-b5b019ba</t>
  </si>
  <si>
    <t>http://www.lunicco.fr</t>
  </si>
  <si>
    <t xml:space="preserve">Cagnes-sur-Mer, Provence-Alpes-Cote d'Azur, France</t>
  </si>
  <si>
    <t>Raphael</t>
  </si>
  <si>
    <t>Roques</t>
  </si>
  <si>
    <t>Co-fondateur</t>
  </si>
  <si>
    <t>Food'Lab</t>
  </si>
  <si>
    <t>raphael@foodlab-france.com</t>
  </si>
  <si>
    <t>http://www.linkedin.com/in/raphael-roques-98151231</t>
  </si>
  <si>
    <t>http://www.foodlab-france.com</t>
  </si>
  <si>
    <t xml:space="preserve">Lyon, Auvergne-Rhone-Alpes, France</t>
  </si>
  <si>
    <t xml:space="preserve">Grosse faim ? Découvre nos food courts partout en France et commande en ligne ou sur place le meilleur de la street food. Tous les restos = 1 commande.</t>
  </si>
  <si>
    <t>Suzuka</t>
  </si>
  <si>
    <t>Hotokebuchi</t>
  </si>
  <si>
    <t>Tartelettes</t>
  </si>
  <si>
    <t>suzuka@tartelettes.fr</t>
  </si>
  <si>
    <t>http://www.linkedin.com/in/suzuka-hotokebuchi-1809094a</t>
  </si>
  <si>
    <t>http://www.tartelettes.fr</t>
  </si>
  <si>
    <t xml:space="preserve">102 Rue Montmartre, Paris, Ile-de-France, France, 75002</t>
  </si>
  <si>
    <t>Tom</t>
  </si>
  <si>
    <t>Couture</t>
  </si>
  <si>
    <t>Theory</t>
  </si>
  <si>
    <t>tom@burger-theory.com</t>
  </si>
  <si>
    <t>http://www.linkedin.com/in/tom-couture-5a7458108</t>
  </si>
  <si>
    <t>http://www.theory-restaurant.fr</t>
  </si>
  <si>
    <t>Levallois-Perret</t>
  </si>
  <si>
    <t xml:space="preserve">11 Boulevard des Filles du Calvaire, Paris, Ile-de-France, France, 75003</t>
  </si>
  <si>
    <t xml:space="preserve">Testez nos burgers vegan au restaurant Theory ! Fast-food 100 % vegan à Paris ! Découvrez nos menus vegan qui conviendront à tous !</t>
  </si>
  <si>
    <t>Nasser</t>
  </si>
  <si>
    <t>Baka</t>
  </si>
  <si>
    <t xml:space="preserve">911 Delicious Company</t>
  </si>
  <si>
    <t>nbaka@911dc.com</t>
  </si>
  <si>
    <t>http://www.linkedin.com/in/nasser-baka-006b31200</t>
  </si>
  <si>
    <t>http://www.911dc.com</t>
  </si>
  <si>
    <t>Dijon</t>
  </si>
  <si>
    <t xml:space="preserve">2 Avenue General Canzio, Talant, Burgundy, France, 21240</t>
  </si>
  <si>
    <t xml:space="preserve">Commande vite chez 911® et retrouve le meilleur du SMASH BURGER et de la FRESH PIZZA sur place, en Click &amp; Collect et en livraison. Rejoins vite le programme de fidélité 911 Family® et retrouve les restos les plus proches et bien plus encore. Avec le programme de fidélité 911 Family® cumule des points à chaque commande et profite de 5€ offerts. Tu peux accéder utiliser tes points dans les restaurants en caisse, sur les bornes et sur notre site internet !</t>
  </si>
  <si>
    <t>Katia</t>
  </si>
  <si>
    <t>Negri</t>
  </si>
  <si>
    <t xml:space="preserve">Directrice Générale Opérationnelle</t>
  </si>
  <si>
    <t>EuroChef</t>
  </si>
  <si>
    <t>knegri@eurochef.fr</t>
  </si>
  <si>
    <t xml:space="preserve">food &amp; beverages</t>
  </si>
  <si>
    <t>http://www.linkedin.com/in/negrikatia</t>
  </si>
  <si>
    <t>http://www.eurochef.fr</t>
  </si>
  <si>
    <t xml:space="preserve">10 Avenue Louis Luc, Choisy-le-Roi, Ile-de-France, France, 94600</t>
  </si>
  <si>
    <t xml:space="preserve">Réseau d'installateurs de cuisines professionnelles. Le réseau EuroChef, c'est plus de 900 personnes au service de l'hôtellerie, de la restauration et de la collectivité.</t>
  </si>
  <si>
    <t>Sara</t>
  </si>
  <si>
    <t>Brami</t>
  </si>
  <si>
    <t xml:space="preserve">Directrice générale</t>
  </si>
  <si>
    <t xml:space="preserve">Orea Hotels Management</t>
  </si>
  <si>
    <t>sara.brami@orea-management.com</t>
  </si>
  <si>
    <t>http://www.linkedin.com/in/sara-brami-7352a217</t>
  </si>
  <si>
    <t>http://www.orea-management.com</t>
  </si>
  <si>
    <t xml:space="preserve">37 Rue de Chateaudun, Paris, Ile-de-France, France, 75009</t>
  </si>
  <si>
    <t>Maxime</t>
  </si>
  <si>
    <t>Biasio</t>
  </si>
  <si>
    <t xml:space="preserve">Directeur général</t>
  </si>
  <si>
    <t xml:space="preserve">Hotel Alex &amp; Spa</t>
  </si>
  <si>
    <t>direction@hotelalex.fr</t>
  </si>
  <si>
    <t>http://www.linkedin.com/in/maxime-de-biasio-77045763</t>
  </si>
  <si>
    <t>http://www.hotelalex.fr</t>
  </si>
  <si>
    <t xml:space="preserve">13-15 Place des Marseillaises, Marseille, Provence-Alpes-Cote d'Azur, France, 13001</t>
  </si>
  <si>
    <t>Victor</t>
  </si>
  <si>
    <t>Lecolier</t>
  </si>
  <si>
    <t xml:space="preserve">Co-fondateur Lazy Suzy</t>
  </si>
  <si>
    <t xml:space="preserve">Lazy Suzy</t>
  </si>
  <si>
    <t>victor@lazysuzy.fr</t>
  </si>
  <si>
    <t>http://www.linkedin.com/in/victor-lecolier-b50288111</t>
  </si>
  <si>
    <t>http://www.lazysuzy.fr</t>
  </si>
  <si>
    <t>Lyon</t>
  </si>
  <si>
    <t xml:space="preserve">45 Rue Lepelletier, Lille, Hauts-de-France, France, 59800</t>
  </si>
  <si>
    <t xml:space="preserve">Lazy Suzy, c'est les grands classiques de la street food américaine : Pulled pork, brisket wagyu et burgers dans la pure tradition du BBQ US.</t>
  </si>
  <si>
    <t>Mederic</t>
  </si>
  <si>
    <t>Menard</t>
  </si>
  <si>
    <t xml:space="preserve">Co-fondateur &amp; Directeur général</t>
  </si>
  <si>
    <t>Paris-Breizh</t>
  </si>
  <si>
    <t>mederic.menard@parisbreizhcreperies.fr</t>
  </si>
  <si>
    <t>http://www.linkedin.com/in/medericmenard</t>
  </si>
  <si>
    <t>http://www.creperieparisbreizh.fr</t>
  </si>
  <si>
    <t xml:space="preserve">177 Avenue Daumesnil, Paris, Ile-de-France, France, 75012</t>
  </si>
  <si>
    <t>Perrine</t>
  </si>
  <si>
    <t>Carrier</t>
  </si>
  <si>
    <t xml:space="preserve">Directrice Générale</t>
  </si>
  <si>
    <t xml:space="preserve">Hôtel Hameau Albert 1er Chamonix</t>
  </si>
  <si>
    <t>direction@hameaualbert.fr</t>
  </si>
  <si>
    <t>http://www.linkedin.com/in/perrinecarrier</t>
  </si>
  <si>
    <t>http://www.hameaualbert.fr</t>
  </si>
  <si>
    <t>Chamonix</t>
  </si>
  <si>
    <t xml:space="preserve">38 Route du Bouchet, Chamonix, Auvergne-Rhone-Alpes, France, 74400</t>
  </si>
  <si>
    <t xml:space="preserve">Le Hameau Albert 1er, luxury hotel in Chamonix: 5* Relais et Châteaux hotel, 1* Michelin gastronomic restaurant, traditional restaurant, spa, seminars</t>
  </si>
  <si>
    <t>Matthieu</t>
  </si>
  <si>
    <t>Dulhoste</t>
  </si>
  <si>
    <t xml:space="preserve">Hôtel Sainte Victoire ****</t>
  </si>
  <si>
    <t>mdulhoste@hotelsaintevictoire.com</t>
  </si>
  <si>
    <t>http://www.linkedin.com/in/matthieu-dulhoste-b0250138</t>
  </si>
  <si>
    <t>http://www.hotelsaintevictoire.com</t>
  </si>
  <si>
    <t>Vauvenargues</t>
  </si>
  <si>
    <t xml:space="preserve">33 Avenue des Maquisards, Vauvenargues, Provence-Alpes-Cote d'Azur, France, 13126</t>
  </si>
  <si>
    <t xml:space="preserve">OFFICIEL | Hôtel Sainte Victoire · Hôtel 4 étoiles ✓ Chambres avec Balcon / Terrasse ✓ Salle de Réunion ✓ Bar &amp; Piscine ✓ Restaurant Gastronomique, Etoilé Michelin</t>
  </si>
  <si>
    <t>Serge</t>
  </si>
  <si>
    <t>Peccatte</t>
  </si>
  <si>
    <t xml:space="preserve">Hotel Le Sénat</t>
  </si>
  <si>
    <t>s.peccatte@hotelsenat.com</t>
  </si>
  <si>
    <t>http://www.linkedin.com/in/serge-peccatte-b8274031</t>
  </si>
  <si>
    <t>http://www.hotelsenat.com</t>
  </si>
  <si>
    <t xml:space="preserve">10 Rue de Vaugirard, Paris, Ile-de-France, France, 75006</t>
  </si>
  <si>
    <t>Christophe</t>
  </si>
  <si>
    <t>Flambert</t>
  </si>
  <si>
    <t>HHP</t>
  </si>
  <si>
    <t>cf@hhp-hotels.com</t>
  </si>
  <si>
    <t>http://www.linkedin.com/in/christophe-flambert-a176027</t>
  </si>
  <si>
    <t>http://www.hhp-hotels.fr</t>
  </si>
  <si>
    <t xml:space="preserve">3 Avenue Paul Doumer, Rueil-Malmaison, Ile-de-France, France, 92500</t>
  </si>
  <si>
    <t>Dubilly</t>
  </si>
  <si>
    <t xml:space="preserve">CEO &amp; Founder</t>
  </si>
  <si>
    <t>miam&amp;co</t>
  </si>
  <si>
    <t>caroline@miamandco.com</t>
  </si>
  <si>
    <t>http://www.linkedin.com/in/caroline-dubilly-2049391</t>
  </si>
  <si>
    <t>http://www.miamandco.com</t>
  </si>
  <si>
    <t xml:space="preserve">Plaisir, Ile-de-France, France, 78370</t>
  </si>
  <si>
    <t xml:space="preserve">Avec plus de 20 ans d'expérience dans le Food Service, miam&amp;Co vous accompagne dans votre stratégie marketing et communication dans la restauration hors foyer.</t>
  </si>
  <si>
    <t>Divine</t>
  </si>
  <si>
    <t xml:space="preserve">CEO Les Filous</t>
  </si>
  <si>
    <t xml:space="preserve">Les Filous</t>
  </si>
  <si>
    <t>antoinedivine@les-filous.fr</t>
  </si>
  <si>
    <t>http://www.linkedin.com/in/antoine-divine-a86a19175</t>
  </si>
  <si>
    <t>http://www.les-filous.fr</t>
  </si>
  <si>
    <t>Bordeaux</t>
  </si>
  <si>
    <t xml:space="preserve">Les Filous ce sont trois restaurants à Toulouse, Clermont-Ferrand et à Lyon qui vous proposent de la street-food grecque.</t>
  </si>
  <si>
    <t>Clement</t>
  </si>
  <si>
    <t>Rigot</t>
  </si>
  <si>
    <t>Co-founder</t>
  </si>
  <si>
    <t xml:space="preserve">Monsieur Mouette</t>
  </si>
  <si>
    <t>clementr@monsieurmouette.fr</t>
  </si>
  <si>
    <t>http://www.linkedin.com/in/cl%c3%a9ment-rigot</t>
  </si>
  <si>
    <t>http://www.monsieurmouette.fr</t>
  </si>
  <si>
    <t>Biarritz</t>
  </si>
  <si>
    <t xml:space="preserve">Quai du Bourret, Capbreton, Aquitaine, France, 40130</t>
  </si>
  <si>
    <t xml:space="preserve">Bienvenue sur le site du restaurant Monsieur Mouette à
Capbreton-Hossegor - RESTAURANT – TERRASSE – BAR, consultez des
avis clients et réservez en lign...</t>
  </si>
  <si>
    <t>Romain</t>
  </si>
  <si>
    <t>Claudel</t>
  </si>
  <si>
    <t>cozycozy.com</t>
  </si>
  <si>
    <t>romain.claudel@cozycozy.com</t>
  </si>
  <si>
    <t>http://www.linkedin.com/in/romain-claudel-61211018</t>
  </si>
  <si>
    <t>http://www.cozycozy.com</t>
  </si>
  <si>
    <t xml:space="preserve">266 Avenue Daumesnil, Paris, Ile-de-France, France, 75012</t>
  </si>
  <si>
    <t xml:space="preserve">Find the perfect vacation rental or hotel from the largest selection of accommodations! ✓ Free Cancellation  ✓ Authentic reviews ✓ Savings up to 45%</t>
  </si>
  <si>
    <t>Bassel</t>
  </si>
  <si>
    <t>Zebib</t>
  </si>
  <si>
    <t xml:space="preserve">Co Founder</t>
  </si>
  <si>
    <t>MEZZENCORE</t>
  </si>
  <si>
    <t>bassel.zebib@mezzencore.fr</t>
  </si>
  <si>
    <t>http://www.linkedin.com/in/bassel-zebib-bb3724157</t>
  </si>
  <si>
    <t>http://www.mezzencore.fr</t>
  </si>
  <si>
    <t xml:space="preserve">88 Rue Pierre Demours, Paris, Ile-de-France, France, 75017</t>
  </si>
  <si>
    <t xml:space="preserve">Commandez et payez à l'avance le meilleur de la cuisine Libanaise. Livraison rapide à la maison ou au bureau. Retrait en boutique avec le Click &amp; Collect.</t>
  </si>
  <si>
    <t>Angelo</t>
  </si>
  <si>
    <t>Calabrese</t>
  </si>
  <si>
    <t xml:space="preserve">Amici Paris</t>
  </si>
  <si>
    <t>angelo.calabrese@amici.paris</t>
  </si>
  <si>
    <t>http://www.linkedin.com/in/angelocalabrese</t>
  </si>
  <si>
    <t>http://www.amici.paris</t>
  </si>
  <si>
    <t xml:space="preserve">Amici, un véritable bar à vins italien, avec ses tapas et sa convivialité, du mardi au samedi. Brunch tous les samedis matin suivi d'une ambiance festive…</t>
  </si>
  <si>
    <t>Richard</t>
  </si>
  <si>
    <t>Perdriel</t>
  </si>
  <si>
    <t xml:space="preserve">CEO &amp; Co-Founder</t>
  </si>
  <si>
    <t xml:space="preserve">Richard's Hot Dog</t>
  </si>
  <si>
    <t>richard@richardshotdog.com</t>
  </si>
  <si>
    <t>http://www.linkedin.com/in/richard-perdriel</t>
  </si>
  <si>
    <t>http://www.richardshotdog.com</t>
  </si>
  <si>
    <t>Argenteuil</t>
  </si>
  <si>
    <t xml:space="preserve">Fontenay-sous-Bois, Ile-de-France, France</t>
  </si>
  <si>
    <t xml:space="preserve">Hot-Dogs des 4 coins du monde</t>
  </si>
  <si>
    <t>Assia</t>
  </si>
  <si>
    <t>Ali</t>
  </si>
  <si>
    <t xml:space="preserve">YEMMA YUMMY</t>
  </si>
  <si>
    <t>assia@yemma-yummy.com</t>
  </si>
  <si>
    <t>http://www.linkedin.com/in/assia-ali-44747619</t>
  </si>
  <si>
    <t>http://www.yemma-yummy.com</t>
  </si>
  <si>
    <t>Marseille</t>
  </si>
  <si>
    <t xml:space="preserve">Marseille, Provence-Alpes-Cote d'Azur, France, 13001</t>
  </si>
  <si>
    <t xml:space="preserve">Yemma Yummy, Traiteur engagé aux saveurs du monde fait maison &amp; des prodruits frais éco-responsables. Un traiteur dans le sud de la France.</t>
  </si>
  <si>
    <t>Sophie</t>
  </si>
  <si>
    <t>Letard</t>
  </si>
  <si>
    <t>effyciens</t>
  </si>
  <si>
    <t>sletard@effyciens-consulting.com</t>
  </si>
  <si>
    <t>http://www.linkedin.com/in/sophie-letard-75bba57a</t>
  </si>
  <si>
    <t>http://www.effyciens-consulting.com</t>
  </si>
  <si>
    <t xml:space="preserve">4/6 Rue Paul Gervais, Paris, Ile-de-France, France, 75013</t>
  </si>
  <si>
    <t>Corson</t>
  </si>
  <si>
    <t>Groupcorner</t>
  </si>
  <si>
    <t>antoinedecorson@groupcorner.com</t>
  </si>
  <si>
    <t>http://www.linkedin.com/in/antoine-de-corson-4b129240</t>
  </si>
  <si>
    <t>http://www.backyou.io</t>
  </si>
  <si>
    <t>Cluny</t>
  </si>
  <si>
    <t xml:space="preserve">Cluny, Burgundy, France, 71250</t>
  </si>
  <si>
    <t xml:space="preserve">Grâce à Backyou, hôteliers, digitalisez la gestion de vos événements, vos devis, vos paiements, votre facturation, vos fiches de fonction</t>
  </si>
  <si>
    <t>John</t>
  </si>
  <si>
    <t>Keating</t>
  </si>
  <si>
    <t xml:space="preserve">Chief Executive Officer</t>
  </si>
  <si>
    <t xml:space="preserve">Les Bordes Estate</t>
  </si>
  <si>
    <t>john.keating@lesbordes.com</t>
  </si>
  <si>
    <t>http://www.linkedin.com/in/john-keating-03b68013</t>
  </si>
  <si>
    <t>http://www.lesbordesestate.com</t>
  </si>
  <si>
    <t xml:space="preserve">Rue de la Loire, Saint-Laurent-Nouan, Centre-Val de Loire, France, 41220</t>
  </si>
  <si>
    <t xml:space="preserve">Live in a private estate that offers endless activities, world class golf, a stunning new collection of luxury residences and a future Six Senses Resort and Spa.</t>
  </si>
  <si>
    <t>Sebastien</t>
  </si>
  <si>
    <t>Emonet</t>
  </si>
  <si>
    <t xml:space="preserve">Enjoy And Stay</t>
  </si>
  <si>
    <t>sebastien@enjoyandstay.com</t>
  </si>
  <si>
    <t>http://www.linkedin.com/in/sebastienemonet</t>
  </si>
  <si>
    <t>http://www.enjoyandstay.com</t>
  </si>
  <si>
    <t xml:space="preserve">Le Rouret, Provence-Alpes-Cote d'Azur, France</t>
  </si>
  <si>
    <t xml:space="preserve">Conciergerie et cabinet de consulting en commercialisation et optimisation des revenus. Nous occupons de vos biens.</t>
  </si>
  <si>
    <t>Olivier</t>
  </si>
  <si>
    <t>Weiss</t>
  </si>
  <si>
    <t xml:space="preserve">Gérant Fondateur</t>
  </si>
  <si>
    <t>MONGOO</t>
  </si>
  <si>
    <t>olivier@mongoo.fr</t>
  </si>
  <si>
    <t>http://www.linkedin.com/in/olivier-weiss-919202187</t>
  </si>
  <si>
    <t>http://www.mongoo.fr</t>
  </si>
  <si>
    <t xml:space="preserve">Courbevoie, Ile-de-France, France, 92400</t>
  </si>
  <si>
    <t xml:space="preserve">Chez MONGOO, venez déguster votre salade, réalisée sous vos yeux selon vos choix d’ingrédients !</t>
  </si>
  <si>
    <t>Raffaele</t>
  </si>
  <si>
    <t>Targusi</t>
  </si>
  <si>
    <t>Fondateur</t>
  </si>
  <si>
    <t xml:space="preserve">Big Forno Group</t>
  </si>
  <si>
    <t>rtargusi@fornogusto.com</t>
  </si>
  <si>
    <t>http://www.linkedin.com/in/raffaele-targusi-b9a06186</t>
  </si>
  <si>
    <t>http://www.bigfornogroup.com</t>
  </si>
  <si>
    <t xml:space="preserve">Toulouse, Occitanie, France</t>
  </si>
  <si>
    <t>Emeric</t>
  </si>
  <si>
    <t>Berthet</t>
  </si>
  <si>
    <t>L'Atelier</t>
  </si>
  <si>
    <t>emeric@artisancrepier.com</t>
  </si>
  <si>
    <t>http://www.linkedin.com/in/emericberthet</t>
  </si>
  <si>
    <t>http://www.artisancrepier.com</t>
  </si>
  <si>
    <t xml:space="preserve">10 Rue Mabillon, Paris, Ile-de-France, France, 75006</t>
  </si>
  <si>
    <t xml:space="preserve">Découvrez la crêpitude et savourez nos recettes gourmandes avec des ingrédients français en Île de France, à Lyon, Cannes et Grenoble.</t>
  </si>
  <si>
    <t>Guillaume</t>
  </si>
  <si>
    <t>Souloumiac</t>
  </si>
  <si>
    <t xml:space="preserve">La Friche Marcq</t>
  </si>
  <si>
    <t>guillaume@lafrichegourmande.com</t>
  </si>
  <si>
    <t>http://www.linkedin.com/in/guillaume-souloumiac-579b7468</t>
  </si>
  <si>
    <t>http://www.lafrichegourmande.com</t>
  </si>
  <si>
    <t xml:space="preserve">Marcq-en-Baroeul, Hauts-de-France, France, 59700</t>
  </si>
  <si>
    <t xml:space="preserve">Food court. 4 restaurants, 2 bars, jeux et évènements à Lille et Toulouse.</t>
  </si>
  <si>
    <t>Lucie</t>
  </si>
  <si>
    <t>Bichelberger</t>
  </si>
  <si>
    <t>Co-fondatrice</t>
  </si>
  <si>
    <t xml:space="preserve">Petit Comité</t>
  </si>
  <si>
    <t>lucie@petitcomite.fr</t>
  </si>
  <si>
    <t>http://www.linkedin.com/in/lucie-bichelberger-19b5b428</t>
  </si>
  <si>
    <t>http://www.petitcomite.fr</t>
  </si>
  <si>
    <t xml:space="preserve">14 Cite d'Hauteville, Paris, Ile-de-France, France, 75010</t>
  </si>
  <si>
    <t>Athenais</t>
  </si>
  <si>
    <t>Hersi</t>
  </si>
  <si>
    <t xml:space="preserve">KESTUFAI... Le super simulateur d'avenir</t>
  </si>
  <si>
    <t>athenaishersi@andwhynot.fr</t>
  </si>
  <si>
    <t>http://www.linkedin.com/in/ath%c3%a9na%c3%afs-hersi-50549a72</t>
  </si>
  <si>
    <t>http://www.kestufai.fr</t>
  </si>
  <si>
    <t xml:space="preserve">8 Villa Poirier, Paris, Ile-de-France, France, 75015</t>
  </si>
  <si>
    <t>Severine</t>
  </si>
  <si>
    <t>Moire</t>
  </si>
  <si>
    <t xml:space="preserve">Mercure Paris Porte de Versailles Expo</t>
  </si>
  <si>
    <t>severine.moire@accor.com</t>
  </si>
  <si>
    <t>http://www.linkedin.com/in/severine-moire-53239596</t>
  </si>
  <si>
    <t>http://www.accor.com</t>
  </si>
  <si>
    <t xml:space="preserve">Vanves, Ile-de-France, France</t>
  </si>
  <si>
    <t>Vanessa</t>
  </si>
  <si>
    <t>Bourguignon</t>
  </si>
  <si>
    <t xml:space="preserve">Hôtel b design &amp; spa</t>
  </si>
  <si>
    <t>vb@hotelbdesign.fr</t>
  </si>
  <si>
    <t>http://www.linkedin.com/in/vanessa-bourguignon-47025125</t>
  </si>
  <si>
    <t>http://www.hotelbdesign.fr</t>
  </si>
  <si>
    <t>Paradou</t>
  </si>
  <si>
    <t xml:space="preserve">238 Chemin de Bourgeac, Paradou, Provence-Alpes-Cote d'Azur, France, 13520</t>
  </si>
  <si>
    <t xml:space="preserve">b design &amp; spa est un hôtel 5 étoiles avec piscine situé à Paradou au pied des Baux-de-Provence en plein cœur du Parc Naturel Régional des Alpilles.</t>
  </si>
  <si>
    <t>Peggy</t>
  </si>
  <si>
    <t>Gaste</t>
  </si>
  <si>
    <t xml:space="preserve">Co-fondatrice et DG</t>
  </si>
  <si>
    <t xml:space="preserve">Coolangatta Group</t>
  </si>
  <si>
    <t>peggy@coolangatta-group.com</t>
  </si>
  <si>
    <t>http://www.linkedin.com/in/peggy-gast%c3%a9-14373a75</t>
  </si>
  <si>
    <t>http://www.coolangatta-group.com</t>
  </si>
  <si>
    <t xml:space="preserve">Coolangatta est un groupe familial composé de 6 restaurants, 4 bars et 1 épicerie healthy, tous situés à Paris et en banlieue parisienne et ayant la même promesse : l'art et l'amour de recevoir avec générosité et bonne humeur.</t>
  </si>
  <si>
    <t>Jules</t>
  </si>
  <si>
    <t>Brenier</t>
  </si>
  <si>
    <t xml:space="preserve">Hôtel Le Mirage</t>
  </si>
  <si>
    <t>jules@lemirage-hotel.com</t>
  </si>
  <si>
    <t>http://www.linkedin.com/in/jules-brenier-006890b8</t>
  </si>
  <si>
    <t>http://www.lemirage-hotel.com</t>
  </si>
  <si>
    <t xml:space="preserve">38 Rue de la Vue des Iles, Bormes-les-Mimosas, Provence-Alpes-Cote d'Azur, France, 83230</t>
  </si>
  <si>
    <t xml:space="preserve">L'Hôtel le Mirage est un hôtel haut-de-gamme 4 étoiles. Situé sur le littoral méditerranéen à Bormes les Mimosas proche de St Tropez.</t>
  </si>
  <si>
    <t>Eva</t>
  </si>
  <si>
    <t>Bringue</t>
  </si>
  <si>
    <t xml:space="preserve">Hôtel Amour Nice</t>
  </si>
  <si>
    <t>eva@hotelamournice.fr</t>
  </si>
  <si>
    <t>http://www.linkedin.com/in/eva-bringu%c3%a9-b70b38247</t>
  </si>
  <si>
    <t>http://www.hotelamournice.fr</t>
  </si>
  <si>
    <t xml:space="preserve">Nice, Provence-Alpes-Cote d'Azur, France</t>
  </si>
  <si>
    <t>Zacharias</t>
  </si>
  <si>
    <t>Auvray</t>
  </si>
  <si>
    <t xml:space="preserve">Village Igloo</t>
  </si>
  <si>
    <t>direction@village-igloo.fr</t>
  </si>
  <si>
    <t>http://www.linkedin.com/in/zacharias-auvray-8b9b9b92</t>
  </si>
  <si>
    <t>http://www.village-igloo.fr</t>
  </si>
  <si>
    <t>Annecy</t>
  </si>
  <si>
    <t xml:space="preserve">48 Chemin de Seyrosset Bas, Morzine, Auvergne-Rhone-Alpes, France, 74110</t>
  </si>
  <si>
    <t>Magda</t>
  </si>
  <si>
    <t xml:space="preserve">Directeur Général</t>
  </si>
  <si>
    <t xml:space="preserve">Le Green des Impressionnistes</t>
  </si>
  <si>
    <t>guillaume.magda@green-des-impressionnistes.com</t>
  </si>
  <si>
    <t>http://www.linkedin.com/in/guillaumemagda</t>
  </si>
  <si>
    <t>http://www.green-des-impressionnistes.com</t>
  </si>
  <si>
    <t>Pontoise</t>
  </si>
  <si>
    <t xml:space="preserve">Ennery, Ile-de-France, France, 95300</t>
  </si>
  <si>
    <t>Solene</t>
  </si>
  <si>
    <t>Conraux</t>
  </si>
  <si>
    <t xml:space="preserve">La Butte</t>
  </si>
  <si>
    <t>solene.conraux@labutte.fr</t>
  </si>
  <si>
    <t>http://www.linkedin.com/in/sol%c3%a8ne-conraux-825507140</t>
  </si>
  <si>
    <t>http://www.labutte.fr</t>
  </si>
  <si>
    <t>Brest</t>
  </si>
  <si>
    <t xml:space="preserve">12 Rue de la Mer, Plouider, Brittany, France, 29260</t>
  </si>
  <si>
    <t xml:space="preserve">Hôtel de luxe bord de mer dans le Finistère avec Restaurant gastronomique &amp; Spa. Relais détente idéal pour un weekend gastronomique en Bretagne</t>
  </si>
  <si>
    <t>Rachid</t>
  </si>
  <si>
    <t>Nakhle</t>
  </si>
  <si>
    <t xml:space="preserve">Founder and CIO</t>
  </si>
  <si>
    <t>patchwork</t>
  </si>
  <si>
    <t>rach@patchwork.me</t>
  </si>
  <si>
    <t>http://www.linkedin.com/in/rachid-nakhl%c3%a9-08b3b81</t>
  </si>
  <si>
    <t>http://www.patchwork.me</t>
  </si>
  <si>
    <t xml:space="preserve">10 Rue Quentin-Bauchart, Paris, Ile-de-France, France, 75008</t>
  </si>
  <si>
    <t>Joel</t>
  </si>
  <si>
    <t>Pinto</t>
  </si>
  <si>
    <t xml:space="preserve">Président / Co-Owner</t>
  </si>
  <si>
    <t>L'EPOPEE</t>
  </si>
  <si>
    <t>joel.pinto@groupeselect.fr</t>
  </si>
  <si>
    <t>http://www.linkedin.com/in/jo%c3%abl-pinto-8164babb</t>
  </si>
  <si>
    <t>http://www.lepopee.fr</t>
  </si>
  <si>
    <t xml:space="preserve">Reims, Champagne-Ardenne, France</t>
  </si>
  <si>
    <t>Vito</t>
  </si>
  <si>
    <t>Santoro</t>
  </si>
  <si>
    <t xml:space="preserve">Directeur Général Adjoint</t>
  </si>
  <si>
    <t xml:space="preserve">CAP D'ANTIBES</t>
  </si>
  <si>
    <t>v.santoro@cabh.fr</t>
  </si>
  <si>
    <t>http://www.linkedin.com/in/vito-santoro-82aa8211b</t>
  </si>
  <si>
    <t>http://www.ca-beachhotel.fr</t>
  </si>
  <si>
    <t>Antibes</t>
  </si>
  <si>
    <t xml:space="preserve">10 Boulevard Marechal Juin, Antibes, Provence-Alpes-Cote d'Azur, France, 06160</t>
  </si>
  <si>
    <t xml:space="preserve">Sur la Côte d'Azur, découvrez le Cap d'antibes Beach Hotel, 35 chambres et 5 étoiles. Avec sa plage privée, c’est une adresse dédiée à la joie de vivre. Les pieds dans l’eau entre Cannes et Nice</t>
  </si>
  <si>
    <t xml:space="preserve">Directeur général adjoint</t>
  </si>
  <si>
    <t xml:space="preserve">Le Château de Fère Hôtel &amp; Spa *****</t>
  </si>
  <si>
    <t>direction@chateaudefere.com</t>
  </si>
  <si>
    <t>http://www.linkedin.com/in/olivier-thomas-25958148</t>
  </si>
  <si>
    <t>http://www.chateaudefere.com</t>
  </si>
  <si>
    <t>Venizel</t>
  </si>
  <si>
    <t xml:space="preserve">Route de Fismes, Mareuil-en-Dole, Hauts-de-France, France, 02130</t>
  </si>
  <si>
    <t xml:space="preserve">Located 75 minutes from Paris, book yourself an unforgettable experience at the 5-Star Castle Hotel, Château de Fère, Hotel and Spa</t>
  </si>
  <si>
    <t>Pitat</t>
  </si>
  <si>
    <t xml:space="preserve">Directeur général Muchacha</t>
  </si>
  <si>
    <t xml:space="preserve">Muchacha Montpellier</t>
  </si>
  <si>
    <t>romain@muchachamontpellier.fr</t>
  </si>
  <si>
    <t>http://www.linkedin.com/in/romain-pitat-a503b8177</t>
  </si>
  <si>
    <t>http://www.muchachamontpellier.fr</t>
  </si>
  <si>
    <t>Montpellier</t>
  </si>
  <si>
    <t xml:space="preserve">Montpellier, Languedoc-Roussillon, France</t>
  </si>
  <si>
    <t xml:space="preserve">Muchacha - Bar restaurant Latino Américain. Se Baila, Se Bebe, Se Come. Esprit de fête et de convivialité. Vins, bières et cocktails. Cuisine du monde.</t>
  </si>
  <si>
    <t>Pierre</t>
  </si>
  <si>
    <t>Gueret</t>
  </si>
  <si>
    <t xml:space="preserve">Président-directeur général</t>
  </si>
  <si>
    <t xml:space="preserve">Maison Guéret 1880</t>
  </si>
  <si>
    <t>pierre.gueret@groupegueret.fr</t>
  </si>
  <si>
    <t>http://www.linkedin.com/in/pierre-gu%c3%a9ret-11b01326</t>
  </si>
  <si>
    <t>http://www.maison-gueret.com</t>
  </si>
  <si>
    <t>Rouen</t>
  </si>
  <si>
    <t xml:space="preserve">104 Rue Ganterie, Rouen, Upper Normandy, France, 76000</t>
  </si>
  <si>
    <t>Hengoat</t>
  </si>
  <si>
    <t xml:space="preserve">Co Founder &amp; Owner</t>
  </si>
  <si>
    <t xml:space="preserve">La Frairie</t>
  </si>
  <si>
    <t>pierre.hengoat@lafrairie.com</t>
  </si>
  <si>
    <t>http://www.linkedin.com/in/pierre-hengoat-19119b53</t>
  </si>
  <si>
    <t>http://www.lafrairie.com</t>
  </si>
  <si>
    <t xml:space="preserve">33 Rue du Faubourg Poissonniere, Paris, Ile-de-France, France, 75009</t>
  </si>
  <si>
    <t xml:space="preserve">Nous nous engageons a faire de votre pause-dejeuner un vrai plaisir mais pas seulement ! Notre engagement tient aussi a la qualite et la fraicheur de nos produits.</t>
  </si>
  <si>
    <t>Tiberghien</t>
  </si>
  <si>
    <t xml:space="preserve">Co-Founder &amp; COO</t>
  </si>
  <si>
    <t>Delicious</t>
  </si>
  <si>
    <t>matthieu@dlcs.fr</t>
  </si>
  <si>
    <t>http://www.linkedin.com/in/matthieu-tiberghien-85890b59</t>
  </si>
  <si>
    <t>http://www.dlcs.fr</t>
  </si>
  <si>
    <t xml:space="preserve">80 Rue des Haies, Paris, Ile-de-France, France, 75020</t>
  </si>
  <si>
    <t xml:space="preserve">Née en 2019, Delicious est une société pionnière dans la création de marques virtuelles. Une opportunité pour les restaurateurs qui souhaitent augmenter facilement et sans risque leur chiffre d’affaires.</t>
  </si>
  <si>
    <t>Amaury</t>
  </si>
  <si>
    <t>Henin</t>
  </si>
  <si>
    <t>CUTS</t>
  </si>
  <si>
    <t>amaury.henin@cuts-paris.fr</t>
  </si>
  <si>
    <t>http://www.linkedin.com/in/amaury-henin-4b08997</t>
  </si>
  <si>
    <t>http://www.cuts-paris.fr</t>
  </si>
  <si>
    <t xml:space="preserve">45 Avenue Paul Doumer, Paris, Ile-de-France, France, 75116</t>
  </si>
  <si>
    <t>Feriel</t>
  </si>
  <si>
    <t>Ferrad</t>
  </si>
  <si>
    <t xml:space="preserve">Co-Founder @Foodjer</t>
  </si>
  <si>
    <t>Foodjer</t>
  </si>
  <si>
    <t>feriel.ferrad@foodjer.com</t>
  </si>
  <si>
    <t>http://www.linkedin.com/in/f%c3%a9riel-ferrad-bbb18897</t>
  </si>
  <si>
    <t>http://www.gimmyfood.com</t>
  </si>
  <si>
    <t xml:space="preserve">Des recettes qualitatives, testées et approuvées et spécialement pensées pour la livraison et la vente à emporter.</t>
  </si>
  <si>
    <t>Gregory</t>
  </si>
  <si>
    <t>Pourrin</t>
  </si>
  <si>
    <t xml:space="preserve">Founding Partner &amp; CEO</t>
  </si>
  <si>
    <t xml:space="preserve">Groupe Centaurus</t>
  </si>
  <si>
    <t>gregory.pourrin@paris-inn.com</t>
  </si>
  <si>
    <t>http://www.linkedin.com/in/gr%c3%a9gory-pourrin-86bb856b</t>
  </si>
  <si>
    <t>http://www.paris-inn.com</t>
  </si>
  <si>
    <t>Jost</t>
  </si>
  <si>
    <t>misterb&amp;b</t>
  </si>
  <si>
    <t>matthieu@misterbandb.com</t>
  </si>
  <si>
    <t>http://www.linkedin.com/in/jostmatthieu</t>
  </si>
  <si>
    <t>http://www.misterbandb.com</t>
  </si>
  <si>
    <t xml:space="preserve">20 Rue de Saint-Petersbourg, Paris, Ile-de-France, France, 75008</t>
  </si>
  <si>
    <t xml:space="preserve">Explore LGBTQ+ stays on misterb&amp;b: gay-owned private rooms, stylish apartments, and LGBTQ+-friendly hotels. Trusted by 1M+ travelers with 2M properties worldwide.</t>
  </si>
  <si>
    <t>Colin</t>
  </si>
  <si>
    <t>Marteau</t>
  </si>
  <si>
    <t xml:space="preserve">Co-fondateur &amp; CEO</t>
  </si>
  <si>
    <t>Heqtor</t>
  </si>
  <si>
    <t>colin.marteau@heqtor.fr</t>
  </si>
  <si>
    <t>http://www.linkedin.com/in/colin-marteau-b916b3131</t>
  </si>
  <si>
    <t>http://www.heqtor.fr</t>
  </si>
  <si>
    <t xml:space="preserve">Paris, Ile-de-France, France, 75001</t>
  </si>
  <si>
    <t xml:space="preserve">Heqtor est le premier assistant au service des restaurateurs et de leurs fournisseurs. Gérez votre établissement avec l'aide d'Heqtor : approvisionnement, planning de livraison, historique de commandes, coûts matière, statistiques, fiches techniques... Heqtor vous permet d'avoir une vision claire de votre commerce en un clin d'oeil !</t>
  </si>
  <si>
    <t>Jeremy</t>
  </si>
  <si>
    <t>Fortin</t>
  </si>
  <si>
    <t>Weekome</t>
  </si>
  <si>
    <t>j.fortin@weekome.com</t>
  </si>
  <si>
    <t>http://www.linkedin.com/in/j%c3%a9r%c3%a9my-fortin-7861281b</t>
  </si>
  <si>
    <t>http://www.weekome.fr</t>
  </si>
  <si>
    <t xml:space="preserve">14 Rue Soleillet, Paris, Ile-de-France, France, 75020</t>
  </si>
  <si>
    <t xml:space="preserve">Gérer votre location saisonnière prend tout votre temps ? Vous êtes au bon endroit, découvrez comment vous y prendre !</t>
  </si>
  <si>
    <t>Baptiste</t>
  </si>
  <si>
    <t>Collignon</t>
  </si>
  <si>
    <t xml:space="preserve">Autograph Collection</t>
  </si>
  <si>
    <t>baptiste.collignon@lacasernechanzy.com</t>
  </si>
  <si>
    <t>http://www.linkedin.com/in/baptiste-collignon-77b326110</t>
  </si>
  <si>
    <t>http://www.lacasernechanzy.com</t>
  </si>
  <si>
    <t>Reims</t>
  </si>
  <si>
    <t xml:space="preserve">18 Rue Tronsson Ducoudray, Reims, Grand Est, France, 51100</t>
  </si>
  <si>
    <t xml:space="preserve">Staying at La Caserne Chanzy Hotel &amp; Spa gives you a unique experience, it offers an unparalleled look at Champagne and a chance to learn about the story of Reims.</t>
  </si>
  <si>
    <t>Muraille</t>
  </si>
  <si>
    <t xml:space="preserve">The French Bastards</t>
  </si>
  <si>
    <t>victor@thefrenchbastards.fr</t>
  </si>
  <si>
    <t>http://www.linkedin.com/in/victor-muraille</t>
  </si>
  <si>
    <t>http://www.thefrenchbastards.fr</t>
  </si>
  <si>
    <t xml:space="preserve">La boulangerie-pâtisserie la plus gourmande et foodporn est disponible en boutique, en livraison et en click and collect ! Rejoignez-nous pour inventer ensemble la boulangerie de demain.</t>
  </si>
  <si>
    <t>Didier</t>
  </si>
  <si>
    <t>Oudin</t>
  </si>
  <si>
    <t xml:space="preserve">Groupe AROM</t>
  </si>
  <si>
    <t>d.oudin@groupe-arom.com</t>
  </si>
  <si>
    <t>http://www.linkedin.com/in/didier-oudin-ba506748</t>
  </si>
  <si>
    <t>http://www.groupe-arom.com</t>
  </si>
  <si>
    <t xml:space="preserve">47 Avenue de la Foret, Eysines, Aquitaine, France, 33320</t>
  </si>
  <si>
    <t xml:space="preserve">Faites appel à Lacoste Traiteur pour vos réceptions à Bordeaux et en Nouvelle-Aquitaine. Prestations sur-mesure pour événements privés et professionnels.</t>
  </si>
  <si>
    <t>Louis</t>
  </si>
  <si>
    <t>Jacquot</t>
  </si>
  <si>
    <t xml:space="preserve">Les Cuistots Migrateurs</t>
  </si>
  <si>
    <t>louis@lescuistotsmigrateurs.com</t>
  </si>
  <si>
    <t>http://www.linkedin.com/in/louisjacquot</t>
  </si>
  <si>
    <t>http://www.lescuistotsmigrateurs.com</t>
  </si>
  <si>
    <t>Montreuil</t>
  </si>
  <si>
    <t xml:space="preserve">22 Rue Condorcet, Montreuil, Ile-de-France, France, 93100</t>
  </si>
  <si>
    <t xml:space="preserve">Un traiteur à Paris, engagé pour vos réceptions professionnelles et privées. Découvrez des cuisines du monde et des plateaux-repas savoureux, livrés par des chefs réfugiés talentueux !</t>
  </si>
  <si>
    <t>Jordan</t>
  </si>
  <si>
    <t>Errigo</t>
  </si>
  <si>
    <t xml:space="preserve">Quanto Basta</t>
  </si>
  <si>
    <t>ejordan@tripadvisor.com</t>
  </si>
  <si>
    <t>http://www.linkedin.com/in/jordan-errigo-316b31113</t>
  </si>
  <si>
    <t>http://www.quantobastanc.com</t>
  </si>
  <si>
    <t xml:space="preserve">Pinneberg, Schleswig-Holstein, Germany, 25421</t>
  </si>
  <si>
    <t>Germany</t>
  </si>
  <si>
    <t>Camille</t>
  </si>
  <si>
    <t>Goze</t>
  </si>
  <si>
    <t>Bomaye</t>
  </si>
  <si>
    <t>camille@bomayeclub.com</t>
  </si>
  <si>
    <t>http://www.linkedin.com/in/camillegoze</t>
  </si>
  <si>
    <t>http://www.bomayeclub.com</t>
  </si>
  <si>
    <t xml:space="preserve">16 Rue de Paradis, Paris, Ile-de-France, France, 75010</t>
  </si>
  <si>
    <t xml:space="preserve">Bomaye est un concept de burgers inspirés des plats d'Afrique, comme le garba, le mafé ou le poulet yassa. Le premier restaurant se trouve à Paris, 16 rue de Paradis.</t>
  </si>
  <si>
    <t>Damien</t>
  </si>
  <si>
    <t>Porthault</t>
  </si>
  <si>
    <t xml:space="preserve">Fondateur filon_food</t>
  </si>
  <si>
    <t>Filon</t>
  </si>
  <si>
    <t>damien@filon.org</t>
  </si>
  <si>
    <t>http://www.linkedin.com/in/damien-porthault-511321152</t>
  </si>
  <si>
    <t>http://www.filon.org</t>
  </si>
  <si>
    <t xml:space="preserve">10 Rue de Penthievre, Paris, Ile-de-France, France, 75008</t>
  </si>
  <si>
    <t xml:space="preserve">Filon, l'offre food 360°, conceptualise pour votre entreprise des restaurants uniques et livre le meilleur du plateau repas et des pièces cocktails dans vos entreprises ! Nos chefs créatifs et notre équipe dévouée sont prêts à transformer vos repas d'entreprise.</t>
  </si>
  <si>
    <t>Rolf</t>
  </si>
  <si>
    <t>Bertschi</t>
  </si>
  <si>
    <t xml:space="preserve">Château de Montcaud</t>
  </si>
  <si>
    <t>rolf.bertschi@chateaudemontcaud.com</t>
  </si>
  <si>
    <t>http://www.linkedin.com/in/rolf-bertschi-6056345</t>
  </si>
  <si>
    <t>http://www.chateaudemontcaud.com</t>
  </si>
  <si>
    <t>Sabran</t>
  </si>
  <si>
    <t xml:space="preserve">Rue du Languedoc, Bagnols-sur-Ceze, Languedoc-Roussillon, France, 30200</t>
  </si>
  <si>
    <t xml:space="preserve">Ce Château hôtel en Provence est un endroit magique : la joie de vivre dans l'une des régions les plus populaires du monde !</t>
  </si>
  <si>
    <t>Stephane</t>
  </si>
  <si>
    <t>Ustaritz</t>
  </si>
  <si>
    <t xml:space="preserve">Groupe NESSENCE</t>
  </si>
  <si>
    <t>stephane@nessence-group.fr</t>
  </si>
  <si>
    <t>http://www.linkedin.com/in/st%c3%a9phane-ustaritz-hospitality</t>
  </si>
  <si>
    <t>http://www.nessence-group.fr</t>
  </si>
  <si>
    <t xml:space="preserve">30 Allees de Tourny, Bordeaux, Nouvelle-Aquitaine, France, 33000</t>
  </si>
  <si>
    <t xml:space="preserve">Retrouvez ici les valeurs, l'histoire, les ambitions d'expansions et les chiffres clés du Groupe Nessence.</t>
  </si>
  <si>
    <t>Benoit</t>
  </si>
  <si>
    <t>Comyn</t>
  </si>
  <si>
    <t>MADEHO</t>
  </si>
  <si>
    <t>benoit.comyn@madeho.fr</t>
  </si>
  <si>
    <t>http://www.linkedin.com/in/benoit-comyn-8a51141b</t>
  </si>
  <si>
    <t>http://www.madeho.fr</t>
  </si>
  <si>
    <t xml:space="preserve">7 Rue Brunel, Paris, Ile-de-France, France, 75017</t>
  </si>
  <si>
    <t xml:space="preserve">La mission de Madeho est de faire de chaque hôtel un lieu chaleureux et inspirant dont les clients se souviendront. Gestion hôtelière &amp; conseil hôtelier - PARIS.</t>
  </si>
  <si>
    <t>Andrea</t>
  </si>
  <si>
    <t>Riviere</t>
  </si>
  <si>
    <t xml:space="preserve">Hôtel Le Diamond Rock Lodge *****</t>
  </si>
  <si>
    <t>andrea.riviere@diamond-rock.fr</t>
  </si>
  <si>
    <t>http://www.linkedin.com/in/riviere-andrea</t>
  </si>
  <si>
    <t>http://www.diamond-rock.fr</t>
  </si>
  <si>
    <t xml:space="preserve">Tignes, Auvergne-Rhone-Alpes, France, 73320</t>
  </si>
  <si>
    <t>Aurelia</t>
  </si>
  <si>
    <t>Gonthier</t>
  </si>
  <si>
    <t xml:space="preserve">voco Strasbourg Centre</t>
  </si>
  <si>
    <t>gm.voco@strasbourgthegarden.com</t>
  </si>
  <si>
    <t>http://www.linkedin.com/in/aur%c3%a9lia-gonthier-717682162</t>
  </si>
  <si>
    <t>http://www.strasbourgthegarden.com</t>
  </si>
  <si>
    <t>Strasbourg</t>
  </si>
  <si>
    <t xml:space="preserve">9 Rue des Magasins, Strasbourg, Grand Est, France, 67000</t>
  </si>
  <si>
    <t>Adrien</t>
  </si>
  <si>
    <t>Rozand</t>
  </si>
  <si>
    <t xml:space="preserve">Miam Family</t>
  </si>
  <si>
    <t>adrien@miam-family.com</t>
  </si>
  <si>
    <t>http://www.linkedin.com/in/adrien-rozand-10b17b132</t>
  </si>
  <si>
    <t>http://www.miam-family.com</t>
  </si>
  <si>
    <t xml:space="preserve">17 Rue Hippolyte Flandrin, Lyon, Auvergne-Rhone-Alpes, France, 69001</t>
  </si>
  <si>
    <t xml:space="preserve">MIAM FAMILY est un groupe spécialisé dans la food locale &amp; durable. Il porte des projets et des acteurs de l'alimentaire pour tendre vers un monde meilleur.</t>
  </si>
  <si>
    <t>Jerome</t>
  </si>
  <si>
    <t>Schibler</t>
  </si>
  <si>
    <t xml:space="preserve">Directeur général Associé - Opérations</t>
  </si>
  <si>
    <t xml:space="preserve">Atypio Hotels Resorts</t>
  </si>
  <si>
    <t>jerome.schibler@atypio.fr</t>
  </si>
  <si>
    <t>http://www.linkedin.com/in/j%c3%a9r%c3%b4me-schibler-45670795</t>
  </si>
  <si>
    <t>http://www.atypio.com</t>
  </si>
  <si>
    <t xml:space="preserve">40B Rue Cardinet, Paris, Ile-de-France, France, 75017</t>
  </si>
  <si>
    <t xml:space="preserve">SITE OFFICIEL | Le Réseau Atypio | Hôtels 3 et 4 étoiles situés en France, Au vert, Littoral, City, pour des séjours affaires ou loisirs.</t>
  </si>
  <si>
    <t>Arnaud</t>
  </si>
  <si>
    <t>Lahana</t>
  </si>
  <si>
    <t xml:space="preserve">Co-founder &amp; CEO</t>
  </si>
  <si>
    <t>MyKeypers</t>
  </si>
  <si>
    <t>alahana@mykeypers.com</t>
  </si>
  <si>
    <t>http://www.linkedin.com/in/arnaud-lahana-56925046</t>
  </si>
  <si>
    <t>http://www.mykeypers.com</t>
  </si>
  <si>
    <t xml:space="preserve">39 Avenue d'Iena, Paris, Ile-de-France, France, 75116</t>
  </si>
  <si>
    <t xml:space="preserve">Votre gestionnaire dédié pour vos locations courte durée</t>
  </si>
  <si>
    <t>Franck</t>
  </si>
  <si>
    <t>Wittig</t>
  </si>
  <si>
    <t xml:space="preserve">Principal CEO</t>
  </si>
  <si>
    <t>Rotisol</t>
  </si>
  <si>
    <t>f.wittig@rotisol.com</t>
  </si>
  <si>
    <t>http://www.linkedin.com/in/franck-wittig-9a6698187</t>
  </si>
  <si>
    <t>http://www.rotisol.com</t>
  </si>
  <si>
    <t xml:space="preserve">1 Rue Gustave Eiffel, Chelles, Ile-de-France, France, 77500</t>
  </si>
  <si>
    <t>Garmier</t>
  </si>
  <si>
    <t xml:space="preserve">Founder &amp; CEO</t>
  </si>
  <si>
    <t xml:space="preserve">The Great Hospitality</t>
  </si>
  <si>
    <t>thomas.garmier@the-great-hospitality.com</t>
  </si>
  <si>
    <t>http://www.linkedin.com/in/thomas-garmier-8471a1a4</t>
  </si>
  <si>
    <t>http://www.the-great-hospitality.com</t>
  </si>
  <si>
    <t xml:space="preserve">74 Rue du Commerce, Paris, Ile-de-France, France, 75015</t>
  </si>
  <si>
    <t xml:space="preserve">En France et dans le monde entier, The great hospitality est un acteur majeur de l’aménagement d’espaces.</t>
  </si>
  <si>
    <t>Desjardin</t>
  </si>
  <si>
    <t xml:space="preserve">Le Kiosque</t>
  </si>
  <si>
    <t>maxime.desjardin@bylekiosque.com</t>
  </si>
  <si>
    <t>http://www.linkedin.com/in/maxime-desjardin-3648441b3</t>
  </si>
  <si>
    <t>http://www.lekiosque.family</t>
  </si>
  <si>
    <t xml:space="preserve">54 Rue de l'Industrie, Toulouse, Occitanie, France, 31000</t>
  </si>
  <si>
    <t xml:space="preserve">Restaurant Vietnamien à Toulouse - à consommer sur place ou à emporter - Click and Collect disponible sur notre site</t>
  </si>
  <si>
    <t>Olivia</t>
  </si>
  <si>
    <t>Zarka</t>
  </si>
  <si>
    <t xml:space="preserve">MY MAISON IN PARIS</t>
  </si>
  <si>
    <t>olivia.zarka@mymaisoninparis.com</t>
  </si>
  <si>
    <t>http://www.linkedin.com/in/olivia-zarka-882488141</t>
  </si>
  <si>
    <t>http://www.mymaisoninparis.com</t>
  </si>
  <si>
    <t xml:space="preserve">4 Rue Quentin-Bauchart, Paris, Ile-de-France, France, 75008</t>
  </si>
  <si>
    <t xml:space="preserve">L’art de vivre à la parisienne - vous vous sentirez comme chez vous, ailleurs, dans les quartiers de Montmartre, Louvre, Invalides, Champ de Mars et Sentier.</t>
  </si>
  <si>
    <t>Quentin</t>
  </si>
  <si>
    <t>Pandelle</t>
  </si>
  <si>
    <t xml:space="preserve">Fuso France</t>
  </si>
  <si>
    <t>quentin@fuso.net</t>
  </si>
  <si>
    <t>http://www.linkedin.com/in/quentin-pandelle-6b6976b4</t>
  </si>
  <si>
    <t>http://www.fuso.net</t>
  </si>
  <si>
    <t>Cannes</t>
  </si>
  <si>
    <t xml:space="preserve">11B Rue Helene Vagliano, Cannes, Provence-Alpes-Cote d'Azur, France, 06400</t>
  </si>
  <si>
    <t>Line</t>
  </si>
  <si>
    <t>Diquattro</t>
  </si>
  <si>
    <t xml:space="preserve">Ethic Etapes</t>
  </si>
  <si>
    <t>ldiquattro@cis-lyon.com</t>
  </si>
  <si>
    <t>http://www.linkedin.com/in/line-diquattro-%f0%9f%8c%8d-94559524</t>
  </si>
  <si>
    <t>http://www.cis-lyon.com</t>
  </si>
  <si>
    <t xml:space="preserve">103 Boulevard des Etats-Unis, Lyon, Auvergne-Rhone-Alpes, France, 69008</t>
  </si>
  <si>
    <t xml:space="preserve">Depuis plus de 50 ans, en tant qu'acteur reconnu du tourisme responsable et durable, nous accueillons des groupes et des personnes individuelles. Hébergement, restauration, location de salles de réunion.</t>
  </si>
  <si>
    <t>Mancel-Jegat</t>
  </si>
  <si>
    <t xml:space="preserve">Best Western Plus Le Roof</t>
  </si>
  <si>
    <t>m.mancel@le-roof.com</t>
  </si>
  <si>
    <t>http://www.linkedin.com/in/matthieu-mancel-jegat-619b4b1a1</t>
  </si>
  <si>
    <t>http://www.le-roof.com</t>
  </si>
  <si>
    <t>Vannes</t>
  </si>
  <si>
    <t xml:space="preserve">10 Allee des Freres Cadoret, Vannes, Brittany, France, 56000</t>
  </si>
  <si>
    <t xml:space="preserve">To treat yourself, quench your thirst or recharge your batteries, enjoy the sea view from the Best Western Plus Le Roof hotel restaurant located in Vannes in Morbihan.</t>
  </si>
  <si>
    <t>Cedric</t>
  </si>
  <si>
    <t>Janvier</t>
  </si>
  <si>
    <t xml:space="preserve">Directeur Général - propriétaire</t>
  </si>
  <si>
    <t xml:space="preserve">HOTEL DE SEZE</t>
  </si>
  <si>
    <t>c.janvier@hotel-de-seze.com</t>
  </si>
  <si>
    <t>http://www.linkedin.com/in/c%c3%a9dric-janvier-69013a68</t>
  </si>
  <si>
    <t>http://www.hotel-de-seze.com</t>
  </si>
  <si>
    <t xml:space="preserve">7 Rue de Seze, Bordeaux, Aquitaine, France, 33000</t>
  </si>
  <si>
    <t xml:space="preserve">Séjour en chambres ou suites dans notre hôtel 4 étoiles à Bordeaux. Profitez du restaurant gastronomique et notre Spa lors d'un séjour unique à l'Hôtel de Sèze.</t>
  </si>
  <si>
    <t>Alexis</t>
  </si>
  <si>
    <t>Camps</t>
  </si>
  <si>
    <t xml:space="preserve">Mary's Coffee Shop</t>
  </si>
  <si>
    <t>acamps@maryscoffeeshop.fr</t>
  </si>
  <si>
    <t>http://www.linkedin.com/in/alexis-camps-474358139</t>
  </si>
  <si>
    <t>http://www.maryscoffeeshop.fr</t>
  </si>
  <si>
    <t>Saint-Andre</t>
  </si>
  <si>
    <t xml:space="preserve">140 Rue de la Montat, Saint-Etienne, Auvergne-Rhone-Alpes, France, 42100</t>
  </si>
  <si>
    <t xml:space="preserve">Bienvenue au Mary’s Coffee Shop, franchise de coffee shop. Découvrez nos pâtisseries maison le temps d’une pause gourmande ( Pancake, Muffin, Cheesecake, Brownie, Apple Pie, Crêpe..). Pour le midi ? Dévorer un de nos Bagels qui vient juste d’être toasté, un Hot Dog préparé sous vos yeux ou une salade confectionnée à base de légumes frais.  N‘oubliez pas de tester un Milk-Shake, un smoothie ou un café frappé avant de repartir !</t>
  </si>
  <si>
    <t>Come</t>
  </si>
  <si>
    <t>Pierquet</t>
  </si>
  <si>
    <t xml:space="preserve">Eco-domaine du Chalonge</t>
  </si>
  <si>
    <t>come@lechalonge.com</t>
  </si>
  <si>
    <t>http://www.linkedin.com/in/c%c3%b4me-pierquet-193a58140</t>
  </si>
  <si>
    <t>http://www.lechalonge.com</t>
  </si>
  <si>
    <t>Heric</t>
  </si>
  <si>
    <t xml:space="preserve">44810 Le Chalonge, Heric, Pays de la Loire, France, 44810</t>
  </si>
  <si>
    <t xml:space="preserve">Lieu atypique proche de Nantes, l'éco-Domaine du Chalonge accueille votre séminaire au vert, teambuilding, mariage, stage bien-être et location de gîte.</t>
  </si>
  <si>
    <t>Quemin</t>
  </si>
  <si>
    <t>Cala</t>
  </si>
  <si>
    <t>alexis@eatcala.com</t>
  </si>
  <si>
    <t>http://www.linkedin.com/in/alexis-quemin</t>
  </si>
  <si>
    <t>http://www.eatcala.com</t>
  </si>
  <si>
    <t xml:space="preserve">29 Rue Linne, Paris, Ile-de-France, France, 75005</t>
  </si>
  <si>
    <t xml:space="preserve">CALA, c’est avant tout des pasta incroyables, cuites à la commande (et à la seconde près), dans des quantités super généreuses, agrémentées uniquement de produits bruts et frais, sans conservateurs ni additifs, et labellisés autant que possible !</t>
  </si>
  <si>
    <t>Benjamin</t>
  </si>
  <si>
    <t>Jean</t>
  </si>
  <si>
    <t xml:space="preserve">The Roster</t>
  </si>
  <si>
    <t>ben@theroster.fr</t>
  </si>
  <si>
    <t>http://www.linkedin.com/in/benjamin-jean-14143852</t>
  </si>
  <si>
    <t>http://www.theroster.fr</t>
  </si>
  <si>
    <t>Chambery</t>
  </si>
  <si>
    <t xml:space="preserve">2 Rue Jean Mermoz, Annecy, Auvergne-Rhone-Alpes, France, 74940</t>
  </si>
  <si>
    <t xml:space="preserve">The Roster Lifestyle Burgers | Burgers copieux, locaux &amp; abordables | basé 
à Annecy, Chambéry, Grenoble, Lyon &amp; Chamonix | Ouvert 7j/7 | Sur Place, à 
emporter, Livraison &amp; Click&amp;Collect | Veggie friendly |</t>
  </si>
  <si>
    <t>Monnier</t>
  </si>
  <si>
    <t xml:space="preserve">Founder &amp; CTO</t>
  </si>
  <si>
    <t>HubRise</t>
  </si>
  <si>
    <t>amonnier@hubrise.com</t>
  </si>
  <si>
    <t>http://www.linkedin.com/in/antoinemonnier</t>
  </si>
  <si>
    <t>http://www.hubrise.com</t>
  </si>
  <si>
    <t xml:space="preserve">Valbonne, Provence-Alpes-Cote d'Azur, France</t>
  </si>
  <si>
    <t xml:space="preserve">HubRise is a developer friendly solution to connect to a growing ecosystem of retail and hospitality solutions with a single integration.</t>
  </si>
  <si>
    <t>Julien</t>
  </si>
  <si>
    <t>Gantheret</t>
  </si>
  <si>
    <t>GALLIKA</t>
  </si>
  <si>
    <t>julien@gallika.fr</t>
  </si>
  <si>
    <t>http://www.linkedin.com/in/julien-gantheret-a9574820</t>
  </si>
  <si>
    <t>http://www.gallika.fr</t>
  </si>
  <si>
    <t xml:space="preserve">7 Rue Godot de Mauroy, Paris, Ile-de-France, France, 75009</t>
  </si>
  <si>
    <t xml:space="preserve">À la grecque comme à la maison, composez vos bols et vos pitas selon vos 
goûts à déguster sur place, à emporter ou en livraison.</t>
  </si>
  <si>
    <t>Rudy</t>
  </si>
  <si>
    <t>Cohen-Scali</t>
  </si>
  <si>
    <t xml:space="preserve">CEO / Property manager</t>
  </si>
  <si>
    <t>Paris'nb</t>
  </si>
  <si>
    <t>rudy@parisnb.fr</t>
  </si>
  <si>
    <t>http://www.linkedin.com/in/rudy-cohen-paris</t>
  </si>
  <si>
    <t>http://www.parisnb.fr</t>
  </si>
  <si>
    <t xml:space="preserve">34 Rue Delambre, Paris, Ile-de-France, France, 75014</t>
  </si>
  <si>
    <t>Touboul</t>
  </si>
  <si>
    <t xml:space="preserve">Co fondateur PEPPERICO</t>
  </si>
  <si>
    <t>Pepperico</t>
  </si>
  <si>
    <t>didier.touboul@pepperico.com</t>
  </si>
  <si>
    <t>http://www.linkedin.com/in/didier-touboul-4203a936</t>
  </si>
  <si>
    <t>http://www.pepperico.fr</t>
  </si>
  <si>
    <t xml:space="preserve">Velizy-Villacoublay, Ile-de-France, France, 78140</t>
  </si>
  <si>
    <t>Eric</t>
  </si>
  <si>
    <t>Petrotto</t>
  </si>
  <si>
    <t xml:space="preserve">Co-fondateur - Président directeur général</t>
  </si>
  <si>
    <t xml:space="preserve">La Fabuleuse Cantine</t>
  </si>
  <si>
    <t>eric.petrotto@lafabuleusecantine.fr</t>
  </si>
  <si>
    <t>http://www.linkedin.com/in/eric-petrotto-12297317</t>
  </si>
  <si>
    <t>http://www.lafabuleusecantine.fr</t>
  </si>
  <si>
    <t xml:space="preserve">Rue Claudius Ravachol, Saint-Etienne, Auvergne-Rhone-Alpes, France, 42000</t>
  </si>
  <si>
    <t xml:space="preserve">La Fabuleuse Cantine est une franchise de restaurant qui lutte contre le gaspillage alimentaire avec une cuisine créative. En savoir plus.</t>
  </si>
  <si>
    <t>Bertrand</t>
  </si>
  <si>
    <t>Gasnier</t>
  </si>
  <si>
    <t xml:space="preserve">C'EST MON DONUTS</t>
  </si>
  <si>
    <t>bertrand.gasnier@cestmondonuts.fr</t>
  </si>
  <si>
    <t>http://www.linkedin.com/in/bertrand-gasnier</t>
  </si>
  <si>
    <t>http://www.cestmondonuts.fr</t>
  </si>
  <si>
    <t>Aziz</t>
  </si>
  <si>
    <t>Karym</t>
  </si>
  <si>
    <t>akarym@911dc.com</t>
  </si>
  <si>
    <t>http://www.linkedin.com/in/aziz-karym-398392175</t>
  </si>
  <si>
    <t>Chenove</t>
  </si>
  <si>
    <t>Morel</t>
  </si>
  <si>
    <t>julien.morel@lafabuleusecantine.fr</t>
  </si>
  <si>
    <t>http://www.linkedin.com/in/julien-morel-0a713227</t>
  </si>
  <si>
    <t>Saint-Etienne</t>
  </si>
  <si>
    <t>Boissaye</t>
  </si>
  <si>
    <t xml:space="preserve">directeur général</t>
  </si>
  <si>
    <t xml:space="preserve">PERCHOIR GROUP</t>
  </si>
  <si>
    <t>adrien@leperchoir.fr</t>
  </si>
  <si>
    <t>http://www.linkedin.com/in/adrien-boissaye-92a12250</t>
  </si>
  <si>
    <t>http://www.leperchoir.fr</t>
  </si>
  <si>
    <t xml:space="preserve">14 Rue Crespin du Gast, Paris, Ile-de-France, France, 75011</t>
  </si>
  <si>
    <t xml:space="preserve">Le Perchoir Group compte aujourd'hui 6 établissements construits sur son ADN épicurien : l'amour de la fête, des rencontres artistiques et culinaires.</t>
  </si>
  <si>
    <t>Gregoire</t>
  </si>
  <si>
    <t>Aubron</t>
  </si>
  <si>
    <t xml:space="preserve">Jardin des douars</t>
  </si>
  <si>
    <t>greg@jardindesdouars.com</t>
  </si>
  <si>
    <t>http://www.linkedin.com/in/gr%c3%a9goire-aubron-7a43092</t>
  </si>
  <si>
    <t>http://www.jardindesdouars.com</t>
  </si>
  <si>
    <t>Lille</t>
  </si>
  <si>
    <t xml:space="preserve">زنقة سيدي ياسين, Essaouira, Marrakesh-Safi, Morocco</t>
  </si>
  <si>
    <t>Morocco</t>
  </si>
  <si>
    <t xml:space="preserve">Hotel Jardin des Douars is luxury hotel in Essaouira that invites you to explore nature and have fun. We offer a full line of accommodation including rooms, suites, and villas. Also enjoy our wellness service, and you could book our venues for events.</t>
  </si>
  <si>
    <t>Achille</t>
  </si>
  <si>
    <t>Landron</t>
  </si>
  <si>
    <t xml:space="preserve">NŪ Lille</t>
  </si>
  <si>
    <t>achille@nu-lille.fr</t>
  </si>
  <si>
    <t>http://www.linkedin.com/in/achille-landron-7a7577117</t>
  </si>
  <si>
    <t>http://www.nu-lille.fr</t>
  </si>
  <si>
    <t xml:space="preserve">Lille, Hauts-de-France, France</t>
  </si>
  <si>
    <t xml:space="preserve">NŪ, nouveau restaurant, bar, rooftop, terrasse à Lille. Cuisine de
partage et cocktails dans une ambiance chic et festive. DJ sets et
artistes en soirée....</t>
  </si>
  <si>
    <t>Cyndie</t>
  </si>
  <si>
    <t>Berenguier</t>
  </si>
  <si>
    <t xml:space="preserve">Hôtel Norman Paris</t>
  </si>
  <si>
    <t>c.berenguier@hotelnorman.com</t>
  </si>
  <si>
    <t>http://www.linkedin.com/in/cyndie-berenguier-885a287a</t>
  </si>
  <si>
    <t>http://www.hotelnorman.com</t>
  </si>
  <si>
    <t xml:space="preserve">9 Rue Balzac, Paris, Ile-de-France, France, 75008</t>
  </si>
  <si>
    <t xml:space="preserve">Welcome to Norman Hotel &amp; Spa, a new boutique hotel located steps from the Arc de Triomphe and the Champs Elysées. Official site, best rate guarantee!</t>
  </si>
  <si>
    <t>Pascal</t>
  </si>
  <si>
    <t>L.</t>
  </si>
  <si>
    <t xml:space="preserve">Domaine de Barive</t>
  </si>
  <si>
    <t>pascal.leromain@lesmaisonsprivees.com</t>
  </si>
  <si>
    <t>http://www.linkedin.com/in/pascal-l-59b44219</t>
  </si>
  <si>
    <t>http://www.domainedebarive.com</t>
  </si>
  <si>
    <t>Sainte-Preuve</t>
  </si>
  <si>
    <t xml:space="preserve">Sainte-Preuve, Picardy, France</t>
  </si>
  <si>
    <t>Alain</t>
  </si>
  <si>
    <t xml:space="preserve">Co-fondateur &amp; responsable de partenariats</t>
  </si>
  <si>
    <t>alain@miam-family.com</t>
  </si>
  <si>
    <t>http://www.linkedin.com/in/alain-rozand-31021a262</t>
  </si>
  <si>
    <t>Dayan</t>
  </si>
  <si>
    <t>Directeur-fondateur</t>
  </si>
  <si>
    <t>HIGHSTAY</t>
  </si>
  <si>
    <t>e.dayan@highstay.com</t>
  </si>
  <si>
    <t>http://www.linkedin.com/in/eric-dayan-2b7b3512b</t>
  </si>
  <si>
    <t>http://www.highstay.com</t>
  </si>
  <si>
    <t xml:space="preserve">336 Rue Saint-Honore, Paris, Ile-de-France, France, 75001</t>
  </si>
  <si>
    <t xml:space="preserve">Discover our selection of upscale apartments in Paris, designed by architects and ideally located in the city’s most exclusive neighborhoods</t>
  </si>
  <si>
    <t>Marques</t>
  </si>
  <si>
    <t xml:space="preserve">CEO and Founder</t>
  </si>
  <si>
    <t xml:space="preserve">Annette K</t>
  </si>
  <si>
    <t>sebastien@annettek.fr</t>
  </si>
  <si>
    <t>http://www.linkedin.com/in/s%c3%a9bastien-marques-4913148b</t>
  </si>
  <si>
    <t>http://www.annettek.fr</t>
  </si>
  <si>
    <t xml:space="preserve">Annette K., c’est un grand bateau au coeur de Paris dédié au sport, au bien-être, mais aussi à la fête et à la culture.</t>
  </si>
  <si>
    <t>Kevin</t>
  </si>
  <si>
    <t>Favergeaud</t>
  </si>
  <si>
    <t xml:space="preserve">CTO • Co-founder</t>
  </si>
  <si>
    <t>Delicity</t>
  </si>
  <si>
    <t>kev@delicity.co</t>
  </si>
  <si>
    <t>http://www.linkedin.com/in/kevin-favergeaud-52276b155</t>
  </si>
  <si>
    <t>http://www.delicity.com</t>
  </si>
  <si>
    <t xml:space="preserve">Faites des économies | Livreurs &amp; les Restaurateurs mieux Rémunérés ! Commandez dès Maintenant</t>
  </si>
  <si>
    <t>Yaech</t>
  </si>
  <si>
    <t>Darcissac</t>
  </si>
  <si>
    <t xml:space="preserve">Burger n'co Développement</t>
  </si>
  <si>
    <t>onclesam@burgernco.fr</t>
  </si>
  <si>
    <t>http://www.linkedin.com/in/yaech-darcissac-068a6ab5</t>
  </si>
  <si>
    <t>http://www.tellmehow.fr</t>
  </si>
  <si>
    <t xml:space="preserve">14 Rue Aristide Ollivier, Montpellier, Occitanie, France, 34000</t>
  </si>
  <si>
    <t>Lisa</t>
  </si>
  <si>
    <t>Rankin</t>
  </si>
  <si>
    <t xml:space="preserve">Flavors of Paris</t>
  </si>
  <si>
    <t>lisa@flavorsofparis.com</t>
  </si>
  <si>
    <t>http://www.linkedin.com/in/rankin</t>
  </si>
  <si>
    <t>http://www.flavorsofparis.com</t>
  </si>
  <si>
    <t>Vanves</t>
  </si>
  <si>
    <t xml:space="preserve">60 Rue Cambronne, Paris, Ile-de-France, France, 75015</t>
  </si>
  <si>
    <t>Grant</t>
  </si>
  <si>
    <t xml:space="preserve">Managing Director and Founder</t>
  </si>
  <si>
    <t xml:space="preserve">Black Olive Collection</t>
  </si>
  <si>
    <t>lisa.grant@blackolivecollection.com</t>
  </si>
  <si>
    <t>http://www.linkedin.com/in/lisa-grant-46b10a10</t>
  </si>
  <si>
    <t>http://www.blackolivecollection.com</t>
  </si>
  <si>
    <t xml:space="preserve">Black Olive Collection has handpicked some of the finest luxury hotels for you. Outsourced representation in the areas of sales and marketing in France.</t>
  </si>
  <si>
    <t>Timothy</t>
  </si>
  <si>
    <t>Olson</t>
  </si>
  <si>
    <t xml:space="preserve">The Bordeaux Concierge</t>
  </si>
  <si>
    <t>timothy@thebordeauxconcierge.com</t>
  </si>
  <si>
    <t>http://www.linkedin.com/in/timothy-olson-b814017</t>
  </si>
  <si>
    <t>http://www.thebordeauxconcierge.com</t>
  </si>
  <si>
    <t xml:space="preserve">Bordeaux, Nouvelle-Aquitaine, France</t>
  </si>
  <si>
    <t xml:space="preserve">Wine travel experts specializing in tailor-made private wine experiences, 
itineraries and celebrations for wine lovers throughout the fine wine 
regions of France including Bordeaux, Burgundy, Champagne, Cognac and 
Paris. Services include organization of luxury accommodations, private 
transportation, restaurant reservations, private dining, private tours with 
private guides, culinary experiences.</t>
  </si>
  <si>
    <t>James</t>
  </si>
  <si>
    <t>Hodson</t>
  </si>
  <si>
    <t xml:space="preserve">Go Montgenevre</t>
  </si>
  <si>
    <t>james.hodson@go-montgenevre.com</t>
  </si>
  <si>
    <t>http://www.linkedin.com/in/hodsonjames</t>
  </si>
  <si>
    <t>http://www.go-montgenevre.com</t>
  </si>
  <si>
    <t>Briancon</t>
  </si>
  <si>
    <t xml:space="preserve">Montgenevre, Provence-Alpes-Cote d'Azur, France, 05100</t>
  </si>
  <si>
    <t xml:space="preserve">We help you find the adventure, fun &amp; relaxation that reconnects you with others.  We do this through exceptional holidays in Montgenèvre. Book with us now.</t>
  </si>
  <si>
    <t>Romera</t>
  </si>
  <si>
    <t xml:space="preserve">CEO - Fondateur Sacré Armand</t>
  </si>
  <si>
    <t xml:space="preserve">SACRE ARMAND</t>
  </si>
  <si>
    <t>damien@sacrefernand.com</t>
  </si>
  <si>
    <t>http://www.linkedin.com/in/damien-romera</t>
  </si>
  <si>
    <t>http://www.sacrearmand.com</t>
  </si>
  <si>
    <t>Carcassonne</t>
  </si>
  <si>
    <t xml:space="preserve">129 Rue Lamarck, Carcassonne, Occitanie, France, 11000</t>
  </si>
  <si>
    <t>Andre</t>
  </si>
  <si>
    <t>kawaa</t>
  </si>
  <si>
    <t>kevin@kawaa.co</t>
  </si>
  <si>
    <t>http://www.linkedin.com/in/kevin-andr%c3%a9-63560b49</t>
  </si>
  <si>
    <t>http://www.kawaa.co</t>
  </si>
  <si>
    <t xml:space="preserve">24 Avenue Daumesnil, Paris, Ile-de-France, France, 75012</t>
  </si>
  <si>
    <t xml:space="preserve">Kawaa développe des lieux de vie pour créer du lien social en coeur de ville.</t>
  </si>
  <si>
    <t>Florent</t>
  </si>
  <si>
    <t>Parnot</t>
  </si>
  <si>
    <t xml:space="preserve">Sea Green Resort</t>
  </si>
  <si>
    <t>florent.parnot@seagreen.fr</t>
  </si>
  <si>
    <t>http://www.linkedin.com/in/florent-parnot-a8526544</t>
  </si>
  <si>
    <t>http://www.seagreen-campings.com</t>
  </si>
  <si>
    <t xml:space="preserve">13 Avenue Descartes, Artigues-pres-Bordeaux, Aquitaine, France, 33370</t>
  </si>
  <si>
    <t xml:space="preserve">Vos futures vacances dans notre collection de campings 4 et 5 étoiles. Hébergements de charme, animations, bord de mer &amp; parcs aquatiques. Côte d’Emeraude, Morbihan, Vendée, Ile de Ré, Arcachon, Vallée Dordogne, Pays Basque… Idéal en famille, couple ou pour organiser vos événements privés &amp; d’entreprise.</t>
  </si>
  <si>
    <t>Mathieu</t>
  </si>
  <si>
    <t>Dacheville</t>
  </si>
  <si>
    <t xml:space="preserve">Président &amp; Co-fondateur</t>
  </si>
  <si>
    <t xml:space="preserve">Yoomy Food Group</t>
  </si>
  <si>
    <t>mathieu@yoomyfoodgroup.com</t>
  </si>
  <si>
    <t>http://www.linkedin.com/in/mathieu-dacheville-2a968777</t>
  </si>
  <si>
    <t>http://www.yoomyfoodgroup.com</t>
  </si>
  <si>
    <t xml:space="preserve">98 Rue Jean-Pierre Timbaud, Paris, Ile-de-France, France, 75011</t>
  </si>
  <si>
    <t>Ludovic</t>
  </si>
  <si>
    <t>Flipo</t>
  </si>
  <si>
    <t xml:space="preserve">Aux Enfants Terribles</t>
  </si>
  <si>
    <t>ludovic@auxenfantsterribles.fr</t>
  </si>
  <si>
    <t>http://www.linkedin.com/in/ludovic-flipo-40a77748</t>
  </si>
  <si>
    <t>http://www.auxenfantsterribles.fr</t>
  </si>
  <si>
    <t xml:space="preserve">Marquette-lez-Lille, Hauts-de-France, France</t>
  </si>
  <si>
    <t xml:space="preserve">Restaurant, bar, salle de spectacle, brasserie... Chez Aux Enfants Terribles, on sait s'amuser et bien manger ! Réservez votre table !</t>
  </si>
  <si>
    <t>Cosmin</t>
  </si>
  <si>
    <t>Remetea</t>
  </si>
  <si>
    <t xml:space="preserve">Amis de Voyage</t>
  </si>
  <si>
    <t>cosmin@wediscover.it</t>
  </si>
  <si>
    <t>http://www.linkedin.com/in/cosminremetea</t>
  </si>
  <si>
    <t>http://www.wediscover.it</t>
  </si>
  <si>
    <t xml:space="preserve">Bagnolet, Ile-de-France, France</t>
  </si>
  <si>
    <t>Nathalie</t>
  </si>
  <si>
    <t>Volle</t>
  </si>
  <si>
    <t xml:space="preserve">Chateau St Pierre de Serjac ****</t>
  </si>
  <si>
    <t>n.volle@serjac.com</t>
  </si>
  <si>
    <t>http://www.linkedin.com/in/nathalie-volle-6691784b</t>
  </si>
  <si>
    <t>http://www.serjac.com</t>
  </si>
  <si>
    <t xml:space="preserve">Ancien Chemin de Beziers a Magalas, Puissalicon, Occitanie, France, 34480</t>
  </si>
  <si>
    <t xml:space="preserve">Official Website ✅ Best Rates in Direct: Spa Hotel &amp; Luxury Villas near Béziers with restaurant and vineyard in the heart of Languedoc. Book on our website.</t>
  </si>
  <si>
    <t>Romuald</t>
  </si>
  <si>
    <t>Tahari</t>
  </si>
  <si>
    <t xml:space="preserve">Fiap-Paris Hébergement &amp; Séminaires</t>
  </si>
  <si>
    <t>tahari@fiap.fr</t>
  </si>
  <si>
    <t>http://www.linkedin.com/in/romuald-tahari-8597a369</t>
  </si>
  <si>
    <t>http://www.fiap.paris</t>
  </si>
  <si>
    <t xml:space="preserve">30 Rue Cabanis, Paris, Ile-de-France, France, 75014</t>
  </si>
  <si>
    <t>Laure</t>
  </si>
  <si>
    <t>Poirier</t>
  </si>
  <si>
    <t xml:space="preserve">CO-FONDATRICE RESTAURANT GASTRONOMIQUE &amp; EVENEMENTIEL</t>
  </si>
  <si>
    <t xml:space="preserve">Restaurant Le Garden</t>
  </si>
  <si>
    <t>laure.poirier@le-garden.com</t>
  </si>
  <si>
    <t>http://www.linkedin.com/in/lauremenes</t>
  </si>
  <si>
    <t>http://www.le-garden.com</t>
  </si>
  <si>
    <t xml:space="preserve">29 Quai de Bonneuil, Saint-Maur-des-Fosses, Ile-de-France, France, 94100</t>
  </si>
  <si>
    <t>Julie</t>
  </si>
  <si>
    <t>Chanut</t>
  </si>
  <si>
    <t xml:space="preserve">Les Lodges Sainte Victoire Hôtel &amp; Spa *****</t>
  </si>
  <si>
    <t>direction@llsv.fr</t>
  </si>
  <si>
    <t>http://www.linkedin.com/in/juliechanut</t>
  </si>
  <si>
    <t>http://www.leslodgessaintevictoire.com</t>
  </si>
  <si>
    <t>Aix-en-Provence</t>
  </si>
  <si>
    <t xml:space="preserve">2250 Route Cezanne, Le Tholonet, Provence-Alpes-Cote d'Azur, France, 13100</t>
  </si>
  <si>
    <t xml:space="preserve">SITE OFFICIEL® - Les Lodges Sainte Victoire - Hôtel 5 étoiles &amp; Spa Aix en Provence - Découvrez un lieu unique ! Lodges privatifs, hôtel de luxe, 5 étoiles spa et restaurant gastronomique : Les Lodges Sainte-Victoire vous promettent des séjours inoubliables en Provence.</t>
  </si>
  <si>
    <t>Meng-Sear</t>
  </si>
  <si>
    <t>Taing</t>
  </si>
  <si>
    <t xml:space="preserve">Chef pâtissier co-fondateur</t>
  </si>
  <si>
    <t xml:space="preserve">La maison du Donut</t>
  </si>
  <si>
    <t>mengsear.taing@lamaisondudonut.fr</t>
  </si>
  <si>
    <t>http://www.linkedin.com/in/meng-sear-taing-46608b147</t>
  </si>
  <si>
    <t>http://www.lamaisondudonut.fr</t>
  </si>
  <si>
    <t xml:space="preserve">7 Rue des Manneliers, Lille, Hauts-de-France, France, 59800</t>
  </si>
  <si>
    <t xml:space="preserve">Donuts artisanaux, frais du jour, 100% made in France. Retrouvez-nous au cœur de Lille, à la Vieille Bourse !</t>
  </si>
  <si>
    <t>Florian</t>
  </si>
  <si>
    <t>Bitker</t>
  </si>
  <si>
    <t xml:space="preserve">Drawing House</t>
  </si>
  <si>
    <t>florian.bitker@drawinghouse.com</t>
  </si>
  <si>
    <t>http://www.linkedin.com/in/florian-bitker</t>
  </si>
  <si>
    <t>http://www.drawinghouse.com</t>
  </si>
  <si>
    <t xml:space="preserve">21 Rue Vercingetorix, Paris, Ile-de-France, France, 75014</t>
  </si>
  <si>
    <t xml:space="preserve">La Drawing House, un hôtel inspirant proche de la Gare Montparnasse, vous souhaite la bienvenue sur son site officiel. Réservez en direct et bénéficiez des meilleurs tarifs.</t>
  </si>
  <si>
    <t>Stomboli</t>
  </si>
  <si>
    <t xml:space="preserve">Ternélia Les Grands Massifs</t>
  </si>
  <si>
    <t>arnaud.stomboli@ternelia.com</t>
  </si>
  <si>
    <t>http://www.linkedin.com/in/arnaud-stomboli-a8195129</t>
  </si>
  <si>
    <t>http://www.ternelia-grandsmassifs.com</t>
  </si>
  <si>
    <t xml:space="preserve">123 Route des Servages, Araches-la-Frasse, Auvergne-Rhone-Alpes, France, 74300</t>
  </si>
  <si>
    <t>Lakhdar</t>
  </si>
  <si>
    <t>Laouar</t>
  </si>
  <si>
    <t xml:space="preserve">Hotel Eden Paris</t>
  </si>
  <si>
    <t>laouar.lakhdar@neuf.fr</t>
  </si>
  <si>
    <t>http://www.linkedin.com/in/lakhdar-laouar-b53aaa95</t>
  </si>
  <si>
    <t>http://www.hoteledenparis.com</t>
  </si>
  <si>
    <t xml:space="preserve">110 Rue Blomet, Paris, Ile-de-France, France, 75015</t>
  </si>
  <si>
    <t xml:space="preserve">L’ Hotel Eden Paris, un Hotel Porte de Versailles Paris, 4 étoiles, vous accueille dans un lieu ou vous pourrez allier travail et relaxation… Meilleur tarif garanti sur notre site officiel !</t>
  </si>
  <si>
    <t>Guarrera</t>
  </si>
  <si>
    <t xml:space="preserve">Groupe La Bonbonnière</t>
  </si>
  <si>
    <t>recrutement@labonbonniere.eu</t>
  </si>
  <si>
    <t>http://www.linkedin.com/in/laurent-guarrera-aa9278236</t>
  </si>
  <si>
    <t>http://www.labonbonniere.eu</t>
  </si>
  <si>
    <t xml:space="preserve">12 Rue Martel, Paris, Ile-de-France, France, 75010</t>
  </si>
  <si>
    <t>Lefresne</t>
  </si>
  <si>
    <t xml:space="preserve">AEROPORT CHATEAUROUX CENTRE</t>
  </si>
  <si>
    <t>didier.lefresne@chateauroux-airport.com</t>
  </si>
  <si>
    <t>http://www.linkedin.com/in/didier-lefresne-780b0581</t>
  </si>
  <si>
    <t>http://www.chateauroux-airport.com</t>
  </si>
  <si>
    <t>Chateauroux</t>
  </si>
  <si>
    <t xml:space="preserve">Deols, Centre-Val de Loire, France, 36130</t>
  </si>
  <si>
    <t>Maxence</t>
  </si>
  <si>
    <t>Dussart</t>
  </si>
  <si>
    <t>Leitmotiv</t>
  </si>
  <si>
    <t>maxence@stellerhotels.com</t>
  </si>
  <si>
    <t>http://www.linkedin.com/in/maxencedussart</t>
  </si>
  <si>
    <t>http://www.leitmotiv.fr</t>
  </si>
  <si>
    <t xml:space="preserve">6 Rue Clement Marot, Paris, Ile-de-France, France, 75008</t>
  </si>
  <si>
    <t xml:space="preserve">Welcome to Leitmotiv. From Paris to Rome and Megève - distinctive rhythms unique to place. A leitmotiv to return to again and again.</t>
  </si>
  <si>
    <t>Youssef</t>
  </si>
  <si>
    <t>Oudahman</t>
  </si>
  <si>
    <t>Cofounder</t>
  </si>
  <si>
    <t xml:space="preserve">Meet My Mama</t>
  </si>
  <si>
    <t>youssef@meetmymama.com</t>
  </si>
  <si>
    <t>http://www.linkedin.com/in/youssefoudahman</t>
  </si>
  <si>
    <t>http://www.meetmymama.com</t>
  </si>
  <si>
    <t xml:space="preserve">25 Rue du Petit-Musc, Paris, Ile-de-France, France, 75004</t>
  </si>
  <si>
    <t xml:space="preserve">Meet My Mama révèle les talents culinaires des Mamas du monde entier. Traiteur engagé et responsable, tout est cuisiné avec amour par nos Mamas.</t>
  </si>
  <si>
    <t>Piel</t>
  </si>
  <si>
    <t xml:space="preserve">Hotels En Ville</t>
  </si>
  <si>
    <t>cpiel@hotelsenville.com</t>
  </si>
  <si>
    <t>http://www.linkedin.com/in/caroline-piel-9817135</t>
  </si>
  <si>
    <t>http://www.hotelsenville.com</t>
  </si>
  <si>
    <t xml:space="preserve">128 Rue La Boetie, Paris, Ile-de-France, France, 75008</t>
  </si>
  <si>
    <t xml:space="preserve">Hotels en Ville met à votre service son expertise reconnue dans le conseil, l'assistance à maîtrise d'ouvrage et l'exploitation de vos projets hôteliers.</t>
  </si>
  <si>
    <t>Clemence</t>
  </si>
  <si>
    <t>Rousseau-Dumarcet</t>
  </si>
  <si>
    <t xml:space="preserve">Co-founder &amp; CEO at Nutchel</t>
  </si>
  <si>
    <t>Nutchel</t>
  </si>
  <si>
    <t>clemence@nutchel.be</t>
  </si>
  <si>
    <t>http://www.linkedin.com/in/cl%c3%a9mence-rousseau-dumarcet-742a883</t>
  </si>
  <si>
    <t>http://www.nutchel.be</t>
  </si>
  <si>
    <t xml:space="preserve">19 Bastnicherstrooss, Pommerlach, Distrikt Dikrech, Luxembourg, 9638</t>
  </si>
  <si>
    <t>Luxembourg</t>
  </si>
  <si>
    <t xml:space="preserve">Disconnect from your routine and reconnect to nature and your loved ones in the Nutchel cabins. Book your romantic stay or your family holidays now!</t>
  </si>
  <si>
    <t>Hamaied</t>
  </si>
  <si>
    <t>Shaiek</t>
  </si>
  <si>
    <t xml:space="preserve">Sun Location !</t>
  </si>
  <si>
    <t>shaiek@sunlocation.com</t>
  </si>
  <si>
    <t>http://www.linkedin.com/in/shaiek</t>
  </si>
  <si>
    <t>http://www.sunlocation.com</t>
  </si>
  <si>
    <t xml:space="preserve">Le Pont-de-Beauvoisin</t>
  </si>
  <si>
    <t xml:space="preserve">Avenue Jean Moulin, Le Pont-de-Beauvoisin, Auvergne-Rhone-Alpes, France, 73330</t>
  </si>
  <si>
    <t xml:space="preserve">Réservez une location de vacances rien que pour vous ! Plus de 100.000 villas, appartements, maison avec piscine et chalets. Réservation instantanée et 100% sécurisé.</t>
  </si>
  <si>
    <t>Norman</t>
  </si>
  <si>
    <t>Kolton</t>
  </si>
  <si>
    <t xml:space="preserve">Fondateur and CEO</t>
  </si>
  <si>
    <t xml:space="preserve">STREET Bangkok</t>
  </si>
  <si>
    <t>norman.kolton@streetbangkok.fr</t>
  </si>
  <si>
    <t>http://www.linkedin.com/in/norman-kolton-64232226</t>
  </si>
  <si>
    <t>http://www.streetbangkok.fr</t>
  </si>
  <si>
    <t xml:space="preserve">3 Rue Eugene Varlin, Paris, Ile-de-France, France, 75010</t>
  </si>
  <si>
    <t xml:space="preserve">Les grillades façon STREET sur le feu ? Les canards laqués ? Les currys généreux ? Bienvenue chez Street Bangkok, faites comme à la maison.</t>
  </si>
  <si>
    <t>Yassine</t>
  </si>
  <si>
    <t>Abied</t>
  </si>
  <si>
    <t>CARNIUM</t>
  </si>
  <si>
    <t>yassine.abied@carnium.fr</t>
  </si>
  <si>
    <t>http://www.linkedin.com/in/yassine-abied</t>
  </si>
  <si>
    <t>http://www.carnium.fr</t>
  </si>
  <si>
    <t xml:space="preserve">3 Avenue de la Republique, Vincennes, Ile-de-France, France, 94300</t>
  </si>
  <si>
    <t>Miramont</t>
  </si>
  <si>
    <t xml:space="preserve">Cofounder and Partner / Catering</t>
  </si>
  <si>
    <t xml:space="preserve">Banoi Paris</t>
  </si>
  <si>
    <t>pmiramont@quantalys.com</t>
  </si>
  <si>
    <t>http://www.linkedin.com/in/pierremiramont</t>
  </si>
  <si>
    <t>http://www.banoi.fr</t>
  </si>
  <si>
    <t xml:space="preserve">Chez Banoi, le rouleau de printemps est un plat. Comme au Vietnam. On le déguste seul, accompagné d'une soupe coco, de bouchées de banh-mi ou mˆme d'un verre de vin blacn. Tout est préparé sur place, avec nos petites mains et les légumes du marché voisin. Des rouleaux aux desserts nos recettes sont toutes faites maison et se déclinent au gré de nos inspirations.</t>
  </si>
  <si>
    <t>Jan</t>
  </si>
  <si>
    <t>Grinsven</t>
  </si>
  <si>
    <t>PDG</t>
  </si>
  <si>
    <t xml:space="preserve">Château les Merles</t>
  </si>
  <si>
    <t>jan@lesmerles.com</t>
  </si>
  <si>
    <t>http://www.linkedin.com/in/jan-van-grinsven-82214420</t>
  </si>
  <si>
    <t>http://www.lesmerles.com</t>
  </si>
  <si>
    <t xml:space="preserve">3 Chemin des Merles, Mouleydier, Aquitaine, France, 24520</t>
  </si>
  <si>
    <t xml:space="preserve">Château Les Merles 4 étoiles avec piscine en Dordogne, restaurant gastronomique, villas et parcours de golf , à côté de Bergerac.</t>
  </si>
  <si>
    <t>Viriot</t>
  </si>
  <si>
    <t xml:space="preserve">Koawa Vacances</t>
  </si>
  <si>
    <t>eric@koawa-vacances.com</t>
  </si>
  <si>
    <t>http://www.linkedin.com/in/eric-viriot-4a70b5101</t>
  </si>
  <si>
    <t>http://www.koawa-vacances.com</t>
  </si>
  <si>
    <t>Pierrelatte</t>
  </si>
  <si>
    <t xml:space="preserve">13 Rue Paul Sabatier, Pierrelatte, Auvergne-Rhone-Alpes, France, 26700</t>
  </si>
  <si>
    <t xml:space="preserve">Découvrez les plus beaux campings 4 et 5 étoiles et réservez vos prochaines vacances en France avec Ciela Village !</t>
  </si>
  <si>
    <t>Delaitre</t>
  </si>
  <si>
    <t xml:space="preserve">Bonterra Resort</t>
  </si>
  <si>
    <t>christophe@bonterraresort.com</t>
  </si>
  <si>
    <t>http://www.linkedin.com/in/christophe-jl-delaitre-1388a02</t>
  </si>
  <si>
    <t>http://www.bonterraresort.com</t>
  </si>
  <si>
    <t>Valence</t>
  </si>
  <si>
    <t xml:space="preserve">47 Avinguda de Barcelona, Benicassim, Valencian Community, Spain, 12560</t>
  </si>
  <si>
    <t>Spain</t>
  </si>
  <si>
    <t>David</t>
  </si>
  <si>
    <t>PocketCamp</t>
  </si>
  <si>
    <t>franck@pocketcamp.fr</t>
  </si>
  <si>
    <t>http://www.linkedin.com/in/franck-david-691795136</t>
  </si>
  <si>
    <t>http://www.pocketcamp.fr</t>
  </si>
  <si>
    <t xml:space="preserve">5 Parvis Alan Turing, Paris, Ile-de-France, France, 75013</t>
  </si>
  <si>
    <t xml:space="preserve">Découvrez Pocketcamp, l'application des campings pour communiquer avec leurs vacanciers. Livret d'accueil numérique, conciergerie en ligne, notre application vous simplifie la vie!</t>
  </si>
  <si>
    <t>Charlie</t>
  </si>
  <si>
    <t>Lesellier</t>
  </si>
  <si>
    <t>Co-dirigeant</t>
  </si>
  <si>
    <t>rousseaulesellier</t>
  </si>
  <si>
    <t>charlie@rousseaulesellier.com</t>
  </si>
  <si>
    <t>http://www.linkedin.com/in/charlie-lesellier-1b2a3767</t>
  </si>
  <si>
    <t>http://www.rousseaulesellier.com</t>
  </si>
  <si>
    <t xml:space="preserve">4 Rue de Marivaux, Paris, Ile-de-France, France, 75002</t>
  </si>
  <si>
    <t xml:space="preserve">Rousseaulesellier est spécialiste de la restauration et de l'agro-alimentaire - Conseil culinaire, photographie culinaire, consulting company food, food industry &amp; catering - culinary photography - FOOD Addict!</t>
  </si>
  <si>
    <t>Rateau</t>
  </si>
  <si>
    <t xml:space="preserve">Excellence Riviera</t>
  </si>
  <si>
    <t>antoine@excellenceriviera.com</t>
  </si>
  <si>
    <t>http://www.linkedin.com/in/antoine-rateau-90b642135</t>
  </si>
  <si>
    <t>http://www.excellenceriviera.com</t>
  </si>
  <si>
    <t xml:space="preserve">9 Boulevard Louis Blanc, Saint-Tropez, Provence-Alpes-Cote d'Azur, France, 83990</t>
  </si>
  <si>
    <t xml:space="preserve">Tailor-made luxury stays - Excellence Riviera offers the most beautiful villas and prestigious yachts for rent on the French Riviera.</t>
  </si>
  <si>
    <t>Delamar</t>
  </si>
  <si>
    <t xml:space="preserve">Co-Fondatrice Ecotable</t>
  </si>
  <si>
    <t>Écotable</t>
  </si>
  <si>
    <t>camille@ecotable.fr</t>
  </si>
  <si>
    <t>http://www.linkedin.com/in/camille-delamar-1668731b</t>
  </si>
  <si>
    <t>http://www.ecotable.fr</t>
  </si>
  <si>
    <t xml:space="preserve">Une mesure d'impact et des outils pour les restaurateurs, un label de restauration durable pour les citoyens.</t>
  </si>
  <si>
    <t>Meunier</t>
  </si>
  <si>
    <t>Artichef</t>
  </si>
  <si>
    <t>julien@artichef.fr</t>
  </si>
  <si>
    <t>http://www.linkedin.com/in/julienmeunier75</t>
  </si>
  <si>
    <t>http://www.artichef.fr</t>
  </si>
  <si>
    <t xml:space="preserve">70 Rue de l'Ouest, Paris, Ile-de-France, France, 75014</t>
  </si>
  <si>
    <t xml:space="preserve">Artichef: 3 restaurants conviviaux à Paris : Papy aux Fourneaux, Mamie Chérie et Tonton Becton. Cuisine maison, groupes, privatisations</t>
  </si>
  <si>
    <t>Marco</t>
  </si>
  <si>
    <t>Morreale</t>
  </si>
  <si>
    <t xml:space="preserve">Antonio &amp; Marco</t>
  </si>
  <si>
    <t>m.morreale@antonioemarco.com</t>
  </si>
  <si>
    <t>http://www.linkedin.com/in/marco-morreale-274479164</t>
  </si>
  <si>
    <t>http://www.antoniomarcopizzeria.com</t>
  </si>
  <si>
    <t>Sainte-Foy-les-Lyon</t>
  </si>
  <si>
    <t xml:space="preserve">Tassin-la-Demi-Lune, Auvergne-Rhone-Alpes, France, 69160</t>
  </si>
  <si>
    <t>Frederic</t>
  </si>
  <si>
    <t>Veyrier</t>
  </si>
  <si>
    <t xml:space="preserve">La Villa Duflot</t>
  </si>
  <si>
    <t>f.veyrier@villa-duflot.com</t>
  </si>
  <si>
    <t>http://www.linkedin.com/in/fr%c3%a9d%c3%a9ric-veyrier-23b80ab</t>
  </si>
  <si>
    <t>http://www.villa-duflot.com</t>
  </si>
  <si>
    <t>Perpignan</t>
  </si>
  <si>
    <t xml:space="preserve">Perpignan, Occitanie, France, 66000</t>
  </si>
  <si>
    <t xml:space="preserve">SITE OFFICIEL - La Villa Duflot, Hôtel 4 étoiles à Perpignan - Chambres Confortables, Restaurant Gastronomique avec Piscine, Terrasse et vue sur le Jardin Arboré - Proche de l'Autoroute &amp; l'Aéroport</t>
  </si>
  <si>
    <t>Elisabeth</t>
  </si>
  <si>
    <t>Cervetti</t>
  </si>
  <si>
    <t xml:space="preserve">Emilie and the Cool Kids</t>
  </si>
  <si>
    <t>eliz@emiliescookies.com</t>
  </si>
  <si>
    <t>http://www.linkedin.com/in/elisabethcervetti</t>
  </si>
  <si>
    <t>http://www.emilieandthecoolkids.com</t>
  </si>
  <si>
    <t xml:space="preserve">1 Rue de la Prefecture, Nice, Provence-Alpes-Cote d'Azur, France, 06300</t>
  </si>
  <si>
    <t xml:space="preserve">Emilie and the Cool Kids est une chaine de cafés proposant des pâtisseries et des bagels dans une ambiance chaleureuse et hors norme.</t>
  </si>
  <si>
    <t>Philippe</t>
  </si>
  <si>
    <t>Cannatella</t>
  </si>
  <si>
    <t xml:space="preserve">Gusto Family</t>
  </si>
  <si>
    <t>philippe.cannatella@gustofamily.com</t>
  </si>
  <si>
    <t>http://www.linkedin.com/in/philippe-cannatella-10487b224</t>
  </si>
  <si>
    <t>http://www.gustofamily.com</t>
  </si>
  <si>
    <t xml:space="preserve">7 Place de l'Ile de Beaute, Nice, Provence-Alpes-Cote d'Azur, France, 06300</t>
  </si>
  <si>
    <t xml:space="preserve">Discover the Gusto Family group's Italian restaurants in Nice. Work in the restaurant business. Consult restaurant job offers.</t>
  </si>
  <si>
    <t>Bena</t>
  </si>
  <si>
    <t xml:space="preserve">Prévithal Thalasso Spa marin Resort Granville</t>
  </si>
  <si>
    <t>o.bena@previthal.com</t>
  </si>
  <si>
    <t>http://www.linkedin.com/in/olivierbena</t>
  </si>
  <si>
    <t>http://www.previthal.com</t>
  </si>
  <si>
    <t xml:space="preserve">Rue de l'Ermitage, Donville-les-Bains, Normandy, France, 50350</t>
  </si>
  <si>
    <t xml:space="preserve">Réservez votre futur séjour à la Thalasso Prévithal en ligne sur notre site que ce soit pour une cure, un court séjour ou un soin à la carte.</t>
  </si>
  <si>
    <t>Routil</t>
  </si>
  <si>
    <t>Cofondateur</t>
  </si>
  <si>
    <t xml:space="preserve">SLO Hostels</t>
  </si>
  <si>
    <t>julien@awayhostel.com</t>
  </si>
  <si>
    <t>http://www.linkedin.com/in/julienroutil</t>
  </si>
  <si>
    <t>http://www.slohostels.com</t>
  </si>
  <si>
    <t xml:space="preserve">21 Rue d'Alsace-Lorraine, Lyon, Auvergne-Rhone-Alpes, France, 69001</t>
  </si>
  <si>
    <t xml:space="preserve">Live an unforgettable stay in France in our beautiful hostels, nestled in the city center of Lyon and Nice !</t>
  </si>
  <si>
    <t>Salah</t>
  </si>
  <si>
    <t>Taoufik</t>
  </si>
  <si>
    <t xml:space="preserve">Co-Founder &amp; CEO</t>
  </si>
  <si>
    <t>ALYSIRIS</t>
  </si>
  <si>
    <t>s.taoufik@alysiris.com</t>
  </si>
  <si>
    <t>http://www.linkedin.com/in/salahtaoufik</t>
  </si>
  <si>
    <t>http://www.alysiris.com</t>
  </si>
  <si>
    <t xml:space="preserve">1 Cite Paradis, Paris, Ile-de-France, France, 75010</t>
  </si>
  <si>
    <t>Mincato</t>
  </si>
  <si>
    <t>Végéman</t>
  </si>
  <si>
    <t>cedric.mincato@velicious.fr</t>
  </si>
  <si>
    <t>http://www.linkedin.com/in/cedric-mincato</t>
  </si>
  <si>
    <t>http://www.vegeman.fr</t>
  </si>
  <si>
    <t xml:space="preserve">18 Rue des Bateliers, Strasbourg, Grand Est, France, 67000</t>
  </si>
  <si>
    <t xml:space="preserve">Fast food végan inspiré de la street-food !A la carte : des kebabs, dürüms, desserts et finger food 100% véganes.</t>
  </si>
  <si>
    <t>Adel</t>
  </si>
  <si>
    <t>Bourkia</t>
  </si>
  <si>
    <t xml:space="preserve">Owner &amp; Co-Founder</t>
  </si>
  <si>
    <t xml:space="preserve">VENDÔME Miami</t>
  </si>
  <si>
    <t>adel@vendome.miami</t>
  </si>
  <si>
    <t>http://www.linkedin.com/in/adel-bourkia-00729952</t>
  </si>
  <si>
    <t>http://www.vendome.miami</t>
  </si>
  <si>
    <t xml:space="preserve">743 Washington Ave, Miami Beach, Florida, United States, 33139-6209</t>
  </si>
  <si>
    <t xml:space="preserve">United States</t>
  </si>
  <si>
    <t xml:space="preserve">VENDÔME MIAMI, located at 743 Washington Avenue, is Miami Beach’s premiere 
nightlife destination. Taking its name from Place Vendôme, a square in 
Paris synonymous with luxury and home to some of the world’s most expensive 
real estate and designer boutiques, VENDÔME MIAMI delivers exclusive 
entertainment and curated experiences. Text or call 929.272.9766 us for VIP 
reservations!</t>
  </si>
  <si>
    <t>Fatimata</t>
  </si>
  <si>
    <t>Niang</t>
  </si>
  <si>
    <t xml:space="preserve">BLACK SPOON</t>
  </si>
  <si>
    <t>fniang@black-spoon.fr</t>
  </si>
  <si>
    <t>http://www.linkedin.com/in/fatimata-niang-86117384</t>
  </si>
  <si>
    <t>http://www.black-spoon.fr</t>
  </si>
  <si>
    <t xml:space="preserve">Vitry-sur-Seine, Ile-de-France, France</t>
  </si>
  <si>
    <t>Castel</t>
  </si>
  <si>
    <t xml:space="preserve">CEO Pilo</t>
  </si>
  <si>
    <t xml:space="preserve">Pilo Hotels</t>
  </si>
  <si>
    <t>mathieu@pilohotels.com</t>
  </si>
  <si>
    <t>http://www.linkedin.com/in/mathieu-castel-a5239782</t>
  </si>
  <si>
    <t>http://www.pilohotels.com</t>
  </si>
  <si>
    <t xml:space="preserve">10 Montee des Carmelites, Lyon, Auvergne-Rhone-Alpes, France, 69001</t>
  </si>
  <si>
    <t xml:space="preserve">Découvrez Pilo, entre hôtel &amp; auberge de jeunesse : des chambres et dortoirs en lits capsules, mais aussi du fun &amp; du chill. À Lyon !</t>
  </si>
  <si>
    <t>Gallmann</t>
  </si>
  <si>
    <t>MOHOM</t>
  </si>
  <si>
    <t>nicolas.gallmann@mohom.com</t>
  </si>
  <si>
    <t>http://www.linkedin.com/in/nicolas-gallmann-18b39495</t>
  </si>
  <si>
    <t>http://www.mohom.com</t>
  </si>
  <si>
    <t xml:space="preserve">Lyon, Rhone-Alpes, France</t>
  </si>
  <si>
    <t xml:space="preserve">La nouvelle façon de séjourner aux coeurs de nos villes françaises - MOHOM</t>
  </si>
  <si>
    <t>Battistini</t>
  </si>
  <si>
    <t xml:space="preserve">The Crying Tiger</t>
  </si>
  <si>
    <t>thomas.battistini@thecryingtiger.fr</t>
  </si>
  <si>
    <t>http://www.linkedin.com/in/thomas-battistini-b65801178</t>
  </si>
  <si>
    <t>http://www.thecryingtiger.fr</t>
  </si>
  <si>
    <t xml:space="preserve">72 Rue du Cherche-Midi, Paris, Ile-de-France, France, 75006</t>
  </si>
  <si>
    <t xml:space="preserve">The Crying Tiger, restaurant thaï aménagé comme un bistrot français, 
propose une cuisine thaïlandaise authentique et faite maison. A déguster 
sur place, à emporter ou en livraison.</t>
  </si>
  <si>
    <t>Mingot</t>
  </si>
  <si>
    <t xml:space="preserve">CEO Gyros</t>
  </si>
  <si>
    <t>Gyros</t>
  </si>
  <si>
    <t>fmingot@mongyros.com</t>
  </si>
  <si>
    <t>http://www.linkedin.com/in/franck-mingot-ceo-gyros</t>
  </si>
  <si>
    <t>http://www.mongyros.com</t>
  </si>
  <si>
    <t xml:space="preserve">Fenouillet, Occitanie, France</t>
  </si>
  <si>
    <t>Bossanne</t>
  </si>
  <si>
    <t xml:space="preserve">HEKIPIA Tiny House</t>
  </si>
  <si>
    <t>olivier.bossanne@hekipia.com</t>
  </si>
  <si>
    <t>http://www.linkedin.com/in/olivier-bossanne-b01b8b5a</t>
  </si>
  <si>
    <t>http://www.hekipia.com</t>
  </si>
  <si>
    <t xml:space="preserve">73 Route de Lentilly, Chessy, Auvergne-Rhone-Alpes, France, 69380</t>
  </si>
  <si>
    <t xml:space="preserve">Hekipia est concepteur fabricant d'hébergements légers, réversibles et adaptés aux marchés du tourisme, de l'habitat transitoire et des particuliers.</t>
  </si>
  <si>
    <t>Letellier</t>
  </si>
  <si>
    <t xml:space="preserve">Président Slow Group</t>
  </si>
  <si>
    <t xml:space="preserve">Slow Village</t>
  </si>
  <si>
    <t>dletellier@slow-village.fr</t>
  </si>
  <si>
    <t>http://www.linkedin.com/in/david-letellier-84665084</t>
  </si>
  <si>
    <t>http://www.slow-village.fr</t>
  </si>
  <si>
    <t>Angers</t>
  </si>
  <si>
    <t xml:space="preserve">Angers, Pays de la Loire, France</t>
  </si>
  <si>
    <t>Prunier</t>
  </si>
  <si>
    <t>sebastien@lescuistotsmigrateurs.com</t>
  </si>
  <si>
    <t>http://www.linkedin.com/in/sebprunier</t>
  </si>
  <si>
    <t>Banet</t>
  </si>
  <si>
    <t xml:space="preserve">Gérant Co fondateur</t>
  </si>
  <si>
    <t xml:space="preserve">DS Café</t>
  </si>
  <si>
    <t>david@dscafe.fr</t>
  </si>
  <si>
    <t>http://www.linkedin.com/in/david-banet-98a91a57</t>
  </si>
  <si>
    <t>http://www.dscafe.fr</t>
  </si>
  <si>
    <t xml:space="preserve">25 Avenue Niel, Paris, Ile-de-France, France, 75017</t>
  </si>
  <si>
    <t>Bastien</t>
  </si>
  <si>
    <t>Peccoux</t>
  </si>
  <si>
    <t xml:space="preserve">Tandoor Club</t>
  </si>
  <si>
    <t>bastien.peccoux@tandoor-club.com</t>
  </si>
  <si>
    <t>http://www.linkedin.com/in/bastien-peccoux-a2514273</t>
  </si>
  <si>
    <t>http://www.tandoor-club.com</t>
  </si>
  <si>
    <t xml:space="preserve">71 Rue Servan, Paris, Ile-de-France, France, 75011</t>
  </si>
  <si>
    <t>Maryline</t>
  </si>
  <si>
    <t>Bernard-Castel</t>
  </si>
  <si>
    <t xml:space="preserve">CEO &amp; Consultant</t>
  </si>
  <si>
    <t xml:space="preserve">Chez Marie</t>
  </si>
  <si>
    <t>mbernard@chezmarie-ncd.com</t>
  </si>
  <si>
    <t>http://www.linkedin.com/in/maryline-bernard-castel-a1501915</t>
  </si>
  <si>
    <t>http://www.chezmarieclt.com</t>
  </si>
  <si>
    <t>Vernet</t>
  </si>
  <si>
    <t xml:space="preserve">Hôtel Le Pigonnet *****</t>
  </si>
  <si>
    <t>o.vernet@hotelpigonnet.com</t>
  </si>
  <si>
    <t>http://www.linkedin.com/in/olivier-vernet-79bb9411</t>
  </si>
  <si>
    <t>http://www.hotelpigonnet.com</t>
  </si>
  <si>
    <t>Saint-Saturnin-les-Apt</t>
  </si>
  <si>
    <t xml:space="preserve">5 Avenue du Pigonnet, Aix-en-Provence, Provence-Alpes-Cote d'Azur, France, 13090</t>
  </si>
  <si>
    <t xml:space="preserve">Esprit de France - Hôtel Le Pigonnet 5 étoiles au coeur d'un beau jardin méditerranéen d'Aix-en-Provence. Restaurants, espace bien-être. Réservez !</t>
  </si>
  <si>
    <t>Barreau</t>
  </si>
  <si>
    <t xml:space="preserve">Hôtels Paris Rive Gauche</t>
  </si>
  <si>
    <t>mbarreau@hotels-paris-rive-gauche.com</t>
  </si>
  <si>
    <t>http://www.linkedin.com/in/matthieu-barreau-53449554</t>
  </si>
  <si>
    <t>http://www.hotels-paris-rive-gauche.com</t>
  </si>
  <si>
    <t xml:space="preserve">262 Rue Saint-Jacques, Paris, Ile-de-France, France, 75005</t>
  </si>
  <si>
    <t xml:space="preserve">Hotels Paris Rive Gauche - Left bank hotels in Paris</t>
  </si>
  <si>
    <t>Yoann</t>
  </si>
  <si>
    <t>Gaudin</t>
  </si>
  <si>
    <t xml:space="preserve">LE FAUBOURG</t>
  </si>
  <si>
    <t>y.gaudin@faubourg.fr</t>
  </si>
  <si>
    <t>http://www.linkedin.com/in/yoann-gaudin-98b1b51b4</t>
  </si>
  <si>
    <t>http://www.faubourg.fr</t>
  </si>
  <si>
    <t>Beaumont-sur-Oise</t>
  </si>
  <si>
    <t xml:space="preserve">2 Rue du Clos des Moines, Argenteuil, Ile-de-France, France, 95100</t>
  </si>
  <si>
    <t xml:space="preserve">Cuisine française à la carte et plat du jour, dans un restaurant chic et moderne.</t>
  </si>
  <si>
    <t>Kais</t>
  </si>
  <si>
    <t>Aissa</t>
  </si>
  <si>
    <t xml:space="preserve">Burger World</t>
  </si>
  <si>
    <t>kais.aissa@burger-world.fr</t>
  </si>
  <si>
    <t>http://www.linkedin.com/in/kais-aissa-200ab887</t>
  </si>
  <si>
    <t>http://www.burger-world.fr</t>
  </si>
  <si>
    <t xml:space="preserve">227 Avenue Berthelot, Lyon, Auvergne-Rhone-Alpes, France, 69008</t>
  </si>
  <si>
    <t xml:space="preserve">Burger World - Créateur de Burgers- Burger World vous accueille tous les jours pour vous faire découvrir des créations burger aux saveurs des 4 coins du monde</t>
  </si>
  <si>
    <t>Cesar</t>
  </si>
  <si>
    <t>Lassarat</t>
  </si>
  <si>
    <t xml:space="preserve"> MANAGING DIRECTOR &amp; CO FOUNDER</t>
  </si>
  <si>
    <t xml:space="preserve">WANDERLUST MOTELS</t>
  </si>
  <si>
    <t>cesar@wdlhotels.com</t>
  </si>
  <si>
    <t>http://www.linkedin.com/in/c%c3%a9sar-lassarat-4b34311a</t>
  </si>
  <si>
    <t>http://www.wdlhotels.com</t>
  </si>
  <si>
    <t xml:space="preserve">Chamonix, Auvergne-Rhone-Alpes, France</t>
  </si>
  <si>
    <t xml:space="preserve">Découvrez nos motels à l’esprit californien, des lieux hors du temps, design et accessibles, spécialement imaginés pour assouvir votre désir de voyager.</t>
  </si>
  <si>
    <t>Feraud</t>
  </si>
  <si>
    <t xml:space="preserve">Le Tonneau Gourmand</t>
  </si>
  <si>
    <t>joel.feraud@tonneau-gourmand.fr</t>
  </si>
  <si>
    <t>http://www.linkedin.com/in/joelferaud</t>
  </si>
  <si>
    <t>http://www.tonneau-gourmand.fr</t>
  </si>
  <si>
    <t>Crolles</t>
  </si>
  <si>
    <t xml:space="preserve">Crolles, Rhone-Alpes, France</t>
  </si>
  <si>
    <t xml:space="preserve">Le Tonneau Gourmand : Caviste, Vins au verre, Cave à manger à Crolles, Isère</t>
  </si>
  <si>
    <t>Paul</t>
  </si>
  <si>
    <t>Peillex</t>
  </si>
  <si>
    <t xml:space="preserve">Co-fondateur MY WOK RESTAURANTS</t>
  </si>
  <si>
    <t xml:space="preserve">My Wok</t>
  </si>
  <si>
    <t>pp@mywok.fr</t>
  </si>
  <si>
    <t>http://www.linkedin.com/in/paul-peillex-26b637293</t>
  </si>
  <si>
    <t>http://www.my-wok.com</t>
  </si>
  <si>
    <t xml:space="preserve">Dijon, Burgundy, France</t>
  </si>
  <si>
    <t xml:space="preserve">Cuisine au wok faite maison et préparée sous vos yeux avec des produits frais. Des plats sains, équilibrés et cuisinés à la minute pour tous les goûts !</t>
  </si>
  <si>
    <t>Fanny</t>
  </si>
  <si>
    <t>Dubus</t>
  </si>
  <si>
    <t xml:space="preserve">MADE Burgers</t>
  </si>
  <si>
    <t>fanny.dubus@restaurant-made.fr</t>
  </si>
  <si>
    <t>http://www.linkedin.com/in/fanny-dubus-5ab993240</t>
  </si>
  <si>
    <t>http://www.restaurant-made.com</t>
  </si>
  <si>
    <t xml:space="preserve">55 Rue Saint-Laud, Angers, Pays de la Loire, France, 49100</t>
  </si>
  <si>
    <t xml:space="preserve">Chez Made tous nos burgers sont fabriqués de façon artisanale avec des produits frais, de qualité, et sont accompagnés de frites et sauce faite maison, de pain boulanger...</t>
  </si>
  <si>
    <t>Ludivine</t>
  </si>
  <si>
    <t>Royannez</t>
  </si>
  <si>
    <t xml:space="preserve">Co-fondatrice et co-gérante</t>
  </si>
  <si>
    <t xml:space="preserve">Équilibres Café &amp; Formation</t>
  </si>
  <si>
    <t>ludivine@equilibres-cafe.fr</t>
  </si>
  <si>
    <t>http://www.linkedin.com/in/ludivine-royannez</t>
  </si>
  <si>
    <t>http://www.equilibres-cafe.fr</t>
  </si>
  <si>
    <t xml:space="preserve">4 Rue Terme, Lyon, Auvergne-Rhone-Alpes, France, 69001</t>
  </si>
  <si>
    <t xml:space="preserve">Bienvenue à Équilibres, Café &amp; Brunch à Lyon ! Venez prendre une pause-déjeuner, savourer un brunch et participer à nos événements !</t>
  </si>
  <si>
    <t>Attal</t>
  </si>
  <si>
    <t xml:space="preserve">Co - Founder</t>
  </si>
  <si>
    <t xml:space="preserve">FRANKS HOT DOG</t>
  </si>
  <si>
    <t>battal@frankshotdog.fr</t>
  </si>
  <si>
    <t>http://www.linkedin.com/in/benjaminattal</t>
  </si>
  <si>
    <t>http://www.frankshotdog.fr</t>
  </si>
  <si>
    <t>Neuilly-sur-Seine</t>
  </si>
  <si>
    <t xml:space="preserve">Avant il y avait les Hot-Dogs,aujourd’hui il y a FRANKS 🌭L'inventeur du Roll-Dog ! Commandez vos hot dog préférés !</t>
  </si>
  <si>
    <t>Helene</t>
  </si>
  <si>
    <t>Te</t>
  </si>
  <si>
    <t xml:space="preserve">Ground to Grow</t>
  </si>
  <si>
    <t>helene@groundtogrow.fr</t>
  </si>
  <si>
    <t>http://www.linkedin.com/in/helenete</t>
  </si>
  <si>
    <t>http://www.groundtogrow.fr</t>
  </si>
  <si>
    <t xml:space="preserve">28 Rue Chapon, Paris, Ile-de-France, France, 75003</t>
  </si>
  <si>
    <t xml:space="preserve">Cantine vegan située dans le Marais, avec une salle de yoga en arrière-cour. Cours de Yoga &amp; Pilates divers tous les jours de la semaine.</t>
  </si>
  <si>
    <t>Lee</t>
  </si>
  <si>
    <t>Sen</t>
  </si>
  <si>
    <t>CEO/FOUNDER</t>
  </si>
  <si>
    <t xml:space="preserve">GARDEN FOOD</t>
  </si>
  <si>
    <t>lee.sen@nsp-expertise.com</t>
  </si>
  <si>
    <t>http://www.linkedin.com/in/lee-sen-23480659</t>
  </si>
  <si>
    <t xml:space="preserve">Roubaix, Nord-Pas-de-Calais, France</t>
  </si>
  <si>
    <t>Valin</t>
  </si>
  <si>
    <t>Becchi</t>
  </si>
  <si>
    <t>baptiste@becchi.fr</t>
  </si>
  <si>
    <t>http://www.linkedin.com/in/baptiste-valin-691900189</t>
  </si>
  <si>
    <t>http://www.becchi.fr</t>
  </si>
  <si>
    <t xml:space="preserve">Découvrez des recettes traditionnelles italiennes en commandant les Pinsa Romana ou les Puccia by Becchi ! Retrouvez-nous Cours de Vincennes !</t>
  </si>
  <si>
    <t>Gabriel</t>
  </si>
  <si>
    <t>Herzhaft</t>
  </si>
  <si>
    <t>gabriel.herzhaft@heqtor.fr</t>
  </si>
  <si>
    <t>http://www.linkedin.com/in/gabriel-herzhaft-1b8562153</t>
  </si>
  <si>
    <t>Suresnes</t>
  </si>
  <si>
    <t>Chini</t>
  </si>
  <si>
    <t xml:space="preserve">Les Niçois</t>
  </si>
  <si>
    <t>olivier@lesnicois.com</t>
  </si>
  <si>
    <t xml:space="preserve">food production</t>
  </si>
  <si>
    <t>http://www.linkedin.com/in/olivier-chini-a6836185</t>
  </si>
  <si>
    <t>http://www.lesnicois.com</t>
  </si>
  <si>
    <t xml:space="preserve">7 Rue Lacharriere, Paris, Ile-de-France, France, 75011</t>
  </si>
  <si>
    <t>Jean-Francois</t>
  </si>
  <si>
    <t>Maes</t>
  </si>
  <si>
    <t>Booking-better.com</t>
  </si>
  <si>
    <t>jeff.maes@booking-better.com</t>
  </si>
  <si>
    <t>http://www.linkedin.com/in/jeanfrancoismaes</t>
  </si>
  <si>
    <t>http://www.booking-better.com</t>
  </si>
  <si>
    <t>Mundolsheim</t>
  </si>
  <si>
    <t xml:space="preserve">5 Rue de la Wantzenau, Reichstett, Grand Est, France, 67116</t>
  </si>
  <si>
    <t xml:space="preserve">Your accommodations at the best prices with more advantages for all your travels. An innovative platform dedicated to customers looking for the best rate!</t>
  </si>
  <si>
    <t>Veyrac</t>
  </si>
  <si>
    <t>StoqueMarket</t>
  </si>
  <si>
    <t>amaury@stoquemarket.com</t>
  </si>
  <si>
    <t>http://www.linkedin.com/in/amaury-de-veyrac-11a1a5159</t>
  </si>
  <si>
    <t>http://www.stoquemarket.com</t>
  </si>
  <si>
    <t xml:space="preserve">Saint-Antonin-sur-Bayon, Provence-Alpes-Cote d'Azur, France, 13100</t>
  </si>
  <si>
    <t xml:space="preserve">La meilleure plateforme de courses en ligne pour les restaurateurs !</t>
  </si>
  <si>
    <t>Fousseyni</t>
  </si>
  <si>
    <t>Djikine</t>
  </si>
  <si>
    <t>BMK</t>
  </si>
  <si>
    <t>fouss@bmkparis.com</t>
  </si>
  <si>
    <t>http://www.linkedin.com/in/fousseyni-djikine-a483b552</t>
  </si>
  <si>
    <t>http://www.bmkparis.com</t>
  </si>
  <si>
    <t xml:space="preserve">14 Rue de la Fidélité, Paris, Ile-de-France, France, 75010</t>
  </si>
  <si>
    <t xml:space="preserve">Découvrez toutes les richesses de l'Afrique avec BMK Paris-Bamako ! 
Restaurant africain épicerie cantine à Paris 10 Paris 11. Recettes, 
produits, contes &amp; histoires d'Afrique.</t>
  </si>
  <si>
    <t>Volckman-Delabesse</t>
  </si>
  <si>
    <t>Experience</t>
  </si>
  <si>
    <t>pierre@experience-hotel.com</t>
  </si>
  <si>
    <t>http://www.linkedin.com/in/pierre-volckman-delabesse-2669121</t>
  </si>
  <si>
    <t>http://www.experience-crm.fr</t>
  </si>
  <si>
    <t xml:space="preserve">54 Rue de Clichy, Paris, Ile-de-France, France, 75009</t>
  </si>
  <si>
    <t xml:space="preserve">Experience CRM for hotels &amp; restaurants : database management, customer journey, e-reputation, e-mailing &amp; newsletter | Master your customer relationship</t>
  </si>
  <si>
    <t>Cohen</t>
  </si>
  <si>
    <t xml:space="preserve">The Gate Collection</t>
  </si>
  <si>
    <t>andrea.cohen@thegatecollection.com</t>
  </si>
  <si>
    <t>http://www.linkedin.com/in/andr%c3%a9a-cohen-74689a61</t>
  </si>
  <si>
    <t>http://www.thegatecollection.com</t>
  </si>
  <si>
    <t xml:space="preserve">51 Rue de Courcelles, Paris, Ile-de-France, France, 75008</t>
  </si>
  <si>
    <t xml:space="preserve">The Gate Collection features some of the best luxury and lifestyle hotels in Paris, France, and Washington DC, USA, ideal for leisure or business. Official website, best available rates!</t>
  </si>
  <si>
    <t>Misterbooking</t>
  </si>
  <si>
    <t>Pms</t>
  </si>
  <si>
    <t>commercial@misterbooking.net</t>
  </si>
  <si>
    <t>http://www.linkedin.com/in/misterbooking-pms-2306711aa</t>
  </si>
  <si>
    <t>http://www.misterbooking.net</t>
  </si>
  <si>
    <t>Bouc-Bel-Air</t>
  </si>
  <si>
    <t xml:space="preserve">415 Avenue des Chabauds, Bouc-Bel-Air, Provence-Alpes-Cote d'Azur, France, 13320</t>
  </si>
  <si>
    <t>Marie</t>
  </si>
  <si>
    <t>Pesenti</t>
  </si>
  <si>
    <t xml:space="preserve">Co-fondatrice &amp; Directrice générale</t>
  </si>
  <si>
    <t>Minimistan</t>
  </si>
  <si>
    <t>marie@minimes.space</t>
  </si>
  <si>
    <t xml:space="preserve">facilities services</t>
  </si>
  <si>
    <t>http://www.linkedin.com/in/mariepesenti</t>
  </si>
  <si>
    <t>http://www.minimistan.org</t>
  </si>
  <si>
    <t>Grenoble</t>
  </si>
  <si>
    <t xml:space="preserve">Grenoble, Rhone-Alpes, France</t>
  </si>
  <si>
    <t xml:space="preserve">Un lieu ouvert, un lieu de possibles, qui instaure des espaces de liberté où se cherchent des alternatives. Coworking, restaurant, évènements.</t>
  </si>
  <si>
    <t>Coinon</t>
  </si>
  <si>
    <t>bastien@foodlab-france.com</t>
  </si>
  <si>
    <t>http://www.linkedin.com/in/bastien-coinon-87ab9266</t>
  </si>
  <si>
    <t>Vix-Gras</t>
  </si>
  <si>
    <t xml:space="preserve">Les Jardiniers</t>
  </si>
  <si>
    <t>christophe@vixgras.com</t>
  </si>
  <si>
    <t>http://www.linkedin.com/in/vixgras</t>
  </si>
  <si>
    <t>http://www.lesjardiniers.org</t>
  </si>
  <si>
    <t xml:space="preserve">11 Rue Paul Bert, Montrouge, Ile-de-France, France, 92120</t>
  </si>
  <si>
    <t xml:space="preserve">Lieu culturel hybride, Les Jardiniers accueillent des expositions d’art contemporain, une cantine écoresponsable, des évènements ouverts à tous·tes: workshop, conférences, salons, résidences de création, concerts…</t>
  </si>
  <si>
    <t>Capelle</t>
  </si>
  <si>
    <t xml:space="preserve">Tonton Michel</t>
  </si>
  <si>
    <t>compta@tonton-michel.fr</t>
  </si>
  <si>
    <t>http://www.linkedin.com/in/arnaud-capelle-4971559a</t>
  </si>
  <si>
    <t>http://www.tonton-michel.fr</t>
  </si>
  <si>
    <t xml:space="preserve">Rue de la Canelle, Villeneuve-les-Bouloc, Midi-Pyrenees, France, 31620</t>
  </si>
  <si>
    <t>Marie-Pierre</t>
  </si>
  <si>
    <t>Schaubroeck</t>
  </si>
  <si>
    <t>Co-Fondatrice</t>
  </si>
  <si>
    <t xml:space="preserve">We Go Greenr</t>
  </si>
  <si>
    <t>marie@wegogreenr.com</t>
  </si>
  <si>
    <t>http://www.linkedin.com/in/cofounder-wegogreenr</t>
  </si>
  <si>
    <t>http://www.wegogreenr.com</t>
  </si>
  <si>
    <t xml:space="preserve">Bordeaux, Aquitaine, France</t>
  </si>
  <si>
    <t xml:space="preserve">Co-fondateur / directeur général / chef de cuisine</t>
  </si>
  <si>
    <t>Presqu'île</t>
  </si>
  <si>
    <t>maxime@presquile.info</t>
  </si>
  <si>
    <t>http://www.linkedin.com/in/maxime-bertrand-8b9653a3</t>
  </si>
  <si>
    <t>http://www.presquile.info</t>
  </si>
  <si>
    <t xml:space="preserve">39 Rue de Chazelles, Paris, Ile-de-France, France, 75017</t>
  </si>
  <si>
    <t>Adam</t>
  </si>
  <si>
    <t>Spielman</t>
  </si>
  <si>
    <t xml:space="preserve">Co-Founder / Managing Director</t>
  </si>
  <si>
    <t>Pamela</t>
  </si>
  <si>
    <t>adam@pamela.paris</t>
  </si>
  <si>
    <t>http://www.linkedin.com/in/adamspielman</t>
  </si>
  <si>
    <t>http://www.pamelabar.com</t>
  </si>
  <si>
    <t xml:space="preserve">428 Kingsland Road, London, England, United Kingdom, E8 4AA</t>
  </si>
  <si>
    <t xml:space="preserve">United Kingdom</t>
  </si>
  <si>
    <t>Hauw</t>
  </si>
  <si>
    <t xml:space="preserve">Diana Dea Lodge***** &amp; Spa</t>
  </si>
  <si>
    <t>bertrand@diana-dea-lodge.re</t>
  </si>
  <si>
    <t>http://www.linkedin.com/in/bertrand-van-hauw-8037053b</t>
  </si>
  <si>
    <t>http://www.diana-dea-lodge.re</t>
  </si>
  <si>
    <t xml:space="preserve">Avessac, Pays de la Loire, France, 44460</t>
  </si>
  <si>
    <t xml:space="preserve">Hôtel Diana Dea Lodge - Hôtel à l’Ile de la Réunion - Hôtel 5 étoiles à 650m d’altitude, avec piscine chauffée, spa &amp; hammam et restaurant gastronomique</t>
  </si>
  <si>
    <t>Fernandez</t>
  </si>
  <si>
    <t xml:space="preserve">Le Grand Mazarin</t>
  </si>
  <si>
    <t>o.fernandez@legrandmazarin.com</t>
  </si>
  <si>
    <t>http://www.linkedin.com/in/olivier-fernandez-a9bb2539</t>
  </si>
  <si>
    <t>http://www.legrandmazarin.com</t>
  </si>
  <si>
    <t xml:space="preserve">The Hotel Crillon Le Brave, a 5-star hotel in the heart of the Vaucluse, invites you to discover its restaurants and the Spa des écuries.</t>
  </si>
  <si>
    <t>Emmanuel</t>
  </si>
  <si>
    <t>Beuvelet</t>
  </si>
  <si>
    <t xml:space="preserve">Hostellerie de l'Abbaye de la Celle</t>
  </si>
  <si>
    <t>beuvelet@abbaye-celle.com</t>
  </si>
  <si>
    <t>http://www.linkedin.com/in/emmanuel-beuvelet-609476143</t>
  </si>
  <si>
    <t>http://www.abbaye-celle.com</t>
  </si>
  <si>
    <t xml:space="preserve">La Celle</t>
  </si>
  <si>
    <t xml:space="preserve">Place du General de Gaulle, La Celle, Provence-Alpes-Cote d'Azur, France, 83170</t>
  </si>
  <si>
    <t xml:space="preserve">SITE OFFICIEL | Hostellerie de l’abbaye de la Celle, Maison d’Alain Ducasse dans le Var ✓ Hôtel 5 étoiles ✓ Restaurant gastronomique Michelin ✓ Réservez en ligne votre séjour</t>
  </si>
  <si>
    <t>Anne</t>
  </si>
  <si>
    <t>Leroy</t>
  </si>
  <si>
    <t xml:space="preserve">La Javanaise Plage</t>
  </si>
  <si>
    <t>anne@leroy.cool</t>
  </si>
  <si>
    <t>http://www.linkedin.com/in/anne-leroy-2019</t>
  </si>
  <si>
    <t>http://www.lajavanaise.com</t>
  </si>
  <si>
    <t xml:space="preserve">Beaulieu-sur-Mer, Provence-Alpes-Cote d'Azur, France</t>
  </si>
  <si>
    <t xml:space="preserve">Découvrez une plage privée unique sur la Petite Afrique à Beaulieu-sur-Mer. Profitez de la plage, du restaurant et du bar et partez en voyage pour l’univers raffiné de La Javanaise.</t>
  </si>
  <si>
    <t>Emilien</t>
  </si>
  <si>
    <t>Jaltier</t>
  </si>
  <si>
    <t>e.jaltier@hotelnorman.com</t>
  </si>
  <si>
    <t>http://www.linkedin.com/in/emilien-jaltier-7a3bb013</t>
  </si>
  <si>
    <t>Thierry</t>
  </si>
  <si>
    <t>Acquitter</t>
  </si>
  <si>
    <t xml:space="preserve">Bigouden Makers</t>
  </si>
  <si>
    <t>thierry@bigoudenmakers.com</t>
  </si>
  <si>
    <t>http://www.linkedin.com/in/thierry-acquitter-9176a1187</t>
  </si>
  <si>
    <t>http://www.bigoudenmakers.com</t>
  </si>
  <si>
    <t>Plobannalec-Lesconil</t>
  </si>
  <si>
    <t xml:space="preserve">24 Place de la Republique, Pont-l'Abbe, Brittany, France, 29120</t>
  </si>
  <si>
    <t xml:space="preserve">Bigouden Makers : Engagez vous dans la sauvegarde, le maintien de l’activité et le développement respectueux du territoire Bigouden.</t>
  </si>
  <si>
    <t>Luc</t>
  </si>
  <si>
    <t>Sananes</t>
  </si>
  <si>
    <t>luc@lesnicois.com</t>
  </si>
  <si>
    <t>http://www.linkedin.com/in/luc-sananes-65924436</t>
  </si>
  <si>
    <t>Patrick</t>
  </si>
  <si>
    <t>Henriroux</t>
  </si>
  <si>
    <t xml:space="preserve">Président directeur général chez La Pyramide Patrick Henriroux</t>
  </si>
  <si>
    <t xml:space="preserve">La Pyramide Maison Henriroux</t>
  </si>
  <si>
    <t>patrickhenriroux@lapyramide.com</t>
  </si>
  <si>
    <t>http://www.linkedin.com/in/patrick-henriroux-a162a795</t>
  </si>
  <si>
    <t>http://www.lapyramide.com</t>
  </si>
  <si>
    <t xml:space="preserve">14 Boulevard Fernand Point, Vienne, Auvergne-Rhone-Alpes, France, 38200</t>
  </si>
  <si>
    <t xml:space="preserve">SITE OFFICIEL | La Pyramide à Vienne, Hôtel &amp; Restaurant La Pyramide (38) ✓ Relais &amp; Châteaux 4 étoiles ✓ Restaurant Gastronomique 2 étoiles Michelin ✓ Restaurant Espace PH③ Chef Patrick Henriroux</t>
  </si>
  <si>
    <t>Mehdi</t>
  </si>
  <si>
    <t>Sehaqui</t>
  </si>
  <si>
    <t>Minutup</t>
  </si>
  <si>
    <t>mehdi.sehaqui@minutup.com</t>
  </si>
  <si>
    <t>http://www.linkedin.com/in/mehdi-sehaqui-006622189</t>
  </si>
  <si>
    <t>http://www.minutup.com</t>
  </si>
  <si>
    <t xml:space="preserve">5 Place Alfonse Jourdain, Toulouse, Occitanie, France, 31000</t>
  </si>
  <si>
    <t xml:space="preserve">Réservez un espace de coworking, une salle de réunion, un Spa ou la salle de Fitness, pour quelques heures. Sans avoir besoin de dormir à l'hôtel.</t>
  </si>
  <si>
    <t>Sicsic</t>
  </si>
  <si>
    <t xml:space="preserve">Gaijin Ramen Lab</t>
  </si>
  <si>
    <t>kevin@gaijinramenlab.com</t>
  </si>
  <si>
    <t>http://www.linkedin.com/in/kevin-sicsic-32687764</t>
  </si>
  <si>
    <t>http://www.gaijinramenlab.com</t>
  </si>
  <si>
    <t xml:space="preserve">5 Rue Crillon, Paris, Ile-de-France, France, 75004</t>
  </si>
  <si>
    <t>Simon</t>
  </si>
  <si>
    <t>Deleplanque</t>
  </si>
  <si>
    <t xml:space="preserve">Chez Gaston</t>
  </si>
  <si>
    <t>simon@chezgastonannecy.com</t>
  </si>
  <si>
    <t>http://www.linkedin.com/in/simon-deleplanque-203ab146</t>
  </si>
  <si>
    <t>http://www.chezgaston-glaces-gaufres.com</t>
  </si>
  <si>
    <t xml:space="preserve">Annecy, Auvergne-Rhone-Alpes, France</t>
  </si>
  <si>
    <t xml:space="preserve">Chez Gaston, nous proposons des glaces artisanales à Annecy (Pâquier) et à Chambéry, sans arôme artificiel, conservateur et additif. Ainsi que les meilleures gaufres de Liège et des gaufres salées.</t>
  </si>
  <si>
    <t xml:space="preserve">Groupe FHB</t>
  </si>
  <si>
    <t>franck@groupefhb.fr</t>
  </si>
  <si>
    <t>http://www.linkedin.com/in/franck-meunier-76a074114</t>
  </si>
  <si>
    <t>http://www.faktory.fr</t>
  </si>
  <si>
    <t xml:space="preserve">6 Rue du Faisan, Strasbourg, Grand Est, France, 67000</t>
  </si>
  <si>
    <t xml:space="preserve">Nous créons des espaces de convivialité pour se rapprocher, créer du lien social. 11 établissements : 7 Bars / 2 Hôtels / 2 Restaurants</t>
  </si>
  <si>
    <t>Scoffier</t>
  </si>
  <si>
    <t xml:space="preserve">HOTEL HENRIETTE RIVE GAUCHE</t>
  </si>
  <si>
    <t>vanessa@hotelhenriette.com</t>
  </si>
  <si>
    <t>http://www.linkedin.com/in/vanessa-scoffier-b53b48164</t>
  </si>
  <si>
    <t>http://www.hotelhenriette.com</t>
  </si>
  <si>
    <t xml:space="preserve">9 Rue des Gobelins, Paris, Ile-de-France, France, 75013</t>
  </si>
  <si>
    <t xml:space="preserve">Welcome to Hotel Henriette, a stylish new boutique hotel in Paris' 13th district, near rue Mouffetard and the Latin Quarter. Official site, best rate guarantee!</t>
  </si>
  <si>
    <t>Mons</t>
  </si>
  <si>
    <t xml:space="preserve">Founder &amp; Cheffe</t>
  </si>
  <si>
    <t>Sunnset</t>
  </si>
  <si>
    <t>caroline@sunnset-apero.com</t>
  </si>
  <si>
    <t>http://www.linkedin.com/in/caroline-mons-b9225948</t>
  </si>
  <si>
    <t>http://www.sunnset.fr</t>
  </si>
  <si>
    <t xml:space="preserve">Lyon, Auvergne-Rhone-Alpes, France, 69007</t>
  </si>
  <si>
    <t xml:space="preserve">Nous proposons des planches apéritives et des brunchs en livraison ainsi qu'un service de traiteur sur mesure sur Lyon et sa région. Produits frais, locaux, circuits courts. Nous proposons une offre flexitarienne incluant des propositions végétariennes, vegan, sans lactose ou sans gluten par exemple.</t>
  </si>
  <si>
    <t>Chauvin</t>
  </si>
  <si>
    <t xml:space="preserve">doublevie group</t>
  </si>
  <si>
    <t>maxime@foodflow.fr</t>
  </si>
  <si>
    <t>http://www.linkedin.com/in/maximechauvin</t>
  </si>
  <si>
    <t>http://www.doublevieparis.com</t>
  </si>
  <si>
    <t xml:space="preserve">doublevie Paris est un restaurant festif méditerranéen sur trois étages 
proposant petits et grands plats à partager, cocktails twistés à la 
méditerranéenne, carte des vins méridionaux et programmation musicale sur 
vinyles, tout pour vous attraper en fin de journée pour ne plus vous lâcher 
de la soirée !</t>
  </si>
  <si>
    <t>Antonio</t>
  </si>
  <si>
    <t xml:space="preserve">Fondateur et directeur marketing et developpement</t>
  </si>
  <si>
    <t>a.morreale@antonioemarco.com</t>
  </si>
  <si>
    <t>http://www.linkedin.com/in/antonio-morreale-370641138</t>
  </si>
  <si>
    <t>Ava</t>
  </si>
  <si>
    <t>Casanova</t>
  </si>
  <si>
    <t xml:space="preserve">COO / Co-fondateur</t>
  </si>
  <si>
    <t xml:space="preserve">Père &amp; Fish</t>
  </si>
  <si>
    <t>ava@pereetfishrestaurant.com</t>
  </si>
  <si>
    <t>http://www.linkedin.com/in/ava-maisani-casanova-aab6368b</t>
  </si>
  <si>
    <t>http://www.pereetfish.com</t>
  </si>
  <si>
    <t>Ajaccio</t>
  </si>
  <si>
    <t xml:space="preserve">Chez Père &amp; Fish, nous cuisinons avec amour du poisson issu de la pêche durable. Situé à Paris. 100% Fait Maison, 100% Produits Frais.</t>
  </si>
  <si>
    <t>Charles</t>
  </si>
  <si>
    <t>Broek</t>
  </si>
  <si>
    <t xml:space="preserve">Blend Hamburger</t>
  </si>
  <si>
    <t>charles@blendhamburger.com</t>
  </si>
  <si>
    <t>http://www.linkedin.com/in/charles-vdbroek</t>
  </si>
  <si>
    <t>http://www.blendhamburger.com</t>
  </si>
  <si>
    <t xml:space="preserve">44 Rue d'Argout, Paris, Ile-de-France, France, 75002</t>
  </si>
  <si>
    <t xml:space="preserve">Blend explore la burger culture dans le monde entier pour réinterpréter des recettes mythiques avec des ingrédients rares, produits par des amis artisans passionnés.L’équipe se fait une joie de transmettre la « Burgerness » ou l’art de cuisiner des hamburgers avec une énergie qu’on appelle « le Juice ».</t>
  </si>
  <si>
    <t>Natalia</t>
  </si>
  <si>
    <t>Niznik</t>
  </si>
  <si>
    <t xml:space="preserve">Co-founder - Sales Director</t>
  </si>
  <si>
    <t xml:space="preserve">Zanzibar White Sand Luxury Villas &amp; Spa</t>
  </si>
  <si>
    <t>natalia.niznik@whitesandvillas.com</t>
  </si>
  <si>
    <t>http://www.linkedin.com/in/natalianiznik</t>
  </si>
  <si>
    <t>http://www.whitesandvillas.com</t>
  </si>
  <si>
    <t xml:space="preserve">Paje, Zanzibar Central/South Region, Tanzania</t>
  </si>
  <si>
    <t>Tanzania</t>
  </si>
  <si>
    <t xml:space="preserve">Zanzibar White Sand Luxury Villas &amp; Spa is a luxury boutique hotel located on the pristine sands of Paje beach, on the East coast of Zanzibar....</t>
  </si>
  <si>
    <t>Bessoles</t>
  </si>
  <si>
    <t xml:space="preserve">CAMPING LE DAUPHIN</t>
  </si>
  <si>
    <t>paul.bessoles@campingledauphin.com</t>
  </si>
  <si>
    <t>http://www.linkedin.com/in/paul-bessoles-62a24a263</t>
  </si>
  <si>
    <t>http://www.campingledauphin.com</t>
  </si>
  <si>
    <t>Argeles-sur-Mer</t>
  </si>
  <si>
    <t xml:space="preserve">Argeles-sur-Mer, Occitanie, France</t>
  </si>
  <si>
    <t xml:space="preserve">Notre camping à Argeles sur Mer vous accueille avec ses 5 étoiles pour des vacances d’été exceptionnelles.</t>
  </si>
  <si>
    <t>Arvis</t>
  </si>
  <si>
    <t>antoine.arvis@madeho.fr</t>
  </si>
  <si>
    <t>http://www.linkedin.com/in/antoine-arvis-61724815</t>
  </si>
  <si>
    <t>Coralie</t>
  </si>
  <si>
    <t>Legrand</t>
  </si>
  <si>
    <t xml:space="preserve">Hôtel Royal Madeleine</t>
  </si>
  <si>
    <t>clegrand@hotelroyalmadeleine.com</t>
  </si>
  <si>
    <t>http://www.linkedin.com/in/coralie-legrand-79659719</t>
  </si>
  <si>
    <t>http://www.hotelroyalmadeleine.com</t>
  </si>
  <si>
    <t xml:space="preserve">11 Rue du Chevalier de Saint-George, Paris, Ile-de-France, France, 75008</t>
  </si>
  <si>
    <t xml:space="preserve">Bienvenue au Royal Madeleine un hôtel 4 étoiles situé en plein cœur de Paris, près de la Madeleine, dans le 8ème arrondissement de Paris. Profitez d’un spa dépaysant, d’un restaurant dans un jardin d’hiver et d’un bar qui donne sur un passage parisien des plus typiques. Réservez votre séjour dès maintenant !</t>
  </si>
  <si>
    <t>Samuel</t>
  </si>
  <si>
    <t>Huitric</t>
  </si>
  <si>
    <t xml:space="preserve">Fondateur / Associé gérant</t>
  </si>
  <si>
    <t>SAIN</t>
  </si>
  <si>
    <t>samuel@sain-nantes.com</t>
  </si>
  <si>
    <t>http://www.linkedin.com/in/samuel-huitric-4451493a</t>
  </si>
  <si>
    <t>http://www.sain-nantes.com</t>
  </si>
  <si>
    <t>Nantes</t>
  </si>
  <si>
    <t xml:space="preserve">Nantes, Pays de la Loire, France</t>
  </si>
  <si>
    <t>Caradeuc</t>
  </si>
  <si>
    <t xml:space="preserve">Brasseries A La Mode</t>
  </si>
  <si>
    <t>kevin@brasseriesalamode.com</t>
  </si>
  <si>
    <t>http://www.linkedin.com/in/kevin-caradeuc-on-recrute-495a7667</t>
  </si>
  <si>
    <t>http://www.brasseriesalamode.com</t>
  </si>
  <si>
    <t>Barat</t>
  </si>
  <si>
    <t xml:space="preserve">Barat Corporate</t>
  </si>
  <si>
    <t>antoine.barat@eatsalad.com</t>
  </si>
  <si>
    <t>http://www.linkedin.com/in/antoine-barat-a67766260</t>
  </si>
  <si>
    <t>http://www.eatsalad.com</t>
  </si>
  <si>
    <t>Merignac</t>
  </si>
  <si>
    <t xml:space="preserve">Merignac, Nouvelle-Aquitaine, France</t>
  </si>
  <si>
    <t>Clarisse</t>
  </si>
  <si>
    <t>Thiry</t>
  </si>
  <si>
    <t xml:space="preserve">Renaissance Paris Vendôme Hotel</t>
  </si>
  <si>
    <t>clarisse.thiry@renaissanceparisvendome.com</t>
  </si>
  <si>
    <t>http://www.linkedin.com/in/clarisse-thiry-50910613</t>
  </si>
  <si>
    <t>http://www.marriot.com</t>
  </si>
  <si>
    <t xml:space="preserve">4 Rue du Mont-Thabor, Paris, Ile-de-France, France, 75001</t>
  </si>
  <si>
    <t>Vincent</t>
  </si>
  <si>
    <t>Avila</t>
  </si>
  <si>
    <t xml:space="preserve">HPVA Hotels</t>
  </si>
  <si>
    <t>vavila@hpvahotels.com</t>
  </si>
  <si>
    <t>http://www.linkedin.com/in/vincent-avila-a63a4a39</t>
  </si>
  <si>
    <t>http://www.hpvahotels.com</t>
  </si>
  <si>
    <t xml:space="preserve">12 Rue Vignon, Paris, Ile-de-France, France, 75009</t>
  </si>
  <si>
    <t xml:space="preserve">HPVA hotels est une société dédiée à l’investissement hôtelier, au développement de nouveaux projets hôtelier et à la gestion hôtelière.</t>
  </si>
  <si>
    <t>Geoffrey</t>
  </si>
  <si>
    <t xml:space="preserve">Hôtel Vertigo</t>
  </si>
  <si>
    <t>geoffrey@hotelvertigo.fr</t>
  </si>
  <si>
    <t>http://www.linkedin.com/in/geoffrey-boehm-01652311b</t>
  </si>
  <si>
    <t>http://www.hotelvertigonimes.fr</t>
  </si>
  <si>
    <t>Nimes</t>
  </si>
  <si>
    <t xml:space="preserve">31 Rue de la Servie, Nimes, Occitanie, France, 30000</t>
  </si>
  <si>
    <t xml:space="preserve">L&amp;#39;Hôtel Vertigo situé en centre ville de Nîmes à quelques pas de la gare, en région Occitanie, vous accueillent avec les services d&amp;#39;un hostel-auberge. Découvrez notre spacieuse terrasse - rooftop - avec vue imprenable sur les toits de la ville.</t>
  </si>
  <si>
    <t xml:space="preserve">Co-fondateur et Directeur des Opérations</t>
  </si>
  <si>
    <t xml:space="preserve">Edgar Suites</t>
  </si>
  <si>
    <t>gregoire@edgarsuites.com</t>
  </si>
  <si>
    <t>http://www.linkedin.com/in/gr%c3%a9goire-benoit-37b638a6</t>
  </si>
  <si>
    <t>http://www.edgarsuites.com</t>
  </si>
  <si>
    <t xml:space="preserve">35 Rue de Naples, Paris, Ile-de-France, France, 75008</t>
  </si>
  <si>
    <t>Mauz</t>
  </si>
  <si>
    <t xml:space="preserve">Château de Pondres</t>
  </si>
  <si>
    <t>a.mauz@chateaudepondres.com</t>
  </si>
  <si>
    <t>http://www.linkedin.com/in/antonio-mauz-76a361139</t>
  </si>
  <si>
    <t>http://www.chateaudepondres.com</t>
  </si>
  <si>
    <t xml:space="preserve">2 Allee du Pigeonnier, Villevieille, Occitanie, France, 30250</t>
  </si>
  <si>
    <t xml:space="preserve">Le Château de Pondres est un hôtel, restaurant et spa proche de Sommières (Gard). Un lieu d'exception pour vos séjours, mariages, séminaires.</t>
  </si>
  <si>
    <t>Ouissem</t>
  </si>
  <si>
    <t>Zahou</t>
  </si>
  <si>
    <t xml:space="preserve">NINA SUSHI</t>
  </si>
  <si>
    <t>ouissem@ninasushi.com</t>
  </si>
  <si>
    <t>http://www.linkedin.com/in/ouissem-zahou-638bb5187</t>
  </si>
  <si>
    <t>http://www.ninasushi.com</t>
  </si>
  <si>
    <t>Theodore</t>
  </si>
  <si>
    <t>Gilbert</t>
  </si>
  <si>
    <t xml:space="preserve">Quai Liberté</t>
  </si>
  <si>
    <t>theodore@quailiberte.fr</t>
  </si>
  <si>
    <t>http://www.linkedin.com/in/th%c3%a9odore-gilbert-2b5904104</t>
  </si>
  <si>
    <t>http://www.quailiberte.fr</t>
  </si>
  <si>
    <t xml:space="preserve">Port de Javel Haut, Paris, Ile-de-France, France, 75015</t>
  </si>
  <si>
    <t xml:space="preserve">Restaurant péniche dans le 15e à Paris sur le Thalassa. Privatisez nos salles d'évènements sur ce lieu de réinsertion créé par Wake up Café.</t>
  </si>
  <si>
    <t>Girard</t>
  </si>
  <si>
    <t xml:space="preserve">Groupe SPHB</t>
  </si>
  <si>
    <t>marie.girard@groupesphb.fr</t>
  </si>
  <si>
    <t>http://www.linkedin.com/in/marie-girard-239b24236</t>
  </si>
  <si>
    <t>http://www.groupesphb.fr</t>
  </si>
  <si>
    <t>Nancy</t>
  </si>
  <si>
    <t xml:space="preserve">3 Rue de l'Armee Patton, Nancy, Grand Est, France, 54000</t>
  </si>
  <si>
    <t>Fathi</t>
  </si>
  <si>
    <t>Hadj-Henni</t>
  </si>
  <si>
    <t>Rosaparks</t>
  </si>
  <si>
    <t>fathi@rosaparks.fr</t>
  </si>
  <si>
    <t>http://www.linkedin.com/in/fathi-hadj-henni-b4aa1b77</t>
  </si>
  <si>
    <t>http://www.rosaparks.fr</t>
  </si>
  <si>
    <t xml:space="preserve">35 Rue Champeaux, Troyes, Champagne-Ardenne, France, 10000</t>
  </si>
  <si>
    <t xml:space="preserve">Fresh burgers, like no others !</t>
  </si>
  <si>
    <t>Yoni</t>
  </si>
  <si>
    <t>Aidan</t>
  </si>
  <si>
    <t xml:space="preserve">Collection Maisons Particulières</t>
  </si>
  <si>
    <t>yaidan@maisonsparticulieres.com</t>
  </si>
  <si>
    <t>http://www.linkedin.com/in/yoniaidan</t>
  </si>
  <si>
    <t>http://www.maisonsparticulieres.com</t>
  </si>
  <si>
    <t xml:space="preserve">10 Rue de Bruxelles, Paris, Ile-de-France, France, 75009</t>
  </si>
  <si>
    <t xml:space="preserve">Maisons Particulières est né à Paris pour servir une vision intimiste du luxe. Ses établissements confidentiels composent avec les mythes de la ville lumière.</t>
  </si>
  <si>
    <t>Gentien</t>
  </si>
  <si>
    <t>SIMONE</t>
  </si>
  <si>
    <t>caroline@simone.paris</t>
  </si>
  <si>
    <t>http://www.linkedin.com/in/caroline-gentien-718b8519</t>
  </si>
  <si>
    <t>http://www.simone.paris</t>
  </si>
  <si>
    <t xml:space="preserve">449 S Hewitt St, Los Angeles, California, United States, 90013</t>
  </si>
  <si>
    <t>Lise</t>
  </si>
  <si>
    <t>Vieillescazes</t>
  </si>
  <si>
    <t xml:space="preserve">Un Goût de Nature</t>
  </si>
  <si>
    <t>lise@ungoutdenature.fr</t>
  </si>
  <si>
    <t>http://www.linkedin.com/in/lise-vieillescazes-4819382b</t>
  </si>
  <si>
    <t>http://www.ungoutdenature.fr</t>
  </si>
  <si>
    <t xml:space="preserve">7 Rue des Cordeliers, Meaux, Ile-de-France, France, 77100</t>
  </si>
  <si>
    <t>Landes</t>
  </si>
  <si>
    <t xml:space="preserve">Co-Founder &amp; Web Designer</t>
  </si>
  <si>
    <t>clement.landes@experience-hotel.com</t>
  </si>
  <si>
    <t>http://www.linkedin.com/in/clement-land%c3%a8s-74b44058</t>
  </si>
  <si>
    <t>Juliette</t>
  </si>
  <si>
    <t>Zaepffel</t>
  </si>
  <si>
    <t>juliette@brasseriesalamode.com</t>
  </si>
  <si>
    <t>http://www.linkedin.com/in/juliettecerdan</t>
  </si>
  <si>
    <t>Sreejith</t>
  </si>
  <si>
    <t>Govindankutty</t>
  </si>
  <si>
    <t xml:space="preserve">Founder &amp; Director</t>
  </si>
  <si>
    <t xml:space="preserve">SelfRoadiez Travel Solutions Pvt.Ltd</t>
  </si>
  <si>
    <t>sreejith@selfroadiez.com</t>
  </si>
  <si>
    <t>http://www.linkedin.com/in/sreejith-govindankutty</t>
  </si>
  <si>
    <t>http://www.selfroadiez.com</t>
  </si>
  <si>
    <t>Rennes</t>
  </si>
  <si>
    <t xml:space="preserve">Whitefield Main Road, Bengaluru, Karnataka, India, 560016</t>
  </si>
  <si>
    <t>India</t>
  </si>
  <si>
    <t>Blanchot</t>
  </si>
  <si>
    <t>philippe@lafrichegourmande.com</t>
  </si>
  <si>
    <t>http://www.linkedin.com/in/philippe-blanchot-a8821499</t>
  </si>
  <si>
    <t>Jens</t>
  </si>
  <si>
    <t>Bicking</t>
  </si>
  <si>
    <t xml:space="preserve">Elatos Resort &amp; Health Club</t>
  </si>
  <si>
    <t>j.bicking@elatos.fr</t>
  </si>
  <si>
    <t>http://www.linkedin.com/in/jens-bicking-293b684</t>
  </si>
  <si>
    <t>http://www.elatosresort.gr</t>
  </si>
  <si>
    <t xml:space="preserve">Eptalofos, Greece, 330 57</t>
  </si>
  <si>
    <t>Greece</t>
  </si>
  <si>
    <t>Ryckebush</t>
  </si>
  <si>
    <t xml:space="preserve">CEO &amp; Chef pâtissier</t>
  </si>
  <si>
    <t>arnaud@tartelettes.fr</t>
  </si>
  <si>
    <t>http://www.linkedin.com/in/arnaud-ryckebush-3b890a14</t>
  </si>
  <si>
    <t>Tony</t>
  </si>
  <si>
    <t>Phan</t>
  </si>
  <si>
    <t xml:space="preserve">Fondateur - CEO</t>
  </si>
  <si>
    <t>Ôbobun</t>
  </si>
  <si>
    <t>tonyphan@obobun.fr</t>
  </si>
  <si>
    <t>http://www.linkedin.com/in/tony-viet-phong-phan-83a15214</t>
  </si>
  <si>
    <t>http://www.obobun.fr</t>
  </si>
  <si>
    <t xml:space="preserve">Grenoble, Auvergne-Rhone-Alpes, France</t>
  </si>
  <si>
    <t xml:space="preserve">Le Bon Bun est un plat traditionnel vietnamien complet et équilibré servi dans de généreux bols que nous revisitons chaque jour dans un cadre contemporain et accueillant.</t>
  </si>
  <si>
    <t>Herve</t>
  </si>
  <si>
    <t>Twembeke</t>
  </si>
  <si>
    <t xml:space="preserve">CALIFORNIA RESORT</t>
  </si>
  <si>
    <t>herve.vantwembeke@california.fr</t>
  </si>
  <si>
    <t>http://www.linkedin.com/in/herv%c3%a9-van-twembeke-a5a46527</t>
  </si>
  <si>
    <t>http://www.california-resort.com</t>
  </si>
  <si>
    <t xml:space="preserve">1 Impasse de Cordoue, Agde, Languedoc-Roussillon, France, 34300</t>
  </si>
  <si>
    <t xml:space="preserve">California Resort Cap d'Agde - Locations, hôtels et hébergements au Cap d'Agde</t>
  </si>
  <si>
    <t>Etienne</t>
  </si>
  <si>
    <t>Faguer</t>
  </si>
  <si>
    <t xml:space="preserve">Co-fondateur - Directeur Général</t>
  </si>
  <si>
    <t>etienne.faguer@atypio.fr</t>
  </si>
  <si>
    <t>http://www.linkedin.com/in/etienne-faguer-036524180</t>
  </si>
  <si>
    <t>Laporte</t>
  </si>
  <si>
    <t xml:space="preserve">Dirigeant Fondateur</t>
  </si>
  <si>
    <t>COMPOSE</t>
  </si>
  <si>
    <t>claporte@compose-paris.fr</t>
  </si>
  <si>
    <t>http://www.linkedin.com/in/christophe-laporte-a3786a7</t>
  </si>
  <si>
    <t>http://www.composeparis.fr</t>
  </si>
  <si>
    <t xml:space="preserve">Savourez les délices d'un restaurant healthy qui opte pour la qualité avec Compose, votre cantine sur mesure présente dans tout Paris !</t>
  </si>
  <si>
    <t>Khelifi</t>
  </si>
  <si>
    <t xml:space="preserve">The Ranch Restaurant</t>
  </si>
  <si>
    <t>yassine@theranch.fr</t>
  </si>
  <si>
    <t>http://www.linkedin.com/in/yassine-khelifi-63b57447</t>
  </si>
  <si>
    <t>http://www.theranch.fr</t>
  </si>
  <si>
    <t>Colombes</t>
  </si>
  <si>
    <t xml:space="preserve">224 Boulevard Charles de Gaulle, Colombes, Ile-de-France, France, 92700</t>
  </si>
  <si>
    <t xml:space="preserve">The Ranch restaurant Colombes, Clamart, Mantes à Paris (92, 75, 93, 94, 93, 95, 78). Restaurant Grill Steakhouse. Le Vrai goût de la viande.</t>
  </si>
  <si>
    <t>Cascales</t>
  </si>
  <si>
    <t xml:space="preserve">YAOZ 🍦</t>
  </si>
  <si>
    <t>nicolas.cascales@yaoz.com</t>
  </si>
  <si>
    <t>http://www.linkedin.com/in/nicolas-cascales-%f0%9f%87%ab%f0%9f%87%b7-575b14196</t>
  </si>
  <si>
    <t>http://www.yaoz.com</t>
  </si>
  <si>
    <t xml:space="preserve">41 Rue Saint-Jean, Lyon, Auvergne-Rhone-Alpes, France, 69005</t>
  </si>
  <si>
    <t xml:space="preserve">Offrez-vous une poz'YAOZ ! YAOZ est un réseau de boutiques qui propose des yaourts glacés, des bubble gaufres, des crêpes, des smoothies, des bubble tea</t>
  </si>
  <si>
    <t>Baud</t>
  </si>
  <si>
    <t xml:space="preserve">Le Roch Hôtel &amp; Spa</t>
  </si>
  <si>
    <t>l.lebaud@leroch-hotel.com</t>
  </si>
  <si>
    <t>http://www.linkedin.com/in/ludovic-le-baud</t>
  </si>
  <si>
    <t>http://www.leroch-hotel.com</t>
  </si>
  <si>
    <t xml:space="preserve">28 Rue Saint-Roch, Paris, Ile-de-France, France, 75001</t>
  </si>
  <si>
    <t xml:space="preserve">Nestled right in the heart of Paris, right in between Le Louvre, Opéra and Concorde, Le Roch Hôtel &amp; Spa is a haven of warmth, tranquility and discrete luxury.</t>
  </si>
  <si>
    <t>Samantha</t>
  </si>
  <si>
    <t>Bailly</t>
  </si>
  <si>
    <t xml:space="preserve">Co-fondatrice - Directrice créative</t>
  </si>
  <si>
    <t>samantha@parenthese-tinyhouse.fr</t>
  </si>
  <si>
    <t>http://www.linkedin.com/in/samantha-bailly-a59b2018</t>
  </si>
  <si>
    <t>Sabrina</t>
  </si>
  <si>
    <t>Viley</t>
  </si>
  <si>
    <t xml:space="preserve">Le Château de la Tour Chantilly</t>
  </si>
  <si>
    <t>s.viley@lechateaudelatour.fr</t>
  </si>
  <si>
    <t>http://www.linkedin.com/in/sabrina-viley-197023104</t>
  </si>
  <si>
    <t>http://www.lechateaudelatour.fr</t>
  </si>
  <si>
    <t xml:space="preserve">Chemin du Chateau de La Tour, Gouvieux, Hauts-de-France, France, 60270</t>
  </si>
  <si>
    <t xml:space="preserve">Site Officiel ✅ - Hotel de charme à Chantilly (Gouvieux), 4 étoiles. Le cadre idéal pour l'organisation d'événements, mariages, séminaires en Île-de-France. Restaurant, Piscine. Tél +33 (0)3 44 62 38 38</t>
  </si>
  <si>
    <t>Wenxu</t>
  </si>
  <si>
    <t>Wang</t>
  </si>
  <si>
    <t xml:space="preserve">Co-Founder &amp; Marketing Director</t>
  </si>
  <si>
    <t xml:space="preserve">PonPon Café</t>
  </si>
  <si>
    <t>wwang@ponpon.cafe</t>
  </si>
  <si>
    <t>http://www.linkedin.com/in/wenxuwang</t>
  </si>
  <si>
    <t>http://www.ponpon.cafe</t>
  </si>
  <si>
    <t xml:space="preserve">3 Rue Moliere, Paris, Ile-de-France, France, 75001</t>
  </si>
  <si>
    <t xml:space="preserve">PonPon est le premier à proposer des mochi donuts en France. En forme de 
corolle, le mochi donut est un savant mélange entre le mochi japonais, 
dessert à base de farine de riz gluant, et le donut américain. Il est plus 
léger à manger qu’un donut classique et sa texture est élastique et 
moelleuse! Préparés chaque jour dans notre cuisine ouverte et sont vendus 
uniquement le jour même.</t>
  </si>
  <si>
    <t>Rais</t>
  </si>
  <si>
    <t>Saturdayz</t>
  </si>
  <si>
    <t>mehdi@saturdayzapp.com</t>
  </si>
  <si>
    <t>http://www.linkedin.com/in/mehdi-rais</t>
  </si>
  <si>
    <t>http://www.saturdayzapp.com</t>
  </si>
  <si>
    <t xml:space="preserve">Massachusetts, United States</t>
  </si>
  <si>
    <t xml:space="preserve">Le système de réservation le plus intuitif et abordable, choisi par plus de 100 restaurants en France et au Maroc. Découvrez la simplicité et l'efficacité qui transformeront votre gestion quotidienne.</t>
  </si>
  <si>
    <t>Mallet</t>
  </si>
  <si>
    <t xml:space="preserve">Co-gérant et co-fondateur de Jack the cockerel</t>
  </si>
  <si>
    <t xml:space="preserve">Jack the Cockerel</t>
  </si>
  <si>
    <t>bertrand@jackthecockerel.com</t>
  </si>
  <si>
    <t>http://www.linkedin.com/in/bertrand-mallet-731985150</t>
  </si>
  <si>
    <t>http://www.jackthecockerel.com</t>
  </si>
  <si>
    <t>Luisant</t>
  </si>
  <si>
    <t xml:space="preserve">17 Avenue Edouard VII, Biarritz, Nouvelle-Aquitaine, France, 64200</t>
  </si>
  <si>
    <t>MENU</t>
  </si>
  <si>
    <t xml:space="preserve">Le Floris</t>
  </si>
  <si>
    <t>vincent@groupefranco.ch</t>
  </si>
  <si>
    <t>http://www.linkedin.com/in/vincent-roques-2845ba48</t>
  </si>
  <si>
    <t>http://www.lefloris.com</t>
  </si>
  <si>
    <t xml:space="preserve">287 Route d'Hermance, Anieres, Geneva, Switzerland, 1247</t>
  </si>
  <si>
    <t>Switzerland</t>
  </si>
  <si>
    <t xml:space="preserve">Restaurant avec vue sur le lac de Genève. Situés à Anières, nous proposons une cuisine gastronomique, gourmande et festive.</t>
  </si>
  <si>
    <t>Baly</t>
  </si>
  <si>
    <t xml:space="preserve">Directeur Général - France</t>
  </si>
  <si>
    <t xml:space="preserve">Diana Hotels Collection</t>
  </si>
  <si>
    <t>thomas.baly@dianacollection.com</t>
  </si>
  <si>
    <t>http://www.linkedin.com/in/thomas-baly-20733418</t>
  </si>
  <si>
    <t>http://www.dianacollection.com</t>
  </si>
  <si>
    <t xml:space="preserve">Molsheim, Grand Est, France, 67120</t>
  </si>
  <si>
    <t xml:space="preserve">SITE OFFICIEL - Diana Hotels Collection. Hôtels et résidences 3 et 4 étoiles de charme, en Alsace et en Suisse: Strasbourg, Molsheim, Colmar, Obernai, Genève et Bâle. Réservez sur les sites officiels. Meilleur Tarif !</t>
  </si>
  <si>
    <t>Brice</t>
  </si>
  <si>
    <t>Tirvert</t>
  </si>
  <si>
    <t xml:space="preserve">Directeur général délégué</t>
  </si>
  <si>
    <t>ROMANÉE</t>
  </si>
  <si>
    <t>brice.tirvert@grouperomanee.com</t>
  </si>
  <si>
    <t>http://www.linkedin.com/in/brice-tirvert-b99653116</t>
  </si>
  <si>
    <t>http://www.grouperomanee.com</t>
  </si>
  <si>
    <t xml:space="preserve">5 Allee des Acacias, Merignac, Nouvelle-Aquitaine, France, 33700</t>
  </si>
  <si>
    <t>Pouzeaud</t>
  </si>
  <si>
    <t xml:space="preserve">Directrice générale Ibis styles et Novotel Val de Fontenay</t>
  </si>
  <si>
    <t xml:space="preserve">FERRE HOTELS</t>
  </si>
  <si>
    <t>nathalie.pouzeaud@accor.com</t>
  </si>
  <si>
    <t>http://www.linkedin.com/in/nathalie-pouzeaud-273b9744</t>
  </si>
  <si>
    <t>http://www.hotel-inn.fr</t>
  </si>
  <si>
    <t>Fontenay-sous-Bois</t>
  </si>
  <si>
    <t xml:space="preserve">Theix, Brittany, France</t>
  </si>
  <si>
    <t xml:space="preserve">Hotel inn Design - 31 hôtels et 24 restaurants Resto Novo dans de nombreuses villes de France - Hôtels tout confort et services de qualité !</t>
  </si>
  <si>
    <t>Tristan</t>
  </si>
  <si>
    <t>Clemencon</t>
  </si>
  <si>
    <t xml:space="preserve">La Brigade</t>
  </si>
  <si>
    <t>tristanclemencon@la-brigade.fr</t>
  </si>
  <si>
    <t>http://www.linkedin.com/in/tristan-clemen%c3%a7on-7486b165</t>
  </si>
  <si>
    <t>http://www.la-brigade.fr</t>
  </si>
  <si>
    <t xml:space="preserve">38 Rue Notre-Dame de Lorette, Paris, Ile-de-France, France, 75009</t>
  </si>
  <si>
    <t xml:space="preserve">La Brigade c'est le premier concept de street food carnivore en France !
Lancé en 2013 par Tristan et Edouard, deux copains fans de barbak, ce concept unique vous permet de personnaliser votre barquette en la dégustant de façon ludique grâce à une pince en bambou recyclable.</t>
  </si>
  <si>
    <t>Bouvier</t>
  </si>
  <si>
    <t xml:space="preserve">Cofounder &amp; COO</t>
  </si>
  <si>
    <t>Tiptoque</t>
  </si>
  <si>
    <t>thomas@tiptoque.com</t>
  </si>
  <si>
    <t>http://www.linkedin.com/in/thomas-bouvier-028592113</t>
  </si>
  <si>
    <t>http://www.tiptoque.com</t>
  </si>
  <si>
    <t xml:space="preserve">43 Rue Richer, Paris, Ile-de-France, France, 75009</t>
  </si>
  <si>
    <t xml:space="preserve">Découvrez Tiptoque : cartes cadeaux, traiteur, livraison et plats à emporter dans des restaurants exclusivement sélectionnés par le Guide MICHELIN.</t>
  </si>
  <si>
    <t>Hertzberg</t>
  </si>
  <si>
    <t xml:space="preserve">Secret Journeys</t>
  </si>
  <si>
    <t>philippe@secretjourneys.travel</t>
  </si>
  <si>
    <t>http://www.linkedin.com/in/philippe-hertzberg-4492b71</t>
  </si>
  <si>
    <t>http://www.secretjourneys.travel</t>
  </si>
  <si>
    <t xml:space="preserve">Ile-de-France, France</t>
  </si>
  <si>
    <t xml:space="preserve">Private, bespoke luxury tours led by expert storytellers take you behind the scenes of Paris’ top sights and secret places: Versailles, Montmartre vineyard, Opera Garnier, Arc de Triomphe…</t>
  </si>
  <si>
    <t>Languillon</t>
  </si>
  <si>
    <t xml:space="preserve">Luxe Wellness Club</t>
  </si>
  <si>
    <t>pascal@luxewellnessclub.com</t>
  </si>
  <si>
    <t>http://www.linkedin.com/in/pascallanguillon</t>
  </si>
  <si>
    <t>http://www.luxewellnessclub.com</t>
  </si>
  <si>
    <t xml:space="preserve">Sélection des plus belles adresses wellness en France et dans le monde: retraites de yoga, cures de détox, soins et spas, méditation, dans des lieux d'exception</t>
  </si>
  <si>
    <t>Guimard</t>
  </si>
  <si>
    <t>SPOTPILOT</t>
  </si>
  <si>
    <t>philippe.guimard@e-axess.com</t>
  </si>
  <si>
    <t>http://www.linkedin.com/in/philippe-guimard-e-axess</t>
  </si>
  <si>
    <t>http://www.e-axess.com</t>
  </si>
  <si>
    <t>Julia</t>
  </si>
  <si>
    <t>Vernin</t>
  </si>
  <si>
    <t xml:space="preserve">CEO et co-fondatrice de MASLOW GROUP</t>
  </si>
  <si>
    <t xml:space="preserve">MASLOW GROUP</t>
  </si>
  <si>
    <t>julia@maslow-group.com</t>
  </si>
  <si>
    <t>http://www.linkedin.com/in/julia-chican-3335743</t>
  </si>
  <si>
    <t>http://www.maslow-restaurants.com</t>
  </si>
  <si>
    <t xml:space="preserve">Un restaurant végétarien, low impact sur les quais en plein Paris avec une grande terrasse, vue sur la Seine !</t>
  </si>
  <si>
    <t>Cassart</t>
  </si>
  <si>
    <t xml:space="preserve">Yummy &amp; Guiltfree</t>
  </si>
  <si>
    <t>damien@yummyandguiltfree.com</t>
  </si>
  <si>
    <t>http://www.linkedin.com/in/damien-cassart-b4788b18</t>
  </si>
  <si>
    <t>http://www.yummyandguiltfree.com</t>
  </si>
  <si>
    <t xml:space="preserve">3 Rue du Temple, Paris, Ile-de-France, France, 75004</t>
  </si>
  <si>
    <t>Moyse</t>
  </si>
  <si>
    <t xml:space="preserve">Orizon Living</t>
  </si>
  <si>
    <t>olivier@orizonglobal.com</t>
  </si>
  <si>
    <t>http://www.linkedin.com/in/olivier-moyse-723baa9</t>
  </si>
  <si>
    <t>http://www.orizonliving.com</t>
  </si>
  <si>
    <t xml:space="preserve">Centre Street, London, England, United Kingdom, E11 3</t>
  </si>
  <si>
    <t xml:space="preserve">We are Orizon Living, a boutique hospitality agency servicing Mykonos, the Greek islands, and beyond that treats every trip as a once-in-a-lifetime experience.</t>
  </si>
  <si>
    <t>Maria</t>
  </si>
  <si>
    <t>Niakate</t>
  </si>
  <si>
    <t xml:space="preserve">Cheffe / Co-fondatrice</t>
  </si>
  <si>
    <t xml:space="preserve">Wings &amp; Chill</t>
  </si>
  <si>
    <t>maria@wingsandchill.fr</t>
  </si>
  <si>
    <t>http://www.linkedin.com/in/maria-niakate-b670bb94</t>
  </si>
  <si>
    <t>http://www.wingsandchill.fr</t>
  </si>
  <si>
    <t xml:space="preserve">70 Rue Alexandre Dumas, Paris, Ile-de-France, France, 75011</t>
  </si>
  <si>
    <t xml:space="preserve">Wings &amp; Chill is first a family business, brothers and sisters who had joined forces to create a unique concept!
Welcome to our universe, here it is: challenges, collabs, events, artists... but above all, incredible recipes! All in a crazy…</t>
  </si>
  <si>
    <t>Moscodier</t>
  </si>
  <si>
    <t>Brutus_crêperies</t>
  </si>
  <si>
    <t>maxence@brutus-paris.com</t>
  </si>
  <si>
    <t>http://www.linkedin.com/in/maxence-moscodier-1a865832</t>
  </si>
  <si>
    <t>http://www.brutus-creperies.com</t>
  </si>
  <si>
    <t xml:space="preserve">99 Rue des Dames, Paris, Ile-de-France, France, 75017</t>
  </si>
  <si>
    <t xml:space="preserve">BRUTUS - Le meilleur de la crêpe et du cidre, à Paris et à Lille. Découvrez 
notre univers dans nos restaurants, en click and collect ou en livraison.</t>
  </si>
  <si>
    <t>Younes</t>
  </si>
  <si>
    <t>Chaboz</t>
  </si>
  <si>
    <t xml:space="preserve">CRISPY SOUL</t>
  </si>
  <si>
    <t>younes@crispysoul.fr</t>
  </si>
  <si>
    <t>http://www.linkedin.com/in/younes-chaboz</t>
  </si>
  <si>
    <t>http://www.crispysoul.fr</t>
  </si>
  <si>
    <t xml:space="preserve">289 Rue Saint-Denis, Paris, Ile-de-France, France, 75002</t>
  </si>
  <si>
    <t xml:space="preserve">Chez Crispy Soul à Paris, nous réinventons la street-food ! Découvrez nos waffle burgers uniques avec du poulet frit croustillant, accompagnés de cheddar anglais de première qualité, le tout préparé maison. Nous vous accueillons dans nos 4 adresses parisiennes (Paris 2, 9, 11 et 15) ainsi que dans notre restaurant à Lyon 2. Une fusion gourmande qui éveille les papilles, alliant tradition et innovation culinaire.</t>
  </si>
  <si>
    <t>Solanet</t>
  </si>
  <si>
    <t xml:space="preserve">Orso Hotels</t>
  </si>
  <si>
    <t>louis@orsohotels.com</t>
  </si>
  <si>
    <t>http://www.linkedin.com/in/louis-solanet-0918b323</t>
  </si>
  <si>
    <t>http://www.orsohotels.com</t>
  </si>
  <si>
    <t xml:space="preserve">201 Rue du Faubourg Saint-Honore, Paris, Ile-de-France, France, 75008</t>
  </si>
  <si>
    <t xml:space="preserve">Dans l'intimité de l'Hôtel Doisy, vivez l'art de l'hospitalité à la parisienne. Réservez une escapade exclusive dans nos boutiques hôtels Orso.</t>
  </si>
  <si>
    <t>Ahmet</t>
  </si>
  <si>
    <t>Ogras</t>
  </si>
  <si>
    <t xml:space="preserve">AFRA VOYAGES</t>
  </si>
  <si>
    <t>ogras@afravoyages.com</t>
  </si>
  <si>
    <t>http://www.linkedin.com/in/ahmet-ogras-74a95824</t>
  </si>
  <si>
    <t>http://www.resatravel.com</t>
  </si>
  <si>
    <t xml:space="preserve">86 Rue du Faubourg Saint-Martin, Paris, Ile-de-France, France, 75010</t>
  </si>
  <si>
    <t xml:space="preserve">Billets d'avion pas cher : Recherchez et et réservez votre vol pas cher pour la France et l'étranger. Trouvez des billets d'avion pas chers de dernières minutes. Vols secs à petits prix !</t>
  </si>
  <si>
    <t>Pierre-Louis</t>
  </si>
  <si>
    <t>Vignot</t>
  </si>
  <si>
    <t xml:space="preserve">Domaine de Crecy</t>
  </si>
  <si>
    <t>plouis.vignot@omegatropicalpark.com</t>
  </si>
  <si>
    <t>http://www.linkedin.com/in/pierre-louis-vignot-97277160</t>
  </si>
  <si>
    <t>http://www.domainedecrecy.com</t>
  </si>
  <si>
    <t xml:space="preserve">Crecy-la-Chapelle, Ile-de-France, France, 77580</t>
  </si>
  <si>
    <t>Rejane</t>
  </si>
  <si>
    <t>Narbonnet</t>
  </si>
  <si>
    <t xml:space="preserve">Fondatrice et Directrice</t>
  </si>
  <si>
    <t xml:space="preserve">La French Latitude</t>
  </si>
  <si>
    <t>rejane@lafrenchlatitude.com</t>
  </si>
  <si>
    <t>http://www.linkedin.com/in/rejane-narbonnet-47280152</t>
  </si>
  <si>
    <t>http://www.lafrenchlatitude.com</t>
  </si>
  <si>
    <t>Jouanneau-Courville</t>
  </si>
  <si>
    <t xml:space="preserve">Hôtel Esprit d'Azur</t>
  </si>
  <si>
    <t>quentin.courville@hotelespritdazur.com</t>
  </si>
  <si>
    <t>http://www.linkedin.com/in/quentin-jouanneau-courville</t>
  </si>
  <si>
    <t>http://www.hotelespritdazur.com</t>
  </si>
  <si>
    <t xml:space="preserve">4 Rue Barberis, Nice, Provence-Alpes-Cote d'Azur, France, 06300</t>
  </si>
  <si>
    <t xml:space="preserve">L'HÔTEL ESPRIT D'AZUR, Un hôtel indépendant et authentique de 37 chambres. La priorité de la famille gérante et de son équipe est de vous offrir un accueil et un accompagnement de qualité. La réception et le bar de l'hôtel sont ouverts 24h/24 et l'ensemble du personnel se tient à votre disposition.</t>
  </si>
  <si>
    <t>Lallement</t>
  </si>
  <si>
    <t>m.lallement@highstay.com</t>
  </si>
  <si>
    <t>http://www.linkedin.com/in/maxime-lallement-01b812b3</t>
  </si>
  <si>
    <t>Multrier</t>
  </si>
  <si>
    <t xml:space="preserve">Fondateur et CEO</t>
  </si>
  <si>
    <t xml:space="preserve">BEYOND PLACES</t>
  </si>
  <si>
    <t>gm@beyondplaces.com</t>
  </si>
  <si>
    <t>http://www.linkedin.com/in/guillaumemultrier</t>
  </si>
  <si>
    <t>http://www.beyondplaces.com</t>
  </si>
  <si>
    <t xml:space="preserve">79 Boulevard Saint-Michel, Paris, Ile-de-France, France, 75005</t>
  </si>
  <si>
    <t xml:space="preserve">Beyond Places est un opérateur spécialisé dans l’investissement, le développement et la gestion hôtelière</t>
  </si>
  <si>
    <t>Joanne</t>
  </si>
  <si>
    <t>Carter</t>
  </si>
  <si>
    <t xml:space="preserve">Co-Founder and CMO</t>
  </si>
  <si>
    <t xml:space="preserve">For True Foodies Only</t>
  </si>
  <si>
    <t>joanne@truefoodies.com</t>
  </si>
  <si>
    <t>http://www.linkedin.com/in/joannecarter</t>
  </si>
  <si>
    <t>http://www.truefoodies.com</t>
  </si>
  <si>
    <t xml:space="preserve">2050 N Burling St, Chicago, Illinois, United States, 60614-0752</t>
  </si>
  <si>
    <t xml:space="preserve">Do you love food, wine, fine dining and cooking? Get recipes and restaurant 
recommendations from top chefs, video cooking courses, wine pairings and 
Bite Books™. See posts from chefs and foodies from around the world and 
share your own. Awarded by Le Cordon Bleu Paris.</t>
  </si>
  <si>
    <t>Abourmad</t>
  </si>
  <si>
    <t xml:space="preserve">Co-Founder &amp; Executive Chef</t>
  </si>
  <si>
    <t>julien@thefrenchbastards.fr</t>
  </si>
  <si>
    <t>http://www.linkedin.com/in/julien-abourmad-23141195</t>
  </si>
  <si>
    <t>Rime</t>
  </si>
  <si>
    <t>Robert</t>
  </si>
  <si>
    <t>FOLO</t>
  </si>
  <si>
    <t>rime@folo.me</t>
  </si>
  <si>
    <t>http://www.linkedin.com/in/rime-robert-488ab9156</t>
  </si>
  <si>
    <t>http://www.folo.me</t>
  </si>
  <si>
    <t>Wissous</t>
  </si>
  <si>
    <t xml:space="preserve">Frankfurt, Hesse, Germany, 60313</t>
  </si>
  <si>
    <t>Wundermann</t>
  </si>
  <si>
    <t xml:space="preserve">Gustave Hospitality</t>
  </si>
  <si>
    <t>benjamin@gustavehospitality.com</t>
  </si>
  <si>
    <t>http://www.linkedin.com/in/benjamin-wundermann-8457b723</t>
  </si>
  <si>
    <t>http://www.gustavehospitality.com</t>
  </si>
  <si>
    <t xml:space="preserve">Paris, Ile-de-France, France, 75116</t>
  </si>
  <si>
    <t xml:space="preserve">Bienvenue chez Gustave Hospitality, fournisseur de produits écoresponsables pour l'hôtellerie: écokits d'accueil, emballages carton et cosmétiques EU Ecolabel</t>
  </si>
  <si>
    <t>Marc</t>
  </si>
  <si>
    <t>Descendre</t>
  </si>
  <si>
    <t xml:space="preserve">Food and cook</t>
  </si>
  <si>
    <t>mdescendre@foodandcook.fr</t>
  </si>
  <si>
    <t>http://www.linkedin.com/in/marc-descendre-1736583a</t>
  </si>
  <si>
    <t>http://www.foodandcook.fr</t>
  </si>
  <si>
    <t xml:space="preserve">101 Boulevard Vauban, Lille, Hauts-de-France, France, 59800</t>
  </si>
  <si>
    <t>Niall</t>
  </si>
  <si>
    <t>Ccm</t>
  </si>
  <si>
    <t xml:space="preserve">The Condor at Chateau du Coudreceau</t>
  </si>
  <si>
    <t>niall@the-condor.com</t>
  </si>
  <si>
    <t>http://www.linkedin.com/in/niall-carroll-ccm-3b803663</t>
  </si>
  <si>
    <t>http://www.the-condor.com</t>
  </si>
  <si>
    <t xml:space="preserve">Loury, Centre-Val de Loire, France, 45470</t>
  </si>
  <si>
    <t>Sutra</t>
  </si>
  <si>
    <t xml:space="preserve">The Ruck Hotel</t>
  </si>
  <si>
    <t>jerome.sutra@theruckhotel.com</t>
  </si>
  <si>
    <t>http://www.linkedin.com/in/j%c3%a9rome-sutra-a5873548</t>
  </si>
  <si>
    <t>http://www.theruckhotel.com</t>
  </si>
  <si>
    <t>Jeremie</t>
  </si>
  <si>
    <t>Moles</t>
  </si>
  <si>
    <t xml:space="preserve">Cantine et Gamelle</t>
  </si>
  <si>
    <t>j.moles@cantine-gamelle.fr</t>
  </si>
  <si>
    <t>http://www.linkedin.com/in/jeremie-moles-292324162</t>
  </si>
  <si>
    <t>http://www.cantine-gamelle.fr</t>
  </si>
  <si>
    <t xml:space="preserve">116 Route d'Espagne, Toulouse, Occitanie, France, 31100</t>
  </si>
  <si>
    <t xml:space="preserve">Cantine &amp; Gamelle vous propose une carte de Sandwichs, Salades, Burgers et un Plat du Jour réalisés par nos soins à partir de produits frais !</t>
  </si>
  <si>
    <t>Beguier</t>
  </si>
  <si>
    <t>obeguier@eurochef.fr</t>
  </si>
  <si>
    <t>http://www.linkedin.com/in/olivierbeguier</t>
  </si>
  <si>
    <t>Niort</t>
  </si>
  <si>
    <t>Myriam</t>
  </si>
  <si>
    <t>Sabet</t>
  </si>
  <si>
    <t xml:space="preserve">Fondatrice, Présidente</t>
  </si>
  <si>
    <t xml:space="preserve">Maison Aleph</t>
  </si>
  <si>
    <t>myriam@maisonaleph.com</t>
  </si>
  <si>
    <t>http://www.linkedin.com/in/myriam-sabet-3769a46</t>
  </si>
  <si>
    <t>http://www.maisonaleph.com</t>
  </si>
  <si>
    <t xml:space="preserve">20 Rue de la Verrerie, Paris, Ile-de-France, France, 75004</t>
  </si>
  <si>
    <t>Lemmy</t>
  </si>
  <si>
    <t>Brou</t>
  </si>
  <si>
    <t xml:space="preserve">Local Coffee</t>
  </si>
  <si>
    <t>lemmy.brou@cafeterroir.fr</t>
  </si>
  <si>
    <t>http://www.linkedin.com/in/lemmy-brou-b21b8035</t>
  </si>
  <si>
    <t>http://www.cafeterroir.fr</t>
  </si>
  <si>
    <t xml:space="preserve">Le Café Terroir est un bistrot gastronomique qui propose une sélection de produits locaux dénichés dans les quatre coins de la région Rhône-Alpes. La Cave à Manger est un concept de bar à vins dans lequel nous proposons des produits de terroir et d'exception ainsi qu'une large sélection de vins.</t>
  </si>
  <si>
    <t>Durand</t>
  </si>
  <si>
    <t>pierre@artichef.fr</t>
  </si>
  <si>
    <t>http://www.linkedin.com/in/pierre-durand-364b1341</t>
  </si>
  <si>
    <t>Domont</t>
  </si>
  <si>
    <t>Aziza</t>
  </si>
  <si>
    <t xml:space="preserve">Mika Sushi</t>
  </si>
  <si>
    <t>direction@mikasushi.fr</t>
  </si>
  <si>
    <t>http://www.linkedin.com/in/raphael-aziza-688772132</t>
  </si>
  <si>
    <t>http://www.deliverectdirect.com</t>
  </si>
  <si>
    <t>Villeurbanne</t>
  </si>
  <si>
    <t xml:space="preserve">49 Rue Racine, Villeurbanne, Auvergne-Rhone-Alpes, France, 69100</t>
  </si>
  <si>
    <t xml:space="preserve">Commandez directement auprès de Mika Sushi et profitez des meilleures offres</t>
  </si>
  <si>
    <t>Fatima</t>
  </si>
  <si>
    <t>fatima@wingsandchill.fr</t>
  </si>
  <si>
    <t>http://www.linkedin.com/in/fatima-niakate-730437236</t>
  </si>
  <si>
    <t>Brossard</t>
  </si>
  <si>
    <t xml:space="preserve">Directrice générale Villa Grand Voile</t>
  </si>
  <si>
    <t xml:space="preserve">Hôtel &amp; Restaurants Christopher Coutanceau</t>
  </si>
  <si>
    <t>caroline.brossard@villagrandvoile.com</t>
  </si>
  <si>
    <t>http://www.linkedin.com/in/caroline-brossard-3131681a</t>
  </si>
  <si>
    <t>http://www.christophercoutanceau.com</t>
  </si>
  <si>
    <t xml:space="preserve">La Rochelle</t>
  </si>
  <si>
    <t xml:space="preserve">4 Allee du Mail, La Rochelle, Nouvelle-Aquitaine, France, 17000</t>
  </si>
  <si>
    <t xml:space="preserve">SITE OFFICIEL | Christopher Coutanceau : 3 adresses, 1 Signature à La Rochelle. La Villa Grand Voile, Restaurant Christopher Coutanceau étoilé Michelin, La Yole de Chris ✓ Réservez en ligne</t>
  </si>
  <si>
    <t>Kalala</t>
  </si>
  <si>
    <t xml:space="preserve">Co-fondateur Bomaye</t>
  </si>
  <si>
    <t>laurent@bomayeclub.com</t>
  </si>
  <si>
    <t>http://www.linkedin.com/in/laurentkalala</t>
  </si>
  <si>
    <t>Anne-Isabelle</t>
  </si>
  <si>
    <t>Barberet</t>
  </si>
  <si>
    <t xml:space="preserve">La Mainaz Hôtel ****</t>
  </si>
  <si>
    <t>ai.barberet@la-mainaz.com</t>
  </si>
  <si>
    <t>http://www.linkedin.com/in/anne-isabelle-barberet-20143911b</t>
  </si>
  <si>
    <t>http://www.la-mainaz.com</t>
  </si>
  <si>
    <t xml:space="preserve">Route de la Faucille, Gex, Rhone-Alpes, France, 01170</t>
  </si>
  <si>
    <t xml:space="preserve">Site Officiel ✅ Situé à Gex dans le Jura, La Mainaz, hôtel de charme vous propose ses chambres avec vue sur le Mont Blanc et son restaurant gastronomique.</t>
  </si>
  <si>
    <t>Gaelle</t>
  </si>
  <si>
    <t>Davenel</t>
  </si>
  <si>
    <t xml:space="preserve">AGH Hospitality</t>
  </si>
  <si>
    <t>gaelle.davenel@agh-hospitality.com</t>
  </si>
  <si>
    <t>http://www.linkedin.com/in/ga%c3%ablle-davenel-76ba43196</t>
  </si>
  <si>
    <t>http://www.agh-hospitality.com</t>
  </si>
  <si>
    <t xml:space="preserve">AGH Hospitality, l’humain au service de la performance, est né de besoins opérationnels et financiers exprimés par les clients.</t>
  </si>
  <si>
    <t>Deschamps</t>
  </si>
  <si>
    <t xml:space="preserve">Le Boutique Hotels Collection</t>
  </si>
  <si>
    <t>direction@le-bhc.com</t>
  </si>
  <si>
    <t>http://www.linkedin.com/in/bastien-deschamps-50616a104</t>
  </si>
  <si>
    <t>http://www.leboutiquehotelscollection.com</t>
  </si>
  <si>
    <t xml:space="preserve">Exigez l'exceptionnel</t>
  </si>
  <si>
    <t>Jullien</t>
  </si>
  <si>
    <t>GREEKIA</t>
  </si>
  <si>
    <t>tojullien@institutpaulbocuse.com</t>
  </si>
  <si>
    <t>http://www.linkedin.com/in/tom-jullien-162b15178</t>
  </si>
  <si>
    <t>http://www.institutpaulbocuse.com</t>
  </si>
  <si>
    <t xml:space="preserve">Lyon, Sauveterre-de-Guyenne, Aquitaine-Limousin-Poitou-Charentes, France, 33540</t>
  </si>
  <si>
    <t>Motte</t>
  </si>
  <si>
    <t>alexis@kawaa.co</t>
  </si>
  <si>
    <t>http://www.linkedin.com/in/alexis-motte-2a9299</t>
  </si>
  <si>
    <t>Schelstraete</t>
  </si>
  <si>
    <t>maxime@nu-lille.fr</t>
  </si>
  <si>
    <t>http://www.linkedin.com/in/maxime-schelstraete-8895381a3</t>
  </si>
  <si>
    <t>Madelyn</t>
  </si>
  <si>
    <t>Byrne</t>
  </si>
  <si>
    <t xml:space="preserve">Founder, Head of Marketing</t>
  </si>
  <si>
    <t xml:space="preserve">Paris Perfect</t>
  </si>
  <si>
    <t>madelyn@parisperfect.com</t>
  </si>
  <si>
    <t>http://www.linkedin.com/in/madelyn-byrne-7837ba38</t>
  </si>
  <si>
    <t>http://www.parisperfect.com</t>
  </si>
  <si>
    <t xml:space="preserve">39 Rue Rodier, Paris, Ile-de-France, France, 75009</t>
  </si>
  <si>
    <t xml:space="preserve">La Place Dauphine is comprised of six beautiful apartments in an historic building dating back to 1610 located on Place Dauphine.</t>
  </si>
  <si>
    <t>Pollet</t>
  </si>
  <si>
    <t>LoungeUp</t>
  </si>
  <si>
    <t>mathieu@loungeup.com</t>
  </si>
  <si>
    <t>http://www.linkedin.com/in/mpollet</t>
  </si>
  <si>
    <t>http://www.loungeup.com</t>
  </si>
  <si>
    <t xml:space="preserve">82 Rue du Faubourg Saint-Martin, Paris, Ile-de-France, France, 75010</t>
  </si>
  <si>
    <t xml:space="preserve">Dmbook pro a rejoint LoungeUp — Bénéficiez des fonctionnalités Dmbook avec la force de développement de LoungeUp</t>
  </si>
  <si>
    <t>Jean-Baptiste</t>
  </si>
  <si>
    <t>Perez-Castillo</t>
  </si>
  <si>
    <t>Pedzouille</t>
  </si>
  <si>
    <t>jb@pedzouille.fr</t>
  </si>
  <si>
    <t>http://www.linkedin.com/in/jean-baptiste-perez-castillo-493ab930</t>
  </si>
  <si>
    <t>http://www.pedzouille.fr</t>
  </si>
  <si>
    <t xml:space="preserve">66 Rue du Faubourg Poissonniere, Paris, Ile-de-France, France, 75010</t>
  </si>
  <si>
    <t>Edouard</t>
  </si>
  <si>
    <t>Daehn</t>
  </si>
  <si>
    <t xml:space="preserve">Founder Barn Hotels</t>
  </si>
  <si>
    <t xml:space="preserve">Le Barn Hôtel</t>
  </si>
  <si>
    <t>edouard.d@barnhotels.com</t>
  </si>
  <si>
    <t>http://www.linkedin.com/in/edouard-daehn-569666b</t>
  </si>
  <si>
    <t>http://www.lebarnhotel.com</t>
  </si>
  <si>
    <t xml:space="preserve">Bonnelles, Ile-de-France, France, 78830</t>
  </si>
  <si>
    <t xml:space="preserve">LE BARN est un hôtel, un lieu pluriel qui répond à un désir : s'évader. A 45 minutes de Paris, profitez de plusieurs hectares de nature et d'activités.</t>
  </si>
  <si>
    <t>Aurelien</t>
  </si>
  <si>
    <t>Jemma</t>
  </si>
  <si>
    <t>Likibu</t>
  </si>
  <si>
    <t>aurelien@likibu.com</t>
  </si>
  <si>
    <t>http://www.linkedin.com/in/aurelien-jemma-10285b</t>
  </si>
  <si>
    <t>http://www.likibu.com</t>
  </si>
  <si>
    <t xml:space="preserve">Trouvez votre location de vacances sur Likibu, 1er comparateur de location de maisons et d'appartement de vacances entre particuliers partout dans le monde.</t>
  </si>
  <si>
    <t>Esseryk</t>
  </si>
  <si>
    <t xml:space="preserve">Founder &amp; Managing Director</t>
  </si>
  <si>
    <t xml:space="preserve">HDC HOSPITALITY</t>
  </si>
  <si>
    <t>david.esseryk@hdchospitality.com</t>
  </si>
  <si>
    <t>http://www.linkedin.com/in/davidesseryk</t>
  </si>
  <si>
    <t>http://www.hdchospitality.com</t>
  </si>
  <si>
    <t xml:space="preserve">Besoin d'un consultant en hôtellerie ou restauration ? HDC Hospitality vous accompagne à chaque étape. Stratégie, marketing, concept, recrutement...
Contactez-nous !</t>
  </si>
  <si>
    <t>Karol</t>
  </si>
  <si>
    <t>Lor</t>
  </si>
  <si>
    <t xml:space="preserve">Founder, International Sales Representation</t>
  </si>
  <si>
    <t xml:space="preserve">Klimb Up Hotels</t>
  </si>
  <si>
    <t>karol@klimbuphotels.com</t>
  </si>
  <si>
    <t>http://www.linkedin.com/in/karol-lor-12292649</t>
  </si>
  <si>
    <t>http://www.klimbuphotels.com</t>
  </si>
  <si>
    <t xml:space="preserve">5 Rue du Helder, Paris, Ile-de-France, France, 75009</t>
  </si>
  <si>
    <t xml:space="preserve">Bienvenue sur le site officiel de Klimb Up Hotels, société en développement commercial pour les hôtels indépendants.</t>
  </si>
  <si>
    <t xml:space="preserve">Principal Chief Executive Officer</t>
  </si>
  <si>
    <t>POUTINEBROS</t>
  </si>
  <si>
    <t>nicolas@poutinebros.com</t>
  </si>
  <si>
    <t>http://www.linkedin.com/in/nicolas-gaudin-500a6352</t>
  </si>
  <si>
    <t>http://www.poutinebros.com</t>
  </si>
  <si>
    <t xml:space="preserve">Rennes, Brittany, France</t>
  </si>
  <si>
    <t xml:space="preserve">Découvre PoutineBros, ton restaurant de poutine québécoise. Elue 2 fois meilleure poutine du monde (hors Canada) en 2016 et 2021.</t>
  </si>
  <si>
    <t>maxime@edgarsuites.com</t>
  </si>
  <si>
    <t>http://www.linkedin.com/in/maxime-benoit-edgarsuites</t>
  </si>
  <si>
    <t>Jacques-Henri</t>
  </si>
  <si>
    <t>Strubel</t>
  </si>
  <si>
    <t xml:space="preserve">Président Co-fondateur</t>
  </si>
  <si>
    <t>L'Alsacien</t>
  </si>
  <si>
    <t>jh.strubel@lalsacien.com</t>
  </si>
  <si>
    <t>http://www.linkedin.com/in/jacques-henri-strubel-8651a483</t>
  </si>
  <si>
    <t>http://www.lalsacien.com</t>
  </si>
  <si>
    <t xml:space="preserve">6 Rue Saint-Bon, Paris, Ile-de-France, France, 75004</t>
  </si>
  <si>
    <t xml:space="preserve">Découvrez la cuisine alsacienne et tout particulièrement ses flammekueches dans les meilleurs restaurants alsaciens de France ! A bientôt :)</t>
  </si>
  <si>
    <t>Alexandre</t>
  </si>
  <si>
    <t>Aruchumian</t>
  </si>
  <si>
    <t>alexandre@delicity.com</t>
  </si>
  <si>
    <t>http://www.linkedin.com/in/aaruchumian</t>
  </si>
  <si>
    <t>Celine</t>
  </si>
  <si>
    <t>Meslin</t>
  </si>
  <si>
    <t>VICARTEM</t>
  </si>
  <si>
    <t>cmeslin@vicartem.fr</t>
  </si>
  <si>
    <t>http://www.linkedin.com/in/celine-meslin-568138172</t>
  </si>
  <si>
    <t>http://www.vicartem.fr</t>
  </si>
  <si>
    <t xml:space="preserve">35 Boulevard de la Liberte, Rennes, Brittany, France, 35000</t>
  </si>
  <si>
    <t xml:space="preserve">Depuis plus de vingt ans, Vicartem fait rayonner des lieux d’exception au cœur des villes. Vicartem crée et accompagne votre investissement immobilier.</t>
  </si>
  <si>
    <t>Elodie</t>
  </si>
  <si>
    <t>Piege</t>
  </si>
  <si>
    <t xml:space="preserve">Maison Piège</t>
  </si>
  <si>
    <t>elodie@jeanfrancoispiege.com</t>
  </si>
  <si>
    <t>http://www.linkedin.com/in/elodie-pi%c3%a8ge-135a7a26</t>
  </si>
  <si>
    <t>http://www.xn--jeanfranoispiege-jpb.com</t>
  </si>
  <si>
    <t xml:space="preserve">7 Rue d'Aguesseau, Paris, Ile-de-France, France, 75008</t>
  </si>
  <si>
    <t>Robic</t>
  </si>
  <si>
    <t xml:space="preserve">Château Hôtel Grand Barrail</t>
  </si>
  <si>
    <t>b.robic@grand-barrail.com</t>
  </si>
  <si>
    <t>http://www.linkedin.com/in/benjamin-robic-17088232</t>
  </si>
  <si>
    <t>http://www.grand-barrail.com</t>
  </si>
  <si>
    <t xml:space="preserve">Route de Libourne, Vignonet, Nouvelle-Aquitaine, France, 33330</t>
  </si>
  <si>
    <t xml:space="preserve">Grab exciting 5 star hotel offers to spend quality time in the famous Saint Emilion region of France, near Bordeaux. Get immersed in the charm and grandeur of our restaurant that serves you innovative cuisine in a relaxing environment.</t>
  </si>
  <si>
    <t>Jean-Chrysostome</t>
  </si>
  <si>
    <t>Dumont</t>
  </si>
  <si>
    <t xml:space="preserve">L'Escale Royale</t>
  </si>
  <si>
    <t>jc.dumont@lescaleroyale.fr</t>
  </si>
  <si>
    <t>http://www.linkedin.com/in/jean-chrysostome-dumont</t>
  </si>
  <si>
    <t>http://www.lescaleroyale.fr</t>
  </si>
  <si>
    <t xml:space="preserve">Venez, le temps d'une nuit, vous ressourcer à deux et tentez une nouvelle expérience insolite. Un séjour romantique ou vous pourrez vous détendre et vous ressourcer sur l’eau grâce à L'escale Royale.</t>
  </si>
  <si>
    <t>Plailly</t>
  </si>
  <si>
    <t xml:space="preserve">Co-fondatrice Les Dames de la cantine</t>
  </si>
  <si>
    <t xml:space="preserve">Les Dames de la cantine</t>
  </si>
  <si>
    <t>juliette@lesdamesdelacantine.fr</t>
  </si>
  <si>
    <t>http://www.linkedin.com/in/julietteplailly</t>
  </si>
  <si>
    <t>http://www.lesdamestraiteur.fr</t>
  </si>
  <si>
    <t xml:space="preserve">Lyon, Auvergne-Rhone-Alpes, France, 69002</t>
  </si>
  <si>
    <t xml:space="preserve">Traiteur écoresponsable - Lyon</t>
  </si>
  <si>
    <t>Joris</t>
  </si>
  <si>
    <t>Bauchais</t>
  </si>
  <si>
    <t xml:space="preserve">Le Prose</t>
  </si>
  <si>
    <t>joris@le-prose.fr</t>
  </si>
  <si>
    <t>http://www.linkedin.com/in/joris-bauchais-a3a1b391</t>
  </si>
  <si>
    <t>http://www.le-prose.fr</t>
  </si>
  <si>
    <t xml:space="preserve">277 Allee du Vaccares, La Grande-Motte, Occitanie, France, 34280</t>
  </si>
  <si>
    <t xml:space="preserve">Découvrez Le Prose à La Grande-Motte : un hôtel 4 étoiles à la mer avec piscine, restaurant, brunchs dominicaux et séminaires modulables.</t>
  </si>
  <si>
    <t>Thibaut</t>
  </si>
  <si>
    <t>Fauconnier</t>
  </si>
  <si>
    <t xml:space="preserve">Best Western Plus Le Fairway Hôtel et Spa Golf D'Arras</t>
  </si>
  <si>
    <t>thibaut.fauconnier@hotel-fairway.com</t>
  </si>
  <si>
    <t>http://www.linkedin.com/in/thibaut-fauconnier-0040aba7</t>
  </si>
  <si>
    <t>http://www.hotel-spa-fairway.com</t>
  </si>
  <si>
    <t>Arras</t>
  </si>
  <si>
    <t xml:space="preserve">1000 Rue Briquet-Taillandier, Anzin-Saint-Aubin, Hauts-de-France, France, 62223</t>
  </si>
  <si>
    <t xml:space="preserve">Best Western PLUS Le Fairway, hôtel &amp; spa du Golf d'Arras et son restaurant L'Albatros, vous accueille pour un séjour bien-être dans le Pas-de-Calais (62).</t>
  </si>
  <si>
    <t>Born</t>
  </si>
  <si>
    <t xml:space="preserve">ATYPIK HOTEL</t>
  </si>
  <si>
    <t>antoine@atypikhotel.com</t>
  </si>
  <si>
    <t>http://www.linkedin.com/in/antoine-born-53261795</t>
  </si>
  <si>
    <t>http://www.hotelclichy.com</t>
  </si>
  <si>
    <t xml:space="preserve">20 Rue Villeneuve, Clichy, Ile-de-France, France, 92110</t>
  </si>
  <si>
    <t xml:space="preserve">Découvrez ATYPIK HOTEL, votre Hôtel *** à Clichy idéalement situé à 2 pas de Paris &amp; son Espace bien-être (sauna, spa).</t>
  </si>
  <si>
    <t>Margot</t>
  </si>
  <si>
    <t>Kielt</t>
  </si>
  <si>
    <t xml:space="preserve">Hotel Litteraire Le Swann</t>
  </si>
  <si>
    <t>direction@hotel-leswann.com</t>
  </si>
  <si>
    <t>http://www.linkedin.com/in/margot-kielt-5ab589a3</t>
  </si>
  <si>
    <t>http://www.hotel-leswann.com</t>
  </si>
  <si>
    <t xml:space="preserve">15 Rue de Constantinople, Paris, Ile-de-France, France, 75008</t>
  </si>
  <si>
    <t xml:space="preserve">L'Hôtel Littéraire Le Swann, un hôtel culturel 4 étoiles à Paris dédié à Marcel Proust, vous souhaite la bienvenue sur son site officiel.</t>
  </si>
  <si>
    <t>Florence</t>
  </si>
  <si>
    <t>Poli</t>
  </si>
  <si>
    <t xml:space="preserve">Hôtel de Sers</t>
  </si>
  <si>
    <t>florence.poli@hoteldesers.com</t>
  </si>
  <si>
    <t>http://www.linkedin.com/in/florence-poli</t>
  </si>
  <si>
    <t>http://www.hoteldesers-paris.com</t>
  </si>
  <si>
    <t xml:space="preserve">41 Avenue Pierre 1er de Serbie, Paris, Ile-de-France, France, 75008</t>
  </si>
  <si>
    <t xml:space="preserve">Découvrez l'élégance intemporelle et l'accueil exceptionnelle de l'Hôtel de Sers. Un parfait mélange de luxe, confort et sophistication proche des Champs Elysées.</t>
  </si>
  <si>
    <t>Olga</t>
  </si>
  <si>
    <t>D'Auria</t>
  </si>
  <si>
    <t xml:space="preserve">Founder Parigi.it</t>
  </si>
  <si>
    <t>Parigi.it</t>
  </si>
  <si>
    <t>olga@parigi.it</t>
  </si>
  <si>
    <t>http://www.linkedin.com/in/olga-d-auria-6a04532a</t>
  </si>
  <si>
    <t>http://www.parigi.it</t>
  </si>
  <si>
    <t xml:space="preserve">Naples, Campania, Italy, 80100</t>
  </si>
  <si>
    <t>Italy</t>
  </si>
  <si>
    <t xml:space="preserve">Parigi.it è il primo portale italiano e il più visitato su Parigi, la migliore guida turistica per viaggi a Parigi, sempre aggiornata con tante informazioni utili, offerte, biglietti salta-fila.</t>
  </si>
  <si>
    <t>M</t>
  </si>
  <si>
    <t xml:space="preserve">Burger Breton</t>
  </si>
  <si>
    <t>paul@burgerbreton.com</t>
  </si>
  <si>
    <t>http://www.linkedin.com/in/paul-m-955112204</t>
  </si>
  <si>
    <t>http://www.burgerbreton.com</t>
  </si>
  <si>
    <t>Sartrouville</t>
  </si>
  <si>
    <t xml:space="preserve">8 Place des Fusilles, Sartrouville, Ile-de-France, France, 78500</t>
  </si>
  <si>
    <t xml:space="preserve">Livraison de Burgers Artisanaux, Frites Maison, Crêpes et Pancakes Maison, boissons... Livraison gratuite et rapide à Sartrouville, Poissy, Carrières-sur-Seine, Orgeval, Houilles, Cormeilles-en-Parisis, Carrières-sous-Poissy, Bezons, Achères, Maisons-Laffitte...</t>
  </si>
  <si>
    <t>Hugo</t>
  </si>
  <si>
    <t>Gallou</t>
  </si>
  <si>
    <t xml:space="preserve">Little Red Door</t>
  </si>
  <si>
    <t>hugo@lrdparis.com</t>
  </si>
  <si>
    <t>http://www.linkedin.com/in/hugogallou</t>
  </si>
  <si>
    <t>http://www.lrdparis.com</t>
  </si>
  <si>
    <t xml:space="preserve">60 Rue Charlot, Paris, Ile-de-France, France, 75003</t>
  </si>
  <si>
    <t xml:space="preserve">Situé au cœur du 3ème arrondissement de Paris, Little Red Door est un bar à cocktails. Avec ses menus conceptuels inspirés par l'art et les sciences sociales, il figure 9 fois parmi les World's 50 Best Bars depuis 2012.</t>
  </si>
  <si>
    <t>Menini</t>
  </si>
  <si>
    <t>pierre@coolangatta-group.com</t>
  </si>
  <si>
    <t>http://www.linkedin.com/in/pierre-menini-b36a9a135</t>
  </si>
  <si>
    <t>William</t>
  </si>
  <si>
    <t>Rousseau</t>
  </si>
  <si>
    <t xml:space="preserve">Fondateur-Gérant de « La Garenne Saint Germain » &amp; Coach professionnel certifié</t>
  </si>
  <si>
    <t xml:space="preserve">La Garenne Saint Germain</t>
  </si>
  <si>
    <t>wrousseau@garenne-saint-germain.com</t>
  </si>
  <si>
    <t>http://www.linkedin.com/in/william-rousseau-477909</t>
  </si>
  <si>
    <t>http://www.garenne-saint-germain.com</t>
  </si>
  <si>
    <t>Surgeres</t>
  </si>
  <si>
    <t xml:space="preserve">Saint-Germain, Saint-Pierre-la-Noue, Nouvelle-Aquitaine, France, 17700</t>
  </si>
  <si>
    <t xml:space="preserve">La Garenne Saint Germain : location de vacances en Charente‑Maritime. Hébergement touristique et professionnel entre La Rochelle et Niort pour un séjour ou un événement.</t>
  </si>
  <si>
    <t>Xavier</t>
  </si>
  <si>
    <t>O'Quin</t>
  </si>
  <si>
    <t xml:space="preserve">Co-fondateur Président</t>
  </si>
  <si>
    <t>xavier@edgarsuites.com</t>
  </si>
  <si>
    <t>http://www.linkedin.com/in/xavier-o-quin-755606</t>
  </si>
  <si>
    <t>Berthy</t>
  </si>
  <si>
    <t xml:space="preserve">Founder and Managing Director</t>
  </si>
  <si>
    <t xml:space="preserve">Odette Paris</t>
  </si>
  <si>
    <t>fberthy@odette-paris.com</t>
  </si>
  <si>
    <t>http://www.linkedin.com/in/frederic-berthy-52635b14</t>
  </si>
  <si>
    <t>http://www.odette-paris.com</t>
  </si>
  <si>
    <t xml:space="preserve">77 Rue Galande, Paris, Ile-de-France, France, 75005</t>
  </si>
  <si>
    <t xml:space="preserve">Shop powered by PrestaShop</t>
  </si>
  <si>
    <t>Giordano</t>
  </si>
  <si>
    <t xml:space="preserve">CoFounder and CMO</t>
  </si>
  <si>
    <t>marie@tiptoque.com</t>
  </si>
  <si>
    <t>http://www.linkedin.com/in/marie-giordano-34a948102</t>
  </si>
  <si>
    <t>Hugues</t>
  </si>
  <si>
    <t>Bouchard</t>
  </si>
  <si>
    <t xml:space="preserve">Co-founder, Chairman &amp; CEO</t>
  </si>
  <si>
    <t xml:space="preserve">BURGER &amp; FRIES</t>
  </si>
  <si>
    <t>hugues@burger-fries.com</t>
  </si>
  <si>
    <t>http://www.linkedin.com/in/hugues-bouchard-59051517</t>
  </si>
  <si>
    <t>http://www.burger-fries.com</t>
  </si>
  <si>
    <t xml:space="preserve">1 Boulevard de Bonne Nouvelle, Paris, Ile-de-France, France, 75002</t>
  </si>
  <si>
    <t xml:space="preserve">Des Burgers cuisinés minute avec des produits frais et fait maison. Bun artisanal - Frites Fraiches découpés dans notre factory - Votre restaurant à Burger.</t>
  </si>
  <si>
    <t>Journo</t>
  </si>
  <si>
    <t xml:space="preserve">Privé de Dessert</t>
  </si>
  <si>
    <t>sophie@privededessert.com</t>
  </si>
  <si>
    <t>http://www.linkedin.com/in/sophiejourno</t>
  </si>
  <si>
    <t>http://www.privededessert.com</t>
  </si>
  <si>
    <t xml:space="preserve">4 Rue Lallier, Paris, Ile-de-France, France, 75009</t>
  </si>
  <si>
    <t xml:space="preserve">Le restaurant Privé de dessert change les codes du repas : toutes les entrées et les plats proposés ressemblent à des desserts !</t>
  </si>
  <si>
    <t>Jamet</t>
  </si>
  <si>
    <t>thomas@artisancrepier.com</t>
  </si>
  <si>
    <t>http://www.linkedin.com/in/thomas-jamet-a14853</t>
  </si>
  <si>
    <t>Piard</t>
  </si>
  <si>
    <t xml:space="preserve">Les Résistants</t>
  </si>
  <si>
    <t>florent@lesresistants.fr</t>
  </si>
  <si>
    <t>http://www.linkedin.com/in/florent-piard-aaa00217</t>
  </si>
  <si>
    <t>http://www.lesresistants.fr</t>
  </si>
  <si>
    <t xml:space="preserve">18 Rue du Chateau d'Eau, Paris, Ile-de-France, France, 75010</t>
  </si>
  <si>
    <t xml:space="preserve">Découvrez les Résistants - La Table, la déclinaison gastronomique des Résistants : menus carte blanche en 4 ou 6 temps avec des produits issus de l'agriculture paysanne du réseau des Résistants !</t>
  </si>
  <si>
    <t>Marine</t>
  </si>
  <si>
    <t>Balmont</t>
  </si>
  <si>
    <t xml:space="preserve">Co-Founder Yeüz</t>
  </si>
  <si>
    <t>Yeüz</t>
  </si>
  <si>
    <t>marine.balmont@groupelip.com</t>
  </si>
  <si>
    <t>http://www.linkedin.com/in/marine-balmont-5b3a2274</t>
  </si>
  <si>
    <t>http://www.yeuz-slicecoffee.com</t>
  </si>
  <si>
    <t xml:space="preserve">13 Avenue de la Marne, Biarritz, Nouvelle-Aquitaine, France, 64200</t>
  </si>
  <si>
    <t xml:space="preserve">Yeüz Slice &amp; Coffee - 13 avenue de la Marne à Biarritz. 
Pizzas de 50 cm à la part et café de spécialité torréfié à Anglet, Pays Basque.
More than a pizza !</t>
  </si>
  <si>
    <t>Soufiane</t>
  </si>
  <si>
    <t>Lakhfif</t>
  </si>
  <si>
    <t xml:space="preserve">Co-fondateur / CTO</t>
  </si>
  <si>
    <t>Utelys</t>
  </si>
  <si>
    <t>soufiane.lakhfif@utelys.fr</t>
  </si>
  <si>
    <t>http://www.linkedin.com/in/soufiane-lakhfif</t>
  </si>
  <si>
    <t>http://www.utelys.fr</t>
  </si>
  <si>
    <t xml:space="preserve">Labege, Occitanie, France</t>
  </si>
  <si>
    <t xml:space="preserve">Utelys allows hoteliers to improve the customer experience without loosing the human touch before, during and after their guests' stay!</t>
  </si>
  <si>
    <t>Vincent-Montagnon</t>
  </si>
  <si>
    <t>stephane@wegogreenr.com</t>
  </si>
  <si>
    <t>http://www.linkedin.com/in/omnichannelspecialist</t>
  </si>
  <si>
    <t>Clotilde</t>
  </si>
  <si>
    <t>clotilde@quailiberte.fr</t>
  </si>
  <si>
    <t>http://www.linkedin.com/in/clotilde-gilbert-a698a393</t>
  </si>
  <si>
    <t>Tonton</t>
  </si>
  <si>
    <t>Gaudrey</t>
  </si>
  <si>
    <t xml:space="preserve">Les Tontons Afro</t>
  </si>
  <si>
    <t>tontongaudrey@lestontonsafro.fr</t>
  </si>
  <si>
    <t>http://www.linkedin.com/in/tonton-gaudrey-6555b512b</t>
  </si>
  <si>
    <t>http://www.lestontonsafro.fr</t>
  </si>
  <si>
    <t xml:space="preserve">42 Rue de la Monnaie, Lille, Hauts-de-France, France, 59800</t>
  </si>
  <si>
    <t>Mike</t>
  </si>
  <si>
    <t>Delfieu</t>
  </si>
  <si>
    <t xml:space="preserve">Les Délices du Petit Bois</t>
  </si>
  <si>
    <t>mike.delfieu@ldpb.fr</t>
  </si>
  <si>
    <t>http://www.linkedin.com/in/mike-delfieu-083634aa</t>
  </si>
  <si>
    <t>http://www.lesdelicesdupetitbois.fr</t>
  </si>
  <si>
    <t>Toulon</t>
  </si>
  <si>
    <t xml:space="preserve">191 Avenue de Digne, La Garde, Provence-Alpes-Cote d'Azur, France, 83130</t>
  </si>
  <si>
    <t xml:space="preserve">Your partner for every food products, fresh, frozen or grocery store.</t>
  </si>
  <si>
    <t>Boulo</t>
  </si>
  <si>
    <t>Guy</t>
  </si>
  <si>
    <t xml:space="preserve">Oussa nou dor</t>
  </si>
  <si>
    <t>guy@oussa-nou-dor.com</t>
  </si>
  <si>
    <t>http://www.linkedin.com/in/guyboulo</t>
  </si>
  <si>
    <t>http://www.oussa-nou-dor.com</t>
  </si>
  <si>
    <t>Lionel</t>
  </si>
  <si>
    <t>Vinciguerra</t>
  </si>
  <si>
    <t xml:space="preserve">Fondateur et Directeur Général associé</t>
  </si>
  <si>
    <t xml:space="preserve">LV RIVIERA SPA. Gestion de SPAS Hôteliers</t>
  </si>
  <si>
    <t>lionel.v@lvrivieraspa.com</t>
  </si>
  <si>
    <t>http://www.linkedin.com/in/lionel-vinciguerra-42013572</t>
  </si>
  <si>
    <t>http://www.lv-rivieraspa.fr</t>
  </si>
  <si>
    <t xml:space="preserve">Cannes, Provence-Alpes-Cote d'Azur, France</t>
  </si>
  <si>
    <t>Loic</t>
  </si>
  <si>
    <t>Salaun</t>
  </si>
  <si>
    <t xml:space="preserve">Hôtelier Entrepreneur | Co-fondateur @AlfredHotels</t>
  </si>
  <si>
    <t xml:space="preserve">ALFRED HOTELS</t>
  </si>
  <si>
    <t>loic.salaun@alfredhotels.com</t>
  </si>
  <si>
    <t>http://www.linkedin.com/in/loicsalaun</t>
  </si>
  <si>
    <t>http://www.alfredhotels.com</t>
  </si>
  <si>
    <t>Metzger</t>
  </si>
  <si>
    <t xml:space="preserve">CEO &amp; FOUNDER</t>
  </si>
  <si>
    <t>CRÈME</t>
  </si>
  <si>
    <t>louis@creme.fr</t>
  </si>
  <si>
    <t>http://www.linkedin.com/in/louis-metzger-gelato</t>
  </si>
  <si>
    <t>http://www.creme.fr</t>
  </si>
  <si>
    <t xml:space="preserve">Vincennes, Ile-de-France, France</t>
  </si>
  <si>
    <t xml:space="preserve">Crème part en quête des meilleurs produits, d’ici et du bout du monde, pour vous offrir un goût unique et un produit 100% naturel !</t>
  </si>
  <si>
    <t>Orsoni</t>
  </si>
  <si>
    <t xml:space="preserve">Co founder - Anao Plage</t>
  </si>
  <si>
    <t xml:space="preserve">Anao Plage</t>
  </si>
  <si>
    <t>rudy@anaoplage.fr</t>
  </si>
  <si>
    <t>http://www.linkedin.com/in/rudy-orsoni-31627780</t>
  </si>
  <si>
    <t>http://www.anaoplage.fr</t>
  </si>
  <si>
    <t>Grosjean</t>
  </si>
  <si>
    <t xml:space="preserve">Directeur financier et co-fondateur</t>
  </si>
  <si>
    <t xml:space="preserve">Smily formerly BookingSync</t>
  </si>
  <si>
    <t>philippe@bookingsync.com</t>
  </si>
  <si>
    <t>http://www.linkedin.com/in/philippe-grosjean-3210ab43</t>
  </si>
  <si>
    <t>http://www.smily.com</t>
  </si>
  <si>
    <t xml:space="preserve">Nevache, Provence-Alpes-Cote d'Azur, France, 05100</t>
  </si>
  <si>
    <t xml:space="preserve">Discover Smily, the ultimate all-in-one vacation rental management solution. Seamlessly manage your properties, attract travelers across multiple platforms, and turn them into happy, loyal customers with powerful tools like channel management, direct booking websites, and automated email marketing. Start your journey with Smily today!</t>
  </si>
  <si>
    <t>Taieb</t>
  </si>
  <si>
    <t>DokiDoki</t>
  </si>
  <si>
    <t>r.taieb@dokidoki-handroll.com</t>
  </si>
  <si>
    <t>http://www.linkedin.com/in/romain-taieb-b540001b6</t>
  </si>
  <si>
    <t>http://www.dokidoki-handroll.com</t>
  </si>
  <si>
    <t xml:space="preserve">59 Rue Jean-Jacques Rousseau, Paris, Ile-de-France, France, 75001</t>
  </si>
  <si>
    <t>Abdoulaye</t>
  </si>
  <si>
    <t>abdou@bmkparis.com</t>
  </si>
  <si>
    <t>http://www.linkedin.com/in/abdoulaye-djikine-47147164</t>
  </si>
  <si>
    <t>Peru</t>
  </si>
  <si>
    <t xml:space="preserve">Le Manoir de la Régate</t>
  </si>
  <si>
    <t>loic@manoir-regate.com</t>
  </si>
  <si>
    <t>http://www.linkedin.com/in/lo%c3%afc-p%c3%a9rou-85076b137</t>
  </si>
  <si>
    <t>http://www.manoirdelaregate.com</t>
  </si>
  <si>
    <t xml:space="preserve">Venez découvrir notre restaurant gastronomique étoilé, situé sur les bords de l'Erdre à Nantes et la cuisine de notre Chef Mathieu Pérou.</t>
  </si>
  <si>
    <t>Abehsera</t>
  </si>
  <si>
    <t>david@thefrenchbastards.fr</t>
  </si>
  <si>
    <t>http://www.linkedin.com/in/david-abehsera-831835106</t>
  </si>
  <si>
    <t>Sylviane</t>
  </si>
  <si>
    <t>Sanz</t>
  </si>
  <si>
    <t>ssanz@maisonsparticulieres.com</t>
  </si>
  <si>
    <t>http://www.linkedin.com/in/sylviane-sanz-3a939a85</t>
  </si>
  <si>
    <t>Cabantous</t>
  </si>
  <si>
    <t xml:space="preserve">HC Azur</t>
  </si>
  <si>
    <t>herve@hcazur.com</t>
  </si>
  <si>
    <t>http://www.linkedin.com/in/herv%c3%a9-cabantous-3ab49aa6</t>
  </si>
  <si>
    <t>http://www.hcazur.com</t>
  </si>
  <si>
    <t xml:space="preserve">Mandelieu-La Napoule</t>
  </si>
  <si>
    <t xml:space="preserve">22 Rue Marius Martin, Mandelieu-La Napoule, Provence-Alpes-Cote d'Azur, France, 06210</t>
  </si>
  <si>
    <t xml:space="preserve">HC Azur est une conciergerie dédiée à la location saisonnière immobilier. Notre objectif est de vous proposer une prestation complète pour le bonheur du propriétaire et du client. Nous serons ravis de vous accueillir et vous faire découvrir notre région au bord de la mer méditerranée.</t>
  </si>
  <si>
    <t>Tarek</t>
  </si>
  <si>
    <t>Belkahia</t>
  </si>
  <si>
    <t xml:space="preserve">Co-founder, Chief Executive Officer</t>
  </si>
  <si>
    <t>cohozee</t>
  </si>
  <si>
    <t>tarek.belkahia@cohozee.com</t>
  </si>
  <si>
    <t>http://www.linkedin.com/in/tarek-belkahia-174b2266</t>
  </si>
  <si>
    <t>http://www.cohozee.com</t>
  </si>
  <si>
    <t>Lonjon</t>
  </si>
  <si>
    <t xml:space="preserve">Le Val Gaudry</t>
  </si>
  <si>
    <t>sebastien@levalgaudry.com</t>
  </si>
  <si>
    <t>http://www.linkedin.com/in/slonjon</t>
  </si>
  <si>
    <t>http://www.levalgaudry.com</t>
  </si>
  <si>
    <t xml:space="preserve">Montgaudry, Normandy, France, 61360</t>
  </si>
  <si>
    <t xml:space="preserve">Pour l'organisation de votre mariage ou tout type de réception, le Val Gaudry, vous propose un espace dédié à votre évènement dans le Perche</t>
  </si>
  <si>
    <t>Laura</t>
  </si>
  <si>
    <t>Cambiaghi</t>
  </si>
  <si>
    <t xml:space="preserve">CEO &amp; Sole Founder</t>
  </si>
  <si>
    <t xml:space="preserve">LC BESPOKE</t>
  </si>
  <si>
    <t>laura.cambiaghi@lcbespoke.com</t>
  </si>
  <si>
    <t>http://www.linkedin.com/in/laura-cambiaghi-641b075</t>
  </si>
  <si>
    <t>http://www.lcdistinctive.com</t>
  </si>
  <si>
    <t xml:space="preserve">6 Boulevard Pereire, Paris, Ile-de-France, France, 75017</t>
  </si>
  <si>
    <t xml:space="preserve">Qu’il s’agisse de positionner votre établissement, de mettre en place une stratégie commerciale, marketing et de communication, ou encore de vous accompagner pour la création et l’ouverture d’un nouveau projet inspirant et unique, LC Distinctive vous conseille sur l’organisation à déployer.</t>
  </si>
  <si>
    <t>Joseph</t>
  </si>
  <si>
    <t xml:space="preserve">CEO co-fondateur</t>
  </si>
  <si>
    <t>OuiLink</t>
  </si>
  <si>
    <t>joseph.paris@ouilink.fr</t>
  </si>
  <si>
    <t xml:space="preserve">information technology &amp; services</t>
  </si>
  <si>
    <t>http://www.linkedin.com/in/joseph-paris-06681a10</t>
  </si>
  <si>
    <t>http://www.ouilink.fr</t>
  </si>
  <si>
    <t xml:space="preserve">Saint-Martin-d'Heres, Rhone-Alpes, France</t>
  </si>
  <si>
    <t xml:space="preserve">Web site created using create-react-app</t>
  </si>
  <si>
    <t>Ignace</t>
  </si>
  <si>
    <t>Vantorre</t>
  </si>
  <si>
    <t>Otoctone</t>
  </si>
  <si>
    <t>ignace@otoctone.com</t>
  </si>
  <si>
    <t>http://www.linkedin.com/in/ignace-vantorre</t>
  </si>
  <si>
    <t>http://www.otoctone.com</t>
  </si>
  <si>
    <t>Manigold</t>
  </si>
  <si>
    <t xml:space="preserve">Groupe Eclore</t>
  </si>
  <si>
    <t>manigold@groupeeclore.paris</t>
  </si>
  <si>
    <t>http://www.linkedin.com/in/st%c3%a9phane-manigold-a91000162</t>
  </si>
  <si>
    <t>http://www.groupeeclore.paris</t>
  </si>
  <si>
    <t xml:space="preserve">8 Rue Gustave Flaubert, Paris, Ile-de-France, France, 75017</t>
  </si>
  <si>
    <t>Borris</t>
  </si>
  <si>
    <t xml:space="preserve">PREMIERE LOGE</t>
  </si>
  <si>
    <t>pierre@premiere-loge.com</t>
  </si>
  <si>
    <t>http://www.linkedin.com/in/pierreborris</t>
  </si>
  <si>
    <t>http://www.premiere-loge.com</t>
  </si>
  <si>
    <t xml:space="preserve">6 Rue de Rome, Paris, Ile-de-France, France, 75008</t>
  </si>
  <si>
    <t>Harold</t>
  </si>
  <si>
    <t>Vernon</t>
  </si>
  <si>
    <t>Repaires</t>
  </si>
  <si>
    <t>hvernon@repaires.com</t>
  </si>
  <si>
    <t xml:space="preserve">financial services</t>
  </si>
  <si>
    <t>http://www.linkedin.com/in/harold-vernon-162a2146</t>
  </si>
  <si>
    <t>http://www.repaires.com</t>
  </si>
  <si>
    <t xml:space="preserve">84 Route d'Annecy, Allonzier-la-Caille, Auvergne-Rhone-Alpes, France, 74350</t>
  </si>
  <si>
    <t xml:space="preserve">Repaires créé la rencontre entre l’épargne et les projets immobiliers à forte valeur ajoutée économique et citoyenne.</t>
  </si>
  <si>
    <t>Michele</t>
  </si>
  <si>
    <t>Gehlen</t>
  </si>
  <si>
    <t>Présidente</t>
  </si>
  <si>
    <t>GELVAR</t>
  </si>
  <si>
    <t>m.gehlen@gelvar.com</t>
  </si>
  <si>
    <t>wholesale</t>
  </si>
  <si>
    <t>http://www.linkedin.com/in/mich%c3%a8le-gehlen-6a2b05186</t>
  </si>
  <si>
    <t>http://www.gelvar.com</t>
  </si>
  <si>
    <t xml:space="preserve">300 Avenue de Madrid, Signes, Provence-Alpes-Cote d'Azur, France, 83870</t>
  </si>
  <si>
    <t>Valerie</t>
  </si>
  <si>
    <t>Nomain</t>
  </si>
  <si>
    <t>Fondatrice</t>
  </si>
  <si>
    <t>UNNIIQ</t>
  </si>
  <si>
    <t>valerie@unniiq.com</t>
  </si>
  <si>
    <t>http://www.linkedin.com/in/valerienomain</t>
  </si>
  <si>
    <t>http://www.unniiq.com</t>
  </si>
  <si>
    <t xml:space="preserve">Le Mans</t>
  </si>
  <si>
    <t xml:space="preserve">67 Rue Chanzy, Le Mans, Pays de la Loire, France, 72000</t>
  </si>
  <si>
    <t>Yann</t>
  </si>
  <si>
    <t>Potet</t>
  </si>
  <si>
    <t xml:space="preserve">Le Saint James Bouliac</t>
  </si>
  <si>
    <t>y.potet@saintjames-bouliac.com</t>
  </si>
  <si>
    <t>http://www.linkedin.com/in/yann-potet-9510081</t>
  </si>
  <si>
    <t>http://www.saintjames-bouliac.com</t>
  </si>
  <si>
    <t xml:space="preserve">3 Place Camille Hostein, Bouliac, Aquitaine-Limousin-Poitou-Charentes, France, 33270</t>
  </si>
  <si>
    <t>Peter</t>
  </si>
  <si>
    <t>Schutte</t>
  </si>
  <si>
    <t xml:space="preserve">Hôtel-Restaurant Val-Vignes 4*</t>
  </si>
  <si>
    <t>p.schutte@valvignes.com</t>
  </si>
  <si>
    <t>http://www.linkedin.com/in/peterschutte1</t>
  </si>
  <si>
    <t>http://www.valvignes.com</t>
  </si>
  <si>
    <t xml:space="preserve">Saint-Hippolyte, Quebec, Canada</t>
  </si>
  <si>
    <t>Canada</t>
  </si>
  <si>
    <t xml:space="preserve">Hôtel à Saint-Hippolyte sur la Route des Vins d'Alsace, au pied du Château du Haut-Kœnigsbourg et près de Sélestat et Colmar.</t>
  </si>
  <si>
    <t>Gildas</t>
  </si>
  <si>
    <t xml:space="preserve">Best Western Plus Le Roi Arthur Hôtel &amp; Spa ****</t>
  </si>
  <si>
    <t>direction@hotelroiarthur.com</t>
  </si>
  <si>
    <t>http://www.linkedin.com/in/gildas-menard-894999143</t>
  </si>
  <si>
    <t>http://www.hotelroiarthur.com</t>
  </si>
  <si>
    <t xml:space="preserve">D8, Ploermel, Brittany, France, 56800</t>
  </si>
  <si>
    <t xml:space="preserve">SITE OFFICIEL | À l’orée de la légendaire forêt de Brocéliande, notre Hôtel 4 étoiles vous invite à la douceur de vivre et à l’enchantement. Meilleurs prix garantis !</t>
  </si>
  <si>
    <t>Leveau</t>
  </si>
  <si>
    <t xml:space="preserve">KUBE SAINT-TROPEZ</t>
  </si>
  <si>
    <t>mleveau@machefert.com</t>
  </si>
  <si>
    <t>http://www.linkedin.com/in/marc-leveau-591b00221</t>
  </si>
  <si>
    <t>http://www.kubehotel-saint-tropez.com</t>
  </si>
  <si>
    <t>Gassin</t>
  </si>
  <si>
    <t xml:space="preserve">Gassin, Provence-Alpes-Cote d'Azur, France, 83580</t>
  </si>
  <si>
    <t xml:space="preserve">Découvrez le Kube Saint-Tropez, hôtel de luxe au cœur de la Côte d'Azur.</t>
  </si>
  <si>
    <t>Pollet-Villard</t>
  </si>
  <si>
    <t xml:space="preserve">Groupe PVG</t>
  </si>
  <si>
    <t>o.polletvillard@groupe-pvg.fr</t>
  </si>
  <si>
    <t>http://www.linkedin.com/in/olivier-pollet-villard-8584ab158</t>
  </si>
  <si>
    <t>http://www.groupe-pvg.fr</t>
  </si>
  <si>
    <t xml:space="preserve">La Clusaz, Rhone-Alpes, France</t>
  </si>
  <si>
    <t xml:space="preserve">Groupe PVG, Promotion immobilière, hôtellerie et résidences de tourisme à la Clusaz et Annecy.</t>
  </si>
  <si>
    <t>Sodano</t>
  </si>
  <si>
    <t xml:space="preserve">HOTEL ANDRE LATIN</t>
  </si>
  <si>
    <t>guillaume.sodano@hotelandrelatin.com</t>
  </si>
  <si>
    <t>http://www.linkedin.com/in/guillaume-sodano-75b411267</t>
  </si>
  <si>
    <t>http://www.hotelandrelatin.fr</t>
  </si>
  <si>
    <t xml:space="preserve">52 Rue Gay-Lussac, Paris, Ile-de-France, France, 75005</t>
  </si>
  <si>
    <t xml:space="preserve">Situé entre le jardin du Luxembourg et la place du Panthéon, le majestueux hôtel André Latin est érigé au milieu des rues pittoresques et des universités du 5e ...</t>
  </si>
  <si>
    <t>Pechaudral</t>
  </si>
  <si>
    <t xml:space="preserve">CEO founder</t>
  </si>
  <si>
    <t>Overfull</t>
  </si>
  <si>
    <t>eric.pechaudral@overfull.fr</t>
  </si>
  <si>
    <t>http://www.linkedin.com/in/eric-pechaudral-22082213b</t>
  </si>
  <si>
    <t>http://www.overfull.fr</t>
  </si>
  <si>
    <t xml:space="preserve">Réservation &amp; CRM</t>
  </si>
  <si>
    <t>Capucine</t>
  </si>
  <si>
    <t>Frerejean</t>
  </si>
  <si>
    <t xml:space="preserve">Co-founder &amp; co-CEO</t>
  </si>
  <si>
    <t xml:space="preserve">The Cali Sisters</t>
  </si>
  <si>
    <t>capucine@thecalisisters.com</t>
  </si>
  <si>
    <t>http://www.linkedin.com/in/capucine-frerejean-071aa31a</t>
  </si>
  <si>
    <t>http://www.thecalisisters.com</t>
  </si>
  <si>
    <t xml:space="preserve">17 Rue Notre-Dame-des-Victoires, Paris, Ile-de-France, France, 75002</t>
  </si>
  <si>
    <t xml:space="preserve">Cali Sisters est un restaurant américain d’inspiration californienne, avec une carte de cocktails signature et de classiques du genre, dans une ambiance speakeasy, et un brunch emblématique made in U.S le week end.</t>
  </si>
  <si>
    <t>Simi</t>
  </si>
  <si>
    <t>Curt</t>
  </si>
  <si>
    <t>MIM</t>
  </si>
  <si>
    <t>simi@mummyinthemountains.com</t>
  </si>
  <si>
    <t>http://www.linkedin.com/in/simijohnsoncurt</t>
  </si>
  <si>
    <t>http://www.mimplayandexplore.com</t>
  </si>
  <si>
    <t xml:space="preserve">3 Avenue des Harmonies, Annecy, Auvergne-Rhone-Alpes, France, 74960</t>
  </si>
  <si>
    <t>Jennifer</t>
  </si>
  <si>
    <t>Cayla</t>
  </si>
  <si>
    <t>jennifer.cayla@foodjer.com</t>
  </si>
  <si>
    <t>http://www.linkedin.com/in/jennifer-cayla</t>
  </si>
  <si>
    <t>Clarence</t>
  </si>
  <si>
    <t>Grosdidier</t>
  </si>
  <si>
    <t>clarence@nessence-group.fr</t>
  </si>
  <si>
    <t>http://www.linkedin.com/in/clarence-grosdidier-77b59258</t>
  </si>
  <si>
    <t>Chaumont</t>
  </si>
  <si>
    <t xml:space="preserve">Directrice Générale et Co-founder chez Teisseire Consulting</t>
  </si>
  <si>
    <t xml:space="preserve">Teisseire Consulting</t>
  </si>
  <si>
    <t>julie@teisseireconsulting.com</t>
  </si>
  <si>
    <t>http://www.linkedin.com/in/julie-de-chaumont-bb8b83133</t>
  </si>
  <si>
    <t>http://www.teisseireconsulting.com</t>
  </si>
  <si>
    <t>Versailles</t>
  </si>
  <si>
    <t xml:space="preserve">37 Rue Boursault, Paris, Ile-de-France, France, 75017</t>
  </si>
  <si>
    <t>Otto</t>
  </si>
  <si>
    <t>Nijdam</t>
  </si>
  <si>
    <t xml:space="preserve">Choukran Club</t>
  </si>
  <si>
    <t>otto@choukran.fr</t>
  </si>
  <si>
    <t>http://www.linkedin.com/in/otto-nijdam-942bb9a9</t>
  </si>
  <si>
    <t>http://www.choukran.fr</t>
  </si>
  <si>
    <t xml:space="preserve">29 Rue Saint-Georges, Paris, Ile-de-France, France, 75009</t>
  </si>
  <si>
    <t>Luke</t>
  </si>
  <si>
    <t>Colomb</t>
  </si>
  <si>
    <t xml:space="preserve">Co-fondateur &amp; COO</t>
  </si>
  <si>
    <t>BedBoat</t>
  </si>
  <si>
    <t>luke@bedboat.fr</t>
  </si>
  <si>
    <t>http://www.linkedin.com/in/lukecolomb</t>
  </si>
  <si>
    <t>http://www.bedboat.fr</t>
  </si>
  <si>
    <t xml:space="preserve">Antibes, Provence-Alpes-Cote d'Azur, France</t>
  </si>
  <si>
    <t>Morandi</t>
  </si>
  <si>
    <t xml:space="preserve">FAUCHON L'HOTEL PARIS</t>
  </si>
  <si>
    <t>amorandi@fauchonhotels.com</t>
  </si>
  <si>
    <t>http://www.linkedin.com/in/arnaud-morandi-73a672161</t>
  </si>
  <si>
    <t>http://www.hotel-fauchon-paris.fr</t>
  </si>
  <si>
    <t xml:space="preserve">4 Boulevard Malesherbes, Paris, Ile-de-France, France, 75008</t>
  </si>
  <si>
    <t>Arneodo</t>
  </si>
  <si>
    <t xml:space="preserve">Groupe Arnéodo</t>
  </si>
  <si>
    <t>tarneodo@avoriaz-holidays.com</t>
  </si>
  <si>
    <t>http://www.linkedin.com/in/thomas-arneodo-b5886541</t>
  </si>
  <si>
    <t>http://www.arneodo.group</t>
  </si>
  <si>
    <t xml:space="preserve">Le groupe Arnéodo accompagne et enrichit avec audace  depuis plus de 50 ans l'expérience vécue à Avoriaz. Immobilier, Investissements, Locations de vacances, services touristiques, restauration et loisirs.</t>
  </si>
  <si>
    <t>Niels</t>
  </si>
  <si>
    <t>Koetsier</t>
  </si>
  <si>
    <t xml:space="preserve">Château des Vigiers Golf &amp; hôtel</t>
  </si>
  <si>
    <t>niels@vigiers.com</t>
  </si>
  <si>
    <t>http://www.linkedin.com/in/niels-koetsier-533b0634</t>
  </si>
  <si>
    <t>http://www.vigiers.com</t>
  </si>
  <si>
    <t xml:space="preserve">Monestier, Nouvelle-Aquitaine, France</t>
  </si>
  <si>
    <t xml:space="preserve">Domaine du Château des Vigiers : 6 expériences uniques à vivre pour profiter d’un séjour inoubliable dans un cadre féerique en Dordogne¨Périgord entre Bordeaux et Bergerac. Séjours Golf ou Gastronomie, Détente ou Romantique</t>
  </si>
  <si>
    <t>Mickael</t>
  </si>
  <si>
    <t>Lipari</t>
  </si>
  <si>
    <t xml:space="preserve">Crêpe Touch</t>
  </si>
  <si>
    <t>mickael@crepetouch.com</t>
  </si>
  <si>
    <t>http://www.linkedin.com/in/micka%c3%abl-lipari-745802b8</t>
  </si>
  <si>
    <t>http://www.crepetouch.com</t>
  </si>
  <si>
    <t>Archam</t>
  </si>
  <si>
    <t>Babayan</t>
  </si>
  <si>
    <t>YOJ</t>
  </si>
  <si>
    <t>archam@babayan.fr</t>
  </si>
  <si>
    <t>http://www.linkedin.com/in/archam-babayan-66595415b</t>
  </si>
  <si>
    <t>http://www.restaurantsyoj.fr</t>
  </si>
  <si>
    <t xml:space="preserve">17 Cours Belsunce, Marseille, Provence-Alpes-Cote d'Azur, France, 13001</t>
  </si>
  <si>
    <t xml:space="preserve">Le concept YOJ, Bistrot japonais unique qui offre un MIX de différentes spécialités japonaises traditionnelles et authentiques composé de Sushis &amp; Makis, Donburis (grand bol de riz avec garniture chaude varié), Ramens &amp; Sobas et Isakayas (tapas japonais). YOJ c’est aussi une cuisine de saison avec un large choix de produits Japonais végétariens. Chez YOJ, nous utilisons une cuisine basée sur la technique « KAISEKI » (plusieurs petits plats servis conjointement sur un même plateau) qui nous permets d’offrir un service rapide, un repas léger mais consistant et varié. Nous mettons l'accent sur la qualité, la fraîcheur et l’origine contrôlée de nos produits.  Enfin, nous proposons aussi un large choix de desserts Japonais et de pâtisseries Franco-Japonaises signées Sylvain Depuichaffray. Chez YOJ vous bénéficiez d'un service continu de 11h30 à 22h selon les établissements. Aujourd’hui, nous comptons 4 restaurants japonais situés à : Marseille et Aubagne</t>
  </si>
  <si>
    <t>Chef</t>
  </si>
  <si>
    <t>Necense</t>
  </si>
  <si>
    <t>chef.damien@necense.fr</t>
  </si>
  <si>
    <t xml:space="preserve">consumer services</t>
  </si>
  <si>
    <t>http://www.linkedin.com/in/chef-damien-552857161</t>
  </si>
  <si>
    <t>http://www.necense.fr</t>
  </si>
  <si>
    <t xml:space="preserve">397 Rue de Vaugirard, Paris, Ile-de-France, France, 75015</t>
  </si>
  <si>
    <t xml:space="preserve">Découvrez Necense, votre destination pour des boissons délicieuses, naturelles et respectueuses de l'environnement. Situé au cœur de Paris, nous vous accueillons du lundi au vendredi de 09h00 à 18h00. Commandez en ligne dès maintenant !</t>
  </si>
  <si>
    <t>Lolita</t>
  </si>
  <si>
    <t>Lavieville</t>
  </si>
  <si>
    <t xml:space="preserve">Directrice générale - Co-Fondatrice</t>
  </si>
  <si>
    <t xml:space="preserve">La Wilderie</t>
  </si>
  <si>
    <t>lolita@lawilderie.com</t>
  </si>
  <si>
    <t>http://www.linkedin.com/in/lolita-lavieville-7ba27888</t>
  </si>
  <si>
    <t>http://www.lawilderie.com</t>
  </si>
  <si>
    <t xml:space="preserve">2 Rue du Cure Saint-Etienne, Lille, Hauts-de-France, France, 59800</t>
  </si>
  <si>
    <t xml:space="preserve">Découvrez l'univers de La Wilderie : Café - Restaurant - Bar - Jardinerie, Retrouvez-nous à La Wilderie Lille ou à Wilder Saint-André.</t>
  </si>
  <si>
    <t>Coutanceau</t>
  </si>
  <si>
    <t xml:space="preserve">Grégory Coutanceau Développement</t>
  </si>
  <si>
    <t>gregory@gregorycoutanceau.com</t>
  </si>
  <si>
    <t>http://www.linkedin.com/in/gregory-coutanceau</t>
  </si>
  <si>
    <t>http://www.gregorycoutanceau.com</t>
  </si>
  <si>
    <t xml:space="preserve">1 Rue de la Chaine, La Rochelle, Nouvelle-Aquitaine, France, 17000</t>
  </si>
  <si>
    <t xml:space="preserve">Un chef, une maison de cuisines. Découvrez l'univers culinaire de Grégory Coutanceau et ses établissements en Nouvelle Aquitaine.</t>
  </si>
  <si>
    <t>Babinet</t>
  </si>
  <si>
    <t xml:space="preserve">Gérant - Co-Fondateur</t>
  </si>
  <si>
    <t xml:space="preserve">Picto Sandwicherie</t>
  </si>
  <si>
    <t>matthieu@picto.paris</t>
  </si>
  <si>
    <t>http://www.linkedin.com/in/matthieu-babinet-19ba887a</t>
  </si>
  <si>
    <t>http://www.picto.paris</t>
  </si>
  <si>
    <t xml:space="preserve">68 Rue La Fayette, Paris, Ile-de-France, France, 75009</t>
  </si>
  <si>
    <t>Diane</t>
  </si>
  <si>
    <t>Saveuse</t>
  </si>
  <si>
    <t xml:space="preserve">Villa Cosy Hôtel &amp; Spa</t>
  </si>
  <si>
    <t>diane@villacosy.com</t>
  </si>
  <si>
    <t>http://www.linkedin.com/in/diane-saveuse-57746430</t>
  </si>
  <si>
    <t>http://www.villacosy.com</t>
  </si>
  <si>
    <t xml:space="preserve">Chemin de la Belle Isnarde, Saint-Tropez, Provence-Alpes-Cote d'Azur, France, 83990</t>
  </si>
  <si>
    <t xml:space="preserve">SITE OFFICIEL - Hôtel Villa Cosy, Hôtel de Luxe, Saint Tropez - Bord de Mer, Villa avec Terrasse, Piscine Extérieure, Spa by Sothys, Bar à Vins &amp; Cocktails</t>
  </si>
  <si>
    <t>Charly</t>
  </si>
  <si>
    <t>Tourrette</t>
  </si>
  <si>
    <t xml:space="preserve">Le Clos Saint Martin Hôtel &amp; Spa By Clarins</t>
  </si>
  <si>
    <t>charly@ti-invest.fr</t>
  </si>
  <si>
    <t>http://www.linkedin.com/in/charly-tourrette-8b359b19</t>
  </si>
  <si>
    <t>http://www.le-clos-saint-martin.com</t>
  </si>
  <si>
    <t>Saint-Martin-de-Re</t>
  </si>
  <si>
    <t xml:space="preserve">Saint-Martin-de-Re, Nouvelle-Aquitaine, France</t>
  </si>
  <si>
    <t xml:space="preserve">SITE OFFICIEL ® Hotel Spa 4 Etoiles Ile de Ré - Jardin, Piscine et Villas. Proche du Port. Hotel unique pour un magnifique séjour. Réservation Directes sur le Site Officiel. Notre hôtel Spa de luxe sur l’île de Ré bénéficie d’une situation idéale : à quelques pas du port de Saint-Martin de Ré, patrimoine mondial de l’Unesco, au cœur de la Cité Vauban.</t>
  </si>
  <si>
    <t>Juan</t>
  </si>
  <si>
    <t>Arbelaez</t>
  </si>
  <si>
    <t xml:space="preserve">Chef de cuisine / Co-fondateur</t>
  </si>
  <si>
    <t xml:space="preserve">Yaya restaurant</t>
  </si>
  <si>
    <t>juan@yayarestaurant.com</t>
  </si>
  <si>
    <t>http://www.linkedin.com/in/juan-arbelaez-356a191a0</t>
  </si>
  <si>
    <t>http://www.yayarestaurant.com</t>
  </si>
  <si>
    <t xml:space="preserve">33 Avenue Secretan, Paris, Ile-de-France, France, 75019</t>
  </si>
  <si>
    <t xml:space="preserve">Découvrez YAYA - Restaurants grecs festifs par Juan Arbelaez à Paris, Lille &amp; Rennes. Idéal pour des déjeuners et dîners entre amis !</t>
  </si>
  <si>
    <t>Briday</t>
  </si>
  <si>
    <t>Neaclub</t>
  </si>
  <si>
    <t>s.briday@neaclub.com</t>
  </si>
  <si>
    <t>http://www.linkedin.com/in/st%c3%a9phanie-briday-989514201</t>
  </si>
  <si>
    <t>http://www.neaclub.com</t>
  </si>
  <si>
    <t xml:space="preserve">Sevrier, Auvergne-Rhone-Alpes, France, 74320</t>
  </si>
  <si>
    <t xml:space="preserve">Réservez votre séjour en club-vacances : chambres 3*, restauration en buffets, animations, club-enfants, piscine et autres infrastructures.</t>
  </si>
  <si>
    <t>Mirko</t>
  </si>
  <si>
    <t>Varriale</t>
  </si>
  <si>
    <t xml:space="preserve">Holiday Inn Bordeaux Sud-Pessac</t>
  </si>
  <si>
    <t>mvarriale@hi-pessac.com</t>
  </si>
  <si>
    <t>http://www.linkedin.com/in/mirko-varriale-899b5874</t>
  </si>
  <si>
    <t>http://www.hi-pessac.com</t>
  </si>
  <si>
    <t>Villenave-d'Ornon</t>
  </si>
  <si>
    <t xml:space="preserve">8 Avenue Antoine Becquerel, Pessac, Nouvelle-Aquitaine, France, 33600</t>
  </si>
  <si>
    <t>Duarte</t>
  </si>
  <si>
    <t xml:space="preserve">SUITEO Résidences Services</t>
  </si>
  <si>
    <t>antonio.duarte@suiteo.net</t>
  </si>
  <si>
    <t>http://www.linkedin.com/in/antoninduarte</t>
  </si>
  <si>
    <t>http://www.suiteoresidencesservices.com</t>
  </si>
  <si>
    <t xml:space="preserve">78 Avenue des Champs-Elysees, Paris, Ile-de-France, France, 75008</t>
  </si>
  <si>
    <t>Clar</t>
  </si>
  <si>
    <t xml:space="preserve">Les Chouettes Hostel</t>
  </si>
  <si>
    <t>camille.clar@chouettes-hostel.com</t>
  </si>
  <si>
    <t>http://www.linkedin.com/in/camille-clar-79163a30</t>
  </si>
  <si>
    <t>http://www.chouettes-hostel.com</t>
  </si>
  <si>
    <t xml:space="preserve">27 Rue Dupont des Loges, Rennes, Brittany, France, 35000</t>
  </si>
  <si>
    <t xml:space="preserve">Séjournez aux Chouettes hostel, un hôtel - auberge de jeunesse à 
l'atmosphère conviviale, situé au cœur de Rennes, face à la Vilaine.</t>
  </si>
  <si>
    <t>Geoffroy</t>
  </si>
  <si>
    <t xml:space="preserve">Founder and manager</t>
  </si>
  <si>
    <t xml:space="preserve">AU PIANO DES CHEFS</t>
  </si>
  <si>
    <t>eric@aupianodeschefs.com</t>
  </si>
  <si>
    <t>http://www.linkedin.com/in/eric-geoffroy-394b6012a</t>
  </si>
  <si>
    <t>http://www.aupianodeschefs.com</t>
  </si>
  <si>
    <t xml:space="preserve">AU PIANO DES CHEFS Ateliers de cuisine, Cours de cuisine, Atelier culinaire, cours d'oenologie, chef à domicile,</t>
  </si>
  <si>
    <t>Frederique</t>
  </si>
  <si>
    <t>Noglu</t>
  </si>
  <si>
    <t>frederique.jules@noglu.fr</t>
  </si>
  <si>
    <t>http://www.linkedin.com/in/frederique-jules-a56b9330</t>
  </si>
  <si>
    <t>http://www.noglu.fr</t>
  </si>
  <si>
    <t xml:space="preserve">16 Passage des Panoramas, Paris, Ile-de-France, France, 75002</t>
  </si>
  <si>
    <t xml:space="preserve">Entrez dans notre univers 100% sans gluten, savoureux et moderne et découvrez nos créations. Coffee shop, boulangerie, pâtisserie, épicerie et traiteur.</t>
  </si>
  <si>
    <t>Rolland</t>
  </si>
  <si>
    <t xml:space="preserve">Dim's Home</t>
  </si>
  <si>
    <t>jean.rolland@dimshome.fr</t>
  </si>
  <si>
    <t>http://www.linkedin.com/in/jean-rolland-587093110</t>
  </si>
  <si>
    <t>http://www.dimshome.fr</t>
  </si>
  <si>
    <t xml:space="preserve">9 Rue des Remparts d'Ainay, Lyon, Auvergne-Rhone-Alpes, France, 69002</t>
  </si>
  <si>
    <t xml:space="preserve">Bienvenue chez Dim's ! Le restaurant de baos à Lyon et Bourg-en-Bresse ! Venez déguster nos recettes originales de baos et dim-sum !</t>
  </si>
  <si>
    <t>Schafier</t>
  </si>
  <si>
    <t>Revolugo</t>
  </si>
  <si>
    <t>benjamin@revolugo.com</t>
  </si>
  <si>
    <t>http://www.linkedin.com/in/benjaminschafier</t>
  </si>
  <si>
    <t>http://www.revolugo.com</t>
  </si>
  <si>
    <t xml:space="preserve">60 Rue Saint-Antoine, Paris, Ile-de-France, France, 75004</t>
  </si>
  <si>
    <t xml:space="preserve">Revolugo simplifie l’expérience de réservation d’hébergements pour vos événements et voyages de groupe via une offre personnalisée, abordable et fournie.</t>
  </si>
  <si>
    <t>Shi</t>
  </si>
  <si>
    <t xml:space="preserve">Yatai Ramen</t>
  </si>
  <si>
    <t>parissthonore@yatairamen.fr</t>
  </si>
  <si>
    <t>http://www.linkedin.com/in/james-shi-59308b121</t>
  </si>
  <si>
    <t>http://www.yatairamen.fr</t>
  </si>
  <si>
    <t>Ecully</t>
  </si>
  <si>
    <t xml:space="preserve">17 Rue de Chateaudun, Paris, Ile-de-France, France, 75009</t>
  </si>
  <si>
    <t xml:space="preserve">"\Découvrez Yatai Ramen, restaurant à Paris proposant des ramens 100% faits maison. Fusion parfaite entre tradition japonaise et touches françaises pour une expérience gastronomique unique.</t>
  </si>
  <si>
    <t>Barboni</t>
  </si>
  <si>
    <t>nicolas@eatcala.com</t>
  </si>
  <si>
    <t>http://www.linkedin.com/in/nicolas-barboni-046355a0</t>
  </si>
  <si>
    <t>Nathan</t>
  </si>
  <si>
    <t>Barraille</t>
  </si>
  <si>
    <t xml:space="preserve">Co-Founder &amp; CTO</t>
  </si>
  <si>
    <t>Cohort</t>
  </si>
  <si>
    <t>nathan@cohort.xyz</t>
  </si>
  <si>
    <t>http://www.linkedin.com/in/nbarraille</t>
  </si>
  <si>
    <t>http://www.thecohort.com</t>
  </si>
  <si>
    <t xml:space="preserve">93 Λιοσίων, Athens, Attica, Greece, 104 40</t>
  </si>
  <si>
    <t xml:space="preserve">Cohort is a community driven, tech-enabled, lifestyle hospitality platform offering experiences built for the modern traveler/citizen.</t>
  </si>
  <si>
    <t>Malinowski</t>
  </si>
  <si>
    <t xml:space="preserve">Groupe Delineo</t>
  </si>
  <si>
    <t>f.malinowski@groupe-delineo.fr</t>
  </si>
  <si>
    <t>http://www.linkedin.com/in/franck-malinowski-496714142</t>
  </si>
  <si>
    <t>http://www.franchise-delineo.fr</t>
  </si>
  <si>
    <t>Sevres</t>
  </si>
  <si>
    <t xml:space="preserve">Clichy, Ile-de-France, France, 92110</t>
  </si>
  <si>
    <t>Carole</t>
  </si>
  <si>
    <t>Catsuris</t>
  </si>
  <si>
    <t xml:space="preserve">The Stewardess Corner</t>
  </si>
  <si>
    <t>carole@thestewardesscorner.com</t>
  </si>
  <si>
    <t>http://www.linkedin.com/in/carole-catsuris-3b04a4187</t>
  </si>
  <si>
    <t>http://www.thestewardesscorner.com</t>
  </si>
  <si>
    <t xml:space="preserve">Ocean Ave, Carmel-by-the-Sea, California, United States, 93921</t>
  </si>
  <si>
    <t>Francois</t>
  </si>
  <si>
    <t>Dubrule</t>
  </si>
  <si>
    <t>ValueState</t>
  </si>
  <si>
    <t>fdubrule@valuestate.fr</t>
  </si>
  <si>
    <t>http://www.linkedin.com/in/fran%c3%a7ois-dubrule-43837</t>
  </si>
  <si>
    <t>http://www.valuestate.fr</t>
  </si>
  <si>
    <t xml:space="preserve">20 Boulevard Montmartre, Paris, Ile-de-France, France, 75009</t>
  </si>
  <si>
    <t xml:space="preserve">Directeur général exploitation</t>
  </si>
  <si>
    <t xml:space="preserve">Camping Le Caravan'Île</t>
  </si>
  <si>
    <t>guillaume@caravanile.com</t>
  </si>
  <si>
    <t>http://www.linkedin.com/in/guillaume-andre-9796bb8a</t>
  </si>
  <si>
    <t>http://www.caravanile.com</t>
  </si>
  <si>
    <t xml:space="preserve">La Gueriniere</t>
  </si>
  <si>
    <t xml:space="preserve">1 Rue de la Tresson, La Gueriniere, Pays de la Loire, France, 85680</t>
  </si>
  <si>
    <t xml:space="preserve">Réservez vos prochaines vacances à Noirmoutier dans un fabuleux camping 5 étoiles en bord de mer proposant un parc aquatique avec toboggans et spa !</t>
  </si>
  <si>
    <t>Canavaggia</t>
  </si>
  <si>
    <t>Sunêlia</t>
  </si>
  <si>
    <t>marc.canavaggia@sunelia.com</t>
  </si>
  <si>
    <t>http://www.linkedin.com/in/marc-canavaggia-650249173</t>
  </si>
  <si>
    <t>http://www.sunelia.com</t>
  </si>
  <si>
    <t xml:space="preserve">Bruges, Flanders, Belgium, 8000</t>
  </si>
  <si>
    <t>Belgium</t>
  </si>
  <si>
    <t xml:space="preserve">Sunêlia vous propose des vacances en camping haut de gamme et de la location de mobil-home en France et à l'étranger.</t>
  </si>
  <si>
    <t>Marticou</t>
  </si>
  <si>
    <t xml:space="preserve">Co-Fondateur &amp; Président</t>
  </si>
  <si>
    <t xml:space="preserve">Grand Scène</t>
  </si>
  <si>
    <t>geoffroy@grand-scene.com</t>
  </si>
  <si>
    <t>http://www.linkedin.com/in/geoffroy-marticou</t>
  </si>
  <si>
    <t>http://www.grand-scene.com</t>
  </si>
  <si>
    <t xml:space="preserve">31 Rue de Bethune, Lille, Hauts-de-France, France, 59800</t>
  </si>
  <si>
    <t xml:space="preserve">La scène à manger incontournable de Lille, en plein centre-ville. 10 restaurants, 2 bars et coffee shop, événements toute l’année, ouverture 7/7.</t>
  </si>
  <si>
    <t>Genty</t>
  </si>
  <si>
    <t>mathieu@minimes.space</t>
  </si>
  <si>
    <t>http://www.linkedin.com/in/mathieugenty</t>
  </si>
  <si>
    <t>Barnier</t>
  </si>
  <si>
    <t>Famileat</t>
  </si>
  <si>
    <t>pierre@famileat.fr</t>
  </si>
  <si>
    <t>http://www.linkedin.com/in/pierrebarnier</t>
  </si>
  <si>
    <t>http://www.famileat.fr</t>
  </si>
  <si>
    <t xml:space="preserve">15 Avenue Trudaine, Paris, Ile-de-France, France, 75009</t>
  </si>
  <si>
    <t xml:space="preserve">Vos menus pour la semaine ! Vos plats préférés frais, sain et de saison, livrés en quantité adaptée à votre besoin, partout en France.</t>
  </si>
  <si>
    <t>Brandon</t>
  </si>
  <si>
    <t>Chardin</t>
  </si>
  <si>
    <t>Tempête</t>
  </si>
  <si>
    <t>bchardin@mi-gso.com</t>
  </si>
  <si>
    <t>http://www.linkedin.com/in/brandon-chardin-product-manager</t>
  </si>
  <si>
    <t>http://www.tempete-paris.fr</t>
  </si>
  <si>
    <t xml:space="preserve">5 Cour des Petites Ecuries, Paris, Ile-de-France, France, 75010</t>
  </si>
  <si>
    <t>Frenois</t>
  </si>
  <si>
    <t xml:space="preserve">Directrice Générale - Fondatrice</t>
  </si>
  <si>
    <t xml:space="preserve">Groupe Frénois</t>
  </si>
  <si>
    <t>laura@groupefrenois.com</t>
  </si>
  <si>
    <t>http://www.linkedin.com/in/laura-fr%c3%a9nois-1aa803aa</t>
  </si>
  <si>
    <t>http://www.groupefrenois.com</t>
  </si>
  <si>
    <t xml:space="preserve">Rouen, Upper Normandy, France</t>
  </si>
  <si>
    <t xml:space="preserve">Le Groupe Frénois est un groupe de restauration implanté sur Rouen, Bois Guillaume et Isneauville en plein développement...</t>
  </si>
  <si>
    <t>Capizzi</t>
  </si>
  <si>
    <t xml:space="preserve">LA MAISON ROUGE</t>
  </si>
  <si>
    <t>developpement@lmrchambery.com</t>
  </si>
  <si>
    <t>http://www.linkedin.com/in/eva-capizzi-0b124738</t>
  </si>
  <si>
    <t>http://www.chambery-hotel.fr</t>
  </si>
  <si>
    <t xml:space="preserve">Barberaz, Auvergne-Rhone-Alpes, France, 73000</t>
  </si>
  <si>
    <t>Jean-Louis</t>
  </si>
  <si>
    <t>Descoins</t>
  </si>
  <si>
    <t xml:space="preserve">Château Les Oliviers de Salettes</t>
  </si>
  <si>
    <t>jean-louis.descoins@the-social-club.com</t>
  </si>
  <si>
    <t>http://www.linkedin.com/in/jean-louis-descoins-52a59a25</t>
  </si>
  <si>
    <t>http://www.chateaulesoliviersdesalettes.com</t>
  </si>
  <si>
    <t>Charols</t>
  </si>
  <si>
    <t xml:space="preserve">SITE OFFICIEL | Découvrez le Château Les Oliviers de Salettes - Hôtel Restaurant Spa au coeur des paysages uniques de la Drôme Provençale. Réservez en direct.</t>
  </si>
  <si>
    <t>Michael</t>
  </si>
  <si>
    <t>Pouyer</t>
  </si>
  <si>
    <t xml:space="preserve">Padam Hôtel</t>
  </si>
  <si>
    <t>michael@hotel-padam.com</t>
  </si>
  <si>
    <t>http://www.linkedin.com/in/michael-pouyer-8a3267158</t>
  </si>
  <si>
    <t>http://www.padam-hotel.com</t>
  </si>
  <si>
    <t xml:space="preserve">9 Rue Jean Giraudoux, Paris, Ile-de-France, France, 75116</t>
  </si>
  <si>
    <t xml:space="preserve">Découvrez le charme de Padam Paris, un hôtel 4 étoiles exceptionnel dans le 16ème arrondissement, tout près des Champs-Élysées. Luxe et confort absolu.</t>
  </si>
  <si>
    <t>Brasseur</t>
  </si>
  <si>
    <t xml:space="preserve">Directeur Général en charge des Opérations</t>
  </si>
  <si>
    <t xml:space="preserve">KER Hospitality</t>
  </si>
  <si>
    <t>lbrasseur@kerhospitality.com</t>
  </si>
  <si>
    <t>http://www.linkedin.com/in/loic-brasseur-47142663</t>
  </si>
  <si>
    <t>http://www.kerhospitality.com</t>
  </si>
  <si>
    <t>Charnay-les-Macon</t>
  </si>
  <si>
    <t xml:space="preserve">Esplanade Henri de France, Paris, Ile-de-France, France, 75015</t>
  </si>
  <si>
    <t xml:space="preserve">KER HOSPITALITY, acteur du développement, de l'investissement et de la gestion d'hôtels en Europe, sous franchise d'enseignes internationales</t>
  </si>
  <si>
    <t>Patrice</t>
  </si>
  <si>
    <t>Croq</t>
  </si>
  <si>
    <t xml:space="preserve">Groupe EPIKUR</t>
  </si>
  <si>
    <t>p.croq@groupe-epikur.com</t>
  </si>
  <si>
    <t>http://www.linkedin.com/in/patrice-croq-a7924a306</t>
  </si>
  <si>
    <t>http://www.groupe-epikur.com</t>
  </si>
  <si>
    <t>Aix-les-Bains</t>
  </si>
  <si>
    <t xml:space="preserve">Aix-les-Bains, Auvergne-Rhone-Alpes, France</t>
  </si>
  <si>
    <t>Agundez</t>
  </si>
  <si>
    <t>romain@dlcs.fr</t>
  </si>
  <si>
    <t>http://www.linkedin.com/in/romain-agundez-a160281b</t>
  </si>
  <si>
    <t>Pons</t>
  </si>
  <si>
    <t xml:space="preserve">Founder @NKISUSHIFRANCE</t>
  </si>
  <si>
    <t xml:space="preserve">NKI SUSHI France</t>
  </si>
  <si>
    <t>guillaume.pons@nkisushi.com</t>
  </si>
  <si>
    <t>http://www.linkedin.com/in/guillaume-pons-513a36177</t>
  </si>
  <si>
    <t>http://www.nkisushi.com</t>
  </si>
  <si>
    <t xml:space="preserve">Aix-en-Provence, Provence-Alpes-Cote d'Azur, France</t>
  </si>
  <si>
    <t>Lafont</t>
  </si>
  <si>
    <t xml:space="preserve">Parcel Tiny House</t>
  </si>
  <si>
    <t>herve@stelaf.com</t>
  </si>
  <si>
    <t>http://www.linkedin.com/in/herve-lafont-8586b76</t>
  </si>
  <si>
    <t>http://www.parceltinyhouse.com</t>
  </si>
  <si>
    <t xml:space="preserve">134 Cours Victor Hugo, Bordeaux, Nouvelle-Aquitaine, France, 33000</t>
  </si>
  <si>
    <t xml:space="preserve">Vivez une expérience insolite en dormant dans une cabane en pleine nature. Déconnectez loin de tout et goûtez au meilleur du terroir local.</t>
  </si>
  <si>
    <t>Cretel</t>
  </si>
  <si>
    <t xml:space="preserve">HEJMO Hostel</t>
  </si>
  <si>
    <t>hugues@hejmo-hostel.com</t>
  </si>
  <si>
    <t>http://www.linkedin.com/in/cretelhugues</t>
  </si>
  <si>
    <t>http://www.hejmo-hostel.com</t>
  </si>
  <si>
    <t>Hossegor</t>
  </si>
  <si>
    <t xml:space="preserve">619 Avenue de Pascouaou, Soorts-Hossegor, Nouvelle-Aquitaine, France, 40150</t>
  </si>
  <si>
    <t xml:space="preserve">Ta Maison loin de chez toi... entre bar à cocktails, restaurant tapas/brasserie et coworking ! C'est aussi trois terrasses dont un rooftop, des évèneemnts et concerts, une piscine chauffée et bien plus...</t>
  </si>
  <si>
    <t>Steffen</t>
  </si>
  <si>
    <t>Fox</t>
  </si>
  <si>
    <t xml:space="preserve">KNSA Hospitality</t>
  </si>
  <si>
    <t>sfox@knsa-hospitality.com</t>
  </si>
  <si>
    <t>http://www.linkedin.com/in/steffen-fox-a7aa98221</t>
  </si>
  <si>
    <t>http://www.knsa-hospitality.com</t>
  </si>
  <si>
    <t>Becq</t>
  </si>
  <si>
    <t xml:space="preserve">Bras Doit du CEO</t>
  </si>
  <si>
    <t xml:space="preserve">YAM FOOD</t>
  </si>
  <si>
    <t>hugo@yamfood.fr</t>
  </si>
  <si>
    <t>http://www.linkedin.com/in/hugo-becq-140675192</t>
  </si>
  <si>
    <t>http://www.yamfood.fr</t>
  </si>
  <si>
    <t xml:space="preserve">YAM FOOD est la Dark Kitchen qui conçoit et produit une nouvelle génération de plats Healthy, Branchés et Gourmands dédiés à la livraison.</t>
  </si>
  <si>
    <t xml:space="preserve">Deputy Chief Executive Officer</t>
  </si>
  <si>
    <t xml:space="preserve">Hotel La Louisiane</t>
  </si>
  <si>
    <t>xavier@hotel-lalouisiane.com</t>
  </si>
  <si>
    <t>http://www.linkedin.com/in/xavierblanchot</t>
  </si>
  <si>
    <t>http://www.hotel-lalouisiane.com</t>
  </si>
  <si>
    <t xml:space="preserve">60 Rue de Seine, Paris, Ile-de-France, France, 75006</t>
  </si>
  <si>
    <t xml:space="preserve">Welcome to Hotel La Louisiane, your hotel since 1823 in the heart of Saint-Germain-des-Prés, Paris. Discover our rooms and enjoy an unforgettable stay.</t>
  </si>
  <si>
    <t>Jean-Pierre</t>
  </si>
  <si>
    <t>Braun</t>
  </si>
  <si>
    <t xml:space="preserve">Fondateur/Founder " REŸS - Glaces Eternelles "</t>
  </si>
  <si>
    <t>REŸS</t>
  </si>
  <si>
    <t>jp@wearereys.com</t>
  </si>
  <si>
    <t>http://www.linkedin.com/in/jpbraun</t>
  </si>
  <si>
    <t>http://www.wearereys.com</t>
  </si>
  <si>
    <t xml:space="preserve">Découvrez les glaces artisanales et créatives de REŸS Glaces Éternelles. Nos parfums uniques vous feront voyager et vous rappelleront de beaux souvenirs. Commandez dès maintenant et dégustez une expérience gustative exceptionnelle.</t>
  </si>
  <si>
    <t>Quan</t>
  </si>
  <si>
    <t>Bai</t>
  </si>
  <si>
    <t xml:space="preserve">Founder and General Director</t>
  </si>
  <si>
    <t xml:space="preserve">Groupe PANASIA</t>
  </si>
  <si>
    <t>bai.quan@panasia.fr</t>
  </si>
  <si>
    <t>http://www.linkedin.com/in/quan-bai-26bb2536</t>
  </si>
  <si>
    <t>http://www.panasia.fr</t>
  </si>
  <si>
    <t xml:space="preserve">30 Avenue Corentin Cariou, Paris, Ile-de-France, France, 75019</t>
  </si>
  <si>
    <t>Panasia</t>
  </si>
  <si>
    <t>Katz</t>
  </si>
  <si>
    <t>Co-Fondateur</t>
  </si>
  <si>
    <t>edouard@la-brigade.fr</t>
  </si>
  <si>
    <t>http://www.linkedin.com/in/edouard-katz-98145451</t>
  </si>
  <si>
    <t>Charrin</t>
  </si>
  <si>
    <t xml:space="preserve">Les Brassés</t>
  </si>
  <si>
    <t>gabriel@lesbrasses.fr</t>
  </si>
  <si>
    <t>http://www.linkedin.com/in/gabriel-charrin-30a9b464</t>
  </si>
  <si>
    <t>http://www.lesbrasses.fr</t>
  </si>
  <si>
    <t xml:space="preserve">5 Mail Pablo Picasso, Nantes, Pays de la Loire, France, 44000</t>
  </si>
  <si>
    <t xml:space="preserve">Bières bios et nantaises, restauration, évènements, location de tireuses, Beertruck... Les Brassés : des expériences nantaises à partager.</t>
  </si>
  <si>
    <t>Pierre-Yves</t>
  </si>
  <si>
    <t>Heitz</t>
  </si>
  <si>
    <t xml:space="preserve">Le Potager Voyageur</t>
  </si>
  <si>
    <t>pierre-yves@lepotagervoyageur.fr</t>
  </si>
  <si>
    <t>http://www.linkedin.com/in/pierre-yves-heitz-a6a081137</t>
  </si>
  <si>
    <t>http://www.lepotagervoyageur.fr</t>
  </si>
  <si>
    <t xml:space="preserve">Aix-en-Provence, Provence-Alpes-Cote d'Azur, France, 13540</t>
  </si>
  <si>
    <t>Loubna</t>
  </si>
  <si>
    <t>Ksibi</t>
  </si>
  <si>
    <t>loubna@meetmymama.com</t>
  </si>
  <si>
    <t>http://www.linkedin.com/in/loubnaksibi</t>
  </si>
  <si>
    <t>Majed</t>
  </si>
  <si>
    <t>Mansour</t>
  </si>
  <si>
    <t xml:space="preserve">Junk Group</t>
  </si>
  <si>
    <t>majed@inmybelly.fr</t>
  </si>
  <si>
    <t>http://www.linkedin.com/in/majed-mansour-216b841b</t>
  </si>
  <si>
    <t>http://www.junkgroup.fr</t>
  </si>
  <si>
    <t xml:space="preserve">Paris, Ile-de-France, France, 75009</t>
  </si>
  <si>
    <t xml:space="preserve">Junk Group se distingue par son approche innovante, avec des enseignes telles que Junk et Meatpacking, répondant efficacement aux tendances et besoins des consommateurs. Le lancement récent de Puffy, spécialisée dans les cookies new-yorkais, a diversifié et enrichi l'offre culinaire du groupe.</t>
  </si>
  <si>
    <t>Floriane</t>
  </si>
  <si>
    <t>Novoli</t>
  </si>
  <si>
    <t xml:space="preserve">The D Homes Villa Management</t>
  </si>
  <si>
    <t>floriane.novoli@thedhomes.fr</t>
  </si>
  <si>
    <t>http://www.linkedin.com/in/floriane-novoli-867a31170</t>
  </si>
  <si>
    <t>http://www.thedhomes.com</t>
  </si>
  <si>
    <t xml:space="preserve">La Croix-Valmer, Provence-Alpes-Cote d'Azur, France</t>
  </si>
  <si>
    <t xml:space="preserve">Spécialisé sur le secteur de La Croix-Valmer et Gigaro, The D Homes villa management vous apportera une facilité pour l'intendance et la gestion de votre résidence dans Le Golfe de Saint-Tropez.</t>
  </si>
  <si>
    <t>Varnet</t>
  </si>
  <si>
    <t xml:space="preserve">DOMAINE DE SUZEL</t>
  </si>
  <si>
    <t>fv@domainedesuzel.com</t>
  </si>
  <si>
    <t>http://www.linkedin.com/in/fran%c3%a7ois-varnet-9b843322</t>
  </si>
  <si>
    <t>http://www.domainedesuzel.com</t>
  </si>
  <si>
    <t xml:space="preserve">267 Route de Suzel, Vignieu, Auvergne-Rhone-Alpes, France, 38890</t>
  </si>
  <si>
    <t xml:space="preserve">Domaine de Suzel en Isère (38) : Hôtel 4*, SPA, Mariages, séminaires, restaurant gastronomique, logements insolites et piscines au coeur de la nature.</t>
  </si>
  <si>
    <t>Bovina</t>
  </si>
  <si>
    <t xml:space="preserve">Stratégie Hôtel</t>
  </si>
  <si>
    <t>julien@strategie-hotel.com</t>
  </si>
  <si>
    <t>http://www.linkedin.com/in/julien-bovina-5a2b25107</t>
  </si>
  <si>
    <t>http://www.strategie-hotel.com</t>
  </si>
  <si>
    <t>Cavaillon</t>
  </si>
  <si>
    <t xml:space="preserve">Route de Robion, Cavaillon, Provence-Alpes-Cote d'Azur, France, 84300</t>
  </si>
  <si>
    <t xml:space="preserve">Découvrez comment Stratégie Hôtel vous accompagne à chaque étape de votre projet hôtelier avec des solutions personnalisées et efficaces pour garantir le succès de votre établissement.</t>
  </si>
  <si>
    <t>Mohamed</t>
  </si>
  <si>
    <t>Sayed</t>
  </si>
  <si>
    <t xml:space="preserve">Hotel Brady</t>
  </si>
  <si>
    <t>direction@hotelbrady.com</t>
  </si>
  <si>
    <t>http://www.linkedin.com/in/mohamed-sayed-56952663</t>
  </si>
  <si>
    <t>http://www.hotelbrady.com</t>
  </si>
  <si>
    <t xml:space="preserve">31 Boulevard de Strasbourg, Paris, Ile-de-France, France, 75010</t>
  </si>
  <si>
    <t xml:space="preserve">Hôtel Brady Paris*** - Hôtel proche Gare de l'Est - Hôtel proche  Gare du Nord - Hôtel Boulevard de Strasbourg - Petit-Déjeuner OFFERT sur notre site !</t>
  </si>
  <si>
    <t>xavier.girard@groupesphb.fr</t>
  </si>
  <si>
    <t>http://www.linkedin.com/in/xavier-girard-71b753255</t>
  </si>
  <si>
    <t xml:space="preserve">Luxury Dream Hotels</t>
  </si>
  <si>
    <t>mr@luxurydreamhotels.com</t>
  </si>
  <si>
    <t>http://www.linkedin.com/in/marc-rousseau-65b35b18</t>
  </si>
  <si>
    <t>http://www.luxurydreamhotels.com</t>
  </si>
  <si>
    <t xml:space="preserve">6 Place de la Madeleine, Paris, Ile-de-France, France, 75008</t>
  </si>
  <si>
    <t xml:space="preserve">Book the leading luxury hotels in the world at the best rates. Our exclusive videos will help you to choose your dream holydays</t>
  </si>
  <si>
    <t>Kiefer</t>
  </si>
  <si>
    <t xml:space="preserve">Ginto Hotels</t>
  </si>
  <si>
    <t>j.kiefer@gintohotels.com</t>
  </si>
  <si>
    <t>http://www.linkedin.com/in/julien-kiefer-4ba4535</t>
  </si>
  <si>
    <t>http://www.gintohotels.com</t>
  </si>
  <si>
    <t xml:space="preserve">66 Rue de Miromesnil, Paris, Ile-de-France, France, 75008</t>
  </si>
  <si>
    <t>Anthony</t>
  </si>
  <si>
    <t>Renaud</t>
  </si>
  <si>
    <t>Staays</t>
  </si>
  <si>
    <t>anthony@89labs.io</t>
  </si>
  <si>
    <t>http://www.linkedin.com/in/anthony-renaud-74b750160</t>
  </si>
  <si>
    <t>http://www.staays.com</t>
  </si>
  <si>
    <t>Noblet</t>
  </si>
  <si>
    <t xml:space="preserve">Fondateur - Président</t>
  </si>
  <si>
    <t xml:space="preserve">CREPERIE DE L'ANCIENNE POSTE</t>
  </si>
  <si>
    <t>partenaires@creperiedelancienneposte.com</t>
  </si>
  <si>
    <t>http://www.linkedin.com/in/marc-noblet-3b859936</t>
  </si>
  <si>
    <t>http://www.creperiedelancienneposte.com</t>
  </si>
  <si>
    <t xml:space="preserve">Bourg-la-Reine, Ile-de-France, France, 92340</t>
  </si>
  <si>
    <t>Karl</t>
  </si>
  <si>
    <t>O'Hanlon</t>
  </si>
  <si>
    <t xml:space="preserve">Domaine &amp; Demeure</t>
  </si>
  <si>
    <t>karl@domainedemeure.com</t>
  </si>
  <si>
    <t>http://www.linkedin.com/in/karl-o-hanlon-34022a2</t>
  </si>
  <si>
    <t>http://www.domainedemeure.com</t>
  </si>
  <si>
    <t>Colombiers</t>
  </si>
  <si>
    <t xml:space="preserve">47 Boulevard Pasteur, Boujan-sur-Libron, Occitanie, France, 34760</t>
  </si>
  <si>
    <t xml:space="preserve">Official Website ✅ In Languedoc Roussilon vineyards, discover wonderful castles hotels, luxury villa rental, properties to sale &amp; french lifestyle boutique.</t>
  </si>
  <si>
    <t>Theophile</t>
  </si>
  <si>
    <t>Berlioz</t>
  </si>
  <si>
    <t xml:space="preserve">Co-founder &amp; COO</t>
  </si>
  <si>
    <t>theophile@revolugo.com</t>
  </si>
  <si>
    <t>http://www.linkedin.com/in/theophileberlioz</t>
  </si>
  <si>
    <t>Mailys</t>
  </si>
  <si>
    <t>Torterat</t>
  </si>
  <si>
    <t xml:space="preserve">Mission-driven co-founder &amp; CEO</t>
  </si>
  <si>
    <t xml:space="preserve">BIG sister</t>
  </si>
  <si>
    <t>mailys.torterat@bigsistervegan.com</t>
  </si>
  <si>
    <t>http://www.linkedin.com/in/mailystorterat</t>
  </si>
  <si>
    <t>http://www.bigsistervegan.com</t>
  </si>
  <si>
    <t xml:space="preserve">Nancy, Lorraine, France</t>
  </si>
  <si>
    <t>Cantaut</t>
  </si>
  <si>
    <t>Gastronomicom</t>
  </si>
  <si>
    <t>olivier@gastronomicom.fr</t>
  </si>
  <si>
    <t>http://www.linkedin.com/in/olivier-cantaut-a43a2093</t>
  </si>
  <si>
    <t>http://www.gastronomicom.fr</t>
  </si>
  <si>
    <t xml:space="preserve">8 Rue des Moulins A Huile, Agde, Occitanie, France, 34300</t>
  </si>
  <si>
    <t xml:space="preserve">Discover Gastronomicom, the culinary school in France where you can learn with professionals in Gastronomy and French Pastry. Enroll today!</t>
  </si>
  <si>
    <t>Gail</t>
  </si>
  <si>
    <t>Boisclair</t>
  </si>
  <si>
    <t xml:space="preserve">Co-Founder Scale France</t>
  </si>
  <si>
    <t>Scale</t>
  </si>
  <si>
    <t>gail@scalerentals.show</t>
  </si>
  <si>
    <t>http://www.linkedin.com/in/gail-boisclair-7b25704</t>
  </si>
  <si>
    <t>http://www.scalerentals.show</t>
  </si>
  <si>
    <t xml:space="preserve">Barcelona, Catalonia, Spain</t>
  </si>
  <si>
    <t xml:space="preserve">SCALE is the global brand behind the leading short-term rental events for professional property managers.</t>
  </si>
  <si>
    <t>Billaud</t>
  </si>
  <si>
    <t xml:space="preserve">Deputy CEO</t>
  </si>
  <si>
    <t>nbillaud@knsa-hospitality.com</t>
  </si>
  <si>
    <t>http://www.linkedin.com/in/nicolas-billaud-59964b6</t>
  </si>
  <si>
    <t>Davide</t>
  </si>
  <si>
    <t>Pappalardo</t>
  </si>
  <si>
    <t>Camurria™</t>
  </si>
  <si>
    <t>davide@camurria.fr</t>
  </si>
  <si>
    <t>http://www.linkedin.com/in/davide-pappalardo-35321a112</t>
  </si>
  <si>
    <t>http://www.camurria.fr</t>
  </si>
  <si>
    <t xml:space="preserve">La meilleure Pizza fait maison à Toulouse Centre. Pizzeria en livraison, à domicile ou à emporter. Découvrez notre restauration italienne rapide ! Pizzas, Arancini,  Panini, Salades, Lasagnes, Cannoli, Glaces artisanales, Tiramisu.</t>
  </si>
  <si>
    <t>Abderrahim</t>
  </si>
  <si>
    <t>abaka@911dc.com</t>
  </si>
  <si>
    <t>http://www.linkedin.com/in/abaka</t>
  </si>
  <si>
    <t>Zimmermann</t>
  </si>
  <si>
    <t xml:space="preserve">Exclusively Yours</t>
  </si>
  <si>
    <t>nicolas@eyoursclub.com</t>
  </si>
  <si>
    <t>http://www.linkedin.com/in/nicolaszimmermann</t>
  </si>
  <si>
    <t>http://www.exclusivelyyours-paris.com</t>
  </si>
  <si>
    <t xml:space="preserve">Exclusively Yours, a luxury hotel representation company, enhances your 
visibility and boost your sales in French-speaking markets. Specializing in 
high-end travel, we connect the finest hotels and resorts with an exclusive 
clientele for unparalleled experiences.</t>
  </si>
  <si>
    <t>Coplet</t>
  </si>
  <si>
    <t xml:space="preserve">Co-Founder CEO</t>
  </si>
  <si>
    <t>TRIPLTRIP</t>
  </si>
  <si>
    <t>laurent.coplet@tripltrip.com</t>
  </si>
  <si>
    <t>http://www.linkedin.com/in/laurent-coplet-b90603</t>
  </si>
  <si>
    <t>http://www.tripltrip.com</t>
  </si>
  <si>
    <t xml:space="preserve">Introducing Tripltrip, an exclusive, customisable loyalty programme generator designed for independent hotels and small groups that bridges the gap between rewarding experiences for your guests and additional revenue for you</t>
  </si>
  <si>
    <t>Renauld</t>
  </si>
  <si>
    <t xml:space="preserve">228 Litres</t>
  </si>
  <si>
    <t>p.renauld@228litres.fr</t>
  </si>
  <si>
    <t>http://www.linkedin.com/in/pierre-renauld-5a177295</t>
  </si>
  <si>
    <t>http://www.228litres.fr</t>
  </si>
  <si>
    <t xml:space="preserve">3 Rue Victor Masse, Paris, Ile-de-France, France, 75009</t>
  </si>
  <si>
    <t>Grimaldi</t>
  </si>
  <si>
    <t xml:space="preserve">Com des Hôtels</t>
  </si>
  <si>
    <t>pierre.grimaldi@comdeshotels.fr</t>
  </si>
  <si>
    <t>http://www.linkedin.com/in/pierregrimaldi</t>
  </si>
  <si>
    <t>http://www.comdeshotels.fr</t>
  </si>
  <si>
    <t xml:space="preserve">➡ Augmenter le Taux d'Occupation de votre Hôtel grâce à mes 3 Prestations digitales : Création de Sites Internet + E Réputation + Communication &amp; Publicités</t>
  </si>
  <si>
    <t>Bouder</t>
  </si>
  <si>
    <t>py@mongoo.fr</t>
  </si>
  <si>
    <t>http://www.linkedin.com/in/pierre-yves-le-bouder-8028012</t>
  </si>
  <si>
    <t>Dumas</t>
  </si>
  <si>
    <t xml:space="preserve">Yelloh Village Lac des 3 Vallées</t>
  </si>
  <si>
    <t>sophie@lacdes3vallees.fr</t>
  </si>
  <si>
    <t>http://www.linkedin.com/in/sophie-dumas-a169a81a5</t>
  </si>
  <si>
    <t>http://www.lacdes3vallees.fr</t>
  </si>
  <si>
    <t>Lectoure</t>
  </si>
  <si>
    <t xml:space="preserve">Jugon-les-Lacs, Bretagne, France, 22270</t>
  </si>
  <si>
    <t>Miguel</t>
  </si>
  <si>
    <t>Président-Fondateur</t>
  </si>
  <si>
    <t xml:space="preserve">KING MARCEL</t>
  </si>
  <si>
    <t>marcel@kingmarcel.com</t>
  </si>
  <si>
    <t>http://www.linkedin.com/in/csanmiguel64</t>
  </si>
  <si>
    <t>http://www.kingmarcel.fr</t>
  </si>
  <si>
    <t xml:space="preserve">4 Place General Brosset, Lyon, Auvergne-Rhone-Alpes, France, 69006</t>
  </si>
  <si>
    <t>Boris</t>
  </si>
  <si>
    <t>Fabre</t>
  </si>
  <si>
    <t xml:space="preserve">Co-fondateur &amp; Directeur Général</t>
  </si>
  <si>
    <t>Ensuite</t>
  </si>
  <si>
    <t>boris.fabre@ensuite.fr</t>
  </si>
  <si>
    <t>http://www.linkedin.com/in/boris-fabre-08162825</t>
  </si>
  <si>
    <t>http://www.ensuite.fr</t>
  </si>
  <si>
    <t xml:space="preserve">114 Rue Reaumur, Paris, Ile-de-France, France, 75002</t>
  </si>
  <si>
    <t>Chrystelle</t>
  </si>
  <si>
    <t>Marin</t>
  </si>
  <si>
    <t xml:space="preserve">Kokoko Rôtisserie</t>
  </si>
  <si>
    <t>marin@kokoko.fr</t>
  </si>
  <si>
    <t>http://www.linkedin.com/in/chrystelle-marin-b10503207</t>
  </si>
  <si>
    <t>http://www.kokoko.fr</t>
  </si>
  <si>
    <t>Anglet</t>
  </si>
  <si>
    <t xml:space="preserve">13 Rue des 5 Cantons, Anglet, Nouvelle-Aquitaine, France, 64600</t>
  </si>
  <si>
    <t xml:space="preserve">Kokoko Rotisserie, 5 boutiques de rôtisserie en France, propose des plats savoureux et authentiques, préparés avec des ingrédients frais.</t>
  </si>
  <si>
    <t>Lamacchia</t>
  </si>
  <si>
    <t>l.lamacchia@gelvar.com</t>
  </si>
  <si>
    <t>http://www.linkedin.com/in/laurent-lamacchia-862baa161</t>
  </si>
  <si>
    <t>Signes</t>
  </si>
  <si>
    <t xml:space="preserve">ECRIN PLAGE CANNES</t>
  </si>
  <si>
    <t>julien@ecrinplage.com</t>
  </si>
  <si>
    <t>http://www.linkedin.com/in/julien-marin-b147b7194</t>
  </si>
  <si>
    <t>http://www.ecrinplage.com</t>
  </si>
  <si>
    <t xml:space="preserve">Port Pierre Canto, Cannes, Provence-Alpes-Cote d'Azur, France, 06400</t>
  </si>
  <si>
    <t>Guerlou</t>
  </si>
  <si>
    <t>BDS</t>
  </si>
  <si>
    <t>p.guerlou@bds-groupe.com</t>
  </si>
  <si>
    <t>http://www.linkedin.com/in/pierre-guerlou-692525140</t>
  </si>
  <si>
    <t>http://www.bds-restaurant.com</t>
  </si>
  <si>
    <t xml:space="preserve">1 Quai Lamennais, Rennes, Brittany, France, 35000</t>
  </si>
  <si>
    <t xml:space="preserve">Sports Bar, Restaurant &amp; Café à Rennes, Vern-sur-Seiche, Pacé &amp; Laval. 
Rediffusions sportives, apéros, Afterworks du jeudi avec DJ, déjeuners et 
dîners gourmands, goûters, et brunchs (Rennes seulement). En famille, entre 
collègues, entre amis...</t>
  </si>
  <si>
    <t>Louise</t>
  </si>
  <si>
    <t>Lardeyret</t>
  </si>
  <si>
    <t>L'équilibriste</t>
  </si>
  <si>
    <t>louise@lequilibriste-lyon.fr</t>
  </si>
  <si>
    <t>http://www.linkedin.com/in/louise-lardeyret-168a72135</t>
  </si>
  <si>
    <t>http://www.lequilibriste-lyon.fr</t>
  </si>
  <si>
    <t xml:space="preserve">125 Avenue Lacassagne, Lyon, Auvergne-Rhone-Alpes, France, 69003</t>
  </si>
  <si>
    <t>Gwendoline</t>
  </si>
  <si>
    <t>Pedurand</t>
  </si>
  <si>
    <t xml:space="preserve">Hôtel et Performance</t>
  </si>
  <si>
    <t>gwendoline@hoteletperformance.com</t>
  </si>
  <si>
    <t>http://www.linkedin.com/in/gwendoline-p%c3%a9durand-a5103150</t>
  </si>
  <si>
    <t>http://www.hoteletperformance.com</t>
  </si>
  <si>
    <t xml:space="preserve">Hôtel et Performance est une société de conseil qui accompagne les 
hôteliers et restaurateurs indépendants dans le développement de leur 
activité. Notre expérience vous permet d’externaliser les services d’une 
direction des opérations selon vos besoins.</t>
  </si>
  <si>
    <t>Lucien</t>
  </si>
  <si>
    <t>Schmitt</t>
  </si>
  <si>
    <t xml:space="preserve">Fondateur de Suzette Crêperie Urbaine</t>
  </si>
  <si>
    <t xml:space="preserve">Suzette Crêperie Urbaine</t>
  </si>
  <si>
    <t>l.schmitt@suzettecu.fr</t>
  </si>
  <si>
    <t>http://www.linkedin.com/in/lucien-schmitt-26393522b</t>
  </si>
  <si>
    <t>http://www.suzette-creperie-urbaine.fr</t>
  </si>
  <si>
    <t>Lapidus</t>
  </si>
  <si>
    <t xml:space="preserve">Founder and Owner</t>
  </si>
  <si>
    <t xml:space="preserve">MERCI JEROME</t>
  </si>
  <si>
    <t>p.lapidus@mercijerome.com</t>
  </si>
  <si>
    <t>http://www.linkedin.com/in/philippe-lapidus-a535455</t>
  </si>
  <si>
    <t>http://www.mercijerome.com</t>
  </si>
  <si>
    <t xml:space="preserve">56 Avenue Kleber, Paris, Ile-de-France, France, 75116</t>
  </si>
  <si>
    <t>Ugo</t>
  </si>
  <si>
    <t>Truxler</t>
  </si>
  <si>
    <t xml:space="preserve">Heiko Poké Bowl</t>
  </si>
  <si>
    <t>ugo@heiko-poke.com</t>
  </si>
  <si>
    <t>http://www.linkedin.com/in/ugotruxler</t>
  </si>
  <si>
    <t>http://www.heiko-poke.com</t>
  </si>
  <si>
    <t xml:space="preserve">Dans nos restos Heiko, on t'offre un aller sans retour pour la Polynésie avec nos pokés healthy et gourmands : sur place, en livraison ou en click &amp; collect</t>
  </si>
  <si>
    <t>Gunther</t>
  </si>
  <si>
    <t>emmanuel@thefrenchbastards.fr</t>
  </si>
  <si>
    <t>http://www.linkedin.com/in/emmanuel-gunther-46359883</t>
  </si>
  <si>
    <t>Baverel</t>
  </si>
  <si>
    <t xml:space="preserve">Let it BIB</t>
  </si>
  <si>
    <t>vb@let-it-bib.fr</t>
  </si>
  <si>
    <t>http://www.linkedin.com/in/vincentbaverel</t>
  </si>
  <si>
    <t>http://www.let-it-bib.fr</t>
  </si>
  <si>
    <t xml:space="preserve">2 Impasse du Bureau, Paris, Ile-de-France, France, 75011</t>
  </si>
  <si>
    <t xml:space="preserve">Les bibs de vin que vous retrouvez sur notre boutique en ligne sont un plaidoyer contre les vins dénaturés par les produits chimiques, et le retour à des valeurs essentielles dans les méthodes de vinification.</t>
  </si>
  <si>
    <t>Awcock</t>
  </si>
  <si>
    <t xml:space="preserve">Co-Founder &amp; Director</t>
  </si>
  <si>
    <t xml:space="preserve">Magical Cafe</t>
  </si>
  <si>
    <t>tony.awcock@arthurquinn.org</t>
  </si>
  <si>
    <t>http://www.linkedin.com/in/tony-awcock-461139</t>
  </si>
  <si>
    <t>http://www.magicalcafe.ch</t>
  </si>
  <si>
    <t xml:space="preserve">Basel, Basel City, Switzerland</t>
  </si>
  <si>
    <t>Makowski-Kesic</t>
  </si>
  <si>
    <t>nmakowski@hudi.fr</t>
  </si>
  <si>
    <t>http://www.linkedin.com/in/nicolasmakowski</t>
  </si>
  <si>
    <t>Laetitia</t>
  </si>
  <si>
    <t xml:space="preserve">Lotus Expériences</t>
  </si>
  <si>
    <t>laetitia@lotusexperiences.com</t>
  </si>
  <si>
    <t>http://www.linkedin.com/in/laetitialeclerre</t>
  </si>
  <si>
    <t>http://www.auraecocoon.com</t>
  </si>
  <si>
    <t xml:space="preserve">Créateur de bonheur - Explorez l'univers du glamping éco-responsable.</t>
  </si>
  <si>
    <t>Personnat</t>
  </si>
  <si>
    <t xml:space="preserve">The Oasis House</t>
  </si>
  <si>
    <t>camille@theoasishouse.fr</t>
  </si>
  <si>
    <t>http://www.linkedin.com/in/camille-personnat-0191a278</t>
  </si>
  <si>
    <t>http://www.theoasishouse.fr</t>
  </si>
  <si>
    <t xml:space="preserve">Séminaire, évènement, séjour d’équipe ? The Oasis vous accueille dans des maisons chaleureuses pensées pour vous faire vous sentir chez vous, pour vous évader et pour faire ressortir le meilleur de vous-même.</t>
  </si>
  <si>
    <t>Jimmy</t>
  </si>
  <si>
    <t>Maitre</t>
  </si>
  <si>
    <t xml:space="preserve">Créateur Popoteur – Président Directeur Général - CEO</t>
  </si>
  <si>
    <t xml:space="preserve">POPOTE Minute</t>
  </si>
  <si>
    <t>jimmy@popote-minute.fr</t>
  </si>
  <si>
    <t>http://www.linkedin.com/in/jimmy-maitre-22643aa0</t>
  </si>
  <si>
    <t>http://www.popote-minute.fr</t>
  </si>
  <si>
    <t>Sillingy</t>
  </si>
  <si>
    <t xml:space="preserve">Repas VARIÉ &amp; FAIT MAISON | POPOT'DRIVE Annecy &gt; Genève l Plateaux repas et POPOT' Machines en entreprise Mangez MALIN et gagnez du temps avec POPOTE Minute</t>
  </si>
  <si>
    <t>Razid</t>
  </si>
  <si>
    <t>Radjabaly</t>
  </si>
  <si>
    <t xml:space="preserve">Le Chill Sandwich Coffee</t>
  </si>
  <si>
    <t>razid@lechill.fr</t>
  </si>
  <si>
    <t>http://www.linkedin.com/in/razid-radjabaly-898b39168</t>
  </si>
  <si>
    <t>http://www.lechill.fr</t>
  </si>
  <si>
    <t xml:space="preserve">38 Place des Saisons, Courbevoie, Ile-de-France, France, 92400</t>
  </si>
  <si>
    <t xml:space="preserve">Sandwich sur-mesure &amp; Coffee Shop - Le Chill vous régale à toute heure !</t>
  </si>
  <si>
    <t>Fischer</t>
  </si>
  <si>
    <t xml:space="preserve">FISCHER HOSPITALITY ADVISORY</t>
  </si>
  <si>
    <t>m.fischer@domaine-castille.fr</t>
  </si>
  <si>
    <t>http://www.linkedin.com/in/marc-fischer-b34b2435</t>
  </si>
  <si>
    <t>http://www.domaine-castille.fr</t>
  </si>
  <si>
    <t xml:space="preserve">Cours Sextius, Aix-en-Provence, Provence-Alpes-Cote d'Azur, France, 13100</t>
  </si>
  <si>
    <t xml:space="preserve">CEO Coolangatta Group</t>
  </si>
  <si>
    <t>arnaud@coolangatta-group.com</t>
  </si>
  <si>
    <t>http://www.linkedin.com/in/arnaud-gast%c3%a9-55946828</t>
  </si>
  <si>
    <t>Chantzios</t>
  </si>
  <si>
    <t xml:space="preserve">Co fondateur</t>
  </si>
  <si>
    <t xml:space="preserve">Eleni Group</t>
  </si>
  <si>
    <t>gregory@eleni-group.com</t>
  </si>
  <si>
    <t>http://www.linkedin.com/in/gchantzios</t>
  </si>
  <si>
    <t>http://www.eleni-group.com</t>
  </si>
  <si>
    <t xml:space="preserve">Paris, Ile-de-France, France, 75000</t>
  </si>
  <si>
    <t>Zandvliet</t>
  </si>
  <si>
    <t xml:space="preserve">Le Bois de Rosoy</t>
  </si>
  <si>
    <t>victor@leboisderosoy.com</t>
  </si>
  <si>
    <t>http://www.linkedin.com/in/victor-zandvliet</t>
  </si>
  <si>
    <t>http://www.leboisderosoy.com</t>
  </si>
  <si>
    <t xml:space="preserve">2 Chemin des Gendarmes, Rosoy-en-Multien, Hauts-de-France, France, 60620</t>
  </si>
  <si>
    <t xml:space="preserve">Discover Le Bois de Rosoy and come live some magical treehouse adventures in our wonderful forest estate, to relax with your your loved ones!</t>
  </si>
  <si>
    <t>Margaux</t>
  </si>
  <si>
    <t>Gravier</t>
  </si>
  <si>
    <t xml:space="preserve">Directrice Générale, co-fondatrice</t>
  </si>
  <si>
    <t xml:space="preserve">La Folie Douce Saint-Gervais/Megève</t>
  </si>
  <si>
    <t>grh@lafoliedouce.net</t>
  </si>
  <si>
    <t>http://www.linkedin.com/in/margaux-montel-gravier-36073698</t>
  </si>
  <si>
    <t>http://www.lafoliedouce.net</t>
  </si>
  <si>
    <t>Saint-Gervais-les-Bains</t>
  </si>
  <si>
    <t xml:space="preserve">135 Rue du Mont Blanc, Saint-Gervais-les-Bains, Rhone-Alpes, France, 74170</t>
  </si>
  <si>
    <t>Yves-Marie</t>
  </si>
  <si>
    <t>Guguen</t>
  </si>
  <si>
    <t xml:space="preserve">Les Manoirs de Tourgéville</t>
  </si>
  <si>
    <t>ymguguen@lesmanoirstourgeville.com</t>
  </si>
  <si>
    <t>http://www.linkedin.com/in/yves-marie-guguen-86707857</t>
  </si>
  <si>
    <t>http://www.lesmanoirstourgeville.com</t>
  </si>
  <si>
    <t>Deauville</t>
  </si>
  <si>
    <t xml:space="preserve">668 Chemin de l'Orgueil, Tourgeville, Normandy, France, 14800</t>
  </si>
  <si>
    <t xml:space="preserve">Situé à deux pas de Deauville, Les Manoirs de Tourgéville est composé d’un hôtel, restaurant, spa avec piscine intérieure et d'un parc de 7 hectares.</t>
  </si>
  <si>
    <t>Etchebest</t>
  </si>
  <si>
    <t xml:space="preserve">Groupe Philippe ETCHEBEST</t>
  </si>
  <si>
    <t>boutique@philippe-etchebest.com</t>
  </si>
  <si>
    <t>http://www.linkedin.com/in/philippe-etchebest-365994143</t>
  </si>
  <si>
    <t>http://www.philippe-etchebest.com</t>
  </si>
  <si>
    <t xml:space="preserve">7 Rue Guillaume-Brochon, Bordeaux, Nouvelle-Aquitaine, France, 33000</t>
  </si>
  <si>
    <t xml:space="preserve">Site officiel du chef cuisinier étoilé Philippe Etchebest. Découvrez sa biographie, ses restaurants, ses émissions TV, son programme Mentor et sa boutique.</t>
  </si>
  <si>
    <t>Coue</t>
  </si>
  <si>
    <t xml:space="preserve">Co-fondateur / Co-gérant de « JUSTE »</t>
  </si>
  <si>
    <t>JUSTE</t>
  </si>
  <si>
    <t>romain.c@juste-producteur.com</t>
  </si>
  <si>
    <t>http://www.linkedin.com/in/romain-coue-745b9822</t>
  </si>
  <si>
    <t>http://www.justejuste.com</t>
  </si>
  <si>
    <t xml:space="preserve">28 Rue Balthazar-Dieude, Marseille, Provence-Alpes-Cote d'Azur, France, 13006</t>
  </si>
  <si>
    <t>Cervantes</t>
  </si>
  <si>
    <t xml:space="preserve">La Petite Maison Cannes</t>
  </si>
  <si>
    <t>f.cervantes@lapetitemaison-cannes.com</t>
  </si>
  <si>
    <t>http://www.linkedin.com/in/fr%c3%a9d%c3%a9ric-cervantes-12ba7b199</t>
  </si>
  <si>
    <t>http://www.lapetitemaison-cannes.com</t>
  </si>
  <si>
    <t xml:space="preserve">Place Franklin Roosevelt, Cannes, Provence-Alpes-Cote d'Azur, France, 06400</t>
  </si>
  <si>
    <t xml:space="preserve">Avec une vue panoramique du Cap d’Antibes jusqu’aux îles de Lérins, La Petite Maison Cannes est un restaurant au design contemporain. Un lieu unique où la Méditerranée est au cœur du concept, du design à l’assiette.</t>
  </si>
  <si>
    <t>Fontimpe</t>
  </si>
  <si>
    <t>boris.fontimpe@lafabuleusecantine.fr</t>
  </si>
  <si>
    <t>http://www.linkedin.com/in/boris-fontimpe-35881019b</t>
  </si>
  <si>
    <t>F</t>
  </si>
  <si>
    <t>Farneti</t>
  </si>
  <si>
    <t>f.farneti@ca-beachhotel.com</t>
  </si>
  <si>
    <t>http://www.linkedin.com/in/f-farneti-5b8498246</t>
  </si>
  <si>
    <t>Oscar</t>
  </si>
  <si>
    <t>Comtet</t>
  </si>
  <si>
    <t xml:space="preserve">Hôtel Particulier Montmartre</t>
  </si>
  <si>
    <t>oscar@hotel-particulier-montmartre.com</t>
  </si>
  <si>
    <t>http://www.linkedin.com/in/oscar-comtet-4043071ba</t>
  </si>
  <si>
    <t>http://www.hotelparticulier.com</t>
  </si>
  <si>
    <t xml:space="preserve">23 Avenue Junot, Paris, Ile-de-France, France, 75018</t>
  </si>
  <si>
    <t xml:space="preserve">With its 5 suites, a glamorous restaurant, a cocktail bar Le Très Particulier, and the biggest hotel garden of the capital, the Hôtel Particulier Montmartre is a unique experience in the heart of the City of Light.</t>
  </si>
  <si>
    <t>Elisa</t>
  </si>
  <si>
    <t xml:space="preserve">Malone Hotels</t>
  </si>
  <si>
    <t>elisa@malonehotels.com</t>
  </si>
  <si>
    <t>http://www.linkedin.com/in/elisagirard</t>
  </si>
  <si>
    <t>http://www.malonehotels.com</t>
  </si>
  <si>
    <t xml:space="preserve">9 Rue du Champ-de-Mars, Paris, Ile-de-France, France, 75007</t>
  </si>
  <si>
    <t xml:space="preserve">Malone Hotels is a collection of charming boutique hotels for leisure and business travelers in the heart of Paris.</t>
  </si>
  <si>
    <t>Linda</t>
  </si>
  <si>
    <t>Trin</t>
  </si>
  <si>
    <t xml:space="preserve">Co-founder Avocateria</t>
  </si>
  <si>
    <t>Avocateria</t>
  </si>
  <si>
    <t>linda@avocateria.fr</t>
  </si>
  <si>
    <t>http://www.linkedin.com/in/lindatrin</t>
  </si>
  <si>
    <t>http://www.avocateria.fr</t>
  </si>
  <si>
    <t xml:space="preserve">44 Rue du Caire, Paris, Ile-de-France, France, 75002</t>
  </si>
  <si>
    <t xml:space="preserve">brunch, avocateria, avocado toast, avocado bar, avocado restaurant, restaurant paris</t>
  </si>
  <si>
    <t>Palluis</t>
  </si>
  <si>
    <t>Venandi</t>
  </si>
  <si>
    <t>palluis.francois@venandi-sauvage.com</t>
  </si>
  <si>
    <t>http://www.linkedin.com/in/francois-palluis-tilkee</t>
  </si>
  <si>
    <t>http://www.venandi-sauvage.fr</t>
  </si>
  <si>
    <t xml:space="preserve">Quai Jules Courmont, Lyon, Auvergne-Rhone-Alpes, France, 69002</t>
  </si>
  <si>
    <t xml:space="preserve">Découvrez des produits apéritifs concoctés avec de la viande sauvage 100% françaises ! Sanglier, chevreuil et cerf sauront vous régaler !</t>
  </si>
  <si>
    <t>Taittinger</t>
  </si>
  <si>
    <t xml:space="preserve">Barefoot Founder</t>
  </si>
  <si>
    <t xml:space="preserve">Puzl CowOrKing</t>
  </si>
  <si>
    <t>t.taittinger@puzl.com</t>
  </si>
  <si>
    <t>http://www.linkedin.com/in/thibauttaittinger</t>
  </si>
  <si>
    <t>http://www.puzl.com</t>
  </si>
  <si>
    <t xml:space="preserve">47 bulevard "Cherni vrah", Sofia, Sofia City Province, Bulgaria, 1407</t>
  </si>
  <si>
    <t>Bulgaria</t>
  </si>
  <si>
    <t xml:space="preserve">Puzl CowOrKing creates beautiful shared offices for IT companies. Get the productive environment and community support needed to grow your business.</t>
  </si>
  <si>
    <t>Derycke</t>
  </si>
  <si>
    <t xml:space="preserve">Set On Invest</t>
  </si>
  <si>
    <t>oderycke@setoninvest.com</t>
  </si>
  <si>
    <t>http://www.linkedin.com/in/olivier-derycke</t>
  </si>
  <si>
    <t>http://www.setoninvest.com</t>
  </si>
  <si>
    <t xml:space="preserve">Set On Invest recherche des immeubles, hôtels ou bâtiments à convertir en coeur des métropoles françaises, proches des transports publics.</t>
  </si>
  <si>
    <t>Eloi</t>
  </si>
  <si>
    <t>Courcoux</t>
  </si>
  <si>
    <t xml:space="preserve">Co-Founder &amp; Partner</t>
  </si>
  <si>
    <t>Boostable</t>
  </si>
  <si>
    <t>eloi.courcoux@boostable.eu</t>
  </si>
  <si>
    <t>http://www.linkedin.com/in/eloicourcoux</t>
  </si>
  <si>
    <t>http://www.boostable.eu</t>
  </si>
  <si>
    <t>Bokobsa</t>
  </si>
  <si>
    <t xml:space="preserve">Pied A Terre Paris</t>
  </si>
  <si>
    <t>andrea@piedaterre.fr</t>
  </si>
  <si>
    <t>http://www.linkedin.com/in/abokobsa</t>
  </si>
  <si>
    <t>http://www.piedaterre.fr</t>
  </si>
  <si>
    <t xml:space="preserve">Pied à Terre réinvente l'hospitalité en vous offrant un concept innovant grâce à des appartements de charme dans différents quartiers de Paris.</t>
  </si>
  <si>
    <t>Claire</t>
  </si>
  <si>
    <t>Diquet</t>
  </si>
  <si>
    <t xml:space="preserve">GonneGirls Farm</t>
  </si>
  <si>
    <t>claire@gonnegirls.farm</t>
  </si>
  <si>
    <t>http://www.linkedin.com/in/clairewillsdiquet</t>
  </si>
  <si>
    <t>http://www.gonnegirls.farm</t>
  </si>
  <si>
    <t xml:space="preserve">Gonneville-en-Auge, Lower Normandy, France</t>
  </si>
  <si>
    <t>Ian</t>
  </si>
  <si>
    <t>Decaix</t>
  </si>
  <si>
    <t xml:space="preserve">THE HOTELS AGENCY</t>
  </si>
  <si>
    <t>ian.decaix@thehotelsagency.com</t>
  </si>
  <si>
    <t>http://www.linkedin.com/in/iandecaix</t>
  </si>
  <si>
    <t>http://www.thehotelsagency.com</t>
  </si>
  <si>
    <t xml:space="preserve">42 Rue Eugene Carriere, Paris, Ile-de-France, France, 75018</t>
  </si>
  <si>
    <t xml:space="preserve">The Hotels Agency, Agence Yield Management Hôtels, Revenue Management Hôtels, Mandats de Gestion Hôtels, Community Management Hôtels, Faire gérer son hôtel</t>
  </si>
  <si>
    <t>Hausseguy</t>
  </si>
  <si>
    <t>GRUPPOMIMO</t>
  </si>
  <si>
    <t>edouard@gruppomimo.com</t>
  </si>
  <si>
    <t>http://www.linkedin.com/in/edouard-hausseguy-53099b5a</t>
  </si>
  <si>
    <t>http://www.gruppomimo.com</t>
  </si>
  <si>
    <t xml:space="preserve">GRUPPOMIMO le restaurant italien numéro 1 à Paris. Découvre dès maintenant notre univers. Disponible en livraison, click &amp; collect et réservation.</t>
  </si>
  <si>
    <t>Wael</t>
  </si>
  <si>
    <t>wael.zebib@mezzencore.fr</t>
  </si>
  <si>
    <t>http://www.linkedin.com/in/wael-zebib-06031312</t>
  </si>
  <si>
    <t>Marion</t>
  </si>
  <si>
    <t>Roullet</t>
  </si>
  <si>
    <t>Outwork</t>
  </si>
  <si>
    <t>marion@out-work.fr</t>
  </si>
  <si>
    <t>http://www.linkedin.com/in/marion-roullet-%f0%9f%8c%b3-669357107</t>
  </si>
  <si>
    <t>http://www.out-work.fr</t>
  </si>
  <si>
    <t xml:space="preserve">(Re)connectez vos équipes avec Outwork. Des expériences d'équipe à 1h de Paris animées par des experts pour une cohésion renforcée.</t>
  </si>
  <si>
    <t>Houssine</t>
  </si>
  <si>
    <t>H.</t>
  </si>
  <si>
    <t>houssine@crispysoul.fr</t>
  </si>
  <si>
    <t>http://www.linkedin.com/in/houssine-h</t>
  </si>
  <si>
    <t>Filly</t>
  </si>
  <si>
    <t xml:space="preserve">GF HOTEL &amp; TRAVEL CONSULTING</t>
  </si>
  <si>
    <t>guillaume.filly@gftravelconsulting.com</t>
  </si>
  <si>
    <t>http://www.linkedin.com/in/gfilly</t>
  </si>
  <si>
    <t>http://www.gftravelconsulting.com</t>
  </si>
  <si>
    <t xml:space="preserve">Consulting, Audits, Strategies, Business Development, Business Partner, Performance analysis, Trainings, Coaching</t>
  </si>
  <si>
    <t>Celia</t>
  </si>
  <si>
    <t>Cornu</t>
  </si>
  <si>
    <t xml:space="preserve">Compagnie Hôtelière de Bagatelle</t>
  </si>
  <si>
    <t>ccornu@cie-bagatelle.com</t>
  </si>
  <si>
    <t>http://www.linkedin.com/in/celia-cornu-4159572</t>
  </si>
  <si>
    <t>http://www.cie-bagatelle.com</t>
  </si>
  <si>
    <t xml:space="preserve">43 Avenue Marceau, Paris, Ile-de-France, France, 75116</t>
  </si>
  <si>
    <t xml:space="preserve">Official website of the Compagnie Hôtelière de Bagatelle, our collection of 7 hotels in Paris. Platine Hotel, Vice Versa Hotel, Les Plumes Hotel, The Chess Hotel, Hotel Les Théâtres, The Roch Hotel &amp; Spa, Hotel de l'Abbaye.</t>
  </si>
  <si>
    <t>Guegan</t>
  </si>
  <si>
    <t xml:space="preserve">France Hospitality Investment</t>
  </si>
  <si>
    <t>sophie.guegan@hotels-fhi.com</t>
  </si>
  <si>
    <t>http://www.linkedin.com/in/sophie-guegan-b783773</t>
  </si>
  <si>
    <t>http://www.hotels-fhi.com</t>
  </si>
  <si>
    <t>Sechet</t>
  </si>
  <si>
    <t xml:space="preserve">Le Général Hôtel</t>
  </si>
  <si>
    <t>thomas@legeneralhotel.com</t>
  </si>
  <si>
    <t>http://www.linkedin.com/in/thomassechet</t>
  </si>
  <si>
    <t>http://www.legeneralhotel.com</t>
  </si>
  <si>
    <t xml:space="preserve">7 Rue Rampon, Paris, Ile-de-France, France, 75011</t>
  </si>
  <si>
    <t xml:space="preserve">Welcome to Le General Hotel, a contemporary 4-star lifestyle hotel in Paris, designed by J.P. Nuel, located near République and the historic Marais District.</t>
  </si>
  <si>
    <t>Imaad</t>
  </si>
  <si>
    <t xml:space="preserve">Directeur Général Ecole des Cuistots Migrateurs</t>
  </si>
  <si>
    <t>imaad@lescuistotsmigrateurs.com</t>
  </si>
  <si>
    <t>http://www.linkedin.com/in/imaad-ali-26604142</t>
  </si>
  <si>
    <t>Romainville</t>
  </si>
  <si>
    <t>Nina</t>
  </si>
  <si>
    <t xml:space="preserve">Tigermilk Group</t>
  </si>
  <si>
    <t>nina@tigermilkgroup.com</t>
  </si>
  <si>
    <t>http://www.linkedin.com/in/aserizer</t>
  </si>
  <si>
    <t>http://www.tigermilkrestaurants.com</t>
  </si>
  <si>
    <t xml:space="preserve">72 Rue du Faubourg Montmartre, Paris, Ile-de-France, France, 75009</t>
  </si>
  <si>
    <t xml:space="preserve">Les restaurants Tigermilk sont des haciendas chaleureuses servant une cuisine aux accents mexicains et des cocktails. Tout est fait sur place à base de produits frais, à Paris, Bruxelles, Lille, Bordeaux et Lyon.</t>
  </si>
  <si>
    <t>Fossorier</t>
  </si>
  <si>
    <t>juliette@thecalisisters.com</t>
  </si>
  <si>
    <t>http://www.linkedin.com/in/juliette-vigand-fossorier-ba212595</t>
  </si>
  <si>
    <t>Kristin</t>
  </si>
  <si>
    <t>Frederick</t>
  </si>
  <si>
    <t xml:space="preserve">Le Camion qui Fume</t>
  </si>
  <si>
    <t>kristin@lecamionquifume.com</t>
  </si>
  <si>
    <t>http://www.linkedin.com/in/kristin-frederick-ab70a4181</t>
  </si>
  <si>
    <t>http://www.lecamionquifume.com</t>
  </si>
  <si>
    <t xml:space="preserve">112 Rue Marcel Hartmann, Ivry-sur-Seine, Ile-de-France, France, 94200</t>
  </si>
  <si>
    <t>Habib</t>
  </si>
  <si>
    <t xml:space="preserve">CEO / Co-founder</t>
  </si>
  <si>
    <t>habib@rosaparks.fr</t>
  </si>
  <si>
    <t>http://www.linkedin.com/in/habib-hadj-henni-76a35428</t>
  </si>
  <si>
    <t>Ferdinand</t>
  </si>
  <si>
    <t>Eberle</t>
  </si>
  <si>
    <t xml:space="preserve">Bonne table</t>
  </si>
  <si>
    <t>ferdinand@bonnetable.eu</t>
  </si>
  <si>
    <t>http://www.linkedin.com/in/ferdinand-eberl%c3%a9-835563116</t>
  </si>
  <si>
    <t>http://www.bonnetable.eu</t>
  </si>
  <si>
    <t>Alex</t>
  </si>
  <si>
    <t>Bril</t>
  </si>
  <si>
    <t xml:space="preserve">Group CEO</t>
  </si>
  <si>
    <t xml:space="preserve">YEEELS GROUP VERDE</t>
  </si>
  <si>
    <t>alex@yeeels.com</t>
  </si>
  <si>
    <t>http://www.linkedin.com/in/alex-bril-6b2530178</t>
  </si>
  <si>
    <t>http://www.yeeels.com</t>
  </si>
  <si>
    <t xml:space="preserve">24 Avenue George V, Paris, Ile-de-France, France, 75008</t>
  </si>
  <si>
    <t>Ylan</t>
  </si>
  <si>
    <t>ylan@eatcala.com</t>
  </si>
  <si>
    <t>http://www.linkedin.com/in/ylan-richard-229b08145</t>
  </si>
  <si>
    <t>Todd</t>
  </si>
  <si>
    <t>Hartwell</t>
  </si>
  <si>
    <t xml:space="preserve">For the Love of Food Paris</t>
  </si>
  <si>
    <t>todd@fortheloveoffood.paris</t>
  </si>
  <si>
    <t>http://www.linkedin.com/in/todd-hartwell-0b6735</t>
  </si>
  <si>
    <t>http://www.fortheloveoffood.paris</t>
  </si>
  <si>
    <t xml:space="preserve">22 Rue de Londres, Paris, Ile-de-France, France, 75009</t>
  </si>
  <si>
    <t xml:space="preserve">For the Love of Food est un incubateur pour chefs en herbe et gastronomes curieux</t>
  </si>
  <si>
    <t>Bedoyere</t>
  </si>
  <si>
    <t xml:space="preserve">Coucoo Cabanes</t>
  </si>
  <si>
    <t>emmanuel@coucoo.com</t>
  </si>
  <si>
    <t>http://www.linkedin.com/in/emmanuel-de-la-b%c3%a9doy%c3%a8re-5a631a47</t>
  </si>
  <si>
    <t>http://www.coucoocabanes.com</t>
  </si>
  <si>
    <t xml:space="preserve">14 Rue Palouzie, Saint-Ouen, Ile-de-France, France, 93400</t>
  </si>
  <si>
    <t xml:space="preserve">Coucoo Cabanes propose des cabanes dans les arbres, flottantes ou sur pilotis dans 3 régions françaises pour des séjours insolites et durables.</t>
  </si>
  <si>
    <t>Anouare</t>
  </si>
  <si>
    <t>Boularouah</t>
  </si>
  <si>
    <t xml:space="preserve">Président fondateur</t>
  </si>
  <si>
    <t xml:space="preserve">La Place des Canailles</t>
  </si>
  <si>
    <t>anouare@laplacedescanailles.com</t>
  </si>
  <si>
    <t>http://www.linkedin.com/in/anouare-boularouah-b679a258</t>
  </si>
  <si>
    <t>http://www.laplacedescanailles.com</t>
  </si>
  <si>
    <t xml:space="preserve">Marseille, Provence-Alpes-Cote d'Azur, France</t>
  </si>
  <si>
    <t xml:space="preserve">La Place des Canailles, situé en plein coeur des Docks Village, c'est LE lieu unique de vie et de sorties à Marseille pour vivre des expériences intenses entre amis, entre collègues, en famille</t>
  </si>
  <si>
    <t>Heraud</t>
  </si>
  <si>
    <t>Baresto</t>
  </si>
  <si>
    <t>c.heraud@baresto.fr</t>
  </si>
  <si>
    <t>http://www.linkedin.com/in/christophe-heraud-7566857a</t>
  </si>
  <si>
    <t>http://www.baresto.fr</t>
  </si>
  <si>
    <t xml:space="preserve">825 Rue Leonard de Vinci, Semoy, Centre-Val de Loire, France, 45400</t>
  </si>
  <si>
    <t xml:space="preserve">Baresto késako ? Bien plus qu’une centrale d’achat ! Nous ne sommes pas là uniquement pour optimiser vos achats. Notre mission : accélérer votre réussite to ...</t>
  </si>
  <si>
    <t>Elise</t>
  </si>
  <si>
    <t>Thorel</t>
  </si>
  <si>
    <t xml:space="preserve">Marie Curry</t>
  </si>
  <si>
    <t>elise@mariecurry.fr</t>
  </si>
  <si>
    <t>http://www.linkedin.com/in/elise-thorel-a0467564</t>
  </si>
  <si>
    <t>http://www.mariecurry.fr</t>
  </si>
  <si>
    <t xml:space="preserve">210 Rue de Begles, Bordeaux, Nouvelle-Aquitaine, France, 33800</t>
  </si>
  <si>
    <t>Ophelie</t>
  </si>
  <si>
    <t>Juillard</t>
  </si>
  <si>
    <t xml:space="preserve">Maison Fenestraz</t>
  </si>
  <si>
    <t>ophelie@maisonfenestraz.com</t>
  </si>
  <si>
    <t>http://www.linkedin.com/in/ophelie-juillard-9804a294</t>
  </si>
  <si>
    <t>http://www.maisonfenestraz.com</t>
  </si>
  <si>
    <t xml:space="preserve">12 Rue du Paquier, Annecy, Auvergne-Rhone-Alpes, France, 74000</t>
  </si>
  <si>
    <t xml:space="preserve">The best thing one man can do for another is to share his dream. Discover our Maisons from both sides of the Atlantic</t>
  </si>
  <si>
    <t>Bailleul</t>
  </si>
  <si>
    <t xml:space="preserve">Directrice Générale / Captain</t>
  </si>
  <si>
    <t xml:space="preserve">Moxy Lille City</t>
  </si>
  <si>
    <t>captain@moxylillecity.com</t>
  </si>
  <si>
    <t>http://www.linkedin.com/in/sophie-bailleul-39391112a</t>
  </si>
  <si>
    <t>http://www.lille-hotels.com</t>
  </si>
  <si>
    <t xml:space="preserve">3 Rue Jean Bart, Lille, Hauts-de-France, France, 59000</t>
  </si>
  <si>
    <t>Cecile</t>
  </si>
  <si>
    <t>Barry</t>
  </si>
  <si>
    <t xml:space="preserve">NOAM PARIS✨</t>
  </si>
  <si>
    <t>cecile@noam-paris.com</t>
  </si>
  <si>
    <t>http://www.linkedin.com/in/cecile-barry-649b518</t>
  </si>
  <si>
    <t>http://www.noam-paris.com</t>
  </si>
  <si>
    <t xml:space="preserve">Rue du Faubourg Saint-Denis, Paris, Ile-de-France, France, 75010</t>
  </si>
  <si>
    <t>Bertoli</t>
  </si>
  <si>
    <t xml:space="preserve">Hôtel Christiania</t>
  </si>
  <si>
    <t>b.bertoli@christiania.fr</t>
  </si>
  <si>
    <t>http://www.linkedin.com/in/bastien-bertoli-442954208</t>
  </si>
  <si>
    <t>http://www.hotel-christiania.com</t>
  </si>
  <si>
    <t>Val-d'Isere</t>
  </si>
  <si>
    <t xml:space="preserve">Val-d'Isere, Auvergne-Rhone-Alpes, France, 73150</t>
  </si>
  <si>
    <t xml:space="preserve">L'hôtel Christiania est un hôtel luxueux et charmant situé au cœur de la magnifique station de ski de Val d'Isère, en France.</t>
  </si>
  <si>
    <t>D'Urso</t>
  </si>
  <si>
    <t xml:space="preserve">Les Etangs de Corot</t>
  </si>
  <si>
    <t>marc.durso@etangs-corot.com</t>
  </si>
  <si>
    <t>http://www.linkedin.com/in/marc-d-urso-86868138</t>
  </si>
  <si>
    <t>http://www.etangs-corot.com</t>
  </si>
  <si>
    <t xml:space="preserve">55 Rue de Versailles, Ville-d'Avray, Ile-de-France, France, 92410</t>
  </si>
  <si>
    <t xml:space="preserve">Découvrez l'Hôtel Les Etangs de Corot, un lieu d'exception près de Paris. Séjournez dans un cadre naturel unique et profitez d'un service de qualité</t>
  </si>
  <si>
    <t>Lombard</t>
  </si>
  <si>
    <t xml:space="preserve">Hotel Crillon le Brave</t>
  </si>
  <si>
    <t>g.lombard@crillonlebrave.com</t>
  </si>
  <si>
    <t>http://www.linkedin.com/in/guylombard</t>
  </si>
  <si>
    <t>http://www.crillonlebrave.com</t>
  </si>
  <si>
    <t>Crillon-le-Brave</t>
  </si>
  <si>
    <t xml:space="preserve">Rue de l'Eglise, Crillon-le-Brave, Provence-Alpes-Cote d'Azur, France, 84410</t>
  </si>
  <si>
    <t>Joackim</t>
  </si>
  <si>
    <t>Noblot</t>
  </si>
  <si>
    <t xml:space="preserve">Directeur général - Associé</t>
  </si>
  <si>
    <t xml:space="preserve">François Premier Hospitality</t>
  </si>
  <si>
    <t>j.noblot@hfpc.fr</t>
  </si>
  <si>
    <t>http://www.linkedin.com/in/joackim-noblot-01bb79201</t>
  </si>
  <si>
    <t>http://www.hfpc.fr</t>
  </si>
  <si>
    <t>Cognac</t>
  </si>
  <si>
    <t xml:space="preserve">Cognac, Aquitaine-Limousin-Poitou-Charentes, France, 16100</t>
  </si>
  <si>
    <t>Mey</t>
  </si>
  <si>
    <t xml:space="preserve">Fondateur du food traboule</t>
  </si>
  <si>
    <t xml:space="preserve">Food Traboule</t>
  </si>
  <si>
    <t>ludovic@foodtraboule.com</t>
  </si>
  <si>
    <t>http://www.linkedin.com/in/ludovic-mey-18753089</t>
  </si>
  <si>
    <t>http://www.foodtraboule.com</t>
  </si>
  <si>
    <t xml:space="preserve">22 Rue du Boeuf, Lyon, Auvergne-Rhone-Alpes, France, 69005</t>
  </si>
  <si>
    <t xml:space="preserve">Un Food Court lyonnais au coeur de la Tour Rose, porté par 12 chefs qui cuisinent sous vos yeux, pour vivre une expérience culinaire unique.</t>
  </si>
  <si>
    <t>Pluchino</t>
  </si>
  <si>
    <t xml:space="preserve">Fondateur de LOASIS</t>
  </si>
  <si>
    <t>LOASIS</t>
  </si>
  <si>
    <t>julien.pluchino@loasis.fr</t>
  </si>
  <si>
    <t>http://www.linkedin.com/in/julien-pluchino</t>
  </si>
  <si>
    <t>http://www.loasis.fr</t>
  </si>
  <si>
    <t xml:space="preserve">4 Rue de la Republique, Lyon, Auvergne-Rhone-Alpes, France, 69001</t>
  </si>
  <si>
    <t>Deceuninck</t>
  </si>
  <si>
    <t>frederic@auxenfantsterribles.fr</t>
  </si>
  <si>
    <t>http://www.linkedin.com/in/fr%c3%a9d%c3%a9ric-deceuninck-98a0403</t>
  </si>
  <si>
    <t>Marquette-lez-Lille</t>
  </si>
  <si>
    <t>Bahler</t>
  </si>
  <si>
    <t xml:space="preserve">Hôtel Le Littré</t>
  </si>
  <si>
    <t>exploitation@hotellittreparis.com</t>
  </si>
  <si>
    <t>http://www.linkedin.com/in/nicolas-bahler-0275a92b7</t>
  </si>
  <si>
    <t>http://www.hotellittreparis.com</t>
  </si>
  <si>
    <t xml:space="preserve">9 Rue Littre, Paris, Ile-de-France, France, 75006</t>
  </si>
  <si>
    <t xml:space="preserve">Welcome to the Hotel Littre Paris. A 4 star luxury hotel in Montparnasse and near Saint-Germain des Prés. Best Rate Guarantee by booking on our website</t>
  </si>
  <si>
    <t>Favre-Coutillet</t>
  </si>
  <si>
    <t xml:space="preserve">La Coquetterie 😋</t>
  </si>
  <si>
    <t>colin@lacoquetteriegang.com</t>
  </si>
  <si>
    <t>http://www.linkedin.com/in/colin-favre-coutillet-4a7373127</t>
  </si>
  <si>
    <t>http://www.lacoquetteriegang.com</t>
  </si>
  <si>
    <t xml:space="preserve">41 Rue Rene Leynaud, Lyon, Auvergne-Rhone-Alpes, France, 69001</t>
  </si>
  <si>
    <t xml:space="preserve">Notre kiff ? Revisiter et réinventer les classiques de la street food ! Ouvert 7j/7 en Delivery et Click&amp;Collect</t>
  </si>
  <si>
    <t>Emmanuelle</t>
  </si>
  <si>
    <t>Jacquet</t>
  </si>
  <si>
    <t xml:space="preserve">Supergusto France</t>
  </si>
  <si>
    <t>emmanuelle.jacquet@supergusto.fr</t>
  </si>
  <si>
    <t>http://www.linkedin.com/in/emmanuelle-jacquet-1a405564</t>
  </si>
  <si>
    <t>http://www.supergusto.fr</t>
  </si>
  <si>
    <t>Hyeres</t>
  </si>
  <si>
    <t xml:space="preserve">Supergusto, la Pizzeria à Hyères vous offrant une restauration rapide et chic, vous pouvez personnaliser votre pizza et salade</t>
  </si>
  <si>
    <t>Virginie</t>
  </si>
  <si>
    <t>Ferreira</t>
  </si>
  <si>
    <t xml:space="preserve">Co-founder et Présidente</t>
  </si>
  <si>
    <t xml:space="preserve">L'Imprimerie Hôtel</t>
  </si>
  <si>
    <t>virginie@limprimeriehotel.com</t>
  </si>
  <si>
    <t>http://www.linkedin.com/in/virginieferreira</t>
  </si>
  <si>
    <t>http://www.limprimeriehotel.com</t>
  </si>
  <si>
    <t xml:space="preserve">Clichy, Ile-de-France, France</t>
  </si>
  <si>
    <t xml:space="preserve">Welcome to L'Imprimerie Hotel, a modern hotel with wellness and business facilities in Clichy, only a few metro stops from Paris. Best rate guarantee!</t>
  </si>
  <si>
    <t>Pochat</t>
  </si>
  <si>
    <t xml:space="preserve">Co-founder &amp; Business Strategy Director</t>
  </si>
  <si>
    <t>e.pochat@gintohotels.com</t>
  </si>
  <si>
    <t>http://www.linkedin.com/in/emmanuellepochat</t>
  </si>
  <si>
    <t>Harrison</t>
  </si>
  <si>
    <t xml:space="preserve">Managing Director / Co-Founder</t>
  </si>
  <si>
    <t xml:space="preserve">HD Fragrances</t>
  </si>
  <si>
    <t>lisa@hdfragrances.com</t>
  </si>
  <si>
    <t>http://www.linkedin.com/in/lisa-harrison-05ba842</t>
  </si>
  <si>
    <t>http://www.hdfragrances.com</t>
  </si>
  <si>
    <t>Eygalieres</t>
  </si>
  <si>
    <t xml:space="preserve">Draille des Parties d'Eygalleres N, Eygalieres, Provence-Alpes-Cote d'Azur, France, 13810</t>
  </si>
  <si>
    <t xml:space="preserve">HD Fragrances is an innovative French creator and supplier of luxury hotel toiletries and guest amenities. Discover exclusive collections made in France and Italy.</t>
  </si>
  <si>
    <t>Terrain</t>
  </si>
  <si>
    <t xml:space="preserve">Co-founder &amp; CTO</t>
  </si>
  <si>
    <t>guillaume@likibu.com</t>
  </si>
  <si>
    <t>http://www.linkedin.com/in/guillaume-terrain-58979a107</t>
  </si>
  <si>
    <t>Pierre-Julien</t>
  </si>
  <si>
    <t>pj@eleni-group.com</t>
  </si>
  <si>
    <t>http://www.linkedin.com/in/pierre-julien-chantzios-0488337</t>
  </si>
  <si>
    <t>Alice</t>
  </si>
  <si>
    <t>Quillet</t>
  </si>
  <si>
    <t xml:space="preserve">Co-founder, CEO</t>
  </si>
  <si>
    <t xml:space="preserve">Ten Belles</t>
  </si>
  <si>
    <t>alice@tenbelles.com</t>
  </si>
  <si>
    <t>http://www.linkedin.com/in/alice-quillet-42a332184</t>
  </si>
  <si>
    <t>http://www.tenbelles.com</t>
  </si>
  <si>
    <t xml:space="preserve">10 Rue de la Grange-aux-Belles, Paris, Ile-de-France, France, 75010</t>
  </si>
  <si>
    <t>Beaulieu</t>
  </si>
  <si>
    <t xml:space="preserve">Co-Founder - General Manager</t>
  </si>
  <si>
    <t xml:space="preserve">Singularités hft</t>
  </si>
  <si>
    <t>laurent@singularites-hft.com</t>
  </si>
  <si>
    <t>http://www.linkedin.com/in/lbeaulieu</t>
  </si>
  <si>
    <t>http://www.singularites-hft.com</t>
  </si>
  <si>
    <t xml:space="preserve">Rue de Paris, Nice, Provence-Alpes-Cote d'Azur, France, 06000</t>
  </si>
  <si>
    <t xml:space="preserve">Agence conseil en marketing, communication, digital, sales, revenue 
management, distribution, innovation, transition, design et formation 
spécialisée en hôtellerie, restauration, tourisme et attractivité 
territoriale. Nous intervenons pour des opérateurs indépendants, des 
groupes et des investisseurs privés ou publics en France et en Europe.</t>
  </si>
  <si>
    <t>Frank</t>
  </si>
  <si>
    <t>Schuetzendorf</t>
  </si>
  <si>
    <t xml:space="preserve">Pariscape Consulting</t>
  </si>
  <si>
    <t>frank@pariscapeconsulting.com</t>
  </si>
  <si>
    <t>http://www.linkedin.com/in/frank-schuetzendorf-218352</t>
  </si>
  <si>
    <t>http://www.pariscapeconsulting.com</t>
  </si>
  <si>
    <t xml:space="preserve">Global luxury hospitality strategists with a passion for the dynamic nature 
of the industry and the endless opportunities to enhance the guest 
experience.</t>
  </si>
  <si>
    <t>Darrieus</t>
  </si>
  <si>
    <t xml:space="preserve">CEO et cofondateur</t>
  </si>
  <si>
    <t>Ripayon</t>
  </si>
  <si>
    <t>geoffroy@ripayon.com</t>
  </si>
  <si>
    <t>http://www.linkedin.com/in/geoffroy-darrieus-2a910420</t>
  </si>
  <si>
    <t>http://www.ripayon.com</t>
  </si>
  <si>
    <t xml:space="preserve">19 Allees de l'Europe, Clichy, Ile-de-France, France, 92110</t>
  </si>
  <si>
    <t xml:space="preserve">Petits-déjeuners, déjeuners de groupe, plateaux-repas, fingerfood. Créez des moments de convivilaité en entreprise ! Livraison chaude en vélo-cargo.</t>
  </si>
  <si>
    <t>Dapremont</t>
  </si>
  <si>
    <t xml:space="preserve">Hôtel Balmoral Paris</t>
  </si>
  <si>
    <t>dapremont@hotelbalmoral.fr</t>
  </si>
  <si>
    <t>http://www.linkedin.com/in/fran%c3%a7ois-dapremont-91001b4a</t>
  </si>
  <si>
    <t>http://www.balmoral-paris-hotel.com</t>
  </si>
  <si>
    <t xml:space="preserve">3 Rue du General Lanrezac, Paris, Ile-de-France, France, 75017</t>
  </si>
  <si>
    <t xml:space="preserve">OFFICIAL SITE! Hotel Balmoral Paris, a 4-star boutique hotel, just near the Arc de Triomphe, Avenue des Champs-Elysees and Porte Maillot, welcomes you. BEST RATES GUARANTEE</t>
  </si>
  <si>
    <t>Corentin</t>
  </si>
  <si>
    <t>Bezvoet</t>
  </si>
  <si>
    <t>Akapico</t>
  </si>
  <si>
    <t>corentin.lebezvoet@akapico.com</t>
  </si>
  <si>
    <t>http://www.linkedin.com/in/corentin-le-bezvoet</t>
  </si>
  <si>
    <t>http://www.akapico.com</t>
  </si>
  <si>
    <t xml:space="preserve">Un lieu inspirant qui mêle le meilleur de la street food et de la street culture.</t>
  </si>
  <si>
    <t>Carina</t>
  </si>
  <si>
    <t>Soto</t>
  </si>
  <si>
    <t xml:space="preserve">Founder Quixotic Projects</t>
  </si>
  <si>
    <t xml:space="preserve">Quixotic Projects</t>
  </si>
  <si>
    <t>carina@quixotic-projects.com</t>
  </si>
  <si>
    <t>http://www.linkedin.com/in/carina-soto-93385b11a</t>
  </si>
  <si>
    <t>http://www.quixotic-projects.com</t>
  </si>
  <si>
    <t xml:space="preserve">7 Rue Frochot, Paris, Ile-de-France, France, 75009</t>
  </si>
  <si>
    <t>Aurore</t>
  </si>
  <si>
    <t>Sterling</t>
  </si>
  <si>
    <t xml:space="preserve">Fondatrice &amp; CEO</t>
  </si>
  <si>
    <t>Hortense.green</t>
  </si>
  <si>
    <t>aurore.sterling@hortense.green</t>
  </si>
  <si>
    <t>http://www.linkedin.com/in/aurore-sterling-48992bb1</t>
  </si>
  <si>
    <t>http://www.hortense.green</t>
  </si>
  <si>
    <t xml:space="preserve">Réservez un séjour éco-responsable avec Hortense. Des hébergements de charme respectueux de l'environnement pour vous offrir une parenthèse inoubliable.</t>
  </si>
  <si>
    <t>Sartorius</t>
  </si>
  <si>
    <t xml:space="preserve">Fondateur UNIC STAY SAS</t>
  </si>
  <si>
    <t>AbracadaRoom</t>
  </si>
  <si>
    <t>nicolas@unicstay.com</t>
  </si>
  <si>
    <t>http://www.linkedin.com/in/nicolas-sartorius-259a908</t>
  </si>
  <si>
    <t>http://www.groupe-unicstay.com</t>
  </si>
  <si>
    <t>Avignon</t>
  </si>
  <si>
    <t xml:space="preserve">Avignon, Provence-Alpes-Cote d'Azur, France, 84000</t>
  </si>
  <si>
    <t>Bernard</t>
  </si>
  <si>
    <t xml:space="preserve">In Auris</t>
  </si>
  <si>
    <t>p.bernard@inauris.fr</t>
  </si>
  <si>
    <t>http://www.linkedin.com/in/pbernard1</t>
  </si>
  <si>
    <t>http://www.inauris.fr</t>
  </si>
  <si>
    <t>Salon-de-Provence</t>
  </si>
  <si>
    <t xml:space="preserve">8 Impasse Jean Racine, Roquebrune-sur-Argens, Provence-Alpes-Cote d'Azur, France, 83520</t>
  </si>
  <si>
    <t xml:space="preserve">In Auris, expert en classement des hébergements touristiques : hôtel, résidence, meublé de tourisme, village vacances, camping ou parc résidentiel de loisir.</t>
  </si>
  <si>
    <t>Zhu</t>
  </si>
  <si>
    <t>POKESHOP</t>
  </si>
  <si>
    <t>david@pokeshopcorporation.com</t>
  </si>
  <si>
    <t>http://www.linkedin.com/in/david-zhu-793263219</t>
  </si>
  <si>
    <t>http://www.pokeshopparis.fr</t>
  </si>
  <si>
    <t xml:space="preserve">POKESHOP lets you create your own poké bowl to suit your tastes.
The Hawaiian Poké Bowl is the "healthy food" revolution. Bowls made with fresh ingredients, bursting with flavor with homemade dressings and all kinds of toppings. It's the real taste…</t>
  </si>
  <si>
    <t>Brechard</t>
  </si>
  <si>
    <t xml:space="preserve">Groupe noemys</t>
  </si>
  <si>
    <t>pbrechard@groupe-noemys.fr</t>
  </si>
  <si>
    <t>http://www.linkedin.com/in/pierre-brechard-25349180</t>
  </si>
  <si>
    <t>http://www.noemys.fr</t>
  </si>
  <si>
    <t xml:space="preserve">Réservez votre hôtel Noemys. Situés en bord de mer et lac, à la montagne, ces hôtels 2 et 3 étoiles vous accueillent pour une soirée ou plus</t>
  </si>
  <si>
    <t>Veronique</t>
  </si>
  <si>
    <t>Vidoni</t>
  </si>
  <si>
    <t xml:space="preserve">Fahrenheit Seven</t>
  </si>
  <si>
    <t>veronique@fahrenheitseven.com</t>
  </si>
  <si>
    <t>http://www.linkedin.com/in/v%c3%a9ronique-vidoni-a35627179</t>
  </si>
  <si>
    <t>http://www.fahrenheitseven.com</t>
  </si>
  <si>
    <t xml:space="preserve">Albertville, Auvergne-Rhone-Alpes, France, 73200</t>
  </si>
  <si>
    <t xml:space="preserve">Un état d'esprit, plusieurs destinations.Aux pieds de pistes et en bord de mer : Courchevel 1650, Val Thorens, les Menuires, Cap Ferret et Porto Vecchio.</t>
  </si>
  <si>
    <t>Giesbert</t>
  </si>
  <si>
    <t xml:space="preserve">DAROCO GROUP</t>
  </si>
  <si>
    <t>alexandre@daroco.fr</t>
  </si>
  <si>
    <t>http://www.linkedin.com/in/alexandre-giesbert-65519135</t>
  </si>
  <si>
    <t>http://www.daroco.com</t>
  </si>
  <si>
    <t xml:space="preserve">6 Rue Vivienne, Paris, Ile-de-France, France, 75002</t>
  </si>
  <si>
    <t xml:space="preserve">Daroco restaurants serves the very best fresh Italian produce in extraordinarily-sized trattorias.</t>
  </si>
  <si>
    <t>Tarare</t>
  </si>
  <si>
    <t xml:space="preserve">Yatta ! Ramen</t>
  </si>
  <si>
    <t>eric.tarare@yatta-ramen.com</t>
  </si>
  <si>
    <t>http://www.linkedin.com/in/eric-tarare-a6a2a472</t>
  </si>
  <si>
    <t>http://www.yatta-ramen.com</t>
  </si>
  <si>
    <t xml:space="preserve">Annecy, Rhone-Alpes, France</t>
  </si>
  <si>
    <t xml:space="preserve">Spécialiste du ramen, du donburi et du mochi depuis 2016, Yatta ! Ramen sert des plats japonais de grande qualité, au meilleur prix. Nous proposons une cuisine japonaise savoureuse, équilibrée et respectueuse de notre environnement. Découvrez sur place, à emporter ou en livraison de nombreuses recettes innovantes dans notre restaurant asiatique.</t>
  </si>
  <si>
    <t>Jean-Jacques</t>
  </si>
  <si>
    <t>Maignan</t>
  </si>
  <si>
    <t xml:space="preserve">Domaine des Thomeaux</t>
  </si>
  <si>
    <t>direction@thomeaux.fr</t>
  </si>
  <si>
    <t>http://www.linkedin.com/in/jean-jacques-maignan-ba112964</t>
  </si>
  <si>
    <t>http://www.domainedesthomeaux.fr</t>
  </si>
  <si>
    <t>Tours</t>
  </si>
  <si>
    <t xml:space="preserve">12 Rue des Thomeaux, Mosnes, Centre-Val de Loire, France, 37530</t>
  </si>
  <si>
    <t xml:space="preserve">Hôtel Spa de Charme et Restaurant près d'Amboise, le Domaine des Thomeaux vous accueille toute l'année : voyage dans la vallée de la Loire, à la découverte des châteaux, des vignes et de la Loire à vélo.</t>
  </si>
  <si>
    <t>Smekens</t>
  </si>
  <si>
    <t xml:space="preserve">Directeur général Faern Arosa</t>
  </si>
  <si>
    <t xml:space="preserve">Faern Hotels and Resorts</t>
  </si>
  <si>
    <t>philippe.smekens@faernresorts.com</t>
  </si>
  <si>
    <t>http://www.linkedin.com/in/psmekens</t>
  </si>
  <si>
    <t>http://www.faernresorts.com</t>
  </si>
  <si>
    <t xml:space="preserve">1 Loewenstrasse, Zurich, Zurich, Switzerland, 8001</t>
  </si>
  <si>
    <t xml:space="preserve">Faern Hotels &amp; Resorts is a collection of stunning lifestyle resorts nestled in the Swiss Alps where every moment is a celebration.</t>
  </si>
  <si>
    <t>Dimitri</t>
  </si>
  <si>
    <t>Dehon</t>
  </si>
  <si>
    <t>dimitri.dehon@thedhomes.fr</t>
  </si>
  <si>
    <t>http://www.linkedin.com/in/dimitri-dehon-14a85625</t>
  </si>
  <si>
    <t>Villaume</t>
  </si>
  <si>
    <t xml:space="preserve">Membre Fondateur</t>
  </si>
  <si>
    <t xml:space="preserve">Tables &amp; Auberges de France</t>
  </si>
  <si>
    <t>sergevillaume@tables-auberges.com</t>
  </si>
  <si>
    <t>http://www.linkedin.com/in/serge-villaume-27183512a</t>
  </si>
  <si>
    <t>http://www.tables-auberges.com</t>
  </si>
  <si>
    <t xml:space="preserve">Sélection d'auberges, hôtels et restaurants, pour week-ends, affaires, séjours, vacances.</t>
  </si>
  <si>
    <t>Harris</t>
  </si>
  <si>
    <t>Sheikh</t>
  </si>
  <si>
    <t xml:space="preserve">Edgar Hotel &amp; Restaurant</t>
  </si>
  <si>
    <t>dirhotel@edgaretachille.com</t>
  </si>
  <si>
    <t>http://www.linkedin.com/in/harris-sheikh-979b18194</t>
  </si>
  <si>
    <t>http://www.edgaretachille.com</t>
  </si>
  <si>
    <t xml:space="preserve">31 Rue d'Alexandrie, Paris, Ile-de-France, France, 75002</t>
  </si>
  <si>
    <t xml:space="preserve">Réservez dès maintenant votre prochain séjour sur notre site officiel.</t>
  </si>
  <si>
    <t>Souman</t>
  </si>
  <si>
    <t xml:space="preserve">ESPRIT SAINT GERMAIN</t>
  </si>
  <si>
    <t>francois@espritsaintgermain.com</t>
  </si>
  <si>
    <t>http://www.linkedin.com/in/fran%c3%a7ois-souman-9685191a9</t>
  </si>
  <si>
    <t>http://www.esprit-saint-germain.com</t>
  </si>
  <si>
    <t xml:space="preserve">22 Rue Saint-Sulpice, Paris, Ile-de-France, France, 75006</t>
  </si>
  <si>
    <t xml:space="preserve">28 chambres et suites au coeur de Saint Germain des Prés</t>
  </si>
  <si>
    <t>Tanguy</t>
  </si>
  <si>
    <t>Kayser</t>
  </si>
  <si>
    <t xml:space="preserve">Blondie Café</t>
  </si>
  <si>
    <t>tanguy@cafeblondie.com</t>
  </si>
  <si>
    <t>http://www.linkedin.com/in/tanguy-kayser-27a301114</t>
  </si>
  <si>
    <t>http://www.cafeblondie.com</t>
  </si>
  <si>
    <t xml:space="preserve">40 Rue Saint-Georges, Paris, Ile-de-France, France, 75009</t>
  </si>
  <si>
    <t>Boissier</t>
  </si>
  <si>
    <t xml:space="preserve">Grand Tonic Hôtel Biarritz</t>
  </si>
  <si>
    <t>raphael.boissier@tonichotel.net</t>
  </si>
  <si>
    <t>http://www.linkedin.com/in/raphael-boissier-b57680138</t>
  </si>
  <si>
    <t>http://www.tonichotel.net</t>
  </si>
  <si>
    <t xml:space="preserve">12 Rue du Roule, Paris, Ile-de-France, France, 75001</t>
  </si>
  <si>
    <t>Ohlmann</t>
  </si>
  <si>
    <t xml:space="preserve">Directeur général Groupe Hôtelier &amp; co-gérant le l’Aa St Omer Golf Club</t>
  </si>
  <si>
    <t xml:space="preserve">Najeti Hôtels &amp; Golfs Collection</t>
  </si>
  <si>
    <t>francois.ohlmann@najeti.fr</t>
  </si>
  <si>
    <t>http://www.linkedin.com/in/fran%c3%a7ois-ohlmann-25a9a094</t>
  </si>
  <si>
    <t>http://www.najeti.fr</t>
  </si>
  <si>
    <t xml:space="preserve">Chemin du Bois, Acquin-Westbecourt, Hauts-de-France, France, 62380</t>
  </si>
  <si>
    <t xml:space="preserve">SITE OFFICIEL | Découvrez notre collection d'Hôtels et Golfs Najeti haut de gamme pour une expérience authentique et unique en France.</t>
  </si>
  <si>
    <t>Inka</t>
  </si>
  <si>
    <t>Prlesi</t>
  </si>
  <si>
    <t xml:space="preserve">COBEN Group</t>
  </si>
  <si>
    <t>inka.prlesi@coben.fr</t>
  </si>
  <si>
    <t>http://www.linkedin.com/in/inkaprlesi</t>
  </si>
  <si>
    <t>http://www.coben-group.com</t>
  </si>
  <si>
    <t xml:space="preserve">4 Rue Melingue, Paris, Ile-de-France, France, 75019</t>
  </si>
  <si>
    <t>Favri</t>
  </si>
  <si>
    <t xml:space="preserve">Executive chef &amp; co-founder</t>
  </si>
  <si>
    <t>mehdi@maslow-group.com</t>
  </si>
  <si>
    <t>http://www.linkedin.com/in/mehdi-favri-1abb4981</t>
  </si>
  <si>
    <t>Gauthier</t>
  </si>
  <si>
    <t>Berdeaux</t>
  </si>
  <si>
    <t xml:space="preserve">Founder &amp; Owner</t>
  </si>
  <si>
    <t xml:space="preserve">ARISTIDE Hôtel</t>
  </si>
  <si>
    <t>gauthier@aristide-hotel.com</t>
  </si>
  <si>
    <t>http://www.linkedin.com/in/gauthierberdeaux</t>
  </si>
  <si>
    <t>http://www.aristide-hotel.com</t>
  </si>
  <si>
    <t xml:space="preserve">11 Rue Ambroise Thomas, Paris, Ile-de-France, France, 75009</t>
  </si>
  <si>
    <t xml:space="preserve">250m2 dédiés au bien-être des félins pendant les vacances de leurs humains. Ni cage, ni grillage, de vraies chambres, une ambiance cosy et beaucoup d’amour !</t>
  </si>
  <si>
    <t>Floch</t>
  </si>
  <si>
    <t xml:space="preserve">Directeur Général Smily France</t>
  </si>
  <si>
    <t>olivier@bookingsync.com</t>
  </si>
  <si>
    <t>http://www.linkedin.com/in/olivier-le-floch-0899a9</t>
  </si>
  <si>
    <t>Gordes</t>
  </si>
  <si>
    <t>Guignard</t>
  </si>
  <si>
    <t xml:space="preserve">Président directeur général</t>
  </si>
  <si>
    <t>thierry.guignard@camp-atlantique.com</t>
  </si>
  <si>
    <t>http://www.linkedin.com/in/thierry-guignard-25908a109</t>
  </si>
  <si>
    <t>Longeville-sur-Mer</t>
  </si>
  <si>
    <t>Keyvan</t>
  </si>
  <si>
    <t>Badri</t>
  </si>
  <si>
    <t>President-Fondateur</t>
  </si>
  <si>
    <t>Mersea</t>
  </si>
  <si>
    <t>keyv@mersea.com.co</t>
  </si>
  <si>
    <t>http://www.linkedin.com/in/keyvanbadri</t>
  </si>
  <si>
    <t>http://www.merseaparis.com</t>
  </si>
  <si>
    <t xml:space="preserve">6 Rue du Faubourg Montmartre, Paris, Ile-de-France, France, 75009</t>
  </si>
  <si>
    <t xml:space="preserve">Mersea, restaurant spécialiste du poisson autrement à Paris. Concept Street Food, vous découvrirez le poisson comme vous ne l'avez jamais vu.</t>
  </si>
  <si>
    <t>matthieu@foodlab-france.com</t>
  </si>
  <si>
    <t>http://www.linkedin.com/in/matthieu-le-maitre-7aa8b547</t>
  </si>
  <si>
    <t>Duclos</t>
  </si>
  <si>
    <t xml:space="preserve">smÄak Scandinavian Food</t>
  </si>
  <si>
    <t>c.duclos@smaak-natural-food.com</t>
  </si>
  <si>
    <t>http://www.linkedin.com/in/camille-duclos-645a4b48</t>
  </si>
  <si>
    <t>http://www.smaak-natural-food.com</t>
  </si>
  <si>
    <t xml:space="preserve">35 Rue du Grand Marche, Tours, Centre-Val de Loire, France, 37000</t>
  </si>
  <si>
    <t>Christelle</t>
  </si>
  <si>
    <t>Lapierre</t>
  </si>
  <si>
    <t xml:space="preserve">Lapierre Traiteur</t>
  </si>
  <si>
    <t>christelle.lapierre@lapierretraiteur.com</t>
  </si>
  <si>
    <t>http://www.linkedin.com/in/christelle-lapierre-95b602108</t>
  </si>
  <si>
    <t>http://www.lapierretraiteur.com</t>
  </si>
  <si>
    <t>Saint-Denis</t>
  </si>
  <si>
    <t xml:space="preserve">3 Rue des Beaumonts, Saint-Denis, Ile-de-France, France, 93200</t>
  </si>
  <si>
    <t xml:space="preserve">Lapierre Traiteur est service de traiteur professionnel à votre service pour vos buffets, cocktails dînatoires, plateau repas, repas d'affaires, mariage, baptême...</t>
  </si>
  <si>
    <t>Christian</t>
  </si>
  <si>
    <t>Soenen</t>
  </si>
  <si>
    <t xml:space="preserve">USSIM Vacances</t>
  </si>
  <si>
    <t>csoenen@ussim-vacances.com</t>
  </si>
  <si>
    <t>http://www.linkedin.com/in/christian-soenen-ba5570156</t>
  </si>
  <si>
    <t>http://www.ussim-vacances.com</t>
  </si>
  <si>
    <t xml:space="preserve">13 Rue Raymond Losserand, Paris, Ile-de-France, France, 75014</t>
  </si>
  <si>
    <t>Hopquin</t>
  </si>
  <si>
    <t xml:space="preserve">Hôtel de l'Abbaye Saint-Germain-des-Prés</t>
  </si>
  <si>
    <t>jennifer@hotelabbayeparis.com</t>
  </si>
  <si>
    <t>http://www.linkedin.com/in/jennifer-hopquin-a950a3136</t>
  </si>
  <si>
    <t>http://www.hotelabbayeparis.com</t>
  </si>
  <si>
    <t xml:space="preserve">10 Rue Cassette, Paris, Ile-de-France, France, 75006</t>
  </si>
  <si>
    <t xml:space="preserve">Un hôtel 4 étoiles luxueux et raffiné, véritable havre de paix situé en plein coeur du quartier Saint-Germain-des-Prés à Paris, proposant un bar et un jardin.</t>
  </si>
  <si>
    <t>Alban</t>
  </si>
  <si>
    <t>Letertre</t>
  </si>
  <si>
    <t xml:space="preserve">SOCIETE DES HOTELS LITTERAIRES</t>
  </si>
  <si>
    <t>alban.letertre@hotelslitteraires.fr</t>
  </si>
  <si>
    <t>http://www.linkedin.com/in/alban-letertre-67ba6156</t>
  </si>
  <si>
    <t>http://www.hotelslitteraires.fr</t>
  </si>
  <si>
    <t xml:space="preserve">24 Rue d'Armaille, Paris, Ile-de-France, France, 75017</t>
  </si>
  <si>
    <t xml:space="preserve">Les Hôtels Littéraires sont des établissements 4 étoiles dédiés à des écrivains comme Marcel Proust, Gustave Flaubert, Alexandre Vialatte, Marcel Aymé ou Arthur Rimbaud. Les Hôtels Littéraires recréent l’univers de ces auteurs à travers des bibliothèques, des œuvres d’art et des citations.</t>
  </si>
  <si>
    <t>Barriquand</t>
  </si>
  <si>
    <t xml:space="preserve">Chez Madeleine Noyelles-Godault</t>
  </si>
  <si>
    <t>louis@restaurantchezmadeleine.com</t>
  </si>
  <si>
    <t>http://www.linkedin.com/in/louis-barriquand-326a03b3</t>
  </si>
  <si>
    <t>http://www.restaurantchezmadeleine.com</t>
  </si>
  <si>
    <t xml:space="preserve">28 Rue de Beaumont, Noyelles-Godault, Hauts-de-France, France, 62950</t>
  </si>
  <si>
    <t xml:space="preserve">Chez Madeleine : Restaurant Bar cosy à Noyelles-Godault. Madeleine vous mitone ses PLATS MAISONS à base de PRODUITS FRAIS.</t>
  </si>
  <si>
    <t>Lahiru</t>
  </si>
  <si>
    <t>Weladawe</t>
  </si>
  <si>
    <t xml:space="preserve">Kolam Paris</t>
  </si>
  <si>
    <t>lahiru@kolamparis.com</t>
  </si>
  <si>
    <t>http://www.linkedin.com/in/lahiruweladawe</t>
  </si>
  <si>
    <t>http://www.kolamparis.com</t>
  </si>
  <si>
    <t xml:space="preserve">Paris, Ile-de-France, France, 75018</t>
  </si>
  <si>
    <t>Karine</t>
  </si>
  <si>
    <t>Maury-Allilaire</t>
  </si>
  <si>
    <t xml:space="preserve">Présidente associée / Fondatrice</t>
  </si>
  <si>
    <t xml:space="preserve">POF france</t>
  </si>
  <si>
    <t>karine@pof-france.com</t>
  </si>
  <si>
    <t>http://www.linkedin.com/in/karine-maury-allilaire-480276261</t>
  </si>
  <si>
    <t>http://www.pof-france.com</t>
  </si>
  <si>
    <t xml:space="preserve">POF un restaurant-brasserie moderne, une cuisine de tradition concoctée par le Chef Christophe Maury. Cuisine Française Maison, produits frais</t>
  </si>
  <si>
    <t>Hamet</t>
  </si>
  <si>
    <t>XPERTEO</t>
  </si>
  <si>
    <t>fhamet@xperteo.com</t>
  </si>
  <si>
    <t>http://www.linkedin.com/in/fr%c3%a9d%c3%a9ric-hamet-b16b305a</t>
  </si>
  <si>
    <t>http://www.xperteo.com</t>
  </si>
  <si>
    <t xml:space="preserve">40 Rue Damremont, Paris, Ile-de-France, France, 75018</t>
  </si>
  <si>
    <t xml:space="preserve">Xperteo, cabinet de conseil en Revenue Management &amp; distribution en ligne, vous souhaite la bienvenue sur son site officiel. Confiez vos chambres d’hôtels à des experts de la vente en ligne et du Revenue Management.</t>
  </si>
  <si>
    <t>Patherne</t>
  </si>
  <si>
    <t>Kotto</t>
  </si>
  <si>
    <t xml:space="preserve">Bkap Stratégies</t>
  </si>
  <si>
    <t>patherne.kotto@bkapstrategies.fr</t>
  </si>
  <si>
    <t xml:space="preserve">management consulting</t>
  </si>
  <si>
    <t>http://www.linkedin.com/in/patherne-kotto-b34698147</t>
  </si>
  <si>
    <t>http://www.bkapstrategies.com</t>
  </si>
  <si>
    <t xml:space="preserve">Réservez votre Appart'Hôtel ou votre Espace de travail au Bénin, près des centres villes, proche de toutes commodités.</t>
  </si>
  <si>
    <t>Diem</t>
  </si>
  <si>
    <t xml:space="preserve">Co-Founder/Executive Director (Business Development &amp; Strategic Planning)</t>
  </si>
  <si>
    <t xml:space="preserve">RESTHO HOSPITALITY</t>
  </si>
  <si>
    <t>conseil@carpediempatrimoine.net</t>
  </si>
  <si>
    <t>http://www.linkedin.com/in/geoffrey-diem-96715913</t>
  </si>
  <si>
    <t>http://www.resthohospitality.com</t>
  </si>
  <si>
    <t xml:space="preserve">Adenta Municipality, Greater Accra, Ghana</t>
  </si>
  <si>
    <t>Ghana</t>
  </si>
  <si>
    <t>Marwan</t>
  </si>
  <si>
    <t>Chamoun</t>
  </si>
  <si>
    <t xml:space="preserve">LE GRAND LIBAN</t>
  </si>
  <si>
    <t>marwan.chamoun@samon.se</t>
  </si>
  <si>
    <t>http://www.linkedin.com/in/marwan-chamoun-34b56518</t>
  </si>
  <si>
    <t>http://www.legrandliban.com</t>
  </si>
  <si>
    <t xml:space="preserve">Votre restaurant libanais, Le Grand Liban  situé sur les quais de la Soane à Lyon 1 pour une expérience culinaire traditionnelle, mezzés, plats et formules végétariennes et grillades pour les groupes, couples, amis et famille.</t>
  </si>
  <si>
    <t>Blanc</t>
  </si>
  <si>
    <t xml:space="preserve">CEO and Founder/Président et Fondateur Seven Urban Suites</t>
  </si>
  <si>
    <t xml:space="preserve">SEVEN URBAN SUITES</t>
  </si>
  <si>
    <t>eric.blanc@7urbansuites.fr</t>
  </si>
  <si>
    <t>http://www.linkedin.com/in/eric-blanc-807a4513</t>
  </si>
  <si>
    <t>http://www.7urbansuites.fr</t>
  </si>
  <si>
    <t xml:space="preserve">10 Rue Konrad Adenauer, Nantes, Pays de la Loire, France, 44200</t>
  </si>
  <si>
    <t xml:space="preserve">Hôtel et Appart Hôtel à proximité de la cité des Congrès de Nantes, le SEVEN URBAN SUITES**** est équipé d'un Spa et de salles de séminaires.  Situé en plein coeur du nouveau centre.</t>
  </si>
  <si>
    <t>CJ</t>
  </si>
  <si>
    <t>Arlot-Cheng</t>
  </si>
  <si>
    <t xml:space="preserve">Maison Arlot Cheng</t>
  </si>
  <si>
    <t>cj@maisonarlotcheng.com</t>
  </si>
  <si>
    <t>http://www.linkedin.com/in/cjcheng</t>
  </si>
  <si>
    <t>http://www.maisonarlotcheng.com</t>
  </si>
  <si>
    <t xml:space="preserve">Route de Nantes, Nantes, Pays de la Loire, France, 44200</t>
  </si>
  <si>
    <t>Ganizate</t>
  </si>
  <si>
    <t xml:space="preserve">Co-fondateur CEO</t>
  </si>
  <si>
    <t xml:space="preserve">Groupe MELT</t>
  </si>
  <si>
    <t>jganizate@meltparis.com</t>
  </si>
  <si>
    <t>http://www.linkedin.com/in/jean-ganizate-89883651</t>
  </si>
  <si>
    <t>http://www.meltslowsmokedbarbecue.com</t>
  </si>
  <si>
    <t xml:space="preserve">103 Rue Cambronne, Paris, Ile-de-France, France, 75015</t>
  </si>
  <si>
    <t xml:space="preserve">Venez découvrir le véritable barbecue Texan en plein de cœur de Paris - Une cuisine généreuse - Une ambiance familiale - Un service chaleureux.</t>
  </si>
  <si>
    <t>Ducros</t>
  </si>
  <si>
    <t>PIVANO</t>
  </si>
  <si>
    <t>pascalducros@pivano.fr</t>
  </si>
  <si>
    <t>http://www.linkedin.com/in/pascal-ducros-60178051</t>
  </si>
  <si>
    <t>http://www.pivano.fr</t>
  </si>
  <si>
    <t xml:space="preserve">Pivano est spécialisé dans le service traiteur aux entreprises et organise des événements, congrès et séminaires sur le département de l’Isère depuis 2004</t>
  </si>
  <si>
    <t>Jonathan</t>
  </si>
  <si>
    <t>Bauer-Monneret</t>
  </si>
  <si>
    <t xml:space="preserve">Co founder \ sommelier</t>
  </si>
  <si>
    <t xml:space="preserve">Pompette Toronto</t>
  </si>
  <si>
    <t>jonathan@pompette.ca</t>
  </si>
  <si>
    <t>http://www.linkedin.com/in/jonathan-bauer-monneret-b6783940</t>
  </si>
  <si>
    <t>http://www.pompette.ca</t>
  </si>
  <si>
    <t xml:space="preserve">597 College St, Toronto, Ontario, Canada, M6G 1B5</t>
  </si>
  <si>
    <t xml:space="preserve">Explore the world of Pompette in Toronto: Vinoteca Pompette, led by Chef Martine Bauer, offers French-Italian cuisine, handmade pasta, branzino, and a peppercorn burger, paired with a cocktail program by Canada’s top bar team and 300 artisan wines from France and Italy. Bakery Pompette crafts pure butter croissants, baguettes, and pastries, while Bar Pompette is a top cocktail bar, ranked among the World’s 50 Best Bars. Discover refined flavors and warm ambiance across all three venues.</t>
  </si>
  <si>
    <t>Audineau</t>
  </si>
  <si>
    <t xml:space="preserve">Co-fondateur / CEO</t>
  </si>
  <si>
    <t xml:space="preserve">CANUA Island</t>
  </si>
  <si>
    <t>marc@canua-island.com</t>
  </si>
  <si>
    <t>http://www.linkedin.com/in/marc-audineau-oly-0235a4</t>
  </si>
  <si>
    <t>http://www.canua-island.com</t>
  </si>
  <si>
    <t xml:space="preserve">Avenue de la Mer, Mandelieu-La Napoule, Provence-Alpes-Cote d'Azur, France, 06210</t>
  </si>
  <si>
    <t xml:space="preserve">SITE OFFICIEL | CANUA ISLAND Ile nomade unique au monde ! En mer Méditerranée dans la Baie de Cannes ✓ Suite ✓ Restaurant Bar Lounge ✓ Espace Bien-être</t>
  </si>
  <si>
    <t>Martin</t>
  </si>
  <si>
    <t>Devictor</t>
  </si>
  <si>
    <t xml:space="preserve">MONT-BLANC COLLECTION</t>
  </si>
  <si>
    <t>martin@montblanc-collection.com</t>
  </si>
  <si>
    <t>http://www.linkedin.com/in/martin-devictor-42a3a51</t>
  </si>
  <si>
    <t>http://www.montblanc-collection.com</t>
  </si>
  <si>
    <t xml:space="preserve">Chamonix, Auvergne-Rhone-Alpes, France, 74400</t>
  </si>
  <si>
    <t>Leslie</t>
  </si>
  <si>
    <t>Johns</t>
  </si>
  <si>
    <t>leslie@wdlhotels.com</t>
  </si>
  <si>
    <t>http://www.linkedin.com/in/lesliejoycejohns</t>
  </si>
  <si>
    <t>Lelievre</t>
  </si>
  <si>
    <t>s.lelievre@panasia.fr</t>
  </si>
  <si>
    <t>http://www.linkedin.com/in/st%c3%a9phane-lelievre-760b181a0</t>
  </si>
  <si>
    <t>Lyderick</t>
  </si>
  <si>
    <t>Jadaud</t>
  </si>
  <si>
    <t xml:space="preserve">Hotel Lancaster</t>
  </si>
  <si>
    <t>l.jadaud@hotel-lancaster.fr</t>
  </si>
  <si>
    <t>http://www.linkedin.com/in/lyderick-jadaud-3ab28326</t>
  </si>
  <si>
    <t>http://www.hotel-lancaster.com</t>
  </si>
  <si>
    <t xml:space="preserve">35 Rue de Berri, Paris, Ile-de-France, France, 75008</t>
  </si>
  <si>
    <t xml:space="preserve">Welcome to Hotel Lancaster, a charming and luxurious 5-star hotel in Paris, only a few steps from the Champs Elysees. Official site, best rates guaranteed!</t>
  </si>
  <si>
    <t>Dupuis</t>
  </si>
  <si>
    <t>MPépite</t>
  </si>
  <si>
    <t>arnaud@mpepite.com</t>
  </si>
  <si>
    <t>http://www.linkedin.com/in/arnauddupuis1</t>
  </si>
  <si>
    <t>http://www.mpepite.com</t>
  </si>
  <si>
    <t xml:space="preserve">19 Rue Goubet, Paris, Ile-de-France, France, 75019</t>
  </si>
  <si>
    <t xml:space="preserve">MPépite est un traiteur haut-de-gamme et sur-mesure basé en région Ile-de-France. Plateau repas, cocktail déjeunatoire ou dinatoire, événement sur-mesure, restaurant de direction, nous travaillons avec de nombreux clients prestigieux à Paris.</t>
  </si>
  <si>
    <t>Kamal</t>
  </si>
  <si>
    <t>Zaoui</t>
  </si>
  <si>
    <t xml:space="preserve">LÜKS Kebab 🌯</t>
  </si>
  <si>
    <t>kamal@luks-kebab.com</t>
  </si>
  <si>
    <t>http://www.linkedin.com/in/kamal-zaoui-059b6a7b</t>
  </si>
  <si>
    <t>http://www.luks-kebab.com</t>
  </si>
  <si>
    <t xml:space="preserve">6 Rue du Pere Guerin, Paris, Ile-de-France, France, 75013</t>
  </si>
  <si>
    <t xml:space="preserve">Lüks Kebab is above all a story of originality and creativity. The meat is fresh and selected by a renowned butcher …</t>
  </si>
  <si>
    <t>Aurelie</t>
  </si>
  <si>
    <t>Bonnevie</t>
  </si>
  <si>
    <t>Cocorico</t>
  </si>
  <si>
    <t>aurelie@doudouneclub.com</t>
  </si>
  <si>
    <t>http://www.linkedin.com/in/aur%c3%a9lie-bonnevie-2a0076200</t>
  </si>
  <si>
    <t>http://www.cocoricoapresski.com</t>
  </si>
  <si>
    <t xml:space="preserve">Place du Rond-Point des Pistes, Val-d'Isere, Auvergne-Rhone-Alpes, France, 73150</t>
  </si>
  <si>
    <t xml:space="preserve">Cocorico, l'incontournable après-ski au cœur de Val d'Isère et de Tignes, sur le front de neige : Live music, DJ Set &amp; Street food</t>
  </si>
  <si>
    <t>Emilie</t>
  </si>
  <si>
    <t>Perello</t>
  </si>
  <si>
    <t xml:space="preserve">Château Voltaire</t>
  </si>
  <si>
    <t>direction@hotelchateauvoltaire.com</t>
  </si>
  <si>
    <t>http://www.linkedin.com/in/emilie-perello-b7b8712b</t>
  </si>
  <si>
    <t>http://www.chateauvoltaire.com</t>
  </si>
  <si>
    <t xml:space="preserve">55 Rue Saint-Roch, Paris, Ile-de-France, France, 75001</t>
  </si>
  <si>
    <t xml:space="preserve">Idéalement situé en plein Paris dans le 1er arrondissement, entre l’Opéra et les Tuileries, dans la mire d’un autre palais royal, Le Château Voltaire un hôtel 5 étoiles où chacun vit comme en son château est l’adresse idéale pour poser ses valises.</t>
  </si>
  <si>
    <t>Gourgaud</t>
  </si>
  <si>
    <t>p.gourgaud@groupe-pvg.fr</t>
  </si>
  <si>
    <t>http://www.linkedin.com/in/philippegourgaud</t>
  </si>
  <si>
    <t>Leo</t>
  </si>
  <si>
    <t>Vannier</t>
  </si>
  <si>
    <t xml:space="preserve">Groupe La Mère Poulard</t>
  </si>
  <si>
    <t>leo.vannier@groupelamerepoulard.com</t>
  </si>
  <si>
    <t>http://www.linkedin.com/in/leovannier</t>
  </si>
  <si>
    <t>http://www.groupelamerepoulard.com</t>
  </si>
  <si>
    <t xml:space="preserve">Grande Rue, Mont Saint-Michel, Normandy, France, 50170</t>
  </si>
  <si>
    <t xml:space="preserve">Bienvenue sur le Site Internet du Groupe la Mère Poulard, premier acteur d'hôtellerie-restauration du Mont Saint-Michel en France</t>
  </si>
  <si>
    <t>Charlotte</t>
  </si>
  <si>
    <t>Chatillon</t>
  </si>
  <si>
    <t xml:space="preserve">Hôtel Les Jardins de Deauville ☆☆☆☆</t>
  </si>
  <si>
    <t>commercial@lesjardinsdedeauville.com</t>
  </si>
  <si>
    <t>http://www.linkedin.com/in/cchatillon</t>
  </si>
  <si>
    <t>http://www.lesjardinsdedeauville.com</t>
  </si>
  <si>
    <t xml:space="preserve">Route de Pont l'Eveque, Bonneville-la-Louvet, Normandie, France, 14130</t>
  </si>
  <si>
    <t xml:space="preserve">Vivez la Normandie de façon authentique et surprenante ! Les Jardins de Deauville vous accueille dans un cadre unique, chaleureux et cosy</t>
  </si>
  <si>
    <t>Augustin</t>
  </si>
  <si>
    <t>Zeller</t>
  </si>
  <si>
    <t xml:space="preserve">Co fondateur @Youza</t>
  </si>
  <si>
    <t>Youza</t>
  </si>
  <si>
    <t>augustin@youza.fr</t>
  </si>
  <si>
    <t>http://www.linkedin.com/in/augustinzeller</t>
  </si>
  <si>
    <t>http://www.youza.fr</t>
  </si>
  <si>
    <t xml:space="preserve">Normandy, France</t>
  </si>
  <si>
    <t xml:space="preserve">Une forêt. Des cabanes. Un lieu de vie. Une heure de Paris. En Normandie.</t>
  </si>
  <si>
    <t>j.dumont@lescaleroyale.fr</t>
  </si>
  <si>
    <t>http://www.linkedin.com/in/jeromedumontlkdn</t>
  </si>
  <si>
    <t>Geraud</t>
  </si>
  <si>
    <t>Quatrebarbes</t>
  </si>
  <si>
    <t xml:space="preserve">Les Résidentiels</t>
  </si>
  <si>
    <t>gdequatrebarbes@residentiels.fr</t>
  </si>
  <si>
    <t>http://www.linkedin.com/in/g%c3%a9raud-de-quatrebarbes-395ab944</t>
  </si>
  <si>
    <t>http://www.residentiels.fr</t>
  </si>
  <si>
    <t xml:space="preserve">Saint-Brevin-les-Pins, Pays de la Loire, France</t>
  </si>
  <si>
    <t xml:space="preserve">Les Résidentiels, résidences seniors, accueillent des personnes d'environ 80 ans qui cherchent une solution de maintien à domicile sécurisée.</t>
  </si>
  <si>
    <t xml:space="preserve">Le Domaine du Colombier</t>
  </si>
  <si>
    <t>sebastien-morel@domaine-colombier.com</t>
  </si>
  <si>
    <t>http://www.linkedin.com/in/s%c3%a9bastien-morel-4a84a01b0</t>
  </si>
  <si>
    <t>http://www.domaine-colombier.com</t>
  </si>
  <si>
    <t xml:space="preserve">Les Granges-Gontardes</t>
  </si>
  <si>
    <t xml:space="preserve">270 Chemin de Malombre, Malataverne, Auvergne-Rhone-Alpes, France, 26780</t>
  </si>
  <si>
    <t xml:space="preserve">SITE OFFICIEL | Domaine du Colombier à Malataverne ✓ Hôtel-Restaurant dans la Drôme ✓ Parking Privé ✓ Piscine Chauffée ✓ Réservez votre séjour au Meilleur Tarif en direct</t>
  </si>
  <si>
    <t>Lecocq</t>
  </si>
  <si>
    <t>Kuti</t>
  </si>
  <si>
    <t>antoine@kutigroup.com</t>
  </si>
  <si>
    <t>http://www.linkedin.com/in/antoinejosslecocq</t>
  </si>
  <si>
    <t>http://www.felakuti.com</t>
  </si>
  <si>
    <t xml:space="preserve">Fela Anikulapo-Kuti is widely credited as the creator of Afrobeat in the early 1970's, which rapidly became the most avidly followed style across West Africa. Afrobeat’s revolutionary politics bro...</t>
  </si>
  <si>
    <t>Pauline</t>
  </si>
  <si>
    <t>Herssens</t>
  </si>
  <si>
    <t xml:space="preserve">Présidente - Fondatrice associée</t>
  </si>
  <si>
    <t>pauline@lawilderie.com</t>
  </si>
  <si>
    <t>http://www.linkedin.com/in/pauline-herssens-8b349a44</t>
  </si>
  <si>
    <t>Giraudier</t>
  </si>
  <si>
    <t xml:space="preserve">Président Directeur Général Suprême des Pedzouilles</t>
  </si>
  <si>
    <t>tg@pedzouille.fr</t>
  </si>
  <si>
    <t>http://www.linkedin.com/in/thomas-giraudier-52977887</t>
  </si>
  <si>
    <t>Daniel</t>
  </si>
  <si>
    <t>daniel.david@agh-hospitality.com</t>
  </si>
  <si>
    <t>http://www.linkedin.com/in/daniel-david-a05ba110b</t>
  </si>
  <si>
    <t>Bray</t>
  </si>
  <si>
    <t>ALBORAN</t>
  </si>
  <si>
    <t>vincent.bray@alboran.fr</t>
  </si>
  <si>
    <t>http://www.linkedin.com/in/vincent-bray-53716a87</t>
  </si>
  <si>
    <t>http://www.alboran.fr</t>
  </si>
  <si>
    <t>Camael</t>
  </si>
  <si>
    <t>Adeleke</t>
  </si>
  <si>
    <t>camael.adeleke@cestmondonuts.fr</t>
  </si>
  <si>
    <t>http://www.linkedin.com/in/camael-adeleke-4b51b3164</t>
  </si>
  <si>
    <t>Creteil</t>
  </si>
  <si>
    <t>Doublet</t>
  </si>
  <si>
    <t xml:space="preserve">Fuga Family</t>
  </si>
  <si>
    <t>pierre@fugafamily.com</t>
  </si>
  <si>
    <t>http://www.linkedin.com/in/pierredoublet</t>
  </si>
  <si>
    <t>http://www.fugafamily.com</t>
  </si>
  <si>
    <t xml:space="preserve">Port de Suffren, Paris, Ile-de-France, France</t>
  </si>
  <si>
    <t xml:space="preserve">Fuga offre aux citadins des moments d’évasion sans sortir de Paris. Une nouvelle vision de l’art de vivre s’offre à vous à travers des lieux uniques : Laïa, Francette et Riviera Fuga. Plongez au coeur de nos adresses et appuyez sur pause. Pour Fuga, l'évasion est le premier des luxes.</t>
  </si>
  <si>
    <t>Vanguelis</t>
  </si>
  <si>
    <t>Panayotis</t>
  </si>
  <si>
    <t>Hospitality-ON.com</t>
  </si>
  <si>
    <t>board@hospitality-on.com</t>
  </si>
  <si>
    <t>http://www.linkedin.com/in/vanguelispanayotis</t>
  </si>
  <si>
    <t>http://www.hospitality-on.com</t>
  </si>
  <si>
    <t xml:space="preserve">5 Rue de Dantzig, Paris, Ile-de-France, France, 75015</t>
  </si>
  <si>
    <t>Carles</t>
  </si>
  <si>
    <t xml:space="preserve">Tutti Amici</t>
  </si>
  <si>
    <t>nicolas@tuttiamici.fr</t>
  </si>
  <si>
    <t>http://www.linkedin.com/in/nicolascarles</t>
  </si>
  <si>
    <t>http://www.tuttiamici.fr</t>
  </si>
  <si>
    <t xml:space="preserve">47 Rue Saint-Honore, Paris, Ile-de-France, France, 75001</t>
  </si>
  <si>
    <t xml:space="preserve">Restaurant Italien à Paris Châtelet-les-Halles et Pont-neuf. Cuisine du 
marché, produits frais, menus 18€ et 22€ le midi et menu 35€ le soir. Salle 
calme et lumineuse, tables espacées, décor sobre et chic.</t>
  </si>
  <si>
    <t>Justine</t>
  </si>
  <si>
    <t>justine.cascales@yaoz.com</t>
  </si>
  <si>
    <t>http://www.linkedin.com/in/justine-cascales-1a052959</t>
  </si>
  <si>
    <t>Delmas</t>
  </si>
  <si>
    <t xml:space="preserve">KIA KAHA</t>
  </si>
  <si>
    <t>vincent@kia-kaha.fr</t>
  </si>
  <si>
    <t>http://www.linkedin.com/in/vincent-delmas-57a57818b</t>
  </si>
  <si>
    <t>http://www.kia-kaha.fr</t>
  </si>
  <si>
    <t xml:space="preserve">20 Rue Sergent Blandan, Lyon, Auvergne-Rhone-Alpes, France, 69001</t>
  </si>
  <si>
    <t xml:space="preserve">Agence de Consulting par Vincent DELMAS réponds à un besoin d’épanouissement personnel et collectif dans le MANAgement de Projets !</t>
  </si>
  <si>
    <t>Dayen</t>
  </si>
  <si>
    <t xml:space="preserve">Co-fondateur &amp; co-CEO</t>
  </si>
  <si>
    <t>Remoters</t>
  </si>
  <si>
    <t>ldayen@weareremoters.co</t>
  </si>
  <si>
    <t xml:space="preserve">real estate</t>
  </si>
  <si>
    <t>http://www.linkedin.com/in/luc-dayen-aa6755157</t>
  </si>
  <si>
    <t>http://www.remoters.io</t>
  </si>
  <si>
    <t>Saint-Mande</t>
  </si>
  <si>
    <t xml:space="preserve">Trouvez l'appartement de vos rêves partout dans le monde ! Remoters vous propose des locations pour digital nomads et autres travailleurs à distance dans le monde entier.</t>
  </si>
  <si>
    <t>Basile</t>
  </si>
  <si>
    <t xml:space="preserve">Le Park' Guinguette</t>
  </si>
  <si>
    <t>direction@legrandcaf.fr</t>
  </si>
  <si>
    <t>http://www.linkedin.com/in/basile-gaudin-1aa510228</t>
  </si>
  <si>
    <t>http://www.legrandcaf.fr</t>
  </si>
  <si>
    <t xml:space="preserve">La Roche-sur-Yon</t>
  </si>
  <si>
    <t xml:space="preserve">120 Rue Newton, La Roche-sur-Yon, Pays de la Loire, France, 85000</t>
  </si>
  <si>
    <t>Binet</t>
  </si>
  <si>
    <t>Biografy</t>
  </si>
  <si>
    <t>rbinet@biografygroup.com</t>
  </si>
  <si>
    <t>http://www.linkedin.com/in/romainbinet</t>
  </si>
  <si>
    <t>http://www.biografygroup.com</t>
  </si>
  <si>
    <t xml:space="preserve">3 Rue Chauveau-Lagarde, Paris, Ile-de-France, France, 75008</t>
  </si>
  <si>
    <t xml:space="preserve">Biografy accompagne le développement de projets hôteliers singuliers, du lieu hybride au 5* citadin, en France comme en Europe :Conception, construction, rénovation et gestion opérationnelle.</t>
  </si>
  <si>
    <t>Burdin</t>
  </si>
  <si>
    <t>BACKYARD</t>
  </si>
  <si>
    <t>tristan@backyardfilms.fr</t>
  </si>
  <si>
    <t>http://www.linkedin.com/in/tristan-burdin-28700075</t>
  </si>
  <si>
    <t>http://www.backyardrotterdam.nl</t>
  </si>
  <si>
    <t xml:space="preserve">14 Korte Hoogstraat, Rotterdam, South Holland, Netherlands, 3011 GL</t>
  </si>
  <si>
    <t>Netherlands</t>
  </si>
  <si>
    <t xml:space="preserve">Bij BACKYARD kun je terecht voor een ontbijt, brunch, lunch, borrel en diner in het centrum van Rotterdam. Onze kaart is in de basis plant-based (vegan).</t>
  </si>
  <si>
    <t>smeslin@vicartem.fr</t>
  </si>
  <si>
    <t>http://www.linkedin.com/in/sebastien-meslin-92a672151</t>
  </si>
  <si>
    <t>Blein</t>
  </si>
  <si>
    <t xml:space="preserve">RB Group</t>
  </si>
  <si>
    <t>v.blein@rb-group.com</t>
  </si>
  <si>
    <t>http://www.linkedin.com/in/virginie-blein-044b05227</t>
  </si>
  <si>
    <t>http://www.group-rb.com</t>
  </si>
  <si>
    <t xml:space="preserve">10 Boulevard Marius Vivier Merle, Lyon, Auvergne-Rhone-Alpes, France, 69003</t>
  </si>
  <si>
    <t>Debris</t>
  </si>
  <si>
    <t xml:space="preserve">Groupe SRP Provence</t>
  </si>
  <si>
    <t>benjamin@groupe-srp.com</t>
  </si>
  <si>
    <t>http://www.linkedin.com/in/benjamin-debris-3969b7104</t>
  </si>
  <si>
    <t>http://www.groupe-srp.com</t>
  </si>
  <si>
    <t>L'Isle-sur-la-Sorgue</t>
  </si>
  <si>
    <t xml:space="preserve">74 Avenue Jean Bouin, L'Isle-sur-la-Sorgue, Provence-Alpes-Cote d'Azur, France, 84800</t>
  </si>
  <si>
    <t xml:space="preserve">tonic hotel</t>
  </si>
  <si>
    <t>frederic.boissier@tonichotel.net</t>
  </si>
  <si>
    <t>http://www.linkedin.com/in/frederic-boissier-b8b15b11</t>
  </si>
  <si>
    <t>http://www.tonichotel.com.au</t>
  </si>
  <si>
    <t xml:space="preserve">251 Talga Rd, Lovedale, New South Wales, Australia, 2325</t>
  </si>
  <si>
    <t>Australia</t>
  </si>
  <si>
    <t>Jean-Philippe</t>
  </si>
  <si>
    <t>Selle</t>
  </si>
  <si>
    <t>jean-philippe@gallika.fr</t>
  </si>
  <si>
    <t>http://www.linkedin.com/in/jeanphilippeselle</t>
  </si>
  <si>
    <t>K.</t>
  </si>
  <si>
    <t>mathieu@youza.fr</t>
  </si>
  <si>
    <t>http://www.linkedin.com/in/mathieu-k-7074174</t>
  </si>
  <si>
    <t>Bruneel</t>
  </si>
  <si>
    <t xml:space="preserve">Groupe MyHotels</t>
  </si>
  <si>
    <t>joris@groupe-myhotels.com</t>
  </si>
  <si>
    <t>http://www.linkedin.com/in/joris-bruneel-38b5a267</t>
  </si>
  <si>
    <t>http://www.groupe-myhotels.com</t>
  </si>
  <si>
    <t xml:space="preserve">142 Rue de Rivoli, Paris, Ile-de-France, France, 75001</t>
  </si>
  <si>
    <t xml:space="preserve">Le groupe MyHotels représente 19 établissements dont 17 sous enseignes ACCOR, Louvre Hôtels &amp; Best Western, et 2 boutiques hôtels parisiens.</t>
  </si>
  <si>
    <t>Grand-Morin</t>
  </si>
  <si>
    <t xml:space="preserve">Le Cercle</t>
  </si>
  <si>
    <t>n.grand@lecercle.fr</t>
  </si>
  <si>
    <t>http://www.linkedin.com/in/nathalie-grand-morin-39410092</t>
  </si>
  <si>
    <t>http://www.lecercle.fr</t>
  </si>
  <si>
    <t>Bry-sur-Marne</t>
  </si>
  <si>
    <t xml:space="preserve">49 Rue de Ponthieu, Paris, Ile-de-France, France, 75008</t>
  </si>
  <si>
    <t xml:space="preserve">Le Cercle : livraisons de Plateaux Repas, Cocktails, et Buffets sur-mesure, selon vos envies. Traiteur Entreprise chic, écologique et socialement engagé.</t>
  </si>
  <si>
    <t>Engaz</t>
  </si>
  <si>
    <t xml:space="preserve">Co-fondatrice Koawa Vacances</t>
  </si>
  <si>
    <t>carole@koawa-vacances.com</t>
  </si>
  <si>
    <t>http://www.linkedin.com/in/carole-viriot-engaz-aab254209</t>
  </si>
  <si>
    <t>Duperret</t>
  </si>
  <si>
    <t xml:space="preserve">Forstyle Hôtels Collection</t>
  </si>
  <si>
    <t>herve.duperret@forstyle-hotels.com</t>
  </si>
  <si>
    <t>http://www.linkedin.com/in/herve-duperret-2b713117</t>
  </si>
  <si>
    <t>http://www.forstyle-hotels.com</t>
  </si>
  <si>
    <t xml:space="preserve">6 Chatillon, Cesson-Sevigne, Bretagne, France, 35510</t>
  </si>
  <si>
    <t>Beauvieux</t>
  </si>
  <si>
    <t xml:space="preserve">ACANTECH créateur de Chr365</t>
  </si>
  <si>
    <t>a.beauvieux@chr365.fr</t>
  </si>
  <si>
    <t>http://www.linkedin.com/in/alain-beauvieux-phd-bb286b4</t>
  </si>
  <si>
    <t>http://www.chr365.eu</t>
  </si>
  <si>
    <t>Sete</t>
  </si>
  <si>
    <t>Bezin</t>
  </si>
  <si>
    <t xml:space="preserve">Life Managements Services : Directeur Général</t>
  </si>
  <si>
    <t xml:space="preserve">LIFE HOTELS</t>
  </si>
  <si>
    <t>abezin@valuestate.fr</t>
  </si>
  <si>
    <t>http://www.linkedin.com/in/anthony-bezin-82497151</t>
  </si>
  <si>
    <t>http://www.lifehotels.fr</t>
  </si>
  <si>
    <t xml:space="preserve">Bordeaux, Nouvelle-Aquitaine, France, 33000</t>
  </si>
  <si>
    <t xml:space="preserve">Life est la nouvelle marque d'hôtels newgeneration. Notre état d’esprit ? Offrir des lieux connectés : aux nouvelles technologies ; aux personnes ; à la vie locale !</t>
  </si>
  <si>
    <t>Alexopoulos</t>
  </si>
  <si>
    <t xml:space="preserve">Chef, Entrepreneur and CEO of Plaka Paris</t>
  </si>
  <si>
    <t>Plaka</t>
  </si>
  <si>
    <t>dimitri@plaka.fr</t>
  </si>
  <si>
    <t>http://www.linkedin.com/in/dimitri-alexopoulos-da</t>
  </si>
  <si>
    <t>http://www.plakaparis.com</t>
  </si>
  <si>
    <t xml:space="preserve">46 Rue Legendre, Paris, Ile-de-France, France, 75017</t>
  </si>
  <si>
    <t>Valerian</t>
  </si>
  <si>
    <t>Potier</t>
  </si>
  <si>
    <t xml:space="preserve">Fondateur et Responsable communication</t>
  </si>
  <si>
    <t xml:space="preserve">The Fold</t>
  </si>
  <si>
    <t>valerian@thefold.fr</t>
  </si>
  <si>
    <t>http://www.linkedin.com/in/valerianpotier</t>
  </si>
  <si>
    <t>http://www.thefoldleamington.co.uk</t>
  </si>
  <si>
    <t>Challans</t>
  </si>
  <si>
    <t xml:space="preserve">Spencer Street, Royal Leamington Spa, England, United Kingdom, CV31 3NF</t>
  </si>
  <si>
    <t>Yasmine</t>
  </si>
  <si>
    <t>Ibrahim</t>
  </si>
  <si>
    <t xml:space="preserve">Minoofi Bakery</t>
  </si>
  <si>
    <t>yasmine@minoofi.fr</t>
  </si>
  <si>
    <t>http://www.linkedin.com/in/yasmine-ibrahim-033b251ab</t>
  </si>
  <si>
    <t>http://www.minoofi.fr</t>
  </si>
  <si>
    <t xml:space="preserve">104 Rue Paradis, Marseille, Provence-Alpes-Cote d'Azur, France, 13006</t>
  </si>
  <si>
    <t xml:space="preserve">Products Archive - Minoofi Bakery</t>
  </si>
  <si>
    <t>Badaoui</t>
  </si>
  <si>
    <t xml:space="preserve">TASCA MEZZE BAR</t>
  </si>
  <si>
    <t>marc@tascamezzebar.fr</t>
  </si>
  <si>
    <t>http://www.linkedin.com/in/marc-badaoui-a0ab8211</t>
  </si>
  <si>
    <t>http://www.tascamezzebar.fr</t>
  </si>
  <si>
    <t xml:space="preserve">15 Rue des Tilleuls, Voisins-le-Bretonneux, Ile-de-France, France, 78960</t>
  </si>
  <si>
    <t>Boyadjis</t>
  </si>
  <si>
    <t xml:space="preserve">Restaurant Founder and Manager</t>
  </si>
  <si>
    <t xml:space="preserve">Casa Leya</t>
  </si>
  <si>
    <t>marion@casaleya.com</t>
  </si>
  <si>
    <t>http://www.linkedin.com/in/marion-boyadjis-611a7727</t>
  </si>
  <si>
    <t>http://www.casaleya.com</t>
  </si>
  <si>
    <t xml:space="preserve">36 Cours Saleya, Nice, Provence-Alpes-Cote d'Azur, France, 06300</t>
  </si>
  <si>
    <t xml:space="preserve">Casa Leya est un restaurant italien situé à l'entrée du Cours Saleya dans le Vieux Nice. Découvrez une cuisine fait maison dans un cadre chaleureux !</t>
  </si>
  <si>
    <t>Alexandra</t>
  </si>
  <si>
    <t>Verzier</t>
  </si>
  <si>
    <t xml:space="preserve">Co Founder de DigiLink  / incubee à l EM Lyon</t>
  </si>
  <si>
    <t>DigiLink</t>
  </si>
  <si>
    <t>alexandra.verzier@capgemini.com</t>
  </si>
  <si>
    <t>http://www.linkedin.com/in/averzier</t>
  </si>
  <si>
    <t>http://www.digilink.net</t>
  </si>
  <si>
    <t xml:space="preserve">4676 Admiralty Way, Marina del Rey, California, United States, 90292</t>
  </si>
  <si>
    <t xml:space="preserve">DigiLink - Los Angeles ISP offering Business T1, T3/DS3 services, VoIP Hosted PBX and SIP Trunking, Business DSL, Wireless broadband, Web hosting and Server Co-location to businesses in Greater Los Angeles area and nationwide. An Internet Service Provider based in Marina del Rey, California</t>
  </si>
  <si>
    <t>Moulinet</t>
  </si>
  <si>
    <t>Kledia</t>
  </si>
  <si>
    <t>maxime@kledia.fr</t>
  </si>
  <si>
    <t>http://www.linkedin.com/in/maximemoulinet</t>
  </si>
  <si>
    <t>http://www.kledia.fr</t>
  </si>
  <si>
    <t xml:space="preserve">3 Rue Saint-Yves, Pontrieux, Bretagne, France, 22260</t>
  </si>
  <si>
    <t xml:space="preserve">Une nouvelle définition de l'hospitalité. Avec Kledia votre propriété est entre de bonnes mains, vos voyageurs vivent des expériences uniques.</t>
  </si>
  <si>
    <t>Mabille</t>
  </si>
  <si>
    <t xml:space="preserve">CEO and Co-Founder</t>
  </si>
  <si>
    <t xml:space="preserve">Riviera Collections</t>
  </si>
  <si>
    <t>linda@rivieracollections.com</t>
  </si>
  <si>
    <t>http://www.linkedin.com/in/linda-mabille-09333820</t>
  </si>
  <si>
    <t>http://www.rivieracollections.com</t>
  </si>
  <si>
    <t xml:space="preserve">4 Impasse Colonel Tajasque, Cannes, Provence-Alpes-Cote d'Azur, France, 06400</t>
  </si>
  <si>
    <t>Billiard</t>
  </si>
  <si>
    <t xml:space="preserve">Fondateur &amp; CEO</t>
  </si>
  <si>
    <t xml:space="preserve">Groupe St Ho</t>
  </si>
  <si>
    <t>marine.billiard@sainthonore-cleaning.com</t>
  </si>
  <si>
    <t>http://www.linkedin.com/in/marine-billiard-065725</t>
  </si>
  <si>
    <t>http://www.sainthonore-cleaning.com</t>
  </si>
  <si>
    <t xml:space="preserve">31 Rue Etienne Marcel, Paris, Ile-de-France, France, 75001</t>
  </si>
  <si>
    <t>Kader</t>
  </si>
  <si>
    <t>Jawneh</t>
  </si>
  <si>
    <t>Afrik'N'Group</t>
  </si>
  <si>
    <t>kaderjawneh@afriknfusion.fr</t>
  </si>
  <si>
    <t>http://www.linkedin.com/in/kader-jawneh-3b707275</t>
  </si>
  <si>
    <t>http://www.afriknfusion.fr</t>
  </si>
  <si>
    <t xml:space="preserve">330 Rue des Pyrenees, Paris, Ile-de-France, France, 75020</t>
  </si>
  <si>
    <t>Meusnier</t>
  </si>
  <si>
    <t>ceo</t>
  </si>
  <si>
    <t xml:space="preserve">Kodawari Ramen</t>
  </si>
  <si>
    <t>jbmeusnier@kodawari-ramen.com</t>
  </si>
  <si>
    <t>http://www.linkedin.com/in/jean-baptiste-meusnier-22aa7816</t>
  </si>
  <si>
    <t>http://www.kodawari-ramen.com</t>
  </si>
  <si>
    <t xml:space="preserve">29 Rue Mazarine, Paris, Ile-de-France, France, 75006</t>
  </si>
  <si>
    <t>Ingrid</t>
  </si>
  <si>
    <t>Chehlaoui</t>
  </si>
  <si>
    <t>KUBRI</t>
  </si>
  <si>
    <t>ingrid@kubri-restaurant.com</t>
  </si>
  <si>
    <t>http://www.linkedin.com/in/ingrid-chehlaoui</t>
  </si>
  <si>
    <t>http://www.kubri-restaurant.com</t>
  </si>
  <si>
    <t xml:space="preserve">108 Rue Amelot, Paris, Ile-de-France, France, 75011</t>
  </si>
  <si>
    <t xml:space="preserve">Cherchez-vous un restaurant Libanais à Paris France? Kubri Restaurant est un restaurant contemporain à Paris 11, Rendez-nous visite</t>
  </si>
  <si>
    <t xml:space="preserve">Co-Chief Executive Officer</t>
  </si>
  <si>
    <t>claire@poutinebros.com</t>
  </si>
  <si>
    <t>http://www.linkedin.com/in/claire-gaudin-a89704130</t>
  </si>
  <si>
    <t>Sauvage</t>
  </si>
  <si>
    <t xml:space="preserve">Hospitality Sustainability Revolution</t>
  </si>
  <si>
    <t>ben@hospitalitysr.com</t>
  </si>
  <si>
    <t>http://www.linkedin.com/in/bensauvage</t>
  </si>
  <si>
    <t>http://www.hospitalitysr.com</t>
  </si>
  <si>
    <t>Mougins</t>
  </si>
  <si>
    <t xml:space="preserve">2598 East Sunrise Boulevard, Fort Lauderdale, Florida, United States, 33304</t>
  </si>
  <si>
    <t>Ricklin</t>
  </si>
  <si>
    <t xml:space="preserve">CMO et co-fondatrice de Maslow Group</t>
  </si>
  <si>
    <t>marine@maslow-group.com</t>
  </si>
  <si>
    <t>http://www.linkedin.com/in/marine-ricklin-0bb87228</t>
  </si>
  <si>
    <t>Joffrey</t>
  </si>
  <si>
    <t>Asselin</t>
  </si>
  <si>
    <t xml:space="preserve">Fondateur &amp; President CEO</t>
  </si>
  <si>
    <t xml:space="preserve">L'Atelier Saisonnier</t>
  </si>
  <si>
    <t>joffrey@lateliersaisonnier.com</t>
  </si>
  <si>
    <t>http://www.linkedin.com/in/joffrey-asselin-92983b58</t>
  </si>
  <si>
    <t>http://www.lateliersaisonnier.com</t>
  </si>
  <si>
    <t xml:space="preserve">15 Rue de Charonne, Paris, Ile-de-France, France, 75011</t>
  </si>
  <si>
    <t xml:space="preserve">Bienvenue à l'Atelier Saisonnier, lieu de convivialité ou vous pourrez profiter de notre bar à vin, de nos planches charcuteries fromages et de notre Brunch</t>
  </si>
  <si>
    <t>Hadrien</t>
  </si>
  <si>
    <t>Pujol</t>
  </si>
  <si>
    <t xml:space="preserve">Groupe Cité Hôtels</t>
  </si>
  <si>
    <t>hpujol@cite-hotels.com</t>
  </si>
  <si>
    <t>http://www.linkedin.com/in/hadrien-pujol-6a5b811</t>
  </si>
  <si>
    <t>http://www.cite-hotels.com</t>
  </si>
  <si>
    <t xml:space="preserve">2 Rue du Comte Roger, Carcassonne, Occitanie, France, 11000</t>
  </si>
  <si>
    <t xml:space="preserve">Découvrez le Groupe Cité Hotels, un écrin de quiétude et d'authenticité. Immersion féérique dans les terres occitanes pour une expérience mémorable.</t>
  </si>
  <si>
    <t>Lebas</t>
  </si>
  <si>
    <t>NOCNOC</t>
  </si>
  <si>
    <t>paul@nocnoc.fr</t>
  </si>
  <si>
    <t>http://www.linkedin.com/in/paul-lebas-nocnoc</t>
  </si>
  <si>
    <t>http://www.nocnoc.fr</t>
  </si>
  <si>
    <t xml:space="preserve">4 Rue Commandant Dubois, Lyon, Auvergne-Rhone-Alpes, France, 69003</t>
  </si>
  <si>
    <t xml:space="preserve">Spécialisé dans la location d'appartements pour courte durée NOCNOC est présent à Lyon, Marseille, Lille, Nantes, Montpellier, Toulouse. Nous proposons de grands appartements meublés situés en hyper-centre.</t>
  </si>
  <si>
    <t>Vernhet</t>
  </si>
  <si>
    <t>CRRSP</t>
  </si>
  <si>
    <t>gregoire@crrsp.org</t>
  </si>
  <si>
    <t>http://www.linkedin.com/in/gr%c3%a9goire-vernhet-b4b12baa</t>
  </si>
  <si>
    <t>http://www.crrsp.com</t>
  </si>
  <si>
    <t xml:space="preserve">2 Chemin de Prevenoge, Ecublens, Vaud, Switzerland, 1024</t>
  </si>
  <si>
    <t xml:space="preserve">Du poulet frit jusqu'aux sandwichs avec emballage comestible, chez CRRSP nous élaborons des recettes subtiles et innovantes dans le seul but de faire croustiller vos papilles. Des créations élaborées à partir d'ingrédients qualitatifs et éco-responsables : tous sélectionnés pour leur goût parfait et intense. Découvrez maintenant nos restaurants sur notre site officiel.</t>
  </si>
  <si>
    <t>Magali</t>
  </si>
  <si>
    <t>ENAMOURA</t>
  </si>
  <si>
    <t>magali@enamoura.com</t>
  </si>
  <si>
    <t>retail</t>
  </si>
  <si>
    <t>http://www.linkedin.com/in/magaliavignon</t>
  </si>
  <si>
    <t>http://www.enamoura.com</t>
  </si>
  <si>
    <t xml:space="preserve">Une collection intemporelle de luminaires façonnés à la main en Provence. Créez votre lampe artisanale sur-mesure: Choisissez votre forme iconique, sa finition et optez pour le montage qui vous convient : suspension, applique ou baladeuse ! Réservez nos maisons de vacances pour une escapade en Provence.</t>
  </si>
  <si>
    <t>Dudognon</t>
  </si>
  <si>
    <t>e.dudognon@wikimail.fr</t>
  </si>
  <si>
    <t>http://www.linkedin.com/in/eric-dudognon-3566757b</t>
  </si>
  <si>
    <t>Pinelli</t>
  </si>
  <si>
    <t xml:space="preserve">The Villa Calvi</t>
  </si>
  <si>
    <t>antoine@pinelli.fr</t>
  </si>
  <si>
    <t>http://www.linkedin.com/in/antoine-pinelli-153873aa</t>
  </si>
  <si>
    <t>http://www.lavilla.fr</t>
  </si>
  <si>
    <t>Calvi</t>
  </si>
  <si>
    <t xml:space="preserve">Chemin Notre-Dame de la Serra, Calvi, Corsica, France, 20260</t>
  </si>
  <si>
    <t xml:space="preserve">Hotel Calvi : Hôtel relais et châteaux, hôtel luxe 5 étoiles La Villa situé à Calvi en Corse. Pour des vacances de rêves à Calvi en Corse.</t>
  </si>
  <si>
    <t xml:space="preserve">Dalia Group</t>
  </si>
  <si>
    <t>benjamin@dalia-paris.com</t>
  </si>
  <si>
    <t>http://www.linkedin.com/in/benjamin-cohen-bc</t>
  </si>
  <si>
    <t>http://www.daliagroup.com</t>
  </si>
  <si>
    <t xml:space="preserve">L’art de vivre méditerranéen va bien au-delà d’une simple gastronomie. 
C’est une manière d’appréhender la vie: l’ouverture d’esprit, le partage et 
la convivialité. De servir les gens, d’appréhender les relations avec les 
autres. De concevoir des lieux chaleureux.</t>
  </si>
  <si>
    <t xml:space="preserve">CO-FONDATEUR et DIRECTEUR GENERAL</t>
  </si>
  <si>
    <t xml:space="preserve">SUITCASE HOSPITALITY</t>
  </si>
  <si>
    <t>jb.martin@suitcase-hospitality.com</t>
  </si>
  <si>
    <t>http://www.linkedin.com/in/jean-baptiste-martin-39337980</t>
  </si>
  <si>
    <t>http://www.suitcase-hospitality.com</t>
  </si>
  <si>
    <t xml:space="preserve">8 Rue du Maine, Rennes, Brittany, France, 35000</t>
  </si>
  <si>
    <t xml:space="preserve">Suitcase Hospitality développe, construit et exploite projets hôteliers et para-hôteliers du 2 au 5 étoiles, avec ou sans franchise</t>
  </si>
  <si>
    <t>Bournais</t>
  </si>
  <si>
    <t xml:space="preserve">Terres de France</t>
  </si>
  <si>
    <t>ch.bournais@terresdefrance.com</t>
  </si>
  <si>
    <t>http://www.linkedin.com/in/charles-henri-bournais-4730963b</t>
  </si>
  <si>
    <t>http://www.groupe-terresdefrance.com</t>
  </si>
  <si>
    <t xml:space="preserve">Saint-Cyr-sur-Loire, Centre-Val de Loire, France, 37540</t>
  </si>
  <si>
    <t xml:space="preserve">Le groupe Terres de France vous invite à découvrir son expertise en matière de gestion et exploitation de résidence de tourisme en France.</t>
  </si>
  <si>
    <t>Macquet</t>
  </si>
  <si>
    <t xml:space="preserve">Poke Bar</t>
  </si>
  <si>
    <t>elodie.macquet@pokebar.fr</t>
  </si>
  <si>
    <t>http://www.linkedin.com/in/elodie-macquet</t>
  </si>
  <si>
    <t>http://www.pokebar.fr</t>
  </si>
  <si>
    <t xml:space="preserve">24 Rue du 4 Septembre, Paris, Ile-de-France, France, 75002</t>
  </si>
  <si>
    <t xml:space="preserve">Poké Bar : délicieux poké bowls ultra frais à composer à Pontoise, Lyon, Nancy, La Ferté, Vannes. Sur place, à emporter et livraison. Traiteur.</t>
  </si>
  <si>
    <t xml:space="preserve">Monsieur le Zinc</t>
  </si>
  <si>
    <t>gregoire@monsieur-zinc.fr</t>
  </si>
  <si>
    <t>http://www.linkedin.com/in/gr%c3%a9goire-babinet-72a67360</t>
  </si>
  <si>
    <t>http://www.monsieur-lezinc.com</t>
  </si>
  <si>
    <t xml:space="preserve">13 Rue Monsieur le Prince, Paris, Ile-de-France, France, 75006</t>
  </si>
  <si>
    <t xml:space="preserve">Monsieur le Zinc est l'enseigne branchée de bar à vin et à bière en libre service ! Réservation et privatisation gratuite. Lille, Melun, Rennes, Paris 15, Paris 09, Paris 10, Paris 06, servez vous !</t>
  </si>
  <si>
    <t>Valton</t>
  </si>
  <si>
    <t xml:space="preserve">Fondateur boutique Almucantar Val d'Europe</t>
  </si>
  <si>
    <t>ALMUCANTAR</t>
  </si>
  <si>
    <t>cedric.valton@almucantar.fr</t>
  </si>
  <si>
    <t>http://www.linkedin.com/in/cedric-valton</t>
  </si>
  <si>
    <t>http://www.almucantar.fr</t>
  </si>
  <si>
    <t xml:space="preserve">Rue Poncelet, Paris, Ile-de-France, France, 75017</t>
  </si>
  <si>
    <t>Lameloise</t>
  </si>
  <si>
    <t>HELEA</t>
  </si>
  <si>
    <t>e.lameloise@helea.fr</t>
  </si>
  <si>
    <t>http://www.linkedin.com/in/edouard-lameloise-64082564</t>
  </si>
  <si>
    <t>http://www.helea.fr</t>
  </si>
  <si>
    <t>Carine</t>
  </si>
  <si>
    <t>Baubriau</t>
  </si>
  <si>
    <t xml:space="preserve">Directrice générale adjointe</t>
  </si>
  <si>
    <t>c.baubriau@booking-better.com</t>
  </si>
  <si>
    <t>http://www.linkedin.com/in/carinebaubriau</t>
  </si>
  <si>
    <t>Pol</t>
  </si>
  <si>
    <t>Rascalou</t>
  </si>
  <si>
    <t xml:space="preserve">Château de Fonscolombe</t>
  </si>
  <si>
    <t>pol.rascalou@fonscolombe.com</t>
  </si>
  <si>
    <t>http://www.linkedin.com/in/pol-rascalou-bb912260</t>
  </si>
  <si>
    <t>http://www.fonscolombe.com</t>
  </si>
  <si>
    <t xml:space="preserve">Route de Saint-Canadet, Le Puy-Sainte-Reparade, Provence-Alpes-Cote d'Azur, France, 13610</t>
  </si>
  <si>
    <t xml:space="preserve">Château De Fonscolombe is a 5-star hotel with wine estate, restaurant and swimming pool located on a listed historic site in Le Puy-Sainte-Réparade, near Aix-en-Provence.</t>
  </si>
  <si>
    <t>Pasquet</t>
  </si>
  <si>
    <t xml:space="preserve">Groupe BASE CAMP LODGE</t>
  </si>
  <si>
    <t>mpasquet@hotel-basecamplodge.com</t>
  </si>
  <si>
    <t>http://www.linkedin.com/in/micha%c3%abl-pasquet-018a2a3</t>
  </si>
  <si>
    <t>http://www.hotel-basecamplodge.com</t>
  </si>
  <si>
    <t>Albertville</t>
  </si>
  <si>
    <t xml:space="preserve">Bourg-Saint-Maurice, Auvergne-Rhone-Alpes, France, 73700</t>
  </si>
  <si>
    <t xml:space="preserve">[OFFICIEL] Hotel Bourg-Saint-Maurice, ARC 2000 · Restaurant Locavore, Chambres Atypiques, Séminaires, Concerts Lives</t>
  </si>
  <si>
    <t>Arnauld</t>
  </si>
  <si>
    <t>Baert</t>
  </si>
  <si>
    <t xml:space="preserve">Château de Germigney Relais &amp; Châteaux 5*</t>
  </si>
  <si>
    <t>direction@chateaudegermigney.com</t>
  </si>
  <si>
    <t>http://www.linkedin.com/in/arnauld-baert-2b5585aa</t>
  </si>
  <si>
    <t>http://www.chateaudegermigney.com</t>
  </si>
  <si>
    <t xml:space="preserve">Port-Lesney, Franche-Comte, France</t>
  </si>
  <si>
    <t xml:space="preserve">OFFICIEL · Château de Germigney · 2 restaurants, Spa, bassin naturel de nage, réceptions mariages, séminaires, profitez des coffrets cadeaux et des offres pour votre séjour dans le Jura à Port-Lesney · Réservations aux meilleurs tarifs garantis</t>
  </si>
  <si>
    <t>Galbois</t>
  </si>
  <si>
    <t xml:space="preserve">Welcome Hotel****</t>
  </si>
  <si>
    <t>charles@welcomehotel.com</t>
  </si>
  <si>
    <t>http://www.linkedin.com/in/charlesgalbois</t>
  </si>
  <si>
    <t>http://www.welcomehotel.com</t>
  </si>
  <si>
    <t xml:space="preserve">3 Quai Amiral Courbet, Villefranche-sur-Mer, Provence-Alpes-Cote d'Azur, France, 06230</t>
  </si>
  <si>
    <t xml:space="preserve">Boutique Hotel**** au coeur de la baie de Villefranche sur Mer. 35 chambres dotées d'une vue mer et d'un balcon. Hotel à l'empreinte Cocteau</t>
  </si>
  <si>
    <t>Mouaffak</t>
  </si>
  <si>
    <t>Ventrus</t>
  </si>
  <si>
    <t>melm@ventrus.fr</t>
  </si>
  <si>
    <t>http://www.linkedin.com/in/mohamed-el-mouaffak-990309157</t>
  </si>
  <si>
    <t>http://www.ventrus.fr</t>
  </si>
  <si>
    <t xml:space="preserve">211 Avenue Jean Jaures, Paris, Ile-de-France, France, 75019</t>
  </si>
  <si>
    <t xml:space="preserve">Le restaurant gastronomique Ventrus situé dans le 19e arrondissement de Paris vous ouvre ses portes. Découvrez sa boutique, ses cartes cadeaux, ses produits d'exceptions et plus encore. Le rendez-vous des gastronomes !</t>
  </si>
  <si>
    <t>thomas@tiptoque.fr</t>
  </si>
  <si>
    <t>Delaune</t>
  </si>
  <si>
    <t xml:space="preserve">Président Fondateur - CEO Founder</t>
  </si>
  <si>
    <t xml:space="preserve">Le Domaine d'Ablon</t>
  </si>
  <si>
    <t>christophe.delaune@domainedablon.com</t>
  </si>
  <si>
    <t>http://www.linkedin.com/in/christophe-delaune-50b423107</t>
  </si>
  <si>
    <t>http://www.domaine-dablon.com</t>
  </si>
  <si>
    <t xml:space="preserve">2504 Route de Genneville, Ablon, Normandy, France, 14600</t>
  </si>
  <si>
    <t xml:space="preserve">Domaine d’Ablon stands out for its exceptional service, offering a luxury experience in a historic setting where refinement and personalized attention elevate each stay to a unique art of living.</t>
  </si>
  <si>
    <t>Cormier</t>
  </si>
  <si>
    <t xml:space="preserve">Co-Founder &amp; COO Pilo</t>
  </si>
  <si>
    <t>jeremie@pilohotels.com</t>
  </si>
  <si>
    <t>http://www.linkedin.com/in/j%c3%a9r%c3%a9mie-cormier-3a8a6882</t>
  </si>
  <si>
    <t>Melikov</t>
  </si>
  <si>
    <t>alexis@tigermilkgroup.com</t>
  </si>
  <si>
    <t>http://www.linkedin.com/in/alexis-melikov-428a2b233</t>
  </si>
  <si>
    <t>Louvard</t>
  </si>
  <si>
    <t xml:space="preserve">Founder &amp; Manager</t>
  </si>
  <si>
    <t>Lodg'ing</t>
  </si>
  <si>
    <t>simon@lodg-ing.com</t>
  </si>
  <si>
    <t>http://www.linkedin.com/in/simon-louvard</t>
  </si>
  <si>
    <t>http://www.lodg-ing.com</t>
  </si>
  <si>
    <t xml:space="preserve">Paris, Ile-de-France, France, 75008</t>
  </si>
  <si>
    <t xml:space="preserve">Vous rêvez de vacances insolites, loin des tracas du quotidien ? Optez pour le camping en pleine nature avec Lodg’ing !</t>
  </si>
  <si>
    <t>Laura-Isabella</t>
  </si>
  <si>
    <t>Noujaim</t>
  </si>
  <si>
    <t xml:space="preserve">Petite Forêt</t>
  </si>
  <si>
    <t>laura@petiteforet.com</t>
  </si>
  <si>
    <t>http://www.linkedin.com/in/laura-isabella-noujaim-947248109</t>
  </si>
  <si>
    <t>http://www.petiteforet.com</t>
  </si>
  <si>
    <t xml:space="preserve">Bienvenue à Petite Forêt, un café contemporain pensé et créé par des mamans pour les familles. Découvrez notre large éventail d’ateliers et cours pour petits et grands, nos fêtes d'anniversaires et notre boutique éco-responsable.</t>
  </si>
  <si>
    <t>Mariek</t>
  </si>
  <si>
    <t>Anselme</t>
  </si>
  <si>
    <t xml:space="preserve">Co-Founder and CEO</t>
  </si>
  <si>
    <t xml:space="preserve">A.M.A Selections</t>
  </si>
  <si>
    <t>mariek@amaselections.com</t>
  </si>
  <si>
    <t>http://www.linkedin.com/in/mariek-anselme</t>
  </si>
  <si>
    <t>http://www.amaselections.com</t>
  </si>
  <si>
    <t xml:space="preserve">Avenue de Lerins, Cannes, Provence-Alpes-Cote d'Azur, France, 06400</t>
  </si>
  <si>
    <t xml:space="preserve">Exclusive luxury holiday villa rentals in Europe, Africa &amp; The Caribbean with A.M.A Selections. Some of the best &amp; most luxurious villas to rent in Europe &amp; across The World.</t>
  </si>
  <si>
    <t>Piotr</t>
  </si>
  <si>
    <t>Kacki</t>
  </si>
  <si>
    <t xml:space="preserve">Co-founder &amp; Director</t>
  </si>
  <si>
    <t xml:space="preserve">Bonjour Residences</t>
  </si>
  <si>
    <t>piotr@bonjour-residences.co.uk</t>
  </si>
  <si>
    <t>http://www.linkedin.com/in/piotr-kacki-3b803543</t>
  </si>
  <si>
    <t>http://www.bonjour-residences.co.uk</t>
  </si>
  <si>
    <t xml:space="preserve">3 Hill Street, Edinburgh, Scotland, United Kingdom, EH2 3JP</t>
  </si>
  <si>
    <t xml:space="preserve">Bonjour Residences is an All-Inclusive Accommodation Manager for Business Travellers. More than 1500 apartments across 180 locations available. Clients include Insurances, Corporates, TV Production firms, Construction firms.</t>
  </si>
  <si>
    <t>Debie</t>
  </si>
  <si>
    <t xml:space="preserve">Tranché !</t>
  </si>
  <si>
    <t>marie@tranchegroupe.com</t>
  </si>
  <si>
    <t>http://www.linkedin.com/in/marie-debie-hec</t>
  </si>
  <si>
    <t>http://www.tranchegroupe.com</t>
  </si>
  <si>
    <t>Blanchard-Dignac</t>
  </si>
  <si>
    <t xml:space="preserve">Cie Les Maquereaux</t>
  </si>
  <si>
    <t>olivier@lesmaquereaux.com</t>
  </si>
  <si>
    <t>http://www.linkedin.com/in/blancharddignac</t>
  </si>
  <si>
    <t>http://www.lesmaquereaux.com</t>
  </si>
  <si>
    <t xml:space="preserve">Quai de l'Hotel de Ville, Paris, Ile-de-France, France, 75004</t>
  </si>
  <si>
    <t xml:space="preserve">Quatre adresses, 40 collaborateurs des crustacés &amp; des godets,… Depuis 2016, Cie Les Maquereaux fait vibrer sur ses terrasses parisiens, touristes et franciliens en mal de mer. Privatisation, fêtes pour le grand public et pour les entreprises, les restaurants et péniches accueillent toute l'année au sein de leurs établissements.</t>
  </si>
  <si>
    <t>Mehdy</t>
  </si>
  <si>
    <t>Boukersi</t>
  </si>
  <si>
    <t>mehdy@burgerbreton.com</t>
  </si>
  <si>
    <t>http://www.linkedin.com/in/mehdy-boukersi-959297151</t>
  </si>
  <si>
    <t>Nordine</t>
  </si>
  <si>
    <t>Bara</t>
  </si>
  <si>
    <t>nordine@luks-kebab.com</t>
  </si>
  <si>
    <t>http://www.linkedin.com/in/nordine-bara-300340204</t>
  </si>
  <si>
    <t>Valla</t>
  </si>
  <si>
    <t xml:space="preserve">EDIT DE NANTES HABITAT JEUNES</t>
  </si>
  <si>
    <t>c.valla@edit-nantes.fr</t>
  </si>
  <si>
    <t xml:space="preserve">nonprofit organization management</t>
  </si>
  <si>
    <t>http://www.linkedin.com/in/cvalla</t>
  </si>
  <si>
    <t>http://www.edit-nantes.fr</t>
  </si>
  <si>
    <t>Vernice</t>
  </si>
  <si>
    <t xml:space="preserve">Fondateur et gérant</t>
  </si>
  <si>
    <t>Ciboulette</t>
  </si>
  <si>
    <t>direction@ciboulette-dijon.fr</t>
  </si>
  <si>
    <t>http://www.linkedin.com/in/valentin-vernice-018284106</t>
  </si>
  <si>
    <t>http://www.ciboulette-dijon.fr</t>
  </si>
  <si>
    <t xml:space="preserve">Dijon, Burgundy, France, 21000</t>
  </si>
  <si>
    <t>Parisouk</t>
  </si>
  <si>
    <t>Vong</t>
  </si>
  <si>
    <t xml:space="preserve">gérant co-fondateur</t>
  </si>
  <si>
    <t xml:space="preserve">Thai at home</t>
  </si>
  <si>
    <t>parisouk@thaiathome.fr</t>
  </si>
  <si>
    <t>http://www.linkedin.com/in/parisouk-vong-8216b622</t>
  </si>
  <si>
    <t>http://www.thai-at-home.com</t>
  </si>
  <si>
    <t xml:space="preserve">Maenhoutstraat, Sint-Martens-Latem, Flanders, Belgium, 9830</t>
  </si>
  <si>
    <t xml:space="preserve">Home cookings, foodtruck, catering en take-away gespecialiseerd in Thai food.</t>
  </si>
  <si>
    <t>Bonfort</t>
  </si>
  <si>
    <t xml:space="preserve">The Food Gang.fr</t>
  </si>
  <si>
    <t>antoine.bonfort@essec.edu</t>
  </si>
  <si>
    <t>http://www.linkedin.com/in/antoine-bonfort-8a22684b</t>
  </si>
  <si>
    <t>http://www.thefoodgang.fr</t>
  </si>
  <si>
    <t>Solleuz</t>
  </si>
  <si>
    <t xml:space="preserve">Hôtel Marielle Val Thorens</t>
  </si>
  <si>
    <t>gregoire@hotelmarielle.com</t>
  </si>
  <si>
    <t>http://www.linkedin.com/in/gr%c3%a9goire-le-solleuz-328bb1108</t>
  </si>
  <si>
    <t>http://www.hotelmarielle.com</t>
  </si>
  <si>
    <t xml:space="preserve">Les Belleville</t>
  </si>
  <si>
    <t xml:space="preserve">Rue du Soleil, Les Belleville, Auvergne-Rhone-Alpes, France, 73440</t>
  </si>
  <si>
    <t xml:space="preserve">Immergez-vous dans l'élégance de notre hôtel 4 étoiles l'Hôtel Marielle, au cœur de Val Thorens, et vivez une expérience de ski unique et inoubliable.</t>
  </si>
  <si>
    <t>Gowhari</t>
  </si>
  <si>
    <t>rgowhari@vicartem.fr</t>
  </si>
  <si>
    <t>http://www.linkedin.com/in/romain-gowhari-98808911</t>
  </si>
  <si>
    <t>Henri-Francois</t>
  </si>
  <si>
    <t>Tiberi</t>
  </si>
  <si>
    <t xml:space="preserve">PLEY Hotel Paris</t>
  </si>
  <si>
    <t>direction@pley-hotel.com</t>
  </si>
  <si>
    <t>http://www.linkedin.com/in/htiberi</t>
  </si>
  <si>
    <t>http://www.pley-hotel.com</t>
  </si>
  <si>
    <t xml:space="preserve">214 Rue du Faubourg Saint-Honore, Paris, Ile-de-France, France, 75008</t>
  </si>
  <si>
    <t>Piazza</t>
  </si>
  <si>
    <t xml:space="preserve">Le Grand Hôtel Le Touquet</t>
  </si>
  <si>
    <t>nicolas.piazza@legrandhotel-letouquet.com</t>
  </si>
  <si>
    <t>http://www.linkedin.com/in/nicolas-piazza-37520aa1</t>
  </si>
  <si>
    <t>http://www.legrandhotel-letouquet.com</t>
  </si>
  <si>
    <t>Merlimont</t>
  </si>
  <si>
    <t xml:space="preserve">4 Boulevard de la Canche, Le Touquet, Nord-Pas-de-Calais, France, 62520</t>
  </si>
  <si>
    <t>Champrenault</t>
  </si>
  <si>
    <t xml:space="preserve">Domaine du Boisniard</t>
  </si>
  <si>
    <t>e.champrenault@chateau-boisniard.com</t>
  </si>
  <si>
    <t>http://www.linkedin.com/in/edouardchamprenault</t>
  </si>
  <si>
    <t>http://www.chateau-boisniard.com</t>
  </si>
  <si>
    <t xml:space="preserve">Rue du Boisniard, Chanverrie, Pays de la Loire, France, 85500</t>
  </si>
  <si>
    <t xml:space="preserve">Vivez une expérience unique au Château Boisniard. Profitez de notre Spa et de notre restaurant gastronomique au sein de notre hôtel étoilé.</t>
  </si>
  <si>
    <t>Hsuan-Hsuan</t>
  </si>
  <si>
    <t>Chang</t>
  </si>
  <si>
    <t xml:space="preserve">Fusion Flavors Hospitality Group</t>
  </si>
  <si>
    <t>hsuanhsuan@fusionflavorshospitalitygroup.com</t>
  </si>
  <si>
    <t>http://www.linkedin.com/in/hsuanhsuanchang</t>
  </si>
  <si>
    <t>http://www.fusionflavorshospitalitygroup.com</t>
  </si>
  <si>
    <t xml:space="preserve">231 Rue Saint-Honore, Paris, Ile-de-France, France, 75001</t>
  </si>
  <si>
    <t>Fedoroff</t>
  </si>
  <si>
    <t>RÉSIDIS</t>
  </si>
  <si>
    <t>a.fedoroff@residis.fr</t>
  </si>
  <si>
    <t>http://www.linkedin.com/in/alexandre-fedoroff-730a5677</t>
  </si>
  <si>
    <t>http://www.residis.fr</t>
  </si>
  <si>
    <t>Croissy-sur-Seine</t>
  </si>
  <si>
    <t xml:space="preserve">Partenaire de référence de l’hébergement d’urgence, RÉSIDIS s'engage à ce que chaque résident soit logé décemment grâce à un standard commun de prestations de qualité et un environnement sécurisé. Au quotidien, RÉSIDIS accompagne les associations à faire de ses établissements des lieux ouverts sur la ville, véritables tremplins vers l'autonomie !</t>
  </si>
  <si>
    <t>Chloe</t>
  </si>
  <si>
    <t xml:space="preserve">Co-fondatrice et dirigeante</t>
  </si>
  <si>
    <t>Toké</t>
  </si>
  <si>
    <t>c.gauthier@toke.eu</t>
  </si>
  <si>
    <t>http://www.linkedin.com/in/chlo%c3%a9-gauthier-38588288</t>
  </si>
  <si>
    <t>http://www.toke.eu</t>
  </si>
  <si>
    <t xml:space="preserve">1 Avenue Berthelot, Lyon, Auvergne-Rhone-Alpes, France, 69007</t>
  </si>
  <si>
    <t xml:space="preserve">Toké c'est des empanadas aux recettes cuisinées avec des produits bruts de saison issus de fournisseurs locaux et engagés.</t>
  </si>
  <si>
    <t>Branchu</t>
  </si>
  <si>
    <t xml:space="preserve">Directeur général, chef créateur et consultant culinaire</t>
  </si>
  <si>
    <t xml:space="preserve">CHEFS &amp; FLO</t>
  </si>
  <si>
    <t>florentbranchu@chefsandflo.com</t>
  </si>
  <si>
    <t>http://www.linkedin.com/in/chefsandflo-florent-branchu</t>
  </si>
  <si>
    <t>http://www.chefsandflo.com</t>
  </si>
  <si>
    <t xml:space="preserve">26 Rue Camille Desmoulins, Paris, Ile-de-France, France, 75011</t>
  </si>
  <si>
    <t xml:space="preserve">Chefs &amp; Flo est une agence culinaire à Colombes spécialisée dans la création et le conseil stratégique dans le secteur de la restauration.</t>
  </si>
  <si>
    <t>Tressens</t>
  </si>
  <si>
    <t>lionel.tressens@loungeup.com</t>
  </si>
  <si>
    <t>http://www.linkedin.com/in/lioneltressens</t>
  </si>
  <si>
    <t>Keren</t>
  </si>
  <si>
    <t>Afriat</t>
  </si>
  <si>
    <t xml:space="preserve">Groupe Levantine</t>
  </si>
  <si>
    <t>keren@levantine.paris</t>
  </si>
  <si>
    <t>http://www.linkedin.com/in/keren-afriat-5855833b</t>
  </si>
  <si>
    <t>http://www.levantine.paris</t>
  </si>
  <si>
    <t xml:space="preserve">36 Rue Bichat, Paris, Ile-de-France, France, 75010</t>
  </si>
  <si>
    <t xml:space="preserve">Bienvenue sur le site du restaurant Levantine à Paris - Restaurant
Méditerranéen , réservez en ligne gratuitement - Cantine
végétarienne nichée au coe...</t>
  </si>
  <si>
    <t>Teisseire</t>
  </si>
  <si>
    <t xml:space="preserve">President and Co-founder</t>
  </si>
  <si>
    <t>emilie@teisseireconsulting.com</t>
  </si>
  <si>
    <t>http://www.linkedin.com/in/emilie-teisseire-b8b46b4b</t>
  </si>
  <si>
    <t>Gilles</t>
  </si>
  <si>
    <t>Dufour</t>
  </si>
  <si>
    <t xml:space="preserve">CEO &amp; co-founder</t>
  </si>
  <si>
    <t>off&amp;away</t>
  </si>
  <si>
    <t>gilles@offandaway.fr</t>
  </si>
  <si>
    <t>http://www.linkedin.com/in/gilles-dufour-lkd</t>
  </si>
  <si>
    <t>http://www.offandaway.fr</t>
  </si>
  <si>
    <t xml:space="preserve">Profitez du luxe de partir au meilleur moment : réservez deux nuits, on vous offre la troisième !</t>
  </si>
  <si>
    <t>Bui</t>
  </si>
  <si>
    <t>alexandra@pocketcamp.fr</t>
  </si>
  <si>
    <t>http://www.linkedin.com/in/alexandra-bui-01073868</t>
  </si>
  <si>
    <t>Henry</t>
  </si>
  <si>
    <t>Simpson</t>
  </si>
  <si>
    <t xml:space="preserve">CEO SOHOMA INTERNATIONAL</t>
  </si>
  <si>
    <t>SOHOMA</t>
  </si>
  <si>
    <t>henry.simpson@sohomahotels.com</t>
  </si>
  <si>
    <t>http://www.linkedin.com/in/henry-simpson-13190539</t>
  </si>
  <si>
    <t>http://www.sohomahotels.com</t>
  </si>
  <si>
    <t xml:space="preserve">Créée par Jean Solanet, premier président du Groupe Envergure (devenu 
Louvre Hotels), SOHOMA gère depuis plus de 30 ans des hôtels pour le compte 
de différents investisseurs. Composée d'une équipe d'une cinquantaine de 
professionnels de l'hôtellerie, SOHOMA gère à la fois des hôtels franchisés 
(Accor, Louvre Hotels, Marriott, Hilton, IHG) et des hôtels indépendants à 
Paris, dont la marque ORSO.</t>
  </si>
  <si>
    <t>May</t>
  </si>
  <si>
    <t>ericmay@yamfood.fr</t>
  </si>
  <si>
    <t>http://www.linkedin.com/in/eric-may-corp</t>
  </si>
  <si>
    <t>Perus</t>
  </si>
  <si>
    <t>LesBarres.com</t>
  </si>
  <si>
    <t>nperus@lesbarres.com</t>
  </si>
  <si>
    <t>http://www.linkedin.com/in/nicolas-perus-61358522</t>
  </si>
  <si>
    <t>http://www.lesbarres.com</t>
  </si>
  <si>
    <t xml:space="preserve">Les Barrés est la centrale de réservation en ligne N°1 pour réserver ou privatiser gratuitement un bar pour votre soirée</t>
  </si>
  <si>
    <t>Bradbury</t>
  </si>
  <si>
    <t xml:space="preserve">Co-Fondateur, CEO</t>
  </si>
  <si>
    <t xml:space="preserve">Bistro Burger Paris</t>
  </si>
  <si>
    <t>leo@bistroburger.fr</t>
  </si>
  <si>
    <t>http://www.linkedin.com/in/leo-bradbury-2a457222</t>
  </si>
  <si>
    <t>http://www.bistro-burger.fr</t>
  </si>
  <si>
    <t xml:space="preserve">26 Rue Montorgueil, Paris, Ile-de-France, France, 75001</t>
  </si>
  <si>
    <t xml:space="preserve">Restaurants de burgers authentiques à Paris Grands Boulevards, Montparnasse &amp; Montorgeuil. Des recettes savoureuses &amp; originales pour des burgers pas comme les autres.</t>
  </si>
  <si>
    <t>Eymann</t>
  </si>
  <si>
    <t>Showplace</t>
  </si>
  <si>
    <t>patrick@showplace.fr</t>
  </si>
  <si>
    <t>http://www.linkedin.com/in/patrick-eymann</t>
  </si>
  <si>
    <t>http://www.showplacehq.com</t>
  </si>
  <si>
    <t xml:space="preserve">1624 Market Street, Denver, Colorado, United States, 80202</t>
  </si>
  <si>
    <t xml:space="preserve">Design and furnish your property rental. Host smarter.</t>
  </si>
  <si>
    <t>Atlani</t>
  </si>
  <si>
    <t xml:space="preserve">Urban Flat in Paris</t>
  </si>
  <si>
    <t>rudy.a@urbanflatinparis.com</t>
  </si>
  <si>
    <t>http://www.linkedin.com/in/rudy-atlani-51613426b</t>
  </si>
  <si>
    <t>http://www.urbanflatinparis.com</t>
  </si>
  <si>
    <t xml:space="preserve">199 Rue Saint-Denis, Paris, Ile-de-France, France, 75002</t>
  </si>
  <si>
    <t xml:space="preserve">Vous voulez profiter de Paris avec toute votre tribu ? Venez bénéficier de la meilleure sélection d'appartements en plein cœur de Paris. Réservez maintenant avec Urban Flat In Paris.</t>
  </si>
  <si>
    <t>Jeff</t>
  </si>
  <si>
    <t xml:space="preserve">Directeur Général Adjoint chargé du commerce et Marketing</t>
  </si>
  <si>
    <t xml:space="preserve">369° Hôtels &amp; Maisons</t>
  </si>
  <si>
    <t>j.macquet@369degres.com</t>
  </si>
  <si>
    <t>http://www.linkedin.com/in/jeff-macquet-6b615194</t>
  </si>
  <si>
    <t>http://www.369degres.com</t>
  </si>
  <si>
    <t xml:space="preserve">Rejoignez-nous chez 369°Hôtels-Maisons pour une expérience inégalée dans nos hôtels de luxe, vivez l'excellence d'une hôtellerie sincère</t>
  </si>
  <si>
    <t>Rieux</t>
  </si>
  <si>
    <t xml:space="preserve">Founder - CEO - Head of sales</t>
  </si>
  <si>
    <t xml:space="preserve">Driver &amp; Butler</t>
  </si>
  <si>
    <t>sr@driverandbutler.com</t>
  </si>
  <si>
    <t>http://www.linkedin.com/in/samuel-rieux-28996a72</t>
  </si>
  <si>
    <t>http://www.driverandbutler.com</t>
  </si>
  <si>
    <t xml:space="preserve">Discover our Driver &amp; Butler service. Flight tracking, calendar integration, real-time notifications, and much more!</t>
  </si>
  <si>
    <t>Stefanne</t>
  </si>
  <si>
    <t>Giraudet</t>
  </si>
  <si>
    <t xml:space="preserve">Présidente - Directrice Générale</t>
  </si>
  <si>
    <t xml:space="preserve">EMERAUDE HOTELS</t>
  </si>
  <si>
    <t>s.giraudet@hotels-emeraude.com</t>
  </si>
  <si>
    <t>http://www.linkedin.com/in/st%c3%a9fanne-giraudet-97760a5a</t>
  </si>
  <si>
    <t>http://www.hotels-emeraude.com</t>
  </si>
  <si>
    <t xml:space="preserve">7 Rue Sainte-Anne, Paris, Ile-de-France, France, 75001</t>
  </si>
  <si>
    <t xml:space="preserve">EMERAUDE HOTELS is a hotels network which blends modernity, elegance and history. We offer 11 hotels, 3 and 4 star hotels, including 9 in Paris, one in Rennes &amp; Larmor-Plage. Each of our hotels has a unique personality and distinctive style.</t>
  </si>
  <si>
    <t>Sephora</t>
  </si>
  <si>
    <t>Nahon</t>
  </si>
  <si>
    <t>sephora@privededessert.com</t>
  </si>
  <si>
    <t>http://www.linkedin.com/in/sephoranahon</t>
  </si>
  <si>
    <t>Darde</t>
  </si>
  <si>
    <t xml:space="preserve">Directeur général associés Somewhere to Meet</t>
  </si>
  <si>
    <t xml:space="preserve">Somewhere to Meet</t>
  </si>
  <si>
    <t>olivier@somewheretomeet.fr</t>
  </si>
  <si>
    <t>http://www.linkedin.com/in/olivier-dard%c3%a9-633990108</t>
  </si>
  <si>
    <t>http://www.somewheretomeet.fr</t>
  </si>
  <si>
    <t xml:space="preserve">Saint-Herblain, Pays de la Loire, France</t>
  </si>
  <si>
    <t xml:space="preserve">Vous avez un projet d'hôtel ou de résidence ? Somewhere to Meet vous accompagne dans le développement d'un projet d'hébergement unique !</t>
  </si>
  <si>
    <t>Tissot</t>
  </si>
  <si>
    <t>Liife</t>
  </si>
  <si>
    <t>matthieu@liife.fr</t>
  </si>
  <si>
    <t>http://www.linkedin.com/in/matthieu-tissot-28a70b47</t>
  </si>
  <si>
    <t>http://www.liife.fr</t>
  </si>
  <si>
    <t xml:space="preserve">33 Rue des Petits-Carreaux, Paris, Ile-de-France, France, 75002</t>
  </si>
  <si>
    <t>Bokobza</t>
  </si>
  <si>
    <t>Côme</t>
  </si>
  <si>
    <t>david@come-paris.fr</t>
  </si>
  <si>
    <t>http://www.linkedin.com/in/david-bokobza-8ba14a146</t>
  </si>
  <si>
    <t>http://www.come-paris.fr</t>
  </si>
  <si>
    <t xml:space="preserve">90 Rue de la Victoire, Paris, Ile-de-France, France, 75009</t>
  </si>
  <si>
    <t>Bouaziz</t>
  </si>
  <si>
    <t xml:space="preserve">Gruppo Dalmata</t>
  </si>
  <si>
    <t>julien@dalmata.co</t>
  </si>
  <si>
    <t>http://www.linkedin.com/in/julien-bouaziz-03636ab1</t>
  </si>
  <si>
    <t>http://www.dalmata.co</t>
  </si>
  <si>
    <t xml:space="preserve">8 Rue Tiquetonne, Paris, Ile-de-France, France, 75002</t>
  </si>
  <si>
    <t>Jouhaud</t>
  </si>
  <si>
    <t>4rouessous1parapluie</t>
  </si>
  <si>
    <t>romain.jouhaud@4roues-sous-1parapluie.com</t>
  </si>
  <si>
    <t>http://www.linkedin.com/in/romain-jouhaud-bb71678b</t>
  </si>
  <si>
    <t>http://www.4roues-sous-1parapluie.com</t>
  </si>
  <si>
    <t xml:space="preserve">22 Rue Bernard Dimey, Paris, Ile-de-France, France, 75018</t>
  </si>
  <si>
    <t xml:space="preserve">Découvrez nos visites en 2CV ! Vivez une expérience insolite avec nos balades et tours en 2CV à Paris et Bordeaux, winetours, rallyes 2CV, EVJF et locations 2CV.</t>
  </si>
  <si>
    <t>Schorestene</t>
  </si>
  <si>
    <t xml:space="preserve">Co fondatrice du Mazette</t>
  </si>
  <si>
    <t xml:space="preserve">Le Mazette</t>
  </si>
  <si>
    <t>olivia@lemazette.com</t>
  </si>
  <si>
    <t>http://www.linkedin.com/in/olivia-schorestene-74950442</t>
  </si>
  <si>
    <t>http://www.lemazette.com</t>
  </si>
  <si>
    <t xml:space="preserve">19 Port de la Rapee, Paris, Ile-de-France, France, 75012</t>
  </si>
  <si>
    <t>Majercsik</t>
  </si>
  <si>
    <t xml:space="preserve">ABBAYE DES PREMONTRES</t>
  </si>
  <si>
    <t>alexandre.majercsik@abbayepremontres.com</t>
  </si>
  <si>
    <t>http://www.linkedin.com/in/alexandre-majercsik-153b8b20</t>
  </si>
  <si>
    <t>http://www.abbaye-premontres.com</t>
  </si>
  <si>
    <t>Metz</t>
  </si>
  <si>
    <t xml:space="preserve">7 Rue Saint-Martin, Pont-a-Mousson, Lorraine, France, 54700</t>
  </si>
  <si>
    <t xml:space="preserve">Monument historique du 18ème et hôtel 3 étoiles, l'Abbaye des Prémontrés est un véritable trésor architectural situé à Pont-à-Mousson, entre Metz et Nancy.</t>
  </si>
  <si>
    <t>Abbar</t>
  </si>
  <si>
    <t>tom@cafeblondie.com</t>
  </si>
  <si>
    <t>http://www.linkedin.com/in/tom-abbar-9729a2105</t>
  </si>
  <si>
    <t>Colombe</t>
  </si>
  <si>
    <t>Guellerin</t>
  </si>
  <si>
    <t>cguellerin@hotelsenville.com</t>
  </si>
  <si>
    <t>http://www.linkedin.com/in/colombe-guellerin-29634529</t>
  </si>
  <si>
    <t>Domitille</t>
  </si>
  <si>
    <t>Vilain</t>
  </si>
  <si>
    <t xml:space="preserve">Co-fondatrice &amp; COO - Heqtor</t>
  </si>
  <si>
    <t>domitille.vilain@heqtor.fr</t>
  </si>
  <si>
    <t>http://www.linkedin.com/in/domitille-vilain-753b62ab</t>
  </si>
  <si>
    <t>Charrier</t>
  </si>
  <si>
    <t xml:space="preserve">Associé - Co Fondateur</t>
  </si>
  <si>
    <t xml:space="preserve">Le Moulin de Ponceau</t>
  </si>
  <si>
    <t>stephane@restaurant-moulin-ponceau.fr</t>
  </si>
  <si>
    <t>http://www.linkedin.com/in/stephane-wenz-charrier-04b5b457</t>
  </si>
  <si>
    <t>http://www.restaurant-moulin-ponceau.fr</t>
  </si>
  <si>
    <t>Chartres</t>
  </si>
  <si>
    <t xml:space="preserve">21 Rue de la Tannerie, Chartres, Centre, France, 28000</t>
  </si>
  <si>
    <t xml:space="preserve">OFFICIEL | Le Moulin de Ponceau · Restaurant Gastronomique à Chartres ✓ Cuisine Raffinée ✓ Produits Locaux &amp; de Saison ✓ Carte &amp; Menus ✓ Réservez votre Table en Ligne</t>
  </si>
  <si>
    <t>HOMY</t>
  </si>
  <si>
    <t>m.gilbert@scic-homy.fr</t>
  </si>
  <si>
    <t>http://www.linkedin.com/in/marc-gilbert-91598a66</t>
  </si>
  <si>
    <t>http://www.homytlv.com</t>
  </si>
  <si>
    <t>Chateaudun</t>
  </si>
  <si>
    <t xml:space="preserve">30 מלצ'ט, Tel Aviv-Yafo, Tel Aviv District, Israel, 6523417</t>
  </si>
  <si>
    <t>Israel</t>
  </si>
  <si>
    <t>Mengus</t>
  </si>
  <si>
    <t xml:space="preserve">Château et Village Castigno</t>
  </si>
  <si>
    <t>clement@chateaucastigno.com</t>
  </si>
  <si>
    <t>http://www.linkedin.com/in/clement-mengus-64ba2693</t>
  </si>
  <si>
    <t>http://www.villagecastigno.com</t>
  </si>
  <si>
    <t>Narbonne</t>
  </si>
  <si>
    <t xml:space="preserve">9 Avenue de Saint-Chinian, Assignan, Occitanie, France, 34360</t>
  </si>
  <si>
    <t xml:space="preserve">OFFICIEL | Château &amp; Village Castigno Wine Hôtel Spa &amp; Resort à Assignan en Occitanie ✓ Restaurants ✓ Visite de Cave Œnotourisme ✓ Chambres et Spa ✓ Bons Cadeaux</t>
  </si>
  <si>
    <t>Henri</t>
  </si>
  <si>
    <t>Delamarre</t>
  </si>
  <si>
    <t xml:space="preserve">Les Hôtels Kermibien</t>
  </si>
  <si>
    <t>hdelamarre@kermibien.fr</t>
  </si>
  <si>
    <t>http://www.linkedin.com/in/henri-delamarre-9720a753</t>
  </si>
  <si>
    <t>http://www.les-hotels-kermibien.fr</t>
  </si>
  <si>
    <t xml:space="preserve">21T Rue Adolphe Leray, Rennes, Bretagne, France, 35000</t>
  </si>
  <si>
    <t xml:space="preserve">Fondé en 2012, le groupe hôtelier familial Kermibien est aujourd’hui présent dans 5 départements français avec 7 établissements hôteliers.</t>
  </si>
  <si>
    <t>Jean-Luc</t>
  </si>
  <si>
    <t>Chomat</t>
  </si>
  <si>
    <t xml:space="preserve">Relais Christine</t>
  </si>
  <si>
    <t>jlchomat@relais-christine.com</t>
  </si>
  <si>
    <t>http://www.linkedin.com/in/jean-luc-chomat-a2442132</t>
  </si>
  <si>
    <t>http://www.relais-christine.com</t>
  </si>
  <si>
    <t xml:space="preserve">3 Rue Christine, Paris, Ile-de-France, France, 75006</t>
  </si>
  <si>
    <t xml:space="preserve">Welcome to Relais Christine, one of the best luxury hotels in Paris's Left Bank, steps from the Saint-Germain-des-Prés. Official site, best rate guarantee!</t>
  </si>
  <si>
    <t>Jean-Marie</t>
  </si>
  <si>
    <t>Heger</t>
  </si>
  <si>
    <t xml:space="preserve">Camping Cala Gogo</t>
  </si>
  <si>
    <t>camping@calagogo66.fr</t>
  </si>
  <si>
    <t>http://www.linkedin.com/in/jean-marie-heger-6a86181a8</t>
  </si>
  <si>
    <t>http://www.camping-le-calagogo.fr</t>
  </si>
  <si>
    <t>Saint-Cyprien</t>
  </si>
  <si>
    <t xml:space="preserve">Saint-Cyprien, Languedoc-Roussillon, France</t>
  </si>
  <si>
    <t xml:space="preserve">Réservez votre séjour au camping Calagogo, un camping à Saint Cyprien Plage 5 étoiles avec piscine chauffée, et des mobil-homes haut de gamme</t>
  </si>
  <si>
    <t>Delphine</t>
  </si>
  <si>
    <t>Jeanson</t>
  </si>
  <si>
    <t xml:space="preserve">LOKORA résidences étudiantes</t>
  </si>
  <si>
    <t>delphine.jeanson@lokora.fr</t>
  </si>
  <si>
    <t>http://www.linkedin.com/in/delphinejeanson</t>
  </si>
  <si>
    <t>http://www.lokora.fr</t>
  </si>
  <si>
    <t xml:space="preserve">LOKORA, gestionnaire de résidence étudiante propose des logements étudiants allant du studio au T3 partout en France.</t>
  </si>
  <si>
    <t>Geraldine</t>
  </si>
  <si>
    <t>Mostachfi</t>
  </si>
  <si>
    <t xml:space="preserve">Château Gassies</t>
  </si>
  <si>
    <t>geraldine@chateaugassies.com</t>
  </si>
  <si>
    <t>http://www.linkedin.com/in/g%c3%a9raldine-mostachfi-537b7b</t>
  </si>
  <si>
    <t>http://www.chateaugassies.com</t>
  </si>
  <si>
    <t xml:space="preserve">26 Route de Brun, Latresne, Aquitaine, France, 33360</t>
  </si>
  <si>
    <t xml:space="preserve">Château Gassies is a superb unique venue located near Bordeaux train station. Overlooking Bordeaux and its river, Chateau Gassies offers beautiful reception rooms &amp; superb accommodation.</t>
  </si>
  <si>
    <t>Cyril</t>
  </si>
  <si>
    <t>Vauterin</t>
  </si>
  <si>
    <t xml:space="preserve">Président Fondateur</t>
  </si>
  <si>
    <t xml:space="preserve">Monument Café SAS</t>
  </si>
  <si>
    <t>cyril.vauterin@monument-cafe.com</t>
  </si>
  <si>
    <t>http://www.linkedin.com/in/cyril-vauterin-59161a68</t>
  </si>
  <si>
    <t>http://www.monument-cafe.com</t>
  </si>
  <si>
    <t xml:space="preserve">Hauts-de-France, France</t>
  </si>
  <si>
    <t xml:space="preserve">Le restaurant des voyageurs, des familles et des curieux pour découvrir le patrimoine historique et culinaire de lieux d'exception.</t>
  </si>
  <si>
    <t>Basquin</t>
  </si>
  <si>
    <t xml:space="preserve">Mondrian Cannes</t>
  </si>
  <si>
    <t>victor.basquin@mondrianhotels.com</t>
  </si>
  <si>
    <t>http://www.linkedin.com/in/victor-basquin-a2671058</t>
  </si>
  <si>
    <t>http://www.mondrianhotels.com</t>
  </si>
  <si>
    <t>Rochdi</t>
  </si>
  <si>
    <t>Mkhinini</t>
  </si>
  <si>
    <t xml:space="preserve">BRENDY'S CAFE</t>
  </si>
  <si>
    <t>rochdi.mkhinini@brendyscafe.com</t>
  </si>
  <si>
    <t>http://www.linkedin.com/in/rochdi-mkhinini-3529254</t>
  </si>
  <si>
    <t>http://www.brendyscafe.com</t>
  </si>
  <si>
    <t xml:space="preserve">Avenue de la France Libre, Creteil, Ile-de-France, France, 94000</t>
  </si>
  <si>
    <t>Keryan</t>
  </si>
  <si>
    <t>Taouki</t>
  </si>
  <si>
    <t>keryan@saturdayzapp.com</t>
  </si>
  <si>
    <t>http://www.linkedin.com/in/keryan-taouki-ba6057282</t>
  </si>
  <si>
    <t>Bisiaux</t>
  </si>
  <si>
    <t>adrien@lesmaquereaux.com</t>
  </si>
  <si>
    <t>http://www.linkedin.com/in/adrien-bisiaux-94197b5a</t>
  </si>
  <si>
    <t>Amine</t>
  </si>
  <si>
    <t>Haddadi</t>
  </si>
  <si>
    <t xml:space="preserve">Founder - CEO</t>
  </si>
  <si>
    <t>Bartapp</t>
  </si>
  <si>
    <t>amine@bartapp.fr</t>
  </si>
  <si>
    <t>http://www.linkedin.com/in/amine-haddadi-87274664</t>
  </si>
  <si>
    <t>http://www.bartapp.club</t>
  </si>
  <si>
    <t>Menthiere</t>
  </si>
  <si>
    <t xml:space="preserve">Cofounder Fugu Hospitality</t>
  </si>
  <si>
    <t xml:space="preserve">FUGU Hospitality</t>
  </si>
  <si>
    <t>louis@fugustructures.com</t>
  </si>
  <si>
    <t>http://www.linkedin.com/in/louis-de-menthi%c3%a8re-32620451</t>
  </si>
  <si>
    <t>http://www.fuguhospitality.com</t>
  </si>
  <si>
    <t xml:space="preserve">51 Rue Saint-Louis-en-l'Ile, Paris, Ile-de-France, France, 75004</t>
  </si>
  <si>
    <t xml:space="preserve">Hébergements insolites pour hotel et resort, parc de vacance et camping et site de Glamping</t>
  </si>
  <si>
    <t>Berta</t>
  </si>
  <si>
    <t>Canovas</t>
  </si>
  <si>
    <t>Aidoresto</t>
  </si>
  <si>
    <t>berta.canovas@aidoresto.com</t>
  </si>
  <si>
    <t xml:space="preserve">professional training &amp; coaching</t>
  </si>
  <si>
    <t>http://www.linkedin.com/in/berta-canovas</t>
  </si>
  <si>
    <t>http://www.aidoresto.com</t>
  </si>
  <si>
    <t xml:space="preserve">Aidoresto : Organisme de Formation pour les hôtels et les restaurants. Crée par des professionnels du métier. Financements possibles jusqu'à 100%.</t>
  </si>
  <si>
    <t>Anca</t>
  </si>
  <si>
    <t>Onuta</t>
  </si>
  <si>
    <t>Orli</t>
  </si>
  <si>
    <t>anca@orli.ai</t>
  </si>
  <si>
    <t>http://www.linkedin.com/in/ancaonuta</t>
  </si>
  <si>
    <t>http://www.stayorli.com</t>
  </si>
  <si>
    <t xml:space="preserve">7753 Draper Ave, San Diego, California, United States, 92037-4301</t>
  </si>
  <si>
    <t xml:space="preserve">A new kind of boutique hotel in the seaside village of La Jolla. Elevated design, contactless on-demand service, and hyper-local discoveries.</t>
  </si>
  <si>
    <t>Joachim</t>
  </si>
  <si>
    <t>joachim.cohen@thegatecollection.com</t>
  </si>
  <si>
    <t>http://www.linkedin.com/in/joachim-cohen-10719a6b</t>
  </si>
  <si>
    <t>Caraux</t>
  </si>
  <si>
    <t xml:space="preserve">El Rancho</t>
  </si>
  <si>
    <t>lcaraux@elrancho.fr</t>
  </si>
  <si>
    <t>http://www.linkedin.com/in/laurent-caraux-6688378a</t>
  </si>
  <si>
    <t>http://www.elrancho.fr</t>
  </si>
  <si>
    <t xml:space="preserve">6 Rue Albert Einstein, Creteil, Ile-de-France, France, 94000</t>
  </si>
  <si>
    <t xml:space="preserve">This domain name has been registered with Gandi.net. It is currently parked by the owner.</t>
  </si>
  <si>
    <t>Malo</t>
  </si>
  <si>
    <t>Allain</t>
  </si>
  <si>
    <t xml:space="preserve">La Calèche</t>
  </si>
  <si>
    <t>malo@lacaleche.cc</t>
  </si>
  <si>
    <t>http://www.linkedin.com/in/malo-allain-4b9b8b173</t>
  </si>
  <si>
    <t>http://www.lacaleche.cc</t>
  </si>
  <si>
    <t xml:space="preserve">Directeur technique - Co-fondateur</t>
  </si>
  <si>
    <t>stephane.pruneyrac@rochebois.com</t>
  </si>
  <si>
    <t>http://www.linkedin.com/in/ste%cc%81phane-pruneyrac-93022b137</t>
  </si>
  <si>
    <t>Vitrac</t>
  </si>
  <si>
    <t xml:space="preserve">PDG Fondateur</t>
  </si>
  <si>
    <t>p.bournais@terresdefrance.com</t>
  </si>
  <si>
    <t>http://www.linkedin.com/in/pierre-bournais-74975026</t>
  </si>
  <si>
    <t>Enaud</t>
  </si>
  <si>
    <t>marie@lemazette.com</t>
  </si>
  <si>
    <t>http://www.linkedin.com/in/marie-enaud-9905a64a</t>
  </si>
  <si>
    <t>Capoul</t>
  </si>
  <si>
    <t>charles@bonnetable.eu</t>
  </si>
  <si>
    <t>http://www.linkedin.com/in/charles-capoul</t>
  </si>
  <si>
    <t>Reverse</t>
  </si>
  <si>
    <t xml:space="preserve">Café Dose Paris</t>
  </si>
  <si>
    <t>gregoire@dose.paris</t>
  </si>
  <si>
    <t>http://www.linkedin.com/in/gr%c3%a9goire-revers%c3%a9-570549171</t>
  </si>
  <si>
    <t>http://www.dose.paris</t>
  </si>
  <si>
    <t xml:space="preserve">3 Rue Capron, Paris, Ile-de-France, France, 75018</t>
  </si>
  <si>
    <t xml:space="preserve">Vente en ligne de cafés torréfiés (grain / moulu), matériel et coffrets pour les amateurs de café et les professionnels.</t>
  </si>
  <si>
    <t>Margetyal</t>
  </si>
  <si>
    <t xml:space="preserve">La Cachette Friendly Hotel</t>
  </si>
  <si>
    <t>direction@lacachette-lesarcs.com</t>
  </si>
  <si>
    <t>http://www.linkedin.com/in/yann-margetyal-24805063</t>
  </si>
  <si>
    <t>http://www.lacachette-lesarcs.com</t>
  </si>
  <si>
    <t>Bourg-Saint-Maurice</t>
  </si>
  <si>
    <t xml:space="preserve">Découvrez La Cachette, hôtel emblématique de la station de ski des Arcs. Au pied des pistes et au cœur de la station.</t>
  </si>
  <si>
    <t>Laurence</t>
  </si>
  <si>
    <t>Boucard</t>
  </si>
  <si>
    <t xml:space="preserve">Boutique Hotel Bordeaux</t>
  </si>
  <si>
    <t>direction@lebhb.com</t>
  </si>
  <si>
    <t>http://www.linkedin.com/in/laurence-boucard-377b31162</t>
  </si>
  <si>
    <t>http://www.hotelbordeauxcentre.com</t>
  </si>
  <si>
    <t xml:space="preserve">3 Rue Lafaurie de Monbadon, Bordeaux, Nouvelle-Aquitaine, France, 33000</t>
  </si>
  <si>
    <t xml:space="preserve">Hôtel 5*****, Le Boutique Hôtel &amp; Spa : le luxe intimiste dans le centre historique de Bordeaux</t>
  </si>
  <si>
    <t>Catherine</t>
  </si>
  <si>
    <t>Parinaud</t>
  </si>
  <si>
    <t xml:space="preserve">Hôtels Best Western Premier</t>
  </si>
  <si>
    <t>desk@bordeaux-hotel.com</t>
  </si>
  <si>
    <t>http://www.linkedin.com/in/catherine-parinaud-5abb8835</t>
  </si>
  <si>
    <t>http://www.bordeaux-hotel.com</t>
  </si>
  <si>
    <t xml:space="preserve">4 Rue Martignac, Bordeaux, Nouvelle-Aquitaine, France, 33000</t>
  </si>
  <si>
    <t xml:space="preserve">Situé dans le centre historique de Bordeaux, l'hôtel Bordeaux HBEO vous accueille pour un séjour haut de gamme.</t>
  </si>
  <si>
    <t>Prido</t>
  </si>
  <si>
    <t>marie.prido@bds-restaurant.com</t>
  </si>
  <si>
    <t>http://www.linkedin.com/in/marie-prido-2282833b</t>
  </si>
  <si>
    <t>Ilan</t>
  </si>
  <si>
    <t>Nakam</t>
  </si>
  <si>
    <t xml:space="preserve">Co-fondateur et Directeur Financier</t>
  </si>
  <si>
    <t xml:space="preserve">What the Foc ?!</t>
  </si>
  <si>
    <t>ilan.nakam@milfgroup.fr</t>
  </si>
  <si>
    <t>http://www.linkedin.com/in/ilannakam</t>
  </si>
  <si>
    <t>http://www.what-the-foc.fr</t>
  </si>
  <si>
    <t xml:space="preserve">13 Rue Leon Jost, Paris, Ile-de-France, France, 75017</t>
  </si>
  <si>
    <t>Cardi</t>
  </si>
  <si>
    <t xml:space="preserve">Hôtel Don César</t>
  </si>
  <si>
    <t>marieange.cardi@hoteldoncesar.com</t>
  </si>
  <si>
    <t>http://www.linkedin.com/in/marie-ange-cardi-47176810a</t>
  </si>
  <si>
    <t>http://www.hoteldoncesar.com</t>
  </si>
  <si>
    <t xml:space="preserve">Rue Commandant Dominique Quilici, Porto-Vecchio, Corsica, France, 20137</t>
  </si>
  <si>
    <t xml:space="preserve">SITE OFFICIEL | Découvrez toutes les prestations et services de l'Hôtel Spa 5 étoiles Le Don César. Meilleurs prix garantis !</t>
  </si>
  <si>
    <t>Gian</t>
  </si>
  <si>
    <t>Bertilaccio</t>
  </si>
  <si>
    <t xml:space="preserve">Hotel Casadelmar Porto-Vecchio</t>
  </si>
  <si>
    <t>gianluca@casadelmar.fr</t>
  </si>
  <si>
    <t>http://www.linkedin.com/in/gian-luca-bertilaccio</t>
  </si>
  <si>
    <t>http://www.casadelmar.fr</t>
  </si>
  <si>
    <t>Porto-Vecchio</t>
  </si>
  <si>
    <t xml:space="preserve">Route de Palombaggia, Porto-Vecchio, Corsica, France, 20137</t>
  </si>
  <si>
    <t xml:space="preserve">Hôtel de Luxe à Porto-Vecchio près de la plage de Palombaggia. Profitez d'un service 5 étoiles, un restaurant gastronomique 2 étoiles et un magnifique spa bien-être.</t>
  </si>
  <si>
    <t>Barbazza</t>
  </si>
  <si>
    <t>Com-advisor</t>
  </si>
  <si>
    <t>o.barbazza@com-advisor.com</t>
  </si>
  <si>
    <t>http://www.linkedin.com/in/olivier-barbazza-67745891</t>
  </si>
  <si>
    <t>http://www.com-advisor.com</t>
  </si>
  <si>
    <t xml:space="preserve">L'agence de Community Management des restaurants ! Les Community managers de Com-Advisor sont spécialisé dans la restauration.</t>
  </si>
  <si>
    <t>Falco</t>
  </si>
  <si>
    <t xml:space="preserve">COFounder &amp; CEO</t>
  </si>
  <si>
    <t>celine.falco@paris-inn-group.com</t>
  </si>
  <si>
    <t>http://www.linkedin.com/in/c%c3%a9line-falco-86913b5</t>
  </si>
  <si>
    <t>http://www.paris-inn-group.com</t>
  </si>
  <si>
    <t>Vallee</t>
  </si>
  <si>
    <t>Ceo</t>
  </si>
  <si>
    <t xml:space="preserve">Ben's Delights</t>
  </si>
  <si>
    <t>vincent@bensdelights.fr</t>
  </si>
  <si>
    <t>http://www.linkedin.com/in/vincent-vallee-6771526</t>
  </si>
  <si>
    <t>http://www.bensdelights.fr</t>
  </si>
  <si>
    <t xml:space="preserve">Noisy-le-Grand, Ile-de-France, France, 93160</t>
  </si>
  <si>
    <t xml:space="preserve">Founder &amp; CEO | Senior Consultant</t>
  </si>
  <si>
    <t>Hospitali-T</t>
  </si>
  <si>
    <t>adrien@hospitali-t.org</t>
  </si>
  <si>
    <t>http://www.linkedin.com/in/adrien-guillaume-56653b11</t>
  </si>
  <si>
    <t>http://www.hospitali-t.eu</t>
  </si>
  <si>
    <t xml:space="preserve">Hospitali·T agence spécialisée CHR. Conseils stratégiques et opérationnels pour hôteliers et restaurateurs, formation et coaching en tourisme, hôtellerie et restauration.</t>
  </si>
  <si>
    <t>Pastorini</t>
  </si>
  <si>
    <t xml:space="preserve">Directeur général restaurant</t>
  </si>
  <si>
    <t xml:space="preserve">Groupe Satori</t>
  </si>
  <si>
    <t>mpastorini@groupesatori.com</t>
  </si>
  <si>
    <t>http://www.linkedin.com/in/mathieu-pastorini-80501a19a</t>
  </si>
  <si>
    <t>http://www.groupesatori.com</t>
  </si>
  <si>
    <t xml:space="preserve">725 Boulevard du Seminaire N, Saint-Jean-sur-Richelieu, Quebec, Canada, J3B 8H1</t>
  </si>
  <si>
    <t xml:space="preserve">Le Groupe Satori créé des expériences de restauration et d'hôtellerie 
uniques. Le groupe possède les restaurants Siam, le restaurant EAST, le 
Satori Sushi et l'hôtel Saint-Jean-sur-Richelieu.</t>
  </si>
  <si>
    <t>Khoury</t>
  </si>
  <si>
    <t xml:space="preserve">Mala Boom</t>
  </si>
  <si>
    <t>patrick@tontonmala.com</t>
  </si>
  <si>
    <t>http://www.linkedin.com/in/patrick-el-khoury-0b05443b</t>
  </si>
  <si>
    <t>http://www.malaboom.com</t>
  </si>
  <si>
    <t xml:space="preserve">Mala Boom est le premier restaurant de Málà Xiāngguō de Paris. Le Málà 
Xiāngguō est un plat chinois à partager qui se compose selon les goûts 
(viandes, végétariens, vegan) et la tolérance au piment.</t>
  </si>
  <si>
    <t>Ziyad</t>
  </si>
  <si>
    <t>Bachalany</t>
  </si>
  <si>
    <t xml:space="preserve">Associate Founder</t>
  </si>
  <si>
    <t>Libshop</t>
  </si>
  <si>
    <t>z.bachalany@libshop.paris</t>
  </si>
  <si>
    <t>http://www.linkedin.com/in/ziyadbachalany</t>
  </si>
  <si>
    <t>http://www.libshop.fr</t>
  </si>
  <si>
    <t xml:space="preserve">96 Rue Saint-Denis, Paris, Ile-de-France, France, 75001</t>
  </si>
  <si>
    <t xml:space="preserve">Restaurants libanais à Paris proposant une cuisine libanaise saine, artisanale et moderne. Sur place, à emporter et en livraison.</t>
  </si>
  <si>
    <t>Crey</t>
  </si>
  <si>
    <t xml:space="preserve">Founder/ CEO</t>
  </si>
  <si>
    <t>boris.crey@yatta-ramen.com</t>
  </si>
  <si>
    <t>http://www.linkedin.com/in/boris-crey-175aa18</t>
  </si>
  <si>
    <t>Mercury</t>
  </si>
  <si>
    <t xml:space="preserve">KYO SUSHI</t>
  </si>
  <si>
    <t>pymercury@kyosushi.com</t>
  </si>
  <si>
    <t>http://www.linkedin.com/in/pierre-yves-mercury-b197363b</t>
  </si>
  <si>
    <t>http://www.kyosushi.com</t>
  </si>
  <si>
    <t xml:space="preserve">Kyo Sushi, cuisine japonaise authentique : découvrez la qualité artisanale des Sushi, Sashimi, Yakitori, Tempura préparés nos Chefs !</t>
  </si>
  <si>
    <t>Duriavig</t>
  </si>
  <si>
    <t xml:space="preserve">La Source</t>
  </si>
  <si>
    <t>serge@lasource.store</t>
  </si>
  <si>
    <t>http://www.linkedin.com/in/serge-duriavig-1b6a7057</t>
  </si>
  <si>
    <t>http://www.lasource.store</t>
  </si>
  <si>
    <t xml:space="preserve">17 Rue Delandine, Lyon, Auvergne-Rhone-Alpes, France, 69002</t>
  </si>
  <si>
    <t xml:space="preserve">La Source c'est un Restaurant, un Bar à cocktails et des Terrasses en pleins coeur de Lyon et totalement privatisable. Découvrez La Source !</t>
  </si>
  <si>
    <t>Hurst</t>
  </si>
  <si>
    <t>martin@thebordeauxconcierge.com</t>
  </si>
  <si>
    <t>http://www.linkedin.com/in/martin-hurst-b411663</t>
  </si>
  <si>
    <t>Laherrere</t>
  </si>
  <si>
    <t xml:space="preserve">CEO and Founder RMD Technologies</t>
  </si>
  <si>
    <t>RMD</t>
  </si>
  <si>
    <t>jean.laherrere@rmd-technologies.com</t>
  </si>
  <si>
    <t>http://www.linkedin.com/in/jean-laherrere</t>
  </si>
  <si>
    <t>http://www.rmd-technologies.com</t>
  </si>
  <si>
    <t xml:space="preserve">17 Rue Jean Perrin, La Rochelle, Poitou-Charentes, France, 17000</t>
  </si>
  <si>
    <t>Blayney</t>
  </si>
  <si>
    <t>anselme@tenbelles.com</t>
  </si>
  <si>
    <t>http://www.linkedin.com/in/anselme-blayney-9a0bb210</t>
  </si>
  <si>
    <t>Mantelier</t>
  </si>
  <si>
    <t xml:space="preserve">LMH CHALETS &amp; SUITES</t>
  </si>
  <si>
    <t>laure.mantelier@lmh-chalet.com</t>
  </si>
  <si>
    <t>http://www.linkedin.com/in/laure-mantelier-87a0798a</t>
  </si>
  <si>
    <t>http://www.lmh-chalets.com</t>
  </si>
  <si>
    <t xml:space="preserve">Au pied des pistes, découvrez les appartements ALPA à louer dans les résidences des Balcons Etoilés ou Les terrasses de la Vanoise à Champagny-en-Vanoise : La Plagne. Idéal vacances au ski !</t>
  </si>
  <si>
    <t>Octobre</t>
  </si>
  <si>
    <t xml:space="preserve">LE PETIT CAMBODGE</t>
  </si>
  <si>
    <t>simon.octobre@lepetitcambodge.fr</t>
  </si>
  <si>
    <t>http://www.linkedin.com/in/simon-octobre-932925217</t>
  </si>
  <si>
    <t>http://www.lepetitcambodge.fr</t>
  </si>
  <si>
    <t xml:space="preserve">20 Rue Alibert, Paris, Ile-de-France, France, 75010</t>
  </si>
  <si>
    <t xml:space="preserve">Restaurants cambodgiens à Paris, service sur place, à emporter ou en livraison.</t>
  </si>
  <si>
    <t>Ramy</t>
  </si>
  <si>
    <t>Bouabid</t>
  </si>
  <si>
    <t xml:space="preserve">Obrigado Rodizio</t>
  </si>
  <si>
    <t>ramy@obrigadorodizio.com</t>
  </si>
  <si>
    <t>http://www.linkedin.com/in/ramy-bouabid-b0b28610b</t>
  </si>
  <si>
    <t>http://www.obrigadorodizio.com</t>
  </si>
  <si>
    <t xml:space="preserve">Villejuif, Ile-de-France, France</t>
  </si>
  <si>
    <t xml:space="preserve">Un voyage culinaire au Brésil. Découvrez vos restaurants brésiliens à Villejuif et à Rosny-sous-Bois avec des formules à volontés.</t>
  </si>
  <si>
    <t>Giral</t>
  </si>
  <si>
    <t xml:space="preserve">Fondateur et associé</t>
  </si>
  <si>
    <t>Qualité&amp;Co</t>
  </si>
  <si>
    <t>henry.giral@qualiteandco.com</t>
  </si>
  <si>
    <t>http://www.linkedin.com/in/henry-giral-a88510121</t>
  </si>
  <si>
    <t>http://www.qualiteandco.com</t>
  </si>
  <si>
    <t xml:space="preserve">7 Rue du Marche Saint-Honore, Paris, Ile-de-France, France, 75001</t>
  </si>
  <si>
    <t xml:space="preserve">Restauration d'entreprise haut de gamme éco-responsable &amp; service traiteur : recettes savoureuses, produits de saison, bien manger, …</t>
  </si>
  <si>
    <t>Remi</t>
  </si>
  <si>
    <t>Boglio</t>
  </si>
  <si>
    <t>BOHĒBON</t>
  </si>
  <si>
    <t>remi@bohebon.fr</t>
  </si>
  <si>
    <t>http://www.linkedin.com/in/r%c3%a9mi-boglio-%f0%9f%8f%9d%ef%b8%8f-966276208</t>
  </si>
  <si>
    <t>http://www.bohebon.fr</t>
  </si>
  <si>
    <t xml:space="preserve">Aloha ! ☀️ Nous préparons avec amour des poke bowls à partir de produits frais triés sur le volet. De quoi manger ✔️vite ✔️Sain ✔️Gourmand</t>
  </si>
  <si>
    <t>Bremard</t>
  </si>
  <si>
    <t>thomas@ripayon.com</t>
  </si>
  <si>
    <t>http://www.linkedin.com/in/thomas-br%c3%a9mard-48827666</t>
  </si>
  <si>
    <t>Moliere</t>
  </si>
  <si>
    <t>celine@emiliescookies.com</t>
  </si>
  <si>
    <t>http://www.linkedin.com/in/celine-moliere-853967b6</t>
  </si>
  <si>
    <t>Fontaine</t>
  </si>
  <si>
    <t xml:space="preserve">Fondatrice et Directrice générale</t>
  </si>
  <si>
    <t xml:space="preserve">Ker Juliette</t>
  </si>
  <si>
    <t>jfontaine@kerjuliette.fr</t>
  </si>
  <si>
    <t>http://www.linkedin.com/in/juliette-fontaine-66928a8b</t>
  </si>
  <si>
    <t>http://www.kerjuliette.fr</t>
  </si>
  <si>
    <t>Dylan</t>
  </si>
  <si>
    <t>Ohana</t>
  </si>
  <si>
    <t xml:space="preserve">Home Suite Home</t>
  </si>
  <si>
    <t>d.ohana@homesuitehome.fr</t>
  </si>
  <si>
    <t>http://www.linkedin.com/in/dylanohana</t>
  </si>
  <si>
    <t>http://www.homesuitehome.fr</t>
  </si>
  <si>
    <t xml:space="preserve">81 Rue d'Amsterdam, Paris, Ile-de-France, France, 75008</t>
  </si>
  <si>
    <t xml:space="preserve">Découvrez notre service de conciergerie Airbnb en France. Gestion complète de vos locations courte durée, maximisez vos revenus sans effort avec Home Suite Home.</t>
  </si>
  <si>
    <t>Alvina</t>
  </si>
  <si>
    <t>Renghen</t>
  </si>
  <si>
    <t>Bollynan</t>
  </si>
  <si>
    <t>a.renghen@bollynan.com</t>
  </si>
  <si>
    <t>http://www.linkedin.com/in/alvina-renghen-76026a247</t>
  </si>
  <si>
    <t>http://www.bollynan.com</t>
  </si>
  <si>
    <t xml:space="preserve">Bollynan Streetfood Indienne offre la meilleure street food indienne à Paris, avec des emplacements à Châtelet (Paris 2), Grands Boulevards (Paris 9), et La Villette (Paris 19). Profitez d'un cadre chaleureux et convivial tout en savourant nos délicieux naans préparés à la minute, notre fameux butter chicken, des bières indiennes et les meilleurs lassis gourmands de Paris. Nous proposons également des options véganes et végétariennes, le tout à des prix raisonnables.</t>
  </si>
  <si>
    <t>Larrouy</t>
  </si>
  <si>
    <t xml:space="preserve">Hôtel Le Six &amp; Spa ****</t>
  </si>
  <si>
    <t>direction@hotel-le-six.com</t>
  </si>
  <si>
    <t>http://www.linkedin.com/in/pauline-larrouy-4241516b</t>
  </si>
  <si>
    <t>http://www.hotel-le-six.com</t>
  </si>
  <si>
    <t xml:space="preserve">14 Rue Stanislas, Paris, Ile-de-France, France, 75006</t>
  </si>
  <si>
    <t xml:space="preserve">L'Hôtel Le Six, un Hôtel 4 étoiles dans le 6ème arrondissement, vous souhaite la bienvenue sur son Site Officiel. Bénéficiez des meilleurs tarifs.</t>
  </si>
  <si>
    <t>Reverdy</t>
  </si>
  <si>
    <t xml:space="preserve">Mercure Bordeaux Château Chartrons</t>
  </si>
  <si>
    <t>b.reverdy@cyc3.fr</t>
  </si>
  <si>
    <t>http://www.linkedin.com/in/benjamin-reverdy-517b4460</t>
  </si>
  <si>
    <t>http://www.cyc3.fr</t>
  </si>
  <si>
    <t xml:space="preserve">81 Cours Saint-Louis, Bordeaux, Nouvelle-Aquitaine, France, 33300</t>
  </si>
  <si>
    <t>Villebrun</t>
  </si>
  <si>
    <t xml:space="preserve">LE YULE 5* HOTEL &amp; SPA</t>
  </si>
  <si>
    <t>lvillebrun@leyule.fr</t>
  </si>
  <si>
    <t>http://www.linkedin.com/in/lucie-villebrun-4907101a</t>
  </si>
  <si>
    <t>http://www.leyule.fr</t>
  </si>
  <si>
    <t xml:space="preserve">Rue du Front de Neige, Tignes, Auvergne-Rhone-Alpes, France, 73320</t>
  </si>
  <si>
    <t xml:space="preserve">La neige est là... Toute l'équipe du Yule aura le plaisir de vous faire vivre un moment inoubliable dans notre Maison de Montagne 5*</t>
  </si>
  <si>
    <t>Bois</t>
  </si>
  <si>
    <t>adrien@lemirage-hotel.com</t>
  </si>
  <si>
    <t>http://www.linkedin.com/in/adrien-bois-14290a139</t>
  </si>
  <si>
    <t>Bormes-les-Mimosas</t>
  </si>
  <si>
    <t>Ludrick</t>
  </si>
  <si>
    <t>Lacroix</t>
  </si>
  <si>
    <t xml:space="preserve">Écluse Paris</t>
  </si>
  <si>
    <t>ludrick.l@lecluse.paris</t>
  </si>
  <si>
    <t>http://www.linkedin.com/in/ludrick-lacroix-6a6200b3</t>
  </si>
  <si>
    <t>http://www.lecluse.paris</t>
  </si>
  <si>
    <t xml:space="preserve">15 Place de la Madeleine, Paris, Ile-de-France, France, 75008</t>
  </si>
  <si>
    <t>Vauvy</t>
  </si>
  <si>
    <t>jean@vauvy.fr</t>
  </si>
  <si>
    <t>http://www.linkedin.com/in/jean-vauvy-05565089</t>
  </si>
  <si>
    <t>http://www.vauvy.fr</t>
  </si>
  <si>
    <t xml:space="preserve">33 Rue d'Aguesseau, Boulogne-Billancourt, Ile-de-France, France, 92100</t>
  </si>
  <si>
    <t xml:space="preserve">Traiteur événementiel, Vauvy propose une cuisine faite maison avec des produits de qualité et vous accompagne pour tous vos évènements.</t>
  </si>
  <si>
    <t>Gwenaelle</t>
  </si>
  <si>
    <t>Leveque</t>
  </si>
  <si>
    <t xml:space="preserve">Domaine de Cicé-Blossac</t>
  </si>
  <si>
    <t>gleveque@domainedecice.com</t>
  </si>
  <si>
    <t>http://www.linkedin.com/in/gwenaelle-leveque-055901b1</t>
  </si>
  <si>
    <t>http://www.domainedecice.com</t>
  </si>
  <si>
    <t>Bruz</t>
  </si>
  <si>
    <t xml:space="preserve">Avenue de la Chaise, Bruz, Brittany, France, 35170</t>
  </si>
  <si>
    <t>Laurette</t>
  </si>
  <si>
    <t>Lapeine</t>
  </si>
  <si>
    <t>MASSANE</t>
  </si>
  <si>
    <t>l.lapeine@massane.com</t>
  </si>
  <si>
    <t>http://www.linkedin.com/in/laurette-lapeine-14001819a</t>
  </si>
  <si>
    <t>http://www.horizon-resort.com</t>
  </si>
  <si>
    <t xml:space="preserve">Domaine de Massane, Baillargues, Occitanie, France, 34670</t>
  </si>
  <si>
    <t xml:space="preserve">OFFICIEL | Horizon Resort - Massane · Hôtel, Spa, Golf à Montpellier ✓ Découvrez l’Ensemble de nos Prestations ✓ Réservez votre Séjour en Ligne au Meilleur Tarif Garanti</t>
  </si>
  <si>
    <t>Exposito</t>
  </si>
  <si>
    <t xml:space="preserve">Cordial café-Restaurant</t>
  </si>
  <si>
    <t>christophe@cordial-restaurant.com</t>
  </si>
  <si>
    <t>http://www.linkedin.com/in/christophe-exposito-0a58981b5</t>
  </si>
  <si>
    <t>http://www.cordial-restaurant.com</t>
  </si>
  <si>
    <t xml:space="preserve">33 Rue Pastorelli, Nice, Provence-Alpes-Cote d'Azur, France, 06000</t>
  </si>
  <si>
    <t>Scorbiac</t>
  </si>
  <si>
    <t xml:space="preserve">Canard Street</t>
  </si>
  <si>
    <t>gregoire@canard-street.fr</t>
  </si>
  <si>
    <t>http://www.linkedin.com/in/gr%c3%a9goire-de-scorbiac-b1a67084</t>
  </si>
  <si>
    <t>http://www.canard-street.fr</t>
  </si>
  <si>
    <t xml:space="preserve">62 Rue de Bethune, Lille, Hauts-de-France, France, 59800</t>
  </si>
  <si>
    <t>Giraud</t>
  </si>
  <si>
    <t xml:space="preserve">VPI Agency</t>
  </si>
  <si>
    <t>vgiraud@vpitravel.com</t>
  </si>
  <si>
    <t>http://www.linkedin.com/in/vincent-giraud-52004719</t>
  </si>
  <si>
    <t>http://www.vpi-agency.com</t>
  </si>
  <si>
    <t xml:space="preserve">73 Rue Antoine Arnaud, Villefranche-sur-Saone, Auvergne-Rhone-Alpes, France, 69400</t>
  </si>
  <si>
    <t>Boegly</t>
  </si>
  <si>
    <t xml:space="preserve">Co-fondateur et associé</t>
  </si>
  <si>
    <t xml:space="preserve">Le Caribéen</t>
  </si>
  <si>
    <t>gregory.b@le-caribeen.fr</t>
  </si>
  <si>
    <t>http://www.linkedin.com/in/gregory-boegly-b47436174</t>
  </si>
  <si>
    <t>http://www.le-caribeen.fr</t>
  </si>
  <si>
    <t xml:space="preserve">3 Avenue du Marechal de Lattre de Tassigny, Cachan, Ile-de-France, France, 94230</t>
  </si>
  <si>
    <t>Gibausset</t>
  </si>
  <si>
    <t xml:space="preserve">Managing Director &amp; cofounder</t>
  </si>
  <si>
    <t>Quotelo</t>
  </si>
  <si>
    <t>tristan.gibausset@quotelo.fr</t>
  </si>
  <si>
    <t>http://www.linkedin.com/in/tgibausset</t>
  </si>
  <si>
    <t>http://www.quotelo.io</t>
  </si>
  <si>
    <t xml:space="preserve">Quotelo est la solution MICE et GROUPE qui cumule un Moteur de Réservation, une CRM Evènementielle et un PMS MICE et Groupe</t>
  </si>
  <si>
    <t>Hesnard</t>
  </si>
  <si>
    <t xml:space="preserve">Groupe Kolibri</t>
  </si>
  <si>
    <t>bertrand.hesnard@groupe-kolibri.com</t>
  </si>
  <si>
    <t>http://www.linkedin.com/in/bertrand-hesnard-27569a34</t>
  </si>
  <si>
    <t>http://www.groupe-kolibri.com</t>
  </si>
  <si>
    <t>Lorient</t>
  </si>
  <si>
    <t xml:space="preserve">Lorient, Bretagne, France, 56100</t>
  </si>
  <si>
    <t>Riad</t>
  </si>
  <si>
    <t>Boucetta</t>
  </si>
  <si>
    <t xml:space="preserve">JADE HOSPITALITY GROUP</t>
  </si>
  <si>
    <t>riad.boucetta@jadehospitalitygroup.com</t>
  </si>
  <si>
    <t>http://www.linkedin.com/in/riad-boucetta-8b204589</t>
  </si>
  <si>
    <t>http://www.jadehospitalitygroup.com</t>
  </si>
  <si>
    <t>Peyres</t>
  </si>
  <si>
    <t xml:space="preserve">Co-fondatrice et associée marketing &amp; communication</t>
  </si>
  <si>
    <t xml:space="preserve">EVI HOB</t>
  </si>
  <si>
    <t>sophie.peyres@evihob.com</t>
  </si>
  <si>
    <t>http://www.linkedin.com/in/sophie-peyres-b8904a32</t>
  </si>
  <si>
    <t>http://www.evihob.com</t>
  </si>
  <si>
    <t xml:space="preserve">153 Route de Vourles, St-Genis-Laval, Auvergne-Rhone-Alpes, France, 69230</t>
  </si>
  <si>
    <t xml:space="preserve">Nous vous accueillons dans nos hobs dans différentes régions de France, pour passer des moments conviviaux et in'hobliables ! Réservez vite votre séjour.</t>
  </si>
  <si>
    <t>Lucarelli</t>
  </si>
  <si>
    <t xml:space="preserve">LCS Propreté</t>
  </si>
  <si>
    <t>christophe.lucarelli@lcs-proprete.fr</t>
  </si>
  <si>
    <t>http://www.linkedin.com/in/christophe-lucarelli-38a85957</t>
  </si>
  <si>
    <t>http://www.luxurycleaningservices.fr</t>
  </si>
  <si>
    <t xml:space="preserve">38 Avenue du Fond de Vaux, Saint-Ouen-l'Aumone, Ile-de-France, France, 95310</t>
  </si>
  <si>
    <t>Ahlame</t>
  </si>
  <si>
    <t>Buisard</t>
  </si>
  <si>
    <t xml:space="preserve">Directeur Général Délégué</t>
  </si>
  <si>
    <t xml:space="preserve">Groupe Bernard Loiseau</t>
  </si>
  <si>
    <t>ahlame.buisard@bernard-loiseau.com</t>
  </si>
  <si>
    <t>http://www.linkedin.com/in/ahlame-buisard-9a101815</t>
  </si>
  <si>
    <t>http://www.bernard-loiseau.com</t>
  </si>
  <si>
    <t xml:space="preserve">2 Rue d'Argentine, Saulieu, Bourgogne-Franche-Comte, France, 21210</t>
  </si>
  <si>
    <t>Ramzi</t>
  </si>
  <si>
    <t>Saade</t>
  </si>
  <si>
    <t>ATICA</t>
  </si>
  <si>
    <t>ramzi.saade@aticaparis.com</t>
  </si>
  <si>
    <t>http://www.linkedin.com/in/ramzi-saade-66818868</t>
  </si>
  <si>
    <t>http://www.aticaparis.com</t>
  </si>
  <si>
    <t xml:space="preserve">Atica est un voyage à travers le temps et l’espace à la découverte des cultures. Le restaurant Atica est une expérience culinaire à Paris.</t>
  </si>
  <si>
    <t>Treppoz</t>
  </si>
  <si>
    <t xml:space="preserve">Co founder and Managing Director</t>
  </si>
  <si>
    <t>HOMANIE</t>
  </si>
  <si>
    <t>marie@homanie.com</t>
  </si>
  <si>
    <t>http://www.linkedin.com/in/marietreppoz</t>
  </si>
  <si>
    <t>http://www.homanie.com</t>
  </si>
  <si>
    <t xml:space="preserve">26 Rue de Bourgogne, Paris, Ile-de-France, France, 75007</t>
  </si>
  <si>
    <t xml:space="preserve">Dans le sud de la France, dans les Alpes, en Île-de-France, en Espagne, 
Italie ou au Portugal, louez une maison de rêve avec chef et service. 
Contactez-nous !</t>
  </si>
  <si>
    <t>Amara</t>
  </si>
  <si>
    <t>Amaouz</t>
  </si>
  <si>
    <t>NAMLATIC</t>
  </si>
  <si>
    <t>aamara@namlatic.com</t>
  </si>
  <si>
    <t>http://www.linkedin.com/in/amara-amaouz</t>
  </si>
  <si>
    <t>http://www.namlatic.com</t>
  </si>
  <si>
    <t xml:space="preserve">Algiers, Algiers, Algeria</t>
  </si>
  <si>
    <t>Algeria</t>
  </si>
  <si>
    <t>Jean-Etienne</t>
  </si>
  <si>
    <t xml:space="preserve">1 Villas</t>
  </si>
  <si>
    <t>etienne@1villas.com</t>
  </si>
  <si>
    <t>http://www.linkedin.com/in/jedurand</t>
  </si>
  <si>
    <t>http://www.1villas.com</t>
  </si>
  <si>
    <t xml:space="preserve">55 A1, London, England, United Kingdom, EC1A 4</t>
  </si>
  <si>
    <t>Roussellet</t>
  </si>
  <si>
    <t xml:space="preserve">Directeur Général / CEO</t>
  </si>
  <si>
    <t xml:space="preserve">Resonance Golf Collection</t>
  </si>
  <si>
    <t>sebastien.roussellet@huttopia.com</t>
  </si>
  <si>
    <t>http://www.linkedin.com/in/s%c3%a9bastien-roussellet-8aa6567</t>
  </si>
  <si>
    <t>http://www.resonance.golf</t>
  </si>
  <si>
    <t xml:space="preserve">4 Rue Lamennais, Paris, Ile-de-France, France, 75008</t>
  </si>
  <si>
    <t xml:space="preserve">Découvrez nos 33 golfs et 16 hôtels de charme en Europe dans 8 destinations. Bénéficiez des avantages membres avec des réductions sur les green fees et séjours.</t>
  </si>
  <si>
    <t>Oukaci</t>
  </si>
  <si>
    <t>Nassim</t>
  </si>
  <si>
    <t>Honest-Inn</t>
  </si>
  <si>
    <t>nassim@honest-inn.com</t>
  </si>
  <si>
    <t>http://www.linkedin.com/in/oukaci-nassim-1201ab198</t>
  </si>
  <si>
    <t>http://www.honest-inn.com</t>
  </si>
  <si>
    <t>Saint-Maur-des-Fosses</t>
  </si>
  <si>
    <t xml:space="preserve">31B Rue des Longs Pres, Boulogne-Billancourt, Ile-de-France, France, 92100</t>
  </si>
  <si>
    <t>Desbordes</t>
  </si>
  <si>
    <t xml:space="preserve">FRAGRANCE CULINAIRE</t>
  </si>
  <si>
    <t>francois@fg-culinaire.com</t>
  </si>
  <si>
    <t>http://www.linkedin.com/in/fran%c3%a7ois-desbordes-686704244</t>
  </si>
  <si>
    <t>http://www.fgculinaire.fr</t>
  </si>
  <si>
    <t>Valbonne</t>
  </si>
  <si>
    <t xml:space="preserve">Valbonne, Provence-Alpes-Cote d'Azur, France, 06560</t>
  </si>
  <si>
    <t xml:space="preserve">Notre table d'hôtes vous accueille en famille ou entre amis pour vous proposer sa cuisine maison inspirée par le marché du jour. Profitez également d’un service traiteur.</t>
  </si>
  <si>
    <t>Rostagnat</t>
  </si>
  <si>
    <t xml:space="preserve">Beauvallon Collection</t>
  </si>
  <si>
    <t>arostagnat@beauvallon.com</t>
  </si>
  <si>
    <t>http://www.linkedin.com/in/amaury-rostagnat</t>
  </si>
  <si>
    <t>http://www.beauvallon.com</t>
  </si>
  <si>
    <t xml:space="preserve">Beauvallon Collection développe une gamme d’hôtels au cœur des plus belles destinations touristiques en France et en Europe du Sud</t>
  </si>
  <si>
    <t>Petiton</t>
  </si>
  <si>
    <t xml:space="preserve">HOTEL LA PISCINE</t>
  </si>
  <si>
    <t>benjamin@hotel-la-piscine.com</t>
  </si>
  <si>
    <t>http://www.linkedin.com/in/benjamin-petiton-a54936a8</t>
  </si>
  <si>
    <t>http://www.hotel-la-piscine.com</t>
  </si>
  <si>
    <t xml:space="preserve">Avenue du Levant, Le Lavandou, Provence-Alpes-Cote d'Azur, France, 83980</t>
  </si>
  <si>
    <t>Scognamiglio</t>
  </si>
  <si>
    <t xml:space="preserve">Le Grand Bé **** Hôtel Restaurant Spa Golden Tulip</t>
  </si>
  <si>
    <t>direction@legrandbe.com</t>
  </si>
  <si>
    <t>http://www.linkedin.com/in/marc-scognamiglio-67300715</t>
  </si>
  <si>
    <t>http://www.legrandbe.com</t>
  </si>
  <si>
    <t>Dinard</t>
  </si>
  <si>
    <t xml:space="preserve">St-Malo, Brittany, France</t>
  </si>
  <si>
    <t xml:space="preserve">SITE OFFICIEL | Poussez les portes d’un hôtel de luxe atypique en plein centre de la cité corsaire de Saint Malo : Le Grand Bé.</t>
  </si>
  <si>
    <t>Rosner</t>
  </si>
  <si>
    <t xml:space="preserve">Président directeur général groupe</t>
  </si>
  <si>
    <t xml:space="preserve">Peppe Officiel</t>
  </si>
  <si>
    <t>jordan@rosnergroup.com</t>
  </si>
  <si>
    <t>http://www.linkedin.com/in/jordan-rosner-2576b373</t>
  </si>
  <si>
    <t>http://www.peppeparis.fr</t>
  </si>
  <si>
    <t xml:space="preserve">61 Rue des Martyrs, Paris, Ile-de-France, France, 75009</t>
  </si>
  <si>
    <t xml:space="preserve">Bienvenue sur le site du restaurant PEPPE PIZZERIA à Paris -
Restaurant Traditionnel, réservez en ligne gratuitement - La
meilleure pizza napolitaine du mo...</t>
  </si>
  <si>
    <t>Gardinier</t>
  </si>
  <si>
    <t>thierry.gardinier@gardinier.com</t>
  </si>
  <si>
    <t>http://www.linkedin.com/in/thierry-gardinier-6964662a9</t>
  </si>
  <si>
    <t>http://www.gardinier.com</t>
  </si>
  <si>
    <t xml:space="preserve">7 Rue Lamennais, Paris, Ile-de-France, France, 75008</t>
  </si>
  <si>
    <t xml:space="preserve">Le groupe Gardinier occupe aujourd’hui une place centrale dans le secteur de l’art de recevoir. Implanté en France, en Angleterre, aux Etats-Unis, au Liban et au Japon ; il est dirigé par Thierry, Stéphane et Laurent, les trois frères de la troisième génération.</t>
  </si>
  <si>
    <t>Larrive</t>
  </si>
  <si>
    <t xml:space="preserve">CASTELLET HOSPITALITY</t>
  </si>
  <si>
    <t>gilarrive@castellet-hospitality.com</t>
  </si>
  <si>
    <t>http://www.linkedin.com/in/gilles-larrive-6729741</t>
  </si>
  <si>
    <t>http://www.castellet-hospitality.com</t>
  </si>
  <si>
    <t xml:space="preserve">Marseille Avenue, Marseille, Provence-Alpes-Cote d'Azur, France, 14224</t>
  </si>
  <si>
    <t>Claret</t>
  </si>
  <si>
    <t xml:space="preserve">Directeur Général Associé</t>
  </si>
  <si>
    <t xml:space="preserve">H8 Collection</t>
  </si>
  <si>
    <t>oclaret@h8-collection.com</t>
  </si>
  <si>
    <t>http://www.linkedin.com/in/olivier-claret-0378b57</t>
  </si>
  <si>
    <t>http://www.h8-collection.com</t>
  </si>
  <si>
    <t xml:space="preserve">162 Boulevard Haussmann, Paris, Ile-de-France, France, 75008</t>
  </si>
  <si>
    <t xml:space="preserve">H8 Collection est un groupe hôtelier de luxe qui se concentre sur des lieux rares mettant en valeur l’exception française.</t>
  </si>
  <si>
    <t>Donat</t>
  </si>
  <si>
    <t>Valotel</t>
  </si>
  <si>
    <t>pascal.donat@valotel.com</t>
  </si>
  <si>
    <t>http://www.linkedin.com/in/pascal-donat-1148a127</t>
  </si>
  <si>
    <t>http://www.valotel.com</t>
  </si>
  <si>
    <t xml:space="preserve">Valence, Rhone-Alpes, France</t>
  </si>
  <si>
    <t>Cordier</t>
  </si>
  <si>
    <t>WiiCmenu</t>
  </si>
  <si>
    <t>patrick.cordier@wiicmenu.com</t>
  </si>
  <si>
    <t>http://www.linkedin.com/in/patrick-cordier</t>
  </si>
  <si>
    <t>http://www.wiicmenu.com</t>
  </si>
  <si>
    <t xml:space="preserve">4 Allee Chanteclair, Ivry-sur-Seine, Ile-de-France, France, 94200</t>
  </si>
  <si>
    <t>Zejourney</t>
  </si>
  <si>
    <t>kevin@zejourney.com</t>
  </si>
  <si>
    <t>http://www.linkedin.com/in/kevin-d-700855103</t>
  </si>
  <si>
    <t>http://www.zejourney.com</t>
  </si>
  <si>
    <t>Eugenie</t>
  </si>
  <si>
    <t>Verdaguer</t>
  </si>
  <si>
    <t xml:space="preserve">Camping Amfora</t>
  </si>
  <si>
    <t>eugenieverdaguer@campingamfora.com</t>
  </si>
  <si>
    <t>http://www.linkedin.com/in/eugenie-verdaguer-a951bb24a</t>
  </si>
  <si>
    <t>http://www.campingamfora.com</t>
  </si>
  <si>
    <t>Ceret</t>
  </si>
  <si>
    <t xml:space="preserve">1 Carrer Josep Tarradellas i Joan, Catalonia, Spain, 17470</t>
  </si>
  <si>
    <t xml:space="preserve">El nostre càmping Amfora us acull a la Costa Brava, a Sant Pere Pescador, a la magnífica badia de Roses. Gaudiu d'accés directe a la platja i d'un parc aquàtic de somni. Gaudiu d'accés directe a la platja i d'un parc aquàtic de somni.</t>
  </si>
  <si>
    <t>Lau</t>
  </si>
  <si>
    <t xml:space="preserve">VENG HOUR</t>
  </si>
  <si>
    <t>stephane.lau@venghour.com</t>
  </si>
  <si>
    <t>http://www.linkedin.com/in/stephane-lau-a4a94211</t>
  </si>
  <si>
    <t>http://www.venghour.com</t>
  </si>
  <si>
    <t xml:space="preserve">53 Rue de Neuilly, Nanterre, Ile-de-France, France, 92000</t>
  </si>
  <si>
    <t>Gesnin</t>
  </si>
  <si>
    <t xml:space="preserve">Hôtel Rochechouart</t>
  </si>
  <si>
    <t>sebastien@hotelrochechouart.com</t>
  </si>
  <si>
    <t>http://www.linkedin.com/in/s%c3%a9bastien-gesnin-b3852bb6</t>
  </si>
  <si>
    <t>http://www.hotelrochechouart.com</t>
  </si>
  <si>
    <t xml:space="preserve">55 Boulevard de Rochechouart, Paris, Ile-de-France, France, 75009</t>
  </si>
  <si>
    <t>Doctobre</t>
  </si>
  <si>
    <t xml:space="preserve">Président &amp; Fondateur 54 Cocktails bar GROUP</t>
  </si>
  <si>
    <t xml:space="preserve">54 Cocktails Bar</t>
  </si>
  <si>
    <t>edoctobre@54cocktailsbar.fr</t>
  </si>
  <si>
    <t>http://www.linkedin.com/in/etienne-doctobre-941120ba</t>
  </si>
  <si>
    <t>http://www.54cocktailsbar.fr</t>
  </si>
  <si>
    <t xml:space="preserve">Arras, Nord-Pas-de-Calais-Picardie, France</t>
  </si>
  <si>
    <t xml:space="preserve">54 Cocktails Bar - Découvrez notre concept innovant et nos créations uniques. Rejoignez notre réseau pour une expérience gustative et sociale inoubliable !</t>
  </si>
  <si>
    <t>Masseran</t>
  </si>
  <si>
    <t xml:space="preserve">Les Portes Du Mont Saint-Michel</t>
  </si>
  <si>
    <t>p.masseran@le-mont-saint-michel.com</t>
  </si>
  <si>
    <t>http://www.linkedin.com/in/pierre-masseran-0941b244</t>
  </si>
  <si>
    <t>http://www.le-mont-saint-michel.com</t>
  </si>
  <si>
    <t>Carnac</t>
  </si>
  <si>
    <t xml:space="preserve">Route du Mont-Saint-Michel, Beauvoir, Normandy, France, 50170</t>
  </si>
  <si>
    <t xml:space="preserve">Pour un dîner chaleureux, une aventure sportive en famille, ou la découverte du Mont-Saint-Michel et de sa baie, nos établissements permettent de satisfaire toutes vos envies.</t>
  </si>
  <si>
    <t>Jallerat</t>
  </si>
  <si>
    <t xml:space="preserve">Best Western Premier Grand Monarque Hôtel &amp; Spa</t>
  </si>
  <si>
    <t>bertrand@monarque.fr</t>
  </si>
  <si>
    <t>http://www.linkedin.com/in/bertrand-jallerat-52400417</t>
  </si>
  <si>
    <t>http://www.grand-monarque.com</t>
  </si>
  <si>
    <t>Sury-en-Vaux</t>
  </si>
  <si>
    <t xml:space="preserve">22 Place des Epars, Chartres, Centre-Val de Loire, France, 28000</t>
  </si>
  <si>
    <t xml:space="preserve">SITE OFFICIEL · Le Grand Monarque · Hôtel de Luxe 4 étoiles &amp; Spa &amp; Restaurant Chartres ✓ Meilleurs Tarifs Garantis ✓ Réservez votre Séjour en Direct</t>
  </si>
  <si>
    <t>Sitbon</t>
  </si>
  <si>
    <t xml:space="preserve">Chairman &amp; Founder</t>
  </si>
  <si>
    <t xml:space="preserve">Groupe Miam!</t>
  </si>
  <si>
    <t>julien@miammiamm.com</t>
  </si>
  <si>
    <t>http://www.linkedin.com/in/juliensitbon</t>
  </si>
  <si>
    <t>http://www.miammiamm.com</t>
  </si>
  <si>
    <t xml:space="preserve">Crée en 2019 par Julien Sitbon, le groupe Miam est une entreprise française du secteur de la restauration</t>
  </si>
  <si>
    <t>Pena</t>
  </si>
  <si>
    <t xml:space="preserve">CTO &amp; Co-fondateur</t>
  </si>
  <si>
    <t>charles.pena@wiicmenu.com</t>
  </si>
  <si>
    <t>http://www.linkedin.com/in/pena-charles</t>
  </si>
  <si>
    <t>Michel</t>
  </si>
  <si>
    <t>Halimi</t>
  </si>
  <si>
    <t xml:space="preserve">Co-fondateur &amp; Managing Partner CEO</t>
  </si>
  <si>
    <t xml:space="preserve">MANDO HOSPITALITY</t>
  </si>
  <si>
    <t>michel@mandohospitality.com</t>
  </si>
  <si>
    <t>http://www.linkedin.com/in/michel-halimi-b569401b</t>
  </si>
  <si>
    <t>http://www.mandohospitality.com</t>
  </si>
  <si>
    <t>Venelles</t>
  </si>
  <si>
    <t>Clerc</t>
  </si>
  <si>
    <t xml:space="preserve">CEO &amp; Fondateur</t>
  </si>
  <si>
    <t>guillaume.clerc@quotelo.fr</t>
  </si>
  <si>
    <t>http://www.linkedin.com/in/guillaume-clerc-41989447</t>
  </si>
  <si>
    <t>Rome</t>
  </si>
  <si>
    <t xml:space="preserve">Co-fondatrice associée Pôle Commercial</t>
  </si>
  <si>
    <t>emmanuelle.rome@evihob.com</t>
  </si>
  <si>
    <t>http://www.linkedin.com/in/emmanuelle-rome-277510133</t>
  </si>
  <si>
    <t>Wucher</t>
  </si>
  <si>
    <t xml:space="preserve">Le Parc Hôtel Obernai &amp; Yonaguni Spa</t>
  </si>
  <si>
    <t>maxime@leparchotel.fr</t>
  </si>
  <si>
    <t>http://www.linkedin.com/in/maxime-wucher-473a116b</t>
  </si>
  <si>
    <t>http://www.leparchotel.fr</t>
  </si>
  <si>
    <t xml:space="preserve">169 Route d'Ottrott, Obernai, Alsace, France, 67210</t>
  </si>
  <si>
    <t xml:space="preserve">Official Website ✅ Discover the Parc Hôtel Obernai, a 4-star luxury hotel located in Alsace with spa, pool &amp; gourmet restaurant. Ideal for a relaxing stay.</t>
  </si>
  <si>
    <t>Adriane</t>
  </si>
  <si>
    <t>Wilk</t>
  </si>
  <si>
    <t xml:space="preserve">Les Enfants Dehors</t>
  </si>
  <si>
    <t>adriane@lesenfantsdehors.fr</t>
  </si>
  <si>
    <t xml:space="preserve">hospital &amp; health care</t>
  </si>
  <si>
    <t>http://www.linkedin.com/in/advanderw</t>
  </si>
  <si>
    <t>http://www.lesenfantsdehors.fr</t>
  </si>
  <si>
    <t xml:space="preserve">Nous créons des lieux d’un nouveau genre dédiés aux familles et au vivant en ville, 1er lieu Montpellier 2023. Nous accompagnons les acteurs de la fabrique de la ville avec des solutions "ville à hauteur d’enfant"</t>
  </si>
  <si>
    <t>Poirson</t>
  </si>
  <si>
    <t>Liquid</t>
  </si>
  <si>
    <t>alexis@liquidcorp.fr</t>
  </si>
  <si>
    <t>http://www.linkedin.com/in/alexis-poirson-984a70131</t>
  </si>
  <si>
    <t>http://www.liquidtransport.com</t>
  </si>
  <si>
    <t xml:space="preserve">14 Boulevard Poissonniere, Paris, Ile-de-France, France, 75009</t>
  </si>
  <si>
    <t>Dugontier</t>
  </si>
  <si>
    <t xml:space="preserve">HOTEL MONTAIGNE*****</t>
  </si>
  <si>
    <t>direction@montaigne-hotel.com</t>
  </si>
  <si>
    <t>http://www.linkedin.com/in/%c3%a9milie-dugontier-8359584</t>
  </si>
  <si>
    <t>http://www.40.00</t>
  </si>
  <si>
    <t xml:space="preserve">6 Avenue Montaigne, Paris, Ile-de-France, France, 75008</t>
  </si>
  <si>
    <t>Tordeux</t>
  </si>
  <si>
    <t xml:space="preserve">Président Hôtel - Restaurant</t>
  </si>
  <si>
    <t>Hôtel***</t>
  </si>
  <si>
    <t>david.tordeux@hotel-kara.com</t>
  </si>
  <si>
    <t>http://www.linkedin.com/in/david-tordeux-451277252</t>
  </si>
  <si>
    <t>http://www.kara.bzh</t>
  </si>
  <si>
    <t>Sainte-Anne-d'Auray</t>
  </si>
  <si>
    <t xml:space="preserve">25 Rue de Vannes, Sainte-Anne-d'Auray, Bretagne, France, 56400</t>
  </si>
  <si>
    <t xml:space="preserve">KARA est un hôtel trois étoiles avec un restaurant bistronomique situé à Saint Anne d'Auray, entre Vannes et Auray dans le Morbihan en Bretagne sud.</t>
  </si>
  <si>
    <t xml:space="preserve">Les Bistrots Pas Parisiens</t>
  </si>
  <si>
    <t>frederic.b@pasparisiens.com</t>
  </si>
  <si>
    <t>http://www.linkedin.com/in/fr%c3%a9d%c3%a9ric-blanc-82929312</t>
  </si>
  <si>
    <t>http://www.lesbistrotspasparisiens.com</t>
  </si>
  <si>
    <t xml:space="preserve">70 Avenue Franklin Roosevelt, Suresnes, Ile-de-France, France, 92150</t>
  </si>
  <si>
    <t>Lefeuvre</t>
  </si>
  <si>
    <t xml:space="preserve">CEO &amp; CO FOUNDER</t>
  </si>
  <si>
    <t xml:space="preserve">Popotes cantine respectueuse</t>
  </si>
  <si>
    <t>julien@popotes.fr</t>
  </si>
  <si>
    <t>http://www.linkedin.com/in/julien-lefeuvre-09653523</t>
  </si>
  <si>
    <t>http://www.popotes.fr</t>
  </si>
  <si>
    <t xml:space="preserve">25 Rue d'Assas, Paris, Ile-de-France, France, 75006</t>
  </si>
  <si>
    <t xml:space="preserve">Popotes cantine respectueuse est un concept de bar à salade 2.0 proposant une restauration rapide, sur-mesure, saine et équilibrée.</t>
  </si>
  <si>
    <t xml:space="preserve">AGP Hotels</t>
  </si>
  <si>
    <t>aguenant@agphotels.com</t>
  </si>
  <si>
    <t>http://www.linkedin.com/in/alexandre-g-5881871b0</t>
  </si>
  <si>
    <t>http://www.smilydream.com</t>
  </si>
  <si>
    <t xml:space="preserve">184 Rue du Clair Bocage, Mouilleron-le-Captif, Pays de la Loire, France, 85000</t>
  </si>
  <si>
    <t>Tatiana</t>
  </si>
  <si>
    <t xml:space="preserve">Associate Founder &amp; Managing Partner</t>
  </si>
  <si>
    <t>tatiana@mandohospitality.com</t>
  </si>
  <si>
    <t>http://www.linkedin.com/in/tatiana-halimi-4b1b1630</t>
  </si>
  <si>
    <t>Olivier-Christopher</t>
  </si>
  <si>
    <t>Guilland</t>
  </si>
  <si>
    <t xml:space="preserve">Chairman &amp; CEO</t>
  </si>
  <si>
    <t xml:space="preserve">Huîtres Amélie</t>
  </si>
  <si>
    <t>oguilland@huitresamelie.com</t>
  </si>
  <si>
    <t>http://www.linkedin.com/in/ocguilland</t>
  </si>
  <si>
    <t>http://www.huitresamelie.com</t>
  </si>
  <si>
    <t xml:space="preserve">9 Route de Daire, Bourcefranc-le-Chapus, Nouvelle-Aquitaine, France, 17560</t>
  </si>
  <si>
    <t xml:space="preserve">Amélie est une Maison d'Huîtres française fondée sur le savoir-faire des meilleurs éleveurs, qui cultivent et sélectionnent des huîtres d'exception.</t>
  </si>
  <si>
    <t>Vansay</t>
  </si>
  <si>
    <t xml:space="preserve">Founder and Manager</t>
  </si>
  <si>
    <t xml:space="preserve">Le 17.45</t>
  </si>
  <si>
    <t>alexandre@le17-45.fr</t>
  </si>
  <si>
    <t>http://www.linkedin.com/in/alexandre-de-vanssay-06936467</t>
  </si>
  <si>
    <t>http://www.le17-45.fr</t>
  </si>
  <si>
    <t>Asnieres-sur-Seine</t>
  </si>
  <si>
    <t xml:space="preserve">45 Rue des Dames, Paris, Ile-de-France, France, 75017</t>
  </si>
  <si>
    <t xml:space="preserve">Le 17.45 c'est le premier restaurant 100% spécialiste des planches de fromage et de charcuterie. C'est le temple de l'apéro présent à Paris, Dijon &amp; Rennes !</t>
  </si>
  <si>
    <t>Sarah</t>
  </si>
  <si>
    <t>Chailan</t>
  </si>
  <si>
    <t xml:space="preserve">La Bastide de Moustiers</t>
  </si>
  <si>
    <t>sarah.chailan@bastide-moustiers.com</t>
  </si>
  <si>
    <t>http://www.linkedin.com/in/sarah-chailan-32188720</t>
  </si>
  <si>
    <t>http://www.bastide-moustiers.com</t>
  </si>
  <si>
    <t xml:space="preserve">Chemin de Quinson, Moustiers-Sainte-Marie, Provence-Alpes-Cote d'Azur, France, 04360</t>
  </si>
  <si>
    <t xml:space="preserve">OFFICIEL · La Bastide de Moustiers à Moustiers-Sainte-Marie ✓ Restaurant 1 étoile Michelin et 1 étoile Verte ✓ Hôtel de Luxe 4 étoiles ✓ Maison Ducasse ✓ Réservez en ligne votre séjour</t>
  </si>
  <si>
    <t>Claude</t>
  </si>
  <si>
    <t>Lallier</t>
  </si>
  <si>
    <t xml:space="preserve">Founder, CEO</t>
  </si>
  <si>
    <t xml:space="preserve">Home Rental Service</t>
  </si>
  <si>
    <t>c.chopard-lallier@homerental.fr</t>
  </si>
  <si>
    <t>http://www.linkedin.com/in/claude-chopard-lallier-0a4b4a27</t>
  </si>
  <si>
    <t>http://www.homerental.fr</t>
  </si>
  <si>
    <t xml:space="preserve">122 Avenue des Champs-Elysees, Paris, Ile-de-France, France, 75008</t>
  </si>
  <si>
    <t xml:space="preserve">Leader de la location temporaire d'appartements meublés avec services. 250 appartements en location à Paris et Neuilly sur Seine. Bail mobilité professionnel, séjour d’ un mois minimum</t>
  </si>
  <si>
    <t>Walid</t>
  </si>
  <si>
    <t>Maalouf</t>
  </si>
  <si>
    <t xml:space="preserve">HEAT Cuisine</t>
  </si>
  <si>
    <t>walid@heatcuisine.com</t>
  </si>
  <si>
    <t>http://www.linkedin.com/in/walid-maalouf-16098b24</t>
  </si>
  <si>
    <t>http://www.heatcuisine.com</t>
  </si>
  <si>
    <t xml:space="preserve">Paris, Ile-de-France, France, 75007</t>
  </si>
  <si>
    <t>Rabih</t>
  </si>
  <si>
    <t>Frangieh</t>
  </si>
  <si>
    <t>Sawa</t>
  </si>
  <si>
    <t>rabih@sawa-care.io</t>
  </si>
  <si>
    <t>http://www.linkedin.com/in/rabih-frangieh-24895368</t>
  </si>
  <si>
    <t>http://www.sawarestaurant.com</t>
  </si>
  <si>
    <t xml:space="preserve">300 Franklin St, Oakland, California, United States, 94607-3726</t>
  </si>
  <si>
    <t>Ed</t>
  </si>
  <si>
    <t xml:space="preserve">Hidden and Found</t>
  </si>
  <si>
    <t>ed@hiddenandfound.com</t>
  </si>
  <si>
    <t>http://www.linkedin.com/in/edmay</t>
  </si>
  <si>
    <t>http://www.hiddenandfound.com</t>
  </si>
  <si>
    <t xml:space="preserve">Route de Maisonneuve, Les Houches, Auvergne-Rhone-Alpes, France, 74310</t>
  </si>
  <si>
    <t xml:space="preserve">Luxury holiday homes with staff. Setting the standard in bespoke fully staffed travel since 2008. Find your next vacation rental today</t>
  </si>
  <si>
    <t>Duhomez</t>
  </si>
  <si>
    <t xml:space="preserve">PIRATES PARADISE LILLE</t>
  </si>
  <si>
    <t>q.duhomez@pirates-paradise.fr</t>
  </si>
  <si>
    <t>http://www.linkedin.com/in/quentin-duhomez-67a15aa0</t>
  </si>
  <si>
    <t>http://www.pirates-paradise.fr</t>
  </si>
  <si>
    <t xml:space="preserve">Neuville-en-Ferrain, Hauts-de-France, France, 59960</t>
  </si>
  <si>
    <t xml:space="preserve">Voyagez dans le monde des pirates dans nos Restaurants de Pirate. Partez à l'abordage du navire et passez un moment magique.</t>
  </si>
  <si>
    <t>Fabien</t>
  </si>
  <si>
    <t>Gougaud</t>
  </si>
  <si>
    <t xml:space="preserve">KAMO KAMO</t>
  </si>
  <si>
    <t>f.gougaud@kamokamo.com</t>
  </si>
  <si>
    <t>http://www.linkedin.com/in/fabien-gougaud-9222a62b</t>
  </si>
  <si>
    <t>http://www.kamokamo.com</t>
  </si>
  <si>
    <t xml:space="preserve">Merignac, Aquitaine-Limousin-Poitou-Charentes, France</t>
  </si>
  <si>
    <t>Sampite</t>
  </si>
  <si>
    <t>Yvala</t>
  </si>
  <si>
    <t>tsampite@yvala.com</t>
  </si>
  <si>
    <t>http://www.linkedin.com/in/tsampite</t>
  </si>
  <si>
    <t>http://www.yvala.com</t>
  </si>
  <si>
    <t>Erwan</t>
  </si>
  <si>
    <t>D'Hotellerie</t>
  </si>
  <si>
    <t>Président/Fondateur</t>
  </si>
  <si>
    <t xml:space="preserve">ONE TOUCH COSMETIC</t>
  </si>
  <si>
    <t>erwan@ot-cc.com</t>
  </si>
  <si>
    <t>http://www.linkedin.com/in/erwan-mouton-distributeur-de-produits-d-accueil-d-h%c3%b4tellerie-500se83a15293</t>
  </si>
  <si>
    <t>http://www.ot-cc.com</t>
  </si>
  <si>
    <t xml:space="preserve">4 Allee d'Euromedoc, Saint-Aubin-de-Medoc, Aquitaine-Limousin-Poitou-Charentes, France, 33160</t>
  </si>
  <si>
    <t xml:space="preserve">Découvrez les meilleurs produits d'accueil hôteliers pour une expérience inoubliable ! Des articles haut de gamme qui séduiront vos clients.</t>
  </si>
  <si>
    <t>Schmitt-Gully</t>
  </si>
  <si>
    <t xml:space="preserve">Hôtel Rohan Strasbourg</t>
  </si>
  <si>
    <t>direction@hotel-rohan.com</t>
  </si>
  <si>
    <t>http://www.linkedin.com/in/geoffroy-schmitt-gully-a0209483</t>
  </si>
  <si>
    <t>http://www.hotel-rohan.com</t>
  </si>
  <si>
    <t>Eschau</t>
  </si>
  <si>
    <t xml:space="preserve">17-19 Rue du Maroquin, Strasbourg, Grand Est, France, 67000</t>
  </si>
  <si>
    <t xml:space="preserve">Votre hôtel au centre-ville de Strasbourg au meilleur tarif! Profitez de nos chambres rénovées pour votre prochain séjour ! Proche de la cathédrale</t>
  </si>
  <si>
    <t>Desjardins</t>
  </si>
  <si>
    <t>Workpackers</t>
  </si>
  <si>
    <t>kevin@workpackers.co</t>
  </si>
  <si>
    <t>http://www.linkedin.com/in/k%c3%a9vin-pilet-desjardins-63495361</t>
  </si>
  <si>
    <t>http://www.workpackers.co</t>
  </si>
  <si>
    <t xml:space="preserve">Messanges, Nouvelle-Aquitaine, France, 40660</t>
  </si>
  <si>
    <t xml:space="preserve">Avec Workpackers, fais du monde ton nouveau bureau et viens séjourner, travailler et partager avec notre communauté dans nos hébergements dédiés.</t>
  </si>
  <si>
    <t>Josephine</t>
  </si>
  <si>
    <t>Ayvadian</t>
  </si>
  <si>
    <t xml:space="preserve">CEO - AYVADIAN CONSEILS - YTSO Yield agency</t>
  </si>
  <si>
    <t xml:space="preserve">YTSO Agence de conseils en Yield</t>
  </si>
  <si>
    <t>ayvadian@ytso-rm.com</t>
  </si>
  <si>
    <t>http://www.linkedin.com/in/josephineayvadian</t>
  </si>
  <si>
    <t>http://www.ytso-rm.com</t>
  </si>
  <si>
    <t>Seignosse</t>
  </si>
  <si>
    <t xml:space="preserve">13 Avenue Victor Hugo, Seignosse, Nouvelle-Aquitaine, France, 40510</t>
  </si>
  <si>
    <t xml:space="preserve">YTSO, l'agence de conseil spécialisée en hôtellerie qui vous apporte des solutions de maximisation de profits grâce au revenue management.</t>
  </si>
  <si>
    <t xml:space="preserve">Beau M Paris Hostel &amp; Coffee Shop</t>
  </si>
  <si>
    <t>paulinemey@beaumhostel.com</t>
  </si>
  <si>
    <t>http://www.linkedin.com/in/pauline-mey-7951b14a</t>
  </si>
  <si>
    <t>http://www.beaumhostel.com</t>
  </si>
  <si>
    <t xml:space="preserve">108 Rue Damremont, Paris, Ile-de-France, France, 75018</t>
  </si>
  <si>
    <t xml:space="preserve">Niché en plein coeur du 18ème arrondissement de Paris, à quelques minutes à pied de Montmartre, le Beau M Hostel vous accueille dans son atmosphère si singulière.</t>
  </si>
  <si>
    <t>Dufour-Emmanuel</t>
  </si>
  <si>
    <t>BAMe</t>
  </si>
  <si>
    <t>s.dufouremmanuel@bame.fr</t>
  </si>
  <si>
    <t>http://www.linkedin.com/in/simon-dufour-emmanuel</t>
  </si>
  <si>
    <t>http://www.bame.fr</t>
  </si>
  <si>
    <t xml:space="preserve">2 Rue d'Espalion, Saint-Herblain, Pays de la Loire, France, 44800</t>
  </si>
  <si>
    <t>Laurephil</t>
  </si>
  <si>
    <t>Girardon</t>
  </si>
  <si>
    <t xml:space="preserve">Domaine de Clairefontaine</t>
  </si>
  <si>
    <t>l.girardon@clairefontaine38.fr</t>
  </si>
  <si>
    <t>http://www.linkedin.com/in/laurephil-girardon-191102125</t>
  </si>
  <si>
    <t>http://www.domaine-de-clairefontaine.fr</t>
  </si>
  <si>
    <t xml:space="preserve">105 Chemin des Fontanettes, Chonas-l'Amballan, Auvergne-Rhone-Alpes, France, 38121</t>
  </si>
  <si>
    <t>Samir</t>
  </si>
  <si>
    <t>Patel</t>
  </si>
  <si>
    <t>3VHOTELS</t>
  </si>
  <si>
    <t>samir.patel@3vhotels.com</t>
  </si>
  <si>
    <t>http://www.linkedin.com/in/samir-patel-852b40237</t>
  </si>
  <si>
    <t>http://www.3vhotels.com</t>
  </si>
  <si>
    <t>Acheres</t>
  </si>
  <si>
    <t xml:space="preserve">1 Avenue des Droits de l'Homme, Acheres, Ile-de-France, France, 78260</t>
  </si>
  <si>
    <t xml:space="preserve">3VHotels Group - Real Estate &amp; Investment. Gestion déportée d'hôtels ou gestion d'hôtels en pleine propriété.</t>
  </si>
  <si>
    <t>Gal</t>
  </si>
  <si>
    <t xml:space="preserve">DEMAIN Hôtel et Conciergerie</t>
  </si>
  <si>
    <t>pyl@arzelmanagement.com</t>
  </si>
  <si>
    <t>http://www.linkedin.com/in/pierre-yves-le-gal-89b4a810</t>
  </si>
  <si>
    <t>http://www.demain-nantes.com</t>
  </si>
  <si>
    <t xml:space="preserve">Découvrez Demain Hôtel, où modernité et authenticité se rencontrent pour un séjour inoubliable dans un cadre luxueux. Bonne nuit à demain !</t>
  </si>
  <si>
    <t>Demarle</t>
  </si>
  <si>
    <t xml:space="preserve">Jadore Hospitality Group</t>
  </si>
  <si>
    <t>adam@jadorehospitality.com</t>
  </si>
  <si>
    <t>http://www.linkedin.com/in/adam-demarle-5a5153122</t>
  </si>
  <si>
    <t>http://www.jadorehospitality.com</t>
  </si>
  <si>
    <t>Victoria</t>
  </si>
  <si>
    <t>Ballanger</t>
  </si>
  <si>
    <t>direction@confiserie-ballanger.fr</t>
  </si>
  <si>
    <t>http://www.linkedin.com/in/victoria-cohen-15b060120</t>
  </si>
  <si>
    <t>http://www.confiserie-ballanger.fr</t>
  </si>
  <si>
    <t xml:space="preserve">13 Avenue Jean Medecin, Nice, Provence-Alpes-Cote d'Azur, France, 06000</t>
  </si>
  <si>
    <t xml:space="preserve">La maison Ballanger vous propose depuis 1926 les produits phares de la fête foraine dans des lieux uniques dédiés à la gourmandise.</t>
  </si>
  <si>
    <t>Eliane</t>
  </si>
  <si>
    <t xml:space="preserve">Hôtel de Berri a Luxury Collection Hotel Paris</t>
  </si>
  <si>
    <t>eliane.wang@valotel.com</t>
  </si>
  <si>
    <t>http://www.linkedin.com/in/eliane-yun-wang-8a0971150</t>
  </si>
  <si>
    <t xml:space="preserve">18 Rue de Berri, Paris, Ile-de-France, France, 75008</t>
  </si>
  <si>
    <t>Rault</t>
  </si>
  <si>
    <t xml:space="preserve">Co-fondateur - Directeur</t>
  </si>
  <si>
    <t xml:space="preserve">Les Pénates</t>
  </si>
  <si>
    <t>didier.rault@lespenates.co</t>
  </si>
  <si>
    <t>http://www.linkedin.com/in/rault-didier</t>
  </si>
  <si>
    <t>http://www.lespenates.co</t>
  </si>
  <si>
    <t xml:space="preserve">111 Rue de la Republique, Marseille, Provence-Alpes-Cote d'Azur, France, 13002</t>
  </si>
  <si>
    <t xml:space="preserve">Colocation pour seniors : vivre en parfaite autonomie et partagez vos moments de vie et de retraite dans de jolies maisons de centres-villes.</t>
  </si>
  <si>
    <t>Labat</t>
  </si>
  <si>
    <t xml:space="preserve">GRAND HOTEL DE CALA ROSSA &amp; SPA NUCCA *****</t>
  </si>
  <si>
    <t>labat-jerome@hotel-calarossa.com</t>
  </si>
  <si>
    <t>http://www.linkedin.com/in/j%c3%a9r%c3%b4me-labat-291226231</t>
  </si>
  <si>
    <t>http://www.hotel-calarossa.com</t>
  </si>
  <si>
    <t xml:space="preserve">Porto-Vecchio, Corsica, France</t>
  </si>
  <si>
    <t xml:space="preserve">Le Grand Hôtel de Cala Rossa est un établissement 5 étoiles à Porto-Vecchio, en bord de mer avec spa et restaurant gastronomique.</t>
  </si>
  <si>
    <t>Grynbaum</t>
  </si>
  <si>
    <t xml:space="preserve">Co founder</t>
  </si>
  <si>
    <t>MiHotel</t>
  </si>
  <si>
    <t>nathalie@mihotel.fr</t>
  </si>
  <si>
    <t>http://www.linkedin.com/in/nathalie-grynbaum</t>
  </si>
  <si>
    <t>http://www.mihotel.fr</t>
  </si>
  <si>
    <t xml:space="preserve">26 Rue Sala, Lyon, Auvergne-Rhone-Alpes, France, 69002</t>
  </si>
  <si>
    <t>Eidis</t>
  </si>
  <si>
    <t>Biehler</t>
  </si>
  <si>
    <t xml:space="preserve">Fondatrice et Gérante</t>
  </si>
  <si>
    <t xml:space="preserve">Saveurs de Norvège</t>
  </si>
  <si>
    <t>eidis@saveursdenorvege.fr</t>
  </si>
  <si>
    <t>http://www.linkedin.com/in/eidis-wejset-biehler-7046bb43</t>
  </si>
  <si>
    <t>http://www.folace.life</t>
  </si>
  <si>
    <t>Arsene</t>
  </si>
  <si>
    <t>Lambrecht</t>
  </si>
  <si>
    <t xml:space="preserve">Château de Chapeau Cornu</t>
  </si>
  <si>
    <t>exploitation@chapeau-cornu.fr</t>
  </si>
  <si>
    <t>http://www.linkedin.com/in/ars%c3%a8ne-lambrecht-10197515b</t>
  </si>
  <si>
    <t>http://www.chateau-chapeau-cornu.fr</t>
  </si>
  <si>
    <t xml:space="preserve">312 Rue de la Garenne, Vignieu, Auvergne-Rhone-Alpes, France, 38890</t>
  </si>
  <si>
    <t xml:space="preserve">OFFICIEL | Hôtel Restaurant Château Chapeau Cornu à Vignieu dans l'Isère (38) ✓ Château Hôtel 4 étoiles ✓ Spa &amp; Restaurant Gastronomique ✓ Séminaires &amp; Mariage en Isère ✓ Réservez en direct.</t>
  </si>
  <si>
    <t>Basset</t>
  </si>
  <si>
    <t>tastit</t>
  </si>
  <si>
    <t>gregoirebasset@tastit.app</t>
  </si>
  <si>
    <t>http://www.linkedin.com/in/gregoirebasset</t>
  </si>
  <si>
    <t>http://www.tastit.app</t>
  </si>
  <si>
    <t xml:space="preserve">Paris, Ile-de-France, France, 75015</t>
  </si>
  <si>
    <t xml:space="preserve">Découvrez Tastit : l'application qui centralise les meilleurs bons plans food de vos amis avec son éco-score. Ne manquez plus aucune adresse gourmande ! Téléchargez maintenant.</t>
  </si>
  <si>
    <t>Marquez-Boucetla</t>
  </si>
  <si>
    <t>stephanie@mihotel.fr</t>
  </si>
  <si>
    <t>http://www.linkedin.com/in/stephanie-marquez-boucetla-37419720</t>
  </si>
  <si>
    <t>Lelieur</t>
  </si>
  <si>
    <t xml:space="preserve">Hotels de Lille</t>
  </si>
  <si>
    <t>thomaslelieur@hotelsdelille.com</t>
  </si>
  <si>
    <t>http://www.linkedin.com/in/thomas-lelieur-abab0677</t>
  </si>
  <si>
    <t>http://www.hotelsdelille.com</t>
  </si>
  <si>
    <t xml:space="preserve">Lille, Nord-Pas-de-Calais, France</t>
  </si>
  <si>
    <t xml:space="preserve">Located in the heart of Lille, opposite the Lille Flandres train station, the hotel Valiz renovated in 2018 welcomes you in its air-conditioned rooms with original decoration</t>
  </si>
  <si>
    <t>Berangere</t>
  </si>
  <si>
    <t>Loiseau</t>
  </si>
  <si>
    <t xml:space="preserve">Bernard Loiseau</t>
  </si>
  <si>
    <t>berangere.loiseau@bernard-loiseau.com</t>
  </si>
  <si>
    <t>http://www.linkedin.com/in/b%c3%a9rang%c3%a8re-loiseau-12b95763</t>
  </si>
  <si>
    <t xml:space="preserve">Discover the Bernard Loiseau Group, leader in the world of fine dining and hospitality, featuring a chateaux hotel, winery and Michelin-star restaurants in France. Official site!</t>
  </si>
  <si>
    <t>Morgan</t>
  </si>
  <si>
    <t>Grangier</t>
  </si>
  <si>
    <t>Holidée</t>
  </si>
  <si>
    <t>morgan@holidee.fr</t>
  </si>
  <si>
    <t>http://www.linkedin.com/in/morgan-grangier</t>
  </si>
  <si>
    <t>http://www.holidee.fr</t>
  </si>
  <si>
    <t xml:space="preserve">Cheval-Blanc, Provence-Alpes-Cote d'Azur, France</t>
  </si>
  <si>
    <t xml:space="preserve">Créateur d'Expériences Vacances, nous sommes une équipe de Spécialistes du Tourisme, de la Formation et de l’Expérience Client.</t>
  </si>
  <si>
    <t>Wielgosik</t>
  </si>
  <si>
    <t xml:space="preserve">Hostellerie Briqueterie &amp; Spa • Champagne Relais &amp; Châteaux</t>
  </si>
  <si>
    <t>gm@briqueteriechampagne.com</t>
  </si>
  <si>
    <t>http://www.linkedin.com/in/christophe-wielgosik-00173a75</t>
  </si>
  <si>
    <t>http://www.briqueteriechampagne.com</t>
  </si>
  <si>
    <t xml:space="preserve">4 Rue de Sezanne, Epernay, Grand Est, France, 51200</t>
  </si>
  <si>
    <t xml:space="preserve">Explorez le charme unique de la Briqueterie, votre hôtel de luxe à Épernay, pour un séjour inoubliable et luxueux au cœur de la région champenoise.</t>
  </si>
  <si>
    <t>Drouault</t>
  </si>
  <si>
    <t>nicolas@canard-street.fr</t>
  </si>
  <si>
    <t>http://www.linkedin.com/in/nicolas-drouault-180b7540</t>
  </si>
  <si>
    <t>Mikael</t>
  </si>
  <si>
    <t>Jover</t>
  </si>
  <si>
    <t xml:space="preserve">Président licencié</t>
  </si>
  <si>
    <t>mikael@popotes.fr</t>
  </si>
  <si>
    <t>http://www.linkedin.com/in/mikael-jover-48b091126</t>
  </si>
  <si>
    <t>Julliard</t>
  </si>
  <si>
    <t xml:space="preserve">HOSTELLERIE LA FARANDOLE</t>
  </si>
  <si>
    <t>direction@hostellerielafarandole.com</t>
  </si>
  <si>
    <t>http://www.linkedin.com/in/thomas-julliard-126ab313a</t>
  </si>
  <si>
    <t>http://www.hostellerielafarandole.com</t>
  </si>
  <si>
    <t>Sanary-sur-Mer</t>
  </si>
  <si>
    <t xml:space="preserve">139 Chemin de la Plage de la Gorguette, Sanary-sur-Mer, Provence-Alpes-Cote d'Azur, France, 83110</t>
  </si>
  <si>
    <t>Greg</t>
  </si>
  <si>
    <t>Barreteau</t>
  </si>
  <si>
    <t>greg@holidee.fr</t>
  </si>
  <si>
    <t>http://www.linkedin.com/in/greg-barreteau-150298121</t>
  </si>
  <si>
    <t>Sandra</t>
  </si>
  <si>
    <t>Chevret</t>
  </si>
  <si>
    <t>SANDYCAMPS</t>
  </si>
  <si>
    <t>sandra@sandycamps.com</t>
  </si>
  <si>
    <t>http://www.linkedin.com/in/sandra-chevret-4813212b</t>
  </si>
  <si>
    <t>http://www.sandycamps.com</t>
  </si>
  <si>
    <t xml:space="preserve">Imsouane, Souss Massa, Morocco</t>
  </si>
  <si>
    <t xml:space="preserve">Surf Camp Imsouane in Morocco - Surf Camp Peniche in Portugal - Learn to surf in Imsouane and Peniche. Spend your surf holidays at Sandycamps, the best surf and yoga camp of Imsouane and Peniche. Travel to dream surf destination and learn to surf on amazing waves in Morocco and Portugal with professional surf lessons.</t>
  </si>
  <si>
    <t>Lemaitre</t>
  </si>
  <si>
    <t xml:space="preserve">PLACE DES OLIVIERS</t>
  </si>
  <si>
    <t>vincent.lemaitre@placedesoliviers.fr</t>
  </si>
  <si>
    <t>http://www.linkedin.com/in/vincent-lemaitre-91417718</t>
  </si>
  <si>
    <t>http://www.placedesoliviers.fr</t>
  </si>
  <si>
    <t xml:space="preserve">980 Rue Maurice Herzog, Lesquin, Hauts-de-France, France, 59810</t>
  </si>
  <si>
    <t xml:space="preserve">Votre brasserie pétanque à Lille est un lieu à la fois authentique et moderne où passer un moment de détente entre collègues, entre amis ou en famille !</t>
  </si>
  <si>
    <t>Condette</t>
  </si>
  <si>
    <t xml:space="preserve">Renaissance Paris République</t>
  </si>
  <si>
    <t>acondette@renaissanceparisrepublique.com</t>
  </si>
  <si>
    <t>http://www.linkedin.com/in/alexandre-condette-2150548a</t>
  </si>
  <si>
    <t>http://www.renaissancerepublique.com</t>
  </si>
  <si>
    <t xml:space="preserve">40 Rue Rene Boulanger, Paris, Ile-de-France, France, 75010</t>
  </si>
  <si>
    <t>Coppi</t>
  </si>
  <si>
    <t xml:space="preserve">Igloohome France</t>
  </si>
  <si>
    <t>mickael@igloohome.fr</t>
  </si>
  <si>
    <t xml:space="preserve">security &amp; investigations</t>
  </si>
  <si>
    <t>http://www.linkedin.com/in/coppimickael</t>
  </si>
  <si>
    <t>http://www.igloohome.fr</t>
  </si>
  <si>
    <t xml:space="preserve">Nice, Provence-Alpes-Cote d'Azur, France, 06300</t>
  </si>
  <si>
    <t xml:space="preserve">Igloohome, leader en cadenas et serrures intelligentes. Oubliez la perte de clés grâce à nos solutions à code et empreinte tactile !</t>
  </si>
  <si>
    <t>Dujourd'hui</t>
  </si>
  <si>
    <t xml:space="preserve">HOLDING RD FINANCE</t>
  </si>
  <si>
    <t>eric.dujourdhui@rdholding.fr</t>
  </si>
  <si>
    <t>http://www.linkedin.com/in/eric-dujourd-hui-a2999ba3</t>
  </si>
  <si>
    <t>http://www.holding-rd-finance.fr</t>
  </si>
  <si>
    <t xml:space="preserve">Reims, Grand Est, France</t>
  </si>
  <si>
    <t xml:space="preserve">Le groupe Holding RD Finance est une entité Rémoise en plein essor née il y a plus de 20 ans.
RESTAURANTS - HOTELS - CHR</t>
  </si>
  <si>
    <t>Marcelle</t>
  </si>
  <si>
    <t>Yazbeck</t>
  </si>
  <si>
    <t xml:space="preserve">PDG  de l'hôtel Restaurant Spa Belle Isle sur Risle</t>
  </si>
  <si>
    <t xml:space="preserve">Hôtel Restaurant Spa Belle Isle sur Risle</t>
  </si>
  <si>
    <t>hotel@bellile.com</t>
  </si>
  <si>
    <t>http://www.linkedin.com/in/marcelle-yazbeck-16665812b</t>
  </si>
  <si>
    <t>http://www.bellile.com</t>
  </si>
  <si>
    <t xml:space="preserve">112 Route de Rouen, Pont-Audemer, Normandie, France, 27500</t>
  </si>
  <si>
    <t>Muriel</t>
  </si>
  <si>
    <t>Marcilhacy-Giraud</t>
  </si>
  <si>
    <t xml:space="preserve">Président du Directoire</t>
  </si>
  <si>
    <t>BLEECKER</t>
  </si>
  <si>
    <t>mmg@bleeckergroup.com</t>
  </si>
  <si>
    <t>http://www.linkedin.com/in/muriel-marcilhacy-giraud-60bb1812</t>
  </si>
  <si>
    <t>http://www.bleecker.co.uk</t>
  </si>
  <si>
    <t xml:space="preserve">205 Victoria Street, London, England, United Kingdom, SW1E 5NE</t>
  </si>
  <si>
    <t xml:space="preserve">Enjoy the best burgers in London at Bleecker Burger, winner of the National Burger of the Year 2024. Try our hand-cut fries, thick shakes, and cold beer too!</t>
  </si>
  <si>
    <t>Alessandra</t>
  </si>
  <si>
    <t>Bragoli</t>
  </si>
  <si>
    <t xml:space="preserve">Starhotels Castille Paris *****</t>
  </si>
  <si>
    <t>a.bragoli@castille.com</t>
  </si>
  <si>
    <t>http://www.linkedin.com/in/alessandrabragoli</t>
  </si>
  <si>
    <t>http://www.castille.com</t>
  </si>
  <si>
    <t xml:space="preserve">33 Rue Cambon, Paris, Ile-de-France, France, 75001</t>
  </si>
  <si>
    <t>Bouche</t>
  </si>
  <si>
    <t>Luwii</t>
  </si>
  <si>
    <t>quentin@luwii.com</t>
  </si>
  <si>
    <t>http://www.linkedin.com/in/quentin-bouche-b8990720</t>
  </si>
  <si>
    <t>http://www.luwii.com</t>
  </si>
  <si>
    <t xml:space="preserve">Playa del Carmen, Quintana Roo, Mexico</t>
  </si>
  <si>
    <t>Mexico</t>
  </si>
  <si>
    <t xml:space="preserve">Luwii offers vacation rentals designed for living and working. Our properties are available per day, per week, per month. We provide reliable internet and professional housekeeping services. Book with us now!</t>
  </si>
  <si>
    <t>Armagnac</t>
  </si>
  <si>
    <t xml:space="preserve">French Theory</t>
  </si>
  <si>
    <t>a.armagnac@frtheory.com</t>
  </si>
  <si>
    <t>http://www.linkedin.com/in/aurelien-armagnac-96051b129</t>
  </si>
  <si>
    <t>http://www.frenchtheory.com</t>
  </si>
  <si>
    <t xml:space="preserve">18 Rue Cujas, Paris, Ile-de-France, France, 75005</t>
  </si>
  <si>
    <t>Marcolin</t>
  </si>
  <si>
    <t>BLOOMER</t>
  </si>
  <si>
    <t>pierre@bloomer-annecy.com</t>
  </si>
  <si>
    <t>http://www.linkedin.com/in/pierre-marcolin-2176774b</t>
  </si>
  <si>
    <t>http://www.bloomer-annecy.com</t>
  </si>
  <si>
    <t xml:space="preserve">14 Rue Sommeiller, Annecy, Auvergne-Rhone-Alpes, France, 74000</t>
  </si>
  <si>
    <t xml:space="preserve">Bloomer café restaurant à Annecy</t>
  </si>
  <si>
    <t>Valero</t>
  </si>
  <si>
    <t xml:space="preserve">Empanadas Club</t>
  </si>
  <si>
    <t>adrien@empanadasclub.com</t>
  </si>
  <si>
    <t>http://www.linkedin.com/in/adsava</t>
  </si>
  <si>
    <t>http://www.empanadasclub.com</t>
  </si>
  <si>
    <t xml:space="preserve">15 Rue de Ratte, Montpellier, Occitanie, France, 34000</t>
  </si>
  <si>
    <t xml:space="preserve">Découvrez nos délicieux Empanadas dans nos restaurants argentins authentiques. Ambiance familiale et chaleureuse. Sur place, à emporter ou en livraison.</t>
  </si>
  <si>
    <t>Mazurier</t>
  </si>
  <si>
    <t xml:space="preserve">LA MAISON DU BASSIN</t>
  </si>
  <si>
    <t>jmazurier@lamaisondubassin.com</t>
  </si>
  <si>
    <t>http://www.linkedin.com/in/jerome-mazurier-54a3b06b</t>
  </si>
  <si>
    <t>http://www.lamaisondubassin.com</t>
  </si>
  <si>
    <t xml:space="preserve">Lege-Cap-Ferret, Nouvelle-Aquitaine, France</t>
  </si>
  <si>
    <t>Rigaux</t>
  </si>
  <si>
    <t xml:space="preserve">Co-fondatrice et gérante</t>
  </si>
  <si>
    <t xml:space="preserve">ZAINO Ristorante</t>
  </si>
  <si>
    <t>c.rigaux@zaino-ristorante.com</t>
  </si>
  <si>
    <t>http://www.linkedin.com/in/cl%c3%a9mence-rigaux-18860388</t>
  </si>
  <si>
    <t>http://www.zaino-ristorante.com</t>
  </si>
  <si>
    <t xml:space="preserve">12 Avenue des Genevriers, Thonon-les-Bains, Auvergne-Rhone-Alpes, France, 74200</t>
  </si>
  <si>
    <t>Sevellec</t>
  </si>
  <si>
    <t xml:space="preserve">PDG SAS CHATEAU FAGE HOTEL</t>
  </si>
  <si>
    <t xml:space="preserve">Château FAGE La Maison des Vignes</t>
  </si>
  <si>
    <t>direction@chateaufage.com</t>
  </si>
  <si>
    <t>http://www.linkedin.com/in/guillaume-s%c3%a9vellec-07491719</t>
  </si>
  <si>
    <t>http://www.chateaufage.com</t>
  </si>
  <si>
    <t xml:space="preserve">Fage, Arveyres, Nouvelle-Aquitaine, France, 33500</t>
  </si>
  <si>
    <t xml:space="preserve">Official Website ✅ Best Direct Rate: 4-star château hotel between Bordeaux and Saint-Émilion with a restaurant, vineyard, and pool. Book online.</t>
  </si>
  <si>
    <t>Maxim</t>
  </si>
  <si>
    <t>maxim@mandohospitality.com</t>
  </si>
  <si>
    <t>http://www.linkedin.com/in/maxim-halimi-632883126</t>
  </si>
  <si>
    <t>Courtois</t>
  </si>
  <si>
    <t>CoGethers</t>
  </si>
  <si>
    <t>guy.courtois@cogethers.com</t>
  </si>
  <si>
    <t>http://www.linkedin.com/in/guy-courtois-97790b212</t>
  </si>
  <si>
    <t>http://www.cogethers.com</t>
  </si>
  <si>
    <t>Gwenn</t>
  </si>
  <si>
    <t>Hamon</t>
  </si>
  <si>
    <t xml:space="preserve">CEO &amp; Gerant</t>
  </si>
  <si>
    <t xml:space="preserve">Mamie Fada</t>
  </si>
  <si>
    <t>direction@mamiefada.com</t>
  </si>
  <si>
    <t>http://www.linkedin.com/in/gwenn-hamon-6a004bb2</t>
  </si>
  <si>
    <t>http://www.mamiefada.com</t>
  </si>
  <si>
    <t xml:space="preserve">Dans sa maison angevine, face à la Maine, Mamie FADA allie bon sens, bons goûts et bons moments. Que ce soit tôt le matin ou tard le soir, vous allez l'adorer.</t>
  </si>
  <si>
    <t xml:space="preserve">Ciela Village</t>
  </si>
  <si>
    <t>thierry.bouchard@cielavillage.fr</t>
  </si>
  <si>
    <t>http://www.linkedin.com/in/thierry-bouchard-061b841b</t>
  </si>
  <si>
    <t>http://www.cielavillage.fr</t>
  </si>
  <si>
    <t xml:space="preserve">1155 Avenue dei Reganeu, Bandol, Provence-Alpes-Cote d'Azur, France, 83150</t>
  </si>
  <si>
    <t>Garcia</t>
  </si>
  <si>
    <t>jonathan@workpackers.co</t>
  </si>
  <si>
    <t>http://www.linkedin.com/in/jonathangarciatravel</t>
  </si>
  <si>
    <t>Tiana</t>
  </si>
  <si>
    <t>t.armagnac@frtheory.com</t>
  </si>
  <si>
    <t>http://www.linkedin.com/in/tiana-armagnac-4a67ab1ba</t>
  </si>
  <si>
    <t>Maurial</t>
  </si>
  <si>
    <t>ESTIVEL</t>
  </si>
  <si>
    <t>lise.maurial@estivel.com</t>
  </si>
  <si>
    <t>http://www.linkedin.com/in/lise-maurial-5b48a221</t>
  </si>
  <si>
    <t>http://www.estivel.com</t>
  </si>
  <si>
    <t xml:space="preserve">15 Place des Quinconces, Bordeaux, Nouvelle-Aquitaine, France, 33000</t>
  </si>
  <si>
    <t>Dhenin</t>
  </si>
  <si>
    <t>BAHO</t>
  </si>
  <si>
    <t>a.dhenin@groupe-baho.fr</t>
  </si>
  <si>
    <t>http://www.linkedin.com/in/antoine-dh%c3%a9nin-b285a4b4</t>
  </si>
  <si>
    <t>http://www.groupe-baho.fr</t>
  </si>
  <si>
    <t xml:space="preserve">17 Rue Neuve Tolbiac, Paris, Ile-de-France, France, 75013</t>
  </si>
  <si>
    <t>Lucy</t>
  </si>
  <si>
    <t>Violin</t>
  </si>
  <si>
    <t xml:space="preserve">My Conciergerie by Lucy Violin</t>
  </si>
  <si>
    <t>lucy.violin@myconciergeriebylv.com</t>
  </si>
  <si>
    <t>http://www.linkedin.com/in/lucy-violin-7b486986</t>
  </si>
  <si>
    <t>http://www.myconciergeriebylv.com</t>
  </si>
  <si>
    <t>Angouleme</t>
  </si>
  <si>
    <t xml:space="preserve">Angouleme, Poitou-Charentes, France, 16000</t>
  </si>
  <si>
    <t xml:space="preserve">welcome to my conciergerie by lv, lucy violin conciergerie, charente holiday home rental, cognac villa rental, travel organization, hotel serviced rental, better than airbnb, luxury rental</t>
  </si>
  <si>
    <t>Kelly</t>
  </si>
  <si>
    <t>Goehler</t>
  </si>
  <si>
    <t xml:space="preserve">Founder, Owner &amp; Operator- Entrepreneur</t>
  </si>
  <si>
    <t xml:space="preserve">La Belugue</t>
  </si>
  <si>
    <t>kelly@la-belugue.com</t>
  </si>
  <si>
    <t>http://www.linkedin.com/in/kelly-goehler-34203735</t>
  </si>
  <si>
    <t>http://www.la-belugue.com</t>
  </si>
  <si>
    <t>Beaumont-de-Pertuis</t>
  </si>
  <si>
    <t xml:space="preserve">37 Cours Nallins, Beaumont-de-Pertuis, Provence-Alpes-Cote d'Azur, France, 84120</t>
  </si>
  <si>
    <t>Calippe</t>
  </si>
  <si>
    <t xml:space="preserve">Camping Yelloh! Village l'Atlantique</t>
  </si>
  <si>
    <t>l.calippe@latlantique.fr</t>
  </si>
  <si>
    <t>http://www.linkedin.com/in/laurentcalippe</t>
  </si>
  <si>
    <t>http://www.camping-bretagne-atlantique.com</t>
  </si>
  <si>
    <t>Fouesnant</t>
  </si>
  <si>
    <t xml:space="preserve">Fouesnant, Brittany, France</t>
  </si>
  <si>
    <t>Ariane</t>
  </si>
  <si>
    <t xml:space="preserve">Co-fondatrice/ Dirigeante</t>
  </si>
  <si>
    <t xml:space="preserve">Les Marmites Volantes</t>
  </si>
  <si>
    <t>ariane@marmitesvolantes.fr</t>
  </si>
  <si>
    <t>http://www.linkedin.com/in/ariane-delmas-6a14935</t>
  </si>
  <si>
    <t>http://www.marmitesvolantes.fr</t>
  </si>
  <si>
    <t xml:space="preserve">69 Rue Armand Carrel, Paris, Ile-de-France, France, 75019</t>
  </si>
  <si>
    <t>Meaud</t>
  </si>
  <si>
    <t>guillaume@popotes.fr</t>
  </si>
  <si>
    <t>http://www.linkedin.com/in/guillaumemeaud</t>
  </si>
  <si>
    <t>D'Orsetti</t>
  </si>
  <si>
    <t xml:space="preserve">Co-fondateur et gérant</t>
  </si>
  <si>
    <t>alban@le17-45.fr</t>
  </si>
  <si>
    <t>http://www.linkedin.com/in/alban-d-orsetti-174b76145</t>
  </si>
  <si>
    <t>Piante</t>
  </si>
  <si>
    <t>Orgueil</t>
  </si>
  <si>
    <t>benoit@hubrisgroupe.com</t>
  </si>
  <si>
    <t>http://www.linkedin.com/in/beno%c3%aet-piante-95906286</t>
  </si>
  <si>
    <t>http://www.bonaloi.com</t>
  </si>
  <si>
    <t xml:space="preserve">6 Rue Popincourt, Paris, Ile-de-France, France, 75011</t>
  </si>
  <si>
    <t xml:space="preserve">BONALOI : Découvrez nos restaurants engagés pour un art de vivre responsable, égayés par la passion du goût, magnifiés par le travail des saveurs.</t>
  </si>
  <si>
    <t>Chacun</t>
  </si>
  <si>
    <t>ARZEL</t>
  </si>
  <si>
    <t>xavier.chacun@arzel.eu</t>
  </si>
  <si>
    <t>http://www.linkedin.com/in/xavier-chacun-67b7b3195</t>
  </si>
  <si>
    <t>http://www.arzelmanagement.com</t>
  </si>
  <si>
    <t xml:space="preserve">9 Rue Dugommier, Nantes, Pays de la Loire, France, 44000</t>
  </si>
  <si>
    <t xml:space="preserve">Arzel est un opérateur hôtelier Nantais qui conçoit, accompagne et exploite des lieux "hauts en couleurs" pour son compte ou le compte d'investisseur.</t>
  </si>
  <si>
    <t>Dimova</t>
  </si>
  <si>
    <t>founder</t>
  </si>
  <si>
    <t xml:space="preserve">Chateau Coliving &amp; Coworking</t>
  </si>
  <si>
    <t>katia@chateaucoliving.com</t>
  </si>
  <si>
    <t>http://www.linkedin.com/in/katiadimova</t>
  </si>
  <si>
    <t>http://www.chateaucoliving.com</t>
  </si>
  <si>
    <t xml:space="preserve">Picauville, Normandy, France, 50360</t>
  </si>
  <si>
    <t xml:space="preserve">Join the #1 independent Coliving in Europe: work and live remotely in a 12th century castle with all modern comfort and the best community!</t>
  </si>
  <si>
    <t>Garret</t>
  </si>
  <si>
    <t xml:space="preserve">Domaine du Roncemay</t>
  </si>
  <si>
    <t>fanny.garret@roncemay.com</t>
  </si>
  <si>
    <t>http://www.linkedin.com/in/fanny-garret-22943a37</t>
  </si>
  <si>
    <t>http://www.roncemay.com</t>
  </si>
  <si>
    <t xml:space="preserve">Chassy, Bourgogne-Franche-Comte, France, 89110</t>
  </si>
  <si>
    <t xml:space="preserve">[OFFICIEL] Domaine &amp; Golf du Roncemay à Chassy · Yonne, Bourgogne · Hotel Golf 4 étoiles, Restaurant Gastronomique, Court Tennis, Salle Séminaire, Parc, Bâtiment Style Bourguignon &amp; Château XIX</t>
  </si>
  <si>
    <t>Raveyre</t>
  </si>
  <si>
    <t xml:space="preserve">Résidence de la Pinède</t>
  </si>
  <si>
    <t>o.raveyre@chevalblanc.com</t>
  </si>
  <si>
    <t>http://www.linkedin.com/in/olivier-raveyre-971ab513</t>
  </si>
  <si>
    <t>http://www.residencepinede.com</t>
  </si>
  <si>
    <t>Saint-Tropez</t>
  </si>
  <si>
    <t xml:space="preserve">Plage de la Bouillabaisse, Saint-Tropez, Provence-Alpes-Cote d'Azur, France, 83990</t>
  </si>
  <si>
    <t>Pragassam</t>
  </si>
  <si>
    <t>Oazi</t>
  </si>
  <si>
    <t>valentin.pragassam@oazi.fr</t>
  </si>
  <si>
    <t>http://www.linkedin.com/in/valentin-pragassam-92782013a</t>
  </si>
  <si>
    <t>http://www.oazi.fr</t>
  </si>
  <si>
    <t xml:space="preserve">Sao Paulo, State of Sao Paulo, Brazil</t>
  </si>
  <si>
    <t>Brazil</t>
  </si>
  <si>
    <t xml:space="preserve">On vous accompagne pour créer votre application mobile sur Paris, et partout en France, en quelques semaines pour accélérer votre business.</t>
  </si>
  <si>
    <t>Aubert</t>
  </si>
  <si>
    <t xml:space="preserve">BLANCHISSERIE BSC</t>
  </si>
  <si>
    <t>c.aubert@blanchisserie-bsc.fr</t>
  </si>
  <si>
    <t>http://www.linkedin.com/in/c%c3%a9line-aubert-671307a4</t>
  </si>
  <si>
    <t>http://www.blanchisserie-bsc.fr</t>
  </si>
  <si>
    <t>Brieres-les-Scelles</t>
  </si>
  <si>
    <t xml:space="preserve">3 Rue Marcel Laloyeau, Brieres-les-Scelles, Ile-de-France, France, 91150</t>
  </si>
  <si>
    <t xml:space="preserve">Blanchisserie industrielle d'Ile de France, BSC propose blanchissage et location de linge de qualité pour l'hôtellerie et la restauration.</t>
  </si>
  <si>
    <t>Jc</t>
  </si>
  <si>
    <t>Fournier</t>
  </si>
  <si>
    <t>BUSTRONOME</t>
  </si>
  <si>
    <t>jcf@bustronome.com</t>
  </si>
  <si>
    <t>http://www.linkedin.com/in/jcfournier</t>
  </si>
  <si>
    <t>http://www.bustronome.com</t>
  </si>
  <si>
    <t xml:space="preserve">2 Avenue Kleber, Paris, Ile-de-France, France, 75116</t>
  </si>
  <si>
    <t xml:space="preserve">Vivez une expérience gastronomique unique à bord du Bustronome, un bus à impériale avec toit vitré. Savourez des plats d'exception tout en admirant les monuments parisiens emblématiques. Réservez dès maintenant pour un voyage gourmand inoubliable !</t>
  </si>
  <si>
    <t>Coste</t>
  </si>
  <si>
    <t xml:space="preserve">BVC Group</t>
  </si>
  <si>
    <t>jeremy@bvcgroup.co.uk</t>
  </si>
  <si>
    <t>http://www.linkedin.com/in/jeremy-coste-1b3889190</t>
  </si>
  <si>
    <t>http://www.bvcgroup.co.uk</t>
  </si>
  <si>
    <t xml:space="preserve">13841 Roswell Ave, Chino, California, United States, 91710-5467</t>
  </si>
  <si>
    <t>Fayard</t>
  </si>
  <si>
    <t>Prisme</t>
  </si>
  <si>
    <t>guillaume.fayard@e-prisme.fr</t>
  </si>
  <si>
    <t>http://www.linkedin.com/in/guillaume-fayard-89174728</t>
  </si>
  <si>
    <t>http://www.prismellc.com</t>
  </si>
  <si>
    <t xml:space="preserve">Dubai, Dubai, United Arab Emirates</t>
  </si>
  <si>
    <t xml:space="preserve">United Arab Emirates</t>
  </si>
  <si>
    <t xml:space="preserve">Prisme prides itself on being a key supplier of high-end OS&amp;E and other luxury furnishings within Dubai's vibrant hotel scene. If its hotel supplies you want, Prisme has the solution for you.</t>
  </si>
  <si>
    <t>Desmazieres</t>
  </si>
  <si>
    <t>sophie@homanie.com</t>
  </si>
  <si>
    <t>http://www.linkedin.com/in/sophie-desmazieres</t>
  </si>
  <si>
    <t>Cluizel</t>
  </si>
  <si>
    <t xml:space="preserve">Un Dimanche à Paris</t>
  </si>
  <si>
    <t>pierre.cluizel@undimancheaparis.com</t>
  </si>
  <si>
    <t>http://www.linkedin.com/in/pierre-cluizel-1432b72b</t>
  </si>
  <si>
    <t>http://www.udap.online</t>
  </si>
  <si>
    <t xml:space="preserve">4 Cour du Commerce Saint-Andre, Paris, Ile-de-France, France, 75006</t>
  </si>
  <si>
    <t>christophe.claudel@lespenates.co</t>
  </si>
  <si>
    <t>http://www.linkedin.com/in/christophe-claudel-86877</t>
  </si>
  <si>
    <t>Moreau</t>
  </si>
  <si>
    <t xml:space="preserve">HOTEL C2</t>
  </si>
  <si>
    <t>direction@c2-hotel.com</t>
  </si>
  <si>
    <t>http://www.linkedin.com/in/aurore-chevry-moreau-b9b886112</t>
  </si>
  <si>
    <t>http://www.c2-hotel.com</t>
  </si>
  <si>
    <t xml:space="preserve">48 Rue Roux de Brignoles, Marseille, Provence-Alpes-Cote d'Azur, France, 13006</t>
  </si>
  <si>
    <t xml:space="preserve">Le C2 Marseille est un hôtel de luxe avec spa. Hôtel 5 étoiles idéalement situé en centre ville de Marseille. Une démarche architecturale unique.</t>
  </si>
  <si>
    <t>Perry</t>
  </si>
  <si>
    <t xml:space="preserve">Fondateur, Dirigeant Oh! Vin' Coeur!</t>
  </si>
  <si>
    <t xml:space="preserve">OH ! VIN' COEUR !</t>
  </si>
  <si>
    <t>mperry@ckr.com</t>
  </si>
  <si>
    <t>http://www.linkedin.com/in/marc-perry-232677127</t>
  </si>
  <si>
    <t>http://www.ohvincoeur.fr</t>
  </si>
  <si>
    <t>Taverny</t>
  </si>
  <si>
    <t xml:space="preserve">192 Rue de Paris, Taverny, Ile-de-France, France, 95150</t>
  </si>
  <si>
    <t>Suresh</t>
  </si>
  <si>
    <t>Mojito</t>
  </si>
  <si>
    <t xml:space="preserve">Cuba Compagnie Cafe</t>
  </si>
  <si>
    <t>suresh@cubacompagnie.com</t>
  </si>
  <si>
    <t>http://www.linkedin.com/in/suresh-mojito-78a7451b4</t>
  </si>
  <si>
    <t>http://www.cubacompagnie.com</t>
  </si>
  <si>
    <t xml:space="preserve">48 Boulevard Beaumarchais, Paris, Ile-de-France, France, 75011</t>
  </si>
  <si>
    <t xml:space="preserve">La meilleure cuisine cubaine à Paris. Expérience gastronomique et bar unique à Bastille</t>
  </si>
  <si>
    <t>Stan</t>
  </si>
  <si>
    <t>Udovitch</t>
  </si>
  <si>
    <t>Arownd.me</t>
  </si>
  <si>
    <t>stan@arownd.me</t>
  </si>
  <si>
    <t>http://www.linkedin.com/in/stan-udovitch-749345187</t>
  </si>
  <si>
    <t>http://www.justay.fr</t>
  </si>
  <si>
    <t xml:space="preserve">Le Perreux-sur-Marne</t>
  </si>
  <si>
    <t xml:space="preserve">Justay est une solution de Room Directory digital pour hôtels qui permet 
d'améliorer l'expérience client en offrant un accès facile à toutes les 
informations importantes via un scan de QR code. Notre application 
intuitive fournit aux clients des informations clés sur l'hôtel, le room 
directory, les services proposés, les attractions locales et bien plus 
encore.</t>
  </si>
  <si>
    <t>Evgeny</t>
  </si>
  <si>
    <t>Shpak</t>
  </si>
  <si>
    <t xml:space="preserve">Starling Burgers</t>
  </si>
  <si>
    <t>shpak@starling-burgers.com</t>
  </si>
  <si>
    <t>http://www.linkedin.com/in/evgeny-shpak-89424a19b</t>
  </si>
  <si>
    <t>http://www.starling-burgers.com</t>
  </si>
  <si>
    <t xml:space="preserve">Strasbourg, Alsace, France</t>
  </si>
  <si>
    <t xml:space="preserve">Burgers with fresh, organic, and local products. An impressive selection of craft beers !</t>
  </si>
  <si>
    <t>nathalie@monarque.fr</t>
  </si>
  <si>
    <t>http://www.linkedin.com/in/jallerat-nathalie-12541168</t>
  </si>
  <si>
    <t>Sabine</t>
  </si>
  <si>
    <t>Masse</t>
  </si>
  <si>
    <t xml:space="preserve">Maison MASSE</t>
  </si>
  <si>
    <t>sabinemasse@maison-masse.com</t>
  </si>
  <si>
    <t>http://www.linkedin.com/in/sabine-masse-23070526</t>
  </si>
  <si>
    <t>http://www.maison-masse.com</t>
  </si>
  <si>
    <t xml:space="preserve">54 Avenue de Normandie, Rungis, Ile-de-France, France, 94150</t>
  </si>
  <si>
    <t xml:space="preserve">La Maison MASSE, une famille au service de la gastronomie depuis plus de 135 ans. En savoir plus sur tous les produits...</t>
  </si>
  <si>
    <t>Tobias</t>
  </si>
  <si>
    <t>Chaix</t>
  </si>
  <si>
    <t xml:space="preserve">INDIE GROUP</t>
  </si>
  <si>
    <t>tobias@indiegroup.fr</t>
  </si>
  <si>
    <t>http://www.linkedin.com/in/tobias-chaix-80b9382a8</t>
  </si>
  <si>
    <t>http://www.indiegroup.fr</t>
  </si>
  <si>
    <t>Ramatuelle</t>
  </si>
  <si>
    <t xml:space="preserve">36 Rue du 11 Novembre 1918, Saint-Tropez, Provence-Alpes-Cote d'Azur, France, 83990</t>
  </si>
  <si>
    <t xml:space="preserve">Les restaurants, bars, plages et clubs de Indie Group.</t>
  </si>
  <si>
    <t>Sabatier</t>
  </si>
  <si>
    <t>Les3Lieux</t>
  </si>
  <si>
    <t>asabatier@les3lieux.com</t>
  </si>
  <si>
    <t>http://www.linkedin.com/in/alain-sabatier-208a172a</t>
  </si>
  <si>
    <t>http://www.les3lieux.com</t>
  </si>
  <si>
    <t xml:space="preserve">10 Port des Noues, Les Ponts-de-Ce, Pays de la Loire, France, 49130</t>
  </si>
  <si>
    <t>Isabelle</t>
  </si>
  <si>
    <t>Yung-Lafargue</t>
  </si>
  <si>
    <t xml:space="preserve">HANK Restaurant</t>
  </si>
  <si>
    <t>isabelle@hankrestaurant.com</t>
  </si>
  <si>
    <t>http://www.linkedin.com/in/isabelle-yung-lafargue-134985</t>
  </si>
  <si>
    <t>http://www.hankrestaurant.com</t>
  </si>
  <si>
    <t xml:space="preserve">55 Rue du Temple, Paris, Ile-de-France, France, 75004</t>
  </si>
  <si>
    <t xml:space="preserve">Hank Vegan Burger est la marque de burger 100% Vegan, 100% Plaisir. Restaurants à Paris, Lille et Lyon pour manger sur place, à emporter et en click &amp; collect.</t>
  </si>
  <si>
    <t>Prezelin</t>
  </si>
  <si>
    <t xml:space="preserve">Gérant / Co-fondateur</t>
  </si>
  <si>
    <t xml:space="preserve">Frères Toque</t>
  </si>
  <si>
    <t>louis.prezelin@frerestoque.fr</t>
  </si>
  <si>
    <t>http://www.linkedin.com/in/louis-pr%c3%a9zelin-32913bb3</t>
  </si>
  <si>
    <t>http://www.frerestoque.fr</t>
  </si>
  <si>
    <t xml:space="preserve">8 Place du Ralliement, Angers, Pays de la Loire, France, 49100</t>
  </si>
  <si>
    <t xml:space="preserve">Frères Toque vous livre à domicile ou au bureau les plats de vos restaurants favoris</t>
  </si>
  <si>
    <t>Lydia</t>
  </si>
  <si>
    <t>Desbois</t>
  </si>
  <si>
    <t xml:space="preserve">Empreinte Hôtel</t>
  </si>
  <si>
    <t>lydia.desbois@empreintehotel.com</t>
  </si>
  <si>
    <t>http://www.linkedin.com/in/lydia-desbois-41188a170</t>
  </si>
  <si>
    <t>http://www.empreinte-hotel.com</t>
  </si>
  <si>
    <t xml:space="preserve">Orleans, Centre-Val de Loire, France</t>
  </si>
  <si>
    <t xml:space="preserve">Empreinte Hotel Orléans · Boutique Hotel à Orléans : hôtel spa 4 étoiles en bord de Loire. Séjour inoubliable au cœur du quartier historique d'Orléans.</t>
  </si>
  <si>
    <t>Bras</t>
  </si>
  <si>
    <t xml:space="preserve">Maison Bras</t>
  </si>
  <si>
    <t>sebastien@bras.fr</t>
  </si>
  <si>
    <t>http://www.linkedin.com/in/s%c3%a9bastien-bras-54043324b</t>
  </si>
  <si>
    <t>http://www.bras.fr</t>
  </si>
  <si>
    <t>Laguiole</t>
  </si>
  <si>
    <t xml:space="preserve">Route de l'Aubrac, Laguiole, Occitanie, France, 12210</t>
  </si>
  <si>
    <t>Auger</t>
  </si>
  <si>
    <t xml:space="preserve">PDG, MARKETING DIGITAL</t>
  </si>
  <si>
    <t xml:space="preserve">DIGITAL CHR</t>
  </si>
  <si>
    <t>a.auger@digitalchr.com</t>
  </si>
  <si>
    <t>http://www.linkedin.com/in/webbretagne</t>
  </si>
  <si>
    <t>http://www.digitalchr.fr</t>
  </si>
  <si>
    <t xml:space="preserve">19 Rue de Pornic, Saint-Pere-en-Retz, Pays de la Loire, France, 44320</t>
  </si>
  <si>
    <t xml:space="preserve">Gestionnaire de réservation, Création de site internet de restaurant, marketing de restaurant, e-reputation.</t>
  </si>
  <si>
    <t>Lacoste</t>
  </si>
  <si>
    <t xml:space="preserve">COO &amp; Co-fondateur</t>
  </si>
  <si>
    <t>arnaud.lacoste@wiicmenu.com</t>
  </si>
  <si>
    <t>http://www.linkedin.com/in/arnaud-lacoste-%f0%9f%90%8a-5b521a121</t>
  </si>
  <si>
    <t>Retif</t>
  </si>
  <si>
    <t xml:space="preserve">Serve Technology</t>
  </si>
  <si>
    <t>charles@wavefoody.com</t>
  </si>
  <si>
    <t>http://www.linkedin.com/in/charles-r%c3%a9tif-546288272</t>
  </si>
  <si>
    <t>http://www.wavefoody.com</t>
  </si>
  <si>
    <t>Laroque-des-Alberes</t>
  </si>
  <si>
    <t xml:space="preserve">981 Mission Street, San Francisco, California, United States, 94103</t>
  </si>
  <si>
    <t>pascal.m@le-caribeen.fr</t>
  </si>
  <si>
    <t>http://www.linkedin.com/in/pascal-martin-0b1439174</t>
  </si>
  <si>
    <t>Cachan</t>
  </si>
  <si>
    <t>Gad</t>
  </si>
  <si>
    <t>SERITEL</t>
  </si>
  <si>
    <t>laurence.gad@seritel.fr</t>
  </si>
  <si>
    <t>http://www.linkedin.com/in/laurence-gad-b991a1226</t>
  </si>
  <si>
    <t>http://www.seritel.pt</t>
  </si>
  <si>
    <t>Piroulas</t>
  </si>
  <si>
    <t xml:space="preserve">Directeur général d’hôtel-restaurant</t>
  </si>
  <si>
    <t xml:space="preserve">La Clef des Châteaux</t>
  </si>
  <si>
    <t>direction@laclefdeschateaux.fr</t>
  </si>
  <si>
    <t>http://www.linkedin.com/in/j%c3%a9r%c3%b4me-piroulas-b92426111</t>
  </si>
  <si>
    <t>http://www.hotel-la-clef-des-chateaux.fr</t>
  </si>
  <si>
    <t>Fondettes</t>
  </si>
  <si>
    <t xml:space="preserve">Découvrez l’Hôtel La Clef des Châteaux à 3km du château de Chambord. Emplacement idéal à 2h de Paris. Meilleur tarif Garanti sur notre site.</t>
  </si>
  <si>
    <t>Nathaniel</t>
  </si>
  <si>
    <t>Auda</t>
  </si>
  <si>
    <t xml:space="preserve">Co founder ISSA PARIS</t>
  </si>
  <si>
    <t xml:space="preserve">iSSA PARIS</t>
  </si>
  <si>
    <t>nathaniel.auda@issa-paris.com</t>
  </si>
  <si>
    <t>http://www.linkedin.com/in/nathaniel-auda-06a75b10</t>
  </si>
  <si>
    <t>http://www.grandmabehrendt.com</t>
  </si>
  <si>
    <t xml:space="preserve">4 Rue du Petit-Moine, Paris, Ile-de-France, France, 75005</t>
  </si>
  <si>
    <t xml:space="preserve">Keluaran macau hari ini dikhususkan pemain togel macau untuk mendapatkan pengeluaran macau tercepat dan data macau prize langsung dari situs resmi toto macau pools.</t>
  </si>
  <si>
    <t>Mouton</t>
  </si>
  <si>
    <t xml:space="preserve">Gérant - Restaurant JAJA Rueil-Malmaison</t>
  </si>
  <si>
    <t xml:space="preserve">Groupe Les Fines Bouches</t>
  </si>
  <si>
    <t>omouton@vinom.fr</t>
  </si>
  <si>
    <t>http://www.linkedin.com/in/olivier-mouton-88682882</t>
  </si>
  <si>
    <t>https://vinom.fr</t>
  </si>
  <si>
    <t xml:space="preserve">146 Rue Montmartre, Paris, Ile-de-France, France, 75002</t>
  </si>
  <si>
    <t>Leduc</t>
  </si>
  <si>
    <t xml:space="preserve">Directeur général adjoint (en charge des opérations)</t>
  </si>
  <si>
    <t>KellyDeli</t>
  </si>
  <si>
    <t>boris.leduc@kellydeli.com</t>
  </si>
  <si>
    <t>http://www.linkedin.com/in/borisleduc</t>
  </si>
  <si>
    <t>https://kellydeli.com</t>
  </si>
  <si>
    <t xml:space="preserve">255 Finchley Road, London, England, United Kingdom, NW3 5</t>
  </si>
  <si>
    <t xml:space="preserve">At KellyDeli we help the world to eat better, dream bigger and flourish together through our Asian-inspired restaurants, brands and thousands of sushi kiosks across Europe.</t>
  </si>
  <si>
    <t>Oliver</t>
  </si>
  <si>
    <t>Schneider</t>
  </si>
  <si>
    <t>Continental</t>
  </si>
  <si>
    <t>oliver.schneider@conti.de</t>
  </si>
  <si>
    <t>http://www.linkedin.com/in/oliver-schneider14071977</t>
  </si>
  <si>
    <t>https://continentalserves.com</t>
  </si>
  <si>
    <t>Wambrechies</t>
  </si>
  <si>
    <t xml:space="preserve">700 Stephenson Highway, Troy, Michigan, United States, 48083</t>
  </si>
  <si>
    <t xml:space="preserve">The Midwest leader in workplace food and beverage micro-market, vending services across Michigan, Ohio, Indiana, Pennsylvania, and New York.</t>
  </si>
  <si>
    <t>Juvin</t>
  </si>
  <si>
    <t xml:space="preserve">MDCV Provence</t>
  </si>
  <si>
    <t>didierjuvin@cvprovence.com</t>
  </si>
  <si>
    <t>http://www.linkedin.com/in/didier-juvin-556011a3</t>
  </si>
  <si>
    <t>https://mdcv.fr</t>
  </si>
  <si>
    <t xml:space="preserve">Route de la Garde Freinet, Le Cannet-des-Maures, Provence-Alpes-Cote d'Azur, France, 83340</t>
  </si>
  <si>
    <t>Chazeau</t>
  </si>
  <si>
    <t xml:space="preserve">Directeur général UK, membre du COMEX en charge des acquisitions</t>
  </si>
  <si>
    <t xml:space="preserve">La Compagnie des Desserts</t>
  </si>
  <si>
    <t>frederic.chazeau@compagniedesdesserts.com</t>
  </si>
  <si>
    <t>http://www.linkedin.com/in/fr%c3%a9d%c3%a9ric-chazeau-66055912a</t>
  </si>
  <si>
    <t>https://compagniedesdesserts.com</t>
  </si>
  <si>
    <t xml:space="preserve">Lezignan-Corbieres, Languedoc-Roussillon, France, 11200</t>
  </si>
  <si>
    <t xml:space="preserve">La Compagnie des Desserts est le regroupement de plusieurs glaciers, pâtissiers et boulangers, poursuivant une ambition forte commune :être le spécialiste du</t>
  </si>
  <si>
    <t>Sylvain</t>
  </si>
  <si>
    <t xml:space="preserve">CEO | food service specialist</t>
  </si>
  <si>
    <t>sylvain.bertrand@compagniedesdesserts.com</t>
  </si>
  <si>
    <t>http://www.linkedin.com/in/sylvain-bertrand-b65a2b82</t>
  </si>
  <si>
    <t>Alexi</t>
  </si>
  <si>
    <t>Faure</t>
  </si>
  <si>
    <t>Gérant</t>
  </si>
  <si>
    <t>Inbed</t>
  </si>
  <si>
    <t>alexi@inbed.fr</t>
  </si>
  <si>
    <t>http://www.linkedin.com/in/alexi-faure-283436135</t>
  </si>
  <si>
    <t>https://inbed.fr</t>
  </si>
  <si>
    <t xml:space="preserve">Tours, Centre-Val de Loire, France, 37000</t>
  </si>
  <si>
    <t xml:space="preserve">Confiez la gestion de votre location à des concierges professionnels en Indre-et-Loire (37). Inbed, c'est aussi des dizaines de biens à louer toute l'année !</t>
  </si>
  <si>
    <t xml:space="preserve">Naéco Hostels</t>
  </si>
  <si>
    <t>charles@naeco.bzh</t>
  </si>
  <si>
    <t>http://www.linkedin.com/in/charleslebaud</t>
  </si>
  <si>
    <t>https://naeco.bzh</t>
  </si>
  <si>
    <t xml:space="preserve">22 Rue de l'Oppidum, Carnac, Bretagne, France, 56340</t>
  </si>
  <si>
    <t xml:space="preserve">SITE OFFICIEL | Séjournez avec Naéco pour une expérience insolite entre nature et océan dans l'une de nos destinations en Bretagne Sud  !</t>
  </si>
  <si>
    <t>Cervera</t>
  </si>
  <si>
    <t xml:space="preserve">The Originals Boutique Hotel Saint James</t>
  </si>
  <si>
    <t>christophe.cervera@saintjames-hotel.fr</t>
  </si>
  <si>
    <t>http://www.linkedin.com/in/christophe-cervera-4ba05439</t>
  </si>
  <si>
    <t>https://saintjames-hotel.fr</t>
  </si>
  <si>
    <t xml:space="preserve">1 Rue du Flechet, Montaigu, Pays de la Loire, France, 85600</t>
  </si>
  <si>
    <t xml:space="preserve">L'Hôtel Saint James 3 étoiles, situé à Montaigu Vendée vous accueille avec une piscine rafraîchissante, des chambres confortables et des salles pour vos séminaires.</t>
  </si>
  <si>
    <t>Joubert</t>
  </si>
  <si>
    <t>Co-gérant</t>
  </si>
  <si>
    <t xml:space="preserve">CARRE HOTELS Group</t>
  </si>
  <si>
    <t>cjoubert@carrehotels.com</t>
  </si>
  <si>
    <t>http://www.linkedin.com/in/cl%c3%a9ment-joubert-111a33148</t>
  </si>
  <si>
    <t>https://carrehotels.com</t>
  </si>
  <si>
    <t xml:space="preserve">Serres-Castet, Aquitaine-Limousin-Poitou-Charentes, France</t>
  </si>
  <si>
    <t xml:space="preserve">Découvrez les deux hôtels du Carré Hotels Group: Carré Pau Airport Hotel proche de l’aéroport Pau-Pyrénées et le Carré Py' hotel au cœur des Pyrénées. Réservez en direct et bénéficiez du meilleur tarif garanti.</t>
  </si>
  <si>
    <t>Robin</t>
  </si>
  <si>
    <t xml:space="preserve">Associé gérant</t>
  </si>
  <si>
    <t xml:space="preserve">Agence WEBCOM</t>
  </si>
  <si>
    <t>david@agencewebcom.com</t>
  </si>
  <si>
    <t>http://www.linkedin.com/in/david-robin-9116a011</t>
  </si>
  <si>
    <t>https://agencewebcom.com</t>
  </si>
  <si>
    <t xml:space="preserve">229 Rue Saint-Honore, Paris, Ile-de-France, France, 75001</t>
  </si>
  <si>
    <t xml:space="preserve">Spécialisée Hôtellerie Restauration. Une équipe experte en communication et marketing digital, depuis plus de 15 ans. Création site web, gestion réseaux sociaux, création de contenu photos, vidéo, visite virtuelle 3D, campagnes Google Ads...</t>
  </si>
  <si>
    <t>Chevillard</t>
  </si>
  <si>
    <t xml:space="preserve">LES PALAIS DU TROCADERO</t>
  </si>
  <si>
    <t>dir@lespalaisdutrocadero.com</t>
  </si>
  <si>
    <t>http://www.linkedin.com/in/camille-chevillard-%f0%9f%8f%a8-80571940</t>
  </si>
  <si>
    <t>https://lespalaisdutrocadero.fr</t>
  </si>
  <si>
    <t xml:space="preserve">35 Avenue Raymond Poincare, Paris, Ile-de-France, France, 75116</t>
  </si>
  <si>
    <t xml:space="preserve">Les palais du Trocadero est un groupe hôtelier composé de deux boutique hotels rénovés à Paris distant l'un de l'autre de 30 mètres seulement.
Séjours loisir ou business, chambre simple, double, triple et quadruple.
Parking, restauration, petit déjeuners</t>
  </si>
  <si>
    <t>Elena</t>
  </si>
  <si>
    <t>Tharaud</t>
  </si>
  <si>
    <t xml:space="preserve">Gérant principal</t>
  </si>
  <si>
    <t xml:space="preserve">Best Western Plus Hôtel Richelieu</t>
  </si>
  <si>
    <t>elena.tharaud@hotel-richelieu.com</t>
  </si>
  <si>
    <t>http://www.linkedin.com/in/elena-tharaud-2596b21a3</t>
  </si>
  <si>
    <t>https://bestwestern-richelieu-limoges.com</t>
  </si>
  <si>
    <t>Limoges</t>
  </si>
  <si>
    <t xml:space="preserve">40 Avenue Baudin, Limoges, Limousin, France, 87000</t>
  </si>
  <si>
    <t xml:space="preserve">Ancien hôtel particulier, l'hôtel 4 étoiles Best Western Plus Le Richelieu est situé dans l’élégant quartier de l’hôtel de ville de Limoges et a su garder au fil de ses aménagements son âme de demeure privée.</t>
  </si>
  <si>
    <t>Pingat</t>
  </si>
  <si>
    <t xml:space="preserve">Founder and President</t>
  </si>
  <si>
    <t>eric.pingat@lacasernechanzy.com</t>
  </si>
  <si>
    <t>http://www.linkedin.com/in/eric-pingat-propertyandhospitality</t>
  </si>
  <si>
    <t>https://lacasernechanzy.com</t>
  </si>
  <si>
    <t>Reveillere</t>
  </si>
  <si>
    <t xml:space="preserve">Camping Europa</t>
  </si>
  <si>
    <t>eric@europacamp.com</t>
  </si>
  <si>
    <t>http://www.linkedin.com/in/eric-reveillere-3b648712a</t>
  </si>
  <si>
    <t>https://europacamp.com</t>
  </si>
  <si>
    <t>Saint-Gilles-Croix-de-Vie</t>
  </si>
  <si>
    <t xml:space="preserve">Saint-Jorioz, Auvergne-Rhone-Alpes, France</t>
  </si>
  <si>
    <t xml:space="preserve">Camping Europa en Vendée, à Givrand, camping 4 étoiles à Saint Gilles Croix de Vie, label VACAF. Vacances en famille, proche de la mer, vente et location de mobil homes dans ce camping  en Vendée avec piscine couverte et piscine chauffée.</t>
  </si>
  <si>
    <t>Griveau</t>
  </si>
  <si>
    <t xml:space="preserve">Les Jardins de l'Anjou</t>
  </si>
  <si>
    <t>francois@jardinsdelanjou.fr</t>
  </si>
  <si>
    <t>http://www.linkedin.com/in/fran%c3%a7ois-griveau-3a43b6169</t>
  </si>
  <si>
    <t>https://jardinsdelanjou.fr</t>
  </si>
  <si>
    <t xml:space="preserve">La Pommeraye</t>
  </si>
  <si>
    <t xml:space="preserve">Mauges-sur-Loire, Pays de la Loire, France, 49620</t>
  </si>
  <si>
    <t xml:space="preserve">Domaine hôtelier entre Angers et Nantes. Les Jardins de l'Anjou vous proposent des solutions d'hébergement, traiteur, séminaire d'entreprise en Anjou.</t>
  </si>
  <si>
    <t>Giove</t>
  </si>
  <si>
    <t xml:space="preserve">Ajust Conseil</t>
  </si>
  <si>
    <t>justine@ajustconseil.com</t>
  </si>
  <si>
    <t>http://www.linkedin.com/in/justine-giove-9a8a3227</t>
  </si>
  <si>
    <t>https://ajustconseil.com</t>
  </si>
  <si>
    <t xml:space="preserve">Nantes, Pays de la Loire, France, 44000</t>
  </si>
  <si>
    <t xml:space="preserve">Découvrez nos services de recrutement et accompagnement pour augmenter les performances de votre hotel et de votre restaurant.</t>
  </si>
  <si>
    <t>Boisseau</t>
  </si>
  <si>
    <t xml:space="preserve">Fondatrice CEO Bedycasa Renaissance</t>
  </si>
  <si>
    <t>Bedycasa</t>
  </si>
  <si>
    <t>magali@bedycasa.com</t>
  </si>
  <si>
    <t>http://www.linkedin.com/in/magalionline</t>
  </si>
  <si>
    <t>https://bedycasa.com</t>
  </si>
  <si>
    <t xml:space="preserve">4 Rue de l’orée du Littoral, Villeneuve-lès-Maguelone, Occitanie, France, 34750</t>
  </si>
  <si>
    <t xml:space="preserve">L'hébergement chez l'habitant responsable depuis 2007</t>
  </si>
  <si>
    <t>Lefebvre</t>
  </si>
  <si>
    <t xml:space="preserve">Propriétaire gérant</t>
  </si>
  <si>
    <t xml:space="preserve">Quintessia Resort</t>
  </si>
  <si>
    <t>maxime.lefebvre@quintessia-resort.com</t>
  </si>
  <si>
    <t>http://www.linkedin.com/in/maxime-lefebvre-8b1673b2</t>
  </si>
  <si>
    <t>https://quintessia.fr</t>
  </si>
  <si>
    <t xml:space="preserve">24 Chemin des Marais du Cens, Orvault, Pays de la Loire, France, 44700</t>
  </si>
  <si>
    <t xml:space="preserve">Bienvenue au Quintessia Resort, hôtel de charme aux portes de Nantes. Découvrez son cadre verdoyant, son restaurant bistronomique et son spa-balnéo !</t>
  </si>
  <si>
    <t>maxime@inbed.fr</t>
  </si>
  <si>
    <t>http://www.linkedin.com/in/maxime-meunier-72a91a1ba</t>
  </si>
  <si>
    <t>Marilyne</t>
  </si>
  <si>
    <t>Nunge</t>
  </si>
  <si>
    <t>7Hotel&amp;Spa</t>
  </si>
  <si>
    <t>mnunge@7hotel.fr</t>
  </si>
  <si>
    <t>http://www.linkedin.com/in/marilyne-nunge-614629a4</t>
  </si>
  <si>
    <t>https://7hotel.fr</t>
  </si>
  <si>
    <t xml:space="preserve">Strasbourg, Grand Est, France</t>
  </si>
  <si>
    <t xml:space="preserve">Bienvenue au 7 Hôtel &amp; Spa situé à Illkirch-Graffenstaden proche de Strasbourg et profitez pleinement de la région en résidant dans ce charmant Hôtel quatre étoiles avec Spa.</t>
  </si>
  <si>
    <t>Maisonnasse</t>
  </si>
  <si>
    <t>Hotelo</t>
  </si>
  <si>
    <t>olivier.maisonnasse@hotelo-lyon.com</t>
  </si>
  <si>
    <t>http://www.linkedin.com/in/omaisonnasse</t>
  </si>
  <si>
    <t>https://groupe-hotelo.com</t>
  </si>
  <si>
    <t xml:space="preserve">Vous cherchez un hôtel cosy en plein centre ville de Lyon avec parking, hôtels Hotelo Charité &amp; Ainay vous offrent un concept d'accueil personnalisé &amp; chaleureux.</t>
  </si>
  <si>
    <t>Walti</t>
  </si>
  <si>
    <t xml:space="preserve">Hôtel Marotte</t>
  </si>
  <si>
    <t>olivier.walti@hotel-marotte.com</t>
  </si>
  <si>
    <t>http://www.linkedin.com/in/olivier-walti-4192a1ba</t>
  </si>
  <si>
    <t>https://hotel-marotte.com</t>
  </si>
  <si>
    <t>Amiens</t>
  </si>
  <si>
    <t xml:space="preserve">3 Rue Marotte, Amiens, Hauts-de-France, France, 80000</t>
  </si>
  <si>
    <t xml:space="preserve">A 5-star luxury hotel with 33 rooms including 5 suites, a 70-seat semi-gastronomic restaurant with a 60-seat terrace, a 350m2 spa with sauna, steamroom...</t>
  </si>
  <si>
    <t>Vinuales</t>
  </si>
  <si>
    <t xml:space="preserve">Co gérant</t>
  </si>
  <si>
    <t xml:space="preserve">HOTELS VINUALES</t>
  </si>
  <si>
    <t>patrickvinuales@hotelsvinuales.com</t>
  </si>
  <si>
    <t>http://www.linkedin.com/in/patrick-vinuales-a13a89105</t>
  </si>
  <si>
    <t>https://hotelsvinuales.com</t>
  </si>
  <si>
    <t>Pau</t>
  </si>
  <si>
    <t xml:space="preserve">Lourdes, Languedoc-Roussillon-Midi-Pyrenees, France, 65100</t>
  </si>
  <si>
    <t xml:space="preserve">Official Website ✅ Best Rates in Direct: Stay in one of our hotels in Lourdes, with restaurants &amp; seminars, for your stay. Book on our website.</t>
  </si>
  <si>
    <t>Dauzet</t>
  </si>
  <si>
    <t xml:space="preserve">Gérant hôtel</t>
  </si>
  <si>
    <t xml:space="preserve">Hôtel MAX PARIS</t>
  </si>
  <si>
    <t>romain.dauzet@hotel-max.fr</t>
  </si>
  <si>
    <t>http://www.linkedin.com/in/romain-dauzet-3b200424b</t>
  </si>
  <si>
    <t>https://hotel-max.fr</t>
  </si>
  <si>
    <t xml:space="preserve">34 Rue d'Alesia, Paris, Ile-de-France, France, 75014</t>
  </si>
  <si>
    <t>Boulenger</t>
  </si>
  <si>
    <t xml:space="preserve">HÔTEL LES BARMES DE L'OURS</t>
  </si>
  <si>
    <t>valerie.boulenger@hotellesbarmes.com</t>
  </si>
  <si>
    <t>http://www.linkedin.com/in/boulenger-valerie-b7aaa1147</t>
  </si>
  <si>
    <t>https://hotellesbarmes.com</t>
  </si>
  <si>
    <t xml:space="preserve">Chemin des Carats, Montee de Bellevarde, Val-d'Isere, Auvergne-Rhone-Alpes, France, 73150</t>
  </si>
  <si>
    <t xml:space="preserve">Idéalement situé au pied de la Face de Bellevarde, l’hôtel &amp; Spa Les Barmes de l’Ours vous propose des séjours raffinés entre gastronomie et bien-être.</t>
  </si>
  <si>
    <t>Gers</t>
  </si>
  <si>
    <t xml:space="preserve">Co-fondateur Réseau labéllisé"CAMPING PARADIS"</t>
  </si>
  <si>
    <t xml:space="preserve">Les Vacances Camping Paradis</t>
  </si>
  <si>
    <t>f.gers@campings-paradis.com</t>
  </si>
  <si>
    <t>http://www.linkedin.com/in/frederickgers</t>
  </si>
  <si>
    <t>https://campings-paradis.com</t>
  </si>
  <si>
    <t xml:space="preserve">Les Loges-en-Josas</t>
  </si>
  <si>
    <t xml:space="preserve">10 Villa d'Eylau, Paris, Ile-de-France, France, 75116</t>
  </si>
  <si>
    <t xml:space="preserve">90 Campings Paradis en 2024 ! Réservez votre séjour et location de mobilhome pour des vacances en camping inspirées de la série TV</t>
  </si>
  <si>
    <t>Adrienne</t>
  </si>
  <si>
    <t xml:space="preserve">TRIBE Hotels</t>
  </si>
  <si>
    <t>adrienne.giraud@mytribehotel.com</t>
  </si>
  <si>
    <t>http://www.linkedin.com/in/adrienne-giraud-6555aa6a</t>
  </si>
  <si>
    <t>https://tribehotels.com</t>
  </si>
  <si>
    <t xml:space="preserve">Issy-les-Moulineaux, Ile-de-France, France, 92130</t>
  </si>
  <si>
    <t xml:space="preserve">TRIBE Hotels are for today’s travellers: those who want something more, for less. We are design lovers who appreciate affordability, focusing on comfortable, aesthetically-pleasing hotel rooms and social spaces that have everything you need and nothing you don’t.</t>
  </si>
  <si>
    <t xml:space="preserve">Directeur général adjoint Finances et Administration</t>
  </si>
  <si>
    <t xml:space="preserve">Evok Hôtels Collection</t>
  </si>
  <si>
    <t>ahamet@evokhotels.com</t>
  </si>
  <si>
    <t>http://www.linkedin.com/in/anthonyhamet</t>
  </si>
  <si>
    <t>https://evokcollection.com</t>
  </si>
  <si>
    <t xml:space="preserve">17 Avenue de l'Opera, Paris, Ile-de-France, France, 75001</t>
  </si>
  <si>
    <t xml:space="preserve">Evok Collection - Créateur de nouveaux styles de vie, des lieux de destinations qui bousculent les codes de l’hôtellerie de luxe</t>
  </si>
  <si>
    <t>Houette</t>
  </si>
  <si>
    <t xml:space="preserve">Hotel Chais Monnet &amp; Spa</t>
  </si>
  <si>
    <t>ahouette@chaismonnethotel.com</t>
  </si>
  <si>
    <t>http://www.linkedin.com/in/anthony-houette-24272433</t>
  </si>
  <si>
    <t>https://chaismonnethotel.com</t>
  </si>
  <si>
    <t xml:space="preserve">50 Avenue Paul Firino Martell, Cognac, Poitou-Charentes, France, 16100</t>
  </si>
  <si>
    <t xml:space="preserve">Profitez d'un séjour inoubliable à Cognac avec Hôtel Chais Monnet &amp; Spa. Luxe, confort et élégance vous attendent dans un cadre exceptionnel.</t>
  </si>
  <si>
    <t>Libes</t>
  </si>
  <si>
    <t xml:space="preserve">Directrice Générale Adjointe en charge du Développement et des Projets Stratégiques</t>
  </si>
  <si>
    <t xml:space="preserve">BWH Hotels</t>
  </si>
  <si>
    <t>alexandra.libes@bestwestern.fr</t>
  </si>
  <si>
    <t>http://www.linkedin.com/in/alexandra-libes-382157100</t>
  </si>
  <si>
    <t>http://www.bwh.com</t>
  </si>
  <si>
    <t xml:space="preserve">50A Landsvaegen, Sundbyberg, Stockholm County, Sweden, 172 63</t>
  </si>
  <si>
    <t>Sweden</t>
  </si>
  <si>
    <t>Hoffmann</t>
  </si>
  <si>
    <t xml:space="preserve">CEO Europe</t>
  </si>
  <si>
    <t>ENTEGRA</t>
  </si>
  <si>
    <t>alice.hoffmann@entegraps.eu</t>
  </si>
  <si>
    <t>http://www.linkedin.com/in/alicehoffmanncordon</t>
  </si>
  <si>
    <t>https://entegraps.com</t>
  </si>
  <si>
    <t xml:space="preserve">1 Southampton Row, London, England, United Kingdom, WC1B 4</t>
  </si>
  <si>
    <t xml:space="preserve">Entegra boosts the performance of hospitality-driven businesses by cutting costs on food, supplies and services and improving operations.</t>
  </si>
  <si>
    <t>Andreea</t>
  </si>
  <si>
    <t>Moisuc</t>
  </si>
  <si>
    <t xml:space="preserve">Assas Hotels</t>
  </si>
  <si>
    <t>am@assas-am.com</t>
  </si>
  <si>
    <t>http://www.linkedin.com/in/andreea-moisuc-67674436</t>
  </si>
  <si>
    <t>https://assas-hotels.com</t>
  </si>
  <si>
    <t xml:space="preserve">Chamonix, Rhone-Alpes, France</t>
  </si>
  <si>
    <t xml:space="preserve">Chez Assas Asset Management SAS, chacune de nos réalisations a été pensée dans sa globalité, avec une exigence : l’excellence hôtelière.</t>
  </si>
  <si>
    <t>https://hotel-fauchon-paris.fr</t>
  </si>
  <si>
    <t xml:space="preserve">Live a unique Parisian experience in Fauchon Hôtel Paris, our luxurious boutique hotel close to the Champs Elysees and the Madeleine neighborhood. Savor every second of a true epicurean moment and discover all Fauchon pleasures.</t>
  </si>
  <si>
    <t>Jousse</t>
  </si>
  <si>
    <t xml:space="preserve">B Signature Hotels &amp; Resorts</t>
  </si>
  <si>
    <t>anne.jousse@bsignaturehotels.com</t>
  </si>
  <si>
    <t>http://www.linkedin.com/in/anne-jousse-86736014</t>
  </si>
  <si>
    <t>https://bsignaturehotels.com</t>
  </si>
  <si>
    <t xml:space="preserve">135 Boulevard Haussmann, Paris, Ile-de-France, France, 75008</t>
  </si>
  <si>
    <t xml:space="preserve">The B Signature Hotels &amp; Resorts group is present in Paris, St Barth and Brittany. Discover the 7 establishments, 4 and 5-star hotels, as well as 2 5-star resorts.</t>
  </si>
  <si>
    <t>M.</t>
  </si>
  <si>
    <t xml:space="preserve">La Folie Douce Hotels Chamonix</t>
  </si>
  <si>
    <t>antoine.morel@lafoliedoucehotels.com</t>
  </si>
  <si>
    <t>http://www.linkedin.com/in/antoine-m-03029046</t>
  </si>
  <si>
    <t>https://lafoliedoucehotels.com</t>
  </si>
  <si>
    <t xml:space="preserve">191 Avenue du Savoy, Chamonix, Rhone-Alpes, France, 74400</t>
  </si>
  <si>
    <t xml:space="preserve">Découvrez La Folie Douce Hotels. Un lieu de vie festif pour se retrouver et partager ensemble un séjour mémorable au cœur de Chamonix.</t>
  </si>
  <si>
    <t>Valtat</t>
  </si>
  <si>
    <t>GreenGo</t>
  </si>
  <si>
    <t>antoine@greengo.voyage</t>
  </si>
  <si>
    <t>http://www.linkedin.com/in/antoine-valtat-6a84a29b</t>
  </si>
  <si>
    <t>https://greengo.voyage</t>
  </si>
  <si>
    <t xml:space="preserve">21B Rue du Simplon, Paris, Ile-de-France, France, 75018</t>
  </si>
  <si>
    <t xml:space="preserve">GreenGo is all about eco-friendly stays that do good. A French, fair alternative that selects the best accommodations in France.</t>
  </si>
  <si>
    <t>Valary</t>
  </si>
  <si>
    <t xml:space="preserve">Domaine Les Crayères</t>
  </si>
  <si>
    <t>arnaud.valary@lescrayeres.com</t>
  </si>
  <si>
    <t>http://www.linkedin.com/in/arnaudvalary</t>
  </si>
  <si>
    <t>https://lescrayeres.com</t>
  </si>
  <si>
    <t xml:space="preserve">Welcome to Domaine Les Crayeres, a luxury hotel and gourmet restaurant in a classic French chateau in Reims. Official site, best rate guarantee!</t>
  </si>
  <si>
    <t>Viotte</t>
  </si>
  <si>
    <t xml:space="preserve">Co-Founder and Managing Partner at LES ETINCELLES</t>
  </si>
  <si>
    <t xml:space="preserve">LES ETINCELLES hôtels chalets &amp; résidences</t>
  </si>
  <si>
    <t>arnaud.viotte@etincelles.com</t>
  </si>
  <si>
    <t>http://www.linkedin.com/in/arnaud-viotte</t>
  </si>
  <si>
    <t>https://etincelles.com</t>
  </si>
  <si>
    <t>Saint-Pierre-d'Albigny</t>
  </si>
  <si>
    <t xml:space="preserve">Route des Fabriques, Saint-Pierre-d'Albigny, Auvergne-Rhone-Alpes, France, 73250</t>
  </si>
  <si>
    <t xml:space="preserve">La Collection Les Etincelles propose des hôtels, chalets et appartements pour des séjours ski à Tignes, La Plagne, Val d'Isère, Val Thorens, L'Alpe d'Huez et Les Arcs.</t>
  </si>
  <si>
    <t>Franquin</t>
  </si>
  <si>
    <t xml:space="preserve">TOO Hôtel</t>
  </si>
  <si>
    <t>aurore.franquin@toohotel.com</t>
  </si>
  <si>
    <t>http://www.linkedin.com/in/aurore-franquin-5126579</t>
  </si>
  <si>
    <t>https://toohotel.com</t>
  </si>
  <si>
    <t>Boulogne-Billancourt</t>
  </si>
  <si>
    <t xml:space="preserve">65 Rue Bruneseau, Paris, Ile-de-France, France, 75013</t>
  </si>
  <si>
    <t xml:space="preserve">L'établissement s’installe dans un Paris 13 effervescent, au sommet d'une des Tours Duo de Jean Nouvel. Cette nouvelle adresse 4 étoiles accrochée aux nuages propose des chambres aux vues spectaculaires sur Paris, la Seine, la Tour Eiffel et tous les monuments de la capitale, un restaurant panoramique, un skybar doté d’une vaste terrasse ainsi qu'un spa en plein ciel et son jacuzzi extérieur.</t>
  </si>
  <si>
    <t>Temimi</t>
  </si>
  <si>
    <t xml:space="preserve">Maison Mère</t>
  </si>
  <si>
    <t>aziz@maisonmere.co</t>
  </si>
  <si>
    <t>http://www.linkedin.com/in/aziz-temimi-9135681a</t>
  </si>
  <si>
    <t>https://maisonmere.co</t>
  </si>
  <si>
    <t xml:space="preserve">7 Rue Mayran, Paris, Ile-de-France, France, 75009</t>
  </si>
  <si>
    <t xml:space="preserve">Maison Mère is a 4-star hotel, a place full of life with a gastronomic restaurant &amp; cocktail bar and a co-working cafe, a festive space and an artistic hub in the heart of the 9th arrondissement of Paris.</t>
  </si>
  <si>
    <t>Dedeler</t>
  </si>
  <si>
    <t xml:space="preserve">Best Western France</t>
  </si>
  <si>
    <t>b.dedeler@hotel-rambouillet.fr</t>
  </si>
  <si>
    <t>http://www.linkedin.com/in/baptiste-dedeler-111351a7</t>
  </si>
  <si>
    <t>https://bestwestern.fr</t>
  </si>
  <si>
    <t xml:space="preserve">10 Rue du Debarcadere, Colombes, Ile-de-France, France, 92700</t>
  </si>
  <si>
    <t>Delclos</t>
  </si>
  <si>
    <t xml:space="preserve">Hôtel de Paris Saint-Tropez 5*</t>
  </si>
  <si>
    <t>b.delclos@hoteldeparis-sainttropez.com</t>
  </si>
  <si>
    <t>http://www.linkedin.com/in/brice-delclos-41412431</t>
  </si>
  <si>
    <t>https://hoteldeparis-sainttropez.com</t>
  </si>
  <si>
    <t xml:space="preserve">Traverse de la Gendarmerie, Saint-Tropez, Provence-Alpes-Cote d'Azur, France, 83990</t>
  </si>
  <si>
    <t xml:space="preserve">Séjournez à l'Hôtel de Paris Saint-Tropez : Spa by Clarins, restaurant Les Toits, unique rooftop du village, événements et séminaires.</t>
  </si>
  <si>
    <t>Beatrice</t>
  </si>
  <si>
    <t>Schopflin</t>
  </si>
  <si>
    <t xml:space="preserve">Directrice générale et Directrice Déléguée Sofitel Paris</t>
  </si>
  <si>
    <t xml:space="preserve">Sofitel Paris Le Faubourg</t>
  </si>
  <si>
    <t>beatrice.schopflin@sofitel.com</t>
  </si>
  <si>
    <t>http://www.linkedin.com/in/beatrice-schopflin-868a5684</t>
  </si>
  <si>
    <t>https://sofitel-paris-lefaubourg.com</t>
  </si>
  <si>
    <t xml:space="preserve">15 Rue Boissy d'Anglas, Paris, Ile-de-France, France, 75008</t>
  </si>
  <si>
    <t>Bruno</t>
  </si>
  <si>
    <t>Mercadal</t>
  </si>
  <si>
    <t xml:space="preserve">Hotel Royal-Riviera</t>
  </si>
  <si>
    <t>bmercadal@royal-riviera.com</t>
  </si>
  <si>
    <t>http://www.linkedin.com/in/bruno-mercadal-b421ab1</t>
  </si>
  <si>
    <t>https://royal-riviera.com</t>
  </si>
  <si>
    <t xml:space="preserve">3 Avenue Jean Monnet, Saint-Jean-Cap-Ferrat, Provence-Alpes-Cote d'Azur, France, 06230</t>
  </si>
  <si>
    <t xml:space="preserve">Une expérience de luxe sur la Côte d'Azur avec chambres vue mer, plage privée, piscine extérieure et jardins. Hôtel 5 étoiles.</t>
  </si>
  <si>
    <t>Delmoy</t>
  </si>
  <si>
    <t xml:space="preserve">Directeur Général Opérations - C.O.O</t>
  </si>
  <si>
    <t xml:space="preserve">Grape Hospitality</t>
  </si>
  <si>
    <t>cdelmoy@grape-hospitality.com</t>
  </si>
  <si>
    <t>http://www.linkedin.com/in/christophe-delmoy-11343168</t>
  </si>
  <si>
    <t>https://grape-hospitality.com</t>
  </si>
  <si>
    <t xml:space="preserve">Grape Hospitality est opérateur, propriétaire et gestionnaire d’une centaine d’hôtels et de 80 restaurants dans 8 pays européens, représentant plus de 8 000 chambres. Grape Hospitality s’appuie sur un pacte stable et reconnu d’actionnaires, avec principalement Eurazéo, pour accélérer la transformation des sociétés au potentiel de croissance les plus prometteuses.</t>
  </si>
  <si>
    <t>Duvot-Cohen</t>
  </si>
  <si>
    <t xml:space="preserve">Inwood Hotels</t>
  </si>
  <si>
    <t>cduvot-cohen@inwood-hotels.com</t>
  </si>
  <si>
    <t>http://www.linkedin.com/in/catherine-duvot-cohen-451b5422</t>
  </si>
  <si>
    <t>https://inwood-hotels.com</t>
  </si>
  <si>
    <t xml:space="preserve">209 Rue de l'Universite, Paris, Ile-de-France, France, 75007</t>
  </si>
  <si>
    <t xml:space="preserve">Le groupe Inwood Hotels vous révèle sa collection de neuf boutiques hotels situés à Bordeaux, Arcachon et Paris proche Tour Eiffel et Champs Elysées.</t>
  </si>
  <si>
    <t>Massias</t>
  </si>
  <si>
    <t xml:space="preserve">MOB HOTEL</t>
  </si>
  <si>
    <t>cecile.paris@mobhotel.com</t>
  </si>
  <si>
    <t>http://www.linkedin.com/in/c%c3%a9cile-massias-a3b32021</t>
  </si>
  <si>
    <t>https://mobhotel.com</t>
  </si>
  <si>
    <t xml:space="preserve">45 Rue Sedaine, Paris, Ile-de-France, France, 75011</t>
  </si>
  <si>
    <t xml:space="preserve">Des hôtels engagés sur l'écologie sociale avec des restaurants bio certifiés, des chambres minimalistes, des évènements culturels, des jardins, terrasses, potagers...</t>
  </si>
  <si>
    <t>Gumbau-Serra</t>
  </si>
  <si>
    <t xml:space="preserve">Nikki Beach Global</t>
  </si>
  <si>
    <t>celia@nikkibeach.com</t>
  </si>
  <si>
    <t>http://www.linkedin.com/in/celia-gumbau-serra-9200ab279</t>
  </si>
  <si>
    <t>https://nikkibeach.com</t>
  </si>
  <si>
    <t xml:space="preserve">1 Ocean Dr, Miami Beach, Florida, United States, 33139</t>
  </si>
  <si>
    <t xml:space="preserve">Discover barefoot luxury at Nikki Beach Hotels &amp; Resorts, where laid-back relaxation meets vibrant celebrations.</t>
  </si>
  <si>
    <t>Miecaze</t>
  </si>
  <si>
    <t xml:space="preserve">Directrice Générale Projets</t>
  </si>
  <si>
    <t>Millésime</t>
  </si>
  <si>
    <t>celine@millesime-collection.com</t>
  </si>
  <si>
    <t>http://www.linkedin.com/in/c%c3%a9line-miecaze-69451026</t>
  </si>
  <si>
    <t>https://millesime-collection.com</t>
  </si>
  <si>
    <t xml:space="preserve">109 Rue Achard, Bordeaux, Nouvelle-Aquitaine, France, 33300</t>
  </si>
  <si>
    <t xml:space="preserve">Discover the Millésime universe through its exceptional Houses, an invitation to travel, escape and happiness!</t>
  </si>
  <si>
    <t>Charles-Edouard</t>
  </si>
  <si>
    <t>Girard,</t>
  </si>
  <si>
    <t>HomeExchange</t>
  </si>
  <si>
    <t>charles-edouard@guesttoguest.com</t>
  </si>
  <si>
    <t>http://www.linkedin.com/in/charles-edouard-girard-3093a025</t>
  </si>
  <si>
    <t>https://homeexchange.com</t>
  </si>
  <si>
    <t xml:space="preserve">45 Rue de Chabrol, Paris, Ile-de-France, France, 75010</t>
  </si>
  <si>
    <t xml:space="preserve">HomeExchange - Join our global social network for free home and apartment exchanges. Travel whenever you want with complete confidence.</t>
  </si>
  <si>
    <t>https://welcomehotel.com</t>
  </si>
  <si>
    <t xml:space="preserve">Odesia Vacances</t>
  </si>
  <si>
    <t>christian.cordier@odesia.eu</t>
  </si>
  <si>
    <t>http://www.linkedin.com/in/christian-cordier-03778073</t>
  </si>
  <si>
    <t>https://odesia-vacances.com</t>
  </si>
  <si>
    <t>Clairvaux-les-Lacs</t>
  </si>
  <si>
    <t xml:space="preserve">Chemin du Langard, Clairvaux-les-Lacs, Bourgogne-Franche-Comte, France, 39130</t>
  </si>
  <si>
    <t xml:space="preserve">Envie de partir en vacances ? Odesia Vacances vous propose des Villages clubs, résidences et camping dans toute la France, été comme hiver !</t>
  </si>
  <si>
    <t>Pomarede</t>
  </si>
  <si>
    <t xml:space="preserve">Directeur général Site MGallery le Louis et Ibis Versailles</t>
  </si>
  <si>
    <t xml:space="preserve">MGallery Hotel Collection</t>
  </si>
  <si>
    <t>christophe.pomarede@accor.com</t>
  </si>
  <si>
    <t>http://www.linkedin.com/in/christophe-pomarede-7b273b68</t>
  </si>
  <si>
    <t>https://accor.com</t>
  </si>
  <si>
    <t xml:space="preserve">72 Rue Henry Farman, Issy-les-Moulineaux, Ile-de-France, France, 92130</t>
  </si>
  <si>
    <t>Renault</t>
  </si>
  <si>
    <t>Guesthouse</t>
  </si>
  <si>
    <t>clement@louveinvest.com</t>
  </si>
  <si>
    <t>http://www.linkedin.com/in/clementrenault</t>
  </si>
  <si>
    <t>https://guest-house.co</t>
  </si>
  <si>
    <t xml:space="preserve">Los Angeles, California, United States, 90036</t>
  </si>
  <si>
    <t xml:space="preserve">Guesthouse is a design-forward rental concept crafted for creatives in pursuit of boundless inspiration and unparalleled flexibility.</t>
  </si>
  <si>
    <t>Sierra</t>
  </si>
  <si>
    <t xml:space="preserve">Terrou-Bi Resort*****</t>
  </si>
  <si>
    <t>d.sierra@terroubi.com</t>
  </si>
  <si>
    <t>http://www.linkedin.com/in/david-sierra-673087169</t>
  </si>
  <si>
    <t>https://terroubi.com</t>
  </si>
  <si>
    <t>Penestin</t>
  </si>
  <si>
    <t xml:space="preserve">Boulevard Martin Luther King, Dakar, Dakar, Senegal</t>
  </si>
  <si>
    <t>Senegal</t>
  </si>
  <si>
    <t xml:space="preserve">SITE OFFICIEL · Terrou-Bi · Hôtel 5 étoiles à Dakar ✓ Bien-Être &amp; Détente ✓ Casino ✓ Restaurants ✓ Meilleurs Tarifs Garantis ✓ Réservez en Direct</t>
  </si>
  <si>
    <t>Duval</t>
  </si>
  <si>
    <t xml:space="preserve">CAPFRANCE VILLAGES VACANCES ET HÔTELS CLUBS</t>
  </si>
  <si>
    <t>damien-duval@villagescapfrance.com</t>
  </si>
  <si>
    <t>http://www.linkedin.com/in/damien-duval-155a9a33</t>
  </si>
  <si>
    <t>https://capfrance-vacances.com</t>
  </si>
  <si>
    <t xml:space="preserve">28 Place Saint-Georges, Paris, Ile-de-France, France, 75009</t>
  </si>
  <si>
    <t xml:space="preserve">Votre séjour en villages vacances et hôtels clubs en France</t>
  </si>
  <si>
    <t>Bynau</t>
  </si>
  <si>
    <t xml:space="preserve">Directeur Général Grand Hôtel Beauvau Marseille Vieux Port - MGallery Collection</t>
  </si>
  <si>
    <t>david.bynau@accor.com</t>
  </si>
  <si>
    <t>http://www.linkedin.com/in/david-bynau-313683b7</t>
  </si>
  <si>
    <t>Lebee</t>
  </si>
  <si>
    <t>Dayuse.com</t>
  </si>
  <si>
    <t>david@dayuse.com</t>
  </si>
  <si>
    <t>http://www.linkedin.com/in/david-leb%c3%a9e-88530a8a</t>
  </si>
  <si>
    <t>https://dayuse.com</t>
  </si>
  <si>
    <t xml:space="preserve">5 Rue de Rochechouart, Paris, Ile-de-France, France, 75009</t>
  </si>
  <si>
    <t xml:space="preserve">Dayuse.com: beautiful hotels, privacy guaranteed. Book a Dayuse.com hotel for a few hours during the day and save up to 75% compared to the overnight. No credit card required and free cancellation.</t>
  </si>
  <si>
    <t>Santa</t>
  </si>
  <si>
    <t>Canarelli</t>
  </si>
  <si>
    <t xml:space="preserve">Domaine de Murtoli</t>
  </si>
  <si>
    <t>direction@murtoli.com</t>
  </si>
  <si>
    <t>http://www.linkedin.com/in/santa-canarelli-640a0816a</t>
  </si>
  <si>
    <t>https://murtoli.com</t>
  </si>
  <si>
    <t>Foce</t>
  </si>
  <si>
    <t xml:space="preserve">Sartene, Corsica, France, 20100</t>
  </si>
  <si>
    <t xml:space="preserve">Plongez dans l'univers du Domaine de Murtoli, un concept d'hôtel 5 étoiles éclaté alliant demeure du XVIIème siècle et bergeries de luxe en Corse-du-Sud.</t>
  </si>
  <si>
    <t>Sylvie</t>
  </si>
  <si>
    <t>Dubreuil</t>
  </si>
  <si>
    <t xml:space="preserve">Côte Ouest Hôtel **** Thalasso &amp; Spa MGallery Collection</t>
  </si>
  <si>
    <t>dubreuil.sylvie@hotel-coteouest.com</t>
  </si>
  <si>
    <t>http://www.linkedin.com/in/sylvie-dubreuil-98501116a</t>
  </si>
  <si>
    <t>https://hotel-coteouest.com</t>
  </si>
  <si>
    <t xml:space="preserve">Route des Sables d'Olonne, Challans, Pays de la Loire, France, 85300</t>
  </si>
  <si>
    <t xml:space="preserve">OFFICIEL · Hôtel Les Sables d'Olonne avec Thalasso et Spa. L’hôtel Côte Ouest 4 étoiles, vous Offre un Environnement Exceptionnel. Adossé à la Pinède, l’Hôtel Thalasso s'Ouvre Généreusement sur l'Océan et la Baie des Sables d'Olonne</t>
  </si>
  <si>
    <t>Blanchemanche</t>
  </si>
  <si>
    <t xml:space="preserve">Hôtel Les Roches Blanches Cassis</t>
  </si>
  <si>
    <t>e.blanchemanche@roches-blanches-cassis.com</t>
  </si>
  <si>
    <t>http://www.linkedin.com/in/emmanuel-blanchemanche-7242749</t>
  </si>
  <si>
    <t>https://roches-blanches-cassis.com</t>
  </si>
  <si>
    <t>Cassis</t>
  </si>
  <si>
    <t xml:space="preserve">9 Avenue des Calanques, Cassis, Provence-Alpes-Cote d'Azur, France, 13260</t>
  </si>
  <si>
    <t xml:space="preserve">Hôtel 5 étoiles Les Roches Blanches, havre de paix à Cassis : chambres et suites vue mer, restaurants raffinés et Spa Sisley face à la Méditerranée</t>
  </si>
  <si>
    <t>Giorgi</t>
  </si>
  <si>
    <t xml:space="preserve">Arteloge Hôtels &amp;</t>
  </si>
  <si>
    <t>egiorgi@arteloge.com</t>
  </si>
  <si>
    <t>http://www.linkedin.com/in/eric-giorgi-1686a0139</t>
  </si>
  <si>
    <t>https://arteloge.com</t>
  </si>
  <si>
    <t xml:space="preserve">SITE OFFICIEL · ARTELOGE, Groupe hôtelier à Lyon ✓ Découvrez les hôtels, restaurants et Spa à Lyon, l’Agence Millevista et les locations meublées Paradinest ✓ Actualités du Groupe et Offres d’emplois à Lyon. </t>
  </si>
  <si>
    <t>Grelaud</t>
  </si>
  <si>
    <t xml:space="preserve">MAPAL Group</t>
  </si>
  <si>
    <t>egrelaud@easilys.com</t>
  </si>
  <si>
    <t>http://www.linkedin.com/in/emmanuel-grelaud-7557b51</t>
  </si>
  <si>
    <t>https://easilys.com</t>
  </si>
  <si>
    <t xml:space="preserve">La Roche-sur-Yon, Pays de la Loire, France</t>
  </si>
  <si>
    <t>Pichard</t>
  </si>
  <si>
    <t xml:space="preserve">NAOS HOTEL GROUPE</t>
  </si>
  <si>
    <t>emilie.pichard@naoshotelgroupe.com</t>
  </si>
  <si>
    <t>http://www.linkedin.com/in/emilie-lemarchand-pichard-1a507b82</t>
  </si>
  <si>
    <t>https://naoshotel.com</t>
  </si>
  <si>
    <t>Poitiers</t>
  </si>
  <si>
    <t xml:space="preserve">Poitiers, Poitou-Charentes, France</t>
  </si>
  <si>
    <t xml:space="preserve">Dans nos hôtels convergent des voyageurs venus de tout horizon. Ce sont des lieux où l'on vient échanger, travailler et vivre des moments privilégiés.</t>
  </si>
  <si>
    <t>emmanuel@homeexchange.com</t>
  </si>
  <si>
    <t>http://www.linkedin.com/in/emmanuelarnaud</t>
  </si>
  <si>
    <t xml:space="preserve">VINCI Immobilier Résidences Gérées</t>
  </si>
  <si>
    <t>eric.lapierre@vinci-immobilier.com</t>
  </si>
  <si>
    <t>http://www.linkedin.com/in/eric-lapierre-16032016</t>
  </si>
  <si>
    <t>https://vinci-immobilier-institutionnel.com</t>
  </si>
  <si>
    <t>https://atypio.com</t>
  </si>
  <si>
    <t>Caudard</t>
  </si>
  <si>
    <t>Fabrice</t>
  </si>
  <si>
    <t xml:space="preserve">Brit Hotel</t>
  </si>
  <si>
    <t>f.caudard@brithotel.fr</t>
  </si>
  <si>
    <t>http://www.linkedin.com/in/caudard-fabrice-a118961b1</t>
  </si>
  <si>
    <t>https://brithotel.fr</t>
  </si>
  <si>
    <t xml:space="preserve">Le May-sur-Evre</t>
  </si>
  <si>
    <t xml:space="preserve">Riverside, Alabama, United States, 35135</t>
  </si>
  <si>
    <t>Tixier-Lacaze</t>
  </si>
  <si>
    <t xml:space="preserve">Directeur Général de Maisons Pariente, pôle hôtelier de EURIPAR</t>
  </si>
  <si>
    <t xml:space="preserve">Maisons Pariente</t>
  </si>
  <si>
    <t>f.tixier-lacaze@maisonspariente.com</t>
  </si>
  <si>
    <t>http://www.linkedin.com/in/francois-tixier-lacaze</t>
  </si>
  <si>
    <t>https://maisonspariente.com</t>
  </si>
  <si>
    <t xml:space="preserve">5 Avenue Bertie Albrecht, Paris, Ile-de-France, France, 75008</t>
  </si>
  <si>
    <t xml:space="preserve">Discover Maisons Pariente, a collection of 5-star hotels offering exceptional luxury and unique experiences. Book now to enjoy elegance and sophistication.</t>
  </si>
  <si>
    <t>Perdoncini</t>
  </si>
  <si>
    <t xml:space="preserve">CEO GEKKO (HCORPO - TELDAR TRAVEL - MILES ATTACK - INFINITE HOTEL) - ACCOR  Division</t>
  </si>
  <si>
    <t xml:space="preserve">Gekko Group</t>
  </si>
  <si>
    <t>fabrice.perdoncini@gekko-holding.com</t>
  </si>
  <si>
    <t>http://www.linkedin.com/in/fabrice-perdoncini-03320740</t>
  </si>
  <si>
    <t>https://gekko-group.com</t>
  </si>
  <si>
    <t xml:space="preserve">Gekko Group développe les meilleures plateformes de réservation d’hôtels et programmes de fidélité pour les professionnels du Travel.</t>
  </si>
  <si>
    <t>Felix</t>
  </si>
  <si>
    <t>Meziere</t>
  </si>
  <si>
    <t xml:space="preserve">Co-fondateur et CTO chez GreenGo</t>
  </si>
  <si>
    <t>felix@greengo.voyage</t>
  </si>
  <si>
    <t>http://www.linkedin.com/in/f%c3%a9lix-m%c3%a9zi%c3%a8re-72212187</t>
  </si>
  <si>
    <t>Gandon</t>
  </si>
  <si>
    <t xml:space="preserve">SOGEPAR Hôtels</t>
  </si>
  <si>
    <t>fgandon@groupe-sogepar.fr</t>
  </si>
  <si>
    <t>http://www.linkedin.com/in/florencegandon</t>
  </si>
  <si>
    <t>https://groupe-sogepar-hotels.com</t>
  </si>
  <si>
    <t xml:space="preserve">65 Boulevard Marius Vivier Merle, Lyon, Auvergne-Rhone-Alpes, France, 69003</t>
  </si>
  <si>
    <t xml:space="preserve">SOGEPAR, c’est l’histoire d’un groupe hôtelier né il y a 40 ans, créé par Hugues Giroud et ses deux frères, Bruno et Claude. Face à un concurrence internationale féroce, Hugues Giroud décide d’investir dans les années 80 dans l’hôtellerie de chaîne, un virage en forme de success-story.</t>
  </si>
  <si>
    <t>Fadi</t>
  </si>
  <si>
    <t>Khater</t>
  </si>
  <si>
    <t xml:space="preserve">Groupe ACCELIS</t>
  </si>
  <si>
    <t>fkhater@accelis.fr</t>
  </si>
  <si>
    <t>http://www.linkedin.com/in/fadi-khater-85169083</t>
  </si>
  <si>
    <t>https://accelis.fr</t>
  </si>
  <si>
    <t xml:space="preserve">2 Boulevard de la Haye, Bussy-Saint-Georges, Ile-de-France, France, 77600</t>
  </si>
  <si>
    <t>Poncey</t>
  </si>
  <si>
    <t xml:space="preserve">Sofitel Paris Baltimore Tour Eiffel</t>
  </si>
  <si>
    <t>franck.poncey@sofitel.com</t>
  </si>
  <si>
    <t>http://www.linkedin.com/in/franck-poncey-71706329</t>
  </si>
  <si>
    <t>https://sofitel-paris-baltimore.com</t>
  </si>
  <si>
    <t xml:space="preserve">88 Avenue Kleber, Paris, Ile-de-France, France, 75116</t>
  </si>
  <si>
    <t xml:space="preserve">Découvrez notre hôtel 5 étoiles à Paris avec chambres et suites de luxe, restaurant gastronomique et bar près de la tour Eiffel et des Champs-Élysées.</t>
  </si>
  <si>
    <t>Ghislaine</t>
  </si>
  <si>
    <t>Blampey</t>
  </si>
  <si>
    <t xml:space="preserve">Impérial Palace Annecy</t>
  </si>
  <si>
    <t>gblampey@imperialpalace.fr</t>
  </si>
  <si>
    <t>http://www.linkedin.com/in/ghislaineblampey</t>
  </si>
  <si>
    <t>https://hotel-imperial-palace.com</t>
  </si>
  <si>
    <t xml:space="preserve">Allee de l'Imperial, Annecy, Auvergne-Rhone-Alpes, France, 74000</t>
  </si>
  <si>
    <t xml:space="preserve">Découvrez L'Impérial Palace, hôtel 4 étoiles au bord du Lac d'Annecy, avec Spa, Restaurants, Casino et Séminaires. Nous vous accueillons dans un lieu enchanteur avec de nombreuses animations.</t>
  </si>
  <si>
    <t>Georges</t>
  </si>
  <si>
    <t>Christos</t>
  </si>
  <si>
    <t>gchristos@grape-hospitality.com</t>
  </si>
  <si>
    <t>http://www.linkedin.com/in/georges-christos-352b8311b</t>
  </si>
  <si>
    <t>Montigny-le-Bretonneux</t>
  </si>
  <si>
    <t>Gilda</t>
  </si>
  <si>
    <t>Perez-Alvarado</t>
  </si>
  <si>
    <t xml:space="preserve">Chief Executive Officer, Orient Express</t>
  </si>
  <si>
    <t xml:space="preserve">Orient Express</t>
  </si>
  <si>
    <t>gilda.perez-alvarado@orient-express.com</t>
  </si>
  <si>
    <t>http://www.linkedin.com/in/gilda-perez-alvarado-7b5a05</t>
  </si>
  <si>
    <t>https://orient-express.com</t>
  </si>
  <si>
    <t xml:space="preserve">82 Rue Henry Farman, Issy-les-Moulineaux, Ile-de-France, France, 92130</t>
  </si>
  <si>
    <t xml:space="preserve">Découvrez Orient Express La Minerva, un hôtel de luxe niché sur la légendaire Place de la Minerve à Rome. Profitez d’un séjour unique dans un palais du XVIIe siècle, mêlant raffinement historique et design contemporain signé Hugo Toro. Une expérience inoubliable vous attend, des chambres élégantes au rooftop panoramique.</t>
  </si>
  <si>
    <t>Lovera</t>
  </si>
  <si>
    <t xml:space="preserve">Five Seas Hotel</t>
  </si>
  <si>
    <t>gm@fiveseashotel.com</t>
  </si>
  <si>
    <t>http://www.linkedin.com/in/laurence-giordano-lovera-64933aa</t>
  </si>
  <si>
    <t>https://fiveseashotel.com</t>
  </si>
  <si>
    <t>Cagnes-sur-Mer</t>
  </si>
  <si>
    <t xml:space="preserve">22 Rue Bivouac Napoleon, Cannes, Provence-Alpes-Cote d'Azur, France, 06400</t>
  </si>
  <si>
    <t xml:space="preserve">Welcome to the Five Seas Hotel Cannes, a luxury 5-star boutique hotel in the centre of the seaside resort. Official site, best rate guarantee!</t>
  </si>
  <si>
    <t>Gerault</t>
  </si>
  <si>
    <t>guy.gerault@brithotel.fr</t>
  </si>
  <si>
    <t>http://www.linkedin.com/in/guy-gerault-5ba762a0</t>
  </si>
  <si>
    <t>https://sohomahotels.com</t>
  </si>
  <si>
    <t>Honotel</t>
  </si>
  <si>
    <t>hgauthier@honotel.fr</t>
  </si>
  <si>
    <t>http://www.linkedin.com/in/hgauthier</t>
  </si>
  <si>
    <t>https://honotel.com</t>
  </si>
  <si>
    <t xml:space="preserve">20 Rue Treilhard, Paris, Ile-de-France, France, 75008</t>
  </si>
  <si>
    <t xml:space="preserve">Le groupe Honotel est l’un des principaux acteurs indépendants de l’hospitality en France. Investissement hôtelier &amp; hospitality management.</t>
  </si>
  <si>
    <t>Hortense</t>
  </si>
  <si>
    <t>O'Byrne</t>
  </si>
  <si>
    <t xml:space="preserve">Directrice Générale Adjointe - Finance</t>
  </si>
  <si>
    <t xml:space="preserve">OKKO HOTELS</t>
  </si>
  <si>
    <t>hortense.obyrne@okkohotels.com</t>
  </si>
  <si>
    <t>http://www.linkedin.com/in/hortense-o-byrne-4a9b5282</t>
  </si>
  <si>
    <t>https://okkohotels.com</t>
  </si>
  <si>
    <t xml:space="preserve">52 Rue Maurice Ripoche, Paris, Ile-de-France, France, 75014</t>
  </si>
  <si>
    <t xml:space="preserve">Des hôtels lifestyle à la décoration contemporaine, des Clubs où il fait bon vivre, un accueil de qualité, le tout à des prix justes. Snacking, boissons chaudes et fraiches, aperitivo, presse, espace forme et sauna sont inclus dans le prix de votre chambre.</t>
  </si>
  <si>
    <t>Godard</t>
  </si>
  <si>
    <t xml:space="preserve">ASTOTEL Paris</t>
  </si>
  <si>
    <t>hugues.godard@astotel.com</t>
  </si>
  <si>
    <t>http://www.linkedin.com/in/huguesgodard</t>
  </si>
  <si>
    <t>https://astotel.com</t>
  </si>
  <si>
    <t xml:space="preserve">28 Rue de Caumartin, Paris, Ile-de-France, France, 75009</t>
  </si>
  <si>
    <t>Revuelta</t>
  </si>
  <si>
    <t xml:space="preserve">Co-Directeur Général</t>
  </si>
  <si>
    <t xml:space="preserve">Le K2 Collections</t>
  </si>
  <si>
    <t>j.revuelta@lek2collections.com</t>
  </si>
  <si>
    <t>http://www.linkedin.com/in/jerome-revuelta-a2235b26</t>
  </si>
  <si>
    <t>https://lek2collections.com</t>
  </si>
  <si>
    <t>Courchevel</t>
  </si>
  <si>
    <t xml:space="preserve">Saint-Bon-Tarentaise, Auvergne-Rhone-Alpes, France, 73120</t>
  </si>
  <si>
    <t xml:space="preserve">Le K2 Collections · Hôtels de Luxe à Courchevel &amp; Val d'Isère · Le K2 Palace, Le K2 Altitude, Le K2 Djola et Le K2 Val d'Isère conjuguent luxe discret et raffinement authentique pour porter le savoir-faire hôtelier et le bien-être au sommet.</t>
  </si>
  <si>
    <t>Charial</t>
  </si>
  <si>
    <t>Baumanière</t>
  </si>
  <si>
    <t>jacharial@baumaniere.com</t>
  </si>
  <si>
    <t>http://www.linkedin.com/in/jean-andr%c3%a9-charial-944596147</t>
  </si>
  <si>
    <t>https://baumaniere.com</t>
  </si>
  <si>
    <t xml:space="preserve">Les Baux-de-Provence, Provence-Alpes-Cote d'Azur, France, 13520</t>
  </si>
  <si>
    <t xml:space="preserve">Découvrez le domaine de Baumanière, son hôtel 5*, ses deux restaurants gastronomiques et son luxueux spa pour un séjour d'exception au cœur de la Provence</t>
  </si>
  <si>
    <t>Jacob</t>
  </si>
  <si>
    <t>Bensaid</t>
  </si>
  <si>
    <t>Popinns</t>
  </si>
  <si>
    <t>jacob.bensaid@popinns.com</t>
  </si>
  <si>
    <t>http://www.linkedin.com/in/jacob-bensaid-a334b224a</t>
  </si>
  <si>
    <t>https://popinns.com</t>
  </si>
  <si>
    <t xml:space="preserve">105B Rue de Tolbiac, Paris, Ile-de-France, France, 75013</t>
  </si>
  <si>
    <t>Girelli</t>
  </si>
  <si>
    <t>jerome.girelli@naoshotel.com</t>
  </si>
  <si>
    <t>http://www.linkedin.com/in/j%c3%a9r%c3%b4megirelli</t>
  </si>
  <si>
    <t>Tourbier</t>
  </si>
  <si>
    <t xml:space="preserve">Les Sources</t>
  </si>
  <si>
    <t>jerome.tourbier@sources-caudalie.com</t>
  </si>
  <si>
    <t>http://www.linkedin.com/in/jerome-tourbier-8691356</t>
  </si>
  <si>
    <t>https://sources-hotels.com</t>
  </si>
  <si>
    <t xml:space="preserve">SITE OFFICIEL | Sources Hôtels | Les Sources | Découvrez le groupe Sources Hôtels : établissements, valeurs et recrutement.</t>
  </si>
  <si>
    <t>Jean-Michel</t>
  </si>
  <si>
    <t>Dalmasso</t>
  </si>
  <si>
    <t xml:space="preserve">Dalmata Hospitality</t>
  </si>
  <si>
    <t>jmdalmasso@dalmatahospitality.com</t>
  </si>
  <si>
    <t>http://www.linkedin.com/in/jean-michel-dalmasso</t>
  </si>
  <si>
    <t>https://dalmatahospitality.com</t>
  </si>
  <si>
    <t xml:space="preserve">16 Rue de la Banque, Paris, Ile-de-France, France, 75002</t>
  </si>
  <si>
    <t xml:space="preserve">Nous sommes aujourd’hui reconnus comme la meilleure plateforme de gestion hôtelière en France, couvrant les établissements de 1 à 3 étoiles.</t>
  </si>
  <si>
    <t>Thibault</t>
  </si>
  <si>
    <t xml:space="preserve">Holiday Inn Resort</t>
  </si>
  <si>
    <t>jmthibault@hir-letouquet.com</t>
  </si>
  <si>
    <t>http://www.linkedin.com/in/jean-michel-thibault-a9948720</t>
  </si>
  <si>
    <t>https://hir-letouquet.com</t>
  </si>
  <si>
    <t>Calais</t>
  </si>
  <si>
    <t>Picollet</t>
  </si>
  <si>
    <t xml:space="preserve">Domaine de Verchant Hôtel &amp; Spa 5* Relais &amp; Châteaux</t>
  </si>
  <si>
    <t>jp.picollet@chevredor.com</t>
  </si>
  <si>
    <t>http://www.linkedin.com/in/jean-pascal-picollet-001ba857</t>
  </si>
  <si>
    <t>https://domainedeverchant.com</t>
  </si>
  <si>
    <t>Eze</t>
  </si>
  <si>
    <t xml:space="preserve">1 Boulevard Philippe Lamour, Castelnau-le-Lez, Occitanie, France, 34170</t>
  </si>
  <si>
    <t xml:space="preserve">Welcome to Domaine de Verchant, a stylish 5-star hotel and Spa with a gourmet restaurant, located on the doorstep of Montpellier. Official site, best available rates!</t>
  </si>
  <si>
    <t>Jacques</t>
  </si>
  <si>
    <t>Picon</t>
  </si>
  <si>
    <t>jpicon@dalmatahospitality.com</t>
  </si>
  <si>
    <t>http://www.linkedin.com/in/jacques-picon-26a8392b</t>
  </si>
  <si>
    <t>Louvel</t>
  </si>
  <si>
    <t>GOELIA</t>
  </si>
  <si>
    <t>julien.louvel@goelia.com</t>
  </si>
  <si>
    <t>http://www.linkedin.com/in/julien-louvel-5015883a</t>
  </si>
  <si>
    <t>https://goelia.com</t>
  </si>
  <si>
    <t>Caen</t>
  </si>
  <si>
    <t xml:space="preserve">114 Allee des Champs-Elysees, Courcouronnes, Ile-de-France, France, 91080</t>
  </si>
  <si>
    <t xml:space="preserve">Réservez votre location en résidence vacances avec piscine à la mer, montagne, campagne, ski en France, Espagne, Italie, Portugal pour un week-end ou plus</t>
  </si>
  <si>
    <t>Armstrong</t>
  </si>
  <si>
    <t>Santana</t>
  </si>
  <si>
    <t xml:space="preserve">Wink Hotels</t>
  </si>
  <si>
    <t>juvisy@winkhotels.fr</t>
  </si>
  <si>
    <t>http://www.linkedin.com/in/armstrong-santana-5b22347b</t>
  </si>
  <si>
    <t>https://wink-hotels.com</t>
  </si>
  <si>
    <t>Juvisy-sur-Orge</t>
  </si>
  <si>
    <t xml:space="preserve">75 Đường Nguyễn Bỉnh Khiêm, Ho Chi Minh City, Ho Chi Minh, Vietnam</t>
  </si>
  <si>
    <t>Vietnam</t>
  </si>
  <si>
    <t xml:space="preserve">Experience affordable luxury at Wink Hotels in cities like Ho Chi Minh City, Danang, Tuy Hoa, Can Tho &amp; Hai Phong. Stay 24 hrs with 24/7 self-services.</t>
  </si>
  <si>
    <t>Karim</t>
  </si>
  <si>
    <t>Malak</t>
  </si>
  <si>
    <t>easyHotel</t>
  </si>
  <si>
    <t>karim.malak@easyhotel.com</t>
  </si>
  <si>
    <t>http://www.linkedin.com/in/karimmalak2</t>
  </si>
  <si>
    <t>https://easyhotel.com</t>
  </si>
  <si>
    <t xml:space="preserve">52 Grosvenor Gardens, London, England, United Kingdom, SW1W 0AU</t>
  </si>
  <si>
    <t>Machefert</t>
  </si>
  <si>
    <t xml:space="preserve">Machefert Group</t>
  </si>
  <si>
    <t>kevin@machefert.com</t>
  </si>
  <si>
    <t>http://www.linkedin.com/in/kevin-machefert-come-join-the-family-%f0%9f%9a%80-3790005a</t>
  </si>
  <si>
    <t>https://machefert.com</t>
  </si>
  <si>
    <t xml:space="preserve">5 Rue des Arquebusiers, Paris, Ile-de-France, France, 75003</t>
  </si>
  <si>
    <t xml:space="preserve">Découvrez une expérience d'hébergement singulière avec la collection exclusive de Machefert Group, offrant des moments inoubliables.</t>
  </si>
  <si>
    <t>Khalil</t>
  </si>
  <si>
    <t>kkhater@accelis.fr</t>
  </si>
  <si>
    <t>http://www.linkedin.com/in/khalil-khater-0495ba16b</t>
  </si>
  <si>
    <t>Morot-Gaudry</t>
  </si>
  <si>
    <t xml:space="preserve">Directrice Générale Adjointe / Directeur Général Adjoint</t>
  </si>
  <si>
    <t xml:space="preserve">Logis Hôtels Group</t>
  </si>
  <si>
    <t>kmorotgaudry@logishotels.com</t>
  </si>
  <si>
    <t>http://www.linkedin.com/in/karine-morot-gaudry-3b31055</t>
  </si>
  <si>
    <t>https://logishotels.com</t>
  </si>
  <si>
    <t xml:space="preserve">Impasse de la Baleine, Paris, Ile-de-France, France, 75011</t>
  </si>
  <si>
    <t xml:space="preserve">Your hotel in France and in the world: 2000 hotels and restaurants LOGIS, 1st voluntary chain of independent restaurant / hotel owners in Europe</t>
  </si>
  <si>
    <t>Karen</t>
  </si>
  <si>
    <t>Serfaty</t>
  </si>
  <si>
    <t xml:space="preserve">Food Hotel Tech</t>
  </si>
  <si>
    <t>kserfaty@foodhoteltech.com</t>
  </si>
  <si>
    <t>http://www.linkedin.com/in/karen-serfaty-51316425</t>
  </si>
  <si>
    <t>https://foodhoteltech.com</t>
  </si>
  <si>
    <t xml:space="preserve">Boulevard Haussmann, Paris, Ile-de-France, France, 75008</t>
  </si>
  <si>
    <t xml:space="preserve">Food Hotel Tech présente toutes les innovations tech et éco-responsables de l'hôtellerie restauration.</t>
  </si>
  <si>
    <t>Soleilhavoup</t>
  </si>
  <si>
    <t>ksoleilhavoup@logishotels.com</t>
  </si>
  <si>
    <t>http://www.linkedin.com/in/soleilhavoup</t>
  </si>
  <si>
    <t>https://hotel-lancaster.com</t>
  </si>
  <si>
    <t>Luca</t>
  </si>
  <si>
    <t>Mendola</t>
  </si>
  <si>
    <t xml:space="preserve">Directeur général hôtels Le Coucou Méribel et Lou Pinet St Tropez</t>
  </si>
  <si>
    <t>l.mendola@maisonspariente.com</t>
  </si>
  <si>
    <t>http://www.linkedin.com/in/luca-mendola-36620528</t>
  </si>
  <si>
    <t>Picano</t>
  </si>
  <si>
    <t>laurence.picano@vinci-immobilier.com</t>
  </si>
  <si>
    <t>http://www.linkedin.com/in/laurence-picano-149638b1</t>
  </si>
  <si>
    <t>Driole</t>
  </si>
  <si>
    <t xml:space="preserve">Lily Beach Resort &amp; Spa Maldives</t>
  </si>
  <si>
    <t>laurent.driole@lilybeachmaldives.com</t>
  </si>
  <si>
    <t>http://www.linkedin.com/in/laurent-driole-214266a0</t>
  </si>
  <si>
    <t>https://lilybeachmaldives.com</t>
  </si>
  <si>
    <t xml:space="preserve">North Central Province, Maldives</t>
  </si>
  <si>
    <t>Maldives</t>
  </si>
  <si>
    <t xml:space="preserve">Directeur Général Maison Heler</t>
  </si>
  <si>
    <t>laurent.laporte@sohomahotels.com</t>
  </si>
  <si>
    <t>http://www.linkedin.com/in/laurent-laporte-bb66bb12a</t>
  </si>
  <si>
    <t>https://groupelamerepoulard.com</t>
  </si>
  <si>
    <t>Giroud</t>
  </si>
  <si>
    <t>lgiroud@groupe-sogepar.fr</t>
  </si>
  <si>
    <t>http://www.linkedin.com/in/lo%c3%afc-giroud-76555480</t>
  </si>
  <si>
    <t>Hazi</t>
  </si>
  <si>
    <t xml:space="preserve">Les Domaines de Fontenille</t>
  </si>
  <si>
    <t>linda.hazi@lesdomainesdefontenille.com</t>
  </si>
  <si>
    <t>http://www.linkedin.com/in/linda-hazi-26014819</t>
  </si>
  <si>
    <t>https://domainesdefontenille.com</t>
  </si>
  <si>
    <t xml:space="preserve">Bienvenue au Domaine de Primard, un château du XVIIIe siècle à Guainville transformé en un hôtel de luxe avec restaurants gastronomiques, spa, piscine chauffée et grand parc paysager. Proche de Giverny</t>
  </si>
  <si>
    <t>Mignot</t>
  </si>
  <si>
    <t xml:space="preserve">Saint James Paris</t>
  </si>
  <si>
    <t>lpertusier@saint-james-paris.com</t>
  </si>
  <si>
    <t>http://www.linkedin.com/in/laure-pertusier-mignot-0777a131</t>
  </si>
  <si>
    <t>https://saint-james-paris.com</t>
  </si>
  <si>
    <t xml:space="preserve">5 Place du Chancelier Adenauer, Paris, Ile-de-France, France, 75116</t>
  </si>
  <si>
    <t xml:space="preserve">Welcome to Saint James Paris, the only chateau-hotel in Paris! Located in the exclusive 16th district, it offers a gourmet restaurant, Bellefeuille, a Guerlain spa, meeting rooms. Official site, best rates!</t>
  </si>
  <si>
    <t>Amision</t>
  </si>
  <si>
    <t xml:space="preserve">Directeur Général ONNERA Group France</t>
  </si>
  <si>
    <t xml:space="preserve">Fagor Professional Foodservice</t>
  </si>
  <si>
    <t>m.amision@fagorindustrial.com</t>
  </si>
  <si>
    <t>http://www.linkedin.com/in/michel-amision-6346941b7</t>
  </si>
  <si>
    <t>https://fagorprofessional.com</t>
  </si>
  <si>
    <t xml:space="preserve">Santxolopeztegi, Onati, Basque Country, Spain, 20569</t>
  </si>
  <si>
    <t>Baiardi</t>
  </si>
  <si>
    <t xml:space="preserve">CEO - CFO</t>
  </si>
  <si>
    <t xml:space="preserve">Alp'Azur Hotels</t>
  </si>
  <si>
    <t>m.baiardi@alpazurhotels.com</t>
  </si>
  <si>
    <t>http://www.linkedin.com/in/mathieu-baiardi-9784206</t>
  </si>
  <si>
    <t>https://alpazurhotels.com</t>
  </si>
  <si>
    <t xml:space="preserve">Vous souhaitez vivire une de nos expériences en couple, entre amis, en famille, pour le travail ? Ou alors vous êtes plus sportif, festif ? Venez découvrir un de nos établissements parmi notre gamme Alp'azur.</t>
  </si>
  <si>
    <t>https://sunelia.com</t>
  </si>
  <si>
    <t>https://etangs-corot.com</t>
  </si>
  <si>
    <t>Boudy</t>
  </si>
  <si>
    <t xml:space="preserve">Project Management Officer to CEO - Gekko Group (Accor)</t>
  </si>
  <si>
    <t>marion.boudy@gekko-holding.com</t>
  </si>
  <si>
    <t>http://www.linkedin.com/in/marion-boudy-80b31640</t>
  </si>
  <si>
    <t>Dugast</t>
  </si>
  <si>
    <t>Staycation</t>
  </si>
  <si>
    <t>mathieu.dugast@staycation.co</t>
  </si>
  <si>
    <t>http://www.linkedin.com/in/mathieu-dugast-837b7b33</t>
  </si>
  <si>
    <t>https://staycation.co</t>
  </si>
  <si>
    <t xml:space="preserve">18 Rue Soleillet, Paris, Ile-de-France, France, 75020</t>
  </si>
  <si>
    <t xml:space="preserve">For 24h, 48h, or even just a few hours, enjoy unforgettable experiences in beautiful hotels near you.</t>
  </si>
  <si>
    <t>Ravard</t>
  </si>
  <si>
    <t>mathieu@greengo.voyage</t>
  </si>
  <si>
    <t>http://www.linkedin.com/in/mathieuravard</t>
  </si>
  <si>
    <t>Evrard</t>
  </si>
  <si>
    <t xml:space="preserve">Les Hôtels Particuliers</t>
  </si>
  <si>
    <t>matthieu.evrard@lhtp.fr</t>
  </si>
  <si>
    <t>http://www.linkedin.com/in/matthieu-evrard-08339148</t>
  </si>
  <si>
    <t>https://hotlsreinvnted.com</t>
  </si>
  <si>
    <t xml:space="preserve">75 Rue d'Amsterdam, Paris, Ile-de-France, France, 75008</t>
  </si>
  <si>
    <t xml:space="preserve">Découvrez l'élégance unique de Les Hotels Très Particuliers, où chaque séjour devient une expérience unique et inoubliable.</t>
  </si>
  <si>
    <t>Cholley</t>
  </si>
  <si>
    <t xml:space="preserve">GROUPE GM</t>
  </si>
  <si>
    <t>michele.cholley@groupegm.com</t>
  </si>
  <si>
    <t>http://www.linkedin.com/in/mich%c3%a8le-cholley-53295652</t>
  </si>
  <si>
    <t>https://groupegm.com</t>
  </si>
  <si>
    <t xml:space="preserve">10 Rue des Bergers, Paris, Ile-de-France, France, 75015</t>
  </si>
  <si>
    <t xml:space="preserve">Acteur international dans le secteur des produits d’accueil hôtelier depuis 40 ans, le Groupe GM crée, produit et distribue des cosmétiques et des accessoires destinés à l’hôtellerie dans plus de 70 pays à travers tous les continents</t>
  </si>
  <si>
    <t>Navarre</t>
  </si>
  <si>
    <t xml:space="preserve">SALVAJE PARIS - Fondateur</t>
  </si>
  <si>
    <t xml:space="preserve">SALVAJE WORLD</t>
  </si>
  <si>
    <t>mn@n-c-capital.com</t>
  </si>
  <si>
    <t>http://www.linkedin.com/in/maximenavarre</t>
  </si>
  <si>
    <t>https://slvj.es</t>
  </si>
  <si>
    <t xml:space="preserve">96 Calle de Velazquez, Madrid, Community of Madrid, Spain, 28006</t>
  </si>
  <si>
    <t xml:space="preserve">A new concept in Japanese gastronomy. For lovers of haute cuisine but above all for diners who go further and want to enjoy themselves in all senses.</t>
  </si>
  <si>
    <t>Nael</t>
  </si>
  <si>
    <t>Mansor</t>
  </si>
  <si>
    <t>nael@mobhotel.com</t>
  </si>
  <si>
    <t>http://www.linkedin.com/in/na%c3%abl-mansor-b7788b57</t>
  </si>
  <si>
    <t>Dupont</t>
  </si>
  <si>
    <t xml:space="preserve">Directrice générale HOTEL OPERA OPAL &amp; HOTEL DUCS DE BOURGOGNE</t>
  </si>
  <si>
    <t xml:space="preserve">Centaurus Hospitality Management</t>
  </si>
  <si>
    <t>nathalie.dupont@paris-inn.com</t>
  </si>
  <si>
    <t>http://www.linkedin.com/in/nathalie-dupont-1586b567</t>
  </si>
  <si>
    <t>https://groupecentaurus.com</t>
  </si>
  <si>
    <t xml:space="preserve">96 Boulevard Haussmann, Paris, Ile-de-France, France, 75008</t>
  </si>
  <si>
    <t xml:space="preserve">CENTAURUS est le groupe hôtelier indépendant leader en France dont l’ambition est de devenir une référence en Europe et dans le Monde.</t>
  </si>
  <si>
    <t>nicolas.chatillon@etincelles.com</t>
  </si>
  <si>
    <t>http://www.linkedin.com/in/nicolas-chatillon-a801a568</t>
  </si>
  <si>
    <t>Gachet</t>
  </si>
  <si>
    <t xml:space="preserve">Les Sources de Caudalie</t>
  </si>
  <si>
    <t>nicolas.gachet@sources-caudalie.com</t>
  </si>
  <si>
    <t>http://www.linkedin.com/in/nicolas-gachet-5236985b</t>
  </si>
  <si>
    <t>https://sources-caudalie.com</t>
  </si>
  <si>
    <t xml:space="preserve">Chemin Smith Haut Lafitte, Martillac, Nouvelle-Aquitaine, France, 33650</t>
  </si>
  <si>
    <t xml:space="preserve">Laissez-vous charmer par l'hôtel 5 étoiles des Sources de Caudalie près de Bordeaux. Embarquez pour un voyage au cœur de cette belle région.</t>
  </si>
  <si>
    <t>Saltiel</t>
  </si>
  <si>
    <t xml:space="preserve">ADRESSES HOTELS</t>
  </si>
  <si>
    <t>ns@hn6.fr</t>
  </si>
  <si>
    <t>http://www.linkedin.com/in/nicolas-saltiel-59a56227a</t>
  </si>
  <si>
    <t>https://adresseshotels.com</t>
  </si>
  <si>
    <t>https://groupe-pvg.fr</t>
  </si>
  <si>
    <t>Cohn</t>
  </si>
  <si>
    <t>olivier.cohn@bestwestern.fr</t>
  </si>
  <si>
    <t>http://www.linkedin.com/in/ocohn</t>
  </si>
  <si>
    <t>Passot</t>
  </si>
  <si>
    <t xml:space="preserve">Président CEO</t>
  </si>
  <si>
    <t xml:space="preserve">REVOL Porcelaine</t>
  </si>
  <si>
    <t>olivier.passot@revol-porcelaine.fr</t>
  </si>
  <si>
    <t>http://www.linkedin.com/in/olivier-passot-a511b924</t>
  </si>
  <si>
    <t>https://revol1768.com</t>
  </si>
  <si>
    <t xml:space="preserve">Saint-Uze, Auvergne-Rhone-Alpes, France, 26240</t>
  </si>
  <si>
    <t xml:space="preserve">Découvrez nos collections de vaisselle porcelaine, confectionnées en France depuis plus de 250 ans. Entrez dans notre univers, et nourrissez votre inspiration</t>
  </si>
  <si>
    <t>Heinkele</t>
  </si>
  <si>
    <t>L'HOTEL</t>
  </si>
  <si>
    <t>olivier@l-hotel.com</t>
  </si>
  <si>
    <t>http://www.linkedin.com/in/olivier-heinkele-5587ab106</t>
  </si>
  <si>
    <t>https://nanteshotel.com</t>
  </si>
  <si>
    <t xml:space="preserve">6 Rue Henri IV, Nantes, Pays de la Loire, France, 44000</t>
  </si>
  <si>
    <t xml:space="preserve">Discover the HÔTEL Nantes, a three-star hotel located in the heart of Nantes city center, near the train station, ideal for a weekend, business trip or holidays.</t>
  </si>
  <si>
    <t xml:space="preserve">Stairway Management</t>
  </si>
  <si>
    <t>omartin@stairway-management.com</t>
  </si>
  <si>
    <t>http://www.linkedin.com/in/oliviermartin2</t>
  </si>
  <si>
    <t>https://stairway-management.com</t>
  </si>
  <si>
    <t xml:space="preserve">40 Rue du Louvre, Paris, Ile-de-France, France, 75001</t>
  </si>
  <si>
    <t xml:space="preserve">Spécialiste EMEA en Expertise Hôtelière : Revenue Management &amp; Distribution, Audit &amp; Etudes Stratégiques, Technologies Hôtelières et Marketing Digital.</t>
  </si>
  <si>
    <t>Naudon</t>
  </si>
  <si>
    <t xml:space="preserve">Directeur Général Adjoint des Exploitations</t>
  </si>
  <si>
    <t>p.naudon@millesime-collection.com</t>
  </si>
  <si>
    <t>http://www.linkedin.com/in/philippe-naudon-6b9284156</t>
  </si>
  <si>
    <t>Agostini</t>
  </si>
  <si>
    <t xml:space="preserve">Directeur général technique</t>
  </si>
  <si>
    <t xml:space="preserve">Manotel Hotel Group Geneva</t>
  </si>
  <si>
    <t>pagostini@manotel.com</t>
  </si>
  <si>
    <t>http://www.linkedin.com/in/pascal-agostini-3739331a1</t>
  </si>
  <si>
    <t>https://manotel.com</t>
  </si>
  <si>
    <t xml:space="preserve">8 Rue Jean-Dassier, Geneva, Geneva, Switzerland, 1201</t>
  </si>
  <si>
    <t xml:space="preserve">The Manotel Hotel Group is a Swiss independent hotel group with a portfolio of six 3 and 4-star boutique-hotels, as well as several bars and restaurants, all situated in the centre of Geneva.</t>
  </si>
  <si>
    <t>Lemarchand</t>
  </si>
  <si>
    <t xml:space="preserve">Président Directeur Général</t>
  </si>
  <si>
    <t>pascal.lemarchand@naoshotelgroupe.com</t>
  </si>
  <si>
    <t>http://www.linkedin.com/in/pascal-lemarchand-a7328997</t>
  </si>
  <si>
    <t xml:space="preserve">Vacances ULVF</t>
  </si>
  <si>
    <t>patrice.oulie@vacances-ulvf.fr</t>
  </si>
  <si>
    <t>http://www.linkedin.com/in/patrice-o-80a6593a</t>
  </si>
  <si>
    <t>https://vacances-ulvf.com</t>
  </si>
  <si>
    <t xml:space="preserve">2 Rue Jules Michelet, Le Chambon-Feugerolles, Auvergne-Rhone-Alpes, France, 42500</t>
  </si>
  <si>
    <t xml:space="preserve">A la mer, à la campagne ou à la montagne, vacances ULVF propose des séjours en villages vacances en France. Des vacances en famille en formule location, demi-pension ou pension complète.</t>
  </si>
  <si>
    <t>Brisset</t>
  </si>
  <si>
    <t xml:space="preserve">Gérant associé de EATX</t>
  </si>
  <si>
    <t>EATX</t>
  </si>
  <si>
    <t>phbr@phbr.net</t>
  </si>
  <si>
    <t>http://www.linkedin.com/in/philippe-brisset-b3095721</t>
  </si>
  <si>
    <t>https://eatx.com</t>
  </si>
  <si>
    <t>Marguet</t>
  </si>
  <si>
    <t xml:space="preserve">The Originals Human Hotels &amp; Resorts</t>
  </si>
  <si>
    <t>philippe.marguet@theoriginalshotels.com</t>
  </si>
  <si>
    <t>http://www.linkedin.com/in/philippe-marguet-46127844</t>
  </si>
  <si>
    <t>https://theoriginalshotels.com</t>
  </si>
  <si>
    <t xml:space="preserve">22 Rue Maurice Grimaud, Paris, Ile-de-France, France, 75018</t>
  </si>
  <si>
    <t xml:space="preserve">L'Astoria Vatican vous accueille dans un cadre distingué et chaleureux. Détendez-vous et découvrez la région et ses trésors. Réservez votre hôtel à Lourdes.</t>
  </si>
  <si>
    <t>Vaurs</t>
  </si>
  <si>
    <t xml:space="preserve">Elegancia Hotels</t>
  </si>
  <si>
    <t>philippe@elegancia-hotels.com</t>
  </si>
  <si>
    <t>http://www.linkedin.com/in/philippe-vaurs-3a107537</t>
  </si>
  <si>
    <t>https://elegancia-hotels.com</t>
  </si>
  <si>
    <t xml:space="preserve">10 Rue d'Uzes, Paris, Ile-de-France, France, 75002</t>
  </si>
  <si>
    <t xml:space="preserve">L'univers ELEGANCIA au cœur de Paris. Pensons, créons, exploitons des hôtels 'à vivre' offrant hébergement, restauration, bar, événementiel et bien-être.</t>
  </si>
  <si>
    <t>Monnin</t>
  </si>
  <si>
    <t xml:space="preserve">Dirigeant d’entreprise</t>
  </si>
  <si>
    <t>philippe@millesime-collection.com</t>
  </si>
  <si>
    <t>http://www.linkedin.com/in/philippe-monnin-1154a0187</t>
  </si>
  <si>
    <t>Luis</t>
  </si>
  <si>
    <t>pluis@honotel.fr</t>
  </si>
  <si>
    <t>http://www.linkedin.com/in/patrick-luis-921b7b1b7</t>
  </si>
  <si>
    <t>Bellet</t>
  </si>
  <si>
    <t xml:space="preserve">CEO - Co-Founder</t>
  </si>
  <si>
    <t>WeHost</t>
  </si>
  <si>
    <t>romain.bellet@wehost.fr</t>
  </si>
  <si>
    <t>http://www.linkedin.com/in/romain-bellet-545b488</t>
  </si>
  <si>
    <t>https://wehost.fr</t>
  </si>
  <si>
    <t xml:space="preserve">Nous vous accompagnons dans la gestion de votre logement Airbnb: création d'annonce, photos, accueil, linge, ménage, maintenance..</t>
  </si>
  <si>
    <t>Lucas</t>
  </si>
  <si>
    <t xml:space="preserve">Marvilla Parks</t>
  </si>
  <si>
    <t>romainlucas@marvilla-parks.com</t>
  </si>
  <si>
    <t>http://www.linkedin.com/in/romainlucas</t>
  </si>
  <si>
    <t>https://marvilla-parks.com</t>
  </si>
  <si>
    <t xml:space="preserve">Trouvez une location de mobil-home et partez à la découverte des plus belles régions de France et des Pays-Bas dans l’un de nos campings Marvilla Parks</t>
  </si>
  <si>
    <t>Romaric</t>
  </si>
  <si>
    <t>Blanvillain</t>
  </si>
  <si>
    <t xml:space="preserve">Maison Albar Hotels</t>
  </si>
  <si>
    <t>romaric.blanvillain@maisonalbar.eu</t>
  </si>
  <si>
    <t>http://www.linkedin.com/in/romaric-blanvillain-9423aa4</t>
  </si>
  <si>
    <t>https://maison-albar-hotels.com</t>
  </si>
  <si>
    <t xml:space="preserve">Découvrez Maison Albar Hotels et profitez de ses hôtels 5 étoiles, spas luxueux et restaurants d'exception.</t>
  </si>
  <si>
    <t>Romee</t>
  </si>
  <si>
    <t>Goriainoff</t>
  </si>
  <si>
    <t xml:space="preserve">Experimental Group</t>
  </si>
  <si>
    <t>romee@expegroup.com</t>
  </si>
  <si>
    <t>http://www.linkedin.com/in/romee-de-goriainoff-a3b51739</t>
  </si>
  <si>
    <t>https://experimentalgroup.com</t>
  </si>
  <si>
    <t xml:space="preserve">104 Rue d'Aboukir, Paris, Ile-de-France, France, 75002</t>
  </si>
  <si>
    <t xml:space="preserve">Experimental Group | Enjoy our boutique Hotels, Restaurants, Cocktails &amp; Wine Bars in Paris, Central London, New York, Ibiza, Verbier, Menorca &amp; Venice</t>
  </si>
  <si>
    <t>Trollet</t>
  </si>
  <si>
    <t xml:space="preserve">Président et Fondateur</t>
  </si>
  <si>
    <t>rt@assas-am.com</t>
  </si>
  <si>
    <t>http://www.linkedin.com/in/romain-trollet-03150b171</t>
  </si>
  <si>
    <t>Sergio</t>
  </si>
  <si>
    <t>Tosati</t>
  </si>
  <si>
    <t xml:space="preserve">Miramar La Cigale Hôtel Thalasso &amp; Spa 5*</t>
  </si>
  <si>
    <t>s.tosati@miramar-lacigale.com</t>
  </si>
  <si>
    <t>http://www.linkedin.com/in/sergio-tosati-31672331</t>
  </si>
  <si>
    <t>https://miramar-lacigale.com</t>
  </si>
  <si>
    <t xml:space="preserve">Rond-Point du Crouesty, Arzon, Brittany, France, 56640</t>
  </si>
  <si>
    <t xml:space="preserve">Le Miramar La Cigale, hôtel thalasso 5 étoiles en Bretagne est un écrin de lumière face à l'océan. Réservez votre séjour au meilleur prix sur notre site.</t>
  </si>
  <si>
    <t>Caquelard</t>
  </si>
  <si>
    <t xml:space="preserve">Directeur Hôtels Ermitage &amp; La Verniaz / Directeur Général Adjoint du Pôle Hôtelier en charge du F&amp;B</t>
  </si>
  <si>
    <t xml:space="preserve">Evian Resort</t>
  </si>
  <si>
    <t>scaquelard@evianresort.com</t>
  </si>
  <si>
    <t>http://www.linkedin.com/in/sebastien-caquelard-67a1a9b0</t>
  </si>
  <si>
    <t>https://evianresort.com</t>
  </si>
  <si>
    <t>Evian-les-Bains</t>
  </si>
  <si>
    <t xml:space="preserve">Evian-les-Bains, Rhone-Alpes, France</t>
  </si>
  <si>
    <t xml:space="preserve">Discover the enchanting world and setting of the Evian Resort in the heart of the Lake Geneva region for your stay in Evian-Les-Bains.</t>
  </si>
  <si>
    <t>serge.cachan@astotel.com</t>
  </si>
  <si>
    <t>http://www.linkedin.com/in/serge-cachan-700a6516b</t>
  </si>
  <si>
    <t>Solenne</t>
  </si>
  <si>
    <t>Ojea-Devys</t>
  </si>
  <si>
    <t>solenne.devys@okkohotels.com</t>
  </si>
  <si>
    <t>http://www.linkedin.com/in/solenne-ojea-devys-8ab00525</t>
  </si>
  <si>
    <t>Sonia</t>
  </si>
  <si>
    <t>Timsiline</t>
  </si>
  <si>
    <t xml:space="preserve">Maison Delano Paris</t>
  </si>
  <si>
    <t>sonia.timsiline@maisondelano.com</t>
  </si>
  <si>
    <t>http://www.linkedin.com/in/sonia-timsiline-51a11a3</t>
  </si>
  <si>
    <t>https://maisondelanoparis.com</t>
  </si>
  <si>
    <t>Barrand</t>
  </si>
  <si>
    <t>stephane.barrand@theoriginalshotels.com</t>
  </si>
  <si>
    <t>http://www.linkedin.com/in/stephane-barrand</t>
  </si>
  <si>
    <t>Duc</t>
  </si>
  <si>
    <t xml:space="preserve">HUTTOPIA Jobs</t>
  </si>
  <si>
    <t>stephane.duc@huttopia.com</t>
  </si>
  <si>
    <t>http://www.linkedin.com/in/st%c3%a9phane-duc-13840988</t>
  </si>
  <si>
    <t>https://huttopia.com</t>
  </si>
  <si>
    <t xml:space="preserve">Rue de Chapoly, Saint-Genis-les-Ollieres, Auvergne-Rhone-Alpes, France, 69290</t>
  </si>
  <si>
    <t xml:space="preserve">Book now for an unforgettable vacation experience! Ready-to-camp tents or cabins at scenic nature campgrounds. Pool, bistro, activities.</t>
  </si>
  <si>
    <t>Gerbet</t>
  </si>
  <si>
    <t xml:space="preserve">Directeur général Hôtel Sofitel Golfe d'Ajaccio</t>
  </si>
  <si>
    <t xml:space="preserve">Sofitel Golfe d'Ajaccio Thalassa Sea &amp; Spa</t>
  </si>
  <si>
    <t>stephane.gerbet@sofitel.com</t>
  </si>
  <si>
    <t>http://www.linkedin.com/in/st%c3%a9phane-gerbet-0380a983</t>
  </si>
  <si>
    <t>https://sofitel-golfe-d-ajaccio-thalassa-sea-spa.com</t>
  </si>
  <si>
    <t xml:space="preserve">Grosseto-Prugna, Corse, France, 20128</t>
  </si>
  <si>
    <t xml:space="preserve">Votre coin de paradis face au golfe d'Ajaccio, Sofitel Ajaccio Thalassa Sea &amp; Spa, hôtel Corse.Voyagez hors du temps et faîtes une pause unique</t>
  </si>
  <si>
    <t>Morvan-Dubois</t>
  </si>
  <si>
    <t>stephane@l-hotel.com</t>
  </si>
  <si>
    <t>http://www.linkedin.com/in/stephane-morvan-dubois-a532685</t>
  </si>
  <si>
    <t>Steve</t>
  </si>
  <si>
    <t xml:space="preserve">Co-Founder / Active Chairman</t>
  </si>
  <si>
    <t xml:space="preserve">Mad Monkey</t>
  </si>
  <si>
    <t>steve@madmonkeyhostels.com</t>
  </si>
  <si>
    <t>http://www.linkedin.com/in/stevevaile</t>
  </si>
  <si>
    <t>https://madmonkeyhostels.com</t>
  </si>
  <si>
    <t xml:space="preserve">Street 302, Phnom Penh, Phnom Penh, Cambodia</t>
  </si>
  <si>
    <t>Cambodia</t>
  </si>
  <si>
    <t>Poirot</t>
  </si>
  <si>
    <t xml:space="preserve">VILLAGE CLUB CAMPING LES SABLONS *****</t>
  </si>
  <si>
    <t>t.poirot@les-sablons.com</t>
  </si>
  <si>
    <t>http://www.linkedin.com/in/thierry-poirot-92354a113</t>
  </si>
  <si>
    <t>https://les-sablons.com</t>
  </si>
  <si>
    <t xml:space="preserve">Avenue des Muriers, Portiragnes, Languedoc-Roussillon, France, 34420</t>
  </si>
  <si>
    <t xml:space="preserve">Découvrez le Camping Les Sablons et ses nombreuses activités : accès direct à la plage, parc aquatique, mini club, club ados, restaurants, discothèque, ...</t>
  </si>
  <si>
    <t>Therese</t>
  </si>
  <si>
    <t>Blay</t>
  </si>
  <si>
    <t xml:space="preserve">Directrice générale exploitation Millésime Hôtels et Restaurants de Collection</t>
  </si>
  <si>
    <t>therese@millesime-collection.com</t>
  </si>
  <si>
    <t>http://www.linkedin.com/in/th%c3%a9r%c3%a8se-blay-17a0143b</t>
  </si>
  <si>
    <t xml:space="preserve">Co-founder &amp; Managing Partner at LES ETINCELLES President</t>
  </si>
  <si>
    <t>thibault.desaintmartin@whitegold.co</t>
  </si>
  <si>
    <t>http://www.linkedin.com/in/tdesaintmartin</t>
  </si>
  <si>
    <t>Suberbere</t>
  </si>
  <si>
    <t xml:space="preserve">Gérant adjoint à la restauration et banquet</t>
  </si>
  <si>
    <t xml:space="preserve">Fairmont Le Château Frontenac</t>
  </si>
  <si>
    <t>thibault.suberbere@fairmont.com</t>
  </si>
  <si>
    <t>http://www.linkedin.com/in/thibault-suberbere-305817196</t>
  </si>
  <si>
    <t>https://fairmont.com</t>
  </si>
  <si>
    <t xml:space="preserve">1 Rue des Carrieres, Quebec, Quebec, Canada, G1R 3Y8</t>
  </si>
  <si>
    <t>Timothee</t>
  </si>
  <si>
    <t>Hainguerlot</t>
  </si>
  <si>
    <t>timothee.hainguerlot@solanethotels.com</t>
  </si>
  <si>
    <t>http://www.linkedin.com/in/timoth%c3%a9e-hainguerlot-80752032</t>
  </si>
  <si>
    <t>Tiphaine</t>
  </si>
  <si>
    <t>Lacombe</t>
  </si>
  <si>
    <t xml:space="preserve">Sereno Hotels</t>
  </si>
  <si>
    <t>tiphaine.lacombe@lesereno.com</t>
  </si>
  <si>
    <t>http://www.linkedin.com/in/tiphaine-lacombe-b4523228</t>
  </si>
  <si>
    <t>https://serenohotels.com</t>
  </si>
  <si>
    <t xml:space="preserve">Saint Barthelemy</t>
  </si>
  <si>
    <t>Dutertre</t>
  </si>
  <si>
    <t xml:space="preserve">Automobile Club de France</t>
  </si>
  <si>
    <t>v.dutertre@sgacf.com</t>
  </si>
  <si>
    <t>http://www.linkedin.com/in/vincent-dutertre-7b963753</t>
  </si>
  <si>
    <t>https://automobileclubdefrance.fr</t>
  </si>
  <si>
    <t xml:space="preserve">6 Place de la Concorde, Paris, Ile-de-France, France, 75008</t>
  </si>
  <si>
    <t>Fioux</t>
  </si>
  <si>
    <t>victor@wehost.fr</t>
  </si>
  <si>
    <t>http://www.linkedin.com/in/victor-fioux-972051aa</t>
  </si>
  <si>
    <t>Yannick</t>
  </si>
  <si>
    <t>Gavelle</t>
  </si>
  <si>
    <t xml:space="preserve">Hôtels &amp; Préférence</t>
  </si>
  <si>
    <t>yg@hotelspreference.com</t>
  </si>
  <si>
    <t>http://www.linkedin.com/in/yannick-gavelle-724373</t>
  </si>
  <si>
    <t>https://hotelspreference.com</t>
  </si>
  <si>
    <t xml:space="preserve">Residence La Defense, Puteaux, Ile-de-France, France, 92800</t>
  </si>
  <si>
    <t xml:space="preserve">Réservation de châteaux hôtels de charme, de boutiques hôtels pour des séjours en chambre 4 étoiles. Réservez un week-end de charme, forfaits golfs ou un restaurant gastronomique.</t>
  </si>
  <si>
    <t>Odile</t>
  </si>
  <si>
    <t>yodile@honotel.com</t>
  </si>
  <si>
    <t>http://www.linkedin.com/in/yann-odile-02401a60</t>
  </si>
  <si>
    <t>Charier</t>
  </si>
  <si>
    <t>Balthazar</t>
  </si>
  <si>
    <t>arnaud@balthazar.family</t>
  </si>
  <si>
    <t>http://www.linkedin.com/in/arnaud-charier-144932a2</t>
  </si>
  <si>
    <t>https://balthazar.family</t>
  </si>
  <si>
    <t>gérant</t>
  </si>
  <si>
    <t>Artego</t>
  </si>
  <si>
    <t>bricedurand@artegoconcept.com</t>
  </si>
  <si>
    <t>http://www.linkedin.com/in/brice-durand-62958690</t>
  </si>
  <si>
    <t>https://artegopizza.com</t>
  </si>
  <si>
    <t>Thouare-sur-Loire</t>
  </si>
  <si>
    <t xml:space="preserve">Roswell, Georgia, United States</t>
  </si>
  <si>
    <t xml:space="preserve">Local Kansas City pizza on 39th St!</t>
  </si>
  <si>
    <t>Carl</t>
  </si>
  <si>
    <t>Delaporte</t>
  </si>
  <si>
    <t xml:space="preserve">Gérant Le ferronnier dans les nuages</t>
  </si>
  <si>
    <t xml:space="preserve">Le Ferronnier dans les nuages</t>
  </si>
  <si>
    <t>carl@leferronnierdanslesnuages.fr</t>
  </si>
  <si>
    <t>http://www.linkedin.com/in/carl-delaporte-02b3b419</t>
  </si>
  <si>
    <t>https://leferronnierdanslesnuages.fr</t>
  </si>
  <si>
    <t xml:space="preserve">50 Rue des Ferronniers, Douai, Hauts-de-France, France, 59500</t>
  </si>
  <si>
    <t xml:space="preserve">Au Ferronnier dans les nuages, une pause déjeuner, un dîner, une pause gourmande, une boisson chaude, fraîche, une pâtisserie maison, un smoothie, un thé, sur place ou à emporter... 
100% frais 100% fait maison 100% gourmand!
Tous nos produits sont élaborés à partir de farine lait et œufs Bio</t>
  </si>
  <si>
    <t>Pignon</t>
  </si>
  <si>
    <t xml:space="preserve">PIZZA TRADITION</t>
  </si>
  <si>
    <t>dp@arcfinances.com</t>
  </si>
  <si>
    <t>http://www.linkedin.com/in/david-pignon-b59155209</t>
  </si>
  <si>
    <t>https://pizzatradition.fr</t>
  </si>
  <si>
    <t>Vertou</t>
  </si>
  <si>
    <t xml:space="preserve">Vauchelles-les-Authie, Hauts-de-France, France, 80560</t>
  </si>
  <si>
    <t>Rocher</t>
  </si>
  <si>
    <t>IZEE</t>
  </si>
  <si>
    <t>francois.rocher@izee.fr</t>
  </si>
  <si>
    <t>http://www.linkedin.com/in/fran%c3%a7ois-rocher-9878781bb</t>
  </si>
  <si>
    <t>https://izee.bzh</t>
  </si>
  <si>
    <t xml:space="preserve">1 Rue Robert Schuman, Le Relecq-Kerhuon, Brittany, France, 29480</t>
  </si>
  <si>
    <t xml:space="preserve">Une carte pour tous les gourmand(e)s, des recettes pensées pour toutes &amp; tous, click &amp; collect. 🥗Fait maison, frais, local &amp; de saison.</t>
  </si>
  <si>
    <t>Delarche</t>
  </si>
  <si>
    <t>hugo@compose-lyon.fr</t>
  </si>
  <si>
    <t>http://www.linkedin.com/in/hugo-delarche-a021aa77</t>
  </si>
  <si>
    <t>https://composeparis.fr</t>
  </si>
  <si>
    <t>Quelin</t>
  </si>
  <si>
    <t xml:space="preserve">SPECTR PARIS</t>
  </si>
  <si>
    <t>jeremy@spectr-group.fr</t>
  </si>
  <si>
    <t>http://www.linkedin.com/in/j%c3%a9r%c3%a9my-qu%c3%a9lin-8a764230</t>
  </si>
  <si>
    <t>https://spectr-group.fr</t>
  </si>
  <si>
    <t xml:space="preserve">Fondé par l'entrepreneur Jérémy Quélin, SPECTR est spécialisé dans la conception et l'exploitation de lieux singuliers dans le secteur de la restauration et de l'hôtellerie</t>
  </si>
  <si>
    <t>Hivernet</t>
  </si>
  <si>
    <t xml:space="preserve">Gérant de restaurant</t>
  </si>
  <si>
    <t xml:space="preserve">BURGER SHOP</t>
  </si>
  <si>
    <t>jhivernet@cegetel.net</t>
  </si>
  <si>
    <t>http://www.linkedin.com/in/julien-hivernet-b3a979137</t>
  </si>
  <si>
    <t>https://cegetel.net</t>
  </si>
  <si>
    <t>Morlaix</t>
  </si>
  <si>
    <t xml:space="preserve">Colombes, Ile-de-France, France, 92700</t>
  </si>
  <si>
    <t xml:space="preserve">LA BARBADE</t>
  </si>
  <si>
    <t>laurent@labarbade.fr</t>
  </si>
  <si>
    <t>http://www.linkedin.com/in/laurentjpoirier</t>
  </si>
  <si>
    <t>https://labarbade.fr</t>
  </si>
  <si>
    <t xml:space="preserve">La Baule, Pays de la Loire, France, 44500</t>
  </si>
  <si>
    <t>Marika</t>
  </si>
  <si>
    <t xml:space="preserve">LE JAPYONNAIS</t>
  </si>
  <si>
    <t>marika.poirier@japyonnais.fr</t>
  </si>
  <si>
    <t>http://www.linkedin.com/in/marika-poirier-34031976</t>
  </si>
  <si>
    <t>https://japyonnais.fr</t>
  </si>
  <si>
    <t xml:space="preserve">Le restaurant japonais Le Jap'Yonnais est situé face à la gare à la Roche-sur-Yon. Retrouvez les plats traditionnels et des versions revisités.</t>
  </si>
  <si>
    <t>Nedellec</t>
  </si>
  <si>
    <t>quimper@emilieandthecoolkids.com</t>
  </si>
  <si>
    <t>http://www.linkedin.com/in/florence-nedellec-21691672</t>
  </si>
  <si>
    <t>https://emiliescookies.com</t>
  </si>
  <si>
    <t>MB</t>
  </si>
  <si>
    <t>Thionville</t>
  </si>
  <si>
    <t xml:space="preserve">Les Moulins Bleus</t>
  </si>
  <si>
    <t>thionville@lesmoulinsbleus.com</t>
  </si>
  <si>
    <t>http://www.linkedin.com/in/mb-thionville-78a07b10b</t>
  </si>
  <si>
    <t>https://lesmoulinsbleus.com</t>
  </si>
  <si>
    <t xml:space="preserve">Jussy, Hauts-de-France, France, 02480</t>
  </si>
  <si>
    <t xml:space="preserve">Les restaurants Les Moulins Bleus vous accueillent chaleureusement et vous proposent une cuisine italienne gourmande avec des produits frais.</t>
  </si>
  <si>
    <t>Rollet</t>
  </si>
  <si>
    <t xml:space="preserve">Co-fondateur et consultant</t>
  </si>
  <si>
    <t>Agapes</t>
  </si>
  <si>
    <t>william@agapes-consulting.fr</t>
  </si>
  <si>
    <t>http://www.linkedin.com/in/william-rollet-270209125</t>
  </si>
  <si>
    <t>https://agapes-consulting.fr</t>
  </si>
  <si>
    <t xml:space="preserve">Agapes Consulting, agence de conseil et de recrutement spécialisée dans la restauration et hôtellerie</t>
  </si>
  <si>
    <t>https://yeeels.com</t>
  </si>
  <si>
    <t>https://delicity.com</t>
  </si>
  <si>
    <t>https://eatcala.com</t>
  </si>
  <si>
    <t xml:space="preserve">Cala, c’est cinq restaurants à Paris où innovation et ingrédients de qualité sont une priorité ! Des recettes de pâtes et salades 100% personnalisables à retrouver dans une ambiance chaleureuse pour une pause déjeuner rapide ou détente.</t>
  </si>
  <si>
    <t>Alizee</t>
  </si>
  <si>
    <t xml:space="preserve">Coordinatrice du Président - Responsable développement licences France</t>
  </si>
  <si>
    <t>COJEAN</t>
  </si>
  <si>
    <t>alizee.bouvier@cojean.fr</t>
  </si>
  <si>
    <t>http://www.linkedin.com/in/aliz%c3%a9e-bouvier-ba4066b8</t>
  </si>
  <si>
    <t>https://cojean.fr</t>
  </si>
  <si>
    <t xml:space="preserve">53 Boulevard du General Martial Valin, Paris, Ile-de-France, France, 75015</t>
  </si>
  <si>
    <t xml:space="preserve">La maison de restauration rapide à la française de plats chauds ou froids, aux valeurs durables, dans un décor élégant et à emporter</t>
  </si>
  <si>
    <t>Nayet</t>
  </si>
  <si>
    <t xml:space="preserve">Le Comptoir du Malt</t>
  </si>
  <si>
    <t>anayet@lecomptoirdumalt.fr</t>
  </si>
  <si>
    <t>http://www.linkedin.com/in/antoine-nayet-14a6773</t>
  </si>
  <si>
    <t>https://lecomptoirdumalt.fr</t>
  </si>
  <si>
    <t xml:space="preserve">28BIS Route d'Amiens, Dury, Hauts-de-France, France, 80480</t>
  </si>
  <si>
    <t>Annaig</t>
  </si>
  <si>
    <t>Ferrand</t>
  </si>
  <si>
    <t>Ephemera</t>
  </si>
  <si>
    <t>annaig@ephemerarestaurant.com</t>
  </si>
  <si>
    <t>http://www.linkedin.com/in/anna%c3%afg-ferrand-501309129</t>
  </si>
  <si>
    <t>https://ephemerarestaurant.com</t>
  </si>
  <si>
    <t xml:space="preserve">160 Avenue de France, Paris, Ile-de-France, France, 75013</t>
  </si>
  <si>
    <t xml:space="preserve">Offrez-vous une expérience culinaire unique et immersive ! Plongez dans un univers où chaque repas devient une aventure hors du temps.</t>
  </si>
  <si>
    <t xml:space="preserve">Dirigeante SAS LFAF - Franchisée La Famille Finest Lunch</t>
  </si>
  <si>
    <t xml:space="preserve">LA FAMILLE</t>
  </si>
  <si>
    <t>anne.faure@lf.fr</t>
  </si>
  <si>
    <t>http://www.linkedin.com/in/anne-faure-8080615b</t>
  </si>
  <si>
    <t>https://lf.fr</t>
  </si>
  <si>
    <t xml:space="preserve">10 Allee Lakanal, Villeneuve-d'Ascq, Hauts-de-France, France, 59650</t>
  </si>
  <si>
    <t xml:space="preserve">Pour vos déjeuners &amp; buffets, des recettes de famille gourmandes et de qualité à partager. Votre restaurant La Famille est impatient de vous accueillir !</t>
  </si>
  <si>
    <t>Audrey</t>
  </si>
  <si>
    <t>Ghattas</t>
  </si>
  <si>
    <t xml:space="preserve">Fondatrice et associée</t>
  </si>
  <si>
    <t>audrey.ghattas@qualiteandco.com</t>
  </si>
  <si>
    <t>http://www.linkedin.com/in/audrey-ghattas-4a850b121</t>
  </si>
  <si>
    <t>https://qualiteandco.com</t>
  </si>
  <si>
    <t>NACHOS</t>
  </si>
  <si>
    <t>benoit.leroy@nachos.fr</t>
  </si>
  <si>
    <t>http://www.linkedin.com/in/benoit-leroy-43b71449</t>
  </si>
  <si>
    <t>https://nachos.fr</t>
  </si>
  <si>
    <t xml:space="preserve">Boulevard Ferdinand de Lesseps, Rouen, Upper Normandy, France, 76000</t>
  </si>
  <si>
    <t xml:space="preserve">Découvrez la carte, le concept et les adresses de nos restaurants d'inspiration mexicaine, qui vous proposent une cuisine saine et savoureuse !</t>
  </si>
  <si>
    <t>Germaneau</t>
  </si>
  <si>
    <t>SANTOSHA</t>
  </si>
  <si>
    <t>benoit@santosha.cool</t>
  </si>
  <si>
    <t>http://www.linkedin.com/in/benoit-germaneau-4a20bb1a8</t>
  </si>
  <si>
    <t>https://santosha.cool</t>
  </si>
  <si>
    <t xml:space="preserve">2 Place Fernand Lafargue, Bordeaux, Nouvelle-Aquitaine, France, 33000</t>
  </si>
  <si>
    <t xml:space="preserve">On vous attend chez Santosha, votre cantine asiatique préférée ! Venez goûter aux saveurs d'Asie du Sud-Est grâce à des recettes généreuses !</t>
  </si>
  <si>
    <t>Guedj</t>
  </si>
  <si>
    <t xml:space="preserve">Président / Fondateur</t>
  </si>
  <si>
    <t xml:space="preserve">Yann Couvreur Pâtisserie</t>
  </si>
  <si>
    <t>bg@yanncouvreur.com</t>
  </si>
  <si>
    <t>http://www.linkedin.com/in/benjamin-guedj-375a1231</t>
  </si>
  <si>
    <t>https://yanncouvreur.com</t>
  </si>
  <si>
    <t xml:space="preserve">87 Brompton Road, London, England, United Kingdom, SW1X 0</t>
  </si>
  <si>
    <t xml:space="preserve">Des pâtisseries, aux produits naturels et de saison, dont les présentations jouent les équilibristes, et où textures audacieuses mais éphémères côtoient des températures au jeu malicieux.</t>
  </si>
  <si>
    <t>Dervaux</t>
  </si>
  <si>
    <t xml:space="preserve">My Little Warung</t>
  </si>
  <si>
    <t>brice.dervaux@mylittlewarung.com</t>
  </si>
  <si>
    <t>http://www.linkedin.com/in/brice-dervaux-245705</t>
  </si>
  <si>
    <t>https://mylittlewarung.com</t>
  </si>
  <si>
    <t xml:space="preserve">16 Place Notre-Dame, Grenoble, Auvergne-Rhone-Alpes, France, 38000</t>
  </si>
  <si>
    <t xml:space="preserve">Bienvenue dans un monde de fraîcheur, de saveurs authentiques, dans une ambiance décontractée.</t>
  </si>
  <si>
    <t>Chung</t>
  </si>
  <si>
    <t xml:space="preserve">Bao Family</t>
  </si>
  <si>
    <t>celine@petitbao.com</t>
  </si>
  <si>
    <t>http://www.linkedin.com/in/c%c3%a9line-chung-551a9a2b</t>
  </si>
  <si>
    <t>https://baofamily.co</t>
  </si>
  <si>
    <t xml:space="preserve">116 Rue Saint-Denis, Paris, Ile-de-France, France, 75002</t>
  </si>
  <si>
    <t xml:space="preserve">La Bao Family, c’est une bande de potes créatifs et ambitieux qui 
révolutionne la restauration chinoise ! Leur devise : Good Food, Good 
People, Cool Place. Avec Petit Bao ouvert en janvier 2019 et Gros Bao 
ouvert en juillet 2020, la BAO FAM montre que le véritable chemin pour 
toucher le cœur passe par l'estomac.</t>
  </si>
  <si>
    <t>Chanael</t>
  </si>
  <si>
    <t>Lenoir</t>
  </si>
  <si>
    <t xml:space="preserve">Dans le Noir ? Dining in the Dark</t>
  </si>
  <si>
    <t>chanael@danslenoir.com</t>
  </si>
  <si>
    <t>http://www.linkedin.com/in/chanael-lenoir-23530819</t>
  </si>
  <si>
    <t>https://danslenoir.com</t>
  </si>
  <si>
    <t xml:space="preserve">Restaurant Dans le Noir ? vous propose des expériences sensorielles, conviviales &amp; humaines uniques au sein de son restaurant insolite ou de son Espace ...</t>
  </si>
  <si>
    <t>Ganem</t>
  </si>
  <si>
    <t>Dumbo</t>
  </si>
  <si>
    <t>charles@dumboparis.com</t>
  </si>
  <si>
    <t>http://www.linkedin.com/in/charles-ganem-19661448</t>
  </si>
  <si>
    <t>https://dumboparis.com</t>
  </si>
  <si>
    <t xml:space="preserve">Quality Burger Joint For All - We are open !</t>
  </si>
  <si>
    <t>Perez</t>
  </si>
  <si>
    <t xml:space="preserve">Nouvelle Garde</t>
  </si>
  <si>
    <t>charles@nouvellegardegroupe.com</t>
  </si>
  <si>
    <t>http://www.linkedin.com/in/charles-perez-28108b94</t>
  </si>
  <si>
    <t>https://lanouvellegarde.com</t>
  </si>
  <si>
    <t xml:space="preserve">140 Rue du Faubourg Poissonniere, Paris, Ile-de-France, France, 75010</t>
  </si>
  <si>
    <t xml:space="preserve">Co-Fondateur et Dirigeant</t>
  </si>
  <si>
    <t xml:space="preserve">Mister Garden</t>
  </si>
  <si>
    <t>clement@mister-garden.com</t>
  </si>
  <si>
    <t>http://www.linkedin.com/in/cl%c3%a9ment-gauthier-35842443</t>
  </si>
  <si>
    <t>https://mister-garden.com</t>
  </si>
  <si>
    <t xml:space="preserve">4 Rue du Commandant Riviere, Paris, Ile-de-France, France, 75008</t>
  </si>
  <si>
    <t xml:space="preserve">Bar à salades Mister Garden. Venez déguster une Salade 100% personnalisée ! Découvrez aussi nos Salades Signature du moment !</t>
  </si>
  <si>
    <t>Meyer</t>
  </si>
  <si>
    <t xml:space="preserve">Directeur Général des Operations, Associé MRS Groupe</t>
  </si>
  <si>
    <t xml:space="preserve">MRS Groupe</t>
  </si>
  <si>
    <t>cmeyer@mrs.fr</t>
  </si>
  <si>
    <t>http://www.linkedin.com/in/meyerclaude</t>
  </si>
  <si>
    <t>https://mrs.fr</t>
  </si>
  <si>
    <t xml:space="preserve">13 Rue Pages, Suresnes, Ile-de-France, France, 92150</t>
  </si>
  <si>
    <t>Denis</t>
  </si>
  <si>
    <t>Daubignard</t>
  </si>
  <si>
    <t xml:space="preserve">La Scaleta 🍕</t>
  </si>
  <si>
    <t>d.daubignard@la-scaleta.fr</t>
  </si>
  <si>
    <t>http://www.linkedin.com/in/denis-daubignard-b2b3096a</t>
  </si>
  <si>
    <t>https://la-scaleta.fr</t>
  </si>
  <si>
    <t>Blois</t>
  </si>
  <si>
    <t xml:space="preserve">20 Avenue Medicis, Blois, Centre, France, 41000</t>
  </si>
  <si>
    <t xml:space="preserve">Nous vous invitons à découvrir toutes les spécialités de nos restaurants La Scaleta et à venir déguster nos plats de qualité dans une ambiance typique d'Italie. %</t>
  </si>
  <si>
    <t>Chevillot</t>
  </si>
  <si>
    <t xml:space="preserve">Restaurant Tetedoie</t>
  </si>
  <si>
    <t>damien.chevillot@tetedoie.com</t>
  </si>
  <si>
    <t>http://www.linkedin.com/in/damien-chevillot-388ba9155</t>
  </si>
  <si>
    <t>https://tetedoie.com</t>
  </si>
  <si>
    <t xml:space="preserve">Bénéficiant d'une vue panoramique sur la ville de Lyon, le restaurant étoilé Christian Têtedoie allie cadre exceptionnel et cuisine française raffinée.</t>
  </si>
  <si>
    <t>Bettan</t>
  </si>
  <si>
    <t xml:space="preserve">Directeur Général Groupe Beaumarly</t>
  </si>
  <si>
    <t>Beaumarly</t>
  </si>
  <si>
    <t>david.bettan@beaumarly.com</t>
  </si>
  <si>
    <t>http://www.linkedin.com/in/david-bettan-93a95047</t>
  </si>
  <si>
    <t>https://beaumarly.com</t>
  </si>
  <si>
    <t xml:space="preserve">28 Rue Notre Dame des Victoires, Paris, Ile-de-France, France, 75002</t>
  </si>
  <si>
    <t xml:space="preserve">Découvrez l'univers du groupe Beaumarly. Chaque endroit est un lieu iconique, un univers. Une certaine idée de l'avant-garde.</t>
  </si>
  <si>
    <t>Roche</t>
  </si>
  <si>
    <t xml:space="preserve">Directeur Général Associé, Co-fondateur</t>
  </si>
  <si>
    <t>didier.roche@danslenoir.com</t>
  </si>
  <si>
    <t>http://www.linkedin.com/in/didier-roche-47592929</t>
  </si>
  <si>
    <t>Selim</t>
  </si>
  <si>
    <t>Jaouadi</t>
  </si>
  <si>
    <t xml:space="preserve">New School Tacos</t>
  </si>
  <si>
    <t>direction@newschooltacos.fr</t>
  </si>
  <si>
    <t>http://www.linkedin.com/in/selim-jaouadi-6b4910ab</t>
  </si>
  <si>
    <t>https://newschooltacos.fr</t>
  </si>
  <si>
    <t xml:space="preserve">Composez votre tacos dans l'un de nos nombreux restaurants, partout en France ! Des tacos savoureux, généreusement garnis et élaborés à partir de produits de qualité.</t>
  </si>
  <si>
    <t>Dominique</t>
  </si>
  <si>
    <t xml:space="preserve">SoDel Concepts</t>
  </si>
  <si>
    <t>dominique.mathieu@sodel.net</t>
  </si>
  <si>
    <t>http://www.linkedin.com/in/dominique-mathieu-855a5971</t>
  </si>
  <si>
    <t>https://sodelconcepts.com</t>
  </si>
  <si>
    <t xml:space="preserve">220 Rehoboth Ave, Rehoboth Beach, Delaware, United States, 19971</t>
  </si>
  <si>
    <t>Edgar</t>
  </si>
  <si>
    <t>Baudin</t>
  </si>
  <si>
    <t xml:space="preserve">Président &amp; co-fondateur</t>
  </si>
  <si>
    <t>l'Abri</t>
  </si>
  <si>
    <t>edgar@labri-marseille.fr</t>
  </si>
  <si>
    <t>http://www.linkedin.com/in/edgarbaudin</t>
  </si>
  <si>
    <t>https://labri-marseille.fr</t>
  </si>
  <si>
    <t xml:space="preserve">114 Boulevard de la Corderie, Marseille, Provence-Alpes-Cote d'Azur, France, 13007</t>
  </si>
  <si>
    <t xml:space="preserve">Chai urbain de vins naturels &amp; petites assiettes iodées.</t>
  </si>
  <si>
    <t>Broglie</t>
  </si>
  <si>
    <t>edouard@danslenoir.fr</t>
  </si>
  <si>
    <t>http://www.linkedin.com/in/edouard-de-broglie-50b3321</t>
  </si>
  <si>
    <t xml:space="preserve">Le Palais</t>
  </si>
  <si>
    <t>https://la-brigade.fr</t>
  </si>
  <si>
    <t>Chalandon</t>
  </si>
  <si>
    <t xml:space="preserve">Consultant en Management pour les Dirigeants et Président fondateur</t>
  </si>
  <si>
    <t>Boracay</t>
  </si>
  <si>
    <t>emmanuel@chalandon.net</t>
  </si>
  <si>
    <t>http://www.linkedin.com/in/emmanuel-chalandon-b7081920</t>
  </si>
  <si>
    <t>https://boracay.gr</t>
  </si>
  <si>
    <t xml:space="preserve">6 Γιαννιτσόπουλου, Greece, 166 74</t>
  </si>
  <si>
    <t>Tedesco</t>
  </si>
  <si>
    <t xml:space="preserve">Yogurt Factory</t>
  </si>
  <si>
    <t>emmanuel@yogurtfactory.fr</t>
  </si>
  <si>
    <t>http://www.linkedin.com/in/emmanuel-tedesco-37342168</t>
  </si>
  <si>
    <t>https://yogurtfactory.fr</t>
  </si>
  <si>
    <t xml:space="preserve">9 Rue Notre-Dame de Nazareth, Paris, Ile-de-France, France, 75003</t>
  </si>
  <si>
    <t xml:space="preserve">Yogurt Factory est une marque différente des autres, qui ne fait rien comme les autres!
La Salopette Rouge est notre emblème, gage d’un service efficace mais surtout d’un accueil convivial et amusant!</t>
  </si>
  <si>
    <t>Nivoix</t>
  </si>
  <si>
    <t xml:space="preserve">CEO &amp; cofounder</t>
  </si>
  <si>
    <t>FoodoMarket</t>
  </si>
  <si>
    <t>eric@foodomarket.com</t>
  </si>
  <si>
    <t>http://www.linkedin.com/in/eric-nivoix-799a05</t>
  </si>
  <si>
    <t>https://foodomarket.com</t>
  </si>
  <si>
    <t xml:space="preserve">Boulogne-Billancourt, Ile-de-France, France</t>
  </si>
  <si>
    <t xml:space="preserve">Inscrivez-vous en une minute et accédez à une marketplace de 200 grossistes et producteurs spécialement sélectionnés pour les restaurateurs</t>
  </si>
  <si>
    <t>Erik</t>
  </si>
  <si>
    <t>Gay</t>
  </si>
  <si>
    <t>Flam's</t>
  </si>
  <si>
    <t>erik.gay@flams.fr</t>
  </si>
  <si>
    <t>http://www.linkedin.com/in/erik-gay-b2127121</t>
  </si>
  <si>
    <t>https://flams.fr</t>
  </si>
  <si>
    <t xml:space="preserve">5 Rue du Faubourg-National, Strasbourg, Grand Est, France, 67000</t>
  </si>
  <si>
    <t xml:space="preserve">Bienvenue chez Flam's ! Découvrez notre cuisine savoureuse, des flammekueches classiques aux créations innovantes. Ravis de vous accueillir !</t>
  </si>
  <si>
    <t>Rouxel</t>
  </si>
  <si>
    <t xml:space="preserve">Groupe Signorizza</t>
  </si>
  <si>
    <t>erwan.rouxel@signorizza.fr</t>
  </si>
  <si>
    <t>http://www.linkedin.com/in/erwan-rouxel-6b610713</t>
  </si>
  <si>
    <t>https://signorizza.com</t>
  </si>
  <si>
    <t xml:space="preserve">Nos pizzas aux couleurs de l’Italie sont cuites dans nos fours à bois leur donnant ainsi un goût incomparable.</t>
  </si>
  <si>
    <t>Neel</t>
  </si>
  <si>
    <t xml:space="preserve">Co-Dirigeant LA FAMILLE finest lunch LYON</t>
  </si>
  <si>
    <t>fabien.neel@lf.fr</t>
  </si>
  <si>
    <t>http://www.linkedin.com/in/fabien-neel-269a2729</t>
  </si>
  <si>
    <t>Venissieux</t>
  </si>
  <si>
    <t>Fruoco</t>
  </si>
  <si>
    <t>Basilic</t>
  </si>
  <si>
    <t>fabrice.fruoco@basilic-and-co.com</t>
  </si>
  <si>
    <t>http://www.linkedin.com/in/fabrice-fruoco</t>
  </si>
  <si>
    <t>https://basilic-and-co.com</t>
  </si>
  <si>
    <t xml:space="preserve">1523 Melrose Avenue Northwest, Roanoke, Virginia, United States, 24017</t>
  </si>
  <si>
    <t xml:space="preserve">Découvrez les pizzerias Basilic &amp; Co et leurs recettes de terroir aux saveurs authentiques. Un véritable voyage gastronomique !</t>
  </si>
  <si>
    <t>Firat</t>
  </si>
  <si>
    <t>Akarsu</t>
  </si>
  <si>
    <t xml:space="preserve">Founder And Member</t>
  </si>
  <si>
    <t xml:space="preserve">Berliner Das Original</t>
  </si>
  <si>
    <t>firat@berliner-do.com</t>
  </si>
  <si>
    <t>http://www.linkedin.com/in/firat-akarsu-1b7177153</t>
  </si>
  <si>
    <t>https://berliner-do.com</t>
  </si>
  <si>
    <t xml:space="preserve">Berliner Das Original c'est plus de 25 restaurants en France. Venez découvrir le kebab berlinois avec une viande de qualité et des légumes frais.</t>
  </si>
  <si>
    <t xml:space="preserve">Attachée de Direction du PDG</t>
  </si>
  <si>
    <t xml:space="preserve">PIC Group</t>
  </si>
  <si>
    <t>florence.martin@groupe-pic.com</t>
  </si>
  <si>
    <t>http://www.linkedin.com/in/florence-martin07130</t>
  </si>
  <si>
    <t>https://picgroupinc.com</t>
  </si>
  <si>
    <t xml:space="preserve">285 Avenue Victor Hugo, Valence, Auvergne-Rhone-Alpes, France, 26000</t>
  </si>
  <si>
    <t xml:space="preserve">Site officiel de la cheffe triplement étoilée. Découvrez l'univers culinaire d'Anne-Sophie Pic et ses établissements à travers le monde.</t>
  </si>
  <si>
    <t>Baconnet</t>
  </si>
  <si>
    <t xml:space="preserve">Directeur général de magasin</t>
  </si>
  <si>
    <t xml:space="preserve">PIZZA COSY 🍕</t>
  </si>
  <si>
    <t>florent@pizzacosy.fr</t>
  </si>
  <si>
    <t>http://www.linkedin.com/in/florent-baconnet-09b8071a5</t>
  </si>
  <si>
    <t>https://pizzacosy.fr</t>
  </si>
  <si>
    <t xml:space="preserve">14B Rue Louis Blanchard, Sorbiers, Auvergne-Rhone-Alpes, France, 42290</t>
  </si>
  <si>
    <t xml:space="preserve">Chez Pizza Cosy nous élaborons nos recettes avec des ingrédients cuisinés et de saison. Du love sur place, à emporter ou en livraison. Ça va crusher !</t>
  </si>
  <si>
    <t>Martinez</t>
  </si>
  <si>
    <t>fmartinez@mrs.fr</t>
  </si>
  <si>
    <t>http://www.linkedin.com/in/fran%c3%a7ois-martinez-017b4823</t>
  </si>
  <si>
    <t>Page</t>
  </si>
  <si>
    <t xml:space="preserve">Fresh Burritos</t>
  </si>
  <si>
    <t>fpage@freshburritos.com</t>
  </si>
  <si>
    <t>http://www.linkedin.com/in/francois-beaudoin-page-49ba18115</t>
  </si>
  <si>
    <t>https://freshburritos.fr</t>
  </si>
  <si>
    <t xml:space="preserve">57 Rue de la Chaussee-d'Antin, Paris, Ile-de-France, France, 75009</t>
  </si>
  <si>
    <t>https://groupefhb.fr</t>
  </si>
  <si>
    <t>Mazzone</t>
  </si>
  <si>
    <t>gestion@newschooltacos.fr</t>
  </si>
  <si>
    <t>http://www.linkedin.com/in/anthony-mazzone-46a207177</t>
  </si>
  <si>
    <t>Abecassis</t>
  </si>
  <si>
    <t>BAGELSTEIN</t>
  </si>
  <si>
    <t>gilles@bagelstein.com</t>
  </si>
  <si>
    <t>http://www.linkedin.com/in/gilles-abecassis-7634b5114</t>
  </si>
  <si>
    <t>https://bagelstein.com</t>
  </si>
  <si>
    <t xml:space="preserve">3 Rue des Francs Bourgeois, Strasbourg, Grand Est, France, 67000</t>
  </si>
  <si>
    <t>Leclercq</t>
  </si>
  <si>
    <t>taobento</t>
  </si>
  <si>
    <t>gleclercq@taobento.com</t>
  </si>
  <si>
    <t>http://www.linkedin.com/in/gr%c3%a9goire-leclercq-587645192</t>
  </si>
  <si>
    <t>https://taobento.fr</t>
  </si>
  <si>
    <t xml:space="preserve">150 Avenue de l'Espace, Wambrechies, Hauts-de-France, France, 59118</t>
  </si>
  <si>
    <t xml:space="preserve">Restaurant de sushi, poké bowl, plats cuisinés asiatiques | Vente sur place, à emporter ou en livraison...</t>
  </si>
  <si>
    <t>Marchand</t>
  </si>
  <si>
    <t>Frenchie</t>
  </si>
  <si>
    <t>greg@frenchie-restaurant.com</t>
  </si>
  <si>
    <t>http://www.linkedin.com/in/greg-marchand-601a172b3</t>
  </si>
  <si>
    <t>https://frenchie-restaurant.com</t>
  </si>
  <si>
    <t xml:space="preserve">5 Rue du Nil, Paris, Ile-de-France, France, 75002</t>
  </si>
  <si>
    <t>Lecointre</t>
  </si>
  <si>
    <t xml:space="preserve">Co-Fondateur &amp; Directeur général</t>
  </si>
  <si>
    <t xml:space="preserve">LECOINTRE PARIS</t>
  </si>
  <si>
    <t>guillaume.lecointre@lecointreparis.com</t>
  </si>
  <si>
    <t>http://www.linkedin.com/in/guillaume-lecointre-b896a913</t>
  </si>
  <si>
    <t>https://lecointreparis.com</t>
  </si>
  <si>
    <t xml:space="preserve">16 Rue Jules Ferry, Courbevoie, Ile-de-France, France, 92400</t>
  </si>
  <si>
    <t xml:space="preserve">Lecointre Paris est une entreprise jeune et dynamique spécialisée dans la création de concepts de restauration innovants et haut de gamme</t>
  </si>
  <si>
    <t>Natas</t>
  </si>
  <si>
    <t xml:space="preserve">Fondateur et Directeur Général</t>
  </si>
  <si>
    <t xml:space="preserve">La Maison de la Poutine</t>
  </si>
  <si>
    <t>guillaume@poutine.fr</t>
  </si>
  <si>
    <t>http://www.linkedin.com/in/guillaumenatas</t>
  </si>
  <si>
    <t>https://poutine.fr</t>
  </si>
  <si>
    <t>Galloy</t>
  </si>
  <si>
    <t>Noma</t>
  </si>
  <si>
    <t>guillaumegalloy@noma-editions.com</t>
  </si>
  <si>
    <t>http://www.linkedin.com/in/guillaume-galloy-4b35709</t>
  </si>
  <si>
    <t>https://noma.dk</t>
  </si>
  <si>
    <t xml:space="preserve">96 Refshalevej, Copenhagen, Capital Region of Denmark, Denmark, 1432</t>
  </si>
  <si>
    <t>Denmark</t>
  </si>
  <si>
    <t xml:space="preserve">Ocean Season 2025 Reservations Stay in touch with the latest from noma Welcome For the past twenty years, noma has been a restaurant ever curious to learn and grow—to be the best that we can be! Our origin is rooted in an exploration of the natural world, which began with a simple desire to rediscover…</t>
  </si>
  <si>
    <t>Cassaro</t>
  </si>
  <si>
    <t>h.cassaro@beaumarly.com</t>
  </si>
  <si>
    <t>http://www.linkedin.com/in/hugo-cassaro-59890237</t>
  </si>
  <si>
    <t>Sawko</t>
  </si>
  <si>
    <t xml:space="preserve">WILD &amp; The MOON</t>
  </si>
  <si>
    <t>herve@wildandthemoon.com</t>
  </si>
  <si>
    <t>http://www.linkedin.com/in/herve-sawko-7470b515</t>
  </si>
  <si>
    <t>https://wildandthemoon.fr</t>
  </si>
  <si>
    <t xml:space="preserve">25 Rue des Gravilliers, Paris, Ile-de-France, France, 75003</t>
  </si>
  <si>
    <t xml:space="preserve">Discover the organic detox juices from Wild &amp; The Moon. ✔ Cold pressed ✔ Enriched with superfoods ✔ Delivered from Tuesday at 7am in Paris ✔ Free delivery everywhere in France from 80€</t>
  </si>
  <si>
    <t>Hubert</t>
  </si>
  <si>
    <t>Dessaint</t>
  </si>
  <si>
    <t xml:space="preserve">Directeur Général - Managing Director</t>
  </si>
  <si>
    <t>hubert@berliner-do.com</t>
  </si>
  <si>
    <t>http://www.linkedin.com/in/hubert-dessaint-24a2375</t>
  </si>
  <si>
    <t>Jade</t>
  </si>
  <si>
    <t>Frommer</t>
  </si>
  <si>
    <t>jade@ephemerarestaurant.com</t>
  </si>
  <si>
    <t>http://www.linkedin.com/in/jade-frommer-788aa9130</t>
  </si>
  <si>
    <t>jeanlouis@lf.fr</t>
  </si>
  <si>
    <t>http://www.linkedin.com/in/jean-louis-flipo-a85a05128</t>
  </si>
  <si>
    <t>Perret</t>
  </si>
  <si>
    <t xml:space="preserve">Founder &amp; Ceo</t>
  </si>
  <si>
    <t>BCHEF</t>
  </si>
  <si>
    <t>julien.perret@bchef.fr</t>
  </si>
  <si>
    <t>http://www.linkedin.com/in/julienperret</t>
  </si>
  <si>
    <t>https://bchef.fr</t>
  </si>
  <si>
    <t xml:space="preserve">Découvrez BCHEF, des restaurant de burgers, bagels, salades et autres gourmandises de qualité dans toute la france ! Sur place, à emporter et en livraison</t>
  </si>
  <si>
    <t>Sibellas</t>
  </si>
  <si>
    <t>julien.sibellas@mylittlewarung.com</t>
  </si>
  <si>
    <t>http://www.linkedin.com/in/julien-sibellas-34137248</t>
  </si>
  <si>
    <t>Zeitoun</t>
  </si>
  <si>
    <t xml:space="preserve">Co-founder &amp; Directeur Général</t>
  </si>
  <si>
    <t>jz@yanncouvreur.com</t>
  </si>
  <si>
    <t>http://www.linkedin.com/in/jordan-zeitoun-284816ba</t>
  </si>
  <si>
    <t>Dardouri</t>
  </si>
  <si>
    <t xml:space="preserve">LE TACOS DE LYON</t>
  </si>
  <si>
    <t>karim.dardouri@letacosdelyon.com</t>
  </si>
  <si>
    <t>http://www.linkedin.com/in/karim-dardouri-01579570</t>
  </si>
  <si>
    <t>https://letacosdelyon.com</t>
  </si>
  <si>
    <t xml:space="preserve">4 Rue Brocherie, Grenoble, Auvergne-Rhone-Alpes, France, 38000</t>
  </si>
  <si>
    <t>Ramel</t>
  </si>
  <si>
    <t xml:space="preserve">Gérant de La Taverne - Laval</t>
  </si>
  <si>
    <t xml:space="preserve">La Taverne</t>
  </si>
  <si>
    <t>laval@lesrelaisdalsace.com</t>
  </si>
  <si>
    <t>http://www.linkedin.com/in/jean-michel-ramel-57392a170</t>
  </si>
  <si>
    <t>https://lestavernes.com</t>
  </si>
  <si>
    <t xml:space="preserve">31 Rue de la Frebardiere, Chantepie, Brittany, France, 35135</t>
  </si>
  <si>
    <t xml:space="preserve">Restaurant de cuisine traditionnelle, concoctée par des chefs inspirés et exigeants, qui respecte les goûts d’aujourd’hui.</t>
  </si>
  <si>
    <t>llacombe@mrs.fr</t>
  </si>
  <si>
    <t>http://www.linkedin.com/in/laurent-lacombe-6577a7105</t>
  </si>
  <si>
    <t>O'Neill</t>
  </si>
  <si>
    <t>louis@lf.fr</t>
  </si>
  <si>
    <t>http://www.linkedin.com/in/louis-o-neill-b7043255</t>
  </si>
  <si>
    <t>Bucher</t>
  </si>
  <si>
    <t>Dirigeant</t>
  </si>
  <si>
    <t xml:space="preserve">River Café</t>
  </si>
  <si>
    <t>m.bucher@rivercafe.fr</t>
  </si>
  <si>
    <t>http://www.linkedin.com/in/mathieu-bucher-041bb561</t>
  </si>
  <si>
    <t>https://river-cafe.com</t>
  </si>
  <si>
    <t xml:space="preserve">698 Eau Claire Ave SW, Calgary, Alberta, Canada, T2P</t>
  </si>
  <si>
    <t>Potocki</t>
  </si>
  <si>
    <t xml:space="preserve">Directrice Générale du Pôle Hôtelier</t>
  </si>
  <si>
    <t xml:space="preserve">La Folie Douce</t>
  </si>
  <si>
    <t>margaux@lafoliedouce.com</t>
  </si>
  <si>
    <t>http://www.linkedin.com/in/margauxaymoznowak</t>
  </si>
  <si>
    <t>https://lafoliedouce.com</t>
  </si>
  <si>
    <t xml:space="preserve">Val-d'Isere, Rhone-Alpes, France</t>
  </si>
  <si>
    <t xml:space="preserve">La recette du succès de La Folie Douce repose sur le subtil mélange d’une cuisine locale
audacieuse et conviviale et de l’amour du spectacle. L’authenticité, la bienveillance, le vivre
ensemble, la famille et le partage sont des valeurs qui vibrent au rythme de la musique. Perchée depuis 1969, La Folie Douce rassemble petits et grands pour une expérience unique en altitude.</t>
  </si>
  <si>
    <t>https://bds-restaurant.com</t>
  </si>
  <si>
    <t>Pugnat</t>
  </si>
  <si>
    <t>marine@lf.fr</t>
  </si>
  <si>
    <t>http://www.linkedin.com/in/marine-pugnat-7110595b</t>
  </si>
  <si>
    <t>marion.flipo@cojean.fr</t>
  </si>
  <si>
    <t>http://www.linkedin.com/in/marion-flipo-836b5922</t>
  </si>
  <si>
    <t>Marvens</t>
  </si>
  <si>
    <t xml:space="preserve">PB GROUPE</t>
  </si>
  <si>
    <t>marvens.f@pbpouletbraise.fr</t>
  </si>
  <si>
    <t>http://www.linkedin.com/in/marvens-francois-110a9193</t>
  </si>
  <si>
    <t>https://pbpouletbraise.fr</t>
  </si>
  <si>
    <t xml:space="preserve">Montreuil, Ile-de-France, France</t>
  </si>
  <si>
    <t xml:space="preserve">Savourez nos spécialités de poulet braisé avec une carte variée allant des entrées aux desserts. Venez découvrir nos plats savoureux !</t>
  </si>
  <si>
    <t>https://dlcs.fr</t>
  </si>
  <si>
    <t>Boivent</t>
  </si>
  <si>
    <t>matthieu@foodomarket.com</t>
  </si>
  <si>
    <t>http://www.linkedin.com/in/matthieu-boivent-a4451517</t>
  </si>
  <si>
    <t>Lellouche</t>
  </si>
  <si>
    <t xml:space="preserve">Chief Executive Officer (CEO) and Partner, in charge of expansion strategy and operations in Spain</t>
  </si>
  <si>
    <t xml:space="preserve">IT Italian Trattoria</t>
  </si>
  <si>
    <t>maxence.lellouche@it-trattoria.com</t>
  </si>
  <si>
    <t>http://www.linkedin.com/in/maxence-lellouche-92ab2837</t>
  </si>
  <si>
    <t>https://it-trattoria.com</t>
  </si>
  <si>
    <t xml:space="preserve">125 Avenue de France, Paris, Ile-de-France, France, 75013</t>
  </si>
  <si>
    <t>Minh-Duc</t>
  </si>
  <si>
    <t>Truong</t>
  </si>
  <si>
    <t xml:space="preserve">Co-fondateur et Dirigeant associé</t>
  </si>
  <si>
    <t>WOKO</t>
  </si>
  <si>
    <t>md.truong@woko.fr</t>
  </si>
  <si>
    <t>http://www.linkedin.com/in/minhductruong</t>
  </si>
  <si>
    <t>https://woko.fr</t>
  </si>
  <si>
    <t xml:space="preserve">17 Rue Hector Berlioz, Villeurbanne, Auvergne-Rhone-Alpes, France, 69100</t>
  </si>
  <si>
    <t>Mousserati</t>
  </si>
  <si>
    <t xml:space="preserve">CEO / Founder</t>
  </si>
  <si>
    <t xml:space="preserve">LE CLUB CAFÉ</t>
  </si>
  <si>
    <t>mehdi.mousserati@leclubcafe.com</t>
  </si>
  <si>
    <t>http://www.linkedin.com/in/mehdi-mousserati-03781712a</t>
  </si>
  <si>
    <t>https://leclubcafe.com</t>
  </si>
  <si>
    <t xml:space="preserve">207 Avenue Willy Brandt, Lille, Hauts-de-France, France, 59800</t>
  </si>
  <si>
    <t xml:space="preserve">LE CLUB CAFÉ est un créateur de lieux propices à la détente, au partage, et à la convivialité.  Nos clients y savourent de bons produits mais aussi de bons moments en famille, entre amis ou entre collègues.</t>
  </si>
  <si>
    <t>https://crepetouch.com</t>
  </si>
  <si>
    <t xml:space="preserve">Restaurant de service à table autour de produits phares crêpes et gaufres. Nos produits sont frais et personnalisés</t>
  </si>
  <si>
    <t>Nico</t>
  </si>
  <si>
    <t>Zurek</t>
  </si>
  <si>
    <t xml:space="preserve">La Pizza de Nico</t>
  </si>
  <si>
    <t>nico@lapizzadenico.com</t>
  </si>
  <si>
    <t>http://www.linkedin.com/in/nico-zurek-b6647865</t>
  </si>
  <si>
    <t>https://franchise-lapizzadenico.com</t>
  </si>
  <si>
    <t>Parempuyre</t>
  </si>
  <si>
    <t xml:space="preserve">42 Rue de la 1ere Armee, Strasbourg, Grand Est, France, 67000</t>
  </si>
  <si>
    <t xml:space="preserve">Rejoindre la franchise La Pizza de Nico c'est bénéficier d'un accompagnement 100% personnalisé et d'une formation continue. N'attendez plus !</t>
  </si>
  <si>
    <t>Demic</t>
  </si>
  <si>
    <t>nicolas.demic@lecointreparis.com</t>
  </si>
  <si>
    <t>http://www.linkedin.com/in/nicolas-demic-8a8b3a4b</t>
  </si>
  <si>
    <t>Courbevoie</t>
  </si>
  <si>
    <t>Ribaud</t>
  </si>
  <si>
    <t xml:space="preserve">eat SUSHI</t>
  </si>
  <si>
    <t>nicolas@ribaud.com</t>
  </si>
  <si>
    <t>http://www.linkedin.com/in/nicolas-ribaud-5462a75a</t>
  </si>
  <si>
    <t>https://eatssushi.com</t>
  </si>
  <si>
    <t xml:space="preserve">81 Rue Esquermoise, Lille, Hauts-de-France, France, 59800</t>
  </si>
  <si>
    <t xml:space="preserve">BOUTIQUE OFFICIELLE · Eat Sushi® · Restaurants de Sushis ✓ Livraison et à Emporter · Sushis, Menus, Makis, Temaki, Big Roll, Poké Bowl, Sashimis, Yakitori, Wrap'Jap &amp; Sushi Burrito • Découvrez nos Recettes exclusives dans nos restaurants</t>
  </si>
  <si>
    <t>Breillat</t>
  </si>
  <si>
    <t>olivier.breillat@beaumarly.com</t>
  </si>
  <si>
    <t>http://www.linkedin.com/in/olivier-breillat-ba970456</t>
  </si>
  <si>
    <t>Rego</t>
  </si>
  <si>
    <t xml:space="preserve">Popeyes France</t>
  </si>
  <si>
    <t>orego@popeyesfrance.fr</t>
  </si>
  <si>
    <t>http://www.linkedin.com/in/olivier-rego-03064658</t>
  </si>
  <si>
    <t>https://popeyesfrance.fr</t>
  </si>
  <si>
    <t>Ouriel</t>
  </si>
  <si>
    <t>Hodara</t>
  </si>
  <si>
    <t>ouriel@yogurtfactory.fr</t>
  </si>
  <si>
    <t>http://www.linkedin.com/in/ouriel-hodara-83714721</t>
  </si>
  <si>
    <t>Soula</t>
  </si>
  <si>
    <t xml:space="preserve">Fondateur &amp; Président</t>
  </si>
  <si>
    <t xml:space="preserve">TOMMY'S DINER</t>
  </si>
  <si>
    <t>p.soula@tommys.fr</t>
  </si>
  <si>
    <t>http://www.linkedin.com/in/patrick-soula-5bb33baa</t>
  </si>
  <si>
    <t>https://tommys-cafe.com</t>
  </si>
  <si>
    <t xml:space="preserve">La Meridienne, Labege, Occitanie, France, 31670</t>
  </si>
  <si>
    <t>Monot</t>
  </si>
  <si>
    <t xml:space="preserve">Managing Director / Directrice Générale</t>
  </si>
  <si>
    <t>pauline.monot@groupe-pic.com</t>
  </si>
  <si>
    <t>http://www.linkedin.com/in/pauline-monot-4a0a854</t>
  </si>
  <si>
    <t xml:space="preserve">Restaurants et Brasseries Bocuse</t>
  </si>
  <si>
    <t>pauvray@brasseries-bocuse.com</t>
  </si>
  <si>
    <t>http://www.linkedin.com/in/pierre-auvray-2707b3105</t>
  </si>
  <si>
    <t>https://maisons-bocuse.com</t>
  </si>
  <si>
    <t xml:space="preserve">Les Maisons Bocuse vous invitent à découvrir leur univers culinaire au travers de leurs Restaurants &amp; Brasseries, créés par Paul Bocuse dès 1994.</t>
  </si>
  <si>
    <t>Soille</t>
  </si>
  <si>
    <t xml:space="preserve">Directeur général/CEO</t>
  </si>
  <si>
    <t xml:space="preserve">GROUPE RIEM BECKER</t>
  </si>
  <si>
    <t>philippe.soille@riembecker.fr</t>
  </si>
  <si>
    <t>http://www.linkedin.com/in/philippe-soille-95112611b</t>
  </si>
  <si>
    <t>https://grouperiembecker.com</t>
  </si>
  <si>
    <t xml:space="preserve">128B Avenue Jean Jaures, Ivry-sur-Seine, Ile-de-France, France, 94200</t>
  </si>
  <si>
    <t xml:space="preserve">Traiteur événementiel, prêt à livrer, art culinaire japonais: Groupe Riem Becker, manufacture gastronomique en Île-de-France, depuis 1924.</t>
  </si>
  <si>
    <t>Ez-Zaidi</t>
  </si>
  <si>
    <t xml:space="preserve">Bagel Corner</t>
  </si>
  <si>
    <t>rachid@bagelcorner.fr</t>
  </si>
  <si>
    <t>http://www.linkedin.com/in/rachid-ez-za%c3%afdi-25355511</t>
  </si>
  <si>
    <t>https://bagelcornerbistro.com</t>
  </si>
  <si>
    <t xml:space="preserve">Nous avons la passion du bagel – pas (encore) vous ? ... Bagel Corner est une enseigne nationale de restauration rapide autour du bagel.</t>
  </si>
  <si>
    <t>Kamel</t>
  </si>
  <si>
    <t>Boulhadid</t>
  </si>
  <si>
    <t xml:space="preserve">Groupe BK</t>
  </si>
  <si>
    <t>recrutement@groupebk.fr</t>
  </si>
  <si>
    <t>http://www.linkedin.com/in/kamel-boulhadid-0a3903104</t>
  </si>
  <si>
    <t>https://groupebk.com</t>
  </si>
  <si>
    <t>Mulhouse</t>
  </si>
  <si>
    <t xml:space="preserve">18 Avenue de Hollande, Illzach, Grand Est, France, 68110</t>
  </si>
  <si>
    <t xml:space="preserve">Le Groupe BK est un groupe multimarques évoluant dans le secteur de la restauration. Aujourd’hui, l’entreprise compte 9 marques nationales.</t>
  </si>
  <si>
    <t>https://labonbonniere.eu</t>
  </si>
  <si>
    <t>Sauget</t>
  </si>
  <si>
    <t xml:space="preserve">Associé Gérant - Directeur général</t>
  </si>
  <si>
    <t>remi.sauget@it-trattoria.com</t>
  </si>
  <si>
    <t>http://www.linkedin.com/in/r%c3%a9mi-sauget-764b81331</t>
  </si>
  <si>
    <t xml:space="preserve">Le Pontet</t>
  </si>
  <si>
    <t>Petre</t>
  </si>
  <si>
    <t xml:space="preserve">Directeur général succursales chez Pizza Cosy 🍕</t>
  </si>
  <si>
    <t>rh@pizzacosy.fr</t>
  </si>
  <si>
    <t>http://www.linkedin.com/in/mathieu-petre-807541167</t>
  </si>
  <si>
    <t>Sorbiers</t>
  </si>
  <si>
    <t>Riadh</t>
  </si>
  <si>
    <t>Kayel</t>
  </si>
  <si>
    <t>riadh@letacosdelyon.com</t>
  </si>
  <si>
    <t>http://www.linkedin.com/in/riadh-kayel-9737a1158</t>
  </si>
  <si>
    <t>Roberto</t>
  </si>
  <si>
    <t>Avallone</t>
  </si>
  <si>
    <t xml:space="preserve">Directeur Général SAS IT EVRY 2</t>
  </si>
  <si>
    <t>roberto.avallone@it-trattoria.com</t>
  </si>
  <si>
    <t>http://www.linkedin.com/in/roberto-avallone-4532971b9</t>
  </si>
  <si>
    <t>salah.dardouri@letacosdelyon.com</t>
  </si>
  <si>
    <t>http://www.linkedin.com/in/dardouri-salah-610287bb</t>
  </si>
  <si>
    <t>Salim</t>
  </si>
  <si>
    <t>Rezzag</t>
  </si>
  <si>
    <t xml:space="preserve">G LA DALLE® France</t>
  </si>
  <si>
    <t>salim.rezzag@g-ladalle.com</t>
  </si>
  <si>
    <t>http://www.linkedin.com/in/salim-rezzag-698332211</t>
  </si>
  <si>
    <t>https://g-ladalle.com</t>
  </si>
  <si>
    <t>Sandrine</t>
  </si>
  <si>
    <t>Rouxel-Landrin</t>
  </si>
  <si>
    <t xml:space="preserve">Dirigeante Associée- En charge de la stratégie RSE</t>
  </si>
  <si>
    <t>sandrine.rouxel@signorizza.fr</t>
  </si>
  <si>
    <t>http://www.linkedin.com/in/sandrine-rouxel-landrin-b244a6161</t>
  </si>
  <si>
    <t>MASH</t>
  </si>
  <si>
    <t>sarah@saftakitchen.com</t>
  </si>
  <si>
    <t>http://www.linkedin.com/in/sarah-piazza-nakam-55506b86</t>
  </si>
  <si>
    <t>https://saftakitchen.com</t>
  </si>
  <si>
    <t xml:space="preserve">20 Bredgade, Copenhagen, Capital Region of Denmark, Denmark, 1260</t>
  </si>
  <si>
    <t xml:space="preserve">Hos MASH Steakhouse serveres store bøffer med lækkert tilbehør og fantastisk vin. Bøfferne er skåret fra det bedste kvæg i verden. Besøg os i dag</t>
  </si>
  <si>
    <t>Serguei</t>
  </si>
  <si>
    <t>Dutko</t>
  </si>
  <si>
    <t xml:space="preserve">Breizh Café</t>
  </si>
  <si>
    <t>sdutko@breizhcafe.com</t>
  </si>
  <si>
    <t>http://www.linkedin.com/in/serguei-dutko-488133bb</t>
  </si>
  <si>
    <t>https://breizhcafe.com</t>
  </si>
  <si>
    <t xml:space="preserve">Depuis 25 ans, la Crêpe autrement de Bertrand Larcher révèle le meilleur de 
la Bretagne. Farine de sarrasin biologique moulue à la pierre, beurre de 
baratte, cidres fermiers : nous vous proposons des produits 
consciencieusement sélectionnés auprès de producteurs passionnés.</t>
  </si>
  <si>
    <t>Girot</t>
  </si>
  <si>
    <t>sgirot@maisons-bocuse.com</t>
  </si>
  <si>
    <t>http://www.linkedin.com/in/sylvain-girot-74a4b666</t>
  </si>
  <si>
    <t>Scott</t>
  </si>
  <si>
    <t>Montillet</t>
  </si>
  <si>
    <t xml:space="preserve">Earl of Sandwich</t>
  </si>
  <si>
    <t>smontillet@earlofsandwichusa.com</t>
  </si>
  <si>
    <t>http://www.linkedin.com/in/scott-montillet-9649b760</t>
  </si>
  <si>
    <t>https://earlofsandwichusa.com</t>
  </si>
  <si>
    <t xml:space="preserve">4700 Millenia Blvd, Orlando, Florida, United States, 32839-6006</t>
  </si>
  <si>
    <t xml:space="preserve">The World’s Greatest Hot Sandwich Order for pick-up/delivery or enjoy royal treatment with our catering. We can deliver your every request</t>
  </si>
  <si>
    <t>Toufic</t>
  </si>
  <si>
    <t xml:space="preserve">Chicken Street France</t>
  </si>
  <si>
    <t>t.guechi@chickenstreet.fr</t>
  </si>
  <si>
    <t>http://www.linkedin.com/in/toufic-guechi</t>
  </si>
  <si>
    <t>https://chickenstreet.fr</t>
  </si>
  <si>
    <t>Costes</t>
  </si>
  <si>
    <t>tcostes@beaumarly.com</t>
  </si>
  <si>
    <t>http://www.linkedin.com/in/thierry-costes-9b3946186</t>
  </si>
  <si>
    <t>Teddy</t>
  </si>
  <si>
    <t>Gillot</t>
  </si>
  <si>
    <t xml:space="preserve">Directeur Général Groupe Yannick Alléno</t>
  </si>
  <si>
    <t xml:space="preserve">Groupe Yannick Alléno</t>
  </si>
  <si>
    <t>teddy.gillot@yannick-alleno.com</t>
  </si>
  <si>
    <t>http://www.linkedin.com/in/teddy-gillot-06178a2a</t>
  </si>
  <si>
    <t>https://yannick-alleno.com</t>
  </si>
  <si>
    <t xml:space="preserve">20 Rue Saint-Victor, Paris, Ile-de-France, France, 75005</t>
  </si>
  <si>
    <t xml:space="preserve">Découvrez l'univers captivant du Chef Yannick Alléno à travers ses prestigieux restaurants Alléno Paris, Pavyllon, et L'Abysse, ainsi que sa passionnante Chocolaterie et la Cave. Offrez-vous des moments d'exception en vous inscrivant à nos masterclasses. Réservez une table et rejoignez nous pour partager une expérience culinaire inoubliable avec vos proches.</t>
  </si>
  <si>
    <t>Amat</t>
  </si>
  <si>
    <t>FOUD</t>
  </si>
  <si>
    <t>thibault@foud.com</t>
  </si>
  <si>
    <t>http://www.linkedin.com/in/thibaultamat</t>
  </si>
  <si>
    <t>https://foud.com</t>
  </si>
  <si>
    <t>Aubagne</t>
  </si>
  <si>
    <t xml:space="preserve">112 Avenue du Vent d'Aut, Aubagne, Provence-Alpes-Cote d'Azur, France, 13400</t>
  </si>
  <si>
    <t xml:space="preserve">La cuisine d'hier pour les gens d'aujourd'hui ! Recettes « faites maison », à découvrir et réchauffer midi &amp; soir. Sur place, à emporter et en livraison sur Marseille, Aubagne, Aix-en-Provence</t>
  </si>
  <si>
    <t>Piedelievre</t>
  </si>
  <si>
    <t>thibaut.piedelievre@it-trattoria.com</t>
  </si>
  <si>
    <t>http://www.linkedin.com/in/thibaut-piedelievre-bab16b24a</t>
  </si>
  <si>
    <t>Gaudry</t>
  </si>
  <si>
    <t>thierry.gaudry@it-trattoria.com</t>
  </si>
  <si>
    <t>http://www.linkedin.com/in/thierry-gaudry-313a8a127</t>
  </si>
  <si>
    <t xml:space="preserve">Maison Méert</t>
  </si>
  <si>
    <t>thierry.landron@meert.fr</t>
  </si>
  <si>
    <t>http://www.linkedin.com/in/thierry-landron-a3bb95b6</t>
  </si>
  <si>
    <t>https://meert.fr</t>
  </si>
  <si>
    <t xml:space="preserve">27 Rue Esquermoise, Lille, Hauts-de-France, France, 59800</t>
  </si>
  <si>
    <t xml:space="preserve">Véritable institution lilloise, la Maison Méert vous fait (re)découvrir la fameuse Gaufre à la vanille de Madagascar. Rendez-vous sur le site pour découvrir nos produits.</t>
  </si>
  <si>
    <t>Veil</t>
  </si>
  <si>
    <t xml:space="preserve">CEO, Founder</t>
  </si>
  <si>
    <t>thierry@bagelstein.com</t>
  </si>
  <si>
    <t>http://www.linkedin.com/in/thierry-veil-8460549</t>
  </si>
  <si>
    <t>Bourdoncle</t>
  </si>
  <si>
    <t xml:space="preserve">GROUPE BOURDONCLE</t>
  </si>
  <si>
    <t>thierrybourdoncle@groupebourdoncle.com</t>
  </si>
  <si>
    <t>http://www.linkedin.com/in/thierry-bourdoncle-14451820b</t>
  </si>
  <si>
    <t>https://groupebourdoncle.com</t>
  </si>
  <si>
    <t xml:space="preserve">164 Boulevard Saint-Germain, Paris, Ile-de-France, France, 75006</t>
  </si>
  <si>
    <t xml:space="preserve">GROUPE BOURDONCLE - 30 RESTAURANTS À PARIS, MEGEVE, ARCACHON, TROUVILLE ,DEAUVILLE , SAINT-TROPEZ</t>
  </si>
  <si>
    <t>Sfez</t>
  </si>
  <si>
    <t xml:space="preserve">Chairman and CEO</t>
  </si>
  <si>
    <t>Spontini</t>
  </si>
  <si>
    <t>thierrysfez@jeanchatel.fr</t>
  </si>
  <si>
    <t>http://www.linkedin.com/in/thierry-sfez-64547675</t>
  </si>
  <si>
    <t>https://spontinimilano.com</t>
  </si>
  <si>
    <t xml:space="preserve">Milan, Lombardy, Italy</t>
  </si>
  <si>
    <t xml:space="preserve">Pizzeria Spontini</t>
  </si>
  <si>
    <t>Pluchart</t>
  </si>
  <si>
    <t>thomas.pluchart@cojean.fr</t>
  </si>
  <si>
    <t>http://www.linkedin.com/in/thomas-pluchart-92907b152</t>
  </si>
  <si>
    <t>Thiellet</t>
  </si>
  <si>
    <t xml:space="preserve">Fondateur et co-gérant</t>
  </si>
  <si>
    <t xml:space="preserve">Le Moulin</t>
  </si>
  <si>
    <t>tom@lemoulin.fr</t>
  </si>
  <si>
    <t>http://www.linkedin.com/in/tom-thiellet-697b235b</t>
  </si>
  <si>
    <t>https://lemoulin.fr</t>
  </si>
  <si>
    <t xml:space="preserve">49 Avenue des Freres Lumiere, Lyon, Auvergne-Rhone-Alpes, France, 69008</t>
  </si>
  <si>
    <t xml:space="preserve">Cuisine maison. Commande en ligne. Carte et titre restaurant acceptés. Livraison et click &amp; collect. Cantine engagée pour entreprise. Service traiteur professionnel.</t>
  </si>
  <si>
    <t>Valerianne</t>
  </si>
  <si>
    <t>Laulhe</t>
  </si>
  <si>
    <t>valerianne@frenchie.fr</t>
  </si>
  <si>
    <t>http://www.linkedin.com/in/val%c3%a9rianne-laulh%c3%a9-4913a7211</t>
  </si>
  <si>
    <t>Frehaut</t>
  </si>
  <si>
    <t xml:space="preserve">Holly's Diner</t>
  </si>
  <si>
    <t>vfrehaut@hollysdiner.fr</t>
  </si>
  <si>
    <t>http://www.linkedin.com/in/vincent-fr%c3%a9haut-441bb2242</t>
  </si>
  <si>
    <t>https://hollysdiner.fr</t>
  </si>
  <si>
    <t xml:space="preserve">Semoy, Centre-Val de Loire, France, 45400</t>
  </si>
  <si>
    <t xml:space="preserve">Holly's Diner - Restaurant américain : burger &amp; sandwich, poke bowl &amp; salade, steakhouse &amp; fish, starter, glace &amp; dessert, coffee shop, menu</t>
  </si>
  <si>
    <t>Dubillot</t>
  </si>
  <si>
    <t>victor@victoretcharly.com</t>
  </si>
  <si>
    <t>http://www.linkedin.com/in/victor-dubillot-014b338b</t>
  </si>
  <si>
    <t>Gibouin</t>
  </si>
  <si>
    <t>vincent.gibouin@signorizza.com</t>
  </si>
  <si>
    <t>http://www.linkedin.com/in/vincent-gibouin-b3b1a6b2</t>
  </si>
  <si>
    <t>Chateau-d'Olonne</t>
  </si>
  <si>
    <t>Zenchef</t>
  </si>
  <si>
    <t>xavier@zenchef.com</t>
  </si>
  <si>
    <t>http://www.linkedin.com/in/xavierzeitoun</t>
  </si>
  <si>
    <t>https://zenchef.com</t>
  </si>
  <si>
    <t xml:space="preserve">63 Avenue de Villiers, Paris, Ile-de-France, France, 75017</t>
  </si>
  <si>
    <t xml:space="preserve">Take bookings with no commissions, optimise the management of your restaurant with Zenchef’s all-in-one restaurant solution</t>
  </si>
  <si>
    <t>Branchereau</t>
  </si>
  <si>
    <t xml:space="preserve">Groupe Tour d'Argent</t>
  </si>
  <si>
    <t>yannick_branchereau@tourdargent.com</t>
  </si>
  <si>
    <t>http://www.linkedin.com/in/yannick-branchereau</t>
  </si>
  <si>
    <t>https://tourdargent.com</t>
  </si>
  <si>
    <t xml:space="preserve">15 Quai de la Tournelle, Paris, Ile-de-France, France, 75005</t>
  </si>
  <si>
    <t xml:space="preserve">Plongez à la découverte de cette maison quatre fois centenaire ! Quatre lieux d’exception ayant pour ambition de vous divertir et de vous enchanter, quelle que soit l’heure du jour ou de la nuit.</t>
  </si>
  <si>
    <t>Rigaud</t>
  </si>
  <si>
    <t xml:space="preserve">Directeur général associé</t>
  </si>
  <si>
    <t>yannick.rigaud@it-trattoria.com</t>
  </si>
  <si>
    <t>http://www.linkedin.com/in/yannick-rigaud-4754b697</t>
  </si>
  <si>
    <t>Yohann</t>
  </si>
  <si>
    <t>Aicardi</t>
  </si>
  <si>
    <t>yohann.aicardi@beaumarly.com</t>
  </si>
  <si>
    <t>http://www.linkedin.com/in/yohann-aicardi-b49690b7</t>
  </si>
  <si>
    <t>Yves</t>
  </si>
  <si>
    <t>Hecker</t>
  </si>
  <si>
    <t xml:space="preserve">Les Burgers de Papa</t>
  </si>
  <si>
    <t>yves@lesburgersdepapa.fr</t>
  </si>
  <si>
    <t>http://www.linkedin.com/in/yves-hecker-%f0%9f%87%ba%f0%9f%87%a6-446024a9</t>
  </si>
  <si>
    <t>https://lesburgersdepapa.fr</t>
  </si>
  <si>
    <t xml:space="preserve">Découvrez Les Burgers de Papa, des burgers gourmands, en livraison, sur place ou à emporter. Pain boulanger, viande française, option végé...</t>
  </si>
  <si>
    <t>Kahn</t>
  </si>
  <si>
    <t>Dino</t>
  </si>
  <si>
    <t>benjamin@dinostays.com</t>
  </si>
  <si>
    <t>http://www.linkedin.com/in/benjamin-kahn-92b66185</t>
  </si>
  <si>
    <t>http://www.dinostays.com</t>
  </si>
  <si>
    <t>Greindl</t>
  </si>
  <si>
    <t xml:space="preserve">Co Founder &amp;  CEO</t>
  </si>
  <si>
    <t xml:space="preserve">Montagne Alternative</t>
  </si>
  <si>
    <t>benoit.greindl@resiliencei.com</t>
  </si>
  <si>
    <t>http://www.linkedin.com/in/benoit-greindl-9b91075</t>
  </si>
  <si>
    <t>http://www.montagne-alternative.com</t>
  </si>
  <si>
    <t>Lausanne</t>
  </si>
  <si>
    <t xml:space="preserve">50 Commeire, Orsieres, Valais, Switzerland, 1937</t>
  </si>
  <si>
    <t xml:space="preserve">Calme absolu. Beauté à couper le souffle. Montagne Alternative propose un hébergement dans des granges centenaires rénovées avec style et selon la tradition, idéal pour se ressourcer</t>
  </si>
  <si>
    <t>Saint-Maurice</t>
  </si>
  <si>
    <t xml:space="preserve">Chief Marketing Officer</t>
  </si>
  <si>
    <t>aurore@homeexchange.com</t>
  </si>
  <si>
    <t>http://www.linkedin.com/in/aurores</t>
  </si>
  <si>
    <t>Barbara</t>
  </si>
  <si>
    <t>Steinert</t>
  </si>
  <si>
    <t xml:space="preserve">Chief Revenue Officer (CRO)</t>
  </si>
  <si>
    <t>barbara@dayuse.com</t>
  </si>
  <si>
    <t>http://www.linkedin.com/in/barbarasteinert</t>
  </si>
  <si>
    <t>http://www.dayuse.com</t>
  </si>
  <si>
    <t>Antonia</t>
  </si>
  <si>
    <t>Rusinov</t>
  </si>
  <si>
    <t xml:space="preserve">Local Flavours Tours</t>
  </si>
  <si>
    <t>antonia.rusinov@localflavourstours.com</t>
  </si>
  <si>
    <t>http://www.linkedin.com/in/antoniarusinov</t>
  </si>
  <si>
    <t>http://www.localflavourstours.com</t>
  </si>
  <si>
    <t>Geneva</t>
  </si>
  <si>
    <t xml:space="preserve">3 Rue de Soleure, Geneva, Geneva, Switzerland, 1207</t>
  </si>
  <si>
    <t xml:space="preserve">Our Chocolate Flavours Tour is ranked the #1 experience of Switzerland and #11 of Europe. Explore 13 different award winning chocolate creations in all flavours and forms: pralines, truffles, pastry, liquid chocolate and in between have fun with stories and anecdotes about Geneva and Switzerland.</t>
  </si>
  <si>
    <t>http://www.etincelles.com</t>
  </si>
  <si>
    <t>Aldin</t>
  </si>
  <si>
    <t>Mueri</t>
  </si>
  <si>
    <t xml:space="preserve">Banquet Operations Manager</t>
  </si>
  <si>
    <t xml:space="preserve">Baur au Lac</t>
  </si>
  <si>
    <t>a.mueri@bauraulac.ch</t>
  </si>
  <si>
    <t>http://www.linkedin.com/in/aldin-%e2%80%9edino%e2%80%9c-m%c3%bcri-1b95901a0</t>
  </si>
  <si>
    <t>http://www.bauraulac.ch</t>
  </si>
  <si>
    <t xml:space="preserve">18 Glaernischstrasse, Zurich, Zurich, Switzerland, 8002</t>
  </si>
  <si>
    <t xml:space="preserve">Your 5 star luxury hotel in Zurich ★ Over 175 years of tradition ★ Unique view of Lake Zurich &amp; the Alps ► Book now</t>
  </si>
  <si>
    <t>Aboubakr</t>
  </si>
  <si>
    <t>Hennou</t>
  </si>
  <si>
    <t xml:space="preserve">Director of Operations</t>
  </si>
  <si>
    <t xml:space="preserve">InterContinental Paris le Grand</t>
  </si>
  <si>
    <t>aboubakr.hennou@ihg.com</t>
  </si>
  <si>
    <t>http://www.linkedin.com/in/aboubakr-hennou-5093048b</t>
  </si>
  <si>
    <t>http://www.ihg.com</t>
  </si>
  <si>
    <t xml:space="preserve">2 Rue Scribe, Paris, Ile-de-France, France, 75009</t>
  </si>
  <si>
    <t>Adrian</t>
  </si>
  <si>
    <t>Affentranger</t>
  </si>
  <si>
    <t xml:space="preserve">CEO and Owner</t>
  </si>
  <si>
    <t xml:space="preserve">Diwisa Distillerie Willisau SA</t>
  </si>
  <si>
    <t>adrian.affentranger@diwisa.ch</t>
  </si>
  <si>
    <t>http://www.linkedin.com/in/adrian-affentranger-17837b40</t>
  </si>
  <si>
    <t>http://www.diwisa.com</t>
  </si>
  <si>
    <t>Lucerne</t>
  </si>
  <si>
    <t xml:space="preserve">23 Menznauerstrasse, Willisau, Lucerne, Switzerland, 6130</t>
  </si>
  <si>
    <t xml:space="preserve">Diwisa – Dein Erfolgspartner für Getränke &amp; Spirituosen! Entdecke eine breite Auswahl &amp; massgeschneiderte Dienstleistungen für deine Gastronomie.</t>
  </si>
  <si>
    <t>Adrie</t>
  </si>
  <si>
    <t>Vreeke</t>
  </si>
  <si>
    <t xml:space="preserve">Chief Executive Officer - Co-owner</t>
  </si>
  <si>
    <t xml:space="preserve">capsule hotel</t>
  </si>
  <si>
    <t>adrie@capsulehotel.ch</t>
  </si>
  <si>
    <t>http://www.linkedin.com/in/adrievreeke</t>
  </si>
  <si>
    <t>http://www.capsule-services.com</t>
  </si>
  <si>
    <t>Basel</t>
  </si>
  <si>
    <t xml:space="preserve">40 Hirschengraben, Lucerne, Lucerne, Switzerland, 6003</t>
  </si>
  <si>
    <t xml:space="preserve">The go to Capsule Hotel concept in Switzerland. We own and operate capsule hotels with our own designed Swiss Capsules.</t>
  </si>
  <si>
    <t>Andreas</t>
  </si>
  <si>
    <t>Widmer</t>
  </si>
  <si>
    <t xml:space="preserve">Westhive Coworking Ecosystem</t>
  </si>
  <si>
    <t>andreas.widmer@westhive.com</t>
  </si>
  <si>
    <t>http://www.linkedin.com/in/awidmer1</t>
  </si>
  <si>
    <t>http://www.westhive.com</t>
  </si>
  <si>
    <t>Zuerich</t>
  </si>
  <si>
    <t xml:space="preserve">161 Hardturmstrasse, Zurich, Zurich, Switzerland, 8005</t>
  </si>
  <si>
    <t xml:space="preserve">Wunderschöne Coworking Spaces in Zürich, Basel, Zug &amp; Genf: Flexible Teambüros, grossartige Eventlocations &amp; leckere Restaurants. Erstklassiger Service inklusive.</t>
  </si>
  <si>
    <t>Anja</t>
  </si>
  <si>
    <t>Graf</t>
  </si>
  <si>
    <t>VISIONAPARTMENTS</t>
  </si>
  <si>
    <t>anja.graf@visionapartments.com</t>
  </si>
  <si>
    <t>http://www.linkedin.com/in/anjagraf</t>
  </si>
  <si>
    <t>http://www.visionapartments.com</t>
  </si>
  <si>
    <t xml:space="preserve">62 Talstrasse, Zurich, Zurich, Switzerland, 8001</t>
  </si>
  <si>
    <t xml:space="preserve">VISIONAPARTMENTS provides serviced accommodation worldwide. Fully furnished and equipped apartments in the central locations. Check our offer right now!</t>
  </si>
  <si>
    <t>Claus</t>
  </si>
  <si>
    <t>Bornholt</t>
  </si>
  <si>
    <t xml:space="preserve">Founder &amp; Partner</t>
  </si>
  <si>
    <t>claus.bornholt@westhive.com</t>
  </si>
  <si>
    <t>http://www.linkedin.com/in/clausbornholt</t>
  </si>
  <si>
    <t>http://www.guest-house.co</t>
  </si>
  <si>
    <t xml:space="preserve">HOTEL ACANTHE</t>
  </si>
  <si>
    <t>commercial@hotelacanthe.com</t>
  </si>
  <si>
    <t>http://www.linkedin.com/in/julie-t-892b50136</t>
  </si>
  <si>
    <t>http://www.hotelacanthe.com</t>
  </si>
  <si>
    <t>Segond</t>
  </si>
  <si>
    <t xml:space="preserve">Hotel Operations Manager</t>
  </si>
  <si>
    <t xml:space="preserve">The Maybourne Riviera</t>
  </si>
  <si>
    <t>csegond@maybourneriviera.com</t>
  </si>
  <si>
    <t>http://www.linkedin.com/in/charles-segond-64060210</t>
  </si>
  <si>
    <t>http://www.maybourneriviera.com</t>
  </si>
  <si>
    <t>Roquebrune-Cap-Martin</t>
  </si>
  <si>
    <t xml:space="preserve">1551 Route de la Turbie, Roquebrune-Cap-Martin, Provence-Alpes-Cote d'Azur, France, 06190</t>
  </si>
  <si>
    <t xml:space="preserve">Situated in Roquebrune-Cap-Martin, overlooking Monaco and the French Riviera. Book your luxury hotel stay on the Mediterranean coast.</t>
  </si>
  <si>
    <t>Sommier</t>
  </si>
  <si>
    <t xml:space="preserve">Definitely Different Group</t>
  </si>
  <si>
    <t>emilien@definitelydifferent.com</t>
  </si>
  <si>
    <t>http://www.linkedin.com/in/emilien-sommier</t>
  </si>
  <si>
    <t>http://www.definitelydifferent.com</t>
  </si>
  <si>
    <t>Pully</t>
  </si>
  <si>
    <t xml:space="preserve">77 Avenue de Lavaux, Pully, Vaud, Switzerland, 1009</t>
  </si>
  <si>
    <t>http://www.homeexchange.com</t>
  </si>
  <si>
    <t>Laukenmann</t>
  </si>
  <si>
    <t xml:space="preserve">Director Operations Support &amp; Openings</t>
  </si>
  <si>
    <t xml:space="preserve">SV Hotel</t>
  </si>
  <si>
    <t>alex.laukenmann@sv-group.ch</t>
  </si>
  <si>
    <t>http://www.linkedin.com/in/alex-laukenmann-a13200a9</t>
  </si>
  <si>
    <t>http://www.sv-hotel.ch</t>
  </si>
  <si>
    <t xml:space="preserve">57 Wallisellenstrasse, Duebendorf, Zurich, Switzerland, 8600</t>
  </si>
  <si>
    <t>Croizat</t>
  </si>
  <si>
    <t xml:space="preserve">Marketing, Communication &amp; Operations Director</t>
  </si>
  <si>
    <t>eugenie.croizat@groupegm.com</t>
  </si>
  <si>
    <t>http://www.linkedin.com/in/eugenie-croizat-372b131</t>
  </si>
  <si>
    <t>http://www.groupegm.com</t>
  </si>
  <si>
    <t xml:space="preserve">Leading international player in the guest amenity industry for 40 years, Groupe GM designs, produces and distributes cos</t>
  </si>
  <si>
    <t>Miere</t>
  </si>
  <si>
    <t xml:space="preserve">Bras droit du CEO</t>
  </si>
  <si>
    <t>eugenie@maisonmere.co</t>
  </si>
  <si>
    <t>http://www.linkedin.com/in/eugenielemiere</t>
  </si>
  <si>
    <t>http://www.maisonmere.co</t>
  </si>
  <si>
    <t>Ever</t>
  </si>
  <si>
    <t>Haggiag</t>
  </si>
  <si>
    <t xml:space="preserve">Head of Operations &amp; Strategy</t>
  </si>
  <si>
    <t xml:space="preserve">LA CLÉ GROUP</t>
  </si>
  <si>
    <t>ever@laclegroup.com</t>
  </si>
  <si>
    <t>http://www.linkedin.com/in/everhaggiag</t>
  </si>
  <si>
    <t>http://www.laclegroup.com</t>
  </si>
  <si>
    <t xml:space="preserve">20 Rue Bachaumont, Paris, Ile-de-France, France, 75002</t>
  </si>
  <si>
    <t xml:space="preserve">La Clé Group est une collection d’hôtels, créant des espaces de vie intemporels et uniques. Samy Marciano, son fondateur, a cassé les codes de l’hôtellerie classique pour inventer un art de vivre et proposer de nouvelles expériences. S’entourant de l’excellence dans chaque corps de métier il a fait appel aux architectes et designers les plus pointus et talentueux du moment.</t>
  </si>
  <si>
    <t>Jaudin</t>
  </si>
  <si>
    <t xml:space="preserve">DSI / CIO</t>
  </si>
  <si>
    <t xml:space="preserve">Yelloh Village</t>
  </si>
  <si>
    <t>f.jaudin@yellohvillage.com</t>
  </si>
  <si>
    <t>http://www.linkedin.com/in/frederic-jaudin-0a688</t>
  </si>
  <si>
    <t>http://www.yellohvillage.fr</t>
  </si>
  <si>
    <t xml:space="preserve">Aigues-Mortes, Languedoc-Roussillon, France</t>
  </si>
  <si>
    <t xml:space="preserve">Yelloh Village vous propose des campings haut de gamme situés dans les plus belles régions de France, d'Espagne et du Portugal. Profitez de prestations de qualité lors de vos vacances.</t>
  </si>
  <si>
    <t>Lauber</t>
  </si>
  <si>
    <t xml:space="preserve">Founder | Hotelier</t>
  </si>
  <si>
    <t xml:space="preserve">CERVO Mountain Resort</t>
  </si>
  <si>
    <t>daniel@cervo.ch</t>
  </si>
  <si>
    <t>http://www.linkedin.com/in/daniel-f-lauber-62aa6b74</t>
  </si>
  <si>
    <t>http://www.cervo.swiss</t>
  </si>
  <si>
    <t>Zermatt</t>
  </si>
  <si>
    <t xml:space="preserve">156 Riedweg, Zermatt, Valais, Switzerland, 3920</t>
  </si>
  <si>
    <t xml:space="preserve">Welcome to the CERVO Mountain Resort in Zermatt. ► Book your dream holiday directly on the website here!</t>
  </si>
  <si>
    <t>Dave</t>
  </si>
  <si>
    <t>Brewitt</t>
  </si>
  <si>
    <t xml:space="preserve">hope street hotel</t>
  </si>
  <si>
    <t>dave@hopestreethotel.co.uk</t>
  </si>
  <si>
    <t>http://www.linkedin.com/in/dave-brewitt-192182156</t>
  </si>
  <si>
    <t>http://www.hopestreethotel.co.uk</t>
  </si>
  <si>
    <t xml:space="preserve">40 Hope Street, Liverpool, England, United Kingdom, L1 9DA</t>
  </si>
  <si>
    <t xml:space="preserve">Stay at Hope Street Hotel, Liverpool's boutique city hotel, surrounded by historic landmarks. Experience chic design, exceptional service &amp; a prime...</t>
  </si>
  <si>
    <t>Weiermair</t>
  </si>
  <si>
    <t xml:space="preserve">Operation Manager (COO)</t>
  </si>
  <si>
    <t xml:space="preserve">Swiss Holiday Park</t>
  </si>
  <si>
    <t>david.weiermair@shp.ch</t>
  </si>
  <si>
    <t>http://www.linkedin.com/in/david-weiermair-14916a65</t>
  </si>
  <si>
    <t>http://www.swissholidaypark.ch</t>
  </si>
  <si>
    <t>Cham</t>
  </si>
  <si>
    <t xml:space="preserve">10 Dorfstrasse, Morschach, Canton of Schwyz, Switzerland, 6443</t>
  </si>
  <si>
    <t xml:space="preserve">The Swiss Holiday Park is the largest vacation and leisure resort in Switzerland. The Swiss Holiday Park combines vacation and leisure under one roof.</t>
  </si>
  <si>
    <t>Bedere</t>
  </si>
  <si>
    <t xml:space="preserve">Club operations Manager</t>
  </si>
  <si>
    <t xml:space="preserve">67 Pall Mall</t>
  </si>
  <si>
    <t>maxime@67pallmall.com</t>
  </si>
  <si>
    <t>http://www.linkedin.com/in/maxime-bedere-ba3333102</t>
  </si>
  <si>
    <t>http://www.67pallmall.com</t>
  </si>
  <si>
    <t xml:space="preserve">67 Pall Mall, London, England, United Kingdom, SW1Y 5ES</t>
  </si>
  <si>
    <t xml:space="preserve">67 Pall Mall is a group of Private Members’ Clubs for wine lovers with locations in London, Verbier, Singapore, Bordeaux and Beaune. Discover more.</t>
  </si>
  <si>
    <t>Lesaulnier</t>
  </si>
  <si>
    <t xml:space="preserve">Co-Founder &amp; CXO</t>
  </si>
  <si>
    <t>Gogaille</t>
  </si>
  <si>
    <t>maxime@gogaille.fr</t>
  </si>
  <si>
    <t>http://www.linkedin.com/in/lesaulnier-maxime-105b8621</t>
  </si>
  <si>
    <t>http://www.gogaille.fr</t>
  </si>
  <si>
    <t xml:space="preserve">Quai des Chartrons, Bordeaux, Nouvelle-Aquitaine, France, 33000</t>
  </si>
  <si>
    <t xml:space="preserve">Let's go to Gogaille. That's good, we have everything planned: a pillow that will make you sleep on your two ears and a good table to enjoy.</t>
  </si>
  <si>
    <t>Mayline</t>
  </si>
  <si>
    <t>Auguste-Virginie</t>
  </si>
  <si>
    <t xml:space="preserve">Projects &amp; Ops Manager Member Support</t>
  </si>
  <si>
    <t>mayline@homeexchange.com</t>
  </si>
  <si>
    <t>http://www.linkedin.com/in/mayline-auguste-virginie-07201914b</t>
  </si>
  <si>
    <t>Orazio</t>
  </si>
  <si>
    <t>Noto</t>
  </si>
  <si>
    <t xml:space="preserve">Chief Information Officer</t>
  </si>
  <si>
    <t xml:space="preserve">SERHR ORFEA ACCOR</t>
  </si>
  <si>
    <t>orazio.noto@orfea.fr</t>
  </si>
  <si>
    <t>http://www.linkedin.com/in/orazio-noto-8b0a316</t>
  </si>
  <si>
    <t>http://www.orfea.fr</t>
  </si>
  <si>
    <t xml:space="preserve">175 Rue du Faubourg Saint-Denis, Paris, Ile-de-France, France, 75010</t>
  </si>
  <si>
    <t>Orfea</t>
  </si>
  <si>
    <t>Philipp</t>
  </si>
  <si>
    <t>Kopf</t>
  </si>
  <si>
    <t xml:space="preserve">Assistant Banquet Operations Manager</t>
  </si>
  <si>
    <t>p.kopf@bauraulac.ch</t>
  </si>
  <si>
    <t>http://www.linkedin.com/in/philipp-kopf-02a017163</t>
  </si>
  <si>
    <t>Mare</t>
  </si>
  <si>
    <t xml:space="preserve">Chief Marketing &amp; Digital Officer</t>
  </si>
  <si>
    <t>onefinestay</t>
  </si>
  <si>
    <t>francois.mare@onefinestay.com</t>
  </si>
  <si>
    <t>http://www.linkedin.com/in/francoismare</t>
  </si>
  <si>
    <t>http://www.onefinestay.com</t>
  </si>
  <si>
    <t xml:space="preserve">5 Merchant Square, London, England, United Kingdom, W2 1AY</t>
  </si>
  <si>
    <t>Mary</t>
  </si>
  <si>
    <t xml:space="preserve">Chief Operating Officer</t>
  </si>
  <si>
    <t>francois.mary@naoshotelgroupe.com</t>
  </si>
  <si>
    <t>http://www.linkedin.com/in/francois-mary-77923753</t>
  </si>
  <si>
    <t>http://www.naoshotel.com</t>
  </si>
  <si>
    <t>Raballand</t>
  </si>
  <si>
    <t>CTO</t>
  </si>
  <si>
    <t>francois@dayuse.com</t>
  </si>
  <si>
    <t>http://www.linkedin.com/in/francoisraballand</t>
  </si>
  <si>
    <t>Bueil-en-Touraine</t>
  </si>
  <si>
    <t>http://www.hotelspreference.com</t>
  </si>
  <si>
    <t>Gutmann</t>
  </si>
  <si>
    <t xml:space="preserve">Director Of Operations</t>
  </si>
  <si>
    <t>julie.gutmann@naoshotel.com</t>
  </si>
  <si>
    <t>http://www.linkedin.com/in/julie-gutmann-2427164b</t>
  </si>
  <si>
    <t xml:space="preserve">Operations Director GEKKO Group ( Teldar Travel / HCorpo / Infinite Hotel)</t>
  </si>
  <si>
    <t>julie.joubert@gekko-holding.com</t>
  </si>
  <si>
    <t>http://www.linkedin.com/in/julie-joubert-968852148</t>
  </si>
  <si>
    <t>http://www.gekko-group.com</t>
  </si>
  <si>
    <t>Frise</t>
  </si>
  <si>
    <t xml:space="preserve">L'oscar London</t>
  </si>
  <si>
    <t>jfrise@loscarlondon.com</t>
  </si>
  <si>
    <t>http://www.linkedin.com/in/juliette-frise-pinault-95814413b</t>
  </si>
  <si>
    <t>http://www.loscar.com</t>
  </si>
  <si>
    <t xml:space="preserve">2 Southampton Row, London, England, United Kingdom, WC1B 4AA</t>
  </si>
  <si>
    <t>http://www.dalmatahospitality.com</t>
  </si>
  <si>
    <t>http://www.staycation.co</t>
  </si>
  <si>
    <t xml:space="preserve">Every weekend, experience the most beautiful luxury hotels in your city at exclusive rates of up to 70% off.</t>
  </si>
  <si>
    <t>Matteo</t>
  </si>
  <si>
    <t>Roy</t>
  </si>
  <si>
    <t xml:space="preserve">Bras droit CEO</t>
  </si>
  <si>
    <t>matteo@theoasishouse.fr</t>
  </si>
  <si>
    <t>http://www.linkedin.com/in/matt%c3%a9o-roy-b674421b8</t>
  </si>
  <si>
    <t>Schwebig</t>
  </si>
  <si>
    <t>AfricaWorks</t>
  </si>
  <si>
    <t>greg@africaworks.co</t>
  </si>
  <si>
    <t>http://www.linkedin.com/in/gregoire-schwebig</t>
  </si>
  <si>
    <t>http://www.africaworks.co</t>
  </si>
  <si>
    <t xml:space="preserve">Nairobi, Nairobi County, Kenya</t>
  </si>
  <si>
    <t>Kenya</t>
  </si>
  <si>
    <t>Fontana</t>
  </si>
  <si>
    <t xml:space="preserve">Chief Technology Officer</t>
  </si>
  <si>
    <t>guillaume.fontana@onefinestay.com</t>
  </si>
  <si>
    <t>http://www.linkedin.com/in/guillaumefontana</t>
  </si>
  <si>
    <t>Basse-Goulaine</t>
  </si>
  <si>
    <t>Fenninger</t>
  </si>
  <si>
    <t>rfenninger@h8-collection.com</t>
  </si>
  <si>
    <t>http://www.linkedin.com/in/romain-fenninger-7459b738</t>
  </si>
  <si>
    <t>Urs</t>
  </si>
  <si>
    <t>Langenegger</t>
  </si>
  <si>
    <t xml:space="preserve">Hospitality Visions Lake Lucerne AG</t>
  </si>
  <si>
    <t>u.langenegger@phv.ch</t>
  </si>
  <si>
    <t>http://www.linkedin.com/in/urs-langenegger-ab703a39</t>
  </si>
  <si>
    <t>http://www.hvll.ch</t>
  </si>
  <si>
    <t xml:space="preserve">18 Seestrasse, Vitznau, Lucerne, Switzerland, 6354</t>
  </si>
  <si>
    <t xml:space="preserve">Stellenangebote 
Stellenangebote 
Du machst den kleinen aber entscheidenden Unterschied im Team?
Hier wartet Dein neuer Job auf Dich!  Offene Stellen in der Schweiz Offene Stellen in Österreich            
Herzlich willkommen 
Herzlich willkommen  
bei der Hospitality Visions Lake Lucerne AG (HVLL</t>
  </si>
  <si>
    <t>Tournadre</t>
  </si>
  <si>
    <t xml:space="preserve">Senior Operations Project Manager</t>
  </si>
  <si>
    <t>chloe.tournadre@groupecentaurus.com</t>
  </si>
  <si>
    <t>http://www.linkedin.com/in/chlo%c3%a9-tournadre-39951224</t>
  </si>
  <si>
    <t>http://www.groupecentaurus.com</t>
  </si>
  <si>
    <t>Frei</t>
  </si>
  <si>
    <t xml:space="preserve">Meili Selection Hotels</t>
  </si>
  <si>
    <t>christian.frei@meili-selection.ch</t>
  </si>
  <si>
    <t>http://www.linkedin.com/in/christian-frei-59b70818</t>
  </si>
  <si>
    <t>http://www.meili-selection.ch</t>
  </si>
  <si>
    <t xml:space="preserve">5 Dufourstrasse, Zurich, Zurich, Switzerland, 8008</t>
  </si>
  <si>
    <t>Lang</t>
  </si>
  <si>
    <t xml:space="preserve">Marketing Manager/CMO</t>
  </si>
  <si>
    <t>rolf.lang@diwisa.ch</t>
  </si>
  <si>
    <t>http://www.linkedin.com/in/rolf-lang-a04a168</t>
  </si>
  <si>
    <t>Rothenburg</t>
  </si>
  <si>
    <t>http://www.wehost.fr</t>
  </si>
  <si>
    <t>Piacentino</t>
  </si>
  <si>
    <t xml:space="preserve">Head of Operations</t>
  </si>
  <si>
    <t xml:space="preserve">Le Couvent des Minimes Hôtel &amp; Spa l'Occitane</t>
  </si>
  <si>
    <t>r.piacentino@cdm-hotelspa.com</t>
  </si>
  <si>
    <t>http://www.linkedin.com/in/romain-piacentino-abb4a315a</t>
  </si>
  <si>
    <t>http://www.couventdesminimes-hotelspa.com</t>
  </si>
  <si>
    <t>Mane</t>
  </si>
  <si>
    <t xml:space="preserve">Chemin des Jeux de Mai, Mane, Languedoc-Roussillon-Midi-Pyrenees, France, 04300</t>
  </si>
  <si>
    <t xml:space="preserve">SITE OFFICIEL | Le Couvent des Minimes Hôtel &amp; Spa L'Occitane en Provence, dans le Lubéron ✓ Relais &amp; Châteaux 5 étoiles ✓ Restaurant gastronomique 1 étoile Michelin ✓ Centre Bien-Être ✓ Séminaires</t>
  </si>
  <si>
    <t>Thijssen</t>
  </si>
  <si>
    <t xml:space="preserve">Sofitel Le Scribe Paris Opéra</t>
  </si>
  <si>
    <t>jules.thijssen@sofitel.com</t>
  </si>
  <si>
    <t>http://www.linkedin.com/in/julesthijssen</t>
  </si>
  <si>
    <t>http://www.sofitel-le-scribe-paris-opera.com</t>
  </si>
  <si>
    <t xml:space="preserve">1 Rue Scribe, Paris, Ile-de-France, France, 75009</t>
  </si>
  <si>
    <t xml:space="preserve">Près de l’Opéra Garnier, le Scribe Paris vous accueille dans son hôtel de luxe 5 étoiles entièrement rénové, avec salle de fitness, un restaurant et un bar haut de gamme.</t>
  </si>
  <si>
    <t>Dakshin</t>
  </si>
  <si>
    <t>Bhasker</t>
  </si>
  <si>
    <t xml:space="preserve">Head Of Operations</t>
  </si>
  <si>
    <t xml:space="preserve">TSG Hotels and Resorts</t>
  </si>
  <si>
    <t>dakshin@tsgresorts.in</t>
  </si>
  <si>
    <t>http://www.linkedin.com/in/dakshin-bhasker-a0872315a</t>
  </si>
  <si>
    <t>http://www.tsgresorts.in</t>
  </si>
  <si>
    <t>Crans-Montana</t>
  </si>
  <si>
    <t xml:space="preserve">Andaman Nicobar, Port Blair, Andaman and Nicobar Islands, India, 744104</t>
  </si>
  <si>
    <t xml:space="preserve">TSG Hotels &amp; Resorts has the best collection of budget luxury Boutique Hotels and Beach Resorts in Andaman &amp; Nicobar Islands, including Havelock Island, Neil Island, and Port Blair. They offer the best Andaman tour packages.</t>
  </si>
  <si>
    <t>Alexia</t>
  </si>
  <si>
    <t>Corre</t>
  </si>
  <si>
    <t xml:space="preserve">Directrice Marketing &amp; Communication - CMO</t>
  </si>
  <si>
    <t>alexia@nessence-group.fr</t>
  </si>
  <si>
    <t>http://www.linkedin.com/in/alexia-oudin-corre%e2%9c%a8-11299416</t>
  </si>
  <si>
    <t>Bircher</t>
  </si>
  <si>
    <t xml:space="preserve">Dieci AG</t>
  </si>
  <si>
    <t>patrick.bircher@dieci.ch</t>
  </si>
  <si>
    <t>http://www.linkedin.com/in/patrick-bircher-107364127</t>
  </si>
  <si>
    <t>http://www.dieci.ch</t>
  </si>
  <si>
    <t>Rapperswil-Jona</t>
  </si>
  <si>
    <t xml:space="preserve">Eichwiesstrasse, Rapperswil-Jona, St. Gallen, Switzerland, 8645</t>
  </si>
  <si>
    <t xml:space="preserve">Enjoy authentic Italian pizza and pasta at dieci - whether it's in our restaurant or delivered directly to your door.</t>
  </si>
  <si>
    <t>Zanello</t>
  </si>
  <si>
    <t xml:space="preserve">CMO (Directeur marketing &amp; communication) BOAS GROUP &amp; SWISSEVOLIFE</t>
  </si>
  <si>
    <t xml:space="preserve">BOAS Swiss Hotels</t>
  </si>
  <si>
    <t>patrick.zanello@boas.ch</t>
  </si>
  <si>
    <t>http://www.linkedin.com/in/patrickzanello</t>
  </si>
  <si>
    <t>http://www.boas-swiss-hotels.ch</t>
  </si>
  <si>
    <t xml:space="preserve">150 Route de Berne, Lausanne, Vaud, Switzerland, 1010</t>
  </si>
  <si>
    <t xml:space="preserve">Fondé en 1989, le Groupe BOAS est un groupe suisse actif dans différents domaines tels que l'hôtellerie, la restauration, les loisirs et le thermalisme.</t>
  </si>
  <si>
    <t>Lukas</t>
  </si>
  <si>
    <t>Fritschi</t>
  </si>
  <si>
    <t>b_smart</t>
  </si>
  <si>
    <t>lf@b-smarts.net</t>
  </si>
  <si>
    <t>http://www.linkedin.com/in/lukas-fritschi</t>
  </si>
  <si>
    <t>http://www.b-smarts.net</t>
  </si>
  <si>
    <t>Zurich</t>
  </si>
  <si>
    <t xml:space="preserve">2 Industriestrasse, Gamprin, Gamprin, Liechtenstein, 9487</t>
  </si>
  <si>
    <t>Liechtenstein</t>
  </si>
  <si>
    <t xml:space="preserve">Self Check-in Hotels in der Schweiz und Liechtenstein. Die b_smart selection gehört zu den führenden Betrieben im Bereich der Self Check-in Hotellerie. Mit unserer digitalen Rezeption sind wir rund um die Uhr für Gäste erreichbar.</t>
  </si>
  <si>
    <t>http://www.groupe-sogepar-hotels.com</t>
  </si>
  <si>
    <t>http://www.lesdomainesdefontenille.com</t>
  </si>
  <si>
    <t xml:space="preserve">Bienvenue au Domaine de Fontenille, un hôtel familial de luxe comprenant deux restaurants gastronomiques, un parc paysager, une piscine chauffée et un vignoble dans le Luberon, en Provence.</t>
  </si>
  <si>
    <t>Thor</t>
  </si>
  <si>
    <t xml:space="preserve">Operations Manager</t>
  </si>
  <si>
    <t>Lilly</t>
  </si>
  <si>
    <t>thor_florent@lilly.com</t>
  </si>
  <si>
    <t>http://www.linkedin.com/in/florent-thor-130bb425</t>
  </si>
  <si>
    <t>http://www.lilly.com</t>
  </si>
  <si>
    <t xml:space="preserve">Lansdowne Road, Croydon, England, United Kingdom, CR0 2</t>
  </si>
  <si>
    <t>Deborah</t>
  </si>
  <si>
    <t>Horovitz</t>
  </si>
  <si>
    <t xml:space="preserve">WITHLOVE HOSPITALITY</t>
  </si>
  <si>
    <t>deborah@withlove-hospitality.com</t>
  </si>
  <si>
    <t>http://www.linkedin.com/in/d%c3%a9borah-horovitz-43309b43</t>
  </si>
  <si>
    <t>http://www.withlove-hospitality.com</t>
  </si>
  <si>
    <t>Manuela</t>
  </si>
  <si>
    <t>Schwingshackl</t>
  </si>
  <si>
    <t xml:space="preserve">Pulse Hotels &amp; Resorts</t>
  </si>
  <si>
    <t>manuela.schwingshackl@pulseresorts.com</t>
  </si>
  <si>
    <t>http://www.linkedin.com/in/manuela-schwingshackl-a8614733</t>
  </si>
  <si>
    <t>http://www.pulseresorts.com</t>
  </si>
  <si>
    <t xml:space="preserve">120 Lower Delta Rd, Singapore, Singapore, 169208</t>
  </si>
  <si>
    <t>Singapore</t>
  </si>
  <si>
    <t>Marcel</t>
  </si>
  <si>
    <t>Wohlgemuth</t>
  </si>
  <si>
    <t xml:space="preserve">welcome Management AG</t>
  </si>
  <si>
    <t>marcel.wohlgemuth@welcomehotels.ch</t>
  </si>
  <si>
    <t>http://www.linkedin.com/in/marcel-wohlgemuth-56365b141</t>
  </si>
  <si>
    <t>http://www.a-chesa.ch</t>
  </si>
  <si>
    <t xml:space="preserve">5 Hamelirainstrasse, Kloten, Zurich, Switzerland, 8302</t>
  </si>
  <si>
    <t xml:space="preserve">Hotels, Restaurants, Serviced Apartments, ShareLiving Rooms &amp; moderne Mietwohnungen in Kloten &amp; nähe Zürich Flughafen. ➤Jetzt entdecken.</t>
  </si>
  <si>
    <t>Linde</t>
  </si>
  <si>
    <t xml:space="preserve">COO - Directrice des opérations &amp; Associée</t>
  </si>
  <si>
    <t>margaux@elegancia-hotels.com</t>
  </si>
  <si>
    <t>http://www.linkedin.com/in/margaux-lind%c3%a9-7a730850</t>
  </si>
  <si>
    <t>http://www.elegancia-hotels.com</t>
  </si>
  <si>
    <t>Christoph</t>
  </si>
  <si>
    <t>Wondraczek</t>
  </si>
  <si>
    <t xml:space="preserve">The Hamlet</t>
  </si>
  <si>
    <t>christoph@thehamlet.com</t>
  </si>
  <si>
    <t>http://www.linkedin.com/in/christoph-wondraczek-1a2a5a4a</t>
  </si>
  <si>
    <t>http://www.thehamlet.com</t>
  </si>
  <si>
    <t xml:space="preserve">12 Rue Etienne-Dumont, Geneva, Geneva, Switzerland, 1204</t>
  </si>
  <si>
    <t xml:space="preserve">The Hamlet is the perfect luxury hideaway in Old Town Geneva. Spacious Apartments - Premium Housekeeping - Personalised Service .</t>
  </si>
  <si>
    <t xml:space="preserve">Aethos Hotels</t>
  </si>
  <si>
    <t>christophe@aethos.com</t>
  </si>
  <si>
    <t>http://www.linkedin.com/in/christophe-thomas-5ab2a25</t>
  </si>
  <si>
    <t>http://www.aethos.com</t>
  </si>
  <si>
    <t xml:space="preserve">Zug, Canton of Zug, Switzerland, 6300</t>
  </si>
  <si>
    <t>http://www.entegraps.com</t>
  </si>
  <si>
    <t>Domenic</t>
  </si>
  <si>
    <t>Zembrod</t>
  </si>
  <si>
    <t xml:space="preserve">CEO Gruppe</t>
  </si>
  <si>
    <t xml:space="preserve">Fred Tschanz Gastgewerbe</t>
  </si>
  <si>
    <t>domenic.zembrod@fred-tschanz.ch</t>
  </si>
  <si>
    <t>http://www.linkedin.com/in/domenic-zembrod-305497247</t>
  </si>
  <si>
    <t>http://www.fred-tschanz.ch</t>
  </si>
  <si>
    <t xml:space="preserve">1 Leonhardstrasse, Zurich, Zurich, Switzerland, 8001</t>
  </si>
  <si>
    <t xml:space="preserve">Fred Tschanz Gastgewerbe runs several established restaurants and hotels in central locations in Zurich.</t>
  </si>
  <si>
    <t>Hansjuerg</t>
  </si>
  <si>
    <t>Nagy</t>
  </si>
  <si>
    <t xml:space="preserve">Area Operations Manager Own Brands</t>
  </si>
  <si>
    <t>hansjuerg.nagy@sv-group.ch</t>
  </si>
  <si>
    <t>http://www.linkedin.com/in/hansj%c3%bcrg-nagy-b6317048</t>
  </si>
  <si>
    <t>Roelings</t>
  </si>
  <si>
    <t xml:space="preserve">Hospitality Net</t>
  </si>
  <si>
    <t>henri@hospitalitynet.org</t>
  </si>
  <si>
    <t>http://www.linkedin.com/in/henriroelings</t>
  </si>
  <si>
    <t>http://www.hospitalitynet.org</t>
  </si>
  <si>
    <t xml:space="preserve">54 Boschcour, Maastricht, Limburg, Netherlands, 6221 JR</t>
  </si>
  <si>
    <t>Mahler</t>
  </si>
  <si>
    <t xml:space="preserve">Restaurant &amp; Banquet operating Manager</t>
  </si>
  <si>
    <t xml:space="preserve">Grand Hotel Les Trois Rois SA</t>
  </si>
  <si>
    <t>herve.mahler@lestroisrois.com</t>
  </si>
  <si>
    <t>http://www.linkedin.com/in/herve-mahler-a507aab8</t>
  </si>
  <si>
    <t>http://www.lestroisrois.com</t>
  </si>
  <si>
    <t xml:space="preserve">8 Blumenrain, Basel, Basel-Stadt, Switzerland, 4051</t>
  </si>
  <si>
    <t xml:space="preserve">The Les Trois Rois 5 Star Hotel in Basel, unmatched in its historic charm and perfect all-round service, is a unique gem among Basel's luxury hotels.</t>
  </si>
  <si>
    <t>Guenter</t>
  </si>
  <si>
    <t>Weilguni</t>
  </si>
  <si>
    <t xml:space="preserve">HUUS Gstaad Hotel</t>
  </si>
  <si>
    <t>weilguni@huusgstaad.com</t>
  </si>
  <si>
    <t>http://www.linkedin.com/in/gunterweilguni</t>
  </si>
  <si>
    <t>http://www.huusgstaad.com</t>
  </si>
  <si>
    <t>Gstaad</t>
  </si>
  <si>
    <t xml:space="preserve">74 Schoenriedstrasse, Gstaad, Canton of Bern, Switzerland, 3792</t>
  </si>
  <si>
    <t xml:space="preserve">Your home away from home. 4-star superior hotel in the heart of the Swiss Alps, with cozy rooms, exceptional dining, and activities for all ages</t>
  </si>
  <si>
    <t>Weist</t>
  </si>
  <si>
    <t xml:space="preserve">Managing Director Operations</t>
  </si>
  <si>
    <t xml:space="preserve">Widder Hotel</t>
  </si>
  <si>
    <t>weist@widderhotel.com</t>
  </si>
  <si>
    <t>http://www.linkedin.com/in/daniel-weist-7405a51a5</t>
  </si>
  <si>
    <t>http://www.widderhotel.ch</t>
  </si>
  <si>
    <t>Thalwil</t>
  </si>
  <si>
    <t xml:space="preserve">7 Rennweg, Zurich, Zurich, Switzerland, 8001</t>
  </si>
  <si>
    <t>Collange</t>
  </si>
  <si>
    <t xml:space="preserve">Director of operations</t>
  </si>
  <si>
    <t xml:space="preserve">Villars Alpine Resort</t>
  </si>
  <si>
    <t>xavier.collange@var.ch</t>
  </si>
  <si>
    <t>http://www.linkedin.com/in/xavier-collange</t>
  </si>
  <si>
    <t>http://www.var.ch</t>
  </si>
  <si>
    <t xml:space="preserve">Route des Hotels, Ollon, Vaud, Switzerland, 1884</t>
  </si>
  <si>
    <t xml:space="preserve">Live a unique experience in the Swiss Alps where innovative hospitality, education, and sustainability meet.</t>
  </si>
  <si>
    <t>Nils</t>
  </si>
  <si>
    <t>Cassignol</t>
  </si>
  <si>
    <t xml:space="preserve">Food and Beverage Operations Manager</t>
  </si>
  <si>
    <t xml:space="preserve">GRACE LA MARGNA ST MORITZ</t>
  </si>
  <si>
    <t>nils.cassignol@gracehotels.com</t>
  </si>
  <si>
    <t>http://www.linkedin.com/in/nils-cassignol-3a74635a</t>
  </si>
  <si>
    <t>http://www.gracestmoritz.ch</t>
  </si>
  <si>
    <t xml:space="preserve">5 Via Serlas, Saint Moritz, Grisons, Switzerland, 7500</t>
  </si>
  <si>
    <t xml:space="preserve">Erleben Sie luxuriösen Komfort im GRACE LA MARGNA ST MORITZ, einem 5-Sterne-Hotel in St. Moritz. Genießen Sie erstklassiges Wellness, exquisite Kulinarik und abwechslungsreiche Aktivitäten. Buchen Sie jetzt Ihren Aufenthalt zum Bestpreis und erleben Sie unvergessliche Momente in den Alpen.</t>
  </si>
  <si>
    <t>Frey</t>
  </si>
  <si>
    <t xml:space="preserve">Hyatt Regency Zurich Airport The Circle &amp; The Circle Convention Center</t>
  </si>
  <si>
    <t>nils.frey@hyatt.com</t>
  </si>
  <si>
    <t>http://www.linkedin.com/in/nils-frey-78b449135</t>
  </si>
  <si>
    <t>http://www.thecircleconventioncentre.ch</t>
  </si>
  <si>
    <t>Kloten</t>
  </si>
  <si>
    <t xml:space="preserve">Zuerich, Zuerich, Switzerland, 8058</t>
  </si>
  <si>
    <t>Stefan</t>
  </si>
  <si>
    <t>Donner</t>
  </si>
  <si>
    <t xml:space="preserve">Assistant Operations Manager</t>
  </si>
  <si>
    <t xml:space="preserve">harry's home</t>
  </si>
  <si>
    <t>stefan.donner@harrys-home.com</t>
  </si>
  <si>
    <t>http://www.linkedin.com/in/stefan-donner-889837123</t>
  </si>
  <si>
    <t>http://www.harrys-home.com</t>
  </si>
  <si>
    <t>Ittigen</t>
  </si>
  <si>
    <t xml:space="preserve">2 Kaiserjaegerstrasse, Innsbruck, Tyrol, Austria, 6020</t>
  </si>
  <si>
    <t>Austria</t>
  </si>
  <si>
    <t xml:space="preserve">harry's home hotels in Österreich, Deutschland und der Schweiz. Herzlich, Frisch, Anders! #createyourstay, flexibel und einfach</t>
  </si>
  <si>
    <t>stephane.marcel@gekko-holding.com</t>
  </si>
  <si>
    <t>http://www.linkedin.com/in/stephane-marcel-9734b05</t>
  </si>
  <si>
    <t>Issy-les-Moulineaux</t>
  </si>
  <si>
    <t>Cardinal</t>
  </si>
  <si>
    <t xml:space="preserve">YONA Beach Club</t>
  </si>
  <si>
    <t>charlie.cardinal@yonabeach.com</t>
  </si>
  <si>
    <t>http://www.linkedin.com/in/charlie-cardinal</t>
  </si>
  <si>
    <t>http://www.yonabeach.com</t>
  </si>
  <si>
    <t xml:space="preserve">Phuket, Thailand</t>
  </si>
  <si>
    <t>Thailand</t>
  </si>
  <si>
    <t>Chiara</t>
  </si>
  <si>
    <t>Mirante</t>
  </si>
  <si>
    <t xml:space="preserve">Hôtel Villa Saxe Eiffel ****</t>
  </si>
  <si>
    <t>chiara@vseparis.com</t>
  </si>
  <si>
    <t>http://www.linkedin.com/in/chiara-mirante-</t>
  </si>
  <si>
    <t>http://www.villa-saxe-eiffel.com</t>
  </si>
  <si>
    <t xml:space="preserve">9 Villa de Saxe, Paris, Ile-de-France, France, 75007</t>
  </si>
  <si>
    <t xml:space="preserve">Hôtel Villa Saxe Eiffel, located in the heart of Paris just a few steps from the Eiffel Tower and Champs de Mars, welcomes you to its official website.</t>
  </si>
  <si>
    <t>http://www.alpazurhotels.com</t>
  </si>
  <si>
    <t>http://www.bedycasa.com</t>
  </si>
  <si>
    <t>Manon</t>
  </si>
  <si>
    <t>Delseray</t>
  </si>
  <si>
    <t xml:space="preserve">Account &amp; Ops Manager</t>
  </si>
  <si>
    <t>manon.delseray@staycation.co</t>
  </si>
  <si>
    <t>http://www.linkedin.com/in/manon-delseray-06b890143</t>
  </si>
  <si>
    <t>Wiebke</t>
  </si>
  <si>
    <t>Kuhlmei</t>
  </si>
  <si>
    <t xml:space="preserve">Management, COO Hotels</t>
  </si>
  <si>
    <t>Candrian</t>
  </si>
  <si>
    <t>w.kuhlmei@candrian.com</t>
  </si>
  <si>
    <t>http://www.linkedin.com/in/wiebke-kuhlmei-4741387b</t>
  </si>
  <si>
    <t>http://www.candrian.com</t>
  </si>
  <si>
    <t>Zumikon</t>
  </si>
  <si>
    <t xml:space="preserve">15 Bahnhofplatz, Zurich, Zurich, Switzerland, 8001</t>
  </si>
  <si>
    <t>Rainer</t>
  </si>
  <si>
    <t>Willa</t>
  </si>
  <si>
    <t xml:space="preserve">HotelPartner Revenue Management</t>
  </si>
  <si>
    <t>rainer.willa@hotelpartner-ym.com</t>
  </si>
  <si>
    <t>http://www.linkedin.com/in/rainer-m-willa</t>
  </si>
  <si>
    <t>http://www.hotelpartner.com</t>
  </si>
  <si>
    <t xml:space="preserve">16 Chaltenbodenstrasse, Feusisberg, Canton of Schwyz, Switzerland, 8834</t>
  </si>
  <si>
    <t xml:space="preserve">Outpace your competition with tailored service levels matching the individual needs of your property and location. Learn about HotelPartner Revenue Management!</t>
  </si>
  <si>
    <t>Pedroncelli</t>
  </si>
  <si>
    <t xml:space="preserve">Managing Director Of Operations</t>
  </si>
  <si>
    <t xml:space="preserve">Storchen Zürich</t>
  </si>
  <si>
    <t>raphael.pedroncelli@storchen.ch</t>
  </si>
  <si>
    <t>http://www.linkedin.com/in/raphael-pedroncelli-39181656</t>
  </si>
  <si>
    <t>http://www.storchen.ch</t>
  </si>
  <si>
    <t xml:space="preserve">2 Weinplatz, Zurich, Zurich, Switzerland, 8001</t>
  </si>
  <si>
    <t xml:space="preserve">"The Storchen isn't just in Zurich, it is Zurich." Welcome to our establishment of rich tradition in the heart of the old town.</t>
  </si>
  <si>
    <t>Fabian</t>
  </si>
  <si>
    <t>Mueller</t>
  </si>
  <si>
    <t xml:space="preserve">Food And Beverage Operations Manager</t>
  </si>
  <si>
    <t>f.mueller@phv.ch</t>
  </si>
  <si>
    <t>http://www.linkedin.com/in/fabian-m%c3%bcller-a13288168</t>
  </si>
  <si>
    <t>Weggis</t>
  </si>
  <si>
    <t>Schnyder</t>
  </si>
  <si>
    <t xml:space="preserve">Project Lead &amp; CEO LO! Delivery AG</t>
  </si>
  <si>
    <t>fabian.schnyder@dieci.ch</t>
  </si>
  <si>
    <t>http://www.linkedin.com/in/fabianschnyder</t>
  </si>
  <si>
    <t>Fohrer</t>
  </si>
  <si>
    <t>CMO</t>
  </si>
  <si>
    <t>fabian@bedboat.fr</t>
  </si>
  <si>
    <t>http://www.linkedin.com/in/fabian-fohrer</t>
  </si>
  <si>
    <t>Carre</t>
  </si>
  <si>
    <t>fabrice.carre@onefinestay.com</t>
  </si>
  <si>
    <t>http://www.linkedin.com/in/fabrice-carre-bb537b</t>
  </si>
  <si>
    <t>Diedler</t>
  </si>
  <si>
    <t>florent@wehost.fr</t>
  </si>
  <si>
    <t>http://www.linkedin.com/in/florent-diedler-23b855105</t>
  </si>
  <si>
    <t>Schrempel</t>
  </si>
  <si>
    <t>florian.schrempel@harrys-home.com</t>
  </si>
  <si>
    <t>http://www.linkedin.com/in/florian-schrempel-76b14120</t>
  </si>
  <si>
    <t>Schaffhausen</t>
  </si>
  <si>
    <t>Wernert</t>
  </si>
  <si>
    <t xml:space="preserve">Director of Rooms Operations</t>
  </si>
  <si>
    <t xml:space="preserve">Paris Marriott Champs Elysees Hotel</t>
  </si>
  <si>
    <t>sabrina.wernert@marriott.com</t>
  </si>
  <si>
    <t>http://www.linkedin.com/in/sabrina-wernert-3a560366</t>
  </si>
  <si>
    <t>http://www.marriott.com</t>
  </si>
  <si>
    <t xml:space="preserve">70 Avenue des Champs-Elysees, Paris, Ile-de-France, France, 75008</t>
  </si>
  <si>
    <t>Miriam</t>
  </si>
  <si>
    <t>Penarroja</t>
  </si>
  <si>
    <t xml:space="preserve">Regional Operations Manager</t>
  </si>
  <si>
    <t>MARUGAL</t>
  </si>
  <si>
    <t>mpenarroja@marugal.com</t>
  </si>
  <si>
    <t>http://www.linkedin.com/in/miriampenarroja</t>
  </si>
  <si>
    <t>http://www.marugal.com</t>
  </si>
  <si>
    <t xml:space="preserve">17A Carrer Sant Feliu, Palma, Balearic Islands, Spain, 07012</t>
  </si>
  <si>
    <t xml:space="preserve">Descubra Marugal, gestora hotelera internacional especializada en el desarrollo, lanzamiento y explotación de hoteles singulares.</t>
  </si>
  <si>
    <t>Trolonge</t>
  </si>
  <si>
    <t xml:space="preserve">Bras droit CEO, chargée de missions marketing et evenementiel</t>
  </si>
  <si>
    <t>lucie@homanie.com</t>
  </si>
  <si>
    <t>http://www.linkedin.com/in/lucietrolonge</t>
  </si>
  <si>
    <t>Lydie</t>
  </si>
  <si>
    <t>Touzet</t>
  </si>
  <si>
    <t>lydie.touzet@entegraps.eu</t>
  </si>
  <si>
    <t>http://www.linkedin.com/in/lydie-touzet-0b2696118</t>
  </si>
  <si>
    <t>Katharina</t>
  </si>
  <si>
    <t>Kramer</t>
  </si>
  <si>
    <t xml:space="preserve">Platzl Hotel Inselkammer KG</t>
  </si>
  <si>
    <t>katharina.kramer@platzl.de</t>
  </si>
  <si>
    <t>http://www.linkedin.com/in/katharina-kramer-9a514a116</t>
  </si>
  <si>
    <t>http://www.platzl.de</t>
  </si>
  <si>
    <t xml:space="preserve">10 Sparkassenstrasse, Muenchen, Bayern, Germany, 80331</t>
  </si>
  <si>
    <t xml:space="preserve">4 Sterne Hotel im Zentrum von München  ➨ Entdecken Sie unser familiengeführtes Traditionshotel im ❤ der Stadt.  ➨ Zum Bestpreis buchen!</t>
  </si>
  <si>
    <t>Kei</t>
  </si>
  <si>
    <t>Nagata</t>
  </si>
  <si>
    <t>kei@dinostays.com</t>
  </si>
  <si>
    <t>http://www.linkedin.com/in/kei-nagata-32b009b5</t>
  </si>
  <si>
    <t>Kaspar</t>
  </si>
  <si>
    <t>Eisenhut</t>
  </si>
  <si>
    <t>COO</t>
  </si>
  <si>
    <t>keisenhut@visionapartments.com</t>
  </si>
  <si>
    <t>http://www.linkedin.com/in/kaspar-eisenhut-81237a87</t>
  </si>
  <si>
    <t>http://www.machefert.com</t>
  </si>
  <si>
    <t>Melodie</t>
  </si>
  <si>
    <t>Salama</t>
  </si>
  <si>
    <t xml:space="preserve">Directrice Marketing / Chief Marketing Officer</t>
  </si>
  <si>
    <t xml:space="preserve">Victoria Palace Hôtel ****</t>
  </si>
  <si>
    <t>melodie.flanagan@victoriapalace.com</t>
  </si>
  <si>
    <t>http://www.linkedin.com/in/melodie-flanagan-salama</t>
  </si>
  <si>
    <t>http://www.victoriapalace.com</t>
  </si>
  <si>
    <t xml:space="preserve">6 Rue Blaise-Desgoffe, Paris, Ile-de-France, France, 75006</t>
  </si>
  <si>
    <t xml:space="preserve">Bienvenue sur le site officiel du Victoria Palace, un boutique-hôtel 4 étoiles situé entre Le Bon Marché Rive Gauche et la Gare Montparnasse. Bénéficiez des meilleurs tarifs en réservant directement.</t>
  </si>
  <si>
    <t>Nacer</t>
  </si>
  <si>
    <t>Mechri</t>
  </si>
  <si>
    <t xml:space="preserve">WIMCO Villas</t>
  </si>
  <si>
    <t>nacer.mechri@julie.fr</t>
  </si>
  <si>
    <t>http://www.linkedin.com/in/nacermechri</t>
  </si>
  <si>
    <t>http://www.wimco.com</t>
  </si>
  <si>
    <t xml:space="preserve">28 Pelham St, Newport, Rhode Island, United States, 02840</t>
  </si>
  <si>
    <t xml:space="preserve">Vacation in the finest luxury villa rentals with personalized 24/7 concierge service. Global portfolio of over 1,500 luxury villas. Trusted experts planning hand-crafted villa vacations since 1983</t>
  </si>
  <si>
    <t>Gilliand</t>
  </si>
  <si>
    <t>nathaniel@withlove-hospitality.com</t>
  </si>
  <si>
    <t>http://www.linkedin.com/in/gilliand-nathaniel-4b803b23</t>
  </si>
  <si>
    <t>http://www.revol1768.com</t>
  </si>
  <si>
    <t xml:space="preserve">Made in France since 1768 - From oven to table, discover revol porcelain's high-end ceramic cookware, bakeware &amp; dinnerware simply inspired by you ... Cook your style!</t>
  </si>
  <si>
    <t>http://www.easilys.com</t>
  </si>
  <si>
    <t>Mancuso</t>
  </si>
  <si>
    <t>rmancuso@cie-bagatelle.com</t>
  </si>
  <si>
    <t>http://www.linkedin.com/in/rapha%c3%abl-mancuso-78421820</t>
  </si>
  <si>
    <t>Recupero</t>
  </si>
  <si>
    <t>Moomenti</t>
  </si>
  <si>
    <t>robert@moomenti.com</t>
  </si>
  <si>
    <t>http://www.linkedin.com/in/robertrecupero</t>
  </si>
  <si>
    <t>http://www.moomenti.com</t>
  </si>
  <si>
    <t xml:space="preserve">Geneva, Geneva, Switzerland</t>
  </si>
  <si>
    <t xml:space="preserve">Explore, select and book luxury hotel facilities, at the click of a button. Download the Moomenti App and feel inspired.</t>
  </si>
  <si>
    <t>Boscolo</t>
  </si>
  <si>
    <t xml:space="preserve">Luxury Lifestyle Hotelier - Ceo</t>
  </si>
  <si>
    <t xml:space="preserve">Boscolo Hotels &amp; SPAS</t>
  </si>
  <si>
    <t>roberto@boscolocollection.com</t>
  </si>
  <si>
    <t>http://www.linkedin.com/in/robertoboscolo</t>
  </si>
  <si>
    <t>http://www.boscolocollection.com</t>
  </si>
  <si>
    <t>Biondi</t>
  </si>
  <si>
    <t>robin.biondi@staycation.co</t>
  </si>
  <si>
    <t>http://www.linkedin.com/in/robin-biondi-02921a85</t>
  </si>
  <si>
    <t>Seraina</t>
  </si>
  <si>
    <t>seraina@cervo.ch</t>
  </si>
  <si>
    <t>http://www.linkedin.com/in/seraina-lauber-951a4785</t>
  </si>
  <si>
    <t>http://www.honotel.fr</t>
  </si>
  <si>
    <t>Nicole</t>
  </si>
  <si>
    <t>Braendle</t>
  </si>
  <si>
    <t>HotellerieSuisse</t>
  </si>
  <si>
    <t>nicole.braendle@hotelleriesuisse.ch</t>
  </si>
  <si>
    <t>http://www.linkedin.com/in/nicole-braendle-766a2587</t>
  </si>
  <si>
    <t>http://www.hotelleriesuisse.ch</t>
  </si>
  <si>
    <t xml:space="preserve">130 Monbijoustrasse, Bern, Canton of Bern, Switzerland, 3007</t>
  </si>
  <si>
    <t xml:space="preserve">HotellerieSuisse – der Verband der Beherbergungsbranche</t>
  </si>
  <si>
    <t>Rambaldi</t>
  </si>
  <si>
    <t>bruno.rambaldi@westhive.com</t>
  </si>
  <si>
    <t>http://www.linkedin.com/in/brunorambaldi</t>
  </si>
  <si>
    <t>Benedict</t>
  </si>
  <si>
    <t>Schempf</t>
  </si>
  <si>
    <t xml:space="preserve">Restaurant Operations Manager</t>
  </si>
  <si>
    <t xml:space="preserve">Badrutt's Palace Hotel St. Moritz Switzerland</t>
  </si>
  <si>
    <t>bschempf@badruttspalace.com</t>
  </si>
  <si>
    <t>http://www.linkedin.com/in/benedict-schempf-81a1bb187</t>
  </si>
  <si>
    <t>http://www.badruttspalace.com</t>
  </si>
  <si>
    <t xml:space="preserve">Saint Moritz</t>
  </si>
  <si>
    <t xml:space="preserve">27 Via Serlas, Saint Moritz, Grisons, Switzerland, 7500</t>
  </si>
  <si>
    <t xml:space="preserve">Experience legendary service in the heart of St. Moritz: joie de vivre and unrivaled well-being in an iconic Hotel. Summer or winter, the choice is yours!</t>
  </si>
  <si>
    <t>http://www.stairway-management.com</t>
  </si>
  <si>
    <t>http://www.accelis.fr</t>
  </si>
  <si>
    <t>http://www.foodhoteltech.com</t>
  </si>
  <si>
    <t>Johansson</t>
  </si>
  <si>
    <t>IHA</t>
  </si>
  <si>
    <t>l.johansson@ihamanagement.com</t>
  </si>
  <si>
    <t>http://www.linkedin.com/in/lucas-johansson-071b6a1</t>
  </si>
  <si>
    <t>http://www.ihamanagement.com</t>
  </si>
  <si>
    <t xml:space="preserve">Bespoke partnerships in hospitality management</t>
  </si>
  <si>
    <t>Lorenza</t>
  </si>
  <si>
    <t>Alessie</t>
  </si>
  <si>
    <t xml:space="preserve">Founder and Director</t>
  </si>
  <si>
    <t xml:space="preserve">Alessie Human Capital</t>
  </si>
  <si>
    <t>la@alessiehc.com</t>
  </si>
  <si>
    <t>http://www.linkedin.com/in/lorenzaalessie</t>
  </si>
  <si>
    <t>http://www.alessiehc.com</t>
  </si>
  <si>
    <t>Unger</t>
  </si>
  <si>
    <t xml:space="preserve">Director Operations &amp; Stv. CEO</t>
  </si>
  <si>
    <t xml:space="preserve">Schweizer Jugendherbergen</t>
  </si>
  <si>
    <t>thomas.unger@youthhostel.ch</t>
  </si>
  <si>
    <t>http://www.linkedin.com/in/thomas-unger-18312b75</t>
  </si>
  <si>
    <t>http://www.youthhostel.ch</t>
  </si>
  <si>
    <t xml:space="preserve">14 Schaffhauserstrasse, Zurich, Zurich, Switzerland, 8006</t>
  </si>
  <si>
    <t xml:space="preserve">Around 50 fantastic hostels in the most beautiful places in Switzerland. Check out, book and check in!</t>
  </si>
  <si>
    <t>Atlan</t>
  </si>
  <si>
    <t xml:space="preserve">Co Founder &amp; Biz Dev</t>
  </si>
  <si>
    <t>Duve</t>
  </si>
  <si>
    <t>jeremy@duve.com</t>
  </si>
  <si>
    <t>http://www.linkedin.com/in/jeremy-atlan-a4a96317</t>
  </si>
  <si>
    <t>http://www.duve.com</t>
  </si>
  <si>
    <t xml:space="preserve">53 בן יהודה, Tel Aviv-Yafo, Tel Aviv District, Israel, 60000</t>
  </si>
  <si>
    <t xml:space="preserve">Give your guests the guest experience they deserve with Duve's guest experience platform for hotels, vacation rentals, hostels and more</t>
  </si>
  <si>
    <t>Marko</t>
  </si>
  <si>
    <t>Radin</t>
  </si>
  <si>
    <t xml:space="preserve">Director of Operations (i/c F&amp;B)</t>
  </si>
  <si>
    <t xml:space="preserve">Le Méridien Etoile</t>
  </si>
  <si>
    <t>marko.radin@lemeridien.com</t>
  </si>
  <si>
    <t>http://www.linkedin.com/in/markoradin</t>
  </si>
  <si>
    <t>http://www.lemeridienetoile.com</t>
  </si>
  <si>
    <t xml:space="preserve">81 Boulevard Gouvion-Saint-Cyr, Paris, Ile-de-France, France, 75017</t>
  </si>
  <si>
    <t>Markus</t>
  </si>
  <si>
    <t>Feller</t>
  </si>
  <si>
    <t xml:space="preserve">LIKE MAGIC</t>
  </si>
  <si>
    <t>markus@likemagic.tech</t>
  </si>
  <si>
    <t>http://www.linkedin.com/in/markus-feller</t>
  </si>
  <si>
    <t>http://www.likemagic.tech</t>
  </si>
  <si>
    <t xml:space="preserve">It works like magic. Increase efficiency, drive revenue, and create a game-changing experience for guests &amp; employees.</t>
  </si>
  <si>
    <t>Leglise</t>
  </si>
  <si>
    <t xml:space="preserve">Sandoz Foundation Hotels</t>
  </si>
  <si>
    <t>j.leglise@sandoz-hotels.ch</t>
  </si>
  <si>
    <t>http://www.linkedin.com/in/johnyvesleglise</t>
  </si>
  <si>
    <t>http://www.sandoz-hotels.ch</t>
  </si>
  <si>
    <t xml:space="preserve">Otterbach, Affoltern im Emmental, Canton of Bern, Switzerland, 3463</t>
  </si>
  <si>
    <t>Gaio</t>
  </si>
  <si>
    <t xml:space="preserve">Hotel Royal Savoy Lausanne</t>
  </si>
  <si>
    <t>erwan.gaio@royalsavoy.ch</t>
  </si>
  <si>
    <t>http://www.linkedin.com/in/erwangaio</t>
  </si>
  <si>
    <t>http://www.royalsavoylausanne.com</t>
  </si>
  <si>
    <t xml:space="preserve">40 Avenue d'Ouchy, Lausanne, Vaud, Switzerland, 1006</t>
  </si>
  <si>
    <t xml:space="preserve">The 5-star Royal Savoy hotel in Lausanne, is one of the best hotels on Lake Geneva: World-class spa, meeting places and restaurants. Book now.</t>
  </si>
  <si>
    <t>Estelle</t>
  </si>
  <si>
    <t>Berniere</t>
  </si>
  <si>
    <t>INÜI</t>
  </si>
  <si>
    <t>estelle@inuicollection.com</t>
  </si>
  <si>
    <t>http://www.linkedin.com/in/estelleberniere</t>
  </si>
  <si>
    <t>http://www.inuicollection.com</t>
  </si>
  <si>
    <t xml:space="preserve">3 Rue De-Mileant, Geneva, Geneva, Switzerland, 1203</t>
  </si>
  <si>
    <t xml:space="preserve">We help hotels and incredible places to increase their visibility, and Meetings Planners to be inspired for their events.</t>
  </si>
  <si>
    <t>sebastien.jacques@gogaille.fr</t>
  </si>
  <si>
    <t>http://www.linkedin.com/in/sebastien-jacques-4001a111</t>
  </si>
  <si>
    <t>Paulo</t>
  </si>
  <si>
    <t>Simoes</t>
  </si>
  <si>
    <t xml:space="preserve">Chief Marketing Officer | CMO</t>
  </si>
  <si>
    <t xml:space="preserve">Le Tsuba Hotel Paris</t>
  </si>
  <si>
    <t>paulo@tsubahotel.com</t>
  </si>
  <si>
    <t>http://www.linkedin.com/in/paulohssimoes</t>
  </si>
  <si>
    <t>http://www.tsubahotel.com</t>
  </si>
  <si>
    <t xml:space="preserve">45 Rue des Acacias, Paris, Ile-de-France, France, 75017</t>
  </si>
  <si>
    <t xml:space="preserve">Le Tsuba Hôtel - Site Officiel - Hôtel  4 étoiles proche des Champs-Elysées. Réservez votre hotel à Paris au meilleur prix</t>
  </si>
  <si>
    <t>Schiffhauer</t>
  </si>
  <si>
    <t xml:space="preserve">VRP / Co-Founder capsule services</t>
  </si>
  <si>
    <t>peter@capsulehotel.ch</t>
  </si>
  <si>
    <t>http://www.linkedin.com/in/peter-schiffhauer-ba9883174</t>
  </si>
  <si>
    <t>Kuesnacht</t>
  </si>
  <si>
    <t>Philip</t>
  </si>
  <si>
    <t>Hehlgans</t>
  </si>
  <si>
    <t xml:space="preserve">Operations Manager Eden Kitchen &amp; Bar</t>
  </si>
  <si>
    <t xml:space="preserve">La Réserve Eden au Lac Zurich</t>
  </si>
  <si>
    <t>phehlgans@lareserve-zurich.com</t>
  </si>
  <si>
    <t>http://www.linkedin.com/in/philip-hehlgans-514845137</t>
  </si>
  <si>
    <t>http://www.lareserve-zurich.com</t>
  </si>
  <si>
    <t xml:space="preserve">45 Utoquai, Zurich, Zurich, Switzerland, 8008</t>
  </si>
  <si>
    <t xml:space="preserve">A unique sophisticated 5-star hotel in Zurich Switzerland, fully redesigned by Starck, with a view over the Lake and the city of Zurich.</t>
  </si>
  <si>
    <t>Isabel</t>
  </si>
  <si>
    <t>Maiwald</t>
  </si>
  <si>
    <t xml:space="preserve">Human Resources Operations Manager</t>
  </si>
  <si>
    <t xml:space="preserve">Dolder Hotel AG</t>
  </si>
  <si>
    <t>isabel.maiwald@dolderhotelag.com</t>
  </si>
  <si>
    <t>http://www.linkedin.com/in/isabel-maiwald-43754b140</t>
  </si>
  <si>
    <t>http://www.dolderhotelag.com</t>
  </si>
  <si>
    <t xml:space="preserve">65 Kurhausstrasse, Zurich, Zurich, Switzerland, 8032</t>
  </si>
  <si>
    <t>Niklaus</t>
  </si>
  <si>
    <t xml:space="preserve">Kursaal Bern AG</t>
  </si>
  <si>
    <t>isabel.niklaus@kursaal-bern.ch</t>
  </si>
  <si>
    <t>http://www.linkedin.com/in/isabel-niklaus-26902439</t>
  </si>
  <si>
    <t>http://www.kursaal-bern.ch</t>
  </si>
  <si>
    <t xml:space="preserve">3 Kornhausstrasse, Bern, Canton of Bern, Switzerland, 3013</t>
  </si>
  <si>
    <t xml:space="preserve">Entdecken Sie die Restaurant-Vielfalt im Kursaal Bern: Mediterrane Speisen und Drinks im Giardino Restaurant &amp; Bar, asiatisches Buffet im Restaurant Yù und das Rooftop Bern.</t>
  </si>
  <si>
    <t>Iscliff</t>
  </si>
  <si>
    <t xml:space="preserve">COO / Board Member</t>
  </si>
  <si>
    <t>iscliff@dayuse.com</t>
  </si>
  <si>
    <t>http://www.linkedin.com/in/iscliff-leb%c3%a9e-74b5333b</t>
  </si>
  <si>
    <t>Claudio</t>
  </si>
  <si>
    <t>Bieri</t>
  </si>
  <si>
    <t>c.bieri@candrian.com</t>
  </si>
  <si>
    <t>http://www.linkedin.com/in/claudio-bieri-40aab091</t>
  </si>
  <si>
    <t>Uster</t>
  </si>
  <si>
    <t>http://www.nachos.fr</t>
  </si>
  <si>
    <t>Lepy</t>
  </si>
  <si>
    <t xml:space="preserve">COO &amp; Head of Communication for Dans le Noir ? International</t>
  </si>
  <si>
    <t>aurore.lepy@danslenoir.com</t>
  </si>
  <si>
    <t>http://www.linkedin.com/in/aurore-l%c3%a9py-80095565</t>
  </si>
  <si>
    <t>http://www.danslenoir.com</t>
  </si>
  <si>
    <t>Ambrogio</t>
  </si>
  <si>
    <t>Calcaterra</t>
  </si>
  <si>
    <t xml:space="preserve">Rosetta Bakery</t>
  </si>
  <si>
    <t>acj@rosettabakery.com</t>
  </si>
  <si>
    <t>http://www.linkedin.com/in/ambrogiocalcaterra</t>
  </si>
  <si>
    <t>http://www.rosettabakery.com</t>
  </si>
  <si>
    <t xml:space="preserve">350 Lincoln Road, Miami Beach, Florida, United States, 33139</t>
  </si>
  <si>
    <t>angelo.giordano@gruppomimo.com</t>
  </si>
  <si>
    <t>http://www.linkedin.com/in/angelo-giordano-07066772</t>
  </si>
  <si>
    <t>http://www.mrs.fr</t>
  </si>
  <si>
    <t>Alessandro</t>
  </si>
  <si>
    <t>Preda</t>
  </si>
  <si>
    <t xml:space="preserve">Group Chief Executive Officer</t>
  </si>
  <si>
    <t>QSRP</t>
  </si>
  <si>
    <t>alessandro.preda@qsrp.com</t>
  </si>
  <si>
    <t>http://www.linkedin.com/in/alessandropreda</t>
  </si>
  <si>
    <t>http://www.qsrp.com</t>
  </si>
  <si>
    <t xml:space="preserve">We provide investments in great food experiences through scalable, diversified and attractive QSR brands.</t>
  </si>
  <si>
    <t>Mai-The</t>
  </si>
  <si>
    <t xml:space="preserve">Head Brewer / Group Brewing Operations Manager</t>
  </si>
  <si>
    <t>FrogPubs</t>
  </si>
  <si>
    <t>eugenie@frogpubs.com</t>
  </si>
  <si>
    <t>http://www.linkedin.com/in/eugeniemaithe</t>
  </si>
  <si>
    <t>http://www.frogpubs.com</t>
  </si>
  <si>
    <t xml:space="preserve">2 Boulevard Saint-Martin, Paris, Ile-de-France, France, 75010</t>
  </si>
  <si>
    <t xml:space="preserve">English Pubs, Restaurants &amp;amp; Microbreweries in Paris, Toulouse and Bordeaux. The centre of English expat social life.</t>
  </si>
  <si>
    <t>Benayoun</t>
  </si>
  <si>
    <t xml:space="preserve">Hilo food</t>
  </si>
  <si>
    <t>david.benayoun@hilofood.com</t>
  </si>
  <si>
    <t>http://www.linkedin.com/in/david-benayoun-935b53</t>
  </si>
  <si>
    <t>http://www.hilofood.com</t>
  </si>
  <si>
    <t xml:space="preserve">60 Rue Caulaincourt, Paris, Ile-de-France, France, 75018</t>
  </si>
  <si>
    <t xml:space="preserve">Restaurant rapide healthy à Cergy et Courbevoie, aux inspirations 
hawaïennes et japonaises. Découvrez nos Poké Bowls et Poké Rolls !</t>
  </si>
  <si>
    <t>http://www.foodomarket.com</t>
  </si>
  <si>
    <t>http://www.popeyesfrance.fr</t>
  </si>
  <si>
    <t>http://www.yogurtfactory.fr</t>
  </si>
  <si>
    <t>Saadaoui</t>
  </si>
  <si>
    <t xml:space="preserve">Co founder Black&amp;White Burger</t>
  </si>
  <si>
    <t xml:space="preserve">Black &amp; White Burger</t>
  </si>
  <si>
    <t>youssef.saadaoui@bnwburger.com</t>
  </si>
  <si>
    <t>http://www.linkedin.com/in/youssef-saadaoui-7a759b28b</t>
  </si>
  <si>
    <t>http://www.bnwburger.com</t>
  </si>
  <si>
    <t xml:space="preserve">31 Rue Saint-Denis, Paris, Ile-de-France, France, 75001</t>
  </si>
  <si>
    <t xml:space="preserve">Black &amp; White Burger est le phénomène burger imaginé et créé par Ibrahim Tsetchoev, plus connu sous le nom de Ibra TV, et son partenaire Djam</t>
  </si>
  <si>
    <t>Zacharie</t>
  </si>
  <si>
    <t>Tachi</t>
  </si>
  <si>
    <t xml:space="preserve">Assistent Operations Manager</t>
  </si>
  <si>
    <t>tibits</t>
  </si>
  <si>
    <t>zacharie.tachi@tibits.ch</t>
  </si>
  <si>
    <t>http://www.linkedin.com/in/zacharie-tachi-52206889</t>
  </si>
  <si>
    <t>http://www.tibits.ch</t>
  </si>
  <si>
    <t xml:space="preserve">9 Othmarstrasse, Zurich, Zurich, Switzerland, 8008</t>
  </si>
  <si>
    <t xml:space="preserve">Vegetarian and vegan restaurant, takeaway and catering in Zurich, Bern, Basel, Lucerne and Winterthur. More than 40 salads and warm dishes from around the world.</t>
  </si>
  <si>
    <t>Delpla</t>
  </si>
  <si>
    <t>jules@tiptoque.com</t>
  </si>
  <si>
    <t>http://www.linkedin.com/in/jules-delpla-5a388682</t>
  </si>
  <si>
    <t>http://www.bchef.fr</t>
  </si>
  <si>
    <t>Fouchard</t>
  </si>
  <si>
    <t xml:space="preserve">BURGER KING® Switzerland</t>
  </si>
  <si>
    <t>mathieu.fouchard@bkch.ch</t>
  </si>
  <si>
    <t>http://www.linkedin.com/in/mathieu-fouchard-b9398256</t>
  </si>
  <si>
    <t>http://www.bkch.ch</t>
  </si>
  <si>
    <t xml:space="preserve">9 Place de la Gare, Nyon, Vaud, Switzerland, 1260</t>
  </si>
  <si>
    <t>Michaud</t>
  </si>
  <si>
    <t>guillaume@delicity.com</t>
  </si>
  <si>
    <t>http://www.linkedin.com/in/guillaume-michaud-444114b7</t>
  </si>
  <si>
    <t>Raphy</t>
  </si>
  <si>
    <t xml:space="preserve">Melrose Kitchen</t>
  </si>
  <si>
    <t>raphy.fathi@timenest.ch</t>
  </si>
  <si>
    <t>http://www.linkedin.com/in/raphy-fathi-96199aa8</t>
  </si>
  <si>
    <t>http://www.melrosekitchen.ch</t>
  </si>
  <si>
    <t xml:space="preserve">Place des Bergues, Geneva, Geneva, Switzerland, 1201</t>
  </si>
  <si>
    <t xml:space="preserve">Melrose Kitchen is a Geneva based superfood bar offering healthy and tasty food in a trendy Californian atmosphere. Specialised in matcha and acai bowls, Melrose Kitchen also offers a variety of healthy treats such as avocado toasts, lunch bowl, porridge bowls and homemade pastries. Melrose always offers vegan, gluten-</t>
  </si>
  <si>
    <t>Riaz</t>
  </si>
  <si>
    <t>Mamode</t>
  </si>
  <si>
    <t xml:space="preserve">COO-Directeur des Opérations</t>
  </si>
  <si>
    <t xml:space="preserve">Le Pain Quotidien France</t>
  </si>
  <si>
    <t>riaz.mamode@lepainquotidien.com</t>
  </si>
  <si>
    <t>http://www.linkedin.com/in/riazmamode</t>
  </si>
  <si>
    <t>http://www.lepainquotidien.fr</t>
  </si>
  <si>
    <t>Tronet</t>
  </si>
  <si>
    <t>ttronet@berliner-do.com</t>
  </si>
  <si>
    <t>http://www.linkedin.com/in/timoth%c3%a9e-t-0a915816</t>
  </si>
  <si>
    <t>http://www.berliner-do.com</t>
  </si>
  <si>
    <t xml:space="preserve">LINA'S Paris</t>
  </si>
  <si>
    <t>v.colin@linasparis.com</t>
  </si>
  <si>
    <t>http://www.linkedin.com/in/vincent-colin-902638b7</t>
  </si>
  <si>
    <t>http://www.linasparis.com</t>
  </si>
  <si>
    <t xml:space="preserve">27 Avenue Marceau, Paris, Ile-de-France, France, 75116</t>
  </si>
  <si>
    <t xml:space="preserve">Boutique propulsée par PrestaShop</t>
  </si>
  <si>
    <t>Chris</t>
  </si>
  <si>
    <t>Daou</t>
  </si>
  <si>
    <t xml:space="preserve">Operations &amp; Purchasing Manager</t>
  </si>
  <si>
    <t>chris@qualiteandco.com</t>
  </si>
  <si>
    <t>http://www.linkedin.com/in/chris-daou-72492884</t>
  </si>
  <si>
    <t>Porcel</t>
  </si>
  <si>
    <t xml:space="preserve">Directeur des Opérations - COO</t>
  </si>
  <si>
    <t xml:space="preserve">Groupe Restoleil</t>
  </si>
  <si>
    <t>qporcel@restoleil.com</t>
  </si>
  <si>
    <t>http://www.linkedin.com/in/quentinporcel</t>
  </si>
  <si>
    <t>http://www.grouperestoleil.com</t>
  </si>
  <si>
    <t xml:space="preserve">487 Route de Tavan, Saint-Jorioz, Auvergne-Rhone-Alpes, France, 74410</t>
  </si>
  <si>
    <t xml:space="preserve">Le groupe RESTOLEIL gère aujourd’hui près d’une soixantaine de restaurants. En ville, sur stations balnéaires ou à la montagne.</t>
  </si>
  <si>
    <t>Johan</t>
  </si>
  <si>
    <t>Jakobsson</t>
  </si>
  <si>
    <t xml:space="preserve">Green Gorilla Café</t>
  </si>
  <si>
    <t>johan@greengorillacafe.com</t>
  </si>
  <si>
    <t>http://www.linkedin.com/in/johan-jakobsson-25565741</t>
  </si>
  <si>
    <t>http://www.greengorillacafe.com</t>
  </si>
  <si>
    <t xml:space="preserve">12 Rue du Grand-Pont, Lausanne, Vaud, Switzerland, 1003</t>
  </si>
  <si>
    <t xml:space="preserve">Welcome to Green Gorilla Café - A cosy place where you can have your healthy food : Poke bowl, Superfood Salads &amp; Smoothies, specialty coffee &amp; much more...</t>
  </si>
  <si>
    <t>Johannes</t>
  </si>
  <si>
    <t>Reinisch</t>
  </si>
  <si>
    <t xml:space="preserve">Kramer Gastronomie</t>
  </si>
  <si>
    <t>johannes.reinisch@kramergastronomie.ch</t>
  </si>
  <si>
    <t>http://www.linkedin.com/in/johannes-reinisch-235926223</t>
  </si>
  <si>
    <t>http://www.kramergastronomie.ch</t>
  </si>
  <si>
    <t xml:space="preserve">24 Alte Landstrasse, Horgen, Zurich, Switzerland, 8810</t>
  </si>
  <si>
    <t>Weineis</t>
  </si>
  <si>
    <t xml:space="preserve">Directeur Technique - business operating manager</t>
  </si>
  <si>
    <t>FACTORY</t>
  </si>
  <si>
    <t>damien@factoryandco.com</t>
  </si>
  <si>
    <t>http://www.linkedin.com/in/damien-weineis-54aba7b9</t>
  </si>
  <si>
    <t>http://www.factoryandco.com</t>
  </si>
  <si>
    <t xml:space="preserve">23 Cour Saint-Emilion, Paris, Ile-de-France, France, 75012</t>
  </si>
  <si>
    <t>Dan</t>
  </si>
  <si>
    <t>Kaeslin</t>
  </si>
  <si>
    <t>dan.kaeslin@tibits.ch</t>
  </si>
  <si>
    <t>http://www.linkedin.com/in/dankaeslin</t>
  </si>
  <si>
    <t>Levy</t>
  </si>
  <si>
    <t>SUSHIZEN</t>
  </si>
  <si>
    <t>daniel.levy@sushizen.ch</t>
  </si>
  <si>
    <t>http://www.linkedin.com/in/daniel-levy-23a8b6153</t>
  </si>
  <si>
    <t>http://www.sushizen.ch</t>
  </si>
  <si>
    <t xml:space="preserve">56 Avenue des Boveresses, Lausanne, Vaud, Switzerland, 1010</t>
  </si>
  <si>
    <t xml:space="preserve">Commandez vos sushis en ligne ou par téléphone. Livraison à domicile ou bureau en 30 min. Poissons de premier choix. Sushis Frais - Rapide - Qualité. Testez le Pick-up en boutique.</t>
  </si>
  <si>
    <t>Titouan</t>
  </si>
  <si>
    <t>Viala</t>
  </si>
  <si>
    <t>MONBLEU</t>
  </si>
  <si>
    <t>titouan.viala@monbleu.fr</t>
  </si>
  <si>
    <t>http://www.linkedin.com/in/titouan-viala-7a281a14b</t>
  </si>
  <si>
    <t>http://www.monbleu.fr</t>
  </si>
  <si>
    <t xml:space="preserve">Fromagerie &amp; Restaurants. On sélectionne avec soin des fromages fermiers et artisanaux pour simplement partager du bonheur !</t>
  </si>
  <si>
    <t>Fougeras</t>
  </si>
  <si>
    <t>audrey.fougeras@yannick-alleno.com</t>
  </si>
  <si>
    <t>http://www.linkedin.com/in/audrey-fougeras-53903591</t>
  </si>
  <si>
    <t>http://www.yannick-alleno.com</t>
  </si>
  <si>
    <t xml:space="preserve">Yannick Alléno, chef triplement étoilé, partage son art de vivre | Des restaurants 3 étoiles à Paris et Courchevel, des restaurants gastronomiques et des bistrots dans le monde entier, un magazine, des livres de recettes et autant d’innovations.</t>
  </si>
  <si>
    <t>Stefano</t>
  </si>
  <si>
    <t>Fresch</t>
  </si>
  <si>
    <t xml:space="preserve">Operations and Communication Manager</t>
  </si>
  <si>
    <t>stefano@camurria.fr</t>
  </si>
  <si>
    <t>http://www.linkedin.com/in/stefano-fresch-web-design</t>
  </si>
  <si>
    <t>Gien</t>
  </si>
  <si>
    <t>Stephan</t>
  </si>
  <si>
    <t>Geiger</t>
  </si>
  <si>
    <t>stephan.geiger@tibits.ch</t>
  </si>
  <si>
    <t>http://www.linkedin.com/in/stephan-geiger-463555125</t>
  </si>
  <si>
    <t>Bellon</t>
  </si>
  <si>
    <t xml:space="preserve">Founder, Managing Director</t>
  </si>
  <si>
    <t>StudioNomie</t>
  </si>
  <si>
    <t>stephane.bellon@studionomie.com</t>
  </si>
  <si>
    <t>http://www.linkedin.com/in/st%c3%a9phane-bellon-b299197</t>
  </si>
  <si>
    <t>http://www.studionomie.com</t>
  </si>
  <si>
    <t xml:space="preserve">18 Rue de Lausanne, Geneva, Geneva, Switzerland, 1201</t>
  </si>
  <si>
    <t xml:space="preserve">From culinary arts to design, from brand creation to operations, Studionomie's activities include concept creation and development, strategic support and the operational management of restaurants.</t>
  </si>
  <si>
    <t>Mitaut</t>
  </si>
  <si>
    <t xml:space="preserve">Director of Operations and Development</t>
  </si>
  <si>
    <t>charlotte.m@frenchie-restaurant.com</t>
  </si>
  <si>
    <t>http://www.linkedin.com/in/charlotte-mitaut-85086b66</t>
  </si>
  <si>
    <t>http://www.frenchie-restaurant.com</t>
  </si>
  <si>
    <t>Roques-Naggar</t>
  </si>
  <si>
    <t>elua</t>
  </si>
  <si>
    <t>chiara@eluapoke.ch</t>
  </si>
  <si>
    <t>http://www.linkedin.com/in/chiara-roques-naggar-43590814</t>
  </si>
  <si>
    <t>http://www.eluapoke.ch</t>
  </si>
  <si>
    <t xml:space="preserve">8 Rue des Eaux-Vives, Geneva, Geneva, Switzerland, 1207</t>
  </si>
  <si>
    <t>http://www.taobento.com</t>
  </si>
  <si>
    <t xml:space="preserve">Holy Cow! Gourmet Burger</t>
  </si>
  <si>
    <t>steve.richard@holycow.ch</t>
  </si>
  <si>
    <t>http://www.linkedin.com/in/steve-richard-02016049</t>
  </si>
  <si>
    <t>http://www.holycow.ch</t>
  </si>
  <si>
    <t xml:space="preserve">135 Avenue de Cour, Lausanne, Vaud, Switzerland, 1007</t>
  </si>
  <si>
    <t xml:space="preserve">Holy Cow! Burger a révolutionné le marché du burger suisse en amenant un concept unique : un burger gourmet frais, servi avec des produits de la région, locaux et savoureux, tout cela en moins de 10 minutes.</t>
  </si>
  <si>
    <t>Alzieu</t>
  </si>
  <si>
    <t>fanny@heqtor.fr</t>
  </si>
  <si>
    <t>http://www.linkedin.com/in/fanny-alzieu-60002722b</t>
  </si>
  <si>
    <t>http://www.g-ladalle.com</t>
  </si>
  <si>
    <t>http://www.baofamily.co</t>
  </si>
  <si>
    <t>Luigi</t>
  </si>
  <si>
    <t>Santini</t>
  </si>
  <si>
    <t xml:space="preserve">Operations &amp; Franchising Manager France</t>
  </si>
  <si>
    <t xml:space="preserve">Doppio Malto</t>
  </si>
  <si>
    <t>lsantini@foodbrand.com</t>
  </si>
  <si>
    <t>http://www.linkedin.com/in/luigi-maria-santini-696aaa4b</t>
  </si>
  <si>
    <t>http://www.doppiomalto.co.uk</t>
  </si>
  <si>
    <t xml:space="preserve">59 Via Giovanni Antonio Amadeo, Milan, Lombardy, Italy, 20134</t>
  </si>
  <si>
    <t xml:space="preserve">Our restaurants are places where beer culture joins with your desire to stay together. Craft Italianbeer and quality food. An atmosphere that brings friends, families and pint lovers together</t>
  </si>
  <si>
    <t>Festin</t>
  </si>
  <si>
    <t>kfestin@freshburritos.com</t>
  </si>
  <si>
    <t>http://www.linkedin.com/in/kevin-festin-51aa3996</t>
  </si>
  <si>
    <t>http://www.freshburritos.com</t>
  </si>
  <si>
    <t>Thibaud</t>
  </si>
  <si>
    <t>Giovannetti</t>
  </si>
  <si>
    <t>thibaud@frerestoque.fr</t>
  </si>
  <si>
    <t>http://www.linkedin.com/in/thibaud-giovannetti-b41950ba</t>
  </si>
  <si>
    <t>http://www.clubcafe.fr</t>
  </si>
  <si>
    <t>Pichon</t>
  </si>
  <si>
    <t>nico@eatcala.com</t>
  </si>
  <si>
    <t>http://www.linkedin.com/in/nicolas-pichon-008aa7a2</t>
  </si>
  <si>
    <t>Rebattet</t>
  </si>
  <si>
    <t xml:space="preserve">CMO I Chief Marketing Officer</t>
  </si>
  <si>
    <t>olivier.rebattet@mylittlewarung.com</t>
  </si>
  <si>
    <t>http://www.linkedin.com/in/olivierrebattet</t>
  </si>
  <si>
    <t>http://www.mylittlewarung.com</t>
  </si>
  <si>
    <t>Sibuet</t>
  </si>
  <si>
    <t>Fetchef</t>
  </si>
  <si>
    <t>olivier.sibuet@fetchef.com</t>
  </si>
  <si>
    <t>http://www.linkedin.com/in/oliviersibuet</t>
  </si>
  <si>
    <t>http://www.fetchef.com</t>
  </si>
  <si>
    <t xml:space="preserve">Rue de Lausanne, Geneva, Geneva, Switzerland</t>
  </si>
  <si>
    <t xml:space="preserve">Découvrez comment Fetchef peut révolutionner votre service et offrir une expérience culinaire exceptionnelle à vos clients. Rejoignez-nous !</t>
  </si>
  <si>
    <t>Williams</t>
  </si>
  <si>
    <t>richard.williams@holycow.ch</t>
  </si>
  <si>
    <t>http://www.linkedin.com/in/richard-williams-404880283</t>
  </si>
  <si>
    <t>http://www.wildandthemoon.fr</t>
  </si>
  <si>
    <t xml:space="preserve">Wild&amp;TheMoon - Choose your shop</t>
  </si>
  <si>
    <t>Vitorio</t>
  </si>
  <si>
    <t xml:space="preserve">Assistant CEO</t>
  </si>
  <si>
    <t>hugo@tigermilkgroup.com</t>
  </si>
  <si>
    <t>http://www.linkedin.com/in/hugo-vitorio-27a68b19b</t>
  </si>
  <si>
    <t>Besnard</t>
  </si>
  <si>
    <t xml:space="preserve">Directeur de production</t>
  </si>
  <si>
    <t>yannick.besnard@riembecker.fr</t>
  </si>
  <si>
    <t>http://www.linkedin.com/in/yannick-besnard-5001b2157</t>
  </si>
  <si>
    <t>http://www.grouperiembecker.com</t>
  </si>
  <si>
    <t>http://www.yanncouvreur.com</t>
  </si>
  <si>
    <t>http://www.foud.com</t>
  </si>
  <si>
    <t>http://www.bagelstein.com</t>
  </si>
  <si>
    <t>http://www.groupebourdoncle.com</t>
  </si>
  <si>
    <t>http://www.spontinimilano.com</t>
  </si>
  <si>
    <t>Jeanne</t>
  </si>
  <si>
    <t>Lapotre</t>
  </si>
  <si>
    <t xml:space="preserve">Bras Droit CEO</t>
  </si>
  <si>
    <t>jeanne.lapotre@streetbangkok.fr</t>
  </si>
  <si>
    <t>http://www.linkedin.com/in/jeanne-lapotre</t>
  </si>
  <si>
    <t>Stoss</t>
  </si>
  <si>
    <t>jeremy.stoss@foodomarket.com</t>
  </si>
  <si>
    <t>http://www.linkedin.com/in/jeremy-stoss-8356081b</t>
  </si>
  <si>
    <t>http://www.spectr-group.fr</t>
  </si>
  <si>
    <t>Mark</t>
  </si>
  <si>
    <t>Brownell</t>
  </si>
  <si>
    <t xml:space="preserve">Founder and Partner</t>
  </si>
  <si>
    <t xml:space="preserve">Eat Me Restaurant &amp; Cocktail Lounge</t>
  </si>
  <si>
    <t>mark@eat-me.ch</t>
  </si>
  <si>
    <t>http://www.linkedin.com/in/mark-brownell</t>
  </si>
  <si>
    <t>http://www.eat-me.ch</t>
  </si>
  <si>
    <t xml:space="preserve">3 Rue Pepinet, Lausanne, Vaud, Switzerland, 1003</t>
  </si>
  <si>
    <t>http://www.ephemera-group.com</t>
  </si>
  <si>
    <t xml:space="preserve">Bousculez vos sorties au restau et profitez d’une expérience en immersion totale ! Venir chez nous, c’est la promesse de vivre un moment hors du temps !</t>
  </si>
  <si>
    <t>Millier</t>
  </si>
  <si>
    <t xml:space="preserve">MUSIAM Paris</t>
  </si>
  <si>
    <t>sebastien.millier@musiam-paris.com</t>
  </si>
  <si>
    <t>http://www.linkedin.com/in/sebastien-millier-2123a3a9</t>
  </si>
  <si>
    <t>http://www.musiam-paris.com</t>
  </si>
  <si>
    <t xml:space="preserve">1 Rue du Passeur de Boulogne, Issy-les-Moulineaux, Ile-de-France, France, 92130</t>
  </si>
  <si>
    <t>Buchsenschutz</t>
  </si>
  <si>
    <t xml:space="preserve">CEO Agapes Restauration</t>
  </si>
  <si>
    <t xml:space="preserve">Agapes Restauration</t>
  </si>
  <si>
    <t>marion.menet@agapes.fr</t>
  </si>
  <si>
    <t>http://www.linkedin.com/in/marion-menet-buchsenschutz-19820b67</t>
  </si>
  <si>
    <t>http://www.agapes.fr</t>
  </si>
  <si>
    <t xml:space="preserve">46 Rue des Fusilles, Villeneuve-d'Ascq, Hauts-de-France, France, 59650</t>
  </si>
  <si>
    <t>Fehr</t>
  </si>
  <si>
    <t xml:space="preserve">VITO Schweiz AG</t>
  </si>
  <si>
    <t>anja@vito.ch</t>
  </si>
  <si>
    <t>http://www.linkedin.com/in/anja-fehr-5844a277</t>
  </si>
  <si>
    <t>http://www.vito.ch</t>
  </si>
  <si>
    <t xml:space="preserve">8 Wallstrasse, Basel, Basel-Stadt, Switzerland, 4051</t>
  </si>
  <si>
    <t>description</t>
  </si>
  <si>
    <t>Illya</t>
  </si>
  <si>
    <t>Abegg</t>
  </si>
  <si>
    <t>Powermeals</t>
  </si>
  <si>
    <t>illya@powermeals.ch</t>
  </si>
  <si>
    <t>http://www.linkedin.com/in/illya-abegg-46a90534</t>
  </si>
  <si>
    <t>http://www.powermeals.ch</t>
  </si>
  <si>
    <t xml:space="preserve">Tasty, healthy meal delivery in Switzerland, delivered directly to your door. Choose from our weekly menu inspired by world cuisine.</t>
  </si>
  <si>
    <t>Acland</t>
  </si>
  <si>
    <t>isabel@powermeals.ch</t>
  </si>
  <si>
    <t>http://www.linkedin.com/in/isabel-acland-13537b12a</t>
  </si>
  <si>
    <t>full_name</t>
  </si>
  <si>
    <t>first_name</t>
  </si>
  <si>
    <t>last_name</t>
  </si>
  <si>
    <t>email</t>
  </si>
  <si>
    <t>job_title</t>
  </si>
  <si>
    <t>company</t>
  </si>
  <si>
    <t xml:space="preserve">company name</t>
  </si>
  <si>
    <t>company_website</t>
  </si>
  <si>
    <t>city</t>
  </si>
  <si>
    <t>state</t>
  </si>
  <si>
    <t>country</t>
  </si>
  <si>
    <t>industry</t>
  </si>
  <si>
    <t>keywords</t>
  </si>
  <si>
    <t>employees</t>
  </si>
  <si>
    <t>company_city</t>
  </si>
  <si>
    <t>company_state</t>
  </si>
  <si>
    <t>company_country</t>
  </si>
  <si>
    <t>company_linkedin_url</t>
  </si>
  <si>
    <t>company_twitter_url</t>
  </si>
  <si>
    <t>company_facebook_url</t>
  </si>
  <si>
    <t>twitter_url</t>
  </si>
  <si>
    <t>facebook_url</t>
  </si>
  <si>
    <t>company_about</t>
  </si>
  <si>
    <t>linkedin_url</t>
  </si>
  <si>
    <t xml:space="preserve">Arnauld Champremier-Trigano</t>
  </si>
  <si>
    <t>Champremier-Trigano</t>
  </si>
  <si>
    <t>a.champremier-trigano@agence-jaam.fr</t>
  </si>
  <si>
    <t xml:space="preserve">Agence JAAM</t>
  </si>
  <si>
    <t>agence-jaam.fr</t>
  </si>
  <si>
    <t>Ile-de-France</t>
  </si>
  <si>
    <t xml:space="preserve">marketing &amp; advertising</t>
  </si>
  <si>
    <t>strategie,communication,web,conseil</t>
  </si>
  <si>
    <t>http://www.linkedin.com/company/agence-jaam</t>
  </si>
  <si>
    <t>https://twitter.com/agencejaam</t>
  </si>
  <si>
    <t xml:space="preserve">JAAM, l’agence de communication qui accompagne celles et ceux qui changent le monde.</t>
  </si>
  <si>
    <t>http://www.linkedin.com/in/arnauld-champremier-trigano-2167a567</t>
  </si>
  <si>
    <t xml:space="preserve">Alain Coissard</t>
  </si>
  <si>
    <t>Coissard</t>
  </si>
  <si>
    <t>a.coissard@aldene.fr</t>
  </si>
  <si>
    <t xml:space="preserve">Technic Bureau SA</t>
  </si>
  <si>
    <t>aldene.fr</t>
  </si>
  <si>
    <t>Rhone-Alpes</t>
  </si>
  <si>
    <t xml:space="preserve">ged,visioconference,systeme dimpression,ingenierie reseau,audit,equipement technologique,travail collaboratif,dematerialisation,formation,systeme dinformation,solutions informatiques,conseil,mobilier de bureau,cloud,espaces de travail,transition numerique,affichage dynamique,infrastructure informatique,solutions dimpression,agencement de bureau</t>
  </si>
  <si>
    <t>Sallanches</t>
  </si>
  <si>
    <t>http://www.linkedin.com/company/aldene-sa</t>
  </si>
  <si>
    <t xml:space="preserve">Aldene aménage et équipe vos espaces de travail : informatique, bureautique, solutions digitales, réseau &amp; télécom, impression, GED.</t>
  </si>
  <si>
    <t>http://www.linkedin.com/in/alain-coissard</t>
  </si>
  <si>
    <t xml:space="preserve">Aniss Ghouali</t>
  </si>
  <si>
    <t>Aniss</t>
  </si>
  <si>
    <t>Ghouali</t>
  </si>
  <si>
    <t>a.ghouali@open6.fr</t>
  </si>
  <si>
    <t>Open6</t>
  </si>
  <si>
    <t>open6.fr</t>
  </si>
  <si>
    <t>telecommunications</t>
  </si>
  <si>
    <t xml:space="preserve">telephonie dentreprise,installation standard telephonique,location standard telephonique,reseau informatique,alarmes et videosurveillance,solutions dimpression,informatique</t>
  </si>
  <si>
    <t>http://www.linkedin.com/company/opensys-telecom</t>
  </si>
  <si>
    <t xml:space="preserve">Le partenaire numérique des entreprises. Notre défis, prendre en compte les enjeux du moment pour répondre efficacement à vos besoins et engagements sociaux.</t>
  </si>
  <si>
    <t>http://www.linkedin.com/in/aniss-ghouali-9a0443a2</t>
  </si>
  <si>
    <t xml:space="preserve">Aurelien Girard</t>
  </si>
  <si>
    <t>a.girard@infinityco.fr</t>
  </si>
  <si>
    <t xml:space="preserve">Infinity Automation</t>
  </si>
  <si>
    <t>infinityco.fr</t>
  </si>
  <si>
    <t>Auvergne-Rhone-Alpes</t>
  </si>
  <si>
    <t xml:space="preserve">automatisation,transformation numerique,digital,rpa,intelligence artificielle,robotic process automation,processus</t>
  </si>
  <si>
    <t>Rueil-Malmaison</t>
  </si>
  <si>
    <t>http://www.linkedin.com/company/infinitycofr</t>
  </si>
  <si>
    <t xml:space="preserve">Découvrez Infinity, partenaire-conseil spécialisé en RPA qui vous aide à faire face aux enjeux numériques grâce à l’automatisation de processus.</t>
  </si>
  <si>
    <t>http://www.linkedin.com/in/aur%c3%a9lien-girard-b220b2176</t>
  </si>
  <si>
    <t xml:space="preserve">Annick Hercend</t>
  </si>
  <si>
    <t>Annick</t>
  </si>
  <si>
    <t>Hercend</t>
  </si>
  <si>
    <t>a.hercend@umanngroup.com</t>
  </si>
  <si>
    <t>UMANN</t>
  </si>
  <si>
    <t>umanngroup.com</t>
  </si>
  <si>
    <t xml:space="preserve">public information systems,consulting,systeme dinformation,conseil</t>
  </si>
  <si>
    <t>http://www.linkedin.com/company/umann</t>
  </si>
  <si>
    <t xml:space="preserve">Accueil du site...</t>
  </si>
  <si>
    <t>http://www.linkedin.com/in/annickhercend</t>
  </si>
  <si>
    <t xml:space="preserve">Anne-Sophie Huard</t>
  </si>
  <si>
    <t>Anne-Sophie</t>
  </si>
  <si>
    <t>Huard</t>
  </si>
  <si>
    <t>a.huard@placetob.fr</t>
  </si>
  <si>
    <t xml:space="preserve">Place to B</t>
  </si>
  <si>
    <t>placetob.fr</t>
  </si>
  <si>
    <t xml:space="preserve">Grand Est</t>
  </si>
  <si>
    <t>http://www.linkedin.com/company/place-to-b-p2b</t>
  </si>
  <si>
    <t>https://www.facebook.com/placetobfrance</t>
  </si>
  <si>
    <t xml:space="preserve">Place to B est le premier réseau pour commerciaux B2B indépendants, offrant liberté, rémunération attractive, formations, et soutien pour réussir en tant qu'entrepreneur. Rejoignez-nous pour une carrière sans limites.</t>
  </si>
  <si>
    <t>http://www.linkedin.com/in/anne-sophie-huard</t>
  </si>
  <si>
    <t xml:space="preserve">Audrey Jeanne</t>
  </si>
  <si>
    <t>a.jeanne@juliencorp.fr</t>
  </si>
  <si>
    <t xml:space="preserve">Directrice du Développement et Secrétaire Générale</t>
  </si>
  <si>
    <t xml:space="preserve">JULIEN Corporate</t>
  </si>
  <si>
    <t>juliencorp.fr</t>
  </si>
  <si>
    <t>Cherbourg-en-Cotentin</t>
  </si>
  <si>
    <t>Normandy</t>
  </si>
  <si>
    <t>Brittany</t>
  </si>
  <si>
    <t>http://www.linkedin.com/company/julien-corporate</t>
  </si>
  <si>
    <t xml:space="preserve">Julien Corporate, le groupe multi enseignes dans la grande distribution et le commerce de détail en Normandie, Île de France et Bretagne.</t>
  </si>
  <si>
    <t>http://www.linkedin.com/in/audrey-jeanne</t>
  </si>
  <si>
    <t xml:space="preserve">Andre Mercier</t>
  </si>
  <si>
    <t>Mercier</t>
  </si>
  <si>
    <t>a.mercier@bcm.fr</t>
  </si>
  <si>
    <t xml:space="preserve">Président de la société BCM</t>
  </si>
  <si>
    <t>BCM</t>
  </si>
  <si>
    <t>bcm.fr</t>
  </si>
  <si>
    <t>Clermont-Ferrand</t>
  </si>
  <si>
    <t>Auvergne</t>
  </si>
  <si>
    <t>construction</t>
  </si>
  <si>
    <t xml:space="preserve">locaux sociaux,cabinet medecin,batiment modulaire,cabane de chantier,laboratoire,salle de classe,batiment prefabrique,locaux commerciaux,bungalow,sanitaire,locaux techniques,ecole prefabriquee,containers,kiosque,vestiaire</t>
  </si>
  <si>
    <t>Issoire</t>
  </si>
  <si>
    <t>http://www.linkedin.com/company/bcm-b%c3%a2timents-constructions-modulaires-</t>
  </si>
  <si>
    <t xml:space="preserve">Bureaux, cabanes de chantier, salles de classe, locaux techniques ou commerciaux… Découvrez la construction modulaire par l'entreprise de modulaire BCM.</t>
  </si>
  <si>
    <t>http://www.linkedin.com/in/andr%c3%a9-mercier%f0%9f%8f%83%e2%80%8d%e2%99%82%ef%b8%8f-8ab635163</t>
  </si>
  <si>
    <t xml:space="preserve">Andre Naccache</t>
  </si>
  <si>
    <t>Naccache</t>
  </si>
  <si>
    <t>a.naccache@asystom.com</t>
  </si>
  <si>
    <t xml:space="preserve">Managing Director - Directeur Général</t>
  </si>
  <si>
    <t>ASYSTOM</t>
  </si>
  <si>
    <t>asystom.com</t>
  </si>
  <si>
    <t xml:space="preserve">Provence-Alpes-Cote d'Azur</t>
  </si>
  <si>
    <t xml:space="preserve">monitoring,maintenance,predictive maintenance,edge computing,iot,machine learning,pdm,digitalization,embedded intelligence,iot connectivity,anomaly detection,real time monitoring,smart monitoring on industrial engines,multi sensor</t>
  </si>
  <si>
    <t>Castelnaudary</t>
  </si>
  <si>
    <t>Languedoc-Roussillon-Midi-Pyrenees</t>
  </si>
  <si>
    <t>http://www.linkedin.com/company/asystom</t>
  </si>
  <si>
    <t>https://twitter.com/asystom</t>
  </si>
  <si>
    <t xml:space="preserve">All about Asystom: Stay informed about Industry 4.0 news, our new solutions and other news. Follow our latest articles!</t>
  </si>
  <si>
    <t>http://www.linkedin.com/in/andr%c3%a9-naccache-5745161</t>
  </si>
  <si>
    <t xml:space="preserve">Antoine Neaumet</t>
  </si>
  <si>
    <t>Neaumet</t>
  </si>
  <si>
    <t>a.neaumet@goron-assi.fr</t>
  </si>
  <si>
    <t>Goron-ASSI</t>
  </si>
  <si>
    <t>goron-assi.fr</t>
  </si>
  <si>
    <t xml:space="preserve">computer &amp; network security</t>
  </si>
  <si>
    <t xml:space="preserve">maintenance,telemaintenance,telesurveillance,securite electronique,etude,intervention,audit de securite,integration</t>
  </si>
  <si>
    <t>Belbeuf</t>
  </si>
  <si>
    <t xml:space="preserve">Upper Normandy</t>
  </si>
  <si>
    <t>http://www.linkedin.com/company/goron-assi</t>
  </si>
  <si>
    <t xml:space="preserve">Goron ASSI</t>
  </si>
  <si>
    <t>http://www.linkedin.com/in/antoine-neaumet-91ab6264</t>
  </si>
  <si>
    <t xml:space="preserve">Amandine Plets</t>
  </si>
  <si>
    <t>Amandine</t>
  </si>
  <si>
    <t>Plets</t>
  </si>
  <si>
    <t>a.plets@ubik-ingenierie.com</t>
  </si>
  <si>
    <t xml:space="preserve">Dirigeante d'entreprise</t>
  </si>
  <si>
    <t xml:space="preserve">UBIK Ingénierie</t>
  </si>
  <si>
    <t>ubik-ingenierie.com</t>
  </si>
  <si>
    <t>Nord-Pas-de-Calais</t>
  </si>
  <si>
    <t xml:space="preserve">spring boot,performance applicative,agile,load test,gke,technologies objet,automatisation,paiement,tests de performance,conseil en architecture,mobilite,ecommerce,tnr,open source,fidelite,jmeter,developpement,machine learning,retail,tests de charge,no sql,rpa,tuning,azure,java ee,conception,devops,tomcat,web,cloud aws,specifications,android,cloud,performance</t>
  </si>
  <si>
    <t>Roubaix</t>
  </si>
  <si>
    <t>Hauts-de-France</t>
  </si>
  <si>
    <t>http://www.linkedin.com/company/ubik-ingenierie</t>
  </si>
  <si>
    <t>https://twitter.com/ubikingenierie</t>
  </si>
  <si>
    <t xml:space="preserve">https://www.facebook.com/UBIK-INGENIERIE-1935243470055721/ </t>
  </si>
  <si>
    <t xml:space="preserve">Created in 2005, Ubik Ingénierie is a French human-sized digital services company specializing in standard web technologies. 
UBIK Ingénierie has a strong competence in Object environments (Java, PHP, Objective C, FLEX).
The UBIK team proposes among other things: 
🔷 Consulting in architecture before projects start.
🔷 Design and implementation of software solutions and components.
🔷 Third-party Application Maintenance.
🔷 Consulting in application performance 🕵 (Audit, load tests, stabilization and optimization,...) 
🔷 Technical training.
🔷 Change management.
🔷 Agile methodology</t>
  </si>
  <si>
    <t>http://www.linkedin.com/in/amandine-plets-02996b11</t>
  </si>
  <si>
    <t xml:space="preserve">Ayoub Rabeh</t>
  </si>
  <si>
    <t>Ayoub</t>
  </si>
  <si>
    <t>Rabeh</t>
  </si>
  <si>
    <t>a.rabeh@cynoia.com</t>
  </si>
  <si>
    <t xml:space="preserve">Chief Product Officer &amp; Co-founder</t>
  </si>
  <si>
    <t>Cynoia</t>
  </si>
  <si>
    <t>cynoia.com</t>
  </si>
  <si>
    <t xml:space="preserve">saas,b2b solutions,unified communications,workflow management,business process automation,team collaboration,project management,task management,document management,productivity tools,remote work solutions,integration services,customer support,digital transformation,data security &amp; privacy,scalable solutions</t>
  </si>
  <si>
    <t>http://www.linkedin.com/company/cynoia</t>
  </si>
  <si>
    <t>https://twitter.com/cynoia</t>
  </si>
  <si>
    <t>https://www.facebook.com/cynoia</t>
  </si>
  <si>
    <t xml:space="preserve">One platform for all your team's needs: projects, chat, video calls, notes &amp; calendar. Made in Africa for seamless team collaboration. Start free with 10 users.</t>
  </si>
  <si>
    <t>http://www.linkedin.com/in/ayoub-rabeh</t>
  </si>
  <si>
    <t xml:space="preserve">Abderraouf Remili</t>
  </si>
  <si>
    <t>Abderraouf</t>
  </si>
  <si>
    <t>Remili</t>
  </si>
  <si>
    <t>a.remili@digimium.fr</t>
  </si>
  <si>
    <t xml:space="preserve">Founder. Unified and Cloud Communications</t>
  </si>
  <si>
    <t>digimium</t>
  </si>
  <si>
    <t>digimium.com</t>
  </si>
  <si>
    <t xml:space="preserve">prestation de service it,webex webinar,reseaux lan et wifi dentreprise,webex calling,operateur fixe,reseaux lan et wifi d39entreprise,mobile et internet,communication unifiee,teams phone,aircall,office 365</t>
  </si>
  <si>
    <t>http://www.linkedin.com/company/digimium</t>
  </si>
  <si>
    <t xml:space="preserve">Opérateur VoIP Cisco Webex 1 en France. +20 ans d'expertise. Fournisseur Télécom avec le service d'une société de consulting.</t>
  </si>
  <si>
    <t>http://www.linkedin.com/in/abderraouf-remili-65319632</t>
  </si>
  <si>
    <t xml:space="preserve">Antoine Stamati</t>
  </si>
  <si>
    <t>Stamati</t>
  </si>
  <si>
    <t>a.stamati@poweriti.com</t>
  </si>
  <si>
    <t xml:space="preserve">POWER iti</t>
  </si>
  <si>
    <t>poweriti.com</t>
  </si>
  <si>
    <t xml:space="preserve">cybersecurite,informatique,infogerance,maintenance informatique,cloud computing,services manages,solutions reseau,securite des donnees,sauvegarde cloud,gestion des infrastructures it,location de materiel informatique,assistance informatique,systemes dinformation,hebergement securise,solutions de telephonie,telephonie ip</t>
  </si>
  <si>
    <t>Sorgues</t>
  </si>
  <si>
    <t>http://www.linkedin.com/company/power-iti</t>
  </si>
  <si>
    <t>https://www.facebook.com/POWERitiAvignon/</t>
  </si>
  <si>
    <t xml:space="preserve">Votre MSP de confiance pour une gestion IT sans souci. Services d'infogérance, sécurité et cloud adaptés à vos besoins d'entreprise.</t>
  </si>
  <si>
    <t>http://www.linkedin.com/in/antoine-stamati-b8274740</t>
  </si>
  <si>
    <t xml:space="preserve">Arnault Thouret</t>
  </si>
  <si>
    <t>Arnault</t>
  </si>
  <si>
    <t>Thouret</t>
  </si>
  <si>
    <t>a.thouret@healabs.fr</t>
  </si>
  <si>
    <t xml:space="preserve">Président Healabs</t>
  </si>
  <si>
    <t>Healabs</t>
  </si>
  <si>
    <t>healabs.fr</t>
  </si>
  <si>
    <t xml:space="preserve">esante,telesuivi,logiciel,telesurveillance medicale,parcours de soin</t>
  </si>
  <si>
    <t>Beaumont-les-Valence</t>
  </si>
  <si>
    <t>http://www.linkedin.com/company/healabs</t>
  </si>
  <si>
    <t xml:space="preserve">La télésurveillance médicale multi-pathologies pour optimiser les pratiques et améliorer le suivi thérapeutique, grâce à la solution ApTeleCare de HEALABS</t>
  </si>
  <si>
    <t>http://www.linkedin.com/in/arnaultthouret</t>
  </si>
  <si>
    <t xml:space="preserve">Alain Vanzella</t>
  </si>
  <si>
    <t>Vanzella</t>
  </si>
  <si>
    <t>a.vanzella@pharma-soft.fr</t>
  </si>
  <si>
    <t xml:space="preserve">Cofondateur et président</t>
  </si>
  <si>
    <t>Pharmasoft</t>
  </si>
  <si>
    <t>pharma-soft.fr</t>
  </si>
  <si>
    <t>Lorraine</t>
  </si>
  <si>
    <t>erp,pharmacie,digitalisation,sante,odoo</t>
  </si>
  <si>
    <t>http://www.linkedin.com/company/pharmasoft-sas</t>
  </si>
  <si>
    <t xml:space="preserve">Le premier système de gestion de files d'attente dédié à la pharmacie. Un système conçu par des pharmaciens pour les pharmaciens.</t>
  </si>
  <si>
    <t>http://www.linkedin.com/in/alain-vanzella-7178aba0</t>
  </si>
  <si>
    <t xml:space="preserve">Arnaud Blanchard</t>
  </si>
  <si>
    <t>Blanchard</t>
  </si>
  <si>
    <t>ablanchard@polypus.network</t>
  </si>
  <si>
    <t>Polypus</t>
  </si>
  <si>
    <t>polypus.network</t>
  </si>
  <si>
    <t xml:space="preserve">Pays de la Loire</t>
  </si>
  <si>
    <t xml:space="preserve">marketing strategique,digital,bigdata,developpement commercial,business model,recrutement de talents,virtual machine,business intelligence,conseil strategique,structuration business,business plan,plateforme digitale securisee,iot,marketing relationnel,gestion de grands comptes,dirigeants,innovation,acceleration</t>
  </si>
  <si>
    <t>http://www.linkedin.com/company/polypus</t>
  </si>
  <si>
    <t xml:space="preserve">Plongez dans l'univers de Polypus !
Que vous soyez dirigeant d'une petite ou grande entreprise, en quête d'accélération ou transformation de vos activités, Polypus se tient à vos côtés. Nous proposons un accompagnement personnalisé et une expertise approfondie dans des domaines clés au développement.
Propulsez votre entreprise vers de nouveaux sommets !
Nous proposons un accompagnement global, allant de la stratégie à la mise en œuvre, afin de résoudre les défis auxquels sont confrontés les dirigeants. 
Notre approche se distingue par son caractère novateur et pragmatique, s'éloignant des méthodes traditionnelles de conseil.
Demandez votre diagnostic accélération pour découvrir notre méthode.</t>
  </si>
  <si>
    <t>http://www.linkedin.com/in/arnaud-blanchard-</t>
  </si>
  <si>
    <t xml:space="preserve">Alexandra Briand</t>
  </si>
  <si>
    <t>Briand</t>
  </si>
  <si>
    <t>abriand@agencenova.com</t>
  </si>
  <si>
    <t xml:space="preserve">Fondatrice  Directeur Conseil</t>
  </si>
  <si>
    <t>Nova</t>
  </si>
  <si>
    <t>agencenova.com</t>
  </si>
  <si>
    <t xml:space="preserve">campagnes google adwords,outils daide a la vente,strategie marketing,sites internet &amp; cross media,cross media,developpement commercial,strategie commerciale,content marketing,reseaux sociaux,sites internet,referencement,operations commercialess,google analytics,outils d39aide a la vente,digital</t>
  </si>
  <si>
    <t>http://www.linkedin.com/company/agence-nova</t>
  </si>
  <si>
    <t>https://twitter.com/agencedecomnova</t>
  </si>
  <si>
    <t>https://facebook.com/agencedecomnova</t>
  </si>
  <si>
    <t xml:space="preserve">Accélérez votre développement commercial. Nous mettons en place les leviers nécessaires pour développer les ventes en BtoB. Contactez nos experts.</t>
  </si>
  <si>
    <t>http://www.linkedin.com/in/abriand</t>
  </si>
  <si>
    <t xml:space="preserve">Antonio Campagna</t>
  </si>
  <si>
    <t>Campagna</t>
  </si>
  <si>
    <t>acampagna@ampc73.fr</t>
  </si>
  <si>
    <t>AMPC</t>
  </si>
  <si>
    <t>ampc73.fr</t>
  </si>
  <si>
    <t>Challes-les-Eaux</t>
  </si>
  <si>
    <t>http://www.linkedin.com/company/ampc73</t>
  </si>
  <si>
    <t xml:space="preserve">Assistance et Maîtrise des Projets de Construction - Confiez votre projet de construction à notre équipe d'experts en économie de la construction et maîtrise d'œuvre d'EXE-OPC pour une réalisation réussie.</t>
  </si>
  <si>
    <t>http://www.linkedin.com/in/antonio-campagna-1a287b143</t>
  </si>
  <si>
    <t xml:space="preserve">Ange-Deniel Carmel</t>
  </si>
  <si>
    <t>Ange-Deniel</t>
  </si>
  <si>
    <t>Carmel</t>
  </si>
  <si>
    <t>acarmel@ideaenvironnement.com</t>
  </si>
  <si>
    <t xml:space="preserve">IDEA ENVIRONNEMENT</t>
  </si>
  <si>
    <t>ideaenvironnement.com</t>
  </si>
  <si>
    <t>Epone</t>
  </si>
  <si>
    <t>http://www.linkedin.com/company/idea-environnement</t>
  </si>
  <si>
    <t xml:space="preserve">Idea Environnement vous accompagne dans vos projets de Dépollution/Déconstruction Avant Démolition ou Réhabilitation. Entreprise certifiée QUALIBAT 1552 pour le retrait de l'amiante, elle vous promet des prestations de qualités à juste prix pour du Désamiantage, Déplombage, Curage et de la Démolition.</t>
  </si>
  <si>
    <t>http://www.linkedin.com/in/ange-deniel-carmel-aa06b68a</t>
  </si>
  <si>
    <t xml:space="preserve">Antoine Coubray</t>
  </si>
  <si>
    <t>Coubray</t>
  </si>
  <si>
    <t>acoubray@custup.com</t>
  </si>
  <si>
    <t xml:space="preserve">Fondateur - Directeur du développement</t>
  </si>
  <si>
    <t>CustUp</t>
  </si>
  <si>
    <t>custup.com</t>
  </si>
  <si>
    <t xml:space="preserve">crm,centre de contacts,abonnement,marketing client,relation client,parcours client,gdpr,rgpd,dmp,donnees client,service client,automated marketing,formation relation client,plan relationnel,rcu,cdp,marketing automation,marketing,marketing operationnel,amoa,amoe,consultant,conseil,agence,cabinet conseil,cx,cmj,grc,prm,fidelisation,programme fidelite</t>
  </si>
  <si>
    <t>http://www.linkedin.com/company/custup</t>
  </si>
  <si>
    <t>https://www.facebook.com/custupCRM</t>
  </si>
  <si>
    <t xml:space="preserve">CustUp est un cabinet conseil opérationnel en Relation Clients via le CRM, les RCU - CDP, le Centre de Contacts et l'Abonnement. En exploitant la Donnée Clients, nos consultants mixent pratique du marketing clients et des outils technologiques.</t>
  </si>
  <si>
    <t>http://www.linkedin.com/in/antoinecoubray</t>
  </si>
  <si>
    <t xml:space="preserve">Aniss Dahmane</t>
  </si>
  <si>
    <t>Dahmane</t>
  </si>
  <si>
    <t>adahmane@dhm-tech.fr</t>
  </si>
  <si>
    <t xml:space="preserve">DHM TECH</t>
  </si>
  <si>
    <t>dhm-tech.fr</t>
  </si>
  <si>
    <t>Neuilly-sur-Marne</t>
  </si>
  <si>
    <t>Montrouge</t>
  </si>
  <si>
    <t>http://www.linkedin.com/company/dhm-tech</t>
  </si>
  <si>
    <t xml:space="preserve">Notre Mission :
Fondée en 2020, DHM TECH est bien plus qu'une entreprise de services informatiques. Notre mission est d'aller au-delà des attentes conventionnelles. Nous sommes votre partenaire idéal pour une assistance technique sur mesure, dédiée à l'amélioration et à l'optimisation du support informatique au sein de votre organisation. Nous croyons que la clé de la réussite réside dans la formation et le développement de carrières des talents dans le domaine de l'IT.
Notre Approche :
Chez DHM TECH, notre approche est centrée sur la création et le développement de carrières. Nous nous engageons à créer et à booster des carrières en proposant des talents formés aux besoins spécifiques des entreprises. Nous comprenons que chaque entreprise est unique, c'est pourquoi nous ciblons et étudions les besoins de nos clients, mettons en place des sessions de formation adaptées, et identifions les talents correspondant.
Nos Valeurs :
Nos valeurs fondamentales - la réussite par le travail, l'entraide, et la liberté de choisir - guident toutes nos actions, elles sont le reflet de l'entreprise. Nous croyons en la force de ces valeurs pour créer un environnement où l'apprentissage, la croissance, et la réussite sont à la portée de tous.
Notre Impact :
Depuis notre création, nous avons intégré plus de 90 talents dans l'équipe DHM Tech, proposé plus de 300 missions, et travaillé avec plus de 20 entreprises de renom, dont des grands groupes tels que L'Oréal. Notre impact est mesurable en termes de chiffres, et en termes de carrières transformées et d'entreprises renforcées. Nous sommes fiers de notre capacité à créer des opportunités et à contribuer à la croissance de nos partenaires.
Notre Engagement :
Chez DHM Tech, nous nous engageons à bien plus qu'une approche commerciale. Nous nous engageons également à promouvoir une approche sociale et inclusive. Nous croyons que l'informatique est un domaine où chacun peut réussir, qu'importe son parcours professionnel.</t>
  </si>
  <si>
    <t>http://www.linkedin.com/in/aniss-dahmane-6936abb2</t>
  </si>
  <si>
    <t xml:space="preserve">Antoine Bellescize</t>
  </si>
  <si>
    <t>Bellescize</t>
  </si>
  <si>
    <t>adebellescize@bredhill.com</t>
  </si>
  <si>
    <t xml:space="preserve">Associé Fondateur</t>
  </si>
  <si>
    <t xml:space="preserve">Bredhill Consulting</t>
  </si>
  <si>
    <t>bredhill.com</t>
  </si>
  <si>
    <t xml:space="preserve">business model evolution,complex transformation project management,finance transformation,business operations &amp; process optimisation,backoffice industrialisation,addedvalue alternative sourcing,digital strategy &amp; transformation,performance management</t>
  </si>
  <si>
    <t>http://www.linkedin.com/company/bredhill-consulting</t>
  </si>
  <si>
    <t xml:space="preserve">Bredhill Consulting est un cabinet de conseil de référence de la Transformation Responsable dans les secteurs de la Banque et de l'Assurance.</t>
  </si>
  <si>
    <t>http://www.linkedin.com/in/antoine-de-bellescize-3407493</t>
  </si>
  <si>
    <t xml:space="preserve">Adrien Caro</t>
  </si>
  <si>
    <t>Caro</t>
  </si>
  <si>
    <t>adrien.caro@rihet.com</t>
  </si>
  <si>
    <t xml:space="preserve">SAS Rihet</t>
  </si>
  <si>
    <t>rihet.com</t>
  </si>
  <si>
    <t xml:space="preserve">entretien et depannage,energies renouvelables,salle de bain,domotique,renovation energetique,chauffage,plomberie,electricite,ventilation</t>
  </si>
  <si>
    <t>Bourg-des-Comptes</t>
  </si>
  <si>
    <t>http://www.linkedin.com/company/sas-rihet</t>
  </si>
  <si>
    <t>https://www.facebook.com/sasrihet/</t>
  </si>
  <si>
    <t xml:space="preserve">Vos projets sont les nôtres ! Electricien, Plombier, Chauffagiste, Frigoriste à votre service pour vos travaux en neuf et rénovation</t>
  </si>
  <si>
    <t>http://www.linkedin.com/in/adriencaro</t>
  </si>
  <si>
    <t xml:space="preserve">Adrien Cruchon</t>
  </si>
  <si>
    <t>Cruchon</t>
  </si>
  <si>
    <t>adrien.cruchon@shodo.io</t>
  </si>
  <si>
    <t xml:space="preserve">Cofondateur @Shodo Nantes</t>
  </si>
  <si>
    <t xml:space="preserve">Shodo Nantes</t>
  </si>
  <si>
    <t>http://www.linkedin.com/company/shodo-nantes</t>
  </si>
  <si>
    <t xml:space="preserve">Transparence, confiance et redistribution des richesses. 
Ce sont sur ces piliers-là que Shodo a fondé son modèle d'entreprise de service du numérique, en 2019 à Paris. 
Avec sa grille de salaire transparente et publique, ainsi que ses marges fixes et toutes aussi transparentes, Shodo souhaite redonner du sens au salariat, tout en garantissant à nos clients des prestations de qualité. 
Tous les membres de Shodo sont des développeuses et développeurs convaincu.e.s par les principes du software craftmanship et aggueri.e.s aux bonnes pratiques de développement.
Nous souhaitons changer les règles du jeu. C'est pourquoi Shodo se lance à présent à Nantes, afin d'étendre notre modèle que nous estimons juste et équilibré. 
Vous avez le choix de faire le bon choix. Une autre voie est possible</t>
  </si>
  <si>
    <t>http://www.linkedin.com/in/adriencruchon</t>
  </si>
  <si>
    <t xml:space="preserve">Adrien Carretta</t>
  </si>
  <si>
    <t>Carretta</t>
  </si>
  <si>
    <t>adrien@carretta.fr</t>
  </si>
  <si>
    <t xml:space="preserve">Carretta | Bâtiment &amp; génie civil</t>
  </si>
  <si>
    <t>carretta.fr</t>
  </si>
  <si>
    <t>Saint-Ferreol</t>
  </si>
  <si>
    <t>http://www.linkedin.com/company/carrettabatiment</t>
  </si>
  <si>
    <t xml:space="preserve">Forte de 40 ans d’expériences dans le secteur du bâtiment et des travaux publics, l’entreprise Carretta a su devenir un acteur de référence en Savoie et Haute-Savoie.</t>
  </si>
  <si>
    <t>http://www.linkedin.com/in/adrien-carretta-7896801b9</t>
  </si>
  <si>
    <t xml:space="preserve">Arnaud Dumas</t>
  </si>
  <si>
    <t>adumas@opstim.fr</t>
  </si>
  <si>
    <t>Opstim</t>
  </si>
  <si>
    <t>opstim.fr</t>
  </si>
  <si>
    <t xml:space="preserve">devops,agile,cloud computing,sre,digital,developpement,operations,devsecops</t>
  </si>
  <si>
    <t>http://www.linkedin.com/company/opstim-france</t>
  </si>
  <si>
    <t xml:space="preserve">Opstim est une société de consulting spécialisée dans le pilotage de projets en culture DevOps</t>
  </si>
  <si>
    <t>http://www.linkedin.com/in/arnaud-dumas-3321b9a7</t>
  </si>
  <si>
    <t xml:space="preserve">Alain Tissedre</t>
  </si>
  <si>
    <t>Tissedre</t>
  </si>
  <si>
    <t>alain@attitude-si.com</t>
  </si>
  <si>
    <t xml:space="preserve">Dirigeant d'entreprise</t>
  </si>
  <si>
    <t xml:space="preserve">ATTITUDE SI</t>
  </si>
  <si>
    <t>attitude-si.com</t>
  </si>
  <si>
    <t>Capdenac</t>
  </si>
  <si>
    <t>Occitanie</t>
  </si>
  <si>
    <t xml:space="preserve">information services</t>
  </si>
  <si>
    <t xml:space="preserve">virtualisation,erp,dsi,crm,portail,management de projets,ged,cloud computing</t>
  </si>
  <si>
    <t>Midi-Pyrenees</t>
  </si>
  <si>
    <t>http://www.linkedin.com/company/attitude-si</t>
  </si>
  <si>
    <t>https://www.facebook.com/attitude.si.solutions.informatiques</t>
  </si>
  <si>
    <t xml:space="preserve">ATTITUDE SI propose aux entreprises des prestations informatiques en temps partagé sur Toulouse, dans le Lot et dans tout le Sud-Ouest.</t>
  </si>
  <si>
    <t>http://www.linkedin.com/in/alain-tissedre-342434172</t>
  </si>
  <si>
    <t xml:space="preserve">Alexandre Landre</t>
  </si>
  <si>
    <t>Landre</t>
  </si>
  <si>
    <t>alandre@pba-auctions.com</t>
  </si>
  <si>
    <t xml:space="preserve">Pierre Bergé &amp; associés</t>
  </si>
  <si>
    <t>Beaune</t>
  </si>
  <si>
    <t>Bourgogne-Franche-Comte</t>
  </si>
  <si>
    <t xml:space="preserve">art contemporain,bijoux,art asiatiques,livres et manuscrits,haute epoque,arts decoratifs design,les appartements du xvie</t>
  </si>
  <si>
    <t>http://www.linkedin.com/company/pierre-berge-et-associes</t>
  </si>
  <si>
    <t xml:space="preserve">PIERRE BERGE &amp; associés</t>
  </si>
  <si>
    <t>http://www.linkedin.com/in/alexandre-landre-651875a6</t>
  </si>
  <si>
    <t xml:space="preserve">Albin Charles</t>
  </si>
  <si>
    <t>Albin</t>
  </si>
  <si>
    <t>albin.charles@tradibat-normandie.fr</t>
  </si>
  <si>
    <t xml:space="preserve">Dirigeant de Maisons TRADIBAT</t>
  </si>
  <si>
    <t>TRADIBAT</t>
  </si>
  <si>
    <t>tradibat-normandie.fr</t>
  </si>
  <si>
    <t xml:space="preserve">Lower Normandy</t>
  </si>
  <si>
    <t>http://www.linkedin.com/company/tradibat14</t>
  </si>
  <si>
    <t>https://twitter.com/mtradibat</t>
  </si>
  <si>
    <t>https://www.facebook.com/maisonstradibat</t>
  </si>
  <si>
    <t xml:space="preserve">Créée en 1990, TRADIBAT est une constructeur de maisons reconnu pour sa qualité en Normandie et plus particulièrement dans le Calvados.</t>
  </si>
  <si>
    <t>http://www.linkedin.com/in/albin-charles-0635156a</t>
  </si>
  <si>
    <t xml:space="preserve">Albin Giraud</t>
  </si>
  <si>
    <t>albin.giraud@gembaware.com</t>
  </si>
  <si>
    <t>Gembaware</t>
  </si>
  <si>
    <t>gembaware.com</t>
  </si>
  <si>
    <t xml:space="preserve">transformation numerique des pme,consulting,solutions de gestion,erp,crm,reporting,workflow,conduite du changement,netsuite,formateur</t>
  </si>
  <si>
    <t>http://www.linkedin.com/company/gembaware</t>
  </si>
  <si>
    <t xml:space="preserve">Gembaware, cabinet de conseil spécialisé en management des systèmes d'information, accompagne les startups, PME-PMI et les ETI dans la mise en place de solutions de gestion d'entreprise.
Nous déployons la solution de gestion managériale et opérationnelle leader Oracle NetSuite qui permet de révolutionner le travail des managers et des équipes dans tous les domaines en facilitant et améliorant leur travail au quotidien.
Nos domaines de compétence :
• Conseil et audit en Système d'Information, pour vous accompagner lors de la transformation de vos métiers 
• ERP Oracle NetSuite, pour simplifier l'utilisation des solutions Cloud
• Formations
• Accompagnement méthodologique et technologique
Notre équipe est composée de profils divers :
• Consultants fonctionnels : nos consultants utilisent l'ERP CRM Oracle NetSuite au quotidien. Ils vous accompagneront pour une prise en main métier de l'outil simple et rapide. 
• Développeurs : nos développeurs créent des modules et des fonctionnalités sur-mesure selon vos besoins.
👉 Nos valeurs ?
• Proposer des applications conçues par et pour le métier, sur le terrain.
• Donner la priorité à votre métier et non à l'informatique.
• Simplifier la technologie pour la rendre créatrice de valeur et accessible aux petites et moyennes entreprises.</t>
  </si>
  <si>
    <t>http://www.linkedin.com/in/albin-giraud-2a452b</t>
  </si>
  <si>
    <t xml:space="preserve">Alec Guiral</t>
  </si>
  <si>
    <t>Alec</t>
  </si>
  <si>
    <t>Guiral</t>
  </si>
  <si>
    <t>alec.guiral@acsantis.com</t>
  </si>
  <si>
    <t>acsantis</t>
  </si>
  <si>
    <t>acsantis.com</t>
  </si>
  <si>
    <t xml:space="preserve">telemedecine,esante,sante,conseil,systeme dinformation,conseil sante,numerique en sante,systeme d39information,conseil sante systeme dinformation esante telemedecine</t>
  </si>
  <si>
    <t>http://www.linkedin.com/company/acsantis</t>
  </si>
  <si>
    <t>https://twitter.com/cabacsantis</t>
  </si>
  <si>
    <t xml:space="preserve">Cabinet de conseil spécialisé dans le secteur sanitaire et médico-social</t>
  </si>
  <si>
    <t>http://www.linkedin.com/in/alec-guiral-3981342b2</t>
  </si>
  <si>
    <t xml:space="preserve">Antoine Leforestier</t>
  </si>
  <si>
    <t>Leforestier</t>
  </si>
  <si>
    <t>aleforestier@bewizyu.com</t>
  </si>
  <si>
    <t xml:space="preserve">Dirigeant Cofondateur</t>
  </si>
  <si>
    <t>bewizyu</t>
  </si>
  <si>
    <t>bewizyu.com</t>
  </si>
  <si>
    <t xml:space="preserve">agence numerique,centre de formation,developpement interfaces digitales</t>
  </si>
  <si>
    <t>http://www.linkedin.com/company/bewizyu</t>
  </si>
  <si>
    <t>https://twitter.com/BEWIZYU</t>
  </si>
  <si>
    <t xml:space="preserve">Bewizyu, une équipe d'experts en conception d’expériences clients et digitales sur mesure. Nous vous accompagnons de l'idée à la mise en œuvre de votre produit digital pour répondre aux nouveaux usages de vos utilisateurs. Co-construisons ensemble à Nantes, Lyon, Niort ou Rabat ☎  04 72 31 07 66</t>
  </si>
  <si>
    <t>http://www.linkedin.com/in/antoineleforestier</t>
  </si>
  <si>
    <t xml:space="preserve">Arnaud Lenotte</t>
  </si>
  <si>
    <t>Lenotte</t>
  </si>
  <si>
    <t>alenotte@kp2i.com</t>
  </si>
  <si>
    <t>KP2i</t>
  </si>
  <si>
    <t>kp2i.com</t>
  </si>
  <si>
    <t xml:space="preserve">uxui,pilotage,reussite,tic,data,expertise,developpement,strategie,si,assistance moa,digital,conseil,projet,confiance,tierce recette applicative,audit diagnostic,automatisation des tests,assurance qualite,crm,ingenierie logicielle,tma,centre de services,metiers,bi,ssii,web,ecommerce</t>
  </si>
  <si>
    <t>http://www.linkedin.com/company/kp2i</t>
  </si>
  <si>
    <t xml:space="preserve">Depuis 2005, KP2i accompagne plus de 30 clients en France et dans le monde et aide les entreprises à rendre leurs SI, au cœur de leurs activités, plus efficients.</t>
  </si>
  <si>
    <t>http://www.linkedin.com/in/arnaud-lenotte-09a10119</t>
  </si>
  <si>
    <t xml:space="preserve">Alexandre Poncini</t>
  </si>
  <si>
    <t>Poncini</t>
  </si>
  <si>
    <t>alexandre.poncini@alsatis.com</t>
  </si>
  <si>
    <t xml:space="preserve">Directeur Général - Associé</t>
  </si>
  <si>
    <t xml:space="preserve">Alsatis Entreprises</t>
  </si>
  <si>
    <t>alsatis-services.com</t>
  </si>
  <si>
    <t xml:space="preserve">fibre optique,sdsl,voip,trunk sip,centrex,services ip,convergence servicesip</t>
  </si>
  <si>
    <t>http://www.linkedin.com/company/alsatis-services</t>
  </si>
  <si>
    <t xml:space="preserve">Alsatis Services est un acteur majeur dans le secteur des télécommunications, spécialisé dans les solutions de connectivité, communication, cloud, cybersécurité, et gestion informatique. Nous offrons des services adaptés aux besoins des entreprises de toutes tailles, avec un engagement fort envers l'innovation, la qualité, et la satisfaction client.
Nos 5C :
Cloud : Des solutions cloud sécurisées et performantes pour stocker, gérer et accéder à vos données en toute sérénité.
Connectivity : Des services de connectivité robustes et fiables, incluant la fibre optique et les solutions réseaux, pour assurer des échanges sans interruption.
Cybersecurity : Une protection complète de vos infrastructures informatiques avec des solutions de cybersécurité avancées, assurant la confidentialité et l'intégrité de vos données.
Communications : Des solutions de communication intégrées, de la téléphonie IP aux plateformes de collaboration, pour renforcer la cohésion et la productivité de vos équipes.
Computer : Des services de gestion et de maintenance informatique, incluant le matériel et l'infogérance, pour simplifier votre quotidien numérique.
Chez Alsatis Services, nous plaçons la technologie au service de vos ambitions, avec une approche personnalisée et une équipe d'experts dédiés à votre réussite.</t>
  </si>
  <si>
    <t>http://www.linkedin.com/in/alexandre-poncini</t>
  </si>
  <si>
    <t xml:space="preserve">Alexandre Guillaume</t>
  </si>
  <si>
    <t>alexandre@proplace.co</t>
  </si>
  <si>
    <t>Proplace</t>
  </si>
  <si>
    <t>proplace.co</t>
  </si>
  <si>
    <t xml:space="preserve">marketing,vente,saas,productivite,logiciel,editeur de logiciel</t>
  </si>
  <si>
    <t>http://www.linkedin.com/company/proplaceco</t>
  </si>
  <si>
    <t xml:space="preserve">Dirigeant ? Le cockpit IA Proplace co-piloté par votre expert IA vous permet d'orchestrer des campagnes d'acquisition client Allbound très rentables et des process AI-first sans friction.</t>
  </si>
  <si>
    <t>http://www.linkedin.com/in/alexandre-guillaume-833366201</t>
  </si>
  <si>
    <t xml:space="preserve">Alexis Martel</t>
  </si>
  <si>
    <t>Martel</t>
  </si>
  <si>
    <t>alexis@pharow.com</t>
  </si>
  <si>
    <t xml:space="preserve">Cofondateur &amp; COO</t>
  </si>
  <si>
    <t>Pharow</t>
  </si>
  <si>
    <t>pharow.com</t>
  </si>
  <si>
    <t xml:space="preserve">lead generation,prospection,prospectin btob,outils de prospection,fichiers de prospection,efficacite commerciale,data btob,b2b marketing,cold email,emailing,base de donnees btob,sales automation,sales,outbound marketing,btob,b2b</t>
  </si>
  <si>
    <t>http://www.linkedin.com/company/pharow</t>
  </si>
  <si>
    <t xml:space="preserve">Pharow est la base de données B2B le plus simple et le plus puissante pour cibler vos prospects, alimenter vos campagnes outbound et vos CRM.</t>
  </si>
  <si>
    <t>http://www.linkedin.com/in/alexismartel</t>
  </si>
  <si>
    <t xml:space="preserve">Ali Sidhoum</t>
  </si>
  <si>
    <t>Sidhoum</t>
  </si>
  <si>
    <t>ali.sidhoum@trust-it.fr</t>
  </si>
  <si>
    <t xml:space="preserve">Trust IT Générateur de Confiance</t>
  </si>
  <si>
    <t>trust-it.fr</t>
  </si>
  <si>
    <t xml:space="preserve">conseils,methodologie,gestion de projet,production,infrastructure,qualite,industrialisation</t>
  </si>
  <si>
    <t>http://www.linkedin.com/company/trustitg%c3%a9n%c3%a9rateurdeconfiance</t>
  </si>
  <si>
    <t>https://twitter.com/Trust_IT_GDC</t>
  </si>
  <si>
    <t>https://www.facebook.com/trustitgenerateurdeconfiance</t>
  </si>
  <si>
    <t xml:space="preserve">Votre partenaire de confiance en services et ingénieries informatiques, spécialiste des métiers de l'infrastructure et de la production</t>
  </si>
  <si>
    <t>http://www.linkedin.com/in/ali-sidhoum-630672b3</t>
  </si>
  <si>
    <t xml:space="preserve">Alice Rouquette</t>
  </si>
  <si>
    <t>Rouquette</t>
  </si>
  <si>
    <t>alice.rouquette@verticalexpense.com</t>
  </si>
  <si>
    <t xml:space="preserve">Associée Fondatrice</t>
  </si>
  <si>
    <t xml:space="preserve">VERTICAL EXPENSE</t>
  </si>
  <si>
    <t>verticalexpense.com</t>
  </si>
  <si>
    <t xml:space="preserve">gestion des depenses professionnelles salaries,gestion des flottes de vehicules entreprises et personnels,gestion des reporting,dashboard extrafinancier,comptabilite automatisee,dematerialisation des justificatifs,integration native au sirh et si finance,archivage a valeur probante</t>
  </si>
  <si>
    <t>http://www.linkedin.com/company/verticalexpense</t>
  </si>
  <si>
    <t xml:space="preserve">Vertical Expense : logiciel de notes de frais pour ETI et grands comptes. Personnalisation, simplicité, et automatisation pour un suivi optimisé &amp; innovant</t>
  </si>
  <si>
    <t>http://www.linkedin.com/in/alice-rouquette-roblin-4217164</t>
  </si>
  <si>
    <t xml:space="preserve">Alison Dubuisson</t>
  </si>
  <si>
    <t>Alison</t>
  </si>
  <si>
    <t>Dubuisson</t>
  </si>
  <si>
    <t>alison@omydoo.fr</t>
  </si>
  <si>
    <t>Dirigeante</t>
  </si>
  <si>
    <t>Omydoo</t>
  </si>
  <si>
    <t>omydoo.fr</t>
  </si>
  <si>
    <t>Pontgibaud</t>
  </si>
  <si>
    <t xml:space="preserve">odoo community,odoo entreprise,odoo enterprise,developpement,python,ovh market place,odoo,erp</t>
  </si>
  <si>
    <t>http://www.linkedin.com/company/omydoo</t>
  </si>
  <si>
    <t>https://www.facebook.com/omydoo</t>
  </si>
  <si>
    <t xml:space="preserve">Omydoo, intégrateur certifié Odoo en Auvergne, offre des solutions ERP personnalisées pour optimiser la gestion de votre entreprise.</t>
  </si>
  <si>
    <t>http://www.linkedin.com/in/alison-dubuisson-44249258</t>
  </si>
  <si>
    <t xml:space="preserve">Alisson Foucault</t>
  </si>
  <si>
    <t>Alisson</t>
  </si>
  <si>
    <t>Foucault</t>
  </si>
  <si>
    <t>alisson@univrstudio.com</t>
  </si>
  <si>
    <t xml:space="preserve">Présidente et fondatrice</t>
  </si>
  <si>
    <t xml:space="preserve">UniVR Studio</t>
  </si>
  <si>
    <t>univrstudio.com</t>
  </si>
  <si>
    <t xml:space="preserve">simulations,formation,realite virtuelle,videos interactives,ar,realite augmentee,vr,formation professionnelle,story telling,videos 360</t>
  </si>
  <si>
    <t>http://www.linkedin.com/company/univr-studio</t>
  </si>
  <si>
    <t>https://twitter.com/UniVRstudio</t>
  </si>
  <si>
    <t>https://www.facebook.com/univrstudio360</t>
  </si>
  <si>
    <t xml:space="preserve">Tous vos besoins en réalité virtuelle = un seul partenaire ! Développement d'expériences personnalisées, matériel, catalogue VR, accompagnement. Découvrir UniVR</t>
  </si>
  <si>
    <t>http://www.linkedin.com/in/alissonfoucault</t>
  </si>
  <si>
    <t xml:space="preserve">Alizee Aubin</t>
  </si>
  <si>
    <t>Aubin</t>
  </si>
  <si>
    <t>alizee@random-coffee.com</t>
  </si>
  <si>
    <t xml:space="preserve">Customer Success Manager at RandomCoffee  Founder</t>
  </si>
  <si>
    <t>RandomCoffee</t>
  </si>
  <si>
    <t>random-coffee.com</t>
  </si>
  <si>
    <t xml:space="preserve">employee engagement,employee retention,corporate happiness,quality life at work,humanisation of work</t>
  </si>
  <si>
    <t>http://www.linkedin.com/company/randomcoffee</t>
  </si>
  <si>
    <t>https://twitter.com/randomcoffeeapp</t>
  </si>
  <si>
    <t>https://www.facebook.com/randomcoffeeapp/</t>
  </si>
  <si>
    <t xml:space="preserve">Discover how RandomCoffee promotes team bonding and enhances employee engagement through casual coffee meetups. Visit us soon!</t>
  </si>
  <si>
    <t>http://www.linkedin.com/in/alizeemeissonnier</t>
  </si>
  <si>
    <t xml:space="preserve">Alois Jobard</t>
  </si>
  <si>
    <t>Alois</t>
  </si>
  <si>
    <t>Jobard</t>
  </si>
  <si>
    <t>alois.jobard@metalgear.xyz</t>
  </si>
  <si>
    <t xml:space="preserve">Metal Gear</t>
  </si>
  <si>
    <t>metalgear.xyz</t>
  </si>
  <si>
    <t>http://www.linkedin.com/company/metalgearhq</t>
  </si>
  <si>
    <t xml:space="preserve">Payment infrastructure for emerging markets</t>
  </si>
  <si>
    <t>http://www.linkedin.com/in/alois-jobard</t>
  </si>
  <si>
    <t xml:space="preserve">Alptug Ika</t>
  </si>
  <si>
    <t>Alptug</t>
  </si>
  <si>
    <t>Ika</t>
  </si>
  <si>
    <t>alptug@otherwayaround.co</t>
  </si>
  <si>
    <t>OtherWayAround</t>
  </si>
  <si>
    <t>otherwayaround.co</t>
  </si>
  <si>
    <t>Smyrna</t>
  </si>
  <si>
    <t>Delaware</t>
  </si>
  <si>
    <t>http://www.linkedin.com/company/otherwayaround</t>
  </si>
  <si>
    <t xml:space="preserve">Creating self-sustained app growth for small and medium-sized apps through ASO and paid acquisition within 6 months.</t>
  </si>
  <si>
    <t>http://www.linkedin.com/in/alptug-ika</t>
  </si>
  <si>
    <t xml:space="preserve">Amine Zaafrane</t>
  </si>
  <si>
    <t>Zaafrane</t>
  </si>
  <si>
    <t>amine.zaafrane@astorm-group.com</t>
  </si>
  <si>
    <t xml:space="preserve">ASTORM GROUP</t>
  </si>
  <si>
    <t>astorm-group.com</t>
  </si>
  <si>
    <t>http://www.linkedin.com/company/groupe-astorm</t>
  </si>
  <si>
    <t xml:space="preserve">Le Groupe ASTORM est le fruit de plus de 20 ans de métier. La diversité de nos offres ainsi que nos implémentations géographiques, nous permettent de répondre aux attentes les plus exigeantes de nos clients.</t>
  </si>
  <si>
    <t>http://www.linkedin.com/in/amine-zaafrane-4ba90634</t>
  </si>
  <si>
    <t xml:space="preserve">Ana Escobedo-Boulard</t>
  </si>
  <si>
    <t>Ana</t>
  </si>
  <si>
    <t>Escobedo-Boulard</t>
  </si>
  <si>
    <t>ana.escobedo@leslanguesdumonde.com</t>
  </si>
  <si>
    <t xml:space="preserve">Fondatrice Directrice</t>
  </si>
  <si>
    <t xml:space="preserve">Les Langues du Monde</t>
  </si>
  <si>
    <t>leslanguesdumonde.com</t>
  </si>
  <si>
    <t xml:space="preserve">asset management,finance,consulting,legal,formation,langues,anglais,life coaching,business english,recruitment tests,translations,professional english,marketing,psychology,language immersion,english,francais,espagnol,allemand,ecole de langues,international communication,soft skills</t>
  </si>
  <si>
    <t>http://www.linkedin.com/company/les-langues-du-monde</t>
  </si>
  <si>
    <t xml:space="preserve">Learn to communicate efficiently and with impact!
Les Langues du Monde is a specialised business and finance language school and translation agency.  We aim to serve all the linguistic needs of our clients by providing a high-level and personalised service so that they can excel in the business world!
FORMATION
- Organisme de formation professionnelle en langues, Les Langues du Monde a pour mission d'aider cadres et directeurs à travailler dans une langue étrangère.  
- Nous avons un service d'excellence ultra personnalisé, adapté aux besoins professionnels spécifiques de chacun ainsi qu'aux enjeux économiques actuels. 
- Nos formateurs extrêmement qualifiés les accompagnent dans la préparation concrète et ciblée de leurs réunions, présentations, négociations, e-mails, lettres, etc.
- Que ce soit pour progresser en anglais, français, espagnol, italien, allemand, néerlandais, ou mandarin, nous sommes à votre service pour briser la barrière de la langue !
TRADUCTION
- Pour accompagner les entreprises travaillant à l'international, la société prend aussi les traits d'une agence de traduction : Les Langues du Monde Traductions. 
- Forts de nos traducteurs expérimentés, tous d'anciens banquiers, analystes, brokers ou économistes reconvertis dans la traduction.
- Nous traduisons des documents tant confidentiels que publics tels que des rapports de gestion financière, des prospectus ou des appels d'offre dans les langues suivantes : anglais, français, allemand, espagnol, italien, portugais, néerlandais (NL ou BE).</t>
  </si>
  <si>
    <t>http://www.linkedin.com/in/anaescobedo</t>
  </si>
  <si>
    <t xml:space="preserve">Escurat Anaelle</t>
  </si>
  <si>
    <t>Escurat</t>
  </si>
  <si>
    <t>Anaelle</t>
  </si>
  <si>
    <t>anaelle.escurat@hands.fr</t>
  </si>
  <si>
    <t xml:space="preserve">Directrice générale adjointe - Agence conseil de Hands</t>
  </si>
  <si>
    <t>Hands</t>
  </si>
  <si>
    <t>hands.fr</t>
  </si>
  <si>
    <t xml:space="preserve">communication &amp; digital</t>
  </si>
  <si>
    <t>http://www.linkedin.com/company/handsgroup</t>
  </si>
  <si>
    <t xml:space="preserve">Hands accompagne les acteurs du luxe et de la culture dans leur communication, et leur stratégie
digitale et e-commerce.</t>
  </si>
  <si>
    <t>http://www.linkedin.com/in/ana%c3%ablle-escurat-60243446</t>
  </si>
  <si>
    <t xml:space="preserve">Anne-Sophie Cadre</t>
  </si>
  <si>
    <t>Cadre</t>
  </si>
  <si>
    <t>anne-sophie.cadre@midgard-ai.com</t>
  </si>
  <si>
    <t>MidGard</t>
  </si>
  <si>
    <t>midgard-ai.com</t>
  </si>
  <si>
    <t>Corsica</t>
  </si>
  <si>
    <t xml:space="preserve">fire,machinelearning,intelligence artificielle,security,firefighter,drones,pompier,sapeurpompier</t>
  </si>
  <si>
    <t>Corse</t>
  </si>
  <si>
    <t>http://www.linkedin.com/company/midgard-ai</t>
  </si>
  <si>
    <t>Midgard</t>
  </si>
  <si>
    <t>http://www.linkedin.com/in/anne-sophie-cadre-7abbb3b4</t>
  </si>
  <si>
    <t xml:space="preserve">Anne Dranssart</t>
  </si>
  <si>
    <t>Dranssart</t>
  </si>
  <si>
    <t>anne.dranssart@enaxion.fr</t>
  </si>
  <si>
    <t>Enaxion</t>
  </si>
  <si>
    <t>enaxion.fr</t>
  </si>
  <si>
    <t xml:space="preserve">organisation amp performance,gestion de crise,coaching dirigeantsequipes dirigeantes,transformation,conseil accompagnement,leadership,organisation performance,alignement,conduite du changement,alignement strategique,startup,fusionsacquisitions,management de mission,conseil amp accompagnement,dirigeant,lbo,entrepreneur,projet d39entreprise,gouvernance,ceo,projet dentreprise,alchimie,entreprise familiale</t>
  </si>
  <si>
    <t>http://www.linkedin.com/company/enaxion</t>
  </si>
  <si>
    <t xml:space="preserve">Alignement stratégique, développement du leadership et accompagnement des transformations, depuis 2006, Enaxion est le partenaire privilégié des dirigeants et de leurs équipes.</t>
  </si>
  <si>
    <t>http://www.linkedin.com/in/anne-dranssart-94640a8</t>
  </si>
  <si>
    <t xml:space="preserve">Anne Lauvergeon</t>
  </si>
  <si>
    <t>Lauvergeon</t>
  </si>
  <si>
    <t>anne.lauvergeon@alp-sa.fr</t>
  </si>
  <si>
    <t xml:space="preserve">Fondatrice et Présidente</t>
  </si>
  <si>
    <t>A.L.P.</t>
  </si>
  <si>
    <t>alp-sa.fr</t>
  </si>
  <si>
    <t xml:space="preserve">innovation,strategic &amp; finance advisory,results delivery,early stage investor</t>
  </si>
  <si>
    <t>http://www.linkedin.com/company/alp-sas</t>
  </si>
  <si>
    <t xml:space="preserve">Cultivate innovation and inspire progress</t>
  </si>
  <si>
    <t>http://www.linkedin.com/in/anne-lauvergeon</t>
  </si>
  <si>
    <t xml:space="preserve">Anthony Bourgin</t>
  </si>
  <si>
    <t>Bourgin</t>
  </si>
  <si>
    <t>anthony.bourgin@testify.fr</t>
  </si>
  <si>
    <t xml:space="preserve">Fondateur / Conseiller Testing / Test Manager / Audit / Formation / Aide au recrutement</t>
  </si>
  <si>
    <t>Testify</t>
  </si>
  <si>
    <t>testify.fr</t>
  </si>
  <si>
    <t>Lissieu</t>
  </si>
  <si>
    <t xml:space="preserve">testing,qa,istqb,formation,automatisation des tests</t>
  </si>
  <si>
    <t>http://www.linkedin.com/company/testify-lyon</t>
  </si>
  <si>
    <t xml:space="preserve">Testify, Pure player test &amp; software quality - Nos valeurs et présentation de richesse humaine que nous souhaitons véhiculée</t>
  </si>
  <si>
    <t>http://www.linkedin.com/in/anthony-bourgin-29ab4b122</t>
  </si>
  <si>
    <t xml:space="preserve">Anthony Dall'agnola-Bomier</t>
  </si>
  <si>
    <t>Dall'agnola-Bomier</t>
  </si>
  <si>
    <t>anthony.dallagnola@x-gil.fr</t>
  </si>
  <si>
    <t xml:space="preserve">Directeur Général Recherche et Développement</t>
  </si>
  <si>
    <t>X-GIL</t>
  </si>
  <si>
    <t>x-gil.fr</t>
  </si>
  <si>
    <t xml:space="preserve">encaissement,centres administratifs,centres hospitaliers,stades,parcs datractions,gestion point de vente,prise de commande,encaissement restauration,sport et loisirs,systeme de caisse,systeme dencaissement,borne de commande,click &amp; collect,click &amp; serve,logiciel dencaissement,restauco,snelac</t>
  </si>
  <si>
    <t>http://www.linkedin.com/company/xgil</t>
  </si>
  <si>
    <t xml:space="preserve">Logiciel de Gestion "Full Web"</t>
  </si>
  <si>
    <t>http://www.linkedin.com/in/anthony-dall-agnola</t>
  </si>
  <si>
    <t xml:space="preserve">Anthony Seaumaire</t>
  </si>
  <si>
    <t>Seaumaire</t>
  </si>
  <si>
    <t>anthony.seaumaire@ibea.fr</t>
  </si>
  <si>
    <t xml:space="preserve">IBEA France</t>
  </si>
  <si>
    <t>ibea.fr</t>
  </si>
  <si>
    <t>http://www.linkedin.com/company/ibea-france-panneaux-sandwich-isolation-thermique-et-accessoires</t>
  </si>
  <si>
    <t xml:space="preserve">Notre spécialité : vous proposer une gamme complète et de qualité de produits d'isolation, tant pour le secteur agro-alimentaire que pour les systèmes coupe-feu.
Notre mission : vous accompagner à chaque étape de votre projet, afin d'assurer son succès.
Depuis plus de 15 ans, nous collaborons avec des entreprises spécialisées en isolation et des bardeurs sur des projets de rénovation, d'entretien et de construction neuve, touchant des bâtiments industriels, commerciaux, de stockage, agricoles, ainsi que des établissements recevant du public (ERP). Nous avons développé une expertise particulière dans les solutions d'isolation esthétiques et très durables, répondant à des normes exigeantes.
Certifications : CSTB / FM / EFECTIS
IBEA sélectionne rigoureusement tous ses partenaires pour vous offrir une solution complète, attractive et performante, parfaitement adaptée à vos besoins.
Notre philosophie :
- Simplifier la mise en œuvre de vos projets
- Choisir la qualité dans la sélection de nos produits
- Établir des relations durables avec nos clients et partenaires
IBEA, une équipe réactive située à Meythet-Annecy, est à votre service !</t>
  </si>
  <si>
    <t>http://www.linkedin.com/in/anthony-seaumaire-528659aa</t>
  </si>
  <si>
    <t xml:space="preserve">Antoine Beaufort</t>
  </si>
  <si>
    <t>Beaufort</t>
  </si>
  <si>
    <t>antoine.beaufort@abexperience.fr</t>
  </si>
  <si>
    <t xml:space="preserve">AB EXPERIENCE</t>
  </si>
  <si>
    <t>abexperience.fr</t>
  </si>
  <si>
    <t xml:space="preserve">microsoft azure,dropbox business,vmware,microsoft office 365,pra pca,veeam,maintenance,infogerance,assistance</t>
  </si>
  <si>
    <t>Picardy</t>
  </si>
  <si>
    <t>http://www.linkedin.com/company/ab-experience</t>
  </si>
  <si>
    <t>https://twitter.com/abxpofficiel</t>
  </si>
  <si>
    <t>https://www.facebook.com/abexperience/</t>
  </si>
  <si>
    <t xml:space="preserve">SUPPORT INFORMATIQUE À DESTINATION DES ENTREPRISES
Basé à Amiens, AB Expérience est le spécialiste du support et de la maintenance informatique en entreprise. Expert certifié en solutions Cloud, AB Expérience déploie également les solutions VMWare, Microsoft Office 365, Dropbox Business, Microsoft Azure et Veeam, notamment pour vous faire gagner en efficacité et en agilité.
Support informatique pour les entreprises
Avec un savoir-faire de plus de 15 ans en informatique d'entreprise, AB Expérience accompagne au quotidien vos utilisateurs. Parce que le week-end aussi certains utilisateurs ont besoin d'assistance, notre service support est ouvert 6j/7 sur une plage horaire large.
Nous intervenons sur tous types de matériels, de solutions et terminaux, afin de répondre au mieux à vos besoins, y compris en situation de mobilité. Afin de vous garantir une réactivité maximale et un suivi sans faille, nous sommes dotés des meilleurs outils pour vous répondre efficacement (ouverture de tickets en ligne, par email ou par téléphone, prise de contrôle à distance, solutions de remplacement en cas de panne matérielle…).
Contrats de gestion &amp; maintenance
Qualifiés et certifiés sur les solutions matérielles et logicielles des plus grands acteurs du marché, nous prenons en charge la maintenance et l'infogérance de votre infrastructure technique pour garantir un service sans faille. Au-delà d'intervenir sur votre installation, nous mettons en place avec vous les solutions pour assurer la continuité de fonctionnement et la pérennité de vos données informatiques (sauvegarde, plans de continuité ou de reprise d'activité -PCA et PRA-, sécurisation du système d'information…).
Et parce que la meilleure manière de garantir le bon fonctionnement est d'éviter les pannes, nous mettons en place une surveillance (monitoring) et assurons la maintenance proactive de vos installations.</t>
  </si>
  <si>
    <t>http://www.linkedin.com/in/antoine-beaufort-6904b82</t>
  </si>
  <si>
    <t xml:space="preserve">Antoine Dessales</t>
  </si>
  <si>
    <t>Dessales</t>
  </si>
  <si>
    <t>antoine.dessales@ponant-technologies.com</t>
  </si>
  <si>
    <t xml:space="preserve">PONANT Technologies</t>
  </si>
  <si>
    <t>ponant-technologies.com</t>
  </si>
  <si>
    <t xml:space="preserve">bureau detude informatique industrielle,outils de test automatique,verification,validation,systemes embarques,objets connectes,sequenceur de test,sequenceur de taches,innovation,informatique,robot,industrie,test automatise,automation,developpement loigiciel,developpement produit,bureau detudes informatique,robotique,diagnostic robotise,developpement logiciel medical,developpement logiciel industrie,iot,cybersecurite,developpement logiciel embarque,test ihm</t>
  </si>
  <si>
    <t>http://www.linkedin.com/company/ponant-technologies</t>
  </si>
  <si>
    <t xml:space="preserve">Bureau d'études expert dans le développement logiciel embarqué, le développement produit et le test automatisé d'interface homme-machine.</t>
  </si>
  <si>
    <t>http://www.linkedin.com/in/antoinedessales</t>
  </si>
  <si>
    <t xml:space="preserve">Antoine Foucher</t>
  </si>
  <si>
    <t>Foucher</t>
  </si>
  <si>
    <t>antoine.foucher@quintetconseil.fr</t>
  </si>
  <si>
    <t xml:space="preserve">Président de Quintet</t>
  </si>
  <si>
    <t>Quintet</t>
  </si>
  <si>
    <t>quintetconseil.fr</t>
  </si>
  <si>
    <t>http://www.linkedin.com/company/quintet-conseil</t>
  </si>
  <si>
    <t xml:space="preserve">Créé par cinq anciens membres du cabinet Travail, Quintet est un cabinet de conseil en stratégie sociale et raison d'être, pour accompagner les entreprises à conjuguer business et bien commun.
L'offre de Quintet se déploie autour de 5 champs complémentaires :   
- La stratégie sociale parce que, pour être pérennes, les entreprises doivent allier performance économique et performance sociale, et qu'il existe dans le champ social de multiples outils et solutions innovantes d'adaptation à la crise, insuffisamment connus et utilisés par les entreprises.  
- La raison d'être parce qu'elle embarque toutes les parties prenantes de l'entreprise, en explicitant sa contribution au bien commun de la société, condition de durabilité du business dans une époque où chacun voudra, avant de travailler, investir ou acheter, être rassuré sur l'impact environnemental, économique et social de sa décision. 
- Les compétences parce que le capital humain est devenu la première ressource qui fait la différence dans le business, et donc un levier décisif de compétitivité pour les entreprises.  
- Les relocalisations parce que la France présente désormais tous les atouts nécessaires pour produire des richesses sur son territoire, et que le social peut être une composante déterminante d'une création ou d'un maintien d'activité.   
- La stratégie de communication parce que l'ensemble des innovations sociales doivent être valorisées et partagées pour en faire un levier d'attractivité pour les entreprises.</t>
  </si>
  <si>
    <t>http://www.linkedin.com/in/antoine-foucher-a870461b9</t>
  </si>
  <si>
    <t xml:space="preserve">Antoine Martin</t>
  </si>
  <si>
    <t>antoine@agence-copernic.fr</t>
  </si>
  <si>
    <t>Copernic</t>
  </si>
  <si>
    <t>agence-copernic.fr</t>
  </si>
  <si>
    <t xml:space="preserve">inbound marketing,marketing digital,inbound sales,hubspot,crm</t>
  </si>
  <si>
    <t>http://www.linkedin.com/company/agence-copernic</t>
  </si>
  <si>
    <t xml:space="preserve">Maîtrisez vos opérations de ventes avec HubSpot, Copernic vous aide dans le suivi de vos prospects - Saisissez les opportunités - Copernic CRM HubSpot.</t>
  </si>
  <si>
    <t>http://www.linkedin.com/in/antoine-copernic</t>
  </si>
  <si>
    <t xml:space="preserve">Antoine Potin</t>
  </si>
  <si>
    <t>Potin</t>
  </si>
  <si>
    <t>antoine@costa-maconnerie.com</t>
  </si>
  <si>
    <t xml:space="preserve">Costa Maconnerie</t>
  </si>
  <si>
    <t>costa-maconnerie.com</t>
  </si>
  <si>
    <t>Loperhet</t>
  </si>
  <si>
    <t>http://www.linkedin.com/company/costa-maconnerie</t>
  </si>
  <si>
    <t xml:space="preserve">Entreprise de maçonnerie basé à LOPERHET, nous intervenons sur l'ensemble du département.
Fort d'une équipe de 24 personnes, nous sommes en mesure de répondre à toutes vos demandes de travaux.
N'hésitez pas à nous contacter.</t>
  </si>
  <si>
    <t>http://www.linkedin.com/in/antoine-potin-33a1b310b</t>
  </si>
  <si>
    <t xml:space="preserve">Armony Altinier</t>
  </si>
  <si>
    <t>Armony</t>
  </si>
  <si>
    <t>Altinier</t>
  </si>
  <si>
    <t>armony@koena.net</t>
  </si>
  <si>
    <t xml:space="preserve">Foundatrice et Présidente</t>
  </si>
  <si>
    <t>Koena</t>
  </si>
  <si>
    <t>koena.net</t>
  </si>
  <si>
    <t xml:space="preserve">standards daccessibilite wcag,rgaa,falc,facile a lire et a comprendre,expertise strategique adap,schemas departementaux daccessibilite,schemas directeurs du handicap,expertise pedagogique formations,livres blancs,evenementiel</t>
  </si>
  <si>
    <t>http://www.linkedin.com/school/koena</t>
  </si>
  <si>
    <t>https://twitter.com/koenafr</t>
  </si>
  <si>
    <t xml:space="preserve">Koena, société fondée et dirigée par Armony Altinier, spécialisée en accessibilité numérique pour l'inclusion des personnes handicapées (audits RGAA, WCAG)</t>
  </si>
  <si>
    <t>http://www.linkedin.com/in/armonyaltinier</t>
  </si>
  <si>
    <t xml:space="preserve">Arnaud Coustilliere</t>
  </si>
  <si>
    <t>Coustilliere</t>
  </si>
  <si>
    <t>arnaud.coustilliere@pole-excellence-cyber.org</t>
  </si>
  <si>
    <t xml:space="preserve">Président du Pôle d'Excellence Cyber</t>
  </si>
  <si>
    <t xml:space="preserve">Pôle d'excellence cyber</t>
  </si>
  <si>
    <t>pole-excellence-cyber.org</t>
  </si>
  <si>
    <t>http://www.linkedin.com/company/pole-excellence-cyber</t>
  </si>
  <si>
    <t xml:space="preserve">Le Pôle d'excellence cyber a pour mission de stimuler la recherche, la formation et l'innovation dans le domaine de la cybersécurité et de la cyberdéfense</t>
  </si>
  <si>
    <t>http://www.linkedin.com/in/arnaudctr</t>
  </si>
  <si>
    <t xml:space="preserve">Arnaud Lopez</t>
  </si>
  <si>
    <t>Lopez</t>
  </si>
  <si>
    <t>arnaud.lopez@reseaulution.fr</t>
  </si>
  <si>
    <t>Reseaulution</t>
  </si>
  <si>
    <t>reseaulution.fr</t>
  </si>
  <si>
    <t xml:space="preserve">Centre-Val de Loire</t>
  </si>
  <si>
    <t xml:space="preserve">developpement commercial,formation,coaching,conseil en organisation</t>
  </si>
  <si>
    <t>Saint-Pryve-Saint-Mesmin</t>
  </si>
  <si>
    <t>http://www.linkedin.com/company/reseaulution</t>
  </si>
  <si>
    <t xml:space="preserve">Reseaulution, expert du conseil aux entreprises auprès des concessions automobile, des professionnels du pneumatique, du secteur agricole !</t>
  </si>
  <si>
    <t>http://www.linkedin.com/in/arnaud-lopez-55049689</t>
  </si>
  <si>
    <t xml:space="preserve">Arnaud Marchand</t>
  </si>
  <si>
    <t>arnaud@jubea.fr</t>
  </si>
  <si>
    <t xml:space="preserve">Chief Executive Officer - Late co-founder</t>
  </si>
  <si>
    <t>JUBEA</t>
  </si>
  <si>
    <t>jubea.fr</t>
  </si>
  <si>
    <t>Lattes</t>
  </si>
  <si>
    <t>Castries</t>
  </si>
  <si>
    <t>http://www.linkedin.com/company/jubeamajor</t>
  </si>
  <si>
    <t xml:space="preserve">Jubea accompagne les entreprises dans la Structuration, le Financement et le Pilotage de leurs projets dans le secteur de la Recherche et le développement.</t>
  </si>
  <si>
    <t>http://www.linkedin.com/in/arnaudmarchand34430</t>
  </si>
  <si>
    <t xml:space="preserve">Arnaud Montewis</t>
  </si>
  <si>
    <t>Montewis</t>
  </si>
  <si>
    <t>arnaud@waigeo.fr</t>
  </si>
  <si>
    <t>Founder/President</t>
  </si>
  <si>
    <t>Waigéo</t>
  </si>
  <si>
    <t>waigeo.fr</t>
  </si>
  <si>
    <t>Bruay-la-Buissiere</t>
  </si>
  <si>
    <t xml:space="preserve">audit et assistance technique,tierce maintenance applicative,concepteur dapplications web et mobiles,delegation de competences en mode regie,geolocalisation,concepteur d39applications web et mobiles</t>
  </si>
  <si>
    <t>http://www.linkedin.com/company/waig%c3%a9o</t>
  </si>
  <si>
    <t>https://www.facebook.com/GroupeWaigeo/</t>
  </si>
  <si>
    <t xml:space="preserve">Site officiel de Waigéo | Votre expert en développement d'applications web &amp; mobiles sur-mesure</t>
  </si>
  <si>
    <t>http://www.linkedin.com/in/arnaud-montewis-22138158</t>
  </si>
  <si>
    <t xml:space="preserve">Arthur Jouve</t>
  </si>
  <si>
    <t>Jouve</t>
  </si>
  <si>
    <t>arthur.jouve@taroko.fr</t>
  </si>
  <si>
    <t xml:space="preserve">Co-fondateur - Consultant senior</t>
  </si>
  <si>
    <t>Taroko</t>
  </si>
  <si>
    <t>taroko.fr</t>
  </si>
  <si>
    <t xml:space="preserve">identite de marque,restructuring,transformation,finance,etude de marche,audit 360,levee de fonds,marketing,strategie,business plan,restructuration,branding,operations en capital,digital,interim management,gouvernance</t>
  </si>
  <si>
    <t>http://www.linkedin.com/company/taroko-strategy</t>
  </si>
  <si>
    <t xml:space="preserve">Nous intervenons lors des phases de transformation rapide de votre entreprise ou pour redonner une direction claire dans les phrases de doute et d'incertitude. Taroko Strategy est le compagnon des dirigeants de PME &amp; ETI.</t>
  </si>
  <si>
    <t>http://www.linkedin.com/in/arthurjouve</t>
  </si>
  <si>
    <t xml:space="preserve">Arthur Boulanger</t>
  </si>
  <si>
    <t>Boulanger</t>
  </si>
  <si>
    <t>arthur@sidekicks.cc</t>
  </si>
  <si>
    <t>Sidekicks</t>
  </si>
  <si>
    <t>sidekicks.cc</t>
  </si>
  <si>
    <t xml:space="preserve">coaching,consulting,aide a la decision,gestion dentreprise,strategie,accompagnement</t>
  </si>
  <si>
    <t>http://www.linkedin.com/company/sidekicks-cc</t>
  </si>
  <si>
    <t>https://twitter.com/boulangerarthur</t>
  </si>
  <si>
    <t xml:space="preserve">Une communauté de Sidekicks, à la posture hybride entre le coach et le consultant spécialisée dans le coaching et l'accompagnement de dirigeants pour maximiser l'impact de leur organisation.</t>
  </si>
  <si>
    <t>http://www.linkedin.com/in/boulangerarthur</t>
  </si>
  <si>
    <t xml:space="preserve">Alain Savary</t>
  </si>
  <si>
    <t>Savary</t>
  </si>
  <si>
    <t>asavary@tetra-info.com</t>
  </si>
  <si>
    <t xml:space="preserve">Dirigeant associé</t>
  </si>
  <si>
    <t xml:space="preserve">Tetra Up</t>
  </si>
  <si>
    <t>tetra-info.com</t>
  </si>
  <si>
    <t>Douai</t>
  </si>
  <si>
    <t xml:space="preserve">developpement de sites web,kwartz,infogerance,formations,vente de materiel informatique btob,developpement logiciel erp,reseaux dentreprise,developpement de logiciel pour leducation,hebergement,sauvegarde en ligne,erp,eni,securite et haute disponibilite,crm,visioconference,developpement de logiciel pour l39education,reseaux d39entreprise,ecole des robots,vente de materiel informatique btob developpement logiciel erp hebergement sauvegarde en ligne securi,ooo</t>
  </si>
  <si>
    <t>http://www.linkedin.com/company/tetra-informatique</t>
  </si>
  <si>
    <t>https://twitter.com/tetra_info</t>
  </si>
  <si>
    <t>https://www.facebook.com/tetrainformatique/</t>
  </si>
  <si>
    <t xml:space="preserve">ESN basée à Douai spécialisée dans les solutions informatiques (logiciel et matériel) pour les TPE/PME, la collectivité, les écoles et les GEIQ/GE</t>
  </si>
  <si>
    <t>http://www.linkedin.com/in/alain-savary-b16309b0</t>
  </si>
  <si>
    <t xml:space="preserve">Bruno Aubert</t>
  </si>
  <si>
    <t>aubertbruno@enov.construction</t>
  </si>
  <si>
    <t xml:space="preserve">Enov construction</t>
  </si>
  <si>
    <t>enov.construction</t>
  </si>
  <si>
    <t>Montussan</t>
  </si>
  <si>
    <t>Nouvelle-Aquitaine</t>
  </si>
  <si>
    <t xml:space="preserve">maisons personnalisees &amp; constructeur de maisons individuelles en gironde,maisons personnalisees,constructeur de maisons individuelles en gironde,extension de maison</t>
  </si>
  <si>
    <t>http://www.linkedin.com/company/e%c2%b7nov-construction</t>
  </si>
  <si>
    <t xml:space="preserve">Concrétisez votre projet de construction en Gironde, Landes ou Dordogne avec Enov construction et bénéficiez de tout l'accompagnement pour élaborer votre projet de construction</t>
  </si>
  <si>
    <t>http://www.linkedin.com/in/bruno-aubert-9398bbb2</t>
  </si>
  <si>
    <t xml:space="preserve">Audrey Hicke</t>
  </si>
  <si>
    <t>Hicke</t>
  </si>
  <si>
    <t>audrey@powerflow.fr</t>
  </si>
  <si>
    <t>Powerflow</t>
  </si>
  <si>
    <t>powerflow.fr</t>
  </si>
  <si>
    <t>http://www.linkedin.com/company/powerflow-paris</t>
  </si>
  <si>
    <t xml:space="preserve">Powerflow est spécialisé dans l’accompagnement des dirigeants. Chaque coach est certifié et entretient son expertise avec une pratique de conseil : Innovation, Marketing &amp; Vente, RH, Transformation.</t>
  </si>
  <si>
    <t>http://www.linkedin.com/in/audreyhicke</t>
  </si>
  <si>
    <t xml:space="preserve">Aurelie Deudon</t>
  </si>
  <si>
    <t>Deudon</t>
  </si>
  <si>
    <t>aurelie@ultralaborans.org</t>
  </si>
  <si>
    <t xml:space="preserve">Co-fondatrice et Directrice générale</t>
  </si>
  <si>
    <t xml:space="preserve">Ultra Laborans</t>
  </si>
  <si>
    <t>ultralaborans.org</t>
  </si>
  <si>
    <t xml:space="preserve">cooperer,transition sociale,accompagner,formations,publications,transition ecologique,interventions,animation de reseaux,comprendre,labs collaboratifs,etudes,transition numerique,dialogue social</t>
  </si>
  <si>
    <t>http://www.linkedin.com/company/ultralaborans</t>
  </si>
  <si>
    <t xml:space="preserve">Astrées devient Ultra Laborans ! ✨
Nos deux structures, partageant un fervent intérêt pour le dialogue social et les métamorphoses du travail, se sont associées sous une bannière commune. 
Ensemble, nous nous engageons pour un travail plus :  
👉 contributif, pour engager les acteurs économiques dans des projets à fort impact social et environnemental.
👉 délibératif, pour mettre la délibération au cœur des collectifs de travail et de leur avenir.
👉 enraciné, pour fabriquer des territoires résilients aux mutations sociales et écologiques. 
Découvrez nos expertises et nos offres sur : https://ultralaborans.org/.
Ultra Laborans est une association du Groupe SOS (www.groupe-sos.org).</t>
  </si>
  <si>
    <t>http://www.linkedin.com/in/aur%c3%a9lie-deudon-b30b3235</t>
  </si>
  <si>
    <t xml:space="preserve">Aurore Bisicchia</t>
  </si>
  <si>
    <t>Bisicchia</t>
  </si>
  <si>
    <t>aurore@chut.media</t>
  </si>
  <si>
    <t>Cofondatrice</t>
  </si>
  <si>
    <t xml:space="preserve">Chut! Magazine</t>
  </si>
  <si>
    <t>chut.media</t>
  </si>
  <si>
    <t xml:space="preserve">edition,formation,magazine,redaction web seo,community management social media,journalistes de marques,livres blancs</t>
  </si>
  <si>
    <t>http://www.linkedin.com/company/chut-mag</t>
  </si>
  <si>
    <t>https://twitter.com/Chut_magazine</t>
  </si>
  <si>
    <t>https://www.facebook.com/ChutMagazine/</t>
  </si>
  <si>
    <t xml:space="preserve">Chut ! Le magazine à l’écoute du numérique.</t>
  </si>
  <si>
    <t>http://www.linkedin.com/in/aurore-bisicchia-12b7875</t>
  </si>
  <si>
    <t xml:space="preserve">Agnes Viallet</t>
  </si>
  <si>
    <t>Agnes</t>
  </si>
  <si>
    <t>Viallet</t>
  </si>
  <si>
    <t>aviallet@promessens.fr</t>
  </si>
  <si>
    <t xml:space="preserve">Directrice de la Promotion Immobilière - Fondatrice &amp; Associée</t>
  </si>
  <si>
    <t>Promessens</t>
  </si>
  <si>
    <t>promessens.fr</t>
  </si>
  <si>
    <t xml:space="preserve">promotion immobiliere,immobilier,habitat contemporain,defiscalisation,construction,residences seniors,residences etudiants,commercialisation biens immobiliers,renovation,architecture contemporaine,amenagement de zac,habitat residentiel</t>
  </si>
  <si>
    <t>http://www.linkedin.com/company/promessens</t>
  </si>
  <si>
    <t xml:space="preserve">Promessens travaille en collaboration étroite avec les mairies et les autres acteurs du territoire pour développer des solutions de logement au service du collectif, dans le cadre d'une urbanisation plus responsable.</t>
  </si>
  <si>
    <t>http://www.linkedin.com/in/agnesviallet</t>
  </si>
  <si>
    <t xml:space="preserve">Aviel Goldenberg</t>
  </si>
  <si>
    <t>Aviel</t>
  </si>
  <si>
    <t>Goldenberg</t>
  </si>
  <si>
    <t>aviel.goldenberg@tech-advising.com</t>
  </si>
  <si>
    <t xml:space="preserve">Tech Advising</t>
  </si>
  <si>
    <t>tech-advising.com</t>
  </si>
  <si>
    <t>Charenton-le-Pont</t>
  </si>
  <si>
    <t xml:space="preserve">information technology,developpement web,logiciels personnalises,crm,generation de documents,hebergement,maintenance,conseil informatique,transformation numerique,creation de marque,google workspace,logiciels sage,suite microsoft,suite adobe,solutions trend micro</t>
  </si>
  <si>
    <t>http://www.linkedin.com/company/tech-advising</t>
  </si>
  <si>
    <t xml:space="preserve">Tech Advising vous accompagne dans vos projets IT et dans le développement et l'intégration de solutions informatiques de gestion.</t>
  </si>
  <si>
    <t>http://www.linkedin.com/in/aviel-goldenberg</t>
  </si>
  <si>
    <t xml:space="preserve">Aymeric Paget</t>
  </si>
  <si>
    <t>Aymeric</t>
  </si>
  <si>
    <t>Paget</t>
  </si>
  <si>
    <t>aymericpaget@girold.com</t>
  </si>
  <si>
    <t xml:space="preserve">GIROLD Constructions Bois</t>
  </si>
  <si>
    <t>girold.com</t>
  </si>
  <si>
    <t>Barr</t>
  </si>
  <si>
    <t>Alsace-Champagne-Ardenne-Lorraine</t>
  </si>
  <si>
    <t>http://www.linkedin.com/company/girold-construction-bois</t>
  </si>
  <si>
    <t xml:space="preserve">☎ 03 88 08 73 76 - Pour vos projets de construction de maisons en bois en Alsace, faites appel à Girold, votre spécialiste de bâtiments à ossature bois.</t>
  </si>
  <si>
    <t>http://www.linkedin.com/in/aymeric-paget-839b0a95</t>
  </si>
  <si>
    <t xml:space="preserve">Benoit Bessat</t>
  </si>
  <si>
    <t>Bessat</t>
  </si>
  <si>
    <t>b.bessat@bessat-electricite.fr</t>
  </si>
  <si>
    <t xml:space="preserve">BESSAT Electricité</t>
  </si>
  <si>
    <t xml:space="preserve">multitechnique,systemes de securite incendie,maintenance,electricite,eclairage public,climatisation</t>
  </si>
  <si>
    <t>Diou</t>
  </si>
  <si>
    <t>http://www.linkedin.com/company/bessat-electricit%c3%a9</t>
  </si>
  <si>
    <t xml:space="preserve">Entreprise d'installation électrique courants forts et courants faibles, tertiaire domestique et industriel. Installations et maintenance CVC
Maintenance multitechnique</t>
  </si>
  <si>
    <t>http://www.linkedin.com/in/benoit-bessat-806aa6b0</t>
  </si>
  <si>
    <t xml:space="preserve">Benjamin Delample</t>
  </si>
  <si>
    <t>Delample</t>
  </si>
  <si>
    <t>b.delample@delamplevrd.fr</t>
  </si>
  <si>
    <t xml:space="preserve">DELAMPLE VRD</t>
  </si>
  <si>
    <t>delamplevrd.fr</t>
  </si>
  <si>
    <t>Castelnau-d'Estretefonds</t>
  </si>
  <si>
    <t xml:space="preserve">vrd,batiment,terrassement,chantier,construction,travaux publics,viabilisation,enrobe,assainissement,eau potable,route,parking,lotissement,reseau sec,reseau pluvial,eau usee</t>
  </si>
  <si>
    <t>http://www.linkedin.com/company/delample-vrd</t>
  </si>
  <si>
    <t xml:space="preserve">Dans le métier des travaux publics depuis 2017, DELAMPLE VRD, installée à Castelnau d'Estretefonds, près de  Toulouse (31), réalise tous travaux de terrassement, de réseaux, d'aménagement de surface  et de voirie.
À votre écoute, tous nos collaborateurs maîtrisent en totale autonomie leur chantier afin de vous conseiller pour mener à bien votre projet. Un interlocuteur unique gère votre projet, du chiffrage à l'achèvement du chantier.
●	La rencontre du client, l'analyse rapide de ses besoins ainsi que l'exécution dans les meilleurs délais de son projet sont notre priorité.
●	Notre savoir-faire nous permet de maitriser nos projets de la conception à la réalisation. 
●	A l'écoute des besoins des clients, l'entreprise s'appuie sur un parc matériel complet et diversifié qui lui assure disponibilité et réactivité.
Compétents et qualifiés, nous mettons tous les moyens humains et matériels à disposition des professionnels et particuliers afin de concevoir ensemble leur projet :
•	Collectivités locales et territoriales
•	Entreprises privées 
•	Promoteurs
•	Particuliers
Nous intervenons également pour la création de lotissements, la mise en conformité/viabilisation de terrains ou pour la réalisation d'un chemin d'accès privatif ou une voie d'accès publique en enrobé .</t>
  </si>
  <si>
    <t>http://www.linkedin.com/in/benjamin-delample-1298a1210</t>
  </si>
  <si>
    <t xml:space="preserve">Babacar Diop</t>
  </si>
  <si>
    <t>Babacar</t>
  </si>
  <si>
    <t>Diop</t>
  </si>
  <si>
    <t>b.diop@sooit.fr</t>
  </si>
  <si>
    <t>SooIT</t>
  </si>
  <si>
    <t>sooit.fr</t>
  </si>
  <si>
    <t>http://www.linkedin.com/company/sooit</t>
  </si>
  <si>
    <t xml:space="preserve">EXPERTISE ET INNOVATION TECHNOLOGIQUE AU SERVICE DE VOTRE DÉVELOPPEMENT... 
SooIT est une entreprise de prestation et de conseil en ingénierie, spécialisée dans la transformation numérique. 
Les femmes et les hommes qui composent l'équipe de SooIT, tous experts de leurs métiers, sont convaincus que l'exploitation de la data est un puissant levier de transformation pour les entreprises, quelle que soit leur taille. 
Leur objectif est de trouver les solutions les plus novatrices et performantes pour répondre aux besoins de leurs Clients, et surtout, pour les amener à se différencier, à progresser, à se développer. 
Portés par leurs valeurs fortes et humaines, par leurs expertises et savoir-faire pointus, les collaborateurs de SooIT accompagnent leurs Clients avec agilité, flexibilité et réactivité tout au long de la réalisation de leurs projets.</t>
  </si>
  <si>
    <t>http://www.linkedin.com/in/babacar-diop-0a4a43184</t>
  </si>
  <si>
    <t xml:space="preserve">Bassem Lamouchi</t>
  </si>
  <si>
    <t>Bassem</t>
  </si>
  <si>
    <t>Lamouchi</t>
  </si>
  <si>
    <t>b.lamouchi@tunisiancloud.com</t>
  </si>
  <si>
    <t xml:space="preserve">Président Directeur Général  Fondateur</t>
  </si>
  <si>
    <t xml:space="preserve">Tunisian Cloud</t>
  </si>
  <si>
    <t>tunisiancloud.com</t>
  </si>
  <si>
    <t>Antony</t>
  </si>
  <si>
    <t xml:space="preserve">cloud computing,tests de penetration,developpement,formation professionnelle,virtualisation,voip,integration,infogerance,etudes et conseil,securite,services it</t>
  </si>
  <si>
    <t>Tunisia</t>
  </si>
  <si>
    <t>http://www.linkedin.com/company/tunisian-cloud</t>
  </si>
  <si>
    <t>https://twitter.com/TunisianTc</t>
  </si>
  <si>
    <t xml:space="preserve">Tunisian Cloud, société tunisienne spécialisée dans les domaines de Cloud Computing, la sécurité informatique et l’intégration.</t>
  </si>
  <si>
    <t>http://www.linkedin.com/in/bassemlamouchi</t>
  </si>
  <si>
    <t xml:space="preserve">Benoit Macabeo</t>
  </si>
  <si>
    <t>Macabeo</t>
  </si>
  <si>
    <t>b.macabeo@cisepz.fr</t>
  </si>
  <si>
    <t>CISEPZ</t>
  </si>
  <si>
    <t>cisepz.fr</t>
  </si>
  <si>
    <t xml:space="preserve">climatisation,sanitaire,plomberie,ventilation,chauffage,amenagement,maintenance,industrie,tertiaire,habitat,renovation,salle blanche</t>
  </si>
  <si>
    <t>http://www.linkedin.com/company/cisepz</t>
  </si>
  <si>
    <t>https://www.facebook.com/profile.php</t>
  </si>
  <si>
    <t xml:space="preserve">CISEPZ, CONSTRUISONS ENSEMBLE VOS PROJETS, DU GROS OEUVRE À LA DÉCORATION INTÉRIEURE</t>
  </si>
  <si>
    <t>http://www.linkedin.com/in/benoit-macabeo-998b60100</t>
  </si>
  <si>
    <t xml:space="preserve">Brice Pouteil-Noble</t>
  </si>
  <si>
    <t>Pouteil-Noble</t>
  </si>
  <si>
    <t>b.noble@explorys.fr</t>
  </si>
  <si>
    <t xml:space="preserve">Directeur Général Délégué &amp; Associé</t>
  </si>
  <si>
    <t>Explorys</t>
  </si>
  <si>
    <t>explorys.fr</t>
  </si>
  <si>
    <t xml:space="preserve">cpf,reseau,agilite,lean startup,developpement d39entreprise,freelance,reprise,incubateur,entrepreneuriat,franchise,conseil,test,formation,reprise dentreprise,developpement dentreprise,accompagnement,independant,consulting,microentreprise,creation d39entreprise,contrat cape,tpe,creation dentreprise,levee de fonds,creation</t>
  </si>
  <si>
    <t>http://www.linkedin.com/company/explorys-incubateur</t>
  </si>
  <si>
    <t>https://twitter.com/explorys</t>
  </si>
  <si>
    <t xml:space="preserve">EXPLORYS, la méthode start-up au service des entrepreneurs indépendants.
Vous voulez créer votre entreprise ? 
Que vous soyez artisan, consultant·e, expert·e IT ou ingénieur·e, 
notre incubateur vous accompagne avec sa méthode CRASH-TEST 
issue des pratiques les plus avancées de l'entrepreneuriat. 
💡 Vous voulez en savoir  plus ?
Contactez-nous ⬇️
www.explorys.fr
contact@explorys.fr
Et participez à notre réunion d'information mensuelle sur la méthode CRASH-TEST et le Contrat CAPE ⬇️
https://cutt.ly/negCkuwR</t>
  </si>
  <si>
    <t>http://www.linkedin.com/in/brice-pouteil-noble-24557792</t>
  </si>
  <si>
    <t xml:space="preserve">Baptiste Artur</t>
  </si>
  <si>
    <t>Artur</t>
  </si>
  <si>
    <t>baptiste.artur@hpdia.com</t>
  </si>
  <si>
    <t xml:space="preserve">Directeur général Cofondateur</t>
  </si>
  <si>
    <t>HPDIA</t>
  </si>
  <si>
    <t>hpdia.com</t>
  </si>
  <si>
    <t>http://www.linkedin.com/company/hpdia</t>
  </si>
  <si>
    <t xml:space="preserve">Créée en 2019, HPDIA est une société d'ingénierie et de conseil en Data Science et Computing Haute Performance. Nous développons des solutions innovantes pour nos clients, principalement pour le secteur bancaire et assurantiel. En pleine croissance, nous consolidons notre positionnement sur le marché financier tout en démocratisant nos savoir-faire au sein du monde industriel.
Positionnement technologique
HPDIA repose sur 3 piliers complémentaires : l'IA, la Data et le HPC. L'IA valorise les données de nos clients, le HPC nous assure de pérenniser des solutions optimisées et la data constitue le dénominateur commun de nos savoir-faire.
Connaissance métier
Les expertises IA-DATA-HPC se déploient naturellement dans des secteurs aussi variés qu'exigeants, de la finance à l'aéronautique en passant par les systèmes d'information ou les environnements mission-critique. Nous complétons notre expertise technique par une connaissance fine des enjeux métiers, afin de délivrer des solutions durables, centrées sur les besoins de nos clients.
Culture
HPDIA est fondé sur une primauté à l'orientation technique et projet avant tout. Principe fondamental à nos yeux pour entretenir un partenariat de confiance avec nos clients sur le long terme et pour offrir à nos collaborateurs un environnement favorable à leur épanouissement professionnel.</t>
  </si>
  <si>
    <t>http://www.linkedin.com/in/baptiste-artur-620037185</t>
  </si>
  <si>
    <t xml:space="preserve">Baptiste Mondion</t>
  </si>
  <si>
    <t>Mondion</t>
  </si>
  <si>
    <t>baptiste.mondion@junior-mines-provence.fr</t>
  </si>
  <si>
    <t xml:space="preserve">Junior Mines Provence</t>
  </si>
  <si>
    <t>junior-mines-provence.fr</t>
  </si>
  <si>
    <t>Gardanne</t>
  </si>
  <si>
    <t>informatique,electronique,microelectronique</t>
  </si>
  <si>
    <t>http://www.linkedin.com/company/junior-mines-provence</t>
  </si>
  <si>
    <t xml:space="preserve">Junior Mines Provence, les spécialistes des Mines de l'informatique. Junior Mines Provence est la Junior-Entreprise de l’École des Mines de Saint-Étienne sur le Campus Georges Charpak Provence. Nous souhaitons rendre accessible les talents des élèves-ingénieurs de l’École des Mines aux entreprises.</t>
  </si>
  <si>
    <t>http://www.linkedin.com/in/baptiste-mondion</t>
  </si>
  <si>
    <t xml:space="preserve">Baptiste Broughton</t>
  </si>
  <si>
    <t>Broughton</t>
  </si>
  <si>
    <t>baptiste@worklib.io</t>
  </si>
  <si>
    <t>co-CEO</t>
  </si>
  <si>
    <t>Worklib</t>
  </si>
  <si>
    <t>worklib.io</t>
  </si>
  <si>
    <t xml:space="preserve">immobilier flexible,coworking,salles de reunion,bureaux prives,hub management,flex office</t>
  </si>
  <si>
    <t>http://www.linkedin.com/company/worklib-io</t>
  </si>
  <si>
    <t>https://twitter.com/bapbroughton</t>
  </si>
  <si>
    <t xml:space="preserve">Worklib, c'est la plateforme des espaces de travail flexibles.
🌍 Le plus grand bureau du monde vous ouvre ses portes.
Worklib aide les entreprises à créer et gérer un réseau sur mesure d'espaces qui renforcent le collectif au travail.
📍 Poussez les portes de plus de 20 000 espaces de travail dans le monde.
Avec Worklib, trouvez le bon espace de travail, au bon moment, pour le bon usage. Retrouvez facilement vos collègues et faites de nouvelles rencontres, au bureau ou ailleurs !
👋 Rejoignez la plus grande communauté d'espaces de travail.
Worklib fait découvrir vos espaces à des collaborateurs partout dans le monde. Partagez votre hospitalité, devenez hôte Worklib !</t>
  </si>
  <si>
    <t>http://www.linkedin.com/in/baptistebroughton</t>
  </si>
  <si>
    <t xml:space="preserve">Benjamin Bonnard</t>
  </si>
  <si>
    <t>Bonnard</t>
  </si>
  <si>
    <t>bbonnard@serynis.fr</t>
  </si>
  <si>
    <t>Serynis</t>
  </si>
  <si>
    <t>serynis.fr</t>
  </si>
  <si>
    <t xml:space="preserve">protections pour lindustrie et laeronautique,architecture textile,panneaux et toiles accoustiques,voiles dombrage,stores et baches,sellerie dameublement,protections pour lenvironnement,sellerie auto,nautique et medical,decoupe a facon materiaux souples,couvertures de fosses</t>
  </si>
  <si>
    <t>http://www.linkedin.com/company/serynis-textiles-techniques</t>
  </si>
  <si>
    <t xml:space="preserve">Serynis conçoit et fabrique des produits destinés à différents secteurs : industrie, automobile, production d'énergie, nucléaire, chimie, aéronautique, habitat, architecture et construction.
Depuis 1970 nous sommes à l'écoute de nos clients pour étudier, concevoir et fabriquer les produits qui répondent à leur juste besoin. Chaque jour nous développons ainsi notre savoir-faire : Étude d'usage, analyse des contraintes techniques et environnementales, création et conception 3D, fabrication dans nos ateliers, livraison et intervention sur l'ensemble du territoire.
Serynis Grando développe son savoir-faire dans la transformation de matériaux souples depuis plus de 17 ans.
La société bénéficie d'une excellente notoriété, grâce à son engagement dans le service et la qualité de ses produits. Elle est reconnue pour son expérience dans la conception et la fabrication de produits textiles techniques, dans la protection solaire et les travaux de sellerie d'art.
Serynis Grando propose des gammes complètes de produits et de solutions sur mesure, dédiées à cinq domaines d'activité : Architecture et bâtiment – Environnement et agriculture – Industrie – Sports et loisirs – Habitat.
Serynis Grando propose à ses clients une solution globale, d'étude, de conception et de fabrication. La société est aujourd'hui spécialisée dans la réalisation de produits sur mesure, en petites et moyennes séries.
Membre du réseau Expert Serge Ferrari, Serynis Grando bénéficie des dernières innovations textiles et peux ainsi proposer des produits parfaitement adaptés aux besoins de ses clients les plus exigeants.</t>
  </si>
  <si>
    <t>http://www.linkedin.com/in/serynis</t>
  </si>
  <si>
    <t xml:space="preserve">Bertrand Decultot</t>
  </si>
  <si>
    <t>Decultot</t>
  </si>
  <si>
    <t>bdecultot@bdconsulting.fr</t>
  </si>
  <si>
    <t xml:space="preserve">Fondateur  Consultant Associé</t>
  </si>
  <si>
    <t xml:space="preserve">BD Consulting</t>
  </si>
  <si>
    <t>bdconsulting.fr</t>
  </si>
  <si>
    <t xml:space="preserve">conseil en performance commerciale,formation et accompagnement des forces de vente en b2b,formation et accompagnement des managers commerciaux,coaching de dirigeants,prise de rdv aupres de decideurs</t>
  </si>
  <si>
    <t>http://www.linkedin.com/company/bd-consulting</t>
  </si>
  <si>
    <t xml:space="preserve">BD CONSULTING est un cabinet de conseil et de formation spécialisé exclusivement dans l'amélioration de la performance commerciale des entreprises évoluant dans les environnement B2B. Notre mission principale est de déployer et d'ancrer dans le temps les bonnes pratiques managériales et commerciales au sein des forces de vente et pôles relation client en vue de faire  de ces équipes de véritables leviers de croissance.
Nous travaillons étroitement avec les Directions Générales, les Directions Commerciales et les Directions des Ressources Humaines pour déployer auprès des forces commerciales, de véritables projets de changement co-construits avec le client. Nous commençons très souvent par une phase d'audit pour mettre en évidence les leviers de performance ; puis nous déployons les actions de formation et de coaching sur une période plus ou moins longue, permettant de sécuriser les acquis dans le temps. Nous animons également de nombreuses formations commerciales et sur le management, en inter et en intra.
La plus grande force de BD CONSULTING est la très grande capacité d'adaptation de ses consultants leur permettant d'intervenir dans tous les secteurs d'activités B2B (Industrie, Assurances, Services, Technologies, …), aussi bien auprès de grandes entreprises du CAC40 que de très nombreuses PME/TPE. Cette agilité reconnue leur permet notamment d'accompagner des équipes sur le terrain en RDV ou sur la gestion de très grosses opportunités jusqu'à leurs conclusions.
Enfin BD CONSULTING est aussi apprécié pour sa forte expertise dans les meilleures pratiques commerciales en environnement B2B. Revisitant des méthodes  de vente éprouvées dans le monde comme Solution Selling, SPIN Selling, Strategic Selling ou Power Base Selling, le cabinet a su développer ses propres méthodes autour de la vente consultative, de la vente complexe ou encore de la gestion des grands comptes pour aider les forces commerciales à réussir en structurant mieux leur approche.</t>
  </si>
  <si>
    <t>http://www.linkedin.com/in/bertrand-decultot-98260622</t>
  </si>
  <si>
    <t xml:space="preserve">Laurent Benchetrit</t>
  </si>
  <si>
    <t>Benchetrit</t>
  </si>
  <si>
    <t>benchetrit@auphys.com</t>
  </si>
  <si>
    <t xml:space="preserve">Auphys Technologie</t>
  </si>
  <si>
    <t>auphys.com</t>
  </si>
  <si>
    <t xml:space="preserve">service en ingenierie industrielle,automatisme et supervision,ingenierieconstruction,bim,installation generale,tuyauterie industrielle,electricite tertiaire et industrielle</t>
  </si>
  <si>
    <t>Seyssinet-Pariset</t>
  </si>
  <si>
    <t>http://www.linkedin.com/company/auphys-technologie</t>
  </si>
  <si>
    <t xml:space="preserve">VOUS SÉRÉNISER, C’EST NOTRE MÉTIER</t>
  </si>
  <si>
    <t>http://www.linkedin.com/in/laurent-benchetrit-87068198</t>
  </si>
  <si>
    <t xml:space="preserve">Benjamin Camerino</t>
  </si>
  <si>
    <t>Camerino</t>
  </si>
  <si>
    <t>benjamin.camerino@cgbi.fr</t>
  </si>
  <si>
    <t>CGBI</t>
  </si>
  <si>
    <t>http://www.linkedin.com/company/cgbi</t>
  </si>
  <si>
    <t>http://www.linkedin.com/in/benjamin-camerino-55a8b9117</t>
  </si>
  <si>
    <t xml:space="preserve">Benjamin Guerlot</t>
  </si>
  <si>
    <t>Guerlot</t>
  </si>
  <si>
    <t>benjamin.guerlot@eoris.fr</t>
  </si>
  <si>
    <t xml:space="preserve">Directeur général - Nous recrutons !</t>
  </si>
  <si>
    <t>EORIS</t>
  </si>
  <si>
    <t>eoris.fr</t>
  </si>
  <si>
    <t xml:space="preserve">computer networking</t>
  </si>
  <si>
    <t xml:space="preserve">open source,glpi,proxmox,itsm,si,securite,conseil,audit,dsi,virtualisation,reseau,systeme dinformation,maarch,bluemind,chefferie de projet,projet,digital,messagerie collaborative</t>
  </si>
  <si>
    <t>http://www.linkedin.com/company/eoris</t>
  </si>
  <si>
    <t xml:space="preserve">Des experts en solutions open-source pour la gestion de vos systèmes d'informations et des solutions pour vous faire gagner un temps précieux.</t>
  </si>
  <si>
    <t>http://www.linkedin.com/in/benjamin-guerlot</t>
  </si>
  <si>
    <t xml:space="preserve">Benjamin Richez</t>
  </si>
  <si>
    <t>Richez</t>
  </si>
  <si>
    <t>benjamin.richez@sporeo.fr</t>
  </si>
  <si>
    <t xml:space="preserve">Directeur général Associé Département Licence et Activation</t>
  </si>
  <si>
    <t>SPOREO</t>
  </si>
  <si>
    <t>sporeo.fr</t>
  </si>
  <si>
    <t xml:space="preserve">flocage,sport,evenementiel,broderie,produits derives,creation produit,fan experience</t>
  </si>
  <si>
    <t>http://www.linkedin.com/company/sporeo1</t>
  </si>
  <si>
    <t xml:space="preserve">Sporeo développe votre image  de manière responsable, durable et sobre. Nous vous conseillons, personnalisons et distribuons votre merchandising.</t>
  </si>
  <si>
    <t>http://www.linkedin.com/in/benjamin-richez-b089a419</t>
  </si>
  <si>
    <t xml:space="preserve">Benjamin Seulin</t>
  </si>
  <si>
    <t>Seulin</t>
  </si>
  <si>
    <t>benjamin.seulin@gcube-conseil.com</t>
  </si>
  <si>
    <t xml:space="preserve">Directeur &amp; Co-fondateur de Gcube Conseil</t>
  </si>
  <si>
    <t xml:space="preserve">Gcube Conseil</t>
  </si>
  <si>
    <t>gcube-conseil.com</t>
  </si>
  <si>
    <t xml:space="preserve">aeronautique,integration,gestion de projet,developpement,partenariats,conseil,ferroviaire,ingenierie,naval,humain,consulting,energies,mecanique,valorisation,etudes</t>
  </si>
  <si>
    <t xml:space="preserve">La Ciotat</t>
  </si>
  <si>
    <t>http://www.linkedin.com/company/gcube-conseil</t>
  </si>
  <si>
    <t xml:space="preserve">Gcube Conseil est une société de conseil en ingénierie fondée sur une conviction : la bienveillance et la co-construction peuvent être les fondations d’un partenariat vertueux.</t>
  </si>
  <si>
    <t>http://www.linkedin.com/in/benjamin-seulin-37bb278a</t>
  </si>
  <si>
    <t xml:space="preserve">Benjamin Breuil</t>
  </si>
  <si>
    <t>Breuil</t>
  </si>
  <si>
    <t>benjamin@breuilbatiment.com</t>
  </si>
  <si>
    <t xml:space="preserve">SAS BREUIL BATIMENT</t>
  </si>
  <si>
    <t>breuilbatiment.com</t>
  </si>
  <si>
    <t>Migne-Auxances</t>
  </si>
  <si>
    <t>Aquitaine-Limousin-Poitou-Charentes</t>
  </si>
  <si>
    <t>http://www.linkedin.com/company/sa-breuil-et-cie</t>
  </si>
  <si>
    <t xml:space="preserve">Breuil Bâtiment, c'est avant tout une histoire de famille. Depuis quatre-vingt-dix ans, quatre générations assurent la pérennité de cette entreprise de bâtiment implantée aux portes de Poitiers. Une PME à taille humaine, historiquement ancrée dans son territoire mais qui a su anticiper pour s'adapter aux évolutions du marché de la construction et développer une large palette de compétences. Sa force repose sur une équipe de soixante-dix compagnons expérimentés qui partagent tous le même amour du travail bien fait. Résolument tournée vers l'avenir et jouissant d'une expertise reconnue, Breuil Bâtiment a ainsi gagné la confiance de nombreux clients, publics et privés.</t>
  </si>
  <si>
    <t>http://www.linkedin.com/in/benjamin-breuil-175596b8</t>
  </si>
  <si>
    <t xml:space="preserve">Benjamin Queroy</t>
  </si>
  <si>
    <t>Queroy</t>
  </si>
  <si>
    <t>benjamin@kwantic.fr</t>
  </si>
  <si>
    <t>Kwantic</t>
  </si>
  <si>
    <t>kwantic.fr</t>
  </si>
  <si>
    <t xml:space="preserve">application mobile,erp,crm,site vitrine,site ecommerce,ux,ui,react native,flutter,java,odoo,microsoft 365,sage x3,wordpress,drupal,prestashop,magento,nodejs,symfony,laravel</t>
  </si>
  <si>
    <t>http://www.linkedin.com/company/kwantic</t>
  </si>
  <si>
    <t xml:space="preserve">Kwantic, agence de développement web à Bordeaux, vous accompagne dans la réalisation de votre site internet, de la phase de conception à la restitution clé en main.</t>
  </si>
  <si>
    <t>http://www.linkedin.com/in/benjamin-queroy</t>
  </si>
  <si>
    <t xml:space="preserve">Benoit Gandon</t>
  </si>
  <si>
    <t>benoit.gandon@bomzai.fr</t>
  </si>
  <si>
    <t xml:space="preserve">Directeur associé et cofondateur</t>
  </si>
  <si>
    <t>bomzai</t>
  </si>
  <si>
    <t>bomzai.fr</t>
  </si>
  <si>
    <t>governance,agile,engineer,cloud,management,data,stream,api,architecture</t>
  </si>
  <si>
    <t>http://www.linkedin.com/company/bomzai</t>
  </si>
  <si>
    <t>https://twitter.com/bomzaiofficiel</t>
  </si>
  <si>
    <t>https://www.facebook.com/Bomzai-101147832093047</t>
  </si>
  <si>
    <t xml:space="preserve">Notre start-up, dynamique et innovante, a pour objectif de vous accompagner dans votre transformation digitale. Nous vous aidons à définir, construire et déployer vos architectures Data et Cloud.</t>
  </si>
  <si>
    <t>http://www.linkedin.com/in/benoit-gandon-298730164</t>
  </si>
  <si>
    <t xml:space="preserve">Imad Bensisaid</t>
  </si>
  <si>
    <t>Imad</t>
  </si>
  <si>
    <t>Bensisaid</t>
  </si>
  <si>
    <t>bensisaid.imad@uni5-technologies.com</t>
  </si>
  <si>
    <t xml:space="preserve">Co-fondateur &amp; Architecte cloud</t>
  </si>
  <si>
    <t>UNi5</t>
  </si>
  <si>
    <t>uni5-technologies.com</t>
  </si>
  <si>
    <t xml:space="preserve">microsoft,azure,sharepoint,teams,power plateform,outlook,ms365,onedrive,azure modern apps</t>
  </si>
  <si>
    <t>http://www.linkedin.com/company/uni5-technologies</t>
  </si>
  <si>
    <t>https://www.facebook.com/Uni5.Technologies/</t>
  </si>
  <si>
    <t xml:space="preserve">Nous sommes une entreprise spécialisée dans les technologies Microsoft, offrant une expertise exceptionnelle dans: Azure, Azure Modern Apps, SharePoint, Power Platform, Teams, OneDrive, Outlook, et MS365.
Notre équipe qualifiée vous accompagne pour optimiser vos solutions Microsoft et stimuler votre réussite technologique.</t>
  </si>
  <si>
    <t>http://www.linkedin.com/in/imad-bensisaid-725378197</t>
  </si>
  <si>
    <t xml:space="preserve">Joachim Bernabe</t>
  </si>
  <si>
    <t>Bernabe</t>
  </si>
  <si>
    <t>bernabe@abis-cloison.com</t>
  </si>
  <si>
    <t>ABIS</t>
  </si>
  <si>
    <t>abis-cloison.com</t>
  </si>
  <si>
    <t>Meudon</t>
  </si>
  <si>
    <t xml:space="preserve">reprise de peinture,cloison,amenagement de bureaux professionnels,fauxplafond,revetement de sol,demolition</t>
  </si>
  <si>
    <t>Gennevilliers</t>
  </si>
  <si>
    <t>http://www.linkedin.com/company/abis-au-dela-de-l-amenagement</t>
  </si>
  <si>
    <t xml:space="preserve">L'équipe d'ABIS est spécialisée dans la construction et la réalisation d'aménagement de bureaux et locaux professionnels à Paris, Appelez-nous dès maintenant.</t>
  </si>
  <si>
    <t>http://www.linkedin.com/in/joachim-bernab%c3%a9-12244486</t>
  </si>
  <si>
    <t xml:space="preserve">Bertrand Briero</t>
  </si>
  <si>
    <t>Briero</t>
  </si>
  <si>
    <t>bertrand.briero@briero.fr</t>
  </si>
  <si>
    <t>briero.fr</t>
  </si>
  <si>
    <t>Mauron</t>
  </si>
  <si>
    <t>http://www.linkedin.com/company/briero</t>
  </si>
  <si>
    <t xml:space="preserve">Installée à Mauron, Briero exerce 3 métiers : la charpente, la couverture et la menuiserie. Ceux-ci sont appliqués à la construction à ossature bois (neuf et extension), (habitat et tertiaire), ainsi qu'à la restauration du patrimoine avec une clientèle publique et privée.</t>
  </si>
  <si>
    <t>http://www.linkedin.com/in/bertrand-briero-15454219a</t>
  </si>
  <si>
    <t xml:space="preserve">Bertrand Grau</t>
  </si>
  <si>
    <t>Grau</t>
  </si>
  <si>
    <t>bertrand.grau@circle-strategy.com</t>
  </si>
  <si>
    <t xml:space="preserve">Senior Partner - Directeur Général Adjoint</t>
  </si>
  <si>
    <t xml:space="preserve">Circle Strategy</t>
  </si>
  <si>
    <t>circle-strategy.com</t>
  </si>
  <si>
    <t>http://www.linkedin.com/company/circle-strategy</t>
  </si>
  <si>
    <t xml:space="preserve">Circle, cabinet de conseil en stratégie basé à Paris, Bruxelles et Luxembourg. Le cœur de notre métier est d’amener notre ADN pragmatique dans la réalisation de plans stratégiques et de transformation pour les grands groupes.</t>
  </si>
  <si>
    <t>http://www.linkedin.com/in/bertrandgrau</t>
  </si>
  <si>
    <t xml:space="preserve">Bertrand Pelain</t>
  </si>
  <si>
    <t>Pelain</t>
  </si>
  <si>
    <t>bertrand.pelain@spl-agate.com</t>
  </si>
  <si>
    <t xml:space="preserve">SPL AGATE</t>
  </si>
  <si>
    <t>spl-agate.com</t>
  </si>
  <si>
    <t xml:space="preserve">architecture &amp; planning</t>
  </si>
  <si>
    <t xml:space="preserve">developpement economique local,delegation de services publics,renovation urbaine,environnement,amenagement,urbanisme,construction</t>
  </si>
  <si>
    <t>http://www.linkedin.com/company/spl-agate</t>
  </si>
  <si>
    <t xml:space="preserve">Citée à Nîmes, la SPL Agate accompagne ses communes actionnaires et l'agglomération, pour des opérations d’aménagement, de construction ou de gestion de services publics ...</t>
  </si>
  <si>
    <t>http://www.linkedin.com/in/pelain-bertrand-00762715</t>
  </si>
  <si>
    <t xml:space="preserve">Bertrand Soviche</t>
  </si>
  <si>
    <t>Soviche</t>
  </si>
  <si>
    <t>bertrand.soviche@dc-pilot.com</t>
  </si>
  <si>
    <t xml:space="preserve">Dirigeant associé - DC PILOT France</t>
  </si>
  <si>
    <t xml:space="preserve">DC Pilot France</t>
  </si>
  <si>
    <t>dc-pilot.com</t>
  </si>
  <si>
    <t>Bellegarde-Poussieu</t>
  </si>
  <si>
    <t xml:space="preserve">direction commmerciale partagee,pilotage des organisations et des ressources,strategie et positionnement,developpement commercial marketing et communication,management commercial,temps partage,strategie commerciale,plan daction commercial</t>
  </si>
  <si>
    <t>http://www.linkedin.com/company/dc-pilot-france</t>
  </si>
  <si>
    <t>https://twitter.com/DCpilot_france</t>
  </si>
  <si>
    <t>https://www.facebook.com/dcpilotfrance</t>
  </si>
  <si>
    <t xml:space="preserve">DC Pilot propose une solution innovante aux PME/PMI pour leur flexibilité et réactivité : la mise à disposition d'un directeur commercial en temps partagé.</t>
  </si>
  <si>
    <t>http://www.linkedin.com/in/bertrand-soviche-819a77b7</t>
  </si>
  <si>
    <t xml:space="preserve">Blaise Agresti</t>
  </si>
  <si>
    <t>Blaise</t>
  </si>
  <si>
    <t>Agresti</t>
  </si>
  <si>
    <t>blaise@mountain-path.com</t>
  </si>
  <si>
    <t xml:space="preserve">Founder &amp; Managing Partner</t>
  </si>
  <si>
    <t xml:space="preserve">Mountain Path</t>
  </si>
  <si>
    <t>mountain-path.com</t>
  </si>
  <si>
    <t xml:space="preserve">Les Houches</t>
  </si>
  <si>
    <t xml:space="preserve">management,conseil,haute montagne,performance,collaboration,seminaire entreprise,rh,learning by doing,soft skills,experientiel,impact,formation,pedagogie,education,strategie,innovation,leadership,incertitude,gestion de crise,transformation,engagement,depassement,durable,bienetre,intelligence collective,equipe,comportements,apprendre,immersion,guide,cordee</t>
  </si>
  <si>
    <t>http://www.linkedin.com/company/mountain-path</t>
  </si>
  <si>
    <t>https://twitter.com/mountainpathuk</t>
  </si>
  <si>
    <t>https://www.facebook.com/learnfromaltitude/</t>
  </si>
  <si>
    <t xml:space="preserve">Notre cabinet de conseil vous propose des séminaires immersifs en montagne 
pour faire émerger les qualités essentielles de leadership individuel et 
collectif en incertitude.</t>
  </si>
  <si>
    <t>http://www.linkedin.com/in/blaise-agresti-51684748</t>
  </si>
  <si>
    <t xml:space="preserve">Bertrand Moineau</t>
  </si>
  <si>
    <t>Moineau</t>
  </si>
  <si>
    <t>bmoineau@1630conseil.com</t>
  </si>
  <si>
    <t xml:space="preserve">Associé fondateur</t>
  </si>
  <si>
    <t xml:space="preserve">1630 Conseil</t>
  </si>
  <si>
    <t>1630conseil.com</t>
  </si>
  <si>
    <t>http://www.linkedin.com/company/1630-conseil</t>
  </si>
  <si>
    <t xml:space="preserve">Cabinet d’études et de conseil, 1630 Conseil offre ses services avec un esprit d’ouverture, conscient que la valeur du conseil, au-delà du savoir qu’il délivre, est indémêlable de la tournure qui l’anime.</t>
  </si>
  <si>
    <t>http://www.linkedin.com/in/bertrand-moineau-9551555</t>
  </si>
  <si>
    <t xml:space="preserve">Boris Vigaud</t>
  </si>
  <si>
    <t>Vigaud</t>
  </si>
  <si>
    <t>boris.vigaud@primo1d.com</t>
  </si>
  <si>
    <t xml:space="preserve">Directeur Général Adjoint / COO</t>
  </si>
  <si>
    <t>Primo1D</t>
  </si>
  <si>
    <t>primo1d.com</t>
  </si>
  <si>
    <t>Villard-de-Lans</t>
  </si>
  <si>
    <t xml:space="preserve">electrical/electronic manufacturing</t>
  </si>
  <si>
    <t xml:space="preserve">e-commerce,consumer internet,internet,information technology,ethread,rain rfid in a yarn,smart tag,native id,embedded eas,smart garment,embedded tag,tag in a yarn,tag in a filar form,embedded rain rfid,retail,industry</t>
  </si>
  <si>
    <t>http://www.linkedin.com/company/primo1d</t>
  </si>
  <si>
    <t>https://twitter.com/Primo1DSAS</t>
  </si>
  <si>
    <t xml:space="preserve">Primo1D offer a unique UHF RFID technology based on a micro-encapsulation of electronic circuits: streamlined, simple and robust</t>
  </si>
  <si>
    <t>http://www.linkedin.com/in/borisvigaud</t>
  </si>
  <si>
    <t xml:space="preserve">Brice Roux</t>
  </si>
  <si>
    <t>Roux</t>
  </si>
  <si>
    <t>brice.roux@acesoftware.fr</t>
  </si>
  <si>
    <t xml:space="preserve">ACE SOFTWARE</t>
  </si>
  <si>
    <t>acesoftware.fr</t>
  </si>
  <si>
    <t xml:space="preserve">convocations,woqualite,paie pour le monde de la proprete,pointage hotels,planning graphique salaries,notifications salaries,sirh complet,wonett suite modulaire erp facturation,logiciel de paie multi conventions,wotelepointage,comptabilite,wosms,planning visites inspecteurs,wopaie,changement de planning,woplanning,qrcodes,en toute mobilite,controles chantiers,bons de passage avec signature client,suivi non conformites,integre a wonett,alertes,chantiers</t>
  </si>
  <si>
    <t>Mouans-Sartoux</t>
  </si>
  <si>
    <t>http://www.linkedin.com/company/ace-software</t>
  </si>
  <si>
    <t xml:space="preserve">ERP complet de gestion, comptabilité,
            paie, planning, pointage, spécialisé pour les métiers de la
            propreté</t>
  </si>
  <si>
    <t>http://www.linkedin.com/in/brice-roux-98a251a5</t>
  </si>
  <si>
    <t xml:space="preserve">Bertrand Brodu</t>
  </si>
  <si>
    <t>Brodu</t>
  </si>
  <si>
    <t>brodu@admbrodu.fr</t>
  </si>
  <si>
    <t xml:space="preserve">SAS BRODU</t>
  </si>
  <si>
    <t>admbrodu.fr</t>
  </si>
  <si>
    <t xml:space="preserve">La Ferriere</t>
  </si>
  <si>
    <t xml:space="preserve">menuiseries,agencements,bois,traitement acoustique,panneaux perfores</t>
  </si>
  <si>
    <t>http://www.linkedin.com/company/adm-brodu</t>
  </si>
  <si>
    <t xml:space="preserve">Installée à La Ferrière, ADM Brodu est une entreprise qui intervient dans les domaines de la menuiserie bois et des agencements. </t>
  </si>
  <si>
    <t>http://www.linkedin.com/in/bertrand-brodu-08616117a</t>
  </si>
  <si>
    <t xml:space="preserve">Bruno Orsier</t>
  </si>
  <si>
    <t>Orsier</t>
  </si>
  <si>
    <t>bruno.orsier@persistent.com</t>
  </si>
  <si>
    <t xml:space="preserve">Principal Engineering Manager / Directeur Général / Coach</t>
  </si>
  <si>
    <t xml:space="preserve">Persistent Systems France</t>
  </si>
  <si>
    <t xml:space="preserve">service informatique,developpement logiciel,agile,scrum,chimie,formation,gestion de projet,tests automatises,c,salesforce,sales cloud,marketing could,service cloud,business analyst,transformation digitale,tableau</t>
  </si>
  <si>
    <t>http://www.linkedin.com/company/persistent-systems-france</t>
  </si>
  <si>
    <t xml:space="preserve">The Persistent European Salesforce Practice bundles more than 17 years of Salesforce experience in a diverse team of dedicated experts across , France, Switzerland, Germany, UK and Belarus. 
With our deep industry expertise and vast cross-cloud experience we deliver end-to-end solutions for our customers to turn their business challenges into business opportunities. 
From mid-market to enterprise business – our concept as a boutique Salesforce partner at enterprise scale allows us to always provide the right setup for every customer. And since we believe that complex transformations require close partnerships we are always close to our clients with 10 offices and local resources in many cities in Europe.
Should you wish additional information, please contact us by email at contact-france@persistent.com</t>
  </si>
  <si>
    <t>http://www.linkedin.com/in/brunoorsier</t>
  </si>
  <si>
    <t xml:space="preserve">Bruno Caillard</t>
  </si>
  <si>
    <t>Caillard</t>
  </si>
  <si>
    <t>bruno@bilp.fr</t>
  </si>
  <si>
    <t>BILP</t>
  </si>
  <si>
    <t>bilp.fr</t>
  </si>
  <si>
    <t xml:space="preserve">autoconstruction,guides pratiques,construction en bois,vente de materiel et doutillages,ossature bois</t>
  </si>
  <si>
    <t>Goyrans</t>
  </si>
  <si>
    <t>http://www.linkedin.com/company/bilp</t>
  </si>
  <si>
    <t xml:space="preserve">Vous êtes sur le site des Éditions BILP. Les Éditions BILP ont pour vocation de fournir informations, produits et services répondant aux (…)</t>
  </si>
  <si>
    <t>http://www.linkedin.com/in/bruno-caillard-bb22a7166</t>
  </si>
  <si>
    <t xml:space="preserve">Benoit Sauvage</t>
  </si>
  <si>
    <t>bsauvage@jsautomation.fr</t>
  </si>
  <si>
    <t xml:space="preserve">Dirigeant Associé - Président JS AUTOMATION</t>
  </si>
  <si>
    <t xml:space="preserve">JS AUTOMATION</t>
  </si>
  <si>
    <t>jsa-groupe.com</t>
  </si>
  <si>
    <t>Tournon-sur-Rhone</t>
  </si>
  <si>
    <t xml:space="preserve">controle commande,supervision,reseaux de communication,protection reseaux electriques,hypervision,automate</t>
  </si>
  <si>
    <t>Voiron</t>
  </si>
  <si>
    <t>http://www.linkedin.com/company/jsa-groupe</t>
  </si>
  <si>
    <t xml:space="preserve">JSA Groupe est votre partenaire en contrôle-commande, régulation et supervision pour les secteurs de l'énergie et de l'industrie.</t>
  </si>
  <si>
    <t>http://www.linkedin.com/in/bsauvage07</t>
  </si>
  <si>
    <t xml:space="preserve">Benjamin Sebire</t>
  </si>
  <si>
    <t>Sebire</t>
  </si>
  <si>
    <t>bsebire@creagift.fr</t>
  </si>
  <si>
    <t>Créagift</t>
  </si>
  <si>
    <t>creagift.fr</t>
  </si>
  <si>
    <t xml:space="preserve">Les Herbiers</t>
  </si>
  <si>
    <t xml:space="preserve">La Chapelle-Basse-Mer</t>
  </si>
  <si>
    <t>http://www.linkedin.com/company/creagift-nantes</t>
  </si>
  <si>
    <t>https://www.facebook.com/CreagiftNantes</t>
  </si>
  <si>
    <t xml:space="preserve">L’agence aux idées de cadeaux d’affaires, d’objets et textiles personnalisables originaux et tendances pour les entreprises et leurs projets.</t>
  </si>
  <si>
    <t>http://www.linkedin.com/in/benjamin-sebire-315595113</t>
  </si>
  <si>
    <t xml:space="preserve">Baptiste Thellier</t>
  </si>
  <si>
    <t>Thellier</t>
  </si>
  <si>
    <t>bthellier@neoedge.fr</t>
  </si>
  <si>
    <t xml:space="preserve">Directeur Général - NEOEDGE</t>
  </si>
  <si>
    <t>NEOEDGE</t>
  </si>
  <si>
    <t>neoedge.fr</t>
  </si>
  <si>
    <t xml:space="preserve">vmware,netapp,microsoft cloud,private cloud,cloud prive,edge computing,fortinet,tanzu,ovh,vxrail,vsan,services manages,veeam,dell,o365,microsoft sccm,nsxt,kubernetes,maintient en condition de securite,cisco,sdwan,ubiquiti,workspace one,san,amo,hybridation,infogerance,contrat de support,lenovo,microsoft core,contrat support,citrix,datacore,ovhcloud,azure ad,nsx,airwatch,hybrid cloud,multi cloud,palo alto,maintien en condition operationnel,maintien en condition operationnelle,vdi,horizon,pri pci,aws,cloud hybride,office 365,pra pca,azure,intune,itsm,edge,maintien en condition de securite,autopilot,microsoft,stormshield</t>
  </si>
  <si>
    <t>http://www.linkedin.com/company/neoedge-ipstar</t>
  </si>
  <si>
    <t>https://twitter.com/NeoEdgeFR</t>
  </si>
  <si>
    <t xml:space="preserve">𝗡𝗲𝗼𝗲𝗱𝗴𝗲 est un architecte des systèmes d'information et infrastructures innovantes.
🌍 Présents en France, implantés dans les régions (Marseille, Amiens, Lyon, Paris), nous sommes proches de nos clients et de leurs besoins.
Nous intervenons à la demande et à la carte, que ce soit pour des 𝗮𝗿𝗰𝗵𝗶𝘁𝗲𝗰𝘁𝘂𝗿𝗲𝘀 𝗰𝗼𝗻𝘃𝗲𝗻𝘁𝗶𝗼𝗻𝗻𝗲𝗹𝗹𝗲𝘀, 𝗰𝗼𝗻𝘃𝗲𝗿𝗴𝗲́𝗲𝘀 ou 𝗵𝘆𝗽𝗲𝗿𝗰𝗼𝗻𝘃𝗲𝗿𝗴𝗲́𝗲𝘀 – en phase de 𝗱𝗲𝘀𝗶𝗴𝗻, 𝗱𝗲 𝗰𝗼𝗻𝘀𝘁𝗿𝘂𝗰𝘁𝗶𝗼𝗻 𝗼𝘂 𝗱'𝗲𝘅𝗽𝗹𝗼𝗶𝘁𝗮𝘁𝗶𝗼𝗻.
🔒 E𝘅𝗽𝗲𝗿𝘁𝘀 𝗱𝘂 𝗼𝗻-𝗽𝗿𝗲𝗺𝗶𝘀𝗲𝘀 𝗲𝘁 𝗱𝘂 𝗰𝗹𝗼𝘂𝗱 𝗵𝘆𝗯𝗿𝗶𝗱𝗲, qu'il soit privé ou public, partenaires de confiance des Directions des Systèmes d'Information, nous accompagnons des 𝘤𝘭𝘪𝘦𝘯𝘵𝘴 𝘱𝘶𝘣𝘭𝘪𝘤𝘴 𝘦𝘵 𝘱𝘳𝘪𝘷𝘦́𝘴 aux besoins IT variés : IA, cybersécurité, cloud et plus encore.
𝘊𝘩𝘦𝘻 𝘕𝘦𝘰𝘦𝘥𝘨𝘦, 𝘭𝘦 𝘤𝘭𝘪𝘦𝘯𝘵 𝘦𝘴𝘵 𝘢𝘶 𝘤𝘦𝘯𝘵𝘳𝘦 𝘥𝘦 𝘵𝘰𝘶𝘵. 🎯 
Nous l'écoutons et proposons des 𝘀𝗼𝗹𝘂𝘁𝗶𝗼𝗻𝘀 𝗰𝗹𝗲́ 𝗲𝗻 𝗺𝗮𝗶𝗻 ou 𝘀𝘂𝗿-𝗺𝗲𝘀𝘂𝗿𝗲, 𝗵𝗲́𝗯𝗲𝗿𝗴𝗲́𝗲𝘀 𝗼𝘂̀ 𝗶𝗹 𝗹𝗲 𝘀𝗼𝘂𝗵𝗮𝗶𝘁𝗲 : chez eux, chez nous, partout où il en a besoin.
𝘓𝘦𝘴 𝘴𝘦𝘳𝘷𝘪𝘤𝘦𝘴 𝘥𝘦 𝘕𝘦𝘰𝘦𝘥𝘨𝘦 𝘦𝘯 3 𝘮𝘰𝘵𝘴 ? 
1️⃣ Des solutions sur mesure qui (r)assurent
2️⃣ Des expertises de pointe, sans compromis
3️⃣ Des ingénieurs passionnés et ultra-compétents.
💡 Portés par nos valeurs :
𝗟'𝗮𝗴𝗶𝗹𝗶𝘁𝗲́ 𝗮̀ 𝘁𝗼𝘂𝘁 𝗽𝗿𝗶𝘅
𝗟𝗲 𝗰𝗼𝗹𝗹𝗲𝗰𝘁𝗶𝗳 𝗮𝘃𝗮𝗻𝘁 𝘁𝗼𝘂𝘁
𝗟𝗲 𝘀𝗮𝘃𝗼𝗶𝗿 𝘂𝘁𝗶𝗹𝗲 𝘀𝘂𝗿𝘁𝗼𝘂𝘁
Entreprise à taille humaine de 43 personnes, nous cultivons à la fois le savoir et le savoir-être.💻 
𝘐𝘤𝘪, 𝘰𝘯 𝘱𝘢𝘳𝘭𝘦 𝘐𝘛 𝘴𝘢𝘯𝘴 𝘱𝘳𝘦́𝘵𝘦𝘯𝘵𝘪𝘰𝘯, 𝘰𝘯 𝘵𝘳𝘢𝘷𝘢𝘪𝘭𝘭𝘦 𝘢𝘷𝘦𝘤 𝘱𝘢𝘴𝘴𝘪𝘰𝘯 𝘦𝘵 𝘢𝘷𝘦𝘤 𝘭𝘦 𝘴𝘰𝘶𝘳𝘪𝘳𝘦... 𝘱𝘢𝘳𝘤𝘦 𝘲𝘶'𝘶𝘯𝘦 𝘣𝘰𝘪̂𝘵𝘦 𝘥𝘦 𝘨𝘦𝘦𝘬𝘴 𝘲𝘶𝘪 𝘱𝘢𝘳𝘭𝘦 𝘩𝘶𝘮𝘢𝘪𝘯, 𝘤̧𝘢 𝘧𝘢𝘪𝘵 𝘥𝘶 𝘣𝘪𝘦𝘯 ! 😄</t>
  </si>
  <si>
    <t>http://www.linkedin.com/in/baptiste-thellier-45771947</t>
  </si>
  <si>
    <t xml:space="preserve">Charlotte Adanero</t>
  </si>
  <si>
    <t>Adanero</t>
  </si>
  <si>
    <t>c.adanero@axys-be.fr</t>
  </si>
  <si>
    <t xml:space="preserve">AXYS Etudes Techniques Fluides</t>
  </si>
  <si>
    <t>axys-be.fr</t>
  </si>
  <si>
    <t xml:space="preserve">maitrise doeuvre,maitrise dexecution,assistance maitrise douvrage,etudes thermiques,hqe,bilans carbone,bilans de gaz a effet de serre,ec,re2020,decret tertiaire,audits energetiques,ingenierie,bacs,gtb,chiffrage,etudes de prix,fluides,energie,sobriete energetique,expertise technique</t>
  </si>
  <si>
    <t>Villebon-sur-Yvette</t>
  </si>
  <si>
    <t>http://www.linkedin.com/company/axys-etudes-techniques-fluides</t>
  </si>
  <si>
    <t xml:space="preserve">AXYS – Etudes techniques Fluides</t>
  </si>
  <si>
    <t>http://www.linkedin.com/in/charlotte-adanero-3b26a712</t>
  </si>
  <si>
    <t xml:space="preserve">Clement Audet</t>
  </si>
  <si>
    <t>Audet</t>
  </si>
  <si>
    <t>c.audet@delta-prefa.com</t>
  </si>
  <si>
    <t xml:space="preserve">Delta Préfabrication</t>
  </si>
  <si>
    <t>delta-prefa.com</t>
  </si>
  <si>
    <t>Privas</t>
  </si>
  <si>
    <t xml:space="preserve">beton prefabrique,betons polis,beton fibre,bfup</t>
  </si>
  <si>
    <t>http://www.linkedin.com/company/delta-pr%c3%a9fabrication07</t>
  </si>
  <si>
    <t xml:space="preserve">Delta Préfabrication élabore sur-mesure dans ses ateliers des produits en béton préfabriqué lourds de technicités élevées avec différentes teintes, formes, motifs et textures (sablées, polies, bouchardées, matricées…).
Le savoir-faire de nos 60 collaborateurs résident en la capacité à réaliser des pièces sur-mesure et adaptées à toutes les demandes. Notre site de 4 hectares nous permet une production et un stockage provisoire important avant la livraison des éléments sur chantier .
Delta Préfabrication innove avec les bétons d'avenir comme le BFUP structurel ou non, mais aussi les panneaux à isolation intégrée sous avis techniques.
Notre implantation nous permet une réactivité immédiate et un suivi permanent quelles que soit la taille et la situation géographique du chantier à réaliser.
Notre forte expérience nous permet d'apporter des conseils à toutes les étapes de votre projet (calepinage des éléments, systèmes de fixation, proposition des différents choix de parement à l'aide d'échantillon personnalisé selon les demandes de nos clients).</t>
  </si>
  <si>
    <t>http://www.linkedin.com/in/cl%c3%a9ment-audet-9b52261a</t>
  </si>
  <si>
    <t xml:space="preserve">Celine Bally</t>
  </si>
  <si>
    <t>Bally</t>
  </si>
  <si>
    <t>c.bally@bsrv-groupe.fr</t>
  </si>
  <si>
    <t xml:space="preserve">BSRV Groupe</t>
  </si>
  <si>
    <t>bsrv-groupe.fr</t>
  </si>
  <si>
    <t xml:space="preserve">vetage,terre cuite,facade minerale,facade ventilee,pierre naturelle,bardage,veture,facade</t>
  </si>
  <si>
    <t>http://www.linkedin.com/company/bsrv-groupe</t>
  </si>
  <si>
    <t xml:space="preserve">BSRV est spécialisé dans la conception, transformation, réalisation de revêtements sol et façade en pierre, marbre, granit, terre cuite, composite, céramique grâce à un savoir-faire interne d'études et de mise en œuvre.
BSRV se fournit en matériaux auprès des meilleurs fournisseurs d'origine européenne ou mondiale.
Siège
ZA Les Payots
15, allée des cerisiers
26140 Andancette
Centre de pose / Agence secondaire
38, rue Pierre Mendès France
69120 Vaulx-en-Velin</t>
  </si>
  <si>
    <t>http://www.linkedin.com/in/celinebally</t>
  </si>
  <si>
    <t xml:space="preserve">Christophe Bret</t>
  </si>
  <si>
    <t>Bret</t>
  </si>
  <si>
    <t>c.bret@sepale.com</t>
  </si>
  <si>
    <t>SEPALE</t>
  </si>
  <si>
    <t>sepale.com</t>
  </si>
  <si>
    <t>Beziers</t>
  </si>
  <si>
    <t xml:space="preserve">diligence technique,analyse dopportunites,financement,enr,construction,developpement de projets enr,mise en service et exploitation de centrales,conseil strategie en energies renouvelables</t>
  </si>
  <si>
    <t>http://www.linkedin.com/company/sepale-enr</t>
  </si>
  <si>
    <t xml:space="preserve">SEPALE (auparavant Terre et Lac Conseil) a été fondé en Juillet 2012 par des professionnels reconnus des EnR.
Acteur de la transition énergétique, SEPALE fait grandir vos projets en accompagnant les maîtres d'ouvrage et les territoires pour répondre aux défis contemporains grâce à un modèle équilibré et des solutions collaboratives innovantes, adaptées et efficaces. 🌱☀️
Notre activité s'articule autour de 3 domaines d'applications : l'Eolien, le Photovoltaïque, et l'Efficacité énergétique.</t>
  </si>
  <si>
    <t>http://www.linkedin.com/in/christophe-bret-20a01713</t>
  </si>
  <si>
    <t xml:space="preserve">Charles Cantineau</t>
  </si>
  <si>
    <t>Cantineau</t>
  </si>
  <si>
    <t>c.cantineau@promatec.fr</t>
  </si>
  <si>
    <t xml:space="preserve">PROMATEC GROUP</t>
  </si>
  <si>
    <t>promatec.fr</t>
  </si>
  <si>
    <t xml:space="preserve">application de revetements de sols en resine epoxy,sol industriel,sol a haute resistance,formulation de resine epoxy</t>
  </si>
  <si>
    <t>Douvrin</t>
  </si>
  <si>
    <t>Nord-Pas-de-Calais-Picardie</t>
  </si>
  <si>
    <t>http://www.linkedin.com/company/promatec-group</t>
  </si>
  <si>
    <t>https://www.facebook.com/promatecgroup</t>
  </si>
  <si>
    <t xml:space="preserve">Fabricant et applicateur de sols industriels durables depuis 1959, Promatec accompagne plus de 600 clients dans la réalisation de sols à la durée de vie inégalée. Promatec la garantie d'un sol industriel durable.</t>
  </si>
  <si>
    <t>http://www.linkedin.com/in/charlescantineau</t>
  </si>
  <si>
    <t xml:space="preserve">Christophe Canu</t>
  </si>
  <si>
    <t>Canu</t>
  </si>
  <si>
    <t>c.canu@r-sp.fr</t>
  </si>
  <si>
    <t xml:space="preserve">Réseaux Services Pro</t>
  </si>
  <si>
    <t>reseauxservicespro.fr</t>
  </si>
  <si>
    <t>http://www.linkedin.com/company/r%c3%a9seaux-service-pro</t>
  </si>
  <si>
    <t xml:space="preserve">Réseaux Services Pro RSP est une entreprise spécialisée dans l’installation de bornes électriques et les métiers de l’énergie.</t>
  </si>
  <si>
    <t>http://www.linkedin.com/in/christophe-canu-a3859b89</t>
  </si>
  <si>
    <t xml:space="preserve">Charlotte Dubost</t>
  </si>
  <si>
    <t>Dubost</t>
  </si>
  <si>
    <t>c.dubost@megara.fr</t>
  </si>
  <si>
    <t xml:space="preserve">Mégara / Berceau magique</t>
  </si>
  <si>
    <t>megara.fr</t>
  </si>
  <si>
    <t xml:space="preserve">articles de puericulture &amp; expert en parentalite,ecommerce,articles de puericulture,expert en parentalite</t>
  </si>
  <si>
    <t>Six-Fours-les-Plages</t>
  </si>
  <si>
    <t>http://www.linkedin.com/company/berceau-magique</t>
  </si>
  <si>
    <t xml:space="preserve">Le site Berceaumagique.com a été fondé en 2004 par Charlotte Dubost, une jeune maman qui, à l'époque ne trouvait pas en ligne tout ce dont elle avait besoin pour son bébé. Aujourd'hui, plus de 20 000 produits de 250 marques sont commercialisés et font du site l'un des leaders de son secteur.
Du commercial à la logistique en passant par les pôles informatique et marketing, 35 salariés s'attachent quotidiennement à poursuivre le développement de la société.</t>
  </si>
  <si>
    <t>http://www.linkedin.com/in/charlotte-gaillard-dubost</t>
  </si>
  <si>
    <t xml:space="preserve">Cedric Fabreguettes</t>
  </si>
  <si>
    <t>Fabreguettes</t>
  </si>
  <si>
    <t>c.fabreguettes@groupesebi.com</t>
  </si>
  <si>
    <t xml:space="preserve">Groupe SEBI</t>
  </si>
  <si>
    <t>groupesebi.com</t>
  </si>
  <si>
    <t>Gaillon</t>
  </si>
  <si>
    <t xml:space="preserve">genie climatique,froid,ventilation,blanchisserie,cuisine professionnelle,cvc,chimie</t>
  </si>
  <si>
    <t>Saint-Aubin-sur-Gaillon</t>
  </si>
  <si>
    <t>Normandie</t>
  </si>
  <si>
    <t>http://www.linkedin.com/company/sebi-normandie-equipement-cvfc</t>
  </si>
  <si>
    <t>https://www.facebook.com/Groupe-SEBI-106772887869400</t>
  </si>
  <si>
    <t xml:space="preserve">Vous gérez un ou plusieurs restaurants, EHPAD, hôtels, ESAT, établissements scolaires, blanchisseries, ...  nous nous occupons de votre matériel de production, de vos process et de votre réussite !
Depuis 40 ans, vous êtes 6 000 clients à nous solliciter pour votre cuisine, votre blanchisserie, votre climatisation et votre ventilation.
Vous nous avez fait confiance pour l'achat et l'installation de plus de 20 000 appareils en Île  de France, Normandie et en région Lyonnaise.
Chaque année, vous nous commandez plus de 1 500 produits et vous nous sollicitez pour plus de 100 interventions quotidiennes réalisées par nos 45 techniciens.
Vous nous choisissez pour les services que nous vous proposons : études complètes, contrats de maintenance, financement, gestion des chantiers, location, matériel d'occasion, 
Notre groupe est né de la fusion des activités des sociétés SEBI (leader français de la vente et installation du matériel de Blanchisserie), SEB Solutions (installateur de matériel de blanchisserie en Rhône Alpes) et Normandie Equipement (entreprise historique spécialisée en matériel de cuisine, froid, CVC).
C'est votre priorité et c'est aussi la notre : 95% des produits que nous vendons sont fabriqués en Europe de l'Ouest (Italie, Allemagne, Suède, Pays Bas, ...) et plus de 50 % en France (l'Aude, l'Ain, la Creuse, ...)</t>
  </si>
  <si>
    <t>http://www.linkedin.com/in/c%c3%a9dric-fabreguettes-78b959125</t>
  </si>
  <si>
    <t xml:space="preserve">Cedric Mercier</t>
  </si>
  <si>
    <t>c.mercier@vepres.fr</t>
  </si>
  <si>
    <t>VÊPRES</t>
  </si>
  <si>
    <t>vepres.fr</t>
  </si>
  <si>
    <t>Claix</t>
  </si>
  <si>
    <t>http://www.linkedin.com/company/v%c3%aapres</t>
  </si>
  <si>
    <t xml:space="preserve">L'expertise VÊPRES dans la conception et la réalisation de salle propre est reconnue. Nous gérons un projet de A à Z, livré dans les délais.</t>
  </si>
  <si>
    <t>http://www.linkedin.com/in/c%c3%a9dric-mercier-3b009585</t>
  </si>
  <si>
    <t xml:space="preserve">Cedric Moncoqut</t>
  </si>
  <si>
    <t>Moncoqut</t>
  </si>
  <si>
    <t>c.moncoqut@groupecapinfo.fr</t>
  </si>
  <si>
    <t xml:space="preserve">Groupe CAP INFO</t>
  </si>
  <si>
    <t>groupecapinfo.fr</t>
  </si>
  <si>
    <t xml:space="preserve">logiciels de gestions,sage,serveurs,codial,stormshield,antivirus,infogerance,eset,sauvegardes,parefeux,logiciels de paie,logiciels de comptabilite,ebp,logiciels de planification</t>
  </si>
  <si>
    <t>Artigues-pres-Bordeaux</t>
  </si>
  <si>
    <t>Aquitaine</t>
  </si>
  <si>
    <t>http://www.linkedin.com/company/groupe-cap-info</t>
  </si>
  <si>
    <t>https://www.facebook.com/groupecapinfo</t>
  </si>
  <si>
    <t xml:space="preserve">Intégrateur de logiciels et infrastructures réseaux depuis plus de 35 ans, accompagne les Artisans et les PME sur toute la Nouvelle-Aquitaine.</t>
  </si>
  <si>
    <t>http://www.linkedin.com/in/c%c3%a9dric-moncoqut-93167978</t>
  </si>
  <si>
    <t xml:space="preserve">Christophe Mulvet</t>
  </si>
  <si>
    <t>Mulvet</t>
  </si>
  <si>
    <t>c.mulvet@isocrate.com</t>
  </si>
  <si>
    <t xml:space="preserve">Dirigeant et Chef de projet électricité</t>
  </si>
  <si>
    <t>ISOCRATE</t>
  </si>
  <si>
    <t>isocrate.com</t>
  </si>
  <si>
    <t>http://www.linkedin.com/company/isocrate-ing%c3%a9nierie-second-oeuvre-conception-r%c3%a9novation-am%c3%a9nagements-techniques-environnement-</t>
  </si>
  <si>
    <t xml:space="preserve">Isocrate, Bureau d’Études Techniques est un acteur innovant en fluides, énergies et environnement, situé à Nantes, reconnu depuis 46 ans.</t>
  </si>
  <si>
    <t>http://www.linkedin.com/in/christophe-mulvet-3b786288</t>
  </si>
  <si>
    <t xml:space="preserve">Christophe Peron</t>
  </si>
  <si>
    <t>Peron</t>
  </si>
  <si>
    <t>c.peron@idea-expertises.com</t>
  </si>
  <si>
    <t xml:space="preserve">Expert Dirigeant Associé</t>
  </si>
  <si>
    <t xml:space="preserve">NORD DE FRANCE EXPERTISE AUTOMOBILE</t>
  </si>
  <si>
    <t>http://www.linkedin.com/company/nord-de-france-expertise-automobile</t>
  </si>
  <si>
    <t>http://www.linkedin.com/in/christophe-p%c3%a9ron-67a30a11a</t>
  </si>
  <si>
    <t xml:space="preserve">Christophe Roussel</t>
  </si>
  <si>
    <t>Roussel</t>
  </si>
  <si>
    <t>c.roussel@atdr.fr</t>
  </si>
  <si>
    <t xml:space="preserve">ATDR Ingénierie</t>
  </si>
  <si>
    <t>atdr.fr</t>
  </si>
  <si>
    <t xml:space="preserve">assistance maitrise d39ouvrage,construction,ingenierie,assistance maitrise douvrage,industrie</t>
  </si>
  <si>
    <t>http://www.linkedin.com/company/atdr-ing-nierie</t>
  </si>
  <si>
    <t xml:space="preserve">Le process industriel et le bâtiment doivent être complémentaires pour
disposer d'un outil efficace.
Nous apportons notre expertise et nos compétences pour coordonner les
interactions de l'ensemble, optimiser le pilotage du projet et anticiper
l'organisation de la production pour vous permettre de vous concentrer sur vos activités.
Piloter l'ingénierie de la conception à la livraison pour la construction de bâtiments tous corps d'état et l'industrialisation de process industriels.</t>
  </si>
  <si>
    <t>http://www.linkedin.com/in/christophe-roussel-4218a027</t>
  </si>
  <si>
    <t xml:space="preserve">Camille Barbosa</t>
  </si>
  <si>
    <t>Barbosa</t>
  </si>
  <si>
    <t>camille.barbosa@groupe-bardec.com</t>
  </si>
  <si>
    <t xml:space="preserve">Associé - Directeur général</t>
  </si>
  <si>
    <t xml:space="preserve">GROUPE BARDEC</t>
  </si>
  <si>
    <t xml:space="preserve">beton decoratif,beton interieur,terrazzo,construction,travaux publics,amenagement urbain</t>
  </si>
  <si>
    <t>http://www.linkedin.com/company/groupe-bardec</t>
  </si>
  <si>
    <t xml:space="preserve">Né en 2020, le Groupe BARDEC est la fusion de deux noms de Chefs d'entreprises Mr BARBOSA et Mr GONIDEC. En créant ce groupe, ils souhaitent pouvoir offrir une offre clés en main, correspondant aux attentes de leurs clients.  
Aujourd'hui BARDEC c'est 7 sociétés " BARBOSA " spécialisée dans les travaux publics ; "BARBOSA béton" spécialisée dans la livraison de béton prêt à l'emploi, et la vente de négoce ; " CAMUS CONSTRUCTION " spécialisée dans la maçonnerie ; " SOCREAM " spécialisée dans l'aménagement extérieur ; "ATELIER MINERAL" spécialisée dans l'application du produit TERRAZZO ; "SOL PAYS DE LA LOIRE" spécialisée dans l'aménagement urbain et des revêtements minéraux ; et enfin "ALM" spécialisée dans le domaine de la construction et plus précisément de la maçonnerie, du gros œuvre et du génie civil. 
Avec ces différents pôles, le groupe BARDEC fournit des solutions de qualité adaptées aux besoins de ses clients</t>
  </si>
  <si>
    <t>http://www.linkedin.com/in/camille-barbosa-49b260133</t>
  </si>
  <si>
    <t xml:space="preserve">Camille Folliot</t>
  </si>
  <si>
    <t>Folliot</t>
  </si>
  <si>
    <t>camille@agencenile.com</t>
  </si>
  <si>
    <t xml:space="preserve">Dirigeante associée</t>
  </si>
  <si>
    <t>Nile</t>
  </si>
  <si>
    <t>agencenile.com</t>
  </si>
  <si>
    <t xml:space="preserve">inbound marketing,content marketing,formations inbound marketing,inbound sales,hubspot partner,crm,marketing,industrie,account based marketing,sales enablement,integrateur crm,automatisation,no code,intelligence artificielle</t>
  </si>
  <si>
    <t>http://www.linkedin.com/company/nile-agence</t>
  </si>
  <si>
    <t>https://twitter.com/Nile_agence</t>
  </si>
  <si>
    <t>https://www.facebook.com/agencenile</t>
  </si>
  <si>
    <t xml:space="preserve">Optimisez votre croissance avec des stratégies expertes et des solutions alimentées par le CRM HubSpot.</t>
  </si>
  <si>
    <t>http://www.linkedin.com/in/camillefolliot</t>
  </si>
  <si>
    <t xml:space="preserve">Camille Colbus</t>
  </si>
  <si>
    <t>Colbus</t>
  </si>
  <si>
    <t>camille@dero.fr</t>
  </si>
  <si>
    <t xml:space="preserve">Co-founder and COO</t>
  </si>
  <si>
    <t>Dero</t>
  </si>
  <si>
    <t>dero.fr</t>
  </si>
  <si>
    <t>http://www.linkedin.com/company/dero</t>
  </si>
  <si>
    <t xml:space="preserve">Dero est un comparateur de recherche pour trouver les meilleurs produits de seconde main en France. Notre objectif est de permettre les gens trouver des meilleurs solutions (occasion, reconditionné, location etc.) pour tout les catégories de produits dans une endroit.</t>
  </si>
  <si>
    <t>http://www.linkedin.com/in/camillecolbus</t>
  </si>
  <si>
    <t xml:space="preserve">Camille Godeau</t>
  </si>
  <si>
    <t>Godeau</t>
  </si>
  <si>
    <t>camillegodeau@little-wing.fr</t>
  </si>
  <si>
    <t xml:space="preserve">Directrice générale chez Little Wing</t>
  </si>
  <si>
    <t xml:space="preserve">Little Wing</t>
  </si>
  <si>
    <t>little-wing.fr</t>
  </si>
  <si>
    <t xml:space="preserve">relations presse,communication de crise,accompagnement de projet,communication interne et manageriale,evenementiel,transformation numerique</t>
  </si>
  <si>
    <t>http://www.linkedin.com/company/littlewing</t>
  </si>
  <si>
    <t xml:space="preserve">Little Wing est un cabinet de conseil en stratégie, communication et transformation durable, qui accompagne les dirigeants determinés à agir.</t>
  </si>
  <si>
    <t>http://www.linkedin.com/in/camille-godeau-0137828</t>
  </si>
  <si>
    <t xml:space="preserve">Carine Brunet</t>
  </si>
  <si>
    <t>Brunet</t>
  </si>
  <si>
    <t>carine.brunet@metamorphose-groupe.com</t>
  </si>
  <si>
    <t xml:space="preserve">Directrice Générale Associée et Co-fondatrice</t>
  </si>
  <si>
    <t xml:space="preserve">Metamorphose GROUPE</t>
  </si>
  <si>
    <t>metamorphose-groupe.com</t>
  </si>
  <si>
    <t xml:space="preserve">conseil,gestion de carriere,coaching,bilan de competences,formation,coaching orientation scolaire,ressources humaines,management</t>
  </si>
  <si>
    <t>http://www.linkedin.com/company/metamorphosegroupe</t>
  </si>
  <si>
    <t>http://www.linkedin.com/in/carine-brunet-b27b4b48</t>
  </si>
  <si>
    <t xml:space="preserve">Carine Matane</t>
  </si>
  <si>
    <t>Matane</t>
  </si>
  <si>
    <t>carine@atlays.com</t>
  </si>
  <si>
    <t xml:space="preserve">DG et cofondatrice</t>
  </si>
  <si>
    <t>Atlays</t>
  </si>
  <si>
    <t>atlays.com</t>
  </si>
  <si>
    <t xml:space="preserve">finance,marketing,rh,budget,reporting,business plan,comptabilite,tresorerie,audits dacquisition,positionnement,etude de marche,innovation,digital,integration rh,fidelisation de collaborateurs,representation du personnel,marketing digital,restructuring,direction commercial,direction generale,management de transition,strategie marketing</t>
  </si>
  <si>
    <t>http://www.linkedin.com/company/atlays</t>
  </si>
  <si>
    <t xml:space="preserve">Pionniers de la Direction à temps partagé depuis 2002, les directeurs expérimentés d’Atlays renforcent et structurent la direction des PME.</t>
  </si>
  <si>
    <t>http://www.linkedin.com/in/carine-matane-55aa05bb</t>
  </si>
  <si>
    <t xml:space="preserve">Caroline Boutet</t>
  </si>
  <si>
    <t>Boutet</t>
  </si>
  <si>
    <t>caroline@agence-s.fr</t>
  </si>
  <si>
    <t xml:space="preserve">Fondatrice &amp; associée</t>
  </si>
  <si>
    <t>Agence-S</t>
  </si>
  <si>
    <t>agence-s.fr</t>
  </si>
  <si>
    <t xml:space="preserve">plateforme de marque,reseaux sociaux,naming,contenu de marque,logotype,design espace,redaction,edition,packaging,site vitrine,architecture retail,identite visuelle,strategie de marque,story telling,site e commerce,0,signaletique</t>
  </si>
  <si>
    <t>http://www.linkedin.com/company/agence-s</t>
  </si>
  <si>
    <t xml:space="preserve">Stratégie &amp; création d’identités de marque sont les expertises de l'Agence-S (Groupe Saguez). Expert du Branding et design global</t>
  </si>
  <si>
    <t>http://www.linkedin.com/in/caroline-boutet-7269ab3a</t>
  </si>
  <si>
    <t xml:space="preserve">Caroline Labroue</t>
  </si>
  <si>
    <t>Labroue</t>
  </si>
  <si>
    <t>caroline@jesuisavelo.com</t>
  </si>
  <si>
    <t xml:space="preserve">JE SUIS À VÉLO</t>
  </si>
  <si>
    <t>jesuisavelo.com</t>
  </si>
  <si>
    <t xml:space="preserve">accessoires pour les cyclistes urbains</t>
  </si>
  <si>
    <t>http://www.linkedin.com/company/je-suis-a-velo</t>
  </si>
  <si>
    <t>https://www.facebook.com/jesuisaveloblog/</t>
  </si>
  <si>
    <t xml:space="preserve">Sélection d'accessoires et équipement pour la pratique du vélo en ville, vélotafeurs et en voyage : vêtements, casques, bagagerie, antivol.</t>
  </si>
  <si>
    <t>http://www.linkedin.com/in/caroline-labroue-900b66182</t>
  </si>
  <si>
    <t xml:space="preserve">Isabelle Carron</t>
  </si>
  <si>
    <t>Carron</t>
  </si>
  <si>
    <t>carron@set.fr</t>
  </si>
  <si>
    <t xml:space="preserve">Direction générale d'Entreprise Publiques Locales</t>
  </si>
  <si>
    <t xml:space="preserve">la Set</t>
  </si>
  <si>
    <t>set.fr</t>
  </si>
  <si>
    <t xml:space="preserve">developpement economique,amenagement,maitrise douvrage,construction,promotion tertiaire,maitrise d39ouvrage,investissement et gestion immobilier,maitrise douvrage deleguee dequipement publics,promotion immobiliere,promotion</t>
  </si>
  <si>
    <t>http://www.linkedin.com/company/la-set</t>
  </si>
  <si>
    <t xml:space="preserve">Un partenaire aux multiples compétences pour penser, fabriquer et gérer l'avenir du territoire. Acteur du développement territorial
La Set conçoit, construit, aménage, investit et commercialise quartiers, logements, zones d'activités économiques et commerciales pour le compte de collectivités. Sa ligne directrice : le souci constant de l'intérêt général et du service rendu au citoyen. Société d'Économie Mixte (SEM) créée en 1958, la Set dispose d'un capital détenu majoritairement par les collectivités locales et la Caisse des Dépôts.
Fabrique d'alliances urbaines
C'est ainsi que la Set se définit, dans un contexte où l'aménagement est devenu le fruit de pensées multiples. Donner vie à un projet, c'est d'abord fédérer tous les partenaires réunis pour le faire émerger. C'est ensuite conjuguer les talents et comprendre tous les enjeux du territoire pour offrir des réponses adaptées aux spécificités locales, au patrimoine, aux riverains...</t>
  </si>
  <si>
    <t>http://www.linkedin.com/in/isabelle-carron-a0783913b</t>
  </si>
  <si>
    <t xml:space="preserve">Pascal Casale</t>
  </si>
  <si>
    <t>Casale</t>
  </si>
  <si>
    <t>casale.p@reseau-homesec.fr</t>
  </si>
  <si>
    <t>Homesec</t>
  </si>
  <si>
    <t>reseau-homesec.fr</t>
  </si>
  <si>
    <t xml:space="preserve">traitement de lhumidite &amp; qualite de lair interieur</t>
  </si>
  <si>
    <t>Vedene</t>
  </si>
  <si>
    <t>http://www.linkedin.com/company/reseauhomesec</t>
  </si>
  <si>
    <t>https://www.facebook.com/Homesechumidite</t>
  </si>
  <si>
    <t xml:space="preserve">Homesec, pour un habitat étanche, protecteur et économe.</t>
  </si>
  <si>
    <t>http://www.linkedin.com/in/pascal-casale-a23721242</t>
  </si>
  <si>
    <t xml:space="preserve">Catherine Ledru</t>
  </si>
  <si>
    <t>Ledru</t>
  </si>
  <si>
    <t>catherine.ledru@episteme.fr</t>
  </si>
  <si>
    <t xml:space="preserve">Cofondatrice  Directrice et Consultante</t>
  </si>
  <si>
    <t>Epistème</t>
  </si>
  <si>
    <t>episteme.fr</t>
  </si>
  <si>
    <t xml:space="preserve">enquete suspicion harcelement,conseil et appui managers gestions de crise rps,conseil et formation risques psychosociaux,diagnostic accompagnement qualite de vie au travail,mediation,prevention des rps,mediation au travail,enquete souffrance au travail,qvt,qvct,conseil dirigeant gestion de crise en lien avec rps,rps,prevention du harcelement sexuel</t>
  </si>
  <si>
    <t>Lezennes</t>
  </si>
  <si>
    <t>http://www.linkedin.com/company/epist%c3%a8me</t>
  </si>
  <si>
    <t xml:space="preserve">Aider les entreprises à faire de la QVCT un levier de création de valeur</t>
  </si>
  <si>
    <t>http://www.linkedin.com/in/catherine-ledru-7819515b</t>
  </si>
  <si>
    <t xml:space="preserve">Catherine Lherbier</t>
  </si>
  <si>
    <t>Lherbier</t>
  </si>
  <si>
    <t>catherine@inaubi.fr</t>
  </si>
  <si>
    <t>Inaubi</t>
  </si>
  <si>
    <t>inaubi.fr</t>
  </si>
  <si>
    <t xml:space="preserve">chrome,google apps script,developpement,assistance technique,formation,amoe,amoa,pmo,administration,bigquery,conduite de changement,chromebook,android,google cloud,google workspace</t>
  </si>
  <si>
    <t>Villeneuve-d'Ascq</t>
  </si>
  <si>
    <t>http://www.linkedin.com/company/inaubi</t>
  </si>
  <si>
    <t>https://twitter.com/Inaubi_fr</t>
  </si>
  <si>
    <t>https://www.facebook.com/people/Inaubi/100077764636438/</t>
  </si>
  <si>
    <t xml:space="preserve">Inaubi, partenaire exclusif Google, vous accompagne dans le déploiement des solutions Google Workspace pour votre transformation digitale.</t>
  </si>
  <si>
    <t>http://www.linkedin.com/in/catherine-lherbier-4417898</t>
  </si>
  <si>
    <t xml:space="preserve">Jean-Francois Causse</t>
  </si>
  <si>
    <t>Causse</t>
  </si>
  <si>
    <t>causse@backplan.fr</t>
  </si>
  <si>
    <t>BackPlan</t>
  </si>
  <si>
    <t>backplan.fr</t>
  </si>
  <si>
    <t xml:space="preserve">gestion documentaire,planification,traitement de donnees,gestion de projet industriel,assistance technique,ged,gmao,digitalisation,reporting</t>
  </si>
  <si>
    <t>http://www.linkedin.com/company/backplan</t>
  </si>
  <si>
    <t xml:space="preserve">Depuis 2010, BackPlan basée à Pau et à Bordeaux, intervient auprès des acteurs du Grand Sud-Ouest pour les projets industriels et la maintenance.</t>
  </si>
  <si>
    <t>http://www.linkedin.com/in/jfcausse</t>
  </si>
  <si>
    <t xml:space="preserve">Celine Chanez</t>
  </si>
  <si>
    <t>Chanez</t>
  </si>
  <si>
    <t>cc@atlante.fr</t>
  </si>
  <si>
    <t xml:space="preserve">Associée fondatrice</t>
  </si>
  <si>
    <t>Atlante</t>
  </si>
  <si>
    <t>atlante.fr</t>
  </si>
  <si>
    <t xml:space="preserve">strategie,organisation,conseil en strategie operationnelle,energies,performance financiere,gouvernance,energie,gestion de projet,relation client,relations externes,pilotage de la performance,mobilites,reseaux,reseaux et mobilite,management</t>
  </si>
  <si>
    <t>http://www.linkedin.com/company/atlante-&amp;-cie</t>
  </si>
  <si>
    <t>https://twitter.com/atlantecie</t>
  </si>
  <si>
    <t xml:space="preserve">Atlante est un cabinet de conseil en stratégie opérationnelle spécialisé dans les secteurs de l’énergie, des réseaux et des mobilités.</t>
  </si>
  <si>
    <t>http://www.linkedin.com/in/celinechanez</t>
  </si>
  <si>
    <t xml:space="preserve">Cedric Vregille</t>
  </si>
  <si>
    <t>Vregille</t>
  </si>
  <si>
    <t>cdevregille@coreoz.com</t>
  </si>
  <si>
    <t xml:space="preserve">Fondateur et Directeur de COREOZ</t>
  </si>
  <si>
    <t>Coreoz</t>
  </si>
  <si>
    <t>coreoz.com</t>
  </si>
  <si>
    <t xml:space="preserve">mobile,web development,internet of things,user experience design,information technology,react,sketch,architecture,developpement back,android,ux design,agile,developpement mobile,ui design,git,developpement front,hebergement,java,ios,integration html</t>
  </si>
  <si>
    <t>http://www.linkedin.com/company/coreoz</t>
  </si>
  <si>
    <t xml:space="preserve">COREOZ, agence paris, digital, application métier, conception, développements, Design, UX, architecture, tech, data, IA, Ops, cloud, app, mobile, web</t>
  </si>
  <si>
    <t>http://www.linkedin.com/in/c%c3%a9dric-de-vregille-69896860</t>
  </si>
  <si>
    <t xml:space="preserve">Christian Duperrier</t>
  </si>
  <si>
    <t>Duperrier</t>
  </si>
  <si>
    <t>cduperrier@shouka-chamonix.fr</t>
  </si>
  <si>
    <t xml:space="preserve">Entrepreneur Créateur Dirigeant</t>
  </si>
  <si>
    <t>Shoukâ</t>
  </si>
  <si>
    <t>shouka-chamonix.fr</t>
  </si>
  <si>
    <t xml:space="preserve">cafe,chocolat,the,fruits secs</t>
  </si>
  <si>
    <t>http://www.linkedin.com/company/le-shouk%c3%a2-torrefacteur-d-altitude</t>
  </si>
  <si>
    <t>https://www.facebook.com/shoukachamonix</t>
  </si>
  <si>
    <t xml:space="preserve">Au Shoukâ de Chamonix-Mont-Blanc, dégustez ou achetez en ligne les meilleurs cafés (en grains et moulus) et chocolats du monde.</t>
  </si>
  <si>
    <t>http://www.linkedin.com/in/christian-duperrier</t>
  </si>
  <si>
    <t xml:space="preserve">Cedric Ghigou</t>
  </si>
  <si>
    <t>Ghigou</t>
  </si>
  <si>
    <t>cedric.ghigou@energitec.fr</t>
  </si>
  <si>
    <t>Energitec</t>
  </si>
  <si>
    <t>energitec.fr</t>
  </si>
  <si>
    <t xml:space="preserve">La Farlede</t>
  </si>
  <si>
    <t>http://www.linkedin.com/company/energitec83</t>
  </si>
  <si>
    <t xml:space="preserve">Energitec ELEC et Energitec CVC, votre société spécialiste de l’ingénierie électrique: courant fort, courant faible, climatisation.</t>
  </si>
  <si>
    <t>http://www.linkedin.com/in/cedric-ghigou-313b3781</t>
  </si>
  <si>
    <t xml:space="preserve">Cedric Michel</t>
  </si>
  <si>
    <t>cedric.michel@line-technologies.com</t>
  </si>
  <si>
    <t xml:space="preserve">ERP Program Director / Co-founder</t>
  </si>
  <si>
    <t>line-technologies.com</t>
  </si>
  <si>
    <t>Civrieux-d'Azergues</t>
  </si>
  <si>
    <t xml:space="preserve">transformation digitale,erp,transformation metiers,sap,architecture</t>
  </si>
  <si>
    <t>http://www.linkedin.com/company/line-technologies</t>
  </si>
  <si>
    <t xml:space="preserve">Line vous accompagne dans votre transformation digitale pour répondre à vos enjeux stratégiques et à vos ambitions. Line combine des expertises métiers, solutions et technologiques pour définir la plateforme ERP qui permettra de favoriser l’amélioration de votre performance opérationnelle.</t>
  </si>
  <si>
    <t>http://www.linkedin.com/in/cedric-michel-20b910b</t>
  </si>
  <si>
    <t xml:space="preserve">Cedric Schwartzenberger</t>
  </si>
  <si>
    <t>Schwartzenberger</t>
  </si>
  <si>
    <t>cedric@acses.io</t>
  </si>
  <si>
    <t xml:space="preserve">Fondateur - Dirigeant</t>
  </si>
  <si>
    <t>ACSES</t>
  </si>
  <si>
    <t>acses.io</t>
  </si>
  <si>
    <t>http://www.linkedin.com/company/acses-casiers-connect%c3%a9s</t>
  </si>
  <si>
    <t>https://www.facebook.com/people/ACSES-casiers-connect%C3%A9s/100090635491930/</t>
  </si>
  <si>
    <t xml:space="preserve">Vous souhaitez optimiser la gestion de vos clés ? Découvrez nos armoires à clés connectées et sécurisées. Où que vous soyez, gérez vos accès à distance via notre logiciel 100% en ligne.</t>
  </si>
  <si>
    <t>http://www.linkedin.com/in/c%c3%a9dric-schwartzenberger</t>
  </si>
  <si>
    <t xml:space="preserve">Cedric Stirling</t>
  </si>
  <si>
    <t>Stirling</t>
  </si>
  <si>
    <t>cedric@gemstar-brands.com</t>
  </si>
  <si>
    <t xml:space="preserve">CEO &amp; CO-Fondateur</t>
  </si>
  <si>
    <t xml:space="preserve">GEMSTAR BRANDS</t>
  </si>
  <si>
    <t>gemstar-brands.com</t>
  </si>
  <si>
    <t>bijoux,silver,steel,marque</t>
  </si>
  <si>
    <t>Collegien</t>
  </si>
  <si>
    <t>http://www.linkedin.com/company/gemstar-brands</t>
  </si>
  <si>
    <t xml:space="preserve">Avec plus de 40 ans d'expérience dans le domaine de la bijouterie, Monsieur Chroun LIM est le fondateur du Groupe Gemstar, maison-mère de Gemstar-Brands. Il est en charge de la supervision de la production en Asie.
Alain Lim occupe la fonction de CEO du groupe Gemstar depuis 2009. Il bénéficie d'une forte expertise financière et industrielle, qu'il met à profit de Gemstar-Brands en tant que Directeur Associé.
Cédric Stirling est Directeur Associé de Gemstar-Brands en charge de stratégie Marketing et Commerciale. Il était jusqu'alors Directeur Général Adjoint d'un des leaders français de la bijouterie.
Au travers de cette nouvelle aventure, ils font le pari de faire de Gemstar-Brands une success story de l'affordable luxury au travers de marques de bijoux en France et à l'international.</t>
  </si>
  <si>
    <t>http://www.linkedin.com/in/c%c3%a9dric-s-ab245932</t>
  </si>
  <si>
    <t xml:space="preserve">Cedric Golfier</t>
  </si>
  <si>
    <t>Golfier</t>
  </si>
  <si>
    <t>cedricgolfier@gestuelsante.fr</t>
  </si>
  <si>
    <t>Gestuel’Santé</t>
  </si>
  <si>
    <t>gestuelsante.fr</t>
  </si>
  <si>
    <t>Brive-la-Gaillarde</t>
  </si>
  <si>
    <t xml:space="preserve">mise en place dexercice dechauffements et de recuperations au poste de travail,manutention en milieu soignant,bien etre au travail,position assise,port de charges,gestes repetitifs,etudes ergonomiques,dos,mouvements de torsion,mouvements de se baisser,mise en place dun nouveau service sappuyant sur un outil que nous avons developpe le point recup,formation,tms,sante au travail</t>
  </si>
  <si>
    <t>Limousin</t>
  </si>
  <si>
    <t>http://www.linkedin.com/company/gestuelsante</t>
  </si>
  <si>
    <t>https://www.facebook.com/gestuelsante.fr</t>
  </si>
  <si>
    <t xml:space="preserve">Gestuel'Santé, organisme de formation spécialisé dans la prévention des problèmes de dos et des TMS au travail</t>
  </si>
  <si>
    <t>http://www.linkedin.com/in/c%c3%a9dric-golfier-dirigeant-gestuel%e2%80%99sant%c3%a9-36490311b</t>
  </si>
  <si>
    <t xml:space="preserve">Celine Simon</t>
  </si>
  <si>
    <t>celine.simon@we-and.fr</t>
  </si>
  <si>
    <t xml:space="preserve">AGENCE WE&amp;</t>
  </si>
  <si>
    <t>we-and.fr</t>
  </si>
  <si>
    <t xml:space="preserve">public relations &amp; communications</t>
  </si>
  <si>
    <t xml:space="preserve">corporate,experience,publicite,direction artistique,marketing,communication,gestion de projets,production,influence,we,evenementiel,graphisme,community management</t>
  </si>
  <si>
    <t>http://www.linkedin.com/company/groupe-we-and</t>
  </si>
  <si>
    <t xml:space="preserve">AGENCE WE&amp;
Event - Com
Plus de 25 ans d'expérience dans les métiers de l'événementiel 
et de la communication ! 
Des compétences connues, reconnues en création d'événements, management et gestion de projets, production de spectacles, direction artistique, théâtralisation et communication globale.
La capacité à intervenir sur tout ou partie de l'événement en proposant des solutions adaptées, sur mesure !
Basée à Bordeaux, Lille et Lyon.</t>
  </si>
  <si>
    <t>http://www.linkedin.com/in/celine-simon-b5157a61</t>
  </si>
  <si>
    <t xml:space="preserve">Celine Bellanger-Gomes</t>
  </si>
  <si>
    <t>Bellanger-Gomes</t>
  </si>
  <si>
    <t>celine@nostalgift.com</t>
  </si>
  <si>
    <t>Nostalgift</t>
  </si>
  <si>
    <t>nostalgift.com</t>
  </si>
  <si>
    <t>Cormeilles-en-Parisis</t>
  </si>
  <si>
    <t>http://www.linkedin.com/company/nostalgift</t>
  </si>
  <si>
    <t>https://twitter.com/nostalgift</t>
  </si>
  <si>
    <t>https://www.facebook.com/nostalgift</t>
  </si>
  <si>
    <t xml:space="preserve">Site de vente de bonbons et idées cadeaux en ligne. Votre cadeau en livraison 24h ou 48h à domicile ou en relais.</t>
  </si>
  <si>
    <t>http://www.linkedin.com/in/celine-bellanger-gomes-5287622</t>
  </si>
  <si>
    <t xml:space="preserve">Cecile Furno</t>
  </si>
  <si>
    <t>Furno</t>
  </si>
  <si>
    <t>cfurno@vakom.fr</t>
  </si>
  <si>
    <t xml:space="preserve">Dirigeante d’entreprise</t>
  </si>
  <si>
    <t xml:space="preserve">VAKOM Le Sens de L'Humain</t>
  </si>
  <si>
    <t>vakom.fr</t>
  </si>
  <si>
    <t>Castres</t>
  </si>
  <si>
    <t xml:space="preserve">coaching,opr,conference,conseil en ressources et relations humaines,reseau,rh,ressources humaines,recrutement et evaluation,orientation professionnelle,franchise,formation</t>
  </si>
  <si>
    <t>http://www.linkedin.com/company/vakom</t>
  </si>
  <si>
    <t>https://www.facebook.com/Vakomlesensdelhumain</t>
  </si>
  <si>
    <t xml:space="preserve">VAKOM est une entreprise de conseil Relations &amp; Ressources Humaines qui vous accompagne dans le développement de votre Performance Humaine !</t>
  </si>
  <si>
    <t>http://www.linkedin.com/in/cecile-furno-vakomacastres</t>
  </si>
  <si>
    <t xml:space="preserve">Christophe Gaboriau</t>
  </si>
  <si>
    <t>Gaboriau</t>
  </si>
  <si>
    <t>cgaboriau@daucalis.com</t>
  </si>
  <si>
    <t>DAUCALIS</t>
  </si>
  <si>
    <t>daucalis.com</t>
  </si>
  <si>
    <t>Beaupreau</t>
  </si>
  <si>
    <t>http://www.linkedin.com/company/daucalis</t>
  </si>
  <si>
    <t xml:space="preserve">Création ou restitution de menuiseries, préservation ou restauration de monuments patrimoniaux, nous avons pour ambition de proposer des prestations haut de gamme.</t>
  </si>
  <si>
    <t>http://www.linkedin.com/in/christophe-gaboriau-99552359</t>
  </si>
  <si>
    <t xml:space="preserve">Christophe Guillermard</t>
  </si>
  <si>
    <t>Guillermard</t>
  </si>
  <si>
    <t>cguillermard@correlium.com</t>
  </si>
  <si>
    <t>CORRELIUM</t>
  </si>
  <si>
    <t>correlium.com</t>
  </si>
  <si>
    <t xml:space="preserve">conformite,audit,actuariat,conseil,assurances,externalisation,ressources humaines,mutuelles,banques,tpepme,relations sociales</t>
  </si>
  <si>
    <t>http://www.linkedin.com/company/correlium</t>
  </si>
  <si>
    <t xml:space="preserve">Correlium est un cabinet de conseil en assurance indépendant, spécialisé en actuariat et en conformité.
C O R R E L I U M  est née de l'association de deux actuaires passionnés, Christophe GUILLERMARD et Jérémy LESNE, ayant l'objectif commun d'apporter un conseil sur mesure dans une relation de proximité.
Contacts:
Christophe GUILLERMARD
cguillermard@correlium.com
+33 6 60 47 25 35
Jeremy LESNE
jlesne@correlium.com
+33 6 95 62 83 60</t>
  </si>
  <si>
    <t>http://www.linkedin.com/in/christophe-guillermard-41a9491a</t>
  </si>
  <si>
    <t xml:space="preserve">Christian Guillon</t>
  </si>
  <si>
    <t>Guillon</t>
  </si>
  <si>
    <t>cguillon@safebear.ai</t>
  </si>
  <si>
    <t>SafeBear</t>
  </si>
  <si>
    <t>safebear.ai</t>
  </si>
  <si>
    <t>http://www.linkedin.com/company/safebearapp</t>
  </si>
  <si>
    <t xml:space="preserve">SafeBear est une application qui permet de lutter contre le cyberharcèlement en ligne.</t>
  </si>
  <si>
    <t>http://www.linkedin.com/in/christian-guillon-a4616b13</t>
  </si>
  <si>
    <t xml:space="preserve">Chabane Hadji</t>
  </si>
  <si>
    <t>Chabane</t>
  </si>
  <si>
    <t>Hadji</t>
  </si>
  <si>
    <t>chabane@theseedcrew.com</t>
  </si>
  <si>
    <t xml:space="preserve">The Seed Crew</t>
  </si>
  <si>
    <t>theseedcrew.com</t>
  </si>
  <si>
    <t>Labege</t>
  </si>
  <si>
    <t xml:space="preserve">btob,bienetre au travail,inclusion,impact social,rse,production de jeux video,serious game,qualite de vie au travail,diversite,gaas</t>
  </si>
  <si>
    <t>http://www.linkedin.com/company/theseedcrew</t>
  </si>
  <si>
    <t xml:space="preserve">Le jeu vidéo qui fait bouger les lignes ! Faites de la diversité et de l’inclusion un levier de performance grâce au jeu vidéo.</t>
  </si>
  <si>
    <t>http://www.linkedin.com/in/chabane-hadji-1b0b80140</t>
  </si>
  <si>
    <t xml:space="preserve">Chafik Hamdi</t>
  </si>
  <si>
    <t>Chafik</t>
  </si>
  <si>
    <t>Hamdi</t>
  </si>
  <si>
    <t>chafik.hamdi@alsad.fr</t>
  </si>
  <si>
    <t>ALSAD</t>
  </si>
  <si>
    <t>alsad.fr</t>
  </si>
  <si>
    <t>http://www.linkedin.com/company/alsad</t>
  </si>
  <si>
    <t>http://www.linkedin.com/in/chafik-hamdi-473110b1</t>
  </si>
  <si>
    <t xml:space="preserve">Charles Fazilleau</t>
  </si>
  <si>
    <t>Fazilleau</t>
  </si>
  <si>
    <t>charles.fazilleau@perform-industrie.com</t>
  </si>
  <si>
    <t xml:space="preserve">PERFORM Industrie</t>
  </si>
  <si>
    <t>perform-industrie.com</t>
  </si>
  <si>
    <t>Chatellerault</t>
  </si>
  <si>
    <t xml:space="preserve">100 lean manufacturing,5s,visual management,conceptions flexibles,systemes tubulaires,ergonomie,amenagement industriel</t>
  </si>
  <si>
    <t>http://www.linkedin.com/company/perform-industrie</t>
  </si>
  <si>
    <t>https://www.facebook.com/performindustrie/</t>
  </si>
  <si>
    <t xml:space="preserve">Spécialiste du mobilier modulable. Découvrez nos solutions créer à partir de tubes et joints pour l'agencement de vos ateliers industriels.</t>
  </si>
  <si>
    <t>http://www.linkedin.com/in/charles-fazilleau-8407ba129</t>
  </si>
  <si>
    <t xml:space="preserve">Charles Harribey</t>
  </si>
  <si>
    <t>Harribey</t>
  </si>
  <si>
    <t>charribey@harribeyconstructions.fr</t>
  </si>
  <si>
    <t xml:space="preserve">Harribey Constructions</t>
  </si>
  <si>
    <t>harribeyconstructions.fr</t>
  </si>
  <si>
    <t>http://www.linkedin.com/company/harribeyconstructions</t>
  </si>
  <si>
    <t xml:space="preserve">Harribey Constructions vous accompagne dans la conduite de vos projets pour des missions allant de la Conception réalisation, à la construction tant en gros œuvre qu'en T.C.E.
Basée à Mérignac, l'activité s'étend du grand sud-ouest à la région parisienne.</t>
  </si>
  <si>
    <t>http://www.linkedin.com/in/charles-harribey-b32078121</t>
  </si>
  <si>
    <t xml:space="preserve">Christian Tsivatou</t>
  </si>
  <si>
    <t>Tsivatou</t>
  </si>
  <si>
    <t>christian@c2tmi.fr</t>
  </si>
  <si>
    <t>C2TMI</t>
  </si>
  <si>
    <t>c2tmi.fr</t>
  </si>
  <si>
    <t>Centre</t>
  </si>
  <si>
    <t xml:space="preserve">reservoir boulonne aerien,entretiennettoyage reservoir,cuvelage beton,pieces mecanosoudees,toiture bac acier,scaphandrier,soudure,liner,maintenance,bassin exterieur,piscine,service apres vente,sprinkler,travaux subaquatiques,cordiste</t>
  </si>
  <si>
    <t>Montlouis-sur-Loire</t>
  </si>
  <si>
    <t>http://www.linkedin.com/company/c2tmi</t>
  </si>
  <si>
    <t xml:space="preserve">C2TMI is a tank manufacturing and sprinklers systems maintenance company based out of 2 AVENUE LEONARD DE VINCI, MONTLOUIS SUR LOIRE, France.</t>
  </si>
  <si>
    <t>http://www.linkedin.com/in/christian-tsivatou-62a33ba5</t>
  </si>
  <si>
    <t xml:space="preserve">Christophe Chauvet</t>
  </si>
  <si>
    <t>Chauvet</t>
  </si>
  <si>
    <t>christophe.chauvet@isi-s.fr</t>
  </si>
  <si>
    <t>président</t>
  </si>
  <si>
    <t>ISIS</t>
  </si>
  <si>
    <t>isi-s.fr</t>
  </si>
  <si>
    <t xml:space="preserve">experts comptables,secib,cabinets,rpva,tampon numerique,avocats,dematerialisation,scan,impression,compression,notaires</t>
  </si>
  <si>
    <t>Prades-le-Lez</t>
  </si>
  <si>
    <t>http://www.linkedin.com/company/isis-solutions-avocats</t>
  </si>
  <si>
    <t xml:space="preserve">Découvrez nos solutions de dématérialisation spécialement conçues pour les avocats et toutes les profession numérique en France</t>
  </si>
  <si>
    <t>http://www.linkedin.com/in/christophe-chauvet34</t>
  </si>
  <si>
    <t xml:space="preserve">Christophe Netillard</t>
  </si>
  <si>
    <t>Netillard</t>
  </si>
  <si>
    <t>christophe.netillard@phenisys.com</t>
  </si>
  <si>
    <t xml:space="preserve">Senior Consultant &amp; Dirigeant</t>
  </si>
  <si>
    <t>Phenisys</t>
  </si>
  <si>
    <t>phenisys.com</t>
  </si>
  <si>
    <t xml:space="preserve">performance applicative,metrologie des systemes dinformation,conseil apm,npm,experience utilisateur,performance reseau</t>
  </si>
  <si>
    <t>http://www.linkedin.com/company/phenisys</t>
  </si>
  <si>
    <t xml:space="preserve">Phenisys est une société de conseil et d’expertise indépendante, spécialisée dans la mesure de la performance applicative et réseau.</t>
  </si>
  <si>
    <t>http://www.linkedin.com/in/netillard</t>
  </si>
  <si>
    <t xml:space="preserve">Christophe Jeune</t>
  </si>
  <si>
    <t>Jeune</t>
  </si>
  <si>
    <t>christophe@alfa-safety.fr</t>
  </si>
  <si>
    <t>alfa-safety</t>
  </si>
  <si>
    <t>alfa-safety.fr</t>
  </si>
  <si>
    <t xml:space="preserve">infogerance,cloud,hebergement web,aws,azure,devops,kubernetes,nutanix,docker,ci,cd,services manages</t>
  </si>
  <si>
    <t>http://www.linkedin.com/company/alfa-safety</t>
  </si>
  <si>
    <t xml:space="preserve">Hébergement Cloud d'applications web et de sites e-commerce en haute disponibilité 24/7. Cloud Alfa-Safety, AWS et Azure. Expert DevOps à Nantes &amp; Paris.</t>
  </si>
  <si>
    <t>http://www.linkedin.com/in/christophe-le-jeune-2610a76</t>
  </si>
  <si>
    <t xml:space="preserve">Claire Schepens</t>
  </si>
  <si>
    <t>Schepens</t>
  </si>
  <si>
    <t>claire@olacommunication.fr</t>
  </si>
  <si>
    <t xml:space="preserve">Cofondatrice / Social media manager</t>
  </si>
  <si>
    <t xml:space="preserve">OLA! Communication</t>
  </si>
  <si>
    <t>olacommunication.fr</t>
  </si>
  <si>
    <t xml:space="preserve">livetweet,community management,strategie social media,campagnes sponsorisees,reporting</t>
  </si>
  <si>
    <t>http://www.linkedin.com/company/ola-communication</t>
  </si>
  <si>
    <t xml:space="preserve">AGENCE SOCIAL MEDIA FEEL GOOD ! 
🚀 Élaboration de votre stratégie de communication
🤳 Création de contenus et accopagnement
✨ Couverture de vos événements 
📈 Audit et reporting
👉 Vous souhaitez booster votre communication et fidéliser / développer votre communauté ?
👉 Vous souhaitez développer des nouveaux formats et concepts mais n'avez pas toujours l'inspiration et les idées ?
👉 Vous vous sentez perdus au milieu de tous ces réseaux sociaux et n'êtes pas à jour des tendances et codes ?
👉 Vous souhaitez déléguer votre communication en toute confiance 
à une équipe en accord avec vos valeurs ?
💌  On est là pour vous ! Contactez-nous pour nous faire connaître vos besoins : contact@olacommunication.fr
✨ Des PME aux grands groupes, OLA! Communication a déjà accompagné plus de 200 professionnels à améliorer leur visibilité sur les réseaux sociaux ! Parmi eux : M6, l'Académie des César, BLISS, CANNESERIES, le festival Pop &amp; Psy, Samy Thiébault, le Forum des Images, Mécénat Chirurgie Cardiaque, les centres de Yoga &amp; de Pilates Qee...</t>
  </si>
  <si>
    <t>http://www.linkedin.com/in/schepensclaire</t>
  </si>
  <si>
    <t xml:space="preserve">Clarisse Calloud</t>
  </si>
  <si>
    <t>Calloud</t>
  </si>
  <si>
    <t>clarisse.calloud@interface-conseils.com</t>
  </si>
  <si>
    <t>INTER'FACE</t>
  </si>
  <si>
    <t>interface-conseils.com</t>
  </si>
  <si>
    <t>Argonay</t>
  </si>
  <si>
    <t>http://www.linkedin.com/company/inter-face</t>
  </si>
  <si>
    <t xml:space="preserve">Management de transition, subventions, CIR/CII et formations pour les entreprises en pleine évolution en Haute-Savoie.</t>
  </si>
  <si>
    <t>http://www.linkedin.com/in/clarisse-calloud</t>
  </si>
  <si>
    <t xml:space="preserve">Clement Bouchet</t>
  </si>
  <si>
    <t>Bouchet</t>
  </si>
  <si>
    <t>clement.bouchet@lyde-conseil.com</t>
  </si>
  <si>
    <t xml:space="preserve">Directeur général  Responsable RH  Manager</t>
  </si>
  <si>
    <t xml:space="preserve">LYDE Conseil</t>
  </si>
  <si>
    <t>lyde-conseil.com</t>
  </si>
  <si>
    <t xml:space="preserve">transport,mobilite,systemes dinformation,infrastructures de transport,assistance a maitrise douvrage,pmo,gestion de projet,methodes agiles,project management,contract management</t>
  </si>
  <si>
    <t>Saint-Cloud</t>
  </si>
  <si>
    <t>http://www.linkedin.com/company/lyde-conseil</t>
  </si>
  <si>
    <t xml:space="preserve">Expert en transformation des organisations et des systèmes : assistance, méthodes et conseils dans l’amélioration de la chaine de valeur de nos clients.</t>
  </si>
  <si>
    <t>http://www.linkedin.com/in/cl%c3%a9ment-bouchet-84673135</t>
  </si>
  <si>
    <t xml:space="preserve">Clement Sellier</t>
  </si>
  <si>
    <t>Sellier</t>
  </si>
  <si>
    <t>clement@sofida02.fr</t>
  </si>
  <si>
    <t>SOFIDA</t>
  </si>
  <si>
    <t>sofida-france.com</t>
  </si>
  <si>
    <t>Laon</t>
  </si>
  <si>
    <t xml:space="preserve">portes automatiques,portes sectionnelles,depannage,automatisation,service,proximite,materiels de quais,maintenance,portes souples,rideaux metalliques,reparation,installateur,fabricant</t>
  </si>
  <si>
    <t>Bruyeres-et-Montberault</t>
  </si>
  <si>
    <t>http://www.linkedin.com/company/sofida</t>
  </si>
  <si>
    <t xml:space="preserve">SOFIDA est un acteur majeur de la fermeture industrielle depuis 20 ans.
Fabrication, pose, entretien ou réparation de rideaux métalliques, portes industrielles ou matériels de quais.
Choisissez vous aussi le numéro 1 local !</t>
  </si>
  <si>
    <t>http://www.linkedin.com/in/clement-sellier-b1694290</t>
  </si>
  <si>
    <t xml:space="preserve">Clotilde Lacambre</t>
  </si>
  <si>
    <t>Lacambre</t>
  </si>
  <si>
    <t>clotilde@iasagora.com</t>
  </si>
  <si>
    <t xml:space="preserve">Directrice de Projets et Membre Fondatrice</t>
  </si>
  <si>
    <t>iasagora</t>
  </si>
  <si>
    <t>iasagora.com</t>
  </si>
  <si>
    <t xml:space="preserve">creative problem solving,3d temps reel,kanban,holacratie,holacracy,design thinking,gouvernance agile,lean start up,sandbox,golden circle,business model canvas,empathie client,agile scrum,brandgameplay</t>
  </si>
  <si>
    <t>http://www.linkedin.com/company/iasagora</t>
  </si>
  <si>
    <t xml:space="preserve">Notre manifesto : Nous avons la conviction que dynamiser le collaboratif permet, à chacun et ensemble, d’oser l’inattendu.</t>
  </si>
  <si>
    <t>http://www.linkedin.com/in/clotilde-lacambre</t>
  </si>
  <si>
    <t xml:space="preserve">Clotilde Bernier</t>
  </si>
  <si>
    <t>Bernier</t>
  </si>
  <si>
    <t>clotildebernier@mazette.art</t>
  </si>
  <si>
    <t xml:space="preserve">Mazette !</t>
  </si>
  <si>
    <t>mazette.art</t>
  </si>
  <si>
    <t xml:space="preserve">rse,evenementiel,accompagnement strategique,management,coordination de projets,culture,communication,animation,arts vivants</t>
  </si>
  <si>
    <t>Languedoc-Roussillon</t>
  </si>
  <si>
    <t>http://www.linkedin.com/company/mazetteart</t>
  </si>
  <si>
    <t xml:space="preserve">Pour les entreprises 
Organisation événementielle : ateliers de sensibilisation environnementale et expériences artistiques
Formations  Pour</t>
  </si>
  <si>
    <t>http://www.linkedin.com/in/clotilde-bernier-b7bb23141</t>
  </si>
  <si>
    <t xml:space="preserve">Christophe Morin</t>
  </si>
  <si>
    <t>Morin</t>
  </si>
  <si>
    <t>cmorin@tec2e.fr</t>
  </si>
  <si>
    <t>TEC2E</t>
  </si>
  <si>
    <t>tec2e-electricite-cvc-plomberie.fr</t>
  </si>
  <si>
    <t xml:space="preserve">chauffage,ventilation,climatisation,energies renouvelables,plomberie,domotique,electricite,tce,solaire,ventillation</t>
  </si>
  <si>
    <t>http://www.linkedin.com/company/tec2e</t>
  </si>
  <si>
    <t xml:space="preserve">Tec2e est spécialisée en électricité, plomberie, CVC et énergies renouvelables pour les professionnels et les particuliers</t>
  </si>
  <si>
    <t>http://www.linkedin.com/in/christophe-morin-8382b4268</t>
  </si>
  <si>
    <t xml:space="preserve">Martine Story</t>
  </si>
  <si>
    <t>Martine</t>
  </si>
  <si>
    <t>Story</t>
  </si>
  <si>
    <t>contact@altheo.com</t>
  </si>
  <si>
    <t>ALTHEO</t>
  </si>
  <si>
    <t>altheo.com</t>
  </si>
  <si>
    <t xml:space="preserve">reprise dentreprise,reprise d39entreprise</t>
  </si>
  <si>
    <t>http://www.linkedin.com/company/altheo</t>
  </si>
  <si>
    <t>https://twitter.com/Altheo_France</t>
  </si>
  <si>
    <t>https://www.facebook.com/Altheo-209567742520674/</t>
  </si>
  <si>
    <t xml:space="preserve">Althéo vous accompagne dans votre projet de reprise d'entreprise ou d'acquisition de pme. Accélérateur de projet d’outplacement ou rachat d’entreprises</t>
  </si>
  <si>
    <t>http://www.linkedin.com/in/martine-story-dr-a476a41</t>
  </si>
  <si>
    <t xml:space="preserve">Christophe Bracchini</t>
  </si>
  <si>
    <t>Bracchini</t>
  </si>
  <si>
    <t>contact@idkom.fr</t>
  </si>
  <si>
    <t>IDKOM</t>
  </si>
  <si>
    <t>idkom.fr</t>
  </si>
  <si>
    <t>Brevilliers</t>
  </si>
  <si>
    <t>http://www.linkedin.com/company/agenceidkom</t>
  </si>
  <si>
    <t>https://www.facebook.com/idkom.agence</t>
  </si>
  <si>
    <t>http://www.linkedin.com/in/christophe-bracchini-a0a5a821</t>
  </si>
  <si>
    <t xml:space="preserve">Corinne Santoni</t>
  </si>
  <si>
    <t>Corinne</t>
  </si>
  <si>
    <t>Santoni</t>
  </si>
  <si>
    <t>corinne.santoni@lacoop-conseil.fr</t>
  </si>
  <si>
    <t xml:space="preserve">La Coop Conseil</t>
  </si>
  <si>
    <t>lacoop-conseil.fr</t>
  </si>
  <si>
    <t xml:space="preserve">reseaux interbancaires et internationaux,paiement retail,paiement marketplace,gestion du risque et lclf,big data,gestion des flux,monetique,blockchain,identite numerique,instant payment,billettique,paiement digital,gestion du risque et lclf reseaux interbancaires et internationaux gestion des flux billettique monet</t>
  </si>
  <si>
    <t>http://www.linkedin.com/company/la-coop-conseil</t>
  </si>
  <si>
    <t xml:space="preserve">La Coop Conseil est un cabinet de conseil en monétique, offres de paiements digitaux et retail.</t>
  </si>
  <si>
    <t>http://www.linkedin.com/in/corinne-santoni-591b14111</t>
  </si>
  <si>
    <t xml:space="preserve">Corinne Loustalet</t>
  </si>
  <si>
    <t>Loustalet</t>
  </si>
  <si>
    <t>corinne@packitoo.com</t>
  </si>
  <si>
    <t xml:space="preserve">DG &amp; co-fondatrice Packitoo  Solutions technologiques au service du packaging</t>
  </si>
  <si>
    <t>Packitoo</t>
  </si>
  <si>
    <t>packitoo.com</t>
  </si>
  <si>
    <t xml:space="preserve">startups,small &amp; medium businesses,big companies,web application,startup,packaging,agence packaging,service,design packaging,intelligence artificielle,btob,sourcing,developpement packaging,machine learning</t>
  </si>
  <si>
    <t>http://www.linkedin.com/company/packitoo</t>
  </si>
  <si>
    <t xml:space="preserve">Packitoo edits sales technologies for the packaging industry : HIPE and the marketplace.
HIPE:
HIPE is the ultimate sales tool for cardboard packaging converters. It helps them digitize and simplify their sales process. They can now offer to their customers instant pricing, online pricing and much more. 
HIPE combines an advanced packaging configurator with instant pricing, CRM, project management, collaborative tools and many more features. 
The MARKETPLACE:
Packitoo edits and runs a marketplace where Brands connect to Packaging Manufacturers. Brands can be assisted by Packitoo experts and then matched with the best Manufacturers listed by Packitoo.</t>
  </si>
  <si>
    <t>http://www.linkedin.com/in/corinne-loustalet-60628796</t>
  </si>
  <si>
    <t xml:space="preserve">Jean Couteau</t>
  </si>
  <si>
    <t>Couteau</t>
  </si>
  <si>
    <t>couteau@codelutin.com</t>
  </si>
  <si>
    <t xml:space="preserve">Directeur général  commercial</t>
  </si>
  <si>
    <t xml:space="preserve">CODE LUTIN</t>
  </si>
  <si>
    <t>codelutin.com</t>
  </si>
  <si>
    <t xml:space="preserve">java &amp; javascript</t>
  </si>
  <si>
    <t>Saint-Sebastien-sur-Loire</t>
  </si>
  <si>
    <t>http://www.linkedin.com/company/code-lutin</t>
  </si>
  <si>
    <t xml:space="preserve">Code Lutin est spécialisée autour des environnements libres et des technologies Java et HTML/CSS/JavaScript : conception, architectures, outils, MDA, développement/migration d'applications, formation. Nous proposons une gamme de services adaptée aux demandes spécifiques : développement de logiciel (forfait ou régie), intégration et maintenance de systèmes clés en main, support, conseil et veille technologique.</t>
  </si>
  <si>
    <t>http://www.linkedin.com/in/jean-couteau-81581410</t>
  </si>
  <si>
    <t xml:space="preserve">Charles Pallanca</t>
  </si>
  <si>
    <t>Pallanca</t>
  </si>
  <si>
    <t>cpallanca@electronie.fr</t>
  </si>
  <si>
    <t xml:space="preserve">Past Président - Strategic consulting</t>
  </si>
  <si>
    <t>ELECTRONIE</t>
  </si>
  <si>
    <t>electronie.fr</t>
  </si>
  <si>
    <t xml:space="preserve">bureau detudes et de r,d,prototype,production de cartes electroniques,sav,ecoconception,integration,cao et ipccid designer,design de carte,mecanique et mecatronique,iso 9001 et 14001 v2015,ipca610,ems,logistique,software,hardware,rse,cms</t>
  </si>
  <si>
    <t>http://www.linkedin.com/company/electronie</t>
  </si>
  <si>
    <t xml:space="preserve">Fabricant de cartes et systèmes électroniques, Électronie conçoit, développe et produit des petites et grandes séries de cartes. PCB.</t>
  </si>
  <si>
    <t>http://www.linkedin.com/in/charles-pallanca-8516361</t>
  </si>
  <si>
    <t xml:space="preserve">Cyprien Halle</t>
  </si>
  <si>
    <t>Cyprien</t>
  </si>
  <si>
    <t>Halle</t>
  </si>
  <si>
    <t>cyprien@darwindata.io</t>
  </si>
  <si>
    <t xml:space="preserve">Co-Founder &amp; CPO</t>
  </si>
  <si>
    <t>darwin</t>
  </si>
  <si>
    <t>darwindata.io</t>
  </si>
  <si>
    <t xml:space="preserve">biodiversity,sustainability,environment,data analytics,compliance</t>
  </si>
  <si>
    <t>http://www.linkedin.com/company/darwin-data</t>
  </si>
  <si>
    <t xml:space="preserve">darwin allows ESG players to easily embed biodiversity intelligence into their own offering.
We provide a modular platform leveraging AI to support end-to-end nature strategy design for consultants and software providers.</t>
  </si>
  <si>
    <t>http://www.linkedin.com/in/cyprien-halle</t>
  </si>
  <si>
    <t xml:space="preserve">Cyril Bazin</t>
  </si>
  <si>
    <t>Bazin</t>
  </si>
  <si>
    <t>cyril.bazin@clarisys.fr</t>
  </si>
  <si>
    <t>CLARISYS</t>
  </si>
  <si>
    <t>clarisys.fr</t>
  </si>
  <si>
    <t xml:space="preserve">it sante,sil,logiciel laboratoires biologie,systeme dinformation,biologie medicale,middleware</t>
  </si>
  <si>
    <t>http://www.linkedin.com/company/clarisys-sas</t>
  </si>
  <si>
    <t xml:space="preserve">La société CLARISYS est spécialisée dans la conception et le déploiement de solutions informatiques dédiées aux Laboratoires de Biologie Médicale.</t>
  </si>
  <si>
    <t>http://www.linkedin.com/in/cyril-bazin-4556777</t>
  </si>
  <si>
    <t xml:space="preserve">Cyril Haller</t>
  </si>
  <si>
    <t>Haller</t>
  </si>
  <si>
    <t>cyril.haller@1843.fr</t>
  </si>
  <si>
    <t xml:space="preserve">Fondateur de 1843 &amp; Architecte d'Entreprise</t>
  </si>
  <si>
    <t xml:space="preserve">1843 &amp; Architecte d'Entreprise</t>
  </si>
  <si>
    <t>1843.fr</t>
  </si>
  <si>
    <t xml:space="preserve">agilite,urbanisation et architecture,developpement,digital omnichannel,expertise fonctionnelle,pilotage et methode</t>
  </si>
  <si>
    <t>http://www.linkedin.com/company/1843fr</t>
  </si>
  <si>
    <t xml:space="preserve">Vous avez besoin d’experts dans les métiers de la tech, qui amènent un regard extérieur, qui ont l’expérience d’autres secteurs d’activités.</t>
  </si>
  <si>
    <t>http://www.linkedin.com/in/cyril-haller1843</t>
  </si>
  <si>
    <t xml:space="preserve">Cyril Texier</t>
  </si>
  <si>
    <t>Texier</t>
  </si>
  <si>
    <t>cyril@stellar.tc</t>
  </si>
  <si>
    <t xml:space="preserve">Advisor to Chief Executive Officer</t>
  </si>
  <si>
    <t xml:space="preserve">stellar //</t>
  </si>
  <si>
    <t>stellar.tc</t>
  </si>
  <si>
    <t xml:space="preserve">internet,automotive,mass transportation,freight,cellular,wifi,satellite,deeptech,sustainability,connectivity,software,hardware,service,mapping</t>
  </si>
  <si>
    <t>http://www.linkedin.com/company/stellartc</t>
  </si>
  <si>
    <t xml:space="preserve">At Stellar we bring perfect internet on the move to vehicles and passengers, leveraging the combined strength of cellular, wi-fi, and satellite networks, through AI and fully integrated solutions. We offer SaaS, data plans, and all-inclusive options for enterprise connectivity needs on the move.</t>
  </si>
  <si>
    <t>http://www.linkedin.com/in/cyril-texier-b3a69810</t>
  </si>
  <si>
    <t xml:space="preserve">Cyrille Pailleret</t>
  </si>
  <si>
    <t>Cyrille</t>
  </si>
  <si>
    <t>Pailleret</t>
  </si>
  <si>
    <t>cyrille@komin.io</t>
  </si>
  <si>
    <t>Komin.io</t>
  </si>
  <si>
    <t>komin.io</t>
  </si>
  <si>
    <t xml:space="preserve">computer software</t>
  </si>
  <si>
    <t xml:space="preserve">knowledge management,gestion des connaissances,efficacite operationnelle,transmission des savoirfaire,passation de poste,formation interne,digitalisation des modes operatoires,collaborative learning</t>
  </si>
  <si>
    <t>http://www.linkedin.com/company/komin-io</t>
  </si>
  <si>
    <t>https://twitter.com/komin_io</t>
  </si>
  <si>
    <t xml:space="preserve">Solution d’apprentissage et de développement pour faciliter le partage efficace d'expertises, bonnes pratiques et passations de poste.</t>
  </si>
  <si>
    <t>http://www.linkedin.com/in/cyrille-pailleret-6a8b411b</t>
  </si>
  <si>
    <t xml:space="preserve">Dominique Chaudoreille</t>
  </si>
  <si>
    <t>Chaudoreille</t>
  </si>
  <si>
    <t>d.chaudoreille@cacv.com</t>
  </si>
  <si>
    <t>pdg</t>
  </si>
  <si>
    <t>CACV</t>
  </si>
  <si>
    <t>cacv.com</t>
  </si>
  <si>
    <t xml:space="preserve">maintenance,switching system,salle de controle,commutation,museographie,exposition dynamique,digital signage,scenographie,affichage dynamique,corporate,integration audiovisuelle,solutions audiovisuelles,broadcast,control room</t>
  </si>
  <si>
    <t>Verrieres-le-Buisson</t>
  </si>
  <si>
    <t>http://www.linkedin.com/company/cacv</t>
  </si>
  <si>
    <t xml:space="preserve">Intégrateur de solutions Audiovisuelles : Affichage Dynamique, Mur LED et LCD, Broadcast TV...Découvrez nos services clef en main.</t>
  </si>
  <si>
    <t>http://www.linkedin.com/in/dominique-chaudoreille-cacv-391743a</t>
  </si>
  <si>
    <t xml:space="preserve">Didier Fontaine</t>
  </si>
  <si>
    <t>d.fontaine@cybel-extension.com</t>
  </si>
  <si>
    <t xml:space="preserve">Cybel Extension</t>
  </si>
  <si>
    <t>cybel-extension.com</t>
  </si>
  <si>
    <t xml:space="preserve">extension de garage,franchise construction,franchise batiment,extension de maison</t>
  </si>
  <si>
    <t xml:space="preserve">La Chapelle-des-Fougeretz</t>
  </si>
  <si>
    <t>Bretagne</t>
  </si>
  <si>
    <t>http://www.linkedin.com/company/cybel-extension-national</t>
  </si>
  <si>
    <t xml:space="preserve">De la conception à la réalisation, Cybel Extension, 1er réseau national, expert en extension et agrandissement de maison et garage "clé en main".</t>
  </si>
  <si>
    <t>http://www.linkedin.com/in/didier-fontaine-3b646073</t>
  </si>
  <si>
    <t xml:space="preserve">David Ricanet</t>
  </si>
  <si>
    <t>Ricanet</t>
  </si>
  <si>
    <t>d.ricanet@aliatem-consulting.com</t>
  </si>
  <si>
    <t xml:space="preserve">Dirigeant d’entreprise - Consultant senior</t>
  </si>
  <si>
    <t xml:space="preserve">ALIATEM Consulting</t>
  </si>
  <si>
    <t>aliatem-consulting.com</t>
  </si>
  <si>
    <t>Brindas</t>
  </si>
  <si>
    <t>http://www.linkedin.com/company/aliatem</t>
  </si>
  <si>
    <t xml:space="preserve">ALIATEM Consulting 🚀 est un cabinet à taille humaine, spécialisé dans les Achats Industriels et la Gestion de Projets. 
Nous mettons notre expertise au service des startups et grands groupes pour mener à bien vos achats d'investissements CAPEX, marchés de travaux et équipements industriels 🏗️.
💼 Nos domaines d'expertise :
- Achats de Marchés de Travaux - Package - Équipements (CAPEX, Arrêts)
- Achats OPEX et matières premières
- Contract Management et Gestion des Projets
- Estimation des coûts et Contrôle
- Assistance administrative de projet et d'achat
🔍 Notre approche :
- Forfaitaire : Optimisation des ressources pour vos projets
- Régie : Consultants intégrés à vos équipes
- Flexible et réactive : Accompagnement à distance pour absorber les surcroîts d'activité
👥 Chaque consultant bénéficie de l'appui de l'ensemble de l'équipe, enrichissant ainsi son expertise par un partage d'expérience opérationnelle. 
Nous nous engageons à vous accompagner avec une grande réactivité et un haut niveau d'engagement pour atteindre vos objectifs, que ce soit dans la gestion de projets industriels, la stratégie achats, ou la réception des biens et services. 🎯
📍 Basés à Brindas, Auvergne-Rhône-Alpes, nous proposons des services personnalisés pour les secteurs de la chimie, pétrochimie, pharma, et biotech ou autre 
📞 Contactez-nous :
Téléphone : 04 78 45 75 90
Formulaire contact sur notre site  : aliatem-consulting.com</t>
  </si>
  <si>
    <t>http://www.linkedin.com/in/david-ricanet-013b4811</t>
  </si>
  <si>
    <t xml:space="preserve">Didier Serradell</t>
  </si>
  <si>
    <t>Serradell</t>
  </si>
  <si>
    <t>d.serradell@idcapt.com</t>
  </si>
  <si>
    <t xml:space="preserve">Founder and General Manager</t>
  </si>
  <si>
    <t>IDcapt</t>
  </si>
  <si>
    <t>idcapt.com</t>
  </si>
  <si>
    <t xml:space="preserve">innovation,controle d39acces,gestion des utilisateurs,controle dacces,fabrique en france,ble smart bluetooth,technologies sanscontact,nouvelles technologies,rfid nfc,rfid,identification des personnes,identification sans contact</t>
  </si>
  <si>
    <t>http://www.linkedin.com/company/idcapt</t>
  </si>
  <si>
    <t>https://twitter.com/IDcapt_ES</t>
  </si>
  <si>
    <t xml:space="preserve">Conception et fabrication de produits et de solutions WEB d’identification
et d’authentification sécurisés des personnes. Identification sans contact</t>
  </si>
  <si>
    <t>http://www.linkedin.com/in/didier-serradell-39530216</t>
  </si>
  <si>
    <t xml:space="preserve">Damien Buty</t>
  </si>
  <si>
    <t>Buty</t>
  </si>
  <si>
    <t>damien@siana.app</t>
  </si>
  <si>
    <t>SIANA</t>
  </si>
  <si>
    <t>siana.app</t>
  </si>
  <si>
    <t>http://www.linkedin.com/company/siana</t>
  </si>
  <si>
    <t>https://twitter.com/lesarbresmorts</t>
  </si>
  <si>
    <t xml:space="preserve">SIANA est un copilote IA immobilier conçu pour maximiser la performance des conseillers immobiliers. Cet outil puissant centralise toutes les données, fournit des informations et recommandations clés, et s'intègre parfaitement à tous les CRMs immobiliers, permettant aux conseillers de se concentrer sur la transaction et la satisfaction client.</t>
  </si>
  <si>
    <t>http://www.linkedin.com/in/damien-buty-11823239</t>
  </si>
  <si>
    <t xml:space="preserve">Daniel Broche</t>
  </si>
  <si>
    <t>Broche</t>
  </si>
  <si>
    <t>daniel.broche@reconomia.fr</t>
  </si>
  <si>
    <t>Reconomia</t>
  </si>
  <si>
    <t>reconomia.fr</t>
  </si>
  <si>
    <t>Lesquin</t>
  </si>
  <si>
    <t xml:space="preserve">reconditionne &amp; data company</t>
  </si>
  <si>
    <t>http://www.linkedin.com/company/reconomia</t>
  </si>
  <si>
    <t xml:space="preserve">Appareils électroménagers reconditionnés par des artisans réparateurs locaux. De nombreuses marques à prix bas, garantie 1 an.</t>
  </si>
  <si>
    <t>http://www.linkedin.com/in/danielbroche</t>
  </si>
  <si>
    <t xml:space="preserve">Daniel Pereira</t>
  </si>
  <si>
    <t>Pereira</t>
  </si>
  <si>
    <t>daniel.pereira@prospactive.com</t>
  </si>
  <si>
    <t xml:space="preserve">🔴 PROSPACTIVE</t>
  </si>
  <si>
    <t>prospactive.com</t>
  </si>
  <si>
    <t>Champagne-Ardenne</t>
  </si>
  <si>
    <t xml:space="preserve">developpement commercial</t>
  </si>
  <si>
    <t>http://www.linkedin.com/company/prospactive</t>
  </si>
  <si>
    <t xml:space="preserve">Rejoignez tout un réseau d'experts pour trouver vos clients, ou de trouver votre expert pour externaliser vos tâches avec GROUPEACTIVE</t>
  </si>
  <si>
    <t>http://www.linkedin.com/in/daniel-pereira-a3bb5642</t>
  </si>
  <si>
    <t xml:space="preserve">Daniel Varillon</t>
  </si>
  <si>
    <t>Varillon</t>
  </si>
  <si>
    <t>daniel@actionbetoncoupe.com</t>
  </si>
  <si>
    <t xml:space="preserve">ACTION BETON COUPE</t>
  </si>
  <si>
    <t>actionbetoncoupe.com</t>
  </si>
  <si>
    <t>Sausset-les-Pins</t>
  </si>
  <si>
    <t>Vitrolles</t>
  </si>
  <si>
    <t>http://www.linkedin.com/company/action-beton-coupe</t>
  </si>
  <si>
    <t>https://www.facebook.com/actionbetoncoupe</t>
  </si>
  <si>
    <t xml:space="preserve">Action Béton Coupe à Vitrolles : spécialiste du carottage, sciage et de la découpe béton. Entreprise de démolition et pose de renforts dans les Bouches-du-Rhône.</t>
  </si>
  <si>
    <t>http://www.linkedin.com/in/daniel-varillon-1282a615</t>
  </si>
  <si>
    <t xml:space="preserve">David Boudaud</t>
  </si>
  <si>
    <t>Boudaud</t>
  </si>
  <si>
    <t>david.boudaud@atlantic-environnement.fr</t>
  </si>
  <si>
    <t xml:space="preserve">Atlantic Environnement</t>
  </si>
  <si>
    <t>atlantic-environnement.fr</t>
  </si>
  <si>
    <t xml:space="preserve">travaux publics,amenagements exterieurs,voirie,reseaux,terrassement</t>
  </si>
  <si>
    <t>Rouans</t>
  </si>
  <si>
    <t>http://www.linkedin.com/company/atlantic-environnement</t>
  </si>
  <si>
    <t xml:space="preserve">Atlantic Environnement est une société de Travaux Publics au service des Collectivités Territoriales et des Entreprises. Nous sommes spécialisés dans , le Terrassement, les Réseaux, la Voirie et l'Aménagement Urbain…
Notre équipe est reconnue pour son Savoir-faire, nous maîtrisons l'ensemble de la chaîne de production. Nous disposons d'un parc matériel récent et proposons des services sur-mesure sur la métropole Nantaise et le Pays de Retz (44).</t>
  </si>
  <si>
    <t>http://www.linkedin.com/in/david-boudaud-562b2130</t>
  </si>
  <si>
    <t xml:space="preserve">David Clares</t>
  </si>
  <si>
    <t>Clares</t>
  </si>
  <si>
    <t>david.clares@climate-innov.com</t>
  </si>
  <si>
    <t xml:space="preserve">Climate Innov</t>
  </si>
  <si>
    <t>climate-innov.com</t>
  </si>
  <si>
    <t>http://www.linkedin.com/company/climate-innov</t>
  </si>
  <si>
    <t xml:space="preserve">Climate Innov is a pioneering IT company focused on combating climate change through innovative solutions, specializing in wildfire prediction and decision support systems. We operate in France and Tunisia.</t>
  </si>
  <si>
    <t>http://www.linkedin.com/in/david-clares-b16606152</t>
  </si>
  <si>
    <t xml:space="preserve">David Coridun</t>
  </si>
  <si>
    <t>Coridun</t>
  </si>
  <si>
    <t>david.coridun@lex-persona.com</t>
  </si>
  <si>
    <t xml:space="preserve">Managing Director - Directeur général</t>
  </si>
  <si>
    <t xml:space="preserve">Lex Persona</t>
  </si>
  <si>
    <t>lex-persona.com</t>
  </si>
  <si>
    <t>Saint-Andre-les-Vergers</t>
  </si>
  <si>
    <t xml:space="preserve">signature electronique,dematerialisation,valeur probatoire,cachet electronique,2ddoc,signer,faire signer,cacheter,archivage electronique,cachet electronique visible,confiance numerique,souverainete numerique,api,trust service provider,processus metier,eidas,qes,hds,inpi</t>
  </si>
  <si>
    <t>http://www.linkedin.com/company/lex-persona</t>
  </si>
  <si>
    <t>https://twitter.com/lexpersona</t>
  </si>
  <si>
    <t>https://facebook.com/pages/Lex-Persona/581179861908225</t>
  </si>
  <si>
    <t xml:space="preserve">French software publisher, specialized in electronic signatures since 2005. With Lex Persona, sign without limits.</t>
  </si>
  <si>
    <t>http://www.linkedin.com/in/david-coridun-66735334</t>
  </si>
  <si>
    <t xml:space="preserve">David Delannoy</t>
  </si>
  <si>
    <t>Delannoy</t>
  </si>
  <si>
    <t>david.delannoy@evometrologie.com</t>
  </si>
  <si>
    <t xml:space="preserve">Président EVO METROLOGIE</t>
  </si>
  <si>
    <t xml:space="preserve">EVO Métrologie</t>
  </si>
  <si>
    <t>evometrologie.com</t>
  </si>
  <si>
    <t>Corneilla-la-Riviere</t>
  </si>
  <si>
    <t>http://www.linkedin.com/company/evo-m%c3%a9trologie</t>
  </si>
  <si>
    <t>https://www.facebook.com/people/EVO-m%C3%A9trologie/100075845067703/</t>
  </si>
  <si>
    <t xml:space="preserve">Depuis plus de 25 ans, Évo Métrologie est votre expert en métrologie à Perpignan et Toulouse pour des prestations précises et fiables.</t>
  </si>
  <si>
    <t>http://www.linkedin.com/in/david-delannoy-87a6501ba</t>
  </si>
  <si>
    <t xml:space="preserve">David Desjardins</t>
  </si>
  <si>
    <t>david.desjardins@armtek.fr</t>
  </si>
  <si>
    <t>ARMTEK</t>
  </si>
  <si>
    <t>armtek.fr</t>
  </si>
  <si>
    <t>Evreux</t>
  </si>
  <si>
    <t xml:space="preserve">industrie,armee,systemes complexes,montee en competence rapide et dynamique,transparence,capitalisation de connaissances operationnelles,strategie de connaissance ia,assistant au militaire,acceleration du cycle capacitaire,optimisation du soutien</t>
  </si>
  <si>
    <t>http://www.linkedin.com/company/armtek-france</t>
  </si>
  <si>
    <t xml:space="preserve">Armtek améliore les capacités opérationnelles.
En introduisant une logique d'efficience à toutes les étapes du cycle capacitaire, Armtek réduit substantiellement les charges indirectes des Forces, ce qui leur permet d'économiser leurs ressources pour consacrer l'essentiel de leur énergie aux missions. Les Forces étant dotées de budgets et moyens par essence limités, il s'agit de projeter plus de puissance à effort constant.</t>
  </si>
  <si>
    <t>http://www.linkedin.com/in/david-desjardins-a157143</t>
  </si>
  <si>
    <t xml:space="preserve">David Foure</t>
  </si>
  <si>
    <t>Foure</t>
  </si>
  <si>
    <t>david.foure@proactifcallcenter.com</t>
  </si>
  <si>
    <t xml:space="preserve">Proactif Call Center</t>
  </si>
  <si>
    <t>proactifcallcenter.com</t>
  </si>
  <si>
    <t xml:space="preserve">centre d39appels,centre dappels,call center,btoc,televente,fidelisation,telemarketing,leads</t>
  </si>
  <si>
    <t>http://www.linkedin.com/company/proactif-call-center</t>
  </si>
  <si>
    <t xml:space="preserve">Proactif call center Tunisie est un centre d'appel à Tunis idéal pour les entreprises qui souhaitent réaliser une externalisation du service client.</t>
  </si>
  <si>
    <t>http://www.linkedin.com/in/davidfoure</t>
  </si>
  <si>
    <t xml:space="preserve">David Guillen</t>
  </si>
  <si>
    <t>Guillen</t>
  </si>
  <si>
    <t>david.guillen@styleo.fr</t>
  </si>
  <si>
    <t>Styléo</t>
  </si>
  <si>
    <t>styleo.fr</t>
  </si>
  <si>
    <t>Frejus</t>
  </si>
  <si>
    <t xml:space="preserve">developpement web,accompagnement web market,community manager,odoo crm,erp</t>
  </si>
  <si>
    <t>http://www.linkedin.com/company/styleo</t>
  </si>
  <si>
    <t>https://facebook.com/styleo</t>
  </si>
  <si>
    <t xml:space="preserve">Styléo conçoit et réalise la transformation digitale des entreprises : sites vitrines, e-commerce, application, CRM &amp; ERP.</t>
  </si>
  <si>
    <t>http://www.linkedin.com/in/david-guillen-8a81033</t>
  </si>
  <si>
    <t xml:space="preserve">David Larauze</t>
  </si>
  <si>
    <t>Larauze</t>
  </si>
  <si>
    <t>david@mti86.com</t>
  </si>
  <si>
    <t>MTI</t>
  </si>
  <si>
    <t>mti86.com</t>
  </si>
  <si>
    <t>Poitou-Charentes</t>
  </si>
  <si>
    <t xml:space="preserve">numerique responsable,sage,ebp,securite informatiques,logiciels de gestion,crm,reseaux informatiques,silae</t>
  </si>
  <si>
    <t>http://www.linkedin.com/company/mti86</t>
  </si>
  <si>
    <t xml:space="preserve">MTI, votre partenaire de services informatiques et réseaux. Installation, paramétrage, sécurisation et maintenance de systèmes d’information.</t>
  </si>
  <si>
    <t>http://www.linkedin.com/in/david-de-larauze-7a520757</t>
  </si>
  <si>
    <t xml:space="preserve">David Calleri</t>
  </si>
  <si>
    <t>Calleri</t>
  </si>
  <si>
    <t>david@smilewanted.com</t>
  </si>
  <si>
    <t xml:space="preserve">Cofondateur / Publisher Partners</t>
  </si>
  <si>
    <t xml:space="preserve">Smile Wanted Group</t>
  </si>
  <si>
    <t>smilewanted.com</t>
  </si>
  <si>
    <t xml:space="preserve">programmatic,online media,digital advertising,media trading,data algorithm,online performance,display,video,mobile advertising,technology,deals id,monetization,advertising</t>
  </si>
  <si>
    <t>http://www.linkedin.com/company/smile-wanted</t>
  </si>
  <si>
    <t xml:space="preserve">Spot the most valuable inventory on premium websites and provide guarantees of performance to advertisers. Reach +500M users /month globally.</t>
  </si>
  <si>
    <t>http://www.linkedin.com/in/david-calleri-84591a8a</t>
  </si>
  <si>
    <t xml:space="preserve">David Soulas</t>
  </si>
  <si>
    <t>Soulas</t>
  </si>
  <si>
    <t>davidsoulas@charpente-merlot.fr</t>
  </si>
  <si>
    <t xml:space="preserve">SAS MERLOT</t>
  </si>
  <si>
    <t>charpente-merlot.fr</t>
  </si>
  <si>
    <t>http://www.linkedin.com/company/sas-merlot</t>
  </si>
  <si>
    <t>https://www.facebook.com/Merlot-SAS-1452582684968568/</t>
  </si>
  <si>
    <t xml:space="preserve">Implantée à Châtellerault (86 Vienne) depuis 1971. Merlot SAS est devenu au fil des années un acteur incontournable et reconnu dans notre région.</t>
  </si>
  <si>
    <t>http://www.linkedin.com/in/david-soulas-4b476b190</t>
  </si>
  <si>
    <t xml:space="preserve">Denis Boutte</t>
  </si>
  <si>
    <t>Boutte</t>
  </si>
  <si>
    <t>db@avenirdirigeant.com</t>
  </si>
  <si>
    <t xml:space="preserve">Cofondateur  Directeur Général</t>
  </si>
  <si>
    <t xml:space="preserve">Avenir Dirigeant</t>
  </si>
  <si>
    <t>avenirdirigeant.com</t>
  </si>
  <si>
    <t xml:space="preserve">outplacement individuel,conduite du changement,developpement personnel,reconversion professionnelle,coaching dintegration,bilan projet,outplacement dirigeants,executive coaching</t>
  </si>
  <si>
    <t>http://www.linkedin.com/company/avenir-dirigeant</t>
  </si>
  <si>
    <t>https://twitter.com/ADirigeant</t>
  </si>
  <si>
    <t>https://facebook.com/pages/Avenir-Dirigeant/694097350685246</t>
  </si>
  <si>
    <t xml:space="preserve">UN CABINET CONÇU POUR DES DIRIGEANTS PAR DES DIRIGEANTS
Avenir Dirigeant accompagne les dirigeants dans les moments-clés déterminant leur avenir professionnel. Nous travaillons sur l'individu pour identifier ses aspirations profondes, ses moteurs de vie, ses zones de confort autant que ses compétences métier, relationnelles et managériales.
Nos forces
–	Un positionnement « dirigeants » : une prestation personnalisée, calibrée sur les spécificités des dirigeants, des échanges facilités en groupes de pairs et un enrichissement accéléré dans l'activation de réseaux.   
–	Les expertises croisées de l'équipe Avenir Dirigeant, permettant à chaque client de bénéficier d'approches complémentaires : marketing, communication, coaching, digital, DRH, chasseur de tête...
–	Le choix délibéré d'une configuration à dimension humaine, garantissant un accompagnement propice à la confiance et au maintien en énergie positive, dans une relation privilégiée.
–	Une ouverture permanente sur le monde de l'entreprise et ses profondes mutations culturelles et organisationnelles.
OUR FIRM WAS CREATED FOR LEADERS BY LEADERS
Avenir Dirigeant assists leaders in key moments determining their professional future. We work closely together with our clients to identify their profound aspirations and sources of motivation, their comfort zone as well as their professional, interpersonal and management skills.
Our strengths 
–	Leadership: we provide a tailor-made service, adapted to a leader's specific needs. We also foster interaction among peers so as to expand our clients' networks.
–	Our team boasts complementary areas of expertise thus providing our clients with a complete advisory service: marketing, communication, coaching, digital, DHR, head hunter…
–	Our human approach is based on an individual coaching process, which allows a privileged relation ship with each one of our clients. 
–	We are constantly open to the world of business, its deep cultural and organizational changes.</t>
  </si>
  <si>
    <t>http://www.linkedin.com/in/denisboutte</t>
  </si>
  <si>
    <t xml:space="preserve">David Baron</t>
  </si>
  <si>
    <t>Baron</t>
  </si>
  <si>
    <t>dbaron@baron-sas.fr</t>
  </si>
  <si>
    <t xml:space="preserve">directeur général de BARON SAS</t>
  </si>
  <si>
    <t xml:space="preserve">BARON SAS</t>
  </si>
  <si>
    <t>baron-sas.fr</t>
  </si>
  <si>
    <t xml:space="preserve">metrologie,enregistrement de temperature,supervision,thermometrie,controle process,surveillance temperature,hygrometrie,controle de la chaine du froid</t>
  </si>
  <si>
    <t>Alencon</t>
  </si>
  <si>
    <t>http://www.linkedin.com/company/baron-sas</t>
  </si>
  <si>
    <t xml:space="preserve">Instruments d'enregistrement, surveillance et mesure de température pour chaîne du froid, processus de cuisson et installations climatisées.</t>
  </si>
  <si>
    <t>http://www.linkedin.com/in/david-baron-830472105</t>
  </si>
  <si>
    <t xml:space="preserve">Delphine Battesti</t>
  </si>
  <si>
    <t>Battesti</t>
  </si>
  <si>
    <t>dbattesti@vakom.fr</t>
  </si>
  <si>
    <t xml:space="preserve">Co- Dirigeante Vakom à Toulouse</t>
  </si>
  <si>
    <t>http://www.linkedin.com/in/delphine-battesti-a4431887</t>
  </si>
  <si>
    <t xml:space="preserve">Delphine Leloup</t>
  </si>
  <si>
    <t>Leloup</t>
  </si>
  <si>
    <t>delphine.leloup@wondercrush.fr</t>
  </si>
  <si>
    <t xml:space="preserve">WONDERCRUSH | Act4U Group</t>
  </si>
  <si>
    <t>wondercrush.fr</t>
  </si>
  <si>
    <t>Saint-Herblain</t>
  </si>
  <si>
    <t>http://www.linkedin.com/company/wondercrush</t>
  </si>
  <si>
    <t xml:space="preserve">Agence conseil en communication : stratégie, plan de communication, image de marque, charte graphique, conseil et production digitale, parcours client.</t>
  </si>
  <si>
    <t>http://www.linkedin.com/in/delphine-leloup-wondercrush-44307468</t>
  </si>
  <si>
    <t xml:space="preserve">Delphine Plisson</t>
  </si>
  <si>
    <t>Plisson</t>
  </si>
  <si>
    <t>delphine.plisson@lamaisonplisson.com</t>
  </si>
  <si>
    <t xml:space="preserve">Fondatrice La MaisonPlisson</t>
  </si>
  <si>
    <t xml:space="preserve">La Maison Plisson</t>
  </si>
  <si>
    <t>lamaisonplisson.com</t>
  </si>
  <si>
    <t xml:space="preserve">charcuterie,foodhall,grocery,cave,produits frais,epicerie,halle alimentaire,boucherie,cremerie,fromagerie,restaurant,boulangerie,primeur,cuisine maison</t>
  </si>
  <si>
    <t>http://www.linkedin.com/company/la-maison-plisson</t>
  </si>
  <si>
    <t xml:space="preserve">1200 produits frais d'artisans et d'épicerie fine sélectionnés avec passion ✓ Livraison à Paris et en France ✓ Découvrez nos restaurants et magasins</t>
  </si>
  <si>
    <t>http://www.linkedin.com/in/delphine-plisson-2713b17b</t>
  </si>
  <si>
    <t xml:space="preserve">Delphine Riss</t>
  </si>
  <si>
    <t>Riss</t>
  </si>
  <si>
    <t>delphine.riss@tempeos.com</t>
  </si>
  <si>
    <t xml:space="preserve">Dirigeante Agence Tempéos</t>
  </si>
  <si>
    <t>Tempeos</t>
  </si>
  <si>
    <t>tempeos.com</t>
  </si>
  <si>
    <t>Colomiers</t>
  </si>
  <si>
    <t xml:space="preserve">avantages salaries,fidelisation salaries,comite entreprise externalise,motivation,outil rh,avantages pme,bien etre,recrutement,culture dentreprise</t>
  </si>
  <si>
    <t>http://www.linkedin.com/company/tempeos</t>
  </si>
  <si>
    <t xml:space="preserve">Tempeos, les avantages d'un grand comité d'entreprise exclusivement réservés aux PME !
Fondée en 2007, Tempeos mutualise les offres partenaires pour permettre 
aux TPE/PME/CE d'accéder à des offres réservées aux grandes entreprises.
Tempeos vous permet d'accéder à plus de 50 000 offres dans divers univers : spectacles, billetterie, sorties, cinéma, voyages, week-ends, sports, loisirs, alimentaire, maison, mode, électroménager, services...
NOTRE MISSION
•Vous apportez un outil qui valorise votre PME
•Apporter les avantages d'un grand CE sans les inconvénients
•Obtenir pour vos salariés des remises sur plus de 50 000 prestations
•Mettre à votre disposition tous les outils de communication
pour informer vos salariés
TEMPEOS EN CHIFFRES
•Plus de 300 partenaires 
•Des milliers de prestations à tarifs CE
•Plus de 50 000 spectacles, concerts...
•Plus de 350 PME clientes
•Plus de 10 000 salariés abonnés</t>
  </si>
  <si>
    <t>http://www.linkedin.com/in/delphine-riss</t>
  </si>
  <si>
    <t xml:space="preserve">Denis Bornua</t>
  </si>
  <si>
    <t>Bornua</t>
  </si>
  <si>
    <t>denis.bornua@agroalimentaire-conseil.com</t>
  </si>
  <si>
    <t xml:space="preserve">Dirigeant Consultant  certifié IFS Formateur</t>
  </si>
  <si>
    <t xml:space="preserve">AGRO ALIMENTAIRE CONSEIL</t>
  </si>
  <si>
    <t>Bourg-en-Bresse</t>
  </si>
  <si>
    <t>http://www.linkedin.com/company/agro-alimentaire-conseil</t>
  </si>
  <si>
    <t xml:space="preserve">AGRO ALIMENTAIRE CONSEIL is a management consulting company based out of TECHNOPOLE ALIMENTEC  RUE HENRI DE BOISSIEU, BOURG EN BRESSE CEDEX 9, France.</t>
  </si>
  <si>
    <t>http://www.linkedin.com/in/denis-bornua-30576624</t>
  </si>
  <si>
    <t xml:space="preserve">Denis Escudier</t>
  </si>
  <si>
    <t>Escudier</t>
  </si>
  <si>
    <t>descudier@elips-solution.fr</t>
  </si>
  <si>
    <t xml:space="preserve">Elips Solution</t>
  </si>
  <si>
    <t>elips-solution.fr</t>
  </si>
  <si>
    <t>http://www.linkedin.com/company/%c3%a9lips-solution</t>
  </si>
  <si>
    <t xml:space="preserve">Elips Solution est située à Caen en Normandie, 2ème région mondialement connue juste après la Californie !
Créée en 2016, nous accompagnons les entreprises, leurs dirigeants et leurs équipes dans le conseil en système d'information autour des process RH, comptables et financiers.
Nous partageons des valeurs de proximité, de confiance et de sincérité. Avec souplesse, réactivité et compétence, nous adaptons nos réponses en fonction des spécificités métier des entrepreneurs et nous assurons un service de proximité optimal.</t>
  </si>
  <si>
    <t>http://www.linkedin.com/in/denis-escudier-5ba7ba2a</t>
  </si>
  <si>
    <t xml:space="preserve">Damien Fornier</t>
  </si>
  <si>
    <t>Fornier</t>
  </si>
  <si>
    <t>dfornier@os-consultech.fr</t>
  </si>
  <si>
    <t>OS-Consultech</t>
  </si>
  <si>
    <t>os-consultech.fr</t>
  </si>
  <si>
    <t>Avelin</t>
  </si>
  <si>
    <t xml:space="preserve">accompagnement transformation numerique,experts zoho,partenaire zoho creator,developpement dapplications metier,accompagnement rgpd,dsi a temps partage,crm,developpement zoho,desk,bi</t>
  </si>
  <si>
    <t>http://www.linkedin.com/company/os-consultech</t>
  </si>
  <si>
    <t xml:space="preserve">La première société de service informatique dédiée à Zoho™, en France et en Belgique
Partenaire Premium certifié de l'éditeur Zoho, nous mettons en place les solutions Zoho dans votre système d'information. Que ce soit pour la mise en place de Zoho CRM, Zoho One, Zoho Creator, Zoho Analytics et autre. 
En tant qu'intégrateur, nous connectons vos autres outils ( Cegid , Sage, EBp, ... ) avec les applications Zoho, et en particulier avec votre Zoho CRM pour en faire la tour de contrôle de votre business.
Grâce à Zoho Creator, plateforme de développement low-code, vous gagnerez du temps, et de la sécurité en digitalisant vos procédés.
La présentation de Zoho et de OS CONSULTECH
https://workdrive.zohopublic.eu/external/show/e3f905ac74311123ed8873fb32ba8fbc28a45fb2b1829c5a360bbda88727d5d4</t>
  </si>
  <si>
    <t>http://www.linkedin.com/in/damien-fornier-92885061</t>
  </si>
  <si>
    <t xml:space="preserve">David Hostetter</t>
  </si>
  <si>
    <t>Hostetter</t>
  </si>
  <si>
    <t>dhostetter@opstim.fr</t>
  </si>
  <si>
    <t>http://www.linkedin.com/in/davidhostetter</t>
  </si>
  <si>
    <t xml:space="preserve">Didier Carre</t>
  </si>
  <si>
    <t>didier.carre@primeanalytics.fr</t>
  </si>
  <si>
    <t xml:space="preserve">Finance and Industry NoCode Digitalisation (Alteryx  DataIku...)  President of Mines Digital &amp; Institut G9 (member of Femmes@Numérique  Planet Tech Care and co founder</t>
  </si>
  <si>
    <t xml:space="preserve">Prime Analytics</t>
  </si>
  <si>
    <t>primeanalytics.fr</t>
  </si>
  <si>
    <t xml:space="preserve">innovation,technologies,fintech,regtech,conformite,risque,finance,conseil,controle de gestion,intelligence daffaires</t>
  </si>
  <si>
    <t>http://www.linkedin.com/company/primeanalytics</t>
  </si>
  <si>
    <t>https://www.facebook.com/primeanalytics.fr/</t>
  </si>
  <si>
    <t xml:space="preserve">PRIME ANALYTICS est une société spécialisée en Finance, Transformation digitale, Analytique et Services Innovants. Nous offrons du conseil et de la formation en Finance, Contrôle de gestion, Risques, Réglementaire et Conformité. Expert dans la mise en place de projets réglementaires avec Alteryx : BALE IV, Loan Tape, FINREP, CORE...</t>
  </si>
  <si>
    <t>http://www.linkedin.com/in/didiercarre</t>
  </si>
  <si>
    <t xml:space="preserve">Didier Durand</t>
  </si>
  <si>
    <t>didier.durand@pierrenoel.fr</t>
  </si>
  <si>
    <t xml:space="preserve">PDG entreprise restauration du patrimoine bati</t>
  </si>
  <si>
    <t>Pierrenoël</t>
  </si>
  <si>
    <t>pierrenoel.fr</t>
  </si>
  <si>
    <t xml:space="preserve">taille de pierre,restauration des betons anciens,enduits traditionnels,maconnerie des monuments historiques,entreprise du patrimoine vivant</t>
  </si>
  <si>
    <t>http://www.linkedin.com/company/pierrenoel1844</t>
  </si>
  <si>
    <t xml:space="preserve">Taille de pierre, restauration des bétons anciens, travaux de maçonnerie des Monuments Historiques et application d’enduits traditionnels.</t>
  </si>
  <si>
    <t>http://www.linkedin.com/in/didier-durand-7948b148</t>
  </si>
  <si>
    <t xml:space="preserve">Didier Garcia</t>
  </si>
  <si>
    <t>didier.garcia@groupemen.fr</t>
  </si>
  <si>
    <t>GROUPEMEN</t>
  </si>
  <si>
    <t>http://www.linkedin.com/company/groupemen</t>
  </si>
  <si>
    <t xml:space="preserve">GROUPEMEN est un Groupe d'entreprises de menuiseries crée par Olivier LOPEZ.
Créé en 2003, le Groupe dont le siège est basé à Perpignan, distribue des produits finis (Menuiseries en Aluminium ou PVC, Volets, Volets roulants, Portes intérieur et extérieur, Portes de garage, Clôtures, Pergolas, Tonnelles, Portails, Dressing et Aménagement de placards, Cuisines etc...)  en apportant l'expertise, le savoir faire et le service dont nos clients ont besoin dans leurs projets de rénovation ou de construction maison.
Voici quelques points clés :
-&gt; 208 collaborateurs
-&gt; 100 Millions € CA en 2022
-&gt; 26 Points de Vente et 10 enseignes
-&gt; Membre du Réseau UNIVERTURE
N'hésitez pas à nous contacter, on sera ravi d'échanger avec vous sur notre Groupe ou nos offres d'emploi et opportunités éventuelles.
Rejoignez la force d'un groupe en action !</t>
  </si>
  <si>
    <t>http://www.linkedin.com/in/didier-garcia-0b4b4091</t>
  </si>
  <si>
    <t xml:space="preserve">Didier Guarisco</t>
  </si>
  <si>
    <t>Guarisco</t>
  </si>
  <si>
    <t>didier.guarisco@chrymelie.fr</t>
  </si>
  <si>
    <t>CHRYMELIE</t>
  </si>
  <si>
    <t>chrymelie.fr</t>
  </si>
  <si>
    <t xml:space="preserve">logistique,supply chain,rse,industrie,developpement durable,transport,previsions,gestion industrielle,achats,mrp,stocks,audit,industrie 40,gestion de projet,planification,digital,conseil,erp,management</t>
  </si>
  <si>
    <t>http://www.linkedin.com/company/chrymelie</t>
  </si>
  <si>
    <t>https://www.facebook.com/Chrymelie/</t>
  </si>
  <si>
    <t xml:space="preserve">Chrymelie - Cabinet de conseil spécialisés sur les métiers de la Supply Chain, de la Logistique et sur les Systèmes d’Information.</t>
  </si>
  <si>
    <t>http://www.linkedin.com/in/didierguarisco</t>
  </si>
  <si>
    <t xml:space="preserve">Dijane Schmitt</t>
  </si>
  <si>
    <t>Dijane</t>
  </si>
  <si>
    <t>dijane.schmitt@junior-imt-nord-europe.fr</t>
  </si>
  <si>
    <t xml:space="preserve">Junior IMT Nord Europe</t>
  </si>
  <si>
    <t>junior-imt-nord-europe.fr</t>
  </si>
  <si>
    <t>Enghien-les-Bains</t>
  </si>
  <si>
    <t>http://www.linkedin.com/company/junior-imt-nord-europe</t>
  </si>
  <si>
    <t>https://www.facebook.com/Junior.IMT.Nord.Europe/</t>
  </si>
  <si>
    <t xml:space="preserve">Junior IMT Nord Europe est la Junior-Entreprise de l'école d'ingénieurs IMT Nord Europe (issue de la fusion des Mines de Douai et de Télécom Lille).
Junior IMT Nord Europe, anciennement nommée AMSTOR puis ARTEMIS Junior Consulting, est une association loi 1901 créée en 1984. Elle met en relation une entreprise ayant un besoin avec un étudiant qui produira un livrable, en assurant un suivi régulier et un accompagnement tout au long de la mission.
Nos prestations couvrent l'ensemble des domaines d'enseignement d'IMT Nord Europe, comme par exemple le développement web, la data ou encore la conception assistée par ordinateur.
N'hésitez pas à nous contacter pour tout renseignement ou demande de devis : contact@junior-imt-nord-europe.fr</t>
  </si>
  <si>
    <t>http://www.linkedin.com/in/dijane-schmitt</t>
  </si>
  <si>
    <t xml:space="preserve">Dimitri Zanier</t>
  </si>
  <si>
    <t>Zanier</t>
  </si>
  <si>
    <t>dimitri.zanier@zaniersa.fr</t>
  </si>
  <si>
    <t>ZANIER</t>
  </si>
  <si>
    <t>zaniersa.fr</t>
  </si>
  <si>
    <t xml:space="preserve">renovation,rehabilitation,gestion de projet</t>
  </si>
  <si>
    <t>Saint-Germain-en-Laye</t>
  </si>
  <si>
    <t>http://www.linkedin.com/company/zanier-sa</t>
  </si>
  <si>
    <t xml:space="preserve">Zanier SA est spécialisée dans la rénovation tout corps d’état. Nous travaillons sur tous types de projet, du plus basique au plus compliqué.</t>
  </si>
  <si>
    <t>http://www.linkedin.com/in/dimitri-zanier-45280443</t>
  </si>
  <si>
    <t xml:space="preserve">Dino Jaegle</t>
  </si>
  <si>
    <t>Jaegle</t>
  </si>
  <si>
    <t>dino@wemoms.fr</t>
  </si>
  <si>
    <t>WeMoms</t>
  </si>
  <si>
    <t>wemoms.fr</t>
  </si>
  <si>
    <t xml:space="preserve">parenting,baby &amp; kids,mothers,motherhood community,age groups,demographies,moms,local social media,babies,community</t>
  </si>
  <si>
    <t>http://www.linkedin.com/company/wemoms</t>
  </si>
  <si>
    <t>https://twitter.com/wemomsapp</t>
  </si>
  <si>
    <t>https://www.facebook.com/pages/WeMoms/664608920276970?sk=info</t>
  </si>
  <si>
    <t xml:space="preserve">Soutien et réponses sur la maternité</t>
  </si>
  <si>
    <t>http://www.linkedin.com/in/dino-jaegle-a3258923</t>
  </si>
  <si>
    <t xml:space="preserve">Dominique Chambas</t>
  </si>
  <si>
    <t>Chambas</t>
  </si>
  <si>
    <t>dominique.chambas@trfretail.com</t>
  </si>
  <si>
    <t xml:space="preserve">Co founder and Owner</t>
  </si>
  <si>
    <t xml:space="preserve">TRF Retail</t>
  </si>
  <si>
    <t>trfretail.com</t>
  </si>
  <si>
    <t xml:space="preserve">optimisation des assortiments,distribution,optimisation de loffre commerciale,pilotage par les gains financiers,reduction des stocks,trfretail,ai,predictiveanalytics,prescriptiveanalytics,retailsolution,machinelearning,generativeai,supplychain,integratedsupplychain,excellenceoperational</t>
  </si>
  <si>
    <t>http://www.linkedin.com/company/trf-retail</t>
  </si>
  <si>
    <t>https://twitter.com/TRFRETAIL</t>
  </si>
  <si>
    <t>https://facebook.com/pages/TRF-Retail/226445844037276</t>
  </si>
  <si>
    <t xml:space="preserve">TRF Retail is a predictive and prescriptive AI company that helps retailers improve their operations and make better decisions. Our AI model uses financial potential benefits to provide retailers with real-time insights and recommendations. We offer a variety of services, including demand forecasting, price optimization, promotion planning, assortment optimization, supply chain optimization, customer segmentation, customer lifetime value analysis, fraud detection, and recommendation engine development. Our AI solutions have been shown to help retailers increase sales, improve profitability, and enhance customer satisfaction. We are used by a wide range of retailers, including grocery stores, department stores, apparel stores, and DIY retailers. If you are a retailer, we encourage you to learn more about our AI solutions. We can help you to improve your operations, increase your sales, and improve your profitability.
Contact us today to learn more about how we can help you achieve your business goals.
TRF Retail: Empowering retailers with the power of AI.
TRFRetail AI PredictiveAnalytics PrescriptiveAnalytics Retail RetailSolutions</t>
  </si>
  <si>
    <t>http://www.linkedin.com/in/dominique-chambas-5ab57a4</t>
  </si>
  <si>
    <t xml:space="preserve">Dominique Crochu</t>
  </si>
  <si>
    <t>Crochu</t>
  </si>
  <si>
    <t>dominique.crochu@mixity.co</t>
  </si>
  <si>
    <t>Mixity</t>
  </si>
  <si>
    <t>mixity.co</t>
  </si>
  <si>
    <t xml:space="preserve">lgbt,sensibilisation,audit,hr,formation,multigenerationnel,multiculturel,ressources humaines,impact,coaching,handicap,rh,diversite,mesure,rse,genre,egalitefh,diagnostic,conseil,qualiopi,mixite,elearning,inclusion,innovation</t>
  </si>
  <si>
    <t>http://www.linkedin.com/company/mixity-co</t>
  </si>
  <si>
    <t>https://twitter.com/Mixity_co</t>
  </si>
  <si>
    <t>https://www.facebook.com/Mixity.co/</t>
  </si>
  <si>
    <t xml:space="preserve">Mixity est la solution RH tout-en-un en ligne pour mettre en place, mesurer et piloter les politiques diversité, équité et inclusion de votre entreprise (DE&amp;I)</t>
  </si>
  <si>
    <t>http://www.linkedin.com/in/dominique-crochu-21929517</t>
  </si>
  <si>
    <t xml:space="preserve">Theriez Dominique</t>
  </si>
  <si>
    <t>Theriez</t>
  </si>
  <si>
    <t>dominique.theriez@aquasys.fr</t>
  </si>
  <si>
    <t>Aquasys</t>
  </si>
  <si>
    <t>aquasys.fr</t>
  </si>
  <si>
    <t>Sceaux</t>
  </si>
  <si>
    <t xml:space="preserve">gestion de la ressource en eau,intelligence artificielle,full web,editeur logiciel,water resource management system</t>
  </si>
  <si>
    <t>Port-Saint-Pere</t>
  </si>
  <si>
    <t>http://www.linkedin.com/company/aquasys-france</t>
  </si>
  <si>
    <t>https://twitter.com/myAquasys</t>
  </si>
  <si>
    <t>https://www.facebook.com/MyAquasys/</t>
  </si>
  <si>
    <t xml:space="preserve">Depuis 10 ans, Aquasys fournit des systèmes d'aide à la gestion de la ressource en eau à l'usage des territoires. Nos solutions centralisent les données quantitatives et qualitatives sur l'eau issues de sources multiples et hétérogènes et en restituent une vision globale et intégrée.</t>
  </si>
  <si>
    <t>http://www.linkedin.com/in/theriez-dominique</t>
  </si>
  <si>
    <t xml:space="preserve">Domitille Flichy</t>
  </si>
  <si>
    <t>Flichy</t>
  </si>
  <si>
    <t>domitille.flichy@farinez-vous.com</t>
  </si>
  <si>
    <t>FARINEZ'VOUS</t>
  </si>
  <si>
    <t>farinez-vous.com</t>
  </si>
  <si>
    <t>http://www.linkedin.com/company/farinezvous</t>
  </si>
  <si>
    <t xml:space="preserve">Farinez'vous est née en 2009. C'est une boulangerie artisanale constituée en coopérative, disposant de 3 lieux de vente (Paris XIIème et Paris XIIIème). Le projet s'est développé pour inclure une école de boulangerie inclusive, gérées solidairement.
Farinez'vous dépasse les codes et se positionne en chaînon manquant entre la formation et l'entreprise classique, en entreprise d'insertion, en entreprise inclusive, pour récupérer ces pépites qu'on abandonne par manque de souplesse.
En proposant des gammes de produits de saison faits maison par ses équipes, Farinez'vous offre un mode d'alimentation plus respectueux de l'environnement, sans rien sacrifier du plaisir du goût.
Nos boulangeries artisanales s'engagent pour la durabilité, avec des opérations de gestion des déchets, de consigne, de livraison propre. Une dynamique d'amélioration constante où Domitille et son équipe essaient de faire un peu plus chaque jour.
Farinez'vous, c'est autant de piliers conjugués solidairement, avec une gestion coopérative de l'entreprise, de l'association et de l'école.
Farinez'vous, pour prouver qu'on peut faire les choses autrement.</t>
  </si>
  <si>
    <t>http://www.linkedin.com/in/domitille-flichy-98740877</t>
  </si>
  <si>
    <t xml:space="preserve">Doris Madingou</t>
  </si>
  <si>
    <t>Doris</t>
  </si>
  <si>
    <t>Madingou</t>
  </si>
  <si>
    <t>doris.madingou@goodbuy-media.fr</t>
  </si>
  <si>
    <t xml:space="preserve">Good Buy Media</t>
  </si>
  <si>
    <t>goodbuy-media.fr</t>
  </si>
  <si>
    <t xml:space="preserve">agence media online offline,achat despaces publicitaires &amp; agence media online offline,achat despaces publicitaires,achat d39espaces publicitaires</t>
  </si>
  <si>
    <t>Cesson-Sevigne</t>
  </si>
  <si>
    <t>http://www.linkedin.com/company/good-buy-media</t>
  </si>
  <si>
    <t>https://www.facebook.com/goodbuymedia35</t>
  </si>
  <si>
    <t xml:space="preserve">Découvrez Good Buy Media, votre partenaire pour une stratégie média et digitale efficace. Transformez votre visibilité en un clic !</t>
  </si>
  <si>
    <t>http://www.linkedin.com/in/dorismadingou</t>
  </si>
  <si>
    <t xml:space="preserve">Delphine Orthuon</t>
  </si>
  <si>
    <t>Orthuon</t>
  </si>
  <si>
    <t>dorthuon@cdr-construction.fr</t>
  </si>
  <si>
    <t xml:space="preserve">CDR Construction</t>
  </si>
  <si>
    <t>cdr-construction.fr</t>
  </si>
  <si>
    <t xml:space="preserve">entreprise generale,conception,conduite de travaux,promotion immobiliere,gros oeuvre,construction,logements</t>
  </si>
  <si>
    <t>Aubiere</t>
  </si>
  <si>
    <t>http://www.linkedin.com/company/cdr-construction-fr</t>
  </si>
  <si>
    <t xml:space="preserve">CDR Construction est une entreprise jeune et dynamique du secteur du BTP.
CDR Construction est née de l'union en 2014, de 2 acteurs du BTP de la région Auvergne : Chaumette-Dupleix et Réolon. Ces deux PME, solidement enracinées sur leur territoire depuis respectivement 1880 et 1936, développent des savoir-faire en gros œuvre et en entreprise générale pour répondre aux besoins de leurs clients publics comme privés. 
Depuis 1999, ces entreprises travaillent conjointement pour réaliser des travaux d'envergure en Entreprise Générale, en Conception/Réalisation et Promotion Immobilière. La diversité des réalisations signées par ce groupement illustre ses qualités d'adaptation et d'organisation sur des marchés publics ou privés. : collèges, centrale électrique, espaces commerciaux, espaces de santé, habitats individuels ou collectifs… 
Aujourd'hui, CDR Construction s'appuie sur les compétences dont dispose le groupe dans les monuments historiques (Entreprises Dagois), la menuiserie (MBM), les façades (ATO), la plâtrerie-peinture (ISOLAQ), l'entretien et la maintenance (Marques Batiment) et l'immobilier commercial.
A la tête de CDR Construction, Christophe Chevrier dirige et anime le développement de l'entreprise, fort de son expérience depuis 26 ans dans le secteur de la construction sur la région Auvergne.</t>
  </si>
  <si>
    <t>http://www.linkedin.com/in/delphine-orthuon</t>
  </si>
  <si>
    <t xml:space="preserve">Etienne Coupe</t>
  </si>
  <si>
    <t>Coupe</t>
  </si>
  <si>
    <t>e.coupe@lamediosphere.fr</t>
  </si>
  <si>
    <t xml:space="preserve">Fondateur - Ingénieur - Incitateur</t>
  </si>
  <si>
    <t xml:space="preserve">La Mediosphère</t>
  </si>
  <si>
    <t>lamediosphere.fr</t>
  </si>
  <si>
    <t xml:space="preserve">decret tertiaire,bureau detudes fluides et thermique,audit energetique,coordination des systeme de securite incendie,bureau detudes vrd espaces verts,demarche bim et maquette numerique,re2020,bureau detudes structure et genie civil,rt2012,economiste de la construction,maitre doeuvre de conception et dexecution,bureau detudes environnemental,commissioning et performance energetique du batiment,commissionnement et performance energetique</t>
  </si>
  <si>
    <t>http://www.linkedin.com/company/la-mediosphere</t>
  </si>
  <si>
    <t xml:space="preserve">BET Fluides - BET Thermique - Carbone - RE2020, AMO HQE et ACV, Commissioning, Économiste de la construction, Maître d’œuvre, CSSI, VRD (Lyon 69)</t>
  </si>
  <si>
    <t>http://www.linkedin.com/in/etienne-coupe-ingenieur-fluides</t>
  </si>
  <si>
    <t xml:space="preserve">Eric Faramond</t>
  </si>
  <si>
    <t>Faramond</t>
  </si>
  <si>
    <t>e.faramond@globalp.fr</t>
  </si>
  <si>
    <t xml:space="preserve">GLOBALP Contractant Général</t>
  </si>
  <si>
    <t>globalp.fr</t>
  </si>
  <si>
    <t xml:space="preserve">contractant general</t>
  </si>
  <si>
    <t>Chavanod</t>
  </si>
  <si>
    <t>http://www.linkedin.com/company/globalpcontractantgeneral</t>
  </si>
  <si>
    <t xml:space="preserve">Spécialiste de la construction en Rhône-Alpes. Pour tous types de bâtiments à usage professionnel : logistique, activité, stockage, bureaux, tertiaire…</t>
  </si>
  <si>
    <t>http://www.linkedin.com/in/eric-faramond-495450153</t>
  </si>
  <si>
    <t xml:space="preserve">Emmanuel Galichon</t>
  </si>
  <si>
    <t>Galichon</t>
  </si>
  <si>
    <t>e.g@eixa.fr</t>
  </si>
  <si>
    <t>EIXA</t>
  </si>
  <si>
    <t>eixa.fr</t>
  </si>
  <si>
    <t xml:space="preserve">opc,maitrise doeuvre dexecution,assistance a maitrise douvrage,bet tce,maitrise doeuvre</t>
  </si>
  <si>
    <t>http://www.linkedin.com/company/eixa</t>
  </si>
  <si>
    <t xml:space="preserve">Le mot du président    
De la conception à la mise en exploitation...  
Addition de compétences complémentaires en ingénierie du bâtiment, EIXA opère de la conception d’un projet jusqu’à sa livraison. Créée pour offrir un accompagnement global aux développeurs, la société intervient tant en immobilier d’habitation,</t>
  </si>
  <si>
    <t>http://www.linkedin.com/in/emmanuel-galichon-6355b316</t>
  </si>
  <si>
    <t xml:space="preserve">Emmanuel Garcia</t>
  </si>
  <si>
    <t>e.garcia@anikit.fr</t>
  </si>
  <si>
    <t xml:space="preserve">LogiKap Editor of the solution Anikit</t>
  </si>
  <si>
    <t>anikit.fr</t>
  </si>
  <si>
    <t xml:space="preserve">securite des personnes,securite site,geolocalisation,protection,application mobile,objets connectes,tracabilite,dati,rapport,pti,iot</t>
  </si>
  <si>
    <t>http://www.linkedin.com/company/logikap</t>
  </si>
  <si>
    <t xml:space="preserve">Anikit Saas : a Real Time global positioning service for connected products
This modular service allows:
- To deploy connected equipment for public or private security companies,
- To ensure the protection of isolated workers and optimize their safety,
- Set up a solution to secure people in their day to day work or people with disabilities. For example, VIP Travelers, personal working in difficult geography or area, people in temporary weakness, ...
-To set up and improve site' security by different means of tracking detection (movement, video, photo…) and advanced warning,
-To track of precious objects or materials worldwide
-To follow fleet of vehicles.
Anikit offers a full-service range in real time with a set of applications that help you to organize and monitor your activity. Our solution is already compatible with more than 15 different types of connected objects that can be tracked. 
Our platform is designed to onboard at any time new object and solutions that can help to cover new use cases.  
Our solution is designed, developed and host in France.
Some figures:
In 2015 we received 1 Million connection per month
In 2016 we received 1 Million connection per week
In 2017 we received 4 Million connections per day
In 2018 we received 10 Million connections per day</t>
  </si>
  <si>
    <t>http://www.linkedin.com/in/emmanuel-garcia-60716973</t>
  </si>
  <si>
    <t xml:space="preserve">Emilie Geyer</t>
  </si>
  <si>
    <t>Geyer</t>
  </si>
  <si>
    <t>e.geyer@kadys.fr</t>
  </si>
  <si>
    <t>KADYS</t>
  </si>
  <si>
    <t>kadys.fr</t>
  </si>
  <si>
    <t>Montauban</t>
  </si>
  <si>
    <t xml:space="preserve">plan de classement,assistance a maitrise doeuvre,integrateur logiciels,dematerialisation documentaire,referencement documentaire,assistance a maitrise d39oeuvre</t>
  </si>
  <si>
    <t>http://www.linkedin.com/company/kadys</t>
  </si>
  <si>
    <t xml:space="preserve">Kadys conseille et intègre des plateformes numériques pour des professionnels en quête de temps et de performance Nos forces de proposition consistent à répondre au mieux à vos besoins et à vos problématiques métier à travers une analyse de proximité et un accompagnement dans votre conduite au changement, ces approches sont primordiales quant à la</t>
  </si>
  <si>
    <t>http://www.linkedin.com/in/emilie-geyer-51334a106</t>
  </si>
  <si>
    <t xml:space="preserve">Eric Leroux</t>
  </si>
  <si>
    <t>Leroux</t>
  </si>
  <si>
    <t>e.leroux@moncelec.fr</t>
  </si>
  <si>
    <t>MONCELEC</t>
  </si>
  <si>
    <t>moncelec.fr</t>
  </si>
  <si>
    <t xml:space="preserve">courant fort,borne de recharge electrique,qualifelec,reseaux informatiques,tertiaire,maintenance electrique,bancaire,performance energetique dans le tertiaire,courant faible,intervention en milieu amiante</t>
  </si>
  <si>
    <t>Bezons</t>
  </si>
  <si>
    <t>http://www.linkedin.com/company/moncelec-automatismes</t>
  </si>
  <si>
    <t xml:space="preserve">MONCELEC  : 
Fondée en 1993, Moncelec est une entreprise d'intégration électrique spécialisée dans les courants forts et les courants faibles.
Ces dernières années, celle-ci a pris le tournant de la transformation de son métier en développement et en proposant de la performance énergétique à ses clients.
En 2023, Moncelec rejoint le groupe Acorus, spécialiste dans l'éco-rénovation du bâtiment.
30 RUE CARNOT, BEZONS, France.</t>
  </si>
  <si>
    <t>http://www.linkedin.com/in/%c3%a9ric-leroux-75893b82</t>
  </si>
  <si>
    <t xml:space="preserve">Elsa Maji</t>
  </si>
  <si>
    <t>Elsa</t>
  </si>
  <si>
    <t>Maji</t>
  </si>
  <si>
    <t>e.maji@moderlab.com</t>
  </si>
  <si>
    <t xml:space="preserve">Chief Product Officer - Cofondatrice</t>
  </si>
  <si>
    <t>MODERLAB</t>
  </si>
  <si>
    <t>moderlab.com</t>
  </si>
  <si>
    <t xml:space="preserve">communication,application,architecture dinterieurs,visite virtuelle,visualisation 3d,immobilier,promotion immobiliere,construction,architecture,tertiare,retail,logistique,grand projet immobilier,conception produit,studio de jeu,real time</t>
  </si>
  <si>
    <t>http://www.linkedin.com/company/moderlab</t>
  </si>
  <si>
    <t>https://m.facebook.com/people/Moderlab/100064062880524/</t>
  </si>
  <si>
    <t xml:space="preserve">ATELIER DIGITAL 3D &amp; LOGICIEL DE CO-CONCEPTION ARCHITECTURALE</t>
  </si>
  <si>
    <t>http://www.linkedin.com/in/elsa-maji-55873393</t>
  </si>
  <si>
    <t xml:space="preserve">Eric Pellerin</t>
  </si>
  <si>
    <t>Pellerin</t>
  </si>
  <si>
    <t>e.pellerin@nova-construction.fr</t>
  </si>
  <si>
    <t xml:space="preserve">SASPO Nova Construction</t>
  </si>
  <si>
    <t>nova-construction.fr</t>
  </si>
  <si>
    <t>maconnerie,grosoeuvre,construction</t>
  </si>
  <si>
    <t>Lescar</t>
  </si>
  <si>
    <t>http://www.linkedin.com/company/nova-construction-lescar</t>
  </si>
  <si>
    <t xml:space="preserve">La Société NOVA CONSTRUCTION est une S.A.S à participation ouvrière ayant pour objet la construction de bâtiment industriel, logements collectifs, bâtiment commercial et tertiaire dont le cœur de métier est le gros œuvre – maçonnerie.
Professionnels reconnus, nos équipes, du bureau d'études en passant par l'administratif jusqu'au service travaux sauront faire respecter les contrats en maîtrisant les délais avec le souci permanent de la sécurité des hommes et de la qualité de l'exécution.
La Société NOVA CONSTRUCTION a été créée le 15/04/2011 et a débuté son activité « travaux » le 22/08/2011.
Les Maîtres d'Ouvrages ayant déjà manifesté leur confiance à cette nouvelle société sont, entre-autres, le Groupe EURALIS, le GROUPE PROCINÉ (CGR), la Communauté des Communes de LACQ-ORTHEZ, le Syndicat Mixte pour la valorisation du Pic du Midi de Bigorre, l'Université de PAU et des Pays de l'Adour, PYRAGENA (Consortium du Jambon de Bayonne), l'Office Palois de l'Habitat, la Ville de PAU, CASTORAMA, le Groupe MAÏSADOUR, le Conseil Régional d'Aquitaine, E. LECLERC, le Groupe D.P.G, FIPSO, le Groupe SAFRAN (TURBOMECA) ...</t>
  </si>
  <si>
    <t>http://www.linkedin.com/in/eric-pellerin-891a4460</t>
  </si>
  <si>
    <t xml:space="preserve">Emmanuel Petit</t>
  </si>
  <si>
    <t>Petit</t>
  </si>
  <si>
    <t>e.petit@apsys.fr</t>
  </si>
  <si>
    <t xml:space="preserve">Dirigeant - Associé</t>
  </si>
  <si>
    <t xml:space="preserve">APSYS Business Partner</t>
  </si>
  <si>
    <t>apsys.fr</t>
  </si>
  <si>
    <t xml:space="preserve">integrateurs en solutions de gestion,audit et conseil,deploiement,centres de competences certifies,integrateur cegid,integrateur sage,integrateur kyriba,integrateur exalog,transformation digitale,logiciels de gestion,expert en solutions de gestion</t>
  </si>
  <si>
    <t>Poissy</t>
  </si>
  <si>
    <t>http://www.linkedin.com/company/apsys-apsys</t>
  </si>
  <si>
    <t>https://twitter.com/APSYS_BP</t>
  </si>
  <si>
    <t xml:space="preserve">Intégrateur de solutions de gestion des éditeurs comme Sage et Cegid, Apsys Business Partner est présent à toutes les étapes de votre projet. Accompagnement, personnalisation et formation, nous vous accompagnons selon votre besoin et votre métier</t>
  </si>
  <si>
    <t>http://www.linkedin.com/in/emmanuel-petit-473268b2</t>
  </si>
  <si>
    <t xml:space="preserve">Edmea Adell</t>
  </si>
  <si>
    <t>Edmea</t>
  </si>
  <si>
    <t>Adell</t>
  </si>
  <si>
    <t>eadell@assetsman.com</t>
  </si>
  <si>
    <t xml:space="preserve">Présidente - Membre Fondateur</t>
  </si>
  <si>
    <t>Assetsman</t>
  </si>
  <si>
    <t>assetsman.com</t>
  </si>
  <si>
    <t xml:space="preserve">gestion dactifs,etudes,asset management industriel,formation,gestion dactifs industriels,conseil,asset management,capex,opex,iso 55000,iso 55001,accompagnement,iso 55002,audits,maintenance,certification iso 55001</t>
  </si>
  <si>
    <t>http://www.linkedin.com/company/assetsman</t>
  </si>
  <si>
    <t>https://www.facebook.com/assetsman/</t>
  </si>
  <si>
    <t xml:space="preserve">Assetsman : Spécialisée en Asset Management, Maintenance, Supply Chain, Fiabilité, Renouvellement</t>
  </si>
  <si>
    <t>http://www.linkedin.com/in/edmea-adell-9039881a</t>
  </si>
  <si>
    <t xml:space="preserve">Erick Belijar</t>
  </si>
  <si>
    <t>Erick</t>
  </si>
  <si>
    <t>Belijar</t>
  </si>
  <si>
    <t>ebelijar@black-oak.fr</t>
  </si>
  <si>
    <t xml:space="preserve">Fondateur Associé</t>
  </si>
  <si>
    <t xml:space="preserve">Black Oak</t>
  </si>
  <si>
    <t>black-oak.fr</t>
  </si>
  <si>
    <t xml:space="preserve">numerique responsable,qualite logiciel,urbanisation,expertises,pilotage programmeprojets,gouvernance si,ia,architecture technique</t>
  </si>
  <si>
    <t>http://www.linkedin.com/company/blackoak</t>
  </si>
  <si>
    <t xml:space="preserve">Parce que le métier du Service Informatique s'est transformé en donnant naissance à des centres de profits où la rentabilité prime sur le bien être des consultants, 
chez Black oak nous sommes convaincus que les sociétés de Consulting de demain auront su revoir leur modèle en profondeur.
Acteur du conseil IT, Black Oak est une organisation libérée, managée en responsabilité avec chacun de ses salariés, dont l'objectif est de lever les freins inhérents aux structures hiérarchisées et de permettre à chacun d'accéder à son meilleur niveau de performance.
Les piliers fondateurs de notre société : Expertise technologique, Management participatif, Ethique et Engagement. 
Nos consultants s'engagent au quotidien à favoriser l'émergence des idées de nos clients, à concrétiser leurs projets et les rendre opérants. 
Nos domaines d'intervention : Conseil en  Gouvernance / Architecture / Expertises</t>
  </si>
  <si>
    <t>http://www.linkedin.com/in/erick-belijar-7831a32</t>
  </si>
  <si>
    <t xml:space="preserve">Emmanuel Brugger</t>
  </si>
  <si>
    <t>Brugger</t>
  </si>
  <si>
    <t>ebrugger@cristel.com</t>
  </si>
  <si>
    <t>C.E.O.</t>
  </si>
  <si>
    <t>CRISTELFrance</t>
  </si>
  <si>
    <t>cristel.com</t>
  </si>
  <si>
    <t>Fesches-le-Chatel</t>
  </si>
  <si>
    <t>http://www.linkedin.com/company/cristel-france</t>
  </si>
  <si>
    <t>https://twitter.com/cristelfrance</t>
  </si>
  <si>
    <t>https://www.facebook.com/cristelusa</t>
  </si>
  <si>
    <t xml:space="preserve">Discover CRISTEL® kitchen utensils and enjoy the French know-how. Expert in high quality stainless steel cookware for 30 years - CRISTEL® USA</t>
  </si>
  <si>
    <t>http://www.linkedin.com/in/emmanuel-brugger-bb479a</t>
  </si>
  <si>
    <t xml:space="preserve">Emilie Cohen</t>
  </si>
  <si>
    <t>ecohen@rosseladvertising.fr</t>
  </si>
  <si>
    <t xml:space="preserve">Directrice générale Rossel Advertising France</t>
  </si>
  <si>
    <t xml:space="preserve">Rossel Advertising France</t>
  </si>
  <si>
    <t xml:space="preserve">communication,publicite,medias,digital,marketing,programmatique,video advertising,brand content,native advertising,display,innovation technologique,data,geolocalisation</t>
  </si>
  <si>
    <t>http://www.linkedin.com/company/rossel-advertising-france</t>
  </si>
  <si>
    <t xml:space="preserve">Rossel Advertising France est le pôle d'expertises marketing et digitales, au support des agences Rossel Conseil Médias et de ses agences Rossel Conseil dédiées aux marchés spécialisés. Ensemble, nous accompagnons les annonceurs de A à Z dans la construction de campagnes de communication sur mesure, efficaces et performantes.
De la stratégie à l'amplification médias de vos campagnes, nos collaborateurs mettent en commun leurs savoir-faire autour d'un panel de métiers. On y retrouve la gestion des outils CRM et data, la diffusion des campagne print et digitales, le trading desk, mais aussi le planning stratégique, le marketing, les études, la communication… 
Nous insufflons innovation et performance dans chacune des campagnes multicanales que nos agences de communication et médias vous proposent. Celle-ci peuvent être diffusées au sein de nos titres de Presse Quotidienne Régionale (La Voix du Nord, Courrier Picard, L'Union, l'Ardennais, Paris Normandie...), et au-delà, en achat média extérieur, pour vous aider à atteindre vos objectifs.</t>
  </si>
  <si>
    <t>http://www.linkedin.com/in/emilie-cohen-28927818</t>
  </si>
  <si>
    <t xml:space="preserve">Eric Dubost</t>
  </si>
  <si>
    <t>edubost@ccl-construction.fr</t>
  </si>
  <si>
    <t xml:space="preserve">CCL CONSTRUCTION SAS</t>
  </si>
  <si>
    <t>ccl-construction.fr</t>
  </si>
  <si>
    <t xml:space="preserve">construction bois,production batiment bois tce,couverture et enveloppe du batiment,construction modulaire,renovation energetique,bardage,couverture,charpente,logements groupes,ossature bois,prefabrication industrielle</t>
  </si>
  <si>
    <t>http://www.linkedin.com/company/cclconstruction</t>
  </si>
  <si>
    <t xml:space="preserve">CrÃ©e en 1973 par GÃ©rard Lucien Ã  Saint M HervÃ© prÃ¨s de VitrÃ©(35),  l entreprise Ã©ponyme lucien s est trÃ¨s rapidement spÃ©cialisÃ©e sur les bÃ¢timents collectifs en regroupant les lots charpente et couverture. Reprise en 2005 par 2 cadres de l industrie, l entreprise est devenue CCL Lucien pour Charpente Couverture Lucien...</t>
  </si>
  <si>
    <t>http://www.linkedin.com/in/%c3%a9ric-dubost-55144a5b</t>
  </si>
  <si>
    <t xml:space="preserve">Elisabeth Julien</t>
  </si>
  <si>
    <t>ej@ikimo.eu</t>
  </si>
  <si>
    <t xml:space="preserve">Fondatrice dirigeante</t>
  </si>
  <si>
    <t>ikimo</t>
  </si>
  <si>
    <t>ikimo.eu</t>
  </si>
  <si>
    <t xml:space="preserve">immobilier neuf,rendezvous en ligne direct promoteur,premier comparateur en immobilier neuf,startup,pepite frenchtech,innovation,bpiexcellence,comparateur,marketplace,real estate,proptech,logiciel saas</t>
  </si>
  <si>
    <t>http://www.linkedin.com/company/ikimo9</t>
  </si>
  <si>
    <t xml:space="preserve">IKIMO développe des solutions techniques pour faciliter et accélérer la vente de logements neufs, à travers 2 solutions :
💻 Ikimotech, logiciel SAAS pour simplifier la vente de logements neufs. 
🏠 Ikimoplace, votre marketplace immobilière intégrable en marque blanche, sur votre site.
Ikimo9, le 1er comparateur de logements neufs depuis 2014 ikimo9.com
De la tech pour vendre plus facilement des logements neuf, c'est quoi ?
🗺️ Une carte interactive
📍 des infos pour vous guider
⚖️ Un comparateur dynamique (Le 1er depuis 2014 et il est très intelligent 😉)
🔢 Des aides aux calculs
🏘️ Un stock à jour de + de 38000 logements 
Nos outils sont flexibles, intelligents et accessibles, car ils sont construits avec nos clients.
Chez Ikimo, l'humain est au centre de notre développement
ikimotech et ikimoplace générèrent des revenus complémentaires pour  les agents immobiliers, conseillers en patrimoine, banques, assureurs..
Nos clients l'ont bien compris : Iad France, Bien ici, Cgp indépendants…</t>
  </si>
  <si>
    <t>http://www.linkedin.com/in/elisabethjulienikimo9</t>
  </si>
  <si>
    <t xml:space="preserve">Eric Jouve</t>
  </si>
  <si>
    <t>ejouve@gstag.com</t>
  </si>
  <si>
    <t>GSTAG</t>
  </si>
  <si>
    <t>gstag.com</t>
  </si>
  <si>
    <t xml:space="preserve">iot,smart cards,fulfillment,mifare,contactless,rfid,beacon,smart objects,nfc,stickers</t>
  </si>
  <si>
    <t>Gemenos</t>
  </si>
  <si>
    <t>http://www.linkedin.com/company/gstag</t>
  </si>
  <si>
    <t>https://twitter.com/gs_tag1</t>
  </si>
  <si>
    <t xml:space="preserve">Découvrez GSTAG, une entreprise spécialisée dans la conception de cartes à puce et de solutions technologiques innovantes.</t>
  </si>
  <si>
    <t>http://www.linkedin.com/in/eric-jouve-1a53751</t>
  </si>
  <si>
    <t xml:space="preserve">Emilien Krauser</t>
  </si>
  <si>
    <t>Krauser</t>
  </si>
  <si>
    <t>ekrauser@ynit.fr</t>
  </si>
  <si>
    <t xml:space="preserve">Ynov'iT Groupe</t>
  </si>
  <si>
    <t>ynit.fr</t>
  </si>
  <si>
    <t>Montelimar</t>
  </si>
  <si>
    <t xml:space="preserve">gestion des flux documentaires,solution de dematerialisation,facturation electronique,solution dimpression,solution de reprographie</t>
  </si>
  <si>
    <t>http://www.linkedin.com/company/ynov-it-groupe</t>
  </si>
  <si>
    <t xml:space="preserve">Bénéficiez de l'expertise Ynov'iT pour la gestion de vos liens d'accès Internet</t>
  </si>
  <si>
    <t>http://www.linkedin.com/in/emilienkrauserxerox</t>
  </si>
  <si>
    <t xml:space="preserve">Elif Dinc</t>
  </si>
  <si>
    <t>Elif</t>
  </si>
  <si>
    <t>Dinc</t>
  </si>
  <si>
    <t>elif@peregrine.ai</t>
  </si>
  <si>
    <t xml:space="preserve">Founders Associate</t>
  </si>
  <si>
    <t>Peregrine.ai</t>
  </si>
  <si>
    <t>peregrine.ai</t>
  </si>
  <si>
    <t>Jouy-en-Josas</t>
  </si>
  <si>
    <t>Berlin</t>
  </si>
  <si>
    <t>http://www.linkedin.com/company/peregrine-ai</t>
  </si>
  <si>
    <t xml:space="preserve">We build highly efficient perception systems to power millions of smart cameras around the globe - delivering unparalleled contextual awareness in mobility.</t>
  </si>
  <si>
    <t>http://www.linkedin.com/in/elif-dinc</t>
  </si>
  <si>
    <t xml:space="preserve">Elodie Pastre</t>
  </si>
  <si>
    <t>Pastre</t>
  </si>
  <si>
    <t>elodie.pastre@theraxel.fr</t>
  </si>
  <si>
    <t xml:space="preserve">Founder &amp; CEO - THERAXEL - Expert Maitrise de la contamination</t>
  </si>
  <si>
    <t>THERAXEL</t>
  </si>
  <si>
    <t>theraxel.fr</t>
  </si>
  <si>
    <t>Burgandy</t>
  </si>
  <si>
    <t>http://www.linkedin.com/company/theraxel-point-forty-five</t>
  </si>
  <si>
    <t xml:space="preserve">La maîtrise des risques chimiques et microbiologiques au plus près du terrain ! THERAXEL intervient sur l’ensemble du cycle de vie d’un médicament ou d’un produit de santé afin d’assurer à toutes les étapes de la chaîne de fabrication la maitrise de la contamination chimique et microbiologique.</t>
  </si>
  <si>
    <t>http://www.linkedin.com/in/elodie-pastre-b7796593</t>
  </si>
  <si>
    <t xml:space="preserve">Elodie Schocron</t>
  </si>
  <si>
    <t>Schocron</t>
  </si>
  <si>
    <t>elodie.schocron@spirit-advisors.com</t>
  </si>
  <si>
    <t xml:space="preserve">Partenaire fondateur</t>
  </si>
  <si>
    <t xml:space="preserve">Spirit Advisors</t>
  </si>
  <si>
    <t>spirit-advisors.com</t>
  </si>
  <si>
    <t xml:space="preserve">multicultural transformation,operational strategy,operational excellence,lean six sigma,digital transformation,supply chain excellence,organisational effectiveness</t>
  </si>
  <si>
    <t>http://www.linkedin.com/company/spiritadvisors</t>
  </si>
  <si>
    <t xml:space="preserve">Un cabinet de conseil qui accompagne les entreprises des secteurs Banque et Industrie dans l’amélioration de leurs performances.</t>
  </si>
  <si>
    <t>http://www.linkedin.com/in/elodie-schocron-7995213</t>
  </si>
  <si>
    <t xml:space="preserve">Emmanuel Mignot</t>
  </si>
  <si>
    <t>emignot@fivo.fr</t>
  </si>
  <si>
    <t xml:space="preserve">Groupe FIVO</t>
  </si>
  <si>
    <t>fivo.fr</t>
  </si>
  <si>
    <t xml:space="preserve">securite incendie,porte coupefeu,dispositifs pour le desenfumage mecanique,rideaux coupefeu nonirrigues,rideaux coupefeu,maintenance,verification,rideaux pareflamme,maintenance et installation,porte coulissante,detecteur ionique,fournitures,serrurerie,protection bastaings,protection barriere et poteau,porte pareflamme,barriere ecluse,maintenance porte coupefeu,maintenance rideau coupefeu,portes battantes coupefeu,dispositifs de desenfumage naturel,dispositifs de desenfumage mecanique,remise en etat,installation,dispositifs de desenfumage naturel et mecanique,trappes coupe feu,clapets coupe feu,dfci,porte coulissante coupe feu,echelle a crinoline,protection grillagee,travaux neufs,verification et maintenance</t>
  </si>
  <si>
    <t>Marines</t>
  </si>
  <si>
    <t>http://www.linkedin.com/company/fivosecuriteincendie</t>
  </si>
  <si>
    <t>https://www.facebook.com/Fivosecuriteincendie/</t>
  </si>
  <si>
    <t xml:space="preserve">Le groupe FIVO vous accompagne dans vos solutions de compartimentage et de désenfumage : portes coupe-feu, rideau pare-flammes, maintenance.</t>
  </si>
  <si>
    <t>http://www.linkedin.com/in/emmanuel-mignot-45474a3</t>
  </si>
  <si>
    <t xml:space="preserve">Emilien Granger</t>
  </si>
  <si>
    <t>Granger</t>
  </si>
  <si>
    <t>emilien@datapilot.fr</t>
  </si>
  <si>
    <t>Datapilot</t>
  </si>
  <si>
    <t>datapilot.fr</t>
  </si>
  <si>
    <t xml:space="preserve">dashboarding,tableau de bord,google cloud platform,datastudio,tableau,power bi,data visualisation,visualisation de donnees</t>
  </si>
  <si>
    <t xml:space="preserve">Grand Baie</t>
  </si>
  <si>
    <t xml:space="preserve">Riviere du Rempart</t>
  </si>
  <si>
    <t>Mauritius</t>
  </si>
  <si>
    <t>http://www.linkedin.com/company/datapilot-fr</t>
  </si>
  <si>
    <t xml:space="preserve">Création de tableaux de bord pour suivre votre activité en temps réel. Réunissez vos sources de données en seul environnement.</t>
  </si>
  <si>
    <t>http://www.linkedin.com/in/emilien-granger-10854b106</t>
  </si>
  <si>
    <t xml:space="preserve">Emmanuel Mas</t>
  </si>
  <si>
    <t>Mas</t>
  </si>
  <si>
    <t>emmanuel.mas@atpr.fr</t>
  </si>
  <si>
    <t>ATPR</t>
  </si>
  <si>
    <t>atpr.fr</t>
  </si>
  <si>
    <t>Yvrac</t>
  </si>
  <si>
    <t xml:space="preserve">dispositifs medicaux,lignes sous vide,cryotherm,cryogenie,maintenance,biomedical,mve bio solutions</t>
  </si>
  <si>
    <t>http://www.linkedin.com/company/atpr</t>
  </si>
  <si>
    <t xml:space="preserve">Votre spécialiste depuis plus de 30 ans dans les domaines du médical et des technologies de pointe.</t>
  </si>
  <si>
    <t>http://www.linkedin.com/in/emmanuel-mas-ba345390</t>
  </si>
  <si>
    <t xml:space="preserve">Emmanuel Richard</t>
  </si>
  <si>
    <t>emmanuel.richard@techno-point.com</t>
  </si>
  <si>
    <t>Technopoint</t>
  </si>
  <si>
    <t>techno-point.com</t>
  </si>
  <si>
    <t xml:space="preserve">Le Coudray-Montceaux</t>
  </si>
  <si>
    <t>bobinages,transformateurs,inductances,alimentations,retroingenierie</t>
  </si>
  <si>
    <t>Basse-Ham</t>
  </si>
  <si>
    <t>http://www.linkedin.com/company/technopoint</t>
  </si>
  <si>
    <t xml:space="preserve">Une équipe de professionnels dynamique et à votre écoute pour répondre à tous vos besoins.
De la conception à la livraison d'un produit de qualité , en passant par les achats, assemblage et tests, nous mettons tout en œuvre afin d'assurer à nos clients le sérieux et la qualité de nos fabrications depuis 25 années.
l'outil industriel
Achats, production, qualité, sont supportés par un système de GPAO intégré.
systeme qualité
Process et manuel qualité conformes à l' ISO version 2000.
Démarche de l'obtention de la norme EN 9100 en cours.
A noter que toute la production du prototype à la série, est complètement intégrée dans nos murs !
Notre savoir faire nous permet de collaborer avec de grands donneurs d'ordre dans les démarches d'innovation et mise au point des produits.</t>
  </si>
  <si>
    <t>http://www.linkedin.com/in/emmanuel-richard-ba87411</t>
  </si>
  <si>
    <t xml:space="preserve">Emmanuel Zecchini</t>
  </si>
  <si>
    <t>Zecchini</t>
  </si>
  <si>
    <t>emmanuel@lamaisondalfred.fr</t>
  </si>
  <si>
    <t xml:space="preserve">Directeur associé</t>
  </si>
  <si>
    <t xml:space="preserve">La Maison d'Alfred</t>
  </si>
  <si>
    <t xml:space="preserve">location de salle,startup,espace de travail,entrepreneuriat,salle de reunion,leadership,salles de reunion,changement de perspective,lieu de seminaire,teletravail,coworking,coaching,culture dentreprise fertile,catalyseur de sens,lacher prise,developpement personnel,authenticite,energie de linvisible,organisation devenements,capacite a se relier,declics,organisation d39evenements,seminaire,formation,transformation,relation humaine,communaute dexperts,tension creatrice,ancrage dans la duree</t>
  </si>
  <si>
    <t>http://www.linkedin.com/company/la-maison-d'alfred</t>
  </si>
  <si>
    <t>https://twitter.com/ezecchini</t>
  </si>
  <si>
    <t xml:space="preserve">La Maison d'Alfred accompagne les collectifs dans leurs transformations par des parcours dans la durée, alliant inspiration par des experts passionnés et ancrage par le coeur et le corps. 
Notre pédagogie s'inspire des méthodes du coaching collectif et des "learning expeditions". Les contenus servent de catalyseurs, les vecteurs de transformation sont expérientiels.
Nous souhaitons contribuer, par des déclics et de l'ancrage, à l'éveil des consciences et au discernement pour élever la culture d'entreprise.
Notre maison bourgeoise située en plein coeur du centre historique de Roubaix accueille vos séminaires et formations dans un cadre inspirant et authentique, avec une exigence d'attention plaçant l'humain au coeur de nos relations.</t>
  </si>
  <si>
    <t>http://www.linkedin.com/in/emmanuelzecchini</t>
  </si>
  <si>
    <t xml:space="preserve">Emmanuelle Jehanno</t>
  </si>
  <si>
    <t>Jehanno</t>
  </si>
  <si>
    <t>emmanuelle.jehanno@pleiades.paris</t>
  </si>
  <si>
    <t>Pléiades</t>
  </si>
  <si>
    <t>pleiades.paris</t>
  </si>
  <si>
    <t xml:space="preserve">strategie,coaching,managment,coaching &amp; conseil en management et strategie</t>
  </si>
  <si>
    <t>http://www.linkedin.com/company/pl%c3%a9iades</t>
  </si>
  <si>
    <t xml:space="preserve">Pléiades accompagne les dirigeants et leurs équipes pour que les projets soient porteurs de sens et créateurs de valeur.</t>
  </si>
  <si>
    <t>http://www.linkedin.com/in/emmanuelle-jehanno-8035763</t>
  </si>
  <si>
    <t xml:space="preserve">Eric Carpentier</t>
  </si>
  <si>
    <t>Carpentier</t>
  </si>
  <si>
    <t>eric.carpentier@inentech.fr</t>
  </si>
  <si>
    <t>INENTECH</t>
  </si>
  <si>
    <t>inentech.fr</t>
  </si>
  <si>
    <t>Peronne</t>
  </si>
  <si>
    <t xml:space="preserve">renovation des lyophilisateurs industriels et equipements de sterilisation,maintenance des systemes informatique de production,renovation des lyophilisateurs industriels et equipements de sterilisation &amp; solution de suivi et a,solution de suivi et a de tracabilite environnementale des salles blanches et zone a atmosphere contr</t>
  </si>
  <si>
    <t>http://www.linkedin.com/company/inentech</t>
  </si>
  <si>
    <t xml:space="preserve">Spécialiste des conduites des systèmes d’installations pour les industries de procédés</t>
  </si>
  <si>
    <t>http://www.linkedin.com/in/eric-carpentier-33462411</t>
  </si>
  <si>
    <t xml:space="preserve">Eric Deronzier</t>
  </si>
  <si>
    <t>Deronzier</t>
  </si>
  <si>
    <t>eric.deronzier@nuabee.fr</t>
  </si>
  <si>
    <t>Nuabee</t>
  </si>
  <si>
    <t>nuabee.fr</t>
  </si>
  <si>
    <t xml:space="preserve">plan de reprise dactivite manage,plan de continuite dactivite,pra manage,pra cloud,cyberresilience,plan de reprise dactivite,sauvegarde cloud serveurs,plan de reprise d39activite,draas,migration cloud openstack,cybersecurite,plan de reprise dactivite as a service,sauvegarde hybride,sauvegarde serveurs externalisee avec test de restauration</t>
  </si>
  <si>
    <t>http://www.linkedin.com/company/nuabee</t>
  </si>
  <si>
    <t xml:space="preserve">Découvrez Nuabee, spécialiste du Plan Reprise Activité Cloud managé pour une gestion optimale de vos données.</t>
  </si>
  <si>
    <t>http://www.linkedin.com/in/deronzier</t>
  </si>
  <si>
    <t xml:space="preserve">Eric Kffanto</t>
  </si>
  <si>
    <t>Kffanto</t>
  </si>
  <si>
    <t>eric.kffanto@mobileo-telecom.fr</t>
  </si>
  <si>
    <t xml:space="preserve">Mobileo Telecom</t>
  </si>
  <si>
    <t>mobileo-telecom.fr</t>
  </si>
  <si>
    <t xml:space="preserve">telecommunications,telecommunications &amp; operateur</t>
  </si>
  <si>
    <t>http://www.linkedin.com/company/mobileo-telecom</t>
  </si>
  <si>
    <t xml:space="preserve">Opérateur télécom national, nous fournissons une gamme de forfaits et de services de téléphonie sur le réseau Orange, destinée à une clientèle de particuliers et de professionnels. Nous développons dans toute la France un solide réseau de magasins indépendants de proximité.</t>
  </si>
  <si>
    <t>http://www.linkedin.com/in/eric-kffanto-042b843b</t>
  </si>
  <si>
    <t xml:space="preserve">Eric Martin</t>
  </si>
  <si>
    <t>eric.martin@dc-pilot.com</t>
  </si>
  <si>
    <t xml:space="preserve">Dirigeant DC Pilot</t>
  </si>
  <si>
    <t xml:space="preserve">Les Essarts-le-Roi</t>
  </si>
  <si>
    <t>http://www.linkedin.com/in/eric-martin-85813a6</t>
  </si>
  <si>
    <t xml:space="preserve">Eric Perret</t>
  </si>
  <si>
    <t>eric.perret@leclere.fr</t>
  </si>
  <si>
    <t xml:space="preserve">LECLERE SAS</t>
  </si>
  <si>
    <t>leclere.fr</t>
  </si>
  <si>
    <t>informatique,logiciels,bureautique,telecom</t>
  </si>
  <si>
    <t>http://www.linkedin.com/company/leclere-sas</t>
  </si>
  <si>
    <t>https://www.facebook.com/leclere26/</t>
  </si>
  <si>
    <t xml:space="preserve">Commercialisation, conseils, audit de solutions d'impressions, informatique, telecom.
Optimisons votre organisation.</t>
  </si>
  <si>
    <t>http://www.linkedin.com/in/eric-perret-65b889146</t>
  </si>
  <si>
    <t xml:space="preserve">Eric Tanneau</t>
  </si>
  <si>
    <t>Tanneau</t>
  </si>
  <si>
    <t>eric.tanneau@drdata.io</t>
  </si>
  <si>
    <t>DrData</t>
  </si>
  <si>
    <t>drdata.io</t>
  </si>
  <si>
    <t xml:space="preserve">protection des donnees,dpo data protection officer,it expertise,bigdata project management,esante conseil,developpement it,accompagnement</t>
  </si>
  <si>
    <t>http://www.linkedin.com/company/drdata-sas</t>
  </si>
  <si>
    <t xml:space="preserve">DrData est une société dédiée à l'environnement dynamique du Big Data et de l'innovation.
Nous sommes partis du constat selon lequel notre environnement quotidien est piloté par l'utilisation massive et systématique de données personnelles, parfois sans en avoir connaissance.
L'essence de notre projet est de contribuer à la régulation intelligente de l'utilisation de ces données dans l'intérêt commun, tout en accompagnant les acteurs dans la protection de ces données et en garantissant les opportunités économiques pour ces derniers.
Nous accordons une attention particulière aux données sensibles de santé.
Enfin, nous nous adressons à la fois aux professionnels traitant les données et à vous en tant que citoyen et patient numérique !</t>
  </si>
  <si>
    <t>http://www.linkedin.com/in/eric-tanneau-631883b7</t>
  </si>
  <si>
    <t xml:space="preserve">Eric Matifas</t>
  </si>
  <si>
    <t>Matifas</t>
  </si>
  <si>
    <t>eric@bimer.fr</t>
  </si>
  <si>
    <t xml:space="preserve">BIMer Services</t>
  </si>
  <si>
    <t>bimer.fr</t>
  </si>
  <si>
    <t xml:space="preserve">maquette numerique,strategie bim,connecteur en format ouvert avec les si,charte bim,cahier des charges bim,puca,experimentation,analyse du referentiel et des procedures,bim gestion,bim gestion exploitation maintenance,gestion de patrimoine,carnet de suivi et d39entretien,open bim,gestion technique patrimoniale,carnet de suivi et dentretien,suivi et mise a jour des maquettes numeriques,viewer,visite virtuelle,valorisation du patrimoine,modelisation de batiments,bim</t>
  </si>
  <si>
    <t>http://www.linkedin.com/company/bimer-services</t>
  </si>
  <si>
    <t xml:space="preserve">Bimer Services modélise en maquettes numériques BIM le parc de logements des organismes et simplifie la gestion de leur patrimoine immobilier.</t>
  </si>
  <si>
    <t>http://www.linkedin.com/in/ericmatifas</t>
  </si>
  <si>
    <t xml:space="preserve">Chaix Eric</t>
  </si>
  <si>
    <t>eric@digitizme.io</t>
  </si>
  <si>
    <t>Digitizme</t>
  </si>
  <si>
    <t>digitizme.io</t>
  </si>
  <si>
    <t>http://www.linkedin.com/company/digitizme</t>
  </si>
  <si>
    <t xml:space="preserve">DIGITIZME - Créateur d'espaces et de points de vente connectés grâce à des Solutions digitales nouvelle génération ! Frigo, Casier réfrigéré, distributeur....</t>
  </si>
  <si>
    <t>http://www.linkedin.com/in/chaixeric01</t>
  </si>
  <si>
    <t xml:space="preserve">Eric Labruyere</t>
  </si>
  <si>
    <t>Labruyere</t>
  </si>
  <si>
    <t>ericlabruyere@tabfrance.fr</t>
  </si>
  <si>
    <t xml:space="preserve">Dirigeant TAB GIRONDE - SAS Pertinence RH &amp; Stratégie</t>
  </si>
  <si>
    <t xml:space="preserve">TAB FRANCE</t>
  </si>
  <si>
    <t>tabfrance.fr</t>
  </si>
  <si>
    <t xml:space="preserve">les boards dentrepreneurs</t>
  </si>
  <si>
    <t>http://www.linkedin.com/company/tabboardsentrepeneurs</t>
  </si>
  <si>
    <t xml:space="preserve">Qu'est ce que  des patrons d'entreprise ont en commun,  quelque soit leur domaine ? (fabrication,  construction,  service ....)
L'intuition, l'expérience... et une bonne dose de bon sens pratique.
 Imaginez ces patrons réunis en petits groupes et mettant en commun leurs différentes compétences. Imaginez la puissance de réflexion ainsi rassemblée, le niveau d'expérience cumulé.
C'est ce que réalise TAB au travers de ses  Boards d'Entrepreneurs : réunir des patrons de sociétés non concurrentes au sein de petits groupes de confiance de 6 à 8 membres, à raison d'une matinée par mois, dans un cadre convivial et confidentiel pour travailler ensemble et conjointement à résoudre les défis et les opportunités de chacun.
Nos membres considèrent que leur participation active à un Board leur permet d'élargir leur réflexion au-delà de leur propre domaine de compétences, de trouver de nouvelles perspectives pour transformer leurs façons de faire et estiment que leur propre board est le seul endroit où ils peuvent partager en confiance les challenges auxquels ils sont confrontés.
Présent depuis déjà 25 ans aux Etats Unis et en Europe du Nord, notre mode d'accompagnement est basé sur le partage d'expérience et l'intelligence collective entre chefs d'entreprises.
Marc Périé, Président TAB France
Philippe Thierry, Directeur Général TAB France</t>
  </si>
  <si>
    <t>http://www.linkedin.com/in/eric-labruyere-3384a321</t>
  </si>
  <si>
    <t xml:space="preserve">Elie Sebban</t>
  </si>
  <si>
    <t>Elie</t>
  </si>
  <si>
    <t>Sebban</t>
  </si>
  <si>
    <t>esebban@groupe-innov.fr</t>
  </si>
  <si>
    <t xml:space="preserve">Groupe Innov</t>
  </si>
  <si>
    <t>groupe-innov.fr</t>
  </si>
  <si>
    <t>http://www.linkedin.com/company/groupe-innov</t>
  </si>
  <si>
    <t xml:space="preserve">Experts en audit de solutions d'impression, téléphonie et informatique.</t>
  </si>
  <si>
    <t>http://www.linkedin.com/in/elie-sebban-028599127</t>
  </si>
  <si>
    <t xml:space="preserve">Ernesto Soares</t>
  </si>
  <si>
    <t>Ernesto</t>
  </si>
  <si>
    <t>Soares</t>
  </si>
  <si>
    <t>esoares@eutech.fr</t>
  </si>
  <si>
    <t xml:space="preserve">Président Société Eutech  Expert en Santé Digitale</t>
  </si>
  <si>
    <t>Eutech</t>
  </si>
  <si>
    <t>eutech.fr</t>
  </si>
  <si>
    <t>Troyes</t>
  </si>
  <si>
    <t>http://www.linkedin.com/company/eutech</t>
  </si>
  <si>
    <t xml:space="preserve">Eutech, expert en santé digital
Spécialisée dans la e-santé depuis 2014, Eutech propose une offre modulaire de santé complète à destination des établissements de soins. 
Le web et le mobile étant dans l'ADN d'Eutech, nous avons la capacité, les compétences et les ressources pour développer des logiciels répondant aux exigences de la e-santé.
Notre application phare est MyHRA,  elle permet de simplifier la relation entre les agents hospitaliers et l'administration des hôpitaux. Elle centralise toutes les informations dont a besoin un agent (fiches de paie, compteurs d'heures, …), et il peut recevoir des documents et messages de l'administration. Il peut aussi facilement faire ses démarches en ligne (demandes de congés, déplacements, …) par le biais de l'application.
Le personnel administratif peut gérer les informations mises à disposition
et centraliser les démarches et demandes des agents.
MyHRA est référencé sur le RESAH : https://espace-acheteur.resah.fr/myhra-la-premiere-solution-rh-pour-les-agents-hospitaliers-eutech
MyHRA est lauréat du Grand Prix de l'innovation RH 2018.
Découvrez nos solutions sur notre site web https://www.eutech.fr/</t>
  </si>
  <si>
    <t>http://www.linkedin.com/in/ernesto-soares-2371423</t>
  </si>
  <si>
    <t xml:space="preserve">Etienne Priol</t>
  </si>
  <si>
    <t>Priol</t>
  </si>
  <si>
    <t>etienne@regata.fr</t>
  </si>
  <si>
    <t>Regata</t>
  </si>
  <si>
    <t>regata.fr</t>
  </si>
  <si>
    <t xml:space="preserve">strategie digitale,pme,artisans,site ecommerce,referencement local,seo,referencement,commercants,site web responsive,tpe,marketing digital,site vitrine,local seo,professions liberales,site internet,reseaux sociaux</t>
  </si>
  <si>
    <t>http://www.linkedin.com/company/regatafrance</t>
  </si>
  <si>
    <t>https://www.facebook.com/Regata.officiel</t>
  </si>
  <si>
    <t xml:space="preserve">Expand your visibility around your home with a turnkey solution.
Entrust your online reputation to Regata and generate new inbound contacts effortlessly.</t>
  </si>
  <si>
    <t>http://www.linkedin.com/in/etienne-le-priol-4913228a</t>
  </si>
  <si>
    <t xml:space="preserve">Etienne L.</t>
  </si>
  <si>
    <t>http://www.linkedin.com/in/loirp</t>
  </si>
  <si>
    <t xml:space="preserve">Etienne Dumas</t>
  </si>
  <si>
    <t>etienne@supercolor.cool</t>
  </si>
  <si>
    <t>Supercolor</t>
  </si>
  <si>
    <t>supercolor.cool</t>
  </si>
  <si>
    <t>internet</t>
  </si>
  <si>
    <t xml:space="preserve">digital,brand strategy,mobile apps,website,interactive &amp; digital video,digital innovation,creative technology,ux,ui design,seo</t>
  </si>
  <si>
    <t>http://www.linkedin.com/company/wearesupercolor</t>
  </si>
  <si>
    <t>https://www.twitter.com/wearesupercolor</t>
  </si>
  <si>
    <t>https://www.facebook.com/supercolor.cool</t>
  </si>
  <si>
    <t xml:space="preserve">Campagen, activation, stratégie digitale, brand content, social média, SEO,</t>
  </si>
  <si>
    <t>http://www.linkedin.com/in/etiennedumas</t>
  </si>
  <si>
    <t xml:space="preserve">Francois Benard</t>
  </si>
  <si>
    <t>Benard</t>
  </si>
  <si>
    <t>f.benard@groupe-freecom.fr</t>
  </si>
  <si>
    <t xml:space="preserve">Groupe FreeCom</t>
  </si>
  <si>
    <t>groupe-freecom.fr</t>
  </si>
  <si>
    <t xml:space="preserve">telephonie mobile,acces internet,accessoires smartphones,videoconference,outils de teletravail</t>
  </si>
  <si>
    <t>Rosieres-pres-Troyes</t>
  </si>
  <si>
    <t>http://www.linkedin.com/company/groupe-freecom</t>
  </si>
  <si>
    <t>https://www.facebook.com/groupe.freecom/</t>
  </si>
  <si>
    <t xml:space="preserve">Les 18 boutiques Bouygues Télécom du Groupe FreeCom couvrent 5 régions sur la moitié de la France​. Bbox, 5G, forfaits mobiles sont à découvrir.</t>
  </si>
  <si>
    <t>http://www.linkedin.com/in/fran%c3%a7ois-benard-73748ab4</t>
  </si>
  <si>
    <t xml:space="preserve">Francoise Boucarut</t>
  </si>
  <si>
    <t>Francoise</t>
  </si>
  <si>
    <t>Boucarut</t>
  </si>
  <si>
    <t>f.boucarut@alpha-cim.com</t>
  </si>
  <si>
    <t>ALPHA-CIM</t>
  </si>
  <si>
    <t>alpha-cim.com</t>
  </si>
  <si>
    <t xml:space="preserve">automated systems,stb,it systems,automation,automatisation,plc,automated systems &amp; it systems,control system,airport,aeroport,scada,agl</t>
  </si>
  <si>
    <t>Courcouronnes</t>
  </si>
  <si>
    <t>http://www.linkedin.com/company/alpha-cim</t>
  </si>
  <si>
    <t xml:space="preserve">Découvrez les services d'automatisme et d'informatique industrielle en Essonne 91 proposés par Alpha Cim. Experts en solutions technologiques pour l'industrie, nous vous accompagnons dans l'optimisation de vos processus de production.</t>
  </si>
  <si>
    <t>http://www.linkedin.com/in/francoise-boucarut-82418871</t>
  </si>
  <si>
    <t xml:space="preserve">Fabienne Ciron</t>
  </si>
  <si>
    <t>Fabienne</t>
  </si>
  <si>
    <t>Ciron</t>
  </si>
  <si>
    <t>f.ciron@nivalis-conseil.fr</t>
  </si>
  <si>
    <t xml:space="preserve">Presidente- Co-fondatrice</t>
  </si>
  <si>
    <t xml:space="preserve">Nivalis Conseil</t>
  </si>
  <si>
    <t>nivalis-conseil.fr</t>
  </si>
  <si>
    <t xml:space="preserve">service social du travail,management,qvt,accompagnement au changement,rse,organisation,service social interentreprise,ressources humaines,service social entreprise</t>
  </si>
  <si>
    <t>http://www.linkedin.com/company/nivalis-conseil</t>
  </si>
  <si>
    <t>http://facebook.com/NivalisC</t>
  </si>
  <si>
    <t xml:space="preserve">L'expert de l'accompagnement des salariés en entreprise qui vous permet de concilier enjeux sociétaux et intérêts économiques.</t>
  </si>
  <si>
    <t>http://www.linkedin.com/in/fabienne-ciron-852199104</t>
  </si>
  <si>
    <t xml:space="preserve">Fabien Duffes</t>
  </si>
  <si>
    <t>Duffes</t>
  </si>
  <si>
    <t>f.duffes@itelia.fr</t>
  </si>
  <si>
    <t xml:space="preserve">Itelia Télécom</t>
  </si>
  <si>
    <t>itelia.fr</t>
  </si>
  <si>
    <t xml:space="preserve">3cx,fibre,hebergement,telecommunication,internet,standard telephonique,btob,telephonie fixe,mobile</t>
  </si>
  <si>
    <t>http://www.linkedin.com/company/iteliat-l-com</t>
  </si>
  <si>
    <t>https://www.facebook.com/Iteliatelecom/</t>
  </si>
  <si>
    <t xml:space="preserve">Itelia Telecom, opérateur de proximité situé dans le Sud et l'Ouest de la France.
Nous vous proposons une gamme complète et innovante de services de télécommunication, adaptés tant aux entreprises qu'aux administrations. Passant par les abonnements internet très haut débit, les standards téléphoniques nouvelle génération ou encore la gestion de votre flotte mobile d'entreprise en mode multiréseaux.</t>
  </si>
  <si>
    <t>http://www.linkedin.com/in/fabien-duffes-01367a105</t>
  </si>
  <si>
    <t xml:space="preserve">Frederic Fouche</t>
  </si>
  <si>
    <t>Fouche</t>
  </si>
  <si>
    <t>f.fouche@best-telecom.fr</t>
  </si>
  <si>
    <t>dirigeant</t>
  </si>
  <si>
    <t>BTR</t>
  </si>
  <si>
    <t>best-telecom.fr</t>
  </si>
  <si>
    <t xml:space="preserve">cuivre et fibre optique,distributeur sfr business,acces internet thd,telephonie dentreprise fixe et mobile,securite dentreprise,intrusion et videoprotection,telephonie d39entreprise fixe et mobile,cablage informatique cuivre et fibre optique,securite d39entreprise</t>
  </si>
  <si>
    <t>http://www.linkedin.com/company/best-telecom-reseaux</t>
  </si>
  <si>
    <t xml:space="preserve">BTR est un opérateur de services numériques qui accompagne tous types de secteurs pour développer la digitalisation de leurs outils de communication.</t>
  </si>
  <si>
    <t>http://www.linkedin.com/in/fredericfouche</t>
  </si>
  <si>
    <t xml:space="preserve">Florian Herve</t>
  </si>
  <si>
    <t>f.herve@ge3d.fr</t>
  </si>
  <si>
    <t xml:space="preserve">Président -Géomètre-Expert</t>
  </si>
  <si>
    <t>GE3D</t>
  </si>
  <si>
    <t>geometre-expert-paris.fr</t>
  </si>
  <si>
    <t xml:space="preserve">copropriete,recolement de reseaux,implantation btp,foncier,releves 3d,urbanisme,geometreexpert,bim,architecture,auscultation ouvrage dart,auscultation ouvrage d39art</t>
  </si>
  <si>
    <t>http://www.linkedin.com/company/ge3d---g%c3%a9om%c3%a8tres-experts-associ%c3%a9s</t>
  </si>
  <si>
    <t xml:space="preserve">Géomètres-Experts à Paris, le cabinet GE3D vous conseille et vous accompagne pour tous vos projets de construction ou de réhabilitation. Architecture et relevés 3D, copropriété, urbanisme, activités du BTP ou foncier, nous répondons rapidement à votre demande.</t>
  </si>
  <si>
    <t>http://www.linkedin.com/in/florian-herv%c3%a9-a389a742</t>
  </si>
  <si>
    <t xml:space="preserve">Frank Schaedlich</t>
  </si>
  <si>
    <t>Schaedlich</t>
  </si>
  <si>
    <t>f.schaedlich@stella.group</t>
  </si>
  <si>
    <t>StellaGroup</t>
  </si>
  <si>
    <t>stella.group</t>
  </si>
  <si>
    <t>Cordon</t>
  </si>
  <si>
    <t xml:space="preserve">roller shutters,security solutions,security shutters,venetian blinds,steel grilles,aluminium fences,garage doors,aluminium gates,balustrades</t>
  </si>
  <si>
    <t>http://www.linkedin.com/company/stellagroup1</t>
  </si>
  <si>
    <t xml:space="preserve">Leader en France, découvrez nos produits durables et de qualité ainsi que notre savoir-faire. Volets roulants, garde-corps, portails et clôtures, portes de garage, des grilles ...</t>
  </si>
  <si>
    <t>http://www.linkedin.com/in/frank-sch%c3%a4dlich-b0051314b</t>
  </si>
  <si>
    <t xml:space="preserve">Florent Tonson</t>
  </si>
  <si>
    <t>Tonson</t>
  </si>
  <si>
    <t>f.tonson@isitecc.com</t>
  </si>
  <si>
    <t>isiTecc</t>
  </si>
  <si>
    <t>Saint-Just-Malmont</t>
  </si>
  <si>
    <t>supervision,mes,gpao,scada</t>
  </si>
  <si>
    <t>http://www.linkedin.com/company/isitecc</t>
  </si>
  <si>
    <t xml:space="preserve">Software integrator. Scada, MES</t>
  </si>
  <si>
    <t>http://www.linkedin.com/in/florent-tonson-527b5854</t>
  </si>
  <si>
    <t xml:space="preserve">Fabien Donadey</t>
  </si>
  <si>
    <t>Donadey</t>
  </si>
  <si>
    <t>fabien.donadey@hanabi-consulting.com</t>
  </si>
  <si>
    <t xml:space="preserve">We Are HANABI</t>
  </si>
  <si>
    <t>hanabi-consulting.com</t>
  </si>
  <si>
    <t xml:space="preserve">services aux entreprises,consulting,optimisation des processus,transformation digitale,pmo,web3,etude et cadrage de projets,systeme dinformation,architecture it,data,cartographie des actifs metier et si,gouvernance it,service aux entreprises</t>
  </si>
  <si>
    <t>http://www.linkedin.com/company/we-are-hanabi</t>
  </si>
  <si>
    <t xml:space="preserve">Une méthodologie, un dispositif et des solutions sur-mesure pour accompagner la digitalisation de vos métiers et l'évolution de votre système d'information.</t>
  </si>
  <si>
    <t>http://www.linkedin.com/in/fabien-donadey-4a4b4a3b</t>
  </si>
  <si>
    <t xml:space="preserve">Fabien Goussault</t>
  </si>
  <si>
    <t>Goussault</t>
  </si>
  <si>
    <t>fabien.goussault@phoenix-fleetexpert.com</t>
  </si>
  <si>
    <t xml:space="preserve">PHOENIX FLEET EXPERT</t>
  </si>
  <si>
    <t>phoenix-fleetexpert.com</t>
  </si>
  <si>
    <t xml:space="preserve">editeur de logiciel,flotte automobile,gestion externalisee,fleet management</t>
  </si>
  <si>
    <t xml:space="preserve">Les Mesnuls</t>
  </si>
  <si>
    <t>http://www.linkedin.com/company/phoenixdeveloppement</t>
  </si>
  <si>
    <t xml:space="preserve">PHOENIX FLEET EXPERT (anciennement connu sous le nom de PHOENIX DÉVELOPPEMENT) propose à ses clients plusieurs services adaptés à leur organisation et destinés à optimiser la gestion de leur flotte automobile :
-	Gestion de flotte externalisée
-	Logiciel de gestion de flotte
-	Gestion partagée
La force de PHOENIX repose sur une solution logicielle unique sur le marché de la gestion de flotte automobile et sur une équipe de gestionnaires expérimentés et ultra compétents.
Alors, qu'attendez vous ?</t>
  </si>
  <si>
    <t>http://www.linkedin.com/in/fabien-goussault-29551191</t>
  </si>
  <si>
    <t xml:space="preserve">Fabien Henaff</t>
  </si>
  <si>
    <t>Henaff</t>
  </si>
  <si>
    <t>fabien@qonex.fr</t>
  </si>
  <si>
    <t>QONEX</t>
  </si>
  <si>
    <t>qonex.fr</t>
  </si>
  <si>
    <t xml:space="preserve">prestation de services,ingenierie,technologies de linformation,systemes dinformation,industrie,recrutement,numerique,convivialite</t>
  </si>
  <si>
    <t>http://www.linkedin.com/company/qonexgroup</t>
  </si>
  <si>
    <t xml:space="preserve">Nous recrutons des ingénieurs spécialisés et des experts en informatique. Découvrez nos talents pour vos différents recrutements.</t>
  </si>
  <si>
    <t>http://www.linkedin.com/in/fabien-henaff</t>
  </si>
  <si>
    <t xml:space="preserve">Fabien Girault</t>
  </si>
  <si>
    <t>Girault</t>
  </si>
  <si>
    <t>fabien@vision-si.com</t>
  </si>
  <si>
    <t>VISIONSI</t>
  </si>
  <si>
    <t>vision-si.com</t>
  </si>
  <si>
    <t>Burgundy</t>
  </si>
  <si>
    <t>http://www.linkedin.com/company/visionsi</t>
  </si>
  <si>
    <t xml:space="preserve">VisionSI - Conseil en systèmes et logiciels informatiques - Développement de solution web et mobile - Développeur agrée EBP - Assistance à maitrise d'ouvrage AMOA - E-commerce - Créateur de solutions sur mesure</t>
  </si>
  <si>
    <t>http://www.linkedin.com/in/fabien-girault-visionsi</t>
  </si>
  <si>
    <t xml:space="preserve">Fabrice Poiraud-Lambert</t>
  </si>
  <si>
    <t>Poiraud-Lambert</t>
  </si>
  <si>
    <t>fabrice.poiraud-lambert@ecom-cs.com</t>
  </si>
  <si>
    <t xml:space="preserve">Directeur Général délégué en charge des Opérations et des Process</t>
  </si>
  <si>
    <t xml:space="preserve">eCom CS</t>
  </si>
  <si>
    <t>ecom-cs.com</t>
  </si>
  <si>
    <t xml:space="preserve">messagerie et collaboratif,centre de services,audit et conseil,office 365,veille technologique et innovation,gouvernance,migration</t>
  </si>
  <si>
    <t>http://www.linkedin.com/company/ecom-cs</t>
  </si>
  <si>
    <t xml:space="preserve">Créée en 1998, eCom CS est spécialisée en messagerie et travail collaboratif. 
Implantés à Paris, Bordeaux, nous sommes Partenaire Microsoft Gold Cloud Productivity.  
Auprès d'une clientèle Grands comptes, nous proposons des services en mode On Demand sur des prestations Microsoft 365 de : 
- Veille technologique et Innovation,
- Audit et Conseil,  
- Migration,  
- Gouvernance, 
- Centre de Services,  
- Développement d'applications collaboratives.</t>
  </si>
  <si>
    <t>http://www.linkedin.com/in/fabrice-poiraud-lambert-04a2a9</t>
  </si>
  <si>
    <t xml:space="preserve">Francis Boyer</t>
  </si>
  <si>
    <t>Francis</t>
  </si>
  <si>
    <t>Boyer</t>
  </si>
  <si>
    <t>fboyer@valocime.fr</t>
  </si>
  <si>
    <t>VALOCÎME</t>
  </si>
  <si>
    <t>valocime.fr</t>
  </si>
  <si>
    <t>Malakoff</t>
  </si>
  <si>
    <t>http://www.linkedin.com/company/valoc%c3%aeme</t>
  </si>
  <si>
    <t xml:space="preserve">VALOCÎME is a financial services company based out of 98 Boulevard Gabriel Péri, 92 240 MALAKOFF, France.</t>
  </si>
  <si>
    <t>http://www.linkedin.com/in/fboyer</t>
  </si>
  <si>
    <t xml:space="preserve">Frederic Duchenne</t>
  </si>
  <si>
    <t>Duchenne</t>
  </si>
  <si>
    <t>fduchenne@sprid.fr</t>
  </si>
  <si>
    <t xml:space="preserve">SPRID Peinture</t>
  </si>
  <si>
    <t>sprid.fr</t>
  </si>
  <si>
    <t>Allonne</t>
  </si>
  <si>
    <t>Beauvais</t>
  </si>
  <si>
    <t>http://www.linkedin.com/company/sprid-peinture</t>
  </si>
  <si>
    <t>http://www.linkedin.com/in/fr%c3%a9d%c3%a9ric-duchenne-3713906b</t>
  </si>
  <si>
    <t xml:space="preserve">Felicie Domene</t>
  </si>
  <si>
    <t>Felicie</t>
  </si>
  <si>
    <t>Domene</t>
  </si>
  <si>
    <t>felicie.domene@regate.fr</t>
  </si>
  <si>
    <t xml:space="preserve">Gérante Directrice Générale</t>
  </si>
  <si>
    <t>Régate</t>
  </si>
  <si>
    <t>regate.fr</t>
  </si>
  <si>
    <t>Albi</t>
  </si>
  <si>
    <t xml:space="preserve">statut salarie,savoirfaire,accompagnement,porteur de projets,collectif,innovation,formation,entreprendre,entrepreneur salarie,creation dentreprise</t>
  </si>
  <si>
    <t>http://www.linkedin.com/company/regate-coop%c3%a9ratives-d-entrepreneurs</t>
  </si>
  <si>
    <t>https://www.facebook.com/CaeRegateRegabat</t>
  </si>
  <si>
    <t xml:space="preserve">👉 Depuis 1999, Régate vous permet d'expérimenter, de concrétiser et de développer votre projet d'entreprise. Intégrer nos coopératives, c'est bénéficier d'un véritable APPRENTISSAGE DE TERRAIN, d'un statut qui vous sécurise et de services pour faciliter le lancement de votre activité.
📌 De façon concrète et humaine, nous sommes porteurs d'une devise : on peut « Apprendre à entreprendre ». En profitant des apports de pairs, d'ateliers de formation, d'accompagnateurs et de suivis individuels, chacun peut trouver son propre rythme, son équilibre. Ici, nous respectons votre projet, vos objectifs (personnels, économiques…) et vos choix. Il s'agit d'une forme pragmatique d'école de l'entrepreneuriat, innovante parce qu'elle combine un statut sécurisant, une approche humaine, un apprentissage : ici vous avez 2 ans pour devenir entrepreneur, développer ou réorienter votre projet professionnel.
🤩 C'est une forme d'apprentissage avec une quadruple alternance : apports des pairs, apport du terrain, accompagnement, formation.
➡️ Mail de contact  info@caetarn.fr</t>
  </si>
  <si>
    <t>http://www.linkedin.com/in/felicie-domene-0a569682</t>
  </si>
  <si>
    <t xml:space="preserve">Fabienne Elliott</t>
  </si>
  <si>
    <t>Elliott</t>
  </si>
  <si>
    <t>felliott@pod.consulting</t>
  </si>
  <si>
    <t>POD</t>
  </si>
  <si>
    <t>pod.consulting</t>
  </si>
  <si>
    <t xml:space="preserve">adoption,pilotage de projets,business performance,product owner,data gouvernance,acculturation data</t>
  </si>
  <si>
    <t>http://www.linkedin.com/company/pod-consulting-paris</t>
  </si>
  <si>
    <t xml:space="preserve">POD est une société de conseil moderne avec une direction 100% féminine qui a pour vocation d'accompagner les métiers dans le pilotage, la gouvernance et l'adoption de leurs initiatives data et digitales</t>
  </si>
  <si>
    <t>http://www.linkedin.com/in/fabienne-elliott-99233ab9</t>
  </si>
  <si>
    <t xml:space="preserve">Frederic Francois</t>
  </si>
  <si>
    <t>ff@concorde-associes.fr</t>
  </si>
  <si>
    <t xml:space="preserve">Directeur Associé &amp; Fondateur</t>
  </si>
  <si>
    <t xml:space="preserve">CONCORDE ASSOCIES</t>
  </si>
  <si>
    <t>concorde-associes.fr</t>
  </si>
  <si>
    <t>http://www.linkedin.com/company/concorde-associes</t>
  </si>
  <si>
    <t xml:space="preserve">CONCORDE ASSOCIÉS,
🎯 s'emploie à développer le capital humain pour accroître la performance des organisations.  
✔️ Nous proposons une offre complète de services liés à la recherche et l'évaluation de candidats s'adaptant aux besoins spécifiques de chaque client.
✔️ Nous mettons à votre disposition nos expertises dans le cadre de compétences dites ‘rares' ou de missions complexes et stratégiques.
✔️ Nous intervenons sur l'ensemble du territoire national et de manière plus ponctuelle dans d'autres pays européens.
✔️ Notre valeur ajoutée réside dans la relation de proximité et de confiance que nous entretenons avec nos différents partenaires. 
✔️ Impliqués, privilégiant le contact, l'écoute et l'échange, nous nous engageons à proposer à nos clients un process de recrutement sur mesure, élaboré en fonction de chaque besoin et de chaque situation spécifique, en appliquant une démarche qualitative et professionnelle.
📍 La Genèse du Cabinet 
De nombreuses années dans le milieu de la chasse de tête, et des parcours professionnels croisés nous ont amenés à régulièrement nous interroger sur la pratique de notre métier. L'envie de créer un cabinet à notre image s'est imposée au fil des années. En 2017, un faisceau de circonstances, un alignement des planètes, nous a naturellement fait franchir le pas. C'est à ce moment que nous avons pris la décision de créer CONCORDE ASSOCIES.
Notre passion pour le recrutement, notre volonté de créer des relations durables porteuses d'avenir avec nos partenaires, clients et candidats nous invite tout naturellement à collaborer en toute transparence et en harmonie avec nos interlocuteurs.
Notre objectif a été de mettre en perspective notre vision partagée du métier et ce qui nous réunit : une association subtile entre tradition et modernité dans une CONCORDE absolue. 
Cette parfaite CONCORDE est ce qui nous lie, notre ADN, l'histoire de CONCORDE ASSOCIES.</t>
  </si>
  <si>
    <t>http://www.linkedin.com/in/fr%c3%a9d%c3%a9ric-francois-30ba4812</t>
  </si>
  <si>
    <t xml:space="preserve">Francois Gardebled</t>
  </si>
  <si>
    <t>Gardebled</t>
  </si>
  <si>
    <t>fgardebled@champagnerepro.fr</t>
  </si>
  <si>
    <t>DIGITALIANCE</t>
  </si>
  <si>
    <t>champagnerepro.fr</t>
  </si>
  <si>
    <t xml:space="preserve">informatique,telephonie,impression,dematerialisation,affichage dynamique,connectivite,gestion electronique des documents,systeme dimpression,ecran et affichage,sauvegarde de donnee,locale,ged,signature electronique,automatisation des flux,copieur,multifonction,imprimante,scanner,borne interactif,systeme de videoconference</t>
  </si>
  <si>
    <t>Cormontreuil</t>
  </si>
  <si>
    <t>http://www.linkedin.com/company/digitaliance51350</t>
  </si>
  <si>
    <t xml:space="preserve">Spécialistes en reprographie, nous vous proposons à la vente ou à la location imprimantes, photocopieurs ou scanners pour la reproduction de vos documents.</t>
  </si>
  <si>
    <t>http://www.linkedin.com/in/fran%c3%a7ois-gardebled-28a65b10</t>
  </si>
  <si>
    <t xml:space="preserve">Franck Gotte</t>
  </si>
  <si>
    <t>Gotte</t>
  </si>
  <si>
    <t>fgotte@neotess.fr</t>
  </si>
  <si>
    <t>Neotess</t>
  </si>
  <si>
    <t>neotess.fr</t>
  </si>
  <si>
    <t xml:space="preserve">editeurs de logiciel,affichage dynamique,digital signage,communication interne,management visuel,ecran,digital,communication,affichage legal,borne tactile,totem tactile,ecran sur mat,ecran outdoor,ecran indoor</t>
  </si>
  <si>
    <t>http://www.linkedin.com/company/neotess</t>
  </si>
  <si>
    <t>https://twitter.com/neotess</t>
  </si>
  <si>
    <t>https://fr-fr.facebook.com/NeotessAffichageDynamique/</t>
  </si>
  <si>
    <t xml:space="preserve">L'affichage digital révèle l'information utile et la partage avec votre public, au bon endroit et au bon moment</t>
  </si>
  <si>
    <t>http://www.linkedin.com/in/franckgotte</t>
  </si>
  <si>
    <t xml:space="preserve">Franck Lebled</t>
  </si>
  <si>
    <t>Lebled</t>
  </si>
  <si>
    <t>flebled@telesure.fr</t>
  </si>
  <si>
    <t>TELESURE</t>
  </si>
  <si>
    <t>Puget-sur-Argens</t>
  </si>
  <si>
    <t>http://www.linkedin.com/company/telesure</t>
  </si>
  <si>
    <t>http://www.linkedin.com/in/franck-lebled-telesure-7ab248158</t>
  </si>
  <si>
    <t xml:space="preserve">Florence Naudin</t>
  </si>
  <si>
    <t>Naudin</t>
  </si>
  <si>
    <t>florence.naudin@icdint.fr</t>
  </si>
  <si>
    <t xml:space="preserve">ICD International</t>
  </si>
  <si>
    <t>icdint.fr</t>
  </si>
  <si>
    <t xml:space="preserve">edi,logistique,dematerialisation de factures,production,just in time</t>
  </si>
  <si>
    <t>http://www.linkedin.com/company/icd-international-icdsc</t>
  </si>
  <si>
    <t xml:space="preserve">Accélérez votre compétitivité avec ICD International. Dématérialisez ​vos processus métiers. Optimisez votre supply chain.</t>
  </si>
  <si>
    <t>http://www.linkedin.com/in/florence-naudin-7044ba21</t>
  </si>
  <si>
    <t xml:space="preserve">Florence Dibon</t>
  </si>
  <si>
    <t>Dibon</t>
  </si>
  <si>
    <t>florence@enence.fr</t>
  </si>
  <si>
    <t>Enence</t>
  </si>
  <si>
    <t>enence.fr</t>
  </si>
  <si>
    <t>raffinerie,support,ingenierie,recrutement,tuyauterie,industrie,preparation,supervision,prestation</t>
  </si>
  <si>
    <t>http://www.linkedin.com/company/enence-ingenierie-industrie-travaux-recrutement-achats-hse-petrole-gaz-oil-tuyauterie-supervision</t>
  </si>
  <si>
    <t>https://twitter.com/EnenceIndustrie</t>
  </si>
  <si>
    <t xml:space="preserve">Enence est une société de conseil en ingénierie qui déploie des solutions et des compétences en support aux projets industriels en France et dans le monde.</t>
  </si>
  <si>
    <t>http://www.linkedin.com/in/florence-dibon</t>
  </si>
  <si>
    <t xml:space="preserve">Florence Lickel</t>
  </si>
  <si>
    <t>Lickel</t>
  </si>
  <si>
    <t>florence@izhak.fr</t>
  </si>
  <si>
    <t xml:space="preserve">IZHAK INTERACT AGENCY</t>
  </si>
  <si>
    <t>izhak.fr</t>
  </si>
  <si>
    <t xml:space="preserve">communication,digital,activation,mobile,mobilefirst,video,application,ia,gaming,popculture,film tv,socialmedia</t>
  </si>
  <si>
    <t>http://www.linkedin.com/company/izhak</t>
  </si>
  <si>
    <t>https://twitter.com/izhak_agency</t>
  </si>
  <si>
    <t>https://www.facebook.com/izhakagency</t>
  </si>
  <si>
    <t xml:space="preserve">Agence de communication et digitale en Alsace à Strasbourg et Paris. Digital, social media, corporate et RSE, vidéos, création</t>
  </si>
  <si>
    <t>http://www.linkedin.com/in/florence-lickel-a285a732</t>
  </si>
  <si>
    <t xml:space="preserve">Florian N'gbala</t>
  </si>
  <si>
    <t>N'gbala</t>
  </si>
  <si>
    <t>florian.ngbala@lunabee.com</t>
  </si>
  <si>
    <t xml:space="preserve">Lunabee Studio</t>
  </si>
  <si>
    <t>lunabee.studio</t>
  </si>
  <si>
    <t xml:space="preserve">ios,mobile,information technology,mobile apps,user experience,lean,android</t>
  </si>
  <si>
    <t>http://www.linkedin.com/company/lunabeestudio</t>
  </si>
  <si>
    <t>https://twitter.com/lunabeeStudio</t>
  </si>
  <si>
    <t>https://www.facebook.com/lunabeeStudio</t>
  </si>
  <si>
    <t xml:space="preserve">At Lunabee Studio, we do APPS in the ALPS. We create your native Apps natural simple efficient awesome. Since 2010, Lunabee Studio is the expert in developing premium Apps from A to Z, on iOS and Android (Swift/SwiftUI, Kotlin/Compose). What makes us unique? We have a unique hands-on experience to help you creating awesome Apps: we have 2.5M+ users with our own Apps in 130 countries. And we created the TousAntiCovid mobile apps (the French Covid app). Downloaded on more than 62 million unique devices. And most importantly, it's been the 5th most used app in France in 2021 - more than Netflix, Snap, Waze or Amazon! We're also experts in App Security, Privacy and Accessibility (what we call SPA).</t>
  </si>
  <si>
    <t>http://www.linkedin.com/in/florian-n-gbala-7b8b18154</t>
  </si>
  <si>
    <t xml:space="preserve">Florian Ondel</t>
  </si>
  <si>
    <t>Ondel</t>
  </si>
  <si>
    <t>florian.ondel@hozzeo.com</t>
  </si>
  <si>
    <t xml:space="preserve">Hozzeo Group</t>
  </si>
  <si>
    <t>hozzeo.com</t>
  </si>
  <si>
    <t xml:space="preserve">mise en oeuvre industrialisation,infrastructures,devops,data,sre,formation,conseil strategie,conception architecture,expertise,it,cloud computing,cybersecurite,reseau</t>
  </si>
  <si>
    <t>http://www.linkedin.com/company/hozzeo-group</t>
  </si>
  <si>
    <t xml:space="preserve">Hozzeo Group est un écosystème de Cabinets de Conseil spécialisés dans l’Infrastructure &amp; Cloud, le Réseau, la Cybersécurité et la Data</t>
  </si>
  <si>
    <t>http://www.linkedin.com/in/florian-ondel-17a24911b</t>
  </si>
  <si>
    <t xml:space="preserve">Florian Poilbout</t>
  </si>
  <si>
    <t>Poilbout</t>
  </si>
  <si>
    <t>florian.poilbout@astridsen.com</t>
  </si>
  <si>
    <t xml:space="preserve">Co-Fondateur  Directeur Associé</t>
  </si>
  <si>
    <t>ASTRIDSEN</t>
  </si>
  <si>
    <t>astridsen.com</t>
  </si>
  <si>
    <t>http://www.linkedin.com/company/astridsen</t>
  </si>
  <si>
    <t xml:space="preserve">Astridsen - Accueil</t>
  </si>
  <si>
    <t>http://www.linkedin.com/in/florian-poilbout-2a394663</t>
  </si>
  <si>
    <t xml:space="preserve">Fabienne Motteroz</t>
  </si>
  <si>
    <t>Motteroz</t>
  </si>
  <si>
    <t>fmotteroz@cti-sa.fr</t>
  </si>
  <si>
    <t>CTI</t>
  </si>
  <si>
    <t>cti-sa.fr</t>
  </si>
  <si>
    <t>textiles</t>
  </si>
  <si>
    <t xml:space="preserve">licence,disney,linge de maison,linge de lit,licensing,design,warner,retail,distribution,psg,fff,om,universal,sourcing</t>
  </si>
  <si>
    <t>http://www.linkedin.com/company/cti-chaulnes-textiles-industries-</t>
  </si>
  <si>
    <t>https://www.facebook.com/omydreamfr/</t>
  </si>
  <si>
    <t xml:space="preserve">Our history 
A company of family origin 
1982: Company founded by the family Lebhard. Signature of the Disney license on home textiles. Other licenses will quickly develop the portfolio.
1995: CTI takes off when Disney assigned the Pan-European license. CTI is rapidly becoming the European leader of bed linen under license.
Since CTI is now a partner in the referent field of licensing, and has become a true partner of the largest key accounts, both in France and Europe: Walt Disney, Warner Bros., Sanrio, Hasbro and many others still entrust the design, manufacture and distribution of collections dedicated to their iconic characters such as Princess, Cars, Toys Story, Pucca, Hello Kitty, Littlest Pet Shop, Haribo and more ...
CTI is a leader in its field today with definite assets 
- Ability to translate the values and personality of a brand / license a product with high added value
- Multi-channel distribution
- High reliability ensure a true partnership :
*With licensees 
* With distributors
Quality
CTI is the leader of 2 skills 
Creation and Design : 
- Ability to translate the values and personality of a brand licensing product with high added value
- Permanent search of new styles/finishing details
Production :
- Sourcing, quality and control = 3 priorities 
Our expertise 
Purchase
- Global sourcing
- Quality
- Control
Design
- Trends
- Fashion design
- Painstaking
Distribution
- Expertise all circuits
- Organization structured by Circuit
- Sales force
- Local Sales Team at European level (Benelux, Germany, Switzerland, Austria and Eastern Europe)
Create Value
- Potential Analysis
- Competitive Intelligence
- Business Vision</t>
  </si>
  <si>
    <t>http://www.linkedin.com/in/fabienne-motteroz-0088352a</t>
  </si>
  <si>
    <t xml:space="preserve">Faouzi Mourali</t>
  </si>
  <si>
    <t>Faouzi</t>
  </si>
  <si>
    <t>Mourali</t>
  </si>
  <si>
    <t>fmourali@tecodata.fr</t>
  </si>
  <si>
    <t>TECODATA</t>
  </si>
  <si>
    <t>tecodata.fr</t>
  </si>
  <si>
    <t xml:space="preserve">audits,recuperation et securisation des donnees,infogerance,services informatiques,msp,deploiements de materiel informatique,vente de materiel informatique,solutions multimedias,depannages et reparations,gestion de projets,techniciens,mobilite informatique,vente et location de materiel,administrateurs sr et ingenieurs en regie,transition numerique,deploiements de logiciels,maintenance informatique,administrateurs sampr et ingenieurs en regie,deploiements,vente et installation de logitiels,assistance technique</t>
  </si>
  <si>
    <t>Frontenay-Rohan-Rohan</t>
  </si>
  <si>
    <t>http://www.linkedin.com/company/tecodata</t>
  </si>
  <si>
    <t xml:space="preserve">TECODATA, c'est plus de 40 collaborateurs avec un grand cœur !
Dévoués et passionnés, nous aimons les challenges et réalisons l'impossible pour nos partenaires.
La satisfaction de nos clients comme seul mot d'ordre, nous étudions chaque projet avec la plus grande considération.
Nos services aux ESN et aux Grands Comptes
- Renforcez vos équipes, grâce au soutien de nos techniciens spécialisés
- Sous-traitez vos interventions techniques, ponctuelles ou récurrentes
- Offrez-vous les conseils de consultants reconnus, issus de notre réseau
- Confiez-nous le déploiement, à grande échelle, de vos équipements
Depuis plus de 10 ans, TECODATA réalise des déploiements de 100 à 12000 postes pour le compte des ESN, des Banques et des Assurances. C'est aussi plus de 20 collaborateurs en mission permanente chez nos clients, pour vous accompagner au quotidien.
Nos services aux PME &amp; ETI
- Dotez-vous d'un véritable service informatique, entièrement supervisé par TECODATA
- Renforcez vos équipes avec nos techniciens qualifiés (N1 ou N2), de 1 à 5 jours/semaine
- Bénéficiez gratuitement des conseils de nos spécialistes, pour l'ensemble de vos projets
- Équipez-vous des meilleures solutions (logiciels, outils collaboratifs, matériel en vente ou en location, ...)
- Sécurisez vos systèmes d'informations, avec des solutions adaptées à votre activité
TECODATA agit pour vous à la manière d'un service informatique interne, mutualisé entre l'ensemble de nos clients. Nous vous équipons avec des solutions sur mesure et garantissons le bon fonctionnement de ces dernières grâce à nos outils de supervision et une assistance illimitée à vos collaborateurs.</t>
  </si>
  <si>
    <t>http://www.linkedin.com/in/faouzi-mourali-8b51956a</t>
  </si>
  <si>
    <t xml:space="preserve">Franck Zana</t>
  </si>
  <si>
    <t>Zana</t>
  </si>
  <si>
    <t>franck_zana@ygl-consulting.com</t>
  </si>
  <si>
    <t xml:space="preserve">YGL CONSULTING</t>
  </si>
  <si>
    <t>ygl-consulting.com</t>
  </si>
  <si>
    <t>android,fullstack,net,cybersecurite,ios,angular,devops,j2ee,symfony</t>
  </si>
  <si>
    <t>http://www.linkedin.com/company/ygl-consulting</t>
  </si>
  <si>
    <t>https://twitter.com/yglconsulting</t>
  </si>
  <si>
    <t>https://www.facebook.com/yglconsulting</t>
  </si>
  <si>
    <t xml:space="preserve">Créée en 2001, YGL Consulting est une entreprise spécialisée dans les domaines de l'informatique et du numérique.
Nous mettons l'accent sur le bien-être au travail et la performance, ce qui constitue notre ADN.
Grâce à notre approche AGILE et à notre expertise technique, nous répondons rapidement, efficacement et de manière structurée aux besoins de nos clients.
Nous intervenons dans divers secteurs tels que le E-commerce, la presse, la logistique, l'énergie, banque/assurance, etc …
Nous accompagnons nos clients à toutes les étapes de leurs projets de manière flexible, adaptable et surtout personnalisée.
Chez YGL Consulting, nous accordons une grande importance à la dimension humaine de nos équipes. De plus, nous nous engageons à prendre en compte les enjeux du développement durable dans nos activités ainsi que dans nos interactions avec nos partenaires et nos collaborateurs.</t>
  </si>
  <si>
    <t>http://www.linkedin.com/in/franck-zana</t>
  </si>
  <si>
    <t xml:space="preserve">Franck Agier</t>
  </si>
  <si>
    <t>Agier</t>
  </si>
  <si>
    <t>franck.agier@market-office.com</t>
  </si>
  <si>
    <t xml:space="preserve">Market Office</t>
  </si>
  <si>
    <t>market-office.com</t>
  </si>
  <si>
    <t xml:space="preserve">fruits frais,snacking,produits healthy et vegan,boissons,bien etre au travail,refresh program,cafes,produits healthy et vegan &amp; refresh corner,thes,refresh corner</t>
  </si>
  <si>
    <t>http://www.linkedin.com/company/marketoffice</t>
  </si>
  <si>
    <t>https://facebook.com/market.office.fr</t>
  </si>
  <si>
    <t xml:space="preserve">Nous proposons aux entreprises, la livraison de fruits, snacks, boissons, l'installation de machines à café en grains, ainsi que la création d'espaces de pause et convivialité.</t>
  </si>
  <si>
    <t>http://www.linkedin.com/in/franck-agier-30a550b5</t>
  </si>
  <si>
    <t xml:space="preserve">Franck Ritter</t>
  </si>
  <si>
    <t>Ritter</t>
  </si>
  <si>
    <t>franck.ritter@moove-si.com</t>
  </si>
  <si>
    <t xml:space="preserve">Président - Direction Commerciale &amp; Marketing</t>
  </si>
  <si>
    <t>Moove-si</t>
  </si>
  <si>
    <t>moove-si.com</t>
  </si>
  <si>
    <t xml:space="preserve">dynamics 365 customer engagement,microsoft 365,transformation digitale,marketing automation,power platform,sales,customer services,field services,portal,conseils,relations clients</t>
  </si>
  <si>
    <t>Schiltigheim</t>
  </si>
  <si>
    <t>http://www.linkedin.com/company/moove-si</t>
  </si>
  <si>
    <t xml:space="preserve">Découvrez nos solutions Microsoft qui permettront d’optimiser vos activités : CRM, XRM, marketing automation, business intelligence, collaboration.</t>
  </si>
  <si>
    <t>http://www.linkedin.com/in/franckritter</t>
  </si>
  <si>
    <t xml:space="preserve">Franck Rivet</t>
  </si>
  <si>
    <t>Rivet</t>
  </si>
  <si>
    <t>franck.rivet@cira-technologie.com</t>
  </si>
  <si>
    <t xml:space="preserve">CIRA Technologie</t>
  </si>
  <si>
    <t>cira-technologie.com</t>
  </si>
  <si>
    <t xml:space="preserve">automatismes,electricite,hvac,cvc,genie climatique,genie electrique,gtc,gtb,supervision,regulation,salles blanches,gestion automatisee,bim,controle commande,gestion des fluides,monitoring,detection gaz,production chaud et froid,traitement deau,desenfumage</t>
  </si>
  <si>
    <t>Saint-Jean-Bonnefonds</t>
  </si>
  <si>
    <t>http://www.linkedin.com/company/cira-technologie</t>
  </si>
  <si>
    <t xml:space="preserve">CIRA Technologie est spécialisée dans le domaine des automatismes industriels du génie climatique. Elle conçoit, intègre et installe tous les équipements nécessaires au contrôle commande des installations de traitement d'air, et notamment assure la régulation des paramètres tels que la température, l'hygrométrie, la pression, la qualité d'air. Les principaux secteurs d'intervention sont les laboratoires de R&amp;D, les hôpitaux, les industries et le tertiaire.
L'entreprise conçoit et fabrique la gamme produits apem-sas, dédiés à la gestion des salles blanches : Interlockage, décontamination, supervision, etc. Ils se déclinent sous plusieurs formes, permettant de répondre à la fois aux demandes d'entrée de gamme, et aux applications les plus complexes.
www.apem-sas.com</t>
  </si>
  <si>
    <t>http://www.linkedin.com/in/franckrivet</t>
  </si>
  <si>
    <t xml:space="preserve">Francois-Xavier Goemaere</t>
  </si>
  <si>
    <t>Francois-Xavier</t>
  </si>
  <si>
    <t>Goemaere</t>
  </si>
  <si>
    <t>francois-xavier.goemaere@overlap-factory.com</t>
  </si>
  <si>
    <t xml:space="preserve">Founder &amp; COO</t>
  </si>
  <si>
    <t xml:space="preserve">The Overlap Factory</t>
  </si>
  <si>
    <t>overlap-factory.com</t>
  </si>
  <si>
    <t xml:space="preserve">mobile,retail,travel &amp; tourism,tourism,information technology,video 360,virtual reality,augmented reality,marketing,business intelligence,ecommerce,virtual shop,immersive experiences,overlapreality,augmented tourism,xr</t>
  </si>
  <si>
    <t>http://www.linkedin.com/company/theoverlapfactory</t>
  </si>
  <si>
    <t xml:space="preserve">EXPLORE THE EXTRAORDINARY! Create cinematic-quality virtual experiences and activate them online or in store. Engage your customers, generate emotions, and get a real return on investment.</t>
  </si>
  <si>
    <t>http://www.linkedin.com/in/fran%c3%a7ois-xavier-goemaere-538aa2a1</t>
  </si>
  <si>
    <t xml:space="preserve">Francois Michalski</t>
  </si>
  <si>
    <t>Michalski</t>
  </si>
  <si>
    <t>francois.michalski@ducatillon.com</t>
  </si>
  <si>
    <t>DUCATILLON</t>
  </si>
  <si>
    <t>ducatillon.com</t>
  </si>
  <si>
    <t>http://www.linkedin.com/company/ducatillon</t>
  </si>
  <si>
    <t>https://fr-fr.facebook.com/pages/Etablissements-Ducatillon/148480065182964</t>
  </si>
  <si>
    <t xml:space="preserve">Ducatillon, le site spécialisé dans le matériel d'élevage et de chasse. Nous vous proposons une large gamme de produits d'élevage et d'articles pour la chasse.</t>
  </si>
  <si>
    <t>http://www.linkedin.com/in/fmichalski</t>
  </si>
  <si>
    <t xml:space="preserve">Francois Michel</t>
  </si>
  <si>
    <t>francois.michel@modalbgroup.com</t>
  </si>
  <si>
    <t>ModalB</t>
  </si>
  <si>
    <t>modalbgroup.com</t>
  </si>
  <si>
    <t>http://www.linkedin.com/company/modalb</t>
  </si>
  <si>
    <t>https://twitter.com/_modalb</t>
  </si>
  <si>
    <t xml:space="preserve">Modalb - L'ESN qui met l'IT et l'humain au centre de vos projets</t>
  </si>
  <si>
    <t>http://www.linkedin.com/in/fran%c3%a7ois-michel-225318172</t>
  </si>
  <si>
    <t xml:space="preserve">Francois Alonge</t>
  </si>
  <si>
    <t>Alonge</t>
  </si>
  <si>
    <t>francois@getalead.co</t>
  </si>
  <si>
    <t>GETALEAD</t>
  </si>
  <si>
    <t>getalead.co</t>
  </si>
  <si>
    <t xml:space="preserve">lead generation,kam,linkedin,prospection,sales,strategy,coaching,trainings</t>
  </si>
  <si>
    <t>http://www.linkedin.com/company/getalead</t>
  </si>
  <si>
    <t xml:space="preserve">Nous vous aidons à renforcer votre force de vente pour vous assurer un résultat optimal : stratégie, formation des équipes, intégration d'outils de vente et mise à disposition de profils commerciaux.</t>
  </si>
  <si>
    <t>http://www.linkedin.com/in/francois-alonge-33048245</t>
  </si>
  <si>
    <t xml:space="preserve">Francois Misslin</t>
  </si>
  <si>
    <t>Misslin</t>
  </si>
  <si>
    <t>francois@tamtam.ai</t>
  </si>
  <si>
    <t>TAMTAM</t>
  </si>
  <si>
    <t>tamtam.ai</t>
  </si>
  <si>
    <t xml:space="preserve">sales intelligence,enterprise sales,ai research,account planning,account mapping,b2b data,contact data,saas,abm,sales,account research,b2b database,ai,big data,b2b lead generation,accountbased marketing,accountbased selling,datadriven prospecting,company data</t>
  </si>
  <si>
    <t>http://www.linkedin.com/company/tamtam-ai</t>
  </si>
  <si>
    <t xml:space="preserve">TAMTAM is the SaaS Sales Intelligence platform designed to optimize your Total Addressable Market. Drive strategic sales growth by targeting and engaging high-value accounts with data-driven insights. Maximize your TAM and boost sales results with TAMTAM.</t>
  </si>
  <si>
    <t>http://www.linkedin.com/in/francoismisslin</t>
  </si>
  <si>
    <t xml:space="preserve">Fred Rouvin</t>
  </si>
  <si>
    <t>Fred</t>
  </si>
  <si>
    <t>Rouvin</t>
  </si>
  <si>
    <t>fred@vpfrance.fr</t>
  </si>
  <si>
    <t>DIRIGEANT</t>
  </si>
  <si>
    <t xml:space="preserve">VP France</t>
  </si>
  <si>
    <t>vpfrance.fr</t>
  </si>
  <si>
    <t xml:space="preserve">palissage vigne,clotures et portails,droguerie,quincaillerie,distributeurlivreur expert air liquide,anti moustiques,point relais</t>
  </si>
  <si>
    <t>Beauvoisin</t>
  </si>
  <si>
    <t>http://www.linkedin.com/company/vp-cie</t>
  </si>
  <si>
    <t>https://www.facebook.com/VPFrance.Gard</t>
  </si>
  <si>
    <t xml:space="preserve">Situé dans le Gard et spécialiste en clôture, palissage vigne et verger, alimentation animale, fournisseur gaz et appareillages, solutions anti-moustique</t>
  </si>
  <si>
    <t>http://www.linkedin.com/in/fred-rouvin-7b411070</t>
  </si>
  <si>
    <t xml:space="preserve">Frederic Darbel</t>
  </si>
  <si>
    <t>Darbel</t>
  </si>
  <si>
    <t>frederic.darbel@enovea.net</t>
  </si>
  <si>
    <t xml:space="preserve">Co-Founder and Business Unit Manager</t>
  </si>
  <si>
    <t>Enovea</t>
  </si>
  <si>
    <t>enovea.net</t>
  </si>
  <si>
    <t xml:space="preserve">developpement dapplications logicielles,java,ios,android,c,spring,angular,finance,industrie,assurance,services</t>
  </si>
  <si>
    <t>Mont-Saint-Aignan</t>
  </si>
  <si>
    <t>http://www.linkedin.com/company/enovea</t>
  </si>
  <si>
    <t xml:space="preserve">Créateur de solutions et de services digitalisés, Enovea aide ses clients à développer leur business en leur apportant une vision et une analyse fine de leurs données en temps réel. En mode exploratoire et interactif de co-construction, nous serons partenaires de votre stratégie de développement.</t>
  </si>
  <si>
    <t>http://www.linkedin.com/in/frederic-darbel-43033125</t>
  </si>
  <si>
    <t xml:space="preserve">Frederic Dussaut</t>
  </si>
  <si>
    <t>Dussaut</t>
  </si>
  <si>
    <t>frederic.dussaut@origalys.com</t>
  </si>
  <si>
    <t xml:space="preserve">Président de la SAS</t>
  </si>
  <si>
    <t xml:space="preserve">OrigaLys ElectroChem</t>
  </si>
  <si>
    <t>origalys.com</t>
  </si>
  <si>
    <t xml:space="preserve">potentiostat for the lab &amp; the field,galvanostat,impedancemetre impedancemeter,monopotentiostat,multipotentiostat,electrodes tournantes rotating electrodes rde,batteries test equipments,corrosion cell flat sample,cylindrical sample</t>
  </si>
  <si>
    <t>Rillieux-la-Pape</t>
  </si>
  <si>
    <t>http://www.linkedin.com/company/origalys-electrochem-sas</t>
  </si>
  <si>
    <t>https://twitter.com/origalys</t>
  </si>
  <si>
    <t>https://www.facebook.com/OrigaLys.ElectroChem.SAS/</t>
  </si>
  <si>
    <t xml:space="preserve">Découvrez OrigaLys : Conception et Vente d'Appareils d'analyse en Electrochimie : Potentiostat, Galvanostat &amp;9989; Fabrication Française &amp;9742; 09 54 17 56 03</t>
  </si>
  <si>
    <t>http://www.linkedin.com/in/fr%c3%a9d%c3%a9ric-dussaut-b1029250</t>
  </si>
  <si>
    <t xml:space="preserve">Frederic Monomakhoff</t>
  </si>
  <si>
    <t>Monomakhoff</t>
  </si>
  <si>
    <t>frederic.monomakhoff@viragegroup.com</t>
  </si>
  <si>
    <t xml:space="preserve">Virage Group</t>
  </si>
  <si>
    <t>viragegroup.com</t>
  </si>
  <si>
    <t xml:space="preserve">edition de logiciels,pmo,gestion de portefeuille projets,ppm,pilotage de plans dactions,project management software,saas,gestion de projets,gestion des ressources,plan strategique</t>
  </si>
  <si>
    <t>http://www.linkedin.com/company/virage-group</t>
  </si>
  <si>
    <t>https://twitter.com/viragegroup</t>
  </si>
  <si>
    <t>https://facebook.com/pages/Virage-Group/399990920106100</t>
  </si>
  <si>
    <t xml:space="preserve">Vous avez des projets, des plans d'actions à gérer ? Dotez-vous d'une offre de Project Portfolio Management complète, simple et sur-mesure !</t>
  </si>
  <si>
    <t>http://www.linkedin.com/in/frederic-monomakhoff-211b721a</t>
  </si>
  <si>
    <t xml:space="preserve">Frederic Papleux</t>
  </si>
  <si>
    <t>Papleux</t>
  </si>
  <si>
    <t>frederic.papleux@aoc.fr</t>
  </si>
  <si>
    <t xml:space="preserve">Directeur Fondateur</t>
  </si>
  <si>
    <t>AOC</t>
  </si>
  <si>
    <t>aoc.fr</t>
  </si>
  <si>
    <t>http://www.linkedin.com/company/allovercloud</t>
  </si>
  <si>
    <t xml:space="preserve">ESN à taille humaine dans les Hauts de France spécialisée dans la gestion des infrastructures et le Cloud.</t>
  </si>
  <si>
    <t>http://www.linkedin.com/in/frederic-papleux-434861</t>
  </si>
  <si>
    <t xml:space="preserve">Frederic Pichaud</t>
  </si>
  <si>
    <t>Pichaud</t>
  </si>
  <si>
    <t>frederic.pichaud@quadrinov.com</t>
  </si>
  <si>
    <t xml:space="preserve">Quadrinov Agencement</t>
  </si>
  <si>
    <t>quadrinov.com</t>
  </si>
  <si>
    <t xml:space="preserve">agencement,menuiserie,cloisons,plafond suspendu</t>
  </si>
  <si>
    <t>http://www.linkedin.com/company/quadrinov</t>
  </si>
  <si>
    <t xml:space="preserve">Nos équipes de menuisiers et plaquistes participent à l'amélioration et à la réorganisation de vos espaces de travail.</t>
  </si>
  <si>
    <t>http://www.linkedin.com/in/fr%c3%a9d%c3%a9ric-pichaud-842425a0</t>
  </si>
  <si>
    <t xml:space="preserve">Frederic Remoleux</t>
  </si>
  <si>
    <t>Remoleux</t>
  </si>
  <si>
    <t>frederic.remoleux@prodigyus.fr</t>
  </si>
  <si>
    <t>PRODIGYUS</t>
  </si>
  <si>
    <t>prodigyus.fr</t>
  </si>
  <si>
    <t>Wasquehal</t>
  </si>
  <si>
    <t>http://www.linkedin.com/company/prodigyus</t>
  </si>
  <si>
    <t xml:space="preserve">Prodigyus, Conseil en ingénierie est spécialiste de la performance industrielle, de l'excellence opérationnel et de la digitalisation.</t>
  </si>
  <si>
    <t>http://www.linkedin.com/in/fr%c3%a9d%c3%a9ric-remoleux-041900128</t>
  </si>
  <si>
    <t xml:space="preserve">Frederic Terranova</t>
  </si>
  <si>
    <t>Terranova</t>
  </si>
  <si>
    <t>frederic.terranova@lumens-box.com</t>
  </si>
  <si>
    <t>LUMENS-BOX</t>
  </si>
  <si>
    <t>lumens-box.com</t>
  </si>
  <si>
    <t>Buc</t>
  </si>
  <si>
    <t>sonorisation,concept,video,eclairage</t>
  </si>
  <si>
    <t>http://www.linkedin.com/company/lumens-box</t>
  </si>
  <si>
    <t xml:space="preserve">Lumens-Box est un partenaire technique audiovisuel spécialiste de l'événementiel.
 Lumens-Box offre une prestation Son, Lumière, Vidéo pour vos événements. Dotée d'un parc matériel, en constant renouvellement, Lumens-Box fournit également les meilleures équipes de techniciens audiovisuels pour accompagner vos événements.
Nous mettons au service de la communication événementielle les plus récentes avancées technologiques autour des métiers de la scénography, du design, de l'image, du son et de la lumière.</t>
  </si>
  <si>
    <t>http://www.linkedin.com/in/fr%c3%a9d%c3%a9ric-terranova-06930931</t>
  </si>
  <si>
    <t xml:space="preserve">Frederic Vandewalle</t>
  </si>
  <si>
    <t>Vandewalle</t>
  </si>
  <si>
    <t>frederic.vandewalle@impulsionconsulting.com</t>
  </si>
  <si>
    <t xml:space="preserve">Fondateur du réseau professionnel en amélioration de la qualité et de l'espérance de vie SAVAMIEU</t>
  </si>
  <si>
    <t xml:space="preserve">Impulsion Consulting</t>
  </si>
  <si>
    <t>impulsionconsulting.com</t>
  </si>
  <si>
    <t>Besancon</t>
  </si>
  <si>
    <t>Franche-Comte</t>
  </si>
  <si>
    <t xml:space="preserve">conseil en management,formations et coaching,aide au recrutement de managers,assistance manageriale</t>
  </si>
  <si>
    <t>http://www.linkedin.com/company/impulsion-consulting</t>
  </si>
  <si>
    <t xml:space="preserve">frederic vandewalle Impulsion Consulting est un réseau de consultants formateurs en management opérationnel : formation, coaching, conseil, recrutement</t>
  </si>
  <si>
    <t>http://www.linkedin.com/in/fr%c3%a9d%c3%a9ric-vandewalle-47464341</t>
  </si>
  <si>
    <t xml:space="preserve">Frederic Bothier</t>
  </si>
  <si>
    <t>Bothier</t>
  </si>
  <si>
    <t>frederic@bothier.fr</t>
  </si>
  <si>
    <t xml:space="preserve">Président SAS</t>
  </si>
  <si>
    <t>BOTHIER</t>
  </si>
  <si>
    <t>bothier.fr</t>
  </si>
  <si>
    <t>Fos-sur-Mer</t>
  </si>
  <si>
    <t xml:space="preserve">travaux en hauteur,cerfi,travaux urbain,amiante ss3,travaux acrobatiques,gtis,amiante ss4,peinture acopa,maintenance industrielle,mase,travaux dacces difficile,montage et verification echaffaudage,gies 1 et 2</t>
  </si>
  <si>
    <t>http://www.linkedin.com/company/bothier</t>
  </si>
  <si>
    <t>https://www.facebook.com/bothiersarl/</t>
  </si>
  <si>
    <t xml:space="preserve">L'entreprise de cordistes BOTHIER réalise tout type de travaux en hauteur et d'accès difficile sur corde et nacelle à Marseille et les Bouches-du-Rhône, 13.</t>
  </si>
  <si>
    <t>http://www.linkedin.com/in/fr%c3%a9d%c3%a9ric-bothier-55656b112</t>
  </si>
  <si>
    <t xml:space="preserve">Frederic Coppin</t>
  </si>
  <si>
    <t>Coppin</t>
  </si>
  <si>
    <t>frederic@hedimag.com</t>
  </si>
  <si>
    <t>HEDIMAG</t>
  </si>
  <si>
    <t>hedimag.com</t>
  </si>
  <si>
    <t>Hazebrouck</t>
  </si>
  <si>
    <t xml:space="preserve">foodtruck,friterie,container amenage,snacking,commerce ambulant,camion pizza,kiosque,street food,carrossier constructeur,remorque rotisserie,commerce mobile,pop up store</t>
  </si>
  <si>
    <t>http://www.linkedin.com/company/hedimag</t>
  </si>
  <si>
    <t xml:space="preserve">Hedimag, fabricant de commerce mobile depuis 30 ans, conçoit et aménage votre camion, remorque, kiosque neuf ou occasion (food truck, pizza, rôtisserie etc)</t>
  </si>
  <si>
    <t>http://www.linkedin.com/in/fr%c3%a9d%c3%a9ric-coppin-5b4a16170</t>
  </si>
  <si>
    <t xml:space="preserve">Frederic Rose</t>
  </si>
  <si>
    <t>Rose</t>
  </si>
  <si>
    <t>frederic@jumbomana.com</t>
  </si>
  <si>
    <t>FONDATEUR</t>
  </si>
  <si>
    <t xml:space="preserve">Jumbo Mana</t>
  </si>
  <si>
    <t>jumbomana.com</t>
  </si>
  <si>
    <t xml:space="preserve">intelligence artificielle  &amp; digital humans</t>
  </si>
  <si>
    <t>http://www.linkedin.com/company/jumbo-mana</t>
  </si>
  <si>
    <t xml:space="preserve">Elevate your global customer service with Jumbo Mana's AI-powered interactive avatars, available 24/7 for managing the flow on high-traffic international sites. Our multilingual avatars offer personalized support, ensuring privacy and seamless user experiences worldwide. Transform your service strategy today.</t>
  </si>
  <si>
    <t>http://www.linkedin.com/in/fredericrose</t>
  </si>
  <si>
    <t xml:space="preserve">Frederique Agnes</t>
  </si>
  <si>
    <t>frederique.agnes@d-codes.fr</t>
  </si>
  <si>
    <t>D-Codes</t>
  </si>
  <si>
    <t>d-codes.fr</t>
  </si>
  <si>
    <t>http://www.linkedin.com/company/d-codes</t>
  </si>
  <si>
    <t xml:space="preserve">🚀 D-Codes, expert des big data, du conseil stratégique, du ciblage et des études, est le référent data au service des institutions, des associations, des entreprises et des marques.
Notre force s'articule autour de deux savoir-faire : la maîtrise de la connaissance des publics et le conseil stratégique. « Donnons du sens à nos relations » signifie, pour nous, combiner ces deux dimensions.
D-Codes décrypte les tendances et permet d'acquérir une vision contemporaine de la France d'aujourd'hui en se plaçant au cœur de la connaissance de tous les publics et à tous les moments de leur vie.
D-Codes est aussi le porte-voix de tous les français à travers des plateformes citoyennes rendant compte de leurs préoccupations et de leurs opinions quasiment en temps réel, et à travers des initiatives pour recréer du lien entre toutes les parties prenantes.
D-Codes englobe dans sa puissante base de données, 41 millions de personnes, le parcours client et achat de 1 500 marques et enseignes et propose 300 critères de sélection et d'enrichissement. 
Analyser l'exhaustivité des consommateurs et des citoyens français est le défi que nous entendons relever dans une société hyperconnectée où chaque consommateur va, selon le jour, ses envies, son entourage, ses médias favoris, exprimer des besoins et des désirs très différents.
--- Bienvenue dans un nouveau modèle Consumer Centric où la data suscite l'émotion ---</t>
  </si>
  <si>
    <t>http://www.linkedin.com/in/fr%c3%a9d%c3%a9rique-agnes-22891113</t>
  </si>
  <si>
    <t xml:space="preserve">Fred Licata</t>
  </si>
  <si>
    <t>Licata</t>
  </si>
  <si>
    <t>fredlicata@planisphereinfo.com</t>
  </si>
  <si>
    <t xml:space="preserve">Cadre dirigeant</t>
  </si>
  <si>
    <t xml:space="preserve">Planisphère Info</t>
  </si>
  <si>
    <t>planisphereinfo.com</t>
  </si>
  <si>
    <t>formation,ebp,sauvegarde,sage,integration,logiciels,securite,reseau,informatique,infrastructure</t>
  </si>
  <si>
    <t>http://www.linkedin.com/company/planisph%c3%a8reinfo</t>
  </si>
  <si>
    <t>https://twitter.com/planisphereinfo</t>
  </si>
  <si>
    <t xml:space="preserve">Planisphere Info est une entreprise de prestation liée au monde de l'informatique. Basés dans le Var à Fréjus, nous accompagnons nos clients dans le secteur du Var, des Bouches du Rhône,  des Alpes Maritimes et Monaco.</t>
  </si>
  <si>
    <t>http://www.linkedin.com/in/fred-licata-1799b981</t>
  </si>
  <si>
    <t xml:space="preserve">Franck Sousa</t>
  </si>
  <si>
    <t>Sousa</t>
  </si>
  <si>
    <t>fs@alobees.com</t>
  </si>
  <si>
    <t>Alobees</t>
  </si>
  <si>
    <t>alobees.com</t>
  </si>
  <si>
    <t xml:space="preserve">suivi chantier,logiciel suivi chantier,application suivi chantier,planning,feuilles dheures,planning de charge,communication,documents</t>
  </si>
  <si>
    <t>http://www.linkedin.com/company/alobees</t>
  </si>
  <si>
    <t>https://twitter.com/alobees</t>
  </si>
  <si>
    <t>https://www.facebook.com/alobees</t>
  </si>
  <si>
    <t xml:space="preserve">Simplify construction site monitoring: planning, hours, documents. Manage everything easily. Go for simplicity now.</t>
  </si>
  <si>
    <t>http://www.linkedin.com/in/franck-sousa-339048193</t>
  </si>
  <si>
    <t xml:space="preserve">Frederic Thomas</t>
  </si>
  <si>
    <t>fthomas@eb16.com</t>
  </si>
  <si>
    <t>EB16</t>
  </si>
  <si>
    <t>eb16.com</t>
  </si>
  <si>
    <t xml:space="preserve">services aux entreprises,systemes dimpression,gestion electronique de documents,fournitures bureautiques</t>
  </si>
  <si>
    <t>Gond-Pontouvre</t>
  </si>
  <si>
    <t>http://www.linkedin.com/company/espace-bureau-16</t>
  </si>
  <si>
    <t xml:space="preserve">Implanté à Angoulême depuis plus de 30 ans, EB16 est votre interlocuteur local privilégié. Nous proposons des solutions innovantes adaptées à vos besoins quotidiens.</t>
  </si>
  <si>
    <t>http://www.linkedin.com/in/fr%c3%a9d%c3%a9ric-thomas-425b03176</t>
  </si>
  <si>
    <t xml:space="preserve">Francois Wemaere</t>
  </si>
  <si>
    <t>Wemaere</t>
  </si>
  <si>
    <t>fwemaere@vldparis.fr</t>
  </si>
  <si>
    <t>VLD</t>
  </si>
  <si>
    <t>vldparis.fr</t>
  </si>
  <si>
    <t xml:space="preserve">metallerie fine,ferronnerie,serrurerie decorative,modelisation,conception numerique</t>
  </si>
  <si>
    <t>Ivry-sur-Seine</t>
  </si>
  <si>
    <t>http://www.linkedin.com/company/vld-paris</t>
  </si>
  <si>
    <t xml:space="preserve">Onepage Parallax Site</t>
  </si>
  <si>
    <t>http://www.linkedin.com/in/fran%c3%a7ois-wema%c3%abre-43815386</t>
  </si>
  <si>
    <t xml:space="preserve">Guillaume Cordel</t>
  </si>
  <si>
    <t>Cordel</t>
  </si>
  <si>
    <t>g.cordel@arcade.fr</t>
  </si>
  <si>
    <t>ARCADE</t>
  </si>
  <si>
    <t>arcade.fr</t>
  </si>
  <si>
    <t>Saint-Thibery</t>
  </si>
  <si>
    <t xml:space="preserve">editeur logiciel pour le secteur de la construction,logiciels web,client serveur,saas,mobilite,granulats,betons,enrobes,bitumes,ciments,mortiers,construction routiere,centre de formation</t>
  </si>
  <si>
    <t>http://www.linkedin.com/company/arcade-informatique</t>
  </si>
  <si>
    <t>https://www.facebook.com/Arcade.Logiciels/</t>
  </si>
  <si>
    <t xml:space="preserve">Découvrez Massia : notre gammes de logiciels modulables destinées aux professionnels de la production des matériaux pour la construction</t>
  </si>
  <si>
    <t>http://www.linkedin.com/in/guillaume-cordel-39784410b</t>
  </si>
  <si>
    <t xml:space="preserve">Guillaumette Lecante</t>
  </si>
  <si>
    <t>Guillaumette</t>
  </si>
  <si>
    <t>Lecante</t>
  </si>
  <si>
    <t>g.lecante@sgame.fr</t>
  </si>
  <si>
    <t>SGAME</t>
  </si>
  <si>
    <t>sgame.fr</t>
  </si>
  <si>
    <t>Chaponost</t>
  </si>
  <si>
    <t xml:space="preserve">fabrication robot,qualite,resinage de cartes electroniques,fabrication manuelle,industrialisation,achats et logistique,conception de cartes electroniques,developpement logiciel,integration</t>
  </si>
  <si>
    <t>http://www.linkedin.com/company/sgame</t>
  </si>
  <si>
    <t xml:space="preserve">SGAME est votre spécialiste en études, industrialisation et fabrication de cartes électroniques, depuis 1986, du prototype à la série.</t>
  </si>
  <si>
    <t>http://www.linkedin.com/in/guillaumette-lecante-111589b4</t>
  </si>
  <si>
    <t xml:space="preserve">Guillaume Pimbert</t>
  </si>
  <si>
    <t>Pimbert</t>
  </si>
  <si>
    <t>g.pimbert@septentrionale.fr</t>
  </si>
  <si>
    <t xml:space="preserve">Entreprise Septentrionale de Construction</t>
  </si>
  <si>
    <t>septentrionale.fr</t>
  </si>
  <si>
    <t>Lallaing</t>
  </si>
  <si>
    <t>http://www.linkedin.com/company/entreprise-septentrionale-construction</t>
  </si>
  <si>
    <t xml:space="preserve">La Septentrionale de Construction est une entreprise générale de bâtiment implantée dans le Nord Pas-de-Calais.
Elle emploie 102 salariés et dispose...</t>
  </si>
  <si>
    <t>http://www.linkedin.com/in/guillaume-pimbert-353348151</t>
  </si>
  <si>
    <t xml:space="preserve">Gerard Pucheux</t>
  </si>
  <si>
    <t>Gerard</t>
  </si>
  <si>
    <t>Pucheux</t>
  </si>
  <si>
    <t>g.pucheux@koncept-komet.fr</t>
  </si>
  <si>
    <t xml:space="preserve">Directeur général de Komet</t>
  </si>
  <si>
    <t xml:space="preserve">Groupe Koncept Komet</t>
  </si>
  <si>
    <t>koncept-komet.fr</t>
  </si>
  <si>
    <t xml:space="preserve">net,engagement,devops,ingenierie systeme,prototypage,ingenierie fonctionnelle,angular,agilite,mvc,forfait,mobilite,java,conseil,test,industrialisation,industiralisation</t>
  </si>
  <si>
    <t>http://www.linkedin.com/company/konceptkomet</t>
  </si>
  <si>
    <t xml:space="preserve">Depuis l’élaboration de vos projets jusqu’à leur delivery, Koncept-Komet vous accompagne dans votre transformation digitale. Nos experts Java / .Net / DevOps déploient des solutions digitales et sécurisées pour vous offrir un accompagnement sur mesure.</t>
  </si>
  <si>
    <t>http://www.linkedin.com/in/g%c3%a9rard-pucheux-9426a3b5</t>
  </si>
  <si>
    <t xml:space="preserve">Gaelle Abensour</t>
  </si>
  <si>
    <t>Abensour</t>
  </si>
  <si>
    <t>gabensour@4aout.fr</t>
  </si>
  <si>
    <t xml:space="preserve">Fondatrice associée</t>
  </si>
  <si>
    <t xml:space="preserve">Agence 4août</t>
  </si>
  <si>
    <t>4aout.fr</t>
  </si>
  <si>
    <t xml:space="preserve">strategie de communication,campagnes,creation graphique,redaction,digital,conseil aux collectivites et aux acteurs publics,accompagnement de projets urbains,mobilite,communication publique,environnement</t>
  </si>
  <si>
    <t>http://www.linkedin.com/company/4-ao%c3%bbt</t>
  </si>
  <si>
    <t>https://www.facebook.com/4aout</t>
  </si>
  <si>
    <t xml:space="preserve">4août est une agence d'utilité publique. Nous concevons des solutions 360° créatives et innovantes. Conseil Éditorial Digital Création</t>
  </si>
  <si>
    <t>http://www.linkedin.com/in/ga%c3%ablle-abensour-076a417a</t>
  </si>
  <si>
    <t xml:space="preserve">Gabin Chaussegros</t>
  </si>
  <si>
    <t>Gabin</t>
  </si>
  <si>
    <t>Chaussegros</t>
  </si>
  <si>
    <t>gabin.chaussegros@groupe-smart.fr</t>
  </si>
  <si>
    <t xml:space="preserve">Smart Group</t>
  </si>
  <si>
    <t>groupe-smart.fr</t>
  </si>
  <si>
    <t xml:space="preserve">audiovisuel,economie digitale,developpement strategique,ingenierie financiere,conseil,etudes et analyses,expertise judiciaire,marketing sportif,medias</t>
  </si>
  <si>
    <t>http://www.linkedin.com/company/groupesmart</t>
  </si>
  <si>
    <t xml:space="preserve">Fondé en 2013 par Bernard Chaussegros, Smart Group est un groupe pluridisciplinaire basé à Paris initialement spécialisé dans le secteur audiovisuel.
Nous accompagnons les dirigeants d'entreprises en répondant à leurs problématiques stratégiques, financières, opérationnelles et d'internationalisation mais également en anticipant leurs besoins de financement, de restructuration, de formation, de transition énergétique ou encore d'implémentation de solutions d'IA.</t>
  </si>
  <si>
    <t>http://www.linkedin.com/in/gabin-chaussegros-3776aa102</t>
  </si>
  <si>
    <t xml:space="preserve">Gabriel Cohen</t>
  </si>
  <si>
    <t>gabriel.cohen@sairen.io</t>
  </si>
  <si>
    <t>Sairen</t>
  </si>
  <si>
    <t>sairen.io</t>
  </si>
  <si>
    <t>http://www.linkedin.com/company/sairen-io</t>
  </si>
  <si>
    <t xml:space="preserve">Transformez la communication de votre entreprise avec Sairen. Automatisez les appels téléphoniques entrants et sortants à l'aide d'une IA à consonance humaine.</t>
  </si>
  <si>
    <t>http://www.linkedin.com/in/gabriel-cohen-a00153201</t>
  </si>
  <si>
    <t xml:space="preserve">Gaele Noane</t>
  </si>
  <si>
    <t>Gaele</t>
  </si>
  <si>
    <t>Noane</t>
  </si>
  <si>
    <t>gaele@margueriteetcie.com</t>
  </si>
  <si>
    <t xml:space="preserve">Marguerite &amp; Cie</t>
  </si>
  <si>
    <t>margueriteetcie.com</t>
  </si>
  <si>
    <t>http://www.linkedin.com/company/marguerite-cie</t>
  </si>
  <si>
    <t>https://twitter.com/margueriteetcie</t>
  </si>
  <si>
    <t>https://www.facebook.com/margueriteetcompagnie</t>
  </si>
  <si>
    <t xml:space="preserve">L'heure de changer les règles a sonné ! Donnons un accès gratuit à des protections périodiques respectueuses du corps et de la planète.</t>
  </si>
  <si>
    <t>http://www.linkedin.com/in/gaele-le-noane</t>
  </si>
  <si>
    <t xml:space="preserve">Gaelle Fontaine</t>
  </si>
  <si>
    <t>gaelle.fontaine@adeliom.com</t>
  </si>
  <si>
    <t>Adeliom</t>
  </si>
  <si>
    <t>adeliom.com</t>
  </si>
  <si>
    <t xml:space="preserve">seo,consulting ux,ux,creation dapplications mobiles,design thinking,transformation digitale,redaction web,ux design,experience utilisateur,emarketing,ux writing,ux strategy,ux research,creation de sites internet,applications,ui design,digital,motion design,creation digitale,ui,applications interactives,communication,experience client,interactif,creation d39applications mobiles</t>
  </si>
  <si>
    <t>http://www.linkedin.com/company/adeliom</t>
  </si>
  <si>
    <t>https://twitter.com/AdeliomAgency</t>
  </si>
  <si>
    <t>https://www.facebook.com/agenceadeliom</t>
  </si>
  <si>
    <t xml:space="preserve">L'expérience utilisateur au service de votre réussite depuis 2010 ! Découvrez notre approche Business + UX + Tech + Data.</t>
  </si>
  <si>
    <t>http://www.linkedin.com/in/gaelle-fontaine-aix</t>
  </si>
  <si>
    <t xml:space="preserve">Gaetan Roubin</t>
  </si>
  <si>
    <t>Gaetan</t>
  </si>
  <si>
    <t>Roubin</t>
  </si>
  <si>
    <t>gaetan@oriol.fr</t>
  </si>
  <si>
    <t xml:space="preserve">ORIOL | Chauffage climatisation, plomberie [Saint-Étienne | France]</t>
  </si>
  <si>
    <t>oriol.fr</t>
  </si>
  <si>
    <t>http://www.linkedin.com/company/oriol-chauffage-climatisation-plomberie</t>
  </si>
  <si>
    <t xml:space="preserve">Chauffage, climatisation, plomberie, ... Implantée dans lagglomération de Saint-Etienne, Oriol vous propose ses services en matière de chauffage, climatisation, énergies renouvelables, plomberie et dépannage.</t>
  </si>
  <si>
    <t>http://www.linkedin.com/in/ga%c3%abtan-roubin-3bb683147</t>
  </si>
  <si>
    <t xml:space="preserve">Ganael Cros</t>
  </si>
  <si>
    <t>Ganael</t>
  </si>
  <si>
    <t>Cros</t>
  </si>
  <si>
    <t>ganael.cros@groupe-energies.fr</t>
  </si>
  <si>
    <t xml:space="preserve">GROUPE ENERGIES</t>
  </si>
  <si>
    <t>groupe-energies.fr</t>
  </si>
  <si>
    <t xml:space="preserve">geni climatique,genie climatique</t>
  </si>
  <si>
    <t>http://www.linkedin.com/company/groupeenergies</t>
  </si>
  <si>
    <t xml:space="preserve">Un acteur incontournable dans le domaine du Génie Climatique dans les régions Provence-Alpes-Côte d'Azur, Auvergne Rhône-Alpes et Occitanie.
Le GROUPE ENERGIES (CA 30m€) regroupe les sociétés AMD ENERGIES, AME ENERGIES, VGE ENERGIES, AGS ENERGIES, ALPHA ENERGIES et AGE ENERGIES.
Le GROUPE ENERGIES réalise les études, les installations et la maintenance en neuf ou rénovation dans les domaines de la Climatisation, Chauffage, Ventilation, Traitement d'Air, Plomberie, Energies Renouvelables, Régulation et Gestion Technique Centralisée.
Le GROUPE ENERGIES intervient dans les secteurs d'activités du tertiaire, de l'industrie, du logement, des collectivités, de la santé, de l'hôtellerie et des résidences de services.</t>
  </si>
  <si>
    <t>http://www.linkedin.com/in/ganael-cros-a18787125</t>
  </si>
  <si>
    <t xml:space="preserve">Geoffrey Chone</t>
  </si>
  <si>
    <t>Chone</t>
  </si>
  <si>
    <t>geoffrey.chone@lianeo.fr</t>
  </si>
  <si>
    <t>Lianeo</t>
  </si>
  <si>
    <t>lianeo.fr</t>
  </si>
  <si>
    <t xml:space="preserve">tv numerique,defense,logiciel embarque,automobile,aerospatial,recrutement,infotainment,conseils,systemes embarques,industrie,industrie medicale,systemes dinformations,cybersecurite</t>
  </si>
  <si>
    <t>http://www.linkedin.com/company/lianeo</t>
  </si>
  <si>
    <t xml:space="preserve">Société de conseils et cabinet de recrutement expert en logiciels embarqués et systèmes d'information depuis plus de 12 ans.</t>
  </si>
  <si>
    <t>http://www.linkedin.com/in/gchone</t>
  </si>
  <si>
    <t xml:space="preserve">Geoffrey Ricard</t>
  </si>
  <si>
    <t>Ricard</t>
  </si>
  <si>
    <t>geoffrey.ricard@aletiq.com</t>
  </si>
  <si>
    <t>Aletiq</t>
  </si>
  <si>
    <t>aletiq.com</t>
  </si>
  <si>
    <t>http://www.linkedin.com/company/aletiq</t>
  </si>
  <si>
    <t xml:space="preserve">Intuitif, collaboratif et flexible. Aletiq est le PLM Nouvelle Génération pour la performance et la conformité des industriels.</t>
  </si>
  <si>
    <t>http://www.linkedin.com/in/geoffrey-ricard-131363107</t>
  </si>
  <si>
    <t xml:space="preserve">Georges Laederich</t>
  </si>
  <si>
    <t>Laederich</t>
  </si>
  <si>
    <t>georges.laederich@arjuna.fr</t>
  </si>
  <si>
    <t>Arjuna</t>
  </si>
  <si>
    <t>arjuna.fr</t>
  </si>
  <si>
    <t xml:space="preserve">prevention et gestion de crise,exercices de crise,mediatraining,communication sensible,astreinte 24h,24,retour dexperience,reunion publique,retrait et rappel</t>
  </si>
  <si>
    <t>http://www.linkedin.com/company/arjuna</t>
  </si>
  <si>
    <t xml:space="preserve">Arjuna est un cabinet conseil exclusivement dédié à la prévention et à la gestion de crise.
Depuis sa fondation en 1993, le cabinet Arjuna accompagne des entreprises de tout secteur pour :
- Bâtir ou optimiser le dispositif de crise
- Former les équipes et les porte-parole
- S'entraîner en équipe
- Accompagner un projet sensible
- Disposer d'un appui 24h/24 en cas de crise
- Organiser un retour d'expérience
Arjuna propose à ses clients abonnés un système d'astreinte qui garantit l'intervention d'un consultant 7j/7 et 24h/24.</t>
  </si>
  <si>
    <t>http://www.linkedin.com/in/georges-laederich-a59a5a15</t>
  </si>
  <si>
    <t xml:space="preserve">Geraldine Garbit</t>
  </si>
  <si>
    <t>Garbit</t>
  </si>
  <si>
    <t>geraldine.garbit@ubikap.com</t>
  </si>
  <si>
    <t>Ubikap</t>
  </si>
  <si>
    <t>ubikap.com</t>
  </si>
  <si>
    <t xml:space="preserve">legaltech &amp; droit des societes</t>
  </si>
  <si>
    <t>http://www.linkedin.com/company/ubikap</t>
  </si>
  <si>
    <t xml:space="preserve">Dématérialisez vos registres légaux et vos assemblées générales avec la solution Ubikap, dédiée aux professionnels du droit.</t>
  </si>
  <si>
    <t>http://www.linkedin.com/in/g%c3%a9raldine-garbit-361a602b</t>
  </si>
  <si>
    <t xml:space="preserve">Gerard Enggasser</t>
  </si>
  <si>
    <t>Enggasser</t>
  </si>
  <si>
    <t>gerard.enggasser@cap-manager.com</t>
  </si>
  <si>
    <t xml:space="preserve">CAP Manager</t>
  </si>
  <si>
    <t>cap-manager.com</t>
  </si>
  <si>
    <t>Balma</t>
  </si>
  <si>
    <t xml:space="preserve">formations des chefs dentreprises,recherche de financement,entreprendre,manager,business plan,accompagnement strategique et financier du dirigeant,accompagnement au recrutement,diagnostic,pilotage dentreprise,formations des chefs d39entreprises,accompagnement a la relation bancaire,formations,gestion de tresorerie</t>
  </si>
  <si>
    <t>http://www.linkedin.com/company/cap-manager</t>
  </si>
  <si>
    <t>https://www.facebook.com/capmanager</t>
  </si>
  <si>
    <t xml:space="preserve">🤔 Comme beaucoup d'entrepreneurs, vous vous demandez comment conduire votre entreprise dans ce monde V𝑜𝑙𝑎𝑡𝑖𝑙𝑒 I𝑛𝑐𝑒𝑟𝑡𝑎𝑖𝑛 C𝑜𝑚𝑝𝑙𝑒𝑥𝑒 A𝑚𝑏𝑖𝑔𝑢𝑒̈ ?
📢 Passionnés par l'entrepreneuriat, notre mission consiste à permettre à chacun de tendre vers son potentiel. Notre quotidien est d'accompagner les dirigeants d'entreprises et ceux en devenir, confrontés aujourd'hui à un environnement complexe, incertain et hostile grâce à une vision systémique de leur affaire.
✅ Vous souhaitez avoir à disposition 𝗹𝗲𝘀 𝗱𝗶𝗳𝗳𝗲́𝗿𝗲𝗻𝘁𝗲𝘀 𝘀𝘁𝗿𝗮𝘁𝗲́𝗴𝗶𝗲𝘀 𝗲𝗳𝗳𝗶𝗰𝗮𝗰𝗲𝘀 𝗽𝗼𝘂𝗿 𝗱𝗲́𝘃𝗲𝗹𝗼𝗽𝗽𝗲𝗿 𝘃𝗼𝘁𝗿𝗲 𝗲𝗻𝘁𝗿𝗲𝗽𝗿𝗶𝘀𝗲.
✅ Vous aimeriez avoir des outils et astuces qui vous permettent de 𝗰𝗼𝗻𝗱𝘂𝗶𝗿𝗲 𝘃𝗼𝘁𝗿𝗲 𝗲𝗻𝘁𝗿𝗲𝗽𝗿𝗶𝘀𝗲 𝗲𝗻 𝗽𝗹𝗲𝗶𝗻𝗲 𝗰𝗼𝗻𝘀𝗰𝗶𝗲𝗻𝗰𝗲.
✅ Vous projetez de 𝗱𝗲𝘃𝗲𝗻𝗶𝗿 𝗲𝗻𝘁𝗿𝗲𝗽𝗿𝗲𝗻𝗲𝘂𝗿 et vous aimeriez vous familiariser avec le monde de l'entreprise.
✅ Vous désirez connaître les 𝗱𝗲𝗿𝗻𝗶𝗲̀𝗿𝗲𝘀 𝗺𝗲́𝘁𝗵𝗼𝗱𝗲𝘀 𝗲𝗻 𝗺𝗮𝘁𝗶𝗲̀𝗿𝗲 𝗱𝗲 𝗽𝗶𝗹𝗼𝘁𝗮𝗴𝗲 𝗱'𝗲𝗻𝘁𝗿𝗲𝗽𝗿𝗶𝘀𝗲 𝗲𝘁 𝗱𝗲 𝘀𝘁𝗿𝗮𝘁𝗲́𝗴𝗶𝗲𝘀 afin de réagir suffisamment tôt quand vous êtes face à des défis et des problématiques.
✅ Vous voulez vous familiariser avec 𝗹𝗲𝘀 𝗺𝗲́𝘁𝗵𝗼𝗱𝗲𝘀 𝗱𝘂 𝗺𝗮𝗻𝗮𝗴𝗲𝗺𝗲𝗻𝘁, 𝗰𝗼𝗺𝗺𝗲𝗿𝗰𝗶𝗮𝗹𝗲, 𝗳𝗶𝗻𝗮𝗻𝗰𝗶𝗲̀𝗿𝗲, 𝗱𝗲 𝗹𝗮 𝗰𝗼𝗻𝗻𝗮𝗶𝘀𝘀𝗮𝗻𝗰𝗲 𝗲𝘁 𝗰𝗼𝗻𝗱𝘂𝗶𝘁𝗲 𝗱𝗲 𝘀𝗼𝗶.
🚀 Rejoignez la communauté CAP MANAGER</t>
  </si>
  <si>
    <t>http://www.linkedin.com/in/gerard-enggasser</t>
  </si>
  <si>
    <t xml:space="preserve">Germain Mathieu</t>
  </si>
  <si>
    <t>Germain</t>
  </si>
  <si>
    <t>germain.mathieu@tabsters.fr</t>
  </si>
  <si>
    <t>Tabsters</t>
  </si>
  <si>
    <t>tabsters.fr</t>
  </si>
  <si>
    <t>http://www.linkedin.com/company/tabsters</t>
  </si>
  <si>
    <t xml:space="preserve">Tabsters propose un logiciel de pilotage de programmes collaboratif, performant et temps réel</t>
  </si>
  <si>
    <t>http://www.linkedin.com/in/germain-mathieu-1971668</t>
  </si>
  <si>
    <t xml:space="preserve">Gatien Grellet</t>
  </si>
  <si>
    <t>Gatien</t>
  </si>
  <si>
    <t>Grellet</t>
  </si>
  <si>
    <t>gg@sprint-je.com</t>
  </si>
  <si>
    <t xml:space="preserve">Sprint JE</t>
  </si>
  <si>
    <t>sprint-je.com</t>
  </si>
  <si>
    <t xml:space="preserve">developpement,gestion de projet,business plan,webdesign,video,plan de communication,site internet,ingenierie logicielle marketing,etude de marche,communication,marketing,multimedias,logiciel,entrepreneuriat,management</t>
  </si>
  <si>
    <t>Evry</t>
  </si>
  <si>
    <t>http://www.linkedin.com/company/sprint-je</t>
  </si>
  <si>
    <t>https://www.facebook.com/sprint.je</t>
  </si>
  <si>
    <t xml:space="preserve">Prenez une longueur d'avance.</t>
  </si>
  <si>
    <t>http://www.linkedin.com/in/gatien-grellet-679931282</t>
  </si>
  <si>
    <t xml:space="preserve">Guillaume Guerbette</t>
  </si>
  <si>
    <t>Guerbette</t>
  </si>
  <si>
    <t>gguerbette@lacentrale-eco.com</t>
  </si>
  <si>
    <t>Lacentrale-eco.com</t>
  </si>
  <si>
    <t>lacentrale-eco.com</t>
  </si>
  <si>
    <t xml:space="preserve">construction maison,ventilation,vmc,bubendorff,traitement de lair,volets,volet roulant,etude rt 2012,traitement eau de pluie,pergola bioclimatique,site ecommerce,maison passive,cuve recuperation eau de pluie,renovation maison</t>
  </si>
  <si>
    <t>http://www.linkedin.com/company/lacentrale-eco</t>
  </si>
  <si>
    <t>https://www.facebook.com/lacentraleeco69</t>
  </si>
  <si>
    <t xml:space="preserve">Une sélection de produits de qualité pour les volets roulants Bubendorff, le chauffage, la ventilation, l'eau chaude solaire, la récupération d'eau de pluie et les brises soleils orientables.</t>
  </si>
  <si>
    <t>http://www.linkedin.com/in/guillaume-guerbette-1a8286a</t>
  </si>
  <si>
    <t xml:space="preserve">Gilles Mayaud</t>
  </si>
  <si>
    <t>Mayaud</t>
  </si>
  <si>
    <t>gilles.mayaud@groupe-maestra.com</t>
  </si>
  <si>
    <t xml:space="preserve">Dirigeant MAESTRA</t>
  </si>
  <si>
    <t xml:space="preserve">Groupe MAESTRA</t>
  </si>
  <si>
    <t>groupe-maestra.com</t>
  </si>
  <si>
    <t>Draguignan</t>
  </si>
  <si>
    <t xml:space="preserve">gestion de projets,urbanisme,management,deploiement,edge datacenter,5g,portage salarial,datacenter,dessinateur projeteur,reseaux,core network,negociation,4g,relation bailleurs,consulting,telecom,recrutement,reseau,rqth</t>
  </si>
  <si>
    <t>http://www.linkedin.com/company/groupe-maestra</t>
  </si>
  <si>
    <t xml:space="preserve">Société de conseil Telecom et IT - Forte de 5 années d'existence et d'une soixantaine de collaborateurs, le Groupe Maestra a su s'attacher la confiance des acteurs majeurs du secteur des télécoms, tant opérateurs, qu'équipementiers, que Tower-company ainsi que leurs maîtres d'œuvres. 
Vivier de talents et de compétences, nous proposons des solutions d'accompagnement agiles, transparentes et adaptées aux besoins de nos clients, par notre parfaite connaissance du secteur.</t>
  </si>
  <si>
    <t>http://www.linkedin.com/in/gilles-mayaud-603a7b17</t>
  </si>
  <si>
    <t xml:space="preserve">Gilles Renouf</t>
  </si>
  <si>
    <t>Renouf</t>
  </si>
  <si>
    <t>gilles.renouf@retourdeplage.fr</t>
  </si>
  <si>
    <t xml:space="preserve">RETOUR DE PLAGE</t>
  </si>
  <si>
    <t>retourdeplage.fr</t>
  </si>
  <si>
    <t>Dolus-d'Oleron</t>
  </si>
  <si>
    <t xml:space="preserve">creation bijoux fantaisie &amp; made in oleron,creation bijoux fantaisie</t>
  </si>
  <si>
    <t>http://www.linkedin.com/company/retourdeplage</t>
  </si>
  <si>
    <t>https://www.facebook.com/RetourDePlage/</t>
  </si>
  <si>
    <t xml:space="preserve">Entreprise artisanale spécialisée dans la création, la fabrication et la vente de bijoux, Retour de Plage est née et s’est développée sur l’île d’Oléron, en Charente-Maritime</t>
  </si>
  <si>
    <t>http://www.linkedin.com/in/gilles-renouf-b29bb71a</t>
  </si>
  <si>
    <t xml:space="preserve">Gilles Deschamps</t>
  </si>
  <si>
    <t>gilles@laboutiquedufeu.com</t>
  </si>
  <si>
    <t xml:space="preserve">LA BOUTIQUE DU FEU</t>
  </si>
  <si>
    <t>laboutiquedufeu.com</t>
  </si>
  <si>
    <t>Gujan-Mestras</t>
  </si>
  <si>
    <t>http://www.linkedin.com/company/la-boutique-du-feu</t>
  </si>
  <si>
    <t xml:space="preserve">Spécialiste des poêles et cheminées en Aquitaine depuis 1994</t>
  </si>
  <si>
    <t>http://www.linkedin.com/in/gilles-deschamps</t>
  </si>
  <si>
    <t xml:space="preserve">Gregoire Kopp</t>
  </si>
  <si>
    <t>Kopp</t>
  </si>
  <si>
    <t>gk@grk-ic.com</t>
  </si>
  <si>
    <t>GRK</t>
  </si>
  <si>
    <t>grk-ic.com</t>
  </si>
  <si>
    <t xml:space="preserve">crisis management,strategic communication,strategic organization,influence,scaling advisory,strategic communications,fundraising,chief of staff,impact csr,public policy,ceo advisory,external affairs</t>
  </si>
  <si>
    <t>http://www.linkedin.com/company/grk-ic</t>
  </si>
  <si>
    <t xml:space="preserve">Fondée en 2021, GRK est une boutique de conseil stratégique d'un nouveau genre, dédiée aux dirigeants et personnalités qui veulent faire bouger les lignes.
GRK accompagne ses clients sur leurs enjeux de gouvernance, de croissance, d'influence, de communication, d'affaires publiques, d'impact et de crise.
///
Founded in 2021, GRK is a new kind of strategic advisory firm, dedicated to leaders and personalities who are breaking new ground in their fields.
GRK advises its clients on issues of governance, growth, influence, communications, impact and crisis.</t>
  </si>
  <si>
    <t>http://www.linkedin.com/in/gregoirekopp</t>
  </si>
  <si>
    <t xml:space="preserve">Guillaume Lefranc</t>
  </si>
  <si>
    <t>Lefranc</t>
  </si>
  <si>
    <t>glefranc@tecb.fr</t>
  </si>
  <si>
    <t>TECB</t>
  </si>
  <si>
    <t>tecb.fr</t>
  </si>
  <si>
    <t>http://www.linkedin.com/company/tec-b</t>
  </si>
  <si>
    <t>https://facebook.com/pages/TECB/174331239273686</t>
  </si>
  <si>
    <t xml:space="preserve">Optimisez votre gestion documentaire avec TECB : des solutions d’impression aux outils numériques, pour des flux d’informations efficaces.</t>
  </si>
  <si>
    <t>http://www.linkedin.com/in/guillaume-lefranc-3671971a2</t>
  </si>
  <si>
    <t xml:space="preserve">Gregoire Lembo</t>
  </si>
  <si>
    <t>Lembo</t>
  </si>
  <si>
    <t>glembo@melistechnology.com</t>
  </si>
  <si>
    <t xml:space="preserve">Melis Technology</t>
  </si>
  <si>
    <t>melistechnology.com</t>
  </si>
  <si>
    <t xml:space="preserve">frameworkasaservice,php,startup,low code,agile,saas,sustainability,growth,custom apps made simple</t>
  </si>
  <si>
    <t>http://www.linkedin.com/company/melis-technology</t>
  </si>
  <si>
    <t>https://twitter.com/meliscms</t>
  </si>
  <si>
    <t>https://facebook.com/melistechnology</t>
  </si>
  <si>
    <t xml:space="preserve">"𝑪𝒖𝒔𝒕𝒐𝒎 𝑨𝒑𝒑𝒔 𝒅𝒐 𝒏𝒐𝒕 𝒉𝒂𝒗𝒆 𝒕𝒐 𝒃𝒆 𝒄𝒐𝒎𝒑𝒍𝒊𝒄𝒂𝒕𝒆𝒅"
Melis Platform is the powerful and versatile all-in-one enterprise grade Low Code Platform designed to streamline the creation, management, and delivery of business Apps across all your Information System. Whether you need to power a website, mobile app, e-commerce portal, CRM or any other digital experience, Melis Platform provides the flexibility, security and scalability to meet your needs.
Our USPs:
𝗨𝘀𝗲 𝗖𝗮𝘀𝗲 𝗢𝗯𝘀𝗲𝘀𝘀𝗲𝗱: We aim to prioritize simple use cases that drive value in 8 weeks and easily create actionable interfaces that automate and improve your processes
𝗟𝗼𝘄-𝗖𝗼𝗱𝗲 𝗣𝗹𝗮𝘁𝗳𝗼𝗿𝗺 𝗯𝘂𝗶𝗹𝘁 𝗳𝗼𝗿 𝘂𝘀𝗲𝗿𝘀: Melis offers an intuitive interface based on pre-built modules that can be readily adapted to your specific requirements, accelerating your time to market and reducing development costs.
𝗖𝗹𝗼𝘂𝗱 𝗡𝗮𝘁𝗶𝘃𝗲 &amp; 𝗔𝗜-𝗽𝗼𝘄𝗲𝗿𝗲𝗱: Melis Platform is built with performance and reliability in mind. It ensures high availability and API-First Approach allowing you to always keep your app at the cutting edge of technology
𝗕𝘂𝗶𝗹𝘁 𝘄𝗶𝘁𝗵 🫶🏼 𝗶𝗻 𝗙𝗿𝗮𝗻𝗰𝗲 𝗳𝗼𝗿 𝘀𝘁𝗿𝗶𝗻𝗴𝗲𝗻𝘁 𝗿𝗲𝗴𝘂𝗹𝗮𝘁𝗶𝗼𝗻𝘀: Deliver exceptional online experiences with confidence knowing Melis has your back, keeping your apps secure, protected, and always online, so you can navigate changing requirements, meet local regulations, and easily build compliant services. Anywhere.
𝗗𝗼𝗶𝗻𝗴 𝗺𝗼𝗿𝗲 𝘄𝗶𝘁𝗵 𝗹𝗲𝘀𝘀 𝗳𝗼𝗿 𝘀𝘂𝘀𝘁𝗮𝗶𝗻𝗮𝗯𝗹𝗲 𝗴𝗿𝗼𝘄𝘁𝗵: We offer adaptable, consumption-based pricing over traditional per-seat models
The Melis Framework-as-a-Service (FaaS) removes the complexities of underlying infrastructure and upper layers management. you can focus on creating engaging and impactful applications and portals, while we take care of the rest.</t>
  </si>
  <si>
    <t>http://www.linkedin.com/in/gr%c3%a9goire-lembo-23479b2b</t>
  </si>
  <si>
    <t xml:space="preserve">Herve Glinche</t>
  </si>
  <si>
    <t>Glinche</t>
  </si>
  <si>
    <t>glinche@glinche-automobiles.com</t>
  </si>
  <si>
    <t xml:space="preserve">GLINCHE AUTOMOBILES</t>
  </si>
  <si>
    <t>glinche-automobiles.com</t>
  </si>
  <si>
    <t xml:space="preserve">distributeur automobile multimarque en ligne,vente de vehicules multimarques neufs,vente aux particuliers,vente aux professionnels,service atelier entretien,controle,reparation,carrosserie,ecommerce,automobiles,financement,location</t>
  </si>
  <si>
    <t>Ecommoy</t>
  </si>
  <si>
    <t>http://www.linkedin.com/company/glinche-automobiles</t>
  </si>
  <si>
    <t xml:space="preserve">Le groupe Glinche est un acteur majeur dans le domaine de la distribution de véhicules neufs et d'occasions récentes en France. Le groupe  propose une gamme complète de produits de qualité et de services pour répondre à un objectif commun : la satisfaction client. Créé en 1966 avec l'entreprise Glinche Automobiles, il est aujourd'hui constitué de plusieurs marques, offrant chacune des services bien distincts.</t>
  </si>
  <si>
    <t>http://www.linkedin.com/in/herv%c3%a9-glinche-061628200</t>
  </si>
  <si>
    <t xml:space="preserve">Gilles Milan</t>
  </si>
  <si>
    <t>Milan</t>
  </si>
  <si>
    <t>gm@adquat.com</t>
  </si>
  <si>
    <t xml:space="preserve">Dirigeant @ ADQUAT SOLUTIONS • Président ArA</t>
  </si>
  <si>
    <t>adquat</t>
  </si>
  <si>
    <t>adquat.com</t>
  </si>
  <si>
    <t>St-Chamond</t>
  </si>
  <si>
    <t xml:space="preserve">infrastructure informatique,materiel informatique,infogerance,audit informatique,sauvegarde de donnees,telecom,operateur,liens internet,solution erp,crm,logiciel odoo,solutions dimpression ecologiques,cybersecurite,hebergement web,messagerie,office 365</t>
  </si>
  <si>
    <t>http://www.linkedin.com/company/adquat</t>
  </si>
  <si>
    <t>https://www.facebook.com/adquatsolutions</t>
  </si>
  <si>
    <t xml:space="preserve">ADQUAT est spécialisée dans la prestation de services dans le domaine des technologies de l'information. Entreprise informatique Saint-Chamond.</t>
  </si>
  <si>
    <t>http://www.linkedin.com/in/gilles-milan-72268712</t>
  </si>
  <si>
    <t xml:space="preserve">Guy Maurer</t>
  </si>
  <si>
    <t>Maurer</t>
  </si>
  <si>
    <t>gmaurer@karma-partners.com</t>
  </si>
  <si>
    <t xml:space="preserve">Directeur Associé - Cofondateur</t>
  </si>
  <si>
    <t xml:space="preserve">KARMA PARTNERS</t>
  </si>
  <si>
    <t>karma-partners.com</t>
  </si>
  <si>
    <t xml:space="preserve">infra,sirh,digital,telecoms,moa,daf partage,pmo,moe ntic,finance dentreprise,finance d39entreprise,erp</t>
  </si>
  <si>
    <t>http://www.linkedin.com/company/karma-partners</t>
  </si>
  <si>
    <t xml:space="preserve">Soyons singuliers, pensons pluriel</t>
  </si>
  <si>
    <t>http://www.linkedin.com/in/guy-maurer-40570a1b</t>
  </si>
  <si>
    <t xml:space="preserve">Gautier Moroge</t>
  </si>
  <si>
    <t>Gautier</t>
  </si>
  <si>
    <t>Moroge</t>
  </si>
  <si>
    <t>gmoroge@air-cloud.fr</t>
  </si>
  <si>
    <t xml:space="preserve">Président Air Cloud Ouest</t>
  </si>
  <si>
    <t xml:space="preserve">Air Cloud</t>
  </si>
  <si>
    <t>air-cloud.fr</t>
  </si>
  <si>
    <t xml:space="preserve">microsoft 365,systeme dinformations et si,rgpd,power bi,cloud,microsoft,dynamics 365,pme,office 365,securite,mobilite,collaboration,gdpr</t>
  </si>
  <si>
    <t>Illkirch</t>
  </si>
  <si>
    <t>Alsace</t>
  </si>
  <si>
    <t>http://www.linkedin.com/company/air-cloud-fr</t>
  </si>
  <si>
    <t xml:space="preserve">Notre promesse, vous accompagner à toutes les étapes : du déploiement de vos applications Microsoft à l'accompagnement des utilisateurs.</t>
  </si>
  <si>
    <t>http://www.linkedin.com/in/gautier-moroge-6b20481a1</t>
  </si>
  <si>
    <t xml:space="preserve">Gilles Passot</t>
  </si>
  <si>
    <t>gpassot@cap-consulting.fr</t>
  </si>
  <si>
    <t xml:space="preserve">Fondateur et Directeur Associé</t>
  </si>
  <si>
    <t xml:space="preserve">CAP Consulting</t>
  </si>
  <si>
    <t>cap-consulting.fr</t>
  </si>
  <si>
    <t xml:space="preserve">mise en oeuvre de logiciels,integration de logiciels,conseil en systeme dinformation,accompagnement au changement</t>
  </si>
  <si>
    <t>http://www.linkedin.com/company/cap-consultingconseil</t>
  </si>
  <si>
    <t>https://www.facebook.com/CAP-Consulting-1678528372418015/</t>
  </si>
  <si>
    <t xml:space="preserve">Depuis 1999, la société CAP Consulting accompagne et guide les acteurs du secteur public sur des missions d'Audit, d'AMO logiciel, d'AMO fonctionnelle, de Schéma Directeur...</t>
  </si>
  <si>
    <t>http://www.linkedin.com/in/gilles-passot-98859829</t>
  </si>
  <si>
    <t xml:space="preserve">Guillaume Prieto</t>
  </si>
  <si>
    <t>Prieto</t>
  </si>
  <si>
    <t>gprieto@snsolutions.fr</t>
  </si>
  <si>
    <t xml:space="preserve">Directeur Général Associé SNS Solutions Bordeaux</t>
  </si>
  <si>
    <t xml:space="preserve">SNS SOLUTIONS</t>
  </si>
  <si>
    <t>snsolutions.fr</t>
  </si>
  <si>
    <t>Talence</t>
  </si>
  <si>
    <t xml:space="preserve">cyber securite,developpement dapplications,nouveaux usages et nouvelles competences,reseaux,rsi,accompagnement projets,infrastructure virtualisation et haute disponibilites,conseil assistance a maitrise douvrage,formation</t>
  </si>
  <si>
    <t>http://www.linkedin.com/company/sns-gs</t>
  </si>
  <si>
    <t>https://twitter.com/DEV_SNSOLUTIONS</t>
  </si>
  <si>
    <t>https://www.facebook.com/snsolutions13/</t>
  </si>
  <si>
    <t xml:space="preserve">SNS SOLUTIONS œuvre depuis 2004 au service des entreprises pour offrir des solutions adaptées en maintenance informatique et téléphonie</t>
  </si>
  <si>
    <t>http://www.linkedin.com/in/guillaume-prieto-sns</t>
  </si>
  <si>
    <t xml:space="preserve">Gregory Raymond</t>
  </si>
  <si>
    <t>Raymond</t>
  </si>
  <si>
    <t>graymond@thebigwhale.io</t>
  </si>
  <si>
    <t xml:space="preserve">Cofondateur &amp; Head of Research</t>
  </si>
  <si>
    <t xml:space="preserve">The Big Whale</t>
  </si>
  <si>
    <t>thebigwhale.io</t>
  </si>
  <si>
    <t>http://www.linkedin.com/company/the-big-whale</t>
  </si>
  <si>
    <t xml:space="preserve">All signal, no noise. See what shapes the future of crypto.</t>
  </si>
  <si>
    <t>http://www.linkedin.com/in/gregoryraymondjournaliste</t>
  </si>
  <si>
    <t xml:space="preserve">Gregory Legait</t>
  </si>
  <si>
    <t>Legait</t>
  </si>
  <si>
    <t>gregory.legait@expressluck.hu</t>
  </si>
  <si>
    <t xml:space="preserve">Président Express LUCK France SAS</t>
  </si>
  <si>
    <t xml:space="preserve">EXPRESS LUCK EUROPE ELECTRIC.</t>
  </si>
  <si>
    <t>expressluck.hu</t>
  </si>
  <si>
    <t xml:space="preserve">smarttech,led tv,television,manufacturing,oem,4k2k tv,qled,uhd</t>
  </si>
  <si>
    <t>Szigetszentmiklos</t>
  </si>
  <si>
    <t>Hungary</t>
  </si>
  <si>
    <t>http://www.linkedin.com/company/express-luck-europe-electric-ltd</t>
  </si>
  <si>
    <t xml:space="preserve">Established in end of 2016. EXPRESS LUCK EUROPE ELECTRIC LTD. is a national high-tech enterprises, the company located in Szigetszentmiklós, Hungary, and own self independent industrial park which covers an area of over 40000 sqm, we have branches in Hong Kong, China, US, Romania, Mexico, etc., now we have more than 160 employee. Express Luck have own  design, manufacturing, sales teams. The company has passed ISO9001, ISO14001 and for the products, we have passed the quality and safety test like CCC, CE, UL, FCC, FDA, TUV, GS, fi, ETL, WEEE, BV, Energy Star.</t>
  </si>
  <si>
    <t>http://www.linkedin.com/in/gregorylegait</t>
  </si>
  <si>
    <t xml:space="preserve">Gregory Maquenhen</t>
  </si>
  <si>
    <t>Maquenhen</t>
  </si>
  <si>
    <t>gregory.maquenhen@rich-id.fr</t>
  </si>
  <si>
    <t xml:space="preserve">Directeur général : agence digitale spécialisée emploi-formation-insertion</t>
  </si>
  <si>
    <t>Rich-ID</t>
  </si>
  <si>
    <t>rich-id.fr</t>
  </si>
  <si>
    <t>http://www.linkedin.com/company/richid</t>
  </si>
  <si>
    <t xml:space="preserve">Rich-ID, agence experte en transition digitale. Digitalisez la gestion de vos processus métiers, parcours clients, utilisateurs.</t>
  </si>
  <si>
    <t>http://www.linkedin.com/in/gr%c3%a9gory-maquenhen-3b60826</t>
  </si>
  <si>
    <t xml:space="preserve">Gaelle Soltysiak</t>
  </si>
  <si>
    <t>Soltysiak</t>
  </si>
  <si>
    <t>gsoltysiak@solone-engineering.com</t>
  </si>
  <si>
    <t xml:space="preserve">SolOne Engineering Solutions</t>
  </si>
  <si>
    <t>solone-engineering.com</t>
  </si>
  <si>
    <t xml:space="preserve">bureau detudes,transport,specialized recruitment,assistance technique,industrial engineering,consulting,energies</t>
  </si>
  <si>
    <t>http://www.linkedin.com/company/solone-engineering-solutions</t>
  </si>
  <si>
    <t xml:space="preserve">SolOne Engineering Solutions supports decision-makers in France and around the world, in all aspects relating to the industrial project life cycle.
We propose initiatives tailored exactly to clients specifications through the following services:
- Specialized recruitment,
- Consulting, Expertise, Innovation &amp; Training,
- Industrial engineering.
SolOne Engineering Solutions' team is composed of professional experts, members of SolOne's exclusive Network, with experience in some of the largest french &amp; international industrial corporations. They are recognized for their high degree of technical expertise, their analytical capabilities and their educational skills.
_______________________________________________________________________________
SolOne Engineering Solutions accompagne au quotidien les donneurs d'ordres internationaux sur tout ou partie du cycle de vie d'un projet industriel. 
Notre offre de services est parfaitement adaptée à chaque besoin exprimé : 
- Recrutement spécialisé, 
- Expertise, Audit, Formation, 
- Ingénierie Industrielle.
Donneur d'ordres ou Candidat : notre ambition est d'être votre partenaire privilégié et haut de gamme. 
Pour chaque mission, SolOne s'engage sur des valeurs et des résultats tangibles. 
Notre intervention est définie autour d'axes méthodologiques clairs : 
- Qualification optimale du besoin exprimé et Solution globale apportée en qualité de Conseil opérationnel,
- Réactivité, Efficacité complète de la solution apportée, avec l'appui de nos experts métiers membres exclusifs du Réseau SolOne, 
- Flexibilité, Adaptabilité et Autonomie, notamment sur les projets internationaux,
- Maîtrise des dépenses et Optimisation des capitaux employés dans la conduite des projets.</t>
  </si>
  <si>
    <t>http://www.linkedin.com/in/ga%c3%ablle-soltysiak-5358aa2</t>
  </si>
  <si>
    <t xml:space="preserve">Guilhem Studer</t>
  </si>
  <si>
    <t>Guilhem</t>
  </si>
  <si>
    <t>Studer</t>
  </si>
  <si>
    <t>guilhem.studer@junior-aei.com</t>
  </si>
  <si>
    <t>AEI</t>
  </si>
  <si>
    <t>junior-aei.com</t>
  </si>
  <si>
    <t xml:space="preserve">informatique,electronique,telecommunications,modelisation mecanique et mathematique</t>
  </si>
  <si>
    <t>http://www.linkedin.com/company/aquitaine-electronique-informatique</t>
  </si>
  <si>
    <t xml:space="preserve">AEI est la Junior Entreprise des élèves de l'ENSEIRB-MATMECA : informatique, électronique, télécom, maths,mécanique, robotique, calcul, analyse numérique etc.</t>
  </si>
  <si>
    <t>http://www.linkedin.com/in/guilhem-studer-2b576528b</t>
  </si>
  <si>
    <t xml:space="preserve">Guillaume Balloy</t>
  </si>
  <si>
    <t>Balloy</t>
  </si>
  <si>
    <t>guillaume.balloy@eurisol.fr</t>
  </si>
  <si>
    <t xml:space="preserve">EURISOL Constructions frigorifiques</t>
  </si>
  <si>
    <t>eurisol.fr</t>
  </si>
  <si>
    <t xml:space="preserve">construction frigorifique,salle blanche,abattoir,atelier traiteur,entreposage negatif,atelier de transformation,stockage,atelier de transformation produits frais ou produits surgeles,station fruitiere,atelier de decoupe,entreposage positif,atmosphere controlee</t>
  </si>
  <si>
    <t>http://www.linkedin.com/company/eurisol-constructions-frigorifiques</t>
  </si>
  <si>
    <t xml:space="preserve">T. 03 28 43 84 84 - contact@eurisol.fr
Spécialisée dans les constructions frigorifiques depuis plus de 1995, EURISOL accompagne vos projets neufs, d'extension, de mise aux normes ou de remodeling.
Implantée à Bailleul - 59270 - nous intervenons en France et à l'étranger.
Secteurs : Agroalimentaire - Entreposage et logistique - Grandes et moyennes surfaces - Restauration, cuisine centrale, restauration collective - Pharmaceutique - Agriculture - Industriel et BTP</t>
  </si>
  <si>
    <t>http://www.linkedin.com/in/guillaume-balloy-390451135</t>
  </si>
  <si>
    <t xml:space="preserve">Guillaume Barbosa</t>
  </si>
  <si>
    <t>guillaume.barbosa@groupe-bardec.com</t>
  </si>
  <si>
    <t xml:space="preserve">Président - Associé</t>
  </si>
  <si>
    <t>Savigny-en-Sancerre</t>
  </si>
  <si>
    <t>http://www.linkedin.com/in/guillaume-barbosa-3069236b</t>
  </si>
  <si>
    <t xml:space="preserve">Guillaume Collard</t>
  </si>
  <si>
    <t>Collard</t>
  </si>
  <si>
    <t>guillaume.collard@bprsecurity.fr</t>
  </si>
  <si>
    <t xml:space="preserve">BPR Security</t>
  </si>
  <si>
    <t>bprsecurity.fr</t>
  </si>
  <si>
    <t>cybersecurite</t>
  </si>
  <si>
    <t>http://www.linkedin.com/company/bpr-security</t>
  </si>
  <si>
    <t xml:space="preserve">BPR Securité est l'écosystème de Référence en Cybersécurité - Nos 3 Valeurs : L'Humain - L'Excellence - La Responsabilité.</t>
  </si>
  <si>
    <t>http://www.linkedin.com/in/guillaume-collard-a0304b3a</t>
  </si>
  <si>
    <t xml:space="preserve">Guillaume Floyrac</t>
  </si>
  <si>
    <t>Floyrac</t>
  </si>
  <si>
    <t>guillaume.floyrac@inov-team.fr</t>
  </si>
  <si>
    <t xml:space="preserve">Fondateur &amp; Gérant chez Inov Team</t>
  </si>
  <si>
    <t xml:space="preserve">Inov Team</t>
  </si>
  <si>
    <t>inov-team.fr</t>
  </si>
  <si>
    <t>conseils,ingenierie,informatique</t>
  </si>
  <si>
    <t>Biot</t>
  </si>
  <si>
    <t>http://www.linkedin.com/company/inov-team</t>
  </si>
  <si>
    <t xml:space="preserve">Entreprise parmi les plus innovantes et les plus attractives de Sophia-Antipolis, Inov Team évolue depuis près de 3 ans dans le domaine de l'ingénierie, de la R&amp;D et des services du numérique.</t>
  </si>
  <si>
    <t>http://www.linkedin.com/in/guillaume-floyrac-7524303b</t>
  </si>
  <si>
    <t xml:space="preserve">Guillaume Lannoy</t>
  </si>
  <si>
    <t>Lannoy</t>
  </si>
  <si>
    <t>guillaume.lannoy@dc-pilot.com</t>
  </si>
  <si>
    <t>http://www.linkedin.com/in/guillaume-lannoy</t>
  </si>
  <si>
    <t xml:space="preserve">Guillaume Paternot</t>
  </si>
  <si>
    <t>Paternot</t>
  </si>
  <si>
    <t>guillaume.paternot@communicationqualite.fr</t>
  </si>
  <si>
    <t xml:space="preserve">Communication Qualité</t>
  </si>
  <si>
    <t>communicationqualite.fr</t>
  </si>
  <si>
    <t xml:space="preserve">chat,ecoute qualite,communication,commercial et relation client,incivilites,risques psychosociaux,conseil,management et leadership,excellence relationnelle,formation presentielle,reseaux sociaux,elearning,accompagnement,reclamations,vente et negociation,intelligence artificielle,qualite,consulting</t>
  </si>
  <si>
    <t>http://www.linkedin.com/company/communication-qualit%c3%a9</t>
  </si>
  <si>
    <t xml:space="preserve">Développez vos compétences en communication, vente, management et IA grâce à nos services de conseil et formations sur mesure.</t>
  </si>
  <si>
    <t>http://www.linkedin.com/in/guillaumepaternot</t>
  </si>
  <si>
    <t xml:space="preserve">Guillaume Peyronnet</t>
  </si>
  <si>
    <t>Peyronnet</t>
  </si>
  <si>
    <t>guillaume.peyronnet@babbar.tech</t>
  </si>
  <si>
    <t>Babbar.tech</t>
  </si>
  <si>
    <t>babbar.tech</t>
  </si>
  <si>
    <t>Clamart</t>
  </si>
  <si>
    <t xml:space="preserve">Le Petit-Quevilly</t>
  </si>
  <si>
    <t>http://www.linkedin.com/company/babbar-tech</t>
  </si>
  <si>
    <t>https://twitter.com/babbartech</t>
  </si>
  <si>
    <t xml:space="preserve">Is the SEO of your site good? Find out in a few clicks. Babbar is easy SEO for everyone.</t>
  </si>
  <si>
    <t>http://www.linkedin.com/in/gpeyronnet</t>
  </si>
  <si>
    <t xml:space="preserve">Guillaume Hugon</t>
  </si>
  <si>
    <t>Hugon</t>
  </si>
  <si>
    <t>guillaume@amhappy.fr</t>
  </si>
  <si>
    <t>AmHappy</t>
  </si>
  <si>
    <t>amhappy.fr</t>
  </si>
  <si>
    <t xml:space="preserve">ce externalise,services aux entreprises,plateforme davantages</t>
  </si>
  <si>
    <t>Bayeux</t>
  </si>
  <si>
    <t>http://www.linkedin.com/company/amhappy</t>
  </si>
  <si>
    <t>https://www.facebook.com/amhappy.fr</t>
  </si>
  <si>
    <t xml:space="preserve">Nous proposons une solution innovante dédiée aux TPE/PME pour fidéliser et maintenir l'engagement de vos collaborateurs mais aussi pour capter les « pépites » qui vous permettront de continuer votre développement.
L'ambiance, la proximité avec la direction, les perspectives d'évolution sont de réels atouts qu'offrent les TPE/PME.
Avec Amhappy, nous vous proposons la solution pour vous permettre d'avoir les avantages d'un grand CSE, sans contrainte de gestion interne. 
Via notre plateforme, vos collaborateurs peuvent bénéficier de chèques cadeaux, de bons plans permanents (cinéma, vacances…) et aussi de subventions pour les activités socio-culturelles que vous pourrez allouer.
Amhappy vous permet de récompenser vos collaborateurs et de maintenir leur engagement. Et ce n'est pas tout, Amhappy est une solution sans charges sociales, déductible des impôts de société et qui s'adapte à votre budget.
Amhappy, les bons plans, c'est maintenant !</t>
  </si>
  <si>
    <t>http://www.linkedin.com/in/guillaume-hugon</t>
  </si>
  <si>
    <t xml:space="preserve">Guillaume Ogloza</t>
  </si>
  <si>
    <t>Ogloza</t>
  </si>
  <si>
    <t>guillaume@capeoni.fr</t>
  </si>
  <si>
    <t>CAPEONI</t>
  </si>
  <si>
    <t>capeoni.fr</t>
  </si>
  <si>
    <t>Valenciennes</t>
  </si>
  <si>
    <t>cybersecurite,infrastructure,telephonie,reseau,projet,audit</t>
  </si>
  <si>
    <t>Sainghin-en-Weppes</t>
  </si>
  <si>
    <t>http://www.linkedin.com/company/capeoni</t>
  </si>
  <si>
    <t xml:space="preserve">Expertise informatique &amp; Télécom : Conseils &amp; Audits, Chef de projet, Pilotage SI, Réseau &amp; Sécurité, Téléphonie VoIP.</t>
  </si>
  <si>
    <t>http://www.linkedin.com/in/guillaume-ogloza-26076110a</t>
  </si>
  <si>
    <t xml:space="preserve">Guillaume Mee</t>
  </si>
  <si>
    <t>Mee</t>
  </si>
  <si>
    <t>guillaume@fcinq.com</t>
  </si>
  <si>
    <t xml:space="preserve">Directeur général en charge des Opérations @FCINQ - Groupe AustralieGAD</t>
  </si>
  <si>
    <t>FCINQ</t>
  </si>
  <si>
    <t>fcinq.com</t>
  </si>
  <si>
    <t xml:space="preserve">entrepreneur business innovation,web responsive development,web amp responsive development,digital strategy,digital communication,graphic design,entrepreneur amp business innovation</t>
  </si>
  <si>
    <t>http://www.linkedin.com/company/fcinq</t>
  </si>
  <si>
    <t>https://twitter.com/fcinqagency</t>
  </si>
  <si>
    <t>https://www.facebook.com/fcinqagency</t>
  </si>
  <si>
    <t xml:space="preserve">What originally started out as a team of graphic designers, animators and developers is today a team of thirty people whose roles range from strategy developers to brand content and UX Design. Whatever the format may be, their focus is to provide the best quality service for creating experiences and brand worlds that convey emotion, feeling and that make communication a successful exchange with the final user</t>
  </si>
  <si>
    <t>http://www.linkedin.com/in/guillaume-le-m%c3%a9e-52529a29</t>
  </si>
  <si>
    <t xml:space="preserve">Guillaume Cabane</t>
  </si>
  <si>
    <t>Cabane</t>
  </si>
  <si>
    <t>guillaume@hypergrowthpartners.com</t>
  </si>
  <si>
    <t xml:space="preserve">Co-Founder and General Partner</t>
  </si>
  <si>
    <t xml:space="preserve">HyperGrowth Partners</t>
  </si>
  <si>
    <t>hypergrowthpartners.com</t>
  </si>
  <si>
    <t xml:space="preserve">growth marketing,gotomarket strategies,product marketing,outbound,revops,data analytics,productled growth,productled sales,enterprise sales,customer acquisition,automation</t>
  </si>
  <si>
    <t xml:space="preserve">San Francisco</t>
  </si>
  <si>
    <t>California</t>
  </si>
  <si>
    <t>http://www.linkedin.com/company/hypergrowth-partners</t>
  </si>
  <si>
    <t>https://twitter.com/HypergrowthP</t>
  </si>
  <si>
    <t>https://twitter.com/guillaumecabane</t>
  </si>
  <si>
    <t xml:space="preserve">HyperGrowth Partners is a Growth-Stage Startup Accelerator investing our team's talent and time to enable your hypergrowth post series A.</t>
  </si>
  <si>
    <t>http://www.linkedin.com/in/cabane</t>
  </si>
  <si>
    <t xml:space="preserve">Guillaume Lecanu</t>
  </si>
  <si>
    <t>Lecanu</t>
  </si>
  <si>
    <t>guillaume@koban-crm.com</t>
  </si>
  <si>
    <t>Koban</t>
  </si>
  <si>
    <t>koban.cloud</t>
  </si>
  <si>
    <t xml:space="preserve">crm,gestion facturation,commandes,projet gestion de projets,gestion de stocks,lead nurturing et emailing,marketing automation,ticketing</t>
  </si>
  <si>
    <t>L'Arbresle</t>
  </si>
  <si>
    <t>http://www.linkedin.com/company/koban-crm</t>
  </si>
  <si>
    <t xml:space="preserve">Une suite logicielle 100% française. Un outil complet et évolutif pour gérer votre entreprise, TPE ou PME, BtoB, BtoC ou les 2 ! Essayez gratuitement !</t>
  </si>
  <si>
    <t>http://www.linkedin.com/in/guillaume-lecanu</t>
  </si>
  <si>
    <t xml:space="preserve">Guillaume Trias</t>
  </si>
  <si>
    <t>Trias</t>
  </si>
  <si>
    <t>guillaume@nuances-impression.fr</t>
  </si>
  <si>
    <t>Nuances</t>
  </si>
  <si>
    <t>nuances-impression.fr</t>
  </si>
  <si>
    <t xml:space="preserve">publicite sur le lieu de vente,stand et materiel d39exposition,stand et materiel dexposition,decoration,solutions dexposition,impression commerciale et publicitaire,enseigne et signaletique,creation graphique,decor et habillage evenementiel,amenagement et decoration despaces,signaletique,outils daide a la vente,impression grand format,impression offset</t>
  </si>
  <si>
    <t>Noisy-le-Sec</t>
  </si>
  <si>
    <t>http://www.linkedin.com/company/nuancesimpression</t>
  </si>
  <si>
    <t xml:space="preserve">Expert en création de solutions visuelles, NUANCES met tout son savoir-faire au service de :
-	L'aménagement et la décoration d'espaces
-	La signalétique
-	Les solutions d'exposition
-	La publicité sur le lieu de vente
-	Le décor et l'habillage évènementiel
-	Les outils d'aide à la vente
-	L'impression commerciale et publicitaire
Collaborer avec NUANCES, c'est faire le choix de la SÉRÉNITÉ.
En effet, depuis près de 10 ans, l'entreprise ne cesse d'internaliser des compétence-métier clés pour soutenir et faciliter le déploiement de votre identité visuelle.
Nos chefs de projets, experts en communication visuelle, vous conseillent et vous accompagnent de l'étude à la pose. 
Ils s'appuient sur un bureau d'études, un studio graphique, des professionnels en impression petit et grand format et un réseau national de poseurs INTÉGRÉS.
Nous tenons des engagements forts de RÉACTIVITÉ, QUALITÉ, RESPECT DE L'ENVIRONNEMENT et d'ÉTHIQUE pour, sans cesse, vous proposer une expérience exceptionnelle.
Un projet ? Contactez-nous à : commercial@nuances-impression.fr</t>
  </si>
  <si>
    <t>http://www.linkedin.com/in/guillaume-trias-12990b138</t>
  </si>
  <si>
    <t xml:space="preserve">Guillaume Audren</t>
  </si>
  <si>
    <t>Audren</t>
  </si>
  <si>
    <t>guillaume@regata.fr</t>
  </si>
  <si>
    <t>http://www.linkedin.com/in/guillaume-audren-regata</t>
  </si>
  <si>
    <t xml:space="preserve">Guy Chantepie</t>
  </si>
  <si>
    <t>Chantepie</t>
  </si>
  <si>
    <t>guy.chantepie@altivec.fr</t>
  </si>
  <si>
    <t xml:space="preserve">Dirigeant  ALTIVEC  Entreprise de services dans l'énergie.</t>
  </si>
  <si>
    <t>ALTIVEC</t>
  </si>
  <si>
    <t>altivec.fr</t>
  </si>
  <si>
    <t xml:space="preserve">electricite,froid commercial,plomberie,ventilation,poele a bois,chauffage,poele granules,ramonage,pompe a chaleur,climatisation</t>
  </si>
  <si>
    <t>Limonest</t>
  </si>
  <si>
    <t>http://www.linkedin.com/company/altivec</t>
  </si>
  <si>
    <t>https://www.twitter.com/WixStudio</t>
  </si>
  <si>
    <t>https://www.facebook.com/WixStudio</t>
  </si>
  <si>
    <t xml:space="preserve">Altivec est une entreprise française spécialisée dans l’installation, la maintenance et le dépannage de systèmes de chauffage, climatisation, plomberie et électricité. Fondée il y a près de 40 ans, elle est implantée à Limonest, dans la région Auvergne-Rhône-Alpes, et intervient également en Île-de-France</t>
  </si>
  <si>
    <t>http://www.linkedin.com/in/guy-chevallier-chantepie-03064a9b</t>
  </si>
  <si>
    <t xml:space="preserve">Hadrien Reaud</t>
  </si>
  <si>
    <t>Reaud</t>
  </si>
  <si>
    <t>hadrien@getwelcom.com</t>
  </si>
  <si>
    <t>GetWelcom</t>
  </si>
  <si>
    <t>getwelcom.com</t>
  </si>
  <si>
    <t xml:space="preserve">tourisme,cross selling,parcours client digital,upselling,experience client,hotellerie</t>
  </si>
  <si>
    <t>http://www.linkedin.com/company/getwelcom</t>
  </si>
  <si>
    <t xml:space="preserve">Découvrez comment GetWelcom peut vous aider à améliorer l’expérience client et le marketing de votre hébergement.</t>
  </si>
  <si>
    <t>http://www.linkedin.com/in/hadrien-reaud-862576109</t>
  </si>
  <si>
    <t xml:space="preserve">Herve Gaboriau</t>
  </si>
  <si>
    <t>herve.gaboriau@poleaquanova.fr</t>
  </si>
  <si>
    <t xml:space="preserve">Directeur général - Directeur Centre-Val de Loire</t>
  </si>
  <si>
    <t xml:space="preserve">Pôle Aquanova</t>
  </si>
  <si>
    <t>poleaquanova.fr</t>
  </si>
  <si>
    <t xml:space="preserve">environnement,territoires,industrie,transition ecologique,grand est,sante,eau</t>
  </si>
  <si>
    <t>Tomblaine</t>
  </si>
  <si>
    <t>http://www.linkedin.com/company/poleaquanova</t>
  </si>
  <si>
    <t xml:space="preserve">Aquanova, pôle de compétitivité de la filière de l'eau, vise à faire émerger un écosystème d'innovation et à impulser des projets innovants pour répondre aux défis autour des ressources en eau tout en accompagnant le développement des territoires et des entreprises.</t>
  </si>
  <si>
    <t>http://www.linkedin.com/in/herv%c3%a9-gaboriau-741833134</t>
  </si>
  <si>
    <t xml:space="preserve">Herve Kervaon</t>
  </si>
  <si>
    <t>Kervaon</t>
  </si>
  <si>
    <t>herve.kervaon@asco-ascenseurs.fr</t>
  </si>
  <si>
    <t xml:space="preserve">Fondateur / gérant</t>
  </si>
  <si>
    <t>ASCO-Ascenseurs</t>
  </si>
  <si>
    <t>asco-ascenseurs.fr</t>
  </si>
  <si>
    <t>Elancourt</t>
  </si>
  <si>
    <t xml:space="preserve">conformite,depannage,renovation,rideaux metalliques,installation,ascenseurs,entretien,modernisation,mise en conformite,maintenance</t>
  </si>
  <si>
    <t>http://www.linkedin.com/company/asco-ascenseurs</t>
  </si>
  <si>
    <t xml:space="preserve">Votre spécialiste ascenseurs, élévateurs et monte-charges à Paris, en Île-de-France. Maintenance et dépannage, modernisation et mise en conformité, neuf.</t>
  </si>
  <si>
    <t>http://www.linkedin.com/in/herv%c3%a9-kervaon-b5b35060</t>
  </si>
  <si>
    <t xml:space="preserve">Hubert Leriche</t>
  </si>
  <si>
    <t>Leriche</t>
  </si>
  <si>
    <t>hleriche@ambois.com</t>
  </si>
  <si>
    <t>Ambois</t>
  </si>
  <si>
    <t>ambois.com</t>
  </si>
  <si>
    <t>Lambersart</t>
  </si>
  <si>
    <t xml:space="preserve">clt,lamelle colle,ossature bois,charpente traditionnelle,ingenieurie bois,production bois,levage,etaiment,sous oeuvre,maison ossature bois,extension ossature bois</t>
  </si>
  <si>
    <t>Fauquembergues</t>
  </si>
  <si>
    <t>http://www.linkedin.com/company/ambois</t>
  </si>
  <si>
    <t xml:space="preserve">Votre expert en construction bois à Fauquembergues | Charpente traditionnelle, extension, rénovation et construction en bois.</t>
  </si>
  <si>
    <t>http://www.linkedin.com/in/hubert-leriche-3b666a34</t>
  </si>
  <si>
    <t xml:space="preserve">Hubert Castellan</t>
  </si>
  <si>
    <t>Castellan</t>
  </si>
  <si>
    <t>hubert.castellan@ksi-partners.com</t>
  </si>
  <si>
    <t xml:space="preserve">CEO KSI Partners</t>
  </si>
  <si>
    <t xml:space="preserve">KSI Partners</t>
  </si>
  <si>
    <t>ksi-partners.com</t>
  </si>
  <si>
    <t xml:space="preserve">developpement commercial,marketing,lancement doffres,crm,digital,conduite du changement,e commerce,optimisation de process,deploiement de produits,services,etude dopportunites,agile at scale,transformation</t>
  </si>
  <si>
    <t>http://www.linkedin.com/company/ksi-partners</t>
  </si>
  <si>
    <t xml:space="preserve">Qui sommes-nous ?
KSI Partners est cabinet de conseil en stratégie et management indépendant créé en 2007, pour accompagner ses clients « from strategy to delivery ». 
Nous sommes nés du constat que les entreprises attendent un conseil en stratégie opérationnelle avec une mise en œuvre rapide des recommandations.
Notre Intervention
Nous intervenons avec vos équipes opérationnelles afin de conduire des changements durables et efficaces pour créer de la valeur durable.
Nos consultants, diplômés de grandes écoles, ont des parcours mixtes conseil / entreprise / entreprenariat pour s'investir pleinement dans vos projets.
Notre expertise
Secteur : Banque, Assurance, Distribution, Energie, Immobilier, Automobile et Télécom
Domaines d'intervention :
•	Stratégies de développement cross-canal, stratégie digitale, produit et client 
•	Management &amp; organisation de processus 
•	Gestion de projets complexes
•	Reorganisations "Agile at scale"
Exemples de missions réalisées
•	Pour un distributeur spécialisé : Déploiement du cross canal
•	Pour une banque: Digitalisation des process réseau
•	Pour une assurance: Réorganisation du réseau commercial
•	Pour un bailleur immobilier : Intégration d'un CRM 
•	Pour un loueur automobile : Déploiement d'offres dans le réseau
•	Pour une entreprise d'énergie : Lancement d'un produit
•	Pour un acteur télécom : Etude d'opportunités sur le lancement de nouveaux produits/services</t>
  </si>
  <si>
    <t>http://www.linkedin.com/in/hubertcastellan</t>
  </si>
  <si>
    <t xml:space="preserve">Hugues Lecomte</t>
  </si>
  <si>
    <t>Lecomte</t>
  </si>
  <si>
    <t>hugues.lecomte@vipros.fr</t>
  </si>
  <si>
    <t xml:space="preserve">Fondateur et animateur</t>
  </si>
  <si>
    <t>VIPros</t>
  </si>
  <si>
    <t>vipros.fr</t>
  </si>
  <si>
    <t>btp,artisanat,industrie,btob,batiment,construction,sanitaire,plomberie,menuiserie,chauffage,ventilation,climatisation,electricite,eclairage,peinture,carrelage,agriculture</t>
  </si>
  <si>
    <t>http://www.linkedin.com/company/vipros</t>
  </si>
  <si>
    <t xml:space="preserve">VIPros, le club des professionnels du bâtiment et des exploitants agricoles : infos produits, offres de fidélité, Cashback et avantages pour votre entreprise.</t>
  </si>
  <si>
    <t>http://www.linkedin.com/in/hugues-lecomte-382615121</t>
  </si>
  <si>
    <t xml:space="preserve">Hugues Bonnefont</t>
  </si>
  <si>
    <t>Bonnefont</t>
  </si>
  <si>
    <t>hugues@itguard.fr</t>
  </si>
  <si>
    <t xml:space="preserve">SAS ITGuard</t>
  </si>
  <si>
    <t>itguard.fr</t>
  </si>
  <si>
    <t>http://www.linkedin.com/company/sas-itguard</t>
  </si>
  <si>
    <t xml:space="preserve">Depuis de nombreuses années, notre équipe installée en région parisienne est spécialisée dans les services informatiques à destination du secteur de l’hôtellerie. Nos prestations se déclinent en trois branches : l’infogérance, le conseil et l’audit.</t>
  </si>
  <si>
    <t>http://www.linkedin.com/in/hugues-bonnefont-1a7b94b3</t>
  </si>
  <si>
    <t xml:space="preserve">Ilyes Sghir</t>
  </si>
  <si>
    <t>Ilyes</t>
  </si>
  <si>
    <t>Sghir</t>
  </si>
  <si>
    <t>ilyes@spellz.ai</t>
  </si>
  <si>
    <t xml:space="preserve">Cofounder &amp; CTO</t>
  </si>
  <si>
    <t>Spellz</t>
  </si>
  <si>
    <t>spellz.ai</t>
  </si>
  <si>
    <t>http://www.linkedin.com/company/spellz</t>
  </si>
  <si>
    <t xml:space="preserve">We help Insurance professionals with policy &amp; claim management automation using vertical GenAI models…It's easy and it's hallucination-free.
Spellz Selfcare Portal-as-a-Service (SPaaS) is an innovative LLM-powered selfcare interface that can process any policyholder request, from simple administrative questions to complex claim notices. 
🔐 Proprietary LLM fine-tuned in house: Spellz is entirely developed by our team, with no reliance on external APIs and no risk of hallucinations. Our solution is fully GDPR-compliant, does not rely on third-party services and does not use your data for training purposes. 
⚡️ Specialized for Insurance workflows: Spellz is a hyper-specialized LLM for policy administration and claim management workflows. Our vertical model surpasses the context window size limitations of generalist LLMs and is able to reason on highly complicated insurance-related documents, such as contracts, warranty tables, flowcharts &amp; diagrams, product sheets…
⭐ User-friendly SaaS platform: Spellz Portal offers a no-code studio that allows you to easily build a custom selfcare portal, manage your complex knowledge base, and connect with your business back-office softwares.
👩‍👩‍👦 Next-generation Customer Experience: Imagine replacing your cumbersome customer account page with a prompt window where policyholders can ask any questions. The Spellz Portal is a next-generation selfcare portal aimed at elevating your policyholders' experience.
Propell your insurance selfcare operations in the future with Spellz right now!</t>
  </si>
  <si>
    <t>http://www.linkedin.com/in/ilyessghir</t>
  </si>
  <si>
    <t xml:space="preserve">Ines Souissi</t>
  </si>
  <si>
    <t>Ines</t>
  </si>
  <si>
    <t>Souissi</t>
  </si>
  <si>
    <t>ines.souissi@rhis-solutions.com</t>
  </si>
  <si>
    <t xml:space="preserve">RHIS Solutions</t>
  </si>
  <si>
    <t xml:space="preserve">planification,interface paie,optimisation des performances,ressources humaines,pointage,restauration,restauration rapide</t>
  </si>
  <si>
    <t>http://www.linkedin.com/company/rhis-solutions</t>
  </si>
  <si>
    <t xml:space="preserve">Bienvenue chez RHIS Solutions, le partenaire de confiance des leaders du secteur QSR en France pour la digitalisation et le conseil en matière de pilotage des ressources humaines ! 
L'objectif de notre solution MyRHIS est de pouvoir simplifier votre gestion du personnel tout en aidant à améliorer vos performances. Avec cet outil personnalisable, vous intervenez sur 3 dimensions :
✅ Réalisez vos plannings en fonction de votre chiffre d'affaires. Avec cette méthode, améliorez votre productivité, augmentez la satisfaction de vos clients et développez votre CA !
✅ Gagnez du temps avec une gestion RH centralisée et innovante. Vous pouvez réaliser vos contrats et votre paie en un clic. 
✅ Pilotez l'ensemble des vos restaurants grâce à une gestion de parc unique. Vous avez la possibilité d'éditer des rapports de performances comparatifs afin d'analyser les bonnes pratiques.
🚀+ de 1 200 clients
👩‍💻+ 38K utilisateurs</t>
  </si>
  <si>
    <t>http://www.linkedin.com/in/in%c3%a8s-souissi-805298a9</t>
  </si>
  <si>
    <t xml:space="preserve">Ingrid Osselin</t>
  </si>
  <si>
    <t>Osselin</t>
  </si>
  <si>
    <t>iosselin@vakom.fr</t>
  </si>
  <si>
    <t>Soissons</t>
  </si>
  <si>
    <t>http://www.linkedin.com/in/ingrid-osselin</t>
  </si>
  <si>
    <t xml:space="preserve">Julien Brean</t>
  </si>
  <si>
    <t>Brean</t>
  </si>
  <si>
    <t>j.brean@archerydata.com</t>
  </si>
  <si>
    <t xml:space="preserve">Archery Data &amp; Analytics</t>
  </si>
  <si>
    <t>archerydata.com</t>
  </si>
  <si>
    <t>aeronautique,transports,energies,data,informatique,analytics,ingenierie,spatial,defense</t>
  </si>
  <si>
    <t>http://www.linkedin.com/company/archery-data-analytics</t>
  </si>
  <si>
    <t xml:space="preserve">Archery Data &amp; Analytics est un cabinet d’expertise data spécialisé dans les projets à forts enjeux stratégiques et opérationnels.</t>
  </si>
  <si>
    <t>http://www.linkedin.com/in/julienbrean</t>
  </si>
  <si>
    <t xml:space="preserve">Jerome Elmalek</t>
  </si>
  <si>
    <t>Elmalek</t>
  </si>
  <si>
    <t>j.elmalek@ets-lavrut.com</t>
  </si>
  <si>
    <t xml:space="preserve">Associé / Président</t>
  </si>
  <si>
    <t xml:space="preserve">ÉTABLISSEMENTS LAVRUT</t>
  </si>
  <si>
    <t>ets-lavrut.com</t>
  </si>
  <si>
    <t>http://www.linkedin.com/company/ets-lavrut</t>
  </si>
  <si>
    <t xml:space="preserve">1er réseau indépendant à Paris dédié à la création et à l’univers du bureau dans le 2ème, 14ème, 16ème et 17ème</t>
  </si>
  <si>
    <t>http://www.linkedin.com/in/jerome-elmalek-a1158a11</t>
  </si>
  <si>
    <t xml:space="preserve">Jacques Hamel</t>
  </si>
  <si>
    <t>Hamel</t>
  </si>
  <si>
    <t>j.hamel@avantagebusiness.com</t>
  </si>
  <si>
    <t xml:space="preserve">Fondateur et Président-Directeur Général</t>
  </si>
  <si>
    <t xml:space="preserve">Avantage Business CRM</t>
  </si>
  <si>
    <t>avantagebusiness.fr</t>
  </si>
  <si>
    <t>Roanne</t>
  </si>
  <si>
    <t xml:space="preserve">logiciel de prospection commerciale et de relations clients,bases de donnees grands comptes,crm,marketing,business strategy,relation clients,prospection,logiciel connecte erp leaders,developpement commercial,business development,customer relationship management,gestion commerciale</t>
  </si>
  <si>
    <t>http://www.linkedin.com/company/avantage-business</t>
  </si>
  <si>
    <t xml:space="preserve">Avantage Business est la solution CRM des TPE et PME en mode Saas qui permet de efficacement votre prospection et vos relations clients l Logiciel 100% français l Logiciel synchronisé aux outils de gestion commerciale leaders EBP et Sage</t>
  </si>
  <si>
    <t>http://www.linkedin.com/in/jacques-hamel-25673548</t>
  </si>
  <si>
    <t xml:space="preserve">Julien Ollier</t>
  </si>
  <si>
    <t>Ollier</t>
  </si>
  <si>
    <t>j.ollier@amourdedieu.fr</t>
  </si>
  <si>
    <t xml:space="preserve">Groupe Amourdedieu</t>
  </si>
  <si>
    <t>amourdedieu.fr</t>
  </si>
  <si>
    <t>Ansouis</t>
  </si>
  <si>
    <t xml:space="preserve">terrassement &amp; voirie et reseaux divers,terrassement,voirie et reseaux divers</t>
  </si>
  <si>
    <t>http://www.linkedin.com/company/amourdedieu</t>
  </si>
  <si>
    <t xml:space="preserve">Amourdedieu, société de BTP en Provence, spécialisée dans des projets d’aménagements urbains durables et responsables.</t>
  </si>
  <si>
    <t>http://www.linkedin.com/in/julien-ollier-4022775b</t>
  </si>
  <si>
    <t xml:space="preserve">Jules Pedretti</t>
  </si>
  <si>
    <t>Pedretti</t>
  </si>
  <si>
    <t>j.pedretti@skilz.io</t>
  </si>
  <si>
    <t>Skilz</t>
  </si>
  <si>
    <t>skilz.io</t>
  </si>
  <si>
    <t>http://www.linkedin.com/company/skilz-io</t>
  </si>
  <si>
    <t xml:space="preserve">Découvrez Skilz, votre partenaire pour la création de contenu RH innovant. Nos services incluent des vidéos, des campagnes publicitaires et des stratégies RH pour renforcer votre marque employeur et attirer les meilleurs candidats. Améliorez votre recrutement avec Skilz.</t>
  </si>
  <si>
    <t>http://www.linkedin.com/in/julespedretti</t>
  </si>
  <si>
    <t xml:space="preserve">Jeremy Requier</t>
  </si>
  <si>
    <t>Requier</t>
  </si>
  <si>
    <t>j.requier@innovation-fluides.com</t>
  </si>
  <si>
    <t xml:space="preserve">Dirigeant du BET Innovation Fluides</t>
  </si>
  <si>
    <t xml:space="preserve">INNOVATION FLUIDES</t>
  </si>
  <si>
    <t>innovation-fluides.com</t>
  </si>
  <si>
    <t>Joinville-le-Pont</t>
  </si>
  <si>
    <t>http://www.linkedin.com/company/innovation-fluides</t>
  </si>
  <si>
    <t xml:space="preserve">Innovation Fluides intervient dans le secteur de l'ingénierie énergétique et technique du bâtiment.
Spécialisé en fluides, le développement de notre bureau d'études est le fruit d'une passion pour la haute technicité, d'une recherche permanente de l'excellence de nos savoir-faire et d'une remise en question systématique des projets de demain.</t>
  </si>
  <si>
    <t>http://www.linkedin.com/in/j%c3%a9r%c3%a9my-requier-bb742370</t>
  </si>
  <si>
    <t xml:space="preserve">John Staub</t>
  </si>
  <si>
    <t>Staub</t>
  </si>
  <si>
    <t>j.staub@koders.fr</t>
  </si>
  <si>
    <t>KODERS</t>
  </si>
  <si>
    <t>koders.fr</t>
  </si>
  <si>
    <t xml:space="preserve">transformation numerique,assistance technique,recrutement,microsoftnet,digital</t>
  </si>
  <si>
    <t>http://www.linkedin.com/company/kodersfr</t>
  </si>
  <si>
    <t>https://www.facebook.com/bestkoders</t>
  </si>
  <si>
    <t>https://twitter.com/capptureads</t>
  </si>
  <si>
    <t xml:space="preserve">Koders is a reputable IT consulting services company with a strong track record of servicing clients across different industries including industry and finance.</t>
  </si>
  <si>
    <t>http://www.linkedin.com/in/jstaub</t>
  </si>
  <si>
    <t xml:space="preserve">Jonathan Verand</t>
  </si>
  <si>
    <t>Verand</t>
  </si>
  <si>
    <t>j.verand@olysta-it.fr</t>
  </si>
  <si>
    <t>Olysta</t>
  </si>
  <si>
    <t>olysta-it.fr</t>
  </si>
  <si>
    <t>Guilherand-Granges</t>
  </si>
  <si>
    <t>http://www.linkedin.com/company/olysta</t>
  </si>
  <si>
    <t xml:space="preserve">Depuis 2004, Olysta accompagne les entreprises dans leur transformation numérique en en répondant aux besoins en impression et dématérialisation, informatique et télécom près de Valence.</t>
  </si>
  <si>
    <t>http://www.linkedin.com/in/jonathan-verand-a54b1b108</t>
  </si>
  <si>
    <t xml:space="preserve">Jerome Viollet</t>
  </si>
  <si>
    <t>Viollet</t>
  </si>
  <si>
    <t>j.viollet@meta2e.com</t>
  </si>
  <si>
    <t xml:space="preserve">META 2e</t>
  </si>
  <si>
    <t>meta2e.com</t>
  </si>
  <si>
    <t xml:space="preserve">iot,ecoeffcacite energetique,distech,dali,kmreport,smartbuilding,batiment intelligent,lonworkx,gestion technique centralisee,bepos,performance energetique,hqe,knx,bbc,gestion technique des batiments,bacnet,services connectes,r2s,batiment connecte,gtbgtc</t>
  </si>
  <si>
    <t>http://www.linkedin.com/company/meta-2e</t>
  </si>
  <si>
    <t>https://twitter.com/meta2e</t>
  </si>
  <si>
    <t xml:space="preserve">META 2e est intégrateur depuis 30 ans de solutions de Gestion Technique des Bâtiments intelligents et connectés.</t>
  </si>
  <si>
    <t>http://www.linkedin.com/in/j%c3%a9r%c3%b4me-viollet-117011a5</t>
  </si>
  <si>
    <t xml:space="preserve">Jacques Berger</t>
  </si>
  <si>
    <t>Berger</t>
  </si>
  <si>
    <t>jacques.berger@latelier.maison</t>
  </si>
  <si>
    <t xml:space="preserve">Co-Dirigeant / Co-Equipier</t>
  </si>
  <si>
    <t xml:space="preserve">L'ATELIER MAISON</t>
  </si>
  <si>
    <t>latelier.maison</t>
  </si>
  <si>
    <t>Lavilledieu</t>
  </si>
  <si>
    <t>http://www.linkedin.com/company/l-atelier-maison</t>
  </si>
  <si>
    <t xml:space="preserve">L' Atelier Maison : Fabricant Français d' Equipements de Bricolage et de Jardinage.
Spécialiste de la Distribution en E-Commerce. 
Employeur Ardeche.</t>
  </si>
  <si>
    <t>http://www.linkedin.com/in/jacques-berger-734a701</t>
  </si>
  <si>
    <t xml:space="preserve">James Theis</t>
  </si>
  <si>
    <t>Theis</t>
  </si>
  <si>
    <t>james.theis@procall-telecom.fr</t>
  </si>
  <si>
    <t>PROCALL-Telecom</t>
  </si>
  <si>
    <t>procall-telecom.fr</t>
  </si>
  <si>
    <t>http://www.linkedin.com/company/procall-distributeur-sfr</t>
  </si>
  <si>
    <t xml:space="preserve">Acteur de la téléphonie mobile depuis bientôt 30 ans, Procall propose les offres et services SFR à Mandelieu, Cannes la Bocca, et Draguignan. Nous développons le potentiel de nos équipes en continu, plus de 100 personnes à ce jour. Notre structure est articulée
autour de la montée en compétences, dédiée à la relation client.</t>
  </si>
  <si>
    <t>http://www.linkedin.com/in/james-theis-dirigeant-investisseur-acteur-local-paca</t>
  </si>
  <si>
    <t xml:space="preserve">Jeremy Bensimon</t>
  </si>
  <si>
    <t>Bensimon</t>
  </si>
  <si>
    <t>jbensimon@njpartners.fr</t>
  </si>
  <si>
    <t xml:space="preserve">Dirigeant/ Cofondateur</t>
  </si>
  <si>
    <t xml:space="preserve">NJ PARTNERS</t>
  </si>
  <si>
    <t>njpartners.fr</t>
  </si>
  <si>
    <t xml:space="preserve">audit conseil,videosurveillance,reseaux,informatique,telephonie,bureautique</t>
  </si>
  <si>
    <t>Gagny</t>
  </si>
  <si>
    <t>http://www.linkedin.com/company/njpartners</t>
  </si>
  <si>
    <t xml:space="preserve">NJ PARTNERS permet aux entreprises de combiner et faciliter leur communication téléphonique interne. Expert en informatique et surveillance.</t>
  </si>
  <si>
    <t>http://www.linkedin.com/in/jeremy-bensimon-848567226</t>
  </si>
  <si>
    <t xml:space="preserve">Jean-Christophe Manent</t>
  </si>
  <si>
    <t>Jean-Christophe</t>
  </si>
  <si>
    <t>Manent</t>
  </si>
  <si>
    <t>jcmanent@karma-partners.com</t>
  </si>
  <si>
    <t>http://www.linkedin.com/in/jean-christophe-manent-5978075</t>
  </si>
  <si>
    <t xml:space="preserve">Julien Dumont</t>
  </si>
  <si>
    <t>jd@xotis.com</t>
  </si>
  <si>
    <t>XOTIS</t>
  </si>
  <si>
    <t>xotis.com</t>
  </si>
  <si>
    <t>Mercin-et-Vaux</t>
  </si>
  <si>
    <t xml:space="preserve">editeurs de logiciels specialises,television,contrats,paie,audiovisuel,comptabilite,budgets et situations,facturation,cinema</t>
  </si>
  <si>
    <t>http://www.linkedin.com/company/xotis</t>
  </si>
  <si>
    <t>https://twitter.com/xotis</t>
  </si>
  <si>
    <t>https://www.facebook.com/xotis/</t>
  </si>
  <si>
    <t xml:space="preserve">Xotis vous propose une suite de logiciels de gestion de production très performants. Expert de la gestion de production depuis 40 ans...</t>
  </si>
  <si>
    <t>http://www.linkedin.com/in/julien-dumont-548a5388</t>
  </si>
  <si>
    <t xml:space="preserve">Jeremie Delpey</t>
  </si>
  <si>
    <t>Delpey</t>
  </si>
  <si>
    <t>jdelpey@jems-group.com</t>
  </si>
  <si>
    <t xml:space="preserve">DIRECTEUR OPERATIONNEL ADJOINT - DIRIGEANT CELLULE MAITRISE D'OEUVRE</t>
  </si>
  <si>
    <t xml:space="preserve">Jems Group</t>
  </si>
  <si>
    <t>jems-group.com</t>
  </si>
  <si>
    <t xml:space="preserve">big data,developpement finance,progiciels financiers,cloud,etudes,developpement,architecture applicative,bases de donnees,devops,agro,agri,retail,industrie,energie,automobile,intelligence artificielle,design thinking,datamanagement,iot,vision360,sante,datalake,user experience,multicloud,datascience,data warehouse,data hub,asset management,data centric,patrimoine de donnees</t>
  </si>
  <si>
    <t>http://www.linkedin.com/company/jems-group</t>
  </si>
  <si>
    <t>https://twitter.com/jemsgroup</t>
  </si>
  <si>
    <t>https://facebook.com/JEMSpartners</t>
  </si>
  <si>
    <t xml:space="preserve">JEMS est un industriel de la donnée. Notre savoir-faire repose sur une méthodologie unique et éprouvée de modélisation de ce patrimoine.</t>
  </si>
  <si>
    <t>http://www.linkedin.com/in/j%c3%a9r%c3%a9mie-delpey-199a0828</t>
  </si>
  <si>
    <t xml:space="preserve">Jeremy Domingo</t>
  </si>
  <si>
    <t>Domingo</t>
  </si>
  <si>
    <t>jdomingo@sinfin.fr</t>
  </si>
  <si>
    <t xml:space="preserve">Dirigeant Fondateur  Founder &amp; CEO</t>
  </si>
  <si>
    <t>Sinfi</t>
  </si>
  <si>
    <t>sinfin.fr</t>
  </si>
  <si>
    <t xml:space="preserve">plateforme ecommerce,pim,dam,product data optimization,product data centralization,product data publishing,product data analyse,product experience,logiciel,data product,editeur de logiciel</t>
  </si>
  <si>
    <t>http://www.linkedin.com/company/sinfin-platform</t>
  </si>
  <si>
    <t>https://facebook.com/sinfinagency</t>
  </si>
  <si>
    <t xml:space="preserve">Unified Commerce is the new commerce!
Sinfin™ is the simplest Product Data Platform on the market, serving brands and marketplaces: a SaaS all-in-one platform that empowers them to centralize, optimize, publish, and supervise all product data for comprehensive and up-to-date product catalogs across all channels.
Sinfin™ is a next-generation PIM solution:
• Accelerate time-to-market,
• Deliver the best omnichannel experience!</t>
  </si>
  <si>
    <t>http://www.linkedin.com/in/jeremy-domingo-</t>
  </si>
  <si>
    <t xml:space="preserve">Jean-Denis Sulpice</t>
  </si>
  <si>
    <t>Jean-Denis</t>
  </si>
  <si>
    <t>Sulpice</t>
  </si>
  <si>
    <t>jean-denis@b-harmonist.com</t>
  </si>
  <si>
    <t xml:space="preserve">Harmoniste  co-fondateur</t>
  </si>
  <si>
    <t>BusinessHarmonist</t>
  </si>
  <si>
    <t>b-harmonist.com</t>
  </si>
  <si>
    <t xml:space="preserve">identite entreprise,accompagnement dentreprise,culture dentreprise,croissance dentreprise,plaisir au travail,organisation dentreprise,harmoniste,management,transformation de l39entreprise,agilite entreprise,croissance d39entreprise,conduite du changement de l39entreprise,performance dentreprise,valeurs dentreprise,valeurs d39entreprise,coherence de l39entreprise,attractivite de lentreprise,identite de lentreprise,gerer la complexite,coherence de lentreprise,communication authentique,transformation de lentreprise,conduite du changement de lentreprise,acceleration dentreprise,accompagnement d39entreprise,accompagnement de dirigeant,organisation d39entreprise,performance d39entreprise,identite de l39entreprise,prendre de la hauteur dirigeant,harmonie en entreprise,attractivite de l39entreprise,acceleration d39entreprise,culture d39entreprise,coherence entreprise</t>
  </si>
  <si>
    <t>http://www.linkedin.com/company/businessharmonist</t>
  </si>
  <si>
    <t>https://twitter.com/BHarmonist</t>
  </si>
  <si>
    <t>https://facebook.com/businessharmonists</t>
  </si>
  <si>
    <t xml:space="preserve">Develop your business in a harmonious way. The Harmonists coach you to develop your company in coherence around a powerful culture!</t>
  </si>
  <si>
    <t>http://www.linkedin.com/in/jdsulpice</t>
  </si>
  <si>
    <t xml:space="preserve">Jean-Francois Curtil</t>
  </si>
  <si>
    <t>Curtil</t>
  </si>
  <si>
    <t>jean-francois.curtil@adriver.co</t>
  </si>
  <si>
    <t>ADRIVER</t>
  </si>
  <si>
    <t>adriver.co</t>
  </si>
  <si>
    <t>http://www.linkedin.com/company/adriverco</t>
  </si>
  <si>
    <t xml:space="preserve">Now operating in France, the UK and Italy, we are bringing a smart alternative to traditional outdoor to advertisers across Europe.</t>
  </si>
  <si>
    <t>http://www.linkedin.com/in/jean-fran%c3%a7ois-curtil-ab3519a5</t>
  </si>
  <si>
    <t xml:space="preserve">Jean-Francois Gourion</t>
  </si>
  <si>
    <t>Gourion</t>
  </si>
  <si>
    <t>jean-francois.gourion@ob-consulting.eu</t>
  </si>
  <si>
    <t xml:space="preserve">Founder and Chairman</t>
  </si>
  <si>
    <t xml:space="preserve">O &amp; B Consulting</t>
  </si>
  <si>
    <t>ob-consulting.eu</t>
  </si>
  <si>
    <t>Reignier-Esery</t>
  </si>
  <si>
    <t xml:space="preserve">secteurs banque,conduite du changement,finance,valorisation,assurance amp industrie,secteurs assurance,ma levee de fonds,accompagnement projets,consulting,sante,pilotage de projets,strategie,assurance industrie,transformation et innovation</t>
  </si>
  <si>
    <t>http://www.linkedin.com/company/o-&amp;-b-consulting</t>
  </si>
  <si>
    <t>https://www.facebook.com/Obconsulting19/</t>
  </si>
  <si>
    <t xml:space="preserve">Notre mission aider les entreprises dans leurs réussites. Stratégie - Transformation - Innovation</t>
  </si>
  <si>
    <t>http://www.linkedin.com/in/jean-fran%c3%a7ois-gourion-8a113716</t>
  </si>
  <si>
    <t xml:space="preserve">Jean-Luc Manceron</t>
  </si>
  <si>
    <t>Manceron</t>
  </si>
  <si>
    <t>jean-luc@fullenrich.com</t>
  </si>
  <si>
    <t>FullEnrich</t>
  </si>
  <si>
    <t>fullenrich.com</t>
  </si>
  <si>
    <t xml:space="preserve">data enrichment,waterfall enrichment,email finder,phone finder,b2b data enrichment</t>
  </si>
  <si>
    <t>http://www.linkedin.com/company/fullenrich</t>
  </si>
  <si>
    <t xml:space="preserve">1 Waterfall Enrichment platform with 15+ providers. 
Find emails and phones of people you want to do business with.</t>
  </si>
  <si>
    <t>http://www.linkedin.com/in/jean-luc-manceron-8912b795</t>
  </si>
  <si>
    <t xml:space="preserve">Jean-Noel Grimault</t>
  </si>
  <si>
    <t>Jean-Noel</t>
  </si>
  <si>
    <t>Grimault</t>
  </si>
  <si>
    <t>jean-noel.grimault@axis-electronique.com</t>
  </si>
  <si>
    <t xml:space="preserve">AXIS ÉLECTRONIQUE</t>
  </si>
  <si>
    <t>axis-electronique.com</t>
  </si>
  <si>
    <t>Saint-Denis-le-Gast</t>
  </si>
  <si>
    <t xml:space="preserve">depannage,industrialisation,conception,retroengineering,sav,maitre doeuvre,expertise,gestion de lobsolescence,veille technologique,briques technologiques,achats,sourcing,cablage,test,deverminage,tropicalisation,bureau detudes,assemblage,integration,maintenance,objets connectes,industrie,robotique,medical,agroalimentaire,agriculture,vision industrielle,telecommunications,lighting,reindustrialisation,carte electronique,composants electroniques,hardware,software,investigation cem,cahiers des charges,esd,prototype,series,iot,ingenieur,electronique,salle seche,etuves,enceintes climatiques,equipements electroniques</t>
  </si>
  <si>
    <t>Change</t>
  </si>
  <si>
    <t>http://www.linkedin.com/company/sarl-axis-electronique</t>
  </si>
  <si>
    <t xml:space="preserve">Axis Électronique est maître d’œuvre de l’équipement électronique professionnel. Nous intervenons des prototypes jusqu’aux séries de cartes électroniques.</t>
  </si>
  <si>
    <t>http://www.linkedin.com/in/jean-noel-grimault-5ba950106</t>
  </si>
  <si>
    <t xml:space="preserve">Jean Castan</t>
  </si>
  <si>
    <t>Castan</t>
  </si>
  <si>
    <t>jean@coperbee.fr</t>
  </si>
  <si>
    <t>CoperBee</t>
  </si>
  <si>
    <t>coperbee.fr</t>
  </si>
  <si>
    <t>Castelmaurou</t>
  </si>
  <si>
    <t xml:space="preserve">audit,forfait,securite si,recrutement,recherche et developpement,ecommerce,zoho,headless,zoho partner premium,omnicanalite</t>
  </si>
  <si>
    <t>Lapeyrouse-Fossat</t>
  </si>
  <si>
    <t>http://www.linkedin.com/company/coperbee</t>
  </si>
  <si>
    <t>https://www.facebook.com/CoperBee</t>
  </si>
  <si>
    <t xml:space="preserve">Nous transformons le SI des entreprises dans une logique omnicanale aux profits des clients et des collaborateurs - Zoho partenaire</t>
  </si>
  <si>
    <t>http://www.linkedin.com/in/jean-barret-castan-3a46877b</t>
  </si>
  <si>
    <t xml:space="preserve">Jean-Baptiste Lucas</t>
  </si>
  <si>
    <t>jeanbaptistelucas@adaptiv.systems</t>
  </si>
  <si>
    <t xml:space="preserve">Directeur général adjoint - Développement &amp; Communication</t>
  </si>
  <si>
    <t xml:space="preserve">Adaptiv Systems</t>
  </si>
  <si>
    <t>adaptiv.company</t>
  </si>
  <si>
    <t xml:space="preserve">smart building,artificial intelligence,iot,services,r,d</t>
  </si>
  <si>
    <t>Amsterdam</t>
  </si>
  <si>
    <t xml:space="preserve">North Holland</t>
  </si>
  <si>
    <t>http://www.linkedin.com/company/adaptivsystems</t>
  </si>
  <si>
    <t>https://www.twitter.com/adaptivsystems</t>
  </si>
  <si>
    <t>https://www.facebook.com/adaptivsystems</t>
  </si>
  <si>
    <t xml:space="preserve">Adaptiv helps companies achieve IoT digital transformation at speed and scale. We design, build, deploy and maintain exclusive IIoT ecosystems for our clients.</t>
  </si>
  <si>
    <t>http://www.linkedin.com/in/jean-baptiste-lucas-75723334</t>
  </si>
  <si>
    <t xml:space="preserve">Jeremy Dubourg</t>
  </si>
  <si>
    <t>Dubourg</t>
  </si>
  <si>
    <t>jeremy.dubourg@dna-trust.com</t>
  </si>
  <si>
    <t xml:space="preserve">D&amp;A Trust</t>
  </si>
  <si>
    <t>dna-trust.com</t>
  </si>
  <si>
    <t>Casablanca</t>
  </si>
  <si>
    <t xml:space="preserve">Grand Casablanca</t>
  </si>
  <si>
    <t>http://www.linkedin.com/company/d-a-trust</t>
  </si>
  <si>
    <t xml:space="preserve">D&amp;A TRUST est une entreprise spécialisée en cybersécurité destinée à accompagner ses clients dans le renforcement de leur cyberdéfense et la confiance numérique.
Conscient des enjeux réglementaires et de compétitivité poussant les organisations à se transformer digitalement, D&amp;A TRUST dispose de plusieurs domaines d'excellence pour les aider. 
N'hésitez pas à nous contacter sur contact@dna-trust.com</t>
  </si>
  <si>
    <t>http://www.linkedin.com/in/j%c3%a9r%c3%a9my-dubourg-574a9021</t>
  </si>
  <si>
    <t xml:space="preserve">Jeremy Ohayon</t>
  </si>
  <si>
    <t>Ohayon</t>
  </si>
  <si>
    <t>jeremy@r4innov.com</t>
  </si>
  <si>
    <t xml:space="preserve">Associé &amp; Fondateur - Expert en Financement de l'Innovation</t>
  </si>
  <si>
    <t>R4Innov</t>
  </si>
  <si>
    <t>r4innov.com</t>
  </si>
  <si>
    <t>http://www.linkedin.com/company/r4innov</t>
  </si>
  <si>
    <t xml:space="preserve">R4innov vous accompagne pour utiliser et sécuriser les instruments de 
financement de la Recherche, du Développement, et de l’Innovation - Crédit 
d’Impôt Recherche (CIR), Crédit d’Impôt Innovation (CII), Jeune Entreprise 
Innovante (JEI), Mobilisation et Préfinancement de Créances CIR, Aides et 
Subventions BPI France et Européennes, …</t>
  </si>
  <si>
    <t>http://www.linkedin.com/in/jeremy-ohayon-0b35ba15</t>
  </si>
  <si>
    <t xml:space="preserve">Jerome Froment-Meurice</t>
  </si>
  <si>
    <t>Froment-Meurice</t>
  </si>
  <si>
    <t>jerome.froment-meurice@expert-activ.com</t>
  </si>
  <si>
    <t xml:space="preserve">Dirigeant réseau Expert Activ Paris - Consultant en développement commercial</t>
  </si>
  <si>
    <t xml:space="preserve">EXPERT ACTIV spécialiste en développement commercial</t>
  </si>
  <si>
    <t>expert-activ.com</t>
  </si>
  <si>
    <t xml:space="preserve">organisation commerciale,management,marketing,accompagnement commercial,developpement commercial,synergie dequipe,formation commerciale,synergie d39equipe,recrutement</t>
  </si>
  <si>
    <t>http://www.linkedin.com/company/expert-activ-le-r-seau-national-des-consultants-sp-cialis-s-en-d-veloppement-commercial</t>
  </si>
  <si>
    <t>https://twitter.com/expertactiv1</t>
  </si>
  <si>
    <t>https://facebook.com/expertactiv</t>
  </si>
  <si>
    <t xml:space="preserve">Expert-Activ intervient sur les problématiques liées au développement commercial, management et marketing des TPE/PME. C’est un réseau national de consultants indépendants.</t>
  </si>
  <si>
    <t>http://www.linkedin.com/in/j%c3%a9r%c3%b4me-froment-meurice-9576325b</t>
  </si>
  <si>
    <t xml:space="preserve">Jerome Pechenard</t>
  </si>
  <si>
    <t>Pechenard</t>
  </si>
  <si>
    <t>jerome.pechenard@kapito-consulting.com</t>
  </si>
  <si>
    <t xml:space="preserve">Kapito Consulting</t>
  </si>
  <si>
    <t>kapito-consulting.com</t>
  </si>
  <si>
    <t>http://www.linkedin.com/company/kapitoconsulting</t>
  </si>
  <si>
    <t>https://twitter.com/Kapito_C</t>
  </si>
  <si>
    <t xml:space="preserve">Cabinet de conseil eXpert en finance de marché, banque, assurance &amp; énergie. Nous prônons la simplicité comme vertu de la réussite de votre projet.</t>
  </si>
  <si>
    <t>http://www.linkedin.com/in/j%c3%a9r%c3%b4me-pechenard-0185a2a</t>
  </si>
  <si>
    <t xml:space="preserve">Jerome Fourest</t>
  </si>
  <si>
    <t>Fourest</t>
  </si>
  <si>
    <t>jerome@banquiz.fr</t>
  </si>
  <si>
    <t xml:space="preserve">Maison Banquiz</t>
  </si>
  <si>
    <t>banquiz.fr</t>
  </si>
  <si>
    <t>Calmont</t>
  </si>
  <si>
    <t>http://www.linkedin.com/company/maison-banquiz</t>
  </si>
  <si>
    <t xml:space="preserve">Vente de produits surgélés,  livraison à domicile sur l'Aveyron, la Lozère, l'Hérault, le Gard,le Cantal, le Tarn, le Tarn et Garonne, le Lot,la Corrèze, la Creuse, la Vienne,l'Allier, la Haute Loire</t>
  </si>
  <si>
    <t>http://www.linkedin.com/in/j%c3%a9r%c3%b4me-fourest-32483b</t>
  </si>
  <si>
    <t xml:space="preserve">Jerome Fauconnet</t>
  </si>
  <si>
    <t>Fauconnet</t>
  </si>
  <si>
    <t>jerome@fisa.fr</t>
  </si>
  <si>
    <t xml:space="preserve">FAUCONNET INGENIERIE SAS</t>
  </si>
  <si>
    <t>fisa.fr</t>
  </si>
  <si>
    <t xml:space="preserve">logiciels simulation,logiciels calculs reglementaires,logiciels caodao,logciels calculs dimensionnement,autodesk vad specialisation building,bim maquette numerique</t>
  </si>
  <si>
    <t>Aix-Villemaur-Palis</t>
  </si>
  <si>
    <t>http://www.linkedin.com/company/fauconnet-ingenierie-sa</t>
  </si>
  <si>
    <t>https://twitter.com/Fisa_News</t>
  </si>
  <si>
    <t>https://www.facebook.com/pages/Fauconnet-Ing%C3%A9nierie-SA/1707044375989370</t>
  </si>
  <si>
    <t xml:space="preserve">FAUCONNET Ingénierie SAS | FISA leader français des éditeurs de logiciels pour le génie climatique</t>
  </si>
  <si>
    <t>http://www.linkedin.com/in/j%c3%a9r%c3%b4me-fauconnet-09369a83</t>
  </si>
  <si>
    <t xml:space="preserve">Jessica Monti</t>
  </si>
  <si>
    <t>Jessica</t>
  </si>
  <si>
    <t>Monti</t>
  </si>
  <si>
    <t>jessica.monti@montigroupe95.fr</t>
  </si>
  <si>
    <t>MONTI</t>
  </si>
  <si>
    <t>montigroupe95.fr</t>
  </si>
  <si>
    <t>Ennery</t>
  </si>
  <si>
    <t xml:space="preserve">peinture decoration,isolation thermique par lexterieur,revetement de facades,sauvegarde du patrimoine,metier darts</t>
  </si>
  <si>
    <t>http://www.linkedin.com/company/monti-groupe</t>
  </si>
  <si>
    <t>https://www.facebook.com/montigroupe95/</t>
  </si>
  <si>
    <t xml:space="preserve">Une expérience et une rigueur de plus de 65 ans dans vos projets de  Peinture, Décoration, Revêtement, Façade, Métier d'art, Sauvegarde du patrimoine</t>
  </si>
  <si>
    <t>http://www.linkedin.com/in/jessica-monti-b655b779</t>
  </si>
  <si>
    <t xml:space="preserve">Jessica Kauffmann</t>
  </si>
  <si>
    <t>Kauffmann</t>
  </si>
  <si>
    <t>jessica@projim.com</t>
  </si>
  <si>
    <t>Projim</t>
  </si>
  <si>
    <t>projim.com</t>
  </si>
  <si>
    <t xml:space="preserve">construction &amp; promotion immobiliere</t>
  </si>
  <si>
    <t>Melun</t>
  </si>
  <si>
    <t>http://www.linkedin.com/company/projim</t>
  </si>
  <si>
    <t xml:space="preserve">Société immobilière reconnue pour son savoir-faire, Projim développe depuis plus de 10 ans des réalisations à taille humaine de grande qualité, qui conjuguent emplacements premium, esthétique architecturale, fiabilité du bâti et finitions soignées. Projim, le partenaire de la réussite de votre projet immobilier !</t>
  </si>
  <si>
    <t>http://www.linkedin.com/in/jessica-kauffmann-613199334</t>
  </si>
  <si>
    <t xml:space="preserve">Jimmy Fauchoux</t>
  </si>
  <si>
    <t>Fauchoux</t>
  </si>
  <si>
    <t>jfauchoux@metalperformances.com</t>
  </si>
  <si>
    <t xml:space="preserve">Métal Performances</t>
  </si>
  <si>
    <t>metalperformances.com</t>
  </si>
  <si>
    <t>montage,chaudronnerie,tuyauterie,metallerie</t>
  </si>
  <si>
    <t>Beignon</t>
  </si>
  <si>
    <t>http://www.linkedin.com/company/m%c3%a9tal-performances</t>
  </si>
  <si>
    <t xml:space="preserve">Métal Performances intervient en chaudronnerie, montage, tuyauterie et métallerie, aussi bien localement que sur tout le territoire français, UE et Hors UE.</t>
  </si>
  <si>
    <t>http://www.linkedin.com/in/jimmy-fauchoux-29965826</t>
  </si>
  <si>
    <t xml:space="preserve">Jean-Francois Henon</t>
  </si>
  <si>
    <t>Henon</t>
  </si>
  <si>
    <t>jfh@optimistik.com</t>
  </si>
  <si>
    <t>Optimistik</t>
  </si>
  <si>
    <t>optimistik.com</t>
  </si>
  <si>
    <t xml:space="preserve">optimisation de procedes,visualisation de donnees,analyse de donnees,data analytics,industrie 40,performance industrielle,analyse de donnees performance industrielle data analytics industrie 40 optimisation de procedes visu</t>
  </si>
  <si>
    <t>http://www.linkedin.com/company/optimistik</t>
  </si>
  <si>
    <t xml:space="preserve">Unleash the power of data in your organisation with Optimistik's Operational Intelligence solutions and improve your industrial performance.</t>
  </si>
  <si>
    <t>http://www.linkedin.com/in/jfhenon</t>
  </si>
  <si>
    <t xml:space="preserve">Jerome Herard</t>
  </si>
  <si>
    <t>Herard</t>
  </si>
  <si>
    <t>jherard@viadirect.com</t>
  </si>
  <si>
    <t xml:space="preserve">Founding partner - Associé fondateur</t>
  </si>
  <si>
    <t>ViaDirect</t>
  </si>
  <si>
    <t>viadirect.com</t>
  </si>
  <si>
    <t xml:space="preserve">dooh,wayfinding,orientation,signaletique,affichage dynamique,digital media,iot,digital,interactive,kiosk,3d maps,indoornavigation,directorios,digital directory,mobile,totems,airports,malls,offices</t>
  </si>
  <si>
    <t>http://www.linkedin.com/company/viadirectiledesmedias</t>
  </si>
  <si>
    <t xml:space="preserve">L'île des Médias est une agence digitale parisienne indépendante créée en 1996 par Renaud de La Baume et Jérôme Hérard.
Depuis 2009 la société investi fortement dans le digital media notamment à travers la marque ViaDirect devenue un des acteurs majeur des solutions tactiles dans l'espace public.</t>
  </si>
  <si>
    <t>http://www.linkedin.com/in/j%c3%a9r%c3%b4me-h%c3%a9rard-b544b61</t>
  </si>
  <si>
    <t xml:space="preserve">Jihane Nabih</t>
  </si>
  <si>
    <t>Jihane</t>
  </si>
  <si>
    <t>Nabih</t>
  </si>
  <si>
    <t>jihane.nabih@alliance-economie.fr</t>
  </si>
  <si>
    <t xml:space="preserve">Associée - Directrice Générale</t>
  </si>
  <si>
    <t xml:space="preserve">Alliance Économie</t>
  </si>
  <si>
    <t>alliance-economie.fr</t>
  </si>
  <si>
    <t xml:space="preserve">economie de la construction,assistance a maitrise douvrage,management de projets,suivi financier des chantiers,conseil en economie de la construction,expertise igh,expertise domaine hospitalier,expertise hotellerie de luxe,expertise centre commerciaux,etude de prix,economie tce,arbitrage,innovation,pratique du bim en economie,cost management,management,conseil,amo economique,value engineering,suivi financier travaux</t>
  </si>
  <si>
    <t>http://www.linkedin.com/company/allianceeconomie</t>
  </si>
  <si>
    <t xml:space="preserve">ALLIANCE ECONOMIE has over 28 years of experience in all aspects of Construction cost management in France with solid expertise in high-rise buildings, hospitals, luxury hotels and shopping centers, etc.
3 entities based in Paris (alliance-economie), Lyon (AE Lyon) and Rennes (AE Bretagne) bringing together 57 employees with complementary training and skills (engineers, architects, cost managers...) but have a unique methodology.
We offer a wide range of services, from Quantity surveying to all trades economy, as well as the financial monitoring of construction sites for complete control of budget commitments throughout the life of the project.
Innovation is our moto, in the effective practice of BIM levels 1,2,3, perfectly mastered internally, but also in an innovative approach with an environmental strategy, and/or an interactive project configurator.
Our desire for independence allows us to support both the project owner and the design team and therefore position ourselves regularly in the arbitration and the search for the overall budget/program/project adequacy.</t>
  </si>
  <si>
    <t>http://www.linkedin.com/in/jihane-nabih-b79b36140</t>
  </si>
  <si>
    <t xml:space="preserve">Jimmy Martin</t>
  </si>
  <si>
    <t>jimmy@certifopac.fr</t>
  </si>
  <si>
    <t xml:space="preserve">Co-fondateur &amp; directeur stratégie</t>
  </si>
  <si>
    <t xml:space="preserve">Certifopac | Certificateur Qualiopi</t>
  </si>
  <si>
    <t>certifopac.fr</t>
  </si>
  <si>
    <t>Montreal-la-Cluse</t>
  </si>
  <si>
    <t xml:space="preserve">certification qualiopi,audit qualite,audit qualiopi</t>
  </si>
  <si>
    <t>http://www.linkedin.com/company/certifopac</t>
  </si>
  <si>
    <t xml:space="preserve">Certifopac, LE spécialiste de la certification Qualiopi. Innovation, transparence, indépendance et excellence sont notre ADN.</t>
  </si>
  <si>
    <t>http://www.linkedin.com/in/jimmymotc</t>
  </si>
  <si>
    <t xml:space="preserve">James Morelle</t>
  </si>
  <si>
    <t>Morelle</t>
  </si>
  <si>
    <t>jmorelle@iteka.fr</t>
  </si>
  <si>
    <t>ITEKA</t>
  </si>
  <si>
    <t>iteka.fr</t>
  </si>
  <si>
    <t>Coutiches</t>
  </si>
  <si>
    <t>http://www.linkedin.com/company/sasiteka</t>
  </si>
  <si>
    <t xml:space="preserve">ITEKA accompagne les entreprises de toutes tailles dans leurs transition numérique. 
Nous vous proposons un Panel de services lié aux services informatiques : 
📞 Téléphonie d'entreprises 
📱 Flotte mobile
🛜 Accès Internet / fibre optique
💻 Gestion d'infrastructure et parc informatique 
🖨️ Copieurs
Contactez notre équipe d'experts pour un audit de vos systèmes contact@iteka.fr
l'équipe ITEKA 
www.iteka.fr</t>
  </si>
  <si>
    <t>http://www.linkedin.com/in/james-morelle-32659510a</t>
  </si>
  <si>
    <t xml:space="preserve">Joao Justi</t>
  </si>
  <si>
    <t>Joao</t>
  </si>
  <si>
    <t>Justi</t>
  </si>
  <si>
    <t>joao@twin.so</t>
  </si>
  <si>
    <t>Twin</t>
  </si>
  <si>
    <t>twin.so</t>
  </si>
  <si>
    <t xml:space="preserve">artificial intelligence,generative ai,automation</t>
  </si>
  <si>
    <t>http://www.linkedin.com/company/twinso</t>
  </si>
  <si>
    <t xml:space="preserve">We’re building the first AI that can act as Humans do.</t>
  </si>
  <si>
    <t>http://www.linkedin.com/in/joao-a-justi</t>
  </si>
  <si>
    <t xml:space="preserve">Joel Nomerange</t>
  </si>
  <si>
    <t>Nomerange</t>
  </si>
  <si>
    <t>joel.nomerange@youday.fr</t>
  </si>
  <si>
    <t xml:space="preserve">Youday CRM</t>
  </si>
  <si>
    <t>youday.fr</t>
  </si>
  <si>
    <t xml:space="preserve">crm,grc,customer relationship management,gestion de la relation client,web,saas,api crm,base de donnees,crm mobile,gestion des contacts,gestion des affaires,gestion des temps,gestion de projets,gestion commerciale,nocode</t>
  </si>
  <si>
    <t>http://www.linkedin.com/company/youday-crm</t>
  </si>
  <si>
    <t xml:space="preserve">Youday CRM, la solution GRC simple et paramétrable en mode SaaS pour gérer votre activité et votre relation client. Démo CRM Gratuite.</t>
  </si>
  <si>
    <t>http://www.linkedin.com/in/jo%c3%abl-nomerange-781a6837</t>
  </si>
  <si>
    <t xml:space="preserve">Joffrey Verdiere</t>
  </si>
  <si>
    <t>Verdiere</t>
  </si>
  <si>
    <t>joffrey.verdiere@andre-renovation.com</t>
  </si>
  <si>
    <t xml:space="preserve">Président-directeur général André Renovation &amp;Induststrie</t>
  </si>
  <si>
    <t xml:space="preserve">ANDRÉ RÉNOVATION</t>
  </si>
  <si>
    <t>andre-renovation.com</t>
  </si>
  <si>
    <t>Compiegne</t>
  </si>
  <si>
    <t xml:space="preserve">neuf et renovation</t>
  </si>
  <si>
    <t>http://www.linkedin.com/company/andre-anthony-sarl</t>
  </si>
  <si>
    <t xml:space="preserve">La société ANDRÉ RENOVATION est une entreprise générale de bâtiment, spécialisé autour de deux pôles :
La rénovation de l'habitat ;
La réhabilitation de logements collectifs en milieu habité ou non, et de bâtiments tertiaires.
Nous sommes à votre écoute pour vous accompagner dans tous vos projets. Nous mettons notre expérience et notre savoir-faire à votre service pour suivre et vous conseiller dans votre projet.
La coordination de vos projets est assurée par nos directeurs de travaux en collaboration avec leurs équipes de conduite et d'exécution.
Nous rayonnons en Picardie et dans le nord de la région Île-de-France pour le pôle réhabilitation et à 30 km autour de Compiègne pour le pôle rénovation.</t>
  </si>
  <si>
    <t>http://www.linkedin.com/in/joffrey-verdiere-91b9b6127</t>
  </si>
  <si>
    <t xml:space="preserve">Johann Braud</t>
  </si>
  <si>
    <t>Johann</t>
  </si>
  <si>
    <t>Braud</t>
  </si>
  <si>
    <t>johann.braud@cogifor.com</t>
  </si>
  <si>
    <t xml:space="preserve">Dirigeant  Fondateur</t>
  </si>
  <si>
    <t>COGIFOR</t>
  </si>
  <si>
    <t>cogifor.com</t>
  </si>
  <si>
    <t xml:space="preserve">conseil informatique,tma,developpement sur mesure,vuejs,creation de logiciels,ingenierie informatique,edition de logiciels,php,symfony</t>
  </si>
  <si>
    <t>http://www.linkedin.com/company/cogifor-com</t>
  </si>
  <si>
    <t xml:space="preserve">Cogifor est une SSII qui conduit des projets de développement informatique et de digitalisation pour les entreprises.</t>
  </si>
  <si>
    <t>http://www.linkedin.com/in/johann-braud-858aba87</t>
  </si>
  <si>
    <t xml:space="preserve">Jonathan Bernardie</t>
  </si>
  <si>
    <t>Bernardie</t>
  </si>
  <si>
    <t>jonathan.bernardie@jhhapplications.com</t>
  </si>
  <si>
    <t xml:space="preserve">JHH Applications</t>
  </si>
  <si>
    <t>jhhapplications.com</t>
  </si>
  <si>
    <t xml:space="preserve">architecture virtuelle,3d interactive,virtual reality,realite augmente,realite virtuelle</t>
  </si>
  <si>
    <t>http://www.linkedin.com/company/jhhapplications</t>
  </si>
  <si>
    <t xml:space="preserve">JHH Applications offers a range of innovative and compelling virtual reality solutions to help drive your sales force. We are constantly investing in R&amp;D, where we strive to provide cutting edge technical and functional performances.</t>
  </si>
  <si>
    <t>http://www.linkedin.com/in/jonathan-bernardie-72b6b386</t>
  </si>
  <si>
    <t xml:space="preserve">Jonathan Rizand</t>
  </si>
  <si>
    <t>Rizand</t>
  </si>
  <si>
    <t>jonathan.rizand@temporis.fr</t>
  </si>
  <si>
    <t xml:space="preserve">Dirigeant  Associé</t>
  </si>
  <si>
    <t xml:space="preserve">Temporis Loire Sud</t>
  </si>
  <si>
    <t xml:space="preserve">emploi,rh,formation,accompagnement rh,placement cdi,recrutement,conseil rh,interim,carriere,rse,inclusion</t>
  </si>
  <si>
    <t>http://www.linkedin.com/company/temporis-loire-sud</t>
  </si>
  <si>
    <t xml:space="preserve">Avec plus de 190 agences en France, Temporis est le 1er réseau d'agences d'emploi à s'être développé sous forme de franchise.
Les agences de TEMPORIS Loire Sud accompagnent au quotidien les entreprises dans la gestion des ressources humaines et les talents de manière inclusive. Du recrutement en passant par la formation ou encore la gestion prévisionnelle des compétences, Temporis est votre 1er facilitateur RH !
Nos 6 agences vous accueillent du lundi au vendredi ! 
• 4 Agences généralistes (Montbrison, Andrézieux-Bouthéon, Saint-Etienne, Saint-Chamond)
•1 Agence spécialisée sur les postes du bâtiment et des travaux public (Andrézieux-Bouthéon) 
•1 Agence spécialisée sur les postes tertiaires et fonctions supports (Saint-Etienne Consulting) 
Nous vous attendons avec impatience ! 
L'équipe Temporis Loire Sud !</t>
  </si>
  <si>
    <t>http://www.linkedin.com/in/jonathan-rizand-0517a9136</t>
  </si>
  <si>
    <t xml:space="preserve">Jonathan Bigot</t>
  </si>
  <si>
    <t>Bigot</t>
  </si>
  <si>
    <t>jonathan@toutateam.fr</t>
  </si>
  <si>
    <t xml:space="preserve">Dirigeant de Jicom SAS</t>
  </si>
  <si>
    <t>Toutateam</t>
  </si>
  <si>
    <t>toutateam.fr</t>
  </si>
  <si>
    <t>http://www.linkedin.com/company/toutateam</t>
  </si>
  <si>
    <t xml:space="preserve">Gérez le site et l'application mobile du CSE de manière très simple et ainsi, informez les salariés sur l'ensemble des actualités du CSE (PV de réunions, sondages et inscriptions, calendrier des événements du CSE, bons plans...). Avec l'application mobile de votre CSE, vous accompagnez vos ayants-droit partout et améliorez la diffusion de vos informations.</t>
  </si>
  <si>
    <t>http://www.linkedin.com/in/jonathan-le-bigot-894049a8</t>
  </si>
  <si>
    <t xml:space="preserve">Joris Thomas</t>
  </si>
  <si>
    <t>joris.thomas@slash-consulting.fr</t>
  </si>
  <si>
    <t xml:space="preserve">SLASH Consulting</t>
  </si>
  <si>
    <t>slash-consulting.fr</t>
  </si>
  <si>
    <t xml:space="preserve">industrie,consultants,lille,it,numerique,services et conseil informatiques,ingenierie,consulting,business manager,nord</t>
  </si>
  <si>
    <t>http://www.linkedin.com/company/slash-consulting-france</t>
  </si>
  <si>
    <t xml:space="preserve">Slash, société de conseil, accompagne les entreprises sur l'ensemble du cycle d'ingénierie, d'intégration, et process lié à des projets numériques et industriels.</t>
  </si>
  <si>
    <t>http://www.linkedin.com/in/joris-thomas-92b320133</t>
  </si>
  <si>
    <t xml:space="preserve">Joris Dubouloz</t>
  </si>
  <si>
    <t>Dubouloz</t>
  </si>
  <si>
    <t>joris@saalz.com</t>
  </si>
  <si>
    <t xml:space="preserve">Fondateur Saalz</t>
  </si>
  <si>
    <t>Saalz</t>
  </si>
  <si>
    <t>saalz.com</t>
  </si>
  <si>
    <t>Peronnas</t>
  </si>
  <si>
    <t>http://www.linkedin.com/company/saalz</t>
  </si>
  <si>
    <t>http://www.linkedin.com/in/jorisdubouloz</t>
  </si>
  <si>
    <t xml:space="preserve">Jose Longo</t>
  </si>
  <si>
    <t>Jose</t>
  </si>
  <si>
    <t>Longo</t>
  </si>
  <si>
    <t>jose.longo@celia-creation.fr</t>
  </si>
  <si>
    <t xml:space="preserve">CELIA CREATION</t>
  </si>
  <si>
    <t>celia-creation.fr</t>
  </si>
  <si>
    <t>Rouffiac-Tolosan</t>
  </si>
  <si>
    <t>http://www.linkedin.com/company/celia-creation</t>
  </si>
  <si>
    <t>https://www.facebook.com/maisonceliacreation</t>
  </si>
  <si>
    <t xml:space="preserve">CELIA Création vous accompagne dans votre projet de construction de maison sur-mesure haut de gamme dans le sud-ouest de la France -dpt : 31,32,33,81,82</t>
  </si>
  <si>
    <t>http://www.linkedin.com/in/jos%c3%a9-longo-95a616b1</t>
  </si>
  <si>
    <t xml:space="preserve">Joseph Cochrane</t>
  </si>
  <si>
    <t>Cochrane</t>
  </si>
  <si>
    <t>joseph@quicktalk.com</t>
  </si>
  <si>
    <t>Quicktalk</t>
  </si>
  <si>
    <t>quicktalk.com</t>
  </si>
  <si>
    <t>Atlanta</t>
  </si>
  <si>
    <t>Georgia</t>
  </si>
  <si>
    <t>http://www.linkedin.com/company/quicktalkapp</t>
  </si>
  <si>
    <t xml:space="preserve">Get a phone number for your startup and use a very simple phone system from any device. Try Quicktalk online or call us (470) 45 6787.</t>
  </si>
  <si>
    <t>http://www.linkedin.com/in/joseph-cochrane-b6677630</t>
  </si>
  <si>
    <t xml:space="preserve">Josselin Fouquet</t>
  </si>
  <si>
    <t>Josselin</t>
  </si>
  <si>
    <t>Fouquet</t>
  </si>
  <si>
    <t>josselin.fouquet@statera-corp.com</t>
  </si>
  <si>
    <t xml:space="preserve">Co-fondateur / Directeur Associé Statera Technologies</t>
  </si>
  <si>
    <t>STATERA</t>
  </si>
  <si>
    <t>statera-corp.com</t>
  </si>
  <si>
    <t xml:space="preserve">life sciences,marketplace,banking,cib,engineering,luxe,retail,btp,industrie,bioengineering,biometry,assurance</t>
  </si>
  <si>
    <t>http://www.linkedin.com/company/statera-corp</t>
  </si>
  <si>
    <t xml:space="preserve">Our name is our state of mind, a model where the values of eco-responsibility, well-being and balance are one. All our employees have joined an adventure in which they can flourish on exciting missions while being supported and listened to.
Statera is also a multi-expertise group, which covers a wide spectrum of sectors and professions. Our Staterians constitute a formidable community who do not hesitate to help each other to evolve together.</t>
  </si>
  <si>
    <t>http://www.linkedin.com/in/josselin-fouquet-a88358bb</t>
  </si>
  <si>
    <t xml:space="preserve">Julien Preynat</t>
  </si>
  <si>
    <t>Preynat</t>
  </si>
  <si>
    <t>jpreynat@gotel.fr</t>
  </si>
  <si>
    <t xml:space="preserve">Dirigeant Associé</t>
  </si>
  <si>
    <t>GOTEL</t>
  </si>
  <si>
    <t>gotel.fr</t>
  </si>
  <si>
    <t xml:space="preserve">securite internet,infrastructure lan,wifi,certifications alcatel lucent,telephonie ip,telephonie,fournisseur connexion internet,telephonie mobile,maintenance et prestations de mise en service,appel malade</t>
  </si>
  <si>
    <t xml:space="preserve">Le Puy</t>
  </si>
  <si>
    <t>http://www.linkedin.com/company/gotel-r%c3%a9seaux</t>
  </si>
  <si>
    <t xml:space="preserve">GoTel est intégrateur de solutions de télécommunication basée au Puy-en-Velay, avec la volonté d'accompagner durablement ses clients dans les services qu'elle leur procure, et au-delà des aspects techniques, GoTel sait créer et faire évoluer son offre pour l'étoffer et la globaliser afin de prendre le positionnement d'Opérateur de Services Internet. L'engagement de GoTel auprès de ses clients intègre la mise à disposition de solution de télécommunications et communications d'entreprise, les prestations techniques et la maintenance associée.</t>
  </si>
  <si>
    <t>http://www.linkedin.com/in/julien-preynat-66933158</t>
  </si>
  <si>
    <t xml:space="preserve">Julien Torrecillas</t>
  </si>
  <si>
    <t>Torrecillas</t>
  </si>
  <si>
    <t>jt@maisons-terre-doc.fr</t>
  </si>
  <si>
    <t xml:space="preserve">Maisons Terre d'Oc</t>
  </si>
  <si>
    <t>maisons-terre-doc.fr</t>
  </si>
  <si>
    <t>Grazac</t>
  </si>
  <si>
    <t>http://www.linkedin.com/company/maisons-terre-doc</t>
  </si>
  <si>
    <t xml:space="preserve">Constructeur maison à Albi, Castres, Revel, Mazamet et Toulouse (81 et 31) (Occitanie / Midi-Pyrénées). Construction de maisons suivant la norme RE 2020.</t>
  </si>
  <si>
    <t>http://www.linkedin.com/in/julien-torrecillas-46117b152</t>
  </si>
  <si>
    <t xml:space="preserve">Jules Castanet</t>
  </si>
  <si>
    <t>Castanet</t>
  </si>
  <si>
    <t>jules.castanet@frame-advisory.com</t>
  </si>
  <si>
    <t xml:space="preserve">Manager @ Frame / Co-founder</t>
  </si>
  <si>
    <t>Frame</t>
  </si>
  <si>
    <t>frame-advisory.com</t>
  </si>
  <si>
    <t>http://www.linkedin.com/company/frame-advisory</t>
  </si>
  <si>
    <t xml:space="preserve">Fondé en 2022 par une équipe d'associés expérimentés, Frame est un nouveau cabinet de conseil en stratégie et management auprès des institutions financières</t>
  </si>
  <si>
    <t>http://www.linkedin.com/in/jules-castanet-4173a991</t>
  </si>
  <si>
    <t xml:space="preserve">Julia Sammut</t>
  </si>
  <si>
    <t>Sammut</t>
  </si>
  <si>
    <t>julia@epicerielideal.com</t>
  </si>
  <si>
    <t xml:space="preserve">EPICERIE L'IDEAL</t>
  </si>
  <si>
    <t>epicerielideal.com</t>
  </si>
  <si>
    <t xml:space="preserve">produits frais,fromagers,charcuterie,cave a vins,epicerie,restaurant</t>
  </si>
  <si>
    <t>http://www.linkedin.com/company/epicerie-l-ideal</t>
  </si>
  <si>
    <t xml:space="preserve">Épicerie fine à Marseille</t>
  </si>
  <si>
    <t>http://www.linkedin.com/in/julia-sammut-1a560336</t>
  </si>
  <si>
    <t xml:space="preserve">Julie Cutillas</t>
  </si>
  <si>
    <t>Cutillas</t>
  </si>
  <si>
    <t>julie.cutillas@coven-france.fr</t>
  </si>
  <si>
    <t xml:space="preserve">Dirigeante fondatrice</t>
  </si>
  <si>
    <t>Coven</t>
  </si>
  <si>
    <t>coven-france.fr</t>
  </si>
  <si>
    <t xml:space="preserve">produzione forni per la ristorazione professionale,formations,risques professionnels,btp,prestataire,sante au travail,sensibilisation aux risques,safety day,prevention des risques,escape game,surete,safety week,securite,conseil,qse</t>
  </si>
  <si>
    <t>http://www.linkedin.com/company/coven</t>
  </si>
  <si>
    <t>https://twitter.com/CovenFrance</t>
  </si>
  <si>
    <t>https://www.facebook.com/Coven-France-405090950051439/</t>
  </si>
  <si>
    <t xml:space="preserve">Coven vous propose un panel de solutions ludiques et innovantes pour vous accompagner dans la mise en place et le déploiement de votre politique prévention.</t>
  </si>
  <si>
    <t>http://www.linkedin.com/in/julie-cutillas-201b53a</t>
  </si>
  <si>
    <t xml:space="preserve">Julien Daviau</t>
  </si>
  <si>
    <t>Daviau</t>
  </si>
  <si>
    <t>julien.daviau@uni-vision.fr</t>
  </si>
  <si>
    <t>Uni-Vision</t>
  </si>
  <si>
    <t>uni-vision.fr</t>
  </si>
  <si>
    <t>Cholet</t>
  </si>
  <si>
    <t xml:space="preserve">affichage numerique,ecrans,interface de communication</t>
  </si>
  <si>
    <t>http://www.linkedin.com/company/uni-vision</t>
  </si>
  <si>
    <t>https://www.facebook.com/univisionfrance</t>
  </si>
  <si>
    <t xml:space="preserve">Uni Vision vous accompagne dans la mise en place de votre communication digitale. L'affichage dynamique est accessible à tous, avec des écrans de communication.</t>
  </si>
  <si>
    <t>http://www.linkedin.com/in/julien-daviau-94b95733</t>
  </si>
  <si>
    <t xml:space="preserve">Julien Dufossez</t>
  </si>
  <si>
    <t>Dufossez</t>
  </si>
  <si>
    <t>julien.dufossez@carmen-conseil.fr</t>
  </si>
  <si>
    <t xml:space="preserve">Fondateur et dirigeant</t>
  </si>
  <si>
    <t xml:space="preserve">Carmen Conseil</t>
  </si>
  <si>
    <t>carmen-conseil.fr</t>
  </si>
  <si>
    <t>Floirac</t>
  </si>
  <si>
    <t>Cenon</t>
  </si>
  <si>
    <t>http://www.linkedin.com/company/carmen-conseil</t>
  </si>
  <si>
    <t xml:space="preserve">Carmen Conseil est un cabinet de conseil indépendant situé à Bordeaux, spécialisé dans le pilotage de projets informatiques et le management de transition.</t>
  </si>
  <si>
    <t>http://www.linkedin.com/in/julien-dufossez-1ba74b45</t>
  </si>
  <si>
    <t xml:space="preserve">Julien Latoures</t>
  </si>
  <si>
    <t>Latoures</t>
  </si>
  <si>
    <t>julien.latoures@beesap.fr</t>
  </si>
  <si>
    <t>BEESAP</t>
  </si>
  <si>
    <t>beesap.fr</t>
  </si>
  <si>
    <t xml:space="preserve">sap,btp,bw,ecc,apo,mecenat de competences,fiori,mm,abap,ewm,api,agilite,solman,fi,co,fr,sd,s4hana</t>
  </si>
  <si>
    <t>http://www.linkedin.com/company/beesap</t>
  </si>
  <si>
    <t xml:space="preserve">Beesap vous accompagne dans vos projets de transformation de votre ERP. Beesap un accélérateur de Réussite de vos projets SAP. projet SAP</t>
  </si>
  <si>
    <t>http://www.linkedin.com/in/julien-latoures-70003a15</t>
  </si>
  <si>
    <t xml:space="preserve">Julien Lunardelli</t>
  </si>
  <si>
    <t>Lunardelli</t>
  </si>
  <si>
    <t>julien.lunardelli@lumiscaphe.com</t>
  </si>
  <si>
    <t>Lumiscaphe</t>
  </si>
  <si>
    <t>lumiscaphe.com</t>
  </si>
  <si>
    <t>Canejan</t>
  </si>
  <si>
    <t xml:space="preserve">product customization,virtual reality,tesselation,digital continuity,virtual prototype,digital aspect mockup,stereoscopy,3d rendering,3d configurator,realtime 3d,perceived quality,project review</t>
  </si>
  <si>
    <t>http://www.linkedin.com/company/lumiscaphe</t>
  </si>
  <si>
    <t>https://twitter.com/lumiscaphe</t>
  </si>
  <si>
    <t xml:space="preserve">Créez de la valeur stratégique dans votre entreprise par la visualisation 3D temps réel de vos produits.</t>
  </si>
  <si>
    <t>http://www.linkedin.com/in/jlunardelli</t>
  </si>
  <si>
    <t xml:space="preserve">Julien Morinay</t>
  </si>
  <si>
    <t>Morinay</t>
  </si>
  <si>
    <t>julien.morinay@mrit.fr</t>
  </si>
  <si>
    <t xml:space="preserve">Founder &amp; Business Development Manager</t>
  </si>
  <si>
    <t xml:space="preserve">mrIT France</t>
  </si>
  <si>
    <t>mrit.fr</t>
  </si>
  <si>
    <t>http://www.linkedin.com/company/mrit-france</t>
  </si>
  <si>
    <t xml:space="preserve">De l'intégration d'infrastructures sécurisées en datacenter jusqu'à la livraison internationale de matériels IT, MRIT vous accompagne.</t>
  </si>
  <si>
    <t>http://www.linkedin.com/in/julien-morinay-89907061</t>
  </si>
  <si>
    <t xml:space="preserve">Julien Tournadre</t>
  </si>
  <si>
    <t>julien@calumino.com</t>
  </si>
  <si>
    <t xml:space="preserve">International Business Development Manager @Calumino Founder</t>
  </si>
  <si>
    <t>CALUMINO</t>
  </si>
  <si>
    <t>calumino.com</t>
  </si>
  <si>
    <t>Veurey-Voroize</t>
  </si>
  <si>
    <t xml:space="preserve">semiconductor chip design,thermal imaging sensors,infrared sensors,iot,ai,imaging,smart buildings</t>
  </si>
  <si>
    <t>Sydney</t>
  </si>
  <si>
    <t xml:space="preserve">New South Wales</t>
  </si>
  <si>
    <t>http://www.linkedin.com/company/calumino</t>
  </si>
  <si>
    <t>https://facebook.com/calumino</t>
  </si>
  <si>
    <t xml:space="preserve">The world's first thermal sensor designed for mass-market applications. Discover how our innovations cater to any application, ensuring safety and efficiency.</t>
  </si>
  <si>
    <t>http://www.linkedin.com/in/julientournadre</t>
  </si>
  <si>
    <t xml:space="preserve">Julien Raoust</t>
  </si>
  <si>
    <t>Raoust</t>
  </si>
  <si>
    <t>julien@fanprime.io</t>
  </si>
  <si>
    <t>Fanprime</t>
  </si>
  <si>
    <t>fanprime.io</t>
  </si>
  <si>
    <t xml:space="preserve">blockchain,digital ip,ewallet,fan activation,data,saas,baas,adtech,loyalty program,fan management,analytics,programmatic,fan rewards,fan engagement,sport,entertainment,web3</t>
  </si>
  <si>
    <t>http://www.linkedin.com/company/fanprime</t>
  </si>
  <si>
    <t>https://twitter.com/FanprimeH2o</t>
  </si>
  <si>
    <t xml:space="preserve">Create a direct-to-fan relationship. Deploy your fan rewards program in few clicks. Connect with your fans. Deploy new activations and products.</t>
  </si>
  <si>
    <t>http://www.linkedin.com/in/julien-raoust-55b19216</t>
  </si>
  <si>
    <t xml:space="preserve">Julien Guermonprez</t>
  </si>
  <si>
    <t>Guermonprez</t>
  </si>
  <si>
    <t>julien@guermonprez.com</t>
  </si>
  <si>
    <t xml:space="preserve">GUERMONPREZ Stores &amp; Fermetures</t>
  </si>
  <si>
    <t>guermonprez.com</t>
  </si>
  <si>
    <t>http://www.linkedin.com/company/guermonprez-stores-&amp;-fermetures</t>
  </si>
  <si>
    <t>https://www.facebook.com/Guermonprez-Stores-et-Fermetures-109099841679288</t>
  </si>
  <si>
    <t xml:space="preserve">Guermonprez, spécialiste de la pose de stores et fermetures pour particuliers, professionnels, commerces et industries sur Lille et Paris.</t>
  </si>
  <si>
    <t>http://www.linkedin.com/in/julien-guermonprez-468ba6170</t>
  </si>
  <si>
    <t xml:space="preserve">Julien Guen</t>
  </si>
  <si>
    <t>Guen</t>
  </si>
  <si>
    <t>julien@renoouest.fr</t>
  </si>
  <si>
    <t>RÉNOOUEST</t>
  </si>
  <si>
    <t>renoouest.fr</t>
  </si>
  <si>
    <t xml:space="preserve">isolation des combles perdus,isolation acoustique,isolation thermique,isolation laine de roche,isolation laine soufflee,soufflage laine de roche,pose laine de roche,diagnostic isolation,pose laine de roche rockwool,changement disolant,isolation de combles,renovation energetique,isolant ecologique,isolant durable,isolation par soufflage,isolation maison,renovation maison,prime renov,aides cee,rge</t>
  </si>
  <si>
    <t>Carquefou</t>
  </si>
  <si>
    <t>http://www.linkedin.com/company/renoouest</t>
  </si>
  <si>
    <t xml:space="preserve">RÉNOOUEST est une entreprise fondée en 2012 par Julien Le Guen, artisan isocombliste. Avec plus de 10 ans d'expérience et des milliers de chantiers à son actif, c'est une entreprise soucieuse de l'environnement hyper spécialisée dans l'isolation des combles perdus dans l'Ouest (Loire Atlantique - 44, Vendée - 85, Maine et Loire - 49, ...).
Aujourd'hui, RÉNOOUEST, c'est aussi la volonté de transmettre au plus grand nombre son savoir pour, qu'ensemble, on réduise l'empreinte carbone de nos maisons.
Or l'isolation, c'est comme les tentes « 2 secondes »... Tout le monde pense que c'est facile mais personne ne sait vraiment comment ça fonctionne !
Notre objectif ? Vous apporter un service de qualité, un produit durable mais aussi des explications claires, simples et efficaces pour votre isolation ! Et bien entendu, vous accompagner au mieux dans tous vos projets de rénovation et vous faire bénéficier des aides liées à nos services (primes, CEE, ...).
Avec RENOOUEST, faites le choix d'un produit naturel et écologique fabriqué en France et optimisez votre confort été comme hiver tout en réalisant de réelles économies d'énergie.</t>
  </si>
  <si>
    <t>http://www.linkedin.com/in/julien-leguen</t>
  </si>
  <si>
    <t xml:space="preserve">Julien Bonneau</t>
  </si>
  <si>
    <t>Bonneau</t>
  </si>
  <si>
    <t>julienbonneau@sociacom.fr</t>
  </si>
  <si>
    <t>Sociacom</t>
  </si>
  <si>
    <t>sociacom.fr</t>
  </si>
  <si>
    <t xml:space="preserve">product lifecycle management,consulting,strategie d39entreprise,conseil en strategie,gestion de projets complexes,plm,management de projets,conseil en management,innovation,strategie dentreprise,strategie digitale</t>
  </si>
  <si>
    <t>Bois-Colombes</t>
  </si>
  <si>
    <t>http://www.linkedin.com/company/sociacom-fr</t>
  </si>
  <si>
    <t>https://www.facebook.com/Sociacom-1438515963075470/</t>
  </si>
  <si>
    <t xml:space="preserve">Expert en PLM &amp; CRM , Sociacom propose 3 valeurs ajoutées principales : Business Process, Project Management &amp; Change Management.</t>
  </si>
  <si>
    <t>http://www.linkedin.com/in/julien-bonneau-8b30b74</t>
  </si>
  <si>
    <t xml:space="preserve">Juliette Brunerie</t>
  </si>
  <si>
    <t>Brunerie</t>
  </si>
  <si>
    <t>juliette@semawe.fr</t>
  </si>
  <si>
    <t xml:space="preserve">Directrice générale - Coach Holacratie</t>
  </si>
  <si>
    <t>Sémawé</t>
  </si>
  <si>
    <t>semawe.fr</t>
  </si>
  <si>
    <t xml:space="preserve">agilite,mediation,facilitation,accompagnement a la transformation,coaching collectif,intelligence collective,holacracy,coaching individuel,animation de seminaire,coaching de dirigeant,holacratie</t>
  </si>
  <si>
    <t>http://www.linkedin.com/company/semawe</t>
  </si>
  <si>
    <t xml:space="preserve">La SCOP Sémawé accompagne les organisations dans la pratique d'Holacratie. Cheminons ensemble vers des transformations organisationnelles durables et des systèmes émancipateurs !</t>
  </si>
  <si>
    <t>http://www.linkedin.com/in/juliettebunerie</t>
  </si>
  <si>
    <t xml:space="preserve">Kevin Allain</t>
  </si>
  <si>
    <t>k.allain@abelya-partners.com</t>
  </si>
  <si>
    <t xml:space="preserve">Directeur Associé fondateur  Stratégie et organisation  Banque et Assurance</t>
  </si>
  <si>
    <t xml:space="preserve">Abelya Partners</t>
  </si>
  <si>
    <t>abelya-partners.com</t>
  </si>
  <si>
    <t xml:space="preserve">conseil en strategie operationnelle,assurance et protection sociale,assurance de personnes,strategie de developpement,diversification,creation,rapprochement dactivites,innovation produits et services,creation doffres,marketing,digital,experience client,performance commerciale,performance operationnelle,change,transformation responsable</t>
  </si>
  <si>
    <t>http://www.linkedin.com/company/abelya-partners</t>
  </si>
  <si>
    <t xml:space="preserve">Abelya Partners est un cabinet de conseil en stratégie, organisation et opérationnalisation pour les acteurs de l'assurance et de la protection sociale</t>
  </si>
  <si>
    <t>http://www.linkedin.com/in/kevin-allain-7174b5a</t>
  </si>
  <si>
    <t xml:space="preserve">Kasia Czora</t>
  </si>
  <si>
    <t>Kasia</t>
  </si>
  <si>
    <t>Czora</t>
  </si>
  <si>
    <t>k.czora@2concert.fr</t>
  </si>
  <si>
    <t>2CONCERT</t>
  </si>
  <si>
    <t>2concert.fr</t>
  </si>
  <si>
    <t>http://www.linkedin.com/company/2concert</t>
  </si>
  <si>
    <t xml:space="preserve">2concert, est une société de conseil en ingénierie de la concertation née en 2019 de la rencontre entre deux spécialistes de l'analyse territoriale, des dispositifs participatifs et des stratégies de communication publique. 
Kasia CZORA, après un parcours dans la haute fonction publique tant en Pologne  qu'en France a choisi de se spécialiser dans la mise en œuvre de processus de concertation autour de grands projets. 
Renaud DUPUY est spécialisé depuis plus de 20 ans dans l'accompagnement de projets sensibles et notamment la conception et l'animation de démarches de concertation. 
Leurs nombreuses références personnelles en la matière confirment ces savoir-faire. 
2concert se positionne comme un cabinet expert, essentiellement tourné vers les sujets complexes, où la concertation pour être efficace doit être conduite avec maîtrise, rigueur, agilité et empathie.</t>
  </si>
  <si>
    <t>http://www.linkedin.com/in/kasia-czora</t>
  </si>
  <si>
    <t xml:space="preserve">Karim Fadlallah</t>
  </si>
  <si>
    <t>Fadlallah</t>
  </si>
  <si>
    <t>k.fadlallah@profilculture.com</t>
  </si>
  <si>
    <t>ProfilCulture</t>
  </si>
  <si>
    <t>profilculture.com</t>
  </si>
  <si>
    <t xml:space="preserve">diffusion emploi culturel,cabinet de recrutement,ingenierie culturelle,conseil en organisation rh,accompagnement professionnel,bilan de competences,coaching,repertoire de formation,web</t>
  </si>
  <si>
    <t>http://www.linkedin.com/company/profilculture-conseil</t>
  </si>
  <si>
    <t xml:space="preserve">Offres d'emploi, stages, alternance, alerte e-mail : audiovisuel cinéma théâtre spectacle vivant art édition radio musique presse communication multimédia design architecture patrimoine</t>
  </si>
  <si>
    <t>http://www.linkedin.com/in/karim-fadlallah-cfa</t>
  </si>
  <si>
    <t xml:space="preserve">Karim Agrebi</t>
  </si>
  <si>
    <t>Agrebi</t>
  </si>
  <si>
    <t>karim.agrebi@3s2i.fr</t>
  </si>
  <si>
    <t>3S2I</t>
  </si>
  <si>
    <t>3s2i.fr</t>
  </si>
  <si>
    <t xml:space="preserve">solutions informatiques,gestion electronique documentaire,impression,infogerance,sauvegarde externalisee,securite informatique</t>
  </si>
  <si>
    <t>http://www.linkedin.com/company/3s2i</t>
  </si>
  <si>
    <t xml:space="preserve">Découvrez 3S2i, société de services informatiques pour les entreprises, allant de la petite installation au parc informatique complet, à Nice et Monaco !</t>
  </si>
  <si>
    <t>http://www.linkedin.com/in/karim-agrebi-4b040791</t>
  </si>
  <si>
    <t xml:space="preserve">Karim Benchaaboun</t>
  </si>
  <si>
    <t>Benchaaboun</t>
  </si>
  <si>
    <t>karim@flowlity.com</t>
  </si>
  <si>
    <t xml:space="preserve">CTO &amp; Co-founder</t>
  </si>
  <si>
    <t>Flowlity</t>
  </si>
  <si>
    <t>flowlity.com</t>
  </si>
  <si>
    <t xml:space="preserve">supply chain,artificial intelligence,inventory optimization,meio,supply chain network</t>
  </si>
  <si>
    <t>http://www.linkedin.com/company/flowlity</t>
  </si>
  <si>
    <t>https://twitter.com/flowlity</t>
  </si>
  <si>
    <t xml:space="preserve">Simplify forecasting and planning, enrich planner experience, accelerate integration, and enhance performance for rapid value realization.</t>
  </si>
  <si>
    <t>http://www.linkedin.com/in/karim-b-03233b54</t>
  </si>
  <si>
    <t xml:space="preserve">Kevin Rouviere</t>
  </si>
  <si>
    <t>Rouviere</t>
  </si>
  <si>
    <t>kevin.rouviere@merca.team</t>
  </si>
  <si>
    <t>Mercateam</t>
  </si>
  <si>
    <t>merca.team</t>
  </si>
  <si>
    <t xml:space="preserve">industrie,industry 40,competences,habilitations,digitalisation,planning,gpec,gepp,strategic workforce planning,polyvalence,polycompetence,matrice de polyvalence,formations,contenu formations,instructions au poste,entretiens,entretiens annuels,usine</t>
  </si>
  <si>
    <t>http://www.linkedin.com/company/mercateam-france</t>
  </si>
  <si>
    <t xml:space="preserve">🏭 Mercateam est la première entreprise qui adresse les enjeux de l'industrie 4.0 en partant de l'Homme.
Convaincus que l'Humain est le premier vecteur de performance dans l'industrie, notre Solution permet de:
   ➜ Maîtriser et valoriser la montée en compétences des équipes opérationnelles
   ➜ Augmenter la polyvalence et l'agilité de ses équipes et assurer la continuité votre activité
   ➜ Anticiper la transformation des métiers à l'aube de l'Industrie 4.0
Pensé avec les opérationnels et pour les opérationnels, Mercateam accompagne plus de 200 usines dans 4 continents 🌍
Prêts à relever le défi de mettre vos collaborateurs au cœur de votre succès ?  
Rejoignez nous sur merca.team 
🏭 Mercateam is the first company to address Industry 4.0 challenges from a human perspective.
Convinced that the Human is the first vector of performance in the industry, our Solution allows to:
   ➜ Control and enhance the skills of your operational teams
   ➜ Increase the versatility and agility of your teams to ensure your business continuity
   ➜ Anticipate the business transformation at the dawn of Industry 4.0
Designed with and for operational people, Mercateam supports business transformation in more than 200 factories in 4 continents 🌍
Ready to take up the challenge of making your employees the heart of your success ?  
Join us on merca.team</t>
  </si>
  <si>
    <t>http://www.linkedin.com/in/k%c3%a9vin-rouviere-3b34b94a</t>
  </si>
  <si>
    <t xml:space="preserve">Ken Kralick</t>
  </si>
  <si>
    <t>Ken</t>
  </si>
  <si>
    <t>Kralick</t>
  </si>
  <si>
    <t>kkralick@qualibooth.com</t>
  </si>
  <si>
    <t>QualiBooth</t>
  </si>
  <si>
    <t>qualibooth.com</t>
  </si>
  <si>
    <t>Sofia</t>
  </si>
  <si>
    <t>Sofia-city</t>
  </si>
  <si>
    <t>http://www.linkedin.com/company/qualibooth</t>
  </si>
  <si>
    <t xml:space="preserve">Your premier web accessibility software solution. Achieve ADA and WCAG compliance effortlessly with real-time scans and continuous monitoring. Get started now!</t>
  </si>
  <si>
    <t>http://www.linkedin.com/in/kkralick</t>
  </si>
  <si>
    <t xml:space="preserve">Kamel Ledraa</t>
  </si>
  <si>
    <t>Ledraa</t>
  </si>
  <si>
    <t>kledraa@ambiancestp.fr</t>
  </si>
  <si>
    <t xml:space="preserve">Ambiances TP</t>
  </si>
  <si>
    <t>ambiancestp.fr</t>
  </si>
  <si>
    <t xml:space="preserve">voirie,assainissement,terrassement,reseaux divers,travaux publics</t>
  </si>
  <si>
    <t>Premesques</t>
  </si>
  <si>
    <t>http://www.linkedin.com/company/ambiances-tp</t>
  </si>
  <si>
    <t>https://www.facebook.com/Ambiances-Tp-822857611136957</t>
  </si>
  <si>
    <t xml:space="preserve">Ambiances TP, entreprise de Travaux Publics du Nord Pas de Calais totalement indépendante qui, au fil des années, a su acquérir une expertise de pointe dans différents domaines tels que les travaux d'aménagement de voiries, d'assainissement et de réseaux divers. 
De part l'expérience de nos équipes, Ambiances TP sait répondre aux chantiers de particuliers tout comme aux projets de plus grande envergure dans le respect du cahier des charges et des délais. 
Ambiances TP est incontestablement votre acteur de référence pour tous vos chantiers futurs!</t>
  </si>
  <si>
    <t>http://www.linkedin.com/in/kamel-ledraa-3345a370</t>
  </si>
  <si>
    <t xml:space="preserve">Kranthi Mottu</t>
  </si>
  <si>
    <t>Kranthi</t>
  </si>
  <si>
    <t>Mottu</t>
  </si>
  <si>
    <t>kranthi@moksa.ai</t>
  </si>
  <si>
    <t>mokSa.ai</t>
  </si>
  <si>
    <t>moksa.ai</t>
  </si>
  <si>
    <t xml:space="preserve">ai,retail business,audit platform,theft detection,food saftey</t>
  </si>
  <si>
    <t>Wyoming</t>
  </si>
  <si>
    <t>http://www.linkedin.com/company/moksa-ai</t>
  </si>
  <si>
    <t>https://twitter.com/MoksaAi</t>
  </si>
  <si>
    <t>https://www.facebook.com/mokSa2021/</t>
  </si>
  <si>
    <t xml:space="preserve">Video Intelligence solutions for any type of business.</t>
  </si>
  <si>
    <t>http://www.linkedin.com/in/kranthimottu</t>
  </si>
  <si>
    <t xml:space="preserve">Ludivine Abarnou-Hurel</t>
  </si>
  <si>
    <t>Abarnou-Hurel</t>
  </si>
  <si>
    <t>l.abarnou@abarnou.fr</t>
  </si>
  <si>
    <t>dirigeante</t>
  </si>
  <si>
    <t>ABARNOU</t>
  </si>
  <si>
    <t>abarnou.fr</t>
  </si>
  <si>
    <t xml:space="preserve">Le Trait</t>
  </si>
  <si>
    <t xml:space="preserve">borne,levage ponts roulants,instrumentation,borne vehicule electrique,installation,irve,bureau d39etude,bureau detude,maintenance industrielle,voiture electrique,electricite industrielle</t>
  </si>
  <si>
    <t>http://www.linkedin.com/company/abarnou</t>
  </si>
  <si>
    <t>https://twitter.com/Abarnou76</t>
  </si>
  <si>
    <t xml:space="preserve">Bureau d'études spécialisé en électricité industrielle, levage et instrumentation, qui s'occupe aussi de l'installation et de la maintenance de vos équipements.</t>
  </si>
  <si>
    <t>http://www.linkedin.com/in/ludivine-abarnou-hurel</t>
  </si>
  <si>
    <t xml:space="preserve">Leila Erdmann</t>
  </si>
  <si>
    <t>Leila</t>
  </si>
  <si>
    <t>Erdmann</t>
  </si>
  <si>
    <t>l.erdmann@lamaisonfrancaise.com</t>
  </si>
  <si>
    <t xml:space="preserve">La Maison Française</t>
  </si>
  <si>
    <t>lamaisonfrancaise.com</t>
  </si>
  <si>
    <t>http://www.linkedin.com/company/lamaisonfrancaise</t>
  </si>
  <si>
    <t>http://www.linkedin.com/in/leilaerdmann</t>
  </si>
  <si>
    <t xml:space="preserve">Laurent Gargaud</t>
  </si>
  <si>
    <t>Gargaud</t>
  </si>
  <si>
    <t>l.gargaud@kleva.fr</t>
  </si>
  <si>
    <t xml:space="preserve">KLEVA FACILITIES MANAGEMENT</t>
  </si>
  <si>
    <t>kleva.fr</t>
  </si>
  <si>
    <t xml:space="preserve">renovation tout type de sols,menuiserie interieure,travaux second oeuvre cloisonnement,revetement du sol,maintenance multitechnique serrurerie,cloison amovible,plomberie,menuiserie interieure &amp; maintenance multitechnique serrurerie,logistique,plafond suspendu,electricite,climatisation,peinture,facility management,travaux secondoeuvre,multiservies</t>
  </si>
  <si>
    <t>http://www.linkedin.com/company/klevatoulouse</t>
  </si>
  <si>
    <t xml:space="preserve">KLEVA KLEAN est une pme aux sevices des entreprises spécialisée dans le nettoyage, la maintenance technique et les travaux second oeuvres. Directeur Laurent Gargaud</t>
  </si>
  <si>
    <t>http://www.linkedin.com/in/laurentgargaud</t>
  </si>
  <si>
    <t xml:space="preserve">Laurent Gaussin</t>
  </si>
  <si>
    <t>Gaussin</t>
  </si>
  <si>
    <t>l.gaussin@eforia.co</t>
  </si>
  <si>
    <t xml:space="preserve">E FOR IA</t>
  </si>
  <si>
    <t>eforia.co</t>
  </si>
  <si>
    <t xml:space="preserve">collectivite,residence senior,pharmacie,psdm,materiel medical,fam,mercuriale,vhp,cadre de sante,communication,mas,sanitaire,mad,maintenance,audit,psad,medico social,bien vieillir,maintienadomicile,ehpad,etablissement de sante,bien traitance,officine</t>
  </si>
  <si>
    <t>Pamiers</t>
  </si>
  <si>
    <t>http://www.linkedin.com/company/eforia-digital</t>
  </si>
  <si>
    <t xml:space="preserve">E FOR IA conçoit et développe les outils numériques d'accompagnement à la prise en charge de nos ainés, que ce soit en établissements de Santé ou dans le cadre du maintien au domicile via la pharmacie.
Parce que le grand âge est un enjeu de société qui nous concerne tous, E FOR IA est particulièrement investie dans le bien-être du patient et du résident.
En s'adressent avant tout aux pharmaciens et aux responsables de structures d'accueil (EHPAD, résidences Séniors, Etablissements de Santé Sanitaires et Médicosociaux) E FOR IA ambitionne de moderniser et de faciliter la prise en charge toujours dans le respect et la bienveillance envers nos ainés.</t>
  </si>
  <si>
    <t>http://www.linkedin.com/in/laurent-gaussin-835012118</t>
  </si>
  <si>
    <t xml:space="preserve">Laurence Mialaret</t>
  </si>
  <si>
    <t>Mialaret</t>
  </si>
  <si>
    <t>l.mialaret@centres-gestion-stress.com</t>
  </si>
  <si>
    <t xml:space="preserve">CEO Ξ Gestion du Stress Ξ Réseau National Experts Ξ Prévention Santé en entreprise Ξ</t>
  </si>
  <si>
    <t xml:space="preserve">CENTRES DE GESTION DU STRESS</t>
  </si>
  <si>
    <t>centres-gestion-stress.com</t>
  </si>
  <si>
    <t xml:space="preserve">sommeil,regulation des emotions,stress,prevention,psychologie positive,sante,nutrition,epuisement professionnel</t>
  </si>
  <si>
    <t>http://www.linkedin.com/company/reseau-des-centres-de-gestion-du-stress</t>
  </si>
  <si>
    <t xml:space="preserve">Les Centres de Gestion du Stress sont un réseau de professionnels spécialisés dans la régulation du Stress et la Prévention Santé  pour les individus et les organisations . Nos propositions d' interventions intégrent la sophrologie  et d'autres approches afin de vous accompagner vers un mieux être.</t>
  </si>
  <si>
    <t>http://www.linkedin.com/in/laurence-mialaret</t>
  </si>
  <si>
    <t xml:space="preserve">Lotfi Saada</t>
  </si>
  <si>
    <t>Lotfi</t>
  </si>
  <si>
    <t>Saada</t>
  </si>
  <si>
    <t>l.saada@lswork.fr</t>
  </si>
  <si>
    <t xml:space="preserve">LS WORK</t>
  </si>
  <si>
    <t>lswork.fr</t>
  </si>
  <si>
    <t>Velizy-Villacoublay</t>
  </si>
  <si>
    <t xml:space="preserve">notes de calculs,voiles contreterre,infrastructure,calcul de structures,optimisation des structures,calculs aux elements finis,etudes dexecution,bet structure,genie civil,etudes de conception,rehabilitation,maisons individuelles,terrassement,batiment</t>
  </si>
  <si>
    <t>http://www.linkedin.com/company/ls-work</t>
  </si>
  <si>
    <t xml:space="preserve">LS WORK est un bureau d'études techniques spécialiste des structures de bâtiments en constructions neuves &amp; réhabilitation.
Le BET intervient dans tous types de projets de construction de la conception à la réalisation.
Nous intervenons principalement auprès des entreprises de gros-œuvre, maîtres d'ouvrage, maîtres d'œuvre, architectes, particuliers... etc.
Notre philosophie est d'analyser le projet sur tous les aspects afin de réaliser une conception « sur mesure » alliant économie / pérennité.</t>
  </si>
  <si>
    <t>http://www.linkedin.com/in/lotfi-saada-4b064710b</t>
  </si>
  <si>
    <t xml:space="preserve">Ludovic Tourneur</t>
  </si>
  <si>
    <t>Tourneur</t>
  </si>
  <si>
    <t>l.tourneur@kemtec.fr</t>
  </si>
  <si>
    <t xml:space="preserve">KEMTEC ENGINEERING</t>
  </si>
  <si>
    <t>kemtec-ingenierie.fr</t>
  </si>
  <si>
    <t xml:space="preserve">procedes,genie chimique,installation generale,eia,scan 3d,p,id,tce,chimie,pharmacie,ingenierie,bureau detudes,projets,etudes,securite des procedes</t>
  </si>
  <si>
    <t>http://www.linkedin.com/company/kemtec</t>
  </si>
  <si>
    <t xml:space="preserve">Industrie chimique ou pharmaceutique, KEMTEC Ingenierie est le partenaire de vos projets. Etudes de conception et de details.</t>
  </si>
  <si>
    <t>http://www.linkedin.com/in/ltourneur</t>
  </si>
  <si>
    <t xml:space="preserve">Loic Vaillant</t>
  </si>
  <si>
    <t>Vaillant</t>
  </si>
  <si>
    <t>l.vaillant@cbh35.fr</t>
  </si>
  <si>
    <t>CBH</t>
  </si>
  <si>
    <t>centrebretonhabitat.com</t>
  </si>
  <si>
    <t>Etrelles</t>
  </si>
  <si>
    <t xml:space="preserve">merule,ventilation,velux,traitement de lhumidite,champignons,isolation,traitement de l39humidite,traitement des bois insectes</t>
  </si>
  <si>
    <t>http://www.linkedin.com/company/centre-breton-de-l'habitat</t>
  </si>
  <si>
    <t xml:space="preserve">CBH : Votre spécialiste en rénovation énergétique (isolation, ventilation) ainsi qu'en traitement des bois, des champignons et de l'humidité</t>
  </si>
  <si>
    <t>http://www.linkedin.com/in/loicvaillant</t>
  </si>
  <si>
    <t xml:space="preserve">Ludovic Voltz</t>
  </si>
  <si>
    <t>Voltz</t>
  </si>
  <si>
    <t>l.voltz@radian.fr</t>
  </si>
  <si>
    <t>RADIAN</t>
  </si>
  <si>
    <t>radian.fr</t>
  </si>
  <si>
    <t>Benfeld</t>
  </si>
  <si>
    <t xml:space="preserve">solutions declairage,ergonomie visuelle,eclairage led,architecture,design,luminaire,lighting,indoor lighting fixtures</t>
  </si>
  <si>
    <t>http://www.linkedin.com/company/radian-sa</t>
  </si>
  <si>
    <t xml:space="preserve">Fabricant français d'éclairages et luminaires - Retrouvez toutes nos solutions d’éclairage pour les professionnels.</t>
  </si>
  <si>
    <t>http://www.linkedin.com/in/ludovic-voltz-761b3920</t>
  </si>
  <si>
    <t xml:space="preserve">Francois Laffanour</t>
  </si>
  <si>
    <t>Laffanour</t>
  </si>
  <si>
    <t>laffanour@galeriedowntown.com</t>
  </si>
  <si>
    <t xml:space="preserve">Galerie Downtown</t>
  </si>
  <si>
    <t>galeriedowntown.com</t>
  </si>
  <si>
    <t xml:space="preserve">art,design,furniture,charlotte perriand,jean prouve,pierre jeanneret,le corbusier,mid century art,contemporary art</t>
  </si>
  <si>
    <t>http://www.linkedin.com/company/galerie-downtown---fran%c3%a7ois-laffanour</t>
  </si>
  <si>
    <t xml:space="preserve">La Galerie Downtown — François Laffanour présente des œuvres de Charlotte Perriand, Jean Prouvé, Pierre Jeanneret, Le Corbusier notamment .</t>
  </si>
  <si>
    <t>http://www.linkedin.com/in/fran%c3%a7ois-laffanour-bb289115</t>
  </si>
  <si>
    <t xml:space="preserve">Marc Laubier</t>
  </si>
  <si>
    <t>Laubier</t>
  </si>
  <si>
    <t>laubier@atelierpras.com</t>
  </si>
  <si>
    <t xml:space="preserve">ATELIER PRAS</t>
  </si>
  <si>
    <t>atelierpras.com</t>
  </si>
  <si>
    <t xml:space="preserve">plv de luxe,maquettes darchi,merchandising,interactives,objets uniques et petites series,maquettes animees,maquettes d39archi,vitrines,de concours,petites series exclusives,maquettes professionnelles aeronautique,vitrine,retail design,animees,prototypes,ferroviaire,packaging,flaconnage,maquettes darchitecture,maquettes professionnelles,plv,modeles</t>
  </si>
  <si>
    <t>http://www.linkedin.com/company/atelier-pras</t>
  </si>
  <si>
    <t>https://facebook.com/people/Atelier-Pras/100076331841750/?_rdr</t>
  </si>
  <si>
    <t xml:space="preserve">Réalisation &amp; fabrication de maquettes, modèles &amp; prototypes à toutes les échelles, du très petit à la taille réelle, + de 40 ans d'expérience. Atelier Pras.</t>
  </si>
  <si>
    <t>http://www.linkedin.com/in/marc-de-laubier-0241b56a</t>
  </si>
  <si>
    <t xml:space="preserve">Laura Loumingou</t>
  </si>
  <si>
    <t>Loumingou</t>
  </si>
  <si>
    <t>laura.loumingou@2lpconsulting.com</t>
  </si>
  <si>
    <t xml:space="preserve">Fondatrice et dirigeante de 2LP Consulting  cabinet de conseil et centre de formation</t>
  </si>
  <si>
    <t xml:space="preserve">2LP Consulting</t>
  </si>
  <si>
    <t>2lpconsulting.com</t>
  </si>
  <si>
    <t>http://www.linkedin.com/company/2lp-consulting</t>
  </si>
  <si>
    <t xml:space="preserve">Cabinet de formation | Relation Client | Management | Efficacité &amp; Bien-être au travail</t>
  </si>
  <si>
    <t>http://www.linkedin.com/in/laura-loumingou-9567b331</t>
  </si>
  <si>
    <t xml:space="preserve">Laure Vincent</t>
  </si>
  <si>
    <t>laure.vincent@umeo.consulting</t>
  </si>
  <si>
    <t xml:space="preserve">I help pharmaceutical industries respond to the quality issues they encounter</t>
  </si>
  <si>
    <t>Umeo</t>
  </si>
  <si>
    <t>umeo.consulting</t>
  </si>
  <si>
    <t xml:space="preserve">industries pharmaceutiques dispositif medicaux</t>
  </si>
  <si>
    <t>http://www.linkedin.com/company/umeo-consulting</t>
  </si>
  <si>
    <t xml:space="preserve">Page d'accueil et de présentation de l'entreprise Umeo consulting</t>
  </si>
  <si>
    <t>http://www.linkedin.com/in/laure-vincent-8131b5a5</t>
  </si>
  <si>
    <t xml:space="preserve">Laurent Dubernais</t>
  </si>
  <si>
    <t>Dubernais</t>
  </si>
  <si>
    <t>laurent.dubernais@synergee.com</t>
  </si>
  <si>
    <t>C.E.O</t>
  </si>
  <si>
    <t>Synergee</t>
  </si>
  <si>
    <t>synergee.com</t>
  </si>
  <si>
    <t>Nanterre</t>
  </si>
  <si>
    <t xml:space="preserve">franchise,gestion immobiliere,reseaux commerciaux,ifrs16,immobilier dentreprise,business plan,maintenance,franchiseur,bail commercial,reporting,audit technique,redevance,comptes annuels,fournisseurs,rfa,saas,federation francaise de la franchise,cooperative</t>
  </si>
  <si>
    <t>http://www.linkedin.com/company/synergee</t>
  </si>
  <si>
    <t>https://twitter.com/SynergeeFrance</t>
  </si>
  <si>
    <t>https://www.facebook.com/Synergee-163893756997197/</t>
  </si>
  <si>
    <t>https://twitter.com/dubernais</t>
  </si>
  <si>
    <t xml:space="preserve">Synergee, logiciel cloud modulaire dédié au pilotage, à la gestion et à l’animation des réseaux commerciaux : gestion franchise et gestion immobilière.</t>
  </si>
  <si>
    <t>http://www.linkedin.com/in/laurentdubernais</t>
  </si>
  <si>
    <t xml:space="preserve">Laurent Fabregue</t>
  </si>
  <si>
    <t>Fabregue</t>
  </si>
  <si>
    <t>laurent.fabregue@ceribois.com</t>
  </si>
  <si>
    <t>CERIBOIS</t>
  </si>
  <si>
    <t>ceribois.com</t>
  </si>
  <si>
    <t xml:space="preserve">laboratoire dessais cofrac,formation continue en entreprise,conception et innovation,essai antieffraction,metiers du bois,procimeup,acoustique,essais mecaniques,essais de durabilite et vieillissement,calculs thermiques,expertise bois,laboratoire d39essais cofrac,menuiseries,cerisalis,essais aev</t>
  </si>
  <si>
    <t>http://www.linkedin.com/company/ceribois</t>
  </si>
  <si>
    <t xml:space="preserve">Depuis 2000, CERIBOIS accompagne les entreprises de la filière bois dans la réalisation de leurs projets. Nous regroupons un Laboratoire d'essais et de mesures CERILAB, un Cabinet de conseil bois et un Centre de formation, afin de vous garantir une solution à la fois complète et sur-mesure.</t>
  </si>
  <si>
    <t>http://www.linkedin.com/in/laurent-fabregue-288706164</t>
  </si>
  <si>
    <t xml:space="preserve">Laurent Laye</t>
  </si>
  <si>
    <t>Laye</t>
  </si>
  <si>
    <t>laurent.laye@ecovalorisation.com</t>
  </si>
  <si>
    <t xml:space="preserve">ECO VALORISATION</t>
  </si>
  <si>
    <t>Nogent-le-Phaye</t>
  </si>
  <si>
    <t>http://www.linkedin.com/company/eco-valorisation</t>
  </si>
  <si>
    <t>http://www.linkedin.com/in/laurent-laye-67b247185</t>
  </si>
  <si>
    <t xml:space="preserve">Laurent Nel</t>
  </si>
  <si>
    <t>Nel</t>
  </si>
  <si>
    <t>laurent.nel@leuville.com</t>
  </si>
  <si>
    <t>Président-associé</t>
  </si>
  <si>
    <t xml:space="preserve">Leuville Objects</t>
  </si>
  <si>
    <t>leuville.com</t>
  </si>
  <si>
    <t>http://www.linkedin.com/company/leuville-objects</t>
  </si>
  <si>
    <t>https://www.facebook.com/LeuvilleObjects</t>
  </si>
  <si>
    <t xml:space="preserve">SpÃ©cialiste des architectures logicielles novatrices et organisme de formation reconnu</t>
  </si>
  <si>
    <t>http://www.linkedin.com/in/laurent-nel-b861a04</t>
  </si>
  <si>
    <t xml:space="preserve">Laurent Puyjalinet</t>
  </si>
  <si>
    <t>Puyjalinet</t>
  </si>
  <si>
    <t>laurent.puyjalinet@maelstrom.group</t>
  </si>
  <si>
    <t xml:space="preserve">Maelström Group</t>
  </si>
  <si>
    <t>maelstrom.group</t>
  </si>
  <si>
    <t>Saint-Medard-d'Aunis</t>
  </si>
  <si>
    <t>http://www.linkedin.com/company/maelstr%c3%b6m-group</t>
  </si>
  <si>
    <t>https://fr-fr.facebook.com/maelstrom.group/</t>
  </si>
  <si>
    <t xml:space="preserve">Avec respectivement près de 25 ans d'expérience dans la chimie du bâtiment et de l'industrie, Charley RENOU et Laurent PUYJALINET unissent leur savoir faire pour créer MAELSTRÖM.
MAELSTRÖM distribue au quotidien des produits fabriqués selon vos attentes et vos besoins pour un résultat optimal.
De la préconisation à l'utilisation finale, MAELSTRÖM vous fait profiter de son expertise et de sa réactivité partout en France.
Pour construire un partenariat solide et durable avec sa clientèle, MAELSTRÖM s'est associé avec les plus grands laboratoires afin de développer des produits haut de gamme respectueux de l'environnement.
La relation humaine restant notre priorité, "agitons" nous ensemble pour que votre satisfaction soit notre plus belle réussite.</t>
  </si>
  <si>
    <t>http://www.linkedin.com/in/laurent-puyjalinet-0544b7a3</t>
  </si>
  <si>
    <t xml:space="preserve">Laurent Sallerin</t>
  </si>
  <si>
    <t>Sallerin</t>
  </si>
  <si>
    <t>laurent.sallerin@bloomppm.com</t>
  </si>
  <si>
    <t xml:space="preserve">Bloom PPM</t>
  </si>
  <si>
    <t>bloomppm.com</t>
  </si>
  <si>
    <t xml:space="preserve">planisware,ppm,nqi,devops,gdpr,audit,training,orchestra,smartsheet,odoo,planisware enterprise,planisware orchestra,opx2,rgpd</t>
  </si>
  <si>
    <t>http://www.linkedin.com/company/bloomppm</t>
  </si>
  <si>
    <t xml:space="preserve">Lyonnaise IT Consultancy enterprise. Our work around Planisware integration, migration, maintenance, audit, referenced Datadock formation</t>
  </si>
  <si>
    <t>http://www.linkedin.com/in/laurent-sallerin-568a6922</t>
  </si>
  <si>
    <t xml:space="preserve">Laurent Seguin</t>
  </si>
  <si>
    <t>Seguin</t>
  </si>
  <si>
    <t>laurent.seguin@concret.fr</t>
  </si>
  <si>
    <t>CONCRET</t>
  </si>
  <si>
    <t>concret.fr</t>
  </si>
  <si>
    <t xml:space="preserve">schema directeur,cadrage budgetaire,dossier de consultation,appel doffres,transformation numerique,digitalisation,intelligence artificielle,erp,conseil,iot,supply chain,manufacturing,assistance maitrise douvrage,conduite du changement,coaching professionnel,audit,qualitecertification,formation,ifs finance,erp ifs</t>
  </si>
  <si>
    <t>http://www.linkedin.com/company/concret-bordeaux</t>
  </si>
  <si>
    <t xml:space="preserve">Notre Cabinet CONCRET situé à Bordeaux vous offre un accompagnement sur mesure dans le conseil &amp; la transformation digitale de votre entreprise.</t>
  </si>
  <si>
    <t>http://www.linkedin.com/in/laurent-seguin-71629b166</t>
  </si>
  <si>
    <t xml:space="preserve">Laurent Souchaud</t>
  </si>
  <si>
    <t>Souchaud</t>
  </si>
  <si>
    <t>laurent.souchaud@capiconsult.com</t>
  </si>
  <si>
    <t>CAPICONSULT</t>
  </si>
  <si>
    <t>capiconsult.com</t>
  </si>
  <si>
    <t xml:space="preserve">formation,prevention des rps,document unique devaluation des risques,gestion at mp,prevention des risques,formation cse,prevention penibilite,externalisation,gestion at</t>
  </si>
  <si>
    <t>Gradignan</t>
  </si>
  <si>
    <t>http://www.linkedin.com/company/capiconsult</t>
  </si>
  <si>
    <t>https://www.facebook.com/CapiConsult/</t>
  </si>
  <si>
    <t xml:space="preserve">Depuis 2004, CAPI Consult accompagne les dirigeants dans la mise en place de leurs obligations réglementaires en santé sécurité liées au Code du travail. Présent sur l'ensemble du territoire avec 18 agences, cette couverture géographique nous permet d'être flexibles et réactifs dans le traitement des demandes et la planification des interventions.
Nous proposons exclusivement des prestations dédiées à la prévention des risques professionnels et à la formation des instances représentatives du personnel. Nous sommes habilités par la DREETS à dispenser les formations réglementaires destinées aux élus CSE et IPRP (Intervenant en Prévention des Risques Professionnels) pour accompagner les entreprises dans leurs démarches. 
Nos actions intègrent toujours un transfert de compétences pour permettre à nos clients d'être autonomes et pour que l'impact sur leur organisation soit durable. 
Ce positionnement permet de répondre parfaitement aux attentes de nos 3200 clients, entreprises, associations, collectivités et d'afficher un taux de 
satisfaction moyen supérieur à 9,22/10 (Rapport QUALIOPI).</t>
  </si>
  <si>
    <t>http://www.linkedin.com/in/laurentsouchaud</t>
  </si>
  <si>
    <t xml:space="preserve">Laurent Vallier</t>
  </si>
  <si>
    <t>Vallier</t>
  </si>
  <si>
    <t>laurent.vallier@air-formation.com</t>
  </si>
  <si>
    <t xml:space="preserve">Dirigeant / Formateur</t>
  </si>
  <si>
    <t xml:space="preserve">AIR FORMATION</t>
  </si>
  <si>
    <t>air-formation.com</t>
  </si>
  <si>
    <t>Blagnac</t>
  </si>
  <si>
    <t xml:space="preserve">cca,pnc,part66,human factors,aviation,easa,elearning,training,aeronautics,ebt,mro,aircraft,type rating,blended,crm,train the trainer,part145,en9100,camo,flight crew,cabin crew,eset,survival,fire &amp; smoke,firstaid,cbt,dangerous goods,safety,sms,part is,part21g,audit,consulting,beechcraft,tbm,kodiak,cessna,emergency,equipment,extinguisher,life jacket,life raft</t>
  </si>
  <si>
    <t>http://www.linkedin.com/company/air-formation</t>
  </si>
  <si>
    <t>https://twitter.com/air_formation</t>
  </si>
  <si>
    <t>https://facebook.com/pages/Air-Formation/349647481875487</t>
  </si>
  <si>
    <t xml:space="preserve">Centre de Formation et d'Examen Aéronautique à Toulouse - Part 145 - Licence 66 - Part 21 - Safety Training SMS - Flight Crew Fire Training - agréé EASA FR.147.0037 pour les Personnels Navigants, et Mécaniciens avions</t>
  </si>
  <si>
    <t>http://www.linkedin.com/in/laurent-vallier-3017b083</t>
  </si>
  <si>
    <t xml:space="preserve">Laurent Henssien</t>
  </si>
  <si>
    <t>Henssien</t>
  </si>
  <si>
    <t>laurent@clarity.consulting</t>
  </si>
  <si>
    <t xml:space="preserve">Associé Fondateur - Expert TM1 / Planning Analytics</t>
  </si>
  <si>
    <t>CLARITY</t>
  </si>
  <si>
    <t>clarity.consulting</t>
  </si>
  <si>
    <t xml:space="preserve">expertise tm1,cognos,epm,elaboration budgetaire,forecasting,planning analytics,workspace,reporting,business intelligence</t>
  </si>
  <si>
    <t>http://www.linkedin.com/company/clarity-consulting-fr</t>
  </si>
  <si>
    <t xml:space="preserve">Clarity, cabinet de conseil spécialisé dans la conception et l'implémentation de solutions Planning Analytics / IBM Cognos TM1, a été créé en 2016 par 3 fondateurs d'expérience qui partagent la même vision des projets décisionnels et prévisionnels : mettre l'outil au service des enjeux stratégiques et besoins métier, rendre les applications claires, simples et évolutives, accompagner les clients en confiance et transparence.</t>
  </si>
  <si>
    <t>http://www.linkedin.com/in/laurenth</t>
  </si>
  <si>
    <t xml:space="preserve">Laurent Lizee</t>
  </si>
  <si>
    <t>Lizee</t>
  </si>
  <si>
    <t>laurent@lizee.com</t>
  </si>
  <si>
    <t xml:space="preserve">LIZEE SAS</t>
  </si>
  <si>
    <t>lizee.com</t>
  </si>
  <si>
    <t xml:space="preserve">gros oeuvre &amp; construction</t>
  </si>
  <si>
    <t>St-Laurent-du-Var</t>
  </si>
  <si>
    <t>http://www.linkedin.com/company/lizee</t>
  </si>
  <si>
    <t>https://www.facebook.com/lizeesas</t>
  </si>
  <si>
    <t xml:space="preserve">Entreprise générale de construction depuis 1968</t>
  </si>
  <si>
    <t>http://www.linkedin.com/in/laurent-liz%c3%a9e-b5908a13a</t>
  </si>
  <si>
    <t xml:space="preserve">Laurent Abid</t>
  </si>
  <si>
    <t>Abid</t>
  </si>
  <si>
    <t>laurent@ttc-testing.com</t>
  </si>
  <si>
    <t xml:space="preserve">TTC LTD CEO</t>
  </si>
  <si>
    <t xml:space="preserve">TTC Testing</t>
  </si>
  <si>
    <t>ttc-testing.com</t>
  </si>
  <si>
    <t xml:space="preserve">xray,cypress,test logiciel,cicd,jenkins,test,selenium,automation,automatisation,amoa,performance,testing tools,playwright,gatling,loadrunner,quality assurance,jira,azuredevops,agile,qualite logicielle,test performance,gitlab,neoload</t>
  </si>
  <si>
    <t>http://www.linkedin.com/company/ttc-testing</t>
  </si>
  <si>
    <t xml:space="preserve">TTC Testing is a israeli firm which provides consultants worldwide, in the range of SQA.</t>
  </si>
  <si>
    <t>http://www.linkedin.com/in/laurent-abid-2147a7</t>
  </si>
  <si>
    <t xml:space="preserve">Laurent Ketz</t>
  </si>
  <si>
    <t>Ketz</t>
  </si>
  <si>
    <t>laurent@wakemeup.fr</t>
  </si>
  <si>
    <t xml:space="preserve">Wake Me Up</t>
  </si>
  <si>
    <t>wakemeup.fr</t>
  </si>
  <si>
    <t xml:space="preserve">communication,edition,publicite,crm,direction artistique,reseaux sociaux</t>
  </si>
  <si>
    <t>http://www.linkedin.com/company/wake-me-up</t>
  </si>
  <si>
    <t>https://twitter.com/agence_wakemeup</t>
  </si>
  <si>
    <t>https://facebook.com/wakemeupparis</t>
  </si>
  <si>
    <t xml:space="preserve">et plus encore...</t>
  </si>
  <si>
    <t>http://www.linkedin.com/in/laurentketz</t>
  </si>
  <si>
    <t xml:space="preserve">Laurianne Cossec</t>
  </si>
  <si>
    <t>Laurianne</t>
  </si>
  <si>
    <t>Cossec</t>
  </si>
  <si>
    <t>laurianne@glaz-ocean.fr</t>
  </si>
  <si>
    <t xml:space="preserve">Fondatrice &amp; Dirigeante</t>
  </si>
  <si>
    <t>GLAZ</t>
  </si>
  <si>
    <t>glaz-ocean.fr</t>
  </si>
  <si>
    <t>Pont-l'Abbe</t>
  </si>
  <si>
    <t>http://www.linkedin.com/company/glazoceanglaz-ocean</t>
  </si>
  <si>
    <t>https://www.facebook.com/glazocean29</t>
  </si>
  <si>
    <t xml:space="preserve">Glaz est une Cabinet d'Expertise Maritime dédié à l'accompagnement des marins dans leurs transitions numériques, sociales et environnementales</t>
  </si>
  <si>
    <t>http://www.linkedin.com/in/laurianne-le-cossec-11308911</t>
  </si>
  <si>
    <t xml:space="preserve">Laurent Benharroch</t>
  </si>
  <si>
    <t>Benharroch</t>
  </si>
  <si>
    <t>lbenharroch@benett-portage.com</t>
  </si>
  <si>
    <t xml:space="preserve">CEO Benett Portage</t>
  </si>
  <si>
    <t xml:space="preserve">Benett Portage</t>
  </si>
  <si>
    <t>benett-portage.com</t>
  </si>
  <si>
    <t xml:space="preserve">portage salarial,informatique,conseil,formation,freelance,independant,temps partage,management de transition</t>
  </si>
  <si>
    <t>http://www.linkedin.com/company/benett-portage</t>
  </si>
  <si>
    <t>https://twitter.com/benett_portage</t>
  </si>
  <si>
    <t>https://www.facebook.com/Benett.Portage/</t>
  </si>
  <si>
    <t xml:space="preserve">Benett Portage, société experte en portage salarial. Devenez consultant indépendant et bénéficiez d'un accompagnement personnalisé.</t>
  </si>
  <si>
    <t>http://www.linkedin.com/in/laurent-benharroch-portage-salarial</t>
  </si>
  <si>
    <t xml:space="preserve">Laurent Caimant</t>
  </si>
  <si>
    <t>Caimant</t>
  </si>
  <si>
    <t>lcaimant@bmpb.fr</t>
  </si>
  <si>
    <t xml:space="preserve">BMPB France</t>
  </si>
  <si>
    <t>bmpb.fr</t>
  </si>
  <si>
    <t xml:space="preserve">prospection detection de projet,communication digitale,specialisation b to b,reseaux sociaux,offres digitales,prospection b to b,offres multicanales,communication globale,news letters et tracking,gestion appels entrants,prospection commerciale b to b,externalisation backoffice,externalisation services commerciales,detection nouveaux marches,enquete satisfaction,base de donne b to b,relance de devis,qualifications et etudes</t>
  </si>
  <si>
    <t>Limas</t>
  </si>
  <si>
    <t>http://www.linkedin.com/company/bmpb-france</t>
  </si>
  <si>
    <t xml:space="preserve">Your partner in B2B business development : business prospecting, telephone prospecting, making an appointment, multi-channel campaign</t>
  </si>
  <si>
    <t>http://www.linkedin.com/in/laurentcaimant</t>
  </si>
  <si>
    <t xml:space="preserve">Lea Bages</t>
  </si>
  <si>
    <t>Lea</t>
  </si>
  <si>
    <t>Bages</t>
  </si>
  <si>
    <t>lea.bages@egalitealapage.fr</t>
  </si>
  <si>
    <t xml:space="preserve">Egalité à la page</t>
  </si>
  <si>
    <t>egalitealapage.fr</t>
  </si>
  <si>
    <t xml:space="preserve">conseil,formation,prevention du sexisme,labellisation,egalite professionelle,evenementiel,mixite des metiers,communication</t>
  </si>
  <si>
    <t>http://www.linkedin.com/company/egalitealapage</t>
  </si>
  <si>
    <t xml:space="preserve">Cabinet de conseil, formation et prévention des violences sexistes et sexuelles, harcèlement et discrimination.</t>
  </si>
  <si>
    <t>http://www.linkedin.com/in/leabages</t>
  </si>
  <si>
    <t xml:space="preserve">Lea Mispoulet</t>
  </si>
  <si>
    <t>Mispoulet</t>
  </si>
  <si>
    <t>lea@copleni.fr</t>
  </si>
  <si>
    <t xml:space="preserve">Fondatrice - Dirigeante</t>
  </si>
  <si>
    <t>Copleni</t>
  </si>
  <si>
    <t>copleni.fr</t>
  </si>
  <si>
    <t xml:space="preserve">accompagnement,entreprenariat,formation,bienetre,consulting,coaching,bien etre,communication</t>
  </si>
  <si>
    <t>Boissy-sous-Saint-Yon</t>
  </si>
  <si>
    <t>http://www.linkedin.com/company/copleni</t>
  </si>
  <si>
    <t xml:space="preserve">L'accélérateur business de vos projets bien-être/mieux-être !
A travers des programmes d'accompagnements dédiés aux entrepreneurs du bien-être/mieux-être, notre mission est de valoriser et d'accompagner chaque entrepreneur.e à développer son activité. 
Nous avons également créé Copleni Conseil qui propose aux (futurs) entrepreneurs de développer leur projet comme le lancement d'un centre pluridisciplinaire, création d'une école, d'un concept...Nous proposons aussi de nous occuper de la communication de votre business : site internet et réseau sociaux.</t>
  </si>
  <si>
    <t>http://www.linkedin.com/in/l%c3%a9a-mispoulet</t>
  </si>
  <si>
    <t xml:space="preserve">Leo Lianos</t>
  </si>
  <si>
    <t>Lianos</t>
  </si>
  <si>
    <t>leo.lianos@kairios.fr</t>
  </si>
  <si>
    <t>KAIRIOS</t>
  </si>
  <si>
    <t>kairios.fr</t>
  </si>
  <si>
    <t xml:space="preserve">developpement sur mesure specifique &amp; developpement doutils metier</t>
  </si>
  <si>
    <t>http://www.linkedin.com/company/kairios-les-compagnons-du-numerique</t>
  </si>
  <si>
    <t xml:space="preserve">Kairios Simplifier et fiabiliser vos process d’information - Solutions Numériques sur-mesure - logiciels métier - solutions concrètes</t>
  </si>
  <si>
    <t>http://www.linkedin.com/in/l%c3%a9o-lianos-65674040</t>
  </si>
  <si>
    <t xml:space="preserve">Leo Marques</t>
  </si>
  <si>
    <t>leo.marques@inotekk.com</t>
  </si>
  <si>
    <t>Inotekk</t>
  </si>
  <si>
    <t>inotekk.com</t>
  </si>
  <si>
    <t xml:space="preserve">applications mobiles,java j2ee &amp; applications mobiles,java j2ee</t>
  </si>
  <si>
    <t>http://www.linkedin.com/company/inotekk</t>
  </si>
  <si>
    <t xml:space="preserve">Spécialiste dans la réalisation de logiciels sur mesure sur Nice, Monaco, Sophia-Antipolis, Menton, Cagnes-sur-Mer, Antibes, Cannes,  Mandelieu-la-Napoule. Création site Internet, création application iPhone/iPad.</t>
  </si>
  <si>
    <t>http://www.linkedin.com/in/l%c3%a9o-marques-bba09246</t>
  </si>
  <si>
    <t xml:space="preserve">Leo Tokenomics</t>
  </si>
  <si>
    <t>Tokenomics</t>
  </si>
  <si>
    <t>leo@nomiks.io</t>
  </si>
  <si>
    <t xml:space="preserve">Co-founder &amp; token economist</t>
  </si>
  <si>
    <t>Nomiks</t>
  </si>
  <si>
    <t>nomiks.io</t>
  </si>
  <si>
    <t xml:space="preserve">asset management,whitepaper,dao,luxury services,blockchain,tokenisation,web3,consulting,strategy,tokenomics</t>
  </si>
  <si>
    <t>http://www.linkedin.com/company/nomiks7</t>
  </si>
  <si>
    <t xml:space="preserve">Nomiks develops comprehensive softwares for easy token design and monitoring without the need of token economics expertise.</t>
  </si>
  <si>
    <t>http://www.linkedin.com/in/leodelion</t>
  </si>
  <si>
    <t xml:space="preserve">Lucas Garin</t>
  </si>
  <si>
    <t>Garin</t>
  </si>
  <si>
    <t>lgarin@roche-et-cie.fr</t>
  </si>
  <si>
    <t xml:space="preserve">ROCHE ET CIE</t>
  </si>
  <si>
    <t>roche-et-cie.fr</t>
  </si>
  <si>
    <t>http://www.linkedin.com/company/roche-et-cie</t>
  </si>
  <si>
    <t xml:space="preserve">Roche et Cie est une entreprise familiale lyonnaise créée en 1951. Elle compte plus de 100 compagnons aujourd'hui, et se place parmi les leaders du ravalement sur le marché de la copropriété en Rhône-Alpes.</t>
  </si>
  <si>
    <t>http://www.linkedin.com/in/lucas-garin-762540212</t>
  </si>
  <si>
    <t xml:space="preserve">Ludovic Lanoue</t>
  </si>
  <si>
    <t>Lanoue</t>
  </si>
  <si>
    <t>llanoue@diamart.fr</t>
  </si>
  <si>
    <t xml:space="preserve">Directeur général / Managing director</t>
  </si>
  <si>
    <t xml:space="preserve">Diamart Consulting</t>
  </si>
  <si>
    <t>diamartconsulting.fr</t>
  </si>
  <si>
    <t xml:space="preserve">strategies dinnovation et de croissance,cross canal et marketing client,strategies marketing et commerciales,category management</t>
  </si>
  <si>
    <t>http://www.linkedin.com/company/diamart-consulting</t>
  </si>
  <si>
    <t>https://twitter.com/DiamartGroup</t>
  </si>
  <si>
    <t xml:space="preserve">Diamart Group accompagne les retailers dans l'invention des modèles de demain et l'optimisation des performances d'aujourd'hui.</t>
  </si>
  <si>
    <t>http://www.linkedin.com/in/ludovic-lanoue-de-suremain-4140891b</t>
  </si>
  <si>
    <t xml:space="preserve">Leo Loisy</t>
  </si>
  <si>
    <t>Loisy</t>
  </si>
  <si>
    <t>lloisy@asbadrums.com</t>
  </si>
  <si>
    <t xml:space="preserve">ASBA Drums</t>
  </si>
  <si>
    <t>asbadrums.com</t>
  </si>
  <si>
    <t>http://www.linkedin.com/company/asba-drums</t>
  </si>
  <si>
    <t xml:space="preserve">Asba France</t>
  </si>
  <si>
    <t>http://www.linkedin.com/in/l%c3%a9o-loisy-82807aa5</t>
  </si>
  <si>
    <t xml:space="preserve">Laurent Mollon</t>
  </si>
  <si>
    <t>Mollon</t>
  </si>
  <si>
    <t>lm@priism.fr</t>
  </si>
  <si>
    <t xml:space="preserve">Fondateur - Directeur Commercial</t>
  </si>
  <si>
    <t>Priism</t>
  </si>
  <si>
    <t>priism.fr</t>
  </si>
  <si>
    <t xml:space="preserve">virtualisation,sauvegarde,infogerance,services cloud,securite informatique,telephonie ip,infrastructure informatique,conseil</t>
  </si>
  <si>
    <t>http://www.linkedin.com/company/priism</t>
  </si>
  <si>
    <t>https://twitter.com/Priism4</t>
  </si>
  <si>
    <t>https://www.facebook.com/PriismSA/</t>
  </si>
  <si>
    <t xml:space="preserve">Priism, Prestataire et conseil informatique partout en France. Nous intervenons sur des TPE, PME, Grands Groupes ou Collectivités dans la prestation et le conseil informatique.</t>
  </si>
  <si>
    <t>http://www.linkedin.com/in/laurentmollon</t>
  </si>
  <si>
    <t xml:space="preserve">Loic Mabire</t>
  </si>
  <si>
    <t>Mabire</t>
  </si>
  <si>
    <t>lmabire@techcare-it.com</t>
  </si>
  <si>
    <t>TECHCARE</t>
  </si>
  <si>
    <t>techcare-it.com</t>
  </si>
  <si>
    <t>http://www.linkedin.com/company/techcareitservices</t>
  </si>
  <si>
    <t>https://www.facebook.com/techcareitservices/</t>
  </si>
  <si>
    <t xml:space="preserve">Informatique Réseau Téléphonie Cybersécurité Marseille - Aix en Provence pour les entreprises. Techcare simplifie la vie numérique des TPE/PME.</t>
  </si>
  <si>
    <t>http://www.linkedin.com/in/lo%c3%afc-mabire-02a282a</t>
  </si>
  <si>
    <t xml:space="preserve">Loic Cueroni</t>
  </si>
  <si>
    <t>Cueroni</t>
  </si>
  <si>
    <t>loic.cueroni@ux-key.com</t>
  </si>
  <si>
    <t>UX-KEY</t>
  </si>
  <si>
    <t>ux-key.com</t>
  </si>
  <si>
    <t>http://www.linkedin.com/company/ux-key</t>
  </si>
  <si>
    <t xml:space="preserve">UX KEY analyse le comportement utilisateur pour améliorer l’intuitivité et l’ergonomie. Boostez la fidélité de vos visiteurs ! uxkey</t>
  </si>
  <si>
    <t>http://www.linkedin.com/in/lo%c3%afc-cueroni-4146b5124</t>
  </si>
  <si>
    <t xml:space="preserve">Loic Deleke</t>
  </si>
  <si>
    <t>Deleke</t>
  </si>
  <si>
    <t>loic.deleke@bii-group.com</t>
  </si>
  <si>
    <t xml:space="preserve">Bii Group</t>
  </si>
  <si>
    <t>bii-group.com</t>
  </si>
  <si>
    <t>Abidjan</t>
  </si>
  <si>
    <t>Lagunes</t>
  </si>
  <si>
    <t xml:space="preserve">Cote d'Ivoire</t>
  </si>
  <si>
    <t>http://www.linkedin.com/company/biigroupsarl</t>
  </si>
  <si>
    <t xml:space="preserve">Bii Group, est une entreprise sensible aux enjeux de développement durable. Elle s'attache à construire un meilleur futur pour la planète et pour tous par le respect de ses partenaires et des communautés qui l'entourent.</t>
  </si>
  <si>
    <t>http://www.linkedin.com/in/lo%c3%afc-deleke-4a629512a</t>
  </si>
  <si>
    <t xml:space="preserve">Loic Papon</t>
  </si>
  <si>
    <t>Papon</t>
  </si>
  <si>
    <t>loic.papon@ar2c.fr</t>
  </si>
  <si>
    <t>AR2C</t>
  </si>
  <si>
    <t>ar2c.fr</t>
  </si>
  <si>
    <t>Riom</t>
  </si>
  <si>
    <t>http://www.linkedin.com/company/ar2cgtc</t>
  </si>
  <si>
    <t xml:space="preserve">Optimisez la gestion de vos bâtiments à Clermont-Ferrand avec nos solutions GTB innovantes. Performance énergétique et maintenance proactive garanties.</t>
  </si>
  <si>
    <t>http://www.linkedin.com/in/loicpapon63</t>
  </si>
  <si>
    <t xml:space="preserve">Loic Lebez</t>
  </si>
  <si>
    <t>Lebez</t>
  </si>
  <si>
    <t>loic@omneo-solutions.com</t>
  </si>
  <si>
    <t xml:space="preserve">OMNEO Solutions</t>
  </si>
  <si>
    <t>omneo-solutions.com</t>
  </si>
  <si>
    <t xml:space="preserve">application,business intelligence,graphisme,numerique,broadcast,test,plannification,innovation,it,projet,consulting,technologie de linformation,communication,prestations,recrutement,formation sur mesure,data,mobile,big data,pilotage,logiciel,developpement,web,assistance a maitrise douvrage,infrastructure,virtualisation,reseau,support,accompagnement,taille humaine,formation,gestion,cloud,esn,audiovisuel</t>
  </si>
  <si>
    <t>http://www.linkedin.com/company/omneo-solutions</t>
  </si>
  <si>
    <t xml:space="preserve">OMNEO Solutions vous accompagne sur les domaines de la Formation, du Consulting et de la Gestion de Projet en vous apportant des solutions sur-mesure.</t>
  </si>
  <si>
    <t>http://www.linkedin.com/in/lo%c3%afc-lebez-3a092844</t>
  </si>
  <si>
    <t xml:space="preserve">Lola Leviant</t>
  </si>
  <si>
    <t>Lola</t>
  </si>
  <si>
    <t>Leviant</t>
  </si>
  <si>
    <t>lola@ilove-events.fr</t>
  </si>
  <si>
    <t xml:space="preserve">Directrice Générale I Love Events - Directrice Associée Groupe OPA</t>
  </si>
  <si>
    <t xml:space="preserve">I LOVE EVENTS</t>
  </si>
  <si>
    <t>ilove-events.com</t>
  </si>
  <si>
    <t xml:space="preserve">event,entertainment,digital,soiree,meeting,roadshow,travel,brand content,communication,conference de presse,lancement de produit,influence,seminaire,voyage</t>
  </si>
  <si>
    <t>http://www.linkedin.com/company/agence-i-love-events</t>
  </si>
  <si>
    <t xml:space="preserve">Agence de communication indépendante créée en 2004, I Love Events accompagne les marques dans leurs stratégies de communication événementielle depuis la conception du projet jusqu'à sa complète réalisation.
L'agence est dirigée par trois associées : Lola Leviant, Sonia Ferreira, Astrid Argentin. 
Tout d'abord spécialisée dans l'organisation d'événements et la production de contenus, l'agence ouvre, en 2008, le département I Love Travel, dédié aux voyages d'entreprise. 
Reconnue pour son réseau de talents, l'investissement sans faille de sa Love Team et pour l'audace créative de ses propositions, I Love Events organise près d'une quarantaine d'événements par an en France et à l'étranger.
Ces dernières années, pour palier à un contexte particulier, l'agence renforce son expertise digitale en proposant des solutions innovantes pour créer des évènements hybrides ou 100% online.
Quelques références: 
Bioderma, BNPP, CanalSat, Canon, Cartoon Network, Chanel, Chaumet, Confédération des Buralistes, Critéo, Eiffage, Engie, Garnier, Huawei, Lancôme, Le Coq Sportif, L'Oréal Paris, Maybelline, New York, Sony Music, Sarenza, Ubisoft, SFR, Total, Turner, Universal Music, Warner Bros, …</t>
  </si>
  <si>
    <t>http://www.linkedin.com/in/lola-leviant-a8001662</t>
  </si>
  <si>
    <t xml:space="preserve">Louis Bernard</t>
  </si>
  <si>
    <t>louis.bernard@crisotech.com</t>
  </si>
  <si>
    <t xml:space="preserve">Fondateur – Expert en gestion de crise et communication de crise</t>
  </si>
  <si>
    <t>Crisotech</t>
  </si>
  <si>
    <t>crisotech.com</t>
  </si>
  <si>
    <t xml:space="preserve">gestion de crise,communication de crise,media training,logiciels de crise,exercices de crise,formation a la gestion de crise,accompagnement de crise,applications mobiles de crise</t>
  </si>
  <si>
    <t>http://www.linkedin.com/company/crisotech</t>
  </si>
  <si>
    <t xml:space="preserve">Découvrez Mercure by ChapsVision CyberGov, notre solution de support à l'enquête pensée pour les enquêteurs.</t>
  </si>
  <si>
    <t>http://www.linkedin.com/in/louisbernardcrisotech</t>
  </si>
  <si>
    <t xml:space="preserve">Laurent Prud'homme</t>
  </si>
  <si>
    <t>Prud'homme</t>
  </si>
  <si>
    <t>lprudhomme@dcom-solutions.fr</t>
  </si>
  <si>
    <t>Dcom-Solutions</t>
  </si>
  <si>
    <t>dcom-solutions.fr</t>
  </si>
  <si>
    <t xml:space="preserve">telephonie ip,telephonie dentreprise,infogerance informatique,securite,connectivite,hebergement web</t>
  </si>
  <si>
    <t>Chasseneuil-du-Poitou</t>
  </si>
  <si>
    <t>http://www.linkedin.com/company/dcom-solutions</t>
  </si>
  <si>
    <t xml:space="preserve">Prestataire de services informatiques (expertise en infogérance, sécurité) &amp; télécoms (internet, communications unifiées) à Poitiers.</t>
  </si>
  <si>
    <t>http://www.linkedin.com/in/lprudhomme</t>
  </si>
  <si>
    <t xml:space="preserve">Laurent Stratten</t>
  </si>
  <si>
    <t>Stratten</t>
  </si>
  <si>
    <t>lstratten@constructions-du-belon.com</t>
  </si>
  <si>
    <t xml:space="preserve">LES CONSTRUCTIONS DU BELON</t>
  </si>
  <si>
    <t>Lanester</t>
  </si>
  <si>
    <t xml:space="preserve">construction de maisons individuelles</t>
  </si>
  <si>
    <t>http://www.linkedin.com/company/les-constructions-du-belon</t>
  </si>
  <si>
    <t>https://twitter.com/lcdbelon</t>
  </si>
  <si>
    <t>https://facebook.com/pages/Constructions-du-Belon/1018209471528883</t>
  </si>
  <si>
    <t xml:space="preserve">Constructeur de maison individuelle en Bretagne Sud, les Constructions du Belon vous accompagnent dans votre projet de construction dans le Morbihan ou le Finistère.</t>
  </si>
  <si>
    <t>http://www.linkedin.com/in/laurent-stratten-007b31114</t>
  </si>
  <si>
    <t xml:space="preserve">Luis Taborda</t>
  </si>
  <si>
    <t>Taborda</t>
  </si>
  <si>
    <t>luis@feedmax.io</t>
  </si>
  <si>
    <t>FeedMax</t>
  </si>
  <si>
    <t>feedmax.io</t>
  </si>
  <si>
    <t>http://www.linkedin.com/company/feedmax-io</t>
  </si>
  <si>
    <t xml:space="preserve">Grâce à l'IA et une rémunération à la performance améliorez vos performances sur Google Shopping sans aucun risque</t>
  </si>
  <si>
    <t>http://www.linkedin.com/in/luis-manuel-taborda-059a1227</t>
  </si>
  <si>
    <t xml:space="preserve">Marc Avena</t>
  </si>
  <si>
    <t>Avena</t>
  </si>
  <si>
    <t>m.avena@toutfaire06.fr</t>
  </si>
  <si>
    <t xml:space="preserve">TOUT FAIRE Côte d'Azur</t>
  </si>
  <si>
    <t xml:space="preserve">decoration murale,materiaux de construction,amenagement,construction,menuiserie,outillage,commerce</t>
  </si>
  <si>
    <t>http://www.linkedin.com/company/toutfairecotedazur</t>
  </si>
  <si>
    <t xml:space="preserve">Construire ou rénover une habitation, aménager des combles, poser une terrasse ou transformer une salle de bain... 
Quel que soit votre projet, LA PROVENÇALE DE MATÉRIAUX, GIRARD et PRO-G-MAT vous proposent toutes les solutions pour mener à bien votre chantier. 
Matériaux innovants, conseils et affaires d'experts, normes et réglementations... Nous mettons tout en oeuvre pour vous accompagner jusqu'au bout de vos projets !
Si vous souhaitez en savoir plus sur nos gammes de produits, n'hésitez pas à nous contacter ! (Nos coordonnées sont inscrites sur la photo de couverture)
Ou bien, rendez-vous sur notre site internet : www.toutfaire06.fr</t>
  </si>
  <si>
    <t>http://www.linkedin.com/in/marc-avena-686342125</t>
  </si>
  <si>
    <t xml:space="preserve">Mathieu Darmon</t>
  </si>
  <si>
    <t>Darmon</t>
  </si>
  <si>
    <t>m.darmon@sngisa.fr</t>
  </si>
  <si>
    <t>SNGI</t>
  </si>
  <si>
    <t>sngisas.com</t>
  </si>
  <si>
    <t>http://www.linkedin.com/company/soci%c3%a9t%c3%a9-nouvelle-guillarme-industrie</t>
  </si>
  <si>
    <t xml:space="preserve">SNGI, experts en charpente métallique et solutions industrielles. Conception, fabrication, et construction de structures métalliques.</t>
  </si>
  <si>
    <t>http://www.linkedin.com/in/mathieu-darmon-a136a097</t>
  </si>
  <si>
    <t xml:space="preserve">Maxime Farahi</t>
  </si>
  <si>
    <t>Farahi</t>
  </si>
  <si>
    <t>m.farahi@clubsantepremium.com</t>
  </si>
  <si>
    <t xml:space="preserve">Club Santé Premium</t>
  </si>
  <si>
    <t>clubsantepremium.com</t>
  </si>
  <si>
    <t>Tourcoing</t>
  </si>
  <si>
    <t xml:space="preserve">cessiontransmission de cabinet dentaire,solutions patrimoniales,formation,solution de paiement pour les patients,achats,communication,recrutement</t>
  </si>
  <si>
    <t>http://www.linkedin.com/company/club-sant%c3%a9-premium</t>
  </si>
  <si>
    <t xml:space="preserve">Club Santé Premium est un groupement national qui fédère des Chirurgiens-Dentistes libéraux et les accompagne par des services premium à dessiner un nouvel avenir pour leur cabinet, leurs patients, leurs confrères.</t>
  </si>
  <si>
    <t>http://www.linkedin.com/in/maxime-farahi-282401b9</t>
  </si>
  <si>
    <t xml:space="preserve">Marc Lemaire</t>
  </si>
  <si>
    <t>Lemaire</t>
  </si>
  <si>
    <t>m.lemaire@zeroptical.com</t>
  </si>
  <si>
    <t xml:space="preserve">ZEROPTICAL Groupe</t>
  </si>
  <si>
    <t>zeroptical.com</t>
  </si>
  <si>
    <t>http://www.linkedin.com/company/zeroptical-groupe</t>
  </si>
  <si>
    <t>https://www.facebook.com/Zeroptical/</t>
  </si>
  <si>
    <t xml:space="preserve">Des lunettes de vue, de soleil 100% santé tendances &amp; de qualité dans nos points de vente. Des aides auditives 100% remboursées et bilan gratuit</t>
  </si>
  <si>
    <t>http://www.linkedin.com/in/marc-lemaire-6b21701a0</t>
  </si>
  <si>
    <t xml:space="preserve">Mailys Mancion</t>
  </si>
  <si>
    <t>Mancion</t>
  </si>
  <si>
    <t>m.mancion@abelya-partners.com</t>
  </si>
  <si>
    <t xml:space="preserve">Consultante senior fondatrice  Assurance &amp; Protection sociale</t>
  </si>
  <si>
    <t>http://www.linkedin.com/in/ma%c3%aflysmancion</t>
  </si>
  <si>
    <t xml:space="preserve">Michel Meunier</t>
  </si>
  <si>
    <t>m.meunier@janusfrance.fr</t>
  </si>
  <si>
    <t xml:space="preserve">Dirigeant Entrepreneur</t>
  </si>
  <si>
    <t xml:space="preserve">JANUS FRANCE</t>
  </si>
  <si>
    <t>janusfrance.fr</t>
  </si>
  <si>
    <t>Chantilly</t>
  </si>
  <si>
    <t xml:space="preserve">serrurerie,maintenance,industrie,entretient batiment</t>
  </si>
  <si>
    <t>http://www.linkedin.com/company/janus-france</t>
  </si>
  <si>
    <t>https://twitter.com/JanusGroupe</t>
  </si>
  <si>
    <t>https://www.facebook.com/janus.france/</t>
  </si>
  <si>
    <t xml:space="preserve">➡ JANUS France, créée en 2013 par Michel Meunier, entrepreneur isarien, emploie dix salariés et affiche un chiffre d'affaires de 1.2M€ en 2018. 
➡ L'entreprise promeut le Made In France et le savoir-faire français. Dans le cadre de sa politique RSE, JANUS France adhère à la BIOM Attitude. L'indicateur « % BIOM » est un révélateur de l'impact positif de l'entreprise et du bien commun qu'elle génère. Il révèle la valeur ajoutée sociétale de l'entreprise, induite par ses actions et ses bonnes pratiques.</t>
  </si>
  <si>
    <t>http://www.linkedin.com/in/michelmeunier</t>
  </si>
  <si>
    <t xml:space="preserve">Margaux Morgando</t>
  </si>
  <si>
    <t>Morgando</t>
  </si>
  <si>
    <t>m.morgando@cabinet-capcession.com</t>
  </si>
  <si>
    <t xml:space="preserve">Directrice Développement France &amp; Présidente Associée</t>
  </si>
  <si>
    <t xml:space="preserve">CAP CESSION France</t>
  </si>
  <si>
    <t>cabinetcapcession.com</t>
  </si>
  <si>
    <t xml:space="preserve">immobilier professionnel,cession dentreprise,investissement au capital,immobilier commercial</t>
  </si>
  <si>
    <t>http://www.linkedin.com/company/cap-cession-france</t>
  </si>
  <si>
    <t>http://www.linkedin.com/in/mgx-mgd</t>
  </si>
  <si>
    <t xml:space="preserve">Mehdi Ouenzar</t>
  </si>
  <si>
    <t>Ouenzar</t>
  </si>
  <si>
    <t>m.ouenzar@axe-ing.fr</t>
  </si>
  <si>
    <t>axe-ing</t>
  </si>
  <si>
    <t>axe-ing.fr</t>
  </si>
  <si>
    <t xml:space="preserve">Le Pecq</t>
  </si>
  <si>
    <t>http://www.linkedin.com/company/axe-ing</t>
  </si>
  <si>
    <t xml:space="preserve">Nous vous accompagnons à chaque étape de vos projets, de la définition des besoins à la réception finale, (Etudes et Assistance à la Maîtrise d’Ouvrage)</t>
  </si>
  <si>
    <t>http://www.linkedin.com/in/mehdi-ouenzar-3763b746</t>
  </si>
  <si>
    <t xml:space="preserve">Marc Sitarz</t>
  </si>
  <si>
    <t>Sitarz</t>
  </si>
  <si>
    <t>m.sitarz@ecofit.com</t>
  </si>
  <si>
    <t xml:space="preserve">ROSENBERG VENDOME</t>
  </si>
  <si>
    <t>rosenberg-vendome.com</t>
  </si>
  <si>
    <t>Saint-Romain-sur-Cher</t>
  </si>
  <si>
    <t xml:space="preserve">solutions de ventilation</t>
  </si>
  <si>
    <t>Vendome</t>
  </si>
  <si>
    <t>http://www.linkedin.com/company/ecofit-etri</t>
  </si>
  <si>
    <t>https://www.facebook.com/ecofitetri</t>
  </si>
  <si>
    <t xml:space="preserve">ROSENBERG VENDÔME was established in 1976 to design, manufacture and sell induction motors and fans. In 1981 the company decides to extend its range with the addition of external rotor motors and fans, a concept that formed the basis for 30 years of growth and success.
Certified ISO 9002 in 1993, ROSENBERG VENDOME's quality system is now certified ISO 9001 : 2015.
Since 1994, ROSENBERG VENDOME has been part of the ROSENBERG group.
In March 2002, ROSENBERG VENDOME acquires ETRI, leading manufacturer of compact and industrial fans and blowers.
Our range of fans includes:
- single inlet forward centrifugal fans (AC or EC)
- double inlet forward centrifugal fans (AC or EC)
- backward centrifugal fans (AC, DC or EC)
- axial fans (AC, DC or EC)
- cross flow fans
- Hot air fans
- AC and DC high performance fans
- 400Hz axial fans
More information on:
www.ecofit.com or www.etrinet.com
Find us also on: 
https://www.facebook.com/ecofitetri</t>
  </si>
  <si>
    <t>http://www.linkedin.com/in/marc-sitarz-290416aa</t>
  </si>
  <si>
    <t xml:space="preserve">Marc Sodic</t>
  </si>
  <si>
    <t>Sodic</t>
  </si>
  <si>
    <t>m.sodic@axe-international.com</t>
  </si>
  <si>
    <t xml:space="preserve">PDG Axe International</t>
  </si>
  <si>
    <t xml:space="preserve">AXE INTERNATIONAL</t>
  </si>
  <si>
    <t>axe-international.com</t>
  </si>
  <si>
    <t xml:space="preserve">telephonie centrex,videosurveillance,sauvegardes externalisees,ipbx et trunk sip,fibre optique,sdsl,efm,controle dacces par badge,partage collaboratif,telephonie mobile,popc</t>
  </si>
  <si>
    <t>Voisins-le-Bretonneux</t>
  </si>
  <si>
    <t>http://www.linkedin.com/company/axeinternational</t>
  </si>
  <si>
    <t>https://www.facebook.com/axe.inter/</t>
  </si>
  <si>
    <t xml:space="preserve">Spécialiste des technologies IP depuis 10 ans, Axe International conçoit, développe et commercialise des solutions de communication qui permettent aux PME et PMI d’améliorer la relation client et accroître l’efficacité commerciale.</t>
  </si>
  <si>
    <t>http://www.linkedin.com/in/marc-sodic-2874b740</t>
  </si>
  <si>
    <t xml:space="preserve">Mickael Wozniak</t>
  </si>
  <si>
    <t>Wozniak</t>
  </si>
  <si>
    <t>m.wozniak@bw-idem.fr</t>
  </si>
  <si>
    <t xml:space="preserve">Dirigeant associé - Ingénieur méthodes</t>
  </si>
  <si>
    <t xml:space="preserve">IDeM SAS</t>
  </si>
  <si>
    <t>bw-idem.fr</t>
  </si>
  <si>
    <t>http://www.linkedin.com/company/bw-idem</t>
  </si>
  <si>
    <t xml:space="preserve">IDeM Ingénierie - Méthodes, BIM, OPC, pilotage de chantier. Optimisez vos coûts et délais. Nous recrutons des ingénieurs et chargés d'affaires.</t>
  </si>
  <si>
    <t>http://www.linkedin.com/in/micka%c3%abl-wozniak-991a24108</t>
  </si>
  <si>
    <t xml:space="preserve">Mohamed Abouri</t>
  </si>
  <si>
    <t>Abouri</t>
  </si>
  <si>
    <t>mabouri@insepti.com</t>
  </si>
  <si>
    <t xml:space="preserve">Directeur Général associé</t>
  </si>
  <si>
    <t>INSEPTI</t>
  </si>
  <si>
    <t>insepti.com</t>
  </si>
  <si>
    <t xml:space="preserve">stambia,orchestra,referentiels dentreprises mdm,brms,semarchy,hana,supportastreinte,architecture si,bpm,referentiels d39entreprises mdm,big data,opcon,dataviz,formation,negoce de licences,analyse predictive,decisionnel,sap,architecture des systemes d39informations,architecture des systemes dinformations,data hub,odi,gestion de projet,sybase iq,flux de donnees interapplicatifs</t>
  </si>
  <si>
    <t>http://www.linkedin.com/company/insepti</t>
  </si>
  <si>
    <t>https://twitter.com/InseptiOfficiel</t>
  </si>
  <si>
    <t xml:space="preserve">INSEPTI est une société de conseils spécialisée dans la valorisation du capital données des entreprises.</t>
  </si>
  <si>
    <t>http://www.linkedin.com/in/mohamedabouri</t>
  </si>
  <si>
    <t xml:space="preserve">Magali L'her</t>
  </si>
  <si>
    <t>L'her</t>
  </si>
  <si>
    <t>magali.lher@royal-service.fr</t>
  </si>
  <si>
    <t xml:space="preserve">Royal Service</t>
  </si>
  <si>
    <t>royal-service.fr</t>
  </si>
  <si>
    <t>Gournay-sur-Marne</t>
  </si>
  <si>
    <t>Noisy-le-Grand</t>
  </si>
  <si>
    <t>http://www.linkedin.com/company/royalservicers</t>
  </si>
  <si>
    <t>https://www.facebook.com/Royal-Service-104622531852880</t>
  </si>
  <si>
    <t xml:space="preserve">Royal Service est une société familiale forte de plus de 126 ans d'expérience et spécialisée dans la location et l'entretien du linge textile, du traitement des vêtements de travail et de l'hygiène professionnelle.</t>
  </si>
  <si>
    <t>http://www.linkedin.com/in/magali-l-her-a5086a47</t>
  </si>
  <si>
    <t xml:space="preserve">Magda Kuziara</t>
  </si>
  <si>
    <t>Kuziara</t>
  </si>
  <si>
    <t>magda.kuziara@creofrance.fr</t>
  </si>
  <si>
    <t xml:space="preserve">CREO FRANCE</t>
  </si>
  <si>
    <t>creofrance.fr</t>
  </si>
  <si>
    <t>http://www.linkedin.com/company/creo-france</t>
  </si>
  <si>
    <t xml:space="preserve">CREO FRANCE est une entreprise spécialisée dans le domaine du CVC, offrant des solutions complètes pour la fabrication et la pose de gaines de ventilation. Notre expertise nous permet de concevoir et de fournir des systèmes de ventilation efficaces et de haute qualité.</t>
  </si>
  <si>
    <t>http://www.linkedin.com/in/magda-kuziara-3a55973b</t>
  </si>
  <si>
    <t xml:space="preserve">Magnus Magnusson</t>
  </si>
  <si>
    <t>Magnus</t>
  </si>
  <si>
    <t>Magnusson</t>
  </si>
  <si>
    <t>magnus@qpq.international</t>
  </si>
  <si>
    <t xml:space="preserve">CEO  Capital4D Capital4D strives to bridge the SDG financing gap by providing expert advisory services that align finance  including blended finance  with the needs</t>
  </si>
  <si>
    <t xml:space="preserve">QPQ International</t>
  </si>
  <si>
    <t>qpq.international</t>
  </si>
  <si>
    <t xml:space="preserve">investment management</t>
  </si>
  <si>
    <t xml:space="preserve">business hub,business matchmaking,live networking,connections,investment,consulting,green energy,project funding,waste to energy,hydrogen,energy storage,renewable energy,project finance,investment projects</t>
  </si>
  <si>
    <t>Dubai</t>
  </si>
  <si>
    <t>http://www.linkedin.com/company/qpq-international</t>
  </si>
  <si>
    <t xml:space="preserve">QPQ INTERNATIONAL - A PIONEERING DEAL ADVISORY PLATFORM THAT SEEKS TO TRANSFORM  THE WORLD OF SUSTAINABLE INVESTMENTS BY BRINGING TOGETHER MONEY, EXPERTISE AND INNOVATION TO CATALYSE AND FACILITATE INVESTMENTS INTO PROJECTS AND VENTURES IN RENEWABLE ENERGY, WATER AND WASTE MANAGEMENT, SUSTAINABLE AGRICULTURE AND THE BROADER SUSTAINABILITY SECTOR
 www.qpq.international  
Our primary focus is to create a bridge between investors and sustainable investments.  
QPQ is born out of a desire to transform economic models of prosperity towards systems of growth that enable a more sustainable future for all. Our emphasis is on harnessing the power of new ways-of-thinking and new ways-of-doing, while creating value for all stakeholders in the investment process.
Our key strengths are:
•	Passion and expertise on issues relating to sustainability, social impact, and sustainable business value
•	Profound investment advisory experience in the sustainability arena, such as in clean energy, energy storage, water, waste management and sustainable agriculture
•	Deep-seated knowledge of investment opportunities in emerging markets
•	High-value network of advisors
•	Discrete and bespoke business matchmaking
•	Sourcing profitable projects and opportunities for our clients and stakeholders
Our mission is to accelerate deployment of capital into projects in line with United Nation's 17 Sustainable Development Goals, particularly those aligned with The Paris Agreement goal of limiting the global temperature rise. 
Our approach is to build a long-term trusted partnership with strategic investors focused on sustainability investments.  We achieve this by creating a broad pipeline of investment opportunities and facilitating transactions using experienced advisors with blue-chip backgrounds on our platform.   We engage our stakeholders while preserving the privacy and confidentiality of our clients at all times. 
QPQ is an Official Partner of :
Kazakh Invest - https://invest.gov.kz/
"</t>
  </si>
  <si>
    <t>http://www.linkedin.com/in/magnus-magnusson-69b0327</t>
  </si>
  <si>
    <t xml:space="preserve">Manu Cousi</t>
  </si>
  <si>
    <t>Manu</t>
  </si>
  <si>
    <t>Cousi</t>
  </si>
  <si>
    <t>manu@guidap.com</t>
  </si>
  <si>
    <t xml:space="preserve">Fondateur &amp; Expert en commercialisation touristique</t>
  </si>
  <si>
    <t>GUIDAP</t>
  </si>
  <si>
    <t>guidap.com</t>
  </si>
  <si>
    <t xml:space="preserve">loisir,seo,sem,logiciel,caisse enregistreuse,vente en ligne,devis en ligne,planning,tourisme,activites de loisirs</t>
  </si>
  <si>
    <t>http://www.linkedin.com/company/guidap</t>
  </si>
  <si>
    <t>https://www.facebook.com/guidapfrance</t>
  </si>
  <si>
    <t xml:space="preserve">Vendez vos activités en ligne, gagnez du temps sur vos réservations, plannings et encaissements avec Guidap, disponible sur tous supports, sans commission.</t>
  </si>
  <si>
    <t>http://www.linkedin.com/in/manu-cousi-75598770</t>
  </si>
  <si>
    <t xml:space="preserve">Manuel Vacelet</t>
  </si>
  <si>
    <t>Manuel</t>
  </si>
  <si>
    <t>Vacelet</t>
  </si>
  <si>
    <t>manuel.vacelet@tuleap.org</t>
  </si>
  <si>
    <t>Tuleap</t>
  </si>
  <si>
    <t>tuleap.org</t>
  </si>
  <si>
    <t xml:space="preserve">agile,devops,scrum,kanban,issue tracking,continuous development,team collaboration,open source,software traceability</t>
  </si>
  <si>
    <t>Sonnaz</t>
  </si>
  <si>
    <t>http://www.linkedin.com/company/tuleap</t>
  </si>
  <si>
    <t>https://twitter.com/TuleapOpenALM</t>
  </si>
  <si>
    <t xml:space="preserve">Tuleap, all-in-one tool for Agile Management and Software Development</t>
  </si>
  <si>
    <t>http://www.linkedin.com/in/manuel-vacelet-3715806</t>
  </si>
  <si>
    <t xml:space="preserve">Marc Kaplan</t>
  </si>
  <si>
    <t>Kaplan</t>
  </si>
  <si>
    <t>marc.kaplan@veriqloud.com</t>
  </si>
  <si>
    <t>VeriQloud</t>
  </si>
  <si>
    <t>veriqloud.com</t>
  </si>
  <si>
    <t xml:space="preserve">cybersecurity,quantum communications,quantum cybersecurity,sensitive data,data intransit,quantum network,longterm secure storage,quantumsafe,quantumready,quantum technologies,secure delegated quantum computing,store now break later attacks,cloud security,secure distributed storage,multiparty key establishment,secure software storage,quantum network architecture,quantum cloud computing,blind quantum computing,qenclave,federated learning,privacy,verifiability,bqc,blindness,confidential computing,qkd,privacybydesign</t>
  </si>
  <si>
    <t>http://www.linkedin.com/company/veriqloud</t>
  </si>
  <si>
    <t xml:space="preserve">At VeriQloud we are pioneers in quantum-safe cybersecurity and offer software solutions for cloud data storage, communication and computation. 
We democratize these applications for businesses, public institutions and government agencies by ensuring they are easily scalable and hardware-agnostic. 
Co-founded in 2017 by Dr Marc Kaplan, CEO, Pr Elham Kashefi, CSO and Pr Josh Nuun Scientific Advisor.
Be quantum-ready &amp; Stay quantum-safe.
VeriQloud, Cybersecurity in a Quantum World</t>
  </si>
  <si>
    <t>http://www.linkedin.com/in/kapmarc</t>
  </si>
  <si>
    <t xml:space="preserve">Marc Plunian</t>
  </si>
  <si>
    <t>Plunian</t>
  </si>
  <si>
    <t>marc.plunian@netensia.fr</t>
  </si>
  <si>
    <t xml:space="preserve">Propriétaire - Directeur général</t>
  </si>
  <si>
    <t>Netensia</t>
  </si>
  <si>
    <t>netensia.fr</t>
  </si>
  <si>
    <t xml:space="preserve">telephonie,interconnexion,mpls,firewall,securiser,collaborer,b2b,vpn,telecoms,ftth,hebergement,fibre,services,teletravail,bzh,cloud informatique,ftto,telecommunications,numeriques,cloud</t>
  </si>
  <si>
    <t>http://www.linkedin.com/company/netensia</t>
  </si>
  <si>
    <t>https://twitter.com/netensia</t>
  </si>
  <si>
    <t>https://www.facebook.com/Netensia</t>
  </si>
  <si>
    <t xml:space="preserve">Netensia opérateur télécoms, téléphonie unifiée et spécialiste IT et services informatiques B2B (cloud, hébergement, SaaS, Applications métiers, ERP, ...)
Notre nouvelle adresse : 36 rue Ampère 56 890 Saint Avé.</t>
  </si>
  <si>
    <t>http://www.linkedin.com/in/marc-plunian-bb3a3928</t>
  </si>
  <si>
    <t xml:space="preserve">Marc Soubeyran</t>
  </si>
  <si>
    <t>Soubeyran</t>
  </si>
  <si>
    <t>marc.soubeyran@extend-bc.com</t>
  </si>
  <si>
    <t xml:space="preserve">Fondateur et Directeur Associé Extend Business Consulting</t>
  </si>
  <si>
    <t xml:space="preserve">Extend Business Consulting</t>
  </si>
  <si>
    <t>extend-bc.com</t>
  </si>
  <si>
    <t xml:space="preserve">dao,crm,assistance a maitrise douvrage,map,accompagnement au changement,aide au choix de solutions rfi,rfp erp,plm,optimisation des organisations et des process,efficacite des projets,pim,organisme de formation illustrator,cadrage strategique,aps,photoshop,cadrage projets,cao,innovation,indesign</t>
  </si>
  <si>
    <t>http://www.linkedin.com/company/extend-business-consulting</t>
  </si>
  <si>
    <t>https://www.facebook.com/extendbusinessconsulting/</t>
  </si>
  <si>
    <t xml:space="preserve">Extend Business Consulting est un cabinet de conseil spécialisé en Stratégie Opérationnelle, Management, Organisation et SI métiers qui accompagne les marques de la mode et de la distribution depuis le cadrage stratégique jusqu'à la mise en œuvre opérationnelle.</t>
  </si>
  <si>
    <t>http://www.linkedin.com/in/marcsoubeyran</t>
  </si>
  <si>
    <t xml:space="preserve">Marc Tcherdakoff</t>
  </si>
  <si>
    <t>Tcherdakoff</t>
  </si>
  <si>
    <t>marc.tcherdakoff@abil-it.fr</t>
  </si>
  <si>
    <t xml:space="preserve">Président &amp; associé</t>
  </si>
  <si>
    <t>ABIL-IT</t>
  </si>
  <si>
    <t>abil-it.fr</t>
  </si>
  <si>
    <t xml:space="preserve">ordonnancement,flux,production,supervision,axway,controlm,servicenav,bmc,hypervision,secure transport,saas,onprem,helix,sentinel,flow manager</t>
  </si>
  <si>
    <t>http://www.linkedin.com/company/abil-it</t>
  </si>
  <si>
    <t xml:space="preserve">Des visions plurielles pour une solution singulière   Expertise et savoir-faire 
ABIL-IT a pour vocation d’apporter à ses clients son expertise et son savoir-faire
sur l’outillage informatique et sa gestion tout au long de leur cycle de vie. Expertises  Carrières        
et vous</t>
  </si>
  <si>
    <t>http://www.linkedin.com/in/marctcherdakoff</t>
  </si>
  <si>
    <t xml:space="preserve">Marc Derbey</t>
  </si>
  <si>
    <t>Derbey</t>
  </si>
  <si>
    <t>marc@sogilis.com</t>
  </si>
  <si>
    <t xml:space="preserve">Sogilis Level Up together !</t>
  </si>
  <si>
    <t>sogilis.com</t>
  </si>
  <si>
    <t xml:space="preserve">software engineering,safetycritical embedded software,web development,logiciel,developpement,programmation,conseil,formation,logiciel embarque critique,application web,application native,ergonomie,design,business model design,recherche de financement</t>
  </si>
  <si>
    <t>http://www.linkedin.com/company/sogilis</t>
  </si>
  <si>
    <t>https://twitter.com/uxshadow</t>
  </si>
  <si>
    <t>https://facebook.com/pages/Sogilis/166648736770329</t>
  </si>
  <si>
    <t xml:space="preserve">Notre ambition est de faire progresser l’industrie du développement de logiciels et de produits. </t>
  </si>
  <si>
    <t>http://www.linkedin.com/in/marc-derbey-baa812</t>
  </si>
  <si>
    <t xml:space="preserve">Marcel Pfanner</t>
  </si>
  <si>
    <t>Pfanner</t>
  </si>
  <si>
    <t>marcel.pfanner@gradius-remanufacturing.com</t>
  </si>
  <si>
    <t xml:space="preserve">PDG GRADIUS</t>
  </si>
  <si>
    <t xml:space="preserve">Gradius Remanufacturing</t>
  </si>
  <si>
    <t>gradius-remanufacturing.com</t>
  </si>
  <si>
    <t>Chaponnay</t>
  </si>
  <si>
    <t>machinery</t>
  </si>
  <si>
    <t xml:space="preserve">echange standard compresseur,bobinage moteur compresseur,compresseur frigorifique,pieces pour compresseur frigorifique,compresseur remanufacture,compresseur frigorifique neuf,reparation compresseur frigorifique</t>
  </si>
  <si>
    <t>Saint-Quentin-Fallavier</t>
  </si>
  <si>
    <t>http://www.linkedin.com/company/gradius-remanufacturing</t>
  </si>
  <si>
    <t>https://www.facebook.com/gradius.remanufacturing/</t>
  </si>
  <si>
    <t xml:space="preserve">Les compresseurs reconditionnés, notre coeur de métier.</t>
  </si>
  <si>
    <t>http://www.linkedin.com/in/mpfanner</t>
  </si>
  <si>
    <t xml:space="preserve">Marie Azevedo</t>
  </si>
  <si>
    <t>Azevedo</t>
  </si>
  <si>
    <t>marie.azevedo@resocom.com</t>
  </si>
  <si>
    <t>RESOCOM</t>
  </si>
  <si>
    <t>resocom.com</t>
  </si>
  <si>
    <t xml:space="preserve">lutte contre le blanchiment des capitaux,lutte contre le financement du terrorisme,mise en relation clients kyc,lutte contre la fraude identitaire et documentaire</t>
  </si>
  <si>
    <t>http://www.linkedin.com/company/resocom</t>
  </si>
  <si>
    <t>https://www.facebook.com/Resocom75/</t>
  </si>
  <si>
    <t xml:space="preserve">Nos solutions KYC sur-mesure vous permettent d’intégrer de nouveaux clients en toute sécurité et en respectant les exigences réglementaires.</t>
  </si>
  <si>
    <t>http://www.linkedin.com/in/marie-azevedo-23494362</t>
  </si>
  <si>
    <t xml:space="preserve">Marie Dixneuf</t>
  </si>
  <si>
    <t>Dixneuf</t>
  </si>
  <si>
    <t>marie.dixneuf@makeo.fr</t>
  </si>
  <si>
    <t>Makeo</t>
  </si>
  <si>
    <t>makeo.fr</t>
  </si>
  <si>
    <t xml:space="preserve">sites vitrines,sites ecommerce,sites specifiques,web design,reseaux sociaux,cartes de visite,nom de domaine,seo,sea,blog,logos,redactions,hebergements</t>
  </si>
  <si>
    <t>http://www.linkedin.com/company/makeo-agence-web</t>
  </si>
  <si>
    <t xml:space="preserve">Agence web à Cholet, Nantes et Angers, nous vous accompagnons dans votre développement digital : création de site web, app mobile, SEO, SEA.</t>
  </si>
  <si>
    <t>http://www.linkedin.com/in/marie-jollit</t>
  </si>
  <si>
    <t xml:space="preserve">Marie Kulinski</t>
  </si>
  <si>
    <t>Kulinski</t>
  </si>
  <si>
    <t>marie.kulinski@apya.fr</t>
  </si>
  <si>
    <t xml:space="preserve">Partner &amp; Chief Operation Officer</t>
  </si>
  <si>
    <t>APYA</t>
  </si>
  <si>
    <t>apya.fr</t>
  </si>
  <si>
    <t xml:space="preserve">recrutement,management de transition,consulting,it,technologie,freelance</t>
  </si>
  <si>
    <t>http://www.linkedin.com/company/apya-consulting</t>
  </si>
  <si>
    <t xml:space="preserve">Imaginez-vous en 2030. Plus de 50% des Talents seront indépendants ! Le monde du travail évolue 🌍 
Notre mission : Trouver la bonne compétence au bon moment, Être la bonne compétence au bon endroit !
Nos clients : DAF, DSI, Direction de la Transfo, DG d'ETI multi-sectorielles
❇️ Entreprise : Nous développons et animons un réseau de Talents sélectifs pour répondre à vos besoins dans les meilleurs délais.
- Management de transition
- Management relais / opérationnel
- Conseil &amp; IT
- Digital &amp; Technologie
❇️ Talents : rejoignez un réseau « sélectif » qui rayonne sur toute la France.
- Accès privilégiés aux missions
- Gestion commerciale &amp; administrative
- Plateforme d'animation communautaire
- Club Business
Vous souhaitez découvrir notre univers : 👉 https://apya.fr</t>
  </si>
  <si>
    <t>http://www.linkedin.com/in/marie-kulinski-%f0%9f%8e%af-420372111</t>
  </si>
  <si>
    <t xml:space="preserve">Marie Rapin</t>
  </si>
  <si>
    <t>Rapin</t>
  </si>
  <si>
    <t>marie.rapin@axess-dvpt.com</t>
  </si>
  <si>
    <t xml:space="preserve">Consultante - fondatrice</t>
  </si>
  <si>
    <t xml:space="preserve">Axess Développement</t>
  </si>
  <si>
    <t>axess-dvpt.com</t>
  </si>
  <si>
    <t>http://www.linkedin.com/company/axess-developpement-europe</t>
  </si>
  <si>
    <t xml:space="preserve">Conseils • Gestion financière externalisée • Formations
Expertise en financements publics et européens</t>
  </si>
  <si>
    <t>http://www.linkedin.com/in/marie-rapin-67808a4a</t>
  </si>
  <si>
    <t xml:space="preserve">Marie Lewin</t>
  </si>
  <si>
    <t>Lewin</t>
  </si>
  <si>
    <t>marie@ezacae.com</t>
  </si>
  <si>
    <t>ezacae</t>
  </si>
  <si>
    <t>ezacae.com</t>
  </si>
  <si>
    <t xml:space="preserve">low code,developpement web,weweb,xano,flutterflow,supabase,power platform,power apps,power automate,coda</t>
  </si>
  <si>
    <t>Louviers</t>
  </si>
  <si>
    <t>http://www.linkedin.com/company/ezacae</t>
  </si>
  <si>
    <t xml:space="preserve">ezacae, agence de développement low code. Nous accélérons vos innovations sans compromis sur la performance et la qualité. Nos alliés : Weweb, xano, flutterfow, supabase, power platform</t>
  </si>
  <si>
    <t>http://www.linkedin.com/in/marie-lewin-530020138</t>
  </si>
  <si>
    <t xml:space="preserve">Marie-Ghael Samb</t>
  </si>
  <si>
    <t>Marie-Ghael</t>
  </si>
  <si>
    <t>Samb</t>
  </si>
  <si>
    <t>marieghael.samb@cube.fr</t>
  </si>
  <si>
    <t xml:space="preserve">Program Manager @FFA &amp; Founder</t>
  </si>
  <si>
    <t xml:space="preserve">Agence Cube</t>
  </si>
  <si>
    <t>cube.fr</t>
  </si>
  <si>
    <t xml:space="preserve">product management,design,visual programming,product development,business creation,bubble,webflow,nocode,make,airtable</t>
  </si>
  <si>
    <t>http://www.linkedin.com/company/agence-cube</t>
  </si>
  <si>
    <t xml:space="preserve">Depuis 2019, nos experts certifiés sur Bubble vous accompagnent pour réaliser tous vos projets Low-Code en temps record.</t>
  </si>
  <si>
    <t>http://www.linkedin.com/in/marie-ghael-samb</t>
  </si>
  <si>
    <t xml:space="preserve">Marie-Josephe Baud</t>
  </si>
  <si>
    <t>Marie-Josephe</t>
  </si>
  <si>
    <t>mariejosephe.baud@francementor.com</t>
  </si>
  <si>
    <t xml:space="preserve">France Mentor</t>
  </si>
  <si>
    <t>francementor.com</t>
  </si>
  <si>
    <t xml:space="preserve">mentorat,ingenierie de mentorat,mentorat &amp; ingenierie de mentorat</t>
  </si>
  <si>
    <t>http://www.linkedin.com/company/france-mentor---institut-fran%c3%a7ais-du-mentorat</t>
  </si>
  <si>
    <t xml:space="preserve">France Mentor est le site référence du mentorat en France. Il regroupe de nombreux mentors, tous issus de grands groupes.</t>
  </si>
  <si>
    <t>http://www.linkedin.com/in/marie-jos%c3%a8phe-baud-9837225</t>
  </si>
  <si>
    <t xml:space="preserve">Marina Sokolova</t>
  </si>
  <si>
    <t>Marina</t>
  </si>
  <si>
    <t>Sokolova</t>
  </si>
  <si>
    <t>marina@wiregate.io</t>
  </si>
  <si>
    <t>Wiregate</t>
  </si>
  <si>
    <t>wiregate.io</t>
  </si>
  <si>
    <t xml:space="preserve">Les Echelles</t>
  </si>
  <si>
    <t xml:space="preserve">web apps development,mobile apps development,devops,solutions architecture,database administration,ux,ui strategy,design,quality assurance,custom software development,web design,aws,kubernetes,grafana,software testing,software product development,continuous delivery,it service management,docker,managed kubernetes,terraform</t>
  </si>
  <si>
    <t>Podgorica</t>
  </si>
  <si>
    <t>Montenegro</t>
  </si>
  <si>
    <t>http://www.linkedin.com/company/wiregate</t>
  </si>
  <si>
    <t>https://twitter.com/wiregate</t>
  </si>
  <si>
    <t>https://www.facebook.com/wiregate</t>
  </si>
  <si>
    <t xml:space="preserve">At Wiregate, we help businesses thrive via digital transformation. We partner and align with you to help you develop and manage your IT infrastructure.</t>
  </si>
  <si>
    <t>http://www.linkedin.com/in/marina-sokolova-60ab62b9</t>
  </si>
  <si>
    <t xml:space="preserve">Marion Tesson</t>
  </si>
  <si>
    <t>Tesson</t>
  </si>
  <si>
    <t>marion.tesson@boxnservices.fr</t>
  </si>
  <si>
    <t xml:space="preserve">box'n services</t>
  </si>
  <si>
    <t>boxnservices.fr</t>
  </si>
  <si>
    <t xml:space="preserve">services en entreprises,services dartisans,rh,fidelisation collaborateurs,casiers connectes,pressing,equilibre vie pro vie perso,conciergerie connectee,services d39artisans,qvt,cordonnerie,casiers,livraison de colis,double de cle,environnement de travail,repassage,experience collaborateur,rse,livraison en entreprise,marque employeur,livraison de fruits et legumes,conciergerie humaine,services aux particulers</t>
  </si>
  <si>
    <t>Reze</t>
  </si>
  <si>
    <t>http://www.linkedin.com/company/boxnservices</t>
  </si>
  <si>
    <t xml:space="preserve">Concentrez-vous sur l'essentiel, laissez-nous gérer le reste ! 💪
Nous proposons des services de conciergerie d'entreprise pour offrir à vos collaborateurs une meilleure qualité de vie au travail et valoriser votre marque employeur. ✨ Accessibles depuis notre application ou en physique auprès de votre concierge dédié, nos services facilitent le quotidien de vos équipes pour un meilleur équilibre vie professionnelle / vie personnelle. 🙏</t>
  </si>
  <si>
    <t>http://www.linkedin.com/in/mariontesson</t>
  </si>
  <si>
    <t xml:space="preserve">Martial Boulesteix</t>
  </si>
  <si>
    <t>Martial</t>
  </si>
  <si>
    <t>Boulesteix</t>
  </si>
  <si>
    <t>martial.boulesteix@aum.bio</t>
  </si>
  <si>
    <t xml:space="preserve">AUM Biosync</t>
  </si>
  <si>
    <t>aumbiosync.com</t>
  </si>
  <si>
    <t>Macon</t>
  </si>
  <si>
    <t xml:space="preserve">big data,securite,sante,deep work,first responders,fatigue,artificial intelligence,night work,ressources humaines,biological rhythms,workforce planning,travail de nuit,chronobiology,firefighters,worklife balance,pompiers,machine learning,mobile,samu,travail poste,personalized medicine,hypertension,sleep,temps de vie,psychological rhythms</t>
  </si>
  <si>
    <t>http://www.linkedin.com/company/aumbiosync</t>
  </si>
  <si>
    <t xml:space="preserve">Assumer un devoir de fiabilité 24h/24, 7j/7, travailler à horaires décalés ou atypique n'est pas à la portée de tout le monde… Privation de sommeil et conciliation des temps de vie pèsent souvent lourd dans la balance. 
Faites un don aux pupilles et orphelins de sapeurs-pompiers : https://don.odp-pompiers.fr/odp-latribune 
Pour les employeurs, celà pose souvent un problème en matière de recrutement, d'attractivité, de turnover, d'arrêts de travail et d'organisation. Pour les professionnels eux-mêmes, les impacts en matière de qualité de vie, de santé et de sécurité sont nombreux : fatigue, hypertension artérielle, maladies, accidents liés au travail de nuit, irritabilité, dépression...
Nous avons créé AUM BIOSYNC en 2016 pour tenter de résoudre ces problématiques. Nous sommes une deeptech, experte en rythmes biologiques, systèmes complexes, algorithmique haute performance, et intelligence artificielle, mais nous sommes également sapeurs-pompiers, médecins et gendarmes opérationnels...
Cette double identité nous fait faire le constat de l'épuisement des personnes qui ont fait le choix de veiller sur vous, et nous inspire pour proposer de nouvelles solutions.
Nous facilitons la vie des personnes engagées 24h/7j, de ceux qui les managent et de ceux qui les soutiennent, grâce à des applications mobiles, des algorithmes scientifiquement éprouvés, robustes et fiables, et une expertise scientifique de niveau international en matière de rythmes biologiques et de traitement des données.
Vous souhaitez améliorer la santé et la sécurité de vos salariés, éviter les accidents, les baisses de performances, le turnover ? Vous souhaitez en savoir plus? Notre équipe est à votre disposition à l'adresse contact@aum.bio.</t>
  </si>
  <si>
    <t>http://www.linkedin.com/in/martialboulesteix</t>
  </si>
  <si>
    <t xml:space="preserve">Martin Calmettes</t>
  </si>
  <si>
    <t>Calmettes</t>
  </si>
  <si>
    <t>martin.calmettes@ecoinpack.com</t>
  </si>
  <si>
    <t xml:space="preserve">ECO IN PACK</t>
  </si>
  <si>
    <t>ecoinpack.com</t>
  </si>
  <si>
    <t xml:space="preserve">rse,reemploi,produits,vins,developpement packaging,collecte,ecoexecution,consigne,strategie,packagings,accompagnement,ecodesign,strategie de marque,empreinte environnementale,parfums,cosmetiques,contenants en verre,mesure,bouteilles,spiritueux,developpement de produits durables,consulting,conseil,ecoconception,reutilisation,verre</t>
  </si>
  <si>
    <t>http://www.linkedin.com/company/eco-in-pack</t>
  </si>
  <si>
    <t xml:space="preserve">"To help transform our models towards a more sustainable and durable world, and reduce our environmental footprints, we need to change the way we define our strategies, build our action plans and design our products and packaging."
With this vision in mind, Martin Calmettes and Pierre-Olivier Bouvry founded Eco in Pack in 2021 with a clear and simple mission: to help you build strategies and action plans to reduce the environmental footprint of your products and packaging.
Eco In Pack helps you not only to better understand the social, climate and energy issues at stake through training and advice within your company, but also to reduce your environmental impact through innovative, high-impact solutions.
To do this, Eco in Pack relies on 2 branches:
- Impact Consulting for training, advice on developing sustainable products and support for businesses.
- Clean Bottle: an innovative system for reusing all glass containers, whatever their shape, as part of a circular economy approach.
In 2023, François Drounau will join the 2 co-founders to develop Impact Consulting.</t>
  </si>
  <si>
    <t>http://www.linkedin.com/in/martin-calmettes-a84438bb</t>
  </si>
  <si>
    <t xml:space="preserve">Martin Serralta</t>
  </si>
  <si>
    <t>Serralta</t>
  </si>
  <si>
    <t>martin.serralta@citevive.com</t>
  </si>
  <si>
    <t xml:space="preserve">Organizations Prospectivist - Purpose Strategy Decision Making Process</t>
  </si>
  <si>
    <t>cit&amp;vive</t>
  </si>
  <si>
    <t>citevive.com</t>
  </si>
  <si>
    <t>http://www.linkedin.com/company/citevive</t>
  </si>
  <si>
    <t xml:space="preserve">citEvive - amplifier l'élan collectif - conseil - pédagogie - formation - raison d'être - prospective - décisions</t>
  </si>
  <si>
    <t>http://www.linkedin.com/in/martinserralta</t>
  </si>
  <si>
    <t xml:space="preserve">Martin Mihelich</t>
  </si>
  <si>
    <t>Mihelich</t>
  </si>
  <si>
    <t>martin@glanceable.io</t>
  </si>
  <si>
    <t xml:space="preserve">Co-founder and Lead Researcher</t>
  </si>
  <si>
    <t>Glanceable</t>
  </si>
  <si>
    <t>glanceable.io</t>
  </si>
  <si>
    <t>http://www.linkedin.com/company/glanceable</t>
  </si>
  <si>
    <t xml:space="preserve">Améliorez votre satisfaction client avec les insights IA de Glanceable. Simplifiez l'analyse des retours, boostez l'engagement client et stimulez la croissance. Découvrez-en plus !</t>
  </si>
  <si>
    <t>http://www.linkedin.com/in/martin-mihelich-3b422486</t>
  </si>
  <si>
    <t xml:space="preserve">Martin Aubard</t>
  </si>
  <si>
    <t>Aubard</t>
  </si>
  <si>
    <t>martin@solpedinn.com</t>
  </si>
  <si>
    <t>Solpedinn</t>
  </si>
  <si>
    <t>solpedinn.com</t>
  </si>
  <si>
    <t xml:space="preserve">enseignement,education,pedagogies alternatives,power query,gamification,enseignement superieur,neurosciences,blended learning,ed tech,formation,excel,pedagogie</t>
  </si>
  <si>
    <t>http://www.linkedin.com/company/solpedinn</t>
  </si>
  <si>
    <t xml:space="preserve">Solpedinn, la plateforme de référence pour la formation Excel et l’apprentissage de la bureautique. Depuis 2017, des formations gamifiées et intensives ayant permis à des milliers d’élèves, alternants et salariés de booster leur carrière.</t>
  </si>
  <si>
    <t>http://www.linkedin.com/in/martin-aubard-43455897</t>
  </si>
  <si>
    <t xml:space="preserve">Mathieu Bouvier</t>
  </si>
  <si>
    <t>mathieu.bouvier@bihannic.fr</t>
  </si>
  <si>
    <t>Bihannic</t>
  </si>
  <si>
    <t>bihannic.fr</t>
  </si>
  <si>
    <t>Porspoder</t>
  </si>
  <si>
    <t>bardage,couverture,zinc,plx,ite,trespa,foamglass,etancheite</t>
  </si>
  <si>
    <t>http://www.linkedin.com/company/bihannic-sas</t>
  </si>
  <si>
    <t xml:space="preserve">Bihannic intervient en Bretagne (Le Finistère, les Côtes d’Armor, le Morbihan et l’Ile et Vilaine) pour vos projets et chantiers de bardage, de couverture, et d'étanchéité.</t>
  </si>
  <si>
    <t>http://www.linkedin.com/in/mathieu-bouvier</t>
  </si>
  <si>
    <t xml:space="preserve">Mathieu Freville</t>
  </si>
  <si>
    <t>Freville</t>
  </si>
  <si>
    <t>mathieu.freville@ieva-partners.com</t>
  </si>
  <si>
    <t xml:space="preserve">Ieva Partners</t>
  </si>
  <si>
    <t>ieva-partners.com</t>
  </si>
  <si>
    <t xml:space="preserve">behavioral analysis,employee engagement vitality,cultural mutations,agile organizations practices,team effectiveness,disruptive strategy transformation,strategic agility,change management,disruptive strategy amp transformation,employee engagement amp vitality,agile organizations amp practices</t>
  </si>
  <si>
    <t>http://www.linkedin.com/company/ieva-partners</t>
  </si>
  <si>
    <t xml:space="preserve">We are a management consulting boutique founded by expert consultants specialized in the transformation of organizations.
We help our customers thrive by shaping work organizations adapted to human beings.
To do so, we simultaneously work on the structures, the practices, the company culture and the behaviors of their leaders and collaborators.</t>
  </si>
  <si>
    <t>http://www.linkedin.com/in/mathieu-freville-407699</t>
  </si>
  <si>
    <t xml:space="preserve">Mathieu Lesme</t>
  </si>
  <si>
    <t>Lesme</t>
  </si>
  <si>
    <t>mathieu.lesme@lm2-group.com</t>
  </si>
  <si>
    <t xml:space="preserve">Directeur Général et Co-fondateur</t>
  </si>
  <si>
    <t xml:space="preserve">LM2 Group</t>
  </si>
  <si>
    <t>lm2-group.com</t>
  </si>
  <si>
    <t xml:space="preserve">alarme de maison,video surveillance,controle dacces,domotique</t>
  </si>
  <si>
    <t>http://www.linkedin.com/company/lm2-group</t>
  </si>
  <si>
    <t>https://twitter.com/LM2_Group</t>
  </si>
  <si>
    <t>https://www.facebook.com/pages/LM2-Group/654881457887439</t>
  </si>
  <si>
    <t xml:space="preserve">LM2-Group.com Site Officiel - Spécialiste des produits de sécurité domestique - Alarmes sans fil et matériels de vidéosurveillance</t>
  </si>
  <si>
    <t>http://www.linkedin.com/in/mathieu-lesme-b11b9727</t>
  </si>
  <si>
    <t xml:space="preserve">Mathieu Anderhalt</t>
  </si>
  <si>
    <t>Anderhalt</t>
  </si>
  <si>
    <t>mathieu@homeys.io</t>
  </si>
  <si>
    <t>Homeys</t>
  </si>
  <si>
    <t>homeys.fr</t>
  </si>
  <si>
    <t xml:space="preserve">data analysis,smart building,machine learning,chauffage,data science,lora,gazpar,gaz,optimisation,confort,lutte contre la precarite energetique,linky</t>
  </si>
  <si>
    <t>http://www.linkedin.com/company/homeys</t>
  </si>
  <si>
    <t>https://twitter.com/homeysio</t>
  </si>
  <si>
    <t xml:space="preserve">Collecte et analyse des données d'électricité, de gaz, de température, d'humidité et de CO2. Logiciel pour professionnels de l’énergie et entreprises multisites</t>
  </si>
  <si>
    <t>http://www.linkedin.com/in/mathieu-anderhalt-96728796</t>
  </si>
  <si>
    <t xml:space="preserve">Matthieu Scotti</t>
  </si>
  <si>
    <t>Scotti</t>
  </si>
  <si>
    <t>matthieu.scotti@logicieldrsante.com</t>
  </si>
  <si>
    <t xml:space="preserve">Logiciel DrSanté</t>
  </si>
  <si>
    <t>logicieldrsante.com</t>
  </si>
  <si>
    <t xml:space="preserve">medecine,sante connectee,medecine &amp; sante connectee</t>
  </si>
  <si>
    <t>http://www.linkedin.com/company/dr-sant%c3%a9</t>
  </si>
  <si>
    <t>https://www.facebook.com/Calimaps/</t>
  </si>
  <si>
    <t xml:space="preserve">En acquérant DrSanté, nous vous garantissons un gain de temps précieux permettant de vous recentrer sur votre cœur de métier.</t>
  </si>
  <si>
    <t>http://www.linkedin.com/in/matthieu-scotti</t>
  </si>
  <si>
    <t xml:space="preserve">Matthieu Witkowski</t>
  </si>
  <si>
    <t>Witkowski</t>
  </si>
  <si>
    <t>matthieu.witkowski@mello-matelas.fr</t>
  </si>
  <si>
    <t xml:space="preserve">Fondateur et Président</t>
  </si>
  <si>
    <t xml:space="preserve">Mello Matelas</t>
  </si>
  <si>
    <t>mello-matelas.fr</t>
  </si>
  <si>
    <t>http://www.linkedin.com/company/mello-matelas</t>
  </si>
  <si>
    <t xml:space="preserve">Site officiel de Mello. Marque française, expert et fabricant. Plusieurs dimensions et coloris. Livraison et retour gratuits. Garantie 10 ans.</t>
  </si>
  <si>
    <t>http://www.linkedin.com/in/matthieu-witkowski-5062625</t>
  </si>
  <si>
    <t xml:space="preserve">Matthieu Stefani</t>
  </si>
  <si>
    <t>Stefani</t>
  </si>
  <si>
    <t>matthieu@placeshaker.fr</t>
  </si>
  <si>
    <t>Placeshaker</t>
  </si>
  <si>
    <t>placeshaker.fr</t>
  </si>
  <si>
    <t xml:space="preserve">batiment,maitrise doeuvre,plateforme de mise a disposition de services aux particuliers,plateforme tout en un,cuisine,salle de bain,charge daffaires,artisan,artisans,tce,renovation,travaux,appartement,maison,immeuble,bureau</t>
  </si>
  <si>
    <t>http://www.linkedin.com/company/placeshaker</t>
  </si>
  <si>
    <t xml:space="preserve">PlaceShaker est une start-up au service des professionnels du bâtiment, qui réinvente leur façon de travailler en amenant le digital au cœur de l'expérience chantier.
Après avoir créé Articho, un logiciel de gestion de projet innovant et sur mesure, PlaceShaker a lancé PlaceRenovation, sa propre entreprise TCE. 
En partenariat avec de grandes enseignes telles que Leroy Merlin ou Castorama, ainsi qu'un réseau de professionnels triés sur le volet, PlaceRenovation répond aux besoins d'une clientèle en attente de clarté, de réactivité et de qualité.
Ancrée dans le respect des métiers et des gens du bâtiment, PlaceShaker facilite de nouveaux réflexes de communication et de performance au sein d'une communauté en pleine révolution.
Notre objectif : faire que les échanges avec l'univers du bâtiment deviennent un soulagement, et non une source de stress.</t>
  </si>
  <si>
    <t>http://www.linkedin.com/in/matthieustefani</t>
  </si>
  <si>
    <t xml:space="preserve">Maxence Debuire</t>
  </si>
  <si>
    <t>Debuire</t>
  </si>
  <si>
    <t>maxence.debuire@e-novacorp.com</t>
  </si>
  <si>
    <t>E-nova</t>
  </si>
  <si>
    <t>e-novacorp.com</t>
  </si>
  <si>
    <t xml:space="preserve">leasing informatique &amp; reconditionnement informatique</t>
  </si>
  <si>
    <t>http://www.linkedin.com/company/e-novacorp</t>
  </si>
  <si>
    <t xml:space="preserve">Parce que vous avez mieux à faire que gérer votre parc informatique, e-nova vous propose de le prendre en charge de manière simplifiée, transparente et éco-responsable.</t>
  </si>
  <si>
    <t>http://www.linkedin.com/in/maxence-debuire-3443982b9</t>
  </si>
  <si>
    <t xml:space="preserve">Maxime Kohlhaas</t>
  </si>
  <si>
    <t>Kohlhaas</t>
  </si>
  <si>
    <t>maxime.kohlhaas@atm-consulting.fr</t>
  </si>
  <si>
    <t xml:space="preserve">Dirigeant fondateur</t>
  </si>
  <si>
    <t xml:space="preserve">ATM CONSULTING</t>
  </si>
  <si>
    <t>atm-consulting.fr</t>
  </si>
  <si>
    <t xml:space="preserve">open source,conseil,erp,crm,ressources humaines,planning,gpao,ordonnancement,gpec,dolibarr,reactivite,developpeur,surmesure,informatique,logiciel,transition digitale,dematerialisation,digitalisation,data</t>
  </si>
  <si>
    <t>http://www.linkedin.com/company/atm-consulting-valence</t>
  </si>
  <si>
    <t xml:space="preserve">Votre spécialiste Dolibarr, ATM Consulting vous accompagne dans l'intégration de solutions open source ERP/CRM, GPAO et gestion RH.</t>
  </si>
  <si>
    <t>http://www.linkedin.com/in/maximekohlhaas</t>
  </si>
  <si>
    <t xml:space="preserve">Maxime Lienart</t>
  </si>
  <si>
    <t>Lienart</t>
  </si>
  <si>
    <t>maxime.lienart@ibc-dialog.fr</t>
  </si>
  <si>
    <t xml:space="preserve">Associé Dirigeant</t>
  </si>
  <si>
    <t xml:space="preserve">IBC Dialog</t>
  </si>
  <si>
    <t>ibc-dialog.fr</t>
  </si>
  <si>
    <t xml:space="preserve">logiciels sage,ciel,ebp,gestion de parc informatique,copieur,maintenance et sav informatique,vente de materiel informatique,location de materiel informatique,video surveillance,dematerialisation de documents,infogerance</t>
  </si>
  <si>
    <t>Mondeville</t>
  </si>
  <si>
    <t>http://www.linkedin.com/company/ibc-dialog</t>
  </si>
  <si>
    <t xml:space="preserve">IBC Dialog : la sérénité informatique de votre entreprise depuis 1992 à Caen, Saint-Lô, Argentan et Rouen.</t>
  </si>
  <si>
    <t>http://www.linkedin.com/in/maxime-lienart-a2165830</t>
  </si>
  <si>
    <t xml:space="preserve">Maxime Meyer</t>
  </si>
  <si>
    <t>maxime.meyer@forlabs.fr</t>
  </si>
  <si>
    <t>Forlabs</t>
  </si>
  <si>
    <t>forlabs.fr</t>
  </si>
  <si>
    <t xml:space="preserve">symfony,angular,kanban,python,uxui,scrum,design thinking,sprint,devops,agile,backlog,developpement,esprit collaboratif,owner project,methodo,php,humain</t>
  </si>
  <si>
    <t>Saint-Contest</t>
  </si>
  <si>
    <t>http://www.linkedin.com/company/forlabs</t>
  </si>
  <si>
    <t xml:space="preserve">Forlabs est une agence de conseil, de conception et de développement 
d'applications web et mobile située à Caen et Rouen en Normandie et à Paris</t>
  </si>
  <si>
    <t>http://www.linkedin.com/in/maxime-meyer-99088664</t>
  </si>
  <si>
    <t xml:space="preserve">Maxime Bedon</t>
  </si>
  <si>
    <t>Bedon</t>
  </si>
  <si>
    <t>maxime@petitscommerces.fr</t>
  </si>
  <si>
    <t>Petitscommerces</t>
  </si>
  <si>
    <t>petitscommerces.fr</t>
  </si>
  <si>
    <t xml:space="preserve">small &amp; medium businesses,mobile commerce,e-commerce platforms,local services,local,e-commerce,consumer internet,internet,information technology,tech for good,gift card,commerce,clickampcollect,media,visibilite en ligne,clickcollect,digitalisation,communication,reseaux sociaux,digital</t>
  </si>
  <si>
    <t>http://www.linkedin.com/company/petitscommerces</t>
  </si>
  <si>
    <t>http://twitter.com/PetitsComs</t>
  </si>
  <si>
    <t>http://facebook.com/petitscommerces.fr/</t>
  </si>
  <si>
    <t xml:space="preserve">🎁 Petitscommerces est la 1ère carte cadeau locale à dépenser dans les commerces de proximité 💚
✅ Déjà +200 collectivités partenaires partout en France 🚀
Vous êtes une entreprise, une association, ou un particulier situé dans l'une de nos villes partenaires ? Offrez la carte cadeau Petitscommerces de votre territoire et soutenez l'économie locale ⤵️
https://www.petitscommerces.fr/nos-cartes-cadeaux-locales/
Vous êtes une collectivité et vous soutenir vos commerces de proximité ? Découvrez nos offres ⤵️ https://www.petitscommerces.fr/je-suis-une-collectivite/</t>
  </si>
  <si>
    <t>http://www.linkedin.com/in/maxime-bedon-6a7634153</t>
  </si>
  <si>
    <t xml:space="preserve">Maxime Deslandes</t>
  </si>
  <si>
    <t>Deslandes</t>
  </si>
  <si>
    <t>maxime@protextyl.com</t>
  </si>
  <si>
    <t>PROTEXTYL</t>
  </si>
  <si>
    <t>protextyl.com</t>
  </si>
  <si>
    <t>Donges</t>
  </si>
  <si>
    <t xml:space="preserve">epi,vetements de travail,chaussures de securite,personnalisation vetements,equipements protection individuelle,broderie,marquage,sav,demo produits,negociation,ecommerce</t>
  </si>
  <si>
    <t>http://www.linkedin.com/company/meydes-protextyl</t>
  </si>
  <si>
    <t>https://www.facebook.com/Protextyl</t>
  </si>
  <si>
    <t xml:space="preserve">Protextyl vous propose une sélection de vêtements de travail, chaussures de sécurité et EPI. ✓Produits de qualité ✓SAV réactif ✓Livraison rapide</t>
  </si>
  <si>
    <t>http://www.linkedin.com/in/maxime-deslandes-6b9167138</t>
  </si>
  <si>
    <t xml:space="preserve">Marc Bernadi</t>
  </si>
  <si>
    <t>Bernadi</t>
  </si>
  <si>
    <t>mb@mbpromotion.com</t>
  </si>
  <si>
    <t xml:space="preserve">MB promotion</t>
  </si>
  <si>
    <t>mbpromotion.com</t>
  </si>
  <si>
    <t>Collioure</t>
  </si>
  <si>
    <t xml:space="preserve">premiums,textiel,merchandise gifts,sports</t>
  </si>
  <si>
    <t>Son</t>
  </si>
  <si>
    <t xml:space="preserve">North Brabant</t>
  </si>
  <si>
    <t>http://www.linkedin.com/company/mb-promotion</t>
  </si>
  <si>
    <t>https://www.facebook.com/mbpromotionnl</t>
  </si>
  <si>
    <t xml:space="preserve">Welkom bij MB Promotio, de specialist in textiel en premiums. We staan altijd klaar met een passende oplossing en streven naar volledigedige ontzorging.</t>
  </si>
  <si>
    <t>http://www.linkedin.com/in/marc-bernadi-%f0%9f%8e%97%f0%9f%87%ba%f0%9f%87%a6-44873164</t>
  </si>
  <si>
    <t xml:space="preserve">Mathieu Beaucourt</t>
  </si>
  <si>
    <t>Beaucourt</t>
  </si>
  <si>
    <t>mbeaucourt@mnagroupe.com</t>
  </si>
  <si>
    <t xml:space="preserve">Mare Nostrum Advising Groupe</t>
  </si>
  <si>
    <t>mnagroupe.com</t>
  </si>
  <si>
    <t xml:space="preserve">elaboration de strategies cybersecurite,audit it,systeme de management de continuite dactivite,red team blue team,revue de configuration,scan de vulnerabilites,gestion des risques it cybersecurite,accompagnement a la certification iso 27001,securite physique et environnemental,revue des architectures,audit de securite des si,audit swift,systeme de management de securite de linformation,tests dintrusion interne et externe,formation et sensibilisation a la cybersecurite,diagnostic des si</t>
  </si>
  <si>
    <t>http://www.linkedin.com/company/mare-nostrum-advising-groupe</t>
  </si>
  <si>
    <t xml:space="preserve">Mare Nostrum Advising Groupe est une entreprise spécialisée dans le conseil en matière de sécurité de l'information. Nous sommes fiers de compter sur une équipe de professionnels hautement qualifiés et expérimentés, qui possèdent une expertise approfondie dans le domaine. Tous nos consultants sont titulaires de certifications internationales et peuvent se prévaloir d'un solide historique en matière de mission d'audit, de conseil et d'accompagnement en cybersécurité.
Nous sommes implantés dans plusieurs régions stratégiques, notamment en France, où nous avons des bureaux à Paris et à Marseille, ainsi qu'en Afrique du Nord, plus précisément en Algérie, et en Afrique de l'Ouest, où nous sommes présents au Sénégal. Grâce à cette présence internationale, nous sommes en mesure de répondre aux besoins de notre clientèle dans ces régions, tout en fournissant une expertise de qualité supérieure en matière de sécurité de l'information.
Nos consultants disposent par ailleurs de l'expertise et des outils pour former au mieux vos collaborateurs dans le cadre d'une structure dédiée
« MN Advising Cert »</t>
  </si>
  <si>
    <t>http://www.linkedin.com/in/mathieu-beaucourt-96502021</t>
  </si>
  <si>
    <t xml:space="preserve">Michel Benet</t>
  </si>
  <si>
    <t>Benet</t>
  </si>
  <si>
    <t>mbenet@diginove.com</t>
  </si>
  <si>
    <t xml:space="preserve">Diginove SAS</t>
  </si>
  <si>
    <t>Fuveau</t>
  </si>
  <si>
    <t>http://www.linkedin.com/company/diginove-sas</t>
  </si>
  <si>
    <t xml:space="preserve">DIGINOVE provides solutions and products for document digitization, image processing and automatic recognition of documents.
With an experienced team, DIGINOVE is an expert and an innovative company in processing or visualization tools for satellite or aerial images.
DIGINOVE is:
    A "Jeune Entreprise Innovante" (Young innovative company) for the current work done on spatial image processing.
    member of Safe Cluster and is one of the start-ups of ESA BIC Sud France.
    Supported by "Pégase Croissance"
    Funded by BPI France:
        PIAVE project (2017-2018) DIGISPACE
        Innovation contest, awarded in 2019 by BPI France, for TeleCense project
The TeleCense project will provide geo localized population census data, using earth observation technology. The population estimation will be used for census campaign preparation and infrastructure management (water, sanitation, telecoms, …).</t>
  </si>
  <si>
    <t>http://www.linkedin.com/in/michel-b%c3%a9net-%f0%9f%8c%8d%f0%9f%9b%b0%ef%b8%8f-b58a1995</t>
  </si>
  <si>
    <t xml:space="preserve">Melanie Biberian</t>
  </si>
  <si>
    <t>Melanie</t>
  </si>
  <si>
    <t>Biberian</t>
  </si>
  <si>
    <t>mbiberian@beemotechnologie.com</t>
  </si>
  <si>
    <t xml:space="preserve">BEEMO TECHNOLOGIE</t>
  </si>
  <si>
    <t>beemotechnologie.com</t>
  </si>
  <si>
    <t>Perols</t>
  </si>
  <si>
    <t xml:space="preserve">back up,sauvegarde de donnees informatique,cloud backup,data back up,sauvegarde francaise,restauration des donnees,sauvegarde pme,sauvegarde sante,sauvegarde notaires,sauvegarde cle en main</t>
  </si>
  <si>
    <t>http://www.linkedin.com/company/beemo-technologie</t>
  </si>
  <si>
    <t>https://twitter.com/BeemoTech</t>
  </si>
  <si>
    <t>https://www.facebook.com/BeemoTechno</t>
  </si>
  <si>
    <t xml:space="preserve">Beemo Technologie Accueil</t>
  </si>
  <si>
    <t>http://www.linkedin.com/in/melaniebiberianbeemo</t>
  </si>
  <si>
    <t xml:space="preserve">Michel Bousquet</t>
  </si>
  <si>
    <t>Bousquet</t>
  </si>
  <si>
    <t>mbousquet@docks-du-bureau.fr</t>
  </si>
  <si>
    <t xml:space="preserve">DOCKS DU BUREAU</t>
  </si>
  <si>
    <t>docks-du-bureau.fr</t>
  </si>
  <si>
    <t>http://www.linkedin.com/company/groupe-aux-docks-du-bureau-buro-espace</t>
  </si>
  <si>
    <t>https://www.facebook.com/addb.bea/</t>
  </si>
  <si>
    <t xml:space="preserve">DOCKS DU BUREAU contribue à votre épanouissement professionnel en façonnant des espaces au mobilier de bureau qui vous ressemble.</t>
  </si>
  <si>
    <t>http://www.linkedin.com/in/michel-bousquet-151553177</t>
  </si>
  <si>
    <t xml:space="preserve">Manuel Cambra</t>
  </si>
  <si>
    <t>Cambra</t>
  </si>
  <si>
    <t>mcambra@finopsys.fr</t>
  </si>
  <si>
    <t>FINOPSYS</t>
  </si>
  <si>
    <t>finopsys.fr</t>
  </si>
  <si>
    <t xml:space="preserve">gestion de tresorerie,gestion du poste client,gestion du poste clients recouvrement,reporting,gestion de la paie dsn,facturation electronique,gestion des rh,developpement de lactivite commerciale,fiscalite,securisation des paiements,gestion de la paie amp dsn,productivite de la chaine comptable,gestion des voyages professionnels,ged,gestion des notes de frais,developpement de l39activite commerciale,lutte contre la fraude aux paiements</t>
  </si>
  <si>
    <t>http://www.linkedin.com/company/finopsys-solutions-gestion</t>
  </si>
  <si>
    <t>https://twitter.com/finopsysfrance</t>
  </si>
  <si>
    <t>https://facebook.com/finopsys.rh</t>
  </si>
  <si>
    <t xml:space="preserve">Solutions &amp; logiciels de comptabilité, finance, RH &amp; CRM - Sage FRP 1000, Sage XRT Treasury, Sage Paie i7, Notilus, Premium-RH, Efficy CRM, Eloficash, GEC</t>
  </si>
  <si>
    <t>http://www.linkedin.com/in/manuelcambra</t>
  </si>
  <si>
    <t xml:space="preserve">Michael Choukroun</t>
  </si>
  <si>
    <t>Choukroun</t>
  </si>
  <si>
    <t>mchoukroun@data-links.fr</t>
  </si>
  <si>
    <t xml:space="preserve">Dirigeant chez DATA LINKS</t>
  </si>
  <si>
    <t xml:space="preserve">Data Links</t>
  </si>
  <si>
    <t>data-links.fr</t>
  </si>
  <si>
    <t xml:space="preserve">informatique,reseaux,telecom,gestion documentaire,maintenance,hebergement,securite,infogerance,audit,conseil,bureautique,transformation digitale</t>
  </si>
  <si>
    <t>http://www.linkedin.com/company/groupe-data-links</t>
  </si>
  <si>
    <t>https://www.facebook.com/Data-Links-290218068576897/</t>
  </si>
  <si>
    <t xml:space="preserve">Data Links experte dans les domaines des nouvelles technologies de l’informatique, des télécommunications, du GED et des solutions impressions;</t>
  </si>
  <si>
    <t>http://www.linkedin.com/in/micha%c3%abl-choukroun-8107b79a</t>
  </si>
  <si>
    <t xml:space="preserve">Marc Daveau</t>
  </si>
  <si>
    <t>Daveau</t>
  </si>
  <si>
    <t>mdaveau@aufiges.fr</t>
  </si>
  <si>
    <t xml:space="preserve">Président - Expert-Comptable - Commissaire aux comptes - Création  développement &amp; performance</t>
  </si>
  <si>
    <t>AUFIGES</t>
  </si>
  <si>
    <t>aufiges.fr</t>
  </si>
  <si>
    <t xml:space="preserve">conseil en droit commercial,creation et developpement dentreprise,optimisation fiscale,audit legal,conseil en organisation,conseil en droit des societes,audit contractuel,rachat dentreprise,paye et droit social,comptabilite,creation et developpement d39entreprise,transaction,fiscalite,droit des societes</t>
  </si>
  <si>
    <t>Massy</t>
  </si>
  <si>
    <t>http://www.linkedin.com/company/aufiges</t>
  </si>
  <si>
    <t xml:space="preserve">Le GROUPE AUFIGES, membre du Conseil Régional de l'Ordre des Experts-Comptables Région Paris Ile-de-France accompagne, conseille et oriente ses clients depuis plus de 20 ans dans un univers toujours plus complexe. L'humain est au cœur de nos préoccupations. Nos valeurs sont proximité, écoute, disponibilité, et réactivité. Notre objectif est de vous permettre de réaliser vos projets et satisfaire vos ambitions. Nous nous positionnons en tant que partenaire-conseil du chef d'entreprise dans les bons et les mauvais moments de la vie d'une entreprise.
Nos cabinets AUFIGES et FIDELIIS sont respectivement implantés en Essonne à Massy et à Villejust. Nos clients sont présents dans toute la France. AUFIGES est membre de la Compagnie Régionale des Commissaires aux Comptes de Paris.
Aujourd'hui entourés d'une équipe de 30 collaborateurs, nous sommes à votre écoute pour vous conseiller et vous aider à construire, développer, et piloter votre entité.
Fort de plus de 600 clients, le GROUPE AUFIGES conseille et accompagne les dirigeants des petites entreprises, des PME, des start-up dans l'externalisation ou la surveillance de la comptabilité.
Nous les aidons à grandir dans un monde économique en permanente mutation et les accompagnons dans la transformation digitale. Nous sommes également à leur côté pour gérer la complexité juridique et fiscale. Le cabinet AUFIGES intervient également dans le secteur associatif, et les juniors entreprises. Il assiste aussi des comités d'entreprise de grands groupes.</t>
  </si>
  <si>
    <t>http://www.linkedin.com/in/marc-daveau-91846331</t>
  </si>
  <si>
    <t xml:space="preserve">Morgan Djorno</t>
  </si>
  <si>
    <t>Djorno</t>
  </si>
  <si>
    <t>mdjorno@groupearj.fr</t>
  </si>
  <si>
    <t xml:space="preserve">Groupe ARJ</t>
  </si>
  <si>
    <t>groupearj.fr</t>
  </si>
  <si>
    <t xml:space="preserve">numerique,vente de materiel,infogerance,ged,digital,systemes dinformations,systemes dimpressions,systemes d39impressions,maintenance,audit,tge eti pme tpe</t>
  </si>
  <si>
    <t>http://www.linkedin.com/company/groupearj</t>
  </si>
  <si>
    <t>https://www.facebook.com/groupearj/</t>
  </si>
  <si>
    <t xml:space="preserve">Le Groupe ARJ est devenu l'un des acteurs majeurs dans la mise en place des systèmes d'impression, de téléphonie d'entreprise et de gestion électronique de documents en île de France.
Le métier du Groupe ARJ est autant de penser le changement que de le conduire avec des outils adaptés, pour les clients de tous secteurs.
Fort de nos 29 ans d'expérience, nous nous engageons à vous apporter un audit professionnel pour l'ensemble de vos équipements et à vous proposer un accompagnement sur-mesure.
Notre experience est un atout nous permettant de favoriser les meilleurs produits et d'apporter le meilleure service auprès de nos partenaires et clients en optant pour une démarche d'excellence. 
En 2018, notre Groupe renforce son expertise dans les télécoms avec la création de sa filiale RÉSONANCE mais également avec l'acquisition de la société COPIE DEP acteur majeur dans les systèmes d'impression. Cette intégration permettra de consolider un pôle d'excellence.
En 2019, Nous continuons notre politique de croissance externe en acquérant la société COPYFAX. Cette nouvelle acquisition nous permet d'accompagner désormais 2500 clients quotidiennement.</t>
  </si>
  <si>
    <t>http://www.linkedin.com/in/morgan-djorno-52936010a</t>
  </si>
  <si>
    <t xml:space="preserve">Mehdi Bahri</t>
  </si>
  <si>
    <t>Bahri</t>
  </si>
  <si>
    <t>mehdi.bahri@andex.fr</t>
  </si>
  <si>
    <t xml:space="preserve">Andex International</t>
  </si>
  <si>
    <t>andex.fr</t>
  </si>
  <si>
    <t xml:space="preserve">microsoft partner,informatique,editeur,consultants,dynamics 365,business central,customer engagement,crm,erp,power bi,solutions en mode saas,microsoft 365,developpement microsoft,net,angular,langage c,full stack,nocode,lowcode,creatio partner,shopifypartner</t>
  </si>
  <si>
    <t>http://www.linkedin.com/company/andex-international</t>
  </si>
  <si>
    <t xml:space="preserve">Andex ESN partenaire de Microsoft, Creatio &amp; Shopify spécialisée dans le développement web .NET/Angular et l'intégration ERP, CRM, e-commerce</t>
  </si>
  <si>
    <t>http://www.linkedin.com/in/mehdi-bahri-25558aaa</t>
  </si>
  <si>
    <t xml:space="preserve">Meyer Goldenstein</t>
  </si>
  <si>
    <t>Goldenstein</t>
  </si>
  <si>
    <t>meyer.goldenstein@sairen.io</t>
  </si>
  <si>
    <t>http://www.linkedin.com/in/meyer-goldenstein</t>
  </si>
  <si>
    <t xml:space="preserve">Mathieu Foerderer</t>
  </si>
  <si>
    <t>Foerderer</t>
  </si>
  <si>
    <t>mfoerderer@tryba-energy.com</t>
  </si>
  <si>
    <t xml:space="preserve">TRYBA ENERGY</t>
  </si>
  <si>
    <t>tryba-energy.com</t>
  </si>
  <si>
    <t>Mertzwiller</t>
  </si>
  <si>
    <t>http://www.linkedin.com/company/tryba-energy</t>
  </si>
  <si>
    <t xml:space="preserve">Découvrez qui est TRYBA ENERGY, ses partenariats, ses projets à l'international/maintenance et ses valeurs.</t>
  </si>
  <si>
    <t>http://www.linkedin.com/in/mathieu-foerderer-98b367119</t>
  </si>
  <si>
    <t xml:space="preserve">Maud Gubler</t>
  </si>
  <si>
    <t>Maud</t>
  </si>
  <si>
    <t>Gubler</t>
  </si>
  <si>
    <t>mgubler@pod.consulting</t>
  </si>
  <si>
    <t>http://www.linkedin.com/in/maud-gubler-98710a60</t>
  </si>
  <si>
    <t xml:space="preserve">Michael Berthoix</t>
  </si>
  <si>
    <t>Berthoix</t>
  </si>
  <si>
    <t>michael.berthoix@quick-off.com</t>
  </si>
  <si>
    <t xml:space="preserve">CTO  cofondateur</t>
  </si>
  <si>
    <t>Quick-Off</t>
  </si>
  <si>
    <t>quick-off.com</t>
  </si>
  <si>
    <t>Monistrol-sur-Loire</t>
  </si>
  <si>
    <t xml:space="preserve">recrutement,logiciel,management,benevole,ressources humaines,planification,evenement sportif,evenement culturel,evenementiel,developpement logiciel,festival,logiciel evenementiel</t>
  </si>
  <si>
    <t>http://www.linkedin.com/company/quickoff</t>
  </si>
  <si>
    <t>https://www.facebook.com/quick.offf</t>
  </si>
  <si>
    <t xml:space="preserve">Experts in accreditation management for sporting and cultural events. Streamline your organization with our high-performance software solutions.</t>
  </si>
  <si>
    <t>http://www.linkedin.com/in/mberthoix</t>
  </si>
  <si>
    <t xml:space="preserve">Michel Pradille</t>
  </si>
  <si>
    <t>Pradille</t>
  </si>
  <si>
    <t>michel.pradille@wikane.com</t>
  </si>
  <si>
    <t xml:space="preserve">Président de PREXO SAS (marque commerciale WIKANE)</t>
  </si>
  <si>
    <t>Wikane</t>
  </si>
  <si>
    <t>wikane.com</t>
  </si>
  <si>
    <t xml:space="preserve">marketing,conseil,conseil en developpement de pme,strategie,commercial,organisation,conseil en affaires,finance</t>
  </si>
  <si>
    <t>http://www.linkedin.com/company/wikane</t>
  </si>
  <si>
    <t xml:space="preserve">Nous sommes le premier réseau de consultants en développement global des entreprises
La réussite est notre métier. Plus exactement, la croissance des PME à fort potentiel.
Notre démarche a permis à un grand nombre d'entreprises moyennes de devenir des PME de taille importante, leaders sur leurs marchés, en France et à l'international.
Nous avons réveillé de «belles endormies», PME familiales ou non, ignorantes ou peu conscientes des formidables potentiels qu'elles recélaient.
Nous en avons augmenté significativement la valeur, préparant souvent une très belle sortie pour leurs dirigeants.
Ainsi nous intervenons aux quatre stades de la vie des entreprises :
Création, Développement, Valorisation et Transmission.
Mise au point par le dirigeant dans un parcours réussi de conseil en développement, l'offre Wikane est la première démarche complète et systémique pour conduire les PME à exprimer leurs potentiels de développement.
Elle est en outre la seule à prendre en compte les spécificités de ces entreprises, dont on retiendra les deux plus saillantes :
- la croissance d'une PME est indépendante de celle de son marché, elle est une affaire de potentiel et de méthode, pas de conjoncture ;
- la stratégie d'une PME reste une utopie tant qu'elle n'est pas confrontée aux finalités personnelles de son dirigeant. Elle se décide et se construit de l'intérieur mais elle gagne à s'appuyer sur un partenaire extérieur.</t>
  </si>
  <si>
    <t>http://www.linkedin.com/in/michelpradille</t>
  </si>
  <si>
    <t xml:space="preserve">Mikael Volut</t>
  </si>
  <si>
    <t>Volut</t>
  </si>
  <si>
    <t>mikael.volut@ose-engineering.fr</t>
  </si>
  <si>
    <t xml:space="preserve">OSE Engineering</t>
  </si>
  <si>
    <t>ose-engineering.fr</t>
  </si>
  <si>
    <t xml:space="preserve">big data,software development,software development for system simulation,data analysis &amp; prediction,statistical model developement,machine learning,data sciences,model based system engineering,ia,autonomous operations,ai,data analysis,digitalization,developpement de logiciel numerique pour les ingenieurs,physical model development,optimization,developpement doutil pour la modelisation et simulation systeme,computer science</t>
  </si>
  <si>
    <t>http://www.linkedin.com/company/ose-engineering</t>
  </si>
  <si>
    <t xml:space="preserve">OSE Engineering is a center of expertise that designs innovative digital solutions intended to optimize the operational efficiency of processes, methods and tools, from R&amp;D to production.</t>
  </si>
  <si>
    <t>http://www.linkedin.com/in/mikael-volut-b205a091</t>
  </si>
  <si>
    <t xml:space="preserve">Mikayil Meric</t>
  </si>
  <si>
    <t>Mikayil</t>
  </si>
  <si>
    <t>Meric</t>
  </si>
  <si>
    <t>mikayil@mericsas.fr</t>
  </si>
  <si>
    <t xml:space="preserve">Directeur général &amp; associe</t>
  </si>
  <si>
    <t xml:space="preserve">MERIC SAS</t>
  </si>
  <si>
    <t>mericsas.fr</t>
  </si>
  <si>
    <t xml:space="preserve">revetement,construction,batiment,ravalement de facade,isolement thermique,btp,veture,ite,bardage,facade</t>
  </si>
  <si>
    <t>Vaulx-en-Velin</t>
  </si>
  <si>
    <t>http://www.linkedin.com/company/mericsas</t>
  </si>
  <si>
    <t xml:space="preserve">Avec plus de 20 années d'existence, MERIC SAS s'est imposée comme leader dans la région Rhône-Alpes dans le domaine de la construction et rénovation.</t>
  </si>
  <si>
    <t>http://www.linkedin.com/in/mikayil-meric-6698a958</t>
  </si>
  <si>
    <t xml:space="preserve">Marc Jeune</t>
  </si>
  <si>
    <t>mjeune@tech-innove.com</t>
  </si>
  <si>
    <t xml:space="preserve">Dirigeant Associé - Cultivateur de PME</t>
  </si>
  <si>
    <t>TECH'INNOVE</t>
  </si>
  <si>
    <t>tech-innove.com</t>
  </si>
  <si>
    <t xml:space="preserve">innovation,differenciation,diversification,developpement,technique,finance,marketing,commercial,communication,diagnostic,nouveaux produits,nouveaux clients,nouveaux services,nouvelle image,nouveaux marches</t>
  </si>
  <si>
    <t>http://www.linkedin.com/company/tech-innove</t>
  </si>
  <si>
    <t>https://twitter.com/Tech_Innove</t>
  </si>
  <si>
    <t>https://www.facebook.com/techinnove/</t>
  </si>
  <si>
    <t xml:space="preserve">Nouveaux clients ? Nouveaux produits ? Nouveaux marchés ? Nouvelle image ? Tech'innove conseille et accompagne les PME depuis 30 ans dans leur développement...</t>
  </si>
  <si>
    <t>http://www.linkedin.com/in/marc-jeune</t>
  </si>
  <si>
    <t xml:space="preserve">Marion Laget</t>
  </si>
  <si>
    <t>Laget</t>
  </si>
  <si>
    <t>mlaget@antana.fr</t>
  </si>
  <si>
    <t>ANTANA</t>
  </si>
  <si>
    <t>antana.fr</t>
  </si>
  <si>
    <t xml:space="preserve">assistance informatique,reseaux ephemeres special evenementiel,infrastructures reseaux informatiques pour cabinets avocats,notaires,reseau wifi,sauvegarde de donnees,monotoring,protecion des donnees,securite informatique,expertise comptable,reseaux quotephemeresquot special evenementiel,cybersecurite</t>
  </si>
  <si>
    <t>Saint-Gratien</t>
  </si>
  <si>
    <t>http://www.linkedin.com/company/antana-france</t>
  </si>
  <si>
    <t>https://twitter.com/ANTANA_France</t>
  </si>
  <si>
    <t>https://www.facebook.com/ste.antana</t>
  </si>
  <si>
    <t xml:space="preserve">ANTANA vous propose des solutions informatiques sur-mesure depuis 15 ans. L'informatique au service de votre métier !</t>
  </si>
  <si>
    <t>http://www.linkedin.com/in/marion-laget-a5519626</t>
  </si>
  <si>
    <t xml:space="preserve">Michel Lory</t>
  </si>
  <si>
    <t>Lory</t>
  </si>
  <si>
    <t>mlory@fastor.com</t>
  </si>
  <si>
    <t xml:space="preserve">Président – Secrétaire Général – Contrôleur des comptes</t>
  </si>
  <si>
    <t xml:space="preserve">Fastor GIE</t>
  </si>
  <si>
    <t>fastor.com</t>
  </si>
  <si>
    <t xml:space="preserve">La Madeleine-de-Nonancourt</t>
  </si>
  <si>
    <t>http://www.linkedin.com/company/fastor-gie</t>
  </si>
  <si>
    <t xml:space="preserve">Fastor Gie - 9 rue Georges Cloarec - 27320 La Madeleine de Nonancourt - Tél. 02 32 37 71 50 - Site officiel de Fastor Gie</t>
  </si>
  <si>
    <t>http://www.linkedin.com/in/%f0%9f%8f%9dmichel-lory-a6720054</t>
  </si>
  <si>
    <t xml:space="preserve">Mohamed Tliba</t>
  </si>
  <si>
    <t>Tliba</t>
  </si>
  <si>
    <t>mohamed.tliba@tds-technologies.net</t>
  </si>
  <si>
    <t xml:space="preserve">Directeur Général Associé et Directeur des Opérations</t>
  </si>
  <si>
    <t xml:space="preserve">TDS Global Technologies ⭕️ Cyber Network &amp; Security Talent Profiler</t>
  </si>
  <si>
    <t>tds-technologies.net</t>
  </si>
  <si>
    <t>http://www.linkedin.com/company/tds-gtech</t>
  </si>
  <si>
    <t xml:space="preserve">Découvrez TDS Global Technologies, spécialiste de nombreuses technologies de pointe en matière de cybersécurité. Nos collaborateurs sont au service de vos enjeux technologiques.</t>
  </si>
  <si>
    <t>http://www.linkedin.com/in/mohamed-tliba-5658364</t>
  </si>
  <si>
    <t xml:space="preserve">Mohamed Abdallah</t>
  </si>
  <si>
    <t>Abdallah</t>
  </si>
  <si>
    <t>mohamed@vialcom.fr</t>
  </si>
  <si>
    <t xml:space="preserve">VIALCOM RETAIL SOLUTION</t>
  </si>
  <si>
    <t>vialcom.fr</t>
  </si>
  <si>
    <t>retail,magasin,relamping,remodeling,boutique,renovation</t>
  </si>
  <si>
    <t>http://www.linkedin.com/company/vialcom</t>
  </si>
  <si>
    <t xml:space="preserve">Fondée en 2015, Vialcom est une société multi technique du bâtiment à destination des enseignes de vente (prêt à porter, retail, restaurants) . Cette structure familiale, implantée à Paris, dispose de plusieurs départements: un service travaux d'aménagement, et une cellule dédiée à la maintenance.
Sa force réside dans la qualité de ses techniciens, sa connaissance des problématiques liées au monde du retail, ainsi que sa rigueur et sa réactivité. Notamment quand il s'agit de traiter en urgence des incidents qui entraînent la perte d'exploitation ou la mise en danger du personnel sur site.</t>
  </si>
  <si>
    <t>http://www.linkedin.com/in/mohamed-ben-abdallah-4280b2116</t>
  </si>
  <si>
    <t xml:space="preserve">Morgan Roux</t>
  </si>
  <si>
    <t>morganroux@maisonsmag.fr</t>
  </si>
  <si>
    <t xml:space="preserve">DIRIGEANT MAISONS MAG</t>
  </si>
  <si>
    <t xml:space="preserve">MAISONS MAG</t>
  </si>
  <si>
    <t>maisonsmag.fr</t>
  </si>
  <si>
    <t xml:space="preserve">constructeur de maisons individuelles,micro creche,cabinet medicaux,investissement,agrandissement,cabinets medicaux,constructeur de maisons individuelles &amp; agrandissement,construction maisons,cabinet dentaire,pmr,microcreche,local professionnel</t>
  </si>
  <si>
    <t>Thiers</t>
  </si>
  <si>
    <t>http://www.linkedin.com/company/maisons-mag</t>
  </si>
  <si>
    <t>https://www.facebook.com/Maisonsmag/</t>
  </si>
  <si>
    <t xml:space="preserve">Le Constructeur MAISONS MAG, situé à Clermont Ferrand 63, Thiers, Vichy 03, et Saint-etienne 42, est un constructeur de maison individuelle et de villa dans l'Allier et le Puy de Dôme et la Loire travaillant avec des artisans qualifiés de la région</t>
  </si>
  <si>
    <t>http://www.linkedin.com/in/morgan-roux-524565117</t>
  </si>
  <si>
    <t xml:space="preserve">Morike Sow</t>
  </si>
  <si>
    <t>Morike</t>
  </si>
  <si>
    <t>Sow</t>
  </si>
  <si>
    <t>morike.sow@groupe-ig.com</t>
  </si>
  <si>
    <t xml:space="preserve">Groupe d'Ingénierie</t>
  </si>
  <si>
    <t>groupe-ig.com</t>
  </si>
  <si>
    <t>amenagement,portuaire,urbain,ingenierie,batiment,vrd,hydraulique,desamiantage,demolition</t>
  </si>
  <si>
    <t>http://www.linkedin.com/company/groupe-d-ing%c3%a9nierie</t>
  </si>
  <si>
    <t xml:space="preserve">Société d'Ingénierie Pluridisciplinaire, Groupe d'Ingénierie se compose de sociétés proposant un savoir-faire et des solutions durables complémentaires dans le domaine de la construction : 
- Sofid : Aménagements portuaires et urbains : http://www.sofid.eu/
- Quatorze-IG : Ingénierie du bâtiment : http://www.quatorze-ig.com
- Cube² : Ingénierie urbaine et environnementale : https://www.cube2-ing.fr
- Epione : Démantèlement</t>
  </si>
  <si>
    <t>http://www.linkedin.com/in/morik%c3%a9-sow-17344969</t>
  </si>
  <si>
    <t xml:space="preserve">Marc Perotto</t>
  </si>
  <si>
    <t>Perotto</t>
  </si>
  <si>
    <t>mperotto@widip.fr</t>
  </si>
  <si>
    <t xml:space="preserve">WIDIP sas</t>
  </si>
  <si>
    <t>widip.fr</t>
  </si>
  <si>
    <t xml:space="preserve">cloud prive,messagerie,infogerance,technologie,logiciels,reseau informatique,cloud computing,rgpd,hebergement,transformation numerique,securite informatique,certification iso 27001,certification hds,audit de securite informatique,cloud hybride,expertcyber</t>
  </si>
  <si>
    <t>http://www.linkedin.com/company/widip-sas</t>
  </si>
  <si>
    <t>https://www.facebook.com/widipcloud/</t>
  </si>
  <si>
    <t xml:space="preserve">WIDIP a développé depuis 2005 une expertise dans l'hébergement sécurisé de serveurs - Certification ISO 27001 et HDS (hébergement de données de santé) - et les projets de transformation numérique.
Notre offre s'appuie sur trois axes principaux :
- la sécurité, la sauvegarde et l'intégrité des données avec une offre d'audit et d'expertise dédiée
- la disponibilité des données portée par nos solutions Cloud, réseau et Infogérance sur site (12 collaborateurs chez nos clients)
- la satisfaction des utilisateurs avec une équipe de 15 personnes en Centre de Service et de Support Utilisateurs (supervision à distance, hot-line et télémaintenance) au service de nos clients
- une suite logicielle verticale dédiée aux ESMS : RGPD QEOPS, QORUS
https://widip.fr/</t>
  </si>
  <si>
    <t>http://www.linkedin.com/in/marc-perotto-621b8a277</t>
  </si>
  <si>
    <t xml:space="preserve">Marlene Renaud</t>
  </si>
  <si>
    <t>Marlene</t>
  </si>
  <si>
    <t>mr@cqs-experts.fr</t>
  </si>
  <si>
    <t xml:space="preserve">Fondatrice et gestionnaire des marques CQS - CQS Experts - CQBOT - CQS RSE et sa mascotte LENA GREEN</t>
  </si>
  <si>
    <t>CQS</t>
  </si>
  <si>
    <t>cqs-experts.fr</t>
  </si>
  <si>
    <t xml:space="preserve">management de la qualite,iso 15189,iso 17025,iso 9001 14001 18001,audit diagnostic,formation,accompagnement,rse,progiciel,pilotage,developpement durable</t>
  </si>
  <si>
    <t>http://www.linkedin.com/company/cqs-experts</t>
  </si>
  <si>
    <t xml:space="preserve">CQS, Cabinet Conseil expert en certification ISO, Qualiopi et accréditation COFRAC vous accompagne dans vos projets d'audit, de formation et d'externalisation. ISO 9001, ISO 14 001...</t>
  </si>
  <si>
    <t>http://www.linkedin.com/in/marl%c3%a8ne-renaud-95689657</t>
  </si>
  <si>
    <t xml:space="preserve">Michael Royer</t>
  </si>
  <si>
    <t>Royer</t>
  </si>
  <si>
    <t>mroyer@novances-it.com</t>
  </si>
  <si>
    <t xml:space="preserve">Novances IT</t>
  </si>
  <si>
    <t>novances-it.com</t>
  </si>
  <si>
    <t xml:space="preserve">informatique,securite informatique,expertise informatique,reseaux,transformation numerique,hebergement,helpdesk,developpement informatique,developpement web,expertise legale,cybersecurite</t>
  </si>
  <si>
    <t>Saint-Didier-au-Mont-d'Or</t>
  </si>
  <si>
    <t>http://www.linkedin.com/company/novances-it</t>
  </si>
  <si>
    <t>https://twitter.com/QodeInteractive</t>
  </si>
  <si>
    <t xml:space="preserve">entreprise de service numérique, Novances IT est née de vos besoins pour devenir une société capable de gérer votre système informatique.</t>
  </si>
  <si>
    <t>http://www.linkedin.com/in/michael-royer-44430378</t>
  </si>
  <si>
    <t xml:space="preserve">Marc Schubel</t>
  </si>
  <si>
    <t>Schubel</t>
  </si>
  <si>
    <t>mschubel@mslevage.com</t>
  </si>
  <si>
    <t xml:space="preserve">Groupe SCHUBEL</t>
  </si>
  <si>
    <t>mslevage.com</t>
  </si>
  <si>
    <t xml:space="preserve">btp,evenementiel,industrie,transport conventionnel,transport,manutention,prestations de levage,genie climatique,levage,transfert industriel,manutention lourde,location grue mobile,construction,stockage outdoor,transport specialise,apparaux de levage</t>
  </si>
  <si>
    <t>http://www.linkedin.com/company/groupe-schubel</t>
  </si>
  <si>
    <t xml:space="preserve">Entreprise spécialisée dans le levage et le transport, MS Levage possède une multi-expertise capable de répondre aux demandes spécifiques de levage et d’acheminement.</t>
  </si>
  <si>
    <t>http://www.linkedin.com/in/marc-schubel-01b8b817a</t>
  </si>
  <si>
    <t xml:space="preserve">Christian Munini</t>
  </si>
  <si>
    <t>Munini</t>
  </si>
  <si>
    <t>munini@tnt-telecom.com</t>
  </si>
  <si>
    <t>TNT</t>
  </si>
  <si>
    <t>tnt-telecom.com</t>
  </si>
  <si>
    <t xml:space="preserve">specialiste certifie alcatel</t>
  </si>
  <si>
    <t>http://www.linkedin.com/company/telephonie-nouvelle-et-terminaux</t>
  </si>
  <si>
    <t>https://www.facebook.com/swattelecom/</t>
  </si>
  <si>
    <t xml:space="preserve">Opérateur Télécom et spécialiste en équipements de téléphonie d'entreprise depuis plus de 40 ans en PACA et plus précisément sur le bassin économique Aix Marseille Toulon. Notre force est d'avoir une équipe de 20 personnes prête à apporter un service à haute expertise technique, le tout à taille humaine. Nos clients sont aussi bien des TPE de 1 à 2 personnes, jusqu'à de grosses administrations où nous maintenons plus de 9000 postes utilisateurs et qui sont couvertes par un service sous astreinte 24/7.</t>
  </si>
  <si>
    <t>http://www.linkedin.com/in/christian-munini-9a05928b</t>
  </si>
  <si>
    <t xml:space="preserve">Muriel Fan</t>
  </si>
  <si>
    <t>Fan</t>
  </si>
  <si>
    <t>muriel@ocamlpro.com</t>
  </si>
  <si>
    <t>OCamlPro</t>
  </si>
  <si>
    <t>ocamlpro.com</t>
  </si>
  <si>
    <t xml:space="preserve">certification,safety,prototyping,language design,dsls,open source maintenance,formal methods,smt solvers,computer science,reasearch,development,ocaml,rust,gnucobol,c</t>
  </si>
  <si>
    <t>http://www.linkedin.com/company/ocamlpro</t>
  </si>
  <si>
    <t>https://twitter.com/ocamlpro</t>
  </si>
  <si>
    <t>https://facebook.com/ocamlpro</t>
  </si>
  <si>
    <t xml:space="preserve">OCamlPro tackles complex design challenges (Domain Specific Languages, Blockchains) notably with the use of formal methods. For that purpose, we promote the use of state-of-the-art programming languages like OCaml and Rust.</t>
  </si>
  <si>
    <t>http://www.linkedin.com/in/mshanseifan</t>
  </si>
  <si>
    <t xml:space="preserve">Marc Vidal</t>
  </si>
  <si>
    <t>Vidal</t>
  </si>
  <si>
    <t>mvidal@comindesk.fr</t>
  </si>
  <si>
    <t xml:space="preserve">COMIN DESK Cybersécurité et Télécoms</t>
  </si>
  <si>
    <t>comindesk.fr</t>
  </si>
  <si>
    <t xml:space="preserve">ip,communication unifiee,visioconference,telephonie,teams,centrex,cyberprotection,cyberassurance,cloud,bureautique,cybersecurite</t>
  </si>
  <si>
    <t>Sucy-en-Brie</t>
  </si>
  <si>
    <t>http://www.linkedin.com/company/comin-desk</t>
  </si>
  <si>
    <t xml:space="preserve">COMIN DESK
Nous sommes intégrateurs de solutions Informatique, télécom réseaux et Cloud pour les  PME et grands comptes. Également spécialistes de la cybersécurité sur notre entité Comin Cloud, nous vous accompagnons avec tous types de protection et d'assurance pour contrer les risques liés.
Vous souhaitez des conseils sur la nouvelles technologies informatiques et telecoms, nous nous tenons garant afin d'optimiser vos prestations ainsi que de vous apporter des réponses claires et précises. Nos partenaires sont des opérateurs comme : SFR, ORANGE, BOUYGUES ainsi que des constructeurs comme : Alcatel, Matra, Siemens, Cisco et Wildix ...
N'hésitez pas à visiter notre site : comindesk.fr et/ou nous contacter directement pour une demande de devis.</t>
  </si>
  <si>
    <t>http://www.linkedin.com/in/marc-vidal-comin-desk</t>
  </si>
  <si>
    <t xml:space="preserve">Nicolas Binois</t>
  </si>
  <si>
    <t>Binois</t>
  </si>
  <si>
    <t>n.binois@georgeault.fr</t>
  </si>
  <si>
    <t>GEORGEAULT</t>
  </si>
  <si>
    <t>georgeault.fr</t>
  </si>
  <si>
    <t>Saint-Aubin-du-Cormier</t>
  </si>
  <si>
    <t xml:space="preserve">charpente metallique</t>
  </si>
  <si>
    <t>http://www.linkedin.com/company/georgeault-constructions-industrielles</t>
  </si>
  <si>
    <t xml:space="preserve">Entreprise de construction métallique implantée dans l'Ouest de la France (Bretagne, Normandie, Pays de la Loire) depuis 1966, Georgeault SAS est spécialisée dans la construction de bâtiments industriels. Nous concevons des bâtiments pour de nombreux secteurs d'activité. Notre savoir-faire et notre maîtrise de l'acier nous permettent de vous garantir un bâtiment de qualité au design moderne. Nous disposons de nombreuses références auprès de grandes enseignes.</t>
  </si>
  <si>
    <t>http://www.linkedin.com/in/nicolas-binois-75281628</t>
  </si>
  <si>
    <t xml:space="preserve">Nadege Bourgault</t>
  </si>
  <si>
    <t>Nadege</t>
  </si>
  <si>
    <t>Bourgault</t>
  </si>
  <si>
    <t>n.bourgault@trust-id.fr</t>
  </si>
  <si>
    <t xml:space="preserve">TRUST ID</t>
  </si>
  <si>
    <t>trust-id.fr</t>
  </si>
  <si>
    <t>Houdan</t>
  </si>
  <si>
    <t>http://www.linkedin.com/company/trust-id</t>
  </si>
  <si>
    <t>https://twitter.com/Trust__ID</t>
  </si>
  <si>
    <t xml:space="preserve">Trust ID propose des services personnalisés dans les domaines de la paie et de la gestion des Ressources Humaines pour les entreprises de toutes tailles et de tous secteurs.</t>
  </si>
  <si>
    <t>http://www.linkedin.com/in/nadege-bourgault-71b562184</t>
  </si>
  <si>
    <t xml:space="preserve">Nicolas Garcia</t>
  </si>
  <si>
    <t>n.garcia@panicentre.com</t>
  </si>
  <si>
    <t xml:space="preserve">PDG PANICENTRE</t>
  </si>
  <si>
    <t>PANICENTRE</t>
  </si>
  <si>
    <t>panicentre.com</t>
  </si>
  <si>
    <t>Saint-Pierre-des-Corps</t>
  </si>
  <si>
    <t xml:space="preserve">froid commercial,cuisson,metiers de bouche,fours professionnels,nappeuses,laminoirs,snacking,petrins batteurs,depannage,laverie,coupeuses,vitrines,inox</t>
  </si>
  <si>
    <t>http://www.linkedin.com/company/panicentre</t>
  </si>
  <si>
    <t>https://www.facebook.com/panicentre/</t>
  </si>
  <si>
    <t xml:space="preserve">PaniCentre, concessionnaire Bongard exclusif en région Centre-Val de Loire, accompagne les professionnels des métiers de bouche dans l'équipement (chaud, froid...), la maintenance, le dépannage et l'agencement.
Au travers d'Euromat, la centrale d'achat des concessionnaires BONGARD, PaniCentre propose un large choix de matériels de boulangerie, pâtisserie, confiserie, snacking, boucherie... pour les artisans des métiers de bouche comme les GMS, (fours, froid, coupeuses, pétrins batteuses, vitrines, laminoirs, nappeuses, inox, cuisson...)
PaniCentre est installé à Saint-Pierre-des-Corps et a un dépôt de pièces détachés à côté d'Orléans.
Des techniciens et installateurs sont basés dans chaque département de la Région Centre Val de Loire</t>
  </si>
  <si>
    <t>http://www.linkedin.com/in/nicolas-garcia-9532a7b1</t>
  </si>
  <si>
    <t xml:space="preserve">Nabil Toumi</t>
  </si>
  <si>
    <t>Nabil</t>
  </si>
  <si>
    <t>Toumi</t>
  </si>
  <si>
    <t>n.toumi@izaktech.com</t>
  </si>
  <si>
    <t>IZAKTECH</t>
  </si>
  <si>
    <t>izaktech.com</t>
  </si>
  <si>
    <t>Saint-Priest</t>
  </si>
  <si>
    <t>http://www.linkedin.com/company/izaktech</t>
  </si>
  <si>
    <t xml:space="preserve">IZAKTECH est votre partenaire sécurité et médical !</t>
  </si>
  <si>
    <t>http://www.linkedin.com/in/nabil-toumi-637a8665</t>
  </si>
  <si>
    <t xml:space="preserve">Nicolas Werth</t>
  </si>
  <si>
    <t>Werth</t>
  </si>
  <si>
    <t>n.werth@tpbflooring.fr</t>
  </si>
  <si>
    <t xml:space="preserve">TPB Flooring France</t>
  </si>
  <si>
    <t>tpbflooring.fr</t>
  </si>
  <si>
    <t>Selestat</t>
  </si>
  <si>
    <t>Entzheim</t>
  </si>
  <si>
    <t>http://www.linkedin.com/company/tpbflooring</t>
  </si>
  <si>
    <t xml:space="preserve">TPB FLOORING réalise des sols industriels, logistiques et urbains en béton en garantissant la qualité et la satisfaction du client, dans le respect des critères de sécurité, d’environnement et de responsabilité sociale.</t>
  </si>
  <si>
    <t>http://www.linkedin.com/in/nicolas-werth-1b1624137</t>
  </si>
  <si>
    <t xml:space="preserve">Nabil Gharbi</t>
  </si>
  <si>
    <t>Gharbi</t>
  </si>
  <si>
    <t>nabil.gharbi@framboise.consulting</t>
  </si>
  <si>
    <t xml:space="preserve">Framboise Consulting</t>
  </si>
  <si>
    <t>framboise.consulting</t>
  </si>
  <si>
    <t>Vienne</t>
  </si>
  <si>
    <t xml:space="preserve">conseil en franchise,developpeur en temps partage,developpeur de franchise,ouverture de magasins en franchise,recrutement de franchises,lancement de reseaux commerciaux,master franchisee,creation de franchise,franchising business,franchisee recruitment,franchise development,reengineering franchise,recruteur en franchise,creation de magasins en franchise,expert en franchise,recruteur de franchises,consultant en franchise,creation de reseaux commerciaux,manuel franchise,developpement de reseaux commerciaux,lancement de reseaux de franchise,formation a la franchise,modelisation de reseau</t>
  </si>
  <si>
    <t>http://www.linkedin.com/company/framboise-consulting</t>
  </si>
  <si>
    <t xml:space="preserve">Framboise Consulting votre cabinet de conseil en franchise. Faites-vous accompagner par des experts en ✓création ✓développement ✓formation et ✓animation de franchise.</t>
  </si>
  <si>
    <t>http://www.linkedin.com/in/nabil-gharbi-149a3623b</t>
  </si>
  <si>
    <t xml:space="preserve">Nacer Acherchour</t>
  </si>
  <si>
    <t>Acherchour</t>
  </si>
  <si>
    <t>nacer.acherchour@safari-technologies.com</t>
  </si>
  <si>
    <t xml:space="preserve">Président SAFARI TECHNOLOGIES</t>
  </si>
  <si>
    <t xml:space="preserve">SAFARI TECHNOLOGIES</t>
  </si>
  <si>
    <t>safari-technologies.com</t>
  </si>
  <si>
    <t xml:space="preserve">services informatiques,pmo,chef de projet fonctionnel,dpo et protection des donnees,digital,securite informatique reseaux,amoa amoe pilotage de projet et systeme applicatifs,architecture it,cybersecurite,gestion de projets it,business analyst,devops,agile scrum,numerique,systeme dinformation,logiciels experience collaborateur,intelligence artificielle,transformation digitale,cloud,ingenierie logicielle,centre de service</t>
  </si>
  <si>
    <t>http://www.linkedin.com/company/safari-technologies</t>
  </si>
  <si>
    <t xml:space="preserve">Safari Technologies propose des solutions IT innovantes, des services de conseil, et des technologies de pointe pour transformer votre entreprise. Découvrez notre expertise en télécom, sécurité, et bien plus encore !</t>
  </si>
  <si>
    <t>http://www.linkedin.com/in/acherchour</t>
  </si>
  <si>
    <t xml:space="preserve">Nassim Kilic</t>
  </si>
  <si>
    <t>Kilic</t>
  </si>
  <si>
    <t>nassim.kilic@klc-construction.fr</t>
  </si>
  <si>
    <t xml:space="preserve">KLC CONSTRUCTION</t>
  </si>
  <si>
    <t>klc-construction.fr</t>
  </si>
  <si>
    <t xml:space="preserve">maconnerie,grosoeuvre,gros oeuvre,travaux dinfrastructure</t>
  </si>
  <si>
    <t>Sarcelles</t>
  </si>
  <si>
    <t>http://www.linkedin.com/company/klcconstruction</t>
  </si>
  <si>
    <t xml:space="preserve">KLC CONSTRUCTION, filiale du Groupe KLC développe ses compétences dans le cadre de prestations de maçonnerie, gros-œuvre, extension, surélévation et sous élévation, travaux d'infrastructure et superstructure.
Nous sommes également en mesure d'accompagner nos clients sur leurs projets TCE (Tout Corps d'Etats) en s'appuyant sur des partenaires internes et externes en conception &amp; réalisation. 
L'expertise fait partie des clés de réussite de notre entreprise, nous développons un accompagnement sur mesure afin d'apporter des prestations clés en main, intégrant toutes les phases de conception jusqu'à la livraison du bâtiment et la mise en service.  
Le rayon d'action de notre société s'étend à l'échelle nationale. Nous couvrons également tous les secteurs, industriels, tertiaire, logement.
KLC CONSTRUCTION, œuvre pour une responsabilité sociétale et environnementale de son secteur. Pour chacune de ses actions, notre entreprise privilégie l'environnement, le bien-être de ses collaborateurs et celui de la société.</t>
  </si>
  <si>
    <t>http://www.linkedin.com/in/nassim-kilic-967832121</t>
  </si>
  <si>
    <t xml:space="preserve">Nathalie Soriano</t>
  </si>
  <si>
    <t>Soriano</t>
  </si>
  <si>
    <t>nathalie.soriano@cepelec.com</t>
  </si>
  <si>
    <t>Cepelec</t>
  </si>
  <si>
    <t>cepelec.com</t>
  </si>
  <si>
    <t>Saint-Egreve</t>
  </si>
  <si>
    <t xml:space="preserve">expertises et solutions techniques,formations,audit,accompagnement,equipement,mise en securite</t>
  </si>
  <si>
    <t>http://www.linkedin.com/company/cepelec</t>
  </si>
  <si>
    <t>https://facebook.com/cepelec</t>
  </si>
  <si>
    <t xml:space="preserve">Matériels, formations et expertises en ESD, extraction de polluants, brasage, traçabilité, identification, sécurité, consignation, IPC...</t>
  </si>
  <si>
    <t>http://www.linkedin.com/in/nathalie-soriano-9b4992134</t>
  </si>
  <si>
    <t xml:space="preserve">Nathan Corgne</t>
  </si>
  <si>
    <t>Corgne</t>
  </si>
  <si>
    <t>nathan.corgne@1000tyservices.fr</t>
  </si>
  <si>
    <t xml:space="preserve">1000 TY SERVICES</t>
  </si>
  <si>
    <t>1000tyservices.fr</t>
  </si>
  <si>
    <t>Corps-Nuds</t>
  </si>
  <si>
    <t xml:space="preserve">menuiserie &amp; isolation</t>
  </si>
  <si>
    <t>http://www.linkedin.com/company/1000-ty</t>
  </si>
  <si>
    <t>https://twitter.com/1000TyServices</t>
  </si>
  <si>
    <t>https://www.facebook.com/Menuiserie-1000-Ty-Services-118055621562171/</t>
  </si>
  <si>
    <t xml:space="preserve">Spécialiste de la menuiserie alu et bois en Bretagne pour vos projets d'ouvertures (fenêtres et portes) ainsi que vos projets d'agencement (escaliers, pergolas).</t>
  </si>
  <si>
    <t>http://www.linkedin.com/in/nathan-corgne-b2ab9610b</t>
  </si>
  <si>
    <t xml:space="preserve">Nathan Layet</t>
  </si>
  <si>
    <t>Layet</t>
  </si>
  <si>
    <t>nathan@grof.io</t>
  </si>
  <si>
    <t>Grof</t>
  </si>
  <si>
    <t>grof.io</t>
  </si>
  <si>
    <t xml:space="preserve">growth hacking,growth marketing,no code,leads,prospects,acquisition,accompagnement,marketing,commercial,roi,crm,mail,linkedin,copywriting,outbound marketing,automatisation,sales</t>
  </si>
  <si>
    <t>http://www.linkedin.com/company/grof</t>
  </si>
  <si>
    <t xml:space="preserve">Grof, agence sales ops dédiée à la performance commerciale. Nous vous aidons à connecter directement avec les décideurs et à accélérer vos cycles de vente.</t>
  </si>
  <si>
    <t>http://www.linkedin.com/in/nathan-layet</t>
  </si>
  <si>
    <t xml:space="preserve">Noe Basch</t>
  </si>
  <si>
    <t>Noe</t>
  </si>
  <si>
    <t>Basch</t>
  </si>
  <si>
    <t>nb@mobius-reemploi.fr</t>
  </si>
  <si>
    <t xml:space="preserve">Fondateur et Directeur du Développement</t>
  </si>
  <si>
    <t xml:space="preserve">mobius réemploi</t>
  </si>
  <si>
    <t>mobius-reemploi.fr</t>
  </si>
  <si>
    <t xml:space="preserve">diagnostic reemploi,preparation materiaux,logistique,reemploi,schema directeur reemploi,stockage,assurance materiaux de reemploi,fourniture materiaux de reemploi,collecte materiaux,conditionnement materiaux</t>
  </si>
  <si>
    <t>http://www.linkedin.com/company/mobiusreemploi</t>
  </si>
  <si>
    <t>https://www.facebook.com/mobiusreemploiconstruction/</t>
  </si>
  <si>
    <t xml:space="preserve">Mobius est le premier fournisseur français de matériels et matériaux de construction, garantis et assurés, issus du réemploi.</t>
  </si>
  <si>
    <t>http://www.linkedin.com/in/no%c3%a9-basch-4b839136</t>
  </si>
  <si>
    <t xml:space="preserve">Nelly Margotton</t>
  </si>
  <si>
    <t>Nelly</t>
  </si>
  <si>
    <t>Margotton</t>
  </si>
  <si>
    <t>nelly.margotton@phedon-consult.com</t>
  </si>
  <si>
    <t xml:space="preserve">Fondatrice du cabinet - consultante</t>
  </si>
  <si>
    <t>PHEDON</t>
  </si>
  <si>
    <t>phedon-consult.com</t>
  </si>
  <si>
    <t xml:space="preserve">emploi,reconversion,prospective,formation,cohesion dequipe,strategie ressources humaines,culture dentreprise,outplacement,gpec,sociologie,ingenierie pedagogique,sciences humaines,consultations individuelles,philosophie,ateliers philosophie et entreprise,culture d39entreprise,prise de poste en management,conferences,seminaire,politique de formation,carriere</t>
  </si>
  <si>
    <t>http://www.linkedin.com/company/phedon</t>
  </si>
  <si>
    <t>https://www.facebook.com/Phedon</t>
  </si>
  <si>
    <t xml:space="preserve">Avec le cabinet PHEDON : la philosophie et l'expérience de terrain au service de votre management et votre gestion des RH. Prestations de conseil, groupes d'analyses des pratiques, consultations individuelles et ateliers collectifs de réflexion.</t>
  </si>
  <si>
    <t>http://www.linkedin.com/in/nelly-margotton-8a166827</t>
  </si>
  <si>
    <t xml:space="preserve">Nelson Dantas</t>
  </si>
  <si>
    <t>Nelson</t>
  </si>
  <si>
    <t>Dantas</t>
  </si>
  <si>
    <t>nelson@dnt-versailles.fr</t>
  </si>
  <si>
    <t xml:space="preserve">DNT Versailles</t>
  </si>
  <si>
    <t>dnt-versailles.fr</t>
  </si>
  <si>
    <t xml:space="preserve">restauration de facades xviieme,xviiieme et xixeme</t>
  </si>
  <si>
    <t>http://www.linkedin.com/company/dnt-versailles</t>
  </si>
  <si>
    <t xml:space="preserve">L’entreprise DNT est spécialisée dans les travaux de peinture, de ravalement de façade, de maçonnerie et d’isolation thermique par l’extérieur à Versailles, Paris et Chartres.</t>
  </si>
  <si>
    <t>http://www.linkedin.com/in/nelson-dantas-b04025b8</t>
  </si>
  <si>
    <t xml:space="preserve">Nelson Dufosse</t>
  </si>
  <si>
    <t>Dufosse</t>
  </si>
  <si>
    <t>nelson@kokan.fr</t>
  </si>
  <si>
    <t xml:space="preserve">Directeur général et consultant en delivery</t>
  </si>
  <si>
    <t>KoKan</t>
  </si>
  <si>
    <t>kokan.fr</t>
  </si>
  <si>
    <t xml:space="preserve">gestion du changement,facilitation,team building,facilitation graphique,transformation agile,creation animation de seminaires,coaching agile,conseil agile,creation amp animation de seminaires,formation,scrum master</t>
  </si>
  <si>
    <t>http://www.linkedin.com/company/k%c5%8dkan</t>
  </si>
  <si>
    <t>https://twitter.com/KoKanFr</t>
  </si>
  <si>
    <t xml:space="preserve">Scrum Master, coach agile. L’agilité au service de la stratégie produit, de la performance des équipes et de la fiabilité des réalisations</t>
  </si>
  <si>
    <t>http://www.linkedin.com/in/nelson-dufoss%c3%a9</t>
  </si>
  <si>
    <t xml:space="preserve">Nicolas Gomar</t>
  </si>
  <si>
    <t>Gomar</t>
  </si>
  <si>
    <t>ngomar@ags-cloud.fr</t>
  </si>
  <si>
    <t xml:space="preserve">Président d’AGS Cloud : DataCenter souverain spécialiste en cybersécurité et protection des données.</t>
  </si>
  <si>
    <t xml:space="preserve">AGS Cloud</t>
  </si>
  <si>
    <t>ags-cloud.fr</t>
  </si>
  <si>
    <t xml:space="preserve">svault,mailprotect antispam,veeam,sauvegarde en ligne et locale,messagerie collaborative,zimbra,saas,cloud iaas,partage et synchronisation,datacenter,hebergement de donnees,plan de reprise dactivite,hosting mail,plan de reprise d39activite,veeam cloud connect,editeur dune solution de sauvegarde en ligne en mode saas,backup,editeur d39une solution de sauvegarde en ligne en mode saas,microsoft exchange</t>
  </si>
  <si>
    <t>Saint-Aunes</t>
  </si>
  <si>
    <t>http://www.linkedin.com/company/ags-cloud</t>
  </si>
  <si>
    <t>https://twitter.com/AGSCloud</t>
  </si>
  <si>
    <t>https://www.facebook.com/AGSCloud</t>
  </si>
  <si>
    <t xml:space="preserve">AGS Cloud est propriétaire de son DataCenter Tiers III+, spécialiste en solutions Cloud et éditeur de sauvegarde en ligne et locale SVault.</t>
  </si>
  <si>
    <t>http://www.linkedin.com/in/nicolas-gomar-153129b6</t>
  </si>
  <si>
    <t xml:space="preserve">Nicolas Gonzalez</t>
  </si>
  <si>
    <t>Gonzalez</t>
  </si>
  <si>
    <t>ngonzalez@operametrix.fr</t>
  </si>
  <si>
    <t xml:space="preserve">Dirigeant &amp; Fondateur</t>
  </si>
  <si>
    <t>OperaMetrix</t>
  </si>
  <si>
    <t>operametrix.fr</t>
  </si>
  <si>
    <t xml:space="preserve">etudes et schemas electriques,iot,edge,informatique industrielle,supervision,automatisme,scada,gestion de projet multimetier,cloud</t>
  </si>
  <si>
    <t>http://www.linkedin.com/company/operametrix</t>
  </si>
  <si>
    <t xml:space="preserve">Intégrateur de solutions de supervision et d’automatismes industriels pour les entreprises et les industries.</t>
  </si>
  <si>
    <t>http://www.linkedin.com/in/nicolas-gonzalez-365baaa3</t>
  </si>
  <si>
    <t xml:space="preserve">Nicolas Andre</t>
  </si>
  <si>
    <t>nicolas.andre@smartpainting.fr</t>
  </si>
  <si>
    <t xml:space="preserve">Smart Painting</t>
  </si>
  <si>
    <t>smartpainting.fr</t>
  </si>
  <si>
    <t>http://www.linkedin.com/company/smart-painting</t>
  </si>
  <si>
    <t xml:space="preserve">Une expertise métier optimisée et de qualité pour vous accompagner dans votre projet de travaux de rénovation.</t>
  </si>
  <si>
    <t>http://www.linkedin.com/in/nicolas-andre-a93261185</t>
  </si>
  <si>
    <t xml:space="preserve">Nicolas Beret</t>
  </si>
  <si>
    <t>Beret</t>
  </si>
  <si>
    <t>nicolas.beret@sireos.fr</t>
  </si>
  <si>
    <t>SIREOS</t>
  </si>
  <si>
    <t>sireos.fr</t>
  </si>
  <si>
    <t xml:space="preserve">lots electriques,lots amenagements,constructeur epc,photovoltaique,contractant general,epc contractor</t>
  </si>
  <si>
    <t>Mauguio</t>
  </si>
  <si>
    <t>http://www.linkedin.com/company/sireos</t>
  </si>
  <si>
    <t xml:space="preserve">Bienvenue dans l’univers dynamique de l’énergie renouvelable et de la transition énergétique !</t>
  </si>
  <si>
    <t>http://www.linkedin.com/in/nicolas-beret-519a6ab7</t>
  </si>
  <si>
    <t xml:space="preserve">Nicolas Decoster</t>
  </si>
  <si>
    <t>Decoster</t>
  </si>
  <si>
    <t>nicolas.decoster@ruedustore.fr</t>
  </si>
  <si>
    <t xml:space="preserve">Rue du Store</t>
  </si>
  <si>
    <t>ruedustore.fr</t>
  </si>
  <si>
    <t>Saint-Jean-de-la-Ruelle</t>
  </si>
  <si>
    <t>http://www.linkedin.com/company/rue-du-store</t>
  </si>
  <si>
    <t>https://www.facebook.com/ruedustore</t>
  </si>
  <si>
    <t xml:space="preserve">Sur notre boutique en ligne, retrouvez notre collection de stores sur mesure fabriqués en France. Personnalisez votre store avec l'aide de nos experts !</t>
  </si>
  <si>
    <t>http://www.linkedin.com/in/nicolas-decoster-ruedustore</t>
  </si>
  <si>
    <t xml:space="preserve">Nicolas Fratini</t>
  </si>
  <si>
    <t>Fratini</t>
  </si>
  <si>
    <t>nicolas.fratini@qsn-cyber.fr</t>
  </si>
  <si>
    <t>Associé</t>
  </si>
  <si>
    <t xml:space="preserve">Qorum Secur'Num</t>
  </si>
  <si>
    <t>qsn-cyber.fr</t>
  </si>
  <si>
    <t xml:space="preserve">dpo,iso27001,lpm,rgpd,secops,sensibilisation,rh,conformite,integration logiciels et erp,securitybydesign,rssi,cyber,conseil,startups,audit,compliance,rgs,maintien et amelioration,soc,formation</t>
  </si>
  <si>
    <t>Puteaux</t>
  </si>
  <si>
    <t>http://www.linkedin.com/company/qorum-securnum</t>
  </si>
  <si>
    <t xml:space="preserve">Une force collective de 60 TPME et entrepreneurs, résidente du Campus Cyber, en ordre de marche pour promouvoir l’excellence française, pallier au manque de ressources en créant de nouveaux cursus et en suscitant des vocations, faire rayonner l’écosystème de la cybersécurité.</t>
  </si>
  <si>
    <t>http://www.linkedin.com/in/nicolas-f-47689774</t>
  </si>
  <si>
    <t xml:space="preserve">Nicolas Guilloux</t>
  </si>
  <si>
    <t>Guilloux</t>
  </si>
  <si>
    <t>nicolas.guilloux@groupe-essenciel.fr</t>
  </si>
  <si>
    <t>ESSENC!EL</t>
  </si>
  <si>
    <t>groupe-essenciel.fr</t>
  </si>
  <si>
    <t>Belleville-en-Beaujolais</t>
  </si>
  <si>
    <t>http://www.linkedin.com/company/groupe-essenciel</t>
  </si>
  <si>
    <t xml:space="preserve">ESSENC!EL est une entreprise à mission :
Privilégier le savoir-être au savoir-faire pour recruter les talents de nos régions, faire évoluer nos équipes et leur permettre de s'épanouir.
Le savoir être est au coeur de notre ADN.
Nous sommes 900  collaboratrices et collaborateurs répartis sur 5 domaines d'activités : 
Grande distribution, sport et mode, métiers de bouche, hôtellerie-restauration et culture.
Nos valeurs et leurs fondamentaux :
AUDACE :
- Oser le changement
- Positiver l'initiative
- Soutenir les ambitions
CONFIANCE :
- Se rendre accessible
- Déléguer
- Accepter l'erreur
ENGAGEMENT :
- Être exemplaire
- Dépasser ses limites
- Être exigeant
Nos offres d'emplois : https://groupe-essenciel.fr/</t>
  </si>
  <si>
    <t>http://www.linkedin.com/in/nicolas-guilloux-2a2464a2</t>
  </si>
  <si>
    <t xml:space="preserve">Nicolas Leonhardt</t>
  </si>
  <si>
    <t>Leonhardt</t>
  </si>
  <si>
    <t>nicolas.leonhardt@astridsen.com</t>
  </si>
  <si>
    <t>http://www.linkedin.com/in/nicolas-leonhardt-29b329112</t>
  </si>
  <si>
    <t xml:space="preserve">Nicolas Miravette</t>
  </si>
  <si>
    <t>Miravette</t>
  </si>
  <si>
    <t>nicolas.miravette@makinov.fr</t>
  </si>
  <si>
    <t xml:space="preserve">Associé - Directeur Général</t>
  </si>
  <si>
    <t>Makin'Ov</t>
  </si>
  <si>
    <t>makinov.fr</t>
  </si>
  <si>
    <t xml:space="preserve">transformation,conseil,agilite manageriale,experience utilisateur,concepts innovants,pretotypage,prospective,design fiction,phygital,conseil responsable,design prospectif,creativite,futur souhaitable,prototypage rapide,innovation,serious game,design thinking,design,agilite,formation,raison detre,visioning</t>
  </si>
  <si>
    <t>http://www.linkedin.com/company/makin'ov</t>
  </si>
  <si>
    <t xml:space="preserve">Stratégie et prospective au service des organisations pour favoriser leur prise de décision.</t>
  </si>
  <si>
    <t>http://www.linkedin.com/in/nicolas-miravette</t>
  </si>
  <si>
    <t xml:space="preserve">Nicolas Muhadri</t>
  </si>
  <si>
    <t>Muhadri</t>
  </si>
  <si>
    <t>nicolas.muhadri@streammind.com</t>
  </si>
  <si>
    <t>StreamMind</t>
  </si>
  <si>
    <t>streammind.com</t>
  </si>
  <si>
    <t xml:space="preserve">payment processing,business process integration,erp,data security,api,system orchestration,web applications,enterprise solutions,banking solutions,digital transformation,cybersecurity,artificial intelligence</t>
  </si>
  <si>
    <t>http://www.linkedin.com/company/streammind</t>
  </si>
  <si>
    <t>https://twitter.com/Stream_Mind</t>
  </si>
  <si>
    <t>https://www.facebook.com/StreamMind-106327380809423</t>
  </si>
  <si>
    <t xml:space="preserve">Streammind is a high-technology software editor that creates and develops secure, next-generation digital solutions for all sectors of activity.</t>
  </si>
  <si>
    <t>http://www.linkedin.com/in/nicolas-muhadri-2bb5b8</t>
  </si>
  <si>
    <t xml:space="preserve">Nicolas Ouazan</t>
  </si>
  <si>
    <t>Ouazan</t>
  </si>
  <si>
    <t>nicolas.ouazan@keybossgroup.com</t>
  </si>
  <si>
    <t xml:space="preserve">KEYBOSS GROUP</t>
  </si>
  <si>
    <t>keybossgroup.com</t>
  </si>
  <si>
    <t xml:space="preserve">conformite,swift,tresorerie,paiements,cash management,monetique</t>
  </si>
  <si>
    <t>http://www.linkedin.com/company/keyboss-group</t>
  </si>
  <si>
    <t xml:space="preserve">Les experts Keyboss Group vous proposent des solutions Cash Management et un accompagnement sur mesure dans tous vos projets de transformations.</t>
  </si>
  <si>
    <t>http://www.linkedin.com/in/nicolas-ouazan-19649910</t>
  </si>
  <si>
    <t xml:space="preserve">Nicolas Rouchon</t>
  </si>
  <si>
    <t>Rouchon</t>
  </si>
  <si>
    <t>nicolas.rouchon@ceteam.eu</t>
  </si>
  <si>
    <t xml:space="preserve">Président - Fondateur</t>
  </si>
  <si>
    <t>CETEAM</t>
  </si>
  <si>
    <t>ceteam.eu</t>
  </si>
  <si>
    <t xml:space="preserve">coordination ssi,ceph,etudes,economie de la construction,etudes thermiques,rehabilitation,passive house,maquettes bim,etudes vrd,etudes qeb,etudes structures mixtes,passivhaus,ingenierie,logements,maitrise doeuvre amiante,etudes structures bois,ecole,college,amo,residence personnes agees,etudes structures metalliques,hotel,maitrise doeuvre plomb,etudes structures beton,bureaux,etudes fluides,electricite courant fort courant faible,lycee</t>
  </si>
  <si>
    <t>http://www.linkedin.com/company/ceteamfr</t>
  </si>
  <si>
    <t xml:space="preserve">Bureau d'études techniques et économie de la construction :
Économie - Thermique - Etudes Passivhaus - Fluides CVC - Électricité CFO &amp; CFA - Structures béton, bois, métal, mixtes - MOE Amiante &amp; Plomb - VRD - Qualité Environnementale du Bâtiment - Études BIM - AMO</t>
  </si>
  <si>
    <t>http://www.linkedin.com/in/nicolas-rouchon-ceteam</t>
  </si>
  <si>
    <t xml:space="preserve">Nicolas Roussel</t>
  </si>
  <si>
    <t>nicolas.roussel@expert-activ.com</t>
  </si>
  <si>
    <t>http://www.linkedin.com/in/roussel-nicolas-direction-commerciale-externalisee-loir-et-cher-sarthe</t>
  </si>
  <si>
    <t xml:space="preserve">Nicolas Vallet</t>
  </si>
  <si>
    <t>Vallet</t>
  </si>
  <si>
    <t>nicolas.vallet@eurostudio.fr</t>
  </si>
  <si>
    <t xml:space="preserve">Eurostudio Infographie</t>
  </si>
  <si>
    <t>eurostudio.fr</t>
  </si>
  <si>
    <t>architecture,formation,batiment,informatique,cao</t>
  </si>
  <si>
    <t>http://www.linkedin.com/company/eurostudio-infographie</t>
  </si>
  <si>
    <t>https://twitter.com/Eurostudio_fr</t>
  </si>
  <si>
    <t>https://www.facebook.com/eurostudioinfographie/</t>
  </si>
  <si>
    <t xml:space="preserve">Logiciels et matériels pour l'AEC - Gold Autodesk - Architecture ingénierie construction - formation BIM - expert bim - Partenaire BIM - BIM Management - Logiciels BIM</t>
  </si>
  <si>
    <t>http://www.linkedin.com/in/nicolas-vallet-a94b2112b</t>
  </si>
  <si>
    <t xml:space="preserve">Nicolas Winter</t>
  </si>
  <si>
    <t>Winter</t>
  </si>
  <si>
    <t>nicolas.winter@pwa-assurance.fr</t>
  </si>
  <si>
    <t xml:space="preserve">PWA Assurance</t>
  </si>
  <si>
    <t>pwa-assurance.fr</t>
  </si>
  <si>
    <t xml:space="preserve">gestion des contrats dassurance,efficacite operationnelle,gestion pour compte de tiers,prevoyance,sante,courtage,dsn,assurance emprunteur,backoffice,contrats dassurance,automatisation,assurance collective,assurance,comptabilite assurance,assurance de personnes,reforme psc,productivite,prestations assurance,commissionnement</t>
  </si>
  <si>
    <t>http://www.linkedin.com/company/pwa-assurance</t>
  </si>
  <si>
    <t xml:space="preserve">PWA, Editeur de Progiciels Assurantiels</t>
  </si>
  <si>
    <t>http://www.linkedin.com/in/nicolas-winter-2a036bb</t>
  </si>
  <si>
    <t xml:space="preserve">Nicolas Poix</t>
  </si>
  <si>
    <t>Poix</t>
  </si>
  <si>
    <t>nicolas@actusite.fr</t>
  </si>
  <si>
    <t>Actusite</t>
  </si>
  <si>
    <t>actusite.fr</t>
  </si>
  <si>
    <t xml:space="preserve">internet,gestion de patrimoine,accompagnement,independants du patrimoine,digital,web,marketing,agents generaux,webmarketing,reseaux sociaux,patrimoine,avocats,notaires,courtiers,conseillers en gestion de patrimoine,expertcomptable</t>
  </si>
  <si>
    <t>http://www.linkedin.com/company/actusite</t>
  </si>
  <si>
    <t>https://twitter.com/Actusite</t>
  </si>
  <si>
    <t>https://facebook.com/Actusite</t>
  </si>
  <si>
    <t xml:space="preserve">Si vous avez un besoin concernant votre communication ou votre marketing digital. Actusite a la solution grâce à son expertise et au ebureau.</t>
  </si>
  <si>
    <t>http://www.linkedin.com/in/nicolasdepoix</t>
  </si>
  <si>
    <t xml:space="preserve">Nicolas Faelli</t>
  </si>
  <si>
    <t>Faelli</t>
  </si>
  <si>
    <t>nicolas@beau-comme-un-camion.fr</t>
  </si>
  <si>
    <t xml:space="preserve">Beau Comme Un Camion</t>
  </si>
  <si>
    <t>beau-comme-un-camion.fr</t>
  </si>
  <si>
    <t>http://www.linkedin.com/company/beaucommeuncamion</t>
  </si>
  <si>
    <t>https://www.facebook.com/Beau-Comme-un-Camion-101632651326970/</t>
  </si>
  <si>
    <t xml:space="preserve">Beau Comme Un Camion, fabricant de Food Truck, remorque Food Truck, commerces ambulants sur mesure. Constructeurs de Food Truck en France, l'équipe Beau Comme Un Camion accompagne vos projets Food Truck : camion Food Truck, remorque Food Truck, camion pizza, remorque pizza, camion rôtisserie, remorque rôtisserie... Beau Comme Un Camion, votre projet est sur la bonne route !</t>
  </si>
  <si>
    <t>http://www.linkedin.com/in/nicolas-faelli-ba3b6b19b</t>
  </si>
  <si>
    <t xml:space="preserve">Nicolas Ecanvil</t>
  </si>
  <si>
    <t>Ecanvil</t>
  </si>
  <si>
    <t>nicolas@logis-conseil.fr</t>
  </si>
  <si>
    <t xml:space="preserve">Logis Conseil</t>
  </si>
  <si>
    <t>logis-conseil.fr</t>
  </si>
  <si>
    <t>Montrabe</t>
  </si>
  <si>
    <t>http://www.linkedin.com/company/logis-conseil-groupe</t>
  </si>
  <si>
    <t>https://www.facebook.com/logisconseil/</t>
  </si>
  <si>
    <t xml:space="preserve">Nous vous accompagnons dans vos projets de construction de maison, d’achat, vente immobilière et rénovation en Tarn et Haute-Garonne</t>
  </si>
  <si>
    <t>http://www.linkedin.com/in/nicolas-ecanvil-493845138</t>
  </si>
  <si>
    <t xml:space="preserve">Nicolas Depredurand</t>
  </si>
  <si>
    <t>Depredurand</t>
  </si>
  <si>
    <t>nicolas@lws.fr</t>
  </si>
  <si>
    <t xml:space="preserve">Dirigeant de société</t>
  </si>
  <si>
    <t>LWS</t>
  </si>
  <si>
    <t>lws.fr</t>
  </si>
  <si>
    <t xml:space="preserve">hebergement web,noms de domaine,sites web cles en main,packs sms,serveurs dedies vps,stockage en ligne,stockage cloud,adresse mail professionnelle</t>
  </si>
  <si>
    <t>http://www.linkedin.com/company/lws---ligne-web-services</t>
  </si>
  <si>
    <t>https://twitter.com/Lwshosting</t>
  </si>
  <si>
    <t>https://www.facebook.com/lws.fr</t>
  </si>
  <si>
    <t xml:space="preserve">Hébergeur de site Web avec nom de domaine, serveur dédié Linux et Windows, serveur VPS, stockage en ligne, sauvegardes et boutiques eCommerce.</t>
  </si>
  <si>
    <t>http://www.linkedin.com/in/nicolas-depredurand-518776b7</t>
  </si>
  <si>
    <t xml:space="preserve">Nicolas Goupil</t>
  </si>
  <si>
    <t>Goupil</t>
  </si>
  <si>
    <t>nicolas@toolapp.fr</t>
  </si>
  <si>
    <t>ToolApp</t>
  </si>
  <si>
    <t>toolapp.fr</t>
  </si>
  <si>
    <t xml:space="preserve">developpement logiciel,solutions metiers personnalisees,transformation digitale,applications metiers</t>
  </si>
  <si>
    <t>http://www.linkedin.com/company/toolapp</t>
  </si>
  <si>
    <t xml:space="preserve">Développement sur mesure ou intégration ERP, ToolApp vous accompagne pour trouver le logiciel métier adapté à vos besoins.</t>
  </si>
  <si>
    <t>http://www.linkedin.com/in/nicolas-goupil-67173419</t>
  </si>
  <si>
    <t xml:space="preserve">Nicolas Levy</t>
  </si>
  <si>
    <t>nlevy@litnational.com</t>
  </si>
  <si>
    <t xml:space="preserve">Co-CEO co-owner</t>
  </si>
  <si>
    <t xml:space="preserve">LE LIT NATIONAL</t>
  </si>
  <si>
    <t>litnational.com</t>
  </si>
  <si>
    <t xml:space="preserve">tapissier,fait main,litier,entreprise du patrimoine vivant,haute literie,ecoresponsable,fabrique en france</t>
  </si>
  <si>
    <t>http://www.linkedin.com/company/le-lit-national</t>
  </si>
  <si>
    <t xml:space="preserve">Le Lit National, haute literie depuis 1909, s'appuie sur son savoir-faire d'excellence pour vous proposer une literie traditionnelle et sur-mesure.</t>
  </si>
  <si>
    <t>http://www.linkedin.com/in/nicolas-l%c3%a9vy-93b1353a</t>
  </si>
  <si>
    <t xml:space="preserve">Nicolas Meslin</t>
  </si>
  <si>
    <t>nme@apik.cloud</t>
  </si>
  <si>
    <t xml:space="preserve">Directeur général Apik Centre Val De Loire</t>
  </si>
  <si>
    <t>apik</t>
  </si>
  <si>
    <t>apik.cloud</t>
  </si>
  <si>
    <t>Orleans</t>
  </si>
  <si>
    <t xml:space="preserve">erp,odoo,open source,ecommerce,achat,vente,caisse magasin,logistique,entrepot,btob,btoc,full web,saas,crm,mrp,inventaire,comptabilite,site web,facturation,pdv,automation,email marketing</t>
  </si>
  <si>
    <t>Baden</t>
  </si>
  <si>
    <t>http://www.linkedin.com/company/apik-odoo</t>
  </si>
  <si>
    <t>https://www.facebook.com/apikgroup/</t>
  </si>
  <si>
    <t xml:space="preserve">apik, partenaire Gold d'Odoo en France, propose des solutions ERP sur mesure pour optimiser la gestion de votre entreprise. Découvrez nos services d'intégration, de formation et de support adaptés à vos besoins spécifiques.</t>
  </si>
  <si>
    <t>http://www.linkedin.com/in/nicolas-meslin-015b0432</t>
  </si>
  <si>
    <t xml:space="preserve">Jean-Francois Nogier</t>
  </si>
  <si>
    <t>Nogier</t>
  </si>
  <si>
    <t>nogier@usabilis.com</t>
  </si>
  <si>
    <t xml:space="preserve">Président - Conseil UX Design</t>
  </si>
  <si>
    <t>Usabilis</t>
  </si>
  <si>
    <t>usabilis.com</t>
  </si>
  <si>
    <t xml:space="preserve">ux design,ergonomie,design graphique,ihm,web design,amoa,ui design,test utilisateur,design de service,wireframe,ux agile,parcours utilisateurs</t>
  </si>
  <si>
    <t>http://www.linkedin.com/company/usabilis</t>
  </si>
  <si>
    <t>https://twitter.com/usabilis</t>
  </si>
  <si>
    <t>https://www.facebook.com/usabilisofficiel/</t>
  </si>
  <si>
    <t xml:space="preserve">Usabilis est une agence conseil en Product Design, UX et ergonomie. Nous vous accompagnons dans la conception de vos services et produits digitaux.</t>
  </si>
  <si>
    <t>http://www.linkedin.com/in/nogier</t>
  </si>
  <si>
    <t xml:space="preserve">Nethanel Ouaki</t>
  </si>
  <si>
    <t>Nethanel</t>
  </si>
  <si>
    <t>Ouaki</t>
  </si>
  <si>
    <t>nouaki@njpartners.fr</t>
  </si>
  <si>
    <t>http://www.linkedin.com/in/nethanel-ouaki-4164941b3</t>
  </si>
  <si>
    <t xml:space="preserve">Nicolas Poriche</t>
  </si>
  <si>
    <t>Poriche</t>
  </si>
  <si>
    <t>nporiche@piazza-coffrages.fr</t>
  </si>
  <si>
    <t xml:space="preserve">PIAZZA Coffrages</t>
  </si>
  <si>
    <t>piazza-coffrages.fr</t>
  </si>
  <si>
    <t xml:space="preserve">specialiste de la location de coffrages hussor,entretien et renovation de coffrages toutes marques,expert en gestion de parc de coffrages</t>
  </si>
  <si>
    <t>Denain</t>
  </si>
  <si>
    <t>http://www.linkedin.com/company/piazza-coffrages1</t>
  </si>
  <si>
    <t>https://www.facebook.com/piazza.coffrages</t>
  </si>
  <si>
    <t xml:space="preserve">Partenaire des grands groupes de BTP, PIAZZA Coffrages Solutions assure la gestion et la mise à disposition de matériels de coffrage, en location ou gestion de parc.</t>
  </si>
  <si>
    <t>http://www.linkedin.com/in/nicolas-poriche-55993035</t>
  </si>
  <si>
    <t xml:space="preserve">Olivier Clerc</t>
  </si>
  <si>
    <t>o.clerc@optalor.com</t>
  </si>
  <si>
    <t xml:space="preserve">Directeur Général Adjoint chez OAL</t>
  </si>
  <si>
    <t>OPTALOR</t>
  </si>
  <si>
    <t>optalor.com</t>
  </si>
  <si>
    <t>Vandoeuvre-les-Nancy</t>
  </si>
  <si>
    <t>http://www.linkedin.com/company/optalor</t>
  </si>
  <si>
    <t xml:space="preserve">Bénéficiez de l’accompagnement du groupement Optalor : conseils, tarifs négociés, tout en gardant votre liberté. Plus de 150 opticiens ont rejoint le groupement.</t>
  </si>
  <si>
    <t>http://www.linkedin.com/in/olivier-clerc-386077b0</t>
  </si>
  <si>
    <t xml:space="preserve">Olivier Fatrez</t>
  </si>
  <si>
    <t>Fatrez</t>
  </si>
  <si>
    <t>o.fatrez@eyes-up.com</t>
  </si>
  <si>
    <t xml:space="preserve">Eyes Up</t>
  </si>
  <si>
    <t xml:space="preserve">fabricant plv,habillage devenements,habillage d39evenements et sites d39exception,fabricant supports de communication,habillage devenements et sites dexception,habillage de points de vente,habillage publicitaire exceptionnel,eyes up</t>
  </si>
  <si>
    <t>http://www.linkedin.com/company/eyes-up</t>
  </si>
  <si>
    <t xml:space="preserve">Eyes Up propose des supports de communication destinés : 
- A l'habillage d'événements (sportifs, culturels, professionnels...) 
- A l'habillage de points de vente (aménagement, trade marketing...) 
- A l'habillage publicitaire exceptionnel (sites urbains ou naturels, habillage de stade...)</t>
  </si>
  <si>
    <t>http://www.linkedin.com/in/olivier-fatrez-a1aa1867</t>
  </si>
  <si>
    <t xml:space="preserve">Olivier Duval</t>
  </si>
  <si>
    <t>oduval@coordef.fr</t>
  </si>
  <si>
    <t xml:space="preserve">COORDEF Ingénierie</t>
  </si>
  <si>
    <t xml:space="preserve">audit securite,missions dassistance,accompagnement,auditeur geshe,missions d39assistance,coordination sps</t>
  </si>
  <si>
    <t>Chessy</t>
  </si>
  <si>
    <t>http://www.linkedin.com/company/coordef</t>
  </si>
  <si>
    <t xml:space="preserve">C'est parce que la Sécurité et la protection de la Santé sont des paramètres inhérents à la politique d'Hygiène, de Sécurité et de Développement, tout particulièrement concernant les travaux, que la société COORDEF accompagne les entreprises dans leur détermination à les maitriser.
Aptitude à suivre des missions de niveau 1, 2 et 3 dans la construction, rénovation de bâtiment ou d'ouvrage, génie civil y compris en milieu particulier : ATEX, amiante, plomb, risques chimiques.
Notre mobilité : intervention sur l'ensemble du territoire national
Notre réactivité : répartition sur l'ensemble du territoire national (intervention possible sous 48h). Nos collaborateurs dispose d'outils informatiques performants et connectés en permanence à notre pôle administratif (rédaction et envoi des comptes rendu en temps réel depuis le terrain…).
Notre flexibilité : forte capacité d'adaptation aux contraintes de planification de vos projets et à vos exigences.
COORDEF dispose aujourd'hui d'un effectif de 25 personnes dont 7 CSPS et 12 ingénieurs et techniciens HSE à plein temps avec des spécialités orientées génie civil, bâtiment, environnement ATEX et travaux en sites occupés. Nous accompagnons également les maitres d'ouvrage dans des missions d'assistance et de permanence sécurité.</t>
  </si>
  <si>
    <t>http://www.linkedin.com/in/olivier-duval-79b5179b</t>
  </si>
  <si>
    <t xml:space="preserve">Olivier Garnier</t>
  </si>
  <si>
    <t>Garnier</t>
  </si>
  <si>
    <t>ogarnier@e-nergy.com</t>
  </si>
  <si>
    <t xml:space="preserve">Directeur général délégué AMO Ingénierie Conseil</t>
  </si>
  <si>
    <t>E-nergy</t>
  </si>
  <si>
    <t>e-nergy.com</t>
  </si>
  <si>
    <t xml:space="preserve">energie en reseau,simulation energetique dynamique,energy saver,audit energetique,schema directeur,certificats deconomies denergie,plan de comptage et de pilotage,assistance a maitrise douvrage energie,suivi de projet,commissionning,bim</t>
  </si>
  <si>
    <t>http://www.linkedin.com/company/e-nergy</t>
  </si>
  <si>
    <t xml:space="preserve">Les enjeux énergétiques de demain sont essentiels.
Fort d'une ingénierie intégrée innovante, E‑nergy vous accompagne et vous conseille dans l'identification et la mise en oeuvre de solutions à forte valeur ajoutée. L'objectif ? Investir sereinement, réduire vos factures d'énergie, maîtriser votre empreinte environnementale... et optimiser vos stratégies immobilières et industrielles.
www.e-nergy.com</t>
  </si>
  <si>
    <t>http://www.linkedin.com/in/olivier-garnier-5b77b9ab</t>
  </si>
  <si>
    <t xml:space="preserve">Olivier Laurent</t>
  </si>
  <si>
    <t>olaurent@vakom.fr</t>
  </si>
  <si>
    <t>http://www.linkedin.com/in/olivier-laurent-568993104</t>
  </si>
  <si>
    <t xml:space="preserve">Olivier Lemoine</t>
  </si>
  <si>
    <t>Lemoine</t>
  </si>
  <si>
    <t>olemoine@printsys.fr</t>
  </si>
  <si>
    <t>PRINTSYS</t>
  </si>
  <si>
    <t xml:space="preserve">systemes dimpression numeriques professionnels,solutions pour laffichage dynamique,logiciels de gestion documentaires,solutions pour l39affichage dynamique,systemes d39impression numeriques professionnels</t>
  </si>
  <si>
    <t>Mortagne-sur-Sevre</t>
  </si>
  <si>
    <t>http://www.linkedin.com/company/printsys</t>
  </si>
  <si>
    <t xml:space="preserve">Afin de vous aider dans votre transformation numérique, PRINTSYS vous propose un large choix de matériels et de services dédiés au document.
Implantée à la frontière de 4 départements (85, 49, 44, 79), notre société accompagne  les entreprises, collectivités et administrations dans la gestion de leurs systèmes d'impression et leur gestion documentaire.
Notre offre s'articule autour de plusieurs axes :
-	Le matériel d'impression
Nous répondons à tous les besoins allant de la bureautique, en passant par les arts graphiques, le dessin industriel et technique ; 
Nous intervenons sur tous types de systèmes, petits et grands formats (du A4 à l'A0), cela avec la gestion de la maintenance pour une utilisation totale de vos appareils en toute sérénité.
-	La gestion documentaire : Dématérialisation – Archivage – Sécurité – Mise aux Normes
	Le papier laisse peu à peu la place au document numérique, cette transition 	nécessite l'utilisation de bons outils pour répondre à la législation, la sécurité 	informatique, et la mise aux normes RGPD.
-	L'affichage dynamique – « la communication par écrans »
Notre savoir-faire s'étend également à la diffusion et la gestion de vos contenus sur écrans, pour que vous puissiez communiquer et informer vos clients, visiteurs, salariés…
Notre force est de travailler avec différents constructeurs pour  répondre à toutes les exigences et s'adapter à nos nombreuses demandes clients.
Nous vous offrons les avantages d'une structure de taille humaine : disponibilité et accessibilité, tout en ayant un service technique compétent et qualifié avec 2 avant-ventes issus de l'informatique. Notre service est complet : de l'audit, à l'installation puis à la formation.
Notre agence se situe au : 39 Rue du Parc – Z.A. du Parc 49280 Saint Christophe du Bois (proche de CHOLET).
Faisant partie du groupe TOUILLER Organisation, nous sommes également en mesure de répondre à une demande régionale et nationale via le groupement Hexapage.</t>
  </si>
  <si>
    <t>http://www.linkedin.com/in/olivier-lemoine-86724bb8</t>
  </si>
  <si>
    <t xml:space="preserve">Olivier Baudouin</t>
  </si>
  <si>
    <t>Baudouin</t>
  </si>
  <si>
    <t>olivier.baudouin@prosim.net</t>
  </si>
  <si>
    <t xml:space="preserve">Fives ProSim</t>
  </si>
  <si>
    <t>prosim.net</t>
  </si>
  <si>
    <t xml:space="preserve">process simulation software,prosimplus,engineering services,chemical process consulting,process optimization,chemical process simulation,energy audit,energy efficiency,pinch analysis,equipment design,engineering software,exergy,thermodynamic,process design,engineering,pinch,modeling,equipment sizing,thermodynamic calculation,batch process,chemical</t>
  </si>
  <si>
    <t>http://www.linkedin.com/company/chemical-process-simulation-software-fives-prosim</t>
  </si>
  <si>
    <t>https://twitter.com/fivesgroup</t>
  </si>
  <si>
    <t xml:space="preserve">Fives ProSim propose des logiciels de simulation de procédés et des prestations de service qui permettent aux industries d’améliorer leur efficacité opérationnelle.</t>
  </si>
  <si>
    <t>http://www.linkedin.com/in/olivier-baudouin-05a09213</t>
  </si>
  <si>
    <t xml:space="preserve">Olivier Gaboury</t>
  </si>
  <si>
    <t>Gaboury</t>
  </si>
  <si>
    <t>olivier.gaboury@accomplir.fr</t>
  </si>
  <si>
    <t>Accomplir</t>
  </si>
  <si>
    <t>accomplir.fr</t>
  </si>
  <si>
    <t xml:space="preserve">conseil en ressources humaines,accompagnement,formation management</t>
  </si>
  <si>
    <t>http://www.linkedin.com/company/accomplir-conseil-et-formation</t>
  </si>
  <si>
    <t xml:space="preserve">Société de conseil, de coaching, de bilans de compétences et de formation en ressources humaines et management, créée en 2001 et spécialisée dans l'accompagnement des collaborateurs et des équipes. 
Accomplir est spécialisé dans la détection et l'accompagnement des talents.
Accomplir propose aux entreprises :
- Prestations de formation aux managers et aux équipes (Ecole des Talents)
- Conseils RH et coaching de managers et dirigeants
- Bilans de compétences Premium avec détection des talents</t>
  </si>
  <si>
    <t>http://www.linkedin.com/in/olivier-gaboury-86654013</t>
  </si>
  <si>
    <t xml:space="preserve">Olivier Pujo</t>
  </si>
  <si>
    <t>Pujo</t>
  </si>
  <si>
    <t>olivier.pujo@circularity.fr</t>
  </si>
  <si>
    <t xml:space="preserve">Associé fondateur - transformation digitale</t>
  </si>
  <si>
    <t>Circularity.fr</t>
  </si>
  <si>
    <t>circularity.fr</t>
  </si>
  <si>
    <t xml:space="preserve">transformation des entreprises,transformation digitale,ressources humaines,communication,marketing,developpement durable,systeme dinformation,demarche dinnovation,organisation des entreprises</t>
  </si>
  <si>
    <t>http://www.linkedin.com/company/circularity-fr</t>
  </si>
  <si>
    <t xml:space="preserve">Nous co-créons et mettons en œuvre avec les équipes clientes les transformations qui auront un impact positif sur leur activité et leur écosystème.</t>
  </si>
  <si>
    <t>http://www.linkedin.com/in/olivier-pujo-46242633</t>
  </si>
  <si>
    <t xml:space="preserve">Olivier Schoch</t>
  </si>
  <si>
    <t>Schoch</t>
  </si>
  <si>
    <t>olivier.s@fmsgroupe.fr</t>
  </si>
  <si>
    <t xml:space="preserve">Dirigeant entreprise</t>
  </si>
  <si>
    <t xml:space="preserve">FMS Fermetures Menuiseries Schoch</t>
  </si>
  <si>
    <t>fmsgroupe.fr</t>
  </si>
  <si>
    <t xml:space="preserve">portes de garage,portes d39entree pvc bois alu mixtes,fenetres pvc bois alu mixtes,portails,volets,portes dentree pvc bois alu mixtes</t>
  </si>
  <si>
    <t>http://www.linkedin.com/company/fms-distribution</t>
  </si>
  <si>
    <t xml:space="preserve">Menuisier Strasbourg ✅ Spécialiste de la menuiserie sur-mesure depuis 1994 ➡️ fabrication, installation et agencement. Devis gratuit</t>
  </si>
  <si>
    <t>http://www.linkedin.com/in/olivier-schoch-45223b81</t>
  </si>
  <si>
    <t xml:space="preserve">Olivier Kinder</t>
  </si>
  <si>
    <t>Kinder</t>
  </si>
  <si>
    <t>olivier@boulle.fr</t>
  </si>
  <si>
    <t xml:space="preserve">Directeur Général BOULLE Promotion</t>
  </si>
  <si>
    <t xml:space="preserve">Groupe Boulle</t>
  </si>
  <si>
    <t>boulle.fr</t>
  </si>
  <si>
    <t xml:space="preserve">real estate investment,energies renouvelables,immobilier residentiel,logements connectes,ecoingenierie,ville durable,promoteur immobiler,coconception,smart home,constructeur immobilier</t>
  </si>
  <si>
    <t>Rosheim</t>
  </si>
  <si>
    <t>http://www.linkedin.com/company/boulle-construction</t>
  </si>
  <si>
    <t>https://www.facebook.com/groupeboulle/</t>
  </si>
  <si>
    <t xml:space="preserve">Boulle-Construction, promoteur-constructeur immobilier en Alsace depuis 2004. Le respect de l'environnement au service de votre bien-être quotidien.</t>
  </si>
  <si>
    <t>http://www.linkedin.com/in/olivier-kinder-a8b69612b</t>
  </si>
  <si>
    <t xml:space="preserve">Olivier Mis</t>
  </si>
  <si>
    <t>Mis</t>
  </si>
  <si>
    <t>olivier@dc2scale.fr</t>
  </si>
  <si>
    <t>DC2SCALE</t>
  </si>
  <si>
    <t>dc2scale.fr</t>
  </si>
  <si>
    <t>Plougastel-Daoulas</t>
  </si>
  <si>
    <t xml:space="preserve">webhosting,colocation,serveurs,datacenter,services informatiques</t>
  </si>
  <si>
    <t>http://www.linkedin.com/company/dc2scale</t>
  </si>
  <si>
    <t xml:space="preserve">Dc2scale est un one-stop-shop d'espace en datacenters, et ce partout en France. Nous avons vocation à exploiter nos propres datacenters afin d'accompagner le développement de nos clients en mettant la flexibilité au coeur de notre offre de services.</t>
  </si>
  <si>
    <t>http://www.linkedin.com/in/olivier-mis-7b88b968</t>
  </si>
  <si>
    <t xml:space="preserve">Omar Berrada</t>
  </si>
  <si>
    <t>Omar</t>
  </si>
  <si>
    <t>Berrada</t>
  </si>
  <si>
    <t>omar.berrada@wizya.fr</t>
  </si>
  <si>
    <t>Wizya</t>
  </si>
  <si>
    <t>wizya.fr</t>
  </si>
  <si>
    <t xml:space="preserve">governance,risk,compliance solutions,enterprise risk management,advisory,sap security,authorizations,business process modeling,automated controls,risk matrix advisory sods,security audit,control frameworks,sap grc,avm project management,sap user life cycle management</t>
  </si>
  <si>
    <t>http://www.linkedin.com/company/wizya-consulting</t>
  </si>
  <si>
    <t xml:space="preserve">Wizya Consulting incorporates a team of experienced SAP Security and Governance, Risk, and Compliance (GRC) professionals, with strong technical skills and knowledge of business processes across many industry sectors.
Wizya helps clients to get their internal security processes in order and ready for SoX review.
While being compliant is a bare minimum, at Wizya we go beyond compliant, a 360 solution tailor made for application security program stronger within the organization context.
W i Z Y A Make compliance effective.</t>
  </si>
  <si>
    <t>http://www.linkedin.com/in/omar-berrada-r-06559614</t>
  </si>
  <si>
    <t xml:space="preserve">Olivier Marty</t>
  </si>
  <si>
    <t>Marty</t>
  </si>
  <si>
    <t>omarty@sequence-info.fr</t>
  </si>
  <si>
    <t xml:space="preserve">SEQUENCE INFORMATIQUE</t>
  </si>
  <si>
    <t>sequence-info.fr</t>
  </si>
  <si>
    <t xml:space="preserve">solutions informatiques,reseaux,infrastructure,securite,securite informatique,infogerance,bureautique,hebergement,services,pra,pca,systemes dinformation,architectures reseaux,photocopieurs,audit,maintenance,infrastructures informatiques,formation,cloud,securite des donnees,conseil,deploiement,sav,telephonie sur ip,cabling,papeterie,installation de parc,numerique</t>
  </si>
  <si>
    <t>http://www.linkedin.com/company/sequence-informatique</t>
  </si>
  <si>
    <t xml:space="preserve">Séquence Informatique, intégrateurs, distributeurs et experts IT au cœur de l’innovation et de la transformation digitale des entreprises.</t>
  </si>
  <si>
    <t>http://www.linkedin.com/in/olivier-marty-0703744b</t>
  </si>
  <si>
    <t xml:space="preserve">Oriane Bischwiller</t>
  </si>
  <si>
    <t>Oriane</t>
  </si>
  <si>
    <t>Bischwiller</t>
  </si>
  <si>
    <t>oriane@reboot-conseil.com</t>
  </si>
  <si>
    <t xml:space="preserve">Cofondatrice et Directrice Commerciale</t>
  </si>
  <si>
    <t xml:space="preserve">Reboot Conseil</t>
  </si>
  <si>
    <t>reboot-conseil.com</t>
  </si>
  <si>
    <t>conseil,it,ingenierie,cloud,microsoft,azure,vuejs,react,angular,node,methode,agile</t>
  </si>
  <si>
    <t>http://www.linkedin.com/company/reboot-conseil</t>
  </si>
  <si>
    <t xml:space="preserve">Néo-cabinet de conseil visionnaire spécialisé en méthodologie et en IT.</t>
  </si>
  <si>
    <t>http://www.linkedin.com/in/oriane-bischwiller-118a70108</t>
  </si>
  <si>
    <t xml:space="preserve">Orlane Jauregui</t>
  </si>
  <si>
    <t>Orlane</t>
  </si>
  <si>
    <t>Jauregui</t>
  </si>
  <si>
    <t>orlane.jauregui@eureka-attractivite.fr</t>
  </si>
  <si>
    <t xml:space="preserve">Directrice générale d'Eurêka - Agence d'Attractivité de l'Eure en Normandie</t>
  </si>
  <si>
    <t xml:space="preserve">Eurêka Agence d’Attractivité de l’Eure en Normandie</t>
  </si>
  <si>
    <t>eureka-attractivite.fr</t>
  </si>
  <si>
    <t>http://www.linkedin.com/company/eureka-attractivite</t>
  </si>
  <si>
    <t>https://twitter.com/EurekaNormandie</t>
  </si>
  <si>
    <t>https://www.facebook.com/eureka.attractivite/</t>
  </si>
  <si>
    <t xml:space="preserve">À 1h de Paris, l'Eure en Normandie vous promet une infinité d'expériences. Prenez le temps de découvrir et de goûter aux plaisirs simples.</t>
  </si>
  <si>
    <t>http://www.linkedin.com/in/orlane-jauregui-a1a54b7a</t>
  </si>
  <si>
    <t xml:space="preserve">Othmane Hamzaoui</t>
  </si>
  <si>
    <t>Othmane</t>
  </si>
  <si>
    <t>Hamzaoui</t>
  </si>
  <si>
    <t>othmane@steerlab.ai</t>
  </si>
  <si>
    <t>Steerlab</t>
  </si>
  <si>
    <t>steerlab.ai</t>
  </si>
  <si>
    <t>http://www.linkedin.com/company/steerlab</t>
  </si>
  <si>
    <t xml:space="preserve">Steerlab is an AI-first solution that automates your responses to RFPs and Security Questionnaires, elevates quality, and delivers insights on how to win.</t>
  </si>
  <si>
    <t>http://www.linkedin.com/in/hamzaouiothmane</t>
  </si>
  <si>
    <t xml:space="preserve">Olivier Tomine</t>
  </si>
  <si>
    <t>Tomine</t>
  </si>
  <si>
    <t>otomine@scob-maisonsbois.com</t>
  </si>
  <si>
    <t>SCOB</t>
  </si>
  <si>
    <t>scob-maisonsbois.com</t>
  </si>
  <si>
    <t xml:space="preserve">charpente,ossature bois,maison ossature bois,mob</t>
  </si>
  <si>
    <t>Breal-sous-Montfort</t>
  </si>
  <si>
    <t>http://www.linkedin.com/company/scob-maisonsbois</t>
  </si>
  <si>
    <t xml:space="preserve">La SCOB est une société de construction de maisons et projets professionnels en ossature bois près de Rennes en Ille-et-Vilaine. 1200 projets depuis 1984.</t>
  </si>
  <si>
    <t>http://www.linkedin.com/in/olivier-tomine-38857993</t>
  </si>
  <si>
    <t xml:space="preserve">Philippe Gorse</t>
  </si>
  <si>
    <t>Gorse</t>
  </si>
  <si>
    <t>p.gorse@novapage.fr</t>
  </si>
  <si>
    <t>NOVAPAGE</t>
  </si>
  <si>
    <t>novapage.fr</t>
  </si>
  <si>
    <t xml:space="preserve">amenagement de bureau,securite informatique,gestion electronique de documents ged,systeme dimpression</t>
  </si>
  <si>
    <t>http://www.linkedin.com/company/novapage</t>
  </si>
  <si>
    <t xml:space="preserve">Acheter ou louer votre photocopieur / imprimante à Montauban ou Toulouse. Leader dans les solutions d'impression, Novapage s’occupe de vous !</t>
  </si>
  <si>
    <t>http://www.linkedin.com/in/philippe-gorse-2b8a0120</t>
  </si>
  <si>
    <t xml:space="preserve">Pascal Guasp</t>
  </si>
  <si>
    <t>Guasp</t>
  </si>
  <si>
    <t>p.guasp@micreau.fr</t>
  </si>
  <si>
    <t>MICR'EAU</t>
  </si>
  <si>
    <t>micreau.fr</t>
  </si>
  <si>
    <t xml:space="preserve">drinking water,aguas industriales,biogaz,eaux usees,aguas servidas,biogas,agua potable,arsenic,eau potable,waste water</t>
  </si>
  <si>
    <t>http://www.linkedin.com/company/micr'eau</t>
  </si>
  <si>
    <t xml:space="preserve">Groupe Micr'Eau, société d'ingénierie de traitement de l'eau potable, biogaz, maintenance fournit des médias filtrants pour l'arsenic, présente en Europe et Chili</t>
  </si>
  <si>
    <t>http://www.linkedin.com/in/pascal-guasp-63062610a</t>
  </si>
  <si>
    <t xml:space="preserve">Pascal Toggenburger</t>
  </si>
  <si>
    <t>Toggenburger</t>
  </si>
  <si>
    <t>p.toggenburger@ffie.fr</t>
  </si>
  <si>
    <t xml:space="preserve">Président de la Fédération Française des Intégrateurs Electriciens</t>
  </si>
  <si>
    <t>FFIE</t>
  </si>
  <si>
    <t>ffie.fr</t>
  </si>
  <si>
    <t xml:space="preserve">conseil,electricite,services,expertise,federation dentreprises,information,federation d39entreprises</t>
  </si>
  <si>
    <t>http://www.linkedin.com/company/ffieffie</t>
  </si>
  <si>
    <t xml:space="preserve">Nous regroupons 8.500 entreprises d'intégration électrique réparties sur tout le territoire. Ces entreprises 150.000 salariés, 50 % des effectifs du secteur et 50 % du chiffre d'affaires de l'installation électrique en France.
Nous nous appuyons sur le réseau de la Fédération Française du Bâtiment dont la FFIE est membre.</t>
  </si>
  <si>
    <t>http://www.linkedin.com/in/pascal-toggenburger-50655754</t>
  </si>
  <si>
    <t xml:space="preserve">Bruno Panhard</t>
  </si>
  <si>
    <t>Panhard</t>
  </si>
  <si>
    <t>panhard@adaliance.com</t>
  </si>
  <si>
    <t xml:space="preserve">Associé Fondateur - Réussir vos transformations par l'humain et le digital</t>
  </si>
  <si>
    <t>Adaliance</t>
  </si>
  <si>
    <t>adaliance.com</t>
  </si>
  <si>
    <t xml:space="preserve">transformation digitale,management,conduite du changement,salesforce,rgpd,cyber securite,leadership,strategie,accompagnement,conseil,formation,developpements,microsoft 365,gestion du temps et des priorites,coaching individuel et collectif,gestion de la relation client,qualite de vie au travail,risques psycho sociaux,efficacite professionnelle,prise de parole en public,ressources humaines,gsuite,management hybride,management a distance,management transversal,management situationnel</t>
  </si>
  <si>
    <t>http://www.linkedin.com/company/adaliance</t>
  </si>
  <si>
    <t>https://twitter.com/Adaliance</t>
  </si>
  <si>
    <t xml:space="preserve">Adaliance : cabinet-conseil et formation multiexpertises spécialisé dans la transformation digitale, le management et le développement. Des consultants en présentiel, distanciel ou blended</t>
  </si>
  <si>
    <t>http://www.linkedin.com/in/brunopanhard</t>
  </si>
  <si>
    <t xml:space="preserve">Pascal Panek</t>
  </si>
  <si>
    <t>Panek</t>
  </si>
  <si>
    <t>pascal.panek@exens-ing.com</t>
  </si>
  <si>
    <t xml:space="preserve">Exens Ingénierie</t>
  </si>
  <si>
    <t>exens-ing.com</t>
  </si>
  <si>
    <t>it,lifesciences,industrie,energie</t>
  </si>
  <si>
    <t>http://www.linkedin.com/company/exens-ing-nierie</t>
  </si>
  <si>
    <t xml:space="preserve">Exens Ingénierie,
société de conseil en Ingénierie et digital, accompagne les Entreprises dans la réalisation de leurs projets de création ou de développement industriel et tertiaire.
Nous mettons à disposition des clients nos compétences et notre personnalité, via l'intervention de nos Consultants Ingénieurs, tout en nous engageant sur un haut niveau de qualité de service.
Nous avons l'absolue conviction que la construction de notre futur demandera plus d'expertise, d'exigence et de sens.
Pour répondre à ces enjeux :
Exens Ingénierie s'engage à faire progresser ses collaborateurs en offrant l'opportunité de s'investir dans un projet d'entreprise et de participer à la réalisation de challenges exigeants.
Exens Ingénierie promet de contribuer aux profits de causes et de projets impactant de façon durable notre collectivité.</t>
  </si>
  <si>
    <t>http://www.linkedin.com/in/pascal-panek-81157121</t>
  </si>
  <si>
    <t xml:space="preserve">Pascale Perez</t>
  </si>
  <si>
    <t>Pascale</t>
  </si>
  <si>
    <t>pascale.perez@aucae.com</t>
  </si>
  <si>
    <t>AUCAE</t>
  </si>
  <si>
    <t>aucae.com</t>
  </si>
  <si>
    <t>http://www.linkedin.com/company/aucae-sas</t>
  </si>
  <si>
    <t>https://twitter.com/AUCAE1</t>
  </si>
  <si>
    <t xml:space="preserve">AUCAE is a software editor of a simple, intuitive and resilient SaaS solution for sovereign cyber crisis management. AUCAE's customers include public institutions and businesses in France and Europe</t>
  </si>
  <si>
    <t>http://www.linkedin.com/in/pascaleperez</t>
  </si>
  <si>
    <t xml:space="preserve">Patrice Lecomte</t>
  </si>
  <si>
    <t>patrice.lecomte@horizons-group.com</t>
  </si>
  <si>
    <t>HORIZONS-GROUP</t>
  </si>
  <si>
    <t>horizons-group.com</t>
  </si>
  <si>
    <t xml:space="preserve">finance,medico social,informatique,developpement informatique,api,reprises de donnees,cegid,gestion documentaire,sirh,kpi,dematerialisation,dsi partagee,xrp flex,report one,market place,xrp sprint,ecommerce,erp,dir ips,digital,dsi,cloud,esms</t>
  </si>
  <si>
    <t>Bourgoin-Jallieu</t>
  </si>
  <si>
    <t>http://www.linkedin.com/company/horizons-group-it</t>
  </si>
  <si>
    <t>https://twitter.com/HORIZONSGROUP_</t>
  </si>
  <si>
    <t xml:space="preserve">Horizons vous accompagne dans la transformation et l’évolution de votre système d’informations de gestion</t>
  </si>
  <si>
    <t>http://www.linkedin.com/in/patrice-lecomte-9a58b2ba</t>
  </si>
  <si>
    <t xml:space="preserve">Patricia Vareilles</t>
  </si>
  <si>
    <t>Patricia</t>
  </si>
  <si>
    <t>Vareilles</t>
  </si>
  <si>
    <t>patricia.vareilles@tco.fr</t>
  </si>
  <si>
    <t xml:space="preserve">Dirigeante Consultante</t>
  </si>
  <si>
    <t>TCO</t>
  </si>
  <si>
    <t>tco.fr</t>
  </si>
  <si>
    <t xml:space="preserve">formation digital,installation de process commercial,formation immobilier,formation management,formation techniques de vente,parcours de formation concepteur vendeur cuisine et salle de bain,audit,conseil</t>
  </si>
  <si>
    <t>http://www.linkedin.com/company/tco-organisation</t>
  </si>
  <si>
    <t>https://www.facebook.com/tco.organisation/</t>
  </si>
  <si>
    <t xml:space="preserve">Grâce à sa mission de conseil, ses formations et ses web services, TCO vous aide à développer votre chiffre d'affaires et à dynamiser votre efficacité commerciale.</t>
  </si>
  <si>
    <t>http://www.linkedin.com/in/patricia-vareilles-820a6510</t>
  </si>
  <si>
    <t xml:space="preserve">Patrick Constant</t>
  </si>
  <si>
    <t>Constant</t>
  </si>
  <si>
    <t>patrick.constant@pertimm.com</t>
  </si>
  <si>
    <t xml:space="preserve">Co-founder  Owner</t>
  </si>
  <si>
    <t>Pertimm</t>
  </si>
  <si>
    <t>pertimm.com</t>
  </si>
  <si>
    <t xml:space="preserve">semantic search,searchandizing,faceted search,navigation,recommendation,ecommerce,ebusiness,conversion rate,search based commerce</t>
  </si>
  <si>
    <t>http://www.linkedin.com/company/pertimm</t>
  </si>
  <si>
    <t>https://twitter.com/pertimm</t>
  </si>
  <si>
    <t xml:space="preserve">Learn more about how Pertimm leverages years of expertise to drive  digital transformation, artificial intelligence, and data management.</t>
  </si>
  <si>
    <t>http://www.linkedin.com/in/patrick-constant-588664</t>
  </si>
  <si>
    <t xml:space="preserve">Patrick Delahay</t>
  </si>
  <si>
    <t>Delahay</t>
  </si>
  <si>
    <t>patrick.delahay@robbemd.fr</t>
  </si>
  <si>
    <t xml:space="preserve">ROBBE Menuiserie Domotique</t>
  </si>
  <si>
    <t>robbemd.fr</t>
  </si>
  <si>
    <t>Bellaing</t>
  </si>
  <si>
    <t>batiment,renovation,domotique,menuiserie</t>
  </si>
  <si>
    <t>Lievin</t>
  </si>
  <si>
    <t>http://www.linkedin.com/company/robbe-menuiserie-et-domotique</t>
  </si>
  <si>
    <t xml:space="preserve">Chez ROBBE Liévin / Noyelles-Godault / Arras, nous nous sommes fixé comme mission de vous rendre la vie plus facile et plus agréable. Découvrez notre large gamme de produits.</t>
  </si>
  <si>
    <t>http://www.linkedin.com/in/patrick-delahay-351699108</t>
  </si>
  <si>
    <t xml:space="preserve">Patrick Garcon</t>
  </si>
  <si>
    <t>Garcon</t>
  </si>
  <si>
    <t>patrick.garcon@afcb.fr</t>
  </si>
  <si>
    <t>AFCB</t>
  </si>
  <si>
    <t>afcb.fr</t>
  </si>
  <si>
    <t xml:space="preserve">mobilier de bureaux,amenagement professionel tce,amenagement de bureaux,decoration dinterieur,decoration d39interieur,agencement sur mesure,flex office,travaux,open space,amenagement responsable</t>
  </si>
  <si>
    <t>http://www.linkedin.com/company/afcb</t>
  </si>
  <si>
    <t>https://twitter.com/AFCBAMENAGEMENT</t>
  </si>
  <si>
    <t>https://www.facebook.com/AMENAGEMENTFCB/</t>
  </si>
  <si>
    <t xml:space="preserve">AFCB, spécialiste en aménagement de bureaux sur Paris et en Ile de France, conçoit et réalise tous vos travaux d'agencement.</t>
  </si>
  <si>
    <t>http://www.linkedin.com/in/patrick-gar%c3%a7on-93a1aa9a</t>
  </si>
  <si>
    <t xml:space="preserve">Patrick Grataloup</t>
  </si>
  <si>
    <t>Grataloup</t>
  </si>
  <si>
    <t>patrick.grataloup@mcm-mobilier.com</t>
  </si>
  <si>
    <t>MCM</t>
  </si>
  <si>
    <t>mcm-mobilier.com</t>
  </si>
  <si>
    <t xml:space="preserve">La Verpilliere</t>
  </si>
  <si>
    <t>http://www.linkedin.com/company/mcm-manufacture-confection-de-mobilier</t>
  </si>
  <si>
    <t xml:space="preserve">Spécialisée dans la confection de mobilier sur mesure, MCM prend en charge la fabrication de meubles pour les professionnels. Livraison partout en France.</t>
  </si>
  <si>
    <t>http://www.linkedin.com/in/patrick-grataloup-229b1151</t>
  </si>
  <si>
    <t xml:space="preserve">Patrick Thinet</t>
  </si>
  <si>
    <t>Thinet</t>
  </si>
  <si>
    <t>patrick.thinet@galaed.com</t>
  </si>
  <si>
    <t xml:space="preserve">Directeur Général / Managing Director Galaed Group</t>
  </si>
  <si>
    <t>Galaed</t>
  </si>
  <si>
    <t>galaed.com</t>
  </si>
  <si>
    <t>http://www.linkedin.com/company/galaed</t>
  </si>
  <si>
    <t xml:space="preserve">Créé en 2020, Galaed est devenu un acteur majeur de l'éclairage grâce à sa présence dans plusieurs pays européens (France, Royaume-Uni, Allemagne, Belgique et Autriche). Le groupe détient des entreprises reconnues (Miidex Lighting, Electra, Hoplights, Europole, Aurora Lighting, Seren Energy, Mawa, PROLED &amp; Uni-Bright) et commercialise des solutions d'éclairage innovantes et efficientes au service de ses clients sur l'ensemble des segments du marché B2B (résidentiel, tertiaire, industriel, retail et extérieur). Fort de plusieurs bureaux d'études, d'ateliers d'assemblage d'un laboratoire de contrôle et d'un savoir-faire logistique unique, le groupe est capable de répondre à l'ensemble des besoins de projets d'éclairage au service de l'efficience énergétique des bâtiments. Le groupe réalise aujourd'hui un chiffre d'affaires de 140m€ grâce à ses 300 collaborateurs.</t>
  </si>
  <si>
    <t>http://www.linkedin.com/in/patrick-thinet-6a99a510</t>
  </si>
  <si>
    <t xml:space="preserve">Paul Bellon</t>
  </si>
  <si>
    <t>paul.bellon@begt.fr</t>
  </si>
  <si>
    <t>BEGT</t>
  </si>
  <si>
    <t>begt.fr</t>
  </si>
  <si>
    <t xml:space="preserve">bureau d39etudes structures,beton arme &amp; bureau detudes structures,beton arme,bureau detudes structures</t>
  </si>
  <si>
    <t>http://www.linkedin.com/company/begt</t>
  </si>
  <si>
    <t xml:space="preserve">BEGT est un bureau d'études spécialisé dans le domaine du béton armé, doté d'une expertise de plus de 32 ans dans la réalisation de plans et d'études techniques. Depuis sa création en 1984, BEGT, présent sur le site de Laon, plus récemment BEGT Nord à Lille et son équipe de plus de 30 collaborateurs, mettent leur savoir-faire au service de leurs clients, répondant à toutes leurs interrogations et apportant un accompagnement personnalisé à leurs projets les plus variés.</t>
  </si>
  <si>
    <t>http://www.linkedin.com/in/paul-bellon-35b490133</t>
  </si>
  <si>
    <t xml:space="preserve">Paul Bourdarios</t>
  </si>
  <si>
    <t>Bourdarios</t>
  </si>
  <si>
    <t>paul.bourdarios@sereem.com</t>
  </si>
  <si>
    <t>SEREEM</t>
  </si>
  <si>
    <t>sereem.com</t>
  </si>
  <si>
    <t>http://www.linkedin.com/company/societe-d'etudes-et-de-realisations-d'ensembles-electro-mecaniques---s.e.r.e.e.m.</t>
  </si>
  <si>
    <t xml:space="preserve">SEREEM - SOCIETE D'ETUDES ET DE REALISATIONS D'ENSEMBLES ELECTRO-MECANIQUES - Tableautier Electrique - Études - Schémas électriques - 24 Route Fulgence Bienvenue, Gennevilliers.</t>
  </si>
  <si>
    <t>http://www.linkedin.com/in/paul-bourdarios-a6461024</t>
  </si>
  <si>
    <t xml:space="preserve">Paul Schwebius</t>
  </si>
  <si>
    <t>Schwebius</t>
  </si>
  <si>
    <t>paul@lapala.io</t>
  </si>
  <si>
    <t>lapala</t>
  </si>
  <si>
    <t>lapala.io</t>
  </si>
  <si>
    <t xml:space="preserve">nocode,bpm,transformation numerique,lowcode,digital workplace,ipaas,automatisation,processus metiers</t>
  </si>
  <si>
    <t>http://www.linkedin.com/company/lapala</t>
  </si>
  <si>
    <t>https://twitter.com/lapala_io</t>
  </si>
  <si>
    <t xml:space="preserve">Lapala est une plateforme d'automatisation Intuitive, facile à mettre en place pour un ROI rapide. Concepteur de workflow no-code, intégration, interfaces personnalisées</t>
  </si>
  <si>
    <t>http://www.linkedin.com/in/paul-schwebius</t>
  </si>
  <si>
    <t xml:space="preserve">Paul Guillemin</t>
  </si>
  <si>
    <t>Guillemin</t>
  </si>
  <si>
    <t>paul@voltasoftware.com</t>
  </si>
  <si>
    <t xml:space="preserve">Co-Founder  Chairman &amp; Co-CEO</t>
  </si>
  <si>
    <t xml:space="preserve">Volta Software</t>
  </si>
  <si>
    <t>voltasoftware.com</t>
  </si>
  <si>
    <t xml:space="preserve">sales growth,wholesale,b2b commerce,artificial intelligence,wholesale distribution,productivity</t>
  </si>
  <si>
    <t>Lombardy</t>
  </si>
  <si>
    <t>http://www.linkedin.com/company/volta-software</t>
  </si>
  <si>
    <t xml:space="preserve">Our mission is to empower brands, wholesalers, and distributors with the tools and support to thrive in today's digital economy.</t>
  </si>
  <si>
    <t>http://www.linkedin.com/in/paul-guillemin-194a1557</t>
  </si>
  <si>
    <t xml:space="preserve">Pauline Hubert</t>
  </si>
  <si>
    <t>paulinehubert@delaval.fr</t>
  </si>
  <si>
    <t>DELAVAL</t>
  </si>
  <si>
    <t>delaval.fr</t>
  </si>
  <si>
    <t>Houilles</t>
  </si>
  <si>
    <t xml:space="preserve">parquet,sols souple,pvc,moquette,amenagement,tce,papier peint,decoration,peinture,architecture d39interieur,renovation sols,carrelage,architecture dinterieur</t>
  </si>
  <si>
    <t>http://www.linkedin.com/company/delavalgroupe</t>
  </si>
  <si>
    <t xml:space="preserve">Forte de sa réputation depuis 50 ans, Delaval souhaite renforcer ses équipes afin de développer ses activités.
Reconnue pour la qualité de ses ouvrages, Delaval intervient sur tous types de projets essentiellement dans le domaine tertiaire, tant en neuf qu'en rénovation. Partenaire privilégié de grands groupes du BTP (Bouygues, SPIE, Eiffage, Vinci…) Delaval est également adjudicataire de marchés d'entretiens prestigieux (Sénat, Ministère de l'économie, Banque de France…). Nous avons des opérations en contractant général, où nous gérons tous les lots de second œuvre. Aussi, nous sommes spécialisés et reconnus dans le revêtement souple (moquette / PVC), dans le revêtement de sols durs (carrelage / faïence) et dans la peinture de qualité.</t>
  </si>
  <si>
    <t>http://www.linkedin.com/in/pauline-hubert-4b4979129</t>
  </si>
  <si>
    <t xml:space="preserve">Philippe Aymonod</t>
  </si>
  <si>
    <t>Aymonod</t>
  </si>
  <si>
    <t>paymonod@weodeo.com</t>
  </si>
  <si>
    <t>WEODEO</t>
  </si>
  <si>
    <t>weodeo.com</t>
  </si>
  <si>
    <t xml:space="preserve">domotique,formation en informatique,maintenance informatique,telephonie sur ip,communication unifiee,materiel informatique,conseil en informatique,securite reseau,infogerance</t>
  </si>
  <si>
    <t>http://www.linkedin.com/company/weodeo</t>
  </si>
  <si>
    <t xml:space="preserve">Partenaire Infogérance &amp; maintenance informatique à Paris et en Île-de-France, nous sommes un partenaire proactif de votre transformation digitale</t>
  </si>
  <si>
    <t>http://www.linkedin.com/in/philippeaymonod</t>
  </si>
  <si>
    <t xml:space="preserve">Pierre Blequit</t>
  </si>
  <si>
    <t>Blequit</t>
  </si>
  <si>
    <t>pblequit@ambois.com</t>
  </si>
  <si>
    <t>http://www.linkedin.com/in/pierre-blequit-99bb55122</t>
  </si>
  <si>
    <t xml:space="preserve">Patrick Delbar</t>
  </si>
  <si>
    <t>Delbar</t>
  </si>
  <si>
    <t>pdelbar@partnertalent.fr</t>
  </si>
  <si>
    <t xml:space="preserve">Partner Talent</t>
  </si>
  <si>
    <t>partnertalent.fr</t>
  </si>
  <si>
    <t xml:space="preserve">logiciel gestion commerciale,logiciel de facturation en ligne,logiciel de planning,billetterie,logiciel de caisse,logiciel gestion des ventes,gestion de club sportif,gestion d39office de tourisme,boutique en ligne,gestion doffice de tourisme,vente des activites sportives et loisirs</t>
  </si>
  <si>
    <t>http://www.linkedin.com/company/partner-talent</t>
  </si>
  <si>
    <t>https://twitter.com/awoopt</t>
  </si>
  <si>
    <t xml:space="preserve">AwoO la solution 100% en ligne experte en gestion de votre offre commerciale pour les professionnels du tourisme, loisirs, sport, culture...</t>
  </si>
  <si>
    <t>http://www.linkedin.com/in/patrick-delbar-3b6a2357</t>
  </si>
  <si>
    <t xml:space="preserve">Christophe Pecourt</t>
  </si>
  <si>
    <t>Pecourt</t>
  </si>
  <si>
    <t>pecourt@oz-alu.com</t>
  </si>
  <si>
    <t xml:space="preserve">OZ ALU</t>
  </si>
  <si>
    <t>oz-alu.com</t>
  </si>
  <si>
    <t>http://www.linkedin.com/company/oz-alu</t>
  </si>
  <si>
    <t xml:space="preserve">OZ ALU, au service de la cloison amovible https://youtu.be/xDKVWjJHk4w Un service commercial efficace à votre écoute Un bureau d’étude réactif pour des devis en 72h Estimation en amont du temps de pose Une fabrication 100 % Made in France Un process industriel et délais de fabrication optimisés Identification des profils pour optimiser le temps de travail</t>
  </si>
  <si>
    <t>http://www.linkedin.com/in/christophe-p%c3%a9court-370243a2</t>
  </si>
  <si>
    <t xml:space="preserve">Laurent Petit</t>
  </si>
  <si>
    <t>petit.laurent@sammob-sbi.com</t>
  </si>
  <si>
    <t>SBI</t>
  </si>
  <si>
    <t>sammob-sbi.com</t>
  </si>
  <si>
    <t xml:space="preserve">movable walls,modular spaces,movable partitions,exclusive distributor dorma hueppe,exclusive distributor skyfold,building,construction,btp,architecture,acoustics,space planner,agenceur</t>
  </si>
  <si>
    <t>Noisiel</t>
  </si>
  <si>
    <t>http://www.linkedin.com/company/sbi-murs-mobiles-acoustique</t>
  </si>
  <si>
    <t>https://www.facebook.com/SBIMursMobiles</t>
  </si>
  <si>
    <t xml:space="preserve">Pour des espaces modulables et design</t>
  </si>
  <si>
    <t>http://www.linkedin.com/in/laurent-petit-a5b156115</t>
  </si>
  <si>
    <t xml:space="preserve">Philippe Artur</t>
  </si>
  <si>
    <t>philippe.artur@hpdia.com</t>
  </si>
  <si>
    <t xml:space="preserve">Président et Cofondateur</t>
  </si>
  <si>
    <t>http://www.linkedin.com/in/philippe-artur-0aa505209</t>
  </si>
  <si>
    <t xml:space="preserve">Philippe Dujardin</t>
  </si>
  <si>
    <t>Dujardin</t>
  </si>
  <si>
    <t>philippe.dujardin@covateam.com</t>
  </si>
  <si>
    <t>COVATEAM</t>
  </si>
  <si>
    <t>covateam.com</t>
  </si>
  <si>
    <t>Meylan</t>
  </si>
  <si>
    <t xml:space="preserve">responsable informatique a temps partage,transformation digitale des entreprises,dsi externalise,responsable informatique externalise,audits informatiques,dsi de transition,amo telecom,amo telephonie,amo projets informatiques,amo projets collaboratifs,rgpd,amo securite du si,transition vers le cloud,dpo,dpo externe,conformite rgpd,cybersecurite,amo iso27001,amo nis2,rssi externalise,amo projets erp,rssi de transition,dora</t>
  </si>
  <si>
    <t>Saint-Ismier</t>
  </si>
  <si>
    <t>http://www.linkedin.com/company/societecovateam</t>
  </si>
  <si>
    <t xml:space="preserve">Nous sommes un cabinet de conseil en informatique situé à St Ismier à proximité de Grenoble.  
Notre équipe est composée de consultants en système d'information, cybersécurité, RGPD qui accompagnent les entreprises et les collectivités dans leur transformation digitale, informatique et dans leur mise en conformité RGPD. 
Notre ADN est construit autour de valeurs fortes : la satisfaction client, l'intelligence collective, l'épanouissement et le développement local &amp; responsable.  
Depuis 2015, nous soutenons un rythme de croissance de 25% par an, qui repose sur la pertinence de nos offres et sur la qualité de nos prestations.</t>
  </si>
  <si>
    <t>http://www.linkedin.com/in/philippe-dujardin-15671b</t>
  </si>
  <si>
    <t xml:space="preserve">Philippe Haran</t>
  </si>
  <si>
    <t>Haran</t>
  </si>
  <si>
    <t>philippe.haran@tentelemed.com</t>
  </si>
  <si>
    <t xml:space="preserve">Directeur Général en charge du Business Décelopment et des Affaires Médicales</t>
  </si>
  <si>
    <t xml:space="preserve">Telemedicine Technologies</t>
  </si>
  <si>
    <t>tentelemed.com</t>
  </si>
  <si>
    <t xml:space="preserve">etude en vie reelle avec objets medicaux connectes,data management,data engineering,gdpr,hds hosting,clinical trials,ctms,epro,edc,iwrs,etmf,medical imaging,qualiopi certification,gamp5,cdisc,afcro,eucrof</t>
  </si>
  <si>
    <t>http://www.linkedin.com/company/telemedicine-technologies</t>
  </si>
  <si>
    <t>https://twitter.com/ctma_scout</t>
  </si>
  <si>
    <t>https://facebook.com/ctma-clinical-trials-mobile-application-1696522860630635</t>
  </si>
  <si>
    <t xml:space="preserve">Founded in 2000, Telemedicine Technologies is an information systems engineering company specialising in the e-health sector. The solutions developed and operated by Telemedicine Technologies contribute to the improvement of the health care system, patient care or clinical and epidemiological research, in a wide range of uses. Telemedicine Technologies' activity is at the convergence of various disciplines (software engineering, space technologies, big data and data science, medicine and clinical operations, etc.) in an international environment and a start-up spirit. Telemedicine Technologies' teams have the expertise to ensure and guarantee a perfect compliance with the regulations and directives of the Good Clinical Practices (GCP), the European Community and the FDA. Telemedicine Technologies offers its clients "all-inclusive" packages, including operational hosting, highly secure and with a high availability rate, support and service, and user support services (hotline).</t>
  </si>
  <si>
    <t>http://www.linkedin.com/in/philippeharan</t>
  </si>
  <si>
    <t xml:space="preserve">Philippe Lame</t>
  </si>
  <si>
    <t>Lame</t>
  </si>
  <si>
    <t>philippe.lame@toptechfrance.eu</t>
  </si>
  <si>
    <t xml:space="preserve">Toptech France</t>
  </si>
  <si>
    <t>toptechfrance.eu</t>
  </si>
  <si>
    <t xml:space="preserve">6 sigma,theorie des contraintes,bonnes pratiques de supervision,formations,lean</t>
  </si>
  <si>
    <t>Vetrigne</t>
  </si>
  <si>
    <t>http://www.linkedin.com/company/toptech-france</t>
  </si>
  <si>
    <t xml:space="preserve">Toptech, partenaire Lean Entreprise, générateur de performances et de gains de compétitivité par les technologies organisationnelles propose des formations et des témoignages afin d'améliorer la compétitivité des Organisations.</t>
  </si>
  <si>
    <t>http://www.linkedin.com/in/philippe-lame</t>
  </si>
  <si>
    <t xml:space="preserve">Philippe Leclercq</t>
  </si>
  <si>
    <t>philippe.leclercq@e-volve.fr</t>
  </si>
  <si>
    <t xml:space="preserve">E-VOLVE Academy</t>
  </si>
  <si>
    <t xml:space="preserve">anglais,prise de parole,agilite,ux,presentation,formation,design thinking</t>
  </si>
  <si>
    <t>http://www.linkedin.com/company/e-volve-academy</t>
  </si>
  <si>
    <t xml:space="preserve">Organisme de formation labellisé Datadock</t>
  </si>
  <si>
    <t>http://www.linkedin.com/in/philippeleclercqevolve</t>
  </si>
  <si>
    <t xml:space="preserve">Philippe Million</t>
  </si>
  <si>
    <t>Million</t>
  </si>
  <si>
    <t>philippe.million@everest-isolation.com</t>
  </si>
  <si>
    <t xml:space="preserve">EVEREST ISOLATION</t>
  </si>
  <si>
    <t>everest-isolation.fr</t>
  </si>
  <si>
    <t>Orange</t>
  </si>
  <si>
    <t xml:space="preserve">isolation des combles,isolation des planchers,isolation thermique par lexterieur,assainissement,vmc hygroreglable</t>
  </si>
  <si>
    <t>http://www.linkedin.com/company/everest-isolation</t>
  </si>
  <si>
    <t>https://www.facebook.com/everestisolation/</t>
  </si>
  <si>
    <t xml:space="preserve">Isolez votre maison avec des experts depuis 1999 ➡️ Isolation thermique extérieure intérieure, combles, sous-sols, charpentes, toitures ✅</t>
  </si>
  <si>
    <t>http://www.linkedin.com/in/philippe-million-167a059a</t>
  </si>
  <si>
    <t xml:space="preserve">Eric Piegay</t>
  </si>
  <si>
    <t>Piegay</t>
  </si>
  <si>
    <t>piegay@wattohm.fr</t>
  </si>
  <si>
    <t xml:space="preserve">WATTOHM Air Solutions</t>
  </si>
  <si>
    <t>wattohm.fr</t>
  </si>
  <si>
    <t xml:space="preserve">aspiration,filtration,extraction,conception,expertise aeraulique,formation aeraulique,transfert pneumatique de dechets</t>
  </si>
  <si>
    <t>http://www.linkedin.com/company/wattohmequipement</t>
  </si>
  <si>
    <t xml:space="preserve">Entreprise française présente dans tous les secteurs de l'industrie depuis 1986.
Les solutions techniques en ventilation professionnelle que propose WATTOHM œuvrent pour la santé des opérateurs et la protection de leur environnement.
WATTOHM est distributeur exclusif des bras de laboratoire ALSIDENT System, des bras industriels FLEXTRACTION et des unités de filtration ULT LUFTTECHNIK.</t>
  </si>
  <si>
    <t>http://www.linkedin.com/in/%c3%a9ric-piegay-871ab137</t>
  </si>
  <si>
    <t xml:space="preserve">Pierre-Antoine Roussel</t>
  </si>
  <si>
    <t>Pierre-Antoine</t>
  </si>
  <si>
    <t>pierre-antoine@amhappy.fr</t>
  </si>
  <si>
    <t xml:space="preserve">Dirigeant AMHAPPY Seine Maritime (Rouen)</t>
  </si>
  <si>
    <t>http://www.linkedin.com/in/pierre-antoinersl</t>
  </si>
  <si>
    <t xml:space="preserve">Pierre Boucher</t>
  </si>
  <si>
    <t>Boucher</t>
  </si>
  <si>
    <t>pierre.boucher@agrisight.fr</t>
  </si>
  <si>
    <t xml:space="preserve">Cofondateur dirigeant</t>
  </si>
  <si>
    <t>Agrisight</t>
  </si>
  <si>
    <t>agrisight.fr</t>
  </si>
  <si>
    <t>http://www.linkedin.com/company/agrisight</t>
  </si>
  <si>
    <t xml:space="preserve">Agrisight est une plateforme web offrant des solutions d'optimisation de la Supply Chain et de la Performance Commerciale pour les produits agricoles.
A partir de la modélisation d'un jumeau digital de votre organisation (caractéristiques des sites, des produits, des moyens de transports,…), et en prenant en compte l'ensemble des coûts (logistique, exploitation des silos,…), Agrisight permet de :
• Réaliser un plan de collecte / stockage optimisé, faisable, et mis à jour en fonction des aléas
• Affiner les prévisions de vente &amp; collecte
• Optimiser le pricing (prix d'achat et de vente)
• Réaliser un plan de distribution (tournées,...)
• Optimiser S&amp;Op
• Réduire l'effort de planification et de pilotage de l'exécution
• Optimiser la marge globale (capacité d'arbitrage à partir du coût complet et des prix de ventes)
• Disposer au sein de l'organisation d'une source de données unique, et de fonctionnalités d'analyse avancées
Après 1 an de déploiement, Agrisight c'est plus de 7 millions de tonnes gérées sur 600 sites, et des économies de 10 à 15% des coûts logistiques pendant la Moisson !</t>
  </si>
  <si>
    <t>http://www.linkedin.com/in/pierre-boucher-800050ba</t>
  </si>
  <si>
    <t xml:space="preserve">Pierre Bouchet</t>
  </si>
  <si>
    <t>pierre.bouchet@geniedeslieux.com</t>
  </si>
  <si>
    <t xml:space="preserve">Cofondateur Génie des Lieux</t>
  </si>
  <si>
    <t xml:space="preserve">Génie des Lieux by Watt</t>
  </si>
  <si>
    <t>geniedeslieux.com</t>
  </si>
  <si>
    <t xml:space="preserve">accompagnement au changement,architecture dinterieur,space planning,etudes de faisablite,ingenierie de transfert,mobilier,programmation architecturale et fonctionnelle,amenagement,ergonomie,nwow,realisation de travaux,strategie immobiliere,design despace,espaces universels,conception de lieux de travail</t>
  </si>
  <si>
    <t>http://www.linkedin.com/company/genie-des-lieux</t>
  </si>
  <si>
    <t>https://twitter.com/GeniedesLieux</t>
  </si>
  <si>
    <t xml:space="preserve">Génie des Lieux anticipe le futur du travail en portant notre regard à la fois sur la société, les hommes, leurs espaces et lieux de travail</t>
  </si>
  <si>
    <t>http://www.linkedin.com/in/pierre-bouchet-30983111</t>
  </si>
  <si>
    <t xml:space="preserve">Pierre Buisson</t>
  </si>
  <si>
    <t>Buisson</t>
  </si>
  <si>
    <t>pierre.buisson@ingenium.fr</t>
  </si>
  <si>
    <t xml:space="preserve">Président Directeur Général I-Cad</t>
  </si>
  <si>
    <t xml:space="preserve">Ingenium animalis</t>
  </si>
  <si>
    <t>ingenium.fr</t>
  </si>
  <si>
    <t>Saint-Galmier</t>
  </si>
  <si>
    <t xml:space="preserve">data,donnees,informations didentification,credentials,animaux,animals,identification,tracabilite</t>
  </si>
  <si>
    <t>http://www.linkedin.com/company/ingenium-animalis</t>
  </si>
  <si>
    <t xml:space="preserve">Ingenium animalis, expert de la donnée animale, gestionnaire du fichier I-CAD, gestion de projets en lien avec les animaux de compagnie</t>
  </si>
  <si>
    <t>http://www.linkedin.com/in/pierre-buisson-8387aa36</t>
  </si>
  <si>
    <t xml:space="preserve">Pierre Schaller</t>
  </si>
  <si>
    <t>Schaller</t>
  </si>
  <si>
    <t>pierre.schaller@circularity.fr</t>
  </si>
  <si>
    <t xml:space="preserve">Associé fondateur - transformations des entreprises</t>
  </si>
  <si>
    <t>http://www.linkedin.com/in/pierre-schaller63</t>
  </si>
  <si>
    <t xml:space="preserve">Pierre Toinon</t>
  </si>
  <si>
    <t>Toinon</t>
  </si>
  <si>
    <t>pierre.toinon@temporis.fr</t>
  </si>
  <si>
    <t>Andrezieux-Boutheon</t>
  </si>
  <si>
    <t>http://www.linkedin.com/in/pierre-toinon-946767140</t>
  </si>
  <si>
    <t xml:space="preserve">Pierre Macquere</t>
  </si>
  <si>
    <t>Macquere</t>
  </si>
  <si>
    <t>pierre@eglise.in</t>
  </si>
  <si>
    <t xml:space="preserve">Eglise et Innovation Numérique</t>
  </si>
  <si>
    <t>eglise.in</t>
  </si>
  <si>
    <t xml:space="preserve">gestion de projet,entrepreneuriat,numerique,innovation</t>
  </si>
  <si>
    <t>http://www.linkedin.com/company/eglise-et-innovation-numerique</t>
  </si>
  <si>
    <t>https://www.facebook.com/pitchmychurch/</t>
  </si>
  <si>
    <t xml:space="preserve">Eglise et Innovation Numérique organise des soirées Pitchmychurch au cours desquelles sont présentées les Startups qui font bouger l'Eglise!</t>
  </si>
  <si>
    <t>http://www.linkedin.com/in/macquere</t>
  </si>
  <si>
    <t xml:space="preserve">Pauline Levasseur</t>
  </si>
  <si>
    <t>Levasseur</t>
  </si>
  <si>
    <t>plevasseur@bypauline.fr</t>
  </si>
  <si>
    <t xml:space="preserve">Fondatrice &amp; Gérante réseau by Pauline</t>
  </si>
  <si>
    <t xml:space="preserve">by Pauline</t>
  </si>
  <si>
    <t>bypauline.fr</t>
  </si>
  <si>
    <t xml:space="preserve">tri,methode,categorisation,home staging,classement,optimisation,office organiser,desencombrement,astuces,home organiser,organisation,organisation espaces de vie,agencement,demenagement,expert,rangement,efficacite,consultant</t>
  </si>
  <si>
    <t>http://www.linkedin.com/company/by-pauline</t>
  </si>
  <si>
    <t>https://twitter.com/ByPauline_</t>
  </si>
  <si>
    <t>https://www.facebook.com/lereseaubyPauline/</t>
  </si>
  <si>
    <t xml:space="preserve">Respirez, nous allons tout ranger ! Gagnez de l’espace &amp; du temps pour retrouver efficacité, bien être . Home Organiser et Office Organiser</t>
  </si>
  <si>
    <t>http://www.linkedin.com/in/pauline-levasseur</t>
  </si>
  <si>
    <t xml:space="preserve">Philippe Moussy</t>
  </si>
  <si>
    <t>Moussy</t>
  </si>
  <si>
    <t>pmoussy@smsmanagement.fr</t>
  </si>
  <si>
    <t xml:space="preserve">SMS Management</t>
  </si>
  <si>
    <t>smsmanagement.fr</t>
  </si>
  <si>
    <t xml:space="preserve">metiers du bio nettoyage,metiers de la proprete,metiers de la 3d</t>
  </si>
  <si>
    <t>http://www.linkedin.com/company/smsmanagement</t>
  </si>
  <si>
    <t xml:space="preserve">SMS Management propose des solutions pour les entreprises de propreté qui souhaitent optimiser la gestion et le suivi de leurs données terrain.</t>
  </si>
  <si>
    <t>http://www.linkedin.com/in/philippe-moussy-6523921b</t>
  </si>
  <si>
    <t xml:space="preserve">Arnaud Poncelet</t>
  </si>
  <si>
    <t>Poncelet</t>
  </si>
  <si>
    <t>poncelet.arnaud@apsecurity.fr</t>
  </si>
  <si>
    <t>APSecurity</t>
  </si>
  <si>
    <t>apsecurity.fr</t>
  </si>
  <si>
    <t>Charleville-Mezieres</t>
  </si>
  <si>
    <t xml:space="preserve">formation securite informatique,consultant,audit securite,hygiene informatique,iso27001,formation securite informatique &amp; audit securite,cybersecurite,rgpd</t>
  </si>
  <si>
    <t>http://www.linkedin.com/company/apsecurity</t>
  </si>
  <si>
    <t xml:space="preserve">APSecurity, une entreprise spécialisée en cybersécurité implantée dans les Ardennes, propose son expertise et un accompagnement dédié pour sécuriser les données numériques de divers types de clients. L'entreprise intervient pour une clientèle local tel que les entreprises industrielles ardennaises, les sous-traitants de grandes marques de luxe, service publique, les cabinets comptables ainsi que les artisans.
Son objectif principal est d'offrir une expertise pointue et un accompagnement sur mesure à cette diversité de clients, qu'ils soient de petite ou grande taille, privés ou publics.
APSecurity se concentre sur des services tels que des audits techniques et organisationnels, un accompagnement personnalisé ainsi que des programmes de formation complets. Ces prestations sont adaptées pour répondre aux besoins spécifiques de chaque secteur d'activité, visant à maîtriser les risques liés à la digitalisation.
En tant que partenaire de confiance, APSecurity s'engage à fournir une expertise ciblée et un accompagnement sur mesure pour garantir la sécurité et la protection des données dans un environnement numérique en constante évolution, répondant ainsi aux exigences spécifiques de ses clients."</t>
  </si>
  <si>
    <t>http://www.linkedin.com/in/arnaud-poncelet-36b05145</t>
  </si>
  <si>
    <t xml:space="preserve">Pascal Philip</t>
  </si>
  <si>
    <t>pphilip@data-newroad.com</t>
  </si>
  <si>
    <t xml:space="preserve">Président Data New Road</t>
  </si>
  <si>
    <t xml:space="preserve">Data New Road</t>
  </si>
  <si>
    <t>data-newroad.com</t>
  </si>
  <si>
    <t>http://www.linkedin.com/company/data-new-road</t>
  </si>
  <si>
    <t xml:space="preserve">Nos outils valorisent vos données, influent sur la sécurité de votre réseau, apportent de l’intelligence et optimisent votre performance</t>
  </si>
  <si>
    <t>http://www.linkedin.com/in/pascal-philip-93b55ba4</t>
  </si>
  <si>
    <t xml:space="preserve">Priscilla Saunier</t>
  </si>
  <si>
    <t>Priscilla</t>
  </si>
  <si>
    <t>Saunier</t>
  </si>
  <si>
    <t>priscilla@lamaisondalfred.fr</t>
  </si>
  <si>
    <t xml:space="preserve">Directrice Générale associée</t>
  </si>
  <si>
    <t>http://www.linkedin.com/in/priscilla-saunier-6b969167</t>
  </si>
  <si>
    <t xml:space="preserve">Philippe Sandjivy</t>
  </si>
  <si>
    <t>Sandjivy</t>
  </si>
  <si>
    <t>ps@finopia.fr</t>
  </si>
  <si>
    <t>FINOPIA</t>
  </si>
  <si>
    <t>finopia.fr</t>
  </si>
  <si>
    <t>conseil,management,strategie,finance,organisation</t>
  </si>
  <si>
    <t xml:space="preserve">Saint Denis</t>
  </si>
  <si>
    <t>Reunion</t>
  </si>
  <si>
    <t>http://www.linkedin.com/company/finopiareunion</t>
  </si>
  <si>
    <t xml:space="preserve">FINOPIA 🔴offers a more relevant perspective than traditional accounting professionals, thanks to our combined expertise in Finance and Operational Efficiency. Our commitment: To be your Business Partner for growth and strategic decisions. We support you in enhancing your growth and profitability as a true business partner through our two areas of expertise: finance and operational efficiency. We alleviate the isolation of leaders and facilitate resistance to change. Our goal is to support you as a Business Partner, guiding you in making the best decisions such as cost optimization and profitability analysis, while strengthening your company's resilience.
**Our missions:**
✅ FINOPIA stands out with its deep expertise in profitability and financial risk analysis, internal control optimization, and providing practical solutions aimed at tangible return on investment.
✅ FINOPIA propels businesses toward success by generating concrete results that redefine performance limits, engaging the entire company in a transformation process through Lean Management, and involving every employee in the company's vision.
Business leaders, contact us 📲 contact@finopia.fr 📌 30 rue Jules Auber - 97400 Saint-Denis finopia.fr 
Participate directly in the company's performance with a progressive method that brings key players together around a common goal.</t>
  </si>
  <si>
    <t>http://www.linkedin.com/in/sandjivy-philippe-finopia</t>
  </si>
  <si>
    <t xml:space="preserve">Pauline Schmutz</t>
  </si>
  <si>
    <t>Schmutz</t>
  </si>
  <si>
    <t>pschmutz@autonomii.fr</t>
  </si>
  <si>
    <t xml:space="preserve">Associée  Directrice Générale du Pôle Formation. Présidente de la société GSA  holding des associés.</t>
  </si>
  <si>
    <t>Autonomii</t>
  </si>
  <si>
    <t>autonomii.fr</t>
  </si>
  <si>
    <t>Saint-Ouen</t>
  </si>
  <si>
    <t>http://www.linkedin.com/company/autonomii</t>
  </si>
  <si>
    <t xml:space="preserve">Autonomii accompagne depuis 15 ans les acteurs qui favorisent au quotidien l'inclusion et le bien-vivre des personnes âgées ou en situation de handicap.</t>
  </si>
  <si>
    <t>http://www.linkedin.com/in/pauline-schmutz-13b5b219</t>
  </si>
  <si>
    <t xml:space="preserve">Pierre Tisseau</t>
  </si>
  <si>
    <t>Tisseau</t>
  </si>
  <si>
    <t>ptisseau@lopticienquibouge.fr</t>
  </si>
  <si>
    <t xml:space="preserve">L'Opticien Qui Bouge France</t>
  </si>
  <si>
    <t>lopticienquibouge.fr</t>
  </si>
  <si>
    <t>Bergerac</t>
  </si>
  <si>
    <t>opticien,optique,commerce,domicile</t>
  </si>
  <si>
    <t>http://www.linkedin.com/company/l-opticien-qui-bouge</t>
  </si>
  <si>
    <t>https://www.facebook.com/LOpticienQuiBouge/</t>
  </si>
  <si>
    <t xml:space="preserve">Des opticiennes et opticiens disponibles partout en France pour des services comme en magasin Ã  domicile. DÃ©placement gratuit, large choix de montures, ect..</t>
  </si>
  <si>
    <t>http://www.linkedin.com/in/pierretisseau</t>
  </si>
  <si>
    <t xml:space="preserve">Quentin Lagier</t>
  </si>
  <si>
    <t>Lagier</t>
  </si>
  <si>
    <t>quentin.lagier@oblige.fr</t>
  </si>
  <si>
    <t xml:space="preserve">Co-Funder and CEO</t>
  </si>
  <si>
    <t>Oblige</t>
  </si>
  <si>
    <t>oblige.fr</t>
  </si>
  <si>
    <t xml:space="preserve">ai,contract management,gestion de contrat,contratheque,intelligence artificielle</t>
  </si>
  <si>
    <t>http://www.linkedin.com/company/oblige-ai</t>
  </si>
  <si>
    <t>https://twitter.com/Oblige_ai</t>
  </si>
  <si>
    <t xml:space="preserve">OBLIGE, logiciel pour gérer vos contrats et ne plus manquer aucune échéance. Contrathèque avec IA pour des fonctionnalités d'analyse puissantes.</t>
  </si>
  <si>
    <t>http://www.linkedin.com/in/quentinlagier</t>
  </si>
  <si>
    <t xml:space="preserve">Quentin Musson</t>
  </si>
  <si>
    <t>Musson</t>
  </si>
  <si>
    <t>quentin@ideel.io</t>
  </si>
  <si>
    <t>Ideel</t>
  </si>
  <si>
    <t>ideel.io</t>
  </si>
  <si>
    <t xml:space="preserve">simplification,cost optimization,abonnements,assurances,factures,bienetre financier</t>
  </si>
  <si>
    <t>http://www.linkedin.com/company/ideel-abo</t>
  </si>
  <si>
    <t>https://twitter.com/ideel_abo</t>
  </si>
  <si>
    <t>https://www.facebook.com/ideel.abo/</t>
  </si>
  <si>
    <t xml:space="preserve">Gérez, optimisez et résiliez l'ensemble de vos factures et abonnements (téléphone, électricité, Internet, assurances, streaming...) en 2 clics et gratuitement !</t>
  </si>
  <si>
    <t>http://www.linkedin.com/in/quentin-musson-87586483</t>
  </si>
  <si>
    <t xml:space="preserve">Romain Martin</t>
  </si>
  <si>
    <t>r.martin@digitalfactorytelecom.fr</t>
  </si>
  <si>
    <t xml:space="preserve">Digital Factory Telecom</t>
  </si>
  <si>
    <t>digitalfactorytelecom.fr</t>
  </si>
  <si>
    <t>http://www.linkedin.com/company/digital-factory-telecom</t>
  </si>
  <si>
    <t>https://twitter.com/Telecom_Dft</t>
  </si>
  <si>
    <t>https://www.facebook.com/Digital-Factory-Telecom-101986712282966</t>
  </si>
  <si>
    <t xml:space="preserve">Digital Factory Telecom est un intégrateur d’offres globales de téléphonie fixe, mobile, Internet et de services à fortes valeurs ajoutées.</t>
  </si>
  <si>
    <t>http://www.linkedin.com/in/romain-martin-309a67120</t>
  </si>
  <si>
    <t xml:space="preserve">Raphael Joubert</t>
  </si>
  <si>
    <t>raphael@22emesiecle.com</t>
  </si>
  <si>
    <t xml:space="preserve">22EME SIECLE</t>
  </si>
  <si>
    <t>22emesiecle.com</t>
  </si>
  <si>
    <t xml:space="preserve">consulting com,rse,law management,innovation developpement,3d digital design,durabilite,event management &amp; production,fundraising,2d,video,artist booking,design,communication strategy,digital,3d amp digital design,photography,law amp management</t>
  </si>
  <si>
    <t>Rosny-sous-Bois</t>
  </si>
  <si>
    <t>http://www.linkedin.com/company/22eme-siecle</t>
  </si>
  <si>
    <t xml:space="preserve">Découvrez comment l'agence conseil et communication responsable 22EME SIECLE favorise les transitions économiques, écologiques et sociales.</t>
  </si>
  <si>
    <t>http://www.linkedin.com/in/raphaelbosch</t>
  </si>
  <si>
    <t xml:space="preserve">Raphael Touati</t>
  </si>
  <si>
    <t>Touati</t>
  </si>
  <si>
    <t>raphael@baback.co</t>
  </si>
  <si>
    <t>Baback</t>
  </si>
  <si>
    <t>baback.co</t>
  </si>
  <si>
    <t>http://www.linkedin.com/company/baback</t>
  </si>
  <si>
    <t xml:space="preserve">Reverse logistics solution, perfectly white-labeled</t>
  </si>
  <si>
    <t>http://www.linkedin.com/in/r-touati</t>
  </si>
  <si>
    <t xml:space="preserve">Raphael Hassenforder</t>
  </si>
  <si>
    <t>Hassenforder</t>
  </si>
  <si>
    <t>raphael@maison-raphael.com</t>
  </si>
  <si>
    <t xml:space="preserve">Fondateur MAISON RAPHAËL</t>
  </si>
  <si>
    <t xml:space="preserve">Maison Raphaël</t>
  </si>
  <si>
    <t>maison-raphael.com</t>
  </si>
  <si>
    <t xml:space="preserve">sur mesure,artwork,artistes,art,madeinfrance,cadres,frames,design,decoration interieure</t>
  </si>
  <si>
    <t>http://www.linkedin.com/company/maisonraphael</t>
  </si>
  <si>
    <t xml:space="preserve">Maison Raphaël est une marque française experte dans les cadres. Pour les professionnels, des cadres en série, un accompagnement pour les projets de décoration murale (recherches iconographiques, prestations complètes), des cadres coins bouchés. Pour les particuliers, des cadres Made in France livrés chez vous.</t>
  </si>
  <si>
    <t>http://www.linkedin.com/in/rapha%c3%abl-hassenforder-87417812a</t>
  </si>
  <si>
    <t xml:space="preserve">Rayan Drissi</t>
  </si>
  <si>
    <t>Rayan</t>
  </si>
  <si>
    <t>Drissi</t>
  </si>
  <si>
    <t>rayan.drissi@cristal.je</t>
  </si>
  <si>
    <t>Cristal</t>
  </si>
  <si>
    <t>cristal.je</t>
  </si>
  <si>
    <t xml:space="preserve">informatique,web,reseau,telecom,develooppement,mobile,administration,securite,support formations conseil audit r,d</t>
  </si>
  <si>
    <t xml:space="preserve">Le Kremlin-Bicetre</t>
  </si>
  <si>
    <t>http://www.linkedin.com/company/association-cristal</t>
  </si>
  <si>
    <t>https://twitter.com/cristalasso</t>
  </si>
  <si>
    <t>https://www.facebook.com/assoCristal/</t>
  </si>
  <si>
    <t xml:space="preserve">Au service de nos clients depuis 1989, Cristal est l'Association-Entreprise de l'EPITA,(groupe IONIS), formée d'étudiants volontaires.</t>
  </si>
  <si>
    <t>http://www.linkedin.com/in/rayan-drissi-1b66421b3</t>
  </si>
  <si>
    <t xml:space="preserve">Djamel Reddaf</t>
  </si>
  <si>
    <t>Djamel</t>
  </si>
  <si>
    <t>Reddaf</t>
  </si>
  <si>
    <t>reddaf.djamel@fibrealpha.fr</t>
  </si>
  <si>
    <t xml:space="preserve">FIBRE ALPHA</t>
  </si>
  <si>
    <t>fibrealpha.fr</t>
  </si>
  <si>
    <t>http://www.linkedin.com/company/fibre-alpha</t>
  </si>
  <si>
    <t xml:space="preserve">FIBRE ALPHA is an electrical/electronic manufacturing company based out of 25 RUE DES BAS, ASNIERES SUR SEINE, France.</t>
  </si>
  <si>
    <t>http://www.linkedin.com/in/djamel-reddaf-435672195</t>
  </si>
  <si>
    <t xml:space="preserve">Regis Tranquille</t>
  </si>
  <si>
    <t>Regis</t>
  </si>
  <si>
    <t>Tranquille</t>
  </si>
  <si>
    <t>regis.tranquille@tec3h.fr</t>
  </si>
  <si>
    <t>tec3h</t>
  </si>
  <si>
    <t>tec3h.fr</t>
  </si>
  <si>
    <t>Miniac-Morvan</t>
  </si>
  <si>
    <t xml:space="preserve">creation de site web,gestion de stock,automobile,conseil,assistance technique,gestion parc automobile,automatisation des taches,diffusion vehicules sur les medias,approvisionnement vo,reporting,crm</t>
  </si>
  <si>
    <t xml:space="preserve">La Meziere</t>
  </si>
  <si>
    <t>http://www.linkedin.com/company/tec3h</t>
  </si>
  <si>
    <t>https://twitter.com/tec3_h</t>
  </si>
  <si>
    <t>https://www.facebook.com/tec3h/</t>
  </si>
  <si>
    <t xml:space="preserve">Seul logiciel qui réunit toutes les fonctions pour la gestion de votre parc VO &amp; VN. Un outil web simple pour booster vos ventes et gagner un temps considérable.</t>
  </si>
  <si>
    <t>http://www.linkedin.com/in/r%c3%a9gis-tranquille-b48bba119</t>
  </si>
  <si>
    <t xml:space="preserve">Remi Bastien</t>
  </si>
  <si>
    <t>remi.bastien@nextmove.fr</t>
  </si>
  <si>
    <t xml:space="preserve">Président honoraire</t>
  </si>
  <si>
    <t>NextMove</t>
  </si>
  <si>
    <t>nextmove.fr</t>
  </si>
  <si>
    <t xml:space="preserve">competitivite,financement,innovation,conseil,formation,automobile,mobilite,transports publics,mobilite urbaine,mobilite autonome,intermodalite,europe,business,industrie,industrie 40,competences,empreinte environnementale,securite des usagers de la route,solutions de mobilite,mobilite electrique,qualite</t>
  </si>
  <si>
    <t>Saint-Etienne-du-Rouvray</t>
  </si>
  <si>
    <t>http://www.linkedin.com/company/nextmovecluster</t>
  </si>
  <si>
    <t xml:space="preserve">Located in the Normandy and Ile-de-France regions, NextMove embodies, animates and promotes the "Mobility Valley", a territory of European excellence</t>
  </si>
  <si>
    <t>http://www.linkedin.com/in/r%c3%a9mi-bastien-a68b8650</t>
  </si>
  <si>
    <t xml:space="preserve">Remi Woronkiewicz</t>
  </si>
  <si>
    <t>Woronkiewicz</t>
  </si>
  <si>
    <t>remi@turnk.co</t>
  </si>
  <si>
    <t>TurnK</t>
  </si>
  <si>
    <t>turnk.co</t>
  </si>
  <si>
    <t xml:space="preserve">crm,webdesign,erp,salesforce,hubspot,pipedrive,integration,webflow,shopify,ecommerce,btob,no code,bubble,refonte,nocode,lowcode,migration,ux,ui</t>
  </si>
  <si>
    <t>http://www.linkedin.com/company/turnk</t>
  </si>
  <si>
    <t xml:space="preserve">TurnK, votre intégrateur NoCode, vous accompagne dans la conception d'outils métiers, l'intégration de CRM/ERP, la création ou la refonte de sites web, et support client.</t>
  </si>
  <si>
    <t>http://www.linkedin.com/in/remi-woronkiewicz-pro</t>
  </si>
  <si>
    <t xml:space="preserve">Renaud Chatelier</t>
  </si>
  <si>
    <t>Chatelier</t>
  </si>
  <si>
    <t>renaud.chatelier@i3konnect.com</t>
  </si>
  <si>
    <t>i3konnect</t>
  </si>
  <si>
    <t>i3konnect.com</t>
  </si>
  <si>
    <t xml:space="preserve">vente de materiel hp et multimarques,hebergement,cablage courant faible fibre optique,infogerance,prestations de services informatique,sauvegarde a distance</t>
  </si>
  <si>
    <t>http://www.linkedin.com/company/i3konnect</t>
  </si>
  <si>
    <t xml:space="preserve">Basée près de Nantes, la société i3konnect vous accompagne dans la gestion de vos services et matériels informatiques.</t>
  </si>
  <si>
    <t>http://www.linkedin.com/in/renaud-chatelier-24401276</t>
  </si>
  <si>
    <t xml:space="preserve">Richard Spitz</t>
  </si>
  <si>
    <t>Spitz</t>
  </si>
  <si>
    <t>richard.spitz@everdata.fr</t>
  </si>
  <si>
    <t xml:space="preserve">Directeur général Everdata Networks</t>
  </si>
  <si>
    <t>EVERDATA</t>
  </si>
  <si>
    <t>everdata.fr</t>
  </si>
  <si>
    <t xml:space="preserve">cloud,microsoft gold partner,vmware,yvelines,innovation,citrix,disponibilite,linkedin,infrastructure systemes et reseaux,box365,sophos,hebergement,certifications,team building,securite</t>
  </si>
  <si>
    <t>http://www.linkedin.com/company/everdata</t>
  </si>
  <si>
    <t xml:space="preserve">Intégrateur de solutions hybrides de confiance</t>
  </si>
  <si>
    <t>http://www.linkedin.com/in/cybersecurit%c3%a9</t>
  </si>
  <si>
    <t xml:space="preserve">Raphael Kattan</t>
  </si>
  <si>
    <t>Kattan</t>
  </si>
  <si>
    <t>rkattan@talenco.com</t>
  </si>
  <si>
    <t xml:space="preserve">Directeur général &amp; associé</t>
  </si>
  <si>
    <t xml:space="preserve">TalenCo Formations</t>
  </si>
  <si>
    <t>talenco.com</t>
  </si>
  <si>
    <t xml:space="preserve">medias sociaux,methodes agiles,modes de travail,strategie,okr,innovation,transformation digitale,formation,management,transformation humaines,transformation humaine,social learning,ressources humaines,intelligence artificielle,agilite</t>
  </si>
  <si>
    <t>http://www.linkedin.com/company/talenco-formations</t>
  </si>
  <si>
    <t>https://twitter.com/talenco</t>
  </si>
  <si>
    <t>https://www.facebook.com/Talenco/</t>
  </si>
  <si>
    <t xml:space="preserve">Réussissez votre transformation ! Le cabinet TalenCo accompagne les équipes en entreprise aux nouveaux modes de travail et de management agile.</t>
  </si>
  <si>
    <t>http://www.linkedin.com/in/raphaelkattan</t>
  </si>
  <si>
    <t xml:space="preserve">Regis Loutzek</t>
  </si>
  <si>
    <t>Loutzek</t>
  </si>
  <si>
    <t>rl@evogest.fr</t>
  </si>
  <si>
    <t xml:space="preserve">EVOGEST LOGEST</t>
  </si>
  <si>
    <t>evogest.fr</t>
  </si>
  <si>
    <t xml:space="preserve">implementation de logiciels</t>
  </si>
  <si>
    <t>Orgeval</t>
  </si>
  <si>
    <t>http://www.linkedin.com/company/evogest</t>
  </si>
  <si>
    <t>https://www.facebook.com/evogest.logest/</t>
  </si>
  <si>
    <t xml:space="preserve">Evogest : parce que la gestion de votre entreprise évolue.</t>
  </si>
  <si>
    <t>http://www.linkedin.com/in/r%c3%a9gis-loutzek-1b8264115</t>
  </si>
  <si>
    <t xml:space="preserve">Robin Delperier</t>
  </si>
  <si>
    <t>Delperier</t>
  </si>
  <si>
    <t>robin@placeme.io</t>
  </si>
  <si>
    <t xml:space="preserve">Consultant Frontend &amp; Fondateur</t>
  </si>
  <si>
    <t>PlaceMe</t>
  </si>
  <si>
    <t>placeme.io</t>
  </si>
  <si>
    <t xml:space="preserve">backend,cloud devops,frontend,cloud amp devops</t>
  </si>
  <si>
    <t>http://www.linkedin.com/company/placeme-sas</t>
  </si>
  <si>
    <t>https://twitter.com/PlaceMe_io</t>
  </si>
  <si>
    <t>https://www.facebook.com/placeme.io/</t>
  </si>
  <si>
    <t xml:space="preserve">PlaceMe accompagne vos projets digitaux. Son expertise Frontend, Backend, Cloud &amp; DevOps transforme une idée en un produit.</t>
  </si>
  <si>
    <t>http://www.linkedin.com/in/robincoma</t>
  </si>
  <si>
    <t xml:space="preserve">Romain Baude</t>
  </si>
  <si>
    <t>Baude</t>
  </si>
  <si>
    <t>romain.baude@aprex-solutions.com</t>
  </si>
  <si>
    <t xml:space="preserve">Président APREX solutions</t>
  </si>
  <si>
    <t xml:space="preserve">APREX solutions</t>
  </si>
  <si>
    <t>aprex-solutions.com</t>
  </si>
  <si>
    <t xml:space="preserve">vision,logiciel,software,industrie 40,analyse video,video analysis,production industrielle,industrial processes,departement r,d,r,d departement,recherche,research,machine vision,image processing,controle qualite,controle procede de fabrication,controle environnement de production,ia,vision software,solutions de vision industrielle,computer vision,intelligence artificielle,deep learning</t>
  </si>
  <si>
    <t>http://www.linkedin.com/company/aprex-solutions</t>
  </si>
  <si>
    <t xml:space="preserve">Experts en vision industrielle et en analyse d'images, nous accompagnons les industriels dans l'optimisation de leurs opérations de contrôle qualité et de contrôle des...</t>
  </si>
  <si>
    <t>http://www.linkedin.com/in/romain-baude-41bb9bab</t>
  </si>
  <si>
    <t xml:space="preserve">Romain Decoopman</t>
  </si>
  <si>
    <t>Decoopman</t>
  </si>
  <si>
    <t>romain.decoopman@mpm-ing.com</t>
  </si>
  <si>
    <t xml:space="preserve">MPM My Project Manager</t>
  </si>
  <si>
    <t>mpm-ing.com</t>
  </si>
  <si>
    <t xml:space="preserve">amo,conception generale tce,maitrise doeuvre dexecution,economie de la construction,opc,faisabilite diagnostic technique,maitrise doeuvre</t>
  </si>
  <si>
    <t>http://www.linkedin.com/company/mpm-my-project-manager</t>
  </si>
  <si>
    <t xml:space="preserve">MPM met toutes ses compétences à l'œuvre et vous accompagne dans vos projets immobiliers : commerce, restauration, logements, tertiaire et industrie.</t>
  </si>
  <si>
    <t>http://www.linkedin.com/in/romain-decoopman-892460186</t>
  </si>
  <si>
    <t xml:space="preserve">Romain Giannetti</t>
  </si>
  <si>
    <t>Giannetti</t>
  </si>
  <si>
    <t>romain.giannetti@kiviak-technologies.com</t>
  </si>
  <si>
    <t xml:space="preserve">Kiviak Technologies</t>
  </si>
  <si>
    <t>kiviak-technologies.com</t>
  </si>
  <si>
    <t>http://www.linkedin.com/company/kiviak-technologies</t>
  </si>
  <si>
    <t xml:space="preserve">Kiviak Technologies est spécialisée dans la conception et la gestion de Plate-formes Cloud. 
Notre équipe accompagne les entreprises dans leur transformation digitale, leur transition vers le cloud public, privé ou Hybride avec des prestations de conseil Stratégique, de DSI en temps partagé d'infogérance ou de développement / transformation d'application.
Nous intervenons aussi bien côté infrastructures (VMWare, VMWare Cloud, AWS, Microsoft Azure, OVH Cloud, SD-WAN Cisco Meraki) que côté développement en utilisant les technologies Cloud Native les plus récentes et en favorisant le Serverless et la containérisation (Docker / Kubernetes).</t>
  </si>
  <si>
    <t>http://www.linkedin.com/in/romain-giannetti-01b74995</t>
  </si>
  <si>
    <t xml:space="preserve">Romain Lasseur</t>
  </si>
  <si>
    <t>Lasseur</t>
  </si>
  <si>
    <t>romain.lasseur@izigroup.fr</t>
  </si>
  <si>
    <t xml:space="preserve">DIrigeant d'IZIGroup</t>
  </si>
  <si>
    <t>IZIgroup</t>
  </si>
  <si>
    <t>http://www.linkedin.com/company/izigroup20</t>
  </si>
  <si>
    <t xml:space="preserve">🔍 𝐀̀ 𝐏𝐫𝐨𝐩𝐨𝐬 𝐝𝐞 𝐍𝐨𝐮𝐬 :
Créé en 2020, IZIgroup s'est rapidement imposé comme un acteur incontournable pour une meilleure interaction de l'Homme avec le vivant, tant en France qu'à l'international.
Notre engagement se matérialise à travers 4 activités, couvrant un large éventail de services pour répondre de manière exhaustive et innovante aux défis posés à nos clients :
👉 𝐈𝐙𝐈𝐏𝐞𝐬𝐭, la référence formation Pest Control, en France, entièrement dédiée aux professionnels de l'hygiène publique et rurale. 
👉 𝐈𝐙𝐈𝐧𝐨𝐯𝐚𝐭𝐢𝐨𝐧, une entreprise spécialisée en science de la vie. Ses missions contribuent à apporter des solutions novatrices et innovantes en fournissant une expertise dans les domaines du conseil, de la recherche et du développement, des services de réglementation, des essais en laboratoire et sur le terrain.
👉 𝐈𝐙𝐈𝐆𝐫𝐞𝐞𝐧, département dédié à l'éco-responsabilité, collabore avec les industries et les collectivités pour offrir des solutions novatrices de lutte contre les nuisibles tout en favorisant la biodiversité.
👉 𝐈𝐙𝐈𝐃𝐢𝐚𝐠, déploie son expertise en audit et accompagnements à l'intention des secteurs industriels les plus sensibles, tels que l'agroalimentaire et le pharmaceutique.</t>
  </si>
  <si>
    <t>http://www.linkedin.com/in/romain-lasseur</t>
  </si>
  <si>
    <t xml:space="preserve">Romain Sommero</t>
  </si>
  <si>
    <t>Sommero</t>
  </si>
  <si>
    <t>romain.sommero@capture-solutions.fr</t>
  </si>
  <si>
    <t xml:space="preserve">CAPTURE SOLUTIONS</t>
  </si>
  <si>
    <t>capture-solutions.fr</t>
  </si>
  <si>
    <t xml:space="preserve">capture de la reealite,location,evenement,3d,capture de la realite,camera 3d,logiciels leica,maintenance calibration,demonstration produit,telemetrie,conseil,scanner laser 3d,formation,assistance technique,vente,accompagnement personnalise</t>
  </si>
  <si>
    <t>http://www.linkedin.com/company/capture-solution123</t>
  </si>
  <si>
    <t xml:space="preserve">Vente, Formation, location. Scanner Laser 3D Leica Geosystems, RTC360, BLK360, BLK2GO</t>
  </si>
  <si>
    <t>http://www.linkedin.com/in/romain-sommero-19b09756</t>
  </si>
  <si>
    <t xml:space="preserve">Romain Rafecas</t>
  </si>
  <si>
    <t>Rafecas</t>
  </si>
  <si>
    <t>romain@tremplin-numerique.org</t>
  </si>
  <si>
    <t xml:space="preserve">Tremplin Numerique</t>
  </si>
  <si>
    <t>tremplin-numerique.org</t>
  </si>
  <si>
    <t xml:space="preserve">referencement,publicite,ereputation,web marketing,seo,marketing</t>
  </si>
  <si>
    <t>Tallinn</t>
  </si>
  <si>
    <t xml:space="preserve">Harju County</t>
  </si>
  <si>
    <t>Estonia</t>
  </si>
  <si>
    <t>http://www.linkedin.com/company/tremplinumerique</t>
  </si>
  <si>
    <t xml:space="preserve">Tremplin Numérique est une agence web qui s’adapte à tous vos projets : communication digitale, création de sites web, publicités en ligne, référencement SEO, design… notre équipe réalise tous vos rêves (digitaux) les plus fous !</t>
  </si>
  <si>
    <t>http://www.linkedin.com/in/romain-rafecas-8aa805103</t>
  </si>
  <si>
    <t xml:space="preserve">Ronan Pouliquen</t>
  </si>
  <si>
    <t>Ronan</t>
  </si>
  <si>
    <t>Pouliquen</t>
  </si>
  <si>
    <t>ronan@timicmac.fr</t>
  </si>
  <si>
    <t>Timicmac</t>
  </si>
  <si>
    <t>timicmac.fr</t>
  </si>
  <si>
    <t xml:space="preserve">vide maison,seconde main,depotvente,vide grenier,friperie</t>
  </si>
  <si>
    <t>Saint-Martin-des-Champs</t>
  </si>
  <si>
    <t>http://www.linkedin.com/company/timicmac-vide-grenier-permanent-du-pays-de-morlaix</t>
  </si>
  <si>
    <t>https://www.facebook.com/timicmac</t>
  </si>
  <si>
    <t xml:space="preserve">Gagnez de l'argent en vendant vos affaires ! Un déménagement ? Un vide maison ? Ou tout simplement du rangement ? Nous sommes la solution ! Louez un stand du format de votre choix, fixez les prix, on vend pour vous ! 
Vide Grenier Permanent | Timicmac - dépot-vente 2.0 | Morlaix | Brest | Lorient | Péronne (Amiens) | Narbonne | Vannes.</t>
  </si>
  <si>
    <t>http://www.linkedin.com/in/ronan-pouliquen-75910951</t>
  </si>
  <si>
    <t xml:space="preserve">Harvey Rowson</t>
  </si>
  <si>
    <t>Harvey</t>
  </si>
  <si>
    <t>Rowson</t>
  </si>
  <si>
    <t>rowson@deltacad.fr</t>
  </si>
  <si>
    <t xml:space="preserve">Directeur de Projets Informatiques &amp; PDG</t>
  </si>
  <si>
    <t>DeltaCAD</t>
  </si>
  <si>
    <t>deltacad.fr</t>
  </si>
  <si>
    <t xml:space="preserve">plm,cae,pdm,cad,vr tools,cad cae plm pdm vr tools</t>
  </si>
  <si>
    <t>Lacroix-Saint-Ouen</t>
  </si>
  <si>
    <t>http://www.linkedin.com/company/deltacad</t>
  </si>
  <si>
    <t xml:space="preserve">Deltacad vous accompagne à travers ses services et produits pour tous vos besoins d'ingénierie logicielle.</t>
  </si>
  <si>
    <t>http://www.linkedin.com/in/harvey-rowson</t>
  </si>
  <si>
    <t xml:space="preserve">Raphael Robil</t>
  </si>
  <si>
    <t>Robil</t>
  </si>
  <si>
    <t>rrobil@lemon-interactive.fr</t>
  </si>
  <si>
    <t xml:space="preserve">Agence Web Lemon Interactive</t>
  </si>
  <si>
    <t>lemon-interactive.fr</t>
  </si>
  <si>
    <t xml:space="preserve">referencement naturel,ergonomie et webdesign,accompagnement ebusiness,referencement payant,ux design web et mobile,creation de site,strategie digitale</t>
  </si>
  <si>
    <t>http://www.linkedin.com/company/lemon-interactive-lille-paris</t>
  </si>
  <si>
    <t>https://twitter.com/agencelemon</t>
  </si>
  <si>
    <t>https://facebook.com/agence.lemon.interactive</t>
  </si>
  <si>
    <t xml:space="preserve">Secteur : Agence Web Marketing - Création de Site Internet
Le concept Lemon Interactive ? Réunir les compétences d'une grande agence web et la proximité d'une structure courte… Structure à taille humaine (20 personnes), créative et réactive, Lemon Interactive est agence 100% e-business, concentrée sur l'accompagnement des créateurs e-commerce, PME et business unit de grands comptes sur leurs enjeux web.
Ils nous font confiance :
    - Business Units au sein de Grand Comptes : (Clients : Décathlon, SwissLife, Cofidis, Toshiba, Leroy Merlin…)
    - Clients PME/Moyennes Entreprises (Clients : Soluvert, Kapo, Czon, Haute Borne, Maison &amp; Services…)
    - Créateurs d'entreprise en projet E-Commerce (Clients : NaturalGlam, Collections Jardin, So British, Geldrive…)</t>
  </si>
  <si>
    <t>http://www.linkedin.com/in/rapha%c3%abl-robil-1686113</t>
  </si>
  <si>
    <t xml:space="preserve">Sylvie Aveillan</t>
  </si>
  <si>
    <t>Aveillan</t>
  </si>
  <si>
    <t>s.aveillan@scaning.fr</t>
  </si>
  <si>
    <t>SCANING</t>
  </si>
  <si>
    <t>scaning.fr</t>
  </si>
  <si>
    <t>http://www.linkedin.com/company/scaning</t>
  </si>
  <si>
    <t xml:space="preserve">Les études de marché - Au centre de Rennes, SCANING est un espace de travail conçu pour répondre à vos besoins logistiques concernant les études de marché</t>
  </si>
  <si>
    <t>http://www.linkedin.com/in/sylvie-aveillan-a4b7027</t>
  </si>
  <si>
    <t xml:space="preserve">Stephane Averty</t>
  </si>
  <si>
    <t>Averty</t>
  </si>
  <si>
    <t>s.averty@hamel-ge.com</t>
  </si>
  <si>
    <t xml:space="preserve">Géomètre Expert  Co-Dirigeant</t>
  </si>
  <si>
    <t xml:space="preserve">HAMEL Géomètres-Experts</t>
  </si>
  <si>
    <t>hamel-ge.com</t>
  </si>
  <si>
    <t xml:space="preserve">immobilier,foncier,topographie,copropriete,volumetrie,lotissement,releve darchitecture,scan 3d,calcul de surfaces reglementaires</t>
  </si>
  <si>
    <t>Acigne</t>
  </si>
  <si>
    <t>http://www.linkedin.com/company/hamel-ge</t>
  </si>
  <si>
    <t xml:space="preserve">Hamel GE est une société de géomètres-experts opérant dans le Grand Ouest. Nous vous accompagnons pour vos projets de foncier, topographie, scan 3D, drone, rendus réalistes, lotissement, copropriété ou encore immobilier.</t>
  </si>
  <si>
    <t>http://www.linkedin.com/in/stephane-averty-geometre</t>
  </si>
  <si>
    <t xml:space="preserve">Souhail Bakhti</t>
  </si>
  <si>
    <t>Souhail</t>
  </si>
  <si>
    <t>Bakhti</t>
  </si>
  <si>
    <t>s.bakhti@geoboxtelematics.com</t>
  </si>
  <si>
    <t xml:space="preserve">Geobox Telematics</t>
  </si>
  <si>
    <t>geoboxtelematics.com</t>
  </si>
  <si>
    <t>http://www.linkedin.com/company/geoboxtelematics</t>
  </si>
  <si>
    <t xml:space="preserve">Découvrez nos traceurs GPS miniatures avec abonnement pour un suivi efficace de votre flotte de véhicules et la géolocalisation de vos biens. Optimisez votre gestion de flotte avec nous dès aujourd'hui.</t>
  </si>
  <si>
    <t>http://www.linkedin.com/in/souhailbakhti</t>
  </si>
  <si>
    <t xml:space="preserve">Said Benamrouche</t>
  </si>
  <si>
    <t>Said</t>
  </si>
  <si>
    <t>Benamrouche</t>
  </si>
  <si>
    <t>s.benamrouche@phenix-partner.fr</t>
  </si>
  <si>
    <t>Phenix</t>
  </si>
  <si>
    <t>phenix-partner.fr</t>
  </si>
  <si>
    <t xml:space="preserve">telecommunications,revente indirecte,marque blanche,mvno,operateur de service</t>
  </si>
  <si>
    <t>Pantin</t>
  </si>
  <si>
    <t>http://www.linkedin.com/company/phenix-partner</t>
  </si>
  <si>
    <t xml:space="preserve">Phenix vous propose plusieurs gammes de produits complètes, adaptées à vos besoins et fruit de son expérience dans le domaine de la télécommunication.</t>
  </si>
  <si>
    <t>http://www.linkedin.com/in/said-benamrouche-90741510b</t>
  </si>
  <si>
    <t xml:space="preserve">Simon Bliard</t>
  </si>
  <si>
    <t>Bliard</t>
  </si>
  <si>
    <t>s.bliard@cohesens.net</t>
  </si>
  <si>
    <t xml:space="preserve">Président - Directeur commercial</t>
  </si>
  <si>
    <t>COHÉSENS</t>
  </si>
  <si>
    <t>cohesens.net</t>
  </si>
  <si>
    <t>Taissy</t>
  </si>
  <si>
    <t>http://www.linkedin.com/company/coh%c3%a9sens</t>
  </si>
  <si>
    <t xml:space="preserve">De la construction à la réhabilitation de bâtiments, COHÉSENS vous accompagne sur tous vos projets : MOE, AMO, CEM, Expertise, Schéma.</t>
  </si>
  <si>
    <t>http://www.linkedin.com/in/simon-bliard-0627ab212</t>
  </si>
  <si>
    <t xml:space="preserve">Sebastien Cave</t>
  </si>
  <si>
    <t>Cave</t>
  </si>
  <si>
    <t>s.cave@tci-treuil.fr</t>
  </si>
  <si>
    <t>TCI</t>
  </si>
  <si>
    <t>tci-treuil.fr</t>
  </si>
  <si>
    <t xml:space="preserve">contractant general,immobilier dentreprise,ingenierie,bureaux,laboratoires,batiments industriels,espaces de stockage</t>
  </si>
  <si>
    <t>http://www.linkedin.com/company/treuil-construction-ingenierie</t>
  </si>
  <si>
    <t>https://twitter.com/ThemerexThemes</t>
  </si>
  <si>
    <t xml:space="preserve">La société TCI du Groupe Treuil a à son actif la construction de centaines d'usines, de bâtiments industriels, d'immeubles de bureaux et de laboratoires.</t>
  </si>
  <si>
    <t>http://www.linkedin.com/in/sebastien-cav%c3%a9-2a734390</t>
  </si>
  <si>
    <t xml:space="preserve">Sebastien Chaslin</t>
  </si>
  <si>
    <t>Chaslin</t>
  </si>
  <si>
    <t>s.chaslin@specinov.fr</t>
  </si>
  <si>
    <t>Spécinov</t>
  </si>
  <si>
    <t>specinov.fr</t>
  </si>
  <si>
    <t xml:space="preserve">logiciels specifiques,ged,workflow,portail collaboratif,logiciels sur mesure,transcription comptes rendus,reconnaissance vocale multilocuteurs,applications mobile,applications web,developpement specifique,applications surmesure,tma,developpement informatique,chatbot,crm,simulateur</t>
  </si>
  <si>
    <t>Ecouflant</t>
  </si>
  <si>
    <t>http://www.linkedin.com/company/sp%c3%a9cinov</t>
  </si>
  <si>
    <t xml:space="preserve">Créateurs de logiciels depuis 1989, Spécinov est aujourd'hui spécialisée dans le développement d'applications web, mobiles et de logiciels sur-mesure écoconçus. Un projet ? Nous vous accompagnons de A à Z.</t>
  </si>
  <si>
    <t>http://www.linkedin.com/in/sebastienchaslin</t>
  </si>
  <si>
    <t xml:space="preserve">Stephane Derobert</t>
  </si>
  <si>
    <t>Derobert</t>
  </si>
  <si>
    <t>s.derobert@acb-groupe.fr</t>
  </si>
  <si>
    <t xml:space="preserve">Dirigeant d'entreprises</t>
  </si>
  <si>
    <t xml:space="preserve">Groupe ACB concessionnaire Xerox</t>
  </si>
  <si>
    <t>acb-groupe.fr</t>
  </si>
  <si>
    <t>Seyssel</t>
  </si>
  <si>
    <t xml:space="preserve">distribution dimprimantes,gestion de parcs dimpressions,solution de traitement des documents,dematerialisation</t>
  </si>
  <si>
    <t>http://www.linkedin.com/company/groupe-acb-concessionnaire-xerox</t>
  </si>
  <si>
    <t>https://facebook.com/groupacb</t>
  </si>
  <si>
    <t xml:space="preserve">Bienvenue dans la Yaute Technologie avec ACB ! Gestion des imprimantes, dématérialisation des documents &amp; solutions pour les métiers des arts graphiques</t>
  </si>
  <si>
    <t>http://www.linkedin.com/in/st%c3%a9phane-d%c3%a9robert-a7699047</t>
  </si>
  <si>
    <t xml:space="preserve">Sebastien Gindro</t>
  </si>
  <si>
    <t>Gindro</t>
  </si>
  <si>
    <t>s.gindro@gindro.com</t>
  </si>
  <si>
    <t xml:space="preserve">GINDRO S.A.S</t>
  </si>
  <si>
    <t>gindro.com</t>
  </si>
  <si>
    <t xml:space="preserve">aeraulique,tolerie industrielle,chaudronnerie,tuyauterie,soudage</t>
  </si>
  <si>
    <t>Montbozon</t>
  </si>
  <si>
    <t>http://www.linkedin.com/company/gindro-sas</t>
  </si>
  <si>
    <t xml:space="preserve">Nous sommes une société familiale depuis 3 générations spécialisée dans la Tuyauterie pour le dépoussiérage. Forts de cette expérience industrielle, notre ambition est de pérenniser la société et d'être reconnu comme une société sérieuse sur laquelle nos clients et partenaires peuvent compter.
Aujourd'hui nous avons a cœur de donner le meilleur service de notre profession et ce, jour après jour.
GINDRO travaille en "Made in France" et nous sommes ISO 9001 depuis 2001. Nous avons un clapet anti-retour certifié ATEX et tous nos soudeurs sont certifiés.
Sur le marché de la tyauterie pour le dépoussiérage, nous avons le meilleur rapport Qualité/Prix et une grande réactivité d'exécution.</t>
  </si>
  <si>
    <t>http://www.linkedin.com/in/sebastien-gindro-63a41077</t>
  </si>
  <si>
    <t xml:space="preserve">Stephane Navarro</t>
  </si>
  <si>
    <t>Navarro</t>
  </si>
  <si>
    <t>s.navarro@tabfrance.fr</t>
  </si>
  <si>
    <t xml:space="preserve">Dirigeant TAB Toulouse</t>
  </si>
  <si>
    <t>http://www.linkedin.com/in/stephane-navarro-tab</t>
  </si>
  <si>
    <t xml:space="preserve">Stephane Perrin</t>
  </si>
  <si>
    <t>Perrin</t>
  </si>
  <si>
    <t>s.perrin@healabs.fr</t>
  </si>
  <si>
    <t>http://www.linkedin.com/in/stephane-perrin-60ab5013</t>
  </si>
  <si>
    <t xml:space="preserve">Sylvie Traquini-Quang</t>
  </si>
  <si>
    <t>Traquini-Quang</t>
  </si>
  <si>
    <t>s.quang@ad-and-co.fr</t>
  </si>
  <si>
    <t xml:space="preserve">Ad and Co' France</t>
  </si>
  <si>
    <t>ad-and-co.fr</t>
  </si>
  <si>
    <t xml:space="preserve">consultant administratif,ce,artisans,chsct,cse,secretariat,assistante manager,secretariat medical,assistante juridique,assistante medical,permanence telephonique,gestion commerciale</t>
  </si>
  <si>
    <t>http://www.linkedin.com/company/ad-and-co</t>
  </si>
  <si>
    <t>https://twitter.com/ad_and_co</t>
  </si>
  <si>
    <t>https://www.facebook.com/adandcoFrance/</t>
  </si>
  <si>
    <t xml:space="preserve">Dynamisez votre gestion, et donnez un nouvel essor à votre activité. En externalisant votre secrétariat, vous vous appuyez sur notre savoir-faire et nos consultants spécialisés dans votre secteur.</t>
  </si>
  <si>
    <t>http://www.linkedin.com/in/sylvie-traquini-quang</t>
  </si>
  <si>
    <t xml:space="preserve">Samuel Richard</t>
  </si>
  <si>
    <t>s.richard@noveha.fr</t>
  </si>
  <si>
    <t>NOVÉHA</t>
  </si>
  <si>
    <t>noveha.fr</t>
  </si>
  <si>
    <t xml:space="preserve">conseil aux entreprises,assistance technique,veille marche,actions collectives,transfert technologique,commandes numeriques,materiaux,process et methodes,industrialisation,conception,conseil aux investissements</t>
  </si>
  <si>
    <t>Montaigu</t>
  </si>
  <si>
    <t>http://www.linkedin.com/company/noveha85</t>
  </si>
  <si>
    <t xml:space="preserve">Bienvenue chez Novéha, le centre de formation professionnelle par alternance et en continu des métiers de l'aménagement de l'habitat.</t>
  </si>
  <si>
    <t>http://www.linkedin.com/in/samuel-richard-432a7310b</t>
  </si>
  <si>
    <t xml:space="preserve">Sebastien Sallaz</t>
  </si>
  <si>
    <t>Sallaz</t>
  </si>
  <si>
    <t>s.sallaz@lestoreparisien.fr</t>
  </si>
  <si>
    <t xml:space="preserve">Le Store Parisien</t>
  </si>
  <si>
    <t>lestoreparisien.fr</t>
  </si>
  <si>
    <t xml:space="preserve">expert somfy,stores exterieurs,fabrication de stores,pergolas bioclimatiques,stores interieurs,equipements chr,films solaires,volets coulissants,premium partner serge ferrari,partenaire dickson,volets battants,ambassadeur renson,point conseil bubendorff,tous types de menuiseries,volets roulants,expert renovateur kline</t>
  </si>
  <si>
    <t>http://www.linkedin.com/company/lestoreparisien</t>
  </si>
  <si>
    <t xml:space="preserve">Stores intérieurs extérieurs sur mesure à Paris, Yvelines (78) et Ile de France. Fenêtres bois, aluminium K.line - Pergolas bioclimatiques</t>
  </si>
  <si>
    <t>http://www.linkedin.com/in/s%c3%a9bastien-sallaz-1856b42b</t>
  </si>
  <si>
    <t xml:space="preserve">Umit Sever</t>
  </si>
  <si>
    <t>Umit</t>
  </si>
  <si>
    <t>Sever</t>
  </si>
  <si>
    <t>s.umit@action-btp.fr</t>
  </si>
  <si>
    <t xml:space="preserve">ACTION BTP TRAVAUX PUBLICS</t>
  </si>
  <si>
    <t>action-btp.fr</t>
  </si>
  <si>
    <t>Buchelay</t>
  </si>
  <si>
    <t xml:space="preserve">entreprise de travaux publics</t>
  </si>
  <si>
    <t>http://www.linkedin.com/company/action-btp-travaux-publics</t>
  </si>
  <si>
    <t xml:space="preserve">ACTION BTP
TRAVAUX PUBLICS VRD
Entreprise de travaux publics, ACTION BTP est reconnue et renommée pour ses compétences en VRD.
ACTION BTP crée depuis 2009 dispose du savoir faire et de toutes les compétences pour répondre aux projets de toute nature. Réalisation de voiries, assainissement, réseaux divers pour des clients privés et publics.
Complètement indépendante et autonome.
NOS ACTIVITES
&gt; Terrassement
&gt; Réseaux divers
&gt; Assainissements
&gt; Voirie et parking
&gt; Pavage
&gt; Bordures 
&gt; Béton désactivés
&gt; Bassins rétentions
&gt; Plateforme logistique
NOS CLIENTS
Marchés Publics des collectivité "mairies, communautés de communes, syndicats intercommunaux",
Marchés privés,
Particuliers,
Cabinets privés ou architectes,
Promoteurs immobiliers,
Entreprise Générales de Bâtiments,
Industriels.</t>
  </si>
  <si>
    <t>http://www.linkedin.com/in/umit-sever-630423a7</t>
  </si>
  <si>
    <t xml:space="preserve">Stefan Werschner</t>
  </si>
  <si>
    <t>Werschner</t>
  </si>
  <si>
    <t>s.werschner@stibureautique.com</t>
  </si>
  <si>
    <t xml:space="preserve">STi Bureautique</t>
  </si>
  <si>
    <t>stibureautique.com</t>
  </si>
  <si>
    <t>Colmar</t>
  </si>
  <si>
    <t xml:space="preserve">solution dimpression,sauvegarde,multifonction couleur et nb,cyber securite,dematerialisation des processus documentares,services de proximite,analyse documentaire,ricoh,ecrans interactifs tactiles,triumph adler,photocopieurs,ged,gestion documentaire</t>
  </si>
  <si>
    <t>Illzach</t>
  </si>
  <si>
    <t>http://www.linkedin.com/company/sti-bureautique</t>
  </si>
  <si>
    <t xml:space="preserve">STI est spécialisée dans la vente, la location et la maintenance de copieurs, imprimantes multifonctions, duplicopieurs, la GED, sauvegarde de données ainsi que des écrans dynamiques</t>
  </si>
  <si>
    <t>http://www.linkedin.com/in/%f0%9f%94%b5-st%c3%a9fan-werschner-7658a94b</t>
  </si>
  <si>
    <t xml:space="preserve">Said Benmedjahed</t>
  </si>
  <si>
    <t>Benmedjahed</t>
  </si>
  <si>
    <t>said.benmedjahed@procal.fr</t>
  </si>
  <si>
    <t>PROCAL</t>
  </si>
  <si>
    <t>procal.fr</t>
  </si>
  <si>
    <t xml:space="preserve">logiciels de calepinage,logiciels de dessin de bardage metallique,logiciels de dessin de bardage,logiciel bim</t>
  </si>
  <si>
    <t>Lingolsheim</t>
  </si>
  <si>
    <t>http://www.linkedin.com/company/procal</t>
  </si>
  <si>
    <t xml:space="preserve">We are a BIM software development company specialising in the building envelope and structural work.
As an AUTODESK ISV and ADN partner, all our software works under AUTOCAD.
ENVELOP3D - BIM software for the building envelope :
	Metal cladding
	HPL panel cladding
	Composite or metal cassette cladding
	Standing seam cladding 
	Terracotta cladding
	Roofing/waterproofing
	EMI (Thin coating over insulation)
CAL3D - BIM software for block layout
	 Concrete block
	Terracotta block
	IFC, insulation concret form
CEILIN3D - False Ceiling layout software
	Layout ceilings
	Technical floor layout
CWAL3D - BIM software for curtain walls
	Concrete curtain wall layout
	Layout of mixed curtain walls
Using a combination of AUTOCAD 3D and PROCAL software reduces design times, increases the quality of renderings and visuals, anticipates errors on site and, above all, makes updates following modifications virtually instantaneous.
Calculating quantities, optimising cut-outs, 2D and 3D layout plans, notebooks, optimising cut-outs, automatically generating cuts/sections and managing construction details are basic functions of all PROCAL software.
Import/export tools in IFC formats enable PROCAL software to communicate with all construction software supporting BIM and, by extension, collaboration on the same digital mock-up for all players.</t>
  </si>
  <si>
    <t>http://www.linkedin.com/in/sa%c3%afd-benmedjahed-a78a685b</t>
  </si>
  <si>
    <t xml:space="preserve">Sammy Teillet</t>
  </si>
  <si>
    <t>Sammy</t>
  </si>
  <si>
    <t>Teillet</t>
  </si>
  <si>
    <t>sammy@rocapine.com</t>
  </si>
  <si>
    <t>Rocapine</t>
  </si>
  <si>
    <t>rocapine.com</t>
  </si>
  <si>
    <t>http://www.linkedin.com/company/rocapinecompany</t>
  </si>
  <si>
    <t xml:space="preserve">Inspired by the publishing model and iterative approach of the mobile gaming industry, we collaborate with development studios to create and scale wellness apps to millions, leveraging GenAI to hyper-customize user experience.</t>
  </si>
  <si>
    <t>http://www.linkedin.com/in/sammy-teillet-30b97963</t>
  </si>
  <si>
    <t xml:space="preserve">Samuel Mouton</t>
  </si>
  <si>
    <t>samuel.mouton@daniel-mouton.com</t>
  </si>
  <si>
    <t xml:space="preserve">Concessions Mouton</t>
  </si>
  <si>
    <t>daniel-mouton.com</t>
  </si>
  <si>
    <t>St-Malo</t>
  </si>
  <si>
    <t xml:space="preserve">carrosserie automobile,vehicules doccasion,financement automobile,audi,volkswagen vehicules utilitaires,location longue duree automobile,mecanique automobile,vente automobile,entretien automobile,peinture automobile,vehicules d39occasion,pieces automobiles,audi rent,location courte duree automobile,reprise automobile,volkswagen rent,pneumatiques,volkswagen,vehicules neufs,automobile,pare brise</t>
  </si>
  <si>
    <t>http://www.linkedin.com/company/daniel-mouton</t>
  </si>
  <si>
    <t>https://www.facebook.com/DanielMoutonAudiVW/</t>
  </si>
  <si>
    <t xml:space="preserve">1975 : Daniel Mouton, apprenti mécanicien depuis l'âge de 14 ans, et Blandine son épouse, reprennent une activité de station service-garage en centre ville de Vitré(35).
1977 : Ils passent agents VW/Audi pour le compte des concessionnaires de Rennes.
1982 : Daniel Mouton coopté par M. Rousseau, concessionnaire Rennais, passe à son tour distributeur VW/Audi à Vitré.
1983 : Construction de la concession VW/Audi 10 route de la Guerche à Vitré, endroit passager et propice au commerce
1984 : Reprise de l'activité de distribution et maintenance VW/Audi de Fougères(35). 
1986 : Construction d'une carrosserie sur le site de Vitré.
1991 : Construction du nouveau site de Fougères, 16 bd de Groslay.
-&gt; 30 équipers dans l'entreprise.
2000 : Mise aux standards pour nos marques sur les 2 sites.
2003 : Arrivée de Hugues Mouton dans l'entreprise familiale.
2003 : Volkswagen Redon est affilié agent de notre concession de Vitré
2005 : Reprise de l'activité de distribution Audi et VW de Saint-Malo
-&gt; 14 équipiers à Saint-Malo à la reprise.
2008 : Construction de 2 concessions exclusives pour les activités Audi et VW de Saint-Malo, rue le Grassinais.
2010 : Arrivée de Samuel Mouton dans l'entreprise familiale.
2011 : Extension de la concession Audi à Saint-Malo (atelier et magasin pièces)
2012 : Construction d'un atelier de préparation, mise aux standards et réfection complète du site de Vitré.
2016 : Mise aux standards et réfection complète du site de Fougères
•	Installation de 2 bornes de recharge sur les site Audi et VW de Saint-Malo
2017 : Mise aux standards du site VW Saint-Malo 
+ relocalisation de l'activité occasion
2019 : Création de l'activité location courte durée à Saint-Malo et installation de bureaux extérieurs.
2021 : Installation de notre 1ère borne de recharge rapide publique sur le site de Vitré
•	Installation d'une borne de recharge sur le site de Fougères, 
•	Création de l'activité location courte durée à Vitré
-&gt; 86 équipiers travaillent dans l'entreprise familiale</t>
  </si>
  <si>
    <t>http://www.linkedin.com/in/samuelmouton</t>
  </si>
  <si>
    <t xml:space="preserve">Samuel Poisson</t>
  </si>
  <si>
    <t>Poisson</t>
  </si>
  <si>
    <t>samuel.p@oeba.fr</t>
  </si>
  <si>
    <t xml:space="preserve">French custom-made staircases manufacturer</t>
  </si>
  <si>
    <t>oeba.fr</t>
  </si>
  <si>
    <t xml:space="preserve">escalier moderne,renovation immobiliere,decoration,escalier bois,batiment,escalier metallique,confection d39escaliers,architecture,fabrication descaliers,decoration interieure,confection descaliers,amenagement interieur,travaux,escalier design,menuiserie,architecte,design interieur,metallerie,franchise,reseau de distribution,escalier interieur,escalier metal,escalier bois surmesure,escalier,escalier sur mesure,fabrication d39escaliers,soudure,gardecorps</t>
  </si>
  <si>
    <t>Fay-aux-Loges</t>
  </si>
  <si>
    <t>http://www.linkedin.com/company/oebaescalier</t>
  </si>
  <si>
    <t>https://twitter.com/Oebaescalier</t>
  </si>
  <si>
    <t>https://www.facebook.com/oebaescalier/</t>
  </si>
  <si>
    <t xml:space="preserve">Achetez en ligne ou en magasin un escalier sur mesure de qualité, fabriqué en France, à prix fabricant.</t>
  </si>
  <si>
    <t>http://www.linkedin.com/in/samuel-poisson-6a1b02176</t>
  </si>
  <si>
    <t xml:space="preserve">Samuel Dassa</t>
  </si>
  <si>
    <t>Dassa</t>
  </si>
  <si>
    <t>samuel@wemet.fr</t>
  </si>
  <si>
    <t xml:space="preserve">CEO &amp; Co-Founder - Unique and Connected Business Card Maker</t>
  </si>
  <si>
    <t>WEMET</t>
  </si>
  <si>
    <t>wemet.fr</t>
  </si>
  <si>
    <t xml:space="preserve">objet connectee &amp; communication digitale</t>
  </si>
  <si>
    <t>http://www.linkedin.com/company/wemet</t>
  </si>
  <si>
    <t>https://twitter.com/WEMET_off</t>
  </si>
  <si>
    <t>https://www.facebook.com/wemet.card/</t>
  </si>
  <si>
    <t xml:space="preserve">Découvrez WEMET, le spécialiste des cartes de visite NFC. Modernisez vos échanges professionnels grâce à des cartes connectées, personnalisables et écoresponsables. Transformez vos interactions en opportunités !</t>
  </si>
  <si>
    <t>http://www.linkedin.com/in/samuel-dassa</t>
  </si>
  <si>
    <t xml:space="preserve">Sandra Mathieu</t>
  </si>
  <si>
    <t>sandra.mathieu@adobisgroup.fr</t>
  </si>
  <si>
    <t xml:space="preserve">Directeur Associé Adobis Group (Co-Fondateur)</t>
  </si>
  <si>
    <t xml:space="preserve">DataChain® By Adobis Group</t>
  </si>
  <si>
    <t>adobisgroup.fr</t>
  </si>
  <si>
    <t xml:space="preserve">big data,sante,editeur,cloud,brique technique,ia,excel,industrie40,collectivites</t>
  </si>
  <si>
    <t>Montbonnot-Saint-Martin</t>
  </si>
  <si>
    <t>http://www.linkedin.com/company/adobis-group</t>
  </si>
  <si>
    <t>https://twitter.com/adobisgroup</t>
  </si>
  <si>
    <t xml:space="preserve">Adobis offers the DataChain® solution, a Sovereign Data/AI solution, to Collect, Organize, Structure, Clean, Normalize, Analyze (+AI), Represent (Graph, TimeLine, Cartography, etc.) and Expose all of your data (multi-sources, multi-formats, structured or not) in compliance with security and traceability rules. A quick solution to implement, built around the most efficient OpenSource technologies.
</t>
  </si>
  <si>
    <t>http://www.linkedin.com/in/sandra-mathieu-3528206a</t>
  </si>
  <si>
    <t xml:space="preserve">Sandrine Ballion</t>
  </si>
  <si>
    <t>Ballion</t>
  </si>
  <si>
    <t>sandrine.ballion@expert-activ.com</t>
  </si>
  <si>
    <t xml:space="preserve">Dirigeante SBCD - Consultante Expert Activ</t>
  </si>
  <si>
    <t>Agen</t>
  </si>
  <si>
    <t>http://www.linkedin.com/in/sandrine-ballion-210980159</t>
  </si>
  <si>
    <t xml:space="preserve">Sandrine Huckert</t>
  </si>
  <si>
    <t>Huckert</t>
  </si>
  <si>
    <t>sandrine.huckert@metamorphose-groupe.com</t>
  </si>
  <si>
    <t xml:space="preserve">Présidente cofondatrice associée</t>
  </si>
  <si>
    <t>http://www.linkedin.com/in/sandrine-huckert</t>
  </si>
  <si>
    <t xml:space="preserve">Sandrine Nazzi</t>
  </si>
  <si>
    <t>Nazzi</t>
  </si>
  <si>
    <t>sandrinenazzi@ipset.fr</t>
  </si>
  <si>
    <t>IPSET</t>
  </si>
  <si>
    <t>ipset.fr</t>
  </si>
  <si>
    <t>Saint-Marcel-les-Valence</t>
  </si>
  <si>
    <t xml:space="preserve">telephonie visio,video surveillance,operateur telecom</t>
  </si>
  <si>
    <t>http://www.linkedin.com/company/ipset</t>
  </si>
  <si>
    <t xml:space="preserve">Ipset accompagne les professionnels dans leur démarche d'évolution technologique : télécom, internet, standard téléphonique, vidéo protection, ...</t>
  </si>
  <si>
    <t>http://www.linkedin.com/in/sandrine-nazzi-aa22a7146</t>
  </si>
  <si>
    <t xml:space="preserve">Sarah Ichir</t>
  </si>
  <si>
    <t>Ichir</t>
  </si>
  <si>
    <t>sarah.ichir@forwards.co</t>
  </si>
  <si>
    <t xml:space="preserve">Cofondatrice et Partner</t>
  </si>
  <si>
    <t xml:space="preserve">Forwards Advisory</t>
  </si>
  <si>
    <t>forwards.co</t>
  </si>
  <si>
    <t xml:space="preserve">conduite du changement,crm,transformation digitale,organisation,management,happy at work,conseil,humain,changement,web 3,digital,processus,workplace,ia,rse</t>
  </si>
  <si>
    <t>http://www.linkedin.com/company/forwards-advisory</t>
  </si>
  <si>
    <t xml:space="preserve">Forwards, des solutions personnalisées pour la transformation digitale et le développement de votre entreprise. Commencez votre parcours vers le succès.</t>
  </si>
  <si>
    <t>http://www.linkedin.com/in/sarah-ichir</t>
  </si>
  <si>
    <t xml:space="preserve">Sylvain Champolivier</t>
  </si>
  <si>
    <t>Champolivier</t>
  </si>
  <si>
    <t>schampolivier@vakom.fr</t>
  </si>
  <si>
    <t xml:space="preserve">Dirigeant VAKOM Orléans</t>
  </si>
  <si>
    <t>http://www.linkedin.com/in/sylvain-champolivier-a68051153</t>
  </si>
  <si>
    <t xml:space="preserve">Stephane Degouve</t>
  </si>
  <si>
    <t>Degouve</t>
  </si>
  <si>
    <t>sdegouve@ipercom.com</t>
  </si>
  <si>
    <t>ipercom</t>
  </si>
  <si>
    <t>ipercom.com</t>
  </si>
  <si>
    <t xml:space="preserve">telecom,informatique et reseaux,creation de logiciels,creation d appliactions,securite</t>
  </si>
  <si>
    <t>Pompignac</t>
  </si>
  <si>
    <t>http://www.linkedin.com/company/pigma-communications</t>
  </si>
  <si>
    <t xml:space="preserve">Ipercom, spécialiste en logiciels sur mesure pour améliorer la communication et la productivité de votre entreprise.</t>
  </si>
  <si>
    <t>http://www.linkedin.com/in/stephane-degouve-4b56b534</t>
  </si>
  <si>
    <t xml:space="preserve">Sophie Delemazure</t>
  </si>
  <si>
    <t>Delemazure</t>
  </si>
  <si>
    <t>sdelemazure@vakom.fr</t>
  </si>
  <si>
    <t>Dirigeante-Consultante</t>
  </si>
  <si>
    <t>http://www.linkedin.com/in/sophie-delemazure-10a91782</t>
  </si>
  <si>
    <t xml:space="preserve">Sebastien Pascal</t>
  </si>
  <si>
    <t>sebastien.pascal@2s-computing.fr</t>
  </si>
  <si>
    <t xml:space="preserve">2S COMPUTING</t>
  </si>
  <si>
    <t>2s-computing.fr</t>
  </si>
  <si>
    <t>java,c,embarque,test,php,backend,frontend,devops</t>
  </si>
  <si>
    <t>Meyreuil</t>
  </si>
  <si>
    <t>http://www.linkedin.com/company/2s-computing</t>
  </si>
  <si>
    <t>https://twitter.com/2scomputing</t>
  </si>
  <si>
    <t>https://www.facebook.com/2SCOMPUTING/</t>
  </si>
  <si>
    <t xml:space="preserve">2S Computing est une Société de Services informatiques et un Cabinet de Recrutement. Chasseurs de talents, nous recrutons des passionnés.</t>
  </si>
  <si>
    <t>http://www.linkedin.com/in/s%c3%a9bastien-pascal-1425807</t>
  </si>
  <si>
    <t xml:space="preserve">Sebastien Raucy</t>
  </si>
  <si>
    <t>Raucy</t>
  </si>
  <si>
    <t>sebastien.raucy@p-b-s.fr</t>
  </si>
  <si>
    <t xml:space="preserve">PBS Construction</t>
  </si>
  <si>
    <t>p-b-s.fr</t>
  </si>
  <si>
    <t>http://www.linkedin.com/company/pbs-construction-r%c3%a9habilitation</t>
  </si>
  <si>
    <t xml:space="preserve">L’équipe de PBS prend en main votre projet de construction de bâtiment, où que vous soyez dans le secteur de Metz.</t>
  </si>
  <si>
    <t>http://www.linkedin.com/in/s%c3%a9bastien-raucy-0aa3258b</t>
  </si>
  <si>
    <t xml:space="preserve">Sebastien Thiry</t>
  </si>
  <si>
    <t>sebastien.thiry@optera.fr</t>
  </si>
  <si>
    <t>Optera</t>
  </si>
  <si>
    <t>optera.fr</t>
  </si>
  <si>
    <t>Bayonne</t>
  </si>
  <si>
    <t xml:space="preserve">energie,monitoring,transition energetique,photovoltaique,renouvelable</t>
  </si>
  <si>
    <t>Bidart</t>
  </si>
  <si>
    <t>http://www.linkedin.com/company/opteraenergy</t>
  </si>
  <si>
    <t xml:space="preserve">Optera accompagne les entreprises du tertiaire et les industriels dans leur transition énergétique. 
Pour cela, nous proposons des solutions sur mesure destinées à valoriser le potentiel énergétique de nos clients. 
- Optimisation énergétique
- Production photovoltaïque
- Stockage de l'énergie
- Bornes de recharge pour véhicules électriques</t>
  </si>
  <si>
    <t>http://www.linkedin.com/in/s%c3%a9bastien-thiry-9353b226</t>
  </si>
  <si>
    <t xml:space="preserve">Sebastien Brousse</t>
  </si>
  <si>
    <t>Brousse</t>
  </si>
  <si>
    <t>sebastien@cloud-iam.com</t>
  </si>
  <si>
    <t xml:space="preserve">Cofondateur Architecte</t>
  </si>
  <si>
    <t>Cloud-IAM</t>
  </si>
  <si>
    <t>cloud-iam.com</t>
  </si>
  <si>
    <t xml:space="preserve">iam,keycloak,identity management,identity &amp; access mangement,2fa,otp,idm,ciam</t>
  </si>
  <si>
    <t>http://www.linkedin.com/company/cloudiam</t>
  </si>
  <si>
    <t>https://twitter.com/cloud_iam_com</t>
  </si>
  <si>
    <t xml:space="preserve">Works with AWS, Google Cloud, Azure, Scaleway &amp; 3DS Outscale. GDPR compliant &amp; available in 50 regions. Up to 99.95% SLA, and no vendor locking.</t>
  </si>
  <si>
    <t>http://www.linkedin.com/in/s%c3%a9bastien-brousse-2a916ba2</t>
  </si>
  <si>
    <t xml:space="preserve">Sebastien Vray</t>
  </si>
  <si>
    <t>Vray</t>
  </si>
  <si>
    <t>sebastien@ezio.app</t>
  </si>
  <si>
    <t xml:space="preserve">EZIO simplifie les dépenses pour les aidants professionnels</t>
  </si>
  <si>
    <t>ezio.app</t>
  </si>
  <si>
    <t xml:space="preserve">logiciel,silver economie,services a la personne</t>
  </si>
  <si>
    <t>Moutiers-sur-le-Lay</t>
  </si>
  <si>
    <t>http://www.linkedin.com/company/ezio-app</t>
  </si>
  <si>
    <t>https://www.facebook.com/EzioApp/</t>
  </si>
  <si>
    <t xml:space="preserve">Ezio équipe votre structure médico-social de cartes de paiements sécurisées et d'un logiciel en ligne de suivi des dépenses pour vos clients</t>
  </si>
  <si>
    <t>http://www.linkedin.com/in/sebvray</t>
  </si>
  <si>
    <t xml:space="preserve">Sebastien Kuzbik</t>
  </si>
  <si>
    <t>Kuzbik</t>
  </si>
  <si>
    <t>sebastien@harmonyhome-construction.com</t>
  </si>
  <si>
    <t xml:space="preserve">HARMONY HOME</t>
  </si>
  <si>
    <t>harmonyhome-construction.com</t>
  </si>
  <si>
    <t>Castelnau-le-Lez</t>
  </si>
  <si>
    <t>http://www.linkedin.com/company/harmonyhome-construction</t>
  </si>
  <si>
    <t xml:space="preserve">HARMONY HOME est une société d’activité d’architecture créée en 2014 et spécialisée dans la maîtrise d’œuvre en bâtiment en construction neuve et aussi en rénovation et réhabilitation de patrimoine existant.</t>
  </si>
  <si>
    <t>http://www.linkedin.com/in/s%c3%a9bastien-kuzbik-8a1499158</t>
  </si>
  <si>
    <t xml:space="preserve">Sebastien Serra</t>
  </si>
  <si>
    <t>Serra</t>
  </si>
  <si>
    <t>sebastien@horezo.fr</t>
  </si>
  <si>
    <t>HOREZO</t>
  </si>
  <si>
    <t>horezo.fr</t>
  </si>
  <si>
    <t xml:space="preserve">reseaux,solutions vpn,operateur fixe mobile,numerique,telecoms,informatique,wifi,transformation digitale,videosurveillance,fibre optique</t>
  </si>
  <si>
    <t>http://www.linkedin.com/company/horezo</t>
  </si>
  <si>
    <t xml:space="preserve">Horezo développe depuis 15 ans son accompagnement et ses services en solutions numériques ayant tous le même objectif : permettre aux entreprises et leurs équipes / collaborateurs, de pouvoir travailler de manière optimale.</t>
  </si>
  <si>
    <t>http://www.linkedin.com/in/sebastienserra</t>
  </si>
  <si>
    <t xml:space="preserve">Sebastien </t>
  </si>
  <si>
    <t>sebastien@vu-du-web.com</t>
  </si>
  <si>
    <t xml:space="preserve">Vu du Web</t>
  </si>
  <si>
    <t>vu-du-web.com</t>
  </si>
  <si>
    <t xml:space="preserve">internet,referencement,community management,creation de contenus,marketing automation,ereputation,personal branding,reseaux sociaux,webmarketing</t>
  </si>
  <si>
    <t>http://www.linkedin.com/company/vu-du-web</t>
  </si>
  <si>
    <t>https://twitter.com/vuduweb</t>
  </si>
  <si>
    <t>https://www.facebook.com/vuduweb.seo</t>
  </si>
  <si>
    <t xml:space="preserve">Plus de 10 ans d’expérience pour Vu du Web agence webmarketing digital ça compte ! Notre agence de communication digitale vous donnera de la voix et fera rayonner votre croissance.</t>
  </si>
  <si>
    <t>http://www.linkedin.com/in/arnaudvdw</t>
  </si>
  <si>
    <t xml:space="preserve">Serge Bija</t>
  </si>
  <si>
    <t>Bija</t>
  </si>
  <si>
    <t>serge.bija@diadao.fr</t>
  </si>
  <si>
    <t xml:space="preserve">Fondateur Diadao</t>
  </si>
  <si>
    <t>Diadao</t>
  </si>
  <si>
    <t>diadao.fr</t>
  </si>
  <si>
    <t xml:space="preserve">strategie digitale,redaction editoriale,agence de communication,site web hotel,site internet hotel,restaurants gastronomiques,hebergement gestion technique,studio design print,reportages photos videos,consultant de marque,supports imprimes tous formats,solution coffrets cheques cadeaux,social ads,hotellerie de luxe,hebergement amp gestion technique,referencement naturel et commercial,mobiles tactiles,sites internet fullhd,community management,sites internet adaptive responsive design,charte graphique print web,mobiles amp tactiles,google hotel ads,reportages photos amp videos,studio design amp print</t>
  </si>
  <si>
    <t>http://www.linkedin.com/company/diadao</t>
  </si>
  <si>
    <t>https://www.facebook.com/Diadao</t>
  </si>
  <si>
    <t xml:space="preserve">Site Officiel ✅ Agence digitale à Montpellier, création de site web, print, webmarketing, communication et social media pour les hôtels, restaurants et spas.</t>
  </si>
  <si>
    <t>http://www.linkedin.com/in/serge-bija-a6bab514</t>
  </si>
  <si>
    <t xml:space="preserve">Serge Eskenazi</t>
  </si>
  <si>
    <t>Eskenazi</t>
  </si>
  <si>
    <t>serge.eskenazi@jbs-coaching.com</t>
  </si>
  <si>
    <t xml:space="preserve">JBS ECOLE DE COACHING</t>
  </si>
  <si>
    <t>jbs-coaching.com</t>
  </si>
  <si>
    <t xml:space="preserve">vision transformation,cohesion et intelligence collective,supervision,coach team</t>
  </si>
  <si>
    <t>http://www.linkedin.com/school/jbs-ecole-de-coaching</t>
  </si>
  <si>
    <t>https://twitter.com/EcoleJBS</t>
  </si>
  <si>
    <t xml:space="preserve">JBS Ecole de coaching a comme finalité d'accompagner les hommes et les organisations dans leur transformation au service d'un Monde pérenne.
Son cœur de métier est:
➢	La professionnalisation des coachs et des agents de changement dans l'art de l'accompagnement des transformations individuelles, collectives et organisationnelles..
➢	L'accompagnement des Entreprises et des Organisations dans leurs transformations. 
Elle propose Une formation au coaching Certifiante, des formations avancées à l'accompagnement des Equipes et la construction de Vision Collective.
Ainsi que 7 groupes de supervision (Lyon et Toulouse)
JBS évolue en réseau avec 7 écoles francophones Coach &amp; Team.
Notre mission envers les personnes que nous formons, supervisons ou accompagnons est de leur offrir un espace-temps ressource unique pour leur propre croissance identitaire et pour le développement de leurs compétences. 
Le fruit en est la construction de leur cohérence intérieure – l'ETRE – et de leurs capacité d'action – LE FAIRE - en réponse aux turbulences du monde, que nous résumons sous l'intention devenir « OK dans le chaos et la complexité »</t>
  </si>
  <si>
    <t>http://www.linkedin.com/in/serge-eskenazi-16b5442a</t>
  </si>
  <si>
    <t xml:space="preserve">Severine Cachod</t>
  </si>
  <si>
    <t>Cachod</t>
  </si>
  <si>
    <t>severine.cachod@immaterra.com</t>
  </si>
  <si>
    <t xml:space="preserve">Présidente de la Coopérative &amp; Activatrice et Facilitatrice de Transitions économiques soutenables</t>
  </si>
  <si>
    <t>immaTerra</t>
  </si>
  <si>
    <t>immaterra.com</t>
  </si>
  <si>
    <t xml:space="preserve">formation,rampd appliquee,usage efficiency,economie de la fonctionnalite et de la cooperation,developpement durable,efficience dusage,functional &amp; cooperation economy,efficience environnementale,efficience monetaire,innovation manageriale,innovation organisationnelle,monetary efficiency,sustainable developpement,modeles economiques innovants,accompagnement collectivites,environmental efficiency,accompagnement dentreprises,developpement territorial,rd appliquee,innovation strategique,accompagnement d39entreprises,efficience d39usage,gouvernance cooperative,efficience economique,efficience societale,economic efficiency,social efficiency,innovative business model</t>
  </si>
  <si>
    <t>http://www.linkedin.com/company/immaterra</t>
  </si>
  <si>
    <t xml:space="preserve">Vous souhaitez amorcer la transition de votre modèle économique pour le rendre plus durable. Découvrez ImmaTerra !</t>
  </si>
  <si>
    <t>http://www.linkedin.com/in/severinecachod</t>
  </si>
  <si>
    <t xml:space="preserve">Sebastien-Abdelhamid Godelu</t>
  </si>
  <si>
    <t>Sebastien-Abdelhamid</t>
  </si>
  <si>
    <t>Godelu</t>
  </si>
  <si>
    <t>sg@hypenotice.fr</t>
  </si>
  <si>
    <t xml:space="preserve">HYPE NOTICE</t>
  </si>
  <si>
    <t>hypenotice.com</t>
  </si>
  <si>
    <t xml:space="preserve">manga,animation,jeux video,lifestyle,cinema,entertainment,influence,consulting,brand content</t>
  </si>
  <si>
    <t>http://www.linkedin.com/company/hype-notice</t>
  </si>
  <si>
    <t xml:space="preserve">We are a creative agency, working at 360°</t>
  </si>
  <si>
    <t>http://www.linkedin.com/in/s%c3%a9bastien-abdelhamid-godelu-0250149b</t>
  </si>
  <si>
    <t xml:space="preserve">Sebastien Guigoures</t>
  </si>
  <si>
    <t>Guigoures</t>
  </si>
  <si>
    <t>sguigoures@altitude-26.fr</t>
  </si>
  <si>
    <t xml:space="preserve">Altitude TS</t>
  </si>
  <si>
    <t>altitude-26.fr</t>
  </si>
  <si>
    <t>Malataverne</t>
  </si>
  <si>
    <t>http://www.linkedin.com/company/altitude-26</t>
  </si>
  <si>
    <t>https://www.facebook.com/altitude26/</t>
  </si>
  <si>
    <t xml:space="preserve">Le spécialiste en travaux spéciaux à vos cotés. Travaux Publics, Urbain, Nucléaire ou Industrie, la solution est dans nos cordes !</t>
  </si>
  <si>
    <t>http://www.linkedin.com/in/s%c3%a9bastien-guigour%c3%a8s-ba8221204</t>
  </si>
  <si>
    <t xml:space="preserve">Sidney Tapiero</t>
  </si>
  <si>
    <t>Sidney</t>
  </si>
  <si>
    <t>Tapiero</t>
  </si>
  <si>
    <t>sidney.tapiero@henko-consulting.com</t>
  </si>
  <si>
    <t xml:space="preserve">Henko Consulting</t>
  </si>
  <si>
    <t>henko-consulting.com</t>
  </si>
  <si>
    <t xml:space="preserve">usages,change management,digital workplace,nouveaux usages,conduite du changement,appropriation usages,adoption</t>
  </si>
  <si>
    <t>http://www.linkedin.com/company/henkoconsulting</t>
  </si>
  <si>
    <t xml:space="preserve">Transformation digitale, nouvelles façons de travailler et de collaborer, profusion de nouvelles méthodes de gestion de projet et d'approches collaboratives… le changement passe d'une logique conjoncturelle à une transformation permanente qui peut entraîner une perte de sens. 
Accompagner une transformation ne se résume pas à des actions de communication et de formation, il faut créer l'adhésion, impliquer et construire ensemble pour permettre aux collaborateurs de s'approprier le changement.
Aujourd'hui, ce que nous proposons, c'est de remettre les collaborateurs au centre de la stratégie et de co-construire avec eux l'accompagnement qui leur convient en leur parlant usages plutôt qu'outils.
C'est pourquoi, nous avons décidé de créer Henko Consulting, un cabinet spécialisé dans l'accompagnement au changement, qu'ils soient technologiques (Cloud, applications digitales, …) ou organisationnels (télétravail, flex work, …).
contact@henko-consulting.com
www.henko-consulting.com
https://www.youtube.com/@henkoconsulting</t>
  </si>
  <si>
    <t>http://www.linkedin.com/in/sidney-tapiero-2ba7291</t>
  </si>
  <si>
    <t xml:space="preserve">Simon Tabourier</t>
  </si>
  <si>
    <t>Tabourier</t>
  </si>
  <si>
    <t>simon.tabourier@kleidi.fr</t>
  </si>
  <si>
    <t xml:space="preserve">Fondateur - dirigeant associé</t>
  </si>
  <si>
    <t>KLEIDI</t>
  </si>
  <si>
    <t>kleidi.fr</t>
  </si>
  <si>
    <t xml:space="preserve">realisation,immobilier,ingenierie,cle en main,conception,construction,bim 3d</t>
  </si>
  <si>
    <t>http://www.linkedin.com/company/saskleidi</t>
  </si>
  <si>
    <t xml:space="preserve">KLEIDI se met au service de ses clients pour la réussite du projet de construction.
Depuis 2022, KLEIDI est associée au mouvement Time for the Planet.</t>
  </si>
  <si>
    <t>http://www.linkedin.com/in/simon-tabourier-1877022b</t>
  </si>
  <si>
    <t xml:space="preserve">Simon Rodriguez</t>
  </si>
  <si>
    <t>Rodriguez</t>
  </si>
  <si>
    <t>simon@agence-s.fr</t>
  </si>
  <si>
    <t>http://www.linkedin.com/in/simon-rodriguez-35133b3b</t>
  </si>
  <si>
    <t xml:space="preserve">Simon Fenerol</t>
  </si>
  <si>
    <t>Fenerol</t>
  </si>
  <si>
    <t>simon@digitalisim.fr</t>
  </si>
  <si>
    <t>DIGITALISIM</t>
  </si>
  <si>
    <t>digitalisim.fr</t>
  </si>
  <si>
    <t xml:space="preserve">creation site internet,referencement naturel seo,referencement payant sea,reseaux sociaux,landing page,notoriete de marque,crm,gestion de la relation client,marketing rh</t>
  </si>
  <si>
    <t>http://www.linkedin.com/company/digitalisim</t>
  </si>
  <si>
    <t xml:space="preserve">DIGITALISIM est votre agence d'acquisition digitale. Nos experts du Web, du CRM, du Paid, du SEO et de la Data transforment vos prospects en clients.</t>
  </si>
  <si>
    <t>http://www.linkedin.com/in/simon-fenerol-3460a899</t>
  </si>
  <si>
    <t xml:space="preserve">Simon Blommaert</t>
  </si>
  <si>
    <t>Blommaert</t>
  </si>
  <si>
    <t>simon@waybox.fr</t>
  </si>
  <si>
    <t>Waybox</t>
  </si>
  <si>
    <t>waybox.fr</t>
  </si>
  <si>
    <t xml:space="preserve">partage de donnees,securisation de donnees,externalisation de donnees,securisation de reseau informatique</t>
  </si>
  <si>
    <t>http://www.linkedin.com/company/waybox</t>
  </si>
  <si>
    <t xml:space="preserve">WAYBOX propose 3 solutions de sauvegarde externalisée et de partage de données pour les TPE et PME.</t>
  </si>
  <si>
    <t>http://www.linkedin.com/in/simon-blommaert-3bab351b</t>
  </si>
  <si>
    <t xml:space="preserve">Sabah Khan</t>
  </si>
  <si>
    <t>Sabah</t>
  </si>
  <si>
    <t>Khan</t>
  </si>
  <si>
    <t>skhan@invictasoftware.com</t>
  </si>
  <si>
    <t xml:space="preserve">Chief Commercial Officer &amp; Co-founder</t>
  </si>
  <si>
    <t xml:space="preserve">INVICTA SOFTWARE</t>
  </si>
  <si>
    <t>invictasoftware.com</t>
  </si>
  <si>
    <t xml:space="preserve">service desk,itsm,password reset,systems management,support desk,help desk,remote control,desktop management,saas cloud,endpoint management,ldms,helpdesk,servicedesk,supportdesk,siem,soar,ueba,patch management,compliance,secops</t>
  </si>
  <si>
    <t>Irvine</t>
  </si>
  <si>
    <t>http://www.linkedin.com/company/invicta-software</t>
  </si>
  <si>
    <t>https://twitter.com/invictasoftware</t>
  </si>
  <si>
    <t>https://www.facebook.com/Invictasoftware</t>
  </si>
  <si>
    <t xml:space="preserve">INVICTA SOFTWARE in 2023 pivoted it's business to become the first of it's kind to offer a fully integrated SecOps platform. Invicta describes SecOps as the synergy &amp; collaboration between IT Security and Operations. It involves integrating tools, processes, and technologies to keep businesses secure and reduce risk. 
This new solution, "InvictaOne" brings these elements together under a single platform to make SecOps a seamless offering. 
Visit www.invictasoftware.com for more information.</t>
  </si>
  <si>
    <t>http://www.linkedin.com/in/sabahmalikkhan</t>
  </si>
  <si>
    <t xml:space="preserve">Sylvain Milleret</t>
  </si>
  <si>
    <t>Milleret</t>
  </si>
  <si>
    <t>smilleret@coreoz.com</t>
  </si>
  <si>
    <t>http://www.linkedin.com/in/sylvainmilleret</t>
  </si>
  <si>
    <t xml:space="preserve">Simon Nabet</t>
  </si>
  <si>
    <t>Nabet</t>
  </si>
  <si>
    <t>snabet@hatmada-group.com</t>
  </si>
  <si>
    <t xml:space="preserve">Hatmada Group</t>
  </si>
  <si>
    <t>hatmada-group.com</t>
  </si>
  <si>
    <t xml:space="preserve">formation,recrutement,commercial,vente,business developpement,prospection,strategie commerciale,qualiopi,chasseur de tete,generation de leads</t>
  </si>
  <si>
    <t>http://www.linkedin.com/company/hatmada-group</t>
  </si>
  <si>
    <t xml:space="preserve">" Vendre est la chose la plus excitante qu'on puisse faire habillé. "
Hatmada Group est un groupe spécialisé dans la vente &amp; la commercialisation.
Chacune de nos filiales est spécialiste d'une thématique qui vous aidera à augmenter vos ventes. 
Nos filiales : 
🔋 Hatmada Recrutement
Spécialiste du recrutement de commerciaux : En CDI, alternance ou en freelance (contractualisation).
Nous utilisons des outils technologiques pour maximiser l'efficacité de vos recrutements : Test de vente, Test de personnalité et IA pour valider la compliance avec vos équipes en place.
🔋 Hatmada Formation :
Nous formons sur l'ensemble des thématiques commerciales :
Prospection, techniques de vente, savoir-être commerciale... 
Nos formations s'appuient sur une transmission de savoir théorique mais aussi et surtout sur une méthodologie atypique, s'appuyant sur le jeu pour ancrer le savoir de vos équipes. 
Organisme de formation Qualiopi 
🔋 Hatmada prospection : 
Nous vous proposons d'externaliser votre prospection, afin de confier cette tache complexe à de vrais spécialistes, vous permettant à la fois de maximiser votre efficacité et surtout de vous concentrer sur votre zone de génie. 
🔋 Hatmada Leads : 
Cette filiale est spécialisée dans la création et l'automatisation d'opportunités commerciales pour vous.
Au lieu de vous vendre des leads, nous mettons en place des campagnes qui vous permettre d'obtenir régulièrement et de manière autonome vos leads. 
🔋 Hatmada Stratégie
Audit et conseil stratégique : Nous auditions vos pratiques commerciales, établissons une stratégie et des process commerciaux sur mesure afin de vous aider à développer vos ventes.</t>
  </si>
  <si>
    <t>http://www.linkedin.com/in/simon-nabet-85379182</t>
  </si>
  <si>
    <t xml:space="preserve">Sofiane Seghier</t>
  </si>
  <si>
    <t>Sofiane</t>
  </si>
  <si>
    <t>Seghier</t>
  </si>
  <si>
    <t>sofiane.seghier@endogene.eu</t>
  </si>
  <si>
    <t>Endogène</t>
  </si>
  <si>
    <t>endogene.eu</t>
  </si>
  <si>
    <t>http://www.linkedin.com/company/endog%c3%a8ne</t>
  </si>
  <si>
    <t xml:space="preserve">Endogène vous accompagne pour construire une coopération authentique et une performance globale durable au sein de vos équipes.</t>
  </si>
  <si>
    <t>http://www.linkedin.com/in/sofiane-seghier-878b5482</t>
  </si>
  <si>
    <t xml:space="preserve">Solal Moati</t>
  </si>
  <si>
    <t>Solal</t>
  </si>
  <si>
    <t>Moati</t>
  </si>
  <si>
    <t>solal@corma.io</t>
  </si>
  <si>
    <t xml:space="preserve">Founder Associate</t>
  </si>
  <si>
    <t>Corma</t>
  </si>
  <si>
    <t>corma.io</t>
  </si>
  <si>
    <t>saas,software,adoption</t>
  </si>
  <si>
    <t>http://www.linkedin.com/company/getcorma</t>
  </si>
  <si>
    <t>https://twitter.com/HeloiseRozes</t>
  </si>
  <si>
    <t xml:space="preserve">Corma is the platform to manage all your software apps, automate access management and cut software costs.</t>
  </si>
  <si>
    <t>http://www.linkedin.com/in/solal-moati</t>
  </si>
  <si>
    <t xml:space="preserve">Sonia Cisse</t>
  </si>
  <si>
    <t>Cisse</t>
  </si>
  <si>
    <t>sonia.cisse@dare-done.com</t>
  </si>
  <si>
    <t xml:space="preserve">DARE DONE</t>
  </si>
  <si>
    <t>dare-done.com</t>
  </si>
  <si>
    <t>http://www.linkedin.com/company/dare-done</t>
  </si>
  <si>
    <t xml:space="preserve">Dare Done est un réseau de conseil en stratégie créé par des consultants expérimentés pour un développement vertueux des PME, focalisé sur la réalisation, dans un contexte de fortes contraintes. Le réseau a pour devise « faire avant d'oser ».</t>
  </si>
  <si>
    <t>http://www.linkedin.com/in/soniacisse</t>
  </si>
  <si>
    <t xml:space="preserve">Sophie Desmedt</t>
  </si>
  <si>
    <t>Desmedt</t>
  </si>
  <si>
    <t>sophie.desmedt@ozeo-consulting.fr</t>
  </si>
  <si>
    <t xml:space="preserve">Manager / Fondatrice &amp; Dirigeante</t>
  </si>
  <si>
    <t xml:space="preserve">OZEO Consulting</t>
  </si>
  <si>
    <t>ozeo-consulting.fr</t>
  </si>
  <si>
    <t>http://www.linkedin.com/company/ozeo-consulting</t>
  </si>
  <si>
    <t xml:space="preserve">👉🏻 OZEO Consulting, c'est une jeune Entreprise au Service du Numérique 👩🏼‍💻 souhaitant apporter une approche différenciée de la prestation intellectuelle 🧠 au travers de valeurs humaines fortes avec un souci de performance, de transparence, d'excellence et de flexibilité. 💪🏻
👉🏻OZEO Consulting, à travers sa division RECRUTEMENT 💼  accompagne également ses clients sur des prestations de recrutement par approche directe.
👉🏻OZEO Consulting, c'est avant tout une team d'OZEONAUTES 👩‍🚀👩‍🚀qualifiés, performants ayant une super personnalité et un réel sens du service client.
Labelisé Great Place To Work 2024-2025</t>
  </si>
  <si>
    <t>http://www.linkedin.com/in/%f0%9f%91%a9%e2%80%8d%f0%9f%9a%80-sophie-desmedt-48241a3b</t>
  </si>
  <si>
    <t xml:space="preserve">Rozet Sophie</t>
  </si>
  <si>
    <t>Rozet</t>
  </si>
  <si>
    <t>sophie.rozet@tempoandco.com</t>
  </si>
  <si>
    <t xml:space="preserve">Présidente - fondatrice</t>
  </si>
  <si>
    <t xml:space="preserve">Tempo &amp; Co</t>
  </si>
  <si>
    <t>tempoandco.com</t>
  </si>
  <si>
    <t>http://www.linkedin.com/company/tempoandco</t>
  </si>
  <si>
    <t xml:space="preserve">Dans un monde de plus en plus complexe et incertain, nous aidons les entreprises à définir des organisations plus agiles et plus efficientes avec des dispositifs humains adaptés qui permettent plus de coopération et d'engagement de chacun.</t>
  </si>
  <si>
    <t>http://www.linkedin.com/in/rozet-sophie-9ab3866</t>
  </si>
  <si>
    <t xml:space="preserve">Stephane Pedeloup</t>
  </si>
  <si>
    <t>Pedeloup</t>
  </si>
  <si>
    <t>spedeloup@gematique.com</t>
  </si>
  <si>
    <t>GEMATIQUE</t>
  </si>
  <si>
    <t>gematique.com</t>
  </si>
  <si>
    <t>Perigueux</t>
  </si>
  <si>
    <t>http://www.linkedin.com/company/gematique</t>
  </si>
  <si>
    <t xml:space="preserve">Tout le développement de Gematique repose sur une vision à long terme : proposer à nos clients un accompagnement à 360°.</t>
  </si>
  <si>
    <t>http://www.linkedin.com/in/st%c3%a9phane-pedeloup-03433971</t>
  </si>
  <si>
    <t xml:space="preserve">Stephane Petitjean</t>
  </si>
  <si>
    <t>Petitjean</t>
  </si>
  <si>
    <t>spetitjean@avm-integration.com</t>
  </si>
  <si>
    <t xml:space="preserve">AVM INTÉGRATION</t>
  </si>
  <si>
    <t>avm-integration.com</t>
  </si>
  <si>
    <t xml:space="preserve">edition de logiciels,controle dacces,video surveillance,partenaire sdk genetec</t>
  </si>
  <si>
    <t>Corbeil-Essonnes</t>
  </si>
  <si>
    <t>http://www.linkedin.com/company/avm-integration</t>
  </si>
  <si>
    <t xml:space="preserve">Nous sommes un Éditeur Français de Logiciels SmartCity et SmartBuilding, spécialisé dans l'efficience des stratégies urbaines. Découvrez l'ensemble de nos solutions en vidéoprotection, gestion de trafic et stationnement, intrusion, contrôle d'accès, badge sur mobile.</t>
  </si>
  <si>
    <t>http://www.linkedin.com/in/st%c3%a9phane-petitjean-3bb50559</t>
  </si>
  <si>
    <t xml:space="preserve">Sandrine Ricard</t>
  </si>
  <si>
    <t>sricard@frisbee-profiling.fr</t>
  </si>
  <si>
    <t xml:space="preserve">FRISBEE PROFILING</t>
  </si>
  <si>
    <t>frisbee-profiling.fr</t>
  </si>
  <si>
    <t xml:space="preserve">technology,web development,assistance technique,regie,qa,testing,agile,product management,automatisation</t>
  </si>
  <si>
    <t>http://www.linkedin.com/company/frisbee-profiling</t>
  </si>
  <si>
    <t>https://twitter.com/FrisbeeProfil</t>
  </si>
  <si>
    <t>https://www.facebook.com/FrisbeeProfiling/</t>
  </si>
  <si>
    <t xml:space="preserve">FRISBEE PROFILING est une Entreprise de Services du Numérique (ESN) qui a été créée en 2016. Nos équipes sont composées de consultants spécialistes de la</t>
  </si>
  <si>
    <t>http://www.linkedin.com/in/sandrinericard</t>
  </si>
  <si>
    <t xml:space="preserve">Sebastien Romefort</t>
  </si>
  <si>
    <t>Romefort</t>
  </si>
  <si>
    <t>sromefort@hyg-up.com</t>
  </si>
  <si>
    <t xml:space="preserve">Directeur Général réseau HYG'UP</t>
  </si>
  <si>
    <t xml:space="preserve">RÉSEAU NATIONAL HYG UP</t>
  </si>
  <si>
    <t>hyg-up.com</t>
  </si>
  <si>
    <t xml:space="preserve">ecocert,hygiene,hygiene professionnelle,loisirs,ecovadis,restauration,medical,nettoyage,sante,proprete,ecolabel,hotellerie,materiel de nettoyage,collectivite</t>
  </si>
  <si>
    <t>http://www.linkedin.com/company/hyg-up</t>
  </si>
  <si>
    <t>https://twitter.com/hyg_up</t>
  </si>
  <si>
    <t>https://www.facebook.com/hygup/</t>
  </si>
  <si>
    <t xml:space="preserve">HYG'UP est un réseau d'entreprises spécialisées dans la vente de produits et matériels d'hygiène en B to B (collectivités, CHR, hôpitaux, industrie etc…). Actuellement implantés sur la moitié nord de la France, nos 130 collaborateurs sont attachés à la proximité du service clients.
Nous proposons une large gamme de produits pour l'hygiène en cuisine, l'hygiène des sols et surfaces, l'hygiène sanitaire, l'hygiène corporelle, l'hygiène du linge, l'essuyage, l'harmonie de la table….ainsi que du matériel comme les auto-laveuses, la brosserie professionnelle, les aspirateurs…
Nous travaillons avec des fournisseurs partenaires de qualité, afin de garantir à nos clients une sélection de produits innovants et performants, adoptés par les plus grands professionnels de l'hygiène.
Nous disposons d'équipes logistiques et techniques pouvant intervenir sur tout notre territoire.
Le développement de la RSE fait partie intégrante de notre stratégie. Nous proposons une large gamme de produits écolabel et sommes sensibles au recyclage de nos déchets. Nous plaçons l'esprit du collectif au centre de nos projets. Nous sommes d'ores et déjà engagés dans diverses associations, via notre Fonds de Dotation HYG'UP, qui donnent sens aux valeurs que nous défendons telles que la confiance, le respect, la solidarité et le plaisir.</t>
  </si>
  <si>
    <t>http://www.linkedin.com/in/s%c3%a9bastien-romefort-15a1192</t>
  </si>
  <si>
    <t xml:space="preserve">Steeve Waymel</t>
  </si>
  <si>
    <t>Steeve</t>
  </si>
  <si>
    <t>Waymel</t>
  </si>
  <si>
    <t>steeve@sphere-telecom.com</t>
  </si>
  <si>
    <t xml:space="preserve">Gérant / fondateur</t>
  </si>
  <si>
    <t xml:space="preserve">Sphère Télécom | Opérateur Téléphonique internet, téléphonie fixe et mobile | 3CX Platinium</t>
  </si>
  <si>
    <t>sphere-telecom.com</t>
  </si>
  <si>
    <t xml:space="preserve">click2call,3cx,reseau,visioconference,voip,standard ipbx,fttx,ftte,communications unifiees,webconference,toip,telecom,connexion internet,telephonie hebergee,ftth,telephonie d39entreprise,multisite,telephonie dentreprise,ucaas,ftto,trunk sip,wazo</t>
  </si>
  <si>
    <t>Hallennes-lez-Haubourdin</t>
  </si>
  <si>
    <t>http://www.linkedin.com/company/sph%c3%a8re-telecom</t>
  </si>
  <si>
    <t>https://twitter.com/sphere_telecom</t>
  </si>
  <si>
    <t>https://fr-fr.facebook.com/sphere.telecom/</t>
  </si>
  <si>
    <t xml:space="preserve">Offre globale et convergente aux professionnels et PME : Téléphonie Fixe et Mobile, Internet Fixe et Mobile. Sphère Télécom opérateur de services pour les entreprises depuis 2006</t>
  </si>
  <si>
    <t>http://www.linkedin.com/in/steeve-waymel</t>
  </si>
  <si>
    <t xml:space="preserve">Stephane Bauduin</t>
  </si>
  <si>
    <t>Bauduin</t>
  </si>
  <si>
    <t>stephane.bauduin@metamorphose-groupe.com</t>
  </si>
  <si>
    <t xml:space="preserve">Directeur général associé Cofondateur</t>
  </si>
  <si>
    <t>http://www.linkedin.com/in/st%c3%a9phane-bauduin-0842368a</t>
  </si>
  <si>
    <t xml:space="preserve">Stephane Marioni</t>
  </si>
  <si>
    <t>Marioni</t>
  </si>
  <si>
    <t>stephane.marioni@smc-cit.com</t>
  </si>
  <si>
    <t xml:space="preserve">SMC Consulting IT</t>
  </si>
  <si>
    <t>smc-cit.com</t>
  </si>
  <si>
    <t xml:space="preserve">amoa gestion et direction de projet,formations,production informatique,assistance technique,ordonnancement,supervision hypervision gestion capacite</t>
  </si>
  <si>
    <t>http://www.linkedin.com/company/smc-consulting-it</t>
  </si>
  <si>
    <t>https://twitter.com/SMCConsultingIT</t>
  </si>
  <si>
    <t xml:space="preserve">La réussite de vos projets et le respect de nos engagements sont au cœur de notre métier, nous vous garantissons la meilleure expertise.</t>
  </si>
  <si>
    <t>http://www.linkedin.com/in/stephanemarioni</t>
  </si>
  <si>
    <t xml:space="preserve">Stephane Nouy</t>
  </si>
  <si>
    <t>Nouy</t>
  </si>
  <si>
    <t>stephane.nouy@moneythor.com</t>
  </si>
  <si>
    <t xml:space="preserve">Chief Solutions Officer</t>
  </si>
  <si>
    <t>Moneythor</t>
  </si>
  <si>
    <t>moneythor.com</t>
  </si>
  <si>
    <t xml:space="preserve">personal finance,online banking,mobile banking,software,analytics,digital banking,fintech</t>
  </si>
  <si>
    <t>http://www.linkedin.com/company/moneythor</t>
  </si>
  <si>
    <t>https://twitter.com/moneythor</t>
  </si>
  <si>
    <t>https://www.facebook.com/moneythorhq</t>
  </si>
  <si>
    <t xml:space="preserve">Make all digital banking interactions personalised and compelling from acquisition, to activation, to engagement.</t>
  </si>
  <si>
    <t>http://www.linkedin.com/in/stephanenouy</t>
  </si>
  <si>
    <t xml:space="preserve">Stephane Pernet</t>
  </si>
  <si>
    <t>Pernet</t>
  </si>
  <si>
    <t>stephane.pernet@maisonpernet.com</t>
  </si>
  <si>
    <t xml:space="preserve">Maison Pernet</t>
  </si>
  <si>
    <t>maisonpernet.com</t>
  </si>
  <si>
    <t>Perrigny</t>
  </si>
  <si>
    <t>http://www.linkedin.com/company/maison-pernet</t>
  </si>
  <si>
    <t>https://www.facebook.com/groupepernet/</t>
  </si>
  <si>
    <t>http://www.linkedin.com/in/st%c3%a9phane-pernet-33b3b419b</t>
  </si>
  <si>
    <t xml:space="preserve">Stephane Vrignaud</t>
  </si>
  <si>
    <t>Vrignaud</t>
  </si>
  <si>
    <t>stephane.vrignaud@optesys.fr</t>
  </si>
  <si>
    <t xml:space="preserve">Optesys Conseil</t>
  </si>
  <si>
    <t>optesys.fr</t>
  </si>
  <si>
    <t xml:space="preserve">accompagnement au changement,expertise,diagnostic organisationnel et informatique,optimisation et adaptation des flux,transformation numerique,dsi delegue,logiciel,protection des donnees personnelles,pme,mise en conformite au rgpd,management de projets,informatique,progiciel,schema directeur,rgpd,conseil,aide au choix,expertise metier solutions configuration</t>
  </si>
  <si>
    <t>http://www.linkedin.com/company/optesys-conseil</t>
  </si>
  <si>
    <t xml:space="preserve">Optesys accompagne les dirigeants de PME dans la mise en œuvre de leur stratégie, dans la conduite de projets d’organisation. Optesys pilote également les projets de changement du système d’information.</t>
  </si>
  <si>
    <t>http://www.linkedin.com/in/st%c3%a9phane-vrignaud-71513429</t>
  </si>
  <si>
    <t xml:space="preserve">Stephane Paoletti</t>
  </si>
  <si>
    <t>Paoletti</t>
  </si>
  <si>
    <t>stephane@cids-grossiste-cbd.com</t>
  </si>
  <si>
    <t xml:space="preserve">CIDS France</t>
  </si>
  <si>
    <t>cids-grossiste-cbd.com</t>
  </si>
  <si>
    <t>Marmande</t>
  </si>
  <si>
    <t>http://www.linkedin.com/company/cids-france</t>
  </si>
  <si>
    <t xml:space="preserve">Nous avons créé CIDS France parce que nous croyons aux vertus des phytocannabinoïdes. Notre objectif est de faire du cannabis un allié fiable et sûr du bien-être quotidien.  
Nous imaginons et fabriquons en France, des produits simples d'utilisation qui peuvent facilement s'intégrer dans une routine quotidienne.
Nous pensons qu'il est grand temps de rendre le cannabis accessible et compréhensible pour tous.
Notre laboratoire est pionnier dans les produits dérivés en utilisant l'ensemble des molécules du cannabis et des plantes médicinales. Nos produits sont 100% naturels, efficaces et de qualité pharmaceutique. Le pôle Recherche &amp; Développement de CIDS France garantit une traçabilité exemplaire de la graine jusqu'au produit fini. Nos analyses sont protégées sur la blockchain publique ISO27000.</t>
  </si>
  <si>
    <t>http://www.linkedin.com/in/stephane-paoletti-615105234</t>
  </si>
  <si>
    <t xml:space="preserve">Stephane Folliet</t>
  </si>
  <si>
    <t>Folliet</t>
  </si>
  <si>
    <t>stephane@hojiventures.com</t>
  </si>
  <si>
    <t xml:space="preserve">Founder  General Partner</t>
  </si>
  <si>
    <t xml:space="preserve">Hoji Ventures</t>
  </si>
  <si>
    <t>hojiventures.com</t>
  </si>
  <si>
    <t xml:space="preserve">startup,startup studio,industrie 50,transition environnementale,decarbonation,sobriete,circularite,resilience,innovation,impact,tech,logiciels,numerique,b2b,entreprenariat,territoires,ecoconception,venture capital</t>
  </si>
  <si>
    <t>http://www.linkedin.com/company/hojiventures</t>
  </si>
  <si>
    <t xml:space="preserve">Découvrez HOJI, le startup studio qui accompagne les industriels dans leur transition écologique et énergétique. Nous développons des solutions durables en éco-conception, circularité, réparabilité et optimisation de l'usage des produits pour un impact environnemental réduit.</t>
  </si>
  <si>
    <t>http://www.linkedin.com/in/stephane-folliet-a281534</t>
  </si>
  <si>
    <t xml:space="preserve">Steve Orsonneau</t>
  </si>
  <si>
    <t>Orsonneau</t>
  </si>
  <si>
    <t>steve.orsonneau@sn2o.fr</t>
  </si>
  <si>
    <t xml:space="preserve">Co-créateur et dirigeant</t>
  </si>
  <si>
    <t xml:space="preserve">SN2O : Société Numérique de L’Ouest</t>
  </si>
  <si>
    <t>sn2o.fr</t>
  </si>
  <si>
    <t>Mouilleron-le-Captif</t>
  </si>
  <si>
    <t xml:space="preserve">reseaux,systemes courants faibles,appel malade,telephonie,video,anti fugue,protection des personnes,intrusion</t>
  </si>
  <si>
    <t>Belleville-sur-Vie</t>
  </si>
  <si>
    <t>http://www.linkedin.com/company/sn2o</t>
  </si>
  <si>
    <t>https://www.facebook.com/sn2o.fr</t>
  </si>
  <si>
    <t xml:space="preserve">SN2O est au coeur des nouvelles technologies, pour faciliter votre communication d'entreprise. Nos métiers : télécoms, réseaux, santé, sécurité..</t>
  </si>
  <si>
    <t>http://www.linkedin.com/in/steve-orsonneau-45995b108</t>
  </si>
  <si>
    <t xml:space="preserve">Steven Tannous</t>
  </si>
  <si>
    <t>Steven</t>
  </si>
  <si>
    <t>Tannous</t>
  </si>
  <si>
    <t>steven@dryftme.com</t>
  </si>
  <si>
    <t xml:space="preserve">Dryft by Tannous Transport</t>
  </si>
  <si>
    <t>dryftme.com</t>
  </si>
  <si>
    <t xml:space="preserve">marketplaces,ecommerce,sporting goods,information technology,consumer goods,consumers</t>
  </si>
  <si>
    <t>Osny</t>
  </si>
  <si>
    <t>http://www.linkedin.com/company/dryftme</t>
  </si>
  <si>
    <t xml:space="preserve">Dryft vient donner un nouvel élan grâce à sa plateforme 100% digitale. 
Nous mettons à votre disposition nos salariés et ne sous-traitons aucun de nos services afin de vous garantir une continuité de prestation de qualité ; indispensable pour le rayonnement auprès de vos clients car, votre réussite est notre fierté !  
Des professionnels du transport et de la logistique sont à votre écoute pour vous épauler ainsi qu'un tableau de bord intelligent pour votre gestion interne et une mutualisation de vos courses. 
La livraison étant une arme de vente massive, notre ambition est de révolutionner le secteur du transport en s'inscrivant dans une démarche éco-responsable et en essayant de limiter au mieux notre empreinte écologique avec notamment la reprise de vos emballages lors de votre livraison.
Pour en savoir plus, rendez-vous sur notre site internet : www.dryftme.com 
Contactez-nous au +33 1 86 23 03 13  
ou par e-mail à l'adresse suivante : contact@dryftme.com</t>
  </si>
  <si>
    <t>http://www.linkedin.com/in/steven-tannous-407152196</t>
  </si>
  <si>
    <t xml:space="preserve">Sylvain Bonnot</t>
  </si>
  <si>
    <t>Bonnot</t>
  </si>
  <si>
    <t>sylvain.bonnot@myral.com</t>
  </si>
  <si>
    <t>Myral</t>
  </si>
  <si>
    <t>myral.com</t>
  </si>
  <si>
    <t>Is-sur-Tille</t>
  </si>
  <si>
    <t xml:space="preserve">isolation par lexterieur,economies denergie,economies d39energie,eco conception,isolation par l39exterieur</t>
  </si>
  <si>
    <t>http://www.linkedin.com/company/myral</t>
  </si>
  <si>
    <t xml:space="preserve">Découvrez Myral, spécialiste des systèmes d'isolation par l'extérieur et d'habillage de façades proposant des solutions d'isolation thermique par l'extérieur performantes à travers Uniso pour les projets d'isolation des particuliers et Myral Pro pour l'isolation des bâtiments publics et des logements.</t>
  </si>
  <si>
    <t>http://www.linkedin.com/in/sylvain-bonnot-myral</t>
  </si>
  <si>
    <t xml:space="preserve">Sylvain Joly</t>
  </si>
  <si>
    <t>Joly</t>
  </si>
  <si>
    <t>sylvain.joly@recyclivre.com</t>
  </si>
  <si>
    <t>Recyclivre</t>
  </si>
  <si>
    <t>http://www.linkedin.com/company/recyclivre-com</t>
  </si>
  <si>
    <t xml:space="preserve">Recyclivre.com est le 1er vendeur français engagé de livres d'occasion en ligne.📚
Amoureux des livres, engagés pour l'écologie et la solidarité, nous collectons vos livres, CD, DVD et vinyles gratuitement à domicile. Ils sont ensuite vendus sur internet et une part des revenus nets sont reversés à des associations œuvrant pour l'humain et l'environnement ! 🧡🌱
Dorénavant RecycLivre rachète aussi vos livres, rendez vous sur l'application Android et IOS RecycLivre Rachète. 📲📙
Retrouvez-ici toutes nos infos, concours, actualités et événements.</t>
  </si>
  <si>
    <t>http://www.linkedin.com/in/sylvain-joly</t>
  </si>
  <si>
    <t xml:space="preserve">Sylvain Chatton</t>
  </si>
  <si>
    <t>Chatton</t>
  </si>
  <si>
    <t>sylvain@addon.fr</t>
  </si>
  <si>
    <t>Add-On</t>
  </si>
  <si>
    <t>addon.fr</t>
  </si>
  <si>
    <t xml:space="preserve">office 365,veeam,vmware,dropbox,windows server,res software,thinprint,citrix,xivo,veritas,watsoft,autocad lt,sophos,stormshield,hyperv,synology,peplink,dell,prtg,boxcryptor,cisco,lenovo,access solutions,fujitsu,microsoft</t>
  </si>
  <si>
    <t>Vigny</t>
  </si>
  <si>
    <t>http://www.linkedin.com/company/add-on-consulting</t>
  </si>
  <si>
    <t>https://www.facebook.com/AddOnConsultingFrance/</t>
  </si>
  <si>
    <t xml:space="preserve">Votre partenaire informatique au quotidien</t>
  </si>
  <si>
    <t>http://www.linkedin.com/in/sylvain-le-chatton-b2867a14</t>
  </si>
  <si>
    <t xml:space="preserve">Sylvain Denis</t>
  </si>
  <si>
    <t>sylvain@triple-d.fr</t>
  </si>
  <si>
    <t>Triple-D</t>
  </si>
  <si>
    <t>triple-d.fr</t>
  </si>
  <si>
    <t xml:space="preserve">scenographie,creation de mobilier,amenagement d39espaces,evenementiel,amenagement despaces</t>
  </si>
  <si>
    <t>http://www.linkedin.com/company/triple-d</t>
  </si>
  <si>
    <t>https://www.facebook.com/tripledfr</t>
  </si>
  <si>
    <t xml:space="preserve">Triple-D est une société prestataire de service, spécialisée dans la création puis la location et la vente d'aménagement d'espace et scénographie d'événements en éco-conception.
2019 : Lauréat du Grand Prix Heavent Paris de la meilleure réalisation de stand et décor pour Dour Festival 2019</t>
  </si>
  <si>
    <t>http://www.linkedin.com/in/sylvain-denis-09226b69</t>
  </si>
  <si>
    <t xml:space="preserve">Sylvestre Olgiati</t>
  </si>
  <si>
    <t>Sylvestre</t>
  </si>
  <si>
    <t>Olgiati</t>
  </si>
  <si>
    <t>sylvestre.olgiati@funepro.fr</t>
  </si>
  <si>
    <t xml:space="preserve">Président - Directeur général de FUNÉPRO</t>
  </si>
  <si>
    <t>FUNEPRO</t>
  </si>
  <si>
    <t>funepro.fr</t>
  </si>
  <si>
    <t>Lucon</t>
  </si>
  <si>
    <t xml:space="preserve">plaques funeraires,souvenirs,travail de la pierre,gravure sur granit et marbre,marbrerie,negoce darticles funeraires,bougies,creation de produits,commercialisation aupres des pompes funebres</t>
  </si>
  <si>
    <t>http://www.linkedin.com/company/funepro</t>
  </si>
  <si>
    <t xml:space="preserve">FUNÉPRO - Accueil - Manufacture d'arts funéraire. Découvrez nos marques, notre manufacture et notre historique à travers ce site.</t>
  </si>
  <si>
    <t>http://www.linkedin.com/in/sylvestre-olgiati-%f0%9f%8d%83-a6590a80</t>
  </si>
  <si>
    <t xml:space="preserve">Sylvie Boichot</t>
  </si>
  <si>
    <t>Boichot</t>
  </si>
  <si>
    <t>sylvie.boichot@moveinmed.com</t>
  </si>
  <si>
    <t xml:space="preserve">Fondatrice  Présidente</t>
  </si>
  <si>
    <t xml:space="preserve">Move In Med</t>
  </si>
  <si>
    <t xml:space="preserve">habitat connecte,esante,coordination parcours de soins</t>
  </si>
  <si>
    <t>Baillargues</t>
  </si>
  <si>
    <t>http://www.linkedin.com/company/moveinmed</t>
  </si>
  <si>
    <t xml:space="preserve">Pionnière en matière de coordination ville-hôpital, Move in Med propose des solutions intégrées comprenant accompagnement stratégique et outils numériques (plateforme web sécurisée de coordination des soins) pour fluidifier les parcours de soins des patients atteints de maladies chroniques. 
Forte d'une expertise de plus de 10 ans sur le terrain au plus près des patients et des acteurs du soins, Move in Med accompagne aujourd'hui plus d'une vingtaine d'équipes, établissements de soins et institutionnels dans le déploiement de dispositifs de coordination ville-hôpital ou d'habitats intergénérationnels efficients et évaluables.</t>
  </si>
  <si>
    <t>http://www.linkedin.com/in/sylvie-boichot-104929100</t>
  </si>
  <si>
    <t xml:space="preserve">Sylvie Etancelin</t>
  </si>
  <si>
    <t>Etancelin</t>
  </si>
  <si>
    <t>sylvie.etancelin@altam.fr</t>
  </si>
  <si>
    <t xml:space="preserve">Directrice Générale Adjointe &amp; D.R.H. Altam</t>
  </si>
  <si>
    <t>Altam</t>
  </si>
  <si>
    <t>altam.fr</t>
  </si>
  <si>
    <t xml:space="preserve">formation,consulting bim,cao,detachement de personnel dans les bureaux detudes,services et materiel it,logiciels,recrutement,cloud,infogerance,maintenance informatique,regie,delegation de personnel,materiel informatique,location de postes informatiques,microsoft,autodesk,adobe,microsoft azure</t>
  </si>
  <si>
    <t>http://www.linkedin.com/company/groupealtam</t>
  </si>
  <si>
    <t>https://facebook.com/caduc.sarl</t>
  </si>
  <si>
    <t xml:space="preserve">Altam, entreprise de service informatique de services et solutions technologiques : Infogérance, Logiciels, Matériel et Formation</t>
  </si>
  <si>
    <t>http://www.linkedin.com/in/sylvie-etancelin-ab544753</t>
  </si>
  <si>
    <t xml:space="preserve">Thierry Bloch</t>
  </si>
  <si>
    <t>Bloch</t>
  </si>
  <si>
    <t>t.bloch@eclipse-diffusion.fr</t>
  </si>
  <si>
    <t xml:space="preserve">ECLIPSE DIFFUSION</t>
  </si>
  <si>
    <t>eclipse-diffusion.fr</t>
  </si>
  <si>
    <t xml:space="preserve">mise en lumiere,eclairagiste,dialux relux</t>
  </si>
  <si>
    <t>http://www.linkedin.com/company/eclipse-diffusion</t>
  </si>
  <si>
    <t xml:space="preserve">Notre pratique et notre expérience nous a permis de présenter et d'affirmer notre savoir faire dans le domaine de l'Eclairage Professionnel.</t>
  </si>
  <si>
    <t>http://www.linkedin.com/in/thierry-bloch-05817073</t>
  </si>
  <si>
    <t xml:space="preserve">Thierry Leroux</t>
  </si>
  <si>
    <t>t.leroux@performances-lba.fr</t>
  </si>
  <si>
    <t xml:space="preserve">Performances LBA</t>
  </si>
  <si>
    <t>performances-lba.fr</t>
  </si>
  <si>
    <t xml:space="preserve">maitrise doeuvre &amp; contractant general</t>
  </si>
  <si>
    <t>http://www.linkedin.com/company/performances-lba</t>
  </si>
  <si>
    <t>https://www.facebook.com/PerformancesLBa</t>
  </si>
  <si>
    <t xml:space="preserve">Du premier relevé de mesure à la livraison clefs en main de votre chantier, en passant par la gestion administrative et financière de vos travaux, toute l'équipe de Performances LBA se tient prête à étudier et à maîtriser vos projets.
CONTRACTANT GÉNÉRAL
- Maîtrise d'oeuvre d'exécution
- Études techniques liées au projet
- Assistance au Maître d'Ouvrage ou à l'Architecte pour l'élaboration de la phase administrative
- Élaboration de Déclaration Préalable, Permis de Construire et de Démolir
- Adaptation de concept suivant cahier des charges
- Audit de l'existant avant signature du bail pour aide à la décision
- Étude de faisabilité
- Ingénierie lots techniques
- Suivi de travaux, du chiffrage à la levée des réserves
- Suivi budgétaire
- Assistance juridique liée au projet</t>
  </si>
  <si>
    <t>http://www.linkedin.com/in/thierry-leroux</t>
  </si>
  <si>
    <t xml:space="preserve">Thomas Tuncq</t>
  </si>
  <si>
    <t>Tuncq</t>
  </si>
  <si>
    <t>t.tuncq@allure-automobile.com</t>
  </si>
  <si>
    <t xml:space="preserve">Dirigeant Allure Auto Arras</t>
  </si>
  <si>
    <t xml:space="preserve">Groupe ALLURE AUTO</t>
  </si>
  <si>
    <t>allure-automobile.com</t>
  </si>
  <si>
    <t xml:space="preserve">aide a la vente,occasion,achat,vente,importation vehicules neufs,reprise,recherche personnalisee</t>
  </si>
  <si>
    <t>http://www.linkedin.com/company/allureauto</t>
  </si>
  <si>
    <t xml:space="preserve">Allure Auto, votre spécialiste de la voiture neuve, zéro km et d'occasion sur Amiens, Beauvais et Arras depuis 2012</t>
  </si>
  <si>
    <t>http://www.linkedin.com/in/thomas-tuncq-26798690</t>
  </si>
  <si>
    <t xml:space="preserve">Theo Lindemans</t>
  </si>
  <si>
    <t>Theo</t>
  </si>
  <si>
    <t>Lindemans</t>
  </si>
  <si>
    <t>theo.lindemans@jeece.fr</t>
  </si>
  <si>
    <t>JEECE</t>
  </si>
  <si>
    <t>jeece.fr</t>
  </si>
  <si>
    <t xml:space="preserve">conseil,site web,systeme d39information,ingenierie financiere,systeme dinformation,electronique,energie,audit,application,traduction technique,transformation digitale</t>
  </si>
  <si>
    <t>http://www.linkedin.com/company/jeece</t>
  </si>
  <si>
    <t>https://twitter.com/JuniorJEECE</t>
  </si>
  <si>
    <t>https://facebook.com/JEECE.JE</t>
  </si>
  <si>
    <t xml:space="preserve">Chez JEECE , Junior-Entreprise de l'École centrale d'électronique. Profitez de notre expertise en informatique et électronique. Jeece Junior-Entreprise d'Éléctronique de l'ECE Paris .</t>
  </si>
  <si>
    <t>http://www.linkedin.com/in/th%c3%a9o-lindemans</t>
  </si>
  <si>
    <t xml:space="preserve">Thibault Viort</t>
  </si>
  <si>
    <t>Viort</t>
  </si>
  <si>
    <t>thibault.viort@bloomflow.com</t>
  </si>
  <si>
    <t>Bloomflow</t>
  </si>
  <si>
    <t>bloomflow.com</t>
  </si>
  <si>
    <t xml:space="preserve">enterprise software,startups,innovation management,collaboration software,software,information technology,open innovation,innovation,innovation grands groupes,saas,business intelligence,collaborative innovation,ecosystem management</t>
  </si>
  <si>
    <t>http://www.linkedin.com/company/bloomflow</t>
  </si>
  <si>
    <t xml:space="preserve">Bloomflow is an innovation management platform empowering large enterprises to thrive in today's rapidly changing business landscape.</t>
  </si>
  <si>
    <t>http://www.linkedin.com/in/thibaultviort</t>
  </si>
  <si>
    <t xml:space="preserve">Thibaut Favre</t>
  </si>
  <si>
    <t>Favre</t>
  </si>
  <si>
    <t>thibaut@inch.fr</t>
  </si>
  <si>
    <t>Inch</t>
  </si>
  <si>
    <t>inch.fr</t>
  </si>
  <si>
    <t xml:space="preserve">real estate,property management,enterprise software,software,information technology</t>
  </si>
  <si>
    <t>http://www.linkedin.com/company/inch</t>
  </si>
  <si>
    <t>https://twitter.com/inchsider/</t>
  </si>
  <si>
    <t>https://www.facebook.com/inchsider/</t>
  </si>
  <si>
    <t xml:space="preserve">Home page</t>
  </si>
  <si>
    <t>http://www.linkedin.com/in/thibautfavre</t>
  </si>
  <si>
    <t xml:space="preserve">Thierry Brejon</t>
  </si>
  <si>
    <t>Brejon</t>
  </si>
  <si>
    <t>thierry.brejon@vditelecom.fr</t>
  </si>
  <si>
    <t xml:space="preserve">VDI TELECOM</t>
  </si>
  <si>
    <t>vditelecom.fr</t>
  </si>
  <si>
    <t>telecom,internet,securite,mobilite</t>
  </si>
  <si>
    <t>http://www.linkedin.com/company/vdi-telecom</t>
  </si>
  <si>
    <t xml:space="preserve">VDI Télécom, partenaire SFR business à Lyon à votre service depuis plus de 25 ans, vous accompagne sur tous vos projets de communication unifiées</t>
  </si>
  <si>
    <t>http://www.linkedin.com/in/thierry-brejon-b26b32147</t>
  </si>
  <si>
    <t xml:space="preserve">Thierry Cudelou</t>
  </si>
  <si>
    <t>Cudelou</t>
  </si>
  <si>
    <t>thierry.cudelou@msc-caen.fr</t>
  </si>
  <si>
    <t xml:space="preserve">MSC CONSTRUCTION METALLIQUE</t>
  </si>
  <si>
    <t>msc-caen.fr</t>
  </si>
  <si>
    <t>Cormelles-le-Royal</t>
  </si>
  <si>
    <t>http://www.linkedin.com/company/msc-construction-metallique</t>
  </si>
  <si>
    <t xml:space="preserve">MSC CONSTRUCTION METALLIQUE is an individual &amp; family services company based out of BD DE L ESPERANCE, Cormelles Le Royal, Normandie, France.</t>
  </si>
  <si>
    <t>http://www.linkedin.com/in/thierry-cudelou-559a37a2</t>
  </si>
  <si>
    <t xml:space="preserve">Thierry Kock</t>
  </si>
  <si>
    <t>Kock</t>
  </si>
  <si>
    <t>thierry.kock@illinks.fr</t>
  </si>
  <si>
    <t>Illinks</t>
  </si>
  <si>
    <t>illinks.fr</t>
  </si>
  <si>
    <t xml:space="preserve">one clic,dematerialisation de factures,gestion electronique de documents,clood francais,gestion de fichiers pdf,consultation de pieces comptables en ligne,simplification de la gestion administrative</t>
  </si>
  <si>
    <t>http://www.linkedin.com/company/illinks-ged-designer</t>
  </si>
  <si>
    <t xml:space="preserve">illinks conçoit le design de GED Premium pour les experts comptables et les entreprises entièrement personnalisées</t>
  </si>
  <si>
    <t>http://www.linkedin.com/in/thierry-kock-7340b560</t>
  </si>
  <si>
    <t xml:space="preserve">Thierry Montard</t>
  </si>
  <si>
    <t>Montard</t>
  </si>
  <si>
    <t>thierry.montard@3s2i.fr</t>
  </si>
  <si>
    <t>http://www.linkedin.com/in/thierry-montard-47ab1210a</t>
  </si>
  <si>
    <t xml:space="preserve">Thierry Ramard</t>
  </si>
  <si>
    <t>Ramard</t>
  </si>
  <si>
    <t>thierry.ramard@ageris-consulting.com</t>
  </si>
  <si>
    <t xml:space="preserve">Président d'AGERIS Group</t>
  </si>
  <si>
    <t xml:space="preserve">Ageris GROUP</t>
  </si>
  <si>
    <t>ageris-consulting.com</t>
  </si>
  <si>
    <t xml:space="preserve">conseil et formation continuite dactivite,conseil et formation quotinformatique et libertesquot,conseil et formation securite des systemes dinformation,solution score compliance pour les rssi cso,solution score privcy pour les cil dpo,conseil et formation informatique et libertes,conseil et formation quotcontinuite d39activitequot,formation pcapra,conseil mise en conformite rgpd,conseil cybersecurite,formation et sensibilisation cybersecurite,dpo externe,conseil pcapra,conseil et formation quotsecurite des systemes d39informationquot,formation et sensibilisation rgpd</t>
  </si>
  <si>
    <t>http://www.linkedin.com/company/ageris-consulting</t>
  </si>
  <si>
    <t>https://www.twitter.com/group_ageris</t>
  </si>
  <si>
    <t>https://facebook.com/agerisgroup</t>
  </si>
  <si>
    <t xml:space="preserve">Chez Ageris GROUP, nous sommes experts en cybersécurité et conformité au RGPD ainsi qu'en PCA et gestion de crise.</t>
  </si>
  <si>
    <t>http://www.linkedin.com/in/thierry-ramard-30745b</t>
  </si>
  <si>
    <t xml:space="preserve">Thomas Carpaye</t>
  </si>
  <si>
    <t>Carpaye</t>
  </si>
  <si>
    <t>thomas.carpaye@shodo.io</t>
  </si>
  <si>
    <t>http://www.linkedin.com/in/thomascarpaye</t>
  </si>
  <si>
    <t xml:space="preserve">Thomas Chabrol</t>
  </si>
  <si>
    <t>Chabrol</t>
  </si>
  <si>
    <t>thomas.chabrol@cube-renovations.fr</t>
  </si>
  <si>
    <t>CUBE</t>
  </si>
  <si>
    <t>cube-renovations.fr</t>
  </si>
  <si>
    <t xml:space="preserve">peinture,maconnerie,revetement de surfaces en materiaux durs,revetement de surfaces en materiaux souples,electricite,menuiseries exterieures,plomberie,platrerie,menuiseries interieures,installation thermique de genie climatique</t>
  </si>
  <si>
    <t>http://www.linkedin.com/company/cube-renovations</t>
  </si>
  <si>
    <t xml:space="preserve">Cube Renovations Paris réalise les travaux de renovation des immeubles et bureaux pour des professionnels et architectes.</t>
  </si>
  <si>
    <t>http://www.linkedin.com/in/thomaschabrol</t>
  </si>
  <si>
    <t xml:space="preserve">Thomas Delacour</t>
  </si>
  <si>
    <t>Delacour</t>
  </si>
  <si>
    <t>thomas.delacour@s-grignolo.net</t>
  </si>
  <si>
    <t xml:space="preserve">S. Grignolo</t>
  </si>
  <si>
    <t>s-grignolo.net</t>
  </si>
  <si>
    <t xml:space="preserve">intrusion,courant fort,panneaux photovoltaiques,eclairage,bornes de recharge vehicules electriques,courant faible,alarme incendie,securite</t>
  </si>
  <si>
    <t>http://www.linkedin.com/company/s-grignolo</t>
  </si>
  <si>
    <t>https://www.facebook.com/people/Soci%C3%A9t%C3%A9-Grignolo/100064100077145/</t>
  </si>
  <si>
    <t xml:space="preserve">Pour tous vos besoins électriques, nos techniciens interviennent chez vous dans les meilleurs délais sur l’ensemble du territoire aubois. Réactifs, nous proposons des solutions innovantes et des produits de haute performance pour les professionnels de l’habitat, du tertiaire et les particuliers.</t>
  </si>
  <si>
    <t>http://www.linkedin.com/in/thomas-delacour-7912bb40</t>
  </si>
  <si>
    <t xml:space="preserve">Thomas Dion</t>
  </si>
  <si>
    <t>Dion</t>
  </si>
  <si>
    <t>thomas.dion@ingely.fr</t>
  </si>
  <si>
    <t>INGELY</t>
  </si>
  <si>
    <t>ingely.fr</t>
  </si>
  <si>
    <t xml:space="preserve">informatique,assistance telephonique hotline,installation et parametrages de logiciels,formation a lutilisation de logiciels de gestion,conseil et vente logiciels de gestion,telephonie,support technique,formation a l39utilisation de logiciels de gestion</t>
  </si>
  <si>
    <t>Sevremoine</t>
  </si>
  <si>
    <t>http://www.linkedin.com/company/fbsi</t>
  </si>
  <si>
    <t xml:space="preserve">INGELY, expert en Logiciels de Gestion depuis 1997.
Spécialisée dans le domaine du Bâtiment, le Négoce, l'E-commerce et la production.
Nous sommes revendeurs des solutions de Gestion commerciale, Comptabilité, CRM, Décisionnel, Planning et ERP pour les entreprises du 17 / 44 / 49 / 79 / 85 / 86.
La société peut aussi vous proposer d'intervenir pour la maintenance de votre informatique, infrastructure réseau, internet ou téléphonie.
Partenaire certifié des logiciels de gestion CODIAL, EBP, VISUAL PLANNING, BATEAM, PENNYLANE, KALITICS, DOCUWARE, INFINEO, nous vous garantissons un service de proximité grâce à nos compétences :
- Conseil (Audit)
- Vente Logiciels
- Installation / Paramétrages
- Formation (FBSI est un Organisme de Formation Agrée)
- Assistance (Hotline, prise de main à distance)</t>
  </si>
  <si>
    <t>http://www.linkedin.com/in/thomas-dion-b2aa06b8</t>
  </si>
  <si>
    <t xml:space="preserve">Thomas Klein</t>
  </si>
  <si>
    <t>Klein</t>
  </si>
  <si>
    <t>thomas.klein@suricats-consulting.com</t>
  </si>
  <si>
    <t xml:space="preserve">Lead / Senior Product Manager  - Ex founder</t>
  </si>
  <si>
    <t xml:space="preserve">Suricats Consulting</t>
  </si>
  <si>
    <t>suricats-consulting.com</t>
  </si>
  <si>
    <t xml:space="preserve">design thinking,grande distribution,sante,design,innovation,agile,conseil en transformation digitale,ux design,product management,intelligence artificielle,devops,pgc,conseil en strategie,transformation digitale,industrie,api,assurances,banque,consulting,ecommerce,impact positif,iot,marketing digital,agilite,strategie,api economy,scrum,strategie bas carbone,business models soutenables</t>
  </si>
  <si>
    <t>http://www.linkedin.com/company/suricats-consulting</t>
  </si>
  <si>
    <t>https://twitter.com/SuricatsTeam</t>
  </si>
  <si>
    <t xml:space="preserve">Suricats aide ses clients à concevoir et déployer des stratégies, organisations et produits numériques soutenables !​</t>
  </si>
  <si>
    <t>http://www.linkedin.com/in/thomasklein-paris</t>
  </si>
  <si>
    <t xml:space="preserve">Thomas Obadia</t>
  </si>
  <si>
    <t>Obadia</t>
  </si>
  <si>
    <t>thomas.obadia@e-novacorp.com</t>
  </si>
  <si>
    <t xml:space="preserve">Co-Fondateur &amp; Directeur commercial E-novacorp</t>
  </si>
  <si>
    <t>http://www.linkedin.com/in/thomas-obadia-%f0%9f%94%b5-a6b94395</t>
  </si>
  <si>
    <t xml:space="preserve">Thomas Tinard</t>
  </si>
  <si>
    <t>Tinard</t>
  </si>
  <si>
    <t>thomas.tinard@tfm-marketing.com</t>
  </si>
  <si>
    <t xml:space="preserve">TFM Marketing</t>
  </si>
  <si>
    <t>tfm-marketing.com</t>
  </si>
  <si>
    <t xml:space="preserve">experts comptables,marketing direct,assurances,telemarketing,business,impayes,outsourcing,marketing,communication,prospection,relance,commercialisation,relance de devis,standard deporte,industrie,gestion back office,automobile,externalisation de tache,standard externalise,relance dimpaye</t>
  </si>
  <si>
    <t>Verson</t>
  </si>
  <si>
    <t>http://www.linkedin.com/company/tfm-marketing</t>
  </si>
  <si>
    <t xml:space="preserve">TFM Marketing s’engage à développer le business de ses partenaires à travers le télémarketing, grâce à des opérations sur-mesure.</t>
  </si>
  <si>
    <t>http://www.linkedin.com/in/thomas-tinard-3894291aa</t>
  </si>
  <si>
    <t xml:space="preserve">Thomas White</t>
  </si>
  <si>
    <t>White</t>
  </si>
  <si>
    <t>thomas.white@ns2b.fr</t>
  </si>
  <si>
    <t>NS2B</t>
  </si>
  <si>
    <t>ns2b.fr</t>
  </si>
  <si>
    <t xml:space="preserve">integration de solution de gestion,formation,vente de logiciels materiels,vente de logiciels amp materiels,creation de site internet,cloud,coffre fort numerique,donnees privees</t>
  </si>
  <si>
    <t>http://www.linkedin.com/company/ns2business</t>
  </si>
  <si>
    <t>https://facebook.com/ns2business</t>
  </si>
  <si>
    <t xml:space="preserve">Partenaire des TPE/PME et des experts-comptables, notre priorité est de donner les meilleures solutions métier à nos clients, en les accompagnants dans le déploiement par un audit, du paramétrage ou de la formation. Spécialiste informatique, nous vous proposons la meilleure solution CLOUD du marché</t>
  </si>
  <si>
    <t>http://www.linkedin.com/in/thomas-white-b13a5571</t>
  </si>
  <si>
    <t xml:space="preserve">Thomas Valentin</t>
  </si>
  <si>
    <t>thomas@lacantinedestalents.fr</t>
  </si>
  <si>
    <t xml:space="preserve">Directeur relation client &amp; co-fondateur</t>
  </si>
  <si>
    <t xml:space="preserve">La Cantine des Talents</t>
  </si>
  <si>
    <t>lacantinedestalents.fr</t>
  </si>
  <si>
    <t xml:space="preserve">logiciel de recrutement</t>
  </si>
  <si>
    <t>http://www.linkedin.com/company/la-cantine-des-talents</t>
  </si>
  <si>
    <t>http://www.linkedin.com/in/thomas-valentin-%f0%9f%94%b5-410ab374</t>
  </si>
  <si>
    <t xml:space="preserve">Thomas Jacsont</t>
  </si>
  <si>
    <t>Jacsont</t>
  </si>
  <si>
    <t>thomas@localease.fr</t>
  </si>
  <si>
    <t>LocaLease</t>
  </si>
  <si>
    <t>localease.fr</t>
  </si>
  <si>
    <t xml:space="preserve">leasing automobile,financement automobile,courtage en leasing,location longue duree</t>
  </si>
  <si>
    <t>http://www.linkedin.com/company/localease</t>
  </si>
  <si>
    <t>https://twitter.com/LocaLease_</t>
  </si>
  <si>
    <t>https://www.facebook.com/courtierlocalease</t>
  </si>
  <si>
    <t xml:space="preserve">Bienvenue chez Localease, votre expert en leasing automobile. Découvrez nos offres flexibles et innovantes pour particuliers et professionnels, avec des véhicules modernes, un service client exceptionnel et des conditions avantageuses.</t>
  </si>
  <si>
    <t>http://www.linkedin.com/in/thomas-jacsont-59332b110</t>
  </si>
  <si>
    <t xml:space="preserve">Tiffany Oliver</t>
  </si>
  <si>
    <t>Tiffany</t>
  </si>
  <si>
    <t>tiffany@bonnesmanieres.net</t>
  </si>
  <si>
    <t xml:space="preserve">Co-fondatrice @LeBonContenu</t>
  </si>
  <si>
    <t xml:space="preserve">Bonnes Manières</t>
  </si>
  <si>
    <t>bonnesmanieres.net</t>
  </si>
  <si>
    <t>Saint-Etienne-la-Varenne</t>
  </si>
  <si>
    <t xml:space="preserve">business development,b2b,saas,prospection,service,vente</t>
  </si>
  <si>
    <t>http://www.linkedin.com/company/bonnes-mani%c3%a8res</t>
  </si>
  <si>
    <t xml:space="preserve">De la prospection à la vente, confiez-nous les clés de votre activité commerciale pour vous concentrer sur ce que vous faites le mieux : gérer votre entreprise.</t>
  </si>
  <si>
    <t>http://www.linkedin.com/in/tiffanyoliverphotographieslyonetbeaujolais</t>
  </si>
  <si>
    <t xml:space="preserve">Tiphaine Bichot</t>
  </si>
  <si>
    <t>Bichot</t>
  </si>
  <si>
    <t>tiphaine.bichot@athome-solution.fr</t>
  </si>
  <si>
    <t xml:space="preserve">Directrice Générale adjointe / COO</t>
  </si>
  <si>
    <t xml:space="preserve">Athome Solution</t>
  </si>
  <si>
    <t>athome-solution.fr</t>
  </si>
  <si>
    <t xml:space="preserve">applis metiers web,surmesure digital,coconception,tierce recette applicative,smart cities,conseils amoa,patrimoine applicatif,ux ui,projets innovants,applis metiers,access,audit projet logiciel,design thinking,tierce maintenance applicative,outils de gestion,agilite</t>
  </si>
  <si>
    <t>http://www.linkedin.com/company/athome-solution</t>
  </si>
  <si>
    <t xml:space="preserve">Athome conçoit, développe et vous accompagne dans la mise en place de votre solution numérique responsable.</t>
  </si>
  <si>
    <t>http://www.linkedin.com/in/tiphaine-bichot</t>
  </si>
  <si>
    <t xml:space="preserve">Thibault Kerouanton</t>
  </si>
  <si>
    <t>Kerouanton</t>
  </si>
  <si>
    <t>tk@tkorp.com</t>
  </si>
  <si>
    <t>TKORP</t>
  </si>
  <si>
    <t>tkorp.com</t>
  </si>
  <si>
    <t xml:space="preserve">metavers,vr,realite mixte,ar</t>
  </si>
  <si>
    <t>http://www.linkedin.com/company/tkorp</t>
  </si>
  <si>
    <t xml:space="preserve">🔲  TKORP est une jeune entreprise française innovante, basée en France, spécialisée et passionnée par les nouvelles technologies : 
Nous mettons à disposition notre expertise 360 au service de votre domaine, secteur d'activité et de votre besoin ! 🔲 
 🦾  Multi-technologies : AR / VR / Réalité mixte / Métavers.
 🦾  Multi-secteurs : Marketing / commercial / Gaming / Événementiel / Formation / éducation / Immobilier / architecture/ construction.
 🦾 Fait par TKORP : nos projets et contenus sont faits exclusivement par notre équipe de professionnels.  
 🦾 Projet sur mesure : Tkorp s'occupe de votre projet technologique de a à z et vous accompagne tout au long du processus : 
Etude du projet➡️Cahier des charges➡️Choix de la solution➡️Développement➡️Livraison du projet/ Accompagnement SAV✅</t>
  </si>
  <si>
    <t>http://www.linkedin.com/in/thibault-kerouanton-9236a183</t>
  </si>
  <si>
    <t xml:space="preserve">Thomas Lesne</t>
  </si>
  <si>
    <t>Lesne</t>
  </si>
  <si>
    <t>tl@toitureparisienne.com</t>
  </si>
  <si>
    <t xml:space="preserve">Toiture Parisienne</t>
  </si>
  <si>
    <t>toitureparisienne.com</t>
  </si>
  <si>
    <t>http://www.linkedin.com/company/toiture-parisienne</t>
  </si>
  <si>
    <t>https://twitter.com/Toiture_paris</t>
  </si>
  <si>
    <t>https://www.facebook.com/Toiture-Parisienne-213415145874557/</t>
  </si>
  <si>
    <t xml:space="preserve">toiture parisienne : vous abriter et améliorer votre confort intérieur à 
Paris et en Île de France</t>
  </si>
  <si>
    <t>http://www.linkedin.com/in/thomas-lesne-a541502a9</t>
  </si>
  <si>
    <t xml:space="preserve">Tomas Dias</t>
  </si>
  <si>
    <t>Tomas</t>
  </si>
  <si>
    <t>Dias</t>
  </si>
  <si>
    <t>tomas@newslot.fr</t>
  </si>
  <si>
    <t>NEWSLOT</t>
  </si>
  <si>
    <t>newslot.fr</t>
  </si>
  <si>
    <t>http://www.linkedin.com/company/newslot</t>
  </si>
  <si>
    <t xml:space="preserve">Nos valeurs:
✔️ Satisfaction client
🧩 Adaptabilité à vos besoins
⌚️ Réactivité
📢 Communication
❤️ Confiance
Contact
📧 : recrutement@newslot.fr</t>
  </si>
  <si>
    <t>http://www.linkedin.com/in/tomasdsd</t>
  </si>
  <si>
    <t xml:space="preserve">Tony Leloup</t>
  </si>
  <si>
    <t>tony.leloup@bleu122.com</t>
  </si>
  <si>
    <t xml:space="preserve">Fondateur - Responsable commercial</t>
  </si>
  <si>
    <t>Bleu122</t>
  </si>
  <si>
    <t>bleu122.com</t>
  </si>
  <si>
    <t xml:space="preserve">experience utilisateur,application metier,applications web,application innovante,applications mobiles,pme,application sur mesure,android,developpement web,sprint design,webapp,application metier pme,application startup,ios,developpement mobile,maquettes applications,uxui design,startup,agence de developpement</t>
  </si>
  <si>
    <t>http://www.linkedin.com/company/bleu122</t>
  </si>
  <si>
    <t>https://twitter.com/Bleu_122</t>
  </si>
  <si>
    <t>https://facebook.com/bleu122</t>
  </si>
  <si>
    <t xml:space="preserve">Bleu122 est une agence de développement spécialisée applications mobiles et web, avec plus de 11 ans d'expériences et plus de 122 applications créées.</t>
  </si>
  <si>
    <t>http://www.linkedin.com/in/tony-leloup-78217766</t>
  </si>
  <si>
    <t xml:space="preserve">Toufik Belbouab</t>
  </si>
  <si>
    <t>Toufik</t>
  </si>
  <si>
    <t>Belbouab</t>
  </si>
  <si>
    <t>toufik.belbouab@bimingenierie.fr</t>
  </si>
  <si>
    <t xml:space="preserve">BIM Ingenierie</t>
  </si>
  <si>
    <t>bimingenierie.fr</t>
  </si>
  <si>
    <t>Maisons-Laffitte</t>
  </si>
  <si>
    <t>http://www.linkedin.com/company/bim-ingenenierie</t>
  </si>
  <si>
    <t xml:space="preserve">BIM INGENIERIE est une société d'ingénierie experte et pluridisciplinaire adaptée à la demande de ses clients.
C'est dans ce cadre que BIM INGENIERIE développe son domaine d'activités aux prestations suivantes :
- Assistance à Maitrise d'Ouvrage
- Maitrise d'œuvre Technique : Fluides, Thermique, HQE, Économie de la Construction
- Réalisation d'opérations clef en main : Montage d'opération, Conception Technique et Architecturale,   Direction de l'exécution des travaux, Suivi et Accompagnement en Exploitation
BIM INGENIERIE est en mesure de regrouper l'ensemble des compétences nécessaires à la réalisation de votre projet. Nos valeurs se caractérisent par un engagement total et un savoir-faire éprouvé par bon nombre de Maitre d'Ouvrages.</t>
  </si>
  <si>
    <t>http://www.linkedin.com/in/toufik-belbouab-12326044</t>
  </si>
  <si>
    <t xml:space="preserve">Martin Tranchard</t>
  </si>
  <si>
    <t>Tranchard</t>
  </si>
  <si>
    <t>tranchard@bonhomme-metallerie.com</t>
  </si>
  <si>
    <t xml:space="preserve">Bonhomme Métallerie</t>
  </si>
  <si>
    <t>bonhomme-metallerie.com</t>
  </si>
  <si>
    <t>Montelier</t>
  </si>
  <si>
    <t xml:space="preserve">portail,gardecorps,escalier,accessibilite,cloture,mezzanine,protection solaire,menuiserie acier,portillon,metallerie,menuiserie aluminium,pergola bioclimatique</t>
  </si>
  <si>
    <t>http://www.linkedin.com/company/bonhommemetallerie</t>
  </si>
  <si>
    <t xml:space="preserve">Bonhomme Métallerie conçoit, fabrique et pose les ouvrages de Métallerie et de Menuiserie du bâtiment, qu'ils utilisent l'acier, l'inox ou l'aluminium. Notre clientèle se compose de particuliers, maitres d'œuvres et architectes, pour des opérations de travaux neufs ou de rénovation.
Le bureau d'études intégré nous permet de matérialiser chaque projet, quel que soit sa complexité, en s'adaptant aux contraintes de réglementation technique, de mise en œuvre ou de poids. Notre expertise nous permet également d'associer différentes matières, y compris le verre sous toutes ses formes à des structures métalliques.
Notre domaine de compétence couvre les réalisations suivantes :
Menuiseries aluminium et acier à rupture de ponts thermiques
Menuiseries résistantes contre le feu
Façades/Verrières
Murs-rideaux
Dalle de verre
Escaliers et ouvrages monumentaux
Pergolas acier et aluminium bio-climatiques
Balcons
Garde-corps
Ouvrages d'accessibilité 
Mains courantes
Le métal est créateur d'élégance, de finesse, et riche en personnalité. A l'écoute des tendances, l'équipe de Bonhomme Métallerie sait concilier les envies de ses clients avec sa passion de toujours : l'art de la métallerie.
Bonhomme Métallerie est l'entreprise du Groupe Bonhomme qui vient compléter la synergie de travail du pôle bâtiment.</t>
  </si>
  <si>
    <t>http://www.linkedin.com/in/martin-tranchard-63b064b0</t>
  </si>
  <si>
    <t xml:space="preserve">Laurent Truguet</t>
  </si>
  <si>
    <t>Truguet</t>
  </si>
  <si>
    <t>truguet@cena-ingenierie.fr</t>
  </si>
  <si>
    <t xml:space="preserve">CENA Ingénierie</t>
  </si>
  <si>
    <t>cena-ingenierie.fr</t>
  </si>
  <si>
    <t xml:space="preserve">bureau detudes,moe,fluides,enr,cvc,plomberie,electricite,piscine,cuisine,cssi,commissionnement,audit energetique</t>
  </si>
  <si>
    <t>Bassens</t>
  </si>
  <si>
    <t>http://www.linkedin.com/company/cena-ingenierie</t>
  </si>
  <si>
    <t xml:space="preserve">Le bureau CENA Ingénierie est un bureau d'études techniques en Ingénierie des fluides du bâtiment, spécialisé en énergies renouvelables, efficacité énergétique et qualité environnementale.
Le bureau est reconnu, dynamique et en plein développement. Il opère sur tout le secteur Rhône-Alpes à travers une large variété de missions dans le domaine du chauffage/ventilation/climatisation, thermiques du bâtiment et électricité.
Le bureau est présent pour le marché public et pour le marché privé (logements collectifs, bureaux, écoles, mairies, hôtellerie haut de gamme, industrie, santé, tertiaire…).</t>
  </si>
  <si>
    <t>http://www.linkedin.com/in/laurent-truguet</t>
  </si>
  <si>
    <t xml:space="preserve">Thomas Savary</t>
  </si>
  <si>
    <t>tsavary@tetra-info.com</t>
  </si>
  <si>
    <t>http://www.linkedin.com/in/thomas-savary-06172a68</t>
  </si>
  <si>
    <t xml:space="preserve">Thibaut Verraest</t>
  </si>
  <si>
    <t>Verraest</t>
  </si>
  <si>
    <t>tverraest@norgatec.com</t>
  </si>
  <si>
    <t xml:space="preserve">NORGATEC Consulting</t>
  </si>
  <si>
    <t>norgatec.com</t>
  </si>
  <si>
    <t xml:space="preserve">coaching,strategie,organisation,management,audit,finance,gouvernance,conduite du changement,supply chain,logistique,pilotage,projet,amoa,processus,agile,lean,digital,numerique,transformation,retail,conseil,consulting,data privacy,gdpr,securite si,risk management</t>
  </si>
  <si>
    <t>http://www.linkedin.com/company/norgatec-consulting</t>
  </si>
  <si>
    <t xml:space="preserve">Bienvenue chez Norgatec Consulting. Cabinet de conseil en organisation et gestion de projet, nous vous accompagnons dans votre transformation.</t>
  </si>
  <si>
    <t>http://www.linkedin.com/in/thibaut-verraest-3bb65b32</t>
  </si>
  <si>
    <t xml:space="preserve">Ulla Saari</t>
  </si>
  <si>
    <t>Ulla</t>
  </si>
  <si>
    <t>Saari</t>
  </si>
  <si>
    <t>ulla.saari@firecell.io</t>
  </si>
  <si>
    <t>Firecell</t>
  </si>
  <si>
    <t>firecell.io</t>
  </si>
  <si>
    <t>http://www.linkedin.com/company/firecell</t>
  </si>
  <si>
    <t>https://twitter.com/firecellP5G</t>
  </si>
  <si>
    <t>https://www.facebook.com/firecell5g</t>
  </si>
  <si>
    <t xml:space="preserve">Firecell enables industrial companies to deploy and operate their own Open RAN 5G Private Network solutions.</t>
  </si>
  <si>
    <t>http://www.linkedin.com/in/ullasaari</t>
  </si>
  <si>
    <t xml:space="preserve">Valentin Rose</t>
  </si>
  <si>
    <t>valentin.rose@proxima-it.fr</t>
  </si>
  <si>
    <t xml:space="preserve">Proxima IT</t>
  </si>
  <si>
    <t>proxima-it.fr</t>
  </si>
  <si>
    <t>data</t>
  </si>
  <si>
    <t>http://www.linkedin.com/company/proxima-it</t>
  </si>
  <si>
    <t xml:space="preserve">Proxima - Experts en data, développement applicatif et infrastructure IT. Libérez le potentiel de vos données pour booster votre entreprise.</t>
  </si>
  <si>
    <t>http://www.linkedin.com/in/valentin-rose-8570a9189</t>
  </si>
  <si>
    <t xml:space="preserve">Valery-Emmanuel Gosserez</t>
  </si>
  <si>
    <t>Valery-Emmanuel</t>
  </si>
  <si>
    <t>Gosserez</t>
  </si>
  <si>
    <t>veg@corexalys.com</t>
  </si>
  <si>
    <t>Corexalys</t>
  </si>
  <si>
    <t>corexalys.com</t>
  </si>
  <si>
    <t>http://www.linkedin.com/company/corexalys-worldwide</t>
  </si>
  <si>
    <t xml:space="preserve">Corexalys est un cabinet de cyber-renseignement indépendant au service des 
Etats et des entreprises.</t>
  </si>
  <si>
    <t>http://www.linkedin.com/in/val%c3%a9ry-emmanuel-gosserez-76086165</t>
  </si>
  <si>
    <t xml:space="preserve">Venissia Pierre</t>
  </si>
  <si>
    <t>Venissia</t>
  </si>
  <si>
    <t>venissia@weareminds.com</t>
  </si>
  <si>
    <t>Directrice-fondatrice</t>
  </si>
  <si>
    <t>Minds</t>
  </si>
  <si>
    <t>weareminds.com</t>
  </si>
  <si>
    <t xml:space="preserve">prise de parole,conferences,coaching,conseil,experts,ereputation</t>
  </si>
  <si>
    <t>http://www.linkedin.com/company/we-are-minds</t>
  </si>
  <si>
    <t>https://www.facebook.com/we.are.minds.agency</t>
  </si>
  <si>
    <t xml:space="preserve">Minds est votre agence conseil de conférenciers, d'experts, de coachs et de personnalités. Contactez-nous pour trouver le conférencier idéal pour votre projet.</t>
  </si>
  <si>
    <t>http://www.linkedin.com/in/venissia-pierre-57730473</t>
  </si>
  <si>
    <t xml:space="preserve">Valery Gomes</t>
  </si>
  <si>
    <t>Valery</t>
  </si>
  <si>
    <t>Gomes</t>
  </si>
  <si>
    <t>vgomes@nomattitude.com</t>
  </si>
  <si>
    <t>Nomattitude</t>
  </si>
  <si>
    <t>nomattitude.com</t>
  </si>
  <si>
    <t xml:space="preserve">suivi consommation,ecoconduite,application mobile,ecomobilite,edition de logiciels,optimisation maintenances,tco,rapport heures dutilisation,gestion de flotte,planning intelligent,envoi de mission,gestion des maintenances,geolocalisation,gestion d39intervention,identification chauffeur,fleet management,logiciels,bdd parc automobile,gestion dintervention,rapport consommation,integrateur et editeur,optimisation de tournees,planning interne,dematerialisation</t>
  </si>
  <si>
    <t>L'Union</t>
  </si>
  <si>
    <t>http://www.linkedin.com/company/nomattitude</t>
  </si>
  <si>
    <t xml:space="preserve">Nous sommes éditeur et concepteur de nos solutions HERMES. Innovantes et performantes, nos outils permettent la gestion globale de la mobilité et des ressources en entreprise.
Notre mission : maximiser votre productivité et réduire vos coûts en innovant constamment pour relever les nouveaux défis du marché.</t>
  </si>
  <si>
    <t>http://www.linkedin.com/in/val%c3%a9ry-gomes-35a36a5</t>
  </si>
  <si>
    <t xml:space="preserve">Vianney Wattinne</t>
  </si>
  <si>
    <t>Vianney</t>
  </si>
  <si>
    <t>Wattinne</t>
  </si>
  <si>
    <t>vianney@csb.school</t>
  </si>
  <si>
    <t>CSB.SCHOOL</t>
  </si>
  <si>
    <t>csb.school</t>
  </si>
  <si>
    <t>it,management,industriel,grc,digital,cybersecurite,soc</t>
  </si>
  <si>
    <t>http://www.linkedin.com/company/csbschool</t>
  </si>
  <si>
    <t xml:space="preserve">Une Ecole de cybersécurité à Lyon bénéficiant d'un matériel à la pointe de la technologie et proposant des cursus reconnus par l'Etat.</t>
  </si>
  <si>
    <t>http://www.linkedin.com/in/vianneywattinne</t>
  </si>
  <si>
    <t xml:space="preserve">Vianney Daunay</t>
  </si>
  <si>
    <t>Daunay</t>
  </si>
  <si>
    <t>vianney@geniusloci.fr</t>
  </si>
  <si>
    <t xml:space="preserve">Dirigeant d'entreprise chez Genius Loci</t>
  </si>
  <si>
    <t xml:space="preserve">Genius Loci</t>
  </si>
  <si>
    <t>geniusloci.fr</t>
  </si>
  <si>
    <t xml:space="preserve">etude financiere de votre projet,etude technique de votre projet,renovation,batiment,gestion globale de chantiers,specialise dans la renovation</t>
  </si>
  <si>
    <t>http://www.linkedin.com/company/g%c3%a9nius-loci</t>
  </si>
  <si>
    <t>https://www.facebook.com/lespritdubatiment</t>
  </si>
  <si>
    <t xml:space="preserve">Genius Loci est une entreprise nîmoise du bâtiment spécialisée dans la rénovation. Nous intégrons l’ensemble des corps de métier, de l’étude du projet jusqu’aux finitions, en passant par le gros œuvre la peinture et la décoration</t>
  </si>
  <si>
    <t>http://www.linkedin.com/in/vianney-daunay-3aa222135</t>
  </si>
  <si>
    <t xml:space="preserve">Vicki Moritz-Henry</t>
  </si>
  <si>
    <t>Vicki</t>
  </si>
  <si>
    <t>Moritz-Henry</t>
  </si>
  <si>
    <t>vicki@samaconsulting.co.uk</t>
  </si>
  <si>
    <t>SAMA</t>
  </si>
  <si>
    <t>samaconsulting.co.uk</t>
  </si>
  <si>
    <t>Perignat-sur-Allier</t>
  </si>
  <si>
    <t>England</t>
  </si>
  <si>
    <t>http://www.linkedin.com/company/sama-consutling</t>
  </si>
  <si>
    <t xml:space="preserve">Who we are:
We are a qualified team of Salesforce specialists with over 20 years of Marketing Automation and business transformation experience.
SAMA is a London-based registered Salesforce Partner specialising in Salesforce Marketing Cloud &amp; Pardot. SAMA was founded by a former ExactTarget Architect (Salesforce Marketing Cloud) and a Strategic Program Manager who specialises in delivering business transformations for large enterprises and Small/Medium size Businesses (SMB).
What we do:
Simply put, we configure and implement Salesforce Marketing Automation solutions.
Whether you are considering Salesforce Marketing Cloud, Pardot, or already use either of these, we will help you extract the maximum value for your organisation through our knowledge, experience, and unique industry-leading accelerators.</t>
  </si>
  <si>
    <t>http://www.linkedin.com/in/vicki-moritz-henry-30740b59</t>
  </si>
  <si>
    <t xml:space="preserve">Victor Poilane</t>
  </si>
  <si>
    <t>Poilane</t>
  </si>
  <si>
    <t>victor@thewatchdog.io</t>
  </si>
  <si>
    <t xml:space="preserve">Cofondateur - Dirigeant associé</t>
  </si>
  <si>
    <t>THEWATCHDOG</t>
  </si>
  <si>
    <t>thewatchdog.io</t>
  </si>
  <si>
    <t xml:space="preserve">gtb,smartbuilding,decret bacs,decret tertiaire,eclairage intelligent,gestion de lenergie,automatisation des batiments,controle des installations,optimisation de lenergie,economie denergie,performance energetique,systemes de regulation,surveillance des equipements,controle des consommations deau,gestion des ressources energetiques,maintenance des installations,systemes de mesure de la consommation denergie,systemes de surveillance de la qualite de lair interieur,equipements de gestion de lair,cvc</t>
  </si>
  <si>
    <t>http://www.linkedin.com/company/the-watch-dog</t>
  </si>
  <si>
    <t xml:space="preserve">Transformer vos bâtiments en modèles rentables et durables : suivi des consommations, GTB de classe A Lora et mise en conformité au décret BACS</t>
  </si>
  <si>
    <t>http://www.linkedin.com/in/victorpoilane</t>
  </si>
  <si>
    <t xml:space="preserve">Vincent Arnoldo</t>
  </si>
  <si>
    <t>Arnoldo</t>
  </si>
  <si>
    <t>vincent.arnoldo@lmcs-balma.com</t>
  </si>
  <si>
    <t>L.M.C.S</t>
  </si>
  <si>
    <t>lmcs-balma.com</t>
  </si>
  <si>
    <t>http://www.linkedin.com/company/l.m.c.s.---la-maison-du-carrelage-et-sanitaire-balma</t>
  </si>
  <si>
    <t>https://www.facebook.com/lmcsbalma/</t>
  </si>
  <si>
    <t xml:space="preserve">La Maison du Carrelage et du Sanitaire (LMCS) à Toulouse Balma vous propose un aperçu des produits professionnels exposés dans son showroom de 600m² : Meubles et Produirs de Sanitaires ainsi que des Carrelages en Métal, Bois, Marbre, Pierre, Béton, Mosaïque, Rustique, Moderne, Carreaux de Ciment...</t>
  </si>
  <si>
    <t>http://www.linkedin.com/in/vincent-arnoldo-b52762202</t>
  </si>
  <si>
    <t xml:space="preserve">Vincent Cristallini</t>
  </si>
  <si>
    <t>Cristallini</t>
  </si>
  <si>
    <t>vincent.cristallini@endogene.eu</t>
  </si>
  <si>
    <t>http://www.linkedin.com/in/vincent-cristallini-54828b179</t>
  </si>
  <si>
    <t xml:space="preserve">Vincent Derec</t>
  </si>
  <si>
    <t>Derec</t>
  </si>
  <si>
    <t>vincent.derec@kaliconseil.fr</t>
  </si>
  <si>
    <t xml:space="preserve">Créateur dirigeant chez KS2</t>
  </si>
  <si>
    <t>KS2</t>
  </si>
  <si>
    <t>ks2.fr</t>
  </si>
  <si>
    <t xml:space="preserve">hebergement,cloud,dematerialisation factures fournisseurs,bpm,signature electronique,gestion documentaire,archivage,workflow,dematerialisation</t>
  </si>
  <si>
    <t>http://www.linkedin.com/company/ks2</t>
  </si>
  <si>
    <t xml:space="preserve">Dématérialisez et automatisez tous vos processus métier, avec un logiciel simple d'usage. Gestion factures fournisseurs. ECM et RPA (Robotic Process Automation).</t>
  </si>
  <si>
    <t>http://www.linkedin.com/in/vincentderec</t>
  </si>
  <si>
    <t xml:space="preserve">Vincent Moulin</t>
  </si>
  <si>
    <t>Moulin</t>
  </si>
  <si>
    <t>vincent.moulin@berga.fr</t>
  </si>
  <si>
    <t xml:space="preserve">Co-fondateur - Ingénieur énergétique dans le bâtiment - Vivre des bâtiments sobres et confortables</t>
  </si>
  <si>
    <t>BERGA</t>
  </si>
  <si>
    <t>berga.fr</t>
  </si>
  <si>
    <t xml:space="preserve">fluides,environnement,opqibi,rge,hqe,bim,etudes,diagnostique,coordination systeme securite incendie,qeb,electricite courant fort,courant faible,genie climatique chauffage,rafraichissement,vmc,plomberie,gtc</t>
  </si>
  <si>
    <t>http://www.linkedin.com/company/berga-bet-fluides</t>
  </si>
  <si>
    <t xml:space="preserve">BUREAU D'ETUDES FLUIDES BERGA - 50 ans d'expérience au service des professionnels de la construction</t>
  </si>
  <si>
    <t>http://www.linkedin.com/in/vincent-moulin-b5a1a2142</t>
  </si>
  <si>
    <t xml:space="preserve">Vincent Peyrache</t>
  </si>
  <si>
    <t>Peyrache</t>
  </si>
  <si>
    <t>vincent.peyrache@awinsi.com</t>
  </si>
  <si>
    <t xml:space="preserve">Président Awinsi Technologies</t>
  </si>
  <si>
    <t>Awinsi</t>
  </si>
  <si>
    <t>awinsi.com</t>
  </si>
  <si>
    <t xml:space="preserve">moa,management consulting,systeme dinformations,utilities,architecture,webmethods,salesforce,smartgrids,amoa,marketing digital,compteurs communicants,tableau,systeme d39informations,moe,crm,business intelligence,pilotage,agilite,social media,digital,data management,qlikview</t>
  </si>
  <si>
    <t>http://www.linkedin.com/company/awinsi</t>
  </si>
  <si>
    <t>https://twitter.com/AwinsiConseil</t>
  </si>
  <si>
    <t>https://facebook.com/pages/Awinsi/145453078986954</t>
  </si>
  <si>
    <t xml:space="preserve">Cabinet de conseil et de services dans le domaine des systèmes d'information, Awinsi accompagne les entreprises dans leurs évolutions pour s'adapter au marché et satisfaire leurs propres clients.
La taille humaine de notre cabinet et notre démarche adaptée et centrée sur vos besoins permettent de répondre au mieux à vos attentes, dans le respect de vos contraintes, pour faire face au présent et préparer l'avenir
Que vous soyez un grand groupe, une grande entreprise ou une PME, notre expertise, apportée selon une approche résolument humaine, garantit le bien-fondé de nos prestations et la qualité des relations avec nos interlocuteurs.
Soucieux de la qualité de nos interventions, le développement de notre cabinet est maîtrisé et les profils recrutés minutieusement sélectionnés. Par ailleurs, nous n'avons pas de force commerciale dédiée : nos collaborateurs sont nos meilleurs ambassadeurs.</t>
  </si>
  <si>
    <t>http://www.linkedin.com/in/vincentpeyrache</t>
  </si>
  <si>
    <t xml:space="preserve">Vincent Sionniere</t>
  </si>
  <si>
    <t>Sionniere</t>
  </si>
  <si>
    <t>vincent@normaclo.com</t>
  </si>
  <si>
    <t>BOSMY</t>
  </si>
  <si>
    <t>normaclo.com</t>
  </si>
  <si>
    <t>Ande</t>
  </si>
  <si>
    <t>http://www.linkedin.com/company/bosmy-normaclo</t>
  </si>
  <si>
    <t>https://www.facebook.com/collections.normaclo</t>
  </si>
  <si>
    <t>http://www.linkedin.com/in/vincent-sionni%c3%a8re-71712445</t>
  </si>
  <si>
    <t xml:space="preserve">Vincent Chauvin</t>
  </si>
  <si>
    <t>vincent@sidekicks.cc</t>
  </si>
  <si>
    <t xml:space="preserve">Co-Founder @ Sidekicks</t>
  </si>
  <si>
    <t>http://www.linkedin.com/in/vincent-chauvin</t>
  </si>
  <si>
    <t xml:space="preserve">Vincent Pinel</t>
  </si>
  <si>
    <t>Pinel</t>
  </si>
  <si>
    <t>vincent@va-telecom.fr</t>
  </si>
  <si>
    <t xml:space="preserve">VA telecom</t>
  </si>
  <si>
    <t>va-telecom.fr</t>
  </si>
  <si>
    <t>fibre,wifi,telephonie</t>
  </si>
  <si>
    <t>http://www.linkedin.com/company/va-t%c3%a9l%c3%a9com</t>
  </si>
  <si>
    <t xml:space="preserve">Accueil VA telecom: Depuis 2008 , notre méthodologie est centrée sur la disponibilité, la réactivité et la transparence. Les liens qui nous..</t>
  </si>
  <si>
    <t>http://www.linkedin.com/in/vincent-pinel-420a93a7</t>
  </si>
  <si>
    <t xml:space="preserve">Vincent Leblay</t>
  </si>
  <si>
    <t>Leblay</t>
  </si>
  <si>
    <t>vincentleblay@creactuel.com</t>
  </si>
  <si>
    <t xml:space="preserve">dirigeant d'entreprises</t>
  </si>
  <si>
    <t>Cre'actuel</t>
  </si>
  <si>
    <t>creactuel.com</t>
  </si>
  <si>
    <t>Lamballe</t>
  </si>
  <si>
    <t>http://www.linkedin.com/company/cre-atuel</t>
  </si>
  <si>
    <t>https://www.facebook.com/groupecreactuel/</t>
  </si>
  <si>
    <t xml:space="preserve">Cre'actuel, Créateur de maisons individuelles dans les départements 22, 35, 44 et 50. Consulter les modèles de maison neuve et nos réalisations à Rennes (35), Nantes (44), Saint Brieuc (22) ou Avranches (50).</t>
  </si>
  <si>
    <t>http://www.linkedin.com/in/vincent-leblay-829156106</t>
  </si>
  <si>
    <t xml:space="preserve">Virginie Colin</t>
  </si>
  <si>
    <t>virginie.colin@ekipea.fr</t>
  </si>
  <si>
    <t>EKIPEA</t>
  </si>
  <si>
    <t>Toul</t>
  </si>
  <si>
    <t>Ecrouves</t>
  </si>
  <si>
    <t>http://www.linkedin.com/company/ekipea</t>
  </si>
  <si>
    <t>http://www.linkedin.com/in/virginie-colin-aa3679131</t>
  </si>
  <si>
    <t xml:space="preserve">Virginie Grandin</t>
  </si>
  <si>
    <t>Grandin</t>
  </si>
  <si>
    <t>virginie.grandin@agroqual.fr</t>
  </si>
  <si>
    <t xml:space="preserve">AgroQual Laboratoire</t>
  </si>
  <si>
    <t>agroqual.com</t>
  </si>
  <si>
    <t xml:space="preserve">analyses alimentaires &amp; analyses deau</t>
  </si>
  <si>
    <t>Colombelles</t>
  </si>
  <si>
    <t>http://www.linkedin.com/company/sarl-agroqual</t>
  </si>
  <si>
    <t xml:space="preserve">Agroqual est un laboratoire d'analyse agroalimentaire, analyse qualité de l'eau, analyse qualité de l'air, audit/conseil, formations hygiène et sécurité.</t>
  </si>
  <si>
    <t>http://www.linkedin.com/in/virginie-grandin-064bb6123</t>
  </si>
  <si>
    <t xml:space="preserve">Virginie Robert</t>
  </si>
  <si>
    <t>virginie@lcom-agence.com</t>
  </si>
  <si>
    <t xml:space="preserve">Directrice Générale et Directrice artistique</t>
  </si>
  <si>
    <t>Lcom</t>
  </si>
  <si>
    <t>lcom-agence.com</t>
  </si>
  <si>
    <t xml:space="preserve">site internet,textile personnalise,community management,conseil en communication,cadeaux daffaires personnalises,strategie marketing,support de communication,marketing et publicite,graphisme</t>
  </si>
  <si>
    <t>http://www.linkedin.com/company/lcom</t>
  </si>
  <si>
    <t>https://www.facebook.com/LcomAgence/</t>
  </si>
  <si>
    <t xml:space="preserve">Site internet, graphisme, objets pub, réseaux sociaux, textile... Découvrez l'agence de com la plus créative du Mans, en Sarthe !</t>
  </si>
  <si>
    <t>http://www.linkedin.com/in/virginie-robert-bb2b032a</t>
  </si>
  <si>
    <t xml:space="preserve">Vivien Grand</t>
  </si>
  <si>
    <t>Vivien</t>
  </si>
  <si>
    <t>Grand</t>
  </si>
  <si>
    <t>vivien.grand@infotem.fr</t>
  </si>
  <si>
    <t>INFOTEM</t>
  </si>
  <si>
    <t>infotem.fr</t>
  </si>
  <si>
    <t xml:space="preserve">java,php,c,net,windev,moa,pmo,po,gpao,logistique,erp,gestion commerciale,sage,sylob9,sdmo,batigest,bi</t>
  </si>
  <si>
    <t>http://www.linkedin.com/company/infotemsas</t>
  </si>
  <si>
    <t xml:space="preserve">Infotem vous accompagne en tant qu'ESN informatique, intégrateur de logiciels, Chasseur de talents et Centre de formations.</t>
  </si>
  <si>
    <t>http://www.linkedin.com/in/vivien-grand-b4672617b</t>
  </si>
  <si>
    <t xml:space="preserve">Vivien Limacher</t>
  </si>
  <si>
    <t>Limacher</t>
  </si>
  <si>
    <t>vivien@lfaid.fr</t>
  </si>
  <si>
    <t xml:space="preserve">Directeur - Cofondateur - La Fabrik à ID</t>
  </si>
  <si>
    <t xml:space="preserve">La Fabrik à ID</t>
  </si>
  <si>
    <t>lfaid.fr</t>
  </si>
  <si>
    <t>Bischheim</t>
  </si>
  <si>
    <t>http://www.linkedin.com/company/la-fabrik-%c3%a0-id</t>
  </si>
  <si>
    <t xml:space="preserve">La Fabrik à ID est spécialisée dans les solutions digitales clé en mains pour le secteur de l'automobile, Il est temps de vous partager nos ID.</t>
  </si>
  <si>
    <t>http://www.linkedin.com/in/vivien-limacher-a83b5a11b</t>
  </si>
  <si>
    <t xml:space="preserve">Vladimir Swistunow</t>
  </si>
  <si>
    <t>Vladimir</t>
  </si>
  <si>
    <t>Swistunow</t>
  </si>
  <si>
    <t>vladimir@kadolis.com</t>
  </si>
  <si>
    <t>KADOLIS</t>
  </si>
  <si>
    <t>kadolis.com</t>
  </si>
  <si>
    <t xml:space="preserve">matieres naturelles,no plastic,linge de lit,ecologie,sommeil</t>
  </si>
  <si>
    <t>http://www.linkedin.com/company/kadolis</t>
  </si>
  <si>
    <t>https://twitter.com/Kadolis1</t>
  </si>
  <si>
    <t>https://www.facebook.com/Kadolisenglish</t>
  </si>
  <si>
    <t xml:space="preserve">The specialist for natural sleeping for the complete family.  Matresses, bedding and furniture OEKO-TEX® certified</t>
  </si>
  <si>
    <t>http://www.linkedin.com/in/vladimir-swistunow-85269754</t>
  </si>
  <si>
    <t xml:space="preserve">Vincent Mignot</t>
  </si>
  <si>
    <t>vmignot@derbez.fr</t>
  </si>
  <si>
    <t xml:space="preserve">Pépiniériste-Associé &amp; Président  Caviste Collectionneur de vins et alccools DERBEZ et Da Vini Code</t>
  </si>
  <si>
    <t>Ets_Derbez</t>
  </si>
  <si>
    <t>derbez.fr</t>
  </si>
  <si>
    <t xml:space="preserve">plantes exotiques,golfe de saint tropez,oliviers,pepiniere,entretien de jardins,traitements phytosanitaires,creation de jardin,valorisation des dechets verts,taille,jardin exceptionnel,fleurs,pepinieriste de sujets dexception,menuiserie,cochenille tortue,serre,concepteur de jardins surmesures,elagage,palmier,vente de bois de chauffage,pins parasols,saint tropez,bureau detude paysagiste,gassin</t>
  </si>
  <si>
    <t>http://www.linkedin.com/company/ets-derbez</t>
  </si>
  <si>
    <t xml:space="preserve">Pépinière Derbez - vente de végétaux d'exceptions dans le golfe de Saint-Tropez, entretiens des jardins, nos paysagistes et nos jardiniers créent vos jardins sur-mesure, sur Grimaud, St-Tropez, La -Croix Valmer, Ramatuelle, Gassin, Cogolin, Cavalaire, Sainte-Maxime</t>
  </si>
  <si>
    <t>http://www.linkedin.com/in/mignotvincent</t>
  </si>
  <si>
    <t xml:space="preserve">Vianney Poissonnier</t>
  </si>
  <si>
    <t>Poissonnier</t>
  </si>
  <si>
    <t>vp@bouquineriedusart.com</t>
  </si>
  <si>
    <t xml:space="preserve">LA BOUQUINERIE DU SART</t>
  </si>
  <si>
    <t>bouquineriedusart.com</t>
  </si>
  <si>
    <t>http://www.linkedin.com/company/la-bouquinerie-du-sart</t>
  </si>
  <si>
    <t>https://twitter.com/bouquinerie59</t>
  </si>
  <si>
    <t>https://www.facebook.com/bouquineriedusart</t>
  </si>
  <si>
    <t xml:space="preserve">livres d'occasion, cd, dvd, vinyles, et vêtements d'occasion, collecte et revente de plus de 90 000 livres d'occasion sur 500 m2</t>
  </si>
  <si>
    <t>http://www.linkedin.com/in/vianneypoissonnier</t>
  </si>
  <si>
    <t xml:space="preserve">Wafae Kerchi</t>
  </si>
  <si>
    <t>Wafae</t>
  </si>
  <si>
    <t>Kerchi</t>
  </si>
  <si>
    <t>wafae@nefture.com</t>
  </si>
  <si>
    <t>Nefture</t>
  </si>
  <si>
    <t>nefture.com</t>
  </si>
  <si>
    <t xml:space="preserve">cybersecurity,blockchain,web3,blockchain security,cryptocrime,cybercrime,cryptocurrency,blockchain forensics,blockchain security consulting,defi,crypto asset management,crypto risk management,decentralized finance,crypto asset manager,crypto asset security managment,defi security,crypto threat monitoring,web3 security,crypto intelligence,crypto crime investigation</t>
  </si>
  <si>
    <t>http://www.linkedin.com/company/nefture</t>
  </si>
  <si>
    <t xml:space="preserve">Nefture helps DeFi Assets managers protect their crypto and assets by monitoring in real-time their portfolio risk.</t>
  </si>
  <si>
    <t>http://www.linkedin.com/in/wafae-kerchi-b33562145</t>
  </si>
  <si>
    <t xml:space="preserve">Walid Ammar</t>
  </si>
  <si>
    <t>Ammar</t>
  </si>
  <si>
    <t>walid.ammar@kouka.io</t>
  </si>
  <si>
    <t>KOUKA</t>
  </si>
  <si>
    <t>kouka.io</t>
  </si>
  <si>
    <t>http://www.linkedin.com/company/kouka-consulting</t>
  </si>
  <si>
    <t xml:space="preserve">KOUKA - Cabinet de Conseil expert en automatisation des processus d'ingénierie IT.</t>
  </si>
  <si>
    <t>http://www.linkedin.com/in/walid-ammar-5428812b</t>
  </si>
  <si>
    <t xml:space="preserve">Walter Mendes</t>
  </si>
  <si>
    <t>Walter</t>
  </si>
  <si>
    <t>Mendes</t>
  </si>
  <si>
    <t>walter.mendes@netconceptalsace.fr</t>
  </si>
  <si>
    <t>Netconcept</t>
  </si>
  <si>
    <t>netconceptalsace.fr</t>
  </si>
  <si>
    <t xml:space="preserve">deratisation,montage ligne de vie,entretien de facade,travaux en hauteur,montage filets anti chute,depigeonnisation,montage filets inox,nettoyage de gouttieres,desinsectisation,entretien de toiture</t>
  </si>
  <si>
    <t>http://www.linkedin.com/company/net-concept-alsace</t>
  </si>
  <si>
    <t xml:space="preserve">Spécialistes dans les travaux d'accès difficile en hauteur, la sécurisation et la végétalisation verticale, nos techniciens interviennent pour tous types de travaux.</t>
  </si>
  <si>
    <t>http://www.linkedin.com/in/walter-mendes</t>
  </si>
  <si>
    <t xml:space="preserve">William Pambrun</t>
  </si>
  <si>
    <t>Pambrun</t>
  </si>
  <si>
    <t>william@phacetlabs.com</t>
  </si>
  <si>
    <t>Phacet</t>
  </si>
  <si>
    <t>phacetlabs.com</t>
  </si>
  <si>
    <t>ai,productivity,saas,b2b</t>
  </si>
  <si>
    <t>http://www.linkedin.com/company/phacetlabs</t>
  </si>
  <si>
    <t xml:space="preserve">Phacet AI Agents automate manual workflows within your back-office systems (ERP, PIM, CRM, CMS) to help you focus on what really matters: your customers.</t>
  </si>
  <si>
    <t>http://www.linkedin.com/in/williampambrun</t>
  </si>
  <si>
    <t xml:space="preserve">Xavier Dersy</t>
  </si>
  <si>
    <t>Dersy</t>
  </si>
  <si>
    <t>x.dersy@getduo.co</t>
  </si>
  <si>
    <t>Duo</t>
  </si>
  <si>
    <t>getduo.co</t>
  </si>
  <si>
    <t xml:space="preserve">software,ecommerce,saas,checkout,customer acquisition</t>
  </si>
  <si>
    <t>http://www.linkedin.com/company/getduo</t>
  </si>
  <si>
    <t xml:space="preserve">Boost your e-commerce sales with Duo! Implement our unique cashback system today and start rewarding customer referrals effortlessly. Quick and easy setup.</t>
  </si>
  <si>
    <t>http://www.linkedin.com/in/xavier-dersy</t>
  </si>
  <si>
    <t xml:space="preserve">Xavier Feltin</t>
  </si>
  <si>
    <t>Feltin</t>
  </si>
  <si>
    <t>xavier.feltin@komugi.io</t>
  </si>
  <si>
    <t>Komugi</t>
  </si>
  <si>
    <t>komugi.io</t>
  </si>
  <si>
    <t>Thonon-les-Bains</t>
  </si>
  <si>
    <t xml:space="preserve">logiciel saas,data driven,digitalisation,industrie 40,facteur humain,industrie du futur,smart factory,management industriel,industrie et technologie,exploitation des donnees,performance industrielle,transformation numerique,komugi supply chain,komugi production</t>
  </si>
  <si>
    <t>http://www.linkedin.com/company/komugi</t>
  </si>
  <si>
    <t xml:space="preserve">Komugi est une solution d'équilibrage charge-capacité permettant aux PME industrielles d'accroître leur rentabilité.</t>
  </si>
  <si>
    <t>http://www.linkedin.com/in/xavier-feltin</t>
  </si>
  <si>
    <t xml:space="preserve">Xavier Motsch</t>
  </si>
  <si>
    <t>Motsch</t>
  </si>
  <si>
    <t>xaviermotsch@leanco.fr</t>
  </si>
  <si>
    <t xml:space="preserve">Dirigeant de la société LeanCo ; consultant et formateur en Lean Management</t>
  </si>
  <si>
    <t>LeanCo</t>
  </si>
  <si>
    <t>leanco.fr</t>
  </si>
  <si>
    <t xml:space="preserve">lean management,lean construction,management de projet,management qualite,lean office,lean manufacturing,coaching,formation,planification,planning,pilotage,construction,chantier,batiment,startup,entreprise generale,promoteur,opc,architecte</t>
  </si>
  <si>
    <t>http://www.linkedin.com/company/leancofrance</t>
  </si>
  <si>
    <t xml:space="preserve">With the lean approach and building software, optimise your construction schedule, boost productivity and maximise customer satisfaction.</t>
  </si>
  <si>
    <t>http://www.linkedin.com/in/xavier-motsch-09197510b</t>
  </si>
  <si>
    <t xml:space="preserve">Yveen Khelifa</t>
  </si>
  <si>
    <t>Yveen</t>
  </si>
  <si>
    <t>Khelifa</t>
  </si>
  <si>
    <t>y.khelifa@sogev.fr</t>
  </si>
  <si>
    <t>SOGEV</t>
  </si>
  <si>
    <t>sogev.fr</t>
  </si>
  <si>
    <t>http://www.linkedin.com/company/sogev</t>
  </si>
  <si>
    <t xml:space="preserve">SOGEV, La Société Générale d'Espaces Verts, située à Aix-En-Provence, accompagne les entreprises et les institutions du Sud-Est dans leurs projets de création, d'aménagements des Espaces urbains ainsi que dans l'entretien de leurs Espaces verts.
SOGEV, votre aménageur d'extérieur.</t>
  </si>
  <si>
    <t>http://www.linkedin.com/in/yveen-k-95a7a0b1</t>
  </si>
  <si>
    <t xml:space="preserve">Yann Garlantezec</t>
  </si>
  <si>
    <t>Garlantezec</t>
  </si>
  <si>
    <t>yann@amg-it.fr</t>
  </si>
  <si>
    <t>AMG-IT</t>
  </si>
  <si>
    <t>amg-it.fr</t>
  </si>
  <si>
    <t>Rambouillet</t>
  </si>
  <si>
    <t xml:space="preserve">ingenierie informatique,technicien applicatif,technicien support informatique,ingenieur securite systeme,administrateur systeme et reseaux,chef de projet</t>
  </si>
  <si>
    <t>http://www.linkedin.com/company/amg-it</t>
  </si>
  <si>
    <t xml:space="preserve">Le métier d'AMG-IT concerne les postes de travail d'assistance technique d'infogérance ou de déploiement de parc. 
Notre société propose aussi de prestations connexes d'administration systèmes et réseaux, des gestions des incidents, de sécurité et d'ingénierie. Nous faisons  du conseil en architecture, de la conduite du changement et de la formation pour accompagner les entreprises dans leur transformation numérique.
Pour les comptes de sociétés de services, nous intervenons auprès de grandes entreprises en France Métropolitaine et DROM-COM.</t>
  </si>
  <si>
    <t>http://www.linkedin.com/in/yann-garlantezec-ba167b66</t>
  </si>
  <si>
    <t xml:space="preserve">Yann ????Tokenomics</t>
  </si>
  <si>
    <t>????Tokenomics</t>
  </si>
  <si>
    <t>yann@nomiks.io</t>
  </si>
  <si>
    <t xml:space="preserve">Co-Founder &amp; Head of engineering -  Transformational economy modelling</t>
  </si>
  <si>
    <t>http://www.linkedin.com/in/yannmastin</t>
  </si>
  <si>
    <t xml:space="preserve">Yohan Caruso</t>
  </si>
  <si>
    <t>Yohan</t>
  </si>
  <si>
    <t>Caruso</t>
  </si>
  <si>
    <t>ycaruso@cicadom.fr</t>
  </si>
  <si>
    <t>President-Directeur-fondateur</t>
  </si>
  <si>
    <t>CICADOM</t>
  </si>
  <si>
    <t>cicadom.fr</t>
  </si>
  <si>
    <t>http://www.linkedin.com/company/cicadom</t>
  </si>
  <si>
    <t xml:space="preserve">Prestataire de santé à domicile sur-mesure. Cicatrisation, perfusion, nutrition,...CICADOM vous propose une prise en charge globale !</t>
  </si>
  <si>
    <t>http://www.linkedin.com/in/yohan-caruso-59890589</t>
  </si>
  <si>
    <t xml:space="preserve">Yoann Cros</t>
  </si>
  <si>
    <t>ycros@onlytoit.fr</t>
  </si>
  <si>
    <t xml:space="preserve">ONLY TOIT</t>
  </si>
  <si>
    <t>onlytoit.fr</t>
  </si>
  <si>
    <t>Dardilly</t>
  </si>
  <si>
    <t>http://www.linkedin.com/company/onlytoit</t>
  </si>
  <si>
    <t xml:space="preserve">Entretien et Réparation sur tout type de toiture - Recherche de fuite - Installation et vérification de sécurisation (ancrages, lignes de vie, échelle...) - Offres de service adaptées à l'accompagnement des Gestionnaires et Entreprises dans leurs problématiques toiture.</t>
  </si>
  <si>
    <t>http://www.linkedin.com/in/yoann-cros</t>
  </si>
  <si>
    <t xml:space="preserve">Yoann Duriez</t>
  </si>
  <si>
    <t>Duriez</t>
  </si>
  <si>
    <t>yd@augusteetferdinand.com</t>
  </si>
  <si>
    <t xml:space="preserve">Co-fondateur Auguste &amp; Ferdinand</t>
  </si>
  <si>
    <t xml:space="preserve">Auguste et Ferdinand</t>
  </si>
  <si>
    <t>augusteetferdinand.com</t>
  </si>
  <si>
    <t>Fretin</t>
  </si>
  <si>
    <t xml:space="preserve">patisserie,boulangerie,traiteur,burgers,food truck</t>
  </si>
  <si>
    <t>http://www.linkedin.com/company/auguste-et-ferdinand</t>
  </si>
  <si>
    <t>https://www.facebook.com/augusteetferdinand</t>
  </si>
  <si>
    <t xml:space="preserve">Auguste &amp; Ferdinand vous propose de découvrir ses boulangeries, son 
restaurant et son food truck de burgers !</t>
  </si>
  <si>
    <t>http://www.linkedin.com/in/yoann-duriez-6052a3114</t>
  </si>
  <si>
    <t xml:space="preserve">Yann Malnoe</t>
  </si>
  <si>
    <t>Malnoe</t>
  </si>
  <si>
    <t>ymalnoe@triskell-consulting.com</t>
  </si>
  <si>
    <t xml:space="preserve">TRISKELL CONSULTING</t>
  </si>
  <si>
    <t>triskell-consulting.com</t>
  </si>
  <si>
    <t xml:space="preserve">iot,soft embarque,cyber securite,developpement applicatif,infrastructure,telecommunication,big data</t>
  </si>
  <si>
    <t>http://www.linkedin.com/company/triskell-consulting</t>
  </si>
  <si>
    <t xml:space="preserve">Retrouvez toutes les informations clés sur Triskell grâce à notre page Accueil qui montre les actualités, les offres d'emploi et l'équipe...</t>
  </si>
  <si>
    <t>http://www.linkedin.com/in/yannmalnoe</t>
  </si>
  <si>
    <t xml:space="preserve">Yoel Hasson</t>
  </si>
  <si>
    <t>Yoel</t>
  </si>
  <si>
    <t>Hasson</t>
  </si>
  <si>
    <t>yoel.hasson@cogis.com</t>
  </si>
  <si>
    <t xml:space="preserve">Directeur général adjoint - Innover pour faciliter la prise en charge du patient</t>
  </si>
  <si>
    <t xml:space="preserve">COGIS NETWORKS</t>
  </si>
  <si>
    <t>cogis.com</t>
  </si>
  <si>
    <t xml:space="preserve">accueil digital,bornes interactives,guidage indoor,geolocalisation dobjets,parcours patient,accueil citoyen,analyse de trafic telephonique,gestion de file dattente,ticket dattente virtuel,demarche citoyen,digitalisation de laccueil,gps indoor,suivi de patients</t>
  </si>
  <si>
    <t>Boissy-Saint-Leger</t>
  </si>
  <si>
    <t>http://www.linkedin.com/company/cogis-networks-sa</t>
  </si>
  <si>
    <t>https://twitter.com/cogisnetworks</t>
  </si>
  <si>
    <t xml:space="preserve">Cogis Networks, votre allié dans la gestion de file d'attente et de borne d'accueil pour un établissement optimisé.</t>
  </si>
  <si>
    <t>http://www.linkedin.com/in/yoel-hasson-353706aa</t>
  </si>
  <si>
    <t xml:space="preserve">Yogev Sarel</t>
  </si>
  <si>
    <t>Yogev</t>
  </si>
  <si>
    <t>Sarel</t>
  </si>
  <si>
    <t>yogev@redstrings.io</t>
  </si>
  <si>
    <t xml:space="preserve">CTO &amp; Co-Founder</t>
  </si>
  <si>
    <t>Redstrings</t>
  </si>
  <si>
    <t>redstrings.io</t>
  </si>
  <si>
    <t xml:space="preserve">risk management,risk mitigation,fraud mitigation,compliance,case management,investigations,grc,duediligence,enhanced duediligence</t>
  </si>
  <si>
    <t xml:space="preserve">Tel Aviv-Yafo</t>
  </si>
  <si>
    <t xml:space="preserve">Tel Aviv District</t>
  </si>
  <si>
    <t>http://www.linkedin.com/company/redstrings</t>
  </si>
  <si>
    <t xml:space="preserve">Full Service EDD Reviews in 30 minutes Get The Service Send us the details of the business you’d like to review Get a detailed report endorsed by an expert…</t>
  </si>
  <si>
    <t>http://www.linkedin.com/in/yogev-sarel-7471b550</t>
  </si>
  <si>
    <t xml:space="preserve">Yohann Videgrain-Charreyron</t>
  </si>
  <si>
    <t>Videgrain-Charreyron</t>
  </si>
  <si>
    <t>yohann@paybystep.com</t>
  </si>
  <si>
    <t>paybystep.com</t>
  </si>
  <si>
    <t>http://www.linkedin.com/company/paybystep</t>
  </si>
  <si>
    <t xml:space="preserve">Le premier module de paiement collaboratif pour accélérer vos rendus et diminuer vos délais de paiement. paybystep permet de nombreuses possibilités pour améliorer votre cashflow, peu importe la taille et le secteur d'activité. 
Freelance : un paiement automatique chaque jour, ou à la semaine, si vous travaillez en TJM. Ou un paiement à chaque rendu, si vous collaborez sur un projet à étapes. 
TPE / PME/ PMI / startups : grâce à la rapidité d'encaissement de vos ventes, investissez dans votre développement et créez de l'emploi.
Groupes : accélérez les paiements intra-groupe, ou encore proposez simplement vos talents en régie à d'autres entreprises, de façon autonome.
Adieu les délais de paiement, bonjour la confiance !</t>
  </si>
  <si>
    <t>http://www.linkedin.com/in/yvcpbs</t>
  </si>
  <si>
    <t xml:space="preserve">Yves Pinaroli</t>
  </si>
  <si>
    <t>Pinaroli</t>
  </si>
  <si>
    <t>ypinaroli@vakom.fr</t>
  </si>
  <si>
    <t>http://www.linkedin.com/in/yves-pinaroli-a973a112b</t>
  </si>
  <si>
    <t xml:space="preserve">Yves Pariot</t>
  </si>
  <si>
    <t>Pariot</t>
  </si>
  <si>
    <t>yves.pariot@proneo-certification.fr</t>
  </si>
  <si>
    <t xml:space="preserve">PRONEO CERTIFICATION</t>
  </si>
  <si>
    <t>proneo-certification.fr</t>
  </si>
  <si>
    <t xml:space="preserve">iso 45001,amelioration continue,certification reglementaire formation,certificateur dentreprise,certification cnefop,iso 21001,iso 27001,audit qualite,expertise audit,iso 14001,iso 9001,certification decret qualite,certification qualite,rnq,certification,label f,evaluation essms,ica,certification iso 9001,certificateur d39entreprise,qualiopi,iso 20121,irca,ohsas 18001</t>
  </si>
  <si>
    <t>http://www.linkedin.com/company/proneo-certification</t>
  </si>
  <si>
    <t>https://www.facebook.com/ProneoCertification</t>
  </si>
  <si>
    <t xml:space="preserve">Pronéo Certification propose de nombreuses certification : ISO 9001, ISO 20121, evaluation médido social, Qualiopi, Label F (RSE Funéraire)
PRONÉO CERTIFICATION propose des solutions dans les domaines suivants : 
La certification les entreprises selon des normes françaises (NF), européennes (EN) ou internationales (ISO)
L'évaluation des entreprises dans un objectif de mesure et de progrès
L'élaboration de référentiel sur mesure à partir des propres exigences et des objectifs de l'entreprise
Nos prestations sont
La certification des organismes de formation Qualiopi
Les systèmes de management selon l'ISO 9001 (qualité), l'ISO 14001 (environnement), l'ISO 45001, (santé et sécurité au travail)
N'hésitez pas à nous contacter si vous avez des projets de certification sur d'autres référentiels, notre gamme de prestations s'étoffe régulièrement.
L' ADN de PRONÉO CERTIFICATION 
- La proximité : le client est accompagné tout au long de son projet de certification
- L'expertise, nous nous entourons des meilleurs auditeurs experts.
Nos valeurs sont l'impartialité, la qualité, la responsabilité, la bienveillance et la confiance.</t>
  </si>
  <si>
    <t>http://www.linkedin.com/in/yvespariot</t>
  </si>
  <si>
    <t xml:space="preserve">Yves Prunier</t>
  </si>
  <si>
    <t>yves.prunier@cabinet-ace.fr</t>
  </si>
  <si>
    <t xml:space="preserve">Consultant Dirigeant</t>
  </si>
  <si>
    <t xml:space="preserve">Cabinet ACE</t>
  </si>
  <si>
    <t>cabinet-ace.fr</t>
  </si>
  <si>
    <t xml:space="preserve">consulting,agence communication,communication,management,commercial,marketing</t>
  </si>
  <si>
    <t>http://www.linkedin.com/company/cabinet-ace</t>
  </si>
  <si>
    <t>https://www.facebook.com/Cabinet.ACE.Angers</t>
  </si>
  <si>
    <t xml:space="preserve">Cabinet ACE : experts Marketing Communication Commercial Management, sur Angers et La Flèche - Conseil, Formation et Agence de Com 360 et webmarketing</t>
  </si>
  <si>
    <t>http://www.linkedin.com/in/yvesprunier</t>
  </si>
  <si>
    <t xml:space="preserve">Company Name for Emails-old</t>
  </si>
  <si>
    <t>Industry-old</t>
  </si>
  <si>
    <t>Fernandes</t>
  </si>
  <si>
    <t xml:space="preserve">ICN Junior Conseil</t>
  </si>
  <si>
    <t>antoine.fernandes@icnjuniorconseil.com</t>
  </si>
  <si>
    <t>http://www.linkedin.com/in/antoine-fernandes-117958222</t>
  </si>
  <si>
    <t>http://www.icnjuniorconseil.com</t>
  </si>
  <si>
    <t>Ayrald</t>
  </si>
  <si>
    <t xml:space="preserve">My Retail Box</t>
  </si>
  <si>
    <t>nayrald@my-retail-box.com</t>
  </si>
  <si>
    <t>http://www.linkedin.com/in/nicolas-ayrald-44404952</t>
  </si>
  <si>
    <t>http://www.daybyday-shop.com</t>
  </si>
  <si>
    <t>Viroflay</t>
  </si>
  <si>
    <t xml:space="preserve">Route de Paris, Dreux, Centre, France, 28100</t>
  </si>
  <si>
    <t>Panaiva</t>
  </si>
  <si>
    <t>CEO-Founder</t>
  </si>
  <si>
    <t>Polymex</t>
  </si>
  <si>
    <t>l.panaiva@polymex.fr</t>
  </si>
  <si>
    <t>http://www.linkedin.com/in/lionel-panaiva-2b351a63</t>
  </si>
  <si>
    <t>http://www.polymex.fr</t>
  </si>
  <si>
    <t xml:space="preserve">Fuveau, Provence-Alpes-Cote d'Azur, France, 13710</t>
  </si>
  <si>
    <t xml:space="preserve">Polymex est un laboratoire indépendant spécialisé dans la prestation de service sur l'Etude et l'Expertise des matériaux et polymères.
Un savoir-faire de 25 ans d'expérience sur l'analyse, la qualification et la déformulation de matrices et systèmes polymériques.
Devis Gratuit sous 8h - Forfait URGENCE 24/48h.</t>
  </si>
  <si>
    <t>Angelique</t>
  </si>
  <si>
    <t>Marot</t>
  </si>
  <si>
    <t xml:space="preserve">TEMPS D'AVANCE</t>
  </si>
  <si>
    <t>amarot@tempsdavance.com</t>
  </si>
  <si>
    <t>http://www.linkedin.com/in/ang%c3%a9lique-marot-9523b1150</t>
  </si>
  <si>
    <t>http://www.tempsdavance.com</t>
  </si>
  <si>
    <t>Pouzauges</t>
  </si>
  <si>
    <t xml:space="preserve">5 Rue de Nantes, Paris, Ile-de-France, France, 75019</t>
  </si>
  <si>
    <t xml:space="preserve">Temps d'Avance, cabinet de conseil et AMOA expert en gestion des temps et activités et SIRH. Accompagnement sur mesure dans vos projets de digitalisation RH.</t>
  </si>
  <si>
    <t>Kahla</t>
  </si>
  <si>
    <t xml:space="preserve">Founder, Leasing and Lending solution expert</t>
  </si>
  <si>
    <t>Newage</t>
  </si>
  <si>
    <t>rbenkahla@newage-consulting.fr</t>
  </si>
  <si>
    <t>http://www.linkedin.com/in/ramzi-ben-kahla-73a2823b</t>
  </si>
  <si>
    <t>http://www.newage-consulting.fr</t>
  </si>
  <si>
    <t xml:space="preserve">Fondateur, Président, Directeur des opérations INNOKIN France</t>
  </si>
  <si>
    <t xml:space="preserve">INNOKIN France</t>
  </si>
  <si>
    <t>olivier.vilain@innokin.fr</t>
  </si>
  <si>
    <t>http://www.linkedin.com/in/olivier-vilain-799269147</t>
  </si>
  <si>
    <t>http://www.innokin.fr</t>
  </si>
  <si>
    <t xml:space="preserve">Lesquin, Hauts-de-France, France, 59810</t>
  </si>
  <si>
    <t>Annie</t>
  </si>
  <si>
    <t>Grenier</t>
  </si>
  <si>
    <t xml:space="preserve">Directrice - Co Founder/CEO</t>
  </si>
  <si>
    <t>Overspeed</t>
  </si>
  <si>
    <t>annie.grenier@overspeed.fr</t>
  </si>
  <si>
    <t>http://www.linkedin.com/in/anniegrenier1</t>
  </si>
  <si>
    <t>http://www.overspeed.fr</t>
  </si>
  <si>
    <t xml:space="preserve">53BIS Boulevard des Belges, Rouen, Upper Normandy, France, 76000</t>
  </si>
  <si>
    <t>Leaute</t>
  </si>
  <si>
    <t>Gedivote</t>
  </si>
  <si>
    <t>erwan@gedivote.fr</t>
  </si>
  <si>
    <t>http://www.linkedin.com/in/erwan-l%c3%a9aut%c3%a9-38925627</t>
  </si>
  <si>
    <t>http://www.gedivote.fr</t>
  </si>
  <si>
    <t xml:space="preserve">Saint-Maur-des-Fosses, Ile-de-France, France</t>
  </si>
  <si>
    <t xml:space="preserve">Gedivote vous accompagne dans vos processus électoraux en vote par Internet, vote papier, vote hybride. Solutions sécurisées.</t>
  </si>
  <si>
    <t>Albert</t>
  </si>
  <si>
    <t xml:space="preserve">LE MOULIN DES AFFAIRES</t>
  </si>
  <si>
    <t>richard@moulindesaffaires.fr</t>
  </si>
  <si>
    <t>http://www.linkedin.com/in/richard-albert-199b8b2a9</t>
  </si>
  <si>
    <t>http://www.moulindesaffaires.fr</t>
  </si>
  <si>
    <t>Saint-Mesmin</t>
  </si>
  <si>
    <t xml:space="preserve">Saint-Mesmin, Nouvelle-Aquitaine, France, 24270</t>
  </si>
  <si>
    <t xml:space="preserve">Moulin des Affaires</t>
  </si>
  <si>
    <t>Parlant</t>
  </si>
  <si>
    <t xml:space="preserve">Président d’ATOMAYA groupe ENENCE</t>
  </si>
  <si>
    <t>alexandre@enence.fr</t>
  </si>
  <si>
    <t>http://www.linkedin.com/in/alexandre-parlant-ba2306166</t>
  </si>
  <si>
    <t>http://www.enence.fr</t>
  </si>
  <si>
    <t xml:space="preserve">La Baule-Escoublac</t>
  </si>
  <si>
    <t xml:space="preserve">96 Boulevard de l'Europe, Vitrolles, Provence-Alpes-Cote d'Azur, France, 13127</t>
  </si>
  <si>
    <t>Alliany</t>
  </si>
  <si>
    <t xml:space="preserve">ABC Liv</t>
  </si>
  <si>
    <t>patrickalliany@abcliv.fr</t>
  </si>
  <si>
    <t>http://www.linkedin.com/in/patrick-alliany-7390471bb</t>
  </si>
  <si>
    <t>http://www.abcliv.fr</t>
  </si>
  <si>
    <t xml:space="preserve">2B Rue Dupont de l'Eure, Paris, Ile-de-France, France, 75020</t>
  </si>
  <si>
    <t xml:space="preserve">La domiciliation est une obligation pour les entreprises et les associations. Découvrez les adresses de domiciliation proposées par ABC Liv pour se domicilier à Paris.</t>
  </si>
  <si>
    <t>Montoya</t>
  </si>
  <si>
    <t xml:space="preserve">Make Me Win</t>
  </si>
  <si>
    <t>sergio@makemewin.net</t>
  </si>
  <si>
    <t>http://www.linkedin.com/in/sergio-montoya-a7b5bb1</t>
  </si>
  <si>
    <t>http://www.smart-copilot.com</t>
  </si>
  <si>
    <t xml:space="preserve">20 Rue Jean Moinon, Paris, Ile-de-France, France, 75010</t>
  </si>
  <si>
    <t>Koszyk</t>
  </si>
  <si>
    <t>Serenicity</t>
  </si>
  <si>
    <t>fabrice.koszyk@serenicity.fr</t>
  </si>
  <si>
    <t>http://www.linkedin.com/in/fabrice-koszyk</t>
  </si>
  <si>
    <t>http://www.serenicity.fr</t>
  </si>
  <si>
    <t xml:space="preserve">1 Rue de l'Informatique, Saint-Etienne, Rhone-Alpes, France, 42000</t>
  </si>
  <si>
    <t>Meddahi</t>
  </si>
  <si>
    <t>Influences</t>
  </si>
  <si>
    <t>c.meddahi@agence-influences.fr</t>
  </si>
  <si>
    <t>http://www.linkedin.com/in/catherine-meddahi-72559017</t>
  </si>
  <si>
    <t>http://www.agence-influences.com</t>
  </si>
  <si>
    <t xml:space="preserve">7 Rue de Clichy, Paris, Ile-de-France, France, 75009</t>
  </si>
  <si>
    <t xml:space="preserve">Relations presse et communication d'influence.</t>
  </si>
  <si>
    <t>Zambon</t>
  </si>
  <si>
    <t>Serlabo</t>
  </si>
  <si>
    <t>zambon@serlabo.fr</t>
  </si>
  <si>
    <t>http://www.linkedin.com/in/g%c3%a9rard-zambon-46ab9b64</t>
  </si>
  <si>
    <t>http://www.serlabo.fr</t>
  </si>
  <si>
    <t>Entraigues-sur-la-Sorgue</t>
  </si>
  <si>
    <t xml:space="preserve">Route d'Avignon, Vedene, Provence-Alpes-Cote d'Azur, France, 84270</t>
  </si>
  <si>
    <t>Burgaud</t>
  </si>
  <si>
    <t>CEREALOG</t>
  </si>
  <si>
    <t>jerome.burgaud@cerealog.fr</t>
  </si>
  <si>
    <t>http://www.linkedin.com/in/j%c3%a9r%c3%b4me-burgaud-08447035</t>
  </si>
  <si>
    <t>http://www.cerealog.fr</t>
  </si>
  <si>
    <t xml:space="preserve">1 Place Bernard Moitessier, La Rochelle, Poitou-Charentes, France, 17000</t>
  </si>
  <si>
    <t>Kuhnast</t>
  </si>
  <si>
    <t>Safehear</t>
  </si>
  <si>
    <t>antoine@safehear.fr</t>
  </si>
  <si>
    <t>http://www.linkedin.com/in/antoine-kuhnast-%f0%9f%8c%b1-0599a4159</t>
  </si>
  <si>
    <t>http://www.safehear.fr</t>
  </si>
  <si>
    <t xml:space="preserve">59 Rue de l'Abondance, Lyon, Auvergne-Rhone-Alpes, France, 69003</t>
  </si>
  <si>
    <t xml:space="preserve">Safehear est une start-up française qui développe des solutions de protection auditive pour l'industrie. Découvrez Louis notre oreillettes anti bruit Made in France !</t>
  </si>
  <si>
    <t>Laury</t>
  </si>
  <si>
    <t>Ubikwi</t>
  </si>
  <si>
    <t>olivier.laury@ubikwi.com</t>
  </si>
  <si>
    <t>http://www.linkedin.com/in/olivierlaury</t>
  </si>
  <si>
    <t>http://www.supergeek.fr</t>
  </si>
  <si>
    <t xml:space="preserve">Super Geek vous dépanne et vous aide dans l'usage de vos logiciels et applications. Garantie Dépanné ou Remboursé. +30,000 interventions ✔️</t>
  </si>
  <si>
    <t>Cochu</t>
  </si>
  <si>
    <t xml:space="preserve">Global Concept</t>
  </si>
  <si>
    <t>s.cochu@globalconcept.fr</t>
  </si>
  <si>
    <t>http://www.linkedin.com/in/st%c3%a9phane-cochu-239702bb</t>
  </si>
  <si>
    <t>http://www.globalconcept.fr</t>
  </si>
  <si>
    <t xml:space="preserve">118 Boulevard de Verdun, Courbevoie, Ile-de-France, France, 92400</t>
  </si>
  <si>
    <t xml:space="preserve">Découvrez nos gammes de téléphonie, péritéléphonie, sécurité et routages pour les professionnels. De multiples références en stock et des bonnes affaires : PABX, IPBX...</t>
  </si>
  <si>
    <t>Tisne</t>
  </si>
  <si>
    <t>jerome@theseedcrew.com</t>
  </si>
  <si>
    <t>http://www.linkedin.com/in/jtisne</t>
  </si>
  <si>
    <t>http://www.theseedcrew.com</t>
  </si>
  <si>
    <t>Bonhumeau</t>
  </si>
  <si>
    <t>iD3i</t>
  </si>
  <si>
    <t>ludovic.bonhumeau@id3i.fr</t>
  </si>
  <si>
    <t>http://www.linkedin.com/in/ludovic-bonhumeau-35651412</t>
  </si>
  <si>
    <t>http://www.id3i.fr</t>
  </si>
  <si>
    <t xml:space="preserve">100 Rue des Mouettes, Brest, Brittany, France, 29200</t>
  </si>
  <si>
    <t xml:space="preserve">Texte de description</t>
  </si>
  <si>
    <t>IMAGE</t>
  </si>
  <si>
    <t>lucas@image-worldwide.com</t>
  </si>
  <si>
    <t>http://www.linkedin.com/in/sonia-lucas-4b924786</t>
  </si>
  <si>
    <t>http://www.image-worldwide.com</t>
  </si>
  <si>
    <t xml:space="preserve">New York, New York, United States</t>
  </si>
  <si>
    <t>Dullin</t>
  </si>
  <si>
    <t xml:space="preserve">CEO and ILS/Risk engineering expert</t>
  </si>
  <si>
    <t xml:space="preserve">A2L consultants</t>
  </si>
  <si>
    <t>b.dullin@a2l.net</t>
  </si>
  <si>
    <t>http://www.linkedin.com/in/bertrand-dullin-114b504b</t>
  </si>
  <si>
    <t>http://www.a2l.net</t>
  </si>
  <si>
    <t xml:space="preserve">42 Rue Legendre, Paris, Ile-de-France, France, 75017</t>
  </si>
  <si>
    <t>Sacha</t>
  </si>
  <si>
    <t>Tabarly</t>
  </si>
  <si>
    <t xml:space="preserve">AV Concept Products</t>
  </si>
  <si>
    <t>sacha@getaiovp.com</t>
  </si>
  <si>
    <t>http://www.linkedin.com/in/sacha-tabarly-03561218</t>
  </si>
  <si>
    <t>http://www.avconceptproducts.com</t>
  </si>
  <si>
    <t xml:space="preserve">38 Rue du Bois Galon, Fontenay-sous-Bois, Ile-de-France, France, 94120</t>
  </si>
  <si>
    <t>Salmeron</t>
  </si>
  <si>
    <t xml:space="preserve">VAP CONCEPT</t>
  </si>
  <si>
    <t>laura.salmeron@jpr-distribution.com</t>
  </si>
  <si>
    <t>http://www.linkedin.com/in/laura-salmeron-a8a555232</t>
  </si>
  <si>
    <t>http://www.jpr-distribution.com</t>
  </si>
  <si>
    <t xml:space="preserve">363 Route de Morieres, Vedene, Provence-Alpes-Cote d'Azur, France, 84270</t>
  </si>
  <si>
    <t>Pierre-Emmanuel</t>
  </si>
  <si>
    <t>Spay</t>
  </si>
  <si>
    <t xml:space="preserve">Directeur Général Projets</t>
  </si>
  <si>
    <t>pespay@x-gil.fr</t>
  </si>
  <si>
    <t>http://www.linkedin.com/in/pierre-emmanuel-spay-8a079bb8</t>
  </si>
  <si>
    <t>http://www.x-gil.fr</t>
  </si>
  <si>
    <t xml:space="preserve">Nimes, Occitanie, France</t>
  </si>
  <si>
    <t>Campagne-Simon</t>
  </si>
  <si>
    <t xml:space="preserve">Directeur Général, Associé</t>
  </si>
  <si>
    <t xml:space="preserve">Loupi Lighting</t>
  </si>
  <si>
    <t>ecs@loupi.com</t>
  </si>
  <si>
    <t>http://www.linkedin.com/in/emmanuel-campagne-simon-4b481527</t>
  </si>
  <si>
    <t>http://www.loupi-lighting.fr</t>
  </si>
  <si>
    <t xml:space="preserve">57 Rue Denis Papin, Pantin, Ile-de-France, France, 93500</t>
  </si>
  <si>
    <t xml:space="preserve">Nous concevons et fabriquons des luminaires LED pour les professionnels. Nos produits sont made in France.</t>
  </si>
  <si>
    <t>Nassreddine</t>
  </si>
  <si>
    <t>Riahi</t>
  </si>
  <si>
    <t>n.riahi@cynoia.com</t>
  </si>
  <si>
    <t>http://www.linkedin.com/in/nassreddine-riahi</t>
  </si>
  <si>
    <t>http://www.cynoia.com</t>
  </si>
  <si>
    <t xml:space="preserve">69 Rue du Rouet, Marseille, Provence-Alpes-Cote d'Azur, France, 13008</t>
  </si>
  <si>
    <t>Ray</t>
  </si>
  <si>
    <t>Altermès</t>
  </si>
  <si>
    <t>mfournierleray@altermes.fr</t>
  </si>
  <si>
    <t>http://www.linkedin.com/in/matthieu-fournier-le-ray-741b5961</t>
  </si>
  <si>
    <t>http://www.altermes.fr</t>
  </si>
  <si>
    <t xml:space="preserve">29 Rue du Colisee, Paris, Ile-de-France, France, 75008</t>
  </si>
  <si>
    <t xml:space="preserve">Altermès fournit des prestations d'excellence dans les domaines financiers, digitaux et de la durabilité</t>
  </si>
  <si>
    <t xml:space="preserve">Property Filter</t>
  </si>
  <si>
    <t>florian@property-filter.co.uk</t>
  </si>
  <si>
    <t>http://www.linkedin.com/in/florianmoulin</t>
  </si>
  <si>
    <t>http://www.property-filter.co.uk</t>
  </si>
  <si>
    <t xml:space="preserve">Coventry, England, United Kingdom</t>
  </si>
  <si>
    <t xml:space="preserve">Discover the UK’s highest-rated platform for property investors and sourcers. Property Filter streamlines your property search, helping you analyse and find the best deals faster.</t>
  </si>
  <si>
    <t xml:space="preserve">CEO We Do It Better</t>
  </si>
  <si>
    <t xml:space="preserve">We Do It Better</t>
  </si>
  <si>
    <t>olivier@we-do-it.fr</t>
  </si>
  <si>
    <t>http://www.linkedin.com/in/olivier-michaud-4a1b2719</t>
  </si>
  <si>
    <t>http://www.we-do-it-better.fr</t>
  </si>
  <si>
    <t xml:space="preserve">38 Rue du Texel, Paris, Ile-de-France, France, 75014</t>
  </si>
  <si>
    <t xml:space="preserve">We do it Better, rassemble une équipe d'experts web pour vous accompagner sur votre site. Venez rencontrer notre équipe SEO, SEA et chef de projet web !</t>
  </si>
  <si>
    <t>Dauton</t>
  </si>
  <si>
    <t>Kaizzen</t>
  </si>
  <si>
    <t>jdauton@kaizzen.fr</t>
  </si>
  <si>
    <t>http://www.linkedin.com/in/jdauton</t>
  </si>
  <si>
    <t>http://www.kaizzen.fr</t>
  </si>
  <si>
    <t xml:space="preserve">Villiers-le-Mahieu, Ile-de-France, France, 78770</t>
  </si>
  <si>
    <t>Foucque</t>
  </si>
  <si>
    <t xml:space="preserve">Co-fondateur / DG / CPO</t>
  </si>
  <si>
    <t>SEQINO</t>
  </si>
  <si>
    <t>charles.foucque@seqino.com</t>
  </si>
  <si>
    <t>http://www.linkedin.com/in/charlesfoucque</t>
  </si>
  <si>
    <t>http://www.seqino.com</t>
  </si>
  <si>
    <t xml:space="preserve">Logiciel de facturation PDP complet et intuitif · Factures d'achat · Factures de vente · Paiements · Encaissement · Pré-comptabilité</t>
  </si>
  <si>
    <t>Valentine</t>
  </si>
  <si>
    <t>Lorenzi</t>
  </si>
  <si>
    <t xml:space="preserve">Directrice Générale Associée et Directrice Commerciale</t>
  </si>
  <si>
    <t>valentine.lorenzi@tds-technologies.net</t>
  </si>
  <si>
    <t>http://www.linkedin.com/in/valentine-lorenzi-7aa012135</t>
  </si>
  <si>
    <t>http://www.tds-technologies.net</t>
  </si>
  <si>
    <t xml:space="preserve">54 Boulevard Rodin, Issy-les-Moulineaux, Ile-de-France, France, 92130</t>
  </si>
  <si>
    <t>Dutto</t>
  </si>
  <si>
    <t>blurizon</t>
  </si>
  <si>
    <t>alexandra.dutto@blurizon.io</t>
  </si>
  <si>
    <t>http://www.linkedin.com/in/alexandradutto</t>
  </si>
  <si>
    <t>http://www.blurizon.io</t>
  </si>
  <si>
    <t xml:space="preserve">Nous accompagnons votre transformation, de la vision à la réalisation.</t>
  </si>
  <si>
    <t>Maladiere</t>
  </si>
  <si>
    <t xml:space="preserve">Co-Founder | Machine Learning Engineer</t>
  </si>
  <si>
    <t>probabl</t>
  </si>
  <si>
    <t>vincent@probabl.ai</t>
  </si>
  <si>
    <t>http://www.linkedin.com/in/vincent-maladi%c3%a8re-13aa3014b</t>
  </si>
  <si>
    <t>http://www.probabl.ai</t>
  </si>
  <si>
    <t xml:space="preserve">Open Source Commons for AI, Machine Learning, and Data Science.</t>
  </si>
  <si>
    <t xml:space="preserve">Associé Fondateur MAJOR 5</t>
  </si>
  <si>
    <t xml:space="preserve">Hive Consulting</t>
  </si>
  <si>
    <t>erwan.georges@hiveconsulting.fr</t>
  </si>
  <si>
    <t>http://www.linkedin.com/in/erwan-georges-a70305117</t>
  </si>
  <si>
    <t>http://www.major5.fr</t>
  </si>
  <si>
    <t xml:space="preserve">MAJOR 5 Cabinet de conseil à Toulouse | Conseil en transformation | Projet Informatique | Projet Industriel</t>
  </si>
  <si>
    <t>Jean-Charles</t>
  </si>
  <si>
    <t>Flores</t>
  </si>
  <si>
    <t xml:space="preserve">Co-Founder - CTO</t>
  </si>
  <si>
    <t>FLEXOO</t>
  </si>
  <si>
    <t>jean-charles.flores@flexoo.de</t>
  </si>
  <si>
    <t>http://www.linkedin.com/in/jean-charles-flores-8aa852137</t>
  </si>
  <si>
    <t>http://www.flexoo.de</t>
  </si>
  <si>
    <t xml:space="preserve">4 Speyerer Strasse, Heidelberg, Baden-Wuerttemberg, Germany, 69115</t>
  </si>
  <si>
    <t>Charles-Antoine</t>
  </si>
  <si>
    <t>Fontenay</t>
  </si>
  <si>
    <t>Sunnikan</t>
  </si>
  <si>
    <t>ca.defontenay@4-as.fr</t>
  </si>
  <si>
    <t>http://www.linkedin.com/in/cadefontenay</t>
  </si>
  <si>
    <t>http://www.sunnikan.net</t>
  </si>
  <si>
    <t xml:space="preserve">231 Rue La Fontaine, Fontenay-sous-Bois, Ile-de-France, France, 94120</t>
  </si>
  <si>
    <t xml:space="preserve">Home -</t>
  </si>
  <si>
    <t>Pirey</t>
  </si>
  <si>
    <t>CAD</t>
  </si>
  <si>
    <t>cdepirey@cad42.com</t>
  </si>
  <si>
    <t>http://www.linkedin.com/in/charles-de-pirey-77456247</t>
  </si>
  <si>
    <t>http://www.cad42.com</t>
  </si>
  <si>
    <t xml:space="preserve">CAD.42, la solution qui devient la tour de contrôle de vos opérations, alliant données, sécurité et IA sur vos sites.</t>
  </si>
  <si>
    <t>Marti</t>
  </si>
  <si>
    <t xml:space="preserve">Co Founder, CEO</t>
  </si>
  <si>
    <t>unknowns</t>
  </si>
  <si>
    <t>david.marti@unknowns.fr</t>
  </si>
  <si>
    <t>http://www.linkedin.com/in/davidmarti75</t>
  </si>
  <si>
    <t>http://www.unknowns.fr</t>
  </si>
  <si>
    <t xml:space="preserve">61 Rue du Faubourg Saint-Denis, Paris, Ile-de-France, France, 75010</t>
  </si>
  <si>
    <t xml:space="preserve">We design positive digital strategies and solutions powered by deep human understanding.</t>
  </si>
  <si>
    <t>Hautin</t>
  </si>
  <si>
    <t>elevenact</t>
  </si>
  <si>
    <t>benjamin.hautin@elevenact.com</t>
  </si>
  <si>
    <t>http://www.linkedin.com/in/benjamin-hautin</t>
  </si>
  <si>
    <t>http://www.elevenact.com</t>
  </si>
  <si>
    <t xml:space="preserve">Le groupe média &amp; tech réunissant les sites référents sur leurs segments de marché au service de l'égalité des chances et de l'impact.</t>
  </si>
  <si>
    <t>Chaissac</t>
  </si>
  <si>
    <t xml:space="preserve">Head Of Design and co-founder</t>
  </si>
  <si>
    <t>Dock</t>
  </si>
  <si>
    <t>luc@dock.us</t>
  </si>
  <si>
    <t>http://www.linkedin.com/in/lucchaissac</t>
  </si>
  <si>
    <t>http://www.dock.us</t>
  </si>
  <si>
    <t xml:space="preserve">548 Market Street, San Francisco, California, United States, 94104</t>
  </si>
  <si>
    <t xml:space="preserve">Dock is a client-facing workspace that customers love. Dock makes it easy to create sales proposals, onboarding plans, client portals, and project hubs.</t>
  </si>
  <si>
    <t>Rodolphe</t>
  </si>
  <si>
    <t xml:space="preserve">Feel and Clic</t>
  </si>
  <si>
    <t>rodolphe.marcel@feelandclic.com</t>
  </si>
  <si>
    <t>http://www.linkedin.com/in/rodolphemarcel</t>
  </si>
  <si>
    <t>http://www.feelandclic.com</t>
  </si>
  <si>
    <t xml:space="preserve">8 Rue Treilhard, Paris, Ile-de-France, France, 75008</t>
  </si>
  <si>
    <t xml:space="preserve">Feel and Clic est une agence digitale basée à Paris, spécialisée dans la conception UX / SEO de sites web et de plateformes digitales complexes et performantes.</t>
  </si>
  <si>
    <t>Leonard</t>
  </si>
  <si>
    <t>Cox</t>
  </si>
  <si>
    <t xml:space="preserve">Co-fondateur I Directeur général</t>
  </si>
  <si>
    <t>TidyUp</t>
  </si>
  <si>
    <t>leonard@tidyuptech.com</t>
  </si>
  <si>
    <t>http://www.linkedin.com/in/leonard-cox-1a1b9a21</t>
  </si>
  <si>
    <t>http://www.tidyuptech.com</t>
  </si>
  <si>
    <t>Grasse</t>
  </si>
  <si>
    <t xml:space="preserve">Experience a more productive and serene workday with TidyUp, an AI-powered file management solution. Utilize our efficient organization tools and save valuable time. Say goodbye to document search ...</t>
  </si>
  <si>
    <t>Corpetti</t>
  </si>
  <si>
    <t xml:space="preserve">Scientific Advisor (and co-founder)</t>
  </si>
  <si>
    <t>KERMAP</t>
  </si>
  <si>
    <t>thomas.corpetti@kermap.com</t>
  </si>
  <si>
    <t>http://www.linkedin.com/in/thomas-corpetti-68468313a</t>
  </si>
  <si>
    <t>http://www.kermap.com</t>
  </si>
  <si>
    <t xml:space="preserve">1137A Avenue des Champs Blancs, Cesson-Sevigne, Brittany, France, 35510</t>
  </si>
  <si>
    <t xml:space="preserve">Information géographique, analyse et datavisualisation pour l'aménagement du territoire, la protection de l'environnement et l'agriculture durable.</t>
  </si>
  <si>
    <t>Chomarat</t>
  </si>
  <si>
    <t>Linoa</t>
  </si>
  <si>
    <t>achats@linoa.com</t>
  </si>
  <si>
    <t>http://www.linkedin.com/in/julien-chomarat-04633318</t>
  </si>
  <si>
    <t>http://www.linoa.com</t>
  </si>
  <si>
    <t xml:space="preserve">46 Avenue de Versailles, Thiais, Ile-de-France, France, 94320</t>
  </si>
  <si>
    <t>Vergnes</t>
  </si>
  <si>
    <t>Valala</t>
  </si>
  <si>
    <t>valentin@valala-shop.fr</t>
  </si>
  <si>
    <t>http://www.linkedin.com/in/valentinvergnes</t>
  </si>
  <si>
    <t>http://www.valala-shop.fr</t>
  </si>
  <si>
    <t xml:space="preserve">Simplifiez l'acquisition et la gestion de votre équipement d'entreprise grâce à Valala. Location sans loyer majoré, assurance et garantie incluse.</t>
  </si>
  <si>
    <t>Mahdi</t>
  </si>
  <si>
    <t>Azizi</t>
  </si>
  <si>
    <t xml:space="preserve">xRM Consulting</t>
  </si>
  <si>
    <t>mahdi@xrm-cs.com</t>
  </si>
  <si>
    <t>http://www.linkedin.com/in/mahdiazizi</t>
  </si>
  <si>
    <t>http://www.xrm-cs.com</t>
  </si>
  <si>
    <t xml:space="preserve">Asnieres-sur-Seine, Ile-de-France, France, 92600</t>
  </si>
  <si>
    <t xml:space="preserve">BOOSTEZ VOTRE CROISSANCE GRÂCE À UNE EXPÉRIENCE CLIENT SIMPLE Augmentez le taux de conversion des leads, construisez une vue Client 360° fine et améliorez la performance du SAVxRM Consulting vous apporte son expertise Dynamics 365 et Power Platform pour vous aider à vous différencier ! NOS EXPERTISES Notre offre NOUVELLES SESSIONS OUVERTES EN 2023 FORMATION DYNAMICS 365 - FONDAMENTAUX En l’espace de 2 jours,</t>
  </si>
  <si>
    <t>Tissier</t>
  </si>
  <si>
    <t xml:space="preserve">CEO - UrbanGaming www.urbangaming.fr</t>
  </si>
  <si>
    <t xml:space="preserve">Urban Gaming</t>
  </si>
  <si>
    <t>martin@urbangaming.com</t>
  </si>
  <si>
    <t>http://www.linkedin.com/in/martintissier</t>
  </si>
  <si>
    <t>http://www.urbangaming.fr</t>
  </si>
  <si>
    <t xml:space="preserve">62 Passage Choiseul, Paris, Ile-de-France, France, 75002</t>
  </si>
  <si>
    <t xml:space="preserve">20 jeux innovants, collectifs et digitaux à faire en 2024. Nous créons des jeux innovants et utilisons la gamification pour des objectifs professionnels.</t>
  </si>
  <si>
    <t>Desecures</t>
  </si>
  <si>
    <t>mikael.desecures@aprex-solutions.com</t>
  </si>
  <si>
    <t>http://www.linkedin.com/in/mika%c3%abl-d%c3%a9s%c3%a9cures-ab5aa2177</t>
  </si>
  <si>
    <t>http://www.aprex-solutions.com</t>
  </si>
  <si>
    <t xml:space="preserve">2 Allee Andre Guinier, Nancy, Grand Est, France, 54000</t>
  </si>
  <si>
    <t>Manan</t>
  </si>
  <si>
    <t>Mehta</t>
  </si>
  <si>
    <t>MarketinCrew</t>
  </si>
  <si>
    <t>manan.mehta@marketincrew.com</t>
  </si>
  <si>
    <t>http://www.linkedin.com/in/manan-mehta-41425b101</t>
  </si>
  <si>
    <t>http://www.marketincrew.com</t>
  </si>
  <si>
    <t xml:space="preserve">109 Jagannath Shankar Sheth Road, Mumbai, Maharashtra, India, 400004</t>
  </si>
  <si>
    <t xml:space="preserve">MarketinCrew provides digital marketing services in Mumbai, we help businesses of all sizes grow their online presence and reach their target audience. We specialize in social media management, photography and video production, visual identity, website design, and performance marketing.</t>
  </si>
  <si>
    <t>Verdiell</t>
  </si>
  <si>
    <t xml:space="preserve">CEO and  Principal Partner</t>
  </si>
  <si>
    <t>abCSR</t>
  </si>
  <si>
    <t>jverdiell@abcsr-performance.com</t>
  </si>
  <si>
    <t>http://www.linkedin.com/in/jerome-verdiell-39250a10</t>
  </si>
  <si>
    <t>http://www.abcsr-performance.com</t>
  </si>
  <si>
    <t xml:space="preserve">25 Rue de Ponthieu, Paris, Ile-de-France, France, 75008</t>
  </si>
  <si>
    <t xml:space="preserve">Nos solutions et équipes étudient vos données comptables et financières afin de vous fournir une évaluation quantitative percutante de la contribution RSE</t>
  </si>
  <si>
    <t>Liz</t>
  </si>
  <si>
    <t>Stanley</t>
  </si>
  <si>
    <t xml:space="preserve">The Pipeline</t>
  </si>
  <si>
    <t>liz.stanley@execpipeline.com</t>
  </si>
  <si>
    <t>http://www.linkedin.com/in/liz-stanley-phd-4670336</t>
  </si>
  <si>
    <t>http://www.execpipeline.com</t>
  </si>
  <si>
    <t>Parisot</t>
  </si>
  <si>
    <t xml:space="preserve">33 Cavendish Square, London, England, United Kingdom, W1G 0PW</t>
  </si>
  <si>
    <t xml:space="preserve">We help global organisations develop, promote and retain women of all ethnicities from early career through to ExCo level. This includes initial organisational assessment through to outcome-driven leadership development programmes and coaching.</t>
  </si>
  <si>
    <t>Berdugo</t>
  </si>
  <si>
    <t xml:space="preserve">CTO and Co-founder</t>
  </si>
  <si>
    <t>Alfred-eyes</t>
  </si>
  <si>
    <t>raphael@alfred-eyes.ai</t>
  </si>
  <si>
    <t>http://www.linkedin.com/in/raphael-berdugo</t>
  </si>
  <si>
    <t>http://www.alfred-eyes.ai</t>
  </si>
  <si>
    <t xml:space="preserve">The power of AI in your hand. Designed for rapid response, available both on laptop and mobile phone, our app empowers your team to act swiftly against theft.</t>
  </si>
  <si>
    <t>Chenilyer</t>
  </si>
  <si>
    <t>TCAT</t>
  </si>
  <si>
    <t>c.chenilyer@tcat.fr</t>
  </si>
  <si>
    <t>http://www.linkedin.com/in/christophe-chenilyer-03137235</t>
  </si>
  <si>
    <t>http://www.tcat.media</t>
  </si>
  <si>
    <t xml:space="preserve">TCAT is a SaaS platform for the music industry, identifying and optimising content, and protecting ownership rights across legitimate digital platforms.</t>
  </si>
  <si>
    <t>Chatelain</t>
  </si>
  <si>
    <t xml:space="preserve">RUBIX CONSULTING</t>
  </si>
  <si>
    <t>maxime.chatelain@rubix-consulting.com</t>
  </si>
  <si>
    <t>http://www.linkedin.com/in/maxime-chatelain-84551290</t>
  </si>
  <si>
    <t>http://www.rubix-consulting.com</t>
  </si>
  <si>
    <t xml:space="preserve">Découvrez Rubix, votre partenaire pour l’intégration SAP à Nantes. Bénéficiez de l'expertise de nos consultants pour réussir votre projet SAP.</t>
  </si>
  <si>
    <t>Setics</t>
  </si>
  <si>
    <t>schmitt@setics.com</t>
  </si>
  <si>
    <t>http://www.linkedin.com/in/mathieu-schmitt-31035519</t>
  </si>
  <si>
    <t>http://www.setics.com</t>
  </si>
  <si>
    <t xml:space="preserve">7 Rue Biscornet, Paris, Ile-de-France, France, 75012</t>
  </si>
  <si>
    <t xml:space="preserve">Setics is a leading independent consultancy specializing in telecom infrastructure, in the design and management of FTTH network projects, software publishing and digital development of territories</t>
  </si>
  <si>
    <t>Mouhoub</t>
  </si>
  <si>
    <t>YACAST</t>
  </si>
  <si>
    <t>amouhoub@yacast.fr</t>
  </si>
  <si>
    <t>http://www.linkedin.com/in/alimouhoub</t>
  </si>
  <si>
    <t>http://www.yacast.fr</t>
  </si>
  <si>
    <t xml:space="preserve">89 Boulevard Pereire, Paris, Ile-de-France, France, 75017</t>
  </si>
  <si>
    <t>6netic</t>
  </si>
  <si>
    <t>julien.antoine@6netic.fr</t>
  </si>
  <si>
    <t>http://www.linkedin.com/in/julien-antoine-192a851a</t>
  </si>
  <si>
    <t>http://www.6netic.fr</t>
  </si>
  <si>
    <t xml:space="preserve">6netic est le spécialiste de la réparation de téléphones multimarques : iPhone, iPad, Samsung, Huawei, Sony. Nous proposons également des téléphones à la vente en occasion et reconditionnés. Nous sommes implantés à Reims et Dijon.</t>
  </si>
  <si>
    <t>Allard</t>
  </si>
  <si>
    <t xml:space="preserve">CEO Intoo</t>
  </si>
  <si>
    <t>Intoo</t>
  </si>
  <si>
    <t>eric@iintoo.com</t>
  </si>
  <si>
    <t>http://www.linkedin.com/in/eric-allard-80960343</t>
  </si>
  <si>
    <t>http://www.intoo.fr</t>
  </si>
  <si>
    <t xml:space="preserve">5 Rue Paul Langevin, Maxeville, Lorraine, France, 54320</t>
  </si>
  <si>
    <t xml:space="preserve">Intoo, spécialiste de la transition numérique, accompagne ses clients dans leurs projets de transformation depuis 2018.</t>
  </si>
  <si>
    <t>Khaldon</t>
  </si>
  <si>
    <t>Evans</t>
  </si>
  <si>
    <t>OCHY</t>
  </si>
  <si>
    <t>khaldon@ochy.io</t>
  </si>
  <si>
    <t>http://www.linkedin.com/in/khaldonevans</t>
  </si>
  <si>
    <t>http://www.ochy.io</t>
  </si>
  <si>
    <t xml:space="preserve">Ochy is an app that uses AI to analyse running form and gait to identify weak points and provide recommendations on what to do to improve.</t>
  </si>
  <si>
    <t>Moutaouakil</t>
  </si>
  <si>
    <t>Phaino</t>
  </si>
  <si>
    <t>a.elmoutaouakil@phainoconsulting.com</t>
  </si>
  <si>
    <t>http://www.linkedin.com/in/amine-el-moutaouakil-53423224</t>
  </si>
  <si>
    <t>http://www.phainoconsulting.com</t>
  </si>
  <si>
    <t xml:space="preserve">13 شارع فرنسا, Rabat, Rabat-Salé-Kénitra, Morocco</t>
  </si>
  <si>
    <t>Amelot</t>
  </si>
  <si>
    <t xml:space="preserve">Sport Santé Domicile</t>
  </si>
  <si>
    <t>thibaud@sportsantedomicile.fr</t>
  </si>
  <si>
    <t>http://www.linkedin.com/in/thibaud-amelot</t>
  </si>
  <si>
    <t>http://www.sportsantedomicile.fr</t>
  </si>
  <si>
    <t>Auxerre</t>
  </si>
  <si>
    <t xml:space="preserve">Auxerre, Bourgogne-Franche-Comte, France, 89000</t>
  </si>
  <si>
    <t xml:space="preserve">Trouver un EAPA : Annuaire du sport-santé à domicile, tous les Enseignants APA référencés sur la plateforme Sport Santé Domicile.</t>
  </si>
  <si>
    <t>Saadi</t>
  </si>
  <si>
    <t>Oughlis</t>
  </si>
  <si>
    <t xml:space="preserve">Associé - fondateur</t>
  </si>
  <si>
    <t>Skillwise</t>
  </si>
  <si>
    <t>soughlis@skillwise.fr</t>
  </si>
  <si>
    <t xml:space="preserve">staffing &amp; recruiting</t>
  </si>
  <si>
    <t>http://www.linkedin.com/in/saadi-o-68b51251</t>
  </si>
  <si>
    <t>http://www.skillwise.fr</t>
  </si>
  <si>
    <t xml:space="preserve">36 Rue Etienne Marcel, Paris, Ile-de-France, France, 75002</t>
  </si>
  <si>
    <t xml:space="preserve">Le premier réseau communautaire de jobs freelances. Aucune marge sur le coût de vos freelances.</t>
  </si>
  <si>
    <t>Logan</t>
  </si>
  <si>
    <t>Barre</t>
  </si>
  <si>
    <t xml:space="preserve">Co-fondateur &amp; Associé</t>
  </si>
  <si>
    <t xml:space="preserve">Social Cut Agency</t>
  </si>
  <si>
    <t>logan@wearesocialcut.com</t>
  </si>
  <si>
    <t>http://www.linkedin.com/in/logan-barre</t>
  </si>
  <si>
    <t>http://www.socialcut.agency</t>
  </si>
  <si>
    <t xml:space="preserve">27 Rue Bleue, Paris, Ile-de-France, France, 75009</t>
  </si>
  <si>
    <t xml:space="preserve">Fondée en 2019, Social Cut est une agence de marketing, spécialisée dans l’influence et la création de contenus originaux. Nous accompagnons plus de 25 talents exclusifs dans leur développement artistique et commercial à travers 5 pays.</t>
  </si>
  <si>
    <t>Hamard</t>
  </si>
  <si>
    <t>OctoPerf</t>
  </si>
  <si>
    <t>quentin.hamard@octoperf.com</t>
  </si>
  <si>
    <t>http://www.linkedin.com/in/quentinhamard</t>
  </si>
  <si>
    <t>http://www.octoperf.com</t>
  </si>
  <si>
    <t xml:space="preserve">276 Avenue du Douard, Aubagne, Provence-Alpes-Cote d'Azur, France, 13400</t>
  </si>
  <si>
    <t xml:space="preserve">OctoPerf provides the best load testing UX. Simulate realistic user journeys throughout your application. Sign up and get a lifetime free account!</t>
  </si>
  <si>
    <t>Gruppo</t>
  </si>
  <si>
    <t>TELESIO</t>
  </si>
  <si>
    <t>roberto.gruppo@telesio.fr</t>
  </si>
  <si>
    <t>http://www.linkedin.com/in/robertogruppo</t>
  </si>
  <si>
    <t>http://www.telesio.fr</t>
  </si>
  <si>
    <t xml:space="preserve">7 Rue Francois Jacob, Rueil-Malmaison, Ile-de-France, France, 92500</t>
  </si>
  <si>
    <t xml:space="preserve">Telesio vous accompagne dans vos projets de transformation digitale : conseil et intégration Salesforce, Data Management &amp; BI, Billing</t>
  </si>
  <si>
    <t>Botte</t>
  </si>
  <si>
    <t xml:space="preserve">Nucleon Security</t>
  </si>
  <si>
    <t>antoine.botte@nucleon-security.com</t>
  </si>
  <si>
    <t>http://www.linkedin.com/in/antoine-botte-60556682</t>
  </si>
  <si>
    <t>http://www.nucleon-security.com</t>
  </si>
  <si>
    <t xml:space="preserve">Nucleon Smart Endpoint, AI and Zero-trust powered EDR (Endpoint Detection and Response) platform. Cloud native EDR (SaaS) with hardening capabilities.</t>
  </si>
  <si>
    <t>Nempont</t>
  </si>
  <si>
    <t>Altsis</t>
  </si>
  <si>
    <t>luc.nempont@altsis.fr</t>
  </si>
  <si>
    <t>http://www.linkedin.com/in/luc-nempont-5397907</t>
  </si>
  <si>
    <t>http://www.altsis.fr</t>
  </si>
  <si>
    <t>Champs-sur-Marne</t>
  </si>
  <si>
    <t xml:space="preserve">2 Rue Alfred Nobel, Champs-sur-Marne, Ile-de-France, France, 77420</t>
  </si>
  <si>
    <t xml:space="preserve">Acteurs de l’énergie, améliorez vos performances grâce à la maîtrise de vos données de comptage grâce aux logiciels d'ALTSIS</t>
  </si>
  <si>
    <t>Pedone</t>
  </si>
  <si>
    <t xml:space="preserve">Co-CEO &amp; Managing Partner</t>
  </si>
  <si>
    <t>TRAJECTIVES</t>
  </si>
  <si>
    <t>fpedone@trajectives.com</t>
  </si>
  <si>
    <t>http://www.linkedin.com/in/fran%c3%a7ois-pedone-219aa6</t>
  </si>
  <si>
    <t>http://www.trajectives.com</t>
  </si>
  <si>
    <t xml:space="preserve">65 Rue de Monceau, Paris, Ile-de-France, France, 75008</t>
  </si>
  <si>
    <t xml:space="preserve">Cabinet d'Executive coachs Paris, France - International, Trajectives réunit des experts de l'accompagnement des organisations, des dirigeants et des coachs</t>
  </si>
  <si>
    <t>Thirache</t>
  </si>
  <si>
    <t xml:space="preserve">CTO, Co-Fondateur @WeeKEra</t>
  </si>
  <si>
    <t>weekera</t>
  </si>
  <si>
    <t>d.thirache@weekera.fr</t>
  </si>
  <si>
    <t>http://www.linkedin.com/in/david-thirache-4b87a126</t>
  </si>
  <si>
    <t>http://www.weekera.fr</t>
  </si>
  <si>
    <t xml:space="preserve">442 Rue Georges Besse, Nimes, Languedoc-Roussillon, France, 30900</t>
  </si>
  <si>
    <t xml:space="preserve">Solution de Paie et Ressources Humaines, dédiée à la profession des Experts-Comptables , Full web &amp; 100% Made in France</t>
  </si>
  <si>
    <t>Brial</t>
  </si>
  <si>
    <t>Cycloid</t>
  </si>
  <si>
    <t>ben@cycloid.io</t>
  </si>
  <si>
    <t>http://www.linkedin.com/in/benjamin-brial</t>
  </si>
  <si>
    <t>http://www.cycloid.io</t>
  </si>
  <si>
    <t xml:space="preserve">12 Rue Dautancourt, Paris, Ile-de-France, France, 75017</t>
  </si>
  <si>
    <t xml:space="preserve">Cycloid's engineering platform helps you revolutionize software delivery, unlock hybrid cloud, and bring the best experience to your end-users.</t>
  </si>
  <si>
    <t>Garreau</t>
  </si>
  <si>
    <t xml:space="preserve">SCS Sentinel</t>
  </si>
  <si>
    <t>sgarreau@scs-sentinel.com</t>
  </si>
  <si>
    <t>http://www.linkedin.com/in/st%c3%a9phane-garreau-1334648b</t>
  </si>
  <si>
    <t>http://www.scs-sentinel.com</t>
  </si>
  <si>
    <t xml:space="preserve">Rue Pierre-Gilles de Gennes, Cholet, Pays de la Loire, France, 49300</t>
  </si>
  <si>
    <t xml:space="preserve">SCS Sentinel, le site officiel : commandez directement en ligne toutes vos solutions de confort et de sécurité au meilleur prix : motorisation de portail, interphone, carillon, vidéosurveillance, alarme et produits connectés.</t>
  </si>
  <si>
    <t xml:space="preserve">Techline IT</t>
  </si>
  <si>
    <t>beatrice.frederic@techlineit.fr</t>
  </si>
  <si>
    <t>http://www.linkedin.com/in/b%c3%a9atrice-frederic-b7349b175</t>
  </si>
  <si>
    <t>http://www.techlineit.fr</t>
  </si>
  <si>
    <t xml:space="preserve">5 Quai Marcel Dassault, Suresnes, Ile-de-France, France, 92150</t>
  </si>
  <si>
    <t xml:space="preserve">Fondateur SEIF - Consultant Relation Client / Expert Zendesk</t>
  </si>
  <si>
    <t>SEIF</t>
  </si>
  <si>
    <t>florian.vannier@seif-consult.com</t>
  </si>
  <si>
    <t>http://www.linkedin.com/in/florianvannier</t>
  </si>
  <si>
    <t>http://www.seif-consult.com</t>
  </si>
  <si>
    <t xml:space="preserve">Nantes, Pays de la Loire, France, 44100</t>
  </si>
  <si>
    <t xml:space="preserve">Rendre l’univers de la relation client, simple, accessible et performant. Nos experts vous accompagnent dans la gestion de votre relation client.</t>
  </si>
  <si>
    <t>L'aulnoit</t>
  </si>
  <si>
    <t xml:space="preserve">Co-Founder &amp; Associé</t>
  </si>
  <si>
    <t>LimeStreams</t>
  </si>
  <si>
    <t>jdelaulnoit@limestreams.com</t>
  </si>
  <si>
    <t>http://www.linkedin.com/in/jeanhouzedelaulnoit</t>
  </si>
  <si>
    <t>http://www.limestreams.com</t>
  </si>
  <si>
    <t xml:space="preserve">18 Boulevard Malesherbes, Paris, Ile-de-France, France, 75008</t>
  </si>
  <si>
    <t xml:space="preserve">LimeStreams : Conseil en digitalisation des opérations et data management, de la définition à la mise en place. Nous mêlons "Métiers" ET "Systèmes". Gagnez en vision via nos Masterclasses. Résolvez les casses têtes liés à vos data et tirez en parti.</t>
  </si>
  <si>
    <t>Faubet</t>
  </si>
  <si>
    <t>HEXAWIN</t>
  </si>
  <si>
    <t>stephanie.faubet@hexawin.fr</t>
  </si>
  <si>
    <t>http://www.linkedin.com/in/st%c3%a9phanie-faubet-567b60b7</t>
  </si>
  <si>
    <t>http://www.hexawin.fr</t>
  </si>
  <si>
    <t xml:space="preserve">230 Chemin des Valladets, Eguilles, Provence-Alpes-Cote d'Azur, France, 13510</t>
  </si>
  <si>
    <t xml:space="preserve">Maintenance informatique, sécurité informatique, support informatique et audit à Aix en provence, Marseille, Montpellier.</t>
  </si>
  <si>
    <t>Daoud</t>
  </si>
  <si>
    <t>AvanGuard</t>
  </si>
  <si>
    <t>riadh.daoud@avanguard.fr</t>
  </si>
  <si>
    <t>http://www.linkedin.com/in/riadh-daoud-42923819</t>
  </si>
  <si>
    <t>http://www.avanguard.fr</t>
  </si>
  <si>
    <t xml:space="preserve">Avanguard est une entreprise de conseil et expertise en cyber sécurité et infrastructure réseau</t>
  </si>
  <si>
    <t>Gary</t>
  </si>
  <si>
    <t>Aymant</t>
  </si>
  <si>
    <t>TechOps</t>
  </si>
  <si>
    <t>g.aymant@techops.fr</t>
  </si>
  <si>
    <t>http://www.linkedin.com/in/gary-aymant-02554360</t>
  </si>
  <si>
    <t>http://www.techops.fr</t>
  </si>
  <si>
    <t>Smykowski</t>
  </si>
  <si>
    <t xml:space="preserve">WizzInvest - Co Founder</t>
  </si>
  <si>
    <t>WizzInvest</t>
  </si>
  <si>
    <t>david@wizzinvest.com</t>
  </si>
  <si>
    <t>http://www.linkedin.com/in/david-smykowski-10859629</t>
  </si>
  <si>
    <t>http://www.wizzinvest.com</t>
  </si>
  <si>
    <t xml:space="preserve">16 Rue Portalis, Paris, Ile-de-France, France, 75008</t>
  </si>
  <si>
    <t xml:space="preserve">Découvrez comment WizzInvest améliore la transparence de vos investissements et simplifie le reporting des sociétés de gestion.</t>
  </si>
  <si>
    <t>Benady</t>
  </si>
  <si>
    <t xml:space="preserve">Président chez EMPIRE</t>
  </si>
  <si>
    <t>Scents</t>
  </si>
  <si>
    <t>p.benady@empireofscents.com</t>
  </si>
  <si>
    <t>http://www.linkedin.com/in/philippe-benady-0a8792215</t>
  </si>
  <si>
    <t>http://www.scents.be</t>
  </si>
  <si>
    <t xml:space="preserve">7 Vakenderveld, Lier, Flanders, Belgium, 2500</t>
  </si>
  <si>
    <t xml:space="preserve">Extra klanten aantrekken? Scents Geurmarketing zorgt dankzij de kracht van geurbeleving voor extra klanten met onze professionele machines. Contacteer ons.</t>
  </si>
  <si>
    <t xml:space="preserve">CEO de PRODEO</t>
  </si>
  <si>
    <t>PRODEO</t>
  </si>
  <si>
    <t>christophe.olivier@prod-eo.com</t>
  </si>
  <si>
    <t>http://www.linkedin.com/in/christophe-olivier-190174b1</t>
  </si>
  <si>
    <t>http://www.prod-eo.com</t>
  </si>
  <si>
    <t xml:space="preserve">14 Rue Jean Simon, Bretteville-sur-Laize, Normandy, France, 14680</t>
  </si>
  <si>
    <t xml:space="preserve">Fort de notre expertise acquise dans le monde industriel depuis plus de 20 ans, nous avons démarré en 2016 en répondant aux exigences de l'industrie automobile.</t>
  </si>
  <si>
    <t>Ruck</t>
  </si>
  <si>
    <t xml:space="preserve">RAIMOND SAS</t>
  </si>
  <si>
    <t>s.ruck@raimond.fr</t>
  </si>
  <si>
    <t>http://www.linkedin.com/in/stephane-ruck-718b2495</t>
  </si>
  <si>
    <t>http://www.raimond.fr</t>
  </si>
  <si>
    <t>Saint-Julien-de-Concelles</t>
  </si>
  <si>
    <t xml:space="preserve">4 Rue de l'Artisanat, Saint-Julien-de-Concelles, Pays de la Loire, France, 44450</t>
  </si>
  <si>
    <t xml:space="preserve">Entre tradition et modernité, la société Raimond travaille à partir de différents matériaux tels que l'ardoise, la tuile, le zinc, le cuivre, l'inox, la terre-cuite, des matériaux composites</t>
  </si>
  <si>
    <t>Philippon</t>
  </si>
  <si>
    <t xml:space="preserve">Présidente exécutive</t>
  </si>
  <si>
    <t xml:space="preserve">SÉANCE PUBLIQUE</t>
  </si>
  <si>
    <t>lphilippon@seance-publique.com</t>
  </si>
  <si>
    <t>http://www.linkedin.com/in/ludivine-philippon</t>
  </si>
  <si>
    <t>http://www.seance-publique.com</t>
  </si>
  <si>
    <t xml:space="preserve">2 Rue de Saint-Simon, Paris, Ile-de-France, France, 75007</t>
  </si>
  <si>
    <t xml:space="preserve">Depuis 20 ans, Séance Publique accompagne les entreprises et les organisations dans leur stratégie d'Affaires Publiques et d'Influence.</t>
  </si>
  <si>
    <t>Dubois</t>
  </si>
  <si>
    <t xml:space="preserve">Creative, co-founder, partner</t>
  </si>
  <si>
    <t xml:space="preserve">66 Origin</t>
  </si>
  <si>
    <t>christophe.dubois@66origin.com</t>
  </si>
  <si>
    <t>http://www.linkedin.com/in/cdubois</t>
  </si>
  <si>
    <t>http://www.66origin.com</t>
  </si>
  <si>
    <t xml:space="preserve">21 Rue de Clery, Paris, Ile-de-France, France, 75002</t>
  </si>
  <si>
    <t xml:space="preserve">La Maison 66 Origin crée des expériences, des services, des produits à fort impact pour la vie des gens</t>
  </si>
  <si>
    <t>Berland</t>
  </si>
  <si>
    <t xml:space="preserve">THERA SOFT</t>
  </si>
  <si>
    <t>sebastien.berland@therasoft.fr</t>
  </si>
  <si>
    <t>http://www.linkedin.com/in/sebastienberland</t>
  </si>
  <si>
    <t>http://www.tsxcare.fr</t>
  </si>
  <si>
    <t xml:space="preserve">Avenue de Limoges, Limoges, Limousin, France, 87000</t>
  </si>
  <si>
    <t>Le</t>
  </si>
  <si>
    <t>RBMG</t>
  </si>
  <si>
    <t>toulouse@rbmg.fr</t>
  </si>
  <si>
    <t>http://www.linkedin.com/in/le-hub-toulouse</t>
  </si>
  <si>
    <t>http://www.rbmg.consulting</t>
  </si>
  <si>
    <t xml:space="preserve">1 Place Vendome, Paris, Ile-de-France, France, 75001</t>
  </si>
  <si>
    <t xml:space="preserve">Découvrez le site officiel RBMG. Consulting en management de transition. Nous aidons les Hommes déterminés à libérer leurs entreprises.</t>
  </si>
  <si>
    <t>Huberlant</t>
  </si>
  <si>
    <t>Instaply</t>
  </si>
  <si>
    <t>martin.huberlant@instaply.com</t>
  </si>
  <si>
    <t>http://www.linkedin.com/in/martin-huberlant-60224317</t>
  </si>
  <si>
    <t>http://www.instaply.com</t>
  </si>
  <si>
    <t xml:space="preserve">Pionniers de la relation client par message, Instaply simplifie la vie des équipes et fluidifie les parcours clients. Commercez par SMS, Google’s Business Messages, WhatsApp, Messenger, Instagram.</t>
  </si>
  <si>
    <t>Alexey</t>
  </si>
  <si>
    <t>Popovich</t>
  </si>
  <si>
    <t xml:space="preserve">CEO and co-founder at Relogate.me</t>
  </si>
  <si>
    <t>Relogate</t>
  </si>
  <si>
    <t>alexey.popovich@relogate.me</t>
  </si>
  <si>
    <t>http://www.linkedin.com/in/alexey-popovich-739b3538</t>
  </si>
  <si>
    <t>http://www.relogate.me</t>
  </si>
  <si>
    <t xml:space="preserve">Roquebrune-Cap-Martin, Provence-Alpes-Cote d'Azur, France, 06190</t>
  </si>
  <si>
    <t xml:space="preserve">We help IT specialists, start-up founders, talented artists and students from across the globe relocate to the UK, USA, and France. Global Talent Visa UK / Passeport Talent Visa France / Student Visa / O-1 / EB-1, EB-2 NIW</t>
  </si>
  <si>
    <t>M'passy</t>
  </si>
  <si>
    <t xml:space="preserve">MK TENDOS TÉLÉCOMS CONSULTING</t>
  </si>
  <si>
    <t>renaud.mpassy@mktendos.fr</t>
  </si>
  <si>
    <t>http://www.linkedin.com/in/renaud-mpassy-mktt</t>
  </si>
  <si>
    <t>http://www.mktendoswebsite.com</t>
  </si>
  <si>
    <t>Villeneuve-Saint-Georges</t>
  </si>
  <si>
    <t xml:space="preserve">3 Avenue Charles de Gaulle, Boissy-Saint-Leger, Ile-de-France, France, 94470</t>
  </si>
  <si>
    <t xml:space="preserve">MK Tendos Telecoms est une société évoluant dans les prestations accès réseaux (de l'ingénierie à la mise en service des sites).</t>
  </si>
  <si>
    <t>Hayder</t>
  </si>
  <si>
    <t>Marzouk</t>
  </si>
  <si>
    <t xml:space="preserve">Co-founder at Talentech</t>
  </si>
  <si>
    <t xml:space="preserve">TALENTECH GROUP</t>
  </si>
  <si>
    <t>hmarzouk@talentech.fr</t>
  </si>
  <si>
    <t>http://www.linkedin.com/in/hayder-marzouk</t>
  </si>
  <si>
    <t>http://www.talentech.fr</t>
  </si>
  <si>
    <t>Yerres</t>
  </si>
  <si>
    <t xml:space="preserve">Nous sommes un cabinet de conseil constitué de talents passionnés des technologies web. Nous aidons nos clients en France dans leur transformation digitale.</t>
  </si>
  <si>
    <t xml:space="preserve">Co-founder, Directeur business development</t>
  </si>
  <si>
    <t>Olvid</t>
  </si>
  <si>
    <t>cedric.sylvestre@olvid.io</t>
  </si>
  <si>
    <t>http://www.linkedin.com/in/c%c3%a9dric-sylvestre-ba5a0012</t>
  </si>
  <si>
    <t>http://www.olvid.io</t>
  </si>
  <si>
    <t xml:space="preserve">58 Rue de la Victoire, Paris, Ile-de-France, France, 75009</t>
  </si>
  <si>
    <t>Brij</t>
  </si>
  <si>
    <t>Srivastava</t>
  </si>
  <si>
    <t>Nijta</t>
  </si>
  <si>
    <t>brij.srivastava@nijta.com</t>
  </si>
  <si>
    <t>http://www.linkedin.com/in/brijsri</t>
  </si>
  <si>
    <t>http://www.nijta.com</t>
  </si>
  <si>
    <t xml:space="preserve">170 Avenue de Bretagne, Lille, Hauts-de-France, France, 59000</t>
  </si>
  <si>
    <t xml:space="preserve">You have tons of speech data but handling it is a compliance minefield. Leverage the power of Nijta's AI-based voice anonymisation to use your data at scale without compromising privacy and confidentiality.</t>
  </si>
  <si>
    <t xml:space="preserve">CEO/CTO  Co-Founder</t>
  </si>
  <si>
    <t>ID4US</t>
  </si>
  <si>
    <t>christophe.bernard@id4us.fr</t>
  </si>
  <si>
    <t>http://www.linkedin.com/in/christophebernardgnb</t>
  </si>
  <si>
    <t>http://www.id4us.fr</t>
  </si>
  <si>
    <t>Lazare</t>
  </si>
  <si>
    <t>Rossillon</t>
  </si>
  <si>
    <t>Spoke</t>
  </si>
  <si>
    <t>lazare@spoke.app</t>
  </si>
  <si>
    <t>http://www.linkedin.com/in/lazare-rossillon</t>
  </si>
  <si>
    <t>http://www.hellospoke.com.au</t>
  </si>
  <si>
    <t xml:space="preserve">16 Ord St, Perth, Western Australia, Australia, 6005</t>
  </si>
  <si>
    <t>Burlat</t>
  </si>
  <si>
    <t>Galago</t>
  </si>
  <si>
    <t>henri.burlat@galago.fr</t>
  </si>
  <si>
    <t>http://www.linkedin.com/in/henriburlat</t>
  </si>
  <si>
    <t>http://www.galago.fr</t>
  </si>
  <si>
    <t>Onet-le-Chateau</t>
  </si>
  <si>
    <t xml:space="preserve">L'agence Galago Communication, à Onet-le-Château, près de Rodez, est une agence spécialisée dans la communication globale : conception de supports de communication print, digitaux et multimédias.</t>
  </si>
  <si>
    <t>Reda</t>
  </si>
  <si>
    <t>Chehbi</t>
  </si>
  <si>
    <t xml:space="preserve">UGC Factory</t>
  </si>
  <si>
    <t>reda@ugcfactory.fr</t>
  </si>
  <si>
    <t>http://www.linkedin.com/in/reda-chehbi-a1b1322ba</t>
  </si>
  <si>
    <t>http://www.ugcfactory.io</t>
  </si>
  <si>
    <t xml:space="preserve">4904 Enchanted Ln, Austin, Texas, United States, 78745-1713</t>
  </si>
  <si>
    <t xml:space="preserve">We deliver done-for-you, TikTok style UGC ads every week. We handle scripting, storyboarding, casting, filming &amp; editing so you can focus on running your business. Automate your UGC today!</t>
  </si>
  <si>
    <t>Fiquemont</t>
  </si>
  <si>
    <t>CAMEROS</t>
  </si>
  <si>
    <t>sebastien.fiquemont@cameros.fr</t>
  </si>
  <si>
    <t>http://www.linkedin.com/in/sebastienfiquemont</t>
  </si>
  <si>
    <t>http://www.cameros.fr</t>
  </si>
  <si>
    <t xml:space="preserve">Les Auxons, Bourgogne-Franche-Comte, France, 25870</t>
  </si>
  <si>
    <t>Kremer</t>
  </si>
  <si>
    <t xml:space="preserve">CEO - Associé</t>
  </si>
  <si>
    <t>OpenFire</t>
  </si>
  <si>
    <t>aymeric.kremer@openfire.fr</t>
  </si>
  <si>
    <t>http://www.linkedin.com/in/aymeric-kremer-3b1b0559</t>
  </si>
  <si>
    <t>http://www.openfire.fr</t>
  </si>
  <si>
    <t xml:space="preserve">La Chapelle-des-Fougeretz, Brittany, France</t>
  </si>
  <si>
    <t xml:space="preserve">OpenFire : logiciel ERP de gestion des entreprises de l'énergie &amp; de la transition écologique. CRM, facturation, gestion stock, demandez une demo gratuite !</t>
  </si>
  <si>
    <t xml:space="preserve">PRAGMATIC SOLUTION SAS</t>
  </si>
  <si>
    <t>benoit.mas@pragmatic-solution.com</t>
  </si>
  <si>
    <t>http://www.linkedin.com/in/benoit-mas-65602848</t>
  </si>
  <si>
    <t>http://www.pragmatic-solution.com</t>
  </si>
  <si>
    <t xml:space="preserve">Bienvenue dans le site officiel de Pragmatic Solution | Conseil en qualité fournisseur et amélioration continue</t>
  </si>
  <si>
    <t>Eddie</t>
  </si>
  <si>
    <t>ABpost</t>
  </si>
  <si>
    <t>eddie.lemaitre@abpost.fr</t>
  </si>
  <si>
    <t>http://www.linkedin.com/in/eddie-lemaitre-8348a525</t>
  </si>
  <si>
    <t>http://www.abpost.fr</t>
  </si>
  <si>
    <t xml:space="preserve">Lieu-dit Le V, Pontaubault, Normandy, France, 50220</t>
  </si>
  <si>
    <t xml:space="preserve">ABpost propose une gamme de produits et services dédiés au métier et à l’environnement du courrier BtoB</t>
  </si>
  <si>
    <t>Beges</t>
  </si>
  <si>
    <t>Bonx</t>
  </si>
  <si>
    <t>remi@bonx.tech</t>
  </si>
  <si>
    <t>http://www.linkedin.com/in/r%c3%a9mi-b%c3%a8ges-37056760</t>
  </si>
  <si>
    <t>http://www.bonx.tech</t>
  </si>
  <si>
    <t xml:space="preserve">Bonx est l’ERP qui soutient la croissance des PME industrielles en leur permettant de créer leurs processus et de piloter leurs opérations en toute autonomie.</t>
  </si>
  <si>
    <t>thuria</t>
  </si>
  <si>
    <t>c.lefebvre@thuria.com</t>
  </si>
  <si>
    <t>http://www.linkedin.com/in/cl%c3%a9ment-lefebvre-5819487</t>
  </si>
  <si>
    <t>http://www.thuria.com</t>
  </si>
  <si>
    <t xml:space="preserve">Marthod, Rhone-Alpes, France</t>
  </si>
  <si>
    <t xml:space="preserve">Aider nos clients à évoluer dans un monde digital. Stratégie, communication, digital, innovation, visual merchandising, retail design, design graphique.</t>
  </si>
  <si>
    <t>Osmani</t>
  </si>
  <si>
    <t xml:space="preserve">CFI Tech</t>
  </si>
  <si>
    <t>osmani@cfitech.fr</t>
  </si>
  <si>
    <t>http://www.linkedin.com/in/cyril-osmani</t>
  </si>
  <si>
    <t>http://www.cfitech.fr</t>
  </si>
  <si>
    <t xml:space="preserve">Meyreuil, Provence-Alpes-Cote d'Azur, France, 13590</t>
  </si>
  <si>
    <t>Somayeh</t>
  </si>
  <si>
    <t>Bagherbeygi</t>
  </si>
  <si>
    <t>PresentID</t>
  </si>
  <si>
    <t>somayeh@presentid.com</t>
  </si>
  <si>
    <t>http://www.linkedin.com/in/somayehbagherbeygi</t>
  </si>
  <si>
    <t>http://www.presentid.com</t>
  </si>
  <si>
    <t xml:space="preserve">PresentID | Provider of fully automated &amp; customizable SDK of Dynamic Face liveness detection &amp; Voice biometrics &amp; ID Card OCR for iOS,Android &amp; web to authenticate the users online.</t>
  </si>
  <si>
    <t>Rizza</t>
  </si>
  <si>
    <t xml:space="preserve">Co-founder and Partner</t>
  </si>
  <si>
    <t>BlackFox</t>
  </si>
  <si>
    <t>bastien.rizza@blackfox-partners.com</t>
  </si>
  <si>
    <t>http://www.linkedin.com/in/bastienrizza</t>
  </si>
  <si>
    <t>http://www.blackfox-partners.com</t>
  </si>
  <si>
    <t xml:space="preserve">7 Cours Valmy, Puteaux, Ile-de-France, France, 92800</t>
  </si>
  <si>
    <t xml:space="preserve">Cabinet de conseil indépendant en cybersécurité,
gestion des risques et résilience opérationnelle 
Cabinet de conseil indépendant en cybersécurité, gestion des risques et résilience opérationnelle  
Une combinaison d'expertises fortes permettant de vous proposer un accompagnement
sur mesure et de bout en bout, de la</t>
  </si>
  <si>
    <t>Thibord</t>
  </si>
  <si>
    <t>Icilundi</t>
  </si>
  <si>
    <t>gregory.thibord@icilundi.fr</t>
  </si>
  <si>
    <t>http://www.linkedin.com/in/gregorythibord</t>
  </si>
  <si>
    <t>http://www.icilundi.fr</t>
  </si>
  <si>
    <t xml:space="preserve">4 Rue Voltaire, Nantes, Pays de la Loire, France, 44000</t>
  </si>
  <si>
    <t>Abbes</t>
  </si>
  <si>
    <t xml:space="preserve">Co-fondateur &amp; CTO</t>
  </si>
  <si>
    <t>Vayetek</t>
  </si>
  <si>
    <t>yassine.abbes@vayetek.com</t>
  </si>
  <si>
    <t>http://www.linkedin.com/in/yassine-abbes-03651a101</t>
  </si>
  <si>
    <t>http://www.vayetek.com</t>
  </si>
  <si>
    <t xml:space="preserve">نهج تونس, Tunisia</t>
  </si>
  <si>
    <t>Elhage</t>
  </si>
  <si>
    <t xml:space="preserve">Directrice Générale Adjointe groupe Iteractii en charge du pôle RCC (Castres &amp; Rhône-Alpes)</t>
  </si>
  <si>
    <t xml:space="preserve">Groupe Iteractii</t>
  </si>
  <si>
    <t>magali.elhage@dpi-sa.com</t>
  </si>
  <si>
    <t>http://www.linkedin.com/in/magali-elhage</t>
  </si>
  <si>
    <t>http://www.iteractii.net</t>
  </si>
  <si>
    <t xml:space="preserve">39 Rue Saint-Simon, Lyon, Auvergne-Rhone-Alpes, France, 69009</t>
  </si>
  <si>
    <t xml:space="preserve">Du petit ajustement à la grande transformation, Iteractii vous accompagne dans tous vos défis customer experience.</t>
  </si>
  <si>
    <t>Masotta</t>
  </si>
  <si>
    <t>Suricate</t>
  </si>
  <si>
    <t>olivier.masotta@suricate.pm</t>
  </si>
  <si>
    <t>http://www.linkedin.com/in/olivier-masotta-ba4a95103</t>
  </si>
  <si>
    <t>http://www.suricate.pm</t>
  </si>
  <si>
    <t xml:space="preserve">Suricate est le spécialiste français du Patch Management en services managés (24/7). Windows &amp; Linux. Membre d'Hexatrust, certifié ISO 27001.</t>
  </si>
  <si>
    <t>Bleunven</t>
  </si>
  <si>
    <t xml:space="preserve">AGENCE MANITOBA PRAXIS</t>
  </si>
  <si>
    <t>ebleunven@groupe-manitoba.com</t>
  </si>
  <si>
    <t>http://www.linkedin.com/in/eric-bleunven-008319ba</t>
  </si>
  <si>
    <t>http://www.manitoba.fr</t>
  </si>
  <si>
    <t xml:space="preserve">41 Rue Perier, Montrouge, Ile-de-France, France, 92120</t>
  </si>
  <si>
    <t xml:space="preserve">Agence B2B Manitoba spécialisée en marketing, communication BtoB : Social Ads, Branding, Inbound Marketing, Content Marketing, Refonte de site web, Stratégie média</t>
  </si>
  <si>
    <t>Debache</t>
  </si>
  <si>
    <t xml:space="preserve">Co-Founder &amp; COO at Galileo Network | Paving the Future</t>
  </si>
  <si>
    <t xml:space="preserve">Galileo Protocol</t>
  </si>
  <si>
    <t>debache.nathaniel@galileoprotocol.io</t>
  </si>
  <si>
    <t>http://www.linkedin.com/in/nathaniel-debache</t>
  </si>
  <si>
    <t>http://www.rungalileo.io</t>
  </si>
  <si>
    <t xml:space="preserve">Inspecting Your ML Data Needs a Purpose-built Tool</t>
  </si>
  <si>
    <t>Mina</t>
  </si>
  <si>
    <t>Kharij</t>
  </si>
  <si>
    <t xml:space="preserve">Fonder and CEO at 1G-LINK</t>
  </si>
  <si>
    <t>1G-LINK</t>
  </si>
  <si>
    <t>mina.elkharij@1glink.fr</t>
  </si>
  <si>
    <t>http://www.linkedin.com/in/mina-el-kharij-91276819</t>
  </si>
  <si>
    <t>http://www.1glink.com</t>
  </si>
  <si>
    <t xml:space="preserve">40 Rue de Pontoise, Bezons, Ile-de-France, France, 95870</t>
  </si>
  <si>
    <t xml:space="preserve">Nous sommes une communauté d’experts passionnés par les défis technologiques. Notre secret réside en une conviction forte, partagée depuis plus de dix ans : l’hybridation des compétences comme créatrice de valeur.</t>
  </si>
  <si>
    <t>Jonayd</t>
  </si>
  <si>
    <t xml:space="preserve">Business Developer @ 2GEZER | Founder</t>
  </si>
  <si>
    <t>2GEZER</t>
  </si>
  <si>
    <t>j.lang@2gezer.fr</t>
  </si>
  <si>
    <t>http://www.linkedin.com/in/jonaydlang</t>
  </si>
  <si>
    <t>http://www.2gezer.fr</t>
  </si>
  <si>
    <t xml:space="preserve">53 Rue des Menuts, Bordeaux, Nouvelle-Aquitaine, France, 33000</t>
  </si>
  <si>
    <t xml:space="preserve">Nous vous accompagnons dans le paramétrage de votre CRM Salesforce, intégrateur oui partenaire sur le long terme encore plus !</t>
  </si>
  <si>
    <t>Yacine</t>
  </si>
  <si>
    <t>Belarbi</t>
  </si>
  <si>
    <t xml:space="preserve">Co-founder &amp; Developer</t>
  </si>
  <si>
    <t>Lyko</t>
  </si>
  <si>
    <t>yacine@lyko.tech</t>
  </si>
  <si>
    <t>http://www.linkedin.com/in/yacine-belarbi</t>
  </si>
  <si>
    <t>http://www.lyko.tech</t>
  </si>
  <si>
    <t xml:space="preserve">100 Rue des Fougeres, Lyon, Auvergne-Rhone-Alpes, France, 69009</t>
  </si>
  <si>
    <t xml:space="preserve">In a simple connection, integrate the planning and sales of thousands of mobility service providers around the world into your platform...</t>
  </si>
  <si>
    <t>Faical</t>
  </si>
  <si>
    <t>Belhouari</t>
  </si>
  <si>
    <t>Well'd</t>
  </si>
  <si>
    <t>faical.belhouari@welld.fr</t>
  </si>
  <si>
    <t>http://www.linkedin.com/in/fa%c3%af%c3%a7al-belhouari-44842716</t>
  </si>
  <si>
    <t>http://www.welld.fr</t>
  </si>
  <si>
    <t xml:space="preserve">Velizy-Villacoublay, Ile-de-France, France</t>
  </si>
  <si>
    <t>Eymery</t>
  </si>
  <si>
    <t xml:space="preserve">Directeur général, associé</t>
  </si>
  <si>
    <t>DEGEST</t>
  </si>
  <si>
    <t>arnaud.eymery@degest.com</t>
  </si>
  <si>
    <t>http://www.linkedin.com/in/arnaud-eymery-b88a071a1</t>
  </si>
  <si>
    <t>http://www.degest-expert-cse-ssct.com</t>
  </si>
  <si>
    <t xml:space="preserve">13 Rue des Envierges, Paris, Ile-de-France, France, 75020</t>
  </si>
  <si>
    <t xml:space="preserve">Cabinet d’expertises CSE, d’étude, de conseil et de formation à destination des représentants du personnel. Expert CSE</t>
  </si>
  <si>
    <t>AlgoSecure</t>
  </si>
  <si>
    <t>didier.benet@algosecure.fr</t>
  </si>
  <si>
    <t>http://www.linkedin.com/in/didier-b%c3%a9net-104853</t>
  </si>
  <si>
    <t>http://www.algosecure.fr</t>
  </si>
  <si>
    <t xml:space="preserve">Villeurbanne, Auvergne-Rhone-Alpes, France, 69100</t>
  </si>
  <si>
    <t xml:space="preserve">AlgoSecure est une société spécialisée en sécurité informatique basée à Lyon et présente sur Paris : tests d'intrusion, sensibilisation, analyse de risques...</t>
  </si>
  <si>
    <t>Zoccheddu</t>
  </si>
  <si>
    <t xml:space="preserve">GLOBAL CONCEPT</t>
  </si>
  <si>
    <t>o.zoccheddu@gl-concept.fr</t>
  </si>
  <si>
    <t>http://www.linkedin.com/in/olivier-zoccheddu-97816789</t>
  </si>
  <si>
    <t>http://www.gl-concept.fr</t>
  </si>
  <si>
    <t xml:space="preserve">Sainte-Gemme-Moronval, Centre-Val de Loire, France, 28500</t>
  </si>
  <si>
    <t xml:space="preserve">Global Concept assure la transformation des matières cartons, plastiques métal pour tous besoins de PLV multi matériaux, PLV standard et sous-traitance industrielle</t>
  </si>
  <si>
    <t>Faycal</t>
  </si>
  <si>
    <t>Bousmaha</t>
  </si>
  <si>
    <t xml:space="preserve">Co-Founder &amp; Investisseur</t>
  </si>
  <si>
    <t>faycal@ideel.io</t>
  </si>
  <si>
    <t>http://www.linkedin.com/in/faycal-bousmaha</t>
  </si>
  <si>
    <t>http://www.ideel.io</t>
  </si>
  <si>
    <t xml:space="preserve">157 Boulevard MacDonald, Paris, Ile-de-France, France, 75019</t>
  </si>
  <si>
    <t>Siebman</t>
  </si>
  <si>
    <t xml:space="preserve">Co-founder &amp; Asana consultant</t>
  </si>
  <si>
    <t>iDO</t>
  </si>
  <si>
    <t>bastien.siebman@ido-clarity.com</t>
  </si>
  <si>
    <t>http://www.linkedin.com/in/siebmanb</t>
  </si>
  <si>
    <t>http://www.ido-clarity.com</t>
  </si>
  <si>
    <t xml:space="preserve">iDO, the Asana Expert and Asana Solutions Partner, is here to guide you every step of the way, for more efficiency and better collaboration.</t>
  </si>
  <si>
    <t>Jean-Paul</t>
  </si>
  <si>
    <t>Heng</t>
  </si>
  <si>
    <t>jean-paul.heng@uni5-technologies.com</t>
  </si>
  <si>
    <t>http://www.linkedin.com/in/jean-paul-heng</t>
  </si>
  <si>
    <t>http://www.uni5-technologies.com</t>
  </si>
  <si>
    <t>Gironde</t>
  </si>
  <si>
    <t>KRIALYS</t>
  </si>
  <si>
    <t>michel.gironde@krialys.fr</t>
  </si>
  <si>
    <t>http://www.linkedin.com/in/michel-gironde-490412</t>
  </si>
  <si>
    <t>http://www.krialys.fr</t>
  </si>
  <si>
    <t>Athis-Mons</t>
  </si>
  <si>
    <t xml:space="preserve">14T Rue du Ratrait, Suresnes, Ile-de-France, France, 92150</t>
  </si>
  <si>
    <t xml:space="preserve">Krialys robotise les traitements des données métiers et facilite leur exploitation au travers d'une plateforme dédiée.</t>
  </si>
  <si>
    <t>Blard</t>
  </si>
  <si>
    <t>ValueQuest</t>
  </si>
  <si>
    <t>stephane.blard@valuequest-consulting.com</t>
  </si>
  <si>
    <t>http://www.linkedin.com/in/stephaneblard</t>
  </si>
  <si>
    <t>http://www.valuequest-consulting.com</t>
  </si>
  <si>
    <t xml:space="preserve">49 Boulevard Pasteur, Paris, Ile-de-France, France, 75015</t>
  </si>
  <si>
    <t xml:space="preserve">ValueQuest accompagne les institutions financières sur des sujets variés : croissance, digital, évolutions réglementaires, efficacité opérationnelle, programmes</t>
  </si>
  <si>
    <t>Pobeda</t>
  </si>
  <si>
    <t xml:space="preserve">Co-founder at Le Centre</t>
  </si>
  <si>
    <t xml:space="preserve">Le Centre</t>
  </si>
  <si>
    <t>joel@lcntr.com</t>
  </si>
  <si>
    <t>http://www.linkedin.com/in/joel-pobeda-3b895589</t>
  </si>
  <si>
    <t>http://www.lecentre.io</t>
  </si>
  <si>
    <t>Ly</t>
  </si>
  <si>
    <t xml:space="preserve">Co-fondateur &amp; Lead back-end et infrastructures</t>
  </si>
  <si>
    <t>MerciApp</t>
  </si>
  <si>
    <t>eric.ly@merci-app.com</t>
  </si>
  <si>
    <t>http://www.linkedin.com/in/ericly1</t>
  </si>
  <si>
    <t>http://www.merci-app.com</t>
  </si>
  <si>
    <t xml:space="preserve">Le correcteur en ligne MerciApp s'appuie sur une technologie unique de correction des fautes d'orthographe et de grammaire embarquée dans une interface sûre et simple d'utilisation.</t>
  </si>
  <si>
    <t>Perie</t>
  </si>
  <si>
    <t xml:space="preserve">CEO, Co-founder TAB FRANCE</t>
  </si>
  <si>
    <t>marcperie@tabfrance.fr</t>
  </si>
  <si>
    <t>http://www.linkedin.com/in/marc-p%c3%a9ri%c3%a9-a877349</t>
  </si>
  <si>
    <t>http://www.tabfrance.fr</t>
  </si>
  <si>
    <t xml:space="preserve">7 Rue Maitre-Albert, Paris, Ile-de-France, France, 75005</t>
  </si>
  <si>
    <t xml:space="preserve">TAB France accompagne et réunit les chefs d'entreprise - Vous êtes prêt à développer votre entreprise, à perfectionner vos compétences en leadership ou à vous préparer à une transition majeure ? TAB vous amènera là où vous voulez aller.</t>
  </si>
  <si>
    <t>N.</t>
  </si>
  <si>
    <t xml:space="preserve">Redstone Solution</t>
  </si>
  <si>
    <t>jnovent@redstone-solution.com</t>
  </si>
  <si>
    <t>http://www.linkedin.com/in/jean-philippe-n-74a5a5ab</t>
  </si>
  <si>
    <t>http://www.redstone-solution.com</t>
  </si>
  <si>
    <t xml:space="preserve">Gestion de la maintenance technique, facilite la transmission d'informations, cartographie l'opérationnel et catégorise finement les dépenses</t>
  </si>
  <si>
    <t>Fresnais</t>
  </si>
  <si>
    <t xml:space="preserve">Cyber Test</t>
  </si>
  <si>
    <t>gregory.fresnais@cybertestsystems.com</t>
  </si>
  <si>
    <t>http://www.linkedin.com/in/gregoryfresnais</t>
  </si>
  <si>
    <t>http://www.cybertestsystems.com</t>
  </si>
  <si>
    <t xml:space="preserve">16 Place de l'Iris, Courbevoie, Ile-de-France, France, 92400</t>
  </si>
  <si>
    <t>Allison</t>
  </si>
  <si>
    <t>Josepha</t>
  </si>
  <si>
    <t xml:space="preserve">Co-fondatrice - Responsable communication</t>
  </si>
  <si>
    <t>Serieously</t>
  </si>
  <si>
    <t>allison@serieously.com</t>
  </si>
  <si>
    <t>http://www.linkedin.com/in/allison-josepha-b7a456b4</t>
  </si>
  <si>
    <t>http://www.serieously.com</t>
  </si>
  <si>
    <t xml:space="preserve">7 Rue Meslay, Paris, Ile-de-France, France, 75003</t>
  </si>
  <si>
    <t xml:space="preserve">Sleep less, Watch more</t>
  </si>
  <si>
    <t>Pinchart</t>
  </si>
  <si>
    <t xml:space="preserve">Directeur et Co-Fondateur</t>
  </si>
  <si>
    <t>ZBRE</t>
  </si>
  <si>
    <t>c.pinchart@zbre.io</t>
  </si>
  <si>
    <t>http://www.linkedin.com/in/comepinchart</t>
  </si>
  <si>
    <t>http://www.zbre.io</t>
  </si>
  <si>
    <t xml:space="preserve">24 Rue Jacques Ibert, Levallois-Perret, Ile-de-France, France, 92300</t>
  </si>
  <si>
    <t xml:space="preserve">Transform your real estate with real-time occupancy insights and seamless integration.</t>
  </si>
  <si>
    <t>Boudonne</t>
  </si>
  <si>
    <t xml:space="preserve">Director - Co founder</t>
  </si>
  <si>
    <t>GREENCITYZEN</t>
  </si>
  <si>
    <t>alexandre.boudonne@greencityzen.fr</t>
  </si>
  <si>
    <t>http://www.linkedin.com/in/alexandre-boudonne-6233141</t>
  </si>
  <si>
    <t>http://www.greencityzen.fr</t>
  </si>
  <si>
    <t xml:space="preserve">68 Rue Sainte, Marseille, Provence-Alpes-Cote d'Azur, France, 13001</t>
  </si>
  <si>
    <t xml:space="preserve">Hummbox : IoT solutions for data driven operations of water networks #environmental_IoT #sanitation #rain_water #drinkable_water_access #green_space_irrigation</t>
  </si>
  <si>
    <t>Houarner</t>
  </si>
  <si>
    <t xml:space="preserve">CEO &amp; Co-founder</t>
  </si>
  <si>
    <t>SEALK</t>
  </si>
  <si>
    <t>hugo@sealk.co</t>
  </si>
  <si>
    <t>http://www.linkedin.com/in/hugo-le-houarner-b0796831</t>
  </si>
  <si>
    <t>http://www.sealk.com</t>
  </si>
  <si>
    <t xml:space="preserve">Intelligent and exhaustive search engine for smarter M&amp;A Deal Sourcing. Improve productivity and efficiency by automating time-consuming tasks. Read More Here.</t>
  </si>
  <si>
    <t>Mathilde</t>
  </si>
  <si>
    <t>Casasola</t>
  </si>
  <si>
    <t xml:space="preserve">Chief of Staff to the CEO</t>
  </si>
  <si>
    <t>Verdikt</t>
  </si>
  <si>
    <t>mathilde@verdikt.io</t>
  </si>
  <si>
    <t>http://www.linkedin.com/in/mathilde-casasola-3046a8204</t>
  </si>
  <si>
    <t>http://www.verdikt.io</t>
  </si>
  <si>
    <t xml:space="preserve">67 Rue Pierre Brossolette, Chatillon, Ile-de-France, France, 92320</t>
  </si>
  <si>
    <t xml:space="preserve">Digitalize sustainably. We sustain your IT and value your CSR. Understand to act. Save time &amp; money. Be compliant.</t>
  </si>
  <si>
    <t>Zilliox</t>
  </si>
  <si>
    <t xml:space="preserve">CHAIRMAN  co-founder</t>
  </si>
  <si>
    <t>Witik</t>
  </si>
  <si>
    <t>arnaud.zilliox@witik.io</t>
  </si>
  <si>
    <t>http://www.linkedin.com/in/arnaudzilliox</t>
  </si>
  <si>
    <t>http://www.witik.io</t>
  </si>
  <si>
    <t xml:space="preserve">21 Rue de la Banque, Paris, Ile-de-France, France, 75002</t>
  </si>
  <si>
    <t xml:space="preserve">Découvrez Witik, votre solution 100% française boostée par l'IA pour une conformité RGPD simplifiée.</t>
  </si>
  <si>
    <t>Bertacchini</t>
  </si>
  <si>
    <t xml:space="preserve">Co-fondateur / Directeur du développement produit</t>
  </si>
  <si>
    <t>Cog'X</t>
  </si>
  <si>
    <t>hugo.bertacchini@cogx.fr</t>
  </si>
  <si>
    <t>http://www.linkedin.com/in/hugobertacchini</t>
  </si>
  <si>
    <t>http://www.cogx.fr</t>
  </si>
  <si>
    <t xml:space="preserve">7 Rue Rene Boulanger, Paris, Ile-de-France, France, 75010</t>
  </si>
  <si>
    <t xml:space="preserve">Cog'x est une agence de conseil en sciences cognitives. Développez et préservez les ressources cognitives et le bien-être de vos équipes.</t>
  </si>
  <si>
    <t>Trevillot</t>
  </si>
  <si>
    <t xml:space="preserve">Wemanity Maroc</t>
  </si>
  <si>
    <t>ptrevillot@wemanity.com</t>
  </si>
  <si>
    <t>http://www.linkedin.com/in/paul-trevillot-0195483</t>
  </si>
  <si>
    <t>http://www.wemanity.com</t>
  </si>
  <si>
    <t xml:space="preserve">2 زنقة حسن, Casablanca-Settat, Morocco</t>
  </si>
  <si>
    <t>Manier</t>
  </si>
  <si>
    <t>Objetrama</t>
  </si>
  <si>
    <t>arthur.manier@objetrama.fr</t>
  </si>
  <si>
    <t>http://www.linkedin.com/in/arthur-manier-pop-france-pandacola-objetrama</t>
  </si>
  <si>
    <t>http://www.objetrama.fr</t>
  </si>
  <si>
    <t xml:space="preserve">Reichstett, Alsace, France</t>
  </si>
  <si>
    <t xml:space="preserve">Spécialiste en ligne d'objets personnalisés et de goodies ➤ Découvrez notre catalogue de cadeaux d'entreprise et cadeaux d'affaires personnalisables.</t>
  </si>
  <si>
    <t>Sac</t>
  </si>
  <si>
    <t>keymind</t>
  </si>
  <si>
    <t>julien.sac@bmind.fr</t>
  </si>
  <si>
    <t>http://www.linkedin.com/in/julien-sac-2862b32</t>
  </si>
  <si>
    <t>http://www.key-mind.fr</t>
  </si>
  <si>
    <t xml:space="preserve">Bienvenue sur notre site ! Découvrez nos solutions de conseil en transformation, conformité et gestion des risques pour accompagner vos projets stratégiques.</t>
  </si>
  <si>
    <t>Carpe</t>
  </si>
  <si>
    <t xml:space="preserve">Reor l'atelier des transitions</t>
  </si>
  <si>
    <t>jerome.carpe@reor.fr</t>
  </si>
  <si>
    <t>http://www.linkedin.com/in/j%c3%a9r%c3%b4me-carpe-a0852915b</t>
  </si>
  <si>
    <t>http://www.reor.fr</t>
  </si>
  <si>
    <t xml:space="preserve">191 Avenue Aristide Briand, Cachan, Ile-de-France, France, 94230</t>
  </si>
  <si>
    <t>Sauvaget</t>
  </si>
  <si>
    <t xml:space="preserve">CEO Fondateur associé</t>
  </si>
  <si>
    <t>AVA</t>
  </si>
  <si>
    <t>thierry.sauvaget@ava-ux.com</t>
  </si>
  <si>
    <t>http://www.linkedin.com/in/thierry-sauvaget-4b28697</t>
  </si>
  <si>
    <t>http://www.ava-ux.com</t>
  </si>
  <si>
    <t xml:space="preserve">Editeur de logiciel, AVA offre des solutions de création et de diffusion de gamme d’assemblage en 3D pour la fabrication de produits personnalisés, fabrication de prototype, fabrication en kit, retrofit, formation...</t>
  </si>
  <si>
    <t>Pierrick</t>
  </si>
  <si>
    <t>Rollee</t>
  </si>
  <si>
    <t>pierrick@getrollee.com</t>
  </si>
  <si>
    <t>http://www.linkedin.com/in/pierrick-legrand-b2a6b716</t>
  </si>
  <si>
    <t>http://www.getrollee.com</t>
  </si>
  <si>
    <t xml:space="preserve">Integrate your customers' income, taxes, and other alternative data into your risk analysis. Leverage alternative data to underwrite anyone.</t>
  </si>
  <si>
    <t>Guy-Alain</t>
  </si>
  <si>
    <t>Germon</t>
  </si>
  <si>
    <t>CAFOM</t>
  </si>
  <si>
    <t>gagermon@cafom.com</t>
  </si>
  <si>
    <t>http://www.linkedin.com/in/guy-alain-germon-55b0b314</t>
  </si>
  <si>
    <t>http://www.cafom.com</t>
  </si>
  <si>
    <t xml:space="preserve">9 Rue Jacquard, Le Pre-Saint-Gervais, Ile-de-France, France, 93310</t>
  </si>
  <si>
    <t>Alibert</t>
  </si>
  <si>
    <t xml:space="preserve">Créateur et dirigeant</t>
  </si>
  <si>
    <t>LOuss</t>
  </si>
  <si>
    <t>palibert@louss.fr</t>
  </si>
  <si>
    <t>http://www.linkedin.com/in/philippe-alibert-a33a7310</t>
  </si>
  <si>
    <t>http://www.louss.fr</t>
  </si>
  <si>
    <t xml:space="preserve">Route de Saint-Philibert, Gevrey-Chambertin, Bourgogne-Franche-Comte, France, 21220</t>
  </si>
  <si>
    <t xml:space="preserve">LOuss, entreprise française de conception de luminaires à LED hauts de gamme, précurseurs et innovants. Nos produits sont performants et vecteurs de différence.</t>
  </si>
  <si>
    <t>Leger</t>
  </si>
  <si>
    <t xml:space="preserve">Fondateur / Conception et création de lieux vivants</t>
  </si>
  <si>
    <t>KLAC</t>
  </si>
  <si>
    <t>karimleger@klac-paris.fr</t>
  </si>
  <si>
    <t>http://www.linkedin.com/in/karimleger</t>
  </si>
  <si>
    <t>http://www.klac-paris.fr</t>
  </si>
  <si>
    <t>Thibert</t>
  </si>
  <si>
    <t>INFORGESTION</t>
  </si>
  <si>
    <t>b.thibert@inforgestion.fr</t>
  </si>
  <si>
    <t>http://www.linkedin.com/in/beno%c3%aet-thibert-913523b7</t>
  </si>
  <si>
    <t>http://www.inforgestion.fr</t>
  </si>
  <si>
    <t>Chalon-sur-Saone</t>
  </si>
  <si>
    <t xml:space="preserve">112 Rue du Bois de Menuse, Chalon-sur-Saone, Burgundy, France, 71100</t>
  </si>
  <si>
    <t xml:space="preserve">Inforgestion - Services informatiques de proximité pour les professionnels</t>
  </si>
  <si>
    <t>Benichou</t>
  </si>
  <si>
    <t xml:space="preserve">Korine Olivier</t>
  </si>
  <si>
    <t>c.benichou@korineolivier.com</t>
  </si>
  <si>
    <t>http://www.linkedin.com/in/charles-benichou-546971195</t>
  </si>
  <si>
    <t>http://www.korineolivier.com</t>
  </si>
  <si>
    <t xml:space="preserve">1865 Route d'Eguilles, Aix-en-Provence, Provence-Alpes-Cote d'Azur, France, 13090</t>
  </si>
  <si>
    <t xml:space="preserve">L'agence immobilière KORINE OLIVIER sur Aix-en-Provence et Valence vous accompagne dans la concrétisation de votre projet immobilier à Aix-en-Provence, Valence, Pertuis, Jouques, Peyrolles-en-Provence et leur région.</t>
  </si>
  <si>
    <t>Mainini</t>
  </si>
  <si>
    <t xml:space="preserve">SAS MAININI</t>
  </si>
  <si>
    <t>e.mainini@mainini.fr</t>
  </si>
  <si>
    <t>http://www.linkedin.com/in/etienne-mainini-82959094</t>
  </si>
  <si>
    <t>http://www.mainini.fr</t>
  </si>
  <si>
    <t xml:space="preserve">1 Rue Louis Francois Leonor Doucet, Bayeux, Lower Normandy, France, 14400</t>
  </si>
  <si>
    <t xml:space="preserve">L'expertise des énergies du chaud et du froid : Climatisation, Ventilation, Pompes à chaleur, Froid, Cuisines Professionnelles depuis 1945</t>
  </si>
  <si>
    <t>Guibal</t>
  </si>
  <si>
    <t xml:space="preserve">Directeur Général  associé</t>
  </si>
  <si>
    <t>Cantoriel</t>
  </si>
  <si>
    <t>gguibal@cantoriel.fr</t>
  </si>
  <si>
    <t>http://www.linkedin.com/in/gr%c3%a9goire-guibal-b673661</t>
  </si>
  <si>
    <t>http://www.cantoriel.fr</t>
  </si>
  <si>
    <t xml:space="preserve">2 Rue Michael Faraday, Saint-Herblain, Pays de la Loire, France, 44800</t>
  </si>
  <si>
    <t>Lambert</t>
  </si>
  <si>
    <t xml:space="preserve">Fondatrice et Dirigeante</t>
  </si>
  <si>
    <t>AGAPHONE</t>
  </si>
  <si>
    <t>valentine.lambert@agaphone.com</t>
  </si>
  <si>
    <t>http://www.linkedin.com/in/valentine-lambert-581b7012</t>
  </si>
  <si>
    <t>http://www.agaphone.com</t>
  </si>
  <si>
    <t xml:space="preserve">68B Boulevard Pereire, Paris, Ile-de-France, France, 75017</t>
  </si>
  <si>
    <t xml:space="preserve">Externalisez votre accueil téléphonique ! Agaphone répondra toujours présent à vos appels même le weekend et les jours fériés.</t>
  </si>
  <si>
    <t>Anchelergue</t>
  </si>
  <si>
    <t>multiCAM</t>
  </si>
  <si>
    <t>anchelergue@multicam-systems.com</t>
  </si>
  <si>
    <t>http://www.linkedin.com/in/arnaud-anchelergue-3aab80b1</t>
  </si>
  <si>
    <t>http://www.multicam-systems.com</t>
  </si>
  <si>
    <t xml:space="preserve">94 Rue des Sorins, Montreuil, Ile-de-France, France, 93100</t>
  </si>
  <si>
    <t xml:space="preserve">multiCAM SYSTEMS designs and develops innovative solutions for content production with simplicity and ergonomics, guaranteeing professional broadcast results</t>
  </si>
  <si>
    <t>Plessis</t>
  </si>
  <si>
    <t xml:space="preserve">Piter Solution VMS</t>
  </si>
  <si>
    <t>hubert.plessis@philes.fr</t>
  </si>
  <si>
    <t>http://www.linkedin.com/in/hubertplessis</t>
  </si>
  <si>
    <t>http://www.piter.at</t>
  </si>
  <si>
    <t xml:space="preserve">Le Pouliguen</t>
  </si>
  <si>
    <t xml:space="preserve">Piter est un outil de pilotage 360°, le VMS qui vous offre une nouvelle façon de sourcer, d’intégrer et de manager vos ressources externes.</t>
  </si>
  <si>
    <t>Meras</t>
  </si>
  <si>
    <t xml:space="preserve">co-founder (Education part)</t>
  </si>
  <si>
    <t>Dojo</t>
  </si>
  <si>
    <t>b.meras@dojo.fr</t>
  </si>
  <si>
    <t xml:space="preserve">venture capital &amp; private equity</t>
  </si>
  <si>
    <t>http://www.linkedin.com/in/meras</t>
  </si>
  <si>
    <t>http://www.dojo.group</t>
  </si>
  <si>
    <t xml:space="preserve">41 Boulevard Saint-Martin, Paris, Ile-de-France, France, 75003</t>
  </si>
  <si>
    <t>Foucauld</t>
  </si>
  <si>
    <t>Click2Buy</t>
  </si>
  <si>
    <t>fbrice@click2buy.com</t>
  </si>
  <si>
    <t>http://www.linkedin.com/in/foucauldbrice</t>
  </si>
  <si>
    <t>http://www.click2buy.com</t>
  </si>
  <si>
    <t xml:space="preserve">82 Rue Winston Churchill, Lille, Hauts-de-France, France, 59160</t>
  </si>
  <si>
    <t xml:space="preserve">Connect with your customers on every digital channel to guide them towards purchasing your products. With real-time retail stock data, increase ROI and track the success of your marketing campaigns with Click2Buy's advanced analytics.</t>
  </si>
  <si>
    <t>Meregnani</t>
  </si>
  <si>
    <t xml:space="preserve">Co-Founder &amp; CMO</t>
  </si>
  <si>
    <t>Tshoko</t>
  </si>
  <si>
    <t>maxime@tshoko.fr</t>
  </si>
  <si>
    <t>http://www.linkedin.com/in/maximemeregnani</t>
  </si>
  <si>
    <t>http://www.tshoko.com</t>
  </si>
  <si>
    <t xml:space="preserve">70 Quai Perrache, Lyon, Auvergne-Rhone-Alpes, France, 69002</t>
  </si>
  <si>
    <t xml:space="preserve">Chez Tshoko, notre mission est de vous aider à diffuser une ambiance musicale unique pour votre entreprise.</t>
  </si>
  <si>
    <t>Corte</t>
  </si>
  <si>
    <t xml:space="preserve">Co-Founder and CTO</t>
  </si>
  <si>
    <t xml:space="preserve">Sphere Energy</t>
  </si>
  <si>
    <t>daniel@sphere-energy.eu</t>
  </si>
  <si>
    <t xml:space="preserve">renewables &amp; environment</t>
  </si>
  <si>
    <t>http://www.linkedin.com/in/daniel-alves-dalla-corte</t>
  </si>
  <si>
    <t>http://www.sphere-energy.eu</t>
  </si>
  <si>
    <t xml:space="preserve">Augsburg, Bavaria, Germany</t>
  </si>
  <si>
    <t xml:space="preserve">Battery cell data hub: Sphere Energy offers advanced cell testing, 
technology advisory and AI enhanced cell data mangement.</t>
  </si>
  <si>
    <t>gcom</t>
  </si>
  <si>
    <t>lionelguiral@g-communication.fr</t>
  </si>
  <si>
    <t>http://www.linkedin.com/in/lionelguiral</t>
  </si>
  <si>
    <t>http://www.g-communication.fr</t>
  </si>
  <si>
    <t xml:space="preserve">Agence experte en communication et production audiovisuelle. Stratégie créative, vidéos percutantes et branding pour valoriser votre marque.</t>
  </si>
  <si>
    <t>Jacky</t>
  </si>
  <si>
    <t>Verguet</t>
  </si>
  <si>
    <t>Arobas</t>
  </si>
  <si>
    <t>jacky.verguet@arobas-technologies.com</t>
  </si>
  <si>
    <t>http://www.linkedin.com/in/jacky-verguet-256ab987</t>
  </si>
  <si>
    <t>http://www.arobas-technologies.com</t>
  </si>
  <si>
    <t xml:space="preserve">Ecully, Auvergne-Rhone-Alpes, France, 69130</t>
  </si>
  <si>
    <t>Camelot</t>
  </si>
  <si>
    <t xml:space="preserve">Halles modernes</t>
  </si>
  <si>
    <t>louis.camelot@hallesmodernes.fr</t>
  </si>
  <si>
    <t>http://www.linkedin.com/in/louis-camelot-bb91a217</t>
  </si>
  <si>
    <t>http://www.hallesmodernes.fr</t>
  </si>
  <si>
    <t xml:space="preserve">6 Rue de la Barre, Lille, Hauts-de-France, France, 59800</t>
  </si>
  <si>
    <t xml:space="preserve">Découvrez les Halles Modernes, des magasins de proximité à Lille offrant une large gamme de produits locaux. De la boucherie à la fromagerie, profitez de produits de qualité et d'un service convivial.</t>
  </si>
  <si>
    <t>Seguier</t>
  </si>
  <si>
    <t xml:space="preserve">CEO &amp; Founder CODEX INTERNATIONAL</t>
  </si>
  <si>
    <t xml:space="preserve">Codex International</t>
  </si>
  <si>
    <t>stephane.seguier@codex-international.com</t>
  </si>
  <si>
    <t>http://www.linkedin.com/in/stephaneseguier</t>
  </si>
  <si>
    <t>http://www.codex-international.com</t>
  </si>
  <si>
    <t xml:space="preserve">Chemin de Manerbe, Saint-Desir, Normandy, France, 14100</t>
  </si>
  <si>
    <t xml:space="preserve">Codex International, acteur significatif des métiers de l’ultra vide et des dispositifs nécessaires à l’élaboration des couches minces par déposition.</t>
  </si>
  <si>
    <t>Zagel</t>
  </si>
  <si>
    <t xml:space="preserve">Réseau Entreprendre Lorraine</t>
  </si>
  <si>
    <t>pzagel@reseau-entreprendre.org</t>
  </si>
  <si>
    <t>http://www.linkedin.com/in/patrick-zagel-3936a5204</t>
  </si>
  <si>
    <t>http://www.reseau-entreprendre.org</t>
  </si>
  <si>
    <t>Luneville</t>
  </si>
  <si>
    <t xml:space="preserve">5 Rue Jacques Villermaux, Nancy, Grand Est, France, 54000</t>
  </si>
  <si>
    <t>Vayer</t>
  </si>
  <si>
    <t xml:space="preserve">Présidente &amp; Fondatrice</t>
  </si>
  <si>
    <t xml:space="preserve">Alliance Froid Cuisine</t>
  </si>
  <si>
    <t>n.vayer@alliancefroidcuisine.fr</t>
  </si>
  <si>
    <t>http://www.linkedin.com/in/nathalie-vayer</t>
  </si>
  <si>
    <t>http://www.alliancefroidcuisine.fr</t>
  </si>
  <si>
    <t xml:space="preserve">15 Rue de la Frebardiere, Rennes, Brittany, France, 35000</t>
  </si>
  <si>
    <t xml:space="preserve">Site spécialiste de la cuisine professionnelle sur Rennes, Laval et Saint Malo. Nous vous proposons les meilleures solutions pour équiper et entretenir vos installations.</t>
  </si>
  <si>
    <t>Fonteix</t>
  </si>
  <si>
    <t xml:space="preserve">Co-fondateur, Directeur général</t>
  </si>
  <si>
    <t>etienne.fonteix@proxima-it.fr</t>
  </si>
  <si>
    <t>http://www.linkedin.com/in/etienne-fonteix-2b405011a</t>
  </si>
  <si>
    <t>http://www.proxima-it.fr</t>
  </si>
  <si>
    <t>Barthez</t>
  </si>
  <si>
    <t xml:space="preserve">Membre fondateur</t>
  </si>
  <si>
    <t xml:space="preserve">Force d'Experts</t>
  </si>
  <si>
    <t>nbarthez@midi-centre.com</t>
  </si>
  <si>
    <t>http://www.linkedin.com/in/nicolas-barthez-21070530</t>
  </si>
  <si>
    <t>http://www.forcedexperts.com</t>
  </si>
  <si>
    <t>Rodez</t>
  </si>
  <si>
    <t xml:space="preserve">91 Rue La Fayette, Paris, Ile-de-France, France, 75009</t>
  </si>
  <si>
    <t xml:space="preserve">Nous sommes fiers de vous annoncer la création de notre Association d’experts comptables et de commissaires aux comptes indépendants FORCE d’EXPERTS</t>
  </si>
  <si>
    <t>Monory</t>
  </si>
  <si>
    <t>Karbone</t>
  </si>
  <si>
    <t>stephane.monory@karbone.eu</t>
  </si>
  <si>
    <t>http://www.linkedin.com/in/st%c3%a9phane-monory-8545161</t>
  </si>
  <si>
    <t>http://www.karbone.eu</t>
  </si>
  <si>
    <t xml:space="preserve">6 Rue Emile Dubois, Paris, Ile-de-France, France, 75014</t>
  </si>
  <si>
    <t>Druesne</t>
  </si>
  <si>
    <t>STEPS</t>
  </si>
  <si>
    <t>paul@steps-transition.com</t>
  </si>
  <si>
    <t>http://www.linkedin.com/in/paul-druesne-a711583</t>
  </si>
  <si>
    <t>http://www.steps-transition.com</t>
  </si>
  <si>
    <t xml:space="preserve">STEPS est une entreprise de conseil bas carbone qui accompagne les entreprises et leurs investisseurs dans la transition énergétique.</t>
  </si>
  <si>
    <t>Brechon</t>
  </si>
  <si>
    <t xml:space="preserve">Rosace Fibre</t>
  </si>
  <si>
    <t>benoit.brechon@rosace-fibre.fr</t>
  </si>
  <si>
    <t>http://www.linkedin.com/in/benoit-brechon-16483a37</t>
  </si>
  <si>
    <t>http://www.rosace-fibre.fr</t>
  </si>
  <si>
    <t xml:space="preserve">19 Rue Icare, Entzheim, Alsace, France, 67960</t>
  </si>
  <si>
    <t xml:space="preserve">Rosace déploie la fibre optique sur le territoire alsacien pour offrir de nouveaux services numériques destinés à tous : particuliers, entreprises, collectivités</t>
  </si>
  <si>
    <t>Jollivet</t>
  </si>
  <si>
    <t xml:space="preserve">The Boson Project</t>
  </si>
  <si>
    <t>pierre@thebosonproject.com</t>
  </si>
  <si>
    <t>http://www.linkedin.com/in/pierrejollivet</t>
  </si>
  <si>
    <t>http://www.thebosonproject.com</t>
  </si>
  <si>
    <t xml:space="preserve">15 Passage de la Trinite, Paris, Ile-de-France, France, 75002</t>
  </si>
  <si>
    <t>Cuoq</t>
  </si>
  <si>
    <t>Innowide</t>
  </si>
  <si>
    <t>damien.cuoq@innowide.fr</t>
  </si>
  <si>
    <t>http://www.linkedin.com/in/dcuoq</t>
  </si>
  <si>
    <t>http://www.innowide.fr</t>
  </si>
  <si>
    <t xml:space="preserve">Rue Arthur Rimbaud, Saclay, Ile-de-France, France, 91400</t>
  </si>
  <si>
    <t xml:space="preserve">Développement de nouveaux produits hardware par les méthodes agiles</t>
  </si>
  <si>
    <t>Maurice</t>
  </si>
  <si>
    <t>Zembra</t>
  </si>
  <si>
    <t xml:space="preserve">General Manager and co-founder</t>
  </si>
  <si>
    <t xml:space="preserve">Vertical M2M</t>
  </si>
  <si>
    <t>mzembra@vertical-m2m.com</t>
  </si>
  <si>
    <t>http://www.linkedin.com/in/mauricezembra</t>
  </si>
  <si>
    <t>http://www.vertical-m2m.com</t>
  </si>
  <si>
    <t xml:space="preserve">46-48 Rue Rene Clair, Paris, Ile-de-France, France, 75018</t>
  </si>
  <si>
    <t xml:space="preserve">Optimisez vos opérations avec la maintenance prédictive. Découvrez nos solutions IoT pour une gestion proactive.</t>
  </si>
  <si>
    <t>Zouari</t>
  </si>
  <si>
    <t>TouchFlows</t>
  </si>
  <si>
    <t>eric.zouari@touchflows.com</t>
  </si>
  <si>
    <t>http://www.linkedin.com/in/eric-zouari-87122b3</t>
  </si>
  <si>
    <t>http://www.touchflows.com</t>
  </si>
  <si>
    <t xml:space="preserve">64 Rue Anatole France, Levallois-Perret, Ile-de-France, France, 92300</t>
  </si>
  <si>
    <t xml:space="preserve">TouchFlows fournit des solutions d'entreprise en conseil et en logiciels qui font des parcours employés et clients un succès continuellement renouvelé</t>
  </si>
  <si>
    <t>Correale</t>
  </si>
  <si>
    <t xml:space="preserve">Co-founder of The House</t>
  </si>
  <si>
    <t xml:space="preserve">E-Idols Agency</t>
  </si>
  <si>
    <t>manon@e-idols.com</t>
  </si>
  <si>
    <t>http://www.linkedin.com/in/manon-correale-20b992178</t>
  </si>
  <si>
    <t>http://www.e-idols.com</t>
  </si>
  <si>
    <t xml:space="preserve">17 Avenue Albert II, Monaco, Monaco, 98000</t>
  </si>
  <si>
    <t>Monaco</t>
  </si>
  <si>
    <t>Minashe</t>
  </si>
  <si>
    <t>Selvam</t>
  </si>
  <si>
    <t xml:space="preserve">CEO and founder</t>
  </si>
  <si>
    <t>Cantoo</t>
  </si>
  <si>
    <t>minashe@cantoo.fr</t>
  </si>
  <si>
    <t>http://www.linkedin.com/in/minashe-selvam-05b50555</t>
  </si>
  <si>
    <t>http://www.cantoo.fr</t>
  </si>
  <si>
    <t xml:space="preserve">165 Avenue de Bretagne, Lille, Hauts-de-France, France, 59000</t>
  </si>
  <si>
    <t>Oxhorn</t>
  </si>
  <si>
    <t>Sonnet</t>
  </si>
  <si>
    <t>liz@sonnet-creative.com</t>
  </si>
  <si>
    <t>http://www.linkedin.com/in/liz-oxhorn-a6a4692</t>
  </si>
  <si>
    <t>http://www.sonnetai.com</t>
  </si>
  <si>
    <t xml:space="preserve">San Francisco, California, United States</t>
  </si>
  <si>
    <t xml:space="preserve">Never forget a converstaion again. Sonnet AI is an end-to-end meeting assistant and notetaker that offers no-bot audio recording, automatic join meeting notifications, transcription, custom notes, action items, auto-updating CRM, and more.</t>
  </si>
  <si>
    <t>Boucheron</t>
  </si>
  <si>
    <t>arnaud.boucheron@haroldwaste.com</t>
  </si>
  <si>
    <t>http://www.linkedin.com/in/arnaud-boucheron-31642a64</t>
  </si>
  <si>
    <t>http://www.julesai.com</t>
  </si>
  <si>
    <t xml:space="preserve">Toronto, Ontario, Canada</t>
  </si>
  <si>
    <t>Pourchet</t>
  </si>
  <si>
    <t xml:space="preserve">Directrice Générale Majorian</t>
  </si>
  <si>
    <t>MAJORIAN</t>
  </si>
  <si>
    <t>cpourchet@majorian.fr</t>
  </si>
  <si>
    <t>http://www.linkedin.com/in/carole-pourchet-33275799</t>
  </si>
  <si>
    <t>http://www.majorian.fr</t>
  </si>
  <si>
    <t>El</t>
  </si>
  <si>
    <t xml:space="preserve">Co-founder, Partner &amp; Chief Technical Officer</t>
  </si>
  <si>
    <t>AKASSAA</t>
  </si>
  <si>
    <t>elhadj@akassaa.com</t>
  </si>
  <si>
    <t>http://www.linkedin.com/in/el-hadj-m-diop</t>
  </si>
  <si>
    <t>http://www.akassaa.com</t>
  </si>
  <si>
    <t xml:space="preserve">91 Rue du Faubourg Saint-Honore, Paris, Ile-de-France, France, 75008</t>
  </si>
  <si>
    <t xml:space="preserve">AKASSAA, votre partenaire pour la transformation digitale : ITO, Développement web et mobile, sites internet, e-commere, plateformes web ou applications mobiles et BPO, Business Process Outsourcing et centre d'appels (externalisation). Autres services : Mise à disposition développeurs et opérateurs. Communication &amp; marketing digital Sénégal. Externalisation outsourcing senegal développeur site.</t>
  </si>
  <si>
    <t>Petrov</t>
  </si>
  <si>
    <t xml:space="preserve">Co-founder @Chaindesk.ai</t>
  </si>
  <si>
    <t>Chaindesk</t>
  </si>
  <si>
    <t>georges@chaindesk.ai</t>
  </si>
  <si>
    <t>http://www.linkedin.com/in/georges-petrov-a45765a8</t>
  </si>
  <si>
    <t>http://www.chaindesk.ai</t>
  </si>
  <si>
    <t xml:space="preserve">Chaindesk brings a no-code platform to create custom AI chatbots trained on your data. Our solution makes customer support easy and simplifies team workflows.</t>
  </si>
  <si>
    <t>Auther</t>
  </si>
  <si>
    <t>Howard</t>
  </si>
  <si>
    <t>philippe.auther@howard-partners.com</t>
  </si>
  <si>
    <t>http://www.linkedin.com/in/philippe-auther-7a48aa1</t>
  </si>
  <si>
    <t>http://www.howard-partners.com</t>
  </si>
  <si>
    <t xml:space="preserve">Neuilly-sur-Seine, Ile-de-France, France</t>
  </si>
  <si>
    <t xml:space="preserve">Cabinet de conseil en stratégie, Howard Partners appréhende la complexité des projets de ses clients, avec la volonté d'anticiper les impacts sur les humains.</t>
  </si>
  <si>
    <t>Billard</t>
  </si>
  <si>
    <t xml:space="preserve">ubi bene</t>
  </si>
  <si>
    <t>ba@ubi-bene.fr</t>
  </si>
  <si>
    <t>http://www.linkedin.com/in/alexandrebillardubibene</t>
  </si>
  <si>
    <t>http://www.ubi-bene.fr</t>
  </si>
  <si>
    <t xml:space="preserve">11 Rue d'Uzes, Paris, Ile-de-France, France, 75002</t>
  </si>
  <si>
    <t xml:space="preserve">Agence de communication événementielle grand public</t>
  </si>
  <si>
    <t>Quentel-Reme</t>
  </si>
  <si>
    <t xml:space="preserve">Opti Digital</t>
  </si>
  <si>
    <t>magali@optidigital.com</t>
  </si>
  <si>
    <t>http://www.linkedin.com/in/magaliquentelreme</t>
  </si>
  <si>
    <t>http://www.optidigital.com</t>
  </si>
  <si>
    <t xml:space="preserve">Ceret, Occitanie, France, 66400</t>
  </si>
  <si>
    <t xml:space="preserve">Take your digital advertising to the next level with our revenue optimization solutions. Discover how our ad management platform can help you.</t>
  </si>
  <si>
    <t>Leblanc</t>
  </si>
  <si>
    <t>anaba</t>
  </si>
  <si>
    <t>louis@anaba.fr</t>
  </si>
  <si>
    <t>http://www.linkedin.com/in/louis-leblanc</t>
  </si>
  <si>
    <t>http://www.anaba.fr</t>
  </si>
  <si>
    <t xml:space="preserve">35 Avenue Saint-Maurice-de-Sauret, Montpellier, Occitanie, France, 34000</t>
  </si>
  <si>
    <t xml:space="preserve">Récupérez, mettez à jour et enrichissez automatiquement tout vos contacts sur une plateforme partagée avec vos collaborateurs et disponible depuis votre téléphone.</t>
  </si>
  <si>
    <t>Lavergne</t>
  </si>
  <si>
    <t xml:space="preserve">Président Co.Devenir</t>
  </si>
  <si>
    <t>Co.devenir</t>
  </si>
  <si>
    <t>emmanuel.lavergne@co-devenir.com</t>
  </si>
  <si>
    <t>http://www.linkedin.com/in/emmanuel-lavergne</t>
  </si>
  <si>
    <t>http://www.co-devenir.com</t>
  </si>
  <si>
    <t xml:space="preserve">Co.devenir - Inspirez, fédérez et engagez l'esprit entrepreneurial de vos équipes</t>
  </si>
  <si>
    <t>Dai</t>
  </si>
  <si>
    <t xml:space="preserve">A26 Digital</t>
  </si>
  <si>
    <t>direction@a26-digital.com</t>
  </si>
  <si>
    <t>http://www.linkedin.com/in/s%c3%a9bastien-dai-821466121</t>
  </si>
  <si>
    <t>http://www.a26-digital.com</t>
  </si>
  <si>
    <t xml:space="preserve">71 Rue Etienne Dolet, Alfortville, Ile-de-France, France, 94140</t>
  </si>
  <si>
    <t xml:space="preserve">A26 Digital Agence de gestion des réseaux sociaux - Community management</t>
  </si>
  <si>
    <t>Brun</t>
  </si>
  <si>
    <t>TenderFacts</t>
  </si>
  <si>
    <t>stephane@tenderfacts.ai</t>
  </si>
  <si>
    <t>http://www.linkedin.com/in/st%c3%a9phane-le-brun-69146257</t>
  </si>
  <si>
    <t>http://www.tenderfacts.ai</t>
  </si>
  <si>
    <t>Teelt</t>
  </si>
  <si>
    <t>yann.boisseau@teelt.io</t>
  </si>
  <si>
    <t>http://www.linkedin.com/in/yannboisseau</t>
  </si>
  <si>
    <t>http://www.teelt.io</t>
  </si>
  <si>
    <t xml:space="preserve">Transformez l'accueil de vos talents avec Teelt, une plateforme onboarding RH conçu pour dynamiser les services RH et valoriser votre culture d'entreprise. Découvrez une plateforme sur-mesure qui simplifie l'intégration, célèbre vos valeurs et propulse la productivité.  Prêt à révolutionner votre processus RH ? Commencez votre essai dès aujourd'hui !</t>
  </si>
  <si>
    <t>Larrere</t>
  </si>
  <si>
    <t>mlarrere@electronie.com</t>
  </si>
  <si>
    <t>http://www.linkedin.com/in/matthieu-larrere-b79b97a1</t>
  </si>
  <si>
    <t>http://www.electronie.fr</t>
  </si>
  <si>
    <t xml:space="preserve">Lieu-dit L'Argile, Mouans-Sartoux, Provence-Alpes-Cote d'Azur, France, 06370</t>
  </si>
  <si>
    <t>Khelif</t>
  </si>
  <si>
    <t xml:space="preserve">BSD Group</t>
  </si>
  <si>
    <t>dan@bsd.co.ke</t>
  </si>
  <si>
    <t>http://www.linkedin.com/in/dan-khelif-1377a5159</t>
  </si>
  <si>
    <t>http://www.bsd.co.ke</t>
  </si>
  <si>
    <t xml:space="preserve">George Padmore Rd, Nairobi, Nairobi County, Kenya</t>
  </si>
  <si>
    <t xml:space="preserve">Home - BSD %</t>
  </si>
  <si>
    <t>Chabardes</t>
  </si>
  <si>
    <t xml:space="preserve">The Cross Product</t>
  </si>
  <si>
    <t>theodore.chabardes@thecrossproduct.com</t>
  </si>
  <si>
    <t>http://www.linkedin.com/in/theodorec</t>
  </si>
  <si>
    <t>http://www.thecrossproduct.com</t>
  </si>
  <si>
    <t xml:space="preserve">Fontainebleau, Ile-de-France, France, 77300</t>
  </si>
  <si>
    <t xml:space="preserve">Software for automated LiDAR point cloud processing: classification, vectorization, modeling &amp; professional apps for railway, highway &amp; industrial sites.</t>
  </si>
  <si>
    <t>Desplanques</t>
  </si>
  <si>
    <t xml:space="preserve">ACTIMAC Groupe</t>
  </si>
  <si>
    <t>stephane.desplanques@actimac.fr</t>
  </si>
  <si>
    <t>http://www.linkedin.com/in/stephane-desplanques</t>
  </si>
  <si>
    <t>http://www.actimac.fr</t>
  </si>
  <si>
    <t xml:space="preserve">5 Avenue de Cambridge, Herouville-Saint-Clair, Normandy, France, 14200</t>
  </si>
  <si>
    <t xml:space="preserve">Actimac vous accompagne depuis 30 ans avec une démarche sur mesure, alliant expertise et innovation pour des solutions informatiques adaptées à vos usages et enjeux.</t>
  </si>
  <si>
    <t>Guery</t>
  </si>
  <si>
    <t xml:space="preserve">Co-Founder &amp; Technical Director</t>
  </si>
  <si>
    <t xml:space="preserve">Bulwark Studios</t>
  </si>
  <si>
    <t>jeremy@bulwarkstudios.com</t>
  </si>
  <si>
    <t xml:space="preserve">computer games</t>
  </si>
  <si>
    <t>http://www.linkedin.com/in/j%c3%a9r%c3%a9my-gu%c3%a9ry-32449357</t>
  </si>
  <si>
    <t>http://www.bulwarkstudios.com</t>
  </si>
  <si>
    <t xml:space="preserve">1 Rue de Saintes, Angouleme, Nouvelle-Aquitaine, France, 16000</t>
  </si>
  <si>
    <t xml:space="preserve">Tertia Solutions</t>
  </si>
  <si>
    <t>jplopez@tertia.fr</t>
  </si>
  <si>
    <t>http://www.linkedin.com/in/jean-pierre-lopez-40b13855</t>
  </si>
  <si>
    <t>http://www.tertia.fr</t>
  </si>
  <si>
    <t xml:space="preserve">Entzheim, Grand Est, France</t>
  </si>
  <si>
    <t xml:space="preserve">Tertia vous propose des solutions clé en main pour la conception et l’aménagement de vos espaces de travail, adaptées à vos enjeux et vos besoins.</t>
  </si>
  <si>
    <t>Granier</t>
  </si>
  <si>
    <t xml:space="preserve">Président SILVERTEAM</t>
  </si>
  <si>
    <t>SILVERTEAM</t>
  </si>
  <si>
    <t>gilles.granier@silverteam.fr</t>
  </si>
  <si>
    <t>http://www.linkedin.com/in/gilles-granier-9771988</t>
  </si>
  <si>
    <t>http://www.silverteam.fr</t>
  </si>
  <si>
    <t xml:space="preserve">151 Boulevard Haussmann, Paris, Ile-de-France, France, 75008</t>
  </si>
  <si>
    <t>Bocquenet</t>
  </si>
  <si>
    <t xml:space="preserve">Chief Executive Officer - Co-founder</t>
  </si>
  <si>
    <t xml:space="preserve">Shop My Influence</t>
  </si>
  <si>
    <t>greg@shopmyinfluence.fr</t>
  </si>
  <si>
    <t>http://www.linkedin.com/in/gregory-bocquenet</t>
  </si>
  <si>
    <t>http://www.shopmyinfluence.com</t>
  </si>
  <si>
    <t xml:space="preserve">86 Rue Marius Aufan, Levallois-Perret, Ile-de-France, France, 92300</t>
  </si>
  <si>
    <t xml:space="preserve">Grâce à sa technologie et son réseau d’influenceurs en Europe, Shop My Influence propose une nouvelle approche du marketing d’influence basée sur l’analyse de données de ventes générées sur les réseaux sociaux.</t>
  </si>
  <si>
    <t>Lomel</t>
  </si>
  <si>
    <t xml:space="preserve">COO &amp; Co-Founder</t>
  </si>
  <si>
    <t>Samsys</t>
  </si>
  <si>
    <t>jlomel@samsys.fr</t>
  </si>
  <si>
    <t>http://www.linkedin.com/in/jonathan-l-275a6a41</t>
  </si>
  <si>
    <t>http://www.samsys.fr</t>
  </si>
  <si>
    <t xml:space="preserve">Grâce à ses compteurs connectés, Samsys analyse les déplacements et les données de vos machines pour automatiser votre traçabilité, et calculer vos coûts d'intervention.</t>
  </si>
  <si>
    <t>Joos</t>
  </si>
  <si>
    <t>JOOSNABHAN</t>
  </si>
  <si>
    <t>valentin@joosnabhan.com</t>
  </si>
  <si>
    <t>http://www.linkedin.com/in/valentin-joos-495513</t>
  </si>
  <si>
    <t>http://www.joosnabhan.com</t>
  </si>
  <si>
    <t xml:space="preserve">10 Rue Rodier, Paris, Ile-de-France, France, 75009</t>
  </si>
  <si>
    <t xml:space="preserve">JOOSNABHAN is a brand consultancy specializing in strategy and word design. Because words are at the forefront of brand identities, word design aims to think up, choose or create the words and tone which define the strategy, differentiate the brand and inspire their audiences. The right words to create brand value.</t>
  </si>
  <si>
    <t xml:space="preserve">Partner &amp; Co-founder</t>
  </si>
  <si>
    <t xml:space="preserve">Humanim Life Sciences</t>
  </si>
  <si>
    <t>christophe.meunier@humanim.eu</t>
  </si>
  <si>
    <t>http://www.linkedin.com/in/christophe-meunier-92357023</t>
  </si>
  <si>
    <t>http://www.humanim.eu</t>
  </si>
  <si>
    <t xml:space="preserve">89 Avenue du Marechal Joffre, Nanterre, Ile-de-France, France, 92000</t>
  </si>
  <si>
    <t>Camborde</t>
  </si>
  <si>
    <t>IBEx</t>
  </si>
  <si>
    <t>marion@inblocks.io</t>
  </si>
  <si>
    <t>http://www.linkedin.com/in/marioncamborde</t>
  </si>
  <si>
    <t>http://www.inblocks.io</t>
  </si>
  <si>
    <t>Lejeune</t>
  </si>
  <si>
    <t>Ikighia</t>
  </si>
  <si>
    <t>tlejeune@ikighia.com</t>
  </si>
  <si>
    <t>http://www.linkedin.com/in/thibaut-lejeune</t>
  </si>
  <si>
    <t>http://www.ikighia.com</t>
  </si>
  <si>
    <t xml:space="preserve">4 Avenue Foch, Lille, Hauts-de-France, France, 59800</t>
  </si>
  <si>
    <t xml:space="preserve">Founder / CEO</t>
  </si>
  <si>
    <t>Erium</t>
  </si>
  <si>
    <t>arnaud.lemen@erium.fr</t>
  </si>
  <si>
    <t>http://www.linkedin.com/in/incredulecraps</t>
  </si>
  <si>
    <t>http://www.erium.fr</t>
  </si>
  <si>
    <t xml:space="preserve">147 Rue Saint-Martin, Paris, Ile-de-France, France, 75003</t>
  </si>
  <si>
    <t xml:space="preserve">Grâce aux solutions et expertises Erium, améliorez de chaque ligne de défense cyber : humaine, technologique et organisationnelle.</t>
  </si>
  <si>
    <t>Lips</t>
  </si>
  <si>
    <t xml:space="preserve">Caeli Energie</t>
  </si>
  <si>
    <t>stephane@caeli-energie.com</t>
  </si>
  <si>
    <t>http://www.linkedin.com/in/st%c3%a9phane-lips-1a2a508a</t>
  </si>
  <si>
    <t>http://www.caeli-energie.com</t>
  </si>
  <si>
    <t xml:space="preserve">CAELI ENERGIE est une startup technologique développant des systèmes innovants de climatisation résidentielle bas carbone : forte efficacité énergétique...</t>
  </si>
  <si>
    <t>Repolt</t>
  </si>
  <si>
    <t xml:space="preserve">Business Development Director &amp; Co-founder</t>
  </si>
  <si>
    <t>Simplicité</t>
  </si>
  <si>
    <t>trepolt@simplicite.fr</t>
  </si>
  <si>
    <t>http://www.linkedin.com/in/thomasrepolt</t>
  </si>
  <si>
    <t>http://www.simplicite.fr</t>
  </si>
  <si>
    <t xml:space="preserve">38 Rue de Trevise, Paris, Ile-de-France, France, 75009</t>
  </si>
  <si>
    <t xml:space="preserve">Low-code platform to quickly create business applications that are 100% adapted to your needs. Hosting of your choice internally or in the cloud. aPaaS | Agility | Cloud. Build custom applications to succeed in your digital transformation.</t>
  </si>
  <si>
    <t>Montlahuc</t>
  </si>
  <si>
    <t xml:space="preserve">ESL &amp; Network</t>
  </si>
  <si>
    <t>vmontlahuc@eslnetwork.com</t>
  </si>
  <si>
    <t>http://www.linkedin.com/in/vincent-montlahuc-8465574</t>
  </si>
  <si>
    <t>http://www.eslnetwork.com</t>
  </si>
  <si>
    <t xml:space="preserve">100 Avenue des Champs-Elysees, Paris, Ile-de-France, France, 75008</t>
  </si>
  <si>
    <t xml:space="preserve">Ещё один сайт на WordPress</t>
  </si>
  <si>
    <t>Kouyoumjian</t>
  </si>
  <si>
    <t xml:space="preserve">Owner and co-CEO</t>
  </si>
  <si>
    <t>ITO33</t>
  </si>
  <si>
    <t>serge@ito33.com</t>
  </si>
  <si>
    <t>http://www.linkedin.com/in/serge-kouyoumjian-1591a32</t>
  </si>
  <si>
    <t>http://www.ito33.com</t>
  </si>
  <si>
    <t xml:space="preserve">36 Rue Lacepede, Paris, Ile-de-France, France, 75005</t>
  </si>
  <si>
    <t>Pyotr</t>
  </si>
  <si>
    <t>Petechinskiy</t>
  </si>
  <si>
    <t>Founder/Producer</t>
  </si>
  <si>
    <t xml:space="preserve">Plus Games</t>
  </si>
  <si>
    <t>pyotr@plus-games.com</t>
  </si>
  <si>
    <t>http://www.linkedin.com/in/pyotr-petechinski-973b2a1b2</t>
  </si>
  <si>
    <t>http://www.plus-games.com</t>
  </si>
  <si>
    <t xml:space="preserve">35 Rue des Allies, Grenoble, Auvergne-Rhone-Alpes, France, 38100</t>
  </si>
  <si>
    <t xml:space="preserve">Development of mobile games &amp; apps</t>
  </si>
  <si>
    <t>Francisco</t>
  </si>
  <si>
    <t xml:space="preserve">CTO Cofondateur</t>
  </si>
  <si>
    <t>Doctibike</t>
  </si>
  <si>
    <t>pierre@doctibike.com</t>
  </si>
  <si>
    <t>http://www.linkedin.com/in/pierre-francisco-7636b197</t>
  </si>
  <si>
    <t>http://www.doctibike.com</t>
  </si>
  <si>
    <t xml:space="preserve">11 Avenue de Bel-Air, Villeurbanne, Auvergne-Rhone-Alpes, France, 69100</t>
  </si>
  <si>
    <t xml:space="preserve">Doctibike est une société de vente et réparation de batteries de vélos électriques. Spécialiste de ce domaine, retrouvez sur notre site des batteries de electric bike de grandes marques. Vous ne trouvez pas votre batterie? Nous pouvons la reconditionner!</t>
  </si>
  <si>
    <t>Breyne</t>
  </si>
  <si>
    <t xml:space="preserve">Directrice générale associée</t>
  </si>
  <si>
    <t>MCD</t>
  </si>
  <si>
    <t>abreyne@motcomptedouble.fr</t>
  </si>
  <si>
    <t>http://www.linkedin.com/in/alexandra-breyne</t>
  </si>
  <si>
    <t>http://www.motcomptedouble.fr</t>
  </si>
  <si>
    <t xml:space="preserve">19 Rue Colson, Lille, Hauts-de-France, France, 59800</t>
  </si>
  <si>
    <t>Remond</t>
  </si>
  <si>
    <t xml:space="preserve">CEO Happy Unity</t>
  </si>
  <si>
    <t xml:space="preserve">Happy Unity</t>
  </si>
  <si>
    <t>fabien@happy-unity.com</t>
  </si>
  <si>
    <t>http://www.linkedin.com/in/fabien-r%c3%a9mond-6b820286</t>
  </si>
  <si>
    <t>http://www.happy-unity.com</t>
  </si>
  <si>
    <t xml:space="preserve">La Madeleine, Faycelles, Midi-Pyrenees, France, 46100</t>
  </si>
  <si>
    <t xml:space="preserve">L'agence team building aux plus de 10.000 évènements organisés depuis près de 20 ans, créateur et producteur de solutions clefs en main !</t>
  </si>
  <si>
    <t>Villelegier</t>
  </si>
  <si>
    <t>Pdg</t>
  </si>
  <si>
    <t>Lovin</t>
  </si>
  <si>
    <t>cvillelegier@lovin-caviste.fr</t>
  </si>
  <si>
    <t xml:space="preserve">online media</t>
  </si>
  <si>
    <t>http://www.linkedin.com/in/christophe-villel%c3%a9gier-940870101</t>
  </si>
  <si>
    <t>http://www.lovingroup.com</t>
  </si>
  <si>
    <t xml:space="preserve">County Dublin, Ireland</t>
  </si>
  <si>
    <t>Ireland</t>
  </si>
  <si>
    <t>Galliand</t>
  </si>
  <si>
    <t>j.galliand@acb-xerox.com</t>
  </si>
  <si>
    <t>http://www.linkedin.com/in/johan-galliand-b3ab9b29</t>
  </si>
  <si>
    <t>http://www.acb-groupe.fr</t>
  </si>
  <si>
    <t xml:space="preserve">5 Avenue du Pre Felin, Annecy, Auvergne-Rhone-Alpes, France, 74940</t>
  </si>
  <si>
    <t>Leclerc</t>
  </si>
  <si>
    <t>FLOREVIE</t>
  </si>
  <si>
    <t>pascal.leclerc@florevie-scic.com</t>
  </si>
  <si>
    <t>http://www.linkedin.com/in/pascal-leclerc-695140183</t>
  </si>
  <si>
    <t>http://www.florevie.fr</t>
  </si>
  <si>
    <t xml:space="preserve">62 Rue Saint-Sulpice, Douai, Hauts-de-France, France, 59500</t>
  </si>
  <si>
    <t>Campion</t>
  </si>
  <si>
    <t>c.dujardin@e-campion.com</t>
  </si>
  <si>
    <t>http://www.linkedin.com/in/charles-dujardin-14948a59</t>
  </si>
  <si>
    <t>http://www.campionsales.com</t>
  </si>
  <si>
    <t>Torcy</t>
  </si>
  <si>
    <t xml:space="preserve">416 Plantation Dr, Coppell, Texas, United States, 75019</t>
  </si>
  <si>
    <t>Grousset</t>
  </si>
  <si>
    <t xml:space="preserve">Founder &amp; President</t>
  </si>
  <si>
    <t xml:space="preserve">MEPI Editeur d'innovations industrielles</t>
  </si>
  <si>
    <t>jean-christophe.grousset@mepi-france.com</t>
  </si>
  <si>
    <t>http://www.linkedin.com/in/jean-christophe-grousset-39b5a49b</t>
  </si>
  <si>
    <t>http://www.mepi-france.com</t>
  </si>
  <si>
    <t>Chanteloup-les-Vignes</t>
  </si>
  <si>
    <t xml:space="preserve">2 Rue de Valmy, Le Havre, Normandie, France, 76600</t>
  </si>
  <si>
    <t xml:space="preserve">Votre innovation accompagnée avec expertise et discrétion</t>
  </si>
  <si>
    <t>Guelton</t>
  </si>
  <si>
    <t xml:space="preserve">Find &amp; Order</t>
  </si>
  <si>
    <t>arthur.guelton@findnorder.com</t>
  </si>
  <si>
    <t>http://www.linkedin.com/in/arthurguelton</t>
  </si>
  <si>
    <t>http://www.findnorder.com</t>
  </si>
  <si>
    <t xml:space="preserve">27 Rue du Chemin Vert, Paris, Ile-de-France, France, 75011</t>
  </si>
  <si>
    <t>Laval</t>
  </si>
  <si>
    <t xml:space="preserve">ENSO Groupe</t>
  </si>
  <si>
    <t>jean-baptiste.laval@ensogroupe.fr</t>
  </si>
  <si>
    <t>http://www.linkedin.com/in/jean-baptiste-laval-467b68112</t>
  </si>
  <si>
    <t>http://www.enso-groupe.fr</t>
  </si>
  <si>
    <t xml:space="preserve">29 Rue des Merisiers, Wettolsheim, Grand Est, France, 68920</t>
  </si>
  <si>
    <t xml:space="preserve">Simplifiez la gestion de votre agence d'intérim avec les solutions logicielles innovantes d'Enso Groupe. Demandez votre démo dès maintenant.</t>
  </si>
  <si>
    <t>Reza</t>
  </si>
  <si>
    <t>Kaviani</t>
  </si>
  <si>
    <t xml:space="preserve">Co Fondateur</t>
  </si>
  <si>
    <t>OPSYRE</t>
  </si>
  <si>
    <t>reza.kaviani@opsyre.com</t>
  </si>
  <si>
    <t>http://www.linkedin.com/in/reza-kaviani-85485342</t>
  </si>
  <si>
    <t>http://www.opsyre.com</t>
  </si>
  <si>
    <t xml:space="preserve">1 Place Charles de Gaulle, Montigny-le-Bretonneux, Ile-de-France, France, 78180</t>
  </si>
  <si>
    <t xml:space="preserve">Specialist of outsourcing proactive services companies &amp; communities since 2001, contact us at 01 30 47 89 90.</t>
  </si>
  <si>
    <t>Lanctuit</t>
  </si>
  <si>
    <t xml:space="preserve">Associé et co-fondateur, Chef de produits</t>
  </si>
  <si>
    <t>Lanteas</t>
  </si>
  <si>
    <t>rodolphe.lanctuit@lanteas.com</t>
  </si>
  <si>
    <t>http://www.linkedin.com/in/rodolphe-lanctuit-72850b39</t>
  </si>
  <si>
    <t>http://www.lanteas.com</t>
  </si>
  <si>
    <t xml:space="preserve">Lanteas : le spécialiste du CRM et des services en ligne pour les acteurs publics : collectivités locales, établissements publics</t>
  </si>
  <si>
    <t>Knapp</t>
  </si>
  <si>
    <t xml:space="preserve">BOLMIN PROFILS</t>
  </si>
  <si>
    <t>eknapp@cder-invest.fr</t>
  </si>
  <si>
    <t>http://www.linkedin.com/in/etienne-knapp-839b0a1a3</t>
  </si>
  <si>
    <t>http://www.bolminprofils.fr</t>
  </si>
  <si>
    <t xml:space="preserve">Evreux, Normandy, France</t>
  </si>
  <si>
    <t>Guerin</t>
  </si>
  <si>
    <t xml:space="preserve">Artik Consulting</t>
  </si>
  <si>
    <t>olivier.guerin@artik-consulting.com</t>
  </si>
  <si>
    <t>http://www.linkedin.com/in/oguerin</t>
  </si>
  <si>
    <t>http://www.artik-consulting.com</t>
  </si>
  <si>
    <t xml:space="preserve">36 Rue d'Oradour-sur-Glane, Paris, Ile-de-France, France, 75015</t>
  </si>
  <si>
    <t xml:space="preserve">Artik Consulting est un cabinet de conseil français spécialisé dans les architectures IT pour aider les entreprises à prendre le virage data-centricity. Cabinet expert en Big Data et Architecture SI</t>
  </si>
  <si>
    <t>Felipe</t>
  </si>
  <si>
    <t>Villar</t>
  </si>
  <si>
    <t xml:space="preserve">Co-Founder &amp; Industrial Director</t>
  </si>
  <si>
    <t>exceenis</t>
  </si>
  <si>
    <t>felipe@exceenis.com</t>
  </si>
  <si>
    <t>http://www.linkedin.com/in/felipe-tebar-villar-a33132a4</t>
  </si>
  <si>
    <t>http://www.exceenis.com</t>
  </si>
  <si>
    <t>Tran</t>
  </si>
  <si>
    <t>tom@nelson-mobility.com</t>
  </si>
  <si>
    <t>http://www.linkedin.com/in/tom-trn</t>
  </si>
  <si>
    <t>http://www.nelson-mobility.com</t>
  </si>
  <si>
    <t>Doisy</t>
  </si>
  <si>
    <t xml:space="preserve">Europe Études</t>
  </si>
  <si>
    <t>augustin.doisy@europe-etudes.com</t>
  </si>
  <si>
    <t xml:space="preserve">market research</t>
  </si>
  <si>
    <t>http://www.linkedin.com/in/augustin-doisy</t>
  </si>
  <si>
    <t>http://www.europe-etudes.com</t>
  </si>
  <si>
    <t xml:space="preserve">61 Avenue de la Foret-Noire, Strasbourg, Grand Est, France, 67000</t>
  </si>
  <si>
    <t>Sebrechts</t>
  </si>
  <si>
    <t>Numix</t>
  </si>
  <si>
    <t>j.sebrechts@numix.fr</t>
  </si>
  <si>
    <t>http://www.linkedin.com/in/jeff-sebrechts</t>
  </si>
  <si>
    <t>http://www.numix.fr</t>
  </si>
  <si>
    <t xml:space="preserve">Chemin de Rieumas, Marssac-sur-Tarn, Occitanie, France, 81150</t>
  </si>
  <si>
    <t xml:space="preserve">Numix - Expert en pédagogie digitale et immersive, est un studio de création numérique spécialisé dans la conception et la réalisation de solutions digitales pédagogiques sur mesure. Nous proposons à nos clients des solutions adaptées à leurs besoins : modules e-learning, Serious Game, Rapid learning, motion design ainsi que des applications 3D immersives innovantes utilisant les technologies de la réalité virtuelle, de la réalité augmentée et du Web 3D.</t>
  </si>
  <si>
    <t>Massonnat</t>
  </si>
  <si>
    <t>Horrea</t>
  </si>
  <si>
    <t>cedric.massonnat@horrea.fr</t>
  </si>
  <si>
    <t>http://www.linkedin.com/in/massonnat</t>
  </si>
  <si>
    <t>http://www.horrea.fr</t>
  </si>
  <si>
    <t xml:space="preserve">Horrea est une agence spécialisée dans la transformation digitale, offrant des expériences digitales qui délivrent un impact durable et mesurable.</t>
  </si>
  <si>
    <t>Faesch</t>
  </si>
  <si>
    <t xml:space="preserve">L'Équipage Agency</t>
  </si>
  <si>
    <t>coralie.faesch@equipage-agency.com</t>
  </si>
  <si>
    <t>http://www.linkedin.com/in/coralie-faesch-04728a207</t>
  </si>
  <si>
    <t>http://www.equipage-agency.com</t>
  </si>
  <si>
    <t xml:space="preserve">Selestat, Alsace-Champagne-Ardenne-Lorraine, France, 67600</t>
  </si>
  <si>
    <t xml:space="preserve">Agence de communication digitale | Des jeunes alsaciens de 20 ans boost votre communication en termes de : community management, campagnes publicitaires et créations graphistes et audiovisuelles. Laissez-nous vous créer une réelle image de marque !</t>
  </si>
  <si>
    <t>Arab</t>
  </si>
  <si>
    <t xml:space="preserve">Fondateur &amp; CEO - Directeur Exécutif</t>
  </si>
  <si>
    <t>Ivacom</t>
  </si>
  <si>
    <t>adel.arab@ivacom.fr</t>
  </si>
  <si>
    <t>http://www.linkedin.com/in/adel-arab-2269a3170</t>
  </si>
  <si>
    <t>http://www.ivacom.fr</t>
  </si>
  <si>
    <t xml:space="preserve">Messein, Grand Est, France</t>
  </si>
  <si>
    <t xml:space="preserve">Situé à Nancy, IVACOM est votre partenaire privilégié dans l'installation des réseaux de fibre optique et des télécommunication dans le Grand Est. Contactez-nous !</t>
  </si>
  <si>
    <t xml:space="preserve">Cofondateur &amp; DGD &amp; sales director</t>
  </si>
  <si>
    <t xml:space="preserve">dreamIT by Astek</t>
  </si>
  <si>
    <t>dlemaire@dreamit-astek.fr</t>
  </si>
  <si>
    <t>http://www.linkedin.com/in/damien-lemaire-6a54918</t>
  </si>
  <si>
    <t>http://www.dreamit-astek.fr</t>
  </si>
  <si>
    <t xml:space="preserve">77 Rue Marcel Dassault, Boulogne-Billancourt, Ile-de-France, France, 92100</t>
  </si>
  <si>
    <t xml:space="preserve">Bienvenue chez dreamIT by Astek, cabinet de conseil pour vos projets en infrastructure, Cloud et cybersécurité.</t>
  </si>
  <si>
    <t>Andrey</t>
  </si>
  <si>
    <t>Dyatlov</t>
  </si>
  <si>
    <t xml:space="preserve">Rapid Delivery Analytics</t>
  </si>
  <si>
    <t>andrey@definnovation.com</t>
  </si>
  <si>
    <t>http://www.linkedin.com/in/thelacker</t>
  </si>
  <si>
    <t>http://www.rda.team</t>
  </si>
  <si>
    <t>Barokhel</t>
  </si>
  <si>
    <t xml:space="preserve">Présidente Directrice Générale - Chief Executive Officer</t>
  </si>
  <si>
    <t>PROCONECT</t>
  </si>
  <si>
    <t>b.barokhel@proconect.com</t>
  </si>
  <si>
    <t>http://www.linkedin.com/in/beatrice-barokhel-68b63792</t>
  </si>
  <si>
    <t>http://www.proconect.fr</t>
  </si>
  <si>
    <t>Orvault</t>
  </si>
  <si>
    <t xml:space="preserve">Prises de courant basse et moyenne tension pour applications industrielles. Prises électriques sécurisées, étanches et adaptées aux différents marchés.</t>
  </si>
  <si>
    <t>Yong</t>
  </si>
  <si>
    <t>Jie</t>
  </si>
  <si>
    <t xml:space="preserve">Training You</t>
  </si>
  <si>
    <t>yongjie.guan@training-you.fr</t>
  </si>
  <si>
    <t>http://www.linkedin.com/in/gyj-803900b3</t>
  </si>
  <si>
    <t>http://www.training-you.fr</t>
  </si>
  <si>
    <t xml:space="preserve">Training You est le leader de la préparation en ligne aux entretiens en Corporate Finance et Conseil en stratégie</t>
  </si>
  <si>
    <t>Pucheu</t>
  </si>
  <si>
    <t xml:space="preserve">CPO &amp; Co-founder</t>
  </si>
  <si>
    <t xml:space="preserve">Exorde Labs</t>
  </si>
  <si>
    <t>damien@exordelabs.com</t>
  </si>
  <si>
    <t>http://www.linkedin.com/in/damien-pucheu-5a17a7142</t>
  </si>
  <si>
    <t>http://www.exordelabs.com</t>
  </si>
  <si>
    <t xml:space="preserve">Exorde processes billions of social media posts. Get the world's most competitive data feeds &amp; social analytics for your business.</t>
  </si>
  <si>
    <t>Lajos</t>
  </si>
  <si>
    <t>Benyo</t>
  </si>
  <si>
    <t>Abelya</t>
  </si>
  <si>
    <t>l.benyo@abelya-partners.com</t>
  </si>
  <si>
    <t>http://www.linkedin.com/in/lajos-benyo-6348a733</t>
  </si>
  <si>
    <t>http://www.abelya-partners.com</t>
  </si>
  <si>
    <t xml:space="preserve">Rue de la Pepiniere, Paris, Ile-de-France, France, 75008</t>
  </si>
  <si>
    <t xml:space="preserve">ZEMPER FRANCE</t>
  </si>
  <si>
    <t>cgeorges@zemper.fr</t>
  </si>
  <si>
    <t>http://www.linkedin.com/in/christian-georges-336131153</t>
  </si>
  <si>
    <t>http://www.zemper.fr</t>
  </si>
  <si>
    <t xml:space="preserve">Charnay-les-Macon, Burgundy, France</t>
  </si>
  <si>
    <t>Davreux</t>
  </si>
  <si>
    <t xml:space="preserve">Co-dirigeante cabinet RESECUM, consultante,formatrice,coach</t>
  </si>
  <si>
    <t>RESECUM</t>
  </si>
  <si>
    <t>odile.davreux@resecum.com</t>
  </si>
  <si>
    <t>http://www.linkedin.com/in/odile-davreux-50525482</t>
  </si>
  <si>
    <t>http://www.resecum.com</t>
  </si>
  <si>
    <t xml:space="preserve">1 Rue Kervegan, Nantes, Pays de la Loire, France, 44000</t>
  </si>
  <si>
    <t>Teresa</t>
  </si>
  <si>
    <t>Colombi</t>
  </si>
  <si>
    <t>Ludotic</t>
  </si>
  <si>
    <t>teresa@ludo-tic.com</t>
  </si>
  <si>
    <t>http://www.linkedin.com/in/teresacolombi</t>
  </si>
  <si>
    <t>http://www.ludotic.com</t>
  </si>
  <si>
    <t xml:space="preserve">1681 Route des Dolines, Valbonne, Provence-Alpes-Cote d'Azur, France, 06560</t>
  </si>
  <si>
    <t xml:space="preserve">Ludotic est l'agence UX spécialisée en conception d'expérience utilisateurs mémorables et efficientes depuis 2004.</t>
  </si>
  <si>
    <t>Borderie</t>
  </si>
  <si>
    <t>Senso</t>
  </si>
  <si>
    <t>cedric@creasenso.com</t>
  </si>
  <si>
    <t>http://www.linkedin.com/in/cedricborderie</t>
  </si>
  <si>
    <t>http://www.senso.ai</t>
  </si>
  <si>
    <t xml:space="preserve">200 Wellington Street West, Toronto, Ontario, Canada, M5V 3C7</t>
  </si>
  <si>
    <t xml:space="preserve">Senso.ai - AI Powered Knowlede Base Designed to Improve Operational Efficiency</t>
  </si>
  <si>
    <t xml:space="preserve">Co-Fondateur et directeur du développement Spider VO - Weespots</t>
  </si>
  <si>
    <t>WEEFLOW</t>
  </si>
  <si>
    <t>laurent.cohen@spider-vo.fr</t>
  </si>
  <si>
    <t>http://www.linkedin.com/in/laurent-cohen-40485935</t>
  </si>
  <si>
    <t>http://www.spider-vo.com</t>
  </si>
  <si>
    <t xml:space="preserve">40 Boulevard Henri Sellier, Suresnes, Ile-de-France, France, 92150</t>
  </si>
  <si>
    <t xml:space="preserve">Spider VO est le premier logiciel de gestion automobile qui vous permet de gérer vos leads, vos reprises, vos stocks, vos offres commerciales, votre facturation, votre livre de police et vos publications internet avec une simplicité déconcertante.</t>
  </si>
  <si>
    <t>Rouchouse</t>
  </si>
  <si>
    <t xml:space="preserve">Arco Information</t>
  </si>
  <si>
    <t>c.rouchouse@arco.be</t>
  </si>
  <si>
    <t>http://www.linkedin.com/in/christian-rouchouse</t>
  </si>
  <si>
    <t>http://www.arco.be</t>
  </si>
  <si>
    <t xml:space="preserve">1 Oscar van Kesbeeckstraat, Belgium, 2800</t>
  </si>
  <si>
    <t xml:space="preserve">Digitale oplossingen voor bedrijven die meer tijd willen. Volledig op maat en met een team dat voor je zorgt.</t>
  </si>
  <si>
    <t xml:space="preserve">Cofounder MySpeaker France</t>
  </si>
  <si>
    <t xml:space="preserve">MySpeaker France</t>
  </si>
  <si>
    <t>nathalie.francois@myspeaker.fr</t>
  </si>
  <si>
    <t>http://www.linkedin.com/in/nathalie-francois-54919227</t>
  </si>
  <si>
    <t>http://www.myspeaker.fr</t>
  </si>
  <si>
    <t xml:space="preserve">MySpeaker France vous propose Speakers, conférenciers, conférencières, animateurs, et intervenants variés pour tous vos événements.</t>
  </si>
  <si>
    <t>Meesemaecker</t>
  </si>
  <si>
    <t>Co-CEO</t>
  </si>
  <si>
    <t>CAPNOR</t>
  </si>
  <si>
    <t>pierre.meesemaecker@sas-capnor.fr</t>
  </si>
  <si>
    <t>http://www.linkedin.com/in/pierremeesemaecker</t>
  </si>
  <si>
    <t>http://www.capnor.store</t>
  </si>
  <si>
    <t xml:space="preserve">570 Rue Armand Carrel, Dunkirk, Hauts-de-France, France, 59640</t>
  </si>
  <si>
    <t xml:space="preserve">CAPNOR, centre de recyclage automobile situé à Dunkerque, Hauts-de-France, proposant des pièces détachées d'occasion reconditionnées et garanties 2 ans ainsi que des services d'entretien de véhicule.</t>
  </si>
  <si>
    <t>Liloye</t>
  </si>
  <si>
    <t>Molin</t>
  </si>
  <si>
    <t xml:space="preserve">Co-founder &amp; Advisor</t>
  </si>
  <si>
    <t>Stratos</t>
  </si>
  <si>
    <t>liloye@stratos.club</t>
  </si>
  <si>
    <t>http://www.linkedin.com/in/liloye-molin-32266628</t>
  </si>
  <si>
    <t>http://www.stratos.club</t>
  </si>
  <si>
    <t xml:space="preserve">Your current tools are not delivering what you need. Do not keep declining applications, we help you build the right work with the applications IT suite your business needs.</t>
  </si>
  <si>
    <t>Goillot</t>
  </si>
  <si>
    <t xml:space="preserve">The Mobile-First Company</t>
  </si>
  <si>
    <t>jeremy@themobilefirst.co</t>
  </si>
  <si>
    <t>http://www.linkedin.com/in/jeremygoillot</t>
  </si>
  <si>
    <t>http://www.themobilefirstcompany.com</t>
  </si>
  <si>
    <t xml:space="preserve">9 Rue des Colonnes, Paris, Ile-de-France, France, 75002</t>
  </si>
  <si>
    <t xml:space="preserve">Early Stage Startup that is Simplifying Business, One App at a Time.
Forget about those overcomplicated, pricey software giants. We're building easy, mobile-first tools that actually make sense.</t>
  </si>
  <si>
    <t xml:space="preserve">Associé, co-fondateur • Directeur de création, réalisateur</t>
  </si>
  <si>
    <t>julien.guiral@g-communication.fr</t>
  </si>
  <si>
    <t>http://www.linkedin.com/in/julienguiral</t>
  </si>
  <si>
    <t>Caylet</t>
  </si>
  <si>
    <t xml:space="preserve">Biz dev, Facilitateur d'Innovation &amp; Co-fondateur</t>
  </si>
  <si>
    <t xml:space="preserve">Monkey Patch</t>
  </si>
  <si>
    <t>matthieu@monkeypatch.io</t>
  </si>
  <si>
    <t>http://www.linkedin.com/in/matcaylet</t>
  </si>
  <si>
    <t>http://www.monkeypatch.io</t>
  </si>
  <si>
    <t xml:space="preserve">Équipe d'experts en développement en Web, Mobile, Cloud, DevOps, BigData spécialisée dans la création d'applications innovantes.</t>
  </si>
  <si>
    <t>Mascot</t>
  </si>
  <si>
    <t xml:space="preserve">Agence Point 11</t>
  </si>
  <si>
    <t>lmascot@point11.fr</t>
  </si>
  <si>
    <t>http://www.linkedin.com/in/laurent-mascot-9b275459</t>
  </si>
  <si>
    <t>http://www.point11.fr</t>
  </si>
  <si>
    <t xml:space="preserve">60 Rue de Wattignies, Paris, Ile-de-France, France, 75012</t>
  </si>
  <si>
    <t xml:space="preserve">Point11, l’Agence qui sait être aux petits soins pour vos grands projets !</t>
  </si>
  <si>
    <t>Radvanyi</t>
  </si>
  <si>
    <t xml:space="preserve">Directeur général exécutif</t>
  </si>
  <si>
    <t xml:space="preserve">DO PHARMA</t>
  </si>
  <si>
    <t>t.radvanyi@do-pharma.fr</t>
  </si>
  <si>
    <t>http://www.linkedin.com/in/thomas-radvanyi</t>
  </si>
  <si>
    <t>http://www.do-pharma.fr</t>
  </si>
  <si>
    <t xml:space="preserve">140 Boulevard Haussmann, Paris, Ile-de-France, France, 75008</t>
  </si>
  <si>
    <t xml:space="preserve">DO Pharma facilite l'accès à l'Optique et à l'Audition pour tous avec Direct Optic &amp; Audition, Audition Pharma et Vision Audition Santé.</t>
  </si>
  <si>
    <t>Monteiro</t>
  </si>
  <si>
    <t>EKOST</t>
  </si>
  <si>
    <t>fabien.monteiro@ekost.fr</t>
  </si>
  <si>
    <t>http://www.linkedin.com/in/fabien-monteiro-bb94b5130</t>
  </si>
  <si>
    <t>http://www.ekost.fr</t>
  </si>
  <si>
    <t xml:space="preserve">9 Rue du 4 septembre, Paris, Ile-de-France, France, 75002</t>
  </si>
  <si>
    <t xml:space="preserve">EKOST accompagne votre entreprise dans sa transformation digitale : Téléphonie IP, VisioConférence, Systèmes d'impression et de numérisation, nous vous proposons les meilleures solutions connectées du marché à des tarifications négociées, tout en bénéficiant d’une véritable qualité de service.</t>
  </si>
  <si>
    <t>Forest</t>
  </si>
  <si>
    <t>Feedier</t>
  </si>
  <si>
    <t>francois@feedier.com</t>
  </si>
  <si>
    <t>http://www.linkedin.com/in/fran%c3%a7ois-forest-47046412a</t>
  </si>
  <si>
    <t>http://www.feedier.com</t>
  </si>
  <si>
    <t>Mengual</t>
  </si>
  <si>
    <t xml:space="preserve">Fondateur Président</t>
  </si>
  <si>
    <t>Withinsales</t>
  </si>
  <si>
    <t>alexandre.mengual@withinsales.com</t>
  </si>
  <si>
    <t>http://www.linkedin.com/in/alexandremengual</t>
  </si>
  <si>
    <t>http://www.withinsales.com</t>
  </si>
  <si>
    <t xml:space="preserve">Spécialisé dans le conseil en développement commercial, nous vendons chez nos clients en engagement de résultat sur un pourcentage...</t>
  </si>
  <si>
    <t>Zago</t>
  </si>
  <si>
    <t>HoppR</t>
  </si>
  <si>
    <t>nicolas@hoppr.tech</t>
  </si>
  <si>
    <t>http://www.linkedin.com/in/nicolaszago</t>
  </si>
  <si>
    <t>http://www.hoppr.com.au</t>
  </si>
  <si>
    <t>Voelcker</t>
  </si>
  <si>
    <t xml:space="preserve">Sales Manager GedZilla by Numerize _ Co-founder &amp; CEO</t>
  </si>
  <si>
    <t>Numerize</t>
  </si>
  <si>
    <t>delphine@numerize.com</t>
  </si>
  <si>
    <t>http://www.linkedin.com/in/voelcker-delphine-893b868</t>
  </si>
  <si>
    <t>http://www.numerize.com</t>
  </si>
  <si>
    <t xml:space="preserve">4 Rue Sophie Germain, Cormontreuil, Grand Est, France, 51350</t>
  </si>
  <si>
    <t xml:space="preserve">Société de numérisation de documents, de GED et d'archivage physique. Nous vous accompagnons sur l'intégralité du cycle de vie des documents. Contactez-nous.</t>
  </si>
  <si>
    <t xml:space="preserve">Cofounder | Consultant</t>
  </si>
  <si>
    <t>Lysint</t>
  </si>
  <si>
    <t>matthieu.haubensack@lysint.eu</t>
  </si>
  <si>
    <t>http://www.linkedin.com/in/matthieuhaubensack-lysint</t>
  </si>
  <si>
    <t>http://www.lysint.eu</t>
  </si>
  <si>
    <t xml:space="preserve">34 Rue de Clery, Paris, Ile-de-France, France, 75002</t>
  </si>
  <si>
    <t>Nouet</t>
  </si>
  <si>
    <t xml:space="preserve">Co-founder, COO</t>
  </si>
  <si>
    <t>Pathway</t>
  </si>
  <si>
    <t>claire@navalgo.com</t>
  </si>
  <si>
    <t>http://www.linkedin.com/in/clairenouet</t>
  </si>
  <si>
    <t>http://www.pathway.com</t>
  </si>
  <si>
    <t xml:space="preserve">123 Rue de Tocqueville, Paris, Ile-de-France, France, 75017</t>
  </si>
  <si>
    <t xml:space="preserve">Python ETL framework for stream processing, real-time analytics, RAG, and LLM pipelines.</t>
  </si>
  <si>
    <t>Bruneaut</t>
  </si>
  <si>
    <t>Axone</t>
  </si>
  <si>
    <t>pbruneaut@axonesys.com</t>
  </si>
  <si>
    <t>http://www.linkedin.com/in/philippe-bruneaut-4bb992150</t>
  </si>
  <si>
    <t>http://www.axonesys.com</t>
  </si>
  <si>
    <t xml:space="preserve">22 Quai Gallieni, Suresnes, Ile-de-France, France, 92150</t>
  </si>
  <si>
    <t>Eliott</t>
  </si>
  <si>
    <t>Sarrey</t>
  </si>
  <si>
    <t>ARAGO</t>
  </si>
  <si>
    <t>eliott@aragocomputing.com</t>
  </si>
  <si>
    <t>http://www.linkedin.com/in/eliott-sarrey</t>
  </si>
  <si>
    <t>http://www.arago.com</t>
  </si>
  <si>
    <t xml:space="preserve">17 Rue Louis Rouquier, Levallois-Perret, Ile-de-France, France, 92300</t>
  </si>
  <si>
    <t xml:space="preserve">Empower your local advertising</t>
  </si>
  <si>
    <t>Huet</t>
  </si>
  <si>
    <t xml:space="preserve">HUET LOCATION</t>
  </si>
  <si>
    <t>nicolas-huet@huet-location.fr</t>
  </si>
  <si>
    <t>http://www.linkedin.com/in/nicolas-huet-490669a7</t>
  </si>
  <si>
    <t>http://www.huet-location.fr</t>
  </si>
  <si>
    <t xml:space="preserve">191 Chemin du Vercors, La Frette, Auvergne-Rhone-Alpes, France, 38260</t>
  </si>
  <si>
    <t xml:space="preserve">Location nacelle. Huet Location est le 1er louer indépendant de nacelles et plateformes élévatrices de personnel. Huet Location est spécialisé dans la location de nacelles élévatrices, location de nacelles articulées. La location de nacelles est possible à Grenoble, Paris, Toulouse.</t>
  </si>
  <si>
    <t>Jrad</t>
  </si>
  <si>
    <t xml:space="preserve">PHENIX ELECTRONIQUE</t>
  </si>
  <si>
    <t>k.jrad@phenix-electronique.fr</t>
  </si>
  <si>
    <t>http://www.linkedin.com/in/karim-jrad-b398a428</t>
  </si>
  <si>
    <t>http://www.phenix-electronique.fr</t>
  </si>
  <si>
    <t xml:space="preserve">Lubersac, Nouvelle-Aquitaine, France, 19210</t>
  </si>
  <si>
    <t>Yao</t>
  </si>
  <si>
    <t>Hygie</t>
  </si>
  <si>
    <t>pierre.yao@hygiesolution.com</t>
  </si>
  <si>
    <t>http://www.linkedin.com/in/pierre-yao-22272273</t>
  </si>
  <si>
    <t>http://www.hygiesolution.com</t>
  </si>
  <si>
    <t xml:space="preserve">Simplifiez votre conformité réglementaire avec notre application HACCP, capteurs de températures, étiqueteuse DLC et tableaux de bord. Assurez la sécurité de vos aliments grâce à des ressources spécialisées. Explorez notre contenu dès maintenant !</t>
  </si>
  <si>
    <t>Ghalem</t>
  </si>
  <si>
    <t xml:space="preserve">Weedo IT</t>
  </si>
  <si>
    <t>k.ghalem@weedoit.fr</t>
  </si>
  <si>
    <t>http://www.linkedin.com/in/karimghalem</t>
  </si>
  <si>
    <t>http://www.weedoit.digital</t>
  </si>
  <si>
    <t xml:space="preserve">63 Avenue Roger Salengro, Villeurbanne, Auvergne-Rhone-Alpes, France, 69100</t>
  </si>
  <si>
    <t xml:space="preserve">Weedo IT, agence reconnue en acquisition digitale, développe des solutions innovantes pour vous accompagner tout au long de votre stratégie digitale.</t>
  </si>
  <si>
    <t>Dellerie</t>
  </si>
  <si>
    <t>Spaycial</t>
  </si>
  <si>
    <t>maxime@transactionconnect.com</t>
  </si>
  <si>
    <t>http://www.linkedin.com/in/maximedellerie</t>
  </si>
  <si>
    <t>http://www.spaycial.com</t>
  </si>
  <si>
    <t xml:space="preserve">18 Rue du Faubourg du Temple, Paris, Ile-de-France, France, 75011</t>
  </si>
  <si>
    <t xml:space="preserve">Spaycial enables better relationships between people and brands, by turning payment data into shopping behaviour clues.</t>
  </si>
  <si>
    <t>Bessy</t>
  </si>
  <si>
    <t xml:space="preserve">Président &amp; fondateur de KPA6T</t>
  </si>
  <si>
    <t>KPA6T</t>
  </si>
  <si>
    <t>laurent.bessy@kpa6t.fr</t>
  </si>
  <si>
    <t>http://www.linkedin.com/in/laurent-bessy-73a2683</t>
  </si>
  <si>
    <t>http://www.kpa6t.fr</t>
  </si>
  <si>
    <t xml:space="preserve">451 Rue du Champ du Garet, Arnas, Rhone-Alpes, France, 69400</t>
  </si>
  <si>
    <t>Razafindralambo</t>
  </si>
  <si>
    <t xml:space="preserve">Security Researcher &amp; Co-Founder</t>
  </si>
  <si>
    <t>eShard</t>
  </si>
  <si>
    <t>tiana.razafindralambo@eshard.com</t>
  </si>
  <si>
    <t>http://www.linkedin.com/in/tianaraza</t>
  </si>
  <si>
    <t>http://www.eshard.com</t>
  </si>
  <si>
    <t xml:space="preserve">11 Avenue de Canteranne, Pessac, Nouvelle-Aquitaine, France, 33600</t>
  </si>
  <si>
    <t xml:space="preserve">eShard is a global leader in cybersecurity testing solutions, empowering teams with collaborative tools to enhance the security of software and hardware.</t>
  </si>
  <si>
    <t>Druelles</t>
  </si>
  <si>
    <t>alain.druelles@quintetconseil.fr</t>
  </si>
  <si>
    <t>http://www.linkedin.com/in/alain-druelles-11a7291b9</t>
  </si>
  <si>
    <t>http://www.quintetconseil.fr</t>
  </si>
  <si>
    <t>Jadot</t>
  </si>
  <si>
    <t xml:space="preserve">LaTour Media Group</t>
  </si>
  <si>
    <t>thierry.jadot@latourmediagroup.co</t>
  </si>
  <si>
    <t>http://www.linkedin.com/in/thierry-jadot-93962520</t>
  </si>
  <si>
    <t>http://www.latourmediagroup.co</t>
  </si>
  <si>
    <t>Routaboul</t>
  </si>
  <si>
    <t xml:space="preserve">Fondatrice &amp; CEO du réseau Link Consulting</t>
  </si>
  <si>
    <t xml:space="preserve">Link Consulting SAS</t>
  </si>
  <si>
    <t>laetitia@link-consulting.fr</t>
  </si>
  <si>
    <t>http://www.linkedin.com/in/laetitia-routaboul-4338775a</t>
  </si>
  <si>
    <t>http://www.link-consulting.fr</t>
  </si>
  <si>
    <t xml:space="preserve">Link Consulting est un cabinet de recrutement informatique au service des directions informatiques. Nous proposons des prestations de recherche / profilage de profils.</t>
  </si>
  <si>
    <t>Chardron</t>
  </si>
  <si>
    <t xml:space="preserve">Dirigeant SPREAD</t>
  </si>
  <si>
    <t>SPREAD</t>
  </si>
  <si>
    <t>f.chardron@spread.fr</t>
  </si>
  <si>
    <t>http://www.linkedin.com/in/florent-chardron-237a92232</t>
  </si>
  <si>
    <t>http://www.spreadfamily.fr</t>
  </si>
  <si>
    <t xml:space="preserve">72 Rue de la Republique, Le Petit-Quevilly, Normandy, France, 76140</t>
  </si>
  <si>
    <t xml:space="preserve">E-merchant, brand or retailer? It's all there: develop, manage and activate your customers on a unique platform.</t>
  </si>
  <si>
    <t>Ismael</t>
  </si>
  <si>
    <t>Vukovic</t>
  </si>
  <si>
    <t xml:space="preserve">Rallye du Cœur</t>
  </si>
  <si>
    <t>ivukovic@lerallyeducoeur.fr</t>
  </si>
  <si>
    <t>http://www.linkedin.com/in/ismael-vukovic-7b520554</t>
  </si>
  <si>
    <t>http://www.lerallyeducoeur.com</t>
  </si>
  <si>
    <t>Belaziz</t>
  </si>
  <si>
    <t xml:space="preserve">CEO RBMG Entreprenariat &amp; Management de transition</t>
  </si>
  <si>
    <t>r.belaziz@rbmg.fr</t>
  </si>
  <si>
    <t>http://www.linkedin.com/in/rachid-belaziz-0a393431</t>
  </si>
  <si>
    <t>Fournil</t>
  </si>
  <si>
    <t>ÉHO.LINK</t>
  </si>
  <si>
    <t>nicolas.fournil@eho.link</t>
  </si>
  <si>
    <t>http://www.linkedin.com/in/nicolas-fournil-1273384</t>
  </si>
  <si>
    <t>http://www.eho.link</t>
  </si>
  <si>
    <t xml:space="preserve">71 Montee de Saint-Menet, Marseille, Provence-Alpes-Cote d'Azur, France, 13011</t>
  </si>
  <si>
    <t>Pellet</t>
  </si>
  <si>
    <t xml:space="preserve">Behring Water</t>
  </si>
  <si>
    <t>xavier.pellet@behring-water.com</t>
  </si>
  <si>
    <t>http://www.linkedin.com/in/xavier-pellet</t>
  </si>
  <si>
    <t>http://www.behring-waters.com</t>
  </si>
  <si>
    <t xml:space="preserve">32 Chemin du Vieux Chene, Meylan, Auvergne-Rhone-Alpes, France, 38240</t>
  </si>
  <si>
    <t xml:space="preserve">Découvrez nos solutions d'hydratation, fabriquées en France. Offrez une eau sûre, fraiche, pétillante et des boissons 0 déchet.</t>
  </si>
  <si>
    <t>Billac</t>
  </si>
  <si>
    <t>capmonetique</t>
  </si>
  <si>
    <t>emmanuel.billac@capmonetique.com</t>
  </si>
  <si>
    <t>http://www.linkedin.com/in/emmanuel-billac-393a10179</t>
  </si>
  <si>
    <t>http://www.capmonetique.com</t>
  </si>
  <si>
    <t>Descartes</t>
  </si>
  <si>
    <t xml:space="preserve">Avenue Jean Monnet, Descartes, Centre-Val de Loire, France, 37160</t>
  </si>
  <si>
    <t xml:space="preserve">Depuis 1980, CAP MONETIQUE rend autonome les services payants en accès libre grâce à son expertise dans les intégrations de moyens de paiement tout canaux</t>
  </si>
  <si>
    <t>Haythem</t>
  </si>
  <si>
    <t>Hammami</t>
  </si>
  <si>
    <t>Émérya</t>
  </si>
  <si>
    <t>haythem@emerya.fr</t>
  </si>
  <si>
    <t>http://www.linkedin.com/in/haythem-hammami-06129466</t>
  </si>
  <si>
    <t>http://www.emerya.fr</t>
  </si>
  <si>
    <t xml:space="preserve">32 Rue de Cambrai, Paris, Ile-de-France, France, 75019</t>
  </si>
  <si>
    <t xml:space="preserve">Émérya collabore depuis plus de 10 ans auprès d'agences de communication ou de développement web. En partenariat ou en marque blanche, nous nous occupons de toute la partie technique de votre projet web sous Drupal ou Wordpress. 
La sous-traitance est notre domaine d'expertise, nous saurons maintenir votre budget et vous garantir 100% des livrables.</t>
  </si>
  <si>
    <t>Marthe</t>
  </si>
  <si>
    <t>Cadart</t>
  </si>
  <si>
    <t xml:space="preserve">Co-founder &amp; Chief mission officer</t>
  </si>
  <si>
    <t>IDOYA</t>
  </si>
  <si>
    <t>marthe.cadart@idoya.fr</t>
  </si>
  <si>
    <t>http://www.linkedin.com/in/marthe-cadart-58a44189</t>
  </si>
  <si>
    <t>http://www.idoya.fr</t>
  </si>
  <si>
    <t xml:space="preserve">IDOYA, de l’idée à l’action : relever le défi d’une transformation inclusive, effective et durable.</t>
  </si>
  <si>
    <t>Paour</t>
  </si>
  <si>
    <t xml:space="preserve">CEO and President</t>
  </si>
  <si>
    <t>IT-LOGIQ</t>
  </si>
  <si>
    <t>x.paour@it-logiq.com</t>
  </si>
  <si>
    <t>http://www.linkedin.com/in/xavier-paour-170b22</t>
  </si>
  <si>
    <t>http://www.it-logiq.com</t>
  </si>
  <si>
    <t xml:space="preserve">10 Rue des Federes, Montreuil, Ile-de-France, France, 93100</t>
  </si>
  <si>
    <t>Chafchaouni</t>
  </si>
  <si>
    <t xml:space="preserve">TECHSO GROUP</t>
  </si>
  <si>
    <t>ochafchaouni@techsogroup.com</t>
  </si>
  <si>
    <t>http://www.linkedin.com/in/othmane-chafchaouni-952bb2b1</t>
  </si>
  <si>
    <t>http://www.techsogroup.com</t>
  </si>
  <si>
    <t xml:space="preserve">شارع الدمام, Casablanca-Settat, Morocco</t>
  </si>
  <si>
    <t>Nizar</t>
  </si>
  <si>
    <t xml:space="preserve">PDG FONDATEUR</t>
  </si>
  <si>
    <t xml:space="preserve">GROUPE ELAN</t>
  </si>
  <si>
    <t>nizar.said@groupelan.com</t>
  </si>
  <si>
    <t>http://www.linkedin.com/in/nizar-said-0b630795</t>
  </si>
  <si>
    <t>http://www.groupelan.com</t>
  </si>
  <si>
    <t xml:space="preserve">Archamps, Auvergne-Rhone-Alpes, France, 74160</t>
  </si>
  <si>
    <t>Soilly</t>
  </si>
  <si>
    <t xml:space="preserve">Associé, co-fondateur b.mind - cabinet de conseil</t>
  </si>
  <si>
    <t>yann.soilly@bmind.fr</t>
  </si>
  <si>
    <t>http://www.linkedin.com/in/yasoilly</t>
  </si>
  <si>
    <t xml:space="preserve">Présidente directrice générale</t>
  </si>
  <si>
    <t>ARTÉVA</t>
  </si>
  <si>
    <t>fabienne.duclos@arteva.fr</t>
  </si>
  <si>
    <t>http://www.linkedin.com/in/fabienne-duclos-612928167</t>
  </si>
  <si>
    <t>http://www.arteva.fr</t>
  </si>
  <si>
    <t xml:space="preserve">330 Allee des Hetres, Limonest, Rhone-Alpes, France, 69760</t>
  </si>
  <si>
    <t xml:space="preserve">Artéva accélère votre business en digitalisant et dématérialisant vos échanges de données BtoB grâce à un accompagnement sur mesure.</t>
  </si>
  <si>
    <t>Ruben</t>
  </si>
  <si>
    <t>Fiszel</t>
  </si>
  <si>
    <t>Windmill</t>
  </si>
  <si>
    <t>ruben@windmill.dev</t>
  </si>
  <si>
    <t>http://www.linkedin.com/in/rubenfiszel</t>
  </si>
  <si>
    <t>http://www.windmill.dev</t>
  </si>
  <si>
    <t xml:space="preserve">Dover, Delaware, United States</t>
  </si>
  <si>
    <t xml:space="preserve">Turn scripts into auto-generated UIs, APIs and cron jobs. Compose them as workflows or data pipelines. Build complex, data-intensive apps with ease. Write and deploy software 10x faster, and run it with the highest reliability and observability on the fastest self-hostable job orchestrator</t>
  </si>
  <si>
    <t>B.</t>
  </si>
  <si>
    <t>CYNA</t>
  </si>
  <si>
    <t>nathan.bramli@cyna-it.fr</t>
  </si>
  <si>
    <t>http://www.linkedin.com/in/nathan-bramli</t>
  </si>
  <si>
    <t>http://www.cyna-it.fr</t>
  </si>
  <si>
    <t xml:space="preserve">Pure player en cybersécurité pour les PME &amp; ETI. Cyna protège votre entreprise contre les cyberattaques. Audit de sécurité | Test d'intrusion  |  Micro SOC  | SOC managé 24/7 | Réponse à incident |  CERT |  Contacter un expert</t>
  </si>
  <si>
    <t>Chastellan</t>
  </si>
  <si>
    <t>ITDA</t>
  </si>
  <si>
    <t>patrick.chastellan@itda.fr</t>
  </si>
  <si>
    <t>http://www.linkedin.com/in/pchastellan</t>
  </si>
  <si>
    <t>http://www.itda.fr</t>
  </si>
  <si>
    <t xml:space="preserve">Montpellier, Languedoc-Roussillon, France, 34090</t>
  </si>
  <si>
    <t xml:space="preserve">Nous réalisons vos applications pour smartphone et tablettes sous iOs et Android de la conception à la publication sur l'AppStore et Google Play</t>
  </si>
  <si>
    <t>Noreddine</t>
  </si>
  <si>
    <t>Derkaoui</t>
  </si>
  <si>
    <t xml:space="preserve">ARISTEE DATA</t>
  </si>
  <si>
    <t>noreddine.derkaoui@aristeedata.fr</t>
  </si>
  <si>
    <t>http://www.linkedin.com/in/noreddine-derkaoui-9b80316</t>
  </si>
  <si>
    <t>http://www.aristeedata.fr</t>
  </si>
  <si>
    <t xml:space="preserve">4 Place de la Defense, Paris, Ile-de-France, France, 94974</t>
  </si>
  <si>
    <t xml:space="preserve">AristeeData des services clés en main pour répondre aux besoins des entreprises 
en terme de sécurisation, disponibilité et souveraineté des données :
Un hébergement adapté à vos besoins dans un Datacenter Tier IV souverain écologique 
Nouvelle approche / Optimisation de vos coûts d’hébergement</t>
  </si>
  <si>
    <t>Callaghan</t>
  </si>
  <si>
    <t xml:space="preserve">Co-Founder and Managing Director</t>
  </si>
  <si>
    <t>C-Risk</t>
  </si>
  <si>
    <t>tom.callaghan@c-risk.com</t>
  </si>
  <si>
    <t>http://www.linkedin.com/in/tom-callaghan-6468991</t>
  </si>
  <si>
    <t>http://www.c-risk.com</t>
  </si>
  <si>
    <t xml:space="preserve">110 Esplanade du General de Gaulle, Ile-de-France, France, 92400</t>
  </si>
  <si>
    <t xml:space="preserve">Empower better decision-making with C-Risk’s data-driven CRQ expertise. Our services, software solutions, and training help you build a cost-effective, resilient security program.</t>
  </si>
  <si>
    <t>Enard</t>
  </si>
  <si>
    <t xml:space="preserve">FIBRE 2000</t>
  </si>
  <si>
    <t>tenard@fibre2000.com</t>
  </si>
  <si>
    <t>http://www.linkedin.com/in/tarek-enard-65a809228</t>
  </si>
  <si>
    <t>http://www.fibre2000.com</t>
  </si>
  <si>
    <t xml:space="preserve">6 Rue Maryse Bastie, Courcouronnes, Ile-de-France, France, 91080</t>
  </si>
  <si>
    <t>Journe</t>
  </si>
  <si>
    <t xml:space="preserve">CEO and lead developer</t>
  </si>
  <si>
    <t>Nurgo</t>
  </si>
  <si>
    <t>gregory.journe@nurgo-software.com</t>
  </si>
  <si>
    <t>http://www.linkedin.com/in/gr%c3%a9gory-journ%c3%a9-babb015</t>
  </si>
  <si>
    <t>http://www.nurgo-software.com</t>
  </si>
  <si>
    <t xml:space="preserve">Nurgo Software is the company behind AquaSnap and TidyTabs, two programs dedicated to making window management easier.</t>
  </si>
  <si>
    <t>Hullin</t>
  </si>
  <si>
    <t>Airnity</t>
  </si>
  <si>
    <t>cyril.hullin@airnity.com</t>
  </si>
  <si>
    <t>http://www.linkedin.com/in/cyrilhullin</t>
  </si>
  <si>
    <t>http://www.airnity.com</t>
  </si>
  <si>
    <t xml:space="preserve">Allee de l'Ile-de-France, Toulouse, Occitanie, France, 31100</t>
  </si>
  <si>
    <t>Touta</t>
  </si>
  <si>
    <t xml:space="preserve">Data Mindset</t>
  </si>
  <si>
    <t>otouta@data-mindset.fr</t>
  </si>
  <si>
    <t>http://www.linkedin.com/in/olivier-touta-54716213</t>
  </si>
  <si>
    <t>http://www.data-mindset.fr</t>
  </si>
  <si>
    <t>Fabio</t>
  </si>
  <si>
    <t>Munaretto</t>
  </si>
  <si>
    <t>Kocliko</t>
  </si>
  <si>
    <t>fabio.munaretto@kocliko.co</t>
  </si>
  <si>
    <t>http://www.linkedin.com/in/fabio-munaretto-b739462b</t>
  </si>
  <si>
    <t>http://www.kocliko.co</t>
  </si>
  <si>
    <t xml:space="preserve">74 Cours Aristide Briand, Bordeaux, Nouvelle-Aquitaine, France, 33000</t>
  </si>
  <si>
    <t xml:space="preserve">Kocliko développe des solutions pragmatiques pour réduire les consommations d’énergie des bâtiments tout en améliorant le confort des occupants.</t>
  </si>
  <si>
    <t>Liria</t>
  </si>
  <si>
    <t>ViaAduc</t>
  </si>
  <si>
    <t>richard.liria@viaaduc.com</t>
  </si>
  <si>
    <t>http://www.linkedin.com/in/richard-liria</t>
  </si>
  <si>
    <t>http://www.viaaduc.com</t>
  </si>
  <si>
    <t xml:space="preserve">152 Avenue de Malakoff, Paris, Ile-de-France, France, 75116</t>
  </si>
  <si>
    <t xml:space="preserve">Depuis plus de 15 ans, ViaAduc accompagne les entreprises dans leurs projets de conduite du changement : SAP, ERP, logiciels métiers...</t>
  </si>
  <si>
    <t>Kasay</t>
  </si>
  <si>
    <t xml:space="preserve">Jiro France</t>
  </si>
  <si>
    <t>ykasay@jirogasy.com</t>
  </si>
  <si>
    <t>http://www.linkedin.com/in/yann-kasay</t>
  </si>
  <si>
    <t>http://www.jirogasy.com</t>
  </si>
  <si>
    <t>Same</t>
  </si>
  <si>
    <t>IN/OFF</t>
  </si>
  <si>
    <t>c.same@in-off.fr</t>
  </si>
  <si>
    <t>http://www.linkedin.com/in/christophe-sam%c3%a9-1606b52b</t>
  </si>
  <si>
    <t>http://www.in-off.fr</t>
  </si>
  <si>
    <t xml:space="preserve">189 Rue d'Aubervilliers, Paris, Ile-de-France, France, 75018</t>
  </si>
  <si>
    <t>Langenfeld</t>
  </si>
  <si>
    <t xml:space="preserve">Ipanema Consulting</t>
  </si>
  <si>
    <t>mlangenfeld@ipanema-consulting.com</t>
  </si>
  <si>
    <t>http://www.linkedin.com/in/matthieu-langenfeld</t>
  </si>
  <si>
    <t>http://www.ipanema-consulting.com</t>
  </si>
  <si>
    <t xml:space="preserve">25 Rue de Tolbiac, Paris, Ile-de-France, France, 75013</t>
  </si>
  <si>
    <t xml:space="preserve">IPANEMA. Conseil en transformation digitale, développement Web et Cloud, centre de services Nearshore à Casablanca, Maroc.</t>
  </si>
  <si>
    <t>Fixy</t>
  </si>
  <si>
    <t>Socle</t>
  </si>
  <si>
    <t>luca.fixy@soclecollections.com</t>
  </si>
  <si>
    <t>http://www.linkedin.com/in/luca-fixy</t>
  </si>
  <si>
    <t>http://www.soclecollections.com</t>
  </si>
  <si>
    <t xml:space="preserve">Socle is a Paris-based creative tech studio and
production house. We design and produce
digital assets and online experiences for
international brands and cultural institutions.</t>
  </si>
  <si>
    <t xml:space="preserve">OPAL Consulting</t>
  </si>
  <si>
    <t>jmpascal@opal-consulting.fr</t>
  </si>
  <si>
    <t>http://www.linkedin.com/in/jean-michel-pascal-364a081</t>
  </si>
  <si>
    <t>http://www.opal-consulting.fr</t>
  </si>
  <si>
    <t xml:space="preserve">138 Rue Cardinet, Paris, Ile-de-France, France, 75017</t>
  </si>
  <si>
    <t xml:space="preserve">Spécialiste de la Relation Client, notre cabinet de conseil vous accompagne dans vos projets de Service Client, Marketing Relationnel et Data &amp; Pilotage.</t>
  </si>
  <si>
    <t xml:space="preserve">Groupe Edifia</t>
  </si>
  <si>
    <t>bertrand.mary@groupe-edifia.fr</t>
  </si>
  <si>
    <t>http://www.linkedin.com/in/bertrand-mary-24568680</t>
  </si>
  <si>
    <t>http://www.edifia.fr</t>
  </si>
  <si>
    <t>Saint-Nazaire</t>
  </si>
  <si>
    <t xml:space="preserve">Campbon, Pays de la Loire, France, 44750</t>
  </si>
  <si>
    <t xml:space="preserve">EDIFIA accompagne les entreprises dans le développement de leurs performances managériales et commerciales. Notre métier, nous le faisons avec passion, exigence et audace, dans un état d'esprit ... vraiment différent !</t>
  </si>
  <si>
    <t>Alaoui</t>
  </si>
  <si>
    <t xml:space="preserve">Co-Founder &amp; Software Development Director</t>
  </si>
  <si>
    <t>IACOM</t>
  </si>
  <si>
    <t>imad@iacom.fr</t>
  </si>
  <si>
    <t>http://www.linkedin.com/in/imad-mrani-alaoui-ab422145</t>
  </si>
  <si>
    <t>http://www.iacom.fr</t>
  </si>
  <si>
    <t xml:space="preserve">40 Rue de la Gare, Arcueil, Ile-de-France, France, 94110</t>
  </si>
  <si>
    <t>Vick</t>
  </si>
  <si>
    <t>Hayford</t>
  </si>
  <si>
    <t xml:space="preserve">Coéquipier Fondateur</t>
  </si>
  <si>
    <t xml:space="preserve">Changeons d'Allure</t>
  </si>
  <si>
    <t>vick@changeonsdallure.com</t>
  </si>
  <si>
    <t>http://www.linkedin.com/in/vickhayford</t>
  </si>
  <si>
    <t>http://www.changeonsdallure.fr</t>
  </si>
  <si>
    <t xml:space="preserve">Saint-Clement-de-Riviere, Languedoc-Roussillon, France</t>
  </si>
  <si>
    <t>Alan</t>
  </si>
  <si>
    <t>Muntadas</t>
  </si>
  <si>
    <t xml:space="preserve">Digital Salamander</t>
  </si>
  <si>
    <t>alan.muntadas@digitalsalamander.com</t>
  </si>
  <si>
    <t>http://www.linkedin.com/in/amuntadas</t>
  </si>
  <si>
    <t>http://www.digitalsalamander.com</t>
  </si>
  <si>
    <t xml:space="preserve">Antony, Ile-de-France, France, 92160</t>
  </si>
  <si>
    <t>Tellier</t>
  </si>
  <si>
    <t xml:space="preserve">PERFECTO GROUPE</t>
  </si>
  <si>
    <t>xavier.tellier@perfectogroupe.fr</t>
  </si>
  <si>
    <t>http://www.linkedin.com/in/xaviertellier</t>
  </si>
  <si>
    <t>http://www.perfectogroupe.fr</t>
  </si>
  <si>
    <t xml:space="preserve">1 Rue Royale, Saint-Cloud, Ile-de-France, France, 92210</t>
  </si>
  <si>
    <t xml:space="preserve">% %</t>
  </si>
  <si>
    <t>Monteux</t>
  </si>
  <si>
    <t xml:space="preserve">CEO &amp; Co founder</t>
  </si>
  <si>
    <t>GADSME</t>
  </si>
  <si>
    <t>guillaume.monteux@gadsme.com</t>
  </si>
  <si>
    <t>http://www.linkedin.com/in/guillaumemonteux</t>
  </si>
  <si>
    <t>http://www.gadsme.com</t>
  </si>
  <si>
    <t xml:space="preserve">65 Rue Condorcet, Paris, Ile-de-France, France, 75009</t>
  </si>
  <si>
    <t xml:space="preserve">Pristine in-game global advertising platform designed for the gaming and e-sports industries</t>
  </si>
  <si>
    <t>Tremeau</t>
  </si>
  <si>
    <t>PEINTA</t>
  </si>
  <si>
    <t>olivier.tremeau@peinta.com</t>
  </si>
  <si>
    <t>http://www.linkedin.com/in/olivier-tremeau-01886185</t>
  </si>
  <si>
    <t>http://www.peinta.com</t>
  </si>
  <si>
    <t xml:space="preserve">Rue de l'Industrie, Creuzier-le-Vieux, Auvergne-Rhone-Alpes, France, 03300</t>
  </si>
  <si>
    <t xml:space="preserve">Depuis plus de 50 ans, PEINTA accompagne ses clients dans leurs besoins d’équipements électrotechniques spécifiques prévus pour fonctionner en environnement exigeant.</t>
  </si>
  <si>
    <t>Girardier</t>
  </si>
  <si>
    <t>AidImpact</t>
  </si>
  <si>
    <t>pierre.girardier@aidimpact.com</t>
  </si>
  <si>
    <t>http://www.linkedin.com/in/pierregirardier</t>
  </si>
  <si>
    <t>http://www.aidimpact.com</t>
  </si>
  <si>
    <t xml:space="preserve">77 Allee de Brienne, Toulouse, Occitanie, France, 31000</t>
  </si>
  <si>
    <t xml:space="preserve">SOFTWARE AT THE SERVICE OF SOLIDARITYOur solution, AidPortfolio, supports development actors during the different phases of the project cycle, from initial selection to final evaluation. AidPortfolio makes it possible to harmonize project monitoring processes and to define associated measurement indicators. request a demo Solutions tailored to your industry We work with many clients involved in the</t>
  </si>
  <si>
    <t>Hamadi</t>
  </si>
  <si>
    <t xml:space="preserve">Agence BRADFORD</t>
  </si>
  <si>
    <t>hhamadi@agence-bradford.com</t>
  </si>
  <si>
    <t>http://www.linkedin.com/in/h%c3%a9l%c3%a8ne-hamadi-03901b5</t>
  </si>
  <si>
    <t>http://www.agence-bradford.com</t>
  </si>
  <si>
    <t xml:space="preserve">25 Rue Clement Ader, Lille, Hauts-de-France, France, 59000</t>
  </si>
  <si>
    <t xml:space="preserve">Nous imaginons tous les parcours client pour créer et déployer une expérience client forte, unique et génératrice de business.</t>
  </si>
  <si>
    <t>Bessis</t>
  </si>
  <si>
    <t xml:space="preserve">Co-founder &amp; Chairman myprm</t>
  </si>
  <si>
    <t>MyPRM</t>
  </si>
  <si>
    <t>richard@myprm.com</t>
  </si>
  <si>
    <t>http://www.linkedin.com/in/richard-bessis-726a151</t>
  </si>
  <si>
    <t>http://www.myprm.com</t>
  </si>
  <si>
    <t xml:space="preserve">6 Rue du General Clergerie, Paris, Ile-de-France, France, 75116</t>
  </si>
  <si>
    <t>ELSYLOG</t>
  </si>
  <si>
    <t>florent.daniel@elsylog.com</t>
  </si>
  <si>
    <t>http://www.linkedin.com/in/florent-daniel-377b13bb</t>
  </si>
  <si>
    <t>http://www.elsylog.com</t>
  </si>
  <si>
    <t xml:space="preserve">Denestanville, Normandy, France, 76590</t>
  </si>
  <si>
    <t xml:space="preserve">Découvrez les solutions de contrôle d'accès et de gestion des temps d'Elsylog, éditeur et fabricant français depuis 30 ans.</t>
  </si>
  <si>
    <t>Mailloc</t>
  </si>
  <si>
    <t xml:space="preserve">MASTER TECHNOLOGIE</t>
  </si>
  <si>
    <t>a.mailloc@master-technologie.com</t>
  </si>
  <si>
    <t>http://www.linkedin.com/in/arnaud-mailloc-0050421a8</t>
  </si>
  <si>
    <t>http://www.mastertechnologie.fr</t>
  </si>
  <si>
    <t>Brueil-en-Vexin</t>
  </si>
  <si>
    <t xml:space="preserve">13 Rue de la Perdrix, Villepinte, Ile-de-France, France, 93420</t>
  </si>
  <si>
    <t xml:space="preserve">Depuis 1999, Master Technologie est le spécialiste de la maintenance informatique &amp; monétique.</t>
  </si>
  <si>
    <t>Bes</t>
  </si>
  <si>
    <t xml:space="preserve">Co Founder and CEO</t>
  </si>
  <si>
    <t xml:space="preserve">DooH it</t>
  </si>
  <si>
    <t>mikael@doohit.fr</t>
  </si>
  <si>
    <t>http://www.linkedin.com/in/mikaelbes</t>
  </si>
  <si>
    <t>http://www.doohit.fr</t>
  </si>
  <si>
    <t xml:space="preserve">11 Rue de Lourmel, Paris, Ile-de-France, France, 75015</t>
  </si>
  <si>
    <t xml:space="preserve">DooH it est une régie publicitaire indoor qui vous propose de toucher vos audiences dans leurs quotidiens grâce à des solutions de communication innovantes.</t>
  </si>
  <si>
    <t>Mariani</t>
  </si>
  <si>
    <t xml:space="preserve">ERICA Informatique</t>
  </si>
  <si>
    <t>smariani@erica.fr</t>
  </si>
  <si>
    <t>http://www.linkedin.com/in/serge-mariani-1aa4a121b</t>
  </si>
  <si>
    <t>http://www.erica.fr</t>
  </si>
  <si>
    <t xml:space="preserve">81 Avenue Simone Veil, Nice, Provence-Alpes-Cote d'Azur, France, 06200</t>
  </si>
  <si>
    <t xml:space="preserve">Erica Informatique propose des solutions et services informatiques sur mesure pour les entreprises de la région PACA. Découvrez nos offres de maintenance, dépannage, sécurité, matériel et logiciel informatique.</t>
  </si>
  <si>
    <t>Ransu</t>
  </si>
  <si>
    <t>Salovaara</t>
  </si>
  <si>
    <t xml:space="preserve">CEO at Likvidi</t>
  </si>
  <si>
    <t>TokenBuilder</t>
  </si>
  <si>
    <t>ransu@likvidi.com</t>
  </si>
  <si>
    <t>http://www.linkedin.com/in/ransu</t>
  </si>
  <si>
    <t>http://www.tokenbuilder.ai</t>
  </si>
  <si>
    <t xml:space="preserve">Tampere, Pirkanmaa, Finland, 33870</t>
  </si>
  <si>
    <t>Finland</t>
  </si>
  <si>
    <t xml:space="preserve">TokenBuilder is an AI-powered research &amp; investing platform for investors and builders. Invest in next-generation AI Agents, tech tokens, and meme coins.</t>
  </si>
  <si>
    <t>CoFounder</t>
  </si>
  <si>
    <t>EarlyFund</t>
  </si>
  <si>
    <t>frobert@earlyfund.net</t>
  </si>
  <si>
    <t>http://www.linkedin.com/in/fredrobert</t>
  </si>
  <si>
    <t>http://www.flag.finance</t>
  </si>
  <si>
    <t xml:space="preserve">22 Rue de la Fontaine au Roi, Paris, Ile-de-France, France, 75011</t>
  </si>
  <si>
    <t>Soufian</t>
  </si>
  <si>
    <t>Maate</t>
  </si>
  <si>
    <t>OverSOC</t>
  </si>
  <si>
    <t>smaate@oversoc.com</t>
  </si>
  <si>
    <t>http://www.linkedin.com/in/soufian-maat%c3%a9-786b01a4</t>
  </si>
  <si>
    <t>http://www.oversoc.com</t>
  </si>
  <si>
    <t xml:space="preserve">OverSOC est un logiciel de cybersécurité CAASM qui vous permet d'agréger et de corréler rapidement les données provenant de vos autres outils de cybersécurité : gestion des actifs, gestion des vulnérabilités, détection et réponse des incidents, etc.</t>
  </si>
  <si>
    <t>Wanty</t>
  </si>
  <si>
    <t>BEVOLTA</t>
  </si>
  <si>
    <t>c.wanty@bevolta.com</t>
  </si>
  <si>
    <t>http://www.linkedin.com/in/camille-wanty-1422863a</t>
  </si>
  <si>
    <t>http://www.bevolta.com</t>
  </si>
  <si>
    <t xml:space="preserve">16 Rue d'Athenes, Paris, Ile-de-France, France, 75009</t>
  </si>
  <si>
    <t xml:space="preserve">BEVOLTA est une solution agile, évolutive et ergonomique qui aide les entreprises à mieux piloter leurs flux pour répondre au plus près du besoin client.</t>
  </si>
  <si>
    <t>Teil</t>
  </si>
  <si>
    <t xml:space="preserve">Co-founder TWISE</t>
  </si>
  <si>
    <t xml:space="preserve">TWISE SAS</t>
  </si>
  <si>
    <t>xavier.teil@twise.fr</t>
  </si>
  <si>
    <t>http://www.linkedin.com/in/xavier-teil-b192694</t>
  </si>
  <si>
    <t>http://www.twise.fr</t>
  </si>
  <si>
    <t xml:space="preserve">1120 Route de Gemenos, Aubagne, Provence-Alpes-Cote d'Azur, France, 13400</t>
  </si>
  <si>
    <t>Davy</t>
  </si>
  <si>
    <t>Douhine</t>
  </si>
  <si>
    <t xml:space="preserve">Founder &amp; IT Security Consultant</t>
  </si>
  <si>
    <t>RandoriSec</t>
  </si>
  <si>
    <t>davy@randorisec.fr</t>
  </si>
  <si>
    <t>http://www.linkedin.com/in/%e2%96%ab%ef%b8%8fdavy-douhine%e2%96%ab%ef%b8%8f-6a041b13</t>
  </si>
  <si>
    <t>http://www.randorisec.fr</t>
  </si>
  <si>
    <t xml:space="preserve">16 Boulevard de Sebastopol, Paris, Ile-de-France, France, 75004</t>
  </si>
  <si>
    <t xml:space="preserve">RandoriSec is a human sized security company providing tailored solutions to the specific needs and requirements of its clients.</t>
  </si>
  <si>
    <t xml:space="preserve">Consultant, président</t>
  </si>
  <si>
    <t xml:space="preserve">Agence Altimax</t>
  </si>
  <si>
    <t>pbrunet@altimax.com</t>
  </si>
  <si>
    <t>http://www.linkedin.com/in/philippe-brunet-53571a1a</t>
  </si>
  <si>
    <t>http://www.altimax.com</t>
  </si>
  <si>
    <t xml:space="preserve">21 Rue Andromede, Chavanod, Rhone-Alpes, France, 74650</t>
  </si>
  <si>
    <t xml:space="preserve">Stratégie &amp; créations digitales, Annecy - Genève. Conception et développement site web e-commerce, stratégie digitale, création UX, Réalisation Film</t>
  </si>
  <si>
    <t>Pierre-Edouard</t>
  </si>
  <si>
    <t>Montabrun</t>
  </si>
  <si>
    <t>Greenscope</t>
  </si>
  <si>
    <t>pierreedouard@greenscope.io</t>
  </si>
  <si>
    <t>http://www.linkedin.com/in/pemontabrun</t>
  </si>
  <si>
    <t>http://www.greenscope.io</t>
  </si>
  <si>
    <t xml:space="preserve">Optimize your ESG data management and CSRD compliance with Greenscope. Designed for companies, investors, and financial institutions, our platform and expert team ensure seamless regulatory alignment and boost sustainability performance.</t>
  </si>
  <si>
    <t>Thiaudiere</t>
  </si>
  <si>
    <t>eParts'​</t>
  </si>
  <si>
    <t>damien@eparts.fr</t>
  </si>
  <si>
    <t>http://www.linkedin.com/in/damien-thiaudiere-25042272</t>
  </si>
  <si>
    <t>http://www.eparts.fr</t>
  </si>
  <si>
    <t>Bobigny</t>
  </si>
  <si>
    <t xml:space="preserve">16 Rue Rene Goscinny, Bobigny, Ile-de-France, France, 93000</t>
  </si>
  <si>
    <t>Couge</t>
  </si>
  <si>
    <t xml:space="preserve">mediaclinic (revendre</t>
  </si>
  <si>
    <t>philippe.couge@mediaclinic.fr</t>
  </si>
  <si>
    <t>http://www.linkedin.com/in/philippecouge</t>
  </si>
  <si>
    <t>http://www.mediaclinic.fr</t>
  </si>
  <si>
    <t>Beaucouze</t>
  </si>
  <si>
    <t xml:space="preserve">9 Rue Michael Faraday, Beaucouze, Pays de la Loire, France, 49070</t>
  </si>
  <si>
    <t xml:space="preserve">Mediaclinic s'occupe de la réparation de votre iPhone, smartphone, ordinateur, etc | Achetez et revendez des produits reconditionnés en occasion premium pas cher.</t>
  </si>
  <si>
    <t>Mussetta</t>
  </si>
  <si>
    <t xml:space="preserve">MEDICAL EDUCATION CORPUS</t>
  </si>
  <si>
    <t>renaud.mussetta@meded-corpus.com</t>
  </si>
  <si>
    <t>http://www.linkedin.com/in/renaudmussetta</t>
  </si>
  <si>
    <t>http://www.medicaleducationcorpus.com</t>
  </si>
  <si>
    <t>Anselin</t>
  </si>
  <si>
    <t xml:space="preserve">Flying Cars Collective</t>
  </si>
  <si>
    <t>guillaume@flyingcarscollective.com</t>
  </si>
  <si>
    <t>http://www.linkedin.com/in/anselin</t>
  </si>
  <si>
    <t>http://www.flyingcarscollective.com</t>
  </si>
  <si>
    <t xml:space="preserve">50 Rue Jean-Jacques Rousseau, Paris, Ile-de-France, France, 75001</t>
  </si>
  <si>
    <t xml:space="preserve">Notre mission ? Révéler le remarquable de chaque projet pour créer une valeur économique, sociale et opérationnelle plus forte !</t>
  </si>
  <si>
    <t>Assal</t>
  </si>
  <si>
    <t xml:space="preserve">WAS LIGHT</t>
  </si>
  <si>
    <t>rudyassal@waslight.fr</t>
  </si>
  <si>
    <t>http://www.linkedin.com/in/rudy-assal-08a0a416</t>
  </si>
  <si>
    <t>http://www.waslight.fr</t>
  </si>
  <si>
    <t xml:space="preserve">13 Boulevard Edmond Michelet, Lyon, Auvergne-Rhone-Alpes, France, 69008</t>
  </si>
  <si>
    <t xml:space="preserve">Waslight est spécialisé dans la fabrication de film électroluminescent pour décoration et animation de vitrine sur Lyon et partout en France. Demandez votre Devis !</t>
  </si>
  <si>
    <t>Gomez</t>
  </si>
  <si>
    <t xml:space="preserve">PDG chez Phone Partners</t>
  </si>
  <si>
    <t xml:space="preserve">Phone Partners MDL</t>
  </si>
  <si>
    <t>p.gomez@phone-partners.fr</t>
  </si>
  <si>
    <t>http://www.linkedin.com/in/patrick-gomez-699746257</t>
  </si>
  <si>
    <t>http://www.phone-partners.fr</t>
  </si>
  <si>
    <t xml:space="preserve">Phone Partners : agence lyonnaise de conseil commercial. Expert en prospection commerciale BtoB et multicanale, générateur de rdv qualifiés.</t>
  </si>
  <si>
    <t>Sam</t>
  </si>
  <si>
    <t>Hassar</t>
  </si>
  <si>
    <t>sam@random-coffee.com</t>
  </si>
  <si>
    <t>http://www.linkedin.com/in/sam-hassar-b9331784</t>
  </si>
  <si>
    <t>http://www.random-coffee.com</t>
  </si>
  <si>
    <t xml:space="preserve">5 Rue Eugene Freyssinet, Paris, Ile-de-France, France, 75013</t>
  </si>
  <si>
    <t xml:space="preserve">RandomCoffee is a software solution that creates smart, automated &amp; regular connections between your employees.</t>
  </si>
  <si>
    <t>Gomme</t>
  </si>
  <si>
    <t xml:space="preserve">Sogo Com</t>
  </si>
  <si>
    <t>sophie@sogocom.fr</t>
  </si>
  <si>
    <t>http://www.linkedin.com/in/sophiegomme</t>
  </si>
  <si>
    <t>http://www.sogocom.fr</t>
  </si>
  <si>
    <t xml:space="preserve">Allee du Parmelan, Metz-Tessy, Auvergne-Rhone-Alpes, France, 74370</t>
  </si>
  <si>
    <t xml:space="preserve">Sogo Com, votre agence de communication à Annecy et dans les Alpes. Découvrez nos services et nos réalisations.</t>
  </si>
  <si>
    <t>Clouard</t>
  </si>
  <si>
    <t xml:space="preserve">CEO and co-founder</t>
  </si>
  <si>
    <t>jbc@flowlity.com</t>
  </si>
  <si>
    <t>http://www.linkedin.com/in/jean-baptiste-clouard-4208b125</t>
  </si>
  <si>
    <t>http://www.flowlity.com</t>
  </si>
  <si>
    <t xml:space="preserve">96 Boulevard Raspail, Paris, Ile-de-France, France, 75006</t>
  </si>
  <si>
    <t>Chapis</t>
  </si>
  <si>
    <t xml:space="preserve">Co-founder / Partner Financial Services</t>
  </si>
  <si>
    <t>Valthena</t>
  </si>
  <si>
    <t>nchapis@valthena.com</t>
  </si>
  <si>
    <t>http://www.linkedin.com/in/nicolas-chapis-104624</t>
  </si>
  <si>
    <t>http://www.valthena.com</t>
  </si>
  <si>
    <t xml:space="preserve">31 Cite d'Antin, Paris, Ile-de-France, France, 75009</t>
  </si>
  <si>
    <t xml:space="preserve">Valthena Business leaders and COO’s preferred consultants</t>
  </si>
  <si>
    <t>Andy</t>
  </si>
  <si>
    <t>Black</t>
  </si>
  <si>
    <t>Jimo</t>
  </si>
  <si>
    <t>andy@usejimo.com</t>
  </si>
  <si>
    <t>http://www.linkedin.com/in/andy-mpondo-black-a44184115</t>
  </si>
  <si>
    <t>http://www.usejimo.com</t>
  </si>
  <si>
    <t xml:space="preserve">Accelerate user adoption with Jimo’s powerful no-code platform. Build product tours,
surveys, tooltips, and much more to enhance onboarding and retention. Try for free today!</t>
  </si>
  <si>
    <t>ACTIV'IT</t>
  </si>
  <si>
    <t>n.ferrand@activit.fr</t>
  </si>
  <si>
    <t>http://www.linkedin.com/in/nicolas-ferrand-b04ab040</t>
  </si>
  <si>
    <t>http://www.activit.fr</t>
  </si>
  <si>
    <t xml:space="preserve">Le revendeur Sage Activ’IT, propose aux PME &amp; PMI de tous secteurs d'activité des logiciels de gestion d'entreprise (gestion de paie, commerciale, comptabilité…)</t>
  </si>
  <si>
    <t>Cirio</t>
  </si>
  <si>
    <t xml:space="preserve">Founder, Senior Research Scientist</t>
  </si>
  <si>
    <t>SEDDI</t>
  </si>
  <si>
    <t>gabriel.cirio@seddi.com</t>
  </si>
  <si>
    <t>http://www.linkedin.com/in/gabriel-cirio-2636b0193</t>
  </si>
  <si>
    <t>http://www.seddi.com</t>
  </si>
  <si>
    <t xml:space="preserve">24 Calle de Tellez, Madrid, Community of Madrid, Spain, 28007</t>
  </si>
  <si>
    <t>Sely</t>
  </si>
  <si>
    <t xml:space="preserve">Co-founder &amp; President</t>
  </si>
  <si>
    <t>ESCOBE</t>
  </si>
  <si>
    <t>fabrice.sely@escobe.com</t>
  </si>
  <si>
    <t>http://www.linkedin.com/in/fabrice-sely-16a32317a</t>
  </si>
  <si>
    <t>http://www.escobe.com</t>
  </si>
  <si>
    <t xml:space="preserve">Trouvez votre match dans l'univers de la beauté avec EsCoBe ! La première plateforme en ligne dédiée aux professionnels indépendants et aux salons de coiffure, instituts, spas et espaces de coworking beauté. Découvrez un monde d'opportunités où talents et besoins se rencontrent. Notre application révolutionnaire facilite la mise en relation, propose des missions sur mesure, la location d'espaces, un réseau social professionnel, des ventes privées, et bien plus encore. Devenez une partie de notre communauté prospère et vivez pleinement votre passion pour la beauté. Téléchargez EsCoBe Pro dès maintenant et transformez votre quotidien professionnel !</t>
  </si>
  <si>
    <t>Cindy</t>
  </si>
  <si>
    <t>Spaziani</t>
  </si>
  <si>
    <t xml:space="preserve">CEO MyCoach PRO</t>
  </si>
  <si>
    <t xml:space="preserve">MyCoach Pro</t>
  </si>
  <si>
    <t>c.spaziani@mycoachsport.com</t>
  </si>
  <si>
    <t>http://www.linkedin.com/in/cindy-spaziani-51546918</t>
  </si>
  <si>
    <t>http://www.mycoach.pro</t>
  </si>
  <si>
    <t xml:space="preserve">Boulevard des Jardiniers, Nice, Provence-Alpes-Cote d'Azur, France, 06200</t>
  </si>
  <si>
    <t xml:space="preserve">My Coach Pro est la plateforme collaborative des clubs professionnels. Initialement conçue pour répondre aux besoins des staffs sportifs, elle est aujourd'hui destinée à toutes les composantes d'un club.</t>
  </si>
  <si>
    <t xml:space="preserve">Co-fondateur Président / Consultant AR VR</t>
  </si>
  <si>
    <t>Virtuallyz</t>
  </si>
  <si>
    <t>aleveque@virtuallyz.com</t>
  </si>
  <si>
    <t>http://www.linkedin.com/in/aur%c3%a9lien-l%c3%a9v%c3%aaque-3633606a</t>
  </si>
  <si>
    <t>http://www.virtuallyz.com</t>
  </si>
  <si>
    <t xml:space="preserve">Chemin de la Madrague Ville, Marseille, Provence-Alpes-Cote d'Azur, France, 13015</t>
  </si>
  <si>
    <t xml:space="preserve">Agence spécialisée dans les technologies immersives AR / VR / XR au service de la formation, la communication et l'industrie 4.0</t>
  </si>
  <si>
    <t xml:space="preserve">ADINVEST Network</t>
  </si>
  <si>
    <t>jpons@adinvest-international.eu</t>
  </si>
  <si>
    <t>http://www.linkedin.com/in/jacques-pons-b88b91128</t>
  </si>
  <si>
    <t>http://www.adinvestnetwork.com</t>
  </si>
  <si>
    <t xml:space="preserve">27 Avenue de l'Opera, Paris, Ile-de-France, France, 75001</t>
  </si>
  <si>
    <t>Bonin</t>
  </si>
  <si>
    <t xml:space="preserve">Directeur général - Fondateur</t>
  </si>
  <si>
    <t>Vialife</t>
  </si>
  <si>
    <t>mbonin@viapresse.com</t>
  </si>
  <si>
    <t>http://www.linkedin.com/in/maxime-bonin-23b15a40</t>
  </si>
  <si>
    <t>http://www.vialife.fr</t>
  </si>
  <si>
    <t xml:space="preserve">7 Impasse Marie Blanche, Paris, Ile-de-France, France, 75018</t>
  </si>
  <si>
    <t>Chevallier</t>
  </si>
  <si>
    <t xml:space="preserve">Co-Founder / SAP Consultant FI-CO</t>
  </si>
  <si>
    <t>EVOLIO</t>
  </si>
  <si>
    <t>aymeric.chevallier@evolioconsulting.fr</t>
  </si>
  <si>
    <t>http://www.linkedin.com/in/aymeric-chevallier-9826294b</t>
  </si>
  <si>
    <t>http://www.evolioconsulting.fr</t>
  </si>
  <si>
    <t>Prioul</t>
  </si>
  <si>
    <t xml:space="preserve">CTO &amp; co-founder</t>
  </si>
  <si>
    <t>XPerience.immo</t>
  </si>
  <si>
    <t>adrien@xp.immo</t>
  </si>
  <si>
    <t>http://www.linkedin.com/in/adrienprioul</t>
  </si>
  <si>
    <t>http://www.xp.immo</t>
  </si>
  <si>
    <t xml:space="preserve">2 Rue Marc Sangnier, Begles, Aquitaine, France, 33130</t>
  </si>
  <si>
    <t>Leblanc-Barbedienne</t>
  </si>
  <si>
    <t xml:space="preserve">Conseiller du président</t>
  </si>
  <si>
    <t>Whaller</t>
  </si>
  <si>
    <t>bertrand@whaller.com</t>
  </si>
  <si>
    <t>http://www.linkedin.com/in/barbedienne</t>
  </si>
  <si>
    <t>http://www.whaller.com</t>
  </si>
  <si>
    <t xml:space="preserve">3 Rue Salomon de Rothschild, Suresnes, Ile-de-France, France, 92150</t>
  </si>
  <si>
    <t xml:space="preserve">Build your own collaborative and social networks to faciliate communication and teamwork.</t>
  </si>
  <si>
    <t xml:space="preserve">Pierre Laporte Communication</t>
  </si>
  <si>
    <t>pierre@pierre-laporte.com</t>
  </si>
  <si>
    <t>http://www.linkedin.com/in/pierre-laporte-b10809176</t>
  </si>
  <si>
    <t>http://www.pierre-laporte.com</t>
  </si>
  <si>
    <t xml:space="preserve">51 Rue des Petites Ecuries, Paris, Ile-de-France, France, 75010</t>
  </si>
  <si>
    <t>Rabin</t>
  </si>
  <si>
    <t xml:space="preserve">Co-founder / directeur commercial</t>
  </si>
  <si>
    <t>DOOD</t>
  </si>
  <si>
    <t>arabin@dood.com</t>
  </si>
  <si>
    <t>http://www.linkedin.com/in/antoine-rabin-724917114</t>
  </si>
  <si>
    <t>http://www.dood.com</t>
  </si>
  <si>
    <t>Caluire-et-Cuire</t>
  </si>
  <si>
    <t xml:space="preserve">66 Cours Charlemagne, Lyon, Auvergne-Rhone-Alpes, France, 69002</t>
  </si>
  <si>
    <t>Barraud</t>
  </si>
  <si>
    <t>CADS-UP</t>
  </si>
  <si>
    <t>pierrick.barraud@cads-up.com</t>
  </si>
  <si>
    <t>http://www.linkedin.com/in/pierrick-barraud-a2014921</t>
  </si>
  <si>
    <t>http://www.cads-up.com</t>
  </si>
  <si>
    <t xml:space="preserve">5 Avenue Carnot, Massy, Ile-de-France, France, 91300</t>
  </si>
  <si>
    <t>Goin</t>
  </si>
  <si>
    <t xml:space="preserve">Campus Numérique Montereau</t>
  </si>
  <si>
    <t>pascal.goin@cn-montereau.fr</t>
  </si>
  <si>
    <t>http://www.linkedin.com/in/pascal-goin-267441132</t>
  </si>
  <si>
    <t>http://www.campus-numerique-montereau.fr</t>
  </si>
  <si>
    <t xml:space="preserve">5 Rue du Chatelet, Montereau, Ile-de-France, France, 77130</t>
  </si>
  <si>
    <t xml:space="preserve">Formez-vous aux métiers des télécoms. Le Campus Numérique de Montereau propose des formations certifiantes pour une insertion réussie.</t>
  </si>
  <si>
    <t>Benoit-Marie</t>
  </si>
  <si>
    <t>Flach</t>
  </si>
  <si>
    <t xml:space="preserve">CEO &amp; Co Founder</t>
  </si>
  <si>
    <t>Ksaar</t>
  </si>
  <si>
    <t>benoit-marie.flach@ksaar.co</t>
  </si>
  <si>
    <t>http://www.linkedin.com/in/bmflach</t>
  </si>
  <si>
    <t>http://www.ksaar.com</t>
  </si>
  <si>
    <t xml:space="preserve">Développez vous-même vos propres applications et logiciels sur-mesure, sans coder. Plateforme no code 100% française</t>
  </si>
  <si>
    <t xml:space="preserve">Atelier Jean-Loup Bouvier</t>
  </si>
  <si>
    <t>g.pourchet@atelierbouvier.com</t>
  </si>
  <si>
    <t>http://www.linkedin.com/in/gauthier-pourchet-702094155</t>
  </si>
  <si>
    <t>http://www.atelierbouvier.com</t>
  </si>
  <si>
    <t xml:space="preserve">9 Rue du Ponant, Les Angles, Occitanie, France, 30133</t>
  </si>
  <si>
    <t xml:space="preserve">ATELIER JEAN-LOUP BOUVIER     
Notre atelier intervient depuis des décennies dans 3 domaines:
- La sculpture statuaire et ornementale
- La restauration de sculpture
- Le staff, la gypserie et le moulage
Ces trois savoir-faire très complémentaires nous permettent d'intervenir aussi bien auprès de clients privés que publics. Nos capacités, bureaux d'études, outils de travail, qualité</t>
  </si>
  <si>
    <t>Folleau</t>
  </si>
  <si>
    <t>SATODEV</t>
  </si>
  <si>
    <t>cyrille.folleau@satodev.fr</t>
  </si>
  <si>
    <t>http://www.linkedin.com/in/cfolleau</t>
  </si>
  <si>
    <t>http://www.satodev.com</t>
  </si>
  <si>
    <t>Burgevin</t>
  </si>
  <si>
    <t xml:space="preserve">Co-fondateur, Réalisateur, directeur de création</t>
  </si>
  <si>
    <t>SkyBoy</t>
  </si>
  <si>
    <t>vburgevin@sky-boy.com</t>
  </si>
  <si>
    <t>http://www.linkedin.com/in/vburgevin</t>
  </si>
  <si>
    <t>http://www.overlap-factory.com</t>
  </si>
  <si>
    <t>Pernot</t>
  </si>
  <si>
    <t xml:space="preserve">Président Fondateur - Directeur de création</t>
  </si>
  <si>
    <t xml:space="preserve">Soon </t>
  </si>
  <si>
    <t>gautier@so-linked.com</t>
  </si>
  <si>
    <t>http://www.linkedin.com/in/graphissime</t>
  </si>
  <si>
    <t>http://www.so-linked.com</t>
  </si>
  <si>
    <t xml:space="preserve">26 Avenue Herge, Chessy, Ile-de-France, France, 77700</t>
  </si>
  <si>
    <t>Rachel</t>
  </si>
  <si>
    <t>Bonne</t>
  </si>
  <si>
    <t xml:space="preserve">Founder et dirigeant</t>
  </si>
  <si>
    <t xml:space="preserve">VR CONSEIL</t>
  </si>
  <si>
    <t>rachel.bonne@vrconseil.com</t>
  </si>
  <si>
    <t>http://www.linkedin.com/in/rachelbonne</t>
  </si>
  <si>
    <t>http://www.vrconseil.com</t>
  </si>
  <si>
    <t xml:space="preserve">15 Rue Henry Monnier, Paris, Ile-de-France, France, 75009</t>
  </si>
  <si>
    <t xml:space="preserve">VR Conseil | Société de conseil et d’ingénierie en systèmes d’information, spécialisée dans les métiers de la Banque et de la Finance de Marché</t>
  </si>
  <si>
    <t>Riberolle</t>
  </si>
  <si>
    <t xml:space="preserve">Co-Fondateur - Head of Growth</t>
  </si>
  <si>
    <t>Metalyde</t>
  </si>
  <si>
    <t>paul.riberolle@metalyde.com</t>
  </si>
  <si>
    <t>http://www.linkedin.com/in/paul-riberolle-037b4b173</t>
  </si>
  <si>
    <t>http://www.metalyde.com</t>
  </si>
  <si>
    <t xml:space="preserve">21 Boulevard Haussmann, Paris, Ile-de-France, France, 75009</t>
  </si>
  <si>
    <t xml:space="preserve">Metalyde est un studio spécialisé dans la growth. Notre spécialité ? Créer des histoires d’amour entre vos clients et votre marque. Nous sommes convaincus que la croissance va bien au-delà de la simple acquisition de nouveaux clients ; elle implique surtout de chérir ceux que vous avez déjà, la rétention. Forts de l'appui de plus de 40 marques, nous avons déjà généré plus 50 millions d'euros pour nos clients. Vous avez frappé à la bonne porte pour briser votre plafond de verre SEA, SMA, Fidélité</t>
  </si>
  <si>
    <t>Coudac</t>
  </si>
  <si>
    <t>theo.lion@coudac.com</t>
  </si>
  <si>
    <t>http://www.linkedin.com/in/th%c3%a9o-lion-25108812a</t>
  </si>
  <si>
    <t>http://www.coudac.com</t>
  </si>
  <si>
    <t xml:space="preserve">8 Avenue de l'Europe, Sevres, Ile-de-France, France, 92310</t>
  </si>
  <si>
    <t xml:space="preserve">Confiez votre stratégie d'acquisition à Coudac, la 1ère agence 100% remote formée aux méthodes publicitaires qui brisent les plafonds de verre</t>
  </si>
  <si>
    <t>INTERCONSULT</t>
  </si>
  <si>
    <t>bernard.fontaine@interconsult.fr</t>
  </si>
  <si>
    <t>http://www.linkedin.com/in/bernard-fontaine-7a20442b</t>
  </si>
  <si>
    <t>http://www.interconsult.fr</t>
  </si>
  <si>
    <t xml:space="preserve">Chemin de Saint-Lambert, La Penne-sur-Huveaune, Provence-Alpes-Cote d'Azur, France, 13821</t>
  </si>
  <si>
    <t xml:space="preserve">Découvrez les solutions numériques adaptées aux établissements du secteur social et médico-social : DUI, Gestion Financière, Paie et RH.</t>
  </si>
  <si>
    <t>Jean-Frederic</t>
  </si>
  <si>
    <t xml:space="preserve">Fondateur - Directeur de création</t>
  </si>
  <si>
    <t>EVOL</t>
  </si>
  <si>
    <t>jf-schmitt@studio-evol.fr</t>
  </si>
  <si>
    <t>http://www.linkedin.com/in/jean-fr%c3%a9d%c3%a9ric-schmitt-07446837</t>
  </si>
  <si>
    <t>http://www.evol.energy</t>
  </si>
  <si>
    <t xml:space="preserve">5400 Avenida Apoquindo, Las Condes, Region Metropolitana, Chile, 7550000</t>
  </si>
  <si>
    <t>Chile</t>
  </si>
  <si>
    <t>Menanteau</t>
  </si>
  <si>
    <t>paul@getwelcom.com</t>
  </si>
  <si>
    <t>http://www.linkedin.com/in/paul-menanteau-5307b8109</t>
  </si>
  <si>
    <t>http://www.getwelcom.com</t>
  </si>
  <si>
    <t>dimitri@thebigwhale.io</t>
  </si>
  <si>
    <t>http://www.linkedin.com/in/grangerdimitri</t>
  </si>
  <si>
    <t>http://www.thebigwhale.io</t>
  </si>
  <si>
    <t>Lautredou</t>
  </si>
  <si>
    <t xml:space="preserve">The Room</t>
  </si>
  <si>
    <t>tlautredou@thefork.com</t>
  </si>
  <si>
    <t>http://www.linkedin.com/in/thomas-lautr%c3%a9dou-b19b7597</t>
  </si>
  <si>
    <t>http://www.theroom.vip</t>
  </si>
  <si>
    <t>Armen</t>
  </si>
  <si>
    <t>Taghakian</t>
  </si>
  <si>
    <t xml:space="preserve">Dirigeant Co-fondateur &amp; Consultant en transformation numérique</t>
  </si>
  <si>
    <t>CompozIT</t>
  </si>
  <si>
    <t>armen.taghakian@compozit.fr</t>
  </si>
  <si>
    <t>http://www.linkedin.com/in/armen-taghakian</t>
  </si>
  <si>
    <t>http://www.compozit.fr</t>
  </si>
  <si>
    <t xml:space="preserve">24 Rue Laporte, Lyon, Auvergne-Rhone-Alpes, France, 69009</t>
  </si>
  <si>
    <t>Jouni</t>
  </si>
  <si>
    <t>Viinikka</t>
  </si>
  <si>
    <t xml:space="preserve">Head of Research, Co-founder</t>
  </si>
  <si>
    <t xml:space="preserve">6cure SAS</t>
  </si>
  <si>
    <t>jouni.viinikka@6cure.com</t>
  </si>
  <si>
    <t>http://www.linkedin.com/in/jouni-viinikka-4471ba</t>
  </si>
  <si>
    <t>http://www.6cure.com</t>
  </si>
  <si>
    <t xml:space="preserve">701 Rue Leon Foucault, Herouville-Saint-Clair, Lower Normandy, France, 14200</t>
  </si>
  <si>
    <t xml:space="preserve">Protégez votre entreprise dès maintenant avec nos solutions anti DDoS ! Depuis 2010, 6cure protège les réseaux de grands groupes en France et à l'étranger.</t>
  </si>
  <si>
    <t>Mullon</t>
  </si>
  <si>
    <t xml:space="preserve">CREAZUR FRANCE</t>
  </si>
  <si>
    <t>laurent@creazurfrance.fr</t>
  </si>
  <si>
    <t>http://www.linkedin.com/in/laurent-mullon-98b33815</t>
  </si>
  <si>
    <t>http://www.creazurpro.com</t>
  </si>
  <si>
    <t xml:space="preserve">Sainte-Soulle, Nouvelle-Aquitaine, France, 17220</t>
  </si>
  <si>
    <t xml:space="preserve">Commandez en ligne tous les articles cuisine et salle de bains. Tarifs réservés aux professionnels du bâtiment. Stock disponible. Livraison dans toute la France.</t>
  </si>
  <si>
    <t>Henrot</t>
  </si>
  <si>
    <t xml:space="preserve">co-fondateur de OTAREE</t>
  </si>
  <si>
    <t>Otaree</t>
  </si>
  <si>
    <t>s.henrot@otaree.com</t>
  </si>
  <si>
    <t>http://www.linkedin.com/in/s%c3%a9bastien-henrot</t>
  </si>
  <si>
    <t>http://www.otaree.com</t>
  </si>
  <si>
    <t xml:space="preserve">10 Rue des Rochettes, Saint-Etienne, Auvergne-Rhone-Alpes, France, 42100</t>
  </si>
  <si>
    <t xml:space="preserve">OTAREE - Plus qu'un Logiciel, PLATEFORME de commercialisation de l'immobilier neuf pour professionnels. ESSAI GRATUIT. Avis Trustscore 4,9 / 5</t>
  </si>
  <si>
    <t>Secondy</t>
  </si>
  <si>
    <t>Bipsoin</t>
  </si>
  <si>
    <t>sylvain.secondy@bipsoin.fr</t>
  </si>
  <si>
    <t>http://www.linkedin.com/in/sylvain-secondy</t>
  </si>
  <si>
    <t>http://www.bipsoin.fr</t>
  </si>
  <si>
    <t xml:space="preserve">Rond-Point Benjamin Franklin, Montpellier, Occitanie, France, 34000</t>
  </si>
  <si>
    <t xml:space="preserve">Bipsoin est la plateforme de mise en relation spécialisée dans le recrutement des personnels du médico-social et de la santé.Chaque jour, recevez et gérez des offres de missions qui vous correspondent !</t>
  </si>
  <si>
    <t>Sillegue</t>
  </si>
  <si>
    <t xml:space="preserve">Co-Fondateur GentleIT - CTO et Responsable pratique Infrastructure et Opérations</t>
  </si>
  <si>
    <t>GentleIT</t>
  </si>
  <si>
    <t>esillegue@gentleit.fr</t>
  </si>
  <si>
    <t>http://www.linkedin.com/in/eric-sillegue-132808</t>
  </si>
  <si>
    <t>http://www.gentleit.fr</t>
  </si>
  <si>
    <t xml:space="preserve">Gentle IT est une ESN « nouvelle génération » qui allie expertise de pointe, écosystème technologique de haut niveau et projet d’entreprise commun à tous les collaborateurs.</t>
  </si>
  <si>
    <t>Loryanne</t>
  </si>
  <si>
    <t>Taste</t>
  </si>
  <si>
    <t xml:space="preserve">Prime Trading</t>
  </si>
  <si>
    <t>loryanne@primetrading.fr</t>
  </si>
  <si>
    <t>http://www.linkedin.com/in/loryanne-taste-43b659b5</t>
  </si>
  <si>
    <t>http://www.primeig.com.br</t>
  </si>
  <si>
    <t xml:space="preserve">Recife, State of Pernambuco, Brazil</t>
  </si>
  <si>
    <t>Bucci</t>
  </si>
  <si>
    <t>l.bucci@gl-concept.fr</t>
  </si>
  <si>
    <t>http://www.linkedin.com/in/lucas-bucci-476165115</t>
  </si>
  <si>
    <t>Ny</t>
  </si>
  <si>
    <t>Ratrema</t>
  </si>
  <si>
    <t xml:space="preserve">ICHTUS IT</t>
  </si>
  <si>
    <t>nyhakanto.ratrema@ichtus-it.com</t>
  </si>
  <si>
    <t>http://www.linkedin.com/in/ny-hakanto-ratrema-jiejrozierj</t>
  </si>
  <si>
    <t>http://www.ichtus-it.com</t>
  </si>
  <si>
    <t>Kohn</t>
  </si>
  <si>
    <t xml:space="preserve">Modulo Pi</t>
  </si>
  <si>
    <t>yannick.kohn@modulo-pi.com</t>
  </si>
  <si>
    <t>http://www.linkedin.com/in/yannick-kohn-38323b4a</t>
  </si>
  <si>
    <t>http://www.modulo-pi.com</t>
  </si>
  <si>
    <t xml:space="preserve">113 Avenue du President Wilson, Saint-Denis, Ile-de-France, France, 93210</t>
  </si>
  <si>
    <t xml:space="preserve">Modulo Pi designs the next generation of media servers solutions: Powerful, user-friendly, creative, and fully integrated.</t>
  </si>
  <si>
    <t>Rayrat</t>
  </si>
  <si>
    <t>Profileo</t>
  </si>
  <si>
    <t>thomas.rayrat@profileo.com</t>
  </si>
  <si>
    <t>http://www.linkedin.com/in/thomasrayrat</t>
  </si>
  <si>
    <t>http://www.profileo.com</t>
  </si>
  <si>
    <t xml:space="preserve">Chemin du Petit Cabri, Le Tholonet, Provence-Alpes-Cote d'Azur, France, 13100</t>
  </si>
  <si>
    <t>thibault.richard@arjuna.fr</t>
  </si>
  <si>
    <t>http://www.linkedin.com/in/thibault-richard-788a7714</t>
  </si>
  <si>
    <t>http://www.arjuna.fr</t>
  </si>
  <si>
    <t xml:space="preserve">18 Rue Gounod, Saint-Cloud, Ile-de-France, France, 92210</t>
  </si>
  <si>
    <t>Leonhard</t>
  </si>
  <si>
    <t xml:space="preserve">CEO Covline</t>
  </si>
  <si>
    <t>COVLINE</t>
  </si>
  <si>
    <t>alain.leonhard@covline.com</t>
  </si>
  <si>
    <t>http://www.linkedin.com/in/alainleonhard-covline</t>
  </si>
  <si>
    <t>http://www.covline.com</t>
  </si>
  <si>
    <t>Oberhausbergen</t>
  </si>
  <si>
    <t xml:space="preserve">Oberhausbergen, Alsace, France</t>
  </si>
  <si>
    <t xml:space="preserve">Co-Founder &amp; Software Architect</t>
  </si>
  <si>
    <t>epicnpoc</t>
  </si>
  <si>
    <t>david.aicardi@epicnpoc.com</t>
  </si>
  <si>
    <t>http://www.linkedin.com/in/david-aicardi</t>
  </si>
  <si>
    <t>http://www.epicnpoc.com</t>
  </si>
  <si>
    <t xml:space="preserve">1041 Route des Dolines, Valbonne, Provence-Alpes-Cote d'Azur, France, 06560</t>
  </si>
  <si>
    <t xml:space="preserve">Epicnpoc - Create exceptional user experiences for smart cockpits with our solution. Design, test and share user experiences.</t>
  </si>
  <si>
    <t>b-ready</t>
  </si>
  <si>
    <t>philippe@b-ready.team</t>
  </si>
  <si>
    <t>http://www.linkedin.com/in/philibarr</t>
  </si>
  <si>
    <t>http://www.b-ready.team</t>
  </si>
  <si>
    <t xml:space="preserve">28 Avenue Marie Louise, Saint-Maur-des-Fosses, Ile-de-France, France, 94210</t>
  </si>
  <si>
    <t xml:space="preserve">Accompagnement et conseil au service des cabinets d'expertise comptable et des autres professions réglementées.</t>
  </si>
  <si>
    <t>Orceau</t>
  </si>
  <si>
    <t xml:space="preserve">Ideas that work. CTO at Kurrant Consulting. Chairman of TALQ Steering Committee. Founder of Commapoint. Founder/ex-CEO</t>
  </si>
  <si>
    <t>Kurrant</t>
  </si>
  <si>
    <t>chris@kurrant.com</t>
  </si>
  <si>
    <t>http://www.linkedin.com/in/christophe-orceau-1a8a866</t>
  </si>
  <si>
    <t>http://www.kurrant.com</t>
  </si>
  <si>
    <t>Saint-Brieuc</t>
  </si>
  <si>
    <t xml:space="preserve">600 North Bridge Road, Singapore, Singapore, 188778</t>
  </si>
  <si>
    <t xml:space="preserve">Kurrant is a cross-disciplinary strategy, technology and media company. We help cities and utilities accelerate their digitalization.</t>
  </si>
  <si>
    <t xml:space="preserve">Owner and CEO</t>
  </si>
  <si>
    <t xml:space="preserve">PG Software Europe</t>
  </si>
  <si>
    <t>pgarnier@pgsoftware.fr</t>
  </si>
  <si>
    <t>http://www.linkedin.com/in/patrick-garnier-4b031617</t>
  </si>
  <si>
    <t>http://www.pgsoftware.fr</t>
  </si>
  <si>
    <t xml:space="preserve">4 Rue Henri Becquerel, Challans, Pays de la Loire, France, 85300</t>
  </si>
  <si>
    <t xml:space="preserve">Logiciels d'administration réseau, de surveillance du sytème d'informations, de gestion d'Active Directory, applications Helpdesk et Infogérance</t>
  </si>
  <si>
    <t>Benedicte</t>
  </si>
  <si>
    <t>Massart</t>
  </si>
  <si>
    <t xml:space="preserve">Values Associates</t>
  </si>
  <si>
    <t>benedicte.daull-massart@values-associates.com</t>
  </si>
  <si>
    <t>http://www.linkedin.com/in/bdaullmassart</t>
  </si>
  <si>
    <t>http://www.values-associates.com</t>
  </si>
  <si>
    <t xml:space="preserve">Values Associates, la digitalisation intuitive au service des métiers du risque et de la conformité.</t>
  </si>
  <si>
    <t>Khnissi</t>
  </si>
  <si>
    <t>FUTURNET</t>
  </si>
  <si>
    <t>khnissi@futurnet.fr</t>
  </si>
  <si>
    <t>http://www.linkedin.com/in/youssef-khnissi-6077815</t>
  </si>
  <si>
    <t>http://www.futurnet.fr</t>
  </si>
  <si>
    <t xml:space="preserve">Bussy-Saint-Georges, Ile-de-France, France</t>
  </si>
  <si>
    <t>Godet</t>
  </si>
  <si>
    <t>Conviviance</t>
  </si>
  <si>
    <t>agodet@conviviance.fr</t>
  </si>
  <si>
    <t>http://www.linkedin.com/in/antoinegodet</t>
  </si>
  <si>
    <t>http://www.conviviance.fr</t>
  </si>
  <si>
    <t xml:space="preserve">Guigneville-sur-Essonne, Ile-de-France, France, 91590</t>
  </si>
  <si>
    <t xml:space="preserve">Editeur français de logiciels de téléphonie et pionnier de la mise en relation par la reconnaissance vocale et la synthèse de la voix, Conviviance déploie des solutions d’optimisation de la relation client, patient et citoyen.</t>
  </si>
  <si>
    <t>Barri</t>
  </si>
  <si>
    <t>Jarvi</t>
  </si>
  <si>
    <t>johan@jarvi.tech</t>
  </si>
  <si>
    <t>http://www.linkedin.com/in/johan-barri-3659391a8</t>
  </si>
  <si>
    <t>http://www.jarvi.tech</t>
  </si>
  <si>
    <t xml:space="preserve">Discover our all-in-one solution that combines ATS, CRM, and prospecting tools into a single platform. Designed with and for recruiting agencies and freelance recruiters who want to save time and cut costs. Check it out now! Beyond standard ATS features, we enable you to search, send multi-channel messages, sync your talents and client history, automate your workflow, and adapt it to your internal processes. ATS and so much more...</t>
  </si>
  <si>
    <t xml:space="preserve">Co Founder / CEO</t>
  </si>
  <si>
    <t>reciTAL</t>
  </si>
  <si>
    <t>gilles.moyse@recital.ai</t>
  </si>
  <si>
    <t>http://www.linkedin.com/in/gillesmoyse</t>
  </si>
  <si>
    <t>http://www.recital.ai</t>
  </si>
  <si>
    <t xml:space="preserve">97 Rue Oberkampf, Paris, Ile-de-France, France, 75011</t>
  </si>
  <si>
    <t xml:space="preserve">Première solution LAD / RAD labellisée Deep Tech, reciTAL assure la capture, le typage et la recherche, pour tous les documents / mails</t>
  </si>
  <si>
    <t>Coriol</t>
  </si>
  <si>
    <t>boris.coriol@numerize.com</t>
  </si>
  <si>
    <t>http://www.linkedin.com/in/boris-coriol-5639b215</t>
  </si>
  <si>
    <t>Hoerdt</t>
  </si>
  <si>
    <t>Patric</t>
  </si>
  <si>
    <t>Simo</t>
  </si>
  <si>
    <t xml:space="preserve">Co-Founder Senior consultant</t>
  </si>
  <si>
    <t xml:space="preserve">Kion Consulting</t>
  </si>
  <si>
    <t>patric.simo@kion-france.fr</t>
  </si>
  <si>
    <t>http://www.linkedin.com/in/patric-simo-3163aa15</t>
  </si>
  <si>
    <t>http://www.kion.co.za</t>
  </si>
  <si>
    <t xml:space="preserve">Oxford Rd, Johannesburg, Gauteng, South Africa, 2196</t>
  </si>
  <si>
    <t xml:space="preserve">South Africa</t>
  </si>
  <si>
    <t>Duchadeuil</t>
  </si>
  <si>
    <t xml:space="preserve">Associé Directeur Général</t>
  </si>
  <si>
    <t xml:space="preserve">Agence Auvray &amp; Boracay</t>
  </si>
  <si>
    <t>f.duchadeuil@auvray-associes.com</t>
  </si>
  <si>
    <t>http://www.linkedin.com/in/fr%c3%a9d%c3%a9ric-duchadeuil-1241a229</t>
  </si>
  <si>
    <t>http://www.auvray-boracay.fr</t>
  </si>
  <si>
    <t xml:space="preserve">97 Boulevard Malesherbes, Paris, Ile-de-France, France, 75008</t>
  </si>
  <si>
    <t xml:space="preserve">Agence Auvray &amp; Boracay à Paris, conseil et stratégie en relations presse et médias depuis 1995. Accompagnement des entreprises, institutions, associations et dirigeants.</t>
  </si>
  <si>
    <t>Marouene</t>
  </si>
  <si>
    <t xml:space="preserve">Founder / President</t>
  </si>
  <si>
    <t>SoWhen?</t>
  </si>
  <si>
    <t>m.marouene@sowhen.fr</t>
  </si>
  <si>
    <t>http://www.linkedin.com/in/mohamed-marouene-3a253211</t>
  </si>
  <si>
    <t>http://www.sowhen.fr</t>
  </si>
  <si>
    <t xml:space="preserve">9 Rue Auguste Peron, Montreuil, Ile-de-France, France, 93100</t>
  </si>
  <si>
    <t>Dura</t>
  </si>
  <si>
    <t xml:space="preserve">Infrastructure / Cloud Architect - Founder</t>
  </si>
  <si>
    <t>Aleop</t>
  </si>
  <si>
    <t>romain@aleop.eu</t>
  </si>
  <si>
    <t>http://www.linkedin.com/in/romain-dura-b1367547</t>
  </si>
  <si>
    <t>http://www.aleop.ca</t>
  </si>
  <si>
    <t xml:space="preserve">Les Pennes-Mirabeau</t>
  </si>
  <si>
    <t xml:space="preserve">2425 Rue de l'Agriculture, Quebec City, Quebec, Canada, G1T</t>
  </si>
  <si>
    <t xml:space="preserve">Aleop automatise la comptabilité. Un logiciel idéal pour simplifier l’administration des finances de son entreprise.</t>
  </si>
  <si>
    <t>Mer</t>
  </si>
  <si>
    <t xml:space="preserve">Directeur Général Adjoint en charge du développement</t>
  </si>
  <si>
    <t xml:space="preserve">Aatiko Conseils</t>
  </si>
  <si>
    <t>n.mer@aatiko.fr</t>
  </si>
  <si>
    <t>http://www.linkedin.com/in/nicolas-mer-18605550</t>
  </si>
  <si>
    <t>http://www.aatiko.fr</t>
  </si>
  <si>
    <t xml:space="preserve">78 Rue de la Villette, Lyon, Auvergne-Rhone-Alpes, France, 69003</t>
  </si>
  <si>
    <t xml:space="preserve">Aatiko Conseils est un cabinet de conseil spécialisé dans l'accompagnement des acteurs de l'habitat (bailleurs sociaux, collectivités...)</t>
  </si>
  <si>
    <t>Rossini</t>
  </si>
  <si>
    <t xml:space="preserve">Artemis Success</t>
  </si>
  <si>
    <t>n.rossini@artemis-success.fr</t>
  </si>
  <si>
    <t>http://www.linkedin.com/in/nicolas-rossini-28995371</t>
  </si>
  <si>
    <t>http://www.37.16</t>
  </si>
  <si>
    <t xml:space="preserve">Rue Meyerbeer, Paris, Ile-de-France, France, 75009</t>
  </si>
  <si>
    <t>Elias</t>
  </si>
  <si>
    <t xml:space="preserve">ESPACE MEDICAL 93</t>
  </si>
  <si>
    <t>michele.elias@espacemedical93.fr</t>
  </si>
  <si>
    <t>http://www.linkedin.com/in/michele-elias-56b496187</t>
  </si>
  <si>
    <t>http://www.espacemedical93.fr</t>
  </si>
  <si>
    <t xml:space="preserve">Livry-Gargan, Ile-de-France, France</t>
  </si>
  <si>
    <t>Nouha</t>
  </si>
  <si>
    <t>Khila</t>
  </si>
  <si>
    <t xml:space="preserve">Co-founder DATA-TRICKS</t>
  </si>
  <si>
    <t>DATA-TRICKS</t>
  </si>
  <si>
    <t>nouha.khila@data-tricks.fr</t>
  </si>
  <si>
    <t>http://www.linkedin.com/in/nouha-khila-169b83b5</t>
  </si>
  <si>
    <t>http://www.data-tricks.com</t>
  </si>
  <si>
    <t xml:space="preserve">15 Rue Jean Jaures, Puteaux, Ile-de-France, France, 92800</t>
  </si>
  <si>
    <t xml:space="preserve">Data-tricks est une société de prestations de services informatiques dans le domaine du crédit et financements spécialisés à destination des professionnels, basée en France.
Elle intervient aussi dans le domaine d'administration de bases de données, de développement informatique et de Business intelligence.</t>
  </si>
  <si>
    <t>Giraudiere</t>
  </si>
  <si>
    <t xml:space="preserve">Cofondateur chez DataMa - data analyst</t>
  </si>
  <si>
    <t>DataMa</t>
  </si>
  <si>
    <t>loic@datama.fr</t>
  </si>
  <si>
    <t>http://www.linkedin.com/in/loicdelagiraudiere</t>
  </si>
  <si>
    <t>http://www.datama.io</t>
  </si>
  <si>
    <t xml:space="preserve">Cofondatrice et dirigeante - Stooly mobilier</t>
  </si>
  <si>
    <t>Stooly</t>
  </si>
  <si>
    <t>delphinelau@stooly.fr</t>
  </si>
  <si>
    <t>http://www.linkedin.com/in/delphinelau</t>
  </si>
  <si>
    <t>http://www.stooly.fr</t>
  </si>
  <si>
    <t xml:space="preserve">Meuble d'appoint : concepteur de meubles pliables, Stooly vous simplifie la vie et vous fait gagner de la place. Invitez sans compter !</t>
  </si>
  <si>
    <t>Menad</t>
  </si>
  <si>
    <t>Lamini</t>
  </si>
  <si>
    <t>ARCANES</t>
  </si>
  <si>
    <t>m.lamini@arcanes.info</t>
  </si>
  <si>
    <t>http://www.linkedin.com/in/menad-lamini-a5209896</t>
  </si>
  <si>
    <t>http://www.arcanes.info</t>
  </si>
  <si>
    <t xml:space="preserve">16 Rue Leon Paulet, Marseille, Provence-Alpes-Cote d'Azur, France, 13008</t>
  </si>
  <si>
    <t xml:space="preserve">Intégrateur Sage X3 Enterprise Management pour la performance de votre entreprise : confiez votre projet à un expert de l'ERP Sage.</t>
  </si>
  <si>
    <t>Houmault</t>
  </si>
  <si>
    <t>FIZEAU</t>
  </si>
  <si>
    <t>patrice@houmault.com</t>
  </si>
  <si>
    <t>http://www.linkedin.com/in/patricehoumault</t>
  </si>
  <si>
    <t>http://www.houmault.com</t>
  </si>
  <si>
    <t xml:space="preserve">La Garde, Provence-Alpes-Cote d'Azur, France, 83130</t>
  </si>
  <si>
    <t>Paque</t>
  </si>
  <si>
    <t>Koralplay</t>
  </si>
  <si>
    <t>alex@koralplay.com</t>
  </si>
  <si>
    <t>http://www.linkedin.com/in/alexandre-paque</t>
  </si>
  <si>
    <t>http://www.koralplay.com</t>
  </si>
  <si>
    <t xml:space="preserve">75 Rue Prefet Bonnefoy, Nantes, Pays de la Loire, France, 44000</t>
  </si>
  <si>
    <t>Rivain</t>
  </si>
  <si>
    <t>CryptoExperts</t>
  </si>
  <si>
    <t>matthieu.rivain@cryptoexperts.com</t>
  </si>
  <si>
    <t>http://www.linkedin.com/in/matthieurivain</t>
  </si>
  <si>
    <t>http://www.cryptoexperts.com</t>
  </si>
  <si>
    <t xml:space="preserve">41 Boulevard des Capucines, Paris, Ile-de-France, France, 75002</t>
  </si>
  <si>
    <t xml:space="preserve">The website of CryptoExperts</t>
  </si>
  <si>
    <t>Export</t>
  </si>
  <si>
    <t>Com</t>
  </si>
  <si>
    <t>LOXOS</t>
  </si>
  <si>
    <t>export@loxos.com</t>
  </si>
  <si>
    <t>http://www.linkedin.com/in/export-com-58a281111</t>
  </si>
  <si>
    <t>http://www.loxos.com</t>
  </si>
  <si>
    <t xml:space="preserve">Le Havre</t>
  </si>
  <si>
    <t xml:space="preserve">Rue Marie Harel, La Vespiere-Friardel, Normandy, France, 14290</t>
  </si>
  <si>
    <t xml:space="preserve">Mobilier et agencement pour le bien-être des petits et des grands</t>
  </si>
  <si>
    <t>Ricardo</t>
  </si>
  <si>
    <t xml:space="preserve">Co-founder and full stack developer</t>
  </si>
  <si>
    <t>Pathtech</t>
  </si>
  <si>
    <t>sandrine.ricardo@pathtech.fr</t>
  </si>
  <si>
    <t>http://www.linkedin.com/in/sandrine-ricardo</t>
  </si>
  <si>
    <t>http://www.pathtech.fr</t>
  </si>
  <si>
    <t>Batko</t>
  </si>
  <si>
    <t>DoYield</t>
  </si>
  <si>
    <t>raphael.batko@doyield.fr</t>
  </si>
  <si>
    <t>http://www.linkedin.com/in/raphael-batko</t>
  </si>
  <si>
    <t>http://www.doyield.com</t>
  </si>
  <si>
    <t xml:space="preserve">8 Rue du Commandant Schloesing, Paris, Ile-de-France, France, 75116</t>
  </si>
  <si>
    <t xml:space="preserve">Bienvenue chez DoYield, votre partenaire pour une stratégie de revenue management et de marketing digital performante. Augmentez vos revenus et minimisez vos coûts avec nos solutions innovantes.</t>
  </si>
  <si>
    <t>Loison</t>
  </si>
  <si>
    <t>TECHCREA</t>
  </si>
  <si>
    <t>julien.loison@techcrea.com</t>
  </si>
  <si>
    <t>http://www.linkedin.com/in/julien-loison-5b85ab173</t>
  </si>
  <si>
    <t>http://www.techcrea.fr</t>
  </si>
  <si>
    <t xml:space="preserve">70 Rue Jean Jaures, Marly, Hauts-de-France, France, 59770</t>
  </si>
  <si>
    <t xml:space="preserve">fibre optique, télécoms, téléphonie, voip, mvno, housing, transit ip, lan to lan, infogérance</t>
  </si>
  <si>
    <t>MARSAIL</t>
  </si>
  <si>
    <t>amandine@marsail.com</t>
  </si>
  <si>
    <t>http://www.linkedin.com/in/amandine-deslandes-marseille</t>
  </si>
  <si>
    <t>http://www.marsail.com</t>
  </si>
  <si>
    <t xml:space="preserve">41 Rue Barthelemy, Marseille, Provence-Alpes-Cote d'Azur, France, 13001</t>
  </si>
  <si>
    <t xml:space="preserve">Bénéficiez de l'expérience d'un skipper professionnel pour votre prochain team building voile, séminaire ou régate d'entreprise. Contactez-nous !</t>
  </si>
  <si>
    <t>Chaumartin</t>
  </si>
  <si>
    <t>ISOTROP</t>
  </si>
  <si>
    <t>denis.chaumartin@isotrop.fr</t>
  </si>
  <si>
    <t>http://www.linkedin.com/in/denis-chaumartin-aba2021</t>
  </si>
  <si>
    <t>http://www.isotrop.fr</t>
  </si>
  <si>
    <t xml:space="preserve">Services sur mesure en développement informatique embarqué, simulation 3D et programmation GPU.</t>
  </si>
  <si>
    <t>Serpos</t>
  </si>
  <si>
    <t>Novasecur</t>
  </si>
  <si>
    <t>cedric.deserpos@novasecur.com</t>
  </si>
  <si>
    <t>http://www.linkedin.com/in/cedricdeserpos</t>
  </si>
  <si>
    <t>http://www.novasecur.com</t>
  </si>
  <si>
    <t xml:space="preserve">9 Rue du 4 Septembre, Paris, Ile-de-France, France, 75002</t>
  </si>
  <si>
    <t>Boidin</t>
  </si>
  <si>
    <t xml:space="preserve">Directeur Général et Associé</t>
  </si>
  <si>
    <t xml:space="preserve">My Energy Manager</t>
  </si>
  <si>
    <t>olivier@myem.fr</t>
  </si>
  <si>
    <t>http://www.linkedin.com/in/olivier-boidin-4230361</t>
  </si>
  <si>
    <t>http://www.myem.fr</t>
  </si>
  <si>
    <t xml:space="preserve">10 Cours de Verdun Rambaud, Lyon, Auvergne-Rhone-Alpes, France, 69002</t>
  </si>
  <si>
    <t>Micoud</t>
  </si>
  <si>
    <t xml:space="preserve">The Wizards</t>
  </si>
  <si>
    <t>ana.micoud@thewizards.fr</t>
  </si>
  <si>
    <t>http://www.linkedin.com/in/ana-micoud-1b95741</t>
  </si>
  <si>
    <t>http://www.thewizards.me</t>
  </si>
  <si>
    <t xml:space="preserve">Vadodara, Gujarat, India, 390001</t>
  </si>
  <si>
    <t>Lou-Anne</t>
  </si>
  <si>
    <t xml:space="preserve">Co-fondatrice, DG, Responsable Innovations Produit &amp; Supply Chain</t>
  </si>
  <si>
    <t xml:space="preserve">STUDIO TWINS PARIS</t>
  </si>
  <si>
    <t>lou-anne.boehm@maase.fr</t>
  </si>
  <si>
    <t>http://www.linkedin.com/in/lou-anne-boehm-b34785a3</t>
  </si>
  <si>
    <t>http://www.maase.fr</t>
  </si>
  <si>
    <t xml:space="preserve">54 Rue Moliere, Ivry-sur-Seine, Ile-de-France, France, 94200</t>
  </si>
  <si>
    <t xml:space="preserve">Maase est le premier plaid sensoriel thérapeutique qui permet d'apaiser les troubles du comportement.</t>
  </si>
  <si>
    <t>Delacrose</t>
  </si>
  <si>
    <t>sharemundo</t>
  </si>
  <si>
    <t>sebastien.delacrose@sharemundo.com</t>
  </si>
  <si>
    <t>http://www.linkedin.com/in/sebastiendelacrose</t>
  </si>
  <si>
    <t>http://www.sharemundo.com</t>
  </si>
  <si>
    <t xml:space="preserve">19 Quai de Rive-Neuve, Marseille, Provence-Alpes-Cote d'Azur, France, 13007</t>
  </si>
  <si>
    <t>Tilly</t>
  </si>
  <si>
    <t xml:space="preserve">Co Founder &amp; Head of Creation</t>
  </si>
  <si>
    <t>BIKIBIKI</t>
  </si>
  <si>
    <t>helene.tilly@agencebikibiki.com</t>
  </si>
  <si>
    <t>http://www.linkedin.com/in/helenetilly</t>
  </si>
  <si>
    <t>http://www.agencebikibiki.com</t>
  </si>
  <si>
    <t xml:space="preserve">43 Rue Beaubourg, Paris, Ile-de-France, France, 75003</t>
  </si>
  <si>
    <t>Horyn</t>
  </si>
  <si>
    <t>Younicorns</t>
  </si>
  <si>
    <t>jonathan.horyn@younicorns.io</t>
  </si>
  <si>
    <t>http://www.linkedin.com/in/jonathanhoryn</t>
  </si>
  <si>
    <t>http://www.younicorns.io</t>
  </si>
  <si>
    <t xml:space="preserve">33 Rue la Fayette, Paris, Ile-de-France, France, 75009</t>
  </si>
  <si>
    <t xml:space="preserve">Younicorns vous accompagne et réalise vos projets d'innovation. De l'idéation jusqu'à la signature de vos premiers clients. Prenons rendez-vous !</t>
  </si>
  <si>
    <t>Leblanche</t>
  </si>
  <si>
    <t>AudéLor</t>
  </si>
  <si>
    <t>p.leblanche@audelor.com</t>
  </si>
  <si>
    <t>http://www.linkedin.com/in/philippe-leblanche-9a2ba657</t>
  </si>
  <si>
    <t>http://www.audelor.com</t>
  </si>
  <si>
    <t xml:space="preserve">12 Avenue de la Perriere, Lorient, Brittany, France, 56100</t>
  </si>
  <si>
    <t xml:space="preserve">Agence d'urbanisme, de développement économique et Technopole du Pays de Lorient. Au Services des entreprises, des porteurs de projets et des collectivités</t>
  </si>
  <si>
    <t>Detrez</t>
  </si>
  <si>
    <t>hacanthe</t>
  </si>
  <si>
    <t>fdetrez@hacanthe.com</t>
  </si>
  <si>
    <t>http://www.linkedin.com/in/francois-d%c3%a9trez-26714b17</t>
  </si>
  <si>
    <t>http://www.hacanthe.com</t>
  </si>
  <si>
    <t xml:space="preserve">14 Rue du Vieux Faubourg, Lille, Hauts-de-France, France, 59800</t>
  </si>
  <si>
    <t>Aslanian</t>
  </si>
  <si>
    <t>PHISEO</t>
  </si>
  <si>
    <t>christophe.aslanian@phiseo.fr</t>
  </si>
  <si>
    <t>http://www.linkedin.com/in/christophe-aslanian-b933881aa</t>
  </si>
  <si>
    <t>http://www.phiseo.fr</t>
  </si>
  <si>
    <t xml:space="preserve">6 Bis Rue Georges Polossat, Saint-Laurent-de-Mure, Auvergne-Rhone-Alpes, France, 69720</t>
  </si>
  <si>
    <t>Hazem</t>
  </si>
  <si>
    <t>Hamrouni</t>
  </si>
  <si>
    <t xml:space="preserve">CEO &amp; Cofounder</t>
  </si>
  <si>
    <t xml:space="preserve">Hi Interns</t>
  </si>
  <si>
    <t>hazem@hi-interns.com</t>
  </si>
  <si>
    <t>http://www.linkedin.com/in/hazem-hamrouni-390ab5158</t>
  </si>
  <si>
    <t>http://www.hi-interns.com</t>
  </si>
  <si>
    <t xml:space="preserve">3 نهج خدوجة الثامري, Tunisia</t>
  </si>
  <si>
    <t xml:space="preserve">Hi Interns est une startup africaine de jobtech qui relie les stagiaires de haute qualité aux entreprises et aux startups. Notre objectif est de fournir une plateforme mutuellement bénéfique qui aide les stagiaires à démarrer leur carrière professionnelle avec des stages de haute qualité, tout en offrant aux entreprises un accès à des stagiaires qualifiés.</t>
  </si>
  <si>
    <t>Hameau</t>
  </si>
  <si>
    <t>Dixxit</t>
  </si>
  <si>
    <t>valerie.hameau@dixxit.fr</t>
  </si>
  <si>
    <t>http://www.linkedin.com/in/val%c3%a9rie-hameau-b4b666a</t>
  </si>
  <si>
    <t>http://www.dixxit.fr</t>
  </si>
  <si>
    <t xml:space="preserve">32 Rue Etienne Marcel, Paris, Ile-de-France, France, 75002</t>
  </si>
  <si>
    <t xml:space="preserve">Nous nous engageons auprès de nos clients pour des stratégies de contenu qui comptent. Des contenus utiles, singuliers et éclairés qui vous placeront au-dessus de la mêlée.</t>
  </si>
  <si>
    <t xml:space="preserve">SERVIMAC CHEMILLE</t>
  </si>
  <si>
    <t>f.lizee@servimac.fr</t>
  </si>
  <si>
    <t>http://www.linkedin.com/in/florian-lizee-252a1b145</t>
  </si>
  <si>
    <t>http://www.servimac.fr</t>
  </si>
  <si>
    <t>Chemille-en-Anjou</t>
  </si>
  <si>
    <t xml:space="preserve">Chemille-en-Anjou, Pays de la Loire, France, 49120</t>
  </si>
  <si>
    <t>Chasle</t>
  </si>
  <si>
    <t>SystemGie</t>
  </si>
  <si>
    <t>beatrice.chasle@systemgie.fr</t>
  </si>
  <si>
    <t>http://www.linkedin.com/in/beatrice-chasle-3b75ab4</t>
  </si>
  <si>
    <t>http://www.systemgie.fr</t>
  </si>
  <si>
    <t xml:space="preserve">Cesson-Sevigne, Brittany, France</t>
  </si>
  <si>
    <t>Martin-Laval</t>
  </si>
  <si>
    <t xml:space="preserve">Data Vibes</t>
  </si>
  <si>
    <t>adrien@data-vibes.com</t>
  </si>
  <si>
    <t>http://www.linkedin.com/in/martinlaval</t>
  </si>
  <si>
    <t>http://www.data-vibes.com</t>
  </si>
  <si>
    <t xml:space="preserve">55 Rue Servan, Paris, Ile-de-France, France, 75011</t>
  </si>
  <si>
    <t>Mebsout</t>
  </si>
  <si>
    <t>Functori</t>
  </si>
  <si>
    <t>alain.mebsout@functori.com</t>
  </si>
  <si>
    <t>http://www.linkedin.com/in/mebsout</t>
  </si>
  <si>
    <t>http://www.functori.com</t>
  </si>
  <si>
    <t xml:space="preserve">8 Rue Abel, Paris, Ile-de-France, France, 75012</t>
  </si>
  <si>
    <t xml:space="preserve">We help clients innovate through top-tier consulting, prototyping, and R&amp;D, thanks to our blockchains, static languages, and program safety expertise.</t>
  </si>
  <si>
    <t xml:space="preserve">Numeric Way</t>
  </si>
  <si>
    <t>youssef@numericway.net</t>
  </si>
  <si>
    <t>http://www.linkedin.com/in/riaexpert</t>
  </si>
  <si>
    <t>http://www.numericway.net</t>
  </si>
  <si>
    <t xml:space="preserve">29 زنقة بابوم, Casablanca-Settat, Morocco</t>
  </si>
  <si>
    <t xml:space="preserve">Experts en Magento, nous conseillons et développons pour nos clients des solutions hautement évolutives du e-commerce, Stratégies E-Marketing et Maintenance</t>
  </si>
  <si>
    <t>Paquet</t>
  </si>
  <si>
    <t>Haxoneo</t>
  </si>
  <si>
    <t>nicolas.paquet@haxoneo.com</t>
  </si>
  <si>
    <t>http://www.linkedin.com/in/nicolas-paquet-0423253</t>
  </si>
  <si>
    <t>http://www.haxoneo.com</t>
  </si>
  <si>
    <t xml:space="preserve">435 Rue de Marquette, Wambrechies, Hauts-de-France, France, 59118</t>
  </si>
  <si>
    <t xml:space="preserve">Le 1er groupement d'achats qui vous offre les avantages d'une plateforme. Centrale d'achats pour entreprises TPE PME : emballages, colis et fournitures</t>
  </si>
  <si>
    <t xml:space="preserve">Chief Executive Officer &amp; Chief Medical Officer</t>
  </si>
  <si>
    <t>DiamPark</t>
  </si>
  <si>
    <t>caroline@diampark.io</t>
  </si>
  <si>
    <t>http://www.linkedin.com/in/dr-caroline-atlani-01682713</t>
  </si>
  <si>
    <t>http://www.diampark.io</t>
  </si>
  <si>
    <t xml:space="preserve">DiamPark, une Neurotech qui propose des solutions digitales et innovantes pour la maladie de Parkinson.</t>
  </si>
  <si>
    <t>Celso</t>
  </si>
  <si>
    <t>cazevedo@assetsman.com</t>
  </si>
  <si>
    <t>http://www.linkedin.com/in/celso-de-azevedo-ph-d-57a2367</t>
  </si>
  <si>
    <t>http://www.assetsman.com</t>
  </si>
  <si>
    <t xml:space="preserve">2 Passage Roche, Versailles, Ile-de-France, France, 78000</t>
  </si>
  <si>
    <t>Roquigny</t>
  </si>
  <si>
    <t>BCC</t>
  </si>
  <si>
    <t>alban.roquigny@bcc-conseil.com</t>
  </si>
  <si>
    <t>http://www.linkedin.com/in/albanroquigny</t>
  </si>
  <si>
    <t>http://www.bcc-conseil.com</t>
  </si>
  <si>
    <t xml:space="preserve">7 Rue Saulnier, Paris, Ile-de-France, France, 75009</t>
  </si>
  <si>
    <t xml:space="preserve">Les consultants BCC vous accompagnent de la stratégie jusqu’au pilotage opérationnel de vos projets. Votre satisfaction notre priorité</t>
  </si>
  <si>
    <t>Lendrin</t>
  </si>
  <si>
    <t>issho</t>
  </si>
  <si>
    <t>jblendrin@issho-partners.com</t>
  </si>
  <si>
    <t>http://www.linkedin.com/in/jeanbaptistelendrin-executive-coach-ceo-comex-codir-dirigeant-transition</t>
  </si>
  <si>
    <t>http://www.issho-partners.com</t>
  </si>
  <si>
    <t>Guilleux</t>
  </si>
  <si>
    <t>ZEBOX</t>
  </si>
  <si>
    <t>frederic@ze-box.io</t>
  </si>
  <si>
    <t>http://www.linkedin.com/in/fr%c3%a9d%c3%a9ric-guilleux-7b3555199</t>
  </si>
  <si>
    <t>http://www.ze-box.io</t>
  </si>
  <si>
    <t xml:space="preserve">61 Boulevard des Dames, Marseille, Provence-Alpes-Cote d'Azur, France, 13002</t>
  </si>
  <si>
    <t xml:space="preserve">The ZEBOX startup gas pedal connects business leaders with startups to innovate together on global solutions. Discover our 4 international hubs.</t>
  </si>
  <si>
    <t>Guyot</t>
  </si>
  <si>
    <t xml:space="preserve">CIDI GROUPE</t>
  </si>
  <si>
    <t>r.guyot@cidi.fr</t>
  </si>
  <si>
    <t>http://www.linkedin.com/in/r%c3%a9mi-guyot-81036170</t>
  </si>
  <si>
    <t>http://www.cidi.fr</t>
  </si>
  <si>
    <t xml:space="preserve">8 Rue de la Mare Neuve, Courcouronnes, Ile-de-France, France, 91080</t>
  </si>
  <si>
    <t>Pennanec</t>
  </si>
  <si>
    <t>SEDERE</t>
  </si>
  <si>
    <t>rpennanec@sedere.com</t>
  </si>
  <si>
    <t>http://www.linkedin.com/in/rodolphe-pennanec-64024b</t>
  </si>
  <si>
    <t>http://www.sedere.com</t>
  </si>
  <si>
    <t>Saint-Jean-le-Blanc</t>
  </si>
  <si>
    <t xml:space="preserve">27 Rue Parmentier, Alfortville, Ile-de-France, France, 94140</t>
  </si>
  <si>
    <t xml:space="preserve">SEDERE is the industry leader in the development, manufacture and distribution of SEDEX detectors, recognised as a best-in-class product in Low-Temperature Evaporative Light-Scattering Detection (LT-ELSD).. Leveraging industry expertise, innovation and dedication to hard work, SEDERE offers a full range of pioneered LT-ELSD products for chromatography laboratories. Our emphasis is on quality, reliability</t>
  </si>
  <si>
    <t>Houssem</t>
  </si>
  <si>
    <t>Abidi</t>
  </si>
  <si>
    <t xml:space="preserve">Co-founder CTO</t>
  </si>
  <si>
    <t>Crafteam</t>
  </si>
  <si>
    <t>habidi@crafteam.io</t>
  </si>
  <si>
    <t>http://www.linkedin.com/in/houssemabidi</t>
  </si>
  <si>
    <t>http://www.crafteam.io</t>
  </si>
  <si>
    <t xml:space="preserve">3 Rue de l'Arrivee, Paris, Ile-de-France, France, 75015</t>
  </si>
  <si>
    <t xml:space="preserve">CTO + CEO/2</t>
  </si>
  <si>
    <t>Virtualys</t>
  </si>
  <si>
    <t>olivier.marc@virtualys.fr</t>
  </si>
  <si>
    <t>http://www.linkedin.com/in/olivier-marc-040905141</t>
  </si>
  <si>
    <t>http://www.virtualys.fr</t>
  </si>
  <si>
    <t xml:space="preserve">41 Rue Yves Collet, Brest, Brittany, France, 29200</t>
  </si>
  <si>
    <t xml:space="preserve">Virtualys est une société d'ingénierie logicielle et de R&amp;amp;D, spécialisée dans les domaines de la réalité virtuelle, de la 3D interactive et des nouvelles technologies web. Basée à Brest, Virtualys propose des applications interactives multimédia innovantes (réalité augmentée, réalité virtuelle) pour vous aider à relever des défis tant industriels que marketing et commerciaux.</t>
  </si>
  <si>
    <t>Giolitti</t>
  </si>
  <si>
    <t xml:space="preserve">Président Exécutif</t>
  </si>
  <si>
    <t>AIRTELIS</t>
  </si>
  <si>
    <t>laurent.giolitti@airtelis.com</t>
  </si>
  <si>
    <t>http://www.linkedin.com/in/laurent-giolitti-a7474b7a</t>
  </si>
  <si>
    <t>http://www.airtelis.com</t>
  </si>
  <si>
    <t xml:space="preserve">1470 Route de l'Aerodrome, Avignon, Provence-Alpes-Cote d'Azur, France, 84140</t>
  </si>
  <si>
    <t xml:space="preserve">Spécialiste en travaux électriques héliportés depuis 60 ans, AIRTELIS met ses compétences au service partout dans le monde.</t>
  </si>
  <si>
    <t xml:space="preserve">Founder, Chair &amp; CEO</t>
  </si>
  <si>
    <t>Scyllage</t>
  </si>
  <si>
    <t>jean-michel@scyllage.com</t>
  </si>
  <si>
    <t xml:space="preserve">human resources</t>
  </si>
  <si>
    <t>http://www.linkedin.com/in/lorenzi</t>
  </si>
  <si>
    <t>http://www.scyllage.com</t>
  </si>
  <si>
    <t xml:space="preserve">40 Rue du Colisee, Paris, Ile-de-France, France, 75008</t>
  </si>
  <si>
    <t xml:space="preserve">Scyllage | Human resources, management &amp; leadership consulting</t>
  </si>
  <si>
    <t>Repaire</t>
  </si>
  <si>
    <t xml:space="preserve">Co-founder / Head of Innovation</t>
  </si>
  <si>
    <t>Danim</t>
  </si>
  <si>
    <t>adrien@danim.com</t>
  </si>
  <si>
    <t>http://www.linkedin.com/in/adrien-du-repaire-7b2a9094</t>
  </si>
  <si>
    <t>http://www.danim.com</t>
  </si>
  <si>
    <t xml:space="preserve">Créez vos contenus et brillez dans l'immobilier digital en 3 clics chrono</t>
  </si>
  <si>
    <t>Perruchot</t>
  </si>
  <si>
    <t>Quobly</t>
  </si>
  <si>
    <t>francois.perruchot@quobly.io</t>
  </si>
  <si>
    <t>http://www.linkedin.com/in/fperruchot</t>
  </si>
  <si>
    <t>http://www.quobly.io</t>
  </si>
  <si>
    <t xml:space="preserve">Universal Quantum Computing leveraging European Semiconductor Industry.</t>
  </si>
  <si>
    <t>Randy</t>
  </si>
  <si>
    <t>Ralijaona</t>
  </si>
  <si>
    <t xml:space="preserve">CEO Founder</t>
  </si>
  <si>
    <t>Eas'IA</t>
  </si>
  <si>
    <t>randy.ralijaona@eas-ia.fr</t>
  </si>
  <si>
    <t>http://www.linkedin.com/in/randy-ralijaona-108195106</t>
  </si>
  <si>
    <t>http://www.aloen.ai</t>
  </si>
  <si>
    <t xml:space="preserve">Toulouse, Occitanie, France, 31400</t>
  </si>
  <si>
    <t>Largeteau</t>
  </si>
  <si>
    <t xml:space="preserve">Cofounder // Lead Developer</t>
  </si>
  <si>
    <t xml:space="preserve">FREYA GAMES</t>
  </si>
  <si>
    <t>francois@freya-games.com</t>
  </si>
  <si>
    <t>http://www.linkedin.com/in/fran%c3%a7ois-largeteau-b5b5a4261</t>
  </si>
  <si>
    <t>http://www.freya-games.com</t>
  </si>
  <si>
    <t>Corine</t>
  </si>
  <si>
    <t>Barbazanges</t>
  </si>
  <si>
    <t xml:space="preserve">Head of Production / Co-founder</t>
  </si>
  <si>
    <t>SENAR</t>
  </si>
  <si>
    <t>corine.barbazanges@senar.io</t>
  </si>
  <si>
    <t>http://www.linkedin.com/in/barbazanges</t>
  </si>
  <si>
    <t>http://www.senar.io</t>
  </si>
  <si>
    <t xml:space="preserve">490 Post Street, San Francisco, California, United States, 94102</t>
  </si>
  <si>
    <t xml:space="preserve">Boost staff training with mobile AR for more enduring skill retention. Elevate learning with immersive, real-world Augmented Reality experiences.</t>
  </si>
  <si>
    <t>Jeanroy</t>
  </si>
  <si>
    <t>anagra</t>
  </si>
  <si>
    <t>eric.jeanroy@anagra.fr</t>
  </si>
  <si>
    <t>http://www.linkedin.com/in/eric-jeanroy-855644b0</t>
  </si>
  <si>
    <t>http://www.groupe-anagra.com</t>
  </si>
  <si>
    <t xml:space="preserve">12 Avenue Scribe, Meudon, Ile-de-France, France, 92190</t>
  </si>
  <si>
    <t xml:space="preserve">Services et Conseil en informatique experte en intégration et gestion de projets MIDDLEWARE - SAP- CRM - CYBERSECURITE - DATA INTELLIGENCE</t>
  </si>
  <si>
    <t>Guenole</t>
  </si>
  <si>
    <t>ADAXIS</t>
  </si>
  <si>
    <t>guenole.bras@adaxis.eu</t>
  </si>
  <si>
    <t>http://www.linkedin.com/in/gu%c3%a9nol%c3%a9-bras-9b21b410a</t>
  </si>
  <si>
    <t>http://www.adaxis.eu</t>
  </si>
  <si>
    <t xml:space="preserve">Bayonne, Aquitaine, France</t>
  </si>
  <si>
    <t xml:space="preserve">ADAXIS’ software platform AdaOne makes it possible to program and control robotic arms as large scale 3D printers for metal, plastics, and concrete.</t>
  </si>
  <si>
    <t>Pierre-Olivier</t>
  </si>
  <si>
    <t>Bouvry</t>
  </si>
  <si>
    <t>pobouvry@ecoinpack.com</t>
  </si>
  <si>
    <t>http://www.linkedin.com/in/pierre-olivier-bouvry-25b38586</t>
  </si>
  <si>
    <t>http://www.ecoinpack.com</t>
  </si>
  <si>
    <t>Belet</t>
  </si>
  <si>
    <t>Euromédia</t>
  </si>
  <si>
    <t>dbelet@euromedia.fr</t>
  </si>
  <si>
    <t>http://www.linkedin.com/in/didier-belet-b56b05138</t>
  </si>
  <si>
    <t>http://www.euromedia.fr</t>
  </si>
  <si>
    <t>Croissy-Beaubourg</t>
  </si>
  <si>
    <t xml:space="preserve">19 Boulevard Georges Bidault, Croissy-Beaubourg, Ile-de-France, France, 77183</t>
  </si>
  <si>
    <t>Chaput</t>
  </si>
  <si>
    <t xml:space="preserve">Open Source Politics</t>
  </si>
  <si>
    <t>valentin@opensourcepolitics.eu</t>
  </si>
  <si>
    <t>http://www.linkedin.com/in/valentinchaput</t>
  </si>
  <si>
    <t>http://www.opensourcepolitics.eu</t>
  </si>
  <si>
    <t xml:space="preserve">32 Rue des Cascades, Paris, Ile-de-France, France, 75020</t>
  </si>
  <si>
    <t>Pignault</t>
  </si>
  <si>
    <t>MailSoar</t>
  </si>
  <si>
    <t>pierre@mailsoar.com</t>
  </si>
  <si>
    <t>http://www.linkedin.com/in/pierrepignault</t>
  </si>
  <si>
    <t>http://www.mailsoar.com</t>
  </si>
  <si>
    <t xml:space="preserve">MailSoar, The first full-service email deliverability expert agency. We help deliver emails to improve sender reputation and reduce spam complaints reliably</t>
  </si>
  <si>
    <t>Khaled</t>
  </si>
  <si>
    <t>Dassouki</t>
  </si>
  <si>
    <t>Ubility</t>
  </si>
  <si>
    <t>khaled@ubilityai.com</t>
  </si>
  <si>
    <t>http://www.linkedin.com/in/khaled-dassouki-b9175213</t>
  </si>
  <si>
    <t>http://www.ubilityai.com</t>
  </si>
  <si>
    <t xml:space="preserve">70 Rue de la Republique, Marseille, Provence-Alpes-Cote d'Azur, France, 13002</t>
  </si>
  <si>
    <t>Bruneval</t>
  </si>
  <si>
    <t xml:space="preserve">Co-fondateur | Consultant SysOps et DevOps</t>
  </si>
  <si>
    <t>fullOps</t>
  </si>
  <si>
    <t>pierre.bruneval@fullops.io</t>
  </si>
  <si>
    <t>http://www.linkedin.com/in/pierre-bruneval-32a0aa56</t>
  </si>
  <si>
    <t>http://www.fullops.io</t>
  </si>
  <si>
    <t xml:space="preserve">Votre partenaire Cloud &amp; devOps</t>
  </si>
  <si>
    <t>Ferrer</t>
  </si>
  <si>
    <t xml:space="preserve">Co-founder Procs</t>
  </si>
  <si>
    <t xml:space="preserve">Buy Made Easy</t>
  </si>
  <si>
    <t>jeremy.ferrer@bme-sourcing.com</t>
  </si>
  <si>
    <t>http://www.linkedin.com/in/ferrer-jeremy</t>
  </si>
  <si>
    <t>http://www.buymadeeasy.com</t>
  </si>
  <si>
    <t xml:space="preserve">24 Avenue Joannes Masset, Lyon, Auvergne-Rhone-Alpes, France, 69009</t>
  </si>
  <si>
    <t xml:space="preserve">Buy Made Easy prend en charge l'externalisation des achats spots. Découvrez nos services d'accompagnement Achat pour ETI et Grandes Entreprises et centraliser vos achats de classe C.</t>
  </si>
  <si>
    <t>Rousselet</t>
  </si>
  <si>
    <t>Otipass</t>
  </si>
  <si>
    <t>philippe.rousselet@otipass.com</t>
  </si>
  <si>
    <t>http://www.linkedin.com/in/philippe-rousselet-4933531</t>
  </si>
  <si>
    <t>http://www.otipass.com</t>
  </si>
  <si>
    <t>Montboucher-sur-Jabron</t>
  </si>
  <si>
    <t xml:space="preserve">8 Rue du Chateau, Montboucher-sur-Jabron, Auvergne-Rhone-Alpes, France, 26740</t>
  </si>
  <si>
    <t xml:space="preserve">Pour la numérisation de pass touristiques, multipass ou carte de vie quotidienne, contactez le spécialiste, Otipass !</t>
  </si>
  <si>
    <t>Florio</t>
  </si>
  <si>
    <t>Neoaxess</t>
  </si>
  <si>
    <t>c.florio@neoaxess.com</t>
  </si>
  <si>
    <t>http://www.linkedin.com/in/christophe-florio-b1526b5a</t>
  </si>
  <si>
    <t>http://www.neoaxess.com</t>
  </si>
  <si>
    <t xml:space="preserve">15 Rue du General Negrier, Houilles, Ile-de-France, France, 78800</t>
  </si>
  <si>
    <t xml:space="preserve">Une gamme complète de services et solutions pour la sécurisation des Entreprises et des Chantiers du BTP , en France et à l'international.</t>
  </si>
  <si>
    <t xml:space="preserve">Co Founder, Business Development</t>
  </si>
  <si>
    <t>Elzeard</t>
  </si>
  <si>
    <t>gilles.delaporte@elzeard.co</t>
  </si>
  <si>
    <t>http://www.linkedin.com/in/gilles-delaporte-5a8401</t>
  </si>
  <si>
    <t>http://www.elzeard.co</t>
  </si>
  <si>
    <t xml:space="preserve">19 Cours du Chapeau Rouge, Bordeaux, Nouvelle-Aquitaine, France, 33000</t>
  </si>
  <si>
    <t xml:space="preserve">Elzeard est un outil de gestion de production, de la planification aux récoltes. Maraîchage • légumes de plein champ • arboriculture • Fleurs</t>
  </si>
  <si>
    <t>Bellocq</t>
  </si>
  <si>
    <t xml:space="preserve">Co-fondatrice &amp; Co-directrice</t>
  </si>
  <si>
    <t xml:space="preserve">Share it</t>
  </si>
  <si>
    <t>m.bellocq@share-it.io</t>
  </si>
  <si>
    <t>http://www.linkedin.com/in/marie-bellocq-87343b119</t>
  </si>
  <si>
    <t>http://www.share-it.io</t>
  </si>
  <si>
    <t xml:space="preserve">55 Boulevard Vincent Auriol, Paris, Ile-de-France, France, 75013</t>
  </si>
  <si>
    <t xml:space="preserve">Share it conçoit et code gratuitement des solutions digitales pour les entrepreneur.e.s sociaux. Share it met la tech au service des organisations à impact.</t>
  </si>
  <si>
    <t>Wedig</t>
  </si>
  <si>
    <t>fabien.guilleux@wedig.fr</t>
  </si>
  <si>
    <t>http://www.linkedin.com/in/fabien-guilleux</t>
  </si>
  <si>
    <t>http://www.wedig.fr</t>
  </si>
  <si>
    <t xml:space="preserve">L'agence Webmarketing Wedig propose des prestations de marketing digital et relationnel pour augmenter votre acquisition de client web</t>
  </si>
  <si>
    <t>Bessin</t>
  </si>
  <si>
    <t>AETHICA</t>
  </si>
  <si>
    <t>o.bessin@aethica.fr</t>
  </si>
  <si>
    <t>http://www.linkedin.com/in/olivier-bessin-17b70a61</t>
  </si>
  <si>
    <t>http://www.adi-logements.fr</t>
  </si>
  <si>
    <t xml:space="preserve">32 Rue La Noue Bras de Fer, Nantes, Pays de la Loire, France, 44200</t>
  </si>
  <si>
    <t xml:space="preserve">ADI Logements, promoteur, constructeur, aménageur. ADI propose des logements neufs construits avec un soin particulier, sur des emplacements d'exception, et des architectures novatrices, logements abordables, primo-accédants, logements adaptés seniors, colocation, co-conception</t>
  </si>
  <si>
    <t xml:space="preserve">Co-founder &amp; Co-director</t>
  </si>
  <si>
    <t>g.menard@share-it.io</t>
  </si>
  <si>
    <t>http://www.linkedin.com/in/guilhem-menard-%f0%9f%99%86%f0%9f%8f%bb%e2%80%8d%e2%99%82%ef%b8%8f-a702326b</t>
  </si>
  <si>
    <t>Durieux</t>
  </si>
  <si>
    <t>EQUADEX</t>
  </si>
  <si>
    <t>thierry.durieux@equadex.net</t>
  </si>
  <si>
    <t>http://www.linkedin.com/in/thierry-durieux-3561546</t>
  </si>
  <si>
    <t>http://www.equadex.net</t>
  </si>
  <si>
    <t xml:space="preserve">8 Chemin de la Terrasse, Toulouse, Occitanie, France, 31500</t>
  </si>
  <si>
    <t>Jaouad</t>
  </si>
  <si>
    <t xml:space="preserve">Solution Architect and co-founder</t>
  </si>
  <si>
    <t xml:space="preserve">Keiken digital solutions</t>
  </si>
  <si>
    <t>jaouad.benichou@keiken-digital.com</t>
  </si>
  <si>
    <t>http://www.linkedin.com/in/jaouad-benichou-9191b91b</t>
  </si>
  <si>
    <t>http://www.keiken-digital.com</t>
  </si>
  <si>
    <t>Zafer</t>
  </si>
  <si>
    <t>Kara</t>
  </si>
  <si>
    <t xml:space="preserve">Founder ⎮ Head of House</t>
  </si>
  <si>
    <t>SUPANOTCH</t>
  </si>
  <si>
    <t>d.kara@supanotch.com</t>
  </si>
  <si>
    <t>http://www.linkedin.com/in/zafer-kara-supanotch</t>
  </si>
  <si>
    <t>http://www.supanotch.com</t>
  </si>
  <si>
    <t xml:space="preserve">SUPANOTCH helps industrial &amp; digital companies focus on the 20% of decisions that will bring 80% of their corporate growth. 
Business Operations &amp; Project Management | Company 4.0 Consulting | Coaching &amp; Training | Strategic &amp; Executive Search | Executive Recruitment-as-a-Service |</t>
  </si>
  <si>
    <t>Tellaa</t>
  </si>
  <si>
    <t xml:space="preserve">Co-Founder - Software engineer</t>
  </si>
  <si>
    <t>jeremy.tellaa@metalgear.xyz</t>
  </si>
  <si>
    <t>http://www.linkedin.com/in/jeremy-tellaa</t>
  </si>
  <si>
    <t>http://www.metalgear.xyz</t>
  </si>
  <si>
    <t>OBJECTIF7</t>
  </si>
  <si>
    <t>quentin.vernet@objectif7.fr</t>
  </si>
  <si>
    <t>http://www.linkedin.com/in/quentin-vernet-9a7263137</t>
  </si>
  <si>
    <t>http://www.objectif7.fr</t>
  </si>
  <si>
    <t xml:space="preserve">Avenue Anatole France, Aix-en-Provence, Provence-Alpes-Cote d'Azur, France, 13100</t>
  </si>
  <si>
    <t xml:space="preserve">OBJECTIF7 est un bureau d’étude et de conseil spécialisé dans les énergies renouvelables (EnR) avec pour objectif d’accompagner les particuliers, entreprises et collectivité dans leurs projets d’amélioration et d’optimisation de leurs locaux ou habitations.</t>
  </si>
  <si>
    <t>Luuk</t>
  </si>
  <si>
    <t>Jonge</t>
  </si>
  <si>
    <t xml:space="preserve">Co-founder &amp; Product</t>
  </si>
  <si>
    <t>Contrast</t>
  </si>
  <si>
    <t>luuk@getcontrast.io</t>
  </si>
  <si>
    <t>http://www.linkedin.com/in/luukdejonge</t>
  </si>
  <si>
    <t>http://www.getcontrast.io</t>
  </si>
  <si>
    <t xml:space="preserve">38 Tavistock Street, London, England, United Kingdom, WC2E 7</t>
  </si>
  <si>
    <t xml:space="preserve">Scale your webinar strategy with a single platform. Branded and engaging webinar experience. Repurpose in minutes with Ai. Rated #1 on HubSpot.</t>
  </si>
  <si>
    <t xml:space="preserve">Purple Reality</t>
  </si>
  <si>
    <t>nathalie.tomas@purplereality.fr</t>
  </si>
  <si>
    <t>http://www.linkedin.com/in/nathalie-tomas-534b9a21</t>
  </si>
  <si>
    <t>http://www.purplereality.fr</t>
  </si>
  <si>
    <t xml:space="preserve">1 Avenue d'Ester, Limoges, Nouvelle-Aquitaine, France, 87069</t>
  </si>
  <si>
    <t xml:space="preserve">Nous sommes une agence créative spécialisée dans la création d’expériences utilisateurs uniques grâce aux technologies de la 3D et de la Réalité Augmentée.</t>
  </si>
  <si>
    <t xml:space="preserve">Co-fondateur et Directeur associé</t>
  </si>
  <si>
    <t>Mentalworks</t>
  </si>
  <si>
    <t>jn.martin@mentalworks.fr</t>
  </si>
  <si>
    <t>http://www.linkedin.com/in/jn-martin</t>
  </si>
  <si>
    <t>http://www.mentalworks.fr</t>
  </si>
  <si>
    <t xml:space="preserve">Compiegne, Picardy, France, 60200</t>
  </si>
  <si>
    <t xml:space="preserve">Mentalworks est une agence digitale spécialisée dans la création de sites de sites web, d’applis mobiles et le développement d’applications métiers sur-mesure.</t>
  </si>
  <si>
    <t>Avinash</t>
  </si>
  <si>
    <t>Sondhi</t>
  </si>
  <si>
    <t xml:space="preserve">Jobs On Sight International Pvt</t>
  </si>
  <si>
    <t>avinash@jobsonsight.org</t>
  </si>
  <si>
    <t>http://www.linkedin.com/in/avinash-sondhi-b9a16737</t>
  </si>
  <si>
    <t>http://www.jobsonsight.org</t>
  </si>
  <si>
    <t xml:space="preserve">Prernatirth Derasar Road, Ahmedabad, Gujarat, India, 380015</t>
  </si>
  <si>
    <t xml:space="preserve">A mobile application for nearby job openings, available in iOS and Android. Job hunter spot jobs in the local area faster. Employers spot talent and hire locally.</t>
  </si>
  <si>
    <t xml:space="preserve">Founder and Directeur Associé</t>
  </si>
  <si>
    <t>ASITIX</t>
  </si>
  <si>
    <t>vianney.martin@asitix.fr</t>
  </si>
  <si>
    <t>http://www.linkedin.com/in/vianney-martin-9818b71</t>
  </si>
  <si>
    <t>http://www.asitix.fr</t>
  </si>
  <si>
    <t xml:space="preserve">Rue du Molinel, Wasquehal, Hauts-de-France, France, 59290</t>
  </si>
  <si>
    <t xml:space="preserve">ASITIX, société spécialisée dans l'innovation IT, accompagne ses clients dans la transformation digitale avec des solutions sur-mesure.</t>
  </si>
  <si>
    <t>Trimardeau</t>
  </si>
  <si>
    <t xml:space="preserve">Président &amp; COO - Founder</t>
  </si>
  <si>
    <t xml:space="preserve">Mentor Marketing</t>
  </si>
  <si>
    <t>nicolas.trimardeau@mentormarketing.fr</t>
  </si>
  <si>
    <t>http://www.linkedin.com/in/consultant-seo-sea</t>
  </si>
  <si>
    <t>http://www.mentormarketing.fr</t>
  </si>
  <si>
    <t xml:space="preserve">4 Rue Foncet, Nice, Provence-Alpes-Cote d'Azur, France, 06000</t>
  </si>
  <si>
    <t xml:space="preserve">Votre partenaire de croissance data-driven. Armez-vous d'une équipe d'experts pour la gestion de votre SEO, SEA et SMA.</t>
  </si>
  <si>
    <t>Parmentier</t>
  </si>
  <si>
    <t xml:space="preserve">Directeur et Co-fondateur</t>
  </si>
  <si>
    <t>Inokufu</t>
  </si>
  <si>
    <t>benjamin.parmentier@inokufu.com</t>
  </si>
  <si>
    <t>http://www.linkedin.com/in/benjamin-parmentier-6905b844</t>
  </si>
  <si>
    <t>http://www.inokufu.com</t>
  </si>
  <si>
    <t>Chabaniere</t>
  </si>
  <si>
    <t xml:space="preserve">Better data for better learning We help organizations train and develop their talents with data-driven solutions. Learning Platform Offer unforgettable learning experiences with our advanced learning and data management system. Find out more AI &amp; data Maximize the impact of your data to analyze, optimize, and | Inokufu</t>
  </si>
  <si>
    <t>Toucheboeuf</t>
  </si>
  <si>
    <t>jerome@66origin.com</t>
  </si>
  <si>
    <t>http://www.linkedin.com/in/jerometoucheboeuf</t>
  </si>
  <si>
    <t>Lowczyk</t>
  </si>
  <si>
    <t>olowczyk@autonomii.fr</t>
  </si>
  <si>
    <t>http://www.linkedin.com/in/olivier-lowczyk-76710848</t>
  </si>
  <si>
    <t>http://www.autonomii.fr</t>
  </si>
  <si>
    <t>Onnen</t>
  </si>
  <si>
    <t>Societeinfo</t>
  </si>
  <si>
    <t>antoine.onnen@societeinfo.com</t>
  </si>
  <si>
    <t>http://www.linkedin.com/in/antoine-onnen-4376242</t>
  </si>
  <si>
    <t>http://www.societeinfo.com</t>
  </si>
  <si>
    <t>Gregori</t>
  </si>
  <si>
    <t>Jambert</t>
  </si>
  <si>
    <t>Beteam</t>
  </si>
  <si>
    <t>gregori.jambert@beteam.fr</t>
  </si>
  <si>
    <t>http://www.linkedin.com/in/gr%c3%a9gori-jambert-89654b26</t>
  </si>
  <si>
    <t>http://www.beteam.fr</t>
  </si>
  <si>
    <t xml:space="preserve">73 Rue Anatole France, Levallois-Perret, Ile-de-France, France, 92300</t>
  </si>
  <si>
    <t xml:space="preserve">Optimisez et sécurisez la relation avec vos fournisseurs PME et freelances 
grâce aux solutions de portage commercial, de sourcing et de MSP de Beteam.</t>
  </si>
  <si>
    <t>Marschner</t>
  </si>
  <si>
    <t>Lovell</t>
  </si>
  <si>
    <t>julie.marschner@lovell-consulting.com</t>
  </si>
  <si>
    <t>http://www.linkedin.com/in/julie-marschner-94906832</t>
  </si>
  <si>
    <t>http://www.lovell-consulting.com</t>
  </si>
  <si>
    <t xml:space="preserve">10 Avenue de la Republique, Paris, Ile-de-France, France, 75011</t>
  </si>
  <si>
    <t xml:space="preserve">Lovell Consulting est un cabinet de conseil spécialisé dans la gestion des risques et la gouvernance de la sécurité des SI.</t>
  </si>
  <si>
    <t>Saux</t>
  </si>
  <si>
    <t xml:space="preserve">CEO - Directeur Général</t>
  </si>
  <si>
    <t xml:space="preserve">Atouts &amp; Handicap</t>
  </si>
  <si>
    <t>elesaux@atouts-handicap.com</t>
  </si>
  <si>
    <t>http://www.linkedin.com/in/erwan-le-saux</t>
  </si>
  <si>
    <t>http://www.atouts-handicap.com</t>
  </si>
  <si>
    <t xml:space="preserve">57 Rue de Turbigo, Paris, Ile-de-France, France, 75003</t>
  </si>
  <si>
    <t xml:space="preserve">Atouts &amp; Handicap est un cabinet de conseil et un organisme de formation qui accompagne depuis 2007 les organisations privées et publiques.</t>
  </si>
  <si>
    <t>Octave</t>
  </si>
  <si>
    <t>Locqueville</t>
  </si>
  <si>
    <t>octave@nelson-mobility.com</t>
  </si>
  <si>
    <t>http://www.linkedin.com/in/octave-locqueville-a01395203</t>
  </si>
  <si>
    <t>Vincennes</t>
  </si>
  <si>
    <t>Maillot</t>
  </si>
  <si>
    <t>A&amp;A</t>
  </si>
  <si>
    <t>xmaillot@aa-partners.com</t>
  </si>
  <si>
    <t>http://www.linkedin.com/in/xavier-maillot-2b02a848</t>
  </si>
  <si>
    <t>http://www.aa-partners.com</t>
  </si>
  <si>
    <t xml:space="preserve">5 Rue Laffitte, Paris, Ile-de-France, France, 75009</t>
  </si>
  <si>
    <t xml:space="preserve">Gestion de collection , Publication de collection, Valorisation de collection, Constats d'état, Inventaire, Régie, Documentation, Conservation... Pour Musées, Collectionneurs privés, Entreprises, collection d'art, constat d'états numérique, récolement...</t>
  </si>
  <si>
    <t>Dutranois</t>
  </si>
  <si>
    <t xml:space="preserve">Directeur Général et associé</t>
  </si>
  <si>
    <t>antoine.dutranois@abil-it.fr</t>
  </si>
  <si>
    <t>http://www.linkedin.com/in/antoine-dutranois-3575212b</t>
  </si>
  <si>
    <t>http://www.abil-it.fr</t>
  </si>
  <si>
    <t xml:space="preserve">88 Avenue Charles de Gaulle, Neuilly-sur-Seine, Ile-de-France, France, 92200</t>
  </si>
  <si>
    <t>Renou</t>
  </si>
  <si>
    <t xml:space="preserve">Directeur Général Opérationnel</t>
  </si>
  <si>
    <t xml:space="preserve">INFOCOB Solutions</t>
  </si>
  <si>
    <t>a.renou@infocob-solutions.com</t>
  </si>
  <si>
    <t>http://www.linkedin.com/in/alexis-renou-85a93329b</t>
  </si>
  <si>
    <t>http://www.infocob-solutions.com</t>
  </si>
  <si>
    <t xml:space="preserve">Les Sables-d'Olonne</t>
  </si>
  <si>
    <t xml:space="preserve">154 Avenue de Talmont, Les Sables-d'Olonne, Pays de la Loire, France, 85180</t>
  </si>
  <si>
    <t xml:space="preserve">INFOCOB Solutions, créateur de systèmes d'information fluide et source de productivité grâce à nos solutions CRM, Web, Gestion, Cloud et Marketing.</t>
  </si>
  <si>
    <t>Gilliard</t>
  </si>
  <si>
    <t xml:space="preserve">Zucchetti France</t>
  </si>
  <si>
    <t>frederic.gilliard@zucchetti.com</t>
  </si>
  <si>
    <t>http://www.linkedin.com/in/fr%c3%a9d%c3%a9ric-gilliard-75282048</t>
  </si>
  <si>
    <t>http://www.zucchetti.fr</t>
  </si>
  <si>
    <t xml:space="preserve">5 Promenade de la Bonnette, Gennevilliers, Ile-de-France, France, 92230</t>
  </si>
  <si>
    <t xml:space="preserve">Somos Zucchetti España y desarrollamos software para tu empresa. Más de 700.000 clientes en el mundo utilizan nuestro software.</t>
  </si>
  <si>
    <t>Jeanvoine</t>
  </si>
  <si>
    <t xml:space="preserve">Cofounder &amp; CEO</t>
  </si>
  <si>
    <t>bjeanvoine@earlyfund.net</t>
  </si>
  <si>
    <t>http://www.linkedin.com/in/benoitjeanvoine</t>
  </si>
  <si>
    <t>Meslem</t>
  </si>
  <si>
    <t xml:space="preserve">Analyst developer | Founder</t>
  </si>
  <si>
    <t xml:space="preserve">RCDevs Security</t>
  </si>
  <si>
    <t>ibrahim.meslem@rcdevs.com</t>
  </si>
  <si>
    <t>http://www.linkedin.com/in/bahimeslem</t>
  </si>
  <si>
    <t>http://www.rcdevs.com</t>
  </si>
  <si>
    <t xml:space="preserve">3 Boulevard du Jazz, Esch-sur-Alzette, Luxembourg, Luxembourg, 4018</t>
  </si>
  <si>
    <t>Bon</t>
  </si>
  <si>
    <t>Startin'blox</t>
  </si>
  <si>
    <t>sylvain@startinblox.com</t>
  </si>
  <si>
    <t>http://www.linkedin.com/in/sylvainlebon</t>
  </si>
  <si>
    <t>http://www.startinblox.com</t>
  </si>
  <si>
    <t>Maillard</t>
  </si>
  <si>
    <t>Iconet</t>
  </si>
  <si>
    <t>remi.maillard@iconet.fr</t>
  </si>
  <si>
    <t>http://www.linkedin.com/in/r%c3%a9mi-maillard-4a12a648</t>
  </si>
  <si>
    <t>http://www.iconet.fr</t>
  </si>
  <si>
    <t xml:space="preserve">6 Rue Raspail, Levallois-Perret, Ile-de-France, France, 92300</t>
  </si>
  <si>
    <t xml:space="preserve">Entreprise spécialisée maintenance informatique en Ile de France et à Levallois Perret. Nous assistons les sociétés dans la gestion et la sécurité.</t>
  </si>
  <si>
    <t>Darnet</t>
  </si>
  <si>
    <t xml:space="preserve">Founder, Agent de carrière des talents Produit</t>
  </si>
  <si>
    <t>Pachamama</t>
  </si>
  <si>
    <t>marion@pachamama.pm</t>
  </si>
  <si>
    <t>http://www.linkedin.com/in/mariondarnet</t>
  </si>
  <si>
    <t>http://www.pachamama.pm</t>
  </si>
  <si>
    <t xml:space="preserve">Insufflez du Peps dans vos challenges Produit, recruter la bonne personne pour votre produit.</t>
  </si>
  <si>
    <t>Pareyn</t>
  </si>
  <si>
    <t xml:space="preserve">SEARCH Factory</t>
  </si>
  <si>
    <t>quentin.pareyn@search-factory.fr</t>
  </si>
  <si>
    <t>http://www.linkedin.com/in/quentin-pareyn-111a3548</t>
  </si>
  <si>
    <t>http://www.search-factory.fr</t>
  </si>
  <si>
    <t xml:space="preserve">92 Quai de la Fosse, Nantes, Pays de la Loire, France, 44100</t>
  </si>
  <si>
    <t xml:space="preserve">Search-Factory : l'agence de marketing digital composée d'experts passionnés, portés par une culture du ROI et de la performance.</t>
  </si>
  <si>
    <t>Beaudouin</t>
  </si>
  <si>
    <t xml:space="preserve">My Kiwi</t>
  </si>
  <si>
    <t>b.beaudouin@my-kiwi.fr</t>
  </si>
  <si>
    <t>http://www.linkedin.com/in/benjamin-beaudouin-44214b14</t>
  </si>
  <si>
    <t>http://www.my-kiwi.fr</t>
  </si>
  <si>
    <t xml:space="preserve">6 Voie d'Angleterre, Vitrolles, Provence-Alpes-Cote d'Azur, France, 13127</t>
  </si>
  <si>
    <t xml:space="preserve">Bienvenue sur la page d'accueil du site My Kiwi. Découvrez ici toutes nos offres et solutions qui pourront vous permettre d'amener à terme votre projet ...</t>
  </si>
  <si>
    <t>Khouchoua</t>
  </si>
  <si>
    <t xml:space="preserve">UNIT CONSULTING</t>
  </si>
  <si>
    <t>mehdi@unit-consulting.fr</t>
  </si>
  <si>
    <t>http://www.linkedin.com/in/mehdi-khouchoua-11812461</t>
  </si>
  <si>
    <t>http://www.unit-consulting.fr</t>
  </si>
  <si>
    <t xml:space="preserve">124 Rue Cardinet, Paris, Ile-de-France, France, 75017</t>
  </si>
  <si>
    <t xml:space="preserve">UNIT Consulting est un cabinet spécialisé dans le domaine des Infrastructures et Systèmes de Transports Urbains et Ferroviaires.</t>
  </si>
  <si>
    <t xml:space="preserve">Directeur Général / COO</t>
  </si>
  <si>
    <t>Docoon</t>
  </si>
  <si>
    <t>a.lejeune@docoon.com</t>
  </si>
  <si>
    <t>http://www.linkedin.com/in/arnaud-lejeune-909409</t>
  </si>
  <si>
    <t>http://www.docoon.com</t>
  </si>
  <si>
    <t xml:space="preserve">Dématérialisez vos processus documentaires et digitalisez vos échanges en intégrant une communication MULTI–CANAL à votre relation client. Découvrez nos solutions de digitalisations des workflows.</t>
  </si>
  <si>
    <t>Audige</t>
  </si>
  <si>
    <t xml:space="preserve">STOP Telecom</t>
  </si>
  <si>
    <t>audige@stop.fr</t>
  </si>
  <si>
    <t>http://www.linkedin.com/in/emmanuel-audige-77029a1</t>
  </si>
  <si>
    <t>http://www.stop.fr</t>
  </si>
  <si>
    <t xml:space="preserve">11 Rue Gay-Lussac, Chatillon, Ile-de-France, France, 92320</t>
  </si>
  <si>
    <t xml:space="preserve">En tant qu’installateur, opérateur, mainteneur et financeur, STOP Telecom vous accompagne de A à Z de l'audit préalable à la mise en service, avec un suivi dans la durée.</t>
  </si>
  <si>
    <t>Ginoux</t>
  </si>
  <si>
    <t xml:space="preserve">Life &amp; Soft</t>
  </si>
  <si>
    <t>eginoux@lifeandsoft.com</t>
  </si>
  <si>
    <t>http://www.linkedin.com/in/eric-ginoux-9236a2</t>
  </si>
  <si>
    <t>http://www.lifeandsoft.com</t>
  </si>
  <si>
    <t xml:space="preserve">28 Rue de la Redoute, Fontenay-aux-Roses, Ile-de-France, France, 92260</t>
  </si>
  <si>
    <t>Trombini</t>
  </si>
  <si>
    <t xml:space="preserve">Co-Founder and Chairman</t>
  </si>
  <si>
    <t>Two-i</t>
  </si>
  <si>
    <t>julien.trombini@two-i.fr</t>
  </si>
  <si>
    <t>http://www.linkedin.com/in/julientrombini</t>
  </si>
  <si>
    <t>http://www.two-i.com</t>
  </si>
  <si>
    <t xml:space="preserve">11 Rempart Saint-Thiebault, Metz, Grand Est, France, 57000</t>
  </si>
  <si>
    <t xml:space="preserve">Two-i is the most comprehensive video analytics software solution for real-time alerting, post-event video search, alert mapping, and quantitative video metadata.</t>
  </si>
  <si>
    <t>Quinio</t>
  </si>
  <si>
    <t xml:space="preserve">Founder &amp; Chairman</t>
  </si>
  <si>
    <t xml:space="preserve">Touch &amp; Sell</t>
  </si>
  <si>
    <t>yann@touch-sell.com</t>
  </si>
  <si>
    <t>http://www.linkedin.com/in/yannlequinio</t>
  </si>
  <si>
    <t>http://www.touch-sell.com</t>
  </si>
  <si>
    <t xml:space="preserve">738 Rue Yves Kermen, Boulogne-Billancourt, Ile-de-France, France, 92100</t>
  </si>
  <si>
    <t xml:space="preserve">Numéro 1 français des outils d'aide à la vent - Optimisez vos performances commerciales avec notre plateforme de Sales Enablement</t>
  </si>
  <si>
    <t>Champenois</t>
  </si>
  <si>
    <t>UP&amp;CHARGE</t>
  </si>
  <si>
    <t>marin.champenois@upandcharge.com</t>
  </si>
  <si>
    <t>http://www.linkedin.com/in/marinchampenois</t>
  </si>
  <si>
    <t>http://www.upandcharge.com</t>
  </si>
  <si>
    <t xml:space="preserve">Up&amp;Charge propose la meilleure borne de recharge par induction pour tous les véhicules électriques. Une solution universelle, accessible et sans câbles pour faciliter l'expérience utilisateur. La borne qui offre aux personnes à mobilité réduite la possibilité de passer à l'électrique.</t>
  </si>
  <si>
    <t>Nataf</t>
  </si>
  <si>
    <t xml:space="preserve">NGS Distribution</t>
  </si>
  <si>
    <t>garynataf@mgcdistribution.com</t>
  </si>
  <si>
    <t>http://www.linkedin.com/in/gary-nataf-93600a25</t>
  </si>
  <si>
    <t>http://www.ngsec.ru</t>
  </si>
  <si>
    <t xml:space="preserve">Moscow, Russia</t>
  </si>
  <si>
    <t>Russia</t>
  </si>
  <si>
    <t xml:space="preserve">GRANDIR NATURE</t>
  </si>
  <si>
    <t>jean-michel@grandir-nature.com</t>
  </si>
  <si>
    <t>http://www.linkedin.com/in/jean-michel-l-4084aa133</t>
  </si>
  <si>
    <t>http://www.grandir-nature.com</t>
  </si>
  <si>
    <t xml:space="preserve">12 Rue de l'Industrie, Rosheim, Grand Est, France, 67560</t>
  </si>
  <si>
    <t xml:space="preserve">Livraison express 24/48h - Tarif unique de 7.50€. Découvrez le plus grand choix de tire-lait disponibles à la location</t>
  </si>
  <si>
    <t>Dalila</t>
  </si>
  <si>
    <t>Watts</t>
  </si>
  <si>
    <t xml:space="preserve">Co-founder ECHOLINE SAS</t>
  </si>
  <si>
    <t>Echoline</t>
  </si>
  <si>
    <t>dalila.watts@echoline.fr</t>
  </si>
  <si>
    <t>http://www.linkedin.com/in/dalila-watts-3067452b</t>
  </si>
  <si>
    <t>http://www.echoline.fr</t>
  </si>
  <si>
    <t xml:space="preserve">10 Rue la Boetie, Paris, Ile-de-France, France, 75008</t>
  </si>
  <si>
    <t xml:space="preserve">L’outil de veille réglementaire le plus simple, Echoline transforme les contraintes réglementaires en opportunités. Nous re-donnons le pouvoir aux entreprises face aux contraintes juridiques et à leurs évolutions.</t>
  </si>
  <si>
    <t>Celier</t>
  </si>
  <si>
    <t>amaury@sidekicks.cc</t>
  </si>
  <si>
    <t>http://www.linkedin.com/in/amaury-celier-72601424</t>
  </si>
  <si>
    <t>http://www.sidekicks.cc</t>
  </si>
  <si>
    <t>Lafrance</t>
  </si>
  <si>
    <t xml:space="preserve">Directrice Générale chez GREENTAG</t>
  </si>
  <si>
    <t>GREENTAG</t>
  </si>
  <si>
    <t>gwenaelle.lafrance@scapartois.fr</t>
  </si>
  <si>
    <t>http://www.linkedin.com/in/gwenaelle-lafrance-766027137</t>
  </si>
  <si>
    <t>http://www.scapartois.fr</t>
  </si>
  <si>
    <t>Peronne-en-Melantois</t>
  </si>
  <si>
    <t xml:space="preserve">29 Rue du Maresquel, Templeuve, Hauts-de-France, France, 59242</t>
  </si>
  <si>
    <t>Sendorek</t>
  </si>
  <si>
    <t xml:space="preserve">batvoice AI</t>
  </si>
  <si>
    <t>m.sendorek@batvoice.com</t>
  </si>
  <si>
    <t>http://www.linkedin.com/in/maxime-sendorek-336830b5</t>
  </si>
  <si>
    <t>http://www.batvoice.com</t>
  </si>
  <si>
    <t xml:space="preserve">19 Boulevard Poissonniere, Paris, Ile-de-France, France, 75002</t>
  </si>
  <si>
    <t xml:space="preserve">Batvoice AI aide la relation client en CRC à gagner en visibilité sur leurs appels. Grâce au Speech Analytics, transformez la voix du client en actions et automatisez les évaluations de qualité.</t>
  </si>
  <si>
    <t>Corcin</t>
  </si>
  <si>
    <t>GoodSesame</t>
  </si>
  <si>
    <t>matthieu@goodsesame.com</t>
  </si>
  <si>
    <t>http://www.linkedin.com/in/matthieu-corcin-79574938</t>
  </si>
  <si>
    <t>http://www.goodsesame.com</t>
  </si>
  <si>
    <t xml:space="preserve">3 Rue Larochelle, Paris, Ile-de-France, France, 75014</t>
  </si>
  <si>
    <t xml:space="preserve">La meilleure application pour le planning repas. Bien manger pour ta santé et la planète ! Liste de course en 1 clic et livraison ou drive.</t>
  </si>
  <si>
    <t>Rouille</t>
  </si>
  <si>
    <t xml:space="preserve">Co-founder ONWI , Responsable services administratifs, production</t>
  </si>
  <si>
    <t>ONWI</t>
  </si>
  <si>
    <t>marina.rouille@onwi.fr</t>
  </si>
  <si>
    <t>http://www.linkedin.com/in/marina-rouill%c3%a9-242272142</t>
  </si>
  <si>
    <t>http://www.onwi.fr</t>
  </si>
  <si>
    <t xml:space="preserve">Dommartin, Auvergne-Rhone-Alpes, France, 69380</t>
  </si>
  <si>
    <t>HM</t>
  </si>
  <si>
    <t>Rawat</t>
  </si>
  <si>
    <t xml:space="preserve">CEO, Co-founder</t>
  </si>
  <si>
    <t>Lingo</t>
  </si>
  <si>
    <t>hassam@lingocoin.io</t>
  </si>
  <si>
    <t>http://www.linkedin.com/in/hmrawat</t>
  </si>
  <si>
    <t>http://www.mylingo.io</t>
  </si>
  <si>
    <t xml:space="preserve">Gamified, RWA-powered rewards ecosystem</t>
  </si>
  <si>
    <t>Serou</t>
  </si>
  <si>
    <t>DEFIT</t>
  </si>
  <si>
    <t>kevin@defit.com</t>
  </si>
  <si>
    <t>http://www.linkedin.com/in/kevinserou</t>
  </si>
  <si>
    <t>http://www.defit.com</t>
  </si>
  <si>
    <t xml:space="preserve">160 Robinson Rd, Singapore, Singapore, 068914</t>
  </si>
  <si>
    <t xml:space="preserve">Put the world in motion. Earn $DEFIT rewards. Join the club, create your team and lead your Move to Earn revolution</t>
  </si>
  <si>
    <t>Beyaoui</t>
  </si>
  <si>
    <t xml:space="preserve">Chief Consultant / Co-Founder</t>
  </si>
  <si>
    <t>NETWARX</t>
  </si>
  <si>
    <t>amine.beyaoui@netwarx.com</t>
  </si>
  <si>
    <t>http://www.linkedin.com/in/aminebeyaoui</t>
  </si>
  <si>
    <t>http://www.netwarx.com</t>
  </si>
  <si>
    <t xml:space="preserve">17 Rue Saint-Fiacre, Paris, Ile-de-France, France, 75002</t>
  </si>
  <si>
    <t>Gillant</t>
  </si>
  <si>
    <t>L'Equipeur</t>
  </si>
  <si>
    <t>sylvain.gillant@equipeur.fr</t>
  </si>
  <si>
    <t>http://www.linkedin.com/in/sylvain-gillant-a19616283</t>
  </si>
  <si>
    <t>http://www.equipeur.fr</t>
  </si>
  <si>
    <t xml:space="preserve">46 Rue Henri Moissan, Pierre-Benite, Rhone-Alpes, France, 69310</t>
  </si>
  <si>
    <t xml:space="preserve">Materiel de protection au travail et travaux en hauteur, antichute, harnais de sécurité. Vente en ligne d'équipement de protection individuel.</t>
  </si>
  <si>
    <t>Baillarguet</t>
  </si>
  <si>
    <t xml:space="preserve">Vignobles et Châteaux</t>
  </si>
  <si>
    <t>bruno@vignobles-et-chateaux.com</t>
  </si>
  <si>
    <t>http://www.linkedin.com/in/bruno-baillarguet</t>
  </si>
  <si>
    <t>http://www.vignobles-et-chateaux.com</t>
  </si>
  <si>
    <t xml:space="preserve">1 Rue du Clocher, Saint-Emilion, Aquitaine, France, 33330</t>
  </si>
  <si>
    <t xml:space="preserve">Caviste proche de ses clients. Nous vous accueillons tous les jours dans nos boutiques au coeur du village historique de Saint-Emilion.</t>
  </si>
  <si>
    <t>Desbats</t>
  </si>
  <si>
    <t xml:space="preserve">Groupe Ressources et Changement</t>
  </si>
  <si>
    <t>adesbats@ressources-et-changement.com</t>
  </si>
  <si>
    <t>http://www.linkedin.com/in/adesbats</t>
  </si>
  <si>
    <t>http://www.ressources-et-changement.com</t>
  </si>
  <si>
    <t xml:space="preserve">Begles, Nouvelle-Aquitaine, France</t>
  </si>
  <si>
    <t xml:space="preserve">Le Groupe Ressources &amp; Changement, cabinet de conseil RH &amp; coaching, au service de la facilitation du changement et des transformations en entreprise.</t>
  </si>
  <si>
    <t>Aline</t>
  </si>
  <si>
    <t>Corda</t>
  </si>
  <si>
    <t xml:space="preserve">EUROP ELEC</t>
  </si>
  <si>
    <t>alinecorda@tge-06.fr</t>
  </si>
  <si>
    <t>http://www.linkedin.com/in/aline-corda-0b7198238</t>
  </si>
  <si>
    <t>Carros</t>
  </si>
  <si>
    <t xml:space="preserve">Carros, Provence-Alpes-Cote d'Azur, France</t>
  </si>
  <si>
    <t xml:space="preserve">CONEX SANTE</t>
  </si>
  <si>
    <t>mmorin@conexsante.com</t>
  </si>
  <si>
    <t>http://www.linkedin.com/in/marc-morin-0a44b1a</t>
  </si>
  <si>
    <t>http://www.conexsante.com</t>
  </si>
  <si>
    <t>Bouccara</t>
  </si>
  <si>
    <t>Sauvage111</t>
  </si>
  <si>
    <t>mike@sauvage111.com</t>
  </si>
  <si>
    <t>http://www.linkedin.com/in/mike-bouccara-6a731a61</t>
  </si>
  <si>
    <t>http://www.sauvage111.com</t>
  </si>
  <si>
    <t>Lou</t>
  </si>
  <si>
    <t>tiilt</t>
  </si>
  <si>
    <t>lou@tiilt.io</t>
  </si>
  <si>
    <t>http://www.linkedin.com/in/lou-chardin-tiilt</t>
  </si>
  <si>
    <t>http://www.tiilt.io</t>
  </si>
  <si>
    <t xml:space="preserve">Nancy, Grand Est, France</t>
  </si>
  <si>
    <t xml:space="preserve">tiilt.io est l'agence N°1 sur monday.com en France. Votre partenaire pour automatiser, centraliser et optimiser vos processus métiers pour des résultats concrets.</t>
  </si>
  <si>
    <t>Deverdun</t>
  </si>
  <si>
    <t>X-Log</t>
  </si>
  <si>
    <t>catherine.deverdun@x-log.fr</t>
  </si>
  <si>
    <t>http://www.linkedin.com/in/catherine-deverdun-17959b244</t>
  </si>
  <si>
    <t>http://www.x-log.fr</t>
  </si>
  <si>
    <t xml:space="preserve">57 Rue de Lyon, Paris, Ile-de-France, France, 75012</t>
  </si>
  <si>
    <t>Liotard</t>
  </si>
  <si>
    <t>GROUPEACTIVE</t>
  </si>
  <si>
    <t>frederic.liotard@prospactive.com</t>
  </si>
  <si>
    <t>http://www.linkedin.com/in/fr%c3%a9d%c3%a9ric-liotard-31678910</t>
  </si>
  <si>
    <t>http://www.groupeactive.com</t>
  </si>
  <si>
    <t xml:space="preserve">10C Rue Paul Verlaine, Dijon, Bourgogne-Franche-Comte, France, 21000</t>
  </si>
  <si>
    <t>Noyan</t>
  </si>
  <si>
    <t>Bilge</t>
  </si>
  <si>
    <t xml:space="preserve">Klart AI</t>
  </si>
  <si>
    <t>noyan.bilge@klartai.com</t>
  </si>
  <si>
    <t>http://www.linkedin.com/in/noyan-bilge-316a0780</t>
  </si>
  <si>
    <t>http://www.klartai.com</t>
  </si>
  <si>
    <t xml:space="preserve">60 Rue Francois 1er, Paris, Ile-de-France, France, 75008</t>
  </si>
  <si>
    <t xml:space="preserve">Klart AI is the AI-powered work assistant that uses its state-of-the-art search and Serverless RAG technology to generate the answers &amp; actions you need.</t>
  </si>
  <si>
    <t>Jean-Claude</t>
  </si>
  <si>
    <t>Herry</t>
  </si>
  <si>
    <t>Ipama</t>
  </si>
  <si>
    <t>jean-claude@herryconseil.com</t>
  </si>
  <si>
    <t>http://www.linkedin.com/in/jean-claude-herry-83470a11</t>
  </si>
  <si>
    <t>http://www.ipama.fr</t>
  </si>
  <si>
    <t>Brachet</t>
  </si>
  <si>
    <t xml:space="preserve">Chief Technology Officer &amp; Co-Founder</t>
  </si>
  <si>
    <t>Citylinx</t>
  </si>
  <si>
    <t>didier@beezeelinx.com</t>
  </si>
  <si>
    <t>http://www.linkedin.com/in/dbrachet</t>
  </si>
  <si>
    <t>http://www.citylinx.com</t>
  </si>
  <si>
    <t xml:space="preserve">26 Rue Alfred Kastler, Vannes, Bretagne, France, 56000</t>
  </si>
  <si>
    <t>m.nakam@techops.fr</t>
  </si>
  <si>
    <t>http://www.linkedin.com/in/michaelnakam</t>
  </si>
  <si>
    <t>Giani</t>
  </si>
  <si>
    <t>Navette</t>
  </si>
  <si>
    <t>Logia</t>
  </si>
  <si>
    <t>navettegiani@logia-inc.com</t>
  </si>
  <si>
    <t>http://www.linkedin.com/in/giani-navette</t>
  </si>
  <si>
    <t>http://www.logia-inc.com</t>
  </si>
  <si>
    <t>Romans-sur-Isere</t>
  </si>
  <si>
    <t xml:space="preserve">Valence, Auvergne-Rhone-Alpes, France, 26000</t>
  </si>
  <si>
    <t xml:space="preserve">Logia est une agence web et communication à Valence spécialisée dans le marketing, la création de site internet, le référencement et la communication digitale.</t>
  </si>
  <si>
    <t xml:space="preserve">ADEE ELECTRONIC</t>
  </si>
  <si>
    <t>dominiquegirard@adee.fr</t>
  </si>
  <si>
    <t>http://www.linkedin.com/in/dominique-girard-007590152</t>
  </si>
  <si>
    <t>http://www.adee.fr</t>
  </si>
  <si>
    <t xml:space="preserve">Sainte-Marie-sur-Ouche, Bourgogne, France, 21410</t>
  </si>
  <si>
    <t xml:space="preserve">ABONITE CONSULTANTS</t>
  </si>
  <si>
    <t>dominique.bigot@abonite.fr</t>
  </si>
  <si>
    <t>http://www.linkedin.com/in/dominique-bigot-6b82058</t>
  </si>
  <si>
    <t>http://www.abonite.fr</t>
  </si>
  <si>
    <t xml:space="preserve">Montigny-le-Bretonneux, Ile-de-France, France</t>
  </si>
  <si>
    <t>Anne-Dominique</t>
  </si>
  <si>
    <t>Auges-Vagnard</t>
  </si>
  <si>
    <t xml:space="preserve">Directrice Générale Finances - Associée</t>
  </si>
  <si>
    <t>Angie</t>
  </si>
  <si>
    <t>advagnard@angie.fr</t>
  </si>
  <si>
    <t>http://www.linkedin.com/in/anne-dominique-aug%c3%a8s-vagnard-581a3a7b</t>
  </si>
  <si>
    <t>http://www.angie.bg</t>
  </si>
  <si>
    <t xml:space="preserve">133 Булевард Цариградско шосе, Sofia, Sofia City Province, Bulgaria, 1784</t>
  </si>
  <si>
    <t xml:space="preserve">Едновременно наблюдение на различни активи. Лесна активация на устройства и услуги, с достъп чрез PC или мобилно устройство.</t>
  </si>
  <si>
    <t>Raynaud</t>
  </si>
  <si>
    <t>Loxada</t>
  </si>
  <si>
    <t>francois.raynaud@loxada.com</t>
  </si>
  <si>
    <t>http://www.linkedin.com/in/francoisraynaud</t>
  </si>
  <si>
    <t>http://www.loxada.com</t>
  </si>
  <si>
    <t xml:space="preserve">London, England, United Kingdom</t>
  </si>
  <si>
    <t xml:space="preserve">Loxada enhances the security of remote users and the data they access when working away from the office.</t>
  </si>
  <si>
    <t>Jasmine</t>
  </si>
  <si>
    <t>Derancourt</t>
  </si>
  <si>
    <t>DERANCOURT</t>
  </si>
  <si>
    <t>j.derancourt@derancourt.com</t>
  </si>
  <si>
    <t>http://www.linkedin.com/in/jasmine-derancourt-06966a138</t>
  </si>
  <si>
    <t>http://www.derancourt.com</t>
  </si>
  <si>
    <t xml:space="preserve">Le Soler</t>
  </si>
  <si>
    <t xml:space="preserve">Sainte-Eugenie, Le Soler, Occitanie, France, 66270</t>
  </si>
  <si>
    <t xml:space="preserve">Derancourt : conception, fabrication et commercialisation de matériel de sécurité et d</t>
  </si>
  <si>
    <t>Combe</t>
  </si>
  <si>
    <t xml:space="preserve">President and Founder</t>
  </si>
  <si>
    <t>ALBACOMBEE</t>
  </si>
  <si>
    <t>sylvie.combe@albacombee.com</t>
  </si>
  <si>
    <t>http://www.linkedin.com/in/sylviecombe</t>
  </si>
  <si>
    <t>http://www.albacombee.com</t>
  </si>
  <si>
    <t xml:space="preserve">Renforcez l'impact de vos projets RSE avec un collectif de professionnels indépendants experts en RSE - Conseil, communication et formation</t>
  </si>
  <si>
    <t>Prigent</t>
  </si>
  <si>
    <t xml:space="preserve">Story Jungle</t>
  </si>
  <si>
    <t>gip@storyjungle.io</t>
  </si>
  <si>
    <t>http://www.linkedin.com/in/gilles-prigent-b74a10</t>
  </si>
  <si>
    <t>http://www.storyjungle.io</t>
  </si>
  <si>
    <t xml:space="preserve">10 Boulevard de la Bastille, Paris, Ile-de-France, France, 75012</t>
  </si>
  <si>
    <t xml:space="preserve">Story Jungle, studio de content marketing et agence LinkedIn, l'un des 12 partenaires contenu de LinkedIn dans le monde, leader sur les cibles B2B et corporate.</t>
  </si>
  <si>
    <t>Thaler</t>
  </si>
  <si>
    <t>SCDM</t>
  </si>
  <si>
    <t>athaler@scdm.fr</t>
  </si>
  <si>
    <t>http://www.linkedin.com/in/thaler-alexis-834747</t>
  </si>
  <si>
    <t>http://www.scdm.de</t>
  </si>
  <si>
    <t xml:space="preserve">Frankfurt, Hesse, Germany</t>
  </si>
  <si>
    <t>Brigitte</t>
  </si>
  <si>
    <t>Vaudolon</t>
  </si>
  <si>
    <t xml:space="preserve">Directrice Générale PULSO FRANCE</t>
  </si>
  <si>
    <t xml:space="preserve">PULSO FRANCE</t>
  </si>
  <si>
    <t>brigitte.vaudolon@pulso-europe.eu</t>
  </si>
  <si>
    <t>http://www.linkedin.com/in/brigitte-vaudolon-0355501</t>
  </si>
  <si>
    <t>http://www.pulso-europe.eu</t>
  </si>
  <si>
    <t>Sussot</t>
  </si>
  <si>
    <t xml:space="preserve">Delivery Manager, co-founder</t>
  </si>
  <si>
    <t>IXXO</t>
  </si>
  <si>
    <t>dsussot@ixxo.fr</t>
  </si>
  <si>
    <t>http://www.linkedin.com/in/dominiquesussot</t>
  </si>
  <si>
    <t>http://www.ixxo.fr</t>
  </si>
  <si>
    <t xml:space="preserve">64 Avenue Leclerc, Lyon, Auvergne-Rhone-Alpes, France, 69007</t>
  </si>
  <si>
    <t xml:space="preserve">IXXO, éditeur de solutions collaboratives de veille stratégique, veille concurrentielle et veille technologique pour PME, ETI et Grands Comptes.</t>
  </si>
  <si>
    <t>Marinier</t>
  </si>
  <si>
    <t xml:space="preserve">Co-fondateur COO E-volutiv</t>
  </si>
  <si>
    <t>Celaneo</t>
  </si>
  <si>
    <t>julien.marinier@celaneo.com</t>
  </si>
  <si>
    <t>http://www.linkedin.com/in/julien-marinier-9b0068b5</t>
  </si>
  <si>
    <t>http://www.celaneo.com</t>
  </si>
  <si>
    <t xml:space="preserve">9 Rue des Halles, Paris, Ile-de-France, France, 75001</t>
  </si>
  <si>
    <t xml:space="preserve">Celaneo est une agence digitale en plein coeur de Paris, experte dans la création de sites internet, l’expertise technique et la formation !</t>
  </si>
  <si>
    <t>Robinet</t>
  </si>
  <si>
    <t>Pharmaflix</t>
  </si>
  <si>
    <t>s.robinet@pharmaflix.fr</t>
  </si>
  <si>
    <t>http://www.linkedin.com/in/s%c3%a9bastien-robinet-5b19882</t>
  </si>
  <si>
    <t>http://www.pharmaflix.fr</t>
  </si>
  <si>
    <t>Bensard</t>
  </si>
  <si>
    <t xml:space="preserve">Fondatrice et gérante</t>
  </si>
  <si>
    <t xml:space="preserve">MUM AND THE GANG</t>
  </si>
  <si>
    <t>julie@mumandthegang.com</t>
  </si>
  <si>
    <t>http://www.linkedin.com/in/julie-bensard-3b909516</t>
  </si>
  <si>
    <t>http://www.mumandthegang.com</t>
  </si>
  <si>
    <t xml:space="preserve">213 Rue Raymond Losserand, Paris, Ile-de-France, France, 75014</t>
  </si>
  <si>
    <t xml:space="preserve">Mum And the Gang est le 1er réseau de vente à domicile d'articles de puériculture et de cadeaux pour enfants. A découvrir aussi nos ateliers MAG !</t>
  </si>
  <si>
    <t>Cecilia</t>
  </si>
  <si>
    <t>Bloyet</t>
  </si>
  <si>
    <t xml:space="preserve">EB Formation</t>
  </si>
  <si>
    <t>ceciliabloyet@eb-formation.com</t>
  </si>
  <si>
    <t>http://www.linkedin.com/in/c%c3%a9cilia-bloyet-68a39050</t>
  </si>
  <si>
    <t>http://www.eb-formation.com</t>
  </si>
  <si>
    <t>Redon</t>
  </si>
  <si>
    <t xml:space="preserve">22 Rue du Clos de la Fonchais, Redon, Brittany, France, 35600</t>
  </si>
  <si>
    <t>Gelin</t>
  </si>
  <si>
    <t xml:space="preserve">Fondateur et Président-directeur général</t>
  </si>
  <si>
    <t xml:space="preserve">INTOO Habitat</t>
  </si>
  <si>
    <t>pgelin@intoo-habitat.com</t>
  </si>
  <si>
    <t>http://www.linkedin.com/in/pierre-gelin-084088163</t>
  </si>
  <si>
    <t>http://www.intoo-habitat.com</t>
  </si>
  <si>
    <t>Pontarlier</t>
  </si>
  <si>
    <t xml:space="preserve">11 Rue Arthur Bourdin, Pontarlier, Franche-Comte, France, 25300</t>
  </si>
  <si>
    <t xml:space="preserve">Le second groupe immobilier de France ! INTOO Habitat regroupe pour vos projets les activités d'agence immobilière, de promotion immobilière, d'aménagement foncier et lotissements, d'opération marchand de biens, de courtage en financement et en assurance.</t>
  </si>
  <si>
    <t xml:space="preserve">Co-fondateur et COO</t>
  </si>
  <si>
    <t xml:space="preserve">Mentor Goal</t>
  </si>
  <si>
    <t>thomas.zambon@mentorgoal.com</t>
  </si>
  <si>
    <t>http://www.linkedin.com/in/thomaszambon</t>
  </si>
  <si>
    <t>http://www.mentorgoal.com</t>
  </si>
  <si>
    <t xml:space="preserve">Accompagner vos étudiants vers l’alternance n’a jamais été aussi simple. Une plateforme conçue pour faciliter le travail de vos équipes au quotidien. Découvrir les fonctionnalités Réserver une démo.</t>
  </si>
  <si>
    <t xml:space="preserve">Co-Founder &amp; Directeur associé</t>
  </si>
  <si>
    <t>Activops</t>
  </si>
  <si>
    <t>yann.laporte@activops.fr</t>
  </si>
  <si>
    <t>http://www.linkedin.com/in/yann-laporte-a35610124</t>
  </si>
  <si>
    <t>http://www.activops.fr</t>
  </si>
  <si>
    <t xml:space="preserve">Puteaux, Ile-de-France, France, 92800</t>
  </si>
  <si>
    <t xml:space="preserve">Activops vous accompagne dans la mise en oeuvre et la maintenance de votre projet Dynamics 365 - CRM - ERP.</t>
  </si>
  <si>
    <t>Raoul</t>
  </si>
  <si>
    <t>WISEORGA</t>
  </si>
  <si>
    <t>christian.raoul@wiseorga.com</t>
  </si>
  <si>
    <t>http://www.linkedin.com/in/christian-raoul-6434a14</t>
  </si>
  <si>
    <t>http://www.wiseorga.com</t>
  </si>
  <si>
    <t xml:space="preserve">28 Rue Vignon, Paris, Ile-de-France, France, 75009</t>
  </si>
  <si>
    <t>Deneu</t>
  </si>
  <si>
    <t xml:space="preserve">Directrice associée et fondatrice de SD Performance</t>
  </si>
  <si>
    <t xml:space="preserve">Cosma Experts</t>
  </si>
  <si>
    <t>sdeneu@cosma-experts.com</t>
  </si>
  <si>
    <t>http://www.linkedin.com/in/sylvie-deneu-8161a772</t>
  </si>
  <si>
    <t>http://www.cosma-experts.fr</t>
  </si>
  <si>
    <t xml:space="preserve">Découvrez nos solutions pour atteindre vos objectifs grâce à nos 50 experts sectoriels pour dynamiser vos enjeux économiques.</t>
  </si>
  <si>
    <t>Spas</t>
  </si>
  <si>
    <t xml:space="preserve">Gimbal Cube</t>
  </si>
  <si>
    <t>sebastien.spas@gimbalcube.com</t>
  </si>
  <si>
    <t>http://www.linkedin.com/in/lucneoseb</t>
  </si>
  <si>
    <t>http://www.gimbalcube.com</t>
  </si>
  <si>
    <t xml:space="preserve">Gimbal Cube creates custom software solutions and cutting-edge interactive experiences across all platforms for businesses and brands worldwide.</t>
  </si>
  <si>
    <t>Chevallard</t>
  </si>
  <si>
    <t xml:space="preserve">Co-Founder and Head of Programs</t>
  </si>
  <si>
    <t>IRIDESENSE</t>
  </si>
  <si>
    <t>elise.chevallard@iridesense.tech</t>
  </si>
  <si>
    <t>http://www.linkedin.com/in/elise-chevallard-45a7b3129</t>
  </si>
  <si>
    <t>http://www.iridesense.tech</t>
  </si>
  <si>
    <t>Palaiseau</t>
  </si>
  <si>
    <t xml:space="preserve">8 Esplanade de la Manufacture, Issy-les-Moulineaux, Ile-de-France, France, 92130</t>
  </si>
  <si>
    <t xml:space="preserve">Iridesense is a company offering the First 3D SWIR Multispectral Perception Solution, which allows to see invisible things in 3D and colors and make spectral analysis at long distance without calibration.</t>
  </si>
  <si>
    <t xml:space="preserve">Cofounder and CEO / CFO</t>
  </si>
  <si>
    <t>ARTIFY</t>
  </si>
  <si>
    <t>christophe.roux@artify.fr</t>
  </si>
  <si>
    <t>http://www.linkedin.com/in/christopheroux1</t>
  </si>
  <si>
    <t>http://www.artify.fr</t>
  </si>
  <si>
    <t xml:space="preserve">1 Rue Leonard de Vinci, Evron, Pays de la Loire, France, 53600</t>
  </si>
  <si>
    <t xml:space="preserve">ARTIFY met l'Art au service de l'entreprise grâce à sa galerie d'art numérique. Une alternative à la location d'œuvre d'art.</t>
  </si>
  <si>
    <t>Dasprez</t>
  </si>
  <si>
    <t>HexaGroup</t>
  </si>
  <si>
    <t>adasprez@hexagroup.com</t>
  </si>
  <si>
    <t>http://www.linkedin.com/in/arnaud-dasprez-3a949a</t>
  </si>
  <si>
    <t>http://www.hexagroup.com</t>
  </si>
  <si>
    <t xml:space="preserve">3411 Mt Vernon St, Houston, Texas, United States, 77006</t>
  </si>
  <si>
    <t xml:space="preserve">HexaGroup is a leading Houston B2B marketing agency with solid strategy, content, creativity and technical expertise.</t>
  </si>
  <si>
    <t>Dalibon</t>
  </si>
  <si>
    <t xml:space="preserve">Directeur général France</t>
  </si>
  <si>
    <t xml:space="preserve">CORTEXIA smart. clean. sustainable</t>
  </si>
  <si>
    <t>laurent.dalibon@cortexia.ch</t>
  </si>
  <si>
    <t>http://www.linkedin.com/in/laurent-dalibon-631669aa</t>
  </si>
  <si>
    <t>http://www.cortexia.ch</t>
  </si>
  <si>
    <t xml:space="preserve">Chatel-Saint-Denis, Fribourg, Switzerland</t>
  </si>
  <si>
    <t xml:space="preserve">Nous aidons les villes à améliorer la qualité de vie des habitants et le respect de l’environnement, grâce à l'intelligence artificielle.</t>
  </si>
  <si>
    <t>Hartout</t>
  </si>
  <si>
    <t xml:space="preserve">Be Resilient Group</t>
  </si>
  <si>
    <t>xavier.hartout@beresilientgroup.com</t>
  </si>
  <si>
    <t>http://www.linkedin.com/in/xavier-hartout-7b87a911</t>
  </si>
  <si>
    <t>http://www.beresilientgroup.com</t>
  </si>
  <si>
    <t xml:space="preserve">BRG Groupe : spécialiste en résilience organisationnelle et continuité d'activité : gestion de risques, gestion de crises, cyber-résilience...</t>
  </si>
  <si>
    <t>Ragons</t>
  </si>
  <si>
    <t xml:space="preserve">CTO, Lead Developper / Software Engineer, Co-Founder</t>
  </si>
  <si>
    <t>BeesApps</t>
  </si>
  <si>
    <t>jeancharles.ragons@beesapps.com</t>
  </si>
  <si>
    <t>http://www.linkedin.com/in/jcragons</t>
  </si>
  <si>
    <t>http://www.beesapps.com</t>
  </si>
  <si>
    <t xml:space="preserve">13 Rue de Chateaudun, Paris, Ile-de-France, France, 75009</t>
  </si>
  <si>
    <t>Sofien</t>
  </si>
  <si>
    <t>Brahim</t>
  </si>
  <si>
    <t xml:space="preserve">Unité Consulting</t>
  </si>
  <si>
    <t>sofien.benbrahim@unite-consulting.fr</t>
  </si>
  <si>
    <t>http://www.linkedin.com/in/sofien-ben-brahim-52448b5a</t>
  </si>
  <si>
    <t>http://www.unite.consulting</t>
  </si>
  <si>
    <t xml:space="preserve">10 Rue de la Paix, Paris, Ile-de-France, France, 75002</t>
  </si>
  <si>
    <t>Sibony</t>
  </si>
  <si>
    <t xml:space="preserve">Producer / CEO</t>
  </si>
  <si>
    <t>Schmooze</t>
  </si>
  <si>
    <t>mat@schmooze.fr</t>
  </si>
  <si>
    <t>http://www.linkedin.com/in/matthieu-sibony-18661855</t>
  </si>
  <si>
    <t>http://www.schmooze.fr</t>
  </si>
  <si>
    <t xml:space="preserve">25 Rue Henry Monnier, Paris, Ile-de-France, France, 75009</t>
  </si>
  <si>
    <t xml:space="preserve">Schmooze is a music supervision and sound production company specializing in TV advertising music sound-beds, movie soundtracks, and film scores.</t>
  </si>
  <si>
    <t>Sussan</t>
  </si>
  <si>
    <t xml:space="preserve">Expert-comptable - CEO Partner</t>
  </si>
  <si>
    <t>ekomind</t>
  </si>
  <si>
    <t>eb@ekomind.fr</t>
  </si>
  <si>
    <t>http://www.linkedin.com/in/eric-ben-sussan</t>
  </si>
  <si>
    <t>http://www.ekomind.fr</t>
  </si>
  <si>
    <t xml:space="preserve">10 Rue de Laborde, Paris, Ile-de-France, France, 75008</t>
  </si>
  <si>
    <t xml:space="preserve">ekomind est à la fois une agence de DAF part-time &amp; un cabinet d’expertise-comptable au service des entrepreneur.e.s</t>
  </si>
  <si>
    <t>Sforza</t>
  </si>
  <si>
    <t xml:space="preserve">Co-Founder &amp; President</t>
  </si>
  <si>
    <t>APIK</t>
  </si>
  <si>
    <t>francois.sforza@api-k.com</t>
  </si>
  <si>
    <t>http://www.linkedin.com/in/francois-sforza-907224</t>
  </si>
  <si>
    <t>http://www.api-k.com</t>
  </si>
  <si>
    <t xml:space="preserve">Le Bourget-du-Lac, Auvergne-Rhone-Alpes, France</t>
  </si>
  <si>
    <t xml:space="preserve">Collectivités, domaines skiables, entreprises privées... Selon vos besoins, choisissez parmi nos offres sur étagère, prêtes à être déployées. Grâce à l'éventail de compétences chez APIK, notre équipe vous accompagne également sur des projets spécifiques. VOIR + SUR LE KIP</t>
  </si>
  <si>
    <t>Yankel</t>
  </si>
  <si>
    <t>Elgrably</t>
  </si>
  <si>
    <t xml:space="preserve">FIRST Conseil</t>
  </si>
  <si>
    <t>yankel.elgrably@first-conseil.com</t>
  </si>
  <si>
    <t>http://www.linkedin.com/in/yankel-elgrably-16159646</t>
  </si>
  <si>
    <t>http://www.first-conseil.com</t>
  </si>
  <si>
    <t xml:space="preserve">18 Avenue Winston Churchill, Charenton-le-Pont, Ile-de-France, France, 94220</t>
  </si>
  <si>
    <t xml:space="preserve">Directeur Général / Managing Director</t>
  </si>
  <si>
    <t>Mondeca</t>
  </si>
  <si>
    <t>christophe.prigent@mondeca.com</t>
  </si>
  <si>
    <t>http://www.linkedin.com/in/christophe-prigent-89a5452</t>
  </si>
  <si>
    <t>http://www.mondeca.com</t>
  </si>
  <si>
    <t xml:space="preserve">35 Boulevard de Strasbourg, Paris, Ile-de-France, France, 75010</t>
  </si>
  <si>
    <t xml:space="preserve">Fluree Mondeca’s semantic product suite specializes in taxonomy &amp; ontology management software, AI content annotation, and knowledge graph management.</t>
  </si>
  <si>
    <t>Generali</t>
  </si>
  <si>
    <t>OTSI</t>
  </si>
  <si>
    <t>sylvain.generali@otsi.fr</t>
  </si>
  <si>
    <t>http://www.linkedin.com/in/sylvain-generali-4653878b</t>
  </si>
  <si>
    <t>http://www.otsi.fr</t>
  </si>
  <si>
    <t xml:space="preserve">13 Rue du Vieux-Pont, Nanterre, Ile-de-France, France, 92000</t>
  </si>
  <si>
    <t xml:space="preserve">Pour un déménagement de datacenter, OTSI vous accompagne depuis la stratégie de relocalisation de la salle serveur jusqu'au déménagement IT.</t>
  </si>
  <si>
    <t>Bris</t>
  </si>
  <si>
    <t xml:space="preserve">Co-fondateur / Directeur Produit et Technique</t>
  </si>
  <si>
    <t>Hupla</t>
  </si>
  <si>
    <t>corentin.lebris@idiversity.cc</t>
  </si>
  <si>
    <t>http://www.linkedin.com/in/corentinlebris</t>
  </si>
  <si>
    <t>http://www.hupla.co</t>
  </si>
  <si>
    <t xml:space="preserve">1 Rue Galvani, Massy, Ile-de-France, France, 91300</t>
  </si>
  <si>
    <t xml:space="preserve">Best online cruise deals with MSC Cruises, Norwegian Cruise Lines, Aurora Expeditions, Silversea. Impartial advice from a team of experts.</t>
  </si>
  <si>
    <t>Salvucci</t>
  </si>
  <si>
    <t xml:space="preserve">Co-Founder &amp; Chief Technology Officer</t>
  </si>
  <si>
    <t>METAV.RS</t>
  </si>
  <si>
    <t>jeremie@metav.rs</t>
  </si>
  <si>
    <t>http://www.linkedin.com/in/j%c3%a9r%c3%a9mie-salvucci-321679225</t>
  </si>
  <si>
    <t>http://www.power.xyz</t>
  </si>
  <si>
    <t>Villemomble</t>
  </si>
  <si>
    <t>Laurene</t>
  </si>
  <si>
    <t>Brunel</t>
  </si>
  <si>
    <t>RÉVINAX</t>
  </si>
  <si>
    <t>laurene.lopes-brunel@revinax.net</t>
  </si>
  <si>
    <t>http://www.linkedin.com/in/laurenelopesbrunel</t>
  </si>
  <si>
    <t>http://www.revinax.net</t>
  </si>
  <si>
    <t xml:space="preserve">55 Rue de Clery, Paris, Ile-de-France, France, 75002</t>
  </si>
  <si>
    <t xml:space="preserve">Enseignez un geste ou une procédure technique  en un temps record grâce à la réalité virtuelle !</t>
  </si>
  <si>
    <t>Platteau</t>
  </si>
  <si>
    <t xml:space="preserve">Co-founder &amp; Chief Executive Officer</t>
  </si>
  <si>
    <t>Pickers</t>
  </si>
  <si>
    <t>clement@agence-pickers.fr</t>
  </si>
  <si>
    <t>http://www.linkedin.com/in/clement-platteau-b967aa26</t>
  </si>
  <si>
    <t>http://www.agence-pickers.fr</t>
  </si>
  <si>
    <t xml:space="preserve">15 Rue d'Hauteville, Paris, Ile-de-France, France, 75010</t>
  </si>
  <si>
    <t xml:space="preserve">Pickers est une agence de marketing digital experte en acquisition en ligne depuis 2016 : gestion de campagnes Google Ads, SEO et Social ads</t>
  </si>
  <si>
    <t>Segard</t>
  </si>
  <si>
    <t>AKORIS</t>
  </si>
  <si>
    <t>dsegard@akoris.fr</t>
  </si>
  <si>
    <t>http://www.linkedin.com/in/dominique-segard-a02156312</t>
  </si>
  <si>
    <t>http://www.akoris.finance</t>
  </si>
  <si>
    <t xml:space="preserve">2 Rue Dufrenoy, Paris, Ile-de-France, France, 75116</t>
  </si>
  <si>
    <t xml:space="preserve">Réussissez vos acquisitions avec AKORIS Finance, cabinet de conseil en fusion-acquisition spécialisé en ingénierie financière et stratégie. Expertise et accompagnement sur mesure pour identifier, évaluer et acquérir les entreprises cibles.</t>
  </si>
  <si>
    <t>Franck-Yves</t>
  </si>
  <si>
    <t>Inglebert</t>
  </si>
  <si>
    <t>Eye2scan</t>
  </si>
  <si>
    <t>franck-yves.inglebert@eye2scan.com</t>
  </si>
  <si>
    <t>http://www.linkedin.com/in/fyinglebert</t>
  </si>
  <si>
    <t>http://www.eye2scan.com</t>
  </si>
  <si>
    <t xml:space="preserve">16 Rue Camille Pelletan, Levallois-Perret, Ile-de-France, France, 92300</t>
  </si>
  <si>
    <t xml:space="preserve">Débloquez le potentiel de l'automatisation et de la data analytics pour la détection d'anomalies, la gestion des risques et la lutte contre la fraude.</t>
  </si>
  <si>
    <t>Henvino</t>
  </si>
  <si>
    <t>Diffo</t>
  </si>
  <si>
    <t>Codezys</t>
  </si>
  <si>
    <t>henvino.diffo@codezys.com</t>
  </si>
  <si>
    <t>http://www.linkedin.com/in/henvino-diffo-47aa0439</t>
  </si>
  <si>
    <t>http://www.codezys.com</t>
  </si>
  <si>
    <t>Dupouy</t>
  </si>
  <si>
    <t xml:space="preserve">Knock Knock</t>
  </si>
  <si>
    <t>leo@knock-knock.fr</t>
  </si>
  <si>
    <t>http://www.linkedin.com/in/l%c3%a9o-dupouy</t>
  </si>
  <si>
    <t>http://www.knock-knock.fr</t>
  </si>
  <si>
    <t>Pessac</t>
  </si>
  <si>
    <t xml:space="preserve">La plateforme d'orchestration et d'automatisation de test d'intrusion cyber</t>
  </si>
  <si>
    <t>Lepelletier</t>
  </si>
  <si>
    <t>kheoos</t>
  </si>
  <si>
    <t>guillaume.lepelletier@kheoos.com</t>
  </si>
  <si>
    <t>http://www.linkedin.com/in/guillaume-lepelletier-50311533</t>
  </si>
  <si>
    <t>http://www.kheoos.com</t>
  </si>
  <si>
    <t xml:space="preserve">Moirans, Auvergne-Rhone-Alpes, France</t>
  </si>
  <si>
    <t xml:space="preserve">Solutions B2B pour le réemploi des pièces de maintenance industrielle. Anticipez l'obsolescence, achetez et vendez vos pièces | kheoos</t>
  </si>
  <si>
    <t xml:space="preserve">Sine Qua Non</t>
  </si>
  <si>
    <t>romain.guillaume@sinequanon.fr</t>
  </si>
  <si>
    <t>http://www.linkedin.com/in/romain-guillaume-503b6926</t>
  </si>
  <si>
    <t>http://www.sinequanon.fr</t>
  </si>
  <si>
    <t xml:space="preserve">8 Place Lachambeaudie, Paris, Ile-de-France, France, 75012</t>
  </si>
  <si>
    <t xml:space="preserve">Votre partenaire informatique et Telecom depuis 1996. L'informatique simple, efficace et flexible. L''expertise informatique Paris</t>
  </si>
  <si>
    <t xml:space="preserve">Co-founder and Chief Product and Technology Officer</t>
  </si>
  <si>
    <t>BRIDGR</t>
  </si>
  <si>
    <t>mehdi@bridgr.co</t>
  </si>
  <si>
    <t>http://www.linkedin.com/in/mdrissi</t>
  </si>
  <si>
    <t>http://www.bridgr.co</t>
  </si>
  <si>
    <t xml:space="preserve">414 Rue McGill, Montreal, Quebec, Canada, H2Y 2G1</t>
  </si>
  <si>
    <t xml:space="preserve">All in one Platform to Automate Assessment and provide Action Plans with the only platform that respects your time and amplifies your abilities.</t>
  </si>
  <si>
    <t>Ceresys</t>
  </si>
  <si>
    <t>bfournier@ceresys.com</t>
  </si>
  <si>
    <t>http://www.linkedin.com/in/benoit-fournier-a7599519</t>
  </si>
  <si>
    <t>http://www.ceresys.com</t>
  </si>
  <si>
    <t xml:space="preserve">5 Chemin du Jubin, Dardilly, Auvergne-Rhone-Alpes, France, 69570</t>
  </si>
  <si>
    <t>Delacourt</t>
  </si>
  <si>
    <t xml:space="preserve">CEO, Associé fondateur - ERP et BI pour les PME</t>
  </si>
  <si>
    <t xml:space="preserve">Alter SI</t>
  </si>
  <si>
    <t>thomas@alter-si.fr</t>
  </si>
  <si>
    <t>http://www.linkedin.com/in/tdelacourt</t>
  </si>
  <si>
    <t>http://www.alter-si.fr</t>
  </si>
  <si>
    <t xml:space="preserve">Développez le système d'information de votre PME. ERP, solutions d'analyses de données, de tableaux de bord. Automatisez les tâches les plus répétitives.</t>
  </si>
  <si>
    <t>Eiso</t>
  </si>
  <si>
    <t>Kant</t>
  </si>
  <si>
    <t>poolside</t>
  </si>
  <si>
    <t>eiso@poolside.ai</t>
  </si>
  <si>
    <t>http://www.linkedin.com/in/eisokant</t>
  </si>
  <si>
    <t>http://www.poolside.ai</t>
  </si>
  <si>
    <t xml:space="preserve">2115 N Vancouver Ave, Portland, Oregon, United States, 97227-1918</t>
  </si>
  <si>
    <t xml:space="preserve">The best code you never wrote</t>
  </si>
  <si>
    <t xml:space="preserve">Associate Founder - Chief Commercial Officer</t>
  </si>
  <si>
    <t>Qwanteos</t>
  </si>
  <si>
    <t>l.thomas@qwanteos.com</t>
  </si>
  <si>
    <t>http://www.linkedin.com/in/laurent-thomas-lts</t>
  </si>
  <si>
    <t>http://www.qwanteos.com</t>
  </si>
  <si>
    <t xml:space="preserve">Lalana Pasteur, Antananarivo, Antananarivo Province, Madagascar</t>
  </si>
  <si>
    <t>Madagascar</t>
  </si>
  <si>
    <t xml:space="preserve">Qwanteos is a company specialized in data processing, annotation and labeling services dedicated to artificial intelligence professionals.</t>
  </si>
  <si>
    <t>Villechenon</t>
  </si>
  <si>
    <t>Kicklox</t>
  </si>
  <si>
    <t>romain.villechenon@kicklox.com</t>
  </si>
  <si>
    <t>http://www.linkedin.com/in/romainvillechenon</t>
  </si>
  <si>
    <t>http://www.kicklox.com</t>
  </si>
  <si>
    <t xml:space="preserve">66 Avenue des Champs-Elysees, Paris, Ile-de-France, France, 75008</t>
  </si>
  <si>
    <t xml:space="preserve">Recrutez des talents ou collaborez avec des freelances parmi plus de 160,000 ingénieurs et talents tech inscrits sur notre plateforme.</t>
  </si>
  <si>
    <t>Bilal</t>
  </si>
  <si>
    <t>Alaoui-Ismaili</t>
  </si>
  <si>
    <t>FAME</t>
  </si>
  <si>
    <t>bilal@algofame.org</t>
  </si>
  <si>
    <t>http://www.linkedin.com/in/bilal-brahim</t>
  </si>
  <si>
    <t>http://www.algofame.org</t>
  </si>
  <si>
    <t xml:space="preserve">Chartres, Centre-Val de Loire, France, 28000</t>
  </si>
  <si>
    <t xml:space="preserve">FAME is a decentralized platform on Algorand that connects workers, drivers, farmers, and consumers in developing countries to facilitate peer-to-peer transactions in the food industry. The goal is to empower local communities and decentralize the food industry.</t>
  </si>
  <si>
    <t>Faivre</t>
  </si>
  <si>
    <t xml:space="preserve">General Manager / Directrice Générale</t>
  </si>
  <si>
    <t xml:space="preserve">SC Johnson Professional France</t>
  </si>
  <si>
    <t>isabelle.faivre@scj.com</t>
  </si>
  <si>
    <t>http://www.linkedin.com/in/isabellefaivre</t>
  </si>
  <si>
    <t>http://www.scj.com</t>
  </si>
  <si>
    <t>Rungis</t>
  </si>
  <si>
    <t xml:space="preserve">Rungis, Ile-de-France, France, 94150</t>
  </si>
  <si>
    <t>Desneux</t>
  </si>
  <si>
    <t xml:space="preserve">Co-founder, CTO</t>
  </si>
  <si>
    <t>IoT.bzh</t>
  </si>
  <si>
    <t>stephane.desneux@iot.bzh</t>
  </si>
  <si>
    <t>http://www.linkedin.com/in/kooltux</t>
  </si>
  <si>
    <t>http://www.iot.bzh</t>
  </si>
  <si>
    <t xml:space="preserve">5 Cours de Chazelles, Lorient, Brittany, France, 56100</t>
  </si>
  <si>
    <t xml:space="preserve">Cybersecurity &amp; Open Source Software. IOT.BZH help you solve the growing complexity of your IoT Linux-based projects</t>
  </si>
  <si>
    <t>Di</t>
  </si>
  <si>
    <t xml:space="preserve">COO &amp; co-founder</t>
  </si>
  <si>
    <t>Biolevate</t>
  </si>
  <si>
    <t>nathan@biolevate.com</t>
  </si>
  <si>
    <t>http://www.linkedin.com/in/nathandichen</t>
  </si>
  <si>
    <t>http://www.biolevate.com</t>
  </si>
  <si>
    <t>Fontainebleau</t>
  </si>
  <si>
    <t xml:space="preserve">Accelerating Therapeutic Innovation: AI-Enhanced Workflow Automation</t>
  </si>
  <si>
    <t xml:space="preserve">Opale Systems</t>
  </si>
  <si>
    <t>marc.lorenzi@opalesystems.com</t>
  </si>
  <si>
    <t>http://www.linkedin.com/in/marclorenzi</t>
  </si>
  <si>
    <t>http://www.opalesystems.com</t>
  </si>
  <si>
    <t xml:space="preserve">6 Rue Dewoitine, Velizy-Villacoublay, Ile-de-France, France, 78140</t>
  </si>
  <si>
    <t xml:space="preserve">Opale Systems deliver reference voice quality measurement systems to service providers and telecom manufacturers. But also ensure the delivery of network and applications services to end users at any time, on any device, and from anywhere.</t>
  </si>
  <si>
    <t>ESBD</t>
  </si>
  <si>
    <t>jbesnard@esbd.eu</t>
  </si>
  <si>
    <t>http://www.linkedin.com/in/jacques-besnard</t>
  </si>
  <si>
    <t>http://www.bluefinch-esbd.com</t>
  </si>
  <si>
    <t>Metz-Tessy</t>
  </si>
  <si>
    <t xml:space="preserve">65 Rue de France, Neufchateau, Grand Est, France, 88300</t>
  </si>
  <si>
    <t xml:space="preserve">BlueFinch-ESBD, your European partner of secure professional software solutions. Discover our software and services around cybersecurity and managed file transfer. .</t>
  </si>
  <si>
    <t>Payal</t>
  </si>
  <si>
    <t>Vohra</t>
  </si>
  <si>
    <t xml:space="preserve">RAMCO SA</t>
  </si>
  <si>
    <t>payal@ramco.tg</t>
  </si>
  <si>
    <t>http://www.linkedin.com/in/payal-shriyan-vohra-26532b230</t>
  </si>
  <si>
    <t>http://www.ramco.tg</t>
  </si>
  <si>
    <t xml:space="preserve">Avenue du 24 Janvier, Lome, Maritime Region, Togo</t>
  </si>
  <si>
    <t>Togo</t>
  </si>
  <si>
    <t>Mardi</t>
  </si>
  <si>
    <t xml:space="preserve">Co-Dirigeant et Associé - Executive Coach</t>
  </si>
  <si>
    <t>omardi@trajectives.com</t>
  </si>
  <si>
    <t>http://www.linkedin.com/in/olivier-mardi-3b59a139</t>
  </si>
  <si>
    <t>dDruid</t>
  </si>
  <si>
    <t>florian.petit@ddruid.io</t>
  </si>
  <si>
    <t>http://www.linkedin.com/in/florian-petit-creative-people</t>
  </si>
  <si>
    <t>http://www.ddruid.io</t>
  </si>
  <si>
    <t xml:space="preserve">Strasbourg, Grand Est, France, 67000</t>
  </si>
  <si>
    <t xml:space="preserve">dDruid - Créez vos applications IoT métiers plus rapidement et plus facilement grâce à notre plateforme IoT No Code.</t>
  </si>
  <si>
    <t>Nianta</t>
  </si>
  <si>
    <t>Diarra</t>
  </si>
  <si>
    <t xml:space="preserve">All'in by Lendys</t>
  </si>
  <si>
    <t>nianta.diarra@allin-consulting.com</t>
  </si>
  <si>
    <t>http://www.linkedin.com/in/nianta-diarra-11950611</t>
  </si>
  <si>
    <t>http://www.allin-consulting.com</t>
  </si>
  <si>
    <t xml:space="preserve">93 Rue Saint-Lazare, Paris, Ile-de-France, France, 75009</t>
  </si>
  <si>
    <t xml:space="preserve">Cabinet de conseil en Banque-Finance qui accompagne les directions financières sur des projets comptables, réglementaires, risques et contrôle de gestion.</t>
  </si>
  <si>
    <t>Agaetis</t>
  </si>
  <si>
    <t>nroux@agaetis.fr</t>
  </si>
  <si>
    <t>http://www.linkedin.com/in/nicolasbroux</t>
  </si>
  <si>
    <t>http://www.agaetis.fr</t>
  </si>
  <si>
    <t xml:space="preserve">10 Allee Evariste Galois, Clermont-Ferrand, Auvergne-Rhone-Alpes, France, 63000</t>
  </si>
  <si>
    <t xml:space="preserve">Découvrez comment Agaetis innove avec intelligence pour transformer les innovations en nouveaux gisements de valeur. Partenaire privilégié pour naviguer avec succès dans le paysage complexe des technologies émergentes. Libérez tout le potentiel de vos données et propulsez la performance de votre entreprise.</t>
  </si>
  <si>
    <t xml:space="preserve">Principal &amp; Co-Founder</t>
  </si>
  <si>
    <t xml:space="preserve">P3 energy solutions</t>
  </si>
  <si>
    <t>jeremie.bertrand@p3-group.com</t>
  </si>
  <si>
    <t>http://www.linkedin.com/in/j%c3%a9r%c3%a9mie-bertrand-08918389</t>
  </si>
  <si>
    <t>http://www.p3-energysolutions.com</t>
  </si>
  <si>
    <t xml:space="preserve">Munich, Bavaria, Germany, 80807</t>
  </si>
  <si>
    <t>Binetruy</t>
  </si>
  <si>
    <t xml:space="preserve">Co-founder and CTO</t>
  </si>
  <si>
    <t>PyratzLabs</t>
  </si>
  <si>
    <t>tbin@pyratzlabs.com</t>
  </si>
  <si>
    <t>http://www.linkedin.com/in/thomas-binetruy-0419b845</t>
  </si>
  <si>
    <t>http://www.pyratzlabs.com</t>
  </si>
  <si>
    <t xml:space="preserve">7 Rue Pablo Neruda, Levallois-Perret, Ile-de-France, France, 92300</t>
  </si>
  <si>
    <t xml:space="preserve">We empower founders to build, fund and scale ambitious Web3 startups. PyratzLabs gathers the Web3 founders community, join us and let's talk together about web3 entrepreneurship.</t>
  </si>
  <si>
    <t>Tacchini</t>
  </si>
  <si>
    <t xml:space="preserve">Nfinity Labs</t>
  </si>
  <si>
    <t>alexandre@nfinitylabs.co</t>
  </si>
  <si>
    <t>http://www.linkedin.com/in/alexandre-tacchini-2a402485</t>
  </si>
  <si>
    <t>http://www.nfinitylabs.co</t>
  </si>
  <si>
    <t xml:space="preserve">The All-in-one agency to help you build and strive in Web3.</t>
  </si>
  <si>
    <t>Assie</t>
  </si>
  <si>
    <t xml:space="preserve">Directeur Général SenDOC</t>
  </si>
  <si>
    <t>SenDOC</t>
  </si>
  <si>
    <t>denis.assie@sendoc.fr</t>
  </si>
  <si>
    <t>http://www.linkedin.com/in/denis-assi%c3%a9-203298136</t>
  </si>
  <si>
    <t>http://www.sendoc.fr</t>
  </si>
  <si>
    <t xml:space="preserve">8 Rue de Vienne, Rodez, Occitanie, France, 12000</t>
  </si>
  <si>
    <t xml:space="preserve">SenDOC vous accompagne dans votre dématérialisation : Audit &amp; conseil, Numérisation, Gestion Electronique de Documents, Archivage...</t>
  </si>
  <si>
    <t>Cliris</t>
  </si>
  <si>
    <t>alexandre.zeller@clirisgroup.com</t>
  </si>
  <si>
    <t>http://www.linkedin.com/in/alexandre-zeller-a2224</t>
  </si>
  <si>
    <t>http://www.clirisgroup.com</t>
  </si>
  <si>
    <t xml:space="preserve">6 Rue de Bitche, Courbevoie, Ile-de-France, France, 92400</t>
  </si>
  <si>
    <t>Gaouyat</t>
  </si>
  <si>
    <t>O'communication</t>
  </si>
  <si>
    <t>yann@o-communication.com</t>
  </si>
  <si>
    <t>http://www.linkedin.com/in/yannlegaouyat</t>
  </si>
  <si>
    <t>http://www.o-communication.com</t>
  </si>
  <si>
    <t xml:space="preserve">29 Rue Eugene Eichenberger, Puteaux, Ile-de-France, France, 92800</t>
  </si>
  <si>
    <t xml:space="preserve">L'agence O'communication développe des stratégies pour guider votre communication vers une croissance plus durable.</t>
  </si>
  <si>
    <t>Maurice-Peroumal</t>
  </si>
  <si>
    <t>Team-X</t>
  </si>
  <si>
    <t>dmp@timmxware.com</t>
  </si>
  <si>
    <t>http://www.linkedin.com/in/didier-maurice-peroumal-909bb6</t>
  </si>
  <si>
    <t>http://www.teamx.fr</t>
  </si>
  <si>
    <t xml:space="preserve">10 Rue du Progres, Montreuil, Ile-de-France, France, 93100</t>
  </si>
  <si>
    <t xml:space="preserve">Team-X acteur de la transformation digitale met au défi nos super-héros de la Tech de trouver les solutions numériques de demain !</t>
  </si>
  <si>
    <t>Deglaine</t>
  </si>
  <si>
    <t xml:space="preserve">Co-founder &amp; CTO @ SWAPPY - We're hiring!</t>
  </si>
  <si>
    <t>SWAPPY</t>
  </si>
  <si>
    <t>mdeglaine@swappy.fr</t>
  </si>
  <si>
    <t>http://www.linkedin.com/in/maxence-deglaine-b69aab10b</t>
  </si>
  <si>
    <t>http://www.swappy.fr</t>
  </si>
  <si>
    <t>Checa</t>
  </si>
  <si>
    <t xml:space="preserve"> IntecMedia</t>
  </si>
  <si>
    <t>d.velacheca@intecmedia.fr</t>
  </si>
  <si>
    <t>http://www.linkedin.com/in/daniel-vela-checa-3652b9126</t>
  </si>
  <si>
    <t>http://www.digitecpharma.fr</t>
  </si>
  <si>
    <t>Grans</t>
  </si>
  <si>
    <t xml:space="preserve">390 Avenue du Mistral, La Ciotat, Provence-Alpes-Cote d'Azur, France, 13600</t>
  </si>
  <si>
    <t xml:space="preserve">Simple, intuitive et interactive, la plateforme DigitecPharma, vous permet de gérer vos patients au comptoir, d’organiser vos services, et de déployer vos nouvelles missions avec votre équipe officinale.</t>
  </si>
  <si>
    <t>Louis-Victor</t>
  </si>
  <si>
    <t>Franssu</t>
  </si>
  <si>
    <t>Tremau</t>
  </si>
  <si>
    <t>louis-victor@tremau.com</t>
  </si>
  <si>
    <t>http://www.linkedin.com/in/louis-victor-de-franssu-44b94814</t>
  </si>
  <si>
    <t>http://www.tremau.com</t>
  </si>
  <si>
    <t xml:space="preserve">Need a platform to moderate your content? In Tremau, we've built a content moderation platform to build a safe and compliant digital world.</t>
  </si>
  <si>
    <t>Jacquemin</t>
  </si>
  <si>
    <t xml:space="preserve">Agence ADRING</t>
  </si>
  <si>
    <t>mathilde@adring.fr</t>
  </si>
  <si>
    <t>http://www.linkedin.com/in/mathilde-jacquemin-655956bb</t>
  </si>
  <si>
    <t>http://www.adring.fr</t>
  </si>
  <si>
    <t xml:space="preserve">109 Boulevard d'Haussonville, Nancy, Grand Est, France, 54000</t>
  </si>
  <si>
    <t xml:space="preserve">L'agence Adring vous accompagne dans vos campagnes publicitaires. Augmentez vos performances en combinant les leviers média digital et data !</t>
  </si>
  <si>
    <t>Groumellec</t>
  </si>
  <si>
    <t xml:space="preserve">MaPS System S.A</t>
  </si>
  <si>
    <t>romain.legroumellec@maps-system.com</t>
  </si>
  <si>
    <t>http://www.linkedin.com/in/romain-le-groumellec-b9902a8</t>
  </si>
  <si>
    <t>http://www.maps-system.com</t>
  </si>
  <si>
    <t xml:space="preserve">14 Rue de l'Industrie, Mondercange, Luxembourg District, Luxembourg, 3895</t>
  </si>
  <si>
    <t xml:space="preserve">Augmentez vos ventes ! Notre solution PIM, DAM MDM simplifie la collecte, l'enrichissement et la diffusion de vos données produits et médias.</t>
  </si>
  <si>
    <t>Beauville</t>
  </si>
  <si>
    <t xml:space="preserve">Président Fondateur - Finasens | Cabinet de Direction Financière Externalisée</t>
  </si>
  <si>
    <t>FINASENS</t>
  </si>
  <si>
    <t>etienne@finasens.com</t>
  </si>
  <si>
    <t>http://www.linkedin.com/in/etienne-de-beauvill%c3%a9-3871125</t>
  </si>
  <si>
    <t>http://www.finasens.com</t>
  </si>
  <si>
    <t>Foureur</t>
  </si>
  <si>
    <t xml:space="preserve">Co-founder &amp; Managing Director</t>
  </si>
  <si>
    <t>JustAI</t>
  </si>
  <si>
    <t>jonathan@justai.co</t>
  </si>
  <si>
    <t>http://www.linkedin.com/in/jonathan-foureur</t>
  </si>
  <si>
    <t>http://www.justai.co</t>
  </si>
  <si>
    <t xml:space="preserve">71 Rue Marcel Paul, Evreux, Normandy, France, 27000</t>
  </si>
  <si>
    <t xml:space="preserve">Nous assistons les industriels dans l'usage des technologies d'intelligence artificielle : stratégie, ingénierie, développement, gestion de projet, formation...</t>
  </si>
  <si>
    <t>Prodecys</t>
  </si>
  <si>
    <t>laurent.mengual@prodecys.com</t>
  </si>
  <si>
    <t>http://www.linkedin.com/in/laurentmengual</t>
  </si>
  <si>
    <t>http://www.prodecys.com</t>
  </si>
  <si>
    <t xml:space="preserve">535 Route des Lucioles, Provence-Alpes-Cote d'Azur, France, 06560</t>
  </si>
  <si>
    <t xml:space="preserve">Société de conseil en gestion de projet, nous vous accompagnons à structurer votre PMO : conseil, formations, PPM</t>
  </si>
  <si>
    <t>Remeur</t>
  </si>
  <si>
    <t xml:space="preserve">Co-Founder I CEO</t>
  </si>
  <si>
    <t>Hyppies</t>
  </si>
  <si>
    <t>jerome.remeur@hyppies.com</t>
  </si>
  <si>
    <t>http://www.linkedin.com/in/jremeur</t>
  </si>
  <si>
    <t>http://www.hyppies.com</t>
  </si>
  <si>
    <t xml:space="preserve">160 Robinson Rd, Singapore, Singapore, Singapore, 068914</t>
  </si>
  <si>
    <t>Odran</t>
  </si>
  <si>
    <t>Lagoute</t>
  </si>
  <si>
    <t xml:space="preserve">Associé Fondateur | Head of Operations &amp; Business Development</t>
  </si>
  <si>
    <t xml:space="preserve">Milestone Advisory</t>
  </si>
  <si>
    <t>odran.lagoute@milestone-advisory.fr</t>
  </si>
  <si>
    <t>http://www.linkedin.com/in/odranlagoute</t>
  </si>
  <si>
    <t>http://www.milestone-advisory.fr</t>
  </si>
  <si>
    <t xml:space="preserve">1 Rue de Stockholm, Paris, Ile-de-France, France, 75008</t>
  </si>
  <si>
    <t xml:space="preserve">Milestone Advisory, cabinet de conseil indépendant, développe ses activités autour d’expertises réglementaires fortes et fédère des compétences juridiques, opérationnelles et de gestion de projet au service des leaders des services financiers.</t>
  </si>
  <si>
    <t>ARDELEC-ENERGIE</t>
  </si>
  <si>
    <t>j.pau@ardelec-energie.fr</t>
  </si>
  <si>
    <t>http://www.linkedin.com/in/julien-pau-807504174</t>
  </si>
  <si>
    <t>http://www.ardelec-energie.fr</t>
  </si>
  <si>
    <t>Herlies</t>
  </si>
  <si>
    <t xml:space="preserve">7 Rue de la Maladrerie, Herlies, Hauts-de-France, France, 59134</t>
  </si>
  <si>
    <t>Roinel</t>
  </si>
  <si>
    <t>Philaë</t>
  </si>
  <si>
    <t>lroinel@philae-technologies.fr</t>
  </si>
  <si>
    <t>http://www.linkedin.com/in/lo%c3%afc-roinel-194046aa</t>
  </si>
  <si>
    <t>http://www.philae-technologies.fr</t>
  </si>
  <si>
    <t xml:space="preserve">5 Avenue des Peupliers, Cesson-Sevigne, Brittany, France, 35510</t>
  </si>
  <si>
    <t>Feret</t>
  </si>
  <si>
    <t xml:space="preserve">CFO - Co-Founder</t>
  </si>
  <si>
    <t xml:space="preserve">Black Winch</t>
  </si>
  <si>
    <t>sophie.feret@blackwinch.eu</t>
  </si>
  <si>
    <t>http://www.linkedin.com/in/sophie-feret-36166247</t>
  </si>
  <si>
    <t>http://www.blackwinch.eu</t>
  </si>
  <si>
    <t xml:space="preserve">19 Planciusstraat, Amsterdam, North Holland, Netherlands, 1013 MD</t>
  </si>
  <si>
    <t xml:space="preserve">Want to turn your business into a subscription model? Build or scale your product-as-a-service solution with Black Winch. Get started today.</t>
  </si>
  <si>
    <t>Dreveton</t>
  </si>
  <si>
    <t xml:space="preserve">Neofin Advisory</t>
  </si>
  <si>
    <t>julien.dreveton@neofin-advisory.com</t>
  </si>
  <si>
    <t>http://www.linkedin.com/in/julien-dreveton-73a1b965</t>
  </si>
  <si>
    <t>http://www.neofin.co.uk</t>
  </si>
  <si>
    <t xml:space="preserve">8 Mayfair Place, London, England, United Kingdom, W1J 8AJ</t>
  </si>
  <si>
    <t xml:space="preserve">We are an independent boutique consultancy firm providing services to Banks and Asset Managers About Us With professionals bringing experience from Strategy consulting, Big4 and global banks, our team has 100+ years of combined experience having delivered numerous complex projects in Risk Management, Regulatory Compliance, Automation and Sustainable Finance. Find Out More Risk and Regulation…</t>
  </si>
  <si>
    <t>Graesel</t>
  </si>
  <si>
    <t xml:space="preserve">Inflight Sales Group</t>
  </si>
  <si>
    <t>william.graesel@inflightsales.com</t>
  </si>
  <si>
    <t>http://www.linkedin.com/in/william-graesel-b42b8519</t>
  </si>
  <si>
    <t>http://www.inflightsales.com</t>
  </si>
  <si>
    <t xml:space="preserve">39 Wang Kwong Rd, Kowloon, Hong Kong</t>
  </si>
  <si>
    <t xml:space="preserve">Hong Kong</t>
  </si>
  <si>
    <t>Murat</t>
  </si>
  <si>
    <t>Dogan</t>
  </si>
  <si>
    <t xml:space="preserve">les couleurs du numérique</t>
  </si>
  <si>
    <t>murat.dogan@cngroup.fr</t>
  </si>
  <si>
    <t>http://www.linkedin.com/in/murat-dogan-53706644</t>
  </si>
  <si>
    <t>http://www.kesk.eu</t>
  </si>
  <si>
    <t xml:space="preserve">2 Rue Paul Tavernier, Fontainebleau, Ile-de-France, France, 77300</t>
  </si>
  <si>
    <t>Soum</t>
  </si>
  <si>
    <t>Kabaun</t>
  </si>
  <si>
    <t>nicolas@kabaun.com</t>
  </si>
  <si>
    <t>http://www.linkedin.com/in/nicolas-soum</t>
  </si>
  <si>
    <t>http://www.kabaun.com</t>
  </si>
  <si>
    <t xml:space="preserve">Bois-Colombes, Ile-de-France, France, 92270</t>
  </si>
  <si>
    <t xml:space="preserve">Discover Kabaun – the API-first platform for measuring, analyzing, and managing your carbon footprint. Begin your climate strategy today.</t>
  </si>
  <si>
    <t>Voidey</t>
  </si>
  <si>
    <t xml:space="preserve">Directeur Général - Cofondateur</t>
  </si>
  <si>
    <t>Wudo</t>
  </si>
  <si>
    <t>cyril.voidey@wudo.io</t>
  </si>
  <si>
    <t>http://www.linkedin.com/in/cyril-voidey-984a2596</t>
  </si>
  <si>
    <t>http://www.wudo.io</t>
  </si>
  <si>
    <t xml:space="preserve">30 Rue Francois Spoery, Mulhouse, Alsace, France, 68100</t>
  </si>
  <si>
    <t xml:space="preserve">Experts en animation de communautés, nous proposons des solutions communautaires pour les professionnels : entreprises, filières, territoires, ...</t>
  </si>
  <si>
    <t>Skaalab</t>
  </si>
  <si>
    <t>amine@skaalab.com</t>
  </si>
  <si>
    <t>http://www.linkedin.com/in/amineazizi</t>
  </si>
  <si>
    <t>http://www.skaalab.com</t>
  </si>
  <si>
    <t xml:space="preserve">Place de la Republique, Paris, Ile-de-France, France, 75011</t>
  </si>
  <si>
    <t xml:space="preserve">Skaalab aide les Startups à construire et élargir leurs équipes Tech, en donnant accès à un pool de talents international.</t>
  </si>
  <si>
    <t>Distel</t>
  </si>
  <si>
    <t xml:space="preserve">Distel SAS</t>
  </si>
  <si>
    <t>celine.distel@distel.fr</t>
  </si>
  <si>
    <t>http://www.linkedin.com/in/celine-distel-698a5417a</t>
  </si>
  <si>
    <t>http://www.distel.fr</t>
  </si>
  <si>
    <t xml:space="preserve">5 Rue des Gravieres, Brumath, Alsace, France, 67170</t>
  </si>
  <si>
    <t xml:space="preserve">Distel, depuis 1934 - vente, location d'accès en hauteur : Escabeau, plateforme, échelle, échafaudage, nacelle, chariot. Organisme de formation et de VGP.</t>
  </si>
  <si>
    <t>Bencherqui</t>
  </si>
  <si>
    <t xml:space="preserve">Former CEO and co-founder</t>
  </si>
  <si>
    <t>sebastien.bencherqui@echoline.fr</t>
  </si>
  <si>
    <t>http://www.linkedin.com/in/s%c3%a9bastien-bencherqui-001b881b</t>
  </si>
  <si>
    <t>Noel</t>
  </si>
  <si>
    <t xml:space="preserve">ATENEOS CONSEIL</t>
  </si>
  <si>
    <t>thomas.noel@ateneos.fr</t>
  </si>
  <si>
    <t>http://www.linkedin.com/in/noel-thomas-fondateur-ateneos-conseil</t>
  </si>
  <si>
    <t>http://www.ateneos.fr</t>
  </si>
  <si>
    <t xml:space="preserve">2 Rue de l'Arc-de-Triomphe, Paris, Ile-de-France, France, 75017</t>
  </si>
  <si>
    <t xml:space="preserve">Société de Conseil Spécialisée dans la Construction, les Transports, l'Energie et l'Industrie</t>
  </si>
  <si>
    <t>Giancarlo</t>
  </si>
  <si>
    <t xml:space="preserve">Hotel Project Management HPM</t>
  </si>
  <si>
    <t>g.basile@hpm-fr.com</t>
  </si>
  <si>
    <t>http://www.linkedin.com/in/giancarlo-basile-6853448</t>
  </si>
  <si>
    <t>http://www.hpm-fr.com</t>
  </si>
  <si>
    <t xml:space="preserve">20 Rue Jean-Baptiste Pigalle, Paris, Ile-de-France, France, 75009</t>
  </si>
  <si>
    <t>Jean-Yves</t>
  </si>
  <si>
    <t xml:space="preserve">Co-fondateur - Directeur commercial</t>
  </si>
  <si>
    <t>AGILiCOM</t>
  </si>
  <si>
    <t>jy.bois@agilicom.fr</t>
  </si>
  <si>
    <t>http://www.linkedin.com/in/jean-yves-bois-28463036</t>
  </si>
  <si>
    <t>http://www.agilicom.fr</t>
  </si>
  <si>
    <t xml:space="preserve">1 Rue de la Briaudiere, Ballan-Mire, Centre-Val de Loire, France, 37510</t>
  </si>
  <si>
    <t xml:space="preserve">Expert de la RéseauGérance industrielle depuis 2003, AGILiCOM vous accompagne pour concevoir, fiabiliser et sécuriser vos réseaux industriels.</t>
  </si>
  <si>
    <t>Jacomet</t>
  </si>
  <si>
    <t xml:space="preserve">PROCADRES INTERNATIONAL</t>
  </si>
  <si>
    <t>xavier.jacomet@procadres.com</t>
  </si>
  <si>
    <t>http://www.linkedin.com/in/xavierjacomet</t>
  </si>
  <si>
    <t>http://www.procadres.com</t>
  </si>
  <si>
    <t xml:space="preserve">5 Rue de Chazelles, Paris, Ile-de-France, France, 75017</t>
  </si>
  <si>
    <t xml:space="preserve">Procadres international, expert in interim management since 2002. Finance, industry, supply chain, France international operational expertise</t>
  </si>
  <si>
    <t>Georget</t>
  </si>
  <si>
    <t>Waapi</t>
  </si>
  <si>
    <t>toinon.georget@waapi.fr</t>
  </si>
  <si>
    <t>http://www.linkedin.com/in/toinon-georget-680100315</t>
  </si>
  <si>
    <t>http://www.waapi.fr</t>
  </si>
  <si>
    <t xml:space="preserve">290 Avenue Nina Simone, Montpellier, Occitanie, France, 34000</t>
  </si>
  <si>
    <t>Dautel</t>
  </si>
  <si>
    <t xml:space="preserve">Darwin X</t>
  </si>
  <si>
    <t>stephane.dautel@darwin-x.com</t>
  </si>
  <si>
    <t>http://www.linkedin.com/in/st%c3%a9phane-dautel-b7b54469</t>
  </si>
  <si>
    <t>http://www.darwin-x.com</t>
  </si>
  <si>
    <t xml:space="preserve">Boutique de conseil innovante, Darwin X allie l’expertise du consulting, à la conception de solutions tech et d’indices de mesure de performance des transformations.</t>
  </si>
  <si>
    <t>DIGIMOBEE</t>
  </si>
  <si>
    <t>sylvain.joly@digimobee.com</t>
  </si>
  <si>
    <t>http://www.linkedin.com/in/sylvain-joly-34a52a15</t>
  </si>
  <si>
    <t>http://www.digimobee.fr</t>
  </si>
  <si>
    <t xml:space="preserve">10 Rue Notre-Dame de Lorette, Paris, Ile-de-France, France, 75009</t>
  </si>
  <si>
    <t>Lebeaupin</t>
  </si>
  <si>
    <t xml:space="preserve">Founder - CTO</t>
  </si>
  <si>
    <t>noOp</t>
  </si>
  <si>
    <t>clebeaupin@noop.fr</t>
  </si>
  <si>
    <t>http://www.linkedin.com/in/cyrillelebeaupin</t>
  </si>
  <si>
    <t>http://www.noop.fr</t>
  </si>
  <si>
    <t xml:space="preserve">6 Rue des Bateliers, Clichy, Ile-de-France, France, 92110</t>
  </si>
  <si>
    <t xml:space="preserve">Une configuration simplifiée et une personnalisation poussée. noOp propose une solution clé-en-main, multi-sectorielle et ultra compétitive pour monétiser vos contenus sur tous les canaux. noOp c'est aussi une solution multimédia complète qui permet de proposer une application hybride : audio, vidéo, podcast et même audiobook ! Déployez des apps VoD OTT multi-écrans avec noOp !</t>
  </si>
  <si>
    <t>Benni</t>
  </si>
  <si>
    <t>ComRungis</t>
  </si>
  <si>
    <t>mohamed@comrungis.com</t>
  </si>
  <si>
    <t>http://www.linkedin.com/in/mohamed-benni-a6b264143</t>
  </si>
  <si>
    <t>http://www.comrungis.com</t>
  </si>
  <si>
    <t xml:space="preserve">Chevilly Larue, Ile-de-France, France, 94550</t>
  </si>
  <si>
    <t xml:space="preserve">Comrungis - Votre agence de communication et d'événementiel au cœur du Val de Marne et du Marché de Rungis.</t>
  </si>
  <si>
    <t>Pluchet</t>
  </si>
  <si>
    <t>Rebound</t>
  </si>
  <si>
    <t>apluchet@reboundcg.com</t>
  </si>
  <si>
    <t>http://www.linkedin.com/in/augustinpluchet</t>
  </si>
  <si>
    <t>http://www.reboundcg.com</t>
  </si>
  <si>
    <t xml:space="preserve">Rue Nouvelle, La Reole, Nouvelle-Aquitaine, France, 33190</t>
  </si>
  <si>
    <t xml:space="preserve">Rebound CG is a new mobile games development and publishing studio. Founded by well-known sport leaders associated with Free to Play industry pioneers, Rebound CG creates games aimed at sport fans.</t>
  </si>
  <si>
    <t>Peyret</t>
  </si>
  <si>
    <t xml:space="preserve">President &amp; CEO</t>
  </si>
  <si>
    <t>COMITATUS</t>
  </si>
  <si>
    <t>pierre.peyret@comitatus.fr</t>
  </si>
  <si>
    <t>http://www.linkedin.com/in/pierre-peyret</t>
  </si>
  <si>
    <t>http://www.comitatus.fr</t>
  </si>
  <si>
    <t xml:space="preserve">4 Rue Jean Moulin, Genas, Auvergne-Rhone-Alpes, France, 69740</t>
  </si>
  <si>
    <t xml:space="preserve">Découvrez les méthodes VALO +© et VALO CAPITAL© créées par Comitatus. Explorez nos offres en conseil, acquisition et cession.</t>
  </si>
  <si>
    <t>Ottenwaelter</t>
  </si>
  <si>
    <t xml:space="preserve">Co-fondateur et CTO</t>
  </si>
  <si>
    <t xml:space="preserve">SUPER G</t>
  </si>
  <si>
    <t>martin@superg.fr</t>
  </si>
  <si>
    <t>http://www.linkedin.com/in/martin-ottenwaelter</t>
  </si>
  <si>
    <t>http://www.superg.fr</t>
  </si>
  <si>
    <t xml:space="preserve">21 Rue de la Villette, Paris, Ile-de-France, France, 75019</t>
  </si>
  <si>
    <t>Alexa</t>
  </si>
  <si>
    <t xml:space="preserve">Veille Formation</t>
  </si>
  <si>
    <t>alexa@veilleformation.com</t>
  </si>
  <si>
    <t>http://www.linkedin.com/in/alexarousseau</t>
  </si>
  <si>
    <t>http://www.veilleformation.com</t>
  </si>
  <si>
    <t xml:space="preserve">Restez connecté à l’actualité de la formation professionnelle et répondez aux exigences Qualiopi sur la veille et son exploitation !</t>
  </si>
  <si>
    <t>Bestron</t>
  </si>
  <si>
    <t>INSMATEL</t>
  </si>
  <si>
    <t>c.bestron@insmatel.fr</t>
  </si>
  <si>
    <t>http://www.linkedin.com/in/christian-bestron-875a33152</t>
  </si>
  <si>
    <t>http://www.insmatel.fr</t>
  </si>
  <si>
    <t xml:space="preserve">Maxeville, Lorraine, France</t>
  </si>
  <si>
    <t>Stricker</t>
  </si>
  <si>
    <t xml:space="preserve">CTO and co-founder</t>
  </si>
  <si>
    <t>Kowee</t>
  </si>
  <si>
    <t>mathieu.stricker@kowee.fr</t>
  </si>
  <si>
    <t>http://www.linkedin.com/in/mathieustricker</t>
  </si>
  <si>
    <t>http://www.koweepark.com</t>
  </si>
  <si>
    <t xml:space="preserve">123 Rue Victor Hugo, Levallois-Perret, Ile-de-France, France, 92300</t>
  </si>
  <si>
    <t xml:space="preserve">Car park dynamic pricing solutions, from business intelligence to yield management. Kowee's parking solutions increase revenues by 10%.</t>
  </si>
  <si>
    <t>Messemacre</t>
  </si>
  <si>
    <t>OZEGO</t>
  </si>
  <si>
    <t>pascal.messemacre@ozego.fr</t>
  </si>
  <si>
    <t>http://www.linkedin.com/in/pascal-messemacre-7046b0b6</t>
  </si>
  <si>
    <t>http://www.ozego.fr</t>
  </si>
  <si>
    <t xml:space="preserve">453 Rue Alphonse Beau de Rochas, Perpignan, Occitanie, France, 66000</t>
  </si>
  <si>
    <t xml:space="preserve">Ozego invente la centrale de référencement et d’achat nouvelle génération. Depuis 30 ans OZEGO facilite et embellit le quotidien des établissements publics et privés en leur apportant une assistance back office sur-mesure.</t>
  </si>
  <si>
    <t>Gard</t>
  </si>
  <si>
    <t xml:space="preserve">Corolle S.A.S</t>
  </si>
  <si>
    <t>n.gard@corolle.com</t>
  </si>
  <si>
    <t>http://www.linkedin.com/in/nathalie-gard-54b5a117</t>
  </si>
  <si>
    <t>http://www.corolle.com</t>
  </si>
  <si>
    <t xml:space="preserve">Langeais, Centre-Val de Loire, France, 37130</t>
  </si>
  <si>
    <t xml:space="preserve">Chez Corolle, jouer à la poupée, c’est du sérieux ! Visitez la boutique officielle Corolle ® : doudous, poupons, poupées, vêtements et accessoires pour jouer à la poupée.</t>
  </si>
  <si>
    <t>Besse</t>
  </si>
  <si>
    <t>INCWO</t>
  </si>
  <si>
    <t>gbesse@incwo.com</t>
  </si>
  <si>
    <t>http://www.linkedin.com/in/guillaumebesse</t>
  </si>
  <si>
    <t>http://www.incwo.com</t>
  </si>
  <si>
    <t xml:space="preserve">16 Rue de la Comete, Paris, Ile-de-France, France, 75007</t>
  </si>
  <si>
    <t xml:space="preserve">CRM, invoicing, pre-accounting, inventory management ... Manage your small business with all-in-one invoicing and business management software</t>
  </si>
  <si>
    <t>Carlo</t>
  </si>
  <si>
    <t>Callbell</t>
  </si>
  <si>
    <t>carlo@callbell.eu</t>
  </si>
  <si>
    <t>http://www.linkedin.com/in/morandicarlo</t>
  </si>
  <si>
    <t>http://www.callbell.eu</t>
  </si>
  <si>
    <t xml:space="preserve">6 Rue de l'Orme, Paris, Ile-de-France, France, 75019</t>
  </si>
  <si>
    <t>Cendra</t>
  </si>
  <si>
    <t>Solunova</t>
  </si>
  <si>
    <t>f.cendra@solucea.com</t>
  </si>
  <si>
    <t>http://www.linkedin.com/in/franck-cendra-ba81a497</t>
  </si>
  <si>
    <t>http://www.solunova.fr</t>
  </si>
  <si>
    <t xml:space="preserve">Nimes, Languedoc-Roussillon-Midi-Pyrenees, France</t>
  </si>
  <si>
    <t xml:space="preserve">Asset World Business Solutions</t>
  </si>
  <si>
    <t>cyril.gubler@awbs-target.com</t>
  </si>
  <si>
    <t>http://www.linkedin.com/in/cyrilgubler</t>
  </si>
  <si>
    <t>http://www.awbs-target.com</t>
  </si>
  <si>
    <t xml:space="preserve">Bourges, Centre-Val de Loire, France</t>
  </si>
  <si>
    <t>Zellitch</t>
  </si>
  <si>
    <t xml:space="preserve">RZ Consulting</t>
  </si>
  <si>
    <t>rz@rzconsulting.fr</t>
  </si>
  <si>
    <t>http://www.linkedin.com/in/rodolphe-zellitch-4a4ba22</t>
  </si>
  <si>
    <t>http://www.rzco.net</t>
  </si>
  <si>
    <t xml:space="preserve">Ottawa, Ontario, Canada</t>
  </si>
  <si>
    <t xml:space="preserve">Elevate your business with RZ Network's expert digital solutions. As your trusted MSP and MSSP, we deliver:
Digital Advisory: Boost brand visibility and drive traffic.
IT Consulting: Optimize IT operations and enhance security.
Cybersecurity: Protect your data and systems from threats.
Email Authentication: Maximize email deliverability, domain compliance and ROI.
Digital Media: Create engaging content to captivate your audience.</t>
  </si>
  <si>
    <t>Behzad</t>
  </si>
  <si>
    <t>Kazemzadegan</t>
  </si>
  <si>
    <t>bestpRHactice</t>
  </si>
  <si>
    <t>behzad.kazemzadegan@bestprhactice.com</t>
  </si>
  <si>
    <t>http://www.linkedin.com/in/behzad-kazemzadegan-4503301a</t>
  </si>
  <si>
    <t>http://www.bestprhactice.com</t>
  </si>
  <si>
    <t xml:space="preserve">19 Boulevard Malesherbes, Paris, Ile-de-France, France, 75008</t>
  </si>
  <si>
    <t xml:space="preserve">bestpRHactice est un cabinet de conseil spécialisé en SIRH, localisé à Paris. Il est né d’une rencontre de deux experts SIRH ayant 25 ans d’expérience.</t>
  </si>
  <si>
    <t>Dargegen</t>
  </si>
  <si>
    <t>FEM</t>
  </si>
  <si>
    <t>xavier.dargegen@fem-techno.com</t>
  </si>
  <si>
    <t>http://www.linkedin.com/in/xavier-dargegen-4a777235</t>
  </si>
  <si>
    <t>http://www.fem-techno.com</t>
  </si>
  <si>
    <t>Figeac</t>
  </si>
  <si>
    <t xml:space="preserve">Figeac, Languedoc-Roussillon-Midi-Pyrenees, France, 46100</t>
  </si>
  <si>
    <t>Recurt</t>
  </si>
  <si>
    <t xml:space="preserve">Power Conseils</t>
  </si>
  <si>
    <t>benjamin.recurt@powerconseils.fr</t>
  </si>
  <si>
    <t>http://www.linkedin.com/in/benjamin-recurt-635216a7</t>
  </si>
  <si>
    <t>http://www.powerconseils.fr</t>
  </si>
  <si>
    <t xml:space="preserve">Malakoff, Ile-de-France, France, 92240</t>
  </si>
  <si>
    <t xml:space="preserve">Nous sommes courtier en énergie, notre but optimiser vos contrats d’électricité et de gaz gratuitement ! N'hésitez pas à nous contacter</t>
  </si>
  <si>
    <t>Marsaud</t>
  </si>
  <si>
    <t>Maitricks</t>
  </si>
  <si>
    <t>julien.marsaud@maitricks.com</t>
  </si>
  <si>
    <t>http://www.linkedin.com/in/julienmarsaud</t>
  </si>
  <si>
    <t>http://www.maitricks.com</t>
  </si>
  <si>
    <t xml:space="preserve">Analysez, pilotez et optimisez avec le data CMS Maitricks. Accédez à TOUTES vos datas et activez des actions marketing efficaces.</t>
  </si>
  <si>
    <t>Bastian</t>
  </si>
  <si>
    <t>Boutier</t>
  </si>
  <si>
    <t>Atelsys</t>
  </si>
  <si>
    <t>b.boutier@atelsys.fr</t>
  </si>
  <si>
    <t>http://www.linkedin.com/in/bastian-boutier-513423100</t>
  </si>
  <si>
    <t>http://www.atelsys.com</t>
  </si>
  <si>
    <t xml:space="preserve">25B Rue Professeur Louis Neel, Longvic, Burgundy, France, 21600</t>
  </si>
  <si>
    <t xml:space="preserve">Entreprise spécialisée dans la téléphonie d'entreprise, le service opérateur, l'alarme intrusion, la vidéosurveillance et le câblage réseaux.</t>
  </si>
  <si>
    <t>Veutin</t>
  </si>
  <si>
    <t xml:space="preserve">Directeur Général / Consultant</t>
  </si>
  <si>
    <t xml:space="preserve">Soteria Lab</t>
  </si>
  <si>
    <t>pveutin@soteria-lab.com</t>
  </si>
  <si>
    <t>http://www.linkedin.com/in/a8ee03510b9c7ccbac616a043eb29f74a619d43501c0d06281d9980d9b4c0853b9fcb6aa1078f774f94c7c</t>
  </si>
  <si>
    <t>http://www.soteria-lab.fr</t>
  </si>
  <si>
    <t xml:space="preserve">Protégez votre PME avec Soteria Lab : solutions humaines, organisationnelles et techniques pour une sécurité optimale.</t>
  </si>
  <si>
    <t>Bidaud</t>
  </si>
  <si>
    <t>CRIANN</t>
  </si>
  <si>
    <t>alain.bidaud@criann.fr</t>
  </si>
  <si>
    <t>http://www.linkedin.com/in/alain-bidaud-a932271</t>
  </si>
  <si>
    <t>http://www.criann.fr</t>
  </si>
  <si>
    <t xml:space="preserve">745 Avenue de l'Universite, Saint-Etienne-du-Rouvray, Normandy, France, 76800</t>
  </si>
  <si>
    <t>Ayache</t>
  </si>
  <si>
    <t>elie.ayache@ito33.com</t>
  </si>
  <si>
    <t>http://www.linkedin.com/in/elie-ayache-11aa104</t>
  </si>
  <si>
    <t>Augras</t>
  </si>
  <si>
    <t>BZHunt</t>
  </si>
  <si>
    <t>pro@bzhunt.fr</t>
  </si>
  <si>
    <t>http://www.linkedin.com/in/brice-augras</t>
  </si>
  <si>
    <t>http://www.bzhunt.fr</t>
  </si>
  <si>
    <t xml:space="preserve">15 Rue des Ajoncs d'Or, Le Drennec, Bretagne, France, 29860</t>
  </si>
  <si>
    <t>Mercusot</t>
  </si>
  <si>
    <t xml:space="preserve">Co-Founder &amp; Partner Financial Services</t>
  </si>
  <si>
    <t>mmercusot@valthena.com</t>
  </si>
  <si>
    <t>http://www.linkedin.com/in/matthieu-mercusot</t>
  </si>
  <si>
    <t>Minh</t>
  </si>
  <si>
    <t>Nguyen</t>
  </si>
  <si>
    <t xml:space="preserve">Directeur des opérations / Founder</t>
  </si>
  <si>
    <t>Rokodo</t>
  </si>
  <si>
    <t>minhtuan.nguyen@rokodo.io</t>
  </si>
  <si>
    <t>http://www.linkedin.com/in/minh-tuan-nguyen-26a9393</t>
  </si>
  <si>
    <t>http://www.rokodo.io</t>
  </si>
  <si>
    <t xml:space="preserve">13 Rue Camille Desmoulins, Issy-les-Moulineaux, Ile-de-France, France, 92130</t>
  </si>
  <si>
    <t xml:space="preserve">Conseils innovants autour du Low Code​Innovative advice around Low Code​نصائح مبتكرة حول التعليمات البرمجية المنخفضةEn tant que pure player de la transformation digitale, notre équipe est entièrement dédiée à assurer que nos clients gagnent leurs batailles autour du digital et de l'innovation.As a decated Outsystems pure player, our team is fully committed to ensuring that…</t>
  </si>
  <si>
    <t xml:space="preserve">Président, CEO</t>
  </si>
  <si>
    <t>ENO</t>
  </si>
  <si>
    <t>a.thomas@eno.fr</t>
  </si>
  <si>
    <t>http://www.linkedin.com/in/antoine-thomas-55ab0826</t>
  </si>
  <si>
    <t>http://www.eno.network</t>
  </si>
  <si>
    <t xml:space="preserve">Boulevard Las Palmas, Estado de Mexico, Mexico, 52787</t>
  </si>
  <si>
    <t xml:space="preserve">Read our blog. ENO can assist you by granting you access to exclusive experiences and premium bottles, and allowing you to contribute to wine-related charitable projects.</t>
  </si>
  <si>
    <t>Domingues</t>
  </si>
  <si>
    <t xml:space="preserve">Taroko Strategy</t>
  </si>
  <si>
    <t>stephane.domingues@taroko.fr</t>
  </si>
  <si>
    <t>http://www.linkedin.com/in/stephane-domingues-4321962b2</t>
  </si>
  <si>
    <t>http://www.taroko.fr</t>
  </si>
  <si>
    <t xml:space="preserve">127 Passage du Caire, Paris, Ile-de-France, France, 75002</t>
  </si>
  <si>
    <t>Sur</t>
  </si>
  <si>
    <t>nsur@tryba-energy.com</t>
  </si>
  <si>
    <t>http://www.linkedin.com/in/nicolas-sur-75b28969</t>
  </si>
  <si>
    <t>http://www.tryba-energy.com</t>
  </si>
  <si>
    <t xml:space="preserve">Rue de la Lisiere, Mertzwiller, Alsace, France, 67580</t>
  </si>
  <si>
    <t>Nicholas</t>
  </si>
  <si>
    <t>MOJOVIDA</t>
  </si>
  <si>
    <t>nicholas.vincent@mojovida.fr</t>
  </si>
  <si>
    <t>http://www.linkedin.com/in/nicholas-vincent-b706a9b</t>
  </si>
  <si>
    <t>http://www.mojovida.fr</t>
  </si>
  <si>
    <t xml:space="preserve">13 Rue Gutenberg, Nozay, Ile-de-France, France, 91620</t>
  </si>
  <si>
    <t xml:space="preserve">Mojovida accompagne les professionnels de la distribution et restauration dans le déploiement des solutions informatiques points de vente</t>
  </si>
  <si>
    <t>Dunglas</t>
  </si>
  <si>
    <t>Finovox</t>
  </si>
  <si>
    <t>timothee.dunglas@finovox.com</t>
  </si>
  <si>
    <t>http://www.linkedin.com/in/timothee-dunglas</t>
  </si>
  <si>
    <t>http://www.finovox.com</t>
  </si>
  <si>
    <t xml:space="preserve">Le logiciel des directions anti-fraude qui vous permet de détecter, identifier et expliquer les falsifications sur 100% de vos documents ! Détectez les fraudes avant de les subir !</t>
  </si>
  <si>
    <t>Fleury</t>
  </si>
  <si>
    <t>ludovic.fleury@cloud-iam.com</t>
  </si>
  <si>
    <t>http://www.linkedin.com/in/ludofleury</t>
  </si>
  <si>
    <t>http://www.cloud-iam.com</t>
  </si>
  <si>
    <t xml:space="preserve">37 Boulevard Solferino, Rennes, Brittany, France, 35000</t>
  </si>
  <si>
    <t xml:space="preserve">Entreprise DU FUTUR</t>
  </si>
  <si>
    <t>alban.guyot@entreprisedufutur.com</t>
  </si>
  <si>
    <t>http://www.linkedin.com/in/albanguyot</t>
  </si>
  <si>
    <t>http://www.entreprisedufutur.com</t>
  </si>
  <si>
    <t>Charbonnieres-les-Bains</t>
  </si>
  <si>
    <t xml:space="preserve">212 Rue de Bercy, Paris, Ile-de-France, France, 75012</t>
  </si>
  <si>
    <t>Moise</t>
  </si>
  <si>
    <t>Akbaraly</t>
  </si>
  <si>
    <t>DocAxess</t>
  </si>
  <si>
    <t>moise@ipedis.com</t>
  </si>
  <si>
    <t>http://www.linkedin.com/in/mo%c3%afse-akbaraly</t>
  </si>
  <si>
    <t>http://www.docaxess.com</t>
  </si>
  <si>
    <t xml:space="preserve">1 Passage du Genie, Paris, Ile-de-France, France, 75012</t>
  </si>
  <si>
    <t xml:space="preserve">Striving for digital equality, we make PDF and office documents accessible for all. Embrace our easy and inclusive PDF accessibility tools.</t>
  </si>
  <si>
    <t>Hannad</t>
  </si>
  <si>
    <t xml:space="preserve">DM TECHNOLOGY</t>
  </si>
  <si>
    <t>youssef.hannad@dmtechnology.fr</t>
  </si>
  <si>
    <t>http://www.linkedin.com/in/youssef-hannad-bb9b1811</t>
  </si>
  <si>
    <t>http://www.dmtechnology.fr</t>
  </si>
  <si>
    <t>Buzaglo</t>
  </si>
  <si>
    <t>deeploy</t>
  </si>
  <si>
    <t>kevin@deeploy.fr</t>
  </si>
  <si>
    <t>http://www.linkedin.com/in/kevinbuzaglo</t>
  </si>
  <si>
    <t>http://www.deeploy.fr</t>
  </si>
  <si>
    <t xml:space="preserve">2 Rue Dieu, Paris, Ile-de-France, France, 75010</t>
  </si>
  <si>
    <t xml:space="preserve">Devenez leader de votre catégorie sur Amazon grâce à notre approche de consulting et à l'agilité de notre agence experte sur Amazon.</t>
  </si>
  <si>
    <t>Jad</t>
  </si>
  <si>
    <t>Nassar</t>
  </si>
  <si>
    <t xml:space="preserve">Co-Founder, Co-CEO</t>
  </si>
  <si>
    <t xml:space="preserve">Upscale Hub</t>
  </si>
  <si>
    <t>jad.nassar@upscale-hub.com</t>
  </si>
  <si>
    <t>http://www.linkedin.com/in/jad-nassar-28423ba4</t>
  </si>
  <si>
    <t>http://www.upscale-hub.com</t>
  </si>
  <si>
    <t xml:space="preserve">We Design Tailored Innovative Solutions We believe in our partner’s uniqueness. More We Invest in Research and Development We are always driven by a forward-thinking mindset. More We Empower Our Talents Our people are what truly set us apart and make us proud. More We Invest in Your Growth Journey We view our clients as</t>
  </si>
  <si>
    <t>Anass</t>
  </si>
  <si>
    <t>Khobzi</t>
  </si>
  <si>
    <t xml:space="preserve">Cali Intelligences</t>
  </si>
  <si>
    <t>anass.khobzi@cali-intelligences.com</t>
  </si>
  <si>
    <t>http://www.linkedin.com/in/anass-khobzi-b7914514b</t>
  </si>
  <si>
    <t>http://www.cali-intelligences.com</t>
  </si>
  <si>
    <t xml:space="preserve">1 Rue Francois Mitterrand, Talence, Aquitaine, France, 33400</t>
  </si>
  <si>
    <t>Viravanh</t>
  </si>
  <si>
    <t>Somvang</t>
  </si>
  <si>
    <t>Welbees</t>
  </si>
  <si>
    <t>vsomvang@welbees.com</t>
  </si>
  <si>
    <t>http://www.linkedin.com/in/viravanh-somvang-a10804105</t>
  </si>
  <si>
    <t>http://www.welbees.com</t>
  </si>
  <si>
    <t xml:space="preserve">207 Rue de Bercy, Paris, Ile-de-France, France, 75012</t>
  </si>
  <si>
    <t>Jean-Clement</t>
  </si>
  <si>
    <t>Swistowski</t>
  </si>
  <si>
    <t xml:space="preserve">PCE Mobile</t>
  </si>
  <si>
    <t>jean-clement.swistowski@pcemobile.fr</t>
  </si>
  <si>
    <t>http://www.linkedin.com/in/jean-cl%c3%a9ment-swistowski-099560196</t>
  </si>
  <si>
    <t>http://www.pcemobile.fr</t>
  </si>
  <si>
    <t xml:space="preserve">Le Grand-Quevilly, Normandy, France, 76120</t>
  </si>
  <si>
    <t>Chabaud</t>
  </si>
  <si>
    <t>SEMEXVAL-SPLM</t>
  </si>
  <si>
    <t>l.chabaud@splm-semexval.com</t>
  </si>
  <si>
    <t>http://www.linkedin.com/in/laurent-chabaud-049994161</t>
  </si>
  <si>
    <t>http://www.splm-semexval.com</t>
  </si>
  <si>
    <t xml:space="preserve">La Valette-du-Var</t>
  </si>
  <si>
    <t xml:space="preserve">185 Place General de Gaulle, La Valette-du-Var, Provence-Alpes-Cote d'Azur, France, 83160</t>
  </si>
  <si>
    <t xml:space="preserve">SPLM et SEMEXVAL | Aménageur et Constructeur</t>
  </si>
  <si>
    <t>Vasset</t>
  </si>
  <si>
    <t xml:space="preserve">CEO | Partner</t>
  </si>
  <si>
    <t>ViiTAMiNE</t>
  </si>
  <si>
    <t>laurent.vasset@viitamine.com</t>
  </si>
  <si>
    <t>http://www.linkedin.com/in/laurent-vasset-cx-transformation</t>
  </si>
  <si>
    <t>http://www.viitamine.com</t>
  </si>
  <si>
    <t xml:space="preserve">Rue du Marechal Foch, Versailles, Ile-de-France, France, 78000</t>
  </si>
  <si>
    <t xml:space="preserve">Optimisez l'expérience client avec notre expertise technologique adaptée. Découvrez nos services pour catalyser vos projets opérationnels.</t>
  </si>
  <si>
    <t>Girardot</t>
  </si>
  <si>
    <t xml:space="preserve">Directeur général &amp; Associé</t>
  </si>
  <si>
    <t xml:space="preserve">Terres Rouges</t>
  </si>
  <si>
    <t>ogirardot@terresrouges.com</t>
  </si>
  <si>
    <t>http://www.linkedin.com/in/olivier-girardot-b8715210</t>
  </si>
  <si>
    <t>http://www.terresrouges.com</t>
  </si>
  <si>
    <t xml:space="preserve">178 Boulevard Haussmann, Paris, Ile-de-France, France, 75008</t>
  </si>
  <si>
    <t xml:space="preserve">Paris, agence de communication extérieure., scénographie urbaine, Communication outdoor,Habillage d’échafaudage...</t>
  </si>
  <si>
    <t>Lepicard</t>
  </si>
  <si>
    <t xml:space="preserve">CONSEIL 3D</t>
  </si>
  <si>
    <t>plepicard@conseil3d.com</t>
  </si>
  <si>
    <t>http://www.linkedin.com/in/paul-lepicard-9772639</t>
  </si>
  <si>
    <t>http://www.conseil3d.com</t>
  </si>
  <si>
    <t xml:space="preserve">3 Rue Milton, Paris, Ile-de-France, France, 75009</t>
  </si>
  <si>
    <t xml:space="preserve">Conseil 3D transforme la formation et le marketing avec les technologies immersives : 3D, IA, réalité virtuelle et augmentée. Donnez une nouvelle dimension à vos métiers !</t>
  </si>
  <si>
    <t>Brebant</t>
  </si>
  <si>
    <t>E-xteq</t>
  </si>
  <si>
    <t>morgan.brebant@e-xteq.com</t>
  </si>
  <si>
    <t>http://www.linkedin.com/in/morgan-brebant-5310864a</t>
  </si>
  <si>
    <t>http://www.e-xteq.com</t>
  </si>
  <si>
    <t xml:space="preserve">30 Rue des Dames, Les Clayes-sous-Bois, Ile-de-France, France, 78340</t>
  </si>
  <si>
    <t xml:space="preserve">Battery Technologies for BEVs and EVs. With our technical expertise, we tailor equipment solutions to meet your precise project requirements. Contact us</t>
  </si>
  <si>
    <t>Richalot</t>
  </si>
  <si>
    <t xml:space="preserve">Co-fondateur et Directeur Général</t>
  </si>
  <si>
    <t xml:space="preserve">Brentome Consulting</t>
  </si>
  <si>
    <t>olivier.richalot@brentome.com</t>
  </si>
  <si>
    <t>http://www.linkedin.com/in/olivier-richalot-7b011215</t>
  </si>
  <si>
    <t>http://www.brentome.com</t>
  </si>
  <si>
    <t xml:space="preserve">44 Rue de la Bienfaisance, Paris, Ile-de-France, France, 75008</t>
  </si>
  <si>
    <t>Bruel</t>
  </si>
  <si>
    <t>Es'tête</t>
  </si>
  <si>
    <t>t.bruel@es-tete.com</t>
  </si>
  <si>
    <t>http://www.linkedin.com/in/thierry-bruel-187475112</t>
  </si>
  <si>
    <t>http://www.es-tete.com</t>
  </si>
  <si>
    <t xml:space="preserve">1 Rue du Languedoc, Toulouse, Occitanie, France, 31000</t>
  </si>
  <si>
    <t xml:space="preserve">Le cabinet de recrutement Es'tête accompagne ses clients dans leurs processus de recrutement de cadres et de dirigeants grâce à des chasseurs de tête experts.</t>
  </si>
  <si>
    <t>Lefloch</t>
  </si>
  <si>
    <t>PAYPS</t>
  </si>
  <si>
    <t>flefloch@payps.fr</t>
  </si>
  <si>
    <t>http://www.linkedin.com/in/lefloch-fabrice-01bb404</t>
  </si>
  <si>
    <t>http://www.payps.fr</t>
  </si>
  <si>
    <t xml:space="preserve">15 Boulevard Diderot, Paris, Ile-de-France, France, 75012</t>
  </si>
  <si>
    <t xml:space="preserve">La web application PAYPS, vous permet de récupérer des bons de réduction immédiats sur tous vos produits du quotidien. Faites un max d'économies chaque jour !</t>
  </si>
  <si>
    <t>Rafal</t>
  </si>
  <si>
    <t xml:space="preserve">Cofounder &amp; Consulting Director - Strategy</t>
  </si>
  <si>
    <t>WENVISION</t>
  </si>
  <si>
    <t>olivier@wenvision.com</t>
  </si>
  <si>
    <t>http://www.linkedin.com/in/olivierrafal</t>
  </si>
  <si>
    <t>http://www.wenvision.com</t>
  </si>
  <si>
    <t xml:space="preserve">Conseil en Stratégie IT - Tech Orga Culture, Produits Data Plateformes</t>
  </si>
  <si>
    <t>Monroux</t>
  </si>
  <si>
    <t xml:space="preserve">Co-Fondateur / Directeur Associé chez Statera BTP</t>
  </si>
  <si>
    <t>quentin.monroux@statera-corp.com</t>
  </si>
  <si>
    <t>http://www.linkedin.com/in/quentin-monroux-283991131</t>
  </si>
  <si>
    <t>http://www.statera-corp.com</t>
  </si>
  <si>
    <t>Infodex</t>
  </si>
  <si>
    <t>p.lemaitre@infodex.mc</t>
  </si>
  <si>
    <t>http://www.linkedin.com/in/pascal-lemaitre-8a3400171</t>
  </si>
  <si>
    <t>http://www.infodex.mc</t>
  </si>
  <si>
    <t xml:space="preserve">27 Boulevard d'Italie, Monaco, Oklahoma, Monaco, 98000</t>
  </si>
  <si>
    <t xml:space="preserve">Chez Infodex, nous développons et intégrons des solutions répondant à l’ensemble des besoins des entreprises en matière d’informatique, d’impression et de gestion électronique documentaire (GED).</t>
  </si>
  <si>
    <t>Chauveau</t>
  </si>
  <si>
    <t xml:space="preserve">ECOSYS Group</t>
  </si>
  <si>
    <t>celine.chauveau@ecosysgroup.com</t>
  </si>
  <si>
    <t>http://www.linkedin.com/in/celinechauveau</t>
  </si>
  <si>
    <t>http://www.ecosysgroup.com</t>
  </si>
  <si>
    <t xml:space="preserve">33 Rue La Fayette, Paris, Ile-de-France, France, 75009</t>
  </si>
  <si>
    <t xml:space="preserve">ECOSYS Group - Experts en stratégie et solutions DATA et IA et en modélisation d'écosystèmes pour opérer plus vite et mieux. Découvrez nos solutions innovantes pour votre entreprise.</t>
  </si>
  <si>
    <t>Triano</t>
  </si>
  <si>
    <t xml:space="preserve">Bleu Tomate</t>
  </si>
  <si>
    <t>magali.triano@bleu-tomate.fr</t>
  </si>
  <si>
    <t>http://www.linkedin.com/in/magali-triano-64967018</t>
  </si>
  <si>
    <t>http://www.bleu-tomate.fr</t>
  </si>
  <si>
    <t xml:space="preserve">Marseille, Provence-Alpes-Cote d'Azur, France, 13007</t>
  </si>
  <si>
    <t xml:space="preserve">réseau d'infos sur l'agriculture, le tourisme et l'écologie</t>
  </si>
  <si>
    <t>Rami</t>
  </si>
  <si>
    <t>Iguerwane</t>
  </si>
  <si>
    <t>rami@steerlab.fr</t>
  </si>
  <si>
    <t>http://www.linkedin.com/in/rami-iguerwane</t>
  </si>
  <si>
    <t>http://www.steerlab.ai</t>
  </si>
  <si>
    <t>Caupin</t>
  </si>
  <si>
    <t>Sleeq</t>
  </si>
  <si>
    <t>adrien@sleeq.fr</t>
  </si>
  <si>
    <t>http://www.linkedin.com/in/adrien-caupin-5097a1170</t>
  </si>
  <si>
    <t>http://www.sleeq.fr</t>
  </si>
  <si>
    <t xml:space="preserve">37 Boulevard Saint-Martin, Paris, Ile-de-France, France, 75003</t>
  </si>
  <si>
    <t xml:space="preserve">Sleeq est l’agence TikTok leader dans l’accompagnement de marques, certifiée TikTok Marketing Partner. Nous aidons les entreprises à déployer des campagnes performantes sur trois axes : marketing d'influence, TikTok ads et community management.</t>
  </si>
  <si>
    <t>Laurenti</t>
  </si>
  <si>
    <t xml:space="preserve">ex Président Fondateur de JPM &amp; Associés / JPM Partner / JPM Archi</t>
  </si>
  <si>
    <t xml:space="preserve">JPM Partner</t>
  </si>
  <si>
    <t>jean.laurenti@jpm-associes.com</t>
  </si>
  <si>
    <t>http://www.linkedin.com/in/jeanlaurentijpmassocies</t>
  </si>
  <si>
    <t>http://www.jpm-partner.com</t>
  </si>
  <si>
    <t xml:space="preserve">6b Avenue General Canzio, Talant, Bourgogne-Franche-Comte, France, 21240</t>
  </si>
  <si>
    <t xml:space="preserve">Agence de communication à Dijon JPM Partner, Marketing, Design, Vidéo, Digital - Développement des marques, PME, entreprises et collectivités</t>
  </si>
  <si>
    <t>Douchet</t>
  </si>
  <si>
    <t>stephane.douchet@blurizon.io</t>
  </si>
  <si>
    <t>http://www.linkedin.com/in/stephane-douchet-a209211</t>
  </si>
  <si>
    <t>Dellier</t>
  </si>
  <si>
    <t>WUPATEC</t>
  </si>
  <si>
    <t>dellier@wupatec.com</t>
  </si>
  <si>
    <t>http://www.linkedin.com/in/stephane-dellier-27a8a05</t>
  </si>
  <si>
    <t>http://www.wupatec.com</t>
  </si>
  <si>
    <t xml:space="preserve">20 Rue Atlantis, Limoges, Nouvelle-Aquitaine, France, 87280</t>
  </si>
  <si>
    <t xml:space="preserve">Unlocking Efficiency in Wireless Communication Systems. At Wupatec, we specialize in delivering efficient solutions.</t>
  </si>
  <si>
    <t>Bolo</t>
  </si>
  <si>
    <t xml:space="preserve">CTO, co-founder</t>
  </si>
  <si>
    <t>ebolo@batvoice.com</t>
  </si>
  <si>
    <t>http://www.linkedin.com/in/eric-bolo-141a244a</t>
  </si>
  <si>
    <t xml:space="preserve">Aquastar Consulting</t>
  </si>
  <si>
    <t>ldeschamps@aquastar-consulting.com</t>
  </si>
  <si>
    <t>http://www.linkedin.com/in/ludovicdeschamps</t>
  </si>
  <si>
    <t>http://www.aquastar-consulting.com</t>
  </si>
  <si>
    <t xml:space="preserve">126 Rue Pasteur, Mons-en-Baroeul, Nord-Pas-de-Calais, France, 59370</t>
  </si>
  <si>
    <t xml:space="preserve">Intégrateur informatique spécialisé dans le déploiement de solutions d'infrastructure à destination des PME et MGE (systèmes et réseaux, sécurité, mobilité, etc.)</t>
  </si>
  <si>
    <t>Tealer</t>
  </si>
  <si>
    <t xml:space="preserve">Tealer Global</t>
  </si>
  <si>
    <t>jeff@tealer.fr</t>
  </si>
  <si>
    <t>http://www.linkedin.com/in/jeff-tealer-8a451b99</t>
  </si>
  <si>
    <t>http://www.tealer.fr</t>
  </si>
  <si>
    <t xml:space="preserve">11 Rue d'Alexandrie, Paris, Ile-de-France, France, 75002</t>
  </si>
  <si>
    <t>Longere</t>
  </si>
  <si>
    <t xml:space="preserve">CTO &amp; co-Founder</t>
  </si>
  <si>
    <t>Cryptense</t>
  </si>
  <si>
    <t>philippe@cryptense.com</t>
  </si>
  <si>
    <t>http://www.linkedin.com/in/philippe-long%c3%a8re-b124491</t>
  </si>
  <si>
    <t>http://www.cryptense.com</t>
  </si>
  <si>
    <t xml:space="preserve">312 Chemin du Caladou, Valbonne, Provence-Alpes-Cote d'Azur, France, 06560</t>
  </si>
  <si>
    <t>Antonin</t>
  </si>
  <si>
    <t xml:space="preserve">IAE Lille Consulting</t>
  </si>
  <si>
    <t>a.roussel@iaelilleconsulting.fr</t>
  </si>
  <si>
    <t>http://www.linkedin.com/in/antonin-roussel-0642b9200</t>
  </si>
  <si>
    <t>http://www.iaelilleconsulting.fr</t>
  </si>
  <si>
    <t xml:space="preserve">104 Avenue du Peuple Belge, Lille, Hauts-de-France, France, 59800</t>
  </si>
  <si>
    <t xml:space="preserve">La Junior-Entreprise de l’IAE Lille réparti sur 3 campus dans la métropole lilloise. Notre association offre des services de conseil autour des thématiques enseignées par l’IAE.</t>
  </si>
  <si>
    <t>Rocherie</t>
  </si>
  <si>
    <t xml:space="preserve">Directeur général succursales</t>
  </si>
  <si>
    <t xml:space="preserve">Bye Buy Car</t>
  </si>
  <si>
    <t>p.rocherie@bye-buy-car.com</t>
  </si>
  <si>
    <t>http://www.linkedin.com/in/pierre-rocherie-99aa6213b</t>
  </si>
  <si>
    <t>http://www.bye-buy-car.com</t>
  </si>
  <si>
    <t xml:space="preserve">L'agence automobile Bye Buy Car vous accompagne dans la vente ou l'achat de votre voiture d'occasion dans toute la France ! Obtenez le meilleur prix !</t>
  </si>
  <si>
    <t>Saffroy</t>
  </si>
  <si>
    <t>Studio9P</t>
  </si>
  <si>
    <t>ludo@neuviemepage.com</t>
  </si>
  <si>
    <t>http://www.linkedin.com/in/ludovic-saffroy-954a7313</t>
  </si>
  <si>
    <t>http://www.studio9p.com</t>
  </si>
  <si>
    <t xml:space="preserve">126 Rue La Fayette, Paris, Ile-de-France, France, 75010</t>
  </si>
  <si>
    <t xml:space="preserve">Nous sommes un studio qui conçoit et réalise des aventures  pour le web. Nous sommes  studio 9p.</t>
  </si>
  <si>
    <t>Valere</t>
  </si>
  <si>
    <t>Tanche</t>
  </si>
  <si>
    <t xml:space="preserve">Cofondateur et CEO</t>
  </si>
  <si>
    <t>vt@augusteetferdinand.com</t>
  </si>
  <si>
    <t>http://www.linkedin.com/in/val%c3%a8re-tanche-5b70a9139</t>
  </si>
  <si>
    <t>http://www.augusteetferdinand.com</t>
  </si>
  <si>
    <t xml:space="preserve">182 Avenue de l'Hippodrome, Lambersart, Hauts-de-France, France, 59130</t>
  </si>
  <si>
    <t>Puchois</t>
  </si>
  <si>
    <t xml:space="preserve">The Persuaders</t>
  </si>
  <si>
    <t>stephane.puchois@thepersuaders.fr</t>
  </si>
  <si>
    <t>http://www.linkedin.com/in/stephanepuchois</t>
  </si>
  <si>
    <t>http://www.thepersuaders.fr</t>
  </si>
  <si>
    <t xml:space="preserve">Notre cabinet conseil digital vous accompagne dans votre montée en puissance sur le numérique. Depuis le conseil stratégique jusqu'au suivi opérationnel.</t>
  </si>
  <si>
    <t>Hassan</t>
  </si>
  <si>
    <t>Aouisse</t>
  </si>
  <si>
    <t xml:space="preserve">stellar </t>
  </si>
  <si>
    <t>hassan@stellar.tc</t>
  </si>
  <si>
    <t>http://www.linkedin.com/in/hassan-aouisse-9995352</t>
  </si>
  <si>
    <t>http://www.stellar.tc</t>
  </si>
  <si>
    <t>Corbeaux</t>
  </si>
  <si>
    <t xml:space="preserve">Présidente | Agence Webmarketing 360°</t>
  </si>
  <si>
    <t>marque</t>
  </si>
  <si>
    <t>v.corbeaux@marquedigitale.fr</t>
  </si>
  <si>
    <t>http://www.linkedin.com/in/virginie-corbeaux-3b3129bb</t>
  </si>
  <si>
    <t>http://www.marquedigitale.fr</t>
  </si>
  <si>
    <t xml:space="preserve">1 Rue Jean Bertin, Valence, Auvergne-Rhone-Alpes, France, 26000</t>
  </si>
  <si>
    <t xml:space="preserve">marque DIGITALE votre agence de Marketing Digital et SEO à Valence spécialisée en Stratégie Marketing et création de site web.</t>
  </si>
  <si>
    <t>Moretau</t>
  </si>
  <si>
    <t xml:space="preserve">SC-Form CONCEPT</t>
  </si>
  <si>
    <t>commercial@sc-form.com</t>
  </si>
  <si>
    <t>http://www.linkedin.com/in/mathieu-moretau-454b8962</t>
  </si>
  <si>
    <t>http://www.sc-form.com</t>
  </si>
  <si>
    <t xml:space="preserve">Metz, Alsace-Champagne-Ardenne-Lorraine, France</t>
  </si>
  <si>
    <t xml:space="preserve">Solutions logicielles complètes de gestion pour organismes de formation professionnelle et centre de formation d’apprentis CFA</t>
  </si>
  <si>
    <t>Tilleman</t>
  </si>
  <si>
    <t xml:space="preserve">Co-fondateur - Serial Guilder</t>
  </si>
  <si>
    <t>LaGuild</t>
  </si>
  <si>
    <t>alexandre@laguild.io</t>
  </si>
  <si>
    <t>http://www.linkedin.com/in/alextil</t>
  </si>
  <si>
    <t>http://www.laguild.io</t>
  </si>
  <si>
    <t xml:space="preserve">151 Rue Saint-Denis, Paris, Ile-de-France, France, 75002</t>
  </si>
  <si>
    <t xml:space="preserve">LaGuild est un collectif à taille humaine qui sélectionne les meilleurs, pour composer des équipes qui envoient du lourd. Nos technologies/stacks préférées : iOS et Android en Natif, ReactJS, NodeJS, Firebase et AWS.</t>
  </si>
  <si>
    <t xml:space="preserve">Directrice générale et Co-fondatrice</t>
  </si>
  <si>
    <t xml:space="preserve">la bise</t>
  </si>
  <si>
    <t>julie@la-bise.fr</t>
  </si>
  <si>
    <t>http://www.linkedin.com/in/mllejuliearnaud</t>
  </si>
  <si>
    <t>http://www.la-bise.fr</t>
  </si>
  <si>
    <t xml:space="preserve">5 Avenue Parmentier, Paris, Ile-de-France, France, 75011</t>
  </si>
  <si>
    <t xml:space="preserve">Dans le Top 10 des meilleures agences digitales indépendantes, la bise est 
depuis 6 ans l'agence de communication experte en co-freelancing sur Paris 
et Nantes. Sites internet, application mobile ou campagne, nous vous 
accompagnons sur vos projets digitaux B2B ou B2C, de la stratégie à 
l'activation sur les réseaux sociaux en passant par toutes les étapes de 
conception et de direction artistique.</t>
  </si>
  <si>
    <t>Lepoittevin</t>
  </si>
  <si>
    <t xml:space="preserve">LD TELECOMS</t>
  </si>
  <si>
    <t>christophe.lepoittevin@ldtelecoms.com</t>
  </si>
  <si>
    <t>http://www.linkedin.com/in/christophe-lepoittevin-ld-telecoms-ld-solution-235b763a</t>
  </si>
  <si>
    <t>http://www.ldtelecoms.com</t>
  </si>
  <si>
    <t xml:space="preserve">Epron, Normandy, France, 14610</t>
  </si>
  <si>
    <t>Monet</t>
  </si>
  <si>
    <t>Dacker</t>
  </si>
  <si>
    <t>vincent@dacker.co</t>
  </si>
  <si>
    <t>http://www.linkedin.com/in/monetvincent</t>
  </si>
  <si>
    <t>http://www.dacker.co</t>
  </si>
  <si>
    <t xml:space="preserve">Place de la Bastille, Paris, Ile-de-France, France, 75011</t>
  </si>
  <si>
    <t xml:space="preserve">Data Specialist depuis 2016</t>
  </si>
  <si>
    <t>Lengrais</t>
  </si>
  <si>
    <t xml:space="preserve">Co-founder &amp; CBDO 🇪🇺 🇺🇦</t>
  </si>
  <si>
    <t>Preste</t>
  </si>
  <si>
    <t>jeremie.lengrais@preste.ai</t>
  </si>
  <si>
    <t>http://www.linkedin.com/in/jlengrais</t>
  </si>
  <si>
    <t>http://www.preste.ai</t>
  </si>
  <si>
    <t xml:space="preserve">242 Boulevard Voltaire, Paris, Ile-de-France, France, 75011</t>
  </si>
  <si>
    <t xml:space="preserve">PRESTE est une entreprise de services en intelligence artificielle.
Nous réalisons vos projets Machine Learning et Science des Données - de la conception à la production.
Nous vous accompagnons en : vision par ordinateur, traitement du langage naturel (NLP), analyse prédictive, système de recommandation, graphes, algorithmes dédiés.</t>
  </si>
  <si>
    <t>Rageevan</t>
  </si>
  <si>
    <t>Thanabalan</t>
  </si>
  <si>
    <t xml:space="preserve">CTO and Co-Founder</t>
  </si>
  <si>
    <t>BECYCURE</t>
  </si>
  <si>
    <t>rageevan.thanabalan@becycure.com</t>
  </si>
  <si>
    <t>http://www.linkedin.com/in/rageevan-thanabalan-b8223514</t>
  </si>
  <si>
    <t>http://www.becycure.com</t>
  </si>
  <si>
    <t xml:space="preserve">BECYCURE est un acteur expert en cybersécurité proposant des solutions adaptées aux besoins d'organisations de toutes tailles.</t>
  </si>
  <si>
    <t>Bouzaglou</t>
  </si>
  <si>
    <t xml:space="preserve">Tech Marketing</t>
  </si>
  <si>
    <t>d.bouzaglou@tech-marketing.eu</t>
  </si>
  <si>
    <t>http://www.linkedin.com/in/dan-bouzaglou-922b681b6</t>
  </si>
  <si>
    <t>http://www.techmarketing.biz</t>
  </si>
  <si>
    <t xml:space="preserve">208 W Millbrook Rd, Raleigh, North Carolina, United States, 27609</t>
  </si>
  <si>
    <t>Sigrist</t>
  </si>
  <si>
    <t xml:space="preserve">CTO &amp; Managing Director - Co-Founder</t>
  </si>
  <si>
    <t>pierre.sigrist@epicnpoc.com</t>
  </si>
  <si>
    <t>http://www.linkedin.com/in/pierre-sigrist</t>
  </si>
  <si>
    <t>Anas</t>
  </si>
  <si>
    <t>Labriti</t>
  </si>
  <si>
    <t xml:space="preserve">ABALSIA Consulting</t>
  </si>
  <si>
    <t>anas.labriti@abalsia.com</t>
  </si>
  <si>
    <t>http://www.linkedin.com/in/anas-labriti-407283168</t>
  </si>
  <si>
    <t>http://www.abalsia.com</t>
  </si>
  <si>
    <t>Pegeon</t>
  </si>
  <si>
    <t>QbitSoft</t>
  </si>
  <si>
    <t>olivier@qbit-soft.com</t>
  </si>
  <si>
    <t>http://www.linkedin.com/in/olivierpegeon</t>
  </si>
  <si>
    <t>http://www.qbit-soft.com</t>
  </si>
  <si>
    <t xml:space="preserve">17 Avenue de la Terrasse, Montesson, Ile-de-France, France, 78360</t>
  </si>
  <si>
    <t xml:space="preserve">Découvrez notre solution quantique pour résoudre efficacement des problèmes d'optimisation complexes dans différents secteurs d'activité.</t>
  </si>
  <si>
    <t>Clere</t>
  </si>
  <si>
    <t xml:space="preserve">PERLES D'HISTOIRE</t>
  </si>
  <si>
    <t>pauline.le.clere@perlesdhistoire.fr</t>
  </si>
  <si>
    <t>http://www.linkedin.com/in/pauline-le-clere-46ba935</t>
  </si>
  <si>
    <t>http://www.perlesdhistoire.fr</t>
  </si>
  <si>
    <t xml:space="preserve">24 Rue Firmin Gillot, Paris, Ile-de-France, France, 75015</t>
  </si>
  <si>
    <t xml:space="preserve">Agence d'ingénierie historique et culturelle, nous accompagnons les entreprises dans la valorisation de leur patrimoine, de l'archive à sa médiation.</t>
  </si>
  <si>
    <t>R.</t>
  </si>
  <si>
    <t xml:space="preserve">Magma App</t>
  </si>
  <si>
    <t>joris@magma.app</t>
  </si>
  <si>
    <t>http://www.linkedin.com/in/jorisrenaud</t>
  </si>
  <si>
    <t>http://www.magma.app</t>
  </si>
  <si>
    <t xml:space="preserve">Magma the #1 Ambassador Led Growth Platform to activate your best ambassadors to help you to success more</t>
  </si>
  <si>
    <t>Akram</t>
  </si>
  <si>
    <t>Fadil</t>
  </si>
  <si>
    <t>Reetain</t>
  </si>
  <si>
    <t>akram.elfadil@reetain.com</t>
  </si>
  <si>
    <t>http://www.linkedin.com/in/akram-el-fadil-401b2799</t>
  </si>
  <si>
    <t>http://www.reetain.com</t>
  </si>
  <si>
    <t xml:space="preserve">Reetain helps you bridge the gap between Marketing and Tech. We provide CRM Consulting, solution expertise, and operational excellence to make the most of your Salesforce Marketing Cloud Platform. We empower your campaign operations, leveraging our Managed Services offer.</t>
  </si>
  <si>
    <t>Bail</t>
  </si>
  <si>
    <t xml:space="preserve">Co founder - Head of Design</t>
  </si>
  <si>
    <t>Edda</t>
  </si>
  <si>
    <t>josselin@kushim.vc</t>
  </si>
  <si>
    <t>http://www.linkedin.com/in/josselinlebail</t>
  </si>
  <si>
    <t>http://www.edda.co</t>
  </si>
  <si>
    <t xml:space="preserve">Discover Edda's suite of VC software for collaborative dealflow, portfolio management, and LP-GP relationship building, ensuring informed investments.</t>
  </si>
  <si>
    <t>Falez</t>
  </si>
  <si>
    <t xml:space="preserve">Co-founder &amp; Lead scientist</t>
  </si>
  <si>
    <t>Whispeak</t>
  </si>
  <si>
    <t>pfalez@whispeak.io</t>
  </si>
  <si>
    <t>http://www.linkedin.com/in/pierre-falez-2777b9176</t>
  </si>
  <si>
    <t>http://www.whispeak.io</t>
  </si>
  <si>
    <t xml:space="preserve">Expert en biométrie vocale et en détection de voix de synthèse Whispeak permet d’authentifier, détecter et sécuriser grâce à la voix.</t>
  </si>
  <si>
    <t>Belafa</t>
  </si>
  <si>
    <t>joel@biolevate.com</t>
  </si>
  <si>
    <t>http://www.linkedin.com/in/joel-belafa-98139635</t>
  </si>
  <si>
    <t>Oussama</t>
  </si>
  <si>
    <t>Lessis</t>
  </si>
  <si>
    <t xml:space="preserve">Pwn &amp; Patch</t>
  </si>
  <si>
    <t>oussama.lessis@pwnandpatch.com</t>
  </si>
  <si>
    <t>http://www.linkedin.com/in/oussama-lessis-b8a02481</t>
  </si>
  <si>
    <t>http://www.pwnandpatch.com</t>
  </si>
  <si>
    <t xml:space="preserve">Tennessee, United States</t>
  </si>
  <si>
    <t xml:space="preserve">Oktoboot is a threat intelligence platform that monitors continuosly dark and deepweb for databreaches related to Pwn &amp; Patch clients.</t>
  </si>
  <si>
    <t>Lauren</t>
  </si>
  <si>
    <t>Fryer</t>
  </si>
  <si>
    <t>MUSE</t>
  </si>
  <si>
    <t>lauren.fryer@the-muse.co</t>
  </si>
  <si>
    <t>http://www.linkedin.com/in/laurenfryermuse</t>
  </si>
  <si>
    <t>http://www.musetheagency.com</t>
  </si>
  <si>
    <t xml:space="preserve">Apsley Grove, Manchester, England, United Kingdom, M12 6AW</t>
  </si>
  <si>
    <t xml:space="preserve">MUSE is a global leader in the talent management sector, specialising in bespoke social strategy and nurturing growth through connecting content creators with world renowned brands.</t>
  </si>
  <si>
    <t>Magne</t>
  </si>
  <si>
    <t xml:space="preserve">CPO &amp; co-founder</t>
  </si>
  <si>
    <t>Promyze</t>
  </si>
  <si>
    <t>arthur.magne@promyze.com</t>
  </si>
  <si>
    <t>http://www.linkedin.com/in/arthur-magne-2b81aa81</t>
  </si>
  <si>
    <t>http://www.packmind.com</t>
  </si>
  <si>
    <t xml:space="preserve">11 Cours du 30 Juillet, Bordeaux, Nouvelle-Aquitaine, France, 33000</t>
  </si>
  <si>
    <t xml:space="preserve">Improve engineering performance by helping your team identify, validate and adopt the best coding practices, tailored to your context.</t>
  </si>
  <si>
    <t>Bernardo</t>
  </si>
  <si>
    <t>Cabrera</t>
  </si>
  <si>
    <t>Seckiot</t>
  </si>
  <si>
    <t>bernardo.cabrera@seckiot.fr</t>
  </si>
  <si>
    <t>http://www.linkedin.com/in/bernardocabrera</t>
  </si>
  <si>
    <t>http://www.seckiot.fr</t>
  </si>
  <si>
    <t xml:space="preserve">SECKIOT est une entreprise française éditrice de logiciels spécialisée dans la Cybersécurité des systèmes industriels (OT/ICS/SCADA) &amp; XIOT : Cartographie des réseaux, Gestion des vulnérabilités &amp; Détections des intrusions</t>
  </si>
  <si>
    <t>Monnereau</t>
  </si>
  <si>
    <t>manu@bulwarkstudios.com</t>
  </si>
  <si>
    <t>http://www.linkedin.com/in/emmanuelmonnereau</t>
  </si>
  <si>
    <t>Abdellah</t>
  </si>
  <si>
    <t>Asry</t>
  </si>
  <si>
    <t xml:space="preserve">Managing Director &amp; Founder</t>
  </si>
  <si>
    <t>SNR</t>
  </si>
  <si>
    <t>aelasry@snr-partners.com</t>
  </si>
  <si>
    <t>http://www.linkedin.com/in/abdellah-el-asry-0a3478</t>
  </si>
  <si>
    <t>http://www.snr-partners.com</t>
  </si>
  <si>
    <t xml:space="preserve">5 Rue Agar, Paris, Ile-de-France, France, 75016</t>
  </si>
  <si>
    <t>Veerpal</t>
  </si>
  <si>
    <t>S.</t>
  </si>
  <si>
    <t xml:space="preserve">Vake Consulting</t>
  </si>
  <si>
    <t>veerpal.singh@vakeconsulting.com</t>
  </si>
  <si>
    <t>http://www.linkedin.com/in/veerpal-s-7a97188b</t>
  </si>
  <si>
    <t>http://www.vakeconsulting.com</t>
  </si>
  <si>
    <t xml:space="preserve">دبي, دبي, United Arab Emirates</t>
  </si>
  <si>
    <t>Lefort</t>
  </si>
  <si>
    <t xml:space="preserve">INDELEC Mobility</t>
  </si>
  <si>
    <t>blefort@indelec.com</t>
  </si>
  <si>
    <t>http://www.linkedin.com/in/bertrand-lefort-indelec</t>
  </si>
  <si>
    <t>http://www.indelecmobility.fr</t>
  </si>
  <si>
    <t xml:space="preserve">61 Chemin des Postes, Douai, Hauts-de-France, France, 59500</t>
  </si>
  <si>
    <t xml:space="preserve">Borne de recharge pour véhicules électriques : Indelec Mobility assure la fourniture, l'installation, la gestion et la maintenance de votre infrastructure de recharge électrique.</t>
  </si>
  <si>
    <t>Gueven</t>
  </si>
  <si>
    <t>Urganci</t>
  </si>
  <si>
    <t>noCRM</t>
  </si>
  <si>
    <t>guv@youdontneedacrm.com</t>
  </si>
  <si>
    <t>http://www.linkedin.com/in/guvenurganci</t>
  </si>
  <si>
    <t>http://www.nocrm.io</t>
  </si>
  <si>
    <t xml:space="preserve">102 Rue de Miromesnil, Paris, Ile-de-France, France, 75008</t>
  </si>
  <si>
    <t xml:space="preserve">Fill in less forms, make more calls, close more deals. noCRM is a SaaS Lead Management Software that helps sales team turn prospects into customers. Try for free.</t>
  </si>
  <si>
    <t>Fournet</t>
  </si>
  <si>
    <t>Scintelle</t>
  </si>
  <si>
    <t>cedric.fournet@scintelle.fr</t>
  </si>
  <si>
    <t>http://www.linkedin.com/in/c%c3%a9dric-fournet-244a5b230</t>
  </si>
  <si>
    <t>http://www.scintelle.fr</t>
  </si>
  <si>
    <t xml:space="preserve">75 Boulevard de la Liane, Saint-Leonard, Hauts-de-France, France, 62360</t>
  </si>
  <si>
    <t>Chamas</t>
  </si>
  <si>
    <t>jerome@finasens.com</t>
  </si>
  <si>
    <t>http://www.linkedin.com/in/j%c3%a9r%c3%b4me-de-saint-chamas-61441538</t>
  </si>
  <si>
    <t>Athena</t>
  </si>
  <si>
    <t>Lemonnier</t>
  </si>
  <si>
    <t xml:space="preserve">Prestinfo Services</t>
  </si>
  <si>
    <t>athena.lemonnier@prestinfo-services.com</t>
  </si>
  <si>
    <t>http://www.linkedin.com/in/ath%c3%a9na-lemonnier-204baaa3</t>
  </si>
  <si>
    <t>http://www.prestinfo-services.com</t>
  </si>
  <si>
    <t xml:space="preserve">574 Chemin de Wette Fays, Caluire-et-Cuire, Auvergne-Rhone-Alpes, France, 69300</t>
  </si>
  <si>
    <t xml:space="preserve">Prestinfo Services offre des conseils spécialisés, des audits complets, et des services de RSSI adaptés aux petites et moyennes entreprises.</t>
  </si>
  <si>
    <t>Trucy</t>
  </si>
  <si>
    <t>Legitbee</t>
  </si>
  <si>
    <t>julien.trucy@legitbee.com</t>
  </si>
  <si>
    <t>http://www.linkedin.com/in/julien-trucy-4a4a9a4</t>
  </si>
  <si>
    <t>http://www.legitbee.com</t>
  </si>
  <si>
    <t xml:space="preserve">Votre succession, enfin complète et simplifiée. Sécurisez votre patrimoine ; transmettez vos biens numériques ; et simplifiez les démarches pour vos proches.</t>
  </si>
  <si>
    <t>Bouzit</t>
  </si>
  <si>
    <t xml:space="preserve">Rougevert Communication</t>
  </si>
  <si>
    <t>sebastien@rougevert.fr</t>
  </si>
  <si>
    <t>http://www.linkedin.com/in/s%c3%a9bastien-bouzit-b6284765</t>
  </si>
  <si>
    <t>http://www.rougevert.fr</t>
  </si>
  <si>
    <t xml:space="preserve">Villefranche-sur-Saone, Rhone-Alpes, France</t>
  </si>
  <si>
    <t xml:space="preserve">Proximité, stratégie, créativité, performance. Découvrez l'agence de com à Villefranche s/S : vous êtes à 1 clic de faire grandir votre communication.</t>
  </si>
  <si>
    <t>Dolhin</t>
  </si>
  <si>
    <t>s.dolhin@zemper.com</t>
  </si>
  <si>
    <t>http://www.linkedin.com/in/st%c3%a9phane-dolhin-a2496511b</t>
  </si>
  <si>
    <t>Gisele</t>
  </si>
  <si>
    <t xml:space="preserve">Associate founder of Gisèle Paris</t>
  </si>
  <si>
    <t xml:space="preserve">Gisèle Paris</t>
  </si>
  <si>
    <t>gisele@gisele-paris.fr</t>
  </si>
  <si>
    <t>http://www.linkedin.com/in/gisele-journo</t>
  </si>
  <si>
    <t>http://www.gisele-paris.fr</t>
  </si>
  <si>
    <t xml:space="preserve">Gisèle Paris est une agence de communication et de publicité dans le secteur de l'influence | Talents | Collaborations | Accompagnement | Stratégie</t>
  </si>
  <si>
    <t>Villejegu</t>
  </si>
  <si>
    <t xml:space="preserve">Daze MGMT</t>
  </si>
  <si>
    <t>thomas@daze-mgmt.com</t>
  </si>
  <si>
    <t>http://www.linkedin.com/in/thomas-de-la-villej%c3%a9gu-8a631494</t>
  </si>
  <si>
    <t>http://www.daze-mgmt.com</t>
  </si>
  <si>
    <t>Melinda</t>
  </si>
  <si>
    <t>Dubreucq</t>
  </si>
  <si>
    <t xml:space="preserve">Co-Founder and COO</t>
  </si>
  <si>
    <t>Peftrust</t>
  </si>
  <si>
    <t>melinda.dubreucq@lempreinte.fr</t>
  </si>
  <si>
    <t>http://www.linkedin.com/in/melinda-dubreucq-008170138</t>
  </si>
  <si>
    <t>http://www.peftrust.com</t>
  </si>
  <si>
    <t xml:space="preserve">7 Avenue de Blida, Metz, Grand Est, France, 57000</t>
  </si>
  <si>
    <t xml:space="preserve">Peftrust is a scalable LCA Solutions for Fashion &amp; Lifestyle. It's a fashion's digital platform for LCAs, CSRD, and Eco-design.</t>
  </si>
  <si>
    <t>Jego</t>
  </si>
  <si>
    <t xml:space="preserve">Co-fondateur chez Phoner &amp; Phoner Business</t>
  </si>
  <si>
    <t xml:space="preserve">Phoner Business</t>
  </si>
  <si>
    <t>kevin@phoner.co</t>
  </si>
  <si>
    <t>http://www.linkedin.com/in/kjego</t>
  </si>
  <si>
    <t>http://www.phonerbusiness.com</t>
  </si>
  <si>
    <t xml:space="preserve">Vitre, Brittany, France, 35500</t>
  </si>
  <si>
    <t xml:space="preserve">Phoner vous accompagne dans la gestion de flotte de votre téléphonie mobile professionnelle. Forfaits mobiles entreprise, téléphones...</t>
  </si>
  <si>
    <t>Dragoumis</t>
  </si>
  <si>
    <t xml:space="preserve">Co-Founder &amp; General Manager at Quarks Services S.A.S.</t>
  </si>
  <si>
    <t xml:space="preserve">Quarks Safety</t>
  </si>
  <si>
    <t>dimitri.dragoumis@quarks-services.com</t>
  </si>
  <si>
    <t>http://www.linkedin.com/in/dragoumis</t>
  </si>
  <si>
    <t>http://www.quarks-safety.com</t>
  </si>
  <si>
    <t xml:space="preserve">48 Grande Rue, Besancon, Franche-Comte, France, 25000</t>
  </si>
  <si>
    <t xml:space="preserve">Quarks Safety est une solution globale, évolutive et collaborative, qui permet une gestion précise de l'ensemble des produits chimiques en établissant et en maintenant l'inventaire de tout produit utilisé, avec une traçabilité détaillée des cycles de vie en vue d'une évaluation des risques.Cette plateforme est actualisée en permanence grâce à une veille règlementaire européenne et internationale.</t>
  </si>
  <si>
    <t>Cardon</t>
  </si>
  <si>
    <t>Wemoov</t>
  </si>
  <si>
    <t>nicolas.cardon@wemoov.fr</t>
  </si>
  <si>
    <t>http://www.linkedin.com/in/nicolas-cardon</t>
  </si>
  <si>
    <t>http://www.wemoov.fr</t>
  </si>
  <si>
    <t>Pornichet</t>
  </si>
  <si>
    <t xml:space="preserve">1 Avenue du Professeur Jean Rouxel, Carquefou, Pays de la Loire, France, 44470</t>
  </si>
  <si>
    <t>benoit@beezeelinx.com</t>
  </si>
  <si>
    <t>http://www.linkedin.com/in/benoit-perrin</t>
  </si>
  <si>
    <t>Meziane</t>
  </si>
  <si>
    <t>Aberkane</t>
  </si>
  <si>
    <t>REMELEC</t>
  </si>
  <si>
    <t>meziane@remelec.com</t>
  </si>
  <si>
    <t>http://www.linkedin.com/in/meziane-aberkane-a08a4a152</t>
  </si>
  <si>
    <t>http://www.remelec.com</t>
  </si>
  <si>
    <t xml:space="preserve">22 Rue Alfred de Musset, Saint-Jean-les-Deux-Jumeaux, Ile-de-France, France, 77660</t>
  </si>
  <si>
    <t xml:space="preserve">Directeur Général - Fondateur</t>
  </si>
  <si>
    <t>InOvi</t>
  </si>
  <si>
    <t>arnaud.fouquet@inovi.fr</t>
  </si>
  <si>
    <t>http://www.linkedin.com/in/arnaud-fouquet-inovi</t>
  </si>
  <si>
    <t>http://www.inovi.fr</t>
  </si>
  <si>
    <t>Salwa</t>
  </si>
  <si>
    <t>Harif</t>
  </si>
  <si>
    <t>ISSROAD</t>
  </si>
  <si>
    <t>shf@issroad.com</t>
  </si>
  <si>
    <t>http://www.linkedin.com/in/salwaharif</t>
  </si>
  <si>
    <t>http://www.issroad.com</t>
  </si>
  <si>
    <t xml:space="preserve">Casablanca-Settat, Morocco</t>
  </si>
  <si>
    <t>Clara</t>
  </si>
  <si>
    <t xml:space="preserve">Co-fondatrice &amp; Présidente</t>
  </si>
  <si>
    <t>LOCOMOTIV'</t>
  </si>
  <si>
    <t>clara@locomotiv.com</t>
  </si>
  <si>
    <t>http://www.linkedin.com/in/clara-morel-53564683</t>
  </si>
  <si>
    <t>http://www.locomotiv.com</t>
  </si>
  <si>
    <t xml:space="preserve">4 Cours de l'Intendance, Bordeaux, Nouvelle-Aquitaine, France, 33000</t>
  </si>
  <si>
    <t xml:space="preserve">Un modèle d’agence unique en conseil et communication, propulsé par une communauté d’experts. Challenger vos ambitions : telle est la promesse des équipes Locomotiv’.</t>
  </si>
  <si>
    <t>Caumartin</t>
  </si>
  <si>
    <t xml:space="preserve">Chief of Executive Officer</t>
  </si>
  <si>
    <t xml:space="preserve">TRAMSCAN CONNECT</t>
  </si>
  <si>
    <t>charles.caumartin@tramscan.fr</t>
  </si>
  <si>
    <t>http://www.linkedin.com/in/charles-caumartin-a932594b</t>
  </si>
  <si>
    <t>http://www.tramscan-connect.fr</t>
  </si>
  <si>
    <t xml:space="preserve">1 Rue de la Source, Chateauneuf-du-Rhone, Auvergne-Rhone-Alpes, France, 26780</t>
  </si>
  <si>
    <t xml:space="preserve">Urban Radar</t>
  </si>
  <si>
    <t>philippe@urbanradar.io</t>
  </si>
  <si>
    <t>http://www.linkedin.com/in/philipperapin1</t>
  </si>
  <si>
    <t>http://www.urbanradar.io</t>
  </si>
  <si>
    <t xml:space="preserve">Urban Radar aide villes, entreprises sur la mobilité et la logistique grâce à des solutions basées sur des données pour une gestion durable.</t>
  </si>
  <si>
    <t xml:space="preserve">CNSI Solution &amp; Distribution</t>
  </si>
  <si>
    <t>charles.besse@cnsi-sd.fr</t>
  </si>
  <si>
    <t>http://www.linkedin.com/in/charles-besse-6399ab118</t>
  </si>
  <si>
    <t>http://www.cnsi-sd.fr</t>
  </si>
  <si>
    <t xml:space="preserve">Lieu-dit Hinlais, Plesse, Pays de la Loire, France, 44630</t>
  </si>
  <si>
    <t>Chantegrel</t>
  </si>
  <si>
    <t>Edusign</t>
  </si>
  <si>
    <t>greg@edusign.fr</t>
  </si>
  <si>
    <t>http://www.linkedin.com/in/gr%c3%a9goire-chantegrel-192bba71</t>
  </si>
  <si>
    <t>http://www.edusign.com</t>
  </si>
  <si>
    <t xml:space="preserve">Feuilles d'émargement électronique formation ✓ Feuille de présence digitale ✓ Facile ✓ rapide et numérique ✅ Démonstration gratuite ✓ Meilleur prix</t>
  </si>
  <si>
    <t>Motton</t>
  </si>
  <si>
    <t xml:space="preserve">Owner, We facilitate your culture transformation CEO@changeable</t>
  </si>
  <si>
    <t>changeable</t>
  </si>
  <si>
    <t>s.motton@changeable.fr</t>
  </si>
  <si>
    <t>http://www.linkedin.com/in/serge-motton-889793</t>
  </si>
  <si>
    <t>http://www.changeable.fr</t>
  </si>
  <si>
    <t xml:space="preserve">15 Rue des Halles, Paris, Ile-de-France, France, 75001</t>
  </si>
  <si>
    <t xml:space="preserve">Agence de design et de diffusion de la collaboration, du leadership et de la culture d’entreprise du 21 siècle</t>
  </si>
  <si>
    <t>Benoteau</t>
  </si>
  <si>
    <t xml:space="preserve">Oleaster Consulting</t>
  </si>
  <si>
    <t>cedric.benoteau@oleasterconsulting.com</t>
  </si>
  <si>
    <t>http://www.linkedin.com/in/c%c3%a9dric-benoteau-a2580620</t>
  </si>
  <si>
    <t>http://www.oleasterconsulting.com</t>
  </si>
  <si>
    <t xml:space="preserve">6 Square de l'Opera Louis Jouvet, Paris, Ile-de-France, France, 75009</t>
  </si>
  <si>
    <t xml:space="preserve">Nous aidons nos clients à identifier leurs problématiques, élaborer une stratégie et mettre en place les moyens nécessaires pour atteindre leurs objectifs.</t>
  </si>
  <si>
    <t>Jeoffrey</t>
  </si>
  <si>
    <t>Rambinintsoa</t>
  </si>
  <si>
    <t xml:space="preserve">Directeur Général - Directeur associé</t>
  </si>
  <si>
    <t xml:space="preserve">Pyxis Support</t>
  </si>
  <si>
    <t>jeoffrey.rambinintsoa@pyxis-support.com</t>
  </si>
  <si>
    <t>http://www.linkedin.com/in/jeoffrey-rambinintsoa-b004694</t>
  </si>
  <si>
    <t>http://www.pyxis-support.com</t>
  </si>
  <si>
    <t xml:space="preserve">3 Rue du Havre, Paris, Ile-de-France, France, 75008</t>
  </si>
  <si>
    <t>Cameron</t>
  </si>
  <si>
    <t>Philbert</t>
  </si>
  <si>
    <t xml:space="preserve">Digital Growth</t>
  </si>
  <si>
    <t>cameron@digitalgrowthinc.com</t>
  </si>
  <si>
    <t>http://www.linkedin.com/in/cameronphilbert</t>
  </si>
  <si>
    <t>http://www.digitalgrowthinc.com</t>
  </si>
  <si>
    <t>Pont-d'Ouilly</t>
  </si>
  <si>
    <t xml:space="preserve">Saint George, Grenada</t>
  </si>
  <si>
    <t>Grenada</t>
  </si>
  <si>
    <t xml:space="preserve">Your Growth Engine . Digital Growth Inc. is a results-driven marketing agency that helps clients solve their problems through digital marketing</t>
  </si>
  <si>
    <t>Delbecq</t>
  </si>
  <si>
    <t xml:space="preserve">The Social Wire</t>
  </si>
  <si>
    <t>laurent@thesocialwire.fr</t>
  </si>
  <si>
    <t>http://www.linkedin.com/in/laurent-delbecq-92200610</t>
  </si>
  <si>
    <t>http://www.socialwire.com</t>
  </si>
  <si>
    <t xml:space="preserve">12 Rue Popincourt, Paris, Ile-de-France, France, 75011</t>
  </si>
  <si>
    <t>Pulido</t>
  </si>
  <si>
    <t xml:space="preserve">Directrice Générale La Phratrie (Event&amp;Incentive/ Tech&amp;Services)</t>
  </si>
  <si>
    <t xml:space="preserve">La Phratrie</t>
  </si>
  <si>
    <t>cpulido@la-fonderie.fr</t>
  </si>
  <si>
    <t>http://www.linkedin.com/in/c%c3%a9line-pulido-54126313</t>
  </si>
  <si>
    <t>http://www.la-phratrie.fr</t>
  </si>
  <si>
    <t xml:space="preserve">61 Rue Jules Auffret, Pantin, Ile-de-France, France, 93500</t>
  </si>
  <si>
    <t xml:space="preserve">Créons de la valeur avec des valeurs. Un groupe de 14 agences aux expertises reconnues.</t>
  </si>
  <si>
    <t>Lamire</t>
  </si>
  <si>
    <t>Norsud</t>
  </si>
  <si>
    <t>e.lamire@norsud35.fr</t>
  </si>
  <si>
    <t>http://www.linkedin.com/in/eric-lamire-41823394</t>
  </si>
  <si>
    <t>http://www.norsud35.fr</t>
  </si>
  <si>
    <t xml:space="preserve">201 Boulevard de Laval, Vitre, Brittany, France, 35500</t>
  </si>
  <si>
    <t xml:space="preserve">Nous sommes créateurs d'enseignes et de signalétique au service des professionnels depuis 2002. Découvrez nos services sur notre site.</t>
  </si>
  <si>
    <t>Stucki</t>
  </si>
  <si>
    <t>Founder-manager</t>
  </si>
  <si>
    <t>SPYRIT</t>
  </si>
  <si>
    <t>pierre-yves.stucki@spyrit.net</t>
  </si>
  <si>
    <t>http://www.linkedin.com/in/stucki</t>
  </si>
  <si>
    <t>http://www.spyrit.net</t>
  </si>
  <si>
    <t xml:space="preserve">2 Rue du Pont Colbert, Versailles, Ile-de-France, France, 78000</t>
  </si>
  <si>
    <t xml:space="preserve">SPYRIT accompagne votre stratégie numérique : organisation du SI, conception ergonomique, réalisation et maintenance d'applications web ou mobiles.</t>
  </si>
  <si>
    <t>Paysac</t>
  </si>
  <si>
    <t>Grandir</t>
  </si>
  <si>
    <t>renaud.depaysac@grandir.fr</t>
  </si>
  <si>
    <t>http://www.linkedin.com/in/rdmdp</t>
  </si>
  <si>
    <t>http://www.grandir.fr</t>
  </si>
  <si>
    <t xml:space="preserve">9 Boulevard du General de Gaulle, Montrouge, Ile-de-France, France, 92120</t>
  </si>
  <si>
    <t xml:space="preserve">Grandir accompagne les cadres et dirigeants d’entreprise dans leur développement professionnel et les entreprises dans leurs projets et évolutions</t>
  </si>
  <si>
    <t>Masson</t>
  </si>
  <si>
    <t xml:space="preserve">PDG Comminter</t>
  </si>
  <si>
    <t>Comminter</t>
  </si>
  <si>
    <t>smasson@comminter.com</t>
  </si>
  <si>
    <t>http://www.linkedin.com/in/serge-masson-20552850</t>
  </si>
  <si>
    <t>http://www.comminter.com</t>
  </si>
  <si>
    <t xml:space="preserve">1 Place Marechal Juin, Rennes, Brittany, France, 35000</t>
  </si>
  <si>
    <t xml:space="preserve">Comminter est l'un des acteurs historiques dans le domaine du Wifi public proposant une large gamme de solution hotspot et offre de marketing digital.</t>
  </si>
  <si>
    <t>Lamant</t>
  </si>
  <si>
    <t xml:space="preserve">Geo Survey &amp; Topography</t>
  </si>
  <si>
    <t>cyrille.lamant@gs-topo.com</t>
  </si>
  <si>
    <t>http://www.linkedin.com/in/cyrille-lamant-0024a31b6</t>
  </si>
  <si>
    <t>http://www.gs-topo.com</t>
  </si>
  <si>
    <t>L'Isle-d'Espagnac</t>
  </si>
  <si>
    <t xml:space="preserve">90 Avenue Maryse Bastie, L'Isle-d'Espagnac, Aquitaine-Limousin-Poitou-Charentes, France, 16340</t>
  </si>
  <si>
    <t>Amadou</t>
  </si>
  <si>
    <t xml:space="preserve">MNS Consulting Group</t>
  </si>
  <si>
    <t>amadou.diop@mns-consulting.com</t>
  </si>
  <si>
    <t>http://www.linkedin.com/in/amadoudiop</t>
  </si>
  <si>
    <t>http://www.mns-consulting.com</t>
  </si>
  <si>
    <t xml:space="preserve">140 Rue de Rennes, Paris, Ile-de-France, France, 75006</t>
  </si>
  <si>
    <t xml:space="preserve">Fondateur et PDG</t>
  </si>
  <si>
    <t xml:space="preserve">LIEL TELECOM</t>
  </si>
  <si>
    <t>steven.cohen@lielcom.fr</t>
  </si>
  <si>
    <t>http://www.linkedin.com/in/steven-cohen-a94514245</t>
  </si>
  <si>
    <t>http://www.lielcom.fr</t>
  </si>
  <si>
    <t xml:space="preserve">Rue des Mousses, Marseille, Provence-Alpes-Cote d'Azur, France, 13008</t>
  </si>
  <si>
    <t>Hego</t>
  </si>
  <si>
    <t>Adikts</t>
  </si>
  <si>
    <t>ahego@frontguys.fr</t>
  </si>
  <si>
    <t>http://www.linkedin.com/in/arnaudhego</t>
  </si>
  <si>
    <t>http://www.adikts.io</t>
  </si>
  <si>
    <t xml:space="preserve">23 Rue de Berri, Paris, Ile-de-France, France, 75008</t>
  </si>
  <si>
    <t xml:space="preserve">Cabinet de conseil dédié au Cloud &amp; DevSecOps AWS, ainsi qu'au développement Web &amp; Data. Adikts est fière d'être AWS Consulting Partner.</t>
  </si>
  <si>
    <t>Larreur</t>
  </si>
  <si>
    <t xml:space="preserve">Co-founder &amp; Partner</t>
  </si>
  <si>
    <t>Maexinvent</t>
  </si>
  <si>
    <t>raphael.larreur@maexinvent.com</t>
  </si>
  <si>
    <t>http://www.linkedin.com/in/raphael-larreur-1288791a</t>
  </si>
  <si>
    <t>http://www.maex-invent.com</t>
  </si>
  <si>
    <t xml:space="preserve">38 Rue de Berri, Paris, Ile-de-France, France, 75008</t>
  </si>
  <si>
    <t xml:space="preserve">Découvrez Maexinvent : une équipe jeune, dynamique, engagée dans des projets mondiaux. Vivez le conseil comme une aventure !</t>
  </si>
  <si>
    <t>Ioan</t>
  </si>
  <si>
    <t>sylvain.ioan@rich-id.fr</t>
  </si>
  <si>
    <t>http://www.linkedin.com/in/sylvain-ioan-55666b4</t>
  </si>
  <si>
    <t>http://www.rich-id.fr</t>
  </si>
  <si>
    <t xml:space="preserve">63 Rue Sainte-Anne, Paris, Ile-de-France, France, 75002</t>
  </si>
  <si>
    <t>Duran</t>
  </si>
  <si>
    <t xml:space="preserve">CEO &amp; Security Consultant</t>
  </si>
  <si>
    <t>CyberOne</t>
  </si>
  <si>
    <t>denis.duran@cyberone.fr</t>
  </si>
  <si>
    <t>http://www.linkedin.com/in/durandenis</t>
  </si>
  <si>
    <t>http://www.cyberone.bg</t>
  </si>
  <si>
    <t xml:space="preserve">51 Булевард Черни връх, Sofia, Sofia City Province, Bulgaria, 1407</t>
  </si>
  <si>
    <t xml:space="preserve">CYBERONE е водеща фирма за информационна сигурност в България, която предлага съвременни услуги за киберсигурност и защита на личните данни | Научете повече &gt;</t>
  </si>
  <si>
    <t>Alicia</t>
  </si>
  <si>
    <t xml:space="preserve">Real Print</t>
  </si>
  <si>
    <t>alicia@realprint.fr</t>
  </si>
  <si>
    <t>http://www.linkedin.com/in/alicia-garcia-a1185b5a</t>
  </si>
  <si>
    <t>http://www.realprint.com.mx</t>
  </si>
  <si>
    <t xml:space="preserve">Santiago de Queretaro, Queretaro, Mexico, 76030</t>
  </si>
  <si>
    <t>Bessec</t>
  </si>
  <si>
    <t xml:space="preserve">CHAUSSURES BESSEC</t>
  </si>
  <si>
    <t>philippe.bessec@bessecchausseur.fr</t>
  </si>
  <si>
    <t>http://www.linkedin.com/in/philippe-bessec-0a8b4041</t>
  </si>
  <si>
    <t>http://www.bessec-chaussures.com</t>
  </si>
  <si>
    <t xml:space="preserve">St-Malo, Brittany, France, 35400</t>
  </si>
  <si>
    <t xml:space="preserve">Lame de Fond</t>
  </si>
  <si>
    <t>laurent.gilbert@lamedefond.com</t>
  </si>
  <si>
    <t>http://www.linkedin.com/in/laurent-gilbert-84329947</t>
  </si>
  <si>
    <t>http://www.lamedefond.com</t>
  </si>
  <si>
    <t xml:space="preserve">1 Allee des Moulineaux, Issy-les-Moulineaux, Ile-de-France, France, 92130</t>
  </si>
  <si>
    <t xml:space="preserve">Lame de Fond : agence d'activation et de communication digitale indépendante. Partenaire de marques internationales, experte du point de vente depuis 30 ans.</t>
  </si>
  <si>
    <t>Rondepierre</t>
  </si>
  <si>
    <t xml:space="preserve">Cofondateur et CTO</t>
  </si>
  <si>
    <t>Hubup</t>
  </si>
  <si>
    <t>quentin.rondepierre@hubup.fr</t>
  </si>
  <si>
    <t>http://www.linkedin.com/in/quentin-rondepierre-77467699</t>
  </si>
  <si>
    <t>http://www.hubup.fr</t>
  </si>
  <si>
    <t xml:space="preserve">63BIS Rue de la Tombe-Issoire, Paris, Ile-de-France, France, 75014</t>
  </si>
  <si>
    <t xml:space="preserve">Hubup fournit des outils digitaux performants permettant de piloter les réseaux de transport en temps réel et de connecter leurs acteurs.</t>
  </si>
  <si>
    <t>Lalande</t>
  </si>
  <si>
    <t>IDEALYS</t>
  </si>
  <si>
    <t>michael.lalande@idealys.fr</t>
  </si>
  <si>
    <t>http://www.linkedin.com/in/michael-lalande-648a0993</t>
  </si>
  <si>
    <t>http://www.idealys.fr</t>
  </si>
  <si>
    <t xml:space="preserve">Montpellier, Occitanie, France</t>
  </si>
  <si>
    <t xml:space="preserve">Opérateur de la smart city et du smart building, Idealys propose une application de services pour les résidents, salariés, commerces et gestionnaires des immeubles.</t>
  </si>
  <si>
    <t>Baynaud</t>
  </si>
  <si>
    <t>erwan@alobees.com</t>
  </si>
  <si>
    <t>http://www.linkedin.com/in/erwanbaynaud</t>
  </si>
  <si>
    <t>http://www.alobees.com</t>
  </si>
  <si>
    <t xml:space="preserve">11 Avenue Carnot, Paris, Ile-de-France, France, 75017</t>
  </si>
  <si>
    <t>SPORTMIDABLE</t>
  </si>
  <si>
    <t>lmarguet@sportmidable.com</t>
  </si>
  <si>
    <t>http://www.linkedin.com/in/laurent-marguet1</t>
  </si>
  <si>
    <t>http://www.spark-merch.com</t>
  </si>
  <si>
    <t>Granges-Narboz</t>
  </si>
  <si>
    <t xml:space="preserve">2 Rue Willy Brandt, Pontarlier, Bourgogne-Franche-Comte, France, 25300</t>
  </si>
  <si>
    <t>Piot</t>
  </si>
  <si>
    <t xml:space="preserve">Owner &amp; CEO</t>
  </si>
  <si>
    <t xml:space="preserve">ALPA Accessoires</t>
  </si>
  <si>
    <t>loic@alpa-accessoires.com</t>
  </si>
  <si>
    <t>http://www.linkedin.com/in/loicpiot</t>
  </si>
  <si>
    <t>http://www.alpa-accessoires.com</t>
  </si>
  <si>
    <t xml:space="preserve">Voves, Centre-Val de Loire, France, 28150</t>
  </si>
  <si>
    <t>Cram</t>
  </si>
  <si>
    <t xml:space="preserve">Directeur général / Fondateur / Co-Gérant</t>
  </si>
  <si>
    <t>HOREL</t>
  </si>
  <si>
    <t>aurelien@horel.com</t>
  </si>
  <si>
    <t>http://www.linkedin.com/in/aur%c3%a9lien-cram-a44b8632</t>
  </si>
  <si>
    <t>http://www.horel.com</t>
  </si>
  <si>
    <t xml:space="preserve">5 Place du Parlement, Bordeaux, Nouvelle-Aquitaine, France, 33000</t>
  </si>
  <si>
    <t>Corolleur</t>
  </si>
  <si>
    <t>MATOS-BTP</t>
  </si>
  <si>
    <t>frederic.corolleur@matosbtp.com</t>
  </si>
  <si>
    <t>http://www.linkedin.com/in/fr%c3%a9d%c3%a9ric-corolleur-a5a241b6</t>
  </si>
  <si>
    <t>http://www.matosbtp.com</t>
  </si>
  <si>
    <t xml:space="preserve">140 Route de Paris, Nantes, Pays de la Loire, France, 44300</t>
  </si>
  <si>
    <t xml:space="preserve">L'application logiciel conçue pour simplifier la gestion et l'exploitation du parc matériel et transport TP.</t>
  </si>
  <si>
    <t>Mathias</t>
  </si>
  <si>
    <t>Chaumon</t>
  </si>
  <si>
    <t xml:space="preserve">TED consulting</t>
  </si>
  <si>
    <t>mathias.chaumon@ted-company.com</t>
  </si>
  <si>
    <t>http://www.linkedin.com/in/mathias-chaumon-82027429</t>
  </si>
  <si>
    <t>http://www.ted.consulting</t>
  </si>
  <si>
    <t xml:space="preserve">59 Rue de Ponthieu, Paris, Ile-de-France, France, 75008</t>
  </si>
  <si>
    <t>Barto</t>
  </si>
  <si>
    <t>TOOVALU</t>
  </si>
  <si>
    <t>stephanie@toovalu.com</t>
  </si>
  <si>
    <t>http://www.linkedin.com/in/st%c3%a9phanie-barto-31982573</t>
  </si>
  <si>
    <t>http://www.toovalu.com</t>
  </si>
  <si>
    <t xml:space="preserve">4 Rue Rene Viviani, Nantes, Pays de la Loire, France, 44200</t>
  </si>
  <si>
    <t xml:space="preserve">Logiciel de pilotage de l'entreprise par l'impact</t>
  </si>
  <si>
    <t>Benaicha</t>
  </si>
  <si>
    <t xml:space="preserve">Co-Founder &amp; CEO AME</t>
  </si>
  <si>
    <t>Certi-Trust</t>
  </si>
  <si>
    <t>omar.benaicha@certi-trust.com</t>
  </si>
  <si>
    <t>http://www.linkedin.com/in/omarbenaicha</t>
  </si>
  <si>
    <t>http://www.certi-trust.com</t>
  </si>
  <si>
    <t>Degrange</t>
  </si>
  <si>
    <t xml:space="preserve">Président exécutif de NATS</t>
  </si>
  <si>
    <t>NATS</t>
  </si>
  <si>
    <t>romain.degrange@agencenats.com</t>
  </si>
  <si>
    <t>http://www.linkedin.com/in/romaindegrange</t>
  </si>
  <si>
    <t>http://www.agence-nats.com</t>
  </si>
  <si>
    <t xml:space="preserve">16 Rue de la Republique, Marseille, Provence-Alpes-Cote d'Azur, France, 13001</t>
  </si>
  <si>
    <t xml:space="preserve">Co-Founder and CSO</t>
  </si>
  <si>
    <t>gregoire@greenscope.io</t>
  </si>
  <si>
    <t>http://www.linkedin.com/in/gregoiretienne</t>
  </si>
  <si>
    <t>Mouilleseaux</t>
  </si>
  <si>
    <t>o.mouilleseaux@digimium.fr</t>
  </si>
  <si>
    <t>http://www.linkedin.com/in/mouilleseaux</t>
  </si>
  <si>
    <t>http://www.digimium.com</t>
  </si>
  <si>
    <t xml:space="preserve">146 Rue Victor Hugo, Levallois-Perret, Ile-de-France, France, 92300</t>
  </si>
  <si>
    <t xml:space="preserve">Opérateur VoIP Cisco Webex #1 en France. +20 ans d'expertise. Fournisseur Télécom avec le service d'une société de consulting.</t>
  </si>
  <si>
    <t>Jeunehomme</t>
  </si>
  <si>
    <t>jeanmarie.jeunehomme@jpm-associes.com</t>
  </si>
  <si>
    <t>http://www.linkedin.com/in/jean-marie-jeunehomme</t>
  </si>
  <si>
    <t>Arbault</t>
  </si>
  <si>
    <t xml:space="preserve">DAVI The Humanizers</t>
  </si>
  <si>
    <t>pascal.arbault@davi.ai</t>
  </si>
  <si>
    <t>http://www.linkedin.com/in/arbault</t>
  </si>
  <si>
    <t>http://www.davi.ai</t>
  </si>
  <si>
    <t xml:space="preserve">19 Rue Godefroy, Puteaux, Ile-de-France, France, 92800</t>
  </si>
  <si>
    <t xml:space="preserve">Augmentez votre productivité et vos revenus grâce à un Humain Digital. Notre mission : transformer la relation digitale en relation humaine.</t>
  </si>
  <si>
    <t>AUVISYS</t>
  </si>
  <si>
    <t>c.vallee@auvisys.fr</t>
  </si>
  <si>
    <t>http://www.linkedin.com/in/christophe-vallee-7227683b</t>
  </si>
  <si>
    <t>http://www.auvisys.fr</t>
  </si>
  <si>
    <t xml:space="preserve">Rue Denis Papin, Demouville, Normandie, France, 14840</t>
  </si>
  <si>
    <t>Gendrin</t>
  </si>
  <si>
    <t xml:space="preserve">Fondateur &amp; consultant stratégie digitale</t>
  </si>
  <si>
    <t>Mōdo</t>
  </si>
  <si>
    <t>damien@laboiteadonuts.fr</t>
  </si>
  <si>
    <t>http://www.linkedin.com/in/damiengendrin</t>
  </si>
  <si>
    <t>http://www.agence-modo.fr</t>
  </si>
  <si>
    <t xml:space="preserve">Agence digitale à Nantes depuis 2013, Modo vous conseille dans votre stratégie digitale : référencement, création de sites internet, réseaux sociaux.</t>
  </si>
  <si>
    <t>Anny</t>
  </si>
  <si>
    <t>Naim</t>
  </si>
  <si>
    <t xml:space="preserve">Groupe INGENA</t>
  </si>
  <si>
    <t>anny.naim@drims.fr</t>
  </si>
  <si>
    <t>http://www.linkedin.com/in/anny-naim-99848aa</t>
  </si>
  <si>
    <t>http://www.groupe-ingena.com</t>
  </si>
  <si>
    <t xml:space="preserve">140B Rue de Rennes, Paris, Ile-de-France, France, 75006</t>
  </si>
  <si>
    <t xml:space="preserve">Groupe Ingena, Le bon cap sans risques. Une équipe gagnante pour un nouveau 
défi. Le data business au service de la finance par l’intégration des 
risques dès le parcours client. À l’écoute du client et des nouvelles 
opportunités associées à la data.</t>
  </si>
  <si>
    <t>Godfrain</t>
  </si>
  <si>
    <t>LOGIMATIQUE</t>
  </si>
  <si>
    <t>bernard.godfrain@logimatique.com</t>
  </si>
  <si>
    <t>http://www.linkedin.com/in/bernard-godfrain-15a662b3</t>
  </si>
  <si>
    <t>http://www.logimatique.com</t>
  </si>
  <si>
    <t>Spagnolo</t>
  </si>
  <si>
    <t xml:space="preserve">FAUBOURG 54</t>
  </si>
  <si>
    <t>andrea@faubourg54.com</t>
  </si>
  <si>
    <t>http://www.linkedin.com/in/andreaspagnolo</t>
  </si>
  <si>
    <t>http://www.faubourg54.com</t>
  </si>
  <si>
    <t xml:space="preserve">33 Avenue Trudaine, Paris, Ile-de-France, France, 75009</t>
  </si>
  <si>
    <t xml:space="preserve">Italian and French brand from Paris.</t>
  </si>
  <si>
    <t>C.</t>
  </si>
  <si>
    <t xml:space="preserve">Co-Founder @ Ludotech</t>
  </si>
  <si>
    <t>Ludotech</t>
  </si>
  <si>
    <t>david.cuklevski@ludotech.co</t>
  </si>
  <si>
    <t>http://www.linkedin.com/in/myloh-cuki</t>
  </si>
  <si>
    <t>http://www.ludotech.co</t>
  </si>
  <si>
    <t xml:space="preserve">64 Rue des Archives, Paris, Ile-de-France, France, 75003</t>
  </si>
  <si>
    <t xml:space="preserve">Co-Fondateur &amp; Chief Operating Officer</t>
  </si>
  <si>
    <t>OWLINT</t>
  </si>
  <si>
    <t>marc@owlint.fr</t>
  </si>
  <si>
    <t>http://www.linkedin.com/in/marc-r-b5728547</t>
  </si>
  <si>
    <t>http://www.owlint.fr</t>
  </si>
  <si>
    <t>Bernot</t>
  </si>
  <si>
    <t xml:space="preserve">Gérant fondateur A4 Technologie</t>
  </si>
  <si>
    <t xml:space="preserve">A4 Technologie</t>
  </si>
  <si>
    <t>techno@a4.fr</t>
  </si>
  <si>
    <t>http://www.linkedin.com/in/bernot-etienne-b6076b95</t>
  </si>
  <si>
    <t>http://www.a4.fr</t>
  </si>
  <si>
    <t xml:space="preserve">5 Avenue de l'Atlantique, Les Ulis, Ile-de-France, France, 91940</t>
  </si>
  <si>
    <t xml:space="preserve">A4 Technologie Vente par correspondance et internet.</t>
  </si>
  <si>
    <t>Miellet</t>
  </si>
  <si>
    <t>Edater</t>
  </si>
  <si>
    <t>miellet@edater.com</t>
  </si>
  <si>
    <t>http://www.linkedin.com/in/philippe-miellet-9287b212a</t>
  </si>
  <si>
    <t>http://www.edater.fr</t>
  </si>
  <si>
    <t xml:space="preserve">265 Avenue des Etats du Languedoc, Montpellier, Occitanie, France, 34000</t>
  </si>
  <si>
    <t xml:space="preserve">Accélérer la transformation des territoires, des organisations et des politiques publiques</t>
  </si>
  <si>
    <t>Pelce</t>
  </si>
  <si>
    <t>nicolas.pelce@eho.link</t>
  </si>
  <si>
    <t>http://www.linkedin.com/in/nicolas-pelc%c3%a9-138008108</t>
  </si>
  <si>
    <t>Bardon</t>
  </si>
  <si>
    <t xml:space="preserve">ESG Lab &amp; Society</t>
  </si>
  <si>
    <t>aurore.bardon@esglabsociety.com</t>
  </si>
  <si>
    <t>http://www.linkedin.com/in/aurore-bardon</t>
  </si>
  <si>
    <t>http://www.esglabsociety.com</t>
  </si>
  <si>
    <t>L'huillier</t>
  </si>
  <si>
    <t xml:space="preserve">Qualios SAS</t>
  </si>
  <si>
    <t>catherine.lhuillier@qualios.com</t>
  </si>
  <si>
    <t>http://www.linkedin.com/in/catherinelhuillier</t>
  </si>
  <si>
    <t>http://www.qualios.com</t>
  </si>
  <si>
    <t>Villers-les-Nancy</t>
  </si>
  <si>
    <t xml:space="preserve">4 Rue du Bois de la Champelle, Vandoeuvre-les-Nancy, Lorraine, France, 54500</t>
  </si>
  <si>
    <t xml:space="preserve">El software Qualios es la herramienta imprescindible para la gestión calidad integral de su sistema: gestión documental, formularios, procesos, workflows, registros e indicadores calidad.</t>
  </si>
  <si>
    <t>Suant</t>
  </si>
  <si>
    <t xml:space="preserve">CEO CALIMED Santé</t>
  </si>
  <si>
    <t xml:space="preserve">Calimed Santé</t>
  </si>
  <si>
    <t>fsuant@calimed-sante.fr</t>
  </si>
  <si>
    <t>http://www.linkedin.com/in/fr%c3%a9d%c3%a9ric-suant-calimed-sant%c3%a9</t>
  </si>
  <si>
    <t>http://www.calimed-sante.fr</t>
  </si>
  <si>
    <t xml:space="preserve">19 Traverse de la Buzine, Marseille, Provence-Alpes-Cote d'Azur, France, 13011</t>
  </si>
  <si>
    <t>AGELEC</t>
  </si>
  <si>
    <t>guerin@agelec.fr</t>
  </si>
  <si>
    <t>http://www.linkedin.com/in/guillaume-guerin-74660a18</t>
  </si>
  <si>
    <t>http://www.agelec.fr</t>
  </si>
  <si>
    <t xml:space="preserve">84 Rue des Meuniers, Bagneux, Ile-de-France, France, 92220</t>
  </si>
  <si>
    <t xml:space="preserve">Agence Gust</t>
  </si>
  <si>
    <t>robinlucas@agencegust.com</t>
  </si>
  <si>
    <t>http://www.linkedin.com/in/robin-lucas-a6720074</t>
  </si>
  <si>
    <t>http://www.agencegust.com</t>
  </si>
  <si>
    <t>Lenglart</t>
  </si>
  <si>
    <t>LENGLART</t>
  </si>
  <si>
    <t>adrien.lenglart@lenglart.com</t>
  </si>
  <si>
    <t>http://www.linkedin.com/in/adrien-lenglart-17386a36</t>
  </si>
  <si>
    <t>http://www.lenglart.com</t>
  </si>
  <si>
    <t xml:space="preserve">15 Rue de la Tannerie, Nantes, Pays de la Loire, France, 44100</t>
  </si>
  <si>
    <t>Adnet</t>
  </si>
  <si>
    <t xml:space="preserve">Groupe Mercure International</t>
  </si>
  <si>
    <t>b.adnet@mim.mc</t>
  </si>
  <si>
    <t>http://www.linkedin.com/in/bruno-adnet-94620a85</t>
  </si>
  <si>
    <t>http://www.mercureinternationalgroup.com</t>
  </si>
  <si>
    <t xml:space="preserve">Monaco, Monaco</t>
  </si>
  <si>
    <t xml:space="preserve">Mercure International of Monaco est une société d'import-export fondée en 1986 et dirigée depuis par Adnan Houdrouge. Spécialiste de l'article de sport, le groupe s'est peu à peu diversifié dans la mode, l'alimentaire, les télécommunications, la restauration, la beauté et l'art de vivre ou encore l'immobilier. Basée à Monaco, l'entité est présente en Europe, en Afrique, dans les Caraïbes et dans l'Océan indien, avec une forte densité en Afrique du Nord, de l'Ouest et centrale.</t>
  </si>
  <si>
    <t>Rigouste</t>
  </si>
  <si>
    <t>kevin.rigouste@anikit.fr</t>
  </si>
  <si>
    <t>http://www.linkedin.com/in/kevin-rigouste-25539712b</t>
  </si>
  <si>
    <t>http://www.anikit.fr</t>
  </si>
  <si>
    <t xml:space="preserve">216 Route de Saint-Simon, Toulouse, Occitanie, France, 31100</t>
  </si>
  <si>
    <t>Abbou</t>
  </si>
  <si>
    <t xml:space="preserve">Liko Energy</t>
  </si>
  <si>
    <t>ilan@liko-energy.com</t>
  </si>
  <si>
    <t>http://www.linkedin.com/in/ilan-abbou-81481a1b8</t>
  </si>
  <si>
    <t>http://www.liko-energy.com</t>
  </si>
  <si>
    <t xml:space="preserve">35 Boulevard Georges Clemenceau, Courbevoie, Ile-de-France, France, 92400</t>
  </si>
  <si>
    <t xml:space="preserve">Liko Energy, votre couriter en énergie pour optimiser les contrats d'énergie de votre entreprise.</t>
  </si>
  <si>
    <t>Money</t>
  </si>
  <si>
    <t xml:space="preserve">ENJOY Conseil</t>
  </si>
  <si>
    <t>jmoney@pajotmoney.com</t>
  </si>
  <si>
    <t>http://www.linkedin.com/in/moneyjulie</t>
  </si>
  <si>
    <t>http://www.pajotmoney.com</t>
  </si>
  <si>
    <t xml:space="preserve">3 Rue Le Notre, Paris, Ile-de-France, France, 75116</t>
  </si>
  <si>
    <t>nuajik</t>
  </si>
  <si>
    <t>emmanuel@nuajik.io</t>
  </si>
  <si>
    <t>http://www.linkedin.com/in/atmaniak</t>
  </si>
  <si>
    <t>http://www.nuajik.io</t>
  </si>
  <si>
    <t>Pontault-Combault</t>
  </si>
  <si>
    <t xml:space="preserve">9 Rue Anatole de la Forge, Paris, Ile-de-France, France, 75017</t>
  </si>
  <si>
    <t>Mazuir</t>
  </si>
  <si>
    <t xml:space="preserve">Director / co-founder</t>
  </si>
  <si>
    <t xml:space="preserve">My DSO Manager</t>
  </si>
  <si>
    <t>bertrand.mazuir@mydsomanager.com</t>
  </si>
  <si>
    <t>http://www.linkedin.com/in/bertrand-mazuir-96b70627</t>
  </si>
  <si>
    <t>http://www.mydsomanager.com</t>
  </si>
  <si>
    <t xml:space="preserve">22 Chemin du Vieux Chene, Meylan, Auvergne-Rhone-Alpes, France, 38240</t>
  </si>
  <si>
    <t xml:space="preserve">My DSO Manager, Credit Management and Cash Collection Software for SMEs and Worldwide Groups offers a powerful set of features to improve cash and profitability...</t>
  </si>
  <si>
    <t xml:space="preserve">Convergence Media</t>
  </si>
  <si>
    <t>philippe@cvgmedia.fr</t>
  </si>
  <si>
    <t>http://www.linkedin.com/in/philippe-deschamps-a4a306124</t>
  </si>
  <si>
    <t>http://www.convergencemedia.us</t>
  </si>
  <si>
    <t xml:space="preserve">1010 N Fairfax St, Alexandria, Virginia, United States, 22314-1504</t>
  </si>
  <si>
    <t>Archibald</t>
  </si>
  <si>
    <t>Pesic</t>
  </si>
  <si>
    <t xml:space="preserve">CEO Right Hand</t>
  </si>
  <si>
    <t>HyLight</t>
  </si>
  <si>
    <t>archibald@hylight.aero</t>
  </si>
  <si>
    <t>http://www.linkedin.com/in/archibald-pesic-10b22b1b8</t>
  </si>
  <si>
    <t>http://www.hylight.aero</t>
  </si>
  <si>
    <t xml:space="preserve">2 Chemin d'Exploitation, Champigny-sur-Marne, Ile-de-France, France, 94500</t>
  </si>
  <si>
    <t xml:space="preserve">The HyLighter technology is made for long range and precise inspections for ‍safe infrastructure management in compliance with your requirements.</t>
  </si>
  <si>
    <t>Talal</t>
  </si>
  <si>
    <t>Habal</t>
  </si>
  <si>
    <t xml:space="preserve">Founder &amp; GM</t>
  </si>
  <si>
    <t xml:space="preserve">ProResources Technology</t>
  </si>
  <si>
    <t>talal.h@proresources-consult.com</t>
  </si>
  <si>
    <t>http://www.linkedin.com/in/talal-al-habal-6826116</t>
  </si>
  <si>
    <t>http://www.proresources-tech.com</t>
  </si>
  <si>
    <t xml:space="preserve">Our expertise comes out when combined with guaranteed SLAs, for top-notch technology, and unmatched quality, ensuring that you receive the best security</t>
  </si>
  <si>
    <t>Paquin</t>
  </si>
  <si>
    <t>kamaé</t>
  </si>
  <si>
    <t>xavier.paquin@kamae.fr</t>
  </si>
  <si>
    <t>http://www.linkedin.com/in/xavier-paquin</t>
  </si>
  <si>
    <t>http://www.kamae.fr</t>
  </si>
  <si>
    <t xml:space="preserve">Développez une culture sécurité et engagez vos collaborateurs dans la durée avec Kamaé ! La plateforme de sensibilisation à la cybersécurité qui aide à réduire les risques cyber avec la gamification.</t>
  </si>
  <si>
    <t>Villard-Desmis</t>
  </si>
  <si>
    <t>villard@phone-partners.fr</t>
  </si>
  <si>
    <t>http://www.linkedin.com/in/villardhelene</t>
  </si>
  <si>
    <t>Drounau</t>
  </si>
  <si>
    <t>francois.drounau@ecoinpack.com</t>
  </si>
  <si>
    <t>http://www.linkedin.com/in/francoisdrounau</t>
  </si>
  <si>
    <t>Huyghe-Doyere</t>
  </si>
  <si>
    <t xml:space="preserve">NORMANDIE AMENAGEMENT</t>
  </si>
  <si>
    <t>p.huyghe-doyere@normandie-amenagement.fr</t>
  </si>
  <si>
    <t>http://www.linkedin.com/in/pascale-huyghe-doyere-19882ba1</t>
  </si>
  <si>
    <t>http://www.normandie-amenagement.com</t>
  </si>
  <si>
    <t xml:space="preserve">1 Avenue du Pays de Caen, Colombelles, Lower Normandy, France, 14460</t>
  </si>
  <si>
    <t>Charlene</t>
  </si>
  <si>
    <t>Colloca</t>
  </si>
  <si>
    <t xml:space="preserve">Bronx Agence</t>
  </si>
  <si>
    <t>charlene.colloca@bronx.fr</t>
  </si>
  <si>
    <t>http://www.linkedin.com/in/charl%c3%a8ne-colloca-51a3686</t>
  </si>
  <si>
    <t>http://www.bronx.fr</t>
  </si>
  <si>
    <t xml:space="preserve">34 Boulevard de Bonne Nouvelle, Paris, Ile-de-France, France, 75010</t>
  </si>
  <si>
    <t xml:space="preserve">Bronx Agence, Agence Conseil Création et Communication à Paris. CULTURE, MÉDIA, DIVERTISSEMENT, LUXE, BEAUTÉ. Digital, Print, Edition, Film, Contenus...</t>
  </si>
  <si>
    <t>F.</t>
  </si>
  <si>
    <t>jonathan@nfinitylabs.co</t>
  </si>
  <si>
    <t>http://www.linkedin.com/in/jonathanfiorin</t>
  </si>
  <si>
    <t>Terrien</t>
  </si>
  <si>
    <t>Parable</t>
  </si>
  <si>
    <t>alex@parable.work</t>
  </si>
  <si>
    <t>http://www.linkedin.com/in/alexandreterrien</t>
  </si>
  <si>
    <t>http://www.parable.work</t>
  </si>
  <si>
    <t xml:space="preserve">25 Kent Ave, New York, New York, United States, 11249</t>
  </si>
  <si>
    <t>Gener</t>
  </si>
  <si>
    <t>Eleet-EV</t>
  </si>
  <si>
    <t>georges.gener@eleet-ev.com</t>
  </si>
  <si>
    <t>http://www.linkedin.com/in/georges-gener-46770aa1</t>
  </si>
  <si>
    <t>http://www.eleet-ev.com</t>
  </si>
  <si>
    <t>Redrado</t>
  </si>
  <si>
    <t xml:space="preserve">Founding Partner &amp; CEO - DNG, The Consumer Consulting Firm</t>
  </si>
  <si>
    <t xml:space="preserve">Digital Native Group</t>
  </si>
  <si>
    <t>vincent@digitalnativegroup.com</t>
  </si>
  <si>
    <t>http://www.linkedin.com/in/vincent-redrado-dng-1948272b</t>
  </si>
  <si>
    <t>http://www.digitalnativegroup.com</t>
  </si>
  <si>
    <t xml:space="preserve">3 Rue de Stockholm, Paris, Ile-de-France, France, 75008</t>
  </si>
  <si>
    <t xml:space="preserve">DNG est un cabinet de conseil en Stratégie et Opérations qui accompagne les entreprises Consumer dans leur croissance.</t>
  </si>
  <si>
    <t>dylan@logia-inc.com</t>
  </si>
  <si>
    <t>http://www.linkedin.com/in/dylan-lombard-055445133</t>
  </si>
  <si>
    <t>Biscaycacu</t>
  </si>
  <si>
    <t xml:space="preserve">Directeur Général ;</t>
  </si>
  <si>
    <t>GIREL</t>
  </si>
  <si>
    <t>david.biscaycacu@girel.fr</t>
  </si>
  <si>
    <t>http://www.linkedin.com/in/david-biscaycacu-381a3688</t>
  </si>
  <si>
    <t>http://www.girel.fr</t>
  </si>
  <si>
    <t xml:space="preserve">Le Haillan, Aquitaine, France</t>
  </si>
  <si>
    <t>Castaneda</t>
  </si>
  <si>
    <t xml:space="preserve">Présidente associée</t>
  </si>
  <si>
    <t>TDO</t>
  </si>
  <si>
    <t>amandine.castaneda@tdo85.fr</t>
  </si>
  <si>
    <t>http://www.linkedin.com/in/amandine-castaneda-32987085</t>
  </si>
  <si>
    <t>http://www.tdo85.fr</t>
  </si>
  <si>
    <t xml:space="preserve">Dompierre-sur-Yon, Pays de la Loire, France</t>
  </si>
  <si>
    <t xml:space="preserve">Spécialisé dans la télécom pour entreprise, TDO - TÉLÉPHONE DE L'OUEST, réalise l'installation de votre téléphonie, vidéo surveillance, fibre et WiFi en Vendée.</t>
  </si>
  <si>
    <t>APMJ</t>
  </si>
  <si>
    <t>fbichon@appelezmoijames.fr</t>
  </si>
  <si>
    <t>http://www.linkedin.com/in/fran%c3%a7ois-b-02b44a7a</t>
  </si>
  <si>
    <t>http://www.apmj.fr</t>
  </si>
  <si>
    <t xml:space="preserve">Appelez-moi James est une ESN à taille humaine spécialisée infrastructures &amp; systèmes, partenaire privilégié des grands comptes depuis 2009.</t>
  </si>
  <si>
    <t>Hourdel</t>
  </si>
  <si>
    <t>Enginn</t>
  </si>
  <si>
    <t>yann.hourdel@enginn.tech</t>
  </si>
  <si>
    <t>http://www.linkedin.com/in/yannhourdel</t>
  </si>
  <si>
    <t>http://www.enginn.ai</t>
  </si>
  <si>
    <t xml:space="preserve">42 Rue Monge, Paris, Ile-de-France, France, 75005</t>
  </si>
  <si>
    <t xml:space="preserve">Enginn generates human-like quality voices without predetermined identities, while our artificial intelligence continuously improves in creating unique voices</t>
  </si>
  <si>
    <t>Goy</t>
  </si>
  <si>
    <t>Aprile</t>
  </si>
  <si>
    <t>eric.goy@aprile.fr</t>
  </si>
  <si>
    <t>http://www.linkedin.com/in/ericgoy</t>
  </si>
  <si>
    <t>http://www.aprile.fr</t>
  </si>
  <si>
    <t xml:space="preserve">164 Rue d'Aguesseau, Boulogne-Billancourt, Ile-de-France, France, 92100</t>
  </si>
  <si>
    <t>Hicham</t>
  </si>
  <si>
    <t>Khallouki</t>
  </si>
  <si>
    <t xml:space="preserve">Co-Founder | Consultant Expert SAP HCM</t>
  </si>
  <si>
    <t xml:space="preserve">HCM CONSULTING PLUS</t>
  </si>
  <si>
    <t>hicham.khallouki@hcm-cp.com</t>
  </si>
  <si>
    <t>http://www.linkedin.com/in/hicham-khallouki</t>
  </si>
  <si>
    <t>http://www.hcm-cp.com</t>
  </si>
  <si>
    <t>Luquet</t>
  </si>
  <si>
    <t>JL</t>
  </si>
  <si>
    <t>andre.luquet@jl-systems.fr</t>
  </si>
  <si>
    <t>http://www.linkedin.com/in/andre-luquet-a74542104</t>
  </si>
  <si>
    <t>http://www.noahams.com</t>
  </si>
  <si>
    <t xml:space="preserve">6225 Brandon Ave, Springfield, Virginia, United States, 22150</t>
  </si>
  <si>
    <t>Bizouerne</t>
  </si>
  <si>
    <t>stephanie.bizouerne@twise.fr</t>
  </si>
  <si>
    <t>http://www.linkedin.com/in/stephanie-bizouerne-19b0281</t>
  </si>
  <si>
    <t>Briquet</t>
  </si>
  <si>
    <t xml:space="preserve">SpeedMedia Services</t>
  </si>
  <si>
    <t>lb@speedmedia.fr</t>
  </si>
  <si>
    <t>http://www.linkedin.com/in/briquetl</t>
  </si>
  <si>
    <t>http://www.speedmedia.fr</t>
  </si>
  <si>
    <t xml:space="preserve">73 Rue Francis de Pressense, Villeurbanne, Auvergne-Rhone-Alpes, France, 69100</t>
  </si>
  <si>
    <t xml:space="preserve">Chateaugiron, Domloup, Nouvoitou</t>
  </si>
  <si>
    <t>Noam</t>
  </si>
  <si>
    <t>Azoulay</t>
  </si>
  <si>
    <t xml:space="preserve">ABN STANDING</t>
  </si>
  <si>
    <t>noam.azoulay@abn-standing.fr</t>
  </si>
  <si>
    <t>http://www.linkedin.com/in/noam-azoulay-ab39391ab</t>
  </si>
  <si>
    <t>http://www.abn-standing.fr</t>
  </si>
  <si>
    <t xml:space="preserve">Villefranche-sur-Saone, Auvergne-Rhone-Alpes, France, 69400</t>
  </si>
  <si>
    <t>Pesme</t>
  </si>
  <si>
    <t xml:space="preserve">Directrice Générale et associée</t>
  </si>
  <si>
    <t>Decidento</t>
  </si>
  <si>
    <t>fabienne@decidento.com</t>
  </si>
  <si>
    <t>http://www.linkedin.com/in/decidento</t>
  </si>
  <si>
    <t>http://www.decidento.com</t>
  </si>
  <si>
    <t xml:space="preserve">15 Place Carnot, Lyon, Auvergne-Rhone-Alpes, France, 69002</t>
  </si>
  <si>
    <t xml:space="preserve">Boostez votre prospection B2B avec Decidento : 12,5M d’entreprises, 16M décideurs et des signaux business quotidiens pour détecter les meilleures opportunités.</t>
  </si>
  <si>
    <t>Benedetti</t>
  </si>
  <si>
    <t xml:space="preserve">Agence e+p</t>
  </si>
  <si>
    <t>g.debenedetti@agence-ep.com</t>
  </si>
  <si>
    <t>http://www.linkedin.com/in/guillaume-de-benedetti</t>
  </si>
  <si>
    <t>http://www.agence-ep.com</t>
  </si>
  <si>
    <t xml:space="preserve">26 Rue Grignan, Marseille, Provence-Alpes-Cote d'Azur, France, 13001</t>
  </si>
  <si>
    <t xml:space="preserve">e+p, votre agence digitale à Marseille, vous offre des solutions innovantes pour booster votre business. Contactez-nous dès aujourd'hui pour une stratégie digitale sur mesure</t>
  </si>
  <si>
    <t>Odet</t>
  </si>
  <si>
    <t xml:space="preserve">NEOVIA Expertise Retraite</t>
  </si>
  <si>
    <t>damien.odet@neoviaretraite.fr</t>
  </si>
  <si>
    <t>http://www.linkedin.com/in/damienodet</t>
  </si>
  <si>
    <t>http://www.neoviaretraite.fr</t>
  </si>
  <si>
    <t xml:space="preserve">NEOVIA Retraite accompagne depuis 2004 dirigeants, professions libérales, artisans, RH et expatriés dans leurs projets retraite. Conseil personnalisé et véritable accompagnement sur les droits à la retraite. Nous sommes le leader sur le conseil et expertise retraite.</t>
  </si>
  <si>
    <t>Terence</t>
  </si>
  <si>
    <t>Ndongala</t>
  </si>
  <si>
    <t>Astrastellar</t>
  </si>
  <si>
    <t>t.ndongala@astrastellar.com</t>
  </si>
  <si>
    <t>http://www.linkedin.com/in/terence-ndongala-37911088</t>
  </si>
  <si>
    <t>http://www.astrastellar.com</t>
  </si>
  <si>
    <t xml:space="preserve">Discover Astrastellar, the first PEGA skills management platform around gamification.</t>
  </si>
  <si>
    <t>Leny</t>
  </si>
  <si>
    <t>Turmel</t>
  </si>
  <si>
    <t xml:space="preserve">Technical Manager, Co-founder</t>
  </si>
  <si>
    <t xml:space="preserve">SPIX industry</t>
  </si>
  <si>
    <t>leny.turmel@simsoft-industry.fr</t>
  </si>
  <si>
    <t>http://www.linkedin.com/in/leny-turmel-32042b89</t>
  </si>
  <si>
    <t>http://www.spix-industry.com</t>
  </si>
  <si>
    <t xml:space="preserve">L'Occitane, Labege, Occitanie, France, 31670</t>
  </si>
  <si>
    <t xml:space="preserve">SPIX industry presents is voice-AI and natural language assistant SPIX dedicated to the performance of the industry.</t>
  </si>
  <si>
    <t>Kenny</t>
  </si>
  <si>
    <t>Bertonazzi</t>
  </si>
  <si>
    <t>Step</t>
  </si>
  <si>
    <t>kbertonazzi@step-sa.fr</t>
  </si>
  <si>
    <t>http://www.linkedin.com/in/kennybertonazzi</t>
  </si>
  <si>
    <t>http://www.step.eco</t>
  </si>
  <si>
    <t xml:space="preserve">2 Avenue du President Pierre Angot, Pau, Nouvelle-Aquitaine, France, 64000</t>
  </si>
  <si>
    <t xml:space="preserve">Favoriser l'inclusion numérique à travers une multitude d'activités, de programmes et d'initiatives axés sur le numérique.</t>
  </si>
  <si>
    <t xml:space="preserve">Chief Executive Officer Corsaire</t>
  </si>
  <si>
    <t xml:space="preserve">Les Cousins</t>
  </si>
  <si>
    <t>rodolphe@meetlescousins.com</t>
  </si>
  <si>
    <t>http://www.linkedin.com/in/chiefdigitalofficer</t>
  </si>
  <si>
    <t>http://www.meetlescousins.com</t>
  </si>
  <si>
    <t>Rognes</t>
  </si>
  <si>
    <t xml:space="preserve">103 Rue de Grenelle, Paris, Ile-de-France, France, 75007</t>
  </si>
  <si>
    <t xml:space="preserve">Les Cousins sert la réussite de la regénération des entreprises au moyen de partenariats pertinents avec start-ups &amp; scale-ups choisis.</t>
  </si>
  <si>
    <t>Foubet</t>
  </si>
  <si>
    <t xml:space="preserve">Néo Gestion Informatique</t>
  </si>
  <si>
    <t>christian.foubet@neo-gi.com</t>
  </si>
  <si>
    <t>http://www.linkedin.com/in/christian-foubet-780366195</t>
  </si>
  <si>
    <t>http://www.neo-gi.com</t>
  </si>
  <si>
    <t>Mirabel</t>
  </si>
  <si>
    <t xml:space="preserve">Montauban, Occitanie, France, 82000</t>
  </si>
  <si>
    <t xml:space="preserve">Découvrez nos logiciels simple, efficaces et qui sont devenus des standards du marché, pour une meilleur gestion commerciale.</t>
  </si>
  <si>
    <t>Guego</t>
  </si>
  <si>
    <t xml:space="preserve">Co-Founder - Tech Recruitment Permanent &amp; Freelance</t>
  </si>
  <si>
    <t xml:space="preserve">Happy Hire</t>
  </si>
  <si>
    <t>alexandre@happy-hire.com</t>
  </si>
  <si>
    <t>http://www.linkedin.com/in/alexguego</t>
  </si>
  <si>
    <t>http://www.happy-hire.com</t>
  </si>
  <si>
    <t xml:space="preserve">Plateforme de recrutement spécialisée dans les profils Tech. Des jobs en CDI et en Freelance.</t>
  </si>
  <si>
    <t>Chabalier</t>
  </si>
  <si>
    <t>ALTIMER</t>
  </si>
  <si>
    <t>romain.chabalier@altimer.fr</t>
  </si>
  <si>
    <t>http://www.linkedin.com/in/romain-chabalier-1183b985</t>
  </si>
  <si>
    <t>http://www.altimer.fr</t>
  </si>
  <si>
    <t xml:space="preserve">Altimer, ESN basée à Toulouse spécialisée dans le support informatique qui accompagne les entreprises dans leur quête de productivité et de compétitivité.</t>
  </si>
  <si>
    <t>Tyler</t>
  </si>
  <si>
    <t>Clark</t>
  </si>
  <si>
    <t>DreamFirms</t>
  </si>
  <si>
    <t>tyler@dreamfirms.com</t>
  </si>
  <si>
    <t>http://www.linkedin.com/in/tyler-s-clark</t>
  </si>
  <si>
    <t>http://www.dreamfirms.com</t>
  </si>
  <si>
    <t xml:space="preserve">2635 Heron Bay Ln SW, Vero Beach, Florida, United States, 32962</t>
  </si>
  <si>
    <t xml:space="preserve">We give you the step by step playbook to grow a hyper profitable accounting firm, with all the help you could ever need.</t>
  </si>
  <si>
    <t>Vanina</t>
  </si>
  <si>
    <t xml:space="preserve">Co-Founder of Abilous</t>
  </si>
  <si>
    <t xml:space="preserve">Inria Startup Studio</t>
  </si>
  <si>
    <t>vanina.berger@inria.fr</t>
  </si>
  <si>
    <t>http://www.linkedin.com/in/vaninaberger</t>
  </si>
  <si>
    <t>http://www.inriastartupstudio.fr</t>
  </si>
  <si>
    <t xml:space="preserve">Inria Startup Studio, un programme d'accompagnement et de financement d'une année pour lancer votre startup deeptech numérique.</t>
  </si>
  <si>
    <t>Decoret</t>
  </si>
  <si>
    <t xml:space="preserve">Senior Renewable Energy Consultant/Co-Founder</t>
  </si>
  <si>
    <t>Syneria</t>
  </si>
  <si>
    <t>r.decoret@syneria.eu</t>
  </si>
  <si>
    <t>http://www.linkedin.com/in/regis-decoret-55734513</t>
  </si>
  <si>
    <t>http://www.syneria.eu</t>
  </si>
  <si>
    <t xml:space="preserve">15 Rue Taitbout, Paris, Ile-de-France, France, 75009</t>
  </si>
  <si>
    <t xml:space="preserve">SYNERIA provides expert Engineering and Technical Advisory services for bankable Wind, Solar and Storage projects.</t>
  </si>
  <si>
    <t>Elies</t>
  </si>
  <si>
    <t>OBH</t>
  </si>
  <si>
    <t>elies.hamzaoui@on-board-helmet.com</t>
  </si>
  <si>
    <t>http://www.linkedin.com/in/elies-hamzaoui</t>
  </si>
  <si>
    <t>http://www.obh-mobility.com</t>
  </si>
  <si>
    <t xml:space="preserve">63 Rue du Rhone, Lyon, Auvergne-Rhone-Alpes, France, 69007</t>
  </si>
  <si>
    <t xml:space="preserve">Quinze Seize consulting</t>
  </si>
  <si>
    <t>thierry@1516.fr</t>
  </si>
  <si>
    <t>http://www.linkedin.com/in/thierrybuisson</t>
  </si>
  <si>
    <t>http://www.1516.fr</t>
  </si>
  <si>
    <t xml:space="preserve">1516 Route d'Orleans, Nevoy, Centre-Val de Loire, France, 45500</t>
  </si>
  <si>
    <t>Aubry</t>
  </si>
  <si>
    <t>Seriege</t>
  </si>
  <si>
    <t>Pimster</t>
  </si>
  <si>
    <t>aubry@pimster.app</t>
  </si>
  <si>
    <t>http://www.linkedin.com/in/aubry-d-andoque-de-s%c3%a9ri%c3%a8ge-434253108</t>
  </si>
  <si>
    <t>http://www.pimster.app</t>
  </si>
  <si>
    <t xml:space="preserve">Boostez vos conversions e-commerce avec Pimster ! Découvrez les webstories interactives pour dynamiser vos pages produit et captiver vos visiteurs. Essayez dès maintenant !</t>
  </si>
  <si>
    <t>Haim</t>
  </si>
  <si>
    <t>Fullwhere</t>
  </si>
  <si>
    <t>thomas@fullwhere.com</t>
  </si>
  <si>
    <t>http://www.linkedin.com/in/thomas-haim-04392b170</t>
  </si>
  <si>
    <t>http://www.fullwhere.com</t>
  </si>
  <si>
    <t xml:space="preserve">45 Rue de Turbigo, Paris, Ile-de-France, France, 75003</t>
  </si>
  <si>
    <t xml:space="preserve">Ne laissez plus un seul client sans réponse.</t>
  </si>
  <si>
    <t>Daniela</t>
  </si>
  <si>
    <t>Valle</t>
  </si>
  <si>
    <t xml:space="preserve">EK France</t>
  </si>
  <si>
    <t>ddv@ekfrance.fr</t>
  </si>
  <si>
    <t>http://www.linkedin.com/in/dallavalled</t>
  </si>
  <si>
    <t>http://www.ekfrance.fr</t>
  </si>
  <si>
    <t xml:space="preserve">18 Rue d'Arras, Nanterre, Ile-de-France, France, 92000</t>
  </si>
  <si>
    <t>Stephen</t>
  </si>
  <si>
    <t>BOXIA</t>
  </si>
  <si>
    <t>stephen@boxia.co</t>
  </si>
  <si>
    <t>http://www.linkedin.com/in/stephen-zana-3a6b2915</t>
  </si>
  <si>
    <t>http://www.boxia.co</t>
  </si>
  <si>
    <t xml:space="preserve">Cutting-edge order tracking solution that provides the best post-purchase experience for your customers and reduces customer support workload by 80%.</t>
  </si>
  <si>
    <t xml:space="preserve">KMB Labs</t>
  </si>
  <si>
    <t>mathieu@kmblabs.com</t>
  </si>
  <si>
    <t>http://www.linkedin.com/in/mathieulemonnier</t>
  </si>
  <si>
    <t>http://www.kmblabs.com</t>
  </si>
  <si>
    <t xml:space="preserve">40 Rue du Faubourg Poissonniere, Paris, Ile-de-France, France, 75010</t>
  </si>
  <si>
    <t xml:space="preserve">KMB Labs propose des services de chatbots, moteurs de recherche, voicebots et interfaces conversationnelles, avec la technologie la plus aboutie du marché</t>
  </si>
  <si>
    <t>Hermantin</t>
  </si>
  <si>
    <t xml:space="preserve">BLB Associes</t>
  </si>
  <si>
    <t>eric.hermantin@blbassocies.com</t>
  </si>
  <si>
    <t>http://www.linkedin.com/in/eric-hermantin-41b8b295</t>
  </si>
  <si>
    <t>http://www.blbassocies.com</t>
  </si>
  <si>
    <t xml:space="preserve">41 Boulevard Malesherbes, Paris, Ile-de-France, France, 75008</t>
  </si>
  <si>
    <t>Llorens</t>
  </si>
  <si>
    <t>Be'IT</t>
  </si>
  <si>
    <t>xllorens@be-infotech.fr</t>
  </si>
  <si>
    <t>http://www.linkedin.com/in/xavier-llorens-4a328519</t>
  </si>
  <si>
    <t>http://www.be-infotech.fr</t>
  </si>
  <si>
    <t xml:space="preserve">255 Rue Faidherbe, Bethune, Hauts-de-France, France, 62400</t>
  </si>
  <si>
    <t xml:space="preserve">ESN à échelle humaine, nous sommes attachés à notre ancrage régional, dans les Hauts-de-France, avec une dimension internationale, nous apportons l’expertise de nos collaborateurs au service de nos clients. Nos domaines d'activité sont : expertise technique, pilotage et direction de projet informatique, architecture Infra &amp; Cloud.</t>
  </si>
  <si>
    <t>Weber</t>
  </si>
  <si>
    <t>Associé-Fondateur</t>
  </si>
  <si>
    <t>Inneance</t>
  </si>
  <si>
    <t>vweber@inneance.fr</t>
  </si>
  <si>
    <t>http://www.linkedin.com/in/vincent-weber-0781a8</t>
  </si>
  <si>
    <t>http://www.inneance.fr</t>
  </si>
  <si>
    <t>Buxtorf</t>
  </si>
  <si>
    <t>emmanuel.buxtorf@altsis.fr</t>
  </si>
  <si>
    <t>http://www.linkedin.com/in/emmanuel-buxtorf-9a435128</t>
  </si>
  <si>
    <t>Verhasselt</t>
  </si>
  <si>
    <t xml:space="preserve">CEO &amp; Founder Meditech Access SAS - Market Access EU</t>
  </si>
  <si>
    <t xml:space="preserve">MediTech Access</t>
  </si>
  <si>
    <t>verhasselt@mtac.fr</t>
  </si>
  <si>
    <t>http://www.linkedin.com/in/michel-verhasselt-7a39747</t>
  </si>
  <si>
    <t>http://www.healthonephysician.com</t>
  </si>
  <si>
    <t xml:space="preserve">12 Boulevard du Roi, Versailles, Ile-de-France, France, 78000</t>
  </si>
  <si>
    <t>Sivan</t>
  </si>
  <si>
    <t>Deray</t>
  </si>
  <si>
    <t xml:space="preserve">Co-founder &amp; Managing Partner</t>
  </si>
  <si>
    <t>DBM</t>
  </si>
  <si>
    <t>sivan.deray@dbm-partners.com</t>
  </si>
  <si>
    <t>http://www.linkedin.com/in/sivan-deray-6bb7733</t>
  </si>
  <si>
    <t>http://www.dbm-partners.com</t>
  </si>
  <si>
    <t xml:space="preserve">7 Rue Leo Delibes, Paris, Ile-de-France, France, 75116</t>
  </si>
  <si>
    <t xml:space="preserve">DBM Partners accompagne les entreprises sur leurs enjeux de cybersécurité depuis 2012 : Pentest, audit de sécurité et de conformité, pilotage de projets cyber.</t>
  </si>
  <si>
    <t>Champredonde</t>
  </si>
  <si>
    <t>Wyll</t>
  </si>
  <si>
    <t>g.champredonde@wyll.io</t>
  </si>
  <si>
    <t>http://www.linkedin.com/in/guillaumechampredonde</t>
  </si>
  <si>
    <t>http://www.wyll.io</t>
  </si>
  <si>
    <t xml:space="preserve">3 Allee de l'Ile-de-France, Toulouse, Occitanie, France, 31100</t>
  </si>
  <si>
    <t xml:space="preserve">Wyll est un pure player, entièrement indépendant, véritable Hub en Occitanie sur les sujets liés aux écosystèmes DevOps, Data &amp; Cloud</t>
  </si>
  <si>
    <t>Anselmo</t>
  </si>
  <si>
    <t xml:space="preserve">Founder &amp; Chief Technology Officer</t>
  </si>
  <si>
    <t>enCaps</t>
  </si>
  <si>
    <t>vincent@encaps.io</t>
  </si>
  <si>
    <t>http://www.linkedin.com/in/vincent-anselmo</t>
  </si>
  <si>
    <t>http://www.encaps.io</t>
  </si>
  <si>
    <t xml:space="preserve">73 Allee Kleber, Montpellier, Occitanie, France, 34000</t>
  </si>
  <si>
    <t>Therouin</t>
  </si>
  <si>
    <t>Orkis</t>
  </si>
  <si>
    <t>btherouin@orkis.com</t>
  </si>
  <si>
    <t>http://www.linkedin.com/in/bertrand-therouin-orkis</t>
  </si>
  <si>
    <t>http://www.orkis.com</t>
  </si>
  <si>
    <t xml:space="preserve">610 Rue Georges Claude, Aix-en-Provence, Provence-Alpes-Cote d'Azur, France, 13290</t>
  </si>
  <si>
    <t xml:space="preserve">Ajaris, logiciels de DAM (Digital Asset Management) spécialisé dans la gestion de photothèque et vidéothèque. Hébergement sécurisé en SaaS</t>
  </si>
  <si>
    <t>Ahcene</t>
  </si>
  <si>
    <t>Ouguenoune</t>
  </si>
  <si>
    <t>ADBI</t>
  </si>
  <si>
    <t>aouguenoune@adbi.fr</t>
  </si>
  <si>
    <t>http://www.linkedin.com/in/ahcene-ouguenoune-43094584</t>
  </si>
  <si>
    <t>http://www.adbi.fr</t>
  </si>
  <si>
    <t xml:space="preserve">8 Rue Rossini, Paris, Ile-de-France, France, 75009</t>
  </si>
  <si>
    <t xml:space="preserve">ADBI, partenaire Gold de Talend, excelle en intégration de données avec Talend, Power BI, Qlik, Snowflake et Informatica. Nous optimisons la qualité, le management et la visualisation de vos données pour en maximiser la valeur. Notre expertise en Data Integration vous garantit des solutions sur mesure pour transformer, gérer et valoriser vos données efficacement. Faites confiance à ADBI pour des données accessibles et exploitables.</t>
  </si>
  <si>
    <t>Cervval</t>
  </si>
  <si>
    <t>lecorre@cervval.com</t>
  </si>
  <si>
    <t>http://www.linkedin.com/in/fr%c3%a9d%c3%a9ric-le-corre-5a604683</t>
  </si>
  <si>
    <t>http://www.cervval.com</t>
  </si>
  <si>
    <t xml:space="preserve">185 Rue Rene Descartes, Plouzane, Brittany, France, 29280</t>
  </si>
  <si>
    <t xml:space="preserve">Cervval, Parce que le monde est complexe, nous développons avec vous des solutions pour mieux l'appréhender.</t>
  </si>
  <si>
    <t>Favand</t>
  </si>
  <si>
    <t>Agorabox</t>
  </si>
  <si>
    <t>nfavand@avanti-technologies.com</t>
  </si>
  <si>
    <t>http://www.linkedin.com/in/nicolas-favand-b9a77971</t>
  </si>
  <si>
    <t>http://www.agorabox.fr</t>
  </si>
  <si>
    <t xml:space="preserve">78 Rue du Docteur Bauer, Saint-Ouen, Ile-de-France, France, 93400</t>
  </si>
  <si>
    <t>Hocine</t>
  </si>
  <si>
    <t>Greencube</t>
  </si>
  <si>
    <t>thomas.hocine@green-cube.fr</t>
  </si>
  <si>
    <t>http://www.linkedin.com/in/thomas-hocine-59215b206</t>
  </si>
  <si>
    <t>http://www.green-cube.fr</t>
  </si>
  <si>
    <t xml:space="preserve">Joinville-le-Pont, Ile-de-France, France</t>
  </si>
  <si>
    <t>Lumbroso</t>
  </si>
  <si>
    <t>Hurryman</t>
  </si>
  <si>
    <t>ilan@hurryman.fr</t>
  </si>
  <si>
    <t>http://www.linkedin.com/in/ilanlumbroso</t>
  </si>
  <si>
    <t>http://www.hurryman.fr</t>
  </si>
  <si>
    <t xml:space="preserve">11 Rue de Magdebourg, Paris, Ile-de-France, France, 75116</t>
  </si>
  <si>
    <t xml:space="preserve">HURRYMAN | CABINET FRANCAIS LEADER DANS LE RECRUTEMENT EN CYBERSECURITE, CLOUD, DATA ET BLOCKCHAIN.</t>
  </si>
  <si>
    <t>Thevenet</t>
  </si>
  <si>
    <t>Cyrias</t>
  </si>
  <si>
    <t>xavier.thevenet@cyrias.com</t>
  </si>
  <si>
    <t>http://www.linkedin.com/in/xthevenet</t>
  </si>
  <si>
    <t>http://www.cyrias.com</t>
  </si>
  <si>
    <t xml:space="preserve">7 Rue de la Croix Martre, Palaiseau, Ile-de-France, France, 91120</t>
  </si>
  <si>
    <t xml:space="preserve">CYRIAS is a consultancy and integration firm that to support Procurement/ Financial Departments both to implement Cloud Solutions.</t>
  </si>
  <si>
    <t>fabrice.clerc@6cure.com</t>
  </si>
  <si>
    <t>http://www.linkedin.com/in/fabrice-clerc-b078b09</t>
  </si>
  <si>
    <t>Herouville-Saint-Clair</t>
  </si>
  <si>
    <t xml:space="preserve">Data Driven</t>
  </si>
  <si>
    <t>mnoel@data-driven.fr</t>
  </si>
  <si>
    <t>http://www.linkedin.com/in/marc-noel-8544b2a</t>
  </si>
  <si>
    <t>http://www.data-driven-hr.fr</t>
  </si>
  <si>
    <t xml:space="preserve">1 Rue du Cardinal Mercier, Paris, Ile-de-France, France, 75009</t>
  </si>
  <si>
    <t>Coffi</t>
  </si>
  <si>
    <t xml:space="preserve">Dirigeant agence Design &amp; Communication Magie Noire</t>
  </si>
  <si>
    <t xml:space="preserve">Agence Magie Noire Design &amp; Communication</t>
  </si>
  <si>
    <t>julien.coffi@magie-noire.fr</t>
  </si>
  <si>
    <t>http://www.linkedin.com/in/julien-coffi-91042098</t>
  </si>
  <si>
    <t>http://www.magie-noire.fr</t>
  </si>
  <si>
    <t>Jemli</t>
  </si>
  <si>
    <t xml:space="preserve">Aour Legacy</t>
  </si>
  <si>
    <t>houssemjemli@aourlegacy.com</t>
  </si>
  <si>
    <t>http://www.linkedin.com/in/houssem-jemli-926153225</t>
  </si>
  <si>
    <t>http://www.aourlegacy.com</t>
  </si>
  <si>
    <t>Tour</t>
  </si>
  <si>
    <t xml:space="preserve">Founder &amp; Executive Chairman</t>
  </si>
  <si>
    <t>hadrien@adriver.co</t>
  </si>
  <si>
    <t>http://www.linkedin.com/in/hadrien-de-la-tour-9a71b274</t>
  </si>
  <si>
    <t>Noureddine</t>
  </si>
  <si>
    <t>Boukerker</t>
  </si>
  <si>
    <t>Wikeys</t>
  </si>
  <si>
    <t>nboukerker@wissalgroup.com</t>
  </si>
  <si>
    <t>http://www.linkedin.com/in/noureddine-boukerker-691829a</t>
  </si>
  <si>
    <t>http://www.wikey.com.cn</t>
  </si>
  <si>
    <t xml:space="preserve">Saint-Denis, Ile-de-France, France, 93200</t>
  </si>
  <si>
    <t>Egreteau</t>
  </si>
  <si>
    <t>Créav</t>
  </si>
  <si>
    <t>b.egreteau@creav.net</t>
  </si>
  <si>
    <t>http://www.linkedin.com/in/bernard-egreteau-ab418a22a</t>
  </si>
  <si>
    <t>http://www.creav.com</t>
  </si>
  <si>
    <t xml:space="preserve">8 Rue Paul Bert, Pau, Nouvelle-Aquitaine, France, 64000</t>
  </si>
  <si>
    <t xml:space="preserve">Dans un monde de communication, retrouver sens des mots, pertinence des images, force des événements et pérennité des concepts.</t>
  </si>
  <si>
    <t xml:space="preserve">Menuiserie Moreau</t>
  </si>
  <si>
    <t>nicolas.moreau@menuiseriemoreau.fr</t>
  </si>
  <si>
    <t>http://www.linkedin.com/in/nicolas-moreau-908b42243</t>
  </si>
  <si>
    <t>http://www.menuiseriemoreau.fr</t>
  </si>
  <si>
    <t>Cluis</t>
  </si>
  <si>
    <t xml:space="preserve">Rue Grande, Cluis, Centre-Val de Loire, France, 36340</t>
  </si>
  <si>
    <t xml:space="preserve">CEO Molecule Science</t>
  </si>
  <si>
    <t xml:space="preserve">Molecule Science</t>
  </si>
  <si>
    <t>aurelie.touboul@molecule-science.com</t>
  </si>
  <si>
    <t>http://www.linkedin.com/in/aur%c3%a9lie-touboul-%e2%ad%90-5153a423</t>
  </si>
  <si>
    <t>http://www.molecule-science.com</t>
  </si>
  <si>
    <t xml:space="preserve">Levallois-Perret, Ile-de-France, France, 92300</t>
  </si>
  <si>
    <t xml:space="preserve">Molecule Science - Technologie &amp; Data au service des marques permet de résoudre des problèmes complexes avec des solutions simples</t>
  </si>
  <si>
    <t>Pinaud</t>
  </si>
  <si>
    <t xml:space="preserve">Président Directeur Général, Consultant et formateur</t>
  </si>
  <si>
    <t xml:space="preserve">IDée Consultants</t>
  </si>
  <si>
    <t>pinaud@ideeconsultants.fr</t>
  </si>
  <si>
    <t>http://www.linkedin.com/in/yves-pinaud-4847b81</t>
  </si>
  <si>
    <t>http://www.ideeconsultants.fr</t>
  </si>
  <si>
    <t xml:space="preserve">220 Boulevard Jean Jaures, Boulogne-Billancourt, Ile-de-France, France, 92100</t>
  </si>
  <si>
    <t>Carbonneill</t>
  </si>
  <si>
    <t xml:space="preserve">CTO &amp; Founder</t>
  </si>
  <si>
    <t>C6</t>
  </si>
  <si>
    <t>boris.carbonneill@c6.eu</t>
  </si>
  <si>
    <t>http://www.linkedin.com/in/boris-carbonneill-39686a2</t>
  </si>
  <si>
    <t>http://www.c6.eu</t>
  </si>
  <si>
    <t xml:space="preserve">770 Avenue Alfred Sauvy, Perols, Occitanie, France, 34470</t>
  </si>
  <si>
    <t xml:space="preserve">Avec Any Accédez à tous les contenus de votre entreprise, où qu’ils soient, à partir d’une solution unique. Profitez de vos contenus sans une ligne de code.</t>
  </si>
  <si>
    <t>Thurin</t>
  </si>
  <si>
    <t>Stendhal</t>
  </si>
  <si>
    <t>florent@stendhal.ai</t>
  </si>
  <si>
    <t>http://www.linkedin.com/in/florentthurin</t>
  </si>
  <si>
    <t>http://www.stendhal.ai</t>
  </si>
  <si>
    <t xml:space="preserve">Stendhal is your romantic tech partner. We enable entrepreneurship with disruptive tech so they can better change the world</t>
  </si>
  <si>
    <t>Atipic</t>
  </si>
  <si>
    <t>vanessa@atipic.fr</t>
  </si>
  <si>
    <t>http://www.linkedin.com/in/vanessaboyer</t>
  </si>
  <si>
    <t>http://www.\atipic.fr\</t>
  </si>
  <si>
    <t xml:space="preserve">Atipic vous accompagne dans votre stratégie de communication, design graphique, web, webmarketing, et conception production d'événements</t>
  </si>
  <si>
    <t>Paul-Henri</t>
  </si>
  <si>
    <t>Pillet</t>
  </si>
  <si>
    <t>Gatling</t>
  </si>
  <si>
    <t>phpillet@gatling.io</t>
  </si>
  <si>
    <t>http://www.linkedin.com/in/paul-henri-pillet</t>
  </si>
  <si>
    <t>http://www.gatling.io</t>
  </si>
  <si>
    <t xml:space="preserve">Gatling is a load testing tool for web applications designed for DevOps and Continuous Integration. Try Gatling now!</t>
  </si>
  <si>
    <t>Matthias</t>
  </si>
  <si>
    <t>Houllier</t>
  </si>
  <si>
    <t>Wintics</t>
  </si>
  <si>
    <t>matthias.houllier@wintics.com</t>
  </si>
  <si>
    <t>http://www.linkedin.com/in/matthias-houllier</t>
  </si>
  <si>
    <t>http://www.wintics.com</t>
  </si>
  <si>
    <t xml:space="preserve">Rue Rene Clair, Paris, Ile-de-France, France, 75018</t>
  </si>
  <si>
    <t xml:space="preserve">Wintics développe le logiciel d’analyse de flux vidéo Cityvision destiné à tous les acteurs des territoires (villes, aéroports, gares...)</t>
  </si>
  <si>
    <t>Melquiond</t>
  </si>
  <si>
    <t xml:space="preserve">Sales Manager and Founder</t>
  </si>
  <si>
    <t>christophe.melquiond@c6.eu</t>
  </si>
  <si>
    <t>http://www.linkedin.com/in/christophe-melquiond-44604815</t>
  </si>
  <si>
    <t>Guedou</t>
  </si>
  <si>
    <t xml:space="preserve">Right arm of the CEO</t>
  </si>
  <si>
    <t>Pépin</t>
  </si>
  <si>
    <t>maxime@pepin.vin</t>
  </si>
  <si>
    <t>http://www.linkedin.com/in/maxime-guedou-47b1a01a3</t>
  </si>
  <si>
    <t>http://www.pepin.vin</t>
  </si>
  <si>
    <t xml:space="preserve">50 Rue de Dambach, Scherwiller, Grand Est, France, 67750</t>
  </si>
  <si>
    <t xml:space="preserve">Bienvenue sur Pépin ! Découvrez nos vins natures disponibles à l'achat sur pepin.vin et l'ADN du vin alsacien. Contact : 07 69 60 67 85</t>
  </si>
  <si>
    <t>Anne-Marie</t>
  </si>
  <si>
    <t>Haute</t>
  </si>
  <si>
    <t xml:space="preserve">PILGRIM TECHNOLOGY</t>
  </si>
  <si>
    <t>amh@pilgrim-technology.com</t>
  </si>
  <si>
    <t xml:space="preserve">mechanical or industrial engineering</t>
  </si>
  <si>
    <t>http://www.linkedin.com/in/anne-marie-haute</t>
  </si>
  <si>
    <t>http://www.pilgrim-technology.com</t>
  </si>
  <si>
    <t xml:space="preserve">3 Rue Thomas Edison, La Chevroliere, Pays de la Loire, France, 44118</t>
  </si>
  <si>
    <t>Abitan</t>
  </si>
  <si>
    <t xml:space="preserve">Smile Wanted</t>
  </si>
  <si>
    <t>gary@smilewanted.com</t>
  </si>
  <si>
    <t>http://www.linkedin.com/in/garyabitan</t>
  </si>
  <si>
    <t>http://www.smilewanted.com</t>
  </si>
  <si>
    <t xml:space="preserve">41 Rue Boissy d'Anglas, Paris, Ile-de-France, France, 75008</t>
  </si>
  <si>
    <t>Houeix</t>
  </si>
  <si>
    <t xml:space="preserve">Fondateur CYCLING / adhérent magasins Montpellier, Nimes, Toulouse</t>
  </si>
  <si>
    <t xml:space="preserve">CYCLING France</t>
  </si>
  <si>
    <t>jch@cycling.fr</t>
  </si>
  <si>
    <t>http://www.linkedin.com/in/jean-charles-houeix-consultantd%c3%a9veloppementstrat%c3%a9gie</t>
  </si>
  <si>
    <t>http://www.cycling.fr</t>
  </si>
  <si>
    <t xml:space="preserve">155 Avenue Clement Ader, Castelnau-le-Lez, Occitanie, France, 34170</t>
  </si>
  <si>
    <t xml:space="preserve">Enseigne spécialisée dans la vente de vélos multimarques, CYCLING propose une nouvelle expérience pour tous les pratiquants du vélo selon leurs envies. Pour le loisir ou la pratique sportive, du VTT, au VAE en passant par le VTC ou le vélo enfant, faîtes-vous plaisir !</t>
  </si>
  <si>
    <t>Malika</t>
  </si>
  <si>
    <t>Kechich</t>
  </si>
  <si>
    <t xml:space="preserve">Executive Director - Co-founder Activo, DAM expert</t>
  </si>
  <si>
    <t>Activo</t>
  </si>
  <si>
    <t>malika.kechich@activo-consulting.com</t>
  </si>
  <si>
    <t>http://www.linkedin.com/in/malika-kechich</t>
  </si>
  <si>
    <t>http://www.activo-consulting.com</t>
  </si>
  <si>
    <t xml:space="preserve">38 Rue La Quintinie, Paris, Ile-de-France, France, 75015</t>
  </si>
  <si>
    <t xml:space="preserve">Discover Activo Consulting’s cutting-edge digital solutions to enhance your business operations. Specializing in DAM, PIM, CMS, and more.</t>
  </si>
  <si>
    <t>Sarfati</t>
  </si>
  <si>
    <t>E-testing</t>
  </si>
  <si>
    <t>maud.sarfati@e-testing.fr</t>
  </si>
  <si>
    <t>http://www.linkedin.com/in/maud-sarfati-5b077969</t>
  </si>
  <si>
    <t>http://www.e-testing.fr</t>
  </si>
  <si>
    <t xml:space="preserve">8 Rue des Bateaux Lavoirs, Nantes, Pays de la Loire, France, 44000</t>
  </si>
  <si>
    <t xml:space="preserve">Avec les tests de compétence et de personnalité, confirmez vos intuitions de recruteur et constituez votre équipe en toute sérénité</t>
  </si>
  <si>
    <t>Fillion</t>
  </si>
  <si>
    <t>YOUTELL</t>
  </si>
  <si>
    <t>philippe@youtell.re</t>
  </si>
  <si>
    <t>http://www.linkedin.com/in/pfillion</t>
  </si>
  <si>
    <t>http://www.youtell.re</t>
  </si>
  <si>
    <t xml:space="preserve">125 Chemin de l'Eperon, Saint-Paul, Saint-Paul, Reunion, 97435</t>
  </si>
  <si>
    <t xml:space="preserve">Leader en Cybersécurité à La Réunion. YOUTELL vous accompagne dans la création de votre Système d’Information de demain.</t>
  </si>
  <si>
    <t xml:space="preserve">Les Jules</t>
  </si>
  <si>
    <t>yannick.henry@lesjules.com</t>
  </si>
  <si>
    <t>http://www.linkedin.com/in/yannickhenry</t>
  </si>
  <si>
    <t>http://www.lesjules.com</t>
  </si>
  <si>
    <t xml:space="preserve">31 Rue Eugene Carriere, Paris, Ile-de-France, France, 75018</t>
  </si>
  <si>
    <t xml:space="preserve">Montage, dépannage, réparations, aménagements! Les Jules, ce sont des bricoleurs professionnels, réactifs, polyvalents à votre écoute.</t>
  </si>
  <si>
    <t>Marie-Christine</t>
  </si>
  <si>
    <t>Dupont-Leblanc</t>
  </si>
  <si>
    <t xml:space="preserve">Gérante Fondatrice du Réseau AVEA Partners</t>
  </si>
  <si>
    <t>AVEA</t>
  </si>
  <si>
    <t>mc.dupont@aveapartners.com</t>
  </si>
  <si>
    <t>http://www.linkedin.com/in/marieleblancdupont</t>
  </si>
  <si>
    <t>http://www.aveapartners.com</t>
  </si>
  <si>
    <t xml:space="preserve">8 Avenue Louvois, Meudon, Ile-de-France, France, 92190</t>
  </si>
  <si>
    <t xml:space="preserve">AVEA Partners, réseau collaboratif de facilitateurs en accompagnement stratégie RH, leadership, management de transition et bilan d'orientation - L’accompagnement de la personne et des équipes dans leur développement professionnel</t>
  </si>
  <si>
    <t>SMIB</t>
  </si>
  <si>
    <t>anthony.renaud@smib44.com</t>
  </si>
  <si>
    <t>http://www.linkedin.com/in/anthony-renaud-a8462869</t>
  </si>
  <si>
    <t>http://www.smib44.com</t>
  </si>
  <si>
    <t xml:space="preserve">Rue de la Forme Joubert, Saint-Nazaire, Pays de la Loire, France, 44600</t>
  </si>
  <si>
    <t xml:space="preserve">La société SMIB (Solutions de Montage pour l’Industrie et le Bâtiment) est spécialisée dans le montage d’éléments métalliques dans le domaine de (...)</t>
  </si>
  <si>
    <t>Acarie</t>
  </si>
  <si>
    <t>Belacom</t>
  </si>
  <si>
    <t>aacarie@belacom.fr</t>
  </si>
  <si>
    <t>http://www.linkedin.com/in/arnaud-acarie-61b23b5</t>
  </si>
  <si>
    <t>http://www.belacom.fr</t>
  </si>
  <si>
    <t xml:space="preserve">Belacom, la première Agence-Conseil de Marketing Automation. Nous auditons le marché, intégrons la solution chez vous et vous accompagnons.</t>
  </si>
  <si>
    <t>Monzo</t>
  </si>
  <si>
    <t xml:space="preserve">Mon Mobile.Pro</t>
  </si>
  <si>
    <t>julien@monmobile.pro</t>
  </si>
  <si>
    <t>http://www.linkedin.com/in/julienmonzo</t>
  </si>
  <si>
    <t>http://www.un1ty.one</t>
  </si>
  <si>
    <t xml:space="preserve">5 Esplanade Compans-Caffarelli, Toulouse, Occitanie, France, 31000</t>
  </si>
  <si>
    <t>Adjutor</t>
  </si>
  <si>
    <t xml:space="preserve">Founder associate</t>
  </si>
  <si>
    <t>Fasfox</t>
  </si>
  <si>
    <t>erwan@fasfox.com</t>
  </si>
  <si>
    <t>http://www.linkedin.com/in/erwan-adjutor-ba7655168</t>
  </si>
  <si>
    <t>http://www.fasfox.com</t>
  </si>
  <si>
    <t xml:space="preserve">Fasfox développe des solutions digitales et IA pour des industries telles que le BTP et les Télecoms. Optimisez vos processus avec des outils sur mesure.</t>
  </si>
  <si>
    <t>Yoan</t>
  </si>
  <si>
    <t>Issartel</t>
  </si>
  <si>
    <t xml:space="preserve">Elysium Security</t>
  </si>
  <si>
    <t>yoan.issartel@elysium-security.com</t>
  </si>
  <si>
    <t>http://www.linkedin.com/in/yoan-issartel-15269084</t>
  </si>
  <si>
    <t>http://www.elysium-security.com</t>
  </si>
  <si>
    <t xml:space="preserve">29b Chemin de Grave, Lyon, Auvergne-Rhone-Alpes, France, 69450</t>
  </si>
  <si>
    <t xml:space="preserve">Elysium Security est une entreprise d'experts qui conçoit et propose des solutions de cybersécurité opérationnelles et utiles à toutes les organisations.</t>
  </si>
  <si>
    <t>Eddy</t>
  </si>
  <si>
    <t>Mollet</t>
  </si>
  <si>
    <t xml:space="preserve">CAVEO CONSULTING</t>
  </si>
  <si>
    <t>eddy.mollet@caveo-consulting.fr</t>
  </si>
  <si>
    <t>http://www.linkedin.com/in/eddy-mollet-5281bb21</t>
  </si>
  <si>
    <t>http://www.caveo-consulting.fr</t>
  </si>
  <si>
    <t xml:space="preserve">184 Rue Marcel Merieux, Lyon, Auvergne-Rhone-Alpes, France, 69007</t>
  </si>
  <si>
    <t xml:space="preserve">Caveo Consulting est une entreprise de service numérique (ESN) à Lyon. Spécialisée dans le secteur de l'IT, notre équipe est à votre écoute.</t>
  </si>
  <si>
    <t>Paschutine</t>
  </si>
  <si>
    <t xml:space="preserve">CTO/CPO &amp; Co-founder</t>
  </si>
  <si>
    <t>alexandre@kabaun.com</t>
  </si>
  <si>
    <t>http://www.linkedin.com/in/alexandre-paschutine</t>
  </si>
  <si>
    <t xml:space="preserve">Co-Founder &amp; Principal</t>
  </si>
  <si>
    <t>mcolin@limestreams.com</t>
  </si>
  <si>
    <t>http://www.linkedin.com/in/mathieu-colin-29428918</t>
  </si>
  <si>
    <t>Biez</t>
  </si>
  <si>
    <t xml:space="preserve">Latitude-Cartagène Cartographies</t>
  </si>
  <si>
    <t>christophe.biez@latitude-cartagene.com</t>
  </si>
  <si>
    <t>http://www.linkedin.com/in/christophe-biez-80009063</t>
  </si>
  <si>
    <t>http://www.latitude-cartagene.com</t>
  </si>
  <si>
    <t xml:space="preserve">Nous vous accompagnons pour tous vos projets de cartographie pour l'information voyageur, les transports, le tourisme et la communication institutionnelle.</t>
  </si>
  <si>
    <t>Loher</t>
  </si>
  <si>
    <t xml:space="preserve">The Innovation Loop</t>
  </si>
  <si>
    <t>marcloher@theinnovationloop.eu</t>
  </si>
  <si>
    <t>http://www.linkedin.com/in/marclohertheinnovationloop</t>
  </si>
  <si>
    <t>http://www.theinnovationloop.eu</t>
  </si>
  <si>
    <t xml:space="preserve">innoloop - First AI-platform for the design and financing of innovation projects</t>
  </si>
  <si>
    <t>Barbier</t>
  </si>
  <si>
    <t xml:space="preserve">Fondateur / CEO</t>
  </si>
  <si>
    <t xml:space="preserve">Digital PACA</t>
  </si>
  <si>
    <t>vbarbier@digital-paca.fr</t>
  </si>
  <si>
    <t>http://www.linkedin.com/in/vincent-barbier-2a776494</t>
  </si>
  <si>
    <t>http://www.digital-paca.fr</t>
  </si>
  <si>
    <t xml:space="preserve">40 Avenue de Saint-Antoine, Marseille, Provence-Alpes-Cote d'Azur, France, 13015</t>
  </si>
  <si>
    <t xml:space="preserve">Studio spécialisé en développement d'applications mobiles, Flutter, React Native, PWA et en transformation digitale. Audit sécurité mobile, Audit qualité mobile</t>
  </si>
  <si>
    <t>Bour</t>
  </si>
  <si>
    <t xml:space="preserve">CEO | Founder</t>
  </si>
  <si>
    <t xml:space="preserve">Ephoto Dam</t>
  </si>
  <si>
    <t>abour@einden.fr</t>
  </si>
  <si>
    <t>http://www.linkedin.com/in/arnaud-bour-0337326b</t>
  </si>
  <si>
    <t>http://www.ephoto.fr</t>
  </si>
  <si>
    <t xml:space="preserve">Poitiers, Aquitaine-Limousin-Poitou-Charentes, France, 86000</t>
  </si>
  <si>
    <t xml:space="preserve">The DAM solution for your digital media. Several thousand users worldwide use Ephoto Dam, from local governments to international corporations</t>
  </si>
  <si>
    <t>Echeverria</t>
  </si>
  <si>
    <t>ELQANO</t>
  </si>
  <si>
    <t>yann@elqano.com</t>
  </si>
  <si>
    <t>http://www.linkedin.com/in/yann-echeverria-1a0b515b</t>
  </si>
  <si>
    <t>http://www.elqano.com</t>
  </si>
  <si>
    <t xml:space="preserve">243 Allee Theodore Monod, Bidart, Aquitaine, France, 64210</t>
  </si>
  <si>
    <t xml:space="preserve">An application to help collaborators access the knowledge they need, wherever it may be: from one team or country to another.</t>
  </si>
  <si>
    <t>Anael</t>
  </si>
  <si>
    <t>Dadoun</t>
  </si>
  <si>
    <t xml:space="preserve">The Independents</t>
  </si>
  <si>
    <t>anael.dadoun-berlioz@the-independents.com</t>
  </si>
  <si>
    <t>http://www.linkedin.com/in/adadoun</t>
  </si>
  <si>
    <t>http://www.the-independents.com</t>
  </si>
  <si>
    <t xml:space="preserve">8 Avenue du President Wilson, Paris, Ile-de-France, France, 75116</t>
  </si>
  <si>
    <t>Combalbert</t>
  </si>
  <si>
    <t xml:space="preserve">Co Founder and President | Campus and training platform | Negotiation, trust</t>
  </si>
  <si>
    <t>TTA</t>
  </si>
  <si>
    <t>lcombalbert@thetrustedagency.com</t>
  </si>
  <si>
    <t>http://www.linkedin.com/in/laurent-combalbert-8967243</t>
  </si>
  <si>
    <t>http://www.thetrustedagency.com</t>
  </si>
  <si>
    <t>Villeneuve-les-Genets</t>
  </si>
  <si>
    <t xml:space="preserve">Joigny, Bourgogne-Franche-Comte, France, 89300</t>
  </si>
  <si>
    <t xml:space="preserve">TTA – The Trusted Agency est une agence internationale d’experts pluridisciplinaires spécialisés sur les thématiques de la Négociation, du Leadership et de la Confiance.</t>
  </si>
  <si>
    <t>Hassen</t>
  </si>
  <si>
    <t>Boumaraf</t>
  </si>
  <si>
    <t xml:space="preserve">BBS Solutions</t>
  </si>
  <si>
    <t>hassen.boumaraf@bbs-solutions.dz</t>
  </si>
  <si>
    <t>http://www.linkedin.com/in/hassen-boumaraf-99b70115</t>
  </si>
  <si>
    <t>http://www.labbs.io</t>
  </si>
  <si>
    <t xml:space="preserve">Rue de Vaugirard, Paris, Ile-de-France, France, 75015</t>
  </si>
  <si>
    <t>Muller</t>
  </si>
  <si>
    <t>nicolas@aragocomputing.com</t>
  </si>
  <si>
    <t>http://www.linkedin.com/in/nicolas-muller-</t>
  </si>
  <si>
    <t>Frering</t>
  </si>
  <si>
    <t>hugo@tshoko.fr</t>
  </si>
  <si>
    <t>http://www.linkedin.com/in/hugo-frering-1b754955</t>
  </si>
  <si>
    <t>Rigo</t>
  </si>
  <si>
    <t xml:space="preserve">Co-founder &amp; CIO</t>
  </si>
  <si>
    <t>Panodyssey</t>
  </si>
  <si>
    <t>y.rigo@panodyssey.com</t>
  </si>
  <si>
    <t>http://www.linkedin.com/in/yann-rigo-20a813</t>
  </si>
  <si>
    <t>http://www.panodyssey.com</t>
  </si>
  <si>
    <t>Chelles</t>
  </si>
  <si>
    <t xml:space="preserve">10 Rue Bapst, Asnieres-sur-Seine, Ile-de-France, France, 92600</t>
  </si>
  <si>
    <t xml:space="preserve">Enter a world where creativity knows no bounds. Panodyssey is a literary social network where readers, self-published authors and professional creators meet in a secure space to read, share and promote quality texts and creations.</t>
  </si>
  <si>
    <t>Gallois</t>
  </si>
  <si>
    <t xml:space="preserve">Co-founder | General Manager</t>
  </si>
  <si>
    <t>Lowit</t>
  </si>
  <si>
    <t>julien.gallois@lowit.fr</t>
  </si>
  <si>
    <t>http://www.linkedin.com/in/juliengallois</t>
  </si>
  <si>
    <t>http://www.lowit.fr</t>
  </si>
  <si>
    <t xml:space="preserve">Lowit la solution qui vous accompagne dans votre stratégie d'investissement pour les économies d'énergie de vos bâtiments tertiaires.</t>
  </si>
  <si>
    <t>Delvarre</t>
  </si>
  <si>
    <t>WeSyn</t>
  </si>
  <si>
    <t>jeremy.delvarre@wesyn.fr</t>
  </si>
  <si>
    <t>http://www.linkedin.com/in/j%c3%a9r%c3%a9my-delvarre-94b90447</t>
  </si>
  <si>
    <t>http://www.wesyn.fr</t>
  </si>
  <si>
    <t xml:space="preserve">14 Rue du Carrousel, Villeneuve-d'Ascq, Hauts-de-France, France, 59650</t>
  </si>
  <si>
    <t xml:space="preserve">Chez WeSyn, notre objectif est de satisfaire nos clients et de rendre nos collaborateurs heureux. Forts de plus de 14 ans d'expérience, notre ESN située à Lille se consacre à accompagner les entreprises dans leur transition vers le numérique en proposant des solutions logicielles innovantes sur mesure. Ensemble avançons vers des objectifs communs.</t>
  </si>
  <si>
    <t>Kerim</t>
  </si>
  <si>
    <t>Benzarti</t>
  </si>
  <si>
    <t xml:space="preserve">BITS "Business Information Technology Solutions"</t>
  </si>
  <si>
    <t>bkerim@bits.com.tn</t>
  </si>
  <si>
    <t>http://www.linkedin.com/in/kerim-benzarti-99a06993</t>
  </si>
  <si>
    <t>http://www.bits.com.tn</t>
  </si>
  <si>
    <t xml:space="preserve">BITS Informatique est une société de services en ingénierie informatique experte dans :La conception, l’intégration et la maintenance des infrastructures...</t>
  </si>
  <si>
    <t>Censier</t>
  </si>
  <si>
    <t xml:space="preserve">Censier Publicinex</t>
  </si>
  <si>
    <t>julien.censier@censier-publicinex.fr</t>
  </si>
  <si>
    <t>http://www.linkedin.com/in/julien-censier-670988223</t>
  </si>
  <si>
    <t>http://www.censier-publicinex.fr</t>
  </si>
  <si>
    <t xml:space="preserve">104 Boulevard de Menilmontant, Paris, Ile-de-France, France, 75020</t>
  </si>
  <si>
    <t xml:space="preserve">Confiez la production de votre communication à Censier Publicinex, régie publicitaire de cinéma. Nous vous accompagnons dans la production de votre film publicitaire</t>
  </si>
  <si>
    <t>Rozario</t>
  </si>
  <si>
    <t>Synktory</t>
  </si>
  <si>
    <t>laurent.derozario@synktory.fr</t>
  </si>
  <si>
    <t>http://www.linkedin.com/in/laurent-de-rozario-a9284388</t>
  </si>
  <si>
    <t>http://www.synktory.com</t>
  </si>
  <si>
    <t>Marcilly-d'Azergues</t>
  </si>
  <si>
    <t xml:space="preserve">44 Avenue Paul Kruger, Villeurbanne, Auvergne-Rhone-Alpes, France, 69100</t>
  </si>
  <si>
    <t xml:space="preserve">ERP pour l'industrie et la gestion d'entreprise : Des outils puissants qui vous accompagne de la gestion de production à la facturation</t>
  </si>
  <si>
    <t>victor.bauer@moove-si.com</t>
  </si>
  <si>
    <t>http://www.linkedin.com/in/victor-bauer-a2238b118</t>
  </si>
  <si>
    <t>http://www.moove-si.com</t>
  </si>
  <si>
    <t xml:space="preserve">Schiltigheim, Grand Est, France</t>
  </si>
  <si>
    <t>L'hortet</t>
  </si>
  <si>
    <t xml:space="preserve">Co-founder &amp; Director of French Division</t>
  </si>
  <si>
    <t>Synfac</t>
  </si>
  <si>
    <t>jeremie@synfac.com</t>
  </si>
  <si>
    <t>http://www.linkedin.com/in/jeremie-collin-de-l-hortet</t>
  </si>
  <si>
    <t>http://www.synfac.com</t>
  </si>
  <si>
    <t xml:space="preserve">192 Leuvensesteenweg, Zaventem, Flanders, Belgium, 1932</t>
  </si>
  <si>
    <t xml:space="preserve">ICT SERVICE CONSULTING CONSULTANCE JOBS BELGIUM</t>
  </si>
  <si>
    <t>Becache</t>
  </si>
  <si>
    <t xml:space="preserve">Co Founder and Executive Director Business Development</t>
  </si>
  <si>
    <t xml:space="preserve">Digital Pharma Lab</t>
  </si>
  <si>
    <t>pbecache@digitalpharmalab.com</t>
  </si>
  <si>
    <t>http://www.linkedin.com/in/pascal-becache-528b6</t>
  </si>
  <si>
    <t>http://www.digitalpharmalab.com</t>
  </si>
  <si>
    <t xml:space="preserve">15 Rue de Milan, Paris, Ile-de-France, France, 75009</t>
  </si>
  <si>
    <t xml:space="preserve">Our mission is to unite healthcare professionals, medical manufacturers, startups and healthcare institutions around digital innovation, digital transformation and collective intelligence - innovation digitale dans la santé - transformation digitale des laboratoires pharmaceutiques et des fabricants de dispositifs médicaux</t>
  </si>
  <si>
    <t>Marouann</t>
  </si>
  <si>
    <t>Cheikh</t>
  </si>
  <si>
    <t>marouann.cheikh@ksaar.com</t>
  </si>
  <si>
    <t>http://www.linkedin.com/in/marouanncheikh</t>
  </si>
  <si>
    <t>Bombard</t>
  </si>
  <si>
    <t xml:space="preserve">Président • Associé</t>
  </si>
  <si>
    <t>v6Protect</t>
  </si>
  <si>
    <t>florian@v6protect.fr</t>
  </si>
  <si>
    <t>http://www.linkedin.com/in/florian-bombard-781b2b47</t>
  </si>
  <si>
    <t>http://www.v6protect.io</t>
  </si>
  <si>
    <t xml:space="preserve">11 Rue Duffour Dubergier, Bordeaux, Nouvelle-Aquitaine, France, 33000</t>
  </si>
  <si>
    <t>Prestat</t>
  </si>
  <si>
    <t xml:space="preserve">Progress Associés</t>
  </si>
  <si>
    <t>aprestat@progress-search.com</t>
  </si>
  <si>
    <t>http://www.linkedin.com/in/alain-prestat-94070112</t>
  </si>
  <si>
    <t>http://www.progress-associes.com</t>
  </si>
  <si>
    <t xml:space="preserve">2 Rue de la Paix, Paris, Ile-de-France, France, 75002</t>
  </si>
  <si>
    <t xml:space="preserve">Cabinet de recrutement par approche directe. Executive Search, Board Services &amp; Gouvernance, Assessment &amp; Coaching, Leadership Advisory.</t>
  </si>
  <si>
    <t>Sandro</t>
  </si>
  <si>
    <t>Dupuy</t>
  </si>
  <si>
    <t>HYMATOM</t>
  </si>
  <si>
    <t>sandro.dupuy@hymatom.fr</t>
  </si>
  <si>
    <t>http://www.linkedin.com/in/sandro-dupuy-5508a0b2</t>
  </si>
  <si>
    <t>http://www.hymatom.com</t>
  </si>
  <si>
    <t xml:space="preserve">175 Rue de Massacan, Vendargues, Occitanie, France, 34740</t>
  </si>
  <si>
    <t xml:space="preserve">Co-Founder &amp; Associate Director WENVISION (Groupe SFEIR)</t>
  </si>
  <si>
    <t>estelle@wenvision.com</t>
  </si>
  <si>
    <t>http://www.linkedin.com/in/estelleboyer</t>
  </si>
  <si>
    <t>Janolin</t>
  </si>
  <si>
    <t>Fondateur-Dirigeant</t>
  </si>
  <si>
    <t xml:space="preserve">Live Session</t>
  </si>
  <si>
    <t>laurent.janolin@live-session.fr</t>
  </si>
  <si>
    <t>http://www.linkedin.com/in/laurent-janolin</t>
  </si>
  <si>
    <t>http://www.live-session.fr</t>
  </si>
  <si>
    <t>3C-EVOLUTION</t>
  </si>
  <si>
    <t>rconstant@3c-e.com</t>
  </si>
  <si>
    <t>http://www.linkedin.com/in/renaud-constant-b804b414</t>
  </si>
  <si>
    <t>http://www.3c-e.com</t>
  </si>
  <si>
    <t xml:space="preserve">21 Avenue du Granier, Meylan, Auvergne-Rhone-Alpes, France, 38240</t>
  </si>
  <si>
    <t xml:space="preserve">Découvrez 3C-EVOLUTION, l’agence PIM et WEB qui booste vos ventes grâce à des sites e-commerce performants et sa solution PIM / DAM !</t>
  </si>
  <si>
    <t>Rutily</t>
  </si>
  <si>
    <t xml:space="preserve">CEO - MySpeaker France</t>
  </si>
  <si>
    <t>aline.rutily@myspeaker.fr</t>
  </si>
  <si>
    <t>http://www.linkedin.com/in/aline-rutily-510882</t>
  </si>
  <si>
    <t>Leconte</t>
  </si>
  <si>
    <t xml:space="preserve">PDG | Fondateur | Conférencier | Logiciel | Outils | RH | Recrutement | Leadership | Gestion</t>
  </si>
  <si>
    <t xml:space="preserve">TTI Success Insights France</t>
  </si>
  <si>
    <t>pleconte@ttisuccessinsights.fr</t>
  </si>
  <si>
    <t>http://www.linkedin.com/in/patrick-leconte-87987b5</t>
  </si>
  <si>
    <t>http://www.ttisuccessinsights.fr</t>
  </si>
  <si>
    <t xml:space="preserve">58 Rue de la Republique, Lyon, Auvergne-Rhone-Alpes, France, 69002</t>
  </si>
  <si>
    <t xml:space="preserve">Mettez l'Humain au coeur de votre Entreprise ! Quelque soit le secteur d'activité et la taille, la performance de l'entreprise passe par les Hommes et les Femmes qui la compose.</t>
  </si>
  <si>
    <t>Schertz'</t>
  </si>
  <si>
    <t xml:space="preserve">Groupe Schertz</t>
  </si>
  <si>
    <t>g.schertz@groupe-schertz.com</t>
  </si>
  <si>
    <t>http://www.linkedin.com/in/gr%c3%a9gory-schertz-257896b1</t>
  </si>
  <si>
    <t>http://www.groupe-schertz.com</t>
  </si>
  <si>
    <t xml:space="preserve">101 Route du Polygone, Strasbourg, Grand Est, France, 67100</t>
  </si>
  <si>
    <t xml:space="preserve">Le Groupe Schertz est une société familiale de dirigeants passionnés, prônant l’indépendance comme un véritable savoir-faire et une stratégie de différenciation sur les marchés de l’optique et de l’audio.</t>
  </si>
  <si>
    <t>Konstantin</t>
  </si>
  <si>
    <t>Semenenko</t>
  </si>
  <si>
    <t xml:space="preserve">Managed Code</t>
  </si>
  <si>
    <t>ksemenenko@managed-code.com</t>
  </si>
  <si>
    <t>http://www.linkedin.com/in/konstantinsemenen</t>
  </si>
  <si>
    <t>http://www.managed-code.com</t>
  </si>
  <si>
    <t xml:space="preserve">Pau, Nouvelle-Aquitaine, France, 64000</t>
  </si>
  <si>
    <t xml:space="preserve">We know how to get the job done. AI, Webflow, UX/UI, custom development, and R&amp;D. Your tech challenges, our expertise.</t>
  </si>
  <si>
    <t>Dewavrin</t>
  </si>
  <si>
    <t>APIZR</t>
  </si>
  <si>
    <t>adewavrin@apizr.fr</t>
  </si>
  <si>
    <t>http://www.linkedin.com/in/anselmedewavrin</t>
  </si>
  <si>
    <t>http://www.apizr.io</t>
  </si>
  <si>
    <t>Badoil</t>
  </si>
  <si>
    <t>AZH</t>
  </si>
  <si>
    <t>p.badoil@azh.fr</t>
  </si>
  <si>
    <t>http://www.linkedin.com/in/patrick-badoil-54a26ab2</t>
  </si>
  <si>
    <t>http://www.azh.com</t>
  </si>
  <si>
    <t xml:space="preserve">Abu Dhabi, Abu Dhabi, United Arab Emirates</t>
  </si>
  <si>
    <t xml:space="preserve">AZH provides tailored financial consulting services, specializing in wealth management, broker-dealer solutions, and global investment strategies.</t>
  </si>
  <si>
    <t>Beaumont</t>
  </si>
  <si>
    <t xml:space="preserve">Co dirigeant</t>
  </si>
  <si>
    <t xml:space="preserve">DIFFUS'LAINE TISSUS</t>
  </si>
  <si>
    <t>stephane@mercerine.com</t>
  </si>
  <si>
    <t>http://www.linkedin.com/in/st%c3%a9phane-beaumont-8bab4449</t>
  </si>
  <si>
    <t>http://www.mercerine.com</t>
  </si>
  <si>
    <t xml:space="preserve">Rue Robert Surcouf, Saint-Nazaire, Pays de la Loire, France, 44600</t>
  </si>
  <si>
    <t xml:space="preserve">Mercerine est une mercerie en ligne qui vous propose de très nombreux tissus au mètre et mercerie. Livraison à domicile ou en relais offerte à partir de 49€ en France métropolitaine.</t>
  </si>
  <si>
    <t>Anais</t>
  </si>
  <si>
    <t>Helie-Beugin</t>
  </si>
  <si>
    <t xml:space="preserve">Founder chez Tech' Talents</t>
  </si>
  <si>
    <t xml:space="preserve">Tech' Talents</t>
  </si>
  <si>
    <t>anais@tech-talents.fr</t>
  </si>
  <si>
    <t>http://www.linkedin.com/in/ana%c3%afs-helie-beugin-4186831b</t>
  </si>
  <si>
    <t>http://www.tech-talents.fr</t>
  </si>
  <si>
    <t xml:space="preserve">3 Rue Princesse, Lille, Hauts-de-France, France, 59800</t>
  </si>
  <si>
    <t xml:space="preserve">Tech' Talents, votre partenaire Salesforce</t>
  </si>
  <si>
    <t>Carru</t>
  </si>
  <si>
    <t xml:space="preserve">Software Engineer - Cofounder</t>
  </si>
  <si>
    <t>nothing2install</t>
  </si>
  <si>
    <t>pcarru@nothing2install.com</t>
  </si>
  <si>
    <t>http://www.linkedin.com/in/pierre-carru</t>
  </si>
  <si>
    <t>http://www.nothing2install.com</t>
  </si>
  <si>
    <t xml:space="preserve">3 Rue Fortia, Marseille, Provence-Alpes-Cote d'Azur, France, 13001</t>
  </si>
  <si>
    <t>Gonnet</t>
  </si>
  <si>
    <t xml:space="preserve">AU JARDIN DES PLANTES</t>
  </si>
  <si>
    <t>laurentgonnet@aujardindesplantes.com</t>
  </si>
  <si>
    <t>http://www.linkedin.com/in/laurent-gonnet-09b033262</t>
  </si>
  <si>
    <t>http://www.aujardindesplantes.com</t>
  </si>
  <si>
    <t xml:space="preserve">670 Rue des Belledonnes, Voglans, Auvergne-Rhone-Alpes, France, 73420</t>
  </si>
  <si>
    <t>Ibanez</t>
  </si>
  <si>
    <t xml:space="preserve">Co Founder / Président</t>
  </si>
  <si>
    <t xml:space="preserve">VR Connection</t>
  </si>
  <si>
    <t>alexandre@vr-connection.com</t>
  </si>
  <si>
    <t>http://www.linkedin.com/in/alexandre-ibanez-90736117</t>
  </si>
  <si>
    <t>http://www.vr-connection.com</t>
  </si>
  <si>
    <t>Ilona</t>
  </si>
  <si>
    <t>Boniwell</t>
  </si>
  <si>
    <t>POSITRAN</t>
  </si>
  <si>
    <t>ilona@positran.fr</t>
  </si>
  <si>
    <t>http://www.linkedin.com/in/ilona-boniwell-phd-617978a</t>
  </si>
  <si>
    <t>http://www.positran.fr</t>
  </si>
  <si>
    <t xml:space="preserve">8 Avenue de la Mauldre, Epone, Ile-de-France, France, 78680</t>
  </si>
  <si>
    <t xml:space="preserve">Positran est une société de conseil dont l’objectif est d’amener à la transformation de chaque individu grâce à la psychologie positive appliquée au travail</t>
  </si>
  <si>
    <t>Babinard</t>
  </si>
  <si>
    <t xml:space="preserve">Co-fondateur / Réalisateur</t>
  </si>
  <si>
    <t xml:space="preserve">LA MAISON NOIRE</t>
  </si>
  <si>
    <t>jonathan@lamaisonnoire.fr</t>
  </si>
  <si>
    <t>http://www.linkedin.com/in/babinard</t>
  </si>
  <si>
    <t>http://www.lamaisonnoire.fr</t>
  </si>
  <si>
    <t xml:space="preserve">6 Cite Dupetit-Thouars, Paris, Ile-de-France, France, 75003</t>
  </si>
  <si>
    <t xml:space="preserve">Plus de 30 créatif.ve.s et technicien.ne.s, réuni.e.s sous le même toit, pour proposer : conception &amp; direction artistique, réalisation, production, post-production.</t>
  </si>
  <si>
    <t>Christine</t>
  </si>
  <si>
    <t>Papin</t>
  </si>
  <si>
    <t>Tridens</t>
  </si>
  <si>
    <t>cpapin@tridens.fr</t>
  </si>
  <si>
    <t>http://www.linkedin.com/in/christine-papin-b98738aa</t>
  </si>
  <si>
    <t>http://www.tridenstechnology.com</t>
  </si>
  <si>
    <t xml:space="preserve">2A Titova cesta, Maribor, Maribor, Slovenia, 2000</t>
  </si>
  <si>
    <t>Slovenia</t>
  </si>
  <si>
    <t xml:space="preserve">We help companies in communications, energy &amp; utility, media, software, and other industries to design and implement digital solutions.</t>
  </si>
  <si>
    <t>Berthe</t>
  </si>
  <si>
    <t>Co-présidente</t>
  </si>
  <si>
    <t xml:space="preserve">Agence B Side</t>
  </si>
  <si>
    <t>i.berthe@agencebside.fr</t>
  </si>
  <si>
    <t>http://www.linkedin.com/in/ingridberthe</t>
  </si>
  <si>
    <t>http://www.agencebside.fr</t>
  </si>
  <si>
    <t xml:space="preserve">41 Boulevard de la Prairie au Duc, Nantes, Pays de la Loire, France, 44200</t>
  </si>
  <si>
    <t>D.</t>
  </si>
  <si>
    <t>jonathan@teelt.io</t>
  </si>
  <si>
    <t>http://www.linkedin.com/in/jonathandietsche</t>
  </si>
  <si>
    <t>Alepsa</t>
  </si>
  <si>
    <t>OPSYNET</t>
  </si>
  <si>
    <t>jerome.alepsa@opsynet.fr</t>
  </si>
  <si>
    <t>http://www.linkedin.com/in/j%c3%a9r%c3%b4me-alepsa-054a8992</t>
  </si>
  <si>
    <t>http://www.opsynet.fr</t>
  </si>
  <si>
    <t xml:space="preserve">1 Voie Felix Eboue, Creteil, Ile-de-France, France, 94000</t>
  </si>
  <si>
    <t xml:space="preserve">L'expertise d'Opsynet dans le domaine des Réseaux et de la Sécurité informatique, en fait un partenaire privilégié des entreprises privées ou publiques</t>
  </si>
  <si>
    <t>Mounia</t>
  </si>
  <si>
    <t>Khoufache</t>
  </si>
  <si>
    <t xml:space="preserve">Managing Director-co founder</t>
  </si>
  <si>
    <t>ImaginePartners</t>
  </si>
  <si>
    <t>mounia.khoufache@imaginepartners.com</t>
  </si>
  <si>
    <t>http://www.linkedin.com/in/mounia-khoufache-579b1242</t>
  </si>
  <si>
    <t>http://www.imaginepartners.com</t>
  </si>
  <si>
    <t xml:space="preserve">Kouba, Algiers Province, Algeria</t>
  </si>
  <si>
    <t>Dorian</t>
  </si>
  <si>
    <t>Novelli</t>
  </si>
  <si>
    <t>novelli@novelli.com</t>
  </si>
  <si>
    <t>http://www.linkedin.com/in/dorian-novelli-2ba33a183</t>
  </si>
  <si>
    <t>http://www.novelli.com</t>
  </si>
  <si>
    <t xml:space="preserve">36 Parkway Dr, Auckland, Auckland, New Zealand, 0632</t>
  </si>
  <si>
    <t xml:space="preserve">New Zealand</t>
  </si>
  <si>
    <t xml:space="preserve">Build brand love with Novelli's bespoke branded merchandise to create meaningful connections with customers. Drive sales, loyalty, and engagement through unique gifts, corporate gear, retail products, and more.</t>
  </si>
  <si>
    <t>Cottret</t>
  </si>
  <si>
    <t xml:space="preserve">Europe Multitechniques Services</t>
  </si>
  <si>
    <t>manuel.cottret@emservices.fr</t>
  </si>
  <si>
    <t>http://www.linkedin.com/in/manuel-cottret-67b98b77</t>
  </si>
  <si>
    <t>http://www.ems-securite.com</t>
  </si>
  <si>
    <t xml:space="preserve">Argenteuil, Ile-de-France, France, 95100</t>
  </si>
  <si>
    <t xml:space="preserve">Europe Multitechniques Services spécialiste expérimenté en installation et maintenance de systèmes de détection incendie (SSI), CMSI, vidéosurveillance, ...</t>
  </si>
  <si>
    <t>Zarowsky</t>
  </si>
  <si>
    <t>Teeps</t>
  </si>
  <si>
    <t>sonia@teeps.co</t>
  </si>
  <si>
    <t>http://www.linkedin.com/in/sonia-zarowsky-175a603</t>
  </si>
  <si>
    <t>http://www.teeps.co</t>
  </si>
  <si>
    <t xml:space="preserve">5 Rue Michelet, Paris, Ile-de-France, France, 75006</t>
  </si>
  <si>
    <t xml:space="preserve">Générez de la préférence de marque pour une croissance pérenne. Nous transformons  l'engagement client en ventes.</t>
  </si>
  <si>
    <t xml:space="preserve">Co-Founder | CTO</t>
  </si>
  <si>
    <t>Dsflow</t>
  </si>
  <si>
    <t>etienne@dsflow.io</t>
  </si>
  <si>
    <t>http://www.linkedin.com/in/etienne-l%c3%a9v%c3%aaque-97932b14a</t>
  </si>
  <si>
    <t>http://www.dsflow.io</t>
  </si>
  <si>
    <t xml:space="preserve">54 Rue Greneta, Paris, Ile-de-France, France, 75002</t>
  </si>
  <si>
    <t>Giersch</t>
  </si>
  <si>
    <t>Tutteo</t>
  </si>
  <si>
    <t>embed@flat.io</t>
  </si>
  <si>
    <t>http://www.linkedin.com/in/giersch</t>
  </si>
  <si>
    <t>http://www.tutteo.com</t>
  </si>
  <si>
    <t xml:space="preserve">107 Cheapside, London, England, United Kingdom, EC2V 6</t>
  </si>
  <si>
    <t xml:space="preserve">We build delightful products that transform how music enthusiasts learn, write, share, and consume music.</t>
  </si>
  <si>
    <t>Zuber</t>
  </si>
  <si>
    <t>STILEC</t>
  </si>
  <si>
    <t>azuber@stiled.fr</t>
  </si>
  <si>
    <t>http://www.linkedin.com/in/andr%c3%a9-zuber-0624762ab</t>
  </si>
  <si>
    <t>http://www.sse-groupe.fr</t>
  </si>
  <si>
    <t>Jouy-le-Moutier</t>
  </si>
  <si>
    <t xml:space="preserve">7 Rue Denis Papin, Jouy-le-Moutier, Ile-de-France, France, 95280</t>
  </si>
  <si>
    <t xml:space="preserve">Le groupe SSE possède une expertise de plus de 30 ans en conception de carte électronique, de prototypage PCB, d'industrialisation de circuits imprimés et cartes électroniques. Consultez nous pour en savoir plus.</t>
  </si>
  <si>
    <t xml:space="preserve">Cofondateur et rédacteur en chef</t>
  </si>
  <si>
    <t>TSMF</t>
  </si>
  <si>
    <t>obrunet@toutsurmesfinances.com</t>
  </si>
  <si>
    <t>http://www.linkedin.com/in/obrunet</t>
  </si>
  <si>
    <t>http://www.toutsurmesfinances.com</t>
  </si>
  <si>
    <t xml:space="preserve">26 Rue de Chateaudun, Paris, Ile-de-France, France, 75009</t>
  </si>
  <si>
    <t>Horgues</t>
  </si>
  <si>
    <t xml:space="preserve">SPI Informatique</t>
  </si>
  <si>
    <t>f.horgues@spi-informatique.fr</t>
  </si>
  <si>
    <t>http://www.linkedin.com/in/fabrice-horgues-a0969261</t>
  </si>
  <si>
    <t>http://www.spi-informatique.fr</t>
  </si>
  <si>
    <t xml:space="preserve">Niort, Aquitaine-Limousin-Poitou-Charentes, France, 79000</t>
  </si>
  <si>
    <t xml:space="preserve">SPI Informatique : 30 ans d'expertise numérique. Trouvez le métier IT qui vous correspond et transformons ensemble le futur digital.</t>
  </si>
  <si>
    <t>Carton</t>
  </si>
  <si>
    <t xml:space="preserve">aXigate SA</t>
  </si>
  <si>
    <t>stephane.carton@axigate.fr</t>
  </si>
  <si>
    <t>http://www.linkedin.com/in/st%c3%a9phane-carton-a3842879</t>
  </si>
  <si>
    <t>http://www.axigate-france.fr</t>
  </si>
  <si>
    <t xml:space="preserve">12 Villa de Lourcine, Paris, Ile-de-France, France, 75014</t>
  </si>
  <si>
    <t>Vuitton</t>
  </si>
  <si>
    <t>christophe.vuitton@covline.com</t>
  </si>
  <si>
    <t>http://www.linkedin.com/in/vuitton-christophe-covline</t>
  </si>
  <si>
    <t>Hanh-Thy</t>
  </si>
  <si>
    <t>BIRDIE</t>
  </si>
  <si>
    <t>htfernandez@birdievn.com</t>
  </si>
  <si>
    <t>http://www.linkedin.com/in/hanh-thy-fernandez-76ba023b</t>
  </si>
  <si>
    <t>http://www.birdieagency.co</t>
  </si>
  <si>
    <t xml:space="preserve">1520 W Main St, Richmond, Virginia, United States, 23220</t>
  </si>
  <si>
    <t xml:space="preserve">Birdie is an award-winning agency focused on scaling innovative, creative, 
lifestyle businesses through proactive PR and marketing strategies that 
amplify reach, awareness, and revenue.</t>
  </si>
  <si>
    <t>Ercolani</t>
  </si>
  <si>
    <t>Maarch</t>
  </si>
  <si>
    <t>jeanlouis.ercolani@maarch.org</t>
  </si>
  <si>
    <t>http://www.linkedin.com/in/jercolani</t>
  </si>
  <si>
    <t>http://www.maarch.com</t>
  </si>
  <si>
    <t xml:space="preserve">11 Boulevard du Sud-Est, Nanterre, Ile-de-France, France, 92000</t>
  </si>
  <si>
    <t xml:space="preserve">CEO of Laval Virtual (Europe’s biggest XR event) | CEO</t>
  </si>
  <si>
    <t>Clarté</t>
  </si>
  <si>
    <t>bouchet@clarte-lab.fr</t>
  </si>
  <si>
    <t>http://www.linkedin.com/in/alexbouchet</t>
  </si>
  <si>
    <t>http://www.clarte-lab.fr</t>
  </si>
  <si>
    <t xml:space="preserve">Rue Marie Curie, Change, Pays de la Loire, France, 53810</t>
  </si>
  <si>
    <t xml:space="preserve">Clarté est l’acteur de référence dans le domaine de la réalité virtuelle et augmentée pour les usages professionnels.</t>
  </si>
  <si>
    <t>Rino</t>
  </si>
  <si>
    <t>Forward</t>
  </si>
  <si>
    <t>boris@dealforward.com</t>
  </si>
  <si>
    <t>http://www.linkedin.com/in/borisrino</t>
  </si>
  <si>
    <t>http://www.dealforward.com</t>
  </si>
  <si>
    <t xml:space="preserve">Win deals and onboard customers faster with Forward Digital Sales Rooms.</t>
  </si>
  <si>
    <t>Foret</t>
  </si>
  <si>
    <t xml:space="preserve">Co-founder and CEO</t>
  </si>
  <si>
    <t>christophe.foret@c-risk.com</t>
  </si>
  <si>
    <t>http://www.linkedin.com/in/christopheforet</t>
  </si>
  <si>
    <t>Badre</t>
  </si>
  <si>
    <t>Salhi</t>
  </si>
  <si>
    <t>GINKO</t>
  </si>
  <si>
    <t>b.salhi@ginko-conseil.com</t>
  </si>
  <si>
    <t>http://www.linkedin.com/in/badre-s-b06396115</t>
  </si>
  <si>
    <t>http://www.ginko-conseil.com</t>
  </si>
  <si>
    <t xml:space="preserve">Puteaux, Ile-de-France, France</t>
  </si>
  <si>
    <t xml:space="preserve">nous sommes des spécialistes du digital, et que du digital !</t>
  </si>
  <si>
    <t>Pennel</t>
  </si>
  <si>
    <t xml:space="preserve">CEO - Agence Holi</t>
  </si>
  <si>
    <t>Holi</t>
  </si>
  <si>
    <t>lpennel@gdsgroup.fr</t>
  </si>
  <si>
    <t>http://www.linkedin.com/in/lo%c3%afc-pennel-30610529</t>
  </si>
  <si>
    <t>http://www.agence-holi.com</t>
  </si>
  <si>
    <t>Nikolai</t>
  </si>
  <si>
    <t>Fomm</t>
  </si>
  <si>
    <t>nikolai@corma.io</t>
  </si>
  <si>
    <t>http://www.linkedin.com/in/nikolai-david-fomm-978174135</t>
  </si>
  <si>
    <t>http://www.corma.io</t>
  </si>
  <si>
    <t xml:space="preserve">75 Avenue Mozart, Paris, Ile-de-France, France, 75016</t>
  </si>
  <si>
    <t>Ravat</t>
  </si>
  <si>
    <t>arnaud.ravat@hygiesolution.com</t>
  </si>
  <si>
    <t>http://www.linkedin.com/in/arnaud-ravat-ab385aab</t>
  </si>
  <si>
    <t>Vasseur</t>
  </si>
  <si>
    <t>MOBEN&amp;ROOSTER</t>
  </si>
  <si>
    <t>christophe.vasseur@mobenrooster.com</t>
  </si>
  <si>
    <t>http://www.linkedin.com/in/christophe-vasseur-2504752b</t>
  </si>
  <si>
    <t>http://www.mobenrooster.com</t>
  </si>
  <si>
    <t xml:space="preserve">45 Rue Frederic Joliot-Curie, Marseille, Provence-Alpes-Cote d'Azur, France, 13013</t>
  </si>
  <si>
    <t xml:space="preserve">Simplifiez votre expérience digitale, Optimisez votre support en ingénierie, Accélérez votre business</t>
  </si>
  <si>
    <t>Michalowski</t>
  </si>
  <si>
    <t>oHRis</t>
  </si>
  <si>
    <t>fmichalowski@ohris.fr</t>
  </si>
  <si>
    <t>http://www.linkedin.com/in/fran%c3%a7ois-michalowski-b3088710b</t>
  </si>
  <si>
    <t>http://www.ohris.fr</t>
  </si>
  <si>
    <t xml:space="preserve">255 Rue Delcambre, Douai, Hauts-de-France, France, 59500</t>
  </si>
  <si>
    <t>Kallassy</t>
  </si>
  <si>
    <t xml:space="preserve">Co-founder | Cloud Consulting &amp; Salesforce CRM Manager at Cloud Ambiance</t>
  </si>
  <si>
    <t xml:space="preserve">Cloud Ambiance</t>
  </si>
  <si>
    <t>anthony@cloudambiance.com</t>
  </si>
  <si>
    <t>http://www.linkedin.com/in/anthonykallassy</t>
  </si>
  <si>
    <t>http://www.cloudambiance.com</t>
  </si>
  <si>
    <t xml:space="preserve">8 Rue du Conservatoire, Paris, Ile-de-France, France, 75009</t>
  </si>
  <si>
    <t xml:space="preserve">Cloud Ambiance, a Salesforce partner, will advise and support you at every stage of your implementation. Audit and free demo on request.</t>
  </si>
  <si>
    <t>Colsch</t>
  </si>
  <si>
    <t xml:space="preserve">STAND 2B</t>
  </si>
  <si>
    <t>n.colsch@stand2b.fr</t>
  </si>
  <si>
    <t xml:space="preserve">events services</t>
  </si>
  <si>
    <t>http://www.linkedin.com/in/nicolas-colsch-608ab626</t>
  </si>
  <si>
    <t>http://www.2b.agency</t>
  </si>
  <si>
    <t>Clichy</t>
  </si>
  <si>
    <t xml:space="preserve">42 Rue Louis Calmel, Gennevilliers, Ile-de-France, France, 92230</t>
  </si>
  <si>
    <t>Axeleo</t>
  </si>
  <si>
    <t>aurelie.clerc@cygo-entrepreneurs.com</t>
  </si>
  <si>
    <t>http://www.linkedin.com/in/clercaurelie</t>
  </si>
  <si>
    <t>http://www.cygo-entrepreneurs.com</t>
  </si>
  <si>
    <t xml:space="preserve">73 Rue de la Republique, Lyon, Auvergne-Rhone-Alpes, France, 69002</t>
  </si>
  <si>
    <t>Allaa</t>
  </si>
  <si>
    <t>Siam</t>
  </si>
  <si>
    <t>SRCI</t>
  </si>
  <si>
    <t>allaa.siam@srci.fr</t>
  </si>
  <si>
    <t>http://www.linkedin.com/in/allaa-siam-415123b5</t>
  </si>
  <si>
    <t>http://www.srci.fr</t>
  </si>
  <si>
    <t xml:space="preserve">Chartres, Centre, France</t>
  </si>
  <si>
    <t xml:space="preserve">Dématérialisez en toute sécurité. Les solutions innovantes d'échanges de documents par voie électronique sécurisée sont le coeur de métier de SRCI.</t>
  </si>
  <si>
    <t>Rossi</t>
  </si>
  <si>
    <t>Loditech</t>
  </si>
  <si>
    <t>e.rossi@loditech.fr</t>
  </si>
  <si>
    <t>http://www.linkedin.com/in/eric-rossi-2b3950252</t>
  </si>
  <si>
    <t>http://www.loditech.sn</t>
  </si>
  <si>
    <t xml:space="preserve">Avenue du Senegal, Dakar, Dakar, Senegal</t>
  </si>
  <si>
    <t>Heulin</t>
  </si>
  <si>
    <t xml:space="preserve">EIE FRANCE</t>
  </si>
  <si>
    <t>stephane.heulin@eiefrance.com</t>
  </si>
  <si>
    <t>http://www.linkedin.com/in/stephane-heulin-8893151</t>
  </si>
  <si>
    <t>http://www.eiefrance.com</t>
  </si>
  <si>
    <t xml:space="preserve">4060 Avenue Julien Panchot, Perpignan, Occitanie, France, 66000</t>
  </si>
  <si>
    <t xml:space="preserve">EIE installe depuis plus de 20 ans vos fermetures industrielles, équipements de quai et chambres froides dans vos bâtiments industriels.</t>
  </si>
  <si>
    <t>Renzo</t>
  </si>
  <si>
    <t>TERIA</t>
  </si>
  <si>
    <t>patrick.direnzo@reseau-teria.com</t>
  </si>
  <si>
    <t>http://www.linkedin.com/in/patrick-di-renzo-0a684418</t>
  </si>
  <si>
    <t>http://www.reseau-teria.com</t>
  </si>
  <si>
    <t xml:space="preserve">29 Rue Eugene Derrien, Vitry-sur-Seine, Ile-de-France, France, 94400</t>
  </si>
  <si>
    <t xml:space="preserve">TERIA démocratise le positionnement de haute précision au travers de solutions GNSS centimétriques temps réel - NRTK - RTK - SSR - PPP...</t>
  </si>
  <si>
    <t>Vinas</t>
  </si>
  <si>
    <t xml:space="preserve">Mobile Senior Developer - Co-founder</t>
  </si>
  <si>
    <t>MonkeyPatch.io</t>
  </si>
  <si>
    <t>emmanuel@monkeypatch.io</t>
  </si>
  <si>
    <t>http://www.linkedin.com/in/vinasemmanuel</t>
  </si>
  <si>
    <t>Doc'up</t>
  </si>
  <si>
    <t>isabelle.tharaud@doc-up.fr</t>
  </si>
  <si>
    <t>http://www.linkedin.com/in/isabelle-tharaud-6a71bb26</t>
  </si>
  <si>
    <t>http://www.doc-up.fr</t>
  </si>
  <si>
    <t xml:space="preserve">20 Rue d'Arras, Nanterre, Ile-de-France, France, 92000</t>
  </si>
  <si>
    <t xml:space="preserve">Optimisez l'affranchissement du courrier grâce à nos Equipements et Solutions Digitales, de la Machine A Affranchir à la Dématérialisation.</t>
  </si>
  <si>
    <t>Luquas</t>
  </si>
  <si>
    <t xml:space="preserve">Leroux Brochard</t>
  </si>
  <si>
    <t>eric.luquas@leroux-brochard.fr</t>
  </si>
  <si>
    <t>http://www.linkedin.com/in/%c3%a9ric-luquas-9581b1227</t>
  </si>
  <si>
    <t>http://www.leroux-brochard.fr</t>
  </si>
  <si>
    <t xml:space="preserve">3 Le Val 3, Herouville-Saint-Clair, Normandy, France, 14200</t>
  </si>
  <si>
    <t xml:space="preserve">Grossiste-stockiste, Leroux Brochard est le partenaire privilégié des professionnels de l’automobile et du Poids-Lourd. Ses ateliers Auto et son comptoir de pièces détachées Auto sont également à la disposition des particuliers.</t>
  </si>
  <si>
    <t>Essig</t>
  </si>
  <si>
    <t>MOTEN</t>
  </si>
  <si>
    <t>pessig@moten-tech.com</t>
  </si>
  <si>
    <t>http://www.linkedin.com/in/paulessig</t>
  </si>
  <si>
    <t>http://www.moten-tech.com</t>
  </si>
  <si>
    <t xml:space="preserve">1 Le Parvis, Ile-de-France, France, 92800</t>
  </si>
  <si>
    <t xml:space="preserve">Mesurer les efforts musculaires et diminuer les risques de troubles musculosquelettiques</t>
  </si>
  <si>
    <t>ASHTONE</t>
  </si>
  <si>
    <t>fdupont@ashtone.io</t>
  </si>
  <si>
    <t>http://www.linkedin.com/in/dupont-frederic</t>
  </si>
  <si>
    <t>http://www.ashtone.io</t>
  </si>
  <si>
    <t xml:space="preserve">11 Avenue Delcasse, Paris, Ile-de-France, France, 75008</t>
  </si>
  <si>
    <t xml:space="preserve">Co-founder, Scientific Advisor</t>
  </si>
  <si>
    <t>fabien@probabl.ai</t>
  </si>
  <si>
    <t>http://www.linkedin.com/in/fabiengandon</t>
  </si>
  <si>
    <t>Chatendeau</t>
  </si>
  <si>
    <t xml:space="preserve">ACGV Services</t>
  </si>
  <si>
    <t>christophe.chatendeau@acgvservices.fr</t>
  </si>
  <si>
    <t>http://www.linkedin.com/in/christophe-chatendeau-232bab70</t>
  </si>
  <si>
    <t>http://www.acgvservices.fr</t>
  </si>
  <si>
    <t xml:space="preserve">La Rochelle, Poitou-Charentes, France</t>
  </si>
  <si>
    <t>Pierre-Jean</t>
  </si>
  <si>
    <t>Liardou</t>
  </si>
  <si>
    <t xml:space="preserve">BrightLoop Converters</t>
  </si>
  <si>
    <t>pj.liardou@brightloop.fr</t>
  </si>
  <si>
    <t>http://www.linkedin.com/in/pierre-jean-liardou-2737475b</t>
  </si>
  <si>
    <t>http://www.brightloop.fr</t>
  </si>
  <si>
    <t xml:space="preserve">221 Boulevard Davout, Paris, Ile-de-France, France, 75020</t>
  </si>
  <si>
    <t xml:space="preserve">BrightLoop develops and manufactures universal, scalable power converters that manage multiple power flows up to the megawatt range with unprecedented power density and efficiency.</t>
  </si>
  <si>
    <t xml:space="preserve">COMAC France</t>
  </si>
  <si>
    <t>bertrand.roussel@comac-france.com</t>
  </si>
  <si>
    <t>http://www.linkedin.com/in/bertrand-roussel-22732727</t>
  </si>
  <si>
    <t>http://www.comac-france.com</t>
  </si>
  <si>
    <t xml:space="preserve">173 Avenue Charlie Chaplin, Saint-Priest, Auvergne-Rhone-Alpes, France, 69800</t>
  </si>
  <si>
    <t xml:space="preserve">Comac SpA fabrique des autolaveuses, balayeuses, appareils de désinfection professionnels qui aident à améliorer l'environnement et la vie des personnes, en fournissant de nettoyage intérieures et extérieures.</t>
  </si>
  <si>
    <t>Fresnay</t>
  </si>
  <si>
    <t xml:space="preserve">Founder and CTO</t>
  </si>
  <si>
    <t>Excense</t>
  </si>
  <si>
    <t>pascal.fresnay@excense.fr</t>
  </si>
  <si>
    <t>http://www.linkedin.com/in/pascal-fresnay-69b4b636</t>
  </si>
  <si>
    <t>http://www.excense.fr</t>
  </si>
  <si>
    <t xml:space="preserve">4 Rue de Montfort, Rennes, Brittany, France, 35000</t>
  </si>
  <si>
    <t xml:space="preserve">Compositeur Digital transforms a touch screen into a powerful tool for operational efficiency and decision-making at business meetings.</t>
  </si>
  <si>
    <t>Landais</t>
  </si>
  <si>
    <t>maxime.landais@tdo85.fr</t>
  </si>
  <si>
    <t>http://www.linkedin.com/in/maxime-landais-b9787744</t>
  </si>
  <si>
    <t>Albouy</t>
  </si>
  <si>
    <t xml:space="preserve">Co-fondateur &amp; Consultant PMO et CRM</t>
  </si>
  <si>
    <t xml:space="preserve">E-volve C&amp;S</t>
  </si>
  <si>
    <t>galbouy@nordnet.fr</t>
  </si>
  <si>
    <t>http://www.linkedin.com/in/gillesalbouy</t>
  </si>
  <si>
    <t>http://www.e-volve.fr</t>
  </si>
  <si>
    <t xml:space="preserve">Notre métier, c’est de trouver des talents pour organiser, développer et accompagner vos équipes vers le succès.</t>
  </si>
  <si>
    <t>Log</t>
  </si>
  <si>
    <t>olivier.roussel@wearelog.fr</t>
  </si>
  <si>
    <t>http://www.linkedin.com/in/olivier-roussel-7699b25</t>
  </si>
  <si>
    <t>http://www.log.consulting</t>
  </si>
  <si>
    <t xml:space="preserve">Founder &amp; Chief Executive Dékuple B2B</t>
  </si>
  <si>
    <t xml:space="preserve">Dékuple ingénierie marketing B2B</t>
  </si>
  <si>
    <t>sherve@awe.fr</t>
  </si>
  <si>
    <t>http://www.linkedin.com/in/sylvainherve</t>
  </si>
  <si>
    <t>http://www.awe.fr</t>
  </si>
  <si>
    <t xml:space="preserve">24 Rue du President Wilson, Levallois-Perret, Ile-de-France, France, 92300</t>
  </si>
  <si>
    <t>Louis-Simon</t>
  </si>
  <si>
    <t>Leaderia</t>
  </si>
  <si>
    <t>louis-simon.faure@leaderia.com</t>
  </si>
  <si>
    <t>http://www.linkedin.com/in/louissimonfaure</t>
  </si>
  <si>
    <t>http://www.leaderia.com</t>
  </si>
  <si>
    <t xml:space="preserve">6 Rue de la Pepiniere, Paris, Ile-de-France, France, 75008</t>
  </si>
  <si>
    <t xml:space="preserve">Leaderia est un cabinet de recrutement de cadres et dirigeants pour les filières agricole, agroalimentaire et de l'hôtellerie-restauration</t>
  </si>
  <si>
    <t>Divo</t>
  </si>
  <si>
    <t xml:space="preserve">Mobilités Demain</t>
  </si>
  <si>
    <t>sylvain.divo@mobilites-demain.com</t>
  </si>
  <si>
    <t>http://www.linkedin.com/in/sylvain-divo-54b36986</t>
  </si>
  <si>
    <t>http://www.mobilites-demain.com</t>
  </si>
  <si>
    <t xml:space="preserve">8 Rue Martel, Paris, Ile-de-France, France, 75010</t>
  </si>
  <si>
    <t xml:space="preserve">Mobilités Demain vous aide à adopter des transports plus propres et plus verts pour vos collaborateurs. Découvrez nos services et solutions pour transformer votre mobilité d'entreprise avec le vélo et d'autres alternatives durables. Pionniers de l'innovation écologique, nous construisons un avenir où chaque trajet compte.</t>
  </si>
  <si>
    <t>Calvez-Pignot</t>
  </si>
  <si>
    <t>Ocode</t>
  </si>
  <si>
    <t>alice@o-code.co</t>
  </si>
  <si>
    <t>http://www.linkedin.com/in/calvez-pignot-alice-0bbb492</t>
  </si>
  <si>
    <t>http://www.ocode.fr</t>
  </si>
  <si>
    <t xml:space="preserve">Authentifiez vos produits par le marquage d'un code unique qui fait le lien 
entre un produit durable et son passeport numérique.</t>
  </si>
  <si>
    <t>Tordjman</t>
  </si>
  <si>
    <t>ltordjman@la-fonderie.fr</t>
  </si>
  <si>
    <t>http://www.linkedin.com/in/laurent-tordjman-03479134</t>
  </si>
  <si>
    <t>Gael</t>
  </si>
  <si>
    <t>MURENA</t>
  </si>
  <si>
    <t>gael.duval@murena.com</t>
  </si>
  <si>
    <t>http://www.linkedin.com/in/gaelduvalprofile</t>
  </si>
  <si>
    <t>http://www.murena.com</t>
  </si>
  <si>
    <t xml:space="preserve">14 Rue Charles V, Paris, Ile-de-France, France, 75004</t>
  </si>
  <si>
    <t xml:space="preserve">Escape the digital surveillance now.
We combine privacy by design smartphones with safe and transparent online services.</t>
  </si>
  <si>
    <t>Pettit</t>
  </si>
  <si>
    <t>Greenbids</t>
  </si>
  <si>
    <t>jb@greenbids.ai</t>
  </si>
  <si>
    <t>http://www.linkedin.com/in/jbogp</t>
  </si>
  <si>
    <t>http://www.greenbids.ai</t>
  </si>
  <si>
    <t>Walk</t>
  </si>
  <si>
    <t xml:space="preserve">The Social Republic</t>
  </si>
  <si>
    <t>elodie@thesocialrepublic.fr</t>
  </si>
  <si>
    <t>http://www.linkedin.com/in/elodie-biagiotti-walk-26628511</t>
  </si>
  <si>
    <t>http://www.thesocialrepublic.fr</t>
  </si>
  <si>
    <t xml:space="preserve">6 Boulevard des Capucines, Paris, Ile-de-France, France, 75009</t>
  </si>
  <si>
    <t>Reynes</t>
  </si>
  <si>
    <t>SIPPRO</t>
  </si>
  <si>
    <t>louis@sippro.fr</t>
  </si>
  <si>
    <t>http://www.linkedin.com/in/louis-reynes-42925ab4</t>
  </si>
  <si>
    <t>http://www.sippro.fr</t>
  </si>
  <si>
    <t xml:space="preserve">13 Avenue de Mauguio, Candillargues, Languedoc-Roussillon, France, 34130</t>
  </si>
  <si>
    <t xml:space="preserve">Distributeur, concepteur et intégrateur de solutions de sûreté pour les professionnels : vidéoprotection, contrôle d'accès, cybersécurité et intrusion.</t>
  </si>
  <si>
    <t>Ricci</t>
  </si>
  <si>
    <t>Mob-Energy</t>
  </si>
  <si>
    <t>sebastien.ricci@mob-energy.com</t>
  </si>
  <si>
    <t>http://www.linkedin.com/in/sebastienricci</t>
  </si>
  <si>
    <t>http://www.mob-energy.com</t>
  </si>
  <si>
    <t xml:space="preserve">66 Boulevard Niels Bohr, Villeurbanne, Auvergne-Rhone-Alpes, France, 69100</t>
  </si>
  <si>
    <t xml:space="preserve">Mob-Energy produit, déploie et supervise, en France, des solutions de recharge intelligentes basées sur le stockage d'énergie en batteries de seconde vie.</t>
  </si>
  <si>
    <t>Sanjeev</t>
  </si>
  <si>
    <t>NESS</t>
  </si>
  <si>
    <t>sanjeev.francisxavier@nesstechnologies.fr</t>
  </si>
  <si>
    <t>http://www.linkedin.com/in/sanjeev-francis-xavier-3212a718a</t>
  </si>
  <si>
    <t>http://www.nesstechnologies.fr</t>
  </si>
  <si>
    <t xml:space="preserve">Saint-Michel-sur-Orge, Ile-de-France, France, 91240</t>
  </si>
  <si>
    <t xml:space="preserve">Nous intervenons sur les projets liés à l’infrastructure, le cloud, l’IA, le support et la réalisation de solutions applicatives.</t>
  </si>
  <si>
    <t>KEMP</t>
  </si>
  <si>
    <t>jclaporte@kempetfils.com</t>
  </si>
  <si>
    <t>http://www.linkedin.com/in/jean-christophe-laporte-b81b646</t>
  </si>
  <si>
    <t>http://www.kemp.es</t>
  </si>
  <si>
    <t xml:space="preserve">44 Avenida de Fuencarral, Alcobendas, Community of Madrid, Spain, 28108</t>
  </si>
  <si>
    <t>Sele</t>
  </si>
  <si>
    <t>Wisper</t>
  </si>
  <si>
    <t>eric.sele@wisper.io</t>
  </si>
  <si>
    <t>http://www.linkedin.com/in/eric-sele-0a2307</t>
  </si>
  <si>
    <t>http://www.wisper.io</t>
  </si>
  <si>
    <t xml:space="preserve">1 Rue Anatole France, Levallois-Perret, Ile-de-France, France, 92300</t>
  </si>
  <si>
    <t xml:space="preserve">Wisper, éditeur français indépendant, offre une solution de gestion centralisée des postes de travail, combinant simplicité, sécurité et flexibilité.</t>
  </si>
  <si>
    <t>Grangeon</t>
  </si>
  <si>
    <t xml:space="preserve">Associate Managing Director / Directeur Général &amp; Associé</t>
  </si>
  <si>
    <t xml:space="preserve">Usercube now part of Netwrix</t>
  </si>
  <si>
    <t>christophe.grangeon@usercube.com</t>
  </si>
  <si>
    <t>http://www.linkedin.com/in/christophegrangeon</t>
  </si>
  <si>
    <t>http://www.usercube.com</t>
  </si>
  <si>
    <t xml:space="preserve">Brussels, Brussels, Belgium</t>
  </si>
  <si>
    <t>Boutin</t>
  </si>
  <si>
    <t xml:space="preserve">Digital Vision</t>
  </si>
  <si>
    <t>jfboutin@digital-vision.tv</t>
  </si>
  <si>
    <t>http://www.linkedin.com/in/jean-fran%c3%a7ois-boutin-44983b1a3</t>
  </si>
  <si>
    <t>http://www.digitalvision.lu</t>
  </si>
  <si>
    <t xml:space="preserve">4 Am Hock, Weiswampach, Diekirch, Luxembourg, 9991</t>
  </si>
  <si>
    <t xml:space="preserve">Services informatiques Digital Vision Weiswampach - Qu'il s'agisse de solutions cloud, de programmation ou d'infrastructures informatiques, nous avons des solutions sur mesure pour votre entreprise à Weiswampach et au Luxembourg</t>
  </si>
  <si>
    <t xml:space="preserve">LOUIS DUPONT</t>
  </si>
  <si>
    <t>gdupont@louis-dupont.com</t>
  </si>
  <si>
    <t>http://www.linkedin.com/in/guillaumedupont1</t>
  </si>
  <si>
    <t>http://www.louis-dupont.com</t>
  </si>
  <si>
    <t xml:space="preserve">18 Rue Theodule Ribot, Paris, Ile-de-France, France, 75017</t>
  </si>
  <si>
    <t xml:space="preserve">Louis Dupont is a specialist in Executive Interim Management combining Expertise, Performance and Agility, in France and abroad.</t>
  </si>
  <si>
    <t>Charentenay</t>
  </si>
  <si>
    <t>NUDE</t>
  </si>
  <si>
    <t>cdecharentenay@nude.eu</t>
  </si>
  <si>
    <t>http://www.linkedin.com/in/cyril-de-charentenay-16761731</t>
  </si>
  <si>
    <t>http://www.nude.eu</t>
  </si>
  <si>
    <t xml:space="preserve">Basée à Paris et à Shanghai, Nude est une agence qui vous accompagne dans la stratégie, le branding et la communication de vos projets.</t>
  </si>
  <si>
    <t>Vovard</t>
  </si>
  <si>
    <t xml:space="preserve">Sales &amp; Marketing &amp; Co-fondatrice</t>
  </si>
  <si>
    <t>Smartvideo</t>
  </si>
  <si>
    <t>virginie.vovard@smart-video.fr</t>
  </si>
  <si>
    <t>http://www.linkedin.com/in/virginie-vovard</t>
  </si>
  <si>
    <t>http://www.smartevo.ai</t>
  </si>
  <si>
    <t xml:space="preserve">Piloter votre activité et suivre vos projets créatifs n’aura jamais été si facile. Fluidifiez vos processus grâce à SmartEvo...</t>
  </si>
  <si>
    <t>Maximilien</t>
  </si>
  <si>
    <t>Barbe</t>
  </si>
  <si>
    <t xml:space="preserve">Aster Consulting</t>
  </si>
  <si>
    <t>maximilien.barbe@asterconsulting.fr</t>
  </si>
  <si>
    <t>http://www.linkedin.com/in/maximilien-barb%c3%a9-179a83a8</t>
  </si>
  <si>
    <t>http://www.asterconsulting.fr</t>
  </si>
  <si>
    <t xml:space="preserve">67 Rue Saint-Jacques, Paris, Ile-de-France, France, 75005</t>
  </si>
  <si>
    <t>Legrain</t>
  </si>
  <si>
    <t xml:space="preserve">Novem Consulting</t>
  </si>
  <si>
    <t>jlegrain@novem-consulting.com</t>
  </si>
  <si>
    <t>http://www.linkedin.com/in/jerome-legrain-7780a11</t>
  </si>
  <si>
    <t>http://www.novem-consulting.com</t>
  </si>
  <si>
    <t xml:space="preserve">5 Rue Lamennais, Paris, Ile-de-France, France, 75008</t>
  </si>
  <si>
    <t>Benzaghou</t>
  </si>
  <si>
    <t>Askware</t>
  </si>
  <si>
    <t>karim.benzaghou@askware.com</t>
  </si>
  <si>
    <t>http://www.linkedin.com/in/karim-benzaghou</t>
  </si>
  <si>
    <t>http://www.askware.com</t>
  </si>
  <si>
    <t xml:space="preserve">Beryl is a responsive HTML5 coming soon template by Hencework.</t>
  </si>
  <si>
    <t>Montillaud</t>
  </si>
  <si>
    <t xml:space="preserve">Gérant et fondateur</t>
  </si>
  <si>
    <t xml:space="preserve">Quartz Insight</t>
  </si>
  <si>
    <t>christian.montillaud@quartz-insight.com</t>
  </si>
  <si>
    <t>http://www.linkedin.com/in/christian-montillaud-56302446</t>
  </si>
  <si>
    <t>http://www.quartz-insight.com</t>
  </si>
  <si>
    <t xml:space="preserve">17 Rue Pierre Mignard, Gennevilliers, Ile-de-France, France, 92230</t>
  </si>
  <si>
    <t xml:space="preserve">Welcome to Quartz Insight's Official website. Our company is a consulting / software editor firm specialized in EPM and BI.</t>
  </si>
  <si>
    <t>Decre</t>
  </si>
  <si>
    <t>quentin@jarvi.tech</t>
  </si>
  <si>
    <t>http://www.linkedin.com/in/quentindecre</t>
  </si>
  <si>
    <t>Wibaux</t>
  </si>
  <si>
    <t>Qualidata</t>
  </si>
  <si>
    <t>fwibaux@qualidata.fr</t>
  </si>
  <si>
    <t>http://www.linkedin.com/in/franck-wibaux-a4750795</t>
  </si>
  <si>
    <t>http://www.qualidata.fr</t>
  </si>
  <si>
    <t xml:space="preserve">4 Rue Bernard Palissy, Puteaux, Ile-de-France, France, 92800</t>
  </si>
  <si>
    <t xml:space="preserve">CEO &amp; Founder of Fury Lan</t>
  </si>
  <si>
    <t xml:space="preserve">RESEAU LOCAL</t>
  </si>
  <si>
    <t>frederick@reseaulocal.com</t>
  </si>
  <si>
    <t>http://www.linkedin.com/in/fredoblaze</t>
  </si>
  <si>
    <t>http://www.reseaulocal.com</t>
  </si>
  <si>
    <t>Cormery</t>
  </si>
  <si>
    <t xml:space="preserve">11 Rue des Grandes-Cultures, Montreuil, Ile-de-France, France, 93100</t>
  </si>
  <si>
    <t xml:space="preserve">Réseau Local offre des solutions techniques pour vos événements gaming : PC 
RTX 4080, i7, écrans 4K, consoles PS5... Parfait pour les salons B2B, 
compétitions esport, soirées de lancement, événement presse...</t>
  </si>
  <si>
    <t>Chardes</t>
  </si>
  <si>
    <t>s.chardes@kemtec.fr</t>
  </si>
  <si>
    <t>http://www.linkedin.com/in/st%c3%a9phane-chardes</t>
  </si>
  <si>
    <t>http://www.kemtec-ingenierie.fr</t>
  </si>
  <si>
    <t xml:space="preserve">1286 Route du Bas Privas, Charly, Rhone-Alpes, France, 69390</t>
  </si>
  <si>
    <t>Bellatig</t>
  </si>
  <si>
    <t>FranceVerif</t>
  </si>
  <si>
    <t>mehdi@franceverif.fr</t>
  </si>
  <si>
    <t>http://www.linkedin.com/in/mehdibellatig</t>
  </si>
  <si>
    <t>http://www.franceverif.fr</t>
  </si>
  <si>
    <t xml:space="preserve">FranceVerif analyse les sites e-commerce afin de détecter toute arnaque possible, et ce en analysant des dizaines de critères différents récoltés partout sur internet afin de prédire si  un site e-commerce est une arnaque ou pas, et si le consommateur peut acheter en toute confiance.</t>
  </si>
  <si>
    <t>Tudesq</t>
  </si>
  <si>
    <t xml:space="preserve">Magma Technology</t>
  </si>
  <si>
    <t>adrien.tudesq@magmatechnology.io</t>
  </si>
  <si>
    <t>http://www.linkedin.com/in/adrien-tudesq-880b9326</t>
  </si>
  <si>
    <t>http://www.magmatechnology.io</t>
  </si>
  <si>
    <t xml:space="preserve">48 Rue Rene Clair, Paris, Ile-de-France, France, 75018</t>
  </si>
  <si>
    <t xml:space="preserve">Simplifiez la traçabilité logistique avec Magma Technology : des solutions IoT et SaaS pour optimiser vos livraisons et contenants.</t>
  </si>
  <si>
    <t>Gwendal</t>
  </si>
  <si>
    <t>Mouchard</t>
  </si>
  <si>
    <t xml:space="preserve">Co-fondateur - Associé</t>
  </si>
  <si>
    <t>gwendal.mouchard@lyde-conseil.com</t>
  </si>
  <si>
    <t>http://www.linkedin.com/in/gwendal-mouchard-lyde</t>
  </si>
  <si>
    <t>http://www.lyde-conseil.com</t>
  </si>
  <si>
    <t xml:space="preserve">344 Bureaux de la Colline de St-Cloud, Saint-Cloud, Ile-de-France, France, 92210</t>
  </si>
  <si>
    <t>Hernot</t>
  </si>
  <si>
    <t>Calmedica</t>
  </si>
  <si>
    <t>alexis.hernot@calmedica.com</t>
  </si>
  <si>
    <t>http://www.linkedin.com/in/alexis-hernot-58a1a6</t>
  </si>
  <si>
    <t>http://www.calmedica.com</t>
  </si>
  <si>
    <t xml:space="preserve">40 Rue Beaujon, Paris, Ile-de-France, France, 75008</t>
  </si>
  <si>
    <t xml:space="preserve">Calmedica édite des solutions de télésuivi utilisant l'Intelligence Artificielle pour révolutionner le rapport entre le patient et le système de soin.</t>
  </si>
  <si>
    <t>Tostivint</t>
  </si>
  <si>
    <t xml:space="preserve">CoFounder &amp; Associate Partner / Strategic Accounts / Change &amp; Serious</t>
  </si>
  <si>
    <t>guillaume@urbangaming.com</t>
  </si>
  <si>
    <t>http://www.linkedin.com/in/gtostivint</t>
  </si>
  <si>
    <t>Boisseson</t>
  </si>
  <si>
    <t>Amalia</t>
  </si>
  <si>
    <t>guillaume.deboisseson@amalia.io</t>
  </si>
  <si>
    <t>http://www.linkedin.com/in/boisseson</t>
  </si>
  <si>
    <t>http://www.amalia.io</t>
  </si>
  <si>
    <t xml:space="preserve">Amalia.io provides an easy-to-use solution to manage sales compensation for finance, human resources, and operations teams.</t>
  </si>
  <si>
    <t>Regnier</t>
  </si>
  <si>
    <t>NuTerms</t>
  </si>
  <si>
    <t>stephan.regnier@nuterms.com</t>
  </si>
  <si>
    <t>http://www.linkedin.com/in/st%c3%a9phan-r%c3%a9gnier-a89173108</t>
  </si>
  <si>
    <t>http://www.nuterms.com</t>
  </si>
  <si>
    <t xml:space="preserve">22 Rue Chapon, Paris, Ile-de-France, France, 75003</t>
  </si>
  <si>
    <t>Pawel</t>
  </si>
  <si>
    <t>Wojnar</t>
  </si>
  <si>
    <t xml:space="preserve">INFOTEL SOFTWARE Sp. z o. o</t>
  </si>
  <si>
    <t>pawel.wojnar@infotel.wroc.pl</t>
  </si>
  <si>
    <t>http://www.linkedin.com/in/pawe%c5%82-wojnar-89b4a7101</t>
  </si>
  <si>
    <t>http://www.infotel-software.eu</t>
  </si>
  <si>
    <t xml:space="preserve">55 ulica Legnicka, Wroclaw, Wojewodztwo dolnoslaskie, Poland, 54-203</t>
  </si>
  <si>
    <t>Poland</t>
  </si>
  <si>
    <t>Debuiselle</t>
  </si>
  <si>
    <t>guillaume.debuiselle@lesjules.com</t>
  </si>
  <si>
    <t>http://www.linkedin.com/in/guillaume-debuiselle-2837a267</t>
  </si>
  <si>
    <t>Wolff</t>
  </si>
  <si>
    <t xml:space="preserve">STRATOW your archived documents</t>
  </si>
  <si>
    <t>marc.wolff@stratow.com</t>
  </si>
  <si>
    <t>http://www.linkedin.com/in/marcwolff</t>
  </si>
  <si>
    <t>http://www.stratow.com</t>
  </si>
  <si>
    <t xml:space="preserve">11 Rue Tronchet, Paris, Ile-de-France, France, 75008</t>
  </si>
  <si>
    <t xml:space="preserve">Solution cloud de dématérialisation factures fournisseurs: factur-X, OCR, extraction de données, validation,factur x, export ERP, archivage, facturx. 
www.stratow.com STRATOW</t>
  </si>
  <si>
    <t>Chappe</t>
  </si>
  <si>
    <t>TheGreenBow</t>
  </si>
  <si>
    <t>jerome.chappe@thegreenbow.com</t>
  </si>
  <si>
    <t>http://www.linkedin.com/in/j%c3%a9r%c3%b4me-chappe-a47ab83</t>
  </si>
  <si>
    <t>http://www.thegreenbow.com</t>
  </si>
  <si>
    <t xml:space="preserve">Éditeur français de logiciels de Cybersécurité, TheGreenBow solutions VPN IPsec de confiance pour entreprises, administrations, OIV/OSE, PME/TPE.</t>
  </si>
  <si>
    <t>Sami</t>
  </si>
  <si>
    <t xml:space="preserve">CTO / Co Founder</t>
  </si>
  <si>
    <t xml:space="preserve">Josh Digital Agency</t>
  </si>
  <si>
    <t>spoirier@josh-digital.com</t>
  </si>
  <si>
    <t>http://www.linkedin.com/in/sami-poirier-a8057948</t>
  </si>
  <si>
    <t>http://www.josh-digital.com</t>
  </si>
  <si>
    <t xml:space="preserve">88TER Avenue du General Leclerc, Boulogne-Billancourt, Ile-de-France, France, 92100</t>
  </si>
  <si>
    <t xml:space="preserve">Nous sommes une Agence Tech française spécialisée dans la conception UX/UI et le développement technique sur mesure d'applications numériques (web/mobile).</t>
  </si>
  <si>
    <t>Coiffier</t>
  </si>
  <si>
    <t>Asterop</t>
  </si>
  <si>
    <t>luc.coiffier@asterop.com</t>
  </si>
  <si>
    <t>http://www.linkedin.com/in/luc-coiffier-54785812</t>
  </si>
  <si>
    <t>http://www.asterop.com</t>
  </si>
  <si>
    <t xml:space="preserve">5 Avenue de Verdun, Ivry-sur-Seine, Ile-de-France, France, 94200</t>
  </si>
  <si>
    <t xml:space="preserve">Directeur de projet, Directeur Général</t>
  </si>
  <si>
    <t xml:space="preserve">La Soderec</t>
  </si>
  <si>
    <t>crobin@lasoderec.com</t>
  </si>
  <si>
    <t>http://www.linkedin.com/in/christophe-robin-bb0017104</t>
  </si>
  <si>
    <t>http://www.lasoderec.com</t>
  </si>
  <si>
    <t xml:space="preserve">6 Avenue Gourgaud, Paris, Ile-de-France, France, 75017</t>
  </si>
  <si>
    <t xml:space="preserve">Acteur de premier plan dans l’assistance à maîtrise d’ouvrage, la Soderec accompagne les personnes publiques et privées pour leurs besoins immobiliers</t>
  </si>
  <si>
    <t>Piquot</t>
  </si>
  <si>
    <t xml:space="preserve">Directeur général délégué &amp; Expert technique/Infra Dynamics AX</t>
  </si>
  <si>
    <t>FiveForty</t>
  </si>
  <si>
    <t>jpiquot@fiveforty.fr</t>
  </si>
  <si>
    <t>http://www.linkedin.com/in/j%c3%a9r%c3%b4me-piquot</t>
  </si>
  <si>
    <t>http://www.fiveforty-group.com</t>
  </si>
  <si>
    <t>Bischoffsheim</t>
  </si>
  <si>
    <t xml:space="preserve">Écoute, partage, innovation : FiveForty l'approche qui nous rapproche</t>
  </si>
  <si>
    <t>Friess</t>
  </si>
  <si>
    <t>michael@jumbomana.com</t>
  </si>
  <si>
    <t>http://www.linkedin.com/in/michaelfriess</t>
  </si>
  <si>
    <t>http://www.jumbomana.com</t>
  </si>
  <si>
    <t xml:space="preserve">14 Rue du Brochet, Schiltigheim, Grand Est, France, 67300</t>
  </si>
  <si>
    <t>Rochias</t>
  </si>
  <si>
    <t xml:space="preserve">Christine Goitschel Sports</t>
  </si>
  <si>
    <t>johann@goitschelsport.com</t>
  </si>
  <si>
    <t>http://www.linkedin.com/in/johann-rochias-7b944a148</t>
  </si>
  <si>
    <t>http://www.goitschelsport.com</t>
  </si>
  <si>
    <t xml:space="preserve">Les Belleville, Auvergne-Rhone-Alpes, France, 73440</t>
  </si>
  <si>
    <t xml:space="preserve">Location de Ski à Val Thorens. 5 magasins dédiés à la location de ski à Val Thorens. Experts depuis plus de 40 années.</t>
  </si>
  <si>
    <t xml:space="preserve">Director, co-founder</t>
  </si>
  <si>
    <t>Manae</t>
  </si>
  <si>
    <t>stephane.moreau@manae.io</t>
  </si>
  <si>
    <t>http://www.linkedin.com/in/stephane-moreau-architect</t>
  </si>
  <si>
    <t>http://www.manae.io</t>
  </si>
  <si>
    <t xml:space="preserve">Manae est un cabinet de conseil innovant, spécialiste de l'architecture et du Cloud</t>
  </si>
  <si>
    <t>Slimane</t>
  </si>
  <si>
    <t>Rahmani</t>
  </si>
  <si>
    <t>slimane.rahmani@first-conseil.com</t>
  </si>
  <si>
    <t>http://www.linkedin.com/in/slimane-rahmani-240a3830</t>
  </si>
  <si>
    <t>Verdeaux</t>
  </si>
  <si>
    <t xml:space="preserve">Groupe PARTELIO</t>
  </si>
  <si>
    <t>lverdeaux@partelio.fr</t>
  </si>
  <si>
    <t>http://www.linkedin.com/in/lionel-verdeaux-5b922913</t>
  </si>
  <si>
    <t>http://www.partelio.fr</t>
  </si>
  <si>
    <t xml:space="preserve">5 Boulevard des Bouvets, Paris, Ile-de-France, France, 92000</t>
  </si>
  <si>
    <t>Greven</t>
  </si>
  <si>
    <t>ae&amp;t</t>
  </si>
  <si>
    <t>eric.greven@aet.fr</t>
  </si>
  <si>
    <t>http://www.linkedin.com/in/eric-greven-b936558b</t>
  </si>
  <si>
    <t>http://www.aet.fr</t>
  </si>
  <si>
    <t xml:space="preserve">4 Impasse Joliot-Curie, Jurancon, Aquitaine, France, 64110</t>
  </si>
  <si>
    <t xml:space="preserve">MANUFACTURER OF COMMUNICATING SOLUTIONS FOR THE PROTECTION OF PERSONS SINCE 1976 For more than 40 years now, ae&amp;t has been designing, manufacturing and distributing innovative safety solutions for industrial sites, ATEX environments and communities. With more than 3,600 references, the wide variety of our audible and visual alarm series, warning networks, communication systems, and protective equipment we produce for goods and people enable us to meet our clients’ diverse needs for alerting and emergency evacuation and contingency plans</t>
  </si>
  <si>
    <t>Cochou</t>
  </si>
  <si>
    <t xml:space="preserve">La Ruche à Vélos</t>
  </si>
  <si>
    <t>antoine.cochou@lrav.fr</t>
  </si>
  <si>
    <t>http://www.linkedin.com/in/antoine-cochou-06629312b</t>
  </si>
  <si>
    <t>http://www.larucheavelos.fr</t>
  </si>
  <si>
    <t xml:space="preserve">2 Rue Alfred Kastler, Nantes, Pays de la Loire, France, 44300</t>
  </si>
  <si>
    <t xml:space="preserve">Gammes Parkings vélos sécurisés : Individuel, Partagé, Collectif | Gestion d'accès | Interfaces cyclistes | Caméra | Piloter le stationnement vélo efficacement</t>
  </si>
  <si>
    <t>Schweitzer</t>
  </si>
  <si>
    <t>SAHAR</t>
  </si>
  <si>
    <t>gauthier@sahar.fr</t>
  </si>
  <si>
    <t>http://www.linkedin.com/in/gauthier-schweitzer-3b354b3a</t>
  </si>
  <si>
    <t>http://www.sahar.fr</t>
  </si>
  <si>
    <t xml:space="preserve">10 Rue Fromentin, Paris, Ile-de-France, France, 75009</t>
  </si>
  <si>
    <t xml:space="preserve">Sahar streamlines the collection, processing, and analysis of vast amounts of data from the OSINT space.</t>
  </si>
  <si>
    <t>Giuliani</t>
  </si>
  <si>
    <t>Kotzilla</t>
  </si>
  <si>
    <t>arnaud@kotzilla.io</t>
  </si>
  <si>
    <t>http://www.linkedin.com/in/arnaud-giuliani-0b2b73b</t>
  </si>
  <si>
    <t>http://www.kotzilla.io</t>
  </si>
  <si>
    <t xml:space="preserve">Kotzilla: Architects of the Koin Open Source Framework</t>
  </si>
  <si>
    <t>Provencal</t>
  </si>
  <si>
    <t xml:space="preserve">Cofounder, Strategy Director.</t>
  </si>
  <si>
    <t>Brightness</t>
  </si>
  <si>
    <t>michel@brightness.fr</t>
  </si>
  <si>
    <t>http://www.linkedin.com/in/mikiane</t>
  </si>
  <si>
    <t>http://www.brightness.fr</t>
  </si>
  <si>
    <t xml:space="preserve">115 Rue du Faubourg du Temple, Paris, Ile-de-France, France, 75010</t>
  </si>
  <si>
    <t xml:space="preserve">Nous sommes Brightness. Notre mission : nous aidons les organisations à 
favoriser l’engagement et à développer le potentiel de leurs 
collaborateurs. Nous supportons TEDxParis depuis 2009 et avons créé les 
communautés d'innovateurs L'Echappée Volée et Boma.</t>
  </si>
  <si>
    <t>CERESCO</t>
  </si>
  <si>
    <t>bertrand.oudin@blezatconsulting.fr</t>
  </si>
  <si>
    <t>http://www.linkedin.com/in/bertrand-oudin-68633222</t>
  </si>
  <si>
    <t>http://www.ceresco.fr</t>
  </si>
  <si>
    <t xml:space="preserve">Passionnés par l’agriculture et l’alimentation, et investis dans nos différentes missions, nous offrons des solutions "sur-mesure" à nos clients.</t>
  </si>
  <si>
    <t>Alessandrini</t>
  </si>
  <si>
    <t>CELESTAL</t>
  </si>
  <si>
    <t>raphael.alessandrini@celestal.fr</t>
  </si>
  <si>
    <t>http://www.linkedin.com/in/raphaelalessandrini</t>
  </si>
  <si>
    <t>http://www.celestal.fr</t>
  </si>
  <si>
    <t xml:space="preserve">Notre mission ? Rendre possible ce qui est complexe et optimiser votre performance en approchant de façon agile les contraintes.</t>
  </si>
  <si>
    <t>Padie</t>
  </si>
  <si>
    <t>INTERSA</t>
  </si>
  <si>
    <t>padie@intersa.fr</t>
  </si>
  <si>
    <t>http://www.linkedin.com/in/florentpadie</t>
  </si>
  <si>
    <t>http://www.intersa.fr</t>
  </si>
  <si>
    <t xml:space="preserve">Intersa - Traitement enquêtes OPS/SLS et demandes de logements - Encaissement - Back-Office associations humanitaires/caritatives - Dématérialisation</t>
  </si>
  <si>
    <t>Memang</t>
  </si>
  <si>
    <t xml:space="preserve">Co Founder - COO</t>
  </si>
  <si>
    <t>Delfox</t>
  </si>
  <si>
    <t>alice.memang@delfox.net</t>
  </si>
  <si>
    <t>http://www.linkedin.com/in/alice-memang-934299127</t>
  </si>
  <si>
    <t>http://www.delfox.net</t>
  </si>
  <si>
    <t xml:space="preserve">16d Avenue Pythagore, Merignac, Nouvelle-Aquitaine, France, 33700</t>
  </si>
  <si>
    <t>Realmind</t>
  </si>
  <si>
    <t>Moche</t>
  </si>
  <si>
    <t>edenkia</t>
  </si>
  <si>
    <t>lmoche@edenkia.com</t>
  </si>
  <si>
    <t>http://www.linkedin.com/in/laurent-moch%c3%a9-1860b080</t>
  </si>
  <si>
    <t>http://www.edenkia.com</t>
  </si>
  <si>
    <t xml:space="preserve">155 Rue Anatole France, Levallois-Perret, Ile-de-France, France, 92300</t>
  </si>
  <si>
    <t xml:space="preserve">Choisissez Edenkia comme votre fournisseur d'électricité pour bénéficier d'un service fiable, de tarifs compétitifs et d'un engagement fort envers la durabilité.</t>
  </si>
  <si>
    <t>Khayat</t>
  </si>
  <si>
    <t>Geoloc</t>
  </si>
  <si>
    <t>s.khayat@geoloc-systems.com</t>
  </si>
  <si>
    <t>http://www.linkedin.com/in/said-khayat-34511819</t>
  </si>
  <si>
    <t>http://www.geoloc-systems.com</t>
  </si>
  <si>
    <t xml:space="preserve">14 Rue de Mantes, Colombes, Ile-de-France, France, 92700</t>
  </si>
  <si>
    <t>Pitet</t>
  </si>
  <si>
    <t xml:space="preserve">Fondateur, gérant</t>
  </si>
  <si>
    <t xml:space="preserve">Page Publique</t>
  </si>
  <si>
    <t>julien@pagepublique.com</t>
  </si>
  <si>
    <t>http://www.linkedin.com/in/julienpitet</t>
  </si>
  <si>
    <t>http://www.pagepublique.com</t>
  </si>
  <si>
    <t xml:space="preserve">Page Publique donne du sens à la vie publique et politique en accompagnant les collectivités territoriales et les élus dans leur communication.</t>
  </si>
  <si>
    <t>Kirill</t>
  </si>
  <si>
    <t>Zheleznov</t>
  </si>
  <si>
    <t>enty</t>
  </si>
  <si>
    <t>kzheleznov@enty.io</t>
  </si>
  <si>
    <t>http://www.linkedin.com/in/kirill-zheleznov-559257ab</t>
  </si>
  <si>
    <t>http://www.enty.io</t>
  </si>
  <si>
    <t xml:space="preserve">Tallinn, Harju County, Estonia</t>
  </si>
  <si>
    <t xml:space="preserve">All-in-one subscription for Invoicing, Contracts, Finances, and Pre-accounting of your European company</t>
  </si>
  <si>
    <t>Piveteau</t>
  </si>
  <si>
    <t xml:space="preserve">GROUPE PIVETEAU</t>
  </si>
  <si>
    <t>christian@piveteau-agri.fr</t>
  </si>
  <si>
    <t>http://www.linkedin.com/in/christian-piveteau-73a790234</t>
  </si>
  <si>
    <t>http://www.piveteau-agri.fr</t>
  </si>
  <si>
    <t xml:space="preserve">Val des Vignes, Nouvelle-Aquitaine, France, 16250</t>
  </si>
  <si>
    <t>Bossard</t>
  </si>
  <si>
    <t xml:space="preserve">Co-fondatrice - Accompagnement humain du changement, leadership et management</t>
  </si>
  <si>
    <t xml:space="preserve">Change &amp; Care</t>
  </si>
  <si>
    <t>valerie.bossard@changeandcare.com</t>
  </si>
  <si>
    <t>http://www.linkedin.com/in/valeriebossard</t>
  </si>
  <si>
    <t>http://www.changeandcare.com</t>
  </si>
  <si>
    <t xml:space="preserve">7 Rue Meyerbeer, Paris, Ile-de-France, France, 75009</t>
  </si>
  <si>
    <t xml:space="preserve">Faites émerger toute la puissance du collectif… pour réussir. De la start-up à la multinationale, nous intervenons partout où l’engagement joue un rôle déterminant pour la réussite des ambitions de l’entreprise.</t>
  </si>
  <si>
    <t>Delhomme</t>
  </si>
  <si>
    <t>5team</t>
  </si>
  <si>
    <t>alexandre.delhomme@e5group.fr</t>
  </si>
  <si>
    <t>http://www.linkedin.com/in/alexandre-delhomme-0346592</t>
  </si>
  <si>
    <t>http://www.5team.fr</t>
  </si>
  <si>
    <t xml:space="preserve">Larcay, Centre-Val de Loire, France, 37270</t>
  </si>
  <si>
    <t>Chapot</t>
  </si>
  <si>
    <t xml:space="preserve">Co-fondatrice et en charge de la biomécanique</t>
  </si>
  <si>
    <t>perrine@ochy.fr</t>
  </si>
  <si>
    <t>http://www.linkedin.com/in/perrine-chapot-2a808270</t>
  </si>
  <si>
    <t>Lesueur</t>
  </si>
  <si>
    <t>Beefirst</t>
  </si>
  <si>
    <t>d.lesueur@beefirst.io</t>
  </si>
  <si>
    <t>http://www.linkedin.com/in/delphine-lesueur-839873149</t>
  </si>
  <si>
    <t>http://www.beefirst.fr</t>
  </si>
  <si>
    <t xml:space="preserve">105 Rue Jules Guesde, Levallois-Perret, Ile-de-France, France, 92300</t>
  </si>
  <si>
    <t xml:space="preserve">Beefirst is a premier consulting and recruitment firm specializing in IT &amp; Digital. We excel in delivering top-tier talent and transformative projects across Healthcare, Finance &amp; Retail. Our services include staff augmentation, SOW, contingent, and comprehensive IT transformation. With a global presence in France, Canada, the USA, and Japan, we are committed to driving success through expertise, reliability, and excellence. Join us to build a future where technology and talent converge.</t>
  </si>
  <si>
    <t>Alleaume</t>
  </si>
  <si>
    <t xml:space="preserve">Groupe Decharenton</t>
  </si>
  <si>
    <t>richard.alleaume@groupedecharenton.fr</t>
  </si>
  <si>
    <t>http://www.linkedin.com/in/richard-alleaume-2863a2156</t>
  </si>
  <si>
    <t>http://www.groupedecharenton.fr</t>
  </si>
  <si>
    <t>Flers</t>
  </si>
  <si>
    <t xml:space="preserve">2 Rue Jacques Durrmeyer, Flers, Lower Normandy, France, 61100</t>
  </si>
  <si>
    <t>Laurenson</t>
  </si>
  <si>
    <t xml:space="preserve">Co-fondateur et Directeur de clientèle chez Initiative solutions</t>
  </si>
  <si>
    <t xml:space="preserve">Initiative CRM</t>
  </si>
  <si>
    <t>arnaud@initiative-crm.com</t>
  </si>
  <si>
    <t>http://www.linkedin.com/in/arnaud-laurenson-38754726</t>
  </si>
  <si>
    <t>http://www.initiative-crm.com</t>
  </si>
  <si>
    <t xml:space="preserve">11 Avenue General de Gaulle, Valreas, Provence-Alpes-Cote d'Azur, France, 84600</t>
  </si>
  <si>
    <t xml:space="preserve">Décuplez enfin votre efficacité commerciale ! Initiative CRM est une solution unique de suivi commercial. Essayez maintenant !</t>
  </si>
  <si>
    <t>Amurtha</t>
  </si>
  <si>
    <t>Asokumar</t>
  </si>
  <si>
    <t xml:space="preserve">ASOKUMAR GROUP OF COMPANIES</t>
  </si>
  <si>
    <t>amurtha@asokumar.com</t>
  </si>
  <si>
    <t>http://www.linkedin.com/in/amurtha-asokumar-a5595a116</t>
  </si>
  <si>
    <t>http://www.asokumar.com</t>
  </si>
  <si>
    <t xml:space="preserve">Puducherry, Puducherry, India, 605002</t>
  </si>
  <si>
    <t>Grais</t>
  </si>
  <si>
    <t xml:space="preserve">Cofounder &amp; CPTO</t>
  </si>
  <si>
    <t>kapptivate</t>
  </si>
  <si>
    <t>alexandre.grais@kapptivate.com</t>
  </si>
  <si>
    <t>http://www.linkedin.com/in/alexandre-grais-07b74926</t>
  </si>
  <si>
    <t>http://www.kapptivate.com</t>
  </si>
  <si>
    <t xml:space="preserve">Reduce your testing cycles from 3 days to 3 hours, and gain 24/7 confidence in all your digital services. Web, API, Mobile App, USSD &amp; SMS, Mobile Networks, Voice &amp; IVR.</t>
  </si>
  <si>
    <t>Backe</t>
  </si>
  <si>
    <t>Heuritech</t>
  </si>
  <si>
    <t>laurence.backe@heuritech.com</t>
  </si>
  <si>
    <t>http://www.linkedin.com/in/laurence-backe-a966704b</t>
  </si>
  <si>
    <t>http://www.heuritech.com</t>
  </si>
  <si>
    <t xml:space="preserve">134 Rue Legendre, Paris, Ile-de-France, France, 75017</t>
  </si>
  <si>
    <t xml:space="preserve">Heuritech offers AI-powered insights that leverage market &amp; consumer data to quantify and predict what people wear for fashion companies.</t>
  </si>
  <si>
    <t>Grasswill</t>
  </si>
  <si>
    <t xml:space="preserve">Co-fondateur &amp; Business Strategist</t>
  </si>
  <si>
    <t>julien.grasswill@adeliom.com</t>
  </si>
  <si>
    <t>http://www.linkedin.com/in/jgrasswill</t>
  </si>
  <si>
    <t>http://www.adeliom.com</t>
  </si>
  <si>
    <t xml:space="preserve">Nous combinons stratégie business, UX, développement et data pour maximiser les résultats vos projets web, mobiles et e-commerce avec des solutions sur mesure.</t>
  </si>
  <si>
    <t>APSYNET</t>
  </si>
  <si>
    <t>schmitt@apsynet.com</t>
  </si>
  <si>
    <t>http://www.linkedin.com/in/thierry-schmitt-3143a045</t>
  </si>
  <si>
    <t>http://www.apsynet.fr</t>
  </si>
  <si>
    <t xml:space="preserve">Sartrouville, Ile-de-France, France</t>
  </si>
  <si>
    <t xml:space="preserve">Apsynet est un éditeur de logiciel français qui propose une offre de logiciels de gestion informatique, administrative, financière, organisationnelle...</t>
  </si>
  <si>
    <t>Courtonne</t>
  </si>
  <si>
    <t>TeamBox</t>
  </si>
  <si>
    <t>cyril@teambox.fr</t>
  </si>
  <si>
    <t>http://www.linkedin.com/in/cyrilcourtonne</t>
  </si>
  <si>
    <t>http://www.teambox.fr</t>
  </si>
  <si>
    <t xml:space="preserve">Castelnau-le-Lez, Occitanie, France</t>
  </si>
  <si>
    <t xml:space="preserve">Nos logiciels de téléphonie cloud répondent aux besoins des secteurs professionnels les plus exigeants.</t>
  </si>
  <si>
    <t>Leymarie</t>
  </si>
  <si>
    <t>ASAPE</t>
  </si>
  <si>
    <t>s.leymarie@asape.fr</t>
  </si>
  <si>
    <t>http://www.linkedin.com/in/st%c3%a9phane-leymarie-81421b60</t>
  </si>
  <si>
    <t>http://www.asape.fr</t>
  </si>
  <si>
    <t xml:space="preserve">73 Avenue Thiers, Bordeaux, Nouvelle-Aquitaine, France, 33100</t>
  </si>
  <si>
    <t xml:space="preserve">Asape propose des solutions CRM pour la filière agricole. Découvrez comment digitaliser votre activité. 👉 Demandez une démo</t>
  </si>
  <si>
    <t>Legrenzi</t>
  </si>
  <si>
    <t>Acadys</t>
  </si>
  <si>
    <t>christophe.legrenzi@acadys.com</t>
  </si>
  <si>
    <t>http://www.linkedin.com/in/christophe-legrenzi-acadys</t>
  </si>
  <si>
    <t>http://www.acadys.com</t>
  </si>
  <si>
    <t xml:space="preserve">97 Rue Saint-Lazare, Paris, Ile-de-France, France, 75009</t>
  </si>
  <si>
    <t>Genest</t>
  </si>
  <si>
    <t xml:space="preserve">CEO / President</t>
  </si>
  <si>
    <t>Trialog</t>
  </si>
  <si>
    <t>olivier.genest@trialog.com</t>
  </si>
  <si>
    <t>http://www.linkedin.com/in/oliviergenest</t>
  </si>
  <si>
    <t>http://www.trialog.com</t>
  </si>
  <si>
    <t xml:space="preserve">25 Rue du General Foy, Paris, Ile-de-France, France, 75008</t>
  </si>
  <si>
    <t>Sabla</t>
  </si>
  <si>
    <t>Vapotech</t>
  </si>
  <si>
    <t>jeremie@vapotech.fr</t>
  </si>
  <si>
    <t>http://www.linkedin.com/in/j%c3%a9r%c3%a9mie-joly-blazon-du-sabla-b26475160</t>
  </si>
  <si>
    <t>http://www.vapotech.fr</t>
  </si>
  <si>
    <t>Mont-de-Marsan</t>
  </si>
  <si>
    <t xml:space="preserve">314b Rue Antoine Becquerel, Saint-Pierre-du-Mont, Nouvelle-Aquitaine, France, 40280</t>
  </si>
  <si>
    <t>Hernandez</t>
  </si>
  <si>
    <t xml:space="preserve">Co-fondateur de Avant de Cliquer</t>
  </si>
  <si>
    <t xml:space="preserve">Avant de Cliquer</t>
  </si>
  <si>
    <t>carl@avantdecliquer.com</t>
  </si>
  <si>
    <t>http://www.linkedin.com/in/carl-hernandez-629115161</t>
  </si>
  <si>
    <t>http://www.avantdecliquer.com</t>
  </si>
  <si>
    <t xml:space="preserve">9 Rue Georges Braque, Rouen, Upper Normandy, France, 76000</t>
  </si>
  <si>
    <t xml:space="preserve">Avant de Cliquer, solution anti-phishing (hameçonnage) pour aider les organisations à lutter contre les cybermenaces.</t>
  </si>
  <si>
    <t xml:space="preserve">GEM Store</t>
  </si>
  <si>
    <t>paul.metzger@grenoble-em.com</t>
  </si>
  <si>
    <t>http://www.linkedin.com/in/paul-metzger-413529293</t>
  </si>
  <si>
    <t>http://www.gemstore.fr</t>
  </si>
  <si>
    <t xml:space="preserve">12 Rue Pierre Semard, Grenoble, Auvergne-Rhone-Alpes, France, 38000</t>
  </si>
  <si>
    <t xml:space="preserve">Découvrez GEM Store, la boutique officielle de Grenoble Ecole de Management. Spécialisée dans la vente de textile et la personnalisation de vêtements.</t>
  </si>
  <si>
    <t>Hamza</t>
  </si>
  <si>
    <t>Benkaid</t>
  </si>
  <si>
    <t xml:space="preserve">HBD Consulting</t>
  </si>
  <si>
    <t>hamza.benkaid@hbdconsulting.fr</t>
  </si>
  <si>
    <t>http://www.linkedin.com/in/hamza-benkaid-b3b76083</t>
  </si>
  <si>
    <t>http://www.hbdconsulting.fr</t>
  </si>
  <si>
    <t xml:space="preserve">11 Rue de Mulhouse, Paris, Ile-de-France, France, 75002</t>
  </si>
  <si>
    <t xml:space="preserve">Découvrez nos services cybersécurité : audit, pentest, sécurité opérationnelle, conseil... Nos experts indépendants vous accompagnent. Devenez indépendant avec HBD Consulting et obtenez des missions de qualité.</t>
  </si>
  <si>
    <t>Fyzéa</t>
  </si>
  <si>
    <t>frederic.foucaud@fyzea.fr</t>
  </si>
  <si>
    <t>http://www.linkedin.com/in/fr%c3%a9d%c3%a9ric-foucaud-32470061</t>
  </si>
  <si>
    <t>http://www.fyzea.fr</t>
  </si>
  <si>
    <t xml:space="preserve">88 Rue Jacques-Yves Cousteau, La Roche-sur-Yon, Pays de la Loire, France, 85000</t>
  </si>
  <si>
    <t xml:space="preserve">Fyzéa.fr large choix de matériel kiné pour kinésithérapeute et concepteur de cabinet kinésithérapie</t>
  </si>
  <si>
    <t>Delouis</t>
  </si>
  <si>
    <t xml:space="preserve">STEEL Group </t>
  </si>
  <si>
    <t>jdelouis@steel-group.fr</t>
  </si>
  <si>
    <t>http://www.linkedin.com/in/j%c3%a9r%c3%a9my-delouis-543136275</t>
  </si>
  <si>
    <t>http://www.steel-group.fr</t>
  </si>
  <si>
    <t xml:space="preserve">2 Lieu-dit Burospace, Bievres, Ile-de-France, France, 91570</t>
  </si>
  <si>
    <t xml:space="preserve">Groupe ALTODIS</t>
  </si>
  <si>
    <t>jeremy.come@altodis.fr</t>
  </si>
  <si>
    <t>http://www.linkedin.com/in/j%c3%a9r%c3%a9my-c%c3%b4me-2bb7335b</t>
  </si>
  <si>
    <t>http://www.altodis.fr</t>
  </si>
  <si>
    <t xml:space="preserve">8 Rue de Pologne, Rixheim, Alsace, France, 68170</t>
  </si>
  <si>
    <t xml:space="preserve">Le Groupe Altodis met à votre disposition tout le matériel nécessaire aux professionnels de la manutention, des BTP, du paysage, ou de l'agriculture !</t>
  </si>
  <si>
    <t>Tuffier</t>
  </si>
  <si>
    <t>Comu</t>
  </si>
  <si>
    <t>christophe.tuffier@comufrance.com</t>
  </si>
  <si>
    <t>http://www.linkedin.com/in/christophetuffier</t>
  </si>
  <si>
    <t>http://www.comusystems.com</t>
  </si>
  <si>
    <t xml:space="preserve">62 Avenue de l'Europe, Emerainville, Ile-de-France, France, 77184</t>
  </si>
  <si>
    <t xml:space="preserve">Comu Systems, fabricant français d'électronique, développe des accessoires sur mesure pour la communication tactique et discrète.</t>
  </si>
  <si>
    <t>Deloison</t>
  </si>
  <si>
    <t>GROW</t>
  </si>
  <si>
    <t>agd@grow-ps.com</t>
  </si>
  <si>
    <t>http://www.linkedin.com/in/alexandregirydeloison</t>
  </si>
  <si>
    <t>http://www.grow-ps.com</t>
  </si>
  <si>
    <t xml:space="preserve">Our mission is to help B2B companies generate lasting revenues locally or internationally with a unique hands on approach</t>
  </si>
  <si>
    <t>Mareau</t>
  </si>
  <si>
    <t>gilles.mareau@eho.link</t>
  </si>
  <si>
    <t>http://www.linkedin.com/in/gillesmareau</t>
  </si>
  <si>
    <t>Lebastard</t>
  </si>
  <si>
    <t xml:space="preserve">Product, Tech &amp; Co-Founder</t>
  </si>
  <si>
    <t>Casap</t>
  </si>
  <si>
    <t>maxime.lebastard@scoppe.fr</t>
  </si>
  <si>
    <t>http://www.linkedin.com/in/maximelebastard</t>
  </si>
  <si>
    <t>http://www.casap.com</t>
  </si>
  <si>
    <t xml:space="preserve">Paris, Ile-de-France, France, 75003</t>
  </si>
  <si>
    <t xml:space="preserve">L'outil immobilier qui vous libère enfin du temps pour faire votre métier : apporter conseil et proximité à vos clients. On s'occupe du reste.</t>
  </si>
  <si>
    <t xml:space="preserve">CEO et co-fondateur I J'aide les entreprises à simplifier la gestion de leurs flottes de mobiles 📲</t>
  </si>
  <si>
    <t>betoobe</t>
  </si>
  <si>
    <t>sebastien@betoobe.fr</t>
  </si>
  <si>
    <t>http://www.linkedin.com/in/sebastien-reverdy-betoobe-mobilehub</t>
  </si>
  <si>
    <t>http://www.betoobe.fr</t>
  </si>
  <si>
    <t>Saint-Remy-de-Provence</t>
  </si>
  <si>
    <t xml:space="preserve">Saint-Remy-de-Provence, Provence-Alpes-Cote d'Azur, France</t>
  </si>
  <si>
    <t xml:space="preserve">Simplifiez la gestion de flotte mobile. Notre outil, destiné aux professionnels, optimise la durée de vie de vos smartphones et baisse vos coûts de téléphonie mobile d'entreprise.</t>
  </si>
  <si>
    <t>Fontanier</t>
  </si>
  <si>
    <t>manuel.fontanier@kamae.fr</t>
  </si>
  <si>
    <t>http://www.linkedin.com/in/manuel-fontanier-8a393668</t>
  </si>
  <si>
    <t>Michen</t>
  </si>
  <si>
    <t>Grasp</t>
  </si>
  <si>
    <t>jessica@grasp.gg</t>
  </si>
  <si>
    <t>http://www.linkedin.com/in/jessicamichen</t>
  </si>
  <si>
    <t>http://www.grasp.gg</t>
  </si>
  <si>
    <t xml:space="preserve">Grasp is a SaaS suite that is dedicated to ensuring advertisers of operational excellence throughout the digital media buying processes, by offering a unique, automated QA solution.</t>
  </si>
  <si>
    <t>Yanis</t>
  </si>
  <si>
    <t>Kerfa</t>
  </si>
  <si>
    <t xml:space="preserve">Co-fondateur, Directeur et gestions de projets, Solutions SmartCity</t>
  </si>
  <si>
    <t>Sweepin</t>
  </si>
  <si>
    <t>yanis.kerfa@sweepin.fr</t>
  </si>
  <si>
    <t>http://www.linkedin.com/in/yanis-kerfa-305aa139</t>
  </si>
  <si>
    <t>http://www.sweepin.fr</t>
  </si>
  <si>
    <t xml:space="preserve">18 Rue Sainte-Claire Deville, Dijon, Bourgogne-Franche-Comte, France, 21000</t>
  </si>
  <si>
    <t xml:space="preserve">Géolocalisation intérieure, cartographie intérieure 3D, guidage indoor, solutions RTLS (Real Time Location System). Applications mobiles pour villes connectées (Signalement citoyen, collecte de déchets..)</t>
  </si>
  <si>
    <t>Enzo</t>
  </si>
  <si>
    <t>Albaglie</t>
  </si>
  <si>
    <t xml:space="preserve">Fondateur &amp; Président - Premium Energies</t>
  </si>
  <si>
    <t xml:space="preserve">Premium Énergies</t>
  </si>
  <si>
    <t>enzo.albaglie@premium-energies.fr</t>
  </si>
  <si>
    <t>http://www.linkedin.com/in/enzo-albaglie-0a1bab206</t>
  </si>
  <si>
    <t>http://www.premium-energies.fr</t>
  </si>
  <si>
    <t xml:space="preserve">Paris, Ile-de-France, France, 75017</t>
  </si>
  <si>
    <t xml:space="preserve">Premium énergies est le cabinet de conseil leader en achat d’énergie | Courtier gaz et électricité pour entreprises | Optimisation énergétique | Comparateur de fournisseurs d'énergie Pro</t>
  </si>
  <si>
    <t>Evangelos</t>
  </si>
  <si>
    <t>Moschos</t>
  </si>
  <si>
    <t>AMPHITRITE</t>
  </si>
  <si>
    <t>evangelos.moschos@amphitrite.fr</t>
  </si>
  <si>
    <t>http://www.linkedin.com/in/evangelos-moschos-6842ab1b8</t>
  </si>
  <si>
    <t>http://www.amphitrite.fr</t>
  </si>
  <si>
    <t xml:space="preserve">Palaiseau, Ile-de-France, France</t>
  </si>
  <si>
    <t xml:space="preserve">Our technology fuses multiple satellite and in-situ data, using artificial intelligence to provide reliable and high resolution ocean data to make the right decision at sea.</t>
  </si>
  <si>
    <t>Armel</t>
  </si>
  <si>
    <t>Fauveau</t>
  </si>
  <si>
    <t xml:space="preserve">GLOBALIS co-founder / CTO</t>
  </si>
  <si>
    <t>Globalis</t>
  </si>
  <si>
    <t>armel.fauveau@globalis-ms.com</t>
  </si>
  <si>
    <t>http://www.linkedin.com/in/fauveauarmel</t>
  </si>
  <si>
    <t>http://www.globalis-ms.com</t>
  </si>
  <si>
    <t xml:space="preserve">6B Rue Auguste Vitu, Paris, Ile-de-France, France, 75015</t>
  </si>
  <si>
    <t xml:space="preserve">Nous concevons et déployons avec vous les meilleures solutions pour vos sites et vos applications web et mobile. Plus qu’une ESN, nous sommes un atelier de technologies.</t>
  </si>
  <si>
    <t>Grosmaitre</t>
  </si>
  <si>
    <t xml:space="preserve">FOUNDER CEO</t>
  </si>
  <si>
    <t>Goodness</t>
  </si>
  <si>
    <t>isabelle@goodnessandco.one</t>
  </si>
  <si>
    <t>http://www.linkedin.com/in/isabelle-grosmaitre-changemaker</t>
  </si>
  <si>
    <t>http://www.goodnessandco.one</t>
  </si>
  <si>
    <t>Boukezioua</t>
  </si>
  <si>
    <t>Ulink</t>
  </si>
  <si>
    <t>hocine@ulink-network.fr</t>
  </si>
  <si>
    <t>http://www.linkedin.com/in/hocine-boukezioua</t>
  </si>
  <si>
    <t>http://www.ulink.co.za</t>
  </si>
  <si>
    <t xml:space="preserve">8 Waterford Pl, Sandton, Gauteng, South Africa, 2191</t>
  </si>
  <si>
    <t xml:space="preserve">Ulink description here</t>
  </si>
  <si>
    <t>Ghazi</t>
  </si>
  <si>
    <t>Haouet</t>
  </si>
  <si>
    <t>NEAPSYS</t>
  </si>
  <si>
    <t>g.haouet@neapsys.com</t>
  </si>
  <si>
    <t>http://www.linkedin.com/in/ghazi-haouet-83172628</t>
  </si>
  <si>
    <t>http://www.neapsys.com</t>
  </si>
  <si>
    <t>Dubs</t>
  </si>
  <si>
    <t xml:space="preserve">General Manager CEO</t>
  </si>
  <si>
    <t xml:space="preserve">Zwilling Staub France SAS</t>
  </si>
  <si>
    <t>e.dubs@zwilling.fr</t>
  </si>
  <si>
    <t xml:space="preserve">consumer goods</t>
  </si>
  <si>
    <t>http://www.linkedin.com/in/emmanuel-dubs-42524818</t>
  </si>
  <si>
    <t>http://www.zwilling.fr</t>
  </si>
  <si>
    <t>Pizelle</t>
  </si>
  <si>
    <t>ixiade</t>
  </si>
  <si>
    <t>pascal.pizelle@ixiade.com</t>
  </si>
  <si>
    <t>http://www.linkedin.com/in/pascal-pizelle-1808a085</t>
  </si>
  <si>
    <t>http://www.ixiade.com</t>
  </si>
  <si>
    <t>Pottier</t>
  </si>
  <si>
    <t>DIGWAY</t>
  </si>
  <si>
    <t>wpottier@digway.fr</t>
  </si>
  <si>
    <t>http://www.linkedin.com/in/williampottier</t>
  </si>
  <si>
    <t>http://www.digway.fr</t>
  </si>
  <si>
    <t xml:space="preserve">ESN à Sophia Antipolis, accompagnant votre transformation numérique. Entreprise de conseil, développement sur mesure et recrutement consultants it.</t>
  </si>
  <si>
    <t>Allain-Dupre</t>
  </si>
  <si>
    <t>Scalizer</t>
  </si>
  <si>
    <t>arthur@scalizer.fr</t>
  </si>
  <si>
    <t>http://www.linkedin.com/in/arthur-allain-dupr%c3%a9</t>
  </si>
  <si>
    <t>http://www.scalizer.fr</t>
  </si>
  <si>
    <t xml:space="preserve">Notre corps d’experts en transformation numérique libère le potentiel de croissance et de performance de votre entreprise.</t>
  </si>
  <si>
    <t>Tamara</t>
  </si>
  <si>
    <t>Brisk</t>
  </si>
  <si>
    <t>Mokki</t>
  </si>
  <si>
    <t>tamara@mokkispace.com</t>
  </si>
  <si>
    <t>http://www.linkedin.com/in/tamarabrisk</t>
  </si>
  <si>
    <t>http://www.mokkispace.com</t>
  </si>
  <si>
    <t>Menoret</t>
  </si>
  <si>
    <t xml:space="preserve">Co-founder &amp; president</t>
  </si>
  <si>
    <t>Netkin</t>
  </si>
  <si>
    <t>adrien@netkin.fr</t>
  </si>
  <si>
    <t>http://www.linkedin.com/in/adrien-menoret-42006510</t>
  </si>
  <si>
    <t>http://www.netkin.fr</t>
  </si>
  <si>
    <t xml:space="preserve">8 Rue de Milan, Paris, Ile-de-France, France, 75009</t>
  </si>
  <si>
    <t>marine@dreamfirms.com</t>
  </si>
  <si>
    <t>http://www.linkedin.com/in/marine-laurent-sju</t>
  </si>
  <si>
    <t>Saint-Maximin</t>
  </si>
  <si>
    <t>Bourgois</t>
  </si>
  <si>
    <t xml:space="preserve">EXTERN IT</t>
  </si>
  <si>
    <t>mbourgois@extern-it.fr</t>
  </si>
  <si>
    <t>http://www.linkedin.com/in/michael-bourgois-a1100895</t>
  </si>
  <si>
    <t>http://www.extern-it.fr</t>
  </si>
  <si>
    <t xml:space="preserve">Avenue de l'Espace, Wambrechies, Nord-Pas-de-Calais, France, 59118</t>
  </si>
  <si>
    <t xml:space="preserve">Avec Extern DPO, externaliser votre gestion de conformité, DPO  externe, Désignation CNIL, sur Lille, Amiens, et les Hauts de France</t>
  </si>
  <si>
    <t>Cappuccio</t>
  </si>
  <si>
    <t>Waro</t>
  </si>
  <si>
    <t>paul.cappuccio@waro.io</t>
  </si>
  <si>
    <t>http://www.linkedin.com/in/paul-cappuccio-48791b148</t>
  </si>
  <si>
    <t>http://www.waro.io</t>
  </si>
  <si>
    <t xml:space="preserve">La plateforme tout-en-un pour mesurer, réduire et communiquer l'impact de vos produits. Identifier les leviers d'écoconception et prenez le contrôle sur l'impact de vos produits.</t>
  </si>
  <si>
    <t>Ridard</t>
  </si>
  <si>
    <t xml:space="preserve">Directrice de promotion et fondatrice d'Ephélide</t>
  </si>
  <si>
    <t>Ephelide</t>
  </si>
  <si>
    <t>nathalie.ridard@ephelide.net</t>
  </si>
  <si>
    <t>http://www.linkedin.com/in/nathalie-ridard-5b381b11</t>
  </si>
  <si>
    <t>http://www.ephelide.net</t>
  </si>
  <si>
    <t xml:space="preserve">28 Rue Rene Boulanger, Paris, Ile-de-France, France, 75010</t>
  </si>
  <si>
    <t xml:space="preserve">Fondée en 2001 par Nathalie Ridard, EPHELIDE est devenu un des acteurs majeurs de la promotion indépendante, auprès des médias Radio, TV, Presse et Internet</t>
  </si>
  <si>
    <t>Associé-Co-fondateur</t>
  </si>
  <si>
    <t>Stand-Prive</t>
  </si>
  <si>
    <t>alex.wang@stand-prive.com</t>
  </si>
  <si>
    <t>http://www.linkedin.com/in/alex-wang-5866344b</t>
  </si>
  <si>
    <t>http://www.inspee.com</t>
  </si>
  <si>
    <t xml:space="preserve">26 Rue Henri Becquerel, Aulnay-sous-Bois, Ile-de-France, France, 93600</t>
  </si>
  <si>
    <t xml:space="preserve">Inspee est le site incontournable des « fashion-addicts » pour se faire plaisir à des prix exceptionnels. Prêt-à porter pour femmes, maroquinerie et accessoires, retrouvez toutes les tendances mode actuelles. Nos stylistes proposent des nouveaux looks tous les jours !</t>
  </si>
  <si>
    <t>Nirman</t>
  </si>
  <si>
    <t>Chefcab</t>
  </si>
  <si>
    <t>mathias.nirman@chefcab.fr</t>
  </si>
  <si>
    <t>http://www.linkedin.com/in/mathiasnirman</t>
  </si>
  <si>
    <t>http://www.chefcab.fr</t>
  </si>
  <si>
    <t xml:space="preserve">10 Rue d'Hauteville, Paris, Ile-de-France, France, 75010</t>
  </si>
  <si>
    <t xml:space="preserve">Notre mission : vous aider à gagner en influence. Affaires publiques, Relations presse, Communication corporate, Accompagnement du dirigeant, Événements décideurs.</t>
  </si>
  <si>
    <t>Reboullet</t>
  </si>
  <si>
    <t xml:space="preserve">CEO Graphito prévention</t>
  </si>
  <si>
    <t xml:space="preserve">GRAPHITO PREVENTION</t>
  </si>
  <si>
    <t>f.reboullet@graphito.fr</t>
  </si>
  <si>
    <t>http://www.linkedin.com/in/fabrice-reboullet</t>
  </si>
  <si>
    <t>http://www.graphito-prevention.fr</t>
  </si>
  <si>
    <t xml:space="preserve">Agroparc, Avignon, Provence-Alpes-Cote d'Azur, France, 84140</t>
  </si>
  <si>
    <t>Jonckheere</t>
  </si>
  <si>
    <t xml:space="preserve">Business Partner (Founder)</t>
  </si>
  <si>
    <t>ATRACORE</t>
  </si>
  <si>
    <t>henri.jonckheere@atracore.com</t>
  </si>
  <si>
    <t>http://www.linkedin.com/in/henri-jonckheere-5527901</t>
  </si>
  <si>
    <t>http://www.atracore.com</t>
  </si>
  <si>
    <t>Dourgne</t>
  </si>
  <si>
    <t xml:space="preserve">9 Strada Mureșului, Cluj-Napoca, Cluj County, Romania, 400598</t>
  </si>
  <si>
    <t>Romania</t>
  </si>
  <si>
    <t>Pinet</t>
  </si>
  <si>
    <t xml:space="preserve">Wise Building</t>
  </si>
  <si>
    <t>anthony.pinet@wisebuilding.fr</t>
  </si>
  <si>
    <t>http://www.linkedin.com/in/anthonypinet</t>
  </si>
  <si>
    <t>http://www.wisebuilding.fr</t>
  </si>
  <si>
    <t xml:space="preserve">60 Rue de Caumartin, Paris, Ile-de-France, France, 75009</t>
  </si>
  <si>
    <t>Copper</t>
  </si>
  <si>
    <t xml:space="preserve">Co-founder &amp; Head of Business Development</t>
  </si>
  <si>
    <t>Ta-da</t>
  </si>
  <si>
    <t>alexandre.copper@ta-da.io</t>
  </si>
  <si>
    <t>http://www.linkedin.com/in/alexandrecopper</t>
  </si>
  <si>
    <t>http://www.ta-da.io</t>
  </si>
  <si>
    <t xml:space="preserve">Human-generated datasets for AI, contribute to building datasets and earn $TADA</t>
  </si>
  <si>
    <t>Clarck</t>
  </si>
  <si>
    <t>Président-fondateur</t>
  </si>
  <si>
    <t>Whistcom</t>
  </si>
  <si>
    <t>cclarck@whistcom.com</t>
  </si>
  <si>
    <t>http://www.linkedin.com/in/charlie-clarck-13038585</t>
  </si>
  <si>
    <t>http://www.whistcom.com</t>
  </si>
  <si>
    <t xml:space="preserve">10 Boulevard de La-Tour-Maubourg, Paris, Ile-de-France, France, 75007</t>
  </si>
  <si>
    <t xml:space="preserve">Conseil en stratégie orale à destination des dirigeants. Nous vous formons et et vous accompagnons sur le fond, la forme et le format pour être inspirant lors de vos prises de parole.</t>
  </si>
  <si>
    <t>Paillet</t>
  </si>
  <si>
    <t xml:space="preserve">Cognitive Companions</t>
  </si>
  <si>
    <t>michel.paillet@cognitive-companions.com</t>
  </si>
  <si>
    <t>http://www.linkedin.com/in/michelpaillet</t>
  </si>
  <si>
    <t>http://www.cognitive-companions.com</t>
  </si>
  <si>
    <t>Luron</t>
  </si>
  <si>
    <t>ScopLab</t>
  </si>
  <si>
    <t>r.luron@scoplab.com</t>
  </si>
  <si>
    <t>http://www.linkedin.com/in/romain-luron-a40261a1</t>
  </si>
  <si>
    <t>http://www.scoplab.com</t>
  </si>
  <si>
    <t xml:space="preserve">14 Rue du General Audran, Courbevoie, Ile-de-France, France, 92400</t>
  </si>
  <si>
    <t xml:space="preserve">ScopLab est un éditeur de logiciels RH pour développer la productivité et les performances de vos équipes RH - SIRH, ATS et GTA.</t>
  </si>
  <si>
    <t>Parienti</t>
  </si>
  <si>
    <t>Sitagri</t>
  </si>
  <si>
    <t>cparienti@financeagri.com</t>
  </si>
  <si>
    <t>http://www.linkedin.com/in/cyrilparienti</t>
  </si>
  <si>
    <t>http://www.sitagri.com</t>
  </si>
  <si>
    <t xml:space="preserve">Sitagri is a real-time data, dashboard and business intelligence platform. Manage your risk, empower your decisions. CBOT EURONEXT ICE...</t>
  </si>
  <si>
    <t>Maso</t>
  </si>
  <si>
    <t xml:space="preserve">DELTA First </t>
  </si>
  <si>
    <t>bmaso@delta-first.com</t>
  </si>
  <si>
    <t>http://www.linkedin.com/in/bruno-maso-21381042</t>
  </si>
  <si>
    <t>http://www.delta-first.com</t>
  </si>
  <si>
    <t>Quimper</t>
  </si>
  <si>
    <t xml:space="preserve">12a Rue du Patis Tatelin, Rennes, Bretagne, France, 35706</t>
  </si>
  <si>
    <t xml:space="preserve">FAO ESPRIT EDGE Le logiciel de FAO ESPRIT EDGE permet la programmation facilement de toutes vos machines outils</t>
  </si>
  <si>
    <t>7-Shapes</t>
  </si>
  <si>
    <t xml:space="preserve">CoFounder &amp; CEO</t>
  </si>
  <si>
    <t>juliencharles@seven-shapes.com</t>
  </si>
  <si>
    <t>http://www.linkedin.com/in/julien-charles-sevenshapes-lean-supplychain-training-formation-seriousgame-7shapes</t>
  </si>
  <si>
    <t>http://www.7-shapes.com</t>
  </si>
  <si>
    <t xml:space="preserve">197 Rue de Bordeaux, Angouleme, Poitou-Charentes, France, 16000</t>
  </si>
  <si>
    <t xml:space="preserve">Formations innovantes au Lean Management</t>
  </si>
  <si>
    <t>Garcia-Brotons</t>
  </si>
  <si>
    <t>CAD.42</t>
  </si>
  <si>
    <t>rgarciabrotons@cad42.com</t>
  </si>
  <si>
    <t>http://www.linkedin.com/in/rapha%c3%abl-garcia-brotons-35284950</t>
  </si>
  <si>
    <t>Fatiha</t>
  </si>
  <si>
    <t>Zelmat</t>
  </si>
  <si>
    <t>ORNIDEX</t>
  </si>
  <si>
    <t>fatiha.zelmat@ornidex.com</t>
  </si>
  <si>
    <t>http://www.linkedin.com/in/fatihazelmat</t>
  </si>
  <si>
    <t>http://www.ornidex.com</t>
  </si>
  <si>
    <t xml:space="preserve">Découvrez comment Ornidex révolutionne l'expérience client avec des solutions CRM, IA, durabilité et analyse de données. Engagez-vous pour une croissance durable et une excellence technologique.</t>
  </si>
  <si>
    <t>Estival</t>
  </si>
  <si>
    <t xml:space="preserve">Directeur général adjoint ANTIBIA | ORISHA</t>
  </si>
  <si>
    <t>Antibia</t>
  </si>
  <si>
    <t>estival@antibia.com</t>
  </si>
  <si>
    <t>http://www.linkedin.com/in/laurent-estival-62495a127</t>
  </si>
  <si>
    <t>http://www.antibia.com</t>
  </si>
  <si>
    <t xml:space="preserve">Carpentras, Provence-Alpes-Cote d'Azur, France, 84200</t>
  </si>
  <si>
    <t>Chabanne</t>
  </si>
  <si>
    <t>SHARPSTONE</t>
  </si>
  <si>
    <t>achabanne@sharpstone.fr</t>
  </si>
  <si>
    <t>http://www.linkedin.com/in/alain-chabanne-6815531a</t>
  </si>
  <si>
    <t>http://www.sharpstone.fr</t>
  </si>
  <si>
    <t xml:space="preserve">11B Rue Leopold Bellan, Paris, Ile-de-France, France, 75002</t>
  </si>
  <si>
    <t xml:space="preserve">Nous construisons ensemble votre stratégie financière adaptée à votre projet Tech et trouvons des solutions de financement non dilutif.</t>
  </si>
  <si>
    <t>Gonzague</t>
  </si>
  <si>
    <t>Gru</t>
  </si>
  <si>
    <t xml:space="preserve">COO &amp; Co-fondateur /Associé</t>
  </si>
  <si>
    <t>Uzaje</t>
  </si>
  <si>
    <t>gonzague@uzaje.com</t>
  </si>
  <si>
    <t>http://www.linkedin.com/in/gonzague-gru-32a3a446</t>
  </si>
  <si>
    <t>http://www.uzaje.com</t>
  </si>
  <si>
    <t xml:space="preserve">90 Rue Louis Ampere, Neuilly-sur-Marne, Ile-de-France, France, 93330</t>
  </si>
  <si>
    <t xml:space="preserve">Industrial washer specializing in the re-use of containers for commercial catering, institutional catering and the agri-food industry.</t>
  </si>
  <si>
    <t>Delorme</t>
  </si>
  <si>
    <t xml:space="preserve">Consultant expert en accessibilité numérique | Président fondateur</t>
  </si>
  <si>
    <t>Ideance</t>
  </si>
  <si>
    <t>sebastien.delorme@ideance.fr</t>
  </si>
  <si>
    <t>http://www.linkedin.com/in/sebastiendelorme</t>
  </si>
  <si>
    <t>http://www.ideance.net</t>
  </si>
  <si>
    <t xml:space="preserve">Rouen, Upper Normandy, France, 76000</t>
  </si>
  <si>
    <t xml:space="preserve">Conseil, formation, audit et expertise en accessibilité numérique, prise en compte du handicap dans les projets digitaux (sites internet, intranets, applications mobiles, etc.) et au travail.</t>
  </si>
  <si>
    <t>Tchakerian</t>
  </si>
  <si>
    <t xml:space="preserve">Co-Founder &amp; Executive Chairman</t>
  </si>
  <si>
    <t>Sesterce</t>
  </si>
  <si>
    <t>anthony@sesterce.com</t>
  </si>
  <si>
    <t>http://www.linkedin.com/in/anthony-tchakerian-085721bb</t>
  </si>
  <si>
    <t>http://www.sesterce.com</t>
  </si>
  <si>
    <t xml:space="preserve">123 Avenue de Saint-Julien, Marseille, Provence-Alpes-Cote d'Azur, France, 13012</t>
  </si>
  <si>
    <t>Pretre</t>
  </si>
  <si>
    <t xml:space="preserve">Président et Directeur Associé</t>
  </si>
  <si>
    <t xml:space="preserve">Agence NéNo</t>
  </si>
  <si>
    <t>olivier@dialoguesetsolutions.fr</t>
  </si>
  <si>
    <t>http://www.linkedin.com/in/olivier-pretre-51651759</t>
  </si>
  <si>
    <t>http://www.agence-neno.com</t>
  </si>
  <si>
    <t xml:space="preserve">137 Boulevard Raspail, Paris, Ile-de-France, France, 75006</t>
  </si>
  <si>
    <t>Rosat</t>
  </si>
  <si>
    <t xml:space="preserve">Habitat 70</t>
  </si>
  <si>
    <t>orosat@habitat70.fr</t>
  </si>
  <si>
    <t>http://www.linkedin.com/in/olivier-rosat-48171a183</t>
  </si>
  <si>
    <t>http://www.habitat70.fr</t>
  </si>
  <si>
    <t>Vesoul</t>
  </si>
  <si>
    <t xml:space="preserve">26 Rue de Fleurier, Vesoul, Bourgogne-Franche-Comte, France, 70000</t>
  </si>
  <si>
    <t xml:space="preserve">Site officiel de Habitat 70 (bailleur social) destiné aux locataires, demandeurs de logement et professionnels/partenaires dans le département de la Haute-Saone.</t>
  </si>
  <si>
    <t>Igier</t>
  </si>
  <si>
    <t xml:space="preserve">Directeur Général du Département thermoformage et usinage des plastiques de Global Concept</t>
  </si>
  <si>
    <t>d.igier@gl-concept.fr</t>
  </si>
  <si>
    <t>http://www.linkedin.com/in/dominique-igier-8322a3203</t>
  </si>
  <si>
    <t>Saint-Georges-sur-Eure</t>
  </si>
  <si>
    <t xml:space="preserve">Calle 76, Barranquilla, Atlantico, Colombia, 080010</t>
  </si>
  <si>
    <t>Colombia</t>
  </si>
  <si>
    <t>Ribeaucourt</t>
  </si>
  <si>
    <t>Muvraline</t>
  </si>
  <si>
    <t>gilles.ribeaucourt@muvraline.fr</t>
  </si>
  <si>
    <t>http://www.linkedin.com/in/gillesribeaucourt</t>
  </si>
  <si>
    <t>http://www.muvraline.com</t>
  </si>
  <si>
    <t xml:space="preserve">Since 2018, Muvraline has been designing and developing integrated and tailored AI solutions for all sectors</t>
  </si>
  <si>
    <t>Francesca</t>
  </si>
  <si>
    <t>Morichelli</t>
  </si>
  <si>
    <t>francesca@bonx.tech</t>
  </si>
  <si>
    <t>http://www.linkedin.com/in/francesca-morichelli</t>
  </si>
  <si>
    <t>Torrillon</t>
  </si>
  <si>
    <t>Onliz</t>
  </si>
  <si>
    <t>gilles.torrillon@locam.fr</t>
  </si>
  <si>
    <t>http://www.linkedin.com/in/gilles-torrillon</t>
  </si>
  <si>
    <t>http://www.onliz.fr</t>
  </si>
  <si>
    <t xml:space="preserve">Rue Maurice Flandin, Lyon, Auvergne-Rhone-Alpes, France, 69003</t>
  </si>
  <si>
    <t xml:space="preserve">ONLIZ : la marketplace dédiée aux pros | Spécialiste du leasing de matériel professionnel en ligne - Équipez-vous en quelques clics avec un parcours 100% digital !</t>
  </si>
  <si>
    <t>Lenormand</t>
  </si>
  <si>
    <t>Software</t>
  </si>
  <si>
    <t>xavier@software.com</t>
  </si>
  <si>
    <t>http://www.linkedin.com/in/xavier-lenormand-81b787178</t>
  </si>
  <si>
    <t>http://www.software.com</t>
  </si>
  <si>
    <t xml:space="preserve">950 Mason St, San Francisco, California, United States, 94108</t>
  </si>
  <si>
    <t xml:space="preserve">Faster, higher quality development using GenAI helps companies compete more effectively. Automatically measure the impact of AI on software development and roll out new tools with confidence.</t>
  </si>
  <si>
    <t>PERITIS</t>
  </si>
  <si>
    <t>pgabriel@peritis.fr</t>
  </si>
  <si>
    <t>http://www.linkedin.com/in/philippe-gabriel-84b88a2</t>
  </si>
  <si>
    <t>http://www.peritis.fr</t>
  </si>
  <si>
    <t xml:space="preserve">61 Rue de Villiers, Neuilly-sur-Seine, Ile-de-France, France, 92200</t>
  </si>
  <si>
    <t>laurent.charles@tuleap.org</t>
  </si>
  <si>
    <t>http://www.linkedin.com/in/laurent-charles-tuleap</t>
  </si>
  <si>
    <t>http://www.tuleap.org</t>
  </si>
  <si>
    <t xml:space="preserve">Avenue de Chambery, Sonnaz, Auvergne-Rhone-Alpes, France, 73000</t>
  </si>
  <si>
    <t>Mh</t>
  </si>
  <si>
    <t>TARTIB</t>
  </si>
  <si>
    <t>samir@tartib.co</t>
  </si>
  <si>
    <t>http://www.linkedin.com/in/samirmohamedhassani</t>
  </si>
  <si>
    <t>http://www.tartib.co</t>
  </si>
  <si>
    <t xml:space="preserve">Moroni, Grande Comore, Comoros</t>
  </si>
  <si>
    <t>Comoros</t>
  </si>
  <si>
    <t>Remy</t>
  </si>
  <si>
    <t>Febvre</t>
  </si>
  <si>
    <t>IPenergy</t>
  </si>
  <si>
    <t>remy.febvre@ipenergy.fr</t>
  </si>
  <si>
    <t>http://www.linkedin.com/in/remy-febvre-49968a2</t>
  </si>
  <si>
    <t>http://www.moduldatacenter.com</t>
  </si>
  <si>
    <t xml:space="preserve">8 Avenue d'Armenie, Gardanne, Provence-Alpes-Cote d'Azur, France, 13120</t>
  </si>
  <si>
    <t xml:space="preserve">Modul Data Center est pionnier en France du Datacenter Modulaire au format Datacenter Container, eco-responsable, totalement sécurisé, robuste sans failles.</t>
  </si>
  <si>
    <t>Vienot</t>
  </si>
  <si>
    <t xml:space="preserve">Associés en Gouvernance</t>
  </si>
  <si>
    <t>pascal.vienot@associes-gouvernance.com</t>
  </si>
  <si>
    <t>http://www.linkedin.com/in/pascal-vi%c3%a9not-10757919</t>
  </si>
  <si>
    <t>http://www.associes-gouvernance.com</t>
  </si>
  <si>
    <t xml:space="preserve">43 Rue de Naples, Paris, Ile-de-France, France, 75008</t>
  </si>
  <si>
    <t xml:space="preserve">Associés en Gouvernance est une société de conseil indépendante dédiée à la gouvernance familiale et la gouvernance d'entreprise.</t>
  </si>
  <si>
    <t>Gervaise</t>
  </si>
  <si>
    <t>CEBIOS</t>
  </si>
  <si>
    <t>gervaise@cebios.fr</t>
  </si>
  <si>
    <t>http://www.linkedin.com/in/samuel-gervaise-3b540857</t>
  </si>
  <si>
    <t>http://www.cebios.fr</t>
  </si>
  <si>
    <t xml:space="preserve">Rue de Rome, Sainte-Savine, Champagne-Ardenne, France, 10300</t>
  </si>
  <si>
    <t xml:space="preserve">Cebios, expert en management des risques, propose des services de formation, audit, conseil, assistance juridique, ingénierie et digital. Bénéficiez de notre expertise pour sécuriser et optimiser vos activités. Contactez-nous dès aujourd'hui !</t>
  </si>
  <si>
    <t>Ximizu</t>
  </si>
  <si>
    <t>Huynh</t>
  </si>
  <si>
    <t xml:space="preserve">Co-Founder of CloudSpirit / ServiceNow Architect</t>
  </si>
  <si>
    <t>CloudSpirit</t>
  </si>
  <si>
    <t>ximizu@cloudspirit.fr</t>
  </si>
  <si>
    <t>http://www.linkedin.com/in/ximizu</t>
  </si>
  <si>
    <t>http://www.cloudspirit.fr</t>
  </si>
  <si>
    <t>Sarven</t>
  </si>
  <si>
    <t>Ozgullu</t>
  </si>
  <si>
    <t xml:space="preserve">Cofondateur - Directeur Général</t>
  </si>
  <si>
    <t xml:space="preserve">Les Clefs de chez Moi</t>
  </si>
  <si>
    <t>sarven.ozgullu@lcdcm.fr</t>
  </si>
  <si>
    <t>http://www.linkedin.com/in/sarvenozgullu</t>
  </si>
  <si>
    <t>http://www.lesclefsdechezmoi.fr</t>
  </si>
  <si>
    <t xml:space="preserve">Sainte-Genevieve-des-Bois, Ile-de-France, France</t>
  </si>
  <si>
    <t xml:space="preserve">Bienvenue sur le 1er site d’annonces immobilières basé sur l’intelligence artificielle !</t>
  </si>
  <si>
    <t>Itoumbou</t>
  </si>
  <si>
    <t xml:space="preserve">Sprint Pay Technology</t>
  </si>
  <si>
    <t>raoul.itoumbou@sprint-pay.com</t>
  </si>
  <si>
    <t>http://www.linkedin.com/in/itoumbou-raoul-59288aa</t>
  </si>
  <si>
    <t>http://www.sprint-pay.com</t>
  </si>
  <si>
    <t>Rethore</t>
  </si>
  <si>
    <t xml:space="preserve">Co-fondateur et COO de Yanomami</t>
  </si>
  <si>
    <t>Yanomami</t>
  </si>
  <si>
    <t>clement@yanomami.fr</t>
  </si>
  <si>
    <t>http://www.linkedin.com/in/cl%c3%a9ment-r%c3%a9thor%c3%a9-a928a933</t>
  </si>
  <si>
    <t>http://www.yanomami.fr</t>
  </si>
  <si>
    <t xml:space="preserve">8 Rue Berjon, Lyon, Auvergne-Rhone-Alpes, France, 69009</t>
  </si>
  <si>
    <t xml:space="preserve">Yanomami est une entreprise lyonnaise avec plus de 14 ans d'expérience dans l'aménagement végétal, spécialisée dans les plantes naturelles.</t>
  </si>
  <si>
    <t xml:space="preserve">ALESIA PEINTURE</t>
  </si>
  <si>
    <t>pmarques@alesia-peinture.fr</t>
  </si>
  <si>
    <t>http://www.linkedin.com/in/paulo-marques-677528184</t>
  </si>
  <si>
    <t>http://www.alesia-peinture.fr</t>
  </si>
  <si>
    <t xml:space="preserve">52 Rue de Gergovie, Paris, Ile-de-France, France, 75014</t>
  </si>
  <si>
    <t xml:space="preserve">Alesia peinture est une entreprise historique, fiable, innovante et réputée pour la peinture de locaux tertiaires et d’espaces haut de gamme.</t>
  </si>
  <si>
    <t>Filoux</t>
  </si>
  <si>
    <t>VILLELEC</t>
  </si>
  <si>
    <t>patrick.filoux@villelec.com</t>
  </si>
  <si>
    <t>http://www.linkedin.com/in/patrick-filoux-073a90224</t>
  </si>
  <si>
    <t>http://www.villelec.com</t>
  </si>
  <si>
    <t>Urbeis</t>
  </si>
  <si>
    <t xml:space="preserve">8 Rue du Climont, Neuve-Eglise, Grand Est, France, 67220</t>
  </si>
  <si>
    <t>Perrot-Gautier</t>
  </si>
  <si>
    <t>CONTACTYS</t>
  </si>
  <si>
    <t>jennifer@contactys.fr</t>
  </si>
  <si>
    <t>http://www.linkedin.com/in/jennifer-perrot-gautier-5746221b4</t>
  </si>
  <si>
    <t>http://www.contactys.fr</t>
  </si>
  <si>
    <t>Champdeniers-Saint-Denis</t>
  </si>
  <si>
    <t xml:space="preserve">493 Avenue de Paris, Niort, Nouvelle-Aquitaine, France, 79000</t>
  </si>
  <si>
    <t xml:space="preserve">CONTACTYS, basé à Niort, vous permet d’externaliser votre prospection téléphonique ou votre relation client. Contactez notre call center !</t>
  </si>
  <si>
    <t>Massin</t>
  </si>
  <si>
    <t>Geoptis</t>
  </si>
  <si>
    <t>jean-philippe.massin@geoptis.fr</t>
  </si>
  <si>
    <t>http://www.linkedin.com/in/massin</t>
  </si>
  <si>
    <t>http://www.geoptis.com</t>
  </si>
  <si>
    <t xml:space="preserve">6 Rue du 4 Septembre, Issy-les-Moulineaux, Ile-de-France, France, 92130</t>
  </si>
  <si>
    <t xml:space="preserve">Découvrez l'importance des données territoriales. Comment elles peuvent influencer les politiques locales et améliorer la prise de décision.</t>
  </si>
  <si>
    <t>Giunta</t>
  </si>
  <si>
    <t xml:space="preserve">Directeur Général IMMALLIANCE VAR</t>
  </si>
  <si>
    <t xml:space="preserve">Groupe Immalliance</t>
  </si>
  <si>
    <t>charles.giunta@immalliance.fr</t>
  </si>
  <si>
    <t>http://www.linkedin.com/in/charles-giunta-09916748</t>
  </si>
  <si>
    <t>http://www.immalliance.fr</t>
  </si>
  <si>
    <t xml:space="preserve">IMMALLIANCE est un promoteur immobilier engagé dans la transition énergétique et la préservation de la biodiversité.</t>
  </si>
  <si>
    <t>Morain</t>
  </si>
  <si>
    <t xml:space="preserve">Masae Analytics</t>
  </si>
  <si>
    <t>gmorain@masae-analytics.com</t>
  </si>
  <si>
    <t>http://www.linkedin.com/in/gillesmorain</t>
  </si>
  <si>
    <t>http://www.masae-analytics.com</t>
  </si>
  <si>
    <t xml:space="preserve">11BIS Rue de Milan, Paris, Ile-de-France, France, 75009</t>
  </si>
  <si>
    <t xml:space="preserve">Masae Analytics is a tech &amp; strategy consulting firm leveraging data science to help social and economic development in emerging countries.</t>
  </si>
  <si>
    <t>Pruvost</t>
  </si>
  <si>
    <t>AbsysTech</t>
  </si>
  <si>
    <t>tpruvost@absystech.fr</t>
  </si>
  <si>
    <t>http://www.linkedin.com/in/thibaut-pruvost-b6ba3a1</t>
  </si>
  <si>
    <t>http://www.absystech.fr</t>
  </si>
  <si>
    <t xml:space="preserve">247 Rue Simon Vollant, Lambersart, Hauts-de-France, France, 59130</t>
  </si>
  <si>
    <t xml:space="preserve">Découvrez AbsysTech pour des solutions performantes en gestion informatique, téléphonie, support technique et cybersécurité en Hauts-de-France. Optimisez votre entreprise avec notre expertise et nos services personnalisés !</t>
  </si>
  <si>
    <t>Levrault</t>
  </si>
  <si>
    <t>helene@verdikt.io</t>
  </si>
  <si>
    <t>http://www.linkedin.com/in/hlevrault</t>
  </si>
  <si>
    <t>Bardot</t>
  </si>
  <si>
    <t xml:space="preserve">Saveur Express'O</t>
  </si>
  <si>
    <t>p.bardot@saveur-expresso.com</t>
  </si>
  <si>
    <t>http://www.linkedin.com/in/pierre-bardot-6847875</t>
  </si>
  <si>
    <t>http://www.saveur-expresso.com</t>
  </si>
  <si>
    <t xml:space="preserve">Rue du Chat Botte, Beynost, Auvergne-Rhone-Alpes, France, 01700</t>
  </si>
  <si>
    <t xml:space="preserve">Votre véritable partenaire de proximité pour Distributeur Automatique Café ☕ Boissons fraiches ? Fontaine à eau rafraichissante ? à Lyon depuis 25 ans !</t>
  </si>
  <si>
    <t>Santacreu</t>
  </si>
  <si>
    <t xml:space="preserve">NDO Digital</t>
  </si>
  <si>
    <t>jfs@ndodigital.com</t>
  </si>
  <si>
    <t>http://www.linkedin.com/in/jfsantacreu</t>
  </si>
  <si>
    <t>http://www.ndodigital.com</t>
  </si>
  <si>
    <t xml:space="preserve">Agencia de Marketing Digital experta en transformación digital, diseño de páginas web, creación de logos, imagen corporativa, campañas de inbound marketing</t>
  </si>
  <si>
    <t>Mouna</t>
  </si>
  <si>
    <t>Viprey</t>
  </si>
  <si>
    <t xml:space="preserve">Impact Confiance</t>
  </si>
  <si>
    <t>mouna.viprey@tybjobs.com</t>
  </si>
  <si>
    <t>http://www.linkedin.com/in/mouna-viprey-36847469</t>
  </si>
  <si>
    <t>http://www.impactconfiance.fr</t>
  </si>
  <si>
    <t xml:space="preserve">Avenue Philippe Auguste, Paris, Ile-de-France, France, 75011</t>
  </si>
  <si>
    <t xml:space="preserve">Transmettre les clefs du marché du travail, valoriser des talents auprès des entreprises pour répondre aux enjeux de recrutement et d’impact.</t>
  </si>
  <si>
    <t xml:space="preserve">VR Consulting</t>
  </si>
  <si>
    <t>vincent@vincentrouxconsulting.fr</t>
  </si>
  <si>
    <t>http://www.linkedin.com/in/vincentrouxconsulting</t>
  </si>
  <si>
    <t>http://www.vincentrouxconsulting.fr</t>
  </si>
  <si>
    <t xml:space="preserve">VR Consulting est un cabinet de conseil qui accompagne les entreprises dans le développement de leur business et l'accélération de leurs performances.</t>
  </si>
  <si>
    <t>Arnould</t>
  </si>
  <si>
    <t>Emergence</t>
  </si>
  <si>
    <t>larnould@emergence-buro.com</t>
  </si>
  <si>
    <t>http://www.linkedin.com/in/laurent-arnould-81437710</t>
  </si>
  <si>
    <t>http://www.emergence.co.nz</t>
  </si>
  <si>
    <t xml:space="preserve">Auckland, Auckland, New Zealand, 1081</t>
  </si>
  <si>
    <t>Muguet</t>
  </si>
  <si>
    <t xml:space="preserve">Directrice de clientèle &amp; dirigeante</t>
  </si>
  <si>
    <t xml:space="preserve">Media Création</t>
  </si>
  <si>
    <t>helene@mediacreation.fr</t>
  </si>
  <si>
    <t>http://www.linkedin.com/in/h%c3%a9l%c3%a8ne-baumann-50236116</t>
  </si>
  <si>
    <t>http://www.mediacreation.fr</t>
  </si>
  <si>
    <t xml:space="preserve">128 Rue de Belfort, Mulhouse, Grand Est, France, 68200</t>
  </si>
  <si>
    <t xml:space="preserve">Media Création, agence conseil en communication à Mulhouse en Alsace depuis 30 ans - Conseil, audit, création graphique, sites web, community management</t>
  </si>
  <si>
    <t>Fourcans</t>
  </si>
  <si>
    <t>gyfti</t>
  </si>
  <si>
    <t>paul@gyfti.fr</t>
  </si>
  <si>
    <t>http://www.linkedin.com/in/paulfourcans</t>
  </si>
  <si>
    <t>http://www.gyfti.fr</t>
  </si>
  <si>
    <t xml:space="preserve">Plateforme tout-en-un d'envoi de cadeaux et contenus professionnels. Engagez et fidélisez vos clients et collaborateurs avec des envois automatisés depuis votre CRM ou SIRH</t>
  </si>
  <si>
    <t>Pascaline</t>
  </si>
  <si>
    <t>Larose</t>
  </si>
  <si>
    <t>Ideme</t>
  </si>
  <si>
    <t>pascaline.larose@ideme.fr</t>
  </si>
  <si>
    <t>http://www.linkedin.com/in/pascaline-larose-a91a5a2a</t>
  </si>
  <si>
    <t>http://www.ideme.fr</t>
  </si>
  <si>
    <t xml:space="preserve">Experts en engagement salariés. Ideme est la première agence de conseil en engagement salariés et tech.</t>
  </si>
  <si>
    <t>BISOM</t>
  </si>
  <si>
    <t>philippe.leroy@bisom.fr</t>
  </si>
  <si>
    <t>http://www.linkedin.com/in/philippe-leroy-88813418</t>
  </si>
  <si>
    <t>http://www.bisom.fr</t>
  </si>
  <si>
    <t>Badier</t>
  </si>
  <si>
    <t xml:space="preserve">CONNECTING SELL</t>
  </si>
  <si>
    <t>romain.badier@connecting-sell.com</t>
  </si>
  <si>
    <t>http://www.linkedin.com/in/romain-badier-6118ba33</t>
  </si>
  <si>
    <t>http://www.connecting-sell.com</t>
  </si>
  <si>
    <t xml:space="preserve">Boostez vos performances commerciales &amp; marketing ! CONNECTING SELL®  est experte de l'externalisation commerciale, la promotion des ventes et l'organisation d’évènements.</t>
  </si>
  <si>
    <t>Sasha</t>
  </si>
  <si>
    <t>Bouloudnine</t>
  </si>
  <si>
    <t>lobstr</t>
  </si>
  <si>
    <t>sasha.bouloudnine@lobstr.io</t>
  </si>
  <si>
    <t>http://www.linkedin.com/in/sasha-bouloudnine-51908286</t>
  </si>
  <si>
    <t>http://www.lobstr.io</t>
  </si>
  <si>
    <t xml:space="preserve">Use lobstr.io no-code tools and APIs to collect data at scale and automate repetitive actions online. Try it for free.</t>
  </si>
  <si>
    <t>Dargent</t>
  </si>
  <si>
    <t>ALCOM</t>
  </si>
  <si>
    <t>p.dargent@alcom-tech.com</t>
  </si>
  <si>
    <t>http://www.linkedin.com/in/philippe-dargent-a60b1a36</t>
  </si>
  <si>
    <t>http://www.alcom-tech.com</t>
  </si>
  <si>
    <t xml:space="preserve">17 Rue des Vignes, Villechetif, Grand Est, France, 10410</t>
  </si>
  <si>
    <t>SPSTI81</t>
  </si>
  <si>
    <t>hugues.adrian@spstt.fr</t>
  </si>
  <si>
    <t>http://www.linkedin.com/in/hugues-adrian-23493117b</t>
  </si>
  <si>
    <t>http://www.spsti81.fr</t>
  </si>
  <si>
    <t xml:space="preserve">32 Chemin des Coquelicots, Albi, Occitanie, France, 81000</t>
  </si>
  <si>
    <t xml:space="preserve">co-founder &amp; director</t>
  </si>
  <si>
    <t>Ob'dO</t>
  </si>
  <si>
    <t>julien.marie@ob-do.com</t>
  </si>
  <si>
    <t>http://www.linkedin.com/in/julien-marie</t>
  </si>
  <si>
    <t>http://www.ob-do.com</t>
  </si>
  <si>
    <t xml:space="preserve">Colombelles, Normandy, France</t>
  </si>
  <si>
    <t xml:space="preserve">Discover Ob'dO, a leader in Embedded Systems Engineering and IoT Solutions. With over a decade of experience, we excel in electronics development, embedded software, and innovative wireless technologies for various industries.</t>
  </si>
  <si>
    <t>Veyrat</t>
  </si>
  <si>
    <t>VALCOM</t>
  </si>
  <si>
    <t>franck.veyrat@valcom.fr</t>
  </si>
  <si>
    <t>http://www.linkedin.com/in/franck-veyrat-b3273a75</t>
  </si>
  <si>
    <t>http://www.valcom.fr</t>
  </si>
  <si>
    <t xml:space="preserve">8 Avenue de la Gare, Alixan, Auvergne-Rhone-Alpes, France, 26300</t>
  </si>
  <si>
    <t xml:space="preserve">Agence de communication à Valence, spécialisée dans le domaine de la publicité et du design en Drôme et Ardèche. Stratégie de communication - Design graphique - Identité visuelle - Production vidéo - Événement - Site internet</t>
  </si>
  <si>
    <t>Goumain</t>
  </si>
  <si>
    <t>TBWA\Adelphi</t>
  </si>
  <si>
    <t>mathieu.goumain@tbwa-adelphi.com</t>
  </si>
  <si>
    <t>http://www.linkedin.com/in/mathieu-goumain-b221926</t>
  </si>
  <si>
    <t>http://www.tbwa-adelphi.com</t>
  </si>
  <si>
    <t xml:space="preserve">52 Avenue Emile Zola, Boulogne-Billancourt, Ile-de-France, France, 92100</t>
  </si>
  <si>
    <t xml:space="preserve">TBWA adelphi est l'agence de communication globale santé du réseau TBWA à Paris. Au coeur du réseau TBWA/WorldHealth, TBWA Adelphi propose des services multiples locaux ou internationaux.</t>
  </si>
  <si>
    <t>Despres</t>
  </si>
  <si>
    <t>SAYSE</t>
  </si>
  <si>
    <t>benoit.despres@sayse.fr</t>
  </si>
  <si>
    <t>http://www.linkedin.com/in/benoit-despres-a7ba923</t>
  </si>
  <si>
    <t>http://www.sayse.fr</t>
  </si>
  <si>
    <t xml:space="preserve">Comment ça fonctionne le VPN SD WAN ? Ses avantages et son intégration ? Sayse est pionnier du secteur depuis 2014 en France</t>
  </si>
  <si>
    <t>Dulout</t>
  </si>
  <si>
    <t>BATCONNECT</t>
  </si>
  <si>
    <t>jdulout@batconnect.fr</t>
  </si>
  <si>
    <t xml:space="preserve">consumer electronics</t>
  </si>
  <si>
    <t>http://www.linkedin.com/in/jeremydulout</t>
  </si>
  <si>
    <t>http://www.batconnect.fr</t>
  </si>
  <si>
    <t xml:space="preserve">Portet-sur-Garonne, Occitanie, France, 31120</t>
  </si>
  <si>
    <t xml:space="preserve">Batterie lithium connectée, associée à l'application Web Batconnect : première solution de batterie lithium économique et durable</t>
  </si>
  <si>
    <t>Tekneum</t>
  </si>
  <si>
    <t>dmoreau@tekteam.fr</t>
  </si>
  <si>
    <t>http://www.linkedin.com/in/david-moreau-18565b1</t>
  </si>
  <si>
    <t>http://www.tekneum.fr</t>
  </si>
  <si>
    <t xml:space="preserve">Tekneum by Astek, cabinet de conseil spécialisé sur les métiers du technicien : support, helpdesk, datacenter, postes de travail, réseaux...</t>
  </si>
  <si>
    <t>Alberto</t>
  </si>
  <si>
    <t>Buron</t>
  </si>
  <si>
    <t>nricher</t>
  </si>
  <si>
    <t>aburon@nricher.io</t>
  </si>
  <si>
    <t>http://www.linkedin.com/in/albertoburon</t>
  </si>
  <si>
    <t>http://www.nricher.io</t>
  </si>
  <si>
    <t xml:space="preserve">59 Rue Rodier, Paris, Ile-de-France, France, 75009</t>
  </si>
  <si>
    <t xml:space="preserve">Nous faisons gagner des parts de marché aux acteurs du e-commerce en leur fournissant des analyses percutantes et exhaustives de tous leurs concurrents. Demandez une démo. Nous travaillons avec les acteurs majeurs du e-commerce.</t>
  </si>
  <si>
    <t>Fauvel</t>
  </si>
  <si>
    <t>CADDEN</t>
  </si>
  <si>
    <t>marine.fauvel@cadden.fr</t>
  </si>
  <si>
    <t>http://www.linkedin.com/in/marine-fauvel-30a21195</t>
  </si>
  <si>
    <t>http://www.cadden.fr</t>
  </si>
  <si>
    <t xml:space="preserve">359 Route de Sainte-Luce, Nantes, Pays de la Loire, France, 44300</t>
  </si>
  <si>
    <t xml:space="preserve">CADDEN propose des solutions professionnelles multi-applications : GNSS, bathymétrie, hydrographie, Lidar, mobile mapping, navigation et télédétection.</t>
  </si>
  <si>
    <t>Mosquet</t>
  </si>
  <si>
    <t>Staffea</t>
  </si>
  <si>
    <t>m.mosquet@limengo.com</t>
  </si>
  <si>
    <t>http://www.linkedin.com/in/mathieu-mosquet-b5937452</t>
  </si>
  <si>
    <t>http://www.staffea.com</t>
  </si>
  <si>
    <t xml:space="preserve">Découvrez Staffea pour la gestion de vos plannings ➜ ✓ Installation rapide ✓ Création en 2 heures ✓ Gestion en temps réel ➜ Demandez une démo !</t>
  </si>
  <si>
    <t>Berre</t>
  </si>
  <si>
    <t xml:space="preserve">Président - Directeur général</t>
  </si>
  <si>
    <t>Cartelmatic</t>
  </si>
  <si>
    <t>philippe.leberre@cartelmatic.com</t>
  </si>
  <si>
    <t>http://www.linkedin.com/in/philippe-leberre</t>
  </si>
  <si>
    <t>http://www.cartelmatic.com</t>
  </si>
  <si>
    <t xml:space="preserve">40 Rue du Bignon, Chantepie, Brittany, France, 35135</t>
  </si>
  <si>
    <t xml:space="preserve">Cartelmatic est une entreprise française, spécialiste de l’affichage dynamique au sein des espaces urbains et commerciaux.</t>
  </si>
  <si>
    <t>Jaffrennou</t>
  </si>
  <si>
    <t xml:space="preserve">Directeur général executif</t>
  </si>
  <si>
    <t xml:space="preserve">CEV GROUP</t>
  </si>
  <si>
    <t>catherine.jaffrennou@up.coop</t>
  </si>
  <si>
    <t>http://www.linkedin.com/in/catherine-jaffrennou-03294262</t>
  </si>
  <si>
    <t>http://www.up.coop</t>
  </si>
  <si>
    <t xml:space="preserve">Saint-Lo, Normandy, France, 50000</t>
  </si>
  <si>
    <t>Sasportes</t>
  </si>
  <si>
    <t>AlloReview</t>
  </si>
  <si>
    <t>adrien@alloreview.com</t>
  </si>
  <si>
    <t>http://www.linkedin.com/in/adrien-sasportes-17557a95</t>
  </si>
  <si>
    <t>http://www.allobrain.com</t>
  </si>
  <si>
    <t xml:space="preserve">AlloBrain is the leading AI partner for the optimization of customer relationship centers through semantic analysis, conversational AI and NLP. Let's discuss your projects together, we will accompany you.</t>
  </si>
  <si>
    <t>Gazagnes</t>
  </si>
  <si>
    <t xml:space="preserve">MANGANELLI TECHNOLOGY</t>
  </si>
  <si>
    <t>francois.gazagnes@manganelli.com</t>
  </si>
  <si>
    <t>http://www.linkedin.com/in/francois-gazagnes</t>
  </si>
  <si>
    <t>http://www.manganelli.com</t>
  </si>
  <si>
    <t xml:space="preserve">8 Boulevard de la Liberation, Saint-Denis, Ile-de-France, France, 93200</t>
  </si>
  <si>
    <t>Noens</t>
  </si>
  <si>
    <t xml:space="preserve">Heverett Group</t>
  </si>
  <si>
    <t>c.noens@heverett.com</t>
  </si>
  <si>
    <t>http://www.linkedin.com/in/carole-n-80a33558</t>
  </si>
  <si>
    <t>http://www.heverett.com</t>
  </si>
  <si>
    <t xml:space="preserve">196 Avenue Thiers, Lyon, Auvergne-Rhone-Alpes, France, 69006</t>
  </si>
  <si>
    <t>Defrance</t>
  </si>
  <si>
    <t>A'Tout'Com</t>
  </si>
  <si>
    <t>anne@atoutmcd.com</t>
  </si>
  <si>
    <t>http://www.linkedin.com/in/anne-defrance-03758350</t>
  </si>
  <si>
    <t>Epaud</t>
  </si>
  <si>
    <t>edouard@tamtam.ai</t>
  </si>
  <si>
    <t>http://www.linkedin.com/in/edouardepaud</t>
  </si>
  <si>
    <t>http://www.tamtam.ai</t>
  </si>
  <si>
    <t>Constanty</t>
  </si>
  <si>
    <t>HR-ITCONSULTING</t>
  </si>
  <si>
    <t>fconstanty@hr-itconsulting.com</t>
  </si>
  <si>
    <t>http://www.linkedin.com/in/fconstanty</t>
  </si>
  <si>
    <t>http://www.hr-itconsulting.com</t>
  </si>
  <si>
    <t>Chamalieres</t>
  </si>
  <si>
    <t xml:space="preserve">165 Rue de la Pradelle, Clermont-Ferrand, Auvergne-Rhone-Alpes, France, 63000</t>
  </si>
  <si>
    <t xml:space="preserve">Auvergne, Clermont-Ferrand, Auvergne Rhône-Alpes, Bordeaux, Aquitaine, SSII, ESN, Transformation numérique, RSE, CSRD, IT, SI, Système d’information, Technologie, Logiciel, Développement, Salesforce, Data, RH, Numeum, Université, ISIMA, Ingénieur, entreprise à missionHR-ITCONSULTING</t>
  </si>
  <si>
    <t>Aymen</t>
  </si>
  <si>
    <t>4inData</t>
  </si>
  <si>
    <t>akhelifi@dataforethic.com</t>
  </si>
  <si>
    <t>http://www.linkedin.com/in/aymen-khelifi-phd-a82a19b4</t>
  </si>
  <si>
    <t>http://www.dataforethic.com</t>
  </si>
  <si>
    <t xml:space="preserve">11 Avenue du Val-de-Fontenay, Fontenay-sous-Bois, Ile-de-France, France, 94120</t>
  </si>
  <si>
    <t xml:space="preserve">CEO Operations (Co-Founder)</t>
  </si>
  <si>
    <t>michael@kotzilla.io</t>
  </si>
  <si>
    <t>http://www.linkedin.com/in/montoyamichael</t>
  </si>
  <si>
    <t>Alarcon</t>
  </si>
  <si>
    <t xml:space="preserve">Directeur Général - CEO</t>
  </si>
  <si>
    <t>cedric.alarcon@serenicity.fr</t>
  </si>
  <si>
    <t>http://www.linkedin.com/in/%f0%9f%8c%90-c%c3%a9dric-alarcon-%f0%9f%8c%90-053a6345</t>
  </si>
  <si>
    <t>Jean-Patrick</t>
  </si>
  <si>
    <t>Debarge</t>
  </si>
  <si>
    <t xml:space="preserve">ITSM Factory</t>
  </si>
  <si>
    <t>jdebarge@itsm-factory.com</t>
  </si>
  <si>
    <t>http://www.linkedin.com/in/jean-patrick-debarge-b3445319</t>
  </si>
  <si>
    <t>http://www.itsm-factory.com</t>
  </si>
  <si>
    <t xml:space="preserve">18 Rue du General Gouraud, Marcq-en-Baroeul, Hauts-de-France, France, 59700</t>
  </si>
  <si>
    <t xml:space="preserve">ITSM Factory propose des solutions, outils ITSM pour GLPI, iTop et i-doit afin d'optimiser vos services via un support dédié.</t>
  </si>
  <si>
    <t>Teboul</t>
  </si>
  <si>
    <t xml:space="preserve">ADDING SAS</t>
  </si>
  <si>
    <t>eteboul@adding.fr</t>
  </si>
  <si>
    <t>http://www.linkedin.com/in/eric-teboul-4b960110</t>
  </si>
  <si>
    <t>http://www.adding.fr</t>
  </si>
  <si>
    <t xml:space="preserve">39 Rue Mstislav Rostropovitch, Paris, Ile-de-France, France, 75017</t>
  </si>
  <si>
    <t xml:space="preserve">Au service des entreprises privées, des branches professionnelles et des organismes publics, Adding propose un éventail élargi d’expertises et de services : évaluations actuarielles, audits, appels d’offres, modélisations tarifaires, benchmarks…</t>
  </si>
  <si>
    <t>Delion</t>
  </si>
  <si>
    <t>http://www.linkedin.com/in/l%c3%a9o-delion-273a43160</t>
  </si>
  <si>
    <t>http://www.nomiks.io</t>
  </si>
  <si>
    <t xml:space="preserve">LEAN SENSEI</t>
  </si>
  <si>
    <t>cecile.roche@leansenseipartners.com</t>
  </si>
  <si>
    <t>http://www.linkedin.com/in/cecile-roche-4398a2</t>
  </si>
  <si>
    <t>http://www.leansenseipartners.com</t>
  </si>
  <si>
    <t xml:space="preserve">Développer une transformation Lean réussie avec l'accompagnement d'un sensei. Pour vraiment aller plus loin.
Les meilleurs senseis français reconnus internationalement.
Gagner en agilité dans les challenges que peut rencontrer votre entreprise. 
Développer un management autrement.</t>
  </si>
  <si>
    <t>Cornet</t>
  </si>
  <si>
    <t xml:space="preserve">Esprit Padel Shop</t>
  </si>
  <si>
    <t>sebastien@espritpadel.com</t>
  </si>
  <si>
    <t>http://www.linkedin.com/in/cornets</t>
  </si>
  <si>
    <t>http://www.esprit-padel-shop.com</t>
  </si>
  <si>
    <t xml:space="preserve">155 Route de Grenoble, Saint-Priest, Auvergne-Rhone-Alpes, France, 69800</t>
  </si>
  <si>
    <t xml:space="preserve">Découvrez notre large gamme de produits liés au padel. De la raquette aux chaussures, en passant par les balles, vous trouverez tout ce qu'il faut être au top sur les pistes de padel !</t>
  </si>
  <si>
    <t>rbloch@thebigwhale.io</t>
  </si>
  <si>
    <t>http://www.linkedin.com/in/rapha%c3%abl-bloch-23244b132</t>
  </si>
  <si>
    <t>Alphand</t>
  </si>
  <si>
    <t>CALASYS</t>
  </si>
  <si>
    <t>aalphand@calasys.fr</t>
  </si>
  <si>
    <t>http://www.linkedin.com/in/arnaud-alphand-635ba220a</t>
  </si>
  <si>
    <t>http://www.calasys.fr</t>
  </si>
  <si>
    <t xml:space="preserve">2507 Avenue de l'Europe, Rillieux-la-Pape, Auvergne-Rhone-Alpes, France, 69140</t>
  </si>
  <si>
    <t xml:space="preserve">Nos entreprises vont vous accompagner de la conception à la maintenance de vos réseaux d'énergie et d'information.</t>
  </si>
  <si>
    <t>Jankowski</t>
  </si>
  <si>
    <t>Leades</t>
  </si>
  <si>
    <t>severine.jankowski@leades.fr</t>
  </si>
  <si>
    <t>http://www.linkedin.com/in/s%c3%a9verine-jankowski-781571204</t>
  </si>
  <si>
    <t>http://www.leades.fr</t>
  </si>
  <si>
    <t>Arcueil</t>
  </si>
  <si>
    <t xml:space="preserve">1 Rue du Centre, Noisy-le-Grand, Ile-de-France, France, 93160</t>
  </si>
  <si>
    <t xml:space="preserve">Leades, c’est avant tout une équipe, une ambiance. Du junior à l’expert, Leades vous accompagne dans la carrière qui vous correspond.</t>
  </si>
  <si>
    <t>Samy</t>
  </si>
  <si>
    <t>Pesse</t>
  </si>
  <si>
    <t>GitBook</t>
  </si>
  <si>
    <t>samy@gitbook.com</t>
  </si>
  <si>
    <t>http://www.linkedin.com/in/samypesse</t>
  </si>
  <si>
    <t>http://www.gitbook.com</t>
  </si>
  <si>
    <t xml:space="preserve">3 Cours Charlemagne, Lyon, Auvergne-Rhone-Alpes, France, 69002</t>
  </si>
  <si>
    <t>Belliard</t>
  </si>
  <si>
    <t>Socamont</t>
  </si>
  <si>
    <t>xb@socamont.com</t>
  </si>
  <si>
    <t>http://www.linkedin.com/in/xavier-belliard-791112137</t>
  </si>
  <si>
    <t>http://www.socamont.com</t>
  </si>
  <si>
    <t xml:space="preserve">24 Rue des Freres Lumiere, Laval, Pays de la Loire, France, 53000</t>
  </si>
  <si>
    <t xml:space="preserve">Socamont fabricant de baie serveur, baie brassage, coffret réseau, produits réseaux, onduleur.</t>
  </si>
  <si>
    <t>I</t>
  </si>
  <si>
    <t xml:space="preserve">Directeur Général &amp; Fondateur</t>
  </si>
  <si>
    <t>TREMA</t>
  </si>
  <si>
    <t>thierry.way@agencetrema.com</t>
  </si>
  <si>
    <t>http://www.linkedin.com/in/thierryway-strategiemedia-offline-online</t>
  </si>
  <si>
    <t>http://www.agencetrema.com</t>
  </si>
  <si>
    <t>Marcq-en-Baroeul</t>
  </si>
  <si>
    <t xml:space="preserve">377 Rue Jules Guesde, Villeneuve-d'Ascq, Hauts-de-France, France, 59650</t>
  </si>
  <si>
    <t>Neyrat</t>
  </si>
  <si>
    <t xml:space="preserve">Groupe Gaïana</t>
  </si>
  <si>
    <t>dneyrat@gaiana-group.com</t>
  </si>
  <si>
    <t>http://www.linkedin.com/in/didier-neyrat</t>
  </si>
  <si>
    <t>http://www.gaiana-group.com</t>
  </si>
  <si>
    <t xml:space="preserve">Bruges, Aquitaine, France, 33520</t>
  </si>
  <si>
    <t>Foulani</t>
  </si>
  <si>
    <t xml:space="preserve">Co-Founder &amp; Driving customer success</t>
  </si>
  <si>
    <t xml:space="preserve">Stack IT</t>
  </si>
  <si>
    <t>nelson.foulani@stack-it.fr</t>
  </si>
  <si>
    <t>http://www.linkedin.com/in/nelson-djibril-foulani-349793150</t>
  </si>
  <si>
    <t>http://www.stackitgroup.com</t>
  </si>
  <si>
    <t xml:space="preserve">550 West B Street, San Diego, California, United States, 92101</t>
  </si>
  <si>
    <t>Tranchier</t>
  </si>
  <si>
    <t xml:space="preserve">Co-founder and Program Director</t>
  </si>
  <si>
    <t>dtranchier@digitalpharmalab.com</t>
  </si>
  <si>
    <t>http://www.linkedin.com/in/tranchier</t>
  </si>
  <si>
    <t>Guichard</t>
  </si>
  <si>
    <t xml:space="preserve">Liquidarom en Provence</t>
  </si>
  <si>
    <t>stephane.guichard@liquidarom-distribution.com</t>
  </si>
  <si>
    <t>http://www.linkedin.com/in/stephane-guichard-0a1684168</t>
  </si>
  <si>
    <t>http://www.liquidarom-distribution.fr</t>
  </si>
  <si>
    <t xml:space="preserve">Les Mayons</t>
  </si>
  <si>
    <t xml:space="preserve">290 Rue des Lauriers, Brignoles, Provence-Alpes-Cote d'Azur, France, 83170</t>
  </si>
  <si>
    <t>Ponvianne</t>
  </si>
  <si>
    <t xml:space="preserve">Président / Co-fondateur</t>
  </si>
  <si>
    <t>HEALTIS</t>
  </si>
  <si>
    <t>y.ponvianne@healtis.com</t>
  </si>
  <si>
    <t>http://www.linkedin.com/in/yannick-ponvianne-10562329</t>
  </si>
  <si>
    <t>http://www.healtis.com</t>
  </si>
  <si>
    <t>Audibert</t>
  </si>
  <si>
    <t xml:space="preserve">Founder and Creative Director</t>
  </si>
  <si>
    <t xml:space="preserve">Maison Julien</t>
  </si>
  <si>
    <t>julie@maisonsaintjulien.com</t>
  </si>
  <si>
    <t>http://www.linkedin.com/in/julie-carr-audibert-088486153</t>
  </si>
  <si>
    <t>http://www.maisonjulien-tulle.com</t>
  </si>
  <si>
    <t xml:space="preserve">Tulle, Aquitaine-Limousin-Poitou-Charentes, France, 19000</t>
  </si>
  <si>
    <t xml:space="preserve">Boulangerie Pâtisserie Chocolaterie de Tulle et Seilhac aux nombreuses spécialités locales. Produits régionaux faits maison.</t>
  </si>
  <si>
    <t>Silvestre</t>
  </si>
  <si>
    <t>CICOMMUNICATION</t>
  </si>
  <si>
    <t>silvestre@cicommunication.com</t>
  </si>
  <si>
    <t>http://www.linkedin.com/in/louis-silvestre-7ba0b524</t>
  </si>
  <si>
    <t>http://www.cicommunication.com</t>
  </si>
  <si>
    <t xml:space="preserve">9 Rue de Teheran, Paris, Ile-de-France, France, 75008</t>
  </si>
  <si>
    <t xml:space="preserve">Votre réputation a de la valeur. Notre mission ? La protéger et la valoriser. Comment ? En vous accompagnant sur votre stratégie de marque.</t>
  </si>
  <si>
    <t>Durbec</t>
  </si>
  <si>
    <t xml:space="preserve">1PACTE LITTORAL</t>
  </si>
  <si>
    <t>v.durbec@sn1pacte.com</t>
  </si>
  <si>
    <t>http://www.linkedin.com/in/vincent-durbec-2578b5b9</t>
  </si>
  <si>
    <t>http://www.1pactelittoral.fr</t>
  </si>
  <si>
    <t xml:space="preserve">514 Rue des Safranes, Roquefort-la-Bedoule, Provence-Alpes-Cote d'Azur, France, 13830</t>
  </si>
  <si>
    <t xml:space="preserve">1PACTE LITTORAL : expert en impression, GED, écrans et informatique/sécurité dans le Var et les Bouches-du-Rhône. Transformez votre environnement numérique</t>
  </si>
  <si>
    <t>Canberra</t>
  </si>
  <si>
    <t>Menthonnex</t>
  </si>
  <si>
    <t xml:space="preserve">Cede Labs</t>
  </si>
  <si>
    <t>canberra.menthonnex@cede.link</t>
  </si>
  <si>
    <t>http://www.linkedin.com/in/canberra-menthonnex</t>
  </si>
  <si>
    <t>http://www.cede.store</t>
  </si>
  <si>
    <t xml:space="preserve">Rue de Rivoli, Paris, Ile-de-France, France, 75001</t>
  </si>
  <si>
    <t xml:space="preserve">Cede.store is a non-custodial wallet that aggregates your Centralized Exchanges (CEX). It stores your access keys directly on your machine and lets you track, trade and transfer your CeFi assets.</t>
  </si>
  <si>
    <t>Laroque</t>
  </si>
  <si>
    <t xml:space="preserve">SEML Route des Lasers</t>
  </si>
  <si>
    <t>v.laroque@seml-routedeslasers.fr</t>
  </si>
  <si>
    <t>http://www.linkedin.com/in/vincent-laroque-07953325</t>
  </si>
  <si>
    <t>http://www.seml-routedeslasers.fr</t>
  </si>
  <si>
    <t xml:space="preserve">Aquitaine, France</t>
  </si>
  <si>
    <t>Barriere</t>
  </si>
  <si>
    <t xml:space="preserve">Appuy Créateurs</t>
  </si>
  <si>
    <t>sbarriere@appuy-createurs.fr</t>
  </si>
  <si>
    <t>http://www.linkedin.com/in/sandrine-barriere-7772b4159</t>
  </si>
  <si>
    <t>http://www.appuy-createurs.fr</t>
  </si>
  <si>
    <t xml:space="preserve">1 Avenue des Cottages, Clermont-Ferrand, Auvergne, France, 63000</t>
  </si>
  <si>
    <t>Simmenauer</t>
  </si>
  <si>
    <t xml:space="preserve">Co-fondatrice KPAM IMPACT &amp; Directrice RSE KPAM</t>
  </si>
  <si>
    <t>kpam</t>
  </si>
  <si>
    <t>nathalie.simmenauer@kpam.fr</t>
  </si>
  <si>
    <t>http://www.linkedin.com/in/nathalie-simmenauer-5735391a</t>
  </si>
  <si>
    <t>http://www.kpam.fr</t>
  </si>
  <si>
    <t xml:space="preserve">28 Rue Notre-Dame-des-Victoires, Paris, Ile-de-France, France, 75002</t>
  </si>
  <si>
    <t xml:space="preserve">KPAM est un cabinet de conseil et d’études spécialiste de l’expérience clients, expérience collaborateurs, expérience patients, expérience RSE.</t>
  </si>
  <si>
    <t xml:space="preserve">Web &amp; Mobile Technologies &amp; Co-Founder</t>
  </si>
  <si>
    <t>s.jousse@linoa.com</t>
  </si>
  <si>
    <t>http://www.linkedin.com/in/sebastienjousse</t>
  </si>
  <si>
    <t>Damis</t>
  </si>
  <si>
    <t>maprochaineauto.OS</t>
  </si>
  <si>
    <t>jonathan.damis@maprochaineauto.com</t>
  </si>
  <si>
    <t>http://www.linkedin.com/in/jonathan-damis-66a6742a</t>
  </si>
  <si>
    <t>http://www.maprochaineauto.com</t>
  </si>
  <si>
    <t xml:space="preserve">Services prédictifs de nouvelle génération et parcours clients de réveil d'intentions d'achat à destination de la distribution automobile.</t>
  </si>
  <si>
    <t>Pierre-Murat</t>
  </si>
  <si>
    <t>http://www.linkedin.com/in/pierre-murat-dogan</t>
  </si>
  <si>
    <t>Veron</t>
  </si>
  <si>
    <t xml:space="preserve">Schmit Tradition</t>
  </si>
  <si>
    <t>f.veron@schmit-tradition.fr</t>
  </si>
  <si>
    <t>design</t>
  </si>
  <si>
    <t>http://www.linkedin.com/in/francois-veron-128b3291</t>
  </si>
  <si>
    <t>http://www.schmit-tradition.fr</t>
  </si>
  <si>
    <t xml:space="preserve">184BIS Boulevard de Creteil, Saint-Maur-des-Fosses, Ile-de-France, France, 94100</t>
  </si>
  <si>
    <t xml:space="preserve">Tourné vers la réalisation de lieux uniques, Schmit Tradition a su allier son expérience de l'artisanat d'art à une connaissance pointue des technologies depuis près de 200 ans.</t>
  </si>
  <si>
    <t>Gharios</t>
  </si>
  <si>
    <t xml:space="preserve">Co-founder - General Manager</t>
  </si>
  <si>
    <t xml:space="preserve">KLAREO • Delivery Management</t>
  </si>
  <si>
    <t>egharios@klareo.com</t>
  </si>
  <si>
    <t>http://www.linkedin.com/in/elie-gharios-38592b16</t>
  </si>
  <si>
    <t>http://www.klareo.com</t>
  </si>
  <si>
    <t xml:space="preserve">Klareo propose une solution de Delivery Management System conçue pour adresser l’ensemble des problématiques de la distribution urbaine et extra urbaine</t>
  </si>
  <si>
    <t>Baigneres</t>
  </si>
  <si>
    <t>thomas.baigneres@olvid.io</t>
  </si>
  <si>
    <t>http://www.linkedin.com/in/baigneres</t>
  </si>
  <si>
    <t>Pierre-Alexis</t>
  </si>
  <si>
    <t>Borgne</t>
  </si>
  <si>
    <t xml:space="preserve">Co-Founder &amp; Head Of Research</t>
  </si>
  <si>
    <t>Videtics</t>
  </si>
  <si>
    <t>pierre.alexis.le.borgne@videtics.com</t>
  </si>
  <si>
    <t>http://www.linkedin.com/in/pierre-alexis-le-borgne-279894121</t>
  </si>
  <si>
    <t>http://www.videtics.com</t>
  </si>
  <si>
    <t>Tostain</t>
  </si>
  <si>
    <t xml:space="preserve">Austral Telecom Services</t>
  </si>
  <si>
    <t>vincent.tostain@ats.re</t>
  </si>
  <si>
    <t>http://www.linkedin.com/in/vincent-tostain-4ab905114</t>
  </si>
  <si>
    <t>http://www.ats.re</t>
  </si>
  <si>
    <t>Sainte-Marie</t>
  </si>
  <si>
    <t xml:space="preserve">Saint-Marie, Saint Denis, Reunion</t>
  </si>
  <si>
    <t>Vitale</t>
  </si>
  <si>
    <t>didier.vitale@inentech.fr</t>
  </si>
  <si>
    <t>http://www.linkedin.com/in/didier-vitale-6679b058</t>
  </si>
  <si>
    <t>http://www.inentech.fr</t>
  </si>
  <si>
    <t xml:space="preserve">2 Impasse de la Noisette, Verrieres-le-Buisson, Ile-de-France, France, 91370</t>
  </si>
  <si>
    <t>Dubout</t>
  </si>
  <si>
    <t xml:space="preserve">CEO &amp; Certified Executive Coach (HEC, Strengths Gallup, ORSC, EMDR)</t>
  </si>
  <si>
    <t xml:space="preserve">BIRDS Coaching</t>
  </si>
  <si>
    <t>ndubout@birdsconseil.com</t>
  </si>
  <si>
    <t>http://www.linkedin.com/in/nellydubout</t>
  </si>
  <si>
    <t>http://www.birdscoaching.com</t>
  </si>
  <si>
    <t xml:space="preserve">39 Rue Carnot, Levallois-Perret, Ile-de-France, France, 92300</t>
  </si>
  <si>
    <t xml:space="preserve">En mode coaching ou formation, BIRDS vous accompagne dans vos enjeux de management et de relations humaines.</t>
  </si>
  <si>
    <t>Betsy</t>
  </si>
  <si>
    <t>Parayil-Pezard</t>
  </si>
  <si>
    <t xml:space="preserve">Co-fondateur - THE MOUNTAIN, école de coaching</t>
  </si>
  <si>
    <t xml:space="preserve">Connection Leadership</t>
  </si>
  <si>
    <t>betsy@connectionleadership.com</t>
  </si>
  <si>
    <t>http://www.linkedin.com/in/betsy-parayil-pezard-887b4619</t>
  </si>
  <si>
    <t>http://www.connectionleadership.com</t>
  </si>
  <si>
    <t xml:space="preserve">Bien plus qu’un cabinet de conseil, Connection Leadership est votre partenaire en transformation holistique.</t>
  </si>
  <si>
    <t>Granjard</t>
  </si>
  <si>
    <t xml:space="preserve">COOPERATIVE INFORMATIQUE</t>
  </si>
  <si>
    <t>audrey.granjard@coopinfo.com</t>
  </si>
  <si>
    <t>http://www.linkedin.com/in/audrey-granjard-0647471</t>
  </si>
  <si>
    <t xml:space="preserve">Bois-Colombes, Ile-de-France, France</t>
  </si>
  <si>
    <t>Fredenucci</t>
  </si>
  <si>
    <t xml:space="preserve">Co-Founder &amp; Group CEO</t>
  </si>
  <si>
    <t>Alphalyr</t>
  </si>
  <si>
    <t>didier.fredenucci@alphalyr.com</t>
  </si>
  <si>
    <t>http://www.linkedin.com/in/didierfredenucci</t>
  </si>
  <si>
    <t>http://www.alphalyr.fr</t>
  </si>
  <si>
    <t xml:space="preserve">62 Rue de Caumartin, Paris, Ile-de-France, France, 75009</t>
  </si>
  <si>
    <t xml:space="preserve">Nous transformons vos données en décisions claires grâce à l’Intelligence Artificielle.</t>
  </si>
  <si>
    <t>Parayil</t>
  </si>
  <si>
    <t>http://www.linkedin.com/in/betsy-parayil</t>
  </si>
  <si>
    <t>Riche</t>
  </si>
  <si>
    <t>quentin.riche@blurizon.io</t>
  </si>
  <si>
    <t>http://www.linkedin.com/in/quentin-riche-0ba4703a</t>
  </si>
  <si>
    <t>Bouin</t>
  </si>
  <si>
    <t>DiagRAMS</t>
  </si>
  <si>
    <t>jean-francois.bouin@diagrams-technologies.com</t>
  </si>
  <si>
    <t>http://www.linkedin.com/in/jean-fran%c3%a7ois-bouin-industrial-and-environnemental-performances</t>
  </si>
  <si>
    <t>http://www.diagrams-technologies.com</t>
  </si>
  <si>
    <t xml:space="preserve">Expert de l’analyse de données industrielles, DIAGRAMS Technologies développe un logiciel dédié à la maintenance prédictive.</t>
  </si>
  <si>
    <t>Becker</t>
  </si>
  <si>
    <t xml:space="preserve">TechFirm Information</t>
  </si>
  <si>
    <t>olivier.becker@techfirm-is.fr</t>
  </si>
  <si>
    <t>http://www.linkedin.com/in/olivier-becker-87406239</t>
  </si>
  <si>
    <t>http://www.techfirm-is.fr</t>
  </si>
  <si>
    <t xml:space="preserve">175 Route de Chancy, Confignon, Geneva, Switzerland, 1232</t>
  </si>
  <si>
    <t>Constantin</t>
  </si>
  <si>
    <t>B2DIGIT</t>
  </si>
  <si>
    <t>christian.constantin@b2digit.com</t>
  </si>
  <si>
    <t>http://www.linkedin.com/in/christian-constantin-0164594</t>
  </si>
  <si>
    <t>http://www.b2digit.com</t>
  </si>
  <si>
    <t>Belin</t>
  </si>
  <si>
    <t xml:space="preserve">BATTERIES PROD</t>
  </si>
  <si>
    <t>sbelin@batteries-prod.fr</t>
  </si>
  <si>
    <t>http://www.linkedin.com/in/stephan-belin-a841671a3</t>
  </si>
  <si>
    <t>http://www.batteries-prod.fr</t>
  </si>
  <si>
    <t xml:space="preserve">190 Avenue des Rouliers, Monteux, Provence-Alpes-Cote d'Azur, France, 84170</t>
  </si>
  <si>
    <t>Brunaud</t>
  </si>
  <si>
    <t xml:space="preserve">Directeur du Pole CPI (contrat de promotion immobilière) / Contractant Général</t>
  </si>
  <si>
    <t>SEDRI</t>
  </si>
  <si>
    <t>dominique.brunaud@sedri.fr</t>
  </si>
  <si>
    <t>http://www.linkedin.com/in/dominique-brunaud-a2072923</t>
  </si>
  <si>
    <t>http://www.sedri.fr</t>
  </si>
  <si>
    <t xml:space="preserve">108 Avenue Gabriel Peri, Saint-Ouen, Ile-de-France, France, 93400</t>
  </si>
  <si>
    <t xml:space="preserve">SEDRI c’est l’assurance d’une triple culture : ingénierie, architecturale et immobilière qu’elle met au service aussi bien des investisseurs que des utilisateurs.</t>
  </si>
  <si>
    <t>Vignon</t>
  </si>
  <si>
    <t xml:space="preserve">Fondateur et Gérant</t>
  </si>
  <si>
    <t>Vimex</t>
  </si>
  <si>
    <t>guillaume.vignon@vimex.fr</t>
  </si>
  <si>
    <t>http://www.linkedin.com/in/guillaumevignon</t>
  </si>
  <si>
    <t>http://www.vimex.fr</t>
  </si>
  <si>
    <t xml:space="preserve">280 Rue Saint-Honore, Paris, Ile-de-France, France, 75001</t>
  </si>
  <si>
    <t>Bardel</t>
  </si>
  <si>
    <t xml:space="preserve">FLANDRES ANALYSES</t>
  </si>
  <si>
    <t>joel.bardel@flandres-analyses.fr</t>
  </si>
  <si>
    <t>http://www.linkedin.com/in/joel-bardel-6371a7215</t>
  </si>
  <si>
    <t>http://www.flandres-analyses.com</t>
  </si>
  <si>
    <t>Cappelle-la-Grande</t>
  </si>
  <si>
    <t xml:space="preserve">10 Rue des Saveurs, Cappelle-la-Grande, Hauts-de-France, France, 59180</t>
  </si>
  <si>
    <t>Dandrieux</t>
  </si>
  <si>
    <t xml:space="preserve">Co Founder &amp; COO</t>
  </si>
  <si>
    <t>jean-pierre.dandrieux@cognitive-companions.com</t>
  </si>
  <si>
    <t>http://www.linkedin.com/in/jdandrieux</t>
  </si>
  <si>
    <t>Collin</t>
  </si>
  <si>
    <t>Altezza</t>
  </si>
  <si>
    <t>laurent.collin@altezza.fr</t>
  </si>
  <si>
    <t>http://www.linkedin.com/in/laurentcollin</t>
  </si>
  <si>
    <t>http://www.altezza.fr</t>
  </si>
  <si>
    <t xml:space="preserve">65 Rue Breteuil, Marseille, Provence-Alpes-Cote d'Azur, France, 13006</t>
  </si>
  <si>
    <t xml:space="preserve">Altezza est un cabinet conseil en stratégie qui accompagne les dirigeants et les entreprises. Laurent COLLIN, coach professionnel formé à la méthode de « Coaching Orienté Solution® »</t>
  </si>
  <si>
    <t>Buchman</t>
  </si>
  <si>
    <t xml:space="preserve">Infass Systèmes</t>
  </si>
  <si>
    <t>d.buchman@infass.com</t>
  </si>
  <si>
    <t>http://www.linkedin.com/in/david-buchman-15b5714</t>
  </si>
  <si>
    <t>http://www.infass.com</t>
  </si>
  <si>
    <t xml:space="preserve">92 Rue de la Glaciere, Montgeron, Ile-de-France, France, 91230</t>
  </si>
  <si>
    <t xml:space="preserve">Editeur de logiciels de gestion pour les courtiers et compagnies en Assurance IARD, Assurance Maritime &amp; Transport et Assurance Santé &amp; Prévoyance</t>
  </si>
  <si>
    <t>Catoire</t>
  </si>
  <si>
    <t xml:space="preserve">Efficience IT</t>
  </si>
  <si>
    <t>la.catoire@itefficience.com</t>
  </si>
  <si>
    <t>http://www.linkedin.com/in/louisarnaudcatoire</t>
  </si>
  <si>
    <t>http://www.itefficience.com</t>
  </si>
  <si>
    <t xml:space="preserve">677 Avenue de la Republique, Lille, Hauts-de-France, France, 59800</t>
  </si>
  <si>
    <t xml:space="preserve">A la recherche d'une agence web ? Contactez Efficience IT ! Nos experts en développement web créent des projets sur-mesure adaptés à vos besoins ! Cliquez pour en savoir plus.</t>
  </si>
  <si>
    <t>In-Genium</t>
  </si>
  <si>
    <t>david.savary@in-genium.fr</t>
  </si>
  <si>
    <t>http://www.linkedin.com/in/david-savary-0317b199</t>
  </si>
  <si>
    <t>http://www.in-genium.fr</t>
  </si>
  <si>
    <t>Bakoume</t>
  </si>
  <si>
    <t>Clustdoc</t>
  </si>
  <si>
    <t>karim@clustdoc.com</t>
  </si>
  <si>
    <t>http://www.linkedin.com/in/kbakoume</t>
  </si>
  <si>
    <t>http://www.clustdoc.com</t>
  </si>
  <si>
    <t xml:space="preserve">Switch from emails and spreadsheets to professional client onboarding software. Forms, esignatures, tasks, files, reminders, approvals ...</t>
  </si>
  <si>
    <t>Caillaud</t>
  </si>
  <si>
    <t xml:space="preserve">Directrice générale groupe BPAP</t>
  </si>
  <si>
    <t>BPAP</t>
  </si>
  <si>
    <t>sophie.caillaud@bpap.com</t>
  </si>
  <si>
    <t>http://www.linkedin.com/in/sophie-caillaud-8baa28117</t>
  </si>
  <si>
    <t>http://www.bpap.com</t>
  </si>
  <si>
    <t xml:space="preserve">38 Rue des Mathurins, Paris, Ile-de-France, France, 75008</t>
  </si>
  <si>
    <t xml:space="preserve">BPAP : l’expertise 100% Cegid XRP Ultimate, innovante et durable. Avec MyBPAP, vivez l’expérience du Business Process As Practices</t>
  </si>
  <si>
    <t xml:space="preserve">SABLE GROUPE</t>
  </si>
  <si>
    <t>martin@sablegroupe.com</t>
  </si>
  <si>
    <t>http://www.linkedin.com/in/martin-bazin-52814664</t>
  </si>
  <si>
    <t>http://www.sablegroupe.com</t>
  </si>
  <si>
    <t xml:space="preserve">Dinard, Brittany, France, 35800</t>
  </si>
  <si>
    <t>Hedon</t>
  </si>
  <si>
    <t>kanonik</t>
  </si>
  <si>
    <t>ghedon@kanonik.fr</t>
  </si>
  <si>
    <t>http://www.linkedin.com/in/guillaume-hedon-2b54ab42</t>
  </si>
  <si>
    <t>http://www.kanonik.fr</t>
  </si>
  <si>
    <t xml:space="preserve">116 Avenue Gabriel Peri, Saint-Ouen, Ile-de-France, France, 93400</t>
  </si>
  <si>
    <t>Tremintin</t>
  </si>
  <si>
    <t xml:space="preserve">Conseil &amp; Organisation</t>
  </si>
  <si>
    <t>ctremintin@conseiletorganisation.com</t>
  </si>
  <si>
    <t>http://www.linkedin.com/in/tremintincedric</t>
  </si>
  <si>
    <t>http://www.conseiletorganisation.com</t>
  </si>
  <si>
    <t xml:space="preserve">24 Rue Duranton, Paris, Ile-de-France, France, 75015</t>
  </si>
  <si>
    <t>Provo</t>
  </si>
  <si>
    <t xml:space="preserve">ALEA PREVENTION</t>
  </si>
  <si>
    <t>pascal.provo@alea-prevention.com</t>
  </si>
  <si>
    <t>http://www.linkedin.com/in/pascalprovo</t>
  </si>
  <si>
    <t>http://www.alea-prevention.com</t>
  </si>
  <si>
    <t xml:space="preserve">2B Rue Alfred Nobel, Champs-sur-Marne, Ile-de-France, France, 77420</t>
  </si>
  <si>
    <t xml:space="preserve">Riskoo, la prévention continue de vos risques Un portail tout-en-un pour gérer l’ensemble des risques de votre entreprise. Découvrir l'offre Gamme Santé et Sécurité au Travail Au sein de notre gamme Santé et Sécurité au Travail de Riskoo, le module DUERP vous permet de :Créer et mettre à jour facilement votre Document Unique sur PC,</t>
  </si>
  <si>
    <t>Mory</t>
  </si>
  <si>
    <t>TRŸBU</t>
  </si>
  <si>
    <t>t.mory@trybu.io</t>
  </si>
  <si>
    <t>http://www.linkedin.com/in/thibaudmory</t>
  </si>
  <si>
    <t>http://www.trybu.io</t>
  </si>
  <si>
    <t xml:space="preserve">Personnalisation de l'expérience client grâce à Trybu.io. Proposez à vos futurs clients de tester vos produits en condition réelle.</t>
  </si>
  <si>
    <t>Paulus</t>
  </si>
  <si>
    <t xml:space="preserve">President and founder</t>
  </si>
  <si>
    <t>Semsoft</t>
  </si>
  <si>
    <t>francois.paulus@semsoft-corp.com</t>
  </si>
  <si>
    <t>http://www.linkedin.com/in/fpaulus</t>
  </si>
  <si>
    <t>http://www.lestr.app</t>
  </si>
  <si>
    <t xml:space="preserve">14C Rue du Patis Tatelin, Rennes, Brittany, France, 35700</t>
  </si>
  <si>
    <t xml:space="preserve">Ensure the tracking of your containers with Lestr application and anticipate operational risks</t>
  </si>
  <si>
    <t>Velay</t>
  </si>
  <si>
    <t xml:space="preserve">ADEC SAS</t>
  </si>
  <si>
    <t>frederic.velay@adec-sas.com</t>
  </si>
  <si>
    <t>http://www.linkedin.com/in/frederic-velay</t>
  </si>
  <si>
    <t>http://www.adec-sas.com</t>
  </si>
  <si>
    <t xml:space="preserve">785 Avenue Alfred Sauvy, Perols, Occitanie, France, 34470</t>
  </si>
  <si>
    <t xml:space="preserve">Éditeur de solutions logicielles et de services informatiques à destination du métier d’huissier de justice.</t>
  </si>
  <si>
    <t>Varinard</t>
  </si>
  <si>
    <t>Vaisonet</t>
  </si>
  <si>
    <t>maxime@vaisonet.com</t>
  </si>
  <si>
    <t>http://www.linkedin.com/in/maximevarinard</t>
  </si>
  <si>
    <t>http://www.vaisonet.com</t>
  </si>
  <si>
    <t>Vaison-la-Romaine</t>
  </si>
  <si>
    <t xml:space="preserve">35 Rue des Ormeaux, Vaison-la-Romaine, Provence-Alpes-Cote d'Azur, France, 84110</t>
  </si>
  <si>
    <t xml:space="preserve">Vaisonet est un éditeur de solutions e-commerce, spécialiste de la gestion des flux  e-commerce et de l’optimisation des processus métier multicanal.
L’entreprise édite une passerelle e-commerce universel permettant de faire communiquer en quasi temps réel le site e-commerce avec le logiciel de gestion commerciale et ce, avec les plus grands standards du marché</t>
  </si>
  <si>
    <t>Tassel</t>
  </si>
  <si>
    <t>julien.tassel@ekost.fr</t>
  </si>
  <si>
    <t>http://www.linkedin.com/in/julien-tassel-ekost</t>
  </si>
  <si>
    <t>Maximilian</t>
  </si>
  <si>
    <t>Vigier</t>
  </si>
  <si>
    <t>Skeat</t>
  </si>
  <si>
    <t>maximilian.vigier@skeat.fr</t>
  </si>
  <si>
    <t>http://www.linkedin.com/in/maximilian-vigier-a32209a3</t>
  </si>
  <si>
    <t>http://www.skeatapp.com</t>
  </si>
  <si>
    <t xml:space="preserve">Levallois-Perret, Ile-de-France, France</t>
  </si>
  <si>
    <t>Falaize</t>
  </si>
  <si>
    <t>RESOsign</t>
  </si>
  <si>
    <t>remy.falaize@resosign.fr</t>
  </si>
  <si>
    <t>http://www.linkedin.com/in/r%c3%a9my-falaize-8a92b750</t>
  </si>
  <si>
    <t>http://www.resosign.fr</t>
  </si>
  <si>
    <t xml:space="preserve">Installation adhésif, covering, panneaux, enseignes, en France et en Europe. Gestion des projets d’installation tout type de marquage publicitaire.</t>
  </si>
  <si>
    <t>CallWin</t>
  </si>
  <si>
    <t>philippe.bouchard@callwin.fr</t>
  </si>
  <si>
    <t>http://www.linkedin.com/in/philippe-bouchard-b72301105</t>
  </si>
  <si>
    <t>http://www.callwin.fr</t>
  </si>
  <si>
    <t>Bas-en-Basset</t>
  </si>
  <si>
    <t xml:space="preserve">34 Avenue Alfred de Vissaguet, Bas-en-Basset, Auvergne-Rhone-Alpes, France, 43210</t>
  </si>
  <si>
    <t>Cagdas</t>
  </si>
  <si>
    <t>Bozman</t>
  </si>
  <si>
    <t>cagdas@functori.com</t>
  </si>
  <si>
    <t>http://www.linkedin.com/in/cbozman</t>
  </si>
  <si>
    <t>Grellety</t>
  </si>
  <si>
    <t xml:space="preserve">RLG INFORMATIQUE</t>
  </si>
  <si>
    <t>rgrellety@rlginformatique.com</t>
  </si>
  <si>
    <t>http://www.linkedin.com/in/romain-grellety-849525140</t>
  </si>
  <si>
    <t>http://www.rlginformatique.com</t>
  </si>
  <si>
    <t xml:space="preserve">Saint-Herblain, Pays de la Loire, France, 44800</t>
  </si>
  <si>
    <t xml:space="preserve">RLG Informatique se positionne comme un acteur global intervenant sur toute la chaîne de valeur de la Data et de la Voix.</t>
  </si>
  <si>
    <t>Rambaud</t>
  </si>
  <si>
    <t xml:space="preserve">Co-fondateur. Vesto | Matériel écolo pour cuisiniers responsables</t>
  </si>
  <si>
    <t>Vesto</t>
  </si>
  <si>
    <t>bastien@vesto.fr</t>
  </si>
  <si>
    <t>http://www.linkedin.com/in/bastien-rambaud-839337107</t>
  </si>
  <si>
    <t>http://www.vesto.fr</t>
  </si>
  <si>
    <t>Ville-d'Avray</t>
  </si>
  <si>
    <t xml:space="preserve">Vesto est le leader français du reconditionnement de matériel professionnel. Passez à l'économie circulaire avec Vesto !</t>
  </si>
  <si>
    <t>Giachin</t>
  </si>
  <si>
    <t>eMIS-AERO</t>
  </si>
  <si>
    <t>veronique.giachin@adms.aero</t>
  </si>
  <si>
    <t>http://www.linkedin.com/in/v%c3%a9ronique-giachin-a361b4a0</t>
  </si>
  <si>
    <t>http://www.emis-aero.fr</t>
  </si>
  <si>
    <t>Arles</t>
  </si>
  <si>
    <t xml:space="preserve">575 Avenue Clement Ader, Avignon, Provence-Alpes-Cote d'Azur, France, 84140</t>
  </si>
  <si>
    <t>Desve</t>
  </si>
  <si>
    <t xml:space="preserve">Co-founder | Chief Technology Officer</t>
  </si>
  <si>
    <t>Olyzon</t>
  </si>
  <si>
    <t>mathieu@olyzon.tv</t>
  </si>
  <si>
    <t>http://www.linkedin.com/in/mathieudesve</t>
  </si>
  <si>
    <t>http://www.olyzon.tv</t>
  </si>
  <si>
    <t xml:space="preserve">37 Avenue Trudaine, Paris, Ile-de-France, France, 75009</t>
  </si>
  <si>
    <t xml:space="preserve">Olyzon provides adtech products that unlock the full potential of Connected TV. Our suite of solutions helps advertisers, content owners, and distributors enhance brand uplift, optimize user engagement, and maximize ROAS.</t>
  </si>
  <si>
    <t>Charline</t>
  </si>
  <si>
    <t>Blanche</t>
  </si>
  <si>
    <t xml:space="preserve">PBC L’Agence</t>
  </si>
  <si>
    <t>charline@pbc-agence.com</t>
  </si>
  <si>
    <t>http://www.linkedin.com/in/charline-blanche-53158567</t>
  </si>
  <si>
    <t>http://www.pbc-agence.com</t>
  </si>
  <si>
    <t xml:space="preserve">24 Allee de Caseneuve, Lancon-Provence, Provence-Alpes-Cote d'Azur, France, 13680</t>
  </si>
  <si>
    <t xml:space="preserve">Stratégie communication digitale - Gestion réseaux sociaux - Création sites web - Agence de communication digitale engagée à Aix-en-Provence</t>
  </si>
  <si>
    <t>Karako</t>
  </si>
  <si>
    <t xml:space="preserve">Head of Investments @ PyratzLabs / Founder</t>
  </si>
  <si>
    <t>alexandre.karako@pyratzlabs.com</t>
  </si>
  <si>
    <t>http://www.linkedin.com/in/alexandrekarako</t>
  </si>
  <si>
    <t>Liccioni</t>
  </si>
  <si>
    <t xml:space="preserve">Mistral Coolers</t>
  </si>
  <si>
    <t>thomasliccioni@mistralcoolers.com</t>
  </si>
  <si>
    <t>http://www.linkedin.com/in/thomas-liccioni-81125525</t>
  </si>
  <si>
    <t>http://www.mistralcoolers.com</t>
  </si>
  <si>
    <t xml:space="preserve">2 Avenue Ambroise Croizat, Ris-Orangis, Ile-de-France, France, 91130</t>
  </si>
  <si>
    <t>Warcollier</t>
  </si>
  <si>
    <t xml:space="preserve">INFOCERT France</t>
  </si>
  <si>
    <t>francois.warcollier@infocert.org</t>
  </si>
  <si>
    <t>http://www.linkedin.com/in/fran%c3%a7ois-warcollier-9a984220</t>
  </si>
  <si>
    <t>http://www.infocert.org</t>
  </si>
  <si>
    <t xml:space="preserve">29 Rue du 4 Septembre, Paris, Ile-de-France, France, 75002</t>
  </si>
  <si>
    <t xml:space="preserve">INFOCERT est le spécialiste dans la certification de logiciels en France. INFOCERT propose des certifiations reconnues comme références.</t>
  </si>
  <si>
    <t>Boileau</t>
  </si>
  <si>
    <t xml:space="preserve">AXEL GESTION</t>
  </si>
  <si>
    <t>yoann.boileau@axelgestion.com</t>
  </si>
  <si>
    <t>http://www.linkedin.com/in/yoann-boileau-8a007a94</t>
  </si>
  <si>
    <t>http://www.axelgestion.com</t>
  </si>
  <si>
    <t xml:space="preserve">Tassin-la-Demi-Lune, Auvergne-Rhone-Alpes, France</t>
  </si>
  <si>
    <t>Lux</t>
  </si>
  <si>
    <t>wl@mylux.app</t>
  </si>
  <si>
    <t>http://www.linkedin.com/in/williamlux</t>
  </si>
  <si>
    <t>http://www.mylux.app</t>
  </si>
  <si>
    <t xml:space="preserve">Paris, Ile-de-France, France, 75004</t>
  </si>
  <si>
    <t>Keoma</t>
  </si>
  <si>
    <t>Laguna</t>
  </si>
  <si>
    <t>keoma.laguna@wefalco.fr</t>
  </si>
  <si>
    <t>http://www.linkedin.com/in/keoma-laguna</t>
  </si>
  <si>
    <t>http://www.wefalco.com</t>
  </si>
  <si>
    <t xml:space="preserve">96BIS Boulevard Raspail, Paris, Ile-de-France, France, 75006</t>
  </si>
  <si>
    <t xml:space="preserve">Embarquez dans le port connecté : Falco propose aux gestionnaires un écosystème technologique IoT, associé à des solutions digitales, pour optimiser la gestion, moderniser l’organisation des équipes, améliorer l’offre de service aux plaisanciers et protéger le milieu naturel.</t>
  </si>
  <si>
    <t xml:space="preserve">ATOO Energie</t>
  </si>
  <si>
    <t>jdt@atoomail.com</t>
  </si>
  <si>
    <t>http://www.linkedin.com/in/jean-dominique-tanguy</t>
  </si>
  <si>
    <t>http://www.atoo-energie.com</t>
  </si>
  <si>
    <t xml:space="preserve">15 Rue de Brest, Morlaix, Brittany, France, 29600</t>
  </si>
  <si>
    <t xml:space="preserve">Optimisez vos factures d’énergie et faites des économies ! Accompagnement gratuit par un courtier en électricité et gaz naturel.</t>
  </si>
  <si>
    <t>Coelho</t>
  </si>
  <si>
    <t xml:space="preserve">Gérant fondateur</t>
  </si>
  <si>
    <t xml:space="preserve">ICM Services</t>
  </si>
  <si>
    <t>antoine.coelho@icm-services.fr</t>
  </si>
  <si>
    <t>http://www.linkedin.com/in/antoine-coelho-9708b444</t>
  </si>
  <si>
    <t>http://www.icm-services.fr</t>
  </si>
  <si>
    <t>Castanet-Tolosan</t>
  </si>
  <si>
    <t xml:space="preserve">7 Rue de l'Industrie, Castanet-Tolosan, Occitanie, France, 31320</t>
  </si>
  <si>
    <t xml:space="preserve">actualité icm services 
logiciel libre et full web pour collectitivtés et police municipale
Dématérialisation</t>
  </si>
  <si>
    <t>Sarda</t>
  </si>
  <si>
    <t xml:space="preserve">Fondateur - Directeur des stratégies</t>
  </si>
  <si>
    <t>PREAPHARM</t>
  </si>
  <si>
    <t>thierry.sarda@preapharm.com</t>
  </si>
  <si>
    <t>http://www.linkedin.com/in/thierry-sarda-4a3044b1</t>
  </si>
  <si>
    <t>http://www.preapharm.com</t>
  </si>
  <si>
    <t xml:space="preserve">La santé ne devrait pas être un privilège, mais plutôt un droit universel auquel chacun devrait avoir accès.</t>
  </si>
  <si>
    <t>Thonon</t>
  </si>
  <si>
    <t>OKENITE</t>
  </si>
  <si>
    <t>mt@okan3d.com</t>
  </si>
  <si>
    <t>http://www.linkedin.com/in/marc-thonon-479911168</t>
  </si>
  <si>
    <t>http://www.okan3d.com</t>
  </si>
  <si>
    <t xml:space="preserve">6 Rue Gustave Eiffel, Rosieres-pres-Troyes, Grand Est, France, 10430</t>
  </si>
  <si>
    <t>Triadou</t>
  </si>
  <si>
    <t>Citio</t>
  </si>
  <si>
    <t>coralie@cit.io</t>
  </si>
  <si>
    <t>http://www.linkedin.com/in/coralie-triadou-2212132</t>
  </si>
  <si>
    <t>http://www.cit.io</t>
  </si>
  <si>
    <t xml:space="preserve">17 Rue des Jeuneurs, Paris, Ile-de-France, France, 75002</t>
  </si>
  <si>
    <t>Everaere</t>
  </si>
  <si>
    <t xml:space="preserve">IÉSEG CONSEIL Lille</t>
  </si>
  <si>
    <t>charles.everaere@iesegconseil.com</t>
  </si>
  <si>
    <t>http://www.linkedin.com/in/charles-everaere</t>
  </si>
  <si>
    <t>http://www.iesegconseil.com</t>
  </si>
  <si>
    <t>Pollina</t>
  </si>
  <si>
    <t>FairScope</t>
  </si>
  <si>
    <t>thibaut@fairscope.com</t>
  </si>
  <si>
    <t>http://www.linkedin.com/in/thibaut-pollina-a1693627</t>
  </si>
  <si>
    <t>http://www.fairscope.com</t>
  </si>
  <si>
    <t xml:space="preserve">14 Allee Saint-Francois, Saint-Martin-des-Champs, Bretagne, France, 29600</t>
  </si>
  <si>
    <t>Simeon</t>
  </si>
  <si>
    <t xml:space="preserve">CAPFOR Mauritius</t>
  </si>
  <si>
    <t>esimeon@capfor.com</t>
  </si>
  <si>
    <t>http://www.linkedin.com/in/edouard-simeon-33270553</t>
  </si>
  <si>
    <t>http://www.capfor.mu</t>
  </si>
  <si>
    <t xml:space="preserve">Eugene Laurent Street, Port Louis, Port Louis District, Mauritius</t>
  </si>
  <si>
    <t>W.</t>
  </si>
  <si>
    <t>PROSYSTEL</t>
  </si>
  <si>
    <t>fwacogne@prosystel.com</t>
  </si>
  <si>
    <t>http://www.linkedin.com/in/fabricewacogne</t>
  </si>
  <si>
    <t>http://www.prosystel.com</t>
  </si>
  <si>
    <t xml:space="preserve">Igny, Ile-de-France, France, 91430</t>
  </si>
  <si>
    <t xml:space="preserve">LE CENTRAL TECHNIQUE</t>
  </si>
  <si>
    <t>p.pereira@lecentraltechnique.fr</t>
  </si>
  <si>
    <t>http://www.linkedin.com/in/pierre-pereira-a738775a</t>
  </si>
  <si>
    <t>http://www.le-central-technique.com</t>
  </si>
  <si>
    <t xml:space="preserve">47 Rue Georges Remond, Gagny, Ile-de-France, France, 93220</t>
  </si>
  <si>
    <t>Noyon</t>
  </si>
  <si>
    <t xml:space="preserve">NCI Informatique</t>
  </si>
  <si>
    <t>gilles.noyon@nci.fr</t>
  </si>
  <si>
    <t>http://www.linkedin.com/in/gilles-noyon-2b0ba625</t>
  </si>
  <si>
    <t>http://www.nci.fr</t>
  </si>
  <si>
    <t xml:space="preserve">Allee de Cindais, Saint-Andre-sur-Orne, Normandy, France, 14320</t>
  </si>
  <si>
    <t xml:space="preserve">NCI accompagne les PME françaises dans leur croissance et leur transformation digitale grâce à des solutions IT sur mesure.</t>
  </si>
  <si>
    <t>Ragaleux</t>
  </si>
  <si>
    <t>alexandre@kmblabs.com</t>
  </si>
  <si>
    <t>http://www.linkedin.com/in/alexandreragaleux-chatbot</t>
  </si>
  <si>
    <t>Yupiik</t>
  </si>
  <si>
    <t>fpapon@yupiik.com</t>
  </si>
  <si>
    <t>http://www.linkedin.com/in/paponfrancois</t>
  </si>
  <si>
    <t>http://www.yupiik.com</t>
  </si>
  <si>
    <t xml:space="preserve">2 Rue de la Republique, Saint-Drezery, Occitanie, France, 34160</t>
  </si>
  <si>
    <t>Jager</t>
  </si>
  <si>
    <t>LEANCURE</t>
  </si>
  <si>
    <t>laurent.jager@leancure.com</t>
  </si>
  <si>
    <t>http://www.linkedin.com/in/laurent-jager-aa20071</t>
  </si>
  <si>
    <t>http://www.leancure.com</t>
  </si>
  <si>
    <t xml:space="preserve">1 Rue Henri Spriet, Mondeville, Lower Normandy, France, 14120</t>
  </si>
  <si>
    <t xml:space="preserve">Leancure View MES vous permets de digitaliser votre performance et votre qualité en toute simplicité grâce à nos solutions modulaires.</t>
  </si>
  <si>
    <t>Vergnaud</t>
  </si>
  <si>
    <t xml:space="preserve">Mood Conseil</t>
  </si>
  <si>
    <t>tvergnaud@mood-conseil.fr</t>
  </si>
  <si>
    <t>http://www.linkedin.com/in/thomas-vergnaud-927b2013</t>
  </si>
  <si>
    <t>http://www.mood-conseil.fr</t>
  </si>
  <si>
    <t xml:space="preserve">15 Avenue de la Bonne Humeur, Nantes, Pays de la Loire, France, 44300</t>
  </si>
  <si>
    <t xml:space="preserve">Mood Conseil : Votre partenaire expert en conseil du financement de l'innovation. Solutions de financement sur mesure et un accompagnement stratégique.</t>
  </si>
  <si>
    <t>Betrancourt</t>
  </si>
  <si>
    <t xml:space="preserve">Incubate Conseil</t>
  </si>
  <si>
    <t>vbetrancourt@incubate-yourself.com</t>
  </si>
  <si>
    <t>http://www.linkedin.com/in/vincent-betrancourt-3a8a8a98</t>
  </si>
  <si>
    <t>http://www.incubate-conseil.com</t>
  </si>
  <si>
    <t xml:space="preserve">87 Rue du Fontenoy, Roubaix, Hauts-de-France, France, 59100</t>
  </si>
  <si>
    <t xml:space="preserve">Conseil en transformation et en accompagnement de l'Entreprise vers sa transformation. Pour Incubate Conseil, c'est d'abord embarquer ses femmes et ses hommes en leur donnant confiance dans la réalisation de leur quotidien. Le capital humain, le cœur de votre projet...</t>
  </si>
  <si>
    <t>Catala</t>
  </si>
  <si>
    <t>Uska</t>
  </si>
  <si>
    <t>dcatala@dahub.io</t>
  </si>
  <si>
    <t>http://www.linkedin.com/in/damien-catala-15125b11b</t>
  </si>
  <si>
    <t>http://www.uska.fr</t>
  </si>
  <si>
    <t xml:space="preserve">Montbonnot-Saint-Martin, Auvergne-Rhone-Alpes, France, 38330</t>
  </si>
  <si>
    <t xml:space="preserve">Grâce à la solution de référencement local Uska, les recherches Google deviennent de nouveaux clients. Gestion des informations, e-réputation, réseaux sociaux...</t>
  </si>
  <si>
    <t>Evelyne</t>
  </si>
  <si>
    <t>2Be-FFICIENT</t>
  </si>
  <si>
    <t>emartin@2befficient.fr</t>
  </si>
  <si>
    <t>http://www.linkedin.com/in/evelyne-martin-2204bb170</t>
  </si>
  <si>
    <t>http://www.2befficient.fr</t>
  </si>
  <si>
    <t xml:space="preserve">2Be-FFICIENT : logiciel monitoring qui mesure et optimise la performance de votre site et application mobile centrée experience utilisateur</t>
  </si>
  <si>
    <t>Pasquier</t>
  </si>
  <si>
    <t>AVEST</t>
  </si>
  <si>
    <t>louis.pasquier@avest.fr</t>
  </si>
  <si>
    <t>http://www.linkedin.com/in/louispasquier</t>
  </si>
  <si>
    <t>http://www.avest.fr</t>
  </si>
  <si>
    <t xml:space="preserve">AVEST identifie des prospects sur votre secteur, vous assiste pour les convertir en clients et vous aide à être plus productif.</t>
  </si>
  <si>
    <t>Srifi</t>
  </si>
  <si>
    <t xml:space="preserve">Co Founder &amp; CTO</t>
  </si>
  <si>
    <t>Crawlo</t>
  </si>
  <si>
    <t>mehdi@crawlo.com</t>
  </si>
  <si>
    <t>http://www.linkedin.com/in/mehdi-boudou-srifi-bb677172</t>
  </si>
  <si>
    <t>http://www.crawlo.com</t>
  </si>
  <si>
    <t xml:space="preserve">9 Οδός Εφέσου, Paralimni, Famagusta, Cyprus, 5280</t>
  </si>
  <si>
    <t>Cyprus</t>
  </si>
  <si>
    <t>Grimont</t>
  </si>
  <si>
    <t xml:space="preserve">Co-fondateur de Yoti</t>
  </si>
  <si>
    <t>Yoti</t>
  </si>
  <si>
    <t>jacques.grimont@yoti-shop.fr</t>
  </si>
  <si>
    <t>http://www.linkedin.com/in/jacques-grimont</t>
  </si>
  <si>
    <t>http://www.yoti-shop.fr</t>
  </si>
  <si>
    <t xml:space="preserve">2D Rue Marceau, Houilles, Ile-de-France, France, 78800</t>
  </si>
  <si>
    <t xml:space="preserve">Yoti collecte, reconditionne et commercialise des jouets et jeux de seconde main. Que vous soyez un particulier, une entreprise ou une association, nous récupérons tous les jouets pour leur donner une seconde vie. Avec Yoti, vous faites un geste écologique et social en achetant des jeux d’occasion à petits prix !</t>
  </si>
  <si>
    <t>Candice</t>
  </si>
  <si>
    <t>igonogo</t>
  </si>
  <si>
    <t>candice.francois@igonogo.co</t>
  </si>
  <si>
    <t>http://www.linkedin.com/in/candicefrancois</t>
  </si>
  <si>
    <t>http://www.igonogo.io</t>
  </si>
  <si>
    <t xml:space="preserve">5 Place Nelson Mandela, Grenoble, Auvergne-Rhone-Alpes, France, 38000</t>
  </si>
  <si>
    <t xml:space="preserve">Igonogo, c’est la simplicité des enquêtes en ligne avec la précision des mesures en sciences comportementales pour détecter les émotions et non-dits de vos clients en toute autonomie.</t>
  </si>
  <si>
    <t>Adish</t>
  </si>
  <si>
    <t>Kattel</t>
  </si>
  <si>
    <t>Hyteno</t>
  </si>
  <si>
    <t>adish@hyteno.com</t>
  </si>
  <si>
    <t>http://www.linkedin.com/in/adish-kattel-971626149</t>
  </si>
  <si>
    <t>http://www.hyteno.com</t>
  </si>
  <si>
    <t xml:space="preserve">Hyteno provides affordable digital solutions for restaurants to help them grow, and build customer loyalty.</t>
  </si>
  <si>
    <t>Theveny</t>
  </si>
  <si>
    <t xml:space="preserve">LA BONNE GRAINE</t>
  </si>
  <si>
    <t>jerome.theveny@labonnegraine.org</t>
  </si>
  <si>
    <t>http://www.linkedin.com/in/j%c3%a9r%c3%b4me-theveny-624b5177</t>
  </si>
  <si>
    <t>http://www.labonnegraine.org</t>
  </si>
  <si>
    <t xml:space="preserve">200BIS Boulevard Voltaire, Paris, Ile-de-France, France, 75011</t>
  </si>
  <si>
    <t>Alvaro</t>
  </si>
  <si>
    <t>Ruiz</t>
  </si>
  <si>
    <t xml:space="preserve">Co-Founder &amp; CCO</t>
  </si>
  <si>
    <t>Leanspace</t>
  </si>
  <si>
    <t>alvaro@leanspace.io</t>
  </si>
  <si>
    <t>http://www.linkedin.com/in/alvaro-alonso-ruiz-125b833</t>
  </si>
  <si>
    <t>http://www.leanspace.io</t>
  </si>
  <si>
    <t>Peretie</t>
  </si>
  <si>
    <t xml:space="preserve">Adok le Hub tactile</t>
  </si>
  <si>
    <t>paul@getadok.com</t>
  </si>
  <si>
    <t>http://www.linkedin.com/in/paul-p%c3%a9reti%c3%a9-a9979192</t>
  </si>
  <si>
    <t>http://www.getadok.com</t>
  </si>
  <si>
    <t xml:space="preserve">23 Rue Jean-Jacques Rousseau, Paris, Ile-de-France, France, 75001</t>
  </si>
  <si>
    <t xml:space="preserve">Un concentré de technologie fabriqué en France pour donner vie aux idées des équipes les plus performantes. Enterprise Graded &amp; Compatible avec toutes vos applications</t>
  </si>
  <si>
    <t>Algoedt</t>
  </si>
  <si>
    <t>Orika</t>
  </si>
  <si>
    <t>aalgoedt@orika.fr</t>
  </si>
  <si>
    <t>http://www.linkedin.com/in/alexandre-algoedt-7566ab38</t>
  </si>
  <si>
    <t>http://www.orika.fr</t>
  </si>
  <si>
    <t xml:space="preserve">1 Rue Emile Hugot, Saint-Denis, Saint Denis, Reunion, 97490</t>
  </si>
  <si>
    <t>home</t>
  </si>
  <si>
    <t>dominique.mary@darwin-x.com</t>
  </si>
  <si>
    <t>http://www.linkedin.com/in/dominiquemary</t>
  </si>
  <si>
    <t>Tamtchoun</t>
  </si>
  <si>
    <t xml:space="preserve">CEO &amp; CoFounder</t>
  </si>
  <si>
    <t xml:space="preserve">TAMS CONSEIL RH</t>
  </si>
  <si>
    <t>jtamtchoun@tams-conseil.com</t>
  </si>
  <si>
    <t>http://www.linkedin.com/in/joeltamtchoun</t>
  </si>
  <si>
    <t>http://www.rockettalents.com</t>
  </si>
  <si>
    <t>Nadjar</t>
  </si>
  <si>
    <t>Costockage</t>
  </si>
  <si>
    <t>mickaelnadjar@costockage.fr</t>
  </si>
  <si>
    <t>http://www.linkedin.com/in/mickael-nadjar-aa7b4a</t>
  </si>
  <si>
    <t>http://www.costockage.fr</t>
  </si>
  <si>
    <t xml:space="preserve">13 Rue Emmanuel Chauviere, Paris, Ile-de-France, France, 75015</t>
  </si>
  <si>
    <t>Legros</t>
  </si>
  <si>
    <t xml:space="preserve">Managing Partner - Founder of Opase</t>
  </si>
  <si>
    <t>OPASE</t>
  </si>
  <si>
    <t>jcl@opase.com</t>
  </si>
  <si>
    <t>http://www.linkedin.com/in/jean-christophe-legros-9930561</t>
  </si>
  <si>
    <t>http://www.opase.com</t>
  </si>
  <si>
    <t xml:space="preserve">2 Rue Maurice Hartmann, Issy-les-Moulineaux, Ile-de-France, France, 92130</t>
  </si>
  <si>
    <t xml:space="preserve">OBMS, leader Européen des solutions VMS, automatise et simplifie vos achats de prestations intellectuelles. Centralisez le suivi de vos projets en assistance technique, au forfait ou intérim.</t>
  </si>
  <si>
    <t>Walleghem</t>
  </si>
  <si>
    <t xml:space="preserve">CTO &amp; Co-Fondateur</t>
  </si>
  <si>
    <t>Easop</t>
  </si>
  <si>
    <t>jordan@easop.com</t>
  </si>
  <si>
    <t>http://www.linkedin.com/in/vanwalj</t>
  </si>
  <si>
    <t>http://www.easop.com</t>
  </si>
  <si>
    <t xml:space="preserve">We help US companies 🇺🇸 stay compliant in 70+ countries, incentivizing employees, contractors, and advisors while eliminating risks, costs, and data scarcity.</t>
  </si>
  <si>
    <t>Rickauer</t>
  </si>
  <si>
    <t xml:space="preserve">Groupe CONEXYS</t>
  </si>
  <si>
    <t>srickauer@conexys.fr</t>
  </si>
  <si>
    <t>http://www.linkedin.com/in/st%c3%a9phan-rickauer-2a2a19229</t>
  </si>
  <si>
    <t>http://www.groupeconexys.fr</t>
  </si>
  <si>
    <t xml:space="preserve">La Teste-de-Buch</t>
  </si>
  <si>
    <t xml:space="preserve">9 Avenue Pythagore, Merignac, Nouvelle-Aquitaine, France, 33700</t>
  </si>
  <si>
    <t xml:space="preserve">Le Groupe Conexys est spécialisé dans la vente, la location et maintenance de photocopieurs de marque sur Bordeaux. Expert en solutions d'impression pour les professionnels.</t>
  </si>
  <si>
    <t>Fatehi</t>
  </si>
  <si>
    <t>AIRA</t>
  </si>
  <si>
    <t>aziz@aira.fr</t>
  </si>
  <si>
    <t>http://www.linkedin.com/in/aziz-fatehi-21b071251</t>
  </si>
  <si>
    <t>http://www.aira.fr</t>
  </si>
  <si>
    <t xml:space="preserve">Automate your workflow with us and access the power of multiple platform integration. AIRA allows you to create low code business automation workflows with unique features of RPA, IDP and Gen AI.</t>
  </si>
  <si>
    <t>Guettat</t>
  </si>
  <si>
    <t>SECURAS</t>
  </si>
  <si>
    <t>mohamed.guettat@securas.fr</t>
  </si>
  <si>
    <t>http://www.linkedin.com/in/maguettat</t>
  </si>
  <si>
    <t>http://www.securas.fr</t>
  </si>
  <si>
    <t xml:space="preserve">Explore the innovative cybersecurity company, serving as your shield against cyber threats. Our mission is to ensure your peace of mind.</t>
  </si>
  <si>
    <t>Chemouhoum</t>
  </si>
  <si>
    <t>Noticia</t>
  </si>
  <si>
    <t>jordan.chemouhoum@noticia.ai</t>
  </si>
  <si>
    <t>http://www.linkedin.com/in/jordan-chemouhoum</t>
  </si>
  <si>
    <t>http://www.noticia.ai</t>
  </si>
  <si>
    <t xml:space="preserve">Découvrez Noticia et proposez à vos clients de récupérer leur ticket de caisse dématérialisé instantanément sur leur smartphone avec le scan d'un QR code.</t>
  </si>
  <si>
    <t>Neyrial</t>
  </si>
  <si>
    <t xml:space="preserve">Neyrial Informatique</t>
  </si>
  <si>
    <t>jneyrial@neyrial.com</t>
  </si>
  <si>
    <t>http://www.linkedin.com/in/julien-neyrial-57074435</t>
  </si>
  <si>
    <t>http://www.neyrial.com</t>
  </si>
  <si>
    <t xml:space="preserve">10 Rue Patrick Depailler, Clermont-Ferrand, Auvergne, France, 63000</t>
  </si>
  <si>
    <t xml:space="preserve">METALINE DIVISION LOGICIELS</t>
  </si>
  <si>
    <t>ebrisset@soft-ghh.com</t>
  </si>
  <si>
    <t>http://www.linkedin.com/in/emmanuel-brisset-166a151</t>
  </si>
  <si>
    <t>http://www.qualiparc.net</t>
  </si>
  <si>
    <t xml:space="preserve">183 Avenue Georges Clemenceau, Nanterre, Ile-de-France, France, 92000</t>
  </si>
  <si>
    <t xml:space="preserve">Qualiparc.net vous accompagne dans votre transformation digitale. Notre solution vous permet de gérer l'ensemble des assets de votre entreprise, de piloter de façon optimale votre service desk et vous accompagne sur l'ensemble de vos services.</t>
  </si>
  <si>
    <t>Tual</t>
  </si>
  <si>
    <t>JobPass</t>
  </si>
  <si>
    <t>pierre-yves@jobpass.com</t>
  </si>
  <si>
    <t>http://www.linkedin.com/in/pierre-yves-tual-a70515129</t>
  </si>
  <si>
    <t>http://www.jobpass.com</t>
  </si>
  <si>
    <t xml:space="preserve">Laval, Pays de la Loire, France</t>
  </si>
  <si>
    <t xml:space="preserve">Jobpass est le 1er outil de gestion de la recherche d'emploi pour les candidats. Une recherche d'emploi sans prise de tête, ça change tout !</t>
  </si>
  <si>
    <t>Bonnell</t>
  </si>
  <si>
    <t xml:space="preserve">Co-founder &amp; Client Partner</t>
  </si>
  <si>
    <t xml:space="preserve">SARL TOX</t>
  </si>
  <si>
    <t>tbonnell@takeoffxp.com</t>
  </si>
  <si>
    <t>http://www.linkedin.com/in/th%c3%a9o-bonnell-741633a6</t>
  </si>
  <si>
    <t>http://www.takeoffxp.com</t>
  </si>
  <si>
    <t xml:space="preserve">We elevate Luxury Brands through tailor-made digital experiences that captivate audiences, inspire innovation, and set new standards of excellence.</t>
  </si>
  <si>
    <t>Delage</t>
  </si>
  <si>
    <t xml:space="preserve">GREENSPARK S.A.S</t>
  </si>
  <si>
    <t>robin.delage@greenspark.fr</t>
  </si>
  <si>
    <t>http://www.linkedin.com/in/robin-delage-0b6755106</t>
  </si>
  <si>
    <t>http://www.greenspark.fr</t>
  </si>
  <si>
    <t>Genelard</t>
  </si>
  <si>
    <t xml:space="preserve">16 Rue nationale, Genelard, Bourgogne-Franche-Comte, France, 71420</t>
  </si>
  <si>
    <t xml:space="preserve">Greenspark vous propose des solutions ERP pour les métiers des Vins et Spiritueux. Nous sommes partenaire officiel de Jeeves ERP et vous proposons de vous aider à optimiser votre utilisation de Jeeves à travers des formations et des add-ons.</t>
  </si>
  <si>
    <t>Ventuzelo</t>
  </si>
  <si>
    <t xml:space="preserve">Founder &amp; CEO | Security Researcher | Trainer</t>
  </si>
  <si>
    <t>FuzzingLabs</t>
  </si>
  <si>
    <t>patrick@fuzzinglabs.com</t>
  </si>
  <si>
    <t>http://www.linkedin.com/in/patrick-ventuzelo</t>
  </si>
  <si>
    <t>http://www.fuzzinglabs.com</t>
  </si>
  <si>
    <t xml:space="preserve">FuzzingLabs offers security assessments, state-of-the-art security tools development and expert training programs.</t>
  </si>
  <si>
    <t>Wassim</t>
  </si>
  <si>
    <t>Amri</t>
  </si>
  <si>
    <t>Kosmos</t>
  </si>
  <si>
    <t>w.amri@kosmostechnologies.io</t>
  </si>
  <si>
    <t>http://www.linkedin.com/in/wassim-amri-74a53011</t>
  </si>
  <si>
    <t>http://www.kosmostechnologies.io</t>
  </si>
  <si>
    <t xml:space="preserve">34 Avenue des Champs-Elysees, Paris, Ile-de-France, France, 75008</t>
  </si>
  <si>
    <t>Hage</t>
  </si>
  <si>
    <t>AUXEL</t>
  </si>
  <si>
    <t>vincent.hage@auxel.com</t>
  </si>
  <si>
    <t>http://www.linkedin.com/in/vincent-hage-600878125</t>
  </si>
  <si>
    <t>http://www.auxel.com</t>
  </si>
  <si>
    <t xml:space="preserve">Rue de la Barre, Gondecourt, Hauts-de-France, France, 59147</t>
  </si>
  <si>
    <t>Issam</t>
  </si>
  <si>
    <t>Oudrhiri</t>
  </si>
  <si>
    <t xml:space="preserve">ODIT Governance</t>
  </si>
  <si>
    <t>issam.oudrhiri@oditgouvernance.com</t>
  </si>
  <si>
    <t>http://www.linkedin.com/in/issam-oudrhiri-1b07a19b</t>
  </si>
  <si>
    <t>http://www.oditgouvernance.com</t>
  </si>
  <si>
    <t xml:space="preserve">41 Rue Delizy, Pantin, Ile-de-France, France, 93500</t>
  </si>
  <si>
    <t>Hamelle</t>
  </si>
  <si>
    <t>opensquare</t>
  </si>
  <si>
    <t>olivier@opensquare.eu</t>
  </si>
  <si>
    <t>http://www.linkedin.com/in/olivierhamelle</t>
  </si>
  <si>
    <t>http://www.opensquare.eu</t>
  </si>
  <si>
    <t xml:space="preserve">12 Rue de la Tombe-Issoire, Paris, Ile-de-France, France, 75014</t>
  </si>
  <si>
    <t>Dabilly</t>
  </si>
  <si>
    <t xml:space="preserve">Directeur Général | Managing Director</t>
  </si>
  <si>
    <t>RAILwAI</t>
  </si>
  <si>
    <t>bruno.dabilly@railwai.com</t>
  </si>
  <si>
    <t>http://www.linkedin.com/in/bruno-dabilly-a1ba9440</t>
  </si>
  <si>
    <t>http://www.railwai.com</t>
  </si>
  <si>
    <t xml:space="preserve">Optimiser la performance de votre réseau et passer d'une maintenance préventive à une maintenance prédictive avec RAILwAI</t>
  </si>
  <si>
    <t>Amedee</t>
  </si>
  <si>
    <t>Konverso</t>
  </si>
  <si>
    <t>amedee.potier@konverso.ai</t>
  </si>
  <si>
    <t>http://www.linkedin.com/in/amedeepotier</t>
  </si>
  <si>
    <t>http://www.konverso.ai</t>
  </si>
  <si>
    <t xml:space="preserve">Discover  AI agents built for your team's needs, leveraging the best generative AI models, seamlessly integrated with enterprise private data, and using tools to boost employees’ productivity.</t>
  </si>
  <si>
    <t>Salamon</t>
  </si>
  <si>
    <t>Panopli</t>
  </si>
  <si>
    <t>adrien@panopli.co</t>
  </si>
  <si>
    <t>http://www.linkedin.com/in/adriensalamon</t>
  </si>
  <si>
    <t>http://www.panopli.co</t>
  </si>
  <si>
    <t xml:space="preserve">Optez pour Panopli et révolutionnez votre approche des cadeaux d'entreprise. Offrez des cadeaux uniques et responsables qui marquent les esprits.</t>
  </si>
  <si>
    <t>Kolb</t>
  </si>
  <si>
    <t xml:space="preserve">TTM Environnement</t>
  </si>
  <si>
    <t>matthieu.kolb@ttm-environnement.fr</t>
  </si>
  <si>
    <t>http://www.linkedin.com/in/matthieu-kolb-492272124</t>
  </si>
  <si>
    <t>http://www.ttm-environnement.fr</t>
  </si>
  <si>
    <t xml:space="preserve">Chemin de l'Ecluse, Custines, Grand Est, France, 54670</t>
  </si>
  <si>
    <t xml:space="preserve">TTM votre partenaire local pour la collecte, le traitement et le recyclage de vos déchets industriels et urbains et de chantier.</t>
  </si>
  <si>
    <t>Districall</t>
  </si>
  <si>
    <t>antoine@districall.com</t>
  </si>
  <si>
    <t>http://www.linkedin.com/in/antoine-lambert-439a76164</t>
  </si>
  <si>
    <t>http://www.districall.com</t>
  </si>
  <si>
    <t xml:space="preserve">183 Avenue Achille Peretti, Neuilly-sur-Seine, Ile-de-France, France, 92200</t>
  </si>
  <si>
    <t xml:space="preserve">Districall est une application mobile qui permet de disposer d'un numéro fixe accessible depuis votre mobile en moins d'une minute, seul ou à plusieurs !</t>
  </si>
  <si>
    <t>Dousset</t>
  </si>
  <si>
    <t>francois.dousset@we-and.fr</t>
  </si>
  <si>
    <t>http://www.linkedin.com/in/francois-dousset</t>
  </si>
  <si>
    <t>http://www.we-and.fr</t>
  </si>
  <si>
    <t>Lorne</t>
  </si>
  <si>
    <t xml:space="preserve">Altavia In Store</t>
  </si>
  <si>
    <t>n.lorne@altavia-group.com</t>
  </si>
  <si>
    <t>http://www.linkedin.com/in/nicolas-lorne-72434060</t>
  </si>
  <si>
    <t>http://www.altavia-instore.com</t>
  </si>
  <si>
    <t xml:space="preserve">10 Rue Blanqui, Saint-Ouen, Ile-de-France, France, 93400</t>
  </si>
  <si>
    <t xml:space="preserve">La communication commerciale en magasin.</t>
  </si>
  <si>
    <t>Reydellet</t>
  </si>
  <si>
    <t>sylvain.reydellet@mobilites-demain.com</t>
  </si>
  <si>
    <t>http://www.linkedin.com/in/sylvain-reydellet-54b36986</t>
  </si>
  <si>
    <t>Capurro</t>
  </si>
  <si>
    <t>acapurro@orkis.com</t>
  </si>
  <si>
    <t>http://www.linkedin.com/in/andrecapurro-orkis</t>
  </si>
  <si>
    <t>Bouey</t>
  </si>
  <si>
    <t xml:space="preserve">Manager Général / Directeur de Projets</t>
  </si>
  <si>
    <t xml:space="preserve">altavia insitaction</t>
  </si>
  <si>
    <t>sbouey@insitaction.com</t>
  </si>
  <si>
    <t>http://www.linkedin.com/in/samuel-bouey-007614a4</t>
  </si>
  <si>
    <t>http://www.insitaction.com</t>
  </si>
  <si>
    <t xml:space="preserve">Rue de Paris, Lille, Nord-Pas-de-Calais, France, 59800</t>
  </si>
  <si>
    <t xml:space="preserve">altavia insitaction vous accompagne depuis 2004 en conseil, design d'expérience et en développement informatique au service de l'optimisation de vos process et de votre performance commerciale.</t>
  </si>
  <si>
    <t>Lannoo</t>
  </si>
  <si>
    <t>Relatia</t>
  </si>
  <si>
    <t>plannoo@relatia.fr</t>
  </si>
  <si>
    <t>http://www.linkedin.com/in/pascallannoo</t>
  </si>
  <si>
    <t>http://www.relatia.fr</t>
  </si>
  <si>
    <t xml:space="preserve">8 Rue de Choiseul, Paris, Ile-de-France, France, 75002</t>
  </si>
  <si>
    <t>Edmond</t>
  </si>
  <si>
    <t xml:space="preserve">Ticket com</t>
  </si>
  <si>
    <t>emichel@ticket-com.com</t>
  </si>
  <si>
    <t>http://www.linkedin.com/in/edmond-michel-60862347</t>
  </si>
  <si>
    <t>http://www.ticket-com.com</t>
  </si>
  <si>
    <t xml:space="preserve">48 Rue Greneta, Paris, Ile-de-France, France, 75002</t>
  </si>
  <si>
    <t xml:space="preserve">Votre publicité au dos des tickets de caisse de GMS, de restaurants et d'autres, sera remise en main propre à 100% des consommateurs tous les jours !</t>
  </si>
  <si>
    <t>Boisson</t>
  </si>
  <si>
    <t xml:space="preserve">Co-fondatrice &amp; Directrice</t>
  </si>
  <si>
    <t>LUCKYTIME</t>
  </si>
  <si>
    <t>cboisson@luckytime.fr</t>
  </si>
  <si>
    <t>http://www.linkedin.com/in/charlotte-boisson-44b12422</t>
  </si>
  <si>
    <t>http://www.luckytime.fr</t>
  </si>
  <si>
    <t xml:space="preserve">9 Place Jacques Marette, Paris, Ile-de-France, France, 75015</t>
  </si>
  <si>
    <t xml:space="preserve">Découvrez LuckyTime, une agence de communication et de marketing digital sur les réseaux sociaux spécialisée dans le cinéma, l’Entertainement et la culture.</t>
  </si>
  <si>
    <t>Sirugue</t>
  </si>
  <si>
    <t>IBSI</t>
  </si>
  <si>
    <t>frederic.sirugue@ibsi.fr</t>
  </si>
  <si>
    <t>http://www.linkedin.com/in/frederic-sirugue-9b961942</t>
  </si>
  <si>
    <t>http://www.ibsi.fr</t>
  </si>
  <si>
    <t xml:space="preserve">Nanterre, Ile-de-France, France</t>
  </si>
  <si>
    <t xml:space="preserve">IBSI vous accompagne depuis 2003 dans les périmètres suivants : intégration, déploiement informatique, support d'exploitation, ingénierie technique, conseil et expertise.</t>
  </si>
  <si>
    <t>Toledano</t>
  </si>
  <si>
    <t>Décorasol</t>
  </si>
  <si>
    <t>aurelie@decorasol.fr</t>
  </si>
  <si>
    <t>http://www.linkedin.com/in/aur%c3%a9lie-sitbon-toledano-235723202</t>
  </si>
  <si>
    <t>http://www.decorasol.fr</t>
  </si>
  <si>
    <t xml:space="preserve">49B Rue Sainte-Anne, Paris, Ile-de-France, France, 75002</t>
  </si>
  <si>
    <t xml:space="preserve">Parquets, parquets stratifiés, sols vinyles, moquettes - Le plus grand stock d'IDF- Garantie prix bas</t>
  </si>
  <si>
    <t>easyOptima</t>
  </si>
  <si>
    <t>pierre.wang@easyoptima.com</t>
  </si>
  <si>
    <t>http://www.linkedin.com/in/pierre-wang-898aa55</t>
  </si>
  <si>
    <t>http://www.easyoptima.com</t>
  </si>
  <si>
    <t xml:space="preserve">28 Quai Gallieni, Suresnes, Ile-de-France, France, 92150</t>
  </si>
  <si>
    <t xml:space="preserve">easyOptima - Un agent virtuel multifonctions</t>
  </si>
  <si>
    <t xml:space="preserve">InovaGès &amp; NRC</t>
  </si>
  <si>
    <t>ghoffmann@inovages.com</t>
  </si>
  <si>
    <t>http://www.linkedin.com/in/guillaumehoffmann</t>
  </si>
  <si>
    <t>http://www.inovages.com</t>
  </si>
  <si>
    <t xml:space="preserve">10 Allee des Chevreuils, Lissieu, Auvergne-Rhone-Alpes, France, 69380</t>
  </si>
  <si>
    <t xml:space="preserve">Optimisez votre gestion au quotidien grâce à un logiciel ERP, compta, paie &amp; RH, gestion commerciale, bâtiment ... Trouvez la solution qu'il vous faut !</t>
  </si>
  <si>
    <t>Edel</t>
  </si>
  <si>
    <t>AGENSIA</t>
  </si>
  <si>
    <t>m.edel@agensia-cuisines.fr</t>
  </si>
  <si>
    <t>http://www.linkedin.com/in/marc-edel-8a1164a2</t>
  </si>
  <si>
    <t>http://www.cuisinesagensia.fr</t>
  </si>
  <si>
    <t xml:space="preserve">2a Rue Marguerite Perey, Hoerdt, Grand Est, France, 67720</t>
  </si>
  <si>
    <t xml:space="preserve">CEO et fondatrice</t>
  </si>
  <si>
    <t>MAINPACES</t>
  </si>
  <si>
    <t>therese@mainpaces.com</t>
  </si>
  <si>
    <t>http://www.linkedin.com/in/thereselemarchand</t>
  </si>
  <si>
    <t>http://www.mainpaces.com</t>
  </si>
  <si>
    <t xml:space="preserve">4 Impasse Sandrie, Paris, Ile-de-France, France, 75009</t>
  </si>
  <si>
    <t xml:space="preserve">Mainpaces accompagne les dirigeants dans une approche régénérative inspirée du sport de haut niveau.</t>
  </si>
  <si>
    <t>Dassaud</t>
  </si>
  <si>
    <t xml:space="preserve">Associé fondateur de Delaware Consulting</t>
  </si>
  <si>
    <t xml:space="preserve">Delaware Consulting</t>
  </si>
  <si>
    <t>patrick.dassaud@delawareconsulting.com</t>
  </si>
  <si>
    <t>http://www.linkedin.com/in/patrick-dassaud-80902628</t>
  </si>
  <si>
    <t>http://www.delawareconsulting.com.au</t>
  </si>
  <si>
    <t xml:space="preserve">Brisbane, Queensland, Australia</t>
  </si>
  <si>
    <t>Lovett</t>
  </si>
  <si>
    <t>Innocraft</t>
  </si>
  <si>
    <t>edouard.lovett@innocraft.co</t>
  </si>
  <si>
    <t>http://www.linkedin.com/in/edouard-lovett-3b987391</t>
  </si>
  <si>
    <t>http://www.innocraft.co</t>
  </si>
  <si>
    <t>Crunelle</t>
  </si>
  <si>
    <t xml:space="preserve">LJA Bureautique Services</t>
  </si>
  <si>
    <t>fcrunelle@lja-bureautique.fr</t>
  </si>
  <si>
    <t>http://www.linkedin.com/in/franck-crunelle-3055911a1</t>
  </si>
  <si>
    <t>http://www.lja-bureautique.fr</t>
  </si>
  <si>
    <t xml:space="preserve">1 Rue Denis Masquelier, Pont-a-Marcq, Nord-Pas-de-Calais-Picardie, France, 59710</t>
  </si>
  <si>
    <t xml:space="preserve">Bienvenue chez LJA bureautique : votre expert en solutions bureautiques et d’affichages dynamiques pour les professionnels.</t>
  </si>
  <si>
    <t>Bezombes</t>
  </si>
  <si>
    <t xml:space="preserve">Chief Creative Officer and co-founder</t>
  </si>
  <si>
    <t>reciproque</t>
  </si>
  <si>
    <t>stephane@reciproque.com</t>
  </si>
  <si>
    <t>http://www.linkedin.com/in/bezombes</t>
  </si>
  <si>
    <t>http://www.reciproque.com</t>
  </si>
  <si>
    <t xml:space="preserve">12BIS Rue Saint-Maur, Paris, Ile-de-France, France, 75011</t>
  </si>
  <si>
    <t xml:space="preserve">Reciproque conçoit des interfaces numériques d'accès à la culture pour les musées, les espaces d'exposition, les bibliothèques et les sites du patrimoine.</t>
  </si>
  <si>
    <t>Delangue</t>
  </si>
  <si>
    <t>Orium</t>
  </si>
  <si>
    <t>c.delangue@oriumfrance.com</t>
  </si>
  <si>
    <t>http://www.linkedin.com/in/christophe-delangue-42b13810</t>
  </si>
  <si>
    <t>http://www.oriumfrance.com</t>
  </si>
  <si>
    <t xml:space="preserve">8 Rue Jean Mermoz, Sainte-Luce-sur-Loire, Pays de la Loire, France, 44980</t>
  </si>
  <si>
    <t xml:space="preserve">Le spécialiste français des stations d'énergie et des panneaux solaires | Livraison rapide en 3 à 5 jours | Paiement en 3 ou 4 fois !</t>
  </si>
  <si>
    <t>Douthe</t>
  </si>
  <si>
    <t>VALESSENTIA</t>
  </si>
  <si>
    <t>jcdouthe@valessentia.com</t>
  </si>
  <si>
    <t>http://www.linkedin.com/in/jean-claude-douthe-b616b7124</t>
  </si>
  <si>
    <t>http://www.valessentia.com</t>
  </si>
  <si>
    <t xml:space="preserve">2 Bergstrasse, Russikon, Zurich, Switzerland, 8322</t>
  </si>
  <si>
    <t>Darfeuille</t>
  </si>
  <si>
    <t xml:space="preserve">Directeur - Associé - Fondateur</t>
  </si>
  <si>
    <t>Openhost</t>
  </si>
  <si>
    <t>cda@openhost.io</t>
  </si>
  <si>
    <t>http://www.linkedin.com/in/christophe-darfeuille-12992215</t>
  </si>
  <si>
    <t>http://www.openhost-network.com</t>
  </si>
  <si>
    <t xml:space="preserve">10 Rue Jean Rouxel, Orvault, Pays de la Loire, France, 44700</t>
  </si>
  <si>
    <t xml:space="preserve">Openhost accompagne les PME et ETI dans la modernisation de leurs outils numériques grâce aux solutions Cloud de Microsoft 365 et Azure.</t>
  </si>
  <si>
    <t>Cyriaque</t>
  </si>
  <si>
    <t>Rios</t>
  </si>
  <si>
    <t>Resolving</t>
  </si>
  <si>
    <t>cr@resolving.com</t>
  </si>
  <si>
    <t>http://www.linkedin.com/in/cyriaque-rios-400a0219</t>
  </si>
  <si>
    <t>http://www.resolving.com</t>
  </si>
  <si>
    <t xml:space="preserve">11 Chemin des Petites Brosses, Caluire-et-Cuire, Auvergne-Rhone-Alpes, France, 69300</t>
  </si>
  <si>
    <t>RRed</t>
  </si>
  <si>
    <t>Croix</t>
  </si>
  <si>
    <t xml:space="preserve">Co-Fondateur et développeur des FRANCHISES</t>
  </si>
  <si>
    <t xml:space="preserve">Le Groupe Ambiances Flammes</t>
  </si>
  <si>
    <t>olivier.croix@ambiances-flammes.fr</t>
  </si>
  <si>
    <t>http://www.linkedin.com/in/olivier-croix-chene-de-vie</t>
  </si>
  <si>
    <t>http://www.ambiances-flammes.fr</t>
  </si>
  <si>
    <t xml:space="preserve">52 Rue de l'Atlantique, Basse-Goulaine, Pays de la Loire, France, 44115</t>
  </si>
  <si>
    <t xml:space="preserve">Plongez dans une ambiance chaleureuse et réconfortante au cœur de votre foyer avec nos solutions de chauffage au bois. Nous vous proposons un devis gratuit en 48 heures pour un poêle, insert ou foyer !</t>
  </si>
  <si>
    <t>Duchadeau</t>
  </si>
  <si>
    <t xml:space="preserve">Founder &amp; CEO, Cloud &amp; Security Advisor</t>
  </si>
  <si>
    <t xml:space="preserve">Five Nines</t>
  </si>
  <si>
    <t>jd@five9s.fr</t>
  </si>
  <si>
    <t>http://www.linkedin.com/in/julien-duchadeau</t>
  </si>
  <si>
    <t>http://www.five9s.fr</t>
  </si>
  <si>
    <t xml:space="preserve">101 Rue Cardinet, Paris, Ile-de-France, France, 75017</t>
  </si>
  <si>
    <t xml:space="preserve">Prospective to your Security. 
Votre Security Factory 24h/24, 7j/7 vous permet d’atteindre les « five nines »: 99,999% pour une haute disponibilité de vos services.     Contactez nos experts    Nos métiers  CLOUD SECURITY</t>
  </si>
  <si>
    <t>Koubbachian</t>
  </si>
  <si>
    <t xml:space="preserve">Hector Saxe Paris</t>
  </si>
  <si>
    <t>patricia@hectorsaxeparis.com</t>
  </si>
  <si>
    <t>http://www.linkedin.com/in/patricia-koubbachian-53856a57</t>
  </si>
  <si>
    <t>http://www.hectorsaxeparis.com</t>
  </si>
  <si>
    <t xml:space="preserve">36 Boulevard de la Bastille, Paris, Ile-de-France, France, 75012</t>
  </si>
  <si>
    <t>Moerman</t>
  </si>
  <si>
    <t xml:space="preserve">Chief Executive Officer &amp; Co-Founder</t>
  </si>
  <si>
    <t>XRATOR</t>
  </si>
  <si>
    <t>francois@x-rator.com</t>
  </si>
  <si>
    <t>http://www.linkedin.com/in/francoismoerman</t>
  </si>
  <si>
    <t>http://www.x-rator.com</t>
  </si>
  <si>
    <t xml:space="preserve">Singapore, 228231</t>
  </si>
  <si>
    <t>p.lucas@groupesebi.com</t>
  </si>
  <si>
    <t>http://www.linkedin.com/in/pascal-lucas-731341146</t>
  </si>
  <si>
    <t>http://www.groupesebi.com</t>
  </si>
  <si>
    <t xml:space="preserve">Rue du Bois Saint-Paul, Saint-Aubin-sur-Gaillon, Normandie, France, 27600</t>
  </si>
  <si>
    <t>Sartoris</t>
  </si>
  <si>
    <t xml:space="preserve">Directrice Générale associée - LinKUp Factory</t>
  </si>
  <si>
    <t>LinkUp</t>
  </si>
  <si>
    <t>laetitia.sartoris@linkupfactory.com</t>
  </si>
  <si>
    <t>http://www.linkedin.com/in/laetitia-sartoris-2462aa75</t>
  </si>
  <si>
    <t>http://www.linkupfactory.com</t>
  </si>
  <si>
    <t xml:space="preserve">10 Rue Vergniaud, Levallois-Perret, Ile-de-France, France, 92300</t>
  </si>
  <si>
    <t xml:space="preserve">Consulting et communication en stratégies d’engagement. Donnons du sens aux démarches contributrices du développement durable.</t>
  </si>
  <si>
    <t>Node-Langlois</t>
  </si>
  <si>
    <t>MBVSI</t>
  </si>
  <si>
    <t>enl@mbvsi.fr</t>
  </si>
  <si>
    <t>http://www.linkedin.com/in/eric-nod%c3%a9-langlois-213945</t>
  </si>
  <si>
    <t>http://www.mbvsi.fr</t>
  </si>
  <si>
    <t xml:space="preserve">91 Avenue de Wagram, Paris, Ile-de-France, France, 75017</t>
  </si>
  <si>
    <t xml:space="preserve">Nous délivrons des systèmes SAP et SAP HANA hébergés sur nos 
infrastructures en France dans les plus brefs délais MBVSi est certifié SAP 
Silver Partner</t>
  </si>
  <si>
    <t>Gaspard</t>
  </si>
  <si>
    <t>Hauet</t>
  </si>
  <si>
    <t>MILO</t>
  </si>
  <si>
    <t>gaspard@getmilo.fr</t>
  </si>
  <si>
    <t>http://www.linkedin.com/in/gaspard-hauet-712587112</t>
  </si>
  <si>
    <t>http://www.milowaco.com</t>
  </si>
  <si>
    <t xml:space="preserve">1195 Oak Valley Dr, Ann Arbor, Michigan, United States, 48108</t>
  </si>
  <si>
    <t xml:space="preserve">Southern inspired, chef driven, seasonal, local and fresh food in the heart of downtown Waco near Magnolia. Across award winning whiskey distillery, Balcones. Neighborhood restaurant featuring nightly specials, wine/beer/cocktail pairings, craft cocktails, small batch whisky, local coffee, daily pastries, house-made dishes and house-made buttermilk biscuits.</t>
  </si>
  <si>
    <t>Jean-Marc</t>
  </si>
  <si>
    <t>Legagneur</t>
  </si>
  <si>
    <t xml:space="preserve">ATALIA Certification</t>
  </si>
  <si>
    <t>jmlegagneur@atalia.fr</t>
  </si>
  <si>
    <t>http://www.linkedin.com/in/jean-marc-legagneur-99b324143</t>
  </si>
  <si>
    <t>http://www.atalia.fr</t>
  </si>
  <si>
    <t xml:space="preserve">1 Place du Marche, Vern-sur-Seiche, Bretagne, France, 35770</t>
  </si>
  <si>
    <t xml:space="preserve">ATALIA Certification, organisme de certification indépendant ISO, NFK, réalise des audits d'évaluation et des formations aux référentiels et à leurs évolutions.</t>
  </si>
  <si>
    <t>http://www.linkedin.com/in/andr%c3%a9-luquet-8a528a210</t>
  </si>
  <si>
    <t>http://www.jl-systems.info</t>
  </si>
  <si>
    <t>L'Etrat</t>
  </si>
  <si>
    <t xml:space="preserve">Saint-Etienne, Auvergne-Rhone-Alpes, France, 42100</t>
  </si>
  <si>
    <t>Daru</t>
  </si>
  <si>
    <t xml:space="preserve">Hommes &amp; Performance</t>
  </si>
  <si>
    <t>pierre.daru@hpsas.com</t>
  </si>
  <si>
    <t>http://www.linkedin.com/in/pierre-daru-62b62743</t>
  </si>
  <si>
    <t>http://www.hpsas.com</t>
  </si>
  <si>
    <t xml:space="preserve">Des consultants en management qui accompagnent les managers et leurs équipes pour donner vie à leurs ambitions et projets de transformation.</t>
  </si>
  <si>
    <t>Arnaudas</t>
  </si>
  <si>
    <t>APAR</t>
  </si>
  <si>
    <t>anne@apar.fr</t>
  </si>
  <si>
    <t>http://www.linkedin.com/in/anne-rousset-arnaudas-67b0901a8</t>
  </si>
  <si>
    <t>http://www.apar.fr</t>
  </si>
  <si>
    <t xml:space="preserve">75 Rue Carnot, Levallois-Perret, Ile-de-France, France, 92300</t>
  </si>
  <si>
    <t>Axel</t>
  </si>
  <si>
    <t>Ruf</t>
  </si>
  <si>
    <t xml:space="preserve">UVEX HECKEL</t>
  </si>
  <si>
    <t>a.ruf@uvex-heckel.fr</t>
  </si>
  <si>
    <t>http://www.linkedin.com/in/axel-ruf-142452116</t>
  </si>
  <si>
    <t>http://www.uvex-heckel.fr</t>
  </si>
  <si>
    <t xml:space="preserve">43 Rue d'Engwiller, Val-de-Moder, Grand Est, France, 67350</t>
  </si>
  <si>
    <t xml:space="preserve">Le groupe uvex développe, fabrique et distribue une large gamme d'équipements de protection individuelle (EPI) de la tête aux pieds.</t>
  </si>
  <si>
    <t>Lawton</t>
  </si>
  <si>
    <t xml:space="preserve">Président Fondateur réseaux d'Experts WI&amp;NE en France</t>
  </si>
  <si>
    <t>WI&amp;NE</t>
  </si>
  <si>
    <t>dlawton@vignesavendre.com</t>
  </si>
  <si>
    <t>http://www.linkedin.com/in/david-lawton-923a9015</t>
  </si>
  <si>
    <t>http://www.wi-ne.net</t>
  </si>
  <si>
    <t>Taillan-Medoc</t>
  </si>
  <si>
    <t xml:space="preserve">Taillan-Medoc, Nouvelle-Aquitaine, France, 33320</t>
  </si>
  <si>
    <t xml:space="preserve">Acquisition domaines viticoles et vignobles à Bordeaux, en Languedoc, en PACA et sur toute la France. Investissez dans les vins et les spiritueux.</t>
  </si>
  <si>
    <t>Simeoni</t>
  </si>
  <si>
    <t xml:space="preserve">Directeur projet - Directeur général délégué</t>
  </si>
  <si>
    <t>kwarto</t>
  </si>
  <si>
    <t>eric.simeoni@kwarto.immo</t>
  </si>
  <si>
    <t>http://www.linkedin.com/in/eric-simeoni-b994a81</t>
  </si>
  <si>
    <t>http://www.kwarto.fr</t>
  </si>
  <si>
    <t xml:space="preserve">27 Avenue de Villiers, Paris, Ile-de-France, France, 75017</t>
  </si>
  <si>
    <t>Drechsler</t>
  </si>
  <si>
    <t>jean-baptiste.drechsler@geoptis.fr</t>
  </si>
  <si>
    <t>http://www.linkedin.com/in/jean-baptiste-drechsler-05a773140</t>
  </si>
  <si>
    <t>Beaujean</t>
  </si>
  <si>
    <t xml:space="preserve">Fondateur et Directeur associé</t>
  </si>
  <si>
    <t xml:space="preserve">Agence troisetplus</t>
  </si>
  <si>
    <t>tb@troisetplus.com</t>
  </si>
  <si>
    <t>http://www.linkedin.com/in/thierry-beaujean-44a4573a</t>
  </si>
  <si>
    <t>http://www.troisetplus.fr</t>
  </si>
  <si>
    <t xml:space="preserve">Sharp Vision</t>
  </si>
  <si>
    <t>damien.raymond@sharpvision.fr</t>
  </si>
  <si>
    <t>http://www.linkedin.com/in/damienraymond</t>
  </si>
  <si>
    <t>http://www.sharpvision.fr</t>
  </si>
  <si>
    <t>Yanni</t>
  </si>
  <si>
    <t>Djeridi</t>
  </si>
  <si>
    <t>Dattak</t>
  </si>
  <si>
    <t>yanni.djeridi@dattak.io</t>
  </si>
  <si>
    <t>http://www.linkedin.com/in/yanni-djeridi</t>
  </si>
  <si>
    <t>http://www.dattak.io</t>
  </si>
  <si>
    <t xml:space="preserve">Dattak propose des solutions d’assurance cyber aux entreprises en intégrant des technologies de cybersécurité permettant une évaluation précise des risques.</t>
  </si>
  <si>
    <t>Houpert</t>
  </si>
  <si>
    <t xml:space="preserve">MH CONSEIL</t>
  </si>
  <si>
    <t>marc.houpert@sigma-ip.fr</t>
  </si>
  <si>
    <t>http://www.linkedin.com/in/marc-houpert-b96b6b90</t>
  </si>
  <si>
    <t>http://www.mhconseil.fr</t>
  </si>
  <si>
    <t>Buhl-Lorraine</t>
  </si>
  <si>
    <t>Clavelou</t>
  </si>
  <si>
    <t>SYNOMÉGA</t>
  </si>
  <si>
    <t>jclavelou@synomega.com</t>
  </si>
  <si>
    <t>http://www.linkedin.com/in/jacques-clavelou-b401ba86</t>
  </si>
  <si>
    <t>http://www.synomega.com</t>
  </si>
  <si>
    <t xml:space="preserve">3 Rue de la Corderie, Chevilly Larue, Ile-de-France, France, 94550</t>
  </si>
  <si>
    <t xml:space="preserve">Prestataire IT - Prestataire informatique pour les TPE et PME - infogérance - sécurité SI - disaster recovery - cybersécurité - téléphonie IP</t>
  </si>
  <si>
    <t>Bennacer</t>
  </si>
  <si>
    <t xml:space="preserve">OCTODET Co-Founder and CEO</t>
  </si>
  <si>
    <t>Octodet</t>
  </si>
  <si>
    <t>nabil@octodet.com</t>
  </si>
  <si>
    <t>http://www.linkedin.com/in/nabil-bennacer-8895126a</t>
  </si>
  <si>
    <t>http://www.octodet.com</t>
  </si>
  <si>
    <t xml:space="preserve">139b Paernu maantee, Tallinn, Harju County, Estonia, 11317</t>
  </si>
  <si>
    <t>Azzag</t>
  </si>
  <si>
    <t>SINOTECH</t>
  </si>
  <si>
    <t>a.zaoui@sinotech.fr</t>
  </si>
  <si>
    <t>http://www.linkedin.com/in/azzag-zaoui-464a1528</t>
  </si>
  <si>
    <t>http://www.sinotech-ci.com</t>
  </si>
  <si>
    <t xml:space="preserve">Angre, Abidjan, Abidjan, Cote d'Ivoire</t>
  </si>
  <si>
    <t>Keith</t>
  </si>
  <si>
    <t xml:space="preserve">Co-Founder &amp; Managing Partner</t>
  </si>
  <si>
    <t xml:space="preserve">Dataflow Security</t>
  </si>
  <si>
    <t>bruno@dfsec.com</t>
  </si>
  <si>
    <t>http://www.linkedin.com/in/%f0%9f%94%93%e2%80%88bruno-keith-15925b9a</t>
  </si>
  <si>
    <t>http://www.dfsec.com</t>
  </si>
  <si>
    <t xml:space="preserve">3 Via Jacopo Vittorelli, Bassano del Grappa, Veneto, Italy, 36061</t>
  </si>
  <si>
    <t>Quillerier</t>
  </si>
  <si>
    <t>InfoExpress</t>
  </si>
  <si>
    <t>f.quillerier@infoexpress.fr</t>
  </si>
  <si>
    <t>http://www.linkedin.com/in/fran%c3%a7ois-quillerier-09261569</t>
  </si>
  <si>
    <t>http://www.infoexpress.com</t>
  </si>
  <si>
    <t xml:space="preserve">3235 Kifer Rd, Santa Clara, California, United States, 95051-0815</t>
  </si>
  <si>
    <t>Campredon</t>
  </si>
  <si>
    <t xml:space="preserve">Senior Software Engineer at Dattak | Chief Executive Officer</t>
  </si>
  <si>
    <t>jean.decampredon@dattak.io</t>
  </si>
  <si>
    <t>http://www.linkedin.com/in/jeandecampredon</t>
  </si>
  <si>
    <t>Duchet-Suchaux</t>
  </si>
  <si>
    <t>arthur@knock-knock.fr</t>
  </si>
  <si>
    <t>http://www.linkedin.com/in/duchetsuchauxarthur</t>
  </si>
  <si>
    <t>Perroquin</t>
  </si>
  <si>
    <t xml:space="preserve">Board member at inWebo Group &amp; TrustBuilder, co-Founder In-Webo technologies. Advisory board member</t>
  </si>
  <si>
    <t xml:space="preserve">Board of Cyber</t>
  </si>
  <si>
    <t>operroquin@boardofcyber.io</t>
  </si>
  <si>
    <t>http://www.linkedin.com/in/olivier-perroquin-240424</t>
  </si>
  <si>
    <t>http://www.boardofcyber.io</t>
  </si>
  <si>
    <t xml:space="preserve">7 Avenue de la Cristallerie, Sevres, Ile-de-France, France, 92310</t>
  </si>
  <si>
    <t xml:space="preserve">Board of cyber délivre Security Rating, Trust HQ et AD Rating, ses trois solutions phares pour évaluer, piloter et améliorer en continu la performance cyber de leur organisation et de leur écosystème.</t>
  </si>
  <si>
    <t>Cheve</t>
  </si>
  <si>
    <t xml:space="preserve">Dirigeant - Fondateur</t>
  </si>
  <si>
    <t>telitem</t>
  </si>
  <si>
    <t>jgcheve@telitem.com</t>
  </si>
  <si>
    <t>http://www.linkedin.com/in/jean-gabriel-chev%c3%a9-34684b4</t>
  </si>
  <si>
    <t>http://www.telitem.com</t>
  </si>
  <si>
    <t xml:space="preserve">8 Rue du Sapeur Michel Jouan, Rennes, Brittany, France, 35000</t>
  </si>
  <si>
    <t xml:space="preserve">telitem a pour vocation de rapprocher les Femmes et les Hommes souhaitant apporter leur expertise technologique ou de management.</t>
  </si>
  <si>
    <t>Hadj</t>
  </si>
  <si>
    <t xml:space="preserve">General Manager &amp; Co-founder</t>
  </si>
  <si>
    <t>salah.benhadj@opsynet.fr</t>
  </si>
  <si>
    <t>http://www.linkedin.com/in/salahbenhadj</t>
  </si>
  <si>
    <t>Kemp</t>
  </si>
  <si>
    <t>IT-Gnosis</t>
  </si>
  <si>
    <t>ckemp@it-gnosis.eu</t>
  </si>
  <si>
    <t>http://www.linkedin.com/in/clairekemp</t>
  </si>
  <si>
    <t>http://www.it-gnosis.eu</t>
  </si>
  <si>
    <t xml:space="preserve">Rue de Bourgogne, Auxerre, Burgundy, France, 89000</t>
  </si>
  <si>
    <t xml:space="preserve">IT-gnosis propose des formations et certifications dédiées à la sécurité informatique. IT-gnosis représente EC-Council en France, Espagne, Portugal, Italie, Malte et l'Afrique du Nord.</t>
  </si>
  <si>
    <t>Andoh</t>
  </si>
  <si>
    <t xml:space="preserve">Fondateur SkillX</t>
  </si>
  <si>
    <t>SKILLX</t>
  </si>
  <si>
    <t>olivier.andoh@skillx.fr</t>
  </si>
  <si>
    <t>http://www.linkedin.com/in/olivierandoh</t>
  </si>
  <si>
    <t>http://www.skillx.fr</t>
  </si>
  <si>
    <t xml:space="preserve">SkillX assure votre sécurité numérique et vous accompagne dans votre migration vers le cloud | Experts Cybersécurité &amp; Cloud</t>
  </si>
  <si>
    <t>Villain</t>
  </si>
  <si>
    <t xml:space="preserve">Co-Founder - Managing Director - Board Member at CommuniGate Systems</t>
  </si>
  <si>
    <t>MailSPEC</t>
  </si>
  <si>
    <t>jerome.villain@communigate.com</t>
  </si>
  <si>
    <t>http://www.linkedin.com/in/jeromevillain</t>
  </si>
  <si>
    <t>http://www.mailspec.com</t>
  </si>
  <si>
    <t xml:space="preserve">We provide Cybersecurity technology and services for Unified Communications in the regulated industries. MailSPEC delivers critical communication systems in private cloud topologies with managed services offerings.</t>
  </si>
  <si>
    <t xml:space="preserve">Co-fondateur et Direction R&amp;D Cyber</t>
  </si>
  <si>
    <t xml:space="preserve">SYLink Technologie</t>
  </si>
  <si>
    <t>dlegeay@sylink.fr</t>
  </si>
  <si>
    <t>http://www.linkedin.com/in/davidlegeay</t>
  </si>
  <si>
    <t>http://www.sylink.fr</t>
  </si>
  <si>
    <t xml:space="preserve">Clermont-Ferrand, Auvergne-Rhone-Alpes, France</t>
  </si>
  <si>
    <t xml:space="preserve">SYLink Technologie développe des solutions pour accompagner et protéger les entreprises de toutes tailles face aux menaces numériques.</t>
  </si>
  <si>
    <t>Faux</t>
  </si>
  <si>
    <t xml:space="preserve">CRYPT.ON IT</t>
  </si>
  <si>
    <t>sebastien.faux@cryptonit.fr</t>
  </si>
  <si>
    <t>http://www.linkedin.com/in/s%c3%a9bastien-f-2b495392</t>
  </si>
  <si>
    <t>http://www.cryptonit.fr</t>
  </si>
  <si>
    <t xml:space="preserve">34 Rue Perier, Montrouge, Ile-de-France, France, 92120</t>
  </si>
  <si>
    <t>Lebrument</t>
  </si>
  <si>
    <t>mlebrument@novances-it.com</t>
  </si>
  <si>
    <t>http://www.linkedin.com/in/morgan-lebrument-085803123</t>
  </si>
  <si>
    <t>http://www.novances-it.com</t>
  </si>
  <si>
    <t xml:space="preserve">13 Rue Claude Chappe, Saint-Didier-au-Mont-d'Or, Auvergne-Rhone-Alpes, France, 69370</t>
  </si>
  <si>
    <t>Polve</t>
  </si>
  <si>
    <t>Snowpack</t>
  </si>
  <si>
    <t>baptiste.polve@snowpack.eu</t>
  </si>
  <si>
    <t>http://www.linkedin.com/in/baptiste-polve</t>
  </si>
  <si>
    <t>http://www.snowpack.eu</t>
  </si>
  <si>
    <t xml:space="preserve">21 Rue Jean Rostand, Orsay, Ile-de-France, France, 91400</t>
  </si>
  <si>
    <t xml:space="preserve">Become Invisible</t>
  </si>
  <si>
    <t>Martinet</t>
  </si>
  <si>
    <t xml:space="preserve">Président de la SAS Axicom Security</t>
  </si>
  <si>
    <t xml:space="preserve">AXICOM SECURITY</t>
  </si>
  <si>
    <t>emartinet@axicom-security.com</t>
  </si>
  <si>
    <t>http://www.linkedin.com/in/etienne-martinet-1525b628</t>
  </si>
  <si>
    <t>http://www.axicomsecurity.com</t>
  </si>
  <si>
    <t xml:space="preserve">3 Rue des Petits-Carreaux, Paris, Ile-de-France, France, 75002</t>
  </si>
  <si>
    <t xml:space="preserve">Gamme complète de services autour de la Cyber Sécurité</t>
  </si>
  <si>
    <t>Marechal</t>
  </si>
  <si>
    <t xml:space="preserve">COO &amp; Co-founder</t>
  </si>
  <si>
    <t>Defants</t>
  </si>
  <si>
    <t>t.marechal@defants.com</t>
  </si>
  <si>
    <t>http://www.linkedin.com/in/thomas-mar%c3%a9chal-948331107</t>
  </si>
  <si>
    <t>http://www.defants.com</t>
  </si>
  <si>
    <t xml:space="preserve">Cesson-Sevigne, Brittany, France, 35510</t>
  </si>
  <si>
    <t xml:space="preserve">The Defants AIR solution enables you to reduce your teams' workload while improving the quality of your analyses.</t>
  </si>
  <si>
    <t>Molteni</t>
  </si>
  <si>
    <t xml:space="preserve">BASOM CONSULTING</t>
  </si>
  <si>
    <t>xmolteni@basom-consulting.com</t>
  </si>
  <si>
    <t>http://www.linkedin.com/in/xavier-molteni-b063321</t>
  </si>
  <si>
    <t>http://www.basom-consulting.com</t>
  </si>
  <si>
    <t xml:space="preserve">43 Rue de Provence, Paris, Ile-de-France, France, 75009</t>
  </si>
  <si>
    <t xml:space="preserve">BASOM Consulting, est une société de services informatiques spécialisée dans l’audit, le conseil, l’infogérance et l’hébergement Cloud.</t>
  </si>
  <si>
    <t>Hatchi</t>
  </si>
  <si>
    <t xml:space="preserve">Dirigeant et Fondateur d’AIPS</t>
  </si>
  <si>
    <t>AIPS</t>
  </si>
  <si>
    <t>alain.hatchi@aips.biz</t>
  </si>
  <si>
    <t>http://www.linkedin.com/in/hatchi-alain-20b88892</t>
  </si>
  <si>
    <t>http://www.aips-informatique.fr</t>
  </si>
  <si>
    <t xml:space="preserve">73 Rue de Suresnes, Nanterre, Ile-de-France, France, 92000</t>
  </si>
  <si>
    <t xml:space="preserve">Situé en région parisienne, AIPS vous propose des services de prestations en informatique. Installation, maintenance, dépannage de vos systèmes informatique</t>
  </si>
  <si>
    <t>Deloget</t>
  </si>
  <si>
    <t xml:space="preserve">Co-founder, Head of Embedded Software Development</t>
  </si>
  <si>
    <t>emmanuel.deloget@eho.link</t>
  </si>
  <si>
    <t>http://www.linkedin.com/in/emmanueldeloget</t>
  </si>
  <si>
    <t>Leblond</t>
  </si>
  <si>
    <t>Parsec</t>
  </si>
  <si>
    <t>thierry.leblond@scille.fr</t>
  </si>
  <si>
    <t>http://www.linkedin.com/in/thierry-leblond-3b968269</t>
  </si>
  <si>
    <t>http://www.parsec.cloud</t>
  </si>
  <si>
    <t>Gentilly</t>
  </si>
  <si>
    <t xml:space="preserve">21 Rue de la Division du General Leclerc, Gentilly, Ile-de-France, France, 94250</t>
  </si>
  <si>
    <t xml:space="preserve">Protégez vos données avec la technologie de chiffrement la plus avancée. Assurez la sécurité et la performance de votre système collaboratif tout en ga ...</t>
  </si>
  <si>
    <t>Dahan</t>
  </si>
  <si>
    <t xml:space="preserve">ONE COMPUTER SERVICES</t>
  </si>
  <si>
    <t>mdahan@onecomputer.fr</t>
  </si>
  <si>
    <t>http://www.linkedin.com/in/mickael-dahan-45069a82</t>
  </si>
  <si>
    <t>http://www.onecomputer.fr</t>
  </si>
  <si>
    <t xml:space="preserve">1 Place Francis Chirat, Marseille, Provence-Alpes-Cote d'Azur, France, 13002</t>
  </si>
  <si>
    <t xml:space="preserve">Prestataire informatique depuis 2005 à Marseille et région Paca : services maintenance, solutions Cloud, Telecom Voip pour les entreprises, associations, professions libérales</t>
  </si>
  <si>
    <t>Mouloud</t>
  </si>
  <si>
    <t>Ait-Kaci</t>
  </si>
  <si>
    <t xml:space="preserve">Chief Technology Officer (and Founder)</t>
  </si>
  <si>
    <t>Hackcyom</t>
  </si>
  <si>
    <t>mak@hackcyom.com</t>
  </si>
  <si>
    <t>http://www.linkedin.com/in/makcyom</t>
  </si>
  <si>
    <t>http://www.hackcyom.com</t>
  </si>
  <si>
    <t xml:space="preserve">Hackcyom est une société de conseil et d'audit en cybersécurité spécialisée sur les qualifications ANSSI et l'ISO 27001.</t>
  </si>
  <si>
    <t>Julian</t>
  </si>
  <si>
    <t>Intronati</t>
  </si>
  <si>
    <t>julian.intronati@eho.link</t>
  </si>
  <si>
    <t>http://www.linkedin.com/in/julian-intronati-8b7078b1</t>
  </si>
  <si>
    <t>Joliot</t>
  </si>
  <si>
    <t>cjoliot@soteria-lab.com</t>
  </si>
  <si>
    <t>http://www.linkedin.com/in/cl%c3%a9ment-joliot-a97b727a</t>
  </si>
  <si>
    <t xml:space="preserve">Directeur associé / Fondateur - Architecte et chef de projet IAM / IGA</t>
  </si>
  <si>
    <t>PRIZM</t>
  </si>
  <si>
    <t>s.paul@prizm-security.com</t>
  </si>
  <si>
    <t>http://www.linkedin.com/in/samuelpaullatremoliere</t>
  </si>
  <si>
    <t>http://www.prizm-security.com</t>
  </si>
  <si>
    <t xml:space="preserve">Lille, Hauts-de-France, France, 59000</t>
  </si>
  <si>
    <t>Sabeg</t>
  </si>
  <si>
    <t>Ravel</t>
  </si>
  <si>
    <t>mehdi.sabeg@raveltech.io</t>
  </si>
  <si>
    <t>http://www.linkedin.com/in/mehdi-sabeg-34babab0</t>
  </si>
  <si>
    <t>http://www.raveltech.io</t>
  </si>
  <si>
    <t xml:space="preserve">149 Rue Saint-Honore, Paris, Ile-de-France, France, 75001</t>
  </si>
  <si>
    <t xml:space="preserve">Ravel Technologies - The world's fastest fully homomorphic encryption</t>
  </si>
  <si>
    <t>Derbal</t>
  </si>
  <si>
    <t>Cyberwatch</t>
  </si>
  <si>
    <t>alexandre@cyberwatch.fr</t>
  </si>
  <si>
    <t>http://www.linkedin.com/in/alexandre-derbal-24801362</t>
  </si>
  <si>
    <t>http://www.cyberwatch.fr</t>
  </si>
  <si>
    <t xml:space="preserve">2 Rue du Chemin des Femmes, Massy, Ile-de-France, France, 91300</t>
  </si>
  <si>
    <t xml:space="preserve">Découvrez notre plateforme simple et complète pour scanner vos vulnérabilités et votre conformité, prioriser et corriger vos résultats.</t>
  </si>
  <si>
    <t>Liegeard</t>
  </si>
  <si>
    <t xml:space="preserve">ALEZ PC PRESTATAIRE INFORMATIQUE</t>
  </si>
  <si>
    <t>valerie.liegeard@alezpc.fr</t>
  </si>
  <si>
    <t>http://www.linkedin.com/in/val%c3%a9rie-liegeard</t>
  </si>
  <si>
    <t>http://www.alezpc.com</t>
  </si>
  <si>
    <t xml:space="preserve">8 Rue Hans List, Croissy-sur-Seine, Ile-de-France, France, 78290</t>
  </si>
  <si>
    <t xml:space="preserve">Prestataire Maintenance Informatique, Sécurité et infogérance informatique ; Alez PC vous délivre des solutions sur-mesure et clef en main !</t>
  </si>
  <si>
    <t>Turco</t>
  </si>
  <si>
    <t xml:space="preserve">Directeur Général/Producteur</t>
  </si>
  <si>
    <t xml:space="preserve">Innerspace VR</t>
  </si>
  <si>
    <t>richard@innerspacevr.com</t>
  </si>
  <si>
    <t>http://www.linkedin.com/in/richard-turco-ab83b4112</t>
  </si>
  <si>
    <t>http://www.innerspacevr.com</t>
  </si>
  <si>
    <t xml:space="preserve">8 Rue Godillot, Saint-Ouen, Ile-de-France, France, 93400</t>
  </si>
  <si>
    <t>Auxietre</t>
  </si>
  <si>
    <t xml:space="preserve">Co-Founder &amp; Creative Director</t>
  </si>
  <si>
    <t>balthazar@innerspacevr.com</t>
  </si>
  <si>
    <t>http://www.linkedin.com/in/balthazarauxietre</t>
  </si>
  <si>
    <t xml:space="preserve">Alt Shift</t>
  </si>
  <si>
    <t>vincent.noel@altshift.fr</t>
  </si>
  <si>
    <t>http://www.linkedin.com/in/vincent-no%c3%abl-838a804</t>
  </si>
  <si>
    <t>http://www.altshift.fr</t>
  </si>
  <si>
    <t xml:space="preserve">Alt Shift is an indie game studio located in Montpellier (France), known for the puzzle game Not Not - A Brain-Buster and the space roguelite Crying Suns.</t>
  </si>
  <si>
    <t>Gamescom</t>
  </si>
  <si>
    <t xml:space="preserve">CEO - Cofounder</t>
  </si>
  <si>
    <t xml:space="preserve">Million Victories</t>
  </si>
  <si>
    <t>benoit@millionvictories.com</t>
  </si>
  <si>
    <t>http://www.linkedin.com/in/beno%c3%aet-ducrest-%f0%9f%94%9c-gamescom-5a431a14</t>
  </si>
  <si>
    <t>http://www.millionvictories.com</t>
  </si>
  <si>
    <t xml:space="preserve">10 Rue Mortier, Lyon, Auvergne-Rhone-Alpes, France, 69003</t>
  </si>
  <si>
    <t>Bourdon</t>
  </si>
  <si>
    <t>Rapsodie</t>
  </si>
  <si>
    <t>paul@rapsodie.co</t>
  </si>
  <si>
    <t>http://www.linkedin.com/in/p-bourdon</t>
  </si>
  <si>
    <t>http://www.rapsodie.co</t>
  </si>
  <si>
    <t xml:space="preserve">Découvre et signe des artistes, créé ton crew de rève et défie d'autres labels. Rejoins notre communauté de 100,000 joueurs et commence à jouer gratuitement ! Dispo sur App Store et Play Store !</t>
  </si>
  <si>
    <t xml:space="preserve">IsCool Entertainment</t>
  </si>
  <si>
    <t>hadrien@iscool-e.com</t>
  </si>
  <si>
    <t>http://www.linkedin.com/in/hadriendesrotours</t>
  </si>
  <si>
    <t>http://www.iscoolentertainment.com</t>
  </si>
  <si>
    <t xml:space="preserve">43 Rue d'Aboukir, Paris, Ile-de-France, France, 75002</t>
  </si>
  <si>
    <t>Millet</t>
  </si>
  <si>
    <t xml:space="preserve">CEO @Demooz (Acquired by MARVESTING)</t>
  </si>
  <si>
    <t xml:space="preserve">Demooz a Marvesting company</t>
  </si>
  <si>
    <t>stephane@demooz.com</t>
  </si>
  <si>
    <t>http://www.linkedin.com/in/st%c3%a9phane-millet-51627041</t>
  </si>
  <si>
    <t>http://www.demooz.com</t>
  </si>
  <si>
    <t xml:space="preserve">3 Rue Alaric II, Toulouse, Occitanie, France, 31000</t>
  </si>
  <si>
    <t>Coupechoux</t>
  </si>
  <si>
    <t>TRANSTECHNIK</t>
  </si>
  <si>
    <t>b.coupechoux@transtechnik.fr</t>
  </si>
  <si>
    <t>http://www.linkedin.com/in/bruno-coupechoux</t>
  </si>
  <si>
    <t>http://www.transtechnik.fr</t>
  </si>
  <si>
    <t>Ahuy</t>
  </si>
  <si>
    <t xml:space="preserve">17 Rue des Grandes Varennes, Ahuy, Burgundy, France, 21121</t>
  </si>
  <si>
    <t xml:space="preserve">Entreprise française experte en mécatronique et partenaire exclusif de fabricants de renommée mondiale, TRANSTECHNIK apporte des solutions globales adaptées à vos installations intégrant la mécanique, l’électronique et l’automatisme de pilotage.</t>
  </si>
  <si>
    <t>Rouanet</t>
  </si>
  <si>
    <t xml:space="preserve">Pollen Robotics</t>
  </si>
  <si>
    <t>pierre@pollen-robotics.com</t>
  </si>
  <si>
    <t>http://www.linkedin.com/in/pierrerouanet</t>
  </si>
  <si>
    <t>http://www.pollen-robotics.com</t>
  </si>
  <si>
    <t xml:space="preserve">49 Rue Borie, Bordeaux, Nouvelle-Aquitaine, France, 33300</t>
  </si>
  <si>
    <t xml:space="preserve">Pollen Robotics is a startup building open source interactive robots based on artificial intelligence. Join the community and find out more about Reachy.</t>
  </si>
  <si>
    <t>PROCALY</t>
  </si>
  <si>
    <t>jpgilles@procaly.com</t>
  </si>
  <si>
    <t>http://www.linkedin.com/in/jean-pierre-gilles-3b4041275</t>
  </si>
  <si>
    <t>http://www.procaly.com</t>
  </si>
  <si>
    <t>Vernaison</t>
  </si>
  <si>
    <t xml:space="preserve">Vourles, Rhone-Alpes, France</t>
  </si>
  <si>
    <t xml:space="preserve">Spécialiste du câblage électrique dans les environnements à fortes contraintes, Procaly conçoit, fabrique et industrialise vos équipements électriques.</t>
  </si>
  <si>
    <t>Guille</t>
  </si>
  <si>
    <t>oguille@samsys.fr</t>
  </si>
  <si>
    <t>http://www.linkedin.com/in/olivier-guille-4b316535</t>
  </si>
  <si>
    <t>Neuf-Berquin</t>
  </si>
  <si>
    <t xml:space="preserve">Prestocab France</t>
  </si>
  <si>
    <t>fsoares@prestocab.fr</t>
  </si>
  <si>
    <t>http://www.linkedin.com/in/francisco-soares-26732a208</t>
  </si>
  <si>
    <t>http://www.prestocab.fr</t>
  </si>
  <si>
    <t xml:space="preserve">Tourcoing, Hauts-de-France, France, 59200</t>
  </si>
  <si>
    <t xml:space="preserve">Nous sommes un EMS, Electronics Manufacturing Services. Une entreprise qui fournit des services de fabrication en sous-traitance pour des cartes électroniques, PCBA, assemblage de circuits imprimés et sous-ensembles.</t>
  </si>
  <si>
    <t>Jean-Sebastien</t>
  </si>
  <si>
    <t>Moulet</t>
  </si>
  <si>
    <t>Wormsensing</t>
  </si>
  <si>
    <t>js.moulet@wormsensing.com</t>
  </si>
  <si>
    <t>http://www.linkedin.com/in/jean-sebastien-moulet-549b0030</t>
  </si>
  <si>
    <t>http://www.wormsensing.com</t>
  </si>
  <si>
    <t xml:space="preserve">Make a strategic move towards efficiency, sustainability, and application freedom | Elevate performance, control, efficiency, and potential.</t>
  </si>
  <si>
    <t>a.derancourt@derancourt.com</t>
  </si>
  <si>
    <t>http://www.linkedin.com/in/aurore-derancourt-6472432a8</t>
  </si>
  <si>
    <t>Jeandel</t>
  </si>
  <si>
    <t xml:space="preserve">Electro PJP</t>
  </si>
  <si>
    <t>cyril.jeandel@electro-pjp.com</t>
  </si>
  <si>
    <t>http://www.linkedin.com/in/cyril-jeandel-53783b57</t>
  </si>
  <si>
    <t>http://www.electro-pjp.com</t>
  </si>
  <si>
    <t>Grignan</t>
  </si>
  <si>
    <t xml:space="preserve">Rue de Madrid, Tavaux, Bourgogne-Franche-Comte, France, 39500</t>
  </si>
  <si>
    <t>Reynald</t>
  </si>
  <si>
    <t xml:space="preserve">FONTES DE PARIS</t>
  </si>
  <si>
    <t>reynald@fontesdeparis.com</t>
  </si>
  <si>
    <t>http://www.linkedin.com/in/reynald-reynald-7b1b5b131</t>
  </si>
  <si>
    <t>http://www.fontesdeparis.fr</t>
  </si>
  <si>
    <t xml:space="preserve">Lieu-dit La Siberie, Chavanges, Grand Est, France, 10330</t>
  </si>
  <si>
    <t>Sonneville</t>
  </si>
  <si>
    <t xml:space="preserve">GROUPE ATOMELEC</t>
  </si>
  <si>
    <t>h.sonneville@groupe-atomelec.com</t>
  </si>
  <si>
    <t>http://www.linkedin.com/in/herv%c3%a9-sonneville-185b7324</t>
  </si>
  <si>
    <t>http://www.groupe-atomelec.com</t>
  </si>
  <si>
    <t xml:space="preserve">20 Avenue de Saint-Etienne, Saint-Bonnet-le-Chateau, Auvergne-Rhone-Alpes, France, 42380</t>
  </si>
  <si>
    <t xml:space="preserve">Développement et fabrication de produits electronique, tolerie fine, tolerie plastique, cablage intégration, boitier, coffret, borne medicale</t>
  </si>
  <si>
    <t>Larese</t>
  </si>
  <si>
    <t xml:space="preserve">JST Maintenance</t>
  </si>
  <si>
    <t>fabien.larese@jst-transformers.com</t>
  </si>
  <si>
    <t>http://www.linkedin.com/in/fabien-larese-81b485b1</t>
  </si>
  <si>
    <t>http://www.jstmaintenance.com</t>
  </si>
  <si>
    <t xml:space="preserve">4 Impasse Louis Jacques Thenard, Chalon-sur-Saone, Bourgogne-Franche-Comte, France, 71100</t>
  </si>
  <si>
    <t xml:space="preserve">JST Maintenance propose ces services de maintenance sur les transformateurs HTB  &amp; HTA de toutes marques. Nous mettons en œuvre des solutions optimales pour...</t>
  </si>
  <si>
    <t>Chazalet</t>
  </si>
  <si>
    <t>KEMIWATT</t>
  </si>
  <si>
    <t>gct@kemiwatt.com</t>
  </si>
  <si>
    <t>http://www.linkedin.com/in/guillaume-chazalet-68171528</t>
  </si>
  <si>
    <t>http://www.kemiwatt.com</t>
  </si>
  <si>
    <t xml:space="preserve">11 Allee de Beaulieu, Rennes, Brittany, France, 35700</t>
  </si>
  <si>
    <t xml:space="preserve">Kemiwatt, the Specialist of Stationary Energy Storage, created the first Industrial Flow Battery with Biodegradable and Recyclable Organic Molecules.</t>
  </si>
  <si>
    <t>Couette</t>
  </si>
  <si>
    <t xml:space="preserve">la bellenergie</t>
  </si>
  <si>
    <t>augustin.couette@labellenergie.fr</t>
  </si>
  <si>
    <t>http://www.linkedin.com/in/augustin-couette-446505122</t>
  </si>
  <si>
    <t>http://www.labellenergie.fr</t>
  </si>
  <si>
    <t xml:space="preserve">Toulon, Provence-Alpes-Cote d'Azur, France</t>
  </si>
  <si>
    <t xml:space="preserve">Rejoignez la bellenergie, le fournisseur d'électricité renouvelable 100% française, pour une énergie verte et éco-responsable.</t>
  </si>
  <si>
    <t>Pontille</t>
  </si>
  <si>
    <t xml:space="preserve">CATS POWER DESIGN</t>
  </si>
  <si>
    <t>alain.pontille@catspowerdesign.fr</t>
  </si>
  <si>
    <t>http://www.linkedin.com/in/alain-pontille</t>
  </si>
  <si>
    <t>http://www.catspowerdesign.fr</t>
  </si>
  <si>
    <t xml:space="preserve">Conversion d’énergieCommande moteurCarte process numérique et systèmes connectés</t>
  </si>
  <si>
    <t>Pioc</t>
  </si>
  <si>
    <t xml:space="preserve">Jaune Fabrique</t>
  </si>
  <si>
    <t>yoann.pioc@jaunefabrique.com</t>
  </si>
  <si>
    <t>http://www.linkedin.com/in/yoann-pioc-a68462104</t>
  </si>
  <si>
    <t>http://www.jaunestudio.fr</t>
  </si>
  <si>
    <t xml:space="preserve">16 Rue Sainte-Foy, Paris, Ile-de-France, France, 75002</t>
  </si>
  <si>
    <t>Arcamone</t>
  </si>
  <si>
    <t xml:space="preserve">3F Filippi</t>
  </si>
  <si>
    <t>alain.arcamone@targetti.com</t>
  </si>
  <si>
    <t>http://www.linkedin.com/in/alain-arcamone-b6064323b</t>
  </si>
  <si>
    <t>http://www.targetti.com</t>
  </si>
  <si>
    <t xml:space="preserve">2 Rue de la Renaissance, Antony, Ile-de-France, France, 92160</t>
  </si>
  <si>
    <t>DAUPHELEC</t>
  </si>
  <si>
    <t>emmanuel.saunier@dauphelec.com</t>
  </si>
  <si>
    <t>http://www.linkedin.com/in/emmanuel-saunier-987902a5</t>
  </si>
  <si>
    <t>http://www.dauphelec.com</t>
  </si>
  <si>
    <t xml:space="preserve">Seyssinet-Pariset, Rhone-Alpes, France</t>
  </si>
  <si>
    <t xml:space="preserve">Dauphelec est une entreprise experte en solutions électrotechniques située dans le bassin grenoblois.</t>
  </si>
  <si>
    <t>Gissien</t>
  </si>
  <si>
    <t xml:space="preserve">maxon France</t>
  </si>
  <si>
    <t>sebastien.gissien@maxongroup.com</t>
  </si>
  <si>
    <t>http://www.linkedin.com/in/sebastien-gissien-7a50b372</t>
  </si>
  <si>
    <t>http://www.maxongroup.fr</t>
  </si>
  <si>
    <t xml:space="preserve">Beynost, Auvergne-Rhone-Alpes, France, 01700</t>
  </si>
  <si>
    <t xml:space="preserve">DC, BLDC, pas-à-pas, entraînements directs : découvrez les technologies moteurs de la Gamme MDP associée à nos partenaires fabricants mondiaux de référence.</t>
  </si>
  <si>
    <t>Molines</t>
  </si>
  <si>
    <t xml:space="preserve">EFER ENDOSCOPY</t>
  </si>
  <si>
    <t>fabrice.molines@efer.com</t>
  </si>
  <si>
    <t>http://www.linkedin.com/in/fabrice-molines-924a071a1</t>
  </si>
  <si>
    <t>http://www.efer.com</t>
  </si>
  <si>
    <t xml:space="preserve">155 Voie Ariane, La Ciotat, Provence-Alpes-Cote d'Azur, France, 13600</t>
  </si>
  <si>
    <t xml:space="preserve">ABOUT COMPANY EFER ENDOSCOPY Designer of endoscopic devices since 1980, EFER ENDOSCOPY has an established reputation in the world of non-destructive testing. EFER NDT VISION view website Product line developed by EFER Endoscopy cover all endoscopy and videoendoscopy application fields in industrial environments.Specific line covers products designed by EFER Endoscopy allow endoscopic implementation,</t>
  </si>
  <si>
    <t>maxime.roy@mob-energy.com</t>
  </si>
  <si>
    <t>http://www.linkedin.com/in/maxime-roy-9b891512a</t>
  </si>
  <si>
    <t>Gil</t>
  </si>
  <si>
    <t>Chicheportiche</t>
  </si>
  <si>
    <t>gil.chicheportiche@upandcharge.com</t>
  </si>
  <si>
    <t>http://www.linkedin.com/in/gil-chicheportiche-a1462a222</t>
  </si>
  <si>
    <t>Paccalin</t>
  </si>
  <si>
    <t xml:space="preserve">Green Led Technology</t>
  </si>
  <si>
    <t>l.paccalin@greenled.fr</t>
  </si>
  <si>
    <t>http://www.linkedin.com/in/ludovic-paccalin-201312113</t>
  </si>
  <si>
    <t>http://www.greenled.fr</t>
  </si>
  <si>
    <t xml:space="preserve">133 Chemin de Beau Versant, St-Genis-Laval, Rhone-Alpes, France, 69230</t>
  </si>
  <si>
    <t>Balussaud</t>
  </si>
  <si>
    <t xml:space="preserve">BSE Electronic</t>
  </si>
  <si>
    <t>m-balussaud@bse-electronic.com</t>
  </si>
  <si>
    <t>http://www.linkedin.com/in/marc-balussaud-4ab47965</t>
  </si>
  <si>
    <t>http://www.bse-electronic.com</t>
  </si>
  <si>
    <t xml:space="preserve">Le Creusot</t>
  </si>
  <si>
    <t xml:space="preserve">616 Avenue de l'Europe, Le Creusot, Bourgogne-Franche-Comte, France, 71200</t>
  </si>
  <si>
    <t>Felisberto</t>
  </si>
  <si>
    <t>Martins</t>
  </si>
  <si>
    <t xml:space="preserve">WEBER KRESS INDUSTRIES</t>
  </si>
  <si>
    <t>fmartins@weberkress-industries.com</t>
  </si>
  <si>
    <t>http://www.linkedin.com/in/felisberto-martins-192481231</t>
  </si>
  <si>
    <t>http://www.wk-industries.fr</t>
  </si>
  <si>
    <t>Sausheim</t>
  </si>
  <si>
    <t xml:space="preserve">2 Rue Robert Schuman, Sausheim, Grand Est, France, 68390</t>
  </si>
  <si>
    <t>Georges-Picot</t>
  </si>
  <si>
    <t xml:space="preserve">PRESIDENT and CEO</t>
  </si>
  <si>
    <t xml:space="preserve">TDA Lefébure</t>
  </si>
  <si>
    <t>cgeorges-picot@tda-lefebure.com</t>
  </si>
  <si>
    <t>http://www.linkedin.com/in/c%c3%b4me-georges-picot-1a9527</t>
  </si>
  <si>
    <t>http://www.tda-lefebure.com</t>
  </si>
  <si>
    <t>Dreux</t>
  </si>
  <si>
    <t xml:space="preserve">7 Rue des Livraindieres, Dreux, Centre-Val de Loire, France, 28100</t>
  </si>
  <si>
    <t>Norbert</t>
  </si>
  <si>
    <t xml:space="preserve">ATEC ELECTRONIQUE</t>
  </si>
  <si>
    <t>norbert.rozand@atec-electronique.fr</t>
  </si>
  <si>
    <t>http://www.linkedin.com/in/norbert-rozand-5834a0252</t>
  </si>
  <si>
    <t>http://www.atec-electronique.fr</t>
  </si>
  <si>
    <t>Maillat</t>
  </si>
  <si>
    <t>Javouret</t>
  </si>
  <si>
    <t>HYTEM</t>
  </si>
  <si>
    <t>pascal.javouret@hytem.net</t>
  </si>
  <si>
    <t>http://www.linkedin.com/in/pascal-javouret-b3492962</t>
  </si>
  <si>
    <t>http://www.hytem.net</t>
  </si>
  <si>
    <t>Bois-le-Roi</t>
  </si>
  <si>
    <t xml:space="preserve">2 Route de Bois Fourgon, Villeconin, Ile-de-France, France, 91580</t>
  </si>
  <si>
    <t>Cussey</t>
  </si>
  <si>
    <t xml:space="preserve">AUREA Technology</t>
  </si>
  <si>
    <t>johann.cussey@aureatechnology.com</t>
  </si>
  <si>
    <t>http://www.linkedin.com/in/johann-cussey-940b65160</t>
  </si>
  <si>
    <t>http://www.aureatechnology.com</t>
  </si>
  <si>
    <t xml:space="preserve">18 Rue Alain Savary, Besancon, Franche-Comte, France, 25000</t>
  </si>
  <si>
    <t xml:space="preserve">Complete solution for photon counting in the visible and infrared region. Time correlation, picosecond laser. dedicated software</t>
  </si>
  <si>
    <t>Contenot</t>
  </si>
  <si>
    <t>michel.contenot@fontesdeparis.com</t>
  </si>
  <si>
    <t>http://www.linkedin.com/in/michel-contenot-10298321</t>
  </si>
  <si>
    <t xml:space="preserve">Vossloh Cogifer Monitoring&amp;Telecom</t>
  </si>
  <si>
    <t>paul.levy@vossloh.com</t>
  </si>
  <si>
    <t>http://www.linkedin.com/in/paul-levy-b6316090</t>
  </si>
  <si>
    <t>http://www.vossloh-villeurbanne.com</t>
  </si>
  <si>
    <t xml:space="preserve">Villeurbanne, Rhone-Alpes, France</t>
  </si>
  <si>
    <t>Aloys</t>
  </si>
  <si>
    <t>Ouvrard</t>
  </si>
  <si>
    <t xml:space="preserve">Co-founder | Project &amp; Engineering Director</t>
  </si>
  <si>
    <t>aloys@exceenis.com</t>
  </si>
  <si>
    <t>http://www.linkedin.com/in/aloys-ouvrard-b364bb83</t>
  </si>
  <si>
    <t>Mauran</t>
  </si>
  <si>
    <t xml:space="preserve">Danew Electronics</t>
  </si>
  <si>
    <t>nathan.mauran@danew.com</t>
  </si>
  <si>
    <t>http://www.linkedin.com/in/nathan-mauran-8b85981a</t>
  </si>
  <si>
    <t>Villepinte</t>
  </si>
  <si>
    <t xml:space="preserve">102 Avenue des Nations, Villepinte, Ile-de-France, France, 93420</t>
  </si>
  <si>
    <t>Castro</t>
  </si>
  <si>
    <t xml:space="preserve">TECHNIX HV</t>
  </si>
  <si>
    <t>jmcastro@technix-hv.com</t>
  </si>
  <si>
    <t>http://www.linkedin.com/in/jean-marc-castro-81215528</t>
  </si>
  <si>
    <t>http://www.technix-hv.com</t>
  </si>
  <si>
    <t xml:space="preserve">6 Rue Eugene Dupuis, Creteil, Ile-de-France, France, 94000</t>
  </si>
  <si>
    <t xml:space="preserve">Since 2000, Technix designs and manufactures a wide range of high voltage DC power supplies and capacitor chargers. Technix generators are used all around the world.</t>
  </si>
  <si>
    <t>Piganeau</t>
  </si>
  <si>
    <t>S-INDUSTRIES</t>
  </si>
  <si>
    <t>philippe.piganeau@s-industries.fr</t>
  </si>
  <si>
    <t>http://www.linkedin.com/in/philippe-piganeau-s-industries-64b0b76</t>
  </si>
  <si>
    <t>http://www.s-industries.fr</t>
  </si>
  <si>
    <t xml:space="preserve">Route de Saint-Laurent, Gonzeville, Normandy, France, 76560</t>
  </si>
  <si>
    <t xml:space="preserve">S-INDUSTRIESS industrialise et fabrique des faisceaux électriques pourdifférents secteurs d'activités. C'est aussi l'intégration de sous-ensembles électriques.</t>
  </si>
  <si>
    <t>Ginet</t>
  </si>
  <si>
    <t xml:space="preserve">Alpes Connectique Services</t>
  </si>
  <si>
    <t>cginet@acs-alpes.com</t>
  </si>
  <si>
    <t>http://www.linkedin.com/in/cyril-ginet-4736a8144</t>
  </si>
  <si>
    <t>http://www.acs-alpes.com</t>
  </si>
  <si>
    <t>Sainte-Helene-du-Lac</t>
  </si>
  <si>
    <t xml:space="preserve">240 Voie Aristide Berges, Sainte-Helene-du-Lac, Auvergne-Rhone-Alpes, France, 73800</t>
  </si>
  <si>
    <t xml:space="preserve">Software R&amp;D Manager, Deputy CEO</t>
  </si>
  <si>
    <t>Eurofeedback</t>
  </si>
  <si>
    <t>rmartin@eurofeedback.com</t>
  </si>
  <si>
    <t>http://www.linkedin.com/in/rapha%c3%abl-martin-4373aa4</t>
  </si>
  <si>
    <t>http://www.eurofeedback.com</t>
  </si>
  <si>
    <t>Lisses</t>
  </si>
  <si>
    <t xml:space="preserve">Boulevard Francois Mitterrand, Evry-Courcouronnes, Ile-de-France, France, 91000</t>
  </si>
  <si>
    <t xml:space="preserve">Depuis 1989, Eurofeedback - conception, fabrication française d'équipements à lumière pulsée Laser professionnels : industrie, médical, esthétique.</t>
  </si>
  <si>
    <t>Gullino</t>
  </si>
  <si>
    <t>gullino@europelec.fr</t>
  </si>
  <si>
    <t>http://www.linkedin.com/in/gullino-patrice-379a29119</t>
  </si>
  <si>
    <t>http://www.europelec.fr</t>
  </si>
  <si>
    <t xml:space="preserve">EarSonics S.A.S</t>
  </si>
  <si>
    <t>franck@earsonics.com</t>
  </si>
  <si>
    <t>http://www.linkedin.com/in/franck-lopez-b20418152</t>
  </si>
  <si>
    <t>http://www.earsonics.com</t>
  </si>
  <si>
    <t xml:space="preserve">170 Avenue des Gardians, Castries, Languedoc-Roussillon, France, 34160</t>
  </si>
  <si>
    <t xml:space="preserve">Le fabricant Français d'écouteurs et Bouchons moulés sur mesure pour les professionnels et particuliers</t>
  </si>
  <si>
    <t>Plais</t>
  </si>
  <si>
    <t xml:space="preserve">Chief Operating Officer - Co Founder</t>
  </si>
  <si>
    <t>anthony.plais@upandcharge.com</t>
  </si>
  <si>
    <t>http://www.linkedin.com/in/anthony-plais</t>
  </si>
  <si>
    <t xml:space="preserve">CEO &amp; CTO</t>
  </si>
  <si>
    <t xml:space="preserve">Novum Tech</t>
  </si>
  <si>
    <t>mickael.robert@novum-tech.fr</t>
  </si>
  <si>
    <t>http://www.linkedin.com/in/micka%c3%abl-robert-04929368</t>
  </si>
  <si>
    <t>http://www.novum-tech.fr</t>
  </si>
  <si>
    <t xml:space="preserve">Villard Bozon, Goncelin, Auvergne-Rhone-Alpes, France, 38570</t>
  </si>
  <si>
    <t xml:space="preserve">Novum Tech propose des batteries Li-Ion hautes performance ainsi que des systèmes électrique Plug'n Play pour votre application. A travers 4 briques technologiques associées à une expertise forte dans le domaine de la batterie et de la mobilité, nous proposons des solutions performantes à des coûts maitrisés.</t>
  </si>
  <si>
    <t>Debraize</t>
  </si>
  <si>
    <t xml:space="preserve">CEO, Owner</t>
  </si>
  <si>
    <t xml:space="preserve">SRATI spécialiste en gaines thermorétractables</t>
  </si>
  <si>
    <t>edebraize@srati.com</t>
  </si>
  <si>
    <t>http://www.linkedin.com/in/emmanueldebraize</t>
  </si>
  <si>
    <t>http://www.srati.com</t>
  </si>
  <si>
    <t xml:space="preserve">191 Rue Pascal, Vaux-le-Penil, Ile-de-France, France, 77000</t>
  </si>
  <si>
    <t xml:space="preserve">Discover our full range of industrial tubing heat-shrinkable, braided, corrugated, Teflon, rubber, PVC</t>
  </si>
  <si>
    <t xml:space="preserve">CEO Sport Quantum</t>
  </si>
  <si>
    <t xml:space="preserve">Sport Quantum</t>
  </si>
  <si>
    <t>jean-marc.alexandre@sportquantum.com</t>
  </si>
  <si>
    <t>http://www.linkedin.com/in/jean-marc-alexandre-16964b5</t>
  </si>
  <si>
    <t>http://www.sportquantum.com</t>
  </si>
  <si>
    <t>Orsay</t>
  </si>
  <si>
    <t xml:space="preserve">4 Rue Rene Razel, Saclay, Ile-de-France, France, 91400</t>
  </si>
  <si>
    <t>Rodier</t>
  </si>
  <si>
    <t xml:space="preserve">Directeur Administratif et Financier - Associé co-fondateur</t>
  </si>
  <si>
    <t>hubert@earsonics.com</t>
  </si>
  <si>
    <t>http://www.linkedin.com/in/hubert-rodier-187913a5</t>
  </si>
  <si>
    <t>pierreantoine@jaunefabrique.com</t>
  </si>
  <si>
    <t>http://www.linkedin.com/in/pierreantoinegay</t>
  </si>
  <si>
    <t xml:space="preserve">Président - CEO</t>
  </si>
  <si>
    <t>GoSense</t>
  </si>
  <si>
    <t>hugues.dechaumont@gosense.com</t>
  </si>
  <si>
    <t>http://www.linkedin.com/in/hugues-de-chaumont-5392b586</t>
  </si>
  <si>
    <t>http://www.gosense.com</t>
  </si>
  <si>
    <t xml:space="preserve">38 Rue de l'Universite, Lyon, Auvergne-Rhone-Alpes, France, 69007</t>
  </si>
  <si>
    <t xml:space="preserve">Expert in 3D audio and accessibility for the blind and visually impaired.</t>
  </si>
  <si>
    <t>Donasoldi</t>
  </si>
  <si>
    <t xml:space="preserve">MG France</t>
  </si>
  <si>
    <t>directeur@mgfrance.fr</t>
  </si>
  <si>
    <t>http://www.linkedin.com/in/frank-donasoldi-96b834255</t>
  </si>
  <si>
    <t>http://www.mgfrance.fr</t>
  </si>
  <si>
    <t xml:space="preserve">526 Rue Claude Ballaloud, Scionzier, Auvergne-Rhone-Alpes, France, 74950</t>
  </si>
  <si>
    <t xml:space="preserve">MG FRANCE est spécialiste de la fabrication de calibres, d'étalons et de systèmes de contrôle dimensionnel ! Commandez ou demandez votre votre devis MG FRANCE.</t>
  </si>
  <si>
    <t>Birot</t>
  </si>
  <si>
    <t>francois.birot@gosense.com</t>
  </si>
  <si>
    <t>http://www.linkedin.com/in/fbirot</t>
  </si>
  <si>
    <t>Lafayette</t>
  </si>
  <si>
    <t>guy.lecurieux@greencityzen.fr</t>
  </si>
  <si>
    <t>http://www.linkedin.com/in/guy-lecurieux-lafayette-b05b56</t>
  </si>
  <si>
    <t>Dague</t>
  </si>
  <si>
    <t>Noxant</t>
  </si>
  <si>
    <t>laurent.dague@noxant.com</t>
  </si>
  <si>
    <t>http://www.linkedin.com/in/laurent-dague-b0521b60</t>
  </si>
  <si>
    <t>http://www.noxant.com</t>
  </si>
  <si>
    <t xml:space="preserve">Noxant designs, manufactures and services high performance infrared cameras for industrial and surveillance applications</t>
  </si>
  <si>
    <t>Leulier</t>
  </si>
  <si>
    <t xml:space="preserve">Safir Engineering S.A.S</t>
  </si>
  <si>
    <t>pascal.leulier@safireng.com</t>
  </si>
  <si>
    <t>http://www.linkedin.com/in/pascal-leulier-125ab7198</t>
  </si>
  <si>
    <t>http://www.safireng.com</t>
  </si>
  <si>
    <t>Quincy-Voisins</t>
  </si>
  <si>
    <t xml:space="preserve">9 Rue de la Bonne Rencontre, Quincy-Voisins, Ile-de-France, France, 77860</t>
  </si>
  <si>
    <t xml:space="preserve">SAFIR Engineering est un bureau d'études en informatique et automatisme industriel spécialisé dans le process, le manufacturier et la sécurité.</t>
  </si>
  <si>
    <t>g.derancourt@derancourt.com</t>
  </si>
  <si>
    <t>http://www.linkedin.com/in/guillaume-derancourt-b05865225</t>
  </si>
  <si>
    <t>Serrano</t>
  </si>
  <si>
    <t>INFRALEC</t>
  </si>
  <si>
    <t>alexandre.serrano@infralec.fr</t>
  </si>
  <si>
    <t>http://www.linkedin.com/in/alexandre-serrano-7b71996a</t>
  </si>
  <si>
    <t>http://www.infralec.com</t>
  </si>
  <si>
    <t xml:space="preserve">Doussard, Rhone-Alpes, France</t>
  </si>
  <si>
    <t xml:space="preserve">Infralec est spécialisée dans l'éléctricité et particulièrement en courant faible et courant fort. Nous intervenons sur les switch ou encore les alarmes.</t>
  </si>
  <si>
    <t xml:space="preserve">Directeur Général - opérations et finance</t>
  </si>
  <si>
    <t>s.morin@stand2b.fr</t>
  </si>
  <si>
    <t>http://www.linkedin.com/in/simon-morin-12b73961</t>
  </si>
  <si>
    <t>Aractingi</t>
  </si>
  <si>
    <t xml:space="preserve">ROGER DUBOIS</t>
  </si>
  <si>
    <t>aractingi@roger-dubois.fr</t>
  </si>
  <si>
    <t>http://www.linkedin.com/in/alexandre-aractingi-b74aa616a</t>
  </si>
  <si>
    <t>http://www.roger-dubois.fr</t>
  </si>
  <si>
    <t xml:space="preserve">11 Allee du Parc de Garlande, Bagneux, Ile-de-France, France, 92220</t>
  </si>
  <si>
    <t>Moutet</t>
  </si>
  <si>
    <t xml:space="preserve">Accelerate ME</t>
  </si>
  <si>
    <t>thierry@accelerateme.fr</t>
  </si>
  <si>
    <t xml:space="preserve">higher education</t>
  </si>
  <si>
    <t>http://www.linkedin.com/in/thierry-moutet-9323a22b</t>
  </si>
  <si>
    <t>http://www.accelerateme.co</t>
  </si>
  <si>
    <t xml:space="preserve">18 Lower Byrom Street, Manchester, England, United Kingdom, M3 4</t>
  </si>
  <si>
    <t xml:space="preserve">We are the largest student-led start-up accelerator in the UK, with a mission is to empower young founders to become great entrepreneurs.</t>
  </si>
  <si>
    <t>Mathys</t>
  </si>
  <si>
    <t xml:space="preserve">Ouest INSA Junior Entreprise</t>
  </si>
  <si>
    <t>mathys.dubois@ouest-insa.fr</t>
  </si>
  <si>
    <t>http://www.linkedin.com/in/mathys-dubois-43a728263</t>
  </si>
  <si>
    <t>http://www.ouest-insa.fr</t>
  </si>
  <si>
    <t>Domecq</t>
  </si>
  <si>
    <t>ID-LOGISM</t>
  </si>
  <si>
    <t>xavier.domecq@id-logism.fr</t>
  </si>
  <si>
    <t>http://www.linkedin.com/in/xavier-domecq-21b42</t>
  </si>
  <si>
    <t>http://www.id-logism.com</t>
  </si>
  <si>
    <t xml:space="preserve">13 Rue Buffon, Paris, Ile-de-France, France, 75005</t>
  </si>
  <si>
    <t xml:space="preserve">Bienvenue chez ID-Logism, société de consultants en cybersécurité. Nous sommes aux côtés de nos clients pour relever de nouveaux défis liés à la sécurité du numérique. Découvrez nos solutions IAM, DLP, RGPD et Conformité sécurité. Retrouvez également les articles rédigés par nos consultants.</t>
  </si>
  <si>
    <t>Rafik</t>
  </si>
  <si>
    <t>rafik.mnasri@data-tricks.fr</t>
  </si>
  <si>
    <t>http://www.linkedin.com/in/rafik-m-54155115</t>
  </si>
  <si>
    <t>Marie-Francoise</t>
  </si>
  <si>
    <t xml:space="preserve">Co-Dirigeante associée à Myriam SEROUX</t>
  </si>
  <si>
    <t>Conversens</t>
  </si>
  <si>
    <t>mfredon@conversens.fr</t>
  </si>
  <si>
    <t>http://www.linkedin.com/in/marie-fran%c3%a7oise-redon-thomas-8277855b</t>
  </si>
  <si>
    <t>http://www.conversens.fr</t>
  </si>
  <si>
    <t xml:space="preserve">4 Rue Edith Piaf, Saint-Herblain, Pays de la Loire, France, 44800</t>
  </si>
  <si>
    <t xml:space="preserve">Conversens, spécialiste de la relation client vous propose une solution innovante pour démultiplier votre action commerciale.</t>
  </si>
  <si>
    <t>Seroux-Bernard</t>
  </si>
  <si>
    <t xml:space="preserve">Fondatrice et Dirigeante, associée à Marie-Françoise REDON</t>
  </si>
  <si>
    <t>mseroux@conversens.fr</t>
  </si>
  <si>
    <t>http://www.linkedin.com/in/myriam-seroux-bernard-87250561</t>
  </si>
  <si>
    <t>Martens</t>
  </si>
  <si>
    <t>fmartens@conversens.fr</t>
  </si>
  <si>
    <t>http://www.linkedin.com/in/florent-martens-52a30116</t>
  </si>
  <si>
    <t>Madzela</t>
  </si>
  <si>
    <t xml:space="preserve">CODINF Services +</t>
  </si>
  <si>
    <t>john.madzela@codinf.fr</t>
  </si>
  <si>
    <t>http://www.linkedin.com/in/johnmadzela</t>
  </si>
  <si>
    <t>http://www.codinf.fr</t>
  </si>
  <si>
    <t xml:space="preserve">120 Avenue Ledru-Rollin, Paris, Ile-de-France, France, 75011</t>
  </si>
  <si>
    <t>Bezard-Falgas</t>
  </si>
  <si>
    <t>Géofoncier</t>
  </si>
  <si>
    <t>patrick.bezard-falgas@geofoncier.fr</t>
  </si>
  <si>
    <t>http://www.linkedin.com/in/patrick-bezard-falgas-7aa68762</t>
  </si>
  <si>
    <t>http://www.geofoncier.fr</t>
  </si>
  <si>
    <t xml:space="preserve">Géofoncier, c'est toute l'information sur le foncier et le cadastre sur un seul outil cartographique : cadastre, plans des sols, bornages !</t>
  </si>
  <si>
    <t>Bouillier</t>
  </si>
  <si>
    <t>Superindep.fr</t>
  </si>
  <si>
    <t>clement@superindep.fr</t>
  </si>
  <si>
    <t>http://www.linkedin.com/in/clementbouillier</t>
  </si>
  <si>
    <t>http://www.superindep.fr</t>
  </si>
  <si>
    <t xml:space="preserve">Enfin une plateforme dédiée à la vie des indépendants!</t>
  </si>
  <si>
    <t>Alix</t>
  </si>
  <si>
    <t>Papeloux</t>
  </si>
  <si>
    <t>OOTI</t>
  </si>
  <si>
    <t>apapeloux@ooti.co</t>
  </si>
  <si>
    <t>http://www.linkedin.com/in/alix-papeloux-b7847a83</t>
  </si>
  <si>
    <t>http://www.ooti.co</t>
  </si>
  <si>
    <t xml:space="preserve">18 Rue Le Sueur, Paris, Ile-de-France, France, 75116</t>
  </si>
  <si>
    <t xml:space="preserve">ERP for architects with project and resource management, billing, and financial features specifically designed for architects. An all-in-one solution.</t>
  </si>
  <si>
    <t>Philippine</t>
  </si>
  <si>
    <t>Leccia</t>
  </si>
  <si>
    <t xml:space="preserve">MYWAY Technology</t>
  </si>
  <si>
    <t>philippine@myway.technology</t>
  </si>
  <si>
    <t>http://www.linkedin.com/in/philippine-leccia-471224108</t>
  </si>
  <si>
    <t>http://www.myway.technology</t>
  </si>
  <si>
    <t xml:space="preserve">MYWAY translates your data and strategy into a day-to-day sales battle plan with personalized Next Best Actions for your sales reps to always take the right action, at the right moment, that drives the highest value for your company and your clients.</t>
  </si>
  <si>
    <t>Rochot</t>
  </si>
  <si>
    <t xml:space="preserve">CTO &amp; Founder chez TanitLab</t>
  </si>
  <si>
    <t>𝗧𝗮𝗻𝗶𝘁𝗹𝗮𝗯</t>
  </si>
  <si>
    <t>jeremy@tanitlab.com</t>
  </si>
  <si>
    <t>http://www.linkedin.com/in/j%c3%a9r%c3%a9my-rochot-6482762b</t>
  </si>
  <si>
    <t>http://www.tanitlab.ai</t>
  </si>
  <si>
    <t xml:space="preserve">IT Digital Lab for app development and Machine Learning models</t>
  </si>
  <si>
    <t>Mariya</t>
  </si>
  <si>
    <t>Vasyuk</t>
  </si>
  <si>
    <t>Colibrity</t>
  </si>
  <si>
    <t>mariya@colibrity.com</t>
  </si>
  <si>
    <t>http://www.linkedin.com/in/mariya-vasyuk-94b35a77</t>
  </si>
  <si>
    <t>http://www.colibrity.com</t>
  </si>
  <si>
    <t xml:space="preserve">165 Rue Saint-Honore, Paris, Ile-de-France, France, 75001</t>
  </si>
  <si>
    <t xml:space="preserve">Colibrity, agence indépendante française, se spécialise dans la transition vers des technologies innovantes et immersives. Nous concevons des sites web captivants, des applications immersives, ainsi que des expériences en réalité augmentée, réalité virtuelle et intelligence artificielle. En intégrant des technologies de pointe, nous offrons des solutions digitales qui renforcent l’interaction, suscitent l’émotion et favorisent la fidélisation et la rétention des clients.</t>
  </si>
  <si>
    <t xml:space="preserve">Elixir Health</t>
  </si>
  <si>
    <t>xavier@elixir.health</t>
  </si>
  <si>
    <t>http://www.linkedin.com/in/xavierhurst</t>
  </si>
  <si>
    <t>http://www.elixir.health</t>
  </si>
  <si>
    <t xml:space="preserve">Découvrez la première plateforme entre patient(e)s et professionnel(le)s dédiée à l'amélioration des parcours de soins, de la fertilité à la maternité.</t>
  </si>
  <si>
    <t>Vercruysse</t>
  </si>
  <si>
    <t xml:space="preserve">Operating Partner &amp; Co-Founder | Growth Strategy - Sales - Marketing</t>
  </si>
  <si>
    <t>XDI</t>
  </si>
  <si>
    <t>svercruysse@xdinnovation.eu</t>
  </si>
  <si>
    <t>http://www.linkedin.com/in/sebastienvercruysse</t>
  </si>
  <si>
    <t>http://www.xdinnovation.eu</t>
  </si>
  <si>
    <t xml:space="preserve">255 Boulevard Pereire, Paris, Ile-de-France, France, 75017</t>
  </si>
  <si>
    <t xml:space="preserve">Découvrez pourquoi XDI est l'intégrateur SOLIDWORKS &amp; CATIA idéal pour votre réussite. Tarification transparente et intégration 3DEXPERIENCE</t>
  </si>
  <si>
    <t>OPTACARE</t>
  </si>
  <si>
    <t>aurelie.martin@opta-lp.com</t>
  </si>
  <si>
    <t>http://www.linkedin.com/in/aur%c3%a9lie-martin-58570866</t>
  </si>
  <si>
    <t>http://www.optacare.fr</t>
  </si>
  <si>
    <t xml:space="preserve">Rosieres-pres-Troyes, Grand Est, France</t>
  </si>
  <si>
    <t xml:space="preserve">L'optimisation organisationnelle des hôpitaux. L'IA pour la prévision de vos flux de patients et la planification de vos ressources.</t>
  </si>
  <si>
    <t>Panos</t>
  </si>
  <si>
    <t>Petropoulos</t>
  </si>
  <si>
    <t>SparkPlanAI</t>
  </si>
  <si>
    <t>panos@sparkplan.ai</t>
  </si>
  <si>
    <t>http://www.linkedin.com/in/panospetropoulos</t>
  </si>
  <si>
    <t>http://www.sparkplan.ai</t>
  </si>
  <si>
    <t xml:space="preserve">Powerful AI Tools - Save Hundreds of Hours and Boost Project Success</t>
  </si>
  <si>
    <t>Tilloy</t>
  </si>
  <si>
    <t xml:space="preserve">cofounder et general manager</t>
  </si>
  <si>
    <t xml:space="preserve">Ask for the moon</t>
  </si>
  <si>
    <t>benedicte@askforthemoon.com</t>
  </si>
  <si>
    <t>http://www.linkedin.com/in/b%c3%a9n%c3%a9dicte-tilloy-a46a9b45</t>
  </si>
  <si>
    <t>http://www.askforthemoon.com</t>
  </si>
  <si>
    <t xml:space="preserve">18 Rue de la Fontaine au Roi, Paris, Ile-de-France, France, 75011</t>
  </si>
  <si>
    <t xml:space="preserve">Outil de knowledge management pour l'industrie. Partagez et sécurisez vos savoir-faire avec Ask for the moon. L'IA qui relie ceux qui ont des questions, et ceux qui ont les réponses.</t>
  </si>
  <si>
    <t>Amelie</t>
  </si>
  <si>
    <t>Branchat</t>
  </si>
  <si>
    <t>ZOL</t>
  </si>
  <si>
    <t>amelie.branchat@zol.fr</t>
  </si>
  <si>
    <t>http://www.linkedin.com/in/ameliebranchat</t>
  </si>
  <si>
    <t>http://www.zol.fr</t>
  </si>
  <si>
    <t xml:space="preserve">22 Rue Robert, Lyon, Auvergne-Rhone-Alpes, France, 69006</t>
  </si>
  <si>
    <t xml:space="preserve">ZOL est une agence web et mobile indépendante, agile et pragmatique, spécialisée dans la conception et le développement de solutions digitales sur-mesure à forte valeur ajoutée.</t>
  </si>
  <si>
    <t xml:space="preserve">CIO - Co-Founder</t>
  </si>
  <si>
    <t>NetExplorer</t>
  </si>
  <si>
    <t>antony@netexplorer.fr</t>
  </si>
  <si>
    <t>http://www.linkedin.com/in/proceau</t>
  </si>
  <si>
    <t>http://www.netexplorer.fr</t>
  </si>
  <si>
    <t xml:space="preserve">11 Boulevard Deodat de Severac, Colomiers, Occitanie, France, 31770</t>
  </si>
  <si>
    <t xml:space="preserve">Des solutions hautement sécurisées et hébergées dans notre cloud de confiance afin de garantir aux organisations une totale maitrise de leurs données.</t>
  </si>
  <si>
    <t xml:space="preserve">Co-Founder &amp; CTO Lyko</t>
  </si>
  <si>
    <t>adrien@lyko.tech</t>
  </si>
  <si>
    <t>http://www.linkedin.com/in/adrienhugon</t>
  </si>
  <si>
    <t>Douieb</t>
  </si>
  <si>
    <t>Sudo</t>
  </si>
  <si>
    <t>m.douieb@sudogroup.fr</t>
  </si>
  <si>
    <t>http://www.linkedin.com/in/mike-douieb</t>
  </si>
  <si>
    <t>http://www.sudogroup.fr</t>
  </si>
  <si>
    <t xml:space="preserve">51/53 Rue de l'Alcazar, Lille, Hauts-de-France, France, 59800</t>
  </si>
  <si>
    <t xml:space="preserve">Sudo est un cabinet de conseil en transformation digitale et data. Expertises : FinOps, Cloud, Data, Sustainable IT, DevOps, Gestion de projet</t>
  </si>
  <si>
    <t xml:space="preserve">CEO | Product Owner | Digital Mentor</t>
  </si>
  <si>
    <t>Squirrel</t>
  </si>
  <si>
    <t>thomas@squirrel.fr</t>
  </si>
  <si>
    <t>http://www.linkedin.com/in/thomas-lemaitre-squirrel-606b9543</t>
  </si>
  <si>
    <t>http://www.squirrel.fr</t>
  </si>
  <si>
    <t xml:space="preserve">12 Rue d'Aunis, Cormontreuil, Champagne-Ardenne, France, 51350</t>
  </si>
  <si>
    <t xml:space="preserve">L'agence digitale experte pour vous accompagner dans le développement, le design et la stratégie marketing de vos sites et applis web &amp; mobile.</t>
  </si>
  <si>
    <t>Got</t>
  </si>
  <si>
    <t>TAIX</t>
  </si>
  <si>
    <t>jc.legot@taix.fr</t>
  </si>
  <si>
    <t>http://www.linkedin.com/in/jean-christophe-le-got-91582764</t>
  </si>
  <si>
    <t>http://www.taix.fr</t>
  </si>
  <si>
    <t xml:space="preserve">16 Rue de la Liberation, Bonnelles, Ile-de-France, France, 78830</t>
  </si>
  <si>
    <t>Laaroussi</t>
  </si>
  <si>
    <t>anas@biolevate.com</t>
  </si>
  <si>
    <t>http://www.linkedin.com/in/anas-laaroussi-2150621ba</t>
  </si>
  <si>
    <t>Rochwerg</t>
  </si>
  <si>
    <t>simon.rochwerg@lobstr.io</t>
  </si>
  <si>
    <t>http://www.linkedin.com/in/simonrochwerg</t>
  </si>
  <si>
    <t>Maher</t>
  </si>
  <si>
    <t>Chikhaoui</t>
  </si>
  <si>
    <t>Octoplus</t>
  </si>
  <si>
    <t>maher@octoplus.tech</t>
  </si>
  <si>
    <t>http://www.linkedin.com/in/mchikhaoui</t>
  </si>
  <si>
    <t>http://www.octoplus.tech</t>
  </si>
  <si>
    <t xml:space="preserve">Octoplus est une communauté tech next-gen de haut niveau. future-of-work/tech</t>
  </si>
  <si>
    <t>Mrani</t>
  </si>
  <si>
    <t>Ionel</t>
  </si>
  <si>
    <t>Pop</t>
  </si>
  <si>
    <t>FOXSTREAM</t>
  </si>
  <si>
    <t>i.pop@foxstream.fr</t>
  </si>
  <si>
    <t>http://www.linkedin.com/in/ionel-pop-2148308a</t>
  </si>
  <si>
    <t>http://www.foxstream.fr</t>
  </si>
  <si>
    <t xml:space="preserve">Vaulx-en-Velin, Auvergne-Rhone-Alpes, France, 69120</t>
  </si>
  <si>
    <t>Abboud</t>
  </si>
  <si>
    <t>julien@nelson-mobility.com</t>
  </si>
  <si>
    <t>http://www.linkedin.com/in/julien-bou-abboud-683319188</t>
  </si>
  <si>
    <t>Eliana</t>
  </si>
  <si>
    <t>Kuo</t>
  </si>
  <si>
    <t xml:space="preserve">Co-CEO &amp; Founder</t>
  </si>
  <si>
    <t xml:space="preserve">SPIN.FASHION a lablaco company</t>
  </si>
  <si>
    <t>elianakuo@spin.fashion</t>
  </si>
  <si>
    <t>http://www.linkedin.com/in/elianakuo</t>
  </si>
  <si>
    <t>http://www.spin.fashion</t>
  </si>
  <si>
    <t xml:space="preserve">The leading 3D-based phygital commerce infrastructure and omni-experience solutions, connecting products with communities through on-chain smart labels and immersive experiences.</t>
  </si>
  <si>
    <t>Axelle</t>
  </si>
  <si>
    <t>Oran</t>
  </si>
  <si>
    <t xml:space="preserve">Co-Fondatrice &amp; COO</t>
  </si>
  <si>
    <t>Wineriz</t>
  </si>
  <si>
    <t>axelle.oran@livemarket.io</t>
  </si>
  <si>
    <t>http://www.linkedin.com/in/axelle-oran-74741058</t>
  </si>
  <si>
    <t>http://www.wineriz.com</t>
  </si>
  <si>
    <t xml:space="preserve">38 Rue Dulong, Paris, Ile-de-France, France, 75017</t>
  </si>
  <si>
    <t xml:space="preserve">Wineriz est la solution logicielle la plus complète pour gérer et optimiser votre domaine viticole. Caisse, site internet, facturation, douanes. Démonstration gratuite.</t>
  </si>
  <si>
    <t>Modin</t>
  </si>
  <si>
    <t xml:space="preserve">Hélix Développement</t>
  </si>
  <si>
    <t>pascal.modin@helix-dev.fr</t>
  </si>
  <si>
    <t>http://www.linkedin.com/in/pascal-modin-642585131</t>
  </si>
  <si>
    <t>http://www.helix-developpement.com</t>
  </si>
  <si>
    <t xml:space="preserve">Editeur de logiciels et concepteur d'applications métier spécifiques</t>
  </si>
  <si>
    <t>Estrade</t>
  </si>
  <si>
    <t xml:space="preserve">Founder, Chairman and CTO</t>
  </si>
  <si>
    <t>EKILOG</t>
  </si>
  <si>
    <t>francois.estrade@ekilog.fr</t>
  </si>
  <si>
    <t>http://www.linkedin.com/in/festrade</t>
  </si>
  <si>
    <t>http://www.ekilog.fr</t>
  </si>
  <si>
    <t>Roig</t>
  </si>
  <si>
    <t xml:space="preserve">PARTNER Consultancy Services</t>
  </si>
  <si>
    <t>sr@partnerconsultancyservices.com</t>
  </si>
  <si>
    <t>http://www.linkedin.com/in/st%c3%a9phane-roig-9756248b</t>
  </si>
  <si>
    <t>http://www.partnerconsultancyservices.com</t>
  </si>
  <si>
    <t xml:space="preserve">1 Congresstraat, Brussel, Brussels Hoofdstedelijk Gewest, Belgium, 1000</t>
  </si>
  <si>
    <t>Colardelle</t>
  </si>
  <si>
    <t>WELLCOMS</t>
  </si>
  <si>
    <t>jerome@wellcoms.eu</t>
  </si>
  <si>
    <t>http://www.linkedin.com/in/jerome-colardelle-aa037520</t>
  </si>
  <si>
    <t>http://www.wellcoms.eu</t>
  </si>
  <si>
    <t xml:space="preserve">Maisonneuve, Chandolas, Auvergne-Rhone-Alpes, France, 07230</t>
  </si>
  <si>
    <t xml:space="preserve">Wellcoms Drilling and Geology is a software development company based in France,specialized in data management, real time data transmission and visualization</t>
  </si>
  <si>
    <t>Ballaguy</t>
  </si>
  <si>
    <t>CORUS</t>
  </si>
  <si>
    <t>f.ballaguy@corus.fr</t>
  </si>
  <si>
    <t>http://www.linkedin.com/in/fran%c3%a7ois-ballaguy-40b82640</t>
  </si>
  <si>
    <t>http://www.corus.fr</t>
  </si>
  <si>
    <t xml:space="preserve">20 Avenue Albert Einstein, Villeurbanne cedex, Rhone-Alpes, France, 69621</t>
  </si>
  <si>
    <t xml:space="preserve">Créateur de valeurs ajoutées pour la gestion multicanale de vos documents sortants. CORUS est le seul prestataire expérimenté exclusivement spécialisé dans la production de documents sortants : factures, cartes de tiers payant, bulletins de paye, relevés de comptes, etc..</t>
  </si>
  <si>
    <t>Dibaji</t>
  </si>
  <si>
    <t>matthieu.dibaji@sweepin.fr</t>
  </si>
  <si>
    <t>http://www.linkedin.com/in/matthieu-dibaji-4b1a1a158</t>
  </si>
  <si>
    <t>Moussab</t>
  </si>
  <si>
    <t>Djerrab</t>
  </si>
  <si>
    <t xml:space="preserve">CSO | Co-Founder</t>
  </si>
  <si>
    <t>FENTECH</t>
  </si>
  <si>
    <t>moussab@fentech.ai</t>
  </si>
  <si>
    <t>http://www.linkedin.com/in/moussab-djerrab-0685b161</t>
  </si>
  <si>
    <t>http://www.fentech.ai</t>
  </si>
  <si>
    <t xml:space="preserve">16 Rue de Turbigo, Paris, Ile-de-France, France, 75002</t>
  </si>
  <si>
    <t>Cantain</t>
  </si>
  <si>
    <t>Sight</t>
  </si>
  <si>
    <t>gcantain@sight.consulting</t>
  </si>
  <si>
    <t>http://www.linkedin.com/in/gilles-cantain-83733919</t>
  </si>
  <si>
    <t>http://www.sight.consulting</t>
  </si>
  <si>
    <t xml:space="preserve">Sight Consulting Paris est une société de conseil spécialisée en IT et transformation digitale. Elle se positionne en tant qu’entreprise consciente porteuse de sens pour ses collaborateurs et ses clients.</t>
  </si>
  <si>
    <t>Racine</t>
  </si>
  <si>
    <t xml:space="preserve">Acting CEO</t>
  </si>
  <si>
    <t>LeXi</t>
  </si>
  <si>
    <t>guillaume.racine@lexi.fr</t>
  </si>
  <si>
    <t>http://www.linkedin.com/in/guillaume-racine</t>
  </si>
  <si>
    <t>http://www.lexi.fr</t>
  </si>
  <si>
    <t xml:space="preserve">12 Rue de Castiglione, Paris, Ile-de-France, France, 75001</t>
  </si>
  <si>
    <t xml:space="preserve">LEXI: Société de Conseil et de Services spécialisée dans l’optimisation des services d’information. Nous sommes guidé par l'innovation technologique IA, Devops/ Cloud et Cybersécurité...</t>
  </si>
  <si>
    <t>Cristof</t>
  </si>
  <si>
    <t>MAGNISFY</t>
  </si>
  <si>
    <t>c.thomas@magnisfy.com</t>
  </si>
  <si>
    <t>http://www.linkedin.com/in/cristof-thomas</t>
  </si>
  <si>
    <t>http://www.magnisfy.com</t>
  </si>
  <si>
    <t xml:space="preserve">37 Parc du Golf, Aix-en-Provence, Provence-Alpes-Cote d'Azur, France, 13290</t>
  </si>
  <si>
    <t xml:space="preserve">MAGNISFY, intégrateur de solutions Microsoft pour les professionnels, Pilotage et Gestion à l'Affaire, Construction, Bâtiment et Travaux Publics. Centre de compétence Microsoft SAAS Business Central, CRM, POWERBI. Magnifier votre Système d'Informations, grâce aux technologies Microsoft.</t>
  </si>
  <si>
    <t>Sciascia</t>
  </si>
  <si>
    <t>PRISMO</t>
  </si>
  <si>
    <t>samuel.sciascia@prismo.io</t>
  </si>
  <si>
    <t>http://www.linkedin.com/in/samuel-sciascia-5b6882311</t>
  </si>
  <si>
    <t>http://www.prismo.io</t>
  </si>
  <si>
    <t xml:space="preserve">3 Rue Eugene Aussedat, Annecy, Auvergne-Rhone-Alpes, France, 74960</t>
  </si>
  <si>
    <t xml:space="preserve">Le test de personnalité DISC gratuit le plus accessible pour vos accompagnements professionnels, vos coachings et vos formations soft skills</t>
  </si>
  <si>
    <t>Louf</t>
  </si>
  <si>
    <t>EONA</t>
  </si>
  <si>
    <t>g.louf@eona.com</t>
  </si>
  <si>
    <t>http://www.linkedin.com/in/gregory-louf-18086110</t>
  </si>
  <si>
    <t>http://www.eona.com</t>
  </si>
  <si>
    <t xml:space="preserve">Annecy-le-Vieux, Rhone-Alpes, France</t>
  </si>
  <si>
    <t xml:space="preserve">EONA, une offre complète de solutions IPTV et mobiles, de services cloud et de gestion de contenus pour l’hôtellerie et la santé</t>
  </si>
  <si>
    <t>MetaEngine</t>
  </si>
  <si>
    <t>antoine@metaengine.gg</t>
  </si>
  <si>
    <t>http://www.linkedin.com/in/antoine-castel</t>
  </si>
  <si>
    <t>http://www.metaengine.gg</t>
  </si>
  <si>
    <t xml:space="preserve">Singapore, Singapore</t>
  </si>
  <si>
    <t xml:space="preserve">With MetaEngine, developers, designers, players and even brands can build in the same cloud-based environment in real-time.</t>
  </si>
  <si>
    <t>Gourdikian</t>
  </si>
  <si>
    <t xml:space="preserve">Co-founder &amp; Chief Music Scientist</t>
  </si>
  <si>
    <t>MatchTune</t>
  </si>
  <si>
    <t>herve@matchtune.com</t>
  </si>
  <si>
    <t>http://www.linkedin.com/in/herv%c3%a9-gourdikian-0612a7231</t>
  </si>
  <si>
    <t>http://www.matchtune.com</t>
  </si>
  <si>
    <t xml:space="preserve">2510 W Sunset Blvd, Los Angeles, California, United States, 90026-3904</t>
  </si>
  <si>
    <t xml:space="preserve">Discover MatchTune's suite of innovative AI audio &amp; video tools designed to safeguard music copyright &amp; ensure compliant licensing within modern content creation.</t>
  </si>
  <si>
    <t>Enguerrand</t>
  </si>
  <si>
    <t>Granoux</t>
  </si>
  <si>
    <t>enguerrand.granoux@cyna-it.fr</t>
  </si>
  <si>
    <t>http://www.linkedin.com/in/egranoux</t>
  </si>
  <si>
    <t>Assouline</t>
  </si>
  <si>
    <t xml:space="preserve">Chief Technology Officer - Co-founder</t>
  </si>
  <si>
    <t>Payflows</t>
  </si>
  <si>
    <t>joseph@payflows.io</t>
  </si>
  <si>
    <t>http://www.linkedin.com/in/joseph-a-82b9bab</t>
  </si>
  <si>
    <t>http://www.payflows.io</t>
  </si>
  <si>
    <t xml:space="preserve">Supercharge your finance and procurement operations with workflows, collaboration, automation and analytics.</t>
  </si>
  <si>
    <t>H3D</t>
  </si>
  <si>
    <t>denis@otom.com</t>
  </si>
  <si>
    <t>http://www.linkedin.com/in/denis-heitz-1809348</t>
  </si>
  <si>
    <t>http://www.hearables3d.com</t>
  </si>
  <si>
    <t>Dortan</t>
  </si>
  <si>
    <t xml:space="preserve">Melbourne, Victoria, Australia, 3000</t>
  </si>
  <si>
    <t xml:space="preserve">H3D provides unique technology for businesses to scale their custom-fit volumes. Discover Smartphone Scanning and AutoDesign.</t>
  </si>
  <si>
    <t>Zakariyaa</t>
  </si>
  <si>
    <t>I.</t>
  </si>
  <si>
    <t>BrightCape</t>
  </si>
  <si>
    <t>z.ismaili@analyticsinsights.io</t>
  </si>
  <si>
    <t>http://www.linkedin.com/in/zismaili</t>
  </si>
  <si>
    <t>http://www.brightcape.co</t>
  </si>
  <si>
    <t xml:space="preserve">Brightcape est un cabinet de conseil en data et technologie qui aide les entreprises à maximiser leur performance en matière de données et de technologies.</t>
  </si>
  <si>
    <t xml:space="preserve">Cofounder and CTO</t>
  </si>
  <si>
    <t>Gladia</t>
  </si>
  <si>
    <t>jsoto@gladia.io</t>
  </si>
  <si>
    <t>http://www.linkedin.com/in/jsotogaviard</t>
  </si>
  <si>
    <t>http://www.gladia.io</t>
  </si>
  <si>
    <t xml:space="preserve">From async to live streaming, our API empowers your platform with accurate, multilingual speech-to-text and actionable insights.</t>
  </si>
  <si>
    <t>Lamare</t>
  </si>
  <si>
    <t xml:space="preserve">Gerant fondateur , AppliDev'</t>
  </si>
  <si>
    <t>AppliDev'</t>
  </si>
  <si>
    <t>fabrice.lamare@applidev.fr</t>
  </si>
  <si>
    <t>http://www.linkedin.com/in/fabrice-lamare-30b8508</t>
  </si>
  <si>
    <t>http://www.applidev.fr</t>
  </si>
  <si>
    <t xml:space="preserve">10 Rue Ernest Sylvain Bollée, Arnage, Pays de la Loire, France, 72230</t>
  </si>
  <si>
    <t xml:space="preserve">AppliDev' - Votre partenaire en solution de gestion, développement informatique spécifique et affichage dynamique</t>
  </si>
  <si>
    <t>Desot</t>
  </si>
  <si>
    <t xml:space="preserve">Wraptor Laboratories</t>
  </si>
  <si>
    <t>patrick.desot@wraptor.fr</t>
  </si>
  <si>
    <t>http://www.linkedin.com/in/patrickdesot</t>
  </si>
  <si>
    <t>http://www.wraptor.fr</t>
  </si>
  <si>
    <t xml:space="preserve">251 Avenue des Paluds, Aubagne, Provence-Alpes-Cote d'Azur, France, 13400</t>
  </si>
  <si>
    <t>Zeine</t>
  </si>
  <si>
    <t>Mahbouby</t>
  </si>
  <si>
    <t xml:space="preserve">Co-CEO &amp;  Founder</t>
  </si>
  <si>
    <t>Richatt</t>
  </si>
  <si>
    <t>zeine.mahbouby@richatt.com</t>
  </si>
  <si>
    <t>http://www.linkedin.com/in/zeine-mahbouby-52302619</t>
  </si>
  <si>
    <t>http://www.richatt.com</t>
  </si>
  <si>
    <t xml:space="preserve">Nouakchott, Nouakchott, Mauritania</t>
  </si>
  <si>
    <t>Mauritania</t>
  </si>
  <si>
    <t>Xuoan</t>
  </si>
  <si>
    <t>Duquesne</t>
  </si>
  <si>
    <t xml:space="preserve">la Réclame</t>
  </si>
  <si>
    <t>xuoan@lareclame.fr</t>
  </si>
  <si>
    <t>http://www.linkedin.com/in/xuoan</t>
  </si>
  <si>
    <t>http://www.lareclame.fr</t>
  </si>
  <si>
    <t xml:space="preserve">3 Rue Charcot, Neuilly-sur-Seine, Ile-de-France, France, 92200</t>
  </si>
  <si>
    <t xml:space="preserve">La Réclame est le principal média français dédié à la créativité et à l’innovation dans le monde du marketing et de la communication.</t>
  </si>
  <si>
    <t>Kerdjana</t>
  </si>
  <si>
    <t>Ideta</t>
  </si>
  <si>
    <t>yanis.kerdjana@ideta.io</t>
  </si>
  <si>
    <t>http://www.linkedin.com/in/yanis-kerdjana-b332b2b1</t>
  </si>
  <si>
    <t>http://www.ideta.io</t>
  </si>
  <si>
    <t xml:space="preserve">4 Boulevard du Temple, Paris, Ile-de-France, France, 75011</t>
  </si>
  <si>
    <t xml:space="preserve">Ideta helps companies smoothen up their operations and business processes with a mix of AI and automation.</t>
  </si>
  <si>
    <t>Gwenael</t>
  </si>
  <si>
    <t>Fourre</t>
  </si>
  <si>
    <t>Reemo</t>
  </si>
  <si>
    <t>gwenael@reemo.io</t>
  </si>
  <si>
    <t>http://www.linkedin.com/in/gwenael-fourr%c3%a9-812b73104</t>
  </si>
  <si>
    <t>http://www.reemo.io</t>
  </si>
  <si>
    <t xml:space="preserve">12 Avenue de l'Europe, Montevrain, Ile-de-France, France, 77144</t>
  </si>
  <si>
    <t xml:space="preserve">High Performance Low Latency Remote Desktop for Windows, Linux and MacOS.</t>
  </si>
  <si>
    <t>Lumeau</t>
  </si>
  <si>
    <t xml:space="preserve">Responsable développement commercial et co-fondateur</t>
  </si>
  <si>
    <t>Hargos</t>
  </si>
  <si>
    <t>francois.lumeau@hargos.fr</t>
  </si>
  <si>
    <t>http://www.linkedin.com/in/francoislumeau</t>
  </si>
  <si>
    <t>http://www.hargos.fr</t>
  </si>
  <si>
    <t xml:space="preserve">1 Rue Denis Poisson, Paris, Ile-de-France, France, 75017</t>
  </si>
  <si>
    <t xml:space="preserve">Chez HARGOS, notre mission : rendre accessible SAP S/4 HANA aux PME en France et à l’international. Nous sommes intégrateur SAP avec une expertise métiers..</t>
  </si>
  <si>
    <t>Luternauer</t>
  </si>
  <si>
    <t>Trackap</t>
  </si>
  <si>
    <t>alexandre@trackap.com</t>
  </si>
  <si>
    <t>http://www.linkedin.com/in/alexandre-luternauer-29631061</t>
  </si>
  <si>
    <t>http://www.trackap.com</t>
  </si>
  <si>
    <t xml:space="preserve">Trackap, leader français de la connectivité pour véhicules électriques légers. Solutions de traceurs gps pour vélos, trottinettes et scooters électriques. Sécurisez votre deux roues avec nos traceurs intégrés et discrets.</t>
  </si>
  <si>
    <t>Mirval</t>
  </si>
  <si>
    <t>Ezymob</t>
  </si>
  <si>
    <t>julien@ezymob.fr</t>
  </si>
  <si>
    <t>http://www.linkedin.com/in/julien-mirval-0a186b129</t>
  </si>
  <si>
    <t>http://www.ezymob.fr</t>
  </si>
  <si>
    <t>Ezanville</t>
  </si>
  <si>
    <t xml:space="preserve">Ezymob : des solutions digitales de guidage adaptées qui offrent une autonomie totale de déplacements à tous les publics, en situation de handicap ou non.</t>
  </si>
  <si>
    <t>Ha</t>
  </si>
  <si>
    <t>L'Oréal</t>
  </si>
  <si>
    <t>cha@xlstat.com</t>
  </si>
  <si>
    <t>http://www.linkedin.com/in/celine-ha-9a25961</t>
  </si>
  <si>
    <t>http://www.xlstat.com</t>
  </si>
  <si>
    <t xml:space="preserve">The leading data analysis and statistical solution for Microsoft Excel. XLSTAT is a powerful yet flexible Excel data analysis add-on that allows users to analyze, customize and share results within Microsoft Excel.</t>
  </si>
  <si>
    <t>sylvain@omydoo.fr</t>
  </si>
  <si>
    <t>http://www.linkedin.com/in/sylvain-dubuisson-4186b228</t>
  </si>
  <si>
    <t>http://www.omydoo.fr</t>
  </si>
  <si>
    <t>Fagot</t>
  </si>
  <si>
    <t xml:space="preserve">D'un Seul Geste</t>
  </si>
  <si>
    <t>ludovic@dunseulgeste.fr</t>
  </si>
  <si>
    <t>http://www.linkedin.com/in/ludovic-fagot-4b5aa5</t>
  </si>
  <si>
    <t>http://www.dunseulgeste.fr</t>
  </si>
  <si>
    <t xml:space="preserve">Formez vos collaborateurs aux gestes qui sauvent en une heure seulement. Formations Premiers Secours et Sécurité Incendie en réalité virtuelle. Pour entreprises et collectivités</t>
  </si>
  <si>
    <t>Mestdagh</t>
  </si>
  <si>
    <t>FAR-IT</t>
  </si>
  <si>
    <t>amestdagh@far-it.com</t>
  </si>
  <si>
    <t>http://www.linkedin.com/in/antoine-mestdagh-51a302105</t>
  </si>
  <si>
    <t>http://www.far-it.com</t>
  </si>
  <si>
    <t xml:space="preserve">11 Rue Marius Franay, Boulogne-Billancourt, Ile-de-France, France, 92210</t>
  </si>
  <si>
    <t xml:space="preserve">Partenaire de recrutement 100% chasse, nous aimons relever les défis, alors 
pourquoi pas le vôtre?</t>
  </si>
  <si>
    <t>Trefouel</t>
  </si>
  <si>
    <t xml:space="preserve">Directeur Général &amp; Sales</t>
  </si>
  <si>
    <t xml:space="preserve">Works Agency</t>
  </si>
  <si>
    <t>anthony@works-agency.fr</t>
  </si>
  <si>
    <t>http://www.linkedin.com/in/anthony-trefouel</t>
  </si>
  <si>
    <t>http://www.works-agency.fr</t>
  </si>
  <si>
    <t xml:space="preserve">11 Rue du Donjon, Rouen, Upper Normandy, France, 76000</t>
  </si>
  <si>
    <t xml:space="preserve">De la création de votre site internet à la mise en oeuvre de votre stratégie digitale, Works Agency vous accompagne au quotidien dans votre développement</t>
  </si>
  <si>
    <t>Milie</t>
  </si>
  <si>
    <t>Lili.ai</t>
  </si>
  <si>
    <t>milie@lili.ai</t>
  </si>
  <si>
    <t>http://www.linkedin.com/in/milietaingatliliai</t>
  </si>
  <si>
    <t>http://www.lili.ai</t>
  </si>
  <si>
    <t xml:space="preserve">Lili combines AI / NLP with an expertise in major project management to unlock insights straight from textual data.</t>
  </si>
  <si>
    <t>Demay</t>
  </si>
  <si>
    <t>Letreco</t>
  </si>
  <si>
    <t>guillaume.lothdemay@equisign.fr</t>
  </si>
  <si>
    <t>http://www.linkedin.com/in/guillaume-loth-demay-1612501</t>
  </si>
  <si>
    <t>http://www.letreco.fr</t>
  </si>
  <si>
    <t xml:space="preserve">76 Route de la Demi-Lune, Ile-de-France, France, 92800</t>
  </si>
  <si>
    <t>Guibert</t>
  </si>
  <si>
    <t xml:space="preserve">Co founder &amp; COO</t>
  </si>
  <si>
    <t>Wiink</t>
  </si>
  <si>
    <t>thomas@wewiink.com</t>
  </si>
  <si>
    <t>http://www.linkedin.com/in/--thomas</t>
  </si>
  <si>
    <t>http://www.loyoly.io</t>
  </si>
  <si>
    <t xml:space="preserve">Meet the new standard of Loyalty Experience. Unlock 40+ ways to reward your customers from shopping to social interactions. 300+ brands trust us.</t>
  </si>
  <si>
    <t>Yunus</t>
  </si>
  <si>
    <t>Guerlek</t>
  </si>
  <si>
    <t>node101</t>
  </si>
  <si>
    <t>yunus@node101.io</t>
  </si>
  <si>
    <t>http://www.linkedin.com/in/yunus-g%c3%bcrlek-625b931a1</t>
  </si>
  <si>
    <t>http://www.node101.io</t>
  </si>
  <si>
    <t xml:space="preserve">Istanbul, Istanbul, Turkey</t>
  </si>
  <si>
    <t>Turkey</t>
  </si>
  <si>
    <t xml:space="preserve">World is changing, and there are a lot of new values emerging with blockchain technology. Now, it is the time to distribute the value. node101 is validating and distributing the value in more than 15 blockchains, all with different visions for their community. To discover and learn more how you can join the distributed ecosystem, reach out at hello@node101.io.</t>
  </si>
  <si>
    <t>Manteau</t>
  </si>
  <si>
    <t xml:space="preserve">Product Owner &amp; Co-Founder</t>
  </si>
  <si>
    <t>Ackomas</t>
  </si>
  <si>
    <t>smanteau@ackomas.com</t>
  </si>
  <si>
    <t>http://www.linkedin.com/in/s%c3%a9bastien-manteau-a9945b117</t>
  </si>
  <si>
    <t>http://www.ackomas.com</t>
  </si>
  <si>
    <t xml:space="preserve">Palaiseau, Ile-de-France, France, 91120</t>
  </si>
  <si>
    <t xml:space="preserve">Simplify medical device compliance with ACKOMAS. Our platform ensures seamless data management, regulatory adherence, and enhanced security. Optimize your budget, achieve effortless compliance, and stay ahead with real-time insights. Discover more through our personalized demo sessions and stay informed with the latest industry updates. Join us to streamline your compliance processes and protect your data efficiently.</t>
  </si>
  <si>
    <t>Cotteaux</t>
  </si>
  <si>
    <t xml:space="preserve">Fondateur et Président at Archireport</t>
  </si>
  <si>
    <t>Archireport</t>
  </si>
  <si>
    <t>julien@archireport.com</t>
  </si>
  <si>
    <t>http://www.linkedin.com/in/julien-cotteaux-b9187345</t>
  </si>
  <si>
    <t>http://www.archireport.com</t>
  </si>
  <si>
    <t xml:space="preserve">61 Rue Jean Guehenno, Rennes, Brittany, France, 35700</t>
  </si>
  <si>
    <t xml:space="preserve">Archireport est l’application de suivi de chantier et gestion de projet sur iPad, iPhone, Windows, Mac et Web. Avec Archireport gagnez 45 minutes par compte-rendu de chantier.</t>
  </si>
  <si>
    <t xml:space="preserve">Eurailscout France</t>
  </si>
  <si>
    <t>benjamin.roux@eurailscout.com</t>
  </si>
  <si>
    <t>http://www.linkedin.com/in/roux-benjamin-918bb1a5</t>
  </si>
  <si>
    <t>http://www.eurailscout-france.fr</t>
  </si>
  <si>
    <t xml:space="preserve">20 Rue des Petits-Hotels, Paris, Ile-de-France, France, 75010</t>
  </si>
  <si>
    <t xml:space="preserve">Co-founder Itamsys - Sales director</t>
  </si>
  <si>
    <t>ITAMSYS</t>
  </si>
  <si>
    <t>lgiraud@itamsys.com</t>
  </si>
  <si>
    <t>http://www.linkedin.com/in/laurent-giraud-1a4b1631</t>
  </si>
  <si>
    <t>http://www.itamsys.com</t>
  </si>
  <si>
    <t xml:space="preserve">17 Rue Crepet, Lyon, Auvergne-Rhone-Alpes, France, 69007</t>
  </si>
  <si>
    <t xml:space="preserve">Créée en 2003, la vocation de ITAMSYS est de fournir des solutions et des prestations pour vous aider à automatiser vos processus ITSM.</t>
  </si>
  <si>
    <t>Peytavin</t>
  </si>
  <si>
    <t xml:space="preserve">Directeur et co-fondateur</t>
  </si>
  <si>
    <t>Openium</t>
  </si>
  <si>
    <t>h.peytavin@openium.fr</t>
  </si>
  <si>
    <t>http://www.linkedin.com/in/hugues-peytavin</t>
  </si>
  <si>
    <t>http://www.openium.fr</t>
  </si>
  <si>
    <t xml:space="preserve">Openium : votre partenaire pour une expérience utilisateur réussie. AGENCE de DÉVELOPPEMENT d’APPLICATION MOBILE natives iOS et Android sur mesure.📱</t>
  </si>
  <si>
    <t>Leschave</t>
  </si>
  <si>
    <t xml:space="preserve">Chief of Staff to CEO</t>
  </si>
  <si>
    <t>IJO</t>
  </si>
  <si>
    <t>lucas.leschave@ijo.tech</t>
  </si>
  <si>
    <t>http://www.linkedin.com/in/%c2%a9%ef%b8%8flucas-leschave-23081917a</t>
  </si>
  <si>
    <t>http://www.ijo.tech</t>
  </si>
  <si>
    <t xml:space="preserve">1 Place de la Pyramide, Puteaux, Ile-de-France, France, 92800</t>
  </si>
  <si>
    <t xml:space="preserve">Cabinet de conseil et de recherche sur le numérique responsable. Nous aidons nos clients à mesurer &amp; réduire l'empreinte environnementale du numérique</t>
  </si>
  <si>
    <t>Freudensprung</t>
  </si>
  <si>
    <t xml:space="preserve">Co-Founder &amp; Full-stack Developer</t>
  </si>
  <si>
    <t>Kairntech</t>
  </si>
  <si>
    <t>bruno.freudensprung@kairntech.com</t>
  </si>
  <si>
    <t>http://www.linkedin.com/in/bruno-freudensprung-b93831</t>
  </si>
  <si>
    <t>http://www.kairntech.com</t>
  </si>
  <si>
    <t xml:space="preserve">Meylan, Auvergne-Rhone-Alpes, France</t>
  </si>
  <si>
    <t xml:space="preserve">Experiment, customize, industrialize and maintain GenAI empowered natural language assistants for automated text processing and generation</t>
  </si>
  <si>
    <t xml:space="preserve">GROUPE HUARD</t>
  </si>
  <si>
    <t>fredhuard@huard.fr</t>
  </si>
  <si>
    <t>http://www.linkedin.com/in/huard-fred-a3210b93</t>
  </si>
  <si>
    <t>http://www.huard.fr</t>
  </si>
  <si>
    <t xml:space="preserve">Route de Gisy, Bievres, Ile-de-France, France, 91570</t>
  </si>
  <si>
    <t xml:space="preserve">L’entreprise HUARD est reconnue pour son expertise dans les corps d’état technique dans le bâtiment. Le regroupement et la synergie des différents métiers nous permettent de couvrir un large éventail de prestations et de simplifier celles des maîtres d’œuvre, maîtres d’ouvrage, acheteurs et des bureaux d’études.</t>
  </si>
  <si>
    <t>Golzarnia</t>
  </si>
  <si>
    <t>mahdi@presentid.com</t>
  </si>
  <si>
    <t>http://www.linkedin.com/in/mahdigolzarnia</t>
  </si>
  <si>
    <t>Villejuif</t>
  </si>
  <si>
    <t>Stelandre</t>
  </si>
  <si>
    <t>bertrand.stelandre@epicnpoc.com</t>
  </si>
  <si>
    <t>http://www.linkedin.com/in/bertrand-stelandre-4878859</t>
  </si>
  <si>
    <t>Henroz</t>
  </si>
  <si>
    <t>Chift</t>
  </si>
  <si>
    <t>gauthier.henroz@chift.eu</t>
  </si>
  <si>
    <t>http://www.linkedin.com/in/gauthierhenroz</t>
  </si>
  <si>
    <t>http://www.chift.eu</t>
  </si>
  <si>
    <t xml:space="preserve">Embed financial connectivity into your product with an integration platform designed for speed and scale. Add accounting, invoicing, ecommerce and POS integrations in 1 click.</t>
  </si>
  <si>
    <t xml:space="preserve">Co-fondateur et experte Finance D365FO</t>
  </si>
  <si>
    <t>FiveForty°</t>
  </si>
  <si>
    <t>cguibert@fiveforty.fr</t>
  </si>
  <si>
    <t>http://www.linkedin.com/in/catherine-guibert-78bb0187</t>
  </si>
  <si>
    <t>Franceries</t>
  </si>
  <si>
    <t xml:space="preserve">GERTRUDE SAEM</t>
  </si>
  <si>
    <t>efranceries@gertrude.fr</t>
  </si>
  <si>
    <t>http://www.linkedin.com/in/eric-franceries-ab99b873</t>
  </si>
  <si>
    <t>http://www.gertrude.fr</t>
  </si>
  <si>
    <t xml:space="preserve">9 Rue de Segur, Bordeaux, Nouvelle-Aquitaine, France, 33000</t>
  </si>
  <si>
    <t>Nasraoui</t>
  </si>
  <si>
    <t xml:space="preserve">Digital Health Evangelist | Philomath |  Managing Director and co-Founder France</t>
  </si>
  <si>
    <t xml:space="preserve">MY Synergy</t>
  </si>
  <si>
    <t>adel.nasraoui@mysynergy.fr</t>
  </si>
  <si>
    <t>http://www.linkedin.com/in/adel-nasraoui-6506a62</t>
  </si>
  <si>
    <t>http://www.healthcaresynergy.com</t>
  </si>
  <si>
    <t xml:space="preserve">251g Улица Околовръстен път, Sofia, Sofia City Province, Bulgaria, 1756</t>
  </si>
  <si>
    <t>Conrad-Bruat</t>
  </si>
  <si>
    <t xml:space="preserve">Cofounder &amp; General Manager</t>
  </si>
  <si>
    <t>Logipren</t>
  </si>
  <si>
    <t>laurent.conrad@logipren.com</t>
  </si>
  <si>
    <t>http://www.linkedin.com/in/laurent-conrad-bruat-8042775</t>
  </si>
  <si>
    <t>http://www.logipren.com</t>
  </si>
  <si>
    <t xml:space="preserve">5 Rue Jean Albany, Saint-Pierre, Saint Pierre, Reunion, 97410</t>
  </si>
  <si>
    <t xml:space="preserve">Neonatal medical prescription software to fully secure medication and nutrition prescriptions for newborns and children in the hospital.</t>
  </si>
  <si>
    <t xml:space="preserve">General Manager &amp; Co-Founder</t>
  </si>
  <si>
    <t>andre.joly@simsoft-industry.fr</t>
  </si>
  <si>
    <t>http://www.linkedin.com/in/andr%c3%a9-joly-0aa3131b</t>
  </si>
  <si>
    <t>Girod</t>
  </si>
  <si>
    <t xml:space="preserve">Art Director Co founder &amp; Managing Partner</t>
  </si>
  <si>
    <t>thomas.girod@66origin.com</t>
  </si>
  <si>
    <t>http://www.linkedin.com/in/thomas-girod-501a5119</t>
  </si>
  <si>
    <t>Hichem</t>
  </si>
  <si>
    <t>Dahmani</t>
  </si>
  <si>
    <t xml:space="preserve">Co-Founder of CloudSpirit – ServiceNow Senior Consultant</t>
  </si>
  <si>
    <t xml:space="preserve">CloudSpirit by Coexya</t>
  </si>
  <si>
    <t>hichem@cloudspirit.fr</t>
  </si>
  <si>
    <t>http://www.linkedin.com/in/hichem-dahmani-60a6725a</t>
  </si>
  <si>
    <t>Jeanneau</t>
  </si>
  <si>
    <t xml:space="preserve">CEO Associé fondateur</t>
  </si>
  <si>
    <t xml:space="preserve">ADOBIS GROUP</t>
  </si>
  <si>
    <t>stephan.jeanneau@adobisgroup.fr</t>
  </si>
  <si>
    <t>http://www.linkedin.com/in/st%c3%a9phan-jeanneau-2923b152</t>
  </si>
  <si>
    <t>http://www.adobisgroup.com</t>
  </si>
  <si>
    <t xml:space="preserve">305 Rue Aristide Berges, Montbonnot-Saint-Martin, Auvergne-Rhone-Alpes, France, 38330</t>
  </si>
  <si>
    <t xml:space="preserve">Solution européenne souveraine, Datachain® propose une plateforme collaborative de data management de dernière génération.</t>
  </si>
  <si>
    <t>Rochet</t>
  </si>
  <si>
    <t xml:space="preserve">CIS Consulting</t>
  </si>
  <si>
    <t>bruno.rochet@cis-consulting.com</t>
  </si>
  <si>
    <t>http://www.linkedin.com/in/bruno-rochet-821093154</t>
  </si>
  <si>
    <t>http://www.cis-consulting.com</t>
  </si>
  <si>
    <t xml:space="preserve">17 Rue du Parchamp, Boulogne-Billancourt, Ile-de-France, France, 92100</t>
  </si>
  <si>
    <t xml:space="preserve">Vous êtes une entreprise industrielle, une entreprise de service et vous placez vos clients au centre de vos projets. Vous avez réalisé que vos systèmes informatiques doivent contribuer à cet objectif et avez déjà opté pour un logiciel de gestion d’entreprise performant. Si ce logiciel, cet ERP choisi est SAP, vous êtes au bon endroit.</t>
  </si>
  <si>
    <t>Muffat-Jeandet</t>
  </si>
  <si>
    <t>thomas.jeandet@railwai.com</t>
  </si>
  <si>
    <t>http://www.linkedin.com/in/thomasjeandet</t>
  </si>
  <si>
    <t xml:space="preserve">Kakarot zkEVM</t>
  </si>
  <si>
    <t>clement@kakarot.org</t>
  </si>
  <si>
    <t>http://www.linkedin.com/in/clementwalter</t>
  </si>
  <si>
    <t>http://www.kakarot.org</t>
  </si>
  <si>
    <t>??Artdesignstory</t>
  </si>
  <si>
    <t xml:space="preserve">ArtDesignStory 100% connected &amp; FANarZONE</t>
  </si>
  <si>
    <t>cyril@artdesignstory.fr</t>
  </si>
  <si>
    <t>http://www.linkedin.com/in/cyril-nardon-%e2%96%aa%ef%b8%8fartdesignstory-%c2%ae-fanarzone-%c2%ae-004a3182</t>
  </si>
  <si>
    <t>http://www.artdesignstory.fr</t>
  </si>
  <si>
    <t xml:space="preserve">18 Rue de l'Arche Seche, Nantes, Pays de la Loire, France, 44000</t>
  </si>
  <si>
    <t>Girodet</t>
  </si>
  <si>
    <t xml:space="preserve">Code Busters</t>
  </si>
  <si>
    <t>nicolas.girodet@codebusters.fr</t>
  </si>
  <si>
    <t>http://www.linkedin.com/in/nicolasgirodet</t>
  </si>
  <si>
    <t>http://www.codebusters.fr</t>
  </si>
  <si>
    <t>Shephard</t>
  </si>
  <si>
    <t>Nulia</t>
  </si>
  <si>
    <t>jim@nulia.com</t>
  </si>
  <si>
    <t>http://www.linkedin.com/in/james-shephard-45358580</t>
  </si>
  <si>
    <t>http://www.nulia.com</t>
  </si>
  <si>
    <t xml:space="preserve">2852 Willamette St, Eugene, Oregon, United States, 97405-8200</t>
  </si>
  <si>
    <t>Flusin</t>
  </si>
  <si>
    <t xml:space="preserve">Co-fondateur - Wink (Logiciel de Recrutement)</t>
  </si>
  <si>
    <t>Wink</t>
  </si>
  <si>
    <t>hugo.flusin@wink-lab.com</t>
  </si>
  <si>
    <t>http://www.linkedin.com/in/hugo-flusin-9b2339a8</t>
  </si>
  <si>
    <t>http://www.wink-lab.com</t>
  </si>
  <si>
    <t xml:space="preserve">Wink, est un logiciel de recrutement (ATS) destiné aux recruteurs pour diffuser leurs offres d'emploi, gérer leurs candidatures et recruter le bon candidat.</t>
  </si>
  <si>
    <t>Grinal</t>
  </si>
  <si>
    <t xml:space="preserve">JD Conseil</t>
  </si>
  <si>
    <t>jonathan@jdconseil.co</t>
  </si>
  <si>
    <t>http://www.linkedin.com/in/jonathan-grinal-07933a73</t>
  </si>
  <si>
    <t>http://www.jdconseil.co</t>
  </si>
  <si>
    <t xml:space="preserve">Nous vous accompagnons dans la sélection de votre outil, son installation et la formation de vos équipes. Découvrez notre méthodologie</t>
  </si>
  <si>
    <t>Ulric</t>
  </si>
  <si>
    <t>Aymard</t>
  </si>
  <si>
    <t xml:space="preserve">CILEA Software &amp; Services</t>
  </si>
  <si>
    <t>u.aymard@cilea.fr</t>
  </si>
  <si>
    <t>http://www.linkedin.com/in/ulric-aymard-52a9bb100</t>
  </si>
  <si>
    <t>http://www.cilea.fr</t>
  </si>
  <si>
    <t xml:space="preserve">6 Chemin des Cuers, Dardilly, Rhone-Alpes, France, 69570</t>
  </si>
  <si>
    <t>Bourgeois</t>
  </si>
  <si>
    <t>LIMSEO</t>
  </si>
  <si>
    <t>david@limseo.eu</t>
  </si>
  <si>
    <t>http://www.linkedin.com/in/davidbourgeois</t>
  </si>
  <si>
    <t>http://www.limseo.eu</t>
  </si>
  <si>
    <t xml:space="preserve">Chanos-Curson, Auvergne-Rhone-Alpes, France, 26600</t>
  </si>
  <si>
    <t xml:space="preserve">LiMSEOvotre partenaire LIMS</t>
  </si>
  <si>
    <t>Scetbon</t>
  </si>
  <si>
    <t>Optimi</t>
  </si>
  <si>
    <t>rscetbon@optimicdn.com</t>
  </si>
  <si>
    <t>http://www.linkedin.com/in/rubenscetbon</t>
  </si>
  <si>
    <t>http://www.optimicdn.com</t>
  </si>
  <si>
    <t>Ledieu</t>
  </si>
  <si>
    <t>lledieu@gentleit.fr</t>
  </si>
  <si>
    <t>http://www.linkedin.com/in/ludovic-ledieu-199b1b75</t>
  </si>
  <si>
    <t>Hamy</t>
  </si>
  <si>
    <t>Datakeen</t>
  </si>
  <si>
    <t>bruno@datakeen.co</t>
  </si>
  <si>
    <t>http://www.linkedin.com/in/brunohamy</t>
  </si>
  <si>
    <t>http://www.datakeen.co</t>
  </si>
  <si>
    <t xml:space="preserve">Vérification d'identité | Onboarding Automatisé | Traitement de Documents | Gestion des Avis Clients | Datakeen vous accompagne</t>
  </si>
  <si>
    <t>Dieuleveult</t>
  </si>
  <si>
    <t>HOMELINKS</t>
  </si>
  <si>
    <t>franck@homelinks.eu</t>
  </si>
  <si>
    <t>http://www.linkedin.com/in/franckdedieuleveult</t>
  </si>
  <si>
    <t>http://www.homelinks.eu</t>
  </si>
  <si>
    <t xml:space="preserve">1 Villa Pilaudo, Asnieres-sur-Seine, Ile-de-France, France, 92600</t>
  </si>
  <si>
    <t xml:space="preserve">Homelinks au service de l'immeuble. Homelinks fluidifie les échanges entre tous les acteurs de l'immeuble: Directeur de copropriété, Gestionnaire, Conseil syndical, Prestataire, Gardien, Copropriétaire, Locataire, Expert et Community manager</t>
  </si>
  <si>
    <t>Grattery</t>
  </si>
  <si>
    <t>EDIFITEK</t>
  </si>
  <si>
    <t>vincent.grattery@aktarma.fr</t>
  </si>
  <si>
    <t>http://www.linkedin.com/in/vincent-grattery-811ba115</t>
  </si>
  <si>
    <t>http://www.edifitek.fr</t>
  </si>
  <si>
    <t xml:space="preserve">8 Rue Victor Laloux, Tours, Centre-Val de Loire, France, 37000</t>
  </si>
  <si>
    <t xml:space="preserve">Agence spécialisée dans le développement de solutions digitales et de logiciels web. Améliorez et facilitez votre quotidien !</t>
  </si>
  <si>
    <t>Koussay</t>
  </si>
  <si>
    <t xml:space="preserve">KAF Consulting</t>
  </si>
  <si>
    <t>adam.koussay@kafconsulting.fr</t>
  </si>
  <si>
    <t>http://www.linkedin.com/in/adam-koussay-b06004138</t>
  </si>
  <si>
    <t>http://www.kaf.com.mx</t>
  </si>
  <si>
    <t xml:space="preserve">2703 Avenida Revolucion, Monterrey, Nuevo Leon, Mexico, 64830</t>
  </si>
  <si>
    <t xml:space="preserve">En KAF Consulting habilitamos tecnologías y mejores prácticas con soluciones de Automatización de Procesos (BPM) y Robotización de Procesos (RPA); impulsando la Agilidad en la Transformación Digital, bajo modelos de BPaaS y SaaS.</t>
  </si>
  <si>
    <t>Blouin</t>
  </si>
  <si>
    <t xml:space="preserve">COO &amp; Cofounder</t>
  </si>
  <si>
    <t>Locomotive</t>
  </si>
  <si>
    <t>paul@locomotive.eu</t>
  </si>
  <si>
    <t>http://www.linkedin.com/in/blouinpaul</t>
  </si>
  <si>
    <t>http://www.locomotive.eu</t>
  </si>
  <si>
    <t>Sossah</t>
  </si>
  <si>
    <t>Council</t>
  </si>
  <si>
    <t>oriane.sossah@concilium.digital</t>
  </si>
  <si>
    <t>http://www.linkedin.com/in/oriane-sossah</t>
  </si>
  <si>
    <t>http://www.concilium.digital</t>
  </si>
  <si>
    <t xml:space="preserve">24 Rue Buffault, Paris, Ile-de-France, France, 75009</t>
  </si>
  <si>
    <t xml:space="preserve">CONCILIUM est un cabinet de conseil en accompagnement digital des entreprises à Paris et en transformation digitale.</t>
  </si>
  <si>
    <t>Metais</t>
  </si>
  <si>
    <t>OptiXT</t>
  </si>
  <si>
    <t>david.metais@optixt.fr</t>
  </si>
  <si>
    <t>http://www.linkedin.com/in/david-m%c3%a9tais-889771</t>
  </si>
  <si>
    <t>http://www.optixt.fr</t>
  </si>
  <si>
    <t xml:space="preserve">9 Boulevard National, La Garenne-Colombes, Ile-de-France, France, 92250</t>
  </si>
  <si>
    <t xml:space="preserve">Bienvenue dans le monde de l’optimisation de la mobilité professionnelle ! Que vous recherchiez des outils pour la gestion de flotte, la promotion de modes de déplacement durables, l’optimisation de véhicules mutualisés ou un service de gestion externalisée, nous sommes là pour vous accompagner.</t>
  </si>
  <si>
    <t>Eytan</t>
  </si>
  <si>
    <t>Hattem</t>
  </si>
  <si>
    <t>Cemantica</t>
  </si>
  <si>
    <t>eytan@cemantica.com</t>
  </si>
  <si>
    <t>http://www.linkedin.com/in/eytan-hattem-ccxp-02780b2a</t>
  </si>
  <si>
    <t>http://www.cemantica.com</t>
  </si>
  <si>
    <t xml:space="preserve">Discover Cemantica, leading customer experience management software designed to empower CX strategies with advanced journey maps and VoC integration.</t>
  </si>
  <si>
    <t>Ganzri</t>
  </si>
  <si>
    <t>Devcorp</t>
  </si>
  <si>
    <t>reda.elganzri@devcorp.fr</t>
  </si>
  <si>
    <t>http://www.linkedin.com/in/reda-el-ganzri-a10659104</t>
  </si>
  <si>
    <t>http://www.devcorp.fr</t>
  </si>
  <si>
    <t xml:space="preserve">11 Rue de l'Inspecteur Alles, Paris, Ile-de-France, France, 75019</t>
  </si>
  <si>
    <t>Ndao</t>
  </si>
  <si>
    <t>mansour.ndao@mentorgoal.com</t>
  </si>
  <si>
    <t>http://www.linkedin.com/in/mansour-ndao-mentorgoal</t>
  </si>
  <si>
    <t>Bonutto</t>
  </si>
  <si>
    <t xml:space="preserve">Publicité François</t>
  </si>
  <si>
    <t>virginie@pubfrancois.fr</t>
  </si>
  <si>
    <t>http://www.linkedin.com/in/virginie-bonutto-129b451b9</t>
  </si>
  <si>
    <t>http://www.pubfrancois.fr</t>
  </si>
  <si>
    <t>Saint-Lo</t>
  </si>
  <si>
    <t xml:space="preserve">775 Rue Louise Michel, Saint-Lo, Lower Normandy, France, 50000</t>
  </si>
  <si>
    <t xml:space="preserve">Depuis 1946, Publicité Francois à Saint-Lô vous accompagne pour affirmer votre identité, afficher vos valeurs, vous démarquer</t>
  </si>
  <si>
    <t>Jehan</t>
  </si>
  <si>
    <t xml:space="preserve">Chief Operating Officer &amp; Co-founder</t>
  </si>
  <si>
    <t xml:space="preserve">Laiye France</t>
  </si>
  <si>
    <t>gary.jehan@viasay.io</t>
  </si>
  <si>
    <t>http://www.linkedin.com/in/gary-jehan</t>
  </si>
  <si>
    <t>http://www.viasay.io</t>
  </si>
  <si>
    <t xml:space="preserve">131 Avenue Parmentier, Paris, Ile-de-France, France, 75011</t>
  </si>
  <si>
    <t xml:space="preserve">Improve your customer service processes with a personalized AI chatbot that can help your customers 24/7.</t>
  </si>
  <si>
    <t>Neves</t>
  </si>
  <si>
    <t xml:space="preserve">Co-fondateur - Opérations / Logistique</t>
  </si>
  <si>
    <t>talo</t>
  </si>
  <si>
    <t>raphael@talo.eco</t>
  </si>
  <si>
    <t>http://www.linkedin.com/in/rapha%c3%abl-neves-248429165</t>
  </si>
  <si>
    <t>http://www.talo.eco</t>
  </si>
  <si>
    <t xml:space="preserve">120 Avenue du Port, Carrieres-sous-Poissy, Ile-de-France, France, 78955</t>
  </si>
  <si>
    <t xml:space="preserve">Le meilleur du bâtiment et de la technologie pour réaliser votre projet de menuiseries.</t>
  </si>
  <si>
    <t>Fiona</t>
  </si>
  <si>
    <t>Roch</t>
  </si>
  <si>
    <t xml:space="preserve">Founder &amp; Full Stack Engineer</t>
  </si>
  <si>
    <t>filabs</t>
  </si>
  <si>
    <t>fiona@omeet.io</t>
  </si>
  <si>
    <t>http://www.linkedin.com/in/fiona-roch-205b7896</t>
  </si>
  <si>
    <t>http://www.filabs.dev</t>
  </si>
  <si>
    <t xml:space="preserve">se vienen cositas...</t>
  </si>
  <si>
    <t>Hedi</t>
  </si>
  <si>
    <t xml:space="preserve">CEO chez DataEra</t>
  </si>
  <si>
    <t>DataEra</t>
  </si>
  <si>
    <t>hedi.zouari@data-era.co</t>
  </si>
  <si>
    <t>http://www.linkedin.com/in/hedi-zouari-880b4318</t>
  </si>
  <si>
    <t>http://www.data-era.co</t>
  </si>
  <si>
    <t xml:space="preserve">Tunis, Tunis, Tunisia</t>
  </si>
  <si>
    <t>http://www.linkedin.com/in/capurro-andr%c3%a9-259666b</t>
  </si>
  <si>
    <t>Elyes</t>
  </si>
  <si>
    <t>Hellara</t>
  </si>
  <si>
    <t xml:space="preserve">Elyos Digital</t>
  </si>
  <si>
    <t>elyes.hellara@elyosdigital.com</t>
  </si>
  <si>
    <t>http://www.linkedin.com/in/elyeshellara</t>
  </si>
  <si>
    <t>http://www.elyosdigital.com</t>
  </si>
  <si>
    <t xml:space="preserve">Rue Mohamed Abdo, Monastir, Monastir, Tunisia</t>
  </si>
  <si>
    <t xml:space="preserve">Elyos Digital est une agence web Tunisienne spécialisée dans le conseil en stratégie digitale, développement web, développement mobile et Référencement. Une prise en charge globale de vos projets digitaux avec Elyos Digital.</t>
  </si>
  <si>
    <t>Tania</t>
  </si>
  <si>
    <t>Kefs</t>
  </si>
  <si>
    <t>Jurnee</t>
  </si>
  <si>
    <t>tania@jurnee.io</t>
  </si>
  <si>
    <t>http://www.linkedin.com/in/tania-kefs-42662047</t>
  </si>
  <si>
    <t>http://www.jurnee.io</t>
  </si>
  <si>
    <t xml:space="preserve">Jurnee is an all-in-one platform to book and plan corporate events, get access to event services across the world, manage budgets and streamline payments.</t>
  </si>
  <si>
    <t>Bonneton</t>
  </si>
  <si>
    <t xml:space="preserve">President and CEO</t>
  </si>
  <si>
    <t>NAELAN</t>
  </si>
  <si>
    <t>pascal.bonneton@naelan.com</t>
  </si>
  <si>
    <t>http://www.linkedin.com/in/pascal-bonneton</t>
  </si>
  <si>
    <t>http://www.naelan.com</t>
  </si>
  <si>
    <t xml:space="preserve">Saint-Didier-au-Mont-d'Or, Rhone-Alpes, France</t>
  </si>
  <si>
    <t xml:space="preserve">Naelan votre spécialiste des solutions logicielles et des services associés pour des communications personnalisées multicanal sur l'acquisition et la fidélisation clients.</t>
  </si>
  <si>
    <t>Albaret</t>
  </si>
  <si>
    <t xml:space="preserve">Test Manager at neolians - CEO</t>
  </si>
  <si>
    <t>neolians</t>
  </si>
  <si>
    <t>julie.albaret@neolians.com</t>
  </si>
  <si>
    <t>http://www.linkedin.com/in/julie-albaret-9776a73</t>
  </si>
  <si>
    <t>http://www.neolians.com</t>
  </si>
  <si>
    <t>Tiviers</t>
  </si>
  <si>
    <t xml:space="preserve">neolians spécialiste en test et QA, automatisation, formation ISTQB, et ingénieurs test pour améliorer la satisfaction de vos utilisateurs.</t>
  </si>
  <si>
    <t>Armand</t>
  </si>
  <si>
    <t>http://www.linkedin.com/in/armand-h-diffo-47aa0439</t>
  </si>
  <si>
    <t>Dugue</t>
  </si>
  <si>
    <t xml:space="preserve">TAMPLO Managing Director &amp; Co-founder</t>
  </si>
  <si>
    <t>TAMPLO</t>
  </si>
  <si>
    <t>sebastien.dugue@tamplo.com</t>
  </si>
  <si>
    <t>http://www.linkedin.com/in/s%c3%a9bastien-dugu%c3%a9-40440a125</t>
  </si>
  <si>
    <t>http://www.tamplo.com</t>
  </si>
  <si>
    <t xml:space="preserve">2 Avenue de l'Escadrille Normandie Niemen, Blagnac, Midi-Pyrenees, France, 31700</t>
  </si>
  <si>
    <t xml:space="preserve">Co-Founder, CPO</t>
  </si>
  <si>
    <t>Genki</t>
  </si>
  <si>
    <t>kevin.roy@greenio.fr</t>
  </si>
  <si>
    <t>http://www.linkedin.com/in/kevin-roy-genki</t>
  </si>
  <si>
    <t>http://www.genki-seo.com</t>
  </si>
  <si>
    <t xml:space="preserve">127 Rue du Ranelagh, Paris, Ile-de-France, France, 75016</t>
  </si>
  <si>
    <t>Ronnie</t>
  </si>
  <si>
    <t>OVEA</t>
  </si>
  <si>
    <t>r.garcia@ovea.com</t>
  </si>
  <si>
    <t>http://www.linkedin.com/in/ronniegarcia</t>
  </si>
  <si>
    <t>http://www.ovea.com</t>
  </si>
  <si>
    <t xml:space="preserve">Solutions cloud, hébergement internet. Accès très haut débit par fibre optique. Présence dans 2 Datacenter à Montpellier.</t>
  </si>
  <si>
    <t>XPERIS</t>
  </si>
  <si>
    <t>jean-baptiste.dubuisson@xperis.fr</t>
  </si>
  <si>
    <t>http://www.linkedin.com/in/jean-baptiste-dubuisson-3a42151</t>
  </si>
  <si>
    <t>http://www.xperis.fr</t>
  </si>
  <si>
    <t>Voropaieff</t>
  </si>
  <si>
    <t>AGRID</t>
  </si>
  <si>
    <t>jean-pierre.voropaieff@a-grid.com</t>
  </si>
  <si>
    <t>http://www.linkedin.com/in/jean-pierre-voropaieff-024aa083</t>
  </si>
  <si>
    <t>http://www.a-grid.com</t>
  </si>
  <si>
    <t xml:space="preserve">Ajaccio, Corsica, France</t>
  </si>
  <si>
    <t xml:space="preserve">Technologie de pointe au service des bâtiments pour les rendre plus responsables et durables avec une gestion optimale de la consommation de vos bâtiments.</t>
  </si>
  <si>
    <t>Molina</t>
  </si>
  <si>
    <t>arnaud@wizzinvest.com</t>
  </si>
  <si>
    <t>http://www.linkedin.com/in/arnaud-molina-809a455</t>
  </si>
  <si>
    <t>Payman</t>
  </si>
  <si>
    <t>Ziai</t>
  </si>
  <si>
    <t xml:space="preserve">Co-founder and strategic board member</t>
  </si>
  <si>
    <t>ziai@presentid.com</t>
  </si>
  <si>
    <t>http://www.linkedin.com/in/payman-ziai-9317157a</t>
  </si>
  <si>
    <t>Dominik</t>
  </si>
  <si>
    <t>Goldschmidt</t>
  </si>
  <si>
    <t xml:space="preserve">Co-Fondateur &amp; Co-Dirigeant</t>
  </si>
  <si>
    <t>Keleo</t>
  </si>
  <si>
    <t>dominik.goldschmidt@keleo-solutions.com</t>
  </si>
  <si>
    <t>http://www.linkedin.com/in/dominik-goldschmidt-1b16a950</t>
  </si>
  <si>
    <t>http://www.keleo.fr</t>
  </si>
  <si>
    <t xml:space="preserve">27 Boulevard Matabiau, Toulouse, Occitanie, France, 31000</t>
  </si>
  <si>
    <t xml:space="preserve">Nous développons vos solutions numériques grâce à notre approche sur-mesure et modulable. 
De l’idée à la solution, expérimentez le sens du numérique.</t>
  </si>
  <si>
    <t>Bouassida</t>
  </si>
  <si>
    <t xml:space="preserve">Luxant Innovation</t>
  </si>
  <si>
    <t>mohamed.bouassida@luxantinnovation.com</t>
  </si>
  <si>
    <t>http://www.linkedin.com/in/mohamed-salah-bouassida-6a437132</t>
  </si>
  <si>
    <t>http://www.luxantinnovation.com</t>
  </si>
  <si>
    <t xml:space="preserve">24 Rue de Beaumont, Noyelles-Godault, Hauts-de-France, France, 62950</t>
  </si>
  <si>
    <t xml:space="preserve">INCOM SA</t>
  </si>
  <si>
    <t>lducros@incom-sa.fr</t>
  </si>
  <si>
    <t>http://www.linkedin.com/in/ludovicducros</t>
  </si>
  <si>
    <t>http://www.incom-sa.fr</t>
  </si>
  <si>
    <t xml:space="preserve">35 Rue de Strasbourg, Herouville-Saint-Clair, Lower Normandy, France, 14200</t>
  </si>
  <si>
    <t>Louvetel</t>
  </si>
  <si>
    <t>Atchik</t>
  </si>
  <si>
    <t>brice.lelouvetel@atchik-services.com</t>
  </si>
  <si>
    <t>http://www.linkedin.com/in/bricelelouvetel</t>
  </si>
  <si>
    <t>http://www.atchik.com</t>
  </si>
  <si>
    <t xml:space="preserve">9 Rue Ritay, Toulouse, Occitanie, France, 31000</t>
  </si>
  <si>
    <t xml:space="preserve">Au cœur des conversations des médias sociaux, Atchik écoute, analyse et optimise l'e-réputation et la présence en ligne des marques, agences et médias.</t>
  </si>
  <si>
    <t>Perceval</t>
  </si>
  <si>
    <t xml:space="preserve">Wondeur Ai</t>
  </si>
  <si>
    <t>sophie@wondeur.ai</t>
  </si>
  <si>
    <t>http://www.linkedin.com/in/sophieperceval</t>
  </si>
  <si>
    <t>http://www.wondeur.ai</t>
  </si>
  <si>
    <t xml:space="preserve">215 Spadina Ave, Toronto, Ontario, Canada, M5T 2C7</t>
  </si>
  <si>
    <t xml:space="preserve">Global insurance and wealth management firms across 9 countries and 2 continents use our AIs to analyze risk on value for millions of alternative assets.</t>
  </si>
  <si>
    <t>Giorgio</t>
  </si>
  <si>
    <t>Rivero</t>
  </si>
  <si>
    <t xml:space="preserve">Co-founder and Chief Data Officer</t>
  </si>
  <si>
    <t>Rubyx</t>
  </si>
  <si>
    <t>giorgio@rubyx.io</t>
  </si>
  <si>
    <t>http://www.linkedin.com/in/giorgio-rivero-5925328</t>
  </si>
  <si>
    <t>http://www.rubyx.io</t>
  </si>
  <si>
    <t xml:space="preserve">Dakar, Dakar, Senegal</t>
  </si>
  <si>
    <t xml:space="preserve">MSME lending reinvented. Grow your lending business sustainably with our data-driven cloud solutions. DISCOVER HOW LENDING AS A SERVICE Your shortcut to smarter lending! Embedded lending Offer more value to your customers with a fast and seamless borrowing experience. Powerful credit scoring Reach more customers whilst managing risk by relying on an intelligent analysis framework.</t>
  </si>
  <si>
    <t>Donato</t>
  </si>
  <si>
    <t>Bello</t>
  </si>
  <si>
    <t>VatiLab</t>
  </si>
  <si>
    <t>db@vatilab.com</t>
  </si>
  <si>
    <t>http://www.linkedin.com/in/donato-bello-b2b891a</t>
  </si>
  <si>
    <t>http://www.vatilab.com</t>
  </si>
  <si>
    <t xml:space="preserve">24 Rue de Clichy, Paris, Ile-de-France, France, 75009</t>
  </si>
  <si>
    <t xml:space="preserve">VatiLab est une agence web dédiée aux développements de solutions digitales. Site web, e-commerce, marketplace : nous sommes là à chaque étape.</t>
  </si>
  <si>
    <t>Dominici</t>
  </si>
  <si>
    <t xml:space="preserve">CTO &amp; Cofounder</t>
  </si>
  <si>
    <t>guillaume@locomotive.eu</t>
  </si>
  <si>
    <t>http://www.linkedin.com/in/gdominici</t>
  </si>
  <si>
    <t>Chatenay-Malabry</t>
  </si>
  <si>
    <t>Rouvet</t>
  </si>
  <si>
    <t xml:space="preserve">Founder &amp; CTO - FillnDrive</t>
  </si>
  <si>
    <t>FillnDrive</t>
  </si>
  <si>
    <t>laurent.rouvet@fillndrive.com</t>
  </si>
  <si>
    <t>http://www.linkedin.com/in/laurentrouvet</t>
  </si>
  <si>
    <t>http://www.fillndrive.com</t>
  </si>
  <si>
    <t>Nogent-sur-Marne</t>
  </si>
  <si>
    <t xml:space="preserve">130 Rue de Charenton, Paris, Ile-de-France, France, 75012</t>
  </si>
  <si>
    <t xml:space="preserve">Revolutionize the way you fuel your future. FillnDRive simplifies clean energy distribution, making it accessible and efficient. Discover how we're shaping a sustainable tomorrow.</t>
  </si>
  <si>
    <t>Issa</t>
  </si>
  <si>
    <t>youssef.bouissa@upscale-hub.com</t>
  </si>
  <si>
    <t>http://www.linkedin.com/in/youssef-bou-issa-52345121</t>
  </si>
  <si>
    <t>Baillette</t>
  </si>
  <si>
    <t xml:space="preserve">CEO, Consultant</t>
  </si>
  <si>
    <t>jean-francois.baillette@qsn-cyber.fr</t>
  </si>
  <si>
    <t>http://www.linkedin.com/in/jean-francois-baillette-9644371</t>
  </si>
  <si>
    <t>http://www.qsn-cyber.fr</t>
  </si>
  <si>
    <t xml:space="preserve">5 Rue Bellini, Puteaux, Ile-de-France, France, 92800</t>
  </si>
  <si>
    <t>Faraggi</t>
  </si>
  <si>
    <t>alphaday</t>
  </si>
  <si>
    <t>felipe@alphaday.com</t>
  </si>
  <si>
    <t>http://www.linkedin.com/in/faraggi</t>
  </si>
  <si>
    <t>http://www.alphaday.com</t>
  </si>
  <si>
    <t xml:space="preserve">45 N Canal Rd, Singapore, Singapore, 059301</t>
  </si>
  <si>
    <t xml:space="preserve">Create, share and view crypto dashboards. Alphaday provides advantages for trading, researching &amp; analyzing cryptocurrency &amp; blockchain data.</t>
  </si>
  <si>
    <t>Prunayre</t>
  </si>
  <si>
    <t>NEO-FUGU®</t>
  </si>
  <si>
    <t>simon.prunayre@neo-logix.fr</t>
  </si>
  <si>
    <t>http://www.linkedin.com/in/simon-prunayre-7b059286</t>
  </si>
  <si>
    <t>http://www.neofugu.com</t>
  </si>
  <si>
    <t xml:space="preserve">Centralisez l'ensemble des données de votre atelier de joaillerie horlogerie dans un logiciel modulable, spécialisé et innovant.</t>
  </si>
  <si>
    <t>Pouzenc</t>
  </si>
  <si>
    <t>gilles.pouzenc@kairntech.com</t>
  </si>
  <si>
    <t>http://www.linkedin.com/in/gilles-pouzenc-a42086a</t>
  </si>
  <si>
    <t>Jariel</t>
  </si>
  <si>
    <t xml:space="preserve">FJTechlab International</t>
  </si>
  <si>
    <t>llejariel@fjtechlab.mu</t>
  </si>
  <si>
    <t>http://www.linkedin.com/in/laurent-le-jariel</t>
  </si>
  <si>
    <t>http://www.fjtechlab.mu</t>
  </si>
  <si>
    <t xml:space="preserve">Quatre Bornes, Plaines Wilhems District, Mauritius</t>
  </si>
  <si>
    <t xml:space="preserve">Mauritius Dev Team Recruitment and Management Company | Find and Hire the Best Developers in Mauritius, Let Us Take Care of Everything Else.</t>
  </si>
  <si>
    <t>Farion</t>
  </si>
  <si>
    <t>vincent@getwelcom.com</t>
  </si>
  <si>
    <t>http://www.linkedin.com/in/vincent-farion-36b4421</t>
  </si>
  <si>
    <t>Fornetti</t>
  </si>
  <si>
    <t xml:space="preserve">Co-Founder &amp; CPTO</t>
  </si>
  <si>
    <t xml:space="preserve">SAAS OFFICE 📊</t>
  </si>
  <si>
    <t>didier.fornetti@saas-office.com</t>
  </si>
  <si>
    <t>http://www.linkedin.com/in/didier-fornetti-895a52101</t>
  </si>
  <si>
    <t>http://www.saas-office.com</t>
  </si>
  <si>
    <t xml:space="preserve">3345 Bee Cave Rd, Austin, Texas, United States, 78746</t>
  </si>
  <si>
    <t xml:space="preserve">Plateforme SaaS dédiée aux espaces de travail, pilotez votre activité dans une solution centralisée.</t>
  </si>
  <si>
    <t>Caron</t>
  </si>
  <si>
    <t xml:space="preserve">co-founder &amp; cto</t>
  </si>
  <si>
    <t xml:space="preserve">THE QUANTIC FACTORY</t>
  </si>
  <si>
    <t>morgan@quanticfy.io</t>
  </si>
  <si>
    <t>http://www.linkedin.com/in/morgan-caron-12b558100</t>
  </si>
  <si>
    <t>http://www.quanticfactory.io</t>
  </si>
  <si>
    <t xml:space="preserve">15 Rue Rene Goscinny, Paris, Ile-de-France, France, 75013</t>
  </si>
  <si>
    <t xml:space="preserve">Quanticflow is a plug-and-play email automation suite for Shopify. Replace complex and low performing flows  by AI. Keep your templates. No setup fees. Discover how Quanticflow revolutionizes email automation with AI-powered tools, delivering over 50% enhanced performance. Connect, upload templates, and automate operations seamlessly. Start your free trial today! Unleash the power of Quanticflow's advanced email automation tools to gain holistic customer insights, individualized engagement, and hyper-personalized product recommendations. Supercharge your growth with AI-driven email automation now</t>
  </si>
  <si>
    <t>Lajri</t>
  </si>
  <si>
    <t xml:space="preserve">Gopadma Technologies Pvt</t>
  </si>
  <si>
    <t>geoffrey@gopadma.com</t>
  </si>
  <si>
    <t>http://www.linkedin.com/in/geoffrey-lajri-88879367</t>
  </si>
  <si>
    <t>http://www.gopadma.com</t>
  </si>
  <si>
    <t xml:space="preserve">La Garenne-Colombes</t>
  </si>
  <si>
    <t xml:space="preserve">Airport Road, Puducherry, Puducherry, India, 605008</t>
  </si>
  <si>
    <t xml:space="preserve">Gopadma Technologies is an offshore web agency expert in website design: online sales site, prestashop module or migration...</t>
  </si>
  <si>
    <t>Cavrois</t>
  </si>
  <si>
    <t>Praxy.ai</t>
  </si>
  <si>
    <t>maxime.cavrois@praxy.ai</t>
  </si>
  <si>
    <t>http://www.linkedin.com/in/maximecavrois</t>
  </si>
  <si>
    <t>http://www.praxysante.fr</t>
  </si>
  <si>
    <t xml:space="preserve">La Garenne-Colombes, Ile-de-France, France</t>
  </si>
  <si>
    <t>Aires</t>
  </si>
  <si>
    <t xml:space="preserve">Founder / Sales Manager</t>
  </si>
  <si>
    <t xml:space="preserve">Invent App📱</t>
  </si>
  <si>
    <t>emmanuel.aires@invent-app.com</t>
  </si>
  <si>
    <t>http://www.linkedin.com/in/emmanuelaires</t>
  </si>
  <si>
    <t>http://www.invent-app.com</t>
  </si>
  <si>
    <t xml:space="preserve">11 Rue Carnot, Le Kremlin-Bicetre, Ile-de-France, France, 94270</t>
  </si>
  <si>
    <t xml:space="preserve">Événement présentiel, hybride ou virtuel ? Application événementielle et Plateforme événementielle sur mesure en marque blanche</t>
  </si>
  <si>
    <t>Maret</t>
  </si>
  <si>
    <t xml:space="preserve">The QA Company</t>
  </si>
  <si>
    <t>pierre.maret@the-qa-company.com</t>
  </si>
  <si>
    <t>http://www.linkedin.com/in/pierre-maret-63967b1a7</t>
  </si>
  <si>
    <t>http://www.the-qa-company.com</t>
  </si>
  <si>
    <t>Courtiol</t>
  </si>
  <si>
    <t xml:space="preserve">CTO &amp; Co-founder @ Comand AI</t>
  </si>
  <si>
    <t xml:space="preserve">Comand AI</t>
  </si>
  <si>
    <t>pierre.courtiol@comand.ai</t>
  </si>
  <si>
    <t>http://www.linkedin.com/in/pierre-courtiol-443003135</t>
  </si>
  <si>
    <t>http://www.comand.ai</t>
  </si>
  <si>
    <t xml:space="preserve">Next generation command and control for defense &amp; security operations</t>
  </si>
  <si>
    <t>Mechria</t>
  </si>
  <si>
    <t>M&amp;C</t>
  </si>
  <si>
    <t>aymen.mechria@mnc.aero</t>
  </si>
  <si>
    <t>http://www.linkedin.com/in/aymen-mechria-0889391b3</t>
  </si>
  <si>
    <t>http://www.morinaco.com</t>
  </si>
  <si>
    <t xml:space="preserve">86-90 Paul Street, England, United Kingdom, EC2A 4NE</t>
  </si>
  <si>
    <t>Bovyn</t>
  </si>
  <si>
    <t>Conjecto</t>
  </si>
  <si>
    <t>romain@conjecto.com</t>
  </si>
  <si>
    <t>http://www.linkedin.com/in/romain-bovyn-89785a73</t>
  </si>
  <si>
    <t>http://www.conjecto.com</t>
  </si>
  <si>
    <t xml:space="preserve">74D Rue de Paris, Rennes, Brittany, France, 35000</t>
  </si>
  <si>
    <t xml:space="preserve">Conjecto est une société d'ingénierie informatique basée à Rennes. Nous sommes spécialisés dans les démarches d'exploitations innovantes des données.</t>
  </si>
  <si>
    <t>Paulet</t>
  </si>
  <si>
    <t>titanTreasury</t>
  </si>
  <si>
    <t>alexis.paulet@3vfinance.com</t>
  </si>
  <si>
    <t>http://www.linkedin.com/in/alexis-paulet-183a4838</t>
  </si>
  <si>
    <t>http://www.3vfinance.com</t>
  </si>
  <si>
    <t xml:space="preserve">9 Place Vendome, Paris, Ile-de-France, France, 75001</t>
  </si>
  <si>
    <t xml:space="preserve">titan treasury : La solution de trésorerie de gestion du risque global (marché, liquidité, réglementaire...), en intégrant toutes les données de vos outils de trésorerie.</t>
  </si>
  <si>
    <t>Obolonsky</t>
  </si>
  <si>
    <t>Loxodata</t>
  </si>
  <si>
    <t>h.obolonsky@loxodata.com</t>
  </si>
  <si>
    <t>http://www.linkedin.com/in/ossadvocate</t>
  </si>
  <si>
    <t>http://www.loxodata.com</t>
  </si>
  <si>
    <t xml:space="preserve">31 Rue Maurice Gillot, Navenne, Bourgogne-Franche-Comte, France, 70000</t>
  </si>
  <si>
    <t>Chapignac</t>
  </si>
  <si>
    <t>Squadeasy</t>
  </si>
  <si>
    <t>brice@squadeasy.com</t>
  </si>
  <si>
    <t>http://www.linkedin.com/in/bricechapignac</t>
  </si>
  <si>
    <t>http://www.squadeasy.com</t>
  </si>
  <si>
    <t xml:space="preserve">Nous aidons les entreprises à redevenir des lieux de vie qui sentent bon l'esprit d'équipe grâce aux salariés eux-mêmes. Car entre-nous, il y a pas mieux que si ça vient d'eux.</t>
  </si>
  <si>
    <t xml:space="preserve">Solution Architect and Co-founder</t>
  </si>
  <si>
    <t>Biron</t>
  </si>
  <si>
    <t xml:space="preserve">Auxo Dynamics</t>
  </si>
  <si>
    <t>stephanie@auxodynamics.com</t>
  </si>
  <si>
    <t>http://www.linkedin.com/in/stephaniebironauxodynamics</t>
  </si>
  <si>
    <t>http://www.auxodynamics.fr</t>
  </si>
  <si>
    <t xml:space="preserve">Intégrer vos données extra financières dans votre pilotage stratégique pour un business plus durable avec Auxo Dynamics.</t>
  </si>
  <si>
    <t>Poitout</t>
  </si>
  <si>
    <t>ResaLib</t>
  </si>
  <si>
    <t>leo@resalib.com</t>
  </si>
  <si>
    <t>http://www.linkedin.com/in/l%c3%a9o-poitout-12945765</t>
  </si>
  <si>
    <t>http://www.resalib.fr</t>
  </si>
  <si>
    <t xml:space="preserve">11B Rue de l'Harmonie, Villeneuve-d'Ascq, Hauts-de-France, France, 59650</t>
  </si>
  <si>
    <t xml:space="preserve">Trouvez un praticien sur la plus grande communauté de médecines douces de France. Prenez rendez-vous avec votre bien-être</t>
  </si>
  <si>
    <t>Assuid</t>
  </si>
  <si>
    <t xml:space="preserve">CEO - One Prepaid</t>
  </si>
  <si>
    <t xml:space="preserve">One Prepaid</t>
  </si>
  <si>
    <t>sassuid@one-prepaid.com</t>
  </si>
  <si>
    <t>http://www.linkedin.com/in/stephaneassuid</t>
  </si>
  <si>
    <t>http://www.one-prepaid.com</t>
  </si>
  <si>
    <t xml:space="preserve">Creteil, Ile-de-France, France</t>
  </si>
  <si>
    <t xml:space="preserve">One Prepaid la solution de prépaiement pour les enseignes, les émetteurs et les distributeurs. Leader français de la gestion des programmes cartes cadeaux des enseignes</t>
  </si>
  <si>
    <t>Thouvenin</t>
  </si>
  <si>
    <t xml:space="preserve">SKIDATA France</t>
  </si>
  <si>
    <t>benoit.thouvenin@skidata.com</t>
  </si>
  <si>
    <t>http://www.linkedin.com/in/beno%c3%aet-thouvenin-0321771b</t>
  </si>
  <si>
    <t>http://www.skidata.com</t>
  </si>
  <si>
    <t xml:space="preserve">Porte-de-Savoie, Auvergne-Rhone-Alpes, France, 73800</t>
  </si>
  <si>
    <t xml:space="preserve">Founder  |  CEO</t>
  </si>
  <si>
    <t>Macaron</t>
  </si>
  <si>
    <t>samir@macaron.ai</t>
  </si>
  <si>
    <t>http://www.linkedin.com/in/maitreconfiseur</t>
  </si>
  <si>
    <t>http://www.macaron.ai</t>
  </si>
  <si>
    <t xml:space="preserve">83 Rue Saint-Honore, Paris, Ile-de-France, France, 75001</t>
  </si>
  <si>
    <t xml:space="preserve">Organize the world’s parking information. Make it accessible and useful.</t>
  </si>
  <si>
    <t xml:space="preserve">Directeur Général &amp; Associé</t>
  </si>
  <si>
    <t>FINELOG-BISEUM</t>
  </si>
  <si>
    <t>eric.julian@finelog-biseum.com</t>
  </si>
  <si>
    <t>http://www.linkedin.com/in/ejulian</t>
  </si>
  <si>
    <t>http://www.finelog-biseum.com</t>
  </si>
  <si>
    <t xml:space="preserve">43 Rue Camille Desmoulins, Issy-les-Moulineaux, Ile-de-France, France, 92130</t>
  </si>
  <si>
    <t xml:space="preserve">Accompagnement des Grands Comptes et PME, du cadrage jusqu’au déploiement, à la formation des utilisateurs dans leur projets de Data Analytics &amp; Digitalisation</t>
  </si>
  <si>
    <t>Devaux</t>
  </si>
  <si>
    <t>Balsamiq</t>
  </si>
  <si>
    <t>clement@balsamiq.fr</t>
  </si>
  <si>
    <t>http://www.linkedin.com/in/cl%c3%a9ment-devaux-839167107</t>
  </si>
  <si>
    <t>http://www.balsamiq.com</t>
  </si>
  <si>
    <t xml:space="preserve">1517 24th St, Sacramento, California, United States, 95816</t>
  </si>
  <si>
    <t xml:space="preserve">Balsamiq is the go-to low-fidelity wireframing tool for product managers, founders, devs, &amp; UX teams worldwide. It's the fast, focused way to design, communicate, and share your ideas.</t>
  </si>
  <si>
    <t>Jourdan</t>
  </si>
  <si>
    <t>SEIRA</t>
  </si>
  <si>
    <t>pierre-louis.jourdan@seira-formation.fr</t>
  </si>
  <si>
    <t>http://www.linkedin.com/in/plj</t>
  </si>
  <si>
    <t>http://www.seira-formation.fr</t>
  </si>
  <si>
    <t xml:space="preserve">Meylan, Rhone-Alpes, France</t>
  </si>
  <si>
    <t xml:space="preserve">Découvrez Seira, une plateforme LMS &amp; e-learning, pour proposer à vos utilisateurs une expérience hors du commun.</t>
  </si>
  <si>
    <t>Buret</t>
  </si>
  <si>
    <t xml:space="preserve">Executive member &amp; CFO</t>
  </si>
  <si>
    <t>Starton</t>
  </si>
  <si>
    <t>chris@starton.com</t>
  </si>
  <si>
    <t>http://www.linkedin.com/in/christophe-buret-89603490</t>
  </si>
  <si>
    <t>http://www.starton.com</t>
  </si>
  <si>
    <t xml:space="preserve">By developers, for developers. Everything you need to ship and scale applications. Your one-stop shop to bridge WEB2 to WEB3.</t>
  </si>
  <si>
    <t>Gavory</t>
  </si>
  <si>
    <t>Neuronalys</t>
  </si>
  <si>
    <t>fabien.gavory@neuronalys.ai</t>
  </si>
  <si>
    <t>http://www.linkedin.com/in/fabien-gavory-30181065</t>
  </si>
  <si>
    <t>http://www.neuronalys.ai</t>
  </si>
  <si>
    <t>Rang-du-Fliers</t>
  </si>
  <si>
    <t xml:space="preserve">104 Rue Nationale, Lille, Hauts-de-France, France, 59800</t>
  </si>
  <si>
    <t xml:space="preserve">Logiciels d'Intelligence Artificielle (IA) de traitement vidéo. Traitement par IA de problématiques sur les secteurs de la sécurité, l'industrie, la santé, le retail et le secteur public.</t>
  </si>
  <si>
    <t>Levi</t>
  </si>
  <si>
    <t>Viana</t>
  </si>
  <si>
    <t>levi.viana@wintics.com</t>
  </si>
  <si>
    <t>http://www.linkedin.com/in/leviviana</t>
  </si>
  <si>
    <t>MIRAITECH</t>
  </si>
  <si>
    <t>erwan@miraitech.fr</t>
  </si>
  <si>
    <t>http://www.linkedin.com/in/erwan-corre-15859310a</t>
  </si>
  <si>
    <t>http://www.miraitech.fr</t>
  </si>
  <si>
    <t xml:space="preserve">25 Οδός Μελπομένης, Aglantzia, Nicosia, Cyprus, 2102</t>
  </si>
  <si>
    <t>Guerra</t>
  </si>
  <si>
    <t>KALIFY</t>
  </si>
  <si>
    <t>anthony.guerra@kalify.fr</t>
  </si>
  <si>
    <t>http://www.linkedin.com/in/aguerra-expert-ia-powerplatform</t>
  </si>
  <si>
    <t>http://www.kalify.fr</t>
  </si>
  <si>
    <t>Fraudeau</t>
  </si>
  <si>
    <t xml:space="preserve">CTO, Co-founder</t>
  </si>
  <si>
    <t>jeremie.fraudeau@aletiq.com</t>
  </si>
  <si>
    <t>http://www.linkedin.com/in/j%c3%a9r%c3%a9mie-fraudeau-b0495882</t>
  </si>
  <si>
    <t>http://www.aletiq.com</t>
  </si>
  <si>
    <t xml:space="preserve">Paris, Ile-de-France, France, 75010</t>
  </si>
  <si>
    <t>Odin</t>
  </si>
  <si>
    <t>Demassieux</t>
  </si>
  <si>
    <t xml:space="preserve">ToumAI Analytics</t>
  </si>
  <si>
    <t>odin@toum.ai</t>
  </si>
  <si>
    <t>http://www.linkedin.com/in/odin-d-esg-data-africa</t>
  </si>
  <si>
    <t>http://www.toumai-voice-analytics.com</t>
  </si>
  <si>
    <t xml:space="preserve">Aquitaine, France, 64120</t>
  </si>
  <si>
    <t xml:space="preserve">ToumAI Voice Analytics support customer service with a user-friendly platform that merges advanced multilingual voicebots and analytics, offering cost-effective, inclusive solutions for businesses of all sizes</t>
  </si>
  <si>
    <t>Bruce</t>
  </si>
  <si>
    <t>Pacome</t>
  </si>
  <si>
    <t xml:space="preserve">Directeur général Associé chargé du développement commercial</t>
  </si>
  <si>
    <t>Panoptès</t>
  </si>
  <si>
    <t>b.pacome@panoptes-fr.com</t>
  </si>
  <si>
    <t>http://www.linkedin.com/in/brucepacome</t>
  </si>
  <si>
    <t>http://www.panoptes-fr.com</t>
  </si>
  <si>
    <t xml:space="preserve">Cavaillon, Provence-Alpes-Cote d'Azur, France</t>
  </si>
  <si>
    <t xml:space="preserve">Expert en traçabilité et solutions RFID/IoT, Panoptès accompagne les secteurs du transport, industrie et plus avec des solutions d'optimisation.</t>
  </si>
  <si>
    <t>Seghaier</t>
  </si>
  <si>
    <t>Astran</t>
  </si>
  <si>
    <t>gilles.seghaier@astran.io</t>
  </si>
  <si>
    <t>http://www.linkedin.com/in/gilles-seghaier</t>
  </si>
  <si>
    <t>http://www.astran.io</t>
  </si>
  <si>
    <t xml:space="preserve">131 Boulevard de Sebastopol, Paris, Ile-de-France, France, 75002</t>
  </si>
  <si>
    <t xml:space="preserve">Keep your business operational during major cyberattacks with the Astran Continuity Cloud.</t>
  </si>
  <si>
    <t>Anisset</t>
  </si>
  <si>
    <t>Majoby</t>
  </si>
  <si>
    <t>janisset@majoby.fr</t>
  </si>
  <si>
    <t>http://www.linkedin.com/in/jordan-anisset-472972164</t>
  </si>
  <si>
    <t>http://www.majoby.fr</t>
  </si>
  <si>
    <t xml:space="preserve">37 Rue des Mathurins, Paris, Ile-de-France, France, 75008</t>
  </si>
  <si>
    <t>Choulot</t>
  </si>
  <si>
    <t>alex@dsflow.io</t>
  </si>
  <si>
    <t>http://www.linkedin.com/in/alex-dc</t>
  </si>
  <si>
    <t>Luedemann</t>
  </si>
  <si>
    <t>Teractys</t>
  </si>
  <si>
    <t>daniel@teractys.fr</t>
  </si>
  <si>
    <t>http://www.linkedin.com/in/daniel-luedemann-178ba233</t>
  </si>
  <si>
    <t>http://www.teractys.fr</t>
  </si>
  <si>
    <t xml:space="preserve">Nantes, La Chapelle-sur-Erdre, Pays de la Loire, France, 44240</t>
  </si>
  <si>
    <t xml:space="preserve">Éditeur de logiciels intuitifs. Des logiciels métiers sur mesure, simple et adaptés à VOTRE façon de travailler. Des logiciel de ventes de photos en ligne pour les photographes professionnels.</t>
  </si>
  <si>
    <t>Mourad</t>
  </si>
  <si>
    <t>Aissou</t>
  </si>
  <si>
    <t>ZSoft</t>
  </si>
  <si>
    <t>mourad.aissou@zsoft-consulting.com</t>
  </si>
  <si>
    <t>http://www.linkedin.com/in/mourad-aissou-75709722</t>
  </si>
  <si>
    <t>http://www.zsoft-consulting.com</t>
  </si>
  <si>
    <t xml:space="preserve">3B Rue Taylor, Paris, Ile-de-France, France, 75010</t>
  </si>
  <si>
    <t>Avenel</t>
  </si>
  <si>
    <t xml:space="preserve">Co-founder / CTO</t>
  </si>
  <si>
    <t xml:space="preserve">Data Observer</t>
  </si>
  <si>
    <t>favenel@data-observer.com</t>
  </si>
  <si>
    <t>http://www.linkedin.com/in/franck-avenel-05978b1</t>
  </si>
  <si>
    <t>http://www.data-observer.com</t>
  </si>
  <si>
    <t xml:space="preserve">23 Rue Guibal, Marseille, Provence-Alpes-Cote d'Azur, France, 13003</t>
  </si>
  <si>
    <t>Cinar</t>
  </si>
  <si>
    <t>Foto</t>
  </si>
  <si>
    <t xml:space="preserve">Co-Founder &amp; Design Director</t>
  </si>
  <si>
    <t xml:space="preserve">FRANK. Digital</t>
  </si>
  <si>
    <t>cinar@frank.com.tr</t>
  </si>
  <si>
    <t>http://www.linkedin.com/in/%c3%a7%c4%b1nar-foto-6b850031</t>
  </si>
  <si>
    <t>http://www.frank.com.tr</t>
  </si>
  <si>
    <t xml:space="preserve">2 Guenaydin Yolu Sokak, Istanbul, Istanbul, Turkey, 34342</t>
  </si>
  <si>
    <t xml:space="preserve">We build websites, mobile apps, design systems &amp; create memorable experiences for brands &amp; products.</t>
  </si>
  <si>
    <t>Mansouri</t>
  </si>
  <si>
    <t xml:space="preserve">Co-Founder, CTO</t>
  </si>
  <si>
    <t>GridMate</t>
  </si>
  <si>
    <t>hicham.m@gridmate.io</t>
  </si>
  <si>
    <t>http://www.linkedin.com/in/hicham-el-mansouri-7644667</t>
  </si>
  <si>
    <t>http://www.gridmate.io</t>
  </si>
  <si>
    <t>Montigny-les-Cormeilles</t>
  </si>
  <si>
    <t xml:space="preserve">1017 Blackpool Ct, Apex, North Carolina, United States, 27502-2493</t>
  </si>
  <si>
    <t>Oudiz</t>
  </si>
  <si>
    <t>Twyce</t>
  </si>
  <si>
    <t>paul.oudiz@twyce.fr</t>
  </si>
  <si>
    <t>http://www.linkedin.com/in/pauloudiz</t>
  </si>
  <si>
    <t>http://www.twyce.fr</t>
  </si>
  <si>
    <t xml:space="preserve">Le Match Parfait Talents x Entreprises : nous connaissons parfaitement nos équipes et savons exactement comment propulser vos projets. Prêt ?</t>
  </si>
  <si>
    <t>Barthelemy</t>
  </si>
  <si>
    <t xml:space="preserve">Co-fondateur et dirigeant</t>
  </si>
  <si>
    <t>ViaXoft</t>
  </si>
  <si>
    <t>ebarthelemy@viaxoft.com</t>
  </si>
  <si>
    <t>http://www.linkedin.com/in/eric-barth%c3%a9l%c3%a9my-viaxoft</t>
  </si>
  <si>
    <t>http://www.viaxoft.com</t>
  </si>
  <si>
    <t xml:space="preserve">159 Rue Albert Einstein, Marseille, Provence-Alpes-Cote d'Azur, France, 13013</t>
  </si>
  <si>
    <t xml:space="preserve">Éditeur de logiciels qui simplifient la vie des professionnels du tourisme (agences de voyages, tours opérateurs...)</t>
  </si>
  <si>
    <t>Boudis</t>
  </si>
  <si>
    <t>KOLABS</t>
  </si>
  <si>
    <t>selim@kolabs.fr</t>
  </si>
  <si>
    <t>http://www.linkedin.com/in/boudis</t>
  </si>
  <si>
    <t>http://www.kolabs.fr</t>
  </si>
  <si>
    <t xml:space="preserve">26 Rue de la Bienfaisance, Paris, Ile-de-France, France, 75008</t>
  </si>
  <si>
    <t xml:space="preserve">KOLABS c'est une entreprise s'adapte à vos besoins et vous permet de trouver les champions de l'IT. KOLABS est votre partenaire pour acquérir rapidement et durablement de nouveaux talents.</t>
  </si>
  <si>
    <t>Karcher</t>
  </si>
  <si>
    <t xml:space="preserve">QA Architect, Co-Founder</t>
  </si>
  <si>
    <t>guillaume.karcher@kairntech.com</t>
  </si>
  <si>
    <t>http://www.linkedin.com/in/guillaume-karcher-9357001</t>
  </si>
  <si>
    <t>Maniquant</t>
  </si>
  <si>
    <t xml:space="preserve">Co-fondateur d'Escape Game en Ligne</t>
  </si>
  <si>
    <t xml:space="preserve">The Wokies</t>
  </si>
  <si>
    <t>helene@escapegameenligne.com</t>
  </si>
  <si>
    <t>http://www.linkedin.com/in/h%c3%a9l%c3%a8ne-maniquant-a78b3a106</t>
  </si>
  <si>
    <t>http://www.escapegameenligne.com</t>
  </si>
  <si>
    <t xml:space="preserve">Les Sorinieres, Pays de la Loire, France</t>
  </si>
  <si>
    <t xml:space="preserve">Escape Game en Ligne 🔍 LA solution pour vos teambuilding et activités d'entreprises à distance 🎉 Fédérez vos équipes de 10 à 200+ collaborateurs en visio ! Vivez l'aventure en distancié !</t>
  </si>
  <si>
    <t>Huon</t>
  </si>
  <si>
    <t xml:space="preserve">CTO - Co-founder</t>
  </si>
  <si>
    <t>jp.huon@zbre.io</t>
  </si>
  <si>
    <t>http://www.linkedin.com/in/jphuon</t>
  </si>
  <si>
    <t>Yahya</t>
  </si>
  <si>
    <t>Jarraya</t>
  </si>
  <si>
    <t xml:space="preserve">Co-founder • Chief Customer Office</t>
  </si>
  <si>
    <t>yahya@astrachain.com</t>
  </si>
  <si>
    <t>http://www.linkedin.com/in/yahyajarraya</t>
  </si>
  <si>
    <t>Gorand</t>
  </si>
  <si>
    <t xml:space="preserve">Directeur général france</t>
  </si>
  <si>
    <t xml:space="preserve">Maya Consulting</t>
  </si>
  <si>
    <t>c.gorand@maya-consulting.com</t>
  </si>
  <si>
    <t>http://www.linkedin.com/in/christophegorand</t>
  </si>
  <si>
    <t>http://www.maya-consulting.com</t>
  </si>
  <si>
    <t>Libourne</t>
  </si>
  <si>
    <t>Cressend</t>
  </si>
  <si>
    <t xml:space="preserve">CEO &amp; Co-Founder Agilitest. Codeless Functional Testing</t>
  </si>
  <si>
    <t>Agilitest</t>
  </si>
  <si>
    <t>christophe.cressend@agilitest.com</t>
  </si>
  <si>
    <t>http://www.linkedin.com/in/christophe-cressend-4660224</t>
  </si>
  <si>
    <t>http://www.agilitest.com</t>
  </si>
  <si>
    <t xml:space="preserve">Biguglia, Corsica, France, 20620</t>
  </si>
  <si>
    <t xml:space="preserve">Agilitest is a no-code test automation platform made to create and maintain automated end-to-end functional tests at scale. Reduce time-to-market.</t>
  </si>
  <si>
    <t>Barbillat</t>
  </si>
  <si>
    <t xml:space="preserve">Gathering Tools</t>
  </si>
  <si>
    <t>m.barbillat@gathering-tools.com</t>
  </si>
  <si>
    <t>http://www.linkedin.com/in/matthieu-barbillat-27a89513</t>
  </si>
  <si>
    <t>http://www.gathering-tools.com</t>
  </si>
  <si>
    <t xml:space="preserve">Chatillon, Valle d'Aosta, Italy, 11024</t>
  </si>
  <si>
    <t xml:space="preserve">La solution logicielle Gathering Tools vous permet de sécuriser, fiabiliser et simplifier vos processus de collecte de données sous Excel, tout en conservant votre environnement et vos habitudes de travail. Pour en savoir plus, n'hésitez pas à nous contacter !</t>
  </si>
  <si>
    <t>JetDev</t>
  </si>
  <si>
    <t>florian@jetdev.fr</t>
  </si>
  <si>
    <t>http://www.linkedin.com/in/florian-lemaire-jetdev</t>
  </si>
  <si>
    <t>http://www.jetdev.fr</t>
  </si>
  <si>
    <t xml:space="preserve">9 Allee des Ecuries, Villeneuve-d'Ascq, Hauts-de-France, France, 59493</t>
  </si>
  <si>
    <t xml:space="preserve">Jetdev, l'expertise IT et Tech au service de votre envol numérique. La Tech, c’est notre langage. Votre satisfaction, notre priorité !</t>
  </si>
  <si>
    <t>Gourlay</t>
  </si>
  <si>
    <t xml:space="preserve">Co-fondateur - Responsable commercial</t>
  </si>
  <si>
    <t>Imagina</t>
  </si>
  <si>
    <t>ronan.gourlay@imagina.io</t>
  </si>
  <si>
    <t>http://www.linkedin.com/in/ronan-gourlay-9013a7114</t>
  </si>
  <si>
    <t>http://www.imagina.com</t>
  </si>
  <si>
    <t xml:space="preserve">1 Place Albert Einstein, Vannes, Brittany, France, 56000</t>
  </si>
  <si>
    <t xml:space="preserve">Imagina is the preferred event app for events managment. Features: Networking, Ticketing, Access control, Interactive map ...</t>
  </si>
  <si>
    <t>Delpha</t>
  </si>
  <si>
    <t>paul.santini@delpha.io</t>
  </si>
  <si>
    <t>http://www.linkedin.com/in/paul-santini</t>
  </si>
  <si>
    <t>http://www.delpha.io</t>
  </si>
  <si>
    <t xml:space="preserve">82 Avenue du Maine, Paris, Ile-de-France, France, 75014</t>
  </si>
  <si>
    <t xml:space="preserve">Delpha is an AI-driven data quality solution that uses intelligent AI Agents to ensure accurate, reliable customer data, helping businesses improve operational efficiency and boost revenue performance.</t>
  </si>
  <si>
    <t>Sheehan</t>
  </si>
  <si>
    <t xml:space="preserve">Professional Services Manager (co-founder)</t>
  </si>
  <si>
    <t>msheehan@itamsys.com</t>
  </si>
  <si>
    <t>http://www.linkedin.com/in/mark-sheehan-904a2431</t>
  </si>
  <si>
    <t>Albigny-sur-Saone</t>
  </si>
  <si>
    <t>Khalid</t>
  </si>
  <si>
    <t>Chaib</t>
  </si>
  <si>
    <t>khalid@talo.eco</t>
  </si>
  <si>
    <t>http://www.linkedin.com/in/khalid-cha%c3%afb-48b429165</t>
  </si>
  <si>
    <t>Vaugrenard</t>
  </si>
  <si>
    <t xml:space="preserve">Co Founder &amp; CEO</t>
  </si>
  <si>
    <t xml:space="preserve">NetMetrix France</t>
  </si>
  <si>
    <t>o.vaugrenard@netmetrix.fr</t>
  </si>
  <si>
    <t>http://www.linkedin.com/in/olivier-vaugrenard-3332a7</t>
  </si>
  <si>
    <t>http://www.netmetrix-france.fr</t>
  </si>
  <si>
    <t xml:space="preserve">Netmetrix vous accompagne pour résoudre vos problèmes de performance IT et de cybersécurité en proposant des solutions et des services d'observabilité.</t>
  </si>
  <si>
    <t>Jelic</t>
  </si>
  <si>
    <t xml:space="preserve">Deputy CEO at AGENIUM GROUP</t>
  </si>
  <si>
    <t xml:space="preserve">Agenium Group</t>
  </si>
  <si>
    <t>adrien.jelic@agenium.com</t>
  </si>
  <si>
    <t>http://www.linkedin.com/in/adrien-jelic-5a0a0914</t>
  </si>
  <si>
    <t>http://www.agenium.com</t>
  </si>
  <si>
    <t xml:space="preserve">Agenium Group : Des solutions d'expertises à forte valeur ajoutée. Un écosystème au cœur de vos solutions depuis plus de 20 ans, découvrez nos solutions.</t>
  </si>
  <si>
    <t>Rihab</t>
  </si>
  <si>
    <t>Lajmi</t>
  </si>
  <si>
    <t>FAANG</t>
  </si>
  <si>
    <t>rihab@faanginc.com</t>
  </si>
  <si>
    <t>http://www.linkedin.com/in/rihab-l-085182164</t>
  </si>
  <si>
    <t>http://www.asendia.ai</t>
  </si>
  <si>
    <t xml:space="preserve">Delaware, United States</t>
  </si>
  <si>
    <t xml:space="preserve">Asendia AI - The AI Interviewer that helps you prepare for job interviews with precision and ease.</t>
  </si>
  <si>
    <t>Leasi</t>
  </si>
  <si>
    <t>guillaume@leasi.co</t>
  </si>
  <si>
    <t>http://www.linkedin.com/in/guillaume-m</t>
  </si>
  <si>
    <t>http://www.leasi.io</t>
  </si>
  <si>
    <t xml:space="preserve">2 Krambugata, Trondheim, Trondelag, Norway, 7011</t>
  </si>
  <si>
    <t>Norway</t>
  </si>
  <si>
    <t xml:space="preserve">Leasi is the most user-friendly and modern machine management system on the market. Leasi gives lessors and contractors completely new opportunities.</t>
  </si>
  <si>
    <t>Penlae</t>
  </si>
  <si>
    <t xml:space="preserve">Directeur Général Viasat France</t>
  </si>
  <si>
    <t xml:space="preserve">Viasat France</t>
  </si>
  <si>
    <t>s.penlae@viasatconnect.fr</t>
  </si>
  <si>
    <t>http://www.linkedin.com/in/st%c3%a9phane-penlae-69790383</t>
  </si>
  <si>
    <t>http://www.viasatconnect.fr</t>
  </si>
  <si>
    <t xml:space="preserve">1359 Avenue d'Italie, Montauban, Occitanie, France, 82000</t>
  </si>
  <si>
    <t xml:space="preserve">Vous pilotez à distance des équipes, des véhicules, des équipements ? Nous vous accompagnons à centraliser et tirer profit de vos données !</t>
  </si>
  <si>
    <t>Pimard</t>
  </si>
  <si>
    <t>AGRUME</t>
  </si>
  <si>
    <t>l.pimard@agrume.fr</t>
  </si>
  <si>
    <t>http://www.linkedin.com/in/lise-pimard</t>
  </si>
  <si>
    <t>http://www.agrume.fr</t>
  </si>
  <si>
    <t xml:space="preserve">2 Rue des Muriers, Lyon, Auvergne-Rhone-Alpes, France, 69009</t>
  </si>
  <si>
    <t>Bakri</t>
  </si>
  <si>
    <t xml:space="preserve">Software Engineer @ Picsellia | Founder</t>
  </si>
  <si>
    <t>Picsellia</t>
  </si>
  <si>
    <t>hicham.bakri@picsellia.com</t>
  </si>
  <si>
    <t>http://www.linkedin.com/in/hbakri</t>
  </si>
  <si>
    <t>http://www.picsellia.com</t>
  </si>
  <si>
    <t xml:space="preserve">Integrate every stage of your computer vision project's life cycle with one complete MLOps development stack. Annotate, build and deploy models, repeat.</t>
  </si>
  <si>
    <t>Vollmar</t>
  </si>
  <si>
    <t>Meedz</t>
  </si>
  <si>
    <t>julien.vollmar@meedz.io</t>
  </si>
  <si>
    <t>http://www.linkedin.com/in/julien-vollmar-4a033984</t>
  </si>
  <si>
    <t>http://www.meedz.io</t>
  </si>
  <si>
    <t xml:space="preserve">Meedz est une ESN qui accompagne les entreprises sur 4 grands métiers : development, product management, project management et quality analyst.</t>
  </si>
  <si>
    <t>Bodrefaux</t>
  </si>
  <si>
    <t xml:space="preserve">Expert UI/UX SSA on PEGA - Lyance / Founder of the BDFX.fr / Founder &amp; CEO</t>
  </si>
  <si>
    <t>Lyance</t>
  </si>
  <si>
    <t>nicolas.bodrefaux@lyance.com</t>
  </si>
  <si>
    <t>http://www.linkedin.com/in/nbodrefaux</t>
  </si>
  <si>
    <t>http://www.lyance.com</t>
  </si>
  <si>
    <t>Magrangeas</t>
  </si>
  <si>
    <t xml:space="preserve">Cofondateur - CEO</t>
  </si>
  <si>
    <t>LetXbe</t>
  </si>
  <si>
    <t>pierre.magrangeas@letxbe.ai</t>
  </si>
  <si>
    <t>http://www.linkedin.com/in/eligny</t>
  </si>
  <si>
    <t>http://www.letxbe.ai</t>
  </si>
  <si>
    <t xml:space="preserve">41 Rue Beauregard, Paris, Ile-de-France, France, 75002</t>
  </si>
  <si>
    <t xml:space="preserve">Confiez votre process documentaire à l'IA : Letxbe est une plateforme no-code, d'Intelligent Document Processing, pour organiser des milliers de documents automatiquement et trouver les réponses précises à vos questions sur leur contenu.</t>
  </si>
  <si>
    <t xml:space="preserve">Associé Fondateur HENLEY iT - Logiciel CSE · Associations · Syndicats</t>
  </si>
  <si>
    <t xml:space="preserve">HENLEY iT 🐞</t>
  </si>
  <si>
    <t>romain.noel@henley.fr</t>
  </si>
  <si>
    <t>http://www.linkedin.com/in/romain-noel-79b1784</t>
  </si>
  <si>
    <t>http://www.henley.fr</t>
  </si>
  <si>
    <t xml:space="preserve">9 Rue du Cherche-Midi, Paris, Ile-de-France, France, 75006</t>
  </si>
  <si>
    <t xml:space="preserve">Henley iT c'est des solutions logicielles à destination des CSE : comptabilité CSE, gestion des ASC, site internet, application mobile, billetterie CSE, subvention et e-cheques cadeaux. Un logiciel CSE conçu pour s'adapter à ses clients et non le contraire.</t>
  </si>
  <si>
    <t>Bel</t>
  </si>
  <si>
    <t>Piwwop</t>
  </si>
  <si>
    <t>nico@piwwop.com</t>
  </si>
  <si>
    <t>http://www.linkedin.com/in/nico-bel-742a351</t>
  </si>
  <si>
    <t>http://www.piwwop.com</t>
  </si>
  <si>
    <t xml:space="preserve">Place Paul Doumer, Bordeaux, Nouvelle-Aquitaine, France, 33000</t>
  </si>
  <si>
    <t>Gaury</t>
  </si>
  <si>
    <t>Metapolis</t>
  </si>
  <si>
    <t>cedric@metapolis.fr</t>
  </si>
  <si>
    <t>http://www.linkedin.com/in/c%c3%a9dric-gaury-147a5845</t>
  </si>
  <si>
    <t>http://www.metapolis.fr</t>
  </si>
  <si>
    <t xml:space="preserve">Co-founder &amp; Chief Operations Officer</t>
  </si>
  <si>
    <t>Manzalab</t>
  </si>
  <si>
    <t>vberlioz@manzalab.com</t>
  </si>
  <si>
    <t>http://www.linkedin.com/in/vincent-berlioz-a1b2607</t>
  </si>
  <si>
    <t>http://www.manzalab.com</t>
  </si>
  <si>
    <t xml:space="preserve">23 Rue du Cherche-Midi, Paris, Ile-de-France, France, 75006</t>
  </si>
  <si>
    <t>Saad</t>
  </si>
  <si>
    <t>Dakdouki</t>
  </si>
  <si>
    <t>Everwise</t>
  </si>
  <si>
    <t>s.dakdouki@everwise.fr</t>
  </si>
  <si>
    <t>http://www.linkedin.com/in/saad-dakdouki-36b9b360</t>
  </si>
  <si>
    <t>http://www.everwise.fr</t>
  </si>
  <si>
    <t xml:space="preserve">Everwise accompagne les DSI dans leur transformation technologique &amp; organisationnelle cloud, cyber, infrastructures systèmes et réseaux</t>
  </si>
  <si>
    <t>Sondeck</t>
  </si>
  <si>
    <t xml:space="preserve">Clever Identity</t>
  </si>
  <si>
    <t>louis.sondeck@cleveridentity.fr</t>
  </si>
  <si>
    <t>http://www.linkedin.com/in/louissondeck</t>
  </si>
  <si>
    <t>http://www.cleveridentity.fr</t>
  </si>
  <si>
    <t>Bagneux</t>
  </si>
  <si>
    <t xml:space="preserve">Rue des Meuniers, Bagneux, Ile-de-France, France, 92220</t>
  </si>
  <si>
    <t>Coignet</t>
  </si>
  <si>
    <t>dg4sales</t>
  </si>
  <si>
    <t>dcoignet@dg4sales.com</t>
  </si>
  <si>
    <t>http://www.linkedin.com/in/dcoignet</t>
  </si>
  <si>
    <t>http://www.dg4sales.com</t>
  </si>
  <si>
    <t>L'Hay-les-Roses</t>
  </si>
  <si>
    <t xml:space="preserve">43 Sentier des Mamies, L'Hay-les-Roses, Ile-de-France, France, 94240</t>
  </si>
  <si>
    <t>Reeva</t>
  </si>
  <si>
    <t>marina.reeva@wizya.fr</t>
  </si>
  <si>
    <t>http://www.linkedin.com/in/marina-reeva-07432a24</t>
  </si>
  <si>
    <t>http://www.wizya.fr</t>
  </si>
  <si>
    <t>Royet</t>
  </si>
  <si>
    <t xml:space="preserve">Co CEO</t>
  </si>
  <si>
    <t>Logipro</t>
  </si>
  <si>
    <t>alexandre.royet@logipro.com</t>
  </si>
  <si>
    <t>http://www.linkedin.com/in/alexandre-royet-794441135</t>
  </si>
  <si>
    <t>http://www.logipro.com</t>
  </si>
  <si>
    <t xml:space="preserve">3 Rue du Pensionnat Notre-Dame-de-France, Le Puy, Auvergne-Rhone-Alpes, France, 43000</t>
  </si>
  <si>
    <t xml:space="preserve">Logipro, éditeur de logiciels au Puy-en-Velay. 25 ans d'expertise au service du développement de logiciels et de la formation.</t>
  </si>
  <si>
    <t xml:space="preserve">United Visual Researchers</t>
  </si>
  <si>
    <t>thomas.muller@united-vr.com</t>
  </si>
  <si>
    <t>http://www.linkedin.com/in/kalyx</t>
  </si>
  <si>
    <t>http://www.united-vr.com</t>
  </si>
  <si>
    <t xml:space="preserve">60 Boulevard Saint-Michel, Paris, Ile-de-France, France, 75006</t>
  </si>
  <si>
    <t xml:space="preserve">Predictive appearance software based on real physical measurements. Reduce the need for physical prototypes and mockups in the design process.</t>
  </si>
  <si>
    <t>Bashala</t>
  </si>
  <si>
    <t xml:space="preserve">Co-fondateur, consultant senior CRM &amp; Coach Business</t>
  </si>
  <si>
    <t>FLEXSTARTIT</t>
  </si>
  <si>
    <t>gaspard.bashala@flexstartit.com</t>
  </si>
  <si>
    <t>http://www.linkedin.com/in/gaspard-bashala</t>
  </si>
  <si>
    <t>http://www.flexstartit.com</t>
  </si>
  <si>
    <t xml:space="preserve">37 Rue de Surene, Paris, Ile-de-France, France, 75008</t>
  </si>
  <si>
    <t>Petesch</t>
  </si>
  <si>
    <t xml:space="preserve">De Philmain</t>
  </si>
  <si>
    <t>philippe.petesch@dephilmain.com</t>
  </si>
  <si>
    <t>http://www.linkedin.com/in/philippe-petesch</t>
  </si>
  <si>
    <t>http://www.dephilmain.com</t>
  </si>
  <si>
    <t xml:space="preserve">104 Boulevard de Sebastopol, Paris, Ile-de-France, France, 75003</t>
  </si>
  <si>
    <t xml:space="preserve">De Philmain est un cabinet de conseil spécialisé en logistique et accompagne les clients dans la transformation de leur Supply Chain.</t>
  </si>
  <si>
    <t>Trevisiol</t>
  </si>
  <si>
    <t>NEOTEEM</t>
  </si>
  <si>
    <t>romain.trevisiol@neoteem.fr</t>
  </si>
  <si>
    <t>http://www.linkedin.com/in/romaintrevisiol</t>
  </si>
  <si>
    <t>http://www.neoteem.fr</t>
  </si>
  <si>
    <t xml:space="preserve">Neoteem connaît parfaitement les acteurs de l’immobilier et crée pour eux des ERP spécifiques, de la conception originale, à l’accompagnement au quotidien.</t>
  </si>
  <si>
    <t xml:space="preserve">CTO | Co-Founder</t>
  </si>
  <si>
    <t>mohamed@fentech.ai</t>
  </si>
  <si>
    <t>http://www.linkedin.com/in/mohamed-djerrab-9a4944167</t>
  </si>
  <si>
    <t>Gerald</t>
  </si>
  <si>
    <t>gerald.pereira@octoperf.com</t>
  </si>
  <si>
    <t>http://www.linkedin.com/in/g%c3%a9rald-pereira-10464056</t>
  </si>
  <si>
    <t>Buziet</t>
  </si>
  <si>
    <t>Perivier</t>
  </si>
  <si>
    <t>BRIDGENTECH</t>
  </si>
  <si>
    <t>marc.perivier@bridgentech.com</t>
  </si>
  <si>
    <t>http://www.linkedin.com/in/marcperivier</t>
  </si>
  <si>
    <t>http://www.bridgentech.com</t>
  </si>
  <si>
    <t xml:space="preserve">101 Rue du Docteur Bauer, Saint-Ouen, Ile-de-France, France, 93400</t>
  </si>
  <si>
    <t>Mauchamp</t>
  </si>
  <si>
    <t xml:space="preserve">Ideagen Huddle™</t>
  </si>
  <si>
    <t>hugo@huddleclub.co</t>
  </si>
  <si>
    <t>http://www.linkedin.com/in/hugo-mauchamp</t>
  </si>
  <si>
    <t>http://www.huddleclub.co</t>
  </si>
  <si>
    <t xml:space="preserve">Lime Tree Road, Nottingham, England, United Kingdom, NG15 6</t>
  </si>
  <si>
    <t>Heymann</t>
  </si>
  <si>
    <t xml:space="preserve">Cofondateur - CRO</t>
  </si>
  <si>
    <t>CYWYC</t>
  </si>
  <si>
    <t>n.heymann@cywyc.fr</t>
  </si>
  <si>
    <t>http://www.linkedin.com/in/nathaniel-heymann-6599256b</t>
  </si>
  <si>
    <t>http://www.cywyc.fr</t>
  </si>
  <si>
    <t xml:space="preserve">233 Rue Championnet, Paris, Ile-de-France, France, 75018</t>
  </si>
  <si>
    <t xml:space="preserve">CYWYC transforme votre gestion client, solutions d'externalisation et technologie de pointe pour votre croissance. Expertise humaine et IA.</t>
  </si>
  <si>
    <t>Scalabre</t>
  </si>
  <si>
    <t xml:space="preserve">Dirigeant co-fondateur - Gestionnaire de Projets - Expertise JD Edwards</t>
  </si>
  <si>
    <t>Vigilens</t>
  </si>
  <si>
    <t>olivier.scalabre@vigilens.fr</t>
  </si>
  <si>
    <t>http://www.linkedin.com/in/oscalabre</t>
  </si>
  <si>
    <t>http://www.vigilens.com</t>
  </si>
  <si>
    <t xml:space="preserve">53 Rue Vauban, Lyon, Auvergne-Rhone-Alpes, France, 69006</t>
  </si>
  <si>
    <t xml:space="preserve">Vigilens, votre partenaire JDEdwards en France et à l'international. Découvrez toutes les solutions que nous mettons en place sur Oracle JDE.</t>
  </si>
  <si>
    <t>Molea</t>
  </si>
  <si>
    <t>DocuGenerate</t>
  </si>
  <si>
    <t>cosmin@docugenerate.com</t>
  </si>
  <si>
    <t>http://www.linkedin.com/in/cosmin-molea-18925083</t>
  </si>
  <si>
    <t>http://www.docugenerate.com</t>
  </si>
  <si>
    <t xml:space="preserve">Automatically generate high-quality PDF documents from reusable Word templates and JSON or Excel data with DocuGenerate’s API and web app · Start Generating for Free</t>
  </si>
  <si>
    <t>Ferrier</t>
  </si>
  <si>
    <t>WebXY</t>
  </si>
  <si>
    <t>remi.ferrier@webxy.com</t>
  </si>
  <si>
    <t>http://www.linkedin.com/in/r%c3%a9mi-ferrier-a659372b</t>
  </si>
  <si>
    <t>http://www.webxy.com</t>
  </si>
  <si>
    <t xml:space="preserve">Saint-Germain-en-Laye, Ile-de-France, France, 78100</t>
  </si>
  <si>
    <t xml:space="preserve">L’agence web de la gestion et de la création de sites e-Commerce BtoC, BtoB, BtoE, multiboutique, portails reliés aux logiciels de gestion. Webdesign, intégration et développement spécifique, conseil, formation, déploiement, référencement et assistance technique. Prestashop Shopify Wordpress Relié à Sage, Cegid.</t>
  </si>
  <si>
    <t>Cremer</t>
  </si>
  <si>
    <t xml:space="preserve">Directeur général groupe</t>
  </si>
  <si>
    <t>virginie.cremer@caduc.fr</t>
  </si>
  <si>
    <t>http://www.linkedin.com/in/virginie-cremer</t>
  </si>
  <si>
    <t>http://www.altam.fr</t>
  </si>
  <si>
    <t xml:space="preserve">13 Rue d'Hauteville, Paris, Ile-de-France, France, 75010</t>
  </si>
  <si>
    <t>Toko</t>
  </si>
  <si>
    <t>Dataleon</t>
  </si>
  <si>
    <t>gerard.toko@dataleon.ai</t>
  </si>
  <si>
    <t>http://www.linkedin.com/in/gerardtoko</t>
  </si>
  <si>
    <t>http://www.dataleon.ai</t>
  </si>
  <si>
    <t xml:space="preserve">La plateforme IA de Dataleon automatise les processus optimise les workflows, assure la conformité KYC/AML et améliore l'efficacité des opérations d'entreprise.</t>
  </si>
  <si>
    <t>Burille</t>
  </si>
  <si>
    <t xml:space="preserve">STRATON AUTOMATION</t>
  </si>
  <si>
    <t>anthony.burille@straton-plc.com</t>
  </si>
  <si>
    <t>http://www.linkedin.com/in/anthony-burille</t>
  </si>
  <si>
    <t>http://www.straton-plc.com</t>
  </si>
  <si>
    <t xml:space="preserve">Rue du Sextant, Echirolles, Auvergne-Rhone-Alpes, France, 38130</t>
  </si>
  <si>
    <t xml:space="preserve">Logiciel industriel pour contrôle d'automatisation dans les domaines de l’embarqué, de l’énergie et de l'automatisme</t>
  </si>
  <si>
    <t>David-Philip</t>
  </si>
  <si>
    <t>Labedays</t>
  </si>
  <si>
    <t xml:space="preserve">CEO / Directeur Général</t>
  </si>
  <si>
    <t>ADESOFT</t>
  </si>
  <si>
    <t>david-philip.labedays@adesoft.com</t>
  </si>
  <si>
    <t>http://www.linkedin.com/in/david-philip-labedays-511b642</t>
  </si>
  <si>
    <t>http://www.adesoft.com</t>
  </si>
  <si>
    <t xml:space="preserve">71 Rue du Faubourg Saint-Antoine, Paris, Ile-de-France, France, 75011</t>
  </si>
  <si>
    <t xml:space="preserve">Planifiez vos sessions de formations à l'aide de nos solutions et gagnez en efficacité. Optimisez vos parcours de formation avec nos logiciels</t>
  </si>
  <si>
    <t>Vlad</t>
  </si>
  <si>
    <t>Gafarov</t>
  </si>
  <si>
    <t xml:space="preserve">CBDO, Co-founder</t>
  </si>
  <si>
    <t>v.gafarov@rda.team</t>
  </si>
  <si>
    <t>http://www.linkedin.com/in/vkgafarov</t>
  </si>
  <si>
    <t>Halim</t>
  </si>
  <si>
    <t xml:space="preserve">Innov Business &amp; Services</t>
  </si>
  <si>
    <t>halim.mahdi@innov-bs.com</t>
  </si>
  <si>
    <t>http://www.linkedin.com/in/halim-mahdi-331b6434</t>
  </si>
  <si>
    <t>http://www.innov-bs.com</t>
  </si>
  <si>
    <t>Madani</t>
  </si>
  <si>
    <t>faycal.madani@lyance.com</t>
  </si>
  <si>
    <t>http://www.linkedin.com/in/faycalmadani</t>
  </si>
  <si>
    <t>Mastroianni</t>
  </si>
  <si>
    <t>Agyre</t>
  </si>
  <si>
    <t>f.mastroianni@agyre.com</t>
  </si>
  <si>
    <t>http://www.linkedin.com/in/fabio-mastroianni-2490b9150</t>
  </si>
  <si>
    <t>http://www.agyre.com</t>
  </si>
  <si>
    <t xml:space="preserve">Epernon, Centre-Val de Loire, France</t>
  </si>
  <si>
    <t xml:space="preserve">Accompagner l'ensemble des acteurs de la construction afin d'accélérer le développement de l'économie circulaire.</t>
  </si>
  <si>
    <t>Mohamad</t>
  </si>
  <si>
    <t>Traore</t>
  </si>
  <si>
    <t>ASC</t>
  </si>
  <si>
    <t>mohamad.traore@latelierclub.com</t>
  </si>
  <si>
    <t>http://www.linkedin.com/in/mohamad-traore</t>
  </si>
  <si>
    <t>http://www.ascitgroup.com</t>
  </si>
  <si>
    <t xml:space="preserve">Bogota, Bogota, Colombia, 110111</t>
  </si>
  <si>
    <t>Vaudour</t>
  </si>
  <si>
    <t>Candide</t>
  </si>
  <si>
    <t>edouard@candide.ai</t>
  </si>
  <si>
    <t>http://www.linkedin.com/in/edouard-vaudour</t>
  </si>
  <si>
    <t>http://www.candide.com</t>
  </si>
  <si>
    <t xml:space="preserve">40 Queen Square, Bristol, England, United Kingdom, BS1 4QP</t>
  </si>
  <si>
    <t>Liobard</t>
  </si>
  <si>
    <t xml:space="preserve">Associate Partner / Cofounder</t>
  </si>
  <si>
    <t>TimeSkipper</t>
  </si>
  <si>
    <t>pierre.liobard@timeskipper.fr</t>
  </si>
  <si>
    <t>http://www.linkedin.com/in/pierre-liobard</t>
  </si>
  <si>
    <t>http://www.timeskipper.fr</t>
  </si>
  <si>
    <t xml:space="preserve">Rueil-Malmaison, Ile-de-France, France, 92500</t>
  </si>
  <si>
    <t xml:space="preserve">TimeSkipper est l'unique plateforme SaaS de pilotage de la charge de travail destinée à tous les formats et à tous les types de distribution.</t>
  </si>
  <si>
    <t>Stiegler</t>
  </si>
  <si>
    <t xml:space="preserve">Agora Calycé</t>
  </si>
  <si>
    <t>thierry.stiegler@agoracalyce.com</t>
  </si>
  <si>
    <t>http://www.linkedin.com/in/thierrystiegler</t>
  </si>
  <si>
    <t>http://www.agoracalyce.com</t>
  </si>
  <si>
    <t xml:space="preserve">13 Rue Hannah Arendt, Strasbourg, Grand Est, France, 67200</t>
  </si>
  <si>
    <t xml:space="preserve">✅ Agora Calycé accompagne les entreprises dans leur transformation numérique par la migration de leur système d'information.</t>
  </si>
  <si>
    <t>Hilaire</t>
  </si>
  <si>
    <t>Noubissi</t>
  </si>
  <si>
    <t xml:space="preserve">Groupe RHOPEN</t>
  </si>
  <si>
    <t>hilaire.noubissi@rhopen.fr</t>
  </si>
  <si>
    <t>http://www.linkedin.com/in/hilaire-noubissi-phd-68335188</t>
  </si>
  <si>
    <t>http://www.rhopen-consulting.eu</t>
  </si>
  <si>
    <t xml:space="preserve">Les meilleurs consultants IT pour vos projets !</t>
  </si>
  <si>
    <t>Canard</t>
  </si>
  <si>
    <t>nao</t>
  </si>
  <si>
    <t>pierre@getnao.io</t>
  </si>
  <si>
    <t>http://www.linkedin.com/in/pierrecanard</t>
  </si>
  <si>
    <t>http://www.getnao.io</t>
  </si>
  <si>
    <t>Saliou-Fazilleau</t>
  </si>
  <si>
    <t>Solusquare</t>
  </si>
  <si>
    <t>bfazilleau@solusquare.com</t>
  </si>
  <si>
    <t>http://www.linkedin.com/in/benoit-fazilleau-solusquare</t>
  </si>
  <si>
    <t>http://www.solusquare.com</t>
  </si>
  <si>
    <t xml:space="preserve">8 Rue Pasquier, Paris, Ile-de-France, France, 75008</t>
  </si>
  <si>
    <t xml:space="preserve">Solusquare Commerce Cloud permet de déployer et d’animer le commerce digital sur tous les points de contact : E-Shop Mobile First, Web-to-Store, Digital in Store, en B2C, B2B et à l’international.</t>
  </si>
  <si>
    <t>Petitcolin</t>
  </si>
  <si>
    <t>VEHIZEN</t>
  </si>
  <si>
    <t>vpetitcolin@vehizen.com</t>
  </si>
  <si>
    <t>http://www.linkedin.com/in/vincent-petitcolin-2469696</t>
  </si>
  <si>
    <t>http://www.vehizen.com</t>
  </si>
  <si>
    <t xml:space="preserve">Avenue du Golf, Baillargues, Occitanie, France, 34670</t>
  </si>
  <si>
    <t>Vialars</t>
  </si>
  <si>
    <t xml:space="preserve">Atout Majeur Concept</t>
  </si>
  <si>
    <t>fvialars@synora.fr</t>
  </si>
  <si>
    <t>http://www.linkedin.com/in/florence-vialars-35b94a296</t>
  </si>
  <si>
    <t>http://www.atoutmajeurconcept.fr</t>
  </si>
  <si>
    <t xml:space="preserve">11 Rue du Chateau de Ribaute, Quint-Fonsegrives, Languedoc-Roussillon-Midi-Pyrenees, France, 31130</t>
  </si>
  <si>
    <t>NewsGene</t>
  </si>
  <si>
    <t>marc.wibaux@newsgene.com</t>
  </si>
  <si>
    <t>http://www.linkedin.com/in/marcwibaux</t>
  </si>
  <si>
    <t>http://www.newsgene.com</t>
  </si>
  <si>
    <t xml:space="preserve">12 Rue Notre-Dame-des-Victoires, Paris, Ile-de-France, France, 75002</t>
  </si>
  <si>
    <t>Wavrant</t>
  </si>
  <si>
    <t xml:space="preserve">Agence Lafab</t>
  </si>
  <si>
    <t>dwavrant@agence-lafab.fr</t>
  </si>
  <si>
    <t>http://www.linkedin.com/in/denis-wavrant-29224224</t>
  </si>
  <si>
    <t>http://www.agence-lafab.fr</t>
  </si>
  <si>
    <t xml:space="preserve">Saint-Raphael, Provence-Alpes-Cote d'Azur, France, 83700</t>
  </si>
  <si>
    <t xml:space="preserve">Éditeur de solutions digitales</t>
  </si>
  <si>
    <t xml:space="preserve">Co-Founder &amp; CTO at Prediko</t>
  </si>
  <si>
    <t>Prediko</t>
  </si>
  <si>
    <t>nicolas@prediko.io</t>
  </si>
  <si>
    <t>http://www.linkedin.com/in/nicolas-sabatier-prediko</t>
  </si>
  <si>
    <t>http://www.prediko.io</t>
  </si>
  <si>
    <t xml:space="preserve">33 Grove End Gardens, London, England, United Kingdom, NW8 9LX</t>
  </si>
  <si>
    <t xml:space="preserve">Prediko is a Shopify app that helps D2C brands improve inventory management, make predictions &amp; POs in minutes. Get 14-day Free Trial</t>
  </si>
  <si>
    <t xml:space="preserve">Tech Recruiter, Founder</t>
  </si>
  <si>
    <t>Pickmeup</t>
  </si>
  <si>
    <t>greg@pickmeup.fr</t>
  </si>
  <si>
    <t>http://www.linkedin.com/in/grelisabeth</t>
  </si>
  <si>
    <t>http://www.pickmeup.fr</t>
  </si>
  <si>
    <t xml:space="preserve">16 Cours de Verdun, Bordeaux, Nouvelle-Aquitaine, France, 33000</t>
  </si>
  <si>
    <t xml:space="preserve">Recrutez et innovez dans vos approches RH avec Pickmeup ! Nous assurons vos recherches de profils freelances et CDI sur toute la France.</t>
  </si>
  <si>
    <t>Chevry</t>
  </si>
  <si>
    <t xml:space="preserve">Cofounder &amp; Director</t>
  </si>
  <si>
    <t>Tchek.ai</t>
  </si>
  <si>
    <t>lea.chevry@tchek.fr</t>
  </si>
  <si>
    <t>http://www.linkedin.com/in/leachevry</t>
  </si>
  <si>
    <t>http://www.tchek.ai</t>
  </si>
  <si>
    <t xml:space="preserve">25 Boulevard Ledru-Rollin, Marseille, Provence-Alpes-Cote d'Azur, France, 13015</t>
  </si>
  <si>
    <t xml:space="preserve">Tchek is the European leader in AI-powered imaging technology, built with automotive industry expertise for specialized business solutions.</t>
  </si>
  <si>
    <t>Chenebault</t>
  </si>
  <si>
    <t xml:space="preserve">COO and associated founder, board member</t>
  </si>
  <si>
    <t xml:space="preserve">Pole Star Indoor Positioning</t>
  </si>
  <si>
    <t>jean.chenebault@polestar.eu</t>
  </si>
  <si>
    <t>http://www.linkedin.com/in/jean-chenebault-a348ab9</t>
  </si>
  <si>
    <t>http://www.polestar.eu</t>
  </si>
  <si>
    <t>Despinoy</t>
  </si>
  <si>
    <t xml:space="preserve">DOCTEUR SMART</t>
  </si>
  <si>
    <t>thierry.despinoy@docteursmart.fr</t>
  </si>
  <si>
    <t>http://www.linkedin.com/in/thierry-despinoy-95219690</t>
  </si>
  <si>
    <t>http://www.docteursmart.fr</t>
  </si>
  <si>
    <t xml:space="preserve">38 Rue du Camas, Marseille, Provence-Alpes-Cote d'Azur, France, 13005</t>
  </si>
  <si>
    <t>Chavez</t>
  </si>
  <si>
    <t>SkillMapper.AI</t>
  </si>
  <si>
    <t>victor@skillmapper.com</t>
  </si>
  <si>
    <t>http://www.linkedin.com/in/victor-sanchezch</t>
  </si>
  <si>
    <t>http://www.skillmapper.ai</t>
  </si>
  <si>
    <t xml:space="preserve">Discover, Create, and Share Learning Paths. SkillMapper is a community-driven platform that helps you explore curated learning paths, share your own, and find the best resources to achieve your goals. Empower your learning journey with AI-powered recommendations</t>
  </si>
  <si>
    <t>Flo</t>
  </si>
  <si>
    <t>Ondorse</t>
  </si>
  <si>
    <t>fr@ondorse.co</t>
  </si>
  <si>
    <t>http://www.linkedin.com/in/frnrbt</t>
  </si>
  <si>
    <t>http://www.ondorse.co</t>
  </si>
  <si>
    <t xml:space="preserve">30 Avenue de Villiers, Paris, Ile-de-France, France, 75017</t>
  </si>
  <si>
    <t xml:space="preserve">Day-1 risk view, AI-driven remediation, and hands-free ongoing due diligence, all in one comprehensive compliance platform.</t>
  </si>
  <si>
    <t>Borakovic</t>
  </si>
  <si>
    <t xml:space="preserve">Co-fondateur - Sales Director</t>
  </si>
  <si>
    <t>Belive.ai</t>
  </si>
  <si>
    <t>dborakovic@belive.ai</t>
  </si>
  <si>
    <t>http://www.linkedin.com/in/david-borakovic-63859670</t>
  </si>
  <si>
    <t>http://www.belive.ai</t>
  </si>
  <si>
    <t xml:space="preserve">31 Avenue de la Gare, Amiens, Hauts-de-France, France, 80000</t>
  </si>
  <si>
    <t xml:space="preserve">We help retailers to improve their core business with computer vision and image recognition.</t>
  </si>
  <si>
    <t>Barral</t>
  </si>
  <si>
    <t>matthieu.barral@codebusters.fr</t>
  </si>
  <si>
    <t>http://www.linkedin.com/in/matthieu-barral</t>
  </si>
  <si>
    <t>Zantour</t>
  </si>
  <si>
    <t xml:space="preserve">Co founder &amp; CEO</t>
  </si>
  <si>
    <t>Dishop</t>
  </si>
  <si>
    <t>nicolas@dishop.co</t>
  </si>
  <si>
    <t>http://www.linkedin.com/in/nicolas-zantour-2ab72aba</t>
  </si>
  <si>
    <t>http://www.dishop.co</t>
  </si>
  <si>
    <t xml:space="preserve">Solution de commande en ligne pour restaurant, Boostez les ventes de votre restaurant avec Dishop. Application mobile, livraison...</t>
  </si>
  <si>
    <t>Bonnardot</t>
  </si>
  <si>
    <t>gael@datakeen.co</t>
  </si>
  <si>
    <t>http://www.linkedin.com/in/gaelbonnardot</t>
  </si>
  <si>
    <t>Broadbridge</t>
  </si>
  <si>
    <t>4Dviews</t>
  </si>
  <si>
    <t>richard.broadbridge@4dviews.com</t>
  </si>
  <si>
    <t>http://www.linkedin.com/in/richard-broadbridge</t>
  </si>
  <si>
    <t>http://www.4dviews.com</t>
  </si>
  <si>
    <t>Mitchell</t>
  </si>
  <si>
    <t>Hall</t>
  </si>
  <si>
    <t xml:space="preserve">Director and Co-Founder</t>
  </si>
  <si>
    <t>Impacti</t>
  </si>
  <si>
    <t>mitch@impacti.solutions</t>
  </si>
  <si>
    <t>http://www.linkedin.com/in/mitchell-hall-0571456</t>
  </si>
  <si>
    <t>http://www.impacti.solutions</t>
  </si>
  <si>
    <t xml:space="preserve">Software to build data-driven strategies and reporting to showcase how your business contributes to building a better world. Balance people, planet and profit.</t>
  </si>
  <si>
    <t>Sebille</t>
  </si>
  <si>
    <t xml:space="preserve">e-Labor Conseil</t>
  </si>
  <si>
    <t>nicolas@so-app.fr</t>
  </si>
  <si>
    <t>http://www.linkedin.com/in/nicolas-sebille-67a6011a</t>
  </si>
  <si>
    <t>http://www.e-labor.fr</t>
  </si>
  <si>
    <t xml:space="preserve">45 Rue de Fontenay, Clamart, Ile-de-France, France, 92140</t>
  </si>
  <si>
    <t xml:space="preserve">E-Labor Conseil SAS est prestataire de conseils et de formations en matière de tableaux de bord Power BI, et de gestion de portefeuille de projet. Tous les secteurs d'activités font appels à nous : Industries, IT, BTP, Immobilier, Assurances, Services.   E-Labor Conseil SAS adapte et met en place partout dans le monde  la solution Power BI et Project OnLine  à votre cas spécifique.</t>
  </si>
  <si>
    <t>Violaine</t>
  </si>
  <si>
    <t>Iglesias</t>
  </si>
  <si>
    <t xml:space="preserve">Cadmore Media</t>
  </si>
  <si>
    <t>violaine.iglesias@cadmore.media</t>
  </si>
  <si>
    <t>http://www.linkedin.com/in/violaine-iglesias-6a0a903</t>
  </si>
  <si>
    <t>http://www.cadmore.media</t>
  </si>
  <si>
    <t xml:space="preserve">4800 Hampden Ln, Bethesda, Maryland, United States, 20814</t>
  </si>
  <si>
    <t xml:space="preserve">Elevate your academic and professional content with Cadmore Media, the specialized streaming service trusted by leading publishers. Request a demo today for a white-label solution tailored to your needs.</t>
  </si>
  <si>
    <t>Degrassat</t>
  </si>
  <si>
    <t>macartevacances</t>
  </si>
  <si>
    <t>charles.degrassat@macartevacances.fr</t>
  </si>
  <si>
    <t>http://www.linkedin.com/in/charles-degrassat-7688226a</t>
  </si>
  <si>
    <t>http://www.macartevacances.fr</t>
  </si>
  <si>
    <t xml:space="preserve">macartevacances est la première carte compatible avec toutes les enseignes vacances, sport et culture !</t>
  </si>
  <si>
    <t>Lesot</t>
  </si>
  <si>
    <t>ScaleDynamics</t>
  </si>
  <si>
    <t>console@oxygenit.io</t>
  </si>
  <si>
    <t>http://www.linkedin.com/in/jean-philippe-lesot-6633204</t>
  </si>
  <si>
    <t>http://www.oxygenit.io</t>
  </si>
  <si>
    <t xml:space="preserve">15 Rue du Chene Germain, Cesson-Sevigne, Brittany, France, 35510</t>
  </si>
  <si>
    <t xml:space="preserve">Mesure the carbon emissions of your cloud and IT infrastructure, get quantified actionable recommendations, compare scenarios to make informed decisions, predict the impact of your carbon reduction actions</t>
  </si>
  <si>
    <t>Ghilini</t>
  </si>
  <si>
    <t>ALIT</t>
  </si>
  <si>
    <t>sophie@alit.cloud</t>
  </si>
  <si>
    <t>http://www.linkedin.com/in/sophie-ghilini-23b4389a</t>
  </si>
  <si>
    <t>http://www.alit.cloud</t>
  </si>
  <si>
    <t xml:space="preserve">Amsterdam, North Holland, Netherlands</t>
  </si>
  <si>
    <t>Lamine</t>
  </si>
  <si>
    <t>Hadj-Arab</t>
  </si>
  <si>
    <t>lamine.hadj-arab@ornidex.com</t>
  </si>
  <si>
    <t>http://www.linkedin.com/in/lamine-hadj-arab-3b390264</t>
  </si>
  <si>
    <t>Maurizot</t>
  </si>
  <si>
    <t>@GP_ATGP</t>
  </si>
  <si>
    <t>frederic.maurizot@atgp.net</t>
  </si>
  <si>
    <t>http://www.linkedin.com/in/fr%c3%a9d%c3%a9ric-maurizot-048388b1</t>
  </si>
  <si>
    <t>http://www.atgp.net</t>
  </si>
  <si>
    <t xml:space="preserve">20 Rue des Acacias, Montelier, Rhone-Alpes, France, 26120</t>
  </si>
  <si>
    <t xml:space="preserve">Accélérez et sécurisez vos relations d’affaires clients / fournisseurs</t>
  </si>
  <si>
    <t>Giovanni</t>
  </si>
  <si>
    <t>Treccani</t>
  </si>
  <si>
    <t>AMPS</t>
  </si>
  <si>
    <t>treccani@amps-llc.com</t>
  </si>
  <si>
    <t>http://www.linkedin.com/in/giovanni-f-treccani-8143bb166</t>
  </si>
  <si>
    <t>http://www.amps-llc.com</t>
  </si>
  <si>
    <t xml:space="preserve">AMPS turns the science it develops into technology, sells the technology to the industry, and continuously re-invest in research activities the majority of the profit gained in the process, thus providing its customers with the best possible tools and support in the most cost-effective way.
			MISSION</t>
  </si>
  <si>
    <t>Ioana</t>
  </si>
  <si>
    <t>Sacquepee</t>
  </si>
  <si>
    <t xml:space="preserve">Junior Conseil UTT</t>
  </si>
  <si>
    <t>ioana.sacquepee@jc-utt.fr</t>
  </si>
  <si>
    <t>http://www.linkedin.com/in/ioana-sacqu%c3%a9p%c3%a9e-5b6137269</t>
  </si>
  <si>
    <t>http://www.jc-utt.fr</t>
  </si>
  <si>
    <t xml:space="preserve">12 Rue Marie Curie, Rosieres-pres-Troyes, Grand Est, France, 10430</t>
  </si>
  <si>
    <t>Blazart</t>
  </si>
  <si>
    <t xml:space="preserve">Founder &amp; CEO &amp; Achitecte Java JEE</t>
  </si>
  <si>
    <t xml:space="preserve">Bytecode Technologies Pvt</t>
  </si>
  <si>
    <t>yann.blazart@bycode.fr</t>
  </si>
  <si>
    <t>http://www.linkedin.com/in/yblazart</t>
  </si>
  <si>
    <t>http://www.bytecodetechnologies.in</t>
  </si>
  <si>
    <t xml:space="preserve">Sahibzada Ajit Singh Nagar, Punjab, India, 160055</t>
  </si>
  <si>
    <t>author:Bytecode</t>
  </si>
  <si>
    <t xml:space="preserve">Thésée DataCenter</t>
  </si>
  <si>
    <t>antoine.fournier@thesee-datacenter.com</t>
  </si>
  <si>
    <t>http://www.linkedin.com/in/antoine-fournier-76257b4</t>
  </si>
  <si>
    <t>http://www.thesee-datacenter.com</t>
  </si>
  <si>
    <t xml:space="preserve">32 Rue du Clos Reine, Aubergenville, Ile-de-France, France, 78410</t>
  </si>
  <si>
    <t xml:space="preserve">Datacenter Français de nouvelle génération certifié Tier IV: la sécurité et la souveraineté de vos données.</t>
  </si>
  <si>
    <t>Goyheneche</t>
  </si>
  <si>
    <t xml:space="preserve">Recruiter House</t>
  </si>
  <si>
    <t>clement@recruiter.house</t>
  </si>
  <si>
    <t>http://www.linkedin.com/in/cl%c3%a9ment-goyheneche-a7907838</t>
  </si>
  <si>
    <t>http://www.recruiter.house</t>
  </si>
  <si>
    <t xml:space="preserve">Looking for top talent? Our recruitment agency has a proven track record of success. Let us find your next superstar employee and transform your business. Contact us now!</t>
  </si>
  <si>
    <t>Babouot</t>
  </si>
  <si>
    <t xml:space="preserve">Alpha laser</t>
  </si>
  <si>
    <t>sebastien@alphalaser.fr</t>
  </si>
  <si>
    <t>http://www.linkedin.com/in/sebastien-babouot-ba70b9139</t>
  </si>
  <si>
    <t>http://www.alphalaser.fr</t>
  </si>
  <si>
    <t xml:space="preserve">ALPHA LASER, leader en marquage laser, découpe laser et décoration sur verre en France, met à votre service son expertise dans le domaine de la sous-traitance laser industrielle.</t>
  </si>
  <si>
    <t>cyril@property-filter.co.uk</t>
  </si>
  <si>
    <t>http://www.linkedin.com/in/cyril-moulin</t>
  </si>
  <si>
    <t>Chaux</t>
  </si>
  <si>
    <t>Grimp</t>
  </si>
  <si>
    <t>florian@grimp.io</t>
  </si>
  <si>
    <t>http://www.linkedin.com/in/florianchaux</t>
  </si>
  <si>
    <t>http://www.grimp.io</t>
  </si>
  <si>
    <t xml:space="preserve">Les futurs outils de recherche d'emploi pour permettre à chaque individu de piloter sa carrière simplement, tout au long de sa vie.</t>
  </si>
  <si>
    <t>Raillot</t>
  </si>
  <si>
    <t>REDLab</t>
  </si>
  <si>
    <t>romain.raillot@redlab.io</t>
  </si>
  <si>
    <t>http://www.linkedin.com/in/romain-raillot-36a580a6</t>
  </si>
  <si>
    <t>http://www.redlab.io</t>
  </si>
  <si>
    <t xml:space="preserve">72 Rue de la Republique, Le Petit-Quevilly, Upper Normandy, France, 76140</t>
  </si>
  <si>
    <t xml:space="preserve">Nous mettons l'innovation technologique au service de votre stratégie de données. Gardez une longueur d'avance et innovez avec vos données !</t>
  </si>
  <si>
    <t>Bezault</t>
  </si>
  <si>
    <t xml:space="preserve">Atelier Audiovisuel</t>
  </si>
  <si>
    <t>cbezault@atelier-av.net</t>
  </si>
  <si>
    <t>http://www.linkedin.com/in/christophe-bezault-14092658</t>
  </si>
  <si>
    <t>http://www.atelier-av.net</t>
  </si>
  <si>
    <t xml:space="preserve">29 Rue Tandou, Paris, Ile-de-France, France, 75019</t>
  </si>
  <si>
    <t>Tahiri</t>
  </si>
  <si>
    <t xml:space="preserve">Co-Founder and Head of Delivery</t>
  </si>
  <si>
    <t>OpenBPO</t>
  </si>
  <si>
    <t>faical.tahiri@openbpo.com</t>
  </si>
  <si>
    <t>http://www.linkedin.com/in/faical-tahiri</t>
  </si>
  <si>
    <t>http://www.openbpo.com</t>
  </si>
  <si>
    <t xml:space="preserve">Allee des Yvelines, Trappes, Ile-de-France, France, 78190</t>
  </si>
  <si>
    <t>Yosra</t>
  </si>
  <si>
    <t>yosra.jarraya@astran.io</t>
  </si>
  <si>
    <t>http://www.linkedin.com/in/yosrajarraya</t>
  </si>
  <si>
    <t>Wilson</t>
  </si>
  <si>
    <t xml:space="preserve">La Factory</t>
  </si>
  <si>
    <t>romain@rweb.fr</t>
  </si>
  <si>
    <t>http://www.linkedin.com/in/romain-wilson-27899932</t>
  </si>
  <si>
    <t>http://www.rweb.fr</t>
  </si>
  <si>
    <t xml:space="preserve">Presenting R WEB, a cutting edge digital agency working like a start up studio: we provide our services in exchange for performance fees on the projects we partner with.</t>
  </si>
  <si>
    <t>Becourt</t>
  </si>
  <si>
    <t xml:space="preserve">Co-Founder &amp; Experience Design Director</t>
  </si>
  <si>
    <t>guillaume.becourt@epicnpoc.com</t>
  </si>
  <si>
    <t>http://www.linkedin.com/in/guillaume-becourt-398169b</t>
  </si>
  <si>
    <t>Potoczny</t>
  </si>
  <si>
    <t>Valuein</t>
  </si>
  <si>
    <t>geoffrey.potoczny@valuein.fr</t>
  </si>
  <si>
    <t>http://www.linkedin.com/in/geoffreypotoczny</t>
  </si>
  <si>
    <t>http://www.valuein.fr</t>
  </si>
  <si>
    <t xml:space="preserve">Valuein est une solution SaaS permettant le lancement et la gestion d'offres par abonnements pour les entreprises B2B, B2B2C et B2C.</t>
  </si>
  <si>
    <t>Aksel</t>
  </si>
  <si>
    <t>Guengoer</t>
  </si>
  <si>
    <t>Acclaim</t>
  </si>
  <si>
    <t>aksel@getacclaim.com</t>
  </si>
  <si>
    <t>http://www.linkedin.com/in/akselgungor</t>
  </si>
  <si>
    <t>http://www.acclaim.agency</t>
  </si>
  <si>
    <t xml:space="preserve">15 ulica Stanislawa Wigury, Lodz, Lodz Voivodeship, Poland, 90-302</t>
  </si>
  <si>
    <t xml:space="preserve">Overtake competitors with a conversion-oriented website or E-commerce store that loads in less than 1 second and has 90+ points in PageSpeed 🚀</t>
  </si>
  <si>
    <t>Meurisse</t>
  </si>
  <si>
    <t>Veesual</t>
  </si>
  <si>
    <t>damien@veesual.ai</t>
  </si>
  <si>
    <t>http://www.linkedin.com/in/damien-meurisse-b122114</t>
  </si>
  <si>
    <t>http://www.veesual.ai</t>
  </si>
  <si>
    <t xml:space="preserve">24 Avenue Marceau, Paris, Ile-de-France, France, 75008</t>
  </si>
  <si>
    <t xml:space="preserve">Mix&amp;Match, Switch Model, Look Inspiration: augmented e-commerce experiences that better engage shoppers thanks to virtual fitting for fashion e-commerce.</t>
  </si>
  <si>
    <t>Louis-Marc</t>
  </si>
  <si>
    <t>lmperez@ixxo.fr</t>
  </si>
  <si>
    <t>http://www.linkedin.com/in/lmperez</t>
  </si>
  <si>
    <t>Devylder</t>
  </si>
  <si>
    <t xml:space="preserve">Président et Fondateur de Full Data Management</t>
  </si>
  <si>
    <t xml:space="preserve">Full Data Management</t>
  </si>
  <si>
    <t>hdevylder@fulldatamanagement.com</t>
  </si>
  <si>
    <t>http://www.linkedin.com/in/devylder-hugues-0128372</t>
  </si>
  <si>
    <t>http://www.fulldatamanagement.com</t>
  </si>
  <si>
    <t xml:space="preserve">Wasquehal, Hauts-de-France, France</t>
  </si>
  <si>
    <t>Aldama</t>
  </si>
  <si>
    <t xml:space="preserve">CPTO &amp; Co-Founder</t>
  </si>
  <si>
    <t>ScrubChart.AI</t>
  </si>
  <si>
    <t>ricardo@scrubchart.ai</t>
  </si>
  <si>
    <t>http://www.linkedin.com/in/ricardodealdama</t>
  </si>
  <si>
    <t>http://www.scrubchart.ai</t>
  </si>
  <si>
    <t xml:space="preserve">Montreal, Quebec, Canada</t>
  </si>
  <si>
    <t xml:space="preserve">Streamlining hospital operations with a real-time AI predictive analytics platform</t>
  </si>
  <si>
    <t>Anton</t>
  </si>
  <si>
    <t>Fert</t>
  </si>
  <si>
    <t>anton.fert@tchek.ai</t>
  </si>
  <si>
    <t>http://www.linkedin.com/in/antonfert</t>
  </si>
  <si>
    <t>Ennassiri</t>
  </si>
  <si>
    <t>Humanitics.ai</t>
  </si>
  <si>
    <t>ayoub@humanitics.ai</t>
  </si>
  <si>
    <t>http://www.linkedin.com/in/ayoub-ennassiri</t>
  </si>
  <si>
    <t>http://www.humanitics.ai</t>
  </si>
  <si>
    <t xml:space="preserve">Notre moteur de recommandation aide les boutiques physiques à être plus performantes en adaptant leurs actions aux clients qui vont les visiter.</t>
  </si>
  <si>
    <t>Skander</t>
  </si>
  <si>
    <t>Guarbaa</t>
  </si>
  <si>
    <t>Latech</t>
  </si>
  <si>
    <t>ska@latech.io</t>
  </si>
  <si>
    <t>http://www.linkedin.com/in/skanderguarbaa</t>
  </si>
  <si>
    <t>http://www.latech.io</t>
  </si>
  <si>
    <t xml:space="preserve">118 Avenue Jean Jaures, Paris, Ile-de-France, France, 75019</t>
  </si>
  <si>
    <t>Yannis</t>
  </si>
  <si>
    <t>Kolodziej</t>
  </si>
  <si>
    <t>Visionairy</t>
  </si>
  <si>
    <t>yannis.kolodziej@visionairy.io</t>
  </si>
  <si>
    <t>http://www.linkedin.com/in/yannis-kolodziej-a6b9a710a</t>
  </si>
  <si>
    <t>http://www.visionairy.io</t>
  </si>
  <si>
    <t xml:space="preserve">Automate quality inspections in factory with AI-based computer vision. Create &amp; deploy vision application using our AI platform dedicated to manufacturing quality.</t>
  </si>
  <si>
    <t>Toni</t>
  </si>
  <si>
    <t>Chumillas</t>
  </si>
  <si>
    <t xml:space="preserve">Co Founder, Chief Operating Officer</t>
  </si>
  <si>
    <t xml:space="preserve">AccountInsight an Expandi company</t>
  </si>
  <si>
    <t>antoni.chumillas@accountinsight.ai</t>
  </si>
  <si>
    <t>http://www.linkedin.com/in/antonichumillas</t>
  </si>
  <si>
    <t>http://www.accountinsight.ai</t>
  </si>
  <si>
    <t xml:space="preserve">38 Craven Street, London, England, United Kingdom, WC2N 5NG</t>
  </si>
  <si>
    <t xml:space="preserve">AccountInsight is a cookieless B2B DSP designed for B2B Display Advertising &amp; Intent Based Marketing. Reach the companies that count.</t>
  </si>
  <si>
    <t>Duhamel</t>
  </si>
  <si>
    <t>damien@jurnee.io</t>
  </si>
  <si>
    <t>http://www.linkedin.com/in/duhamel-damien</t>
  </si>
  <si>
    <t>Llonch</t>
  </si>
  <si>
    <t xml:space="preserve">Micromedia International</t>
  </si>
  <si>
    <t>jeremie.llonch@micromedia-int.com</t>
  </si>
  <si>
    <t>http://www.linkedin.com/in/j%c3%a9r%c3%a9mie-llonch-934614a7</t>
  </si>
  <si>
    <t>http://www.micromedia-int.com</t>
  </si>
  <si>
    <t xml:space="preserve">9 Chemin de la Dhuy, Meylan, Auvergne-Rhone-Alpes, France, 38240</t>
  </si>
  <si>
    <t xml:space="preserve">Découvrez nos solutions logicielles de centralisation et diffusion d'alarmes. Profitez de notre expertise pour relier l'industrie et la téléphonie.</t>
  </si>
  <si>
    <t>Capraro</t>
  </si>
  <si>
    <t>maxime.capraro@evolioconsulting.fr</t>
  </si>
  <si>
    <t>http://www.linkedin.com/in/maxime-capraro-2986b965</t>
  </si>
  <si>
    <t xml:space="preserve">Digital No Limit</t>
  </si>
  <si>
    <t>meyer@digitalnolimit.com</t>
  </si>
  <si>
    <t>http://www.linkedin.com/in/meyer-ayache-72586b64</t>
  </si>
  <si>
    <t>http://www.digitalnolimit.com</t>
  </si>
  <si>
    <t xml:space="preserve">Digital No Limit est spécialisée dans le développement et le lancement de web services à l’intention des start-up, PME/GE.</t>
  </si>
  <si>
    <t>Vorger</t>
  </si>
  <si>
    <t>eric.vorger@kocliko.co</t>
  </si>
  <si>
    <t>http://www.linkedin.com/in/eric-vorger-0076a4b4</t>
  </si>
  <si>
    <t>Randolph</t>
  </si>
  <si>
    <t>Fredo</t>
  </si>
  <si>
    <t>thomas@fredo.fr</t>
  </si>
  <si>
    <t>http://www.linkedin.com/in/thomas-randolph-a6373aa3</t>
  </si>
  <si>
    <t>http://www.fredo.fr</t>
  </si>
  <si>
    <t xml:space="preserve">Solution de gestion de flottes de vélos partagés permise grâce à un cadenas connectés, une application mobile et une plateforme de gestion.</t>
  </si>
  <si>
    <t>Ouabdelkader</t>
  </si>
  <si>
    <t xml:space="preserve">Co-founder &amp; Backend Lead</t>
  </si>
  <si>
    <t>Spot</t>
  </si>
  <si>
    <t>romain@spot.so</t>
  </si>
  <si>
    <t>http://www.linkedin.com/in/romain-ouabdelkader</t>
  </si>
  <si>
    <t>http://www.spot-wallet.com</t>
  </si>
  <si>
    <t xml:space="preserve">33 Rue de Sevres, Paris, Ile-de-France, France, 75006</t>
  </si>
  <si>
    <t xml:space="preserve">Spot is the safest self-custody wallet to store and really own your crypto. Unlike exchange platforms, Spot does not control your crypto (non-custodial wallet). A wallet for NFTs, Bitcoin, Ethereum, Polygon, Solana &amp; Tezos. Connect to OpenSea, Uniswap &amp; all of DeFi with WalletConnect. Stake your Tezos and Solana.</t>
  </si>
  <si>
    <t>Pierre-Andre</t>
  </si>
  <si>
    <t>Florat</t>
  </si>
  <si>
    <t xml:space="preserve">FAST une marque de Docaposte</t>
  </si>
  <si>
    <t>pierre-andre.florat@docaposte-fast.fr</t>
  </si>
  <si>
    <t>http://www.linkedin.com/in/pierre-andr%c3%a9-florat-9b6b6b1a</t>
  </si>
  <si>
    <t>http://www.fast-docaposte.fr</t>
  </si>
  <si>
    <t xml:space="preserve">120 Rue Reaumur, Paris, Ile-de-France, France, 75002</t>
  </si>
  <si>
    <t xml:space="preserve">Simplifier la vie de nos utilisateurs dans leur transition digitale Nous accompagnons toutes vos transformations, qu’il s’agisse de faire évoluer votre organisation, de vous adapter à de nouvelles réglementations ou d’intégrer le digital pour répondre toujours mieux aux demandes des citoyens et usagers.Dans une période de rationalisation des coûts où les projets de modernisation se multiplient, FAST Solutions propose des services clés en</t>
  </si>
  <si>
    <t>Dugoujon</t>
  </si>
  <si>
    <t xml:space="preserve">Co-fondatrice, Directrice Associée</t>
  </si>
  <si>
    <t xml:space="preserve">Interlude Santé</t>
  </si>
  <si>
    <t>vdugoujon@interludesante.com</t>
  </si>
  <si>
    <t>http://www.linkedin.com/in/v%c3%a9ronique-dugoujon-25117321</t>
  </si>
  <si>
    <t>http://www.interludesante.com</t>
  </si>
  <si>
    <t xml:space="preserve">29 Place Bellecour, Lyon, Auvergne-Rhone-Alpes, France, 69002</t>
  </si>
  <si>
    <t>Pitel</t>
  </si>
  <si>
    <t xml:space="preserve">Co-founder &amp; Chief Technology Officer</t>
  </si>
  <si>
    <t>guillaume.pitel@babbar.tech</t>
  </si>
  <si>
    <t>http://www.linkedin.com/in/guillaumepitel</t>
  </si>
  <si>
    <t>http://www.babbar.tech</t>
  </si>
  <si>
    <t xml:space="preserve">Le Petit-Quevilly, Upper Normandy, France</t>
  </si>
  <si>
    <t>Comte</t>
  </si>
  <si>
    <t xml:space="preserve">Chief Executive Officer - Président</t>
  </si>
  <si>
    <t>Koki</t>
  </si>
  <si>
    <t>damien.comte@koki-software.fr</t>
  </si>
  <si>
    <t>http://www.linkedin.com/in/damien-comte-6a512049</t>
  </si>
  <si>
    <t>http://www.koki-software.com</t>
  </si>
  <si>
    <t xml:space="preserve">54 Allee des Preles, Savigneux, Rhone-Alpes, France, 01480</t>
  </si>
  <si>
    <t>Delaire</t>
  </si>
  <si>
    <t>anthony.delaire@ingely.fr</t>
  </si>
  <si>
    <t>http://www.linkedin.com/in/anthony-delaire-854a28103</t>
  </si>
  <si>
    <t>http://www.ingely.fr</t>
  </si>
  <si>
    <t xml:space="preserve">Les Brouzils</t>
  </si>
  <si>
    <t xml:space="preserve">4 Rue des Alouettes, Sevremoine, Pays de la Loire, France, 49450</t>
  </si>
  <si>
    <t>Debuchy</t>
  </si>
  <si>
    <t xml:space="preserve">Co-founder and Chairman</t>
  </si>
  <si>
    <t>Moba</t>
  </si>
  <si>
    <t>gilles.debuchy@get-moba.com</t>
  </si>
  <si>
    <t>http://www.linkedin.com/in/gillesdebuchy</t>
  </si>
  <si>
    <t>http://www.get-moba.com</t>
  </si>
  <si>
    <t xml:space="preserve">Moba est votre expert en diagnostic et optimisation de batteries de voitures électriques. Grâce à notre expertise en SOH, libérez tout le potentiel des données de votre véhicule électrique pour une transition en douceur vers l'électrique</t>
  </si>
  <si>
    <t>Othax</t>
  </si>
  <si>
    <t>thomas@packitoo.com</t>
  </si>
  <si>
    <t>http://www.linkedin.com/in/thomasothax</t>
  </si>
  <si>
    <t>http://www.packitoo.com</t>
  </si>
  <si>
    <t xml:space="preserve">Digitalize the sales process of your custom packaging offer with Packitoo HIPE business solutions.</t>
  </si>
  <si>
    <t xml:space="preserve">Optic Performance</t>
  </si>
  <si>
    <t>s.favre@optic-performance.com</t>
  </si>
  <si>
    <t>http://www.linkedin.com/in/sebastienfavre</t>
  </si>
  <si>
    <t>http://www.optic-performance.com</t>
  </si>
  <si>
    <t xml:space="preserve">Vannes, Brittany, France</t>
  </si>
  <si>
    <t xml:space="preserve">Fidélisez vos clients grâce à nos programmes marketing ! Experts du marché de l'optique, nous accompagnons les opticiens dans leurs stratégies marketing.</t>
  </si>
  <si>
    <t>Espieux</t>
  </si>
  <si>
    <t xml:space="preserve">CEO - Founder</t>
  </si>
  <si>
    <t>RiskCare.eu</t>
  </si>
  <si>
    <t>marc.espieux@riskcare.eu</t>
  </si>
  <si>
    <t>http://www.linkedin.com/in/marc-espieux-20320875</t>
  </si>
  <si>
    <t>http://www.riskcare.eu</t>
  </si>
  <si>
    <t>Immersiv.io</t>
  </si>
  <si>
    <t>sg@immersiv.io</t>
  </si>
  <si>
    <t>http://www.linkedin.com/in/steguerin</t>
  </si>
  <si>
    <t>http://www.immersiv.io</t>
  </si>
  <si>
    <t xml:space="preserve">We design and develop immersive solutions by using AR &amp; spatial computing. Our team creates the future of the watching experience!</t>
  </si>
  <si>
    <t>Fawcett</t>
  </si>
  <si>
    <t>SiteBox</t>
  </si>
  <si>
    <t>paul.fawcett@statik.space</t>
  </si>
  <si>
    <t>http://www.linkedin.com/in/paul-fawcett</t>
  </si>
  <si>
    <t>http://www.sitebox.io</t>
  </si>
  <si>
    <t xml:space="preserve">20-22 Wenlock Road, England, United Kingdom, N1 7GU</t>
  </si>
  <si>
    <t xml:space="preserve">SiteBox enables agencies and client side development teams to dramatically reduce the time needed to build, manage and maintain websites for WordPress.</t>
  </si>
  <si>
    <t>Theau</t>
  </si>
  <si>
    <t xml:space="preserve">Co-founder and IS architecture consultant</t>
  </si>
  <si>
    <t>Nexen</t>
  </si>
  <si>
    <t>theau@nexen.partners</t>
  </si>
  <si>
    <t>http://www.linkedin.com/in/th%c3%a9au-c-25aa6917</t>
  </si>
  <si>
    <t>http://www.nexen.partners</t>
  </si>
  <si>
    <t xml:space="preserve">126 Avenue du General Leclerc, Boulogne-Billancourt, Ile-de-France, France, 92100</t>
  </si>
  <si>
    <t>Tuan</t>
  </si>
  <si>
    <t>Ardouin</t>
  </si>
  <si>
    <t>Bylaw</t>
  </si>
  <si>
    <t>tuan@bylaw.fr</t>
  </si>
  <si>
    <t>http://www.linkedin.com/in/t-ardouin</t>
  </si>
  <si>
    <t>http://www.bylaw.fr</t>
  </si>
  <si>
    <t xml:space="preserve">Bylaw automatise les tâches répétitives et chronophages des professions juridiques et financières grâce à l'intelligence artificielle.</t>
  </si>
  <si>
    <t>Sepio</t>
  </si>
  <si>
    <t xml:space="preserve">Co-fondateur et Dirigeant AUCAE - BRIVA</t>
  </si>
  <si>
    <t>jmsepio@aucae.com</t>
  </si>
  <si>
    <t>http://www.linkedin.com/in/jean-marc-sepio</t>
  </si>
  <si>
    <t>http://www.aucae.com</t>
  </si>
  <si>
    <t xml:space="preserve">12 Rue Louis Courtois de Vicose, Toulouse, Occitanie, France, 31100</t>
  </si>
  <si>
    <t>Bernet</t>
  </si>
  <si>
    <t>Cynapps.ai</t>
  </si>
  <si>
    <t>c.bernet@cynapps.ai</t>
  </si>
  <si>
    <t>http://www.linkedin.com/in/colin-bernet-85a24592</t>
  </si>
  <si>
    <t>http://www.araiko.ai</t>
  </si>
  <si>
    <t xml:space="preserve">Cours de la Liberte, Lyon, Auvergne-Rhone-Alpes, France, 69003</t>
  </si>
  <si>
    <t xml:space="preserve">Araïko transforme vos métiers par la data science et l’IA en concevant des solutions sur-mesure adaptées à vos spécificités métiers. Industrie, aéronautique, nucléaire, agriculture, nous travaillons avec des secteurs d'activité variés grâce à notre équipe de chercheurs et chercheuses en data science, IA et industrie.</t>
  </si>
  <si>
    <t>Kallassi</t>
  </si>
  <si>
    <t xml:space="preserve">Co-founder | Cloud Consulting &amp; Salesforce CRM Manager</t>
  </si>
  <si>
    <t>Dieulle</t>
  </si>
  <si>
    <t xml:space="preserve">Euromédia Réseaux &amp; Sécurité</t>
  </si>
  <si>
    <t>ddieulle@euromedia.fr</t>
  </si>
  <si>
    <t>http://www.linkedin.com/in/dominique-dieulle</t>
  </si>
  <si>
    <t xml:space="preserve">Co-founder &amp; CMO</t>
  </si>
  <si>
    <t>Sidely</t>
  </si>
  <si>
    <t>a.lecomte@sidely.fr</t>
  </si>
  <si>
    <t>http://www.linkedin.com/in/lecomtealexis</t>
  </si>
  <si>
    <t>http://www.go-sidely.com</t>
  </si>
  <si>
    <t xml:space="preserve">Sidely est le CRM/SFA qui accompagnent les marques et agences qui distribuent en GMS, CHR, GSS et RHD. Boostez vos ventes. Augmentez vos parts de marché.</t>
  </si>
  <si>
    <t>Renaudineau</t>
  </si>
  <si>
    <t xml:space="preserve">CEO - Associate Researcher</t>
  </si>
  <si>
    <t>christophe@jumbomana.com</t>
  </si>
  <si>
    <t>http://www.linkedin.com/in/christophe-renaudineau-78a10613a</t>
  </si>
  <si>
    <t>Manoukian</t>
  </si>
  <si>
    <t>andre@matchtune.com</t>
  </si>
  <si>
    <t>http://www.linkedin.com/in/andr%c3%a9-manoukian-a5209981</t>
  </si>
  <si>
    <t>GENBA.fr</t>
  </si>
  <si>
    <t>dorian.mouton@genba.fr</t>
  </si>
  <si>
    <t>http://www.linkedin.com/in/dorian-genba</t>
  </si>
  <si>
    <t>http://www.genba.fr</t>
  </si>
  <si>
    <t xml:space="preserve">555 Chemin des Traverses, Lachapelle-sous-Aubenas, Auvergne-Rhone-Alpes, France, 07200</t>
  </si>
  <si>
    <t xml:space="preserve">Créez et réalisez et pilotez vos audits/diagnostics (RSE, HSE, Qualité, QSE, Performances industrielles, logistique…). Essayez gratuitement GENBA. Outil collaboratif, 100% numérique et facile d'accès. Optimisez votre excellence opérationnelle.</t>
  </si>
  <si>
    <t>Menteaux</t>
  </si>
  <si>
    <t xml:space="preserve">Co-Founder &amp; C.E.O.</t>
  </si>
  <si>
    <t>ADEIZ</t>
  </si>
  <si>
    <t>bmenteaux@adeiz.com</t>
  </si>
  <si>
    <t>http://www.linkedin.com/in/bruno-menteaux-30491539</t>
  </si>
  <si>
    <t>http://www.adeiz.com</t>
  </si>
  <si>
    <t xml:space="preserve">1 Allee de la Marque, Wasquehal, Hauts-de-France, France, 59290</t>
  </si>
  <si>
    <t>Lebel</t>
  </si>
  <si>
    <t xml:space="preserve">CEO I Founder</t>
  </si>
  <si>
    <t>Bloomays</t>
  </si>
  <si>
    <t>mehdi.lebel@bloomays.com</t>
  </si>
  <si>
    <t>http://www.linkedin.com/in/mehdi-lebel-74956625</t>
  </si>
  <si>
    <t>http://www.bloomays.com</t>
  </si>
  <si>
    <t xml:space="preserve">4 Rue du Caire, Paris, Ile-de-France, France, 75002</t>
  </si>
  <si>
    <t xml:space="preserve">Nous recrutons en CDI &amp; Freelance des Talents tech et produit. Nous faisons aussi grandir vos équipes RH.</t>
  </si>
  <si>
    <t>Gattegno</t>
  </si>
  <si>
    <t xml:space="preserve">Data Vectis</t>
  </si>
  <si>
    <t>edouard.gattegno@datavectis.fr</t>
  </si>
  <si>
    <t>http://www.linkedin.com/in/edouardgattegno</t>
  </si>
  <si>
    <t>http://www.datavectis.fr</t>
  </si>
  <si>
    <t xml:space="preserve">19 Rue de Montyon, Paris, Ile-de-France, France, 75009</t>
  </si>
  <si>
    <t xml:space="preserve">DATA VECTIS est une société de conseil et de service créée en 2018 et spécialisée dans les interventions fonctionnelles du projet informatique.</t>
  </si>
  <si>
    <t>Maldjian</t>
  </si>
  <si>
    <t>camille@ezymob.fr</t>
  </si>
  <si>
    <t>http://www.linkedin.com/in/camille-maldjian-5a3329180</t>
  </si>
  <si>
    <t>Gundermann</t>
  </si>
  <si>
    <t>Digilor</t>
  </si>
  <si>
    <t>florent.gundermann@digilor.com</t>
  </si>
  <si>
    <t>http://www.linkedin.com/in/florent-gundermann-bb33169b</t>
  </si>
  <si>
    <t>http://www.digilor.fr</t>
  </si>
  <si>
    <t xml:space="preserve">2 Allee des Tilleuls, Heillecourt, Grand Est, France, 54180</t>
  </si>
  <si>
    <t xml:space="preserve">Digilor est un fournisseur de technologies innovantes, dispositifs interactifs et spécialiste en développement d'applications tactiles.</t>
  </si>
  <si>
    <t xml:space="preserve">Gérant - CEO</t>
  </si>
  <si>
    <t xml:space="preserve">Agence IMPAAKT</t>
  </si>
  <si>
    <t>stephane.louis@impaakt.fr</t>
  </si>
  <si>
    <t>http://www.linkedin.com/in/st%c3%a9phane-louis-48a96227</t>
  </si>
  <si>
    <t>http://www.impaakt.fr</t>
  </si>
  <si>
    <t>Bezannes</t>
  </si>
  <si>
    <t xml:space="preserve">2 Rue Jules Meline, Bezannes, Champagne-Ardenne, France, 51430</t>
  </si>
  <si>
    <t>Anna</t>
  </si>
  <si>
    <t>Malashkina</t>
  </si>
  <si>
    <t>anna.malashkina@wiregate.io</t>
  </si>
  <si>
    <t>http://www.linkedin.com/in/anna-malashkina-255188244</t>
  </si>
  <si>
    <t>http://www.wiregate.io</t>
  </si>
  <si>
    <t xml:space="preserve">Podgorica, Podgorica, Montenegro</t>
  </si>
  <si>
    <t>Segura</t>
  </si>
  <si>
    <t>CoopCycle</t>
  </si>
  <si>
    <t>alexandre@coopcycle.org</t>
  </si>
  <si>
    <t>http://www.linkedin.com/in/alexandre-segura-b7261820</t>
  </si>
  <si>
    <t>http://www.coopcycle.org</t>
  </si>
  <si>
    <t>Mirebeau</t>
  </si>
  <si>
    <t xml:space="preserve">23 Avenue Claude Vellefaux, Paris, Ile-de-France, France, 75010</t>
  </si>
  <si>
    <t xml:space="preserve">Co-fondateur, CTO</t>
  </si>
  <si>
    <t>Batis</t>
  </si>
  <si>
    <t>pierre.davy@batis.io</t>
  </si>
  <si>
    <t>http://www.linkedin.com/in/pierredavy</t>
  </si>
  <si>
    <t>http://www.batis.io</t>
  </si>
  <si>
    <t xml:space="preserve">Votre plateforme collaborative pour une gestion contractuelle simplifiée, une centralisation efficace des dossiers administratifs et une automatisation des processus d'agrément. Optimisez votre productivité avec Batis.</t>
  </si>
  <si>
    <t>Convert</t>
  </si>
  <si>
    <t xml:space="preserve">AQUA CONSULTING</t>
  </si>
  <si>
    <t>herve.convert@aqua-consulting.fr</t>
  </si>
  <si>
    <t>http://www.linkedin.com/in/herv%c3%a9-convert-7148ab141</t>
  </si>
  <si>
    <t>http://www.aqua-consulting.fr</t>
  </si>
  <si>
    <t xml:space="preserve">20 Boulevard Eugene Deruelle, Lyon, Auvergne-Rhone-Alpes, France, 69003</t>
  </si>
  <si>
    <t>OpenDecide</t>
  </si>
  <si>
    <t>g.rodriguez@opendecide.com</t>
  </si>
  <si>
    <t>http://www.linkedin.com/in/guillaumerodriguezfr</t>
  </si>
  <si>
    <t>http://www.opendecide.com</t>
  </si>
  <si>
    <t xml:space="preserve">31 Allees Jules Guesde, Toulouse, Occitanie, France, 31000</t>
  </si>
  <si>
    <t xml:space="preserve">OpenDecide est la plateforme simple et intuitive, basée sur la science de comportement organisationnel, qui vous aide à faire évoluer vos équipes vers un fonctionnement optimal.</t>
  </si>
  <si>
    <t>Bordier</t>
  </si>
  <si>
    <t xml:space="preserve">XHR CONSULTING</t>
  </si>
  <si>
    <t>jeremie@xhr.fr</t>
  </si>
  <si>
    <t>http://www.linkedin.com/in/jeremiebordier</t>
  </si>
  <si>
    <t>http://www.xhr.fr</t>
  </si>
  <si>
    <t>Perigois</t>
  </si>
  <si>
    <t xml:space="preserve">Hubicus BVA Group</t>
  </si>
  <si>
    <t>emilie.perigois@hubicus.com</t>
  </si>
  <si>
    <t>http://www.linkedin.com/in/emilie-p%c3%a9rigois-373924a3</t>
  </si>
  <si>
    <t>http://www.hubicus.com</t>
  </si>
  <si>
    <t xml:space="preserve">Solutions de Quality Monitoring pour la mise en place de Plans d'actions efficaces. Votre Bilan grâce à l'Étalon qualité by Hubicus.</t>
  </si>
  <si>
    <t>Sculfort</t>
  </si>
  <si>
    <t>jeremy@urbangaming.com</t>
  </si>
  <si>
    <t>http://www.linkedin.com/in/jeremysculfort</t>
  </si>
  <si>
    <t>yann.fourre@reemo.io</t>
  </si>
  <si>
    <t>http://www.linkedin.com/in/yann-fourre-a823b18</t>
  </si>
  <si>
    <t>Marne-la-Vallee</t>
  </si>
  <si>
    <t>Goddet</t>
  </si>
  <si>
    <t xml:space="preserve">IDS SA</t>
  </si>
  <si>
    <t>c.goddet@idsfrance.com</t>
  </si>
  <si>
    <t>http://www.linkedin.com/in/charles-goddet-6004ab152</t>
  </si>
  <si>
    <t>http://www.idsfrance.com</t>
  </si>
  <si>
    <t xml:space="preserve">Champs-sur-Marne, Ile-de-France, France, 77420</t>
  </si>
  <si>
    <t>Emma</t>
  </si>
  <si>
    <t>Pariente</t>
  </si>
  <si>
    <t xml:space="preserve">AI Sisters</t>
  </si>
  <si>
    <t>emma@wink-technology.com</t>
  </si>
  <si>
    <t>http://www.linkedin.com/in/emma-pariente-91705114b</t>
  </si>
  <si>
    <t>http://www.aisisters.ai</t>
  </si>
  <si>
    <t xml:space="preserve">AI Sisters, expert en intégration et formation en intelligence artificielle pour les entreprises. Formations ChatGPT et IA sur mesure, séminaires, conseils en stratégie et développement d'outils IA pour transformer votre entreprise.</t>
  </si>
  <si>
    <t>Aboudaram</t>
  </si>
  <si>
    <t>a.aboudaram@bylaw.fr</t>
  </si>
  <si>
    <t>http://www.linkedin.com/in/adrien-aboudaram-819bb81b2</t>
  </si>
  <si>
    <t xml:space="preserve">Directeur  Général</t>
  </si>
  <si>
    <t xml:space="preserve">Premium Consulting</t>
  </si>
  <si>
    <t>cdarche@premiumconsulting.fr</t>
  </si>
  <si>
    <t>http://www.linkedin.com/in/cecile-darche-giorgi-7b9a351</t>
  </si>
  <si>
    <t>http://www.premiumconsulting.fr</t>
  </si>
  <si>
    <t xml:space="preserve">23 Avenue Victor Hugo, Paris, Ile-de-France, France, 75116</t>
  </si>
  <si>
    <t xml:space="preserve">GROUPE BELLON</t>
  </si>
  <si>
    <t>baptiste.bellon@2bsystem.fr</t>
  </si>
  <si>
    <t>http://www.linkedin.com/in/baptiste-bellon-48b006103</t>
  </si>
  <si>
    <t>http://www.groupe-bellon.fr</t>
  </si>
  <si>
    <t xml:space="preserve">Depuis plus de 30 ans, nous proposons des solutions ERP permettent aux professionnels de l'agroalimentaire de gérer efficacement leurs opérations quotidiennes.</t>
  </si>
  <si>
    <t>Maupas</t>
  </si>
  <si>
    <t xml:space="preserve">Mext Metaverse</t>
  </si>
  <si>
    <t>hubert.maupas@net-must.com</t>
  </si>
  <si>
    <t>http://www.linkedin.com/in/hubert-maupas-822906210</t>
  </si>
  <si>
    <t>http://www.mext.app</t>
  </si>
  <si>
    <t>Chevreuse</t>
  </si>
  <si>
    <t xml:space="preserve">Route de la Noue, Gif-sur-Yvette, Ile-de-France, France, 91190</t>
  </si>
  <si>
    <t>Massip</t>
  </si>
  <si>
    <t>Opscidia</t>
  </si>
  <si>
    <t>sylvain.massip@opscidia.com</t>
  </si>
  <si>
    <t>http://www.linkedin.com/in/sylvain-massip-535a9a4</t>
  </si>
  <si>
    <t>http://www.opscidia.com</t>
  </si>
  <si>
    <t xml:space="preserve">12 Rue Anselme, Saint-Ouen, Ile-de-France, France, 93400</t>
  </si>
  <si>
    <t xml:space="preserve">Un Hub d’information scientifique et technologique, basé sur les technologies d’IA les plus récentes, pour tous les acteurs de l’innovation.</t>
  </si>
  <si>
    <t>Bentoto</t>
  </si>
  <si>
    <t xml:space="preserve">CEO &amp; Directeur technique</t>
  </si>
  <si>
    <t>Digitalpole</t>
  </si>
  <si>
    <t>yassine@digitalpole.fr</t>
  </si>
  <si>
    <t>http://www.linkedin.com/in/yassine-bentoto-885b9b31</t>
  </si>
  <si>
    <t>http://www.digitalpole.fr</t>
  </si>
  <si>
    <t xml:space="preserve">Agence web spécialisée : conception, développement, et marketing digital. Transformez votre présence en ligne avec notre expertise.</t>
  </si>
  <si>
    <t>Levillain</t>
  </si>
  <si>
    <t>maxime.levillain@functori.com</t>
  </si>
  <si>
    <t>http://www.linkedin.com/in/maxime-levillain-3798a44b</t>
  </si>
  <si>
    <t>Sharon</t>
  </si>
  <si>
    <t>Greene</t>
  </si>
  <si>
    <t xml:space="preserve">Alice Labs</t>
  </si>
  <si>
    <t>sharon@alicelabspartners.com</t>
  </si>
  <si>
    <t>http://www.linkedin.com/in/sharongreene-trends</t>
  </si>
  <si>
    <t>http://www.alicelabs.io</t>
  </si>
  <si>
    <t xml:space="preserve">1600 Main St, Los Angeles, California, United States, 90291</t>
  </si>
  <si>
    <t>Jean-Thomas</t>
  </si>
  <si>
    <t>Rouzin</t>
  </si>
  <si>
    <t>Woosmap</t>
  </si>
  <si>
    <t>jtrouzin@woosmap.com</t>
  </si>
  <si>
    <t>http://www.linkedin.com/in/jean-thomas-rouzin-9b7983</t>
  </si>
  <si>
    <t>http://www.woosmap.com</t>
  </si>
  <si>
    <t xml:space="preserve">Montpellier, Occitanie, France, 34000</t>
  </si>
  <si>
    <t xml:space="preserve">Enhance digital journeys with Woosmap's easy-to-integrate location APIs, SDKs, and widgets for web and mobile applications.</t>
  </si>
  <si>
    <t>Gall</t>
  </si>
  <si>
    <t>erwan@sahar.fr</t>
  </si>
  <si>
    <t>http://www.linkedin.com/in/erwan-le-gall-9559aa54</t>
  </si>
  <si>
    <t xml:space="preserve">Groupe STADLINE by XPLOR</t>
  </si>
  <si>
    <t>frederic.buisson@stadline.com</t>
  </si>
  <si>
    <t>http://www.linkedin.com/in/frederic-buisson-2bb0099</t>
  </si>
  <si>
    <t>http://www.stadline.com</t>
  </si>
  <si>
    <t xml:space="preserve">Développement informatique sur mesure pour les acteurs du sport et éditeur de logiciels pour les clubs de sport, les clubs de fitness et les fédérations.</t>
  </si>
  <si>
    <t>Cruz</t>
  </si>
  <si>
    <t>ZELIQ</t>
  </si>
  <si>
    <t>guillaumec@getheroes.biz</t>
  </si>
  <si>
    <t>http://www.linkedin.com/in/guillaumecruz</t>
  </si>
  <si>
    <t>http://www.zeliq.com</t>
  </si>
  <si>
    <t>Noiseau</t>
  </si>
  <si>
    <t xml:space="preserve">ZELIQ converts leads into clients with 450+ million contacts, finds emails and phone numbers of prospects, and automates omnichannel outreach sequences.</t>
  </si>
  <si>
    <t>hugo.lafayette@kairntech.com</t>
  </si>
  <si>
    <t>http://www.linkedin.com/in/hugo-lafayette-3b13a0b</t>
  </si>
  <si>
    <t>Marie-Helene</t>
  </si>
  <si>
    <t>Kasperski</t>
  </si>
  <si>
    <t>ClahrisNoveum</t>
  </si>
  <si>
    <t>marie-helene.kasperski@clahrisnoveum.com</t>
  </si>
  <si>
    <t>http://www.linkedin.com/in/marie-helene-kasperski-9a56982</t>
  </si>
  <si>
    <t>http://www.clahrisnoveum.com</t>
  </si>
  <si>
    <t xml:space="preserve">24 Rue de l'Echiquier, Paris, Ile-de-France, France, 75010</t>
  </si>
  <si>
    <t>Boishebert</t>
  </si>
  <si>
    <t xml:space="preserve">CEO - Directeur technique</t>
  </si>
  <si>
    <t>thibault@works-agency.fr</t>
  </si>
  <si>
    <t>http://www.linkedin.com/in/thibault-deschamps</t>
  </si>
  <si>
    <t>Stemmelin</t>
  </si>
  <si>
    <t>Exa</t>
  </si>
  <si>
    <t>mstemmelin@exa.fr</t>
  </si>
  <si>
    <t>http://www.linkedin.com/in/stemmelin-marc-6b4754b4</t>
  </si>
  <si>
    <t>http://www.exa.fr</t>
  </si>
  <si>
    <t xml:space="preserve">10 Rue des Gaudines, Saint-Germain-en-Laye, Ile-de-France, France, 78100</t>
  </si>
  <si>
    <t xml:space="preserve">Nous proposons de gérer votre infrastructure Informatique, de fournir la maintenance nécessaire à vos utilisateurs et d'assurer votre sécurité informatique.</t>
  </si>
  <si>
    <t>Ahmed</t>
  </si>
  <si>
    <t>Becha</t>
  </si>
  <si>
    <t xml:space="preserve">International Five Consulting</t>
  </si>
  <si>
    <t>abecha@five-consulting.com</t>
  </si>
  <si>
    <t>http://www.linkedin.com/in/ahmed-becha-62552971</t>
  </si>
  <si>
    <t>http://www.five-consulting.com</t>
  </si>
  <si>
    <t xml:space="preserve">The future in your hand</t>
  </si>
  <si>
    <t>Natasha</t>
  </si>
  <si>
    <t>Engelric</t>
  </si>
  <si>
    <t>WeLoop</t>
  </si>
  <si>
    <t>natasha.engelric@weloop.io</t>
  </si>
  <si>
    <t>http://www.linkedin.com/in/natasha-engelric</t>
  </si>
  <si>
    <t>http://www.weloop.ai</t>
  </si>
  <si>
    <t xml:space="preserve">80 Rue du Faubourg Saint-Denis, Paris, Ile-de-France, France, 75010</t>
  </si>
  <si>
    <t xml:space="preserve">Optimize your business and IT support with our artificial intelligence. Qualify requests and automatically enrich your knowledge bases!</t>
  </si>
  <si>
    <t>Breton</t>
  </si>
  <si>
    <t>BLOOM</t>
  </si>
  <si>
    <t>b.breton@bloomsocialanalytics.com</t>
  </si>
  <si>
    <t>http://www.linkedin.com/in/bruno-breton-191b8324</t>
  </si>
  <si>
    <t>http://www.bloomsocialanalytics.com</t>
  </si>
  <si>
    <t xml:space="preserve">93 Avenue Charles de Gaulle, Neuilly-sur-Seine, Ile-de-France, France, 92200</t>
  </si>
  <si>
    <t xml:space="preserve">Pour répondre aux enjeux des entreprises, Bloom Social Analytics vous propose une plateforme d'intelligence artificielle, d’analyse profonde et d’anticipation des réseaux sociaux.</t>
  </si>
  <si>
    <t>Mangani</t>
  </si>
  <si>
    <t xml:space="preserve">Directeur général commercial</t>
  </si>
  <si>
    <t>jeanlouis.mangani@neoteem.fr</t>
  </si>
  <si>
    <t>http://www.linkedin.com/in/jean-louis-mangani-75292b88</t>
  </si>
  <si>
    <t>Delattre</t>
  </si>
  <si>
    <t>f.delattre@atdr.fr</t>
  </si>
  <si>
    <t>http://www.linkedin.com/in/frederic-delattre-45a34a53</t>
  </si>
  <si>
    <t>http://www.atdr.fr</t>
  </si>
  <si>
    <t>Boubacar</t>
  </si>
  <si>
    <t>Diallo</t>
  </si>
  <si>
    <t xml:space="preserve">CEO Jamaa &amp; Freelance Ruby on Rails</t>
  </si>
  <si>
    <t>Jamaa</t>
  </si>
  <si>
    <t>boubacar.diallo@afrikatech.com</t>
  </si>
  <si>
    <t>http://www.linkedin.com/in/boubacardiallo</t>
  </si>
  <si>
    <t>http://www.jamaa.co</t>
  </si>
  <si>
    <t>Maruejouls</t>
  </si>
  <si>
    <t>TECHNIC-SOFT</t>
  </si>
  <si>
    <t>smaruejouls@technic-soft.fr</t>
  </si>
  <si>
    <t>http://www.linkedin.com/in/severine-maruejouls-64b6a1303</t>
  </si>
  <si>
    <t>http://www.technic-soft.fr</t>
  </si>
  <si>
    <t xml:space="preserve">Des solutions adaptées à votre métier pour optimiser et digitaliser vos interventions SAV et Maintenance GMAO : Logiciel SAV Maintenance GMAO</t>
  </si>
  <si>
    <t>Holler</t>
  </si>
  <si>
    <t>tobi@myway.technology</t>
  </si>
  <si>
    <t>http://www.linkedin.com/in/tobias-holler-myway-technology</t>
  </si>
  <si>
    <t>Lobkowicz</t>
  </si>
  <si>
    <t xml:space="preserve">Directeur Général France</t>
  </si>
  <si>
    <t>Skipr</t>
  </si>
  <si>
    <t>jan@skipr.co</t>
  </si>
  <si>
    <t>http://www.linkedin.com/in/jandelobkowicz</t>
  </si>
  <si>
    <t>http://www.skipr.co</t>
  </si>
  <si>
    <t xml:space="preserve">We have built a complete yet easy-to-use platform that enables you to integrate every mobility option to your mobility policy.</t>
  </si>
  <si>
    <t>Mariton</t>
  </si>
  <si>
    <t>bm@ikimo.eu</t>
  </si>
  <si>
    <t>http://www.linkedin.com/in/benoit-mariton</t>
  </si>
  <si>
    <t>http://www.ikimo.eu</t>
  </si>
  <si>
    <t xml:space="preserve">179 Voie Atlas, La Ciotat, Provence-Alpes-Cote d'Azur, France, 13600</t>
  </si>
  <si>
    <t xml:space="preserve">Co-fondateur - Agence Webloom - Consultant Google ads (SEA) et SEO</t>
  </si>
  <si>
    <t>webloom</t>
  </si>
  <si>
    <t>clement@webloom.fr</t>
  </si>
  <si>
    <t>http://www.linkedin.com/in/clement-bourdon</t>
  </si>
  <si>
    <t>http://www.webloom.fr</t>
  </si>
  <si>
    <t xml:space="preserve">8 Rue du Caire, Paris, Ile-de-France, France, 75002</t>
  </si>
  <si>
    <t xml:space="preserve">Nous associons les meilleures tactiques d’acquisition en SEO / Google ads pour soutenir votre croissance sur Google. Une approche humaine et transparente.</t>
  </si>
  <si>
    <t>Fremon</t>
  </si>
  <si>
    <t xml:space="preserve">CEO &amp; Partner</t>
  </si>
  <si>
    <t>COSMICDATA</t>
  </si>
  <si>
    <t>s@cosmic-data.io</t>
  </si>
  <si>
    <t>http://www.linkedin.com/in/sebastien-fremon</t>
  </si>
  <si>
    <t>http://www.cosmic-data.io</t>
  </si>
  <si>
    <t xml:space="preserve">Provence-Alpes-Cote d'Azur, France</t>
  </si>
  <si>
    <t xml:space="preserve">Cosmic Data - La social room pour gérer ses établissements</t>
  </si>
  <si>
    <t>Dupeu</t>
  </si>
  <si>
    <t>OÏKO</t>
  </si>
  <si>
    <t>alexandre.dupeu@oiko.eu</t>
  </si>
  <si>
    <t>http://www.linkedin.com/in/alexandredupeu</t>
  </si>
  <si>
    <t>http://www.oiko.eu</t>
  </si>
  <si>
    <t xml:space="preserve">12 Rue du Bouquet de Longchamp, Paris, Ile-de-France, France, 75116</t>
  </si>
  <si>
    <t xml:space="preserve">OÏKO, entreprise innovante, est spécialisée dans l'intégration de technologie dans les intérieurs de prestige. Crestron, Lutron, Vismes.</t>
  </si>
  <si>
    <t xml:space="preserve">CELERIS Informatique</t>
  </si>
  <si>
    <t>raphael.maurice@celeris-informatique.fr</t>
  </si>
  <si>
    <t>http://www.linkedin.com/in/raphael-maurice-9969b88</t>
  </si>
  <si>
    <t>http://www.celeris.fr</t>
  </si>
  <si>
    <t xml:space="preserve">6 Rue de l'Abbe Hazard, Nanterre, Ile-de-France, France, 92000</t>
  </si>
  <si>
    <t xml:space="preserve">Réseaux, PC, serveurs, pour vous,nous bâtissons des solutions "sur mesure", exclusivement à partir des bancs d'essais des produits menés dans notre Tech Center.</t>
  </si>
  <si>
    <t>Bourg</t>
  </si>
  <si>
    <t xml:space="preserve">CTO &amp; cofounder</t>
  </si>
  <si>
    <t>Sline</t>
  </si>
  <si>
    <t>matthias.bourg@sline.io</t>
  </si>
  <si>
    <t>http://www.linkedin.com/in/matthiasbourg</t>
  </si>
  <si>
    <t>http://www.sline.io</t>
  </si>
  <si>
    <t xml:space="preserve">50 Rue La Boetie, Paris, Ile-de-France, France, 75008</t>
  </si>
  <si>
    <t xml:space="preserve">Sline est une solution SaaS agrégeant tous les services nécessaires au lancement d’une offre de location fluide pour les marchands.</t>
  </si>
  <si>
    <t>Cacheux</t>
  </si>
  <si>
    <t>Urbilog</t>
  </si>
  <si>
    <t>p.cacheux@urbilog.fr</t>
  </si>
  <si>
    <t>http://www.linkedin.com/in/paulcacheux</t>
  </si>
  <si>
    <t>http://www.urbilog.com</t>
  </si>
  <si>
    <t xml:space="preserve">31 Rue Papin, Villeneuve-d'Ascq, Hauts-de-France, France, 59650</t>
  </si>
  <si>
    <t xml:space="preserve">Rendez votre site inclusif avec nos services d’accessibilité numérique. Audit, conseils, formations pour une accessibilité optimale.</t>
  </si>
  <si>
    <t>Løvell</t>
  </si>
  <si>
    <t>patrice.wang@lovell-consulting.com</t>
  </si>
  <si>
    <t>http://www.linkedin.com/in/patrice-wang-60a6226</t>
  </si>
  <si>
    <t>Trely</t>
  </si>
  <si>
    <t xml:space="preserve">Président du Conseil d'Administration &amp; Fondateur</t>
  </si>
  <si>
    <t>Apssis</t>
  </si>
  <si>
    <t>vincent.trely@apssis.com</t>
  </si>
  <si>
    <t>http://www.linkedin.com/in/vincent-trely-a136144</t>
  </si>
  <si>
    <t>http://www.apssis.com</t>
  </si>
  <si>
    <t>Duneau</t>
  </si>
  <si>
    <t xml:space="preserve">84 Rue du Luart, Duneau, Pays de la Loire, France, 72160</t>
  </si>
  <si>
    <t xml:space="preserve">Co-founder, COO &amp; CFO</t>
  </si>
  <si>
    <t>Rzilient</t>
  </si>
  <si>
    <t>quentin@rzilient.club</t>
  </si>
  <si>
    <t>http://www.linkedin.com/in/quentin-de-lambert</t>
  </si>
  <si>
    <t>http://www.rzilient.club</t>
  </si>
  <si>
    <t xml:space="preserve">Synchronisez vos ressources humaines et informatiques. Laissez la plateforme rzilient faire le reste.</t>
  </si>
  <si>
    <t>Scohy</t>
  </si>
  <si>
    <t xml:space="preserve">ACTUAL Systèmes</t>
  </si>
  <si>
    <t>j.scohy@actualsystemes.fr</t>
  </si>
  <si>
    <t>http://www.linkedin.com/in/jm-scohy</t>
  </si>
  <si>
    <t>http://www.actualsystemes.com</t>
  </si>
  <si>
    <t xml:space="preserve">Le Haillan</t>
  </si>
  <si>
    <t xml:space="preserve">3 Rue Adrienne Bolland, Le Haillan, Nouvelle-Aquitaine, France, 33185</t>
  </si>
  <si>
    <t>Cadu</t>
  </si>
  <si>
    <t xml:space="preserve">Président STELR</t>
  </si>
  <si>
    <t>STELR</t>
  </si>
  <si>
    <t>boris.cadu@stelr.fr</t>
  </si>
  <si>
    <t>http://www.linkedin.com/in/boris-cadu-8a2581168</t>
  </si>
  <si>
    <t>http://www.stelr.fr</t>
  </si>
  <si>
    <t xml:space="preserve">199 Bureaux de la Colline de St-Cloud, Saint-Cloud, Ile-de-France, France, 92210</t>
  </si>
  <si>
    <t xml:space="preserve">STELR est la structure de conseil IT opérationnel du groupe Constellation, elle accompagne les DG et les DSI dans leur stratégie IT.</t>
  </si>
  <si>
    <t>Destruel</t>
  </si>
  <si>
    <t xml:space="preserve">Vidéo Synergie</t>
  </si>
  <si>
    <t>hugues@videosynergie.com</t>
  </si>
  <si>
    <t>http://www.linkedin.com/in/hugues-destruel-34b33774</t>
  </si>
  <si>
    <t>http://www.videosynergie.com</t>
  </si>
  <si>
    <t xml:space="preserve">9 Rue du Grand Dome, Villebon-sur-Yvette, Ile-de-France, France, 91140</t>
  </si>
  <si>
    <t>Lesage</t>
  </si>
  <si>
    <t xml:space="preserve">Digital Garden Agence web</t>
  </si>
  <si>
    <t>xlesage@digitalgarden.fr</t>
  </si>
  <si>
    <t>http://www.linkedin.com/in/xlesage</t>
  </si>
  <si>
    <t>http://www.digitalgarden.fr</t>
  </si>
  <si>
    <t xml:space="preserve">2 Rue Eugene Varlin, Nantes, Pays de la Loire, France, 44100</t>
  </si>
  <si>
    <t xml:space="preserve">Choisissez Digital Garden, agence conseil qui vous accompagne pour construire votre croissance digitale. Retrouvez, chez nous, l'ensemble des compétences et expertises (stratégie, dev, UX, SEO SEA, Analytics). Développons ensemble votre performance marketing digitale</t>
  </si>
  <si>
    <t>Pondaven</t>
  </si>
  <si>
    <t xml:space="preserve">Directeur Général chez Cadwork-04</t>
  </si>
  <si>
    <t>Cadwork-04</t>
  </si>
  <si>
    <t>pondaven@cadwork-04.ch</t>
  </si>
  <si>
    <t>http://www.linkedin.com/in/cyrille-pondaven-866359146</t>
  </si>
  <si>
    <t>http://www.cadwork.ca</t>
  </si>
  <si>
    <t xml:space="preserve">Cadwork CAD/CAM software for timber construction.</t>
  </si>
  <si>
    <t>Kosowski</t>
  </si>
  <si>
    <t xml:space="preserve">Co-founder, CPO</t>
  </si>
  <si>
    <t>adrian@pathway.com</t>
  </si>
  <si>
    <t>http://www.linkedin.com/in/kosowski</t>
  </si>
  <si>
    <t>Amardeilh</t>
  </si>
  <si>
    <t xml:space="preserve">CEO - Innovation &amp; Knowledge IA</t>
  </si>
  <si>
    <t>florence.amardeilh@elzeard.co</t>
  </si>
  <si>
    <t>http://www.linkedin.com/in/florence-amardeilh-1466781</t>
  </si>
  <si>
    <t>Rochefort</t>
  </si>
  <si>
    <t xml:space="preserve">Directeur général INFOELSA - Groupe DL Software</t>
  </si>
  <si>
    <t>Infoelsa</t>
  </si>
  <si>
    <t>frederic.rochefort@infoelsa.com</t>
  </si>
  <si>
    <t>http://www.linkedin.com/in/rochefort-frederic-575b326a</t>
  </si>
  <si>
    <t>http://www.infoelsa.com</t>
  </si>
  <si>
    <t>Belgrand</t>
  </si>
  <si>
    <t xml:space="preserve">Directeur général - Cofondateur</t>
  </si>
  <si>
    <t>Vicinity</t>
  </si>
  <si>
    <t>cbelgrand@vicinity-group.fr</t>
  </si>
  <si>
    <t>http://www.linkedin.com/in/cl%c3%a9ment-belgrand-23211866</t>
  </si>
  <si>
    <t>http://www.vicinity-group.fr</t>
  </si>
  <si>
    <t xml:space="preserve">Vicinity se positionne comme un acteur indépendant du conseil en ingénierie et en IT dans la région lyonnaise avec une double ambition : la satisfaction client et consultant.
​</t>
  </si>
  <si>
    <t>Clay</t>
  </si>
  <si>
    <t xml:space="preserve">Co-fondateur // Expert Web et Mobile</t>
  </si>
  <si>
    <t>JoliCode</t>
  </si>
  <si>
    <t>bclay@jolicode.com</t>
  </si>
  <si>
    <t>http://www.linkedin.com/in/benjaminclay</t>
  </si>
  <si>
    <t>http://www.jolicode.com</t>
  </si>
  <si>
    <t xml:space="preserve">18 Avenue Parmentier, Paris, Ile-de-France, France, 75011</t>
  </si>
  <si>
    <t xml:space="preserve">Agence experte dans la réalisation de projets Web et mobiles de qualité.</t>
  </si>
  <si>
    <t>Dantan</t>
  </si>
  <si>
    <t>odantan@atelier-av.net</t>
  </si>
  <si>
    <t>http://www.linkedin.com/in/olivier-dantan-800a7236</t>
  </si>
  <si>
    <t>Firas</t>
  </si>
  <si>
    <t>Mkaouar</t>
  </si>
  <si>
    <t>Creativas</t>
  </si>
  <si>
    <t>firas.mkaouar@creativas.io</t>
  </si>
  <si>
    <t>http://www.linkedin.com/in/firas-mkaouar-7267aa9</t>
  </si>
  <si>
    <t>http://www.creativas.io</t>
  </si>
  <si>
    <t xml:space="preserve">We build the simplest tools to help people collaborate and share experience. We truly believe that providing easy-to-use apps will contribute to successful transformations.</t>
  </si>
  <si>
    <t>Pasquale</t>
  </si>
  <si>
    <t>Puzio</t>
  </si>
  <si>
    <t>FantaMaster</t>
  </si>
  <si>
    <t>pasquale@digitalgoal.io</t>
  </si>
  <si>
    <t>http://www.linkedin.com/in/pasqualepuzio</t>
  </si>
  <si>
    <t>http://www.fantamaster.it</t>
  </si>
  <si>
    <t xml:space="preserve">Birkirkara, Malta, BKR</t>
  </si>
  <si>
    <t>Malta</t>
  </si>
  <si>
    <t xml:space="preserve">Su FantaMaster trovi Tutto ciò che ti serve per il tuo Fantacalcio. App per le Leghe, Consigli Fantacalcio sempre Aggiornati, Voti e Probabili...Entra!</t>
  </si>
  <si>
    <t>Corby</t>
  </si>
  <si>
    <t>thibault.corby@twyce.fr</t>
  </si>
  <si>
    <t>http://www.linkedin.com/in/thibault-corby-43b88458</t>
  </si>
  <si>
    <t>Mario</t>
  </si>
  <si>
    <t>Zannou</t>
  </si>
  <si>
    <t>Uptimise</t>
  </si>
  <si>
    <t>mario.zannou@uptimise.io</t>
  </si>
  <si>
    <t>http://www.linkedin.com/in/mario-zannou-b1592766</t>
  </si>
  <si>
    <t>http://www.uptimise.io</t>
  </si>
  <si>
    <t xml:space="preserve">Cotonou, Littoral Department, Benin</t>
  </si>
  <si>
    <t>Benin</t>
  </si>
  <si>
    <t>Voisin</t>
  </si>
  <si>
    <t>svoisin@noop.fr</t>
  </si>
  <si>
    <t>http://www.linkedin.com/in/sophie-voisin-2296241b</t>
  </si>
  <si>
    <t xml:space="preserve">🌍Hoping to help create a sustainable future for the furniture and textile industries 🌍 - Co-founder</t>
  </si>
  <si>
    <t>michel.richard@waro.io</t>
  </si>
  <si>
    <t>http://www.linkedin.com/in/michel-richard-021995174</t>
  </si>
  <si>
    <t>Meryem</t>
  </si>
  <si>
    <t>Lebbar</t>
  </si>
  <si>
    <t xml:space="preserve">Co-founder Weepo - Business Manager</t>
  </si>
  <si>
    <t>WEEPO</t>
  </si>
  <si>
    <t>meryem@weepo.fr</t>
  </si>
  <si>
    <t>http://www.linkedin.com/in/meryem-lebbar-890aa7161</t>
  </si>
  <si>
    <t>http://www.weepo.fr</t>
  </si>
  <si>
    <t xml:space="preserve">22 Rue de la Pepiniere, Paris, Ile-de-France, France, 75008</t>
  </si>
  <si>
    <t xml:space="preserve">Seeking autonomy? WEEPO, a wage portage company, offers you a 100% digitalized experience, freeing you from all administrative constraints!</t>
  </si>
  <si>
    <t>Cliquot</t>
  </si>
  <si>
    <t xml:space="preserve">Alpha 3 Informatique</t>
  </si>
  <si>
    <t>loic.cliquot@alpha3.fr</t>
  </si>
  <si>
    <t>http://www.linkedin.com/in/lo%c3%afc-cliquot-584249aa</t>
  </si>
  <si>
    <t>http://www.alpha3.fr</t>
  </si>
  <si>
    <t xml:space="preserve">78 Avenue de Laon, Soissons, Hauts-de-France, France, 02200</t>
  </si>
  <si>
    <t xml:space="preserve">Prestataire de solutions informatiques depuis plus de 25 ans, nous mettons à votre disposition notre savoir-faire dans la réalisation de vos projets</t>
  </si>
  <si>
    <t>Cazenave</t>
  </si>
  <si>
    <t>guillaume.cazenave@two-i.fr</t>
  </si>
  <si>
    <t>http://www.linkedin.com/in/cazenagu</t>
  </si>
  <si>
    <t>Duchaussoy</t>
  </si>
  <si>
    <t>fleetenergies™</t>
  </si>
  <si>
    <t>n.duchaussoy@alertgasoil.com</t>
  </si>
  <si>
    <t>http://www.linkedin.com/in/nelly-duchaussoy-091586230</t>
  </si>
  <si>
    <t>http://www.fleetenergies.io</t>
  </si>
  <si>
    <t xml:space="preserve">62 Boulevard Lazer, Marseille, Provence-Alpes-Cote d'Azur, France, 13010</t>
  </si>
  <si>
    <t>Romano</t>
  </si>
  <si>
    <t xml:space="preserve">Co-founder &amp; CPO</t>
  </si>
  <si>
    <t>Vocads</t>
  </si>
  <si>
    <t>anthony.romano@vocads.com</t>
  </si>
  <si>
    <t>http://www.linkedin.com/in/anthony-romano-14397542</t>
  </si>
  <si>
    <t>http://www.vocads.com</t>
  </si>
  <si>
    <t>Pavageau</t>
  </si>
  <si>
    <t xml:space="preserve">Lifelines Logistics Intelligence</t>
  </si>
  <si>
    <t>marc.pavageau@lifelines-li.eu</t>
  </si>
  <si>
    <t>http://www.linkedin.com/in/marc-pavageau-15715016</t>
  </si>
  <si>
    <t>http://www.lifelines-li.eu</t>
  </si>
  <si>
    <t xml:space="preserve">Améliorer les soinset optimiservotre logistique. Automatiser et fluidifier le transport de produits de santé et de tous produits logistiques grâce à l' ...</t>
  </si>
  <si>
    <t>Qivia</t>
  </si>
  <si>
    <t>t.rossi@qivia.fr</t>
  </si>
  <si>
    <t>http://www.linkedin.com/in/thibault-rossi-599b6a115</t>
  </si>
  <si>
    <t>http://www.qivia.fr</t>
  </si>
  <si>
    <t>Correard</t>
  </si>
  <si>
    <t>mcorreard@diagrams-technologies.com</t>
  </si>
  <si>
    <t>http://www.linkedin.com/in/margot-corr%c3%a9ard-51838157</t>
  </si>
  <si>
    <t>Servage</t>
  </si>
  <si>
    <t>Orsenna</t>
  </si>
  <si>
    <t>nservage@orsenna.fr</t>
  </si>
  <si>
    <t>http://www.linkedin.com/in/nicolas-servage-253871b</t>
  </si>
  <si>
    <t>http://www.orsenna.fr</t>
  </si>
  <si>
    <t xml:space="preserve">Les Ulis</t>
  </si>
  <si>
    <t xml:space="preserve">15 Rue Croix Castel, Maisons-Laffitte, Ile-de-France, France, 78600</t>
  </si>
  <si>
    <t xml:space="preserve">Orsenna est un intégrateur &amp; Expert Supervision. Orsenna propose ses compétences supervision dans le cadre d'intégration de solutions et de services (formation, audit, customisation,...). Orsenna est reconnue par les principaux éditeurs du marché supervision.</t>
  </si>
  <si>
    <t>Mohammed</t>
  </si>
  <si>
    <t>Belghiti</t>
  </si>
  <si>
    <t>Crealo</t>
  </si>
  <si>
    <t>mohammed@crealo.app</t>
  </si>
  <si>
    <t>http://www.linkedin.com/in/mohammed-belghiti-593a9449</t>
  </si>
  <si>
    <t>http://www.crealo.app</t>
  </si>
  <si>
    <t xml:space="preserve">5 Villa Emile Bergerat, Neuilly-sur-Seine, Ile-de-France, France, 92200</t>
  </si>
  <si>
    <t xml:space="preserve">Extraction automatique des états de vente. Calcul automatique des droits et génération des relevés associés. Gestion centralisée de tous vos contrats. Échanges fluides avec vos bénéficiaires à travers des pages dédiées. Rapprochement comptable facilité.</t>
  </si>
  <si>
    <t>Louis-Philippe</t>
  </si>
  <si>
    <t xml:space="preserve">Directeur Général Délégué - Associé</t>
  </si>
  <si>
    <t xml:space="preserve">Resolving official</t>
  </si>
  <si>
    <t>marc@rred.com</t>
  </si>
  <si>
    <t>http://www.linkedin.com/in/marc-louis-philippe-5b927b96</t>
  </si>
  <si>
    <t>Guillerez</t>
  </si>
  <si>
    <t xml:space="preserve">Co-founder &amp; Partner - Ivalua Product Expert</t>
  </si>
  <si>
    <t>nicolas.guillerez@cyrias.com</t>
  </si>
  <si>
    <t>http://www.linkedin.com/in/nicolas-guillerez-7378292b</t>
  </si>
  <si>
    <t>Cathelineau</t>
  </si>
  <si>
    <t xml:space="preserve">INTECH Solution Globale</t>
  </si>
  <si>
    <t>ecathelineau@intech.fr</t>
  </si>
  <si>
    <t>http://www.linkedin.com/in/cathelineau-eric-b5589698</t>
  </si>
  <si>
    <t>http://www.intech.fr</t>
  </si>
  <si>
    <t xml:space="preserve">6 Rue Roger Salengro, Fontenay-sous-Bois, Ile-de-France, France, 94120</t>
  </si>
  <si>
    <t xml:space="preserve">Fondée en 1979, Intech est née de l’envie d’accompagner les entreprises utilisatrices de solutions de CAO/DAO dans la mise en place de solutions globales afin de les libérer des contraintes liées à l’informatique et à l’appréhension des outils propres à leur activité.</t>
  </si>
  <si>
    <t>Coindeau</t>
  </si>
  <si>
    <t xml:space="preserve">Directrice Générale Associée</t>
  </si>
  <si>
    <t>magali.coindeau@statera-corp.com</t>
  </si>
  <si>
    <t>http://www.linkedin.com/in/magali-coindeau-6358b251</t>
  </si>
  <si>
    <t xml:space="preserve">E-3S European SAN STORAGE SERVICES</t>
  </si>
  <si>
    <t>pierre.vidal@e-3s.com</t>
  </si>
  <si>
    <t>http://www.linkedin.com/in/pierrevidal</t>
  </si>
  <si>
    <t>http://www.e-3s.com</t>
  </si>
  <si>
    <t xml:space="preserve">26 Quai de Tounis, Toulouse, Occitanie, France, 31000</t>
  </si>
  <si>
    <t xml:space="preserve">Fondateur &amp; Dirigeant</t>
  </si>
  <si>
    <t>L'Atout</t>
  </si>
  <si>
    <t>clb@latout.app</t>
  </si>
  <si>
    <t>http://www.linkedin.com/in/c%c3%a9dric-leblanc-87385824</t>
  </si>
  <si>
    <t>http://www.latout.app</t>
  </si>
  <si>
    <t xml:space="preserve">33 Avenue du Maine, Paris, Ile-de-France, France, 75015</t>
  </si>
  <si>
    <t xml:space="preserve">Valorisez vos Avantages collaborateurs.</t>
  </si>
  <si>
    <t>Geoflex</t>
  </si>
  <si>
    <t>romain.legros@geoflex.fr</t>
  </si>
  <si>
    <t>http://www.linkedin.com/in/romain-legros-3b384111b</t>
  </si>
  <si>
    <t>http://www.geoflex.xyz</t>
  </si>
  <si>
    <t xml:space="preserve">Geoflex is a cutting edge cloud service operator enhancing GPS/GNSS based applications to 4 centimeters positioning on land, at sea and in the air. Geoflex provides universal hypergeolocation to trains, cars, vessels, drones, smartphones and more, working with the leading worldwide players in these markets.</t>
  </si>
  <si>
    <t>Lion</t>
  </si>
  <si>
    <t>sylvain.lion@compozit.fr</t>
  </si>
  <si>
    <t>http://www.linkedin.com/in/redsun7</t>
  </si>
  <si>
    <t>Pelmoine</t>
  </si>
  <si>
    <t xml:space="preserve">CEO - Externalisation de développeurs web et mobile au Maroc</t>
  </si>
  <si>
    <t>Flow</t>
  </si>
  <si>
    <t>erwan@flowdigitalstudio.com</t>
  </si>
  <si>
    <t>http://www.linkedin.com/in/erwan-pelmoine</t>
  </si>
  <si>
    <t>http://www.flowdigitalstudio.com</t>
  </si>
  <si>
    <t xml:space="preserve">Rabat, Rabat-Sale-Kenitra, Morocco</t>
  </si>
  <si>
    <t>Baldini</t>
  </si>
  <si>
    <t>DAZZM</t>
  </si>
  <si>
    <t>jbaldini@dazzm.com</t>
  </si>
  <si>
    <t>http://www.linkedin.com/in/j%c3%a9r%c3%b4me-baldini-5a88a438</t>
  </si>
  <si>
    <t>http://www.dazzm.com</t>
  </si>
  <si>
    <t xml:space="preserve">DAZZM empowers people with the freedom to transform every opportunity and creative idea into beautiful, engaging enterprise applications.</t>
  </si>
  <si>
    <t>Toussaint</t>
  </si>
  <si>
    <t xml:space="preserve">MEDIA IMMO</t>
  </si>
  <si>
    <t>vincent.toussaint@media-immo.fr</t>
  </si>
  <si>
    <t>http://www.linkedin.com/in/vincent-toussaint-8a85567</t>
  </si>
  <si>
    <t>http://www.media-immo.fr</t>
  </si>
  <si>
    <t xml:space="preserve">Corbeil-Essonnes, Ile-de-France, France, 91100</t>
  </si>
  <si>
    <t xml:space="preserve">Développement multimédias - La société MEDIA IMMO est spécialisé dans la génération d'Etats des Risques et Pollutions (ERP)</t>
  </si>
  <si>
    <t>Pustoc'h</t>
  </si>
  <si>
    <t xml:space="preserve">Co-Fondateur de la Société ITINOV | Société de Conseil en IT</t>
  </si>
  <si>
    <t>ITINOV</t>
  </si>
  <si>
    <t>joris.pustoch@itinov.fr</t>
  </si>
  <si>
    <t>http://www.linkedin.com/in/joris-pustoc-h-a934688b</t>
  </si>
  <si>
    <t>http://www.itinov.fr</t>
  </si>
  <si>
    <t xml:space="preserve">Société de conseil digital, ITINOV vous propose l'expertise de ses consultants afin d’accompagner vos enjeux techniques et IT.</t>
  </si>
  <si>
    <t>Maissa</t>
  </si>
  <si>
    <t>SIGEC</t>
  </si>
  <si>
    <t>alain.maissa@sigec.fr</t>
  </si>
  <si>
    <t>http://www.linkedin.com/in/alain-maissa-77b51462</t>
  </si>
  <si>
    <t>http://www.sigec.fr</t>
  </si>
  <si>
    <t xml:space="preserve">Lotissement Le Clos Fleuri, Aubagne, Provence-Alpes-Cote d'Azur, France, 13400</t>
  </si>
  <si>
    <t>Gille</t>
  </si>
  <si>
    <t>co-founder</t>
  </si>
  <si>
    <t>Hyvilo</t>
  </si>
  <si>
    <t>gregory.gille@hyvilo.fr</t>
  </si>
  <si>
    <t>http://www.linkedin.com/in/gregory-gille</t>
  </si>
  <si>
    <t>http://www.hyvilo.eu</t>
  </si>
  <si>
    <t xml:space="preserve">Besancon, Bourgogne-Franche-Comte, France, 25000</t>
  </si>
  <si>
    <t xml:space="preserve">L'excellence opérationnelle libérée par  la coordination en temps réel de toutes vos opérations</t>
  </si>
  <si>
    <t>Toporkoff</t>
  </si>
  <si>
    <t xml:space="preserve">Founder &amp; Partner Items International / President Global Forum/ Shaping the Future, IEE</t>
  </si>
  <si>
    <t xml:space="preserve">Items International</t>
  </si>
  <si>
    <t>stoporkoff@items-int.eu</t>
  </si>
  <si>
    <t>http://www.linkedin.com/in/sylviane-toporkoff-2bb51a7</t>
  </si>
  <si>
    <t>http://www.items.fr</t>
  </si>
  <si>
    <t xml:space="preserve">70 Rue Amelot, Paris, Ile-de-France, France, 75011</t>
  </si>
  <si>
    <t xml:space="preserve">Strategic consulting, digital innovation, Marketing Consulting, Smart Cities, Smart energy, digital infrastructures, digital applications, digital culture, big</t>
  </si>
  <si>
    <t>Granie</t>
  </si>
  <si>
    <t>thibault.granie@kwarto.immo</t>
  </si>
  <si>
    <t>http://www.linkedin.com/in/tgranie</t>
  </si>
  <si>
    <t>Carrie</t>
  </si>
  <si>
    <t>thomas@rubyx.io</t>
  </si>
  <si>
    <t>http://www.linkedin.com/in/thomas-carri%c3%a9-8a615957</t>
  </si>
  <si>
    <t>Lassus</t>
  </si>
  <si>
    <t>Primo</t>
  </si>
  <si>
    <t>gaetan.delassus@getprimo.com</t>
  </si>
  <si>
    <t>http://www.linkedin.com/in/ga%c3%a9tan-de-lassus-516b9a188</t>
  </si>
  <si>
    <t>http://www.getprimo.com</t>
  </si>
  <si>
    <t xml:space="preserve">Primo is the first all-in-one platform helping you buy, track, remotely manage and secure your devices. Get Primo for free and upgrade to our MDM once ready.</t>
  </si>
  <si>
    <t>Breslavtzev</t>
  </si>
  <si>
    <t xml:space="preserve">Co-fondateur / Directeur associé Statera CIB</t>
  </si>
  <si>
    <t>philippe.breslavtzev@statera-corp.com</t>
  </si>
  <si>
    <t>http://www.linkedin.com/in/philippe-breslavtzev-b423a4a3</t>
  </si>
  <si>
    <t>Amele</t>
  </si>
  <si>
    <t>Lamrous</t>
  </si>
  <si>
    <t xml:space="preserve">Directrice Générale &amp; Associée fondatrice NEOBUY</t>
  </si>
  <si>
    <t>Neobuy</t>
  </si>
  <si>
    <t>amele.lamrous@neobuy.fr</t>
  </si>
  <si>
    <t>http://www.linkedin.com/in/am%c3%a8le-lamrous-5b387150</t>
  </si>
  <si>
    <t>http://www.neobuy.fr</t>
  </si>
  <si>
    <t xml:space="preserve">8 Rue Euler, Paris, Ile-de-France, France, 75008</t>
  </si>
  <si>
    <t xml:space="preserve">Cabinet de conseil, spécialiste de la Transformation des Achats (Tech et Digital), expert en Digitalisation, Performance et Organisation</t>
  </si>
  <si>
    <t>unique.paris</t>
  </si>
  <si>
    <t>pblanc@unique.paris</t>
  </si>
  <si>
    <t>http://www.linkedin.com/in/philippe-blanc-8056b516</t>
  </si>
  <si>
    <t>http://www.unique.paris</t>
  </si>
  <si>
    <t xml:space="preserve">33 Rue d'Hauteville, Paris, Ile-de-France, France, 75010</t>
  </si>
  <si>
    <t xml:space="preserve">Agence e-commerce &amp; omnicanalité certifiée Shopify Plus Partner : Conseil, Design, Développement, Contenus &amp; Webmarketing.</t>
  </si>
  <si>
    <t>Caritey</t>
  </si>
  <si>
    <t>akawan</t>
  </si>
  <si>
    <t>c.caritey@akawan.fr</t>
  </si>
  <si>
    <t>http://www.linkedin.com/in/cyril-caritey-6652661</t>
  </si>
  <si>
    <t>http://www.akawan.com</t>
  </si>
  <si>
    <t xml:space="preserve">16 Rue Arnaud Vidal, Toulouse, Occitanie, France, 31000</t>
  </si>
  <si>
    <t>Gerbaud-Morlaes</t>
  </si>
  <si>
    <t xml:space="preserve">President - Founder</t>
  </si>
  <si>
    <t>BoatOn</t>
  </si>
  <si>
    <t>bertrand@boaton.fr</t>
  </si>
  <si>
    <t>http://www.linkedin.com/in/bertrand-gerbaud-morla%c3%abs-58114618</t>
  </si>
  <si>
    <t>http://www.boaton.fr</t>
  </si>
  <si>
    <t xml:space="preserve">80 Rue de Saint-Genes, Bordeaux, Nouvelle-Aquitaine, France, 33000</t>
  </si>
  <si>
    <t>Blondeau</t>
  </si>
  <si>
    <t>Klaxo</t>
  </si>
  <si>
    <t>thomas@klaxo.fr</t>
  </si>
  <si>
    <t>http://www.linkedin.com/in/thomas-blondeau-73670976</t>
  </si>
  <si>
    <t>http://www.klaxo.fr</t>
  </si>
  <si>
    <t xml:space="preserve">Optimisez la gestion de votre auto-école avec le logiciel tout-en-un Klaxo. Simplifiez planning, suivi, et réservations pour plus d'efficacité.</t>
  </si>
  <si>
    <t>Azar</t>
  </si>
  <si>
    <t xml:space="preserve">Founder &amp; Chief Operating Officer</t>
  </si>
  <si>
    <t>Tilkal</t>
  </si>
  <si>
    <t>joseph.azar@tilkal.com</t>
  </si>
  <si>
    <t>http://www.linkedin.com/in/joseph-azar</t>
  </si>
  <si>
    <t>http://www.tilkal.com</t>
  </si>
  <si>
    <t xml:space="preserve">91 Boulevard de Sebastopol, Paris, Ile-de-France, France, 75002</t>
  </si>
  <si>
    <t xml:space="preserve">Tilkal is the Leading Supply Chain Traceability &amp; Transparency Platform - Digital product passports, full due diligence and non-financial reporting.</t>
  </si>
  <si>
    <t>Dif</t>
  </si>
  <si>
    <t>Impakt.io</t>
  </si>
  <si>
    <t>baptiste.dif@impakt.io</t>
  </si>
  <si>
    <t>http://www.linkedin.com/in/baptistedif</t>
  </si>
  <si>
    <t>http://www.ekyo.app</t>
  </si>
  <si>
    <t xml:space="preserve">Saint-Cloud, Ile-de-France, France</t>
  </si>
  <si>
    <t xml:space="preserve">Découvrez la Suite Ekyo, les logiciels pour piloter la performance ESG, optimiser son impact et se conformer à la CSRD et au Bilan Carbone.</t>
  </si>
  <si>
    <t>Golem.ai</t>
  </si>
  <si>
    <t>guillaume@golem.ai</t>
  </si>
  <si>
    <t>http://www.linkedin.com/in/guillaume-navarre</t>
  </si>
  <si>
    <t>http://www.golem.ai</t>
  </si>
  <si>
    <t xml:space="preserve">19 Rue Poissonniere, Paris, Ile-de-France, France, 75002</t>
  </si>
  <si>
    <t xml:space="preserve">Accélérez le traitement de vos messages et de leurs pièces jointes grâce à une IA frugale, transparente, prédictible, et performante.</t>
  </si>
  <si>
    <t>L'ecolier</t>
  </si>
  <si>
    <t>alecolier@bewizyu.com</t>
  </si>
  <si>
    <t>http://www.linkedin.com/in/antonin-l-ecolier-4b71783b</t>
  </si>
  <si>
    <t>http://www.bewizyu.com</t>
  </si>
  <si>
    <t xml:space="preserve">16 Quai Ernest Renaud, Nantes, Pays de la Loire, France, 44100</t>
  </si>
  <si>
    <t>Roussille</t>
  </si>
  <si>
    <t>Trustfolio</t>
  </si>
  <si>
    <t>edgar@trustfolio.co</t>
  </si>
  <si>
    <t>http://www.linkedin.com/in/edgarroussille</t>
  </si>
  <si>
    <t>http://www.trustfolio.co</t>
  </si>
  <si>
    <t xml:space="preserve">Trustfolio vous aide à trouver vos prochains prestataires de service sur la base de leurs avis clients.</t>
  </si>
  <si>
    <t>Tomasi</t>
  </si>
  <si>
    <t xml:space="preserve">Co founder &amp; Lead developer</t>
  </si>
  <si>
    <t xml:space="preserve">Netkin 🚀 L'innovation au service des organisateurs d'évents présentiel hybride ou 100% distanciel</t>
  </si>
  <si>
    <t>jeremy@netkin.fr</t>
  </si>
  <si>
    <t>http://www.linkedin.com/in/jeremy-tomasi-007a39a2</t>
  </si>
  <si>
    <t>Mihelic</t>
  </si>
  <si>
    <t xml:space="preserve">Creative Director &amp; CEO</t>
  </si>
  <si>
    <t>phil@66origin.com</t>
  </si>
  <si>
    <t>http://www.linkedin.com/in/philippe-mihelic-8a0ab52</t>
  </si>
  <si>
    <t>Crespy</t>
  </si>
  <si>
    <t>fxhash</t>
  </si>
  <si>
    <t>ciphrd@fxhash.xyz</t>
  </si>
  <si>
    <t>http://www.linkedin.com/in/baptiste-crespy-879304a5</t>
  </si>
  <si>
    <t>http://www.fxhash.xyz</t>
  </si>
  <si>
    <t xml:space="preserve">The open platform for artists and collectors to live out their passion for generative art.</t>
  </si>
  <si>
    <t>Delporte</t>
  </si>
  <si>
    <t xml:space="preserve">TORKEN SAS</t>
  </si>
  <si>
    <t>loic.delporte@torken.com</t>
  </si>
  <si>
    <t>http://www.linkedin.com/in/lo%c3%afc-delporte-b3b7331</t>
  </si>
  <si>
    <t>http://www.torken.com</t>
  </si>
  <si>
    <t xml:space="preserve">Torken est votre partenaire projet sur les métiers de l'Assurance, de la Banque et du Crédit. Expertises métiers et Solutions.</t>
  </si>
  <si>
    <t>Sohet</t>
  </si>
  <si>
    <t>Kiosk</t>
  </si>
  <si>
    <t>thomas@kiosk.so</t>
  </si>
  <si>
    <t>http://www.linkedin.com/in/thomas-sohet-5291a868</t>
  </si>
  <si>
    <t>http://www.kiosk.so</t>
  </si>
  <si>
    <t xml:space="preserve">Use Kiosk to leverage WhatsApp at scale, build meaningful relationships with clients and grow your business.</t>
  </si>
  <si>
    <t>Aldebaran</t>
  </si>
  <si>
    <t>Armendariz</t>
  </si>
  <si>
    <t>Emendu</t>
  </si>
  <si>
    <t>aldebaran@emendu.com</t>
  </si>
  <si>
    <t>http://www.linkedin.com/in/aldebaranbermell</t>
  </si>
  <si>
    <t>http://www.emendu.com</t>
  </si>
  <si>
    <t xml:space="preserve">1 Calle Ribera, Valencia, Valencian Community, Spain, 46002</t>
  </si>
  <si>
    <t xml:space="preserve">El renting tecnológico para empresas más flexible del mercado. Accede a los últimos dispositivos sin inversión inicial ni ataduras, beneficiándote de las ventajas fiscales.</t>
  </si>
  <si>
    <t>Juli</t>
  </si>
  <si>
    <t xml:space="preserve">Salamandre solutions logicielles</t>
  </si>
  <si>
    <t>r.juli@salamandre.tm.fr</t>
  </si>
  <si>
    <t>http://www.linkedin.com/in/raphaeljuli</t>
  </si>
  <si>
    <t>http://www.salamandre.tm.fr</t>
  </si>
  <si>
    <t xml:space="preserve">174 Avenue des Minimes, Toulouse, Occitanie, France, 31200</t>
  </si>
  <si>
    <t xml:space="preserve">Depuis plus de 20 ans, Salamandre développe des solutions logicielles certifiées NF pour les professionnels de la Restauration Collective.</t>
  </si>
  <si>
    <t>Pablo</t>
  </si>
  <si>
    <t xml:space="preserve">Co-Founder &amp; Core Contributor</t>
  </si>
  <si>
    <t xml:space="preserve">Angle Labs</t>
  </si>
  <si>
    <t>pveyrat@angle.money</t>
  </si>
  <si>
    <t>http://www.linkedin.com/in/pablo-veyrat-5a6a84130</t>
  </si>
  <si>
    <t>http://www.angle.money</t>
  </si>
  <si>
    <t xml:space="preserve">Menlo Park, California, United States, 94025</t>
  </si>
  <si>
    <t xml:space="preserve">Angle offers secure &amp; decentralized stablecoins that generate yield for users, accessible to everyone.</t>
  </si>
  <si>
    <t xml:space="preserve">Directeur Général/Fondateur de DELOREN Consulting</t>
  </si>
  <si>
    <t xml:space="preserve">Deloren Consulting</t>
  </si>
  <si>
    <t>anabet@deloren.fr</t>
  </si>
  <si>
    <t>http://www.linkedin.com/in/alain-nabet-b3873428</t>
  </si>
  <si>
    <t>http://www.deloren.fr</t>
  </si>
  <si>
    <t xml:space="preserve">15 Rue Eugene Flachat, Paris, Ile-de-France, France, 75017</t>
  </si>
  <si>
    <t xml:space="preserve">Nos experts et consultants développent des offres performantes pour vous aider à vous adapter à un environnement de plus en plus complexe.</t>
  </si>
  <si>
    <t>Amet</t>
  </si>
  <si>
    <t xml:space="preserve">Amalthea FS</t>
  </si>
  <si>
    <t>sebastien.amet@amaltheafs.com</t>
  </si>
  <si>
    <t>http://www.linkedin.com/in/sebastien-amet-215b732</t>
  </si>
  <si>
    <t>http://www.amaltheafs.com</t>
  </si>
  <si>
    <t xml:space="preserve">7 Rue Benjamin Franklin, Paris, Ile-de-France, France, 75116</t>
  </si>
  <si>
    <t>Bertin</t>
  </si>
  <si>
    <t>OptiMarché</t>
  </si>
  <si>
    <t>nicolas.bertin@opti-marche.com</t>
  </si>
  <si>
    <t>http://www.linkedin.com/in/nicolas-bertin-47556b94</t>
  </si>
  <si>
    <t>http://www.opti-marche.com</t>
  </si>
  <si>
    <t xml:space="preserve">Gestion optimisée de vos établissements de restauration collective : appels d'offres, approvisionnement, gestion de stocks, et bien plus... avec OptiMarché.</t>
  </si>
  <si>
    <t>Barroux</t>
  </si>
  <si>
    <t>alex@bonx.tech</t>
  </si>
  <si>
    <t>http://www.linkedin.com/in/manufacturing40</t>
  </si>
  <si>
    <t>Waruna</t>
  </si>
  <si>
    <t>Delacroix</t>
  </si>
  <si>
    <t xml:space="preserve">Co Fondateur - Directeur Commercial IT BUBBLY BZH</t>
  </si>
  <si>
    <t xml:space="preserve">IT BUBBLY</t>
  </si>
  <si>
    <t>wdelacroix@itbubbly.bzh</t>
  </si>
  <si>
    <t>http://www.linkedin.com/in/waruna-delacroix-752baa114</t>
  </si>
  <si>
    <t>http://www.itbubbly.com</t>
  </si>
  <si>
    <t xml:space="preserve">52 Rue Marius Aufan, Levallois-Perret, Ile-de-France, France, 92300</t>
  </si>
  <si>
    <t>Attia</t>
  </si>
  <si>
    <t xml:space="preserve">CTO and founder</t>
  </si>
  <si>
    <t>RedSol</t>
  </si>
  <si>
    <t>alexandre.attia@redsol.fr</t>
  </si>
  <si>
    <t>http://www.linkedin.com/in/alexandreattia</t>
  </si>
  <si>
    <t>http://www.redsol.fr</t>
  </si>
  <si>
    <t>Bievres</t>
  </si>
  <si>
    <t xml:space="preserve">3 Rue Gustave Eiffel, Poissy, Ile-de-France, France, 78300</t>
  </si>
  <si>
    <t xml:space="preserve">Les services de REDSOL vous apportent le support nécessaire pour concevoir, exploiter et déployer vos projets B2B dans le respect de votre stratégie IT</t>
  </si>
  <si>
    <t>Amzallag</t>
  </si>
  <si>
    <t>PIXYS</t>
  </si>
  <si>
    <t>mikael.amzallag@pixys.com</t>
  </si>
  <si>
    <t>http://www.linkedin.com/in/mikaelamzallag</t>
  </si>
  <si>
    <t>http://www.pixys.com</t>
  </si>
  <si>
    <t xml:space="preserve">4 Rue du Port-aux-Vins, Suresnes, Ile-de-France, France, 92150</t>
  </si>
  <si>
    <t xml:space="preserve">PIXYS S.A. apporte les meilleures pratiques pour l'organisation, l'ergonomie et l'aménagement des Centres de Supervision, de Gestion de Crise, et plus généralement, de tout complexe opérationnel.</t>
  </si>
  <si>
    <t xml:space="preserve">Trivec France</t>
  </si>
  <si>
    <t>pierre.grenier@trivec.fr</t>
  </si>
  <si>
    <t>http://www.linkedin.com/in/pierre-grenier-442763a0</t>
  </si>
  <si>
    <t>http://www.trivec.fr</t>
  </si>
  <si>
    <t xml:space="preserve">22 Avenue Ferdinand de Lesseps, Canejan, Nouvelle-Aquitaine, France, 33610</t>
  </si>
  <si>
    <t xml:space="preserve">Trivec est un fournisseur de systèmes de caisse pour restaurants, bars et hôtels avec un support 24h/24 et 7j/7</t>
  </si>
  <si>
    <t>Denizet</t>
  </si>
  <si>
    <t xml:space="preserve">Atout Ports</t>
  </si>
  <si>
    <t>jean.denizet@atout-ports.com</t>
  </si>
  <si>
    <t>http://www.linkedin.com/in/jean-denizet-126a01105</t>
  </si>
  <si>
    <t>http://www.atout-ports.com</t>
  </si>
  <si>
    <t xml:space="preserve">18 Rue Alain Gerbault, Vannes, Brittany, France, 56000</t>
  </si>
  <si>
    <t>Bona</t>
  </si>
  <si>
    <t>Jaldi</t>
  </si>
  <si>
    <t>reda@jalditech.com</t>
  </si>
  <si>
    <t>http://www.linkedin.com/in/reda-bona-b1365715a</t>
  </si>
  <si>
    <t>http://www.jalditech.com</t>
  </si>
  <si>
    <t>Delbecque</t>
  </si>
  <si>
    <t xml:space="preserve">Maxxing Company</t>
  </si>
  <si>
    <t>gduranddelbecque@maxxing.com</t>
  </si>
  <si>
    <t>http://www.linkedin.com/in/gauthier-durand-delbecque-892a04</t>
  </si>
  <si>
    <t>http://www.maxxing.com</t>
  </si>
  <si>
    <t xml:space="preserve">Découvrez comment Maxxing améliore l'expérience client avec des solutions personnalisées, alliant technologie et expertise pour optimiser chaque interaction client.</t>
  </si>
  <si>
    <t>Poliakov</t>
  </si>
  <si>
    <t xml:space="preserve">CTO &amp; Co Founder</t>
  </si>
  <si>
    <t>Data4job</t>
  </si>
  <si>
    <t>antoine@data4job.com</t>
  </si>
  <si>
    <t>http://www.linkedin.com/in/antoine-poliakov-836a7025</t>
  </si>
  <si>
    <t>http://www.data4job.com</t>
  </si>
  <si>
    <t xml:space="preserve">17 Rue de la Vanne, Montrouge, Ile-de-France, France, 92120</t>
  </si>
  <si>
    <t xml:space="preserve">Grâce à la suite Remo par Data4job, automatisez les tâches fastidieuses et répétitives de vos processus de recrutement et gagner jusqu'à 80% de productivité !</t>
  </si>
  <si>
    <t>Tabone</t>
  </si>
  <si>
    <t xml:space="preserve">Directeur Technique &amp; Fondateur</t>
  </si>
  <si>
    <t xml:space="preserve">Ripple Motion</t>
  </si>
  <si>
    <t>olivier.tabone@ripplemotion.fr</t>
  </si>
  <si>
    <t>http://www.linkedin.com/in/tabone</t>
  </si>
  <si>
    <t>http://www.ripplemotion.fr</t>
  </si>
  <si>
    <t xml:space="preserve">13 Rue de la Rabotiere, Saint-Herblain, Pays de la Loire, France, 44800</t>
  </si>
  <si>
    <t xml:space="preserve">Ripple Motion est une entreprise de développement logiciel métier sur-mesure basée sur Nantes et Rennes : mobile, web, iOT, … Nous intervenons sur l’ensemble de la chaîne logicielle : audit, développement, design, maintenance, supervision, astreinte, système d’information, architecture en bus de données.</t>
  </si>
  <si>
    <t xml:space="preserve">Pixel IQ</t>
  </si>
  <si>
    <t>khalid.taoufik@pixel-crm.com</t>
  </si>
  <si>
    <t>http://www.linkedin.com/in/khalid-taoufik</t>
  </si>
  <si>
    <t>http://www.crm-pixel.com</t>
  </si>
  <si>
    <t xml:space="preserve">Sentier du Vert de Massy, Massy, Ile-de-France, France, 91300</t>
  </si>
  <si>
    <t xml:space="preserve">Pixel CRM vous accompagne dans toutes vos tâches quotidiennes liées à la valorisation de vos opérations auprès des clients B2B et B2C.</t>
  </si>
  <si>
    <t>Koskas</t>
  </si>
  <si>
    <t xml:space="preserve">Country Manager UK &amp; France @Booksy (Formely Co-founder &amp; CEO @kiute</t>
  </si>
  <si>
    <t xml:space="preserve">Booksy France</t>
  </si>
  <si>
    <t>ilan@kiute.com</t>
  </si>
  <si>
    <t>http://www.linkedin.com/in/ilankoskas</t>
  </si>
  <si>
    <t>http://www.kiute.com</t>
  </si>
  <si>
    <t xml:space="preserve">76BIS Rue de Rennes, Paris, Ile-de-France, France, 75006</t>
  </si>
  <si>
    <t>Stulenkov</t>
  </si>
  <si>
    <t xml:space="preserve">Co-founder &amp; Director of Consulting</t>
  </si>
  <si>
    <t>Projectforce</t>
  </si>
  <si>
    <t>astulenkov@projectforce.ru</t>
  </si>
  <si>
    <t>http://www.linkedin.com/in/stulenkov</t>
  </si>
  <si>
    <t>http://www.projectforce.ru</t>
  </si>
  <si>
    <t xml:space="preserve">38 Шарикоподшипниковская улица, Russia, 115088</t>
  </si>
  <si>
    <t xml:space="preserve">Компания Projectforce предлагает услуги по автоматизации проектного управления на базе Microsoft Project Server, Project Online, Project for the web (Microsoft PPM). В нашей команде только ИТ-профессионалы с многолетним опытом работы. Звоните +7-499-409-49-51.</t>
  </si>
  <si>
    <t>Zahal</t>
  </si>
  <si>
    <t>Aventique</t>
  </si>
  <si>
    <t>djamel.zahal@aventique.com</t>
  </si>
  <si>
    <t>http://www.linkedin.com/in/djamelzahal</t>
  </si>
  <si>
    <t>http://www.aventique.paris</t>
  </si>
  <si>
    <t xml:space="preserve">44 Rue Jean Mermoz, Maisons-Laffitte, Ile-de-France, France, 78600</t>
  </si>
  <si>
    <t xml:space="preserve">Nos meilleurs développeurs ☄️ au service des Grands comptes, PME et Startups. +50 clients depuis 2012. [Web / Mobile / QA / E-commerce]</t>
  </si>
  <si>
    <t>Présidente-CEO</t>
  </si>
  <si>
    <t>HexaDone</t>
  </si>
  <si>
    <t>valerie.atlani@hexadone.fr</t>
  </si>
  <si>
    <t>http://www.linkedin.com/in/val%c3%a9rie-atlani-542b0252</t>
  </si>
  <si>
    <t>http://www.hexadone.fr</t>
  </si>
  <si>
    <t xml:space="preserve">111 Quai du President Roosevelt, Issy-les-Moulineaux, Ile-de-France, France, 92130</t>
  </si>
  <si>
    <t xml:space="preserve">Notre ambition, créer un commun numérique territorial pour accélérer l'exploitation et la valorisation des Données territoriales</t>
  </si>
  <si>
    <t>Desvignes</t>
  </si>
  <si>
    <t>PROVEXI</t>
  </si>
  <si>
    <t>anne.desvignes@provexi.fr</t>
  </si>
  <si>
    <t>http://www.linkedin.com/in/anne-desvignes-a36b5b228</t>
  </si>
  <si>
    <t>http://www.provexi.fr</t>
  </si>
  <si>
    <t>Poret</t>
  </si>
  <si>
    <t>corentin@locomotive.eu</t>
  </si>
  <si>
    <t>http://www.linkedin.com/in/corentinporet</t>
  </si>
  <si>
    <t>Renaudin</t>
  </si>
  <si>
    <t>ATAKAMA</t>
  </si>
  <si>
    <t>arenaudin@atakama-technologies.com</t>
  </si>
  <si>
    <t>http://www.linkedin.com/in/alexandre-renaudin-9b00a45b</t>
  </si>
  <si>
    <t>http://www.atakama-technologies.com</t>
  </si>
  <si>
    <t xml:space="preserve">La Ciotat, Provence-Alpes-Cote d'Azur, France, 13600</t>
  </si>
  <si>
    <t xml:space="preserve">"Optimisez la performance digitale avec ATAKAMA Technologies. Experts en tests de charge, monitoring APM, et performances applicatives, nous boostons votre expérience utilisateur. Engagez-vous pour l'excellence digitale!"</t>
  </si>
  <si>
    <t>Carolina</t>
  </si>
  <si>
    <t>Lavatelli</t>
  </si>
  <si>
    <t xml:space="preserve">Internet of Trust</t>
  </si>
  <si>
    <t>carolina.lavatelli@internetoftrust.com</t>
  </si>
  <si>
    <t>http://www.linkedin.com/in/carolina-lavatelli-2084b04b</t>
  </si>
  <si>
    <t>http://www.internetoftrust.com</t>
  </si>
  <si>
    <t xml:space="preserve">77 Avenue Niel, Paris, Ile-de-France, France, 75017</t>
  </si>
  <si>
    <t>edouard@magma.app</t>
  </si>
  <si>
    <t>http://www.linkedin.com/in/petitedouard</t>
  </si>
  <si>
    <t>Thoumyre</t>
  </si>
  <si>
    <t xml:space="preserve">TASK Informatic</t>
  </si>
  <si>
    <t>a.thoumyre@taskinfo.com</t>
  </si>
  <si>
    <t>http://www.linkedin.com/in/arnaud-thoumyre-b44435a4</t>
  </si>
  <si>
    <t>http://www.taskinfo.fr</t>
  </si>
  <si>
    <t xml:space="preserve">16 Rue Trezel, Levallois-Perret, Ile-de-France, France, 92300</t>
  </si>
  <si>
    <t>Bouhassoun</t>
  </si>
  <si>
    <t>samir@gyfti.fr</t>
  </si>
  <si>
    <t>http://www.linkedin.com/in/samirbouhassoun</t>
  </si>
  <si>
    <t>Cirotteau</t>
  </si>
  <si>
    <t xml:space="preserve">Technical co-founder</t>
  </si>
  <si>
    <t>Brief.me</t>
  </si>
  <si>
    <t>dcirotteau@brief.me</t>
  </si>
  <si>
    <t>http://www.linkedin.com/in/damiencirotteau</t>
  </si>
  <si>
    <t>http://www.brief.me</t>
  </si>
  <si>
    <t xml:space="preserve">226 Rue Saint-Denis, Paris, Ile-de-France, France, 75002</t>
  </si>
  <si>
    <t xml:space="preserve">Chaque soir, Brief.me résume et explique l'actualité, par e-mail et sur l’application mobile</t>
  </si>
  <si>
    <t>AB6</t>
  </si>
  <si>
    <t>benoit@abscisse.fr</t>
  </si>
  <si>
    <t>http://www.linkedin.com/in/benoitdupuy</t>
  </si>
  <si>
    <t>http://www.ab6.fr</t>
  </si>
  <si>
    <t xml:space="preserve">Choisy-le-Roi, Ile-de-France, France, 94600</t>
  </si>
  <si>
    <t>Groupe</t>
  </si>
  <si>
    <t>mcohen@groupenetworks.fr</t>
  </si>
  <si>
    <t>http://www.linkedin.com/in/maurice-cohen-22761a15</t>
  </si>
  <si>
    <t>http://www.groupenetworks.fr</t>
  </si>
  <si>
    <t xml:space="preserve">100 Chemin de l'Aumone-Vieille, Aubagne, Provence-Alpes-Cote d'Azur, France, 13400</t>
  </si>
  <si>
    <t xml:space="preserve">La référence XEROX Marseille, Zeendoc Marseille, Beemo Marseille, infogérance en MSP à Marseille, solutions en cybersécurité, GED, sauvegarde</t>
  </si>
  <si>
    <t>Chevant</t>
  </si>
  <si>
    <t>SmartKeyword</t>
  </si>
  <si>
    <t>louis.chevant@smartkeyword.io</t>
  </si>
  <si>
    <t>http://www.linkedin.com/in/louis-chevant</t>
  </si>
  <si>
    <t>http://www.smartkeyword.io</t>
  </si>
  <si>
    <t xml:space="preserve">55 Rue La Boetie, Paris, Ile-de-France, France, 75008</t>
  </si>
  <si>
    <t xml:space="preserve">SmartKeyword est la 1ère solution SEO vraiment complète : Augmentez vos ventes grâce à notre outil, notre accompagnement et notre formation en ligne.</t>
  </si>
  <si>
    <t xml:space="preserve">AWARE PORTAGE</t>
  </si>
  <si>
    <t>alexandre.weber@aware-portage.com</t>
  </si>
  <si>
    <t>http://www.linkedin.com/in/alexandre-weber-0008416</t>
  </si>
  <si>
    <t>http://www.aware-portage.com</t>
  </si>
  <si>
    <t>Sequedin</t>
  </si>
  <si>
    <t xml:space="preserve">Haubourdin, Nord-Pas-de-Calais-Picardie, France, 59320</t>
  </si>
  <si>
    <t xml:space="preserve">Aware Portage site web</t>
  </si>
  <si>
    <t>Cedrick</t>
  </si>
  <si>
    <t>Lunven</t>
  </si>
  <si>
    <t>GoodBards</t>
  </si>
  <si>
    <t>cedrick.lunven@goodbards.com</t>
  </si>
  <si>
    <t>http://www.linkedin.com/in/clunven</t>
  </si>
  <si>
    <t>http://www.goodbards.com</t>
  </si>
  <si>
    <t>Mundina</t>
  </si>
  <si>
    <t>•Co-Founder</t>
  </si>
  <si>
    <t>MB3M</t>
  </si>
  <si>
    <t>fmundina@mb3m.fr</t>
  </si>
  <si>
    <t>http://www.linkedin.com/in/fabrice-mundina-b93bb11b</t>
  </si>
  <si>
    <t>http://www.mb3m.fr</t>
  </si>
  <si>
    <t xml:space="preserve">20 Rue de l'Europe, Montrabe, Midi-Pyrenees, France, 31850</t>
  </si>
  <si>
    <t xml:space="preserve">Solution technologique pour agences de voyages</t>
  </si>
  <si>
    <t>Maunier</t>
  </si>
  <si>
    <t>OpsMill</t>
  </si>
  <si>
    <t>raphael@opsmill.com</t>
  </si>
  <si>
    <t>http://www.linkedin.com/in/rmaunier</t>
  </si>
  <si>
    <t>http://www.opsmill.com</t>
  </si>
  <si>
    <t xml:space="preserve">75 Avenue de France, Paris, Ile-de-France, France, 75013</t>
  </si>
  <si>
    <t xml:space="preserve">Infrahub is a platform that provides infrastructure as code for everyone. With Infrahub, you can easily create, manage, and deploy your infrastructure.</t>
  </si>
  <si>
    <t>PROLOGISM</t>
  </si>
  <si>
    <t>thierry.delacroix@prologism.fr</t>
  </si>
  <si>
    <t>http://www.linkedin.com/in/thierry-delacroix-bb984417</t>
  </si>
  <si>
    <t>http://www.prologism.fr</t>
  </si>
  <si>
    <t xml:space="preserve">PROLOGISM est société de conseil et d'ingénierie informatique, en croissance continue et profitable depuis 1999. Elle se positionne auprès de ses clients comme un acteur de référence sur son coeur de métier : Le conseil, l’architecture &amp; le design d'applications, les technologies Big Data et Cloud et la démarche et les outils DevOps.</t>
  </si>
  <si>
    <t xml:space="preserve">CEO fondateur</t>
  </si>
  <si>
    <t xml:space="preserve">Keyneo plateforme du retail omnicanal</t>
  </si>
  <si>
    <t>amayaud@keyneo.com</t>
  </si>
  <si>
    <t>http://www.linkedin.com/in/amayaud</t>
  </si>
  <si>
    <t>http://www.keyneo.com</t>
  </si>
  <si>
    <t xml:space="preserve">Plateforme modulaire de solutions pour le retail omnicanal : encaissement nativement omnicanal fixe et mobile, order management system, gestion de stocks magasin</t>
  </si>
  <si>
    <t>Killian</t>
  </si>
  <si>
    <t>Vermersch</t>
  </si>
  <si>
    <t>killian@golem.ai</t>
  </si>
  <si>
    <t>http://www.linkedin.com/in/killian-vermersch</t>
  </si>
  <si>
    <t>houssem@data4job.com</t>
  </si>
  <si>
    <t>http://www.linkedin.com/in/houssem-hamza-44731ab</t>
  </si>
  <si>
    <t>Malinverni</t>
  </si>
  <si>
    <t xml:space="preserve">Creative Co-founder &amp; Partner</t>
  </si>
  <si>
    <t>charles@66origin.com</t>
  </si>
  <si>
    <t>http://www.linkedin.com/in/charles-malinverni-14751345</t>
  </si>
  <si>
    <t>Nejma</t>
  </si>
  <si>
    <t>Belkhdim</t>
  </si>
  <si>
    <t>NOLEJ</t>
  </si>
  <si>
    <t>nejma@neuronys.com</t>
  </si>
  <si>
    <t>http://www.linkedin.com/in/nejma-belkhdim</t>
  </si>
  <si>
    <t>http://www.nolej.io</t>
  </si>
  <si>
    <t xml:space="preserve">Transform content into learning that lasts : quizzes, games, interactive videos, chatbots, and up-to-date courses—all built from your content, safe and accurate, saving you time and money.</t>
  </si>
  <si>
    <t>Eduard</t>
  </si>
  <si>
    <t>Scholl</t>
  </si>
  <si>
    <t xml:space="preserve">Founder of Conseptionclothing, BBA student</t>
  </si>
  <si>
    <t>Allex.ai</t>
  </si>
  <si>
    <t>eduard.scholl@allex.ai</t>
  </si>
  <si>
    <t>http://www.linkedin.com/in/eduard-scholl-63b187245</t>
  </si>
  <si>
    <t>http://www.allex.ai</t>
  </si>
  <si>
    <t xml:space="preserve">17 Wielandstrasse, Berlin, Berlin, Germany, 10629</t>
  </si>
  <si>
    <t xml:space="preserve">Project portfolio project, single project and resource planning and management software, built with practicality in mind. Used by industry leads within the manufacturing, engineering, and production space.</t>
  </si>
  <si>
    <t>Iban</t>
  </si>
  <si>
    <t>Touchet</t>
  </si>
  <si>
    <t>Incremys</t>
  </si>
  <si>
    <t>iban.touchet@incremys.com</t>
  </si>
  <si>
    <t>http://www.linkedin.com/in/ibantouchet</t>
  </si>
  <si>
    <t>http://www.incremys.com</t>
  </si>
  <si>
    <t xml:space="preserve">106 Boulevard Haussmann, Paris, Ile-de-France, France, 75008</t>
  </si>
  <si>
    <t xml:space="preserve">Incremys est la première plateforme collaborative de gestion de campagnes SEO. Découvrez notre solution pour faire exploser votre trafic organique !</t>
  </si>
  <si>
    <t>Paillot</t>
  </si>
  <si>
    <t xml:space="preserve">Castle IT</t>
  </si>
  <si>
    <t>mpaillot@castle-it.fr</t>
  </si>
  <si>
    <t>http://www.linkedin.com/in/maxime-paillot-%e2%98%81%ef%b8%8f%f0%9f%87%ab%f0%9f%87%b7-908b5284</t>
  </si>
  <si>
    <t>http://www.castle-it.fr</t>
  </si>
  <si>
    <t xml:space="preserve">Grieches, Larcay, Centre-Val de Loire, France, 37270</t>
  </si>
  <si>
    <t xml:space="preserve">Castle IT accompagne votre évolution grâce à ces solutions d'infrastructures et son centre de données en région Centre.</t>
  </si>
  <si>
    <t>Bresse</t>
  </si>
  <si>
    <t xml:space="preserve">CEO &amp; MSP Visionary</t>
  </si>
  <si>
    <t>BeMSP</t>
  </si>
  <si>
    <t>tb@bemsp.fr</t>
  </si>
  <si>
    <t>http://www.linkedin.com/in/thomasbresse</t>
  </si>
  <si>
    <t>http://www.bemsp.fr</t>
  </si>
  <si>
    <t xml:space="preserve">Bron, Auvergne-Rhone-Alpes, France, 69500</t>
  </si>
  <si>
    <t xml:space="preserve">Reprenez le contrôle de votre activité avec des solutions pour les prestataires de services managés, qui vont booster votre organisation et vos revenus.</t>
  </si>
  <si>
    <t>Lanniaux</t>
  </si>
  <si>
    <t xml:space="preserve">Co-founder &amp; Sales Director</t>
  </si>
  <si>
    <t>jerome.lanniaux@becycure.com</t>
  </si>
  <si>
    <t>http://www.linkedin.com/in/jlanniaux</t>
  </si>
  <si>
    <t>rrenaudin@atakama-technologies.com</t>
  </si>
  <si>
    <t>http://www.linkedin.com/in/robert-renaudin-aaa738</t>
  </si>
  <si>
    <t>Pioch</t>
  </si>
  <si>
    <t>PA</t>
  </si>
  <si>
    <t>jpioch@patechnologies.com</t>
  </si>
  <si>
    <t>http://www.linkedin.com/in/jean-pioch-b9b16599</t>
  </si>
  <si>
    <t>http://www.patechnologies.co.uk</t>
  </si>
  <si>
    <t xml:space="preserve">St John's Street, Peterborough, England, United Kingdom, PE1 5DD</t>
  </si>
  <si>
    <t>Lebeau</t>
  </si>
  <si>
    <t>TokyWoky</t>
  </si>
  <si>
    <t>quentin@tokywoky.com</t>
  </si>
  <si>
    <t>http://www.linkedin.com/in/lebeauquentin</t>
  </si>
  <si>
    <t>http://www.tokywoky.com</t>
  </si>
  <si>
    <t xml:space="preserve">62 Rue Jean-Jacques Rousseau, Paris, Ile-de-France, France, 75001</t>
  </si>
  <si>
    <t>Dercle</t>
  </si>
  <si>
    <t xml:space="preserve">Quiz Coach</t>
  </si>
  <si>
    <t>louis.dercle@quiz-coach.com</t>
  </si>
  <si>
    <t>http://www.linkedin.com/in/louis-dercle</t>
  </si>
  <si>
    <t>http://www.quiz-coach.com</t>
  </si>
  <si>
    <t xml:space="preserve">4 Allee du Levant, Fresnes, Ile-de-France, France, 94260</t>
  </si>
  <si>
    <t xml:space="preserve">Formez-vous avec des cours adaptés aux professionnels de santé. Validez vos obligations DPC, en e-learning, visioconférences ou présentiels !</t>
  </si>
  <si>
    <t>Zemourda</t>
  </si>
  <si>
    <t>A.</t>
  </si>
  <si>
    <t>nanea</t>
  </si>
  <si>
    <t>a.zemourda@nanea.app</t>
  </si>
  <si>
    <t>http://www.linkedin.com/in/zemourdaaissaoui</t>
  </si>
  <si>
    <t>http://www.nanea.app</t>
  </si>
  <si>
    <t xml:space="preserve">Via Alessandro Volta, Bolzano, Trentino-Alto Adige/South Tyrol, Italy, 39100</t>
  </si>
  <si>
    <t xml:space="preserve">Wir vereinen Gastroexperten und Food Lovers in einem entzückenden digitalen kulinarischen Erlebnis.</t>
  </si>
  <si>
    <t>Riquet</t>
  </si>
  <si>
    <t xml:space="preserve">Global POS</t>
  </si>
  <si>
    <t>oriquet@globalpos.fr</t>
  </si>
  <si>
    <t>http://www.linkedin.com/in/olivier-riquet-9a18b83</t>
  </si>
  <si>
    <t>http://www.globalpos.fr</t>
  </si>
  <si>
    <t xml:space="preserve">Baillargues, Languedoc-Roussillon, France</t>
  </si>
  <si>
    <t xml:space="preserve">Global POS propose des solutions performantes pour votre commerce ! Gestion du prépayé, paiements alternatifs, carte cadeau. Découvrez-les !</t>
  </si>
  <si>
    <t>Hart</t>
  </si>
  <si>
    <t xml:space="preserve">2 x Magento Certified, Co-founder and CTO</t>
  </si>
  <si>
    <t xml:space="preserve">Ati4 Group</t>
  </si>
  <si>
    <t>joris@ati4group.com</t>
  </si>
  <si>
    <t>http://www.linkedin.com/in/joris-hart</t>
  </si>
  <si>
    <t>http://www.ati4group.com</t>
  </si>
  <si>
    <t>Kintzheim</t>
  </si>
  <si>
    <t xml:space="preserve">3 Allee d'Helsinki, Schiltigheim, Grand Est, France, 67300</t>
  </si>
  <si>
    <t xml:space="preserve">Notre agence à Strasbourg vous aide à élaborer votre stratégie digitale en construisant et accélérant votre projet de vente en ligne.</t>
  </si>
  <si>
    <t>Espanel</t>
  </si>
  <si>
    <t>eespanel@brief.me</t>
  </si>
  <si>
    <t>http://www.linkedin.com/in/edmondespanel</t>
  </si>
  <si>
    <t>Fouquier</t>
  </si>
  <si>
    <t xml:space="preserve">Co-Founder, Dev and Dev. Ops</t>
  </si>
  <si>
    <t>geoffroy.fouquier@babbar.tech</t>
  </si>
  <si>
    <t>http://www.linkedin.com/in/geoffroy-fouquier-93291b4</t>
  </si>
  <si>
    <t>Metivier</t>
  </si>
  <si>
    <t>SecurClés</t>
  </si>
  <si>
    <t>pascal@securcles.com</t>
  </si>
  <si>
    <t>http://www.linkedin.com/in/pametivier</t>
  </si>
  <si>
    <t>http://www.securcles.com</t>
  </si>
  <si>
    <t xml:space="preserve">Vous souhaitez refaire une clé ou un badge ? Nul besoin de vous déplacer. Avec l'application SecurClés, faites reproduire votre clé ou votre badge depuis votre canapé de manière anonyme et sécurisée.</t>
  </si>
  <si>
    <t>Zakoian</t>
  </si>
  <si>
    <t>xavier.zakoian@kowee.fr</t>
  </si>
  <si>
    <t>http://www.linkedin.com/in/xavier-zakoian</t>
  </si>
  <si>
    <t>E.</t>
  </si>
  <si>
    <t>Oneskill</t>
  </si>
  <si>
    <t>ask@oneskill.fr</t>
  </si>
  <si>
    <t>http://www.linkedin.com/in/ahmed-ettarrouzi</t>
  </si>
  <si>
    <t>http://www.oneskill.fr</t>
  </si>
  <si>
    <t xml:space="preserve">Kubernetes experts...</t>
  </si>
  <si>
    <t>Fourdraine</t>
  </si>
  <si>
    <t xml:space="preserve">Do Science</t>
  </si>
  <si>
    <t>anne@do-science.com</t>
  </si>
  <si>
    <t>http://www.linkedin.com/in/anne-f-a1247944</t>
  </si>
  <si>
    <t>http://www.do-science.com</t>
  </si>
  <si>
    <t xml:space="preserve">Rejoignez la communauté de Do Science et participez à des projets de sciences participatives pour contribuer à la recherche scientifique et à la préservation de l'environnement.</t>
  </si>
  <si>
    <t>philippe@spellz.ai</t>
  </si>
  <si>
    <t>http://www.linkedin.com/in/philippeduhamel</t>
  </si>
  <si>
    <t>http://www.spellz.ai</t>
  </si>
  <si>
    <t>Bluison</t>
  </si>
  <si>
    <t>Ketrium</t>
  </si>
  <si>
    <t>matthieubluison@ketrium.com</t>
  </si>
  <si>
    <t>http://www.linkedin.com/in/matthieu-bluison</t>
  </si>
  <si>
    <t>http://www.ketrium.com</t>
  </si>
  <si>
    <t xml:space="preserve">20 Rue de la Plaine, Paris, Ile-de-France, France, 75020</t>
  </si>
  <si>
    <t>michael.laporte@functori.com</t>
  </si>
  <si>
    <t>http://www.linkedin.com/in/michael-laporte-89ba5037</t>
  </si>
  <si>
    <t>Feltrin</t>
  </si>
  <si>
    <t xml:space="preserve">CPO &amp; Cofondateur</t>
  </si>
  <si>
    <t>Beeldi</t>
  </si>
  <si>
    <t>thomas@beeldi.com</t>
  </si>
  <si>
    <t>http://www.linkedin.com/in/thomas-feltrin-15ba6b91</t>
  </si>
  <si>
    <t>http://www.beeldi.com</t>
  </si>
  <si>
    <t xml:space="preserve">Découvrez comment augmenter la valeur de votre parc immobilier grâce à l'Equipment Data Platform de Beeldi. Obtenez une vision exhaustive et actualisée de l’état de vos parcs immobiliers et simplifiez le suivi de leur conformité réglementaire.</t>
  </si>
  <si>
    <t>Chevreuil</t>
  </si>
  <si>
    <t>IGTech</t>
  </si>
  <si>
    <t>jjchevreuil@igtprivilege.fr</t>
  </si>
  <si>
    <t>http://www.linkedin.com/in/jean-jacques-chevreuil-59033a124</t>
  </si>
  <si>
    <t>http://www.igtprivilege.fr</t>
  </si>
  <si>
    <t xml:space="preserve">Craponne, Rhone-Alpes, France</t>
  </si>
  <si>
    <t>Dutreil</t>
  </si>
  <si>
    <t>LEXICO</t>
  </si>
  <si>
    <t>md@lexico-consulting.com</t>
  </si>
  <si>
    <t>http://www.linkedin.com/in/martindutreil</t>
  </si>
  <si>
    <t>http://www.lexico-consulting.com</t>
  </si>
  <si>
    <t xml:space="preserve">4 Rue Delerue, Montrouge, Ile-de-France, France, 92120</t>
  </si>
  <si>
    <t xml:space="preserve">offre emploi, recrutement développeur, ingénieur de développement, consultant Talend, JAVA J2EE, consultant SSRS, consultant MSBI, consultant Conformité bancaire, développeur Cognos</t>
  </si>
  <si>
    <t>GINGERMINDS</t>
  </si>
  <si>
    <t>jboucher@gingerminds.fr</t>
  </si>
  <si>
    <t>http://www.linkedin.com/in/julien-boucher-conseil</t>
  </si>
  <si>
    <t>http://www.gingerminds.fr</t>
  </si>
  <si>
    <t xml:space="preserve">5 Chemin du Pressoir Chenaie, Nantes, Pays de la Loire, France, 44100</t>
  </si>
  <si>
    <t xml:space="preserve">Découvrez l'offre et l'expertise de GINGERMINDS qui répond à vos problématiques et ambitions digitales : Brand, E-commerce &amp; Outils innovants.</t>
  </si>
  <si>
    <t>Begazo</t>
  </si>
  <si>
    <t>gabriel.begazo@cedelabs.io</t>
  </si>
  <si>
    <t>http://www.linkedin.com/in/gabriel-begazo</t>
  </si>
  <si>
    <t>Pacotte</t>
  </si>
  <si>
    <t xml:space="preserve">Co-founder / CEO</t>
  </si>
  <si>
    <t xml:space="preserve">Monkey Factory</t>
  </si>
  <si>
    <t>fpacotte@monkeyfactory.fr</t>
  </si>
  <si>
    <t>http://www.linkedin.com/in/fr%c3%a9d%c3%a9ric-pacotte-70b2581b</t>
  </si>
  <si>
    <t>http://www.monkeyfactory.fr</t>
  </si>
  <si>
    <t xml:space="preserve">Le Puy, Auvergne-Rhone-Alpes, France, 43000</t>
  </si>
  <si>
    <t xml:space="preserve">Notre mission chez Monkey Factory : faciliter l’accès aux mobilités durables et inclusives grâce à nos solutions MaaS (Mobility As A Service).</t>
  </si>
  <si>
    <t xml:space="preserve">Co-Founder &amp; Managing Director</t>
  </si>
  <si>
    <t>eric.bucci@epicnpoc.com</t>
  </si>
  <si>
    <t>http://www.linkedin.com/in/eric-bucci-00bbb0</t>
  </si>
  <si>
    <t>Dauphin</t>
  </si>
  <si>
    <t>RISS-Consulting</t>
  </si>
  <si>
    <t>r.dauphin@riss-consulting.com</t>
  </si>
  <si>
    <t>http://www.linkedin.com/in/richard-dauphin-a5961674</t>
  </si>
  <si>
    <t>http://www.riss-consulting.com</t>
  </si>
  <si>
    <t xml:space="preserve">47 Rue de l'Ormeraie, Bry-sur-Marne, Ile-de-France, France, 94360</t>
  </si>
  <si>
    <t>Coulon</t>
  </si>
  <si>
    <t xml:space="preserve">Cofounder - Chief Operating Officer</t>
  </si>
  <si>
    <t>SpinalCom</t>
  </si>
  <si>
    <t>s.coulon@spinalcom.com</t>
  </si>
  <si>
    <t>http://www.linkedin.com/in/coulonsebastien</t>
  </si>
  <si>
    <t>http://www.spinalcom.com</t>
  </si>
  <si>
    <t xml:space="preserve">86 Rue de Paris, Palaiseau, Ile-de-France, France, 91120</t>
  </si>
  <si>
    <t xml:space="preserve">SpinalCom offers a set of Smart Building solutions (BOS and BIM O&amp;M application suite) to help you enter the era of smart building with confidence</t>
  </si>
  <si>
    <t xml:space="preserve">Co-Founder and C.O.O</t>
  </si>
  <si>
    <t>Juggery</t>
  </si>
  <si>
    <t xml:space="preserve">Senior software engineer and co-founder</t>
  </si>
  <si>
    <t>TRAXxs</t>
  </si>
  <si>
    <t>ljuggery@traxxs.fr</t>
  </si>
  <si>
    <t>http://www.linkedin.com/in/ljuggery</t>
  </si>
  <si>
    <t>http://www.traxxs.net</t>
  </si>
  <si>
    <t xml:space="preserve">1300 Route des Cretes, Valbonne, Provence-Alpes-Cote d'Azur, France, 06560</t>
  </si>
  <si>
    <t>Delort</t>
  </si>
  <si>
    <t>louis.delort@batis.io</t>
  </si>
  <si>
    <t>http://www.linkedin.com/in/louis-delort-975b42b1</t>
  </si>
  <si>
    <t>Myoux</t>
  </si>
  <si>
    <t>laurent@we-do-it.fr</t>
  </si>
  <si>
    <t>http://www.linkedin.com/in/lmyoux</t>
  </si>
  <si>
    <t>Duchene</t>
  </si>
  <si>
    <t xml:space="preserve">CEO et co-fondatrice de kwiper</t>
  </si>
  <si>
    <t>kwiper</t>
  </si>
  <si>
    <t>nathalie@kwiper.fr</t>
  </si>
  <si>
    <t>http://www.linkedin.com/in/nathalie-plantevin</t>
  </si>
  <si>
    <t>http://www.kwiper.fr</t>
  </si>
  <si>
    <t xml:space="preserve">49 Rue de la Republique, Lyon, Auvergne-Rhone-Alpes, France, 69002</t>
  </si>
  <si>
    <t xml:space="preserve">Vous souhaitez capitaliser sur votre clientèle et vous diversifier ? kwiper est la solution pour vendre des conseils en gestion de patrimoine</t>
  </si>
  <si>
    <t>Tamene</t>
  </si>
  <si>
    <t xml:space="preserve">Co-Fondateur et  Directeur de creation  -  Co-Founder and Creative Director</t>
  </si>
  <si>
    <t>BackLight</t>
  </si>
  <si>
    <t>jonathant@backlight.fr</t>
  </si>
  <si>
    <t>http://www.linkedin.com/in/jonathan-tamene-21749a5b</t>
  </si>
  <si>
    <t>http://www.backlight.fr</t>
  </si>
  <si>
    <t xml:space="preserve">3 Rue Maurice Loewy, Paris, Ile-de-France, France, 75014</t>
  </si>
  <si>
    <t>Audeon</t>
  </si>
  <si>
    <t xml:space="preserve">Chief Technology Officer, co-founder</t>
  </si>
  <si>
    <t>EFF'INNOV</t>
  </si>
  <si>
    <t>francois.audeon@effinnov.com</t>
  </si>
  <si>
    <t>http://www.linkedin.com/in/audeon</t>
  </si>
  <si>
    <t>http://www.effinnov.com</t>
  </si>
  <si>
    <t xml:space="preserve">5 Esplanade Anton Philips, Colombelles, Normandy, France, 14460</t>
  </si>
  <si>
    <t>Madre</t>
  </si>
  <si>
    <t>Kidola</t>
  </si>
  <si>
    <t>quentin@kidola.lu</t>
  </si>
  <si>
    <t>http://www.linkedin.com/in/quentin-de-madre-45541094</t>
  </si>
  <si>
    <t>http://www.kidola.club</t>
  </si>
  <si>
    <t xml:space="preserve">100 Route de Volmerange, Dudelange, Luxembourg, Luxembourg, 3593</t>
  </si>
  <si>
    <t>Almeida</t>
  </si>
  <si>
    <t xml:space="preserve">Cofounder, CTO</t>
  </si>
  <si>
    <t xml:space="preserve">Skill Partner</t>
  </si>
  <si>
    <t>s.almeida@skill-partner.com</t>
  </si>
  <si>
    <t>http://www.linkedin.com/in/samuel-almeida-a2b53631</t>
  </si>
  <si>
    <t>http://www.skill-partner.com</t>
  </si>
  <si>
    <t>Porral</t>
  </si>
  <si>
    <t xml:space="preserve">Executive Chairman &amp; Co-founder</t>
  </si>
  <si>
    <t>philippe.porral@united-vr.com</t>
  </si>
  <si>
    <t>http://www.linkedin.com/in/philippe-porral-31633814a</t>
  </si>
  <si>
    <t>Amon</t>
  </si>
  <si>
    <t>Bolero</t>
  </si>
  <si>
    <t>arthur@boleromusic.com</t>
  </si>
  <si>
    <t>http://www.linkedin.com/in/arthur-amon-b5b296200</t>
  </si>
  <si>
    <t>http://www.boleromusic.com</t>
  </si>
  <si>
    <t xml:space="preserve">Access high-value music assets, and earn recurring yield. Simple, fast, the all-in-one platform.</t>
  </si>
  <si>
    <t>Paula</t>
  </si>
  <si>
    <t>Wateau</t>
  </si>
  <si>
    <t>LABR</t>
  </si>
  <si>
    <t>paula@labr-paris.com</t>
  </si>
  <si>
    <t>http://www.linkedin.com/in/paula-wateau-9b937563</t>
  </si>
  <si>
    <t>http://www.labr.com</t>
  </si>
  <si>
    <t xml:space="preserve">Grand Rapids, Michigan, United States</t>
  </si>
  <si>
    <t>Crevet</t>
  </si>
  <si>
    <t xml:space="preserve">S.T. Dupont</t>
  </si>
  <si>
    <t>acrevet@st-dupont.com</t>
  </si>
  <si>
    <t xml:space="preserve">luxury goods &amp; jewelry</t>
  </si>
  <si>
    <t>http://www.linkedin.com/in/alain-crevet-9b22931</t>
  </si>
  <si>
    <t>http://www.st-dupont.com</t>
  </si>
  <si>
    <t xml:space="preserve">Villars-sur-Glane, Canton of Fribourg, Switzerland</t>
  </si>
  <si>
    <t xml:space="preserve">Discover the world of S.T. Dupont, French luxury manufacturer of lighters, pens and leather goods.</t>
  </si>
  <si>
    <t>Mailland-Rosset</t>
  </si>
  <si>
    <t>Teramat</t>
  </si>
  <si>
    <t>p.mailland@teramat.fr</t>
  </si>
  <si>
    <t>http://www.linkedin.com/in/pierre-mailland-rosset-242221187</t>
  </si>
  <si>
    <t>http://www.teramat.fr</t>
  </si>
  <si>
    <t>Saint-Girod</t>
  </si>
  <si>
    <t xml:space="preserve">730 Chemin de Savoyan, Heyrieux, Auvergne-Rhone-Alpes, France, 38540</t>
  </si>
  <si>
    <t xml:space="preserve">Vente de matériel TP neuf et d'occasion - Service Après-Vente et pièces détachées - Pelles, chargeuses, tombereaux... - HITACHI, BELL, HAMM, NPK, THWAITES</t>
  </si>
  <si>
    <t xml:space="preserve">Founder and Managing Partner</t>
  </si>
  <si>
    <t>Invalio</t>
  </si>
  <si>
    <t>philippe.boucher@invalio.com</t>
  </si>
  <si>
    <t>http://www.linkedin.com/in/philippe-boucher-b0b308</t>
  </si>
  <si>
    <t>http://www.invalio.com</t>
  </si>
  <si>
    <t xml:space="preserve">111 Avenue Victor Hugo, Paris, Ile-de-France, France, 75116</t>
  </si>
  <si>
    <t xml:space="preserve">Spécialiste du coaching professionnel, Invalio accompagne la stratégie 
d’entreprise avec de multiples solutions et programmes d’intelligence 
artificielle.</t>
  </si>
  <si>
    <t>Maggy</t>
  </si>
  <si>
    <t>philippe.barreau@saria.fr</t>
  </si>
  <si>
    <t>http://www.linkedin.com/in/philippe-barreau-5706a83a</t>
  </si>
  <si>
    <t>http://www.maggy.team</t>
  </si>
  <si>
    <t xml:space="preserve">Maggy - Des sportifs de haut niveau pour  motiver et coacher vos collaborateurs - coaching soft skills par des sportifs de haut niveau</t>
  </si>
  <si>
    <t>Tcherniak</t>
  </si>
  <si>
    <t>dimitri@opensquare.eu</t>
  </si>
  <si>
    <t>http://www.linkedin.com/in/dimitri-tcherniak-a6a80755</t>
  </si>
  <si>
    <t>Zamolo</t>
  </si>
  <si>
    <t xml:space="preserve">CTO / Project and Programme  Director / IT Director / IT Interim Manager - CEO at AEConsulting</t>
  </si>
  <si>
    <t>AEConsulting</t>
  </si>
  <si>
    <t>mzamolo@aeconsulting.fr</t>
  </si>
  <si>
    <t>http://www.linkedin.com/in/mzamolo</t>
  </si>
  <si>
    <t>http://www.ae-consulting.fr</t>
  </si>
  <si>
    <t xml:space="preserve">Marseille, Provence-Alpes-Cote d'Azur, France, 13006</t>
  </si>
  <si>
    <t xml:space="preserve">Découvrez AE Consulting, une référence en conseil opérationnel et équipements spécialisés. Notre engagement envers l'excellence.</t>
  </si>
  <si>
    <t>Pelicier</t>
  </si>
  <si>
    <t>INOVAFI</t>
  </si>
  <si>
    <t>jy.pelicier@inovafi.fr</t>
  </si>
  <si>
    <t>http://www.linkedin.com/in/jypelicier</t>
  </si>
  <si>
    <t>http://www.inovafi.com</t>
  </si>
  <si>
    <t xml:space="preserve">Vous apporter les meilleures solutions pour financer vos projets de développement.</t>
  </si>
  <si>
    <t xml:space="preserve">Drive Innov</t>
  </si>
  <si>
    <t>yohann@drive-innov.com</t>
  </si>
  <si>
    <t>http://www.linkedin.com/in/yohannberthe</t>
  </si>
  <si>
    <t>http://www.drive-innov.com</t>
  </si>
  <si>
    <t xml:space="preserve">Chambery, Rhone-Alpes, France</t>
  </si>
  <si>
    <t xml:space="preserve">Apprenez le code de la route et obtenez le permis de conduire en maîtrisant les risques routiers et l'écoconduite dans nos auto-écoles Drive Innov</t>
  </si>
  <si>
    <t>Houtekier</t>
  </si>
  <si>
    <t>ahoutekier@norgatec.com</t>
  </si>
  <si>
    <t>http://www.linkedin.com/in/antoine-houtekier-53206445</t>
  </si>
  <si>
    <t>http://www.norgatec.com</t>
  </si>
  <si>
    <t xml:space="preserve">Villeneuve-d'Ascq, Nord-Pas-de-Calais, France</t>
  </si>
  <si>
    <t>Deniz</t>
  </si>
  <si>
    <t>Endam</t>
  </si>
  <si>
    <t xml:space="preserve">Douge International</t>
  </si>
  <si>
    <t>deniz.endam@dougeinternational.com</t>
  </si>
  <si>
    <t>http://www.linkedin.com/in/deniz-endam</t>
  </si>
  <si>
    <t>http://www.dougeinternational.com</t>
  </si>
  <si>
    <t xml:space="preserve">29 Rue de Lisbonne, Paris, Ile-de-France, France, 75008</t>
  </si>
  <si>
    <t xml:space="preserve">Dedicated to Human Resources, Global Leadership &amp; Governance Strategy, Douge International inspire leaders into disruptive solutions that shape our world since 2000</t>
  </si>
  <si>
    <t>Dellatolas</t>
  </si>
  <si>
    <t xml:space="preserve">Ostara Group</t>
  </si>
  <si>
    <t>c.dellatolas@ostaragroup.fr</t>
  </si>
  <si>
    <t>http://www.linkedin.com/in/claire-dellatolas</t>
  </si>
  <si>
    <t>http://www.ostaragroup.fr</t>
  </si>
  <si>
    <t>Accueil</t>
  </si>
  <si>
    <t>Esteve</t>
  </si>
  <si>
    <t>Président-Directeur</t>
  </si>
  <si>
    <t>AlphaDial</t>
  </si>
  <si>
    <t>c.esteve@alphadial.fr</t>
  </si>
  <si>
    <t>http://www.linkedin.com/in/c%c3%a9sar-esteve-alphadial</t>
  </si>
  <si>
    <t>http://www.alphadial.fr</t>
  </si>
  <si>
    <t>Guyancourt</t>
  </si>
  <si>
    <t xml:space="preserve">39 Boulevard Vauban, Guyancourt, Ile-de-France, France, 78280</t>
  </si>
  <si>
    <t>Nora</t>
  </si>
  <si>
    <t>Mahdid</t>
  </si>
  <si>
    <t xml:space="preserve">Ask group</t>
  </si>
  <si>
    <t>nora.mahdid@ask-group.fr</t>
  </si>
  <si>
    <t>http://www.linkedin.com/in/nora-mahdid-2a5810130</t>
  </si>
  <si>
    <t>http://www.ask-group.fr</t>
  </si>
  <si>
    <t xml:space="preserve">730 Rue Rene Descartes, Aix-en-Provence, Provence-Alpes-Cote d'Azur, France, 13290</t>
  </si>
  <si>
    <t xml:space="preserve">Ask, cabinet de conseil et expert en gestion de flotte externalisée, concilie optimisation, transition écologique, respect des procédures et bien-être au travail.</t>
  </si>
  <si>
    <t>Beseda</t>
  </si>
  <si>
    <t>AutomationBot</t>
  </si>
  <si>
    <t>peter.beseda@automationbot.eu</t>
  </si>
  <si>
    <t>http://www.linkedin.com/in/peter-beseda-187604</t>
  </si>
  <si>
    <t>http://www.automationbot.eu</t>
  </si>
  <si>
    <t xml:space="preserve">10 Rue de l'Equerre, Croissy-sur-Seine, Ile-de-France, France, 78290</t>
  </si>
  <si>
    <t>Tessier-Chenebeau</t>
  </si>
  <si>
    <t xml:space="preserve">CEO &amp; Executive Coach</t>
  </si>
  <si>
    <t xml:space="preserve">High Flyers</t>
  </si>
  <si>
    <t>anne@highflyers.agency</t>
  </si>
  <si>
    <t>http://www.linkedin.com/in/anne-tessier-ch%c3%aanebeau-%f0%9f%9a%80-519bba64</t>
  </si>
  <si>
    <t>http://www.highflyers.agency</t>
  </si>
  <si>
    <t xml:space="preserve">The CERCLE</t>
  </si>
  <si>
    <t>tony@thecercle.fr</t>
  </si>
  <si>
    <t>http://www.linkedin.com/in/tony-hamzaoui-87a0ab6a</t>
  </si>
  <si>
    <t>http://www.thecercle.fr</t>
  </si>
  <si>
    <t>Pingenot</t>
  </si>
  <si>
    <t xml:space="preserve">Consultante Experte en Stratégie - Co/Fondatrice du Groupe STRATAE</t>
  </si>
  <si>
    <t xml:space="preserve">Groupe Stratae</t>
  </si>
  <si>
    <t>virginie@stratae.fr</t>
  </si>
  <si>
    <t>http://www.linkedin.com/in/virginie-pingenot-499ba3130</t>
  </si>
  <si>
    <t>http://www.stratae.fr</t>
  </si>
  <si>
    <t xml:space="preserve">25 Rue Henri Gregoire, L'Houmeau, Nouvelle-Aquitaine, France, 17137</t>
  </si>
  <si>
    <t xml:space="preserve">Conseil en stratégie et organisme de formation certifié qualiopi pour les professions réglementées du droit, du chiffre et de la santé.</t>
  </si>
  <si>
    <t>Etchanchu</t>
  </si>
  <si>
    <t>WIZIN</t>
  </si>
  <si>
    <t>pierre.etchanchu@wizin.fr</t>
  </si>
  <si>
    <t>http://www.linkedin.com/in/pierre-etchanchu-bbab521</t>
  </si>
  <si>
    <t>http://www.wizin.fr</t>
  </si>
  <si>
    <t>Priso</t>
  </si>
  <si>
    <t>Finovup</t>
  </si>
  <si>
    <t>apriso@finovup.fr</t>
  </si>
  <si>
    <t>http://www.linkedin.com/in/alain-priso-b88b3b7</t>
  </si>
  <si>
    <t>http://www.finovup.fr</t>
  </si>
  <si>
    <t xml:space="preserve">28 Boulevard Kellermann, Paris, Ile-de-France, France, 75013</t>
  </si>
  <si>
    <t xml:space="preserve">Nous aidons les dirigeants de la tech à augmenter leur capacité d’investissement en maîtrisant leurs financements publics. Concrétisez vos innovations !</t>
  </si>
  <si>
    <t>Houssam-Alexandre</t>
  </si>
  <si>
    <t>Moumni</t>
  </si>
  <si>
    <t xml:space="preserve">CEO / Directeur</t>
  </si>
  <si>
    <t>EnergiesDev</t>
  </si>
  <si>
    <t>moumni@energiesdev.fr</t>
  </si>
  <si>
    <t>http://www.linkedin.com/in/moumniprofil</t>
  </si>
  <si>
    <t>http://www.energiesdev.fr</t>
  </si>
  <si>
    <t xml:space="preserve">1 Quai Jacques Sturm, Strasbourg, Grand Est, France, 67000</t>
  </si>
  <si>
    <t xml:space="preserve">Créateur de performance et d'économies durables auprès des entreprises et collectivités dans le secteur de l'énergie.</t>
  </si>
  <si>
    <t>mcarre@autonomii.fr</t>
  </si>
  <si>
    <t>http://www.linkedin.com/in/micha%c3%abl-carr%c3%a9-0920b82</t>
  </si>
  <si>
    <t>Fort</t>
  </si>
  <si>
    <t>RIST</t>
  </si>
  <si>
    <t>francois.fort@rist-groupe.fr</t>
  </si>
  <si>
    <t>http://www.linkedin.com/in/ffort</t>
  </si>
  <si>
    <t>http://www.rist-groupe.fr</t>
  </si>
  <si>
    <t xml:space="preserve">1 Cours Valmy, Puteaux, Ile-de-France, France, 92800</t>
  </si>
  <si>
    <t xml:space="preserve">IMDM SA</t>
  </si>
  <si>
    <t>samuel.simon@imdm.ch</t>
  </si>
  <si>
    <t>http://www.linkedin.com/in/samuel-simon-04a08597</t>
  </si>
  <si>
    <t>http://www.imdm.group</t>
  </si>
  <si>
    <t xml:space="preserve">6 Rue des Deux-Gares, Vevey, Vaud, Switzerland, 1800</t>
  </si>
  <si>
    <t>Hamilius</t>
  </si>
  <si>
    <t xml:space="preserve">MORENO CONSULTING</t>
  </si>
  <si>
    <t>thierry.hamilius@moreno-consulting.fr</t>
  </si>
  <si>
    <t>http://www.linkedin.com/in/thierry-hamilius</t>
  </si>
  <si>
    <t>http://www.moreno-consulting.fr</t>
  </si>
  <si>
    <t xml:space="preserve">39 Rue Hincmar, Reims, Grand Est, France, 51100</t>
  </si>
  <si>
    <t xml:space="preserve">Offres d'emploi, recrutement et services de conseil en ressources humaines pour les PME et PMI à Reims, Metz, Nantes, Paris et Rennes.</t>
  </si>
  <si>
    <t xml:space="preserve">Floriane de Saint Pierre &amp; Associés</t>
  </si>
  <si>
    <t>fdesaintpierre@fspsa.com</t>
  </si>
  <si>
    <t>http://www.linkedin.com/in/floriane-de-saint-pierre-42ab561b1</t>
  </si>
  <si>
    <t>http://www.fspsa.com</t>
  </si>
  <si>
    <t xml:space="preserve">52 Boulevard Malesherbes, Paris, Ile-de-France, France, 75008</t>
  </si>
  <si>
    <t xml:space="preserve">Co-fondatrice et responsable de la communication, de l'animation des coopérations, du développement</t>
  </si>
  <si>
    <t xml:space="preserve">Les Imaginations Fertiles</t>
  </si>
  <si>
    <t>am.fontaine@imaginationsfertiles.fr</t>
  </si>
  <si>
    <t>http://www.linkedin.com/in/anne-marie-fontaine-8aab1912</t>
  </si>
  <si>
    <t>http://www.imaginationsfertiles.fr</t>
  </si>
  <si>
    <t xml:space="preserve">Joynit est le planning et agenda partagé n°1 Made in France. Facile à utiliser, conforme RGPD, sans publicité. Web et app mobile. Gratuit ou Premium.</t>
  </si>
  <si>
    <t xml:space="preserve">Solutions Productives</t>
  </si>
  <si>
    <t>vguilloux@solutions-productives.com</t>
  </si>
  <si>
    <t>http://www.linkedin.com/in/vincent-guilloux-56b73712</t>
  </si>
  <si>
    <t>http://www.solutions-productives.com</t>
  </si>
  <si>
    <t xml:space="preserve">Avenue Robert Schuman, Bruz, Bretagne, France, 35170</t>
  </si>
  <si>
    <t xml:space="preserve">Société de conseil et laboratoire de recherche, Solutions Productives fait de l’Humain le moteur de votre performance.</t>
  </si>
  <si>
    <t>YOUXTA</t>
  </si>
  <si>
    <t>g.joly@youxta.fr</t>
  </si>
  <si>
    <t>http://www.linkedin.com/in/geoffroy-joly-35648428</t>
  </si>
  <si>
    <t>http://www.youxta.fr</t>
  </si>
  <si>
    <t xml:space="preserve">Avenue de Poumeyrol, Caluire-et-Cuire, Auvergne-Rhone-Alpes, France, 69300</t>
  </si>
  <si>
    <t xml:space="preserve">Youxta, votre cabinet d'Audit, d'Expertise Comptable et de Conseil. Lyon</t>
  </si>
  <si>
    <t>Boennec</t>
  </si>
  <si>
    <t xml:space="preserve">CEO et fondateur</t>
  </si>
  <si>
    <t xml:space="preserve">Collectif Excalibur</t>
  </si>
  <si>
    <t>dimitri@co-excalibur.fr</t>
  </si>
  <si>
    <t>http://www.linkedin.com/in/dimitri-boennec-e-commerce</t>
  </si>
  <si>
    <t>http://www.collectif-excalibur.fr</t>
  </si>
  <si>
    <t xml:space="preserve">Brest, Brittany, France</t>
  </si>
  <si>
    <t>Arantxa</t>
  </si>
  <si>
    <t>Balson</t>
  </si>
  <si>
    <t xml:space="preserve">IN4IMPACT Consulting &amp; Services</t>
  </si>
  <si>
    <t>arantxa.balson@in4impact.com</t>
  </si>
  <si>
    <t>http://www.linkedin.com/in/arantxa-balson-8a85933</t>
  </si>
  <si>
    <t>http://www.in4impact.com</t>
  </si>
  <si>
    <t xml:space="preserve">39 Rue des Fontenelles, Sevres, Ile-de-France, France, 92310</t>
  </si>
  <si>
    <t>Husson</t>
  </si>
  <si>
    <t xml:space="preserve">HLP Group</t>
  </si>
  <si>
    <t>bertrand.husson@hlp.group</t>
  </si>
  <si>
    <t>http://www.linkedin.com/in/bertrand-husson-6b609819</t>
  </si>
  <si>
    <t>http://www.mappsy.com</t>
  </si>
  <si>
    <t>Montbeliard</t>
  </si>
  <si>
    <t xml:space="preserve">205 Allee Henri Hugoniot, Brognard, Bourgogne-Franche-Comte, France, 25600</t>
  </si>
  <si>
    <t xml:space="preserve">MAPPSY est une solution logicielle pour la transformation numérique de vos usines incluant toutes les apps nécessaires à la digitalisation de votre excellence opérationnelle : AIC, MES, QSE et processus.</t>
  </si>
  <si>
    <t>Joan</t>
  </si>
  <si>
    <t>Lelong</t>
  </si>
  <si>
    <t xml:space="preserve">Quelle Crèche</t>
  </si>
  <si>
    <t>jlelong@quellecreche.fr</t>
  </si>
  <si>
    <t>http://www.linkedin.com/in/joan-lelong-022792200</t>
  </si>
  <si>
    <t>http://www.quellecreche.fr</t>
  </si>
  <si>
    <t xml:space="preserve">Plus de 4000 crèches. Près de 5000 places disponibles. Partout en France. Trouvez votre crèche en quelques clics ou recevez un coup de fil.</t>
  </si>
  <si>
    <t>Dargaud</t>
  </si>
  <si>
    <t xml:space="preserve">Directeur associé &amp; Co-fondateur</t>
  </si>
  <si>
    <t>Co-Efficience</t>
  </si>
  <si>
    <t>b.dargaud@co-efficienceconseil.com</t>
  </si>
  <si>
    <t>http://www.linkedin.com/in/benjamin-dargaud</t>
  </si>
  <si>
    <t>http://www.co-efficienceconseil.com</t>
  </si>
  <si>
    <t xml:space="preserve">139 Rue Vendome, Lyon, Auvergne-Rhone-Alpes, France, 69006</t>
  </si>
  <si>
    <t>AlterMakers</t>
  </si>
  <si>
    <t>jean@altermakers.com</t>
  </si>
  <si>
    <t>http://www.linkedin.com/in/jeanfox</t>
  </si>
  <si>
    <t>http://www.altermakers.com</t>
  </si>
  <si>
    <t xml:space="preserve">44 Rue d'Avron, Paris, Ile-de-France, France, 75020</t>
  </si>
  <si>
    <t xml:space="preserve">Altermakers is an alternative consulting collective by makers for makers. We help you make a difference with a wide diversity of talents.</t>
  </si>
  <si>
    <t>Pechon</t>
  </si>
  <si>
    <t xml:space="preserve">CEO Partner</t>
  </si>
  <si>
    <t xml:space="preserve">Gouvernance &amp; Structures</t>
  </si>
  <si>
    <t>guy.le-pechon@g-et-s.com</t>
  </si>
  <si>
    <t>http://www.linkedin.com/in/guy-le-p%c3%a9chon-0b72a9</t>
  </si>
  <si>
    <t>http://www.g-et-s.com</t>
  </si>
  <si>
    <t xml:space="preserve">Sceaux, Ile-de-France, France</t>
  </si>
  <si>
    <t>Cado</t>
  </si>
  <si>
    <t>iThylo</t>
  </si>
  <si>
    <t>jjcado@ithylo.com</t>
  </si>
  <si>
    <t>http://www.linkedin.com/in/jean-jacques-cado-a472311b</t>
  </si>
  <si>
    <t>http://www.ithylo.com</t>
  </si>
  <si>
    <t xml:space="preserve">7 Rue Louis David, Paris, Ile-de-France, France, 75116</t>
  </si>
  <si>
    <t>Bouvet</t>
  </si>
  <si>
    <t xml:space="preserve">THE VISION</t>
  </si>
  <si>
    <t>sandrine@thevision.biz</t>
  </si>
  <si>
    <t>http://www.linkedin.com/in/sandrine-bouvet</t>
  </si>
  <si>
    <t>http://www.thevision.biz</t>
  </si>
  <si>
    <t xml:space="preserve">The Vision. Growth as a service.
We solve business challenges by creating bespoke innovative advisory boards with the brightest brains from all over the world;  chosen for their diverse backgrounds and cognitive styles we maximise the potential solutions and opportunities to boost growth and minimise risk.</t>
  </si>
  <si>
    <t>Dermagne</t>
  </si>
  <si>
    <t xml:space="preserve">DAF online</t>
  </si>
  <si>
    <t>fd@daf-online.com</t>
  </si>
  <si>
    <t>http://www.linkedin.com/in/dafonlinefdermagne</t>
  </si>
  <si>
    <t>http://www.daf-online.com</t>
  </si>
  <si>
    <t xml:space="preserve">68BIS Boulevard Pereire, Paris, Ile-de-France, France, 75017</t>
  </si>
  <si>
    <t xml:space="preserve">DAFonline, votre partenaire privilégié pour l'externalisation de la fonction finance des PME. Que ce soit pour la création, la croissance, la gestion des difficultés ou la transformation, DAFonline vous accompagne avec des solutions adaptées à chaque phase de votre entreprise.</t>
  </si>
  <si>
    <t>Yvan</t>
  </si>
  <si>
    <t>yvan@sidekicks.cc</t>
  </si>
  <si>
    <t>http://www.linkedin.com/in/yvanwibaux</t>
  </si>
  <si>
    <t>Batz-sur-Mer</t>
  </si>
  <si>
    <t>Marie-Neige</t>
  </si>
  <si>
    <t>Pinton</t>
  </si>
  <si>
    <t xml:space="preserve">Founder, Performance On Demand ♢ Drive - Transform - Perform ♢  Executive Management</t>
  </si>
  <si>
    <t xml:space="preserve">On Demand</t>
  </si>
  <si>
    <t>marie-neige.pinton@daf-on-demand.fr</t>
  </si>
  <si>
    <t>http://www.linkedin.com/in/marieneigepinton</t>
  </si>
  <si>
    <t>http://www.performanceondemand.fr</t>
  </si>
  <si>
    <t xml:space="preserve">Chemin du Roc Fleury, Aix-en-Provence, Provence-Alpes-Cote d'Azur, France, 13100</t>
  </si>
  <si>
    <t xml:space="preserve">On Demand est un cabinet de conseil opérationnel destiné à accompagner votre développement grâce à sa connaissance combinée des fonctions supports x des processus métiers x du numérique. Notre expertise nous permet d’intervenir auprès des dirigeants, ou au cœur des directions générales (DG), administratives et financières (DAF), commerciales, avant-vente (pre-sales), ressources humaines (DRH) et systèmes d'information (DSI).</t>
  </si>
  <si>
    <t>Layticia</t>
  </si>
  <si>
    <t xml:space="preserve">CEO et Fondatrice</t>
  </si>
  <si>
    <t>Gandee</t>
  </si>
  <si>
    <t>layticia@gandee.com</t>
  </si>
  <si>
    <t>http://www.linkedin.com/in/layticia-audibert-gandee</t>
  </si>
  <si>
    <t>http://www.gandee.net</t>
  </si>
  <si>
    <t xml:space="preserve">17 Rue de la Tremoille, Paris, Ile-de-France, France, 75008</t>
  </si>
  <si>
    <t xml:space="preserve">Environmental engineers and asbestos consultants based in Columbus and Akron, Ohio</t>
  </si>
  <si>
    <t>Bennani</t>
  </si>
  <si>
    <t>QUALEES</t>
  </si>
  <si>
    <t>mohammed.bennani@qualees.com</t>
  </si>
  <si>
    <t>http://www.linkedin.com/in/mohammed-bennani-6432375a</t>
  </si>
  <si>
    <t>http://www.qualees.com</t>
  </si>
  <si>
    <t xml:space="preserve">Société de recherche contractuelle spécialisée en épidémiologie, pharmaco‑épidémiologie et économie de la santé, Qualees est votre partenaire privilégié pour les études support au produit, requises par les autorités ou engagées de votre propre initiative, dès la mise sur le marché et pendant toute la durée de commercialisation.</t>
  </si>
  <si>
    <t>Hermitan</t>
  </si>
  <si>
    <t>Synpeak</t>
  </si>
  <si>
    <t>c.hermitan@synpeak.com</t>
  </si>
  <si>
    <t>http://www.linkedin.com/in/christophe-hermitan-synpeak-qvt-sport-sante</t>
  </si>
  <si>
    <t>http://www.synpeak.com</t>
  </si>
  <si>
    <t xml:space="preserve">Pringy, Auvergne-Rhone-Alpes, France, 74370</t>
  </si>
  <si>
    <t xml:space="preserve">Synpeak vous accompagne pour améliorer la QVCT : démarche QVT, formations, ateliers QVCT, sport au travail, team building, événements QVT</t>
  </si>
  <si>
    <t>Hasnaoui</t>
  </si>
  <si>
    <t>NewCo</t>
  </si>
  <si>
    <t>rayan.hasnaoui@newco-partners.com</t>
  </si>
  <si>
    <t>http://www.linkedin.com/in/rayan-hasnaoui</t>
  </si>
  <si>
    <t>http://www.newco-partners.com</t>
  </si>
  <si>
    <t xml:space="preserve">1 Parvis de la Defense, Puteaux, Ile-de-France, France, 92800</t>
  </si>
  <si>
    <t xml:space="preserve">NewCo Partners est cabinet de conseil spécialiste du monde du risque de crédit et des opérations de marché.</t>
  </si>
  <si>
    <t>Durable</t>
  </si>
  <si>
    <t>AMALTHEE</t>
  </si>
  <si>
    <t>karine.lecomte@amaltheeconsulting.com</t>
  </si>
  <si>
    <t>http://www.linkedin.com/in/karinelecomterse</t>
  </si>
  <si>
    <t>http://www.amaltheeconsulting.com</t>
  </si>
  <si>
    <t xml:space="preserve">Cabinet de consulting engagé spécialisé dans l'accompagnement des dirigeants sur les sujets de transformation digitale, sociétale et environnementale. Reims, Grand-Est.</t>
  </si>
  <si>
    <t>Sentis</t>
  </si>
  <si>
    <t>louis.sentis@p3-group.com</t>
  </si>
  <si>
    <t>http://www.linkedin.com/in/louis-sentis-b9241a88</t>
  </si>
  <si>
    <t>Pelagie</t>
  </si>
  <si>
    <t xml:space="preserve">Directrice générale - Directrice des opérations</t>
  </si>
  <si>
    <t>pelagie.bardel@flandres-analyses.fr</t>
  </si>
  <si>
    <t>http://www.linkedin.com/in/p%c3%a9lagie-bardel-4b96a478</t>
  </si>
  <si>
    <t>Dunkirk</t>
  </si>
  <si>
    <t>Rioublanc</t>
  </si>
  <si>
    <t>n.perfetti@rbmg-consulting.com</t>
  </si>
  <si>
    <t>http://www.linkedin.com/in/laurent-rioublanc-b91aa83</t>
  </si>
  <si>
    <t xml:space="preserve">CD Conseils</t>
  </si>
  <si>
    <t>cbonin@cdconseils.expert</t>
  </si>
  <si>
    <t>http://www.linkedin.com/in/cedrick-bonin-25189210a</t>
  </si>
  <si>
    <t>http://www.cdconseils.net</t>
  </si>
  <si>
    <t xml:space="preserve">154 Rue Andre Derain, Macon, Bourgogne-Franche-Comte, France, 71000</t>
  </si>
  <si>
    <t>Pierart</t>
  </si>
  <si>
    <t xml:space="preserve">Agence Shake</t>
  </si>
  <si>
    <t>jerome@agence-shake.fr</t>
  </si>
  <si>
    <t>http://www.linkedin.com/in/jerome-pierart-4749603</t>
  </si>
  <si>
    <t>http://www.agence-shake.fr</t>
  </si>
  <si>
    <t xml:space="preserve">175 Rue du Temple, Paris, Ile-de-France, France, 75003</t>
  </si>
  <si>
    <t xml:space="preserve">Agence Shake: Production d'événements, Location de lieu atypique &amp; Rooftop, Journée Presse,
Lancement produit, Aftershow, Soirées d'entreprise &amp; Séminaires, Pop up Bar à Cocktails.</t>
  </si>
  <si>
    <t>Aubeaux</t>
  </si>
  <si>
    <t xml:space="preserve">Office manager du Président (Gérard Mestrallet puis Jean-Yves Le Drian)</t>
  </si>
  <si>
    <t xml:space="preserve">Agence française pour le développement d'AlUla</t>
  </si>
  <si>
    <t>lucie.aubeaux@afalula.com</t>
  </si>
  <si>
    <t>http://www.linkedin.com/in/lucie-aubeaux-782b97b9</t>
  </si>
  <si>
    <t>http://www.afalula.com</t>
  </si>
  <si>
    <t xml:space="preserve">82 Rue de Courcelles, Paris, Ile-de-France, France, 75008</t>
  </si>
  <si>
    <t xml:space="preserve">French Agency forALULA development Horizon ALULA Discover the magazine Governance Jean-Yves Le DrianChairman of the French Agency for AlUla Development</t>
  </si>
  <si>
    <t>Icard</t>
  </si>
  <si>
    <t xml:space="preserve">At Home Écosystème</t>
  </si>
  <si>
    <t>annesophie@athome-startup.fr</t>
  </si>
  <si>
    <t>http://www.linkedin.com/in/annesophieicard</t>
  </si>
  <si>
    <t>http://www.athome-ecosysteme.fr</t>
  </si>
  <si>
    <t xml:space="preserve">55 Avenue Louis Breguet, Toulouse, Occitanie, France, 31400</t>
  </si>
  <si>
    <t xml:space="preserve">Rejoignez un écosystème d'entreprises innovantes. Découvrez un environnement de travail idéal pour grandir et s'épanouir à Toulouse.</t>
  </si>
  <si>
    <t>Pinglot</t>
  </si>
  <si>
    <t>nicolas.pinglot@spirit-advisors.com</t>
  </si>
  <si>
    <t>http://www.linkedin.com/in/nicolas-pinglot</t>
  </si>
  <si>
    <t>http://www.spirit-advisors.com</t>
  </si>
  <si>
    <t xml:space="preserve">Partner, co-founder, igniter</t>
  </si>
  <si>
    <t xml:space="preserve">LA BOETIE</t>
  </si>
  <si>
    <t>emas@laboetiepartners.com</t>
  </si>
  <si>
    <t>http://www.linkedin.com/in/emmanuelmas</t>
  </si>
  <si>
    <t>http://www.laboetiepartners.com</t>
  </si>
  <si>
    <t xml:space="preserve">64 Rue des Mathurins, Paris, Ile-de-France, France, 75008</t>
  </si>
  <si>
    <t>r.robert@afpiasolfi2a.fr</t>
  </si>
  <si>
    <t>http://www.linkedin.com/in/rapha%c3%abl-robert-2b9a036b</t>
  </si>
  <si>
    <t>http://www.noveha.fr</t>
  </si>
  <si>
    <t xml:space="preserve">Montaigu, Pays de la Loire, France, 85600</t>
  </si>
  <si>
    <t>Calame</t>
  </si>
  <si>
    <t>emilie@calame.fr</t>
  </si>
  <si>
    <t>http://www.linkedin.com/in/emiliecalame</t>
  </si>
  <si>
    <t>http://www.calame.fr</t>
  </si>
  <si>
    <t xml:space="preserve">12 Rue Vivienne, Paris, Ile-de-France, France, 75002</t>
  </si>
  <si>
    <t xml:space="preserve">Chez Calame, nous donnons les moyens à toutes les Directions Juridiques de passer de la réactivité à la proactivité grâce aux Legal Operations.</t>
  </si>
  <si>
    <t>Lamarre</t>
  </si>
  <si>
    <t xml:space="preserve">Co-founder /Global Consulting Services</t>
  </si>
  <si>
    <t>patricia.lamarre@prodecys.com</t>
  </si>
  <si>
    <t>http://www.linkedin.com/in/patricia-lamarre-borelli-ba9b11111</t>
  </si>
  <si>
    <t>Weckel</t>
  </si>
  <si>
    <t>ATRISC</t>
  </si>
  <si>
    <t>bertrand.weckel@atrisc.com</t>
  </si>
  <si>
    <t>http://www.linkedin.com/in/bertrand-weckel-a834b712</t>
  </si>
  <si>
    <t>http://www.atrisc.com</t>
  </si>
  <si>
    <t xml:space="preserve">15 Route de Colmar, Wintzenheim, Alsace, France, 68920</t>
  </si>
  <si>
    <t xml:space="preserve">ATRISC - Société de conseil et de formation spécialisée dans la gestion de risque et de crise et fiabilisation des organisations.</t>
  </si>
  <si>
    <t>Grison</t>
  </si>
  <si>
    <t xml:space="preserve">kalane consulting</t>
  </si>
  <si>
    <t>vincent.grison@kalane.com</t>
  </si>
  <si>
    <t>http://www.linkedin.com/in/vincentgrison0kalaneconsulting</t>
  </si>
  <si>
    <t>http://www.kalane-consulting.com</t>
  </si>
  <si>
    <t xml:space="preserve">39 Avenue Franklin Delano Roosevelt, Paris, Ile-de-France, France, 75008</t>
  </si>
  <si>
    <t>Francois-Daniel</t>
  </si>
  <si>
    <t>Migeon</t>
  </si>
  <si>
    <t xml:space="preserve">Thomas More</t>
  </si>
  <si>
    <t>fd.migeon@thomas-more-partners.com</t>
  </si>
  <si>
    <t>http://www.linkedin.com/in/fran%c3%a7ois-daniel-migeon-07325b62</t>
  </si>
  <si>
    <t>http://www.thomas-more-partners.com</t>
  </si>
  <si>
    <t xml:space="preserve">Avenue Franklin Delano Roosevelt, Paris, Ile-de-France, France, 75008</t>
  </si>
  <si>
    <t>Lynda</t>
  </si>
  <si>
    <t>Stien</t>
  </si>
  <si>
    <t xml:space="preserve">Linman &amp; Associates</t>
  </si>
  <si>
    <t>ls@linmanetassocies.fr</t>
  </si>
  <si>
    <t>http://www.linkedin.com/in/lynda-stien-7187937</t>
  </si>
  <si>
    <t>http://www.linmanetassocies.fr</t>
  </si>
  <si>
    <t xml:space="preserve">10 Allee Susan Brownell Anthony, Nantes, Pays de la Loire, France, 44200</t>
  </si>
  <si>
    <t>Foufelle</t>
  </si>
  <si>
    <t xml:space="preserve">Partner, co-founder</t>
  </si>
  <si>
    <t xml:space="preserve">KaYaC Consulting</t>
  </si>
  <si>
    <t>julien.foufelle@kayac-consulting.com</t>
  </si>
  <si>
    <t>http://www.linkedin.com/in/julien-foufelle-9b4081154</t>
  </si>
  <si>
    <t>http://www.kayac-consulting.com</t>
  </si>
  <si>
    <t xml:space="preserve">70 Avenue Kleber, Paris, Ile-de-France, France, 75116</t>
  </si>
  <si>
    <t>Kryceve</t>
  </si>
  <si>
    <t>HAATCH</t>
  </si>
  <si>
    <t>mylene@haatch.fr</t>
  </si>
  <si>
    <t>http://www.linkedin.com/in/alexiskryceve</t>
  </si>
  <si>
    <t>http://www.haatch.fr</t>
  </si>
  <si>
    <t xml:space="preserve">24 Rue de l'Est, Paris, Ile-de-France, France, 75020</t>
  </si>
  <si>
    <t xml:space="preserve">Cabinet de conseil en stratégie RSE, HAATCH aide les entreprises à faire converger leurs enjeux stratégiques et leurs engagements sociétaux.</t>
  </si>
  <si>
    <t>Soizic</t>
  </si>
  <si>
    <t xml:space="preserve">La Cousine</t>
  </si>
  <si>
    <t>soizic@la-cousine.fr</t>
  </si>
  <si>
    <t>http://www.linkedin.com/in/soizic-huet-58b6582b</t>
  </si>
  <si>
    <t>http://www.la-cousine.fr</t>
  </si>
  <si>
    <t xml:space="preserve">106 Rue de Lourmel, Paris, Ile-de-France, France, 75015</t>
  </si>
  <si>
    <t>Pingree</t>
  </si>
  <si>
    <t>STICKY-E</t>
  </si>
  <si>
    <t>c.pingree@sticky-e.com</t>
  </si>
  <si>
    <t>http://www.linkedin.com/in/charlespingree</t>
  </si>
  <si>
    <t>http://www.sticky-e.com</t>
  </si>
  <si>
    <t xml:space="preserve">3 Avenue Bourgain, Issy-les-Moulineaux, Ile-de-France, France, 92130</t>
  </si>
  <si>
    <t>Sohaib</t>
  </si>
  <si>
    <t>Zafar</t>
  </si>
  <si>
    <t xml:space="preserve">Bizgrow Consultants</t>
  </si>
  <si>
    <t>sohaib@bizgrowconsultants.com</t>
  </si>
  <si>
    <t>http://www.linkedin.com/in/sohaib-zafar-2a0326170</t>
  </si>
  <si>
    <t>http://www.bizgrowconsultants.com</t>
  </si>
  <si>
    <t xml:space="preserve">Karachi, Sindh, Pakistan</t>
  </si>
  <si>
    <t>Pakistan</t>
  </si>
  <si>
    <t xml:space="preserve">Step Into Infinite Growth Bizgrow Consultants A diverse, close-knit team of e-commerce business consultants, social media marketers, and content managers. contact us Know Who We Are About Our Agency The Bizgrow team focuses on creating continued business growth for clients by scaling their eCommerce stores organically and via social media platforms. Our channel managers, marketers,</t>
  </si>
  <si>
    <t>Charbel</t>
  </si>
  <si>
    <t>Roukoss</t>
  </si>
  <si>
    <t xml:space="preserve">EUROFINS BIOPHY RESEARCH</t>
  </si>
  <si>
    <t>charbel.roukoss@tescan.com</t>
  </si>
  <si>
    <t>http://www.linkedin.com/in/charbel-roukoss-5623a560</t>
  </si>
  <si>
    <t>http://www.tescan-analytics.com</t>
  </si>
  <si>
    <t xml:space="preserve">116 Z.A. Saint-Charles, Fuveau, Provence-Alpes-Cote d'Azur, France, 13710</t>
  </si>
  <si>
    <t xml:space="preserve">TESCAN ANALYTICS, private laboratory providing chemical and physical characterization service of surfaces and interfaces in advanced materials. Tescan Analytics can support you with an experienced team, a high technology instrumental park and different surface analysis techniques to analyse all kind of materials.</t>
  </si>
  <si>
    <t>Eleonore</t>
  </si>
  <si>
    <t>Digne</t>
  </si>
  <si>
    <t xml:space="preserve">France Certification</t>
  </si>
  <si>
    <t>eleonore.digne@france-certification.com</t>
  </si>
  <si>
    <t>http://www.linkedin.com/in/el%c3%a9onore-digne-6a30a597</t>
  </si>
  <si>
    <t>http://www.france-certification.com</t>
  </si>
  <si>
    <t xml:space="preserve">5 Rue Felix Le Dantec, Quimper, Brittany, France, 29000</t>
  </si>
  <si>
    <t xml:space="preserve">France Certification : Votre partenaire pour la formation, le conseil et l'audit ISO. Obtenez et maintenez la norme ISO qui vous corresponds.</t>
  </si>
  <si>
    <t>Igor</t>
  </si>
  <si>
    <t>Quezel-Perron</t>
  </si>
  <si>
    <t xml:space="preserve">Co-founder and Managing Partner</t>
  </si>
  <si>
    <t>KINT</t>
  </si>
  <si>
    <t>iqp@kintpartners.com</t>
  </si>
  <si>
    <t>http://www.linkedin.com/in/igor-quezel-perron-1964491</t>
  </si>
  <si>
    <t>http://www.kintpartners.com</t>
  </si>
  <si>
    <t xml:space="preserve">Paris, Ile-de-France, France, 75005</t>
  </si>
  <si>
    <t xml:space="preserve">KINT Partners - situation managers. By combining executive search, interim management and advisory, Situation Management provides you with the right response to your situation.</t>
  </si>
  <si>
    <t>yleblond@e-nergy.com</t>
  </si>
  <si>
    <t>http://www.linkedin.com/in/yann-leblond-7b63b8a4</t>
  </si>
  <si>
    <t>http://www.e-nergy.com</t>
  </si>
  <si>
    <t xml:space="preserve">83 Rue de Paris, Boulogne-Billancourt, Ile-de-France, France, 92100</t>
  </si>
  <si>
    <t>Aubery</t>
  </si>
  <si>
    <t xml:space="preserve">Co-Founder &amp; Associate Director</t>
  </si>
  <si>
    <t>CXP</t>
  </si>
  <si>
    <t>caubery@cxpgroup.com</t>
  </si>
  <si>
    <t>http://www.linkedin.com/in/cyril-aub%c3%a9ry-5b1b97a</t>
  </si>
  <si>
    <t>http://www.cxp.fr</t>
  </si>
  <si>
    <t>Bouadis</t>
  </si>
  <si>
    <t xml:space="preserve">Co-fondatrice et directrice juridique</t>
  </si>
  <si>
    <t>ARRA-ENGINEERING</t>
  </si>
  <si>
    <t>s.bouadis@arra-engineering.com</t>
  </si>
  <si>
    <t>http://www.linkedin.com/in/sabrina-bouadis-798584209</t>
  </si>
  <si>
    <t>http://www.arra-engineering.com</t>
  </si>
  <si>
    <t xml:space="preserve">Chez ARRA Engineering, nous nous engageons à offrir des solutions innovantes et à favoriser le développement de talents exceptionnels dans différents domaines.</t>
  </si>
  <si>
    <t>Vierling</t>
  </si>
  <si>
    <t xml:space="preserve">SPRING LAB</t>
  </si>
  <si>
    <t>vanessa@spring-lab.com</t>
  </si>
  <si>
    <t>http://www.linkedin.com/in/vanessa-vierling-b973311</t>
  </si>
  <si>
    <t>http://www.spring-lab.com</t>
  </si>
  <si>
    <t xml:space="preserve">Cabinet de conseil certifié B Corp et Société à Mission, Spring Lab accompagne les entreprises à agir pour un impact positif.</t>
  </si>
  <si>
    <t>Alfonsi</t>
  </si>
  <si>
    <t>Benkei</t>
  </si>
  <si>
    <t>pierre@benkei.fr</t>
  </si>
  <si>
    <t>http://www.linkedin.com/in/pierre-alfonsi-5493b0</t>
  </si>
  <si>
    <t>http://www.benkei.eu</t>
  </si>
  <si>
    <t xml:space="preserve">Cours Gambetta, Lyon, Auvergne-Rhone-Alpes, France</t>
  </si>
  <si>
    <t xml:space="preserve">Benkei accompagne ses clients dans la définition, le financement &amp; la mise en œuvre de leurs projets de R&amp;I et de leur stratégie d’innovation</t>
  </si>
  <si>
    <t>pierrick@getalead.co</t>
  </si>
  <si>
    <t>http://www.linkedin.com/in/meunier-pierrick</t>
  </si>
  <si>
    <t>http://www.getalead.co</t>
  </si>
  <si>
    <t>Mestanza</t>
  </si>
  <si>
    <t xml:space="preserve">Co-Founder &amp; Co-CEO</t>
  </si>
  <si>
    <t>IntPact</t>
  </si>
  <si>
    <t>r.mestanza@intpact.com</t>
  </si>
  <si>
    <t>http://www.linkedin.com/in/rapha%c3%abl-mestanza-4031379</t>
  </si>
  <si>
    <t>http://www.intpact.com</t>
  </si>
  <si>
    <t xml:space="preserve">Liege, Walloon Region, Belgium</t>
  </si>
  <si>
    <t xml:space="preserve">Intelligence as a total service integrating Platforms, Data, Experts and Methodologies to anticipate, collaborate and accelerate. The best Intelligence digital and human eco-system for B2B.</t>
  </si>
  <si>
    <t>Combes</t>
  </si>
  <si>
    <t xml:space="preserve">Co-fondateur, Sociologue, Concepteur et Facilitateur de dispositifs d'intelligence collective</t>
  </si>
  <si>
    <t>indivisible</t>
  </si>
  <si>
    <t>gregory.combes@agence-indivisible.fr</t>
  </si>
  <si>
    <t>http://www.linkedin.com/in/gr%c3%a9gory-combes-ab545b106</t>
  </si>
  <si>
    <t>http://www.indivsible.fr</t>
  </si>
  <si>
    <t xml:space="preserve">4 Rue de la Vacquerie, Paris, Ile-de-France, France, 75011</t>
  </si>
  <si>
    <t>Louis-Armand</t>
  </si>
  <si>
    <t xml:space="preserve">Good one</t>
  </si>
  <si>
    <t>louisarmand@goodone.fr</t>
  </si>
  <si>
    <t>http://www.linkedin.com/in/louis-armand-dubost-99431161</t>
  </si>
  <si>
    <t>http://www.goodone.fr</t>
  </si>
  <si>
    <t>Astrakhan</t>
  </si>
  <si>
    <t>marie.bastien@astrakhan.fr</t>
  </si>
  <si>
    <t>http://www.linkedin.com/in/marie-bastien-47a251150</t>
  </si>
  <si>
    <t>http://www.astrakhan.consulting</t>
  </si>
  <si>
    <t>Sannois</t>
  </si>
  <si>
    <t xml:space="preserve">1 Rue des Gatines, Paris, Ile-de-France, France, 75020</t>
  </si>
  <si>
    <t xml:space="preserve">Astrakhan is an expert player in business transformation through architecture, agile and Sustainable approach to digital.</t>
  </si>
  <si>
    <t>Bonnoure</t>
  </si>
  <si>
    <t>claude.bonnoure@imdm.ch</t>
  </si>
  <si>
    <t>http://www.linkedin.com/in/claude-bonnoure-4430312aa</t>
  </si>
  <si>
    <t>Ros</t>
  </si>
  <si>
    <t xml:space="preserve">CEO @ R&amp;R Consulting (EASA DOA + supply chain and certification consulting) / ImprovAero Technologies (dev &amp; prod</t>
  </si>
  <si>
    <t xml:space="preserve">R&amp;R Consulting</t>
  </si>
  <si>
    <t>fabrice.ros@rr-consulting.aero</t>
  </si>
  <si>
    <t>http://www.linkedin.com/in/fabrice-ros-79a3588</t>
  </si>
  <si>
    <t>http://www.rr-consulting.aero</t>
  </si>
  <si>
    <t xml:space="preserve">244 Route de Seysses, Toulouse, Occitanie, France, 31100</t>
  </si>
  <si>
    <t xml:space="preserve">R&amp;R Consulting is delivering expertise to secure and accelerate certification  of customer organisations and products in Aerospace &amp; Defence industry contexts</t>
  </si>
  <si>
    <t>GSE</t>
  </si>
  <si>
    <t>adutto@gsegroup.com</t>
  </si>
  <si>
    <t>http://www.linkedin.com/in/alain-dutto-6b82a7166</t>
  </si>
  <si>
    <t>http://www.gse.ca</t>
  </si>
  <si>
    <t xml:space="preserve">Quebec City, Quebec, Canada</t>
  </si>
  <si>
    <t xml:space="preserve">Plus d’expertise pour plus de santé au Québec</t>
  </si>
  <si>
    <t xml:space="preserve">President &amp; founder</t>
  </si>
  <si>
    <t xml:space="preserve">patrickmathieu singularité</t>
  </si>
  <si>
    <t>patrick.mathieu@patrickmathieu.net</t>
  </si>
  <si>
    <t>http://www.linkedin.com/in/patrick-mathieu-4199895</t>
  </si>
  <si>
    <t>http://www.patrickmathieu.net</t>
  </si>
  <si>
    <t xml:space="preserve">Nous incarnons une théorie transformatrice. Notre métier est de décrypter le différent, en partenariat avec des chercheurs audacieux qui gèrent l’infini de l’évolution.
Nous produisons une recherche impactante qui imprègne le futur des entreprises avec l’art de la singularité salvatrice.</t>
  </si>
  <si>
    <t xml:space="preserve">Teresa Monroe</t>
  </si>
  <si>
    <t>nathalie@teresamonroe.com</t>
  </si>
  <si>
    <t>http://www.linkedin.com/in/nathalie-vaillant-10287653</t>
  </si>
  <si>
    <t>http://www.teresamonroe.com</t>
  </si>
  <si>
    <t>Glaenzer</t>
  </si>
  <si>
    <t xml:space="preserve">Lemon Operations</t>
  </si>
  <si>
    <t>laurent.glaenzer@lemon-operations.com</t>
  </si>
  <si>
    <t>http://www.linkedin.com/in/laurentglaenzer</t>
  </si>
  <si>
    <t>http://www.lemon-operations.com</t>
  </si>
  <si>
    <t xml:space="preserve">Generate new streams of recurring revenues with advanced practices like Business -as-a-Service.</t>
  </si>
  <si>
    <t>Gateau</t>
  </si>
  <si>
    <t xml:space="preserve">La Collective</t>
  </si>
  <si>
    <t>dgateau@datsit-conseil.com</t>
  </si>
  <si>
    <t>http://www.linkedin.com/in/davidgateau</t>
  </si>
  <si>
    <t>http://www.datsit-conseil.com</t>
  </si>
  <si>
    <t xml:space="preserve">11 Rue Saint Euverte, Orleans, Centre-Val de Loire, France, 45000</t>
  </si>
  <si>
    <t>Bastide</t>
  </si>
  <si>
    <t xml:space="preserve">Escale Création coopérative d'activité et d'emploi</t>
  </si>
  <si>
    <t>gbastide@lux-aqua.com</t>
  </si>
  <si>
    <t>http://www.linkedin.com/in/gr%c3%a9goire-bastide-%f0%9f%92%a1-69215149</t>
  </si>
  <si>
    <t>http://www.escalecreation.com</t>
  </si>
  <si>
    <t xml:space="preserve">Saint-Fons, Rhone-Alpes, France</t>
  </si>
  <si>
    <t xml:space="preserve">Escale Création est une coopérative d'activité et d'emploi basée dans le sud-est de Lyon. La structure accompagne tout entrepreneur voulant développer son activité dans un cadre sécurisant et bienveillant.</t>
  </si>
  <si>
    <t>Riou</t>
  </si>
  <si>
    <t>Egidio</t>
  </si>
  <si>
    <t>g.riou@egidio.eu</t>
  </si>
  <si>
    <t>http://www.linkedin.com/in/gillesriou</t>
  </si>
  <si>
    <t>http://www.egidio.eu</t>
  </si>
  <si>
    <t xml:space="preserve">Aix-en-Provence, Provence-Alpes-Cote d'Azur, France, 13100</t>
  </si>
  <si>
    <t xml:space="preserve">🟡 GROUPEACTIVE</t>
  </si>
  <si>
    <t>frederic.barbier@groupeactive.com</t>
  </si>
  <si>
    <t>http://www.linkedin.com/in/fr%c3%a9d%c3%a9ric-barbier</t>
  </si>
  <si>
    <t>Grange</t>
  </si>
  <si>
    <t xml:space="preserve">CEO Mascaret (formely Dentsu Consulting)</t>
  </si>
  <si>
    <t>Mascaret</t>
  </si>
  <si>
    <t>benjamin.grange@mascaret.eu</t>
  </si>
  <si>
    <t>http://www.linkedin.com/in/bgrange</t>
  </si>
  <si>
    <t>http://www.mascaret.eu</t>
  </si>
  <si>
    <t xml:space="preserve">8 Rue La Vrilliere, Paris, Ile-de-France, France, 75001</t>
  </si>
  <si>
    <t xml:space="preserve">Créé en 2016 sous le nom Dentsu Consulting, Mascaret est aujourd’hui un cabinet leader dans la communication d’affaires. Nos clients sont des dirigeants du SBF120, d’ETI, de PME, de start-ups, de fonds d’investissement, de syndicats, d’associations et des leaders politiques.</t>
  </si>
  <si>
    <t>Druon</t>
  </si>
  <si>
    <t xml:space="preserve">Associé co-fondateur (Sésame Développement)</t>
  </si>
  <si>
    <t xml:space="preserve">Le Centre National du Coaching leCNDC®</t>
  </si>
  <si>
    <t>georgesdruon@lecndc.com</t>
  </si>
  <si>
    <t>http://www.linkedin.com/in/georgesdruon</t>
  </si>
  <si>
    <t>http://www.lecndc.com</t>
  </si>
  <si>
    <t xml:space="preserve">Le Centre National du Coaching est la référence en termes de coaching professionnel et de coaching d'affaires, formations et réseau de coachs</t>
  </si>
  <si>
    <t>Magin</t>
  </si>
  <si>
    <t xml:space="preserve">Co-Fondateur, Directeur Associé</t>
  </si>
  <si>
    <t xml:space="preserve">MCR GROUPE</t>
  </si>
  <si>
    <t>tmagin@mcr-consultants.com</t>
  </si>
  <si>
    <t>http://www.linkedin.com/in/thierrymagin</t>
  </si>
  <si>
    <t>http://www.mcr-consultants.com</t>
  </si>
  <si>
    <t xml:space="preserve">4 Rue de Longchamp, Paris, Ile-de-France, France, 75116</t>
  </si>
  <si>
    <t>Doors3</t>
  </si>
  <si>
    <t>karen@doors3.io</t>
  </si>
  <si>
    <t>http://www.linkedin.com/in/karen-jouve-5b67b791</t>
  </si>
  <si>
    <t>http://www.doors3.io</t>
  </si>
  <si>
    <t>Hausermann</t>
  </si>
  <si>
    <t>laurent.hausermann@cygo-entrepreneurs.com</t>
  </si>
  <si>
    <t>http://www.linkedin.com/in/laurenthausermann</t>
  </si>
  <si>
    <t>Baurens</t>
  </si>
  <si>
    <t xml:space="preserve">Set by setec</t>
  </si>
  <si>
    <t>baptiste.baurens@setec.com</t>
  </si>
  <si>
    <t>http://www.linkedin.com/in/baptiste-baurens-88223b132</t>
  </si>
  <si>
    <t>http://www.setbysetec.com</t>
  </si>
  <si>
    <t xml:space="preserve">Renouvellement urbain, sobriété foncière, résilience, transition écologique, découvrez le le service d'aide à la décision Set by Setec pour devenir une ville durable !</t>
  </si>
  <si>
    <t>Marmol</t>
  </si>
  <si>
    <t xml:space="preserve">COHESION INTERNATIONAL Spécialiste de l'Efficience durable</t>
  </si>
  <si>
    <t>lmarmol@cohesion-int.com</t>
  </si>
  <si>
    <t>http://www.linkedin.com/in/lionel-marmol-832733b0</t>
  </si>
  <si>
    <t>http://www.cohesion-inter.com</t>
  </si>
  <si>
    <t xml:space="preserve">54 Rue Saint-Maximin, Lyon, Auvergne-Rhone-Alpes, France, 69003</t>
  </si>
  <si>
    <t>gabriel@liko-energy.com</t>
  </si>
  <si>
    <t>http://www.linkedin.com/in/gabriel-levy-8a8803166</t>
  </si>
  <si>
    <t xml:space="preserve">Optimal Ways</t>
  </si>
  <si>
    <t>nmalo@optimalways.com</t>
  </si>
  <si>
    <t>http://www.linkedin.com/in/nicolasmalo</t>
  </si>
  <si>
    <t>http://www.optimalways.com</t>
  </si>
  <si>
    <t xml:space="preserve">45 Avenue de Flandre, Wasquehal, Hauts-de-France, France, 59290</t>
  </si>
  <si>
    <t xml:space="preserve">Optimal Ways is specialized in Digital Analytics for Ecommerce and Retails players. We provide our expertise and support to companies throughout France.</t>
  </si>
  <si>
    <t>Feuillard</t>
  </si>
  <si>
    <t xml:space="preserve">Co-Founder and Partner</t>
  </si>
  <si>
    <t>florian.feuillard@blackfox-partners.com</t>
  </si>
  <si>
    <t>http://www.linkedin.com/in/florian-feuillard-85719726</t>
  </si>
  <si>
    <t xml:space="preserve">Associé Fondateur – Consultant Formateur en Accompagnement Managérial et Recrutement RH</t>
  </si>
  <si>
    <t>APPTE</t>
  </si>
  <si>
    <t>r.chauvet@appte-rh.fr</t>
  </si>
  <si>
    <t>http://www.linkedin.com/in/rodolphe-chauvet-a4b7b9b3</t>
  </si>
  <si>
    <t>http://www.appteformaconseil.fr</t>
  </si>
  <si>
    <t xml:space="preserve">Pouzauges, Pays de la Loire, France, 85700</t>
  </si>
  <si>
    <t xml:space="preserve">APPTE est un cabinet de formation métiers et de conseil en organisation et management.Nous aidons nos clients à faire évoluer leurs organisations en plaçant</t>
  </si>
  <si>
    <t>Barbate</t>
  </si>
  <si>
    <t xml:space="preserve">Directeur Général CTO</t>
  </si>
  <si>
    <t>SirEnergies</t>
  </si>
  <si>
    <t>rb@sirenergies.com</t>
  </si>
  <si>
    <t>http://www.linkedin.com/in/raphaelbarbate</t>
  </si>
  <si>
    <t>http://www.sirenergies.com</t>
  </si>
  <si>
    <t xml:space="preserve">SirEnergies apporte aux entreprises de toutes tailles des solutions optimisées pour les accompagner dans la gestion de leur stratégie énergétique.</t>
  </si>
  <si>
    <t>Dalencon</t>
  </si>
  <si>
    <t xml:space="preserve">Felps Group</t>
  </si>
  <si>
    <t>r.dalencon@felpsgroup.fr</t>
  </si>
  <si>
    <t>http://www.linkedin.com/in/renaud-dalencon</t>
  </si>
  <si>
    <t>http://www.felpsgroup.fr</t>
  </si>
  <si>
    <t xml:space="preserve">Bienvenue dans l'univers Felps Group, où chaque chapitre de notre histoire est façonné par l'innovation, la collaboration et la réussite partagée​.</t>
  </si>
  <si>
    <t>Laurain</t>
  </si>
  <si>
    <t xml:space="preserve">Président Fondateur - HANDI-CONSEILS</t>
  </si>
  <si>
    <t>HANDI-CONSEILS</t>
  </si>
  <si>
    <t>olivier.laurain@handi-conseils.fr</t>
  </si>
  <si>
    <t>http://www.linkedin.com/in/olivier-laurain-4a910067</t>
  </si>
  <si>
    <t>http://www.handiconseils.com</t>
  </si>
  <si>
    <t xml:space="preserve">2b Boulevard du 1er R.A.M, Troyes, Grand Est, France, 10000</t>
  </si>
  <si>
    <t xml:space="preserve">Le handicap renforce l’implication et valorise les compétences !</t>
  </si>
  <si>
    <t>Vourey</t>
  </si>
  <si>
    <t>igor.vourey@forwards.co</t>
  </si>
  <si>
    <t>http://www.linkedin.com/in/igor-vourey-737ab62</t>
  </si>
  <si>
    <t>http://www.forwards.co</t>
  </si>
  <si>
    <t xml:space="preserve">2 Quai d'Arenc, Marseille, Provence-Alpes-Cote d'Azur, France, 13002</t>
  </si>
  <si>
    <t>Deglaire</t>
  </si>
  <si>
    <t xml:space="preserve">Directeur de la communication et de la formation - Chief of Staff to the CEO</t>
  </si>
  <si>
    <t xml:space="preserve">INITIAL Expertise</t>
  </si>
  <si>
    <t>a.deglaire@initial-expertise.fr</t>
  </si>
  <si>
    <t>http://www.linkedin.com/in/directeur-communication-formation-enseignant-arnaud-deglaire</t>
  </si>
  <si>
    <t>http://www.initial-expertise.fr</t>
  </si>
  <si>
    <t xml:space="preserve">INITIAL Expertise accompagne les acteurs du secteur privé et public dans leurs projets de transition énergétique et la décarbonation de leurs activités. Découvrez comment nous innovons pour optimiser les nouveaux usages de l'énergie de nos clients et partenaires.</t>
  </si>
  <si>
    <t>Mutter</t>
  </si>
  <si>
    <t>EURO-SYMBIOSE</t>
  </si>
  <si>
    <t>mathieu.mutter@euro-symbiose.fr</t>
  </si>
  <si>
    <t>http://www.linkedin.com/in/mathieumutter</t>
  </si>
  <si>
    <t>http://www.euro-symbiose.fr</t>
  </si>
  <si>
    <t xml:space="preserve">5 Rue Thomas Edison, Carquefou, Pays de la Loire, France, 44470</t>
  </si>
  <si>
    <t xml:space="preserve">EURO-SYMBIOSE accompagne ses clients en France et à l’étranger dans leur recherche d’efficacité et d’amélioration de leurs performances.</t>
  </si>
  <si>
    <t xml:space="preserve">GROUPE PRORISK</t>
  </si>
  <si>
    <t>thierry.houette@groupe-prorisk.com</t>
  </si>
  <si>
    <t>http://www.linkedin.com/in/thierry-houette-92896352</t>
  </si>
  <si>
    <t>http://www.groupe-prorisk.com</t>
  </si>
  <si>
    <t xml:space="preserve">2 Rue Henri Moreau, Brest, Brittany, France, 29200</t>
  </si>
  <si>
    <t xml:space="preserve">Groupe Prorisk, spécialiste en sûreté maritime et portuaire, activités industrielles et cybersécurité, appuie vos équipes de surveillance à l'international.</t>
  </si>
  <si>
    <t>Masinissa</t>
  </si>
  <si>
    <t>Hassouna</t>
  </si>
  <si>
    <t xml:space="preserve">MA SOLUTION ENERGIE</t>
  </si>
  <si>
    <t>m.hassouna@ma-solution-energie.fr</t>
  </si>
  <si>
    <t>http://www.linkedin.com/in/masinissa-hassouna-a341871b0</t>
  </si>
  <si>
    <t>http://www.ma-solution-energie.fr</t>
  </si>
  <si>
    <t xml:space="preserve">101 Rue Philibert Hoffmann, Rosny-sous-Bois, Ile-de-France, France, 93110</t>
  </si>
  <si>
    <t xml:space="preserve">Notre cabinet d'experts accompagne les entreprises et les syndics, quelle que soit leur taille, à optimiser leurs coûts d'électricité et de gaz naturel.</t>
  </si>
  <si>
    <t>Taldir</t>
  </si>
  <si>
    <t xml:space="preserve">Directeur Associé / Fondateur</t>
  </si>
  <si>
    <t xml:space="preserve">AGENCE IS</t>
  </si>
  <si>
    <t>morgan.taldir@infinimentsport.fr</t>
  </si>
  <si>
    <t>http://www.linkedin.com/in/morgan-taldir-788a9848</t>
  </si>
  <si>
    <t>http://www.agence-is.fr</t>
  </si>
  <si>
    <t xml:space="preserve">7 Rue des Pres, Nanterre, Ile-de-France, France, 92000</t>
  </si>
  <si>
    <t xml:space="preserve">Sport expertises - Mass Event - Brand Experience - Activations - Corporate Event - Creative Studio. Our team is at your side to create and produce your project...</t>
  </si>
  <si>
    <t>Esnoult</t>
  </si>
  <si>
    <t>SprintProject</t>
  </si>
  <si>
    <t>f.esnoult@sprint-project.com</t>
  </si>
  <si>
    <t>http://www.linkedin.com/in/fabien-esnoult</t>
  </si>
  <si>
    <t>http://www.sprint-project.com</t>
  </si>
  <si>
    <t xml:space="preserve">2 Avenue du Palais, Saint-Cloud, Ile-de-France, France, 92210</t>
  </si>
  <si>
    <t xml:space="preserve">SprintProject rend accessible l’innovation et les nouvelles technologies aux entreprises en développement.</t>
  </si>
  <si>
    <t>Albertini</t>
  </si>
  <si>
    <t xml:space="preserve">Co-fondatrice A L'UNISSON</t>
  </si>
  <si>
    <t xml:space="preserve">A L'UNISSON</t>
  </si>
  <si>
    <t>myriam.albertini@a-lunisson.org</t>
  </si>
  <si>
    <t>http://www.linkedin.com/in/myriam-albertini-b2751318</t>
  </si>
  <si>
    <t>http://www.a-lunisson.org</t>
  </si>
  <si>
    <t xml:space="preserve">Urrugne, Nouvelle-Aquitaine, France</t>
  </si>
  <si>
    <t xml:space="preserve">A L’unisson, conseil en stratégie RSE sur bordeaux et le Pays basque - formation RSE - labellisation RSE</t>
  </si>
  <si>
    <t>Monharoul</t>
  </si>
  <si>
    <t>Ferchaud</t>
  </si>
  <si>
    <t>cyril.m@ferchaud.net</t>
  </si>
  <si>
    <t>http://www.linkedin.com/in/mon-cyril</t>
  </si>
  <si>
    <t>http://www.ferchaud.net</t>
  </si>
  <si>
    <t xml:space="preserve">Ferchaud Ingénierie intervient de Saint-Nazaire à Saint-Herblain dans la prestation de dessins techniques et méthodes industriels.</t>
  </si>
  <si>
    <t>Nidhal</t>
  </si>
  <si>
    <t>Chouk</t>
  </si>
  <si>
    <t>Actinuance</t>
  </si>
  <si>
    <t>nidhal.chouk@actinuance.com</t>
  </si>
  <si>
    <t>http://www.linkedin.com/in/nidhal-chouk-b025b727</t>
  </si>
  <si>
    <t>http://www.actinuance.com</t>
  </si>
  <si>
    <t xml:space="preserve">9 Rue Bargue, Paris, Ile-de-France, France, 75015</t>
  </si>
  <si>
    <t xml:space="preserve">Actinuance Consulting est un cabinet de conseil expert dans la gestion des risques digitaux, la compliance et la cybersécurité. Nous fournissons à nos clients un accompagnement sur-mesure autour des sujets de la gouvernance, des risques et de la conformité.​</t>
  </si>
  <si>
    <t xml:space="preserve">Co-founder KPAM IMPACT &amp; CSO KPAM</t>
  </si>
  <si>
    <t>Taillepied</t>
  </si>
  <si>
    <t xml:space="preserve">Directrice Administration Générale</t>
  </si>
  <si>
    <t>Adico</t>
  </si>
  <si>
    <t>florence.taillepied@adico.fr</t>
  </si>
  <si>
    <t>http://www.linkedin.com/in/florence-taillepied-282124110</t>
  </si>
  <si>
    <t>http://www.adico.fr</t>
  </si>
  <si>
    <t xml:space="preserve">5 Rue Jean Monnet, Beauvais, Hauts-de-France, France, 60000</t>
  </si>
  <si>
    <t xml:space="preserve">L’Adico accompagne les collectivités locales dans la transformation numérique. Que vous ayez des projets simples, ambitieux ou innovants, nous sommes là !</t>
  </si>
  <si>
    <t>Bressand</t>
  </si>
  <si>
    <t>L/NE</t>
  </si>
  <si>
    <t>tanguy.bressand@line-technologies.com</t>
  </si>
  <si>
    <t>http://www.linkedin.com/in/tanguy-bressand-8929156</t>
  </si>
  <si>
    <t>http://www.line-technologies.com</t>
  </si>
  <si>
    <t>Darantiere</t>
  </si>
  <si>
    <t>Reseuro</t>
  </si>
  <si>
    <t>philippe.darantiere@reseuro.com</t>
  </si>
  <si>
    <t>http://www.linkedin.com/in/philippe-darantiere-145a993</t>
  </si>
  <si>
    <t>http://www.reseuro.com</t>
  </si>
  <si>
    <t xml:space="preserve">5 Villa Marthe, Nanterre, Ile-de-France, France, 92000</t>
  </si>
  <si>
    <t xml:space="preserve">Reseuro exerce ses activités d’audit, de conseil et de formation dans tous les domaines de la régulation sociale.</t>
  </si>
  <si>
    <t>Monribot</t>
  </si>
  <si>
    <t xml:space="preserve">Petit Poucet</t>
  </si>
  <si>
    <t>monribot@petitpoucet.fr</t>
  </si>
  <si>
    <t>http://www.linkedin.com/in/mathias-monribot-34b80329</t>
  </si>
  <si>
    <t>http://www.petitpoucet.fr</t>
  </si>
  <si>
    <t xml:space="preserve">14 Rue Pierre Marcel, Gentilly, Ile-de-France, France, 94250</t>
  </si>
  <si>
    <t>Vergognan</t>
  </si>
  <si>
    <t xml:space="preserve">Clémence Consulting</t>
  </si>
  <si>
    <t>dvergognan@clcg.fr</t>
  </si>
  <si>
    <t>http://www.linkedin.com/in/david-vergognan-aa66792</t>
  </si>
  <si>
    <t>http://www.clemenceconsulting.fr</t>
  </si>
  <si>
    <t xml:space="preserve">6 Villa des Entrepreneurs, Paris, Ile-de-France, France, 75015</t>
  </si>
  <si>
    <t xml:space="preserve">Business Consulting &amp; Product Owners depuis 2006 - Clémence Consulting est spécialisé dans l’amélioration des ventes et la réduction des coûts de gestion, notamment via le digital et les données.Et nous innovons en matière de recrutement et développement du capital humain.</t>
  </si>
  <si>
    <t>Lapree</t>
  </si>
  <si>
    <t xml:space="preserve">Eco-innovation Director, Co-founder</t>
  </si>
  <si>
    <t xml:space="preserve">MAOBI User-Centric &amp; Sustainable Innovation</t>
  </si>
  <si>
    <t>marion.lapree@maobi-innovation.com</t>
  </si>
  <si>
    <t>http://www.linkedin.com/in/marion-lapr%c3%a9e-a433878</t>
  </si>
  <si>
    <t>http://www.maobi-innovation.com</t>
  </si>
  <si>
    <t xml:space="preserve">Maobi, agence d'innovation responsable, vous accompagne à faire de l’éco-responsabilité un levier de création de valeur : de la stratégie à l’éco-conception.</t>
  </si>
  <si>
    <t>Nury</t>
  </si>
  <si>
    <t>ACRITEC</t>
  </si>
  <si>
    <t>p.nury@acritec.fr</t>
  </si>
  <si>
    <t>http://www.linkedin.com/in/pascalnury</t>
  </si>
  <si>
    <t>http://www.acritec.fr</t>
  </si>
  <si>
    <t xml:space="preserve">196 Rue du Rocher de Lorzier, Moirans, Auvergne-Rhone-Alpes, France, 38430</t>
  </si>
  <si>
    <t xml:space="preserve">Confiez vos contrôles, vos consuels, et vos formations à un bureau de contrôle en Rhône-Alpes qui se préoccupe vraiment de votre sécurité !</t>
  </si>
  <si>
    <t>Boehrer</t>
  </si>
  <si>
    <t xml:space="preserve">Infinity Energies</t>
  </si>
  <si>
    <t>direction@infinity-energies.com</t>
  </si>
  <si>
    <t>http://www.linkedin.com/in/julie-enjolras-boehrer-748a40164</t>
  </si>
  <si>
    <t>http://www.infinity-energies.com</t>
  </si>
  <si>
    <t xml:space="preserve">1 Avenue Clement Monnier, Sausset-les-Pins, Provence-Alpes-Cote d'Azur, France, 13960</t>
  </si>
  <si>
    <t xml:space="preserve">Nos solutions de courtage en électricité et en gaz vous aident à trouver et à sécuriser les contrats énergétiques les plus compétitifs.</t>
  </si>
  <si>
    <t>Casteras</t>
  </si>
  <si>
    <t>nexialist</t>
  </si>
  <si>
    <t>v.casteras@nexialist.fr</t>
  </si>
  <si>
    <t>http://www.linkedin.com/in/vincent-cast%c3%a9ras-a4b9113</t>
  </si>
  <si>
    <t>http://www.nexialist.fr</t>
  </si>
  <si>
    <t xml:space="preserve">515 Avenue de la Tramontane, La Ciotat, Provence-Alpes-Cote d'Azur, France, 13600</t>
  </si>
  <si>
    <t xml:space="preserve">nexialist: Intelligence règlementaire et conformité des produits de santé. Aide au développement et à l'accès au marché des innovations médicales. Audit. Formation.</t>
  </si>
  <si>
    <t>Chretien</t>
  </si>
  <si>
    <t>Komodal</t>
  </si>
  <si>
    <t>laurent@komodal.co</t>
  </si>
  <si>
    <t>http://www.linkedin.com/in/laurent-chr%c3%a9tien-8275926</t>
  </si>
  <si>
    <t>http://www.komodal.co</t>
  </si>
  <si>
    <t xml:space="preserve">Explorez le métavers en toute sérénité ! Notre équipe vous accompagne dans l'exploration de cette nouvelle technologie.</t>
  </si>
  <si>
    <t>G.</t>
  </si>
  <si>
    <t xml:space="preserve">Managing Partner &amp; Founder</t>
  </si>
  <si>
    <t xml:space="preserve">Bretteville Consulting</t>
  </si>
  <si>
    <t>dgourio@brettevilleconsulting.com</t>
  </si>
  <si>
    <t>http://www.linkedin.com/in/damien-g-b91478</t>
  </si>
  <si>
    <t>http://www.brettevilleconsulting.com</t>
  </si>
  <si>
    <t xml:space="preserve">147 Avenue Charles de Gaulle, Neuilly-sur-Seine, Ile-de-France, France, 92200</t>
  </si>
  <si>
    <t xml:space="preserve">PDG - Fondateur</t>
  </si>
  <si>
    <t xml:space="preserve">ATEP SERVICES</t>
  </si>
  <si>
    <t>olivier.martin@atepservices.com</t>
  </si>
  <si>
    <t>http://www.linkedin.com/in/olivier-martin-96b4241b4</t>
  </si>
  <si>
    <t>http://www.atepservices.com</t>
  </si>
  <si>
    <t xml:space="preserve">20 Rue des Tournesols, Cergy, Ile-de-France, France, 95800</t>
  </si>
  <si>
    <t>Carlotti</t>
  </si>
  <si>
    <t>fcarlotti@issho-partners.com</t>
  </si>
  <si>
    <t>http://www.linkedin.com/in/fran%c3%a7ois-carlotti-8665b244</t>
  </si>
  <si>
    <t>ALIERYS</t>
  </si>
  <si>
    <t>jerome.estival@alierys.com</t>
  </si>
  <si>
    <t>http://www.linkedin.com/in/j%c3%a9r%c3%b4me-estival-1b93571a</t>
  </si>
  <si>
    <t>http://www.alierys.com</t>
  </si>
  <si>
    <t xml:space="preserve">630 Route des Dolines, Provence-Alpes-Cote d'Azur, France, 06560</t>
  </si>
  <si>
    <t>Haye</t>
  </si>
  <si>
    <t>Aestera</t>
  </si>
  <si>
    <t>michael.haye@aestera.fr</t>
  </si>
  <si>
    <t>http://www.linkedin.com/in/michael-haye-54b74311a</t>
  </si>
  <si>
    <t>http://www.aestera.fr</t>
  </si>
  <si>
    <t xml:space="preserve">Rungis, Ile-de-France, France</t>
  </si>
  <si>
    <t xml:space="preserve">Avec AESTERA, choisissez la sérénité, relevez vos défis quotidiens et devenez partenaire d’une centrale de référencement dédiée à vos problématiques.</t>
  </si>
  <si>
    <t>Dieudonne</t>
  </si>
  <si>
    <t xml:space="preserve">Associé fondateur bureau Ouest</t>
  </si>
  <si>
    <t xml:space="preserve">ALBUS Conseil</t>
  </si>
  <si>
    <t>ddelaubier@albus-conseil.com</t>
  </si>
  <si>
    <t>http://www.linkedin.com/in/dieudonn%c3%a9-de-laubier</t>
  </si>
  <si>
    <t>http://www.albus-conseil.com</t>
  </si>
  <si>
    <t>http://www.linkedin.com/in/carole-noens-80a33558</t>
  </si>
  <si>
    <t>Drouin</t>
  </si>
  <si>
    <t xml:space="preserve">ETI FINANCE</t>
  </si>
  <si>
    <t>francois.drouin@etifinance.eu</t>
  </si>
  <si>
    <t>http://www.linkedin.com/in/fran%c3%a7ois-drouin-414154156</t>
  </si>
  <si>
    <t>http://www.etifinance.eu</t>
  </si>
  <si>
    <t xml:space="preserve">6 Rue Alfred de Vigny, Paris, Ile-de-France, France, 75008</t>
  </si>
  <si>
    <t xml:space="preserve">ETI FINANCE, cabinet de conseil en investissements financiers - Internationaliser les ETI : structurer et financer - Paris 75002</t>
  </si>
  <si>
    <t xml:space="preserve">Co Founder - Dirigeant</t>
  </si>
  <si>
    <t>WeForge</t>
  </si>
  <si>
    <t>julien@weforge.fr</t>
  </si>
  <si>
    <t>http://www.linkedin.com/in/julien-fournier-94738073</t>
  </si>
  <si>
    <t>http://www.weforge.fr</t>
  </si>
  <si>
    <t xml:space="preserve">25 Rue Lenepveu, Angers, Pays de la Loire, France, 49100</t>
  </si>
  <si>
    <t xml:space="preserve">WeForge propose des services aux entrepreneurs, PME et grands groupes, pour connecter les besoins des uns aux savoir-faire des autres</t>
  </si>
  <si>
    <t>Sagnier</t>
  </si>
  <si>
    <t>WOW</t>
  </si>
  <si>
    <t>thomas.sagnier@wow-barcelona.com</t>
  </si>
  <si>
    <t>http://www.linkedin.com/in/thomassagnier</t>
  </si>
  <si>
    <t>http://www.wow-barcelona.com</t>
  </si>
  <si>
    <t xml:space="preserve">101 Passeig de Gracia, Barcelona, Catalonia, Spain, 08008</t>
  </si>
  <si>
    <t xml:space="preserve">WOW helps selective brands define their Amazon strategy, from how to sell, choice in inventory, logistics, advertising, to managing their Amazon account.</t>
  </si>
  <si>
    <t>Prof</t>
  </si>
  <si>
    <t>Janus</t>
  </si>
  <si>
    <t xml:space="preserve">ENJOY STRATEGY</t>
  </si>
  <si>
    <t>janus@centerforhealthcaremanagement.org</t>
  </si>
  <si>
    <t>http://www.linkedin.com/in/prof-dr-katharina-janus-b391321</t>
  </si>
  <si>
    <t>http://www.enjoystrategy.com</t>
  </si>
  <si>
    <t>Hayot</t>
  </si>
  <si>
    <t>Rexia</t>
  </si>
  <si>
    <t>c.hayot@rexia.fr</t>
  </si>
  <si>
    <t>http://www.linkedin.com/in/christophe-hayot-a70755178</t>
  </si>
  <si>
    <t>http://www.rexia.fr</t>
  </si>
  <si>
    <t xml:space="preserve">14 Rue du Moulin a Vent, Venissieux, Rhone-Alpes, France, 69200</t>
  </si>
  <si>
    <t xml:space="preserve">REXIA. Société de Conseil et Ingénierie industrielle. Développement de vos produits / process. Optimisation de votre performance industrielle</t>
  </si>
  <si>
    <t>Lengelle</t>
  </si>
  <si>
    <t xml:space="preserve">Partner, CEO</t>
  </si>
  <si>
    <t>BT2i</t>
  </si>
  <si>
    <t>jean-francois.lengelle@bt2i.com</t>
  </si>
  <si>
    <t>http://www.linkedin.com/in/jflengelle</t>
  </si>
  <si>
    <t>http://www.bt2i.com</t>
  </si>
  <si>
    <t xml:space="preserve">21 Avenue Edouard Belin, Rueil-Malmaison, Ile-de-France, France, 92500</t>
  </si>
  <si>
    <t>Quitterie</t>
  </si>
  <si>
    <t>Lacouture</t>
  </si>
  <si>
    <t>_icilundi</t>
  </si>
  <si>
    <t>quitterie@icilundi.fr</t>
  </si>
  <si>
    <t>http://www.linkedin.com/in/quitterie-bourrut-lacouture-75714354</t>
  </si>
  <si>
    <t>Pinna</t>
  </si>
  <si>
    <t xml:space="preserve">BGP CONSEIL</t>
  </si>
  <si>
    <t>gerard.pinna@bgpconseil.fr</t>
  </si>
  <si>
    <t>http://www.linkedin.com/in/gerard-pinna-1622a5b8</t>
  </si>
  <si>
    <t>http://www.bgpconseil.fr</t>
  </si>
  <si>
    <t xml:space="preserve">39 Rue de la Villeneuve, Lorient, Bretagne, France, 56100</t>
  </si>
  <si>
    <t xml:space="preserve">BGP Conseil est un cabinet de conseil, gestion et d’ingénierie médico-sociale. Il accompagne les acteurs du secteur médico-social dans leurs missions au service des usagers, aux côtés des directions et de leurs équipes, des élus associatifs ou territoriaux.</t>
  </si>
  <si>
    <t>camille@mycomputecenter.com</t>
  </si>
  <si>
    <t>http://www.linkedin.com/in/%f0%9f%94%b9camille-raymond-79052651</t>
  </si>
  <si>
    <t>Jean-Benoit</t>
  </si>
  <si>
    <t>jean-benoit.colomb@associes-gouvernance.com</t>
  </si>
  <si>
    <t>http://www.linkedin.com/in/jean-beno%c3%aet-colomb-70043690</t>
  </si>
  <si>
    <t>Pierre-Philippe</t>
  </si>
  <si>
    <t>Tchamo</t>
  </si>
  <si>
    <t xml:space="preserve">Sunshine Advisory</t>
  </si>
  <si>
    <t>pierre-philippe.tchamo@sunshine.mx</t>
  </si>
  <si>
    <t>http://www.linkedin.com/in/pierre-philippe-tchamo-6b131737</t>
  </si>
  <si>
    <t>http://www.sunshine.mx</t>
  </si>
  <si>
    <t xml:space="preserve">Rue Kitchener, Douala, Littoral, Cameroon</t>
  </si>
  <si>
    <t>Cameroon</t>
  </si>
  <si>
    <t>Pedro</t>
  </si>
  <si>
    <t>Rebelo</t>
  </si>
  <si>
    <t>INGECAL</t>
  </si>
  <si>
    <t>pedro.rebelo@ingecal.fr</t>
  </si>
  <si>
    <t>http://www.linkedin.com/in/pedro-rebelo-13804b254</t>
  </si>
  <si>
    <t>http://www.ingecal.cat</t>
  </si>
  <si>
    <t>Chassieu</t>
  </si>
  <si>
    <t xml:space="preserve">18 Avinguda Cerdanyola, Sant Cugat del Valles, Catalonia, Spain, 08172</t>
  </si>
  <si>
    <t xml:space="preserve">CFO Life Sciences-Founder and CEO @Earnst</t>
  </si>
  <si>
    <t>EARNST</t>
  </si>
  <si>
    <t>elodie.arnaud@ela-conseil.com</t>
  </si>
  <si>
    <t>http://www.linkedin.com/in/elodie-arnaud-53671025</t>
  </si>
  <si>
    <t>http://www.earnst.fr</t>
  </si>
  <si>
    <t>Briois</t>
  </si>
  <si>
    <t>sebastien.briois@acsantis.com</t>
  </si>
  <si>
    <t>http://www.linkedin.com/in/briois</t>
  </si>
  <si>
    <t>http://www.acsantis.com</t>
  </si>
  <si>
    <t xml:space="preserve">15 Rue du Caire, Paris, Ile-de-France, France, 75002</t>
  </si>
  <si>
    <t>Houdant</t>
  </si>
  <si>
    <t>nicolas.houdant@energies-demain.com</t>
  </si>
  <si>
    <t>http://www.linkedin.com/in/nicolas-houdant-0189b2a2</t>
  </si>
  <si>
    <t>Bocquillon</t>
  </si>
  <si>
    <t>CIMES</t>
  </si>
  <si>
    <t>a.bocquillon@cimes-hub.com</t>
  </si>
  <si>
    <t>http://www.linkedin.com/in/arnaud-bocquillon-52aba6151</t>
  </si>
  <si>
    <t>http://www.cimes-hub.com</t>
  </si>
  <si>
    <t xml:space="preserve">32 Rue du Clos Four, Clermont-Ferrand, Auvergne-Rhone-Alpes, France, 63100</t>
  </si>
  <si>
    <t>Belamy</t>
  </si>
  <si>
    <t xml:space="preserve">Dreamline Studio</t>
  </si>
  <si>
    <t>jules@selul.fr</t>
  </si>
  <si>
    <t>http://www.linkedin.com/in/jules-belamy</t>
  </si>
  <si>
    <t>http://www.dreamline.studio</t>
  </si>
  <si>
    <t>Jarniat</t>
  </si>
  <si>
    <t>CRUSOE</t>
  </si>
  <si>
    <t>marina.jarniat@crusoe-agency.com</t>
  </si>
  <si>
    <t>http://www.linkedin.com/in/marinajarniat</t>
  </si>
  <si>
    <t>http://www.crusoe.es</t>
  </si>
  <si>
    <t xml:space="preserve">14 Calle Marques de la Ensenada, Madrid, Community of Madrid, Spain, 28004</t>
  </si>
  <si>
    <t>Joussemet</t>
  </si>
  <si>
    <t xml:space="preserve">NEPSIO Conseil</t>
  </si>
  <si>
    <t>ejoussemet@nepsio.com</t>
  </si>
  <si>
    <t>http://www.linkedin.com/in/emmanuel-joussemet-ba52bb14</t>
  </si>
  <si>
    <t>http://www.nepsio.fr</t>
  </si>
  <si>
    <t xml:space="preserve">12 Rue de la Haltiniere, Nantes, Pays de la Loire, France, 44325</t>
  </si>
  <si>
    <t xml:space="preserve">Cabinet de conseil en organisation, audit, stratégie et conduite du changement dans les projets de transformation sur le grand ouest.</t>
  </si>
  <si>
    <t>CREASUB</t>
  </si>
  <si>
    <t>v.michaud@creasub.fr</t>
  </si>
  <si>
    <t>http://www.linkedin.com/in/vivien-michaud-a33a161a5</t>
  </si>
  <si>
    <t>http://www.creasub.fr</t>
  </si>
  <si>
    <t xml:space="preserve">CREASUB est un cabinet de conseil spécialisé en obtention de financements publics pour les entreprises. Nous intervenons dans les domaines suivants : crédits d’impôt / subventions / labels / agréments.</t>
  </si>
  <si>
    <t>Bec</t>
  </si>
  <si>
    <t>Keolux</t>
  </si>
  <si>
    <t>florian.bec@keolux.fr</t>
  </si>
  <si>
    <t>http://www.linkedin.com/in/florian-bec-9a590765</t>
  </si>
  <si>
    <t>http://www.keolux.fr</t>
  </si>
  <si>
    <t xml:space="preserve">Keolux, votre partenaire de confiance pour le conseil en transformation digitale, le recrutement spécialisé ServiceNow et l'intégration ServiceNow</t>
  </si>
  <si>
    <t>Dauny</t>
  </si>
  <si>
    <t>SENTILES</t>
  </si>
  <si>
    <t>melanie.dauny@sentiles.fr</t>
  </si>
  <si>
    <t>http://www.linkedin.com/in/m%c3%a9lanie-dauny-478080ba</t>
  </si>
  <si>
    <t>http://www.sentiles.fr</t>
  </si>
  <si>
    <t xml:space="preserve">Suresnes, Ile-de-France, France, 92150</t>
  </si>
  <si>
    <t xml:space="preserve">Conseil, prestation et formation en Ingénierie : SENTILES accompagne ses Clients depuis plus de 10 ans dans la réalisation de leurs projets</t>
  </si>
  <si>
    <t>georges.martin@sunnikan.com</t>
  </si>
  <si>
    <t>http://www.linkedin.com/in/georges-martin--</t>
  </si>
  <si>
    <t xml:space="preserve">B&amp;T Associés</t>
  </si>
  <si>
    <t>thierry.pedeloup@btassocies.com</t>
  </si>
  <si>
    <t>http://www.linkedin.com/in/thierry-pedeloup-701b067</t>
  </si>
  <si>
    <t>http://www.btassocies.com</t>
  </si>
  <si>
    <t xml:space="preserve">5 Avenue Albert Durand, Blagnac, Occitanie, France, 31700</t>
  </si>
  <si>
    <t>Longevialle</t>
  </si>
  <si>
    <t xml:space="preserve">Campus Consulting</t>
  </si>
  <si>
    <t>maximilien@campus-consulting.fr</t>
  </si>
  <si>
    <t>http://www.linkedin.com/in/maximilien-de-longevialle-11b1a384</t>
  </si>
  <si>
    <t>http://www.campus-consulting.fr</t>
  </si>
  <si>
    <t xml:space="preserve">Le Chesnay</t>
  </si>
  <si>
    <t xml:space="preserve">Recrutez un étudiant freelance d'école de commerce facilement et rapidement grâce à notre plateforme et nos process de qualifications pour intervenir en renfort.</t>
  </si>
  <si>
    <t>Nawal</t>
  </si>
  <si>
    <t>Hamitouche</t>
  </si>
  <si>
    <t>nawal@brightness.fr</t>
  </si>
  <si>
    <t>http://www.linkedin.com/in/nawalhamitouche</t>
  </si>
  <si>
    <t>Patchong</t>
  </si>
  <si>
    <t>Dillygence</t>
  </si>
  <si>
    <t>alain@dillygence.com</t>
  </si>
  <si>
    <t>http://www.linkedin.com/in/alainpatchong</t>
  </si>
  <si>
    <t>http://www.dillygence.com</t>
  </si>
  <si>
    <t xml:space="preserve">34 Rue de la Croix de Fer, Saint-Germain-en-Laye, Ile-de-France, France, 78100</t>
  </si>
  <si>
    <t xml:space="preserve">Supercharge your factory performance!
Leverage our expertise in manufacturing, data science, and cutting-edge AI to design, ramp-up, run, and improve your factories.</t>
  </si>
  <si>
    <t>pl.roussel@aatiko.fr</t>
  </si>
  <si>
    <t>http://www.linkedin.com/in/pierre-louis-roussel-63870922</t>
  </si>
  <si>
    <t>Gasparini</t>
  </si>
  <si>
    <t xml:space="preserve">Reactive Executive</t>
  </si>
  <si>
    <t>emmanuel.gasparini@reactive-executive.com</t>
  </si>
  <si>
    <t>http://www.linkedin.com/in/emmanuelgasparini</t>
  </si>
  <si>
    <t>http://www.reactive-executive.com</t>
  </si>
  <si>
    <t xml:space="preserve">120 Avenue des Champs-Elysees, Paris, Ile-de-France, France, 75008</t>
  </si>
  <si>
    <t xml:space="preserve">Contactez notre cabinet spécialiste du management de transition pour recruter un manager de transition. Disponible partout en France.</t>
  </si>
  <si>
    <t>Vignes</t>
  </si>
  <si>
    <t xml:space="preserve">Partner &amp; co-founder</t>
  </si>
  <si>
    <t>tvignes@laboetiepartners.com</t>
  </si>
  <si>
    <t>http://www.linkedin.com/in/thibaultvignes</t>
  </si>
  <si>
    <t>Dieu</t>
  </si>
  <si>
    <t>fabien.dieu@ask-group.fr</t>
  </si>
  <si>
    <t>http://www.linkedin.com/in/fabien-dieu-18321874</t>
  </si>
  <si>
    <t>Lasne</t>
  </si>
  <si>
    <t xml:space="preserve">Gaz-Elec Moins Cher</t>
  </si>
  <si>
    <t>lea@gaz-elec-moinscher.fr</t>
  </si>
  <si>
    <t>http://www.linkedin.com/in/lealasne</t>
  </si>
  <si>
    <t>http://www.gaz-elec-moinscher.fr</t>
  </si>
  <si>
    <t xml:space="preserve">Courtier Gaz Elec Moins Cher optimise votre budget d’énergie professionnelle. Analyste &amp; Expert achat chez les fournisseurs électricité &amp; gaz</t>
  </si>
  <si>
    <t>Davut</t>
  </si>
  <si>
    <t>http://www.linkedin.com/in/davut-kara-ing%c3%a9nieur-affaires-it</t>
  </si>
  <si>
    <t>Thuillier</t>
  </si>
  <si>
    <t xml:space="preserve">5A Consulting</t>
  </si>
  <si>
    <t>nicolas.thuillier@5asolutions.com</t>
  </si>
  <si>
    <t>http://www.linkedin.com/in/nicolas-thuillier-1872b62a</t>
  </si>
  <si>
    <t>http://www.5aconsulting.fr</t>
  </si>
  <si>
    <t xml:space="preserve">Rue Marcel Doret, Blagnac, Midi-Pyrenees, France, 31700</t>
  </si>
  <si>
    <t>Moret-Bailly</t>
  </si>
  <si>
    <t>guillaume@doors3.io</t>
  </si>
  <si>
    <t>http://www.linkedin.com/in/guillaume-moret-bailly</t>
  </si>
  <si>
    <t>Coeur</t>
  </si>
  <si>
    <t>Soqo*</t>
  </si>
  <si>
    <t>victor@soqo.fr</t>
  </si>
  <si>
    <t>http://www.linkedin.com/in/victorcoeur</t>
  </si>
  <si>
    <t>http://www.soqo.fr</t>
  </si>
  <si>
    <t xml:space="preserve">12 Rue du General Guilhem, Paris, Ile-de-France, France, 75011</t>
  </si>
  <si>
    <t>Soqo</t>
  </si>
  <si>
    <t>Godinot</t>
  </si>
  <si>
    <t xml:space="preserve">Co-fondateur &amp; dirigeant - Entreprises engagées</t>
  </si>
  <si>
    <t xml:space="preserve">Entreprises engagées</t>
  </si>
  <si>
    <t>alexis@entreprises-engagees.fr</t>
  </si>
  <si>
    <t>http://www.linkedin.com/in/alexisgodinot</t>
  </si>
  <si>
    <t>http://www.entreprises-engagees.fr</t>
  </si>
  <si>
    <t xml:space="preserve">16 Rue Washington, Paris, Ile-de-France, France, 75008</t>
  </si>
  <si>
    <t xml:space="preserve">Entreprises Engagées est un Cabinet de conseil en engagement sociétal (RSE) pour les PME, ETI et groupes. Stratégie RSE, B Corp, EcoVadis, Société à Mission: ecovadis, eco vadis, ecovadis certification, bcorp, b-corp, rse 2022, b corp, b coorp, labellisation b corp, label b corp, certification b corp.</t>
  </si>
  <si>
    <t xml:space="preserve">ACDE Conseil</t>
  </si>
  <si>
    <t>vincent.guibert@acde-conseil.com</t>
  </si>
  <si>
    <t>http://www.linkedin.com/in/vguibert</t>
  </si>
  <si>
    <t>http://www.acde-conseil.com</t>
  </si>
  <si>
    <t xml:space="preserve">37B Rue du General Leclerc, Issy-les-Moulineaux, Ile-de-France, France, 92130</t>
  </si>
  <si>
    <t xml:space="preserve">Cabinet de conseil en management des entreprises et PMO. Nos consultants en management vous accompagnent et vous forment dans la gestion de vos projets.</t>
  </si>
  <si>
    <t>Drevon</t>
  </si>
  <si>
    <t xml:space="preserve">Dirigeant / Founder</t>
  </si>
  <si>
    <t>Hidro</t>
  </si>
  <si>
    <t>alain.drevon@hidro.fr</t>
  </si>
  <si>
    <t>http://www.linkedin.com/in/alain-drevon-a6115976</t>
  </si>
  <si>
    <t>http://www.hidro.fr</t>
  </si>
  <si>
    <t xml:space="preserve">Rue du Bois de la Caille, Lyon, Auvergne-Rhone-Alpes, France, 69004</t>
  </si>
  <si>
    <t>Blaya</t>
  </si>
  <si>
    <t xml:space="preserve">Fondatrice - WISE RH Conseil &amp; Formation</t>
  </si>
  <si>
    <t xml:space="preserve">Wise RH</t>
  </si>
  <si>
    <t>camille.blaya@wise-rh.com</t>
  </si>
  <si>
    <t>http://www.linkedin.com/in/camille-blaya-a4bb1b119</t>
  </si>
  <si>
    <t>http://www.wise-rh.com</t>
  </si>
  <si>
    <t xml:space="preserve">56 Boulevard de l'Embouchure, Toulouse, Occitanie, France, 31200</t>
  </si>
  <si>
    <t xml:space="preserve">WISE RH est un cabinet de conseil RH qui accompagne les entreprises au travers de ses 4 expertises : Recrutement, Sourcing, Management de Transition, et Conseil &amp; Formation.</t>
  </si>
  <si>
    <t>Girardet</t>
  </si>
  <si>
    <t>e.girardet@placetob.fr</t>
  </si>
  <si>
    <t>http://www.linkedin.com/in/eric-girardet-b5a477177</t>
  </si>
  <si>
    <t>http://www.placetob.fr</t>
  </si>
  <si>
    <t>Staquet</t>
  </si>
  <si>
    <t>AM&amp;FI</t>
  </si>
  <si>
    <t>dst@am-fi.com</t>
  </si>
  <si>
    <t>http://www.linkedin.com/in/david-staquet-83a7123</t>
  </si>
  <si>
    <t>http://www.am-fi.com</t>
  </si>
  <si>
    <t>Delevallee</t>
  </si>
  <si>
    <t>damien.delevallee@quintetconseil.fr</t>
  </si>
  <si>
    <t>http://www.linkedin.com/in/damien-delevall%c3%a9e-a387393a</t>
  </si>
  <si>
    <t>Tourret</t>
  </si>
  <si>
    <t xml:space="preserve">Président / associé</t>
  </si>
  <si>
    <t>CANEVA</t>
  </si>
  <si>
    <t>a.tourret@caneva.fr</t>
  </si>
  <si>
    <t>http://www.linkedin.com/in/aur%c3%a9lien-tourret-b081261b</t>
  </si>
  <si>
    <t>http://www.caneva.fr</t>
  </si>
  <si>
    <t xml:space="preserve">103 Rue La Fayette, Paris, Ile-de-France, France, 75010</t>
  </si>
  <si>
    <t xml:space="preserve">CANEVA est le Leader du Conseil et Accompagnement sur les Marchés Publics et AMI. Nos Consultants en Appel d'Offres vous aideront à répondre aux problématiques marchés publics et gagner plus de marchés.</t>
  </si>
  <si>
    <t xml:space="preserve">Marketing Méditerranée</t>
  </si>
  <si>
    <t>elisa.durand@market-med.com</t>
  </si>
  <si>
    <t>http://www.linkedin.com/in/elisa-durand-b39017254</t>
  </si>
  <si>
    <t>http://www.market-med.com</t>
  </si>
  <si>
    <t xml:space="preserve">70 Route Leon Lachamp, Marseille, Provence-Alpes-Cote d'Azur, France, 13009</t>
  </si>
  <si>
    <t xml:space="preserve">Notre cabinet de conseil vous accompagne dans votre projet ! Venez découvrir notre offre en stratégie, marketing, communication et design.</t>
  </si>
  <si>
    <t xml:space="preserve">EDHEC Junior Etudes</t>
  </si>
  <si>
    <t>victor.blard@edhecje.com</t>
  </si>
  <si>
    <t>http://www.linkedin.com/in/victor-blard-154844209</t>
  </si>
  <si>
    <t>http://www.edhecje.com</t>
  </si>
  <si>
    <t xml:space="preserve">24 Avenue Gustave Delory, Roubaix, Hauts-de-France, France, 59100</t>
  </si>
  <si>
    <t xml:space="preserve">EDHEC Junior Etudes est la Junior-Entreprise de l’EDHEC. Spécialisés dans le conseil, la stratégie, le marketing ou la communication, nous saurons répondre à tous vos besoins.</t>
  </si>
  <si>
    <t>Bastie</t>
  </si>
  <si>
    <t xml:space="preserve">CEO and FOUNDER</t>
  </si>
  <si>
    <t xml:space="preserve">EVASION COMMUNICATION</t>
  </si>
  <si>
    <t>c.bastie@evasion-communication.com</t>
  </si>
  <si>
    <t>http://www.linkedin.com/in/c%c3%a9dric-basti%c3%a9-0b8281b7</t>
  </si>
  <si>
    <t>http://www.evasion-communication.com</t>
  </si>
  <si>
    <t>Bourges</t>
  </si>
  <si>
    <t xml:space="preserve">Pigny, Centre-Val de Loire, France, 18110</t>
  </si>
  <si>
    <t>Cochard</t>
  </si>
  <si>
    <t>E-novate</t>
  </si>
  <si>
    <t>mcochard@e-novate.fr</t>
  </si>
  <si>
    <t>http://www.linkedin.com/in/maxime-cochard</t>
  </si>
  <si>
    <t>http://www.e-novate.fr</t>
  </si>
  <si>
    <t xml:space="preserve">134 Rue Aristide Briand, Levallois-Perret, Ile-de-France, France, 92300</t>
  </si>
  <si>
    <t xml:space="preserve">Pubadresse Routage</t>
  </si>
  <si>
    <t>pprieto@pubadresseroutage.com</t>
  </si>
  <si>
    <t>http://www.linkedin.com/in/paul-prieto-4802141a</t>
  </si>
  <si>
    <t>http://www.pubadresseroutage.com</t>
  </si>
  <si>
    <t xml:space="preserve">52 Rue Constantin Pecqueur, Taverny, Ile-de-France, France, 95150</t>
  </si>
  <si>
    <t>Salmon</t>
  </si>
  <si>
    <t>Odiens</t>
  </si>
  <si>
    <t>e.salmon@odiens.com</t>
  </si>
  <si>
    <t>http://www.linkedin.com/in/elsa-salmon-7b78a193</t>
  </si>
  <si>
    <t>http://www.odiens.com</t>
  </si>
  <si>
    <t xml:space="preserve">2 Rue Marie Curie, Vertou, Pays de la Loire, France, 44120</t>
  </si>
  <si>
    <t xml:space="preserve">Agence spécialisée en webmarketing et media, ODIENS vous accompagne pour optimiser votre SEO, déployez des campagnes SEA, booster vos conversions.</t>
  </si>
  <si>
    <t>Berny</t>
  </si>
  <si>
    <t>Prezman</t>
  </si>
  <si>
    <t>henri@agenceprezman.fr</t>
  </si>
  <si>
    <t>http://www.linkedin.com/in/henrideberny</t>
  </si>
  <si>
    <t>http://www.prezman.fr</t>
  </si>
  <si>
    <t xml:space="preserve">49 Rue des Renaudes, Paris, Ile-de-France, France, 75017</t>
  </si>
  <si>
    <t xml:space="preserve">L’agence PowerPoint créative et stratégique, au service des agences et des plus grandes entreprises du monde.</t>
  </si>
  <si>
    <t>Chetrit</t>
  </si>
  <si>
    <t xml:space="preserve">Union des marques</t>
  </si>
  <si>
    <t>jlchetrit@uniondesmarques.fr</t>
  </si>
  <si>
    <t>http://www.linkedin.com/in/jean-luc-chetrit-a566aa5</t>
  </si>
  <si>
    <t>http://www.uniondesmarques.fr</t>
  </si>
  <si>
    <t xml:space="preserve">251 Boulevard Pereire, Paris, Ile-de-France, France, 75017</t>
  </si>
  <si>
    <t xml:space="preserve">L’Union des marques (précédemment UDA) est l'organisation représentative des marques. Elle a pour mission de promouvoir la liberté de communiquer en développ...</t>
  </si>
  <si>
    <t>Dubosc</t>
  </si>
  <si>
    <t>BDSA</t>
  </si>
  <si>
    <t>a.dubosc@bdsa-lagence.com</t>
  </si>
  <si>
    <t>http://www.linkedin.com/in/alexis-dubosc-7266653a</t>
  </si>
  <si>
    <t>http://www.bdsa-lagence.com</t>
  </si>
  <si>
    <t xml:space="preserve">63 Quai George V, Le Havre, Upper Normandy, France, 76600</t>
  </si>
  <si>
    <t xml:space="preserve">BDSA L'agence est une agence de communication 360° au Havre, Haute-Normandie.</t>
  </si>
  <si>
    <t>Bard</t>
  </si>
  <si>
    <t xml:space="preserve">Co-founder &amp; Global Managing Partner</t>
  </si>
  <si>
    <t>jcbard@takeoffxp.com</t>
  </si>
  <si>
    <t>http://www.linkedin.com/in/jchristophebard</t>
  </si>
  <si>
    <t>Rougier</t>
  </si>
  <si>
    <t xml:space="preserve">Diplômé notaire 🔹 Associé @ Agence Marquise I Communication I 360°🔹 ex-CEO</t>
  </si>
  <si>
    <t xml:space="preserve">Agence Marquise</t>
  </si>
  <si>
    <t>thomas@marquisecontents.com</t>
  </si>
  <si>
    <t>http://www.linkedin.com/in/thomas-rougier-7a87a2136</t>
  </si>
  <si>
    <t>http://www.marquisecontents.com</t>
  </si>
  <si>
    <t xml:space="preserve">61 Avenue Charles de Gaulle, Neuilly-sur-Seine, Ile-de-France, France, 92200</t>
  </si>
  <si>
    <t xml:space="preserve">MEDIAVISION ET JEAN MINEUR</t>
  </si>
  <si>
    <t>eric.jourdan@mediavision.fr</t>
  </si>
  <si>
    <t>http://www.linkedin.com/in/eric-jourdan-22071123</t>
  </si>
  <si>
    <t>http://www.mediavision.fr</t>
  </si>
  <si>
    <t xml:space="preserve">2 Rue Marceau, Issy-les-Moulineaux, Ile-de-France, France, 92130</t>
  </si>
  <si>
    <t xml:space="preserve">Mediavision, régie leader en France du cinéma publicitaire, détenue par la société BDC, (Mr Benjamin Badinter), le groupe Jean Mineur et Publicis Groupe.</t>
  </si>
  <si>
    <t>Chemoul</t>
  </si>
  <si>
    <t>marc@agence-copernic.fr</t>
  </si>
  <si>
    <t>http://www.linkedin.com/in/marc-ben-chemoul-327a71</t>
  </si>
  <si>
    <t>http://www.agence-copernic.fr</t>
  </si>
  <si>
    <t>Nathael</t>
  </si>
  <si>
    <t>Duboc</t>
  </si>
  <si>
    <t xml:space="preserve">DENTSU CREATIVE France</t>
  </si>
  <si>
    <t>nathael.duboc@dentsu.com</t>
  </si>
  <si>
    <t>http://www.linkedin.com/in/natha%c3%abl-duboc-29b2bb6</t>
  </si>
  <si>
    <t>http://www.gyro.paris</t>
  </si>
  <si>
    <t xml:space="preserve">67 Avenue de Wagram, Paris, Ile-de-France, France, 75017</t>
  </si>
  <si>
    <t>Lods</t>
  </si>
  <si>
    <t>mlods@4aout.fr</t>
  </si>
  <si>
    <t>http://www.linkedin.com/in/matthieu-lods-2777a41a6</t>
  </si>
  <si>
    <t>http://www.4aout.fr</t>
  </si>
  <si>
    <t xml:space="preserve">113 Boulevard de Sebastopol, Paris, Ile-de-France, France, 75002</t>
  </si>
  <si>
    <t>NewScreen</t>
  </si>
  <si>
    <t>r.jost@newscreen.fr</t>
  </si>
  <si>
    <t>http://www.linkedin.com/in/romain-jost-1900b038</t>
  </si>
  <si>
    <t>http://www.newscreen.fr</t>
  </si>
  <si>
    <t xml:space="preserve">Chez Newscreen, nous produisons des campagnes innovantes et performantes pour les marques : influence, social publishing ou brand content.</t>
  </si>
  <si>
    <t>Lansmann</t>
  </si>
  <si>
    <t>Cadactuel</t>
  </si>
  <si>
    <t>dlansmann@cadactuel.fr</t>
  </si>
  <si>
    <t>http://www.linkedin.com/in/david-lansmann-82942b30</t>
  </si>
  <si>
    <t>http://www.cadactuel.com</t>
  </si>
  <si>
    <t xml:space="preserve">129 Rue Jean Mermoz, Bois-Guillaume, Upper Normandy, France, 76230</t>
  </si>
  <si>
    <t xml:space="preserve">Communiquez par l’objet, avec des supports personnalisés ! Découvrez nos objets publicitaires pour communiquer, fidéliser vos clients et prospects.</t>
  </si>
  <si>
    <t>Goutal</t>
  </si>
  <si>
    <t>Boomerang</t>
  </si>
  <si>
    <t>marine@theboomerang.fr</t>
  </si>
  <si>
    <t>http://www.linkedin.com/in/marine-goutal-43558321</t>
  </si>
  <si>
    <t>http://www.boomerangtx.com</t>
  </si>
  <si>
    <t xml:space="preserve">Dallas, Texas, United States</t>
  </si>
  <si>
    <t>Moriceau</t>
  </si>
  <si>
    <t>Brioche</t>
  </si>
  <si>
    <t>charly@agencebrioche.fr</t>
  </si>
  <si>
    <t>http://www.linkedin.com/in/charly-moriceau-1a699958</t>
  </si>
  <si>
    <t>http://www.agencebrioche.fr</t>
  </si>
  <si>
    <t>Westerloppe</t>
  </si>
  <si>
    <t>Pause-Com</t>
  </si>
  <si>
    <t>nicolas.westerloppe@pause-com.fr</t>
  </si>
  <si>
    <t>http://www.linkedin.com/in/nicolas-westerloppe-26a748158</t>
  </si>
  <si>
    <t>http://www.pause-com.fr</t>
  </si>
  <si>
    <t xml:space="preserve">32 Rue des Volontaires, Paris, Ile-de-France, France, 75015</t>
  </si>
  <si>
    <t xml:space="preserve">Avoir beau site ou des ne suffit pas, il faut avant tout être visible. Pause-com offre toutes les garanties pour atteindre cet objectif. On est loin des promesses ...</t>
  </si>
  <si>
    <t xml:space="preserve">The Node</t>
  </si>
  <si>
    <t>remy@thenode.gg</t>
  </si>
  <si>
    <t>http://www.linkedin.com/in/remychapot</t>
  </si>
  <si>
    <t>http://www.thenode.gg</t>
  </si>
  <si>
    <t xml:space="preserve">Perols, Languedoc-Roussillon-Midi-Pyrenees, France</t>
  </si>
  <si>
    <t xml:space="preserve">The Node is a hyper-reactive talent agency working with some of the best content creators in Europe backed by 10 years of experience across esports and gaming.</t>
  </si>
  <si>
    <t>Thivel</t>
  </si>
  <si>
    <t>PUBLIMAT</t>
  </si>
  <si>
    <t>laurent.thivel@publimat.fr</t>
  </si>
  <si>
    <t>http://www.linkedin.com/in/laurent-thivel-4666b896</t>
  </si>
  <si>
    <t>http://www.publimat.fr</t>
  </si>
  <si>
    <t xml:space="preserve">Pompey, Grand Est, France</t>
  </si>
  <si>
    <t xml:space="preserve">Depuis 1985 affichage local et régional -12m²,4x3, 8m²,colle, longue durée, déroulants, mobilier urbains, abris voyageurs, journal d'informations etc...</t>
  </si>
  <si>
    <t>Bonzom</t>
  </si>
  <si>
    <t>Inconito</t>
  </si>
  <si>
    <t>denis.bonzom@inconito.fr</t>
  </si>
  <si>
    <t>http://www.linkedin.com/in/denis-bonzom</t>
  </si>
  <si>
    <t>http://www.inconito.fr</t>
  </si>
  <si>
    <t xml:space="preserve">15 Avenue Camille Pujol, Toulouse, Occitanie, France, 31500</t>
  </si>
  <si>
    <t xml:space="preserve">La Provence Médias</t>
  </si>
  <si>
    <t>tmonnier@laprovence-medias.fr</t>
  </si>
  <si>
    <t>http://www.linkedin.com/in/theophile-monnier</t>
  </si>
  <si>
    <t>http://www.laprovence-medias.com</t>
  </si>
  <si>
    <t xml:space="preserve">248 Avenue Roger Salengro, Marseille, Provence-Alpes-Cote d'Azur, France, 13015</t>
  </si>
  <si>
    <t xml:space="preserve">La Provence Médias accompagne les entreprises dans leurs actions de communication et de publicité. Print, digital, réseaux sociaux, video</t>
  </si>
  <si>
    <t>Sommers</t>
  </si>
  <si>
    <t xml:space="preserve">Directeur général Associé</t>
  </si>
  <si>
    <t xml:space="preserve">Premium Events</t>
  </si>
  <si>
    <t>remi.sommers@premium-se.fr</t>
  </si>
  <si>
    <t>http://www.linkedin.com/in/remi-sommers-61978a1</t>
  </si>
  <si>
    <t>http://www.premium-se.fr</t>
  </si>
  <si>
    <t xml:space="preserve">3 Rue de Choiseul, Paris, Ile-de-France, France, 75002</t>
  </si>
  <si>
    <t xml:space="preserve">Premium Events - Sport &amp; Entertainment - Une agence de communication événementiel - Hospitalités et Activations.</t>
  </si>
  <si>
    <t>Collet</t>
  </si>
  <si>
    <t xml:space="preserve">AVOMARK SAS</t>
  </si>
  <si>
    <t>collet@avomark.fr</t>
  </si>
  <si>
    <t>http://www.linkedin.com/in/jbcollet</t>
  </si>
  <si>
    <t>http://www.avomark.fr</t>
  </si>
  <si>
    <t xml:space="preserve">11 Rue Marc Sangnier, Merignac, Nouvelle-Aquitaine, France, 33700</t>
  </si>
  <si>
    <t xml:space="preserve">Fidéliser ses clients pour de nouveaux achats : Avomark vous aide à développer votre commerce. Nos méthodes s'adaptent à votre réalité commerciale. Fidélisation client, carte cadeau, marketing digital, enquête satisfaction, porte-monnaie et réservation en ligne.</t>
  </si>
  <si>
    <t>Dasseux</t>
  </si>
  <si>
    <t xml:space="preserve">Musician - Sound Designer. Co-founder</t>
  </si>
  <si>
    <t xml:space="preserve">Chut! on vous écoute</t>
  </si>
  <si>
    <t>jdasseux@chutonvousecoute.com</t>
  </si>
  <si>
    <t>http://www.linkedin.com/in/jules-dasseux-bb4310112</t>
  </si>
  <si>
    <t>http://www.chutonvousecoute.com</t>
  </si>
  <si>
    <t xml:space="preserve">17 Passage du Montenegro, Paris, Ile-de-France, France, 75019</t>
  </si>
  <si>
    <t xml:space="preserve">Chut! on vous écoute est une agence spécialisée dans le conseil, la création et le déploiement d’identités sonores de marque.</t>
  </si>
  <si>
    <t xml:space="preserve">Agence Spoutnik</t>
  </si>
  <si>
    <t>fdelporte@agence-spoutnik.com</t>
  </si>
  <si>
    <t>http://www.linkedin.com/in/fr%c3%a9d%c3%a9ric-delporte-2b762810</t>
  </si>
  <si>
    <t>http://www.agence-spoutnik.com</t>
  </si>
  <si>
    <t xml:space="preserve">47 Rue Servan, Paris, Ile-de-France, France, 75011</t>
  </si>
  <si>
    <t xml:space="preserve">L'agence Spoutnik est une agence conseil spécialisée en marketing sportif, événementiel et expérience de marque.</t>
  </si>
  <si>
    <t>Florens</t>
  </si>
  <si>
    <t>UDECAM</t>
  </si>
  <si>
    <t>magali.florens@udecam.fr</t>
  </si>
  <si>
    <t>http://www.linkedin.com/in/magali-florens-907a6a74</t>
  </si>
  <si>
    <t>http://www.udecam.fr</t>
  </si>
  <si>
    <t xml:space="preserve">7 Rue Piccini, Paris, Ile-de-France, France, 75116</t>
  </si>
  <si>
    <t xml:space="preserve">Directeur Général M2A</t>
  </si>
  <si>
    <t xml:space="preserve">M2A Merchandising</t>
  </si>
  <si>
    <t>oduc@m-2a.fr</t>
  </si>
  <si>
    <t>http://www.linkedin.com/in/olivier-duc-71ab16103</t>
  </si>
  <si>
    <t>http://www.m-2a.fr</t>
  </si>
  <si>
    <t xml:space="preserve">La référence dans le merchandising des produits dérivés dédiés aux fans et aux supporters, depuis 1999.</t>
  </si>
  <si>
    <t>Kilian</t>
  </si>
  <si>
    <t>Poulin</t>
  </si>
  <si>
    <t xml:space="preserve">Mark Copy</t>
  </si>
  <si>
    <t>kilian@markcopy.ai</t>
  </si>
  <si>
    <t>http://www.linkedin.com/in/kilian-poulin-0b9437131</t>
  </si>
  <si>
    <t>http://www.markcopy.ai</t>
  </si>
  <si>
    <t>GRAPHIPUB</t>
  </si>
  <si>
    <t>direction@graphipub20.com</t>
  </si>
  <si>
    <t>http://www.linkedin.com/in/olivier-got-889459ab</t>
  </si>
  <si>
    <t>http://www.graphipub20.com</t>
  </si>
  <si>
    <t xml:space="preserve">Furiani, Corsica, France, 20600</t>
  </si>
  <si>
    <t>Baures</t>
  </si>
  <si>
    <t xml:space="preserve">SOCIETE EUROPEENNE DE PUBLICITE</t>
  </si>
  <si>
    <t>c.baures@sep-publicite.com</t>
  </si>
  <si>
    <t>http://www.linkedin.com/in/christophe-baures-94772b53</t>
  </si>
  <si>
    <t>http://www.sep-publicite.com</t>
  </si>
  <si>
    <t xml:space="preserve">Nous assurons la régie publicitaire de la quasi totalité du parc cinématographique français.</t>
  </si>
  <si>
    <t>Gangstères</t>
  </si>
  <si>
    <t>laura@gangsteres.com</t>
  </si>
  <si>
    <t>http://www.linkedin.com/in/laura-raymond-baba0b32</t>
  </si>
  <si>
    <t>http://www.gangsteres.com</t>
  </si>
  <si>
    <t xml:space="preserve">162 Boulevard de Magenta, Paris, Ile-de-France, France, 75010</t>
  </si>
  <si>
    <t xml:space="preserve">Gangstères est une agence indépendante de conseil en stratégie social</t>
  </si>
  <si>
    <t>Froment</t>
  </si>
  <si>
    <t xml:space="preserve">SLAP digital</t>
  </si>
  <si>
    <t>sebastien.froment@slapdigital.fr</t>
  </si>
  <si>
    <t>http://www.linkedin.com/in/s%c3%a9bastien-froment</t>
  </si>
  <si>
    <t>http://www.slapdigital.fr</t>
  </si>
  <si>
    <t xml:space="preserve">47 Rue de Babylone, Paris, Ile-de-France, France, 75007</t>
  </si>
  <si>
    <t xml:space="preserve">Vous recherchez une équipe d'experts à taille humaine, réactive et proche de ses clients ? Appuyez-vous sur notre approche Data Driven et User Centric.</t>
  </si>
  <si>
    <t>Vien</t>
  </si>
  <si>
    <t xml:space="preserve">Directrice Générale - Agence communication &amp; brand content Luxe</t>
  </si>
  <si>
    <t xml:space="preserve">WANDS Paris</t>
  </si>
  <si>
    <t>beatrice.vien@wandsparis.com</t>
  </si>
  <si>
    <t>http://www.linkedin.com/in/b%c3%a9atrice-vien-70097b</t>
  </si>
  <si>
    <t>http://www.wandsparis.com</t>
  </si>
  <si>
    <t xml:space="preserve">AGENCE DE COMMUNICATION GLOBALE. WANDS conte des histoires et met en lumière de manière stratégique et novatrice les marques sensibles à l’excellence, au luxe et au premium.</t>
  </si>
  <si>
    <t>Lony</t>
  </si>
  <si>
    <t>lony@logia-inc.com</t>
  </si>
  <si>
    <t>http://www.linkedin.com/in/lonylombard</t>
  </si>
  <si>
    <t>Cail</t>
  </si>
  <si>
    <t xml:space="preserve">🚀 Directeur Général chez AdPremier | Expert en Webmarketing 🌐</t>
  </si>
  <si>
    <t>AdPremier</t>
  </si>
  <si>
    <t>jonathan@adpremier.fr</t>
  </si>
  <si>
    <t>http://www.linkedin.com/in/jonathan-cail</t>
  </si>
  <si>
    <t>http://www.adpremier.fr</t>
  </si>
  <si>
    <t xml:space="preserve">1681 Route des Dolines, Provence-Alpes-Cote d'Azur, France, 06560</t>
  </si>
  <si>
    <t xml:space="preserve">AdPremier, votre agence conseil en stratégie digitale spécialisée en acquisition et conversion. Plus de 10 ans d’expérience : Référencement Payant, Naturel, Formations, Social Ads…</t>
  </si>
  <si>
    <t xml:space="preserve">Associé &amp; Directeur Général chez Tire-Fesses</t>
  </si>
  <si>
    <t>Tire-Fesses</t>
  </si>
  <si>
    <t>thomas@tire-fesses.fr</t>
  </si>
  <si>
    <t>http://www.linkedin.com/in/tissotthomas</t>
  </si>
  <si>
    <t>http://www.tire-fesses.fr</t>
  </si>
  <si>
    <t xml:space="preserve">Design Duval</t>
  </si>
  <si>
    <t>maxime.soulas@design-duval.com</t>
  </si>
  <si>
    <t>http://www.linkedin.com/in/maxime-soulas-b545585</t>
  </si>
  <si>
    <t>http://www.design-duval.com</t>
  </si>
  <si>
    <t xml:space="preserve">2 Rue du Lotier des Marais, Sainte-Marie, Brittany, France, 35600</t>
  </si>
  <si>
    <t xml:space="preserve">Accueil - Design Duval</t>
  </si>
  <si>
    <t>Pages</t>
  </si>
  <si>
    <t>SENSORYS</t>
  </si>
  <si>
    <t>pierre.pages@sensorys.com</t>
  </si>
  <si>
    <t>http://www.linkedin.com/in/pierrepages</t>
  </si>
  <si>
    <t>http://www.sensorys.com</t>
  </si>
  <si>
    <t xml:space="preserve">Sensorys, leader européen du marketing olfactif depuis 2004, Création d'identités olfactives sur mesure. Créons votre identité olfactive.</t>
  </si>
  <si>
    <t>Barres</t>
  </si>
  <si>
    <t xml:space="preserve">PDG / Directeur de clientèle</t>
  </si>
  <si>
    <t>LBMedia</t>
  </si>
  <si>
    <t>laurent@lbmedia.fr</t>
  </si>
  <si>
    <t>http://www.linkedin.com/in/laurent-barr%c3%a8s-994295bb</t>
  </si>
  <si>
    <t>http://www.lbmedia.fr</t>
  </si>
  <si>
    <t xml:space="preserve">Saint-Cere, Languedoc-Roussillon-Midi-Pyrenees, France, 46400</t>
  </si>
  <si>
    <t xml:space="preserve">Une approche 360° pour votre communication</t>
  </si>
  <si>
    <t>Rousselot</t>
  </si>
  <si>
    <t xml:space="preserve">BLEU VIF</t>
  </si>
  <si>
    <t>r.rousselot@bleuvif.com</t>
  </si>
  <si>
    <t>http://www.linkedin.com/in/remi-bleuvif</t>
  </si>
  <si>
    <t>http://www.bleuvif.com</t>
  </si>
  <si>
    <t xml:space="preserve">Anglet, Aquitaine, France</t>
  </si>
  <si>
    <t xml:space="preserve">Agence de communication et marketing à Anglet propose des solutions de Packaging, Branding, Marketing opérationnel, du print au digital et web, entre Bayonne et Biarritz, au Pays basque 64</t>
  </si>
  <si>
    <t>Yanardag</t>
  </si>
  <si>
    <t xml:space="preserve">My Production</t>
  </si>
  <si>
    <t>mikael@my-production.fr</t>
  </si>
  <si>
    <t>http://www.linkedin.com/in/yanardag-mikael-16203a102</t>
  </si>
  <si>
    <t>http://www.my-production.fr</t>
  </si>
  <si>
    <t>Salins-les-Bains</t>
  </si>
  <si>
    <t xml:space="preserve">48 Rue de la Republique, Salins-les-Bains, Bourgogne-Franche-Comte, France, 39110</t>
  </si>
  <si>
    <t xml:space="preserve">Ancrée à Salins-les-Bains, dans le Jura. My Production est une agence de communication et d’événementiel innovante et dynamique...</t>
  </si>
  <si>
    <t>Flore</t>
  </si>
  <si>
    <t>Audine</t>
  </si>
  <si>
    <t xml:space="preserve">Directrice Générale - Direction des expertises</t>
  </si>
  <si>
    <t xml:space="preserve">Agence Tribu</t>
  </si>
  <si>
    <t>flore@dazl.fr</t>
  </si>
  <si>
    <t>http://www.linkedin.com/in/flore-audine-2877a688</t>
  </si>
  <si>
    <t>http://www.agencetribu.com</t>
  </si>
  <si>
    <t xml:space="preserve">75 Boulevard d'Armentieres, Roubaix, Hauts-de-France, France, 59100</t>
  </si>
  <si>
    <t xml:space="preserve">Améliorez votre présence en ligne avec notre Agence Social Media SMO. Experts en stratégie de médias sociaux. Cliquez pour en savoir plus.</t>
  </si>
  <si>
    <t>Marving</t>
  </si>
  <si>
    <t>D</t>
  </si>
  <si>
    <t xml:space="preserve">Monsieur Darmon</t>
  </si>
  <si>
    <t>marving@monsieurdarmon.com</t>
  </si>
  <si>
    <t>http://www.linkedin.com/in/marving-d-310144245</t>
  </si>
  <si>
    <t>http://www.monsieurdarmon.com</t>
  </si>
  <si>
    <t>Gourlin</t>
  </si>
  <si>
    <t>Go2Digital</t>
  </si>
  <si>
    <t>xavier@go2digital.fr</t>
  </si>
  <si>
    <t>http://www.linkedin.com/in/xaviergourlin</t>
  </si>
  <si>
    <t>http://www.go2digital.hr</t>
  </si>
  <si>
    <t xml:space="preserve">52 Radnicka cesta, Zagreb, City of Zagreb, Croatia, 10000</t>
  </si>
  <si>
    <t>Croatia</t>
  </si>
  <si>
    <t xml:space="preserve">Agence Bastille</t>
  </si>
  <si>
    <t>jl@agencebastille.com</t>
  </si>
  <si>
    <t>http://www.linkedin.com/in/jonathan-lacoste-76ba11b5</t>
  </si>
  <si>
    <t>http://www.agencebastille.com</t>
  </si>
  <si>
    <t xml:space="preserve">42 Rue Sedaine, Paris, Ile-de-France, France, 75011</t>
  </si>
  <si>
    <t xml:space="preserve">Bonjour, nous sommes Bastille, l’agence marketing et communication publique dédiée à l’intérêt général.</t>
  </si>
  <si>
    <t>Elmaleh</t>
  </si>
  <si>
    <t>Neads</t>
  </si>
  <si>
    <t>n.elmaleh@neads.io</t>
  </si>
  <si>
    <t>http://www.linkedin.com/in/nathan-elmaleh</t>
  </si>
  <si>
    <t>http://www.neads.io</t>
  </si>
  <si>
    <t xml:space="preserve">19 Rue du Dome, Boulogne-Billancourt, Ile-de-France, France, 92100</t>
  </si>
  <si>
    <t xml:space="preserve">Neads c’est l’agence Social First qui accompagne les marques dans leur croissance avec une approche créative et performante sur les réseaux sociaux.</t>
  </si>
  <si>
    <t>Crispin</t>
  </si>
  <si>
    <t xml:space="preserve">BASE SUD</t>
  </si>
  <si>
    <t>sarah.crispin@base-sud.com</t>
  </si>
  <si>
    <t>http://www.linkedin.com/in/sarah-crispin-488a692a</t>
  </si>
  <si>
    <t>http://www.base-sud.com</t>
  </si>
  <si>
    <t xml:space="preserve">20 Avenue Notre-Dame, Nice, Provence-Alpes-Cote d'Azur, France, 06000</t>
  </si>
  <si>
    <t xml:space="preserve">Base Sud est une agence agence de communication qui accompagne ses clients dans le respect des valeurs: enthousiasme et créativité.</t>
  </si>
  <si>
    <t>Ponceblanc</t>
  </si>
  <si>
    <t xml:space="preserve">Ponceblanc Echantillonnage</t>
  </si>
  <si>
    <t>andre.ponceblanc@ponceblanc-ech.com</t>
  </si>
  <si>
    <t>http://www.linkedin.com/in/andr%c3%a9-ponceblanc-712266b4</t>
  </si>
  <si>
    <t>http://www.ponceblanc-ech.com</t>
  </si>
  <si>
    <t xml:space="preserve">33 Rue Ernest Renan, Vaulx-en-Velin, Auvergne-Rhone-Alpes, France, 69120</t>
  </si>
  <si>
    <t>ablanchard@relatia.fr</t>
  </si>
  <si>
    <t>http://www.linkedin.com/in/antoine-blanchard-65608b50</t>
  </si>
  <si>
    <t>Caperan</t>
  </si>
  <si>
    <t xml:space="preserve">Directeur de création, Co-fondateur et Associé</t>
  </si>
  <si>
    <t>Sharing</t>
  </si>
  <si>
    <t>po.caperan@sharing.agency</t>
  </si>
  <si>
    <t>http://www.linkedin.com/in/pierre-olivier-cap%c3%a9ran-3073a85b</t>
  </si>
  <si>
    <t>http://www.sharing.agency</t>
  </si>
  <si>
    <t xml:space="preserve">STRATÉGIE DE COMMUNICATION / BRANDING / SOCIAL MEDIA / DÉVELOPPEMENT WEB. Sharing est une agence de communication multi-service basée à Paris.</t>
  </si>
  <si>
    <t>chloe.falaize@resosign.fr</t>
  </si>
  <si>
    <t>http://www.linkedin.com/in/chlo%c3%a9-falaize</t>
  </si>
  <si>
    <t>Burel</t>
  </si>
  <si>
    <t>Bbird</t>
  </si>
  <si>
    <t>e.burel@agence-bbird.fr</t>
  </si>
  <si>
    <t>http://www.linkedin.com/in/emmanuelleburel</t>
  </si>
  <si>
    <t>http://www.agence-bbird.fr</t>
  </si>
  <si>
    <t xml:space="preserve">1 Rue de Quebec, Rouen, Upper Normandy, France, 76000</t>
  </si>
  <si>
    <t xml:space="preserve">Agence de communication et d'innovation sociétale agréée entreprise adaptée. Propose des solutions nouvelles pour sensibiliser au handicap.</t>
  </si>
  <si>
    <t>Arnoult</t>
  </si>
  <si>
    <t xml:space="preserve">Agence RC2C</t>
  </si>
  <si>
    <t>p.arnoult@rc2c.fr</t>
  </si>
  <si>
    <t>http://www.linkedin.com/in/philippe-arnoult-821a38128</t>
  </si>
  <si>
    <t>http://www.rc2c.fr</t>
  </si>
  <si>
    <t xml:space="preserve">La Rochelle, Nouvelle-Aquitaine, France</t>
  </si>
  <si>
    <t xml:space="preserve">RC2C est une agence de communication globale (web &amp;amp; print) pr&amp;eacute;sente &amp;agrave; La Rochelle et &amp;agrave; Nantes et pionni&amp;egrave;re dans les domaines de la RSE.</t>
  </si>
  <si>
    <t xml:space="preserve">Atelier Asap</t>
  </si>
  <si>
    <t>marie@atelier-asap.com</t>
  </si>
  <si>
    <t>http://www.linkedin.com/in/marie-huet-b1648989</t>
  </si>
  <si>
    <t>http://www.atelier-asap.com</t>
  </si>
  <si>
    <t xml:space="preserve">7 Rue Max Richard, Angers, Pays de la Loire, France, 49100</t>
  </si>
  <si>
    <t xml:space="preserve">Agence conseil en communication à Angers, L'Atelier Asap vous accompagne dans votre stratégie de communication print et web.</t>
  </si>
  <si>
    <t>Gazeau</t>
  </si>
  <si>
    <t>Klarsen</t>
  </si>
  <si>
    <t>bgazeau@klarsen.com</t>
  </si>
  <si>
    <t>http://www.linkedin.com/in/bricegazeau</t>
  </si>
  <si>
    <t>http://www.klarsen.com</t>
  </si>
  <si>
    <t xml:space="preserve">1 Cours Xavier Arnozan, Bordeaux, Nouvelle-Aquitaine, France, 33000</t>
  </si>
  <si>
    <t>Batard</t>
  </si>
  <si>
    <t xml:space="preserve">Agence Régionale Bras Droit des Dirigeants</t>
  </si>
  <si>
    <t>ludovic.batard@brasdroitdesdirigeants.com</t>
  </si>
  <si>
    <t>http://www.linkedin.com/in/ludovic-batard</t>
  </si>
  <si>
    <t>http://www.brasdroitdesdirigeants.com</t>
  </si>
  <si>
    <t>Loches</t>
  </si>
  <si>
    <t xml:space="preserve">49 Boulevard Preuilly, Tours, Centre-Val de Loire, France, 37000</t>
  </si>
  <si>
    <t>Arlette</t>
  </si>
  <si>
    <t>Berliocchi</t>
  </si>
  <si>
    <t>Opaline</t>
  </si>
  <si>
    <t>aberliocchi@opaline.fr</t>
  </si>
  <si>
    <t>http://www.linkedin.com/in/arlette-berliocchi-518b3b11</t>
  </si>
  <si>
    <t>http://www.opaline.fr</t>
  </si>
  <si>
    <t xml:space="preserve">60 Rue de Luzais, Saint-Quentin-Fallavier, Auvergne-Rhone-Alpes, France, 38070</t>
  </si>
  <si>
    <t xml:space="preserve">Forts de notre expérience de vingt ans pour accompagner les filiales du groupe Thermador dans leur stratégie de communication, nous nous sommes spécialisés dans un service de proximité pour comprendre nos clients et les guider dans leur réflexion.Nous avons mis nos compétences variées au service de PME régionales et réalisons pour elles leurs supports de communication print et digitaux. Notre convivialité et notre expertise pluridisciplinaire font clairement la diérence.</t>
  </si>
  <si>
    <t>Levigne</t>
  </si>
  <si>
    <t xml:space="preserve">Fondateur et Dirigeant SOWINK Puy de Dôme</t>
  </si>
  <si>
    <t>Sowink</t>
  </si>
  <si>
    <t>olivier@franchise-digitale.fr</t>
  </si>
  <si>
    <t>http://www.linkedin.com/in/olivierlevigne</t>
  </si>
  <si>
    <t>http://www.sowink.fr</t>
  </si>
  <si>
    <t>Varnier</t>
  </si>
  <si>
    <t xml:space="preserve">AUDITOIRE SHOPPER</t>
  </si>
  <si>
    <t>david.varnier@auditoire-shopper.com</t>
  </si>
  <si>
    <t>http://www.linkedin.com/in/davidvarnier</t>
  </si>
  <si>
    <t>http://www.auditoire-shopper.com</t>
  </si>
  <si>
    <t xml:space="preserve">44 Rue Copernic, Paris, Ile-de-France, France, 75116</t>
  </si>
  <si>
    <t xml:space="preserve">Auditoire Shopper est une agence de communication, marketing et évènementielle basée à Paris.</t>
  </si>
  <si>
    <t>Perdrix</t>
  </si>
  <si>
    <t>Sidièse</t>
  </si>
  <si>
    <t>nperdrix@sidiese.com</t>
  </si>
  <si>
    <t>http://www.linkedin.com/in/nicolasperdrix</t>
  </si>
  <si>
    <t>http://www.sidiese.com</t>
  </si>
  <si>
    <t xml:space="preserve">62 Rue Pelleport, Paris, Ile-de-France, France, 75020</t>
  </si>
  <si>
    <t xml:space="preserve">C'est l'histoire d'une agence qui voit les gens douter de plus en plus des campagnes de communication, et qui décide de remettre de la sincérité dans les messages pour aider à rétablir la communication.</t>
  </si>
  <si>
    <t xml:space="preserve">Co-fondateur • Développeur Web</t>
  </si>
  <si>
    <t>OOEO</t>
  </si>
  <si>
    <t>dimitri.nicolas@ooeo.fr</t>
  </si>
  <si>
    <t>http://www.linkedin.com/in/dimitrinicolas</t>
  </si>
  <si>
    <t>http://www.ooeo.fr</t>
  </si>
  <si>
    <t xml:space="preserve">27 Rue Louis Pasteur, Boulogne-Billancourt, Ile-de-France, France, 92100</t>
  </si>
  <si>
    <t xml:space="preserve">L'agence web de stratégie digitale pour les entreprises qui ont besoin d'un site web évolutif, d'un design et d'une identité de marque à l'épreuve du temps.</t>
  </si>
  <si>
    <t>Hawly</t>
  </si>
  <si>
    <t>FeroniaLab</t>
  </si>
  <si>
    <t>toufic@feronialab.com</t>
  </si>
  <si>
    <t>http://www.linkedin.com/in/toufichawly</t>
  </si>
  <si>
    <t>http://www.feronialab.com</t>
  </si>
  <si>
    <t xml:space="preserve">12 Улица Граф Игнатиев, Sofia, Sofia City Province, Bulgaria, 1000</t>
  </si>
  <si>
    <t xml:space="preserve">We help the most forward-thinking Companies build engaging live experiences​.
Whether it's an exhibition or a private company project, we deliver</t>
  </si>
  <si>
    <t>Souchu</t>
  </si>
  <si>
    <t xml:space="preserve">TRENDS paris</t>
  </si>
  <si>
    <t>blesouchu@trends.paris</t>
  </si>
  <si>
    <t>http://www.linkedin.com/in/benjamin-le-souchu-8281335b</t>
  </si>
  <si>
    <t>http://www.trendsagency.com</t>
  </si>
  <si>
    <t xml:space="preserve">15 Rue Martel, Paris, Ile-de-France, France, 75010</t>
  </si>
  <si>
    <t xml:space="preserve">Based in Paris, Dubai and Tokyo, TRENDS agency specializes in Press Relations, Influencers in the fashion, food, sport, tech, cosmetics and lifestyle products sectors.</t>
  </si>
  <si>
    <t xml:space="preserve">NINETEEN GROUPE</t>
  </si>
  <si>
    <t>naubert@nineteengroupe.fr</t>
  </si>
  <si>
    <t>http://www.linkedin.com/in/-nicolas-aubert</t>
  </si>
  <si>
    <t>http://www.nineteengroupe.fr</t>
  </si>
  <si>
    <t xml:space="preserve">Agence de Design, composée d’architectes et de créatifs, un studio d'Archviz et un pôle innovation capable de sublimer et de rendre vivant le travail de nos experts grâce aux nouvelles technologies.</t>
  </si>
  <si>
    <t>Hache</t>
  </si>
  <si>
    <t>HTAG</t>
  </si>
  <si>
    <t>s.hache@htag-telecom.fr</t>
  </si>
  <si>
    <t>http://www.linkedin.com/in/s%c3%a9bastien-hache-2635242a2</t>
  </si>
  <si>
    <t>http://www.htag-telecom.fr</t>
  </si>
  <si>
    <t xml:space="preserve">10 Rue Franklin, Le Havre, Upper Normandy, France, 76600</t>
  </si>
  <si>
    <t xml:space="preserve">HTAG, experte en téléphonie, réseaux, photocopieur et digitale répond à vos besoins aux alentours du Havre, Caen, Évreux et Rouen.</t>
  </si>
  <si>
    <t>Romana</t>
  </si>
  <si>
    <t xml:space="preserve">Sales Director / Co Founder</t>
  </si>
  <si>
    <t>Perfmaker.com</t>
  </si>
  <si>
    <t>jose@perfmaker.com</t>
  </si>
  <si>
    <t>http://www.linkedin.com/in/joseromana</t>
  </si>
  <si>
    <t>http://www.perfmaker.com</t>
  </si>
  <si>
    <t xml:space="preserve">14 Rue Sainte-Foy, Paris, Ile-de-France, France, 75002</t>
  </si>
  <si>
    <t xml:space="preserve">Libérez le potentiel de votre site ! Des expériences uniques qui transforment le parcours des visiteurs en opportunités de conversion. Découvrez. Perfmaker ...</t>
  </si>
  <si>
    <t>Poussineau</t>
  </si>
  <si>
    <t>Feedastic</t>
  </si>
  <si>
    <t>amine@feedastic.com</t>
  </si>
  <si>
    <t>http://www.linkedin.com/in/poussineauamine</t>
  </si>
  <si>
    <t>http://www.feedastic.com</t>
  </si>
  <si>
    <t xml:space="preserve">89 Rue de la Croix-Blanche, Bordeaux, Nouvelle-Aquitaine, France, 33000</t>
  </si>
  <si>
    <t xml:space="preserve">Feedastic Première Agence Indépendante d'experts E-commerce, Intégration et Optimisation des Marketplaces. Google Shopping et autres leviers d'Acquisition</t>
  </si>
  <si>
    <t>Barthes</t>
  </si>
  <si>
    <t xml:space="preserve">Agence KOZY</t>
  </si>
  <si>
    <t>marion@kozy.agency</t>
  </si>
  <si>
    <t>http://www.linkedin.com/in/marionbarthes</t>
  </si>
  <si>
    <t>http://www.agencekozy.com</t>
  </si>
  <si>
    <t xml:space="preserve">231 Avenue Clement Ader, Castelnau-le-Lez, Occitanie, France, 34170</t>
  </si>
  <si>
    <t xml:space="preserve">Découvrez Kozy, une agence qui incarne l'époque contemporaine en mettant l'accent sur l'importance des individus, de la singularité et de l'émotion. Avec une approche humaine, instinctive et connectée, nous créons des idées et des histoires engageantes qui expriment votre singularité et reflètent des valeurs partagées.</t>
  </si>
  <si>
    <t>Luck</t>
  </si>
  <si>
    <t>Press•Agrum</t>
  </si>
  <si>
    <t>jonathan@press-agrum.com</t>
  </si>
  <si>
    <t>http://www.linkedin.com/in/jonathanluck</t>
  </si>
  <si>
    <t>http://www.press-agrum.com</t>
  </si>
  <si>
    <t xml:space="preserve">20 Avenue du Neuhof, Strasbourg, Grand Est, France, 67100</t>
  </si>
  <si>
    <t xml:space="preserve">Press•Agrum, agence de communication experte en identité visuelle et stratégie de marque depuis +22 ans. Offrez le meilleur à votre marque !</t>
  </si>
  <si>
    <t>AppASO</t>
  </si>
  <si>
    <t>ctrombini@appaso.fr</t>
  </si>
  <si>
    <t>http://www.linkedin.com/in/camille-trombini</t>
  </si>
  <si>
    <t>http://www.appaso-auditgratuit.fr</t>
  </si>
  <si>
    <t xml:space="preserve">AppASO.fr - Expert en conseil et promotion pour applications et sites mobiles - Aso App Store Optimization / Performance &amp; acquisition mobile / App Growth Ios  Android</t>
  </si>
  <si>
    <t>Dore</t>
  </si>
  <si>
    <t xml:space="preserve">Directrice générale  .../en Personne expo Création et organisation de salons physiques et virtuels</t>
  </si>
  <si>
    <t xml:space="preserve">en Personne</t>
  </si>
  <si>
    <t>mpdore@enpersonne.com</t>
  </si>
  <si>
    <t>http://www.linkedin.com/in/marie-pierre-dor%c3%a9-6240b811</t>
  </si>
  <si>
    <t>http://www.enpersonnevirtual.com</t>
  </si>
  <si>
    <t xml:space="preserve">72 Avenue Victor Hugo, Boulogne-Billancourt, Ile-de-France, France, 92100</t>
  </si>
  <si>
    <t xml:space="preserve">1ère agence spécialiste des événements virtuels (salons virtuels, conventions virtuelles...)</t>
  </si>
  <si>
    <t>Bavon</t>
  </si>
  <si>
    <t>acracy</t>
  </si>
  <si>
    <t>severine@acracy.co</t>
  </si>
  <si>
    <t>http://www.linkedin.com/in/severinebavon</t>
  </si>
  <si>
    <t>http://www.acracy.co</t>
  </si>
  <si>
    <t xml:space="preserve">Paris, Ile-de-France, France, 75020</t>
  </si>
  <si>
    <t xml:space="preserve">The best Strategy, Design, Creation, Social Media and Production freelancers are on acracy</t>
  </si>
  <si>
    <t xml:space="preserve">Fondateur Gramica</t>
  </si>
  <si>
    <t>Gramica</t>
  </si>
  <si>
    <t>agirod@gramica.fr</t>
  </si>
  <si>
    <t>http://www.linkedin.com/in/ana%c3%afs-girod-77b79330</t>
  </si>
  <si>
    <t>http://www.gramica-africa.com</t>
  </si>
  <si>
    <t>Farhi</t>
  </si>
  <si>
    <t xml:space="preserve">Directrice générale Associée</t>
  </si>
  <si>
    <t xml:space="preserve">be brandon</t>
  </si>
  <si>
    <t>sarah@bebrandon.fr</t>
  </si>
  <si>
    <t>http://www.linkedin.com/in/sarah-farhi-805ba7a</t>
  </si>
  <si>
    <t>http://www.bebrandon.fr</t>
  </si>
  <si>
    <t xml:space="preserve">53 Rue de Paris, Boulogne-Billancourt, Ile-de-France, France, 92100</t>
  </si>
  <si>
    <t xml:space="preserve">be brandon, agence conseil en marketing 360. Notre mission : construire des campagnes d'activation 360 autour d’un storytelling fort visant à nourrir un lien fort entre la marque et le consommateur tout au long du parcours shopper. Nos expertises : brand platform, shopper marketing, social media, digital experience, event. be brandon, be active.</t>
  </si>
  <si>
    <t>Jouannet</t>
  </si>
  <si>
    <t>Cithéa</t>
  </si>
  <si>
    <t>tjouannet@cithea.com</t>
  </si>
  <si>
    <t>http://www.linkedin.com/in/thierry-jouannet-97114564</t>
  </si>
  <si>
    <t>http://www.cithea.com</t>
  </si>
  <si>
    <t xml:space="preserve">178 Quai Louis Bleriot, Paris, Ile-de-France, France, 75016</t>
  </si>
  <si>
    <t xml:space="preserve">Agence de communication basée à Paris 16 qui vous accompagne dans la création de vos outils de communication : stratégie, création digitale et régie.</t>
  </si>
  <si>
    <t>Roussaux</t>
  </si>
  <si>
    <t xml:space="preserve">Hearts &amp; Science France</t>
  </si>
  <si>
    <t>charles.roussaux@hearts-science.com</t>
  </si>
  <si>
    <t>http://www.linkedin.com/in/charles-roussaux-793892b</t>
  </si>
  <si>
    <t>http://www.hearts-science.com</t>
  </si>
  <si>
    <t xml:space="preserve">11 Avenue Andre Morizet, Boulogne-Billancourt, Ile-de-France, France, 92100</t>
  </si>
  <si>
    <t>Vie</t>
  </si>
  <si>
    <t>UNICOM</t>
  </si>
  <si>
    <t>florent.v@groupe-unicom.fr</t>
  </si>
  <si>
    <t>http://www.linkedin.com/in/florent-vie-34368b147</t>
  </si>
  <si>
    <t>http://www.groupe-unicom.fr</t>
  </si>
  <si>
    <t>Foix</t>
  </si>
  <si>
    <t xml:space="preserve">3 Rue du 19 Mars 1962, Foix, Midi-Pyrenees, France, 09000</t>
  </si>
  <si>
    <t xml:space="preserve">votre image made in occitanie Imprimerie Signalétique textile objets pub sport montagne evenementiel Unicom, bien plus qu'une agence de publicité tous supports Depuis 2014, le Groupe UNICOM se veut spécialiste de la publicité tous supports, mais au fil des années nous avons élargi notre panel d'offres pour vous proposer des solutions clés en main autour</t>
  </si>
  <si>
    <t>Guissouma</t>
  </si>
  <si>
    <t>AGECCO</t>
  </si>
  <si>
    <t>habib.guissouma@agecco.io</t>
  </si>
  <si>
    <t>http://www.linkedin.com/in/habib-guissouma-501a389</t>
  </si>
  <si>
    <t>http://www.guide-pub.com</t>
  </si>
  <si>
    <t>Mantes-la-Jolie</t>
  </si>
  <si>
    <t xml:space="preserve">3 Avenue Michel Chevalier, Grasse, Provence-Alpes-Cote d'Azur, France, 06130</t>
  </si>
  <si>
    <t>Ganne</t>
  </si>
  <si>
    <t xml:space="preserve">Directeur Général Adjoint au sein du groupe La Galiote/Prenant</t>
  </si>
  <si>
    <t>CFI</t>
  </si>
  <si>
    <t>g.ganne@cfitech.io</t>
  </si>
  <si>
    <t>http://www.linkedin.com/in/gilles-ganne-343a3622</t>
  </si>
  <si>
    <t>http://www.cfi-technologies.fr</t>
  </si>
  <si>
    <t xml:space="preserve">18 Rue des Cévennes, Lisses, Ile-de-France, France, 91090</t>
  </si>
  <si>
    <t xml:space="preserve">Vous souhaitez déployer et suivre vos campagnes depuis un point unique ? Nos technologies vous permettent un pilotage facilité !</t>
  </si>
  <si>
    <t>Charlier</t>
  </si>
  <si>
    <t xml:space="preserve">ScentAir France</t>
  </si>
  <si>
    <t>pcharlier@scentair.com</t>
  </si>
  <si>
    <t>http://www.linkedin.com/in/pascal-charlier-311779a9</t>
  </si>
  <si>
    <t>http://www.scentair.fr</t>
  </si>
  <si>
    <t xml:space="preserve">Saint-Jean, Occitanie, France, 31240</t>
  </si>
  <si>
    <t>Cocatrix</t>
  </si>
  <si>
    <t xml:space="preserve">Directeur général Fondateur</t>
  </si>
  <si>
    <t xml:space="preserve">Urban Connect</t>
  </si>
  <si>
    <t>richard.cocatrix@urbanconnect.fr</t>
  </si>
  <si>
    <t>http://www.linkedin.com/in/richard-cocatrix-96b9188a</t>
  </si>
  <si>
    <t>http://www.urbanconnect.fr</t>
  </si>
  <si>
    <t xml:space="preserve">Bernay, Upper Normandy, France</t>
  </si>
  <si>
    <t xml:space="preserve">Découvrez notre société de publicité polyvalente offrant des solutions créatives pour promouvoir votre entreprise ou votre collectivité. Explorez nos services de publicité indoor et outdoor de pointe, ainsi que notre mobilier urbain innovant. Optimisez votre visibilité et touchez votre public où qu'il se trouve. Contactez-nous aujourd'hui pour des campagnes publicitaires percutantes et des stratégies de marketing urbain.</t>
  </si>
  <si>
    <t>Faelens</t>
  </si>
  <si>
    <t xml:space="preserve">Xplore Digital</t>
  </si>
  <si>
    <t>sebastien@xplore.marketing</t>
  </si>
  <si>
    <t>http://www.linkedin.com/in/sebastienfaelens</t>
  </si>
  <si>
    <t>http://www.xplore.marketing</t>
  </si>
  <si>
    <t xml:space="preserve">22 Grove Mews, London, England, United Kingdom, W6 7</t>
  </si>
  <si>
    <t xml:space="preserve">Xplore Digital, Marketing On-demand. Our mission is to make marketing excellence accessible and affordable. For everyone.</t>
  </si>
  <si>
    <t>Pliester</t>
  </si>
  <si>
    <t>socialsky</t>
  </si>
  <si>
    <t>valentin@socialsky.be</t>
  </si>
  <si>
    <t>http://www.linkedin.com/in/valentin-pliester</t>
  </si>
  <si>
    <t>http://www.socialsky.eu</t>
  </si>
  <si>
    <t xml:space="preserve">455 Mechelsesteenweg, Zaventem, Flanders, Belgium, 1930</t>
  </si>
  <si>
    <t xml:space="preserve">Socialsky met en place des stratégies sociales innovantes pour accroître la visibilité, l'engagement et le ROI de votre marque.</t>
  </si>
  <si>
    <t>Benoiston</t>
  </si>
  <si>
    <t xml:space="preserve">Agence Kaolin</t>
  </si>
  <si>
    <t>cecile.benoiston@agencekaolin.com</t>
  </si>
  <si>
    <t>http://www.linkedin.com/in/c%c3%a9cile-benoiston-7b963057</t>
  </si>
  <si>
    <t>http://www.agencekaolin.com</t>
  </si>
  <si>
    <t xml:space="preserve">123 Rue du Cherche-Midi, Paris, Ile-de-France, France, 75015</t>
  </si>
  <si>
    <t xml:space="preserve">Lead Camp</t>
  </si>
  <si>
    <t>a.barthelemy@lead-camp.com</t>
  </si>
  <si>
    <t>http://www.linkedin.com/in/alexandre-barthelemy</t>
  </si>
  <si>
    <t>http://www.lead-camp.com</t>
  </si>
  <si>
    <t xml:space="preserve">1300 Avenue Albert Einstein, Montpellier, Occitanie, France, 34000</t>
  </si>
  <si>
    <t>Boissonade</t>
  </si>
  <si>
    <t xml:space="preserve">MB Agency</t>
  </si>
  <si>
    <t>mathys@m-bagency.com</t>
  </si>
  <si>
    <t>http://www.linkedin.com/in/mathys-boissonade-7327a71ba</t>
  </si>
  <si>
    <t>http://www.mbagency.com</t>
  </si>
  <si>
    <t xml:space="preserve">Toulouse, Occitanie, France, 31000</t>
  </si>
  <si>
    <t xml:space="preserve">Compare multiple insurance quotes from your local independent insurance agent today. Merrell Benco Insurance Agency provides Auto Insurance, Homeowners Insurance, and Business Insurance for all of New York.</t>
  </si>
  <si>
    <t xml:space="preserve">Co-fondateur de Soli - Spécialiste du solaire</t>
  </si>
  <si>
    <t>Soli</t>
  </si>
  <si>
    <t>brice@soli-energie.com</t>
  </si>
  <si>
    <t>http://www.linkedin.com/in/brice-papon-111b96123</t>
  </si>
  <si>
    <t>http://www.solisolutions.net</t>
  </si>
  <si>
    <t xml:space="preserve">125 Mt Auburn St, Cambridge, Massachusetts, United States, 02138</t>
  </si>
  <si>
    <t>Borkowski</t>
  </si>
  <si>
    <t xml:space="preserve">LA GRIFFE</t>
  </si>
  <si>
    <t>patrick.borkowski@lagriffe.com</t>
  </si>
  <si>
    <t>http://www.linkedin.com/in/patrick-borkowski-94531212</t>
  </si>
  <si>
    <t>http://www.lagriffe.com</t>
  </si>
  <si>
    <t xml:space="preserve">71 Rue Chabot Charny, Dijon, Bourgogne-Franche-Comte, France, 21000</t>
  </si>
  <si>
    <t xml:space="preserve">La Griffe Communication à DIJON. Stratégie, communication, design graphique, web, située en Bourgogne Franche-Comté depuis 1999.</t>
  </si>
  <si>
    <t>Sanchez</t>
  </si>
  <si>
    <t>Socialclub</t>
  </si>
  <si>
    <t>marine.s@socialclubparis.com</t>
  </si>
  <si>
    <t>http://www.linkedin.com/in/marine-sanchez-630bb6a8</t>
  </si>
  <si>
    <t>http://www.socialclubparis.com</t>
  </si>
  <si>
    <t xml:space="preserve">108 Rue d'Aboukir, Paris, Ile-de-France, France, 75002</t>
  </si>
  <si>
    <t xml:space="preserve">We are an independent global advertising &amp; branding agency in Paris and Amsterdam. But we prefer to simply call it a creative club.</t>
  </si>
  <si>
    <t xml:space="preserve">Agence SW</t>
  </si>
  <si>
    <t>maxime@agencesw.com</t>
  </si>
  <si>
    <t>http://www.linkedin.com/in/weber-maxime</t>
  </si>
  <si>
    <t>http://www.agencesw.com</t>
  </si>
  <si>
    <t xml:space="preserve">20 Boulevard du 26eme Regiment d'Infanterie, Nancy, Grand Est, France, 54000</t>
  </si>
  <si>
    <t xml:space="preserve">Depuis plus de 10 ans, l’Agence SW accompagne les entreprises dans leur croissance grâce à des actions digitales sur-mesure répondant à leurs besoins</t>
  </si>
  <si>
    <t xml:space="preserve">Président - directeur associé</t>
  </si>
  <si>
    <t xml:space="preserve">Agence Le Square</t>
  </si>
  <si>
    <t>jeromebon@lesquare.com</t>
  </si>
  <si>
    <t>http://www.linkedin.com/in/jerome-bon-2a592518</t>
  </si>
  <si>
    <t>http://www.lesquare.com</t>
  </si>
  <si>
    <t xml:space="preserve">7 Rue de la Ferme, La Garenne-Colombes, Ile-de-France, France, 92250</t>
  </si>
  <si>
    <t>Danthony</t>
  </si>
  <si>
    <t xml:space="preserve">Co-founder &amp; Chief Product Officer</t>
  </si>
  <si>
    <t xml:space="preserve">IMPACT Plus</t>
  </si>
  <si>
    <t>audrey@impact-plus.fr</t>
  </si>
  <si>
    <t>http://www.linkedin.com/in/audrey-danthony-8397a720</t>
  </si>
  <si>
    <t>http://www.weareimpactplus.com</t>
  </si>
  <si>
    <t xml:space="preserve">Discover Impact Plus, your partner in sustainable digital advertising. Make the environmental impact a key component of your digital advertising campaigns.</t>
  </si>
  <si>
    <t>Bachelot</t>
  </si>
  <si>
    <t>BOGOGROUP</t>
  </si>
  <si>
    <t>cbachelot@bogoplus.fr</t>
  </si>
  <si>
    <t>http://www.linkedin.com/in/c%c3%a9dric-bachelot-014a4810b</t>
  </si>
  <si>
    <t>http://www.bogo-group.com</t>
  </si>
  <si>
    <t xml:space="preserve">80 Boulevard de Picpus, Paris, Ile-de-France, France, 75012</t>
  </si>
  <si>
    <t xml:space="preserve">您的网站已到期或者已被关闭，请联系客户QQ:425827996 电话:400-8817-968</t>
  </si>
  <si>
    <t>Dereumaux</t>
  </si>
  <si>
    <t>Pilot'​in</t>
  </si>
  <si>
    <t>julien@pilot-in.com</t>
  </si>
  <si>
    <t>http://www.linkedin.com/in/juliendereumaux</t>
  </si>
  <si>
    <t>http://www.pilot-in.com</t>
  </si>
  <si>
    <t xml:space="preserve">Agence WordPress à Lyon qui donne du sens à vos ambitions web ! Agence 100% WordPress et accompagnement en prospection digitale sur Lyon.</t>
  </si>
  <si>
    <t>Dedeine</t>
  </si>
  <si>
    <t xml:space="preserve">Pilotes PLV Marketing point de vente</t>
  </si>
  <si>
    <t>c.dedeine@pilotesplv.fr</t>
  </si>
  <si>
    <t>http://www.linkedin.com/in/charlotte-dedeine-34840068</t>
  </si>
  <si>
    <t>http://www.pilotesplv.fr</t>
  </si>
  <si>
    <t xml:space="preserve">100 Avenue Clement Ader, Wambrechies, Nord-Pas-de-Calais, France, 59118</t>
  </si>
  <si>
    <t xml:space="preserve">Depuis plus de 20 ans, nous déployons notre imagination et notre expertise pour vous aider à développer votre communication en point de vente et sublimer &gt;&gt;&gt; Pour vous accompagner dans vos campagnes in-store : développement sur mesure et éco-conçu, fabrication multi-matériaux et locale, livraison et installation.</t>
  </si>
  <si>
    <t>Barrio</t>
  </si>
  <si>
    <t xml:space="preserve">Cocktail Vision</t>
  </si>
  <si>
    <t>yvan@cocktailvision.fr</t>
  </si>
  <si>
    <t>http://www.linkedin.com/in/yvan-cr%c3%a9mont-del-barrio-193a6294</t>
  </si>
  <si>
    <t>http://www.cocktailvision.fr</t>
  </si>
  <si>
    <t xml:space="preserve">AFFICHAGE DYNAMIQUE : Cocktail Vision, spécialisée dans l'affichage dynamique à travers ses panneaux publicitaires numérique LED.</t>
  </si>
  <si>
    <t>Maux</t>
  </si>
  <si>
    <t xml:space="preserve">CEO - Co fondateur</t>
  </si>
  <si>
    <t>MO&amp;JO</t>
  </si>
  <si>
    <t>bmaux@mo-jo.fr</t>
  </si>
  <si>
    <t>http://www.linkedin.com/in/bertrandmaux</t>
  </si>
  <si>
    <t>http://www.mo-jo.fr</t>
  </si>
  <si>
    <t xml:space="preserve">19 Square Dutilleul, Lille, Hauts-de-France, France, 59800</t>
  </si>
  <si>
    <t xml:space="preserve">MO&amp;JO : Experts en Social Media, Email Marketing, Search &amp; SEO, et bien plus. Révélez votre mojo digital avec notre expertise</t>
  </si>
  <si>
    <t>Roman</t>
  </si>
  <si>
    <t>Sebag</t>
  </si>
  <si>
    <t>AngelStudio</t>
  </si>
  <si>
    <t>roman@angelstudio.co</t>
  </si>
  <si>
    <t>http://www.linkedin.com/in/roman-sebag-852a05159</t>
  </si>
  <si>
    <t>http://www.angelstudio.co</t>
  </si>
  <si>
    <t xml:space="preserve">124 Rue Reaumur, Paris, Ile-de-France, France, 75002</t>
  </si>
  <si>
    <t xml:space="preserve">💡 Angel Studio, votre partenaire en communication digitale : Ads vidéos acting, ads motion design, ads statiques et création de landing pages.</t>
  </si>
  <si>
    <t>Marie-Alix</t>
  </si>
  <si>
    <t>Dornel</t>
  </si>
  <si>
    <t xml:space="preserve">Studio Ikadia</t>
  </si>
  <si>
    <t>mariealix@ikadia.fr</t>
  </si>
  <si>
    <t>http://www.linkedin.com/in/marie-alix-dornel-aa17b771</t>
  </si>
  <si>
    <t>http://www.ikadia.fr</t>
  </si>
  <si>
    <t xml:space="preserve">127 Rue Emile Zola, Troyes, Grand Est, France, 10000</t>
  </si>
  <si>
    <t xml:space="preserve">Besoin d'une agence de communication à Troyes ? Studio Ikadia vous accompagne en stratégie, création, développement web et webmarketing pour booster votre visibilité.</t>
  </si>
  <si>
    <t xml:space="preserve">Directrice Générale de Copylot Group</t>
  </si>
  <si>
    <t xml:space="preserve">COPYLOT Group</t>
  </si>
  <si>
    <t>l.dubois@copylot.com</t>
  </si>
  <si>
    <t>http://www.linkedin.com/in/laetitia-dubois-copylot-group-19b050107</t>
  </si>
  <si>
    <t>http://www.copylot.com</t>
  </si>
  <si>
    <t xml:space="preserve">Site de démonstration</t>
  </si>
  <si>
    <t>Youcef</t>
  </si>
  <si>
    <t>Medjellakh</t>
  </si>
  <si>
    <t xml:space="preserve">Africa Business Market Place</t>
  </si>
  <si>
    <t>youcef@albertoexport.com</t>
  </si>
  <si>
    <t>http://www.linkedin.com/in/youcef-medjellakh-b49565231</t>
  </si>
  <si>
    <t>http://www.mandeng.store</t>
  </si>
  <si>
    <t xml:space="preserve">Yaounde, Centre, Cameroon</t>
  </si>
  <si>
    <t xml:space="preserve">Bienvenue chez Mandeng Store, votre destination en ligne pour des produits Longrich certifiés ISO et HACCP. Découvrez des produits de qualité qui soutiennent une opportunité MLM pour un avenir prospère dans un environnement sain.</t>
  </si>
  <si>
    <t>Héhocom</t>
  </si>
  <si>
    <t>alexia@hehocom.fr</t>
  </si>
  <si>
    <t>http://www.linkedin.com/in/alexia-c-10216b169</t>
  </si>
  <si>
    <t>http://www.hehocom.fr</t>
  </si>
  <si>
    <t>Sainte-Maxime</t>
  </si>
  <si>
    <t xml:space="preserve">Découvrez notre équipe talentueuse et explorez nos études de cas pour un succès assuré. Héhocom, votre agence tout-en-un.</t>
  </si>
  <si>
    <t>Kacem</t>
  </si>
  <si>
    <t xml:space="preserve">Digital Unicorn</t>
  </si>
  <si>
    <t>lucas@digitalunicorn.fr</t>
  </si>
  <si>
    <t>outsourcing/offshoring</t>
  </si>
  <si>
    <t>http://www.linkedin.com/in/lucas-kacem-95a56ab9</t>
  </si>
  <si>
    <t>http://www.digitalunicorn.fr</t>
  </si>
  <si>
    <t xml:space="preserve">17 Avenue Lorenzi, Nice, Provence-Alpes-Cote d'Azur, France, 06100</t>
  </si>
  <si>
    <t xml:space="preserve">Digital Unicorn est une agence digitale spécialisée en création site web, développement d'application mobile, design UI/UX et en webmarketing.</t>
  </si>
  <si>
    <t>Clerck</t>
  </si>
  <si>
    <t xml:space="preserve">Co-fondatrice &amp; Associée // Accompagner les dirigeants à être engageants</t>
  </si>
  <si>
    <t>ldeclerck@whistcom.com</t>
  </si>
  <si>
    <t>http://www.linkedin.com/in/laetitia-de-clerck-46346431</t>
  </si>
  <si>
    <t>Thienot</t>
  </si>
  <si>
    <t xml:space="preserve">Ecole des Vins et Spiritueux</t>
  </si>
  <si>
    <t>o.thienot@ecole-vins-spiritueux.com</t>
  </si>
  <si>
    <t>http://www.linkedin.com/in/olivierthienot</t>
  </si>
  <si>
    <t>http://www.ecole-vins-spiritueux.com</t>
  </si>
  <si>
    <t xml:space="preserve">38 Rue Baron, Paris, Ile-de-France, France, 75017</t>
  </si>
  <si>
    <t xml:space="preserve">Découvrez l'École des Vins &amp; Spiritueux à Paris et Lyon. Leader Français, nous proposons des Cours et Formations d'Oenologie pour tous niveaux !</t>
  </si>
  <si>
    <t>Mondoloni</t>
  </si>
  <si>
    <t xml:space="preserve">ISQ Certification</t>
  </si>
  <si>
    <t>eclement.mondoloni@isqualification.com</t>
  </si>
  <si>
    <t>http://www.linkedin.com/in/emmanuel-clement-mondoloni-aba49321</t>
  </si>
  <si>
    <t>http://www.isqcertification.com</t>
  </si>
  <si>
    <t xml:space="preserve">ISQ Certification accompagne les organismes de formation dans l'obtention de certifications Qualité. Découvrez nos services pour valoriser votre expertise et répondre aux exigences réglementaires.</t>
  </si>
  <si>
    <t>Labbez</t>
  </si>
  <si>
    <t>CommStrat</t>
  </si>
  <si>
    <t>guillaumelabbez@commstrat.fr</t>
  </si>
  <si>
    <t>http://www.linkedin.com/in/guillaumelabbez</t>
  </si>
  <si>
    <t>http://www.commstrat.fr</t>
  </si>
  <si>
    <t xml:space="preserve">6 Rue de Saint-Petersbourg, Paris, Ile-de-France, France, 75008</t>
  </si>
  <si>
    <t xml:space="preserve">Des stratèges pour maîtriser votre communication dans le nouveau débat public. Crise, influence, Affaires publiques, Relations Média, Digital</t>
  </si>
  <si>
    <t>Ekno</t>
  </si>
  <si>
    <t>xavier.dullin@ekno.fr</t>
  </si>
  <si>
    <t>http://www.linkedin.com/in/xavier-dullin-97729922</t>
  </si>
  <si>
    <t>http://www.ekno.fr</t>
  </si>
  <si>
    <t xml:space="preserve">11 Place Bellecour, Lyon, Auvergne-Rhone-Alpes, France, 69002</t>
  </si>
  <si>
    <t xml:space="preserve">Agence conseil en communication corporate, nous intervenons en conseil stratégique, création et production de contenus et conception et réalisation d’événements sur desenjeux transverses d’identité, d’engagement et d’influence.</t>
  </si>
  <si>
    <t>Mallen</t>
  </si>
  <si>
    <t xml:space="preserve">Fondatrice Rusée &amp; Agile</t>
  </si>
  <si>
    <t xml:space="preserve">Bonne Nouvelle !</t>
  </si>
  <si>
    <t>jm@bonnenouvelle.co</t>
  </si>
  <si>
    <t>http://www.linkedin.com/in/mallenjulie</t>
  </si>
  <si>
    <t>http://www.bonnenouvelle.co</t>
  </si>
  <si>
    <t xml:space="preserve">169 Rue de la Foret, Valence, Auvergne-Rhone-Alpes, France, 26000</t>
  </si>
  <si>
    <t xml:space="preserve">Agence communication : workshops, logo, digital, évènementiel, formations, vidéos, réseaux sociaux, site web | Bonne Nouvelle Valence</t>
  </si>
  <si>
    <t>Rondel</t>
  </si>
  <si>
    <t>Comfluence</t>
  </si>
  <si>
    <t>christophe.rondel@comfluence.fr</t>
  </si>
  <si>
    <t>http://www.linkedin.com/in/christopherondel</t>
  </si>
  <si>
    <t>http://www.comfluence.fr</t>
  </si>
  <si>
    <t xml:space="preserve">17 Boulevard Malesherbes, Paris, Ile-de-France, France, 75008</t>
  </si>
  <si>
    <t xml:space="preserve">Spécialisée dans le conseil en communication et la stratégie d'influence, notre agence est structurée autour de 5 pôles métiers. Découvrez nos savoir-faire et notre expertise</t>
  </si>
  <si>
    <t>Genillion</t>
  </si>
  <si>
    <t>Starteo</t>
  </si>
  <si>
    <t>vincent@starteo.pro</t>
  </si>
  <si>
    <t>http://www.linkedin.com/in/vgenillion</t>
  </si>
  <si>
    <t>http://www.starteo.pro</t>
  </si>
  <si>
    <t xml:space="preserve">Chateauneuf-sur-Isere, Rhone-Alpes, France, 26300</t>
  </si>
  <si>
    <t>Corbel</t>
  </si>
  <si>
    <t xml:space="preserve">Size Up 💥 _ Agence de Growth Marketing</t>
  </si>
  <si>
    <t>jean-sebastien@size-up.io</t>
  </si>
  <si>
    <t>http://www.linkedin.com/in/jeansebastien-corbel</t>
  </si>
  <si>
    <t>http://www.size-up.io</t>
  </si>
  <si>
    <t xml:space="preserve">3 Rue de Robien, Rennes, Bretagne, France, 35000</t>
  </si>
  <si>
    <t>Malki</t>
  </si>
  <si>
    <t>adesias</t>
  </si>
  <si>
    <t>smalki@adesias.fr</t>
  </si>
  <si>
    <t>http://www.linkedin.com/in/samir-malki-b3898810</t>
  </si>
  <si>
    <t>http://www.adesias.fr</t>
  </si>
  <si>
    <t xml:space="preserve">5 Passage du Chantier, Paris, Ile-de-France, France, 75012</t>
  </si>
  <si>
    <t xml:space="preserve">Agence de communication Corporate &amp; Digital Learning chargée d'élaborer la communication interne et externe des entreprises.</t>
  </si>
  <si>
    <t xml:space="preserve">Agence Grenadine RP</t>
  </si>
  <si>
    <t>alexia.haye@grenadine-rp.com</t>
  </si>
  <si>
    <t>http://www.linkedin.com/in/alexia-haye-07275615b</t>
  </si>
  <si>
    <t>http://www.grenadine-rp.com</t>
  </si>
  <si>
    <t xml:space="preserve">10 Rue de Maubeuge, Paris, Ile-de-France, France, 75009</t>
  </si>
  <si>
    <t>Haichen</t>
  </si>
  <si>
    <t xml:space="preserve">Atlas HiSEAS</t>
  </si>
  <si>
    <t>haichen.wang@atlasinternationalculture.com</t>
  </si>
  <si>
    <t>http://www.linkedin.com/in/haichen-wang-59093117</t>
  </si>
  <si>
    <t>http://www.atlashiseas.eu</t>
  </si>
  <si>
    <t xml:space="preserve">Brussels, Brussels, Belgium, 1000</t>
  </si>
  <si>
    <t xml:space="preserve">Atlas Hiseas is a facilitator, designer &amp; implementer for cultural and economic exchanges between Europe and China, helping you conquer new grounds.</t>
  </si>
  <si>
    <t>Chaban-Delmas</t>
  </si>
  <si>
    <t>MGH</t>
  </si>
  <si>
    <t>guillaume.chabandelmas@mgh-partners.com</t>
  </si>
  <si>
    <t>http://www.linkedin.com/in/guillaume-chaban-delmas-26a34370</t>
  </si>
  <si>
    <t>http://www.mgh-partners.com</t>
  </si>
  <si>
    <t xml:space="preserve">67 Avenue Kleber, Paris, Ile-de-France, France, 75116</t>
  </si>
  <si>
    <t xml:space="preserve">MGH Partners est un cabinet d’affaires publiques internationales et communication stratégique.</t>
  </si>
  <si>
    <t>Anne-Laure</t>
  </si>
  <si>
    <t>Parmantier</t>
  </si>
  <si>
    <t xml:space="preserve">Directrice générale Associée Santa bla bla</t>
  </si>
  <si>
    <t xml:space="preserve">Santa bla bla</t>
  </si>
  <si>
    <t>annelaure@santablabla.com</t>
  </si>
  <si>
    <t>http://www.linkedin.com/in/anne-laure-parmantier-211b192b</t>
  </si>
  <si>
    <t>http://www.santablabla.com</t>
  </si>
  <si>
    <t xml:space="preserve">19 Rue du 4 Septembre, Paris, Ile-de-France, France, 75002</t>
  </si>
  <si>
    <t xml:space="preserve">Agence Social media, Influence et Relations presse, depuis plus de 11 ans. Studio intégré et production agile. Une équipe engagée, experte et passionnée.</t>
  </si>
  <si>
    <t>Jequier</t>
  </si>
  <si>
    <t xml:space="preserve">Bona fidé</t>
  </si>
  <si>
    <t>sjequier@bonafide.paris</t>
  </si>
  <si>
    <t>http://www.linkedin.com/in/samuel-jequier-3592b659</t>
  </si>
  <si>
    <t>http://www.bonafide.paris</t>
  </si>
  <si>
    <t>Janneau</t>
  </si>
  <si>
    <t xml:space="preserve">Agence Observatoire</t>
  </si>
  <si>
    <t>veronique@observatoire.fr</t>
  </si>
  <si>
    <t>http://www.linkedin.com/in/veroniquejanneau</t>
  </si>
  <si>
    <t>http://www.observatoire.fr</t>
  </si>
  <si>
    <t xml:space="preserve">20 Rue du Pont Neuf, Paris, Ile-de-France, France, 75001</t>
  </si>
  <si>
    <t>Abadji</t>
  </si>
  <si>
    <t xml:space="preserve">Progressif Media</t>
  </si>
  <si>
    <t>claire@progressifmedia.com</t>
  </si>
  <si>
    <t>http://www.linkedin.com/in/claire-abadji-b9068032</t>
  </si>
  <si>
    <t>http://www.progressifmedia.com</t>
  </si>
  <si>
    <t xml:space="preserve">Progressif Media est une agence de communication et marketing digitale au service exclusif des organisations caritatives et des marques engagées.</t>
  </si>
  <si>
    <t>Tison</t>
  </si>
  <si>
    <t>skillscommunication</t>
  </si>
  <si>
    <t>laurent@skillscommunication.fr</t>
  </si>
  <si>
    <t>http://www.linkedin.com/in/laurent-tison-9170785</t>
  </si>
  <si>
    <t>http://www.skillscommunication.fr</t>
  </si>
  <si>
    <t xml:space="preserve">Fondée par des Directeurs de Communication forts de plus de 20 ans d’expérience, Skills Communication accompagne les leaders pour toucher leurs audiences.</t>
  </si>
  <si>
    <t>Cuir</t>
  </si>
  <si>
    <t xml:space="preserve">Fondatrice et Directrice Générale</t>
  </si>
  <si>
    <t xml:space="preserve">Esprit des Sens</t>
  </si>
  <si>
    <t>o.cuir@eds-groupe.com</t>
  </si>
  <si>
    <t>http://www.linkedin.com/in/olivia-cuir-b15487a8</t>
  </si>
  <si>
    <t>http://www.espritdessens.com</t>
  </si>
  <si>
    <t xml:space="preserve">Esprit des Sens accompagne et conseille les acteurs engagés dans la ville de demain dans leur communication et leur stratégie d’influence.</t>
  </si>
  <si>
    <t>Joncour</t>
  </si>
  <si>
    <t xml:space="preserve">Co-Founder / President</t>
  </si>
  <si>
    <t xml:space="preserve">Vertical . Paris</t>
  </si>
  <si>
    <t>pj@verticalparis.com</t>
  </si>
  <si>
    <t>http://www.linkedin.com/in/philjoncour</t>
  </si>
  <si>
    <t>http://www.verticalparis.com</t>
  </si>
  <si>
    <t xml:space="preserve">48 Rue Saint-Maur, Paris, Ile-de-France, France, 75011</t>
  </si>
  <si>
    <t>Louis-Marie</t>
  </si>
  <si>
    <t xml:space="preserve">5e Rue</t>
  </si>
  <si>
    <t>louis-marie.durand@5erue.com</t>
  </si>
  <si>
    <t>http://www.linkedin.com/in/lmdurand</t>
  </si>
  <si>
    <t>http://www.5erue.com</t>
  </si>
  <si>
    <t xml:space="preserve">Nous accompagnons nos clients sur 4 enjeux essentiels du numérique : Brand Strategy - Consumer Journey - Employee Experience - Change &amp; Organization.</t>
  </si>
  <si>
    <t>Donatienne</t>
  </si>
  <si>
    <t>Brillant</t>
  </si>
  <si>
    <t>dbrillant@seance-publique.com</t>
  </si>
  <si>
    <t>http://www.linkedin.com/in/donatienne-brillant</t>
  </si>
  <si>
    <t>Chaffanjon</t>
  </si>
  <si>
    <t xml:space="preserve">Directrice associée &amp; Secrétaire Générale</t>
  </si>
  <si>
    <t xml:space="preserve">THE ARCANE</t>
  </si>
  <si>
    <t>c.chaffanjon@the-arcane.com</t>
  </si>
  <si>
    <t>http://www.linkedin.com/in/camille-chaffanjon-533a3444</t>
  </si>
  <si>
    <t>http://www.the-arcane.com</t>
  </si>
  <si>
    <t xml:space="preserve">Arcane est un cabinet de conseil en influence et en gouvernance, fondé par 
Marion Darrieutort</t>
  </si>
  <si>
    <t>Buffone</t>
  </si>
  <si>
    <t xml:space="preserve">Directrice générale déléguée</t>
  </si>
  <si>
    <t>aurelie.buffone@ekno.fr</t>
  </si>
  <si>
    <t>http://www.linkedin.com/in/aur%c3%a9lie-buffone-4905a02a</t>
  </si>
  <si>
    <t>Gruel</t>
  </si>
  <si>
    <t xml:space="preserve">Présidente de Coeur # Samba Impulse</t>
  </si>
  <si>
    <t xml:space="preserve">Agence SAMBA</t>
  </si>
  <si>
    <t>marie@agence-samba.com</t>
  </si>
  <si>
    <t>http://www.linkedin.com/in/marie-louise-gruel-08665a130</t>
  </si>
  <si>
    <t>http://www.agence-samba.com</t>
  </si>
  <si>
    <t xml:space="preserve">Agence de communication sensible et engagée, à Toulouse. Nous mettons en lumière les projets qui changent le monde : écologiques, éthiques et culturels.</t>
  </si>
  <si>
    <t>Joulin-Cardiet</t>
  </si>
  <si>
    <t xml:space="preserve">Thomas Marko &amp; Associés</t>
  </si>
  <si>
    <t>florence.j@tmarkoagency.com</t>
  </si>
  <si>
    <t>http://www.linkedin.com/in/florence-joulin-cardiet-55558a11</t>
  </si>
  <si>
    <t>http://www.thomasmarko-associes.com</t>
  </si>
  <si>
    <t xml:space="preserve">37 Rue Fernand Pelloutier, Boulogne-Billancourt, Ile-de-France, France, 92100</t>
  </si>
  <si>
    <t>Deverre</t>
  </si>
  <si>
    <t xml:space="preserve">Seine-Maritime Attractivité</t>
  </si>
  <si>
    <t>jean-marc.deverre@sma76.fr</t>
  </si>
  <si>
    <t>http://www.linkedin.com/in/jean-marc-deverre-aa1b48a</t>
  </si>
  <si>
    <t>http://www.seine-maritime-attractivite.com</t>
  </si>
  <si>
    <t xml:space="preserve">28 Rue Raymond Aron, Mont-Saint-Aignan, Upper Normandy, France, 76130</t>
  </si>
  <si>
    <t xml:space="preserve">Seine-Maritime Attractivité (SMA 76) : développez votre projet en Seine-Maritime : entreprises, tourisme, études, partenaires financiers, communes et projets de vie.</t>
  </si>
  <si>
    <t>Rousselie</t>
  </si>
  <si>
    <t>Deltalia</t>
  </si>
  <si>
    <t>antoine.rousselie@erilia.fr</t>
  </si>
  <si>
    <t>http://www.linkedin.com/in/antoine-rousselie-3281b331</t>
  </si>
  <si>
    <t>http://www.erilia.fr</t>
  </si>
  <si>
    <t>Gauteur</t>
  </si>
  <si>
    <t xml:space="preserve">SA MONT-BLANC</t>
  </si>
  <si>
    <t>nicolas.gauteur@samontblanc.com</t>
  </si>
  <si>
    <t>http://www.linkedin.com/in/nicolas-gauteur-31719446</t>
  </si>
  <si>
    <t>http://www.samontblanc.com</t>
  </si>
  <si>
    <t xml:space="preserve">SA Mont Blanc constructeur et bailleur social en haute-Savoie</t>
  </si>
  <si>
    <t>Ledorguet</t>
  </si>
  <si>
    <t xml:space="preserve">Terres de Loire Habitat</t>
  </si>
  <si>
    <t>eledorguet@tdlh.fr</t>
  </si>
  <si>
    <t>http://www.linkedin.com/in/erik-ledorguet-1773129b</t>
  </si>
  <si>
    <t>http://www.terresdeloirehabitat.fr</t>
  </si>
  <si>
    <t xml:space="preserve">18 Avenue de l'Europe, Blois, Centre-Val de Loire, France, 41000</t>
  </si>
  <si>
    <t>Guenot</t>
  </si>
  <si>
    <t>Commespace</t>
  </si>
  <si>
    <t>a.guenot@commespace.fr</t>
  </si>
  <si>
    <t>http://www.linkedin.com/in/antoineguenot</t>
  </si>
  <si>
    <t>http://www.commespace.fr</t>
  </si>
  <si>
    <t xml:space="preserve">Plerin, Brittany, France, 22190</t>
  </si>
  <si>
    <t xml:space="preserve">Spécialiste de l'immobilier, Commespace propose des entrepôts, bureaux, locaux commerciaux, terrains, logement, à l'achat ou à la location</t>
  </si>
  <si>
    <t>Maud-Anais</t>
  </si>
  <si>
    <t>Claudot</t>
  </si>
  <si>
    <t xml:space="preserve">CPO &amp; cofounder</t>
  </si>
  <si>
    <t>Buildrz</t>
  </si>
  <si>
    <t>maud@buildrz.io</t>
  </si>
  <si>
    <t>http://www.linkedin.com/in/maud-anais-claudot-b9069b34</t>
  </si>
  <si>
    <t>http://www.buildrz.io</t>
  </si>
  <si>
    <t xml:space="preserve">5 Avenue de la Republique, Paris, Ile-de-France, France, 75011</t>
  </si>
  <si>
    <t xml:space="preserve">De la prospection foncière à la modélisation 3D des études de faisabilité, Buildrz conçoit vos opérations immobilières en 30mn.</t>
  </si>
  <si>
    <t>Vieville</t>
  </si>
  <si>
    <t xml:space="preserve">Le Vapoteur Discount</t>
  </si>
  <si>
    <t>morgan@levapoteur-discount.fr</t>
  </si>
  <si>
    <t>http://www.linkedin.com/in/morgan-vieville-7996b01a0</t>
  </si>
  <si>
    <t>http://www.levapoteur-discount.fr</t>
  </si>
  <si>
    <t>Saint-Geours-de-Maremne</t>
  </si>
  <si>
    <t xml:space="preserve">13 Rue de la Sous-Prefecture, Saint-Quentin, Hauts-de-France, France, 02100</t>
  </si>
  <si>
    <t xml:space="preserve">Bienvenue sur Le Vapoteur Discount. Vous trouverez ici cigarettes électroniques, E-liquides et accessoires aux meilleurs prix dans de nombreuses marques, ainsi qu'un assortiment de produits autour du CBD</t>
  </si>
  <si>
    <t>Greffier</t>
  </si>
  <si>
    <t xml:space="preserve">PDG Axes Concessionnaire Xerox Loire Atlantique</t>
  </si>
  <si>
    <t xml:space="preserve">AXES SYGMALAB</t>
  </si>
  <si>
    <t>b.greffier@axes-44.com</t>
  </si>
  <si>
    <t>http://www.linkedin.com/in/benedictegreffier</t>
  </si>
  <si>
    <t>http://www.axes-44.com</t>
  </si>
  <si>
    <t xml:space="preserve">La Chapelle-sur-Erdre</t>
  </si>
  <si>
    <t xml:space="preserve">2B Rue Newton, La Chapelle-sur-Erdre, Pays de la Loire, France, 44240</t>
  </si>
  <si>
    <t xml:space="preserve">AXES Sygmalab, concessionnaire Xerox en Loire-Atlantique, est un intégrateur local qui accompagne ses clients dans leur transformation.</t>
  </si>
  <si>
    <t>Flageul</t>
  </si>
  <si>
    <t xml:space="preserve">Seignouret Freres</t>
  </si>
  <si>
    <t>eflageul@seignouret.com</t>
  </si>
  <si>
    <t>http://www.linkedin.com/in/erwan-flageul-452791a2</t>
  </si>
  <si>
    <t>http://www.seignouret.com</t>
  </si>
  <si>
    <t xml:space="preserve">Fondée en 1830, Seignouret Frères est l’une des plus anciennes maisons de négoce de la Place de Bordeaux.</t>
  </si>
  <si>
    <t>Hazan</t>
  </si>
  <si>
    <t xml:space="preserve">Groupe BOUCHARD</t>
  </si>
  <si>
    <t>frederic.hazan@groupe-bouchard.com</t>
  </si>
  <si>
    <t>http://www.linkedin.com/in/fr%c3%a9d%c3%a9ric-hazan-9318a139</t>
  </si>
  <si>
    <t>http://www.groupe-bouchard.com</t>
  </si>
  <si>
    <t xml:space="preserve">Saint-Brice-sous-Foret, Ile-de-France, France</t>
  </si>
  <si>
    <t xml:space="preserve">Nos filiales sont spécialisées dans la distribution de matériels pour les professionnels de l'agriculture, la manutention, l'espace vert, la</t>
  </si>
  <si>
    <t>Guyon</t>
  </si>
  <si>
    <t xml:space="preserve">DURET SA</t>
  </si>
  <si>
    <t>laurent.guyon@duret.fr</t>
  </si>
  <si>
    <t>http://www.linkedin.com/in/laurent-guyon-29414a96</t>
  </si>
  <si>
    <t>http://www.duret.fr</t>
  </si>
  <si>
    <t xml:space="preserve">25 Rue Paul Deschanel, Les Villages-Voveens, Centre-Val de Loire, France, 28150</t>
  </si>
  <si>
    <t>Sion</t>
  </si>
  <si>
    <t xml:space="preserve">Coco cooking</t>
  </si>
  <si>
    <t>romain@coco.cooking</t>
  </si>
  <si>
    <t>http://www.linkedin.com/in/romainsion</t>
  </si>
  <si>
    <t>http://www.coco.cooking</t>
  </si>
  <si>
    <t xml:space="preserve">Ohio, United States</t>
  </si>
  <si>
    <t xml:space="preserve">Du cash en cuisinant 💸</t>
  </si>
  <si>
    <t>Allouche</t>
  </si>
  <si>
    <t xml:space="preserve">ENR PRO Optimal Solution</t>
  </si>
  <si>
    <t>alain@enr-pro.fr</t>
  </si>
  <si>
    <t>http://www.linkedin.com/in/alain-allouche-02b18452</t>
  </si>
  <si>
    <t>http://www.enr-pro.fr</t>
  </si>
  <si>
    <t xml:space="preserve">3 Rue Jean Monnet, Nogent-sur-Marne, Ile-de-France, France, 94130</t>
  </si>
  <si>
    <t xml:space="preserve">Le Groupe Prestige</t>
  </si>
  <si>
    <t>ameziere@legroupeprestige.fr</t>
  </si>
  <si>
    <t>http://www.linkedin.com/in/anthony-meziere-75380329</t>
  </si>
  <si>
    <t>http://www.legroupeprestige.com</t>
  </si>
  <si>
    <t xml:space="preserve">22 Boulevard des Acacias, Savenay, Pays de la Loire, France, 44260</t>
  </si>
  <si>
    <t xml:space="preserve">Référence dans l’industrie de l’intégration Audio/Vidéo, la domotique et la salle de cinéma privé, Le Groupe Prestige apporte son expertise à tous vos projets.</t>
  </si>
  <si>
    <t>flandre@pba-auctions.com</t>
  </si>
  <si>
    <t>http://www.linkedin.com/in/fran%c3%a7ois-landre-949a38170</t>
  </si>
  <si>
    <t>http://www.pba-auctions.com</t>
  </si>
  <si>
    <t xml:space="preserve">92 Avenue d'Iena, Paris, Ile-de-France, France, 75116</t>
  </si>
  <si>
    <t>Courville</t>
  </si>
  <si>
    <t>Plastimea</t>
  </si>
  <si>
    <t>michele.courville@plastimea.com</t>
  </si>
  <si>
    <t>http://www.linkedin.com/in/mich%c3%a8le-courville-993a05220</t>
  </si>
  <si>
    <t>http://www.plastimea.com</t>
  </si>
  <si>
    <t xml:space="preserve">20 Rue des Petits-Champs, Paris, Ile-de-France, France, 75002</t>
  </si>
  <si>
    <t xml:space="preserve">Plastimea vous propose ses solutions dans les univers beauté, minceur, manucure et épilation : produits innovants, ou médecine et chirurgie esthétique.</t>
  </si>
  <si>
    <t>Bochon</t>
  </si>
  <si>
    <t xml:space="preserve">Duplo France</t>
  </si>
  <si>
    <t>philippe.bochon@duplofrance.fr</t>
  </si>
  <si>
    <t>http://www.linkedin.com/in/philippe-bochon-619a4b61</t>
  </si>
  <si>
    <t>http://www.duplofrance.fr</t>
  </si>
  <si>
    <t xml:space="preserve">2 Allee des Saules, Creteil, Ile-de-France, France, 94000</t>
  </si>
  <si>
    <t>Mery</t>
  </si>
  <si>
    <t xml:space="preserve">Willy anti-gaspi</t>
  </si>
  <si>
    <t>clement@antigaspi.co</t>
  </si>
  <si>
    <t>http://www.linkedin.com/in/cl%c3%a9mentmery</t>
  </si>
  <si>
    <t>http://www.willyantigaspi.fr</t>
  </si>
  <si>
    <t xml:space="preserve">Saint-Ouen, Ile-de-France, France</t>
  </si>
  <si>
    <t xml:space="preserve">Vos produits préférés en mode anti-gaspi vraiment moins chers. Des produits bio et français sauvés du gaspillage alimentaire. Livraison partout en France. Épicerie sucrée, épicerie salée, produits zéro déchet, hygiène, produits pour bébé.</t>
  </si>
  <si>
    <t>Ermenier</t>
  </si>
  <si>
    <t>ACTIMAT</t>
  </si>
  <si>
    <t>m.ermenier@actimat.com</t>
  </si>
  <si>
    <t>http://www.linkedin.com/in/marie-ermenier-628a79156</t>
  </si>
  <si>
    <t>http://www.actimat.com</t>
  </si>
  <si>
    <t xml:space="preserve">Noyal-Chatillon-sur-Seiche, Brittany, France</t>
  </si>
  <si>
    <t xml:space="preserve">Accueil - Découvrez toutes nos solutions hygiène, décoration, publicité et sécurité sur revêtements textiles. Recommandés pour les pros</t>
  </si>
  <si>
    <t xml:space="preserve">LOPEZ FI</t>
  </si>
  <si>
    <t>l.vernet@lopez-fi.com</t>
  </si>
  <si>
    <t>http://www.linkedin.com/in/laurent-vernet-a92199198</t>
  </si>
  <si>
    <t>http://www.lopez-fi.com</t>
  </si>
  <si>
    <t xml:space="preserve">Portes-les-Valence, Rhone-Alpes, France</t>
  </si>
  <si>
    <t xml:space="preserve">Trouvez les fournitures industrielles dont vous avez besoin. Nos spécialistes vous accueillent dans les magasins Lopez à Valence, Vienne et Lyon.</t>
  </si>
  <si>
    <t>Novak</t>
  </si>
  <si>
    <t>Kusljevic</t>
  </si>
  <si>
    <t xml:space="preserve">ALLO SOLAR</t>
  </si>
  <si>
    <t>nk@allo.solar</t>
  </si>
  <si>
    <t>http://www.linkedin.com/in/novak-k-8b3ab4190</t>
  </si>
  <si>
    <t>http://www.allo.solar</t>
  </si>
  <si>
    <t>Portiragnes</t>
  </si>
  <si>
    <t xml:space="preserve">6 Rue Georges Charpak, Portiragnes, Occitanie, France, 34420</t>
  </si>
  <si>
    <t xml:space="preserve">LA MAISON DU GAINABLE</t>
  </si>
  <si>
    <t>direction@lmdg.fr</t>
  </si>
  <si>
    <t>http://www.linkedin.com/in/adrien-rodriguez-8667a01a0</t>
  </si>
  <si>
    <t>http://www.la-maison-du-gainable.fr</t>
  </si>
  <si>
    <t xml:space="preserve">La Maison du Gainable, spécialiste de la climatisation et du chauffage ! Découvrez nos solutions, nos agences à Toulouse, Agen, Montauban, et notre expertise</t>
  </si>
  <si>
    <t xml:space="preserve">Groupe Jeker Automobiles Concessionnaire Peugeot et Agent Citroën Vosges</t>
  </si>
  <si>
    <t>retienne@jekerautomobiles.fr</t>
  </si>
  <si>
    <t>http://www.linkedin.com/in/raphael-etienne-0677a3127</t>
  </si>
  <si>
    <t>http://www.jekerautomobiles.fr</t>
  </si>
  <si>
    <t>Vittel</t>
  </si>
  <si>
    <t xml:space="preserve">117 Boulevard d'Alsace, Gerardmer, Lorraine, France, 88400</t>
  </si>
  <si>
    <t xml:space="preserve">Le groupe Jeker Automobiles, concessionnaire Peugeot et agent Citroën vous accueille en Alsace et dans les Vosges pour vos opérations de mécanique, carrosserie ou pour l'achat de votre véhicule.</t>
  </si>
  <si>
    <t>Esnault</t>
  </si>
  <si>
    <t xml:space="preserve">Graines d'ici</t>
  </si>
  <si>
    <t>mathias@grainesdici.fr</t>
  </si>
  <si>
    <t>http://www.linkedin.com/in/mathias-esnault-2b1140154</t>
  </si>
  <si>
    <t>http://www.grainesdici.fr</t>
  </si>
  <si>
    <t xml:space="preserve">Reze, Pays de la Loire, France</t>
  </si>
  <si>
    <t xml:space="preserve">Vos courses bio livrées chez vous sur Nantes et son agglo : des fruits &amp; légumes bio, locaux, en circuit-court. Composez votre panier !</t>
  </si>
  <si>
    <t xml:space="preserve">Groupe BMS</t>
  </si>
  <si>
    <t>thibault.evrard@groupebms.fr</t>
  </si>
  <si>
    <t>http://www.linkedin.com/in/thibault-evrard-32525185</t>
  </si>
  <si>
    <t>http://www.auto-76.fr</t>
  </si>
  <si>
    <t xml:space="preserve">Evreux, Normandie, France, 27000</t>
  </si>
  <si>
    <t>Morgane</t>
  </si>
  <si>
    <t xml:space="preserve">Fondatrice et CEO</t>
  </si>
  <si>
    <t xml:space="preserve">Lib&amp;Lou ♾ Location de jouets et jeux</t>
  </si>
  <si>
    <t>morgane@libetlou.com</t>
  </si>
  <si>
    <t>http://www.linkedin.com/in/morgane-longo</t>
  </si>
  <si>
    <t>http://www.libetlou.com</t>
  </si>
  <si>
    <t>Vierzon</t>
  </si>
  <si>
    <t xml:space="preserve">Rue Armand Brunet, Vierzon, Centre-Val de Loire, France, 18100</t>
  </si>
  <si>
    <t xml:space="preserve">Lib&amp;Lou est le premier site de location de jouets et jeux qui facilite la vie des parents et éveille les enfants</t>
  </si>
  <si>
    <t>m.martinez@raimond.fr</t>
  </si>
  <si>
    <t>http://www.linkedin.com/in/matthieu-martinez-806039148</t>
  </si>
  <si>
    <t>Leyssens</t>
  </si>
  <si>
    <t xml:space="preserve">BOREAL HYGIENE</t>
  </si>
  <si>
    <t>alban.leyssens@boreal-hygiene.fr</t>
  </si>
  <si>
    <t>http://www.linkedin.com/in/alban-leyssens-87b45a63</t>
  </si>
  <si>
    <t>http://www.boreal-hygiene.com</t>
  </si>
  <si>
    <t xml:space="preserve">Le Blanc-Mesnil</t>
  </si>
  <si>
    <t xml:space="preserve">5 Rue de la Victoire, Le Blanc-Mesnil, Ile-de-France, France, 93150</t>
  </si>
  <si>
    <t xml:space="preserve">Découvrez notre gamme de solutions de nettoyage efficaces et innovantes, adaptées aux exigences des professionnels. Qualité, fiabilité, et service client dédié pour un environnement propre et sain. Explorez notre catalogue en ligne dès maintenant.</t>
  </si>
  <si>
    <t>Ledun</t>
  </si>
  <si>
    <t>SAREVI</t>
  </si>
  <si>
    <t>arnaud.ledun@sarevi.com</t>
  </si>
  <si>
    <t>http://www.linkedin.com/in/arnaud-ledun-58420844</t>
  </si>
  <si>
    <t>http://www.sarevi.com</t>
  </si>
  <si>
    <t xml:space="preserve">Alencon, Lower Normandy, France</t>
  </si>
  <si>
    <t xml:space="preserve">SAREVI, un réseau de garages au service des métiers du transport et de la construction spécialiste du véhicule industriel en Normandie. Retrouvez-nous à Caen, Alençon, Avranches et La Ferté Macé. SAREVI : Distributeur et partenaire Service MAN - Distributeur KRONE - Faymonville - Benalu - MAX Trailer...</t>
  </si>
  <si>
    <t>Haquette</t>
  </si>
  <si>
    <t>Catequip</t>
  </si>
  <si>
    <t>sebastien.haquette@catequip.com</t>
  </si>
  <si>
    <t>http://www.linkedin.com/in/sebastien-haquette-7368a46</t>
  </si>
  <si>
    <t>http://www.catequip.com</t>
  </si>
  <si>
    <t xml:space="preserve">19 Rue de la Paix, Bouilly, Grand Est, France, 10320</t>
  </si>
  <si>
    <t xml:space="preserve">Catequip est votre partenaire professionnel spécialiste de la cuisine de restauration rapide. Nous fournissons les marques américaines de renommées en cuisine de restauration rapide.</t>
  </si>
  <si>
    <t>Velut</t>
  </si>
  <si>
    <t xml:space="preserve">Cave du Val d'Or</t>
  </si>
  <si>
    <t>david.velut@cavesduvaldor.com</t>
  </si>
  <si>
    <t>http://www.linkedin.com/in/david-velut-571195118</t>
  </si>
  <si>
    <t>http://www.caveduvaldor.com</t>
  </si>
  <si>
    <t>Chevigny-Saint-Sauveur</t>
  </si>
  <si>
    <t xml:space="preserve">Chagny, Burgundy, France, 71150</t>
  </si>
  <si>
    <t>Gramaglia</t>
  </si>
  <si>
    <t xml:space="preserve">ABCD OPTIQUE</t>
  </si>
  <si>
    <t>jean-baptiste.gramaglia@me-and-eye.com</t>
  </si>
  <si>
    <t>http://www.linkedin.com/in/jean-baptiste-gramaglia-598b946</t>
  </si>
  <si>
    <t>http://www.abcd-vision.org</t>
  </si>
  <si>
    <t xml:space="preserve">181 Boulevard de la Republique, Salon-de-Provence, Provence-Alpes-Cote d'Azur, France, 13300</t>
  </si>
  <si>
    <t>Karmann</t>
  </si>
  <si>
    <t>philippe.karmann@ekfrance.fr</t>
  </si>
  <si>
    <t>http://www.linkedin.com/in/philippe-karmann</t>
  </si>
  <si>
    <t>Rozanes</t>
  </si>
  <si>
    <t>Atelierdelacreation</t>
  </si>
  <si>
    <t>alexandre@atelierdelacreation.com</t>
  </si>
  <si>
    <t>http://www.linkedin.com/in/alexandre-rozanes-07945363</t>
  </si>
  <si>
    <t>http://www.atelierdelacreation.com</t>
  </si>
  <si>
    <t xml:space="preserve">43 Rue Mouraud, Paris, Ile-de-France, France, 75020</t>
  </si>
  <si>
    <t>Anne-Gaelle</t>
  </si>
  <si>
    <t xml:space="preserve">AC2R SECURITE ELECTRONIQUE ET ELECTRICITE</t>
  </si>
  <si>
    <t>ag.roux@ac2r.com</t>
  </si>
  <si>
    <t>http://www.linkedin.com/in/annegaelledekinkelin</t>
  </si>
  <si>
    <t>http://www.ac2r.com</t>
  </si>
  <si>
    <t xml:space="preserve">104 Route de Paris, Charbonnieres-les-Bains, Rhone-Alpes, France, 69260</t>
  </si>
  <si>
    <t xml:space="preserve">AC2R est spécialiste en électricité et sécurité électronique à Lyon ! Spécialistes de la rénovation, neuf, particuliers et pros.</t>
  </si>
  <si>
    <t>Rochefoucauld</t>
  </si>
  <si>
    <t xml:space="preserve">L'Appel du Livre</t>
  </si>
  <si>
    <t>anne.delarochefoucauld@appeldulivre.fr</t>
  </si>
  <si>
    <t>http://www.linkedin.com/in/anne-de-la-rochefoucauld-381a1332</t>
  </si>
  <si>
    <t>http://www.appeldulivrepro.fr</t>
  </si>
  <si>
    <t xml:space="preserve">58 Rue du Dessous-des-Berges, Paris, Ile-de-France, France, 75013</t>
  </si>
  <si>
    <t>Yassin</t>
  </si>
  <si>
    <t>Inti</t>
  </si>
  <si>
    <t xml:space="preserve">Dps Market</t>
  </si>
  <si>
    <t>yassin.inti@dpsmarket.com</t>
  </si>
  <si>
    <t>http://www.linkedin.com/in/yassin-inti-5b5a38172</t>
  </si>
  <si>
    <t>http://www.dpsmarket.com</t>
  </si>
  <si>
    <t xml:space="preserve">Villeneuve-la-Garenne, Ile-de-France, France, 92390</t>
  </si>
  <si>
    <t xml:space="preserve">DPS Market est un grossiste alimentaire halal pour professionnels. Produits alimentaires et non alimentaires pour la restauration et commerçants indépendants.</t>
  </si>
  <si>
    <t>Durif</t>
  </si>
  <si>
    <t>CHR-Avenue</t>
  </si>
  <si>
    <t>eric.durif@chr-avenue.com</t>
  </si>
  <si>
    <t>http://www.linkedin.com/in/eric-durif-chr-avenue</t>
  </si>
  <si>
    <t>http://www.chr-avenue.com</t>
  </si>
  <si>
    <t xml:space="preserve">5 Rue Junon, Carquefou, Pays de la Loire, France, 44470</t>
  </si>
  <si>
    <t xml:space="preserve">Matériels pour la restauration ✓ Froid, Cuisson, Laverie, Inox  ✓ 20 000 références, 140 marques ✓ Livraison rapide ✓ Conseils au 📞 02 72 24 00 15</t>
  </si>
  <si>
    <t>Goldrajch</t>
  </si>
  <si>
    <t>e-liquide-fr</t>
  </si>
  <si>
    <t>julien@e-liquide-fr.com</t>
  </si>
  <si>
    <t>http://www.linkedin.com/in/julien-goldrajch-06b0021b6</t>
  </si>
  <si>
    <t>http://www.e-liquide-fr.com</t>
  </si>
  <si>
    <t>Chateauneuf-les-Martigues</t>
  </si>
  <si>
    <t xml:space="preserve">12 Chemin de la Haute Bedoule, Septemes-les-Vallons, Provence-Alpes-Cote d'Azur, France, 13240</t>
  </si>
  <si>
    <t xml:space="preserve">Achat et Vente en ligne de cigarettes électroniques et e-liquides pas cher. Large choix parmi des milliers d'articles en stock. Livraison gratuite !</t>
  </si>
  <si>
    <t>Arnold</t>
  </si>
  <si>
    <t>ABRY-ARNOLD</t>
  </si>
  <si>
    <t>vgresser@abry-arnold.fr</t>
  </si>
  <si>
    <t>http://www.linkedin.com/in/v%c3%a9ronique-gresser-arnold-741882206</t>
  </si>
  <si>
    <t>http://www.abry-arnold.fr</t>
  </si>
  <si>
    <t>Alaterre</t>
  </si>
  <si>
    <t xml:space="preserve">GREEN OWL</t>
  </si>
  <si>
    <t>lucas@greenowl.fr</t>
  </si>
  <si>
    <t>http://www.linkedin.com/in/lucas-alaterre-947a67113</t>
  </si>
  <si>
    <t>http://www.greenowl.fr</t>
  </si>
  <si>
    <t xml:space="preserve">9 Rue Peyrolieres, Toulouse, Occitanie, France, 31000</t>
  </si>
  <si>
    <t xml:space="preserve">Spécialiste en fleur CBD légal de qualité ✅. Greenowl CBD Shop France. Grand choix fleurs cannabis CBD légal ✅. Meilleur Prix et Avis 4,7/5.</t>
  </si>
  <si>
    <t>Quer</t>
  </si>
  <si>
    <t>romain@faubourg54.com</t>
  </si>
  <si>
    <t>http://www.linkedin.com/in/romainlequer</t>
  </si>
  <si>
    <t>Brieuc</t>
  </si>
  <si>
    <t>Ruby</t>
  </si>
  <si>
    <t xml:space="preserve">Focus Coworking</t>
  </si>
  <si>
    <t>brieuc@focus.work</t>
  </si>
  <si>
    <t>http://www.linkedin.com/in/brieucoger-entrepreneur</t>
  </si>
  <si>
    <t>http://www.focus.work</t>
  </si>
  <si>
    <t xml:space="preserve">21 Rue du Commandant Fuzier, Lyon, Auvergne-Rhone-Alpes, France, 69003</t>
  </si>
  <si>
    <t xml:space="preserve">Focus propose une offre unique de colocation d’entreprises. Des bureaux en centre-ville, équipés, flexibles et des services à la carte...</t>
  </si>
  <si>
    <t>Virginia</t>
  </si>
  <si>
    <t>Mangia</t>
  </si>
  <si>
    <t>virginia@faubourg54.com</t>
  </si>
  <si>
    <t>http://www.linkedin.com/in/virginia-mangia-604b402</t>
  </si>
  <si>
    <t>Saintout</t>
  </si>
  <si>
    <t xml:space="preserve">CEO / Publishing Director</t>
  </si>
  <si>
    <t xml:space="preserve">Arkhane Asylum Publishing</t>
  </si>
  <si>
    <t>m.saintout@arkhane-asylum.fr</t>
  </si>
  <si>
    <t>http://www.linkedin.com/in/mathieu-saintout-297ab62</t>
  </si>
  <si>
    <t>http://www.arkhane-asylum.fr</t>
  </si>
  <si>
    <t xml:space="preserve">40 Boulevard de Stalingrad, Nice, Provence-Alpes-Cote d'Azur, France, 06300</t>
  </si>
  <si>
    <t xml:space="preserve">Plongez-vous dans l'univers Dune, affrontez des créatures redoutables dans l'univers The Witcher. Devenez un vampire légendaire dans le monde de Vampire: la Mascarade. Chez Arkhane Asylum, les aventures épiques prennent vie. Rejoignez-nous à travers nos différents jeux de rôles et produits !</t>
  </si>
  <si>
    <t xml:space="preserve">PRIEUR SPORTS</t>
  </si>
  <si>
    <t>l.lesne@prieur-sports.com</t>
  </si>
  <si>
    <t>http://www.linkedin.com/in/ludovic-lesne-8702261a</t>
  </si>
  <si>
    <t>http://www.prieur-sports.com</t>
  </si>
  <si>
    <t>Genlis</t>
  </si>
  <si>
    <t xml:space="preserve">54 Avenue du General de Gaulle, Genlis, Bourgogne-Franche-Comte, France, 21110</t>
  </si>
  <si>
    <t xml:space="preserve">Fabrication et vente en ligne de matériel d’escrime ; épées, fleurets, sabres, lames, vestes, pantalons, cuirasses, gants, housses, chaussures. Installation salles d’armes.</t>
  </si>
  <si>
    <t>Beaud</t>
  </si>
  <si>
    <t xml:space="preserve">Algi Equipements</t>
  </si>
  <si>
    <t>adrien.beaud@algi.fr</t>
  </si>
  <si>
    <t>http://www.linkedin.com/in/adrienbeaud</t>
  </si>
  <si>
    <t>http://www.algi.fr</t>
  </si>
  <si>
    <t xml:space="preserve">30 Rue de Saint-Hippolyte, Scionzier, Auvergne-Rhone-Alpes, France, 74950</t>
  </si>
  <si>
    <t xml:space="preserve">Depuis 1923, ALGI Equipements, fabrique une large gamme de matériels de lubrification et d’équipements d’ateliers de qualité</t>
  </si>
  <si>
    <t>Gruet</t>
  </si>
  <si>
    <t xml:space="preserve">Co-Fondatrice et Création Artistique de C-MonEtiquette</t>
  </si>
  <si>
    <t>C-MonEtiquette</t>
  </si>
  <si>
    <t>isabelle@c-monetiquette.fr</t>
  </si>
  <si>
    <t>http://www.linkedin.com/in/isabelle-gruet-38a2153</t>
  </si>
  <si>
    <t>http://www.c-monetiquette.fr</t>
  </si>
  <si>
    <t xml:space="preserve">Etiquettes thermocollantes et autocollantes 100% personnalisables pour marquer les vêtements et affaires des enfants en collectivités. Expédition sous 48h et livraison GRATUITE !</t>
  </si>
  <si>
    <t>Bluntzer</t>
  </si>
  <si>
    <t xml:space="preserve">Charcuterie Sibilia</t>
  </si>
  <si>
    <t>bruno@charcuterie-sibilia.com</t>
  </si>
  <si>
    <t>http://www.linkedin.com/in/bruno-bluntzer-ba197bb2</t>
  </si>
  <si>
    <t>http://www.charcuterie-sibilia.com</t>
  </si>
  <si>
    <t xml:space="preserve">102 Cours Lafayette, Lyon, Auvergne-Rhone-Alpes, France, 69003</t>
  </si>
  <si>
    <t xml:space="preserve">La Charcuterie Sibilia est reconnue, par les plus grands professionnels, comme l'une des meilleures charcuterie lyonnaise : saucissons, jambons, andouillettes... Venez d&amp;eacute;couvrir sa s&amp;eacute;lection de produits et ses coups de coeur.</t>
  </si>
  <si>
    <t>Dunoyer</t>
  </si>
  <si>
    <t xml:space="preserve">La Perle des Dieux</t>
  </si>
  <si>
    <t>direction@laperledesdieux.com</t>
  </si>
  <si>
    <t>http://www.linkedin.com/in/louis-dunoyer</t>
  </si>
  <si>
    <t>http://www.laperledesdieux.com</t>
  </si>
  <si>
    <t xml:space="preserve">49 Rue des Couvreurs, Saint-Gilles-Croix-de-Vie, Pays de la Loire, France, 85800</t>
  </si>
  <si>
    <t xml:space="preserve">Conserverie spécialisée dans les sardines, maquereaux et spécialités de poissons. De la pêche à la boîte, nos recettes s'ornent de finesse.</t>
  </si>
  <si>
    <t>Pouget</t>
  </si>
  <si>
    <t xml:space="preserve">PDG site ecommerce Espace Bricolage</t>
  </si>
  <si>
    <t xml:space="preserve">Espace Bricolage</t>
  </si>
  <si>
    <t>cyril@espace-bricolage.fr</t>
  </si>
  <si>
    <t>http://www.linkedin.com/in/cyrilpouget</t>
  </si>
  <si>
    <t>http://www.espace-bricolage.fr</t>
  </si>
  <si>
    <t xml:space="preserve">143 Chemin du Rivage, Saint-Blaise, Provence-Alpes-Cote d'Azur, France, 06670</t>
  </si>
  <si>
    <t xml:space="preserve">Retrouvez tout le nécessaire pour vos travaux de bricolage, d'aménagement de la maison et entretien jardin. Des produits de grandes marques et livraison offerte dès 90€ d'achat</t>
  </si>
  <si>
    <t>Marie-Eve</t>
  </si>
  <si>
    <t>Pecatte</t>
  </si>
  <si>
    <t>Foraloc</t>
  </si>
  <si>
    <t>pecatte@foraloc.com</t>
  </si>
  <si>
    <t>http://www.linkedin.com/in/marie-eve-pecatte-14143695</t>
  </si>
  <si>
    <t>http://www.foraloc.fr</t>
  </si>
  <si>
    <t xml:space="preserve">55 Rue Ampere, Chassieu, Auvergne-Rhone-Alpes, France, 69680</t>
  </si>
  <si>
    <t xml:space="preserve">Foraloc est spécialisé dans la location de foreuses et matériel de forage et minage pour les professionnels. Découvrez également nos formations forage Drill-i.</t>
  </si>
  <si>
    <t>CLASSOTECH</t>
  </si>
  <si>
    <t>e.pons@classotech.com</t>
  </si>
  <si>
    <t>http://www.linkedin.com/in/emmanuel-pons-5151b4148</t>
  </si>
  <si>
    <t>http://www.classotech.com</t>
  </si>
  <si>
    <t>Jonquieres</t>
  </si>
  <si>
    <t xml:space="preserve">315 Route d'Orange, Jonquieres, Provence-Alpes-Cote d'Azur, France, 84150</t>
  </si>
  <si>
    <t xml:space="preserve">Classotech, société basée près d'Avignon, vous propose ses solutions de rayonnage et ses systèmes de stockage. Nous intervenons dans tout le Sud de la France.</t>
  </si>
  <si>
    <t>Douglas</t>
  </si>
  <si>
    <t>Studient</t>
  </si>
  <si>
    <t>Ipln.fr</t>
  </si>
  <si>
    <t>douglas@ipln.fr</t>
  </si>
  <si>
    <t>http://www.linkedin.com/in/douglas-studient-911a381b1</t>
  </si>
  <si>
    <t>http://www.ipln.fr</t>
  </si>
  <si>
    <t xml:space="preserve">17 Place Bellecour, Lyon, Auvergne-Rhone-Alpes, France, 69002</t>
  </si>
  <si>
    <t xml:space="preserve">Plongez dans l’univers d’IPLN.fr, votre expert en  matériel photo et vidéo. Parcourez notre large sélection d’équipements de qualité pour tous les amateurs et professionnels de l’image.</t>
  </si>
  <si>
    <t>daniel.mouton@daniel-mouton.com</t>
  </si>
  <si>
    <t>http://www.linkedin.com/in/daniel-mouton-36547583</t>
  </si>
  <si>
    <t>http://www.daniel-mouton.com</t>
  </si>
  <si>
    <t xml:space="preserve">Rue de la Grassinais, St-Malo, Brittany, France, 35400</t>
  </si>
  <si>
    <t>Esteves</t>
  </si>
  <si>
    <t>SPCM</t>
  </si>
  <si>
    <t>marco.esteves@spcm.fr</t>
  </si>
  <si>
    <t>http://www.linkedin.com/in/marco-esteves-064115114</t>
  </si>
  <si>
    <t>http://www.spcm.fr</t>
  </si>
  <si>
    <t>Carrieres-sur-Seine</t>
  </si>
  <si>
    <t xml:space="preserve">Carrieres-sur-Seine, Ile-de-France, France, 78420</t>
  </si>
  <si>
    <t>Jaouen</t>
  </si>
  <si>
    <t>Pairel</t>
  </si>
  <si>
    <t>j.pairel@abcdoptique.com</t>
  </si>
  <si>
    <t>http://www.linkedin.com/in/jaouen-pairel-a31312131</t>
  </si>
  <si>
    <t xml:space="preserve">EURO VAPE DISTRIB</t>
  </si>
  <si>
    <t>eric.massip@you-smoke.fr</t>
  </si>
  <si>
    <t>http://www.linkedin.com/in/eric-massip-218414146</t>
  </si>
  <si>
    <t>http://www.you-smoke.fr</t>
  </si>
  <si>
    <t>Villeparisis</t>
  </si>
  <si>
    <t xml:space="preserve">Villeparisis, Ile-de-France, France, 77270</t>
  </si>
  <si>
    <t xml:space="preserve">Cigarette electronique , e-liquide, CBD, THC-JD, THCP, HPO, Dlice pas cher, Alfaliquid pas cher, Roykin, liquideo, Amnésia Liquides....</t>
  </si>
  <si>
    <t>Hamelinaye</t>
  </si>
  <si>
    <t xml:space="preserve">TRACTO PIECES</t>
  </si>
  <si>
    <t>j.delahamelinaye@tracto-pieces.fr</t>
  </si>
  <si>
    <t>http://www.linkedin.com/in/jacques-de-la-hamelinaye-988ba951</t>
  </si>
  <si>
    <t>http://www.tracto-pieces.fr</t>
  </si>
  <si>
    <t xml:space="preserve">17 La Maison Neuve, Corps-Nuds, Bretagne, France, 35150</t>
  </si>
  <si>
    <t xml:space="preserve">Spécialiste de la pièce neuve et occasion toutes marques pour tracteurs agricoles depuis 1969. Trouvez les pièces pour votre tracteur, pièces d'usure, accessoires et de consommables...</t>
  </si>
  <si>
    <t>Megadose</t>
  </si>
  <si>
    <t>Palenath</t>
  </si>
  <si>
    <t xml:space="preserve">OSINT Industries</t>
  </si>
  <si>
    <t>megadose@osint.industries</t>
  </si>
  <si>
    <t>http://www.linkedin.com/in/megadose</t>
  </si>
  <si>
    <t>http://www.osint.industries</t>
  </si>
  <si>
    <t xml:space="preserve">The Investigation Platform for Unmatched Accuracy &amp; Real-time Data. The Leading OSINT Tools Built to Accelerate Your Investigations.</t>
  </si>
  <si>
    <t>ANTIVOL</t>
  </si>
  <si>
    <t>e.lallement@antivol.fr</t>
  </si>
  <si>
    <t>http://www.linkedin.com/in/emmanuel-lallement-6b6a75b8</t>
  </si>
  <si>
    <t>http://www.antivol.fr</t>
  </si>
  <si>
    <t xml:space="preserve">Antivol, Expert en sécurité dans tous la Champagne Ardenne, vous propose les meilleurs équipements de sécurité pour la protection de vos biens. 
Installation pour les professionnels, les collectivités, et les particuliers. N'hésitez pas à nous contacter pour une intervention ou pour une demande de renseignements au 03 26 82 40 40.. Vous propose porte blindée Reims et porte blindée d'appartement Reims mais également Coffre fort reims. votre spécialiste Détecteur de fumée reims et porte de garage reims.</t>
  </si>
  <si>
    <t>Delesse</t>
  </si>
  <si>
    <t xml:space="preserve">Trusted Objects</t>
  </si>
  <si>
    <t>jp.delesse@trusted-objects.com</t>
  </si>
  <si>
    <t>semiconductors</t>
  </si>
  <si>
    <t>http://www.linkedin.com/in/jpdelesse</t>
  </si>
  <si>
    <t>http://www.trusted-objects.com</t>
  </si>
  <si>
    <t xml:space="preserve">1330 Rue Guillibert Gautier de la Lauziere, Aix-en-Provence, Provence-Alpes-Cote d'Azur, France, 13290</t>
  </si>
  <si>
    <t xml:space="preserve">Trusted Objects, our vision is that Security and Privacy all along the value chain, including the connected device, are critical factors for the success of IoT.</t>
  </si>
  <si>
    <t>Anbouba</t>
  </si>
  <si>
    <t>s.anbouba@trusted-objects.com</t>
  </si>
  <si>
    <t>http://www.linkedin.com/in/sami-anbouba-5043a035</t>
  </si>
  <si>
    <t xml:space="preserve">PLANET NETWORK INTERNATIONAL</t>
  </si>
  <si>
    <t>cblanchard@planetworkint.com</t>
  </si>
  <si>
    <t>http://www.linkedin.com/in/cblanchardpni</t>
  </si>
  <si>
    <t>http://www.planetworkint.com</t>
  </si>
  <si>
    <t xml:space="preserve">Rue du Lac, Labege, Midi-Pyrenees, France, 31670</t>
  </si>
  <si>
    <t>Rousset</t>
  </si>
  <si>
    <t>NUMERISAT</t>
  </si>
  <si>
    <t>patrick.rousset@numerisat.fr</t>
  </si>
  <si>
    <t>http://www.linkedin.com/in/patrick-rousset-6596b5a9</t>
  </si>
  <si>
    <t>http://www.numerisat.fr</t>
  </si>
  <si>
    <t xml:space="preserve">Le Bourget-du-Lac</t>
  </si>
  <si>
    <t xml:space="preserve">48 Avenue Lac du Bourget, Le Bourget-du-Lac, Auvergne-Rhone-Alpes, France, 73370</t>
  </si>
  <si>
    <t xml:space="preserve">Choisissez Numerisat pour une connexion internet rapide et fiable en France. Services haut débit par satellite, 4G/5G, et fibre optique pour tous vos besoins.</t>
  </si>
  <si>
    <t>Paquot</t>
  </si>
  <si>
    <t xml:space="preserve">Co-Founder @Telecoop</t>
  </si>
  <si>
    <t xml:space="preserve">TeleCoop France</t>
  </si>
  <si>
    <t>pierre@telecoop.fr</t>
  </si>
  <si>
    <t>http://www.linkedin.com/in/pierre-paquot-1266471</t>
  </si>
  <si>
    <t>http://www.telecoop.fr</t>
  </si>
  <si>
    <t xml:space="preserve">Découvrez nos forfaits mobiles 100 % transparents et sans engagement. Contrôlez votre consommation, vos usages et votre impact sur l’environnement !</t>
  </si>
  <si>
    <t>Ziad</t>
  </si>
  <si>
    <t>Jamal</t>
  </si>
  <si>
    <t>SatMENA</t>
  </si>
  <si>
    <t>z.jamal@sat-mena.com</t>
  </si>
  <si>
    <t>http://www.linkedin.com/in/ziad-al-jamal-31a6734a</t>
  </si>
  <si>
    <t>http://www.sat-mena.com</t>
  </si>
  <si>
    <t xml:space="preserve">Beirut, Beirut Governorate, Lebanon</t>
  </si>
  <si>
    <t>Lebanon</t>
  </si>
  <si>
    <t>Jean-Lionel</t>
  </si>
  <si>
    <t>Laccourreye</t>
  </si>
  <si>
    <t xml:space="preserve">Co founder and Director</t>
  </si>
  <si>
    <t xml:space="preserve">bak2 ♻️💻</t>
  </si>
  <si>
    <t>jean-lionel.laccourreye@bak2.com</t>
  </si>
  <si>
    <t>http://www.linkedin.com/in/jean-lionel-laccourreye-b85563</t>
  </si>
  <si>
    <t>http://www.bak2.com</t>
  </si>
  <si>
    <t xml:space="preserve">181 Rue Jean Monnet, Croix, Nord-Pas-de-Calais, France, 59170</t>
  </si>
  <si>
    <t>Bonenfant</t>
  </si>
  <si>
    <t xml:space="preserve">Fédération Française des Télécoms</t>
  </si>
  <si>
    <t>rbonenfant@fftelecoms.org</t>
  </si>
  <si>
    <t>http://www.linkedin.com/in/rbonenfant</t>
  </si>
  <si>
    <t>http://www.fftelecoms.org</t>
  </si>
  <si>
    <t xml:space="preserve">11 Rue de l'Amiral Hamelin, Paris, Ile-de-France, France, 75116</t>
  </si>
  <si>
    <t xml:space="preserve">Retrouvez toutes nos études et publications. Nos champs d'actions : réseaux mobiles, fixes, usages, contenus, télécom responsable, réglementation, fiscalité</t>
  </si>
  <si>
    <t>Moriset</t>
  </si>
  <si>
    <t>Dis</t>
  </si>
  <si>
    <t>DIS-CONNECT</t>
  </si>
  <si>
    <t>mdi@dis-connect.de</t>
  </si>
  <si>
    <t>http://www.linkedin.com/in/moriset-dis-a1bbb078</t>
  </si>
  <si>
    <t>http://www.dis-connect.de</t>
  </si>
  <si>
    <t xml:space="preserve">Gerwigstrasse, Karlsruhe, Baden-Wuerttemberg, Germany, 76131</t>
  </si>
  <si>
    <t>Anis</t>
  </si>
  <si>
    <t>Bouajina</t>
  </si>
  <si>
    <t xml:space="preserve">Cayon Cloud Communications</t>
  </si>
  <si>
    <t>anis.bouajina@cayoncloud.com</t>
  </si>
  <si>
    <t>http://www.linkedin.com/in/anisbouajina</t>
  </si>
  <si>
    <t>http://www.cayoncloud.com</t>
  </si>
  <si>
    <t xml:space="preserve">4 شارع البورصة, Tunisia</t>
  </si>
  <si>
    <t>NFCOM</t>
  </si>
  <si>
    <t>michael.boulanger@nfcom.net</t>
  </si>
  <si>
    <t>http://www.linkedin.com/in/michael-boulanger-44426671</t>
  </si>
  <si>
    <t>http://www.nfcom-services.fr</t>
  </si>
  <si>
    <t xml:space="preserve">8 Rue Pierre Gilles de Gennes, Saint-Jean-du-Cardonnay, Normandie, France, 76150</t>
  </si>
  <si>
    <t xml:space="preserve">NFCOM intervient dans votre transition numérique | Téléphonie, fibre entreprise &amp; cybersécurité | Intervention de proximité 💡</t>
  </si>
  <si>
    <t xml:space="preserve">Phone In Corsica</t>
  </si>
  <si>
    <t>marc@phonein.corsica</t>
  </si>
  <si>
    <t>http://www.linkedin.com/in/marc-simeoni-351561b</t>
  </si>
  <si>
    <t>http://www.phonein.corsica</t>
  </si>
  <si>
    <t>Bastia</t>
  </si>
  <si>
    <t xml:space="preserve">Biguglia, Corsica, France</t>
  </si>
  <si>
    <t>Metzquer</t>
  </si>
  <si>
    <t xml:space="preserve">ABC Téléphonie &amp; Suite Digital</t>
  </si>
  <si>
    <t>g.metzquer@abctelephonie.com</t>
  </si>
  <si>
    <t>http://www.linkedin.com/in/guillaume-metzquer-b1885545</t>
  </si>
  <si>
    <t>http://www.abctelephonie.com</t>
  </si>
  <si>
    <t xml:space="preserve">ABC Téléphonie, votre expert en téléphonie, opérateur, réseau et sécurité en Bourgogne Franche-Comté et Grand-Est depuis 1999.</t>
  </si>
  <si>
    <t>Lepolard</t>
  </si>
  <si>
    <t>clepolard@valocime.fr</t>
  </si>
  <si>
    <t>http://www.linkedin.com/in/cedric-lepolard-948a9631</t>
  </si>
  <si>
    <t>http://www.valocime.fr</t>
  </si>
  <si>
    <t xml:space="preserve">98 Boulevard Gabriel Peri, Malakoff, Ile-de-France, France, 92240</t>
  </si>
  <si>
    <t>Maro</t>
  </si>
  <si>
    <t>frederic.maro@airnity.com</t>
  </si>
  <si>
    <t>http://www.linkedin.com/in/fredmaro</t>
  </si>
  <si>
    <t>Fur</t>
  </si>
  <si>
    <t xml:space="preserve">AXIOM Paris</t>
  </si>
  <si>
    <t>loic.lefur@axiom.fr</t>
  </si>
  <si>
    <t>http://www.linkedin.com/in/lo%c3%afc-le-fur-94a5ba220</t>
  </si>
  <si>
    <t>http://www.axiom.fr</t>
  </si>
  <si>
    <t xml:space="preserve">21 Rue d'Antin, Paris, Ile-de-France, France, 75002</t>
  </si>
  <si>
    <t>Ayouni</t>
  </si>
  <si>
    <t>Bercytel</t>
  </si>
  <si>
    <t>m.ayouni@bercytel.com</t>
  </si>
  <si>
    <t>http://www.linkedin.com/in/mohamed-ayouni-5566b2113</t>
  </si>
  <si>
    <t>http://www.bercytel.com</t>
  </si>
  <si>
    <t>Alfortville</t>
  </si>
  <si>
    <t xml:space="preserve">46 Rue de Flore, Alfortville, Ile-de-France, France, 94140</t>
  </si>
  <si>
    <t xml:space="preserve">BERCYTEL développe des solutions globales en téléphonie d’entreprise, en sécurisation des locaux et en solutions d’impression.</t>
  </si>
  <si>
    <t>Lebrun</t>
  </si>
  <si>
    <t xml:space="preserve">AREA Tech</t>
  </si>
  <si>
    <t>xavier.lebrun@area-tech.fr</t>
  </si>
  <si>
    <t>http://www.linkedin.com/in/xavier-lebrun-9421641a2</t>
  </si>
  <si>
    <t>http://www.area-tech.fr</t>
  </si>
  <si>
    <t xml:space="preserve">340 Avenue de la Marne, Marcq-en-Baroeul, Hauts-de-France, France, 59700</t>
  </si>
  <si>
    <t>Guillot</t>
  </si>
  <si>
    <t>ACRT</t>
  </si>
  <si>
    <t>c.guillot@acrt.org</t>
  </si>
  <si>
    <t>http://www.linkedin.com/in/christophe-guillot-90181416</t>
  </si>
  <si>
    <t>http://www.acrt.org</t>
  </si>
  <si>
    <t xml:space="preserve">103 Rue Ronsard, Villefranche-sur-Saone, Auvergne-Rhone-Alpes, France, 69400</t>
  </si>
  <si>
    <t>Chabbah</t>
  </si>
  <si>
    <t xml:space="preserve">As communication Tunis</t>
  </si>
  <si>
    <t>nader.khamessi@ascommunication-tn.fr</t>
  </si>
  <si>
    <t>http://www.linkedin.com/in/soufiane-chabbah-4b4873294</t>
  </si>
  <si>
    <t>http://www.ascommunication-tn.fr</t>
  </si>
  <si>
    <t xml:space="preserve">Founder, CTO</t>
  </si>
  <si>
    <t>Wi6Labs</t>
  </si>
  <si>
    <t>jeremy.ardouin@wi6labs.com</t>
  </si>
  <si>
    <t>http://www.linkedin.com/in/jeremy-ardouin-8a5493</t>
  </si>
  <si>
    <t>http://www.wi6labs.com</t>
  </si>
  <si>
    <t xml:space="preserve">Wi6Labs develops solutions for an efficient and sustainable internet of things. These solutions are based on the deployment of private LPWAN networks. Our expertise extends from sensors to telecom infrastructure.</t>
  </si>
  <si>
    <t>Desmarez</t>
  </si>
  <si>
    <t xml:space="preserve">DESMAREZ SAS</t>
  </si>
  <si>
    <t>bertrand.desmarez@desmarez.fr</t>
  </si>
  <si>
    <t>http://www.linkedin.com/in/bertrand-desmarez</t>
  </si>
  <si>
    <t>http://www.desmarez-radiocommunication.fr</t>
  </si>
  <si>
    <t xml:space="preserve">249 Rue Irene Joliot Curie, La Croix-Saint-Ouen, Hauts-de-France, France, 60610</t>
  </si>
  <si>
    <t xml:space="preserve">Desmarez Radiocommunication - Groupe Wavensys - RADIOS MOTOROLA Solutions - DMR - ATEX - TETRA - PPMS - Revendeur Radio Motorola Solutions</t>
  </si>
  <si>
    <t>Clerget</t>
  </si>
  <si>
    <t>Cekoya</t>
  </si>
  <si>
    <t>a.clerget@cekoya.fr</t>
  </si>
  <si>
    <t>http://www.linkedin.com/in/anthony-clerget</t>
  </si>
  <si>
    <t>http://www.cekoya.fr</t>
  </si>
  <si>
    <t xml:space="preserve">314 Rue le Corbusier, Nimes, Occitanie, France, 30000</t>
  </si>
  <si>
    <t xml:space="preserve">Groupe H4</t>
  </si>
  <si>
    <t>a.marie@groupeh4.com</t>
  </si>
  <si>
    <t>http://www.linkedin.com/in/alexandremarie01</t>
  </si>
  <si>
    <t>http://www.groupeh4.fr</t>
  </si>
  <si>
    <t xml:space="preserve">Site corporate du Groupe H4 - Distributeur disruptif en accessoires télécoms, mobiles reconditionnés, mobilité urbaine et objets connectés.</t>
  </si>
  <si>
    <t>Averseng</t>
  </si>
  <si>
    <t xml:space="preserve">Fibre 31</t>
  </si>
  <si>
    <t>laurent.averseng@fibre31.fr</t>
  </si>
  <si>
    <t>http://www.linkedin.com/in/laurent-averseng-42a438161</t>
  </si>
  <si>
    <t>http://www.fibre31.fr</t>
  </si>
  <si>
    <t xml:space="preserve">Avenue Gustave-Gaspard Coriolis, Toulouse, Occitanie, France, 31100</t>
  </si>
  <si>
    <t>Kleinfinger</t>
  </si>
  <si>
    <t>jfkleinfinger@whispeak.io</t>
  </si>
  <si>
    <t>http://www.linkedin.com/in/jean-fran%c3%a7ois-kleinfinger-8850754</t>
  </si>
  <si>
    <t>Bouteloup</t>
  </si>
  <si>
    <t xml:space="preserve">SCT Telecom</t>
  </si>
  <si>
    <t>a.bouteloup@sct-telecom.fr</t>
  </si>
  <si>
    <t>http://www.linkedin.com/in/bouteloup-alex-b08ba95</t>
  </si>
  <si>
    <t>http://www.sct.es</t>
  </si>
  <si>
    <t xml:space="preserve">38 Calle de Manuel Tovar, Madrid, Community of Madrid, Spain, 28034</t>
  </si>
  <si>
    <t xml:space="preserve">¿Quiere comprar el mejor equipamiento de telecomunicaciones? Mayorista especializado en venta de productos Plantronics, Grandstream, Aastra, Gigaset.</t>
  </si>
  <si>
    <t>Lemnia</t>
  </si>
  <si>
    <t>gwenael@lemnia.fr</t>
  </si>
  <si>
    <t>http://www.linkedin.com/in/gwenaelmoreau</t>
  </si>
  <si>
    <t>http://www.lemnia.fr</t>
  </si>
  <si>
    <t xml:space="preserve">2 Square Gaston Allard, Angers, Pays de la Loire, France, 49000</t>
  </si>
  <si>
    <t xml:space="preserve">Lemnia est opérateur télécom et cybersécurité pour les entreprises, les collectivités et les associations.</t>
  </si>
  <si>
    <t>Jean-Gilbert</t>
  </si>
  <si>
    <t xml:space="preserve">directeur général délégué</t>
  </si>
  <si>
    <t xml:space="preserve">Groupe President Electronics</t>
  </si>
  <si>
    <t>jgm@president-electronics.com</t>
  </si>
  <si>
    <t>http://www.linkedin.com/in/jean-gilbert-muller-7b15b929</t>
  </si>
  <si>
    <t>http://www.president-electronics.fr</t>
  </si>
  <si>
    <t xml:space="preserve">Route de Sete, Balaruc-les-Bains, Occitanie, France, 34540</t>
  </si>
  <si>
    <t>Luz</t>
  </si>
  <si>
    <t>TourMaG</t>
  </si>
  <si>
    <t>fabien@tourmag.com</t>
  </si>
  <si>
    <t>http://www.linkedin.com/in/fabiendaluz</t>
  </si>
  <si>
    <t>http://www.tourmag.com</t>
  </si>
  <si>
    <t xml:space="preserve">12 Rue Marc Donadille, Marseille, Provence-Alpes-Cote d'Azur, France, 13013</t>
  </si>
  <si>
    <t xml:space="preserve">TourMaG est le média incontournable pour les actualités du tourisme francophone et international.</t>
  </si>
  <si>
    <t>Saillant</t>
  </si>
  <si>
    <t xml:space="preserve">COMMEND France</t>
  </si>
  <si>
    <t>david.saillant@commend.fr</t>
  </si>
  <si>
    <t>http://www.linkedin.com/in/david-saillant-64763339</t>
  </si>
  <si>
    <t>http://www.commend.fr</t>
  </si>
  <si>
    <t>Riffard</t>
  </si>
  <si>
    <t>oriffard@fftelecoms.org</t>
  </si>
  <si>
    <t>http://www.linkedin.com/in/olivier-riffard-673baa91</t>
  </si>
  <si>
    <t>Simonin</t>
  </si>
  <si>
    <t>psimonin@valocime.fr</t>
  </si>
  <si>
    <t>http://www.linkedin.com/in/pascal-simonin-a03306157</t>
  </si>
  <si>
    <t>Fontenay-aux-Roses</t>
  </si>
  <si>
    <t>Lavenu</t>
  </si>
  <si>
    <t xml:space="preserve">CDI Médias &amp; Services</t>
  </si>
  <si>
    <t>florian.lavenu@cdimedias.com</t>
  </si>
  <si>
    <t>http://www.linkedin.com/in/florianlavenu</t>
  </si>
  <si>
    <t>http://www.cdimedias.com</t>
  </si>
  <si>
    <t xml:space="preserve">100 Rue La Fayette, Paris, Ile-de-France, France, 75010</t>
  </si>
  <si>
    <t>Morice</t>
  </si>
  <si>
    <t>gaetan.morice@airnity.com</t>
  </si>
  <si>
    <t>http://www.linkedin.com/in/ga%c3%a9tan-morice-31178612</t>
  </si>
  <si>
    <t>Nogues</t>
  </si>
  <si>
    <t xml:space="preserve">Mosaik Solutions</t>
  </si>
  <si>
    <t>david.nogues@mosaiksolutions.fr</t>
  </si>
  <si>
    <t>http://www.linkedin.com/in/david-nogues-44819b28</t>
  </si>
  <si>
    <t>http://www.mosaik.com</t>
  </si>
  <si>
    <t xml:space="preserve">6423 Shelby View Dr, Memphis, Tennessee, United States, 38134</t>
  </si>
  <si>
    <t xml:space="preserve">Co-founder / Managing Director</t>
  </si>
  <si>
    <t>gautier@dc2scale.fr</t>
  </si>
  <si>
    <t>http://www.linkedin.com/in/gautiermarsot</t>
  </si>
  <si>
    <t>http://www.dc2scale.fr</t>
  </si>
  <si>
    <t xml:space="preserve">16 Rue Grange Dame-Rose, Velizy-Villacoublay, Ile-de-France, France, 78140</t>
  </si>
  <si>
    <t>Denise</t>
  </si>
  <si>
    <t>Dorsaint</t>
  </si>
  <si>
    <t xml:space="preserve">Présidente et co fondatrice de SWAG (Rentalys)</t>
  </si>
  <si>
    <t>SWAG</t>
  </si>
  <si>
    <t>denise@swag-network.com</t>
  </si>
  <si>
    <t>http://www.linkedin.com/in/denise-dorsaint-502675181</t>
  </si>
  <si>
    <t>http://www.swagdistribution.co.uk</t>
  </si>
  <si>
    <t xml:space="preserve">7 Shenstone Trading Estate, Halesowen, England, United Kingdom, B63 3</t>
  </si>
  <si>
    <t xml:space="preserve">The UK's leading distributor of Sport, What kids want, Accessories, Gadget and Tech. Distributing some of the world's best brands including PopSockets, iDecoz, CORE Protection, Pindaloo, Zinc and MORE! FREE Delivery available. Specialised in retail, promo &amp; print supply.</t>
  </si>
  <si>
    <t>location</t>
  </si>
  <si>
    <t>alternative_email</t>
  </si>
  <si>
    <t xml:space="preserve">first name</t>
  </si>
  <si>
    <t>lastname</t>
  </si>
  <si>
    <t xml:space="preserve">PARIS 08</t>
  </si>
  <si>
    <t xml:space="preserve">EURL Etude BRION</t>
  </si>
  <si>
    <t>christelle.brion@geometre-expert.fr</t>
  </si>
  <si>
    <t>BRION</t>
  </si>
  <si>
    <t>ABBEVILLE</t>
  </si>
  <si>
    <t xml:space="preserve">SELAS LATITUDES</t>
  </si>
  <si>
    <t>sebastien.morel@geometre-expert.fr</t>
  </si>
  <si>
    <t>abbeville@latitudes-ge.fr</t>
  </si>
  <si>
    <t>Sébastien</t>
  </si>
  <si>
    <t>MOREL</t>
  </si>
  <si>
    <t>carole.richard@geometre-expert.fr</t>
  </si>
  <si>
    <t>RICHARD</t>
  </si>
  <si>
    <t>marie.fourmeaux@geometre-expert.fr</t>
  </si>
  <si>
    <t>FOURMEAUX</t>
  </si>
  <si>
    <t>guillaume.poignon@geometre-expert.fr</t>
  </si>
  <si>
    <t>POIGNON</t>
  </si>
  <si>
    <t>vincent.caillet@geometre-expert.fr</t>
  </si>
  <si>
    <t>CAILLET</t>
  </si>
  <si>
    <t>laurent.chahuau@geometre-expert.fr</t>
  </si>
  <si>
    <t>CHAHUAU</t>
  </si>
  <si>
    <t xml:space="preserve">ACHERES LA FORET</t>
  </si>
  <si>
    <t xml:space="preserve">SARL CAP TERRA</t>
  </si>
  <si>
    <t>aurelien.pierre@geometre-expert.fr</t>
  </si>
  <si>
    <t>Aurélien</t>
  </si>
  <si>
    <t>PIERRE</t>
  </si>
  <si>
    <t>ACIGNE</t>
  </si>
  <si>
    <t xml:space="preserve">HAMEL GEOMETRES-EXPERTS</t>
  </si>
  <si>
    <t>edouard.dutilleul@geometre-expert.fr</t>
  </si>
  <si>
    <t>acigne@hamel-associes.com</t>
  </si>
  <si>
    <t>DUTILLEUL</t>
  </si>
  <si>
    <t>jean-jacques.hamel@geometre-expert.fr</t>
  </si>
  <si>
    <t>HAMEL</t>
  </si>
  <si>
    <t>pierre-jean.cosson@geometre-expert.fr</t>
  </si>
  <si>
    <t>COSSON</t>
  </si>
  <si>
    <t>victor.tarroux@geometre-expert.fr</t>
  </si>
  <si>
    <t>TARROUX</t>
  </si>
  <si>
    <t>jean-baptiste.geldof@geometre-expert.fr</t>
  </si>
  <si>
    <t>GELDOF</t>
  </si>
  <si>
    <t>stephane.averty@geometre-expert.fr</t>
  </si>
  <si>
    <t>Stéphane</t>
  </si>
  <si>
    <t>AVERTY</t>
  </si>
  <si>
    <t>ADE</t>
  </si>
  <si>
    <t xml:space="preserve">Cabinet GOUEZE Christophe</t>
  </si>
  <si>
    <t>christophe.goueze@geometre-expert.fr</t>
  </si>
  <si>
    <t>GOUEZE</t>
  </si>
  <si>
    <t>AGEN</t>
  </si>
  <si>
    <t xml:space="preserve">SELARL PANGEO CONSEIL</t>
  </si>
  <si>
    <t>victor.dornier@geometre-expert.fr</t>
  </si>
  <si>
    <t>ludovic.faure@geometre-expert.fr</t>
  </si>
  <si>
    <t>DORNIER</t>
  </si>
  <si>
    <t>mathieu.brignol@geometre-expert.fr</t>
  </si>
  <si>
    <t>BRIGNOL</t>
  </si>
  <si>
    <t>FAURE</t>
  </si>
  <si>
    <t>henri.desaintsernin@geometre-expert.fr</t>
  </si>
  <si>
    <t>de</t>
  </si>
  <si>
    <t xml:space="preserve">SARL ALIENOR GEOMETRES-EXPERTS</t>
  </si>
  <si>
    <t>anne.briant@geometre-expert.fr</t>
  </si>
  <si>
    <t>francois.camiade@geometre-expert.fr</t>
  </si>
  <si>
    <t>BRIANT</t>
  </si>
  <si>
    <t>patrick.boue@geometre-expert.fr</t>
  </si>
  <si>
    <t>BOUE</t>
  </si>
  <si>
    <t>jean-baptiste.cottignies@geometre-expert.fr</t>
  </si>
  <si>
    <t>COTTIGNIES</t>
  </si>
  <si>
    <t xml:space="preserve">BERTHIER GE SARL à associé unique</t>
  </si>
  <si>
    <t>vincent.berthier@geometre-expert.fr</t>
  </si>
  <si>
    <t>BERTHIER</t>
  </si>
  <si>
    <t>guillaume.balsac@geometre-expert.fr</t>
  </si>
  <si>
    <t>BALSAC</t>
  </si>
  <si>
    <t xml:space="preserve">SASU JOSEPH PASCUAL  SASU JOSEPH PASCUAL GEOMETRE EXPERT</t>
  </si>
  <si>
    <t>joseph.pascual@geometre-expert.fr</t>
  </si>
  <si>
    <t>PASCUAL</t>
  </si>
  <si>
    <t>romain.rouquette@geometre-expert.fr</t>
  </si>
  <si>
    <t>ROUQUETTE</t>
  </si>
  <si>
    <t>timothee.noiret@geometre-expert.fr</t>
  </si>
  <si>
    <t>Timothée</t>
  </si>
  <si>
    <t>NOIRET</t>
  </si>
  <si>
    <t>François</t>
  </si>
  <si>
    <t>CAMIADE</t>
  </si>
  <si>
    <t xml:space="preserve">AIGREFEUILLE D AUNIS</t>
  </si>
  <si>
    <t xml:space="preserve">GEOCIBLE SELARL</t>
  </si>
  <si>
    <t>frederic.charbonnier@geometre-expert.fr</t>
  </si>
  <si>
    <t>f.charbonnier@geo-cible.fr</t>
  </si>
  <si>
    <t>Frédéric</t>
  </si>
  <si>
    <t>CHARBONNIER</t>
  </si>
  <si>
    <t xml:space="preserve">AIRE SUR L ADOUR</t>
  </si>
  <si>
    <t xml:space="preserve">ATURINS SGEA</t>
  </si>
  <si>
    <t>olivier.garcia@geometre-expert.fr</t>
  </si>
  <si>
    <t>contact@sgea40.fr</t>
  </si>
  <si>
    <t>GARCIA</t>
  </si>
  <si>
    <t xml:space="preserve">AIX EN PROVENCE</t>
  </si>
  <si>
    <t xml:space="preserve">SCOP A.T.G.T.S.M.</t>
  </si>
  <si>
    <t>arnaud.colin@geometre-expert.fr</t>
  </si>
  <si>
    <t>atgtsm@atgtsm.fr</t>
  </si>
  <si>
    <t>COLIN</t>
  </si>
  <si>
    <t xml:space="preserve">SERRE &amp;amp; POUSSARD-BORREL SARL de géomètres-experts</t>
  </si>
  <si>
    <t>Laurin.SERRE@geometre-expert.fr</t>
  </si>
  <si>
    <t>Laurin</t>
  </si>
  <si>
    <t>SERRE</t>
  </si>
  <si>
    <t>jean-rene.poussard-borrel@geometre-expert.fr</t>
  </si>
  <si>
    <t>laurin.serre@geometre-expert.fr</t>
  </si>
  <si>
    <t>Jean-René</t>
  </si>
  <si>
    <t>POUSSARD-BORREL</t>
  </si>
  <si>
    <t xml:space="preserve">Cabinet VERNET Thierry</t>
  </si>
  <si>
    <t>thierry.vernet@geometre-expert.fr</t>
  </si>
  <si>
    <t>vernet.geoaix@orange.fr</t>
  </si>
  <si>
    <t>VERNET</t>
  </si>
  <si>
    <t>frederic.deconinck@geometre-expert.fr</t>
  </si>
  <si>
    <t>DECONINCK</t>
  </si>
  <si>
    <t xml:space="preserve">SCP Philippe MANFREDI</t>
  </si>
  <si>
    <t>philippe.manfredi@geometre-expert.fr</t>
  </si>
  <si>
    <t>pm.pro@pmge.fr</t>
  </si>
  <si>
    <t>MANFREDI</t>
  </si>
  <si>
    <t xml:space="preserve">Cabinet Boulay - Géomètre-Expert</t>
  </si>
  <si>
    <t>julien.boulay@geometre-expert.fr</t>
  </si>
  <si>
    <t>BOULAY</t>
  </si>
  <si>
    <t>marie.schoenmaekers@geometre-expert.fr</t>
  </si>
  <si>
    <t>SCHOENMAEKERS</t>
  </si>
  <si>
    <t>jean-francois.aubert@geometre-expert.fr</t>
  </si>
  <si>
    <t>Jean-François</t>
  </si>
  <si>
    <t>AUBERT</t>
  </si>
  <si>
    <t>anais.guitard@geometre-expert.fr</t>
  </si>
  <si>
    <t>Anaïs</t>
  </si>
  <si>
    <t>GUITARD</t>
  </si>
  <si>
    <t xml:space="preserve">Cabinet PIERRE Rémi</t>
  </si>
  <si>
    <t>remi.pierre@geometre-expert.fr</t>
  </si>
  <si>
    <t>pierreremi@icloud.com</t>
  </si>
  <si>
    <t>Rémi</t>
  </si>
  <si>
    <t xml:space="preserve">SELARL Cabinet RANQUE-MASALA</t>
  </si>
  <si>
    <t>bernard.masala@geometre-expert.fr</t>
  </si>
  <si>
    <t>contact@ranquemasala.fr</t>
  </si>
  <si>
    <t>MASALA</t>
  </si>
  <si>
    <t xml:space="preserve">AIX LES BAINS</t>
  </si>
  <si>
    <t xml:space="preserve">AIXGEO SARL de GEOMETRES-EXPERTS</t>
  </si>
  <si>
    <t>pierre-olivier.racle@geometre-expert.fr</t>
  </si>
  <si>
    <t>aix@aixgeo.fr</t>
  </si>
  <si>
    <t>RACLE</t>
  </si>
  <si>
    <t xml:space="preserve">SELARL Cabinet VINCENT-DEVUN</t>
  </si>
  <si>
    <t>sebastien.vincent@geometre-expert.fr</t>
  </si>
  <si>
    <t>bureau@vincent-devun.fr</t>
  </si>
  <si>
    <t>VINCENT</t>
  </si>
  <si>
    <t>luc.devun@geometre-expert.fr</t>
  </si>
  <si>
    <t>DEVUN</t>
  </si>
  <si>
    <t>AJACCIO</t>
  </si>
  <si>
    <t xml:space="preserve">SARL GEOTOPO</t>
  </si>
  <si>
    <t>marc.weber@geometre-expert.fr</t>
  </si>
  <si>
    <t>contact@geotopo.eu</t>
  </si>
  <si>
    <t>WEBER</t>
  </si>
  <si>
    <t xml:space="preserve">SARL KALLIGEO</t>
  </si>
  <si>
    <t>bernard.raimondi@geometre-expert.fr</t>
  </si>
  <si>
    <t>contact@kalligeo.com</t>
  </si>
  <si>
    <t>RAIMONDI</t>
  </si>
  <si>
    <t xml:space="preserve">SELARL AGEX</t>
  </si>
  <si>
    <t>nicolas.poggi@geometre-expert.fr</t>
  </si>
  <si>
    <t>agex-2a@wanadoo.fr</t>
  </si>
  <si>
    <t>POGGI</t>
  </si>
  <si>
    <t xml:space="preserve">SAS CESARI GEOMETRE EXPERT</t>
  </si>
  <si>
    <t>pierrette.cesari@geometre-expert.fr</t>
  </si>
  <si>
    <t>Pierrette</t>
  </si>
  <si>
    <t>CESARI</t>
  </si>
  <si>
    <t>pierre.poggi@geometre-expert.fr</t>
  </si>
  <si>
    <t>stephanie.fournie@geometre-expert.fr</t>
  </si>
  <si>
    <t>Stéphanie</t>
  </si>
  <si>
    <t>FOURNIE</t>
  </si>
  <si>
    <t xml:space="preserve">SAS SAGEO</t>
  </si>
  <si>
    <t>celine.chenu@geometre-expert.fr</t>
  </si>
  <si>
    <t>sageo.geometre@gmail.com</t>
  </si>
  <si>
    <t>Céline</t>
  </si>
  <si>
    <t>CHENU</t>
  </si>
  <si>
    <t>ghjuvanni.andreozzi@geometre-expert.fr</t>
  </si>
  <si>
    <t>Ghjuvanni</t>
  </si>
  <si>
    <t>ANDREOZZI</t>
  </si>
  <si>
    <t>ALBERTVILLE</t>
  </si>
  <si>
    <t xml:space="preserve">AGENCE ROSSI SELAS de géomètres-experts</t>
  </si>
  <si>
    <t>sandra.rossi@geometre-expert.fr</t>
  </si>
  <si>
    <t>sandra.rossi@agence-rossi.fr</t>
  </si>
  <si>
    <t>ROSSI</t>
  </si>
  <si>
    <t xml:space="preserve">Cabinet BRANCHE Frédéric</t>
  </si>
  <si>
    <t>frederic.branche@geometre-expert.fr</t>
  </si>
  <si>
    <t>BRANCHE</t>
  </si>
  <si>
    <t>ALBI</t>
  </si>
  <si>
    <t xml:space="preserve">SARL AXIAP</t>
  </si>
  <si>
    <t>olivier.tovo@geometre-expert.fr</t>
  </si>
  <si>
    <t>geometre@axiap.fr</t>
  </si>
  <si>
    <t>TOVO</t>
  </si>
  <si>
    <t>gregory.delcros@geometre-expert.fr</t>
  </si>
  <si>
    <t>Grégory</t>
  </si>
  <si>
    <t>DELCROS</t>
  </si>
  <si>
    <t xml:space="preserve">ALBI GEOMETRE EXPERT (AGEX) SARL</t>
  </si>
  <si>
    <t>guillaume.rames@geometre-expert.fr</t>
  </si>
  <si>
    <t>albi@agex-geometre.fr</t>
  </si>
  <si>
    <t>RAMES</t>
  </si>
  <si>
    <t>ALENCON</t>
  </si>
  <si>
    <t xml:space="preserve">AGETHO CONSEILS</t>
  </si>
  <si>
    <t>marianne.thomas@geometre-expert.fr</t>
  </si>
  <si>
    <t>alencon-geometre@agetho-conseils.fr</t>
  </si>
  <si>
    <t>Marianne</t>
  </si>
  <si>
    <t>THOMAS</t>
  </si>
  <si>
    <t>cyrille.thomas@geometre-expert.fr</t>
  </si>
  <si>
    <t>ALES</t>
  </si>
  <si>
    <t xml:space="preserve">SELARL CHABERT GEOMETRE EXPERT</t>
  </si>
  <si>
    <t>guillaume.clarenc@geometre-expert.fr</t>
  </si>
  <si>
    <t>CLARENC</t>
  </si>
  <si>
    <t xml:space="preserve">EURL Vincent VIAL EURL  de Géomètre-Expert</t>
  </si>
  <si>
    <t>vincent.vial@geometre-expert.fr</t>
  </si>
  <si>
    <t>VIAL</t>
  </si>
  <si>
    <t>ALLAIRE</t>
  </si>
  <si>
    <t xml:space="preserve">Cabinet THOMAS SARL à associé unique</t>
  </si>
  <si>
    <t>bruno.thomas@geometre-expert.fr</t>
  </si>
  <si>
    <t xml:space="preserve">ALLONZIER LA CAILLE</t>
  </si>
  <si>
    <t xml:space="preserve">SARL MPC GEOMETRES-EXPERTS &amp;amp; ASSOCIES</t>
  </si>
  <si>
    <t>jean.perrillat@geometre-expert.fr</t>
  </si>
  <si>
    <t>allonzier@mpc-ge.fr</t>
  </si>
  <si>
    <t>PERRILLAT</t>
  </si>
  <si>
    <t xml:space="preserve">SARL TOPOALP  Jean-Marie BONNAZ Géomètre-Expert</t>
  </si>
  <si>
    <t>jean-marie.bonnaz@geometre-expert.fr</t>
  </si>
  <si>
    <t>BONNAZ</t>
  </si>
  <si>
    <t>francois.magnant@geometre-expert.fr</t>
  </si>
  <si>
    <t>MAGNANT</t>
  </si>
  <si>
    <t xml:space="preserve">ANCENIS ST GEREON</t>
  </si>
  <si>
    <t xml:space="preserve">ARRONDEL Cabinet de Géomètres-expert</t>
  </si>
  <si>
    <t>olivier.arrondel@geometre-expert.fr</t>
  </si>
  <si>
    <t>accueil@arrondel.fr</t>
  </si>
  <si>
    <t>ARRONDEL</t>
  </si>
  <si>
    <t xml:space="preserve">ANDREZIEUX BOUTHEON</t>
  </si>
  <si>
    <t xml:space="preserve">Cabinet MIALON Manuel</t>
  </si>
  <si>
    <t>manuel.mialon@geometre-expert.fr</t>
  </si>
  <si>
    <t>mialon.geometre@gmail.com</t>
  </si>
  <si>
    <t>MIALON</t>
  </si>
  <si>
    <t>ANGERS</t>
  </si>
  <si>
    <t xml:space="preserve">FEVRIER Antoine SARL de géomètre-expert</t>
  </si>
  <si>
    <t>antoine.fevrier@geometre-expert.fr</t>
  </si>
  <si>
    <t>egs@geometre-expert.fr</t>
  </si>
  <si>
    <t>FEVRIER</t>
  </si>
  <si>
    <t>LIGEIS</t>
  </si>
  <si>
    <t>frederic.branchereau@geometre-expert.fr</t>
  </si>
  <si>
    <t>contact@ligeis.fr</t>
  </si>
  <si>
    <t>BRANCHEREAU</t>
  </si>
  <si>
    <t>ANGLET</t>
  </si>
  <si>
    <t xml:space="preserve">SARL BIGOURDAN</t>
  </si>
  <si>
    <t>louis.bigourdan@geometre-expert.fr</t>
  </si>
  <si>
    <t>BIGOURDAN</t>
  </si>
  <si>
    <t>geoffrey.toinette-sabay@geometre-expert.fr</t>
  </si>
  <si>
    <t>TOINETTE-SABAY</t>
  </si>
  <si>
    <t>ANGOULEME</t>
  </si>
  <si>
    <t xml:space="preserve">IGE-CONSEILS SELARL</t>
  </si>
  <si>
    <t>herve.tertrais@geometre-expert.fr</t>
  </si>
  <si>
    <t>ige@geometre-expert.fr</t>
  </si>
  <si>
    <t>Hervé</t>
  </si>
  <si>
    <t>TERTRAIS</t>
  </si>
  <si>
    <t xml:space="preserve">HETERIA GEOMETRE-EXPERT SARL HETERIA Géomètre-expert</t>
  </si>
  <si>
    <t>frederic.leger@geometre-expert.fr</t>
  </si>
  <si>
    <t>heteria-angouleme@orange.fr</t>
  </si>
  <si>
    <t>LEGER</t>
  </si>
  <si>
    <t>ANNECY</t>
  </si>
  <si>
    <t xml:space="preserve">Cabinet ROSTAND Daniel</t>
  </si>
  <si>
    <t>daniel.rostand@geometre-expert.fr</t>
  </si>
  <si>
    <t>cabinet.rostand@noos.fr</t>
  </si>
  <si>
    <t>ROSTAND</t>
  </si>
  <si>
    <t xml:space="preserve">Jean des GARETS SARL de Géomètres-Experts</t>
  </si>
  <si>
    <t>jean.des.garets@geometre-expert.fr</t>
  </si>
  <si>
    <t>j@gehom.fr</t>
  </si>
  <si>
    <t>des</t>
  </si>
  <si>
    <t xml:space="preserve">Cabinet COURT Olivier</t>
  </si>
  <si>
    <t>olivier.court@geometre-expert.fr</t>
  </si>
  <si>
    <t>olivier.court@free.fr</t>
  </si>
  <si>
    <t>COURT</t>
  </si>
  <si>
    <t xml:space="preserve">SARL CABINET BORREL-MESNIER GEOMETRES-EXPERTS ASSOCIES</t>
  </si>
  <si>
    <t>pierre.fortin@geometre-expert.fr</t>
  </si>
  <si>
    <t>contact@borrel-mesnier.fr</t>
  </si>
  <si>
    <t>FORTIN</t>
  </si>
  <si>
    <t xml:space="preserve">SARL BACCI Géomètre Expert</t>
  </si>
  <si>
    <t>paul-antoine.bacci@geometre-expert.fr</t>
  </si>
  <si>
    <t>contact@cabinet-bacci.fr</t>
  </si>
  <si>
    <t>Paul-Antoine</t>
  </si>
  <si>
    <t>BACCI</t>
  </si>
  <si>
    <t>felix.bailly-basin@geometre-expert.fr</t>
  </si>
  <si>
    <t>Félix</t>
  </si>
  <si>
    <t>BAILLY-BASIN</t>
  </si>
  <si>
    <t>catherine.vermot-mesnier@geometre-expert.fr</t>
  </si>
  <si>
    <t>VERMOT-MESNIER</t>
  </si>
  <si>
    <t>clemence.bacci@geometre-expert.fr</t>
  </si>
  <si>
    <t>Clémence</t>
  </si>
  <si>
    <t>arnaud.rostand@geometre-expert.fr</t>
  </si>
  <si>
    <t>ANNEMASSE</t>
  </si>
  <si>
    <t xml:space="preserve">SARL COLLOUD GEOMETRES-EXPERTS</t>
  </si>
  <si>
    <t>paul.maisse@geometre-expert.fr</t>
  </si>
  <si>
    <t>contact@colloud-geometre.com</t>
  </si>
  <si>
    <t>MAISSE</t>
  </si>
  <si>
    <t xml:space="preserve">Cabinet DESJACQUES Jérôme</t>
  </si>
  <si>
    <t>jerome.desjacques@geometre-expert.fr</t>
  </si>
  <si>
    <t>j.desjacques@desjacques-geometre.fr</t>
  </si>
  <si>
    <t>Jérôme</t>
  </si>
  <si>
    <t>DESJACQUES</t>
  </si>
  <si>
    <t>jerome.colloud@geometre-expert.fr</t>
  </si>
  <si>
    <t>COLLOUD</t>
  </si>
  <si>
    <t>ANNEYRON</t>
  </si>
  <si>
    <t xml:space="preserve">SELARL NEOGIS GEOMETRE-EXPERT</t>
  </si>
  <si>
    <t>laurent.oudot@geometre-expert.fr</t>
  </si>
  <si>
    <t>OUDOT</t>
  </si>
  <si>
    <t>ANNONAY</t>
  </si>
  <si>
    <t xml:space="preserve">SELARL de Géomètres-Experts JULIEN et Associés</t>
  </si>
  <si>
    <t>pauline.zambaux@geometre-expert.fr</t>
  </si>
  <si>
    <t>julien.geometre@wanadoo.fr</t>
  </si>
  <si>
    <t>ZAMBAUX</t>
  </si>
  <si>
    <t>benoit.bellevegue@geometre-expert.fr</t>
  </si>
  <si>
    <t>BELLEVEGUE</t>
  </si>
  <si>
    <t>julien.mounard@geometre-expert.fr</t>
  </si>
  <si>
    <t>MOUNARD</t>
  </si>
  <si>
    <t>ANTIBES</t>
  </si>
  <si>
    <t xml:space="preserve">SELARL ARPENTEURS GEOMETRES</t>
  </si>
  <si>
    <t>vincent.deleforges@geometre-expert.fr</t>
  </si>
  <si>
    <t>DELEFORGES</t>
  </si>
  <si>
    <t xml:space="preserve">Cabinet BERBENNI Olivier</t>
  </si>
  <si>
    <t>olivier.berbenni@geometre-expert.fr</t>
  </si>
  <si>
    <t>BERBENNI</t>
  </si>
  <si>
    <t>ANTONY</t>
  </si>
  <si>
    <t xml:space="preserve">Cabinet SLEIMAN César</t>
  </si>
  <si>
    <t>cesar.sleiman@geometre-expert.fr</t>
  </si>
  <si>
    <t>César</t>
  </si>
  <si>
    <t>SLEIMAN</t>
  </si>
  <si>
    <t>APT</t>
  </si>
  <si>
    <t xml:space="preserve">SARL AGULHON Christophe</t>
  </si>
  <si>
    <t>christophe.agulhon@geometre-expert.fr</t>
  </si>
  <si>
    <t>AGULHON</t>
  </si>
  <si>
    <t>ARCHAMPS</t>
  </si>
  <si>
    <t xml:space="preserve">SA HYP-ARC</t>
  </si>
  <si>
    <t>olivier.ledonge@geometre-expert.fr</t>
  </si>
  <si>
    <t>bureau@hyp-arc.com</t>
  </si>
  <si>
    <t>LE</t>
  </si>
  <si>
    <t xml:space="preserve">ARGELES GAZOST</t>
  </si>
  <si>
    <t xml:space="preserve">Cabinet DUVERSIN Thomas</t>
  </si>
  <si>
    <t>thomas.duversin@geometre-expert.fr</t>
  </si>
  <si>
    <t>gef.duversin@wanadoo.fr</t>
  </si>
  <si>
    <t>DUVERSIN</t>
  </si>
  <si>
    <t>ARMENTIERES</t>
  </si>
  <si>
    <t xml:space="preserve">SELAS Cabinet GEOLYS</t>
  </si>
  <si>
    <t>johan.vermast@geometre-expert.fr</t>
  </si>
  <si>
    <t>agence.nord@cabinet-geolys.fr</t>
  </si>
  <si>
    <t>VERMAST</t>
  </si>
  <si>
    <t>michael.riche@geometre-expert.fr</t>
  </si>
  <si>
    <t>Michaël</t>
  </si>
  <si>
    <t>RICHE</t>
  </si>
  <si>
    <t xml:space="preserve">ARNIERES SUR ITON</t>
  </si>
  <si>
    <t xml:space="preserve">DEGROOTE Arnaud</t>
  </si>
  <si>
    <t>arnaud.degroote@geometre-expert.fr</t>
  </si>
  <si>
    <t>cabinetdegroote@orange.fr</t>
  </si>
  <si>
    <t>DEGROOTE</t>
  </si>
  <si>
    <t>ARRAS</t>
  </si>
  <si>
    <t xml:space="preserve">CARON - BRIFFAUT SELARL DE GEOMETRES EXPERTS</t>
  </si>
  <si>
    <t>benoit.briffaut@geometre-expert.fr</t>
  </si>
  <si>
    <t>arras.geometres@caronbriffaut.com</t>
  </si>
  <si>
    <t>Benoît</t>
  </si>
  <si>
    <t>BRIFFAUT</t>
  </si>
  <si>
    <t xml:space="preserve">SARL Franck TILLIER</t>
  </si>
  <si>
    <t>franck.tillier@geometre-expert.fr</t>
  </si>
  <si>
    <t>franck.tillier@geo62.com</t>
  </si>
  <si>
    <t>TILLIER</t>
  </si>
  <si>
    <t>jean-paul.caron@geometre-expert.fr</t>
  </si>
  <si>
    <t>CARON</t>
  </si>
  <si>
    <t>ARREAU</t>
  </si>
  <si>
    <t xml:space="preserve">Cabinet MAROBIN Christophe</t>
  </si>
  <si>
    <t>christophe.marobin@geometre-expert.fr</t>
  </si>
  <si>
    <t>MAROBIN</t>
  </si>
  <si>
    <t xml:space="preserve">ARTIGUES PRES BORDEAUX</t>
  </si>
  <si>
    <t xml:space="preserve">ABAC-GEO AQUITAINE SELARL de Géomètres-experts</t>
  </si>
  <si>
    <t>olivier.pachen@geometre-expert.fr</t>
  </si>
  <si>
    <t>artigues@abacgeoaquitaine.com</t>
  </si>
  <si>
    <t>PACHEN</t>
  </si>
  <si>
    <t>thomas.piantanida@geometre-expert.fr</t>
  </si>
  <si>
    <t>PIANTANIDA</t>
  </si>
  <si>
    <t>jean-marc.niaussat@geometre-expert.fr</t>
  </si>
  <si>
    <t>NIAUSSAT</t>
  </si>
  <si>
    <t>stephane.linares@geometre-expert.fr</t>
  </si>
  <si>
    <t>LINARES</t>
  </si>
  <si>
    <t>xavier.degouville@geometre-expert.fr</t>
  </si>
  <si>
    <t>jean-michel.girodet@geometre-expert.fr</t>
  </si>
  <si>
    <t>GIRODET</t>
  </si>
  <si>
    <t>ARTIX</t>
  </si>
  <si>
    <t xml:space="preserve">SARL Guillaume VIGNAU Géomètre-Expert</t>
  </si>
  <si>
    <t>guillaume.vignau@geometre-expert.fr</t>
  </si>
  <si>
    <t>VIGNAU</t>
  </si>
  <si>
    <t>ARUDY</t>
  </si>
  <si>
    <t xml:space="preserve">Cabinet HOLUIGUE Richard</t>
  </si>
  <si>
    <t>richard.holuigue@geometre-expert.fr</t>
  </si>
  <si>
    <t>geometre.arudy@gmail.com</t>
  </si>
  <si>
    <t>HOLUIGUE</t>
  </si>
  <si>
    <t xml:space="preserve">ASNIERES SUR SEINE</t>
  </si>
  <si>
    <t xml:space="preserve">SELARL LANQUETIN &amp;amp; ASSOCIES</t>
  </si>
  <si>
    <t>renan.nivelet@geometre-expert.fr</t>
  </si>
  <si>
    <t>patrice.lanquetin@geometre-expert.fr</t>
  </si>
  <si>
    <t>Renan</t>
  </si>
  <si>
    <t>NIVELET</t>
  </si>
  <si>
    <t>TALARMIN</t>
  </si>
  <si>
    <t>LANQUETIN</t>
  </si>
  <si>
    <t>ASPREMONT</t>
  </si>
  <si>
    <t xml:space="preserve">SARL MF2H</t>
  </si>
  <si>
    <t>henrique.ferreira@geometre-expert.fr</t>
  </si>
  <si>
    <t>matteudi.secretariat@orange.fr</t>
  </si>
  <si>
    <t>Henrique</t>
  </si>
  <si>
    <t>FERREIRA</t>
  </si>
  <si>
    <t>hugues.matteudi@geometre-expert.fr</t>
  </si>
  <si>
    <t>MATTEUDI</t>
  </si>
  <si>
    <t>AUBAGNE</t>
  </si>
  <si>
    <t xml:space="preserve">SAS AGEOTERRA</t>
  </si>
  <si>
    <t>benjamin.seiffert@geometre-expert.fr</t>
  </si>
  <si>
    <t>quentin.lamier@geometre-expert.fr</t>
  </si>
  <si>
    <t>SEIFFERT</t>
  </si>
  <si>
    <t xml:space="preserve">SELAS GEOS</t>
  </si>
  <si>
    <t>contact@cabinetgeos.fr</t>
  </si>
  <si>
    <t>SALLANSONNET</t>
  </si>
  <si>
    <t>LAMIER</t>
  </si>
  <si>
    <t xml:space="preserve">SARL ALTAGEO</t>
  </si>
  <si>
    <t>isabelle.lieutaud@geometre-expert.fr</t>
  </si>
  <si>
    <t>geometre@altageo.fr</t>
  </si>
  <si>
    <t>LIEUTAUD</t>
  </si>
  <si>
    <t>michel.baud@geometre-expert.fr</t>
  </si>
  <si>
    <t>BAUD</t>
  </si>
  <si>
    <t>baud.benedicte@gmail.com</t>
  </si>
  <si>
    <t>Bénédicte</t>
  </si>
  <si>
    <t>AUBENAS</t>
  </si>
  <si>
    <t xml:space="preserve">SELAFA GEO-SIAPP</t>
  </si>
  <si>
    <t>alexis.imbrea@geometre-expert.fr</t>
  </si>
  <si>
    <t>geometrie@geo-siapp.com</t>
  </si>
  <si>
    <t>IMBREA</t>
  </si>
  <si>
    <t xml:space="preserve">SELARL 2A Géomètres-Experts</t>
  </si>
  <si>
    <t>alexandre.louche@geometre-expert.fr</t>
  </si>
  <si>
    <t>contact@2ageometres-experts.fr</t>
  </si>
  <si>
    <t>LOUCHE</t>
  </si>
  <si>
    <t>alain.monnier@geometre-expert.fr</t>
  </si>
  <si>
    <t>MONNIER</t>
  </si>
  <si>
    <t>lionnel.robert@geometre-expert.fr</t>
  </si>
  <si>
    <t>Lionnel</t>
  </si>
  <si>
    <t>ROBERT</t>
  </si>
  <si>
    <t>AUCAMVILLE</t>
  </si>
  <si>
    <t xml:space="preserve">SARL GELP</t>
  </si>
  <si>
    <t>laurent.pietrera@geometre-expert.fr</t>
  </si>
  <si>
    <t>contact@gelp-geometre.fr</t>
  </si>
  <si>
    <t>PIETRERA</t>
  </si>
  <si>
    <t xml:space="preserve">Cabinet FONTVIELLE Pierre-Louis</t>
  </si>
  <si>
    <t>pierre-louis.fontvielle@geometre-expert.fr</t>
  </si>
  <si>
    <t>fontvielle.geometre@orange.fr</t>
  </si>
  <si>
    <t>FONTVIELLE</t>
  </si>
  <si>
    <t xml:space="preserve">AUDUN LE ROMAN</t>
  </si>
  <si>
    <t xml:space="preserve">SELARL ARPENT-CONSEILS</t>
  </si>
  <si>
    <t>alain.hofman@geometre-expert.fr</t>
  </si>
  <si>
    <t>alain.hofman@wanadoo.fr&amp;gt;</t>
  </si>
  <si>
    <t>HOFMAN</t>
  </si>
  <si>
    <t>AURAY</t>
  </si>
  <si>
    <t xml:space="preserve">SELARL AG2M GEOMETRES-EXPERTS</t>
  </si>
  <si>
    <t>fabrice.iltis@geometre-expert.fr</t>
  </si>
  <si>
    <t>ag2m-auray@orange.fr</t>
  </si>
  <si>
    <t>ILTIS</t>
  </si>
  <si>
    <t>axel.constant@geometre-expert.fr</t>
  </si>
  <si>
    <t>CONSTANT</t>
  </si>
  <si>
    <t>benjamin.buirette@geometre-expert.fr</t>
  </si>
  <si>
    <t>BUIRETTE</t>
  </si>
  <si>
    <t>helena.perron@geometre-expert.fr</t>
  </si>
  <si>
    <t>Héléna</t>
  </si>
  <si>
    <t>PERRON</t>
  </si>
  <si>
    <t>renaud.deminiac@geometre-expert.fr</t>
  </si>
  <si>
    <t>AURILLAC</t>
  </si>
  <si>
    <t xml:space="preserve">SCP ALLO et CLAVEIROLE Géomètres-Experts associés</t>
  </si>
  <si>
    <t>olivier.claveirole@geometre-expert.fr</t>
  </si>
  <si>
    <t>contact@infrageo.fr</t>
  </si>
  <si>
    <t>CLAVEIROLE</t>
  </si>
  <si>
    <t>pierre-jean.allo@geometre-expert.fr</t>
  </si>
  <si>
    <t>ALLO</t>
  </si>
  <si>
    <t xml:space="preserve">SELARL Cabinet CROS</t>
  </si>
  <si>
    <t>marie-gaelle.saunal-cros@geometre-expert.fr</t>
  </si>
  <si>
    <t>geometre.expert@cabinet-cros.fr</t>
  </si>
  <si>
    <t>Marie-Gaëlle</t>
  </si>
  <si>
    <t>SAUNAL-CROS</t>
  </si>
  <si>
    <t>AURIOL</t>
  </si>
  <si>
    <t xml:space="preserve">SARL Cabinet LEGAL</t>
  </si>
  <si>
    <t>maxime.ferrer@geometre-expert.fr</t>
  </si>
  <si>
    <t>pierrelegal.geoexp@wanadoo.fr</t>
  </si>
  <si>
    <t>FERRER</t>
  </si>
  <si>
    <t>pierre.legal@geometre-expert.fr</t>
  </si>
  <si>
    <t>LEGAL</t>
  </si>
  <si>
    <t>AUTERIVE</t>
  </si>
  <si>
    <t xml:space="preserve">SELARL VALORIS GEOMETRE-EXPERT</t>
  </si>
  <si>
    <t>simon.bazalgette@geometre-expert.fr</t>
  </si>
  <si>
    <t>auterive@valoris.expert</t>
  </si>
  <si>
    <t>BAZALGETTE</t>
  </si>
  <si>
    <t>christophe.jalbaud@geometre-expert.fr</t>
  </si>
  <si>
    <t>JALBAUD</t>
  </si>
  <si>
    <t>etienne.saint-aubin@geometre-expert.fr</t>
  </si>
  <si>
    <t>SAINT-AUBIN</t>
  </si>
  <si>
    <t>virginie.jeansou@geometre-expert.fr</t>
  </si>
  <si>
    <t>JEANSOU</t>
  </si>
  <si>
    <t>jean-odon.cenac@geometre-expert.fr</t>
  </si>
  <si>
    <t>Jean-Odon</t>
  </si>
  <si>
    <t>CENAC</t>
  </si>
  <si>
    <t>bertrand.warin@geometre-expert.fr</t>
  </si>
  <si>
    <t>WARIN</t>
  </si>
  <si>
    <t>AVIGNON</t>
  </si>
  <si>
    <t xml:space="preserve">Cabinet VAIREL Daniel</t>
  </si>
  <si>
    <t>daniel.vairel@geometre-expert.fr</t>
  </si>
  <si>
    <t>daniel.vairel@wanadoo.fr</t>
  </si>
  <si>
    <t>VAIREL</t>
  </si>
  <si>
    <t xml:space="preserve">SELARL AZUR GEO</t>
  </si>
  <si>
    <t>olivier.arnal@geometre-expert.fr</t>
  </si>
  <si>
    <t>contact-azurgeo@groupe314.fr</t>
  </si>
  <si>
    <t>ARNAL</t>
  </si>
  <si>
    <t>serge.paolini@geometre-expert.fr</t>
  </si>
  <si>
    <t>PAOLINI</t>
  </si>
  <si>
    <t xml:space="preserve">SELARL Jacques BLANC et Associés</t>
  </si>
  <si>
    <t>francois.verzier@geometre-expert.fr</t>
  </si>
  <si>
    <t>jacques.blanc.geometre@wanadoo.fr</t>
  </si>
  <si>
    <t>VERZIER</t>
  </si>
  <si>
    <t>AVRANCHES</t>
  </si>
  <si>
    <t>SEGUR</t>
  </si>
  <si>
    <t>raphael.berot@geometre-expert.fr</t>
  </si>
  <si>
    <t>avranches@geometre-segur.fr</t>
  </si>
  <si>
    <t>Raphaël</t>
  </si>
  <si>
    <t>BEROT</t>
  </si>
  <si>
    <t xml:space="preserve">AY CHAMPAGNE</t>
  </si>
  <si>
    <t xml:space="preserve">SCP ROUALET HERRMANN  Géomètres-Experts Associés</t>
  </si>
  <si>
    <t>samuel.gutierrez@geometre-expert.fr</t>
  </si>
  <si>
    <t>contact@roualet-herrmann.fr</t>
  </si>
  <si>
    <t>GUTIERREZ</t>
  </si>
  <si>
    <t>bruno.herrmann@geometre-expert.fr</t>
  </si>
  <si>
    <t>HERRMANN</t>
  </si>
  <si>
    <t>francois.roualet@geometre-expert.fr</t>
  </si>
  <si>
    <t>ROUALET</t>
  </si>
  <si>
    <t xml:space="preserve">BAGNERES DE BIGORRE</t>
  </si>
  <si>
    <t xml:space="preserve">GEOMONTIS SELARL de géomètre-expert</t>
  </si>
  <si>
    <t>eric.marguinal@geometre-expert.fr</t>
  </si>
  <si>
    <t>contact@geomontis.fr</t>
  </si>
  <si>
    <t>MARGUINAL</t>
  </si>
  <si>
    <t>baptiste.cumoura@geometre-expert.fr</t>
  </si>
  <si>
    <t>CUMOURA</t>
  </si>
  <si>
    <t>BAGNEUX</t>
  </si>
  <si>
    <t xml:space="preserve">SELAS CABINET CHARLEMAGNE</t>
  </si>
  <si>
    <t>sebastien.trouve@geometre-expert.fr</t>
  </si>
  <si>
    <t>geometre-expert@outlook.com</t>
  </si>
  <si>
    <t>TROUVE</t>
  </si>
  <si>
    <t xml:space="preserve">BAIE MAHAULT</t>
  </si>
  <si>
    <t xml:space="preserve">SELARL AEGIS CONSEIL</t>
  </si>
  <si>
    <t>gilles.capelle@geometre-expert.fr</t>
  </si>
  <si>
    <t>CAPELLE</t>
  </si>
  <si>
    <t xml:space="preserve">SELARL DELAHOUSSE</t>
  </si>
  <si>
    <t>remy.delahousse@geometre-expert.fr</t>
  </si>
  <si>
    <t>geometre.expert.antilles@wanadoo.fr</t>
  </si>
  <si>
    <t>Rémy</t>
  </si>
  <si>
    <t>DELAHOUSSE</t>
  </si>
  <si>
    <t>thomas.cornillault@geometre-expert.fr</t>
  </si>
  <si>
    <t>CORNILLAULT</t>
  </si>
  <si>
    <t xml:space="preserve">SELAS FGCE FRANCE GUADELOUPE DE COPROPRIETE ET D'EXPERTISE</t>
  </si>
  <si>
    <t>jb.puppo-capodano@geometre-expert.fr</t>
  </si>
  <si>
    <t>syndic.compta2@fgc971.com</t>
  </si>
  <si>
    <t>PUPPO-CAPODANO</t>
  </si>
  <si>
    <t xml:space="preserve">PCGE SELAS DE GEOMETRES EXPERTS PCGE</t>
  </si>
  <si>
    <t>yannick.galinat@geometre-expert.fr</t>
  </si>
  <si>
    <t>Yannick.galinat@fgce.pro</t>
  </si>
  <si>
    <t>GALINAT</t>
  </si>
  <si>
    <t>pascal.lepreux@geometre-expert.fr</t>
  </si>
  <si>
    <t>LEPREUX</t>
  </si>
  <si>
    <t>BAILLEUL</t>
  </si>
  <si>
    <t xml:space="preserve">GEO FLANDRES</t>
  </si>
  <si>
    <t>arthur.leveugle@geometre-expert.fr</t>
  </si>
  <si>
    <t>LEVEUGLE</t>
  </si>
  <si>
    <t>BAILLY</t>
  </si>
  <si>
    <t xml:space="preserve">SELASU METOR</t>
  </si>
  <si>
    <t>raphael.fillon@geometre-expert.fr</t>
  </si>
  <si>
    <t>FILLON</t>
  </si>
  <si>
    <t xml:space="preserve">BAIN DE BRETAGNE</t>
  </si>
  <si>
    <t xml:space="preserve">SELARL EGUIMOS</t>
  </si>
  <si>
    <t>kevin.lecerf@geometre-expert.fr</t>
  </si>
  <si>
    <t>bain@eguimos.com</t>
  </si>
  <si>
    <t>Kévin</t>
  </si>
  <si>
    <t>LECERF</t>
  </si>
  <si>
    <t>laurent.progeas@geometre-expert.fr</t>
  </si>
  <si>
    <t>PROGEAS</t>
  </si>
  <si>
    <t>yoann.debray@geometre-expert.fr</t>
  </si>
  <si>
    <t>DEBRAY</t>
  </si>
  <si>
    <t xml:space="preserve">BALLANCOURT SUR ESSONNE</t>
  </si>
  <si>
    <t xml:space="preserve">SELARL Cabinet AUBRY Géomètre-Expert</t>
  </si>
  <si>
    <t>sebastien.aubry@geometre-expert.fr</t>
  </si>
  <si>
    <t>s.aubry@cabinetaubry.fr</t>
  </si>
  <si>
    <t>AUBRY</t>
  </si>
  <si>
    <t>BAPAUME</t>
  </si>
  <si>
    <t xml:space="preserve">Cabinet Louis LUBRET Géomètre-Expert EURL</t>
  </si>
  <si>
    <t>louis.lubret@geometre-expert.fr</t>
  </si>
  <si>
    <t>louislubret@gmail.com</t>
  </si>
  <si>
    <t>LUBRET</t>
  </si>
  <si>
    <t xml:space="preserve">BAR LE DUC</t>
  </si>
  <si>
    <t xml:space="preserve">SELAS CABINET GAUCHOTTE Francis</t>
  </si>
  <si>
    <t>francis.gauchotte@geometre-expert.fr</t>
  </si>
  <si>
    <t>francisgauchotte@aol.com</t>
  </si>
  <si>
    <t>GAUCHOTTE</t>
  </si>
  <si>
    <t xml:space="preserve">BARCELONNE DU GERS</t>
  </si>
  <si>
    <t xml:space="preserve">SELARL BELESTIN</t>
  </si>
  <si>
    <t>cedric.belestin@geometre-expert.fr</t>
  </si>
  <si>
    <t>belestin@geometre-cb.fr</t>
  </si>
  <si>
    <t>Cédric</t>
  </si>
  <si>
    <t>BELESTIN</t>
  </si>
  <si>
    <t xml:space="preserve">BARNEVILLE CARTERET</t>
  </si>
  <si>
    <t xml:space="preserve">Pascal SAVELLI</t>
  </si>
  <si>
    <t>pascal.savelli@geometre-expert.fr</t>
  </si>
  <si>
    <t>scpsavelli@orange.fr</t>
  </si>
  <si>
    <t>SAVELLI</t>
  </si>
  <si>
    <t xml:space="preserve">BASSE TERRE</t>
  </si>
  <si>
    <t xml:space="preserve">Cabinet MOURILLON Harold</t>
  </si>
  <si>
    <t>harold.mourillon@geometre-expert.fr</t>
  </si>
  <si>
    <t>MOURILLON</t>
  </si>
  <si>
    <t xml:space="preserve">Cabinet ARBAU Lynda</t>
  </si>
  <si>
    <t>lynda.arbau@geometre-expert.fr</t>
  </si>
  <si>
    <t>ARBAU</t>
  </si>
  <si>
    <t>BASTIA</t>
  </si>
  <si>
    <t xml:space="preserve">SELARL CABINET SIBELLA &amp;amp; Associés</t>
  </si>
  <si>
    <t>pascal.sibella@geometre-expert.fr</t>
  </si>
  <si>
    <t>contact@cabinetsibella.com</t>
  </si>
  <si>
    <t>SIBELLA</t>
  </si>
  <si>
    <t xml:space="preserve">CABINET MEDORI-SIMONETTI-MALASPINA SARL</t>
  </si>
  <si>
    <t>mathieu.simonetti@geometre-expert.fr</t>
  </si>
  <si>
    <t>contact@cabinetmedori.fr</t>
  </si>
  <si>
    <t>SIMONETTI-MALASPINA</t>
  </si>
  <si>
    <t>charles.deboos@geometre-expert.fr</t>
  </si>
  <si>
    <t>DEBOOS</t>
  </si>
  <si>
    <t>guillaume.berwanger@geometre-expert.fr</t>
  </si>
  <si>
    <t>BERWANGER</t>
  </si>
  <si>
    <t xml:space="preserve">EURL Cabinet RENUCCI</t>
  </si>
  <si>
    <t>francois.renucci@geometre-expert.fr</t>
  </si>
  <si>
    <t>francois@cabinetrenucci.fr</t>
  </si>
  <si>
    <t>RENUCCI</t>
  </si>
  <si>
    <t xml:space="preserve">SAS CABINET LUC GRASSINI</t>
  </si>
  <si>
    <t>luc.grassini@geometre-expert.fr</t>
  </si>
  <si>
    <t>GRASSINI</t>
  </si>
  <si>
    <t xml:space="preserve">SARL CABINET SAINT JULIEN GE</t>
  </si>
  <si>
    <t>eric.collet@geometre-expert.fr</t>
  </si>
  <si>
    <t>COLLET</t>
  </si>
  <si>
    <t xml:space="preserve">BAUGE EN ANJOU</t>
  </si>
  <si>
    <t xml:space="preserve">BRICHET-LHUMEAU Isabelle SELARL DE GEOMETRES-EXPERTS</t>
  </si>
  <si>
    <t>isabelle.brichet@geometre-expert.fr</t>
  </si>
  <si>
    <t>i.brichet.geometre@orange.fr</t>
  </si>
  <si>
    <t>BRICHET-LHUMEAU</t>
  </si>
  <si>
    <t xml:space="preserve">BAUME LES DAMES</t>
  </si>
  <si>
    <t xml:space="preserve">SARL Cabinet COQUARD</t>
  </si>
  <si>
    <t>leonel.jeannerot@geometre-expert.fr</t>
  </si>
  <si>
    <t>sarl@cabinetcoquard.fr</t>
  </si>
  <si>
    <t>Léonel</t>
  </si>
  <si>
    <t>JEANNEROT</t>
  </si>
  <si>
    <t>lucile.kocher@geometre-expert.fr</t>
  </si>
  <si>
    <t>Lucile</t>
  </si>
  <si>
    <t>KOCHER</t>
  </si>
  <si>
    <t>BAYEUX</t>
  </si>
  <si>
    <t xml:space="preserve">Cabinet Philippe CAVOIT Géomètre-Expert DPLG</t>
  </si>
  <si>
    <t>sabrina.aumont@geometre-expert.fr</t>
  </si>
  <si>
    <t>contact@cabinetcavoit.fr</t>
  </si>
  <si>
    <t>AUMONT</t>
  </si>
  <si>
    <t>philippe.cavoit@geometre-expert.fr</t>
  </si>
  <si>
    <t>CAVOIT</t>
  </si>
  <si>
    <t>BAYONNE</t>
  </si>
  <si>
    <t xml:space="preserve">LABAT &amp;amp; Associés SARL de Géomètres-Expert</t>
  </si>
  <si>
    <t>jerome.labat@geometre-expert.fr</t>
  </si>
  <si>
    <t>bayonne@labat-associes.com</t>
  </si>
  <si>
    <t>LABAT</t>
  </si>
  <si>
    <t xml:space="preserve">SAS NEALDE GEOMETRE-EXPERT</t>
  </si>
  <si>
    <t>frederic.erize@geometre-expert.fr</t>
  </si>
  <si>
    <t>f.erize@nealde.fr</t>
  </si>
  <si>
    <t>ERIZE</t>
  </si>
  <si>
    <t xml:space="preserve">Cabinet BERQUEZ LALAGÜE SELARL DE GEOMETRES-EXPERTS</t>
  </si>
  <si>
    <t>franck.lalague@geometre-expert.fr</t>
  </si>
  <si>
    <t>bl.ge.bayonne@gmail.com</t>
  </si>
  <si>
    <t>LALAGÜE</t>
  </si>
  <si>
    <t xml:space="preserve">CAUROS SARL DE GEOMETRES-EXPERTS CARDONNE ET ASSOCIES</t>
  </si>
  <si>
    <t>geoffrey.merchan@geometre-expert.fr</t>
  </si>
  <si>
    <t>contact@cauros.fr</t>
  </si>
  <si>
    <t>MERCHAN</t>
  </si>
  <si>
    <t xml:space="preserve">Cabinet BRENAC Lionel</t>
  </si>
  <si>
    <t>lionel.brenac@geometre-expert.fr</t>
  </si>
  <si>
    <t>brenac.lionel@gmail.com</t>
  </si>
  <si>
    <t>BRENAC</t>
  </si>
  <si>
    <t>sylvain.pagoaga@geometre-expert.fr</t>
  </si>
  <si>
    <t>PAGOAGA</t>
  </si>
  <si>
    <t>helene.berquez@geometre-expert.fr</t>
  </si>
  <si>
    <t>Hélène</t>
  </si>
  <si>
    <t>BERQUEZ</t>
  </si>
  <si>
    <t xml:space="preserve">SARL Dominique DREVET</t>
  </si>
  <si>
    <t>dominique.drevet@geometre-expert.fr</t>
  </si>
  <si>
    <t>DREVET</t>
  </si>
  <si>
    <t>bruno.cardonne@geometre-expert.fr</t>
  </si>
  <si>
    <t>CARDONNE</t>
  </si>
  <si>
    <t>BEAUGENCY</t>
  </si>
  <si>
    <t xml:space="preserve">SCP PERRONNET - LUCAS GEOMETRES-EXPERTS</t>
  </si>
  <si>
    <t>thomas.lucas@geometre-expert.fr</t>
  </si>
  <si>
    <t>cabinet.perronnet@geometre-expert.fr</t>
  </si>
  <si>
    <t>LUCAS</t>
  </si>
  <si>
    <t>francois.perronnet@geometre-expert.fr</t>
  </si>
  <si>
    <t>PERRONNET</t>
  </si>
  <si>
    <t>anthony.raucoule@geometre-expert.fr</t>
  </si>
  <si>
    <t>RAUCOULE</t>
  </si>
  <si>
    <t>BEAUMONT</t>
  </si>
  <si>
    <t xml:space="preserve">SAS CABINET BISIO ET ASSOCIES</t>
  </si>
  <si>
    <t>amandine.rechou@geometre-expert.fr</t>
  </si>
  <si>
    <t>cabinet.bisio@wanadoo.fr</t>
  </si>
  <si>
    <t>RECHOU</t>
  </si>
  <si>
    <t>laurent.raynal@geometre-expert.fr</t>
  </si>
  <si>
    <t>RAYNAL</t>
  </si>
  <si>
    <t>vincent.vigouroux@geometre-expert.fr</t>
  </si>
  <si>
    <t>VIGOUROUX</t>
  </si>
  <si>
    <t>BEAUNE</t>
  </si>
  <si>
    <t xml:space="preserve">SELARL BONNET-MARCHAL</t>
  </si>
  <si>
    <t>pierre-jean.marchal@geometre-expert.fr</t>
  </si>
  <si>
    <t>bonnet-marchal@orange.fr</t>
  </si>
  <si>
    <t>MARCHAL</t>
  </si>
  <si>
    <t>BEAURAINS</t>
  </si>
  <si>
    <t xml:space="preserve">MARIE.C GEOMETRE-EXPERT</t>
  </si>
  <si>
    <t>marie.courtaux@geometre-expert.fr</t>
  </si>
  <si>
    <t>marie.c@geoexpert-foncier.fr</t>
  </si>
  <si>
    <t>MARIE</t>
  </si>
  <si>
    <t>COURTAUX</t>
  </si>
  <si>
    <t>BEAUVAIS</t>
  </si>
  <si>
    <t xml:space="preserve">ABSCISSE GEOMETRE EXPERT SAS</t>
  </si>
  <si>
    <t>david.fache@geometre-expert.fr</t>
  </si>
  <si>
    <t>FACHE</t>
  </si>
  <si>
    <t xml:space="preserve">Maxime CORRE Géomètre-Expert SARL à associé unique</t>
  </si>
  <si>
    <t>maxime.corre@geometre-expert.fr</t>
  </si>
  <si>
    <t>contact.mcge@gmail.com</t>
  </si>
  <si>
    <t>CORRE</t>
  </si>
  <si>
    <t>BELFORT</t>
  </si>
  <si>
    <t xml:space="preserve">SARL JEREMY CANAL</t>
  </si>
  <si>
    <t>jeremy.canal@geometre-expert.fr</t>
  </si>
  <si>
    <t>Jérémy</t>
  </si>
  <si>
    <t>CANAL</t>
  </si>
  <si>
    <t xml:space="preserve">EURL Cabinet J.Baptiste ROLLIN</t>
  </si>
  <si>
    <t>cedric.ligier@geometre-expert.fr</t>
  </si>
  <si>
    <t>jean-baptiste.rollin@geometre-expert.fr</t>
  </si>
  <si>
    <t>LIGIER</t>
  </si>
  <si>
    <t>ROLLIN</t>
  </si>
  <si>
    <t xml:space="preserve">Cabinet CLERGET Jean-Christophe</t>
  </si>
  <si>
    <t>jean-christophe.clerget@geometre-expert.fr</t>
  </si>
  <si>
    <t>cabinet@clerget.fr</t>
  </si>
  <si>
    <t>CLERGET</t>
  </si>
  <si>
    <t xml:space="preserve">BELLEVILLE EN BEAUJOLAIS</t>
  </si>
  <si>
    <t xml:space="preserve">Cabinet MOREL Dominique</t>
  </si>
  <si>
    <t>dominique.morel@geometre-expert.fr</t>
  </si>
  <si>
    <t>morel-geometre@orange.fr</t>
  </si>
  <si>
    <t>BELLEY</t>
  </si>
  <si>
    <t xml:space="preserve">SARL GSM SAVOYET-CHATRON</t>
  </si>
  <si>
    <t>veronique.chatron@geometre-expert.fr</t>
  </si>
  <si>
    <t>geometres@gsm-belley.com</t>
  </si>
  <si>
    <t>Véronique</t>
  </si>
  <si>
    <t>CHATRON</t>
  </si>
  <si>
    <t>philippe.savoyet@geometre-expert.fr</t>
  </si>
  <si>
    <t>SAVOYET</t>
  </si>
  <si>
    <t>theodore.lheritier@geometre-expert.fr</t>
  </si>
  <si>
    <t>Théodore</t>
  </si>
  <si>
    <t>LHERITIER</t>
  </si>
  <si>
    <t>BENFELD</t>
  </si>
  <si>
    <t xml:space="preserve">SELARL Marie SIMLER et Associés</t>
  </si>
  <si>
    <t>henri.simler@geometre-expert.fr</t>
  </si>
  <si>
    <t>marie.simler@geometre-expert.fr</t>
  </si>
  <si>
    <t>SIMLER</t>
  </si>
  <si>
    <t>BERGERAC</t>
  </si>
  <si>
    <t xml:space="preserve">GEOVAL SELARL de Géomètres-Experts</t>
  </si>
  <si>
    <t>charlie.baudoin@geometre-expert.fr</t>
  </si>
  <si>
    <t>secretariat@geoval24.fr</t>
  </si>
  <si>
    <t>BAUDOIN</t>
  </si>
  <si>
    <t>thibault.ruiz@geometre-expert.fr</t>
  </si>
  <si>
    <t>RUIZ</t>
  </si>
  <si>
    <t>BERNAY</t>
  </si>
  <si>
    <t xml:space="preserve">Philippe LEMBLE</t>
  </si>
  <si>
    <t>philippe.lemble@geometre-expert.fr</t>
  </si>
  <si>
    <t>contact@cabinetlemble.fr</t>
  </si>
  <si>
    <t>LEMBLE</t>
  </si>
  <si>
    <t xml:space="preserve">BERRE L ETANG</t>
  </si>
  <si>
    <t xml:space="preserve">SARL Guillaume PERNOT</t>
  </si>
  <si>
    <t>guillaume.pernot@geometre-expert.fr</t>
  </si>
  <si>
    <t>PERNOT</t>
  </si>
  <si>
    <t>BESANCON</t>
  </si>
  <si>
    <t xml:space="preserve">SARL Cabinet JAMEY et Associés</t>
  </si>
  <si>
    <t>remy.barrand@geometre-expert.fr</t>
  </si>
  <si>
    <t>contact@jamey-associes.fr</t>
  </si>
  <si>
    <t>BARRAND</t>
  </si>
  <si>
    <t xml:space="preserve">SARL  Cabinet KURY</t>
  </si>
  <si>
    <t>emilien.kury@geometre-expert.fr</t>
  </si>
  <si>
    <t>e.kury@kury-geometreexpert.fr</t>
  </si>
  <si>
    <t>KURY</t>
  </si>
  <si>
    <t>jeremy.duplaix@geometre-expert.fr</t>
  </si>
  <si>
    <t>DUPLAIX</t>
  </si>
  <si>
    <t xml:space="preserve">SELARL Benoît DEROCHE Géomètre-Expert</t>
  </si>
  <si>
    <t>benoit.deroche@geometre-expert.fr</t>
  </si>
  <si>
    <t>DEROCHE</t>
  </si>
  <si>
    <t>celina.jacquin@geometre-expert.fr</t>
  </si>
  <si>
    <t>Célina</t>
  </si>
  <si>
    <t>JACQUIN</t>
  </si>
  <si>
    <t>frederic.jamey@geometre-expert.fr</t>
  </si>
  <si>
    <t>JAMEY</t>
  </si>
  <si>
    <t>BETHUNE</t>
  </si>
  <si>
    <t xml:space="preserve">SELARL BOGAERT et ASSOCIES</t>
  </si>
  <si>
    <t>antoine.goze@geometre-expert.fr</t>
  </si>
  <si>
    <t>bogaert.geometre@cabinetbogaert.fr</t>
  </si>
  <si>
    <t>GOZE</t>
  </si>
  <si>
    <t>jean-paul.bogaert@geometre-expert.fr</t>
  </si>
  <si>
    <t>BOGAERT</t>
  </si>
  <si>
    <t>benoit.suret@geometre-expert.fr</t>
  </si>
  <si>
    <t>SURET</t>
  </si>
  <si>
    <t xml:space="preserve">BEYCHAC ET CAILLAU</t>
  </si>
  <si>
    <t xml:space="preserve">SAS 3D2</t>
  </si>
  <si>
    <t>vincent.fonteneau@geometre-expert.fr</t>
  </si>
  <si>
    <t>geometre3d2@gmail.com</t>
  </si>
  <si>
    <t>FONTENEAU</t>
  </si>
  <si>
    <t>sylvain.cantaloube@geometre-expert.fr</t>
  </si>
  <si>
    <t>CANTALOUBE</t>
  </si>
  <si>
    <t>BEZIERS</t>
  </si>
  <si>
    <t xml:space="preserve">SELARL LUSINCHI</t>
  </si>
  <si>
    <t>frederic.lusinchi@geometre-expert.fr</t>
  </si>
  <si>
    <t>contact@lusinchi.fr</t>
  </si>
  <si>
    <t>LUSINCHI</t>
  </si>
  <si>
    <t xml:space="preserve">SELARL GUILLAUME - GASQUEZ</t>
  </si>
  <si>
    <t>marie-laure.guillaume@geometre-expert.fr</t>
  </si>
  <si>
    <t>cabinet.gasquez@geometre2g.fr</t>
  </si>
  <si>
    <t>Marie-Laure</t>
  </si>
  <si>
    <t>GUILLAUME</t>
  </si>
  <si>
    <t xml:space="preserve">SARL SUD GEO</t>
  </si>
  <si>
    <t>eric.marcel@geometre-expert.fr</t>
  </si>
  <si>
    <t>contact@sudgeo.fr</t>
  </si>
  <si>
    <t>MARCEL</t>
  </si>
  <si>
    <t xml:space="preserve">Cabinet HARMANGE Hervé</t>
  </si>
  <si>
    <t>herve.harmange@geometre-expert.fr</t>
  </si>
  <si>
    <t>harmange.herve@wanadoo.fr</t>
  </si>
  <si>
    <t>HARMANGE</t>
  </si>
  <si>
    <t>aurelien.maurin@geometre-expert.fr</t>
  </si>
  <si>
    <t>MAURIN</t>
  </si>
  <si>
    <t>BIARRITZ</t>
  </si>
  <si>
    <t xml:space="preserve">Cabinet LABAYLE-TROY André</t>
  </si>
  <si>
    <t>andre.labayle-troy@geometre-expert.fr</t>
  </si>
  <si>
    <t>andre.labayle-troy@wanadoo.fr</t>
  </si>
  <si>
    <t>André</t>
  </si>
  <si>
    <t>LABAYLE-TROY</t>
  </si>
  <si>
    <t>BIDACHE</t>
  </si>
  <si>
    <t xml:space="preserve">Cabinet MOLIS Denis</t>
  </si>
  <si>
    <t>denis.molis@geometre-expert.fr</t>
  </si>
  <si>
    <t>molis.geometre-expert@orange.fr</t>
  </si>
  <si>
    <t>MOLIS</t>
  </si>
  <si>
    <t>BIGANOS</t>
  </si>
  <si>
    <t xml:space="preserve">SCP RAYNAUD</t>
  </si>
  <si>
    <t>gael.raynaud@geometre-expert.fr</t>
  </si>
  <si>
    <t>Gaël</t>
  </si>
  <si>
    <t>RAYNAUD</t>
  </si>
  <si>
    <t>BISCARROSSE</t>
  </si>
  <si>
    <t xml:space="preserve">SELARL GEORIZON</t>
  </si>
  <si>
    <t>estelle.beaufils@geometre-expert.fr</t>
  </si>
  <si>
    <t>didier.boury@geometre-expert.fr</t>
  </si>
  <si>
    <t>BEAUFILS</t>
  </si>
  <si>
    <t>BOURY</t>
  </si>
  <si>
    <t>BLAIN</t>
  </si>
  <si>
    <t xml:space="preserve">BCG Géomètres-Experts</t>
  </si>
  <si>
    <t>xavier.barbery@geometre-expert.fr</t>
  </si>
  <si>
    <t>blain@bcg-geometre-expert.fr</t>
  </si>
  <si>
    <t>BARBERY</t>
  </si>
  <si>
    <t>yann.marot@geometre-expert.fr</t>
  </si>
  <si>
    <t>MAROT</t>
  </si>
  <si>
    <t>emilie.guerra@geometre-expert.fr</t>
  </si>
  <si>
    <t>GUERRA</t>
  </si>
  <si>
    <t xml:space="preserve">BLAINVILLE SUR ORNE</t>
  </si>
  <si>
    <t xml:space="preserve">Cabinet LANDRY</t>
  </si>
  <si>
    <t>jean-cedric.landry@geometre-expert.fr</t>
  </si>
  <si>
    <t>accueil@cabinet-landry.fr</t>
  </si>
  <si>
    <t>Jean-Cedric</t>
  </si>
  <si>
    <t>LANDRY</t>
  </si>
  <si>
    <t>BLAYE</t>
  </si>
  <si>
    <t xml:space="preserve">SARL ECTAUR EXPERT</t>
  </si>
  <si>
    <t>anais.betbeder@geometre-expert.fr</t>
  </si>
  <si>
    <t>geometre.blaye@ectaur.fr</t>
  </si>
  <si>
    <t>BETBEDER</t>
  </si>
  <si>
    <t>barbara.eymard@geometre-expert.fr</t>
  </si>
  <si>
    <t>EYMARD</t>
  </si>
  <si>
    <t>philippe.couture@geometre-expert.fr</t>
  </si>
  <si>
    <t>COUTURE</t>
  </si>
  <si>
    <t xml:space="preserve">Cabinet JURIE-FONTEYNE Carolyne</t>
  </si>
  <si>
    <t>carolyne.jurie-fonteyne@geometre-expert.fr</t>
  </si>
  <si>
    <t>carolynejurie@gmail.com</t>
  </si>
  <si>
    <t>Carolyne</t>
  </si>
  <si>
    <t>JURIE-FONTEYNE</t>
  </si>
  <si>
    <t>BLOIS</t>
  </si>
  <si>
    <t xml:space="preserve">MOUGEL Ludovic</t>
  </si>
  <si>
    <t>ludovic.mougel@geometre-expert.fr</t>
  </si>
  <si>
    <t>MOUGEL</t>
  </si>
  <si>
    <t xml:space="preserve">BOEN SUR LIGNON</t>
  </si>
  <si>
    <t xml:space="preserve">SARL Antoine PADEL-GEOMETRE EXPERT</t>
  </si>
  <si>
    <t>antoine.padel@geometre-expert.fr</t>
  </si>
  <si>
    <t>PADEL</t>
  </si>
  <si>
    <t xml:space="preserve">BOIS COLOMBES</t>
  </si>
  <si>
    <t xml:space="preserve">SARL Cabinet CARREAU-COLLOMB</t>
  </si>
  <si>
    <t>fabienne.collomb@geometre-expert.fr</t>
  </si>
  <si>
    <t>contact@carreau-collomb.com</t>
  </si>
  <si>
    <t>COLLOMB</t>
  </si>
  <si>
    <t xml:space="preserve">BOIS GUILLAUME</t>
  </si>
  <si>
    <t xml:space="preserve">EUCLYD GEOMETRES-EXPERTS</t>
  </si>
  <si>
    <t>joel.quenouille@geometre-expert.fr</t>
  </si>
  <si>
    <t>rouen@euclyd.fr</t>
  </si>
  <si>
    <t>Joël</t>
  </si>
  <si>
    <t>QUENOUILLE</t>
  </si>
  <si>
    <t>GE360</t>
  </si>
  <si>
    <t>erwan.quiniou@geometre-expert.fr</t>
  </si>
  <si>
    <t>geometres@ge360.fr</t>
  </si>
  <si>
    <t>QUINIOU</t>
  </si>
  <si>
    <t>etienne.crampon@geometre-expert.fr</t>
  </si>
  <si>
    <t>CRAMPON</t>
  </si>
  <si>
    <t>dominique.pfaff@geometre-expert.fr</t>
  </si>
  <si>
    <t>PFAFF</t>
  </si>
  <si>
    <t>ludovic.dujardin@geometre-expert.fr</t>
  </si>
  <si>
    <t>DUJARDIN</t>
  </si>
  <si>
    <t>richard.dodelin@geometre-expert.fr</t>
  </si>
  <si>
    <t>DODELIN</t>
  </si>
  <si>
    <t>benoit.santus@geometre-expert.fr</t>
  </si>
  <si>
    <t>SANTUS</t>
  </si>
  <si>
    <t>melanie.thomas@geometre-expert.fr</t>
  </si>
  <si>
    <t>Mélanie</t>
  </si>
  <si>
    <t>marine.quiniou@geometre-expert.fr</t>
  </si>
  <si>
    <t>yves.delavigne@geometre-expert.fr</t>
  </si>
  <si>
    <t>DELAVIGNE</t>
  </si>
  <si>
    <t>severine.goujon@geometre-expert.fr</t>
  </si>
  <si>
    <t>Séverine</t>
  </si>
  <si>
    <t>GOUJON</t>
  </si>
  <si>
    <t>ghislain.lefrancois-bellet@geometre-expert.fr</t>
  </si>
  <si>
    <t>Ghislain</t>
  </si>
  <si>
    <t>LEFRANCOIS-BELLET</t>
  </si>
  <si>
    <t>stephanie.hiblot@geometre-expert.fr</t>
  </si>
  <si>
    <t>HIBLOT</t>
  </si>
  <si>
    <t>olivier.jumentier@geometre-expert.fr</t>
  </si>
  <si>
    <t>JUMENTIER</t>
  </si>
  <si>
    <t>karine.dodelin@geometre-expert.fr</t>
  </si>
  <si>
    <t>vincent.combet@geometre-expert.fr</t>
  </si>
  <si>
    <t>COMBET</t>
  </si>
  <si>
    <t xml:space="preserve">BOISSY LE CHATEL</t>
  </si>
  <si>
    <t xml:space="preserve">SELAS SILANDRE</t>
  </si>
  <si>
    <t>michel.silandre@geometre-expert.fr</t>
  </si>
  <si>
    <t>michelsilandre939@orange.fr</t>
  </si>
  <si>
    <t>SILANDRE</t>
  </si>
  <si>
    <t xml:space="preserve">BOISSY ST LEGER</t>
  </si>
  <si>
    <t xml:space="preserve">EURL Cabinet LACREUSE</t>
  </si>
  <si>
    <t>patrick.lacreuse@geometre-expert.fr</t>
  </si>
  <si>
    <t>lacreuse.patrick@wanadoo.fr</t>
  </si>
  <si>
    <t>LACREUSE</t>
  </si>
  <si>
    <t>BOLBEC</t>
  </si>
  <si>
    <t xml:space="preserve">Cabinet LECHENE et Associés</t>
  </si>
  <si>
    <t>stephane.lechene@geometre-expert.fr</t>
  </si>
  <si>
    <t>cabinet@lechene-et-associes.fr</t>
  </si>
  <si>
    <t>LECHENE</t>
  </si>
  <si>
    <t>BORDEAUX</t>
  </si>
  <si>
    <t xml:space="preserve">Cabinet Yann GUENOLE SELARL DE GEOMETRES-EXPERTS</t>
  </si>
  <si>
    <t>yann.guenole@geometre-expert.fr</t>
  </si>
  <si>
    <t>bordeaux.guenole@geometre-expert.fr</t>
  </si>
  <si>
    <t>GUENOLE</t>
  </si>
  <si>
    <t>jean-pascal.riviere@geometre-expert.fr</t>
  </si>
  <si>
    <t>Jean-Pascal</t>
  </si>
  <si>
    <t>RIVIERE</t>
  </si>
  <si>
    <t xml:space="preserve">Cabinet MORELLET Florent URBIS FONCIER</t>
  </si>
  <si>
    <t>florent.morellet@geometre-expert.fr</t>
  </si>
  <si>
    <t>MORELLET</t>
  </si>
  <si>
    <t xml:space="preserve">Cabinet DYKMAN Géomètre-Expert</t>
  </si>
  <si>
    <t>maxime.dykman@geometre-expert.fr</t>
  </si>
  <si>
    <t>contact@dykman-ge.fr</t>
  </si>
  <si>
    <t>DYKMAN</t>
  </si>
  <si>
    <t>christian.lechat@geometre-expert.fr</t>
  </si>
  <si>
    <t>LECHAT</t>
  </si>
  <si>
    <t xml:space="preserve">CABINET ARTHUR GEOMETRE-EXPERT SARL</t>
  </si>
  <si>
    <t>christophe.arthur@geometre-expert.fr</t>
  </si>
  <si>
    <t>cabinet@arthur-geometre.fr</t>
  </si>
  <si>
    <t>ARTHUR</t>
  </si>
  <si>
    <t xml:space="preserve">SELARL GEOFFROY MORENO</t>
  </si>
  <si>
    <t>geoffroy.moreno@geometre-expert.fr</t>
  </si>
  <si>
    <t>MORENO</t>
  </si>
  <si>
    <t>romain.colse@geometre-expert.fr</t>
  </si>
  <si>
    <t>COLSE</t>
  </si>
  <si>
    <t>hugo.crubille@geometre-expert.fr</t>
  </si>
  <si>
    <t>CRUBILLÉ</t>
  </si>
  <si>
    <t xml:space="preserve">VEGEO-EXPERT SARL DE GEOMETRES-EXPERTS</t>
  </si>
  <si>
    <t>vincent.gaiotti@geometre-expert.fr</t>
  </si>
  <si>
    <t>v.gaiotti@vegeo-expert.com</t>
  </si>
  <si>
    <t>GAIOTTI</t>
  </si>
  <si>
    <t>BORDES</t>
  </si>
  <si>
    <t xml:space="preserve">SARL Eric DUREAU</t>
  </si>
  <si>
    <t>eric.dureau@geometre-expert.fr</t>
  </si>
  <si>
    <t>DUREAU</t>
  </si>
  <si>
    <t>BORGO</t>
  </si>
  <si>
    <t xml:space="preserve">SARL CABINET VINCENTI VACHER</t>
  </si>
  <si>
    <t>mireille.vincenti@geometre-expert.fr</t>
  </si>
  <si>
    <t>vincenti.vacher@gmail.com</t>
  </si>
  <si>
    <t>Mireille</t>
  </si>
  <si>
    <t>VINCENTI</t>
  </si>
  <si>
    <t xml:space="preserve">SARL CABINET PIERRE RODRIGUEZ</t>
  </si>
  <si>
    <t>pierre.rodriguez@geometre-expert.fr</t>
  </si>
  <si>
    <t>sas.cabinet.rodriguez@gmail.com</t>
  </si>
  <si>
    <t>RODRIGUEZ</t>
  </si>
  <si>
    <t xml:space="preserve">BOUC BEL AIR</t>
  </si>
  <si>
    <t xml:space="preserve">Cabinet FARGUES SELARL de Géomètres-Experts</t>
  </si>
  <si>
    <t>frederic.fargues@geometre-expert.fr</t>
  </si>
  <si>
    <t>FARGUES</t>
  </si>
  <si>
    <t xml:space="preserve">BOULAY MOSELLE</t>
  </si>
  <si>
    <t xml:space="preserve">Cabinet HELSTROFFER Hervé</t>
  </si>
  <si>
    <t>herve.helstroffer@geometre-expert.fr</t>
  </si>
  <si>
    <t>HELSTROFFER</t>
  </si>
  <si>
    <t xml:space="preserve">BOULOGNE BILLANCOURT</t>
  </si>
  <si>
    <t xml:space="preserve">SELARL MASSON GEOMETRE-EXPERT FONCIER</t>
  </si>
  <si>
    <t>guillaume.masson@geometre-expert.fr</t>
  </si>
  <si>
    <t>MASSON</t>
  </si>
  <si>
    <t>alexis.blaize@geometre-expert.fr</t>
  </si>
  <si>
    <t>BLAIZE</t>
  </si>
  <si>
    <t xml:space="preserve">BOULOGNE SUR MER</t>
  </si>
  <si>
    <t xml:space="preserve">SCP BLEARD-LECOCQ</t>
  </si>
  <si>
    <t>thierry.bleard@geometre-expert.fr</t>
  </si>
  <si>
    <t>Thierry.bleard@bleard-lecocq.fr</t>
  </si>
  <si>
    <t>BLEARD</t>
  </si>
  <si>
    <t>olivier.lecocq@geometre-expert.fr</t>
  </si>
  <si>
    <t>LECOCQ</t>
  </si>
  <si>
    <t>BOULON</t>
  </si>
  <si>
    <t>MGEX</t>
  </si>
  <si>
    <t>jean-charles.mesenge@geometre-expert.fr</t>
  </si>
  <si>
    <t>mesenge@cabinet-mgex.fr</t>
  </si>
  <si>
    <t>MESENGE</t>
  </si>
  <si>
    <t xml:space="preserve">BOURG DE PEAGE</t>
  </si>
  <si>
    <t xml:space="preserve">AXV GEOMETRES-EXPERTS</t>
  </si>
  <si>
    <t>nicolas.cheneau@geometre-expert.fr</t>
  </si>
  <si>
    <t>CHENEAU</t>
  </si>
  <si>
    <t xml:space="preserve">BOURG EN BRESSE</t>
  </si>
  <si>
    <t xml:space="preserve">Johan PERRIN SELASU DE GEOMETRES-EXPERTS</t>
  </si>
  <si>
    <t>johan.perrin@geometre-expert.fr</t>
  </si>
  <si>
    <t>PERRIN</t>
  </si>
  <si>
    <t xml:space="preserve">Cabinet CHANEL GRAND SELARL de géomètres-experts</t>
  </si>
  <si>
    <t>bogdan.grand@geometre-expert.fr</t>
  </si>
  <si>
    <t>chanel.grand@geometre-expert.fr</t>
  </si>
  <si>
    <t>Bogdan</t>
  </si>
  <si>
    <t>GRAND</t>
  </si>
  <si>
    <t xml:space="preserve">BOURG LA REINE</t>
  </si>
  <si>
    <t xml:space="preserve">Cabinet BLOMME Philippe</t>
  </si>
  <si>
    <t>philippe.blomme@geometre-expert.fr</t>
  </si>
  <si>
    <t>blomme.geometre.expert@wanadoo.fr</t>
  </si>
  <si>
    <t>BLOMME</t>
  </si>
  <si>
    <t xml:space="preserve">Cabinet BOUDET Gérard</t>
  </si>
  <si>
    <t>gerard.boudet@geometre-expert.fr</t>
  </si>
  <si>
    <t>boudetg@wanadoo.fr</t>
  </si>
  <si>
    <t>Gérard</t>
  </si>
  <si>
    <t>BOUDET</t>
  </si>
  <si>
    <t xml:space="preserve">BOURG ST ANDEOL</t>
  </si>
  <si>
    <t xml:space="preserve">Cabinet MIOTTO Thomas</t>
  </si>
  <si>
    <t>thomas.miotto@geometre-expert.fr</t>
  </si>
  <si>
    <t>thomas.miotto@orange.fr</t>
  </si>
  <si>
    <t>MIOTTO</t>
  </si>
  <si>
    <t>BOURGES</t>
  </si>
  <si>
    <t xml:space="preserve">EXPERT METRIC SAS</t>
  </si>
  <si>
    <t>nicolas.wallois@geometre-expert.fr</t>
  </si>
  <si>
    <t>WALLOIS</t>
  </si>
  <si>
    <t xml:space="preserve">Cabinet GRAS Dominique</t>
  </si>
  <si>
    <t>dominique.gras@geometre-expert.fr</t>
  </si>
  <si>
    <t>cabinet.gras@club-internet.fr</t>
  </si>
  <si>
    <t>GRAS</t>
  </si>
  <si>
    <t xml:space="preserve">BOURGOIN JALLIEU</t>
  </si>
  <si>
    <t xml:space="preserve">SELARL Abaque Cabinet LEVIN Géomètres-Experts</t>
  </si>
  <si>
    <t>augustin.levin@geometre-expert.fr</t>
  </si>
  <si>
    <t>abaque-geometre@wanadoo.fr</t>
  </si>
  <si>
    <t>LEVIN</t>
  </si>
  <si>
    <t xml:space="preserve">SELARL ABSCISSE Cabinet de Géomètres-Experts</t>
  </si>
  <si>
    <t>gilles.buisson@geometre-expert.fr</t>
  </si>
  <si>
    <t>contact@abscisse-ge.com</t>
  </si>
  <si>
    <t>BUISSON</t>
  </si>
  <si>
    <t>jean-christophe.devin@geometre-expert.fr</t>
  </si>
  <si>
    <t>DEVIN</t>
  </si>
  <si>
    <t>romain.garnier@geometre-expert.fr</t>
  </si>
  <si>
    <t>GARNIER</t>
  </si>
  <si>
    <t>BOUZIGUES</t>
  </si>
  <si>
    <t xml:space="preserve">SELARL C.E.A.U. Cab d'Etudes, d'aménagement et d'urba</t>
  </si>
  <si>
    <t>ludovic.joury@geometre-expert.fr</t>
  </si>
  <si>
    <t>meze@ceau.fr</t>
  </si>
  <si>
    <t>JOURY</t>
  </si>
  <si>
    <t>gregory.poirier@geometre-expert.fr</t>
  </si>
  <si>
    <t>POIRIER</t>
  </si>
  <si>
    <t>gregory.marmu@geometre-expert.fr</t>
  </si>
  <si>
    <t>MARMU</t>
  </si>
  <si>
    <t>BRANNE</t>
  </si>
  <si>
    <t xml:space="preserve">SELARL CLUZANT Gilles</t>
  </si>
  <si>
    <t>gilles.cluzant@geometre-expert.fr</t>
  </si>
  <si>
    <t>contact@cluzantgeometre.com</t>
  </si>
  <si>
    <t>CLUZANT</t>
  </si>
  <si>
    <t xml:space="preserve">BRANTOME EN PERIGORD</t>
  </si>
  <si>
    <t xml:space="preserve">BONNETEAU SELARL</t>
  </si>
  <si>
    <t>loic.bonneteau@geometre-expert.fr</t>
  </si>
  <si>
    <t>Loïc</t>
  </si>
  <si>
    <t>BONNETEAU</t>
  </si>
  <si>
    <t xml:space="preserve">BRAS PANON</t>
  </si>
  <si>
    <t xml:space="preserve">SARL TOPEX</t>
  </si>
  <si>
    <t>jimmy.collangette@geometre-expert.fr</t>
  </si>
  <si>
    <t>COLLANGETTE</t>
  </si>
  <si>
    <t>BRAUX</t>
  </si>
  <si>
    <t xml:space="preserve">GEO NATURE</t>
  </si>
  <si>
    <t>benoit.grac@geometre-expert.fr</t>
  </si>
  <si>
    <t>GRAC</t>
  </si>
  <si>
    <t xml:space="preserve">BRAY SUR SEINE</t>
  </si>
  <si>
    <t xml:space="preserve">SELARL CABINET DELASSUS</t>
  </si>
  <si>
    <t>philippe.delassus@geometre-expert.fr</t>
  </si>
  <si>
    <t>geometredelassus@wanadoo.fr</t>
  </si>
  <si>
    <t>DELASSUS</t>
  </si>
  <si>
    <t>BRESSUIRE</t>
  </si>
  <si>
    <t xml:space="preserve">ALPHA GEOMETRE  SELARL</t>
  </si>
  <si>
    <t>marie.loiseau@geometre-expert.fr</t>
  </si>
  <si>
    <t>contact@alpha-geometre.fr</t>
  </si>
  <si>
    <t>LOISEAU</t>
  </si>
  <si>
    <t>BREST</t>
  </si>
  <si>
    <t xml:space="preserve">SASU Cabinet QUENAON Régis</t>
  </si>
  <si>
    <t>regis.quenaon@geometre-expert.fr</t>
  </si>
  <si>
    <t>Régis</t>
  </si>
  <si>
    <t>QUENAON</t>
  </si>
  <si>
    <t xml:space="preserve">SELAS KIBLER</t>
  </si>
  <si>
    <t>maiwenn.keryelleven@geometre-expert.fr</t>
  </si>
  <si>
    <t>kibler.geometre-expert@wanadoo.fr</t>
  </si>
  <si>
    <t>Maiwenn</t>
  </si>
  <si>
    <t>KERYELL-EVEN</t>
  </si>
  <si>
    <t xml:space="preserve">Cabinet LECLERC Eric</t>
  </si>
  <si>
    <t>eric.leclerc@geometre-expert.fr</t>
  </si>
  <si>
    <t>geolec@gmail.com</t>
  </si>
  <si>
    <t>LECLERC</t>
  </si>
  <si>
    <t xml:space="preserve">BRETTEVILLE SUR ODON</t>
  </si>
  <si>
    <t xml:space="preserve">GEODIS Société de Géomètres-Experts</t>
  </si>
  <si>
    <t>arnaud.fremont@geometre-expert.fr</t>
  </si>
  <si>
    <t>geodis@geodis-ge.com</t>
  </si>
  <si>
    <t>FREMONT</t>
  </si>
  <si>
    <t>alexis.elisabeth@geometre-expert.fr</t>
  </si>
  <si>
    <t>ELISABETH</t>
  </si>
  <si>
    <t>martin.auber@geometre-expert.fr</t>
  </si>
  <si>
    <t>AUBER</t>
  </si>
  <si>
    <t>samuel.pitiot@geometre-expert.fr</t>
  </si>
  <si>
    <t>PITIOT</t>
  </si>
  <si>
    <t>philippe.fruitiere@geometre-expert.fr</t>
  </si>
  <si>
    <t>FRUITIERE</t>
  </si>
  <si>
    <t>BRIANCON</t>
  </si>
  <si>
    <t xml:space="preserve">SCP BENOIT DUCHATEL</t>
  </si>
  <si>
    <t>benoit.duchatel@geometre-expert.fr</t>
  </si>
  <si>
    <t>scp.maynadier.duchatel@orange.fr</t>
  </si>
  <si>
    <t>DUCHATEL</t>
  </si>
  <si>
    <t>BRIGNOLES</t>
  </si>
  <si>
    <t xml:space="preserve">HENNEBICQUE - DELBASSE</t>
  </si>
  <si>
    <t>jerome.delbasse@geometre-expert.fr</t>
  </si>
  <si>
    <t>DELBASSE</t>
  </si>
  <si>
    <t xml:space="preserve">BRIVE LA GAILLARDE</t>
  </si>
  <si>
    <t xml:space="preserve">SARL Florence CORGNET</t>
  </si>
  <si>
    <t>florence.corgnet@geometre-expert.fr</t>
  </si>
  <si>
    <t>florence.corgnet@wanadoo.fr</t>
  </si>
  <si>
    <t>CORGNET</t>
  </si>
  <si>
    <t xml:space="preserve">SARL A2GEO</t>
  </si>
  <si>
    <t>loic.deplace@geometre-expert.fr</t>
  </si>
  <si>
    <t>contact@a2geo.fr</t>
  </si>
  <si>
    <t>DEPLACE</t>
  </si>
  <si>
    <t xml:space="preserve">SELAS SOTEC PLANS</t>
  </si>
  <si>
    <t>denis.lachaud@geometre-expert.fr</t>
  </si>
  <si>
    <t>geometre.expert@sotecplans.com</t>
  </si>
  <si>
    <t>LACHAUD</t>
  </si>
  <si>
    <t>alexandre.cazaux@geometre-expert.fr</t>
  </si>
  <si>
    <t>CAZAUX</t>
  </si>
  <si>
    <t>BRUMATH</t>
  </si>
  <si>
    <t xml:space="preserve">SELARL Julien CARBIENER</t>
  </si>
  <si>
    <t>julien.carbiener@geometre-expert.fr</t>
  </si>
  <si>
    <t>CARBIENER</t>
  </si>
  <si>
    <t>BRUZ</t>
  </si>
  <si>
    <t xml:space="preserve">EURL 1TERRAIN</t>
  </si>
  <si>
    <t>frederic.boyer@geometre-expert.fr</t>
  </si>
  <si>
    <t>contact@1terrain.fr</t>
  </si>
  <si>
    <t>BOYER</t>
  </si>
  <si>
    <t>BUZANCAIS</t>
  </si>
  <si>
    <t xml:space="preserve">SARL GEOTOP 97</t>
  </si>
  <si>
    <t>jean-charles.dayot@geometre-expert.fr</t>
  </si>
  <si>
    <t>DAYOT</t>
  </si>
  <si>
    <t xml:space="preserve">CAGNES SUR MER</t>
  </si>
  <si>
    <t xml:space="preserve">SAS ALTA VISION</t>
  </si>
  <si>
    <t>nicolas.fiker@geometre-expert.fr</t>
  </si>
  <si>
    <t>altavision@geometre-expert.fr</t>
  </si>
  <si>
    <t>FIKER</t>
  </si>
  <si>
    <t xml:space="preserve">SEGC SELAS DE GEOMETRES EXPERTS</t>
  </si>
  <si>
    <t>jean-nicolas.passeron@geometre-expert.fr</t>
  </si>
  <si>
    <t>Jean-Nicolas</t>
  </si>
  <si>
    <t>PASSERON</t>
  </si>
  <si>
    <t xml:space="preserve">SARL AZUR FONCIER CONSEIL</t>
  </si>
  <si>
    <t>pascal.chargelegue@geometre-expert.fr</t>
  </si>
  <si>
    <t>contact@afc.geometre-expert.fr</t>
  </si>
  <si>
    <t>CHARGELEGUE</t>
  </si>
  <si>
    <t>CAHORS</t>
  </si>
  <si>
    <t xml:space="preserve">EURL AREAGEO</t>
  </si>
  <si>
    <t>lionel.gay@geometre-expert.fr</t>
  </si>
  <si>
    <t>GAY</t>
  </si>
  <si>
    <t xml:space="preserve">Cabinet BONNET &amp;amp; Associés SELARL</t>
  </si>
  <si>
    <t>frederic.bonnet@geometre-expert.fr</t>
  </si>
  <si>
    <t>fb@cabinetbonnet.com</t>
  </si>
  <si>
    <t>BONNET</t>
  </si>
  <si>
    <t>CALAIS</t>
  </si>
  <si>
    <t xml:space="preserve">SELAS BPH GEOMETRES EXPERTS</t>
  </si>
  <si>
    <t>thierry.pruvost@geometre-expert.fr</t>
  </si>
  <si>
    <t>tpruvost@geometre.net</t>
  </si>
  <si>
    <t>PRUVOST</t>
  </si>
  <si>
    <t>philippe.herbaut@geometre-expert.fr</t>
  </si>
  <si>
    <t>HERBAUT</t>
  </si>
  <si>
    <t xml:space="preserve">CALUIRE ET CUIRE</t>
  </si>
  <si>
    <t xml:space="preserve">SARL MESURES et SOLUTIONS</t>
  </si>
  <si>
    <t>jean-yves.lozano@geometre-expert.fr</t>
  </si>
  <si>
    <t>LOZANO</t>
  </si>
  <si>
    <t xml:space="preserve">CAMARET SUR AIGUES</t>
  </si>
  <si>
    <t xml:space="preserve">SELARL Olivier BETARD</t>
  </si>
  <si>
    <t>olivier.betard@geometre-expert.fr</t>
  </si>
  <si>
    <t>cabinet.betard@geometre-expert.fr</t>
  </si>
  <si>
    <t>BETARD</t>
  </si>
  <si>
    <t>CAMARSAC</t>
  </si>
  <si>
    <t xml:space="preserve">Cabinet DESCHAMPS Jean-Marc</t>
  </si>
  <si>
    <t>jean-marc.deschamps@geometre-expert.fr</t>
  </si>
  <si>
    <t>jeanmarc.deschamps53@sfr.fr</t>
  </si>
  <si>
    <t>DESCHAMPS</t>
  </si>
  <si>
    <t xml:space="preserve">CAMBO LES BAINS</t>
  </si>
  <si>
    <t xml:space="preserve">Cabinet Gilles DUFOURCQ EURL</t>
  </si>
  <si>
    <t>gilles.dufourcq@geometre-expert.fr</t>
  </si>
  <si>
    <t>DUFOURCQ</t>
  </si>
  <si>
    <t>CANNES</t>
  </si>
  <si>
    <t xml:space="preserve">SELARL CABINET ROUANET</t>
  </si>
  <si>
    <t>adrien.rouanet@geometre-expert.fr</t>
  </si>
  <si>
    <t>cabinet.rouanet@geometre-expert.fr</t>
  </si>
  <si>
    <t>ROUANET</t>
  </si>
  <si>
    <t xml:space="preserve">SELARL PYTHAGORE</t>
  </si>
  <si>
    <t>david.pierrot@geometre-expert.fr</t>
  </si>
  <si>
    <t>david.pierrot@pythagore.ge</t>
  </si>
  <si>
    <t>PIERROT</t>
  </si>
  <si>
    <t>robin.bruna@geometre-expert.fr</t>
  </si>
  <si>
    <t>BRUNA</t>
  </si>
  <si>
    <t xml:space="preserve">CAPDENAC GARE</t>
  </si>
  <si>
    <t xml:space="preserve">SARL EXPERTS GEO</t>
  </si>
  <si>
    <t>philippe.geny@geometre-expert.fr</t>
  </si>
  <si>
    <t>contact@expertsgeo.fr</t>
  </si>
  <si>
    <t>GENY</t>
  </si>
  <si>
    <t>olivier.bousquet@geometre-expert.fr</t>
  </si>
  <si>
    <t>BOUSQUET</t>
  </si>
  <si>
    <t>aimery.vernhes@geometre-expert.fr</t>
  </si>
  <si>
    <t>Aimery</t>
  </si>
  <si>
    <t>VERNHES</t>
  </si>
  <si>
    <t>mathieu.savignac@geometre-expert.fr</t>
  </si>
  <si>
    <t>SAVIGNAC</t>
  </si>
  <si>
    <t>CARBONNE</t>
  </si>
  <si>
    <t xml:space="preserve">G.O.METRES SARL</t>
  </si>
  <si>
    <t>olivier.castex@geometre-expert.fr</t>
  </si>
  <si>
    <t>g.o.metres@orange.fr</t>
  </si>
  <si>
    <t>CASTEX</t>
  </si>
  <si>
    <t>julien.demandiargues@geometre-expert.fr</t>
  </si>
  <si>
    <t>PIEYRE</t>
  </si>
  <si>
    <t>CARCASSONNE</t>
  </si>
  <si>
    <t xml:space="preserve">SAS Cabinet BRAHEM- GUENERET</t>
  </si>
  <si>
    <t>thomas.gueneret@geometre-expert.fr</t>
  </si>
  <si>
    <t>secretariat@gueneret.fr</t>
  </si>
  <si>
    <t>GUENERET</t>
  </si>
  <si>
    <t>jerome.brahem@geometre-expert.fr</t>
  </si>
  <si>
    <t>BRAHEM</t>
  </si>
  <si>
    <t xml:space="preserve">CARHAIX PLOUGUER</t>
  </si>
  <si>
    <t xml:space="preserve">EURL RENEVOT Didier Géomètre-Expert Foncier DPLG</t>
  </si>
  <si>
    <t>didier.renevot@geometre-expert.fr</t>
  </si>
  <si>
    <t>RENEVOT</t>
  </si>
  <si>
    <t>CARPENTRAS</t>
  </si>
  <si>
    <t xml:space="preserve">SELARL Cabinet ARGENCE</t>
  </si>
  <si>
    <t>sophie.argence@geometre-expert.fr</t>
  </si>
  <si>
    <t>contact-argence@groupe314.fr</t>
  </si>
  <si>
    <t>ARGENCE</t>
  </si>
  <si>
    <t xml:space="preserve">SELARL Cabinet GRIMONT</t>
  </si>
  <si>
    <t>sylvain.fautrelle@geometre-expert.fr</t>
  </si>
  <si>
    <t>contact@cabinet-grimont.fr</t>
  </si>
  <si>
    <t>FAUTRELLE</t>
  </si>
  <si>
    <t>CARQUEIRANNE</t>
  </si>
  <si>
    <t xml:space="preserve">SASU GEXXIA</t>
  </si>
  <si>
    <t>christophe.sergeant@geometre-expert.fr</t>
  </si>
  <si>
    <t>SERGEANT</t>
  </si>
  <si>
    <t>CASTELNAUDARY</t>
  </si>
  <si>
    <t xml:space="preserve">SARL DARI</t>
  </si>
  <si>
    <t>daniel.lautie@geometre-expert.fr</t>
  </si>
  <si>
    <t>geometre-expert.dari@bbox.fr</t>
  </si>
  <si>
    <t>LAUTIÉ</t>
  </si>
  <si>
    <t xml:space="preserve">SARL CABINET LEFEVRE</t>
  </si>
  <si>
    <t>laure-marie.lefevre@geometre-expert.fr</t>
  </si>
  <si>
    <t>benoit@lefevre-geometre.fr</t>
  </si>
  <si>
    <t>Laure-Marie</t>
  </si>
  <si>
    <t>benoit.lefevre@geometre-expert.fr</t>
  </si>
  <si>
    <t>LEFEVRE</t>
  </si>
  <si>
    <t>CASTRES</t>
  </si>
  <si>
    <t xml:space="preserve">SELAS GEO SUD OUEST</t>
  </si>
  <si>
    <t>philippe.fabre@geometre-expert.fr</t>
  </si>
  <si>
    <t>castres@geo-sud-ouest.fr</t>
  </si>
  <si>
    <t>FABRE</t>
  </si>
  <si>
    <t>aurelien.veaute@geometre-expert.fr</t>
  </si>
  <si>
    <t>VEAUTE</t>
  </si>
  <si>
    <t>franck.gilg@geometre-expert.fr</t>
  </si>
  <si>
    <t>GILG</t>
  </si>
  <si>
    <t>steeve.mauviel@geometre-expert.fr</t>
  </si>
  <si>
    <t>MAUVIEL</t>
  </si>
  <si>
    <t>thomas.bardin@geometre-expert.fr</t>
  </si>
  <si>
    <t>BARDIN</t>
  </si>
  <si>
    <t xml:space="preserve">SAS OFFROY</t>
  </si>
  <si>
    <t>francis.offroy@geometre-expert.fr</t>
  </si>
  <si>
    <t>offroyfrancis@wanadoo.fr</t>
  </si>
  <si>
    <t>OFFROY</t>
  </si>
  <si>
    <t>christophe.duhem@geometre-expert.fr</t>
  </si>
  <si>
    <t>DUHEM</t>
  </si>
  <si>
    <t>jeremie.latge@geometre-expert.fr</t>
  </si>
  <si>
    <t>Jérémie</t>
  </si>
  <si>
    <t>LATGE</t>
  </si>
  <si>
    <t>clemence.debesselle@geometre-expert.fr</t>
  </si>
  <si>
    <t>DEBESSELLE</t>
  </si>
  <si>
    <t>sebastien.nunes@geometre-expert.fr</t>
  </si>
  <si>
    <t>NUNES</t>
  </si>
  <si>
    <t>lionel.guillet@geometre-expert.fr</t>
  </si>
  <si>
    <t>GUILLET</t>
  </si>
  <si>
    <t>CASTRIES</t>
  </si>
  <si>
    <t xml:space="preserve">SELARL BBASS BOTTRAUD BARBAROUX ASSOCIES</t>
  </si>
  <si>
    <t>jonatana.rasolofono@geometre-expert.fr</t>
  </si>
  <si>
    <t>geometre-castries@bbass.fr</t>
  </si>
  <si>
    <t>Jonatana</t>
  </si>
  <si>
    <t>RASOLOFONOMENJANAHARY</t>
  </si>
  <si>
    <t>florent.authie@geometre-expert.fr</t>
  </si>
  <si>
    <t>AUTHIE</t>
  </si>
  <si>
    <t>francois.bottraud@geometre-expert.fr</t>
  </si>
  <si>
    <t>BOTTRAUD</t>
  </si>
  <si>
    <t>maxime.most@geometre-expert.fr</t>
  </si>
  <si>
    <t>MOST</t>
  </si>
  <si>
    <t>noemie.charpy@geometre-expert.fr</t>
  </si>
  <si>
    <t>Noémie</t>
  </si>
  <si>
    <t>CHARPY</t>
  </si>
  <si>
    <t>CAVAILLON</t>
  </si>
  <si>
    <t xml:space="preserve">Cabinet CARLIN Michel</t>
  </si>
  <si>
    <t>michel.carlin@geometre-expert.fr</t>
  </si>
  <si>
    <t>michel.carlin@free.fr</t>
  </si>
  <si>
    <t>CARLIN</t>
  </si>
  <si>
    <t xml:space="preserve">SELARL CABINET GEO-EXPERTS</t>
  </si>
  <si>
    <t>damien.desplats@geometre-expert.fr</t>
  </si>
  <si>
    <t>contact@geo-experts.fr</t>
  </si>
  <si>
    <t>DESPLATS</t>
  </si>
  <si>
    <t xml:space="preserve">CAVALAIRE SUR MER</t>
  </si>
  <si>
    <t xml:space="preserve">SCP Serge HEMERY</t>
  </si>
  <si>
    <t>serge.hemery@geometre-expert.fr</t>
  </si>
  <si>
    <t>scp.hemery@wanadoo.fr</t>
  </si>
  <si>
    <t>HEMERY</t>
  </si>
  <si>
    <t>CELLETTES</t>
  </si>
  <si>
    <t xml:space="preserve">Cabinet DUMONT Pascal</t>
  </si>
  <si>
    <t>pascal.dumont@geometre-expert.fr</t>
  </si>
  <si>
    <t>geometre.dumont@orange.fr</t>
  </si>
  <si>
    <t>DUMONT</t>
  </si>
  <si>
    <t>CERGY</t>
  </si>
  <si>
    <t xml:space="preserve">SCP BRIER - DEUTSCH</t>
  </si>
  <si>
    <t>bertrand.deutsch@geometre-expert.fr</t>
  </si>
  <si>
    <t>brier.deutsch@orange.fr</t>
  </si>
  <si>
    <t>DEUTSCH</t>
  </si>
  <si>
    <t>CERNAY</t>
  </si>
  <si>
    <t xml:space="preserve">GEOMETRES-EXPERTS ORTLIEB-PRETRE GEOP</t>
  </si>
  <si>
    <t>hubert.ortlieb@geometre-expert.fr</t>
  </si>
  <si>
    <t>contact@geop.xyz</t>
  </si>
  <si>
    <t>ORTLIEB</t>
  </si>
  <si>
    <t>nicolas.pretre@geometre-expert.fr</t>
  </si>
  <si>
    <t>PRETRE</t>
  </si>
  <si>
    <t>CESSON</t>
  </si>
  <si>
    <t xml:space="preserve">SCOP COGERAT</t>
  </si>
  <si>
    <t>bruno.canipel@geometre-expert.fr</t>
  </si>
  <si>
    <t>cogerat@cogerat.fr</t>
  </si>
  <si>
    <t>CANIPEL</t>
  </si>
  <si>
    <t>xavier.fine@geometre-expert.fr</t>
  </si>
  <si>
    <t>FINE</t>
  </si>
  <si>
    <t xml:space="preserve">CESSON SEVIGNE</t>
  </si>
  <si>
    <t xml:space="preserve">SASU 3DMG</t>
  </si>
  <si>
    <t>matthieu.grenier@geometre-expert.fr</t>
  </si>
  <si>
    <t>GRENIER</t>
  </si>
  <si>
    <t>CESSY</t>
  </si>
  <si>
    <t xml:space="preserve">SARL LACHENAL GEOMETRE-EXPERT Sarl à associé unique</t>
  </si>
  <si>
    <t>marie-estelle.lachenal@geometre-expert.fr</t>
  </si>
  <si>
    <t>me.lachenal-ge@europamel.net</t>
  </si>
  <si>
    <t>Marie-Estelle</t>
  </si>
  <si>
    <t>LACHENAL</t>
  </si>
  <si>
    <t>CHALLANS</t>
  </si>
  <si>
    <t xml:space="preserve">CESBRON TOPO CONCEPT Géomètre-Expert DPLG</t>
  </si>
  <si>
    <t>hugues.cesbron@geometre-expert.fr</t>
  </si>
  <si>
    <t>accueil@cesbrongeometre.fr</t>
  </si>
  <si>
    <t>CESBRON</t>
  </si>
  <si>
    <t>CHAMBERY</t>
  </si>
  <si>
    <t xml:space="preserve">SCP GEODE GEOMETRES-EXPERTS</t>
  </si>
  <si>
    <t>stephane.joly@geometre-expert.fr</t>
  </si>
  <si>
    <t>chambery@geode.cc</t>
  </si>
  <si>
    <t>JOLY</t>
  </si>
  <si>
    <t>frederic.dumont@geometre-expert.fr</t>
  </si>
  <si>
    <t xml:space="preserve">EURÊKA SAS DE GEOMETRES-EXPERTS</t>
  </si>
  <si>
    <t>david.lemarie@geometre-expert.fr</t>
  </si>
  <si>
    <t>contact@eureka-ge.fr</t>
  </si>
  <si>
    <t>LEMARIÉ</t>
  </si>
  <si>
    <t>aurelie.brunaud@geometre-expert.fr</t>
  </si>
  <si>
    <t>Aurélie</t>
  </si>
  <si>
    <t>BRUNAUD</t>
  </si>
  <si>
    <t>aline.joly@geometre-expert.fr</t>
  </si>
  <si>
    <t xml:space="preserve">CHAMONIX MONT BLANC</t>
  </si>
  <si>
    <t xml:space="preserve">SELARL GEO MESURE Thomas COUVERT et Hèlène COUVERT Géomètres-Experts</t>
  </si>
  <si>
    <t>thomas.couvert@geometre-expert.fr</t>
  </si>
  <si>
    <t>geomesure@wanadoo.fr</t>
  </si>
  <si>
    <t>COUVERT</t>
  </si>
  <si>
    <t>helene.couvert-vaissiere@geometre-expert.fr</t>
  </si>
  <si>
    <t>COUVERT-VAISSIERE</t>
  </si>
  <si>
    <t>CHAMPAGNOLE</t>
  </si>
  <si>
    <t xml:space="preserve">SARL Cabinet Olivier COLIN</t>
  </si>
  <si>
    <t>marie-laure.locu-charlier@geometre-expert.fr</t>
  </si>
  <si>
    <t>contact@colin-associes.fr</t>
  </si>
  <si>
    <t>LOCU-CHARLIER</t>
  </si>
  <si>
    <t>olivier.colin@geometre-expert.fr</t>
  </si>
  <si>
    <t>CHAMPIGNY</t>
  </si>
  <si>
    <t xml:space="preserve">SELARL TERRA GÉOMÈTRES EXPERTS -51</t>
  </si>
  <si>
    <t>pierre.matthieu@geometre-expert.fr</t>
  </si>
  <si>
    <t>reims@drm-ge.fr</t>
  </si>
  <si>
    <t>MATTHIEU</t>
  </si>
  <si>
    <t>julien.miramon@geometre-expert.fr</t>
  </si>
  <si>
    <t>MIRAMON</t>
  </si>
  <si>
    <t>pierre-yves.remy@geometre-expert.fr</t>
  </si>
  <si>
    <t>REMY</t>
  </si>
  <si>
    <t xml:space="preserve">CHAMPS SUR MARNE</t>
  </si>
  <si>
    <t xml:space="preserve">IMMOGEO EXPERT</t>
  </si>
  <si>
    <t>joel.caire@geometre-expert.fr</t>
  </si>
  <si>
    <t>CAIRE</t>
  </si>
  <si>
    <t>CHANGE</t>
  </si>
  <si>
    <t xml:space="preserve">KALIGEO SELARL de Géomètres-Experts</t>
  </si>
  <si>
    <t>celine.cornillet@geometre-expert.fr</t>
  </si>
  <si>
    <t>laval@kaligeo.fr</t>
  </si>
  <si>
    <t>CORNILLET</t>
  </si>
  <si>
    <t>franck.leboulanger@geometre-expert.fr</t>
  </si>
  <si>
    <t xml:space="preserve">CHARLEVILLE MEZIERES</t>
  </si>
  <si>
    <t xml:space="preserve">SARL Cabinet BERG MARCONNET Géomètre-Expert</t>
  </si>
  <si>
    <t>david.berg@geometre-expert.fr</t>
  </si>
  <si>
    <t>contact@bm-geometre.fr</t>
  </si>
  <si>
    <t>BERG</t>
  </si>
  <si>
    <t xml:space="preserve">SELARL DELALOI Géomètres-Experts Associés</t>
  </si>
  <si>
    <t>christophe.delaloi@geometre-expert.fr</t>
  </si>
  <si>
    <t>contact@delaloi.fr</t>
  </si>
  <si>
    <t>DELALOI</t>
  </si>
  <si>
    <t xml:space="preserve">CABINET VANNIER GEOMETRE-EXPERT SELARL</t>
  </si>
  <si>
    <t>olivier.vannier@geometre-expert.fr</t>
  </si>
  <si>
    <t>cabinet-vannier@wanadoo.fr</t>
  </si>
  <si>
    <t>VANNIER</t>
  </si>
  <si>
    <t>nathalie.delaloi@geometre-expert.fr</t>
  </si>
  <si>
    <t>DELALOI-DARGENT</t>
  </si>
  <si>
    <t xml:space="preserve">CHATEAU GONTIER SUR MAYENNE</t>
  </si>
  <si>
    <t xml:space="preserve">LANGEVIN Harry SARL de Géomètres-Experts</t>
  </si>
  <si>
    <t>harry.langevin@geometre-expert.fr</t>
  </si>
  <si>
    <t>langevin.geometre@orange.fr</t>
  </si>
  <si>
    <t>Harry</t>
  </si>
  <si>
    <t>LANGEVIN</t>
  </si>
  <si>
    <t xml:space="preserve">CHATEAU LANDON</t>
  </si>
  <si>
    <t xml:space="preserve">Cabinet FROT François</t>
  </si>
  <si>
    <t>francois.frot@geometre-expert.fr</t>
  </si>
  <si>
    <t>frot.geometre@wanadoo.fr</t>
  </si>
  <si>
    <t>FROT</t>
  </si>
  <si>
    <t xml:space="preserve">CHATEAU THIERRY</t>
  </si>
  <si>
    <t xml:space="preserve">Rodolphe CHOLLET Associés SELARL de géomètres-experts</t>
  </si>
  <si>
    <t>rodolphe.chollet@geometre-expert.fr</t>
  </si>
  <si>
    <t>rchollet@chollet-ge.fr</t>
  </si>
  <si>
    <t>CHOLLET</t>
  </si>
  <si>
    <t>CHATEAUDUN</t>
  </si>
  <si>
    <t xml:space="preserve">SELARL CABINET ESNAULT GEOMETRE-EXPERT</t>
  </si>
  <si>
    <t>david.esnault@geometre-expert.fr</t>
  </si>
  <si>
    <t>cabinet.esnault@gmail.com</t>
  </si>
  <si>
    <t>ESNAULT</t>
  </si>
  <si>
    <t xml:space="preserve">CHATEAUNEUF SUR LOIRE</t>
  </si>
  <si>
    <t xml:space="preserve">SASU SOUESME</t>
  </si>
  <si>
    <t>benoit.souesme@geometre-expert.fr</t>
  </si>
  <si>
    <t>benoit.souesme@cabinetsouesme.fr</t>
  </si>
  <si>
    <t>SOUESME</t>
  </si>
  <si>
    <t xml:space="preserve">CHATEAUNEUF VAL ST DONAT</t>
  </si>
  <si>
    <t xml:space="preserve">SARL GEOMETRE EN PROVENCE</t>
  </si>
  <si>
    <t>karine.schatteman@geometre-expert.fr</t>
  </si>
  <si>
    <t>gep@geometre-expert.fr</t>
  </si>
  <si>
    <t>SCHATTEMAN</t>
  </si>
  <si>
    <t>CHATEAURENARD</t>
  </si>
  <si>
    <t xml:space="preserve">SELARL CONSTANTIN PITRAT</t>
  </si>
  <si>
    <t>pierre.pitrat@geometre-expert.fr</t>
  </si>
  <si>
    <t>geometre.chateaurenard@orange.fr</t>
  </si>
  <si>
    <t>PITRAT</t>
  </si>
  <si>
    <t>jordan.constantin@geometre-expert.fr</t>
  </si>
  <si>
    <t>CONSTANTIN</t>
  </si>
  <si>
    <t>CHATEAUROUX</t>
  </si>
  <si>
    <t xml:space="preserve">Cabinet CHICHERY Germain</t>
  </si>
  <si>
    <t>germain.chichery@geometre-expert.fr</t>
  </si>
  <si>
    <t>CHICHERY</t>
  </si>
  <si>
    <t>CHATELLERAULT</t>
  </si>
  <si>
    <t xml:space="preserve">AGEA GIRAUD LAVRARD</t>
  </si>
  <si>
    <t>thibaut.giraud@geometre-expert.fr</t>
  </si>
  <si>
    <t>contact@age-a.fr</t>
  </si>
  <si>
    <t>GIRAUD</t>
  </si>
  <si>
    <t>sylvain.lavrard@geometre-expert.fr</t>
  </si>
  <si>
    <t>LAVRARD-MEYER</t>
  </si>
  <si>
    <t xml:space="preserve">SUREAU Pascal SARL</t>
  </si>
  <si>
    <t>pascal.sureau@geometre-expert.fr</t>
  </si>
  <si>
    <t>chardonnet-sureau@wanadoo.fr</t>
  </si>
  <si>
    <t>SUREAU</t>
  </si>
  <si>
    <t xml:space="preserve">CHATILLON SUR SEINE</t>
  </si>
  <si>
    <t xml:space="preserve">SARL GEOCONSEIL</t>
  </si>
  <si>
    <t>hubert.viard@geometre-expert.fr</t>
  </si>
  <si>
    <t>hubert.viard@badgeo.eu</t>
  </si>
  <si>
    <t>VIARD</t>
  </si>
  <si>
    <t>CHATTE</t>
  </si>
  <si>
    <t xml:space="preserve">SARL  POLYGONE GE SARL POLYGONE GE</t>
  </si>
  <si>
    <t>pierre.papait@geometre-expert.fr</t>
  </si>
  <si>
    <t>contact.stmarcellin@polygone-ge.fr</t>
  </si>
  <si>
    <t>PAPAIT</t>
  </si>
  <si>
    <t>julien.lanoy@geometre-expert.fr</t>
  </si>
  <si>
    <t>LANOY</t>
  </si>
  <si>
    <t>CHAUMONT</t>
  </si>
  <si>
    <t xml:space="preserve">SELARL KOLB - BOURRIER</t>
  </si>
  <si>
    <t>johann.bourrier@geometre-expert.fr</t>
  </si>
  <si>
    <t>kolb.bourrier.chaumont@orange.fr</t>
  </si>
  <si>
    <t>BOURRIER</t>
  </si>
  <si>
    <t>CHELLES</t>
  </si>
  <si>
    <t xml:space="preserve">SAS ERIC GAURIOT</t>
  </si>
  <si>
    <t>eric.gauriot@geometre-expert.fr</t>
  </si>
  <si>
    <t>GAURIOT</t>
  </si>
  <si>
    <t xml:space="preserve">SARL Cabinet MILLARD</t>
  </si>
  <si>
    <t>denis.millard@geometre-expert.fr</t>
  </si>
  <si>
    <t>cabinet-millard@geometre-expert.fr</t>
  </si>
  <si>
    <t>MILLARD</t>
  </si>
  <si>
    <t xml:space="preserve">CHEMILLE EN ANJOU</t>
  </si>
  <si>
    <t xml:space="preserve">CHAUVEAU et Associés</t>
  </si>
  <si>
    <t>antoine.langlois@geometre-expert.fr</t>
  </si>
  <si>
    <t>chemille@crl-geometres.com</t>
  </si>
  <si>
    <t>LANGLOIS</t>
  </si>
  <si>
    <t>sebastien.roussel@geometre-expert.fr</t>
  </si>
  <si>
    <t>ROUSSEL</t>
  </si>
  <si>
    <t>didier.chauveau@geometre-expert.fr</t>
  </si>
  <si>
    <t>CHAUVEAU</t>
  </si>
  <si>
    <t>CHOLET</t>
  </si>
  <si>
    <t xml:space="preserve">AIR GEO SCP de Géomètres-Experts Fonciers</t>
  </si>
  <si>
    <t>frederic.baisieux@geometre-expert.fr</t>
  </si>
  <si>
    <t>cholet@airgeo.fr</t>
  </si>
  <si>
    <t>BAISIEUX</t>
  </si>
  <si>
    <t>frederic.berthome@geometre-expert.fr</t>
  </si>
  <si>
    <t>BERTHOME</t>
  </si>
  <si>
    <t>pierre.chaillou@geometre-expert.fr</t>
  </si>
  <si>
    <t>CHAILLOU</t>
  </si>
  <si>
    <t>jean-edouard.pautonnier@geometre-expert.fr</t>
  </si>
  <si>
    <t>Jean-Edouard</t>
  </si>
  <si>
    <t>PAUTONNIER</t>
  </si>
  <si>
    <t>benoit.jouck@geometre-expert.fr</t>
  </si>
  <si>
    <t>JOUCK</t>
  </si>
  <si>
    <t xml:space="preserve">JEANNEAU-RIGAUDEAU-SEYDOUX SELARL de Géomètres-Experts</t>
  </si>
  <si>
    <t>julien.seydoux@geometre-expert.fr</t>
  </si>
  <si>
    <t>cholet@geocjr.fr</t>
  </si>
  <si>
    <t>SEYDOUX</t>
  </si>
  <si>
    <t>nicolas.page@geometre-expert.fr</t>
  </si>
  <si>
    <t>PAGE</t>
  </si>
  <si>
    <t>florent.jeanneau@geometre-expert.fr</t>
  </si>
  <si>
    <t>JEANNEAU</t>
  </si>
  <si>
    <t>CHUZELLES</t>
  </si>
  <si>
    <t xml:space="preserve">SASU BOURGUIGNON EXPERTISES</t>
  </si>
  <si>
    <t>jean-yves.bourguignon@geometre-expert.fr</t>
  </si>
  <si>
    <t>BOURGUIGNON</t>
  </si>
  <si>
    <t>CLERMONT</t>
  </si>
  <si>
    <t xml:space="preserve">SAS BERTHE THIERRY</t>
  </si>
  <si>
    <t>thierry.berthe@geometre-expert.fr</t>
  </si>
  <si>
    <t>cabinet.berthe@gmail.com</t>
  </si>
  <si>
    <t>BERTHE</t>
  </si>
  <si>
    <t xml:space="preserve">CLERMONT L HERAULT</t>
  </si>
  <si>
    <t xml:space="preserve">SELARL GEOMETRIS</t>
  </si>
  <si>
    <t>jean-yves.faure@geometre-expert.fr</t>
  </si>
  <si>
    <t>contact@geometris.fr</t>
  </si>
  <si>
    <t>xavier.dufourd@geometre-expert.fr</t>
  </si>
  <si>
    <t>DUFOURD</t>
  </si>
  <si>
    <t>guilhem.dubois@geometre-expert.fr</t>
  </si>
  <si>
    <t>DUBOIS</t>
  </si>
  <si>
    <t>CLISSON</t>
  </si>
  <si>
    <t xml:space="preserve">PROGEO CONSEILS</t>
  </si>
  <si>
    <t>nicolas.dechenaux@geometre-expert.fr</t>
  </si>
  <si>
    <t>sanse.mail@ge.fr</t>
  </si>
  <si>
    <t>DECHENAUX</t>
  </si>
  <si>
    <t>sebastien.leboeuf@geometre-expert.fr</t>
  </si>
  <si>
    <t>LEBOEUF</t>
  </si>
  <si>
    <t>CLUSES</t>
  </si>
  <si>
    <t xml:space="preserve">SELARL CHAUQUET GEOMETRES-EXPERTS</t>
  </si>
  <si>
    <t>frederic.chauquet@geometre-expert.fr</t>
  </si>
  <si>
    <t>cluses@chauquet-geometre.fr</t>
  </si>
  <si>
    <t>CHAUQUET</t>
  </si>
  <si>
    <t>annette.eksterowicz@geometre-expert.fr</t>
  </si>
  <si>
    <t>Annette</t>
  </si>
  <si>
    <t>EKSTEROWICZ</t>
  </si>
  <si>
    <t>COGNAC</t>
  </si>
  <si>
    <t xml:space="preserve">TOPO 16  SAS</t>
  </si>
  <si>
    <t>denis.thillard@geometre-expert.fr</t>
  </si>
  <si>
    <t>THILLARD</t>
  </si>
  <si>
    <t>COLMAR</t>
  </si>
  <si>
    <t xml:space="preserve">SARL ADOR de Géomètres-Experts</t>
  </si>
  <si>
    <t>jerome.ador@geometre-expert.fr</t>
  </si>
  <si>
    <t>contact@ador-geometre.fr</t>
  </si>
  <si>
    <t>ADOR</t>
  </si>
  <si>
    <t xml:space="preserve">SCP Gérard BIHLER et Philippe BERNAY</t>
  </si>
  <si>
    <t>philippe.bernay@geometre-expert.fr</t>
  </si>
  <si>
    <t>ph.bernay@free.fr</t>
  </si>
  <si>
    <t xml:space="preserve">Cabinet BILHAUT</t>
  </si>
  <si>
    <t>regis.bilhaut@geometre-expert.fr</t>
  </si>
  <si>
    <t>colmar@bilhaut-geometre.fr</t>
  </si>
  <si>
    <t>BILHAUT</t>
  </si>
  <si>
    <t>COLOMBES</t>
  </si>
  <si>
    <t xml:space="preserve">SELARL RENFER et VENANT</t>
  </si>
  <si>
    <t>aurelien.foucher@geometre-expert.fr</t>
  </si>
  <si>
    <t>colombes@renfer-venant.fr</t>
  </si>
  <si>
    <t>FOUCHER</t>
  </si>
  <si>
    <t xml:space="preserve">SARL Marc LAROCHE</t>
  </si>
  <si>
    <t>marc.laroche@geometre-expert.fr</t>
  </si>
  <si>
    <t>ml@marc-laroche.com</t>
  </si>
  <si>
    <t>LAROCHE</t>
  </si>
  <si>
    <t>benedicte.mage@geometre-expert.fr</t>
  </si>
  <si>
    <t>MAGE</t>
  </si>
  <si>
    <t>herve.crance@geometre-expert.fr</t>
  </si>
  <si>
    <t>CRANCE</t>
  </si>
  <si>
    <t>COMPIEGNE</t>
  </si>
  <si>
    <t xml:space="preserve">SCP SILVERT-CARON-PETIT Géomètres-Experts</t>
  </si>
  <si>
    <t>benoit.petit@geometre-expert.fr</t>
  </si>
  <si>
    <t>compiegne@ge-oise.fr</t>
  </si>
  <si>
    <t>PETIT</t>
  </si>
  <si>
    <t>helene.caron@geometre-expert.fr</t>
  </si>
  <si>
    <t>AET</t>
  </si>
  <si>
    <t>damien.lelandais@geometre-expert.fr</t>
  </si>
  <si>
    <t>aet.geometres@orange.fr</t>
  </si>
  <si>
    <t>LELANDAIS</t>
  </si>
  <si>
    <t>etienne.richard@geometre-expert.fr</t>
  </si>
  <si>
    <t xml:space="preserve">Cabinet KOMAN Florent</t>
  </si>
  <si>
    <t>florent.koman@geometre-expert.fr</t>
  </si>
  <si>
    <t>koman.ge@free.fr</t>
  </si>
  <si>
    <t>KOMAN</t>
  </si>
  <si>
    <t xml:space="preserve">CONFLANS STE HONORINE</t>
  </si>
  <si>
    <t xml:space="preserve">SELARL MONGRELET - MEURET</t>
  </si>
  <si>
    <t>fabrice.mongrelet@geometre-expert.fr</t>
  </si>
  <si>
    <t>info@mongrelet-meuret.fr</t>
  </si>
  <si>
    <t>MONGRELET</t>
  </si>
  <si>
    <t>xavier.meuret@geometre-expert.fr</t>
  </si>
  <si>
    <t>MEURET</t>
  </si>
  <si>
    <t>CONFOLENS</t>
  </si>
  <si>
    <t xml:space="preserve">MENARD Christophe SCP</t>
  </si>
  <si>
    <t>christophe.menard@geometre-expert.fr</t>
  </si>
  <si>
    <t>scpmenard@orange.fr</t>
  </si>
  <si>
    <t>MENARD</t>
  </si>
  <si>
    <t>CONNERRE</t>
  </si>
  <si>
    <t xml:space="preserve">BARBIER Christophe SARL de Géomètres-Experts</t>
  </si>
  <si>
    <t>perine.menard@geometre-expert.fr</t>
  </si>
  <si>
    <t>connerre@cabinetbarbier.fr</t>
  </si>
  <si>
    <t>Périne</t>
  </si>
  <si>
    <t>christophe.barbier@geometre-expert.fr</t>
  </si>
  <si>
    <t>BARBIER</t>
  </si>
  <si>
    <t>CONTES</t>
  </si>
  <si>
    <t xml:space="preserve">SELARL Cabinet LUGHERINI GE</t>
  </si>
  <si>
    <t>jean-michel.lugherini@geometre-expert.fr</t>
  </si>
  <si>
    <t>jean-michel.lugherini@wanadoo.fr</t>
  </si>
  <si>
    <t>LUGHERINI</t>
  </si>
  <si>
    <t>adrien.arnal@geometre-expert.fr</t>
  </si>
  <si>
    <t>CORTE</t>
  </si>
  <si>
    <t xml:space="preserve">SAS MARCELLU ACQUAVIVA</t>
  </si>
  <si>
    <t>antone-marcellu.acquaviva@geometre-expert.fr</t>
  </si>
  <si>
    <t>marcellu.acquaviva@orange.fr</t>
  </si>
  <si>
    <t>Antone-Marcellu</t>
  </si>
  <si>
    <t>ACQUAVIVA</t>
  </si>
  <si>
    <t>COSNAC</t>
  </si>
  <si>
    <t xml:space="preserve">SARL Atelier de Géomètre-Expert Foncier Murielle FOURNIER</t>
  </si>
  <si>
    <t>murielle.fournier-bernet@geometre-expert.fr</t>
  </si>
  <si>
    <t>age.sarl@wanadoo.fr</t>
  </si>
  <si>
    <t>Murielle</t>
  </si>
  <si>
    <t>FOURNIER-BERNET</t>
  </si>
  <si>
    <t>COUERON</t>
  </si>
  <si>
    <t xml:space="preserve">BODIN Bertrand</t>
  </si>
  <si>
    <t>bertrand.bodin@geometre-expert.fr</t>
  </si>
  <si>
    <t>contact@bodin-geometre.fr</t>
  </si>
  <si>
    <t>BODIN</t>
  </si>
  <si>
    <t>stanislas.doizy@geometre-expert.fr</t>
  </si>
  <si>
    <t>Stanislas</t>
  </si>
  <si>
    <t>DOIZY</t>
  </si>
  <si>
    <t>COULAINES</t>
  </si>
  <si>
    <t>GUILLERMINET</t>
  </si>
  <si>
    <t>nicolas.geffroy@geometre-expert.fr</t>
  </si>
  <si>
    <t>geometre@guillerminetexpert.fr</t>
  </si>
  <si>
    <t>GEFFROY</t>
  </si>
  <si>
    <t>elsa.tuffier@geometre-expert.fr</t>
  </si>
  <si>
    <t>TUFFIER</t>
  </si>
  <si>
    <t xml:space="preserve">COULOUNIEIX CHAMIERS</t>
  </si>
  <si>
    <t xml:space="preserve">KERSUAL DEFARS SELARL</t>
  </si>
  <si>
    <t>bruno.kersual@geometre-expert.fr</t>
  </si>
  <si>
    <t>bruno.kersual@wanadoo.fr</t>
  </si>
  <si>
    <t>KERSUAL</t>
  </si>
  <si>
    <t>cedric.defars@geometre-expert.fr</t>
  </si>
  <si>
    <t>DEFARS</t>
  </si>
  <si>
    <t xml:space="preserve">COURNON D AUVERGNE</t>
  </si>
  <si>
    <t xml:space="preserve">SELARL GEOVAL</t>
  </si>
  <si>
    <t>armelle.rannou@geometre-expert.fr</t>
  </si>
  <si>
    <t>cournon@geoval.info</t>
  </si>
  <si>
    <t>Armelle</t>
  </si>
  <si>
    <t>RANNOU</t>
  </si>
  <si>
    <t>vincent.trefond@geometre-expert.fr</t>
  </si>
  <si>
    <t>TREFOND</t>
  </si>
  <si>
    <t>philippe.caenen@geometre-expert.fr</t>
  </si>
  <si>
    <t>CAENEN</t>
  </si>
  <si>
    <t>benoit.valadier@geometre-expert.fr</t>
  </si>
  <si>
    <t>VALADIER</t>
  </si>
  <si>
    <t>COURNONTERRAL</t>
  </si>
  <si>
    <t xml:space="preserve">Cabinet BENOIT Frédéric</t>
  </si>
  <si>
    <t>frederic.benoit@geometre-expert.fr</t>
  </si>
  <si>
    <t>benoit.geometre@wanadoo.fr</t>
  </si>
  <si>
    <t>BENOIT</t>
  </si>
  <si>
    <t>COUTRAS</t>
  </si>
  <si>
    <t xml:space="preserve">SELARL THALES SELARL de GEOMETRES-EXPERTS</t>
  </si>
  <si>
    <t>aymeric.winter@geometre-expert.fr</t>
  </si>
  <si>
    <t>thales@geometre-expert.fr</t>
  </si>
  <si>
    <t>WINTER</t>
  </si>
  <si>
    <t>muriel.winter@geometre-expert.fr</t>
  </si>
  <si>
    <t>MURIEL</t>
  </si>
  <si>
    <t>CRAPONNE</t>
  </si>
  <si>
    <t xml:space="preserve">SARL Cabinet GILLOT Géomètre-Expert</t>
  </si>
  <si>
    <t>christophe.gillot@geometre-expert.fr</t>
  </si>
  <si>
    <t>gillot@geometre-expert.fr</t>
  </si>
  <si>
    <t>GILLOT</t>
  </si>
  <si>
    <t>CREIL</t>
  </si>
  <si>
    <t xml:space="preserve">SELARL 49 DEGRES NORD GEOMETRES-EXPERTS</t>
  </si>
  <si>
    <t>nelson.correia@geometre-expert.fr</t>
  </si>
  <si>
    <t>contact@49degresnord.com</t>
  </si>
  <si>
    <t>CORREIA</t>
  </si>
  <si>
    <t>caroline.lefer-chataignon@geometre-expert.fr</t>
  </si>
  <si>
    <t>LEFER-CHATAIGNON</t>
  </si>
  <si>
    <t>CREON</t>
  </si>
  <si>
    <t xml:space="preserve">SAS Cabinet Samuel ONFRAY</t>
  </si>
  <si>
    <t>samuel.onfray@geometre-expert.fr</t>
  </si>
  <si>
    <t>ONFRAY</t>
  </si>
  <si>
    <t>CREST</t>
  </si>
  <si>
    <t xml:space="preserve">GéoVallées SAS de Géomètres-Experts</t>
  </si>
  <si>
    <t>pascal.lacour@geometre-expert.fr</t>
  </si>
  <si>
    <t>geovallees@geometre-expert.fr</t>
  </si>
  <si>
    <t>LACOUR</t>
  </si>
  <si>
    <t>remi.scherer@geometre-expert.fr</t>
  </si>
  <si>
    <t>SCHERER</t>
  </si>
  <si>
    <t>remi.reboul@geometre-expert.fr</t>
  </si>
  <si>
    <t>REBOUL</t>
  </si>
  <si>
    <t>caroline.monge@geometre-expert.fr</t>
  </si>
  <si>
    <t>MONGE</t>
  </si>
  <si>
    <t>CRETEIL</t>
  </si>
  <si>
    <t xml:space="preserve">Cabinet VERDIER Eric</t>
  </si>
  <si>
    <t>eric.verdier@geometre-expert.fr</t>
  </si>
  <si>
    <t>VERDIER</t>
  </si>
  <si>
    <t>CRISSEY</t>
  </si>
  <si>
    <t xml:space="preserve">SAS BERTHET-LIOGIER-CAULFUTY</t>
  </si>
  <si>
    <t>christian.liogier@geometre-expert.fr</t>
  </si>
  <si>
    <t>blc.contact@blc-ge.com</t>
  </si>
  <si>
    <t>LIOGIER</t>
  </si>
  <si>
    <t>christophe.berthet@geometre-expert.fr</t>
  </si>
  <si>
    <t>BERTHET</t>
  </si>
  <si>
    <t>estelle.caulfuty@geometre-expert.fr</t>
  </si>
  <si>
    <t>CAULFUTY</t>
  </si>
  <si>
    <t>CROLLES</t>
  </si>
  <si>
    <t xml:space="preserve">SELASU G-HOME EXPERT</t>
  </si>
  <si>
    <t>chrystel.guillere@geometre-expert.fr</t>
  </si>
  <si>
    <t>Chrystel</t>
  </si>
  <si>
    <t>GUILLERE</t>
  </si>
  <si>
    <t>CROZON</t>
  </si>
  <si>
    <t xml:space="preserve">SARL ROUX-JANKOWSKI Géomètres-Experts Associés</t>
  </si>
  <si>
    <t>bruno.jankowski@geometre-expert.fr</t>
  </si>
  <si>
    <t>crozon@expert-geo.bzh</t>
  </si>
  <si>
    <t>JANKOWSKI</t>
  </si>
  <si>
    <t>elisabeth.roux@geometre-expert.fr</t>
  </si>
  <si>
    <t>ROUX</t>
  </si>
  <si>
    <t>laurent.taillet@geometre-expert.fr</t>
  </si>
  <si>
    <t>TAILLET</t>
  </si>
  <si>
    <t>jean-yves.kerouedan@geometre-expert.fr</t>
  </si>
  <si>
    <t>KEROUEDAN</t>
  </si>
  <si>
    <t>CRUSEILLES</t>
  </si>
  <si>
    <t xml:space="preserve">SAS Justin PERNOUD Géomètre Expert</t>
  </si>
  <si>
    <t>justin.pernoud@geometre-expert.fr</t>
  </si>
  <si>
    <t>Justin</t>
  </si>
  <si>
    <t>PERNOUD</t>
  </si>
  <si>
    <t>CUERS</t>
  </si>
  <si>
    <t xml:space="preserve">SELARL BAILLEUL-GATTO</t>
  </si>
  <si>
    <t>julien.bailleul@geometre-expert.fr</t>
  </si>
  <si>
    <t>cabinetbg@orange.fr</t>
  </si>
  <si>
    <t>celine.gatto@geometre-expert.fr</t>
  </si>
  <si>
    <t>GATTO</t>
  </si>
  <si>
    <t xml:space="preserve">DANNEMARIE SUR CRETE</t>
  </si>
  <si>
    <t xml:space="preserve">SAS ARPENTAGE &amp;amp; PERSPECTIVES</t>
  </si>
  <si>
    <t>anthony.durget@geometre-expert.fr</t>
  </si>
  <si>
    <t>arpentageetperspectives@gmail.com</t>
  </si>
  <si>
    <t>DURGET</t>
  </si>
  <si>
    <t>DAX</t>
  </si>
  <si>
    <t xml:space="preserve">Cabinet TUQUOI Guillaume</t>
  </si>
  <si>
    <t>guillaume.tuquoi@geometre-expert.fr</t>
  </si>
  <si>
    <t>TUQUOI</t>
  </si>
  <si>
    <t xml:space="preserve">SARL LE DEUN &amp;amp; BONNET</t>
  </si>
  <si>
    <t>michel.barre@geometre-expert.fr</t>
  </si>
  <si>
    <t>dax@geometres.pro</t>
  </si>
  <si>
    <t>BARRE</t>
  </si>
  <si>
    <t>olivier.bonnet@geometre-expert.fr</t>
  </si>
  <si>
    <t>DECAZEVILLE</t>
  </si>
  <si>
    <t xml:space="preserve">SARL AMENAGEMENT QUERCY ROUERGUE</t>
  </si>
  <si>
    <t>vincent.teilhard@geometre-expert.fr</t>
  </si>
  <si>
    <t>geometre@aqr12.fr</t>
  </si>
  <si>
    <t>TEILHARD</t>
  </si>
  <si>
    <t>DEMBENI</t>
  </si>
  <si>
    <t xml:space="preserve">Cabinet CHOCOLAT Ben Allaoui</t>
  </si>
  <si>
    <t>ben-allaoui.chocolat@geometre-expert.fr</t>
  </si>
  <si>
    <t>Ben</t>
  </si>
  <si>
    <t>Allaoui</t>
  </si>
  <si>
    <t>DENAIN</t>
  </si>
  <si>
    <t xml:space="preserve">SAS DELMOTTE ET FREBOURG Géomètres-Experts</t>
  </si>
  <si>
    <t>stephane.delmotte@geometre-expert.fr</t>
  </si>
  <si>
    <t>contact@geometre-nord.fr</t>
  </si>
  <si>
    <t>DELMOTTE</t>
  </si>
  <si>
    <t xml:space="preserve">DEUIL LA BARRE</t>
  </si>
  <si>
    <t xml:space="preserve">SELARL BONNIER-VERNET-FLOCH</t>
  </si>
  <si>
    <t>perrine.floch@geometre-expert.fr</t>
  </si>
  <si>
    <t>contact@bvgeometres.com</t>
  </si>
  <si>
    <t>FLOCH</t>
  </si>
  <si>
    <t>severine.vernet@geometre-expert.fr</t>
  </si>
  <si>
    <t>pascale.bonnier@geometre-expert.fr</t>
  </si>
  <si>
    <t>BONNIER</t>
  </si>
  <si>
    <t>DIEULEFIT</t>
  </si>
  <si>
    <t xml:space="preserve">Cabinet ALQUIER Rémi</t>
  </si>
  <si>
    <t>remi.alquier@geometre-expert.fr</t>
  </si>
  <si>
    <t>remi.alquier@wanadoo.fr</t>
  </si>
  <si>
    <t>ALQUIER</t>
  </si>
  <si>
    <t>DIEUZE</t>
  </si>
  <si>
    <t xml:space="preserve">BENOIT Géomètre-Expert</t>
  </si>
  <si>
    <t>josselin.benoit@geometre-expert.fr</t>
  </si>
  <si>
    <t xml:space="preserve">DIGNE LES BAINS</t>
  </si>
  <si>
    <t xml:space="preserve">SELARL THIERRY PIANET CONSEILS ET EXPERTISES</t>
  </si>
  <si>
    <t>thierry.pianet@geometre-expert.fr</t>
  </si>
  <si>
    <t>PIANET</t>
  </si>
  <si>
    <t xml:space="preserve">SELARL CARLAVAN GEOMETRE-EXPERT</t>
  </si>
  <si>
    <t>guillaume.carlavan@geometre-expert.fr</t>
  </si>
  <si>
    <t>CARLAVAN</t>
  </si>
  <si>
    <t>DIJON</t>
  </si>
  <si>
    <t xml:space="preserve">SELARL MJSP</t>
  </si>
  <si>
    <t>baptiste.varin@geometre-expert.fr</t>
  </si>
  <si>
    <t>contact@scp-mjs.fr</t>
  </si>
  <si>
    <t>VARIN</t>
  </si>
  <si>
    <t xml:space="preserve">SELARL Cabinet GIEN - PINOT</t>
  </si>
  <si>
    <t>nicolas.pinot@geometre-expert.fr</t>
  </si>
  <si>
    <t>contact@gp-geometres.com</t>
  </si>
  <si>
    <t>PINOT</t>
  </si>
  <si>
    <t>johann.ettwiller@geometre-expert.fr</t>
  </si>
  <si>
    <t>ETTWILLER</t>
  </si>
  <si>
    <t>helene.mornand@geometre-expert.fr</t>
  </si>
  <si>
    <t>MORNAND</t>
  </si>
  <si>
    <t>geraldine.gien@geometre-expert.fr</t>
  </si>
  <si>
    <t>Géraldine</t>
  </si>
  <si>
    <t>GIEN-LANCE</t>
  </si>
  <si>
    <t>damien.pierre@geometre-expert.fr</t>
  </si>
  <si>
    <t>therese.janin@geometre-expert.fr</t>
  </si>
  <si>
    <t>Thérèse</t>
  </si>
  <si>
    <t>JANIN</t>
  </si>
  <si>
    <t xml:space="preserve">DIVONNE LES BAINS</t>
  </si>
  <si>
    <t xml:space="preserve">SARL GOY Géomètres-Experts Associés</t>
  </si>
  <si>
    <t>jean-claude.goy@geometre-expert.fr</t>
  </si>
  <si>
    <t>sarlgoy@goygeometreexpert.fr</t>
  </si>
  <si>
    <t>GOY</t>
  </si>
  <si>
    <t>DOMONT</t>
  </si>
  <si>
    <t xml:space="preserve">SELARL Cabinet BURTIN et ASSOCIE</t>
  </si>
  <si>
    <t>jeanluc.burtin@geometre-expert.fr</t>
  </si>
  <si>
    <t>domont@burtin-geometre-expert.fr</t>
  </si>
  <si>
    <t>BURTIN</t>
  </si>
  <si>
    <t xml:space="preserve">DOMPIERRE SUR MER</t>
  </si>
  <si>
    <t xml:space="preserve">SIT&amp;amp;A CONSEIL SELAS</t>
  </si>
  <si>
    <t>damien.therry@geometre-expert.fr</t>
  </si>
  <si>
    <t>larochelle@siteaconseil.fr</t>
  </si>
  <si>
    <t>THERRY</t>
  </si>
  <si>
    <t>jose.bouteau@geometre-expert.fr</t>
  </si>
  <si>
    <t>José</t>
  </si>
  <si>
    <t>BOUTEAU</t>
  </si>
  <si>
    <t>philippe.pacaud@geometre-expert.fr</t>
  </si>
  <si>
    <t>PACAUD</t>
  </si>
  <si>
    <t>DORMANS</t>
  </si>
  <si>
    <t xml:space="preserve">SARL Cabinet TESSIER Géomètre-Expert</t>
  </si>
  <si>
    <t>frederic.tessier@geometre-expert.fr</t>
  </si>
  <si>
    <t>cabinet.tessier@wanadoo.fr</t>
  </si>
  <si>
    <t>TESSIER</t>
  </si>
  <si>
    <t>DOUAI</t>
  </si>
  <si>
    <t xml:space="preserve">SCP BOURGOGNE BEAUCAMP Géomètres-Experts</t>
  </si>
  <si>
    <t>veronique.beaucamp@geometre-expert.fr</t>
  </si>
  <si>
    <t>bp.geometres@nordnet.fr</t>
  </si>
  <si>
    <t>BEAUCAMP</t>
  </si>
  <si>
    <t>fabien.bourgogne@geometre-expert.fr</t>
  </si>
  <si>
    <t>BOURGOGNE</t>
  </si>
  <si>
    <t xml:space="preserve">DOUE EN ANJOU</t>
  </si>
  <si>
    <t xml:space="preserve">INITIO CONSEIL</t>
  </si>
  <si>
    <t>emmanuel.duret@geometre-expert.fr</t>
  </si>
  <si>
    <t>doue@initio-conseil.fr</t>
  </si>
  <si>
    <t>DURET</t>
  </si>
  <si>
    <t>DOURDAN</t>
  </si>
  <si>
    <t xml:space="preserve">SAS CABINET BLONDEAU</t>
  </si>
  <si>
    <t>hugues-henry.merkel@geometre-expert.fr</t>
  </si>
  <si>
    <t>contact91@blondeau-geometre.fr</t>
  </si>
  <si>
    <t>Hugues-Henry</t>
  </si>
  <si>
    <t>MERKEL</t>
  </si>
  <si>
    <t>olivier.blondeau@geometre-expert.fr</t>
  </si>
  <si>
    <t>BLONDEAU</t>
  </si>
  <si>
    <t>DRAGUIGNAN</t>
  </si>
  <si>
    <t xml:space="preserve">Cabinet CLARET Martial</t>
  </si>
  <si>
    <t>martial.claret@geometre-expert.fr</t>
  </si>
  <si>
    <t>m.claret.draguignan@geometre-expert.fr</t>
  </si>
  <si>
    <t>CLARET</t>
  </si>
  <si>
    <t xml:space="preserve">SELARL AMAYENC RIGAUD &amp;amp; ASSOCIES</t>
  </si>
  <si>
    <t>valery.amayenc@geometre-expert.fr</t>
  </si>
  <si>
    <t>amayenc-rigaud@geometre-expert.fr</t>
  </si>
  <si>
    <t>Valéry</t>
  </si>
  <si>
    <t>AMAYENC</t>
  </si>
  <si>
    <t>christiane.chappel-rigaud@geometre-expert.fr</t>
  </si>
  <si>
    <t>Christiane</t>
  </si>
  <si>
    <t>CHAPPEL-RIGAUD</t>
  </si>
  <si>
    <t>jerome.megret@geometre-expert.fr</t>
  </si>
  <si>
    <t>MEGRET</t>
  </si>
  <si>
    <t>DRANCY</t>
  </si>
  <si>
    <t xml:space="preserve">SELAS CABINET ALTIUS</t>
  </si>
  <si>
    <t>jacques.nadolny@geometre-expert.fr</t>
  </si>
  <si>
    <t>contact@cabinetaltius.com</t>
  </si>
  <si>
    <t>NADOLNY</t>
  </si>
  <si>
    <t>bernard.lecomte@geometre-expert.fr</t>
  </si>
  <si>
    <t>LECOMTE</t>
  </si>
  <si>
    <t>antoine.osmond@geometre-expert.fr</t>
  </si>
  <si>
    <t>OSMOND</t>
  </si>
  <si>
    <t>DREUX</t>
  </si>
  <si>
    <t xml:space="preserve">FORTEAU-FAISANT sarl</t>
  </si>
  <si>
    <t>sebastien.faisant@geometre-expert.fr</t>
  </si>
  <si>
    <t>dreux@forteau-faisant.fr</t>
  </si>
  <si>
    <t>FAISANT</t>
  </si>
  <si>
    <t>DUCOS</t>
  </si>
  <si>
    <t xml:space="preserve">Cabinet MASALSKI Alexandre</t>
  </si>
  <si>
    <t>alexandre.masalski@geometre-expert.fr</t>
  </si>
  <si>
    <t>geometre@cabinet-masalski.com</t>
  </si>
  <si>
    <t>MASALSKI</t>
  </si>
  <si>
    <t>DUNKERQUE</t>
  </si>
  <si>
    <t xml:space="preserve">SCP Stéphane ZWERTVAEGHER</t>
  </si>
  <si>
    <t>stephane.zwertvaegher@geometre-expert.fr</t>
  </si>
  <si>
    <t>scpzwertvaegher@dkgeometre.fr</t>
  </si>
  <si>
    <t>ZWERTVAEGHER</t>
  </si>
  <si>
    <t>EAUZE</t>
  </si>
  <si>
    <t xml:space="preserve">SARL BASTARD</t>
  </si>
  <si>
    <t>jerome.bastard@geometre-expert.fr</t>
  </si>
  <si>
    <t>BASTARD</t>
  </si>
  <si>
    <t>EMBRUN</t>
  </si>
  <si>
    <t xml:space="preserve">SCP Jacques POTIN GE ASSOCIES</t>
  </si>
  <si>
    <t>jacques.potin@geometre-expert.fr</t>
  </si>
  <si>
    <t>potin.geometre@wanadoo.fr</t>
  </si>
  <si>
    <t>POTIN</t>
  </si>
  <si>
    <t>remi.chaurand@geometre-expert.fr</t>
  </si>
  <si>
    <t>CHAURAND</t>
  </si>
  <si>
    <t xml:space="preserve">ENTRE DEUX GUIERS</t>
  </si>
  <si>
    <t xml:space="preserve">CONVERGENCE GEOMETRE-EXPERT SARL</t>
  </si>
  <si>
    <t>gerard.combaz@geometre-expert.fr</t>
  </si>
  <si>
    <t>geometre@convergence-ge.fr</t>
  </si>
  <si>
    <t>COMBAZ</t>
  </si>
  <si>
    <t>EPINAL</t>
  </si>
  <si>
    <t xml:space="preserve">Cabinet CHARDOT Olivier SELAS de Géomètres experts</t>
  </si>
  <si>
    <t>olivier.chardot@geometre-expert.fr</t>
  </si>
  <si>
    <t>chardot@wanadoo.fr</t>
  </si>
  <si>
    <t>CHARDOT</t>
  </si>
  <si>
    <t xml:space="preserve">ESSEY LES NANCY</t>
  </si>
  <si>
    <t xml:space="preserve">SELARL AMESURE</t>
  </si>
  <si>
    <t>laurent.barottin@geometre-expert.fr</t>
  </si>
  <si>
    <t>l.barottin@amesure.fr</t>
  </si>
  <si>
    <t>BAROTTIN</t>
  </si>
  <si>
    <t>ETRECHY</t>
  </si>
  <si>
    <t xml:space="preserve">SAS QUADRIGEO</t>
  </si>
  <si>
    <t>alexis.leroy@geometre-expert.fr</t>
  </si>
  <si>
    <t>quadrigeo@gmail.com</t>
  </si>
  <si>
    <t>LEROY</t>
  </si>
  <si>
    <t xml:space="preserve">EVIAN LES BAINS</t>
  </si>
  <si>
    <t xml:space="preserve">SELARL CANEL Géomètre-Expert</t>
  </si>
  <si>
    <t>ivan.saliba@geometre-expert.fr</t>
  </si>
  <si>
    <t>contact@canel-geometre.com</t>
  </si>
  <si>
    <t>Ivan</t>
  </si>
  <si>
    <t>SALIBA</t>
  </si>
  <si>
    <t>yann.tournant@geometre-expert.fr</t>
  </si>
  <si>
    <t>TOURNANT</t>
  </si>
  <si>
    <t>laurent.detraz@geometre-expert.fr</t>
  </si>
  <si>
    <t>DETRAZ</t>
  </si>
  <si>
    <t>stephane.nicolas@geometre-expert.fr</t>
  </si>
  <si>
    <t>NICOLAS</t>
  </si>
  <si>
    <t>EVREUX</t>
  </si>
  <si>
    <t xml:space="preserve">GEODIA CONSEILS</t>
  </si>
  <si>
    <t>eric.deshayes@geometre-expert.fr</t>
  </si>
  <si>
    <t>geodia.deshayes@orange.fr</t>
  </si>
  <si>
    <t>DESHAYES</t>
  </si>
  <si>
    <t>SONERIU</t>
  </si>
  <si>
    <t>marius.soneriu@geometre-expert.fr</t>
  </si>
  <si>
    <t>geometre.expert.soneriu@gmail.com</t>
  </si>
  <si>
    <t>Marius</t>
  </si>
  <si>
    <t xml:space="preserve">EVRY COURCOURONNES</t>
  </si>
  <si>
    <t xml:space="preserve">SELAFA GEOMETRIC Géomètres-Experts Associés</t>
  </si>
  <si>
    <t>bernard.coulon@geometre-expert.fr</t>
  </si>
  <si>
    <t>contact@geometric.fr</t>
  </si>
  <si>
    <t>COULON</t>
  </si>
  <si>
    <t>nicolas.pointeau@geometre-expert.fr</t>
  </si>
  <si>
    <t>POINTEAU</t>
  </si>
  <si>
    <t>christelle.favauge@geometre-expert.fr</t>
  </si>
  <si>
    <t>FAVAUGE</t>
  </si>
  <si>
    <t xml:space="preserve">SAS SGDS INTERNATIONAL</t>
  </si>
  <si>
    <t>bertrand.juompan@geometre-expert.fr</t>
  </si>
  <si>
    <t>b.juompan@sgds.fr</t>
  </si>
  <si>
    <t>EYGUIERES</t>
  </si>
  <si>
    <t xml:space="preserve">Cabinet FAUDON Christian</t>
  </si>
  <si>
    <t>christian.faudon@geometre-expert.fr</t>
  </si>
  <si>
    <t>christian.faudon@wanadoo.fr</t>
  </si>
  <si>
    <t>FAUDON</t>
  </si>
  <si>
    <t>EYSINES</t>
  </si>
  <si>
    <t xml:space="preserve">SAUGEX Société d'Aménagements urbains de Géomètres-Experts</t>
  </si>
  <si>
    <t>brigitte.bertin@geometre-expert.fr</t>
  </si>
  <si>
    <t>saugex@gmail.com</t>
  </si>
  <si>
    <t>BERTIN</t>
  </si>
  <si>
    <t>jean.poirier@geometre-expert.fr</t>
  </si>
  <si>
    <t>EZANVILLE</t>
  </si>
  <si>
    <t xml:space="preserve">Cabinet LESEUL Carolyne</t>
  </si>
  <si>
    <t>carolyne.leseul@geometre-expert.fr</t>
  </si>
  <si>
    <t>c.leseul-geometre-exp@wanadoo.fr</t>
  </si>
  <si>
    <t>LESEUL</t>
  </si>
  <si>
    <t>FERRIERES</t>
  </si>
  <si>
    <t xml:space="preserve">RENAUDIN Vincent EURL</t>
  </si>
  <si>
    <t>vincent.renaudin@geometre-expert.fr</t>
  </si>
  <si>
    <t>RENAUDIN</t>
  </si>
  <si>
    <t>FEURS</t>
  </si>
  <si>
    <t xml:space="preserve">SCP Christophe PIGEON Christian TOINON</t>
  </si>
  <si>
    <t>christophe.pigeon@geometre-expert.fr</t>
  </si>
  <si>
    <t>contact@ge-feurs.fr</t>
  </si>
  <si>
    <t>PIGEON</t>
  </si>
  <si>
    <t>christian.toinon@geometre-expert.fr</t>
  </si>
  <si>
    <t>TOINON</t>
  </si>
  <si>
    <t>FIGARI</t>
  </si>
  <si>
    <t xml:space="preserve">SELARL Cabinet PALANDRI-RODRIGUEZ</t>
  </si>
  <si>
    <t>yoann.rodriguez@geometre-expert.fr</t>
  </si>
  <si>
    <t>serena.palandri@geometre-expert.fr</t>
  </si>
  <si>
    <t>Serena</t>
  </si>
  <si>
    <t>PALANDRI</t>
  </si>
  <si>
    <t>FLEURANCE</t>
  </si>
  <si>
    <t xml:space="preserve">SELARL XMGE</t>
  </si>
  <si>
    <t>gerard.cassou@geometre-expert.fr</t>
  </si>
  <si>
    <t>m.girardin@xmge.com</t>
  </si>
  <si>
    <t>CASSOU</t>
  </si>
  <si>
    <t>jean-michel.saint-blancat@geometre-expert.fr</t>
  </si>
  <si>
    <t>SAINT-BLANCAT</t>
  </si>
  <si>
    <t>marc.girardin@geometre-expert.fr</t>
  </si>
  <si>
    <t>GIRARDIN</t>
  </si>
  <si>
    <t xml:space="preserve">FLEURIEUX SUR L ARBRESLE</t>
  </si>
  <si>
    <t xml:space="preserve">SCP Yves MARIEY géomètre-expert</t>
  </si>
  <si>
    <t>yves.mariey@geometre-expert.fr</t>
  </si>
  <si>
    <t>ducrot-mariey@geometre-expert.fr</t>
  </si>
  <si>
    <t>MARIEY</t>
  </si>
  <si>
    <t xml:space="preserve">FLEURY SUR ORNE</t>
  </si>
  <si>
    <t xml:space="preserve">GEOSAT Normandie</t>
  </si>
  <si>
    <t>vincent.delalande@geometre-expert.fr</t>
  </si>
  <si>
    <t>contact@geo-sat-normandie.com</t>
  </si>
  <si>
    <t>DELALANDE</t>
  </si>
  <si>
    <t xml:space="preserve">FLINES LEZ RACHES</t>
  </si>
  <si>
    <t xml:space="preserve">GEO-NORE SARL de Géomètre-Expert</t>
  </si>
  <si>
    <t>carine.honore@geometre-expert.fr</t>
  </si>
  <si>
    <t>HONORE</t>
  </si>
  <si>
    <t>FOIX</t>
  </si>
  <si>
    <t xml:space="preserve">RIVERE BOSCARIOL SARL SARL de géomètres-experts</t>
  </si>
  <si>
    <t>philippe.boscariol@geometre-expert.fr</t>
  </si>
  <si>
    <t>contact@geometre-foix.fr</t>
  </si>
  <si>
    <t>BOSCARIOL</t>
  </si>
  <si>
    <t>jean-sebastien.rivere@geometre-expert.fr</t>
  </si>
  <si>
    <t>Jean-Sébastien</t>
  </si>
  <si>
    <t>RIVERE</t>
  </si>
  <si>
    <t>FONSORBES</t>
  </si>
  <si>
    <t xml:space="preserve">GE3F SARL</t>
  </si>
  <si>
    <t>fabrice.fouquere@geometre-expert.fr</t>
  </si>
  <si>
    <t>FOUQUERE</t>
  </si>
  <si>
    <t xml:space="preserve">FONTENAY LE COMTE</t>
  </si>
  <si>
    <t xml:space="preserve">VERONNEAU Damien</t>
  </si>
  <si>
    <t>damien.veronneau@geometre-expert.fr</t>
  </si>
  <si>
    <t>contact@geometre-fontenay.com</t>
  </si>
  <si>
    <t>VERONNEAU</t>
  </si>
  <si>
    <t>mikael.aubert@geometre-expert.fr</t>
  </si>
  <si>
    <t>Mikaël</t>
  </si>
  <si>
    <t xml:space="preserve">FONTENAY SOUS BOIS</t>
  </si>
  <si>
    <t xml:space="preserve">SELAS ARCHIMED-GE PARIS</t>
  </si>
  <si>
    <t>brice.izac@geometre-expert.fr</t>
  </si>
  <si>
    <t>bizac@archimed-ge.com</t>
  </si>
  <si>
    <t>IZAC</t>
  </si>
  <si>
    <t>FORBACH</t>
  </si>
  <si>
    <t xml:space="preserve">GUELLE et FUCHS</t>
  </si>
  <si>
    <t>laurent.fuchs@geometre-expert.fr</t>
  </si>
  <si>
    <t>contact@guelle-fuchs.com</t>
  </si>
  <si>
    <t>FUCHS</t>
  </si>
  <si>
    <t>didier.guelle@geometre-expert.fr</t>
  </si>
  <si>
    <t>GUELLE</t>
  </si>
  <si>
    <t>jean-michel.ferry@geometre-expert.fr</t>
  </si>
  <si>
    <t>FERRY</t>
  </si>
  <si>
    <t xml:space="preserve">FORT DE FRANCE</t>
  </si>
  <si>
    <t xml:space="preserve">CETEF CABINET COUVREUR SAS</t>
  </si>
  <si>
    <t>remy.przybylski@geometre-expert.fr</t>
  </si>
  <si>
    <t>florian.couvreur@geometre-expert.fr</t>
  </si>
  <si>
    <t>PRZYBYLSKI</t>
  </si>
  <si>
    <t xml:space="preserve">SELARL DE FABRIQUE SAINT TOURS</t>
  </si>
  <si>
    <t>alban.defabriquesainttours@geometre-expert.fr</t>
  </si>
  <si>
    <t>rdfstgeometre@wanadoo.fr</t>
  </si>
  <si>
    <t>DE</t>
  </si>
  <si>
    <t xml:space="preserve">SARLU ANTILLES EXPERTS GEOMETRES TOPOGRAPHES</t>
  </si>
  <si>
    <t>herve.valbon@geometre-expert.fr</t>
  </si>
  <si>
    <t>VALBON</t>
  </si>
  <si>
    <t xml:space="preserve">EURL Cabinet FUCHS</t>
  </si>
  <si>
    <t>vivien.fuchs@geometre-expert.fr</t>
  </si>
  <si>
    <t>alain.fuchs@geometre-expert.fr</t>
  </si>
  <si>
    <t xml:space="preserve">Cabinet MARC Jean-Joseph</t>
  </si>
  <si>
    <t>jean-joseph.marc@geometre-expert.fr</t>
  </si>
  <si>
    <t>Jean-Joseph</t>
  </si>
  <si>
    <t>MARC</t>
  </si>
  <si>
    <t xml:space="preserve">SARL CABINET ONFRAY CLAUSSE &amp;amp; ASSOCIES</t>
  </si>
  <si>
    <t>emmanuelle.onfray@geometre-expert.fr</t>
  </si>
  <si>
    <t>ONFRAY-CLAUSSE</t>
  </si>
  <si>
    <t xml:space="preserve">SARLU CABINET PARACLET</t>
  </si>
  <si>
    <t>pierre-gilles.paraclet@geometre-expert.fr</t>
  </si>
  <si>
    <t>cabinet.paraclet@geometre-expert.fr</t>
  </si>
  <si>
    <t>Pierre-Gilles</t>
  </si>
  <si>
    <t>PARACLET</t>
  </si>
  <si>
    <t>AGEO</t>
  </si>
  <si>
    <t>andre.gouyer@geometre-expert.fr</t>
  </si>
  <si>
    <t>ageo.geometre@gmail.com</t>
  </si>
  <si>
    <t>GOUYER</t>
  </si>
  <si>
    <t>COUVREUR</t>
  </si>
  <si>
    <t xml:space="preserve">SELARL Cabinet Nicolas UDINO</t>
  </si>
  <si>
    <t>nicolas.udino@geometre-expert.fr</t>
  </si>
  <si>
    <t>UDINO</t>
  </si>
  <si>
    <t xml:space="preserve">Cabinet TOUSSAINT Eddy</t>
  </si>
  <si>
    <t>eddy.toussaint@geometre-expert.fr</t>
  </si>
  <si>
    <t>TOUSSAINT</t>
  </si>
  <si>
    <t xml:space="preserve">SELARL Cabinet MOCQUOT</t>
  </si>
  <si>
    <t>yann.mocquot@geometre-expert.fr</t>
  </si>
  <si>
    <t>MOCQUOT</t>
  </si>
  <si>
    <t>carl.riche@geometre-expert.fr</t>
  </si>
  <si>
    <t xml:space="preserve">FOS SUR MER</t>
  </si>
  <si>
    <t xml:space="preserve">SARL DE GEOMETRES-EXPERTS CASTIGLI GESUD GESUD</t>
  </si>
  <si>
    <t>yann.robin@geometre-expert.fr</t>
  </si>
  <si>
    <t>fos@gesud.fr</t>
  </si>
  <si>
    <t>ROBIN</t>
  </si>
  <si>
    <t>vincent.castigli@geometre-expert.fr</t>
  </si>
  <si>
    <t>CASTIGLI</t>
  </si>
  <si>
    <t>FOUGERES</t>
  </si>
  <si>
    <t xml:space="preserve">SELAS GEOMAT</t>
  </si>
  <si>
    <t>arnaud.futeul@geometre-expert.fr</t>
  </si>
  <si>
    <t>agence.fougeres@geomat.fr</t>
  </si>
  <si>
    <t>FUTEUL</t>
  </si>
  <si>
    <t>gwenael.sagne@geometre-expert.fr</t>
  </si>
  <si>
    <t>Gwenaël</t>
  </si>
  <si>
    <t>SAGNE</t>
  </si>
  <si>
    <t>raphael.rouviere@geometre-expert.fr</t>
  </si>
  <si>
    <t>ROUVIERE</t>
  </si>
  <si>
    <t>thomas.cherrier@geometre-expert.fr</t>
  </si>
  <si>
    <t>CHERRIER</t>
  </si>
  <si>
    <t>loic.bouillon@geometre-expert.fr</t>
  </si>
  <si>
    <t>BOUILLON</t>
  </si>
  <si>
    <t>jean.desalaberry@geometre-expert.fr</t>
  </si>
  <si>
    <t>D'IRUMBERRY</t>
  </si>
  <si>
    <t>julien.guillou@geometre-expert.fr</t>
  </si>
  <si>
    <t>GUILLOU</t>
  </si>
  <si>
    <t xml:space="preserve">Cabinet LE TALLEC Michel</t>
  </si>
  <si>
    <t>michel.letallec@geometre-expert.fr</t>
  </si>
  <si>
    <t>michel-le-tallec@wanadoo.fr</t>
  </si>
  <si>
    <t>denis.attencia@geometre-expert.fr</t>
  </si>
  <si>
    <t>ATTENCIA</t>
  </si>
  <si>
    <t>samuel.travers@geometre-expert.fr</t>
  </si>
  <si>
    <t>TRAVERS</t>
  </si>
  <si>
    <t>jennifer.fardin@geometre-expert.fr</t>
  </si>
  <si>
    <t>FARDIN</t>
  </si>
  <si>
    <t>philippe.cachod@geometre-expert.fr</t>
  </si>
  <si>
    <t>CACHOD</t>
  </si>
  <si>
    <t>ghislain.deboiry@geometre-expert.fr</t>
  </si>
  <si>
    <t>QUARRE</t>
  </si>
  <si>
    <t>FRANCONVILLE</t>
  </si>
  <si>
    <t xml:space="preserve">Cabinet GOETTELMANN-LAVEDAN Isabelle</t>
  </si>
  <si>
    <t>isabelle.goettelmann-lavedan@geometre-expert.fr</t>
  </si>
  <si>
    <t>goettelmann-lavedan@wanadoo.fr</t>
  </si>
  <si>
    <t>GOETTELMANN-LAVEDAN</t>
  </si>
  <si>
    <t>FRANGY</t>
  </si>
  <si>
    <t xml:space="preserve">Anne VUAILLAT-GEOMETRE-EXPERT EURL</t>
  </si>
  <si>
    <t>anne.vuaillat@geometre-expert.fr</t>
  </si>
  <si>
    <t>VUAILLAT</t>
  </si>
  <si>
    <t>FREJUS</t>
  </si>
  <si>
    <t xml:space="preserve">Cabinet HENRY Patrick</t>
  </si>
  <si>
    <t>patrick.henry@geometre-expert.fr</t>
  </si>
  <si>
    <t>HENRY</t>
  </si>
  <si>
    <t xml:space="preserve">ARKAD GEOMETRE-EXPERT</t>
  </si>
  <si>
    <t>arnaud.krippes@geometre-expert.fr</t>
  </si>
  <si>
    <t>KRIPPES</t>
  </si>
  <si>
    <t xml:space="preserve">ATELIER DE GEOMETRES</t>
  </si>
  <si>
    <t>philippe.petitmengin@geometre-expert.fr</t>
  </si>
  <si>
    <t>PETITMENGIN</t>
  </si>
  <si>
    <t>robin.delaroux@geometre-expert.fr</t>
  </si>
  <si>
    <t>DELAROUX</t>
  </si>
  <si>
    <t>FRETIN</t>
  </si>
  <si>
    <t xml:space="preserve">SCP GEOREM NOISETTE GEOMETRE-EXPERT</t>
  </si>
  <si>
    <t>franck.noisette@geometre-expert.fr</t>
  </si>
  <si>
    <t>geometre@noisette-georem.fr</t>
  </si>
  <si>
    <t>NOISETTE</t>
  </si>
  <si>
    <t xml:space="preserve">FREYMING MERLEBACH</t>
  </si>
  <si>
    <t xml:space="preserve">Cabinet BOUSSER SELARL DE GEOMETRE-EXPERT</t>
  </si>
  <si>
    <t>philippe.bousser@geometre-expert.fr</t>
  </si>
  <si>
    <t>BOUSSER</t>
  </si>
  <si>
    <t xml:space="preserve">Cabinet PORTELLA Joseph</t>
  </si>
  <si>
    <t>joseph.portella@geometre-expert.fr</t>
  </si>
  <si>
    <t>joseph.portella@neuf.fr</t>
  </si>
  <si>
    <t>PORTELLA</t>
  </si>
  <si>
    <t>FROUZINS</t>
  </si>
  <si>
    <t xml:space="preserve">SELARL Xavier PUJOL Géomètre-Expert</t>
  </si>
  <si>
    <t>xavier.pujol@geometre-expert.fr</t>
  </si>
  <si>
    <t>x.pujol@xpge.fr</t>
  </si>
  <si>
    <t>PUJOL</t>
  </si>
  <si>
    <t>FURDENHEIM</t>
  </si>
  <si>
    <t xml:space="preserve">SAS PHOTOMAP</t>
  </si>
  <si>
    <t>gerard.gautier@geometre-expert.fr</t>
  </si>
  <si>
    <t>GAUTIER</t>
  </si>
  <si>
    <t>FURIANI</t>
  </si>
  <si>
    <t xml:space="preserve">SASU CABINET GEXTA</t>
  </si>
  <si>
    <t>yoann.talbourdet@geometre-expert.fr</t>
  </si>
  <si>
    <t>cabinet.gexta@orange.fr</t>
  </si>
  <si>
    <t>TALBOURDET</t>
  </si>
  <si>
    <t>GAGNY</t>
  </si>
  <si>
    <t xml:space="preserve">SARL GEO-INFRA</t>
  </si>
  <si>
    <t>jean-claude.berson@geometre-expert.fr</t>
  </si>
  <si>
    <t>BERSON</t>
  </si>
  <si>
    <t>GANNAT</t>
  </si>
  <si>
    <t xml:space="preserve">FONTAINE GEOMETRE-EXPERT SELARL</t>
  </si>
  <si>
    <t>laurent.fontaine@geometre-expert.fr</t>
  </si>
  <si>
    <t>fontaine.gannat@orange.fr</t>
  </si>
  <si>
    <t>FONTAINE</t>
  </si>
  <si>
    <t>GAP</t>
  </si>
  <si>
    <t xml:space="preserve">SARL Cabinet TOULEMONDE-BONTOUX</t>
  </si>
  <si>
    <t>stephane.bontoux@geometre-expert.fr</t>
  </si>
  <si>
    <t>toulemonde.bontoux@geogap.fr</t>
  </si>
  <si>
    <t>BONTOUX</t>
  </si>
  <si>
    <t xml:space="preserve">SARL SALLA LECOMTE GEOMETRE-EXPERT</t>
  </si>
  <si>
    <t>christian.salla@geometre-expert.fr</t>
  </si>
  <si>
    <t>contact@slge-geometre.fr</t>
  </si>
  <si>
    <t>SALLA</t>
  </si>
  <si>
    <t>lucas.lecomte@geometre-expert.fr</t>
  </si>
  <si>
    <t>etienne.toulemonde@geometre-expert.fr</t>
  </si>
  <si>
    <t>TOULEMONDE</t>
  </si>
  <si>
    <t>sarah.lefebvre@geometre-expert.fr</t>
  </si>
  <si>
    <t>LEFEBVRE</t>
  </si>
  <si>
    <t>GARDANNE</t>
  </si>
  <si>
    <t xml:space="preserve">SCP Frédéric ROUGIER</t>
  </si>
  <si>
    <t>frederic.rougier@geometre-expert.fr</t>
  </si>
  <si>
    <t>gardanne.rougeo@orange.fr</t>
  </si>
  <si>
    <t>ROUGIER</t>
  </si>
  <si>
    <t>GENAS</t>
  </si>
  <si>
    <t xml:space="preserve">SELARL ARC GEO</t>
  </si>
  <si>
    <t>anthony.grammenand@geometre-expert.fr</t>
  </si>
  <si>
    <t>contact@arcgeo.fr</t>
  </si>
  <si>
    <t>GRAMMENAND</t>
  </si>
  <si>
    <t>GENAY</t>
  </si>
  <si>
    <t xml:space="preserve">SARL Cabinet Jérôme COMBECAVE Géomètre-expert</t>
  </si>
  <si>
    <t>jerome.combecave@geometre-expert.fr</t>
  </si>
  <si>
    <t>contact@combecave-geometre.fr</t>
  </si>
  <si>
    <t>COMBECAVE</t>
  </si>
  <si>
    <t>GHISONACCIA</t>
  </si>
  <si>
    <t xml:space="preserve">SARL Cabinet Hugo PETRONI</t>
  </si>
  <si>
    <t>hugo.petroni@geometre-expert.fr</t>
  </si>
  <si>
    <t>cabinethugopetroni@geometre-expert.fr</t>
  </si>
  <si>
    <t>PETRONI</t>
  </si>
  <si>
    <t>ioanna.bonavita@geometre-expert.fr</t>
  </si>
  <si>
    <t>Ioanna</t>
  </si>
  <si>
    <t>BONAVITA</t>
  </si>
  <si>
    <t xml:space="preserve">GILLY SUR ISERE</t>
  </si>
  <si>
    <t xml:space="preserve">Cabinet GIROD Christophe</t>
  </si>
  <si>
    <t>christophe.girod@geometre-expert.fr</t>
  </si>
  <si>
    <t>geometre.girod@wanadoo.fr</t>
  </si>
  <si>
    <t>GIROD</t>
  </si>
  <si>
    <t>GIVORS</t>
  </si>
  <si>
    <t xml:space="preserve">SARL ATLAS INGENIERIE</t>
  </si>
  <si>
    <t>stephane.jarguel@geometre-expert.fr</t>
  </si>
  <si>
    <t>gejarguel@wanadoo.fr</t>
  </si>
  <si>
    <t>JARGUEL</t>
  </si>
  <si>
    <t>GOURDON</t>
  </si>
  <si>
    <t xml:space="preserve">AGEFAUR SARL</t>
  </si>
  <si>
    <t>fabien.aussel@geometre-expert.fr</t>
  </si>
  <si>
    <t>gourdon@agefaur.com</t>
  </si>
  <si>
    <t>AUSSEL</t>
  </si>
  <si>
    <t>laurent.hichard@geometre-expert.fr</t>
  </si>
  <si>
    <t>HICHARD</t>
  </si>
  <si>
    <t>GRADIGNAN</t>
  </si>
  <si>
    <t xml:space="preserve">SCP Bernard BUI et Jean-Marc PARIES</t>
  </si>
  <si>
    <t>bernard.bui@geometre-expert.fr</t>
  </si>
  <si>
    <t>scp.bui.paries@free.fr</t>
  </si>
  <si>
    <t>BUI</t>
  </si>
  <si>
    <t>jean-marc.paries@geometre-expert.fr</t>
  </si>
  <si>
    <t>PARIES</t>
  </si>
  <si>
    <t xml:space="preserve">GEO METROPOLE SAS de Géomètres-experts</t>
  </si>
  <si>
    <t>pascal.pinet@geometre-expert.fr</t>
  </si>
  <si>
    <t>PINET</t>
  </si>
  <si>
    <t xml:space="preserve">GRAND BOURG</t>
  </si>
  <si>
    <t xml:space="preserve">Cabinet DIVIALLE Georges</t>
  </si>
  <si>
    <t>georges.divialle@geometre-expert.fr</t>
  </si>
  <si>
    <t>DIVIALLE</t>
  </si>
  <si>
    <t>GRASSE</t>
  </si>
  <si>
    <t xml:space="preserve">SARL ANGE-MARIE FLAUGNATTI</t>
  </si>
  <si>
    <t>ange-marie.flaugnatti@geometre-expert.fr</t>
  </si>
  <si>
    <t>Ange-Marie</t>
  </si>
  <si>
    <t>FLAUGNATTI</t>
  </si>
  <si>
    <t>GRENOBLE</t>
  </si>
  <si>
    <t xml:space="preserve">AlphaGéo Géomètres-Experts SARL</t>
  </si>
  <si>
    <t>jonathan.weick@geometre-expert.fr</t>
  </si>
  <si>
    <t>grenoble@alphageo.fr</t>
  </si>
  <si>
    <t>WEICK</t>
  </si>
  <si>
    <t xml:space="preserve">SELARL AGATE</t>
  </si>
  <si>
    <t>sandrine.terrasson@geometre-expert.fr</t>
  </si>
  <si>
    <t>contact@agate.geometre-expert.fr</t>
  </si>
  <si>
    <t>TERRASSON</t>
  </si>
  <si>
    <t>isabelle.adrien@geometre-expert.fr</t>
  </si>
  <si>
    <t>ADRIEN</t>
  </si>
  <si>
    <t>bruno.granjon@geometre-expert.fr</t>
  </si>
  <si>
    <t>GRANJON</t>
  </si>
  <si>
    <t>jean-luc.roux@geometre-expert.fr</t>
  </si>
  <si>
    <t>nicolas.bernos@geometre-expert.fr</t>
  </si>
  <si>
    <t>BERNOS</t>
  </si>
  <si>
    <t>adrien.lepoutre@geometre-expert.fr</t>
  </si>
  <si>
    <t>LEPOUTRE</t>
  </si>
  <si>
    <t>pierre-marie.fougeray@geometre-expert.fr</t>
  </si>
  <si>
    <t>Pierre-Marie</t>
  </si>
  <si>
    <t>FOUGERAY</t>
  </si>
  <si>
    <t xml:space="preserve">GREZ SUR LOING</t>
  </si>
  <si>
    <t xml:space="preserve">SAS AiGL SAS Agence d'Ingénieurs et de Géomètres du Loing</t>
  </si>
  <si>
    <t>simon.uguen@geometre-expert.fr</t>
  </si>
  <si>
    <t>UGUEN</t>
  </si>
  <si>
    <t>GUEBWILLER</t>
  </si>
  <si>
    <t xml:space="preserve">JUNG Marc SARL</t>
  </si>
  <si>
    <t>marc.jung@geometre-expert.fr</t>
  </si>
  <si>
    <t>jung.marc@wanadoo.fr</t>
  </si>
  <si>
    <t>JUNG</t>
  </si>
  <si>
    <t>GUERANDE</t>
  </si>
  <si>
    <t>SCULO-CHATELLIER</t>
  </si>
  <si>
    <t>florian.cesbron@geometre-expert.fr</t>
  </si>
  <si>
    <t>geometre@sculo-chatellier.fr</t>
  </si>
  <si>
    <t>guillaume.guyet@geometre-expert.fr</t>
  </si>
  <si>
    <t>GUYET</t>
  </si>
  <si>
    <t>GUERET</t>
  </si>
  <si>
    <t xml:space="preserve">SARL CADexperts</t>
  </si>
  <si>
    <t>michel.delrieu@geometre-expert.fr</t>
  </si>
  <si>
    <t>geometre23@orange.fr</t>
  </si>
  <si>
    <t>DELRIEU</t>
  </si>
  <si>
    <t>matthieu.morel@geometre-expert.fr</t>
  </si>
  <si>
    <t>lionel.chaigneau@geometre-expert.fr</t>
  </si>
  <si>
    <t>CHAIGNEAU</t>
  </si>
  <si>
    <t>GUIDEL</t>
  </si>
  <si>
    <t xml:space="preserve">Cabinet JESTIN Anne-Sophie</t>
  </si>
  <si>
    <t>anne-sophie.jestin@geometre-expert.fr</t>
  </si>
  <si>
    <t>JESTIN</t>
  </si>
  <si>
    <t>GUIPAVAS</t>
  </si>
  <si>
    <t xml:space="preserve">EURL Adeline Lecointre</t>
  </si>
  <si>
    <t>adeline.lecointre@geometre-expert.fr</t>
  </si>
  <si>
    <t>Adeline</t>
  </si>
  <si>
    <t>LECOINTRE</t>
  </si>
  <si>
    <t xml:space="preserve">GUJAN MESTRAS</t>
  </si>
  <si>
    <t xml:space="preserve">SASU TERRA PROXIMA</t>
  </si>
  <si>
    <t>annabelle.prieur@geometre-expert.fr</t>
  </si>
  <si>
    <t>contact@terra-proxima.fr</t>
  </si>
  <si>
    <t>Annabelle</t>
  </si>
  <si>
    <t>PRIEUR</t>
  </si>
  <si>
    <t>HAGUENAU</t>
  </si>
  <si>
    <t xml:space="preserve">Cabinet BAUR Géomètres-Experts Associés</t>
  </si>
  <si>
    <t>xavier.louveau@geometre-expert.fr</t>
  </si>
  <si>
    <t>info@cabinetbaur.fr</t>
  </si>
  <si>
    <t>LOUVEAU</t>
  </si>
  <si>
    <t xml:space="preserve">SCP PELTIER-HAGENMULLER Géomètres-Experts Associés</t>
  </si>
  <si>
    <t>christelle.hagenmuller@geometre-expert.fr</t>
  </si>
  <si>
    <t>peltier.hagenmuller@orange.fr</t>
  </si>
  <si>
    <t>HAGENMULLER</t>
  </si>
  <si>
    <t>philippe.peltier@geometre-expert.fr</t>
  </si>
  <si>
    <t>PELTIER</t>
  </si>
  <si>
    <t xml:space="preserve">HALLENNES LEZ HAUBOURDIN</t>
  </si>
  <si>
    <t xml:space="preserve">SARL GEBIM</t>
  </si>
  <si>
    <t>eric.courtois@geometre-expert.fr</t>
  </si>
  <si>
    <t>e.courtois@gebim.fr</t>
  </si>
  <si>
    <t>COURTOIS</t>
  </si>
  <si>
    <t>HARDRICOURT</t>
  </si>
  <si>
    <t xml:space="preserve">SARL Thélèm'ac</t>
  </si>
  <si>
    <t>Samuel.DEOM@geometre-expert.fr</t>
  </si>
  <si>
    <t>DEOM</t>
  </si>
  <si>
    <t>HASPARREN</t>
  </si>
  <si>
    <t xml:space="preserve">SELARL GEODENAK</t>
  </si>
  <si>
    <t>michel.arrayet@geometre-expert.fr</t>
  </si>
  <si>
    <t>contact@geodenak.com</t>
  </si>
  <si>
    <t>ARRAYET</t>
  </si>
  <si>
    <t>bernard.delpech@geometre-expert.fr</t>
  </si>
  <si>
    <t>DELPECH</t>
  </si>
  <si>
    <t>julien.gaye@geometre-expert.fr</t>
  </si>
  <si>
    <t>GAYE</t>
  </si>
  <si>
    <t xml:space="preserve">HAUTS DE BIENNE</t>
  </si>
  <si>
    <t xml:space="preserve">Cabinet LAMY Nicolas</t>
  </si>
  <si>
    <t>nicolas.lamy@geometre-expert.fr</t>
  </si>
  <si>
    <t>LAMY</t>
  </si>
  <si>
    <t>HAZEBROUCK</t>
  </si>
  <si>
    <t xml:space="preserve">SELARL HUGUES LAPOUILLE</t>
  </si>
  <si>
    <t>thomas.caus@geometre-expert.fr</t>
  </si>
  <si>
    <t>hazebrouk@lapouille-geometre.fr</t>
  </si>
  <si>
    <t>CAUS</t>
  </si>
  <si>
    <t>hugues.lapouille@geometre-expert.fr</t>
  </si>
  <si>
    <t>LAPOUILLE</t>
  </si>
  <si>
    <t>HEGENHEIM</t>
  </si>
  <si>
    <t xml:space="preserve">SELARL Philippe FRANTZ</t>
  </si>
  <si>
    <t>philippe.frantz@geometre-expert.fr</t>
  </si>
  <si>
    <t>philippe.frantz5@orange.fr</t>
  </si>
  <si>
    <t>FRANTZ</t>
  </si>
  <si>
    <t>david.scherrer@geometre-expert.fr</t>
  </si>
  <si>
    <t>SCHERRER</t>
  </si>
  <si>
    <t xml:space="preserve">HERBLAY SUR SEINE</t>
  </si>
  <si>
    <t xml:space="preserve">SASU LPIOT</t>
  </si>
  <si>
    <t>ludovic.piot@geometre-expert.fr</t>
  </si>
  <si>
    <t>lpiot@hotmail.fr</t>
  </si>
  <si>
    <t>PIOT</t>
  </si>
  <si>
    <t>HERICOURT</t>
  </si>
  <si>
    <t xml:space="preserve">SARL Cabinet DELPLANQUE-MEUNIER</t>
  </si>
  <si>
    <t>alexis.meunier@geometre-expert.fr</t>
  </si>
  <si>
    <t>xavier.delplanque@geometre-expert.fr</t>
  </si>
  <si>
    <t>MEUNIER</t>
  </si>
  <si>
    <t>DELPLANQUE</t>
  </si>
  <si>
    <t xml:space="preserve">HEROUVILLE ST CLAIR</t>
  </si>
  <si>
    <t>MOSAÏC</t>
  </si>
  <si>
    <t>herve.guimard@geometre-expert.fr</t>
  </si>
  <si>
    <t>contact@mosaic-amenagement.fr</t>
  </si>
  <si>
    <t>GUIMARD</t>
  </si>
  <si>
    <t>HEYRIEUX</t>
  </si>
  <si>
    <t xml:space="preserve">CABINET CASSASSOLLES SELARL de Géomètres-Experts</t>
  </si>
  <si>
    <t>delphine.cassassolles@geometre-expert.fr</t>
  </si>
  <si>
    <t>cabinet@cassassolles.fr</t>
  </si>
  <si>
    <t>CASSASSOLLES</t>
  </si>
  <si>
    <t>jean.cassassolles@geometre-expert.fr</t>
  </si>
  <si>
    <t>HIRSON</t>
  </si>
  <si>
    <t xml:space="preserve">SCP MARTIN ET FIORE Géomètres-Experts Associés</t>
  </si>
  <si>
    <t>etienne.martin@geometre-expert.fr</t>
  </si>
  <si>
    <t>martin.geometre@wanadoo.fr</t>
  </si>
  <si>
    <t>MARTIN</t>
  </si>
  <si>
    <t>sylvia.fiore@geometre-expert.fr</t>
  </si>
  <si>
    <t>Sylvia</t>
  </si>
  <si>
    <t>FIORE</t>
  </si>
  <si>
    <t xml:space="preserve">HORBOURG WIHR</t>
  </si>
  <si>
    <t xml:space="preserve">TechniGeo SAS TechniGeo</t>
  </si>
  <si>
    <t>pierre.boetzle@geometre-expert.fr</t>
  </si>
  <si>
    <t>pierre.boetzle@techni-geo.fr</t>
  </si>
  <si>
    <t>BOETZLE</t>
  </si>
  <si>
    <t>HOUILLES</t>
  </si>
  <si>
    <t xml:space="preserve">SELARL Cabinet GOUDARD &amp;amp; ASSOCIES</t>
  </si>
  <si>
    <t>maeva.infanti@geometre-expert.fr</t>
  </si>
  <si>
    <t>contact@cabinet-goudard.com</t>
  </si>
  <si>
    <t>Maëva</t>
  </si>
  <si>
    <t>INFANTI</t>
  </si>
  <si>
    <t>romainpereira@live.fr</t>
  </si>
  <si>
    <t>PEREIRA</t>
  </si>
  <si>
    <t>vincent.goudard@geometre-expert.fr</t>
  </si>
  <si>
    <t>GOUDARD</t>
  </si>
  <si>
    <t>HYERES</t>
  </si>
  <si>
    <t xml:space="preserve">SASU CGE</t>
  </si>
  <si>
    <t>frank.gerlach@geometre-expert.fr</t>
  </si>
  <si>
    <t>contact@expert.fr</t>
  </si>
  <si>
    <t>GERLACH</t>
  </si>
  <si>
    <t xml:space="preserve">SARL AGE2F</t>
  </si>
  <si>
    <t>francois.froment@geometre-expert.fr</t>
  </si>
  <si>
    <t>age2f.gestion@gmail.com</t>
  </si>
  <si>
    <t>FROMENT</t>
  </si>
  <si>
    <t>IDRON</t>
  </si>
  <si>
    <t xml:space="preserve">SARL CARRAU</t>
  </si>
  <si>
    <t>jerome.carrau@geometre-expert.fr</t>
  </si>
  <si>
    <t>cabinetcarrau@gmail.com</t>
  </si>
  <si>
    <t>CARRAU</t>
  </si>
  <si>
    <t xml:space="preserve">ILLE SUR TET</t>
  </si>
  <si>
    <t xml:space="preserve">SELARL G.P.O.</t>
  </si>
  <si>
    <t>florence.coste@geometre-expert.fr</t>
  </si>
  <si>
    <t>contact@geometre-gpo.com</t>
  </si>
  <si>
    <t>COSTE</t>
  </si>
  <si>
    <t>noemie.vanetti@geometre-expert.fr</t>
  </si>
  <si>
    <t>VANETTI</t>
  </si>
  <si>
    <t xml:space="preserve">ILLKIRCH GRAFFENSTADEN</t>
  </si>
  <si>
    <t xml:space="preserve">SELARL ERTZ Simon Géomètre-Expert</t>
  </si>
  <si>
    <t>simon.ertz@geometre-expert.fr</t>
  </si>
  <si>
    <t>simon.ertz@esge-geometre.fr</t>
  </si>
  <si>
    <t>ERTZ</t>
  </si>
  <si>
    <t>INGWILLER</t>
  </si>
  <si>
    <t xml:space="preserve">SELARL MUNICH Florian Géomètre-Expert</t>
  </si>
  <si>
    <t>florian.munich@geometre-expert.fr</t>
  </si>
  <si>
    <t>f.munich@munich-geometre.fr</t>
  </si>
  <si>
    <t>MUNICH</t>
  </si>
  <si>
    <t>ISSOIRE</t>
  </si>
  <si>
    <t xml:space="preserve">Cabinet DERLICH Frantz</t>
  </si>
  <si>
    <t>frantz.derlich@geometre-expert.fr</t>
  </si>
  <si>
    <t>f.derlich@icloud.com</t>
  </si>
  <si>
    <t>Frantz</t>
  </si>
  <si>
    <t>DERLICH</t>
  </si>
  <si>
    <t>ISSOUDUN</t>
  </si>
  <si>
    <t xml:space="preserve">SELAS BIA. Géo</t>
  </si>
  <si>
    <t>flore.prum@geometre-expert.fr</t>
  </si>
  <si>
    <t>issoudun@biageo.fr</t>
  </si>
  <si>
    <t>PRUM-HENNEBICQUE</t>
  </si>
  <si>
    <t>adrien.bourdeau@geometre-expert.fr</t>
  </si>
  <si>
    <t>BOURDEAU</t>
  </si>
  <si>
    <t>ISTRES</t>
  </si>
  <si>
    <t xml:space="preserve">SARL Cabinet MICHELETTI</t>
  </si>
  <si>
    <t>jean-charles.micheletti@geometre-expert.fr</t>
  </si>
  <si>
    <t>contact@cabinetmicheletti.fr</t>
  </si>
  <si>
    <t>MICHELETTI</t>
  </si>
  <si>
    <t xml:space="preserve">JOUE LES TOURS</t>
  </si>
  <si>
    <t xml:space="preserve">EURL François TARTARIN</t>
  </si>
  <si>
    <t>andre-marc.lameloise@geometre-expert.fr</t>
  </si>
  <si>
    <t>francois.tartarin@geometre-expert.fr</t>
  </si>
  <si>
    <t>Andre-Marc</t>
  </si>
  <si>
    <t>LAMELOISE</t>
  </si>
  <si>
    <t>TARTARIN</t>
  </si>
  <si>
    <t xml:space="preserve">JUVISY SUR ORGE</t>
  </si>
  <si>
    <t xml:space="preserve">CABINET JOUENNE GEOMETRE EXPERT</t>
  </si>
  <si>
    <t>frederic.jouenne@geometre-expert.fr</t>
  </si>
  <si>
    <t>Fréderic</t>
  </si>
  <si>
    <t>JOUENNE</t>
  </si>
  <si>
    <t>KOUROU</t>
  </si>
  <si>
    <t xml:space="preserve">SARL SATTAS</t>
  </si>
  <si>
    <t>henri.sec@geometre-expert.fr</t>
  </si>
  <si>
    <t>SEC</t>
  </si>
  <si>
    <t xml:space="preserve">L ILE ROUSSE</t>
  </si>
  <si>
    <t xml:space="preserve">SELARL ANTONIOTTI et LEGRAND</t>
  </si>
  <si>
    <t>andre.legrand@geometre-expert.fr</t>
  </si>
  <si>
    <t>anto.geo@wanadoo.fr</t>
  </si>
  <si>
    <t>LEGRAND</t>
  </si>
  <si>
    <t xml:space="preserve">L ISLE ADAM</t>
  </si>
  <si>
    <t xml:space="preserve">SELARL Cabinet Isabelle PLANQUE</t>
  </si>
  <si>
    <t>isabelle.planque@geometre-expert.fr</t>
  </si>
  <si>
    <t>PLANQUE</t>
  </si>
  <si>
    <t xml:space="preserve">L ISLE JOURDAIN</t>
  </si>
  <si>
    <t xml:space="preserve">SARL Julien PEREZ</t>
  </si>
  <si>
    <t>julien.perez@geometre-expert.fr</t>
  </si>
  <si>
    <t>PEREZ</t>
  </si>
  <si>
    <t xml:space="preserve">L ISLE SUR LA SORGUE</t>
  </si>
  <si>
    <t xml:space="preserve">SELARL L.D Géo</t>
  </si>
  <si>
    <t>francois.deneufbourg@geometre-expert.fr</t>
  </si>
  <si>
    <t>DENEUFBOURG</t>
  </si>
  <si>
    <t>julie.loir@geometre-expert.fr</t>
  </si>
  <si>
    <t>LOIR</t>
  </si>
  <si>
    <t xml:space="preserve">LA BASSEE</t>
  </si>
  <si>
    <t xml:space="preserve">SCP Olivier TAFFIN Géomètre-Expert</t>
  </si>
  <si>
    <t>olivier.taffin@geometre-expert.fr</t>
  </si>
  <si>
    <t>TAFFIN</t>
  </si>
  <si>
    <t xml:space="preserve">LA BAULE ESCOUBLAC</t>
  </si>
  <si>
    <t xml:space="preserve">ATLANTIQUE GEOMETRES EXPERTS</t>
  </si>
  <si>
    <t>fabien.palfroy@geometre-expert.fr</t>
  </si>
  <si>
    <t>secretariat@age-lb.com</t>
  </si>
  <si>
    <t>PALFROY</t>
  </si>
  <si>
    <t>germain.batard@geometre-expert.fr</t>
  </si>
  <si>
    <t>BATARD</t>
  </si>
  <si>
    <t xml:space="preserve">LA BOISSE</t>
  </si>
  <si>
    <t xml:space="preserve">Cabinet PLANTIER Patrick</t>
  </si>
  <si>
    <t>patrick.plantier@geometre-expert.fr</t>
  </si>
  <si>
    <t>plantier.geometre@wanadoo.fr</t>
  </si>
  <si>
    <t>PLANTIER</t>
  </si>
  <si>
    <t xml:space="preserve">LA BOURBOULE</t>
  </si>
  <si>
    <t xml:space="preserve">Cabinet BLANCHARD Jean-Luc</t>
  </si>
  <si>
    <t>jean-luc.blanchard@geometre-expert.fr</t>
  </si>
  <si>
    <t>BLANCHARD</t>
  </si>
  <si>
    <t xml:space="preserve">LA BREDE</t>
  </si>
  <si>
    <t xml:space="preserve">S CARRÉ  SELARL S CARRÉ</t>
  </si>
  <si>
    <t>gilles.escarret@geometre-expert.fr</t>
  </si>
  <si>
    <t>ESCARRET</t>
  </si>
  <si>
    <t xml:space="preserve">LA CHAPELLE DE GUINCHAY</t>
  </si>
  <si>
    <t xml:space="preserve">EURL Cabinet Patrick BRANLY</t>
  </si>
  <si>
    <t>patrick.branly@geometre-expert.fr</t>
  </si>
  <si>
    <t>BRANLY</t>
  </si>
  <si>
    <t xml:space="preserve">LA CHAPELLE ST MESMIN</t>
  </si>
  <si>
    <t xml:space="preserve">SAS AB ASSOCIES</t>
  </si>
  <si>
    <t>arnaud.berson@geometre-expert.fr</t>
  </si>
  <si>
    <t>geometre-expert@ab-geometre.com</t>
  </si>
  <si>
    <t>maxime.asselin@geometre-expert.fr</t>
  </si>
  <si>
    <t>ASSELIN</t>
  </si>
  <si>
    <t>nicolas.bouis@geometre-expert.fr</t>
  </si>
  <si>
    <t>BOUIS</t>
  </si>
  <si>
    <t xml:space="preserve">LA CIOTAT</t>
  </si>
  <si>
    <t xml:space="preserve">SELAS QUADRA FONCIER</t>
  </si>
  <si>
    <t>ludovic.lefebure@geometre-expert.fr</t>
  </si>
  <si>
    <t>LEFEBURE</t>
  </si>
  <si>
    <t xml:space="preserve">SELARL Cabinet Michel MASSE</t>
  </si>
  <si>
    <t>michel.masse@geometre-expert.fr</t>
  </si>
  <si>
    <t>masse.geometre@wanadoo.fr</t>
  </si>
  <si>
    <t>MASSE</t>
  </si>
  <si>
    <t xml:space="preserve">LA COLLE SUR LOUP</t>
  </si>
  <si>
    <t xml:space="preserve">SARL Arielle DUCLOS-PORTUGUES</t>
  </si>
  <si>
    <t>arielle.duclos-portugues@geometre-expert.fr</t>
  </si>
  <si>
    <t>a.duclos.portugues@wanadoo.fr</t>
  </si>
  <si>
    <t>Arielle</t>
  </si>
  <si>
    <t>DUCLOS-PORTUGUES</t>
  </si>
  <si>
    <t xml:space="preserve">LA FERTE ALAIS</t>
  </si>
  <si>
    <t xml:space="preserve">Cabinet MARISY Jean-Pascal</t>
  </si>
  <si>
    <t>jean-pascal.marisy@geometre-expert.fr</t>
  </si>
  <si>
    <t>jeanpascal.marisy@Gmail.com</t>
  </si>
  <si>
    <t>MARISY</t>
  </si>
  <si>
    <t xml:space="preserve">LA FERTE GAUCHER</t>
  </si>
  <si>
    <t xml:space="preserve">SARL Cabinet WIENERT</t>
  </si>
  <si>
    <t>thomas.wienert@geometre-expert.fr</t>
  </si>
  <si>
    <t>cabinet.wienert@wanadoo.fr</t>
  </si>
  <si>
    <t>WIENERT</t>
  </si>
  <si>
    <t xml:space="preserve">LA FLECHE</t>
  </si>
  <si>
    <t xml:space="preserve">LOISEAU Christophe Géomètres-Experts</t>
  </si>
  <si>
    <t>florence.billion@geometre-expert.fr</t>
  </si>
  <si>
    <t>contact@cabinetloiseau.com</t>
  </si>
  <si>
    <t>BILLION-HOUDAYER</t>
  </si>
  <si>
    <t>christophe.loiseau@geometre-expert.fr</t>
  </si>
  <si>
    <t xml:space="preserve">LA GUERCHE DE BRETAGNE</t>
  </si>
  <si>
    <t xml:space="preserve">Cabinet DECAMPS Nathalie</t>
  </si>
  <si>
    <t>alexis.gauttier@geometre-expert.fr</t>
  </si>
  <si>
    <t>nathalie.decamps@geometre-expert.fr</t>
  </si>
  <si>
    <t>GAUTTIER</t>
  </si>
  <si>
    <t>DECAMPS</t>
  </si>
  <si>
    <t xml:space="preserve">LA JARNE</t>
  </si>
  <si>
    <t xml:space="preserve">CLMC SAS Cabinet Léglise Mounitz Conseils</t>
  </si>
  <si>
    <t>vincent.leglise@geometre-expert.fr</t>
  </si>
  <si>
    <t>v.leglise@clmc.fr</t>
  </si>
  <si>
    <t>LEGLISE</t>
  </si>
  <si>
    <t xml:space="preserve">LA LOUPE</t>
  </si>
  <si>
    <t xml:space="preserve">Cabinet HERMAND Philippe</t>
  </si>
  <si>
    <t>philippe.hermand@geometre-expert.fr</t>
  </si>
  <si>
    <t>hermand.philippe@orange.fr</t>
  </si>
  <si>
    <t>HERMAND</t>
  </si>
  <si>
    <t xml:space="preserve">LA MURE</t>
  </si>
  <si>
    <t xml:space="preserve">ATMO GEOMETRES-EXPERTS SARL</t>
  </si>
  <si>
    <t>jerome.milloz@geometre-expert.fr</t>
  </si>
  <si>
    <t>atmo.oisans@orange.fr</t>
  </si>
  <si>
    <t>MILLOZ</t>
  </si>
  <si>
    <t xml:space="preserve">LA POSSESSION</t>
  </si>
  <si>
    <t xml:space="preserve">Sylvie BROYON Géomètre-expert</t>
  </si>
  <si>
    <t>sylvie.broyon@geometre-expert.fr</t>
  </si>
  <si>
    <t>BROYON</t>
  </si>
  <si>
    <t xml:space="preserve">LA ROCHE SUR FORON</t>
  </si>
  <si>
    <t xml:space="preserve">SARL CARRIER - GEOMETRES EXPERTS</t>
  </si>
  <si>
    <t>philippe.carrier@geometre-expert.fr</t>
  </si>
  <si>
    <t>info@carrier-geometre.com</t>
  </si>
  <si>
    <t>CARRIER</t>
  </si>
  <si>
    <t>johan.jouet@geometre-expert.fr</t>
  </si>
  <si>
    <t>JOUET</t>
  </si>
  <si>
    <t>emilie.blanc@geometre-expert.fr</t>
  </si>
  <si>
    <t>BLANC</t>
  </si>
  <si>
    <t xml:space="preserve">LA ROCHE SUR YON</t>
  </si>
  <si>
    <t xml:space="preserve">GEOUEST SELARL de Géomètres-Experts</t>
  </si>
  <si>
    <t>nicolas.guet@geometre-expert.fr</t>
  </si>
  <si>
    <t>contact@geouest.fr</t>
  </si>
  <si>
    <t>GUET</t>
  </si>
  <si>
    <t>sylvain.chabot@geometre-expert.fr</t>
  </si>
  <si>
    <t>CHABOT</t>
  </si>
  <si>
    <t xml:space="preserve">BONNARD Frédéric</t>
  </si>
  <si>
    <t>frederic.bonnard@geometre-expert.fr</t>
  </si>
  <si>
    <t>bonnard.geometre.larochesuryon@orange.fr</t>
  </si>
  <si>
    <t>BONNARD</t>
  </si>
  <si>
    <t>maxime.voyer@geometre-expert.fr</t>
  </si>
  <si>
    <t>VOYER</t>
  </si>
  <si>
    <t xml:space="preserve">BRETAUDEAU Christophe SARL de Géomètres-Experts</t>
  </si>
  <si>
    <t>christophe.bretaudeau@geometre-expert.fr</t>
  </si>
  <si>
    <t>christophe.bretaudeau@geometre-vendee.fr</t>
  </si>
  <si>
    <t>BRETAUDEAU</t>
  </si>
  <si>
    <t>gregory.david@geometre-expert.fr</t>
  </si>
  <si>
    <t>DAVID</t>
  </si>
  <si>
    <t xml:space="preserve">LA ROCHELLE</t>
  </si>
  <si>
    <t xml:space="preserve">LGER LE GEOMETRE EXPERT ROCHELAIS</t>
  </si>
  <si>
    <t>gregoire.rechard@geometre-expert.fr</t>
  </si>
  <si>
    <t>g.rechard@lger.fr</t>
  </si>
  <si>
    <t>Grégoire</t>
  </si>
  <si>
    <t>RECHARD</t>
  </si>
  <si>
    <t xml:space="preserve">CHANTOISEAU et BOUTGES SCP</t>
  </si>
  <si>
    <t>philippe.chantoiseau@geometre-expert.fr</t>
  </si>
  <si>
    <t>geometres@bcge17.com</t>
  </si>
  <si>
    <t>CHANTOISEAU</t>
  </si>
  <si>
    <t>bruno.boutges@geometre-expert.fr</t>
  </si>
  <si>
    <t>BOUTGES</t>
  </si>
  <si>
    <t xml:space="preserve">LA SEYNE SUR MER</t>
  </si>
  <si>
    <t xml:space="preserve">SELAS GE2A</t>
  </si>
  <si>
    <t>arnaud.alvarez@geometre-expert.fr</t>
  </si>
  <si>
    <t>ALVAREZ</t>
  </si>
  <si>
    <t xml:space="preserve">LA TESTE DE BUCH</t>
  </si>
  <si>
    <t xml:space="preserve">SELAS A.U.I.G.E. GEOMETRE-EXPERT  Aménagement Urbanisme Ingénierie</t>
  </si>
  <si>
    <t>charles.beyries@geometre-expert.fr</t>
  </si>
  <si>
    <t>contact@auige.fr</t>
  </si>
  <si>
    <t>BEYRIES</t>
  </si>
  <si>
    <t>fabien.marquette@geometre-expert.fr</t>
  </si>
  <si>
    <t>MARQUETTE</t>
  </si>
  <si>
    <t>simon.gourvez@geometre-expert.fr</t>
  </si>
  <si>
    <t>GOURVEZ</t>
  </si>
  <si>
    <t>pierre.dejuli@geometre-expert.fr</t>
  </si>
  <si>
    <t xml:space="preserve">LA TRANCHE SUR MER</t>
  </si>
  <si>
    <t>GEOCEA</t>
  </si>
  <si>
    <t>olivier.hervouet@geometre-expert.fr</t>
  </si>
  <si>
    <t>olivier.hervouet@geocea.fr</t>
  </si>
  <si>
    <t>HERVOUET</t>
  </si>
  <si>
    <t xml:space="preserve">LA TRINITE</t>
  </si>
  <si>
    <t xml:space="preserve">Cabinet LOPPIN Pierre</t>
  </si>
  <si>
    <t>isabelle.loppin@geometre-expert.fr</t>
  </si>
  <si>
    <t>pierre.loppin@wanadoo.fr</t>
  </si>
  <si>
    <t>LOPPIN</t>
  </si>
  <si>
    <t xml:space="preserve">LA VALETTE DU VAR</t>
  </si>
  <si>
    <t xml:space="preserve">EURL Philippe CRUZ</t>
  </si>
  <si>
    <t>jacques.autran@geometre-expert.fr</t>
  </si>
  <si>
    <t>eurl.philippe.cruz@wanadoo.fr</t>
  </si>
  <si>
    <t>AUTRAN</t>
  </si>
  <si>
    <t>philippe.cruz@geometre-expert.fr</t>
  </si>
  <si>
    <t>CRUZ</t>
  </si>
  <si>
    <t xml:space="preserve">SELAFA OPSIA MEDITERRANEE</t>
  </si>
  <si>
    <t>mouatassem.merheb@geometre-expert.fr</t>
  </si>
  <si>
    <t>opsia@opsia.fr</t>
  </si>
  <si>
    <t>Mouatassem</t>
  </si>
  <si>
    <t>MERHEB</t>
  </si>
  <si>
    <t>francois.hospital@geometre-expert.fr</t>
  </si>
  <si>
    <t>HOSPITAL</t>
  </si>
  <si>
    <t>nicolas.bouad@geometre-expert.fr</t>
  </si>
  <si>
    <t>BOUAD</t>
  </si>
  <si>
    <t>sandrine.calcagno@geometre-expert.fr</t>
  </si>
  <si>
    <t>CALCAGNO</t>
  </si>
  <si>
    <t xml:space="preserve">LA VOULTE SUR RHONE</t>
  </si>
  <si>
    <t xml:space="preserve">Cabinet BILLON sarl unipersonnelle</t>
  </si>
  <si>
    <t>frederic.billon@geometre-expert.fr</t>
  </si>
  <si>
    <t>f.billon@cabinet-billon.fr</t>
  </si>
  <si>
    <t>BILLON</t>
  </si>
  <si>
    <t>LABATTOIR</t>
  </si>
  <si>
    <t xml:space="preserve">SARL TOPO MAP</t>
  </si>
  <si>
    <t>rahim.halidi@geometre-expert.fr</t>
  </si>
  <si>
    <t>rahim.halidi976@gmail.com</t>
  </si>
  <si>
    <t>Rahim</t>
  </si>
  <si>
    <t>HALIDI</t>
  </si>
  <si>
    <t>LABEGE</t>
  </si>
  <si>
    <t xml:space="preserve">GEXIA FONCIER EXPERT SARL</t>
  </si>
  <si>
    <t>vincent.martinache@geometre-expert.fr</t>
  </si>
  <si>
    <t>contact@gexiafoncier.fr</t>
  </si>
  <si>
    <t>MARTINACHE</t>
  </si>
  <si>
    <t>LACANAU</t>
  </si>
  <si>
    <t xml:space="preserve">SARL PARALLELE 45 GEOMETRES-EXPERTS ASSOCIES</t>
  </si>
  <si>
    <t>elodie.turcq@geometre-expert.fr</t>
  </si>
  <si>
    <t>lacanau@parallele-45.com</t>
  </si>
  <si>
    <t>TURCQ</t>
  </si>
  <si>
    <t>christophe.martial@geometre-expert.fr</t>
  </si>
  <si>
    <t>MARTIAL</t>
  </si>
  <si>
    <t>julien.david@geometre-expert.fr</t>
  </si>
  <si>
    <t>jean-yves.mas@geometre-expert.fr</t>
  </si>
  <si>
    <t>MAS</t>
  </si>
  <si>
    <t>jeremy.hoarau@geometre-expert.fr</t>
  </si>
  <si>
    <t>HOARAU</t>
  </si>
  <si>
    <t>fabrice.defaveri@geometre-expert.fr</t>
  </si>
  <si>
    <t xml:space="preserve">LAGNY SUR MARNE</t>
  </si>
  <si>
    <t xml:space="preserve">SELAS CABINET MARMAGNE</t>
  </si>
  <si>
    <t>alexandre.fin@geometre-expert.fr</t>
  </si>
  <si>
    <t>accueil@cabinetmarmagne.fr</t>
  </si>
  <si>
    <t>FIN</t>
  </si>
  <si>
    <t>aurelien.mueller@geometre-expert.fr</t>
  </si>
  <si>
    <t>MUELLER</t>
  </si>
  <si>
    <t>quentin.deneu@geometre-expert.fr</t>
  </si>
  <si>
    <t>DENEU</t>
  </si>
  <si>
    <t xml:space="preserve">SARL Cabinet LAURENS</t>
  </si>
  <si>
    <t>fabien.laurens@geometre-expert.fr</t>
  </si>
  <si>
    <t>cabinet.laurens@yahoo.fr</t>
  </si>
  <si>
    <t>LAURENS</t>
  </si>
  <si>
    <t xml:space="preserve">LAISSAC SEVERAC L EGLISE</t>
  </si>
  <si>
    <t xml:space="preserve">Cabinet SALVADOR Frédéric</t>
  </si>
  <si>
    <t>frederic.salvador@geometre-expert.fr</t>
  </si>
  <si>
    <t>salvador.geometre@gmail.com</t>
  </si>
  <si>
    <t>SALVADOR</t>
  </si>
  <si>
    <t xml:space="preserve">LAMBALLE ARMOR</t>
  </si>
  <si>
    <t xml:space="preserve">SELARL GEO-ARMOR GEOMETRES-EXPERTS</t>
  </si>
  <si>
    <t>herve.meister@geometre-expert.fr</t>
  </si>
  <si>
    <t>MEISTER</t>
  </si>
  <si>
    <t>LAMBESC</t>
  </si>
  <si>
    <t xml:space="preserve">EURL JEREMY VAGNE</t>
  </si>
  <si>
    <t>jeremy.vagne@geometre-expert.fr</t>
  </si>
  <si>
    <t>VAGNE</t>
  </si>
  <si>
    <t>LANCIE</t>
  </si>
  <si>
    <t xml:space="preserve">AAMARIGE SARL de Géomètre-expert</t>
  </si>
  <si>
    <t>lionel.rey@geometre-expert.fr</t>
  </si>
  <si>
    <t>REY</t>
  </si>
  <si>
    <t>LANGON</t>
  </si>
  <si>
    <t xml:space="preserve">SCP Philippe ESCANDE</t>
  </si>
  <si>
    <t>philippe.escande@geometre-expert.fr</t>
  </si>
  <si>
    <t>philippe.escande@wanadoo.fr</t>
  </si>
  <si>
    <t>ESCANDE</t>
  </si>
  <si>
    <t>LANGRES</t>
  </si>
  <si>
    <t xml:space="preserve">Cabinet CARDINAL LONGECHAMP</t>
  </si>
  <si>
    <t>jean-pierre.cardinal@geometre-expert.fr</t>
  </si>
  <si>
    <t>cardinal.langres@wanadoo.fr</t>
  </si>
  <si>
    <t>CARDINAL</t>
  </si>
  <si>
    <t>raphael.longechamp@geometre-expert.fr</t>
  </si>
  <si>
    <t>LONGECHAMP</t>
  </si>
  <si>
    <t>LANGUEUX</t>
  </si>
  <si>
    <t xml:space="preserve">Cabinet LEMOIGNE Jean-Luc</t>
  </si>
  <si>
    <t>jean-luc.lemoigne@geometre-expert.fr</t>
  </si>
  <si>
    <t>LEMOIGNE</t>
  </si>
  <si>
    <t>ALMG</t>
  </si>
  <si>
    <t>arnaud.lemoigne@geometre-expert.fr</t>
  </si>
  <si>
    <t>LANNION</t>
  </si>
  <si>
    <t xml:space="preserve">BM GEOMETRE</t>
  </si>
  <si>
    <t>bertrand.menez@geometre-expert.fr</t>
  </si>
  <si>
    <t>MENEZ</t>
  </si>
  <si>
    <t>LAVAL</t>
  </si>
  <si>
    <t xml:space="preserve">MAILLARD David</t>
  </si>
  <si>
    <t>david.maillard@geometre-expert.fr</t>
  </si>
  <si>
    <t>dmaillard53@gmail.com</t>
  </si>
  <si>
    <t>MAILLARD</t>
  </si>
  <si>
    <t>LAXOU</t>
  </si>
  <si>
    <t xml:space="preserve">SELARL Audrey DEVILLIER</t>
  </si>
  <si>
    <t>audrey.devillier@geometre-expert.fr</t>
  </si>
  <si>
    <t>DEVILLIER</t>
  </si>
  <si>
    <t xml:space="preserve">LE BARP</t>
  </si>
  <si>
    <t xml:space="preserve">SELARL LABORDE-LANSARD</t>
  </si>
  <si>
    <t>renaud.lansard@geometre-expert.fr</t>
  </si>
  <si>
    <t>laborde-lansard@geometre-expert.fr</t>
  </si>
  <si>
    <t>LANSARD</t>
  </si>
  <si>
    <t>francois.laborde@geometre-expert.fr</t>
  </si>
  <si>
    <t>LABORDE</t>
  </si>
  <si>
    <t xml:space="preserve">LE BEAUSSET</t>
  </si>
  <si>
    <t xml:space="preserve">VERBRUGGE GEOMETRE-EXPERT</t>
  </si>
  <si>
    <t>simon.gorniak@geometre-expert.fr</t>
  </si>
  <si>
    <t>ge83330@gmail.com</t>
  </si>
  <si>
    <t>GORNIAK</t>
  </si>
  <si>
    <t xml:space="preserve">LE CANNET</t>
  </si>
  <si>
    <t xml:space="preserve">CABINET MOZER</t>
  </si>
  <si>
    <t>francois.mozer@geometre-expert.fr</t>
  </si>
  <si>
    <t>MOZER</t>
  </si>
  <si>
    <t xml:space="preserve">LE CANNET DES MAURES</t>
  </si>
  <si>
    <t xml:space="preserve">SARL DE G.E. ROCHE ET ASSOCIES</t>
  </si>
  <si>
    <t>laurent.roche@geometre-expert.fr</t>
  </si>
  <si>
    <t>ROCHE</t>
  </si>
  <si>
    <t xml:space="preserve">LE CHAMBON SUR LIGNON</t>
  </si>
  <si>
    <t xml:space="preserve">SARL GEODIAG 43-07</t>
  </si>
  <si>
    <t>laurent.fournier@geometre-expert.fr</t>
  </si>
  <si>
    <t>geodiag4307@orange.fr</t>
  </si>
  <si>
    <t>FOURNIER</t>
  </si>
  <si>
    <t xml:space="preserve">LE CHATELET EN BRIE</t>
  </si>
  <si>
    <t xml:space="preserve">SELAS DTGE DEVELOPPEMENT TERRITOIRE GEOMETRE EXPERT</t>
  </si>
  <si>
    <t>antoine.parise@geometre-expert.fr</t>
  </si>
  <si>
    <t>contact@dtge.fr</t>
  </si>
  <si>
    <t>PARISE</t>
  </si>
  <si>
    <t xml:space="preserve">LE CREUSOT</t>
  </si>
  <si>
    <t xml:space="preserve">SAS Cabinet LAUBERAT-JAVOUHEY</t>
  </si>
  <si>
    <t>veronique.lauberat@geometre-expert.fr</t>
  </si>
  <si>
    <t>cabinet.lauberat@geometre-expert.fr</t>
  </si>
  <si>
    <t>LAUBERAT-JAVOUHEY</t>
  </si>
  <si>
    <t xml:space="preserve">LE GOSIER</t>
  </si>
  <si>
    <t xml:space="preserve">SELARL Cabinet SIMON &amp;amp; ASSOCIES</t>
  </si>
  <si>
    <t>jean-francois.laulau@geometre-expert.fr</t>
  </si>
  <si>
    <t>geometre.caudrelier@gmail.com</t>
  </si>
  <si>
    <t>LAULAU</t>
  </si>
  <si>
    <t>louis.caudrelier@geometre-expert.fr</t>
  </si>
  <si>
    <t>CAUDRELIER</t>
  </si>
  <si>
    <t>clement.boutry@geometre-expert.fr</t>
  </si>
  <si>
    <t>Clément</t>
  </si>
  <si>
    <t>BOUTRY</t>
  </si>
  <si>
    <t>eric.morvan@geometre-expert.fr</t>
  </si>
  <si>
    <t>MORVAN</t>
  </si>
  <si>
    <t xml:space="preserve">LE HAVRE</t>
  </si>
  <si>
    <t xml:space="preserve">CABINET MATHILDE ADAM</t>
  </si>
  <si>
    <t>mathilde.adam@geometre-expert.fr</t>
  </si>
  <si>
    <t>contact@ge-adam.fr</t>
  </si>
  <si>
    <t>ADAM</t>
  </si>
  <si>
    <t>AHMES</t>
  </si>
  <si>
    <t>cyril.mongenoty@geometre-expert.fr</t>
  </si>
  <si>
    <t>contact-lehavre@ahmes-geometre.fr</t>
  </si>
  <si>
    <t>MONGENOTY</t>
  </si>
  <si>
    <t>sebastien.grenet@geometre-expert.fr</t>
  </si>
  <si>
    <t>GRENET</t>
  </si>
  <si>
    <t xml:space="preserve">LE HEZO</t>
  </si>
  <si>
    <t xml:space="preserve">MG . GEOMETRE-EXPERT</t>
  </si>
  <si>
    <t>noeline.hoarau-martin@geometre-expert.fr</t>
  </si>
  <si>
    <t>contact@mgge.fr</t>
  </si>
  <si>
    <t>Noëline</t>
  </si>
  <si>
    <t>HOARAU-MARTIN</t>
  </si>
  <si>
    <t>clement.milot@geometre-expert.fr</t>
  </si>
  <si>
    <t>MILOT</t>
  </si>
  <si>
    <t xml:space="preserve">LE LAMENTIN</t>
  </si>
  <si>
    <t xml:space="preserve">SARL GEOMEX ANTILLES</t>
  </si>
  <si>
    <t>nicolas.duchamp@geometre-expert.fr</t>
  </si>
  <si>
    <t>DUCHAMP</t>
  </si>
  <si>
    <t xml:space="preserve">SARL ANTILLES TOPO EXPERTISE</t>
  </si>
  <si>
    <t>daniel.ainama@geometre-expert.fr</t>
  </si>
  <si>
    <t>antilles.topo@wanadoo.fr</t>
  </si>
  <si>
    <t>AINAMA</t>
  </si>
  <si>
    <t>franck.egesipe@geometre-expert.fr</t>
  </si>
  <si>
    <t>FRANCK</t>
  </si>
  <si>
    <t>EGESIPE</t>
  </si>
  <si>
    <t xml:space="preserve">LE LAVANDOU</t>
  </si>
  <si>
    <t xml:space="preserve">SARL CABINET DUJARDIN</t>
  </si>
  <si>
    <t>christophe.dujardin@geometre-expert.fr</t>
  </si>
  <si>
    <t xml:space="preserve">LE LOROUX BOTTEREAU</t>
  </si>
  <si>
    <t xml:space="preserve">NICOLAS Christophe</t>
  </si>
  <si>
    <t>christophe.nicolas@geometre-expert.fr</t>
  </si>
  <si>
    <t>c.nicolas.geometre@wanadoo.fr</t>
  </si>
  <si>
    <t xml:space="preserve">LE MANS</t>
  </si>
  <si>
    <t>GEOMANS</t>
  </si>
  <si>
    <t>aurelie.duprilot@geometre-expert.fr</t>
  </si>
  <si>
    <t>a.duprilot@geomans.fr</t>
  </si>
  <si>
    <t>DUPRILOT</t>
  </si>
  <si>
    <t xml:space="preserve">PELLE Jean-Michel Géomètre-Expert - SASU</t>
  </si>
  <si>
    <t>jean-michel.pelle@geometre-expert.fr</t>
  </si>
  <si>
    <t>PELLE</t>
  </si>
  <si>
    <t xml:space="preserve">LE NEUBOURG</t>
  </si>
  <si>
    <t>CALDEA</t>
  </si>
  <si>
    <t>stephane.devriese@geometre-expert.fr</t>
  </si>
  <si>
    <t>neubourg@caldea-normandie.fr</t>
  </si>
  <si>
    <t>guillaume.deboos@geometre-expert.fr</t>
  </si>
  <si>
    <t>maxime.secret@geometre-expert.fr</t>
  </si>
  <si>
    <t>SECRET</t>
  </si>
  <si>
    <t>nicolas.lefebvre@geometre-expert.fr</t>
  </si>
  <si>
    <t xml:space="preserve">LE PELLERIN</t>
  </si>
  <si>
    <t>GEOSPHERE</t>
  </si>
  <si>
    <t>antoine.lebotdrouet@geometre-expert.fr</t>
  </si>
  <si>
    <t>cabinet.geosphere@gmail.com</t>
  </si>
  <si>
    <t xml:space="preserve">LE PONT DE BEAUVOISIN</t>
  </si>
  <si>
    <t xml:space="preserve">SARL ISAGEO</t>
  </si>
  <si>
    <t>david.wrobel@geometre-expert.fr</t>
  </si>
  <si>
    <t>geometre@isa-geo.fr</t>
  </si>
  <si>
    <t>WROBEL</t>
  </si>
  <si>
    <t>benoit.charlet@geometre-expert.fr</t>
  </si>
  <si>
    <t>CHARLET</t>
  </si>
  <si>
    <t>guillaume.delaunay@geometre-expert.fr</t>
  </si>
  <si>
    <t>DELAUNAY</t>
  </si>
  <si>
    <t xml:space="preserve">LE PORT</t>
  </si>
  <si>
    <t xml:space="preserve">SELARL OCEAN INDIEN TOPOGRAPHIE</t>
  </si>
  <si>
    <t>oit.leu@geometre-expert.fr</t>
  </si>
  <si>
    <t>cabinet.oit@geometre-expert.fr</t>
  </si>
  <si>
    <t>PACHECO</t>
  </si>
  <si>
    <t>MONSCH</t>
  </si>
  <si>
    <t xml:space="preserve">LE ROBERT</t>
  </si>
  <si>
    <t xml:space="preserve">EURL Cabinet SEGUETTE</t>
  </si>
  <si>
    <t>jonathan.seguette@geometre-expert.fr</t>
  </si>
  <si>
    <t>SEGUETTE</t>
  </si>
  <si>
    <t xml:space="preserve">LE TAMPON</t>
  </si>
  <si>
    <t xml:space="preserve">Cabinet VEYLAND SARL de Géomètre-Expert</t>
  </si>
  <si>
    <t>christine.kowalski@geometre-expert.fr</t>
  </si>
  <si>
    <t>cv-geometre@cabinet-veyland.fr</t>
  </si>
  <si>
    <t>KOWALSKI</t>
  </si>
  <si>
    <t>cyrille.veyland@geometre-expert.fr</t>
  </si>
  <si>
    <t>VEYLAND</t>
  </si>
  <si>
    <t xml:space="preserve">LE TEICH</t>
  </si>
  <si>
    <t xml:space="preserve">SARL ARKETUDE</t>
  </si>
  <si>
    <t>paul.landel@geometre-expert.fr</t>
  </si>
  <si>
    <t>pl.arketude@gmail.com</t>
  </si>
  <si>
    <t>LANDEL</t>
  </si>
  <si>
    <t xml:space="preserve">LE TEIL</t>
  </si>
  <si>
    <t xml:space="preserve">EURL Cabinet Sylvain VARENNE Géomètre-Expert</t>
  </si>
  <si>
    <t>sylvain.varenne@geometre-expert.fr</t>
  </si>
  <si>
    <t>varenne.sylvain.geo@gmail.com</t>
  </si>
  <si>
    <t>VARENNE</t>
  </si>
  <si>
    <t xml:space="preserve">LE THOLONET</t>
  </si>
  <si>
    <t xml:space="preserve">SARL CG EXPERT</t>
  </si>
  <si>
    <t>sebastien.carme@geometre-expert.fr</t>
  </si>
  <si>
    <t>contact@cgexpert.fr</t>
  </si>
  <si>
    <t>CARME</t>
  </si>
  <si>
    <t>nadege.gruau@geometre-expert.fr</t>
  </si>
  <si>
    <t>Nadège</t>
  </si>
  <si>
    <t>GRUAU</t>
  </si>
  <si>
    <t xml:space="preserve">LEGE CAP FERRET</t>
  </si>
  <si>
    <t xml:space="preserve">Cabinet VIRY Stéphane</t>
  </si>
  <si>
    <t>stephane.viry@geometre-expert.fr</t>
  </si>
  <si>
    <t>VIRY</t>
  </si>
  <si>
    <t>LENS</t>
  </si>
  <si>
    <t xml:space="preserve">SARL 2CT Géomètre-Expert</t>
  </si>
  <si>
    <t>cecile.taffin@geometre-expert.fr</t>
  </si>
  <si>
    <t>taffin.lens@wanadoo.fr</t>
  </si>
  <si>
    <t>Cécile</t>
  </si>
  <si>
    <t xml:space="preserve">SARL Jacky MEGRET Géomètre-Expert</t>
  </si>
  <si>
    <t>jacky.megret@geometre-expert.fr</t>
  </si>
  <si>
    <t>contact@megret-geometre.com</t>
  </si>
  <si>
    <t>LEOGNAN</t>
  </si>
  <si>
    <t xml:space="preserve">Cabinet INGUERE Bernard</t>
  </si>
  <si>
    <t>bernard.inguere@geometre-expert.fr</t>
  </si>
  <si>
    <t>inguere@club-internet.fr</t>
  </si>
  <si>
    <t>INGUERE</t>
  </si>
  <si>
    <t xml:space="preserve">LES ANGLES</t>
  </si>
  <si>
    <t xml:space="preserve">VIA GEO SELARL DE GEOMETRES-EXPERTS</t>
  </si>
  <si>
    <t>jerome.gaffet@geometre-expert.fr</t>
  </si>
  <si>
    <t>jerome.gaffet@yahoo.fr</t>
  </si>
  <si>
    <t>GAFFET</t>
  </si>
  <si>
    <t xml:space="preserve">LES MUREAUX</t>
  </si>
  <si>
    <t xml:space="preserve">EURL Géomètre-Expert Benoît DUVAL</t>
  </si>
  <si>
    <t>benoit.duval@geometre-expert.fr</t>
  </si>
  <si>
    <t>DUVAL</t>
  </si>
  <si>
    <t xml:space="preserve">LES PENNES MIRABEAU</t>
  </si>
  <si>
    <t xml:space="preserve">SARL PHIGEO EXPERT</t>
  </si>
  <si>
    <t>philippe.gozzi@geometre-expert.fr</t>
  </si>
  <si>
    <t>contact@phigeo.fr</t>
  </si>
  <si>
    <t>GOZZI</t>
  </si>
  <si>
    <t xml:space="preserve">LES SABLES D OLONNE</t>
  </si>
  <si>
    <t xml:space="preserve">THOUZEAU - LEGAL</t>
  </si>
  <si>
    <t>vincent.thouzeau@geometre-expert.fr</t>
  </si>
  <si>
    <t>THOUZEAU</t>
  </si>
  <si>
    <t xml:space="preserve">GUILBAUDEAU Frédéric</t>
  </si>
  <si>
    <t>frederic.guilbaudeau@geometre-expert.fr</t>
  </si>
  <si>
    <t>contact@guilbaudeau.fr</t>
  </si>
  <si>
    <t>GUILBAUDEAU</t>
  </si>
  <si>
    <t>LESNEVEN</t>
  </si>
  <si>
    <t xml:space="preserve">SELARL Cabinet Ollivier</t>
  </si>
  <si>
    <t>yannick.ollivier@geometre-expert.fr</t>
  </si>
  <si>
    <t>cabinet-ollivier@wanadoo.fr</t>
  </si>
  <si>
    <t>OLLIVIER</t>
  </si>
  <si>
    <t>LESSY</t>
  </si>
  <si>
    <t xml:space="preserve">SOGEX SALARI Daniel</t>
  </si>
  <si>
    <t>daniel.salari@geometre-expert.fr</t>
  </si>
  <si>
    <t>SALARI</t>
  </si>
  <si>
    <t xml:space="preserve">LEVALLOIS PERRET</t>
  </si>
  <si>
    <t xml:space="preserve">SELARL CALVIAC-BLATIER &amp;amp; ASSOCIES</t>
  </si>
  <si>
    <t>jerome.calviac@geometre-expert.fr</t>
  </si>
  <si>
    <t>CALVIAC</t>
  </si>
  <si>
    <t>emmanuel.blatier@geometre-expert.fr</t>
  </si>
  <si>
    <t>BLATIER</t>
  </si>
  <si>
    <t xml:space="preserve">SELARL FOREST et Associés</t>
  </si>
  <si>
    <t>etienne.sagnal@geometre-expert.fr</t>
  </si>
  <si>
    <t>contact@forest.geometre-expert.fr</t>
  </si>
  <si>
    <t>SAGNAL</t>
  </si>
  <si>
    <t>matthieu.legrosdidier@geometre-expert.fr</t>
  </si>
  <si>
    <t>LEGROSDIDIER</t>
  </si>
  <si>
    <t>yacine.kassiba@geometre-expert.fr</t>
  </si>
  <si>
    <t>KASSIBA</t>
  </si>
  <si>
    <t>alexandre.moucquot@geometre-expert.fr</t>
  </si>
  <si>
    <t>MOUCQUOT</t>
  </si>
  <si>
    <t>LIBOURNE</t>
  </si>
  <si>
    <t xml:space="preserve">SARL C.E.R.C.E.A.U.</t>
  </si>
  <si>
    <t>nicolas.richard@geometre-expert.fr</t>
  </si>
  <si>
    <t>cerceau.sarl@wanadoo.fr</t>
  </si>
  <si>
    <t>christophe.manton@geometre-expert.fr</t>
  </si>
  <si>
    <t>MANTON</t>
  </si>
  <si>
    <t>LIEVIN</t>
  </si>
  <si>
    <t xml:space="preserve">SARL LEJEAIL Géomètre-Expert</t>
  </si>
  <si>
    <t>philippe.lejeail@geometre-expert.fr</t>
  </si>
  <si>
    <t>ph.lejeail@cabinet-lejeail.geometre-expert.fr</t>
  </si>
  <si>
    <t>LEJEAIL</t>
  </si>
  <si>
    <t>LILLE</t>
  </si>
  <si>
    <t xml:space="preserve">SELARL DESPAGNE-MAES</t>
  </si>
  <si>
    <t>francois.maes@geometre-expert.fr</t>
  </si>
  <si>
    <t>despagne-maes@nordnet.fr</t>
  </si>
  <si>
    <t>MAES</t>
  </si>
  <si>
    <t xml:space="preserve">SELAS MA-GEO</t>
  </si>
  <si>
    <t>nicolas.jasiak@geometre-expert.fr</t>
  </si>
  <si>
    <t>contact@ma-geo.fr</t>
  </si>
  <si>
    <t>JASIAK</t>
  </si>
  <si>
    <t>fabrice.teletsop@geometre-expert.fr</t>
  </si>
  <si>
    <t>TELETSOP</t>
  </si>
  <si>
    <t xml:space="preserve">SARL GEONOV GEOMETRE EXPERT</t>
  </si>
  <si>
    <t>gerome.clement@geometre-expert.fr</t>
  </si>
  <si>
    <t>contact@geonov-expert.fr</t>
  </si>
  <si>
    <t>Gérôme</t>
  </si>
  <si>
    <t>CLEMENT</t>
  </si>
  <si>
    <t>jean-francois.morel@geometre-expert.fr</t>
  </si>
  <si>
    <t xml:space="preserve">SCP Vincent DELECROIX, David HANOIRE et Benjamin HEYNDRICKX Géomètres-Experts associés</t>
  </si>
  <si>
    <t>benjamin.heyndrickx@geometre-expert.fr</t>
  </si>
  <si>
    <t>contact@delecroix-hanoire.geometre-expert.fr</t>
  </si>
  <si>
    <t>HEYNDRICKX</t>
  </si>
  <si>
    <t>david.hanoire@geometre-expert.fr</t>
  </si>
  <si>
    <t>HANOIRE</t>
  </si>
  <si>
    <t xml:space="preserve">Cabinet Louis LENHARDT</t>
  </si>
  <si>
    <t>louis.lenhardt@geometre-expert.fr</t>
  </si>
  <si>
    <t>LENHARDT</t>
  </si>
  <si>
    <t>alexandre.bourez@geometre-expert.fr</t>
  </si>
  <si>
    <t>BOUREZ</t>
  </si>
  <si>
    <t xml:space="preserve">SCP ROBART</t>
  </si>
  <si>
    <t>sylvain.robart@geometre-expert.fr</t>
  </si>
  <si>
    <t>contact@scprobart.fr</t>
  </si>
  <si>
    <t>ROBART</t>
  </si>
  <si>
    <t>vincent.delecroix@geometre-expert.fr</t>
  </si>
  <si>
    <t>DELECROIX</t>
  </si>
  <si>
    <t>delphine.guillon@geometre-expert.fr</t>
  </si>
  <si>
    <t>GUILLON</t>
  </si>
  <si>
    <t xml:space="preserve">ESTADIEU GEOMETRE-EXPERT</t>
  </si>
  <si>
    <t>antoine.estadieu@geometre-expert.fr</t>
  </si>
  <si>
    <t>aestadieu@nordnet.fr</t>
  </si>
  <si>
    <t>ESTADIEU</t>
  </si>
  <si>
    <t>LIMAS</t>
  </si>
  <si>
    <t xml:space="preserve">SELAS Charles DAVAUX  Géomètre-Expert</t>
  </si>
  <si>
    <t>charles.davaux@geometre-expert.fr</t>
  </si>
  <si>
    <t>DAVAUX</t>
  </si>
  <si>
    <t>LIMOGES</t>
  </si>
  <si>
    <t xml:space="preserve">SELARL PLAN B</t>
  </si>
  <si>
    <t>benoit.presset@geometre-expert.fr</t>
  </si>
  <si>
    <t>PRESSET</t>
  </si>
  <si>
    <t xml:space="preserve">SARL LEHMANN et Associés Géomètre-Expert</t>
  </si>
  <si>
    <t>arnaud.lehmann@geometre-expert.fr</t>
  </si>
  <si>
    <t>sarl.lehmann.geometre@wanadoo.fr</t>
  </si>
  <si>
    <t>LEHMANN</t>
  </si>
  <si>
    <t>jean-louis.lehmann@geometre-expert.fr</t>
  </si>
  <si>
    <t xml:space="preserve">SELARL Cabinet DUARTE Géomètre-Expert</t>
  </si>
  <si>
    <t>victor.duarte@geometre-expert.fr</t>
  </si>
  <si>
    <t>geometre@cabinetduarte.com</t>
  </si>
  <si>
    <t>DUARTE</t>
  </si>
  <si>
    <t xml:space="preserve">Cabinet PIMPAUD Patrick</t>
  </si>
  <si>
    <t>patrick.pimpaud@geometre-expert.fr</t>
  </si>
  <si>
    <t>pimpaud.geometre-expert@wanadoo.fr</t>
  </si>
  <si>
    <t>PIMPAUD</t>
  </si>
  <si>
    <t>LIMONEST</t>
  </si>
  <si>
    <t xml:space="preserve">TERRA URBA GEOMETRES EXPERTS SELAS</t>
  </si>
  <si>
    <t>alban.dousson@geometre-expert.fr</t>
  </si>
  <si>
    <t>contact@gilletmoussard.fr</t>
  </si>
  <si>
    <t>DOUSSON</t>
  </si>
  <si>
    <t>sebastien.bosetti@geometre-expert.fr</t>
  </si>
  <si>
    <t>BOSETTI</t>
  </si>
  <si>
    <t>jonathan.privat@geometre-expert.fr</t>
  </si>
  <si>
    <t>PRIVAT</t>
  </si>
  <si>
    <t>xavier.moussard@geometre-expert.fr</t>
  </si>
  <si>
    <t>MOUSSARD</t>
  </si>
  <si>
    <t>LIMOUX</t>
  </si>
  <si>
    <t xml:space="preserve">SELARL AXIOME</t>
  </si>
  <si>
    <t>thomas.bonnel@geometre-expert.fr</t>
  </si>
  <si>
    <t>secretariat@axiome-bonnel.fr</t>
  </si>
  <si>
    <t>BONNEL</t>
  </si>
  <si>
    <t>LISIEUX</t>
  </si>
  <si>
    <t xml:space="preserve">ABAC-GEO Géomètres-Experts associés</t>
  </si>
  <si>
    <t>aude.maltese@geometre-expert.fr</t>
  </si>
  <si>
    <t>contact.lisieux@abac-geo.fr</t>
  </si>
  <si>
    <t>Aude</t>
  </si>
  <si>
    <t>MALTESE</t>
  </si>
  <si>
    <t>clement.storez@geometre-expert.fr</t>
  </si>
  <si>
    <t>STOREZ</t>
  </si>
  <si>
    <t>brice.mermin@geometre-expert.fr</t>
  </si>
  <si>
    <t>MERMIN</t>
  </si>
  <si>
    <t>MERCATOR²</t>
  </si>
  <si>
    <t>thierry.hoy@geometre-expert.fr</t>
  </si>
  <si>
    <t>lisieux@mercator2.fr</t>
  </si>
  <si>
    <t>HOY</t>
  </si>
  <si>
    <t>LISSIEU</t>
  </si>
  <si>
    <t xml:space="preserve">SELARL Cabinet Pierre DEJONGHE</t>
  </si>
  <si>
    <t>pierre.dejonghe@geometre-expert.fr</t>
  </si>
  <si>
    <t>cabinet.dejonghe@geometre-expert.fr</t>
  </si>
  <si>
    <t>DEJONGHE</t>
  </si>
  <si>
    <t xml:space="preserve">LIVRON SUR DROME</t>
  </si>
  <si>
    <t xml:space="preserve">Cabinet DARRAS Christian</t>
  </si>
  <si>
    <t>christian.darras@geometre-expert.fr</t>
  </si>
  <si>
    <t>DARRAS</t>
  </si>
  <si>
    <t xml:space="preserve">LIVRY GARGAN</t>
  </si>
  <si>
    <t xml:space="preserve">SELAS Cabinet WEISSE Géomètre-Expert</t>
  </si>
  <si>
    <t>eric.dupin@geometre-expert.fr</t>
  </si>
  <si>
    <t>DUPIN</t>
  </si>
  <si>
    <t>LOCHES</t>
  </si>
  <si>
    <t xml:space="preserve">SELARL BRUNO ETCHEBARNE</t>
  </si>
  <si>
    <t>b.etchebarne@geometre-expert.fr</t>
  </si>
  <si>
    <t>ETCHEBARNE</t>
  </si>
  <si>
    <t>LONGJUMEAU</t>
  </si>
  <si>
    <t xml:space="preserve">SARL PROGEXIAL</t>
  </si>
  <si>
    <t>laurent.rointru@geometre-expert.fr</t>
  </si>
  <si>
    <t>progexial@progexial.fr</t>
  </si>
  <si>
    <t>ROINTRU</t>
  </si>
  <si>
    <t>franck.simon@geometre-expert.fr</t>
  </si>
  <si>
    <t>SIMON</t>
  </si>
  <si>
    <t>remy.crumois@geometre-expert.fr</t>
  </si>
  <si>
    <t>CRUMOIS</t>
  </si>
  <si>
    <t xml:space="preserve">LONGUE JUMELLES</t>
  </si>
  <si>
    <t xml:space="preserve">ASE GEOMETRE</t>
  </si>
  <si>
    <t>sylvain.chopineaux@geometre-expert.fr</t>
  </si>
  <si>
    <t>contact@ase-geometre.fr</t>
  </si>
  <si>
    <t>CHOPINEAUX</t>
  </si>
  <si>
    <t>LONGWY</t>
  </si>
  <si>
    <t xml:space="preserve">Cabinet KIRCHER Jean-Michel</t>
  </si>
  <si>
    <t>jm.kircher@geometre-expert.fr</t>
  </si>
  <si>
    <t>jm.kircher@wanadoo.fr</t>
  </si>
  <si>
    <t>KIRCHER</t>
  </si>
  <si>
    <t xml:space="preserve">LONS LE SAUNIER</t>
  </si>
  <si>
    <t xml:space="preserve">SAS Cabinet Alban VUILLEMEY</t>
  </si>
  <si>
    <t>alban.vuillemey@geometre-expert.fr</t>
  </si>
  <si>
    <t>VUILLEMEY</t>
  </si>
  <si>
    <t>LORGUES</t>
  </si>
  <si>
    <t xml:space="preserve">SASU FREDERIC LESUEUR GEOMETRE-EXPERT</t>
  </si>
  <si>
    <t>frederic.lesueur@geometre-expert.fr</t>
  </si>
  <si>
    <t>LESUEUR</t>
  </si>
  <si>
    <t>LORIENT</t>
  </si>
  <si>
    <t xml:space="preserve">SARL Laurent MARTIN</t>
  </si>
  <si>
    <t>laurent.martin@geometre-expert.fr</t>
  </si>
  <si>
    <t>romain.guehennec@geometre-expert.fr</t>
  </si>
  <si>
    <t>GUEHENNEC</t>
  </si>
  <si>
    <t xml:space="preserve">SARL Ronan BOLLET</t>
  </si>
  <si>
    <t>ronan.bollet@geometre-expert.fr</t>
  </si>
  <si>
    <t>RONAN</t>
  </si>
  <si>
    <t>BOLLET</t>
  </si>
  <si>
    <t>LOUDEAC</t>
  </si>
  <si>
    <t xml:space="preserve">SELARL NICOLAS ASSOCIES</t>
  </si>
  <si>
    <t>adeline.lestrat@geometre-expert.fr</t>
  </si>
  <si>
    <t>loudeac@sarlnicolas.fr</t>
  </si>
  <si>
    <t>gaetane.cherruault@geometre-expert.fr</t>
  </si>
  <si>
    <t>Gaëtane</t>
  </si>
  <si>
    <t>CHERRUAULT</t>
  </si>
  <si>
    <t>florian.marie@geometre-expert.fr</t>
  </si>
  <si>
    <t>xavier.nicolas@geometre-expert.fr</t>
  </si>
  <si>
    <t>jean-charles.hinault@geometre-expert.fr</t>
  </si>
  <si>
    <t>HINAULT</t>
  </si>
  <si>
    <t>regis.duclos@geometre-expert.fr</t>
  </si>
  <si>
    <t>DUCLOS</t>
  </si>
  <si>
    <t>david.nicolas@geometre-expert.fr</t>
  </si>
  <si>
    <t>titouan.epivent@geometre-expert.fr</t>
  </si>
  <si>
    <t>EPIVENT</t>
  </si>
  <si>
    <t>LOUHANS</t>
  </si>
  <si>
    <t xml:space="preserve">SELAS SOULAGE-BOUILLIER</t>
  </si>
  <si>
    <t>pierre.bouillier@geometre-expert.fr</t>
  </si>
  <si>
    <t>david.soulage@geometre-expert.fr</t>
  </si>
  <si>
    <t>BOUILLIER</t>
  </si>
  <si>
    <t>SOULAGE</t>
  </si>
  <si>
    <t>LUCON</t>
  </si>
  <si>
    <t xml:space="preserve">BOURGOIN Franck</t>
  </si>
  <si>
    <t>franck.bourgoin@geometre-expert.fr</t>
  </si>
  <si>
    <t>lucon@geometres-lucon.com</t>
  </si>
  <si>
    <t>BOURGOIN</t>
  </si>
  <si>
    <t>LUDRES</t>
  </si>
  <si>
    <t xml:space="preserve">SELURL Géomètre-Expert Foncier</t>
  </si>
  <si>
    <t>romain.corbier@geometre-expert.fr</t>
  </si>
  <si>
    <t>rcorbier.ge@gmail.com</t>
  </si>
  <si>
    <t>CORBIER</t>
  </si>
  <si>
    <t>LUNEL</t>
  </si>
  <si>
    <t xml:space="preserve">SARL CHAPUIS</t>
  </si>
  <si>
    <t>emile.chapuis@geometre-expert.fr</t>
  </si>
  <si>
    <t>chapuisgeo@expertgeo.fr</t>
  </si>
  <si>
    <t>Emile</t>
  </si>
  <si>
    <t>CHAPUIS</t>
  </si>
  <si>
    <t>LUNEVILLE</t>
  </si>
  <si>
    <t xml:space="preserve">SELARL SABATER GEOMETRE-EXPERT</t>
  </si>
  <si>
    <t>anne.sabater@geometre-expert.fr</t>
  </si>
  <si>
    <t>sabater.geometre@wanadoo.fr</t>
  </si>
  <si>
    <t>SABATER</t>
  </si>
  <si>
    <t>LUX</t>
  </si>
  <si>
    <t xml:space="preserve">SELARL 2AGE-CONSEILS</t>
  </si>
  <si>
    <t>aurelie.guillemin@geometre-expert.fr</t>
  </si>
  <si>
    <t>chalon@2age.fr</t>
  </si>
  <si>
    <t>GUILLEMIN</t>
  </si>
  <si>
    <t>anthony.pousserol@geometre-expert.fr</t>
  </si>
  <si>
    <t>POUSSEROL</t>
  </si>
  <si>
    <t>bastien.lambert@geometre-expert.fr</t>
  </si>
  <si>
    <t>LAMBERT</t>
  </si>
  <si>
    <t>Lucie.DAUJEAN@geometre-expert.fr</t>
  </si>
  <si>
    <t>DAUJEAN</t>
  </si>
  <si>
    <t>pierre.hugon@geometre-expert.fr</t>
  </si>
  <si>
    <t>HUGON</t>
  </si>
  <si>
    <t>LUZARCHES</t>
  </si>
  <si>
    <t xml:space="preserve">SARL CABINET SMAILI FOUZI</t>
  </si>
  <si>
    <t>fouzi.smaili@geometre-expert.fr</t>
  </si>
  <si>
    <t>csf@geometre-expert.fr</t>
  </si>
  <si>
    <t>Fouzi</t>
  </si>
  <si>
    <t>SMAILI</t>
  </si>
  <si>
    <t xml:space="preserve">LYON 02</t>
  </si>
  <si>
    <t xml:space="preserve">CABINET PERRAUD SELARL de Géomètres-Experts</t>
  </si>
  <si>
    <t>laurent.guillet@geometre-expert.fr</t>
  </si>
  <si>
    <t>emeline.theophile@geometre-expert.fr</t>
  </si>
  <si>
    <t>Emeline</t>
  </si>
  <si>
    <t>THEOPHILE</t>
  </si>
  <si>
    <t>gregory.jean@geometre-expert.fr</t>
  </si>
  <si>
    <t>JEAN</t>
  </si>
  <si>
    <t xml:space="preserve">LYON 05</t>
  </si>
  <si>
    <t xml:space="preserve">SAS GEOMETRISE de Géomètre-Expert</t>
  </si>
  <si>
    <t>fabien.gay@geometre-expert.fr</t>
  </si>
  <si>
    <t xml:space="preserve">LYON 06</t>
  </si>
  <si>
    <t xml:space="preserve">SCP MAILLOT-RIVOLIER-MOUNIER</t>
  </si>
  <si>
    <t>yves.maillot@geometre-expert.fr</t>
  </si>
  <si>
    <t>maillot.rivolier.mounier@geometrelyon6.fr</t>
  </si>
  <si>
    <t>MAILLOT</t>
  </si>
  <si>
    <t>marc.mounier@geometre-expert.fr</t>
  </si>
  <si>
    <t>MOUNIER</t>
  </si>
  <si>
    <t>julien.rivolier@geometre-expert.fr</t>
  </si>
  <si>
    <t>RIVOLIER</t>
  </si>
  <si>
    <t xml:space="preserve">LYON 07</t>
  </si>
  <si>
    <t xml:space="preserve">SELARL OPERANDI</t>
  </si>
  <si>
    <t>yann.lallinec@geometre-expert.fr</t>
  </si>
  <si>
    <t>contact@charmasson-pichon.fr</t>
  </si>
  <si>
    <t>LALLINEC</t>
  </si>
  <si>
    <t>francois.pichon@geometre-expert.fr</t>
  </si>
  <si>
    <t>PICHON</t>
  </si>
  <si>
    <t>julia.blanchard@geometre-expert.fr</t>
  </si>
  <si>
    <t>florent.depay@geometre-expert.fr</t>
  </si>
  <si>
    <t>DEPAY</t>
  </si>
  <si>
    <t xml:space="preserve">LYON 08</t>
  </si>
  <si>
    <t xml:space="preserve">SARL Cabinet RATELADE-PETITHOMME Géomètres-Experts Associés</t>
  </si>
  <si>
    <t>cecile.petithomme@geometre-expert.fr</t>
  </si>
  <si>
    <t>ratelade.petithomme@geometre-expert.fr</t>
  </si>
  <si>
    <t>PETITHOMME</t>
  </si>
  <si>
    <t>denis.ratelade@geometre-expert.fr</t>
  </si>
  <si>
    <t>RATELADE</t>
  </si>
  <si>
    <t xml:space="preserve">LYON 09</t>
  </si>
  <si>
    <t xml:space="preserve">SELARL Altéa Experts</t>
  </si>
  <si>
    <t>albin.cogny@geometre-expert.fr</t>
  </si>
  <si>
    <t>contact@alteageo.com</t>
  </si>
  <si>
    <t>COGNY</t>
  </si>
  <si>
    <t>celine.garic@geometre-expert.fr</t>
  </si>
  <si>
    <t>GARIC</t>
  </si>
  <si>
    <t>benoit.waeckerle@geometre-expert.fr</t>
  </si>
  <si>
    <t>WAECKERLE</t>
  </si>
  <si>
    <t>bruno.dauvergne@geometre-expert.fr</t>
  </si>
  <si>
    <t>DAUVERGNE</t>
  </si>
  <si>
    <t>guillaume.hangard@geometre-expert.fr</t>
  </si>
  <si>
    <t>HANGARD</t>
  </si>
  <si>
    <t>alain.mazzichi@geometre-expert.fr</t>
  </si>
  <si>
    <t>MAZZICHI</t>
  </si>
  <si>
    <t>thibault.poyet@geometre-expert.fr</t>
  </si>
  <si>
    <t>POYET</t>
  </si>
  <si>
    <t xml:space="preserve">MACHECOUL ST MEME</t>
  </si>
  <si>
    <t xml:space="preserve">CDC CONSEILS</t>
  </si>
  <si>
    <t>jean-david.riviere@geometre-expert.fr</t>
  </si>
  <si>
    <t>cdcconseils@cdcconseils.com</t>
  </si>
  <si>
    <t>Jean-David</t>
  </si>
  <si>
    <t>MACON</t>
  </si>
  <si>
    <t xml:space="preserve">SELAS Cabinet Monin</t>
  </si>
  <si>
    <t>laurent.gelin@geometre-expert.fr</t>
  </si>
  <si>
    <t>r.corniau@cmg-geometre.com</t>
  </si>
  <si>
    <t>GELIN</t>
  </si>
  <si>
    <t>remy.corniau@geometre-expert.fr</t>
  </si>
  <si>
    <t>CORNIAU</t>
  </si>
  <si>
    <t>sebastien.moreteau@geometre-expert.fr</t>
  </si>
  <si>
    <t>MORETEAU</t>
  </si>
  <si>
    <t xml:space="preserve">SELARL SIGEMâ</t>
  </si>
  <si>
    <t>tom.pichon@geometre-expert.fr</t>
  </si>
  <si>
    <t>contact@selarlbonnet.com</t>
  </si>
  <si>
    <t>MAICHE</t>
  </si>
  <si>
    <t xml:space="preserve">EURL Christophe BOISSENOT</t>
  </si>
  <si>
    <t>christophe.boissenot@geometre-expert.fr</t>
  </si>
  <si>
    <t>cboissenot.geometre-expert@orange.fr</t>
  </si>
  <si>
    <t>BOISSENOT</t>
  </si>
  <si>
    <t xml:space="preserve">MAIGNELAY MONTIGNY</t>
  </si>
  <si>
    <t xml:space="preserve">SAS AIRE &amp;amp; TERRE GEOMETRE-EXPERT</t>
  </si>
  <si>
    <t>benoit.brochot@geometre-expert.fr</t>
  </si>
  <si>
    <t>BROCHOT</t>
  </si>
  <si>
    <t>MAMOUDZOU</t>
  </si>
  <si>
    <t xml:space="preserve">Cabinet ABDALLAH Amidou TOPO-EXE</t>
  </si>
  <si>
    <t>amidou.abdallah@geometre-expert.fr</t>
  </si>
  <si>
    <t>Amidou</t>
  </si>
  <si>
    <t>ABDALLAH</t>
  </si>
  <si>
    <t xml:space="preserve">SARL MAYOTTE TOPO</t>
  </si>
  <si>
    <t>saidina.chanfi@geometre-expert.fr</t>
  </si>
  <si>
    <t>mayotte.topo@stoinet.com</t>
  </si>
  <si>
    <t>Saïdina</t>
  </si>
  <si>
    <t xml:space="preserve">SARL TOPOGRAPHIE ET GEOMETRIE</t>
  </si>
  <si>
    <t>youssouf.toumboudani@geometre-expert.fr</t>
  </si>
  <si>
    <t>Youssouf</t>
  </si>
  <si>
    <t>TOUMBOU</t>
  </si>
  <si>
    <t>stephanie.riere@geometre-expert.fr</t>
  </si>
  <si>
    <t>RIERE</t>
  </si>
  <si>
    <t>sebastien.riere@geometre-expert.fr</t>
  </si>
  <si>
    <t xml:space="preserve">MAYOTTE BUREAU D'ETUDES SARL</t>
  </si>
  <si>
    <t>eric.landmann@geometre-expert.fr</t>
  </si>
  <si>
    <t>LANDMANN</t>
  </si>
  <si>
    <t xml:space="preserve">SELARL GEOMEX REUNION</t>
  </si>
  <si>
    <t>didier.cadillon@geometre-expert.fr</t>
  </si>
  <si>
    <t>CADILLON</t>
  </si>
  <si>
    <t xml:space="preserve">Cabinet TOPOLIB TOPOLIB</t>
  </si>
  <si>
    <t>imad-henri.najem@geometre-expert.fr</t>
  </si>
  <si>
    <t>contact@topolib.com</t>
  </si>
  <si>
    <t xml:space="preserve">Cabinet ROSSIUS Gilles GRG - Gilles Rossius Géomètre-expert</t>
  </si>
  <si>
    <t>gilles.rossius@geometre-expert.fr</t>
  </si>
  <si>
    <t>grg7@wanadoo.fr</t>
  </si>
  <si>
    <t>ROSSIUS</t>
  </si>
  <si>
    <t>MANOSQUE</t>
  </si>
  <si>
    <t xml:space="preserve">Cabinet RICHARD Philippe</t>
  </si>
  <si>
    <t>philippe.richard@geometre-expert.fr</t>
  </si>
  <si>
    <t>ph.richard.geometre@orange.fr</t>
  </si>
  <si>
    <t xml:space="preserve">MANTES LA JOLIE</t>
  </si>
  <si>
    <t xml:space="preserve">Cabinet ABELLO SELARL de Géomètres-Experts</t>
  </si>
  <si>
    <t>olivier.abello@geometre-expert.fr</t>
  </si>
  <si>
    <t>cabinet-abello.geometre@wanadoo.fr</t>
  </si>
  <si>
    <t>ABELLO</t>
  </si>
  <si>
    <t xml:space="preserve">Cabinet E.GE.TO. SELARL</t>
  </si>
  <si>
    <t>jeremy.lefebvre@geometre-expert.fr</t>
  </si>
  <si>
    <t xml:space="preserve">MARCQ EN BAROEUL</t>
  </si>
  <si>
    <t xml:space="preserve">SARL CALLENS et CARBON</t>
  </si>
  <si>
    <t>jean-noel.carbon@geometre-expert.fr</t>
  </si>
  <si>
    <t>callens-carbon@wanadoo.fr</t>
  </si>
  <si>
    <t>Jean-Noël</t>
  </si>
  <si>
    <t>CARBON</t>
  </si>
  <si>
    <t>MARGUERITTES</t>
  </si>
  <si>
    <t xml:space="preserve">SARL CHIVAS Géomètre-Expert</t>
  </si>
  <si>
    <t>mickael.bonnet@geometre-expert.fr</t>
  </si>
  <si>
    <t>geometre@cabinet-chivas.fr</t>
  </si>
  <si>
    <t>Mickaël</t>
  </si>
  <si>
    <t>jean-luc.chivas@geometre-expert.fr</t>
  </si>
  <si>
    <t>CHIVAS</t>
  </si>
  <si>
    <t>franck.lagny@geometre-expert.fr</t>
  </si>
  <si>
    <t>LAGNY</t>
  </si>
  <si>
    <t>MARIGNANE</t>
  </si>
  <si>
    <t xml:space="preserve">SELARL CEDRIC PREAU</t>
  </si>
  <si>
    <t>cedric.preau@geometre-expert.fr</t>
  </si>
  <si>
    <t>geometre@gepreau.fr</t>
  </si>
  <si>
    <t>PREAU</t>
  </si>
  <si>
    <t>MARMAGNE</t>
  </si>
  <si>
    <t xml:space="preserve">SELAS NEUILLY</t>
  </si>
  <si>
    <t>vincent.michaud@geometre-expert.fr</t>
  </si>
  <si>
    <t>sylvain.neuilly@geometre-expert.fr</t>
  </si>
  <si>
    <t>MICHAUD</t>
  </si>
  <si>
    <t>NEUILLY</t>
  </si>
  <si>
    <t>MARMANDE</t>
  </si>
  <si>
    <t xml:space="preserve">MONTHUS-VOIRIN SELARL de Géomètres-Experts associés</t>
  </si>
  <si>
    <t>florent.monthus@geometre-expert.fr</t>
  </si>
  <si>
    <t>MONTHUS</t>
  </si>
  <si>
    <t xml:space="preserve">SCP Joëlle MAUBOURGUET</t>
  </si>
  <si>
    <t>joelle.maubourguet@geometre-expert.fr</t>
  </si>
  <si>
    <t>perie.maubourguet@wanadoo.fr</t>
  </si>
  <si>
    <t>Joëlle</t>
  </si>
  <si>
    <t>MAUBOURGUET</t>
  </si>
  <si>
    <t>jean-philippe.voirin@geometre-expert.fr</t>
  </si>
  <si>
    <t>VOIRIN</t>
  </si>
  <si>
    <t xml:space="preserve">MARSEILLE 01</t>
  </si>
  <si>
    <t xml:space="preserve">SAS AMOCITE</t>
  </si>
  <si>
    <t>vincent.picard@geometre-expert.fr</t>
  </si>
  <si>
    <t>PICARD</t>
  </si>
  <si>
    <t xml:space="preserve">MARSEILLE 06</t>
  </si>
  <si>
    <t xml:space="preserve">SELARL Pierre LAROUSSINIE</t>
  </si>
  <si>
    <t>pierre.laroussinie@geometre-expert.fr</t>
  </si>
  <si>
    <t>contact@pierre-laroussinie.fr</t>
  </si>
  <si>
    <t>LAROUSSINIE</t>
  </si>
  <si>
    <t xml:space="preserve">SELARL FRAISSE-ARNEL DE COMBARIEU ARCOGEX</t>
  </si>
  <si>
    <t>hugues.decombarieu@geometre-expert.fr</t>
  </si>
  <si>
    <t>geom14@gmail.com</t>
  </si>
  <si>
    <t>jerome.arnel@geometre-expert.fr</t>
  </si>
  <si>
    <t>ARNEL</t>
  </si>
  <si>
    <t xml:space="preserve">MARSEILLE 10</t>
  </si>
  <si>
    <t xml:space="preserve">Sébastien GUILLO</t>
  </si>
  <si>
    <t>sebastien.guillo@geometre-expert.fr</t>
  </si>
  <si>
    <t>GUILLO</t>
  </si>
  <si>
    <t xml:space="preserve">MARSEILLE 12</t>
  </si>
  <si>
    <t xml:space="preserve">SELARL AGEAR'S Géomètres-Experts</t>
  </si>
  <si>
    <t>sylvain.rabouille@geometre-expert.fr</t>
  </si>
  <si>
    <t>nathalie.marti@geometre-expert.fr</t>
  </si>
  <si>
    <t>RABOUILLE</t>
  </si>
  <si>
    <t>fabien.biagi@geometre-expert.fr</t>
  </si>
  <si>
    <t>BIAGI</t>
  </si>
  <si>
    <t>MARTI</t>
  </si>
  <si>
    <t>andre.ombre@geometre-expert.fr</t>
  </si>
  <si>
    <t>OMBRE</t>
  </si>
  <si>
    <t>MARVEJOLS</t>
  </si>
  <si>
    <t xml:space="preserve">SELARL SOGEXFO Centre - Cabinet FALCON</t>
  </si>
  <si>
    <t>philippe.rieu@geometre-expert.fr</t>
  </si>
  <si>
    <t>marvejols@sogexfo.com</t>
  </si>
  <si>
    <t>RIEU</t>
  </si>
  <si>
    <t>MAUBEUGE</t>
  </si>
  <si>
    <t xml:space="preserve">SCP Pierre LEVEQUE et Réginald NININ Géomètres-Experts associés</t>
  </si>
  <si>
    <t>reginald.ninin@geometre-expert.fr</t>
  </si>
  <si>
    <t>leveque.ninin.maubeuge@orange.fr</t>
  </si>
  <si>
    <t>Réginald</t>
  </si>
  <si>
    <t>NININ</t>
  </si>
  <si>
    <t>MEAUX</t>
  </si>
  <si>
    <t xml:space="preserve">SELARL Christophe LUQUET et Associés CABINET DML Géomètres-Experts</t>
  </si>
  <si>
    <t>christophe.luquet@geometre-expert.fr</t>
  </si>
  <si>
    <t>contact@cabinet-dml.fr</t>
  </si>
  <si>
    <t>LUQUET</t>
  </si>
  <si>
    <t xml:space="preserve">SAS A&amp;amp;S CONSEILS GEOMETRES EXPERTS</t>
  </si>
  <si>
    <t>sylvie.lassee@geometre-expert.fr</t>
  </si>
  <si>
    <t>LASSEE</t>
  </si>
  <si>
    <t xml:space="preserve">MEHUN SUR YEVRE</t>
  </si>
  <si>
    <t xml:space="preserve">Cabinet BLANCHAIS Philippe</t>
  </si>
  <si>
    <t>philippe.blanchais@geometre-expert.fr</t>
  </si>
  <si>
    <t>BLANCHAIS</t>
  </si>
  <si>
    <t>MELUN</t>
  </si>
  <si>
    <t xml:space="preserve">SARL Géomètres DEPRAITER</t>
  </si>
  <si>
    <t>patricia.depraiter@geometre-expert.fr</t>
  </si>
  <si>
    <t>DEPRAITER</t>
  </si>
  <si>
    <t>MENDE</t>
  </si>
  <si>
    <t xml:space="preserve">SELARL BOISSONNADE GUY – ARRUFAT FLORENT – GEOMETRES EXPERTS ASSOCIES</t>
  </si>
  <si>
    <t>florent.arrufat@geometre-expert.fr</t>
  </si>
  <si>
    <t>bureau@ba-geometre.fr</t>
  </si>
  <si>
    <t>ARRUFAT</t>
  </si>
  <si>
    <t xml:space="preserve">SARL FAGGE et Associés</t>
  </si>
  <si>
    <t>julien.alle@geometre-expert.fr</t>
  </si>
  <si>
    <t>cabinet@fagge.net</t>
  </si>
  <si>
    <t>ALLE</t>
  </si>
  <si>
    <t>xavier.fagge@geometre-expert.fr</t>
  </si>
  <si>
    <t>FAGGE</t>
  </si>
  <si>
    <t>MERIGNAC</t>
  </si>
  <si>
    <t xml:space="preserve">SARL ADN GEOMETRES-EXPERTS</t>
  </si>
  <si>
    <t>jean.cazenave@geometre-expert.fr</t>
  </si>
  <si>
    <t>contact@adn-geometres.com</t>
  </si>
  <si>
    <t>CAZENAVE</t>
  </si>
  <si>
    <t>stephane.andre@geometre-expert.fr</t>
  </si>
  <si>
    <t>ANDRE</t>
  </si>
  <si>
    <t>MERU</t>
  </si>
  <si>
    <t xml:space="preserve">SAS A3D GEOMETRES</t>
  </si>
  <si>
    <t>remi.andre@geometre-expert.fr</t>
  </si>
  <si>
    <t>a3d.geometres@orange.fr</t>
  </si>
  <si>
    <t>MERVILLE</t>
  </si>
  <si>
    <t xml:space="preserve">Christophe GALLIAERDE SARL de Géomètres-Experts DPLG</t>
  </si>
  <si>
    <t>christophe.galliaerde@geometre-expert.fr</t>
  </si>
  <si>
    <t>christophe.galliaerde@laposte.net</t>
  </si>
  <si>
    <t>GALLIAERDE</t>
  </si>
  <si>
    <t xml:space="preserve">SELARL NOUAILLES</t>
  </si>
  <si>
    <t>primael.nouailles@geometre-expert.fr</t>
  </si>
  <si>
    <t>primael.nouailles@gmail.com</t>
  </si>
  <si>
    <t>Primaël</t>
  </si>
  <si>
    <t>NOUAILLES</t>
  </si>
  <si>
    <t>METZ</t>
  </si>
  <si>
    <t xml:space="preserve">SELARL A.L.I.D.A.D.E.S.</t>
  </si>
  <si>
    <t>jerome.durmeyer@geometre-expert.fr</t>
  </si>
  <si>
    <t>contact@alidades.org</t>
  </si>
  <si>
    <t>DURMEYER</t>
  </si>
  <si>
    <t>paul.chavant@geometre-expert.fr</t>
  </si>
  <si>
    <t>CHAVANT</t>
  </si>
  <si>
    <t xml:space="preserve">PINA Emmanuel (Metz Métropole)</t>
  </si>
  <si>
    <t>emmanuel.pina@geometre-expert.fr</t>
  </si>
  <si>
    <t>PINA</t>
  </si>
  <si>
    <t>MEUDON</t>
  </si>
  <si>
    <t xml:space="preserve">SELARL de Géomètre-Expert Matthias KULKER</t>
  </si>
  <si>
    <t>matthias.kulker@geometre-expert.fr</t>
  </si>
  <si>
    <t>kulker@cabinet-kulker.com</t>
  </si>
  <si>
    <t>KULKER</t>
  </si>
  <si>
    <t>MEYLAN</t>
  </si>
  <si>
    <t xml:space="preserve">SINTEGRA SAS</t>
  </si>
  <si>
    <t>jerome.lebourg@geometre-expert.fr</t>
  </si>
  <si>
    <t>info@sintegra.fr</t>
  </si>
  <si>
    <t>LEBOURG</t>
  </si>
  <si>
    <t>jerome.croce@geometre-expert.fr</t>
  </si>
  <si>
    <t>CROCE</t>
  </si>
  <si>
    <t>quentin.lanthiez@geometre-expert.fr</t>
  </si>
  <si>
    <t>LANTHIEZ</t>
  </si>
  <si>
    <t>eric.cailleau@geometre-expert.fr</t>
  </si>
  <si>
    <t>CAILLEAU</t>
  </si>
  <si>
    <t>bertrand.cayot@geometre-expert.fr</t>
  </si>
  <si>
    <t>CAYOT</t>
  </si>
  <si>
    <t>claire.rivier-vial@geometre-expert.fr</t>
  </si>
  <si>
    <t>RIVIER-VIAL</t>
  </si>
  <si>
    <t>lionel.brat@geometre-expert.fr</t>
  </si>
  <si>
    <t>BRAT</t>
  </si>
  <si>
    <t>stephanie.fermond@geometre-expert.fr</t>
  </si>
  <si>
    <t>FERMOND</t>
  </si>
  <si>
    <t>MILLAU</t>
  </si>
  <si>
    <t xml:space="preserve">SAS ACE JAUDON SEBASTIEN JAUDON Sébastien</t>
  </si>
  <si>
    <t>sebastien.jaudon@geometre-expert.fr</t>
  </si>
  <si>
    <t>JAUDON</t>
  </si>
  <si>
    <t xml:space="preserve">SCP Christophe FOURCADIER</t>
  </si>
  <si>
    <t>christophe.fourcadier@geometre-expert.fr</t>
  </si>
  <si>
    <t>contact@gei-millau.fr</t>
  </si>
  <si>
    <t>FOURCADIER</t>
  </si>
  <si>
    <t>MIMIZAN</t>
  </si>
  <si>
    <t xml:space="preserve">SCP Benjamin CAVALIER</t>
  </si>
  <si>
    <t>benjamin.cavalier@geometre-expert.fr</t>
  </si>
  <si>
    <t>scp.cavalier_villenave@yahoo.fr</t>
  </si>
  <si>
    <t>CAVALIER</t>
  </si>
  <si>
    <t>MIRANDE</t>
  </si>
  <si>
    <t xml:space="preserve">SCP DELINIERE-BERNARD</t>
  </si>
  <si>
    <t>stephane.bernard@geometre-expert.fr</t>
  </si>
  <si>
    <t>geometre3265@orange.fr</t>
  </si>
  <si>
    <t>BERNARD</t>
  </si>
  <si>
    <t>MOISSAC</t>
  </si>
  <si>
    <t xml:space="preserve">SELARL SOGEXFO</t>
  </si>
  <si>
    <t>edouard.bergoz@geometre-expert.fr</t>
  </si>
  <si>
    <t>moissac@sogexfo.com</t>
  </si>
  <si>
    <t>BERGOZ</t>
  </si>
  <si>
    <t>sebastien.lacam@geometre-expert.fr</t>
  </si>
  <si>
    <t>LACAM</t>
  </si>
  <si>
    <t>ludovic.magne@geometre-expert.fr</t>
  </si>
  <si>
    <t>MAGNE</t>
  </si>
  <si>
    <t>sebastien.bressac@geometre-expert.fr</t>
  </si>
  <si>
    <t>BRESSAC</t>
  </si>
  <si>
    <t>gael.bouscaud@geometre-expert.fr</t>
  </si>
  <si>
    <t>BOUSCAUD</t>
  </si>
  <si>
    <t>MOLSHEIM</t>
  </si>
  <si>
    <t xml:space="preserve">Cabinet FREY SELARL de Géomètre-Expert</t>
  </si>
  <si>
    <t>vincent.frey@geometre-expert.fr</t>
  </si>
  <si>
    <t>FREY</t>
  </si>
  <si>
    <t>nicolas.fehrenbach@geometre-expert.fr</t>
  </si>
  <si>
    <t>FEHRENBACH</t>
  </si>
  <si>
    <t>MONEIN</t>
  </si>
  <si>
    <t xml:space="preserve">MORERE Sébastien SARL</t>
  </si>
  <si>
    <t>sebastien.morere@geometre-expert.fr</t>
  </si>
  <si>
    <t>morere.geometre@sfr.fr</t>
  </si>
  <si>
    <t>MORERE</t>
  </si>
  <si>
    <t xml:space="preserve">MONISTROL SUR LOIRE</t>
  </si>
  <si>
    <t xml:space="preserve">SELARL Cabinet CHALAYE</t>
  </si>
  <si>
    <t>laurence.chalaye@geometre-expert.fr</t>
  </si>
  <si>
    <t>chalaye.geometre@wanadoo.fr</t>
  </si>
  <si>
    <t>CHALAYE</t>
  </si>
  <si>
    <t>luc.chalaye@geometre-expert.fr</t>
  </si>
  <si>
    <t xml:space="preserve">MONT DE MARSAN</t>
  </si>
  <si>
    <t xml:space="preserve">SCP BERLON-DUPUY SCP BERLON DUPUY GEOMETRES EXPERTS</t>
  </si>
  <si>
    <t>nathalie.dupuy@geometre-expert.fr</t>
  </si>
  <si>
    <t>bemoge@bemoge.fr</t>
  </si>
  <si>
    <t>DUPUY</t>
  </si>
  <si>
    <t>philippe.lafitte@geometre-expert.fr</t>
  </si>
  <si>
    <t>LAFITTE</t>
  </si>
  <si>
    <t>clement.berlon@geometre-expert.fr</t>
  </si>
  <si>
    <t>BERLON</t>
  </si>
  <si>
    <t>MONTARGIS</t>
  </si>
  <si>
    <t xml:space="preserve">SAS GEOMEXPERT</t>
  </si>
  <si>
    <t>frederic.sauvage@geometre-expert.fr</t>
  </si>
  <si>
    <t>montargis@geomexpert.com</t>
  </si>
  <si>
    <t>SAUVAGE</t>
  </si>
  <si>
    <t>jerome.trimouille@geometre-expert.fr</t>
  </si>
  <si>
    <t>TRIMOUILLE</t>
  </si>
  <si>
    <t>arnaud.rousselet@geometre-expert.fr</t>
  </si>
  <si>
    <t>ROUSSELET</t>
  </si>
  <si>
    <t>joris.boucheron@geometre-expert.fr</t>
  </si>
  <si>
    <t>BOUCHERON</t>
  </si>
  <si>
    <t>pierre-yves.legrand@geometre-expert.fr</t>
  </si>
  <si>
    <t>isabelle.leprince@geometre-expert.fr</t>
  </si>
  <si>
    <t>LEPRINCE</t>
  </si>
  <si>
    <t>dimitri.frappart@geometre-expert.fr</t>
  </si>
  <si>
    <t>FRAPPART</t>
  </si>
  <si>
    <t>xavier.lebrasseur@geometre-expert.fr</t>
  </si>
  <si>
    <t>LEBRASSEUR</t>
  </si>
  <si>
    <t>olivier.mialon@geometre-expert.fr</t>
  </si>
  <si>
    <t>sylvain.habran@geometre-expert.fr</t>
  </si>
  <si>
    <t>HABRAN</t>
  </si>
  <si>
    <t>MONTAUBAN</t>
  </si>
  <si>
    <t xml:space="preserve">SARL URBACTIS</t>
  </si>
  <si>
    <t>maxime.roumaindelatouche@geometre-expert.fr</t>
  </si>
  <si>
    <t>contact@urbactis.eu</t>
  </si>
  <si>
    <t>ROUMAIN</t>
  </si>
  <si>
    <t>patrice.jean@geometre-expert.fr</t>
  </si>
  <si>
    <t>sebastien.lepape@geometre-expert.fr</t>
  </si>
  <si>
    <t>MONTBELIARD</t>
  </si>
  <si>
    <t xml:space="preserve">SARL G.PEWZNER - B.PERGAUD Géomètres-Experts Associés</t>
  </si>
  <si>
    <t>bernard.pergaud@geometre-expert.fr</t>
  </si>
  <si>
    <t>sarl.pewzner.pergaud@wanadoo.fr</t>
  </si>
  <si>
    <t>PERGAUD</t>
  </si>
  <si>
    <t xml:space="preserve">SARL Cabinet DEVILLAIRS</t>
  </si>
  <si>
    <t>yannick.devillairs@geometre-expert.fr</t>
  </si>
  <si>
    <t>DEVILLAIRS</t>
  </si>
  <si>
    <t>MONTBRISON</t>
  </si>
  <si>
    <t xml:space="preserve">CABINET DE GEOMETRES-EXPERTS DIDIER BOUNIARD – VINCENT DUBREUIL Géomètre-Expert</t>
  </si>
  <si>
    <t>didier.bouniard@geometre-expert.fr</t>
  </si>
  <si>
    <t>scp.bouniard@wanadoo.fr</t>
  </si>
  <si>
    <t>BOUNIARD</t>
  </si>
  <si>
    <t>vincent.dubreuil@geometre-expert.fr</t>
  </si>
  <si>
    <t>DUBREUIL</t>
  </si>
  <si>
    <t xml:space="preserve">MONTCEAU LES MINES</t>
  </si>
  <si>
    <t xml:space="preserve">SARL Cabinet Pierre BOUVIER</t>
  </si>
  <si>
    <t>pierre.bouvier@geometre-expert.fr</t>
  </si>
  <si>
    <t>bouvier.montceau@geometre-expert.fr</t>
  </si>
  <si>
    <t>BOUVIER</t>
  </si>
  <si>
    <t>MONTDIDIER</t>
  </si>
  <si>
    <t xml:space="preserve">A.GEO Géomètres-Experts SAS</t>
  </si>
  <si>
    <t>nathalie.theo@geometre-expert.fr</t>
  </si>
  <si>
    <t>ageo-montdidier@orange.fr</t>
  </si>
  <si>
    <t>THEO</t>
  </si>
  <si>
    <t>alan.benzi@geometre-expert.fr</t>
  </si>
  <si>
    <t>BENZI</t>
  </si>
  <si>
    <t>MONTELIMAR</t>
  </si>
  <si>
    <t xml:space="preserve">SELARL Thierry BAUBET &amp;amp; Associés</t>
  </si>
  <si>
    <t>arnaud.colpart@geometre-expert.fr</t>
  </si>
  <si>
    <t>baubet-gallo-balma@wanadoo.fr</t>
  </si>
  <si>
    <t>COLPART</t>
  </si>
  <si>
    <t>thierry.baubet@geometre-expert.fr</t>
  </si>
  <si>
    <t>BAUBET</t>
  </si>
  <si>
    <t>MONTEUX</t>
  </si>
  <si>
    <t xml:space="preserve">SARL C2A</t>
  </si>
  <si>
    <t>olivier.collavoli@geometre-expert.fr</t>
  </si>
  <si>
    <t>contact@c2a-ge.fr</t>
  </si>
  <si>
    <t>COLLAVOLI</t>
  </si>
  <si>
    <t>jean-baptiste.aubert@geometre-expert.fr</t>
  </si>
  <si>
    <t>frederic.artufel@geometre-expert.fr</t>
  </si>
  <si>
    <t>ARTUFEL</t>
  </si>
  <si>
    <t xml:space="preserve">MONTIGNY LES METZ</t>
  </si>
  <si>
    <t xml:space="preserve">CABINET LAWSON</t>
  </si>
  <si>
    <t>valere.lawson@geometre-expert.fr</t>
  </si>
  <si>
    <t>vallaw@me.com</t>
  </si>
  <si>
    <t>Valère</t>
  </si>
  <si>
    <t>LAWSON</t>
  </si>
  <si>
    <t xml:space="preserve">SARL Cabinet MELEY-STROZYNA Géomètres-Experts</t>
  </si>
  <si>
    <t>pascal.meley@geometre-expert.fr</t>
  </si>
  <si>
    <t>pmeley@cmsgeo.fr</t>
  </si>
  <si>
    <t>MELEY</t>
  </si>
  <si>
    <t>joel.strozyna@geometre-expert.fr</t>
  </si>
  <si>
    <t>STROZYNA</t>
  </si>
  <si>
    <t>MONTLHERY</t>
  </si>
  <si>
    <t xml:space="preserve">SELARL ARKANE FONCIER</t>
  </si>
  <si>
    <t>mathieu.garcis@geometre-expert.fr</t>
  </si>
  <si>
    <t>siege@arkane-foncier.fr</t>
  </si>
  <si>
    <t>GARCIS</t>
  </si>
  <si>
    <t>maxime.hibert@geometre-expert.fr</t>
  </si>
  <si>
    <t>HIBERT</t>
  </si>
  <si>
    <t>gildas.allain@geometre-expert.fr</t>
  </si>
  <si>
    <t>ALLAIN</t>
  </si>
  <si>
    <t>gilles.costa@geometre-expert.fr</t>
  </si>
  <si>
    <t>COSTA</t>
  </si>
  <si>
    <t>remi.george@geometre-expert.fr</t>
  </si>
  <si>
    <t>GEORGE</t>
  </si>
  <si>
    <t>herve.delouche@geometre-expert.fr</t>
  </si>
  <si>
    <t>DELOUCHE</t>
  </si>
  <si>
    <t>MONTLUCON</t>
  </si>
  <si>
    <t xml:space="preserve">SARL AlterGéo</t>
  </si>
  <si>
    <t>olivier.chalmet@geometre-expert.fr</t>
  </si>
  <si>
    <t>o.chalmet@altergeo.fr</t>
  </si>
  <si>
    <t>CHALMET</t>
  </si>
  <si>
    <t>MONTMOROT</t>
  </si>
  <si>
    <t xml:space="preserve">SARL ABCD Géomètres et Ingénierie</t>
  </si>
  <si>
    <t>anne.karsenty@geometre-expert.fr</t>
  </si>
  <si>
    <t>abcd@geometre-jura.com</t>
  </si>
  <si>
    <t>KARSENTY</t>
  </si>
  <si>
    <t>jean-baptiste.digard@geometre-expert.fr</t>
  </si>
  <si>
    <t>DIGARD</t>
  </si>
  <si>
    <t>jerome.cretin-maitenaz@geometre-expert.fr</t>
  </si>
  <si>
    <t>CRETIN-MAITENAZ</t>
  </si>
  <si>
    <t>ghislain.moreau@geometre-expert.fr</t>
  </si>
  <si>
    <t>MOREAU</t>
  </si>
  <si>
    <t>davy.dromard@geometre-expert.fr</t>
  </si>
  <si>
    <t>DROMARD</t>
  </si>
  <si>
    <t>MONTPELLIER</t>
  </si>
  <si>
    <t xml:space="preserve">dGEma SELAS de GEOMETRES-EXPERTS</t>
  </si>
  <si>
    <t>sebastien.drabik@geometre-expert.fr</t>
  </si>
  <si>
    <t>montpellier@dgema.fr</t>
  </si>
  <si>
    <t>DRABIK</t>
  </si>
  <si>
    <t>julien.girard@geometre-expert.fr</t>
  </si>
  <si>
    <t>GIRARD</t>
  </si>
  <si>
    <t>noe.filosa@geometre-expert.fr</t>
  </si>
  <si>
    <t>Noé</t>
  </si>
  <si>
    <t>FILOSA</t>
  </si>
  <si>
    <t>adrien.fuzere@geometre-expert.fr</t>
  </si>
  <si>
    <t>FUZERE</t>
  </si>
  <si>
    <t xml:space="preserve">SELARL SIRAGUSA Cabinet de Géomètres-Experts</t>
  </si>
  <si>
    <t>jack.richard@geometre-expert.fr</t>
  </si>
  <si>
    <t>geometre@siragusa.fr</t>
  </si>
  <si>
    <t>Jack</t>
  </si>
  <si>
    <t xml:space="preserve">EURL STEINBERG Denis</t>
  </si>
  <si>
    <t>denis.steinberg@geometre-expert.fr</t>
  </si>
  <si>
    <t>expert@geometreexpert.com</t>
  </si>
  <si>
    <t>STEINBERG</t>
  </si>
  <si>
    <t xml:space="preserve">SARL MACE CAMPAGNOLO GEOMETRES-EXPERTS</t>
  </si>
  <si>
    <t>arnaud.mace@geometre-expert.fr</t>
  </si>
  <si>
    <t>MACE</t>
  </si>
  <si>
    <t>alain.bilicki@geometre-expert.fr</t>
  </si>
  <si>
    <t>BILICKI</t>
  </si>
  <si>
    <t>thierry.payan@geometre-expert.fr</t>
  </si>
  <si>
    <t>PAYAN</t>
  </si>
  <si>
    <t>nicolas.pertsinidis@geometre-expert.fr</t>
  </si>
  <si>
    <t>PERTSINIDIS</t>
  </si>
  <si>
    <t>arnaud.pelorce@geometre-expert.fr</t>
  </si>
  <si>
    <t>PELORCE</t>
  </si>
  <si>
    <t xml:space="preserve">Cabinet ALONSO Xavier</t>
  </si>
  <si>
    <t>xavier.alonso@geometre-expert.fr</t>
  </si>
  <si>
    <t>geo.expert34@gmail.com</t>
  </si>
  <si>
    <t>ALONSO</t>
  </si>
  <si>
    <t xml:space="preserve">SELARL AGEO CONSULT</t>
  </si>
  <si>
    <t>arnaud.laurens@geometre-expert.fr</t>
  </si>
  <si>
    <t>arnaud.laurens@ageoconsult.fr</t>
  </si>
  <si>
    <t>nicolas.midonnet@geometre-expert.fr</t>
  </si>
  <si>
    <t>MIDONNET</t>
  </si>
  <si>
    <t>alain.osmo@geometre-expert.fr</t>
  </si>
  <si>
    <t>OSMO</t>
  </si>
  <si>
    <t xml:space="preserve">SELAS PAGES T.I.P.</t>
  </si>
  <si>
    <t>jeremy.aubry@geometre-expert.fr</t>
  </si>
  <si>
    <t xml:space="preserve">EURL GEOTOP 34</t>
  </si>
  <si>
    <t>jerome.blin@geometre-expert.fr</t>
  </si>
  <si>
    <t>geotop34.ge@gmail.com</t>
  </si>
  <si>
    <t>BLIN</t>
  </si>
  <si>
    <t>MONTREUIL</t>
  </si>
  <si>
    <t xml:space="preserve">SELAFA Cabinet MACKRE</t>
  </si>
  <si>
    <t>benoit.mackre@geometre-expert.fr</t>
  </si>
  <si>
    <t>cabinet.mackre@free.fr</t>
  </si>
  <si>
    <t>MACKRE</t>
  </si>
  <si>
    <t xml:space="preserve">SELARL GE7V</t>
  </si>
  <si>
    <t>sebastien.broutier@geometre-expert.fr</t>
  </si>
  <si>
    <t>nicolas.nanchen@ge7v.fr</t>
  </si>
  <si>
    <t>BROUTIER</t>
  </si>
  <si>
    <t>nicolas.nanchen@geometre-expert.fr</t>
  </si>
  <si>
    <t>NANCHEN</t>
  </si>
  <si>
    <t>MORANGIS</t>
  </si>
  <si>
    <t xml:space="preserve">Thomas LUGLI Géometre-Expert Auditeur</t>
  </si>
  <si>
    <t>thomas.lugli@geometre-expert.fr</t>
  </si>
  <si>
    <t>thomas.lugli@wanadoo.fr</t>
  </si>
  <si>
    <t>LUGLI</t>
  </si>
  <si>
    <t>MORESTEL</t>
  </si>
  <si>
    <t xml:space="preserve">SELARL ELLIPSE Géomètres-Experts</t>
  </si>
  <si>
    <t>bastien.lopes@geometre-expert.fr</t>
  </si>
  <si>
    <t>ellipse@geometre-expert.fr</t>
  </si>
  <si>
    <t>LOPES</t>
  </si>
  <si>
    <t>wilfried.maduli@geometre-expert.fr</t>
  </si>
  <si>
    <t>Wilfried</t>
  </si>
  <si>
    <t>MADULI</t>
  </si>
  <si>
    <t>guillaume.vallat-rabatel@geometre-expert.fr</t>
  </si>
  <si>
    <t>VALLAT-RABATEL</t>
  </si>
  <si>
    <t xml:space="preserve">MORET LOING ET ORVANNE</t>
  </si>
  <si>
    <t xml:space="preserve">SARL CABINET PHILIPPON GEOMETRE-EXPERT</t>
  </si>
  <si>
    <t>regis.guillermin@geometre-expert.fr</t>
  </si>
  <si>
    <t>francois-xavier.philippon@geometre-expert.fr</t>
  </si>
  <si>
    <t>GUILLERMIN</t>
  </si>
  <si>
    <t>François-Xavier</t>
  </si>
  <si>
    <t>PHILIPPON</t>
  </si>
  <si>
    <t>MORLAIX</t>
  </si>
  <si>
    <t xml:space="preserve">SARL AMENAGEMENTS &amp;amp; TERRITOIRES OUEST GEOMETRES-EXPERTS</t>
  </si>
  <si>
    <t>stephane.simon@geometre-expert.fr</t>
  </si>
  <si>
    <t>sebastien.attagnant@geometre-expert.fr</t>
  </si>
  <si>
    <t>ATTAGNANT</t>
  </si>
  <si>
    <t>marielle.lecam@geometre-expert.fr</t>
  </si>
  <si>
    <t>Marielle</t>
  </si>
  <si>
    <t xml:space="preserve">SARL AREA</t>
  </si>
  <si>
    <t>marine.seguin@geometre-expert.fr</t>
  </si>
  <si>
    <t>contact@area-geometre.fr</t>
  </si>
  <si>
    <t>SEGUIN</t>
  </si>
  <si>
    <t>mari.michel@geometre-expert.fr</t>
  </si>
  <si>
    <t>Mari</t>
  </si>
  <si>
    <t>MICHEL</t>
  </si>
  <si>
    <t>anthony.lhour@geometre-expert.fr</t>
  </si>
  <si>
    <t>L'HOUR</t>
  </si>
  <si>
    <t>steven.lebonhomme@geometre-expert.fr</t>
  </si>
  <si>
    <t>Stéven</t>
  </si>
  <si>
    <t>MORMANT</t>
  </si>
  <si>
    <t xml:space="preserve">SARL ARENTS - GORISSE Géomètre-Expert</t>
  </si>
  <si>
    <t>benoit.gorisse@geometre-expert.fr</t>
  </si>
  <si>
    <t>GORISSE</t>
  </si>
  <si>
    <t>MORTEAU</t>
  </si>
  <si>
    <t xml:space="preserve">Cabinet BETTINELLI-GRAPPE Marie-Claire</t>
  </si>
  <si>
    <t>mc.bettinelli-grappe@geometre-expert.fr</t>
  </si>
  <si>
    <t>cabinet@gemorteau.fr</t>
  </si>
  <si>
    <t>Marie-Claire</t>
  </si>
  <si>
    <t>BETTINELLI-GRAPPE</t>
  </si>
  <si>
    <t>antoine.degribaldi@geometre-expert.fr</t>
  </si>
  <si>
    <t>MOUGINS</t>
  </si>
  <si>
    <t xml:space="preserve">Atrium Foncier SASU de Géomètre-Expert</t>
  </si>
  <si>
    <t>gael.freneat@geometre-expert.fr</t>
  </si>
  <si>
    <t>FRENEAT</t>
  </si>
  <si>
    <t>MOULINS</t>
  </si>
  <si>
    <t xml:space="preserve">Cabinet KAUFFMANN George</t>
  </si>
  <si>
    <t>george.kauffmann@geometre-expert.fr</t>
  </si>
  <si>
    <t>geo.kauffmann@wanadoo.fr</t>
  </si>
  <si>
    <t>George</t>
  </si>
  <si>
    <t>KAUFFMANN</t>
  </si>
  <si>
    <t xml:space="preserve">MOULINS LES METZ</t>
  </si>
  <si>
    <t xml:space="preserve">SELARL CARPENTIER-MULLER</t>
  </si>
  <si>
    <t>olivier.carpentier@geometre-expert.fr</t>
  </si>
  <si>
    <t>cm.geometres@d-schmitt.fr</t>
  </si>
  <si>
    <t>CARPENTIER</t>
  </si>
  <si>
    <t>jean-nicolas.muller@geometre-expert.fr</t>
  </si>
  <si>
    <t>MULLER</t>
  </si>
  <si>
    <t xml:space="preserve">MOURS ST EUSEBE</t>
  </si>
  <si>
    <t xml:space="preserve">SELARL GEOMETRI NOUVELLE</t>
  </si>
  <si>
    <t>eric.autugelle@geometre-expert.fr</t>
  </si>
  <si>
    <t>sarl.geometri@wanadoo.fr</t>
  </si>
  <si>
    <t>AUTUGELLE</t>
  </si>
  <si>
    <t>MOUTIERS</t>
  </si>
  <si>
    <t xml:space="preserve">SELAS Mesur'ALPES Géomètres-Experts associés</t>
  </si>
  <si>
    <t>aurelie.carlin@geometre-expert.fr</t>
  </si>
  <si>
    <t>moutiers@mesuralpes.fr</t>
  </si>
  <si>
    <t>frederic.burnier-framboret@geometre-expert.fr</t>
  </si>
  <si>
    <t>BURNIER-FRAMBORET</t>
  </si>
  <si>
    <t>MULHOUSE</t>
  </si>
  <si>
    <t xml:space="preserve">SELARL Cabinet Eric HERNANDEZ</t>
  </si>
  <si>
    <t>eric.hernandez@geometre-expert.fr</t>
  </si>
  <si>
    <t>HERNANDEZ</t>
  </si>
  <si>
    <t xml:space="preserve">SARL A.G.E. CLOG NUNINGER PREVOST-HABERER G-E Associés</t>
  </si>
  <si>
    <t>pascal.kuntzelmann@geometre-expert.fr</t>
  </si>
  <si>
    <t>contact@age.geometre-expert.fr</t>
  </si>
  <si>
    <t>KUNTZELMANN</t>
  </si>
  <si>
    <t>laurence.prevost-haberer@geometre-expert.fr</t>
  </si>
  <si>
    <t>PREVOST-HABERER</t>
  </si>
  <si>
    <t>philippe.nuninger@geometre-expert.fr</t>
  </si>
  <si>
    <t>NUNINGER</t>
  </si>
  <si>
    <t>MURET</t>
  </si>
  <si>
    <t xml:space="preserve">SARL Cabinet VAILLES-CIVADE</t>
  </si>
  <si>
    <t>pascal.vailles@geometre-expert.fr</t>
  </si>
  <si>
    <t>VAILLES</t>
  </si>
  <si>
    <t>agnes.doglio@geometre-expert.fr</t>
  </si>
  <si>
    <t>Agnès</t>
  </si>
  <si>
    <t>DOGLIO</t>
  </si>
  <si>
    <t xml:space="preserve">MURS ERIGNE</t>
  </si>
  <si>
    <t>GEOCE</t>
  </si>
  <si>
    <t>romuald.bucher@geometre-expert.fr</t>
  </si>
  <si>
    <t>contact@geoce.fr</t>
  </si>
  <si>
    <t>BÛCHER</t>
  </si>
  <si>
    <t>NANCY</t>
  </si>
  <si>
    <t xml:space="preserve">SCP DIDIER-ARNOULD-JACQUOT</t>
  </si>
  <si>
    <t>yoann.jacquot@geometre-expert.fr</t>
  </si>
  <si>
    <t>nancy@sdageometres.fr</t>
  </si>
  <si>
    <t>JACQUOT</t>
  </si>
  <si>
    <t>francois.didier@geometre-expert.fr</t>
  </si>
  <si>
    <t>DIDIER</t>
  </si>
  <si>
    <t xml:space="preserve">GEODATIS SELARL de GEOMETRES-EXPERTS</t>
  </si>
  <si>
    <t>aurelie.visine@geometre-expert.fr</t>
  </si>
  <si>
    <t>info54@geodatis.fr</t>
  </si>
  <si>
    <t>VISINE</t>
  </si>
  <si>
    <t>gregory.arnould@geometre-expert.fr</t>
  </si>
  <si>
    <t>ARNOULD</t>
  </si>
  <si>
    <t>claude.dacosta@geometre-expert.fr</t>
  </si>
  <si>
    <t>DA</t>
  </si>
  <si>
    <t>NANGIS</t>
  </si>
  <si>
    <t xml:space="preserve">SELAS ARPENTUDE</t>
  </si>
  <si>
    <t>cedric.mourier@geometre-expert.fr</t>
  </si>
  <si>
    <t>MOURIER</t>
  </si>
  <si>
    <t>NANTERRE</t>
  </si>
  <si>
    <t xml:space="preserve">SAS TASSOU - CAVEL GEOMETRES-EXPERTS</t>
  </si>
  <si>
    <t>stephane.cavel@geometre-expert.fr</t>
  </si>
  <si>
    <t>geometre-expert@tassou-cavel.fr</t>
  </si>
  <si>
    <t>CAVEL</t>
  </si>
  <si>
    <t>NANTES</t>
  </si>
  <si>
    <t xml:space="preserve">GEOFIT EXPERT</t>
  </si>
  <si>
    <t>fiona.benni@geometre-expert.fr</t>
  </si>
  <si>
    <t>nantes@geofit-expert.fr</t>
  </si>
  <si>
    <t>BENNI</t>
  </si>
  <si>
    <t xml:space="preserve">BUREAU Jean-Christophe Géomètre-Expert</t>
  </si>
  <si>
    <t>jc.bureau@geometre-expert.fr</t>
  </si>
  <si>
    <t>BUREAU</t>
  </si>
  <si>
    <t>AGEBIM</t>
  </si>
  <si>
    <t>alban.delcroix@geometre-expert.fr</t>
  </si>
  <si>
    <t>adelcroix@agebim.fr</t>
  </si>
  <si>
    <t>DELCROIX</t>
  </si>
  <si>
    <t>olivier.pottier@geometre-expert.fr</t>
  </si>
  <si>
    <t>POTTIER</t>
  </si>
  <si>
    <t xml:space="preserve">SONNEVILLE Alexandre-H</t>
  </si>
  <si>
    <t>alexandre-henri.sonneville@geometre-expert.fr</t>
  </si>
  <si>
    <t>Alexandre-Henri</t>
  </si>
  <si>
    <t>SONNEVILLE</t>
  </si>
  <si>
    <t>fabrice.bunouf@geometre-expert.fr</t>
  </si>
  <si>
    <t>BUNOUF</t>
  </si>
  <si>
    <t xml:space="preserve">PIERRE - GE</t>
  </si>
  <si>
    <t>pierre.maiore@geometre-expert.fr</t>
  </si>
  <si>
    <t>MAIORE</t>
  </si>
  <si>
    <t>thierry.taccard@geometre-expert.fr</t>
  </si>
  <si>
    <t>TACCARD</t>
  </si>
  <si>
    <t>jerome.maubant@geometre-expert.fr</t>
  </si>
  <si>
    <t>MAUBANT</t>
  </si>
  <si>
    <t>bruno.albrand@geometre-expert.fr</t>
  </si>
  <si>
    <t>ALBRAND</t>
  </si>
  <si>
    <t>pierre-olivier.ris@geometre-expert.fr</t>
  </si>
  <si>
    <t>RIS</t>
  </si>
  <si>
    <t xml:space="preserve">CHOIMET Marc</t>
  </si>
  <si>
    <t>marc.choimet@geometre-expert.fr</t>
  </si>
  <si>
    <t>CHOIMET</t>
  </si>
  <si>
    <t>philippe.lorrain@geometre-expert.fr</t>
  </si>
  <si>
    <t>LORRAIN</t>
  </si>
  <si>
    <t>anne.gazeau@geometre-expert.fr</t>
  </si>
  <si>
    <t>GAZEAU</t>
  </si>
  <si>
    <t xml:space="preserve">RIOT Antoine SARL de Géomètre-Expert</t>
  </si>
  <si>
    <t>antoine.riot@geometre-expert.fr</t>
  </si>
  <si>
    <t>cabinet.riot@geometre-expert.fr</t>
  </si>
  <si>
    <t>RIOT</t>
  </si>
  <si>
    <t>nantes@fit-conseil.fr</t>
  </si>
  <si>
    <t>THALGOTT</t>
  </si>
  <si>
    <t>regis.tesson@geometre-expert.fr</t>
  </si>
  <si>
    <t>TESSON</t>
  </si>
  <si>
    <t>damien.pin@geometre-expert.fr</t>
  </si>
  <si>
    <t>PIN</t>
  </si>
  <si>
    <t>damien.desoeuvre@geometre-expert.fr</t>
  </si>
  <si>
    <t>DESOEUVRE</t>
  </si>
  <si>
    <t xml:space="preserve">NANTEUIL LE HAUDOUIN</t>
  </si>
  <si>
    <t xml:space="preserve">AXEGEO SELARL de GEOMETRES-EXPERTS</t>
  </si>
  <si>
    <t>stephane.callies@geometre-expert.fr</t>
  </si>
  <si>
    <t>contact@axegeo.fr</t>
  </si>
  <si>
    <t>CALLIES</t>
  </si>
  <si>
    <t>NANTUA</t>
  </si>
  <si>
    <t xml:space="preserve">SCP BOLLACHE JEAN-LUC GEOMETRE-EXPERT</t>
  </si>
  <si>
    <t>jean-luc.bollache@geometre-expert.fr</t>
  </si>
  <si>
    <t>BOLLACHE</t>
  </si>
  <si>
    <t>NARBONNE</t>
  </si>
  <si>
    <t xml:space="preserve">SELAS GEAUDE</t>
  </si>
  <si>
    <t>maxime.canepa@geometre-expert.fr</t>
  </si>
  <si>
    <t>geaude@geaude.fr</t>
  </si>
  <si>
    <t>CANEPA</t>
  </si>
  <si>
    <t xml:space="preserve">SCP ORRIT-BLANQUER, Géomètres-Experts</t>
  </si>
  <si>
    <t>laurence.orrit-blanquer@geometre-expert.fr</t>
  </si>
  <si>
    <t>laurence.orrit@gmail.com</t>
  </si>
  <si>
    <t>ORRIT-BLANQUER</t>
  </si>
  <si>
    <t>david.blanquer@geometre-expert.fr</t>
  </si>
  <si>
    <t>BLANQUER</t>
  </si>
  <si>
    <t xml:space="preserve">NAYEMONT LES FOSSES</t>
  </si>
  <si>
    <t xml:space="preserve">SELAS JULIETTE BARLIER</t>
  </si>
  <si>
    <t>juliette.michel-barlier@geometre-expert.fr</t>
  </si>
  <si>
    <t>juliette.barlier.geometre@orange.fr</t>
  </si>
  <si>
    <t>BARLIER</t>
  </si>
  <si>
    <t xml:space="preserve">NEAUPHLE LE CHATEAU</t>
  </si>
  <si>
    <t xml:space="preserve">SARL FONCIER-EXPERTS</t>
  </si>
  <si>
    <t>emmanuel.simon-barboux@geometre-expert.fr</t>
  </si>
  <si>
    <t>neauphle@foncier-experts.com</t>
  </si>
  <si>
    <t>SIMON-BARBOUX</t>
  </si>
  <si>
    <t>julien.cahart@geometre-expert.fr</t>
  </si>
  <si>
    <t>CAHART</t>
  </si>
  <si>
    <t>antoine.diot@geometre-expert.fr</t>
  </si>
  <si>
    <t>DIOT</t>
  </si>
  <si>
    <t>jerome.haxaire@geometre-expert.fr</t>
  </si>
  <si>
    <t>HAXAIRE</t>
  </si>
  <si>
    <t>NICE</t>
  </si>
  <si>
    <t xml:space="preserve">EcoGeo Expertise</t>
  </si>
  <si>
    <t>damien.potin@geometre-expert.fr</t>
  </si>
  <si>
    <t xml:space="preserve">SARL LAURENT THUET</t>
  </si>
  <si>
    <t>laurent.thuet@geometre-expert.fr</t>
  </si>
  <si>
    <t>laurent.thuet@orange.fr</t>
  </si>
  <si>
    <t>THUET</t>
  </si>
  <si>
    <t>lisa.susini@geometre-expert.fr</t>
  </si>
  <si>
    <t>SUSINI</t>
  </si>
  <si>
    <t xml:space="preserve">SELAS SGE LEVIER-CASTELLI</t>
  </si>
  <si>
    <t>benoit.levier@geometre-expert.fr</t>
  </si>
  <si>
    <t>geometre@levier-castelli.fr</t>
  </si>
  <si>
    <t>LEVIER</t>
  </si>
  <si>
    <t>michel.castelli@geometre-expert.fr</t>
  </si>
  <si>
    <t>CASTELLI</t>
  </si>
  <si>
    <t xml:space="preserve">SARL TOP-INFO</t>
  </si>
  <si>
    <t>yves.decordier@geometre-expert.fr</t>
  </si>
  <si>
    <t>top.info.06@free.fr</t>
  </si>
  <si>
    <t>DECORDIER</t>
  </si>
  <si>
    <t xml:space="preserve">SARL PENSA GEOTOPO</t>
  </si>
  <si>
    <t>georges.savard@geometre-expert.fr</t>
  </si>
  <si>
    <t>pensa.geotopo@geometre-expert.fr</t>
  </si>
  <si>
    <t>SAVARD</t>
  </si>
  <si>
    <t>laetitia.bouche@geometre-expert.fr</t>
  </si>
  <si>
    <t>BOUCHE</t>
  </si>
  <si>
    <t>NIMES</t>
  </si>
  <si>
    <t xml:space="preserve">SELARL VINCENS Dominique</t>
  </si>
  <si>
    <t>dominique.vincens@geometre-expert.fr</t>
  </si>
  <si>
    <t>contact@ge-vincens.fr</t>
  </si>
  <si>
    <t>VINCENS</t>
  </si>
  <si>
    <t xml:space="preserve">SELAS Jean-Michel RICHER</t>
  </si>
  <si>
    <t>jean-michel.richer@geometre-expert.fr</t>
  </si>
  <si>
    <t>admin@richer-geometre.com</t>
  </si>
  <si>
    <t>RICHER</t>
  </si>
  <si>
    <t xml:space="preserve">Cabinet GABANON Fabien</t>
  </si>
  <si>
    <t>fabien.gabanon@geometre-expert.fr</t>
  </si>
  <si>
    <t>GABANON</t>
  </si>
  <si>
    <t xml:space="preserve">SELARL GLOBAL GEO-EXPERT</t>
  </si>
  <si>
    <t>alex.lesenne@geometre-expert.fr</t>
  </si>
  <si>
    <t>Lmgeo@wanadoo.fr</t>
  </si>
  <si>
    <t>LESENNE</t>
  </si>
  <si>
    <t>lionel.sourd@geometre-expert.fr</t>
  </si>
  <si>
    <t>SOURD</t>
  </si>
  <si>
    <t xml:space="preserve">Cabinet FABRE Frédéric</t>
  </si>
  <si>
    <t>frederic.fabre@geometre-expert.fr</t>
  </si>
  <si>
    <t>fabroussy@wanadoo.fr</t>
  </si>
  <si>
    <t>jean-louis.martinez@geometre-expert.fr</t>
  </si>
  <si>
    <t>MARTINEZ</t>
  </si>
  <si>
    <t xml:space="preserve">NOISY LE GRAND</t>
  </si>
  <si>
    <t xml:space="preserve">SCP de Géomètres-Experts BOURDON FRAGNE</t>
  </si>
  <si>
    <t>franck.bourdon@geometre-expert.fr</t>
  </si>
  <si>
    <t>noisy.geo.experts@wanadoo.fr</t>
  </si>
  <si>
    <t>BOURDON</t>
  </si>
  <si>
    <t>veronique.fragne@geometre-expert.fr</t>
  </si>
  <si>
    <t>FRAGNE</t>
  </si>
  <si>
    <t>NONTRON</t>
  </si>
  <si>
    <t xml:space="preserve">NICOLAS DESCAMP GEOMETRE EXPERT SELASU NICOLAS DESCAMP GEOMETRE EXPERT</t>
  </si>
  <si>
    <t>nicolas.descamp@geometre-expert.fr</t>
  </si>
  <si>
    <t>DESCAMP</t>
  </si>
  <si>
    <t>NYONS</t>
  </si>
  <si>
    <t xml:space="preserve">SARL VALENTIN et Associés</t>
  </si>
  <si>
    <t>guillaume.valentin@geometre-expert.fr</t>
  </si>
  <si>
    <t>VALENTIN</t>
  </si>
  <si>
    <t>OBERNAI</t>
  </si>
  <si>
    <t xml:space="preserve">SELARL de Géomètre-Expert Claude ANDRES Claude ANDRES</t>
  </si>
  <si>
    <t>odile.schaff@geometre-expert.fr</t>
  </si>
  <si>
    <t>Cabinet.andres@wanadoo.fr</t>
  </si>
  <si>
    <t>SCHAFF</t>
  </si>
  <si>
    <t>christophe.rahier@geometre-expert.fr</t>
  </si>
  <si>
    <t>RAHIER</t>
  </si>
  <si>
    <t>claude.andres@geometre-expert.fr</t>
  </si>
  <si>
    <t>ANDRES</t>
  </si>
  <si>
    <t>OLLIOULES</t>
  </si>
  <si>
    <t xml:space="preserve">SELARL Cabinet Philippe ABADIE</t>
  </si>
  <si>
    <t>philippe.abadie@geometre-expert.fr</t>
  </si>
  <si>
    <t>cabinetphilippeabadie@gmail.com</t>
  </si>
  <si>
    <t>ABADIE</t>
  </si>
  <si>
    <t>ORANGE</t>
  </si>
  <si>
    <t xml:space="preserve">SELARL CABINET COURBI</t>
  </si>
  <si>
    <t>elodie.couston@geometre-expert.fr</t>
  </si>
  <si>
    <t>contact@cabinet-courbi.fr</t>
  </si>
  <si>
    <t>COUSTON</t>
  </si>
  <si>
    <t>philippe.gleize@geometre-expert.fr</t>
  </si>
  <si>
    <t>GLEIZE</t>
  </si>
  <si>
    <t>stephane.courbi@geometre-expert.fr</t>
  </si>
  <si>
    <t>COURBI</t>
  </si>
  <si>
    <t xml:space="preserve">SELARL de Géomètres-experts WILLEMS LAVORINI</t>
  </si>
  <si>
    <t>damien.lavorini@geometre-expert.fr</t>
  </si>
  <si>
    <t>LAVORINI</t>
  </si>
  <si>
    <t>ORCHIES</t>
  </si>
  <si>
    <t xml:space="preserve">Cabinet SAGNIEZ Michel</t>
  </si>
  <si>
    <t>michel.sagniez@geometre-expert.fr</t>
  </si>
  <si>
    <t>SAGNIEZ</t>
  </si>
  <si>
    <t>ORGEVAL</t>
  </si>
  <si>
    <t xml:space="preserve">SELARL GEO-XP</t>
  </si>
  <si>
    <t>boris.camps@geometre-expert.fr</t>
  </si>
  <si>
    <t>contact@geoxp.fr</t>
  </si>
  <si>
    <t>Boris-Alexandre</t>
  </si>
  <si>
    <t>CAMPS</t>
  </si>
  <si>
    <t>ORLEANS</t>
  </si>
  <si>
    <t xml:space="preserve">AGEO EXPERT EURL</t>
  </si>
  <si>
    <t>nicolas.cimadevilla@geometre-expert.fr</t>
  </si>
  <si>
    <t>CIMADEVILLA</t>
  </si>
  <si>
    <t>AXIS-CONSEILS</t>
  </si>
  <si>
    <t>marc.henaut@geometre-expert.fr</t>
  </si>
  <si>
    <t>HENAUT</t>
  </si>
  <si>
    <t>sebastien.thirouin@geometre-expert.fr</t>
  </si>
  <si>
    <t>THIROUIN</t>
  </si>
  <si>
    <t>benjamin.montigny@geometre-expert.fr</t>
  </si>
  <si>
    <t>MONTIGNY</t>
  </si>
  <si>
    <t>aurelie.grosjean@geometre-expert.fr</t>
  </si>
  <si>
    <t>GROSJEAN</t>
  </si>
  <si>
    <t>thomas.blanc@geometre-expert.fr</t>
  </si>
  <si>
    <t>alexandre.berge@geometre-expert.fr</t>
  </si>
  <si>
    <t>BERGE</t>
  </si>
  <si>
    <t>ORTHEZ</t>
  </si>
  <si>
    <t xml:space="preserve">SARL de Géomètres-Experts Claude VIGNASSE</t>
  </si>
  <si>
    <t>claude.vignasse@geometre-expert.fr</t>
  </si>
  <si>
    <t>VIGNASSE</t>
  </si>
  <si>
    <t>OUDON</t>
  </si>
  <si>
    <t>ALBEDO</t>
  </si>
  <si>
    <t>caroline.ripoche@geometre-expert.fr</t>
  </si>
  <si>
    <t>contact@albedo-geometre.fr</t>
  </si>
  <si>
    <t>RIPOCHE</t>
  </si>
  <si>
    <t>OYONNAX</t>
  </si>
  <si>
    <t xml:space="preserve">SELARL ALIA-GE GEOMETRES-EXPERTS ASSOCIES</t>
  </si>
  <si>
    <t>pascal.olmi@geometre-expert.fr</t>
  </si>
  <si>
    <t>oyonnax@alia-ge.fr</t>
  </si>
  <si>
    <t>OLMI</t>
  </si>
  <si>
    <t>rachelle.bergeret@geometre-expert.fr</t>
  </si>
  <si>
    <t>Rachelle</t>
  </si>
  <si>
    <t>BERGERET</t>
  </si>
  <si>
    <t>pascal.pruniaux@geometre-expert.fr</t>
  </si>
  <si>
    <t>PRUNIAUX</t>
  </si>
  <si>
    <t>agnes.pruniaux-tromeur@geometre-expert.fr</t>
  </si>
  <si>
    <t>PRUNIAUX-TROMEUR</t>
  </si>
  <si>
    <t>PADOUX</t>
  </si>
  <si>
    <t xml:space="preserve">SELARL de Géomètres-Experts Jacques</t>
  </si>
  <si>
    <t>michael.jacques@geometre-expert.fr</t>
  </si>
  <si>
    <t>geometre.jacques@orange.fr</t>
  </si>
  <si>
    <t>JACQUES</t>
  </si>
  <si>
    <t>PAIMPOL</t>
  </si>
  <si>
    <t xml:space="preserve">SARL DELUCHAT-LEC'HVIEN</t>
  </si>
  <si>
    <t>marie.deluchat-lechvien@geometre-expert.fr</t>
  </si>
  <si>
    <t>marie.deluchat-lec'hvien@geometre-expert.fr</t>
  </si>
  <si>
    <t>DELUCHAT-LEC'HVIEN</t>
  </si>
  <si>
    <t>PALAISEAU</t>
  </si>
  <si>
    <t xml:space="preserve">SELARL MERCIER EXPERTISES</t>
  </si>
  <si>
    <t>michel.mercier@geometre-expert.fr</t>
  </si>
  <si>
    <t>ge@mercier-gexp.fr</t>
  </si>
  <si>
    <t>MERCIER</t>
  </si>
  <si>
    <t>PAMIERS</t>
  </si>
  <si>
    <t xml:space="preserve">Cabinet CLARAC Christian</t>
  </si>
  <si>
    <t>christian.clarac@geometre-expert.fr</t>
  </si>
  <si>
    <t>clarac-geometre@wanadoo.fr</t>
  </si>
  <si>
    <t>CLARAC</t>
  </si>
  <si>
    <t>PANAZOL</t>
  </si>
  <si>
    <t xml:space="preserve">SELARL BRISSET VEYRIER Mesures</t>
  </si>
  <si>
    <t>ulrich.andre@geometre-expert.fr</t>
  </si>
  <si>
    <t>contact@bv-mesures.fr</t>
  </si>
  <si>
    <t>Ulrich</t>
  </si>
  <si>
    <t>guillaume.wannepain@geometre-expert.fr</t>
  </si>
  <si>
    <t>WANNEPAIN</t>
  </si>
  <si>
    <t xml:space="preserve">PARENTIS EN BORN</t>
  </si>
  <si>
    <t xml:space="preserve">SCP Jérôme GUETTE</t>
  </si>
  <si>
    <t>jerome.guette@geometre-expert.fr</t>
  </si>
  <si>
    <t>jeromeguette.geometre@gmail.com</t>
  </si>
  <si>
    <t>GUETTE</t>
  </si>
  <si>
    <t xml:space="preserve">PARIS 03</t>
  </si>
  <si>
    <t xml:space="preserve">Cabinet ROSEAU &amp;amp; Associés SARL de Géomètres-Experts</t>
  </si>
  <si>
    <t>sylvestre.roseau@geometre-expert.fr</t>
  </si>
  <si>
    <t>cab.roseau@geometre-expert.fr</t>
  </si>
  <si>
    <t>ROSEAU</t>
  </si>
  <si>
    <t>hubert.roseau@geometre-expert.fr</t>
  </si>
  <si>
    <t>agnes.paris@geometre-expert.fr</t>
  </si>
  <si>
    <t>PARIS</t>
  </si>
  <si>
    <t xml:space="preserve">PARIS 05</t>
  </si>
  <si>
    <t xml:space="preserve">SELARL Cabinet MORIN et Associé</t>
  </si>
  <si>
    <t>herve.morin@geometre-expert.fr</t>
  </si>
  <si>
    <t>contact@morin-associe.fr</t>
  </si>
  <si>
    <t>MORIN</t>
  </si>
  <si>
    <t xml:space="preserve">SARL SERRAIN ET ASSOCIE</t>
  </si>
  <si>
    <t>philippe.sechet@geometre-expert.fr</t>
  </si>
  <si>
    <t>contact@serrain.fr</t>
  </si>
  <si>
    <t>SECHET</t>
  </si>
  <si>
    <t>antoine.blanchard@geometre-expert.fr</t>
  </si>
  <si>
    <t>Yohan.RIOULT@geometre-expert.fr</t>
  </si>
  <si>
    <t>RIOULT</t>
  </si>
  <si>
    <t>jean-francois.serrain@geometre-expert.fr</t>
  </si>
  <si>
    <t>SERRAIN</t>
  </si>
  <si>
    <t xml:space="preserve">SARL Cabinet ADAM</t>
  </si>
  <si>
    <t>aymeric.adam@geometre-expert.fr</t>
  </si>
  <si>
    <t>a.adam@cabinetadam.com</t>
  </si>
  <si>
    <t xml:space="preserve">PARIS 09</t>
  </si>
  <si>
    <t>GEOALLIANCE</t>
  </si>
  <si>
    <t>loic.zettor@geometre-expert.fr</t>
  </si>
  <si>
    <t>loiczettor.paris@gmail.com</t>
  </si>
  <si>
    <t>ZETTOR</t>
  </si>
  <si>
    <t xml:space="preserve">PARIS 10</t>
  </si>
  <si>
    <t xml:space="preserve">SARL AB6 GEOMETRE-EXPERT</t>
  </si>
  <si>
    <t>bernard.grynberg@geometre-expert.fr</t>
  </si>
  <si>
    <t>ab6geo@gmail.com</t>
  </si>
  <si>
    <t>GRYNBERG</t>
  </si>
  <si>
    <t xml:space="preserve">PARIS 11</t>
  </si>
  <si>
    <t xml:space="preserve">SCOP TT GEOMETRES-EXPERTS</t>
  </si>
  <si>
    <t>bertrand.girard@geometre-expert.fr</t>
  </si>
  <si>
    <t>paris@techniques-topo.com</t>
  </si>
  <si>
    <t>anne-lise.gauthier@geometre-expert.fr</t>
  </si>
  <si>
    <t>Anne-Lise</t>
  </si>
  <si>
    <t>GAUTHIER</t>
  </si>
  <si>
    <t>mathieu.leguernec@geometre-expert.fr</t>
  </si>
  <si>
    <t xml:space="preserve">SELARL CAPGEO &amp;amp; ASSOCIES</t>
  </si>
  <si>
    <t>thibaut.laurent@geometre-expert.fr</t>
  </si>
  <si>
    <t>contact@capgeo-associes.fr</t>
  </si>
  <si>
    <t>LAURENT</t>
  </si>
  <si>
    <t xml:space="preserve">SCP Cabinet TARTACEDE-BOLLAERT</t>
  </si>
  <si>
    <t>valerie.bollaert@geometre-expert.fr</t>
  </si>
  <si>
    <t>geometre@tartacede-bollaert.geometre-expert.fr</t>
  </si>
  <si>
    <t>Valérie</t>
  </si>
  <si>
    <t>TARTACEDE</t>
  </si>
  <si>
    <t>florence.tribout@geometre-expert.fr</t>
  </si>
  <si>
    <t>TRIBOUT</t>
  </si>
  <si>
    <t>alice.degueurce@geometre-expert.fr</t>
  </si>
  <si>
    <t>DEGUEURCE</t>
  </si>
  <si>
    <t>gilles.sanous@geometre-expert.fr</t>
  </si>
  <si>
    <t>SANOUS</t>
  </si>
  <si>
    <t>romain.buraud@geometre-expert.fr</t>
  </si>
  <si>
    <t>BURAUD</t>
  </si>
  <si>
    <t>sonia.morgado-lopes@geometre-expert.fr</t>
  </si>
  <si>
    <t>MORGADO</t>
  </si>
  <si>
    <t>william.houvenagel@geometre-expert.fr</t>
  </si>
  <si>
    <t>HOUVENAGEL</t>
  </si>
  <si>
    <t>francois.berger@geometre-expert.fr</t>
  </si>
  <si>
    <t>BERGER</t>
  </si>
  <si>
    <t xml:space="preserve">Cabinet RADIGOIS Gérard</t>
  </si>
  <si>
    <t>gerard.radigois@geometre-expert.fr</t>
  </si>
  <si>
    <t>RADIGOIS</t>
  </si>
  <si>
    <t>sylvain.montaron@geometre-expert.fr</t>
  </si>
  <si>
    <t>MONTARON</t>
  </si>
  <si>
    <t>remi.plantefeve@geometre-expert.fr</t>
  </si>
  <si>
    <t>PLANTEFEVE</t>
  </si>
  <si>
    <t>claire.pierrat@geometre-expert.fr</t>
  </si>
  <si>
    <t>PIERRAT</t>
  </si>
  <si>
    <t>elodie.hermier@geometre-expert.fr</t>
  </si>
  <si>
    <t>HERMIER</t>
  </si>
  <si>
    <t>romain.manzoni@geometre-expert.fr</t>
  </si>
  <si>
    <t>MANZONI</t>
  </si>
  <si>
    <t>diane.dubois@geometre-expert.fr</t>
  </si>
  <si>
    <t>hugo.racinay@geometre-expert.fr</t>
  </si>
  <si>
    <t>RACINAY</t>
  </si>
  <si>
    <t>valentin.debournoux@geometre-expert.fr</t>
  </si>
  <si>
    <t>DEBOURNOUX</t>
  </si>
  <si>
    <t>fabian.bollaert@geometre-expert.fr</t>
  </si>
  <si>
    <t>BOLLAERT</t>
  </si>
  <si>
    <t>edouard.noel@geometre-expert.fr</t>
  </si>
  <si>
    <t>NOEL</t>
  </si>
  <si>
    <t>guillaume.rossi@geometre-expert.fr</t>
  </si>
  <si>
    <t>jerome.crochon@geometre-expert.fr</t>
  </si>
  <si>
    <t>CROCHON</t>
  </si>
  <si>
    <t>sebastien.mecherikunnel@geometre-expert.fr</t>
  </si>
  <si>
    <t>MECHERIKUNNEL</t>
  </si>
  <si>
    <t xml:space="preserve">PARIS 12</t>
  </si>
  <si>
    <t xml:space="preserve">SELARL CABINET DENIS BRACHET</t>
  </si>
  <si>
    <t>denis.brachet@geometre-expert.fr</t>
  </si>
  <si>
    <t>paris@cabinet-brachet.fr</t>
  </si>
  <si>
    <t>BRACHET</t>
  </si>
  <si>
    <t xml:space="preserve">GTA GEOMETRES EXPERTS</t>
  </si>
  <si>
    <t>alexandra.tagnati@geometre-expert.fr</t>
  </si>
  <si>
    <t>contact@gtage.fr</t>
  </si>
  <si>
    <t>TAGNATI</t>
  </si>
  <si>
    <t>gilles.messiez-poche@geometre-expert.fr</t>
  </si>
  <si>
    <t>MESSIEZ-POCHE</t>
  </si>
  <si>
    <t>clement.seille@geometre-expert.fr</t>
  </si>
  <si>
    <t>SEILLE</t>
  </si>
  <si>
    <t>caroline.elmenkouri@geometre-expert.fr</t>
  </si>
  <si>
    <t>EL</t>
  </si>
  <si>
    <t>sebastien.berthelot@geometre-expert.fr</t>
  </si>
  <si>
    <t>BERTHELOT</t>
  </si>
  <si>
    <t xml:space="preserve">SAS CABINET BARDEL</t>
  </si>
  <si>
    <t>franck.hericher@geometre-expert.fr</t>
  </si>
  <si>
    <t>p.bardel@wanadoo.fr</t>
  </si>
  <si>
    <t>HERICHER</t>
  </si>
  <si>
    <t>Sophie.LEBRAVE-MALAQUIN@geometre-expert.fr</t>
  </si>
  <si>
    <t>LEBRAVE</t>
  </si>
  <si>
    <t>william.lerouge@geometre-expert.fr</t>
  </si>
  <si>
    <t>LEROUGE</t>
  </si>
  <si>
    <t xml:space="preserve">PARIS 13</t>
  </si>
  <si>
    <t xml:space="preserve">SELAS GEOPERSPECTIVES</t>
  </si>
  <si>
    <t>eric.dauzac@geometre-expert.fr</t>
  </si>
  <si>
    <t>paris@geoperspectives.fr</t>
  </si>
  <si>
    <t>DAUZAC</t>
  </si>
  <si>
    <t xml:space="preserve">SELARL GE3D</t>
  </si>
  <si>
    <t>baptiste.bazoge@geometre-expert.fr</t>
  </si>
  <si>
    <t>contact@ge3d.fr</t>
  </si>
  <si>
    <t>BAZOGE</t>
  </si>
  <si>
    <t>florian.herve@geometre-expert.fr</t>
  </si>
  <si>
    <t>HERVE</t>
  </si>
  <si>
    <t>alain.pape@geometre-expert.fr</t>
  </si>
  <si>
    <t>PAPE</t>
  </si>
  <si>
    <t xml:space="preserve">PARIS 14</t>
  </si>
  <si>
    <t xml:space="preserve">Cabinet Pétru-Maria EMMANUELLI</t>
  </si>
  <si>
    <t>petru-maria.emmanuelli@geometre-expert.fr</t>
  </si>
  <si>
    <t>Petru-Maria</t>
  </si>
  <si>
    <t>EMMANUELLI</t>
  </si>
  <si>
    <t xml:space="preserve">SARL ACTIF GEO</t>
  </si>
  <si>
    <t>paul.assuied@geometre-expert.fr</t>
  </si>
  <si>
    <t>contact@actif-geo.fr</t>
  </si>
  <si>
    <t>ASSUIED</t>
  </si>
  <si>
    <t xml:space="preserve">PARIS 15</t>
  </si>
  <si>
    <t xml:space="preserve">Cabinet Pierre BLOY SELAS</t>
  </si>
  <si>
    <t>florence.rozie@geometre-expert.fr</t>
  </si>
  <si>
    <t>cabinet@bloy.geometre-expert.fr</t>
  </si>
  <si>
    <t>ROZIE</t>
  </si>
  <si>
    <t>jonathan.le-chapois@geometre-expert.fr</t>
  </si>
  <si>
    <t xml:space="preserve">SELAS SUPGEO</t>
  </si>
  <si>
    <t>thibaut.moyon-auvray@geometre-expert.fr</t>
  </si>
  <si>
    <t>contact@supgeo.fr</t>
  </si>
  <si>
    <t>MOYON-AUVRAY</t>
  </si>
  <si>
    <t xml:space="preserve">SAS A. DE QUENETAIN</t>
  </si>
  <si>
    <t>lionel.gradelet@geometre-expert.fr</t>
  </si>
  <si>
    <t>geometre-expert@quenetain.com</t>
  </si>
  <si>
    <t>GRADELET</t>
  </si>
  <si>
    <t xml:space="preserve">SELAS DANIEL LEGRAND</t>
  </si>
  <si>
    <t>daniel.legrand@geometre-expert.fr</t>
  </si>
  <si>
    <t>contact@dlegrand.com</t>
  </si>
  <si>
    <t>theo.denat@geometre-expert.fr</t>
  </si>
  <si>
    <t>Théo</t>
  </si>
  <si>
    <t>DENAT</t>
  </si>
  <si>
    <t>alexis.huchetdequenetain@geometre-expert.fr</t>
  </si>
  <si>
    <t>HUCHET</t>
  </si>
  <si>
    <t>julien.dubois@geometre-expert.fr</t>
  </si>
  <si>
    <t xml:space="preserve">PARIS 16</t>
  </si>
  <si>
    <t xml:space="preserve">SARL ArcEdge</t>
  </si>
  <si>
    <t>stephane.gabriel-sabatier@geometre-expert.fr</t>
  </si>
  <si>
    <t>contact@arcedge.fr</t>
  </si>
  <si>
    <t>GABRIEL-SABATIER</t>
  </si>
  <si>
    <t>sylvain.moreau@geometre-expert.fr</t>
  </si>
  <si>
    <t xml:space="preserve">PARIS 17</t>
  </si>
  <si>
    <t xml:space="preserve">SARL SOCIETE PHILIPPE &amp;amp; VINCENT SARL SOCIETE PHILIPPE &amp;amp; VINCENT</t>
  </si>
  <si>
    <t>seizo.vincent@geometre-expert.fr</t>
  </si>
  <si>
    <t>contactapsv@geometre-expert.fr</t>
  </si>
  <si>
    <t>Seizo</t>
  </si>
  <si>
    <t>arnaud.philippe@geometre-expert.fr</t>
  </si>
  <si>
    <t>PHILIPPE</t>
  </si>
  <si>
    <t xml:space="preserve">PARIS 18</t>
  </si>
  <si>
    <t xml:space="preserve">SELARL Cabinet ROULLEAU-HUCK-PLOMION</t>
  </si>
  <si>
    <t>helene.puel@geometre-expert.fr</t>
  </si>
  <si>
    <t>bruno.plomion@geometre-expert.fr</t>
  </si>
  <si>
    <t>PUEL</t>
  </si>
  <si>
    <t>PLOMION</t>
  </si>
  <si>
    <t>alain.huck@geometre-expert.fr</t>
  </si>
  <si>
    <t>HUCK</t>
  </si>
  <si>
    <t xml:space="preserve">SAS NIVELEAU GEOMETRE-EXPERT</t>
  </si>
  <si>
    <t>mathieu.niveleau@geometre-expert.fr</t>
  </si>
  <si>
    <t>cabinet.niveleau@geometre-expert.fr</t>
  </si>
  <si>
    <t>NIVELEAU</t>
  </si>
  <si>
    <t>gerard.roulleau@geometre-expert.fr</t>
  </si>
  <si>
    <t>ROULLEAU</t>
  </si>
  <si>
    <t xml:space="preserve">PARIS 19</t>
  </si>
  <si>
    <t xml:space="preserve">SARL DUPOUY-FLAMENCOURT</t>
  </si>
  <si>
    <t>frederic.meuret@geometre-expert.fr</t>
  </si>
  <si>
    <t>sflamencourt@dupouy-flamencourt.geometre-expert.fr</t>
  </si>
  <si>
    <t>serge.flamencourt@geometre-expert.fr</t>
  </si>
  <si>
    <t>FLAMENCOURT</t>
  </si>
  <si>
    <t>PAU</t>
  </si>
  <si>
    <t xml:space="preserve">Agence TERRA GEOMETRES-EXPERTS ASSOCIES</t>
  </si>
  <si>
    <t>michel.bouquet@geometre-expert.fr</t>
  </si>
  <si>
    <t>pau@agence-terra.fr</t>
  </si>
  <si>
    <t>BOUQUET</t>
  </si>
  <si>
    <t>jean-pierre.labourdette@geometre-expert.fr</t>
  </si>
  <si>
    <t>LABOURDETTE</t>
  </si>
  <si>
    <t xml:space="preserve">SARL Cabinet ESPEL-CARRICART Géomètres-Experts</t>
  </si>
  <si>
    <t>francois.espel-carricart@geometre-expert.fr</t>
  </si>
  <si>
    <t>espel.geometre@wanadoo.fr</t>
  </si>
  <si>
    <t>ESPEL-CARRICART</t>
  </si>
  <si>
    <t xml:space="preserve">SCP OSANZ Philippe</t>
  </si>
  <si>
    <t>philippe.osanz@geometre-expert.fr</t>
  </si>
  <si>
    <t>geometre@osanz.fr</t>
  </si>
  <si>
    <t>OSANZ</t>
  </si>
  <si>
    <t>gerald.degeorges@geometre-expert.fr</t>
  </si>
  <si>
    <t>Gérald</t>
  </si>
  <si>
    <t>DEGEORGES</t>
  </si>
  <si>
    <t xml:space="preserve">Cabinet SARRAT et Associés SARL DE GEOMETRES-EXPERTS</t>
  </si>
  <si>
    <t>yves.sarrat@geometre-expert.fr</t>
  </si>
  <si>
    <t>csa64@orange.fr</t>
  </si>
  <si>
    <t>SARRAT</t>
  </si>
  <si>
    <t>PERIGUEUX</t>
  </si>
  <si>
    <t xml:space="preserve">SELARL ALTEO GEOMETRES-EXPERTS</t>
  </si>
  <si>
    <t>dominique.mathio@geometre-expert.fr</t>
  </si>
  <si>
    <t>MATHIO</t>
  </si>
  <si>
    <t>xavier.bazenet@geometre-expert.fr</t>
  </si>
  <si>
    <t>BAZENET</t>
  </si>
  <si>
    <t>PEROLS</t>
  </si>
  <si>
    <t xml:space="preserve">RELIEF GE SELARL  de Géomètres-Experts</t>
  </si>
  <si>
    <t>jeremy.danis@geometre-expert.fr</t>
  </si>
  <si>
    <t>montpellier@reliefge.fr</t>
  </si>
  <si>
    <t>DANIS</t>
  </si>
  <si>
    <t>loic.leguilloux@geometre-expert.fr</t>
  </si>
  <si>
    <t>jean-christophe.cubry@geometre-expert.fr</t>
  </si>
  <si>
    <t>CUBRY</t>
  </si>
  <si>
    <t>vincent.balp@geometre-expert.fr</t>
  </si>
  <si>
    <t>BALP</t>
  </si>
  <si>
    <t>yoan.vieuville@geometre-expert.fr</t>
  </si>
  <si>
    <t>VIEUVILLE</t>
  </si>
  <si>
    <t>julien.chevallier@geometre-expert.fr</t>
  </si>
  <si>
    <t>CHEVALLIER</t>
  </si>
  <si>
    <t>laure.pietri@geometre-expert.fr</t>
  </si>
  <si>
    <t>PIETRI</t>
  </si>
  <si>
    <t>guillaume.deturckheim@geometre-expert.fr</t>
  </si>
  <si>
    <t>PERPIGNAN</t>
  </si>
  <si>
    <t xml:space="preserve">Cabinet GUILLON GONIN  SARL de Géomètres-Experts</t>
  </si>
  <si>
    <t>frederic.gonin@geometre-expert.fr</t>
  </si>
  <si>
    <t>GONIN</t>
  </si>
  <si>
    <t xml:space="preserve">SELARLU FONGEO</t>
  </si>
  <si>
    <t>thomas.lambert@geometre-expert.fr</t>
  </si>
  <si>
    <t>contact@fongeo.fr</t>
  </si>
  <si>
    <t xml:space="preserve">SCP Emmanuel CRETIN-MAITENAZ - Sylvain MOREAU</t>
  </si>
  <si>
    <t>emmanuel.cretin-maitenaz@geometre-expert.fr</t>
  </si>
  <si>
    <t>dmcgeo@orange.fr</t>
  </si>
  <si>
    <t xml:space="preserve">SELARL ROMERO GEOMETRE-EXPERT</t>
  </si>
  <si>
    <t>jean-pierre.romero@geometre-expert.fr</t>
  </si>
  <si>
    <t>scp.romero@orange.fr</t>
  </si>
  <si>
    <t>ROMERO</t>
  </si>
  <si>
    <t xml:space="preserve">SELARL GEOPOLE GEOMETRES-EXPERTS ASSOCIES</t>
  </si>
  <si>
    <t>gael.boyer@geometre-expert.fr</t>
  </si>
  <si>
    <t>geopole@orange.fr</t>
  </si>
  <si>
    <t>julien.pastor@geometre-expert.fr</t>
  </si>
  <si>
    <t>PASTOR</t>
  </si>
  <si>
    <t>lionel.prats@geometre-expert.fr</t>
  </si>
  <si>
    <t>PRATS</t>
  </si>
  <si>
    <t>christophe.puerto@geometre-expert.fr</t>
  </si>
  <si>
    <t>PUERTO</t>
  </si>
  <si>
    <t>PERTUIS</t>
  </si>
  <si>
    <t xml:space="preserve">SCP V. DUPIN &amp;amp; JP. RICHAUD GE ASSOCIES</t>
  </si>
  <si>
    <t>jeanpierre.richaud@geometre-expert.fr</t>
  </si>
  <si>
    <t>pertuis@atelier-314.fr</t>
  </si>
  <si>
    <t>RICHAUD</t>
  </si>
  <si>
    <t xml:space="preserve">SELARL Robert JACQUOT Nicolas SOLERE</t>
  </si>
  <si>
    <t>nicolas.solere@geometre-expert.fr</t>
  </si>
  <si>
    <t>contact@jacquot-solere.com</t>
  </si>
  <si>
    <t>SOLERE</t>
  </si>
  <si>
    <t>vincent.dupin@geometre-expert.fr</t>
  </si>
  <si>
    <t>melanie.chevalier@geometre-expert.fr</t>
  </si>
  <si>
    <t>CHEVALIER</t>
  </si>
  <si>
    <t>PESSAC</t>
  </si>
  <si>
    <t xml:space="preserve">GEO-SAT SELAS GEO-SAT</t>
  </si>
  <si>
    <t>lionel.raffin@geometre-expert.fr</t>
  </si>
  <si>
    <t>contact@geo-sat.com</t>
  </si>
  <si>
    <t>RAFFIN</t>
  </si>
  <si>
    <t>jonathan.charon@geometre-expert.fr</t>
  </si>
  <si>
    <t>CHARON</t>
  </si>
  <si>
    <t>bertrand.chatin@geometre-expert.fr</t>
  </si>
  <si>
    <t>CHATIN</t>
  </si>
  <si>
    <t xml:space="preserve">AGEO CONSEILS SELARL DE GEOMETRES-EXPERTS</t>
  </si>
  <si>
    <t>vincent.dubes@geometre-expert.fr</t>
  </si>
  <si>
    <t>pessac@ageoconseils.fr</t>
  </si>
  <si>
    <t>DUBES</t>
  </si>
  <si>
    <t>clement.bury@geometre-expert.fr</t>
  </si>
  <si>
    <t>BURY</t>
  </si>
  <si>
    <t xml:space="preserve">Cédrik FERRERO</t>
  </si>
  <si>
    <t>cedrik.ferrero@geometre-expert.fr</t>
  </si>
  <si>
    <t>Cédrik</t>
  </si>
  <si>
    <t>FERRERO</t>
  </si>
  <si>
    <t>anne.alexandre@geometre-expert.fr</t>
  </si>
  <si>
    <t>ALEXANDRE</t>
  </si>
  <si>
    <t>arnaud.matisson@geometre-expert.fr</t>
  </si>
  <si>
    <t>MATISSON</t>
  </si>
  <si>
    <t>vincent.labeille@geometre-expert.fr</t>
  </si>
  <si>
    <t>LABEILLE</t>
  </si>
  <si>
    <t>thomas.cabaret@geometre-expert.fr</t>
  </si>
  <si>
    <t>CABARET</t>
  </si>
  <si>
    <t>alain.hirson@geometre-expert.fr</t>
  </si>
  <si>
    <t>mathias.saura@geometre-expert.fr</t>
  </si>
  <si>
    <t>SAURA</t>
  </si>
  <si>
    <t>nelly.boiron@geometre-expert.fr</t>
  </si>
  <si>
    <t>BOIRON</t>
  </si>
  <si>
    <t>thomas.godbillot@geometre-expert.fr</t>
  </si>
  <si>
    <t>GODBILLOT</t>
  </si>
  <si>
    <t>melissa.cornu@geometre-expert.fr</t>
  </si>
  <si>
    <t>Mélissa</t>
  </si>
  <si>
    <t>CORNU</t>
  </si>
  <si>
    <t xml:space="preserve">PETIT BOURG</t>
  </si>
  <si>
    <t xml:space="preserve">Cabinet NEGRONI Alain</t>
  </si>
  <si>
    <t>alain.negroni@geometre-expert.fr</t>
  </si>
  <si>
    <t>an.ge@wanadoo.fr</t>
  </si>
  <si>
    <t>NEGRONI</t>
  </si>
  <si>
    <t xml:space="preserve">SELARL SUIRE GEO CONCEPT</t>
  </si>
  <si>
    <t>stephanie.yvroud@geometre-expert.fr</t>
  </si>
  <si>
    <t>YVROUD</t>
  </si>
  <si>
    <t>emilie.airola@geometre-expert.fr</t>
  </si>
  <si>
    <t>AIROLA</t>
  </si>
  <si>
    <t>PETTONCOURT</t>
  </si>
  <si>
    <t xml:space="preserve">GEOGIMO SELAS GEOGIMO</t>
  </si>
  <si>
    <t>dominique.girard@geometre-expert.fr</t>
  </si>
  <si>
    <t>PEYMEINADE</t>
  </si>
  <si>
    <t xml:space="preserve">SCP Jérôme CHAZALON Géomètre Expert</t>
  </si>
  <si>
    <t>jerome.chazalon@geometre-expert.fr</t>
  </si>
  <si>
    <t>CHAZALON</t>
  </si>
  <si>
    <t>PEZENAS</t>
  </si>
  <si>
    <t xml:space="preserve">SELARL ROQUE</t>
  </si>
  <si>
    <t>christine.andrault@geometre-expert.fr</t>
  </si>
  <si>
    <t>cabinet.roque@wanadoo.fr</t>
  </si>
  <si>
    <t>ANDRAULT</t>
  </si>
  <si>
    <t>olivier.roque@geometre-expert.fr</t>
  </si>
  <si>
    <t>ROQUE</t>
  </si>
  <si>
    <t>PIERRELATTE</t>
  </si>
  <si>
    <t xml:space="preserve">SELARL Jean-Pierre EPELLY</t>
  </si>
  <si>
    <t>patrick.epelly@geometre-expert.fr</t>
  </si>
  <si>
    <t>EPELLY</t>
  </si>
  <si>
    <t>PIGNAN</t>
  </si>
  <si>
    <t xml:space="preserve">SARL EPSILON GE</t>
  </si>
  <si>
    <t>adeline.caubel@geometre-expert.fr</t>
  </si>
  <si>
    <t>contact@epsilon-geometres.com</t>
  </si>
  <si>
    <t>CAUBEL</t>
  </si>
  <si>
    <t>arnaud.faissat@geometre-expert.fr</t>
  </si>
  <si>
    <t>FAISSAT</t>
  </si>
  <si>
    <t>arnaud.janson@geometre-expert.fr</t>
  </si>
  <si>
    <t>JANSON</t>
  </si>
  <si>
    <t>florence.amphoux@geometre-expert.fr</t>
  </si>
  <si>
    <t>AMPHOUX</t>
  </si>
  <si>
    <t>PISSOS</t>
  </si>
  <si>
    <t xml:space="preserve">SARL GEOTLANDES</t>
  </si>
  <si>
    <t>cecile.bibette@geometre-expert.fr</t>
  </si>
  <si>
    <t>cecile-bibette@orange.fr</t>
  </si>
  <si>
    <t>BIBETTE</t>
  </si>
  <si>
    <t>PITRES</t>
  </si>
  <si>
    <t>GEPIXBIM</t>
  </si>
  <si>
    <t>claris.ranjatsiresy@geometre-expert.fr</t>
  </si>
  <si>
    <t>contact@gepixbim.fr</t>
  </si>
  <si>
    <t>Claris</t>
  </si>
  <si>
    <t>RANJATSIRESY</t>
  </si>
  <si>
    <t xml:space="preserve">PLAN DE CUQUES</t>
  </si>
  <si>
    <t xml:space="preserve">SELARL Cabinet RAMOND</t>
  </si>
  <si>
    <t>yves.ramond@geometre-expert.fr</t>
  </si>
  <si>
    <t>RAMOND</t>
  </si>
  <si>
    <t>irene.jacquin@geometre-expert.fr</t>
  </si>
  <si>
    <t>Irène</t>
  </si>
  <si>
    <t xml:space="preserve">PLEUMEUR GAUTIER</t>
  </si>
  <si>
    <t xml:space="preserve">SARL ADI-ME</t>
  </si>
  <si>
    <t>jean-claude.wolff@geometre-expert.fr</t>
  </si>
  <si>
    <t>WOLFF</t>
  </si>
  <si>
    <t>PLOERMEL</t>
  </si>
  <si>
    <t xml:space="preserve">SARL Ronan LENOIR</t>
  </si>
  <si>
    <t>ronan.lenoir@geometre-expert.fr</t>
  </si>
  <si>
    <t>LENOIR</t>
  </si>
  <si>
    <t>PODENSAC</t>
  </si>
  <si>
    <t xml:space="preserve">SAS AMETRIS GEOMETRE EXPERT</t>
  </si>
  <si>
    <t>ludovic.chiarami@geometre-expert.fr</t>
  </si>
  <si>
    <t>CHIARAMI</t>
  </si>
  <si>
    <t>POISY</t>
  </si>
  <si>
    <t xml:space="preserve">SARL V &amp;amp; K GAILLARD Géomètres-Experts</t>
  </si>
  <si>
    <t>vincent.gaillard@geometre-expert.fr</t>
  </si>
  <si>
    <t>vk.gaillard@geometre-expert.fr</t>
  </si>
  <si>
    <t>GAILLARD</t>
  </si>
  <si>
    <t>karen.gaillard@geometre-expert.fr</t>
  </si>
  <si>
    <t>POMAREZ</t>
  </si>
  <si>
    <t xml:space="preserve">SELARL AGL MESURE</t>
  </si>
  <si>
    <t>lenny.lagoute@geometre-expert.fr</t>
  </si>
  <si>
    <t>lenny.lagoute@aglmesure.com</t>
  </si>
  <si>
    <t>LA</t>
  </si>
  <si>
    <t xml:space="preserve">PONT DE SALARS</t>
  </si>
  <si>
    <t xml:space="preserve">SELARL Anne TAILLEFER</t>
  </si>
  <si>
    <t>anne.taillefer@geometre-expert.fr</t>
  </si>
  <si>
    <t>anne.taillefer@free.fr</t>
  </si>
  <si>
    <t>TAILLEFER</t>
  </si>
  <si>
    <t xml:space="preserve">PONT DU CHATEAU</t>
  </si>
  <si>
    <t xml:space="preserve">SARL SERCA</t>
  </si>
  <si>
    <t>philippe.charbonnier@geometre-expert.fr</t>
  </si>
  <si>
    <t>serca.be.geometre@wanadoo.fr</t>
  </si>
  <si>
    <t xml:space="preserve">PONT L ABBE</t>
  </si>
  <si>
    <t xml:space="preserve">SARL GEOFIMO</t>
  </si>
  <si>
    <t>antoine.ladame@geometre-expert.fr</t>
  </si>
  <si>
    <t>LADAME</t>
  </si>
  <si>
    <t xml:space="preserve">PONT L EVEQUE</t>
  </si>
  <si>
    <t>AMENAGEO</t>
  </si>
  <si>
    <t>guillaume.doligez@geometre-expert.fr</t>
  </si>
  <si>
    <t>contact@amenageo.fr</t>
  </si>
  <si>
    <t>DOLIGEZ</t>
  </si>
  <si>
    <t>jean-marc.pierrot@geometre-expert.fr</t>
  </si>
  <si>
    <t>PONT-SAINT-ESPRIT</t>
  </si>
  <si>
    <t xml:space="preserve">SELARLU Cabinet CARTA et MORIN</t>
  </si>
  <si>
    <t>frederic.morin@geometre-expert.fr</t>
  </si>
  <si>
    <t>PONTACQ</t>
  </si>
  <si>
    <t xml:space="preserve">Cabinet ARNAUDIN Cécile</t>
  </si>
  <si>
    <t>cecile.arnaudin@geometre-expert.fr</t>
  </si>
  <si>
    <t>ARNAUDIN</t>
  </si>
  <si>
    <t>PONTARLIER</t>
  </si>
  <si>
    <t xml:space="preserve">SELARL Thomas PETITE Géomètre-Expert DPLG</t>
  </si>
  <si>
    <t>thomas.petite@geometre-expert.fr</t>
  </si>
  <si>
    <t>PETITE</t>
  </si>
  <si>
    <t xml:space="preserve">Cabinet TISSOT Aurélien</t>
  </si>
  <si>
    <t>aurelien.tissot@geometre-expert.fr</t>
  </si>
  <si>
    <t>a.tissot.geometre@orange.fr</t>
  </si>
  <si>
    <t>TISSOT</t>
  </si>
  <si>
    <t xml:space="preserve">PONTAULT COMBAULT</t>
  </si>
  <si>
    <t xml:space="preserve">SARL TEG FONCIER</t>
  </si>
  <si>
    <t>valerie.lecorno@geometre-expert.fr</t>
  </si>
  <si>
    <t>v.lecorno@teg-ge.fr</t>
  </si>
  <si>
    <t>LECORNO</t>
  </si>
  <si>
    <t>PONTIVY</t>
  </si>
  <si>
    <t xml:space="preserve">EURL COGEO</t>
  </si>
  <si>
    <t>david.ovaert@geometre-expert.fr</t>
  </si>
  <si>
    <t>OVAERT</t>
  </si>
  <si>
    <t>PONTOISE</t>
  </si>
  <si>
    <t xml:space="preserve">ARPTEGO GEOMETRE-EXPERT ARPTEGO GEOMETRE-EXPERT</t>
  </si>
  <si>
    <t>antoine.frotierdelamesseliere@geometre-expert.fr</t>
  </si>
  <si>
    <t>contact@arptego-ge.fr</t>
  </si>
  <si>
    <t>FROTIER</t>
  </si>
  <si>
    <t>PORTICCIO</t>
  </si>
  <si>
    <t xml:space="preserve">HUGHES EVRARD SARL DE GEOMETRE-EXPERT</t>
  </si>
  <si>
    <t>hughes.evrard@geometre-expert.fr</t>
  </si>
  <si>
    <t>Hughes</t>
  </si>
  <si>
    <t>EVRARD</t>
  </si>
  <si>
    <t xml:space="preserve">PORTO VECCHIO</t>
  </si>
  <si>
    <t xml:space="preserve">SELASU TERRA METRA</t>
  </si>
  <si>
    <t>vincent.grimaldi@geometre-expert.fr</t>
  </si>
  <si>
    <t>GRIMALDI</t>
  </si>
  <si>
    <t xml:space="preserve">POURU ST REMY</t>
  </si>
  <si>
    <t xml:space="preserve">ANGLE et MONT SARL</t>
  </si>
  <si>
    <t>pauline.detassigny@geometre-expert.fr</t>
  </si>
  <si>
    <t>contact@angleetmont.fr</t>
  </si>
  <si>
    <t>PRADES</t>
  </si>
  <si>
    <t xml:space="preserve">SELARL  A.G.T.</t>
  </si>
  <si>
    <t>claire.gousailles@geometre-expert.fr</t>
  </si>
  <si>
    <t>prades@agt-amenagement.fr</t>
  </si>
  <si>
    <t>GOUSAILLES</t>
  </si>
  <si>
    <t>franck.brunato@geometre-expert.fr</t>
  </si>
  <si>
    <t>BRUNATO</t>
  </si>
  <si>
    <t>christophe.annycke@geometre-expert.fr</t>
  </si>
  <si>
    <t>ANNYCKE</t>
  </si>
  <si>
    <t>PRIVAS</t>
  </si>
  <si>
    <t xml:space="preserve">Cabinet HUGON Patrick</t>
  </si>
  <si>
    <t>patrick.hugon@geometre-expert.fr</t>
  </si>
  <si>
    <t>patrick.hugon.etoile@orange.fr</t>
  </si>
  <si>
    <t>PROPRIANO</t>
  </si>
  <si>
    <t xml:space="preserve">Cabinet EYSSETTE Clément</t>
  </si>
  <si>
    <t>clement.eyssette@geometre-expert.fr</t>
  </si>
  <si>
    <t>EYSSETTE</t>
  </si>
  <si>
    <t xml:space="preserve">PRUNELLI DI FIUMORBO</t>
  </si>
  <si>
    <t xml:space="preserve">SCP MARTINI GEOMETRE-EXPERT</t>
  </si>
  <si>
    <t>julie.martini@geometre-expert.fr</t>
  </si>
  <si>
    <t>contact@scpmartini.fr</t>
  </si>
  <si>
    <t>MARTINI</t>
  </si>
  <si>
    <t xml:space="preserve">PUGET SUR ARGENS</t>
  </si>
  <si>
    <t xml:space="preserve">SARL LAUGIER GEOMER</t>
  </si>
  <si>
    <t>olivier.laugier@geometre-expert.fr</t>
  </si>
  <si>
    <t>olaugier@laugier-geomer.com</t>
  </si>
  <si>
    <t>LAUGIER</t>
  </si>
  <si>
    <t>PUTEAUX</t>
  </si>
  <si>
    <t xml:space="preserve">SELARL ROBIN ET ASSOCIES</t>
  </si>
  <si>
    <t>arnaud.robin@geometre-expert.fr</t>
  </si>
  <si>
    <t>contact@cabinetrobin.fr</t>
  </si>
  <si>
    <t>guillaume.beck@geometre-expert.fr</t>
  </si>
  <si>
    <t>BECK</t>
  </si>
  <si>
    <t>geoffroy.robin@geometre-expert.fr</t>
  </si>
  <si>
    <t>QUIMPER</t>
  </si>
  <si>
    <t xml:space="preserve">Cabinet PERON Sylvie</t>
  </si>
  <si>
    <t>sylvie.peron@geometre-expert.fr</t>
  </si>
  <si>
    <t>PERON</t>
  </si>
  <si>
    <t xml:space="preserve">C.I.T. SELARL  de GEOMETRES-EXPERTS</t>
  </si>
  <si>
    <t>thomas.bolzer@geometre-expert.fr</t>
  </si>
  <si>
    <t>franck.rochette@geometre-expert.fr</t>
  </si>
  <si>
    <t>BOLZER</t>
  </si>
  <si>
    <t>ROCHETTE</t>
  </si>
  <si>
    <t>olivier.quere@geometre-expert.fr</t>
  </si>
  <si>
    <t>QUERE</t>
  </si>
  <si>
    <t xml:space="preserve">Cabinet MAQUET Eric</t>
  </si>
  <si>
    <t>eric.maquet@geometre-expert.fr</t>
  </si>
  <si>
    <t>MAQUET</t>
  </si>
  <si>
    <t>QUIMPERLE</t>
  </si>
  <si>
    <t xml:space="preserve">SAS LE BIHAN &amp;amp; Associés</t>
  </si>
  <si>
    <t>anne-sophie.legac@geometre-expert.fr</t>
  </si>
  <si>
    <t>valentin.dupre@geometre-expert.fr</t>
  </si>
  <si>
    <t>DUPRE</t>
  </si>
  <si>
    <t>lionel.debavelaere@geometre-expert.fr</t>
  </si>
  <si>
    <t>DEBAVELAERE</t>
  </si>
  <si>
    <t>maelle.legallou@geometre-expert.fr</t>
  </si>
  <si>
    <t>Maëlle</t>
  </si>
  <si>
    <t xml:space="preserve">QUINT FONSEGRIVES</t>
  </si>
  <si>
    <t xml:space="preserve">Cabinet PORTET Alain</t>
  </si>
  <si>
    <t>alain.portet@geometre-expert.fr</t>
  </si>
  <si>
    <t>PORTET</t>
  </si>
  <si>
    <t>RAMBOUILLET</t>
  </si>
  <si>
    <t xml:space="preserve">SCOP GEFA</t>
  </si>
  <si>
    <t>jean-dominique.fina@geometre-expert.fr</t>
  </si>
  <si>
    <t>rambouillet@gefa-expert.com</t>
  </si>
  <si>
    <t>Jean-Dominique</t>
  </si>
  <si>
    <t>FINA</t>
  </si>
  <si>
    <t>luigi.manca@geometre-expert.fr</t>
  </si>
  <si>
    <t>MANCA</t>
  </si>
  <si>
    <t>valerie.manca@geometre-expert.fr</t>
  </si>
  <si>
    <t>michel.pean@geometre-expert.fr</t>
  </si>
  <si>
    <t>PEAN</t>
  </si>
  <si>
    <t>jocelyn.monnery@geometre-expert.fr</t>
  </si>
  <si>
    <t>Jocelyn</t>
  </si>
  <si>
    <t>MONNERY</t>
  </si>
  <si>
    <t xml:space="preserve">REIGNIER ESERY</t>
  </si>
  <si>
    <t xml:space="preserve">DAGRON DELAVOET SARL de Géomètres-Experts</t>
  </si>
  <si>
    <t>thomas.delavoet@geometre-expert.fr</t>
  </si>
  <si>
    <t>mathieu.dagron@geometre-expert.fr</t>
  </si>
  <si>
    <t>DELAVOET</t>
  </si>
  <si>
    <t>DAGRON</t>
  </si>
  <si>
    <t>REIMS</t>
  </si>
  <si>
    <t xml:space="preserve">SCP O.DUYME - E. VITTENET - M. RENFER GÉOMÈTRES-EXPERTS ASSOCIÉS</t>
  </si>
  <si>
    <t>simon.nollevalle@geometre-expert.fr</t>
  </si>
  <si>
    <t>dvr.reims@geometre-expert.fr</t>
  </si>
  <si>
    <t>NOLLEVALLE</t>
  </si>
  <si>
    <t>renaud.dubray@geometre-expert.fr</t>
  </si>
  <si>
    <t>DUBRAY</t>
  </si>
  <si>
    <t>etienne.vittenet@geometre-expert.fr</t>
  </si>
  <si>
    <t>VITTENET</t>
  </si>
  <si>
    <t>marie.renfer@geometre-expert.fr</t>
  </si>
  <si>
    <t>RENFER</t>
  </si>
  <si>
    <t>olivier.duyme@geometre-expert.fr</t>
  </si>
  <si>
    <t>DUYME</t>
  </si>
  <si>
    <t xml:space="preserve">REMIRE MONTJOLY</t>
  </si>
  <si>
    <t xml:space="preserve">SELAS A2GE Agence Amazonienne de Géomètre-Expert</t>
  </si>
  <si>
    <t>guilhem.robert@geometre-expert.fr</t>
  </si>
  <si>
    <t>OUEDRAOGO</t>
  </si>
  <si>
    <t>habib.ouedraogo@geometre-expert.fr</t>
  </si>
  <si>
    <t xml:space="preserve">SELARL ARMEGE</t>
  </si>
  <si>
    <t>annick.rezaire-magit@geometre-expert.fr</t>
  </si>
  <si>
    <t>REZAIRE-MAGIT</t>
  </si>
  <si>
    <t xml:space="preserve">SELARL S.E.R.G</t>
  </si>
  <si>
    <t>eric.ange@geometre-expert.fr</t>
  </si>
  <si>
    <t>serg@serg-topo.fr</t>
  </si>
  <si>
    <t>ANGE</t>
  </si>
  <si>
    <t xml:space="preserve">SARL de Géomètres-Experts TOPO 2000</t>
  </si>
  <si>
    <t>jean.lefol@geometre-expert.fr</t>
  </si>
  <si>
    <t>topo2000@wanadoo.fr</t>
  </si>
  <si>
    <t>jose.alexander@geometre-expert.fr</t>
  </si>
  <si>
    <t>ALEXANDER</t>
  </si>
  <si>
    <t>REMIREMONT</t>
  </si>
  <si>
    <t xml:space="preserve">SARL Cabinet DEMANGE et Associés  - Géomètre-Expert</t>
  </si>
  <si>
    <t>fabien.demange@geometre-expert.fr</t>
  </si>
  <si>
    <t>cabinet@demange-geometre.com</t>
  </si>
  <si>
    <t>DEMANGE</t>
  </si>
  <si>
    <t xml:space="preserve">Cabinet JACQUEL et Associés - Géomètres- experts</t>
  </si>
  <si>
    <t>olivier.demange@geometre-expert.fr</t>
  </si>
  <si>
    <t>geometre@cabinetjacquel.fr</t>
  </si>
  <si>
    <t>coralie.didier@geometre-expert.fr</t>
  </si>
  <si>
    <t>RENAISON</t>
  </si>
  <si>
    <t xml:space="preserve">Cabinet COULETTE Thierry</t>
  </si>
  <si>
    <t>thierry.coulette@geometre-expert.fr</t>
  </si>
  <si>
    <t>coulette.geometre-expert@orange.fr</t>
  </si>
  <si>
    <t>COULETTE</t>
  </si>
  <si>
    <t>RENNES</t>
  </si>
  <si>
    <t xml:space="preserve">SARL PRIGENT &amp;amp; Associés</t>
  </si>
  <si>
    <t>laurent.letertre@geometre-expert.fr</t>
  </si>
  <si>
    <t>rennes@prigent-associes.fr</t>
  </si>
  <si>
    <t>LETERTRE</t>
  </si>
  <si>
    <t>joseph.grasset@geometre-expert.fr</t>
  </si>
  <si>
    <t>GRASSET</t>
  </si>
  <si>
    <t>quentin.lavier@geometre-expert.fr</t>
  </si>
  <si>
    <t>LAVIER</t>
  </si>
  <si>
    <t>yannick.ledigabel@geometre-expert.fr</t>
  </si>
  <si>
    <t xml:space="preserve">EURL Jean-Philippe BODIN Géomètre-expert</t>
  </si>
  <si>
    <t>jean-philippe.bodin@geometre-expert.fr</t>
  </si>
  <si>
    <t>jpb@jpbgeo.fr</t>
  </si>
  <si>
    <t>hugo.rose@geometre-expert.fr</t>
  </si>
  <si>
    <t>ROSE</t>
  </si>
  <si>
    <t>xavier.prigent@geometre-expert.fr</t>
  </si>
  <si>
    <t>PRIGENT</t>
  </si>
  <si>
    <t>henri-louis.rouaux@geometre-expert.fr</t>
  </si>
  <si>
    <t>Henri-Louis</t>
  </si>
  <si>
    <t>ROUAUX</t>
  </si>
  <si>
    <t>REZE</t>
  </si>
  <si>
    <t xml:space="preserve">URBAGEO Conseils</t>
  </si>
  <si>
    <t>irene.ombredane@geometre-expert.fr</t>
  </si>
  <si>
    <t>contact@urbageo-conseils.com</t>
  </si>
  <si>
    <t>OMBREDANE</t>
  </si>
  <si>
    <t xml:space="preserve">MYRIADE SARL</t>
  </si>
  <si>
    <t>nicolas.milet@geometre-expert.fr</t>
  </si>
  <si>
    <t>contact@myriade-ge.fr</t>
  </si>
  <si>
    <t>MILET</t>
  </si>
  <si>
    <t>RIBEAUVILLE</t>
  </si>
  <si>
    <t xml:space="preserve">Cabinet GEOMEX Sarl à associé unique</t>
  </si>
  <si>
    <t>guillaume.kling@geometre-expert.fr</t>
  </si>
  <si>
    <t>info@geomex.fr</t>
  </si>
  <si>
    <t>KLING</t>
  </si>
  <si>
    <t>RIBERAC</t>
  </si>
  <si>
    <t xml:space="preserve">DEBORAH DENIS GEOMETRE-EXPERT SELASU DEBORAH DENIS GEOMETRE-EXPERT</t>
  </si>
  <si>
    <t>deborah.denis@geometre-expert.fr</t>
  </si>
  <si>
    <t>contact@geometre-expert-riberac.fr</t>
  </si>
  <si>
    <t>Déborah</t>
  </si>
  <si>
    <t>DENIS</t>
  </si>
  <si>
    <t>RIEDISHEIM</t>
  </si>
  <si>
    <t xml:space="preserve">SCP OSTERMANN Rémi Géomètres-Experts Associés</t>
  </si>
  <si>
    <t>remi.ostermann@geometre-expert.fr</t>
  </si>
  <si>
    <t>ro@ostermann.geometre-expert.fr</t>
  </si>
  <si>
    <t>OSTERMANN</t>
  </si>
  <si>
    <t>kevin.lolivier@geometre-expert.fr</t>
  </si>
  <si>
    <t>LOLIVIER</t>
  </si>
  <si>
    <t>RIOM</t>
  </si>
  <si>
    <t xml:space="preserve">SASU GEO CONCEPTION</t>
  </si>
  <si>
    <t>marc.pignol@geometre-expert.fr</t>
  </si>
  <si>
    <t>PIGNOL</t>
  </si>
  <si>
    <t>RIORGES</t>
  </si>
  <si>
    <t xml:space="preserve">SELAS JEROME PEREY GEOMETRE-EXPERT</t>
  </si>
  <si>
    <t>jerome.perey@geometre-expert.fr</t>
  </si>
  <si>
    <t>PEREY</t>
  </si>
  <si>
    <t xml:space="preserve">RIVE DE GIER</t>
  </si>
  <si>
    <t xml:space="preserve">SELARL de Géomètre-Expert CAP GEOMETRE EXPERT</t>
  </si>
  <si>
    <t>bertrand.mercier@geometre-expert.fr</t>
  </si>
  <si>
    <t>ROANNE</t>
  </si>
  <si>
    <t xml:space="preserve">SELARL ADAGE</t>
  </si>
  <si>
    <t>frederic.lathuiliere@geometre-expert.fr</t>
  </si>
  <si>
    <t>roanne@adage.pro</t>
  </si>
  <si>
    <t>LATHUILIERE</t>
  </si>
  <si>
    <t>vincent.grandeau@geometre-expert.fr</t>
  </si>
  <si>
    <t>GRANDEAU</t>
  </si>
  <si>
    <t>camille.desnauds@geometre-expert.fr</t>
  </si>
  <si>
    <t>DESNAUDS</t>
  </si>
  <si>
    <t xml:space="preserve">EURL GEO CONSEILS</t>
  </si>
  <si>
    <t>didier.maingue@geometre-expert.fr</t>
  </si>
  <si>
    <t>MAINGUE</t>
  </si>
  <si>
    <t>ROCHECORBON</t>
  </si>
  <si>
    <t xml:space="preserve">SELARL ROUSSEAU et SCHORGEN</t>
  </si>
  <si>
    <t>jean-francois.benoit@geometre-expert.fr</t>
  </si>
  <si>
    <t>g.schorgen@rs-geometres.fr</t>
  </si>
  <si>
    <t>guillaume.schorgen@geometre-expert.fr</t>
  </si>
  <si>
    <t>SCHORGEN</t>
  </si>
  <si>
    <t>mickael.rousseau@geometre-expert.fr</t>
  </si>
  <si>
    <t>ROUSSEAU</t>
  </si>
  <si>
    <t>ROCHEFORT</t>
  </si>
  <si>
    <t xml:space="preserve">AFETI SARL</t>
  </si>
  <si>
    <t>amandine.bouchon@geometre-expert.fr</t>
  </si>
  <si>
    <t>contact@afeti-geometre.fr</t>
  </si>
  <si>
    <t>BOUCHON</t>
  </si>
  <si>
    <t xml:space="preserve">SYNERGEO SARL</t>
  </si>
  <si>
    <t>thierry.gilloots@geometre-expert.fr</t>
  </si>
  <si>
    <t>rochefort@syner-geo.fr</t>
  </si>
  <si>
    <t>GILLOOTS</t>
  </si>
  <si>
    <t>erick.mechain@geometre-expert.fr</t>
  </si>
  <si>
    <t>MECHAIN</t>
  </si>
  <si>
    <t>jean-brice.brunet@geometre-expert.fr</t>
  </si>
  <si>
    <t>Jean-Brice</t>
  </si>
  <si>
    <t>BRUNET</t>
  </si>
  <si>
    <t>stephane.marchyllie@geometre-expert.fr</t>
  </si>
  <si>
    <t>MARCHYLLIE</t>
  </si>
  <si>
    <t>nicolas.roger@geometre-expert.fr</t>
  </si>
  <si>
    <t>ROGER</t>
  </si>
  <si>
    <t>steven.humbert@geometre-expert.fr</t>
  </si>
  <si>
    <t>HUMBERT</t>
  </si>
  <si>
    <t>RODEZ</t>
  </si>
  <si>
    <t xml:space="preserve">ABC SELARL de Géomètres-experts</t>
  </si>
  <si>
    <t>xavier.corthier@geometre-expert.fr</t>
  </si>
  <si>
    <t>abc.geometre@gmail.com</t>
  </si>
  <si>
    <t>CORTHIER</t>
  </si>
  <si>
    <t xml:space="preserve">SELARL Georges LABROUE</t>
  </si>
  <si>
    <t>cyril.teyssedre@geometre-expert.fr</t>
  </si>
  <si>
    <t>labroue.geometre@wanadoo.fr</t>
  </si>
  <si>
    <t>TEYSSEDRE</t>
  </si>
  <si>
    <t>delphine.burguiere@geometre-expert.fr</t>
  </si>
  <si>
    <t>BURGUIERE</t>
  </si>
  <si>
    <t>georges.labroue@geometre-expert.fr</t>
  </si>
  <si>
    <t>LABROUE</t>
  </si>
  <si>
    <t>vincent.alaux@geometre-expert.fr</t>
  </si>
  <si>
    <t>ALAUX</t>
  </si>
  <si>
    <t xml:space="preserve">SELAS Christophe BOIS</t>
  </si>
  <si>
    <t>christophe.bois@geometre-expert.fr</t>
  </si>
  <si>
    <t>contact@bois-geometre.com</t>
  </si>
  <si>
    <t>BOIS</t>
  </si>
  <si>
    <t>ROGNAC</t>
  </si>
  <si>
    <t xml:space="preserve">MIQUEE Bruno</t>
  </si>
  <si>
    <t>bruno.miquee@geometre-expert.fr</t>
  </si>
  <si>
    <t>MIQUEE</t>
  </si>
  <si>
    <t xml:space="preserve">ROMANS SUR ISERE</t>
  </si>
  <si>
    <t xml:space="preserve">B.E.A.U.R. SARL</t>
  </si>
  <si>
    <t>claude.barneron@geometre-expert.fr</t>
  </si>
  <si>
    <t>contact@beaur.fr</t>
  </si>
  <si>
    <t>BARNERON</t>
  </si>
  <si>
    <t>brice.gehant@geometre-expert.fr</t>
  </si>
  <si>
    <t>GEHANT</t>
  </si>
  <si>
    <t xml:space="preserve">SARL CABINET DAVID</t>
  </si>
  <si>
    <t>laurent.david@geometre-expert.fr</t>
  </si>
  <si>
    <t>contact@cab-david.fr</t>
  </si>
  <si>
    <t>ROQUEBILLIERE</t>
  </si>
  <si>
    <t xml:space="preserve">SARL GEOREFLEX</t>
  </si>
  <si>
    <t>sophie.bertaina@geometre-expert.fr</t>
  </si>
  <si>
    <t>BERTAINA</t>
  </si>
  <si>
    <t>ROUEN</t>
  </si>
  <si>
    <t xml:space="preserve">FERET HEBBERT</t>
  </si>
  <si>
    <t>david.feret@geometre-expert.fr</t>
  </si>
  <si>
    <t>contact@feret-hebbert.fr</t>
  </si>
  <si>
    <t>FERET</t>
  </si>
  <si>
    <t>alexis.hebbert@geometre-expert.fr</t>
  </si>
  <si>
    <t>HEBBERT</t>
  </si>
  <si>
    <t>ROUFFACH</t>
  </si>
  <si>
    <t xml:space="preserve">SASU AK.GEO</t>
  </si>
  <si>
    <t>andreas.kunz@geometre-expert.fr</t>
  </si>
  <si>
    <t>andreas.kunz@hotmail.fr</t>
  </si>
  <si>
    <t>Andréas</t>
  </si>
  <si>
    <t>KUNZ</t>
  </si>
  <si>
    <t>ROUSSET</t>
  </si>
  <si>
    <t xml:space="preserve">SELARL Cabinet D'AMORE Julien</t>
  </si>
  <si>
    <t>julien.damore@geometre-expert.fr</t>
  </si>
  <si>
    <t>D'AMORE</t>
  </si>
  <si>
    <t>ROYAN</t>
  </si>
  <si>
    <t xml:space="preserve">GUINARD Bruno SCP</t>
  </si>
  <si>
    <t>bruno.guinard@geometre-expert.fr</t>
  </si>
  <si>
    <t>scpbrunoguinard@wanadoo.fr</t>
  </si>
  <si>
    <t>GUINARD</t>
  </si>
  <si>
    <t xml:space="preserve">DEVOUGE Stéphane SARL Cabinet</t>
  </si>
  <si>
    <t>stephane.devouge@geometre-expert.fr</t>
  </si>
  <si>
    <t>cdevouge@wanadoo.fr</t>
  </si>
  <si>
    <t>DEVOUGE</t>
  </si>
  <si>
    <t xml:space="preserve">CELLIER Eric Cabinet</t>
  </si>
  <si>
    <t>eric.cellier@geometre-expert.fr</t>
  </si>
  <si>
    <t>contact@cabinet-cellier.fr</t>
  </si>
  <si>
    <t>CELLIER</t>
  </si>
  <si>
    <t xml:space="preserve">RUELLE SUR TOUVRE</t>
  </si>
  <si>
    <t xml:space="preserve">L'AB6 SAS</t>
  </si>
  <si>
    <t>raphael.feder@geometre-expert.fr</t>
  </si>
  <si>
    <t>ab6.ruelle@gmail.com</t>
  </si>
  <si>
    <t>FEDER</t>
  </si>
  <si>
    <t>RUMILLY</t>
  </si>
  <si>
    <t xml:space="preserve">Cabinet LECOMTE Aurélien</t>
  </si>
  <si>
    <t>aurelien.lecomte@geometre-expert.fr</t>
  </si>
  <si>
    <t xml:space="preserve">SELARL DAVIET-BISSON</t>
  </si>
  <si>
    <t>agathe.bisson@geometre-expert.fr</t>
  </si>
  <si>
    <t>contact@daviet-bisson.fr</t>
  </si>
  <si>
    <t>Agathe</t>
  </si>
  <si>
    <t>BISSON</t>
  </si>
  <si>
    <t>cedric.daviet@geometre-expert.fr</t>
  </si>
  <si>
    <t>DAVIET</t>
  </si>
  <si>
    <t>RUOMS</t>
  </si>
  <si>
    <t xml:space="preserve">SARL ABGEOMETRIE</t>
  </si>
  <si>
    <t>helene.michel@geometre-expert.fr</t>
  </si>
  <si>
    <t>h.michel@abgeometrie.fr</t>
  </si>
  <si>
    <t xml:space="preserve">SAINT DENIS</t>
  </si>
  <si>
    <t xml:space="preserve">CABINET BEGUIN GEOMETRES-EXPERTS</t>
  </si>
  <si>
    <t>joseph-georges.beguin@geometre-expert.fr</t>
  </si>
  <si>
    <t>beguin.geometre@gmail.com</t>
  </si>
  <si>
    <t>Joseph-Georges</t>
  </si>
  <si>
    <t>BEGUIN</t>
  </si>
  <si>
    <t>frederic.beguin@geometre-expert.fr</t>
  </si>
  <si>
    <t xml:space="preserve">SAINT DENIS D'ANJOU</t>
  </si>
  <si>
    <t xml:space="preserve">DURET Vincent</t>
  </si>
  <si>
    <t>vincent.duret@geometre-expert.fr</t>
  </si>
  <si>
    <t>vincentduret@yahoo.fr</t>
  </si>
  <si>
    <t>SAINT-AMBROIX</t>
  </si>
  <si>
    <t xml:space="preserve">SELARL BRUNO LARGUIER</t>
  </si>
  <si>
    <t>bruno.larguier@geometre-expert.fr</t>
  </si>
  <si>
    <t>geometre@alarcon-larguier.fr</t>
  </si>
  <si>
    <t>LARGUIER</t>
  </si>
  <si>
    <t>SAINTES</t>
  </si>
  <si>
    <t xml:space="preserve">GUILLEMET SELARL</t>
  </si>
  <si>
    <t>christophe.guillemet@geometre-expert.fr</t>
  </si>
  <si>
    <t>christophe.guillemet@agt-geometre.com</t>
  </si>
  <si>
    <t>GUILLEMET</t>
  </si>
  <si>
    <t>brice.martin@geometre-expert.fr</t>
  </si>
  <si>
    <t>SALERNES</t>
  </si>
  <si>
    <t xml:space="preserve">SARL GEOTOP SALERNES géomètres-experts</t>
  </si>
  <si>
    <t>valentin.demarion@geometre-expert.fr</t>
  </si>
  <si>
    <t>contact@geotop-salernes.fr</t>
  </si>
  <si>
    <t xml:space="preserve">SALIES DU SALAT</t>
  </si>
  <si>
    <t>COMMINGÉO</t>
  </si>
  <si>
    <t>denis.bergey@geometre-expert.fr</t>
  </si>
  <si>
    <t>contact@commingeo.Fr</t>
  </si>
  <si>
    <t>BERGEY</t>
  </si>
  <si>
    <t>lou.dessens@geometre-expert.fr</t>
  </si>
  <si>
    <t>DESSENS</t>
  </si>
  <si>
    <t>alexandre.carrau@geometre-expert.fr</t>
  </si>
  <si>
    <t>florent.dessens@geometre-expert.fr</t>
  </si>
  <si>
    <t xml:space="preserve">SALINS FONTAINE</t>
  </si>
  <si>
    <t xml:space="preserve">SELAS ALPGEO géomètres-experts associés</t>
  </si>
  <si>
    <t>pierre.gentil@geometre-expert.fr</t>
  </si>
  <si>
    <t>contact@alpgeo.fr</t>
  </si>
  <si>
    <t>GENTIL</t>
  </si>
  <si>
    <t>laurent.farigoule@geometre-expert.fr</t>
  </si>
  <si>
    <t>FARIGOULE</t>
  </si>
  <si>
    <t>adrian.girod@geometre-expert.fr</t>
  </si>
  <si>
    <t>SALLANCHES</t>
  </si>
  <si>
    <t xml:space="preserve">SCP Bernard GUERPILLON et Damien SOUVIGNET Géomètres-Experts</t>
  </si>
  <si>
    <t>bernard.guerpillon@geometre-expert.fr</t>
  </si>
  <si>
    <t>scp.guerpillon@wanadoo.fr</t>
  </si>
  <si>
    <t>GUERPILLON</t>
  </si>
  <si>
    <t>damien.souvignet@geometre-expert.fr</t>
  </si>
  <si>
    <t>SOUVIGNET</t>
  </si>
  <si>
    <t xml:space="preserve">SALON DE PROVENCE</t>
  </si>
  <si>
    <t xml:space="preserve">ERIC ENJALBERT</t>
  </si>
  <si>
    <t>eric.enjalbert@geometre-expert.fr</t>
  </si>
  <si>
    <t>geometre-expert@enjalbert.fr</t>
  </si>
  <si>
    <t>ENJALBERT</t>
  </si>
  <si>
    <t xml:space="preserve">SARL FRANCOIS GEOMETRE-EXPERT</t>
  </si>
  <si>
    <t>jm.francois@geometre-expert.fr</t>
  </si>
  <si>
    <t>francois.geometre@orange.fr</t>
  </si>
  <si>
    <t>FRANCOIS</t>
  </si>
  <si>
    <t xml:space="preserve">SELAS de Géomètres-Experts CABINET RICHARD - SETP</t>
  </si>
  <si>
    <t>marc.richard@geometre-expert.fr</t>
  </si>
  <si>
    <t>cab.richard@wanadoo.fr</t>
  </si>
  <si>
    <t>SAMATAN</t>
  </si>
  <si>
    <t xml:space="preserve">SARL CASTERAS - LHUILLERY</t>
  </si>
  <si>
    <t>mathilde.lhuillery@geometre-expert.fr</t>
  </si>
  <si>
    <t>geometre.samatan@gmail.com</t>
  </si>
  <si>
    <t>LHUILLERY</t>
  </si>
  <si>
    <t>alain.casteras@geometre-expert.fr</t>
  </si>
  <si>
    <t>CASTERAS</t>
  </si>
  <si>
    <t xml:space="preserve">SANTA MARIA DI LOTA</t>
  </si>
  <si>
    <t xml:space="preserve">SASU Cabinet MATTEI Géomètre-Expert</t>
  </si>
  <si>
    <t>gabrielle.mattei@geometre-expert.fr</t>
  </si>
  <si>
    <t>Gabrielle</t>
  </si>
  <si>
    <t>MATTEI</t>
  </si>
  <si>
    <t>SARREBOURG</t>
  </si>
  <si>
    <t xml:space="preserve">Cabinet LAMBERT et ASSOCIES SELARL</t>
  </si>
  <si>
    <t>gilles.schroeter@geometre-expert.fr</t>
  </si>
  <si>
    <t>accueil@lambert-geometre.fr</t>
  </si>
  <si>
    <t>SCHROETER</t>
  </si>
  <si>
    <t>celine.gerard@geometre-expert.fr</t>
  </si>
  <si>
    <t>GERARD</t>
  </si>
  <si>
    <t>antoine.cremmel@geometre-expert.fr</t>
  </si>
  <si>
    <t>CREMMEL</t>
  </si>
  <si>
    <t>jean-georges.lambert@geometre-expert.fr</t>
  </si>
  <si>
    <t>Jean-Georges</t>
  </si>
  <si>
    <t>SARREGUEMINES</t>
  </si>
  <si>
    <t xml:space="preserve">SA SGE GINGEMBRE et ASSOCIES Société Anonyme</t>
  </si>
  <si>
    <t>thierry.gingembre@geometre-expert.fr</t>
  </si>
  <si>
    <t>sge@gingembre-geometre-expert.com</t>
  </si>
  <si>
    <t>GINGEMBRE</t>
  </si>
  <si>
    <t>jean-michel.mathi@geometre-expert.fr</t>
  </si>
  <si>
    <t>MATHI</t>
  </si>
  <si>
    <t>SAULIEU</t>
  </si>
  <si>
    <t xml:space="preserve">Cabinet TISSANDIER Matthieu</t>
  </si>
  <si>
    <t>matthieu.tissandier@geometre-expert.fr</t>
  </si>
  <si>
    <t>TISSANDIER</t>
  </si>
  <si>
    <t>SAUMUR</t>
  </si>
  <si>
    <t>BRANLY-LACAZE</t>
  </si>
  <si>
    <t>gilles.degromard@geometre-expert.fr</t>
  </si>
  <si>
    <t>saumur@branly-lacaze.com</t>
  </si>
  <si>
    <t>valentin.bodet@geometre-expert.fr</t>
  </si>
  <si>
    <t>BODET</t>
  </si>
  <si>
    <t>laurence.bazantay@geometre-expert.fr</t>
  </si>
  <si>
    <t>BAZANTAY</t>
  </si>
  <si>
    <t>david.bachellier@geometre-expert.fr</t>
  </si>
  <si>
    <t>BACHELLIER</t>
  </si>
  <si>
    <t>william.branly@geometre-expert.fr</t>
  </si>
  <si>
    <t>louis-marie.naulin@geometre-expert.fr</t>
  </si>
  <si>
    <t>NAULIN</t>
  </si>
  <si>
    <t>romain.auger@geometre-expert.fr</t>
  </si>
  <si>
    <t>AUGER</t>
  </si>
  <si>
    <t>SAVERNE</t>
  </si>
  <si>
    <t xml:space="preserve">JUNG DOMINIQUE Géomètre-Expert</t>
  </si>
  <si>
    <t>dominique.jung@geometre-expert.fr</t>
  </si>
  <si>
    <t>jung.dom.geometre@wanadoo.fr</t>
  </si>
  <si>
    <t xml:space="preserve">SAVIGNY SUR ORGE</t>
  </si>
  <si>
    <t xml:space="preserve">SCP de Géomètre-Expert Jean-Yves BASSET</t>
  </si>
  <si>
    <t>jean-yves.basset@geometre-expert.fr</t>
  </si>
  <si>
    <t>BASSET</t>
  </si>
  <si>
    <t>SCHILTIGHEIM</t>
  </si>
  <si>
    <t xml:space="preserve">AA GEOMETRE-EXPERT Cabinet DIETHRICH</t>
  </si>
  <si>
    <t>julien.diethrich@geometre-expert.fr</t>
  </si>
  <si>
    <t>contact@geometre-strasbourg.fr</t>
  </si>
  <si>
    <t>DIETHRICH</t>
  </si>
  <si>
    <t>SCHOELCHER</t>
  </si>
  <si>
    <t xml:space="preserve">EXPERTS-GEOMETRES-CARAIBES SELARL</t>
  </si>
  <si>
    <t>david.carteret@geometre-expert.fr</t>
  </si>
  <si>
    <t>CARTERET</t>
  </si>
  <si>
    <t>SECLIN</t>
  </si>
  <si>
    <t xml:space="preserve">SARL Sylvie LEFEBVRE-Ch.PAWLAK SARL de Géomètres-Experts DPLG</t>
  </si>
  <si>
    <t>sylvie.lefebvre@geometre-expert.fr</t>
  </si>
  <si>
    <t>chpawlak@aol.com</t>
  </si>
  <si>
    <t>christophe.pawlak@geometre-expert.fr</t>
  </si>
  <si>
    <t>PAWLAK</t>
  </si>
  <si>
    <t>SEDAN</t>
  </si>
  <si>
    <t xml:space="preserve">SARL BUREAU ETUDE DUMAY</t>
  </si>
  <si>
    <t>yves.bernard@geometre-expert.fr</t>
  </si>
  <si>
    <t>dumay@dumay.fr</t>
  </si>
  <si>
    <t>Christophe.berthier@geometre-expert.fr</t>
  </si>
  <si>
    <t>jean-paul.pascard@geometre-expert.fr</t>
  </si>
  <si>
    <t>PASCARD</t>
  </si>
  <si>
    <t xml:space="preserve">SEGRE EN ANJOU BLEU</t>
  </si>
  <si>
    <t xml:space="preserve">GUIHAIRE Vincent</t>
  </si>
  <si>
    <t>vincent.guihaire@geometre-expert.fr</t>
  </si>
  <si>
    <t>geometre@guihaire.fr</t>
  </si>
  <si>
    <t>GUIHAIRE</t>
  </si>
  <si>
    <t>SELESTAT</t>
  </si>
  <si>
    <t xml:space="preserve">SAS YANN LE BOULAIRE</t>
  </si>
  <si>
    <t>yann.leboulaire@geometre-expert.fr</t>
  </si>
  <si>
    <t>leboulaire.yann@gmail.com</t>
  </si>
  <si>
    <t xml:space="preserve">Cabinet Un Point Six  Géomètres-experts</t>
  </si>
  <si>
    <t>louise.burckel@geometre-expert.fr</t>
  </si>
  <si>
    <t>geometres@schaller-roth-simler.fr</t>
  </si>
  <si>
    <t>BURCKEL</t>
  </si>
  <si>
    <t>thomas.dalstein@geometre-expert.fr</t>
  </si>
  <si>
    <t>DALSTEIN</t>
  </si>
  <si>
    <t>joel.simler@geometre-expert.fr</t>
  </si>
  <si>
    <t>marion.roy@geometre-expert.fr</t>
  </si>
  <si>
    <t>ROY</t>
  </si>
  <si>
    <t>vincent.roth@geometre-expert.fr</t>
  </si>
  <si>
    <t>ROTH</t>
  </si>
  <si>
    <t>delphine.louis@geometre-expert.fr</t>
  </si>
  <si>
    <t>LOUIS</t>
  </si>
  <si>
    <t>SENLIS</t>
  </si>
  <si>
    <t xml:space="preserve">SELARL Cabinet ANDRE</t>
  </si>
  <si>
    <t>gregory.charpentier@geometre-expert.fr</t>
  </si>
  <si>
    <t>cabinet.andre@geometre-expert-foncier.fr</t>
  </si>
  <si>
    <t>CHARPENTIER</t>
  </si>
  <si>
    <t>jerome.andre@geometre-expert.fr</t>
  </si>
  <si>
    <t>SENS</t>
  </si>
  <si>
    <t xml:space="preserve">SARL BUREAU de GEOMETRES d'Arpentage et de Topographie</t>
  </si>
  <si>
    <t>valerie.walter.bartial@geometre-expert.fr</t>
  </si>
  <si>
    <t>WALTER-BARTIAL</t>
  </si>
  <si>
    <t xml:space="preserve">SARL AZIMUT CONSEILS</t>
  </si>
  <si>
    <t>jean-charles.mischel@geometre-expert.fr</t>
  </si>
  <si>
    <t>azimut.conseils@wanadoo.fr</t>
  </si>
  <si>
    <t>MISCHEL</t>
  </si>
  <si>
    <t>sylvie.dauge-mischel@geometre-expert.fr</t>
  </si>
  <si>
    <t>DAUGE-MISCHEL</t>
  </si>
  <si>
    <t>stephane.bartial@geometre-expert.fr</t>
  </si>
  <si>
    <t>BARTIAL</t>
  </si>
  <si>
    <t>SERRIS</t>
  </si>
  <si>
    <t xml:space="preserve">SELARL SOGEFRA</t>
  </si>
  <si>
    <t>lionel.cepas@geometre-expert.fr</t>
  </si>
  <si>
    <t>contact@sogefra.com</t>
  </si>
  <si>
    <t>CEPAS</t>
  </si>
  <si>
    <t>celine.lefevre@geometre-expert.fr</t>
  </si>
  <si>
    <t>frederic.miegi@geometre-expert.fr</t>
  </si>
  <si>
    <t>MIEGI</t>
  </si>
  <si>
    <t>SETE</t>
  </si>
  <si>
    <t xml:space="preserve">SELARL GEOM 7</t>
  </si>
  <si>
    <t>pierre-francois.boullet@geometre-expert.fr</t>
  </si>
  <si>
    <t>gestion@geom7.fr</t>
  </si>
  <si>
    <t>Pierre-François</t>
  </si>
  <si>
    <t>BOULLET</t>
  </si>
  <si>
    <t>roland.tarroux@geometre-expert.fr</t>
  </si>
  <si>
    <t>Roland</t>
  </si>
  <si>
    <t>SEVRAN</t>
  </si>
  <si>
    <t xml:space="preserve">SELAS CDB</t>
  </si>
  <si>
    <t>alexy.procot@geometre-expert.fr</t>
  </si>
  <si>
    <t>sevran@geometre-cdb.com</t>
  </si>
  <si>
    <t>Alexy</t>
  </si>
  <si>
    <t>PROCOT</t>
  </si>
  <si>
    <t>SEVRES</t>
  </si>
  <si>
    <t xml:space="preserve">SELAS GEXPERTISE CONSEIL</t>
  </si>
  <si>
    <t>eric.malenfer@geometre-expert.fr</t>
  </si>
  <si>
    <t>conseil@gexpertise.fr</t>
  </si>
  <si>
    <t>MALENFER</t>
  </si>
  <si>
    <t>pierre.monscourt@geometre-expert.fr</t>
  </si>
  <si>
    <t>MONSCOURT</t>
  </si>
  <si>
    <t>justin.arnault@geometre-expert.fr</t>
  </si>
  <si>
    <t>ARNAULT</t>
  </si>
  <si>
    <t>geraud.devaugelade@geometre-expert.fr</t>
  </si>
  <si>
    <t>Géraud</t>
  </si>
  <si>
    <t>boris.auboeuf@geometre-expert.fr</t>
  </si>
  <si>
    <t>AUBOEUF</t>
  </si>
  <si>
    <t>louis.adriansen@geometre-expert.fr</t>
  </si>
  <si>
    <t>ADRIANSEN</t>
  </si>
  <si>
    <t>olivier.minot@geometre-expert.fr</t>
  </si>
  <si>
    <t>MINOT</t>
  </si>
  <si>
    <t>nicolas.vrolant@geometre-expert.fr</t>
  </si>
  <si>
    <t>VROLANT</t>
  </si>
  <si>
    <t>charbel.malak@geometre-expert.fr</t>
  </si>
  <si>
    <t xml:space="preserve">SEYSSINET PARISET</t>
  </si>
  <si>
    <t xml:space="preserve">SARL de Géomètres-Experts CEMAP</t>
  </si>
  <si>
    <t>remy.chaudet@geometre-expert.fr</t>
  </si>
  <si>
    <t>pontcharra@cemapgeo.com</t>
  </si>
  <si>
    <t>CHAUDET</t>
  </si>
  <si>
    <t>laurent.moret@geometre-expert.fr</t>
  </si>
  <si>
    <t>MORET</t>
  </si>
  <si>
    <t>SISTERON</t>
  </si>
  <si>
    <t xml:space="preserve">Cabinet LAGARDE Pierre</t>
  </si>
  <si>
    <t>pierre.lagarde@geometre-expert.fr</t>
  </si>
  <si>
    <t>pier.lagarde@wanadoo.fr</t>
  </si>
  <si>
    <t>LAGARDE</t>
  </si>
  <si>
    <t xml:space="preserve">Cabinet CHOMONT Elie</t>
  </si>
  <si>
    <t>elie.chomont@geometre-expert.fr</t>
  </si>
  <si>
    <t>geodeprecq@aol.com</t>
  </si>
  <si>
    <t>CHOMONT</t>
  </si>
  <si>
    <t xml:space="preserve">Cabinet OHNIMUS Jacques</t>
  </si>
  <si>
    <t>jacques.ohnimus@geometre-expert.fr</t>
  </si>
  <si>
    <t>jacques.ohnimus@wanadoo.fr</t>
  </si>
  <si>
    <t>OHNIMUS</t>
  </si>
  <si>
    <t xml:space="preserve">SIX FOURS LES PLAGES</t>
  </si>
  <si>
    <t xml:space="preserve">SAS Cabinet Thierry SCHNEIDER</t>
  </si>
  <si>
    <t>thierry.schneider@geometre-expert.fr</t>
  </si>
  <si>
    <t>info.geometre.schneider@dataflow.fr</t>
  </si>
  <si>
    <t>SCHNEIDER</t>
  </si>
  <si>
    <t>SOISSONS</t>
  </si>
  <si>
    <t xml:space="preserve">SELARL HOUDRY</t>
  </si>
  <si>
    <t>benoit.houdry@geometre-expert.fr</t>
  </si>
  <si>
    <t>soissons@sarl-houdry.net</t>
  </si>
  <si>
    <t>HOUDRY</t>
  </si>
  <si>
    <t xml:space="preserve">SCP Laurent VINCENT</t>
  </si>
  <si>
    <t>laurent.vincent@geometre-expert.fr</t>
  </si>
  <si>
    <t>vincent.b.soissons@wanadoo.fr</t>
  </si>
  <si>
    <t xml:space="preserve">SOLLIES VILLE</t>
  </si>
  <si>
    <t xml:space="preserve">SARL CABINET ARRAGON</t>
  </si>
  <si>
    <t>patrice.bourras@geometre-expert.fr</t>
  </si>
  <si>
    <t>cabinet@arragon.fr</t>
  </si>
  <si>
    <t>BOURRAS</t>
  </si>
  <si>
    <t>SOMMIERES</t>
  </si>
  <si>
    <t xml:space="preserve">Cabinet VACHER Antoine</t>
  </si>
  <si>
    <t>antoine.vacher@geometre-expert.fr</t>
  </si>
  <si>
    <t>vacher.geometre@gmail.com</t>
  </si>
  <si>
    <t>VACHER</t>
  </si>
  <si>
    <t>SORGUES</t>
  </si>
  <si>
    <t xml:space="preserve">SARL CABINET ENJALBERT</t>
  </si>
  <si>
    <t>xavier.enjalbert@geometre-expert.fr</t>
  </si>
  <si>
    <t>cabinet.enjalbert@geometre-expert.fr</t>
  </si>
  <si>
    <t xml:space="preserve">ST AFFRIQUE</t>
  </si>
  <si>
    <t xml:space="preserve">SCP ROQUES</t>
  </si>
  <si>
    <t>jean-paul.roques@geometre-expert.fr</t>
  </si>
  <si>
    <t>ROQUES</t>
  </si>
  <si>
    <t xml:space="preserve">ST AMAND LES EAUX</t>
  </si>
  <si>
    <t xml:space="preserve">GEOPROJET SARL de Géomètres-Experts</t>
  </si>
  <si>
    <t>herve.dhaze@geometre-expert.fr</t>
  </si>
  <si>
    <t>h.dhaze@geoprojet.fr</t>
  </si>
  <si>
    <t>DHAZE</t>
  </si>
  <si>
    <t xml:space="preserve">ST ANDRE</t>
  </si>
  <si>
    <t xml:space="preserve">Cabinet POUNOUSSAMY Ivrin</t>
  </si>
  <si>
    <t>ivrin.pounoussamy@geometre-expert.fr</t>
  </si>
  <si>
    <t>pounoussamy.ge@orange.fr</t>
  </si>
  <si>
    <t>Ivrin</t>
  </si>
  <si>
    <t>POUNOUSSAMY</t>
  </si>
  <si>
    <t xml:space="preserve">ST ANDRE DE CUBZAC</t>
  </si>
  <si>
    <t xml:space="preserve">OGEO SELARL DE GEOMETRES-EXPERTS</t>
  </si>
  <si>
    <t>anais.deschamps@geometre-expert.fr</t>
  </si>
  <si>
    <t>ogeo@geometre-expert.fr</t>
  </si>
  <si>
    <t>cedric.maglin@geometre-expert.fr</t>
  </si>
  <si>
    <t>MAGLIN</t>
  </si>
  <si>
    <t>dominique.paradol@geometre-expert.fr</t>
  </si>
  <si>
    <t>PARADOL</t>
  </si>
  <si>
    <t xml:space="preserve">ST ARNOULT EN YVELINES</t>
  </si>
  <si>
    <t xml:space="preserve">SELARL CABINET LARTIGUES SELARL CABINET LARTIGUES</t>
  </si>
  <si>
    <t>gaetan.lartigues@geometre-expert.fr</t>
  </si>
  <si>
    <t>Gaétan</t>
  </si>
  <si>
    <t>LARTIGUES</t>
  </si>
  <si>
    <t xml:space="preserve">ST AUBIN LES ELBEUF</t>
  </si>
  <si>
    <t xml:space="preserve">Cabinet Guillaume HOMONT</t>
  </si>
  <si>
    <t>guillaume.homont@geometre-expert.fr</t>
  </si>
  <si>
    <t>cabinet.homont@orange.fr</t>
  </si>
  <si>
    <t>HOMONT</t>
  </si>
  <si>
    <t xml:space="preserve">ST AVERTIN</t>
  </si>
  <si>
    <t xml:space="preserve">ERIC LECOINTRE GEOMETRE EXPERT</t>
  </si>
  <si>
    <t>eric.lecointre@geometre-expert.fr</t>
  </si>
  <si>
    <t xml:space="preserve">ST AVOLD</t>
  </si>
  <si>
    <t xml:space="preserve">SCP RIBIC et BOUR</t>
  </si>
  <si>
    <t>thierry.ribic@geometre-expert.fr</t>
  </si>
  <si>
    <t>scp.ribic.bour@wanadoo.fr</t>
  </si>
  <si>
    <t>RIBIC</t>
  </si>
  <si>
    <t>jean-jacques.bour@geometre-expert.fr</t>
  </si>
  <si>
    <t>BOUR</t>
  </si>
  <si>
    <t>florent.pierson@geometre-expert.fr</t>
  </si>
  <si>
    <t>PIERSON</t>
  </si>
  <si>
    <t xml:space="preserve">ST BARTHELEMY</t>
  </si>
  <si>
    <t xml:space="preserve">GEIDN Cabinet de Géomètres-Experts des Iles du Nord</t>
  </si>
  <si>
    <t>denis.blondel@geometre-expert.fr</t>
  </si>
  <si>
    <t>denis.blondel@gmail.com</t>
  </si>
  <si>
    <t>BLONDEL</t>
  </si>
  <si>
    <t xml:space="preserve">SAS A.C.G.E.</t>
  </si>
  <si>
    <t>eric.boutin@geometre-expert.fr</t>
  </si>
  <si>
    <t>BOUTIN</t>
  </si>
  <si>
    <t xml:space="preserve">ST BENOIT</t>
  </si>
  <si>
    <t xml:space="preserve">ABSCISSE Géo Conseil Société de Géomètres-Experts SELARL</t>
  </si>
  <si>
    <t>benoit.saux@geometre-expert.fr</t>
  </si>
  <si>
    <t>contact@abscisse-gc.fr</t>
  </si>
  <si>
    <t>SAUX</t>
  </si>
  <si>
    <t>philippe-emmanuel.beaujean@geometre-expert.fr</t>
  </si>
  <si>
    <t>Philippe-Emmanuel</t>
  </si>
  <si>
    <t>BEAUJEAN</t>
  </si>
  <si>
    <t>fabien.forest@geometre-expert.fr</t>
  </si>
  <si>
    <t>FOREST</t>
  </si>
  <si>
    <t xml:space="preserve">Cabinet VALERY Georges</t>
  </si>
  <si>
    <t>georges.valery@geometre-expert.fr</t>
  </si>
  <si>
    <t>VALERY</t>
  </si>
  <si>
    <t xml:space="preserve">ST CERE</t>
  </si>
  <si>
    <t xml:space="preserve">GEA SELARL DE GEOMETRES-EXPERTS</t>
  </si>
  <si>
    <t>cyrille.honhon@geometre-expert.fr</t>
  </si>
  <si>
    <t>HONHON</t>
  </si>
  <si>
    <t xml:space="preserve">ST CHAMOND</t>
  </si>
  <si>
    <t xml:space="preserve">EURL ATELIER DE GEOMETRE-EXPERT FREDERIC FAURET</t>
  </si>
  <si>
    <t>frederic.fauret@geometre-expert.fr</t>
  </si>
  <si>
    <t>FAURET</t>
  </si>
  <si>
    <t xml:space="preserve">ST CLOUD</t>
  </si>
  <si>
    <t xml:space="preserve">SARL BARRERE-DUFAU Géomètres-Experts</t>
  </si>
  <si>
    <t>olivier.dufau@geometre-expert.fr</t>
  </si>
  <si>
    <t>stcloud@barrere-dufau.fr</t>
  </si>
  <si>
    <t>DUFAU</t>
  </si>
  <si>
    <t>bernard.barrere@geometre-expert.fr</t>
  </si>
  <si>
    <t>BARRERE</t>
  </si>
  <si>
    <t xml:space="preserve">ST CYPRIEN</t>
  </si>
  <si>
    <t xml:space="preserve">SAS CABINET MAURY GE</t>
  </si>
  <si>
    <t>benoit.maury@geometre-expert.fr</t>
  </si>
  <si>
    <t>contact@maury-ge.fr</t>
  </si>
  <si>
    <t>MAURY</t>
  </si>
  <si>
    <t xml:space="preserve">ST CYR AU MONT D OR</t>
  </si>
  <si>
    <t xml:space="preserve">GEODIPTYQUE SARL de Géomètre-expert</t>
  </si>
  <si>
    <t>thierry.suel@geometre-expert.fr</t>
  </si>
  <si>
    <t>SUEL</t>
  </si>
  <si>
    <t xml:space="preserve">ST CYR SUR LOIRE</t>
  </si>
  <si>
    <t xml:space="preserve">Cabinet Benoît de Corbier</t>
  </si>
  <si>
    <t>perrine.fiot-lameloise@geometre-expert.fr</t>
  </si>
  <si>
    <t>benoit.decorbier@geometre-expert.fr</t>
  </si>
  <si>
    <t>FIOT-LAMELOISE</t>
  </si>
  <si>
    <t>guillaume.riflet@geometre-expert.fr</t>
  </si>
  <si>
    <t>RIFLET</t>
  </si>
  <si>
    <t xml:space="preserve">ST CYR SUR MER</t>
  </si>
  <si>
    <t xml:space="preserve">SELARL GEOEXPERTISE</t>
  </si>
  <si>
    <t>nicolas.faure@geometre-expert.fr</t>
  </si>
  <si>
    <t>contact@geoexpertise.fr</t>
  </si>
  <si>
    <t xml:space="preserve">ST DENIS</t>
  </si>
  <si>
    <t xml:space="preserve">Cabinet BESSE Guillaume</t>
  </si>
  <si>
    <t>guillaume.besse@geometre-expert.fr</t>
  </si>
  <si>
    <t>g.besse-bureau@wanadoo.fr</t>
  </si>
  <si>
    <t>BESSE</t>
  </si>
  <si>
    <t xml:space="preserve">SARL GUID-OI</t>
  </si>
  <si>
    <t>stephane.andri@geometre-expert.fr</t>
  </si>
  <si>
    <t>guidoi@guidoi.fr</t>
  </si>
  <si>
    <t>ANDRIANJAKAMANANTSOA</t>
  </si>
  <si>
    <t xml:space="preserve">Cabinet DE GRAEVE Benoît</t>
  </si>
  <si>
    <t>benoit.de-graeve@geometre-expert.fr</t>
  </si>
  <si>
    <t>benoit.de-graeve@wanadoo.fr</t>
  </si>
  <si>
    <t xml:space="preserve">ST DENIS LES BOURG</t>
  </si>
  <si>
    <t xml:space="preserve">SARL Cabinet BABLET-MAGNIEN-GAUD SARL de Géomètres-Experts</t>
  </si>
  <si>
    <t>christophe.gaud@geometre-expert.fr</t>
  </si>
  <si>
    <t>sarl.bablet-magnien@wanadoo.fr</t>
  </si>
  <si>
    <t>GAUD</t>
  </si>
  <si>
    <t>herve.magnien@geometre-expert.fr</t>
  </si>
  <si>
    <t>MAGNIEN</t>
  </si>
  <si>
    <t xml:space="preserve">ST DIE DES VOSGES</t>
  </si>
  <si>
    <t xml:space="preserve">SELARL V'Géo</t>
  </si>
  <si>
    <t>yann.putigny@geometre-expert.fr</t>
  </si>
  <si>
    <t>contact@vgeo.fr</t>
  </si>
  <si>
    <t>PUTIGNY</t>
  </si>
  <si>
    <t xml:space="preserve">ST DOLAY</t>
  </si>
  <si>
    <t xml:space="preserve">CABINET LE MEUR Jean-Louis</t>
  </si>
  <si>
    <t>jean-louis.lemeur@geometre-expert.fr</t>
  </si>
  <si>
    <t xml:space="preserve">ST ETIENNE</t>
  </si>
  <si>
    <t xml:space="preserve">SELARL AURA-GE</t>
  </si>
  <si>
    <t>coralie.blanchard@geometre-expert.fr</t>
  </si>
  <si>
    <t>contact@aura-ge.fr</t>
  </si>
  <si>
    <t>christian.boyer@geometre-expert.fr</t>
  </si>
  <si>
    <t xml:space="preserve">Cabinet CLAVIER Jean-Christophe</t>
  </si>
  <si>
    <t>jean-christophe.clavier@geometre-expert.fr</t>
  </si>
  <si>
    <t>clavier.jean-christophe@wanadoo.fr</t>
  </si>
  <si>
    <t>CLAVIER</t>
  </si>
  <si>
    <t>alexandre.massardier@geometre-expert.fr</t>
  </si>
  <si>
    <t>MASSARDIER</t>
  </si>
  <si>
    <t xml:space="preserve">SELARL MESURES ET PATRIMOINE</t>
  </si>
  <si>
    <t>ludovic.bonin@geometre-expert.fr</t>
  </si>
  <si>
    <t>BONIN</t>
  </si>
  <si>
    <t xml:space="preserve">ST ETIENNE DE MONTLUC</t>
  </si>
  <si>
    <t xml:space="preserve">FP Géo Géomètre-Expert</t>
  </si>
  <si>
    <t>fabien.annonier@geometre-expert.fr</t>
  </si>
  <si>
    <t>geometres@fpgeo.fr</t>
  </si>
  <si>
    <t>ANNONIER</t>
  </si>
  <si>
    <t xml:space="preserve">ST ETIENNE DU ROUVRAY</t>
  </si>
  <si>
    <t xml:space="preserve">Frédéric BOUGEARD</t>
  </si>
  <si>
    <t>frederic.bougeard@geometre-expert.fr</t>
  </si>
  <si>
    <t>BOUGEARD</t>
  </si>
  <si>
    <t xml:space="preserve">ST FLORENTIN</t>
  </si>
  <si>
    <t xml:space="preserve">SARL DELELIGNE et Associés</t>
  </si>
  <si>
    <t>nelly.deleligne@geometre-expert.fr</t>
  </si>
  <si>
    <t>jean-louis.deleligne@geometre-expert.fr</t>
  </si>
  <si>
    <t>DELELIGNE</t>
  </si>
  <si>
    <t xml:space="preserve">ST FRANCOIS</t>
  </si>
  <si>
    <t xml:space="preserve">Cabinet GOUALIER Pascal</t>
  </si>
  <si>
    <t>pascal.goualier@geometre-expert.fr</t>
  </si>
  <si>
    <t>GOUALIER</t>
  </si>
  <si>
    <t xml:space="preserve">Cabinet ALES Jean-Marie</t>
  </si>
  <si>
    <t>jean-marie.ales@geometre-expert.fr</t>
  </si>
  <si>
    <t xml:space="preserve">SASU Cabinet LAVENTURE</t>
  </si>
  <si>
    <t>ariane.laventure@geometre-expert.fr</t>
  </si>
  <si>
    <t>LAVENTURE</t>
  </si>
  <si>
    <t xml:space="preserve">ST GALMIER</t>
  </si>
  <si>
    <t xml:space="preserve">SARL de Géomètres-Experts GEOLIS</t>
  </si>
  <si>
    <t>patrick.bourrin@geometre-expert.fr</t>
  </si>
  <si>
    <t>contact@geolis.fr</t>
  </si>
  <si>
    <t>BOURRIN</t>
  </si>
  <si>
    <t>yvan.ligout@geometre-expert.fr</t>
  </si>
  <si>
    <t>LIGOUT</t>
  </si>
  <si>
    <t>patrice.faugier@geometre-expert.fr</t>
  </si>
  <si>
    <t>FAUGIER</t>
  </si>
  <si>
    <t xml:space="preserve">ST GENIS POUILLY</t>
  </si>
  <si>
    <t xml:space="preserve">SCP BARTHELEMY BLANC GEOMETRES-EXPERTS ASSOCIES</t>
  </si>
  <si>
    <t>jean-bernard.blanc@geometre-expert.fr</t>
  </si>
  <si>
    <t>geometres@barthelemy-blanc.com</t>
  </si>
  <si>
    <t>Jean-Bernard</t>
  </si>
  <si>
    <t>beatrice.barthelemy@geometre-expert.fr</t>
  </si>
  <si>
    <t>Béatrice</t>
  </si>
  <si>
    <t>BARTHELEMY</t>
  </si>
  <si>
    <t>louis-joseph.barthelemy@geometre-expert.fr</t>
  </si>
  <si>
    <t>Louis-Joseph</t>
  </si>
  <si>
    <t xml:space="preserve">ST GEOURS DE MAREMNE</t>
  </si>
  <si>
    <t xml:space="preserve">SARL GANIVET SARL BLANDINE GANIVET</t>
  </si>
  <si>
    <t>blandine.ganivet@geometre-expert.fr</t>
  </si>
  <si>
    <t>Blandine</t>
  </si>
  <si>
    <t>GANIVET</t>
  </si>
  <si>
    <t xml:space="preserve">ST GERMAIN DES FOSSES</t>
  </si>
  <si>
    <t xml:space="preserve">SELARL CABINET CEDRIC ROBIN</t>
  </si>
  <si>
    <t>cedric.robin@geometre-expert.fr</t>
  </si>
  <si>
    <t>cedric.robin@robingeometre.fr</t>
  </si>
  <si>
    <t xml:space="preserve">ST GERMAIN EN LAYE</t>
  </si>
  <si>
    <t xml:space="preserve">SELAS Cabinet TROCELLI</t>
  </si>
  <si>
    <t>aude.steiger@geometre-expert.fr</t>
  </si>
  <si>
    <t>STEIGER</t>
  </si>
  <si>
    <t>simon.chouquet@geometre-expert.fr</t>
  </si>
  <si>
    <t>CHOUQUET</t>
  </si>
  <si>
    <t xml:space="preserve">ST GERMAIN LAPRADE</t>
  </si>
  <si>
    <t xml:space="preserve">EURL C.MaGéom</t>
  </si>
  <si>
    <t>christelle.maleysson@geometre-expert.fr</t>
  </si>
  <si>
    <t>MALEYSSON</t>
  </si>
  <si>
    <t xml:space="preserve">ST GERVAIS LES BAINS</t>
  </si>
  <si>
    <t xml:space="preserve">SARL ARPENTAGE Géomètres-Experts</t>
  </si>
  <si>
    <t>stephane.carde@geometre-expert.fr</t>
  </si>
  <si>
    <t>expert@arpentage.net</t>
  </si>
  <si>
    <t>CARDE</t>
  </si>
  <si>
    <t>flory.panissod@geometre-expert.fr</t>
  </si>
  <si>
    <t>Flory</t>
  </si>
  <si>
    <t>PANISSOD</t>
  </si>
  <si>
    <t>jeremy.bogini@geometre-expert.fr</t>
  </si>
  <si>
    <t>BOGINI</t>
  </si>
  <si>
    <t xml:space="preserve">ST GILLES CROIX DE VIE</t>
  </si>
  <si>
    <t xml:space="preserve">MILCENT - PETIT</t>
  </si>
  <si>
    <t>cedric.milcent@geometre-expert.fr</t>
  </si>
  <si>
    <t>geometre@milcent-petit.fr</t>
  </si>
  <si>
    <t>MILCENT</t>
  </si>
  <si>
    <t xml:space="preserve">ST GIRONS</t>
  </si>
  <si>
    <t xml:space="preserve">SARL Marie-Anne MOLINA</t>
  </si>
  <si>
    <t>marie-anne.molina@geometre-expert.fr</t>
  </si>
  <si>
    <t>Marie-Anne</t>
  </si>
  <si>
    <t>MOLINA</t>
  </si>
  <si>
    <t xml:space="preserve">ST GREGOIRE</t>
  </si>
  <si>
    <t xml:space="preserve">Sarl BGM géomètre-expert</t>
  </si>
  <si>
    <t>antoine.gaudry@geometre-expert.fr</t>
  </si>
  <si>
    <t>GAUDRY</t>
  </si>
  <si>
    <t xml:space="preserve">ST HERBLAIN</t>
  </si>
  <si>
    <t xml:space="preserve">ATLANTIQUE INFOGEO  SARL de Géomètres-Experts</t>
  </si>
  <si>
    <t>fabrice.sotin@geometre-expert.fr</t>
  </si>
  <si>
    <t>saintherblain@aigeo.fr</t>
  </si>
  <si>
    <t>SOTIN</t>
  </si>
  <si>
    <t>clement.doceul@geometre-expert.fr</t>
  </si>
  <si>
    <t>DOCEUL</t>
  </si>
  <si>
    <t xml:space="preserve">ST HIPPOLYTE DU FORT</t>
  </si>
  <si>
    <t xml:space="preserve">SELARL GAZAN Thierry</t>
  </si>
  <si>
    <t>thierry.gazan@geometre-expert.fr</t>
  </si>
  <si>
    <t>GAZAN</t>
  </si>
  <si>
    <t xml:space="preserve">ST JACQUES DE LA LANDE</t>
  </si>
  <si>
    <t xml:space="preserve">SELAS QUARTA</t>
  </si>
  <si>
    <t>marie.segalen@geometre-expert.fr</t>
  </si>
  <si>
    <t>contact@quarta.fr</t>
  </si>
  <si>
    <t>SEGALEN</t>
  </si>
  <si>
    <t>pierre.kervella@geometre-expert.fr</t>
  </si>
  <si>
    <t>KERVELLA</t>
  </si>
  <si>
    <t>benoit.leclercq@geometre-expert.fr</t>
  </si>
  <si>
    <t>LECLERCQ</t>
  </si>
  <si>
    <t>vincent.hingray@geometre-expert.fr</t>
  </si>
  <si>
    <t>HINGRAY</t>
  </si>
  <si>
    <t>etienne.aveline@geometre-expert.fr</t>
  </si>
  <si>
    <t>AVELINE</t>
  </si>
  <si>
    <t>clement.huon@geometre-expert.fr</t>
  </si>
  <si>
    <t>HUON</t>
  </si>
  <si>
    <t>dimitri.helias@geometre-expert.fr</t>
  </si>
  <si>
    <t>HELIAS</t>
  </si>
  <si>
    <t>victor.leleu@geometre-expert.fr</t>
  </si>
  <si>
    <t>LELEU</t>
  </si>
  <si>
    <t>sebastien.cavillon@geometre-expert.fr</t>
  </si>
  <si>
    <t>CAVILLON</t>
  </si>
  <si>
    <t>jean-louis.lavollee@geometre-expert.fr</t>
  </si>
  <si>
    <t>LAVOLLEE</t>
  </si>
  <si>
    <t>guillaume.capdeville@geometre-expert.fr</t>
  </si>
  <si>
    <t>CAPDEVILLE</t>
  </si>
  <si>
    <t>matthieu.lambert@geometre-expert.fr</t>
  </si>
  <si>
    <t>alan.terrac@geometre-expert.fr</t>
  </si>
  <si>
    <t>TERRAC</t>
  </si>
  <si>
    <t xml:space="preserve">ST JEAN DE LUZ</t>
  </si>
  <si>
    <t xml:space="preserve">SCP Anton IRATCHET et Nelson JACQUES Géomètres-experts associés</t>
  </si>
  <si>
    <t>nelson.jacques@geometre-expert.fr</t>
  </si>
  <si>
    <t>contact@jacques-et-iratchet.fr</t>
  </si>
  <si>
    <t>anton.iratchet@geometre-expert.fr</t>
  </si>
  <si>
    <t>IRATCHET</t>
  </si>
  <si>
    <t xml:space="preserve">MONEDERO EURL DE GEOMETRE-EXPERT</t>
  </si>
  <si>
    <t>isabelle.monedero@geometre-expert.fr</t>
  </si>
  <si>
    <t>MONEDERO</t>
  </si>
  <si>
    <t xml:space="preserve">ST JUNIEN</t>
  </si>
  <si>
    <t xml:space="preserve">SELARL Cabinet VINCENT</t>
  </si>
  <si>
    <t>francoise.vincent@geometre-expert.fr</t>
  </si>
  <si>
    <t>cabinet-vincent@wanadoo.fr</t>
  </si>
  <si>
    <t>Françoise</t>
  </si>
  <si>
    <t xml:space="preserve">ST LAGER BRESSAC</t>
  </si>
  <si>
    <t xml:space="preserve">Cabinet LAMOULERE Pierre</t>
  </si>
  <si>
    <t>pierre.lamoulere@geometre-expert.fr</t>
  </si>
  <si>
    <t>LAMOULERE</t>
  </si>
  <si>
    <t xml:space="preserve">ST LAURENT DU MARONI</t>
  </si>
  <si>
    <t xml:space="preserve">SELARL NORD OUEST ETUDES GEOMETRE EXPERT (NOE GE)</t>
  </si>
  <si>
    <t>jean-sebastien.membre@geometre-expert.fr</t>
  </si>
  <si>
    <t>MEMBRE</t>
  </si>
  <si>
    <t>andre.zaepfel@geometre-expert.fr</t>
  </si>
  <si>
    <t>ZAEPFEL</t>
  </si>
  <si>
    <t xml:space="preserve">ST LAURENT DU VAR</t>
  </si>
  <si>
    <t xml:space="preserve">SARL ATM</t>
  </si>
  <si>
    <t>thierry.blanc@geometre-expert.fr</t>
  </si>
  <si>
    <t>atm.ge@wanadoo.fr</t>
  </si>
  <si>
    <t xml:space="preserve">ST LAURENT MEDOC</t>
  </si>
  <si>
    <t xml:space="preserve">SELARL MARTIN GEOMETRES-EXPERTS</t>
  </si>
  <si>
    <t>ugo.martin-dareths@geometre-expert.fr</t>
  </si>
  <si>
    <t>geometre@martinmedoc.fr</t>
  </si>
  <si>
    <t>MARTIN-DARETHS</t>
  </si>
  <si>
    <t xml:space="preserve">ST LEU LA FORET</t>
  </si>
  <si>
    <t xml:space="preserve">SELAS SIGMA Géomètres-Experts Associés</t>
  </si>
  <si>
    <t>nicolas.smith@geometre-expert.fr</t>
  </si>
  <si>
    <t>sigma.geo@free.fr</t>
  </si>
  <si>
    <t>SMITH</t>
  </si>
  <si>
    <t xml:space="preserve">ST LOUIS</t>
  </si>
  <si>
    <t xml:space="preserve">EURL TOPOGRAPHIE EXPERTISE REUNION</t>
  </si>
  <si>
    <t>cedric.finot@geometre-expert.fr</t>
  </si>
  <si>
    <t>cabinetfinot@geometre-expert.fr</t>
  </si>
  <si>
    <t>FINOT</t>
  </si>
  <si>
    <t xml:space="preserve">SARL ASSON FORSTER</t>
  </si>
  <si>
    <t>forster.geometre@gmail.com</t>
  </si>
  <si>
    <t>josiane.asson@geometre-expert.fr</t>
  </si>
  <si>
    <t>FORSTER</t>
  </si>
  <si>
    <t xml:space="preserve">PROJECTION SARL de Géomètre-Expert</t>
  </si>
  <si>
    <t>eric.hoffmann@geometre-expert.fr</t>
  </si>
  <si>
    <t>projection@projection.re</t>
  </si>
  <si>
    <t>HOFFMANN</t>
  </si>
  <si>
    <t>Marie-Josiane</t>
  </si>
  <si>
    <t>ASSON</t>
  </si>
  <si>
    <t xml:space="preserve">ST MAIXENT L ECOLE</t>
  </si>
  <si>
    <t xml:space="preserve">METAIS Céline SELARL</t>
  </si>
  <si>
    <t>celine.metais@geometre-expert.fr</t>
  </si>
  <si>
    <t>contact@metais-geometre.fr</t>
  </si>
  <si>
    <t>METAIS</t>
  </si>
  <si>
    <t xml:space="preserve">ST MALO</t>
  </si>
  <si>
    <t xml:space="preserve">SARL Jérémie FORGEOUX</t>
  </si>
  <si>
    <t>jeremie.forgeoux@geometre-expert.fr</t>
  </si>
  <si>
    <t>FORGEOUX</t>
  </si>
  <si>
    <t>olivier.roullier@geometre-expert.fr</t>
  </si>
  <si>
    <t>ROULLIER</t>
  </si>
  <si>
    <t xml:space="preserve">ST MARTIN</t>
  </si>
  <si>
    <t xml:space="preserve">EURL J.E.T. JERSIER Entreprise de Topographie</t>
  </si>
  <si>
    <t>eric.jersier@geometre-expert.fr</t>
  </si>
  <si>
    <t>jet_sxm@yahoo.fr</t>
  </si>
  <si>
    <t>JERSIER</t>
  </si>
  <si>
    <t xml:space="preserve">ST MARTIN BOULOGNE</t>
  </si>
  <si>
    <t xml:space="preserve">GEO SOLUTIONS</t>
  </si>
  <si>
    <t>eric.volpoet@geometre-expert.fr</t>
  </si>
  <si>
    <t>VOLPOET</t>
  </si>
  <si>
    <t>raphael.varniere@geometre-expert.fr</t>
  </si>
  <si>
    <t>VARNIERE</t>
  </si>
  <si>
    <t xml:space="preserve">ST MARTIN DE CRAU</t>
  </si>
  <si>
    <t xml:space="preserve">SCP ANDRE ET SERVOLLES</t>
  </si>
  <si>
    <t>arnaud.andre@geometre-expert.fr</t>
  </si>
  <si>
    <t>scp.andre@geometre-expert.fr</t>
  </si>
  <si>
    <t>jacques.servolles@geometre-expert.fr</t>
  </si>
  <si>
    <t>SERVOLLES</t>
  </si>
  <si>
    <t xml:space="preserve">ST MAUR DES FOSSES</t>
  </si>
  <si>
    <t xml:space="preserve">SCP Henri SALCH</t>
  </si>
  <si>
    <t>henri.salch@geometre-expert.fr</t>
  </si>
  <si>
    <t>henri.salch@wanadoo.fr</t>
  </si>
  <si>
    <t>SALCH</t>
  </si>
  <si>
    <t xml:space="preserve">ST MAXIMIN LA STE BAUME</t>
  </si>
  <si>
    <t xml:space="preserve">SARL EXPERTGEO SAINTE BAUME</t>
  </si>
  <si>
    <t>cedric.landon@geometre-expert.fr</t>
  </si>
  <si>
    <t>LANDON</t>
  </si>
  <si>
    <t xml:space="preserve">ST MEDARD EN JALLES</t>
  </si>
  <si>
    <t xml:space="preserve">SARL ACUBE</t>
  </si>
  <si>
    <t>arnaud.allain@geometre-expert.fr</t>
  </si>
  <si>
    <t>acube.ge@wanadoo.fr</t>
  </si>
  <si>
    <t xml:space="preserve">ST MICHEL DE MAURIENNE</t>
  </si>
  <si>
    <t xml:space="preserve">SELARL Cabinet GE-ARC J.DUPONT-Y.CHRETIEN</t>
  </si>
  <si>
    <t>jean.dupont@geometre-expert.fr</t>
  </si>
  <si>
    <t>contact@ge-arc.com</t>
  </si>
  <si>
    <t>DUPONT</t>
  </si>
  <si>
    <t>yannick.chretien@geometre-expert.fr</t>
  </si>
  <si>
    <t>CHRETIEN</t>
  </si>
  <si>
    <t>frederique.jouvray@geometre-expert.fr</t>
  </si>
  <si>
    <t>Frédérique</t>
  </si>
  <si>
    <t>JOUVRAY</t>
  </si>
  <si>
    <t xml:space="preserve">ST NAZAIRE</t>
  </si>
  <si>
    <t xml:space="preserve">ALP GEOMETRES SELARL</t>
  </si>
  <si>
    <t>thierry.legros@geometre-expert.fr</t>
  </si>
  <si>
    <t>contact@alp-geometres.fr</t>
  </si>
  <si>
    <t>LEGROS</t>
  </si>
  <si>
    <t>julien.pottier@geometre-expert.fr</t>
  </si>
  <si>
    <t xml:space="preserve">ST NICOLAS DE PORT</t>
  </si>
  <si>
    <t xml:space="preserve">Cabinet PIQUARD Gilles</t>
  </si>
  <si>
    <t>gilles.piquard@geometre-expert.fr</t>
  </si>
  <si>
    <t>geometre.piquard@wanadoo.fr</t>
  </si>
  <si>
    <t>PIQUARD</t>
  </si>
  <si>
    <t>gautier.petitdemange@geometre-expert.fr</t>
  </si>
  <si>
    <t>PETITDEMANGE</t>
  </si>
  <si>
    <t xml:space="preserve">ST OMER</t>
  </si>
  <si>
    <t xml:space="preserve">INGEO SARL de Géomètres-Experts</t>
  </si>
  <si>
    <t>julien.rollet@geometre-expert.fr</t>
  </si>
  <si>
    <t>group@ingeo.fr</t>
  </si>
  <si>
    <t>ROLLET</t>
  </si>
  <si>
    <t>fabrice.corbeau@geometre-expert.fr</t>
  </si>
  <si>
    <t>CORBEAU</t>
  </si>
  <si>
    <t>dominique.drain@geometre-expert.fr</t>
  </si>
  <si>
    <t>DRAIN</t>
  </si>
  <si>
    <t>clement.fauquembergue@geometre-expert.fr</t>
  </si>
  <si>
    <t>FAUQUEMBERGUE</t>
  </si>
  <si>
    <t xml:space="preserve">ST OUEN SUR SEINE</t>
  </si>
  <si>
    <t xml:space="preserve">SELAS CABINET FLF</t>
  </si>
  <si>
    <t>christelle.frey@geometre-expert.fr</t>
  </si>
  <si>
    <t>cabinet-fauchere-le-floch@orange.fr</t>
  </si>
  <si>
    <t>pierre-marie.pourtau@geometre-expert.fr</t>
  </si>
  <si>
    <t>POURTAU</t>
  </si>
  <si>
    <t xml:space="preserve">ST PAUL</t>
  </si>
  <si>
    <t xml:space="preserve">SARL OUTRE MER TOPOGRAPHIE</t>
  </si>
  <si>
    <t>pierre.brial@geometre-expert.fr</t>
  </si>
  <si>
    <t>omt.geo@orange.fr</t>
  </si>
  <si>
    <t>BRIAL</t>
  </si>
  <si>
    <t xml:space="preserve">Cabinet Nicolas PALACIOS</t>
  </si>
  <si>
    <t>nicolas.palacios@geometre-expert.fr</t>
  </si>
  <si>
    <t>PALACIOS</t>
  </si>
  <si>
    <t xml:space="preserve">ST PAUL LES DAX</t>
  </si>
  <si>
    <t xml:space="preserve">DUNE SARL de Géomètres-Experts</t>
  </si>
  <si>
    <t>thomas.laboille-moresmau@geometre-expert.fr</t>
  </si>
  <si>
    <t>saintpaul@dune40.com</t>
  </si>
  <si>
    <t>LABOILLE-MORESMAU</t>
  </si>
  <si>
    <t>frederic.boutges@geometre-expert.fr</t>
  </si>
  <si>
    <t>jean-noel.mesplede@geometre-expert.fr</t>
  </si>
  <si>
    <t>MESPLEDE</t>
  </si>
  <si>
    <t>julien.dehez@geometre-expert.fr</t>
  </si>
  <si>
    <t>DEHEZ</t>
  </si>
  <si>
    <t xml:space="preserve">ST PAUL TROIS CHATEAUX</t>
  </si>
  <si>
    <t xml:space="preserve">SARL IGEX</t>
  </si>
  <si>
    <t>jennifer.iffland@geometre-expert.fr</t>
  </si>
  <si>
    <t>contact@igex.fr</t>
  </si>
  <si>
    <t>IFFLAND</t>
  </si>
  <si>
    <t xml:space="preserve">ST PIERRE</t>
  </si>
  <si>
    <t xml:space="preserve">SELARL ATLAS GEO CONSEIL</t>
  </si>
  <si>
    <t>joel.declerck@geometre-expert.fr</t>
  </si>
  <si>
    <t>atlas@geoconseil.fr</t>
  </si>
  <si>
    <t>DECLERCK</t>
  </si>
  <si>
    <t>thomas.roethlisberger@geometre-expert.fr</t>
  </si>
  <si>
    <t>ROETHLISBERGER</t>
  </si>
  <si>
    <t xml:space="preserve">ST PIERRE D OLERON</t>
  </si>
  <si>
    <t xml:space="preserve">HENENSAL Sylvie SARL Cabinet</t>
  </si>
  <si>
    <t>sylvie.henensal@geometre-expert.fr</t>
  </si>
  <si>
    <t>cabinet.henensal@wanadoo.fr</t>
  </si>
  <si>
    <t>HENENSAL</t>
  </si>
  <si>
    <t xml:space="preserve">ST PIERRE DU PERRAY</t>
  </si>
  <si>
    <t xml:space="preserve">SCOP ATGT</t>
  </si>
  <si>
    <t>stanislas.choiseau@geometre-expert.fr</t>
  </si>
  <si>
    <t>geometre-expert@groupe-atgt.com</t>
  </si>
  <si>
    <t>CHOISEAU</t>
  </si>
  <si>
    <t>caroline.jarroux@geometre-expert.fr</t>
  </si>
  <si>
    <t>JARROUX</t>
  </si>
  <si>
    <t>romain.salicis@geometre-expert.fr</t>
  </si>
  <si>
    <t>SALICIS</t>
  </si>
  <si>
    <t>a.neirynck@groupe-atgt.com</t>
  </si>
  <si>
    <t>NEIRYNCK</t>
  </si>
  <si>
    <t>emma.bonhomme@geometre-expert.fr</t>
  </si>
  <si>
    <t>PERRET</t>
  </si>
  <si>
    <t>daniel.valencik@geometre-expert.fr</t>
  </si>
  <si>
    <t>VALENCIK</t>
  </si>
  <si>
    <t>p.bienv@gmail.com</t>
  </si>
  <si>
    <t>BIENVENU</t>
  </si>
  <si>
    <t xml:space="preserve">ST PRIEST</t>
  </si>
  <si>
    <t xml:space="preserve">AEDIFIA Géomètres-Experts</t>
  </si>
  <si>
    <t>mikael.rochet@geometre-expert.fr</t>
  </si>
  <si>
    <t>contact@aedifia.net</t>
  </si>
  <si>
    <t>ROCHET</t>
  </si>
  <si>
    <t xml:space="preserve">ST PRIX</t>
  </si>
  <si>
    <t xml:space="preserve">SELARL PICOT MERLINI</t>
  </si>
  <si>
    <t>alain.merlini@geometre-expert.fr</t>
  </si>
  <si>
    <t>ge@picot-merlini.com</t>
  </si>
  <si>
    <t>MERLINI</t>
  </si>
  <si>
    <t>geoffroy.lamy@geometre-expert.fr</t>
  </si>
  <si>
    <t xml:space="preserve">ST QUAY PORTRIEUX</t>
  </si>
  <si>
    <t xml:space="preserve">SARL GEO CAP</t>
  </si>
  <si>
    <t>rozenn.renault@geometre-expert.fr</t>
  </si>
  <si>
    <t>Rozenn</t>
  </si>
  <si>
    <t>RENAULT</t>
  </si>
  <si>
    <t xml:space="preserve">ST QUENTIN</t>
  </si>
  <si>
    <t xml:space="preserve">Cabinet LEDUC Pascal Individuel</t>
  </si>
  <si>
    <t>pascal.leduc@geometre-expert.fr</t>
  </si>
  <si>
    <t>LEDUC</t>
  </si>
  <si>
    <t xml:space="preserve">ST RAPHAEL</t>
  </si>
  <si>
    <t xml:space="preserve">TERCA DIMENSIONS SARL</t>
  </si>
  <si>
    <t>stephane.polo@geometre-expert.fr</t>
  </si>
  <si>
    <t>POLO</t>
  </si>
  <si>
    <t xml:space="preserve">ST REMY DE PROVENCE</t>
  </si>
  <si>
    <t xml:space="preserve">SELARL Alpilles Topographie</t>
  </si>
  <si>
    <t>remy.seisson@geometre-expert.fr</t>
  </si>
  <si>
    <t>alpilles.topographie@wanadoo.fr</t>
  </si>
  <si>
    <t>SEISSON</t>
  </si>
  <si>
    <t xml:space="preserve">ST RENAN</t>
  </si>
  <si>
    <t xml:space="preserve">SELARL URBATEAM</t>
  </si>
  <si>
    <t>francois.queau@geometre-expert.fr</t>
  </si>
  <si>
    <t>contact@urbateam.fr</t>
  </si>
  <si>
    <t>QUEAU</t>
  </si>
  <si>
    <t>franck.legall@geometre-expert.fr</t>
  </si>
  <si>
    <t xml:space="preserve">ST SULPICE LA POINTE</t>
  </si>
  <si>
    <t xml:space="preserve">SARL BGEO CONSEILS</t>
  </si>
  <si>
    <t>jean-philippe.boissavy@geometre-expert.fr</t>
  </si>
  <si>
    <t>jpb@bgeo-geometre.fr</t>
  </si>
  <si>
    <t>BOISSAVY</t>
  </si>
  <si>
    <t xml:space="preserve">ST SYMPHORIEN D OZON</t>
  </si>
  <si>
    <t xml:space="preserve">Cabinet BLIN SELARL de Géomètres-Experts</t>
  </si>
  <si>
    <t>francois.blin@geometre-expert.fr</t>
  </si>
  <si>
    <t>cabinet.blin@orange.fr</t>
  </si>
  <si>
    <t xml:space="preserve">ST THIBAULT DES VIGNES</t>
  </si>
  <si>
    <t xml:space="preserve">SASU RD Géo</t>
  </si>
  <si>
    <t>regis.david@geometre-expert.fr</t>
  </si>
  <si>
    <t>r.david@rdgeo.fr</t>
  </si>
  <si>
    <t xml:space="preserve">ST TRIVIER SUR MOIGNANS</t>
  </si>
  <si>
    <t xml:space="preserve">AXIS-CONSEILS RHONE-ALPES SELARL de géomètres-experts</t>
  </si>
  <si>
    <t>paul.saintramond@geometre-expert.fr</t>
  </si>
  <si>
    <t>st-trivier@axis-conseils-ra.com</t>
  </si>
  <si>
    <t>SAINT-RAMOND</t>
  </si>
  <si>
    <t>philippe.renaud@geometre-expert.fr</t>
  </si>
  <si>
    <t>RENAUD</t>
  </si>
  <si>
    <t xml:space="preserve">ST VINCENT DE TYROSSE</t>
  </si>
  <si>
    <t xml:space="preserve">SELARL PREMIER-PLAN</t>
  </si>
  <si>
    <t>alexis.lesieur@geometre-expert.fr</t>
  </si>
  <si>
    <t>contact@premierplan.eu</t>
  </si>
  <si>
    <t>LESIEUR</t>
  </si>
  <si>
    <t>pierre-edouard.riu@geometre-expert.fr</t>
  </si>
  <si>
    <t>RIU</t>
  </si>
  <si>
    <t>sebastien.villenave@geometre-expert.fr</t>
  </si>
  <si>
    <t>VILLENAVE</t>
  </si>
  <si>
    <t>esther.meallet@geometre-expert.fr</t>
  </si>
  <si>
    <t>Esther</t>
  </si>
  <si>
    <t>DOUMERGUE</t>
  </si>
  <si>
    <t>benjamin.gauthier@geometre-expert.fr</t>
  </si>
  <si>
    <t>laurent.gaubert@geometre-expert.fr</t>
  </si>
  <si>
    <t>GAUBERT</t>
  </si>
  <si>
    <t>quentin.gross@geometre-expert.fr</t>
  </si>
  <si>
    <t>GROSS</t>
  </si>
  <si>
    <t xml:space="preserve">STE ANNE</t>
  </si>
  <si>
    <t xml:space="preserve">SELARL AXO</t>
  </si>
  <si>
    <t>dominique.touja@geometre-expert.fr</t>
  </si>
  <si>
    <t>axo-sa@wanadoo.fr</t>
  </si>
  <si>
    <t>TOUJA</t>
  </si>
  <si>
    <t>laurent.barbieri@geometre-expert.fr</t>
  </si>
  <si>
    <t>BARBIERI</t>
  </si>
  <si>
    <t>sylvain.chevrier@geometre-expert.fr</t>
  </si>
  <si>
    <t>CHEVRIER</t>
  </si>
  <si>
    <t xml:space="preserve">STE CONSORCE</t>
  </si>
  <si>
    <t xml:space="preserve">Cabinet JACQUEMET</t>
  </si>
  <si>
    <t>paul-antoine.jacquemet@geometre-expert.fr</t>
  </si>
  <si>
    <t>JACQUEMET</t>
  </si>
  <si>
    <t xml:space="preserve">STE FOY L ARGENTIERE</t>
  </si>
  <si>
    <t xml:space="preserve">SELARL de Géomètres-Experts CABINET DENTON</t>
  </si>
  <si>
    <t>genevieve.denton@geometre-expert.fr</t>
  </si>
  <si>
    <t>denton.geometre@orange.fr</t>
  </si>
  <si>
    <t>Geneviève</t>
  </si>
  <si>
    <t>DENTON</t>
  </si>
  <si>
    <t xml:space="preserve">STE LUCE</t>
  </si>
  <si>
    <t xml:space="preserve">EURL Cabinet LEMELLE</t>
  </si>
  <si>
    <t>marion.lemelle@geometre-expert.fr</t>
  </si>
  <si>
    <t>LEMELLE</t>
  </si>
  <si>
    <t xml:space="preserve">STE LUCE SUR LOIRE</t>
  </si>
  <si>
    <t xml:space="preserve">AGEIS Selarl de Géomètres Experts</t>
  </si>
  <si>
    <t>arthur.rousseaux@geometre-expert.fr</t>
  </si>
  <si>
    <t>info@ageis-ge.fr</t>
  </si>
  <si>
    <t>ROUSSEAUX</t>
  </si>
  <si>
    <t>clemence.leborgne@geometre-expert.fr</t>
  </si>
  <si>
    <t>BUDIN</t>
  </si>
  <si>
    <t>pierre.leborgne@geometre-expert.fr</t>
  </si>
  <si>
    <t>LEBORGNE</t>
  </si>
  <si>
    <t>marie.michaud@geometre-expert.fr</t>
  </si>
  <si>
    <t xml:space="preserve">STE MARIE LA MER</t>
  </si>
  <si>
    <t xml:space="preserve">EURL GONTHARET Géomètre-expert</t>
  </si>
  <si>
    <t>emmanuelle.gontharet@geometre-expert.fr</t>
  </si>
  <si>
    <t>emmanuellegontharet@gmail.com</t>
  </si>
  <si>
    <t>GONTHARET</t>
  </si>
  <si>
    <t xml:space="preserve">STE MAXIME</t>
  </si>
  <si>
    <t xml:space="preserve">EURL Eric GUIGNARD</t>
  </si>
  <si>
    <t>eric.guignard@geometre-expert.fr</t>
  </si>
  <si>
    <t>contact@guignardgeometre.fr</t>
  </si>
  <si>
    <t>GUIGNARD</t>
  </si>
  <si>
    <t xml:space="preserve">SARL ARNAUD DELEVAL</t>
  </si>
  <si>
    <t>arnaud.deleval@geometre-expert.fr</t>
  </si>
  <si>
    <t>DELEVAL</t>
  </si>
  <si>
    <t xml:space="preserve">STE RUFFINE</t>
  </si>
  <si>
    <t xml:space="preserve">SARL C.A.R.T.A.G.E.</t>
  </si>
  <si>
    <t>christopher.meyer@geometre-expert.fr</t>
  </si>
  <si>
    <t>sarl.cartage@orange.fr</t>
  </si>
  <si>
    <t>Christopher</t>
  </si>
  <si>
    <t>MEYER</t>
  </si>
  <si>
    <t>delphine.queste@geometre-expert.fr</t>
  </si>
  <si>
    <t>QUESTE</t>
  </si>
  <si>
    <t>bernard.adam@geometre-expert.fr</t>
  </si>
  <si>
    <t>STRASBOURG</t>
  </si>
  <si>
    <t xml:space="preserve">SELARL GRAFF-KIEHL</t>
  </si>
  <si>
    <t>matthieu.graff@geometre-expert.fr</t>
  </si>
  <si>
    <t>cabinet@graff-kiehl.fr</t>
  </si>
  <si>
    <t>GRAFF</t>
  </si>
  <si>
    <t xml:space="preserve">ARCHIMED SELAS</t>
  </si>
  <si>
    <t>selma.bidino@geometre-expert.fr</t>
  </si>
  <si>
    <t>contact@archimed-ge.com</t>
  </si>
  <si>
    <t>Selma</t>
  </si>
  <si>
    <t>BIDINO</t>
  </si>
  <si>
    <t>sylvain.dailly@geometre-expert.fr</t>
  </si>
  <si>
    <t>DAILLY</t>
  </si>
  <si>
    <t xml:space="preserve">Cabinet CARBIENER Thierry</t>
  </si>
  <si>
    <t>thierry.carbiener@geometre-expert.fr</t>
  </si>
  <si>
    <t>saverne@carbiener.fr</t>
  </si>
  <si>
    <t>philippe.gantzer@geometre-expert.fr</t>
  </si>
  <si>
    <t>GANTZER</t>
  </si>
  <si>
    <t>guillaume.kiehl@geometre-expert.fr</t>
  </si>
  <si>
    <t>KIEHL</t>
  </si>
  <si>
    <t>william.huck@geometre-expert.fr</t>
  </si>
  <si>
    <t>SURESNES</t>
  </si>
  <si>
    <t xml:space="preserve">Cabinet DEVAUX Sylvain</t>
  </si>
  <si>
    <t>sylvain.devaux@geometre-expert.fr</t>
  </si>
  <si>
    <t>sylvain@devaux-expert.fr</t>
  </si>
  <si>
    <t>DEVAUX</t>
  </si>
  <si>
    <t>TARARE</t>
  </si>
  <si>
    <t xml:space="preserve">SELAS ARGEOL</t>
  </si>
  <si>
    <t>jean-sebastien.rave@geometre-expert.fr</t>
  </si>
  <si>
    <t>contact@argeol.fr</t>
  </si>
  <si>
    <t>RAVE</t>
  </si>
  <si>
    <t>frederic.chaslot@geometre-expert.fr</t>
  </si>
  <si>
    <t>CHASLOT</t>
  </si>
  <si>
    <t>TARBES</t>
  </si>
  <si>
    <t xml:space="preserve">SCP SMTB, David LARROZE, Damien BREGLER</t>
  </si>
  <si>
    <t>damien.bregler@geometre-expert.fr</t>
  </si>
  <si>
    <t>contact65000@smtb-tu.com</t>
  </si>
  <si>
    <t>BREGLER</t>
  </si>
  <si>
    <t>david.larroze@geometre-expert.fr</t>
  </si>
  <si>
    <t>LARROZE</t>
  </si>
  <si>
    <t xml:space="preserve">AC GEOPYRÉNÉES</t>
  </si>
  <si>
    <t>alexandre.carnejac@geometre-expert.fr</t>
  </si>
  <si>
    <t>contact@geopyrenees.fr</t>
  </si>
  <si>
    <t>CARNEJAC</t>
  </si>
  <si>
    <t xml:space="preserve">TERRASSON LAVILLEDIEU</t>
  </si>
  <si>
    <t xml:space="preserve">TERRACONEX TERRA CONSEILS EXPERTISES</t>
  </si>
  <si>
    <t>jean-christophe.abadie@geometre-expert.fr</t>
  </si>
  <si>
    <t>accueil@terraconex.fr</t>
  </si>
  <si>
    <t>THIONVILLE</t>
  </si>
  <si>
    <t xml:space="preserve">Jean-Luc BITARD SA</t>
  </si>
  <si>
    <t>jean-luc.bitard@geometre-expert.fr</t>
  </si>
  <si>
    <t>jl.bitard.sa@wanadoo.fr</t>
  </si>
  <si>
    <t>BITARD</t>
  </si>
  <si>
    <t xml:space="preserve">SELAS Frédéric GALLANI géomètres-experts et Associés</t>
  </si>
  <si>
    <t>frederic.gallani@geometre-expert.fr</t>
  </si>
  <si>
    <t>sa.gallani@wanadoo.fr</t>
  </si>
  <si>
    <t>GALLANI</t>
  </si>
  <si>
    <t>THIVIERS</t>
  </si>
  <si>
    <t xml:space="preserve">SAS DELIMIT</t>
  </si>
  <si>
    <t>laurent.dumartin@geometre-expert.fr</t>
  </si>
  <si>
    <t>contact@delimit.fr</t>
  </si>
  <si>
    <t>DUMARTIN</t>
  </si>
  <si>
    <t xml:space="preserve">Cabinet CHATENOUD Georges</t>
  </si>
  <si>
    <t>georges.chatenoud@geometre-expert.fr</t>
  </si>
  <si>
    <t>chatenoud@orange.fr</t>
  </si>
  <si>
    <t>CHATENOUD</t>
  </si>
  <si>
    <t>THONES</t>
  </si>
  <si>
    <t xml:space="preserve">ARAVIS GEO SELARL</t>
  </si>
  <si>
    <t>audrey.todeschini@geometre-expert.fr</t>
  </si>
  <si>
    <t>contact-thones@aravisgeo.fr</t>
  </si>
  <si>
    <t>TODESCHINI</t>
  </si>
  <si>
    <t xml:space="preserve">THONON LES BAINS</t>
  </si>
  <si>
    <t xml:space="preserve">SELARL TROMBERT MAGRETTI</t>
  </si>
  <si>
    <t>fabrice.trombert@geometre-expert.fr</t>
  </si>
  <si>
    <t>barnoud-trombert@geometre-expert.fr</t>
  </si>
  <si>
    <t>TROMBERT</t>
  </si>
  <si>
    <t>baptiste.magretti@geometre-expert.fr</t>
  </si>
  <si>
    <t>MAGRETTI</t>
  </si>
  <si>
    <t>TORCY</t>
  </si>
  <si>
    <t xml:space="preserve">SAS CABINET KERGUEN-MANDROIT</t>
  </si>
  <si>
    <t>marie.perret@geometre-expert.fr</t>
  </si>
  <si>
    <t>contact@kerguen-mandroit.fr</t>
  </si>
  <si>
    <t>pierre.kerguen@geometre-expert.fr</t>
  </si>
  <si>
    <t>KERGUEN</t>
  </si>
  <si>
    <t>agnes.mandroit@geometre-expert.fr</t>
  </si>
  <si>
    <t>MANDROIT</t>
  </si>
  <si>
    <t>TOUL</t>
  </si>
  <si>
    <t xml:space="preserve">SARL HERREYE et JULIEN</t>
  </si>
  <si>
    <t>claire.julien@geometre-expert.fr</t>
  </si>
  <si>
    <t>toul@herreye-julien.fr</t>
  </si>
  <si>
    <t>JULIEN</t>
  </si>
  <si>
    <t>jean-baptiste.herreye@geometre-expert.fr</t>
  </si>
  <si>
    <t>HERREYE</t>
  </si>
  <si>
    <t>TOULOUSE</t>
  </si>
  <si>
    <t xml:space="preserve">SELARL YANTRIS Géomètres-experts</t>
  </si>
  <si>
    <t>jordan.burdack@geometre-expert.fr</t>
  </si>
  <si>
    <t>contact@yantris.fr</t>
  </si>
  <si>
    <t>BURDACK</t>
  </si>
  <si>
    <t xml:space="preserve">SCP Olivier CAZAUX Successeur de Jean LACAZE</t>
  </si>
  <si>
    <t>olivier.cazaux@geometre-expert.fr</t>
  </si>
  <si>
    <t>olivier-cazaux@orange.fr</t>
  </si>
  <si>
    <t xml:space="preserve">SELARL GE-INFRA</t>
  </si>
  <si>
    <t>jean-luc.saint-chamant@geometre-expert.fr</t>
  </si>
  <si>
    <t>audrey.alajouanine@geometre-expert.fr</t>
  </si>
  <si>
    <t>SAINT-CHAMANT</t>
  </si>
  <si>
    <t>etienne.sarrazin@geometre-expert.fr</t>
  </si>
  <si>
    <t>SARRAZIN</t>
  </si>
  <si>
    <t xml:space="preserve">SCP BERTHEAU-SAINT CRIQ</t>
  </si>
  <si>
    <t>olivier.saintcriq@geometre-expert.fr</t>
  </si>
  <si>
    <t>contact@bsc-ge.fr</t>
  </si>
  <si>
    <t>SAINT-CRIQ</t>
  </si>
  <si>
    <t xml:space="preserve">SARL MT-GEO</t>
  </si>
  <si>
    <t>gabriel.mordant@geometre-expert.fr</t>
  </si>
  <si>
    <t>MORDANT</t>
  </si>
  <si>
    <t xml:space="preserve">SELARL OXYGEO - SOMPAYRAC</t>
  </si>
  <si>
    <t>xavier.brunetiere@geometre-expert.fr</t>
  </si>
  <si>
    <t>contact@geometre-toulouse.fr</t>
  </si>
  <si>
    <t>BRUNETIERE</t>
  </si>
  <si>
    <t>thomas.cabanis@geometre-expert.fr</t>
  </si>
  <si>
    <t>CABANIS</t>
  </si>
  <si>
    <t>adrien.barbaste@geometre-expert.fr</t>
  </si>
  <si>
    <t>BARBASTE</t>
  </si>
  <si>
    <t>patrick.maury@geometre-expert.fr</t>
  </si>
  <si>
    <t xml:space="preserve">SELARL ACTI-GEO</t>
  </si>
  <si>
    <t>laurent.tassel@geometre-expert.fr</t>
  </si>
  <si>
    <t>acti-geo@wanadoo.fr</t>
  </si>
  <si>
    <t>TASSEL</t>
  </si>
  <si>
    <t xml:space="preserve">SELARL GEOXITANE</t>
  </si>
  <si>
    <t>christine.befre@geometre-expert.fr</t>
  </si>
  <si>
    <t>BEFRE</t>
  </si>
  <si>
    <t>alban.cianferani@geometre-expert.fr</t>
  </si>
  <si>
    <t>CIANFERANI</t>
  </si>
  <si>
    <t>vincent.bertheau@geometre-expert.fr</t>
  </si>
  <si>
    <t>BERTHEAU</t>
  </si>
  <si>
    <t>ALAJOUANINE</t>
  </si>
  <si>
    <t>TOURCOING</t>
  </si>
  <si>
    <t xml:space="preserve">SELARL CORNILLE FILEZ GEOMETRES-EXPERTS</t>
  </si>
  <si>
    <t>jerome.cornille@geometre-expert.fr</t>
  </si>
  <si>
    <t>cornillefilez@gmail.com</t>
  </si>
  <si>
    <t>CORNILLE</t>
  </si>
  <si>
    <t xml:space="preserve">CABINET JACQUES LEFEBVRE SELAS de Géomètres-Experts</t>
  </si>
  <si>
    <t>vincent.liot@geometre-expert.fr</t>
  </si>
  <si>
    <t>vincentliot@jacqueslefebvre-geometre.com</t>
  </si>
  <si>
    <t>LIOT</t>
  </si>
  <si>
    <t xml:space="preserve">TOURNON SUR RHONE</t>
  </si>
  <si>
    <t xml:space="preserve">SELARL DMN Géomètres-Experts</t>
  </si>
  <si>
    <t>benoit.deroux@geometre-expert.fr</t>
  </si>
  <si>
    <t>contact@dmn-ge.com</t>
  </si>
  <si>
    <t>DEROUX</t>
  </si>
  <si>
    <t>manuel.plusquellec@geometre-expert.fr</t>
  </si>
  <si>
    <t>PLUSQUELLEC</t>
  </si>
  <si>
    <t>gilles.maisonnas@geometre-expert.fr</t>
  </si>
  <si>
    <t>MAISONNAS</t>
  </si>
  <si>
    <t>sylvain.nysiak@geometre-expert.fr</t>
  </si>
  <si>
    <t>NYSIAK</t>
  </si>
  <si>
    <t xml:space="preserve">TOURRETTES SUR LOUP</t>
  </si>
  <si>
    <t xml:space="preserve">Cabinet ZRIBI René-Michel</t>
  </si>
  <si>
    <t>rene-michel.zribi@geometre-expert.fr</t>
  </si>
  <si>
    <t>zribi.geometre@gmail.com</t>
  </si>
  <si>
    <t>René-Michel</t>
  </si>
  <si>
    <t>ZRIBI</t>
  </si>
  <si>
    <t>TOURS</t>
  </si>
  <si>
    <t xml:space="preserve">SARL GEOPLUS</t>
  </si>
  <si>
    <t>laurence.chanteau@geometre-expert.fr</t>
  </si>
  <si>
    <t>geoplus@geoplus.pro</t>
  </si>
  <si>
    <t>CHANTEAU</t>
  </si>
  <si>
    <t>claude.paris@geometre-expert.fr</t>
  </si>
  <si>
    <t xml:space="preserve">SELARL Fr. LECREUX G. SIVIGNY S. DUHARD Géomètres-Experts Associés</t>
  </si>
  <si>
    <t>guillaume.sivigny@geometre-expert.fr</t>
  </si>
  <si>
    <t>lecreux-sivigny@orange.fr</t>
  </si>
  <si>
    <t>SIVIGNY</t>
  </si>
  <si>
    <t>antoine.merlin@geometre-expert.fr</t>
  </si>
  <si>
    <t>MERLIN</t>
  </si>
  <si>
    <t>benjamin.bocquelet@geometre-expert.fr</t>
  </si>
  <si>
    <t>BOCQUELET</t>
  </si>
  <si>
    <t>gaelle.bondon@geometre-expert.fr</t>
  </si>
  <si>
    <t>Gaëlle</t>
  </si>
  <si>
    <t>BONDON</t>
  </si>
  <si>
    <t>francois.lecreux@geometre-expert.fr</t>
  </si>
  <si>
    <t>LECREUX</t>
  </si>
  <si>
    <t>denis.dru@geometre-expert.fr</t>
  </si>
  <si>
    <t>DRU</t>
  </si>
  <si>
    <t>sylvain.duhard@geometre-expert.fr</t>
  </si>
  <si>
    <t>DUHARD</t>
  </si>
  <si>
    <t>TRETS</t>
  </si>
  <si>
    <t xml:space="preserve">EURL Cabinet SALIS</t>
  </si>
  <si>
    <t>guillaume.salis@geometre-expert.fr</t>
  </si>
  <si>
    <t>SALIS</t>
  </si>
  <si>
    <t>TREVOUX</t>
  </si>
  <si>
    <t xml:space="preserve">SELARL Cosmos Géomètres-Experts</t>
  </si>
  <si>
    <t>sebastien.hoine@geometre-expert.fr</t>
  </si>
  <si>
    <t>jean-vianney.richard@geometre-expert.fr</t>
  </si>
  <si>
    <t>HOINE</t>
  </si>
  <si>
    <t>Jean-Vianney</t>
  </si>
  <si>
    <t>claire.richard@geometre-expert.fr</t>
  </si>
  <si>
    <t>TROUILLAS</t>
  </si>
  <si>
    <t xml:space="preserve">EURL BORNAGE EXPERTISE GEOMETRE-EXPERT Stéphane JULES</t>
  </si>
  <si>
    <t>stephane.jules@geometre-expert.fr</t>
  </si>
  <si>
    <t>courrielsj-oge@yahoo.fr</t>
  </si>
  <si>
    <t>JULES</t>
  </si>
  <si>
    <t>TROYES</t>
  </si>
  <si>
    <t xml:space="preserve">PIECHOWSKI LEBLANC BRETON</t>
  </si>
  <si>
    <t>ambroise.piechowski@geometre-expert.fr</t>
  </si>
  <si>
    <t>contact@fp-geometre-expert.fr</t>
  </si>
  <si>
    <t>Ambroise</t>
  </si>
  <si>
    <t>PIECHOWSKI</t>
  </si>
  <si>
    <t>francois.breton@geometre-expert.fr</t>
  </si>
  <si>
    <t>BRETON</t>
  </si>
  <si>
    <t>marie.leblancchenu@geometre-expert.fr</t>
  </si>
  <si>
    <t>LEBLANC</t>
  </si>
  <si>
    <t>frederic.segond@geometre-expert.fr</t>
  </si>
  <si>
    <t>SEGOND</t>
  </si>
  <si>
    <t xml:space="preserve">SARL GUICHARD et Associés</t>
  </si>
  <si>
    <t>samuel.guichard@geometre-expert.fr</t>
  </si>
  <si>
    <t>troyes@guichard-soret.fr</t>
  </si>
  <si>
    <t>GUICHARD</t>
  </si>
  <si>
    <t>benjamin.rose@geometre-expert.fr</t>
  </si>
  <si>
    <t>victor.leblanc@geometre-expert.fr</t>
  </si>
  <si>
    <t>TULLE</t>
  </si>
  <si>
    <t xml:space="preserve">SELARL MESURES</t>
  </si>
  <si>
    <t>mikael.fracchetti@geometre-expert.fr</t>
  </si>
  <si>
    <t>tulle@mesures.expert</t>
  </si>
  <si>
    <t>FRACCHETTI</t>
  </si>
  <si>
    <t>nicolas.ducros@geometre-expert.fr</t>
  </si>
  <si>
    <t>DUCROS</t>
  </si>
  <si>
    <t>laurent.lavigne@geometre-expert.fr</t>
  </si>
  <si>
    <t>LAVIGNE</t>
  </si>
  <si>
    <t>julien.maury@geometre-expert.fr</t>
  </si>
  <si>
    <t>UGINE</t>
  </si>
  <si>
    <t xml:space="preserve">SARL A.R.GEO FOUGEROUSSE GEOMETRE-EXPERT</t>
  </si>
  <si>
    <t>lionel.fougerousse@geometre-expert.fr</t>
  </si>
  <si>
    <t>geometre-expert@argeo73.fr</t>
  </si>
  <si>
    <t>FOUGEROUSSE</t>
  </si>
  <si>
    <t xml:space="preserve">UHART CIZE</t>
  </si>
  <si>
    <t xml:space="preserve">SARL IPARRORRATZ</t>
  </si>
  <si>
    <t>cedric.arrechea@geometre-expert.fr</t>
  </si>
  <si>
    <t>contact@iparrorratz.fr</t>
  </si>
  <si>
    <t>ARRECHEA</t>
  </si>
  <si>
    <t>URRUGNE</t>
  </si>
  <si>
    <t xml:space="preserve">SARL DE GEOMETRES-EXPERTS BERDOULAT</t>
  </si>
  <si>
    <t>renaud.berdoulat@geometre-expert.fr</t>
  </si>
  <si>
    <t>renaud.berdoulat@orange.fr</t>
  </si>
  <si>
    <t>BERDOULAT</t>
  </si>
  <si>
    <t xml:space="preserve">SASU Peïo LEGORBURU</t>
  </si>
  <si>
    <t>peio.legorburu@geometre-expert.fr</t>
  </si>
  <si>
    <t>Peïo</t>
  </si>
  <si>
    <t>LEGORBURU</t>
  </si>
  <si>
    <t>UZERCHE</t>
  </si>
  <si>
    <t xml:space="preserve">CABINET DUBROCA LETRANGE SARL</t>
  </si>
  <si>
    <t>emmanuel.letrange@geometre-expert.fr</t>
  </si>
  <si>
    <t>dubroca-letrange@orange.fr</t>
  </si>
  <si>
    <t>LETRANGE</t>
  </si>
  <si>
    <t>UZES</t>
  </si>
  <si>
    <t xml:space="preserve">SELARL Jean-Yves REY</t>
  </si>
  <si>
    <t>jean-yves.rey@geometre-expert.fr</t>
  </si>
  <si>
    <t>contact-rey@groupe314.fr</t>
  </si>
  <si>
    <t xml:space="preserve">SARL DANIS Ronald</t>
  </si>
  <si>
    <t>ronald.danis@geometre-expert.fr</t>
  </si>
  <si>
    <t>ronald.danis.geometre@gmail.com</t>
  </si>
  <si>
    <t>Ronald</t>
  </si>
  <si>
    <t xml:space="preserve">VAL D OINGT</t>
  </si>
  <si>
    <t xml:space="preserve">SCP CAPIAUX-CONTET Géomètres-Experts</t>
  </si>
  <si>
    <t>alexandre.contet@geometre-expert.fr</t>
  </si>
  <si>
    <t>scp_capiaux@wanadoo.fr</t>
  </si>
  <si>
    <t>CONTET</t>
  </si>
  <si>
    <t>juliette.capiaux@geometre-expert.fr</t>
  </si>
  <si>
    <t>CAPIAUX</t>
  </si>
  <si>
    <t xml:space="preserve">VAL DE REUIL</t>
  </si>
  <si>
    <t xml:space="preserve">AGEOSE Géomètres-Experts</t>
  </si>
  <si>
    <t>maxime.leheurteur@geometre-expert.fr</t>
  </si>
  <si>
    <t>contact@ageose.fr</t>
  </si>
  <si>
    <t>LEHEURTEUR</t>
  </si>
  <si>
    <t>VALBONNE</t>
  </si>
  <si>
    <t xml:space="preserve">IGEO CONSEILS</t>
  </si>
  <si>
    <t>isabelle.santarelli@geometre-expert.fr</t>
  </si>
  <si>
    <t>contact@igeoconseils.com</t>
  </si>
  <si>
    <t>SANTARELLI</t>
  </si>
  <si>
    <t>VALENCE</t>
  </si>
  <si>
    <t xml:space="preserve">SCP REMY et FAURE Géomètres-Experts Associés</t>
  </si>
  <si>
    <t>christophe.faure@geometre-expert.fr</t>
  </si>
  <si>
    <t>remyfauregestion@orange.fr</t>
  </si>
  <si>
    <t xml:space="preserve">FMESURE SARL de géomètres-experts</t>
  </si>
  <si>
    <t>fanny.ribiere@geometre-expert.fr</t>
  </si>
  <si>
    <t>RIBIERE</t>
  </si>
  <si>
    <t xml:space="preserve">Cabinet DEGUILHEM Olivier</t>
  </si>
  <si>
    <t>olivier.deguilhem@geometre-expert.fr</t>
  </si>
  <si>
    <t>deguilhem2@wanadoo.fr</t>
  </si>
  <si>
    <t>DEGUILHEM</t>
  </si>
  <si>
    <t>frederic.remy@geometre-expert.fr</t>
  </si>
  <si>
    <t>VALENCIENNES</t>
  </si>
  <si>
    <t xml:space="preserve">ALTIGEO SARL de GEOMETRES-EXPERTS</t>
  </si>
  <si>
    <t>julien.bernard@geometre-expert.fr</t>
  </si>
  <si>
    <t>contact@altigeo.com</t>
  </si>
  <si>
    <t>GEXPEO</t>
  </si>
  <si>
    <t>remi.dereme@geometre-expert.fr</t>
  </si>
  <si>
    <t>contact@gexpeo.com</t>
  </si>
  <si>
    <t>DEREME</t>
  </si>
  <si>
    <t>regis.dupire@geometre-expert.fr</t>
  </si>
  <si>
    <t>DUPIRE</t>
  </si>
  <si>
    <t>VALOGNES</t>
  </si>
  <si>
    <t xml:space="preserve">Cabinet DROUET</t>
  </si>
  <si>
    <t>patrick.drouet@geometre-expert.fr</t>
  </si>
  <si>
    <t>drouet.geometre@orange.fr</t>
  </si>
  <si>
    <t>DROUET</t>
  </si>
  <si>
    <t>VALREAS</t>
  </si>
  <si>
    <t xml:space="preserve">SARL L'ATELIER FONCIER</t>
  </si>
  <si>
    <t>morgane.lannuzel@geometre-expert.fr</t>
  </si>
  <si>
    <t>contact@latelierfoncier.fr</t>
  </si>
  <si>
    <t>LANNUZEL</t>
  </si>
  <si>
    <t>florian.mazoyer@geometre-expert.fr</t>
  </si>
  <si>
    <t>MAZOYER</t>
  </si>
  <si>
    <t>VANNES</t>
  </si>
  <si>
    <t xml:space="preserve">SELARL GEO BRETAGNE SUD</t>
  </si>
  <si>
    <t>serge.nicolas@geometre-expert.fr</t>
  </si>
  <si>
    <t>alain.riou@geometre-expert.fr</t>
  </si>
  <si>
    <t>jeremie.delabarre@geometre-expert.fr</t>
  </si>
  <si>
    <t>DELABARRE</t>
  </si>
  <si>
    <t>menehould.caux@geometre-expert.fr</t>
  </si>
  <si>
    <t>Menehould</t>
  </si>
  <si>
    <t>CAUX</t>
  </si>
  <si>
    <t>alexis.revol@geometre-expert.fr</t>
  </si>
  <si>
    <t>REVOL</t>
  </si>
  <si>
    <t>francois.lefort@geometre-expert.fr</t>
  </si>
  <si>
    <t>LEFORT</t>
  </si>
  <si>
    <t>emmanuel.hallay@geometre-expert.fr</t>
  </si>
  <si>
    <t>HALLAY</t>
  </si>
  <si>
    <t>pascale.goguet@geometre-expert.fr</t>
  </si>
  <si>
    <t>GOGUET</t>
  </si>
  <si>
    <t>RIOU</t>
  </si>
  <si>
    <t>VARREDDES</t>
  </si>
  <si>
    <t xml:space="preserve">SELARL de Géomètres-Experts  Cabinet GREUZAT</t>
  </si>
  <si>
    <t>michel.greuzat@geometre-expert.fr</t>
  </si>
  <si>
    <t>geometre-expert@cabinet-greuzat.com</t>
  </si>
  <si>
    <t>GREUZAT</t>
  </si>
  <si>
    <t>benoit.greuzat@geometre-expert.fr</t>
  </si>
  <si>
    <t>olivier.maurin@geometre-expert.fr</t>
  </si>
  <si>
    <t>guillaume.geneau@geometre-expert.fr</t>
  </si>
  <si>
    <t>GENEAU</t>
  </si>
  <si>
    <t xml:space="preserve">VAULX EN VELIN</t>
  </si>
  <si>
    <t xml:space="preserve">SARL CABINET BROCAS-SOUNY Géomètres-Experts</t>
  </si>
  <si>
    <t>pierre.brocas@geometre-expert.fr</t>
  </si>
  <si>
    <t>vaulx@brocasgeometre.fr</t>
  </si>
  <si>
    <t>BROCAS</t>
  </si>
  <si>
    <t>francoise.brocas@geometre-expert.fr</t>
  </si>
  <si>
    <t>romain.souny@geometre-expert.fr</t>
  </si>
  <si>
    <t>SOUNY</t>
  </si>
  <si>
    <t>VEDENE</t>
  </si>
  <si>
    <t xml:space="preserve">SAS EXPERT ALLIANCE</t>
  </si>
  <si>
    <t>jean-baptiste.gherissi@geometre-expert.fr</t>
  </si>
  <si>
    <t>GHERISSI</t>
  </si>
  <si>
    <t>VENCE</t>
  </si>
  <si>
    <t xml:space="preserve">SELARL GEOTECH CONSEILS</t>
  </si>
  <si>
    <t>laurence.bonucci@geometre-expert.fr</t>
  </si>
  <si>
    <t>vence@geotech-conseil.com</t>
  </si>
  <si>
    <t>BONUCCI</t>
  </si>
  <si>
    <t>thibaut.nivola@geometre-expert.fr</t>
  </si>
  <si>
    <t>NIVOLA</t>
  </si>
  <si>
    <t>luc.lanoy@geometre-expert.fr</t>
  </si>
  <si>
    <t>VENELLES</t>
  </si>
  <si>
    <t xml:space="preserve">BENJAMIN MINOT</t>
  </si>
  <si>
    <t>benjamin.minot@geometre-expert.fr</t>
  </si>
  <si>
    <t xml:space="preserve">VERN SUR SEICHE</t>
  </si>
  <si>
    <t xml:space="preserve">Cabinet LABBE Jean-Yves</t>
  </si>
  <si>
    <t>jean-yves.labbe@geometre-expert.fr</t>
  </si>
  <si>
    <t>LABBE</t>
  </si>
  <si>
    <t xml:space="preserve">VERNEUIL D AVRE ET D ITON</t>
  </si>
  <si>
    <t xml:space="preserve">DAVRINCHE Olivia</t>
  </si>
  <si>
    <t>olivia.davrinche@geometre-expert.fr</t>
  </si>
  <si>
    <t>davrinche.ge-verneuil@wanadoo.fr</t>
  </si>
  <si>
    <t>DAVRINCHE</t>
  </si>
  <si>
    <t>VERSAILLES</t>
  </si>
  <si>
    <t xml:space="preserve">SARL Cabinet HERVIOU-DEBACHY</t>
  </si>
  <si>
    <t>damien.debachy@geometre-expert.fr</t>
  </si>
  <si>
    <t>d.herviou@wanadoo.fr</t>
  </si>
  <si>
    <t>DEBACHY</t>
  </si>
  <si>
    <t xml:space="preserve">VERT ST DENIS</t>
  </si>
  <si>
    <t xml:space="preserve">SARL JMAGEO</t>
  </si>
  <si>
    <t>jean.kenfack-djoutsop@geometre-expert.fr</t>
  </si>
  <si>
    <t>jean.kenfack@jmageo.com</t>
  </si>
  <si>
    <t>KENFACK</t>
  </si>
  <si>
    <t>VERTOU</t>
  </si>
  <si>
    <t xml:space="preserve">PRISME SELARL de Géomètres-Experts</t>
  </si>
  <si>
    <t>marion.mousset@geometre-expert.fr</t>
  </si>
  <si>
    <t>contact@prisme-ge.fr</t>
  </si>
  <si>
    <t>MOUSSET</t>
  </si>
  <si>
    <t xml:space="preserve">GE360 NANTES</t>
  </si>
  <si>
    <t>julien.charrier@geometre-expert.fr</t>
  </si>
  <si>
    <t>vertou@ge360.fr</t>
  </si>
  <si>
    <t>CHARRIER</t>
  </si>
  <si>
    <t>antoine.vinceneux@geometre-expert.fr</t>
  </si>
  <si>
    <t>VINCENEUX</t>
  </si>
  <si>
    <t>VESOUL</t>
  </si>
  <si>
    <t xml:space="preserve">EURL Luc BLANCHARD</t>
  </si>
  <si>
    <t>luc.blanchard@geometre-expert.fr</t>
  </si>
  <si>
    <t xml:space="preserve">SARL Pierre BOFFY</t>
  </si>
  <si>
    <t>pierre.boffy@geometre-expert.fr</t>
  </si>
  <si>
    <t>BOFFY</t>
  </si>
  <si>
    <t>celine.courtois@geometre-expert.fr</t>
  </si>
  <si>
    <t xml:space="preserve">VIC EN BIGORRE</t>
  </si>
  <si>
    <t xml:space="preserve">SELARL CUVILLIER</t>
  </si>
  <si>
    <t>estelle.cuvillier@geometre-expert.fr</t>
  </si>
  <si>
    <t>expert@geometre65.fr</t>
  </si>
  <si>
    <t>CUVILLIER</t>
  </si>
  <si>
    <t>VICHY</t>
  </si>
  <si>
    <t xml:space="preserve">SELAFA SERRE-HUBERT-TRUTTMANN-MANGIN Géomètres-Experts Associés</t>
  </si>
  <si>
    <t>jean-paul.serre@geometre-expert.fr</t>
  </si>
  <si>
    <t>serre.geometre@wanadoo.fr</t>
  </si>
  <si>
    <t>cedric.mangin@geometre-expert.fr</t>
  </si>
  <si>
    <t>MANGIN</t>
  </si>
  <si>
    <t>olivier.truttmann@geometre-expert.fr</t>
  </si>
  <si>
    <t>TRUTTMANN</t>
  </si>
  <si>
    <t>yann.guiriec@geometre-expert.fr</t>
  </si>
  <si>
    <t>GUIRIEC</t>
  </si>
  <si>
    <t>VIENNE</t>
  </si>
  <si>
    <t xml:space="preserve">SELARL ARPENTEURS</t>
  </si>
  <si>
    <t>erwan.varillon@geometre-expert.fr</t>
  </si>
  <si>
    <t>vienne@arpenteurs.pro</t>
  </si>
  <si>
    <t>VARILLON</t>
  </si>
  <si>
    <t>frederic.cellier@geometre-expert.fr</t>
  </si>
  <si>
    <t xml:space="preserve">Cabinet BURKI Sylvie</t>
  </si>
  <si>
    <t>sylvie.burki@geometre-expert.fr</t>
  </si>
  <si>
    <t>BURKI</t>
  </si>
  <si>
    <t>philippe.lacour@geometre-expert.fr</t>
  </si>
  <si>
    <t>VIERZON</t>
  </si>
  <si>
    <t xml:space="preserve">SELARL Cabinet Denis BODENEZ</t>
  </si>
  <si>
    <t>denis.bodenez@geometre-expert.fr</t>
  </si>
  <si>
    <t>BODENEZ</t>
  </si>
  <si>
    <t xml:space="preserve">VIEUX CHARMONT</t>
  </si>
  <si>
    <t xml:space="preserve">SAS BALLAND Géomètre-Expert et Associé</t>
  </si>
  <si>
    <t>maxime.balland@geometre-expert.fr</t>
  </si>
  <si>
    <t>bureau@balland-geometre.fr</t>
  </si>
  <si>
    <t>BALLAND</t>
  </si>
  <si>
    <t xml:space="preserve">VILLARD DE LANS</t>
  </si>
  <si>
    <t xml:space="preserve">SCP BONIN-FAVIER Géomètres-Experts Associés</t>
  </si>
  <si>
    <t>veronique.bonin-favier@geometre-expert.fr</t>
  </si>
  <si>
    <t>fredbonin@wanadoo.fr</t>
  </si>
  <si>
    <t>BONIN-FAVIER</t>
  </si>
  <si>
    <t>frederic.bonin@geometre-expert.fr</t>
  </si>
  <si>
    <t xml:space="preserve">VILLEBON SUR YVETTE</t>
  </si>
  <si>
    <t xml:space="preserve">SARL RANNOU EXPERTISES</t>
  </si>
  <si>
    <t>brieuc.rannou@geometre-expert.fr</t>
  </si>
  <si>
    <t>contact@rannou-expertises.fr</t>
  </si>
  <si>
    <t xml:space="preserve">VILLEFRANCHE DE LAURAGAIS</t>
  </si>
  <si>
    <t xml:space="preserve">SALVETAT GEOMETRE-EXPERT</t>
  </si>
  <si>
    <t>olivier.salvetat@geometre-expert.fr</t>
  </si>
  <si>
    <t>SALVETAT</t>
  </si>
  <si>
    <t xml:space="preserve">VILLEFRANCHE DE ROUERGUE</t>
  </si>
  <si>
    <t xml:space="preserve">SARL LBP ETUDES ET CONSEIL</t>
  </si>
  <si>
    <t>nicolas.armand@geometre-expert.fr</t>
  </si>
  <si>
    <t>contact@lbpge.com</t>
  </si>
  <si>
    <t>ARMAND</t>
  </si>
  <si>
    <t>julien.assemat@geometre-expert.fr</t>
  </si>
  <si>
    <t>ASSEMAT</t>
  </si>
  <si>
    <t>mathieu.sahuc@geometre-expert.fr</t>
  </si>
  <si>
    <t>SAHUC</t>
  </si>
  <si>
    <t>christian.rouaix@geometre-expert.fr</t>
  </si>
  <si>
    <t>ROUAIX</t>
  </si>
  <si>
    <t>marie-claire.landes@geometre-expert.fr</t>
  </si>
  <si>
    <t>LANDES</t>
  </si>
  <si>
    <t>bertrand.clergeot@geometre-expert.fr</t>
  </si>
  <si>
    <t>CLERGEOT</t>
  </si>
  <si>
    <t>laurent.poujade@geometre-expert.fr</t>
  </si>
  <si>
    <t>POUJADE</t>
  </si>
  <si>
    <t xml:space="preserve">VILLEFRANCHE SUR MER</t>
  </si>
  <si>
    <t xml:space="preserve">Cabinet LABRUERE Bernard</t>
  </si>
  <si>
    <t>bernard.labruere@geometre-expert.fr</t>
  </si>
  <si>
    <t>b-labruere.geometre@orange.fr</t>
  </si>
  <si>
    <t>LABRUERE</t>
  </si>
  <si>
    <t xml:space="preserve">VILLEFRANCHE SUR SAONE</t>
  </si>
  <si>
    <t xml:space="preserve">POLARIS GEOMETRES-EXPERT SELARL de géomètre-expert</t>
  </si>
  <si>
    <t>pierre-alban.vallon@geometre-expert.fr</t>
  </si>
  <si>
    <t>contact@polaris-geometres.fr</t>
  </si>
  <si>
    <t>Pierre-Alban</t>
  </si>
  <si>
    <t>VALLON</t>
  </si>
  <si>
    <t>stephane.fleury@geometre-expert.fr</t>
  </si>
  <si>
    <t>FLEURY</t>
  </si>
  <si>
    <t>VILLEJUIF</t>
  </si>
  <si>
    <t xml:space="preserve">Philippe JAMIN Collaborateur Libéral  Auprès de la SELARL FOREST et associés</t>
  </si>
  <si>
    <t>philippe.jamin@geometre-expert.fr</t>
  </si>
  <si>
    <t>jamin@jamin.geometre-expert.fr</t>
  </si>
  <si>
    <t>JAMIN</t>
  </si>
  <si>
    <t xml:space="preserve">VILLENEUVE D ASCQ</t>
  </si>
  <si>
    <t xml:space="preserve">Cabinet BERLEM Alexandre SARL Société de Géomètre-Expert</t>
  </si>
  <si>
    <t>alexandre.berlem@geometre-expert.fr</t>
  </si>
  <si>
    <t>contact@cabinetberlem.fr</t>
  </si>
  <si>
    <t>BERLEM</t>
  </si>
  <si>
    <t xml:space="preserve">VILLERS BRETONNEUX</t>
  </si>
  <si>
    <t xml:space="preserve">METRIS SELAS</t>
  </si>
  <si>
    <t>louis.cantet@geometre-expert.fr</t>
  </si>
  <si>
    <t>contact@metris-sa.fr</t>
  </si>
  <si>
    <t>CANTET</t>
  </si>
  <si>
    <t>pauline.lucas@geometre-expert.fr</t>
  </si>
  <si>
    <t>etienne.thomas@geometre-expert.fr</t>
  </si>
  <si>
    <t>VILLEURBANNE</t>
  </si>
  <si>
    <t xml:space="preserve">Cabinet LAURENT Philippe</t>
  </si>
  <si>
    <t>philippe.laurent@geometre-expert.fr</t>
  </si>
  <si>
    <t>phl.geo@wanadoo.fr</t>
  </si>
  <si>
    <t>VINCENNES</t>
  </si>
  <si>
    <t xml:space="preserve">SAS  DALBIN &amp;amp; Associés SDA</t>
  </si>
  <si>
    <t>pauline.dalbin@geometre-expert.fr</t>
  </si>
  <si>
    <t>DALBIN</t>
  </si>
  <si>
    <t xml:space="preserve">SCP Nicolas BERTHELOT</t>
  </si>
  <si>
    <t>nicolas.berthelot@geometre-expert.fr</t>
  </si>
  <si>
    <t>scpnicolasberthelot@gmail.com</t>
  </si>
  <si>
    <t xml:space="preserve">SARL POULAUD-JATHIERES</t>
  </si>
  <si>
    <t>jerome.poulaud@geometre-expert.fr</t>
  </si>
  <si>
    <t>poulaud.jathieres@wanadoo.fr</t>
  </si>
  <si>
    <t>POULAUD</t>
  </si>
  <si>
    <t>jean-francois.dalbin@geometre-expert.fr</t>
  </si>
  <si>
    <t xml:space="preserve">VIRE NORMANDIE</t>
  </si>
  <si>
    <t xml:space="preserve">Cabinet Dominique BELLANGER</t>
  </si>
  <si>
    <t>dominique.bellanger@geometre-expert.fr</t>
  </si>
  <si>
    <t>vire@cabinet-bellanger.fr</t>
  </si>
  <si>
    <t>BELLANGER</t>
  </si>
  <si>
    <t>mounir.ait-mansour@geometre-expert.fr</t>
  </si>
  <si>
    <t>Mounir</t>
  </si>
  <si>
    <t>AIT-MANSOUR</t>
  </si>
  <si>
    <t>sebastien.cordiez@geometre-expert.fr</t>
  </si>
  <si>
    <t>CORDIEZ</t>
  </si>
  <si>
    <t>VIROFLAY</t>
  </si>
  <si>
    <t xml:space="preserve">SARL QUALIGEO EXPERT</t>
  </si>
  <si>
    <t>guillaume.llorca@geometre-expert.fr</t>
  </si>
  <si>
    <t>contact@qualigeo-expert.com</t>
  </si>
  <si>
    <t>LLORCA</t>
  </si>
  <si>
    <t>frederic.mignot@geometre-expert.fr</t>
  </si>
  <si>
    <t>MIGNOT</t>
  </si>
  <si>
    <t>catherine.llorca@geometre-expert.fr</t>
  </si>
  <si>
    <t>maxime.colle@geometre-expert.fr</t>
  </si>
  <si>
    <t>COLLE</t>
  </si>
  <si>
    <t>VITRE</t>
  </si>
  <si>
    <t xml:space="preserve">LEGENDRE SARL</t>
  </si>
  <si>
    <t>arnaud.legendre@geometre-expert.fr</t>
  </si>
  <si>
    <t>LEGENDRE</t>
  </si>
  <si>
    <t xml:space="preserve">VITRY LE FRANCOIS</t>
  </si>
  <si>
    <t xml:space="preserve">SARL DESCAMPS-DUHAMEAU</t>
  </si>
  <si>
    <t>catherine.duhameau-descamps@geometre-expert.fr</t>
  </si>
  <si>
    <t>descamps-duhameau@orange.fr</t>
  </si>
  <si>
    <t>DUHAMEAU-DESCAMPS</t>
  </si>
  <si>
    <t>VITTEL</t>
  </si>
  <si>
    <t xml:space="preserve">SELARL MERLE</t>
  </si>
  <si>
    <t>christine.merle@geometre-expert.fr</t>
  </si>
  <si>
    <t>MERLE</t>
  </si>
  <si>
    <t xml:space="preserve">VIUZ EN SALLAZ</t>
  </si>
  <si>
    <t xml:space="preserve">SELARL ARPENT-ALP BORREL Denis Géomètre-Expert</t>
  </si>
  <si>
    <t>denis.borrel@geometre-expert.fr</t>
  </si>
  <si>
    <t>arpentalp@wanadoo.fr</t>
  </si>
  <si>
    <t>BORREL</t>
  </si>
  <si>
    <t>VOIRON</t>
  </si>
  <si>
    <t xml:space="preserve">SARL GEO CONSULT</t>
  </si>
  <si>
    <t>marc.hedon@geometre-expert.fr</t>
  </si>
  <si>
    <t>contact.voiron@geo-consult.fr</t>
  </si>
  <si>
    <t>HEDON</t>
  </si>
  <si>
    <t>regis.matras@geometre-expert.fr</t>
  </si>
  <si>
    <t>MATRAS</t>
  </si>
  <si>
    <t>VOLX</t>
  </si>
  <si>
    <t xml:space="preserve">Cabinet PETITJEAN Christophe</t>
  </si>
  <si>
    <t>christophe.petitjean@geometre-expert.fr</t>
  </si>
  <si>
    <t>petitjean.geometre-expert@wanadoo.fr</t>
  </si>
  <si>
    <t>PETITJEAN</t>
  </si>
  <si>
    <t>WAMBRECHIES</t>
  </si>
  <si>
    <t>DIX-SEPT-ARES</t>
  </si>
  <si>
    <t>luis.pina@geometre-expert.fr</t>
  </si>
  <si>
    <t>luis.pina@17ares.fr</t>
  </si>
  <si>
    <t>WORMHOUT</t>
  </si>
  <si>
    <t xml:space="preserve">Cabinet GILLES Bruno</t>
  </si>
  <si>
    <t>bruno.gilles@geometre-expert.fr</t>
  </si>
  <si>
    <t>br-gilles@wanadoo.fr</t>
  </si>
  <si>
    <t>GILLES</t>
  </si>
  <si>
    <t>alice.ducateau@geometre-expert.fr</t>
  </si>
  <si>
    <t>DUCATEAU</t>
  </si>
  <si>
    <t>YSSINGEAUX</t>
  </si>
  <si>
    <t xml:space="preserve">SARL Cédric GONNACHON Géomètre-Expert</t>
  </si>
  <si>
    <t>cedric.gonnachon@geometre-expert.fr</t>
  </si>
  <si>
    <t>GONNACHON</t>
  </si>
  <si>
    <t>YZEURE</t>
  </si>
  <si>
    <t xml:space="preserve">Cabinet DE TAILLANDIER Xavier</t>
  </si>
  <si>
    <t>xavier.detaillandier@geometre-expert.fr</t>
  </si>
  <si>
    <t>detaillandier03@wanadoo.fr</t>
  </si>
  <si>
    <t>marine.nunes@geometre-expert.fr</t>
  </si>
  <si>
    <t>gaetan.meunier@geometre-expert.fr</t>
  </si>
  <si>
    <t>Gaëtan</t>
  </si>
  <si>
    <t>name</t>
  </si>
  <si>
    <t xml:space="preserve">Alexandre MASALSKI</t>
  </si>
  <si>
    <t xml:space="preserve">Jean-Marc DESCHAMPS</t>
  </si>
  <si>
    <t xml:space="preserve">Bertrand DEUTSCH</t>
  </si>
  <si>
    <t xml:space="preserve">Alain FUCHS</t>
  </si>
  <si>
    <t xml:space="preserve">Damien LELANDAIS</t>
  </si>
  <si>
    <t xml:space="preserve">Lucas LECOMTE</t>
  </si>
  <si>
    <t xml:space="preserve">Jérôme BASTARD</t>
  </si>
  <si>
    <t xml:space="preserve">Maxime FERRER</t>
  </si>
  <si>
    <t xml:space="preserve">Sébastien MOREL</t>
  </si>
  <si>
    <t xml:space="preserve">Franck NOISETTE</t>
  </si>
  <si>
    <t xml:space="preserve">Nelson CORREIA</t>
  </si>
  <si>
    <t xml:space="preserve">Joseph PASCUAL</t>
  </si>
  <si>
    <t xml:space="preserve">Henrique FERREIRA</t>
  </si>
  <si>
    <t xml:space="preserve">Steeve MAUVIEL</t>
  </si>
  <si>
    <t xml:space="preserve">Guillaume BERWANGER</t>
  </si>
  <si>
    <t xml:space="preserve">Georges DIVIALLE</t>
  </si>
  <si>
    <t xml:space="preserve">Pierre DE JULI</t>
  </si>
  <si>
    <t xml:space="preserve">Carole RICHARD</t>
  </si>
  <si>
    <t xml:space="preserve">Julien DAVID</t>
  </si>
  <si>
    <t xml:space="preserve">Gilles ESCARRET</t>
  </si>
  <si>
    <t xml:space="preserve">Perrine FLOCH SCOSSA-BAGGI</t>
  </si>
  <si>
    <t xml:space="preserve">Thérèse JANIN</t>
  </si>
  <si>
    <t xml:space="preserve">Olivier VANNIER</t>
  </si>
  <si>
    <t xml:space="preserve">Henri SIMLER</t>
  </si>
  <si>
    <t xml:space="preserve">Guillaume RAMES</t>
  </si>
  <si>
    <t xml:space="preserve">Emilien KURY</t>
  </si>
  <si>
    <t xml:space="preserve">Loïc DEPLACE</t>
  </si>
  <si>
    <t xml:space="preserve">Frédéric FARGUES</t>
  </si>
  <si>
    <t xml:space="preserve">Bernard MASALA</t>
  </si>
  <si>
    <t xml:space="preserve">Vincent TREFOND</t>
  </si>
  <si>
    <t xml:space="preserve">Eric DUREAU</t>
  </si>
  <si>
    <t xml:space="preserve">Ludovic FAURE</t>
  </si>
  <si>
    <t xml:space="preserve">Stéphane AVERTY</t>
  </si>
  <si>
    <t xml:space="preserve">Hugo CRUBILLÉ</t>
  </si>
  <si>
    <t xml:space="preserve">Grégory DELCROS</t>
  </si>
  <si>
    <t xml:space="preserve">Véronique LAUBERAT-JAVOUHEY</t>
  </si>
  <si>
    <t xml:space="preserve">Jean-Baptiste COTTIGNIES</t>
  </si>
  <si>
    <t xml:space="preserve">Vincent BERTHIER</t>
  </si>
  <si>
    <t xml:space="preserve">Guillaume BALSAC</t>
  </si>
  <si>
    <t xml:space="preserve">Vincent LEGLISE</t>
  </si>
  <si>
    <t xml:space="preserve">Bruno HERRMANN</t>
  </si>
  <si>
    <t xml:space="preserve">Antoine PADEL</t>
  </si>
  <si>
    <t xml:space="preserve">Jean-Sébastien RIVERE</t>
  </si>
  <si>
    <t xml:space="preserve">Richard HOLUIGUE</t>
  </si>
  <si>
    <t xml:space="preserve">Jean-Claude BERSON</t>
  </si>
  <si>
    <t xml:space="preserve">Yann ROBIN</t>
  </si>
  <si>
    <t xml:space="preserve">Alban DE FABRIQUE SAINT-TOURS</t>
  </si>
  <si>
    <t xml:space="preserve">Loïc BOUILLON</t>
  </si>
  <si>
    <t xml:space="preserve">Serge HEMERY</t>
  </si>
  <si>
    <t xml:space="preserve">Lionel GAY</t>
  </si>
  <si>
    <t xml:space="preserve">Alexis BLAIZE</t>
  </si>
  <si>
    <t xml:space="preserve">Rémi REBOUL</t>
  </si>
  <si>
    <t xml:space="preserve">Hervé HARMANGE</t>
  </si>
  <si>
    <t xml:space="preserve">Cyrille VEYLAND</t>
  </si>
  <si>
    <t xml:space="preserve">Sébastien VINCENT</t>
  </si>
  <si>
    <t xml:space="preserve">Marc WEBER</t>
  </si>
  <si>
    <t xml:space="preserve">Aurélien PIERRE</t>
  </si>
  <si>
    <t xml:space="preserve">Thomas WIENERT</t>
  </si>
  <si>
    <t xml:space="preserve">Fréderic JOUENNE</t>
  </si>
  <si>
    <t xml:space="preserve">Aimery VERNHES</t>
  </si>
  <si>
    <t xml:space="preserve">Simon ERTZ</t>
  </si>
  <si>
    <t xml:space="preserve">Vincent MARTINACHE</t>
  </si>
  <si>
    <t xml:space="preserve">Vincent VIAL</t>
  </si>
  <si>
    <t xml:space="preserve">François MAGNANT</t>
  </si>
  <si>
    <t xml:space="preserve">Nicolas GUET</t>
  </si>
  <si>
    <t xml:space="preserve">Marc JUNG</t>
  </si>
  <si>
    <t xml:space="preserve">Stéphane DE VRIESE</t>
  </si>
  <si>
    <t xml:space="preserve">Stéphanie HIBLOT</t>
  </si>
  <si>
    <t xml:space="preserve">Frédéric LEGER</t>
  </si>
  <si>
    <t xml:space="preserve">François HOSPITAL</t>
  </si>
  <si>
    <t xml:space="preserve">Philippe CAENEN</t>
  </si>
  <si>
    <t xml:space="preserve">Jérôme COLLOUD</t>
  </si>
  <si>
    <t xml:space="preserve">Frédéric ROUGIER</t>
  </si>
  <si>
    <t xml:space="preserve">Pierre FORTIN</t>
  </si>
  <si>
    <t xml:space="preserve">Stanislas DOIZY</t>
  </si>
  <si>
    <t xml:space="preserve">Sylvia FIORE</t>
  </si>
  <si>
    <t xml:space="preserve">Hervé GUIMARD</t>
  </si>
  <si>
    <t xml:space="preserve">Antoine GOZE</t>
  </si>
  <si>
    <t xml:space="preserve">Sylvain PAGOAGA</t>
  </si>
  <si>
    <t xml:space="preserve">Laurent PROGEAS</t>
  </si>
  <si>
    <t xml:space="preserve">Christian LECHAT</t>
  </si>
  <si>
    <t xml:space="preserve">Pauline ZAMBAUX</t>
  </si>
  <si>
    <t xml:space="preserve">Patrice LANQUETIN</t>
  </si>
  <si>
    <t xml:space="preserve">Frédéric LUSINCHI</t>
  </si>
  <si>
    <t xml:space="preserve">Renaud de MINIAC</t>
  </si>
  <si>
    <t xml:space="preserve">Thomas PIANTANIDA</t>
  </si>
  <si>
    <t xml:space="preserve">Julien PIEYRE DE MANDIARGUES</t>
  </si>
  <si>
    <t xml:space="preserve">César SLEIMAN</t>
  </si>
  <si>
    <t xml:space="preserve">Alexandre LOUCHE</t>
  </si>
  <si>
    <t xml:space="preserve">Olivier CLAVEIROLE</t>
  </si>
  <si>
    <t xml:space="preserve">Armelle RANNOU</t>
  </si>
  <si>
    <t xml:space="preserve">Barbara EYMARD</t>
  </si>
  <si>
    <t xml:space="preserve">Nadège GRUAU</t>
  </si>
  <si>
    <t xml:space="preserve">Julien MOUNARD</t>
  </si>
  <si>
    <t xml:space="preserve">Lynda ARBAU</t>
  </si>
  <si>
    <t xml:space="preserve">Célina JACQUIN</t>
  </si>
  <si>
    <t xml:space="preserve">Rodolphe Bertrand JUOMPAN YAKAM KEUTCHA</t>
  </si>
  <si>
    <t xml:space="preserve">Hervé CRANCE</t>
  </si>
  <si>
    <t xml:space="preserve">Christophe DUJARDIN</t>
  </si>
  <si>
    <t xml:space="preserve">Anaïs GUITARD</t>
  </si>
  <si>
    <t xml:space="preserve">Christophe GOUEZE</t>
  </si>
  <si>
    <t xml:space="preserve">Vincent COMBET</t>
  </si>
  <si>
    <t xml:space="preserve">Pascal DUMONT</t>
  </si>
  <si>
    <t xml:space="preserve">Jean-Marc PARIES</t>
  </si>
  <si>
    <t xml:space="preserve">Bernard LECOMTE</t>
  </si>
  <si>
    <t xml:space="preserve">Xavier DUFOURD</t>
  </si>
  <si>
    <t xml:space="preserve">Ludovic LEFEBURE</t>
  </si>
  <si>
    <t xml:space="preserve">Laurent RAYNAL</t>
  </si>
  <si>
    <t xml:space="preserve">Marie-Laure LOCU-CHARLIER</t>
  </si>
  <si>
    <t xml:space="preserve">Jérôme LABAT</t>
  </si>
  <si>
    <t xml:space="preserve">Andre-Marc LAMELOISE</t>
  </si>
  <si>
    <t xml:space="preserve">Simon UGUEN</t>
  </si>
  <si>
    <t xml:space="preserve">José BOUTEAU</t>
  </si>
  <si>
    <t xml:space="preserve">David FACHE</t>
  </si>
  <si>
    <t xml:space="preserve">Sébastien TROUVE</t>
  </si>
  <si>
    <t xml:space="preserve">Olivier BERBENNI</t>
  </si>
  <si>
    <t xml:space="preserve">Sylvie BROYON</t>
  </si>
  <si>
    <t xml:space="preserve">Pierre PITRAT</t>
  </si>
  <si>
    <t xml:space="preserve">Bernard DELPECH</t>
  </si>
  <si>
    <t xml:space="preserve">Lionel BRENAC</t>
  </si>
  <si>
    <t xml:space="preserve">Xavier de GOUVILLE</t>
  </si>
  <si>
    <t xml:space="preserve">Nicolas PRETRE</t>
  </si>
  <si>
    <t xml:space="preserve">Nicolas CHENEAU</t>
  </si>
  <si>
    <t xml:space="preserve">Marie-Gaëlle SAUNAL-CROS</t>
  </si>
  <si>
    <t xml:space="preserve">Florence BILLION-HOUDAYER</t>
  </si>
  <si>
    <t xml:space="preserve">Hugues LAPOUILLE</t>
  </si>
  <si>
    <t xml:space="preserve">François BOTTRAUD</t>
  </si>
  <si>
    <t xml:space="preserve">Thomas BARDIN</t>
  </si>
  <si>
    <t xml:space="preserve">Eric VERDIER</t>
  </si>
  <si>
    <t xml:space="preserve">Christian FAUDON</t>
  </si>
  <si>
    <t xml:space="preserve">Xavier FINE</t>
  </si>
  <si>
    <t xml:space="preserve">Vincent GAIOTTI</t>
  </si>
  <si>
    <t xml:space="preserve">Vincent DELEFORGES</t>
  </si>
  <si>
    <t xml:space="preserve">Séverine VERNET</t>
  </si>
  <si>
    <t xml:space="preserve">Damien VERONNEAU</t>
  </si>
  <si>
    <t xml:space="preserve">Laurin SERRE</t>
  </si>
  <si>
    <t xml:space="preserve">Rémy DELAHOUSSE</t>
  </si>
  <si>
    <t xml:space="preserve">Anaïs BETBEDER</t>
  </si>
  <si>
    <t xml:space="preserve">Adrien ROUANET</t>
  </si>
  <si>
    <t xml:space="preserve">Samuel DEOM</t>
  </si>
  <si>
    <t xml:space="preserve">Lionnel ROBERT</t>
  </si>
  <si>
    <t xml:space="preserve">Stéphane NICOLAS</t>
  </si>
  <si>
    <t xml:space="preserve">Samuel PITIOT</t>
  </si>
  <si>
    <t xml:space="preserve">Johan VERMAST</t>
  </si>
  <si>
    <t xml:space="preserve">Jean D'IRUMBERRY DE SALABERRY</t>
  </si>
  <si>
    <t xml:space="preserve">Benoit PETIT</t>
  </si>
  <si>
    <t xml:space="preserve">Laurent TAILLET</t>
  </si>
  <si>
    <t xml:space="preserve">Grégoire RECHARD</t>
  </si>
  <si>
    <t xml:space="preserve">Alexis IMBREA</t>
  </si>
  <si>
    <t xml:space="preserve">Eric MARCEL</t>
  </si>
  <si>
    <t xml:space="preserve">Denis LACHAUD</t>
  </si>
  <si>
    <t xml:space="preserve">Pierre-Olivier RACLE</t>
  </si>
  <si>
    <t xml:space="preserve">Isabelle PLANQUE</t>
  </si>
  <si>
    <t xml:space="preserve">Dominique GRAS</t>
  </si>
  <si>
    <t xml:space="preserve">Philippe PACAUD</t>
  </si>
  <si>
    <t xml:space="preserve">Guilhem DUBOIS</t>
  </si>
  <si>
    <t xml:space="preserve">Jérémie LATGE</t>
  </si>
  <si>
    <t xml:space="preserve">Benjamin SEIFFERT</t>
  </si>
  <si>
    <t xml:space="preserve">Yoann DEBRAY</t>
  </si>
  <si>
    <t xml:space="preserve">Nicolas PAGE</t>
  </si>
  <si>
    <t xml:space="preserve">Jean-Edouard PAUTONNIER</t>
  </si>
  <si>
    <t xml:space="preserve">Stéphane BONTOUX</t>
  </si>
  <si>
    <t xml:space="preserve">Brice IZAC</t>
  </si>
  <si>
    <t xml:space="preserve">Noémie VANETTI</t>
  </si>
  <si>
    <t xml:space="preserve">Julien MIRAMON</t>
  </si>
  <si>
    <t xml:space="preserve">Bertrand BODIN</t>
  </si>
  <si>
    <t xml:space="preserve">Denis MILLARD</t>
  </si>
  <si>
    <t xml:space="preserve">François RENUCCI</t>
  </si>
  <si>
    <t xml:space="preserve">Héléna PERRON</t>
  </si>
  <si>
    <t xml:space="preserve">Johann BOURRIER</t>
  </si>
  <si>
    <t xml:space="preserve">Thomas LUCAS</t>
  </si>
  <si>
    <t xml:space="preserve">Richard DODELIN</t>
  </si>
  <si>
    <t xml:space="preserve">Philippe CRUZ</t>
  </si>
  <si>
    <t xml:space="preserve">Vincent VIGOUROUX</t>
  </si>
  <si>
    <t xml:space="preserve">Pierre-Jean MARCHAL</t>
  </si>
  <si>
    <t xml:space="preserve">MARIE COURTAUX</t>
  </si>
  <si>
    <t xml:space="preserve">Bruno GRANJON</t>
  </si>
  <si>
    <t xml:space="preserve">Olivier JUMENTIER</t>
  </si>
  <si>
    <t xml:space="preserve">Thomas GUENERET</t>
  </si>
  <si>
    <t xml:space="preserve">Etienne RICHARD</t>
  </si>
  <si>
    <t xml:space="preserve">Hugo PETRONI</t>
  </si>
  <si>
    <t xml:space="preserve">Christiane CHAPPEL-RIGAUD</t>
  </si>
  <si>
    <t xml:space="preserve">Vincent GOUDARD</t>
  </si>
  <si>
    <t xml:space="preserve">Cédric LIGIER</t>
  </si>
  <si>
    <t xml:space="preserve">Justin PERNOUD</t>
  </si>
  <si>
    <t xml:space="preserve">Mathieu SIMONETTI-MALASPINA</t>
  </si>
  <si>
    <t xml:space="preserve">Dominique MOREL</t>
  </si>
  <si>
    <t xml:space="preserve">Véronique CHATRON</t>
  </si>
  <si>
    <t xml:space="preserve">Théodore LHERITIER</t>
  </si>
  <si>
    <t xml:space="preserve">Lionel CHAIGNEAU</t>
  </si>
  <si>
    <t xml:space="preserve">Arthur LEVEUGLE</t>
  </si>
  <si>
    <t xml:space="preserve">Jean PERRILLAT</t>
  </si>
  <si>
    <t xml:space="preserve">Michel CARLIN</t>
  </si>
  <si>
    <t xml:space="preserve">Arnaud LEMOIGNE</t>
  </si>
  <si>
    <t xml:space="preserve">Mouatassem MERHEB</t>
  </si>
  <si>
    <t xml:space="preserve">Benoît SOUESME</t>
  </si>
  <si>
    <t xml:space="preserve">Olivier LE DONGE</t>
  </si>
  <si>
    <t xml:space="preserve">Anthony RAUCOULE</t>
  </si>
  <si>
    <t xml:space="preserve">Paul LANDEL</t>
  </si>
  <si>
    <t xml:space="preserve">Samuel GUTIERREZ</t>
  </si>
  <si>
    <t xml:space="preserve">Sandra ROSSI</t>
  </si>
  <si>
    <t xml:space="preserve">Vincent FONTENEAU</t>
  </si>
  <si>
    <t xml:space="preserve">François VERZIER</t>
  </si>
  <si>
    <t xml:space="preserve">Ludovic PIOT</t>
  </si>
  <si>
    <t xml:space="preserve">Pierre LEGAL</t>
  </si>
  <si>
    <t xml:space="preserve">Laurent DETRAZ</t>
  </si>
  <si>
    <t xml:space="preserve">Hélène CARON</t>
  </si>
  <si>
    <t xml:space="preserve">Jean-Baptiste ROLLIN</t>
  </si>
  <si>
    <t xml:space="preserve">Alexis GAUTTIER</t>
  </si>
  <si>
    <t xml:space="preserve">François ROUALET</t>
  </si>
  <si>
    <t xml:space="preserve">Philippe PETITMENGIN</t>
  </si>
  <si>
    <t xml:space="preserve">Grégory POIRIER</t>
  </si>
  <si>
    <t xml:space="preserve">Bruno CARDONNE</t>
  </si>
  <si>
    <t xml:space="preserve">Anthony DURGET</t>
  </si>
  <si>
    <t xml:space="preserve">Audrey DEVILLIER</t>
  </si>
  <si>
    <t xml:space="preserve">Emmanuel DURET</t>
  </si>
  <si>
    <t xml:space="preserve">Fabrice MONGRELET</t>
  </si>
  <si>
    <t xml:space="preserve">Arnaud BERSON</t>
  </si>
  <si>
    <t xml:space="preserve">Stéphane JARGUEL</t>
  </si>
  <si>
    <t xml:space="preserve">Virginie JEANSOU</t>
  </si>
  <si>
    <t xml:space="preserve">Pierre CHAILLOU</t>
  </si>
  <si>
    <t xml:space="preserve">François MOZER</t>
  </si>
  <si>
    <t xml:space="preserve">Vivien FUCHS</t>
  </si>
  <si>
    <t xml:space="preserve">Pierre-Gilles PARACLET</t>
  </si>
  <si>
    <t xml:space="preserve">Nicolas POINTEAU</t>
  </si>
  <si>
    <t xml:space="preserve">Thomas MIOTTO</t>
  </si>
  <si>
    <t xml:space="preserve">Philippe CHANTOISEAU</t>
  </si>
  <si>
    <t xml:space="preserve">Elisabeth ROUX</t>
  </si>
  <si>
    <t xml:space="preserve">Charles BEYRIES</t>
  </si>
  <si>
    <t xml:space="preserve">Emmanuelle ONFRAY-CLAUSSE</t>
  </si>
  <si>
    <t xml:space="preserve">Germain CHICHERY</t>
  </si>
  <si>
    <t xml:space="preserve">Sophie ARGENCE</t>
  </si>
  <si>
    <t xml:space="preserve">Romain PEREIRA</t>
  </si>
  <si>
    <t xml:space="preserve">Pascale BONNIER</t>
  </si>
  <si>
    <t xml:space="preserve">Xavier PUJOL</t>
  </si>
  <si>
    <t xml:space="preserve">Sabrina AUMONT</t>
  </si>
  <si>
    <t xml:space="preserve">Jérémy DUPLAIX</t>
  </si>
  <si>
    <t xml:space="preserve">Joseph PORTELLA</t>
  </si>
  <si>
    <t xml:space="preserve">Frédéric DECONINCK</t>
  </si>
  <si>
    <t xml:space="preserve">Elodie TURCQ</t>
  </si>
  <si>
    <t xml:space="preserve">Jérôme MEGRET</t>
  </si>
  <si>
    <t xml:space="preserve">Gaël RAYNAUD</t>
  </si>
  <si>
    <t xml:space="preserve">Benoît VALADIER</t>
  </si>
  <si>
    <t xml:space="preserve">Gérard GAUTIER</t>
  </si>
  <si>
    <t xml:space="preserve">Philippe MANFREDI</t>
  </si>
  <si>
    <t xml:space="preserve">Christian SALLA</t>
  </si>
  <si>
    <t xml:space="preserve">Frédéric TESSIER</t>
  </si>
  <si>
    <t xml:space="preserve">Bénédicte MAGE</t>
  </si>
  <si>
    <t xml:space="preserve">Jérôme DELBASSE</t>
  </si>
  <si>
    <t xml:space="preserve">Raphaël FILLON</t>
  </si>
  <si>
    <t xml:space="preserve">Fabienne COLLOMB</t>
  </si>
  <si>
    <t xml:space="preserve">Nicolas LEFEBVRE</t>
  </si>
  <si>
    <t xml:space="preserve">Jérôme DESJACQUES</t>
  </si>
  <si>
    <t xml:space="preserve">Céline CHENU</t>
  </si>
  <si>
    <t xml:space="preserve">Jean-Paul CARON</t>
  </si>
  <si>
    <t xml:space="preserve">David PIERROT</t>
  </si>
  <si>
    <t xml:space="preserve">Catherine VERMOT-MESNIER</t>
  </si>
  <si>
    <t xml:space="preserve">Jean-Nicolas PASSERON</t>
  </si>
  <si>
    <t xml:space="preserve">Yann MOCQUOT</t>
  </si>
  <si>
    <t xml:space="preserve">Félix BAILLY-BASIN</t>
  </si>
  <si>
    <t xml:space="preserve">Marine QUINIOU</t>
  </si>
  <si>
    <t xml:space="preserve">Rémi CHAURAND</t>
  </si>
  <si>
    <t xml:space="preserve">David SALLANSONNET</t>
  </si>
  <si>
    <t xml:space="preserve">Benoit BELLEVEGUE</t>
  </si>
  <si>
    <t xml:space="preserve">Stéphane JOLY</t>
  </si>
  <si>
    <t xml:space="preserve">Frédéric BAISIEUX</t>
  </si>
  <si>
    <t xml:space="preserve">Christophe JALBAUD</t>
  </si>
  <si>
    <t xml:space="preserve">Isabelle BRICHET-LHUMEAU</t>
  </si>
  <si>
    <t xml:space="preserve">Julien BOULAY</t>
  </si>
  <si>
    <t xml:space="preserve">Nicolas WALLOIS</t>
  </si>
  <si>
    <t xml:space="preserve">Christophe GIROD</t>
  </si>
  <si>
    <t xml:space="preserve">Etienne TOULEMONDE</t>
  </si>
  <si>
    <t xml:space="preserve">Philippe CAVOIT</t>
  </si>
  <si>
    <t xml:space="preserve">David BERG</t>
  </si>
  <si>
    <t xml:space="preserve">Jacques AUTRAN</t>
  </si>
  <si>
    <t xml:space="preserve">Bernard COULON</t>
  </si>
  <si>
    <t xml:space="preserve">Fabrice DE FAVERI</t>
  </si>
  <si>
    <t xml:space="preserve">Florent AUTHIE</t>
  </si>
  <si>
    <t xml:space="preserve">Alain MONNIER</t>
  </si>
  <si>
    <t xml:space="preserve">Mikaël AUBERT</t>
  </si>
  <si>
    <t xml:space="preserve">Luc GRASSINI</t>
  </si>
  <si>
    <t xml:space="preserve">Florence CORGNET</t>
  </si>
  <si>
    <t xml:space="preserve">Jean-Benoit PUPPO-CAPODANO</t>
  </si>
  <si>
    <t xml:space="preserve">Yoann TALBOURDET</t>
  </si>
  <si>
    <t xml:space="preserve">Serena PALANDRI</t>
  </si>
  <si>
    <t xml:space="preserve">Pierre MATTHIEU</t>
  </si>
  <si>
    <t xml:space="preserve">Hervé MEISTER</t>
  </si>
  <si>
    <t xml:space="preserve">Noémie CHARPY</t>
  </si>
  <si>
    <t xml:space="preserve">Patrick BRANLY</t>
  </si>
  <si>
    <t xml:space="preserve">Michel SILANDRE</t>
  </si>
  <si>
    <t xml:space="preserve">Damien PIERRE</t>
  </si>
  <si>
    <t xml:space="preserve">Yann TOURNANT</t>
  </si>
  <si>
    <t xml:space="preserve">Périne MENARD</t>
  </si>
  <si>
    <t xml:space="preserve">Frédéric BRANCHE</t>
  </si>
  <si>
    <t xml:space="preserve">Cédric BELESTIN</t>
  </si>
  <si>
    <t xml:space="preserve">Jean-Pascal RIVIERE</t>
  </si>
  <si>
    <t xml:space="preserve">Carine HONORE</t>
  </si>
  <si>
    <t xml:space="preserve">Michel BARRE</t>
  </si>
  <si>
    <t xml:space="preserve">Régis QUENAON</t>
  </si>
  <si>
    <t xml:space="preserve">Delphine CASSASSOLLES</t>
  </si>
  <si>
    <t xml:space="preserve">Jérôme CARRAU</t>
  </si>
  <si>
    <t xml:space="preserve">Isabelle GOETTELMANN-LAVEDAN</t>
  </si>
  <si>
    <t xml:space="preserve">Florent MORELLET</t>
  </si>
  <si>
    <t xml:space="preserve">Maxime DYKMAN</t>
  </si>
  <si>
    <t xml:space="preserve">Alexandre CAZAUX</t>
  </si>
  <si>
    <t xml:space="preserve">Denis MOLIS</t>
  </si>
  <si>
    <t xml:space="preserve">Isabelle ADRIEN</t>
  </si>
  <si>
    <t xml:space="preserve">Christophe MARTIAL</t>
  </si>
  <si>
    <t xml:space="preserve">Ghislain LEFRANCOIS-BELLET</t>
  </si>
  <si>
    <t xml:space="preserve">Maxime CORRE</t>
  </si>
  <si>
    <t xml:space="preserve">Manuel MIALON</t>
  </si>
  <si>
    <t xml:space="preserve">Franck LE BOULANGER</t>
  </si>
  <si>
    <t xml:space="preserve">Pascal SIBELLA</t>
  </si>
  <si>
    <t xml:space="preserve">Simon GOURVEZ</t>
  </si>
  <si>
    <t xml:space="preserve">Ioanna BONAVITA</t>
  </si>
  <si>
    <t xml:space="preserve">Victor DORNIER</t>
  </si>
  <si>
    <t xml:space="preserve">Olivier CASTEX</t>
  </si>
  <si>
    <t xml:space="preserve">Véronique BEAUCAMP</t>
  </si>
  <si>
    <t xml:space="preserve">Laurent FUCHS</t>
  </si>
  <si>
    <t xml:space="preserve">Aurélien VEAUTE</t>
  </si>
  <si>
    <t xml:space="preserve">Laurent ROCHE</t>
  </si>
  <si>
    <t xml:space="preserve">Rodolphe CHOLLET</t>
  </si>
  <si>
    <t xml:space="preserve">Xavier BARBERY</t>
  </si>
  <si>
    <t xml:space="preserve">Laurent BAROTTIN</t>
  </si>
  <si>
    <t xml:space="preserve">Christophe ARTHUR</t>
  </si>
  <si>
    <t xml:space="preserve">Christophe BRETAUDEAU</t>
  </si>
  <si>
    <t xml:space="preserve">Hélène COUVERT-VAISSIERE</t>
  </si>
  <si>
    <t xml:space="preserve">Renaud LANSARD</t>
  </si>
  <si>
    <t xml:space="preserve">Jean-Pascal MARISY</t>
  </si>
  <si>
    <t xml:space="preserve">Marianne THOMAS</t>
  </si>
  <si>
    <t xml:space="preserve">Jean-Pierre CARDINAL</t>
  </si>
  <si>
    <t xml:space="preserve">Jean-Charles MICHELETTI</t>
  </si>
  <si>
    <t xml:space="preserve">Vincent DELALANDE</t>
  </si>
  <si>
    <t xml:space="preserve">Christophe MAROBIN</t>
  </si>
  <si>
    <t xml:space="preserve">Mathieu BRIGNOL</t>
  </si>
  <si>
    <t xml:space="preserve">Nicolas BOUAD</t>
  </si>
  <si>
    <t xml:space="preserve">Antoine PARISE</t>
  </si>
  <si>
    <t xml:space="preserve">Jean-Michel PELLE</t>
  </si>
  <si>
    <t xml:space="preserve">François CAMIADE</t>
  </si>
  <si>
    <t xml:space="preserve">Stéphane LINARES</t>
  </si>
  <si>
    <t xml:space="preserve">Céline CORNILLET</t>
  </si>
  <si>
    <t xml:space="preserve">Xavier DELPLANQUE</t>
  </si>
  <si>
    <t xml:space="preserve">David LEMARIÉ</t>
  </si>
  <si>
    <t xml:space="preserve">Julie LOIR</t>
  </si>
  <si>
    <t xml:space="preserve">Antoine LE BOT-DROUET</t>
  </si>
  <si>
    <t xml:space="preserve">Damien DESPLATS</t>
  </si>
  <si>
    <t xml:space="preserve">Antoine OSMOND</t>
  </si>
  <si>
    <t xml:space="preserve">Martin AUBER</t>
  </si>
  <si>
    <t xml:space="preserve">Philippe CACHOD</t>
  </si>
  <si>
    <t xml:space="preserve">Thomas COUVERT</t>
  </si>
  <si>
    <t xml:space="preserve">Jérôme ADOR</t>
  </si>
  <si>
    <t xml:space="preserve">Guillaume DEBOOS</t>
  </si>
  <si>
    <t xml:space="preserve">Emilie BLANC</t>
  </si>
  <si>
    <t xml:space="preserve">Sébastien GRENET</t>
  </si>
  <si>
    <t xml:space="preserve">Jonathan SEGUETTE</t>
  </si>
  <si>
    <t xml:space="preserve">Adrien BOURDEAU</t>
  </si>
  <si>
    <t xml:space="preserve">Aurélie DUPRILOT</t>
  </si>
  <si>
    <t xml:space="preserve">Jean-Baptiste GELDOF</t>
  </si>
  <si>
    <t xml:space="preserve">Olivier ARRONDEL</t>
  </si>
  <si>
    <t xml:space="preserve">Didier BOURY</t>
  </si>
  <si>
    <t xml:space="preserve">Nicolas UDINO</t>
  </si>
  <si>
    <t xml:space="preserve">Christophe DELALOI</t>
  </si>
  <si>
    <t xml:space="preserve">Julien SEYDOUX</t>
  </si>
  <si>
    <t xml:space="preserve">Sébastien FAISANT</t>
  </si>
  <si>
    <t xml:space="preserve">Laurent CHAHUAU</t>
  </si>
  <si>
    <t xml:space="preserve">Philippe BLOMME</t>
  </si>
  <si>
    <t xml:space="preserve">Guillaume GUYET</t>
  </si>
  <si>
    <t xml:space="preserve">Jean-Michel GIRODET</t>
  </si>
  <si>
    <t xml:space="preserve">Eric DESHAYES</t>
  </si>
  <si>
    <t xml:space="preserve">Jimmy COLLANGETTE</t>
  </si>
  <si>
    <t xml:space="preserve">Jean-Yves BOURGUIGNON</t>
  </si>
  <si>
    <t xml:space="preserve">Elsa TUFFIER</t>
  </si>
  <si>
    <t xml:space="preserve">Jennifer FARDIN</t>
  </si>
  <si>
    <t xml:space="preserve">Philippe HERMAND</t>
  </si>
  <si>
    <t xml:space="preserve">Maëva INFANTI</t>
  </si>
  <si>
    <t xml:space="preserve">Frédéric BILLON</t>
  </si>
  <si>
    <t xml:space="preserve">Fabien MARQUETTE</t>
  </si>
  <si>
    <t xml:space="preserve">Carolyne JURIE-FONTEYNE</t>
  </si>
  <si>
    <t xml:space="preserve">Christelle FAVAUGE</t>
  </si>
  <si>
    <t xml:space="preserve">Jean-Yves MAS</t>
  </si>
  <si>
    <t xml:space="preserve">Michel LE TALLEC</t>
  </si>
  <si>
    <t xml:space="preserve">Frédéric JAMEY</t>
  </si>
  <si>
    <t xml:space="preserve">Frédéric SALVADOR</t>
  </si>
  <si>
    <t xml:space="preserve">Marie-Laure GUILLAUME - GASQUEZ</t>
  </si>
  <si>
    <t xml:space="preserve">Christophe PIGEON</t>
  </si>
  <si>
    <t xml:space="preserve">Antoine LANGLOIS</t>
  </si>
  <si>
    <t xml:space="preserve">Matthieu GRENIER</t>
  </si>
  <si>
    <t xml:space="preserve">Mathilde ADAM</t>
  </si>
  <si>
    <t xml:space="preserve">Nicolas PINOT</t>
  </si>
  <si>
    <t xml:space="preserve">Bruno THOMAS</t>
  </si>
  <si>
    <t xml:space="preserve">Thomas CORNILLAULT</t>
  </si>
  <si>
    <t xml:space="preserve">Hubert VIARD</t>
  </si>
  <si>
    <t xml:space="preserve">Eric MORVAN</t>
  </si>
  <si>
    <t xml:space="preserve">Aurélien MAURIN</t>
  </si>
  <si>
    <t xml:space="preserve">Simon GORNIAK</t>
  </si>
  <si>
    <t xml:space="preserve">François TARTARIN</t>
  </si>
  <si>
    <t xml:space="preserve">David SCHERRER</t>
  </si>
  <si>
    <t xml:space="preserve">Sylvain CHABOT</t>
  </si>
  <si>
    <t xml:space="preserve">Christine KOWALSKI</t>
  </si>
  <si>
    <t xml:space="preserve">Joël CAIRE</t>
  </si>
  <si>
    <t xml:space="preserve">Stéphane VIRY</t>
  </si>
  <si>
    <t xml:space="preserve">Louis TALARMIN</t>
  </si>
  <si>
    <t xml:space="preserve">Clémence DEBESSELLE</t>
  </si>
  <si>
    <t xml:space="preserve">Gérard CASSOU</t>
  </si>
  <si>
    <t xml:space="preserve">Christian TOINON</t>
  </si>
  <si>
    <t xml:space="preserve">Emilie GUERRA</t>
  </si>
  <si>
    <t xml:space="preserve">Philippe COUTURE</t>
  </si>
  <si>
    <t xml:space="preserve">Joël QUENOUILLE</t>
  </si>
  <si>
    <t xml:space="preserve">Laurent FOURNIER</t>
  </si>
  <si>
    <t xml:space="preserve">Jean-Luc LEMOIGNE</t>
  </si>
  <si>
    <t xml:space="preserve">Yann GUENOLE</t>
  </si>
  <si>
    <t xml:space="preserve">Jean-Luc ROUX</t>
  </si>
  <si>
    <t xml:space="preserve">Gwenaël SAGNE</t>
  </si>
  <si>
    <t xml:space="preserve">Marie LOISEAU</t>
  </si>
  <si>
    <t xml:space="preserve">Olivier PACHEN</t>
  </si>
  <si>
    <t xml:space="preserve">Timothée NOIRET</t>
  </si>
  <si>
    <t xml:space="preserve">Estelle CAULFUTY</t>
  </si>
  <si>
    <t xml:space="preserve">Maxime VOYER</t>
  </si>
  <si>
    <t xml:space="preserve">Germain BATARD</t>
  </si>
  <si>
    <t xml:space="preserve">Carolyne LESEUL</t>
  </si>
  <si>
    <t xml:space="preserve">Daniel LAUTIÉ</t>
  </si>
  <si>
    <t xml:space="preserve">Florian MUNICH</t>
  </si>
  <si>
    <t xml:space="preserve">Nicolas DUCHAMP DE CHASTAIGNE</t>
  </si>
  <si>
    <t xml:space="preserve">Pascal LACOUR</t>
  </si>
  <si>
    <t xml:space="preserve">Benoît LEFEVRE</t>
  </si>
  <si>
    <t xml:space="preserve">Vincent CAILLET</t>
  </si>
  <si>
    <t xml:space="preserve">Jean-Charles DAYOT</t>
  </si>
  <si>
    <t xml:space="preserve">Laurent OUDOT</t>
  </si>
  <si>
    <t xml:space="preserve">Frédéric BOYER</t>
  </si>
  <si>
    <t xml:space="preserve">Jean-Luc BURTIN</t>
  </si>
  <si>
    <t xml:space="preserve">Eric MARGUINAL</t>
  </si>
  <si>
    <t xml:space="preserve">Serge PAOLINI</t>
  </si>
  <si>
    <t xml:space="preserve">Denis THILLARD</t>
  </si>
  <si>
    <t xml:space="preserve">Geoffroy MORENO</t>
  </si>
  <si>
    <t xml:space="preserve">Johan PERRIN</t>
  </si>
  <si>
    <t xml:space="preserve">Olivier TOVO</t>
  </si>
  <si>
    <t xml:space="preserve">Pierre RODRIGUEZ</t>
  </si>
  <si>
    <t xml:space="preserve">Olivier COURT</t>
  </si>
  <si>
    <t xml:space="preserve">Carl RICHE</t>
  </si>
  <si>
    <t xml:space="preserve">Luc DEVUN</t>
  </si>
  <si>
    <t xml:space="preserve">Chrystel GUILLERE</t>
  </si>
  <si>
    <t xml:space="preserve">Guillaume POIGNON</t>
  </si>
  <si>
    <t xml:space="preserve">Frédéric BONNET</t>
  </si>
  <si>
    <t xml:space="preserve">Bernard BUI</t>
  </si>
  <si>
    <t xml:space="preserve">Pascal CHARGELEGUE</t>
  </si>
  <si>
    <t xml:space="preserve">Clémence BACCI</t>
  </si>
  <si>
    <t xml:space="preserve">Christophe NICOLAS</t>
  </si>
  <si>
    <t xml:space="preserve">Franck LALAGÜE</t>
  </si>
  <si>
    <t xml:space="preserve">Jean CASSASSOLLES</t>
  </si>
  <si>
    <t xml:space="preserve">Yannick GALINAT</t>
  </si>
  <si>
    <t xml:space="preserve">Jérôme BRAHEM</t>
  </si>
  <si>
    <t xml:space="preserve">Arnaud KRIPPES</t>
  </si>
  <si>
    <t xml:space="preserve">Gérard BOUDET</t>
  </si>
  <si>
    <t xml:space="preserve">Valéry AMAYENC</t>
  </si>
  <si>
    <t xml:space="preserve">Nathalie DECAMPS</t>
  </si>
  <si>
    <t xml:space="preserve">Lionel GUILLET</t>
  </si>
  <si>
    <t xml:space="preserve">Rémi ALQUIER</t>
  </si>
  <si>
    <t xml:space="preserve">Rémi PIERRE</t>
  </si>
  <si>
    <t xml:space="preserve">Gilles BUISSON</t>
  </si>
  <si>
    <t xml:space="preserve">Rémi SCHERER</t>
  </si>
  <si>
    <t xml:space="preserve">Jean-Yves KEROUEDAN</t>
  </si>
  <si>
    <t xml:space="preserve">Annabelle PRIEUR</t>
  </si>
  <si>
    <t xml:space="preserve">Yves DELAVIGNE</t>
  </si>
  <si>
    <t xml:space="preserve">Jonatana RASOLOFONOMENJANAHARY</t>
  </si>
  <si>
    <t xml:space="preserve">Daniel VAIREL</t>
  </si>
  <si>
    <t xml:space="preserve">Bertrand WARIN</t>
  </si>
  <si>
    <t xml:space="preserve">Philippe BERNAY</t>
  </si>
  <si>
    <t xml:space="preserve">Eric COLLET</t>
  </si>
  <si>
    <t xml:space="preserve">Louis LUBRET</t>
  </si>
  <si>
    <t xml:space="preserve">Kévin LECERF</t>
  </si>
  <si>
    <t xml:space="preserve">Jean-Yves LOZANO</t>
  </si>
  <si>
    <t xml:space="preserve">Philippe ESCANDE</t>
  </si>
  <si>
    <t xml:space="preserve">Jean-François LAULAU</t>
  </si>
  <si>
    <t xml:space="preserve">Laurent HICHARD</t>
  </si>
  <si>
    <t xml:space="preserve">Christophe LOISEAU</t>
  </si>
  <si>
    <t xml:space="preserve">Antoine FEVRIER</t>
  </si>
  <si>
    <t xml:space="preserve">Marius SONERIU</t>
  </si>
  <si>
    <t xml:space="preserve">Ben Allaoui CHOCOLAT</t>
  </si>
  <si>
    <t xml:space="preserve">Bernard RAIMONDI</t>
  </si>
  <si>
    <t xml:space="preserve">Hugues MATTEUDI</t>
  </si>
  <si>
    <t xml:space="preserve">Maxime MOST</t>
  </si>
  <si>
    <t xml:space="preserve">Dominique DREVET</t>
  </si>
  <si>
    <t xml:space="preserve">Harold MOURILLON</t>
  </si>
  <si>
    <t xml:space="preserve">Frédéric BRANCHEREAU</t>
  </si>
  <si>
    <t xml:space="preserve">Séverine GOUJON</t>
  </si>
  <si>
    <t xml:space="preserve">Cyrille THOMAS</t>
  </si>
  <si>
    <t xml:space="preserve">Raphaël BEROT</t>
  </si>
  <si>
    <t xml:space="preserve">Augustin LEVIN</t>
  </si>
  <si>
    <t xml:space="preserve">Olivier BLONDEAU</t>
  </si>
  <si>
    <t xml:space="preserve">Maxime ASSELIN</t>
  </si>
  <si>
    <t xml:space="preserve">Pascal PINET</t>
  </si>
  <si>
    <t xml:space="preserve">Jérôme COMBECAVE</t>
  </si>
  <si>
    <t xml:space="preserve">Stéphanie FOURNIE</t>
  </si>
  <si>
    <t xml:space="preserve">André LABAYLE-TROY</t>
  </si>
  <si>
    <t xml:space="preserve">Patrick BOUE</t>
  </si>
  <si>
    <t xml:space="preserve">Nicolas DECHENAUX</t>
  </si>
  <si>
    <t xml:space="preserve">Erwan QUINIOU</t>
  </si>
  <si>
    <t xml:space="preserve">Harry LANGEVIN</t>
  </si>
  <si>
    <t xml:space="preserve">Julien GUILLOU</t>
  </si>
  <si>
    <t xml:space="preserve">Ludovic DUJARDIN</t>
  </si>
  <si>
    <t xml:space="preserve">Sébastien LEBOEUF</t>
  </si>
  <si>
    <t xml:space="preserve">Nicolas BERNOS</t>
  </si>
  <si>
    <t xml:space="preserve">Benoît DEROCHE</t>
  </si>
  <si>
    <t xml:space="preserve">Bruno CANIPEL</t>
  </si>
  <si>
    <t xml:space="preserve">Johann ETTWILLER</t>
  </si>
  <si>
    <t xml:space="preserve">Henri SEC</t>
  </si>
  <si>
    <t xml:space="preserve">Frantz DERLICH</t>
  </si>
  <si>
    <t xml:space="preserve">Thierry BLEARD</t>
  </si>
  <si>
    <t xml:space="preserve">Vincent RENAUDIN</t>
  </si>
  <si>
    <t xml:space="preserve">Gilles CLUZANT</t>
  </si>
  <si>
    <t xml:space="preserve">Samuel ONFRAY</t>
  </si>
  <si>
    <t xml:space="preserve">Gérard COMBAZ</t>
  </si>
  <si>
    <t xml:space="preserve">Loïc BONNETEAU</t>
  </si>
  <si>
    <t xml:space="preserve">Jean-Michel LUGHERINI</t>
  </si>
  <si>
    <t xml:space="preserve">Jean-Marc NIAUSSAT</t>
  </si>
  <si>
    <t xml:space="preserve">Etienne SAINT-AUBIN</t>
  </si>
  <si>
    <t xml:space="preserve">Florence COSTE</t>
  </si>
  <si>
    <t xml:space="preserve">Didier RENEVOT</t>
  </si>
  <si>
    <t xml:space="preserve">Frank GERLACH</t>
  </si>
  <si>
    <t xml:space="preserve">Isabelle LIEUTAUD</t>
  </si>
  <si>
    <t xml:space="preserve">Arnaud DEGROOTE</t>
  </si>
  <si>
    <t xml:space="preserve">Pierre-Marie FOUGERAY</t>
  </si>
  <si>
    <t xml:space="preserve">Ghjuvanni ANDREOZZI</t>
  </si>
  <si>
    <t xml:space="preserve">Aurélien MUELLER</t>
  </si>
  <si>
    <t xml:space="preserve">Marc GIRARDIN</t>
  </si>
  <si>
    <t xml:space="preserve">Caroline MONGE</t>
  </si>
  <si>
    <t xml:space="preserve">Sylvain CANTALOUBE</t>
  </si>
  <si>
    <t xml:space="preserve">Hélène BERQUEZ</t>
  </si>
  <si>
    <t xml:space="preserve">Michel DELRIEU</t>
  </si>
  <si>
    <t xml:space="preserve">Louis BIGOURDAN</t>
  </si>
  <si>
    <t xml:space="preserve">Benoît SURET</t>
  </si>
  <si>
    <t xml:space="preserve">Guillaume MASSON</t>
  </si>
  <si>
    <t xml:space="preserve">Jean-Christophe DEVIN</t>
  </si>
  <si>
    <t xml:space="preserve">Ludovic JOURY</t>
  </si>
  <si>
    <t xml:space="preserve">Thierry BERTHE</t>
  </si>
  <si>
    <t xml:space="preserve">Nicolas BOUIS</t>
  </si>
  <si>
    <t xml:space="preserve">Etienne MARTIN</t>
  </si>
  <si>
    <t xml:space="preserve">Fabrice ILTIS</t>
  </si>
  <si>
    <t xml:space="preserve">Julien GAYE</t>
  </si>
  <si>
    <t xml:space="preserve">Sarah LEFEBVRE</t>
  </si>
  <si>
    <t xml:space="preserve">Guillaume VIGNAU</t>
  </si>
  <si>
    <t xml:space="preserve">Maiwenn KERYELL-EVEN</t>
  </si>
  <si>
    <t xml:space="preserve">Jean-Luc BLANCHARD</t>
  </si>
  <si>
    <t xml:space="preserve">Olivier BOUSQUET</t>
  </si>
  <si>
    <t xml:space="preserve">Arnaud COLIN</t>
  </si>
  <si>
    <t xml:space="preserve">François PERRONNET</t>
  </si>
  <si>
    <t xml:space="preserve">Arnaud ROSTAND</t>
  </si>
  <si>
    <t xml:space="preserve">Olivier GARCIA</t>
  </si>
  <si>
    <t xml:space="preserve">Christelle HAGENMULLER</t>
  </si>
  <si>
    <t xml:space="preserve">Frédéric BONNARD</t>
  </si>
  <si>
    <t xml:space="preserve">Benoit GRAC</t>
  </si>
  <si>
    <t xml:space="preserve">Mathieu SAVIGNAC</t>
  </si>
  <si>
    <t xml:space="preserve">Ghislain QUARRE DE BOIRY</t>
  </si>
  <si>
    <t xml:space="preserve">Charlie BAUDOIN</t>
  </si>
  <si>
    <t xml:space="preserve">Christophe MENARD</t>
  </si>
  <si>
    <t xml:space="preserve">Vincent TEILHARD</t>
  </si>
  <si>
    <t xml:space="preserve">Aurélie BRUNAUD</t>
  </si>
  <si>
    <t xml:space="preserve">Nicolas FIKER</t>
  </si>
  <si>
    <t xml:space="preserve">Marie SCHOENMAEKERS</t>
  </si>
  <si>
    <t xml:space="preserve">Jean-René POUSSARD-BORREL</t>
  </si>
  <si>
    <t xml:space="preserve">Jean-Marie BONNAZ</t>
  </si>
  <si>
    <t xml:space="preserve">Xavier LOUVEAU</t>
  </si>
  <si>
    <t xml:space="preserve">Maxime SECRET</t>
  </si>
  <si>
    <t xml:space="preserve">Thomas DUVERSIN</t>
  </si>
  <si>
    <t xml:space="preserve">François FROMENT</t>
  </si>
  <si>
    <t xml:space="preserve">Guillaume PERNOT</t>
  </si>
  <si>
    <t xml:space="preserve">Fabien LAURENS</t>
  </si>
  <si>
    <t xml:space="preserve">Cyril MONGENOTY</t>
  </si>
  <si>
    <t xml:space="preserve">Gilles CAPELLE</t>
  </si>
  <si>
    <t xml:space="preserve">Gilles DUFOURCQ</t>
  </si>
  <si>
    <t xml:space="preserve">Olivier TAFFIN</t>
  </si>
  <si>
    <t xml:space="preserve">Olivier COLIN</t>
  </si>
  <si>
    <t xml:space="preserve">Aline JOLY</t>
  </si>
  <si>
    <t xml:space="preserve">Jacques NADOLNY</t>
  </si>
  <si>
    <t xml:space="preserve">Fabien PALFROY</t>
  </si>
  <si>
    <t xml:space="preserve">Olivier HERVOUET</t>
  </si>
  <si>
    <t xml:space="preserve">Thibaut GIRAUD</t>
  </si>
  <si>
    <t xml:space="preserve">Olivier LECOCQ</t>
  </si>
  <si>
    <t xml:space="preserve">Julien PEREZ</t>
  </si>
  <si>
    <t xml:space="preserve">Jérôme MILLOZ</t>
  </si>
  <si>
    <t xml:space="preserve">Samuel TRAVERS</t>
  </si>
  <si>
    <t xml:space="preserve">Jean-François AUBERT</t>
  </si>
  <si>
    <t xml:space="preserve">Thierry PIANET</t>
  </si>
  <si>
    <t xml:space="preserve">Sandrine TERRASSON</t>
  </si>
  <si>
    <t xml:space="preserve">Grégory MARMU</t>
  </si>
  <si>
    <t xml:space="preserve">Jean-Odon CENAC</t>
  </si>
  <si>
    <t xml:space="preserve">Amandine RECHOU</t>
  </si>
  <si>
    <t xml:space="preserve">Marie SIMLER</t>
  </si>
  <si>
    <t xml:space="preserve">Xavier MEURET</t>
  </si>
  <si>
    <t xml:space="preserve">Benoît SANTUS</t>
  </si>
  <si>
    <t xml:space="preserve">Sébastien NUNES</t>
  </si>
  <si>
    <t xml:space="preserve">Philippe BOUSSER</t>
  </si>
  <si>
    <t xml:space="preserve">Franck GILG</t>
  </si>
  <si>
    <t xml:space="preserve">Bénédicte BAUD</t>
  </si>
  <si>
    <t xml:space="preserve">Frédéric ERIZE</t>
  </si>
  <si>
    <t xml:space="preserve">Jean-Cedric LANDRY</t>
  </si>
  <si>
    <t xml:space="preserve">Josselin BENOIT</t>
  </si>
  <si>
    <t xml:space="preserve">Sébastien ROUSSEL</t>
  </si>
  <si>
    <t xml:space="preserve">Sylvain LAVRARD-MEYER</t>
  </si>
  <si>
    <t xml:space="preserve">Baptiste VARIN</t>
  </si>
  <si>
    <t xml:space="preserve">Edouard DUTILLEUL</t>
  </si>
  <si>
    <t xml:space="preserve">Lucile KOCHER</t>
  </si>
  <si>
    <t xml:space="preserve">Adrien LEPOUTRE</t>
  </si>
  <si>
    <t xml:space="preserve">Quentin DENEU</t>
  </si>
  <si>
    <t xml:space="preserve">Rémy PRZYBYLSKI</t>
  </si>
  <si>
    <t xml:space="preserve">Marc LAROCHE</t>
  </si>
  <si>
    <t xml:space="preserve">Karine SCHATTEMAN</t>
  </si>
  <si>
    <t xml:space="preserve">Jean-Claude GOY</t>
  </si>
  <si>
    <t xml:space="preserve">Stéphane ZWERTVAEGHER</t>
  </si>
  <si>
    <t xml:space="preserve">Pascal SUREAU</t>
  </si>
  <si>
    <t xml:space="preserve">Frédéric CHARBONNIER</t>
  </si>
  <si>
    <t xml:space="preserve">Jean des GARETS</t>
  </si>
  <si>
    <t xml:space="preserve">Arnaud FREMONT</t>
  </si>
  <si>
    <t xml:space="preserve">Pierre PAPAIT</t>
  </si>
  <si>
    <t xml:space="preserve">Marie FOURMEAUX</t>
  </si>
  <si>
    <t xml:space="preserve">Sébastien CARME</t>
  </si>
  <si>
    <t xml:space="preserve">Ludovic MOUGEL</t>
  </si>
  <si>
    <t xml:space="preserve">Stéphane LECHENE</t>
  </si>
  <si>
    <t xml:space="preserve">Didier CHAUVEAU</t>
  </si>
  <si>
    <t xml:space="preserve">Fabien BOURGOGNE</t>
  </si>
  <si>
    <t xml:space="preserve">Rémy BARRAND</t>
  </si>
  <si>
    <t xml:space="preserve">Christophe AGULHON</t>
  </si>
  <si>
    <t xml:space="preserve">Martial CLARET</t>
  </si>
  <si>
    <t xml:space="preserve">Benoît BRIFFAUT</t>
  </si>
  <si>
    <t xml:space="preserve">Philippe FRUITIERE</t>
  </si>
  <si>
    <t xml:space="preserve">Aurélien FOUCHER</t>
  </si>
  <si>
    <t xml:space="preserve">Olivier BETARD</t>
  </si>
  <si>
    <t xml:space="preserve">Arnaud FUTEUL</t>
  </si>
  <si>
    <t xml:space="preserve">Pierrette CESARI</t>
  </si>
  <si>
    <t xml:space="preserve">Florent JEANNEAU</t>
  </si>
  <si>
    <t xml:space="preserve">Charles DEBOOS</t>
  </si>
  <si>
    <t xml:space="preserve">Benjamin BUIRETTE</t>
  </si>
  <si>
    <t xml:space="preserve">Simon BAZALGETTE</t>
  </si>
  <si>
    <t xml:space="preserve">Romain ROUQUETTE</t>
  </si>
  <si>
    <t xml:space="preserve">Hervé HELSTROFFER</t>
  </si>
  <si>
    <t xml:space="preserve">Francis GAUCHOTTE</t>
  </si>
  <si>
    <t xml:space="preserve">Michel BAUD</t>
  </si>
  <si>
    <t xml:space="preserve">Philippe SAVOYET</t>
  </si>
  <si>
    <t xml:space="preserve">Adrien ARNAL</t>
  </si>
  <si>
    <t xml:space="preserve">Renan NIVELET</t>
  </si>
  <si>
    <t xml:space="preserve">Nicolas GEFFROY</t>
  </si>
  <si>
    <t xml:space="preserve">Caroline LEFER-CHATAIGNON</t>
  </si>
  <si>
    <t xml:space="preserve">Yoann RODRIGUEZ</t>
  </si>
  <si>
    <t xml:space="preserve">Michaël RICHE</t>
  </si>
  <si>
    <t xml:space="preserve">Murielle FOURNIER-BERNET</t>
  </si>
  <si>
    <t xml:space="preserve">Céline GATTO</t>
  </si>
  <si>
    <t xml:space="preserve">Olivier BONNET</t>
  </si>
  <si>
    <t xml:space="preserve">Stéphane DELMOTTE</t>
  </si>
  <si>
    <t xml:space="preserve">Robin BRUNA</t>
  </si>
  <si>
    <t xml:space="preserve">Régis BILHAUT</t>
  </si>
  <si>
    <t xml:space="preserve">Guillaume CARLAVAN</t>
  </si>
  <si>
    <t xml:space="preserve">Hubert ORTLIEB</t>
  </si>
  <si>
    <t xml:space="preserve">Christian LIOGIER</t>
  </si>
  <si>
    <t xml:space="preserve">Damien THERRY</t>
  </si>
  <si>
    <t xml:space="preserve">Christophe GILLOT</t>
  </si>
  <si>
    <t xml:space="preserve">Sébastien AUBRY</t>
  </si>
  <si>
    <t xml:space="preserve">Thomas CAUS</t>
  </si>
  <si>
    <t xml:space="preserve">Eddy TOUSSAINT</t>
  </si>
  <si>
    <t xml:space="preserve">Rahim HALIDI</t>
  </si>
  <si>
    <t xml:space="preserve">Thierry VERNET</t>
  </si>
  <si>
    <t xml:space="preserve">Sylvain FAUTRELLE</t>
  </si>
  <si>
    <t xml:space="preserve">Michel MASSE</t>
  </si>
  <si>
    <t xml:space="preserve">Laure-Marie PERRIN LEFEVRE</t>
  </si>
  <si>
    <t xml:space="preserve">Hugues-Henry MERKEL</t>
  </si>
  <si>
    <t xml:space="preserve">Alexis LEROY</t>
  </si>
  <si>
    <t xml:space="preserve">Olivier CHARDOT</t>
  </si>
  <si>
    <t xml:space="preserve">Ivan SALIBA</t>
  </si>
  <si>
    <t xml:space="preserve">Jacques POTIN</t>
  </si>
  <si>
    <t xml:space="preserve">Guillaume TUQUOI</t>
  </si>
  <si>
    <t xml:space="preserve">Nicolas POGGI</t>
  </si>
  <si>
    <t xml:space="preserve">Florian COUVREUR</t>
  </si>
  <si>
    <t xml:space="preserve">Jean POIRIER</t>
  </si>
  <si>
    <t xml:space="preserve">Marie PACHECO</t>
  </si>
  <si>
    <t xml:space="preserve">Philippe DELASSUS</t>
  </si>
  <si>
    <t xml:space="preserve">Géraldine GIEN-LANCE</t>
  </si>
  <si>
    <t xml:space="preserve">Annette EKSTEROWICZ</t>
  </si>
  <si>
    <t xml:space="preserve">Yves MARIEY</t>
  </si>
  <si>
    <t xml:space="preserve">Philippe BOSCARIOL</t>
  </si>
  <si>
    <t xml:space="preserve">Sylvain VARENNE</t>
  </si>
  <si>
    <t xml:space="preserve">Jean-Christophe CLERGET</t>
  </si>
  <si>
    <t xml:space="preserve">Pierre-Yves REMY</t>
  </si>
  <si>
    <t xml:space="preserve">Jean-Yves FAURE</t>
  </si>
  <si>
    <t xml:space="preserve">Christophe DUHEM</t>
  </si>
  <si>
    <t xml:space="preserve">Eric LECLERC</t>
  </si>
  <si>
    <t xml:space="preserve">David WROBEL</t>
  </si>
  <si>
    <t xml:space="preserve">Adeline LECOINTRE</t>
  </si>
  <si>
    <t xml:space="preserve">Benoît DUCHATEL</t>
  </si>
  <si>
    <t xml:space="preserve">Clément MILOT</t>
  </si>
  <si>
    <t xml:space="preserve">Christophe SERGEANT</t>
  </si>
  <si>
    <t xml:space="preserve">Guillaume CLARENC</t>
  </si>
  <si>
    <t xml:space="preserve">Victor TARROUX</t>
  </si>
  <si>
    <t xml:space="preserve">François FROT</t>
  </si>
  <si>
    <t xml:space="preserve">Marie-Estelle LACHENAL</t>
  </si>
  <si>
    <t xml:space="preserve">Philippe HERBAUT</t>
  </si>
  <si>
    <t xml:space="preserve">Pierre-Jean COSSON</t>
  </si>
  <si>
    <t xml:space="preserve">Aymeric WINTER</t>
  </si>
  <si>
    <t xml:space="preserve">Anne-Sophie JESTIN</t>
  </si>
  <si>
    <t xml:space="preserve">Dominique PFAFF</t>
  </si>
  <si>
    <t xml:space="preserve">Guillaume DELAUNAY</t>
  </si>
  <si>
    <t xml:space="preserve">Nicolas LAMY</t>
  </si>
  <si>
    <t xml:space="preserve">André GOUYER</t>
  </si>
  <si>
    <t xml:space="preserve">Florent KOMAN</t>
  </si>
  <si>
    <t xml:space="preserve">Jordan CONSTANTIN</t>
  </si>
  <si>
    <t xml:space="preserve">François DENEUFBOURG</t>
  </si>
  <si>
    <t xml:space="preserve">Mélanie THOMAS</t>
  </si>
  <si>
    <t xml:space="preserve">Pierre POGGI</t>
  </si>
  <si>
    <t xml:space="preserve">Benoît JOUCK</t>
  </si>
  <si>
    <t xml:space="preserve">Philippe CARRIER</t>
  </si>
  <si>
    <t xml:space="preserve">Philippe FABRE</t>
  </si>
  <si>
    <t xml:space="preserve">VINCENT CASTIGLI</t>
  </si>
  <si>
    <t xml:space="preserve">Frédéric BERTHOME</t>
  </si>
  <si>
    <t xml:space="preserve">Geoffrey MERCHAN</t>
  </si>
  <si>
    <t xml:space="preserve">Julien LANOY</t>
  </si>
  <si>
    <t xml:space="preserve">Romain COLSE AQUILBERTE</t>
  </si>
  <si>
    <t xml:space="preserve">Léonel JEANNEROT</t>
  </si>
  <si>
    <t xml:space="preserve">Estelle BEAUFILS</t>
  </si>
  <si>
    <t xml:space="preserve">François LABORDE</t>
  </si>
  <si>
    <t xml:space="preserve">Raphaël LONGECHAMP</t>
  </si>
  <si>
    <t xml:space="preserve">Denis ATTENCIA</t>
  </si>
  <si>
    <t xml:space="preserve">Anne VUAILLAT</t>
  </si>
  <si>
    <t xml:space="preserve">Patrick HENRY</t>
  </si>
  <si>
    <t xml:space="preserve">Robin DELAROUX</t>
  </si>
  <si>
    <t xml:space="preserve">Bertrand MENEZ</t>
  </si>
  <si>
    <t xml:space="preserve">Quentin LAMIER</t>
  </si>
  <si>
    <t xml:space="preserve">Daniel ROSTAND</t>
  </si>
  <si>
    <t xml:space="preserve">Isabelle LOPPIN</t>
  </si>
  <si>
    <t xml:space="preserve">Eric GAURIOT</t>
  </si>
  <si>
    <t xml:space="preserve">Henri de LAPARRE de SAINT SERNIN</t>
  </si>
  <si>
    <t xml:space="preserve">Flore PRUM-HENNEBICQUE</t>
  </si>
  <si>
    <t xml:space="preserve">Arielle DUCLOS-PORTUGUES</t>
  </si>
  <si>
    <t xml:space="preserve">Francis OFFROY</t>
  </si>
  <si>
    <t xml:space="preserve">Anne BRIANT</t>
  </si>
  <si>
    <t xml:space="preserve">Jérémy CANAL</t>
  </si>
  <si>
    <t xml:space="preserve">Pierre BOETZLE</t>
  </si>
  <si>
    <t xml:space="preserve">Grégory DAVID</t>
  </si>
  <si>
    <t xml:space="preserve">Julien BAILLEUL</t>
  </si>
  <si>
    <t xml:space="preserve">Nathalie DELALOI-DARGENT</t>
  </si>
  <si>
    <t xml:space="preserve">Bruno KERSUAL</t>
  </si>
  <si>
    <t xml:space="preserve">Paul MAISSE</t>
  </si>
  <si>
    <t xml:space="preserve">Yann MAROT</t>
  </si>
  <si>
    <t xml:space="preserve">Alain HOFMAN</t>
  </si>
  <si>
    <t xml:space="preserve">Karine DODELIN</t>
  </si>
  <si>
    <t xml:space="preserve">Jonathan WEICK</t>
  </si>
  <si>
    <t xml:space="preserve">Bruno BOUTGES</t>
  </si>
  <si>
    <t xml:space="preserve">David MAILLARD</t>
  </si>
  <si>
    <t xml:space="preserve">Patrick PLANTIER</t>
  </si>
  <si>
    <t xml:space="preserve">Cédric DEFARS</t>
  </si>
  <si>
    <t xml:space="preserve">Romain GARNIER</t>
  </si>
  <si>
    <t xml:space="preserve">Christophe BARBIER</t>
  </si>
  <si>
    <t xml:space="preserve">Fabien AUSSEL</t>
  </si>
  <si>
    <t xml:space="preserve">Olivier ARNAL</t>
  </si>
  <si>
    <t xml:space="preserve">Philippe FRANTZ</t>
  </si>
  <si>
    <t xml:space="preserve">Jean-Michel SAINT-BLANCAT</t>
  </si>
  <si>
    <t xml:space="preserve">Laurent FONTAINE</t>
  </si>
  <si>
    <t xml:space="preserve">Thibault RUIZ</t>
  </si>
  <si>
    <t xml:space="preserve">Benoît CHARLET</t>
  </si>
  <si>
    <t xml:space="preserve">Paul-Antoine BACCI</t>
  </si>
  <si>
    <t xml:space="preserve">Etienne CRAMPON</t>
  </si>
  <si>
    <t xml:space="preserve">Thierry PRUVOST</t>
  </si>
  <si>
    <t xml:space="preserve">David ESNAULT</t>
  </si>
  <si>
    <t xml:space="preserve">Franck TILLIER</t>
  </si>
  <si>
    <t xml:space="preserve">Pascal LEPREUX</t>
  </si>
  <si>
    <t xml:space="preserve">Hervé VALBON</t>
  </si>
  <si>
    <t xml:space="preserve">Patrick LACREUSE</t>
  </si>
  <si>
    <t xml:space="preserve">Raphaël ROUVIERE</t>
  </si>
  <si>
    <t xml:space="preserve">Daniel AINAMA</t>
  </si>
  <si>
    <t xml:space="preserve">Matthieu MOREL</t>
  </si>
  <si>
    <t xml:space="preserve">Brigitte BERTIN</t>
  </si>
  <si>
    <t xml:space="preserve">Ange-Marie FLAUGNATTI</t>
  </si>
  <si>
    <t xml:space="preserve">MURIEL WINTER</t>
  </si>
  <si>
    <t xml:space="preserve">André LEGRAND</t>
  </si>
  <si>
    <t xml:space="preserve">Julien CARBIENER</t>
  </si>
  <si>
    <t xml:space="preserve">Philippe PELTIER</t>
  </si>
  <si>
    <t xml:space="preserve">Johan JOUET</t>
  </si>
  <si>
    <t xml:space="preserve">Alexis MEUNIER</t>
  </si>
  <si>
    <t xml:space="preserve">Bruno JANKOWSKI</t>
  </si>
  <si>
    <t xml:space="preserve">Fabrice FOUQUERE</t>
  </si>
  <si>
    <t xml:space="preserve">Frédéric CHAUQUET</t>
  </si>
  <si>
    <t xml:space="preserve">Arnaud ALVAREZ</t>
  </si>
  <si>
    <t xml:space="preserve">Geoffrey TOINETTE-SABAY</t>
  </si>
  <si>
    <t xml:space="preserve">Frédéric DUMONT</t>
  </si>
  <si>
    <t xml:space="preserve">Jean-Paul BOGAERT</t>
  </si>
  <si>
    <t xml:space="preserve">Axel CONSTANT</t>
  </si>
  <si>
    <t xml:space="preserve">Christophe BERTHET</t>
  </si>
  <si>
    <t xml:space="preserve">Pierre-Jean ALLO</t>
  </si>
  <si>
    <t xml:space="preserve">Hélène MORNAND</t>
  </si>
  <si>
    <t xml:space="preserve">Thomas CHERRIER</t>
  </si>
  <si>
    <t xml:space="preserve">Sandrine CALCAGNO</t>
  </si>
  <si>
    <t xml:space="preserve">Bogdan GRAND</t>
  </si>
  <si>
    <t xml:space="preserve">Baptiste CUMOURA</t>
  </si>
  <si>
    <t xml:space="preserve">Jérémy VAGNE</t>
  </si>
  <si>
    <t xml:space="preserve">Lionel REY</t>
  </si>
  <si>
    <t xml:space="preserve">Laurent PIETRERA</t>
  </si>
  <si>
    <t xml:space="preserve">Jean-Joseph MARC</t>
  </si>
  <si>
    <t xml:space="preserve">Philippe GENY</t>
  </si>
  <si>
    <t xml:space="preserve">Michel ARRAYET</t>
  </si>
  <si>
    <t xml:space="preserve">Florian CESBRON</t>
  </si>
  <si>
    <t xml:space="preserve">Frédéric BENOIT</t>
  </si>
  <si>
    <t xml:space="preserve">Hugues CESBRON</t>
  </si>
  <si>
    <t xml:space="preserve">Louis CAUDRELIER</t>
  </si>
  <si>
    <t xml:space="preserve">Clément BOUTRY</t>
  </si>
  <si>
    <t xml:space="preserve">Jean-Jacques HAMEL</t>
  </si>
  <si>
    <t xml:space="preserve">Noëline HOARAU-MARTIN</t>
  </si>
  <si>
    <t xml:space="preserve">FRANCK EGESIPE</t>
  </si>
  <si>
    <t xml:space="preserve">Eric COURTOIS</t>
  </si>
  <si>
    <t xml:space="preserve">Antone-Marcellu ACQUAVIVA</t>
  </si>
  <si>
    <t xml:space="preserve">Anthony GRAMMENAND</t>
  </si>
  <si>
    <t xml:space="preserve">Pierre-Louis FONTVIELLE</t>
  </si>
  <si>
    <t xml:space="preserve">Jérémy HOARAU</t>
  </si>
  <si>
    <t xml:space="preserve">Thomas MONSCH</t>
  </si>
  <si>
    <t xml:space="preserve">Jean-Michel FERRY</t>
  </si>
  <si>
    <t xml:space="preserve">Jean-Charles MESENGE</t>
  </si>
  <si>
    <t xml:space="preserve">Alexis ELISABETH</t>
  </si>
  <si>
    <t xml:space="preserve">Mireille VINCENTI</t>
  </si>
  <si>
    <t xml:space="preserve">Hervé TERTRAIS</t>
  </si>
  <si>
    <t xml:space="preserve">Didier GUELLE</t>
  </si>
  <si>
    <t xml:space="preserve">Alexandre FIN</t>
  </si>
  <si>
    <t xml:space="preserve">Phone Number</t>
  </si>
  <si>
    <t xml:space="preserve">Company Name</t>
  </si>
  <si>
    <t xml:space="preserve">LinkedIn Profile</t>
  </si>
  <si>
    <t>Location</t>
  </si>
  <si>
    <t>--</t>
  </si>
  <si>
    <t>Ducatel</t>
  </si>
  <si>
    <t>OCHO</t>
  </si>
  <si>
    <t>vincennes@ochoresto.com</t>
  </si>
  <si>
    <t>insurance</t>
  </si>
  <si>
    <t>http://www.linkedin.com/in/thomas-ducatel-92534790</t>
  </si>
  <si>
    <t>http://www.ocho.co</t>
  </si>
  <si>
    <t xml:space="preserve">756 Lake St, San Francisco, California, United States, 94118-1227</t>
  </si>
  <si>
    <t xml:space="preserve">OCHO: A digital insurance agency offering affordable car insurance with down payments from $0. Flexible, interest-free payments make coverage accessible and stress-free.</t>
  </si>
  <si>
    <t>Suire</t>
  </si>
  <si>
    <t>ilona</t>
  </si>
  <si>
    <t>tsuire@ilona.fr</t>
  </si>
  <si>
    <t>http://www.linkedin.com/in/thibaultsuire</t>
  </si>
  <si>
    <t>http://www.ilona.fr</t>
  </si>
  <si>
    <t xml:space="preserve">Ilona, c’est LE grossiste Santé &amp; Prévoyance spécialiste des TNS &amp; Collectives qui vous fait gagner du temps !</t>
  </si>
  <si>
    <t>Poilpre</t>
  </si>
  <si>
    <t xml:space="preserve">Cardinal Patrimoine</t>
  </si>
  <si>
    <t>jpoilpre@cardinalpatrimoine.fr</t>
  </si>
  <si>
    <t>http://www.linkedin.com/in/poilpre</t>
  </si>
  <si>
    <t>http://www.cardinalpatrimoine.fr</t>
  </si>
  <si>
    <t>Gicquel</t>
  </si>
  <si>
    <t>Verifimmo</t>
  </si>
  <si>
    <t>j.gicquel@verifimmo.com</t>
  </si>
  <si>
    <t>http://www.linkedin.com/in/julie-gicquel44</t>
  </si>
  <si>
    <t>http://www.verifimmo.com</t>
  </si>
  <si>
    <t>Saint-Andre-des-Eaux</t>
  </si>
  <si>
    <t xml:space="preserve">8 Rue du Milan Noir, Guerande, Pays de la Loire, France, 44350</t>
  </si>
  <si>
    <t xml:space="preserve">Verifimmo vous accompagne dans la sécurisation des projets de construction et de rénovation de maisons individuelles.</t>
  </si>
  <si>
    <t>Marini</t>
  </si>
  <si>
    <t xml:space="preserve">Unalis Mutuelles</t>
  </si>
  <si>
    <t>pierre.marini@unalismutuelles.fr</t>
  </si>
  <si>
    <t>http://www.linkedin.com/in/pierre-marini-a1136631</t>
  </si>
  <si>
    <t>http://www.coachenio.com</t>
  </si>
  <si>
    <t>Sixtine</t>
  </si>
  <si>
    <t xml:space="preserve">COO - Co-fondatrice</t>
  </si>
  <si>
    <t xml:space="preserve">Lola Health</t>
  </si>
  <si>
    <t>sixtine@lolahealth.fr</t>
  </si>
  <si>
    <t>http://www.linkedin.com/in/sixtine-deslandes</t>
  </si>
  <si>
    <t>http://www.lolahealth.fr</t>
  </si>
  <si>
    <t xml:space="preserve">Lola Health, la complémentaire santé d'entreprise conçue pour mieux prendre en charge la santé mentale, les spécificités féminines et le bien-être.</t>
  </si>
  <si>
    <t>Dussaulx</t>
  </si>
  <si>
    <t>CEA</t>
  </si>
  <si>
    <t>francois-xavierdussaulx@ascco-international.fr</t>
  </si>
  <si>
    <t>http://www.linkedin.com/in/fran%c3%a7ois-xavier-dussaulx-16a067277</t>
  </si>
  <si>
    <t>http://www.cea-assurances.fr</t>
  </si>
  <si>
    <t xml:space="preserve">11 Rue de Rochechouart, Paris, Ile-de-France, France, 75009</t>
  </si>
  <si>
    <t xml:space="preserve">Courtier en assurances construction professionnels - Des professionnels de l’assurance au service des professionnels de la construction.</t>
  </si>
  <si>
    <t>Labalette</t>
  </si>
  <si>
    <t xml:space="preserve">JP LABALETTE</t>
  </si>
  <si>
    <t>eric.labalette@labalette.fr</t>
  </si>
  <si>
    <t>http://www.linkedin.com/in/eric-labalette-6a7a99204</t>
  </si>
  <si>
    <t>http://www.jplabalette.com</t>
  </si>
  <si>
    <t>Scemama</t>
  </si>
  <si>
    <t>Secursus</t>
  </si>
  <si>
    <t>valentin@secursus.com</t>
  </si>
  <si>
    <t>http://www.linkedin.com/in/valentin-scemama-351aa616b</t>
  </si>
  <si>
    <t>http://www.figural.com</t>
  </si>
  <si>
    <t xml:space="preserve">86 Boulevard Maurice Barres, Neuilly-sur-Seine, Ile-de-France, France, 92200</t>
  </si>
  <si>
    <t xml:space="preserve">Figural designs and distributes technological and innovative transport insurance solutions for businesses.</t>
  </si>
  <si>
    <t>Proux</t>
  </si>
  <si>
    <t xml:space="preserve">CEO / Founder of Coverfield</t>
  </si>
  <si>
    <t>Coverfield</t>
  </si>
  <si>
    <t>aymeric.proux@coverfield.fr</t>
  </si>
  <si>
    <t>http://www.linkedin.com/in/aproux</t>
  </si>
  <si>
    <t>http://www.coverfield.es</t>
  </si>
  <si>
    <t xml:space="preserve">Madrid, Community of Madrid, Spain</t>
  </si>
  <si>
    <t>Boudalia</t>
  </si>
  <si>
    <t xml:space="preserve">reaa consulting</t>
  </si>
  <si>
    <t>a.boudalia@network-corporate.fr</t>
  </si>
  <si>
    <t>http://www.linkedin.com/in/ahmed-boudalia-09599515a</t>
  </si>
  <si>
    <t>http://www.reaa-consulting.fr</t>
  </si>
  <si>
    <t>Banie</t>
  </si>
  <si>
    <t>Yawo</t>
  </si>
  <si>
    <t>INNOCOURTAGE</t>
  </si>
  <si>
    <t>banie.yawo@innocall.fr</t>
  </si>
  <si>
    <t>http://www.linkedin.com/in/banie-yawo-86b03a128</t>
  </si>
  <si>
    <t>http://www.innocourtage.fr</t>
  </si>
  <si>
    <t xml:space="preserve">75 Boulevard Alexandre Oyon, Le Mans, Pays de la Loire, France, 72100</t>
  </si>
  <si>
    <t xml:space="preserve">Assurances Coste-Fermon</t>
  </si>
  <si>
    <t>mcoste@coste-fermon.fr</t>
  </si>
  <si>
    <t>http://www.linkedin.com/in/maxime-coste-b883a516</t>
  </si>
  <si>
    <t>http://www.coste-fermon.fr</t>
  </si>
  <si>
    <t xml:space="preserve">28 Rue Lucien Duffuler, Dunkirk, Hauts-de-France, France, 59140</t>
  </si>
  <si>
    <t xml:space="preserve">Description ici</t>
  </si>
  <si>
    <t>Villeneuve</t>
  </si>
  <si>
    <t xml:space="preserve">Chevreuse Courtage</t>
  </si>
  <si>
    <t>evrard.devilleneuve@chevreuse-courtage.com</t>
  </si>
  <si>
    <t>http://www.linkedin.com/in/evrard-de-villeneuve-b1a97a4a</t>
  </si>
  <si>
    <t>http://www.chevreuse-courtage.com</t>
  </si>
  <si>
    <t xml:space="preserve">44 Rue de Lisbonne, Paris, Ile-de-France, France, 75008</t>
  </si>
  <si>
    <t xml:space="preserve">Assurance construction, Epargne entreprise et Protection sociale. Chevreuse Courtage est un cabinet de conseil indépendant en assurance professionnelle</t>
  </si>
  <si>
    <t>Caprai</t>
  </si>
  <si>
    <t xml:space="preserve">Co-fondateur CnC Expertise</t>
  </si>
  <si>
    <t xml:space="preserve">CnC Expertise</t>
  </si>
  <si>
    <t>adrien@cnc-expertise.com</t>
  </si>
  <si>
    <t>http://www.linkedin.com/in/adrien-caprai-8b491233</t>
  </si>
  <si>
    <t>http://www.cnc-expertise.com</t>
  </si>
  <si>
    <t xml:space="preserve">255 Rue Saint-Honore, Paris, Ile-de-France, France, 75001</t>
  </si>
  <si>
    <t>Erwin</t>
  </si>
  <si>
    <t>erwin.labalette@labalette.fr</t>
  </si>
  <si>
    <t>http://www.linkedin.com/in/erwin-labalette-0b0793b5</t>
  </si>
  <si>
    <t>Wiam</t>
  </si>
  <si>
    <t>Bendrif</t>
  </si>
  <si>
    <t xml:space="preserve">DIRECTRICE GÉNÉRALE ADJOINTE</t>
  </si>
  <si>
    <t xml:space="preserve">CALIPSO ASSURANCES</t>
  </si>
  <si>
    <t>wiam.bendrif@calipso-assurances.fr</t>
  </si>
  <si>
    <t>http://www.linkedin.com/in/wiam-bendrif-1508b8196</t>
  </si>
  <si>
    <t>http://www.calipso-assurances.fr</t>
  </si>
  <si>
    <t>Lachieze-Rey</t>
  </si>
  <si>
    <t>SOMEC</t>
  </si>
  <si>
    <t>direction@somec.fr</t>
  </si>
  <si>
    <t>http://www.linkedin.com/in/david-lachi%c3%a8ze-rey-56119817b</t>
  </si>
  <si>
    <t>http://www.somec.fr</t>
  </si>
  <si>
    <t>Gelot</t>
  </si>
  <si>
    <t>Coverd</t>
  </si>
  <si>
    <t>julien.gelot@coverd.co</t>
  </si>
  <si>
    <t>http://www.linkedin.com/in/juliengelot</t>
  </si>
  <si>
    <t>http://www.coverd.co</t>
  </si>
  <si>
    <t xml:space="preserve">130 Avenue Mozart, Paris, Ile-de-France, France, 75016</t>
  </si>
  <si>
    <t xml:space="preserve">Protection casse, oxydation, vol, RC - 100% en ligne - Appareils acceptés neufs et reconditionnés - Dès 2,90€ / mois</t>
  </si>
  <si>
    <t>Chemouni</t>
  </si>
  <si>
    <t xml:space="preserve">Founder &amp; CEO - Financial Risk / Private Equity &amp; Asset Management / Growth Companies</t>
  </si>
  <si>
    <t xml:space="preserve">Initiative &amp; Risk</t>
  </si>
  <si>
    <t>f.chemouni@initiative-risk.com</t>
  </si>
  <si>
    <t>http://www.linkedin.com/in/fr%c3%a9d%c3%a9rick-chemouni-43089678</t>
  </si>
  <si>
    <t>http://www.initiative-risk.com</t>
  </si>
  <si>
    <t xml:space="preserve">45 Avenue Charles de Gaulle, Neuilly-sur-Seine, Ile-de-France, France, 92200</t>
  </si>
  <si>
    <t xml:space="preserve">Expert in complex corporate and investment companies liability risks</t>
  </si>
  <si>
    <t>Krief</t>
  </si>
  <si>
    <t xml:space="preserve">Cofounder &amp; CEO at Kozoo</t>
  </si>
  <si>
    <t>kozoo</t>
  </si>
  <si>
    <t>alexandre@kozoo.eu</t>
  </si>
  <si>
    <t>http://www.linkedin.com/in/alexandrekrief</t>
  </si>
  <si>
    <t>http://www.kozoo.eu</t>
  </si>
  <si>
    <t xml:space="preserve">10 Rue Jean Perrin, La Rochelle, Poitou-Charentes, France, 17000</t>
  </si>
  <si>
    <t xml:space="preserve">kozoo, c'est l'assurance santé animaux pour chien et chat 100% digitale qui rembourse vos frais vétérinaires en 48h sans franchise.</t>
  </si>
  <si>
    <t>Derivery</t>
  </si>
  <si>
    <t xml:space="preserve">Pety Mutuelle Chiens et Chats</t>
  </si>
  <si>
    <t>guillaume@pety.fr</t>
  </si>
  <si>
    <t>http://www.linkedin.com/in/guillaume-derivery-07794154</t>
  </si>
  <si>
    <t>http://www.pety.fr</t>
  </si>
  <si>
    <t xml:space="preserve">Louveciennes, Ile-de-France, France, 78430</t>
  </si>
  <si>
    <t xml:space="preserve">La mutuelle chien et chat à partir de 9€ qui vous rembourse en 48h . Les frais de vétérinaires sont remboursés jusqu’à 5000€ et en 48h.</t>
  </si>
  <si>
    <t>Fruchard</t>
  </si>
  <si>
    <t xml:space="preserve">Co-fondateur (nous recrutons)</t>
  </si>
  <si>
    <t>Coover</t>
  </si>
  <si>
    <t>pierre@coover.fr</t>
  </si>
  <si>
    <t>http://www.linkedin.com/in/pierrefruchard</t>
  </si>
  <si>
    <t>http://www.coover.fr</t>
  </si>
  <si>
    <t xml:space="preserve">Comparez les devis d'assurances pour professionnels. Les prix les plus bas et les meilleures garanties. Conseils d'experts !</t>
  </si>
  <si>
    <t>Valmont</t>
  </si>
  <si>
    <t xml:space="preserve">Cofondateur et Directeur de l'offre de service et de l'accompagnement chez BABYSAFE SOLUTIONS</t>
  </si>
  <si>
    <t xml:space="preserve">BABYSAFE SOLUTIONS</t>
  </si>
  <si>
    <t>denis.de-valmont@babysafe.solutions</t>
  </si>
  <si>
    <t>http://www.linkedin.com/in/denis-de-valmont-babysafe</t>
  </si>
  <si>
    <t>http://www.babysafe.solutions</t>
  </si>
  <si>
    <t xml:space="preserve">60 Avenue Rockefeller, Lyon, Auvergne-Rhone-Alpes, France, 69008</t>
  </si>
  <si>
    <t xml:space="preserve">CEO-COO &amp; Co-founder</t>
  </si>
  <si>
    <t>Gedeon</t>
  </si>
  <si>
    <t>julien@gedeon.io</t>
  </si>
  <si>
    <t>http://www.linkedin.com/in/julien-jacquemin-25684813</t>
  </si>
  <si>
    <t>http://www.gedeon.io</t>
  </si>
  <si>
    <t xml:space="preserve">RH ou dirigeant ? Découvrez un PER entreprise unique et engagé. Simplifiez vos tâches administratives. Réenchantez la retraite de vos salariés.</t>
  </si>
  <si>
    <t>Tramoni</t>
  </si>
  <si>
    <t xml:space="preserve">CTO et co-fondateur</t>
  </si>
  <si>
    <t xml:space="preserve">Lya Protect</t>
  </si>
  <si>
    <t>amaury.tramoni@lyaprotect.com</t>
  </si>
  <si>
    <t>http://www.linkedin.com/in/amaury-tramoni-218a55149</t>
  </si>
  <si>
    <t>http://www.lyaprotect.com</t>
  </si>
  <si>
    <t xml:space="preserve">13 Avenue du Bataillon-Carmagnole-Liberte, Vaulx-en-Velin, Auvergne-Rhone-Alpes, France, 69120</t>
  </si>
  <si>
    <t xml:space="preserve">Découvrez les solutions de Lya Protect destinées aux distributeurs de produits d'assurances : CRM, parcours de ventes, outils d'aide à la conformité et IA.</t>
  </si>
  <si>
    <t>Peyre</t>
  </si>
  <si>
    <t>NOVACOVER</t>
  </si>
  <si>
    <t>loic.peyre@novacover.fr</t>
  </si>
  <si>
    <t>http://www.linkedin.com/in/loicpeyre</t>
  </si>
  <si>
    <t>http://www.novacover.fr</t>
  </si>
  <si>
    <t xml:space="preserve">Dédiée au courtage régional et spécialisé, experte dans le dommage aux biens. Une alternative aux offres d'assurances standardisées et généralistes.</t>
  </si>
  <si>
    <t>Ethan</t>
  </si>
  <si>
    <t xml:space="preserve">Cesar Patrimoine</t>
  </si>
  <si>
    <t>e.dahan@cesarpatrimoine.com</t>
  </si>
  <si>
    <t>http://www.linkedin.com/in/ethan-dahan-a68924158</t>
  </si>
  <si>
    <t>http://www.cesarpatrimoine.com</t>
  </si>
  <si>
    <t xml:space="preserve">29 Rue Custine, Paris, Ile-de-France, France, 75018</t>
  </si>
  <si>
    <t xml:space="preserve">Découvrez nos solutions personnalisées : mutuelle de santé, prévoyance, assurance vie, plan d'épargne retraite, adaptées à vos besoins.</t>
  </si>
  <si>
    <t>Cedrik</t>
  </si>
  <si>
    <t>Valite</t>
  </si>
  <si>
    <t xml:space="preserve">President Co-fondateur</t>
  </si>
  <si>
    <t xml:space="preserve">Vivons Courtier</t>
  </si>
  <si>
    <t>cedrik.valite@vivonscourtier.com</t>
  </si>
  <si>
    <t>banking</t>
  </si>
  <si>
    <t>http://www.linkedin.com/in/valite-cedrik-a5480b91</t>
  </si>
  <si>
    <t>http://www.vivonscourtier.com</t>
  </si>
  <si>
    <t xml:space="preserve">Saint-Medard-en-Jalles, Nouvelle-Aquitaine, France, 33160</t>
  </si>
  <si>
    <t>MCCI</t>
  </si>
  <si>
    <t>k.guedj@mcci.fr</t>
  </si>
  <si>
    <t>http://www.linkedin.com/in/karine-guedj-16291a94</t>
  </si>
  <si>
    <t>http://www.mcci.fr</t>
  </si>
  <si>
    <t xml:space="preserve">26 Rue Fortuny, Paris, Ile-de-France, France, 75017</t>
  </si>
  <si>
    <t xml:space="preserve">La vocation de la MCCI : proposer la couverture et les services les plus adaptés aux indépendants, entreprises et particuliers.</t>
  </si>
  <si>
    <t>Cerutti</t>
  </si>
  <si>
    <t xml:space="preserve">GROUPE CERUTTI EXPERTS</t>
  </si>
  <si>
    <t>l.cerutti@ceruttiexperts.com</t>
  </si>
  <si>
    <t>http://www.linkedin.com/in/ludovic-cerutti-b1b83998</t>
  </si>
  <si>
    <t>http://www.groupe-cerutti-experts.com</t>
  </si>
  <si>
    <t xml:space="preserve">26 Avenue Emile Augier, La Celle-Saint-Cloud, Ile-de-France, France, 78170</t>
  </si>
  <si>
    <t xml:space="preserve">Experts &amp; Expertises Assurance : Recherche Technique, Etude Responsabilité, Evaluation - Construction, RC, Risques industriels, Domages aux biens, Transport</t>
  </si>
  <si>
    <t>Coutal</t>
  </si>
  <si>
    <t xml:space="preserve">Fondateur / CEO Founder</t>
  </si>
  <si>
    <t>ASSURHELIUM</t>
  </si>
  <si>
    <t>anthony@assurhelium.com</t>
  </si>
  <si>
    <t>http://www.linkedin.com/in/anthony-coutal-%f0%9f%9f%a8%f0%9f%9f%a7%f0%9f%9f%a9%f0%9f%9f%a6-36591210a</t>
  </si>
  <si>
    <t>http://www.assurhelium.com</t>
  </si>
  <si>
    <t xml:space="preserve">18 Rue Imbert Colomes, Lyon, Auvergne-Rhone-Alpes, France, 69001</t>
  </si>
  <si>
    <t xml:space="preserve">Assurhelium, le courtier nouvelle génération pour les entreprises et leurs dirigeants.</t>
  </si>
  <si>
    <t>Actense</t>
  </si>
  <si>
    <t>franck.duclos@actense.fr</t>
  </si>
  <si>
    <t>http://www.linkedin.com/in/franck-duclos-738bab141</t>
  </si>
  <si>
    <t>http://www.actense.fr</t>
  </si>
  <si>
    <t xml:space="preserve">42 Avenue de la Grande Armee, Paris, Ile-de-France, France, 75017</t>
  </si>
  <si>
    <t xml:space="preserve">Actense est un cabinet de conseil en protection sociale et actuariat qui accompagne les entreprises dans la mise en place et le pilotage de leurs régimes.</t>
  </si>
  <si>
    <t>Gigliotti</t>
  </si>
  <si>
    <t xml:space="preserve">Mutuelle Nationale des Fonctionnaires des Collectivités Territoriales</t>
  </si>
  <si>
    <t>felix.gigliotti@mnfct.fr</t>
  </si>
  <si>
    <t>http://www.linkedin.com/in/f%c3%a9lix-gigliotti-a146611a4</t>
  </si>
  <si>
    <t>http://www.mnfct-mutuelle-sante.fr</t>
  </si>
  <si>
    <t xml:space="preserve">3 Rue Franklin, Montreuil, Ile-de-France, France, 93100</t>
  </si>
  <si>
    <t xml:space="preserve">90 ans au service de celles et ceux qui font vivre le service public local.
Santé - Prévoyance - Maintien de salaire - Conseil - Prévention</t>
  </si>
  <si>
    <t>Villele</t>
  </si>
  <si>
    <t xml:space="preserve">AMPLI Mutuelle</t>
  </si>
  <si>
    <t>j.devillele@ampli.fr</t>
  </si>
  <si>
    <t>http://www.linkedin.com/in/j%c3%a9r%c3%b4me-de-vill%c3%a8le-682985a8</t>
  </si>
  <si>
    <t>http://www.ampli.fr</t>
  </si>
  <si>
    <t xml:space="preserve">27 Boulevard Berthier, Paris, Ile-de-France, France, 75017</t>
  </si>
  <si>
    <t xml:space="preserve">Depuis 1968, la Mutuelle AMPLI est le spécialiste de la santé, prévoyance, épargne et  retraite des professions libérales et indépendantes.</t>
  </si>
  <si>
    <t>Chastang</t>
  </si>
  <si>
    <t xml:space="preserve">Pelican Assurances</t>
  </si>
  <si>
    <t>c.chastang@pelican-assurances.fr</t>
  </si>
  <si>
    <t>http://www.linkedin.com/in/charles-chastang-b7440766</t>
  </si>
  <si>
    <t>http://www.pellican-assurances.fr</t>
  </si>
  <si>
    <t xml:space="preserve">279 Boulevard Voltaire, Paris, Ile-de-France, France, 75011</t>
  </si>
  <si>
    <t>Givet</t>
  </si>
  <si>
    <t xml:space="preserve">Directeur Général ACTIL</t>
  </si>
  <si>
    <t>ACTIL</t>
  </si>
  <si>
    <t>olivier.givet@apicil.com</t>
  </si>
  <si>
    <t>http://www.linkedin.com/in/olivier-givet-1088323</t>
  </si>
  <si>
    <t>http://www.actil.com</t>
  </si>
  <si>
    <t xml:space="preserve">22 Rue Felix Mangini, Lyon, Auvergne-Rhone-Alpes, France, 69009</t>
  </si>
  <si>
    <t>Vikas</t>
  </si>
  <si>
    <t>Chhariya</t>
  </si>
  <si>
    <t>Indeez</t>
  </si>
  <si>
    <t>vikas@indeez.eu</t>
  </si>
  <si>
    <t>http://www.linkedin.com/in/vikaschhariya</t>
  </si>
  <si>
    <t>http://www.indeez.eu</t>
  </si>
  <si>
    <t xml:space="preserve">19 Rue du Rocher, Paris, Ile-de-France, France, 75008</t>
  </si>
  <si>
    <t xml:space="preserve">Inclusive and sustainable insurance benefits</t>
  </si>
  <si>
    <t>Pastorelli</t>
  </si>
  <si>
    <t>Continuity</t>
  </si>
  <si>
    <t>benoit.pastorelli@continuity-tech.ai</t>
  </si>
  <si>
    <t>http://www.linkedin.com/in/benoitpastorelli</t>
  </si>
  <si>
    <t>http://www.continuity-tech.ai</t>
  </si>
  <si>
    <t xml:space="preserve">48 Rue de Paradis, Paris, Ile-de-France, France, 75010</t>
  </si>
  <si>
    <t xml:space="preserve">Continuity simplifie le processus de souscription en centralisant l’ensemble des données nécessaires à une évaluation précise et accélérée des risques.</t>
  </si>
  <si>
    <t>Marinot</t>
  </si>
  <si>
    <t xml:space="preserve">Co-Gérant Fondateur</t>
  </si>
  <si>
    <t xml:space="preserve">J&amp;G Conseil</t>
  </si>
  <si>
    <t>julien.marinot@jg-conseil.com</t>
  </si>
  <si>
    <t>http://www.linkedin.com/in/julien-marinot-3a112269</t>
  </si>
  <si>
    <t>http://www.jg-conseil.com</t>
  </si>
  <si>
    <t xml:space="preserve">5 Avenue de Paris, Vincennes, Ile-de-France, France, 94300</t>
  </si>
  <si>
    <t xml:space="preserve">Adoptez les bons réflexes ! Optez pour un conseil de qualité avec J&amp;G Conseil La gestion de patrimoine n'est pas réservée aux grandes fortunes ! El ...</t>
  </si>
  <si>
    <t>wellcov</t>
  </si>
  <si>
    <t>ageoffroy@wellcov.com</t>
  </si>
  <si>
    <t>http://www.linkedin.com/in/arnaud-geoffroy-4908b6</t>
  </si>
  <si>
    <t>http://www.wellcov.com</t>
  </si>
  <si>
    <t xml:space="preserve">AVA Assurance Voyages &amp; Assistance</t>
  </si>
  <si>
    <t>alexandre.cordier@ava.fr</t>
  </si>
  <si>
    <t>http://www.linkedin.com/in/alexandre-cordier-4920048</t>
  </si>
  <si>
    <t>http://www.ava.fr</t>
  </si>
  <si>
    <t xml:space="preserve">25 Rue de Maubeuge, Paris, Ile-de-France, France, 75009</t>
  </si>
  <si>
    <t xml:space="preserve">Assurance Voyage Assistance (AVA) vous propose une large gamme de solutions pour mieux voyager. Assurance voyage pour un court séjour, un long séjour, pour les étudiants, les professionnels, les groupes... Découvrez en 3 clics l'assurance la plus adaptée ! Devis et souscription en ligne !</t>
  </si>
  <si>
    <t>Herrscher</t>
  </si>
  <si>
    <t xml:space="preserve">NUOMA Mutual</t>
  </si>
  <si>
    <t>severine.herrscher@nuoma-mutuelle.fr</t>
  </si>
  <si>
    <t>http://www.linkedin.com/in/severine-herrscher-445239103</t>
  </si>
  <si>
    <t>http://www.nuoma-mutuelle.fr</t>
  </si>
  <si>
    <t xml:space="preserve">110 Boulevard de la Salle, Boigny-sur-Bionne, Centre-Val de Loire, France, 45760</t>
  </si>
  <si>
    <t xml:space="preserve">NUOMA est une vraie mutuelle : dirigée par des administrateurs bénévoles à but non lucratif et avec une véritable gouvernance démocratique.
Ses frais de gestion sont parmi les plus bas du marché. Grâce à eux nous pouvons vous proposer une gamme de complémentaires santé pour tous les budgets.</t>
  </si>
  <si>
    <t>Hami</t>
  </si>
  <si>
    <t xml:space="preserve">President,CEO Tutassûr</t>
  </si>
  <si>
    <t>Tutassûr</t>
  </si>
  <si>
    <t>s.hami@tutassur.fr</t>
  </si>
  <si>
    <t>http://www.linkedin.com/in/sami-hami-637bb3216</t>
  </si>
  <si>
    <t>http://www.tutassur.fr</t>
  </si>
  <si>
    <t xml:space="preserve">4 Boulevard Gambetta, Grenoble, Auvergne-Rhone-Alpes, France, 38000</t>
  </si>
  <si>
    <t>Abisset</t>
  </si>
  <si>
    <t xml:space="preserve">Conseiller Indépendant en Solutions Patrimoniales (Défiscalisation, Epargne, Financement,...) CEO -</t>
  </si>
  <si>
    <t xml:space="preserve">AE Patrimoine</t>
  </si>
  <si>
    <t>eabisset@aepatrimoine.com</t>
  </si>
  <si>
    <t>http://www.linkedin.com/in/eric-abisset-35619a2a</t>
  </si>
  <si>
    <t>http://www.aepatrimoine.com</t>
  </si>
  <si>
    <t xml:space="preserve">Place de l'Hotel de Ville, Annecy, Auvergne-Rhone-Alpes, France, 74000</t>
  </si>
  <si>
    <t xml:space="preserve">AE Patrimoine est un cabinet indépendant de conseils en patrimoine basé à Annecy. Nous vous accompagnons dans tous vos projets patrimoniaux : Epargne, Financements, Défiscalisation (Pinel, LMNP, Malraux), Immobilier neuf, Retraite, Prévoyance... tant pour les particuliers que pour les professionnels</t>
  </si>
  <si>
    <t>Casen</t>
  </si>
  <si>
    <t xml:space="preserve">Albatross Consulting</t>
  </si>
  <si>
    <t>ycasen@albatross-consulting.com</t>
  </si>
  <si>
    <t>http://www.linkedin.com/in/yann-casen-albatross</t>
  </si>
  <si>
    <t>http://www.albatross-consulting.com</t>
  </si>
  <si>
    <t xml:space="preserve">1 Rue Therese, Paris, Ile-de-France, France, 75001</t>
  </si>
  <si>
    <t xml:space="preserve">Spécialiste de l’optimisation et la rationalisation de vos flux logistiques. Intégrez les services d’un commissionnaire 2.0. Shipping is a breeze.</t>
  </si>
  <si>
    <t>Gueguen</t>
  </si>
  <si>
    <t>Aestime</t>
  </si>
  <si>
    <t>jean@aestime.fr</t>
  </si>
  <si>
    <t>http://www.linkedin.com/in/jean-gueguen-0a6488130</t>
  </si>
  <si>
    <t>http://www.aestime.fr</t>
  </si>
  <si>
    <t xml:space="preserve">12 Rue du Rocher, Paris, Ile-de-France, France, 75008</t>
  </si>
  <si>
    <t>Neil</t>
  </si>
  <si>
    <t>Naudey</t>
  </si>
  <si>
    <t xml:space="preserve">Associé Fondateur - Expert financier et patrimonial &amp; Animateur réseau</t>
  </si>
  <si>
    <t xml:space="preserve">TRICEPS CONSEILS</t>
  </si>
  <si>
    <t>n.naudey@triceps.fr</t>
  </si>
  <si>
    <t>http://www.linkedin.com/in/neil-naudey-300a64151</t>
  </si>
  <si>
    <t>http://www.triceps.fr</t>
  </si>
  <si>
    <t xml:space="preserve">26 Avenue Leon Blum, Brive-la-Gaillarde, Limousin, France, 19100</t>
  </si>
  <si>
    <t xml:space="preserve">Triceps est une agence de conseil en courtage à 360. Nous étudions votre protection sociale, votre stratégie patrimoniale ou finance et vos assurances dommages et multirisques Pros.</t>
  </si>
  <si>
    <t>Repetto</t>
  </si>
  <si>
    <t xml:space="preserve">Président - Co fondateur</t>
  </si>
  <si>
    <t xml:space="preserve">IZEHO le e-grossiste audacieux</t>
  </si>
  <si>
    <t>p.repetto@izeho.com</t>
  </si>
  <si>
    <t>http://www.linkedin.com/in/patrick-repetto-729a6510</t>
  </si>
  <si>
    <t>http://www.izeho.com</t>
  </si>
  <si>
    <t xml:space="preserve">470 Route du Tilleul, Cailloux-sur-Fontaines, Rhone-Alpes, France, 69270</t>
  </si>
  <si>
    <t xml:space="preserve">Le grossiste audacieux</t>
  </si>
  <si>
    <t>Fetiveau</t>
  </si>
  <si>
    <t>Dedomainia</t>
  </si>
  <si>
    <t>cedric.fetiveau@dedomainia.com</t>
  </si>
  <si>
    <t>http://www.linkedin.com/in/cedric-fetiveau-b267627</t>
  </si>
  <si>
    <t>http://www.dedomainia.co.uk</t>
  </si>
  <si>
    <t xml:space="preserve">137 Boulevard du President Wilson, Bordeaux, Nouvelle-Aquitaine, France, 33200</t>
  </si>
  <si>
    <t xml:space="preserve">Longevity operations are hard, we make it easy. 
Dedomainia is an insurtech company offering an eco-system solutions to facilitate longevity operations and longevity swap between all stakeholders.</t>
  </si>
  <si>
    <t>Lusson</t>
  </si>
  <si>
    <t xml:space="preserve">Actuaire Associé &amp; Président, fondateur</t>
  </si>
  <si>
    <t>francois.lusson@actense.fr</t>
  </si>
  <si>
    <t>http://www.linkedin.com/in/fran%c3%a7ois-lusson-06852b2a</t>
  </si>
  <si>
    <t>Durquety</t>
  </si>
  <si>
    <t xml:space="preserve">Sequantis Invest</t>
  </si>
  <si>
    <t>odurquety@sequantis.com</t>
  </si>
  <si>
    <t>http://www.linkedin.com/in/olivier-durquety-3345a2</t>
  </si>
  <si>
    <t>http://www.sequantis.com</t>
  </si>
  <si>
    <t xml:space="preserve">30 Rue des Mathurins, Paris, Ile-de-France, France, 75008</t>
  </si>
  <si>
    <t>Feydeau</t>
  </si>
  <si>
    <t>Réassurez-moi</t>
  </si>
  <si>
    <t>edouard@reassurez-moi.fr</t>
  </si>
  <si>
    <t>http://www.linkedin.com/in/edouard-de-feydeau-44a10948</t>
  </si>
  <si>
    <t>http://www.reassurez-moi.fr</t>
  </si>
  <si>
    <t xml:space="preserve">20 Rue Dauphine, Paris, Ile-de-France, France, 75006</t>
  </si>
  <si>
    <t xml:space="preserve">Emprunteur, Santé, Voyage, Immo, Décès, Expat, Prévoyance. Obtenez des devis et économisez. Service 100 % gratuit, le mieux noté du marché.</t>
  </si>
  <si>
    <t>Labro</t>
  </si>
  <si>
    <t>AGEMI</t>
  </si>
  <si>
    <t>nicolaslabro@agemi.net</t>
  </si>
  <si>
    <t>http://www.linkedin.com/in/nicolas-labro-600b6b31</t>
  </si>
  <si>
    <t>http://www.agemi.net</t>
  </si>
  <si>
    <t xml:space="preserve">Poe-ma insurances</t>
  </si>
  <si>
    <t>edouard.g@poe-ma.com</t>
  </si>
  <si>
    <t>http://www.linkedin.com/in/edouard-george-a7644417</t>
  </si>
  <si>
    <t>http://www.poe-ma.com</t>
  </si>
  <si>
    <t>Guer</t>
  </si>
  <si>
    <t xml:space="preserve">18 Rue Pasquier, Paris, Ile-de-France, France, 75008</t>
  </si>
  <si>
    <t>Lannou</t>
  </si>
  <si>
    <t>Mudetaf</t>
  </si>
  <si>
    <t>a.lannou@mudetaf.fr</t>
  </si>
  <si>
    <t>http://www.linkedin.com/in/alain-lannou-4076b5b5</t>
  </si>
  <si>
    <t>http://www.mudetaf.com</t>
  </si>
  <si>
    <t xml:space="preserve">23 Rue Chaptal, Paris, Ile-de-France, France, 75009</t>
  </si>
  <si>
    <t xml:space="preserve">Assureur mutualiste indépendant des buralistes &amp; CHR : multirisque pro, habitation, local pro, santé, prévoyance, collective, épargne, retraite, automobile</t>
  </si>
  <si>
    <t>Berjon</t>
  </si>
  <si>
    <t xml:space="preserve">Mutual General Distribution Company</t>
  </si>
  <si>
    <t>aberjon@lamgd.com</t>
  </si>
  <si>
    <t>http://www.linkedin.com/in/arnaud-berjon-267a4752</t>
  </si>
  <si>
    <t>http://www.lamgd.com</t>
  </si>
  <si>
    <t xml:space="preserve">3 Rue des Mathurins, Paris, Ile-de-France, France, 75009</t>
  </si>
  <si>
    <t>Franklin</t>
  </si>
  <si>
    <t>Guinier</t>
  </si>
  <si>
    <t>Bicytrust</t>
  </si>
  <si>
    <t>fguinier@bicytrust.fr</t>
  </si>
  <si>
    <t>http://www.linkedin.com/in/franklin-guinier</t>
  </si>
  <si>
    <t>http://www.bicytrust.fr</t>
  </si>
  <si>
    <t xml:space="preserve">7 Place Rene Clair, Boulogne-Billancourt, Ile-de-France, France, 92100</t>
  </si>
  <si>
    <t xml:space="preserve">Bicytrust est la meilleure solution pour couvrir votre vélo en cas de vol ou de casse. Découvrez le partenaire de confiance pour votre vélo !</t>
  </si>
  <si>
    <t>EUGEN</t>
  </si>
  <si>
    <t>vincent@eugen-international.com</t>
  </si>
  <si>
    <t>http://www.linkedin.com/in/vincent-de-meyer-16055b4</t>
  </si>
  <si>
    <t>http://www.eugen-international.com</t>
  </si>
  <si>
    <t xml:space="preserve">75 Rue de Seze, Lyon, Auvergne-Rhone-Alpes, France, 69006</t>
  </si>
  <si>
    <t xml:space="preserve">Eugen propose des solutions d’assurance santé spécialement pensées pour les français qui résident à l’étranger.</t>
  </si>
  <si>
    <t>Palais</t>
  </si>
  <si>
    <t xml:space="preserve">CAREX FRANCE</t>
  </si>
  <si>
    <t>pp@carexfrance.com</t>
  </si>
  <si>
    <t>http://www.linkedin.com/in/pierre-palais-1450a817b</t>
  </si>
  <si>
    <t>http://www.carexfrance.com</t>
  </si>
  <si>
    <t xml:space="preserve">43 Rue de Claye, Le Mesnil-Amelot, Ile-de-France, France, 77990</t>
  </si>
  <si>
    <t>Legargean</t>
  </si>
  <si>
    <t>MAIOR</t>
  </si>
  <si>
    <t>legargean@maior.fr</t>
  </si>
  <si>
    <t>http://www.linkedin.com/in/gerardlegargean</t>
  </si>
  <si>
    <t>http://www.maior.fr</t>
  </si>
  <si>
    <t xml:space="preserve">21 Avenue Thiers, Nice, Provence-Alpes-Cote d'Azur, France, 06000</t>
  </si>
  <si>
    <t xml:space="preserve">MAIOR Partners est Conseil en Financements Entreprises. ​Le bon financement, aux bonnes conditions, pour votre projet d'entreprise. ​Pas de frais fixes, nos honoraires sont dus après l'obtention du financement (100% success fees).</t>
  </si>
  <si>
    <t>Bernadette</t>
  </si>
  <si>
    <t>Sarciat</t>
  </si>
  <si>
    <t xml:space="preserve">MB Cautions</t>
  </si>
  <si>
    <t>b.sarciat@mb-garanties.fr</t>
  </si>
  <si>
    <t>http://www.linkedin.com/in/bernadette-sarciat-58887616b</t>
  </si>
  <si>
    <t>http://www.mb-garanties.fr</t>
  </si>
  <si>
    <t>Saint-Paul-les-Dax</t>
  </si>
  <si>
    <t xml:space="preserve">Saint-Paul-les-Dax, Aquitaine, France</t>
  </si>
  <si>
    <t>Nerrant</t>
  </si>
  <si>
    <t xml:space="preserve">HOKEN SAS</t>
  </si>
  <si>
    <t>s.nerrant@hoken.fr</t>
  </si>
  <si>
    <t>http://www.linkedin.com/in/stephane-nerrant-26361911</t>
  </si>
  <si>
    <t>http://www.hoken.fr</t>
  </si>
  <si>
    <t xml:space="preserve">2 Rue Malesherbes, Lyon, Auvergne-Rhone-Alpes, France, 69006</t>
  </si>
  <si>
    <t xml:space="preserve">Plus qu'un courtier grossiste, votre partenaire. Courtier grossiste innovant, HOKEN souhaite apporter aux intermédiaires d'assurance des solutions performantes. Grâce à un subtil mélange de technologie et de relations humaines, HOKEN vous offre un service et un accompagnement de qualité.</t>
  </si>
  <si>
    <t>Houizot</t>
  </si>
  <si>
    <t>SereniTrip</t>
  </si>
  <si>
    <t>alexpub@serenitrip.fr</t>
  </si>
  <si>
    <t>http://www.linkedin.com/in/alexandrehouizot</t>
  </si>
  <si>
    <t>http://www.serenitrip.fr</t>
  </si>
  <si>
    <t xml:space="preserve">SereniTrip Assure vos Locations de Voiture dans le Monde Entier. Rachat de franchise. Couverture CDW/LDW. Zéro Franchise. Economisez sur l'Assurance.</t>
  </si>
  <si>
    <t>Cairati</t>
  </si>
  <si>
    <t xml:space="preserve">MOMENTUM Assurances</t>
  </si>
  <si>
    <t>rcairati@momentum-assurances.fr</t>
  </si>
  <si>
    <t>http://www.linkedin.com/in/renaudca%c3%afrati</t>
  </si>
  <si>
    <t>http://www.momentum-assurances.fr</t>
  </si>
  <si>
    <t xml:space="preserve">217 Cours Lafayette, Lyon, Auvergne-Rhone-Alpes, France, 69006</t>
  </si>
  <si>
    <t xml:space="preserve">Depuis 1957, notre cabinet de courtage d'assurances à Lyon accompagne ses clients pour toutes leurs problématiques liées aux contrats d'assurances.</t>
  </si>
  <si>
    <t>Dufourcq</t>
  </si>
  <si>
    <t xml:space="preserve">APS Prévoyance</t>
  </si>
  <si>
    <t>mathilde.dufourcq@aps-prevoyance.fr</t>
  </si>
  <si>
    <t>http://www.linkedin.com/in/mathilde-dufourcq-5a067a25</t>
  </si>
  <si>
    <t>http://www.aps-prevoyance.fr</t>
  </si>
  <si>
    <t xml:space="preserve">Chateaurenard, Provence-Alpes-Cote d'Azur, France, 13160</t>
  </si>
  <si>
    <t xml:space="preserve">Entreprise de l’économie sociale et solidaire, APS Prévoyance est spécialisée en assurance santé et prévoyance, pour les entreprises, particuliers et associations.  en assurance santé et prévoyance, pour les entreprises, particuliers et associations.</t>
  </si>
  <si>
    <t>Boggio</t>
  </si>
  <si>
    <t xml:space="preserve">Horizon Assurances</t>
  </si>
  <si>
    <t>remi@horizonassurances.com</t>
  </si>
  <si>
    <t>http://www.linkedin.com/in/remi-boggio-9892a556</t>
  </si>
  <si>
    <t>http://www.horizonassurances.com</t>
  </si>
  <si>
    <t xml:space="preserve">40 Rue de France, Nice, Provence-Alpes-Cote d'Azur, France, 06000</t>
  </si>
  <si>
    <t xml:space="preserve">Horizon Assurances - Des assurances agiles dédiées à votre activité d’administrateurs de biens pour protéger vos honoraires, augmenter vos revenus et protéger vos propriétaires !</t>
  </si>
  <si>
    <t>Doye</t>
  </si>
  <si>
    <t xml:space="preserve">SFA Congo</t>
  </si>
  <si>
    <t>p.doye@sfa-congo.com</t>
  </si>
  <si>
    <t>http://www.linkedin.com/in/pascal-doye-729639175</t>
  </si>
  <si>
    <t>http://www.sfa-congo.com</t>
  </si>
  <si>
    <t xml:space="preserve">Rue de la Commune, Kinshasa, Kinshasa, Democratic Republic of the Congo</t>
  </si>
  <si>
    <t xml:space="preserve">Democratic Republic of the Congo</t>
  </si>
  <si>
    <t xml:space="preserve">Les assurances de la Société Financière d'Assurance pour les particuliers et les PME, grandes entreprises tant privé que public, professions libérales,...</t>
  </si>
  <si>
    <t xml:space="preserve">Les Bureaux de l'Epargne</t>
  </si>
  <si>
    <t>afouche@lesbureauxdelepargne.com</t>
  </si>
  <si>
    <t>http://www.linkedin.com/in/alexisfouche</t>
  </si>
  <si>
    <t>http://www.lesbureauxdelepargne.com</t>
  </si>
  <si>
    <t xml:space="preserve">23BIS Boulevard du Montparnasse, Paris, Ile-de-France, France, 75006</t>
  </si>
  <si>
    <t>Testamento</t>
  </si>
  <si>
    <t>s.delporte@testamento.fr</t>
  </si>
  <si>
    <t>http://www.linkedin.com/in/sylvaindelporte</t>
  </si>
  <si>
    <t>http://www.testamento.io</t>
  </si>
  <si>
    <t>Chalnot</t>
  </si>
  <si>
    <t xml:space="preserve">CTO-CPO &amp; Co-founder</t>
  </si>
  <si>
    <t>jb@gedeon.io</t>
  </si>
  <si>
    <t>http://www.linkedin.com/in/jeanbaptistechalnot</t>
  </si>
  <si>
    <t>Morandini</t>
  </si>
  <si>
    <t xml:space="preserve">Chairman and founder</t>
  </si>
  <si>
    <t>Zenioo</t>
  </si>
  <si>
    <t>emmanuel.morandini@zenioo.com</t>
  </si>
  <si>
    <t>http://www.linkedin.com/in/emmanuel-morandini-4973638</t>
  </si>
  <si>
    <t>http://www.zenioo.com</t>
  </si>
  <si>
    <t xml:space="preserve">Assurez comme jamais avec un grossiste 100% courtiers. Zenioo vous propose une plateforme et des services dédiés pour booster votre business.</t>
  </si>
  <si>
    <t xml:space="preserve">Perlib 🌱</t>
  </si>
  <si>
    <t>henri.desrieux@perlib.fr</t>
  </si>
  <si>
    <t>http://www.linkedin.com/in/henri-des-rieux</t>
  </si>
  <si>
    <t>http://www.perlib.fr</t>
  </si>
  <si>
    <t>Swaton</t>
  </si>
  <si>
    <t xml:space="preserve">EUROSUD SWATON SAS Courtier en Assurances à Marseille</t>
  </si>
  <si>
    <t>jyswaton@eurosud-assurances.com</t>
  </si>
  <si>
    <t>http://www.linkedin.com/in/jean-yves-swaton-b2909085</t>
  </si>
  <si>
    <t>http://www.eurosud-assurances.com</t>
  </si>
  <si>
    <t xml:space="preserve">432 Boulevard Michelet, Marseille, Provence-Alpes-Cote d'Azur, France, 13009</t>
  </si>
  <si>
    <t xml:space="preserve">Eurosud Swaton Assurances, cabinet de courtage en assurances à Marseille. Tous types d'assurances pour particuliers et professionnels : auto, habitation, santé, prévoyance, RC, immobilier, etc.</t>
  </si>
  <si>
    <t>Joel-Maxime</t>
  </si>
  <si>
    <t>Ghienne</t>
  </si>
  <si>
    <t xml:space="preserve">MLC Mutuelle</t>
  </si>
  <si>
    <t>jghienne@mutuellelacholetaise.fr</t>
  </si>
  <si>
    <t>http://www.linkedin.com/in/joel-maxime-ghienne-238b1532</t>
  </si>
  <si>
    <t>http://www.mlcmutuelle.fr</t>
  </si>
  <si>
    <t xml:space="preserve">1 Rue de la Sarthe, Cholet, Pays de la Loire, France, 49300</t>
  </si>
  <si>
    <t>Montbarbon</t>
  </si>
  <si>
    <t>Lycéa</t>
  </si>
  <si>
    <t>fmontbarbon@lycea.fr</t>
  </si>
  <si>
    <t>http://www.linkedin.com/in/fr%c3%a9d%c3%a9ric-montbarbon-8b7454105</t>
  </si>
  <si>
    <t>http://www.lycea.fr</t>
  </si>
  <si>
    <t xml:space="preserve">5 Quai Jayr, Lyon, Auvergne-Rhone-Alpes, France, 69009</t>
  </si>
  <si>
    <t xml:space="preserve">Cabinet de courtage d'assurance spécialisé dans l'assurance de transporteurs, d'entreprises industrielles et de copropriétés d'immeubles.</t>
  </si>
  <si>
    <t>Hadjaj</t>
  </si>
  <si>
    <t xml:space="preserve">ATARAXIA Patrimoine</t>
  </si>
  <si>
    <t>e.hadjaj@ataraxiapatrimoine.com</t>
  </si>
  <si>
    <t>http://www.linkedin.com/in/elie-hadjaj-ba7252174</t>
  </si>
  <si>
    <t>http://www.ataraxiapatrimoine.com</t>
  </si>
  <si>
    <t xml:space="preserve">ATARAXIA Patrimoine, acteur de référence dédié aux professionnels de santé, vous accompagne grâce à une approche sur-mesure et long terme</t>
  </si>
  <si>
    <t xml:space="preserve">aiac courtage</t>
  </si>
  <si>
    <t>j.leymarie@aiac.fr</t>
  </si>
  <si>
    <t>http://www.linkedin.com/in/jleymarie</t>
  </si>
  <si>
    <t>http://www.aiac.fr</t>
  </si>
  <si>
    <t xml:space="preserve">14 Rue de Clichy, Paris, Ile-de-France, France, 75009</t>
  </si>
  <si>
    <t xml:space="preserve">Courtage en assurances : Immeuble, Construction, Sport, Collectives et Entreprises. aiac Courtage, courtier multispécialiste d'assurances professionnelles</t>
  </si>
  <si>
    <t>Jadis</t>
  </si>
  <si>
    <t xml:space="preserve">Jadis Assurances</t>
  </si>
  <si>
    <t>stephane.jadis@jadis-assurances.com</t>
  </si>
  <si>
    <t>http://www.linkedin.com/in/st%c3%a9phane-jadis-89134911</t>
  </si>
  <si>
    <t>http://www.jadis-assurances.com</t>
  </si>
  <si>
    <t xml:space="preserve">71 Avenue de la Resistance, Le Raincy, Ile-de-France, France, 93340</t>
  </si>
  <si>
    <t>T.</t>
  </si>
  <si>
    <t>Rétro+</t>
  </si>
  <si>
    <t>nicolas.therond@quattro.fr</t>
  </si>
  <si>
    <t>http://www.linkedin.com/in/nicolas-t-5a15a710</t>
  </si>
  <si>
    <t>http://www.retro.fr</t>
  </si>
  <si>
    <t xml:space="preserve">Avenue du General de Gaulle, Saint-Cere, Midi-Pyrenees, France, 46400</t>
  </si>
  <si>
    <t xml:space="preserve">Consultez le spécialiste de l'assurance des véhicules de collection depuis 40 ans. Roulez assuré dans l'heure ! Rétro+ propose aussi des assurances habitation et santé.</t>
  </si>
  <si>
    <t>Rasit</t>
  </si>
  <si>
    <t xml:space="preserve">Directeur général - DSI</t>
  </si>
  <si>
    <t>r.sen@hoken.fr</t>
  </si>
  <si>
    <t>http://www.linkedin.com/in/rasit-sen</t>
  </si>
  <si>
    <t>Nogaro</t>
  </si>
  <si>
    <t xml:space="preserve">CEO &amp; founder, Insurance broker</t>
  </si>
  <si>
    <t>Coveroo</t>
  </si>
  <si>
    <t>laurent.nogaro@coveroo.fr</t>
  </si>
  <si>
    <t>http://www.linkedin.com/in/laurentnogaro</t>
  </si>
  <si>
    <t>http://www.coveroo.fr</t>
  </si>
  <si>
    <t xml:space="preserve">92 Cours Lafayette, Lyon, Auvergne-Rhone-Alpes, France, 69003</t>
  </si>
  <si>
    <t>Aimad</t>
  </si>
  <si>
    <t>Fatmi</t>
  </si>
  <si>
    <t>Fin-Flouss.Com</t>
  </si>
  <si>
    <t>a.fatmi@fin-flouss.com</t>
  </si>
  <si>
    <t>http://www.linkedin.com/in/aimad-fatmi-89b35a28</t>
  </si>
  <si>
    <t>http://www.fin-flouss.com</t>
  </si>
  <si>
    <t>Provost</t>
  </si>
  <si>
    <t xml:space="preserve">AFI ESCA PATRIMOINE</t>
  </si>
  <si>
    <t>e.provost@ae-patrimoine.com</t>
  </si>
  <si>
    <t>http://www.linkedin.com/in/emmanuel-provost-a1a40ba7</t>
  </si>
  <si>
    <t>http://www.afi-esca-patrimoine.com</t>
  </si>
  <si>
    <t xml:space="preserve">2 Quai Kleber, Strasbourg, Grand Est, France, 67000</t>
  </si>
  <si>
    <t xml:space="preserve">Spécialiste du courtage et de la gestion de patrimoine, nous travaillons avec 4 000+ courtiers et conseillers en gestion de patrimoine</t>
  </si>
  <si>
    <t>Mathis</t>
  </si>
  <si>
    <t>Batoul</t>
  </si>
  <si>
    <t>Estaly</t>
  </si>
  <si>
    <t>mathis@estaly.co</t>
  </si>
  <si>
    <t>http://www.linkedin.com/in/mathisbatoul</t>
  </si>
  <si>
    <t>http://www.estaly.co</t>
  </si>
  <si>
    <t xml:space="preserve">Offrez à vos clients une assurance fiable et rapide avec Estaly. Intégrez notre solution directement dans votre parcours d'achat, en magasin et en ligne. Rejoignez 350 marchands qui profitent de notre prise en charge en moins de 24h et améliorez votre service client tout en augmentant vos revenus.</t>
  </si>
  <si>
    <t>Clarety</t>
  </si>
  <si>
    <t>marie.clarety@retro.fr</t>
  </si>
  <si>
    <t>http://www.linkedin.com/in/marie-laure-clarety-526b2b189</t>
  </si>
  <si>
    <t>Saint-Laurent-les-Tours</t>
  </si>
  <si>
    <t xml:space="preserve">CMO &amp; Co-founder</t>
  </si>
  <si>
    <t>victor@lolahealth.fr</t>
  </si>
  <si>
    <t>http://www.linkedin.com/in/victor-besse-825b48144</t>
  </si>
  <si>
    <t>Drousie</t>
  </si>
  <si>
    <t xml:space="preserve">Finance SAS</t>
  </si>
  <si>
    <t>nicolas.drousie@financesas.fr</t>
  </si>
  <si>
    <t>http://www.linkedin.com/in/nicolas-drousie-787b3b86</t>
  </si>
  <si>
    <t>http://www.financesas.fr</t>
  </si>
  <si>
    <t xml:space="preserve">20 Boulevard de la Paix, Reims, Grand Est, France, 51100</t>
  </si>
  <si>
    <t>Santiago</t>
  </si>
  <si>
    <t>ONLYNNOV</t>
  </si>
  <si>
    <t>guillaumesantiago@onlynnov.com</t>
  </si>
  <si>
    <t>http://www.linkedin.com/in/guillaume-santiago-26146412</t>
  </si>
  <si>
    <t>http://www.onlynnov.com</t>
  </si>
  <si>
    <t xml:space="preserve">Boostez votre business avec +20 assurances sur-mesure pour votre secteur d'activité tech. Votre assurance tech dédiée, c'est + précis et forcément - cher.</t>
  </si>
  <si>
    <t>Brancaleoni</t>
  </si>
  <si>
    <t xml:space="preserve">ADn solutions</t>
  </si>
  <si>
    <t>mbrancaleoni@adn.solutions</t>
  </si>
  <si>
    <t>http://www.linkedin.com/in/michel-brancal%c3%a9oni-a37b3862</t>
  </si>
  <si>
    <t>http://www.adn.solutions</t>
  </si>
  <si>
    <t xml:space="preserve">4 Boulevard de la Gare, Saint-Gratien, Ile-de-France, France, 95210</t>
  </si>
  <si>
    <t xml:space="preserve">Le seul framework tout-en-un qui valorise vos offres d'assurance et garantit votre croissance</t>
  </si>
  <si>
    <t>Lespagnol</t>
  </si>
  <si>
    <t xml:space="preserve">Directeur Général / General Manager</t>
  </si>
  <si>
    <t xml:space="preserve">VYV International Assistance</t>
  </si>
  <si>
    <t>julien.lespagnol@vyv-ia.com</t>
  </si>
  <si>
    <t>http://www.linkedin.com/in/julien-lespagnol-95aa8638</t>
  </si>
  <si>
    <t>http://www.vyv-ia.com</t>
  </si>
  <si>
    <t xml:space="preserve">3 Passage de la Corvette, La Rochelle, Nouvelle-Aquitaine, France, 17000</t>
  </si>
  <si>
    <t>Bugard</t>
  </si>
  <si>
    <t xml:space="preserve">Président et Co-fondateur</t>
  </si>
  <si>
    <t>WeSur</t>
  </si>
  <si>
    <t>jeremie@wesur.fr</t>
  </si>
  <si>
    <t>http://www.linkedin.com/in/j%c3%a9r%c3%a9mie-bugard-3206701a</t>
  </si>
  <si>
    <t>http://www.wesur.fr</t>
  </si>
  <si>
    <t xml:space="preserve">WeSur, le seul comparateur d'assurances qui vous recommande les meilleures offres personnalisées selon votre profil parmi +30 marques d'assurances.</t>
  </si>
  <si>
    <t>Couder</t>
  </si>
  <si>
    <t xml:space="preserve">Groupe ASQUA Ingénierie d'assurance</t>
  </si>
  <si>
    <t>thomas.couder@asqua.fr</t>
  </si>
  <si>
    <t>http://www.linkedin.com/in/thomas-couder-1557544</t>
  </si>
  <si>
    <t>http://www.asqua.fr</t>
  </si>
  <si>
    <t>Saint-Nom-la-Breteche</t>
  </si>
  <si>
    <t xml:space="preserve">1 Rue du Petit Clamart, Velizy-Villacoublay, Ile-de-France, France, 78140</t>
  </si>
  <si>
    <t xml:space="preserve">ASQUA, votre courtier qui vous accompagne dans vos démarches de gestion de risques et d’assurances.</t>
  </si>
  <si>
    <t>Labuzan</t>
  </si>
  <si>
    <t>CAAREA</t>
  </si>
  <si>
    <t>blabuzan@caarea.com</t>
  </si>
  <si>
    <t>http://www.linkedin.com/in/bruno-labuzan-69a40a98</t>
  </si>
  <si>
    <t>http://www.caarea.com</t>
  </si>
  <si>
    <t xml:space="preserve">3 Quai de Dion-Bouton, Puteaux, Ile-de-France, France, 92800</t>
  </si>
  <si>
    <t xml:space="preserve">Découvrez CAAREA, société de souscription (MGA) et gestion (Insurtech) en (Re)assurance affinitaire automobile, qui renforce la chaîne de valeur de ses partenaires depuis 15 ans.</t>
  </si>
  <si>
    <t>Bilon</t>
  </si>
  <si>
    <t xml:space="preserve">Co-fondateur de Crea'conseil cabinet de conseil et de courtage en assurances</t>
  </si>
  <si>
    <t xml:space="preserve">Créa Conseil</t>
  </si>
  <si>
    <t>sylvain@creaconseilassurances.fr</t>
  </si>
  <si>
    <t>http://www.linkedin.com/in/sylvain-bilon</t>
  </si>
  <si>
    <t>http://www.creaconseilassurances.fr</t>
  </si>
  <si>
    <t xml:space="preserve">Troyes, Champagne-Ardenne, France</t>
  </si>
  <si>
    <t xml:space="preserve">Créa Conseil, un cabinet de conseil et de courtage en assurance au service des professions libérales, des entreprises, de leurs dirigeants et des séniors.</t>
  </si>
  <si>
    <t>Valiente</t>
  </si>
  <si>
    <t xml:space="preserve">CEO - Chief Executive Officer</t>
  </si>
  <si>
    <t>DYNACSYS</t>
  </si>
  <si>
    <t>jeandavid.valiente@dynacsys.com</t>
  </si>
  <si>
    <t>http://www.linkedin.com/in/jean-david-valiente-3aa81028</t>
  </si>
  <si>
    <t>http://www.dynacsys.com</t>
  </si>
  <si>
    <t xml:space="preserve">20 Rue Paul Bert, Saint-Mande, Ile-de-France, France, 94160</t>
  </si>
  <si>
    <t xml:space="preserve">Solvency 2, IFRS 17, Risk Management, Modeling tool, Finance, M&amp;A, DFA</t>
  </si>
  <si>
    <t>Beauhaire</t>
  </si>
  <si>
    <t>pierre@cnty.ai</t>
  </si>
  <si>
    <t>http://www.linkedin.com/in/beauhaire</t>
  </si>
  <si>
    <t>Grall</t>
  </si>
  <si>
    <t>Owen</t>
  </si>
  <si>
    <t>po@getowen.eu</t>
  </si>
  <si>
    <t>http://www.linkedin.com/in/pierre-olivier-grall-7a8bb31</t>
  </si>
  <si>
    <t>http://www.get-owen.com</t>
  </si>
  <si>
    <t xml:space="preserve">Choisissez l'assurance Owen pour boostez vos ventes en protégeant les achats de vos clients.</t>
  </si>
  <si>
    <t>Landry</t>
  </si>
  <si>
    <t>Castrain</t>
  </si>
  <si>
    <t xml:space="preserve">Trustiway® Group</t>
  </si>
  <si>
    <t>landry@trustiway.com</t>
  </si>
  <si>
    <t>http://www.linkedin.com/in/landry-le-castrain-937857a9</t>
  </si>
  <si>
    <t>http://www.trustiway.com</t>
  </si>
  <si>
    <t xml:space="preserve">Le courtier 100% digital pour vos crédits et assurances. Simplicité, rapidité et efficacité. Obtenez les meilleures offres en un clic.</t>
  </si>
  <si>
    <t>Haddad</t>
  </si>
  <si>
    <t>Eterneo</t>
  </si>
  <si>
    <t>raphael.haddad@eterneo.com</t>
  </si>
  <si>
    <t>http://www.linkedin.com/in/raphaelhdd</t>
  </si>
  <si>
    <t>http://www.eterneo.com</t>
  </si>
  <si>
    <t xml:space="preserve">8 Rue Saint-Nicolas, Paris, Ile-de-France, France, 75012</t>
  </si>
  <si>
    <t>Cordeau</t>
  </si>
  <si>
    <t xml:space="preserve">DIOT Méditerranée</t>
  </si>
  <si>
    <t>dcordeau@diot.com</t>
  </si>
  <si>
    <t>http://www.linkedin.com/in/cordeau-didier-1199472</t>
  </si>
  <si>
    <t>http://www.diot-mediterranee.com</t>
  </si>
  <si>
    <t xml:space="preserve">141 Avenue du Prado, Marseille, Provence-Alpes-Cote d'Azur, France, 13008</t>
  </si>
  <si>
    <t>Pare</t>
  </si>
  <si>
    <t xml:space="preserve">AlterNative Courtage</t>
  </si>
  <si>
    <t>patricia.pare@alternative-courtage.fr</t>
  </si>
  <si>
    <t>http://www.linkedin.com/in/patricia-par%c3%a9-774338b4</t>
  </si>
  <si>
    <t>http://www.alternative-courtage.fr</t>
  </si>
  <si>
    <t>Sarzeau</t>
  </si>
  <si>
    <t xml:space="preserve">5 Rue du General Ferrie, Bourges, Centre-Val de Loire, France, 18000</t>
  </si>
  <si>
    <t>Labiod</t>
  </si>
  <si>
    <t xml:space="preserve">SERENILIFE GROUP</t>
  </si>
  <si>
    <t>a.labiod@serenilifegroup.com</t>
  </si>
  <si>
    <t>http://www.linkedin.com/in/anthony-labiod-b91a20101</t>
  </si>
  <si>
    <t>http://www.serenilifegroup.com</t>
  </si>
  <si>
    <t xml:space="preserve">Serenilife Group est un courtier français de référence en assurance de personnes, spécialiste de la gestion de patrimoine.</t>
  </si>
  <si>
    <t>Marcaud</t>
  </si>
  <si>
    <t>Klian</t>
  </si>
  <si>
    <t>nicolas@klian.fr</t>
  </si>
  <si>
    <t>http://www.linkedin.com/in/nicolas-marcaud-officiel</t>
  </si>
  <si>
    <t>http://www.klian.fr</t>
  </si>
  <si>
    <t>Pont-Audemer</t>
  </si>
  <si>
    <t xml:space="preserve">8 Rue du President Georges Pompidou, Pont-Audemer, Normandie, France, 27500</t>
  </si>
  <si>
    <t>Krakovich</t>
  </si>
  <si>
    <t xml:space="preserve">Courtier - Founder Taskk Insurance - www.taskkinsurance.com</t>
  </si>
  <si>
    <t xml:space="preserve">Taskk Insurance</t>
  </si>
  <si>
    <t>michael@taskkinsurance.com</t>
  </si>
  <si>
    <t>http://www.linkedin.com/in/micha%c3%abl-krakovich-8a284411</t>
  </si>
  <si>
    <t>http://www.taskkinsurance.com</t>
  </si>
  <si>
    <t xml:space="preserve">2 Avenue Saint-Honore d'Eylau, Paris, Ile-de-France, France, 75116</t>
  </si>
  <si>
    <t xml:space="preserve">Facilitateur d'assurances</t>
  </si>
  <si>
    <t>Mellet</t>
  </si>
  <si>
    <t xml:space="preserve">Dirigeant opérationnel</t>
  </si>
  <si>
    <t>MUTAERO</t>
  </si>
  <si>
    <t>stephane.mellet@mutaero.net</t>
  </si>
  <si>
    <t>http://www.linkedin.com/in/st%c3%a9phane-mellet-599b16110</t>
  </si>
  <si>
    <t>http://www.mutaero.net</t>
  </si>
  <si>
    <t xml:space="preserve">34 Boulevard Pierre-Paul Riquet, Toulouse, Occitanie, France, 31500</t>
  </si>
  <si>
    <t xml:space="preserve">Mutaero met son expertise de la complémentaire santé au profit des seniors, des associations, des entreprises et des collectivités</t>
  </si>
  <si>
    <t>Lancel</t>
  </si>
  <si>
    <t>Caravel</t>
  </si>
  <si>
    <t>hugo@getcaravel.fr</t>
  </si>
  <si>
    <t>http://www.linkedin.com/in/hugo-lancel-9b107875</t>
  </si>
  <si>
    <t>http://www.getcaravel.fr</t>
  </si>
  <si>
    <t xml:space="preserve">Reprenez confiance dans votre retraite. Caravel est la solution simple et flexible pour sécuriser vos revenus à la retraite, en finançant la transition écologique.</t>
  </si>
  <si>
    <t>Echevin</t>
  </si>
  <si>
    <t>Actélior</t>
  </si>
  <si>
    <t>david.echevin@actelior.com</t>
  </si>
  <si>
    <t>http://www.linkedin.com/in/david-echevin-27723aa</t>
  </si>
  <si>
    <t>http://www.actelior.com</t>
  </si>
  <si>
    <t xml:space="preserve">7 Rue des Aulnes, Champagne-au-Mont-d'Or, Auvergne-Rhone-Alpes, France, 69410</t>
  </si>
  <si>
    <t>Trescartes</t>
  </si>
  <si>
    <t xml:space="preserve">CEO &amp; Co-fondatrice</t>
  </si>
  <si>
    <t>claire@lolahealth.fr</t>
  </si>
  <si>
    <t>http://www.linkedin.com/in/claire-trescartes-52353b134</t>
  </si>
  <si>
    <t>Croce</t>
  </si>
  <si>
    <t>Euresa</t>
  </si>
  <si>
    <t>helene.croce@euresa.org</t>
  </si>
  <si>
    <t>http://www.linkedin.com/in/helene-croce-23100911</t>
  </si>
  <si>
    <t>http://www.euresa.org</t>
  </si>
  <si>
    <t xml:space="preserve">22 Rue Vernier, Paris, Ile-de-France, France, 75017</t>
  </si>
  <si>
    <t>Thiriot</t>
  </si>
  <si>
    <t>jeremy.thiriot@vyv-ia.com</t>
  </si>
  <si>
    <t>http://www.linkedin.com/in/j%c3%a9r%c3%a9my-thiriot-32033327</t>
  </si>
  <si>
    <t>Schwartz</t>
  </si>
  <si>
    <t>nicolas.schwartz@coverd.co</t>
  </si>
  <si>
    <t>http://www.linkedin.com/in/nicoschwartz</t>
  </si>
  <si>
    <t>Ruault</t>
  </si>
  <si>
    <t xml:space="preserve">BOOST Solutions</t>
  </si>
  <si>
    <t>christophe.ruault@boost-solutions.com</t>
  </si>
  <si>
    <t>http://www.linkedin.com/in/christophe-ruault-04456a32</t>
  </si>
  <si>
    <t>http://www.boost-solutions.com</t>
  </si>
  <si>
    <t xml:space="preserve">Buc, Ile-de-France, France, 78530</t>
  </si>
  <si>
    <t>Theron</t>
  </si>
  <si>
    <t>antoine.theron@actelior.com</t>
  </si>
  <si>
    <t>http://www.linkedin.com/in/antoine-theron-2551189</t>
  </si>
  <si>
    <t>Pimentel</t>
  </si>
  <si>
    <t xml:space="preserve">Associé &amp; co-fondateur</t>
  </si>
  <si>
    <t>INNOVIE</t>
  </si>
  <si>
    <t>d.pimentel@innovie-conseil.fr</t>
  </si>
  <si>
    <t>http://www.linkedin.com/in/david-pimentel-innovie</t>
  </si>
  <si>
    <t>http://www.innovie.fr</t>
  </si>
  <si>
    <t xml:space="preserve">Vos salariés sont votre actif le plus précieux. Améliorez leur quotidien et le vôtre avec la meilleure expérience conseil &amp; courtage assurance santé du marché.</t>
  </si>
  <si>
    <t>Freitas</t>
  </si>
  <si>
    <t>Urops</t>
  </si>
  <si>
    <t>jose.de-freitas@mfpservices.fr</t>
  </si>
  <si>
    <t>http://www.linkedin.com/in/jos%c3%a9-de-freitas-9a771529</t>
  </si>
  <si>
    <t>http://www.urops-prevention.fr</t>
  </si>
  <si>
    <t xml:space="preserve">Co-founder &amp; Head of Ops</t>
  </si>
  <si>
    <t>Koala</t>
  </si>
  <si>
    <t>leo@hikoala.co</t>
  </si>
  <si>
    <t>http://www.linkedin.com/in/l%c3%a9o-tordjman-689024a5</t>
  </si>
  <si>
    <t>http://www.hikoala.co</t>
  </si>
  <si>
    <t xml:space="preserve">51 Rue Lepic, Paris, Ile-de-France, France, 75018</t>
  </si>
  <si>
    <t xml:space="preserve">Travel insurance as it should be. No exclusions. No proofs. No forms. Offer the insurance your customers deserve!</t>
  </si>
  <si>
    <t>Lehoussine</t>
  </si>
  <si>
    <t xml:space="preserve">ASSURANCE UNIE</t>
  </si>
  <si>
    <t>klehoussine@assunie.fr</t>
  </si>
  <si>
    <t>http://www.linkedin.com/in/karim-lehoussine-55b780178</t>
  </si>
  <si>
    <t>http://www.assurance-unie.fr</t>
  </si>
  <si>
    <t xml:space="preserve">Lagny-sur-Marne, Ile-de-France, France</t>
  </si>
  <si>
    <t>Yassari</t>
  </si>
  <si>
    <t xml:space="preserve">NHY Assurances</t>
  </si>
  <si>
    <t>k.yassari@nhy-assurances.fr</t>
  </si>
  <si>
    <t>http://www.linkedin.com/in/karim-yassari</t>
  </si>
  <si>
    <t>http://www.nhy-assurances.fr</t>
  </si>
  <si>
    <t xml:space="preserve">22 Rue Pierre Semard, Paris, Ile-de-France, France, 75009</t>
  </si>
  <si>
    <t>jlesne@correlium.com</t>
  </si>
  <si>
    <t>http://www.linkedin.com/in/lesne-jeremy-38b6b141</t>
  </si>
  <si>
    <t>http://www.correlium.com</t>
  </si>
  <si>
    <t xml:space="preserve">6 Rue Mandar, Paris, Ile-de-France, France, 75002</t>
  </si>
  <si>
    <t xml:space="preserve">Mutuelle Mip</t>
  </si>
  <si>
    <t>loic.flichy@mutuelle-mip.fr</t>
  </si>
  <si>
    <t>http://www.linkedin.com/in/loicflichy</t>
  </si>
  <si>
    <t>http://www.mutuelles.biz</t>
  </si>
  <si>
    <t xml:space="preserve">178 Rue Montmartre, Paris, Ile-de-France, France, 75002</t>
  </si>
  <si>
    <t>Ottaviani</t>
  </si>
  <si>
    <t xml:space="preserve">Mutuelle de la Corse</t>
  </si>
  <si>
    <t>bottaviani@mutuelledelacorse.com</t>
  </si>
  <si>
    <t>http://www.linkedin.com/in/bernard-ottaviani-b5133670</t>
  </si>
  <si>
    <t>http://www.mutuelledelacorse.com</t>
  </si>
  <si>
    <t xml:space="preserve">Avenue Paul Giacobbi, Bastia, Corsica, France, 20600</t>
  </si>
  <si>
    <t xml:space="preserve">La Mutuelle de la Corse, pour des services destinés aux familles, aux particuliers et aux professionnels</t>
  </si>
  <si>
    <t>Froidure</t>
  </si>
  <si>
    <t xml:space="preserve">PRAGA Assurances</t>
  </si>
  <si>
    <t>bfroidure@praga-assurances.fr</t>
  </si>
  <si>
    <t>http://www.linkedin.com/in/benoit-froidure-2aa6a19b</t>
  </si>
  <si>
    <t>http://www.praga-assurances.fr</t>
  </si>
  <si>
    <t xml:space="preserve">30 Rue Olivier Noyer, Paris, Ile-de-France, France, 75014</t>
  </si>
  <si>
    <t xml:space="preserve">Tout comprendre sur vos contrats Praga</t>
  </si>
  <si>
    <t>Delbart</t>
  </si>
  <si>
    <t xml:space="preserve">Lead developer @Continuity / Co-Founder</t>
  </si>
  <si>
    <t>gaetan.delbart@cnty.ai</t>
  </si>
  <si>
    <t>http://www.linkedin.com/in/gaetan-delbart-a71115a5</t>
  </si>
  <si>
    <t xml:space="preserve">NEAT Protect</t>
  </si>
  <si>
    <t>nathan@neat.eu</t>
  </si>
  <si>
    <t>http://www.linkedin.com/in/nathan-b-ab88a1154</t>
  </si>
  <si>
    <t>http://www.neat.eu</t>
  </si>
  <si>
    <t xml:space="preserve">Découvrez Neat, assureur B2B français et créateur d'assurances sur mesure pour tous. Neat propose une application de portage de risques et de gestion de sinistres.</t>
  </si>
  <si>
    <t>Lecat</t>
  </si>
  <si>
    <t>candide</t>
  </si>
  <si>
    <t>blecat@groupe-candide.com</t>
  </si>
  <si>
    <t xml:space="preserve">investment banking</t>
  </si>
  <si>
    <t>http://www.linkedin.com/in/benoitlecat</t>
  </si>
  <si>
    <t>http://www.groupe-candide.com</t>
  </si>
  <si>
    <t>Carline</t>
  </si>
  <si>
    <t>Huslin</t>
  </si>
  <si>
    <t xml:space="preserve">Epargne Family</t>
  </si>
  <si>
    <t>chuslin@epargnefamily.com</t>
  </si>
  <si>
    <t>http://www.linkedin.com/in/carlinehuslin</t>
  </si>
  <si>
    <t>http://www.epargnefamily.com</t>
  </si>
  <si>
    <t xml:space="preserve">Arradon, Brittany, France</t>
  </si>
  <si>
    <t xml:space="preserve">Avec Epargne Family, optimisez la gestion de vos actifs financiers et immobiliers. Protéger, pérenniser, anticiper, avec sérénité.</t>
  </si>
  <si>
    <t>Boueil</t>
  </si>
  <si>
    <t xml:space="preserve">ACCTEAM Network</t>
  </si>
  <si>
    <t>sylvain.boueil@accteam.fr</t>
  </si>
  <si>
    <t>http://www.linkedin.com/in/sylvain-boueil-60b7aa25</t>
  </si>
  <si>
    <t>http://www.accteam.fr</t>
  </si>
  <si>
    <t xml:space="preserve">52 Rue de la Victoire, Paris, Ile-de-France, France, 75009</t>
  </si>
  <si>
    <t xml:space="preserve">AccTeam Network met en relation des clients et des consultants de l'assurance, de la banque et de la finance. Indépendant, salarié, étudiant ou entrepreneur, AccTeam te propose des missions adaptées à tes compétences auprès de clients prestigieux.</t>
  </si>
  <si>
    <t>Visbecq</t>
  </si>
  <si>
    <t xml:space="preserve">PRESENCE ASSISTANCE</t>
  </si>
  <si>
    <t>arnaud.visbecq@presenceassistance.com</t>
  </si>
  <si>
    <t>http://www.linkedin.com/in/arnaud-visbecq-3375b383</t>
  </si>
  <si>
    <t>http://www.presenceassistance.com</t>
  </si>
  <si>
    <t>Chary</t>
  </si>
  <si>
    <t>CARCO</t>
  </si>
  <si>
    <t>sebastien.chary@carco.fr</t>
  </si>
  <si>
    <t>http://www.linkedin.com/in/sebastienchary</t>
  </si>
  <si>
    <t>http://www.carco.fr</t>
  </si>
  <si>
    <t xml:space="preserve">15 Avenue de l'Opera, Paris, Ile-de-France, France, 75001</t>
  </si>
  <si>
    <t xml:space="preserve">Associé co-fondateur</t>
  </si>
  <si>
    <t xml:space="preserve">ISM Assurances</t>
  </si>
  <si>
    <t>maxime.sebag@spvie.com</t>
  </si>
  <si>
    <t>http://www.linkedin.com/in/maxime-sebag-b64aa299</t>
  </si>
  <si>
    <t>http://www.ism-assurances.fr</t>
  </si>
  <si>
    <t xml:space="preserve">41 Avenue Edouard Vaillant, Boulogne-Billancourt, Ile-de-France, France, 92100</t>
  </si>
  <si>
    <t xml:space="preserve">ISM Assurances est un cabinet de courtage spécialisé. Forts d’une expérience de plus de 15 ans, nos experts sauront vous assister dans vos recherches et nous prendrons le temps nécessaire d’étudier chaque demande de manière individuelle et personnalisée.</t>
  </si>
  <si>
    <t>Belarabi</t>
  </si>
  <si>
    <t xml:space="preserve">AKSAM ASSURANCES</t>
  </si>
  <si>
    <t>belarabi.mehdi@aksam-assurances.fr</t>
  </si>
  <si>
    <t>http://www.linkedin.com/in/mehdi-belarabi-7760079b</t>
  </si>
  <si>
    <t>http://www.aksam-assurances.fr</t>
  </si>
  <si>
    <t xml:space="preserve">8 Rue de Penthievre, Paris, Ile-de-France, France, 75008</t>
  </si>
  <si>
    <t>Virgile</t>
  </si>
  <si>
    <t>Simonneau</t>
  </si>
  <si>
    <t>mavieAssur</t>
  </si>
  <si>
    <t>v.simonneau@mavieassur.com</t>
  </si>
  <si>
    <t>http://www.linkedin.com/in/virgile-simonneau-027ab317</t>
  </si>
  <si>
    <t>http://www.mavieassur.com</t>
  </si>
  <si>
    <t>Hoellinger</t>
  </si>
  <si>
    <t>iAssure</t>
  </si>
  <si>
    <t>francois-xavier.hoellinger@iassure.fr</t>
  </si>
  <si>
    <t>http://www.linkedin.com/in/francois-xavier-hoellinger-a491b11a</t>
  </si>
  <si>
    <t>http://www.iassure.fr</t>
  </si>
  <si>
    <t xml:space="preserve">iAssure, courtier grossiste en assurance de personnes, est une filiale de Kereis, groupe de courtage spécialiste en prévoyance individuelle. iAssure</t>
  </si>
  <si>
    <t>Guillemot</t>
  </si>
  <si>
    <t xml:space="preserve">Dirigeant Fondateur G&amp;P ASSURANCES et Associés</t>
  </si>
  <si>
    <t xml:space="preserve">G&amp;P ASSURANCES et Associés</t>
  </si>
  <si>
    <t>olivier.guillemot@gp-assurances.fr</t>
  </si>
  <si>
    <t>http://www.linkedin.com/in/guillemotolivier</t>
  </si>
  <si>
    <t>http://www.gp-assurances.fr</t>
  </si>
  <si>
    <t xml:space="preserve">Redon, Brittany, France, 35600</t>
  </si>
  <si>
    <t xml:space="preserve">Découvrez les assurances professionnelle et particulier proposées par G&amp;P Assurances et Associés. Nos assurances Allianz sont disponible sur Redon et Nantes</t>
  </si>
  <si>
    <t>Thibaudeau</t>
  </si>
  <si>
    <t xml:space="preserve">Président de Proxia Construction Assurances</t>
  </si>
  <si>
    <t xml:space="preserve">Proxia Construction Assurances</t>
  </si>
  <si>
    <t>ethibaudeau@proxiaconstruction.fr</t>
  </si>
  <si>
    <t>http://www.linkedin.com/in/emmanuel-thibaudeau-4abb75128</t>
  </si>
  <si>
    <t>http://www.proxiaconstruction.fr</t>
  </si>
  <si>
    <t>Faouder</t>
  </si>
  <si>
    <t xml:space="preserve">AOC Insurance Broker "Insurtech"​ is leading a global international health insurance advisor</t>
  </si>
  <si>
    <t>olivier@aoc-insurancebroker.com</t>
  </si>
  <si>
    <t>http://www.linkedin.com/in/expathealthinsurance</t>
  </si>
  <si>
    <t>http://www.aoc-insurancebroker.com</t>
  </si>
  <si>
    <t xml:space="preserve">60 Boulevard de Strasbourg, Paris, Ile-de-France, France, 75010</t>
  </si>
  <si>
    <t xml:space="preserve">AOC Insurance Broker "Insurtech" is leading global international health insurance for expatriates &amp; employee benefits advisor. Analysis - Benchmarking comparison with AOC Expatcare Saas platform - Preventive care with a smart care app. Contact us for your tenders.</t>
  </si>
  <si>
    <t>Joulin</t>
  </si>
  <si>
    <t>pascal.joulin@alternative-courtage.fr</t>
  </si>
  <si>
    <t>http://www.linkedin.com/in/pascal-joulin-4854a750</t>
  </si>
  <si>
    <t>Pochet</t>
  </si>
  <si>
    <t>Qivio</t>
  </si>
  <si>
    <t>hugo.pochet@qivio.fr</t>
  </si>
  <si>
    <t>http://www.linkedin.com/in/hugopochet</t>
  </si>
  <si>
    <t>http://www.qivio.fr</t>
  </si>
  <si>
    <t xml:space="preserve">Qivio révolutionne l'assurance mobilité. Profitez de garanties complètes à partir de 2,90€ par mois. Protégez votre scooter, moto, trottinette et vélo en moins de 5 minutes, et roulez en toute sérénité.</t>
  </si>
  <si>
    <t>Reiter</t>
  </si>
  <si>
    <t xml:space="preserve">International Santé</t>
  </si>
  <si>
    <t>raphael@international-sante.com</t>
  </si>
  <si>
    <t>http://www.linkedin.com/in/raphael-reiter-19970526</t>
  </si>
  <si>
    <t>http://www.international-sante.com</t>
  </si>
  <si>
    <t xml:space="preserve">Comparez en ligne les assurances expatriés et mutuelles internationales pour expatriés. 200 garanties santé comparées en 2 minutes. Trouvez la meilleure couverture santé expatrié et faites des économies.</t>
  </si>
  <si>
    <t>Demuth</t>
  </si>
  <si>
    <t xml:space="preserve">MUTA SANTÉ</t>
  </si>
  <si>
    <t>stephane.demuth@muta-sante.fr</t>
  </si>
  <si>
    <t>http://www.linkedin.com/in/stephane-demuth-a9a019244</t>
  </si>
  <si>
    <t>http://www.muta-sante.fr</t>
  </si>
  <si>
    <t>Seppois-le-Bas</t>
  </si>
  <si>
    <t xml:space="preserve">13 Avenue de Strasbourg, Didenheim, Grand Est, France, 68350</t>
  </si>
  <si>
    <t xml:space="preserve">MUTA SANTÉ la première mutuelle d'alsace. Enfin une mutuelle santé qui prend soins de vous ! Devis en ligne gratuit et personnalisé.</t>
  </si>
  <si>
    <t>Kanouni</t>
  </si>
  <si>
    <t xml:space="preserve">Co-founder &amp; Chief Operating Officer</t>
  </si>
  <si>
    <t>youssef@estaly.co</t>
  </si>
  <si>
    <t>http://www.linkedin.com/in/youssefkanouni</t>
  </si>
  <si>
    <t>kanonik.fr</t>
  </si>
  <si>
    <t>Lamouret</t>
  </si>
  <si>
    <t xml:space="preserve">DIRIGEANT GROUPE COURTAGE NATIONAL, DIRECTEUR GÉNÉRAL DÉLÉGUÉ ENTITÉ CONSTRUCTION-IMMOBILIER-PRO</t>
  </si>
  <si>
    <t xml:space="preserve">As Solutions Entreprises</t>
  </si>
  <si>
    <t>e.lamouret@atrias-pro.fr</t>
  </si>
  <si>
    <t>http://www.linkedin.com/in/eric-lamouret-8310b419</t>
  </si>
  <si>
    <t>http://www.atrias-pro.fr</t>
  </si>
  <si>
    <t xml:space="preserve">15 Rue Bernoulli, Paris, Ile-de-France, France, 75008</t>
  </si>
  <si>
    <t xml:space="preserve">Atrias Pro, courtier en assurance spécialisé dans la création de solutions d'assurance en construction, immobilier et pro .</t>
  </si>
  <si>
    <t>Jabol</t>
  </si>
  <si>
    <t>Ekie</t>
  </si>
  <si>
    <t>rjabol@avostart.fr</t>
  </si>
  <si>
    <t xml:space="preserve">legal services</t>
  </si>
  <si>
    <t>http://www.linkedin.com/in/raphaeljabol</t>
  </si>
  <si>
    <t>http://www.ekie.co</t>
  </si>
  <si>
    <t xml:space="preserve">Pour les entreprises en quête du meilleur équilibre, le Legal Care pour vos collaborateurs. Plus de 200 000 salariés bénéficient de notre service de Legal Care.</t>
  </si>
  <si>
    <t>Salembier</t>
  </si>
  <si>
    <t xml:space="preserve">Add Value</t>
  </si>
  <si>
    <t>benoit.salembier@add-value.fr</t>
  </si>
  <si>
    <t>http://www.linkedin.com/in/benoit-salembier-b461254b</t>
  </si>
  <si>
    <t>http://www.add-value.fr</t>
  </si>
  <si>
    <t xml:space="preserve">Add Value connecte les courtiers, groupements affinitaires et bancassureurs aux offres des meilleurs assureurs en risques d'entreprise IARD</t>
  </si>
  <si>
    <t>Limbergere</t>
  </si>
  <si>
    <t xml:space="preserve">GIE ASSURPOL ASSURANCE POLLUTION</t>
  </si>
  <si>
    <t>muriel.limbergere@assurpol.fr</t>
  </si>
  <si>
    <t>http://www.linkedin.com/in/muriel-limberg%c3%a8re-a4305250</t>
  </si>
  <si>
    <t>http://www.assurpol.fr</t>
  </si>
  <si>
    <t xml:space="preserve">10 Avenue de l'Arche, Ile-de-France, France, 92400</t>
  </si>
  <si>
    <t>Hautbourg</t>
  </si>
  <si>
    <t xml:space="preserve">PLANETE CSCA</t>
  </si>
  <si>
    <t>chautbourg@planetecsca.fr</t>
  </si>
  <si>
    <t>http://www.linkedin.com/in/christophe-hautbourg-04552425</t>
  </si>
  <si>
    <t>http://www.planetecsca.fr</t>
  </si>
  <si>
    <t xml:space="preserve">91 Rue Saint-Lazare, Paris, Ile-de-France, France, 75009</t>
  </si>
  <si>
    <t xml:space="preserve">PLANETE CSCA anime le dialogue social de la Branche, défend les intérêts de ses adhérents et les accompagne dans l’exercice de leur métier.</t>
  </si>
  <si>
    <t>MATH-PRÉVARIS</t>
  </si>
  <si>
    <t>c.legros@math-prevaris.com</t>
  </si>
  <si>
    <t>http://www.linkedin.com/in/c%c3%a9dric-legros-3553aa18a</t>
  </si>
  <si>
    <t>http://www.math-prevaris.com</t>
  </si>
  <si>
    <t xml:space="preserve">1 Boulevard Pierre Antoine Jm Dalgabio, Saint-Etienne, Rhone-Alpes, France, 42000</t>
  </si>
  <si>
    <t xml:space="preserve">Découvrez Math-Prévaris, une mutuelle à taille humaine et un courtier en assurance en qui avoir confiance pour protéger ses biens et sa famille</t>
  </si>
  <si>
    <t>Quenet</t>
  </si>
  <si>
    <t>aquenet@mutuellelacholetaise.fr</t>
  </si>
  <si>
    <t>http://www.linkedin.com/in/agn%c3%a8s-quenet-3b697996</t>
  </si>
  <si>
    <t>Uzan</t>
  </si>
  <si>
    <t>Wemind</t>
  </si>
  <si>
    <t>mikael@wemind.io</t>
  </si>
  <si>
    <t>http://www.linkedin.com/in/mikael-uzan-a450081</t>
  </si>
  <si>
    <t>http://www.wemind.io</t>
  </si>
  <si>
    <t xml:space="preserve">7 Avenue Gambetta, Paris, Ile-de-France, France, 75020</t>
  </si>
  <si>
    <t xml:space="preserve">Les avantages des grands groupes pour les indépendants : Mutuelle, Maintien des Revenus (Prévoyance), RC Pro, Comité d'Entreprise</t>
  </si>
  <si>
    <t>a.combe@innovie-conseil.co</t>
  </si>
  <si>
    <t>http://www.linkedin.com/in/adriencombe</t>
  </si>
  <si>
    <t>Saias</t>
  </si>
  <si>
    <t>hugo.saias@coverd.co</t>
  </si>
  <si>
    <t>http://www.linkedin.com/in/hugo-saias-39331549</t>
  </si>
  <si>
    <t>thibault@getowen.eu</t>
  </si>
  <si>
    <t>http://www.linkedin.com/in/archegolem</t>
  </si>
  <si>
    <t>Duray</t>
  </si>
  <si>
    <t xml:space="preserve">LIM Group</t>
  </si>
  <si>
    <t>lduray@lim-group.com</t>
  </si>
  <si>
    <t>http://www.linkedin.com/in/laurent-duray-921b9391</t>
  </si>
  <si>
    <t>http://www.legalim.co.uk</t>
  </si>
  <si>
    <t xml:space="preserve">1 North Street, Brierley Hill, England, United Kingdom, DY5 3QA</t>
  </si>
  <si>
    <t>Guizard</t>
  </si>
  <si>
    <t>CETRI</t>
  </si>
  <si>
    <t>patrice.guizard@cetri.fr</t>
  </si>
  <si>
    <t>http://www.linkedin.com/in/patrice-guizard-37257745</t>
  </si>
  <si>
    <t>http://www.cetri.fr</t>
  </si>
  <si>
    <t xml:space="preserve">40 Rue Vignon, Paris, Ile-de-France, France, 75009</t>
  </si>
  <si>
    <t>Joy</t>
  </si>
  <si>
    <t>Vivies</t>
  </si>
  <si>
    <t>j.devivies@hoken.fr</t>
  </si>
  <si>
    <t>http://www.linkedin.com/in/joy-de-vivies-229ba9114</t>
  </si>
  <si>
    <t xml:space="preserve">ASSURFIN GROUPE</t>
  </si>
  <si>
    <t>eric.fontaine@assurfin.fr</t>
  </si>
  <si>
    <t>http://www.linkedin.com/in/eric-fontaine-4b036016</t>
  </si>
  <si>
    <t>http://www.assurfin.fr</t>
  </si>
  <si>
    <t xml:space="preserve">159 Rue du Faubourg Poissonniere, Paris, Ile-de-France, France, 75009</t>
  </si>
  <si>
    <t>Seigneurens</t>
  </si>
  <si>
    <t>Mutlog</t>
  </si>
  <si>
    <t>luc.deseigneurens@mutlog.fr</t>
  </si>
  <si>
    <t>http://www.linkedin.com/in/luc-de-seigneurens-6a4152</t>
  </si>
  <si>
    <t>http://www.mutlog.fr</t>
  </si>
  <si>
    <t xml:space="preserve">Accéder au site afin d'avoir accès à toutes les informations sur notre Mutuelle du Logement. Actualités, Institutionnel, Produits, Critères CCSF, Tarification..</t>
  </si>
  <si>
    <t>Anne-Claude</t>
  </si>
  <si>
    <t>Pont</t>
  </si>
  <si>
    <t xml:space="preserve">Executive Chairman &amp; co-founder</t>
  </si>
  <si>
    <t>wilov</t>
  </si>
  <si>
    <t>ac.pont@wilov.com</t>
  </si>
  <si>
    <t>http://www.linkedin.com/in/anne-claude-pont-000a1a4</t>
  </si>
  <si>
    <t>http://www.wilov.com</t>
  </si>
  <si>
    <t xml:space="preserve">76 Rue de Rennes, Paris, Ile-de-France, France, 75006</t>
  </si>
  <si>
    <t xml:space="preserve">Assurance auto en ligne : tarif en moins de 2 mins. Souscription en moins de 10 mins. Payez à l'usage, économisez jusqu'à 30% sur votre assurance auto tous risques. wilov, simple, transparent, sans engagement.</t>
  </si>
  <si>
    <t>Makhzoum</t>
  </si>
  <si>
    <t xml:space="preserve">AZURIA COURTAGE</t>
  </si>
  <si>
    <t>julien@azuria-courtage.fr</t>
  </si>
  <si>
    <t>http://www.linkedin.com/in/julien-makhzoum-229b779b</t>
  </si>
  <si>
    <t>http://www.azuria-courtage.fr</t>
  </si>
  <si>
    <t xml:space="preserve">1501 Route des Dolines, Valbonne, Provence-Alpes-Cote d'Azur, France, 06560</t>
  </si>
  <si>
    <t xml:space="preserve">AZURIA COURTAGE
Azuria Courtage est un cabinet d’assurances spécialisé dans la Protection Sociale du chef d’Entreprise et de ses salariés. Mon métier consiste à mettre en concurrence les différentes compagnies d’assurance afin d’apporter les meilleures solutions en matière de Complémentaire Santé, Prévoyance, Retraite et Epargne du dirigeant et</t>
  </si>
  <si>
    <t>Gleise</t>
  </si>
  <si>
    <t>maxime.gleise@mutlog.fr</t>
  </si>
  <si>
    <t>http://www.linkedin.com/in/maxime-gleise-7241629a</t>
  </si>
  <si>
    <t xml:space="preserve">75 Quai de la Seine, Paris, Ile-de-France, France, 75019</t>
  </si>
  <si>
    <t>Lerouge</t>
  </si>
  <si>
    <t xml:space="preserve">As Solutions Courtier Grossiste</t>
  </si>
  <si>
    <t>jc.lerouge@as-solutions.fr</t>
  </si>
  <si>
    <t>http://www.linkedin.com/in/jean-christophe-lerouge</t>
  </si>
  <si>
    <t>http://www.as-solutions.fr</t>
  </si>
  <si>
    <t>Sautet</t>
  </si>
  <si>
    <t>emile.sautet@qivio.fr</t>
  </si>
  <si>
    <t>http://www.linkedin.com/in/emile-sautet-484a2b127</t>
  </si>
  <si>
    <t>NEVIDIS</t>
  </si>
  <si>
    <t>dsibony@nevidis.fr</t>
  </si>
  <si>
    <t>http://www.linkedin.com/in/delphine-sibony-33310782</t>
  </si>
  <si>
    <t>http://www.nevidis.fr</t>
  </si>
  <si>
    <t xml:space="preserve">23 Rue Royale, Paris, Ile-de-France, France, 75008</t>
  </si>
  <si>
    <t>Ben-Henia</t>
  </si>
  <si>
    <t xml:space="preserve">Co-founder and associate</t>
  </si>
  <si>
    <t xml:space="preserve">Actuaires &amp; Associés</t>
  </si>
  <si>
    <t>kais.benhenia@actuaires-associes.com</t>
  </si>
  <si>
    <t>http://www.linkedin.com/in/kais-ben-henia</t>
  </si>
  <si>
    <t>http://www.actuaires-associes.com</t>
  </si>
  <si>
    <t xml:space="preserve">Actuaires Conseils Indépendants - Cabinet Actuariat Indépendant</t>
  </si>
  <si>
    <t>p.stanislas@wilov.com</t>
  </si>
  <si>
    <t>http://www.linkedin.com/in/pstanislas</t>
  </si>
  <si>
    <t>Pierron</t>
  </si>
  <si>
    <t>datafolio</t>
  </si>
  <si>
    <t>epierron@datafolio.io</t>
  </si>
  <si>
    <t>http://www.linkedin.com/in/emmanuelyvespierron</t>
  </si>
  <si>
    <t>http://www.datafolio.com</t>
  </si>
  <si>
    <t xml:space="preserve">We make your users travel insured from any risk.</t>
  </si>
  <si>
    <t xml:space="preserve">CEO - B to C Health insurance Sales - base of modeling for datas in Health insurance</t>
  </si>
  <si>
    <t xml:space="preserve">Accès Santé</t>
  </si>
  <si>
    <t>vdupont@asps.fr</t>
  </si>
  <si>
    <t>http://www.linkedin.com/in/vincent-dupont-52934571</t>
  </si>
  <si>
    <t>http://www.accessante.fr</t>
  </si>
  <si>
    <t>Pacy-sur-Eure</t>
  </si>
  <si>
    <t xml:space="preserve">Avenue des Canadiens, Rouen, Upper Normandy, France, 76100</t>
  </si>
  <si>
    <t xml:space="preserve">Accessante vous propose un comparateur complet des mutuelles et assurances santé pour sénior en ligne et gratuit. Pour nous contacter ➤ ✆ 02 32 24 12 48</t>
  </si>
  <si>
    <t>Hamelin</t>
  </si>
  <si>
    <t xml:space="preserve">Youfirst Assurances</t>
  </si>
  <si>
    <t>hh@youfirst-assurances.fr</t>
  </si>
  <si>
    <t>http://www.linkedin.com/in/henry-hamelin-738291100</t>
  </si>
  <si>
    <t>http://www.youfirst-assurances.fr</t>
  </si>
  <si>
    <t xml:space="preserve">177 Avenue Achille Peretti, Neuilly-sur-Seine, Ile-de-France, France, 92200</t>
  </si>
  <si>
    <t xml:space="preserve">C’est une nouvelle économie basée sur la recommandation. Youfirst Assuances place l’interaction humaine au centre de son système.</t>
  </si>
  <si>
    <t>Pinoche</t>
  </si>
  <si>
    <t xml:space="preserve">Patrim One Assurances</t>
  </si>
  <si>
    <t>mpinoche@patrimone.com</t>
  </si>
  <si>
    <t>http://www.linkedin.com/in/marc-pinoche-a0817145</t>
  </si>
  <si>
    <t>http://www.patrimone.com</t>
  </si>
  <si>
    <t xml:space="preserve">33 Rue de Naples, Paris, Ile-de-France, France, 75008</t>
  </si>
  <si>
    <t>Ugljesic</t>
  </si>
  <si>
    <t>MNSPF</t>
  </si>
  <si>
    <t>mario.ugljesic@mnspf.fr</t>
  </si>
  <si>
    <t>http://www.linkedin.com/in/mario-ugljesic-96849610</t>
  </si>
  <si>
    <t>http://www.mnspf.fr</t>
  </si>
  <si>
    <t xml:space="preserve">6 Boulevard Deodat de Severac, Colomiers, Midi-Pyrenees, France, 31770</t>
  </si>
  <si>
    <t xml:space="preserve">La MNSPF protège la santé et l'avenir des sapeurs-pompiers et de leurs familles depuis plus de trente ans.</t>
  </si>
  <si>
    <t>Cazes</t>
  </si>
  <si>
    <t>fabien@neat.eu</t>
  </si>
  <si>
    <t>http://www.linkedin.com/in/fabien-cazes-380a4869</t>
  </si>
  <si>
    <t>Hajer</t>
  </si>
  <si>
    <t>Gorgi</t>
  </si>
  <si>
    <t>Flitter</t>
  </si>
  <si>
    <t>hajer@flitter.fr</t>
  </si>
  <si>
    <t>http://www.linkedin.com/in/hajer-gorgi</t>
  </si>
  <si>
    <t>http://www.flitter.fr</t>
  </si>
  <si>
    <t xml:space="preserve">Flitter est une assurance auto au kilomètre simple, rapide et transparente. Avec Flitter, moins vous roulez, moins vous payez, en toute simplicité.</t>
  </si>
  <si>
    <t>Dumora</t>
  </si>
  <si>
    <t>arnaud@flitter.fr</t>
  </si>
  <si>
    <t>http://www.linkedin.com/in/arnaud-dumora-ab74b3a5</t>
  </si>
  <si>
    <t>jacky.dufourcq@aps-prevoyance.fr</t>
  </si>
  <si>
    <t>http://www.linkedin.com/in/jacky-dufourcq-86447789</t>
  </si>
  <si>
    <t>Chateaurenard</t>
  </si>
  <si>
    <t>Richshoffer</t>
  </si>
  <si>
    <t xml:space="preserve">Pegase Insurance</t>
  </si>
  <si>
    <t>geraldine.richshoffer@pegase-insurance.com</t>
  </si>
  <si>
    <t>http://www.linkedin.com/in/geraldine-richshoffer</t>
  </si>
  <si>
    <t>http://www.pegase-insurance.com</t>
  </si>
  <si>
    <t xml:space="preserve">Chantilly, Picardy, France</t>
  </si>
  <si>
    <t xml:space="preserve">Référence de l'assurance des chevaux en France. Pegase Insurance vous propose des assurances complètes pour assurer votre cheval, écurie, van, camions, cavaliers et équipements.</t>
  </si>
  <si>
    <t>Nadia</t>
  </si>
  <si>
    <t>Kalah</t>
  </si>
  <si>
    <t xml:space="preserve">Avenir Prévoyance</t>
  </si>
  <si>
    <t>nkalah@avenirprevoyance.com</t>
  </si>
  <si>
    <t>http://www.linkedin.com/in/nadia-kalah-a5225083</t>
  </si>
  <si>
    <t>http://www.avenirprevoyance.com</t>
  </si>
  <si>
    <t xml:space="preserve">283 Rue de l'Etang, Limonest, Auvergne-Rhone-Alpes, France, 69760</t>
  </si>
  <si>
    <t xml:space="preserve">Cabinet d'experts en assurances et patrimoine. Nous accompagnons professionnels et particuliers pour répondre au mieux à leurs attentes.</t>
  </si>
  <si>
    <t>Staehly</t>
  </si>
  <si>
    <t xml:space="preserve">🟠 MCA</t>
  </si>
  <si>
    <t>staehlysabine@mc-alsace.fr</t>
  </si>
  <si>
    <t>http://www.linkedin.com/in/sabine-staehly-455242178</t>
  </si>
  <si>
    <t>http://www.mc-alsace.fr</t>
  </si>
  <si>
    <t xml:space="preserve">Colmar, Grand Est, France, 68000</t>
  </si>
  <si>
    <t>Asserin</t>
  </si>
  <si>
    <t>ZenLocAssur</t>
  </si>
  <si>
    <t>benoit.asserin@zenlocassur.com</t>
  </si>
  <si>
    <t>http://www.linkedin.com/in/benoitasser</t>
  </si>
  <si>
    <t>http://www.zensa.lu</t>
  </si>
  <si>
    <t xml:space="preserve">4 Rue des Prunelles, Mondorf-les-Bains, Grevenmacher, Luxembourg, 5639</t>
  </si>
  <si>
    <t xml:space="preserve">Logiciel d'assurance avec gestion des réseaux de ventes, calcul de commissions, parcours de ventes digitalisés, signatures électroniques, ventes sur tablettes, Crm, pour assureurs, mutuelles, délégataires de gestion, sociétés de conseils en assurance, courtiers grossistes. Avec ZEN Assurance simple d'utilisation.</t>
  </si>
  <si>
    <t>Descamps</t>
  </si>
  <si>
    <t xml:space="preserve">Diot-Siaci Immobilier</t>
  </si>
  <si>
    <t>odescamps@diot.com</t>
  </si>
  <si>
    <t>http://www.linkedin.com/in/olivier-descamps-2a945838</t>
  </si>
  <si>
    <t>http://www.diot-immobilier.com</t>
  </si>
  <si>
    <t>Albenois</t>
  </si>
  <si>
    <t xml:space="preserve">Auxilia Courtage</t>
  </si>
  <si>
    <t>bernard.albenois@auxilia-courtage.fr</t>
  </si>
  <si>
    <t>http://www.linkedin.com/in/bernard-albenois-38a389a0</t>
  </si>
  <si>
    <t>http://www.auxilia-courtage.fr</t>
  </si>
  <si>
    <t xml:space="preserve">La majorité des entreprises ne sont pas assurées. Voilà pourquoi Auxilia courtage, courtier en assurance en PACA pour professionnels propose de nombreuses solutions d'assurance.</t>
  </si>
  <si>
    <t>Fillaud</t>
  </si>
  <si>
    <t>Comparadise</t>
  </si>
  <si>
    <t>jfillaud@comparadise.com</t>
  </si>
  <si>
    <t>http://www.linkedin.com/in/julien-fillaud</t>
  </si>
  <si>
    <t>http://www.comparadise.com</t>
  </si>
  <si>
    <t xml:space="preserve">Comparadise édite des comparateurs d'assurance et permet aux assureurs et courtiers de trouver des prospects qualifiés en assurance</t>
  </si>
  <si>
    <t>Zieleskiewicz</t>
  </si>
  <si>
    <t xml:space="preserve">LBC ASSOCIES</t>
  </si>
  <si>
    <t>ian.zieleskiewicz@lbcassocies.fr</t>
  </si>
  <si>
    <t>http://www.linkedin.com/in/ian-zieleskiewicz-2a719089</t>
  </si>
  <si>
    <t>http://www.lbcassocies.fr</t>
  </si>
  <si>
    <t xml:space="preserve">30 Rue Auguste Fresnel, Saint-Priest, Auvergne-Rhone-Alpes, France, 69800</t>
  </si>
  <si>
    <t xml:space="preserve">Expert en couverture des risques d'entreprises, LBC associés est un cabinet de conseil et de courtage d'assurance, qui propose les meilleures garanties au meilleur coût.</t>
  </si>
  <si>
    <t>Debair</t>
  </si>
  <si>
    <t>Selexium</t>
  </si>
  <si>
    <t>sdebair@selexium.com</t>
  </si>
  <si>
    <t>http://www.linkedin.com/in/stephanedebair</t>
  </si>
  <si>
    <t>http://www.selexium.com</t>
  </si>
  <si>
    <t xml:space="preserve">Que ce soit aux nouveaux habitants, aux étudiants en études supérieures, ou aux investisseurs, ils sont de plus en plus nombreux à miser sur Lille.</t>
  </si>
  <si>
    <t>Chenut</t>
  </si>
  <si>
    <t>hubert@cnc-expertise.com</t>
  </si>
  <si>
    <t>http://www.linkedin.com/in/cousinhub</t>
  </si>
  <si>
    <t>Mattei</t>
  </si>
  <si>
    <t>marion.mattei@accteam.fr</t>
  </si>
  <si>
    <t>http://www.linkedin.com/in/marionmattei</t>
  </si>
  <si>
    <t xml:space="preserve">Médicis la mutuelle retraite des indépendants et entrepreneurs</t>
  </si>
  <si>
    <t>mclerc@mutuelle-medicis.com</t>
  </si>
  <si>
    <t>http://www.linkedin.com/in/michel-clerc-13725b1b</t>
  </si>
  <si>
    <t>http://www.mutuelle-medicis.com</t>
  </si>
  <si>
    <t xml:space="preserve">12 Rue Mederic, Paris, Ile-de-France, France, 75017</t>
  </si>
  <si>
    <t xml:space="preserve">Médicis accompagne les indépendants pour préparer leur retraite et optimiser leur épargne. Conseils personnalisés, défiscalisation, plans adaptés et avantages exclusifs. Prenez rendez-vous pour sécuriser votre avenir financier et celui de vos proches.</t>
  </si>
  <si>
    <t>Frizon</t>
  </si>
  <si>
    <t xml:space="preserve">MUTUELLE DES SERVICES PUBLICS</t>
  </si>
  <si>
    <t>cyril.frizon@mutuelle-msp.fr</t>
  </si>
  <si>
    <t>http://www.linkedin.com/in/frizon-cyril-3a261046</t>
  </si>
  <si>
    <t>http://www.mutuelle-msp.fr</t>
  </si>
  <si>
    <t xml:space="preserve">1 Rue Francois Moisson, Marseille, Provence-Alpes-Cote d'Azur, France, 13002</t>
  </si>
  <si>
    <t xml:space="preserve">La Mutuelle des Services Publics, une mutuelle de fonctionnaires qui les connait et les protège depuis plus de 60 ans. Découvrez nos solutions.</t>
  </si>
  <si>
    <t>Rapine</t>
  </si>
  <si>
    <t>ASSERCAR</t>
  </si>
  <si>
    <t>stephane.rapine@assercar.fr</t>
  </si>
  <si>
    <t>http://www.linkedin.com/in/st%c3%a9phane-rapin%c3%a9-044b322b</t>
  </si>
  <si>
    <t>http://www.assercar.fr</t>
  </si>
  <si>
    <t xml:space="preserve">150 Rue Legendre, Paris, Ile-de-France, France, 75017</t>
  </si>
  <si>
    <t>Koubi</t>
  </si>
  <si>
    <t>Elyos.io</t>
  </si>
  <si>
    <t>kevin@elyos.io</t>
  </si>
  <si>
    <t>http://www.linkedin.com/in/kevin-koubi-6aa515152</t>
  </si>
  <si>
    <t>http://www.elyos.io</t>
  </si>
  <si>
    <t xml:space="preserve">5 Avenue Ingres, Paris, Ile-de-France, France, 75016</t>
  </si>
  <si>
    <t xml:space="preserve">CEO - Directeur Général, Président du Directoire, Administrateur</t>
  </si>
  <si>
    <t>vincent.cordier@ava.fr</t>
  </si>
  <si>
    <t>http://www.linkedin.com/in/vincent-cordier-70b550101</t>
  </si>
  <si>
    <t>Afif</t>
  </si>
  <si>
    <t>Nefikha</t>
  </si>
  <si>
    <t>Dirigeant-fondateur</t>
  </si>
  <si>
    <t xml:space="preserve">ActiPrev Assurances</t>
  </si>
  <si>
    <t>a.nefikha@actiprev.com</t>
  </si>
  <si>
    <t>http://www.linkedin.com/in/afif-nefikha</t>
  </si>
  <si>
    <t>http://www.actiprev.com</t>
  </si>
  <si>
    <t xml:space="preserve">Chez Actiprev Assurances, nous recherchons avant tout une relation de partenariat durable forgée par la confiance réciproque.</t>
  </si>
  <si>
    <t>Guemara</t>
  </si>
  <si>
    <t>ASSUR3D</t>
  </si>
  <si>
    <t>fguemara@assur3d.com</t>
  </si>
  <si>
    <t>http://www.linkedin.com/in/fguemara</t>
  </si>
  <si>
    <t>http://www.assur3d.com</t>
  </si>
  <si>
    <t xml:space="preserve">24 Rue Erlanger, Paris, Ile-de-France, France, 75016</t>
  </si>
  <si>
    <t xml:space="preserve">ASSUR3D, logiciel CRM pour courtier en assurance, un outil tout-en-un conçu pour simplifier la gestion de votre activité de courtage.</t>
  </si>
  <si>
    <t>Beal</t>
  </si>
  <si>
    <t xml:space="preserve">Mutuelle GSMC</t>
  </si>
  <si>
    <t>mbeal@mutuellegsmc.fr</t>
  </si>
  <si>
    <t>http://www.linkedin.com/in/mathieu-beal-949789143</t>
  </si>
  <si>
    <t>http://www.mutuelle-gsmc.fr</t>
  </si>
  <si>
    <t xml:space="preserve">95 Rue de Jemmapes, Lille, Hauts-de-France, France, 59800</t>
  </si>
  <si>
    <t xml:space="preserve">Mutuelle GSMC : mutuelle santé à but non lucratif qui accompagne les particuliers, indépendants et entreprises au quotidien dans leurs démarches santé et prévoyance.</t>
  </si>
  <si>
    <t xml:space="preserve">LA FLANDRE ASSURANCES</t>
  </si>
  <si>
    <t>pblouin@flandre-assurances.fr</t>
  </si>
  <si>
    <t>http://www.linkedin.com/in/philippe-herve-blouin-673a1a55</t>
  </si>
  <si>
    <t>http://www.flandre-assurances.fr</t>
  </si>
  <si>
    <t xml:space="preserve">Marcq-en-Baroeul, Nord-Pas-de-Calais, France</t>
  </si>
  <si>
    <t xml:space="preserve">Courtier en assurance pour entreprise, La Flandre Assurances vous apporte le meilleur des assurances au meilleur coût. Une Expertise reconnue depuis 1929.</t>
  </si>
  <si>
    <t>Bacchetta</t>
  </si>
  <si>
    <t>wedou.fr</t>
  </si>
  <si>
    <t>bacchetta@wedou.fr</t>
  </si>
  <si>
    <t>http://www.linkedin.com/in/patrick-bacchetta</t>
  </si>
  <si>
    <t>http://www.wedou.fr</t>
  </si>
  <si>
    <t xml:space="preserve">71 Rue des Saints-Peres, Paris, Ile-de-France, France, 75006</t>
  </si>
  <si>
    <t xml:space="preserve">Nous nous occupons de la résiliation de votre ancien contrat pour vous et de la mise en place de votre nouvelle assurance</t>
  </si>
  <si>
    <t>Soulie</t>
  </si>
  <si>
    <t xml:space="preserve">CEO &amp; Co-fondateur</t>
  </si>
  <si>
    <t>stanislas.soulie@qivio.fr</t>
  </si>
  <si>
    <t>http://www.linkedin.com/in/stanislassoulie</t>
  </si>
  <si>
    <t>Gergana</t>
  </si>
  <si>
    <t>Guberova</t>
  </si>
  <si>
    <t>g.guberova@wedou.fr</t>
  </si>
  <si>
    <t>http://www.linkedin.com/in/gergana-guberova-49a5aa8a</t>
  </si>
  <si>
    <t>Chavrier</t>
  </si>
  <si>
    <t>ASSURSAFE</t>
  </si>
  <si>
    <t>hugues.chavrier@assursafe.fr</t>
  </si>
  <si>
    <t>http://www.linkedin.com/in/hugues-chavrier-46533729</t>
  </si>
  <si>
    <t>http://www.assursafe.fr</t>
  </si>
  <si>
    <t xml:space="preserve">Lyon, Auvergne-Rhone-Alpes, France, 69006</t>
  </si>
  <si>
    <t xml:space="preserve">ASSURSAFE, une équipe expérimentée à votre service et spécialisée dans les assurances de l'immobilier, de la promotion et de la construction.</t>
  </si>
  <si>
    <t>Guez</t>
  </si>
  <si>
    <t>ASSUREA</t>
  </si>
  <si>
    <t>fguez@assurea.fr</t>
  </si>
  <si>
    <t>http://www.linkedin.com/in/fr%c3%a9d%c3%a9ric-guez-assurea</t>
  </si>
  <si>
    <t>http://www.assurea.fr</t>
  </si>
  <si>
    <t>Baste</t>
  </si>
  <si>
    <t xml:space="preserve">Associé Fondateur et Formateur TRICEPS</t>
  </si>
  <si>
    <t>p.baste@triceps.fr</t>
  </si>
  <si>
    <t>http://www.linkedin.com/in/pierre-yves-baste-9168a469</t>
  </si>
  <si>
    <t>Berengere</t>
  </si>
  <si>
    <t>Vachez</t>
  </si>
  <si>
    <t>berengerevachez@onlynnov.com</t>
  </si>
  <si>
    <t>http://www.linkedin.com/in/berengere-vachez-752328164</t>
  </si>
  <si>
    <t>D'Argence</t>
  </si>
  <si>
    <t xml:space="preserve">Groupe Sinalys</t>
  </si>
  <si>
    <t>fdargence@sinalys.com</t>
  </si>
  <si>
    <t>http://www.linkedin.com/in/francoisdargence</t>
  </si>
  <si>
    <t>http://www.sinalys.com</t>
  </si>
  <si>
    <t xml:space="preserve">13 Rue de Calais, Paris, Ile-de-France, France, 75009</t>
  </si>
  <si>
    <t xml:space="preserve">Sinalys est une société de conseil en actuariat qui développe des solutions logicielles de calcul pour les mutuelles et compagnies d'assurance</t>
  </si>
  <si>
    <t>Gourdes</t>
  </si>
  <si>
    <t>Ulygo</t>
  </si>
  <si>
    <t>pygourdes@ulygo.fr</t>
  </si>
  <si>
    <t>http://www.linkedin.com/in/gourd%c3%a8s-pierre-yves</t>
  </si>
  <si>
    <t>http://www.ulygo.fr</t>
  </si>
  <si>
    <t xml:space="preserve">Découvrez Ulygo, l'assurance des mobilités douces et alternatives. Assurez en ligne votre trottinette électrique, vélo et autres EDPM dès maintenant !</t>
  </si>
  <si>
    <t>Montenay</t>
  </si>
  <si>
    <t xml:space="preserve">ANTEVIS SAS</t>
  </si>
  <si>
    <t>francois.montenay@antevis.com</t>
  </si>
  <si>
    <t>http://www.linkedin.com/in/francoismontenay</t>
  </si>
  <si>
    <t>http://www.antevis.com</t>
  </si>
  <si>
    <t xml:space="preserve">20 Rue Edouard Rochet, Lyon, Auvergne-Rhone-Alpes, France, 69008</t>
  </si>
  <si>
    <t>Wery</t>
  </si>
  <si>
    <t xml:space="preserve">Mutuelle Entrenous</t>
  </si>
  <si>
    <t>hervewery@mutuelle-entrenous.fr</t>
  </si>
  <si>
    <t>http://www.linkedin.com/in/herve-wery-a0a89519</t>
  </si>
  <si>
    <t>http://www.mutuelle-entrenous.fr</t>
  </si>
  <si>
    <t xml:space="preserve">27 Allee Albert Sylvestre, Chambery, Rhone-Alpes, France, 73000</t>
  </si>
  <si>
    <t xml:space="preserve">Depuis 2015, nous oeuvrons à couvrir les besoins santé des particuliers, indépendants et professionnels. Obtenez un devis GRATUIT !</t>
  </si>
  <si>
    <t>Waltzer</t>
  </si>
  <si>
    <t>MAVIM</t>
  </si>
  <si>
    <t>g.waltzer@mavim.fr</t>
  </si>
  <si>
    <t>http://www.linkedin.com/in/guillaume-waltzer-176098252</t>
  </si>
  <si>
    <t>http://www.mavim.fr</t>
  </si>
  <si>
    <t xml:space="preserve">3 Passage de l'Hotel de ville, Mulhouse, Grand Est, France, 68100</t>
  </si>
  <si>
    <t xml:space="preserve">MAVIM le meilleur de la mutuelle d’assurance des biens et personnes pour protéger votre famille et assurer comme il se doit votre logement et votre voiture.</t>
  </si>
  <si>
    <t>Ronny</t>
  </si>
  <si>
    <t xml:space="preserve">CEO EDIIFICE</t>
  </si>
  <si>
    <t>Ediifice</t>
  </si>
  <si>
    <t>ronny.sebag@ediifice.com</t>
  </si>
  <si>
    <t>http://www.linkedin.com/in/ronny-sebag-3773a361</t>
  </si>
  <si>
    <t>http://www.ediifice.com</t>
  </si>
  <si>
    <t xml:space="preserve">26 Rue Pages, Suresnes, Ile-de-France, France, 92150</t>
  </si>
  <si>
    <t xml:space="preserve">Expert à vos côtés depuis 10 ans, EDIIFICE a été créé par la volonté de développer l'expertise dans le secteur de la construction et de l'immobilier du groupe SPIVIE Assurances.</t>
  </si>
  <si>
    <t>Gaudinot</t>
  </si>
  <si>
    <t>Claisy</t>
  </si>
  <si>
    <t>eric.gaudinot@claisy.com</t>
  </si>
  <si>
    <t>http://www.linkedin.com/in/eric-gaudinot-5a011947</t>
  </si>
  <si>
    <t>http://www.claisy.com</t>
  </si>
  <si>
    <t xml:space="preserve">Avec Claisy, garantissez la satisfaction de vos clients en assurant vos colis jusqu’à 100 000€, en résolvant vos litiges transports à travers une interface unique et sans contact avec le transporteur.</t>
  </si>
  <si>
    <t>Styve</t>
  </si>
  <si>
    <t>Tchachuang</t>
  </si>
  <si>
    <t xml:space="preserve">Diaspo Assur</t>
  </si>
  <si>
    <t>karel_yimga@diaspoassur.com</t>
  </si>
  <si>
    <t>http://www.linkedin.com/in/styve-tchachuang-89b349bb</t>
  </si>
  <si>
    <t>http://www.diaspoassur.com</t>
  </si>
  <si>
    <t xml:space="preserve">Douala, Littoral, Cameroon</t>
  </si>
  <si>
    <t>Bourret</t>
  </si>
  <si>
    <t xml:space="preserve">Founder - Principal Chief Executive Officer</t>
  </si>
  <si>
    <t>Yupwego</t>
  </si>
  <si>
    <t>pierre.bourret@yupwego.com</t>
  </si>
  <si>
    <t>http://www.linkedin.com/in/bourret-pierre-660309</t>
  </si>
  <si>
    <t>http://www.yupwego.com</t>
  </si>
  <si>
    <t xml:space="preserve">2 Place de Francfort, Lyon, Auvergne-Rhone-Alpes, France, 69003</t>
  </si>
  <si>
    <t xml:space="preserve">Get your travel insurance in just a few clicks with Yupwego. Comprehensive coverage tailored to all your travel needs.</t>
  </si>
  <si>
    <t>Sinton</t>
  </si>
  <si>
    <t>antoine@cnty.ai</t>
  </si>
  <si>
    <t>http://www.linkedin.com/in/antoinesinton</t>
  </si>
  <si>
    <t>Belfodil</t>
  </si>
  <si>
    <t>Brokoli</t>
  </si>
  <si>
    <t>jeremy@brokoli.fr</t>
  </si>
  <si>
    <t>http://www.linkedin.com/in/j%c3%a9r%c3%a9my-belfodil-47396875</t>
  </si>
  <si>
    <t>http://www.brokoliapp.com</t>
  </si>
  <si>
    <t xml:space="preserve">1 Placa de Pau Vila, Barcelona, Catalonia, Spain, 08003</t>
  </si>
  <si>
    <t>Carasso</t>
  </si>
  <si>
    <t>Assurup</t>
  </si>
  <si>
    <t>david@assurup.com</t>
  </si>
  <si>
    <t>http://www.linkedin.com/in/carassodavid</t>
  </si>
  <si>
    <t>http://www.assurup.com</t>
  </si>
  <si>
    <t xml:space="preserve">La solution d'assurances professionnelles 100 % en ligne pour freelances, auto-entrepreneurs, startup, TPE / PME, ... Souscrivez en 3 min et obtenez votre attestation immédiatement !</t>
  </si>
  <si>
    <t>Ferjani</t>
  </si>
  <si>
    <t>Segurta.tn</t>
  </si>
  <si>
    <t>mohamed.ferjani@segurta.tn</t>
  </si>
  <si>
    <t>http://www.linkedin.com/in/mohamed-ferjani-7a8461155</t>
  </si>
  <si>
    <t>http://www.segurta.tn</t>
  </si>
  <si>
    <t>Grâce</t>
  </si>
  <si>
    <t>quentin@grace-technology.io</t>
  </si>
  <si>
    <t>http://www.linkedin.com/in/quentin-roy-65862315a</t>
  </si>
  <si>
    <t>http://www.grace.io</t>
  </si>
  <si>
    <t xml:space="preserve">GRACE, la nouvelle norme de protection pour le luxe - Découvrez comment les marques de luxe protègent les biens exceptionnels de leurs clients contre le vol et plus encore.</t>
  </si>
  <si>
    <t>Willie</t>
  </si>
  <si>
    <t>Lekeufack</t>
  </si>
  <si>
    <t xml:space="preserve">good data</t>
  </si>
  <si>
    <t>willie.lekeufack@good-data.fr</t>
  </si>
  <si>
    <t>http://www.linkedin.com/in/willie-lekeufack-632a6ba5</t>
  </si>
  <si>
    <t>http://www.good-data.fr</t>
  </si>
  <si>
    <t xml:space="preserve">Boulevard Anatole France, Paris, Ile-de-France, France, 75016</t>
  </si>
  <si>
    <t>Zenou</t>
  </si>
  <si>
    <t>VYTOR</t>
  </si>
  <si>
    <t>emmanuel.zenou@vytor.fr</t>
  </si>
  <si>
    <t>http://www.linkedin.com/in/emmanuel-zenou</t>
  </si>
  <si>
    <t>http://www.vytor.fr</t>
  </si>
  <si>
    <t xml:space="preserve">123 Rue Jules Guesde, Levallois-Perret, Ile-de-France, France, 92300</t>
  </si>
  <si>
    <t xml:space="preserve">Donnez de l’assurance à votre épargne, accompagné par une équipe de professionnels en gestion de patrimoine</t>
  </si>
  <si>
    <t>Finas</t>
  </si>
  <si>
    <t>Jola</t>
  </si>
  <si>
    <t>bfinas@jolasolutions.com</t>
  </si>
  <si>
    <t>http://www.linkedin.com/in/bernard-finas-2aa9b018</t>
  </si>
  <si>
    <t>http://www.jolasolutions.com</t>
  </si>
  <si>
    <t xml:space="preserve">74 Rue Lecourbe, Paris, Ile-de-France, France, 75015</t>
  </si>
  <si>
    <t xml:space="preserve">Jola, solutions de gestion des risques. Conseil pour l'optimisation de votre stratégie d'assurance. Expert en construction de solutions d'assurance paramétrique, analyse des données modélisation des risques météorologiques. Secteur principaux : agriculture, énergie, assurance et réassurance.</t>
  </si>
  <si>
    <t>Mouilhade</t>
  </si>
  <si>
    <t>IPE</t>
  </si>
  <si>
    <t>pmouilhade@inspart.eu</t>
  </si>
  <si>
    <t>http://www.linkedin.com/in/pierre-mouilhade-44412331</t>
  </si>
  <si>
    <t>http://www.inspart.eu</t>
  </si>
  <si>
    <t xml:space="preserve">102 Avenue des Champs-Elysees, Paris, Ile-de-France, France, 75008</t>
  </si>
  <si>
    <t xml:space="preserve">IPE : Insurance Partners Europe solutions de consulting/courtage digital vertical pour vous accompagner de la conception produit à la distribution</t>
  </si>
  <si>
    <t xml:space="preserve">Partner &amp; co-founder at A&amp;RS</t>
  </si>
  <si>
    <t xml:space="preserve">Audit &amp; RiskSolutions</t>
  </si>
  <si>
    <t>a.lebail@arsolutions.fr</t>
  </si>
  <si>
    <t>http://www.linkedin.com/in/aur%c3%a9lien-le-bail-b9276418</t>
  </si>
  <si>
    <t>http://www.arsolutions.fr</t>
  </si>
  <si>
    <t xml:space="preserve">1 Cour du Havre, Paris, Ile-de-France, France, 75008</t>
  </si>
  <si>
    <t xml:space="preserve">A&amp;RS - Courtier en assurances spécialiste dans la gestion des risques des entreprises des secteurs de la Finance, Santé, High-Tech, Greentech</t>
  </si>
  <si>
    <t>Monnatte</t>
  </si>
  <si>
    <t xml:space="preserve">AUTOMOBILE CLUB PREVENTION</t>
  </si>
  <si>
    <t>jpmonnatte@acprevention.fr</t>
  </si>
  <si>
    <t>http://www.linkedin.com/in/jean-philippe-monnatte-36500b42</t>
  </si>
  <si>
    <t>http://www.acprevention.fr</t>
  </si>
  <si>
    <t>Grapeloux</t>
  </si>
  <si>
    <t xml:space="preserve">SGA CONSEIL</t>
  </si>
  <si>
    <t>sylvain.grapeloux@sgaconseil.fr</t>
  </si>
  <si>
    <t>http://www.linkedin.com/in/sylvain-grapeloux-45ba6427</t>
  </si>
  <si>
    <t>http://www.sgaconseil.fr</t>
  </si>
  <si>
    <t xml:space="preserve">4 Square de l'Aveyron, Paris, Ile-de-France, France, 75017</t>
  </si>
  <si>
    <t>Gere</t>
  </si>
  <si>
    <t xml:space="preserve">Assurance Singulière</t>
  </si>
  <si>
    <t>pierre.gere@assurance-singuliere.fr</t>
  </si>
  <si>
    <t>http://www.linkedin.com/in/pierre-gere-a6596914a</t>
  </si>
  <si>
    <t>http://www.assurance-singuliere.fr</t>
  </si>
  <si>
    <t xml:space="preserve">Sete, Occitanie, France, 34200</t>
  </si>
  <si>
    <t>Artusio</t>
  </si>
  <si>
    <t xml:space="preserve">Verspieren Côte d’Azur</t>
  </si>
  <si>
    <t>renaud.artusio@verspieren-cotedazur.com</t>
  </si>
  <si>
    <t>http://www.linkedin.com/in/renaud-artusio-4255815b</t>
  </si>
  <si>
    <t>http://www.verspieren-cotedazur.com</t>
  </si>
  <si>
    <t xml:space="preserve">4 Chemin de l'Arenas, Nice, Provence-Alpes-Cote d'Azur, France, 06200</t>
  </si>
  <si>
    <t xml:space="preserve">Verspieren Côte d’Azur est le 1er courtier en assurances qui intervient exclusivement sur les risques des entreprises,des professionnels et des collectivités de la Côte d'Azur.</t>
  </si>
  <si>
    <t>Pandolfi</t>
  </si>
  <si>
    <t>Santexpat.fr</t>
  </si>
  <si>
    <t>jc@santexpat.fr</t>
  </si>
  <si>
    <t>http://www.linkedin.com/in/jcpandolfi</t>
  </si>
  <si>
    <t>http://www.santexpat.fr</t>
  </si>
  <si>
    <t xml:space="preserve">28 Place de la Bourse, Paris, Ile-de-France, France, 75002</t>
  </si>
  <si>
    <t xml:space="preserve">1er comparateur d’assurance santé pour 3 millions de Français à l’étranger. Des offres sans surcoûts, des services santé personnalisés pour les expatriés, et des experts à votre écoute.</t>
  </si>
  <si>
    <t>Siegler</t>
  </si>
  <si>
    <t xml:space="preserve">MAIF International</t>
  </si>
  <si>
    <t>nicolas.siegler@maif.fr</t>
  </si>
  <si>
    <t>http://www.linkedin.com/in/nicolas-siegler-06187b</t>
  </si>
  <si>
    <t>http://www.maif.fr</t>
  </si>
  <si>
    <t xml:space="preserve">156 Rue de l'Universite, Paris, Ile-de-France, France, 75007</t>
  </si>
  <si>
    <t>elodie.paget@actelior.com</t>
  </si>
  <si>
    <t>http://www.linkedin.com/in/elodie-paget-13327bb</t>
  </si>
  <si>
    <t>Poupart</t>
  </si>
  <si>
    <t>Atekka</t>
  </si>
  <si>
    <t>apoupart@atekka.fr</t>
  </si>
  <si>
    <t>http://www.linkedin.com/in/antoine-poupart-0a55558b</t>
  </si>
  <si>
    <t>http://www.atekka.fr</t>
  </si>
  <si>
    <t xml:space="preserve">83 Avenue de la Grande Armee, Paris, Ile-de-France, France, 75116</t>
  </si>
  <si>
    <t>Choulette</t>
  </si>
  <si>
    <t xml:space="preserve">Associé, CEO</t>
  </si>
  <si>
    <t>Stream-Techs</t>
  </si>
  <si>
    <t>schoulette@valmen.fr</t>
  </si>
  <si>
    <t>http://www.linkedin.com/in/stephane-choulette-374b851b</t>
  </si>
  <si>
    <t>http://www.valmen.fr</t>
  </si>
  <si>
    <t>Jersol</t>
  </si>
  <si>
    <t>Insurté</t>
  </si>
  <si>
    <t>stephane.jersol@insurte.com</t>
  </si>
  <si>
    <t>http://www.linkedin.com/in/st%c3%a9phane-jersol-478a29100</t>
  </si>
  <si>
    <t>http://www.insurte.com</t>
  </si>
  <si>
    <t xml:space="preserve">7 Promenade du Fort, Caen, Lower Normandy, France, 14000</t>
  </si>
  <si>
    <t xml:space="preserve">Secure your trip with the best travel medical insurance. Get reliable coverage for medical emergencies and enjoy your journey abroad worry-free. Get an online quote now!</t>
  </si>
  <si>
    <t xml:space="preserve">CEO &amp; fondatrice LESEXPERTSSANTE.FR</t>
  </si>
  <si>
    <t>lesexpertssante.fr</t>
  </si>
  <si>
    <t>ines@lesexpertssante.fr</t>
  </si>
  <si>
    <t>http://www.linkedin.com/in/in%c3%a8s-zantour-054346218</t>
  </si>
  <si>
    <t>http://www.lesexpertssante.fr</t>
  </si>
  <si>
    <t xml:space="preserve">Comparez gratuitement votre Mutuelle Santé Sénior. Et recevez un devis personnalisé en moins d'une minute !</t>
  </si>
  <si>
    <t>Barron</t>
  </si>
  <si>
    <t xml:space="preserve">Mutuelle des sapeurs-pompiers de Paris</t>
  </si>
  <si>
    <t>denis.barron@mspp75.fr</t>
  </si>
  <si>
    <t>http://www.linkedin.com/in/denis-b-2680a710a</t>
  </si>
  <si>
    <t>http://www.mspp.fr</t>
  </si>
  <si>
    <t xml:space="preserve">Le Kremlin-Bicetre, Ile-de-France, France, 94270</t>
  </si>
  <si>
    <t xml:space="preserve">Une mutuelle créée par des pompiers pour les soldats du feu et leur famille. Des services qui facilitent le quotidien des sapeurs-pompiers.</t>
  </si>
  <si>
    <t>Ramauge</t>
  </si>
  <si>
    <t>Siegfried</t>
  </si>
  <si>
    <t xml:space="preserve">Actionnaire et fondateur</t>
  </si>
  <si>
    <t xml:space="preserve">ARTEX ASSURANCES</t>
  </si>
  <si>
    <t>s.ramauge@artex-assurances.com</t>
  </si>
  <si>
    <t>http://www.linkedin.com/in/ramaug%c3%a9-siegfried-177088132</t>
  </si>
  <si>
    <t>http://www.artex-assurances.com</t>
  </si>
  <si>
    <t>Saumur</t>
  </si>
  <si>
    <t xml:space="preserve">Artex Assurances - Votre partenaire d'assurance fiable. Solutions sur mesure pour protéger l'essentiel.</t>
  </si>
  <si>
    <t>Dumartin</t>
  </si>
  <si>
    <t>CRTL</t>
  </si>
  <si>
    <t>damien.dumartin@crtl.fr</t>
  </si>
  <si>
    <t>http://www.linkedin.com/in/damien-dumartin-834254160</t>
  </si>
  <si>
    <t>http://www.crtl.fr</t>
  </si>
  <si>
    <t xml:space="preserve">34 Boulevard de Grenelle, Paris, Ile-de-France, France, 75015</t>
  </si>
  <si>
    <t xml:space="preserve">CRTL est un cabinet d'expertises fondée en 2015 dédié à la gestion complète des sinistres marchandises transportées en France et à l’international.</t>
  </si>
  <si>
    <t>Koehl</t>
  </si>
  <si>
    <t xml:space="preserve">Koëhl Assurances et Gestion de Patrimoine</t>
  </si>
  <si>
    <t>charles.koehl@koehl-assurances.fr</t>
  </si>
  <si>
    <t>http://www.linkedin.com/in/charles-ko%c3%abhl-680a8a33</t>
  </si>
  <si>
    <t>http://www.koehl-assurances.fr</t>
  </si>
  <si>
    <t xml:space="preserve">Saint-Etienne, Rhone-Alpes, France</t>
  </si>
  <si>
    <t xml:space="preserve">Créé en 1976 par Philippe Koëhl, et rapidement rejoint par son épouse Josy Koëhl.La marque Koëhl Assurances est présente à Saint-Etienne et Lyon.</t>
  </si>
  <si>
    <t>Denefle</t>
  </si>
  <si>
    <t>GAREX</t>
  </si>
  <si>
    <t>fdenefle@garex.fr</t>
  </si>
  <si>
    <t>http://www.linkedin.com/in/fr%c3%a9d%c3%a9ric-denefle-155b1b121</t>
  </si>
  <si>
    <t>http://www.garex.fr</t>
  </si>
  <si>
    <t xml:space="preserve">Le GAREX est le leader mondial de l'assurance et réassurance des risques de guerre et assimilés maritimes et transport.</t>
  </si>
  <si>
    <t xml:space="preserve">Co-fondatrice et Co-Dirigeante</t>
  </si>
  <si>
    <t>alice.champenois@serenitrip.fr</t>
  </si>
  <si>
    <t>http://www.linkedin.com/in/alicechampenois</t>
  </si>
  <si>
    <t>Glen</t>
  </si>
  <si>
    <t>Kergunteuil</t>
  </si>
  <si>
    <t>glenkergunteuil@mutuelle-entrenous.fr</t>
  </si>
  <si>
    <t>http://www.linkedin.com/in/glen-kergunteuil-67143363</t>
  </si>
  <si>
    <t>Lemenuel</t>
  </si>
  <si>
    <t xml:space="preserve">MUTAME &amp; PLUS</t>
  </si>
  <si>
    <t>d.lemenuel@mutame.com</t>
  </si>
  <si>
    <t>http://www.linkedin.com/in/daniel-lemenuel-28242b20a</t>
  </si>
  <si>
    <t>http://www.mutame-plus.fr</t>
  </si>
  <si>
    <t>Martinvast</t>
  </si>
  <si>
    <t xml:space="preserve">Mutame &amp; Plus, la mutuelle experte de la fonction publique territoriale. Couverture santé et prévoyance adaptée aux agents territoriaux</t>
  </si>
  <si>
    <t>Surmont</t>
  </si>
  <si>
    <t>bdesurmont@planetecsca.fr</t>
  </si>
  <si>
    <t>http://www.linkedin.com/in/bertrand-de-surmont-34b9251b3</t>
  </si>
  <si>
    <t>Favale</t>
  </si>
  <si>
    <t>BEAH</t>
  </si>
  <si>
    <t>favalem@beah.fr</t>
  </si>
  <si>
    <t>http://www.linkedin.com/in/marco-favale-b2078645</t>
  </si>
  <si>
    <t>http://www.beagroup.eu</t>
  </si>
  <si>
    <t xml:space="preserve">5BIS Rue Kepler, Paris, Ile-de-France, France, 75116</t>
  </si>
  <si>
    <t xml:space="preserve">BEA Group accompagne les établissements de soins et les collectivités territoriales.</t>
  </si>
  <si>
    <t>Lamy</t>
  </si>
  <si>
    <t xml:space="preserve">LBC ASSURANCES</t>
  </si>
  <si>
    <t>herve@lbcassurances.fr</t>
  </si>
  <si>
    <t>http://www.linkedin.com/in/herv%c3%a9-lamy-4718011a8</t>
  </si>
  <si>
    <t>http://www.lbcassurances.fr</t>
  </si>
  <si>
    <t>Chemaze</t>
  </si>
  <si>
    <t xml:space="preserve">8 Rue de la Fougetterie, Aze, Pays de la Loire, France, 53200</t>
  </si>
  <si>
    <t xml:space="preserve">Président - Directeur Général</t>
  </si>
  <si>
    <t xml:space="preserve">Rambaud Labrosse</t>
  </si>
  <si>
    <t>i.rambaud@rambaud-labrosse.com</t>
  </si>
  <si>
    <t>http://www.linkedin.com/in/ivan-rambaud-6a4b50</t>
  </si>
  <si>
    <t>http://www.rambaud-labrosse.com</t>
  </si>
  <si>
    <t>Lassee</t>
  </si>
  <si>
    <t xml:space="preserve">ASSURANCES MARITIMES DE LASSEE</t>
  </si>
  <si>
    <t>gdelassee@assurances-delassee.com</t>
  </si>
  <si>
    <t>http://www.linkedin.com/in/geoffroy-de-lassee-4810a346</t>
  </si>
  <si>
    <t>http://www.delassee.com</t>
  </si>
  <si>
    <t>Traverse</t>
  </si>
  <si>
    <t>atraverse@lycea.fr</t>
  </si>
  <si>
    <t>http://www.linkedin.com/in/anthony-traverse-90576269</t>
  </si>
  <si>
    <t>Bergogne</t>
  </si>
  <si>
    <t>MUTAC</t>
  </si>
  <si>
    <t>philippe.bergogne@mutac.com</t>
  </si>
  <si>
    <t>http://www.linkedin.com/in/philippe-bergogne-62b7797a</t>
  </si>
  <si>
    <t>http://www.mutac.com</t>
  </si>
  <si>
    <t xml:space="preserve">771 Avenue Alfred Sauvy, Perols, Languedoc-Roussillon, France, 34470</t>
  </si>
  <si>
    <t xml:space="preserve">Mutac, spécialiste de l'assurance obsèques et contrat prévoyance inclue dans tous ses contrats: assistances et aide à l'organisation des obsèques. Avec MUTAC, choisissez plus qu'un contrat.</t>
  </si>
  <si>
    <t>Zougar</t>
  </si>
  <si>
    <t xml:space="preserve">CEO - Directeur général</t>
  </si>
  <si>
    <t xml:space="preserve">Les Courtiers De France</t>
  </si>
  <si>
    <t>yassine@lescourtiersdefrance.fr</t>
  </si>
  <si>
    <t>http://www.linkedin.com/in/yassine-zougar-91bb49156</t>
  </si>
  <si>
    <t>http://www.lescourtiersdefrance.fr</t>
  </si>
  <si>
    <t xml:space="preserve">Perpignan, Occitanie, France</t>
  </si>
  <si>
    <t xml:space="preserve">Les Courtiers De France, votre courtier d'assurance à Perpignan recherche pour vous des contrats qui correspondent à vos besoins.</t>
  </si>
  <si>
    <t>Morasset</t>
  </si>
  <si>
    <t>ALEXO</t>
  </si>
  <si>
    <t>laurent.morasset@alexo.fr</t>
  </si>
  <si>
    <t>http://www.linkedin.com/in/laurent-morasset-b5022986</t>
  </si>
  <si>
    <t>http://www.alexo.fr</t>
  </si>
  <si>
    <t>Boe</t>
  </si>
  <si>
    <t xml:space="preserve">6 Place d'Urdazuri, Saint-Jean-de-Luz, Nouvelle-Aquitaine, France, 64500</t>
  </si>
  <si>
    <t xml:space="preserve">Alexo, votre courtier en assurance professionnelle s’engage au quotidien : mutuelle, RC Pro, assurance flotte de véhicules, vos locaux pro.</t>
  </si>
  <si>
    <t>Meyrignac</t>
  </si>
  <si>
    <t xml:space="preserve">Associé fondateur &amp; expert en protection sociale et stratégie patrimoniale</t>
  </si>
  <si>
    <t>l.meyrignac@triceps.fr</t>
  </si>
  <si>
    <t>http://www.linkedin.com/in/laurent-meyrignac-a360466b</t>
  </si>
  <si>
    <t>jdlelong@perlib.fr</t>
  </si>
  <si>
    <t>http://www.linkedin.com/in/jean-dominique-lelong-79a62a2a</t>
  </si>
  <si>
    <t>maximilien@neat.eu</t>
  </si>
  <si>
    <t>http://www.linkedin.com/in/maximiliendauzet</t>
  </si>
  <si>
    <t>Daphne</t>
  </si>
  <si>
    <t>Vitton</t>
  </si>
  <si>
    <t xml:space="preserve">APRIL Canada Insurance</t>
  </si>
  <si>
    <t>daphne.devitton@april.ca</t>
  </si>
  <si>
    <t>http://www.linkedin.com/in/daphn%c3%a9-de-vitton-363487</t>
  </si>
  <si>
    <t>http://www.april.ca</t>
  </si>
  <si>
    <t xml:space="preserve">4405 Boulevard Lapiniere, Brossard, Quebec, Canada, J4Z 3T5</t>
  </si>
  <si>
    <t xml:space="preserve">As an independent wholesale broker (MGA), APRIL Canada simply offer people supports and protection when it matters.</t>
  </si>
  <si>
    <t>Soubirous</t>
  </si>
  <si>
    <t>Prefon</t>
  </si>
  <si>
    <t>philippe.soubirous@prefon.fr</t>
  </si>
  <si>
    <t>http://www.linkedin.com/in/philippe-soubirous-a49648129</t>
  </si>
  <si>
    <t>http://www.prefon.fr</t>
  </si>
  <si>
    <t xml:space="preserve">12 Rue de Courcelles, Paris, Ile-de-France, France, 75008</t>
  </si>
  <si>
    <t>Boismery</t>
  </si>
  <si>
    <t>lionel.boismery@aprilmarine.com</t>
  </si>
  <si>
    <t>http://www.linkedin.com/in/lionel-boismery-a1078a19</t>
  </si>
  <si>
    <t xml:space="preserve">Co-Founder &amp; Chief Operating Officer (COO)</t>
  </si>
  <si>
    <t>jeremy@assurup.com</t>
  </si>
  <si>
    <t>http://www.linkedin.com/in/jeremydahan</t>
  </si>
  <si>
    <t>Gazay</t>
  </si>
  <si>
    <t>Sedgwick</t>
  </si>
  <si>
    <t>xavier.gazay@fr.sedgwick.com</t>
  </si>
  <si>
    <t>http://www.linkedin.com/in/xaviergazay</t>
  </si>
  <si>
    <t>http://www.fr.sedgwick.com</t>
  </si>
  <si>
    <t xml:space="preserve">8 Storehouse Ln, Destrehan, Louisiana, United States, 70047-3806</t>
  </si>
  <si>
    <t>Baudiniere</t>
  </si>
  <si>
    <t>Coverity</t>
  </si>
  <si>
    <t>p.baudiniere@coverity.fr</t>
  </si>
  <si>
    <t>http://www.linkedin.com/in/philippe-baudiniere-06151871</t>
  </si>
  <si>
    <t>http://www.coverity.fr</t>
  </si>
  <si>
    <t xml:space="preserve">Chatellerault, Aquitaine-Limousin-Poitou-Charentes, France, 86100</t>
  </si>
  <si>
    <t>Quatannens</t>
  </si>
  <si>
    <t xml:space="preserve">Directeur des Opérations | Co-fondateur</t>
  </si>
  <si>
    <t>DUNE</t>
  </si>
  <si>
    <t>charles.quatannens@duneassurances.com</t>
  </si>
  <si>
    <t>http://www.linkedin.com/in/charles-quatannens-33b68015</t>
  </si>
  <si>
    <t>http://www.duneassurances.com</t>
  </si>
  <si>
    <t xml:space="preserve">DUNE est une agence de souscription d’assurances (MGA) nouvelle génération. Courtiers, découvrez nos offres exclusives Dommages Ouvrage.</t>
  </si>
  <si>
    <t>Guerrier</t>
  </si>
  <si>
    <t xml:space="preserve">Kareo horizon</t>
  </si>
  <si>
    <t>sguerrier@kareo-horizon.com</t>
  </si>
  <si>
    <t>http://www.linkedin.com/in/st%c3%a9phane-guerrier-91a6245b</t>
  </si>
  <si>
    <t>http://www.kareo-horizon.com</t>
  </si>
  <si>
    <t xml:space="preserve">3 Boulevard Richard Lenoir, Paris, Ile-de-France, France, 75011</t>
  </si>
  <si>
    <t xml:space="preserve">KAREO HORIZON KAREO HORIZON UN ACCOMPAGNEMENT SUR MESURE Kareo horizon, spécialiste de l’accompagnement et du Case Management, propose des solutions innovantes et sur mesure aux victimes d’accidents corporels.Sa mission consiste à accompagner les victimes par une approche résolument tournée vers l’humain. Le Case Manager va intervenir auprès de la victime pour faire une évaluation de</t>
  </si>
  <si>
    <t>Soukarieh</t>
  </si>
  <si>
    <t xml:space="preserve">Mésange Prévoyance</t>
  </si>
  <si>
    <t>j.soukarieh@mesange-prevoyance.fr</t>
  </si>
  <si>
    <t>http://www.linkedin.com/in/jadsoukarieh</t>
  </si>
  <si>
    <t>http://www.mesange-prevoyance.fr</t>
  </si>
  <si>
    <t xml:space="preserve">21 Rue Laffitte, Paris, Ile-de-France, France, 75009</t>
  </si>
  <si>
    <t xml:space="preserve">Depuis 25 ans, Mésange Prévoyance propose aux institutionnels professionnels de l’assurance, des solutions de gestion 100% personnalisable.</t>
  </si>
  <si>
    <t>Vandecasteele</t>
  </si>
  <si>
    <t xml:space="preserve">CEO &amp; Underwriter</t>
  </si>
  <si>
    <t xml:space="preserve">LMA5P Underwriting</t>
  </si>
  <si>
    <t>tvandecasteele@lma5p.io</t>
  </si>
  <si>
    <t>http://www.linkedin.com/in/thierryvandecasteele</t>
  </si>
  <si>
    <t>http://www.lma5pcourtage.fr</t>
  </si>
  <si>
    <t xml:space="preserve">180 Avenue du Prado, Marseille, Provence-Alpes-Cote d'Azur, France, 13008</t>
  </si>
  <si>
    <t xml:space="preserve">Votre devis en ligne en 3 min avec les assurances professionnelles LMA5P, adaptée aux TPE, PME, freelances et indépendants.</t>
  </si>
  <si>
    <t>caroline@brokoli.fr</t>
  </si>
  <si>
    <t>http://www.linkedin.com/in/caroline-h%c3%a9raud-967792b8</t>
  </si>
  <si>
    <t>Gerber</t>
  </si>
  <si>
    <t xml:space="preserve">LA SECURITE FAMILIALE</t>
  </si>
  <si>
    <t>ggerber@lasecuritefamiliale.com</t>
  </si>
  <si>
    <t>http://www.linkedin.com/in/guillaume-gerber-41283952</t>
  </si>
  <si>
    <t>http://www.lasecuritefamiliale.com</t>
  </si>
  <si>
    <t xml:space="preserve">La Sécurité Familiale : assurance vie en euros à capital garanti. Une autre conception de l'épargne en assurance vie. Découvrez notre société, notre assurance vie en euros à capital garanti.</t>
  </si>
  <si>
    <t>Fard</t>
  </si>
  <si>
    <t xml:space="preserve">Union des Assisteurs</t>
  </si>
  <si>
    <t>sfard@snsa.asso.fr</t>
  </si>
  <si>
    <t>http://www.linkedin.com/in/sa%c3%afd-fard-544056159</t>
  </si>
  <si>
    <t>http://www.uniondesassisteurs.fr</t>
  </si>
  <si>
    <t xml:space="preserve">18 Rue des Pyramides, Paris, Ile-de-France, France, 75001</t>
  </si>
  <si>
    <t xml:space="preserve">L'union des assisteurs a pour objet d’étudier et de défendre les intérêts généraux, matériels et moraux de la profession et plus particulièrement sa spécificité et son originalité</t>
  </si>
  <si>
    <t>Lavaure</t>
  </si>
  <si>
    <t xml:space="preserve">AIRBAG Courtage</t>
  </si>
  <si>
    <t>henri.lavaure@airbag-courtage.com</t>
  </si>
  <si>
    <t>http://www.linkedin.com/in/henri-lavaure-40253813</t>
  </si>
  <si>
    <t>http://www.airbag-courtage.com</t>
  </si>
  <si>
    <t xml:space="preserve">18 Rue des Deux Gares, Rueil-Malmaison, Ile-de-France, France, 92500</t>
  </si>
  <si>
    <t xml:space="preserve">Airbag est un courtier grossiste spécialisé dans le domaine de l’assurance construction « Décennale ». Découvrez vite les solutions d'assurances professionnelles dédiées aux artisans du bâtiment proposées par Airbag !</t>
  </si>
  <si>
    <t>Jacqueline</t>
  </si>
  <si>
    <t xml:space="preserve">MADP Assurances</t>
  </si>
  <si>
    <t>jmoreau@madpassurances.fr</t>
  </si>
  <si>
    <t>http://www.linkedin.com/in/jacqueline-moreau-2b5b7a233</t>
  </si>
  <si>
    <t>http://www.madp.fr</t>
  </si>
  <si>
    <t xml:space="preserve">44 Avenue George V, Paris, Ile-de-France, France, 75008</t>
  </si>
  <si>
    <t xml:space="preserve">L'assurance dédiée aux professionnels de santé et du bien-êtreUne société d'assurance mutuelle à taille humainespécialisée dans l’assurance des risques professionnelsNos actualités Une société d'assurance mutuelleMADP ASSURANCES a été créée en 1890 à l’initiative d’un groupe de pharmaciens soucieux de garantir leur responsabilité civile professionnelle.Nous sommes fiers d’accompagner depuis cette date nos sociétaires pharmaciens d’officine et</t>
  </si>
  <si>
    <t>Aimini</t>
  </si>
  <si>
    <t>jaimini@epargnefamily.com</t>
  </si>
  <si>
    <t>http://www.linkedin.com/in/jonathan-aimini-01a7871b3</t>
  </si>
  <si>
    <t>Nouaille</t>
  </si>
  <si>
    <t>i4CT</t>
  </si>
  <si>
    <t>fnouaille@iforct.com</t>
  </si>
  <si>
    <t>http://www.linkedin.com/in/frederic-nouaille-7a7a6410</t>
  </si>
  <si>
    <t>http://www.iforct.com</t>
  </si>
  <si>
    <t xml:space="preserve">47 Rue de Liege, Paris, Ile-de-France, France, 75008</t>
  </si>
  <si>
    <t xml:space="preserve">i4CT is an insurance solution to cover human clinical trials worldwide. Sponsors or their CRO can get online quotes, insurance certificates and insurance policies. Certificates and policies are issued</t>
  </si>
  <si>
    <t>Afakir</t>
  </si>
  <si>
    <t>mohamed@creaconseilassurances.fr</t>
  </si>
  <si>
    <t>http://www.linkedin.com/in/mohamed-afakir-6b361b241</t>
  </si>
  <si>
    <t xml:space="preserve">Co-foundateur &amp; CEO</t>
  </si>
  <si>
    <t xml:space="preserve">OIB Solutions</t>
  </si>
  <si>
    <t>david@oib-solutions.com</t>
  </si>
  <si>
    <t>http://www.linkedin.com/in/david-d-0520407</t>
  </si>
  <si>
    <t>http://www.oib-solutions.com</t>
  </si>
  <si>
    <t>Bitar</t>
  </si>
  <si>
    <t xml:space="preserve">PREMIUM FRANCE</t>
  </si>
  <si>
    <t>george@premiumbroking.com</t>
  </si>
  <si>
    <t>http://www.linkedin.com/in/george-bitar-41754212</t>
  </si>
  <si>
    <t>http://www.premiumbroking.com</t>
  </si>
  <si>
    <t>Legras</t>
  </si>
  <si>
    <t>emmanuel.legras@zenioo.com</t>
  </si>
  <si>
    <t>http://www.linkedin.com/in/emmanuel-legras-a547b6</t>
  </si>
  <si>
    <t>Delfino</t>
  </si>
  <si>
    <t xml:space="preserve">Owner - Fondateur  - Conseil en Gestion Privée (CGP)</t>
  </si>
  <si>
    <t xml:space="preserve">ASTERIA PATRIMOINE</t>
  </si>
  <si>
    <t>gdelfino@asteria-patrimoine.com</t>
  </si>
  <si>
    <t>http://www.linkedin.com/in/guillaume-delfino-226535150</t>
  </si>
  <si>
    <t>http://www.asteria-patrimoine.com</t>
  </si>
  <si>
    <t xml:space="preserve">La Crau</t>
  </si>
  <si>
    <t xml:space="preserve">Saint-Hilaire-de-Riez, Pays de la Loire, France, 85270</t>
  </si>
  <si>
    <t>Weil</t>
  </si>
  <si>
    <t xml:space="preserve">Groupe Prunay</t>
  </si>
  <si>
    <t>patrick.weil@groupeprunay.com</t>
  </si>
  <si>
    <t>http://www.linkedin.com/in/patrick-weil-4b3210ba</t>
  </si>
  <si>
    <t>http://www.groupe-prunay.com</t>
  </si>
  <si>
    <t xml:space="preserve">19 Chemin de Prunay, Louveciennes, Ile-de-France, France, 78430</t>
  </si>
  <si>
    <t>Li</t>
  </si>
  <si>
    <t>Cai</t>
  </si>
  <si>
    <t>Lyanne</t>
  </si>
  <si>
    <t>li@lyanne.fr</t>
  </si>
  <si>
    <t>http://www.linkedin.com/in/li-cai-9a6a855a</t>
  </si>
  <si>
    <t>http://www.lyanne.fr</t>
  </si>
  <si>
    <t xml:space="preserve">Lyanne est la solution de soutien destinée aux assureurs et courtier. Nous sommes les spécialistes dans le traitement des réclamations clients et des recours entre assureurs. Notre équipe juridique est pluridisciplinaire et intervient aussi bien sur les risques IARD particuliers que professionnels.</t>
  </si>
  <si>
    <t>Haumont</t>
  </si>
  <si>
    <t xml:space="preserve">SAAM Verspieren Group</t>
  </si>
  <si>
    <t>lhaumont@saam-assurance.com</t>
  </si>
  <si>
    <t>http://www.linkedin.com/in/laurent-haumont-502a8b73</t>
  </si>
  <si>
    <t>http://www.saam-assurance.com</t>
  </si>
  <si>
    <t xml:space="preserve">60 Rue de la Chaussee-d'Antin, Paris, Ile-de-France, France, 75009</t>
  </si>
  <si>
    <t xml:space="preserve">Volez, nous assurons</t>
  </si>
  <si>
    <t>Lafitte</t>
  </si>
  <si>
    <t xml:space="preserve">GEA ASSURANCES</t>
  </si>
  <si>
    <t>slafitte@gea-assurances.com</t>
  </si>
  <si>
    <t>http://www.linkedin.com/in/stephane-lafitte-1b1aa7142</t>
  </si>
  <si>
    <t>http://www.gea-assurances.com</t>
  </si>
  <si>
    <t xml:space="preserve">14 Rue Clapeyron, Paris, Ile-de-France, France, 75008</t>
  </si>
  <si>
    <t xml:space="preserve">Assureur spécialisé pour les métiers de l'hôtellerie. multirisque pro pour hôtel, restaurant, café, brasserie, traiteur, château et demeure historique.</t>
  </si>
  <si>
    <t>Christofer</t>
  </si>
  <si>
    <t>Dahlstroem</t>
  </si>
  <si>
    <t>c.dahlstrom@aiac.fr</t>
  </si>
  <si>
    <t>http://www.linkedin.com/in/christoferdahlstrom</t>
  </si>
  <si>
    <t>Yigitoglu</t>
  </si>
  <si>
    <t xml:space="preserve">CTO / CPO - Co-founder</t>
  </si>
  <si>
    <t>jean@secursus.com</t>
  </si>
  <si>
    <t>http://www.linkedin.com/in/jean-yigitoglu-90669a70</t>
  </si>
  <si>
    <t>Cadet</t>
  </si>
  <si>
    <t xml:space="preserve">Rhéa Assurance</t>
  </si>
  <si>
    <t>jonathan.cadet@rhea-assurance.com</t>
  </si>
  <si>
    <t>http://www.linkedin.com/in/jonathan-cadet-015787172</t>
  </si>
  <si>
    <t>http://www.rhea-assurance.com</t>
  </si>
  <si>
    <t xml:space="preserve">Morlaas, Nouvelle-Aquitaine, France, 64160</t>
  </si>
  <si>
    <t xml:space="preserve">Accueil du site Rhea. Retrouvez toutes nos offres d’assurances, finance, immobilier et services à destination des particuliers et des pros</t>
  </si>
  <si>
    <t>Saiz</t>
  </si>
  <si>
    <t xml:space="preserve">CEO - Courtier en assurance</t>
  </si>
  <si>
    <t xml:space="preserve">Chouette assurance</t>
  </si>
  <si>
    <t>saiz@chouette-assurance.fr</t>
  </si>
  <si>
    <t>http://www.linkedin.com/in/hervesaiz</t>
  </si>
  <si>
    <t>http://www.chouette-assurance.fr</t>
  </si>
  <si>
    <t xml:space="preserve">81 Rue Reaumur, Paris, Ile-de-France, France, 75002</t>
  </si>
  <si>
    <t xml:space="preserve">A la Recherche d'une bonne mutuelle + chouette courtier en assurance santé / emprunteur pour suivre et défendre vos Droits ? Bienvenue chez Chouette ;-) →</t>
  </si>
  <si>
    <t>Meriem</t>
  </si>
  <si>
    <t>Aouadi</t>
  </si>
  <si>
    <t xml:space="preserve">CEO Associée</t>
  </si>
  <si>
    <t>maouadi@assur3d.com</t>
  </si>
  <si>
    <t>http://www.linkedin.com/in/meriemaouadi</t>
  </si>
  <si>
    <t>Sauleman</t>
  </si>
  <si>
    <t xml:space="preserve">Président - Co-Founder</t>
  </si>
  <si>
    <t>Rickochet</t>
  </si>
  <si>
    <t>fabien@rickochet.fr</t>
  </si>
  <si>
    <t>http://www.linkedin.com/in/fabiensauleman</t>
  </si>
  <si>
    <t>http://www.rickochet.fr</t>
  </si>
  <si>
    <t xml:space="preserve">Rickochet propose la première assurance complémentaire chômage pour les salariés des entreprises engagées</t>
  </si>
  <si>
    <t>Boutkhil</t>
  </si>
  <si>
    <t>INFOCEA</t>
  </si>
  <si>
    <t>a.boutkhil@infocea.fr</t>
  </si>
  <si>
    <t>http://www.linkedin.com/in/abdellah-boutkhil-mba-82a325212</t>
  </si>
  <si>
    <t>http://www.infocea.fr</t>
  </si>
  <si>
    <t xml:space="preserve">9 Rue Marcel Sembat, Nantes, Pays de la Loire, France, 44100</t>
  </si>
  <si>
    <t xml:space="preserve">Infocea Assurances: Solutions fiables pour vos incertitudes. Tranquillité assurée.</t>
  </si>
  <si>
    <t>Estevez</t>
  </si>
  <si>
    <t xml:space="preserve">SYOUX ASSURANCES</t>
  </si>
  <si>
    <t>jestevez@syoux.net</t>
  </si>
  <si>
    <t>http://www.linkedin.com/in/j%c3%a9r%c3%b4me-estevez-7934985a</t>
  </si>
  <si>
    <t>http://www.syoux.net</t>
  </si>
  <si>
    <t xml:space="preserve">Fontenay-Tresigny, Ile-de-France, France, 77610</t>
  </si>
  <si>
    <t xml:space="preserve">1ère assurance santé remboursable, en France, qui offre des garanties ajustables et rembourse chaque année le montant des cotisations qui n'ont pas été dépensées. C'est malin, intelligent et très économique.</t>
  </si>
  <si>
    <t>arnaud.fournier@lyaprotect.com</t>
  </si>
  <si>
    <t>http://www.linkedin.com/in/arnaudfournier-lyon</t>
  </si>
  <si>
    <t>Gimel</t>
  </si>
  <si>
    <t xml:space="preserve">ETIK Assurance</t>
  </si>
  <si>
    <t>nicolas.gimel@etik-assurance.com</t>
  </si>
  <si>
    <t>http://www.linkedin.com/in/nicolas-gimel-14373976</t>
  </si>
  <si>
    <t>http://www.etik-assurance.com</t>
  </si>
  <si>
    <t xml:space="preserve">9 Chemin de la Brocardiere, Dardilly, Rhone-Alpes, France, 69570</t>
  </si>
  <si>
    <t xml:space="preserve">Assureur spécialiste de l'assurance professionnelle et de l'assurance dommage ouvrage, le cabinet Etik vous permet de trouver le meilleur tarif selon votre activité ou votre type de chantier.</t>
  </si>
  <si>
    <t>SMABTP</t>
  </si>
  <si>
    <t>jacques_chanut@groupe-sma.fr</t>
  </si>
  <si>
    <t>http://www.linkedin.com/in/jacques-chanut-275a9697</t>
  </si>
  <si>
    <t>http://www.groupe-sma.fr</t>
  </si>
  <si>
    <t xml:space="preserve">SMABTP répond à l'ensemble de vos besoins d'assurance : décennale, assurance de locaux professionnels, assurance auto, assurance vie, retraite, épargne, prévoyance, santé...</t>
  </si>
  <si>
    <t>Lenweiter</t>
  </si>
  <si>
    <t xml:space="preserve">Co-Founder,  CTO and Software Engineer</t>
  </si>
  <si>
    <t>martin@grace-technology.io</t>
  </si>
  <si>
    <t>http://www.linkedin.com/in/martin-lenweiter-2bb077b5</t>
  </si>
  <si>
    <t>Janoviez</t>
  </si>
  <si>
    <t>marie@getcaravel.fr</t>
  </si>
  <si>
    <t>http://www.linkedin.com/in/marie-janoviez-6362a184</t>
  </si>
  <si>
    <t>Muscat</t>
  </si>
  <si>
    <t xml:space="preserve">Bird Agency</t>
  </si>
  <si>
    <t>j.muscat@bird-agency.fr</t>
  </si>
  <si>
    <t>http://www.linkedin.com/in/jonathan-muscat-200105159</t>
  </si>
  <si>
    <t>http://www.bird-agency.fr</t>
  </si>
  <si>
    <t>Epinay-sous-Senart</t>
  </si>
  <si>
    <t xml:space="preserve">3 Rue du Petit Pont, Epinay-sous-Senart, Ile-de-France, France, 91860</t>
  </si>
  <si>
    <t>Carrega</t>
  </si>
  <si>
    <t>christian.carrega@prefon.fr</t>
  </si>
  <si>
    <t>http://www.linkedin.com/in/christian-carrega-2b225515</t>
  </si>
  <si>
    <t>Nako</t>
  </si>
  <si>
    <t xml:space="preserve">Associé Co-Fondateur</t>
  </si>
  <si>
    <t>xavier.nako@actuaires-associes.com</t>
  </si>
  <si>
    <t>http://www.linkedin.com/in/xavier-nako-47712612</t>
  </si>
  <si>
    <t>Lara</t>
  </si>
  <si>
    <t>lara.leperu@chevreuse-courtage.com</t>
  </si>
  <si>
    <t>http://www.linkedin.com/in/lara-le-p%c3%a9ru-4b336244</t>
  </si>
  <si>
    <t>Amira</t>
  </si>
  <si>
    <t>Nakouri</t>
  </si>
  <si>
    <t>Klaimy</t>
  </si>
  <si>
    <t>amira@getklaimy.com</t>
  </si>
  <si>
    <t>http://www.linkedin.com/in/amira-nakouri-1b729248</t>
  </si>
  <si>
    <t>http://www.getklaimy.com</t>
  </si>
  <si>
    <t xml:space="preserve">66 Rue Francois 1er, Paris, Ile-de-France, France, 75008</t>
  </si>
  <si>
    <t xml:space="preserve">Policyholders deserve the best experience possible. Join us on our way to help people when they need it the most! Step into Freedom – Let Klaimy Automate.</t>
  </si>
  <si>
    <t>Bourgeat</t>
  </si>
  <si>
    <t xml:space="preserve">DIRECTEUR EXECUTIF / CEO CHIEF EXECUTIVE OFFICER</t>
  </si>
  <si>
    <t xml:space="preserve">Signature Assurances</t>
  </si>
  <si>
    <t>m.bourgeat@signature-assurances.fr</t>
  </si>
  <si>
    <t>http://www.linkedin.com/in/michel-bourgeat-b2034124</t>
  </si>
  <si>
    <t>http://www.signature-assurances.fr</t>
  </si>
  <si>
    <t xml:space="preserve">25 Cours Albert Thomas, Lyon, Auvergne-Rhone-Alpes, France, 69003</t>
  </si>
  <si>
    <t xml:space="preserve">Notre objectif est de bousculer les codes du monde de l’assurance pour protéger au mieux les intérêts des propriétaires de lieux et de biens d’exceptions,</t>
  </si>
  <si>
    <t>Nadji</t>
  </si>
  <si>
    <t xml:space="preserve">Orizon Assurance</t>
  </si>
  <si>
    <t>mnadji@orizon-assurance.fr</t>
  </si>
  <si>
    <t>http://www.linkedin.com/in/mehdi-nadji-b3b56549</t>
  </si>
  <si>
    <t>http://www.orizon-assurance.fr</t>
  </si>
  <si>
    <t xml:space="preserve">56 Rue Ordener, Paris, Ile-de-France, France, 75018</t>
  </si>
  <si>
    <t xml:space="preserve">Courtier N°1 en assurance pour professionnels et particuliers ⭐ Garanties Modulables 🏆Prix Compétitifs ✔️ Devis en ligne</t>
  </si>
  <si>
    <t>Magnard</t>
  </si>
  <si>
    <t xml:space="preserve">Directrice Générale - Co fondatrice</t>
  </si>
  <si>
    <t>c.magnard@izeho.com</t>
  </si>
  <si>
    <t>http://www.linkedin.com/in/caroline-magnard-a25b0062</t>
  </si>
  <si>
    <t>Delagarde</t>
  </si>
  <si>
    <t>Tulip</t>
  </si>
  <si>
    <t>amaury.delagarde@mytulip.io</t>
  </si>
  <si>
    <t>http://www.linkedin.com/in/amaury-delagarde</t>
  </si>
  <si>
    <t>http://www.mytulip.io</t>
  </si>
  <si>
    <t xml:space="preserve">15 Square Vergennes, Paris, Ile-de-France, France, 75015</t>
  </si>
  <si>
    <t xml:space="preserve">Tulip est la première solution d'assurance qui permet à tous les loueurs de proposer en 3 clics une garantie casse et vol à ses clients.</t>
  </si>
  <si>
    <t>Yuri</t>
  </si>
  <si>
    <t>Narozniak</t>
  </si>
  <si>
    <t>ynarozniak@datafolio.io</t>
  </si>
  <si>
    <t>http://www.linkedin.com/in/yurinarozniak</t>
  </si>
  <si>
    <t>Didi</t>
  </si>
  <si>
    <t xml:space="preserve">Cabinet APEX</t>
  </si>
  <si>
    <t>julien.didi@cabinet-apex.fr</t>
  </si>
  <si>
    <t>http://www.linkedin.com/in/julien-didi-059b2568</t>
  </si>
  <si>
    <t>http://www.cabinet-apex.fr</t>
  </si>
  <si>
    <t xml:space="preserve">3 Rue Pierre Devaux, Serezin-du-Rhone, Auvergne-Rhone-Alpes, France, 69360</t>
  </si>
  <si>
    <t xml:space="preserve">Cabinet d’expertise spécialisé dans le domaine des sinistres industriels</t>
  </si>
  <si>
    <t>Bouslama</t>
  </si>
  <si>
    <t xml:space="preserve">Casoxia Conseil</t>
  </si>
  <si>
    <t>t.bouslama@casoxia.fr</t>
  </si>
  <si>
    <t>http://www.linkedin.com/in/tarek-bouslama-9a3709114</t>
  </si>
  <si>
    <t>http://www.casoxia.fr</t>
  </si>
  <si>
    <t xml:space="preserve">Optimisez votre patrimoine financier avec CASOXIA, cabinet spécialisé en gestion de patrimoine. Notre équipe de professionnels expérimentés vous guide vers les meilleures opportunités en matière de placement, épargne et retraite</t>
  </si>
  <si>
    <t>v.delporte@testamento.fr</t>
  </si>
  <si>
    <t>http://www.linkedin.com/in/virgiledelporte</t>
  </si>
  <si>
    <t>Lecerf</t>
  </si>
  <si>
    <t xml:space="preserve">Mutuelle LMP</t>
  </si>
  <si>
    <t>g.lecerf@mutuellelmp.fr</t>
  </si>
  <si>
    <t>http://www.linkedin.com/in/gregory-lecerf-85434aba</t>
  </si>
  <si>
    <t>http://www.mutuellelmp.fr</t>
  </si>
  <si>
    <t xml:space="preserve">11 Rue Albert Sarraut, Versailles, Ile-de-France, France, 78000</t>
  </si>
  <si>
    <t>Bing</t>
  </si>
  <si>
    <t>benjamin.bing@perlib.fr</t>
  </si>
  <si>
    <t>http://www.linkedin.com/in/benjamin-bing-b557a11b</t>
  </si>
  <si>
    <t>Raimi</t>
  </si>
  <si>
    <t>Adet</t>
  </si>
  <si>
    <t>ActuData</t>
  </si>
  <si>
    <t>raimi.adet@actudata.fr</t>
  </si>
  <si>
    <t>http://www.linkedin.com/in/raimi-adet-88b2387a</t>
  </si>
  <si>
    <t>http://www.actudata.fr</t>
  </si>
  <si>
    <t xml:space="preserve">205 Avenue Georges Clemenceau, Nanterre, Ile-de-France, France, 92000</t>
  </si>
  <si>
    <t>Woitier</t>
  </si>
  <si>
    <t>Neuros</t>
  </si>
  <si>
    <t>pascal.woitier@neuros.fr</t>
  </si>
  <si>
    <t>http://www.linkedin.com/in/pascal-woitier-a6767149</t>
  </si>
  <si>
    <t>http://www.neuros.fr</t>
  </si>
  <si>
    <t xml:space="preserve">71 Boulevard de Montmorency, Paris, Ile-de-France, France, 75016</t>
  </si>
  <si>
    <t>esolal@wellcov.com</t>
  </si>
  <si>
    <t>http://www.linkedin.com/in/ericsolal</t>
  </si>
  <si>
    <t>sacha@elyos.io</t>
  </si>
  <si>
    <t>http://www.linkedin.com/in/sacha-koubi-%f0%9f%8e%97%ef%b8%8f-487111114</t>
  </si>
  <si>
    <t>Yhuel</t>
  </si>
  <si>
    <t>SAVADEN</t>
  </si>
  <si>
    <t>josselin.yhuel@savaden.fr</t>
  </si>
  <si>
    <t>http://www.linkedin.com/in/josselin-yhuel-a7279147</t>
  </si>
  <si>
    <t>http://www.savaden.fr</t>
  </si>
  <si>
    <t>TODAY</t>
  </si>
  <si>
    <t>julien@opera.tech</t>
  </si>
  <si>
    <t>http://www.linkedin.com/in/julien-garcia</t>
  </si>
  <si>
    <t>http://www.to.day</t>
  </si>
  <si>
    <t xml:space="preserve">12 Place des Victoires, Paris, Ile-de-France, France, 75002</t>
  </si>
  <si>
    <t xml:space="preserve">Need insurance? Discover the new French insurance TODAY for pet, health, home, car and urban mobility</t>
  </si>
  <si>
    <t>Delfine</t>
  </si>
  <si>
    <t xml:space="preserve">Directrice Générale et Chief Financial Officer</t>
  </si>
  <si>
    <t>delfine@klian.fr</t>
  </si>
  <si>
    <t>http://www.linkedin.com/in/delfine-marcaud</t>
  </si>
  <si>
    <t>Lyne</t>
  </si>
  <si>
    <t>Stambouli</t>
  </si>
  <si>
    <t>EverRose</t>
  </si>
  <si>
    <t>lyne@everrose.com</t>
  </si>
  <si>
    <t>http://www.linkedin.com/in/lyne-stambouli-84305631</t>
  </si>
  <si>
    <t>http://www.everrose.com</t>
  </si>
  <si>
    <t xml:space="preserve">102 E Briggs Ave, Fairfield, Iowa, United States, 52556-2821</t>
  </si>
  <si>
    <t>Rull</t>
  </si>
  <si>
    <t>olivier@getcaravel.fr</t>
  </si>
  <si>
    <t>http://www.linkedin.com/in/rullolivier</t>
  </si>
  <si>
    <t>Gauvin</t>
  </si>
  <si>
    <t>thierry.gauvin@etik-assurance.com</t>
  </si>
  <si>
    <t>http://www.linkedin.com/in/thierry-gauvin-505a2a155</t>
  </si>
  <si>
    <t>Brian</t>
  </si>
  <si>
    <t>Johnson</t>
  </si>
  <si>
    <t xml:space="preserve">CEO Bridging Relational and Identification Consultants</t>
  </si>
  <si>
    <t>BRIC</t>
  </si>
  <si>
    <t>brian@bricartsmedia.org</t>
  </si>
  <si>
    <t>http://www.linkedin.com/in/brian-johnson-b342668</t>
  </si>
  <si>
    <t>http://www.bric.com.au</t>
  </si>
  <si>
    <t xml:space="preserve">Southbank, Victoria, Australia</t>
  </si>
  <si>
    <t xml:space="preserve">Bric brokers have been providing insurance, risk and financial services for the construction and engineering industries with offices throughout Melbourne and other cities in Australia.</t>
  </si>
  <si>
    <t>Charpilienne</t>
  </si>
  <si>
    <t>expaTPA</t>
  </si>
  <si>
    <t>sylvain@expatpa.fr</t>
  </si>
  <si>
    <t>http://www.linkedin.com/in/sylvain-charpilienne-66820a</t>
  </si>
  <si>
    <t>http://www.expatpa.com</t>
  </si>
  <si>
    <t xml:space="preserve">Président / Founder</t>
  </si>
  <si>
    <t xml:space="preserve">Shield Specialty Insurance</t>
  </si>
  <si>
    <t>luke.wilson@shieldspecialtyinsurance.com</t>
  </si>
  <si>
    <t>http://www.linkedin.com/in/lukewilson23</t>
  </si>
  <si>
    <t>http://www.shieldspecialtyinsurance.com</t>
  </si>
  <si>
    <t xml:space="preserve">We are an independent specialist insurance broking and risk management firm. We help clients better manage risk to prosper.</t>
  </si>
  <si>
    <t>RiskWeatherTech</t>
  </si>
  <si>
    <t>gilles.andre@riskweathertech.com</t>
  </si>
  <si>
    <t>http://www.linkedin.com/in/gilles-andre-a6048842</t>
  </si>
  <si>
    <t>http://www.riskweathertech.com</t>
  </si>
  <si>
    <t>Claudinon</t>
  </si>
  <si>
    <t xml:space="preserve">Alexis Assurances l'Assureur des ENR</t>
  </si>
  <si>
    <t>clement.claudinon@alexis-assurances.com</t>
  </si>
  <si>
    <t>http://www.linkedin.com/in/clementclaudinon</t>
  </si>
  <si>
    <t>http://www.alexis-assurances.com</t>
  </si>
  <si>
    <t xml:space="preserve">1 Rue Louis Juttet, Champagne-au-Mont-d'Or, Auvergne-Rhone-Alpes, France, 69410</t>
  </si>
  <si>
    <t xml:space="preserve">Alexis Assurances, courtier en assurance des énergies renouvelables : photovoltaïque, éolien, hydroélectricité, géothermie et métiers de la construction.</t>
  </si>
  <si>
    <t>Rin</t>
  </si>
  <si>
    <t xml:space="preserve">ACS Assurances Voyage &amp; Expatriation</t>
  </si>
  <si>
    <t>edarin@acs-ami.com</t>
  </si>
  <si>
    <t>http://www.linkedin.com/in/edouard-da-rin-2164961</t>
  </si>
  <si>
    <t>http://www.acs-ami.com</t>
  </si>
  <si>
    <t xml:space="preserve">153 Rue de l'Universite, Paris, Ile-de-France, France, 75007</t>
  </si>
  <si>
    <t xml:space="preserve">ACS, spécialiste des assurances voyage et expatriation, vous propose des garanties complètes et bien adaptées aux besoins de voyageurs et expatriés.</t>
  </si>
  <si>
    <t>Rain</t>
  </si>
  <si>
    <t>CREDYL</t>
  </si>
  <si>
    <t>d.rain@credyl.fr</t>
  </si>
  <si>
    <t>http://www.linkedin.com/in/dorian-rain-3771b2a9</t>
  </si>
  <si>
    <t>http://www.credyl.fr</t>
  </si>
  <si>
    <t xml:space="preserve">69 Avenue de Bayonne, Anglet, Nouvelle-Aquitaine, France, 64600</t>
  </si>
  <si>
    <t>Ollivier</t>
  </si>
  <si>
    <t xml:space="preserve">REMPART MUTUELLE</t>
  </si>
  <si>
    <t>d.ollivier@mutuelledurempart.fr</t>
  </si>
  <si>
    <t>http://www.linkedin.com/in/david-ollivier-0aa8bb173</t>
  </si>
  <si>
    <t>http://www.rempartmutuelle.fr</t>
  </si>
  <si>
    <t xml:space="preserve">1 Rue d'Austerlitz, Toulouse, Occitanie, France, 31000</t>
  </si>
  <si>
    <t xml:space="preserve">Rempart Mutuelle vous accompagne au quotidien pour tous vos besoins en complémentaire santé &amp; prévoyance.</t>
  </si>
  <si>
    <t>Katherine</t>
  </si>
  <si>
    <t>Graffin</t>
  </si>
  <si>
    <t>Mondassur</t>
  </si>
  <si>
    <t>kgraffin@mondassur.com</t>
  </si>
  <si>
    <t>http://www.linkedin.com/in/katherine-graffin-571527a</t>
  </si>
  <si>
    <t>http://www.mondassur.com</t>
  </si>
  <si>
    <t xml:space="preserve">148 Rue du Chateau, Boulogne-Billancourt, Ile-de-France, France, 92100</t>
  </si>
  <si>
    <t xml:space="preserve">Protégez votre santé à l'étranger. Demandez un devis en ligne gratuit en 2 minutes. Votre assurance santé internationale à partir de 27€.</t>
  </si>
  <si>
    <t>Chevallet</t>
  </si>
  <si>
    <t xml:space="preserve">Mon Courtier Frontalier</t>
  </si>
  <si>
    <t>dchevallet@moncourtierfrontalier.com</t>
  </si>
  <si>
    <t>http://www.linkedin.com/in/denise-chevallet-414309142</t>
  </si>
  <si>
    <t>http://www.moncourtierfrontalier.com</t>
  </si>
  <si>
    <t>Saint-Felix</t>
  </si>
  <si>
    <t xml:space="preserve">246 Chemin du Devin, Saint-Felix, Auvergne-Rhone-Alpes, France, 74540</t>
  </si>
  <si>
    <t xml:space="preserve">Mon Courtier Frontalier est votre conseiller spécialiste des frontaliers. Santé, prévoyance, retraite, épargne, votre expert vous accompagne.</t>
  </si>
  <si>
    <t>Raynal</t>
  </si>
  <si>
    <t xml:space="preserve">Président et Associé Fondateur</t>
  </si>
  <si>
    <t xml:space="preserve">Also Consulting</t>
  </si>
  <si>
    <t>vraynal@also-consulting.fr</t>
  </si>
  <si>
    <t>http://www.linkedin.com/in/vincent-raynal-8913a7103</t>
  </si>
  <si>
    <t>http://www.also-consulting.fr</t>
  </si>
  <si>
    <t xml:space="preserve">66 Quai Charles de Gaulle, Lyon, Auvergne-Rhone-Alpes, France, 69006</t>
  </si>
  <si>
    <t xml:space="preserve">Nous accompagnons les entreprises sur leurs régimes de Protection Sociale et d’Épargne Salariale, en leur proposant l’ensemble des conseils et services utiles sur ce type de régimes.</t>
  </si>
  <si>
    <t>Breuils</t>
  </si>
  <si>
    <t xml:space="preserve">CTO, Co-Founder</t>
  </si>
  <si>
    <t>p.breuils@wilov.com</t>
  </si>
  <si>
    <t>http://www.linkedin.com/in/philippe-breuils-86807b138</t>
  </si>
  <si>
    <t>Boudinaud</t>
  </si>
  <si>
    <t xml:space="preserve">Alphawave Fr</t>
  </si>
  <si>
    <t>thomas.boudinaud@alphawave.fr</t>
  </si>
  <si>
    <t>http://www.linkedin.com/in/thomas-boudinaud-aa889933</t>
  </si>
  <si>
    <t>http://www.alphawave.fr</t>
  </si>
  <si>
    <t xml:space="preserve">Alphawave développe le logiciel OSIRIS : une solution conçue pour vous aider à transformer les données et optimiser la qualité de vos données</t>
  </si>
  <si>
    <t xml:space="preserve">CEO chez Assur Gestion Finance</t>
  </si>
  <si>
    <t xml:space="preserve">Assur' Gestion Finance</t>
  </si>
  <si>
    <t>sacha.koskas@assurancefinanciere.fr</t>
  </si>
  <si>
    <t>http://www.linkedin.com/in/sacha-koskas</t>
  </si>
  <si>
    <t>http://www.assurancefinanciere.fr</t>
  </si>
  <si>
    <t xml:space="preserve">2 Avenue Henri Barbusse, Bobigny, Ile-de-France, France, 93000</t>
  </si>
  <si>
    <t xml:space="preserve">Cabinet familial. Courtier en assurance pour les professionnels dans le 93. Services hauts de gammes et accompagnement personnalisé.</t>
  </si>
  <si>
    <t>Paul-Dauphin</t>
  </si>
  <si>
    <t>ASSURVA</t>
  </si>
  <si>
    <t>sebastien.paul-dauphin@assurva.fr</t>
  </si>
  <si>
    <t>http://www.linkedin.com/in/s%c3%a9bastien-paul-dauphin-14122343</t>
  </si>
  <si>
    <t>http://www.assurva.fr</t>
  </si>
  <si>
    <t xml:space="preserve">7 Rue Letellier, Paris, Ile-de-France, France, 75015</t>
  </si>
  <si>
    <t xml:space="preserve">ASSURVA est un cabinet de courtage en assurances de personnes pour les entreprises et les professionnels</t>
  </si>
  <si>
    <t>Haziza</t>
  </si>
  <si>
    <t xml:space="preserve">CPO &amp; Lead Actuary / Co-founder</t>
  </si>
  <si>
    <t>OKO</t>
  </si>
  <si>
    <t>raphael.haziza@oko.finance</t>
  </si>
  <si>
    <t>http://www.linkedin.com/in/raphael-haziza-78898612</t>
  </si>
  <si>
    <t>http://www.oko.finance</t>
  </si>
  <si>
    <t xml:space="preserve">Dependable crop and insurance in Africa with OKO Finance, safeguarding farmers and enhancing food security.</t>
  </si>
  <si>
    <t>ludovic.fetiveau@dedomainia.com</t>
  </si>
  <si>
    <t>http://www.linkedin.com/in/ludovic-f%c3%a9tiveau-87b51919</t>
  </si>
  <si>
    <t>Carite</t>
  </si>
  <si>
    <t>ELEXIA</t>
  </si>
  <si>
    <t>michel.carite@elexia.fr</t>
  </si>
  <si>
    <t>http://www.linkedin.com/in/michel-carite-83b73972</t>
  </si>
  <si>
    <t>http://www.elexia.fr</t>
  </si>
  <si>
    <t xml:space="preserve">Elexia est une société spécialisée en Accident Management, gérant l’externalisation des sinistres automobiles, 2 roues et bris de glace, pour le compte d’assureurs, de courtiers de flottes automobiles et de loueurs.</t>
  </si>
  <si>
    <t>Ridet</t>
  </si>
  <si>
    <t>Cocoon</t>
  </si>
  <si>
    <t>fanny.ridet@cocoon.fr</t>
  </si>
  <si>
    <t>http://www.linkedin.com/in/fanny-ridet-8027b31</t>
  </si>
  <si>
    <t>http://www.cocoon.fr</t>
  </si>
  <si>
    <t xml:space="preserve">4 Rue Berteaux-Dumas, Neuilly-sur-Seine, Ile-de-France, France, 92200</t>
  </si>
  <si>
    <t xml:space="preserve">Avec Cocoon, la complémentaire santé devient plus facile. Des offres santé adaptées à vos besoins spécifiques : jeune, famille, senior, TNS. Devis en ligne.</t>
  </si>
  <si>
    <t>Blachard</t>
  </si>
  <si>
    <t xml:space="preserve">FIDES PATRIMOINE FINANCE</t>
  </si>
  <si>
    <t>nblachard@placementsexpert.com</t>
  </si>
  <si>
    <t>http://www.linkedin.com/in/nicolas-blachard-0531b25</t>
  </si>
  <si>
    <t>http://www.placementsexpert.com</t>
  </si>
  <si>
    <t>Mansuy</t>
  </si>
  <si>
    <t xml:space="preserve">Groupe Mansuy Assurances</t>
  </si>
  <si>
    <t>m.mansuy@groupe-mansuy.com</t>
  </si>
  <si>
    <t>http://www.linkedin.com/in/maxime-mansuy-24541b139</t>
  </si>
  <si>
    <t>http://www.groupe-mansuy.com</t>
  </si>
  <si>
    <t>Verdun</t>
  </si>
  <si>
    <t xml:space="preserve">3 Avenue du Colonel Driant, Verdun, Lorraine, France, 55100</t>
  </si>
  <si>
    <t>Combalat</t>
  </si>
  <si>
    <t xml:space="preserve">ACSSUR Courtier Comparateur Agile d'Assurances</t>
  </si>
  <si>
    <t>a.combalat@acssur.fr</t>
  </si>
  <si>
    <t>http://www.linkedin.com/in/alexandre-combalat-49b23a76</t>
  </si>
  <si>
    <t>http://www.acssur.fr</t>
  </si>
  <si>
    <t xml:space="preserve">39 Boulevard de Cimiez, Nice, Provence-Alpes-Cote d'Azur, France, 06000</t>
  </si>
  <si>
    <t xml:space="preserve">Votre assurance à portée de clic, pour vous garantir un conseil personnalisé et de qualité pour tout ce qui concerne votre santé, votre prévoyance obsèques, votre animal ou encore votre assurance de prêt. Nous avons une démarche transparente et une écoute attentive à vos besoins.</t>
  </si>
  <si>
    <t>geoffrey@wesur.fr</t>
  </si>
  <si>
    <t>http://www.linkedin.com/in/geoffrey-morin-b5078a150</t>
  </si>
  <si>
    <t>Levavasseur</t>
  </si>
  <si>
    <t xml:space="preserve">Uni Santé Prévoyance</t>
  </si>
  <si>
    <t>philippe.levavasseur@unisante.com</t>
  </si>
  <si>
    <t>http://www.linkedin.com/in/philippe-levavasseur-89a03223</t>
  </si>
  <si>
    <t>http://www.unisante.com</t>
  </si>
  <si>
    <t xml:space="preserve">34 Rue des Moulins, Reims, Grand Est, France, 51100</t>
  </si>
  <si>
    <t xml:space="preserve">Société de courtage en conseil et gestion déléguée d’assurances collectives et associatives auprès des entreprises et des particuliers.</t>
  </si>
  <si>
    <t>Brignoli</t>
  </si>
  <si>
    <t xml:space="preserve">Mutuelle MOS</t>
  </si>
  <si>
    <t>catherine.brignoli@mutuelle-mos.fr</t>
  </si>
  <si>
    <t>http://www.linkedin.com/in/catherine-brignoli-ab6502158</t>
  </si>
  <si>
    <t>http://www.mutuelle-mos.fr</t>
  </si>
  <si>
    <t xml:space="preserve">10 Rue Jean Giono, Dijon, Bourgogne-Franche-Comte, France, 21000</t>
  </si>
  <si>
    <t xml:space="preserve">Mutuelle MOS, mutuelle indépendante pour tous : particulier, indépendant, entreprise... trouvez la solution santé &amp; prévoyance qui vous correspond.</t>
  </si>
  <si>
    <t>Pigeon</t>
  </si>
  <si>
    <t>Insurem</t>
  </si>
  <si>
    <t>catherine.pigeon@insurem.eu</t>
  </si>
  <si>
    <t>http://www.linkedin.com/in/pigeon-catherine-43128438</t>
  </si>
  <si>
    <t>http://www.insurem.eu</t>
  </si>
  <si>
    <t xml:space="preserve">Sliema, Malta, SLM</t>
  </si>
  <si>
    <t>Faucillon</t>
  </si>
  <si>
    <t>FRAERIS</t>
  </si>
  <si>
    <t>laurent.faucillon@fraeris.fr</t>
  </si>
  <si>
    <t>http://www.linkedin.com/in/laurentfaucillon</t>
  </si>
  <si>
    <t>http://www.fraeris.fr</t>
  </si>
  <si>
    <t xml:space="preserve">32 Rue de Caumartin, Paris, Ile-de-France, France, 75009</t>
  </si>
  <si>
    <t>Laemmel</t>
  </si>
  <si>
    <t>CVA</t>
  </si>
  <si>
    <t>jerome.laemmel@assurances-cva.fr</t>
  </si>
  <si>
    <t>http://www.linkedin.com/in/j%c3%a9r%c3%b4me-laemmel-2a6443123</t>
  </si>
  <si>
    <t>http://www.cva-assurances.fr</t>
  </si>
  <si>
    <t xml:space="preserve">18 Rue de Selestat, Horbourg-Wihr, Grand Est, France, 68180</t>
  </si>
  <si>
    <t xml:space="preserve">CVA est un cabinet de courtage indépendant en assurance et gestion de patrimoine. Mandataire des assurés, CVA n’est lié à aucun réseau d’assurances...</t>
  </si>
  <si>
    <t xml:space="preserve">AMP Assurances</t>
  </si>
  <si>
    <t>laurent.marseille@amp-amiens.net</t>
  </si>
  <si>
    <t>http://www.linkedin.com/in/laurent-marseille-83a391157</t>
  </si>
  <si>
    <t>http://www.amp-net.fr</t>
  </si>
  <si>
    <t xml:space="preserve">1 Rue de l'Ile Mysterieuse, Boves, Picardy, France, 80440</t>
  </si>
  <si>
    <t xml:space="preserve">AMP Assurances, votre assureur local en Picardie. 10 agences locales pour être au plus près de vos besoins. Découvrez notre site officiel &gt;</t>
  </si>
  <si>
    <t>Maurin</t>
  </si>
  <si>
    <t>eric@horizonassurances.com</t>
  </si>
  <si>
    <t>http://www.linkedin.com/in/eric-maurin</t>
  </si>
  <si>
    <t>EvaluCar</t>
  </si>
  <si>
    <t>mathieu.millet@evalucar.fr</t>
  </si>
  <si>
    <t>http://www.linkedin.com/in/mathieu-millet-131002115</t>
  </si>
  <si>
    <t>http://www.evalucar.fr</t>
  </si>
  <si>
    <t xml:space="preserve">Tirez le meilleur parti dans la gestion des véhicules non réparables et obtenez un meilleur contrôle et plus de clarté en cas de perte totale avec Evalucar.</t>
  </si>
  <si>
    <t>Verger</t>
  </si>
  <si>
    <t xml:space="preserve">CTO / CIO - lapi groupe - co fondateur</t>
  </si>
  <si>
    <t xml:space="preserve">lapi Groupe</t>
  </si>
  <si>
    <t>karl@lapigroupe.fr</t>
  </si>
  <si>
    <t>http://www.linkedin.com/in/karlverger</t>
  </si>
  <si>
    <t>http://www.lapigroupe.fr</t>
  </si>
  <si>
    <t xml:space="preserve">La Teste-de-Buch, Nouvelle-Aquitaine, France</t>
  </si>
  <si>
    <t>Martiano</t>
  </si>
  <si>
    <t>LeLynx.fr</t>
  </si>
  <si>
    <t>arthur.martiano@lelynx.fr</t>
  </si>
  <si>
    <t>http://www.linkedin.com/in/arthur-martiano-9896ab1a</t>
  </si>
  <si>
    <t>http://www.lelynx.fr</t>
  </si>
  <si>
    <t xml:space="preserve">34 Quai de la Loire, Paris, Ile-de-France, France, 75019</t>
  </si>
  <si>
    <t xml:space="preserve">Générez plus de 50 devis avec le comparateur d'assurance LeLynx.fr. Auto, moto, habitation, santé... Comparez, souscrivez et économisez !</t>
  </si>
  <si>
    <t>Baba-Hammou</t>
  </si>
  <si>
    <t xml:space="preserve">Directeur général finances</t>
  </si>
  <si>
    <t xml:space="preserve">HN6 ACTIVE</t>
  </si>
  <si>
    <t>hb@hn6.fr</t>
  </si>
  <si>
    <t>http://www.linkedin.com/in/hichem-baba-hammou-b586a192</t>
  </si>
  <si>
    <t>http://www.hn6.fr</t>
  </si>
  <si>
    <t>OXYLIANS</t>
  </si>
  <si>
    <t>jremy@oxylians.fr</t>
  </si>
  <si>
    <t>http://www.linkedin.com/in/julien-remy-010176174</t>
  </si>
  <si>
    <t>http://www.oxylians.fr</t>
  </si>
  <si>
    <t>Loobuyck</t>
  </si>
  <si>
    <t xml:space="preserve">Pdg Fondateur</t>
  </si>
  <si>
    <t>Weendeal</t>
  </si>
  <si>
    <t>gerald.loobuyck@magnolia.fr</t>
  </si>
  <si>
    <t>http://www.linkedin.com/in/g%c3%a9rald-loobuyck-4a4b2258</t>
  </si>
  <si>
    <t>http://www.weendeal.com</t>
  </si>
  <si>
    <t xml:space="preserve">120 Avenue du General Leclerc, Paris, Ile-de-France, France, 75014</t>
  </si>
  <si>
    <t xml:space="preserve">Président exécutif</t>
  </si>
  <si>
    <t xml:space="preserve">AXA Passion</t>
  </si>
  <si>
    <t>eric.j.lemaire@axa.fr</t>
  </si>
  <si>
    <t>http://www.linkedin.com/in/ericjlemaire</t>
  </si>
  <si>
    <t>http://www.axa.fr</t>
  </si>
  <si>
    <t xml:space="preserve">3 Boulevard des Bouvets, Nanterre, Ile-de-France, France, 92000</t>
  </si>
  <si>
    <t>Delpierre</t>
  </si>
  <si>
    <t xml:space="preserve">Dékuple Assurance</t>
  </si>
  <si>
    <t>a.delpierre@dekuple.com</t>
  </si>
  <si>
    <t>http://www.linkedin.com/in/arnaud-delpierre-26b6233</t>
  </si>
  <si>
    <t>http://www.dekuple.com</t>
  </si>
  <si>
    <t xml:space="preserve">Montreuil, Ile-de-France, France, 93100</t>
  </si>
  <si>
    <t>Schwob</t>
  </si>
  <si>
    <t>y.schwob@dekuple.com</t>
  </si>
  <si>
    <t>http://www.linkedin.com/in/yannick-schwob-3131435</t>
  </si>
  <si>
    <t>http://www.avocotes.com</t>
  </si>
  <si>
    <t>Binachon</t>
  </si>
  <si>
    <t>Fédération</t>
  </si>
  <si>
    <t>olivier@federation-courtage.com</t>
  </si>
  <si>
    <t>http://www.linkedin.com/in/olivier-binachon-68543912</t>
  </si>
  <si>
    <t>http://www.federation-courtage.com</t>
  </si>
  <si>
    <t xml:space="preserve">31 Avenue du Peuple Belge, Lille, Hauts-de-France, France, 59800</t>
  </si>
  <si>
    <t>Mok</t>
  </si>
  <si>
    <t>Buddey</t>
  </si>
  <si>
    <t>f.mok@neo-projet.com</t>
  </si>
  <si>
    <t>http://www.linkedin.com/in/fr%c3%a9deric-mok-6926ab147</t>
  </si>
  <si>
    <t>http://www.buddey.fr</t>
  </si>
  <si>
    <t xml:space="preserve">93 Rue de la Villette, Lyon, Auvergne-Rhone-Alpes, France, 69003</t>
  </si>
  <si>
    <t xml:space="preserve">L’investissement durable ce n’est plus pour demain ! Buddey est une agence de création de projets qui vous aide à optimiser votre situation financière.</t>
  </si>
  <si>
    <t>Martiniere</t>
  </si>
  <si>
    <t xml:space="preserve">CEO &amp; Co-Fondateur Giva Regroupement Assurances</t>
  </si>
  <si>
    <t xml:space="preserve">Giva Regroupement Assurances</t>
  </si>
  <si>
    <t>tristan@giva.fr</t>
  </si>
  <si>
    <t>http://www.linkedin.com/in/tristan-de-la-martiniere</t>
  </si>
  <si>
    <t>http://www.giva.fr</t>
  </si>
  <si>
    <t xml:space="preserve">Économisez jusqu'à 30% sur l'ensemble de vos contrats d'assurance avec Giva regroupement assurances. Simple, transparent et rapide, commencez à regrouper vos assurances dès maintenant.</t>
  </si>
  <si>
    <t>Bayvet</t>
  </si>
  <si>
    <t>BAYVET</t>
  </si>
  <si>
    <t>cbayvet@bayvet.fr</t>
  </si>
  <si>
    <t>http://www.linkedin.com/in/cyril-bayvet-2b4935b1</t>
  </si>
  <si>
    <t>http://www.bayvet-basset.com</t>
  </si>
  <si>
    <t xml:space="preserve">25 Place de la Madeleine, Paris, Ile-de-France, France, 75008</t>
  </si>
  <si>
    <t xml:space="preserve">Un courtier en assurances en région parisienne qui vous comprend, vous connaît et vous rencontre.
Quelqu’un qui sait vous conseiller et qui répond toujours présent.</t>
  </si>
  <si>
    <t>Mbassi</t>
  </si>
  <si>
    <t xml:space="preserve">LSMB Assurances</t>
  </si>
  <si>
    <t>sidney@lsmbassurances.com</t>
  </si>
  <si>
    <t>http://www.linkedin.com/in/sidney-mbassi</t>
  </si>
  <si>
    <t>http://www.lsmbassurances.com</t>
  </si>
  <si>
    <t xml:space="preserve">22 Rue de la Gare, Beure, Bourgogne-Franche-Comte, France, 25720</t>
  </si>
  <si>
    <t xml:space="preserve">Contacter LSMB Assurances, courtier spécialisé dans la recherche des meilleures solutions d'assurance pour ses clients Particuliers et Professionnels.</t>
  </si>
  <si>
    <t>Soundar</t>
  </si>
  <si>
    <t>Adavane</t>
  </si>
  <si>
    <t xml:space="preserve">CEO and Co-founder @Joltee</t>
  </si>
  <si>
    <t>Joltee</t>
  </si>
  <si>
    <t>soundar.adavane@joltee.fr</t>
  </si>
  <si>
    <t>http://www.linkedin.com/in/soundar-adavane-a6b93165</t>
  </si>
  <si>
    <t>http://www.joltee.fr</t>
  </si>
  <si>
    <t xml:space="preserve">Xenassur courtier grossiste</t>
  </si>
  <si>
    <t>ppierre@xenassur.fr</t>
  </si>
  <si>
    <t>http://www.linkedin.com/in/philippe-pierre-00025487</t>
  </si>
  <si>
    <t>http://www.xenassur.fr</t>
  </si>
  <si>
    <t xml:space="preserve">PROFIL : DU JEUNE PERMIS AU RISQUE AGGRAVÉ DES CONDITIONS D’ACCEPTATION PARMI LES PLUS LARGES DU MARCHÉ</t>
  </si>
  <si>
    <t>Blas</t>
  </si>
  <si>
    <t xml:space="preserve">CAREL Mutuelle</t>
  </si>
  <si>
    <t>caroline.blas@carelmutuelle.fr</t>
  </si>
  <si>
    <t>http://www.linkedin.com/in/caroline-blas-3597b8a2</t>
  </si>
  <si>
    <t>http://www.carelmutuelle.fr</t>
  </si>
  <si>
    <t xml:space="preserve">20 Rue du Sentier, Paris, Ile-de-France, France, 75002</t>
  </si>
  <si>
    <t>Kays</t>
  </si>
  <si>
    <t>Bouachik</t>
  </si>
  <si>
    <t>Kayros</t>
  </si>
  <si>
    <t>kays@kayros.tech</t>
  </si>
  <si>
    <t>http://www.linkedin.com/in/kays-bouachik-48884b89</t>
  </si>
  <si>
    <t>http://www.kayros.tech</t>
  </si>
  <si>
    <t xml:space="preserve">15 Rue de Bucarest, Paris, Ile-de-France, France, 75008</t>
  </si>
  <si>
    <t xml:space="preserve">Concevez vos parcours de souscription et déployez vos produits d'assurance sur tous les canaux de distribution en toute simplicité</t>
  </si>
  <si>
    <t>Limare</t>
  </si>
  <si>
    <t xml:space="preserve">Korint Insurtech</t>
  </si>
  <si>
    <t>jbl@korint.io</t>
  </si>
  <si>
    <t>http://www.linkedin.com/in/jean-baptiste-l-20001b23</t>
  </si>
  <si>
    <t>http://www.korint.io</t>
  </si>
  <si>
    <t xml:space="preserve">Paris, Ile-de-France, France, 75002</t>
  </si>
  <si>
    <t xml:space="preserve">KORINT est la nouvelle génération de plateformes d'assurance.</t>
  </si>
  <si>
    <t>Mavoungou</t>
  </si>
  <si>
    <t xml:space="preserve">Head of Data and Co-founder</t>
  </si>
  <si>
    <t>cedric.mavoungou@joltee.fr</t>
  </si>
  <si>
    <t>http://www.linkedin.com/in/c%c3%a9dric-mavoungou-874b9b66</t>
  </si>
  <si>
    <t>Gressel</t>
  </si>
  <si>
    <t xml:space="preserve">RESCO Courtage</t>
  </si>
  <si>
    <t>arnaud.gressel@resco-courtage.com</t>
  </si>
  <si>
    <t>http://www.linkedin.com/in/arnaud-gressel</t>
  </si>
  <si>
    <t>http://www.resco-courtage.com</t>
  </si>
  <si>
    <t xml:space="preserve">1 Rue Guglielmo Marconi, Saint-Herblain, Pays de la Loire, France, 44800</t>
  </si>
  <si>
    <t xml:space="preserve">Courtier en assurance dédié à la Sûreté Globale : Mobilité Internationale, K&amp;R, Assurance Cyber, Assurance Sécurité Privée. Devis gratuit.</t>
  </si>
  <si>
    <t>Hermand</t>
  </si>
  <si>
    <t>Kenko</t>
  </si>
  <si>
    <t>xavier.hermand@kenko.fr</t>
  </si>
  <si>
    <t>http://www.linkedin.com/in/xavier-hermand-baa60787</t>
  </si>
  <si>
    <t>http://www.kenko.fr</t>
  </si>
  <si>
    <t xml:space="preserve">Kenko est la première mutuelle que chaque collaborateur peut adapter à ses besoins de santé, sans surcoût.</t>
  </si>
  <si>
    <t>Marchetti</t>
  </si>
  <si>
    <t>Libbela</t>
  </si>
  <si>
    <t>tmarchetti@libbela.com</t>
  </si>
  <si>
    <t>http://www.linkedin.com/in/thibaut-marchetti-862b15b7</t>
  </si>
  <si>
    <t>http://www.libbela.com</t>
  </si>
  <si>
    <t xml:space="preserve">Libbela, spécialiste des assurances voyages, extensions de garanties (perte, vol, casse). Produits d'assurances sur mesure. Intégration rapide avec nos API.</t>
  </si>
  <si>
    <t xml:space="preserve">IMMO ASSURANCES</t>
  </si>
  <si>
    <t>adrien.jacquet@immo-assurances.fr</t>
  </si>
  <si>
    <t>http://www.linkedin.com/in/adrien-jacquet-74893497</t>
  </si>
  <si>
    <t>http://www.immo-assurances.fr</t>
  </si>
  <si>
    <t xml:space="preserve">76 Boulevard du 11 Novembre 1918, Villeurbanne, Auvergne-Rhone-Alpes, France, 69100</t>
  </si>
  <si>
    <t xml:space="preserve">IMMO ASSURANCE est un courtier grossiste assurance, spécialisé dans les risques des professionnels de l'immobilier (GLI, MRI et PNO)</t>
  </si>
  <si>
    <t>Farge</t>
  </si>
  <si>
    <t xml:space="preserve">AF Patrimoine &amp; Immobilier</t>
  </si>
  <si>
    <t>alexandre@af-patrimoine.com</t>
  </si>
  <si>
    <t>http://www.linkedin.com/in/alexandre-farge-660460b6</t>
  </si>
  <si>
    <t>http://www.af-patrimoine.com</t>
  </si>
  <si>
    <t xml:space="preserve">107 Avenue Michel Crepeau, La Rochelle, Poitou-Charentes, France, 17000</t>
  </si>
  <si>
    <t>Sciacca</t>
  </si>
  <si>
    <t>Uptimyz.fr</t>
  </si>
  <si>
    <t>m.sciacca@uptimyz.fr</t>
  </si>
  <si>
    <t>http://www.linkedin.com/in/matthieu-sciacca-uptimyz-fr</t>
  </si>
  <si>
    <t>http://www.uptimyz.fr</t>
  </si>
  <si>
    <t xml:space="preserve">Comparez RAPIDEMENT et GRATUITEMENT votre mutuelle santé, votre assurance obsèques ainsi que votre assurance chiens - chats</t>
  </si>
  <si>
    <t>Closse</t>
  </si>
  <si>
    <t xml:space="preserve">SVI ASSURANCES</t>
  </si>
  <si>
    <t>pauline.closse@svi-assurances.com</t>
  </si>
  <si>
    <t>http://www.linkedin.com/in/pauline-closse</t>
  </si>
  <si>
    <t>http://www.svi-assurances.com</t>
  </si>
  <si>
    <t xml:space="preserve">Roissy-en-France, Ile-de-France, France, 95700</t>
  </si>
  <si>
    <t xml:space="preserve">SVI Assurances - Courtier d'assurance prÃ©sent dans la plupart des secteurs de l'assurance professionnelle. Transport, construction, RC PRO ...</t>
  </si>
  <si>
    <t>Broussous</t>
  </si>
  <si>
    <t>Quartz</t>
  </si>
  <si>
    <t>jordan@helloquartz.com</t>
  </si>
  <si>
    <t>http://www.linkedin.com/in/jordan-broussous</t>
  </si>
  <si>
    <t>http://www.quartz.eu</t>
  </si>
  <si>
    <t>Puechaldou</t>
  </si>
  <si>
    <t>SEGAP</t>
  </si>
  <si>
    <t>gpuechaldou@segap.com</t>
  </si>
  <si>
    <t>http://www.linkedin.com/in/geraudpuechaldou</t>
  </si>
  <si>
    <t>http://www.segap.com</t>
  </si>
  <si>
    <t xml:space="preserve">11 Rue de Grenelle, Paris, Ile-de-France, France, 75007</t>
  </si>
  <si>
    <t xml:space="preserve">SEGAP, Courtier d’assurances, spécialiste des professions réglementées.</t>
  </si>
  <si>
    <t>Wauquier</t>
  </si>
  <si>
    <t>mathieu@federation-courtage.com</t>
  </si>
  <si>
    <t>http://www.linkedin.com/in/mathieu-wauquier-35b31643</t>
  </si>
  <si>
    <t>Balard</t>
  </si>
  <si>
    <t xml:space="preserve">Groupe Ami 3F</t>
  </si>
  <si>
    <t>p.balard@groupeami3f.com</t>
  </si>
  <si>
    <t>http://www.linkedin.com/in/pascal-balard-185257b3</t>
  </si>
  <si>
    <t>http://www.ami3f.com</t>
  </si>
  <si>
    <t xml:space="preserve">28 Port Saint-Sauveur, Toulouse, Occitanie, France, 31000</t>
  </si>
  <si>
    <t xml:space="preserve">AMI 3F est un réseau national de courtage en assurances proposant un catalogue complet de formules à ses partenaires, pour leur permettre de construire des solutions sur mesure à leurs clients.</t>
  </si>
  <si>
    <t>Parker</t>
  </si>
  <si>
    <t xml:space="preserve">Agent Général AXA Prévoyance &amp; Patrimoine - Associé Fondateur</t>
  </si>
  <si>
    <t>Madrigal</t>
  </si>
  <si>
    <t>a.parker@madrigal-conseil.fr</t>
  </si>
  <si>
    <t>http://www.linkedin.com/in/alexandre-parker-4b69957b</t>
  </si>
  <si>
    <t>http://www.madrigal-conseil.fr</t>
  </si>
  <si>
    <t xml:space="preserve">5 Rue de Vienne, Paris, Ile-de-France, France, 75008</t>
  </si>
  <si>
    <t xml:space="preserve">Un accompagnement sur mesure et évolutif, pour donner de l’élan à vos projets.</t>
  </si>
  <si>
    <t>Sanson</t>
  </si>
  <si>
    <t xml:space="preserve">La Salamandre Assurances</t>
  </si>
  <si>
    <t>olivier.sanson@salamandre-assurances.fr</t>
  </si>
  <si>
    <t>http://www.linkedin.com/in/olivier-sanson-504a02b</t>
  </si>
  <si>
    <t>http://www.salamandre-assurances.fr</t>
  </si>
  <si>
    <t xml:space="preserve">215 Avenue le Notre, Roubaix, Hauts-de-France, France, 59100</t>
  </si>
  <si>
    <t xml:space="preserve">La Salamandre Assurances : des conseils et de l’accompagnement sur l’assurance emprunteur.
Vous recherchez des informations ou un accompagnement efficace pour souscrire une assurance de prêt…</t>
  </si>
  <si>
    <t>Cuzin</t>
  </si>
  <si>
    <t>laurent@helloquartz.com</t>
  </si>
  <si>
    <t>http://www.linkedin.com/in/laurentcuzin</t>
  </si>
  <si>
    <t>Stello</t>
  </si>
  <si>
    <t>fxcombe@easyblue.io</t>
  </si>
  <si>
    <t>http://www.linkedin.com/in/fran%c3%a7ois-xavier-combe</t>
  </si>
  <si>
    <t>http://www.stello.eu</t>
  </si>
  <si>
    <t xml:space="preserve">99 Rue La Fayette, Paris, Ile-de-France, France, 75010</t>
  </si>
  <si>
    <t xml:space="preserve">Enfin une assurance pour tous les pros, sur-mesure et 100% en ligne. Entrepreneurs, indépendants, TPE, PME : Stello est la bonne étoile qui veille sur vous !</t>
  </si>
  <si>
    <t xml:space="preserve">Co founder and CEO</t>
  </si>
  <si>
    <t>Minalea</t>
  </si>
  <si>
    <t>gleroy@minalea.com</t>
  </si>
  <si>
    <t>http://www.linkedin.com/in/guy-leroy-117b2a3</t>
  </si>
  <si>
    <t>http://www.minalea.com</t>
  </si>
  <si>
    <t xml:space="preserve">10 Avenue du Pre de Challes, Annecy, Auvergne-Rhone-Alpes, France, 74940</t>
  </si>
  <si>
    <t xml:space="preserve">Minalea | Solutions pour les pros de l'assurance : sièges et réseaux | Disponibles en SAAS et en API | Découvrez la puissance de l'Intelligence Artificielle</t>
  </si>
  <si>
    <t>Emelyne</t>
  </si>
  <si>
    <t xml:space="preserve">ASSUR TRAVEL</t>
  </si>
  <si>
    <t>emelyne.delporte@assur-travel.fr</t>
  </si>
  <si>
    <t>http://www.linkedin.com/in/emelyne-delporte-077080129</t>
  </si>
  <si>
    <t>http://www.assur-travel.fr</t>
  </si>
  <si>
    <t xml:space="preserve">99 Rue Parmentier, Villeneuve-d'Ascq, Nord-Pas-de-Calais, France, 59650</t>
  </si>
  <si>
    <t xml:space="preserve">Assur-Travel vous propose des solutions d'assurance santé internationale (dont épidémie).</t>
  </si>
  <si>
    <t>Janicot</t>
  </si>
  <si>
    <t xml:space="preserve">Gus Assurance</t>
  </si>
  <si>
    <t>clement@gus-assurance.fr</t>
  </si>
  <si>
    <t>http://www.linkedin.com/in/cl%c3%a9ment-janicot-33b3b61a</t>
  </si>
  <si>
    <t>http://www.gus-assurance.fr</t>
  </si>
  <si>
    <t xml:space="preserve">Gus Assurance est un courtier en ligne expert de la prévoyance des indépendants. Trouvez un contrat adapté à votre situation et à votre profil.</t>
  </si>
  <si>
    <t>Brier</t>
  </si>
  <si>
    <t xml:space="preserve">AVENIR SANTÉ MUTUELLE</t>
  </si>
  <si>
    <t>p.brier@avenirsantemutuelle.fr</t>
  </si>
  <si>
    <t>http://www.linkedin.com/in/patrick-brier-757562211</t>
  </si>
  <si>
    <t>http://www.avenirsantemutuelle.fr</t>
  </si>
  <si>
    <t xml:space="preserve">12 Avenue du General Mangin, Versailles, Ile-de-France, France, 78000</t>
  </si>
  <si>
    <t>Gueudry</t>
  </si>
  <si>
    <t>AMF</t>
  </si>
  <si>
    <t>i.gueudry@amf.fr</t>
  </si>
  <si>
    <t>http://www.linkedin.com/in/isabelle-gueudry-093a7730</t>
  </si>
  <si>
    <t>http://www.amf-sam.fr</t>
  </si>
  <si>
    <t xml:space="preserve">111 Rue du Chateau-des-Rentiers, Paris, Ile-de-France, France, 75013</t>
  </si>
  <si>
    <t xml:space="preserve">Assureur de référence des risques professionnels des Agents Publics…</t>
  </si>
  <si>
    <t>tbayvet@bayvet.fr</t>
  </si>
  <si>
    <t>http://www.linkedin.com/in/thibaut-bayvet-09a946194</t>
  </si>
  <si>
    <t>Sorel</t>
  </si>
  <si>
    <t xml:space="preserve">CEO / FOUNDER / OWNER</t>
  </si>
  <si>
    <t xml:space="preserve">Insurance Management Service</t>
  </si>
  <si>
    <t>xsorel@ims-partner.com</t>
  </si>
  <si>
    <t>http://www.linkedin.com/in/xavier-sorel-50b774</t>
  </si>
  <si>
    <t>http://www.imsinsuranceagency.com</t>
  </si>
  <si>
    <t xml:space="preserve">501 Main St, Saint Joseph, Michigan, United States, 49085</t>
  </si>
  <si>
    <t>Eve</t>
  </si>
  <si>
    <t xml:space="preserve">CNP Luxembourg</t>
  </si>
  <si>
    <t>eve.roux@cnp.fr</t>
  </si>
  <si>
    <t>http://www.linkedin.com/in/eve-roux-b3618411a</t>
  </si>
  <si>
    <t>http://www.cnpluxembourg.lu</t>
  </si>
  <si>
    <t xml:space="preserve">Luxembourg City, Luxembourg District, Luxembourg</t>
  </si>
  <si>
    <t xml:space="preserve">Contrats d'assurance-vie et de capitalisation pour personnes physiques et personnes morales résidant au Luxembourg, en France ou en Belgique.</t>
  </si>
  <si>
    <t>Jamie</t>
  </si>
  <si>
    <t>Turner</t>
  </si>
  <si>
    <t>Lucett</t>
  </si>
  <si>
    <t>jamie@lucett.com</t>
  </si>
  <si>
    <t>http://www.linkedin.com/in/jamiewturner</t>
  </si>
  <si>
    <t>http://www.lucett.com</t>
  </si>
  <si>
    <t xml:space="preserve">A brand new software system has been launched that solves the problems of tracking high-value items when shipping. Misplacing items happens rarely, but when it does, it's because of human error. Lucett, using RFID technology, changes everything.</t>
  </si>
  <si>
    <t>Mizmani</t>
  </si>
  <si>
    <t>ASEKKEY</t>
  </si>
  <si>
    <t>brahim.mizmani@asekkey.com</t>
  </si>
  <si>
    <t>http://www.linkedin.com/in/brahim-mizmani-677099118</t>
  </si>
  <si>
    <t>http://www.asekkey.fr</t>
  </si>
  <si>
    <t xml:space="preserve">Asekkey vous propose une assurance professionnelle sur mesure pour protéger votre entreprise. Profitez de notre audit gratuit maintenant !</t>
  </si>
  <si>
    <t xml:space="preserve">Co-founder - deputy managing director</t>
  </si>
  <si>
    <t>Mila</t>
  </si>
  <si>
    <t>jean.boucher@mila.fr</t>
  </si>
  <si>
    <t>http://www.linkedin.com/in/jean-boucher-638bb619</t>
  </si>
  <si>
    <t>http://www.mila.direct</t>
  </si>
  <si>
    <t xml:space="preserve">Loyer payé en 48h, dossier locataire validé en 6h, pas de plafond de remboursement... découvrez notre assurance loyer impayé !</t>
  </si>
  <si>
    <t>Hay</t>
  </si>
  <si>
    <t>Wingsure</t>
  </si>
  <si>
    <t>fx@wingsure.co</t>
  </si>
  <si>
    <t>http://www.linkedin.com/in/fxhay</t>
  </si>
  <si>
    <t>http://www.wingsure.co</t>
  </si>
  <si>
    <t xml:space="preserve">295 Madison Avenue, New York, New York, United States, 10017</t>
  </si>
  <si>
    <t>Combaret</t>
  </si>
  <si>
    <t xml:space="preserve">Guemas International</t>
  </si>
  <si>
    <t>cedric.combaret@guemas-international.com</t>
  </si>
  <si>
    <t>http://www.linkedin.com/in/c%c3%a9dric-combaret-078b5146</t>
  </si>
  <si>
    <t>http://www.guemas-international.com</t>
  </si>
  <si>
    <t xml:space="preserve">60 Rue de Londres, Paris, Ile-de-France, France, 75008</t>
  </si>
  <si>
    <t>Quere</t>
  </si>
  <si>
    <t>LOURMEL</t>
  </si>
  <si>
    <t>yquere@lourmel.asso.fr</t>
  </si>
  <si>
    <t>http://www.linkedin.com/in/yann-quere-57271071</t>
  </si>
  <si>
    <t>http://www.lourmel.com</t>
  </si>
  <si>
    <t xml:space="preserve">108 Rue de Lourmel, Paris, Ile-de-France, France, 75015</t>
  </si>
  <si>
    <t xml:space="preserve">Nous sommes la protection sociale des industries du message imprimé et digitalisé. Nous vous protégeons et vous accompagnons en prévoyance, santé, retraite et action sociale.</t>
  </si>
  <si>
    <t>Genin</t>
  </si>
  <si>
    <t xml:space="preserve">Directrice Générale Malmasson Courtage</t>
  </si>
  <si>
    <t xml:space="preserve">MALMASSON COURTAGE SAS</t>
  </si>
  <si>
    <t>beatrice.genin@malmasson.fr</t>
  </si>
  <si>
    <t>http://www.linkedin.com/in/b%c3%a9atrice-genin-44239016b</t>
  </si>
  <si>
    <t>http://www.malmasson.fr</t>
  </si>
  <si>
    <t>Sarreguemines</t>
  </si>
  <si>
    <t xml:space="preserve">Sarreguemines, Lorraine, France</t>
  </si>
  <si>
    <t xml:space="preserve">Malmasson Courtage est depuis 1925, le spécialiste du courtage en assurance et du conseil en gestion des risques pour les professionnels et les entreprises.</t>
  </si>
  <si>
    <t>Miconnet</t>
  </si>
  <si>
    <t xml:space="preserve">Chief Legal and Compliance Officer &amp; Co-founder</t>
  </si>
  <si>
    <t>thomas.miconnet@joltee.fr</t>
  </si>
  <si>
    <t>http://www.linkedin.com/in/thomas-miconnet-390b7360</t>
  </si>
  <si>
    <t>Fline</t>
  </si>
  <si>
    <t xml:space="preserve">Co-fondateur et Président</t>
  </si>
  <si>
    <t>a.fline@uptimyz.fr</t>
  </si>
  <si>
    <t>http://www.linkedin.com/in/anthony-fline-43735a110</t>
  </si>
  <si>
    <t>Cauce</t>
  </si>
  <si>
    <t xml:space="preserve">Co fondateur - CEO</t>
  </si>
  <si>
    <t>laurent@federation-courtage.com</t>
  </si>
  <si>
    <t>http://www.linkedin.com/in/laurent-cauc%c3%a9-163371</t>
  </si>
  <si>
    <t>Lecorche</t>
  </si>
  <si>
    <t xml:space="preserve">Directrice du service Support chez Suisscourtage Conseillère de la Direction Générale</t>
  </si>
  <si>
    <t>SUISSCOURTAGE</t>
  </si>
  <si>
    <t>clecorche@suisscourtage.com</t>
  </si>
  <si>
    <t>http://www.linkedin.com/in/claire-lecorche-98a90795</t>
  </si>
  <si>
    <t>http://www.suisscourtage.com</t>
  </si>
  <si>
    <t xml:space="preserve">Menton, Provence-Alpes-Cote d'Azur, France</t>
  </si>
  <si>
    <t>Dezaphix</t>
  </si>
  <si>
    <t xml:space="preserve">AELIA ASSURANCES GROUP</t>
  </si>
  <si>
    <t>berengere.dezaphix@aelia-assurances.com</t>
  </si>
  <si>
    <t>http://www.linkedin.com/in/b%c3%a9reng%c3%a8re-dezaphix-9b884214</t>
  </si>
  <si>
    <t>http://www.aelia-assurances.com</t>
  </si>
  <si>
    <t xml:space="preserve">Niederanven, Luxembourg, Luxembourg, 1209</t>
  </si>
  <si>
    <t xml:space="preserve">GROUPE VAILLANCE CONSEIL</t>
  </si>
  <si>
    <t>m.saad@groupevaillance.fr</t>
  </si>
  <si>
    <t>http://www.linkedin.com/in/marc-saad-473920bb</t>
  </si>
  <si>
    <t>http://www.groupevaillanceconseil.fr</t>
  </si>
  <si>
    <t xml:space="preserve">Réduire vos impôts en épargnant</t>
  </si>
  <si>
    <t>Obert</t>
  </si>
  <si>
    <t xml:space="preserve">Chief Risk Officer - Member of Executive Committee</t>
  </si>
  <si>
    <t xml:space="preserve">MIRIS m.a</t>
  </si>
  <si>
    <t>philippe@miris-insurance.com</t>
  </si>
  <si>
    <t>http://www.linkedin.com/in/philippe-obert-552580161</t>
  </si>
  <si>
    <t>http://www.miris-insurance.com</t>
  </si>
  <si>
    <t xml:space="preserve">166 Avenue Jules Bordet, Evere, Brussels, Belgium, 1140</t>
  </si>
  <si>
    <t>Heux</t>
  </si>
  <si>
    <t xml:space="preserve">HEUX ASSURANCES</t>
  </si>
  <si>
    <t>benoit.heux@heux-assurances.com</t>
  </si>
  <si>
    <t>http://www.linkedin.com/in/benoit-heux-59b837a6</t>
  </si>
  <si>
    <t>http://www.heux-assurances.com</t>
  </si>
  <si>
    <t xml:space="preserve">Impasse de la Vigie, St-Malo, Brittany, France, 35400</t>
  </si>
  <si>
    <t xml:space="preserve">Assurances des Entreprises à Saint-Malo. L'assurance d'être bien conseillé : entreprises, santé prévoyance, risques financiers, particuliers</t>
  </si>
  <si>
    <t>Sourisseau</t>
  </si>
  <si>
    <t xml:space="preserve">Ma Nouvelle Assurance</t>
  </si>
  <si>
    <t>edouard@manouvelleassurance.fr</t>
  </si>
  <si>
    <t>http://www.linkedin.com/in/edouard-sourisseau-918191113</t>
  </si>
  <si>
    <t>http://www.manouvelleassurance.fr</t>
  </si>
  <si>
    <t xml:space="preserve">29 Rue de Bassano, Paris, Ile-de-France, France, 75008</t>
  </si>
  <si>
    <t xml:space="preserve">Ma Nouvelle Assurance vous aide à économiser jusqu'à 15 000€ sur votre assurance emprunteur.</t>
  </si>
  <si>
    <t>Moisy</t>
  </si>
  <si>
    <t xml:space="preserve">Co-founder &amp; Chief Revenue Officer (CRO)</t>
  </si>
  <si>
    <t xml:space="preserve">Kooalys Insurtech</t>
  </si>
  <si>
    <t>agm@kooalys.com</t>
  </si>
  <si>
    <t>http://www.linkedin.com/in/agm1983</t>
  </si>
  <si>
    <t>http://www.kooalys.com</t>
  </si>
  <si>
    <t>Ysia</t>
  </si>
  <si>
    <t>Ferron</t>
  </si>
  <si>
    <t xml:space="preserve">Mutuelle Marseille Métropole</t>
  </si>
  <si>
    <t>yferron@mut-mun-provence.fr</t>
  </si>
  <si>
    <t>http://www.linkedin.com/in/ysia-bugeia-ferron-b2644a16</t>
  </si>
  <si>
    <t>http://www.mutuelle-marseille.com</t>
  </si>
  <si>
    <t xml:space="preserve">Mutuelle Marseille Métropole est la mutuelle santé pour les agents territoriaux et jeunes actifs dans les bouches du Rhône et la région PACA.</t>
  </si>
  <si>
    <t>Gelly</t>
  </si>
  <si>
    <t xml:space="preserve">Associé fondateur MADRIGAL</t>
  </si>
  <si>
    <t>p.gelly@madrigal-conseil.fr</t>
  </si>
  <si>
    <t>http://www.linkedin.com/in/pascalgelly</t>
  </si>
  <si>
    <t>Suissa</t>
  </si>
  <si>
    <t xml:space="preserve">Groupe GSA Assurances</t>
  </si>
  <si>
    <t>gsuissa@groupegsa.com</t>
  </si>
  <si>
    <t>http://www.linkedin.com/in/gerard-suissa-abb3a044</t>
  </si>
  <si>
    <t>http://www.groupegsa.com</t>
  </si>
  <si>
    <t xml:space="preserve">6 Rue Paul Baudry, Paris, Ile-de-France, France, 75008</t>
  </si>
  <si>
    <t xml:space="preserve">GSA courtage d'assurances, cabinet de courtier assurance pour les particuliers et les professionnels. Demandez votre devis au 01 46 22 21 00</t>
  </si>
  <si>
    <t>Amiel</t>
  </si>
  <si>
    <t>AMIELPartners</t>
  </si>
  <si>
    <t>franck@amielpartners.com</t>
  </si>
  <si>
    <t>http://www.linkedin.com/in/franck-amiel-8a0190b</t>
  </si>
  <si>
    <t>http://www.amielpartners.com</t>
  </si>
  <si>
    <t xml:space="preserve">Amiel Partners</t>
  </si>
  <si>
    <t>Sauzeau</t>
  </si>
  <si>
    <t xml:space="preserve">Pole Position Assurances</t>
  </si>
  <si>
    <t>laurent.sauzeau@poleposition-assurances.com</t>
  </si>
  <si>
    <t>http://www.linkedin.com/in/laurent-sauzeau-4a41b8129</t>
  </si>
  <si>
    <t>http://www.poleposition-assurances.com</t>
  </si>
  <si>
    <t>Sable-sur-Sarthe</t>
  </si>
  <si>
    <t xml:space="preserve">Le Mans, Pays de la Loire, France</t>
  </si>
  <si>
    <t xml:space="preserve">Fort Insurance International</t>
  </si>
  <si>
    <t>hugo@fort-insurance.com</t>
  </si>
  <si>
    <t>http://www.linkedin.com/in/hugo-jacquot-8628b7a1</t>
  </si>
  <si>
    <t>http://www.fort-insurance.com</t>
  </si>
  <si>
    <t xml:space="preserve">Fort Insurance is an independent superyacht insurance broker offering exceptional service to clients around the world. Contact our experts today.</t>
  </si>
  <si>
    <t>DISPOSUR</t>
  </si>
  <si>
    <t>g.manent@disposur.fr</t>
  </si>
  <si>
    <t>http://www.linkedin.com/in/gilles-manent-2bb03128</t>
  </si>
  <si>
    <t>http://www.disposur.fr</t>
  </si>
  <si>
    <t>Picolet</t>
  </si>
  <si>
    <t>Vérisanté</t>
  </si>
  <si>
    <t>jpicolet@verisante.fr</t>
  </si>
  <si>
    <t>http://www.linkedin.com/in/joachimpicolet-verisante</t>
  </si>
  <si>
    <t>http://www.verisante.fr</t>
  </si>
  <si>
    <t xml:space="preserve">Route de la Cote d'Azur, Meyreuil, Provence-Alpes-Cote d'Azur, France, 13590</t>
  </si>
  <si>
    <t>UNEP</t>
  </si>
  <si>
    <t>clara.roux@unep.asso.fr</t>
  </si>
  <si>
    <t>http://www.linkedin.com/in/clara-roux-5550a215</t>
  </si>
  <si>
    <t>http://www.unep-partenaires.fr</t>
  </si>
  <si>
    <t xml:space="preserve">12 Rue Clapeyron, Paris, Ile-de-France, France, 75008</t>
  </si>
  <si>
    <t>Vouge</t>
  </si>
  <si>
    <t>Cmonassurance</t>
  </si>
  <si>
    <t>j.vouge@cmonassurance.com</t>
  </si>
  <si>
    <t>http://www.linkedin.com/in/jean-fran%c3%a7ois-vouge-447718</t>
  </si>
  <si>
    <t>http://www.c-mon-assurance.com</t>
  </si>
  <si>
    <t>Ramdane</t>
  </si>
  <si>
    <t>Laroubi</t>
  </si>
  <si>
    <t>TCHEKER</t>
  </si>
  <si>
    <t>r.laroubi@tcheker.fr</t>
  </si>
  <si>
    <t>http://www.linkedin.com/in/ramdane-laroubi-a2a439158</t>
  </si>
  <si>
    <t>http://www.tcheker.fr</t>
  </si>
  <si>
    <t xml:space="preserve">19 Rue Lambrechts, Courbevoie, Ile-de-France, France, 92400</t>
  </si>
  <si>
    <t>Mama</t>
  </si>
  <si>
    <t>Mfomegnam</t>
  </si>
  <si>
    <t xml:space="preserve">CEO DIASPORA SANTE</t>
  </si>
  <si>
    <t xml:space="preserve">Diaspora Santé</t>
  </si>
  <si>
    <t>mama.mfomegnam@diasporasante.com</t>
  </si>
  <si>
    <t>http://www.linkedin.com/in/mama-mfomegnam-18639a10</t>
  </si>
  <si>
    <t>http://www.diasporasante.com</t>
  </si>
  <si>
    <t xml:space="preserve">11 Rue du Berry, Sartrouville, Ile-de-France, France, 78500</t>
  </si>
  <si>
    <t xml:space="preserve">DiasporasantÃ©, Plateforme d'assurance maladie au Cameroun.'</t>
  </si>
  <si>
    <t>Guezais</t>
  </si>
  <si>
    <t>patrick-guezais@esassurances.com</t>
  </si>
  <si>
    <t>http://www.linkedin.com/in/patrick-guezais-0807b5a9</t>
  </si>
  <si>
    <t>http://www.esassurances.com</t>
  </si>
  <si>
    <t>Dubreuilh</t>
  </si>
  <si>
    <t xml:space="preserve">MUTUELLE 403</t>
  </si>
  <si>
    <t>karine.dubreuilh@mutuelle403.fr</t>
  </si>
  <si>
    <t>http://www.linkedin.com/in/karine-dubreuilh-22127098</t>
  </si>
  <si>
    <t>http://www.mutuelle403.fr</t>
  </si>
  <si>
    <t xml:space="preserve">16 Rue Rene Goscinny, Angouleme, Nouvelle-Aquitaine, France, 16000</t>
  </si>
  <si>
    <t xml:space="preserve">Depuis 80 ans, la Mutuelle 403 protège votre santé, celle de votre famille et de vos salariés. Demandez votre devis gratuit.</t>
  </si>
  <si>
    <t>Favaretto</t>
  </si>
  <si>
    <t>sfavaretto@minalea.com</t>
  </si>
  <si>
    <t>http://www.linkedin.com/in/sfavaretto</t>
  </si>
  <si>
    <t xml:space="preserve">OMNILAND ASSURANCES</t>
  </si>
  <si>
    <t>jean-christophe.roig@omniland.fr</t>
  </si>
  <si>
    <t>http://www.linkedin.com/in/jean-christophe-roig</t>
  </si>
  <si>
    <t>http://www.omniland.fr</t>
  </si>
  <si>
    <t xml:space="preserve">23 Rue de Madrid, Paris, Ile-de-France, France, 75008</t>
  </si>
  <si>
    <t xml:space="preserve">OMNILAND ASSURANCES - Toutes les assurances pour les particuliers, les entreprises, les ambassades, les diplomates, les expatriés et les voyageurs.</t>
  </si>
  <si>
    <t xml:space="preserve">Co-fondateur - CEO</t>
  </si>
  <si>
    <t>gerard.deray@mila.fr</t>
  </si>
  <si>
    <t>http://www.linkedin.com/in/gerard-deray-4740341bb</t>
  </si>
  <si>
    <t xml:space="preserve">CAP ASSURANCES</t>
  </si>
  <si>
    <t>cbremard@cap-assurances.net</t>
  </si>
  <si>
    <t>http://www.linkedin.com/in/christophe-bremard</t>
  </si>
  <si>
    <t>http://www.cap-assurances.net</t>
  </si>
  <si>
    <t xml:space="preserve">27 Rue de l'Hotel des Postes, Nice, Provence-Alpes-Cote d'Azur, France, 06000</t>
  </si>
  <si>
    <t xml:space="preserve">Un courtier en Assurances tel que CAP Assurances est votre comparateur d'assurances de prêt, santé internationale et prévoyance.</t>
  </si>
  <si>
    <t>Maximin</t>
  </si>
  <si>
    <t>philippe.maximin@kenko.fr</t>
  </si>
  <si>
    <t>http://www.linkedin.com/in/philippe-maximin-9458101</t>
  </si>
  <si>
    <t>Redier</t>
  </si>
  <si>
    <t xml:space="preserve">le Cèdre conseils</t>
  </si>
  <si>
    <t>fx.redier@lecedre.fr</t>
  </si>
  <si>
    <t>http://www.linkedin.com/in/fxredier</t>
  </si>
  <si>
    <t>http://www.lecedreconseils.fr</t>
  </si>
  <si>
    <t xml:space="preserve">1 Allee des Chapelains, Paray-le-Monial, Bourgogne Franche-Comte, France, 71600</t>
  </si>
  <si>
    <t>Baccouche</t>
  </si>
  <si>
    <t xml:space="preserve">CEO YAKOOTA</t>
  </si>
  <si>
    <t>YAKOOTA</t>
  </si>
  <si>
    <t>mohamed.baccouche@yakoota.fr</t>
  </si>
  <si>
    <t>http://www.linkedin.com/in/mohamed-baccouche-phd-36678117</t>
  </si>
  <si>
    <t>http://www.yakoota.fr</t>
  </si>
  <si>
    <t xml:space="preserve">Yakoota inaugure une nouvelle ère de comparateur d'assurance ultra-personnalisé, intégrant les critères ESG dans son comparateur d’assurances.</t>
  </si>
  <si>
    <t xml:space="preserve">CEO VALEURS ASSURANCES</t>
  </si>
  <si>
    <t xml:space="preserve">VALEURS ASSURANCES VA</t>
  </si>
  <si>
    <t>bertrand@valeurs-assurances.com</t>
  </si>
  <si>
    <t>http://www.linkedin.com/in/bertrand-fran%c3%a7ois-thorel-96950051</t>
  </si>
  <si>
    <t>http://www.valeurs-assurances.com</t>
  </si>
  <si>
    <t xml:space="preserve">152 Boulevard Haussmann, Paris, Ile-de-France, France, 75008</t>
  </si>
  <si>
    <t xml:space="preserve">Valeurs Assurances, expert en assurance voyage pour les professionnels du tourisme, offre une gamme complète de produits personnalisés. Découvrez nos services de souscription rapide, gestion simplifiée, et suivi en temps réel. Profitez d'un service client dédié et de solutions innovantes pour sécuriser vos voyages et événements.</t>
  </si>
  <si>
    <t>Sicard</t>
  </si>
  <si>
    <t xml:space="preserve">What You Need Assurances</t>
  </si>
  <si>
    <t>gsicard@wyneed.fr</t>
  </si>
  <si>
    <t>http://www.linkedin.com/in/gr%c3%a9goire-sicard-a10b0216b</t>
  </si>
  <si>
    <t>wyneed.fr</t>
  </si>
  <si>
    <t>Rivka</t>
  </si>
  <si>
    <t>Belhassen</t>
  </si>
  <si>
    <t xml:space="preserve">Help Courtage by Help Assurances</t>
  </si>
  <si>
    <t>rivka@help-assurances.com</t>
  </si>
  <si>
    <t>http://www.linkedin.com/in/rivka-belhassen</t>
  </si>
  <si>
    <t>help-assurances.com</t>
  </si>
  <si>
    <t>Mariotto</t>
  </si>
  <si>
    <t xml:space="preserve">OCCITANIE CREDIT</t>
  </si>
  <si>
    <t>guillaume.mariotto@occitanie-credit.fr</t>
  </si>
  <si>
    <t>http://www.linkedin.com/in/guillaume-mariotto-69a63ba8</t>
  </si>
  <si>
    <t>occitanie-credit.fr</t>
  </si>
  <si>
    <t xml:space="preserve">banque,gestion de patrimoine,courtage en assurances,credits professionnels,credits immobiliers,assurances,courtage en credits</t>
  </si>
  <si>
    <t>Yonathan</t>
  </si>
  <si>
    <t>Yonivers</t>
  </si>
  <si>
    <t>yonathan@yonivers.com</t>
  </si>
  <si>
    <t>http://www.linkedin.com/in/yonathan-lellouche-dahan-46826430</t>
  </si>
  <si>
    <t>http://www.yonivers.com</t>
  </si>
  <si>
    <t xml:space="preserve">5 Rue Saint-Victor, Paris, Ile-de-France, France, 75005</t>
  </si>
  <si>
    <t xml:space="preserve">À la recherche d'une assurance santé, habitation, juridique, auto ? Découvrez les tarifs YONIVERS et obtenez votre contrat en quelques secondes.</t>
  </si>
  <si>
    <t>Therond</t>
  </si>
  <si>
    <t>nicolas.therond@retro.fr</t>
  </si>
  <si>
    <t>http://www.linkedin.com/in/nicolasth%c3%a9rond</t>
  </si>
  <si>
    <t>retro.fr</t>
  </si>
  <si>
    <t xml:space="preserve">assurance quad,assurance campingcar,assurance mobilhome,garantie accidents de la vie,assurance auto,assurance buggy,assurance moto,assurance bateaux,assurance collection,assurance habitation</t>
  </si>
  <si>
    <t xml:space="preserve">PHOCEA PATRIMOINE</t>
  </si>
  <si>
    <t>jcohen@phoceapatrimoine.com</t>
  </si>
  <si>
    <t>http://www.linkedin.com/in/j%c3%a9r%c3%a9my-cohen-17904a16</t>
  </si>
  <si>
    <t>phoceapatrimoine.com</t>
  </si>
  <si>
    <t xml:space="preserve">dirigeants dentreprise,optimisations,defiscalisation,protection sociales tns,epargne,assurance emprunteur</t>
  </si>
  <si>
    <t>Louvet</t>
  </si>
  <si>
    <t xml:space="preserve">DIRIGEANT DE LOUVET&amp;COATES ASSURANCES</t>
  </si>
  <si>
    <t xml:space="preserve">Louvet &amp; Coates Assurances</t>
  </si>
  <si>
    <t>amaury@louvet-assurances.fr</t>
  </si>
  <si>
    <t>http://www.linkedin.com/in/amaury-louvet</t>
  </si>
  <si>
    <t>louvet-assurances.fr</t>
  </si>
  <si>
    <t xml:space="preserve">collectives,auto,multirisques,emprunteur,sante,construction,flotte,responsabilites,mutuelles,prevoyance,protection juridique,transport,moto</t>
  </si>
  <si>
    <t>Wizzas</t>
  </si>
  <si>
    <t>jrenauld@wizzas.com</t>
  </si>
  <si>
    <t>http://www.linkedin.com/in/julien-renauld-62970750</t>
  </si>
  <si>
    <t>wizzas.com</t>
  </si>
  <si>
    <t xml:space="preserve">edpm,assurance,economie collaborative,insurtech,mobilite</t>
  </si>
  <si>
    <t>Sengier</t>
  </si>
  <si>
    <t xml:space="preserve">Solucia Service et Protection Juridiques</t>
  </si>
  <si>
    <t>laurent.sengier@soluciapj.fr</t>
  </si>
  <si>
    <t>http://www.linkedin.com/in/laurent-sengier-699689b4</t>
  </si>
  <si>
    <t>http://www.soluciaspj.fr</t>
  </si>
  <si>
    <t>Eaubonne</t>
  </si>
  <si>
    <t xml:space="preserve">3 Boulevard Diderot, Paris, Ile-de-France, France, 75012</t>
  </si>
  <si>
    <t xml:space="preserve">Solucia Service et Protection Juridiques œuvre au quotidien pour mettre le droit à la portée de chacun et redonner le pouvoir d’agir.</t>
  </si>
  <si>
    <t>Daunizeau</t>
  </si>
  <si>
    <t xml:space="preserve">CEPY ASSURANCES</t>
  </si>
  <si>
    <t>laurent@cepyassurances.fr</t>
  </si>
  <si>
    <t>http://www.linkedin.com/in/laurent-daunizeau-518a3639</t>
  </si>
  <si>
    <t>cepyassurances.fr</t>
  </si>
  <si>
    <t>Latifa</t>
  </si>
  <si>
    <t>Vittet</t>
  </si>
  <si>
    <t xml:space="preserve">Associée - Dirigeante de PROJASSUR</t>
  </si>
  <si>
    <t>Projassur</t>
  </si>
  <si>
    <t>latifa@projassur.com</t>
  </si>
  <si>
    <t xml:space="preserve">votre secteur</t>
  </si>
  <si>
    <t>http://www.linkedin.com/in/latifa-vittet-120b517b</t>
  </si>
  <si>
    <t>projassur.com</t>
  </si>
  <si>
    <t xml:space="preserve">Atomes Courtage</t>
  </si>
  <si>
    <t>a.anne@atomescourtage.fr</t>
  </si>
  <si>
    <t>http://www.linkedin.com/in/armand-anne-87486715b</t>
  </si>
  <si>
    <t>atomescourtage.fr</t>
  </si>
  <si>
    <t>Lindsey</t>
  </si>
  <si>
    <t>Dufay</t>
  </si>
  <si>
    <t xml:space="preserve">Co-fondatrice &amp; directrice marketing digitale</t>
  </si>
  <si>
    <t xml:space="preserve">Bye Créances</t>
  </si>
  <si>
    <t>lindsey.dufay@bye-creances.fr</t>
  </si>
  <si>
    <t>http://www.linkedin.com/in/lindsey-dufay-529629173</t>
  </si>
  <si>
    <t>http://www.bye-creances.fr</t>
  </si>
  <si>
    <t xml:space="preserve">Laventie, Hauts-de-France, France</t>
  </si>
  <si>
    <t>Roxane</t>
  </si>
  <si>
    <t>Augen-Langonne</t>
  </si>
  <si>
    <t xml:space="preserve">Présidente co-fondatrice</t>
  </si>
  <si>
    <t xml:space="preserve">R&amp;J courtage</t>
  </si>
  <si>
    <t>roxane.augen@randjcourtage.com</t>
  </si>
  <si>
    <t>http://www.linkedin.com/in/roxane-augen-langonne-b36865108</t>
  </si>
  <si>
    <t>randjcourtage.fr</t>
  </si>
  <si>
    <t>Pamart</t>
  </si>
  <si>
    <t>Prsident-fondateur</t>
  </si>
  <si>
    <t>ELENA</t>
  </si>
  <si>
    <t>jean@elenassur.com</t>
  </si>
  <si>
    <t>http://www.linkedin.com/in/jean-pamart-9197a211b</t>
  </si>
  <si>
    <t>elenassur.com</t>
  </si>
  <si>
    <t>Sommieres</t>
  </si>
  <si>
    <t>Pawlak</t>
  </si>
  <si>
    <t xml:space="preserve">AceBay Solutions SAS</t>
  </si>
  <si>
    <t>olivier@acebaysolutions.com</t>
  </si>
  <si>
    <t>http://www.linkedin.com/in/olivier-pawlak-32910573</t>
  </si>
  <si>
    <t>acebaysolutions.com</t>
  </si>
  <si>
    <t>Saez</t>
  </si>
  <si>
    <t xml:space="preserve">Réflexe Accident</t>
  </si>
  <si>
    <t>steve@reflexe-accident.fr</t>
  </si>
  <si>
    <t>http://www.linkedin.com/in/steve-saez-626501aa</t>
  </si>
  <si>
    <t>reflexe-accident.fr</t>
  </si>
  <si>
    <t xml:space="preserve">gestion sinistres,dommage corporel,assurances,reparateur,chiffrage de dommages,carrosserie,dommage materiel auto</t>
  </si>
  <si>
    <t>Walbert</t>
  </si>
  <si>
    <t xml:space="preserve">Directrice Générale Groupe France Courtage</t>
  </si>
  <si>
    <t xml:space="preserve">Groupe France Courtage</t>
  </si>
  <si>
    <t>f.walbert@francecourtage.fr</t>
  </si>
  <si>
    <t>http://www.linkedin.com/in/fr%c3%a9d%c3%a9rique-walbert-84b74320</t>
  </si>
  <si>
    <t>http://www.francecourtage.fr</t>
  </si>
  <si>
    <t xml:space="preserve">23 Rue Chauchat, Paris, Ile-de-France, France, 75009</t>
  </si>
  <si>
    <t xml:space="preserve">GROUPE FRANCE COURTAGE, courtier en assurance multi spécialiste depuis 1965, reconnu par ses clients pour son expertise et sa qualité de service.</t>
  </si>
  <si>
    <t>Grace</t>
  </si>
  <si>
    <t>Amoikon</t>
  </si>
  <si>
    <t xml:space="preserve">OLEA Côte d'Ivoire</t>
  </si>
  <si>
    <t>g.amoikon@olea.africa</t>
  </si>
  <si>
    <t>http://www.linkedin.com/in/grace-diarrassouba-epse-amoikon-%e2%ad%90%ef%b8%8f%e2%ad%90%ef%b8%8f%e2%ad%90%ef%b8%8f-8b3ab250</t>
  </si>
  <si>
    <t>Dandelot</t>
  </si>
  <si>
    <t xml:space="preserve">CLARK France</t>
  </si>
  <si>
    <t>eric.dandelot@clark.fr</t>
  </si>
  <si>
    <t>http://www.linkedin.com/in/ericdandelot</t>
  </si>
  <si>
    <t>clark.fr</t>
  </si>
  <si>
    <t>Hedengren</t>
  </si>
  <si>
    <t>THESIA</t>
  </si>
  <si>
    <t>theodore.hedengren@thesia.fr</t>
  </si>
  <si>
    <t>http://www.linkedin.com/in/th%c3%a9odore-hedengren-6309b0b</t>
  </si>
  <si>
    <t>thesia.fr</t>
  </si>
  <si>
    <t xml:space="preserve">prevoyance individuelle,plateforme assurance,assurance emprunteur</t>
  </si>
  <si>
    <t xml:space="preserve">Racecare Assurances</t>
  </si>
  <si>
    <t>g.moreau@racecare.fr</t>
  </si>
  <si>
    <t>http://www.linkedin.com/in/guillaume-moreau-b394b936</t>
  </si>
  <si>
    <t>racecare.fr</t>
  </si>
  <si>
    <t xml:space="preserve">assurances de personnes,evenementiels,assurance,motorsport,sport automobile,insurance,prevoyance,dommages aux biens,professionnels,risques speciaux,industries,birs de machine,sante,responsabilite civile</t>
  </si>
  <si>
    <t xml:space="preserve">SGA COURTAGE</t>
  </si>
  <si>
    <t>alexandre.guibert@sgacourtage.fr</t>
  </si>
  <si>
    <t>http://www.linkedin.com/in/alexandre-guibert-516746114</t>
  </si>
  <si>
    <t>sgacourtage.fr</t>
  </si>
  <si>
    <t xml:space="preserve">cybercriminalite,ifcil,accompagnement,accords de branche,assurance credit,retraite,assurance vie,rc pro,epargne salariale,homme cle,assurances,protection sociale,frais de sante,audit des regimes existants,gestion des risques,prevoyance collective</t>
  </si>
  <si>
    <t>Ragot</t>
  </si>
  <si>
    <t xml:space="preserve">ORBIS Consult</t>
  </si>
  <si>
    <t>lragot@orbisconsult.fr</t>
  </si>
  <si>
    <t>http://www.linkedin.com/in/laurentragot</t>
  </si>
  <si>
    <t>orbisconsult.fr</t>
  </si>
  <si>
    <t xml:space="preserve">assurance,pca,rgpd,acpr,indemnisation,conduite du changement,formation,conformite,lablat,protection des donnees,audit</t>
  </si>
  <si>
    <t>Handa</t>
  </si>
  <si>
    <t>soufiane@lescourtiersdefrance.fr</t>
  </si>
  <si>
    <t>http://www.linkedin.com/in/soufiane-el-handa</t>
  </si>
  <si>
    <t>lescourtiersdefrance.fr</t>
  </si>
  <si>
    <t>Optym</t>
  </si>
  <si>
    <t>e.lallier@optym.fr</t>
  </si>
  <si>
    <t>http://www.linkedin.com/in/emmanuel-lallier-a41274199</t>
  </si>
  <si>
    <t>optym.fr</t>
  </si>
  <si>
    <t>Orsini</t>
  </si>
  <si>
    <t>Adaequatio</t>
  </si>
  <si>
    <t>mathieu.orsini@adaequatio.fr</t>
  </si>
  <si>
    <t>http://www.linkedin.com/in/mathieu-orsini-b2ba1</t>
  </si>
  <si>
    <t>adaequatio.fr</t>
  </si>
  <si>
    <t>Abenhaim</t>
  </si>
  <si>
    <t xml:space="preserve">Président et fondateur</t>
  </si>
  <si>
    <t xml:space="preserve">Cabinet ELAB</t>
  </si>
  <si>
    <t>z.abenhaim@cab-elab.fr</t>
  </si>
  <si>
    <t>http://www.linkedin.com/in/zacharie-abenhaim-7b8382108</t>
  </si>
  <si>
    <t>cab-elab.fr</t>
  </si>
  <si>
    <t xml:space="preserve">conseil,gestion de projets,audit,formation,courtage en assurance</t>
  </si>
  <si>
    <t>Delayat</t>
  </si>
  <si>
    <t xml:space="preserve">COGITANDA Dataprotect AG</t>
  </si>
  <si>
    <t>regis.delayat@cogitanda.com</t>
  </si>
  <si>
    <t>http://www.linkedin.com/in/r%c3%a9gis-delayat-b05b5a5</t>
  </si>
  <si>
    <t>http://www.cogitanda.com</t>
  </si>
  <si>
    <t xml:space="preserve">Cologne, North Rhine-Westphalia, Germany, 50667</t>
  </si>
  <si>
    <t>Planche</t>
  </si>
  <si>
    <t>BROKIN</t>
  </si>
  <si>
    <t>v.planche@brokin.fr</t>
  </si>
  <si>
    <t>http://www.linkedin.com/in/valentin-planche-059023105</t>
  </si>
  <si>
    <t>brokin.fr</t>
  </si>
  <si>
    <t xml:space="preserve">Présidente de la SAS Assur Tous Risques</t>
  </si>
  <si>
    <t xml:space="preserve">Assur Tous Risques</t>
  </si>
  <si>
    <t>chrystelle.brun@assur-tous-risques.com</t>
  </si>
  <si>
    <t>http://www.linkedin.com/in/chrystelle-brun</t>
  </si>
  <si>
    <t>assur-tous-risques.com</t>
  </si>
  <si>
    <t xml:space="preserve">negociant automobile,construction,assurances,entreprise,ong,garage,fondation</t>
  </si>
  <si>
    <t>Schuller</t>
  </si>
  <si>
    <t xml:space="preserve">Schuller &amp; Schuller</t>
  </si>
  <si>
    <t>pierre@schuller-schuller.fr</t>
  </si>
  <si>
    <t>http://www.linkedin.com/in/pierre-schuller-1aa282108</t>
  </si>
  <si>
    <t>schuller-schuller.fr</t>
  </si>
  <si>
    <t>denis.blanc@actuaires-associes.com</t>
  </si>
  <si>
    <t>http://www.linkedin.com/in/denis-blanc-8109074b</t>
  </si>
  <si>
    <t>actuaires-associes.com</t>
  </si>
  <si>
    <t xml:space="preserve">actuariat assurance et reassurance,actuariat vie et nonvie,gestion et controle des risques,solvabilite ii et erm,systemes dinformation assurance</t>
  </si>
  <si>
    <t>Vieillard-Baron</t>
  </si>
  <si>
    <t>Gerep</t>
  </si>
  <si>
    <t>dvb@gerep.fr</t>
  </si>
  <si>
    <t>http://www.linkedin.com/in/damienv</t>
  </si>
  <si>
    <t>http://www.gerep.fr</t>
  </si>
  <si>
    <t xml:space="preserve">8 Rue de Vienne, Paris, Ile-de-France, France, 75008</t>
  </si>
  <si>
    <t xml:space="preserve">Courtier et Gestionnaire, Gerep est une société de conseil en Protection Sociale. Expert en santé, prévoyance, retraite, QVT et épargne salariale</t>
  </si>
  <si>
    <t>Mariam</t>
  </si>
  <si>
    <t>Grigorian</t>
  </si>
  <si>
    <t xml:space="preserve">Coordinatrice garantie chômage du dirigeant</t>
  </si>
  <si>
    <t>OFRACAR</t>
  </si>
  <si>
    <t>mariam.grigorian@ofracar.fr</t>
  </si>
  <si>
    <t>http://www.linkedin.com/in/mariam-grigorian</t>
  </si>
  <si>
    <t>ofracar.fr</t>
  </si>
  <si>
    <t xml:space="preserve">assurances de biens,assurances de personnes,assurance credit et financement,conseil audit et formation,construction,autoecoles,professionnels du froid,transport</t>
  </si>
  <si>
    <t>Moutaani</t>
  </si>
  <si>
    <t>hicham.moutaani@calipso-assurances.fr</t>
  </si>
  <si>
    <t>http://www.linkedin.com/in/hicham-moutaani-14010173</t>
  </si>
  <si>
    <t>Nombel</t>
  </si>
  <si>
    <t xml:space="preserve">Fabre &amp; de Nombel Assurances</t>
  </si>
  <si>
    <t>snombel@fabre-de-nombel.com</t>
  </si>
  <si>
    <t>http://www.linkedin.com/in/assurancesentreprises-sylvain-de-nombel</t>
  </si>
  <si>
    <t>fabre-de-nombel.com</t>
  </si>
  <si>
    <t>Bruges</t>
  </si>
  <si>
    <t xml:space="preserve">risques industriels,assurances conctruction,reponsabilite civile professionnel,assurances collectives,assurance affinitaire,assurances entreprises,sante entreprises</t>
  </si>
  <si>
    <t xml:space="preserve">Little John</t>
  </si>
  <si>
    <t>olivier.legrand@little-john.io</t>
  </si>
  <si>
    <t>http://www.linkedin.com/in/olivierxlegrand</t>
  </si>
  <si>
    <t>http://www.little-john.io</t>
  </si>
  <si>
    <t xml:space="preserve">Le collectif Little John s'associe avec les courtiers pour permettre de développer leur activité de courtage d'assurance.</t>
  </si>
  <si>
    <t>Joffroy</t>
  </si>
  <si>
    <t xml:space="preserve">Saphir Courtage</t>
  </si>
  <si>
    <t>amelie.joffroy@saphir-courtage.fr</t>
  </si>
  <si>
    <t>http://www.linkedin.com/in/amelie-joffroy-03b5b0250</t>
  </si>
  <si>
    <t>Dole</t>
  </si>
  <si>
    <t>courtage</t>
  </si>
  <si>
    <t>Faraud</t>
  </si>
  <si>
    <t xml:space="preserve">Président section Aquitaine-Nord</t>
  </si>
  <si>
    <t xml:space="preserve">Mutuelle Entrain</t>
  </si>
  <si>
    <t>yves.faraud@mutuelle-entrain.fr</t>
  </si>
  <si>
    <t>http://www.linkedin.com/in/yves-faraud-27882828</t>
  </si>
  <si>
    <t>mutuelle-entrain.fr</t>
  </si>
  <si>
    <t>Delcupe</t>
  </si>
  <si>
    <t>tdelcupe@wizzas.com</t>
  </si>
  <si>
    <t>http://www.linkedin.com/in/thierry-delcupe-6460247</t>
  </si>
  <si>
    <t>Koran</t>
  </si>
  <si>
    <t>nkoran@assurea.fr</t>
  </si>
  <si>
    <t>http://www.linkedin.com/in/nicolas-koran-a520869a</t>
  </si>
  <si>
    <t>Calandre</t>
  </si>
  <si>
    <t>Phenomen</t>
  </si>
  <si>
    <t>axel.calandre@pheno.men</t>
  </si>
  <si>
    <t>http://www.linkedin.com/in/axelcalandre</t>
  </si>
  <si>
    <t>http://www.pheno.men</t>
  </si>
  <si>
    <t xml:space="preserve">37 Rue de Liege, Paris, Ile-de-France, France, 75008</t>
  </si>
  <si>
    <t xml:space="preserve">Vos réalisations (événements, productions) sont uniques. Notre méthode de travail également.</t>
  </si>
  <si>
    <t>KIASSURE</t>
  </si>
  <si>
    <t>l.mari@kiassure.com</t>
  </si>
  <si>
    <t>http://www.linkedin.com/in/lionel-mari-527a7463</t>
  </si>
  <si>
    <t>kiassure.com</t>
  </si>
  <si>
    <t>complementaire,courtier,assurance,sante</t>
  </si>
  <si>
    <t>Gagnant</t>
  </si>
  <si>
    <t xml:space="preserve">Le Courtier Généreux</t>
  </si>
  <si>
    <t>valerie.gagnant@lecourtiergenereux.fr</t>
  </si>
  <si>
    <t>http://www.linkedin.com/in/val%c3%a9rie-gagnant-84b507197</t>
  </si>
  <si>
    <t>lecourtiergenereux.fr</t>
  </si>
  <si>
    <t>Velimirovic</t>
  </si>
  <si>
    <t xml:space="preserve">GROUPE GRITCHEN ASSURANCES</t>
  </si>
  <si>
    <t>lvelimirovic@gritchen.fr</t>
  </si>
  <si>
    <t>http://www.linkedin.com/in/lucasvelimirovic</t>
  </si>
  <si>
    <t>http://www.gritchen.fr</t>
  </si>
  <si>
    <t>Margall</t>
  </si>
  <si>
    <t>Yogassur</t>
  </si>
  <si>
    <t>smargall@yogassur.fr</t>
  </si>
  <si>
    <t>http://www.linkedin.com/in/st%c3%a9phane-margall-b1237746</t>
  </si>
  <si>
    <t>yogassur.fr</t>
  </si>
  <si>
    <t>Genay</t>
  </si>
  <si>
    <t xml:space="preserve">complementaire sante yoga,complementaire sante,yoga,assurance,assurance yoga,programme solidaire,professeur de yoga</t>
  </si>
  <si>
    <t>Voiseux</t>
  </si>
  <si>
    <t xml:space="preserve">Dirigeant société de Courtage d’assurance</t>
  </si>
  <si>
    <t xml:space="preserve">Groupe CERAP</t>
  </si>
  <si>
    <t>stephanie.voiseux@cerap.com</t>
  </si>
  <si>
    <t>http://www.linkedin.com/in/stephanie-voiseux-viel-535a5b94</t>
  </si>
  <si>
    <t>cerap.com</t>
  </si>
  <si>
    <t>Rosa</t>
  </si>
  <si>
    <t>Seabra</t>
  </si>
  <si>
    <t xml:space="preserve">AVIA BROKING</t>
  </si>
  <si>
    <t>r.seabra@aviabroking.fr</t>
  </si>
  <si>
    <t>http://www.linkedin.com/in/rosa-seabra-a0045299</t>
  </si>
  <si>
    <t>aviabroking.fr</t>
  </si>
  <si>
    <t>Grisendi</t>
  </si>
  <si>
    <t xml:space="preserve">HBJO ASSURANCES CONSEILS </t>
  </si>
  <si>
    <t>tgrisendi@hbjo-ac.fr</t>
  </si>
  <si>
    <t>http://www.linkedin.com/in/thomas-grisendi-hbjo</t>
  </si>
  <si>
    <t>hbjo-ac.fr</t>
  </si>
  <si>
    <t xml:space="preserve">souscription courtage,assurance bijouterie joaillerie,assurance de valeurs</t>
  </si>
  <si>
    <t>Bougerolle</t>
  </si>
  <si>
    <t>Bify</t>
  </si>
  <si>
    <t>valentin.bougerolle@bify.fr</t>
  </si>
  <si>
    <t>http://www.linkedin.com/in/valentin-bougerolle</t>
  </si>
  <si>
    <t>bify.fr</t>
  </si>
  <si>
    <t xml:space="preserve">retraite,assurance vie,independant,assurances,mutuelle,prevoyance,liberal,assurance emprunteur,entreprise</t>
  </si>
  <si>
    <t>CGPA</t>
  </si>
  <si>
    <t>sylvain.rivet@cgpa.fr</t>
  </si>
  <si>
    <t>http://www.linkedin.com/in/sylvain-rivet-2b921385</t>
  </si>
  <si>
    <t>http://www.cgpa.fr</t>
  </si>
  <si>
    <t xml:space="preserve">125 Rue de la Faisanderie, Paris, Ile-de-France, France, 75116</t>
  </si>
  <si>
    <t>Saliou</t>
  </si>
  <si>
    <t>Mbodji</t>
  </si>
  <si>
    <t xml:space="preserve">Courtier - Dirigeant</t>
  </si>
  <si>
    <t xml:space="preserve">ASM ASSURANCE</t>
  </si>
  <si>
    <t>s.mbodji@asm-assurance.com</t>
  </si>
  <si>
    <t>http://www.linkedin.com/in/saliou-mbodji-03184425</t>
  </si>
  <si>
    <t>asm-assurance.com</t>
  </si>
  <si>
    <t>Guedet-Guepratte</t>
  </si>
  <si>
    <t>OPEGA</t>
  </si>
  <si>
    <t>patrice.guedet@opega.fr</t>
  </si>
  <si>
    <t>http://www.linkedin.com/in/patrice-gu%c3%a9det-gu%c3%a9pratte-12a1b768</t>
  </si>
  <si>
    <t>opega.fr</t>
  </si>
  <si>
    <t xml:space="preserve">garantie des accidents de la vie,garantie emprunteur,dependance,pereco,contrat ifc,epargne salariale,mutuelle sante,retraite et prevoyance,pee,article 83,perco,perp,contrats collectifs sante,indemnites de fin de carriere,garantie homme cle,prevoyance et retraite madelin,sante,contrat obseques,assurance vie,per,prevoyance</t>
  </si>
  <si>
    <t>Abdou</t>
  </si>
  <si>
    <t>EFCI</t>
  </si>
  <si>
    <t>rachid.abdou@efci-france.fr</t>
  </si>
  <si>
    <t>http://www.linkedin.com/in/rachid-abdou-803b961b1</t>
  </si>
  <si>
    <t>efci-france.fr</t>
  </si>
  <si>
    <t>Chassin</t>
  </si>
  <si>
    <t xml:space="preserve">OPTIM ASSURANCE</t>
  </si>
  <si>
    <t>lionel.chassin@optimassurance.fr</t>
  </si>
  <si>
    <t>http://www.linkedin.com/in/lionel-chassin-527a34212</t>
  </si>
  <si>
    <t>optimassurance.fr</t>
  </si>
  <si>
    <t>Judith</t>
  </si>
  <si>
    <t>Goldnadel</t>
  </si>
  <si>
    <t xml:space="preserve">Cabinet A.R.T.</t>
  </si>
  <si>
    <t>judith.goldnadel@art-assurance.com</t>
  </si>
  <si>
    <t>http://www.linkedin.com/in/judith-goldnadel-99a09861</t>
  </si>
  <si>
    <t>art-assurance.com</t>
  </si>
  <si>
    <t xml:space="preserve">Ciprêt Courtage</t>
  </si>
  <si>
    <t>salim.khalil@cipret.com</t>
  </si>
  <si>
    <t>http://www.linkedin.com/in/salim-khalil-a2aaa11b0</t>
  </si>
  <si>
    <t>cipret.com</t>
  </si>
  <si>
    <t xml:space="preserve">risques professionnels,entreprise,courtage,financement,assurances,sante prevoyance</t>
  </si>
  <si>
    <t>Zied</t>
  </si>
  <si>
    <t>Ketata</t>
  </si>
  <si>
    <t xml:space="preserve">CABINET VITAL</t>
  </si>
  <si>
    <t>z.ketata@cabinetvital.fr</t>
  </si>
  <si>
    <t>http://www.linkedin.com/in/zied-ketata-72617b34</t>
  </si>
  <si>
    <t>Boudet</t>
  </si>
  <si>
    <t>CMAM</t>
  </si>
  <si>
    <t>l.boudet@cmam.fr</t>
  </si>
  <si>
    <t>http://www.linkedin.com/in/laurent-boudet-052b46212</t>
  </si>
  <si>
    <t>cmam.fr</t>
  </si>
  <si>
    <t>Bar-le-Duc</t>
  </si>
  <si>
    <t>Prates</t>
  </si>
  <si>
    <t xml:space="preserve">ONA. Optimisons Notre Avenir</t>
  </si>
  <si>
    <t>prates.thomas@ona-conseil.fr</t>
  </si>
  <si>
    <t>http://www.linkedin.com/in/thomas-prates-700451123</t>
  </si>
  <si>
    <t>ona-conseil.fr</t>
  </si>
  <si>
    <t xml:space="preserve">retraite,sante,defiscalisation immobiliere,assurance de pret,protection de la succession,optimisation,optimisation des revenus,assurance,prevoyance,placement,defiscalisation,protection,epargne,finance,investissement,assurance emrpunteur</t>
  </si>
  <si>
    <t xml:space="preserve">Directeur commercial Associé et co-Fondateur</t>
  </si>
  <si>
    <t>MED'EXPERTISES</t>
  </si>
  <si>
    <t>patrice.martin@medexpertises.fr</t>
  </si>
  <si>
    <t>http://www.linkedin.com/in/patrice-martin-653153211</t>
  </si>
  <si>
    <t>medexpertises.fr</t>
  </si>
  <si>
    <t>ycoste@coste-fermon.fr</t>
  </si>
  <si>
    <t>http://www.linkedin.com/in/yves-coste-44aab5170</t>
  </si>
  <si>
    <t>coste-fermon.fr</t>
  </si>
  <si>
    <t xml:space="preserve">assurances transport,assurances entreprise,assurances logistique,assurances construction,assurances credit,assurances de personnes</t>
  </si>
  <si>
    <t>Pelle</t>
  </si>
  <si>
    <t>fpelle@wellcov.com</t>
  </si>
  <si>
    <t>http://www.linkedin.com/in/franck-pelle-4280774b</t>
  </si>
  <si>
    <t>wellcov.com</t>
  </si>
  <si>
    <t xml:space="preserve">Dirigeant et Fondateur</t>
  </si>
  <si>
    <t xml:space="preserve">Elite GP</t>
  </si>
  <si>
    <t>angeline.guilloux@elitegp.fr</t>
  </si>
  <si>
    <t>http://www.linkedin.com/in/olivier-guilloux</t>
  </si>
  <si>
    <t>elitegp.fr</t>
  </si>
  <si>
    <t>Cormatin</t>
  </si>
  <si>
    <t xml:space="preserve">epargne,defiscalisation,prevoyance,refinancement,credit,immobilier,oeuvres dart,credit immobilier,credit professionnel,assurances,oeuvres d39art,cryptosactifs,assurances et prevoyance internationales,cryptomonnaie</t>
  </si>
  <si>
    <t>Granjean</t>
  </si>
  <si>
    <t>KERIALIS</t>
  </si>
  <si>
    <t>beatrice.granjean@kerialis.fr</t>
  </si>
  <si>
    <t>http://www.linkedin.com/in/b%c3%a9atrice-granjean-684726180</t>
  </si>
  <si>
    <t>http://www.kerialis.fr</t>
  </si>
  <si>
    <t xml:space="preserve">80 Rue Saint-Lazare, Paris, Ile-de-France, France, 75009</t>
  </si>
  <si>
    <t xml:space="preserve">KERIALIS, experte en protection sociale pour les professions du droit et du chiffre, protège depuis plus de 60 ans ses assurés.</t>
  </si>
  <si>
    <t>Dockwiller</t>
  </si>
  <si>
    <t xml:space="preserve">Directeur général chez SMENO</t>
  </si>
  <si>
    <t>SMENO</t>
  </si>
  <si>
    <t>j.dockwiller@smeno.fr</t>
  </si>
  <si>
    <t>http://www.linkedin.com/in/jo%c3%abl-dockwiller-8288381a</t>
  </si>
  <si>
    <t>http://www.smeno.com</t>
  </si>
  <si>
    <t xml:space="preserve">45 Boulevard de la Liberte, Lille, Hauts-de-France, France, 59800</t>
  </si>
  <si>
    <t xml:space="preserve">Profitez des prix et offres incroyables SMENO ! Large choix de mutuelles, complémentaires santé et assurances (auto, logement...). Adhésion simple et rapide !</t>
  </si>
  <si>
    <t>simon.bensaid@ediifice.com</t>
  </si>
  <si>
    <t>http://www.linkedin.com/in/simon-bensaid</t>
  </si>
  <si>
    <t>ediifice.com</t>
  </si>
  <si>
    <t xml:space="preserve">assurance flotte automobile,assurance dommage ouvrage,rc decennale,assurance immeuble,rc professionnelle,rc decennale photovoltaique,assurance construction,multirisque professionnelle,assurance immobilier,multirisque immeuble,responsabilite civile,rc prestataire de service</t>
  </si>
  <si>
    <t>Joerg</t>
  </si>
  <si>
    <t>Kochniss</t>
  </si>
  <si>
    <t xml:space="preserve">CEO Opteven Services Deutschland</t>
  </si>
  <si>
    <t xml:space="preserve">Opteven Services Deutschland</t>
  </si>
  <si>
    <t>jkochniss@opteven.com</t>
  </si>
  <si>
    <t>http://www.linkedin.com/in/j%c3%b6rg-kochniss-4a1534218</t>
  </si>
  <si>
    <t>opteven.de</t>
  </si>
  <si>
    <t>Beton</t>
  </si>
  <si>
    <t xml:space="preserve">Fondateur associé - Spécialiste en protection sociale collective</t>
  </si>
  <si>
    <t>AGASCO</t>
  </si>
  <si>
    <t>cyprien@agasco.fr</t>
  </si>
  <si>
    <t>http://www.linkedin.com/in/cyprien-beton-623a04163</t>
  </si>
  <si>
    <t>agasco.fr</t>
  </si>
  <si>
    <t xml:space="preserve">prevoyance,sante,assurances collectives,epargne salariale,epargne retraite,protection sociale,indemnites de fin de carriere</t>
  </si>
  <si>
    <t>Mader</t>
  </si>
  <si>
    <t xml:space="preserve">ASSURANCES MADER MMA</t>
  </si>
  <si>
    <t>guillaume@mader.fr</t>
  </si>
  <si>
    <t>http://www.linkedin.com/in/guillaumemader</t>
  </si>
  <si>
    <t>http://www.mader.fr</t>
  </si>
  <si>
    <t xml:space="preserve">Boulevard de la Republique, La Rochelle, Nouvelle-Aquitaine, France, 17000</t>
  </si>
  <si>
    <t xml:space="preserve">Assurances professionnelles des entreprises et assurances des particuliers à La Rochelle, MADER Assurances à vos cotés à La Rochelle depuis 1962. Assurance responsabilité civile professionnelle, Mutuelle d’entreprise, assurance auto, assurance habitation. Contactez-nous. Devis Gratuit</t>
  </si>
  <si>
    <t xml:space="preserve">Corporate Special Risks</t>
  </si>
  <si>
    <t>olivier.adam@special-risks.fr</t>
  </si>
  <si>
    <t>http://www.linkedin.com/in/olivier-adam-93567828</t>
  </si>
  <si>
    <t>special-risks.fr</t>
  </si>
  <si>
    <t xml:space="preserve">transport insurance,general cargo &amp; commodities,marine underwriting,various liabilities programs,hull insurance,cargo war on land &amp; political risks</t>
  </si>
  <si>
    <t>Germen</t>
  </si>
  <si>
    <t>antoine@germen.io</t>
  </si>
  <si>
    <t>http://www.linkedin.com/in/antoine-millet-4a95b474</t>
  </si>
  <si>
    <t>http://www.germen.io</t>
  </si>
  <si>
    <t xml:space="preserve">51 Rue de Chateaudun, Paris, Ile-de-France, France, 75009</t>
  </si>
  <si>
    <t xml:space="preserve">Germen imagine et conçoit les outils adaptés aux défis d'aujourd'hui et de demain pour les assureurs.</t>
  </si>
  <si>
    <t>Rocchi</t>
  </si>
  <si>
    <t xml:space="preserve">Associé &amp; Co-Directeur Général Groupe CFB</t>
  </si>
  <si>
    <t xml:space="preserve">GROUPE CFB</t>
  </si>
  <si>
    <t>antoine.rocchi@groupecfb.com</t>
  </si>
  <si>
    <t>http://www.linkedin.com/in/antoine-rocchi-0b8773118</t>
  </si>
  <si>
    <t>groupecfb.com</t>
  </si>
  <si>
    <t xml:space="preserve">prevoyance,indemnites de licenciement,assurances de credits,indemnites journalieres,immobiliers,retraite,gestion de patrimoine,assurances collectives,indemnites de fin de carriere,epargne,credits,interessement participation,mutuelle,fiscalite</t>
  </si>
  <si>
    <t>Batie</t>
  </si>
  <si>
    <t xml:space="preserve">Cofondateur &amp; CEO</t>
  </si>
  <si>
    <t>Kase</t>
  </si>
  <si>
    <t>edouard@wekase.fr</t>
  </si>
  <si>
    <t>http://www.linkedin.com/in/edouard-de-la-batie</t>
  </si>
  <si>
    <t>http://www.wekase.fr</t>
  </si>
  <si>
    <t xml:space="preserve">1 Rue du Louvre, Paris, Ile-de-France, France, 75001</t>
  </si>
  <si>
    <t>Muth</t>
  </si>
  <si>
    <t xml:space="preserve">Stratégies Sociales</t>
  </si>
  <si>
    <t>patrick.muth@strategies-sociales.com</t>
  </si>
  <si>
    <t>http://www.linkedin.com/in/patrick-muth-55b907249</t>
  </si>
  <si>
    <t>Eran</t>
  </si>
  <si>
    <t>Karoutchi</t>
  </si>
  <si>
    <t>mescourtiers</t>
  </si>
  <si>
    <t>eran.karoutchi@mes-courtiers.fr</t>
  </si>
  <si>
    <t>http://www.linkedin.com/in/eran-karoutchi-23b923167</t>
  </si>
  <si>
    <t>mes-courtiers.fr</t>
  </si>
  <si>
    <t>Dziubinski</t>
  </si>
  <si>
    <t>Assurévie</t>
  </si>
  <si>
    <t>aureliedziubinski@assurevie.fr</t>
  </si>
  <si>
    <t>http://www.linkedin.com/in/aurelie-dziubinski-426a98166</t>
  </si>
  <si>
    <t>assurevie.fr</t>
  </si>
  <si>
    <t xml:space="preserve">Fondateur - Président - FMA Group - FMA Assurances - Auvray</t>
  </si>
  <si>
    <t xml:space="preserve">FMA Assurances</t>
  </si>
  <si>
    <t>ldumont@fma.fr</t>
  </si>
  <si>
    <t>http://www.linkedin.com/in/ludovicdumont</t>
  </si>
  <si>
    <t>http://www.fma.fr</t>
  </si>
  <si>
    <t xml:space="preserve">14 Avenue de l'Arche, Courbevoie, Ile-de-France, France, 92400</t>
  </si>
  <si>
    <t xml:space="preserve">Spécialiste en dommages aux biens et assurances de personnes. 25 produits adaptés, qualité de service unique.</t>
  </si>
  <si>
    <t>Vasselot</t>
  </si>
  <si>
    <t>Linxea</t>
  </si>
  <si>
    <t>sdevasselot@linxea.com</t>
  </si>
  <si>
    <t>http://www.linkedin.com/in/stanislas-de-vasselot-47a4aa3b</t>
  </si>
  <si>
    <t>linxea.com</t>
  </si>
  <si>
    <t xml:space="preserve">placements en ligne,assurance vie,epargne en ligne,defiscalisation,private equity,immobilier,scpi,plan epargne retraite,epargne,investissement,produits structures</t>
  </si>
  <si>
    <t xml:space="preserve">Directeur Général Groupe SOFRACO</t>
  </si>
  <si>
    <t xml:space="preserve">Groupe SOFRACO</t>
  </si>
  <si>
    <t>efficience@groupesofraco.com</t>
  </si>
  <si>
    <t>http://www.linkedin.com/in/christophe-garcia-31bbb5130</t>
  </si>
  <si>
    <t>http://www.sofraco.com</t>
  </si>
  <si>
    <t xml:space="preserve">Vous êtes indépendant, professionnel ou dirigeant ? Nous vous accompagnons pour trouver les solutions adaptées à votre profil et objectifs. Sofraco, solutions d'assurance pro.</t>
  </si>
  <si>
    <t>Abdel</t>
  </si>
  <si>
    <t>PROVELIA</t>
  </si>
  <si>
    <t>abdel.drissi@provelia.fr</t>
  </si>
  <si>
    <t>http://www.linkedin.com/in/abdel-drissi-38068a4b</t>
  </si>
  <si>
    <t>provelia.fr</t>
  </si>
  <si>
    <t>Besson</t>
  </si>
  <si>
    <t xml:space="preserve">Dirigeant Fondateur - Courtier</t>
  </si>
  <si>
    <t xml:space="preserve">Berwick Assurances</t>
  </si>
  <si>
    <t>a.besson@berwick-assurances.fr</t>
  </si>
  <si>
    <t>http://www.linkedin.com/in/ambroisebesson</t>
  </si>
  <si>
    <t>berwick-assurances.fr</t>
  </si>
  <si>
    <t>Frenove</t>
  </si>
  <si>
    <t xml:space="preserve">TCA Assurances</t>
  </si>
  <si>
    <t>charles.frenove@tca-assurances.com</t>
  </si>
  <si>
    <t>http://www.linkedin.com/in/charles-frenove-a8944245</t>
  </si>
  <si>
    <t>http://www.tca-assurances.com</t>
  </si>
  <si>
    <t xml:space="preserve">1 Rue Eugene Desteuque, Reims, Grand Est, France, 51100</t>
  </si>
  <si>
    <t xml:space="preserve">Accueil | T.C.A. Assurances - Assurer les secteurs d'activités atypiques. Assurances sur mesure Couverture Risques atypiques Risques Dommages particuliers.</t>
  </si>
  <si>
    <t>Humbert</t>
  </si>
  <si>
    <t>d.humbert@opega.fr</t>
  </si>
  <si>
    <t>http://www.linkedin.com/in/dominique-humbert-44586569</t>
  </si>
  <si>
    <t xml:space="preserve">Tikall Assurances</t>
  </si>
  <si>
    <t>pfranck@tikall.ch</t>
  </si>
  <si>
    <t>http://www.linkedin.com/in/pierre-franck-261403aa</t>
  </si>
  <si>
    <t>tikall.ch</t>
  </si>
  <si>
    <t>Jamel</t>
  </si>
  <si>
    <t>Mezouar</t>
  </si>
  <si>
    <t>jamel.mezouar@kerialis.fr</t>
  </si>
  <si>
    <t>http://www.linkedin.com/in/jamel-mezouar-45477925</t>
  </si>
  <si>
    <t>Filipe</t>
  </si>
  <si>
    <t>Rumor</t>
  </si>
  <si>
    <t xml:space="preserve">Directeur gnral</t>
  </si>
  <si>
    <t>COURTI'ASSURANCES</t>
  </si>
  <si>
    <t>filipe.rumor@courtiassurances.com</t>
  </si>
  <si>
    <t>http://www.linkedin.com/in/filipe-rumor-559332120</t>
  </si>
  <si>
    <t>courtiassurances.com</t>
  </si>
  <si>
    <t>Audric</t>
  </si>
  <si>
    <t xml:space="preserve">Dirigeant SAS GPM SOLUTIONS</t>
  </si>
  <si>
    <t xml:space="preserve">ALTER ASSUR</t>
  </si>
  <si>
    <t>audric@alterassur.fr</t>
  </si>
  <si>
    <t>http://www.linkedin.com/in/audric-schweitzer-551911175</t>
  </si>
  <si>
    <t>Risbourg</t>
  </si>
  <si>
    <t>Gentto</t>
  </si>
  <si>
    <t>philippe.risbourg@gentto.com</t>
  </si>
  <si>
    <t>http://www.linkedin.com/in/philippe-risbourg-31477b1a</t>
  </si>
  <si>
    <t>gentto.com</t>
  </si>
  <si>
    <t>Toussieu</t>
  </si>
  <si>
    <t xml:space="preserve">DSI Group</t>
  </si>
  <si>
    <t>raymond.diffo@group-dsi.com</t>
  </si>
  <si>
    <t>http://www.linkedin.com/in/raymond-diffo-06a7b51</t>
  </si>
  <si>
    <t>http://www.group-dsi.com</t>
  </si>
  <si>
    <t>Saghar</t>
  </si>
  <si>
    <t>Elmsallati</t>
  </si>
  <si>
    <t>ASAS</t>
  </si>
  <si>
    <t>s.elmsallati@asas-intl.com</t>
  </si>
  <si>
    <t>http://www.linkedin.com/in/saghar-elmsallati-08912a55</t>
  </si>
  <si>
    <t>asas-intl.com</t>
  </si>
  <si>
    <t>Chaville</t>
  </si>
  <si>
    <t xml:space="preserve">health insurance solutions,claims management,corporate health programs,clientcentric services,healthcare provider network,insurance brokerage services,benefits plan design,cost control strategies,thirdparty administration,selffunded insurance plans</t>
  </si>
  <si>
    <t xml:space="preserve">Territoria Mutuelle</t>
  </si>
  <si>
    <t>y-aubert@territoria-mutuelle.fr</t>
  </si>
  <si>
    <t>http://www.linkedin.com/in/yohann-aubert-55997662</t>
  </si>
  <si>
    <t>http://www.territoria-mutuelle.fr</t>
  </si>
  <si>
    <t>Chauray</t>
  </si>
  <si>
    <t xml:space="preserve">20 Avenue Leo Lagrange, Niort, Nouvelle-Aquitaine, France, 79000</t>
  </si>
  <si>
    <t xml:space="preserve">Territoria Mutuelle, mutuelle labellisée pour les agents territoriaux qui vous garantit le maintien de salaire et offre une mutuelle santé adaptée.</t>
  </si>
  <si>
    <t>Colette</t>
  </si>
  <si>
    <t xml:space="preserve">Dirigeant-Fondateur-Courtier Banque/Immobilier/Assurance</t>
  </si>
  <si>
    <t>COURTEAM</t>
  </si>
  <si>
    <t>v.colette@courteam.fr</t>
  </si>
  <si>
    <t>http://www.linkedin.com/in/vincent-colette-9b0773202</t>
  </si>
  <si>
    <t>courteam.fr</t>
  </si>
  <si>
    <t xml:space="preserve">professionnels,assurances,financements,immobilier,courtier,rachat de credtis</t>
  </si>
  <si>
    <t xml:space="preserve">AXA Global Re</t>
  </si>
  <si>
    <t>guillaume.lejeune@axa.com</t>
  </si>
  <si>
    <t>http://www.linkedin.com/in/guillaume-lejeune-3059aa54</t>
  </si>
  <si>
    <t>http://www.axa.com</t>
  </si>
  <si>
    <t xml:space="preserve">62 Rue Mstislav Rostropovitch, Paris, Ile-de-France, France, 75017</t>
  </si>
  <si>
    <t>Hemery</t>
  </si>
  <si>
    <t xml:space="preserve">Dirigeant et fondateur du cabinet de courtage Pharos Assurances</t>
  </si>
  <si>
    <t xml:space="preserve">PHAROS ASSURANCES</t>
  </si>
  <si>
    <t>marc@pharos-assurances.fr</t>
  </si>
  <si>
    <t>http://www.linkedin.com/in/marc-hemery-506661165</t>
  </si>
  <si>
    <t>pharos-assurances.fr</t>
  </si>
  <si>
    <t>Francky</t>
  </si>
  <si>
    <t>Defosse</t>
  </si>
  <si>
    <t>Acheel</t>
  </si>
  <si>
    <t>fdefosse@acheel.com</t>
  </si>
  <si>
    <t>http://www.linkedin.com/in/franckydefosse</t>
  </si>
  <si>
    <t>http://www.acheel.com</t>
  </si>
  <si>
    <t xml:space="preserve">Présidente de la section Alpes</t>
  </si>
  <si>
    <t>martine.mas@mutuelle-entrain.fr</t>
  </si>
  <si>
    <t>http://www.linkedin.com/in/martine-mas-7b009144</t>
  </si>
  <si>
    <t xml:space="preserve">J.C.L COURTAGE</t>
  </si>
  <si>
    <t>l.assal@jclcourtage.fr</t>
  </si>
  <si>
    <t>http://www.linkedin.com/in/laurent-assal-30656865</t>
  </si>
  <si>
    <t>jclcourtage.fr</t>
  </si>
  <si>
    <t>Bossa</t>
  </si>
  <si>
    <t xml:space="preserve">Dirigeante Fondatrice</t>
  </si>
  <si>
    <t xml:space="preserve">Alboré Assurance</t>
  </si>
  <si>
    <t>a.bossa@albore-assurance.com</t>
  </si>
  <si>
    <t>http://www.linkedin.com/in/audrey-bossa-39a374126</t>
  </si>
  <si>
    <t>albore-assurance.com</t>
  </si>
  <si>
    <t>Kahia</t>
  </si>
  <si>
    <t xml:space="preserve">Assurancia Courtage</t>
  </si>
  <si>
    <t>m.kahia@assuranciacourtage.fr</t>
  </si>
  <si>
    <t>http://www.linkedin.com/in/mohamed-kahia-604879143</t>
  </si>
  <si>
    <t>assuranciacourtage.fr</t>
  </si>
  <si>
    <t>Simeliere</t>
  </si>
  <si>
    <t xml:space="preserve">Associee fondatrice</t>
  </si>
  <si>
    <t xml:space="preserve">Weather Claim Control</t>
  </si>
  <si>
    <t>isimeliere@weather2c.com</t>
  </si>
  <si>
    <t>http://www.linkedin.com/in/isabelle-isimeliere</t>
  </si>
  <si>
    <t>weather2c.com</t>
  </si>
  <si>
    <t xml:space="preserve">Dirigeant cabinet de courtage d'assurance</t>
  </si>
  <si>
    <t xml:space="preserve">GESTION DE RISQUE &amp; COURTAGE D'ASSURANCE</t>
  </si>
  <si>
    <t>sylvie@grca.pro</t>
  </si>
  <si>
    <t>http://www.linkedin.com/in/sylvie-nogu%c3%a8s-3a148861</t>
  </si>
  <si>
    <t>grca.pro</t>
  </si>
  <si>
    <t>Eguilles</t>
  </si>
  <si>
    <t xml:space="preserve">risques industriels,responsabilite civile,gestion de risques,courtage dassurance,audit des risques,energies renouvelables,performance globale</t>
  </si>
  <si>
    <t>Escolan</t>
  </si>
  <si>
    <t xml:space="preserve">Conseiller spécial du Président</t>
  </si>
  <si>
    <t>daniel.escolan@carelmutuelle.fr</t>
  </si>
  <si>
    <t>http://www.linkedin.com/in/daniel-escolan-8b75a0117</t>
  </si>
  <si>
    <t>carelmutuelle.fr</t>
  </si>
  <si>
    <t xml:space="preserve">sante et prevoyance,complementaire retraite</t>
  </si>
  <si>
    <t>Pouzol</t>
  </si>
  <si>
    <t>Credits-Assur</t>
  </si>
  <si>
    <t>francois@credits-assur.fr</t>
  </si>
  <si>
    <t>http://www.linkedin.com/in/fran%c3%a7ois-pouzol-009ba524</t>
  </si>
  <si>
    <t>credits-assur.fr</t>
  </si>
  <si>
    <t xml:space="preserve">assurances,assurances professionnelles,assurances automobiles,investissements locatifs,projets immobiliers,finances,negociation,financements professionnels,courtage,prets immobiliers,assurances emprunteurs,credits,prevoyance,restructuration de prets,assurances sante,prets a la consommation,regroupement de credits</t>
  </si>
  <si>
    <t>Gasan</t>
  </si>
  <si>
    <t>Lebroker</t>
  </si>
  <si>
    <t>ag@lebroker.fr</t>
  </si>
  <si>
    <t>http://www.linkedin.com/in/adriengasan</t>
  </si>
  <si>
    <t>lebroker.fr</t>
  </si>
  <si>
    <t xml:space="preserve">complementaire sante,assurancevie,retraite,contrat de capitalisation,per,prevoyance</t>
  </si>
  <si>
    <t>Peronnet</t>
  </si>
  <si>
    <t xml:space="preserve">ALTIMA ASSURANCES</t>
  </si>
  <si>
    <t>fperonnet@altima-assurances.fr</t>
  </si>
  <si>
    <t>http://www.linkedin.com/in/fran%c3%a7oise-peronnet-23908985</t>
  </si>
  <si>
    <t>http://www.altima-assurances.fr</t>
  </si>
  <si>
    <t xml:space="preserve">275 Rue du Stade, Chauray, Nouvelle-Aquitaine, France, 79180</t>
  </si>
  <si>
    <t xml:space="preserve">Avec plus de 20 ans d'expérience, Altima Assurances propose des offres et concepts d'assurances auto et habitation innovants. Demandez un devis.</t>
  </si>
  <si>
    <t>Bellanger</t>
  </si>
  <si>
    <t xml:space="preserve">Associée - Directrice générale - Spécialiste Assurance de personnes</t>
  </si>
  <si>
    <t xml:space="preserve">ACHILLE COURTAGE</t>
  </si>
  <si>
    <t>cbellanger@achille-courtage.com</t>
  </si>
  <si>
    <t>http://www.linkedin.com/in/carolebellanger</t>
  </si>
  <si>
    <t>achille-courtage.com</t>
  </si>
  <si>
    <t>Alaphilippe</t>
  </si>
  <si>
    <t xml:space="preserve">Cohérence Assurance</t>
  </si>
  <si>
    <t>benoit@coherenceassurance.com</t>
  </si>
  <si>
    <t>http://www.linkedin.com/in/benoit-alaphilippe-07579a1a</t>
  </si>
  <si>
    <t>coherenceassurance.com</t>
  </si>
  <si>
    <t>Chabauty</t>
  </si>
  <si>
    <t xml:space="preserve">Directeur général CERTIFICALL</t>
  </si>
  <si>
    <t>CertifiCall</t>
  </si>
  <si>
    <t>nicolas@certificall.app</t>
  </si>
  <si>
    <t>http://www.linkedin.com/in/nicolas-chabauty-586a51140</t>
  </si>
  <si>
    <t>certificall.app</t>
  </si>
  <si>
    <t xml:space="preserve">preuve numerique,assistance certifiante,photo certifiee,assurance,horodatage,certification,certificat geolocalise,eidas</t>
  </si>
  <si>
    <t>Ziack</t>
  </si>
  <si>
    <t xml:space="preserve">Directeur Général / Dirigeant Opérationnel</t>
  </si>
  <si>
    <t>MFTGS</t>
  </si>
  <si>
    <t>s.ziack@mftgs.fr</t>
  </si>
  <si>
    <t>http://www.linkedin.com/in/stephane-ziack</t>
  </si>
  <si>
    <t>mftgs.fr</t>
  </si>
  <si>
    <t>mutuelle</t>
  </si>
  <si>
    <t>Cutin</t>
  </si>
  <si>
    <t xml:space="preserve">Mutuelle des Assures Sociaux  MAS</t>
  </si>
  <si>
    <t>marielle@mutuel.org</t>
  </si>
  <si>
    <t>http://www.linkedin.com/in/marielle-cutin-a63116161</t>
  </si>
  <si>
    <t>mutuel.org</t>
  </si>
  <si>
    <t xml:space="preserve">complementaire sante</t>
  </si>
  <si>
    <t>Sultan</t>
  </si>
  <si>
    <t xml:space="preserve">DIrectrice Générale Déléguée  Directrice des engagements Sogama Crédit Associatif</t>
  </si>
  <si>
    <t xml:space="preserve">Sogama Crédit Associatif</t>
  </si>
  <si>
    <t>nathalie.sultan@sogama.fr</t>
  </si>
  <si>
    <t>http://www.linkedin.com/in/nathalie-sultan-bbb2291b</t>
  </si>
  <si>
    <t>sogama.fr</t>
  </si>
  <si>
    <t xml:space="preserve">OPTIMUS PROTECT</t>
  </si>
  <si>
    <t>lbertrand@optimusprotect.fr</t>
  </si>
  <si>
    <t>http://www.linkedin.com/in/la%c3%abtitia-bertrand-63074518</t>
  </si>
  <si>
    <t>optimusprotect.fr</t>
  </si>
  <si>
    <t xml:space="preserve">audit de vos contrats prevoyance et frais de sante en cours analyses de vos besoins,emission dun rapport,apport dun conseil objectif et independant autre que lassureur,aide aux reponses techniques des assureursmutuelles institutions de prevoyance,etudes de comptes techniques analyse de vos comptes de resultats coherence des chiffres,controle et validation des documents contractuels dassurances verification des documents contractuels,reglements mutualistes en lien avec vos besoins exprimes ou le cahier des charges etablit en amont,verification de la mise en conformite de vos contrats avec vos obligations employeurs,conseil et audit des regimes prevoyance et frais de sante individuels et collectifs,analyse comparative des offres determination de la meilleur offre qualiteprix et en conformite avec v,aide aux argumentaires avec lassureur pour le renouvellement,des frais de gestions,du reglement de consultation,conditions generales,preconisation daxe damelioration,elaboration de cahier des charges prevoyance etou frais de sante ecriture du cahier des charges,des provisions mathematiques</t>
  </si>
  <si>
    <t>Biancini</t>
  </si>
  <si>
    <t>Garantie-Privée.com</t>
  </si>
  <si>
    <t>c.biancini@garantie-privee.com</t>
  </si>
  <si>
    <t>http://www.linkedin.com/in/christophe-biancini-b96b9026</t>
  </si>
  <si>
    <t>http://www.garantie-privee.com</t>
  </si>
  <si>
    <t xml:space="preserve">Le Bouscat, Nouvelle-Aquitaine, France</t>
  </si>
  <si>
    <t xml:space="preserve">Garantie-Privée, spécialiste des assurances affinitaires, protège et facilite votre quotidien. Garantie contre la panne, assurance contre la casse, l'oxydation et le vol, GP couvre les appareils des particuliers et des professionnels.</t>
  </si>
  <si>
    <t>Brull</t>
  </si>
  <si>
    <t xml:space="preserve">LE COMPTOIR DES ASSURANCES</t>
  </si>
  <si>
    <t>benoit@lecomptoirdesassurances.fr</t>
  </si>
  <si>
    <t>http://www.linkedin.com/in/benoit-brull-5a8ba2110</t>
  </si>
  <si>
    <t>lecomptoirdesassurances.fr</t>
  </si>
  <si>
    <t>courtage,assurances,communication</t>
  </si>
  <si>
    <t>Blondel</t>
  </si>
  <si>
    <t xml:space="preserve">OPTI’ RISK</t>
  </si>
  <si>
    <t>jblondel@optirisk.fr</t>
  </si>
  <si>
    <t>http://www.linkedin.com/in/julien-blondel-1ba954152</t>
  </si>
  <si>
    <t>optirisk.fr</t>
  </si>
  <si>
    <t>Paulin</t>
  </si>
  <si>
    <t xml:space="preserve">Agence PAULIN</t>
  </si>
  <si>
    <t>audrey@agencepaulin.fr</t>
  </si>
  <si>
    <t>http://www.linkedin.com/in/audrey-paulin-030752134</t>
  </si>
  <si>
    <t>agencepaulin.fr</t>
  </si>
  <si>
    <t xml:space="preserve">courtage dassurance,conseil en investissement financier,immobilier,courtage d39assurance,gestionnaire de patrimoine</t>
  </si>
  <si>
    <t>Burgos</t>
  </si>
  <si>
    <t xml:space="preserve">Cabinet Burgos</t>
  </si>
  <si>
    <t>cedric.burgos@cabinet-burgos.fr</t>
  </si>
  <si>
    <t>http://www.linkedin.com/in/c%c3%a9dric-burgos-a59870161</t>
  </si>
  <si>
    <t>cabinet-burgos.fr</t>
  </si>
  <si>
    <t>Tillieres</t>
  </si>
  <si>
    <t xml:space="preserve">prevoyance,responsabilite civile,cyber,flotte automobile,marchandises transportees,protection juridique,international,frais de sante,multirisques</t>
  </si>
  <si>
    <t>Belin-Ventejol</t>
  </si>
  <si>
    <t xml:space="preserve">Directeur Général Adjoint Polyexpert Construction</t>
  </si>
  <si>
    <t xml:space="preserve">Polyexpert Construction</t>
  </si>
  <si>
    <t>c.belin-ventejol@polyexpert.fr</t>
  </si>
  <si>
    <t>http://www.linkedin.com/in/catherine-belin-vent%c3%a9jol-3b2830103</t>
  </si>
  <si>
    <t>http://www.polyexpert-construction.fr</t>
  </si>
  <si>
    <t xml:space="preserve">49 Rue de Paris, Clichy, Ile-de-France, France, 92110</t>
  </si>
  <si>
    <t xml:space="preserve">Filiale de Polyexpert entièrement dédiée à la Construction, PolyExpert Construction répond à vos attentes en matière d’expertise construction.</t>
  </si>
  <si>
    <t xml:space="preserve">Président Cofondateur</t>
  </si>
  <si>
    <t xml:space="preserve">Cabinet PREVACCORD</t>
  </si>
  <si>
    <t>fabrice.jouve@prevaccord.fr</t>
  </si>
  <si>
    <t>http://www.linkedin.com/in/fabrice-jouve-4815a71a4</t>
  </si>
  <si>
    <t>prevaccord.fr</t>
  </si>
  <si>
    <t>Saint-Maximin-la-Sainte-Baume</t>
  </si>
  <si>
    <t>Anabel</t>
  </si>
  <si>
    <t>Magalhaes</t>
  </si>
  <si>
    <t>Ciblexperts</t>
  </si>
  <si>
    <t>a.magalhaes@ciblexperts.com</t>
  </si>
  <si>
    <t>http://www.linkedin.com/in/anabel-magalhaes</t>
  </si>
  <si>
    <t>http://www.ciblexperts.fr</t>
  </si>
  <si>
    <t>Salasc</t>
  </si>
  <si>
    <t xml:space="preserve">PUECHBLANC &amp; ASSOCIÉS</t>
  </si>
  <si>
    <t>salasc@puechblanc-associes.fr</t>
  </si>
  <si>
    <t>http://www.linkedin.com/in/philippe-salasc-a1733b12</t>
  </si>
  <si>
    <t>puechblanc-associes.fr</t>
  </si>
  <si>
    <t xml:space="preserve">Conseiller en Gestion de Patrimoine et Directeur Général</t>
  </si>
  <si>
    <t>marc@af-patrimoine.com</t>
  </si>
  <si>
    <t>http://www.linkedin.com/in/marc-arnould-b0b52655</t>
  </si>
  <si>
    <t>af-patrimoine.com</t>
  </si>
  <si>
    <t>Aymar</t>
  </si>
  <si>
    <t>Tymowski</t>
  </si>
  <si>
    <t>assurezo</t>
  </si>
  <si>
    <t>aymar@assurezo.fr</t>
  </si>
  <si>
    <t>http://www.linkedin.com/in/aymar-de-tymowski-0683802a1</t>
  </si>
  <si>
    <t>assurezo.fr</t>
  </si>
  <si>
    <t>Luquiau</t>
  </si>
  <si>
    <t xml:space="preserve">ADAM ASSURANCES</t>
  </si>
  <si>
    <t>aluquiau@adam-assu-mar.com</t>
  </si>
  <si>
    <t>http://www.linkedin.com/in/antoine-luquiau-8a85a92</t>
  </si>
  <si>
    <t>adam-assu-mar.com</t>
  </si>
  <si>
    <t xml:space="preserve">pi clubs,assurances maritimes,assurances aviation,facultes,droit maritime,corps de navire,assurances transports,pampi clubs</t>
  </si>
  <si>
    <t xml:space="preserve">Pastel Patrimoine</t>
  </si>
  <si>
    <t>brigitte.roy@pastelpatrimoine.fr</t>
  </si>
  <si>
    <t>http://www.linkedin.com/in/brigitte-roy-54ba45b1</t>
  </si>
  <si>
    <t>pastelpatrimoine.fr</t>
  </si>
  <si>
    <t xml:space="preserve">placements financiers,immobiliers et deficalisation</t>
  </si>
  <si>
    <t xml:space="preserve">Directeur Général d'HTA - Habitat Territoire et Assurances</t>
  </si>
  <si>
    <t>HTA</t>
  </si>
  <si>
    <t>thierry.curt@ht-assurances.com</t>
  </si>
  <si>
    <t>http://www.linkedin.com/in/thierry-curt-a75789127</t>
  </si>
  <si>
    <t>ht-assurances.com</t>
  </si>
  <si>
    <t>Ceglia</t>
  </si>
  <si>
    <t xml:space="preserve">ENEXIS FINANCE</t>
  </si>
  <si>
    <t>tceglia@enexis-finances.com</t>
  </si>
  <si>
    <t>http://www.linkedin.com/in/thierry-c%c3%a9glia-34758b240</t>
  </si>
  <si>
    <t>enexis-finances.com</t>
  </si>
  <si>
    <t>Ott</t>
  </si>
  <si>
    <t xml:space="preserve">Fondateur Courtigo logiciel pour courtier</t>
  </si>
  <si>
    <t>CourtiGo</t>
  </si>
  <si>
    <t>ghislain@courtigo.fr</t>
  </si>
  <si>
    <t>http://www.linkedin.com/in/oghislain</t>
  </si>
  <si>
    <t>courtigo.fr</t>
  </si>
  <si>
    <t xml:space="preserve">crm,courtage,assurance,developpement informatique</t>
  </si>
  <si>
    <t>Pakey</t>
  </si>
  <si>
    <t>JuneCare</t>
  </si>
  <si>
    <t>jean@junecare.fr</t>
  </si>
  <si>
    <t>http://www.linkedin.com/in/jeanpakey</t>
  </si>
  <si>
    <t>http://www.junecare.fr</t>
  </si>
  <si>
    <t xml:space="preserve">6 Rue d'Armaille, Paris, Ile-de-France, France, 75017</t>
  </si>
  <si>
    <t xml:space="preserve">JuneCare crée, développe et distribue des produits d’assurance innovants. 
Grâce à l’IA générative nous simplifions la souscription ainsi que la 
gestion des sinistres pour nos clients</t>
  </si>
  <si>
    <t>Caloni</t>
  </si>
  <si>
    <t>Naudet</t>
  </si>
  <si>
    <t>fabrice.caloni@naudet.fr</t>
  </si>
  <si>
    <t>http://www.linkedin.com/in/fabrice-caloni-47729639</t>
  </si>
  <si>
    <t>http://www.naudet.fr</t>
  </si>
  <si>
    <t xml:space="preserve">Naudet est un cabinet d'expertise en assurance en risques industriels et commerciaux, composé d'ingénieurs et financiers spécialistes de l'entreprise.</t>
  </si>
  <si>
    <t>Pichat</t>
  </si>
  <si>
    <t xml:space="preserve">CLB Assurances</t>
  </si>
  <si>
    <t>gregoire@clbassurances.fr</t>
  </si>
  <si>
    <t>http://www.linkedin.com/in/gregoirepichat</t>
  </si>
  <si>
    <t>clbassurances.fr</t>
  </si>
  <si>
    <t xml:space="preserve">assurance,risque cyber,digitalisation,cyber assurance,cybersecurite,courtage</t>
  </si>
  <si>
    <t>Foucou</t>
  </si>
  <si>
    <t>SODEDIF</t>
  </si>
  <si>
    <t>severine.foucou@action-sante.fr</t>
  </si>
  <si>
    <t>http://www.linkedin.com/in/severine-foucou-902674b1</t>
  </si>
  <si>
    <t>http://www.sodedif.fr</t>
  </si>
  <si>
    <t xml:space="preserve">5 Rue Picot, Toulon, Provence-Alpes-Cote d'Azur, France, 83000</t>
  </si>
  <si>
    <t xml:space="preserve">Bienvenue chez Sodedif, votre Courtier en Assurances de personnes et de biens. Recevez votre devis gratuitement et sans engagement.</t>
  </si>
  <si>
    <t>Maisonneuve</t>
  </si>
  <si>
    <t>Assur&amp;Sens</t>
  </si>
  <si>
    <t>vincent@assuretsens.fr</t>
  </si>
  <si>
    <t>http://www.linkedin.com/in/vincent-maisonneuve-94609a37</t>
  </si>
  <si>
    <t>assuretsens.fr</t>
  </si>
  <si>
    <t xml:space="preserve">assurance bureaux detudes,assurance garages,assurance risques industriels,assurance promoteur,assurance energies renouvelables,assurance construction,assurance affinitaire,assurance travaux publics,assurance bureaux d39etudes</t>
  </si>
  <si>
    <t>Gerigny</t>
  </si>
  <si>
    <t>agerigny@gritchen.fr</t>
  </si>
  <si>
    <t>http://www.linkedin.com/in/arnaud-gerigny-275922160</t>
  </si>
  <si>
    <t>d.serrano@cmam.fr</t>
  </si>
  <si>
    <t>http://www.linkedin.com/in/david-serrano-947a07242</t>
  </si>
  <si>
    <t>Blestel</t>
  </si>
  <si>
    <t>Horus</t>
  </si>
  <si>
    <t>romain@horus-courtage.fr</t>
  </si>
  <si>
    <t>http://www.linkedin.com/in/romain-blestel-060800b3</t>
  </si>
  <si>
    <t>horus-courtage.fr</t>
  </si>
  <si>
    <t>Zakaria</t>
  </si>
  <si>
    <t>Aljami</t>
  </si>
  <si>
    <t>OPTIMASS</t>
  </si>
  <si>
    <t>z.aljami@optimass.fr</t>
  </si>
  <si>
    <t>http://www.linkedin.com/in/zakaria-aljami-98147a12b</t>
  </si>
  <si>
    <t>patrimoine,retraite,assurance,immobilier,conseil,credit,defiscalisation,epargne</t>
  </si>
  <si>
    <t>Sayco</t>
  </si>
  <si>
    <t>ARCANCIA</t>
  </si>
  <si>
    <t>sayco@arcancia.org</t>
  </si>
  <si>
    <t>http://www.linkedin.com/in/sayco-%e2%80%98-45565345</t>
  </si>
  <si>
    <t>Mahieu</t>
  </si>
  <si>
    <t>julien.mahieu@fraeris.fr</t>
  </si>
  <si>
    <t>http://www.linkedin.com/in/julien-mahieu-915a0076</t>
  </si>
  <si>
    <t>fraeris.fr</t>
  </si>
  <si>
    <t xml:space="preserve">pilotage de projet,conformite reglementaire,actuariat conseil</t>
  </si>
  <si>
    <t xml:space="preserve">Buisson Assurances</t>
  </si>
  <si>
    <t>buisson@buisson.com</t>
  </si>
  <si>
    <t>http://www.linkedin.com/in/guy-buisson-01a707124</t>
  </si>
  <si>
    <t>buisson-assurances.fr</t>
  </si>
  <si>
    <t xml:space="preserve">protection sociale,prevoyance,protection juridique,retraite,garantie chomage dirigeant,sante,retraite complementaire,protection patrimoniale,assurance homme cle,mutuelle d39entreprises,epargne</t>
  </si>
  <si>
    <t>Farouze</t>
  </si>
  <si>
    <t xml:space="preserve">Cabinet Finance Assurance</t>
  </si>
  <si>
    <t>michael.farouze@finance-assurance.fr</t>
  </si>
  <si>
    <t>http://www.linkedin.com/in/michael-farouze-conseiller-en-gestion-de-patrimoine</t>
  </si>
  <si>
    <t>finance-assurance.fr</t>
  </si>
  <si>
    <t>Lachenaud</t>
  </si>
  <si>
    <t xml:space="preserve">Fondateur et Dirigeant</t>
  </si>
  <si>
    <t xml:space="preserve">CONCEPT AVENIR ASSURANCES</t>
  </si>
  <si>
    <t>p.lachenaud@concept-avenir.com</t>
  </si>
  <si>
    <t>http://www.linkedin.com/in/patrice-lachenaud-775141b6</t>
  </si>
  <si>
    <t>concept-avenir.com</t>
  </si>
  <si>
    <t>Milhaud</t>
  </si>
  <si>
    <t xml:space="preserve">2M Conseil</t>
  </si>
  <si>
    <t>veronique.milhaud@2mconseil.com</t>
  </si>
  <si>
    <t>http://www.linkedin.com/in/v%c3%a9ronique-milhaud-80403618</t>
  </si>
  <si>
    <t>2mconseil.com</t>
  </si>
  <si>
    <t xml:space="preserve">tresorerie dentreprise,retraite individuelle collective,assurance de pret,prevoyance individuelle collective,mutuelle complementaire sante,patrimoine individuel fiscalite,investissement locatif,autonomie dependance,assurancevie,assurance de personnes,patrimoine professionnel</t>
  </si>
  <si>
    <t>Coudert</t>
  </si>
  <si>
    <t>cedric.coudert@lecourtiergenereux.fr</t>
  </si>
  <si>
    <t>http://www.linkedin.com/in/cedric-coudert-541589172</t>
  </si>
  <si>
    <t>Laroche</t>
  </si>
  <si>
    <t>ATHENCE</t>
  </si>
  <si>
    <t>delphine.laroche@athence.fr</t>
  </si>
  <si>
    <t>http://www.linkedin.com/in/delphine-laroche-86913871</t>
  </si>
  <si>
    <t>athence.fr</t>
  </si>
  <si>
    <t xml:space="preserve">Directeur Général Délégué et Directeur Administratif et Financier</t>
  </si>
  <si>
    <t>UNIPREVOYANCE</t>
  </si>
  <si>
    <t>catherine.lombard@uniprevoyance.fr</t>
  </si>
  <si>
    <t>http://www.linkedin.com/in/catherine-lombard-93672297</t>
  </si>
  <si>
    <t>http://www.uniprevoyance.fr</t>
  </si>
  <si>
    <t xml:space="preserve">10 Rue Massue, Vincennes, Ile-de-France, France, 94300</t>
  </si>
  <si>
    <t xml:space="preserve">Depuis plus de quarante ans, nous faisons passer la solidarité et l’intérêt collectif au premier plan de nos préoccupations au seul bénéfice de nos entreprises adhérentes et de leurs salariés.</t>
  </si>
  <si>
    <t>Jaubert</t>
  </si>
  <si>
    <t>MARK'Assur</t>
  </si>
  <si>
    <t>c.jaubert@markassur.com</t>
  </si>
  <si>
    <t>http://www.linkedin.com/in/christophe-jaubert-b3488b47</t>
  </si>
  <si>
    <t>markassur.com</t>
  </si>
  <si>
    <t>Marijon</t>
  </si>
  <si>
    <t>gmarijon@caarea.com</t>
  </si>
  <si>
    <t>http://www.linkedin.com/in/guilhem-marijon</t>
  </si>
  <si>
    <t>Bourgeault</t>
  </si>
  <si>
    <t xml:space="preserve">Olea Patrimoine</t>
  </si>
  <si>
    <t>arnaud.bourgeault@oleapatrimoine.fr</t>
  </si>
  <si>
    <t>http://www.linkedin.com/in/arnaudbourgeault</t>
  </si>
  <si>
    <t>oleapatrimoine.fr</t>
  </si>
  <si>
    <t>Vitre</t>
  </si>
  <si>
    <t xml:space="preserve">compte titres,assurances vie,pea,placements,assurances,mutuelles,transmission,heritage,banques,immobiliers,protection de la famille,credit,perin,gestion,defiscalisation,passif sociale,epargne salariale,prevoyances,succession,tresorerie dentreprise</t>
  </si>
  <si>
    <t>Tarik</t>
  </si>
  <si>
    <t>Hadjab</t>
  </si>
  <si>
    <t xml:space="preserve">REFLEX ASSURANCES</t>
  </si>
  <si>
    <t>tarik.hadjab@reflexassurances.com</t>
  </si>
  <si>
    <t>http://www.linkedin.com/in/tarik-hadjab-280870138</t>
  </si>
  <si>
    <t>reflexassurances.com</t>
  </si>
  <si>
    <t>Montmagny</t>
  </si>
  <si>
    <t>Danielle</t>
  </si>
  <si>
    <t>Wajsbrot</t>
  </si>
  <si>
    <t xml:space="preserve">Fondatrice &amp; Présidente</t>
  </si>
  <si>
    <t xml:space="preserve">E-Thaque Consulting</t>
  </si>
  <si>
    <t>danielle.wajsbrot@e-thaque.fr</t>
  </si>
  <si>
    <t>http://www.linkedin.com/in/danielle-wajsbrot-9107a5a4</t>
  </si>
  <si>
    <t>e-thaque.fr</t>
  </si>
  <si>
    <t xml:space="preserve">conduite du changement,assurances de personnes,distribution,decryptage de la transformation,assurances affinitaires,conseil en strategie,assurance</t>
  </si>
  <si>
    <t>Thevenin-Ricard</t>
  </si>
  <si>
    <t>SOCEPRA</t>
  </si>
  <si>
    <t>alexis.thevenin@socepra.com</t>
  </si>
  <si>
    <t>http://www.linkedin.com/in/alexis-th%c3%a9venin-ricard-0b115b30</t>
  </si>
  <si>
    <t>socepra.com</t>
  </si>
  <si>
    <t>YVELIN</t>
  </si>
  <si>
    <t>e.joly@yvelin.fr</t>
  </si>
  <si>
    <t>http://www.linkedin.com/in/emmanueljoly</t>
  </si>
  <si>
    <t>http://www.yvelin.fr</t>
  </si>
  <si>
    <t xml:space="preserve">355 Rue Vendemiaire, Montpellier, Occitanie, France, 34000</t>
  </si>
  <si>
    <t xml:space="preserve">Yvelin Assurance, Conseil, Gestion: nous assurons votre tranquillité depuis 1989: secteur hospitalier, social, médico-Social, collectivités, entreprises.</t>
  </si>
  <si>
    <t>Pierre-Alexandre</t>
  </si>
  <si>
    <t>Vinniere</t>
  </si>
  <si>
    <t xml:space="preserve">Excellcium Solutions</t>
  </si>
  <si>
    <t>pardv@excellcium.fr</t>
  </si>
  <si>
    <t>http://www.linkedin.com/in/pardv</t>
  </si>
  <si>
    <t>http://www.excellcium.fr</t>
  </si>
  <si>
    <t xml:space="preserve">2 Rue Troyon, Sevres, Ile-de-France, France, 92310</t>
  </si>
  <si>
    <t xml:space="preserve">Excellcium Solutions constitue à ce jour le seul prestataire global centralisant les savoir-faire et expertises métiers répondant à l’ensemble des problématiques opérationnelles liées à la conformité des bases de données des compagnies d’assurance, banque, IP et organismes de retraite.</t>
  </si>
  <si>
    <t>bernard.voiseux@cerap.com</t>
  </si>
  <si>
    <t>http://www.linkedin.com/in/bernard-voiseux-3901a150</t>
  </si>
  <si>
    <t>Loredana</t>
  </si>
  <si>
    <t>Maier</t>
  </si>
  <si>
    <t>UNMI</t>
  </si>
  <si>
    <t>lmaier@unmi.eu</t>
  </si>
  <si>
    <t>http://www.linkedin.com/in/loredana-ma%c3%afer-40b846b3</t>
  </si>
  <si>
    <t>http://www.unmi.eu</t>
  </si>
  <si>
    <t xml:space="preserve">70 Boulevard de Courcelles, Paris, Ile-de-France, France, 75017</t>
  </si>
  <si>
    <t xml:space="preserve">Cabinet Cohen</t>
  </si>
  <si>
    <t>t.cohen@cabinetcohen.fr</t>
  </si>
  <si>
    <t>http://www.linkedin.com/in/thomas-cohen-73445a57</t>
  </si>
  <si>
    <t>cabinetcohen.fr</t>
  </si>
  <si>
    <t xml:space="preserve">assurance,protection sociale,immobilier,assurances de personnes,placements financiers,assurances dommages,conseil patrimonial</t>
  </si>
  <si>
    <t>Candau</t>
  </si>
  <si>
    <t xml:space="preserve">Crateur et Dirigeant</t>
  </si>
  <si>
    <t xml:space="preserve">Assurances &amp; Cautions</t>
  </si>
  <si>
    <t>gilles.candau@assurancesetcautions.com</t>
  </si>
  <si>
    <t>http://www.linkedin.com/in/gillescandau</t>
  </si>
  <si>
    <t>assurancesetcautions.com</t>
  </si>
  <si>
    <t xml:space="preserve">garanties construction de maisons individuelles,assurances professionnels de la construction,garanties cmi,do,renovation,caution,cmi,assurances,dommages ouvrage,solutions dassurance,decennale,construction,solutions d39assurance</t>
  </si>
  <si>
    <t>Augias</t>
  </si>
  <si>
    <t>HEYME</t>
  </si>
  <si>
    <t>paugias@heyme.care</t>
  </si>
  <si>
    <t>http://www.linkedin.com/in/pierre-augias-6a0583144</t>
  </si>
  <si>
    <t>http://www.heyme.care</t>
  </si>
  <si>
    <t xml:space="preserve">28 Rue Fortuny, Paris, Ile-de-France, France, 75017</t>
  </si>
  <si>
    <t>Serre</t>
  </si>
  <si>
    <t xml:space="preserve">GROUPEMENT ALLIANCE COURTAGE</t>
  </si>
  <si>
    <t>ls@alliance-courtage.fr</t>
  </si>
  <si>
    <t>http://www.linkedin.com/in/laurentserrealliancecourtage</t>
  </si>
  <si>
    <t>alliance-courtage.fr</t>
  </si>
  <si>
    <t>Mezerette</t>
  </si>
  <si>
    <t>Neoconseils.com</t>
  </si>
  <si>
    <t>melanie.mezerette@neoconseils.com</t>
  </si>
  <si>
    <t>http://www.linkedin.com/in/m%c3%a9lanie-m%c3%a9zerette-a64908149</t>
  </si>
  <si>
    <t>neoconseils.com</t>
  </si>
  <si>
    <t>Noliere</t>
  </si>
  <si>
    <t xml:space="preserve">Mutuale La Mutuelle Familiale</t>
  </si>
  <si>
    <t>j.noliere@mutuale.fr</t>
  </si>
  <si>
    <t>http://www.linkedin.com/in/julien-noliere-b663a4103</t>
  </si>
  <si>
    <t>http://www.mutuale.fr</t>
  </si>
  <si>
    <t xml:space="preserve">6 Rue Galilee, La Chaussee-Saint-Victor, Centre, France, 41260</t>
  </si>
  <si>
    <t xml:space="preserve">Mutuale, la mutuelle familiale. Une complémentaire d'assurance santé, optique, dentaire et IARD pour particuliers, entreprises et agents territoriaux. Une mutue</t>
  </si>
  <si>
    <t>Baraban</t>
  </si>
  <si>
    <t xml:space="preserve">La Française d'Assurance et de Prévoyance</t>
  </si>
  <si>
    <t>gbaraban@lafrancaisedassurance.com</t>
  </si>
  <si>
    <t>http://www.linkedin.com/in/gregory-baraban-83a77412</t>
  </si>
  <si>
    <t>lafrancaisedassurance.com</t>
  </si>
  <si>
    <t xml:space="preserve">sante,prevoyance,retraite,defiscalisation,entreprise,risques speciaux</t>
  </si>
  <si>
    <t>Buchberger</t>
  </si>
  <si>
    <t xml:space="preserve">CPartner SAS</t>
  </si>
  <si>
    <t>pascale.buchberger@cpartner.fr</t>
  </si>
  <si>
    <t>http://www.linkedin.com/in/pascale-buchberger</t>
  </si>
  <si>
    <t>cpartner.fr</t>
  </si>
  <si>
    <t xml:space="preserve">Fondateur et president chez Onis Assurances</t>
  </si>
  <si>
    <t xml:space="preserve">Onis Assurances</t>
  </si>
  <si>
    <t>victor.fontaine@onisassurances.fr</t>
  </si>
  <si>
    <t>http://www.linkedin.com/in/victor-fontaine-9921b0173</t>
  </si>
  <si>
    <t>onisassurances.fr</t>
  </si>
  <si>
    <t>dbarbara@kiassure.com</t>
  </si>
  <si>
    <t>http://www.linkedin.com/in/david-barbara-b25a5681</t>
  </si>
  <si>
    <t>Berrurier</t>
  </si>
  <si>
    <t>EYSSAUTIER-VERLINGUE</t>
  </si>
  <si>
    <t>m.berrurier@eyssautier-verlingue.com</t>
  </si>
  <si>
    <t>http://www.linkedin.com/in/mathieu-berrurier-8027713b</t>
  </si>
  <si>
    <t>http://www.eyssautier-verlingue.com</t>
  </si>
  <si>
    <t xml:space="preserve">37 Rue de la Bienfaisance, Paris, Ile-de-France, France, 75008</t>
  </si>
  <si>
    <t>Arthaud</t>
  </si>
  <si>
    <t>Mesnard</t>
  </si>
  <si>
    <t>Smarto</t>
  </si>
  <si>
    <t>arthaud@getsmarto.com</t>
  </si>
  <si>
    <t>http://www.linkedin.com/in/arthaud-mesnard-08b564116</t>
  </si>
  <si>
    <t>http://www.getsmarto.com</t>
  </si>
  <si>
    <t xml:space="preserve">Le garant pour ton prêt étudiant avec Smarto ✅ Smarto te permet d'emprunter simplement, rapidement et sans l'appui de tes parents jusqu'à 50000 euros.  Fais une demande de garantie 100% en ligne</t>
  </si>
  <si>
    <t>Regny</t>
  </si>
  <si>
    <t xml:space="preserve">INVICTUS COURTAGE</t>
  </si>
  <si>
    <t>laurent.regny@invictus-courtage.com</t>
  </si>
  <si>
    <t>http://www.linkedin.com/in/laurent-regny</t>
  </si>
  <si>
    <t>invictus-courtage.com</t>
  </si>
  <si>
    <t xml:space="preserve">courtage dassurance,assurance transport,risque industriel,mutuelle entreprise,courtier entreprise,rcms,courtage,assurance construction,cyber,dommage ouvrage,responsabilite civile entreprise,assurance homme cle,prevoyance entreprise,rc decennale,assurance flotte auto,rc dirigeant,ccn metallurgie,complementaire sante entreprise,retraite entreprise</t>
  </si>
  <si>
    <t>Gatt</t>
  </si>
  <si>
    <t xml:space="preserve">2CA Conseils</t>
  </si>
  <si>
    <t>caroline.gatt@2caconseils.com</t>
  </si>
  <si>
    <t>http://www.linkedin.com/in/caroline-gatt-a48777161</t>
  </si>
  <si>
    <t>2caconseils.com</t>
  </si>
  <si>
    <t>Gaston</t>
  </si>
  <si>
    <t>Sineau</t>
  </si>
  <si>
    <t xml:space="preserve">HORIZON COURTAGE</t>
  </si>
  <si>
    <t>g.sineau@horizon-courtage.com</t>
  </si>
  <si>
    <t>http://www.linkedin.com/in/gaston-sineau-11365018b</t>
  </si>
  <si>
    <t>Akor2prêt</t>
  </si>
  <si>
    <t>benjamin.roland@akor2pret.com</t>
  </si>
  <si>
    <t>http://www.linkedin.com/in/benjamin-roland-533b28b5</t>
  </si>
  <si>
    <t>akor2pret.com</t>
  </si>
  <si>
    <t xml:space="preserve">courtage,assurances,financement,investissement,credit,rachat de credits,travaux,defiscalisation,financement pro</t>
  </si>
  <si>
    <t>Familiari</t>
  </si>
  <si>
    <t xml:space="preserve">Familiari Vie</t>
  </si>
  <si>
    <t>anthony@familiarivie.fr</t>
  </si>
  <si>
    <t>http://www.linkedin.com/in/anthony-familiari-110bb1121</t>
  </si>
  <si>
    <t>familiarivie.fr</t>
  </si>
  <si>
    <t xml:space="preserve">courtier,retraite,assurance vie,asssurance,courtier grossiste</t>
  </si>
  <si>
    <t>Alexandru</t>
  </si>
  <si>
    <t>Slivinschi</t>
  </si>
  <si>
    <t xml:space="preserve">Cofondateur et DG</t>
  </si>
  <si>
    <t>ADDSURE</t>
  </si>
  <si>
    <t>a.slivinschi@addsure.fr</t>
  </si>
  <si>
    <t>http://www.linkedin.com/in/alexandru-slivinschi-325186134</t>
  </si>
  <si>
    <t>addsure.fr</t>
  </si>
  <si>
    <t xml:space="preserve">LAFONT ASSURANCES</t>
  </si>
  <si>
    <t>pierre.lafont@lafont-assurances.com</t>
  </si>
  <si>
    <t>http://www.linkedin.com/in/pierre-lafont-3688856b</t>
  </si>
  <si>
    <t>lafont-assurances.com</t>
  </si>
  <si>
    <t>Simplis</t>
  </si>
  <si>
    <t>charles.alexandre@simplis.fr</t>
  </si>
  <si>
    <t>http://www.linkedin.com/in/charles-alexandre-10029420</t>
  </si>
  <si>
    <t>simplis.fr</t>
  </si>
  <si>
    <t xml:space="preserve">plateformes collaboratives,auto entreprise,mutuelle,assurances,micro entreprise,micro entrepreneur,responsabilite professionnelle,rc pro,auto entrepreneur,independants,decennale,assurance communautaire</t>
  </si>
  <si>
    <t xml:space="preserve">Directeur général / Managing Director</t>
  </si>
  <si>
    <t xml:space="preserve">Comité d'Etudes et de Services des Assureurs Maritimes et Transports</t>
  </si>
  <si>
    <t>pdubois@cesam.org</t>
  </si>
  <si>
    <t>http://www.linkedin.com/in/pascal-dubois-74346a15</t>
  </si>
  <si>
    <t>cesam.org</t>
  </si>
  <si>
    <t xml:space="preserve">assurance maritime,assurance transport,reseaux de commissaires davaries,reseaux dexperts,evenements majeurs,optiflux,notation des pays en matiere de risque de guerre,gestion de sinitres</t>
  </si>
  <si>
    <t xml:space="preserve">LTM COURTAGE</t>
  </si>
  <si>
    <t>alexis.bernard@ltmcourtage.fr</t>
  </si>
  <si>
    <t>http://www.linkedin.com/in/alexis-bernard-49800524a</t>
  </si>
  <si>
    <t>ltmcourtage.fr</t>
  </si>
  <si>
    <t xml:space="preserve">conseiller en gestion de patrimoine,courtier en assurance,assurance emprunteur,prevoyance,assurance vie,placements,mutuelle sante</t>
  </si>
  <si>
    <t>Brule</t>
  </si>
  <si>
    <t xml:space="preserve">Mutuelle Mutami</t>
  </si>
  <si>
    <t>stephane.brule@mutami.fr</t>
  </si>
  <si>
    <t>http://www.linkedin.com/in/st%c3%a9phane-brule-708a45258</t>
  </si>
  <si>
    <t>mutuelle-mutami.fr</t>
  </si>
  <si>
    <t xml:space="preserve">tns,entreprise,individuel,prevention,sante,agents territoriaux,prevoyance,autohabitation,agents hospitaliers,complementaire sante,particuliers,epargne</t>
  </si>
  <si>
    <t>Souille</t>
  </si>
  <si>
    <t xml:space="preserve">ADM ASSURANCES MMA</t>
  </si>
  <si>
    <t>pierre.souille@mma.fr</t>
  </si>
  <si>
    <t>http://www.linkedin.com/in/pierre-souill%c3%a9-1088a2234</t>
  </si>
  <si>
    <t>Dechelette</t>
  </si>
  <si>
    <t xml:space="preserve">SEREX Assurances</t>
  </si>
  <si>
    <t>rdechelette@serex-assurances.fr</t>
  </si>
  <si>
    <t>http://www.linkedin.com/in/romain-d%c3%a9chelette-3b62881</t>
  </si>
  <si>
    <t>serex-assurances.fr</t>
  </si>
  <si>
    <t xml:space="preserve">assurance des camions,assurance des fondations culturelles,assurance clientele privee,assurance flottes automobiles,assurance rcms,assurance cyber,assurance marchandises transportees,assurance tous risques informatiques,assurance transport,assurance perte d39exploitation,assurance des bus,assurance de responsabilite civile,courtage dassurances,assurance fine art,assurance bijoux,assurances entrepot,assurance iard,assurance des musees,assurance complementaires sante,assurances des expositions,assurance frais de sante,assurance prevoyance,assurance tpe,assurance ad valorem,assurance collective,assurance galeries,assurance des dirigeants,assurance automobile,assurance des autocars,assurance entreprises,courtage d39assurances,assurance perte dexploitation</t>
  </si>
  <si>
    <t>Natascha</t>
  </si>
  <si>
    <t xml:space="preserve">BARBOSA Conseils</t>
  </si>
  <si>
    <t>bnatascha@cbarbosaconseils.com</t>
  </si>
  <si>
    <t>http://www.linkedin.com/in/nataschabarbosa</t>
  </si>
  <si>
    <t>cbarbosaconseils.com</t>
  </si>
  <si>
    <t xml:space="preserve">conseils juridiques,prevoyance,bilan personnalise,retraite,protection sociale,epargne,tns,sante,entreprises</t>
  </si>
  <si>
    <t>Picard</t>
  </si>
  <si>
    <t xml:space="preserve">Président Commission scientifique</t>
  </si>
  <si>
    <t xml:space="preserve">Institut des actuaires</t>
  </si>
  <si>
    <t>florence.picard@institutdesactuaires.com</t>
  </si>
  <si>
    <t>http://www.linkedin.com/in/florence-picard-a67843135</t>
  </si>
  <si>
    <t>http://www.institutdesactuaires.com</t>
  </si>
  <si>
    <t xml:space="preserve">4 Rue Chauveau-Lagarde, Paris, Ile-de-France, France, 75008</t>
  </si>
  <si>
    <t>Charret</t>
  </si>
  <si>
    <t xml:space="preserve">Air Alpha l'assurance des militaires de l'armée de l'air</t>
  </si>
  <si>
    <t>laurent.charret@air-alpha.fr</t>
  </si>
  <si>
    <t>http://www.linkedin.com/in/laurent-charret-02676830</t>
  </si>
  <si>
    <t>air-alpha.fr</t>
  </si>
  <si>
    <t>Azran</t>
  </si>
  <si>
    <t>Bienviyance</t>
  </si>
  <si>
    <t>moche.azran@bnvce.fr</t>
  </si>
  <si>
    <t>http://www.linkedin.com/in/moch%c3%a9-azran-8a0723195</t>
  </si>
  <si>
    <t>bnvce.fr</t>
  </si>
  <si>
    <t>Laspreses</t>
  </si>
  <si>
    <t xml:space="preserve">Fondatrice et Dirigeante du cabinet de courtage en assurance</t>
  </si>
  <si>
    <t xml:space="preserve">Follow Courtage</t>
  </si>
  <si>
    <t>r.laspreses@follow-courtage.fr</t>
  </si>
  <si>
    <t>http://www.linkedin.com/in/rejanelaspreses</t>
  </si>
  <si>
    <t>follow-courtage.fr</t>
  </si>
  <si>
    <t>Belin-Beliet</t>
  </si>
  <si>
    <t xml:space="preserve">responsabilite civile,assurances de responsabilites,assurances dirigeants,prevoyance,multirisques professionnels,mobilite urbaine,assurance emprunteur,assurance auto 2 roues,protection juridique,sante,assurances de biens,assurance habitation,sante animale</t>
  </si>
  <si>
    <t>Fermeli</t>
  </si>
  <si>
    <t>HODEVA</t>
  </si>
  <si>
    <t>laurent.fermeli@hodeva.com</t>
  </si>
  <si>
    <t>http://www.linkedin.com/in/laurent-fermeli-157544</t>
  </si>
  <si>
    <t>hodeva.com</t>
  </si>
  <si>
    <t>Thiollier</t>
  </si>
  <si>
    <t>AXIADIS</t>
  </si>
  <si>
    <t>hubert.thiollier@axiadis.fr</t>
  </si>
  <si>
    <t>http://www.linkedin.com/in/hubert-thiollier-904204162</t>
  </si>
  <si>
    <t>axiadis.fr</t>
  </si>
  <si>
    <t>Giquiaud</t>
  </si>
  <si>
    <t xml:space="preserve">Fees and You</t>
  </si>
  <si>
    <t>clementgiquiaud@fees-and-you.com</t>
  </si>
  <si>
    <t>http://www.linkedin.com/in/cl%c3%a9ment-giquiaud-6224123b</t>
  </si>
  <si>
    <t>fees-and-you.com</t>
  </si>
  <si>
    <t xml:space="preserve">courtiers,dda,banque privee,mif 2,cgp,family office,cif,courtage,conseil,assurance vie,rgpd,acpr,amf,devoir de conseil</t>
  </si>
  <si>
    <t>Copin</t>
  </si>
  <si>
    <t xml:space="preserve">Directeur Général d'Auxia &amp; d'Auxia Assistance</t>
  </si>
  <si>
    <t>AUXIA</t>
  </si>
  <si>
    <t>ecopin@auxia.com</t>
  </si>
  <si>
    <t>http://www.linkedin.com/in/emmanuel-copin-90a20810</t>
  </si>
  <si>
    <t>http://www.auxia.com</t>
  </si>
  <si>
    <t>Miltis</t>
  </si>
  <si>
    <t>p.julien@miltis.fr</t>
  </si>
  <si>
    <t>http://www.linkedin.com/in/patrick-julien-87698914</t>
  </si>
  <si>
    <t>mutuelle-miltis.fr</t>
  </si>
  <si>
    <t xml:space="preserve">offres sante et prevoyance en marque blanche pour les courtiers,contrats collectifs sante et prevoyance sur mesure pour les entreprises,complementaires sante communales,complementaire sante pour majeurs proteges,prevoyance,mutuelle sante,garantie obseques,assurance de prets,assurance dependance,assurance deces</t>
  </si>
  <si>
    <t>Borgelot</t>
  </si>
  <si>
    <t xml:space="preserve">Neovie Assurances</t>
  </si>
  <si>
    <t>bborgelot@neovie.org</t>
  </si>
  <si>
    <t>http://www.linkedin.com/in/brandon-borgelot-a37a18167</t>
  </si>
  <si>
    <t>neovie.org</t>
  </si>
  <si>
    <t>Pardes</t>
  </si>
  <si>
    <t xml:space="preserve">Directeur général - Dirigeant effectif et responsable fonction clé gestion des risques</t>
  </si>
  <si>
    <t xml:space="preserve">LA MUTUELLE CATALANE</t>
  </si>
  <si>
    <t>christophe.pardes@mutuelle-catalane.com</t>
  </si>
  <si>
    <t>http://www.linkedin.com/in/christophe-pardes-985b16160</t>
  </si>
  <si>
    <t>mutuelle-catalane.com</t>
  </si>
  <si>
    <t>Rossille</t>
  </si>
  <si>
    <t>Orus</t>
  </si>
  <si>
    <t>samuel@orus.eu</t>
  </si>
  <si>
    <t>http://www.linkedin.com/in/samuel-rossille-9621301b</t>
  </si>
  <si>
    <t>http://www.orus.eu</t>
  </si>
  <si>
    <t xml:space="preserve">L'assurance professionnelle des TPE, PME et indépendants que vous attendiez. Plus juste, plus rapide et plus humaine. Votre devis en 3 minutes.</t>
  </si>
  <si>
    <t>Diamantino</t>
  </si>
  <si>
    <t>Alves</t>
  </si>
  <si>
    <t xml:space="preserve">AS ASSURANCES</t>
  </si>
  <si>
    <t>diamantino.alves@as-assurances.fr</t>
  </si>
  <si>
    <t>http://www.linkedin.com/in/diamantino-alves-336553112</t>
  </si>
  <si>
    <t>as-assurances.fr</t>
  </si>
  <si>
    <t>Gonesse</t>
  </si>
  <si>
    <t>Conan</t>
  </si>
  <si>
    <t>yconan@linxea.com</t>
  </si>
  <si>
    <t>http://www.linkedin.com/in/yves-conan-8476591</t>
  </si>
  <si>
    <t>http://www.linxea.com</t>
  </si>
  <si>
    <t xml:space="preserve">22 Avenue de Suffren, Paris, Ile-de-France, France, 75015</t>
  </si>
  <si>
    <t>Tardivel</t>
  </si>
  <si>
    <t xml:space="preserve">JICET CONSEIL</t>
  </si>
  <si>
    <t>yann.tardivel@jicetconseil.com</t>
  </si>
  <si>
    <t>http://www.linkedin.com/in/yann-tardivel-78bba828</t>
  </si>
  <si>
    <t>http://www.jicetconseil.com</t>
  </si>
  <si>
    <t>Elbaz</t>
  </si>
  <si>
    <t xml:space="preserve">Directeur général et fondateur</t>
  </si>
  <si>
    <t>n.elbaz@cab-elab.fr</t>
  </si>
  <si>
    <t>http://www.linkedin.com/in/nathan-elbaz-562272138</t>
  </si>
  <si>
    <t>Perrier</t>
  </si>
  <si>
    <t>Assurisk</t>
  </si>
  <si>
    <t>nicolas.perrier@assurisk.fr</t>
  </si>
  <si>
    <t>http://www.linkedin.com/in/nicolas-perrier-793150228</t>
  </si>
  <si>
    <t>assurisk.fr</t>
  </si>
  <si>
    <t xml:space="preserve">moto,retraite,garantie dependance,epargne salariale,frais generaux,garantie decennale,assurance de prets,responsabilite civile,automobile,protection juridique,garantie hommecle,perte de salaire,multirisques professionnelme,habitation,obseques,epargne et placements,protection juridique professionnelle,indemnites journalieres,complementaire sante individuelle et collective</t>
  </si>
  <si>
    <t>Freydiere</t>
  </si>
  <si>
    <t>YEET-ASSURANCES</t>
  </si>
  <si>
    <t>kfreydiere@yeet-assurances.com</t>
  </si>
  <si>
    <t>http://www.linkedin.com/in/kevin-freydiere-ba172192</t>
  </si>
  <si>
    <t xml:space="preserve">assurance,courtier assurance,assurtech,courtage,vtc,franchises,credit client</t>
  </si>
  <si>
    <t>Ropiteau</t>
  </si>
  <si>
    <t xml:space="preserve">Président-directeur général de la SAS PLENITA</t>
  </si>
  <si>
    <t xml:space="preserve">CABINET PLENITA</t>
  </si>
  <si>
    <t>michel.ropiteau@plenita.fr</t>
  </si>
  <si>
    <t>http://www.linkedin.com/in/michel-ropiteau</t>
  </si>
  <si>
    <t>plenita.fr</t>
  </si>
  <si>
    <t>Payen</t>
  </si>
  <si>
    <t>MONTMIRAIL</t>
  </si>
  <si>
    <t>vpayen@montmirail.com</t>
  </si>
  <si>
    <t>http://www.linkedin.com/in/vincent-payen-717545111</t>
  </si>
  <si>
    <t>http://www.montmirail.com</t>
  </si>
  <si>
    <t xml:space="preserve">6 Rue Jean-Jacques Vernazza, Marseille, Provence-Alpes-Cote d'Azur, France, 13016</t>
  </si>
  <si>
    <t xml:space="preserve">Découvrez Montmirail, courtier en assurances depuis 1898, le groupe Verspieren, nos métiers, nos expertises sectorielles.</t>
  </si>
  <si>
    <t>Nolwenn</t>
  </si>
  <si>
    <t>Oreal</t>
  </si>
  <si>
    <t xml:space="preserve">Directrice Générale Ajointe</t>
  </si>
  <si>
    <t xml:space="preserve">Active Assurances</t>
  </si>
  <si>
    <t>noreal@activeassurances.fr</t>
  </si>
  <si>
    <t>http://www.linkedin.com/in/nolwenn-oreal-5759313a</t>
  </si>
  <si>
    <t>http://www.activeassurances.fr</t>
  </si>
  <si>
    <t xml:space="preserve">71 Rue de Billancourt, Boulogne-Billancourt, Ile-de-France, France, 92100</t>
  </si>
  <si>
    <t xml:space="preserve">Courtier incontournable d'assurance en ligne. Assurance auto et habitation : simulation de devis gratuit et souscription en ligne expresse.</t>
  </si>
  <si>
    <t>Burette</t>
  </si>
  <si>
    <t xml:space="preserve">MB Solutions.net</t>
  </si>
  <si>
    <t>maxime.burette@mbsolutions.net</t>
  </si>
  <si>
    <t>http://www.linkedin.com/in/mbsolutions</t>
  </si>
  <si>
    <t>mbsolutions.net</t>
  </si>
  <si>
    <t>Defond</t>
  </si>
  <si>
    <t xml:space="preserve">Fondateur du concept Earinum</t>
  </si>
  <si>
    <t xml:space="preserve">Diagnostic et Gestion Des Risques Diageris""</t>
  </si>
  <si>
    <t>b.defond@diageris.com</t>
  </si>
  <si>
    <t>http://www.linkedin.com/in/bernard-defond-diageris</t>
  </si>
  <si>
    <t>diageris.com</t>
  </si>
  <si>
    <t xml:space="preserve">risques environnementaux,risques du dirigeant,gestion des risques,assurance,risques numeriques gestion de tresorerie</t>
  </si>
  <si>
    <t xml:space="preserve">3C Capital</t>
  </si>
  <si>
    <t>dcohen@3ccapital.fr</t>
  </si>
  <si>
    <t>http://www.linkedin.com/in/david-cohen-777b5090</t>
  </si>
  <si>
    <t>3ccapital.fr</t>
  </si>
  <si>
    <t xml:space="preserve">gestion de patrimoine &amp; assurance</t>
  </si>
  <si>
    <t>Cottille</t>
  </si>
  <si>
    <t xml:space="preserve">Le club des propriétaires</t>
  </si>
  <si>
    <t>christophe@leclubdesproprietaires.com</t>
  </si>
  <si>
    <t>http://www.linkedin.com/in/christophe-cottille</t>
  </si>
  <si>
    <t>leclubdesproprietaires.com</t>
  </si>
  <si>
    <t xml:space="preserve">assurance pno,assurances loyers impayes &amp; assistance a la gestion immobiliere,assistance a la gestion immobiliere,protection juridique,assurances loyers impayes,accompagnement pour vos litiges,etude dossier locatif</t>
  </si>
  <si>
    <t xml:space="preserve">Groupe Victor Hugo</t>
  </si>
  <si>
    <t>sophie.vercruysse@groupevictorhugo.com</t>
  </si>
  <si>
    <t>http://www.linkedin.com/in/sophie-vercruysse-385782a8</t>
  </si>
  <si>
    <t>http://www.groupevictorhugo.com</t>
  </si>
  <si>
    <t xml:space="preserve">9 Avenue Victor Hugo, Epinal, Grand Est, France, 88000</t>
  </si>
  <si>
    <t xml:space="preserve">Le Groupe Victor Hugo propose des solutions santé et prévoyance adaptées aux professionnels, travailleurs indépendants et particuliers.</t>
  </si>
  <si>
    <t>Kouby</t>
  </si>
  <si>
    <t xml:space="preserve">Co-fondateur Bureau 132</t>
  </si>
  <si>
    <t xml:space="preserve">BUREAU 132</t>
  </si>
  <si>
    <t>alex@bureau132.fr</t>
  </si>
  <si>
    <t>http://www.linkedin.com/in/alex-kouby-35815320</t>
  </si>
  <si>
    <t>bureau132.fr</t>
  </si>
  <si>
    <t>assurances,professionnels,digital,audit,entreprises</t>
  </si>
  <si>
    <t xml:space="preserve">Directrice Générale adjointe en charge de la Distribution  Communication &amp; Relation Adhérent</t>
  </si>
  <si>
    <t>margauxmaurin@mutuelle-entrenous.fr</t>
  </si>
  <si>
    <t>http://www.linkedin.com/in/margaux-maurin</t>
  </si>
  <si>
    <t>mutuelle-entrenous.fr</t>
  </si>
  <si>
    <t xml:space="preserve">assurances,complementaire sante,prevention</t>
  </si>
  <si>
    <t>Bretin</t>
  </si>
  <si>
    <t>chloe.bretin@gp-assurances.fr</t>
  </si>
  <si>
    <t>http://www.linkedin.com/in/chlo%c3%a9-bretin-a0114aa8</t>
  </si>
  <si>
    <t>gp-assurances.fr</t>
  </si>
  <si>
    <t xml:space="preserve">assurance emprunteur,assurance btp,collective sante et prevoyance</t>
  </si>
  <si>
    <t xml:space="preserve">IDO Assurances</t>
  </si>
  <si>
    <t>fjanvier@ido-assurances.com</t>
  </si>
  <si>
    <t>http://www.linkedin.com/in/frederic-janvier-55a65045</t>
  </si>
  <si>
    <t>ido-assurances.fr</t>
  </si>
  <si>
    <t xml:space="preserve">assurance contre les risques informatiques,assurance professionnels du batiment et construction &amp; assurance contre les risques informatiques,assurance professionnels du batiment et construction</t>
  </si>
  <si>
    <t>Annezer</t>
  </si>
  <si>
    <t xml:space="preserve">Co-Founder &amp; Non Executive Director</t>
  </si>
  <si>
    <t>EMANI</t>
  </si>
  <si>
    <t>ivan.annezer@emani.be</t>
  </si>
  <si>
    <t>http://www.linkedin.com/in/ivanannezer</t>
  </si>
  <si>
    <t>http://www.emani.be</t>
  </si>
  <si>
    <t>Franco</t>
  </si>
  <si>
    <t xml:space="preserve">DIRIGEANT Optimisation Assurances Entreprises  Artisans  Professionnels</t>
  </si>
  <si>
    <t xml:space="preserve">FRANCÔDIT Audit d'Assurances</t>
  </si>
  <si>
    <t>eric.franco@francodit.eu</t>
  </si>
  <si>
    <t>http://www.linkedin.com/in/ericfrancofrancodit</t>
  </si>
  <si>
    <t>francodit.eu</t>
  </si>
  <si>
    <t xml:space="preserve">rc dirigeants,cyberrisques,budget assurances,audit assurances,responsabilite civile,sante,tous risque informatique,multirisque professionnelle,dommage ouvrage,dommages aux biens,homme clef,bris de machines,assurances collectives,rc decennale,assurances entreprises,diminution couts,appel doffre assurances,multirisque industrielle,couverture assurances,choix assurance,prevoyance,flottes vehicules,analyse des risques,decennale,comparatif assurances,comparaison assurances</t>
  </si>
  <si>
    <t>Fisse</t>
  </si>
  <si>
    <t>7POINTS</t>
  </si>
  <si>
    <t>benoit.fisse@7points.fr</t>
  </si>
  <si>
    <t>http://www.linkedin.com/in/benoit-fisse-6a751a32</t>
  </si>
  <si>
    <t>7points.fr</t>
  </si>
  <si>
    <t>Jesus</t>
  </si>
  <si>
    <t>Lovys</t>
  </si>
  <si>
    <t>joao@lovys.com</t>
  </si>
  <si>
    <t>http://www.linkedin.com/in/joao-cardoso-de-jesus-3a3a024</t>
  </si>
  <si>
    <t>http://www.lovys.com</t>
  </si>
  <si>
    <t xml:space="preserve">38 Rue des Jeuneurs, Paris, Ile-de-France, France, 75002</t>
  </si>
  <si>
    <t xml:space="preserve">Découvrez les assurances Lovys : habitation, auto, smartphone &amp; chien/chat. 100% en ligne, 100% personnalisables, 100% sans engagement.</t>
  </si>
  <si>
    <t>ACFA-PREMIUM</t>
  </si>
  <si>
    <t>eburel@acfa-premium.com</t>
  </si>
  <si>
    <t>http://www.linkedin.com/in/emmanuel-burel-68076a114</t>
  </si>
  <si>
    <t>Bouadi</t>
  </si>
  <si>
    <t xml:space="preserve">Co-fondateur @Clerity.</t>
  </si>
  <si>
    <t>Clerity.</t>
  </si>
  <si>
    <t>hamzabouadi@clerity.fr</t>
  </si>
  <si>
    <t>http://www.linkedin.com/in/hamza-bouadi-864a5bab</t>
  </si>
  <si>
    <t>clerity.fr</t>
  </si>
  <si>
    <t>Schembri</t>
  </si>
  <si>
    <t xml:space="preserve">Via Conseil</t>
  </si>
  <si>
    <t>r.schembri@viaconseil-assurances.fr</t>
  </si>
  <si>
    <t>http://www.linkedin.com/in/robert-schembri-0b5080110</t>
  </si>
  <si>
    <t>viaconseil-assurances.fr</t>
  </si>
  <si>
    <t xml:space="preserve">Associé Co-fondateur</t>
  </si>
  <si>
    <t xml:space="preserve">ACAM Vie</t>
  </si>
  <si>
    <t>geoffroy.delion@acamvie.com</t>
  </si>
  <si>
    <t>http://www.linkedin.com/in/geoffroy-delion-39635318</t>
  </si>
  <si>
    <t>http://www.acamvie.com</t>
  </si>
  <si>
    <t xml:space="preserve">ACAM Vie S.A. est régie par le Code des assurances, agréée par le Ministère des finances de la République du Cameroun (arrêté 00607 MINFI du 9 novembre 2016).</t>
  </si>
  <si>
    <t>Ralph</t>
  </si>
  <si>
    <t>Ruimy</t>
  </si>
  <si>
    <t>rruimy@acheel.com</t>
  </si>
  <si>
    <t>http://www.linkedin.com/in/ralph-ruimy-08700b4</t>
  </si>
  <si>
    <t>Czech</t>
  </si>
  <si>
    <t xml:space="preserve">Directeur Général - Dirigeant Effectif</t>
  </si>
  <si>
    <t xml:space="preserve">Groupe MNCAP</t>
  </si>
  <si>
    <t>x.czech@mncap.fr</t>
  </si>
  <si>
    <t>http://www.linkedin.com/in/xavier-czech-b963a033</t>
  </si>
  <si>
    <t>mncap.fr</t>
  </si>
  <si>
    <t xml:space="preserve">PDG et actionnaire majoritaire</t>
  </si>
  <si>
    <t xml:space="preserve">Antinea Courtage d'Assurances</t>
  </si>
  <si>
    <t>p.ginet@antinea-courtage.fr</t>
  </si>
  <si>
    <t>http://www.linkedin.com/in/patrick-ginet-45b54640</t>
  </si>
  <si>
    <t>http://www.antinea-courtage.fr</t>
  </si>
  <si>
    <t xml:space="preserve">Orion Ticket Neige</t>
  </si>
  <si>
    <t>philippe@orionticketneige.com</t>
  </si>
  <si>
    <t>http://www.linkedin.com/in/philippe-de-rosa-a71b677a</t>
  </si>
  <si>
    <t>orionticketneige.com</t>
  </si>
  <si>
    <t xml:space="preserve">Le Perrier</t>
  </si>
  <si>
    <t xml:space="preserve">domaines skiables,sports et loisirs de nature,remontees mecaniques,activites de pleine nature,securite des pistes,montagne,assurance,ski,snowboard</t>
  </si>
  <si>
    <t>Moreux</t>
  </si>
  <si>
    <t xml:space="preserve">Paris Tronchet Assurances</t>
  </si>
  <si>
    <t>pmoreux@paristronchet.fr</t>
  </si>
  <si>
    <t>http://www.linkedin.com/in/pascalmoreuxpta</t>
  </si>
  <si>
    <t>paristronchet.fr</t>
  </si>
  <si>
    <t xml:space="preserve">assurances pour les experts comptables et leurs clients,assurances procedures collectives,assurances particuliers,assurances professionnels de limmobilier,assurances entreprises</t>
  </si>
  <si>
    <t xml:space="preserve">ST AVENIR</t>
  </si>
  <si>
    <t>sthibaud@stavenir.fr</t>
  </si>
  <si>
    <t>http://www.linkedin.com/in/sandrinethibaud</t>
  </si>
  <si>
    <t>stavenir.fr</t>
  </si>
  <si>
    <t xml:space="preserve">strategie patrimoniale,protection sociale,immobilier,prevoyance et complementaire sante collectives,strategie de remuneration</t>
  </si>
  <si>
    <t xml:space="preserve">OSPRO ASSURANCES</t>
  </si>
  <si>
    <t>clefebvre@ospro.fr</t>
  </si>
  <si>
    <t>http://www.linkedin.com/in/christophe-lefebvre-ospro-assurances-795032b6</t>
  </si>
  <si>
    <t>ospro.fr</t>
  </si>
  <si>
    <t>Perier</t>
  </si>
  <si>
    <t xml:space="preserve">Fin'bul Assurances</t>
  </si>
  <si>
    <t>jperier@finbul-assurances.fr</t>
  </si>
  <si>
    <t>http://www.linkedin.com/in/julie-perier-01aba91b</t>
  </si>
  <si>
    <t>finbul-assurances.fr</t>
  </si>
  <si>
    <t xml:space="preserve">prevoyance,retraite,frais generaux,assurance chomage,homme cle,mutuelle entreprise,assurances emprunteur</t>
  </si>
  <si>
    <t>Caisson</t>
  </si>
  <si>
    <t>A.C.P.</t>
  </si>
  <si>
    <t>ecaisson@assurconseilpro.fr</t>
  </si>
  <si>
    <t>http://www.linkedin.com/in/emmanuelle-caisson-52588a49</t>
  </si>
  <si>
    <t>assurconseilpro.fr</t>
  </si>
  <si>
    <t>Champagne-au-Mont-d'Or</t>
  </si>
  <si>
    <t xml:space="preserve">Directeur général délégué Groupe</t>
  </si>
  <si>
    <t>tcalleri@lourmel.asso.fr</t>
  </si>
  <si>
    <t>http://www.linkedin.com/in/thomas-calleri-6b940b58</t>
  </si>
  <si>
    <t>lourmel.com</t>
  </si>
  <si>
    <t xml:space="preserve">prevoyance,sante,retraite complementaire,action,soutien</t>
  </si>
  <si>
    <t>Vieilledent</t>
  </si>
  <si>
    <t xml:space="preserve">Co-Fondateur TEPEE.eu - Courtier Grossiste en Santé &amp; Prévoyance</t>
  </si>
  <si>
    <t xml:space="preserve">TEPEE Assurances</t>
  </si>
  <si>
    <t>christian@tepee.eu</t>
  </si>
  <si>
    <t>http://www.linkedin.com/in/christian-vieilledent-394b49189</t>
  </si>
  <si>
    <t>tepee.eu</t>
  </si>
  <si>
    <t xml:space="preserve">Directeur Général Adjoint en charge des finances</t>
  </si>
  <si>
    <t xml:space="preserve">LSN Assurances</t>
  </si>
  <si>
    <t>dadam@lsngroupe.com</t>
  </si>
  <si>
    <t>http://www.linkedin.com/in/david-adam-0a35091</t>
  </si>
  <si>
    <t>http://www.lsngroupe.com</t>
  </si>
  <si>
    <t xml:space="preserve">1 Rue des Italiens, Paris, Ile-de-France, France, 75009</t>
  </si>
  <si>
    <t>Boduroglou</t>
  </si>
  <si>
    <t>CAPRELE</t>
  </si>
  <si>
    <t>georges.boduroglou@caprele.fr</t>
  </si>
  <si>
    <t>http://www.linkedin.com/in/georges-boduroglou-b3b0805</t>
  </si>
  <si>
    <t>caprele.fr</t>
  </si>
  <si>
    <t>Dorion</t>
  </si>
  <si>
    <t>Sigmage</t>
  </si>
  <si>
    <t>paul.dorion@sigmage.fr</t>
  </si>
  <si>
    <t>http://www.linkedin.com/in/paul-dorion-90a4795a</t>
  </si>
  <si>
    <t>sigmage.fr</t>
  </si>
  <si>
    <t xml:space="preserve">mutuelle entreprise,mutuelle collective,mutuelle sante</t>
  </si>
  <si>
    <t>wiQare</t>
  </si>
  <si>
    <t>florent.benoit@wiqare.com</t>
  </si>
  <si>
    <t>http://www.linkedin.com/in/flbenoit</t>
  </si>
  <si>
    <t>Benedicto</t>
  </si>
  <si>
    <t xml:space="preserve">COURTAGE AVENUE</t>
  </si>
  <si>
    <t>michael.benedicto@courtage-avenue.com</t>
  </si>
  <si>
    <t>http://www.linkedin.com/in/michael-benedicto-9a2889173</t>
  </si>
  <si>
    <t>courtage-avenue.com</t>
  </si>
  <si>
    <t xml:space="preserve">ingenieur financier,creditregroupement,assurance artisan decennal,transaction immobiliere,garantie loyer impaye,multirisque pro,santecollectiveindividuelle,habitationstanding,gestion en patrimoine,auto moto,prevoyanceprofessionnelledirigeant,dommage ouvrage</t>
  </si>
  <si>
    <t>Malbernard</t>
  </si>
  <si>
    <t>ANGELTEAM</t>
  </si>
  <si>
    <t>pmalbernard@angelteam.fr</t>
  </si>
  <si>
    <t>http://www.linkedin.com/in/patrice-malbernard-0b46571</t>
  </si>
  <si>
    <t>angelteam.fr</t>
  </si>
  <si>
    <t xml:space="preserve">achats non strategiques,transport et logistique,fiscalite energetique,maladies professionnelles,gestion de flotte auto,frais bancaires,fiscalite locale,charges sociales,accidents du travail,fiscalite environnementale,assurances</t>
  </si>
  <si>
    <t xml:space="preserve">Mutuelle de France Unie</t>
  </si>
  <si>
    <t>p.carton@mutuelledefranceunie.fr</t>
  </si>
  <si>
    <t>http://www.linkedin.com/in/patrick-carton-b56138a1</t>
  </si>
  <si>
    <t>http://www.mutuelledefranceunie.fr</t>
  </si>
  <si>
    <t xml:space="preserve">Annecy, Auvergne-Rhone-Alpes, France, 74960</t>
  </si>
  <si>
    <t xml:space="preserve">Mutuelle de France Unie propose des garanties Santé, Prévoyance, Retraite et Assurance pour les particuliers, entreprises et professionnels.</t>
  </si>
  <si>
    <t>Poitoux</t>
  </si>
  <si>
    <t>FIRIDIS</t>
  </si>
  <si>
    <t>florian.poitoux@firidis.fr</t>
  </si>
  <si>
    <t>http://www.linkedin.com/in/florian-poitoux-ab0846197</t>
  </si>
  <si>
    <t>http://www.firidis.fr</t>
  </si>
  <si>
    <t xml:space="preserve">26 Avenue Montaigne, Paris, Ile-de-France, France, 75008</t>
  </si>
  <si>
    <t xml:space="preserve">Découvrez les solutions sur mesure de FIRIDIS de courtage en assurance : PER, Assurance Vie, Prévoyance, Cyber Assurance etc. Nous soutenons l'environnement.</t>
  </si>
  <si>
    <t>Bost</t>
  </si>
  <si>
    <t xml:space="preserve">Pole Assurances &amp; Courtage</t>
  </si>
  <si>
    <t>pierre-louis.bost@poleassurancescourtage.com</t>
  </si>
  <si>
    <t>http://www.linkedin.com/in/bost-pierre-louis-31595b120</t>
  </si>
  <si>
    <t>poleassurancescourtage.com</t>
  </si>
  <si>
    <t xml:space="preserve">assurance,courtage,contrats affinitaires</t>
  </si>
  <si>
    <t>Zuban</t>
  </si>
  <si>
    <t xml:space="preserve">VIDEM ASSURANCE</t>
  </si>
  <si>
    <t>bzuban@videm.fr</t>
  </si>
  <si>
    <t>http://www.linkedin.com/in/bilal-zuban-6a6357a1</t>
  </si>
  <si>
    <t>videm.fr</t>
  </si>
  <si>
    <t>Vinois</t>
  </si>
  <si>
    <t xml:space="preserve">WALDORF PRIVATE OFFICE</t>
  </si>
  <si>
    <t>j.vinois@waldorfprivateoffice.com</t>
  </si>
  <si>
    <t>http://www.linkedin.com/in/jv-waldorf</t>
  </si>
  <si>
    <t>http://www.waldorfprivateoffice.com</t>
  </si>
  <si>
    <t xml:space="preserve">Conjuguant notre connaissance du marché immobilier et de sa réglementation, conseils en gestion et structuration patrimoniale, mais aussi accompagnement en financement bancaire et en fiscalité, nous souhaitons que notre cabinet soit le chef d’orchestre qui pourra répondre à toutes les attentes et à tous les besoins de la clientèle non-résidente du Moyen-Orient en France.</t>
  </si>
  <si>
    <t>Libre</t>
  </si>
  <si>
    <t xml:space="preserve">Cofondateur - Président - Directeur Offre Assurance</t>
  </si>
  <si>
    <t>david.libre@babysafe.solutions</t>
  </si>
  <si>
    <t>http://www.linkedin.com/in/david-libre-babysafe</t>
  </si>
  <si>
    <t>babysafe.solutions</t>
  </si>
  <si>
    <t>Bron</t>
  </si>
  <si>
    <t>Gatein</t>
  </si>
  <si>
    <t xml:space="preserve">GOLD SANTE</t>
  </si>
  <si>
    <t>fg@goldsante.com</t>
  </si>
  <si>
    <t>http://www.linkedin.com/in/fran%c3%a7ois-gatein-8714b5124</t>
  </si>
  <si>
    <t>goldsante.com</t>
  </si>
  <si>
    <t xml:space="preserve">assurance de personnes,assurance de personnes &amp; indemnites journalieres,indemnites journalieres</t>
  </si>
  <si>
    <t>Massa</t>
  </si>
  <si>
    <t xml:space="preserve">Directeur général protection sociale</t>
  </si>
  <si>
    <t>o.massa@gerep.fr</t>
  </si>
  <si>
    <t>http://www.linkedin.com/in/oliviermassa</t>
  </si>
  <si>
    <t>Cannelle</t>
  </si>
  <si>
    <t xml:space="preserve">Cofondateur - Directeur Technique  Financier &amp; Administratif</t>
  </si>
  <si>
    <t>florent.cannelle@babysafe.solutions</t>
  </si>
  <si>
    <t>http://www.linkedin.com/in/florent-cannelle-526aa164</t>
  </si>
  <si>
    <t xml:space="preserve">assurance &amp; courtage,assurance,parents aidants,aidants,handicap,enfants,courtage,prevoyance</t>
  </si>
  <si>
    <t>Altar</t>
  </si>
  <si>
    <t xml:space="preserve">ALBA UP</t>
  </si>
  <si>
    <t>jaltar@alba-up.com</t>
  </si>
  <si>
    <t>http://www.linkedin.com/in/julien-altar-7b866b94</t>
  </si>
  <si>
    <t>alba-up.com</t>
  </si>
  <si>
    <t>Amalric</t>
  </si>
  <si>
    <t xml:space="preserve">AMA Assurances</t>
  </si>
  <si>
    <t>michel.amalric@ama.fr</t>
  </si>
  <si>
    <t>http://www.linkedin.com/in/michel-amalric-13b61124</t>
  </si>
  <si>
    <t>ama.fr</t>
  </si>
  <si>
    <t>Troadec</t>
  </si>
  <si>
    <t xml:space="preserve">Dirigeant TRS Courtage</t>
  </si>
  <si>
    <t xml:space="preserve">TRS COURTAGE</t>
  </si>
  <si>
    <t>sylvain.troadec@trscourtage.com</t>
  </si>
  <si>
    <t>http://www.linkedin.com/in/sylvain-troadec-77b721141</t>
  </si>
  <si>
    <t>trscourtage.com</t>
  </si>
  <si>
    <t>Guipavas</t>
  </si>
  <si>
    <t xml:space="preserve">epargne salariale,garanties croisees entre associes,retraite,prevoyance,complementaire sante,per,assurance collective,ifc il,courtage en assurance,assurance de pret</t>
  </si>
  <si>
    <t>Prodhomme</t>
  </si>
  <si>
    <t xml:space="preserve">Dirigeant   Courtier d'Assurances</t>
  </si>
  <si>
    <t>BRET'ASSUR</t>
  </si>
  <si>
    <t>mathieu@bretassur.fr</t>
  </si>
  <si>
    <t>http://www.linkedin.com/in/mathieu-prodhomme-83454251</t>
  </si>
  <si>
    <t>bretassur.fr</t>
  </si>
  <si>
    <t>Gleizal</t>
  </si>
  <si>
    <t xml:space="preserve">Alfred Assurance</t>
  </si>
  <si>
    <t>olivier@alfredauto.fr</t>
  </si>
  <si>
    <t>http://www.linkedin.com/in/olivier-gleizal-8b786024</t>
  </si>
  <si>
    <t>alfredauto.fr</t>
  </si>
  <si>
    <t>Liger-Belair</t>
  </si>
  <si>
    <t xml:space="preserve">SMATIS France</t>
  </si>
  <si>
    <t>bruno.liger-belair@smatis.fr</t>
  </si>
  <si>
    <t>http://www.linkedin.com/in/bruno-liger-belair-902b7bb</t>
  </si>
  <si>
    <t>http://www.smatis.fr</t>
  </si>
  <si>
    <t xml:space="preserve">Angouleme, Nouvelle-Aquitaine, France</t>
  </si>
  <si>
    <t>Paul-Emile</t>
  </si>
  <si>
    <t xml:space="preserve">Union Industrielle</t>
  </si>
  <si>
    <t>paul-emile.leroy@union-industrielle.fr</t>
  </si>
  <si>
    <t>http://www.linkedin.com/in/paul-emile-leroy-89489b21</t>
  </si>
  <si>
    <t>union-industrielle.fr</t>
  </si>
  <si>
    <t xml:space="preserve">couverture des responsabilites des entreprises,protection des biens de lentreprise,protection des collaborateurs,accompagnement a linternational,accompagnement strategique en prevention des risques</t>
  </si>
  <si>
    <t>Eymieu</t>
  </si>
  <si>
    <t xml:space="preserve">FIDEM ASSURANCES courtage en assurances</t>
  </si>
  <si>
    <t>benoit.eymieu@fidemassurances.fr</t>
  </si>
  <si>
    <t>http://www.linkedin.com/in/benoit-eymieu26</t>
  </si>
  <si>
    <t>fidemassurances.fr</t>
  </si>
  <si>
    <t>gilles.marty@mma.fr</t>
  </si>
  <si>
    <t>http://www.linkedin.com/in/gilles-marty-b5273767</t>
  </si>
  <si>
    <t>Monvoisin</t>
  </si>
  <si>
    <t xml:space="preserve">Crédit Conseil de France</t>
  </si>
  <si>
    <t>fabien.monvoisin@creditconseildefrance.com</t>
  </si>
  <si>
    <t>http://www.linkedin.com/in/fabien-monvoisin</t>
  </si>
  <si>
    <t>http://www.franchise-rachat-de-credits.com</t>
  </si>
  <si>
    <t xml:space="preserve">2 Rue Le Bouteiller, Rennes, Brittany, France, 35000</t>
  </si>
  <si>
    <t xml:space="preserve">Vous êtes un entrepreneur ambitieux et souhaitez ouvrir une franchise dans le domaine du rachat de crédits ? N’attendez plus !  Rejoignez-nous !</t>
  </si>
  <si>
    <t xml:space="preserve">Cover immo</t>
  </si>
  <si>
    <t>olivier.atlan@coverimmo.com</t>
  </si>
  <si>
    <t>http://www.linkedin.com/in/olivieratlan</t>
  </si>
  <si>
    <t>coverimmo.com</t>
  </si>
  <si>
    <t xml:space="preserve">gli,baux commerciaux,immobilier dentreprise,certification locataires,gapd,loyers impayes,assurances,baux professionnels</t>
  </si>
  <si>
    <t xml:space="preserve">O2A Assurance</t>
  </si>
  <si>
    <t>vasselot@o2a.fr</t>
  </si>
  <si>
    <t>http://www.linkedin.com/in/aymeric-de-vasselot-6a99651</t>
  </si>
  <si>
    <t>o2a-assurance.fr</t>
  </si>
  <si>
    <t xml:space="preserve">nouvelles technologies,associations,cyber assurance,assurance des expatries,assurance,syndics de copropriete,transporteurs de voyageurs et de marchandises,cliniques,negociants distributeurs en vins et spiritueux,industrie aeronautique</t>
  </si>
  <si>
    <t xml:space="preserve">Hexagon Patrimoine®️</t>
  </si>
  <si>
    <t>axel@jobsizer.fr</t>
  </si>
  <si>
    <t>http://www.linkedin.com/in/axel-rivet-599424226</t>
  </si>
  <si>
    <t>http://www.jobsizer.fr</t>
  </si>
  <si>
    <t>Larry</t>
  </si>
  <si>
    <t>Hueber</t>
  </si>
  <si>
    <t xml:space="preserve">Groupe Hueber Assurances</t>
  </si>
  <si>
    <t>l.hueber@groupehueberassurances.fr</t>
  </si>
  <si>
    <t>http://www.linkedin.com/in/larry-hueber-b0b381109</t>
  </si>
  <si>
    <t>http://www.groupehueberassurances.fr</t>
  </si>
  <si>
    <t>Auch</t>
  </si>
  <si>
    <t xml:space="preserve">19 Rue Patrick Baudry, Tarbes, Midi-Pyrenees, France, 65000</t>
  </si>
  <si>
    <t>CAPSSUR</t>
  </si>
  <si>
    <t>m.bernard@capssur.fr</t>
  </si>
  <si>
    <t>http://www.linkedin.com/in/marc-bernard-b2108610b</t>
  </si>
  <si>
    <t>capssur.fr</t>
  </si>
  <si>
    <t>Bazille</t>
  </si>
  <si>
    <t xml:space="preserve">H2B Assurances</t>
  </si>
  <si>
    <t>j.bazille@h2bassurances.fr</t>
  </si>
  <si>
    <t>http://www.linkedin.com/in/jerome-bazille-302680a0</t>
  </si>
  <si>
    <t>h2bassurances.fr</t>
  </si>
  <si>
    <t>Vighetto</t>
  </si>
  <si>
    <t xml:space="preserve">Grant associ</t>
  </si>
  <si>
    <t xml:space="preserve">VIGNY DEPIERRE Assurances</t>
  </si>
  <si>
    <t>fvighetto@vigny-depierre.com</t>
  </si>
  <si>
    <t>http://www.linkedin.com/in/fabienvighetto</t>
  </si>
  <si>
    <t>vigny-depierre.com</t>
  </si>
  <si>
    <t xml:space="preserve">assurances sante frontaliers france suisse,courtier en assurance,assurance risques industriels,assurances du particulier,specialiste de lassurance des tns,assurance prevoyance collective,agent allianz,assurance allianz,gestion de patrimoine,specialiste de l39assurance des tns,courtier en financement,pole service construction,assureur francesuisse,assurance de pret,assurance risques industriels et agricoles,assurance risques agricoles,leader en sante frontalier</t>
  </si>
  <si>
    <t xml:space="preserve">Co-gérant et fondateur</t>
  </si>
  <si>
    <t xml:space="preserve">Béal Expertise</t>
  </si>
  <si>
    <t>fb@beal-expertise.fr</t>
  </si>
  <si>
    <t>http://www.linkedin.com/in/fr%c3%a9d%c3%a9ric-b%c3%a9al-9977316b</t>
  </si>
  <si>
    <t>beal-expertise.fr</t>
  </si>
  <si>
    <t>Witrand</t>
  </si>
  <si>
    <t>ASSURANCES.TECH</t>
  </si>
  <si>
    <t>thomas@assurances.tech</t>
  </si>
  <si>
    <t>http://www.linkedin.com/in/twitrand</t>
  </si>
  <si>
    <t>assurances.tech</t>
  </si>
  <si>
    <t xml:space="preserve">accompagnement personnalise,mutuelle,courtier en assurances,startup,prevoyance,rc pro,convention syntec</t>
  </si>
  <si>
    <t>erwan@everrose.com</t>
  </si>
  <si>
    <t>http://www.linkedin.com/in/erwan-breuil-b9409427</t>
  </si>
  <si>
    <t>Vonesch</t>
  </si>
  <si>
    <t xml:space="preserve">ALSACE PROTECTION SOCIALE</t>
  </si>
  <si>
    <t>s.vonesch@alsaceprotectionsociale.fr</t>
  </si>
  <si>
    <t>http://www.linkedin.com/in/s%c3%a9bastien-vonesch-23120876</t>
  </si>
  <si>
    <t>alsaceprotectionsociale.fr</t>
  </si>
  <si>
    <t>Erstein</t>
  </si>
  <si>
    <t xml:space="preserve">audit social,epargne,sante,statut du dirigeant,courtier,courtage,bilan de retraite,liquidation retraite,assurance emprunteur,prevoyance,analyse en protection sociale,retraite</t>
  </si>
  <si>
    <t>Merel</t>
  </si>
  <si>
    <t xml:space="preserve">Aequo Courtage</t>
  </si>
  <si>
    <t>simon.merel@aequocourtage.fr</t>
  </si>
  <si>
    <t>http://www.linkedin.com/in/simon-merel-5b847a144</t>
  </si>
  <si>
    <t>aequocourtage.fr</t>
  </si>
  <si>
    <t>Plumelec</t>
  </si>
  <si>
    <t>Cerda</t>
  </si>
  <si>
    <t xml:space="preserve">XCR Réseau de Courtage</t>
  </si>
  <si>
    <t>tcerda@xcr.fr</t>
  </si>
  <si>
    <t>http://www.linkedin.com/in/tony-cerda-9b2893250</t>
  </si>
  <si>
    <t>xcr.fr</t>
  </si>
  <si>
    <t xml:space="preserve">assurances,flotte,mandataire,courtier,transport,construction,industrie,aeronautique,aeronautic,assurance entreprise,assurance pro</t>
  </si>
  <si>
    <t>h.huet@ciblexperts.com</t>
  </si>
  <si>
    <t>http://www.linkedin.com/in/herv%c3%a9-huet-7449755a</t>
  </si>
  <si>
    <t>Alliot</t>
  </si>
  <si>
    <t xml:space="preserve">ASC Assurance</t>
  </si>
  <si>
    <t>olivier.alliot@asc-assurance.fr</t>
  </si>
  <si>
    <t>http://www.linkedin.com/in/olivier-alliot-599918295</t>
  </si>
  <si>
    <t>asc-assurance.fr</t>
  </si>
  <si>
    <t>Pedrono</t>
  </si>
  <si>
    <t>Previi</t>
  </si>
  <si>
    <t>julien.pedrono@previi.fr</t>
  </si>
  <si>
    <t>http://www.linkedin.com/in/julien-pedrono-ab9a0217</t>
  </si>
  <si>
    <t>previi.fr</t>
  </si>
  <si>
    <t>Bounous</t>
  </si>
  <si>
    <t>christophe.bounous@mutuelle-msp.fr</t>
  </si>
  <si>
    <t>http://www.linkedin.com/in/christophe-bounous-2200b2164</t>
  </si>
  <si>
    <t>mutuelle-msp.fr</t>
  </si>
  <si>
    <t>Rince</t>
  </si>
  <si>
    <t>guillaume.rince@maif.fr</t>
  </si>
  <si>
    <t>http://www.linkedin.com/in/rince</t>
  </si>
  <si>
    <t>altima-assurances.fr</t>
  </si>
  <si>
    <t>Chou</t>
  </si>
  <si>
    <t>Coélience</t>
  </si>
  <si>
    <t>philippe.chou@coelience.fr</t>
  </si>
  <si>
    <t>http://www.linkedin.com/in/philippe-chou-3354141a</t>
  </si>
  <si>
    <t>coelience.fr</t>
  </si>
  <si>
    <t xml:space="preserve">actuariat,finances,gestion des risques,marketing communication,marketing automation,campagne dacquisition b2b,transformation digitale,systeme d39information,solvabilite 2,orsa,phygital,projet crm,lead nurturing,partenariats,marketing viral,systeme dinformation,developpement,campagne d39acquisition b2b,marketing digital,gestion actif passif,strategie,logiciels actuariat</t>
  </si>
  <si>
    <t>KOGIS</t>
  </si>
  <si>
    <t>philippe.mariani@kogis.fr</t>
  </si>
  <si>
    <t>http://www.linkedin.com/in/philippemariani</t>
  </si>
  <si>
    <t>kogis.fr</t>
  </si>
  <si>
    <t>Sall</t>
  </si>
  <si>
    <t xml:space="preserve">Universall – Président et Consultant en stratégie assurantielle et financière</t>
  </si>
  <si>
    <t xml:space="preserve">UNIVERSALL CONSULTING</t>
  </si>
  <si>
    <t>asall@universall-consulting.fr</t>
  </si>
  <si>
    <t>http://www.linkedin.com/in/abdoulaye-sall-85030510a</t>
  </si>
  <si>
    <t>universall-consulting.fr</t>
  </si>
  <si>
    <t>Drancy</t>
  </si>
  <si>
    <t>Mennella</t>
  </si>
  <si>
    <t xml:space="preserve">Connect Courtage</t>
  </si>
  <si>
    <t>fmennella@connect-courtage.com</t>
  </si>
  <si>
    <t>http://www.linkedin.com/in/fabien-mennella-408a9a64</t>
  </si>
  <si>
    <t>connect-courtage.com</t>
  </si>
  <si>
    <t xml:space="preserve">depot et consultation dannonces gratuit,cotation de portefeuille,vente de portefeuilles d39assurance,cession de cabinets dassurance,mise en relation de professionnels de lassurance,vente de portefeuilles dassurance,depot et consultation d39annonces gratuit,cession de cabinets d39assurance,mise en relation de professionnels de l39assurance</t>
  </si>
  <si>
    <t>Lefevre</t>
  </si>
  <si>
    <t xml:space="preserve">ELLENA SOLUTION</t>
  </si>
  <si>
    <t>philippe@ellena-solution.fr</t>
  </si>
  <si>
    <t>http://www.linkedin.com/in/philippe-lefevre-44ba2539</t>
  </si>
  <si>
    <t>ellena-solution.fr</t>
  </si>
  <si>
    <t xml:space="preserve">epargne,assurance,gestion administrative,gestion de patrimoine,retraite,defiscalisation,conseils aux entreprises,epargne entreprise</t>
  </si>
  <si>
    <t>Bacha</t>
  </si>
  <si>
    <t xml:space="preserve">Smile Assurances</t>
  </si>
  <si>
    <t>dalila.bacha@smileassurances.fr</t>
  </si>
  <si>
    <t>http://www.linkedin.com/in/dalila-bacha-a00ab5198</t>
  </si>
  <si>
    <t>smileassurances.fr</t>
  </si>
  <si>
    <t>Revelat</t>
  </si>
  <si>
    <t xml:space="preserve">Fondateur et Président  Groupement Assuromieux</t>
  </si>
  <si>
    <t>Assuromieux</t>
  </si>
  <si>
    <t>p.revelat@assuromieux.fr</t>
  </si>
  <si>
    <t>http://www.linkedin.com/in/philippe-revelat-a06a7530</t>
  </si>
  <si>
    <t>assuromieux.fr</t>
  </si>
  <si>
    <t xml:space="preserve">assurance sante,assurances,assurance decennale,assurance auto</t>
  </si>
  <si>
    <t>Duflot</t>
  </si>
  <si>
    <t xml:space="preserve">ARIETIS ASSURANCES</t>
  </si>
  <si>
    <t>tduflot@arietis.fr</t>
  </si>
  <si>
    <t>http://www.linkedin.com/in/thierry-duflot-ab838611</t>
  </si>
  <si>
    <t>Benali</t>
  </si>
  <si>
    <t xml:space="preserve">EMA ASSURANCES MAUBEUGE / ANZIN</t>
  </si>
  <si>
    <t>f.benali@ema-assurances.fr</t>
  </si>
  <si>
    <t>http://www.linkedin.com/in/faouzi-benali-a7b896198</t>
  </si>
  <si>
    <t>ema-assurances.fr</t>
  </si>
  <si>
    <t xml:space="preserve">Associ fondateur</t>
  </si>
  <si>
    <t xml:space="preserve">Girose Patrimoine</t>
  </si>
  <si>
    <t>gravier@girose-patrimoine.fr</t>
  </si>
  <si>
    <t>http://www.linkedin.com/in/alexandregravier</t>
  </si>
  <si>
    <t>girose-patrimoine.fr</t>
  </si>
  <si>
    <t xml:space="preserve">epargne retraite,investissement responsable,placements financiers,sante,prevoyance,assurances</t>
  </si>
  <si>
    <t xml:space="preserve">Co-founder | Actuarial &amp; Strategy</t>
  </si>
  <si>
    <t xml:space="preserve">Tendanz Group</t>
  </si>
  <si>
    <t>jean.brunet@tendanz.com</t>
  </si>
  <si>
    <t>http://www.linkedin.com/in/jean-brunet26</t>
  </si>
  <si>
    <t>http://www.tendanz.com</t>
  </si>
  <si>
    <t xml:space="preserve">Explore Tendanz, a leading consulting firm specializing in data and insurance. Discover our comprehensive services in claims, underwriting, risk management, financial solutions, and data analytics. Join our community and learn about our mission to enhance decision-making and drive business growth through innovative data-driven solutions.</t>
  </si>
  <si>
    <t>denis.raynal@novacover.fr</t>
  </si>
  <si>
    <t>http://www.linkedin.com/in/denis-raynal-166b7033</t>
  </si>
  <si>
    <t>novacover.fr</t>
  </si>
  <si>
    <t xml:space="preserve">KAIROS COURTAGE</t>
  </si>
  <si>
    <t>francois@ckairos.fr</t>
  </si>
  <si>
    <t>http://www.linkedin.com/in/jordan-francois-7807a8106</t>
  </si>
  <si>
    <t>ckairos.fr</t>
  </si>
  <si>
    <t xml:space="preserve">assurance vie,assurance de personne,epargne salariale,strategie de remuneration,conseil en entreprise</t>
  </si>
  <si>
    <t>Mahe</t>
  </si>
  <si>
    <t xml:space="preserve">UNION D'EXPERTS SAS</t>
  </si>
  <si>
    <t>philippe.mahe@uesas.fr</t>
  </si>
  <si>
    <t>http://www.linkedin.com/in/philippe-mah%c3%a9-aa85a2114</t>
  </si>
  <si>
    <t>http://www.uesas.fr</t>
  </si>
  <si>
    <t>Christel</t>
  </si>
  <si>
    <t>Albouy-Nallard</t>
  </si>
  <si>
    <t xml:space="preserve">Associée fondateur</t>
  </si>
  <si>
    <t xml:space="preserve">Adequation Advisory</t>
  </si>
  <si>
    <t>calbouynallard@adequation-advisory.com</t>
  </si>
  <si>
    <t>http://www.linkedin.com/in/christel-albouy-nallard-70b20a86</t>
  </si>
  <si>
    <t>adequation-advisory.com</t>
  </si>
  <si>
    <t xml:space="preserve">finance performance,evolution des offres et des reseaux de distribution,conformite reglementaire,optimisation des processus metier,transformation de la fonction risque,finance amp performance,gestion des risques et controle interne</t>
  </si>
  <si>
    <t>Tournier</t>
  </si>
  <si>
    <t xml:space="preserve">ST ASSURANCES</t>
  </si>
  <si>
    <t>stournier@sta34.fr</t>
  </si>
  <si>
    <t>http://www.linkedin.com/in/s%c3%a9bastien-tournier-8b094668</t>
  </si>
  <si>
    <t>Mangeard</t>
  </si>
  <si>
    <t xml:space="preserve">ISFA Junior Conseil</t>
  </si>
  <si>
    <t>jmangeard@isfajuniorconseil.com</t>
  </si>
  <si>
    <t>http://www.linkedin.com/in/jules-mangeard-085b0b293</t>
  </si>
  <si>
    <t>isfajuniorconseil.com</t>
  </si>
  <si>
    <t>benchmarking,actuariat,informatique,finance,statistiques</t>
  </si>
  <si>
    <t>Drougard</t>
  </si>
  <si>
    <t>Cristalis</t>
  </si>
  <si>
    <t>drougard@cristalis.fr</t>
  </si>
  <si>
    <t>http://www.linkedin.com/in/jean-drougard-24185969</t>
  </si>
  <si>
    <t>cristalis.fr</t>
  </si>
  <si>
    <t>Elorri</t>
  </si>
  <si>
    <t>sophieelorri@mutami.fr</t>
  </si>
  <si>
    <t>http://www.linkedin.com/in/sophieelorri</t>
  </si>
  <si>
    <t xml:space="preserve">Founder &amp; General Manager</t>
  </si>
  <si>
    <t>AxeysPartners</t>
  </si>
  <si>
    <t>alex.tran@axeyspartners.com</t>
  </si>
  <si>
    <t>http://www.linkedin.com/in/alex-tran-9b58b08</t>
  </si>
  <si>
    <t>axeyspartners.com</t>
  </si>
  <si>
    <t>Mangeret</t>
  </si>
  <si>
    <t xml:space="preserve">Dirigeant de société de Courtage d'Assurances</t>
  </si>
  <si>
    <t xml:space="preserve">ASCOT INSURANCE</t>
  </si>
  <si>
    <t>pm@ascot-france.eu</t>
  </si>
  <si>
    <t>http://www.linkedin.com/in/pierre-mangeret-17316178</t>
  </si>
  <si>
    <t>ascot-insurance.eu</t>
  </si>
  <si>
    <t>Nicollet</t>
  </si>
  <si>
    <t xml:space="preserve">Dirigeant et fondateur</t>
  </si>
  <si>
    <t>ILYUM</t>
  </si>
  <si>
    <t>michel.nicollet@ilyum.eu</t>
  </si>
  <si>
    <t>http://www.linkedin.com/in/michel-nicollet-1227172a</t>
  </si>
  <si>
    <t>ilyum.eu</t>
  </si>
  <si>
    <t xml:space="preserve">retraite supplementaire,art 83,indemnites de fin de carriere,remuneration dirigeants,prevoyance,art 39,expatries,cet,perco,per,gestion fin de carriere,mutuelle,pee,perin,formation protection sociale,assurance de personnes,pero,mandataires sociaux,retraite des independants,economie sociale et solidaire,assurance de pret</t>
  </si>
  <si>
    <t>Kamila</t>
  </si>
  <si>
    <t>Yunusova</t>
  </si>
  <si>
    <t>AmiSur</t>
  </si>
  <si>
    <t>kamila.yunusova@amisur.eu</t>
  </si>
  <si>
    <t>http://www.linkedin.com/in/kamila-yunus</t>
  </si>
  <si>
    <t>http://www.amisur.online</t>
  </si>
  <si>
    <t>Fidon</t>
  </si>
  <si>
    <t xml:space="preserve">FIDL CAP</t>
  </si>
  <si>
    <t>romuald.fidon@fidlcap.fr</t>
  </si>
  <si>
    <t>http://www.linkedin.com/in/romuald-fidon-60136386</t>
  </si>
  <si>
    <t>fidlcap.fr</t>
  </si>
  <si>
    <t>Vassy</t>
  </si>
  <si>
    <t>pascal.vassy@creditconseildefrance.com</t>
  </si>
  <si>
    <t>http://www.linkedin.com/in/pascal-vassy-2224939b</t>
  </si>
  <si>
    <t>franchise-rachat-de-credits.com</t>
  </si>
  <si>
    <t xml:space="preserve">assurances,regroupement de credits,rachat de credits,franchise,pret immobilier,credit,restructuration de dettes,iobsp,pret consommation</t>
  </si>
  <si>
    <t>ANGELUS</t>
  </si>
  <si>
    <t>pierre.simon@angelus-courtage.com</t>
  </si>
  <si>
    <t>http://www.linkedin.com/in/pierre-simon-28b50721a</t>
  </si>
  <si>
    <t>angelus-courtage.com</t>
  </si>
  <si>
    <t xml:space="preserve">mutuelle sante,assurance transport,assurance flotte automobile,risque industriel,programmes affinitaires,retraite complementaire,prevoyance,protection sociale,responsabilite decennale,cyber risks,rc du dirigeant</t>
  </si>
  <si>
    <t>Pimont</t>
  </si>
  <si>
    <t>SOGEAS</t>
  </si>
  <si>
    <t>apimont@sogeas.fr</t>
  </si>
  <si>
    <t>http://www.linkedin.com/in/alexandre-pimont-935aa1124</t>
  </si>
  <si>
    <t>sogeas.fr</t>
  </si>
  <si>
    <t>Epinay-sur-Duclair</t>
  </si>
  <si>
    <t>Goudot</t>
  </si>
  <si>
    <t xml:space="preserve">GLOBE KEYS</t>
  </si>
  <si>
    <t>vincent.goudot@globekeys.fr</t>
  </si>
  <si>
    <t>http://www.linkedin.com/in/vincent-goudot-32494219</t>
  </si>
  <si>
    <t>globekeys.fr</t>
  </si>
  <si>
    <t>IPECA</t>
  </si>
  <si>
    <t>pricard@ipeca.fr</t>
  </si>
  <si>
    <t>http://www.linkedin.com/in/philippe-ricard-162042164</t>
  </si>
  <si>
    <t>http://www.ipeca.fr</t>
  </si>
  <si>
    <t xml:space="preserve">5 Rue Paul Barruel, Paris, Ile-de-France, France, 75015</t>
  </si>
  <si>
    <t>Happi</t>
  </si>
  <si>
    <t xml:space="preserve">MANSA PATRIMOINE</t>
  </si>
  <si>
    <t>yannickhappi@mansa-patrimoine.fr</t>
  </si>
  <si>
    <t>http://www.linkedin.com/in/yannick-happi</t>
  </si>
  <si>
    <t>mansa-patrimoine.fr</t>
  </si>
  <si>
    <t xml:space="preserve">investissement immobilier,placements financiers,optimisation fiscale,transmission du patrimoine,gestion de patrimoine</t>
  </si>
  <si>
    <t>Fontanarava</t>
  </si>
  <si>
    <t>marc.fontanarava@mutuelle-msp.fr</t>
  </si>
  <si>
    <t>http://www.linkedin.com/in/marc-fontanarava-78b73223a</t>
  </si>
  <si>
    <t>Torel</t>
  </si>
  <si>
    <t xml:space="preserve">COLVERT ASSURANCES</t>
  </si>
  <si>
    <t>qtorel@colvert-assurances.fr</t>
  </si>
  <si>
    <t>http://www.linkedin.com/in/quentin-torel-63032887</t>
  </si>
  <si>
    <t>colvert-assurances.fr</t>
  </si>
  <si>
    <t xml:space="preserve">assurances,rcpro,complementaire sante,prevoyance</t>
  </si>
  <si>
    <t>Zef</t>
  </si>
  <si>
    <t>Berisha</t>
  </si>
  <si>
    <t xml:space="preserve">Alba Assurances</t>
  </si>
  <si>
    <t>zef.berisha@alba-assurances.fr</t>
  </si>
  <si>
    <t>http://www.linkedin.com/in/zef-berisha-a6a934199</t>
  </si>
  <si>
    <t>alba-assurances.fr</t>
  </si>
  <si>
    <t>Soultz-Haut-Rhin</t>
  </si>
  <si>
    <t>Bataille</t>
  </si>
  <si>
    <t>CHESNEAU</t>
  </si>
  <si>
    <t>ebataille@chesneau.net</t>
  </si>
  <si>
    <t>http://www.linkedin.com/in/edouard-bataille-31369568</t>
  </si>
  <si>
    <t>http://www.chesneau.net</t>
  </si>
  <si>
    <t xml:space="preserve">8 Rue Louis Mekarski, Nantes, Pays de la Loire, France, 44000</t>
  </si>
  <si>
    <t xml:space="preserve">Courtier Nantais spécialisé en assurances d'entreprise, Chesneau accompagne les entreprises sur leurs risques d'entreprise et opère sur le territoire national.</t>
  </si>
  <si>
    <t>Huvelle</t>
  </si>
  <si>
    <t xml:space="preserve">Président de VETOPTIM Auvergne/Rhône-Alpes/Bourgogne VETOPTIM Assurance</t>
  </si>
  <si>
    <t xml:space="preserve">VETOPTIM Assurance</t>
  </si>
  <si>
    <t>gregory.h@vetoptim.com</t>
  </si>
  <si>
    <t>http://www.linkedin.com/in/gregory-huvelle-63a652106</t>
  </si>
  <si>
    <t>vetoptim.com</t>
  </si>
  <si>
    <t xml:space="preserve">assurance professionnelle veterinaire</t>
  </si>
  <si>
    <t xml:space="preserve">R. DANIEL COURTAGE</t>
  </si>
  <si>
    <t>rdaniel@rdanielcourtage.com</t>
  </si>
  <si>
    <t>http://www.linkedin.com/in/ronan-daniel-57556a92</t>
  </si>
  <si>
    <t>rdanielcourtage.fr</t>
  </si>
  <si>
    <t>Campioni</t>
  </si>
  <si>
    <t>vcampioni@altima-assurances.fr</t>
  </si>
  <si>
    <t>http://www.linkedin.com/in/val%c3%a9rie-campioni-21782a141</t>
  </si>
  <si>
    <t>Quinchard</t>
  </si>
  <si>
    <t xml:space="preserve">CEO / Founder Moonee - Groupe Athome</t>
  </si>
  <si>
    <t>Moonee</t>
  </si>
  <si>
    <t>n.quinchard@ppf-assur.fr</t>
  </si>
  <si>
    <t>http://www.linkedin.com/in/nicolas-quinchard-8a289567</t>
  </si>
  <si>
    <t>http://www.moonee.fr</t>
  </si>
  <si>
    <t xml:space="preserve">99 Rue du Moulin des Landes, Sainte-Luce-sur-Loire, Pays de la Loire, France, 44980</t>
  </si>
  <si>
    <t>Fritsch</t>
  </si>
  <si>
    <t xml:space="preserve">GMP Assistance</t>
  </si>
  <si>
    <t>rachel.fritsch@gmpassist.com</t>
  </si>
  <si>
    <t>http://www.linkedin.com/in/rachel-fritsch-078819209</t>
  </si>
  <si>
    <t>gmpassist.com</t>
  </si>
  <si>
    <t>Haguenau</t>
  </si>
  <si>
    <t>Daccess</t>
  </si>
  <si>
    <t>guy.bernard@daccess.fr</t>
  </si>
  <si>
    <t>http://www.linkedin.com/in/guy-bernard-9791a7198</t>
  </si>
  <si>
    <t>daccess.fr</t>
  </si>
  <si>
    <t>Moscadelli</t>
  </si>
  <si>
    <t xml:space="preserve">Présidente de COALA-INVEST S.a.s.</t>
  </si>
  <si>
    <t>COALA-INVEST</t>
  </si>
  <si>
    <t>cmoscadelli@coala-invest.com</t>
  </si>
  <si>
    <t>http://www.linkedin.com/in/corinnemoscadelli</t>
  </si>
  <si>
    <t xml:space="preserve">audit prevoyance,allocation dactifs,gestion de portefeuille,reduction dimpots,bilan retraite,conseil patrimonial,audit social,immobilier,remuneration du dirigeant,credit,gestion de patrimoine,assurance vie,reduction dimpot,placement epargne,placement financier,assurance</t>
  </si>
  <si>
    <t>Driscoll</t>
  </si>
  <si>
    <t xml:space="preserve">DSA Europe</t>
  </si>
  <si>
    <t>peter@dsaeurope.eu</t>
  </si>
  <si>
    <t>http://www.linkedin.com/in/peter-driscoll-47320915</t>
  </si>
  <si>
    <t>http://www.dsa-holdings.com</t>
  </si>
  <si>
    <t xml:space="preserve">Petticoat Square, London, England, United Kingdom</t>
  </si>
  <si>
    <t>Fourrier</t>
  </si>
  <si>
    <t>Hoggo</t>
  </si>
  <si>
    <t>louis@hoggo.com</t>
  </si>
  <si>
    <t>http://www.linkedin.com/in/louisfourrier</t>
  </si>
  <si>
    <t>http://www.sidecare.com</t>
  </si>
  <si>
    <t xml:space="preserve">54 Rue de Seine, Paris, Ile-de-France, France, 75006</t>
  </si>
  <si>
    <t xml:space="preserve">Montrez que vous avez de la ressource (humaine). +4000 entreprises passent déjà par SideCare pour construire et déployer leur politique Santé.</t>
  </si>
  <si>
    <t>Montane</t>
  </si>
  <si>
    <t xml:space="preserve">Conseiller en protection sociale du dirigeant  de l’entreprise et des salariés</t>
  </si>
  <si>
    <t>ASSELIO</t>
  </si>
  <si>
    <t>pierre@asselio.com</t>
  </si>
  <si>
    <t>http://www.linkedin.com/in/pierre-montane-395552150</t>
  </si>
  <si>
    <t>asselio.com</t>
  </si>
  <si>
    <t xml:space="preserve">assurance prevoyance,courtier en assurances,protection sociale,assurance tns,per,assurance collectives,ifc,assurance entreprises,flottes automobiles,assurance retraite,gestion de patrimoine,assurance sante,assurance internationale,contrats groupes</t>
  </si>
  <si>
    <t xml:space="preserve">Horizon Consultant</t>
  </si>
  <si>
    <t>nicolas@horizonconsultant.fr</t>
  </si>
  <si>
    <t>http://www.linkedin.com/in/nicolas-jacob-74935383</t>
  </si>
  <si>
    <t>horizonconsultant.fr</t>
  </si>
  <si>
    <t>Solmondo</t>
  </si>
  <si>
    <t>france@solmondo.net</t>
  </si>
  <si>
    <t>http://www.linkedin.com/in/france-arnaud-de-taddeo-solmondo-a260968</t>
  </si>
  <si>
    <t>http://www.solmondo.net</t>
  </si>
  <si>
    <t xml:space="preserve">21 Rue du Cherche-Midi, Paris, Ile-de-France, France, 75006</t>
  </si>
  <si>
    <t xml:space="preserve">Courtier d’assurances européen indépendant activateur de concurrence et créateur d’opportunités</t>
  </si>
  <si>
    <t xml:space="preserve">Fondateur Pauly-Medical.com</t>
  </si>
  <si>
    <t>Pauly-Medical.com</t>
  </si>
  <si>
    <t>maxime@pauly-medical.com</t>
  </si>
  <si>
    <t>http://www.linkedin.com/in/maxime-huon</t>
  </si>
  <si>
    <t>pauly-medical.com</t>
  </si>
  <si>
    <t>Nold</t>
  </si>
  <si>
    <t xml:space="preserve">Co fondateur et Président de Lilycare.fr - Protection Sociale en ligne</t>
  </si>
  <si>
    <t>Lilycare</t>
  </si>
  <si>
    <t>yannick@lilycare.fr</t>
  </si>
  <si>
    <t>http://www.linkedin.com/in/yannick-nold-360a755a</t>
  </si>
  <si>
    <t>lilycare.fr</t>
  </si>
  <si>
    <t xml:space="preserve">assurance sante &amp; assurance prevoyance</t>
  </si>
  <si>
    <t xml:space="preserve">GROUPE ASCOLLI</t>
  </si>
  <si>
    <t>ir@groupeascolli.com</t>
  </si>
  <si>
    <t>http://www.linkedin.com/in/isabelle-rousseau-3b205468</t>
  </si>
  <si>
    <t>groupeascolli.com</t>
  </si>
  <si>
    <t>Wargny</t>
  </si>
  <si>
    <t xml:space="preserve">WARGNY ASSURANCES</t>
  </si>
  <si>
    <t>qwargny@wargnyassurances.com</t>
  </si>
  <si>
    <t>http://www.linkedin.com/in/quentin-wargny-92b5731a</t>
  </si>
  <si>
    <t>wargnyassurances.com</t>
  </si>
  <si>
    <t>Brusson</t>
  </si>
  <si>
    <t xml:space="preserve">ARES GROUPE</t>
  </si>
  <si>
    <t>adrien@aresgroupe-assurances.com</t>
  </si>
  <si>
    <t>http://www.linkedin.com/in/adrienbrusson</t>
  </si>
  <si>
    <t>aresgroupe-assurances.com</t>
  </si>
  <si>
    <t>Mengxue</t>
  </si>
  <si>
    <t>Zou</t>
  </si>
  <si>
    <t>SINOCREDIT</t>
  </si>
  <si>
    <t>mengxue.zou@sinocredit.fr</t>
  </si>
  <si>
    <t>http://www.linkedin.com/in/mengxue-zou-credit-insurance</t>
  </si>
  <si>
    <t>sinocredit.fr</t>
  </si>
  <si>
    <t xml:space="preserve">affacturage,assurance credit,courtier</t>
  </si>
  <si>
    <t>Vancostenoble</t>
  </si>
  <si>
    <t xml:space="preserve">UTWIN Assurances</t>
  </si>
  <si>
    <t>mvancostenoble@utwin.fr</t>
  </si>
  <si>
    <t>http://www.linkedin.com/in/martin-vancostenoble-6157258</t>
  </si>
  <si>
    <t>http://www.utwin.fr</t>
  </si>
  <si>
    <t xml:space="preserve">2 Quai du Commerce, Lyon, Auvergne-Rhone-Alpes, France, 69009</t>
  </si>
  <si>
    <t xml:space="preserve">L'assurance 100% digitale 200% humaine. L'assurance Emprunteur et la mutuelle Santé. Effectuez un devis et économisez en quelques clics !</t>
  </si>
  <si>
    <t>stephane.lecomte@ofracar.fr</t>
  </si>
  <si>
    <t>http://www.linkedin.com/in/st%c3%a9phane-lecomte-7473b8124</t>
  </si>
  <si>
    <t>http://www.ofracar.fr</t>
  </si>
  <si>
    <t xml:space="preserve">3 Rue Georges Charpak, Mont-Saint-Aignan, Upper Normandy, France, 76130</t>
  </si>
  <si>
    <t>gburel@weather2c.com</t>
  </si>
  <si>
    <t>http://www.linkedin.com/in/guillaume-burel-1178bb47</t>
  </si>
  <si>
    <t xml:space="preserve">Granier Assurances</t>
  </si>
  <si>
    <t>sgranier@granierassurances.fr</t>
  </si>
  <si>
    <t>http://www.linkedin.com/in/st%c3%a9phane-granier-98b385121</t>
  </si>
  <si>
    <t>granierassurances.fr</t>
  </si>
  <si>
    <t xml:space="preserve">risque industriels,risques d39entreprises,flotte automobile,bureaux detudes,cartographie des risques,risk management,assurance transport,assurance construction,location courte duree,concessions automobiles,risques dentreprises,assurance de personnes,dommages ouvrages,bureaux d39etudes</t>
  </si>
  <si>
    <t>Barbereau</t>
  </si>
  <si>
    <t xml:space="preserve">Dirigeant chez Capelys Immobilier - Groupe Lafond &amp; Roullet</t>
  </si>
  <si>
    <t xml:space="preserve">Lafond &amp; Roullet Group</t>
  </si>
  <si>
    <t>r.barbereau@groupe-lafondroullet.com</t>
  </si>
  <si>
    <t>http://www.linkedin.com/in/robin-barbereau-49b2bb124</t>
  </si>
  <si>
    <t>groupe-lafondroullet.com</t>
  </si>
  <si>
    <t xml:space="preserve">MC PARTENAIRES</t>
  </si>
  <si>
    <t>m.clement@mcpartenaires.com</t>
  </si>
  <si>
    <t>http://www.linkedin.com/in/matthias-clement-80485841</t>
  </si>
  <si>
    <t>mcpartenaires.com</t>
  </si>
  <si>
    <t>Bessan</t>
  </si>
  <si>
    <t xml:space="preserve">Groupe Bac</t>
  </si>
  <si>
    <t>laurent.bessan@groupebac.com</t>
  </si>
  <si>
    <t>http://www.linkedin.com/in/laurent-bessan-00212430</t>
  </si>
  <si>
    <t>groupebac.com</t>
  </si>
  <si>
    <t xml:space="preserve">optimisation fiscale,investissements immobiliers,ingenierie patrimoniale,assurances des biens et des personnes</t>
  </si>
  <si>
    <t>Piriou</t>
  </si>
  <si>
    <t xml:space="preserve">Inizys mutuelle</t>
  </si>
  <si>
    <t>mpiriou@inizys-mutuelle.fr</t>
  </si>
  <si>
    <t>http://www.linkedin.com/in/michel-piriou-88777712b</t>
  </si>
  <si>
    <t>inizys-mutuelle.fr</t>
  </si>
  <si>
    <t xml:space="preserve">complementaire sante,assurance plaisance,assurance navires professionnels</t>
  </si>
  <si>
    <t>Dreno</t>
  </si>
  <si>
    <t>risk'omnium</t>
  </si>
  <si>
    <t>philippe.dreno@riskomnium.fr</t>
  </si>
  <si>
    <t>http://www.linkedin.com/in/philippe-dreno-55b205194</t>
  </si>
  <si>
    <t>riskomnium.fr</t>
  </si>
  <si>
    <t>Loued</t>
  </si>
  <si>
    <t xml:space="preserve">Co-founder | Data &amp; Technology</t>
  </si>
  <si>
    <t>selim.loued@tendanz.com</t>
  </si>
  <si>
    <t>http://www.linkedin.com/in/selim-loued-69a009100</t>
  </si>
  <si>
    <t>Sauvee</t>
  </si>
  <si>
    <t>Jaji</t>
  </si>
  <si>
    <t>quentin.sauvee@jaji.fr</t>
  </si>
  <si>
    <t>http://www.linkedin.com/in/quentin-sauvee-8a359542</t>
  </si>
  <si>
    <t>http://www.jaji.fr</t>
  </si>
  <si>
    <t xml:space="preserve">6 Boulevard Montmartre, Paris, Ile-de-France, France, 75009</t>
  </si>
  <si>
    <t xml:space="preserve">Prenez soin de vos équipes et de leurs proches avec une mutuelle de votre temps. Découvrez les offres Jaji, adaptées aux TPE et PME.</t>
  </si>
  <si>
    <t>Chancy</t>
  </si>
  <si>
    <t>eric.chancy@kerialis.fr</t>
  </si>
  <si>
    <t>http://www.linkedin.com/in/eric-chancy-427538182</t>
  </si>
  <si>
    <t xml:space="preserve">La Médecine Libre</t>
  </si>
  <si>
    <t>renaud.pellet@lamedecinelibre.com</t>
  </si>
  <si>
    <t>http://www.linkedin.com/in/renaud-pellet-028702b</t>
  </si>
  <si>
    <t>lamedecinelibre.com</t>
  </si>
  <si>
    <t xml:space="preserve">epargne retraite,assurance sante,complementaire sante,assurance dentreprise,assurance a la personne,prevoyance,mutuelles,mutuelles individuelles,assurance emprunteur,mutuelles collectives</t>
  </si>
  <si>
    <t>Daoudi</t>
  </si>
  <si>
    <t>LAYEL</t>
  </si>
  <si>
    <t>samuel.daoudi@layel.fr</t>
  </si>
  <si>
    <t>http://www.linkedin.com/in/samuel-daoudi-0b2130209</t>
  </si>
  <si>
    <t>layel.fr</t>
  </si>
  <si>
    <t xml:space="preserve">gestion depargne,assurance vie,mutuelle,rentabilite,assurance,plan depargne retraite,conseil,suivi,optimisation,prevoyance sante,confiance,performance,securite</t>
  </si>
  <si>
    <t>Rouer</t>
  </si>
  <si>
    <t xml:space="preserve">BCR FINANCES</t>
  </si>
  <si>
    <t>arnaud.rouer@bcrfinances.com</t>
  </si>
  <si>
    <t>http://www.linkedin.com/in/arnaud-rouer-22a9a454</t>
  </si>
  <si>
    <t>bcrfinances.com</t>
  </si>
  <si>
    <t xml:space="preserve">conseil,conseil en gestion de patrimoine,assurance vie</t>
  </si>
  <si>
    <t>Andriessen</t>
  </si>
  <si>
    <t xml:space="preserve">Marketing- en eventmanager at Andriessen Expertise &amp; Founder and owner</t>
  </si>
  <si>
    <t xml:space="preserve">Andriessen Expertise B.V</t>
  </si>
  <si>
    <t>i.andriessen@andriessenexpertise.nl</t>
  </si>
  <si>
    <t>http://www.linkedin.com/in/isabelle-andriessen-45551459</t>
  </si>
  <si>
    <t>http://www.andriessenexpertise.nl</t>
  </si>
  <si>
    <t xml:space="preserve">37 Beursplein, Rotterdam, South Holland, Netherlands, 3011 AA</t>
  </si>
  <si>
    <t xml:space="preserve">Over Andriessen Expertise</t>
  </si>
  <si>
    <t>Brument</t>
  </si>
  <si>
    <t xml:space="preserve">Fondateur groupement Les Associés</t>
  </si>
  <si>
    <t xml:space="preserve">Les Associés</t>
  </si>
  <si>
    <t>julien.brument@les-associes.fr</t>
  </si>
  <si>
    <t>http://www.linkedin.com/in/julien-brument-50668417a</t>
  </si>
  <si>
    <t>les-associes.fr</t>
  </si>
  <si>
    <t xml:space="preserve">gestion de patrimoine,accompagnement,formation,protection sociale,placements financiers,reseau,groupement,assurances,synergie</t>
  </si>
  <si>
    <t>Depain</t>
  </si>
  <si>
    <t xml:space="preserve">Fondatrice et Dirigeante  Courtier en Assurance de Personnes et Dommages</t>
  </si>
  <si>
    <t xml:space="preserve">Pyrenées Assur</t>
  </si>
  <si>
    <t>cecile@pyreneesassur.fr</t>
  </si>
  <si>
    <t>http://www.linkedin.com/in/c%c3%a9cile-depain</t>
  </si>
  <si>
    <t>pyreneesassur.fr</t>
  </si>
  <si>
    <t xml:space="preserve">deces vie entiere,protection juridique,assurance,auto moto bateau,voyage,rc pro,bris de materiel,collection privee,garantie accident de la vie,multirisques,emprunteur,prevoyance,sante,retraite</t>
  </si>
  <si>
    <t>Guiet</t>
  </si>
  <si>
    <t xml:space="preserve">Associée Fondatrice - Responsable Technique</t>
  </si>
  <si>
    <t>christelle.guiet@caprele.fr</t>
  </si>
  <si>
    <t>http://www.linkedin.com/in/christelle-guiet-2166381bb</t>
  </si>
  <si>
    <t>Silvia</t>
  </si>
  <si>
    <t>Autran</t>
  </si>
  <si>
    <t>MASFIP</t>
  </si>
  <si>
    <t>silvia.autran@masfip.fr</t>
  </si>
  <si>
    <t>http://www.linkedin.com/in/silvia-autran-526259319</t>
  </si>
  <si>
    <t>masfip.fr</t>
  </si>
  <si>
    <t>Sollies-Pont</t>
  </si>
  <si>
    <t xml:space="preserve">conseil,accompagnement,mutuelle de type l3,action sociale</t>
  </si>
  <si>
    <t>Freddy</t>
  </si>
  <si>
    <t>Wacheux</t>
  </si>
  <si>
    <t xml:space="preserve">Synefeia! L'assurance de bien vous porter</t>
  </si>
  <si>
    <t>freddy.wacheux@synefeia.com</t>
  </si>
  <si>
    <t>http://www.linkedin.com/in/freddywacheux</t>
  </si>
  <si>
    <t>synefeia.com</t>
  </si>
  <si>
    <t xml:space="preserve">assurances,sante connectee,sport sante,nutrition,medecines douces</t>
  </si>
  <si>
    <t>Rossin</t>
  </si>
  <si>
    <t>anna@hoggo.com</t>
  </si>
  <si>
    <t>http://www.linkedin.com/in/anna-rossin-4319a81b</t>
  </si>
  <si>
    <t xml:space="preserve">Directeur général adjoint du groupe Partech services pour le Groupe Belfor</t>
  </si>
  <si>
    <t xml:space="preserve">Partech Services</t>
  </si>
  <si>
    <t>m.michaud@partech-services.fr</t>
  </si>
  <si>
    <t>http://www.linkedin.com/in/maxime-michaud-a14a9498</t>
  </si>
  <si>
    <t>partech-services.fr</t>
  </si>
  <si>
    <t>Autiquet</t>
  </si>
  <si>
    <t>MOCF</t>
  </si>
  <si>
    <t>francoise.autiquet@mocf.fr</t>
  </si>
  <si>
    <t>http://www.linkedin.com/in/fran%c3%a7oise-autiquet-51b0a6107</t>
  </si>
  <si>
    <t>mocf.fr</t>
  </si>
  <si>
    <t>Calvin</t>
  </si>
  <si>
    <t>Riffault</t>
  </si>
  <si>
    <t xml:space="preserve">CP SOLUTIONS</t>
  </si>
  <si>
    <t>riffault.calvin@cpsolutions77.com</t>
  </si>
  <si>
    <t>http://www.linkedin.com/in/calvin-riffault-%f0%9f%9f%a0%f0%9f%94%b5-5b8872156</t>
  </si>
  <si>
    <t>cpsolutions77.com</t>
  </si>
  <si>
    <t>Montereau</t>
  </si>
  <si>
    <t>Bernoussi</t>
  </si>
  <si>
    <t>VITASSURANCE</t>
  </si>
  <si>
    <t>bbernoussi@vitassurance.fr</t>
  </si>
  <si>
    <t>http://www.linkedin.com/in/brahim-bernoussi-826ba9318</t>
  </si>
  <si>
    <t>vitassurance.fr</t>
  </si>
  <si>
    <t xml:space="preserve">courtage dassurances</t>
  </si>
  <si>
    <t>Tardieu</t>
  </si>
  <si>
    <t>cecile.tardieu@soluciapj.fr</t>
  </si>
  <si>
    <t>http://www.linkedin.com/in/c%c3%a9cile-tardieu-b30b6010</t>
  </si>
  <si>
    <t>Billiet</t>
  </si>
  <si>
    <t>MCA</t>
  </si>
  <si>
    <t>billieteric@mc-alsace.fr</t>
  </si>
  <si>
    <t>http://www.linkedin.com/in/%c3%a9ric-billiet-b594b3133</t>
  </si>
  <si>
    <t>mc-alsace.fr</t>
  </si>
  <si>
    <t>famille,retraite,assuranceviequotidienne,sante,prevoyance,complementaire,mutuelle</t>
  </si>
  <si>
    <t xml:space="preserve">Président   Fondateur</t>
  </si>
  <si>
    <t>christophe.rigaud@vetoptim.com</t>
  </si>
  <si>
    <t>http://www.linkedin.com/in/christophe-rigaud-67b8b9103</t>
  </si>
  <si>
    <t>Vidou</t>
  </si>
  <si>
    <t xml:space="preserve">Fondateur associé - spécialiste en protection sociale collective</t>
  </si>
  <si>
    <t>jeanphilippe@agasco.fr</t>
  </si>
  <si>
    <t>http://www.linkedin.com/in/jean-philippe-vidou-06161313</t>
  </si>
  <si>
    <t>Camilleri</t>
  </si>
  <si>
    <t>florian.camilleri@mutami.fr</t>
  </si>
  <si>
    <t>http://www.linkedin.com/in/florian-camilleri-78868879</t>
  </si>
  <si>
    <t>http://www.mutuelle-mutami.fr</t>
  </si>
  <si>
    <t xml:space="preserve">70 Boulevard Matabiau, Toulouse, Occitanie, France, 31000</t>
  </si>
  <si>
    <t xml:space="preserve">Mutuelle Mutami, la complémentaire santé engagée et solidaire. Formules santé &amp; prévoyance adaptées à votre situation.</t>
  </si>
  <si>
    <t>Brette</t>
  </si>
  <si>
    <t xml:space="preserve">ANOV  Courtage</t>
  </si>
  <si>
    <t>jbrette@anovcourtage.com</t>
  </si>
  <si>
    <t>http://www.linkedin.com/in/jerome-brette-b2400279</t>
  </si>
  <si>
    <t>anovcourtage.com</t>
  </si>
  <si>
    <t xml:space="preserve">start up,entreprise innovante,securite,courtage dassurance,prevention,courtage d39assurance</t>
  </si>
  <si>
    <t>Jaussein</t>
  </si>
  <si>
    <t xml:space="preserve">GROUPE JAUSSEIN // JAUSSEIN EXPERTISE</t>
  </si>
  <si>
    <t>s.jaussein@jaussein-expertise.fr</t>
  </si>
  <si>
    <t>http://www.linkedin.com/in/s%c3%a9bastien-jaussein</t>
  </si>
  <si>
    <t>jaussein-expertise.fr</t>
  </si>
  <si>
    <t xml:space="preserve">membre du bureau de la federation des experts dassure</t>
  </si>
  <si>
    <t>Betoux</t>
  </si>
  <si>
    <t xml:space="preserve">Président &amp; Associé</t>
  </si>
  <si>
    <t xml:space="preserve">BETOUX REINBOLD Conseils</t>
  </si>
  <si>
    <t>stanislas.betoux@br-conseils.fr</t>
  </si>
  <si>
    <t>http://www.linkedin.com/in/stanislasbetoux</t>
  </si>
  <si>
    <t>br-conseils.com</t>
  </si>
  <si>
    <t xml:space="preserve">retraite,investissement,assurances,financement,epargne,placement,credit immobilier</t>
  </si>
  <si>
    <t>Hochard</t>
  </si>
  <si>
    <t>pascal.hochard@uniprevoyance.fr</t>
  </si>
  <si>
    <t>http://www.linkedin.com/in/pascal-hochard-4a016519</t>
  </si>
  <si>
    <t>Kleiber</t>
  </si>
  <si>
    <t xml:space="preserve">Associé - Directeur Général - Expert en Conseil Patrimonial (AUREP)</t>
  </si>
  <si>
    <t xml:space="preserve">Tolède Groupe &amp; Associés</t>
  </si>
  <si>
    <t>stephane.kleiber@tolede-groupe.com</t>
  </si>
  <si>
    <t>http://www.linkedin.com/in/stephane-kleiber-277a0288</t>
  </si>
  <si>
    <t>tolede-groupe.com</t>
  </si>
  <si>
    <t>Royan</t>
  </si>
  <si>
    <t xml:space="preserve">tolede mobilhome,tolede hpa assurance campings,tolede prestige assurance vehicules haut de gamme,tolede patrimoine conseil strategique en investissement,tolede annulation,tolede campingcar,tolede zoo assurance zoos parcs,tolede zoo assurance zoos amp parcs</t>
  </si>
  <si>
    <t>Angelvin-Bonnetty</t>
  </si>
  <si>
    <t xml:space="preserve">ARC Assurances</t>
  </si>
  <si>
    <t>dangelvin@arcassurances.fr</t>
  </si>
  <si>
    <t>http://www.linkedin.com/in/david-angelvin-bonnetty-31510a19</t>
  </si>
  <si>
    <t>arcassurances.fr</t>
  </si>
  <si>
    <t xml:space="preserve">assurances des etablissements de sante et medicosociaux,assurances des transporteurs,gestion des risques,assurances destransporteurs,assurances de biens et de responsabilite,assurances des risques industriels,assurance flotte automobile,conseil,assurances des entreprises du btp</t>
  </si>
  <si>
    <t>Blanchet</t>
  </si>
  <si>
    <t xml:space="preserve">GLOBALE ASSURE</t>
  </si>
  <si>
    <t>philippe.blanchet@globaleassure.fr</t>
  </si>
  <si>
    <t>http://www.linkedin.com/in/philippe-blanchet-4338841a</t>
  </si>
  <si>
    <t>globaleassure.fr</t>
  </si>
  <si>
    <t>Saint-Cyr-sur-Loire</t>
  </si>
  <si>
    <t>assurance</t>
  </si>
  <si>
    <t>f.bourgeois@groupecfb.com</t>
  </si>
  <si>
    <t>http://www.linkedin.com/in/fran%c3%a7ois-bourgeois-9b4122a8</t>
  </si>
  <si>
    <t>Boulazac</t>
  </si>
  <si>
    <t xml:space="preserve">Co-Fondatrice - Risques Financiers / Private Equity &amp; Asset Management / Growth Companies</t>
  </si>
  <si>
    <t xml:space="preserve">Initiative &amp; Risk Partners</t>
  </si>
  <si>
    <t>p.wang@initiative-risk.com</t>
  </si>
  <si>
    <t>http://www.linkedin.com/in/perrinewang</t>
  </si>
  <si>
    <t>initiative-risk.com</t>
  </si>
  <si>
    <t>Devise</t>
  </si>
  <si>
    <t>PERMUTUAL</t>
  </si>
  <si>
    <t>bernard.devise@permutual.fr</t>
  </si>
  <si>
    <t>http://www.linkedin.com/in/bernard-devise-611226217</t>
  </si>
  <si>
    <t>permutual.fr</t>
  </si>
  <si>
    <t>Berck</t>
  </si>
  <si>
    <t>iard,assurances,prevoyance,obseques</t>
  </si>
  <si>
    <t xml:space="preserve">Directeur Helmett / Président GeneraliSports</t>
  </si>
  <si>
    <t>Helmett</t>
  </si>
  <si>
    <t>gdebarbeyrac@helmett-assurances.com</t>
  </si>
  <si>
    <t>http://www.linkedin.com/in/geoffrey-de-barbeyrac</t>
  </si>
  <si>
    <t>helmett-assurances.com</t>
  </si>
  <si>
    <t>Chiche</t>
  </si>
  <si>
    <t xml:space="preserve">Président de Territoria Mutuelle</t>
  </si>
  <si>
    <t>r-chiche@territoria-mutuelle.fr</t>
  </si>
  <si>
    <t>http://www.linkedin.com/in/robert-chiche-09b87616b</t>
  </si>
  <si>
    <t>territoria-mutuelle.fr</t>
  </si>
  <si>
    <t>Pion</t>
  </si>
  <si>
    <t xml:space="preserve">Fondatrice et présidente</t>
  </si>
  <si>
    <t>KPIAM</t>
  </si>
  <si>
    <t>sandra.pion@kpiam.com</t>
  </si>
  <si>
    <t>http://www.linkedin.com/in/sandra-pion</t>
  </si>
  <si>
    <t>kpiam.com</t>
  </si>
  <si>
    <t xml:space="preserve">assurances,psan,formation,lcbft,banques,insurtech,gestion des risques,directive des services de paiement,controle interne,fintech,conformite reglementaire,securite financiere,mica</t>
  </si>
  <si>
    <t>Bensoussan</t>
  </si>
  <si>
    <t>Affiniteam</t>
  </si>
  <si>
    <t>thierry.bensoussan@affiniteam.fr</t>
  </si>
  <si>
    <t>http://www.linkedin.com/in/thierry-bensoussan-6663509</t>
  </si>
  <si>
    <t>affiniteam.fr</t>
  </si>
  <si>
    <t xml:space="preserve">conso collaborative,distribution,startup,assurance,ecommerce,cost killing,objet connecte,inovation,affinitaire</t>
  </si>
  <si>
    <t>Biale</t>
  </si>
  <si>
    <t xml:space="preserve">Directeur Général UMGP-SMEREP</t>
  </si>
  <si>
    <t>bbiale@heyme.care</t>
  </si>
  <si>
    <t>http://www.linkedin.com/in/benjamin-biale-57819ab8</t>
  </si>
  <si>
    <t>Flahaut</t>
  </si>
  <si>
    <t xml:space="preserve">OPTIMA VALEURS</t>
  </si>
  <si>
    <t>sflahaut@optimavaleurs.com</t>
  </si>
  <si>
    <t>http://www.linkedin.com/in/sylvain-flahaut-00555a12</t>
  </si>
  <si>
    <t>optimavaleurs.com</t>
  </si>
  <si>
    <t xml:space="preserve">gestion de patrimoine,fiscalite,credits,assurances,immobilier,placements financiers</t>
  </si>
  <si>
    <t>Elhadad</t>
  </si>
  <si>
    <t>isabelle.e@firidis.fr</t>
  </si>
  <si>
    <t>http://www.linkedin.com/in/isabelle-elhadad-356470104</t>
  </si>
  <si>
    <t>firidis.fr</t>
  </si>
  <si>
    <t>p.closse@svi-assurances.com</t>
  </si>
  <si>
    <t>http://www.linkedin.com/in/pascal-closse-svi-assurances</t>
  </si>
  <si>
    <t>svi-assurances.com</t>
  </si>
  <si>
    <t>L'heveder</t>
  </si>
  <si>
    <t xml:space="preserve">Directrice Scientifique &amp; Cofondatrice</t>
  </si>
  <si>
    <t>blandine.lheveder@riskweathertech.com</t>
  </si>
  <si>
    <t>http://www.linkedin.com/in/blandine-l-heveder-493171a9</t>
  </si>
  <si>
    <t>riskweathertech.com</t>
  </si>
  <si>
    <t>Fievet</t>
  </si>
  <si>
    <t xml:space="preserve">Président Directeur Général &amp; Fondateur</t>
  </si>
  <si>
    <t xml:space="preserve">FIAP Courtage</t>
  </si>
  <si>
    <t>jfievet@fiap-courtage.fr</t>
  </si>
  <si>
    <t>http://www.linkedin.com/in/julien-fievet-20a86115a</t>
  </si>
  <si>
    <t>fiap-courtage.fr</t>
  </si>
  <si>
    <t xml:space="preserve">regroupement de credit,courtage en assurances,courtage en financement,defiscalisation,gestion de patrimoine,assurance de pret</t>
  </si>
  <si>
    <t>Loubatie</t>
  </si>
  <si>
    <t xml:space="preserve">Président ALEXO</t>
  </si>
  <si>
    <t>christophe@alexo.fr</t>
  </si>
  <si>
    <t>http://www.linkedin.com/in/christopheloubatie</t>
  </si>
  <si>
    <t>alexo.fr</t>
  </si>
  <si>
    <t>Villeneuve-sur-Lot</t>
  </si>
  <si>
    <t>Ladagnous</t>
  </si>
  <si>
    <t xml:space="preserve">INSURED Services</t>
  </si>
  <si>
    <t>christophe.ladagnous@insured.fr</t>
  </si>
  <si>
    <t>http://www.linkedin.com/in/christophe-ladagnous-87a79417</t>
  </si>
  <si>
    <t>insured.fr</t>
  </si>
  <si>
    <t xml:space="preserve">insurtech,contrat de groupement,runoff,contrat particulier,gestion des sinistres et du recouvrement,gestion des contrats,assurance des risques immobiliers</t>
  </si>
  <si>
    <t>guillaume.l@certificall.app</t>
  </si>
  <si>
    <t>http://www.linkedin.com/in/guillaume-laurent-07083657</t>
  </si>
  <si>
    <t>Bargallo</t>
  </si>
  <si>
    <t xml:space="preserve">Courtier expert Protection Sociale et gestion de patrimoine a destination du dirigeant</t>
  </si>
  <si>
    <t xml:space="preserve">Action Courtage</t>
  </si>
  <si>
    <t>rbargallo@actioncourtage.fr</t>
  </si>
  <si>
    <t>http://www.linkedin.com/in/raymond-bargallo-169a1a57</t>
  </si>
  <si>
    <t>actioncourtage.fr</t>
  </si>
  <si>
    <t xml:space="preserve">assurance de pret,marches financiers,patrimoine,immobilier,assurance vie,retraite,credit,prevoyance,conseil,investissement,mutuelle</t>
  </si>
  <si>
    <t>Melisson</t>
  </si>
  <si>
    <t>MELIASSUR</t>
  </si>
  <si>
    <t>olivier@meliassur.com</t>
  </si>
  <si>
    <t>http://www.linkedin.com/in/olivier-m%c3%a9lisson-36281325</t>
  </si>
  <si>
    <t>Brayane</t>
  </si>
  <si>
    <t>Previavie</t>
  </si>
  <si>
    <t>brayane.cohen@previavie.com</t>
  </si>
  <si>
    <t>http://www.linkedin.com/in/brayane-cohen-248288179</t>
  </si>
  <si>
    <t>previavie.com</t>
  </si>
  <si>
    <t>sante,retraite,cyber,prevoyance,epargne</t>
  </si>
  <si>
    <t>Decaudin</t>
  </si>
  <si>
    <t>pdecaudin@yeet-assurances.com</t>
  </si>
  <si>
    <t>http://www.linkedin.com/in/philippe-decaudin-800a5634</t>
  </si>
  <si>
    <t>Nasello</t>
  </si>
  <si>
    <t>ALMUTRA</t>
  </si>
  <si>
    <t>mario.nasello@almutra.fr</t>
  </si>
  <si>
    <t>http://www.linkedin.com/in/mario-nasello-027961125</t>
  </si>
  <si>
    <t>almutra.fr</t>
  </si>
  <si>
    <t>Paland</t>
  </si>
  <si>
    <t xml:space="preserve">SIPAC EUROPEENNE D'ASSURANCE</t>
  </si>
  <si>
    <t>epaland@sipac.fr</t>
  </si>
  <si>
    <t>http://www.linkedin.com/in/emeric-paland-22711b93</t>
  </si>
  <si>
    <t>sipac.fr</t>
  </si>
  <si>
    <t xml:space="preserve">iard,sante et retraite,construction,entreprises et industries,communication et evenementiel,entreprises,prevoyance,services,immobilier,entreprises professionnels,flotte et transport,distrbution et logistique,prevoyance collective</t>
  </si>
  <si>
    <t>Degrey</t>
  </si>
  <si>
    <t xml:space="preserve">Gérant - Fondateur</t>
  </si>
  <si>
    <t>CEPA</t>
  </si>
  <si>
    <t>rdegrey@cepa-expertises.com</t>
  </si>
  <si>
    <t>http://www.linkedin.com/in/r%c3%a9gis-degrey-874778b5</t>
  </si>
  <si>
    <t>cepa-expertises.com</t>
  </si>
  <si>
    <t xml:space="preserve">assurance,expertise en juste valeur,rapprochement comptable,expertise apres sinistre,expertise en valeur venale,expertise prealable assurance</t>
  </si>
  <si>
    <t>Sahakian</t>
  </si>
  <si>
    <t xml:space="preserve">INITIAL CC</t>
  </si>
  <si>
    <t>jacques.sahakian@initialcc.fr</t>
  </si>
  <si>
    <t>http://www.linkedin.com/in/jacques-sahakian-812605bb</t>
  </si>
  <si>
    <t>initialcc.fr</t>
  </si>
  <si>
    <t>ARKOL</t>
  </si>
  <si>
    <t>o.barral@arkol.fr</t>
  </si>
  <si>
    <t>http://www.linkedin.com/in/olivier-barral-92465461</t>
  </si>
  <si>
    <t>arkol.fr</t>
  </si>
  <si>
    <t>Liduena</t>
  </si>
  <si>
    <t xml:space="preserve">Assurances Vélo</t>
  </si>
  <si>
    <t>pierre@assurancesvelo.com</t>
  </si>
  <si>
    <t>http://www.linkedin.com/in/pierre-liduena-45662368</t>
  </si>
  <si>
    <t>assurancesvelo.com</t>
  </si>
  <si>
    <t>AXSTON</t>
  </si>
  <si>
    <t>pierre.ricard@axston.fr</t>
  </si>
  <si>
    <t>http://www.linkedin.com/in/pierre-ricard-365a7488</t>
  </si>
  <si>
    <t>axston.fr</t>
  </si>
  <si>
    <t xml:space="preserve">CTO &amp; Co-founder @TalentSafe</t>
  </si>
  <si>
    <t>TalentSafe</t>
  </si>
  <si>
    <t>mathieu@talentsafe.eu</t>
  </si>
  <si>
    <t>http://www.linkedin.com/in/mathieulemaire</t>
  </si>
  <si>
    <t>http://www.talentsafe.eu</t>
  </si>
  <si>
    <t xml:space="preserve">42 Rue Tourneloup, Macon, Bourgogne-Franche-Comte, France, 71000</t>
  </si>
  <si>
    <t>Fotinou</t>
  </si>
  <si>
    <t xml:space="preserve">GROUPE SPAF</t>
  </si>
  <si>
    <t>pfotinou@spaf.fr</t>
  </si>
  <si>
    <t>http://www.linkedin.com/in/patrick-fotinou-978aa034</t>
  </si>
  <si>
    <t>spaf.fr</t>
  </si>
  <si>
    <t>Gutierrez</t>
  </si>
  <si>
    <t>agutierrez@elexia.fr</t>
  </si>
  <si>
    <t>http://www.linkedin.com/in/ang%c3%a9lique-gutierrez-709873151</t>
  </si>
  <si>
    <t>elexia.fr</t>
  </si>
  <si>
    <t>Pondemer</t>
  </si>
  <si>
    <t>AXEFIA</t>
  </si>
  <si>
    <t>olivier.pondemer@axefia.fr</t>
  </si>
  <si>
    <t>http://www.linkedin.com/in/olivier-pondemer-9667008a</t>
  </si>
  <si>
    <t>axefia.fr</t>
  </si>
  <si>
    <t xml:space="preserve">assurancecredit,renseignement financier,creditmanagement,caution legale et de marche,affacturage</t>
  </si>
  <si>
    <t>Elkaim</t>
  </si>
  <si>
    <t>mickael@yonivers.com</t>
  </si>
  <si>
    <t>http://www.linkedin.com/in/mickael-elkaim-92513b19a</t>
  </si>
  <si>
    <t xml:space="preserve">P-DG Fondateur</t>
  </si>
  <si>
    <t>mvra</t>
  </si>
  <si>
    <t>bmichel@mvra.fr</t>
  </si>
  <si>
    <t>http://www.linkedin.com/in/mvra</t>
  </si>
  <si>
    <t>mvra.fr</t>
  </si>
  <si>
    <t xml:space="preserve">cyberrisques,assurance de l39immobilier et de la construction,emprunteurs,entreprises en difficultes financieres et restructuration,procedures collectives,assurance de personnes,societes en difficulte,risques des entreprises et des professionnels,assurance de limmobilier et de la construction,assurance entreprises industrielles,entreprises de limmobilier,de la construction,savoirfaire specifique risques industriels,transporteurs,risk management</t>
  </si>
  <si>
    <t>Cauchy</t>
  </si>
  <si>
    <t xml:space="preserve">CABINET ARCHIMEDE</t>
  </si>
  <si>
    <t>benjamin.cauchy@cabinet-archimede.com</t>
  </si>
  <si>
    <t>http://www.linkedin.com/in/benjamin-cauchy</t>
  </si>
  <si>
    <t>cabinet-archimede.com</t>
  </si>
  <si>
    <t>Chappaz</t>
  </si>
  <si>
    <t xml:space="preserve">CEO - Directeur General</t>
  </si>
  <si>
    <t xml:space="preserve">Cooper Gay</t>
  </si>
  <si>
    <t>fchappaz@coopergay.fr</t>
  </si>
  <si>
    <t>http://www.linkedin.com/in/frederic-chappaz-666b3b17a</t>
  </si>
  <si>
    <t>http://www.coopergay.eu</t>
  </si>
  <si>
    <t xml:space="preserve">71 Avenue des Champs-Elysees, Paris, Ile-de-France, France, 75008</t>
  </si>
  <si>
    <t>Lechesne</t>
  </si>
  <si>
    <t>XXAMEN</t>
  </si>
  <si>
    <t>slechesne@xxamen.fr</t>
  </si>
  <si>
    <t>http://www.linkedin.com/in/sylvain-lechesne</t>
  </si>
  <si>
    <t>xxamen.fr</t>
  </si>
  <si>
    <t>Joybert</t>
  </si>
  <si>
    <t xml:space="preserve">Hermod Assurances</t>
  </si>
  <si>
    <t>martial@hermodassurances.fr</t>
  </si>
  <si>
    <t>http://www.linkedin.com/in/martial-de-joybert-359b8862</t>
  </si>
  <si>
    <t>hermodassurances.fr</t>
  </si>
  <si>
    <t xml:space="preserve">Fondatrice de Coralia Conseils- Conseil en investissement- Conseil patrimonial</t>
  </si>
  <si>
    <t xml:space="preserve">CORALIA CONSEILS</t>
  </si>
  <si>
    <t>f.lecomte@coralia-conseils.fr</t>
  </si>
  <si>
    <t>http://www.linkedin.com/in/florence-lecomte-b76912b</t>
  </si>
  <si>
    <t>coralia-conseils.fr</t>
  </si>
  <si>
    <t xml:space="preserve">audit patrimonial,regimes matrimoniaux,loueur meuble,assurancesvie,optimisation transmission</t>
  </si>
  <si>
    <t>Deshayes</t>
  </si>
  <si>
    <t>m.deshayes@mutuale.fr</t>
  </si>
  <si>
    <t>http://www.linkedin.com/in/m%c3%a9lodie-deshayes-b1283621a</t>
  </si>
  <si>
    <t>Lussault-sur-Loire</t>
  </si>
  <si>
    <t>Hug</t>
  </si>
  <si>
    <t>s.hug@coverity.fr</t>
  </si>
  <si>
    <t>http://www.linkedin.com/in/stephane-hug-7b6a7066</t>
  </si>
  <si>
    <t>coverity.fr</t>
  </si>
  <si>
    <t>courtage,assurance,courtiers,sante,prevoyance</t>
  </si>
  <si>
    <t>Bracquart</t>
  </si>
  <si>
    <t>Aidasinistre</t>
  </si>
  <si>
    <t>fb@aidasinistre.fr</t>
  </si>
  <si>
    <t>http://www.linkedin.com/in/fran%c3%a7ois-bracquart-b6164012b</t>
  </si>
  <si>
    <t>aidasinistre.fr</t>
  </si>
  <si>
    <t xml:space="preserve">Fondateur Gerant</t>
  </si>
  <si>
    <t xml:space="preserve">Azurea Patrimoine</t>
  </si>
  <si>
    <t>c.viala@azureapatrimoine.com</t>
  </si>
  <si>
    <t>http://www.linkedin.com/in/christophe-viala-54ab8a74</t>
  </si>
  <si>
    <t>azureapatrimoine.com</t>
  </si>
  <si>
    <t xml:space="preserve">placements,marches financiers,sante individuelle,assurances de personnes,retraite,sante collective,prevoyance,credits immobiliers,assurance vie</t>
  </si>
  <si>
    <t>NousAssurons</t>
  </si>
  <si>
    <t>jerome.robin@nousassurons.com</t>
  </si>
  <si>
    <t>http://www.linkedin.com/in/j%c3%a9rome-robin-92bb7827</t>
  </si>
  <si>
    <t>http://www.nousassurons.com</t>
  </si>
  <si>
    <t xml:space="preserve">36E Rue des Vingt Toises, Saint-Martin-le-Vinoux, Auvergne-Rhone-Alpes, France, 38950</t>
  </si>
  <si>
    <t>Boumendil</t>
  </si>
  <si>
    <t xml:space="preserve">GMAF Assurances</t>
  </si>
  <si>
    <t>gregory@gmaf.fr</t>
  </si>
  <si>
    <t>http://www.linkedin.com/in/gr%c3%a9gory-boumendil-888b3a147</t>
  </si>
  <si>
    <t>gmaf.fr</t>
  </si>
  <si>
    <t xml:space="preserve">assurance rc decennale,assurance taxi,assurance mutuelle collective,assurance dommage ouvrage,assurance mutuelle,assurance prevoyance collective,assurance emprunteur,assurance vtc,convention collective,assurance rc pro,assurance tous risques chantier,assurance do,assurance prevoyance</t>
  </si>
  <si>
    <t>Grasset</t>
  </si>
  <si>
    <t xml:space="preserve">Directeur des systèmes d'information</t>
  </si>
  <si>
    <t>simon@santexpat.fr</t>
  </si>
  <si>
    <t>http://www.linkedin.com/in/simon-grasset</t>
  </si>
  <si>
    <t>santexpat.fr</t>
  </si>
  <si>
    <t>Dumoux</t>
  </si>
  <si>
    <t xml:space="preserve">Président du conseil d'administration</t>
  </si>
  <si>
    <t xml:space="preserve">France Mutuelle</t>
  </si>
  <si>
    <t>michel.dumoux@francemutuelle.fr</t>
  </si>
  <si>
    <t>http://www.linkedin.com/in/michel-dumoux-126177192</t>
  </si>
  <si>
    <t>francemutuelle.fr</t>
  </si>
  <si>
    <t xml:space="preserve">complementaire sante &amp; prevoyance</t>
  </si>
  <si>
    <t>Mercelat</t>
  </si>
  <si>
    <t>dmercelat@lsngroupe.com</t>
  </si>
  <si>
    <t>http://www.linkedin.com/in/delphine-mercelat-a5658982</t>
  </si>
  <si>
    <t>lsngroupe.com</t>
  </si>
  <si>
    <t>Degoul</t>
  </si>
  <si>
    <t xml:space="preserve">RISK Partenaires</t>
  </si>
  <si>
    <t>alexandre.degoul@riskpart.com</t>
  </si>
  <si>
    <t>http://www.linkedin.com/in/alexandre-degoul-372818187</t>
  </si>
  <si>
    <t>riskpart.com</t>
  </si>
  <si>
    <t>Taalbi</t>
  </si>
  <si>
    <t>APRIL</t>
  </si>
  <si>
    <t>k.taalbi@april-partenaires.fr</t>
  </si>
  <si>
    <t>http://www.linkedin.com/in/karim-taalbi-827a1aa9</t>
  </si>
  <si>
    <t>http://www.april.fr</t>
  </si>
  <si>
    <t>Fougeres</t>
  </si>
  <si>
    <t xml:space="preserve">114 Boulevard Marius Vivier Merle, Lyon, Auvergne-Rhone-Alpes, France, 69003</t>
  </si>
  <si>
    <t xml:space="preserve">Découvrez les contrats d'assurance APRIL : assurance emprunteur, complémentaire santé, assurance auto, prévoyance... Obtenez un devis en ligne.</t>
  </si>
  <si>
    <t>Smaic</t>
  </si>
  <si>
    <t>Zelikra</t>
  </si>
  <si>
    <t xml:space="preserve">CCA RHONE ALPES</t>
  </si>
  <si>
    <t>sz@ccassurance.com</t>
  </si>
  <si>
    <t>http://www.linkedin.com/in/smaic-zelikra-bb223a46</t>
  </si>
  <si>
    <t>ccassurance.com</t>
  </si>
  <si>
    <t xml:space="preserve">assurances,gfa,protection juridique,chr,audit,flotte,placements,entreprises,conseil,caution,pno,desamiantage,mrp,rc decennale,dommagesouvrage,courtage,prevoyance,cmi,immobilier,construction,sante,automobile,engins tp,rc negoce et fabricant</t>
  </si>
  <si>
    <t>Zouiten</t>
  </si>
  <si>
    <t xml:space="preserve">Vitalys Assurances</t>
  </si>
  <si>
    <t>zm@vitalys-assurances.com</t>
  </si>
  <si>
    <t>http://www.linkedin.com/in/mehdi-zouiten-221a87223</t>
  </si>
  <si>
    <t>vitalys-assurances.com</t>
  </si>
  <si>
    <t>Dehmouche</t>
  </si>
  <si>
    <t>maxime.dehmouche@akor2pret.com</t>
  </si>
  <si>
    <t>http://www.linkedin.com/in/maxime-dehmouche-00b90312a</t>
  </si>
  <si>
    <t>Cambrai</t>
  </si>
  <si>
    <t>Frappe</t>
  </si>
  <si>
    <t xml:space="preserve">Courtier d’assurances/ fondateur et PDG</t>
  </si>
  <si>
    <t>leboncourtier</t>
  </si>
  <si>
    <t>daphne.frappe@leboncourtier.fr</t>
  </si>
  <si>
    <t>http://www.linkedin.com/in/daphne-frappe</t>
  </si>
  <si>
    <t>leboncourtier.fr</t>
  </si>
  <si>
    <t xml:space="preserve">assurance,assurance vie,prevoyance,collectives,retraite</t>
  </si>
  <si>
    <t>Yazid</t>
  </si>
  <si>
    <t>Hadni</t>
  </si>
  <si>
    <t>yazid@getklaimy.com</t>
  </si>
  <si>
    <t>http://www.linkedin.com/in/yazid-hadni</t>
  </si>
  <si>
    <t>hleroux@heyme.care</t>
  </si>
  <si>
    <t>http://www.linkedin.com/in/hadrien-le-roux-64a0b164</t>
  </si>
  <si>
    <t xml:space="preserve">C2 Assurances</t>
  </si>
  <si>
    <t>denis@c2-assurances.fr</t>
  </si>
  <si>
    <t>http://www.linkedin.com/in/denis-gargaud-833b3058</t>
  </si>
  <si>
    <t>c2-assurances.fr</t>
  </si>
  <si>
    <t>Verdenet</t>
  </si>
  <si>
    <t xml:space="preserve">Energie Mutuelle</t>
  </si>
  <si>
    <t>everdenet@energiemutuelle.fr</t>
  </si>
  <si>
    <t>http://www.linkedin.com/in/emmanuelverdenet</t>
  </si>
  <si>
    <t>http://www.energiemutuelle.fr</t>
  </si>
  <si>
    <t xml:space="preserve">66 Avenue du Maine, Paris, Ile-de-France, France, 75014</t>
  </si>
  <si>
    <t xml:space="preserve">Depuis 1996, fidèle aux valeurs mutualistes de solidarité et de partage, Energie Mutuelle assure un rôle de complémentaire et de surcomplémentaire santé principalement à destination des salariés statutaires ou des retraités des Industries Electriques et Gazières (IEG) et de leurs ayants droit. Attachée aux valeurs d’entraide, Energie Mutuelle ouvre également ses garanties aux personnes ne relevant pas des IEG.</t>
  </si>
  <si>
    <t>Chantal</t>
  </si>
  <si>
    <t xml:space="preserve">Ôrizon Courtage</t>
  </si>
  <si>
    <t>benoit@orizon-courtage.fr</t>
  </si>
  <si>
    <t>http://www.linkedin.com/in/beno%c3%aet-chantal-88221b129</t>
  </si>
  <si>
    <t>orizon-courtage.fr</t>
  </si>
  <si>
    <t xml:space="preserve">assurance emprunteur,decennale,protection juridique,sante chiens et chats,vtc,obseques,habitation,responsabilite civile,accidents de la vie,transports,collectif,mutuelle sante,multirisques,epargne retraite,prevoyance,dependance,assurance auto</t>
  </si>
  <si>
    <t>Loengten</t>
  </si>
  <si>
    <t>Asekur</t>
  </si>
  <si>
    <t>maxime.loengten@yami.eu</t>
  </si>
  <si>
    <t>http://www.linkedin.com/in/maxime-loengten-a9125056</t>
  </si>
  <si>
    <t>http://www.asekur.io</t>
  </si>
  <si>
    <t xml:space="preserve">The Asekur platform enables the design, management, and distribution of insurance products with exceptional flexibility, thanks to its no-code editor, comprehensive contract and claims management, and customizable customer journeys.</t>
  </si>
  <si>
    <t>Cyberassure</t>
  </si>
  <si>
    <t>sbarres@cyberassure.fr</t>
  </si>
  <si>
    <t>http://www.linkedin.com/in/sarah-barres-5296ab113</t>
  </si>
  <si>
    <t>cyberassure.fr</t>
  </si>
  <si>
    <t>Fancony</t>
  </si>
  <si>
    <t xml:space="preserve">ARTEO COURTAGE</t>
  </si>
  <si>
    <t>gregory.fancony@arteo-courtage.fr</t>
  </si>
  <si>
    <t>http://www.linkedin.com/in/gregory-fancony-07373383</t>
  </si>
  <si>
    <t>arteo-courtage.fr</t>
  </si>
  <si>
    <t>AcommeAssure</t>
  </si>
  <si>
    <t>cleberre@mediacourtage.com</t>
  </si>
  <si>
    <t>http://www.linkedin.com/in/christelleleberre</t>
  </si>
  <si>
    <t>http://www.acommeassure.com</t>
  </si>
  <si>
    <t xml:space="preserve">Rue Jean Fourastie, Le Relecq-Kerhuon, Brittany, France, 29480</t>
  </si>
  <si>
    <t xml:space="preserve">Un tarif en un claquement de doigt, des conseillers basés en Bretagne pour vous guider, des assurances qui s'adaptent à vos besoins et votre budget.</t>
  </si>
  <si>
    <t>Carlac</t>
  </si>
  <si>
    <t xml:space="preserve">Dirigeant Fondateur Associé</t>
  </si>
  <si>
    <t xml:space="preserve">Carlac Léoncel Assurances</t>
  </si>
  <si>
    <t>b.carlac@carlac-leoncel.com</t>
  </si>
  <si>
    <t>http://www.linkedin.com/in/brice-carlac-593746a1</t>
  </si>
  <si>
    <t>carlac-leoncel.com</t>
  </si>
  <si>
    <t>Bauchet</t>
  </si>
  <si>
    <t xml:space="preserve">Groupe des Assurances Mutuelles de l'Est</t>
  </si>
  <si>
    <t>e.bauchet@gamest.fr</t>
  </si>
  <si>
    <t>http://www.linkedin.com/in/emmanuelle-bauchet-003587250</t>
  </si>
  <si>
    <t>Pfastatt</t>
  </si>
  <si>
    <t xml:space="preserve">mutuelle,protection juridique,assurance de personnes,sinistres corporels,reassurance</t>
  </si>
  <si>
    <t>Guerel</t>
  </si>
  <si>
    <t>APPC</t>
  </si>
  <si>
    <t>laurent.guerel@appc-group.com</t>
  </si>
  <si>
    <t>http://www.linkedin.com/in/laurent-gu%c3%a9rel-b3b89862</t>
  </si>
  <si>
    <t>appc-group.fr</t>
  </si>
  <si>
    <t>Isidore</t>
  </si>
  <si>
    <t>Juvanteny</t>
  </si>
  <si>
    <t>ASSURIS</t>
  </si>
  <si>
    <t>i.juvanteny@assuris.fr</t>
  </si>
  <si>
    <t>http://www.linkedin.com/in/isidore-juvanteny-499b1a137</t>
  </si>
  <si>
    <t>assuris.fr</t>
  </si>
  <si>
    <t xml:space="preserve">emballage industriel,batiment constructeurs,transport transporteurs,promoteurs,conseil,recrutement,commissionnaires,experts,menuiserie,services informatique,logisticiens,industrie plasturgie,mecanique,textile</t>
  </si>
  <si>
    <t>Moinet</t>
  </si>
  <si>
    <t xml:space="preserve">Dirigeant société de courtage crédits immo et pro  regroupement de prêts et assurances emprunteur</t>
  </si>
  <si>
    <t>CourtierEnCrédits</t>
  </si>
  <si>
    <t>jerome.moinet@courtierencredits.com</t>
  </si>
  <si>
    <t>http://www.linkedin.com/in/jerome-moinet</t>
  </si>
  <si>
    <t>courtierencredits.com</t>
  </si>
  <si>
    <t xml:space="preserve">MONTSEGUR ASSURANCES</t>
  </si>
  <si>
    <t>christian-pereira@montsegur-assurances.fr</t>
  </si>
  <si>
    <t>http://www.linkedin.com/in/christian-pereira-3165391a9</t>
  </si>
  <si>
    <t>montsegur-assurances.fr</t>
  </si>
  <si>
    <t>tom@orus.eu</t>
  </si>
  <si>
    <t>http://www.linkedin.com/in/tom-le-bras-a7598b59</t>
  </si>
  <si>
    <t>Lebreton</t>
  </si>
  <si>
    <t xml:space="preserve">Président et Co-fondateur LBJ ASSURANCES</t>
  </si>
  <si>
    <t xml:space="preserve">LBJ ASSURANCES</t>
  </si>
  <si>
    <t>axelle.lebreton@lbjassurances.fr</t>
  </si>
  <si>
    <t>http://www.linkedin.com/in/axelle-lebreton-ba7a3793</t>
  </si>
  <si>
    <t>Pont-Saint-Martin</t>
  </si>
  <si>
    <t>arthur.koehl@koehl-assurances.fr</t>
  </si>
  <si>
    <t>http://www.linkedin.com/in/arthur-koehl-118975b0</t>
  </si>
  <si>
    <t>koehl-assurances.fr</t>
  </si>
  <si>
    <t>Sidoun</t>
  </si>
  <si>
    <t>Modulassur</t>
  </si>
  <si>
    <t>lsidoun@modulassur.fr</t>
  </si>
  <si>
    <t>http://www.linkedin.com/in/lionel-sidoun-b521963a</t>
  </si>
  <si>
    <t>modulassur.fr</t>
  </si>
  <si>
    <t xml:space="preserve">S.A.R COURTAGE</t>
  </si>
  <si>
    <t>alain@sarcourtage.com</t>
  </si>
  <si>
    <t>http://www.linkedin.com/in/alain-roy-b961681b3</t>
  </si>
  <si>
    <t>sarcourtage.com</t>
  </si>
  <si>
    <t>Prunelli-di-Fiumorbo</t>
  </si>
  <si>
    <t>laurent@tepee.eu</t>
  </si>
  <si>
    <t>http://www.linkedin.com/in/laurenttepee</t>
  </si>
  <si>
    <t>q.ginet@antinea-courtage.fr</t>
  </si>
  <si>
    <t>http://www.linkedin.com/in/quentinginet</t>
  </si>
  <si>
    <t>Marchal</t>
  </si>
  <si>
    <t>solisur</t>
  </si>
  <si>
    <t>bmarchal@solisur.fr</t>
  </si>
  <si>
    <t>http://www.linkedin.com/in/marchalbenoit</t>
  </si>
  <si>
    <t>http://www.solisur.fr</t>
  </si>
  <si>
    <t>Basseville</t>
  </si>
  <si>
    <t xml:space="preserve">CABINET BASSEVILLE</t>
  </si>
  <si>
    <t>x.basseville@cabinetbasseville.fr</t>
  </si>
  <si>
    <t>http://www.linkedin.com/in/xavier-basseville-8747a219a</t>
  </si>
  <si>
    <t>cabinetbasseville.fr</t>
  </si>
  <si>
    <t xml:space="preserve">polices dassurance,protection des collaborateurs,cybersecurite,protection de biens,entreprises &amp; professionnels,professionnels,courtage orleans,protection des dirigeants,audit de risques,accompagnement personalise,cabinet basseville,entreprises,risques des entreprises,courtier dassurances,construction,transport</t>
  </si>
  <si>
    <t>Jourdain</t>
  </si>
  <si>
    <t>Trusttt</t>
  </si>
  <si>
    <t>alexy.jourdain@trusttt.com</t>
  </si>
  <si>
    <t>http://www.linkedin.com/in/alexy-jourdain-04662486</t>
  </si>
  <si>
    <t>Beringer</t>
  </si>
  <si>
    <t xml:space="preserve">RISKMEDIA FRANCE</t>
  </si>
  <si>
    <t>thomas.beringer@riskmediagroup.net</t>
  </si>
  <si>
    <t>http://www.linkedin.com/in/thomas-beringer-a1bb8725</t>
  </si>
  <si>
    <t>riskmediagroup.net</t>
  </si>
  <si>
    <t xml:space="preserve">Groupe Signatures</t>
  </si>
  <si>
    <t>stephane@signatures-groupe.fr</t>
  </si>
  <si>
    <t>http://www.linkedin.com/in/st%c3%a9phane-lespagnol</t>
  </si>
  <si>
    <t>signatures-groupe.fr</t>
  </si>
  <si>
    <t xml:space="preserve">finance responsable,placements,assurances,defiscalisation,gestion de patrimoine,immobilier,conseils fiscaux,financements,conseils juridiques</t>
  </si>
  <si>
    <t>Waldman</t>
  </si>
  <si>
    <t>vanessa.waldman@kerialis.fr</t>
  </si>
  <si>
    <t>http://www.linkedin.com/in/vanessa-waldman-tavars-66b83356</t>
  </si>
  <si>
    <t>D'Audiffret</t>
  </si>
  <si>
    <t>Seyna</t>
  </si>
  <si>
    <t>guillaume.daudiffret@seyna.eu</t>
  </si>
  <si>
    <t>http://www.linkedin.com/in/guillaume-d-audiffret-0a664213</t>
  </si>
  <si>
    <t>http://www.seyna.eu</t>
  </si>
  <si>
    <t xml:space="preserve">93 Boulevard Haussmann, Paris, Ile-de-France, France, 75008</t>
  </si>
  <si>
    <t xml:space="preserve">Seyna combines technology and insurance expertise for brokers on a single platform</t>
  </si>
  <si>
    <t>Lafoucriere</t>
  </si>
  <si>
    <t xml:space="preserve">Grande Ourse Patrimoine</t>
  </si>
  <si>
    <t>stephane@grandeourse-patrimoine.fr</t>
  </si>
  <si>
    <t>http://www.linkedin.com/in/stephanelafoucriere</t>
  </si>
  <si>
    <t>grandeourse-patrimoine.fr</t>
  </si>
  <si>
    <t xml:space="preserve">assurances,plan de tresorerie,conseils en gestion de patrimoine,passif social,prevoyance,defiscalisation,immobilier,retraite</t>
  </si>
  <si>
    <t xml:space="preserve">Courtiers For You</t>
  </si>
  <si>
    <t>sebastien@courtiersforyou.fr</t>
  </si>
  <si>
    <t>http://www.linkedin.com/in/sebastien-nicolas-060726b9</t>
  </si>
  <si>
    <t>courtiersforyou.fr</t>
  </si>
  <si>
    <t xml:space="preserve">Groupe Sodalis</t>
  </si>
  <si>
    <t>tmorin@groupesodalis.com</t>
  </si>
  <si>
    <t>http://www.linkedin.com/in/thierry-morin-01980a49</t>
  </si>
  <si>
    <t>groupesodalis.com</t>
  </si>
  <si>
    <t xml:space="preserve">assurance de biens et activites,poste client et financement,assurance des ressources humaines</t>
  </si>
  <si>
    <t>Marc-Henri</t>
  </si>
  <si>
    <t>Boydron</t>
  </si>
  <si>
    <t xml:space="preserve">Cyber Cover</t>
  </si>
  <si>
    <t>mhboydron@cyber-cover.fr</t>
  </si>
  <si>
    <t>http://www.linkedin.com/in/marc-henri-boydron</t>
  </si>
  <si>
    <t>http://www.cyber-cover.fr</t>
  </si>
  <si>
    <t xml:space="preserve">58 Avenue de la Grande Armee, Paris, Ile-de-France, France, 75017</t>
  </si>
  <si>
    <t xml:space="preserve">Cyber Cover premier courtier français spécialisé sur les risques cyber pour PME et ETI. Une approche complète combinant Audit, Assurance et Prévention.</t>
  </si>
  <si>
    <t xml:space="preserve">Mutuelle MCF</t>
  </si>
  <si>
    <t>alexandre.andre@mutuellemcf.fr</t>
  </si>
  <si>
    <t>http://www.linkedin.com/in/alexandre-andre-75aa2139</t>
  </si>
  <si>
    <t>mutuellemcf.fr</t>
  </si>
  <si>
    <t xml:space="preserve">mutuelle des agents publics,mutuelle sante,mutuelle des fonctionnaires</t>
  </si>
  <si>
    <t xml:space="preserve">BOUCLIER COURTAGE</t>
  </si>
  <si>
    <t>xavier@bouclier-courtage.fr</t>
  </si>
  <si>
    <t>http://www.linkedin.com/in/xavier-oudin-01940347</t>
  </si>
  <si>
    <t>bouclier-courtage.fr</t>
  </si>
  <si>
    <t>Benkassem</t>
  </si>
  <si>
    <t>MELEÏNE</t>
  </si>
  <si>
    <t>karim.benkassem@meleine.fr</t>
  </si>
  <si>
    <t>http://www.linkedin.com/in/karim-benkassem-84a24192</t>
  </si>
  <si>
    <t>http://www.meleine.fr</t>
  </si>
  <si>
    <t xml:space="preserve">Méléïne courtier en assurance vous accompagne dans la recherche de vos assurances et épargne votre budget !</t>
  </si>
  <si>
    <t>Elmlinger-Labadie</t>
  </si>
  <si>
    <t>sonia@lilycare.fr</t>
  </si>
  <si>
    <t>http://www.linkedin.com/in/sonia-elmlinger-labadie-96098110</t>
  </si>
  <si>
    <t xml:space="preserve">ADVISE ASSURANCE</t>
  </si>
  <si>
    <t>tprovost@parachut.com</t>
  </si>
  <si>
    <t>http://www.linkedin.com/in/thomas-p-80845168</t>
  </si>
  <si>
    <t>http://www.parachut.com</t>
  </si>
  <si>
    <t xml:space="preserve">4 Avenue Corentin Cariou, Paris, Ile-de-France, France, 75019</t>
  </si>
  <si>
    <t xml:space="preserve">Parachut assure votre quotidien avec des garanties innovantes pour économiser et protéger ce qui compte le plus. Choisissez entre 1 000 €, 5 000 € ou 15 000 € de protection pour vos biens et risques numériques, tout dans un seul contrat.</t>
  </si>
  <si>
    <t xml:space="preserve">Expert en automobile  dirigeant</t>
  </si>
  <si>
    <t xml:space="preserve">Groupe Expertises Services</t>
  </si>
  <si>
    <t>jmartin@expert-service.fr</t>
  </si>
  <si>
    <t>http://www.linkedin.com/in/jerome-martin-aaa23783</t>
  </si>
  <si>
    <t>expert-service.fr</t>
  </si>
  <si>
    <t>Barcelo</t>
  </si>
  <si>
    <t xml:space="preserve">ESIGNA PATRIMOINE</t>
  </si>
  <si>
    <t>alexis.barcelo@esigna-patrimoine.com</t>
  </si>
  <si>
    <t>http://www.linkedin.com/in/alexis-barcelo-7a138476</t>
  </si>
  <si>
    <t>Menozzi</t>
  </si>
  <si>
    <t xml:space="preserve">Courtier d'assurances (dirigeant)</t>
  </si>
  <si>
    <t xml:space="preserve">MonConseil Assurances</t>
  </si>
  <si>
    <t>julien@monconseil.pro</t>
  </si>
  <si>
    <t>http://www.linkedin.com/in/julien-menozzi-25284793</t>
  </si>
  <si>
    <t>monconseil.pro</t>
  </si>
  <si>
    <t xml:space="preserve">assurances de responsabilite,assurances de dommage,assurance des bureaux detudes,assurance de personnes,courtier d39assurances,assurance des maitre doeuvre,assurances du professionnel et de l39entreprise,assurances du professionnel et de lentreprise,assurance des bureaux d39etudes,courtier dassurances,assurance des maitre d39oeuvre</t>
  </si>
  <si>
    <t>laurene.albenois@auxilia-courtage.fr</t>
  </si>
  <si>
    <t>http://www.linkedin.com/in/laur%c3%a8ne-albenois-82b616158</t>
  </si>
  <si>
    <t>auxilia-courtage.fr</t>
  </si>
  <si>
    <t xml:space="preserve">courtage dassurance,pour les professionnels et les entreprises</t>
  </si>
  <si>
    <t>vincent.richard@firidis.fr</t>
  </si>
  <si>
    <t>http://www.linkedin.com/in/vincent-richard-454075158</t>
  </si>
  <si>
    <t>http://www.linkedin.com/in/maisonneuve-vincent-0750637b</t>
  </si>
  <si>
    <t>Capella</t>
  </si>
  <si>
    <t xml:space="preserve">DIDIER ASSURANCE</t>
  </si>
  <si>
    <t>scapella@cabinet-didier.fr</t>
  </si>
  <si>
    <t>http://www.linkedin.com/in/s%c3%a9bastien-capella-0a2699270</t>
  </si>
  <si>
    <t>Devineau</t>
  </si>
  <si>
    <t xml:space="preserve">CEO France</t>
  </si>
  <si>
    <t>Detralytics</t>
  </si>
  <si>
    <t>l.devineau@detralytics.eu</t>
  </si>
  <si>
    <t>http://www.linkedin.com/in/laurent-devineau-31661bab</t>
  </si>
  <si>
    <t>http://www.detralytics.com</t>
  </si>
  <si>
    <t xml:space="preserve">21 Avenue du Boulevard, Saint-Josse-ten-Noode, Brussels, Belgium, 1210</t>
  </si>
  <si>
    <t>Andreini</t>
  </si>
  <si>
    <t xml:space="preserve">Aegir Patrimoine</t>
  </si>
  <si>
    <t>michel@aegirpatrimoine.com</t>
  </si>
  <si>
    <t>http://www.linkedin.com/in/michel-andreini-63ab22149</t>
  </si>
  <si>
    <t>aegirpatrimoine.com</t>
  </si>
  <si>
    <t>Brossais</t>
  </si>
  <si>
    <t>dominique.brossais@naudet.fr</t>
  </si>
  <si>
    <t>http://www.linkedin.com/in/dominique-brossais-413b0924</t>
  </si>
  <si>
    <t>Lorenzo</t>
  </si>
  <si>
    <t>Cabrerizo</t>
  </si>
  <si>
    <t>altovia</t>
  </si>
  <si>
    <t>lorenzo@altovia.fr</t>
  </si>
  <si>
    <t>http://www.linkedin.com/in/lorenzo-cabrerizo-08a8281b5</t>
  </si>
  <si>
    <t>altovia.fr</t>
  </si>
  <si>
    <t xml:space="preserve">tpe,assurances collectives,salaries,assurance de personne,assurance surmesure,audit assurance,sante,independants,chef dentreprise,compte de resultat assurance,pme,prevoyance</t>
  </si>
  <si>
    <t>Becam</t>
  </si>
  <si>
    <t xml:space="preserve">CEO Choisir-un-courtier.com</t>
  </si>
  <si>
    <t>choisir-un-courtier.com</t>
  </si>
  <si>
    <t>arnaud.becam@choisir-un-courtier.com</t>
  </si>
  <si>
    <t>http://www.linkedin.com/in/arnaud-becam</t>
  </si>
  <si>
    <t>http://www.choisir-un-courtier.com</t>
  </si>
  <si>
    <t xml:space="preserve">Trouver le meilleur courtier en ligne ou près de chez-vous. Courtier en 
assurance, pour obtenir des devis rapidement et facilement. Faites le 
meilleurs choix au meilleurs tarifs</t>
  </si>
  <si>
    <t xml:space="preserve">Chargée de comptes - Pôle dirigeant</t>
  </si>
  <si>
    <t>laura@asselio.com</t>
  </si>
  <si>
    <t>http://www.linkedin.com/in/laura-lacroix-86b654140</t>
  </si>
  <si>
    <t>Thery</t>
  </si>
  <si>
    <t>Constructions-3D</t>
  </si>
  <si>
    <t>axel@constructions-3d.com</t>
  </si>
  <si>
    <t>http://www.linkedin.com/in/axel-th%c3%a9ry-817569109</t>
  </si>
  <si>
    <t>http://www.constructions-3d.com</t>
  </si>
  <si>
    <t xml:space="preserve">Bruay-sur-l'Escaut, Hauts-de-France, France, 59860</t>
  </si>
  <si>
    <t xml:space="preserve">Constructions-3D is the leading manufacturer of mobile 3D concrete printers. We provide advanced housing construction technologies through 3D printing machines, available worldwide.</t>
  </si>
  <si>
    <t>Launay</t>
  </si>
  <si>
    <t>Nextensia</t>
  </si>
  <si>
    <t>mathieu.launay@nextensia.com</t>
  </si>
  <si>
    <t>http://www.linkedin.com/in/mathieu-launay-32a17642</t>
  </si>
  <si>
    <t>http://www.nextensia.com</t>
  </si>
  <si>
    <t xml:space="preserve">Spay, Pays de la Loire, France</t>
  </si>
  <si>
    <t xml:space="preserve">Industriels, logisticiens, donnez de l’espace à votre entreprise. Votre projet clé en main avec NEXTENSIA bâtiments industriels démontables, 100% acier.</t>
  </si>
  <si>
    <t>Paul-Etienne</t>
  </si>
  <si>
    <t>Davier</t>
  </si>
  <si>
    <t xml:space="preserve">Founder Director at AI Environnement and Associate Director</t>
  </si>
  <si>
    <t xml:space="preserve">FACEA GROUP</t>
  </si>
  <si>
    <t>pe.davier@faceagroup.com</t>
  </si>
  <si>
    <t>http://www.linkedin.com/in/paul-etienne-davier-mrics-2953717</t>
  </si>
  <si>
    <t>http://www.faceagroup.com</t>
  </si>
  <si>
    <t>Saint-Baudille-et-Pipet</t>
  </si>
  <si>
    <t xml:space="preserve">1 Place Jean-Baptiste Clement, Noisy-le-Grand, Ile-de-France, France, 93160</t>
  </si>
  <si>
    <t>Polome</t>
  </si>
  <si>
    <t xml:space="preserve">Directeur Général fondateur</t>
  </si>
  <si>
    <t>GEO-Projection</t>
  </si>
  <si>
    <t>bastien.polome@geo-projection.fr</t>
  </si>
  <si>
    <t>http://www.linkedin.com/in/bastien-polom%c3%a9-72001b90</t>
  </si>
  <si>
    <t>http://www.geo-projection.fr</t>
  </si>
  <si>
    <t xml:space="preserve">Scan 3D, Photogrammétrie et LiDAR par drone, Topographie traditionnelle.</t>
  </si>
  <si>
    <t>Lavorel</t>
  </si>
  <si>
    <t>COBALP</t>
  </si>
  <si>
    <t>lavorel@cobalp.fr</t>
  </si>
  <si>
    <t>http://www.linkedin.com/in/fabrice-lavorel-78846683</t>
  </si>
  <si>
    <t>http://www.cobalp.fr</t>
  </si>
  <si>
    <t xml:space="preserve">2 Rue du Levray, Annecy, Auvergne-Rhone-Alpes, France, 74960</t>
  </si>
  <si>
    <t xml:space="preserve">Cobalp Ingénierie : spécialistes dans l'approche technique et financière de vos projets de construction, ainsi que dans la maîtrise de leurs suivis.</t>
  </si>
  <si>
    <t>EDIGO</t>
  </si>
  <si>
    <t>jean-yves.perrier@edigo.fr</t>
  </si>
  <si>
    <t>http://www.linkedin.com/in/jean-yves-perrier</t>
  </si>
  <si>
    <t>http://www.edigo.fr</t>
  </si>
  <si>
    <t>Accoplas</t>
  </si>
  <si>
    <t>jm.fournier@accoplas.fr</t>
  </si>
  <si>
    <t>http://www.linkedin.com/in/jean-marie-fournier-13bb38153</t>
  </si>
  <si>
    <t>http://www.accoplas.fr</t>
  </si>
  <si>
    <t xml:space="preserve">3 Boulevard Louis Villecroze, Marseille, Provence-Alpes-Cote d'Azur, France, 13014</t>
  </si>
  <si>
    <t xml:space="preserve">Forte de plus de 55 années d'existence, notre société a développé son savoir faire dans les domaines de la fermeture, de la menuiserie et du meuble cuisine et bains. Certifié Origine France Garantie.</t>
  </si>
  <si>
    <t>Fortier</t>
  </si>
  <si>
    <t xml:space="preserve">Directeur général et co-fondateur</t>
  </si>
  <si>
    <t xml:space="preserve">MF Construction</t>
  </si>
  <si>
    <t>jean.fortier@mf-construction.com</t>
  </si>
  <si>
    <t>http://www.linkedin.com/in/jean-fortier-00362242</t>
  </si>
  <si>
    <t>http://www.mf-construction.com</t>
  </si>
  <si>
    <t xml:space="preserve">61 Route de Rennes, Orvault, Pays de la Loire, France, 44700</t>
  </si>
  <si>
    <t xml:space="preserve">MF Construction, votre Constructeur Maison Loire Atlantique pour vos projets de Construction, d'Extension et de Rénovation. Découvrez nos Terrains et Plans.</t>
  </si>
  <si>
    <t>Chazal</t>
  </si>
  <si>
    <t xml:space="preserve">Zen MODULAR</t>
  </si>
  <si>
    <t>pascal@zen-modular.com</t>
  </si>
  <si>
    <t>http://www.linkedin.com/in/pascal-chazal-03609628</t>
  </si>
  <si>
    <t>http://www.zen-modular.com</t>
  </si>
  <si>
    <t xml:space="preserve">Thiers, Auvergne-Rhone-Alpes, France, 63300</t>
  </si>
  <si>
    <t xml:space="preserve">Zen modular est une plateforme digitale "tout en un" pour gérer un projet de construction modulaire. Accédez à un catalogue de modules, configurez votre projet en temps réel et collaborez avec vos équipes.</t>
  </si>
  <si>
    <t>Cluzeau</t>
  </si>
  <si>
    <t xml:space="preserve">DMF Expert</t>
  </si>
  <si>
    <t>bernard.cluzeau@dmf-expert.com</t>
  </si>
  <si>
    <t>http://www.linkedin.com/in/cluzeau-bernard-302076a0</t>
  </si>
  <si>
    <t>http://www.dmf-expert.com</t>
  </si>
  <si>
    <t xml:space="preserve">Solutions et services de systèmes de sécurité incendie</t>
  </si>
  <si>
    <t xml:space="preserve">Alpes Préfa</t>
  </si>
  <si>
    <t>c.durand@alpes-prefa.fr</t>
  </si>
  <si>
    <t>http://www.linkedin.com/in/cedric-durand-61b088105</t>
  </si>
  <si>
    <t>http://www.alpes-prefa.fr</t>
  </si>
  <si>
    <t xml:space="preserve">Chemin des Iles, Barraux, Auvergne-Rhone-Alpes, France, 38530</t>
  </si>
  <si>
    <t xml:space="preserve">Alpes Préfa, acteur majeur de la préfabrication et de l'ingénierie du bâtiment, vous accompagne et vous conseille sur tous vos chantiers.</t>
  </si>
  <si>
    <t>Razafimahaleo</t>
  </si>
  <si>
    <t>OPUS'CONCEPTS</t>
  </si>
  <si>
    <t>david.raza@opus-concepts.fr</t>
  </si>
  <si>
    <t>http://www.linkedin.com/in/david-razafimahaleo-b135aa89</t>
  </si>
  <si>
    <t>http://www.opus-concepts.fr</t>
  </si>
  <si>
    <t xml:space="preserve">99 Quai de la Marne, Joinville-le-Pont, Ile-de-France, France, 94340</t>
  </si>
  <si>
    <t>Farges</t>
  </si>
  <si>
    <t>G2C</t>
  </si>
  <si>
    <t>nicolas.farges@g2c-sas.fr</t>
  </si>
  <si>
    <t>http://www.linkedin.com/in/nicolas-farges-2a9677149</t>
  </si>
  <si>
    <t>http://www.g2c-sas.fr</t>
  </si>
  <si>
    <t>Hardy</t>
  </si>
  <si>
    <t>IDETEC</t>
  </si>
  <si>
    <t>dominique.hardy@idetec.eu</t>
  </si>
  <si>
    <t>http://www.linkedin.com/in/dominique-hardy</t>
  </si>
  <si>
    <t>http://www.idetec.eu</t>
  </si>
  <si>
    <t xml:space="preserve">4 Avenue Marcel Pagnol, Aix-en-Provence, Provence-Alpes-Cote d'Azur, France, 13090</t>
  </si>
  <si>
    <t xml:space="preserve">Idetec est une entreprise spécialisée dans la mesure et étude de vibrations des sols : travaux publics, chantiers d’infrastructure, démolition, carrières, tunnels et études géotechniques…</t>
  </si>
  <si>
    <t>Leticia</t>
  </si>
  <si>
    <t>Gonzales</t>
  </si>
  <si>
    <t>HELM</t>
  </si>
  <si>
    <t>leticia@helmluxury.com</t>
  </si>
  <si>
    <t>http://www.linkedin.com/in/ms-leticia-gonzales</t>
  </si>
  <si>
    <t>http://www.helmproperties.com.au</t>
  </si>
  <si>
    <t xml:space="preserve">131 Sailors Bay Rd, Sydney, New South Wales, Australia, 2063</t>
  </si>
  <si>
    <t xml:space="preserve">HELM is a privately owned Australian company specialising in luxury residential apartment developments in Sydney.</t>
  </si>
  <si>
    <t xml:space="preserve">Président Directeur Général de AtticorA et SILVAÉ</t>
  </si>
  <si>
    <t>AtticorA</t>
  </si>
  <si>
    <t>fabien.morel@atticora.fr</t>
  </si>
  <si>
    <t>http://www.linkedin.com/in/fabien-morel-282a5a11a</t>
  </si>
  <si>
    <t>http://www.atticora.fr</t>
  </si>
  <si>
    <t xml:space="preserve">Zone Industrielle des Marais, La Mure, Auvergne-Rhone-Alpes, France, 38350</t>
  </si>
  <si>
    <t xml:space="preserve">Investir et s'investir dans la transition énergétique pour faire évoluer notre société à une échelle locale.</t>
  </si>
  <si>
    <t>Demoy</t>
  </si>
  <si>
    <t xml:space="preserve">SCOP CSA</t>
  </si>
  <si>
    <t>demoy@scopcsa.fr</t>
  </si>
  <si>
    <t>http://www.linkedin.com/in/guillaume-demoy-3b3155124</t>
  </si>
  <si>
    <t>http://www.scopcsa.fr</t>
  </si>
  <si>
    <t xml:space="preserve">3 Rue Robespierre, Saint-Brieuc, Brittany, France, 22000</t>
  </si>
  <si>
    <t xml:space="preserve">Groupe Mallet</t>
  </si>
  <si>
    <t>olivier.mallet@egdi.fr</t>
  </si>
  <si>
    <t>http://www.linkedin.com/in/olivier-mallet-3707433a</t>
  </si>
  <si>
    <t>http://www.groupe-mallet.fr</t>
  </si>
  <si>
    <t xml:space="preserve">Cernay-les-Reims, Grand Est, France, 51420</t>
  </si>
  <si>
    <t>Groupe-mallet.fr</t>
  </si>
  <si>
    <t>Bacquaert</t>
  </si>
  <si>
    <t>COBEIMA</t>
  </si>
  <si>
    <t>b.bacquaert@cobeima.fr</t>
  </si>
  <si>
    <t>http://www.linkedin.com/in/bernard-bacquaert-a506066b</t>
  </si>
  <si>
    <t>http://www.cobeima.fr</t>
  </si>
  <si>
    <t xml:space="preserve">Saint-Jacques-sur-Darnetal, Normandie, France, 76160</t>
  </si>
  <si>
    <t>Mesmacque</t>
  </si>
  <si>
    <t xml:space="preserve">DEBEVRE VENTILATION</t>
  </si>
  <si>
    <t>cedric.mesmacque@debevre.com</t>
  </si>
  <si>
    <t>http://www.linkedin.com/in/c%c3%a9dric-mesmacque-8b6003140</t>
  </si>
  <si>
    <t>http://www.debevre-ventilation.com</t>
  </si>
  <si>
    <t>Erquinghem-Lys</t>
  </si>
  <si>
    <t xml:space="preserve">Merris, Nord-Pas-de-Calais, France</t>
  </si>
  <si>
    <t xml:space="preserve">DEBEVRE, Fabricant français de gaines de ventilation, de gaines chaudronnées et roulées soudées en tôle noire, inox et acier galvanisé.</t>
  </si>
  <si>
    <t xml:space="preserve">Hexagone Groupe</t>
  </si>
  <si>
    <t>direction@hexagone-groupe.com</t>
  </si>
  <si>
    <t>http://www.linkedin.com/in/fr%c3%a9d%c3%a9ric-guillon-9a50aa20</t>
  </si>
  <si>
    <t>http://www.hexagone-groupe.com</t>
  </si>
  <si>
    <t>Badin</t>
  </si>
  <si>
    <t>POSYTEC</t>
  </si>
  <si>
    <t>fabrice.badin@posytec.com</t>
  </si>
  <si>
    <t>http://www.linkedin.com/in/fabrice-badin-14a304109</t>
  </si>
  <si>
    <t>http://www.posytec.com</t>
  </si>
  <si>
    <t xml:space="preserve">Lezoux, Auvergne-Rhone-Alpes, France, 63190</t>
  </si>
  <si>
    <t xml:space="preserve">GROUPE TILKEO</t>
  </si>
  <si>
    <t>cedric.jacquet@tilkeo.com</t>
  </si>
  <si>
    <t>http://www.linkedin.com/in/c%c3%a9dric-jacquet-5b306113b</t>
  </si>
  <si>
    <t>http://www.tilkeo-renovation.fr</t>
  </si>
  <si>
    <t>Gueugnon</t>
  </si>
  <si>
    <t xml:space="preserve">Route de Toulon, Montcenis, Bourgogne-Franche-Comte, France, 71710</t>
  </si>
  <si>
    <t xml:space="preserve">Maitrisez votre consommation d’énergie grâce à TILKEO Rénovation, certifié NF Habitat, et bénéficiez jusqu'à 90% de prise en charge pour votre projet.</t>
  </si>
  <si>
    <t xml:space="preserve">Directeur Général - 3 secteurs d'activités</t>
  </si>
  <si>
    <t>LIMEUL</t>
  </si>
  <si>
    <t>r.reverdy@limeul.com</t>
  </si>
  <si>
    <t>http://www.linkedin.com/in/raphael-reverdy-80a08b103</t>
  </si>
  <si>
    <t>http://www.limeul.com</t>
  </si>
  <si>
    <t xml:space="preserve">Servon-sur-Vilaine, Brittany, France</t>
  </si>
  <si>
    <t xml:space="preserve">Limeul, entreprise de charpente, couverture, étanchéité et ossature bois sur Rennes et l'ille et Vilaine</t>
  </si>
  <si>
    <t xml:space="preserve">CANAL SANIT-AIR</t>
  </si>
  <si>
    <t>jb.guiral@canal-sanit-air.fr</t>
  </si>
  <si>
    <t>http://www.linkedin.com/in/jean-bastien-guiral-63571533</t>
  </si>
  <si>
    <t>http://www.canal-sanit-air.fr</t>
  </si>
  <si>
    <t xml:space="preserve">19 Rue de Sansy, Annecy, Auvergne-Rhone-Alpes, France, 74600</t>
  </si>
  <si>
    <t>Marquis</t>
  </si>
  <si>
    <t xml:space="preserve">Combles d'en France</t>
  </si>
  <si>
    <t>c.marquis@combles.com</t>
  </si>
  <si>
    <t>http://www.linkedin.com/in/christian-marquis-2512a925</t>
  </si>
  <si>
    <t>http://www.combles.com</t>
  </si>
  <si>
    <t xml:space="preserve">Saint-Pierre-de-Salerne, Normandy, France, 27800</t>
  </si>
  <si>
    <t xml:space="preserve">Combles d’en France, entreprise d'aménagement de combles dispose d'un réseau national de charpentiers - aménageurs de combles perdus.</t>
  </si>
  <si>
    <t xml:space="preserve">Astrak France</t>
  </si>
  <si>
    <t>steven.robert@diamtec.fr</t>
  </si>
  <si>
    <t>http://www.linkedin.com/in/steven-robert-diamtec</t>
  </si>
  <si>
    <t>http://www.astrakgroup.fr</t>
  </si>
  <si>
    <t xml:space="preserve">40 Rue Henri Becquerel, Chelles, Ile-de-France, France, 77500</t>
  </si>
  <si>
    <t>LIBOW</t>
  </si>
  <si>
    <t>audric@libow.fr</t>
  </si>
  <si>
    <t>http://www.linkedin.com/in/audric-gaudin-9a577843</t>
  </si>
  <si>
    <t>http://www.libow.fr</t>
  </si>
  <si>
    <t xml:space="preserve">Libow est expert en Autoconsommation Solaire avec ou sans stockage. Étude détaillée et Devis en 48h. Montpellier-Hérault-Aude-Gard !</t>
  </si>
  <si>
    <t>Moussa</t>
  </si>
  <si>
    <t xml:space="preserve">GROUPE ANJALYS</t>
  </si>
  <si>
    <t>moussa@anjalys.fr</t>
  </si>
  <si>
    <t>http://www.linkedin.com/in/michel-moussa</t>
  </si>
  <si>
    <t>http://www.groupeanjalys.com</t>
  </si>
  <si>
    <t xml:space="preserve">Groupe Anjalys | Nous sommes à vos côtés depuis votre première acquisition jusqu’à la transmission de votre patrimoine immobilier.</t>
  </si>
  <si>
    <t xml:space="preserve">Construct Lab</t>
  </si>
  <si>
    <t>vroyer@constructlab.fr</t>
  </si>
  <si>
    <t>http://www.linkedin.com/in/vincent-royer-a3154958</t>
  </si>
  <si>
    <t>http://www.constructlab.fr</t>
  </si>
  <si>
    <t xml:space="preserve">Construct Lab est une association qui a pour objectif de permettre la co-création de solutions collaboratives pour développer la filière Construction.</t>
  </si>
  <si>
    <t>Palandri</t>
  </si>
  <si>
    <t xml:space="preserve">Horizon Groupe</t>
  </si>
  <si>
    <t>tpalandri@microstore.fr</t>
  </si>
  <si>
    <t>http://www.linkedin.com/in/thierrypalandri</t>
  </si>
  <si>
    <t>http://www.horizongroupe.com</t>
  </si>
  <si>
    <t xml:space="preserve">3 Rue Natalis, Liege, Walloon Region, Belgium, 4020</t>
  </si>
  <si>
    <t xml:space="preserve">Découvrez nos maisons et appartements d'exception, labélisés Thermo-efficace®, dans la province de Liège. Expert en immobilier durable.</t>
  </si>
  <si>
    <t>Genneret</t>
  </si>
  <si>
    <t xml:space="preserve">Périgord HABITAT</t>
  </si>
  <si>
    <t>s.genneret@perigordhabitat.fr</t>
  </si>
  <si>
    <t>http://www.linkedin.com/in/s%c3%a9verine-genneret-96673687</t>
  </si>
  <si>
    <t>http://www.perigordhabitat.fr</t>
  </si>
  <si>
    <t xml:space="preserve">Coulounieix-Chamiers, Aquitaine, France</t>
  </si>
  <si>
    <t xml:space="preserve">Accueil - Périgord Habitat - Office public d'habitat de Dordogne</t>
  </si>
  <si>
    <t>M'Constructions</t>
  </si>
  <si>
    <t>jblanchard@mconstructions.org</t>
  </si>
  <si>
    <t>http://www.linkedin.com/in/julien-blanchard-65b7881b7</t>
  </si>
  <si>
    <t>http://www.mconstructions.org</t>
  </si>
  <si>
    <t xml:space="preserve">Saint-Clement-de-la-Place, Pays de la Loire, France, 49370</t>
  </si>
  <si>
    <t>Ducamin</t>
  </si>
  <si>
    <t xml:space="preserve">OC Résidences</t>
  </si>
  <si>
    <t>pierre.ducamin@oc-residences.fr</t>
  </si>
  <si>
    <t>http://www.linkedin.com/in/pierre-ducamin-26878312</t>
  </si>
  <si>
    <t>http://www.oc-residences.fr</t>
  </si>
  <si>
    <t xml:space="preserve">70 Route de Toulouse, Castres, Midi-Pyrenees, France, 81100</t>
  </si>
  <si>
    <t xml:space="preserve">Constructeur de maisons depuis 1983. Découvrez nos modèles et plans de maisons, nos prestations, mais aussi nos terrains à vendre</t>
  </si>
  <si>
    <t>Eyraud</t>
  </si>
  <si>
    <t>TRIDANT</t>
  </si>
  <si>
    <t>aeyraud@tridant.fr</t>
  </si>
  <si>
    <t>http://www.linkedin.com/in/alaineyraud</t>
  </si>
  <si>
    <t>http://www.tridant.fr</t>
  </si>
  <si>
    <t xml:space="preserve">Aubervilliers, Ile-de-France, France</t>
  </si>
  <si>
    <t xml:space="preserve">Crée en 1989, TRIDANT est un acteur indépendant, leader sur son marché. TRIDANT s’est donné pour mission d’offrir le meilleur à ses clients et consacre son énergie et ses compétences à un seul et unique métier : les installations de courant fort /courant faible dans le secteur tertiaire.</t>
  </si>
  <si>
    <t>Pagani</t>
  </si>
  <si>
    <t xml:space="preserve">Président Fondateur CIB ELEC SAS</t>
  </si>
  <si>
    <t xml:space="preserve">CIB ELEC SAS</t>
  </si>
  <si>
    <t>ppagani@cibelec.fr</t>
  </si>
  <si>
    <t>http://www.linkedin.com/in/patrice-pagani-966564190</t>
  </si>
  <si>
    <t>http://www.cibelec.fr</t>
  </si>
  <si>
    <t xml:space="preserve">Cormeilles-en-Parisis, Ile-de-France, France, 95240</t>
  </si>
  <si>
    <t xml:space="preserve">CIB ELEC est spécialisée dans l’entretien et la réhabilitation d’immeubles en courant fort et courant faible depuis sa création en 1981.</t>
  </si>
  <si>
    <t>Allais</t>
  </si>
  <si>
    <t xml:space="preserve">GUERIN BREMAUD</t>
  </si>
  <si>
    <t>michel@guerin-bremaud.com</t>
  </si>
  <si>
    <t>http://www.linkedin.com/in/michel-allais-62613177</t>
  </si>
  <si>
    <t>http://www.guerin-bremaud.com</t>
  </si>
  <si>
    <t xml:space="preserve">Beaurepaire, Pays de la Loire, France, 85500</t>
  </si>
  <si>
    <t xml:space="preserve">GUERIN BREMAUD vous accompagne pour votre projet de maison bois, extension ou rénovation, cuisine sur-mesure ou aménagements extérieurs en Vendée.</t>
  </si>
  <si>
    <t xml:space="preserve">🚧 Scheduling, controlling &amp; phasing in contruction projects / CEO</t>
  </si>
  <si>
    <t xml:space="preserve">Projet Linéaire</t>
  </si>
  <si>
    <t>fgaboriau@projetlineaire.com</t>
  </si>
  <si>
    <t>http://www.linkedin.com/in/fabien-gaboriau</t>
  </si>
  <si>
    <t>http://www.projetlineaire.com</t>
  </si>
  <si>
    <t xml:space="preserve">12 Impasse Bernard Lyot, La Roche-sur-Yon, Pays de la Loire, France, 85000</t>
  </si>
  <si>
    <t xml:space="preserve">Projet Linéaire, Votre bureau d'études planification et coordination vous accompagne dans toutes les phases de vos projets de planification.</t>
  </si>
  <si>
    <t>Chaumet</t>
  </si>
  <si>
    <t>STEELINBOX</t>
  </si>
  <si>
    <t>o.chaumet@steelinbox.com</t>
  </si>
  <si>
    <t>http://www.linkedin.com/in/olivier-chaumet-475304176</t>
  </si>
  <si>
    <t>http://www.steelinbox.com</t>
  </si>
  <si>
    <t xml:space="preserve">La ville Marterre, Saint-Meloir-des-Ondes, Bretagne, France, 35350</t>
  </si>
  <si>
    <t xml:space="preserve">Steelinbox vous accompagne dans la réalisation de votre verrière intérieure, porte verrière, porte pliante et l'agencement de votre cuisine sur-mesure à Paris.</t>
  </si>
  <si>
    <t>Tiago</t>
  </si>
  <si>
    <t xml:space="preserve">MTP Construction</t>
  </si>
  <si>
    <t>tpereira@mtpconstruction.fr</t>
  </si>
  <si>
    <t>http://www.linkedin.com/in/tiago-pereira-9356b4b7</t>
  </si>
  <si>
    <t>http://www.mtpconstruction.fr</t>
  </si>
  <si>
    <t xml:space="preserve">Fondée en 2014, MTP Construction est une entreprise familiale de construction et de rénovation.
Spécialisée dans la rénovation de cafés, brasseries et restaurants parisiens, elle intervient lors des phases de démolition, gros oeuvre et maçonnerie.
----
mtpconnstruction.fr</t>
  </si>
  <si>
    <t>Mustapha</t>
  </si>
  <si>
    <t>Benzekhroufa</t>
  </si>
  <si>
    <t>Dao-Infranet</t>
  </si>
  <si>
    <t>m.benzekhroufa@groupe-dao.com</t>
  </si>
  <si>
    <t>http://www.linkedin.com/in/mustapha-benzekhroufa-2315656b</t>
  </si>
  <si>
    <t>http://www.dao-infranet.com</t>
  </si>
  <si>
    <t>Cergy</t>
  </si>
  <si>
    <t xml:space="preserve">Boulevard du Port, Cergy, Ile-de-France, France, 95000</t>
  </si>
  <si>
    <t>Blumenfeld</t>
  </si>
  <si>
    <t>Roadmapper</t>
  </si>
  <si>
    <t>thomas@roadmapper.fr</t>
  </si>
  <si>
    <t>http://www.linkedin.com/in/thomasblumenfeld</t>
  </si>
  <si>
    <t>http://www.roadmapper.fr</t>
  </si>
  <si>
    <t xml:space="preserve">Optimisez la gestion de vos équipes, de vos machines et de vos matériaux et gagnez du temps.</t>
  </si>
  <si>
    <t xml:space="preserve">MOINE Menuiserie SAS</t>
  </si>
  <si>
    <t>a.besnard@moinemenuiserie.fr</t>
  </si>
  <si>
    <t>http://www.linkedin.com/in/aymeric-besnard-6601992b</t>
  </si>
  <si>
    <t>http://www.moinemenuiserie.fr</t>
  </si>
  <si>
    <t xml:space="preserve">21 Impasse des Romarins, Boulbon, Provence-Alpes-Cote d'Azur, France, 13150</t>
  </si>
  <si>
    <t>Mury</t>
  </si>
  <si>
    <t>ISOTOIT</t>
  </si>
  <si>
    <t>omury@isotoit.fr</t>
  </si>
  <si>
    <t>http://www.linkedin.com/in/olivier-mury-02946682</t>
  </si>
  <si>
    <t>http://www.isotoit.fr</t>
  </si>
  <si>
    <t xml:space="preserve">Rue des Renards, Sainte-Marie-des-Champs, Normandie, France, 76190</t>
  </si>
  <si>
    <t xml:space="preserve">Site officiel de l'entreprise</t>
  </si>
  <si>
    <t>Delaroque</t>
  </si>
  <si>
    <t xml:space="preserve">LA SERRURERIE DE LA PARETTE</t>
  </si>
  <si>
    <t>vdelaroque@la-serrurerie.com</t>
  </si>
  <si>
    <t>http://www.linkedin.com/in/vincent-delaroque-2777465</t>
  </si>
  <si>
    <t>http://www.la-serrurerie.com</t>
  </si>
  <si>
    <t>Roquefort-la-Bedoule</t>
  </si>
  <si>
    <t xml:space="preserve">330 Route d'Aubagne, Roquefort-la-Bedoule, Provence-Alpes-Cote d'Azur, France, 13830</t>
  </si>
  <si>
    <t xml:space="preserve">Entreprise de métallerie nous sommes spécialisées dans le mobilier urbain, depuis plus de 28 ans. Architectures, transport, industrie, muséographie, art.</t>
  </si>
  <si>
    <t>Frichet</t>
  </si>
  <si>
    <t xml:space="preserve">ARTEFACTS PARIS</t>
  </si>
  <si>
    <t>efrichet@artefacts-paris.com</t>
  </si>
  <si>
    <t>http://www.linkedin.com/in/edouard-frichet-12a04b13</t>
  </si>
  <si>
    <t>http://www.artefacts-paris.com</t>
  </si>
  <si>
    <t xml:space="preserve">17B Passage Jean Nicot, Paris, Ile-de-France, France, 75007</t>
  </si>
  <si>
    <t xml:space="preserve">Artefacts offre à ses clients des solutions complètes en pierre de taille et marbrerie fine.</t>
  </si>
  <si>
    <t>Quenel</t>
  </si>
  <si>
    <t>direction@la-serrurerie.com</t>
  </si>
  <si>
    <t>http://www.linkedin.com/in/mathilde-quenel-a5b5a946</t>
  </si>
  <si>
    <t xml:space="preserve">AMENAGEMENT 77</t>
  </si>
  <si>
    <t>fcorre@amenagement77.fr</t>
  </si>
  <si>
    <t>http://www.linkedin.com/in/fran%c3%a7ois-corre-67835ba7</t>
  </si>
  <si>
    <t>http://www.amenagement77.fr</t>
  </si>
  <si>
    <t xml:space="preserve">10 Rue Dajot, Melun, Ile-de-France, France, 77000</t>
  </si>
  <si>
    <t>Charvet</t>
  </si>
  <si>
    <t xml:space="preserve">C2A Services</t>
  </si>
  <si>
    <t>g.charvet@c-2a.fr</t>
  </si>
  <si>
    <t>http://www.linkedin.com/in/guillaume-charvet-ba63b813b</t>
  </si>
  <si>
    <t>http://www.c2a.services</t>
  </si>
  <si>
    <t>Luc-la-Primaube</t>
  </si>
  <si>
    <t xml:space="preserve">351 27 de Abril, Cordoba, Cordoba, Argentina, 5000</t>
  </si>
  <si>
    <t>Argentina</t>
  </si>
  <si>
    <t>Gerolami</t>
  </si>
  <si>
    <t xml:space="preserve">Ami Bois</t>
  </si>
  <si>
    <t>alexandra.gerolami@ami-bois.fr</t>
  </si>
  <si>
    <t>http://www.linkedin.com/in/alexandra-gerolami-055503206</t>
  </si>
  <si>
    <t>http://www.ami-bois.fr</t>
  </si>
  <si>
    <t xml:space="preserve">162 Boulevard de Suisse, Toulouse, Midi-Pyrenees, France, 31200</t>
  </si>
  <si>
    <t xml:space="preserve">Depuis 2005, Ami Bois accompagne ses clients de la recherche et l'achat de leur terrain jusqu'à la remise en main des clés de leur maison.</t>
  </si>
  <si>
    <t>Cairola</t>
  </si>
  <si>
    <t xml:space="preserve">CET Bâtiment et Energie</t>
  </si>
  <si>
    <t>p.cairola@be-cet.fr</t>
  </si>
  <si>
    <t>http://www.linkedin.com/in/paul-cairola-05651b16a</t>
  </si>
  <si>
    <t>http://www.be-cet.com</t>
  </si>
  <si>
    <t xml:space="preserve">47 Chemin de la Taillat, Meylan, Rhone-Alpes, France, 38240</t>
  </si>
  <si>
    <t xml:space="preserve">CET Bâtiment et Energie - Bureau étude en Ingénierie du bâtiment</t>
  </si>
  <si>
    <t>Heinrich</t>
  </si>
  <si>
    <t xml:space="preserve">HEINRICH &amp; BOCK</t>
  </si>
  <si>
    <t>sebastien.heinrich@heinrich-bock.com</t>
  </si>
  <si>
    <t>http://www.linkedin.com/in/sebastien-heinrich-05800b198</t>
  </si>
  <si>
    <t>http://www.heinrich-bock.com</t>
  </si>
  <si>
    <t xml:space="preserve">Rue de Wasselonne, Steinbourg, Grand Est, France, 67790</t>
  </si>
  <si>
    <t xml:space="preserve">Vous recherchez des solutions pour aménager votre extérieur ? Heinrich &amp; Bock vous propose ses pavés, dalles, escaliers et murs pour créer votre lieu unique</t>
  </si>
  <si>
    <t>Perin</t>
  </si>
  <si>
    <t xml:space="preserve">Directeur Opérationnel - Co-fondateur</t>
  </si>
  <si>
    <t xml:space="preserve">Bureau GDA</t>
  </si>
  <si>
    <t>vincent.perin@bureau-gda.fr</t>
  </si>
  <si>
    <t>http://www.linkedin.com/in/vincentperin-gda</t>
  </si>
  <si>
    <t>http://www.bureau-gda.fr</t>
  </si>
  <si>
    <t xml:space="preserve">Géologues de l’Amiante Naturel</t>
  </si>
  <si>
    <t>Boillod</t>
  </si>
  <si>
    <t>Ducré</t>
  </si>
  <si>
    <t>aurelia.boillod@ducre.fr</t>
  </si>
  <si>
    <t>http://www.linkedin.com/in/aur%c3%a9lia-boillod-791735237</t>
  </si>
  <si>
    <t>http://www.ducre.fr</t>
  </si>
  <si>
    <t>Saint-Georges-le-Gaultier</t>
  </si>
  <si>
    <t xml:space="preserve">Alencon, Normandy, France</t>
  </si>
  <si>
    <t xml:space="preserve">Génie climatique HVAC CVC chaufferie automatisme et qualification</t>
  </si>
  <si>
    <t>Dupriez</t>
  </si>
  <si>
    <t xml:space="preserve">SOPEGA TP</t>
  </si>
  <si>
    <t>dupriez@sopegatp.fr</t>
  </si>
  <si>
    <t>http://www.linkedin.com/in/vincent-dupriez-6692a9a3</t>
  </si>
  <si>
    <t>http://www.sopegatp.fr</t>
  </si>
  <si>
    <t xml:space="preserve">24 Rue Marion de Jacob, Merignac, Nouvelle-Aquitaine, France, 33700</t>
  </si>
  <si>
    <t xml:space="preserve">SOPEGA TP; PME à Mérignac vous présente son savoir faire dans les métiers des travaux publics, voirie et réseaux divers</t>
  </si>
  <si>
    <t>DEMATTEC</t>
  </si>
  <si>
    <t>julien@demattec.fr</t>
  </si>
  <si>
    <t>http://www.linkedin.com/in/julien-le-roy-897873a4</t>
  </si>
  <si>
    <t>http://www.demattec.fr</t>
  </si>
  <si>
    <t xml:space="preserve">Gometz-le-Chatel, Ile-de-France, France</t>
  </si>
  <si>
    <t>Guerizec</t>
  </si>
  <si>
    <t xml:space="preserve">PAUL TURPEAU</t>
  </si>
  <si>
    <t>guerizec@paul-turpeau.fr</t>
  </si>
  <si>
    <t>http://www.linkedin.com/in/jean-guerizec-852684152</t>
  </si>
  <si>
    <t>http://www.paul-turpeau.fr</t>
  </si>
  <si>
    <t>Lequertier</t>
  </si>
  <si>
    <t xml:space="preserve">SAS ERIC LEQUERTIER</t>
  </si>
  <si>
    <t>jerome.lequertier@lequertiersa.fr</t>
  </si>
  <si>
    <t>http://www.linkedin.com/in/j%c3%a9r%c3%b4me-lequertier-36a41710</t>
  </si>
  <si>
    <t>http://www.ericlequertier.com</t>
  </si>
  <si>
    <t xml:space="preserve">La Petite Bellevue, Saint-Jouan-des-Guerets, Bretagne, France, 35430</t>
  </si>
  <si>
    <t xml:space="preserve">Eric LEQUERTIER, architecte paysagiste à Saint-Malo (Saint-Jouan-des-Guerets), Dinard, Dinan, Rennes. Création de jardins, piscines, spas, services à la personne.</t>
  </si>
  <si>
    <t>Milon</t>
  </si>
  <si>
    <t>MILON-ISOLATION</t>
  </si>
  <si>
    <t>g.milon@milon-isolation.com</t>
  </si>
  <si>
    <t>http://www.linkedin.com/in/gaetan-milon-81961b17a</t>
  </si>
  <si>
    <t>http://www.milon-isolation.com</t>
  </si>
  <si>
    <t xml:space="preserve">Montauban-de-Bretagne, Brittany, France, 35360</t>
  </si>
  <si>
    <t>Baltz</t>
  </si>
  <si>
    <t xml:space="preserve">BEC CONSTRUCTION PROVENCE</t>
  </si>
  <si>
    <t>t.baltz@becprovence.fayat.com</t>
  </si>
  <si>
    <t>http://www.linkedin.com/in/tony-baltz-492738174</t>
  </si>
  <si>
    <t>http://www.becprovence.fayat.com</t>
  </si>
  <si>
    <t>Mazieux</t>
  </si>
  <si>
    <t xml:space="preserve">Fondateur et Directeur général SFECO SOLUTIONS Groupe AURALIANCE</t>
  </si>
  <si>
    <t>SFECO</t>
  </si>
  <si>
    <t>n.mazieux@sfeco.fr</t>
  </si>
  <si>
    <t>http://www.linkedin.com/in/nicolas-mazieux-188722112</t>
  </si>
  <si>
    <t>http://www.sfeco.eu</t>
  </si>
  <si>
    <t xml:space="preserve">135 Rue des Joncs des Bois, Avignon, Provence-Alpes-Cote d'Azur, France, 84000</t>
  </si>
  <si>
    <t>Solidem</t>
  </si>
  <si>
    <t>n.almeida@solidem.pro</t>
  </si>
  <si>
    <t>http://www.linkedin.com/in/nelsondealmeida</t>
  </si>
  <si>
    <t>http://www.solidem.fr</t>
  </si>
  <si>
    <t>Deuil-la-Barre</t>
  </si>
  <si>
    <t xml:space="preserve">Entreprise spécialisé en déconstruction, démolition, dépollution, et terrassement en région Nord de Paris (95, 92, 93, 78 et 60).</t>
  </si>
  <si>
    <t xml:space="preserve">INFRA Services</t>
  </si>
  <si>
    <t>tbenard@infraservices.fr</t>
  </si>
  <si>
    <t>http://www.linkedin.com/in/tony-benard</t>
  </si>
  <si>
    <t>http://www.infraservices.org</t>
  </si>
  <si>
    <t xml:space="preserve">55B Rue Gaston Boulet, Canteleu, Upper Normandy, France, 76380</t>
  </si>
  <si>
    <t>Larissa</t>
  </si>
  <si>
    <t>Forget</t>
  </si>
  <si>
    <t xml:space="preserve">Coméca Les Maisons</t>
  </si>
  <si>
    <t>larissa@maisons-comeca.com</t>
  </si>
  <si>
    <t>http://www.linkedin.com/in/larissa-jauffrineau-forget-60a6a41a1</t>
  </si>
  <si>
    <t>http://www.maisons-comeca.com</t>
  </si>
  <si>
    <t xml:space="preserve">10 Rue des Coteaux de Grand Lieu, Bouaye, Pays de la Loire, France, 44830</t>
  </si>
  <si>
    <t xml:space="preserve">Coméca constructeur de maisons individuelles en Vendée (85), Maine-et-loire (49) et Loire Atlantique (44). Contactez l'une de nos 10 agences.</t>
  </si>
  <si>
    <t>PREFACAT</t>
  </si>
  <si>
    <t>s.roussel@prefacat.fr</t>
  </si>
  <si>
    <t>http://www.linkedin.com/in/s%c3%a9bastien-roussel-%f0%9f%87%ab%f0%9f%87%b7-1a707566</t>
  </si>
  <si>
    <t>http://www.prefacat-sas.fr</t>
  </si>
  <si>
    <t xml:space="preserve">550 Rue de la Gare, Strazeele, Hauts-de-France, France, 59270</t>
  </si>
  <si>
    <t>Petrovic</t>
  </si>
  <si>
    <t xml:space="preserve">SAS PILET METAL &amp; PETROVIC</t>
  </si>
  <si>
    <t>m.petrovic@piletmetal.com</t>
  </si>
  <si>
    <t>http://www.linkedin.com/in/marko-petrovic-ab85571b9</t>
  </si>
  <si>
    <t>http://www.piletmetal.com</t>
  </si>
  <si>
    <t>Ruysschaert</t>
  </si>
  <si>
    <t xml:space="preserve">AXPACAAL Ingénierie</t>
  </si>
  <si>
    <t>v.ruysschaert@axpacaal.fr</t>
  </si>
  <si>
    <t>http://www.linkedin.com/in/vincent-ruysschaert-98872976</t>
  </si>
  <si>
    <t>http://www.axpacaal.fr</t>
  </si>
  <si>
    <t xml:space="preserve">14 Rue Paul Valentin, Annet-sur-Marne, Ile-de-France, France, 77410</t>
  </si>
  <si>
    <t xml:space="preserve">AXPACAAL – Bureau d’études techniques Bienvenue chez AXPACAAL Ingénierie, spécialiste de la conception et la rénovation de bâtiments durables.</t>
  </si>
  <si>
    <t>Berthelot</t>
  </si>
  <si>
    <t xml:space="preserve">CEO (Directeur Général)</t>
  </si>
  <si>
    <t xml:space="preserve">Advanced Green Services</t>
  </si>
  <si>
    <t>laurent.berthelot@greenhomes.fr</t>
  </si>
  <si>
    <t>http://www.linkedin.com/in/laurent-berthelot-762b7312</t>
  </si>
  <si>
    <t>http://www.greenhomes.fr</t>
  </si>
  <si>
    <t xml:space="preserve">Martillac, Aquitaine-Limousin-Poitou-Charentes, France, 33650</t>
  </si>
  <si>
    <t>Berbo</t>
  </si>
  <si>
    <t>BBbuild</t>
  </si>
  <si>
    <t>samuel.berbo@bbbuild.fr</t>
  </si>
  <si>
    <t>http://www.linkedin.com/in/samuel-berbo-427087239</t>
  </si>
  <si>
    <t>http://www.bbbuild.fr</t>
  </si>
  <si>
    <t>Daussy</t>
  </si>
  <si>
    <t xml:space="preserve">Daussy Constructions Métalliques</t>
  </si>
  <si>
    <t>jacques.daussy@daussy.fr</t>
  </si>
  <si>
    <t>http://www.linkedin.com/in/daussy</t>
  </si>
  <si>
    <t>http://www.daussy.fr</t>
  </si>
  <si>
    <t xml:space="preserve">386 Avenue des Fusilles, Sin-le-Noble, Hauts-de-France, France, 59450</t>
  </si>
  <si>
    <t>Mariette</t>
  </si>
  <si>
    <t>Demet'Air</t>
  </si>
  <si>
    <t>helene@demetair-vegetalisation.com</t>
  </si>
  <si>
    <t>http://www.linkedin.com/in/helenemariette</t>
  </si>
  <si>
    <t>http://www.demet-air.fr</t>
  </si>
  <si>
    <t xml:space="preserve">15 Rue Velane, Toulouse, Occitanie, France, 31000</t>
  </si>
  <si>
    <t xml:space="preserve">Démét'air : expert de la végétalisation à votre service. Découvrez nos solutions innovantes et accessibles adaptées à votre environnement.</t>
  </si>
  <si>
    <t>Archibien</t>
  </si>
  <si>
    <t>olivier@archibien.com</t>
  </si>
  <si>
    <t>http://www.linkedin.com/in/olimenard</t>
  </si>
  <si>
    <t>http://www.archibien.com</t>
  </si>
  <si>
    <t xml:space="preserve">58 Rue Eugene Freyssinet, Paris, Ile-de-France, France, 75013</t>
  </si>
  <si>
    <t xml:space="preserve">Un projet de construction, rénovation, extension ? Avec Archibien, trois architectes dessinent et chiffrent votre projet. Comparez, choisissez !</t>
  </si>
  <si>
    <t>Prozon</t>
  </si>
  <si>
    <t>gabriel@mysignalisation.fr</t>
  </si>
  <si>
    <t>http://www.linkedin.com/in/gabriel-guiral-a981a311a</t>
  </si>
  <si>
    <t>http://www.prozon.com</t>
  </si>
  <si>
    <t xml:space="preserve">9 Rue Gyptis, Marseille, Provence-Alpes-Cote d'Azur, France, 13006</t>
  </si>
  <si>
    <t xml:space="preserve">Gagnez du temps dans vos achats professionnels grâce à nos gammes de produits simples et au meilleur prix. Service client français &amp; livraison rapide.</t>
  </si>
  <si>
    <t>p.guenot@commespace.fr</t>
  </si>
  <si>
    <t>http://www.linkedin.com/in/philippe-guenot-393a34128</t>
  </si>
  <si>
    <t>Courtilles</t>
  </si>
  <si>
    <t xml:space="preserve">Imperium Ouvertures</t>
  </si>
  <si>
    <t>t.decourtilles@imperium-ouvertures.fr</t>
  </si>
  <si>
    <t>http://www.linkedin.com/in/thierry-de-courtilles-3276923a</t>
  </si>
  <si>
    <t>http://www.imperium-ouvertures.fr</t>
  </si>
  <si>
    <t xml:space="preserve">La Ravoire, Auvergne-Rhone-Alpes, France</t>
  </si>
  <si>
    <t xml:space="preserve">Société régionale et indépendante pour vos projets : fenêtre, volet, porte d'entrée, porte de garage, store, pergola, portail, véranda...</t>
  </si>
  <si>
    <t>CHARDIN</t>
  </si>
  <si>
    <t>t.marchand@ets-chardin.fr</t>
  </si>
  <si>
    <t>http://www.linkedin.com/in/thomas-marchand-4827b08b</t>
  </si>
  <si>
    <t>http://www.ets-chardin.fr</t>
  </si>
  <si>
    <t xml:space="preserve">24 Rue Auguste Perret, Villejuif, Ile-de-France, France, 94800</t>
  </si>
  <si>
    <t>Lesaffre</t>
  </si>
  <si>
    <t>SEMA</t>
  </si>
  <si>
    <t>alban.lesaffre@sema-france.fr</t>
  </si>
  <si>
    <t>http://www.linkedin.com/in/alban-lesaffre-2898b969</t>
  </si>
  <si>
    <t>http://www.sema-france.fr</t>
  </si>
  <si>
    <t xml:space="preserve">68 Rue Jordaens, Lille, Hauts-de-France, France, 59000</t>
  </si>
  <si>
    <t>Frouin</t>
  </si>
  <si>
    <t xml:space="preserve">Groupe Vigier</t>
  </si>
  <si>
    <t>s.frouin@vigier-construction.com</t>
  </si>
  <si>
    <t>http://www.linkedin.com/in/frouin-s%c3%a9bastien-a2530148</t>
  </si>
  <si>
    <t>http://www.groupevigier.com</t>
  </si>
  <si>
    <t xml:space="preserve">Rue de l'Innovation, Coulounieix-Chamiers, Nouvelle-Aquitaine, France, 24660</t>
  </si>
  <si>
    <t xml:space="preserve">Nos pôles d'activités du Groupe Vigier Entreprises sont composés de 4 pôles regroupant des savoir-faire transverses. Le pôle Construction...</t>
  </si>
  <si>
    <t>Delbos</t>
  </si>
  <si>
    <t>CAPRARO</t>
  </si>
  <si>
    <t>jules.delbos@capraro.fr</t>
  </si>
  <si>
    <t>http://www.linkedin.com/in/jules-delbos-873177104</t>
  </si>
  <si>
    <t>http://www.capraro.fr</t>
  </si>
  <si>
    <t>Capdenac-Gare</t>
  </si>
  <si>
    <t xml:space="preserve">Saint-Andre-de-Cubzac, Aquitaine, France</t>
  </si>
  <si>
    <t>Pistiaux</t>
  </si>
  <si>
    <t xml:space="preserve">BUREAU D'ETUDES QSB</t>
  </si>
  <si>
    <t>denis.pistiaux@qsb.fr</t>
  </si>
  <si>
    <t>http://www.linkedin.com/in/denis-pistiaux-a24a1183</t>
  </si>
  <si>
    <t>http://www.qsb.fr</t>
  </si>
  <si>
    <t xml:space="preserve">Lannion, Brittany, France</t>
  </si>
  <si>
    <t xml:space="preserve">QSB, bureau d'études en ingénierie du bâtiment et spécialiste des structures bois à LANNION, VANNES ET RENNES.</t>
  </si>
  <si>
    <t xml:space="preserve">SHOW YOU</t>
  </si>
  <si>
    <t>l.granier@show-you.fr</t>
  </si>
  <si>
    <t>http://www.linkedin.com/in/lionel-granier-896a51a5</t>
  </si>
  <si>
    <t>http://www.show-you.fr</t>
  </si>
  <si>
    <t xml:space="preserve">Nous avons conçu une solution numérique destinée aux promoteurs et acquéreurs afin de faciliter les demandes de Travaux Modificatifs Acquéreurs et Choix Décoratifs.</t>
  </si>
  <si>
    <t>Gaignard</t>
  </si>
  <si>
    <t xml:space="preserve">FERATTE SAS</t>
  </si>
  <si>
    <t>d.gaignard@feratte.fr</t>
  </si>
  <si>
    <t>http://www.linkedin.com/in/d%c3%a9borah-gaignard-b67bb2120</t>
  </si>
  <si>
    <t>http://www.feratte.fr</t>
  </si>
  <si>
    <t xml:space="preserve">Le Bignon, Guichen, Bretagne, France, 35580</t>
  </si>
  <si>
    <t xml:space="preserve">Forte de son expérience depuis plus de 30 ans, la société Feratte est spécialisée dans la couverture, le bardage et l’étanchéité.</t>
  </si>
  <si>
    <t>Mella</t>
  </si>
  <si>
    <t xml:space="preserve">K2 ENERGIES</t>
  </si>
  <si>
    <t>frederic.mella@k2energies.com</t>
  </si>
  <si>
    <t>http://www.linkedin.com/in/fredericmella</t>
  </si>
  <si>
    <t>http://www.k2energies.com</t>
  </si>
  <si>
    <t xml:space="preserve">6 Rue du Parc, Le Bouscat, Aquitaine, France, 33110</t>
  </si>
  <si>
    <t xml:space="preserve">K2 ENERGIES, acteur régional en Gironde, propose des services de rénovation énergétique pour optimiser le confort thermique et la performance des bâtiments.</t>
  </si>
  <si>
    <t>Paule</t>
  </si>
  <si>
    <t xml:space="preserve">NET ETANCHEITE</t>
  </si>
  <si>
    <t>n.paule@netetancheite.com</t>
  </si>
  <si>
    <t>http://www.linkedin.com/in/nicolas-paule-80b5b1136</t>
  </si>
  <si>
    <t>http://www.netetancheite.com</t>
  </si>
  <si>
    <t xml:space="preserve">147 Avenue Marcel Merieux, Brignais, Rhone-Alpes, France, 69530</t>
  </si>
  <si>
    <t xml:space="preserve">Entreprise d'étanchéité située à 69530 Brignais près de Lyon 69. Nous sommes spécialisé dans les toitures terrasses, terrasses sur plots, végétalisation.</t>
  </si>
  <si>
    <t>Cluzel</t>
  </si>
  <si>
    <t xml:space="preserve">Maisons &amp; Architectures</t>
  </si>
  <si>
    <t>pcluzel@maisonsetarchitectures.com</t>
  </si>
  <si>
    <t>http://www.linkedin.com/in/pcluzelvirtualizationstorage</t>
  </si>
  <si>
    <t>http://www.maisonsetarchitectures.com</t>
  </si>
  <si>
    <t xml:space="preserve">64 Avenue du Roussillon, Aubiere, Auvergne, France, 63170</t>
  </si>
  <si>
    <t xml:space="preserve">Maisons &amp; Architectures conçoit des maisons sur mesure selon vos besoins et votre mode de vie. C’est avant tout vôtre maison ! Nous la concevons donc ensemble pour votre confort, votre bien être, en économisant l’énergie et en préserverant l’environnement.</t>
  </si>
  <si>
    <t>Gallerand</t>
  </si>
  <si>
    <t>GALLERAND</t>
  </si>
  <si>
    <t>wilfried.gallerand@gallerand.com</t>
  </si>
  <si>
    <t>http://www.linkedin.com/in/wilfried-gallerand-b26955200</t>
  </si>
  <si>
    <t>http://www.gallerand.com</t>
  </si>
  <si>
    <t xml:space="preserve">Nouvoitou, Brittany, France, 35410</t>
  </si>
  <si>
    <t xml:space="preserve">Gallerand votre expert sur Rennes et sa région pour vos travaux de sciage béton mural, au sol et par câble ainsi que le carottage, la démolition et le terrassement. Nous nous adressons aux professionnel et aux particuliers pour créer vos ouvertures, vos pecements et vos démolitions.</t>
  </si>
  <si>
    <t>Salame</t>
  </si>
  <si>
    <t xml:space="preserve">ISOTECH SAL</t>
  </si>
  <si>
    <t>josephsalame@isotechsal.com</t>
  </si>
  <si>
    <t>http://www.linkedin.com/in/joseph-salame</t>
  </si>
  <si>
    <t>http://www.isotechsal.com</t>
  </si>
  <si>
    <t xml:space="preserve">11 Rue Gergi Baz, Beirut, Beirut Governorate, Lebanon</t>
  </si>
  <si>
    <t>Sauliere</t>
  </si>
  <si>
    <t>ASO</t>
  </si>
  <si>
    <t>v.sauliere@aso31.fr</t>
  </si>
  <si>
    <t>http://www.linkedin.com/in/vanessa-sauliere-202357160</t>
  </si>
  <si>
    <t>http://www.aso31.com</t>
  </si>
  <si>
    <t xml:space="preserve">5 Route de Seysses, Toulouse, Occitanie, France, 31100</t>
  </si>
  <si>
    <t xml:space="preserve">ASO est spécialisé en alarme, climatisation, portails et portes automatiques et équipe les particuliers et professionnels sur Toulouse</t>
  </si>
  <si>
    <t>Estrabole</t>
  </si>
  <si>
    <t>REPASOL</t>
  </si>
  <si>
    <t>mathieu.estrabole@repasol.fr</t>
  </si>
  <si>
    <t>http://www.linkedin.com/in/mathieu-estrabole-6a1620170</t>
  </si>
  <si>
    <t>http://www.repasol.fr</t>
  </si>
  <si>
    <t xml:space="preserve">3 Rue Bernard Palissy, Bruay-la-Buissiere, Hauts-de-France, France, 62700</t>
  </si>
  <si>
    <t xml:space="preserve">Spécialisé dans les réparations, et la maintenance de sol industriel depuis plus de 25 ans, Répasol Solutions est l'expert qu'il vous faut! Notre société est certifié QUALIBAT pour vous garantir des travaux de Qualité. Nous intervenons dans toute la France</t>
  </si>
  <si>
    <t xml:space="preserve">AZUR TRAVAUX</t>
  </si>
  <si>
    <t>f.michel@azur-travaux.fr</t>
  </si>
  <si>
    <t>http://www.linkedin.com/in/fabrice-michel-34701b211</t>
  </si>
  <si>
    <t>http://www.azur-travaux.fr</t>
  </si>
  <si>
    <t>Brignoles</t>
  </si>
  <si>
    <t xml:space="preserve">418 Rue de la Creation, Brignoles, Provence-Alpes-Cote d'Azur, France, 83170</t>
  </si>
  <si>
    <t>ENRGETHIQUE</t>
  </si>
  <si>
    <t>a.roussel@enrgethique.fr</t>
  </si>
  <si>
    <t>http://www.linkedin.com/in/arnaud-roussel-50a553142</t>
  </si>
  <si>
    <t>http://www.enrgethique.com</t>
  </si>
  <si>
    <t>Rhone</t>
  </si>
  <si>
    <t>REM-ISOL</t>
  </si>
  <si>
    <t>olivier.rhone@rem-isol.fr</t>
  </si>
  <si>
    <t>http://www.linkedin.com/in/olivierrhone</t>
  </si>
  <si>
    <t>http://www.rem-isol.fr</t>
  </si>
  <si>
    <t xml:space="preserve">Cormontreuil, Champagne-Ardenne, France</t>
  </si>
  <si>
    <t xml:space="preserve">Remisol est spécialisée dans l'isolation industrielle (thermique et frigorifique). Nous sommes situés à Cormontreuil près de Reims.</t>
  </si>
  <si>
    <t>Apkarian</t>
  </si>
  <si>
    <t xml:space="preserve">BOST Diagnostics Structures</t>
  </si>
  <si>
    <t>aapkarian@bost-bds.com</t>
  </si>
  <si>
    <t>http://www.linkedin.com/in/anthony-apkarian-92b9a49b</t>
  </si>
  <si>
    <t>http://www.bost-bds.com</t>
  </si>
  <si>
    <t xml:space="preserve">1997 Rue Jean Rostand, La Talaudiere, Auvergne-Rhone-Alpes, France, 42350</t>
  </si>
  <si>
    <t xml:space="preserve">BOST Diagnostics Structures est expert dans l’inspection et l’analyse des ouvrages existants.</t>
  </si>
  <si>
    <t>ALPHAMETAL</t>
  </si>
  <si>
    <t>c.delannoy@groupebriand.fr</t>
  </si>
  <si>
    <t>http://www.linkedin.com/in/christophe-delannoy-26bb93103</t>
  </si>
  <si>
    <t>http://www.alphametal.com</t>
  </si>
  <si>
    <t xml:space="preserve">24 Rue Emile Baudot, Palaiseau, Ile-de-France, France, 91120</t>
  </si>
  <si>
    <t xml:space="preserve">Since 1976 Alpha Metal Finishing has been a trusted leader in anodizing and aluminum finishing services based in Michigan, passionate about providing superior quality, rapid turnaround, and friendly, responsive service. Alpha is ISO 9001:2015 certified.</t>
  </si>
  <si>
    <t>Juliot</t>
  </si>
  <si>
    <t xml:space="preserve">Maisons Lelièvre</t>
  </si>
  <si>
    <t>juliot@maisons-lelievre.fr</t>
  </si>
  <si>
    <t>http://www.linkedin.com/in/jimmy-juliot-b13512189</t>
  </si>
  <si>
    <t>http://www.maisons-lelievre.fr</t>
  </si>
  <si>
    <t xml:space="preserve">21 Rue des Mardelles, Le Luart, Pays de la Loire, France, 72390</t>
  </si>
  <si>
    <t xml:space="preserve">Maison Lelièvre propose la construction maisons neuves traditionnelles ou modernes RE 2020 ainsi qu'un grand choix de terrains constructibles.</t>
  </si>
  <si>
    <t>Porfirio</t>
  </si>
  <si>
    <t xml:space="preserve">ESTEVES FRERES</t>
  </si>
  <si>
    <t>p.esteves@estevesfreres.fr</t>
  </si>
  <si>
    <t>http://www.linkedin.com/in/porfirio-esteves-b87365131</t>
  </si>
  <si>
    <t>http://www.estevesfreres.net</t>
  </si>
  <si>
    <t>Garches</t>
  </si>
  <si>
    <t xml:space="preserve">10 Boulevard du General de Gaulle, Garches, Ile-de-France, France, 92380</t>
  </si>
  <si>
    <t xml:space="preserve">Depuis plus de 50 ans, Estèves Frères cultive son savoir-faire, l’enrichi de nouvelles techniques mais surtout transmet aux générations qui se succèdent bon nombre de techniques comme : la reprise en sous œuvre, la rénovation et la construction avec utilisation de cuvelages et colles spéciales.</t>
  </si>
  <si>
    <t>SFMP</t>
  </si>
  <si>
    <t>philippe.roland@sfmp.fr</t>
  </si>
  <si>
    <t>http://www.linkedin.com/in/philippe-roland10</t>
  </si>
  <si>
    <t>http://www.sfmp.fr</t>
  </si>
  <si>
    <t>Plaisir</t>
  </si>
  <si>
    <t xml:space="preserve">2048 Rue Jules Regnier, Plaisir, Ile-de-France, France, 78370</t>
  </si>
  <si>
    <t xml:space="preserve">SFMP, entreprise de Métallerie, Serrurerie, Ferronnerie d'art. Fabrication et rénovation d'ouvrages de métallerie sur-mesure. Yvelines 78</t>
  </si>
  <si>
    <t>Ringo</t>
  </si>
  <si>
    <t>GOUNOT</t>
  </si>
  <si>
    <t>r.azevedo@gounot.fr</t>
  </si>
  <si>
    <t>http://www.linkedin.com/in/ringo-azevedo-503097176</t>
  </si>
  <si>
    <t>http://www.gounot.fr</t>
  </si>
  <si>
    <t xml:space="preserve">10 Rue des Sablons, Boissy-Saint-Leger, Ile-de-France, France, 94470</t>
  </si>
  <si>
    <t xml:space="preserve">GOUNOT, c’est avant tout un savoir-faire de plus de 50 ans d’expérience dans le domaine de l’électricité industrielle et tertiaire.</t>
  </si>
  <si>
    <t>Arazi</t>
  </si>
  <si>
    <t>Depanneo</t>
  </si>
  <si>
    <t>simon@depanneo.com</t>
  </si>
  <si>
    <t>http://www.linkedin.com/in/simonaraziwebdev</t>
  </si>
  <si>
    <t>http://www.depanneo.com</t>
  </si>
  <si>
    <t xml:space="preserve">Avec Depanneo.com Trouvez les meilleurs Artisans à proximité ☎ 09 70 70 07 37 ✅ 24H/24 &amp; 7J/7 ✚ 500 Avis Positifs - Vu à la TV.</t>
  </si>
  <si>
    <t>Baheux</t>
  </si>
  <si>
    <t>SATP</t>
  </si>
  <si>
    <t>thomas.baheux@satp.fr</t>
  </si>
  <si>
    <t>http://www.linkedin.com/in/thomas-baheux-32977963</t>
  </si>
  <si>
    <t>http://www.satp.fr</t>
  </si>
  <si>
    <t xml:space="preserve">Allee de l'Europe, Mandres-les-Roses, Ile-de-France, France, 94520</t>
  </si>
  <si>
    <t xml:space="preserve">SATP est une entreprise spécialisée dans le pavage, le dallage et l'aménagement des sols pour des organismes publics ou privés.</t>
  </si>
  <si>
    <t>Loriaux</t>
  </si>
  <si>
    <t xml:space="preserve">Sweet Home Technology</t>
  </si>
  <si>
    <t>c.loriaux@sweethometechnology.com</t>
  </si>
  <si>
    <t>http://www.linkedin.com/in/cedric-loriaux-93a26590</t>
  </si>
  <si>
    <t>http://www.sweethometechnology.com</t>
  </si>
  <si>
    <t>Villeneuve-les-Avignon</t>
  </si>
  <si>
    <t xml:space="preserve">Roquemaure, Languedoc-Roussillon-Midi-Pyrenees, France, 30150</t>
  </si>
  <si>
    <t xml:space="preserve">Sweet Home Technology est une entreprise de construction de maison en container maritime dans le sud de la France.</t>
  </si>
  <si>
    <t>Marie-Ange</t>
  </si>
  <si>
    <t>Ramos</t>
  </si>
  <si>
    <t>ETRELEC</t>
  </si>
  <si>
    <t>marie-ange.ramos@etrelec.fr</t>
  </si>
  <si>
    <t>http://www.linkedin.com/in/marie-ange-gay-ramos-26328712b</t>
  </si>
  <si>
    <t>http://www.etrelec.fr</t>
  </si>
  <si>
    <t>Blanquefort</t>
  </si>
  <si>
    <t xml:space="preserve">Grigny, Ile-de-France, France</t>
  </si>
  <si>
    <t>Biggi</t>
  </si>
  <si>
    <t xml:space="preserve">President fondateur</t>
  </si>
  <si>
    <t xml:space="preserve">BIGGI CONSTRUCTIONS</t>
  </si>
  <si>
    <t>cbiggi@biggiconstructions.fr</t>
  </si>
  <si>
    <t>http://www.linkedin.com/in/cyril-biggi-974234242</t>
  </si>
  <si>
    <t>http://www.biggiconstructions.fr</t>
  </si>
  <si>
    <t xml:space="preserve">Fos-sur-Mer, Provence-Alpes-Cote d'Azur, France</t>
  </si>
  <si>
    <t xml:space="preserve">Maçonnerie générale, rénovations &amp; charpente, piscine, clôture et génie civil, Biggi Constructions votre expert Maçconnerie à Fos dans les Bouche du Rhône.</t>
  </si>
  <si>
    <t>Gestin</t>
  </si>
  <si>
    <t xml:space="preserve">Ingénieur Expert Construction - Président de la SAS Iris Expertise</t>
  </si>
  <si>
    <t xml:space="preserve">IRIS Expertise</t>
  </si>
  <si>
    <t>n.gestin@iris-expertise.fr</t>
  </si>
  <si>
    <t>http://www.linkedin.com/in/nicolas-gestin-544b18105</t>
  </si>
  <si>
    <t>http://www.iris-expertise.fr</t>
  </si>
  <si>
    <t xml:space="preserve">Vern-sur-Seiche, Brittany, France, 35770</t>
  </si>
  <si>
    <t xml:space="preserve">Iris Expertise</t>
  </si>
  <si>
    <t>Negretto</t>
  </si>
  <si>
    <t xml:space="preserve">ESPACE CHARPENTE</t>
  </si>
  <si>
    <t>l.negretto@espacecharpente.com</t>
  </si>
  <si>
    <t>http://www.linkedin.com/in/laurent-negretto-b2746a276</t>
  </si>
  <si>
    <t>http://www.espacecharpente.com</t>
  </si>
  <si>
    <t xml:space="preserve">1 Chemin des Cotes, Longages, Occitanie, France, 31410</t>
  </si>
  <si>
    <t xml:space="preserve">ACETECH Structure</t>
  </si>
  <si>
    <t>ssaunier@acetech-bet.com</t>
  </si>
  <si>
    <t>http://www.linkedin.com/in/serge-saunier-86725986</t>
  </si>
  <si>
    <t>http://www.acetech-bet.com</t>
  </si>
  <si>
    <t xml:space="preserve">9 Rue de Morsang, Villemoisson-sur-Orge, Ile-de-France, France, 91360</t>
  </si>
  <si>
    <t xml:space="preserve">Bureau d'études spécialiste des structures en Béton Armé, ACETECH intervient sur tout type d’ouvrage bâtiment en neuf ou en rénovation...</t>
  </si>
  <si>
    <t>Adil</t>
  </si>
  <si>
    <t>Harmal</t>
  </si>
  <si>
    <t>HPROJECT</t>
  </si>
  <si>
    <t>adil.harmal@hproject.fr</t>
  </si>
  <si>
    <t>http://www.linkedin.com/in/adil-harmal-22ab781b9</t>
  </si>
  <si>
    <t>http://www.hproject.fr</t>
  </si>
  <si>
    <t xml:space="preserve">HProject travaille pour le compte de Maîtres d’Ouvrages privés et publics dans différents domaines : tertiaires, administrations, bâtiments industriels et techniques…</t>
  </si>
  <si>
    <t xml:space="preserve">ETS LECUYER</t>
  </si>
  <si>
    <t>geoffrey.plisson@etslecuyer.com</t>
  </si>
  <si>
    <t>http://www.linkedin.com/in/geoffrey-plisson-4808b1211</t>
  </si>
  <si>
    <t>http://www.etslecuyer.com</t>
  </si>
  <si>
    <t xml:space="preserve">La Villeneuve-en-Chevrie</t>
  </si>
  <si>
    <t xml:space="preserve">Ferrieres-en-Brie, Ile-de-France, France</t>
  </si>
  <si>
    <t>Buffin</t>
  </si>
  <si>
    <t>BEAUFRERE-TP</t>
  </si>
  <si>
    <t>alexis.buffin@buffin-tp.fr</t>
  </si>
  <si>
    <t>http://www.linkedin.com/in/alexis-buffin-007a01a5</t>
  </si>
  <si>
    <t>http://www.groupe-buffin.fr</t>
  </si>
  <si>
    <t xml:space="preserve">9 Rue Jules Ferry, Saint-Symphorien-d'Ozon, Auvergne-Rhone-Alpes, France, 69360</t>
  </si>
  <si>
    <t>Gazelle</t>
  </si>
  <si>
    <t xml:space="preserve">PAQUET SAS</t>
  </si>
  <si>
    <t>steph.gazelle@entpaquet.fr</t>
  </si>
  <si>
    <t>http://www.linkedin.com/in/st%c3%a9phane-gazelle-433893b2</t>
  </si>
  <si>
    <t>http://www.entpaquet.fr</t>
  </si>
  <si>
    <t xml:space="preserve">Fontaine-les-Dijon, Burgundy, France</t>
  </si>
  <si>
    <t xml:space="preserve">L'entreprise paquet est spécialisée dans le bâtiment et plus particulièrement dans la fabrication de gros œuvres dans la région Dijonnaise</t>
  </si>
  <si>
    <t>Boeri</t>
  </si>
  <si>
    <t xml:space="preserve">BRIAND SAS</t>
  </si>
  <si>
    <t>f.boeri@briand-sas.fr</t>
  </si>
  <si>
    <t>http://www.linkedin.com/in/fabien-boeri-8192099b</t>
  </si>
  <si>
    <t>http://www.briand-sas.fr</t>
  </si>
  <si>
    <t xml:space="preserve">Impasse des Armoiries, Villiers-sur-Marne, Ile-de-France, France, 94350</t>
  </si>
  <si>
    <t xml:space="preserve">BRIAND / Entreprise Générale de Bâtiment, Qualifiée QUALIBAT RGE - Gros Oeuvre - Maçonnerie - Carrelage - Menuiserie.</t>
  </si>
  <si>
    <t>Gomart</t>
  </si>
  <si>
    <t>PaintUP</t>
  </si>
  <si>
    <t>romaric.gomart@paintup.fr</t>
  </si>
  <si>
    <t>http://www.linkedin.com/in/romaricgomart</t>
  </si>
  <si>
    <t>http://www.paintup.fr</t>
  </si>
  <si>
    <t xml:space="preserve">Chez PaintUP nous développons une solution robotisée pour réaliser des travaux de nettoyage, décapage et peinture de surfaces de grandes dimensions.</t>
  </si>
  <si>
    <t>Maindron</t>
  </si>
  <si>
    <t xml:space="preserve">Gérant / CEO</t>
  </si>
  <si>
    <t xml:space="preserve">GROUPE MAINDRON</t>
  </si>
  <si>
    <t>fabrice.maindron@maindron.fr</t>
  </si>
  <si>
    <t>http://www.linkedin.com/in/fabrice-maindron-72a56b3</t>
  </si>
  <si>
    <t>http://www.maindron.fr</t>
  </si>
  <si>
    <t xml:space="preserve">12 Rue des Freres Lumiere, Treillieres, Pays de la Loire, France, 44119</t>
  </si>
  <si>
    <t xml:space="preserve">Réparation et renforcement des planchers et charpentes - Traitement et protection des bois et maçonneries - Création de planchers mixtes bois-béton</t>
  </si>
  <si>
    <t>Verite</t>
  </si>
  <si>
    <t>VAC</t>
  </si>
  <si>
    <t>ludovic.verite@vac-location.com</t>
  </si>
  <si>
    <t>http://www.linkedin.com/in/ludovic-v%c3%a9rit%c3%a9-0872262</t>
  </si>
  <si>
    <t>http://www.vac-location.com</t>
  </si>
  <si>
    <t>Maule</t>
  </si>
  <si>
    <t xml:space="preserve">29 Rue de Clairbois, Les Alluets-le-Roi, Ile-de-France, France, 78580</t>
  </si>
  <si>
    <t xml:space="preserve">OFFREZ LES MEILLEURES CONDITIONS DE TRAVAIL A VOS ÉQUIPES CHANTIER ET CONCENTREZ-VOUS SUR VOTRE MÉTIER</t>
  </si>
  <si>
    <t>VIVOLUM</t>
  </si>
  <si>
    <t>o.riom@vivolum.fr</t>
  </si>
  <si>
    <t>http://www.linkedin.com/in/olivier-riom-24b52110</t>
  </si>
  <si>
    <t>http://www.vivolum.fr</t>
  </si>
  <si>
    <t xml:space="preserve">Agencement de bureaux</t>
  </si>
  <si>
    <t>Vandaele</t>
  </si>
  <si>
    <t>TeCoBat</t>
  </si>
  <si>
    <t>fvandaele@tecobat.fr</t>
  </si>
  <si>
    <t>http://www.linkedin.com/in/franck-vandaele-761540106</t>
  </si>
  <si>
    <t>http://www.tecobat.fr</t>
  </si>
  <si>
    <t xml:space="preserve">Allee de Strasbourg, Bailleul, Hauts-de-France, France, 59270</t>
  </si>
  <si>
    <t xml:space="preserve">TECOBAT, votre entreprise de gros œuvre, spécialisée dans les travaux neufs de maçonnerie et de béton armé pour logement collectif et individuel groupé dans la métropole européenne de Lille et ses alentours, dans les Flandres et sur l’ensemble du littoral dunkerquois, partenaire des collectivités, promoteurs, architectes et professionnels depuis 1998.</t>
  </si>
  <si>
    <t xml:space="preserve">SV MIROITERIE</t>
  </si>
  <si>
    <t>guerin@sv-miroiterie.fr</t>
  </si>
  <si>
    <t>http://www.linkedin.com/in/marc-guerin-23240a88</t>
  </si>
  <si>
    <t>http://www.sv-miroiterie.fr</t>
  </si>
  <si>
    <t xml:space="preserve">Rots, Normandy, France, 14980</t>
  </si>
  <si>
    <t>Linconyl</t>
  </si>
  <si>
    <t>vgirard@linconyl.com</t>
  </si>
  <si>
    <t>http://www.linkedin.com/in/vincent-girard-a22372174</t>
  </si>
  <si>
    <t>http://www.linconyl.com</t>
  </si>
  <si>
    <t xml:space="preserve">14 Boulevard Pierre Lefaucheux, Le Mans, Pays de la Loire, France, 72100</t>
  </si>
  <si>
    <t xml:space="preserve">Linconyl, c'est votre spécialiste menuiseries, stores, vérandas et pergolas. Changez vos espaces extérieurs et intérieurs pour plus de confort.</t>
  </si>
  <si>
    <t xml:space="preserve">Groupe CARRÉ</t>
  </si>
  <si>
    <t>f.carre@carre-sa.com</t>
  </si>
  <si>
    <t>http://www.linkedin.com/in/fr%c3%a9d%c3%a9ric-carre-sa</t>
  </si>
  <si>
    <t>http://www.carre-sa.com</t>
  </si>
  <si>
    <t xml:space="preserve">Tournefeuille, Occitanie, France, 31170</t>
  </si>
  <si>
    <t>Beck</t>
  </si>
  <si>
    <t xml:space="preserve">SOTRAVEST Entreprise de construction</t>
  </si>
  <si>
    <t>thomas.beck@sotravest.fr</t>
  </si>
  <si>
    <t>http://www.linkedin.com/in/thomas-beck-86174282</t>
  </si>
  <si>
    <t>http://www.sotravest.fr</t>
  </si>
  <si>
    <t xml:space="preserve">Oberbronn, Alsace, France</t>
  </si>
  <si>
    <t xml:space="preserve">Sotravest, entreprise familiale de bâtiment et travaux publics créée en 1945, propose son savoir-faire dans quatre métiers sur la zone Grand-Est : Bâtiment, Travaux Publics, Génie-Civil et Entreprise Générale de Bâtiment.</t>
  </si>
  <si>
    <t>Olesinski</t>
  </si>
  <si>
    <t>BATILOC</t>
  </si>
  <si>
    <t>ludovic.olesinski@batiloc.fr</t>
  </si>
  <si>
    <t>http://www.linkedin.com/in/ludovic-olesinski-214887128</t>
  </si>
  <si>
    <t>http://www.batiloc.com</t>
  </si>
  <si>
    <t xml:space="preserve">1 Residence Le Clos du Parc, Santes, Hauts-de-France, France, 59211</t>
  </si>
  <si>
    <t xml:space="preserve">Spécialiste des bâtiments modulaires et conteneurs, Batiloc c'est 4 agences à votre service pour vous accompagner dans vos recherches</t>
  </si>
  <si>
    <t xml:space="preserve">Groupe VÉRANDALINE</t>
  </si>
  <si>
    <t>f.leduc@verandaline.com</t>
  </si>
  <si>
    <t>http://www.linkedin.com/in/francis-leduc-356219100</t>
  </si>
  <si>
    <t>http://www.verandaline.com</t>
  </si>
  <si>
    <t xml:space="preserve">Corlay, Brittany, France</t>
  </si>
  <si>
    <t xml:space="preserve">Vérandaline, spécialiste de l'extension de maison et de la véranda sur-mesure pour vous offrir une pièce de vie qui répond à toutes vos envies</t>
  </si>
  <si>
    <t>Chafey</t>
  </si>
  <si>
    <t>joseph.chafey@ae75.fr</t>
  </si>
  <si>
    <t>http://www.linkedin.com/in/joseph-chafey-9aa880a9</t>
  </si>
  <si>
    <t>http://www.alliance-economie.fr</t>
  </si>
  <si>
    <t xml:space="preserve">BERMAX CONSTRUCTION</t>
  </si>
  <si>
    <t>g.lefevre@bermax.com</t>
  </si>
  <si>
    <t>http://www.linkedin.com/in/gregory-lefevre</t>
  </si>
  <si>
    <t>http://www.bermax-constructions.fr</t>
  </si>
  <si>
    <t xml:space="preserve">267 Route de Saint-Jean d'Angely, Saint-Yrieix-sur-Charente, Nouvelle-Aquitaine, France, 16710</t>
  </si>
  <si>
    <t xml:space="preserve">Bermax construction : constructeur de maisons individuelles depuis 1990, vous accompagne tout au long de votre projet de construction.</t>
  </si>
  <si>
    <t>Zennaf</t>
  </si>
  <si>
    <t xml:space="preserve">Co-fondateur de OXY INGENIERIE</t>
  </si>
  <si>
    <t xml:space="preserve">OXY Ingénierie</t>
  </si>
  <si>
    <t>mehdi.zennaf@oxy-ingenierie.com</t>
  </si>
  <si>
    <t>http://www.linkedin.com/in/mehdi-zennaf-100aa21a6</t>
  </si>
  <si>
    <t>http://www.oxyingenierie.com</t>
  </si>
  <si>
    <t xml:space="preserve">12 Rue Mauborget, Lausanne, Vaud, Switzerland, 1003</t>
  </si>
  <si>
    <t xml:space="preserve">Oxy Ingénierie Sàrl est la résultante de l’association de deux Ingénieurs spécialistes ayant développé pendant plus de 10 ans leur expertise dans l’Ingénierie Technique du Bâtiment. Suisse, France, International. Chauffage, Ventilation, Sanitaire.
https://www.oxyingenierie.com</t>
  </si>
  <si>
    <t>Brandizi</t>
  </si>
  <si>
    <t xml:space="preserve">GROUPE BRANDIZI</t>
  </si>
  <si>
    <t>hugo@groupebrandizi.fr</t>
  </si>
  <si>
    <t>http://www.linkedin.com/in/hugo-brandizi</t>
  </si>
  <si>
    <t>http://www.groupebrandizi.fr</t>
  </si>
  <si>
    <t>Lucciana</t>
  </si>
  <si>
    <t xml:space="preserve">Route de Lucciana, Borgo, Corsica, France, 20290</t>
  </si>
  <si>
    <t xml:space="preserve">Brandizi Promotion, filiale promotion immobilière du Groupe Brandizi, est votre promoteur immobilier en Corse. Un projet d’achat immobilier ?</t>
  </si>
  <si>
    <t xml:space="preserve">GLOBALIS BTP</t>
  </si>
  <si>
    <t>nicolas.faure@globalis-btp.fr</t>
  </si>
  <si>
    <t>http://www.linkedin.com/in/nicolas-faure-bab04018</t>
  </si>
  <si>
    <t>http://www.globalis-btp.fr</t>
  </si>
  <si>
    <t xml:space="preserve">Bussy-Saint-Martin, Ile-de-France, France, 77600</t>
  </si>
  <si>
    <t xml:space="preserve">PDG de Mon Projet Bois Nord Europe</t>
  </si>
  <si>
    <t>MONPROJETBOIS.COM</t>
  </si>
  <si>
    <t>b.bouchard@monprojetbois.com</t>
  </si>
  <si>
    <t>http://www.linkedin.com/in/benoit-bouchard-249122102</t>
  </si>
  <si>
    <t>http://www.monprojetbois.com</t>
  </si>
  <si>
    <t xml:space="preserve">112 Cours Gambetta, Cenon, Aquitaine, France, 33150</t>
  </si>
  <si>
    <t xml:space="preserve">Bureau d'études bois, nous réalisons des études, des prestations de conseils techniques et des missions d'expertises.</t>
  </si>
  <si>
    <t>Raimondo</t>
  </si>
  <si>
    <t xml:space="preserve">Isole Plus Énergies</t>
  </si>
  <si>
    <t>f.raimondo@isoleplus.com</t>
  </si>
  <si>
    <t>http://www.linkedin.com/in/franck-raimondo-038322120</t>
  </si>
  <si>
    <t>http://www.isole-plus.fr</t>
  </si>
  <si>
    <t xml:space="preserve">126 Rue de la Piece Leger, Marsannay-la-Cote, Bourgogne-Franche-Comte, France, 21160</t>
  </si>
  <si>
    <t xml:space="preserve">Isole Plus Energies vous accompagne dans toutes les étapes de votre projet de rénovation énergétique, garantissant des travaux de qualité.</t>
  </si>
  <si>
    <t>Boubat</t>
  </si>
  <si>
    <t xml:space="preserve">BOUBAT Eco</t>
  </si>
  <si>
    <t>olivier.boubat@boubatecoenergie.fr</t>
  </si>
  <si>
    <t>http://www.linkedin.com/in/olivier-boubat-3a536063</t>
  </si>
  <si>
    <t>http://www.boubatecoenergie.fr</t>
  </si>
  <si>
    <t>Saint-Amand-Montrond</t>
  </si>
  <si>
    <t xml:space="preserve">Saint-Amand-Montrond, Centre, France</t>
  </si>
  <si>
    <t xml:space="preserve">Chez Boubat Eco Energie, nous sommes spécialisés dans l'autoconsommation. Nous installons des panneaux photovoltaïques dans toute la région Centre et ses alentours, du Cher à la Creuse. Découvrez nos solutions d'énergie verte</t>
  </si>
  <si>
    <t>Marchi</t>
  </si>
  <si>
    <t>CYPRIUM</t>
  </si>
  <si>
    <t>sebastien.marchi@cyprium.fr</t>
  </si>
  <si>
    <t>http://www.linkedin.com/in/s%c3%a9bastien-marchi-b0400393</t>
  </si>
  <si>
    <t>http://www.cyprium.fr</t>
  </si>
  <si>
    <t xml:space="preserve">119 Avenue Marechal de Saxe, Lyon, Auvergne-Rhone-Alpes, France, 69003</t>
  </si>
  <si>
    <t xml:space="preserve">Offrez à votre projet la qualité et l'expertise du bureau d'études CYPRIUM.</t>
  </si>
  <si>
    <t>Honore</t>
  </si>
  <si>
    <t>Giancani</t>
  </si>
  <si>
    <t xml:space="preserve">GROUPE 1000 LORRAINE</t>
  </si>
  <si>
    <t>hgiancani@g1000l.com</t>
  </si>
  <si>
    <t>http://www.linkedin.com/in/honor%c3%a9-giancani-bb56b570</t>
  </si>
  <si>
    <t>http://www.g1000l.com</t>
  </si>
  <si>
    <t xml:space="preserve">Jouy-aux-Arches, Lorraine, France</t>
  </si>
  <si>
    <t xml:space="preserve">constellations studio</t>
  </si>
  <si>
    <t>estelle@constellations-studio.com</t>
  </si>
  <si>
    <t>http://www.linkedin.com/in/estelle-poisson-273b241ab</t>
  </si>
  <si>
    <t>http://www.constellations-studio.com</t>
  </si>
  <si>
    <t xml:space="preserve">173B Rue de Charenton, Paris, Ile-de-France, France, 75012</t>
  </si>
  <si>
    <t>Cargo</t>
  </si>
  <si>
    <t>Renous</t>
  </si>
  <si>
    <t>SGETAS</t>
  </si>
  <si>
    <t>nicolas.renous@sgetas.fr</t>
  </si>
  <si>
    <t>http://www.linkedin.com/in/nrenous</t>
  </si>
  <si>
    <t>http://www.sgetas.fr</t>
  </si>
  <si>
    <t xml:space="preserve">Dans le domaine des travaux publics, Sgetas à su s'imposer comme un acteur important avec plus de 28 ans d'expériences. Travaux publics, ...</t>
  </si>
  <si>
    <t>Frango</t>
  </si>
  <si>
    <t xml:space="preserve">ILE DE FRANCE PAVAGE</t>
  </si>
  <si>
    <t>tony.frango@ifp-pavage.fr</t>
  </si>
  <si>
    <t>http://www.linkedin.com/in/tony-frango-b8714582</t>
  </si>
  <si>
    <t>http://www.ifp-pavage.fr</t>
  </si>
  <si>
    <t>Villeneuve-le-Roi</t>
  </si>
  <si>
    <t xml:space="preserve">46 Avenue Gambetta, Villeneuve-le-Roi, Ile-de-France, France, 94290</t>
  </si>
  <si>
    <t xml:space="preserve">Partout en France la société IFP Pavage est partenaire des aménagements publics ou privés à la demande des villes et des collectivités locales.</t>
  </si>
  <si>
    <t xml:space="preserve">Patrick Poisson TP</t>
  </si>
  <si>
    <t>alexis@poissontp.fr</t>
  </si>
  <si>
    <t>http://www.linkedin.com/in/alexis-poisson-916649130</t>
  </si>
  <si>
    <t>http://www.patrickpoisson.com</t>
  </si>
  <si>
    <t>Remilly-les-Marais</t>
  </si>
  <si>
    <t xml:space="preserve">Remilly-les-Marais, Normandie, France, 50570</t>
  </si>
  <si>
    <t xml:space="preserve">Patrick Poisson TP vous propose la location de machines de chantier et de matériels de transport avec chauffeurs dans la Manche et le Calvados.</t>
  </si>
  <si>
    <t>Buttes</t>
  </si>
  <si>
    <t xml:space="preserve">Kemica Coatings</t>
  </si>
  <si>
    <t>jdesbuttes@kemica-coatings.com</t>
  </si>
  <si>
    <t>http://www.linkedin.com/in/j%c3%a9r%c3%b4me-des-buttes-86ab231</t>
  </si>
  <si>
    <t>http://www.kemica-coatings.com</t>
  </si>
  <si>
    <t xml:space="preserve">D131, Mignieres, Centre-Val de Loire, France, 28630</t>
  </si>
  <si>
    <t xml:space="preserve">Fabricant de résines d'étanchéité liquide sans solvant pour des applications d'étanchéité, d'anti-corrosion et de revêtements de sols</t>
  </si>
  <si>
    <t>Catry</t>
  </si>
  <si>
    <t xml:space="preserve">ALCA DECOR</t>
  </si>
  <si>
    <t>antoine.catry@alca-decor.fr</t>
  </si>
  <si>
    <t>http://www.linkedin.com/in/antoine-catry-19769111b</t>
  </si>
  <si>
    <t>http://www.alca.fr</t>
  </si>
  <si>
    <t xml:space="preserve">Alca Décor est spécialisée dans divers travaux d'aménagement : cloison amovible, plafond tendu, revêtement sol, plafond modulaires, etc à Toulon</t>
  </si>
  <si>
    <t>Courbin</t>
  </si>
  <si>
    <t xml:space="preserve">TRIANGLE HORIZON</t>
  </si>
  <si>
    <t>j.courbin@le-triangle.fr</t>
  </si>
  <si>
    <t>http://www.linkedin.com/in/jo%c3%abl-courbin-b31ab5b6</t>
  </si>
  <si>
    <t>http://www.triangle-horizon.com</t>
  </si>
  <si>
    <t>Moree</t>
  </si>
  <si>
    <t xml:space="preserve">Moree, Centre-Val de Loire, France, 41160</t>
  </si>
  <si>
    <t xml:space="preserve">TRIANGLE HORIZON est une des filiales, spécialisée dans la construction métallique et le photovoltaïque, du Groupe LE TRIANGLE  qui applique son expertise dans la fabrication et la construction de centrales photovoltaïques pour le compte des producteurs d'électricité verte et experts en énergie renouvelable. 
Présent en France et à l'étranger c'est à ce jour un des acteurs majeurs Français en construction d'ombrières solaires.</t>
  </si>
  <si>
    <t>Roquet</t>
  </si>
  <si>
    <t>fabrice.guignard@roquet.fr</t>
  </si>
  <si>
    <t>http://www.linkedin.com/in/fabrice-guignard-497b25100</t>
  </si>
  <si>
    <t>http://www.roquet.fr</t>
  </si>
  <si>
    <t xml:space="preserve">Rue Marcel Quercia, Redon, Brittany, France, 35600</t>
  </si>
  <si>
    <t xml:space="preserve">Roquet est un expert en génie climatique (Redon, Rennes, Vannes, et Saint-Nazaire) pour particuliers, entreprises, collectivités.</t>
  </si>
  <si>
    <t xml:space="preserve">LE TOIT FOREZIEN</t>
  </si>
  <si>
    <t>thierry.marty@toitforezien.fr</t>
  </si>
  <si>
    <t>http://www.linkedin.com/in/thierry-marty-208251b6</t>
  </si>
  <si>
    <t>http://www.toitforezien.fr</t>
  </si>
  <si>
    <t xml:space="preserve">29 Rue Jo Gouttebarge, Saint-Etienne, Auvergne-Rhone-Alpes, France, 42000</t>
  </si>
  <si>
    <t xml:space="preserve">L'habitat social coopératif</t>
  </si>
  <si>
    <t>Gaillot</t>
  </si>
  <si>
    <t>BETAG</t>
  </si>
  <si>
    <t>t.gaillot@betag20.fr</t>
  </si>
  <si>
    <t>http://www.linkedin.com/in/thierry-gaillot-73a380160</t>
  </si>
  <si>
    <t>http://www.betag.fr</t>
  </si>
  <si>
    <t xml:space="preserve">Borgo, Corse, France, 20290</t>
  </si>
  <si>
    <t>Morvan</t>
  </si>
  <si>
    <t>proclim_officiel</t>
  </si>
  <si>
    <t>jf.morvan@proclim.fr</t>
  </si>
  <si>
    <t>http://www.linkedin.com/in/jean-fran%c3%a7ois-morvan</t>
  </si>
  <si>
    <t>http://www.proclim.fr</t>
  </si>
  <si>
    <t xml:space="preserve">Villepinte, Ile-de-France, France</t>
  </si>
  <si>
    <t xml:space="preserve">&lt;p&gt;Fort de ses 40 années d'éxperience, Proclim est expert de la climatisation et positionné sur toute la chaine de valeur (Etude - Installation Maintenance en génie climatique).&lt;/p&gt;</t>
  </si>
  <si>
    <t>Clain</t>
  </si>
  <si>
    <t>BARCOL-AIR</t>
  </si>
  <si>
    <t>julien.clain@barcolair.com</t>
  </si>
  <si>
    <t>http://www.linkedin.com/in/julien-clain-159023233</t>
  </si>
  <si>
    <t>http://www.barcolair.com</t>
  </si>
  <si>
    <t xml:space="preserve">29 Rue du Pas Saint-Christophe, Pontoise, Ile-de-France, France, 95800</t>
  </si>
  <si>
    <t>Boland</t>
  </si>
  <si>
    <t xml:space="preserve">ECEC étanchéité</t>
  </si>
  <si>
    <t>p.boland@ecec.fr</t>
  </si>
  <si>
    <t>http://www.linkedin.com/in/patrick-boland-a36229267</t>
  </si>
  <si>
    <t>http://www.ecec.fr</t>
  </si>
  <si>
    <t>Millery</t>
  </si>
  <si>
    <t xml:space="preserve">Millery, Auvergne-Rhone-Alpes, France, 69390</t>
  </si>
  <si>
    <t xml:space="preserve">253, rue des 4 chemins - 69390 Millery</t>
  </si>
  <si>
    <t>Gaget</t>
  </si>
  <si>
    <t xml:space="preserve">ENTREPRISE FLIPO</t>
  </si>
  <si>
    <t>frederic.gaget@flipo.fr</t>
  </si>
  <si>
    <t>http://www.linkedin.com/in/fr%c3%a9d%c3%a9ric-gaget-9623a2a7</t>
  </si>
  <si>
    <t>http://www.flipo.fr</t>
  </si>
  <si>
    <t xml:space="preserve">202 Avenue du General Leclerc, Pantin, Ile-de-France, France, 93500</t>
  </si>
  <si>
    <t>Senegas</t>
  </si>
  <si>
    <t>SENELEC</t>
  </si>
  <si>
    <t>r.senegas@societe-senelec.fr</t>
  </si>
  <si>
    <t>http://www.linkedin.com/in/r%c3%a9mi-senegas-b9ba6417b</t>
  </si>
  <si>
    <t>http://www.societe-senelec.fr</t>
  </si>
  <si>
    <t xml:space="preserve">Croissy-Beaubourg, Ile-de-France, France, 77183</t>
  </si>
  <si>
    <t>Garabos</t>
  </si>
  <si>
    <t xml:space="preserve">Directeur chez SAS GARABOS &amp; Co-fondateur BIMOTEP</t>
  </si>
  <si>
    <t xml:space="preserve">SAS GARABOS</t>
  </si>
  <si>
    <t>b.garabos@garabos.com</t>
  </si>
  <si>
    <t>http://www.linkedin.com/in/boris-garabos-414907147</t>
  </si>
  <si>
    <t>http://www.garabos.com</t>
  </si>
  <si>
    <t xml:space="preserve">Rue Aristide Berges, Floirac, Nouvelle-Aquitaine, France, 33270</t>
  </si>
  <si>
    <t>Pakminn</t>
  </si>
  <si>
    <t>Nhou</t>
  </si>
  <si>
    <t>ADVENERIS</t>
  </si>
  <si>
    <t>pakminn@adveneris.com</t>
  </si>
  <si>
    <t>http://www.linkedin.com/in/pakminn-nhou-2b768913a</t>
  </si>
  <si>
    <t>http://www.adveneris.com</t>
  </si>
  <si>
    <t>Saint-Pierre-du-Perray</t>
  </si>
  <si>
    <t xml:space="preserve">Entreprise RGE pour vos travaux d'électricité, pose de panneaux photovoltaïques, borne de recharge pour voiture électrique, pompe à chaleur</t>
  </si>
  <si>
    <t>Moine</t>
  </si>
  <si>
    <t xml:space="preserve">fondateur, owner</t>
  </si>
  <si>
    <t xml:space="preserve">D2M IMMOBILIER</t>
  </si>
  <si>
    <t>dimitrimoine@d2mgroupe.fr</t>
  </si>
  <si>
    <t>http://www.linkedin.com/in/dimitri-moine-b4994028</t>
  </si>
  <si>
    <t>http://www.d2mgroupe.fr</t>
  </si>
  <si>
    <t xml:space="preserve">Chemin de Reims, Bezannes, Champagne-Ardenne, France, 51430</t>
  </si>
  <si>
    <t xml:space="preserve">Société de promotion immobilière, de développement de projets et une foncière gérant un parc de plus d’une centaine de locataires.</t>
  </si>
  <si>
    <t>Bacci</t>
  </si>
  <si>
    <t xml:space="preserve">Bourg Services Bâtiment</t>
  </si>
  <si>
    <t>fbacci@bourgservicesbatiment.fr</t>
  </si>
  <si>
    <t>http://www.linkedin.com/in/florent-bacci-16118613a</t>
  </si>
  <si>
    <t>http://www.bourgservicesbatiment.fr</t>
  </si>
  <si>
    <t xml:space="preserve">Bourg-en-Bresse, Rhone-Alpes, France</t>
  </si>
  <si>
    <t xml:space="preserve">Bourg Services bâtiment, plombier, chauffagiste, climatisation, création salle de bain, rénovations, rénovation salle de bain, devis gratuit,</t>
  </si>
  <si>
    <t>Pontonnier</t>
  </si>
  <si>
    <t xml:space="preserve">APS CONCEPTION</t>
  </si>
  <si>
    <t>c.pontonnier@aps-conception.fr</t>
  </si>
  <si>
    <t>http://www.linkedin.com/in/camille-pontonnier-719176131</t>
  </si>
  <si>
    <t>http://www.aps-conception.fr</t>
  </si>
  <si>
    <t>Mortagne-au-Perche</t>
  </si>
  <si>
    <t xml:space="preserve">APS Conception, métallerie industrielle et métallerie fine à Mortagne au Perche, accompagne vos projets de métallurgie, partout en France</t>
  </si>
  <si>
    <t>Marcal</t>
  </si>
  <si>
    <t xml:space="preserve">Directeur Général Délégué à l’Exploitation</t>
  </si>
  <si>
    <t>S.B.T.P</t>
  </si>
  <si>
    <t>l.marcal@sb-tp.fr</t>
  </si>
  <si>
    <t>http://www.linkedin.com/in/laurent-marcal-aa630a10</t>
  </si>
  <si>
    <t>http://www.sb-tp.fr</t>
  </si>
  <si>
    <t xml:space="preserve">18 Avenue Arsene d'Arsonval, Bourg-en-Bresse, Auvergne-Rhone-Alpes, France, 01000</t>
  </si>
  <si>
    <t>Ravera</t>
  </si>
  <si>
    <t xml:space="preserve">Directeur général - Ingénieur travaux</t>
  </si>
  <si>
    <t xml:space="preserve">Carré Construction</t>
  </si>
  <si>
    <t>quentin.ravera@carre-construction.com</t>
  </si>
  <si>
    <t>http://www.linkedin.com/in/quentin-ravera-1ab85292</t>
  </si>
  <si>
    <t>http://www.carre-construction.com</t>
  </si>
  <si>
    <t xml:space="preserve">1 Rue Fra Angelico, Amiens, Hauts-de-France, France, 80080</t>
  </si>
  <si>
    <t xml:space="preserve">Carré Construction est là pour vous accompagner dans la conception et la réalisation de vos projets en immobilier d'entreprise.</t>
  </si>
  <si>
    <t>Dorangeon</t>
  </si>
  <si>
    <t xml:space="preserve">HUGO TECH</t>
  </si>
  <si>
    <t>remi@hugo-tech.com</t>
  </si>
  <si>
    <t>http://www.linkedin.com/in/remi-dorangeon-78346146</t>
  </si>
  <si>
    <t>http://www.hugo-tech.com</t>
  </si>
  <si>
    <t xml:space="preserve">207 Avenue Francis Tonner, Cannes, Provence-Alpes-Cote d'Azur, France, 06150</t>
  </si>
  <si>
    <t xml:space="preserve">HUGOTECH Bureau d’Étude Structure à CANNES (06) sur la Côte d’Azur. Ingénieur structure béton, bois, métal et géotechnique. Tél. 04 92 28 01 42</t>
  </si>
  <si>
    <t xml:space="preserve">French BIM Connect</t>
  </si>
  <si>
    <t>j.madjere@frenchbimconnect.fr</t>
  </si>
  <si>
    <t>http://www.linkedin.com/in/jeangael-madjere</t>
  </si>
  <si>
    <t>http://www.frenchbimconnect.fr</t>
  </si>
  <si>
    <t xml:space="preserve">11 Lotissement le Dubessy, Villecheneve, Auvergne-Rhone-Alpes, France, 69770</t>
  </si>
  <si>
    <t xml:space="preserve">Partenaire de projets BIM - Conception &amp; Fabrication : Un Bureau d'études de la construction spécialisé dans les usages du numérique.</t>
  </si>
  <si>
    <t xml:space="preserve">Groupe LANDAIS</t>
  </si>
  <si>
    <t>fabien.landais@landaisandre.fr</t>
  </si>
  <si>
    <t>http://www.linkedin.com/in/fabien-landais-42b09b218</t>
  </si>
  <si>
    <t>http://www.groupelandais.com</t>
  </si>
  <si>
    <t xml:space="preserve">Lieu-dit La Cormerie, Mesanger, Pays de la Loire, France, 44522</t>
  </si>
  <si>
    <t>Zahed</t>
  </si>
  <si>
    <t>Dhouibi</t>
  </si>
  <si>
    <t>Growline</t>
  </si>
  <si>
    <t>zahed@growline.fr</t>
  </si>
  <si>
    <t xml:space="preserve">civil engineering</t>
  </si>
  <si>
    <t>http://www.linkedin.com/in/zahed-dhouibi</t>
  </si>
  <si>
    <t>http://www.growline.fr</t>
  </si>
  <si>
    <t xml:space="preserve">Boulevard Victor, Paris, Ile-de-France, France, 75015</t>
  </si>
  <si>
    <t xml:space="preserve">Growline est un réseau de bureaux d’études avec qui il est tout à la fois le plus simple et le plus productif de travailler.</t>
  </si>
  <si>
    <t>JM</t>
  </si>
  <si>
    <t>Ellias</t>
  </si>
  <si>
    <t xml:space="preserve">JME Ingénierie</t>
  </si>
  <si>
    <t>jm.ellias@jme-ing.fr</t>
  </si>
  <si>
    <t>http://www.linkedin.com/in/jm-ellias-82940495</t>
  </si>
  <si>
    <t>http://www.jme-ing.fr</t>
  </si>
  <si>
    <t>Tampe</t>
  </si>
  <si>
    <t>LOCAPAL</t>
  </si>
  <si>
    <t>ttampe@locapal.fr</t>
  </si>
  <si>
    <t>http://www.linkedin.com/in/thibaut-tamp%c3%a9-4779a3</t>
  </si>
  <si>
    <t>http://www.locapal.fr</t>
  </si>
  <si>
    <t xml:space="preserve">344 Rue de Galilee, Creil, Picardy, France, 60100</t>
  </si>
  <si>
    <t xml:space="preserve">Découvrez Locapal, expert et leader des ouvrages provisoires en acier de réemploi. Charpentes métalliques provisoires pour divers chantiers.</t>
  </si>
  <si>
    <t>FABRILIS</t>
  </si>
  <si>
    <t>c.fernandez@atelier-fabrilis.fr</t>
  </si>
  <si>
    <t>http://www.linkedin.com/in/c%c3%a9dric-fernandez-aa22941a4</t>
  </si>
  <si>
    <t>http://www.atelier-fabrilis.fr</t>
  </si>
  <si>
    <t xml:space="preserve">Vailhauques, Languedoc-Roussillon, France</t>
  </si>
  <si>
    <t>Ingévin</t>
  </si>
  <si>
    <t>rtournier@ingevin.com</t>
  </si>
  <si>
    <t>http://www.linkedin.com/in/rolandtournier</t>
  </si>
  <si>
    <t>http://www.ingevin.com</t>
  </si>
  <si>
    <t xml:space="preserve">1241 Route de Villaries, Vacquiers, Occitanie, France, 31340</t>
  </si>
  <si>
    <t>Jeffrey</t>
  </si>
  <si>
    <t>jeffrey.robert@astrakgroup.com</t>
  </si>
  <si>
    <t>http://www.linkedin.com/in/jeffrey-robert-71701b116</t>
  </si>
  <si>
    <t xml:space="preserve">CEO / Co-fondateur</t>
  </si>
  <si>
    <t>Archidvisor</t>
  </si>
  <si>
    <t>a.martin@archidvisor.com</t>
  </si>
  <si>
    <t>http://www.linkedin.com/in/adrien-martin-9b6b5a5a</t>
  </si>
  <si>
    <t>http://www.archidvisor.com</t>
  </si>
  <si>
    <t xml:space="preserve">13 Rue des Cordeliers, Bordeaux, Nouvelle-Aquitaine, France, 33000</t>
  </si>
  <si>
    <t xml:space="preserve">Un projet de rénovation, décoration, réaménagement (intérieur ou extérieur), extension ou construction ? Trouvez le professionnel idéal pour votre projet et les artisans adaptés à vos travaux.</t>
  </si>
  <si>
    <t>Ficca</t>
  </si>
  <si>
    <t xml:space="preserve">FIRODI Immobilier</t>
  </si>
  <si>
    <t>g.ficca@firodi.fr</t>
  </si>
  <si>
    <t>http://www.linkedin.com/in/giovanni-ficca-6b8497a2</t>
  </si>
  <si>
    <t>http://www.firodi.fr</t>
  </si>
  <si>
    <t xml:space="preserve">76 Rue Louis Faidherbe, Drancy, Ile-de-France, France, 93700</t>
  </si>
  <si>
    <t>Chaussat</t>
  </si>
  <si>
    <t xml:space="preserve">NR CONSEIL</t>
  </si>
  <si>
    <t>yvan.chaussat@nr-conseil.net</t>
  </si>
  <si>
    <t>http://www.linkedin.com/in/yvan-chaussat-291289ab</t>
  </si>
  <si>
    <t>http://www.nr-conseil.net</t>
  </si>
  <si>
    <t xml:space="preserve">7 Rue Parmentier, Alfortville, Ile-de-France, France, 94140</t>
  </si>
  <si>
    <t xml:space="preserve">NR Conseil est une société de conseil, de conception et d’Ingénierie bâtiment et infrastructure urbaine. AMO, Maître d'oeuvre, MOE désamiantage, OPC</t>
  </si>
  <si>
    <t>Kassoul</t>
  </si>
  <si>
    <t xml:space="preserve">Oxium group</t>
  </si>
  <si>
    <t>y.kassoul@oxiumgroup.fr</t>
  </si>
  <si>
    <t>http://www.linkedin.com/in/youcef-kassoul-861a68164</t>
  </si>
  <si>
    <t>http://www.oxiumgroup.fr</t>
  </si>
  <si>
    <t xml:space="preserve">15 Avenue Descartes, Le Plessis-Robinson, Ile-de-France, France, 92350</t>
  </si>
  <si>
    <t>Youness</t>
  </si>
  <si>
    <t>Bourimech</t>
  </si>
  <si>
    <t xml:space="preserve">Groupe B.SG</t>
  </si>
  <si>
    <t>ybourimech@bysg.fr</t>
  </si>
  <si>
    <t>http://www.linkedin.com/in/youness-bourimech-41278a7b</t>
  </si>
  <si>
    <t>http://www.bsgmultiservices.fr</t>
  </si>
  <si>
    <t xml:space="preserve">Bondy, Ile-de-France, France, 93140</t>
  </si>
  <si>
    <t>Penneau</t>
  </si>
  <si>
    <t xml:space="preserve">BOISSEAU BATIMENT</t>
  </si>
  <si>
    <t>s.penneau@boisseau-batiment.com</t>
  </si>
  <si>
    <t>http://www.linkedin.com/in/sandrine-penneau-61353650</t>
  </si>
  <si>
    <t>http://www.boisseau-batiment.com</t>
  </si>
  <si>
    <t xml:space="preserve">Mauges-sur-Loire, Pays de la Loire, France</t>
  </si>
  <si>
    <t xml:space="preserve">Construction et réhabilitation de bâtiments industriels, lotissements et maisons, nous sommes aussi compétents pour des travaux de démolition ou de rénovation.</t>
  </si>
  <si>
    <t>Philipponneau</t>
  </si>
  <si>
    <t xml:space="preserve">LEBOEUF FILLON</t>
  </si>
  <si>
    <t>paul@lfgroupe.fr</t>
  </si>
  <si>
    <t>http://www.linkedin.com/in/paul-philipponneau-bb537b106</t>
  </si>
  <si>
    <t>http://www.lfgroupe.fr</t>
  </si>
  <si>
    <t xml:space="preserve">2 Rue du Bon Raisin, Loches, Centre-Val de Loire, France, 37600</t>
  </si>
  <si>
    <t>Lahbib</t>
  </si>
  <si>
    <t xml:space="preserve">L2M Travaux</t>
  </si>
  <si>
    <t>m.lahbib@l2mtravaux.com</t>
  </si>
  <si>
    <t>http://www.linkedin.com/in/mehdi-lahbib-342905155</t>
  </si>
  <si>
    <t>http://www.l2m-travaux.fr</t>
  </si>
  <si>
    <t xml:space="preserve">10 Avenue du Quebec, Villebon-sur-Yvette, Ile-de-France, France, 91140</t>
  </si>
  <si>
    <t xml:space="preserve">Depuis 2017, L2M Travaux vous accompagne dans la réalisation de vos projets de constructions général.</t>
  </si>
  <si>
    <t>Bonnaire</t>
  </si>
  <si>
    <t xml:space="preserve">FASTER LAB</t>
  </si>
  <si>
    <t>laurent.bonnaire@fasterlab.fr</t>
  </si>
  <si>
    <t>http://www.linkedin.com/in/laurent-bonnaire-4b51b724</t>
  </si>
  <si>
    <t>http://www.fasterlab.fr</t>
  </si>
  <si>
    <t xml:space="preserve">Sathonay-Camp, Rhone-Alpes, France</t>
  </si>
  <si>
    <t>Houry</t>
  </si>
  <si>
    <t xml:space="preserve">BUILD'ING SA</t>
  </si>
  <si>
    <t>d.houry@building-sa.fr</t>
  </si>
  <si>
    <t>http://www.linkedin.com/in/david-houry-68732a7a</t>
  </si>
  <si>
    <t>http://www.building-sa.fr</t>
  </si>
  <si>
    <t xml:space="preserve">91 Rue de la Juine, Olivet, Centre, France, 45160</t>
  </si>
  <si>
    <t xml:space="preserve">La société BUILD'ING, acteur global de l’immobilier d’entreprises en B To B, est l'interlocuteur unique pour votre projet de constructions et ingénierie.</t>
  </si>
  <si>
    <t xml:space="preserve">ALTIUS France</t>
  </si>
  <si>
    <t>francois.bouvier@altius.fr</t>
  </si>
  <si>
    <t>http://www.linkedin.com/in/francoisbouvier</t>
  </si>
  <si>
    <t>http://www.altius.fr</t>
  </si>
  <si>
    <t xml:space="preserve">359 Rue de l'Artisanat, Poisy, Auvergne-Rhone-Alpes, France, 74330</t>
  </si>
  <si>
    <t xml:space="preserve">Faites appel à l’expert des dispositifs antichute pour préconiser et installer votre solution sur-mesure puis vous former au travail en hauteur</t>
  </si>
  <si>
    <t>Mazille</t>
  </si>
  <si>
    <t xml:space="preserve">Maisons Valentine</t>
  </si>
  <si>
    <t>jmazille@maisonsvalentine.fr</t>
  </si>
  <si>
    <t>http://www.linkedin.com/in/jeremy-mazille-082626a4</t>
  </si>
  <si>
    <t>http://www.maisonsvalentine.fr</t>
  </si>
  <si>
    <t xml:space="preserve">Limonest, Rhone-Alpes, France</t>
  </si>
  <si>
    <t>Ange</t>
  </si>
  <si>
    <t>SYNERGISUD</t>
  </si>
  <si>
    <t>ange.garcia@synergisud.fr</t>
  </si>
  <si>
    <t>http://www.linkedin.com/in/ange-garcia-35449664</t>
  </si>
  <si>
    <t>http://www.synergisud.fr</t>
  </si>
  <si>
    <t xml:space="preserve">Page d'accueil du site du Bureau d'Études Thermiques et Acoustiques  SYNERGISUD</t>
  </si>
  <si>
    <t xml:space="preserve">GROUPE PLENETUDE</t>
  </si>
  <si>
    <t>sylvain.girardet@plenetude.fr</t>
  </si>
  <si>
    <t>http://www.linkedin.com/in/sylvain-girardet</t>
  </si>
  <si>
    <t>http://www.groupe-plenetude.fr</t>
  </si>
  <si>
    <t>Montluel</t>
  </si>
  <si>
    <t xml:space="preserve">235 Cours Lafayette, Lyon, Auvergne-Rhone-Alpes, France, 69006</t>
  </si>
  <si>
    <t xml:space="preserve">Acteur majeur de l'Ingénierie des projets du bâtiment en Rhône Alpes, nous accompagnons nos clients depuis bientôt 25 ans dans la réussite de leurs projets.</t>
  </si>
  <si>
    <t>Ducrocq</t>
  </si>
  <si>
    <t xml:space="preserve">Société Nouvelle BURAY</t>
  </si>
  <si>
    <t>p.ducrocq@buray.fr</t>
  </si>
  <si>
    <t>http://www.linkedin.com/in/patrick-ducrocq-73179175</t>
  </si>
  <si>
    <t>http://www.buray.fr</t>
  </si>
  <si>
    <t xml:space="preserve">Boulevard de l'Europe, Neufchatel-en-Bray, Upper Normandy, France, 76270</t>
  </si>
  <si>
    <t>Rubio</t>
  </si>
  <si>
    <t xml:space="preserve">EGA TP</t>
  </si>
  <si>
    <t>lrubio@ega-tp.fr</t>
  </si>
  <si>
    <t>http://www.linkedin.com/in/laurent-rubio-282a4688</t>
  </si>
  <si>
    <t>http://www.ega-tp.fr</t>
  </si>
  <si>
    <t xml:space="preserve">Rue de la Prairie, Saulx-les-Chartreux, Ile-de-France, France, 91160</t>
  </si>
  <si>
    <t>Reguillon</t>
  </si>
  <si>
    <t xml:space="preserve">Groupe Réguillon</t>
  </si>
  <si>
    <t>dreguillon@groupe-reguillon.fr</t>
  </si>
  <si>
    <t>http://www.linkedin.com/in/delphine-reguillon-b025b1136</t>
  </si>
  <si>
    <t>http://www.groupe-reguillon.fr</t>
  </si>
  <si>
    <t>Raulet</t>
  </si>
  <si>
    <t xml:space="preserve">LA HENONNAISE</t>
  </si>
  <si>
    <t>laurent.raulet@la-henonnaise.fr</t>
  </si>
  <si>
    <t>http://www.linkedin.com/in/laurent-raulet-b39b9150</t>
  </si>
  <si>
    <t>http://www.la-henonnaise.fr</t>
  </si>
  <si>
    <t xml:space="preserve">Henon, Brittany, France</t>
  </si>
  <si>
    <t xml:space="preserve">Pour vos rénovations de maisons, appartements ou locaux professionnels faites appel à La Hénonnaise, à Hénon entre Lamballe et Saint Brieuc</t>
  </si>
  <si>
    <t>Astic</t>
  </si>
  <si>
    <t>TechnoCarbon</t>
  </si>
  <si>
    <t>sta@technocarbon.fr</t>
  </si>
  <si>
    <t>http://www.linkedin.com/in/stephaneastic</t>
  </si>
  <si>
    <t>http://www.technocarbon.tech</t>
  </si>
  <si>
    <t xml:space="preserve">Vitrolles, Provence-Alpes-Cote d'Azur, France</t>
  </si>
  <si>
    <t xml:space="preserve">Thanks to its innovative Pierre-Carbone technology, TechnoCarbon has developed and patented a family of innovative materials. Discover TechnoCarbon...</t>
  </si>
  <si>
    <t>Wagner</t>
  </si>
  <si>
    <t xml:space="preserve">GIFETAL ALUMINIUM</t>
  </si>
  <si>
    <t>tristan.wagner@gifetal.fr</t>
  </si>
  <si>
    <t>http://www.linkedin.com/in/tristan-wagner-a83236161</t>
  </si>
  <si>
    <t>http://www.gifetal.fr</t>
  </si>
  <si>
    <t xml:space="preserve">Civrieux, Auvergne-Rhone-Alpes, France, 01390</t>
  </si>
  <si>
    <t xml:space="preserve">Découvrez GIFETAL Aluminium, notre entreprise française, experte dans la conception et la fabrication de portails et garde-corps en aluminium brevetés.</t>
  </si>
  <si>
    <t>Thoumieux</t>
  </si>
  <si>
    <t xml:space="preserve">CARF Centre</t>
  </si>
  <si>
    <t>r.thoumieux@ca-rf.com</t>
  </si>
  <si>
    <t>http://www.linkedin.com/in/romain-thoumieux-569586a5</t>
  </si>
  <si>
    <t>Feyzin</t>
  </si>
  <si>
    <t xml:space="preserve">Chemin de Feyzin, Venissieux, Auvergne-Rhone-Alpes, France, 69200</t>
  </si>
  <si>
    <t>Wyseur</t>
  </si>
  <si>
    <t>DUPRIEZ</t>
  </si>
  <si>
    <t>dwyseur@dupriez.fr</t>
  </si>
  <si>
    <t>http://www.linkedin.com/in/damien-wyseur-a5b692132</t>
  </si>
  <si>
    <t>http://www.dupriezsa.be</t>
  </si>
  <si>
    <t>Toufflers</t>
  </si>
  <si>
    <t xml:space="preserve">Tournai, Walloon Region, Belgium</t>
  </si>
  <si>
    <t xml:space="preserve">L’entreprise est installée à Tournai dans le Hainaut pour effectuer tous vos travaux de peinture et décoration en intérieur et extérieur. Pose de</t>
  </si>
  <si>
    <t>Lobre</t>
  </si>
  <si>
    <t xml:space="preserve">SORREBA TECHNOLOGIE®</t>
  </si>
  <si>
    <t>noel.lobre@sorreba-technologie.fr</t>
  </si>
  <si>
    <t>http://www.linkedin.com/in/no%c3%abl-lobre-1864121a2</t>
  </si>
  <si>
    <t>http://www.sorreba-technologie.fr</t>
  </si>
  <si>
    <t xml:space="preserve">Spécialiste dans la construction à Bordeaux Mérignac, Sorreba Technologie vous accompagne et vous conseille dans vos projets de bâtiment et de travaux publics.</t>
  </si>
  <si>
    <t xml:space="preserve">Président Directeur Général Associé</t>
  </si>
  <si>
    <t>ROM</t>
  </si>
  <si>
    <t>rom-br@r-o-m.fr</t>
  </si>
  <si>
    <t>http://www.linkedin.com/in/bertrand-roux-a8245867</t>
  </si>
  <si>
    <t>http://www.r-o-m.fr</t>
  </si>
  <si>
    <t xml:space="preserve">81 Rue Lecourbe, Paris, Ile-de-France, France, 75015</t>
  </si>
  <si>
    <t>Gindre</t>
  </si>
  <si>
    <t xml:space="preserve">Cofondateur Directeur Général associé</t>
  </si>
  <si>
    <t>Immoworks</t>
  </si>
  <si>
    <t>gaetan@immoworks.fr</t>
  </si>
  <si>
    <t>http://www.linkedin.com/in/ga%c3%abtan-gindre-3b688714b</t>
  </si>
  <si>
    <t>http://www.immoworks.fr</t>
  </si>
  <si>
    <t>Sagory</t>
  </si>
  <si>
    <t xml:space="preserve">BRARD Menuiserie Agencement</t>
  </si>
  <si>
    <t>philippe.sagory@brard-entreprise.fr</t>
  </si>
  <si>
    <t>http://www.linkedin.com/in/philippe-sagory-1501a57b</t>
  </si>
  <si>
    <t>http://www.brard-entreprise.fr</t>
  </si>
  <si>
    <t xml:space="preserve">8 Rue Felix Mothiron, Alfortville, Ile-de-France, France, 94140</t>
  </si>
  <si>
    <t>PIC</t>
  </si>
  <si>
    <t>fgarnier@pic-sa.com</t>
  </si>
  <si>
    <t>http://www.linkedin.com/in/fabrice-garnier-6338b4166</t>
  </si>
  <si>
    <t>http://www.pic-sa.com</t>
  </si>
  <si>
    <t xml:space="preserve">Rue de la Ronze, Taluyers, Auvergne-Rhone-Alpes, France, 69440</t>
  </si>
  <si>
    <t>Prelat</t>
  </si>
  <si>
    <t xml:space="preserve">MOREEL MONTAGE</t>
  </si>
  <si>
    <t>l.prelat@moreel-montage.fr</t>
  </si>
  <si>
    <t>http://www.linkedin.com/in/laurentprelat</t>
  </si>
  <si>
    <t>http://www.moreel-montage.fr</t>
  </si>
  <si>
    <t xml:space="preserve">Pradelles, Auvergne, France</t>
  </si>
  <si>
    <t xml:space="preserve">MOREEL MONTAGE est une entreprise spécialiste de l’isolation acoustique. Elle propose ses services à Hazebrouck, à Lille et dans les Hauts-de-France.</t>
  </si>
  <si>
    <t>Fourcade</t>
  </si>
  <si>
    <t xml:space="preserve">Directeur général - DAF</t>
  </si>
  <si>
    <t xml:space="preserve">Groupe ADRÉ</t>
  </si>
  <si>
    <t>stephen.fourcade@adre-groupe.fr</t>
  </si>
  <si>
    <t>http://www.linkedin.com/in/stephen-fourcade-3826a1162</t>
  </si>
  <si>
    <t>http://www.adre-groupe.fr</t>
  </si>
  <si>
    <t xml:space="preserve">11 IMPASSE AMELIA EARHART, Merignac, Nouvelle-Aquitaine, France, 33700</t>
  </si>
  <si>
    <t xml:space="preserve">Le Groupe ADRÉ réunit plusieurs entités spécialisées dans le domaine des réseaux et unies par des valeurs communes : entraide, ambition, dynamisme, esprit d'équipe et confiance.</t>
  </si>
  <si>
    <t>Bisbrouck</t>
  </si>
  <si>
    <t xml:space="preserve">edwood construction bois</t>
  </si>
  <si>
    <t>e.bisbrouck@edwood.fr</t>
  </si>
  <si>
    <t>http://www.linkedin.com/in/edouard-bisbrouck-11a222b2</t>
  </si>
  <si>
    <t>http://www.edwood.fr</t>
  </si>
  <si>
    <t xml:space="preserve">25 Rue Emile Vandamme, Saint-Andre-lez-Lille, Hauts-de-France, France, 59350</t>
  </si>
  <si>
    <t>Thebault</t>
  </si>
  <si>
    <t xml:space="preserve">OUEST FONDATIONS</t>
  </si>
  <si>
    <t>francois.thebault@ouestfondations.fr</t>
  </si>
  <si>
    <t>http://www.linkedin.com/in/fran%c3%a7ois-thebault-0b3929173</t>
  </si>
  <si>
    <t>http://www.ouestfondations.fr</t>
  </si>
  <si>
    <t xml:space="preserve">Sevailles, Liffre, Bretagne, France, 35340</t>
  </si>
  <si>
    <t xml:space="preserve">Nous sommes une PME indépendante qui conçoit et exécute des projets de fondations spéciales et de soutènements dans l’Ouest de la France.</t>
  </si>
  <si>
    <t>Jean-Laurent</t>
  </si>
  <si>
    <t>Schaub</t>
  </si>
  <si>
    <t xml:space="preserve">Directeur Général et Cofondateur</t>
  </si>
  <si>
    <t>Gotrust</t>
  </si>
  <si>
    <t>jeanlaurent.schaub@gotrust.fr</t>
  </si>
  <si>
    <t>http://www.linkedin.com/in/jeanlaurentschaub</t>
  </si>
  <si>
    <t>http://www.gotrust.fr</t>
  </si>
  <si>
    <t xml:space="preserve">29 Boulevard Gay Lussac, Marseille, Provence-Alpes-Cote d'Azur, France, 13014</t>
  </si>
  <si>
    <t xml:space="preserve">Gotrust recrute une nouvelle génération de contrôleurs. Vous souhaitez participer au grand programme de rénovation énergétique en France ?</t>
  </si>
  <si>
    <t>Pilot</t>
  </si>
  <si>
    <t xml:space="preserve">Bourgogne Couverture DIJON</t>
  </si>
  <si>
    <t>lpilot@bourgognecouverture.fr</t>
  </si>
  <si>
    <t>http://www.linkedin.com/in/laurence-pilot-26467292</t>
  </si>
  <si>
    <t>http://www.bourgognecouverture.fr</t>
  </si>
  <si>
    <t>Gallot</t>
  </si>
  <si>
    <t xml:space="preserve">Co-founder RPB Savoies-Léman</t>
  </si>
  <si>
    <t xml:space="preserve">RPB SAVOIES LEMAN</t>
  </si>
  <si>
    <t>remy@rpb-sl.com</t>
  </si>
  <si>
    <t>http://www.linkedin.com/in/r%c3%a9my-gallot-a9444145</t>
  </si>
  <si>
    <t>http://www.rpb-sl.com</t>
  </si>
  <si>
    <t xml:space="preserve">40 Rue Centrale, Annecy, Auvergne-Rhone-Alpes, France, 74940</t>
  </si>
  <si>
    <t>H2OUVERTURE</t>
  </si>
  <si>
    <t>nicolasperez@h2ouverture.com</t>
  </si>
  <si>
    <t>http://www.linkedin.com/in/nicolas-perez-5a516a187</t>
  </si>
  <si>
    <t>http://www.h2ouverture.com</t>
  </si>
  <si>
    <t>Amis-Compain</t>
  </si>
  <si>
    <t xml:space="preserve">Présidente de SOMEN SAS</t>
  </si>
  <si>
    <t>Somen</t>
  </si>
  <si>
    <t>k.compain@somensarl.com</t>
  </si>
  <si>
    <t>http://www.linkedin.com/in/karine-amis-compain-44b165a3</t>
  </si>
  <si>
    <t>http://www.somensarl.com</t>
  </si>
  <si>
    <t xml:space="preserve">18 Rue Dantier, Argenteuil, Ile-de-France, France, 95100</t>
  </si>
  <si>
    <t>Stragliati</t>
  </si>
  <si>
    <t xml:space="preserve">CCMT SAS</t>
  </si>
  <si>
    <t>stephane@ccmt-sas.fr</t>
  </si>
  <si>
    <t>http://www.linkedin.com/in/st%c3%a9phane-stragliati-a3ab768a</t>
  </si>
  <si>
    <t>http://www.ccmt-sas.fr</t>
  </si>
  <si>
    <t xml:space="preserve">11 Rue Leonard de Vinci, Brie-Comte-Robert, Ile-de-France, France, 77170</t>
  </si>
  <si>
    <t>Chanet</t>
  </si>
  <si>
    <t>Cosinus</t>
  </si>
  <si>
    <t>hubert.chanet@cosinus.fr</t>
  </si>
  <si>
    <t>http://www.linkedin.com/in/hubert-chanet</t>
  </si>
  <si>
    <t>http://www.cosinus.fr</t>
  </si>
  <si>
    <t xml:space="preserve">Rue du Docteur Francoise Dolto, Amberieu-en-Bugey, Auvergne-Rhone-Alpes, France, 01500</t>
  </si>
  <si>
    <t xml:space="preserve">Cosinus : économiste de la construction, bureau d'études VRD, maîtrise d'oeuvre, etc... Nous travaillons en partenariat avec les différents acteurs de la construction.</t>
  </si>
  <si>
    <t>Ganchou</t>
  </si>
  <si>
    <t>INTERISOL</t>
  </si>
  <si>
    <t>patrice.ganchou@interisol.fr</t>
  </si>
  <si>
    <t>http://www.linkedin.com/in/patrice-ganchou-10922393</t>
  </si>
  <si>
    <t>http://www.interisol.fr</t>
  </si>
  <si>
    <t xml:space="preserve">Abidos, Nouvelle-Aquitaine, France, 64150</t>
  </si>
  <si>
    <t>Versaveaud</t>
  </si>
  <si>
    <t xml:space="preserve">LES NOUVEAUX BATISSEURS ASSOCIES</t>
  </si>
  <si>
    <t>b.versaveaud@groupenba.fr</t>
  </si>
  <si>
    <t>http://www.linkedin.com/in/bruno-versaveaud-12454960</t>
  </si>
  <si>
    <t>http://www.groupenba.fr</t>
  </si>
  <si>
    <t>Jacquart</t>
  </si>
  <si>
    <t xml:space="preserve">Ingénieur PDG</t>
  </si>
  <si>
    <t xml:space="preserve">EUCLID Ingénierie</t>
  </si>
  <si>
    <t>jacquart@euclid-fr.com</t>
  </si>
  <si>
    <t>http://www.linkedin.com/in/j%c3%a9r%c3%a9mie-jacquart-96896b93</t>
  </si>
  <si>
    <t>http://www.euclid-ing.fr</t>
  </si>
  <si>
    <t xml:space="preserve">10 Rue Henri Becquerel, Beaumont, Auvergne-Rhone-Alpes, France, 63110</t>
  </si>
  <si>
    <t xml:space="preserve">EUCLID Ingénierie est un bureau d'études tous corps d'état sous la forme d'une Société Coopérative de Production située à Beaumont près de Clermont-Ferrand.</t>
  </si>
  <si>
    <t>Ladous</t>
  </si>
  <si>
    <t>FEMIL</t>
  </si>
  <si>
    <t>apl@femil.fr</t>
  </si>
  <si>
    <t>http://www.linkedin.com/in/alain-prats-ladous-581054163</t>
  </si>
  <si>
    <t>http://www.femil.fr</t>
  </si>
  <si>
    <t>Lombers</t>
  </si>
  <si>
    <t xml:space="preserve">FEMIL est constructeur d’unités mobiles et abris mobiles, cabanes et roulottes de chantiers pour le BTP, désamiantage, le médical, les milieux hostiles. FEMIL fabrique aussi des cabines sanitaires, pour évènementiel et des cellules sur porteur.</t>
  </si>
  <si>
    <t>Ecochard</t>
  </si>
  <si>
    <t xml:space="preserve">Stores ECOCHARD</t>
  </si>
  <si>
    <t>pecochard@mstore-ecochard.com</t>
  </si>
  <si>
    <t>http://www.linkedin.com/in/philippe-ecochard-8a14657b</t>
  </si>
  <si>
    <t>http://www.ecochard-lyon.com</t>
  </si>
  <si>
    <t>Brignais</t>
  </si>
  <si>
    <t xml:space="preserve">23 Avenue Jean Jaures, Lyon, Auvergne-Rhone-Alpes, France, 69007</t>
  </si>
  <si>
    <t>Vaudier</t>
  </si>
  <si>
    <t xml:space="preserve">Menuiserie DARBOIS</t>
  </si>
  <si>
    <t>lvaudier@menuiserie-darbois.com</t>
  </si>
  <si>
    <t>http://www.linkedin.com/in/laurent-vaudier-6332922a9</t>
  </si>
  <si>
    <t>http://www.menuiserie-darbois.com</t>
  </si>
  <si>
    <t>MIXCITE</t>
  </si>
  <si>
    <t>cmuller@mixcite.fr</t>
  </si>
  <si>
    <t>http://www.linkedin.com/in/christophe-muller-1b276a46</t>
  </si>
  <si>
    <t>http://www.mixcite.fr</t>
  </si>
  <si>
    <t xml:space="preserve">33 Cours Evrard de Fayolle, Bordeaux, Nouvelle-Aquitaine, France, 33000</t>
  </si>
  <si>
    <t xml:space="preserve">De la rénovation de l’ancien à la construction du neuf, nous concevons des espaces pour y habiter et mieux vivre ensemble</t>
  </si>
  <si>
    <t>Cella</t>
  </si>
  <si>
    <t xml:space="preserve">Resonance Acoustique France</t>
  </si>
  <si>
    <t>cc@resonanceacoustique.com</t>
  </si>
  <si>
    <t>http://www.linkedin.com/in/christophe-cella</t>
  </si>
  <si>
    <t>http://www.resonanceacoustique.com</t>
  </si>
  <si>
    <t xml:space="preserve">110 Rue de Crimee, Paris, Ile-de-France, France, 75019</t>
  </si>
  <si>
    <t xml:space="preserve">RESONANCE ACOUSTIQUE Paris / La Rochelle propose son expertise en tant qu'acousticien dans vos projets architecturaux, construction neuve et rénovation.</t>
  </si>
  <si>
    <t>AFC</t>
  </si>
  <si>
    <t>c.berthelot@societe-afc.fr</t>
  </si>
  <si>
    <t>http://www.linkedin.com/in/c%c3%a9dric-berthelot-894326202</t>
  </si>
  <si>
    <t>http://www.atlantiqueferconstruction.fr</t>
  </si>
  <si>
    <t xml:space="preserve">Atlantique Fer Construction, votre spécialiste en charpente métallique, bardage et métallerie/serrurerie pour tous les bâtiments professionnels.</t>
  </si>
  <si>
    <t>Bouras</t>
  </si>
  <si>
    <t>H2O</t>
  </si>
  <si>
    <t>bouras.toufic@h2o-btp.com</t>
  </si>
  <si>
    <t>http://www.linkedin.com/in/toufic-bouras-76b4855b</t>
  </si>
  <si>
    <t>http://www.h2o-btp.com</t>
  </si>
  <si>
    <t xml:space="preserve">35 Avenue Maurice Ponroy, Le Plessis-Trevise, Ile-de-France, France, 94420</t>
  </si>
  <si>
    <t xml:space="preserve">Faites confiance à notre entreprise spécialisée dans les travaux d'isolation extérieure, d'étanchéité et d'aménagement de terrasse en Île-de-France.</t>
  </si>
  <si>
    <t>Lavache</t>
  </si>
  <si>
    <t>Stepelec</t>
  </si>
  <si>
    <t>direction@stepelec.fr</t>
  </si>
  <si>
    <t>http://www.linkedin.com/in/herv%c3%a9-lavache-21836a27b</t>
  </si>
  <si>
    <t>http://www.stepelec.fr</t>
  </si>
  <si>
    <t xml:space="preserve">Colombelles, Lower Normandy, France</t>
  </si>
  <si>
    <t xml:space="preserve">spécialiste de la construction de réseaux, dans le Calvados, VRD, Fibre Optique, Réseaux Souples, Eau potable, Eclairage Public, Signalisation Tricolore,.</t>
  </si>
  <si>
    <t>Pelletier</t>
  </si>
  <si>
    <t xml:space="preserve">Groupe Pelletier</t>
  </si>
  <si>
    <t>p.pelletier@groupepelletier.fr</t>
  </si>
  <si>
    <t>http://www.linkedin.com/in/patrick-pelletier-707958172</t>
  </si>
  <si>
    <t>http://www.groupepelletier.fr</t>
  </si>
  <si>
    <t>Meru</t>
  </si>
  <si>
    <t xml:space="preserve">Mery, Auvergne-Rhone-Alpes, France, 73420</t>
  </si>
  <si>
    <t xml:space="preserve">Constructeur &amp; Promoteur</t>
  </si>
  <si>
    <t>E2J</t>
  </si>
  <si>
    <t>remi.andre@e2j-etancheite.com</t>
  </si>
  <si>
    <t>http://www.linkedin.com/in/r%c3%a9mi-andre-308a21a9</t>
  </si>
  <si>
    <t>http://www.e2j.fr</t>
  </si>
  <si>
    <t xml:space="preserve">1659 Avenue Robert Brun, La Seyne-sur-Mer, Provence-Alpes-Cote d'Azur, France, 83500</t>
  </si>
  <si>
    <t xml:space="preserve">Votre électricien domotique depuis 10 ans, E2J, vous accompagne dans tous vos projets : du plus simple aux plus ambitieux !</t>
  </si>
  <si>
    <t>Cherif</t>
  </si>
  <si>
    <t>K</t>
  </si>
  <si>
    <t xml:space="preserve">Président &amp; Co-Fondateur</t>
  </si>
  <si>
    <t>Momi</t>
  </si>
  <si>
    <t>cherif@momi.fr</t>
  </si>
  <si>
    <t>http://www.linkedin.com/in/khaled-cherif</t>
  </si>
  <si>
    <t>http://www.momi.fr</t>
  </si>
  <si>
    <t xml:space="preserve">129B Rue de la Pompe, Paris, Ile-de-France, France, 75116</t>
  </si>
  <si>
    <t xml:space="preserve">Découvrez comment Momi.fr simplifie le processus de recherche et de collaboration avec des freelances. Trouvez rapidement le freelance parfait en ligne, démarrez votre mission en toute sérénité, et bénéficiez de l'accompagnement dédié de Momi.fr. Simplifiez vos projets dès aujourd'hui.</t>
  </si>
  <si>
    <t>Bruillot</t>
  </si>
  <si>
    <t>Renov'eco</t>
  </si>
  <si>
    <t>mbruillot@renovecobfc.fr</t>
  </si>
  <si>
    <t>http://www.linkedin.com/in/matthieu-bruillot-1649161a7</t>
  </si>
  <si>
    <t>http://www.renov-eco.com</t>
  </si>
  <si>
    <t xml:space="preserve">3 Rue des Entrepreneurs, Vaivre-et-Montoille, Bourgogne-Franche-Comte, France, 70000</t>
  </si>
  <si>
    <t xml:space="preserve">Avec une équipe de professionnels passionnés, on vous accompagne dans vos travaux de rénovations globales et énergétiques sur tout l'Est de la France !</t>
  </si>
  <si>
    <t xml:space="preserve">BOUCHET T.P</t>
  </si>
  <si>
    <t>cyril@bouchettp.fr</t>
  </si>
  <si>
    <t>http://www.linkedin.com/in/cyril-bouchet-820804142</t>
  </si>
  <si>
    <t>http://www.bouchet-vezins.fr</t>
  </si>
  <si>
    <t>Yzernay</t>
  </si>
  <si>
    <t xml:space="preserve">Yzernay, Pays de la Loire, France</t>
  </si>
  <si>
    <t>Borello</t>
  </si>
  <si>
    <t xml:space="preserve">BORELLO ISOCLAIR</t>
  </si>
  <si>
    <t>remyb@borello-isoclair.com</t>
  </si>
  <si>
    <t>http://www.linkedin.com/in/remyborello</t>
  </si>
  <si>
    <t>http://www.borello-isoclair.com</t>
  </si>
  <si>
    <t xml:space="preserve">Saint-Clair-de-la-Tour, Rhone-Alpes, France, 38110</t>
  </si>
  <si>
    <t xml:space="preserve">Créée en 1963 à Saint Clair de la Tour dans la région Rhône-Alpes, Borello Isoclair fabrique et installe des vérandas, des fenêtres, baie coulissante, des volets roulants et propose ses services en menuiserie aluminium Technal et PVC sur La Tour du Pin et ses environs (Isère).</t>
  </si>
  <si>
    <t>AHRPE</t>
  </si>
  <si>
    <t>georges.fernandes@ahrpe.fr</t>
  </si>
  <si>
    <t>http://www.linkedin.com/in/georgesfernandes</t>
  </si>
  <si>
    <t>http://www.ahrpe.fr</t>
  </si>
  <si>
    <t xml:space="preserve">120 Route de la Reine, Boulogne-Billancourt, Ile-de-France, France, 92100</t>
  </si>
  <si>
    <t xml:space="preserve">Pas d'improvisation en rénovation. Maitrise des coûts, délais, matériaux et de l'humain. Collaboration en confiance mutuelle avec le maitre d'ouvrage.</t>
  </si>
  <si>
    <t xml:space="preserve">Co-fondateur / Gérant</t>
  </si>
  <si>
    <t>Structuriste</t>
  </si>
  <si>
    <t>arnaud.samuel@structuriste.com</t>
  </si>
  <si>
    <t>http://www.linkedin.com/in/arnaud-samuel-42243b9</t>
  </si>
  <si>
    <t>http://www.structuriste.com</t>
  </si>
  <si>
    <t xml:space="preserve">Structuriste, l’équation pour penser la construction autrement</t>
  </si>
  <si>
    <t>Rivoal</t>
  </si>
  <si>
    <t xml:space="preserve">ART DAN</t>
  </si>
  <si>
    <t>rivoal@artdan.fr</t>
  </si>
  <si>
    <t>http://www.linkedin.com/in/fabrice-rivoal-2a4762bb</t>
  </si>
  <si>
    <t>http://www.artdan.fr</t>
  </si>
  <si>
    <t xml:space="preserve">Le Prouzeau, Carquefou, Pays de la Loire, France, 44470</t>
  </si>
  <si>
    <t>Boju</t>
  </si>
  <si>
    <t>MCO</t>
  </si>
  <si>
    <t>oboju@mcorvaltaise.fr</t>
  </si>
  <si>
    <t>http://www.linkedin.com/in/olivier-boju-5a6a11107</t>
  </si>
  <si>
    <t>http://www.mco-menuiserie.com</t>
  </si>
  <si>
    <t xml:space="preserve">7 Rue de la Rigotiere, Orvault, Pays de la Loire, France, 44700</t>
  </si>
  <si>
    <t xml:space="preserve">Module Création</t>
  </si>
  <si>
    <t>a.hamon@modulecreation.fr</t>
  </si>
  <si>
    <t>http://www.linkedin.com/in/antoine-hamon-961966105</t>
  </si>
  <si>
    <t>http://www.modulecreation.com</t>
  </si>
  <si>
    <t>Loscouet-sur-Meu</t>
  </si>
  <si>
    <t xml:space="preserve">Lieu-dit La Gautrais, Loscouet-sur-Meu, Brittany, France, 22230</t>
  </si>
  <si>
    <t xml:space="preserve">Construction de bâtiments modulaires et préfabriqués en Bretagne, pour les collectivités, entreprises, établissements scolaires et formations.</t>
  </si>
  <si>
    <t>Godin</t>
  </si>
  <si>
    <t xml:space="preserve">TELLIER BRISE-SOLEIL</t>
  </si>
  <si>
    <t>rgodin@tellierbrisesoleil.com</t>
  </si>
  <si>
    <t>http://www.linkedin.com/in/rodolphe-godin-marketing</t>
  </si>
  <si>
    <t>http://www.tellierbrisesoleil.com</t>
  </si>
  <si>
    <t xml:space="preserve">Rue Alcide De Gasperi, Chemille-en-Anjou, Pays de la Loire, France, 49120</t>
  </si>
  <si>
    <t xml:space="preserve">Tellier Brise Soleil fabricant d'une gamme complète de lame brise soleil fixe et orientable, grille de ventilation, volet en aluminium</t>
  </si>
  <si>
    <t>Monteils</t>
  </si>
  <si>
    <t xml:space="preserve">Martin &amp; Monteils</t>
  </si>
  <si>
    <t>n.monteils@martin-monteils.fr</t>
  </si>
  <si>
    <t>http://www.linkedin.com/in/no%c3%abl-monteils-a43993159</t>
  </si>
  <si>
    <t>http://www.martin-monteils.fr</t>
  </si>
  <si>
    <t xml:space="preserve">Pessac, Aquitaine, France</t>
  </si>
  <si>
    <t xml:space="preserve">Martin &amp; Monteils, entreprise générale du bâtiment, vous accompagne dans vos projets de constructions ou rénovations depuis 1965 sur Bordeaux et la Gironde.</t>
  </si>
  <si>
    <t>Canon</t>
  </si>
  <si>
    <t xml:space="preserve">SCHREIBER ET CIE S A</t>
  </si>
  <si>
    <t>eric.canon@schreiber-go.eu</t>
  </si>
  <si>
    <t>http://www.linkedin.com/in/eric-canon-5a4667130</t>
  </si>
  <si>
    <t>http://www.schreiber-go.eu</t>
  </si>
  <si>
    <t xml:space="preserve">Obernai, Grand Est, France, 67210</t>
  </si>
  <si>
    <t xml:space="preserve">L'entreprise Schreiber, membre de l'Union d'entreprises Zénith et basée en Alsace est spécialisée dans les travaux de gros oeuvre, la réhabilitation, le génie civil.</t>
  </si>
  <si>
    <t xml:space="preserve">DEFI METALLERIE</t>
  </si>
  <si>
    <t>william.pinto@defimetallerie.fr</t>
  </si>
  <si>
    <t>http://www.linkedin.com/in/william-pinto-65341213b</t>
  </si>
  <si>
    <t>http://www.defimetallerie.fr</t>
  </si>
  <si>
    <t xml:space="preserve">Mennecy, Ile-de-France, France</t>
  </si>
  <si>
    <t xml:space="preserve">Defi Métallerie construit et distribue des vérandas et des verrières d'intérieur en acier. Produits fabriqués en France dans nos atelier de Mennecy (91)</t>
  </si>
  <si>
    <t>Guinobert</t>
  </si>
  <si>
    <t xml:space="preserve">Groupe BAGE</t>
  </si>
  <si>
    <t>l.guinobert@groupe-bage.com</t>
  </si>
  <si>
    <t>http://www.linkedin.com/in/laurent-guinobert</t>
  </si>
  <si>
    <t>http://www.groupe-bage.com</t>
  </si>
  <si>
    <t xml:space="preserve">Groupe BAGE, acteur majeur de la conception, installation et maintenance des réseaux énergies, gaz, télécommunications et eau en France.</t>
  </si>
  <si>
    <t>Devilliers</t>
  </si>
  <si>
    <t xml:space="preserve">GROUPE SAINT LEONARD</t>
  </si>
  <si>
    <t>bastien@slmnet.fr</t>
  </si>
  <si>
    <t>http://www.linkedin.com/in/bastien-devilliers-635749157</t>
  </si>
  <si>
    <t>http://www.groupe-saint-leonard.fr</t>
  </si>
  <si>
    <t>Provins</t>
  </si>
  <si>
    <t xml:space="preserve">8 Rue du Durteint, Poigny, Ile-de-France, France, 77160</t>
  </si>
  <si>
    <t xml:space="preserve">Découvrez, parmi nos différentes gammes de produits, les meilleurs matériaux pour vos futures constructions...</t>
  </si>
  <si>
    <t>Samira</t>
  </si>
  <si>
    <t>Zemani</t>
  </si>
  <si>
    <t>DAYCLIM</t>
  </si>
  <si>
    <t>szemani@dayclim.fr</t>
  </si>
  <si>
    <t>http://www.linkedin.com/in/samira-zemani-92b38522a</t>
  </si>
  <si>
    <t>http://www.dayclim.fr</t>
  </si>
  <si>
    <t>Aulnay-sous-Bois</t>
  </si>
  <si>
    <t xml:space="preserve">45 Avenue Romain Rolland, Aulnay-sous-Bois, Ile-de-France, France, 93600</t>
  </si>
  <si>
    <t>Savaton</t>
  </si>
  <si>
    <t xml:space="preserve">Constructions Idéale Demeure</t>
  </si>
  <si>
    <t>christophe.savaton@cid-tours.fr</t>
  </si>
  <si>
    <t>http://www.linkedin.com/in/christophe-savaton-12387789</t>
  </si>
  <si>
    <t>http://www.constuctions-ideale-demeure.fr</t>
  </si>
  <si>
    <t xml:space="preserve">305 Rue Giraudeau, Tours, Centre-Val de Loire, France, 37000</t>
  </si>
  <si>
    <t>Puel</t>
  </si>
  <si>
    <t xml:space="preserve">PUEL Génie Climatique</t>
  </si>
  <si>
    <t>james.puel@puel.fr</t>
  </si>
  <si>
    <t>http://www.linkedin.com/in/james-puel-331b136a</t>
  </si>
  <si>
    <t>http://www.puel.fr</t>
  </si>
  <si>
    <t xml:space="preserve">16 Rue Condorcet, Cenon, Aquitaine, France, 33150</t>
  </si>
  <si>
    <t>Caglayan</t>
  </si>
  <si>
    <t>RENOVAMAX</t>
  </si>
  <si>
    <t>maximiliencaglayan@renovamax.fr</t>
  </si>
  <si>
    <t>http://www.linkedin.com/in/maximiliencaglayan</t>
  </si>
  <si>
    <t>http://www.renovamax.fr</t>
  </si>
  <si>
    <t xml:space="preserve">SAS GLOBAL BTP</t>
  </si>
  <si>
    <t>didier@global-btp.com</t>
  </si>
  <si>
    <t>http://www.linkedin.com/in/didier-rapha%c3%abl-9ba6b6187</t>
  </si>
  <si>
    <t>http://www.global-btp.com</t>
  </si>
  <si>
    <t xml:space="preserve">Qui sommes-nous ? Nous vous proposons une solution globale pour la gestion de tous vos projets de construction et de rénovation sur la Côte d'Azur, incluant Monaco. Nous sommes conscients de l'importance de pouvoir bénéficier d'un seul et unique interlocuteur pour chaque étape de votre projet. C'est pourquoi nous avons décidé de vous offrir un</t>
  </si>
  <si>
    <t>Brand</t>
  </si>
  <si>
    <t>CoRénovation</t>
  </si>
  <si>
    <t>laurent.brand@corenovation.fr</t>
  </si>
  <si>
    <t>http://www.linkedin.com/in/laurent-brand-681502179</t>
  </si>
  <si>
    <t>http://www.corenovation.fr</t>
  </si>
  <si>
    <t xml:space="preserve">9 Avenue du Val-de-Fontenay, Fontenay-sous-Bois, Ile-de-France, France, 94120</t>
  </si>
  <si>
    <t xml:space="preserve">Nous vous accompagnons à chaque étape de votre projet d'adaptation et de rénovation. Nos équipes vous conseillerons dans vos choix tout au long des travaux.</t>
  </si>
  <si>
    <t>Chevassus</t>
  </si>
  <si>
    <t xml:space="preserve">Founder@KONNECT SYSTEMS Group™ 🇫🇷</t>
  </si>
  <si>
    <t xml:space="preserve">KONNECT SYSTEMS Group™ 🇫🇷</t>
  </si>
  <si>
    <t>s.chevassus@konnect-systems.com</t>
  </si>
  <si>
    <t>http://www.linkedin.com/in/s%c3%a9bastien-chevassus-5a9bb4b3</t>
  </si>
  <si>
    <t>http://www.konnect-systems-group.com</t>
  </si>
  <si>
    <t>Amblainville</t>
  </si>
  <si>
    <t xml:space="preserve">Rue de Bruxelles, Amblainville, Hauts-de-France, France, 60110</t>
  </si>
  <si>
    <t xml:space="preserve">Bienvenue sur KONNECT SYSTEMS Group™, Travaux et Maintenance TCE</t>
  </si>
  <si>
    <t>Pin</t>
  </si>
  <si>
    <t>BATIF</t>
  </si>
  <si>
    <t>gpin@batif.fr</t>
  </si>
  <si>
    <t>http://www.linkedin.com/in/guillaume-pin-40b674151</t>
  </si>
  <si>
    <t>http://www.batif.fr</t>
  </si>
  <si>
    <t xml:space="preserve">Batif entreprise de Couverture et Energie en PACA</t>
  </si>
  <si>
    <t>Touze</t>
  </si>
  <si>
    <t xml:space="preserve">Husqvarna Construction France</t>
  </si>
  <si>
    <t>olivier.touze@husqvarnagroup.com</t>
  </si>
  <si>
    <t>http://www.linkedin.com/in/olivier-touz%c3%a9-12692012</t>
  </si>
  <si>
    <t>http://www.husqvarnacp.fr</t>
  </si>
  <si>
    <t xml:space="preserve">7 Rue des Arches, Blois, Centre, France, 41000</t>
  </si>
  <si>
    <t xml:space="preserve">Groupe CMBP</t>
  </si>
  <si>
    <t>m.roussel@cmbp.fr</t>
  </si>
  <si>
    <t>http://www.linkedin.com/in/roussel-marc-bois</t>
  </si>
  <si>
    <t>http://www.cmbp.fr</t>
  </si>
  <si>
    <t xml:space="preserve">Le Mesnil-Simon, Centre-Val de Loire, France, 28260</t>
  </si>
  <si>
    <t xml:space="preserve">Grâce à nos 3 bureaux d'études, 3 usines et 15 équipes de pose, nous apportons notre savoir-faire en constructions bois, charpentes, ossatures bois, etc.</t>
  </si>
  <si>
    <t>Lebigot</t>
  </si>
  <si>
    <t>Soconer</t>
  </si>
  <si>
    <t>yann.lebigot@soconer.fr</t>
  </si>
  <si>
    <t>http://www.linkedin.com/in/yann-lebigot-6a118183</t>
  </si>
  <si>
    <t>http://www.soconer.fr</t>
  </si>
  <si>
    <t xml:space="preserve">3 Allees Jules Guesde, Toulouse, Occitanie, France, 31000</t>
  </si>
  <si>
    <t xml:space="preserve">Soconer est un bureau d'études à Toulouse (31) expert en ingénierie fluides, thermique, environnement et exploitation maintenance.</t>
  </si>
  <si>
    <t>Galaud</t>
  </si>
  <si>
    <t>PROFIL</t>
  </si>
  <si>
    <t>stef@profil-acro.com</t>
  </si>
  <si>
    <t>http://www.linkedin.com/in/st%c3%a9phane-galaud-32541b97</t>
  </si>
  <si>
    <t>http://www.profil-acro.com</t>
  </si>
  <si>
    <t xml:space="preserve">13 Avenue Paul Heroult, Marseille, Provence-Alpes-Cote d'Azur, France, 13015</t>
  </si>
  <si>
    <t>Sprauel</t>
  </si>
  <si>
    <t xml:space="preserve">SPEYSER LUCIEN ET CIE SA</t>
  </si>
  <si>
    <t>c.sprauel@speyser.fr</t>
  </si>
  <si>
    <t>http://www.linkedin.com/in/christophe-sprauel-11b41b224</t>
  </si>
  <si>
    <t>http://www.speyser.fr</t>
  </si>
  <si>
    <t xml:space="preserve">1 Rue de l'Industrie, Gerstheim, Grand Est, France, 67150</t>
  </si>
  <si>
    <t xml:space="preserve">Directeur Général - Gérant</t>
  </si>
  <si>
    <t xml:space="preserve">👷♀️ABBEI👷♂️Entreprise d'Insertion 🟡🔴🔵🟢</t>
  </si>
  <si>
    <t>stephane.michel@abbei.org</t>
  </si>
  <si>
    <t>http://www.linkedin.com/in/michelstephane</t>
  </si>
  <si>
    <t>http://www.abbei.org</t>
  </si>
  <si>
    <t xml:space="preserve">ABBEI est une entreprise d’insertion située en Normandie et spécialisée dans le second œuvre du bâtiment : travaux de peinture, menuiserie, revêtements, isolation...</t>
  </si>
  <si>
    <t>Genova</t>
  </si>
  <si>
    <t>NOVACIER</t>
  </si>
  <si>
    <t>patrick.genova@novacier.fr</t>
  </si>
  <si>
    <t>http://www.linkedin.com/in/patrick-genova-4ab1951bb</t>
  </si>
  <si>
    <t>http://www.novacier.fr</t>
  </si>
  <si>
    <t>Cheval-Blanc</t>
  </si>
  <si>
    <t xml:space="preserve">610f Chemin de Robion a Orgon, Cheval-Blanc, Provence-Alpes-Cote d'Azur, France, 84460</t>
  </si>
  <si>
    <t xml:space="preserve">NOVACIER est une entreprise de conception, fabrication, assemblage et montage d'édifices &amp; bâtiments métalliques. Notre bureau d'études réalise la charpente métallique de votre bâtiment. | Entreprise De Conception, Fabrication, Réparation, Vente De Solutions Métalliques Professionnelles - Charpentes Métalliques | Couverture De Toiture / Bardage Métallique | Menuiseries Acier &amp; Aluminium | Portes Coupe-Feu / Sectionnelles | Métallerie | Ferronnerie | Serrurerie | Aménagements Extérieurs / Intérieurs / Maisons Avec Charpente Acier | Solutions Haut-De-Gamme / Premium / Sur-Mesure - Sud de la France / Région PACA / Vaucluse / Bouches-du-Rhône / Gard / Alpes-de-Haute-Provence / Var / Provence / Luberon / Alpilles - Cavaillon | Avignon | Saint-Rémy | Carpentras | Orange | Apt | Pertuis | Aix-En-Provence | Salon-de-Provence</t>
  </si>
  <si>
    <t>Sueur</t>
  </si>
  <si>
    <t xml:space="preserve">Déco Charpente</t>
  </si>
  <si>
    <t>michael.sueur@deco-charpente.fr</t>
  </si>
  <si>
    <t>http://www.linkedin.com/in/michael-sueur-6a88aa108</t>
  </si>
  <si>
    <t>http://www.deco-charpente.fr</t>
  </si>
  <si>
    <t>Etoile-sur-Rhone</t>
  </si>
  <si>
    <t xml:space="preserve">Brignoles, Provence-Alpes-Cote d'Azur, France, 83170</t>
  </si>
  <si>
    <t xml:space="preserve">Constructeur de charpentes décoratives. Produits garantis 10 ans. Appentis &amp; auvent, abris voiture &amp; carport, pergolas, pool house &amp; kiosque</t>
  </si>
  <si>
    <t>ARTICONNEX</t>
  </si>
  <si>
    <t>emmanuel@articonnex.com</t>
  </si>
  <si>
    <t>http://www.linkedin.com/in/emmanuel-morel-75696628</t>
  </si>
  <si>
    <t>http://www.articonnex.com</t>
  </si>
  <si>
    <t xml:space="preserve">11 Rue Jean Rouxel, Orvault, Pays de la Loire, France, 44700</t>
  </si>
  <si>
    <t xml:space="preserve">Contreplaqué, OSB, Bois, Sols Quincaillerie dans une approche d'économie circulaire anti-gaspi : produits déclassés, déstockage ou réemploi. Au meilleur prix.</t>
  </si>
  <si>
    <t>Guylain</t>
  </si>
  <si>
    <t>Auzoux</t>
  </si>
  <si>
    <t>ENERGICAL</t>
  </si>
  <si>
    <t>ag@energical.fr</t>
  </si>
  <si>
    <t>http://www.linkedin.com/in/guylain-auzoux-10472614a</t>
  </si>
  <si>
    <t>http://www.energical.fr</t>
  </si>
  <si>
    <t xml:space="preserve">Sainte-Eulalie, Nouvelle-Aquitaine, France, 33560</t>
  </si>
  <si>
    <t>Bastianelli</t>
  </si>
  <si>
    <t>CIMALTO</t>
  </si>
  <si>
    <t>c.bastianelli@cimalto.fr</t>
  </si>
  <si>
    <t>http://www.linkedin.com/in/christophe-bastianelli-957539200</t>
  </si>
  <si>
    <t>http://www.cimalto.fr</t>
  </si>
  <si>
    <t>Vitry-sur-Seine</t>
  </si>
  <si>
    <t xml:space="preserve">57 Rue Jules Ferry, Vitry-sur-Seine, Ile-de-France, France, 94400</t>
  </si>
  <si>
    <t xml:space="preserve">Entreprise spécialisée dans le gros œuvre du bâtiment, maçonnerie, étanchéité, sécurité toiture, végétalisation, photovoltaïque...</t>
  </si>
  <si>
    <t xml:space="preserve">Fondateur / Président / Ingénieur Structures</t>
  </si>
  <si>
    <t xml:space="preserve">TETRA GENIE-CIVIL</t>
  </si>
  <si>
    <t>s.guillot@tetra-gc.fr</t>
  </si>
  <si>
    <t>http://www.linkedin.com/in/sebguillot</t>
  </si>
  <si>
    <t>http://www.weebly.com</t>
  </si>
  <si>
    <t>Epinal</t>
  </si>
  <si>
    <t xml:space="preserve">17 Quai Marechal de Contades, Epinal, Grand Est, France, 88000</t>
  </si>
  <si>
    <t xml:space="preserve">Pro Diving Terneuzen, dé avontuurlijke en relaxte duik- en snorkel club gevestigd in de gemeente Terneuzen in Zeeuws-Vlaanderen. Maak kennis met onze club en u zult het allermooiste van het onderwaterleven ontdekken in binnen- en buitenland ....</t>
  </si>
  <si>
    <t>Sas</t>
  </si>
  <si>
    <t>JOUSSE</t>
  </si>
  <si>
    <t>jousse@jousse-sa.fr</t>
  </si>
  <si>
    <t>http://www.linkedin.com/in/sas-jousse-1177616a</t>
  </si>
  <si>
    <t>http://www.jousse-sa.fr</t>
  </si>
  <si>
    <t>Parigne-sur-Braye</t>
  </si>
  <si>
    <t xml:space="preserve">1 Impasse Le Meslier, Parigne-sur-Braye, Pays de la Loire, France, 53100</t>
  </si>
  <si>
    <t>Schambacher</t>
  </si>
  <si>
    <t>TYLLIUM</t>
  </si>
  <si>
    <t>bruno.schambacher@tyllium.com</t>
  </si>
  <si>
    <t>http://www.linkedin.com/in/bruno-schambacher-4ab353</t>
  </si>
  <si>
    <t>http://www.tyllium.com</t>
  </si>
  <si>
    <t xml:space="preserve">Issy-les-Moulineaux, Ile-de-France, France</t>
  </si>
  <si>
    <t>Fraioli</t>
  </si>
  <si>
    <t xml:space="preserve">Groupe CIMÉO</t>
  </si>
  <si>
    <t>fraioli@groupecimeo.fr</t>
  </si>
  <si>
    <t>http://www.linkedin.com/in/francois-fraioli-866585b0</t>
  </si>
  <si>
    <t>http://www.groupecimeo.fr</t>
  </si>
  <si>
    <t xml:space="preserve">Jugon-les-Lacs, Brittany, France</t>
  </si>
  <si>
    <t xml:space="preserve">Le Groupe Ciméo est un acteur majeur du BTP en Bretagne. 4 entités : Ciméo Construction, CRD, Herisson et Ciméo Cloisons Doublages.</t>
  </si>
  <si>
    <t xml:space="preserve">BETAP Ingénierie</t>
  </si>
  <si>
    <t>o.briand@betap.fr</t>
  </si>
  <si>
    <t>http://www.linkedin.com/in/olivier-briand-095b90a1</t>
  </si>
  <si>
    <t>http://www.betap.fr</t>
  </si>
  <si>
    <t xml:space="preserve">10 Chemin du Vigneau, Saint-Herblain, Pays de la Loire, France, 44800</t>
  </si>
  <si>
    <t>Bosne</t>
  </si>
  <si>
    <t>BOUTINEAU</t>
  </si>
  <si>
    <t>thierry.bosne@soregies-services.fr</t>
  </si>
  <si>
    <t>http://www.linkedin.com/in/thierry-bosne-434b1653</t>
  </si>
  <si>
    <t>http://www.boutineau.fr</t>
  </si>
  <si>
    <t xml:space="preserve">13 Route de la Foret, Biard, Nouvelle-Aquitaine, France, 86580</t>
  </si>
  <si>
    <t>cedric.dubourg@sorreba-technologie.fr</t>
  </si>
  <si>
    <t>http://www.linkedin.com/in/cedric-dubourg-359a29100</t>
  </si>
  <si>
    <t>SCENETEC</t>
  </si>
  <si>
    <t>bastien.chaumet@scenetec.fr</t>
  </si>
  <si>
    <t>http://www.linkedin.com/in/bastien-chaumet-0a549a139</t>
  </si>
  <si>
    <t>http://www.scenetec.fr</t>
  </si>
  <si>
    <t xml:space="preserve">5 Avenue Pierre Semard, Venissieux, Auvergne-Rhone-Alpes, France, 69200</t>
  </si>
  <si>
    <t>TILYO</t>
  </si>
  <si>
    <t>n.leroy@tilyo.fr</t>
  </si>
  <si>
    <t>http://www.linkedin.com/in/nicolas-leroy-206a95206</t>
  </si>
  <si>
    <t>http://www.tilyo.fr</t>
  </si>
  <si>
    <t>Saint-Gervais-en-Belin</t>
  </si>
  <si>
    <t xml:space="preserve">6 Rue Antoine de Saint-Exupery, Mulsanne, Pays de la Loire, France, 72230</t>
  </si>
  <si>
    <t xml:space="preserve">Le spécialiste sarthois de la rénovation énergétique vous accompagne dans votre démarche. Chauffage, isolation extérieure, isolation intérieure : contactez votre artisan local Le Mans en Sarthe (72).</t>
  </si>
  <si>
    <t>Lenart</t>
  </si>
  <si>
    <t xml:space="preserve">Founder - Operys</t>
  </si>
  <si>
    <t>Operys</t>
  </si>
  <si>
    <t>thibault.lenart@operys.fr</t>
  </si>
  <si>
    <t>http://www.linkedin.com/in/t-lenart</t>
  </si>
  <si>
    <t>http://www.operys.fr</t>
  </si>
  <si>
    <t xml:space="preserve">1 Rue Honore d'Estienne d'Orves, Palaiseau, Ile-de-France, France, 91120</t>
  </si>
  <si>
    <t>Ewan</t>
  </si>
  <si>
    <t xml:space="preserve">Air&amp;Vert Énergie</t>
  </si>
  <si>
    <t>e.pelletier@air-et-vert.com</t>
  </si>
  <si>
    <t>http://www.linkedin.com/in/ewan-pelletier-1bb94b168</t>
  </si>
  <si>
    <t>http://www.hanvolt.com</t>
  </si>
  <si>
    <t xml:space="preserve">1 Rue du Marais Guyot, Villedoux, Nouvelle-Aquitaine, France, 17230</t>
  </si>
  <si>
    <t>bcluzel@maisonsetarchitectures.com</t>
  </si>
  <si>
    <t>http://www.linkedin.com/in/baptiste-cluzel-400279121</t>
  </si>
  <si>
    <t>Sohail</t>
  </si>
  <si>
    <t>Anwar</t>
  </si>
  <si>
    <t xml:space="preserve">BACER SAS</t>
  </si>
  <si>
    <t>sohail@bacer.fr</t>
  </si>
  <si>
    <t>http://www.linkedin.com/in/sohail-anwar-a22a0a1bb</t>
  </si>
  <si>
    <t>http://www.bacer.fr</t>
  </si>
  <si>
    <t xml:space="preserve">Saint-Pierre-du-Perray, Ile-de-France, France, 91280</t>
  </si>
  <si>
    <t xml:space="preserve">CEO &amp; Chef de Projet</t>
  </si>
  <si>
    <t xml:space="preserve">MAKE Office 🇫🇷</t>
  </si>
  <si>
    <t>benoit.antoine@make-office.fr</t>
  </si>
  <si>
    <t>http://www.linkedin.com/in/beno%c3%aet-antoine-42282999</t>
  </si>
  <si>
    <t>http://www.make-office.fr</t>
  </si>
  <si>
    <t xml:space="preserve">43 Rue Jean-Pierre Timbaud, Paris, Ile-de-France, France, 75011</t>
  </si>
  <si>
    <t xml:space="preserve">MAKE Office vous accompagne pour l'Aménagement de bureaux à Paris et Ile-de-France. Experts en rénovation, nous livrons des espaces professionnels sur mesure.</t>
  </si>
  <si>
    <t>Javaherian</t>
  </si>
  <si>
    <t>Renoo</t>
  </si>
  <si>
    <t>rayan@renoo.fr</t>
  </si>
  <si>
    <t>http://www.linkedin.com/in/rayan-javaherian-%f0%9f%8f%a1-08065a165</t>
  </si>
  <si>
    <t>http://www.renoo.fr</t>
  </si>
  <si>
    <t xml:space="preserve">Renoo vous accompagne de l'idée aux finitions, vous sélectionne des artisans de qualité et vous garantie des travaux au juste prix.</t>
  </si>
  <si>
    <t>Kchaou</t>
  </si>
  <si>
    <t>Archi-Construit</t>
  </si>
  <si>
    <t>oussama.kchaou@archi-construit.fr</t>
  </si>
  <si>
    <t>http://www.linkedin.com/in/oussama-kchaou-87692946</t>
  </si>
  <si>
    <t>http://www.archi-construit.fr</t>
  </si>
  <si>
    <t xml:space="preserve">10 Rue de Panama, Paris, Ile-de-France, France, 75018</t>
  </si>
  <si>
    <t>Suzy</t>
  </si>
  <si>
    <t>Diruy</t>
  </si>
  <si>
    <t>DIRUY</t>
  </si>
  <si>
    <t>s.diruy@diruy.com</t>
  </si>
  <si>
    <t>http://www.linkedin.com/in/suzy-diruy-07839483</t>
  </si>
  <si>
    <t>http://www.diruy.fr</t>
  </si>
  <si>
    <t xml:space="preserve">303BIS Rue d'Abbeville, Amiens, Hauts-de-France, France, 80000</t>
  </si>
  <si>
    <t xml:space="preserve">Aménagement et rénovation de votre habitat : devis gratuit sous 48h pour vos menuiseries, fermetures, portails, alarmes, stores et pergolas</t>
  </si>
  <si>
    <t xml:space="preserve">SAS Afonso</t>
  </si>
  <si>
    <t>f.dias@afonso-sas.fr</t>
  </si>
  <si>
    <t>http://www.linkedin.com/in/filipe-dias-48774982</t>
  </si>
  <si>
    <t>http://www.afonso-construction.fr</t>
  </si>
  <si>
    <t xml:space="preserve">Genay, Auvergne-Rhone-Alpes, France, 69730</t>
  </si>
  <si>
    <t xml:space="preserve">L'entreprise Afonso, expert de la maçonnerie en Rhône-Alpes vous accompagne dans la réalisation de vos programmes. Nous bâtissons vos logements collectifs avec vous</t>
  </si>
  <si>
    <t>Roeck</t>
  </si>
  <si>
    <t xml:space="preserve">Directrice générale / Restauconceptrice</t>
  </si>
  <si>
    <t xml:space="preserve">STUDIS INGENIERIE</t>
  </si>
  <si>
    <t>deroeck@studis.fr</t>
  </si>
  <si>
    <t>http://www.linkedin.com/in/emilie-de-roeck-432a70135</t>
  </si>
  <si>
    <t>http://www.studis.fr</t>
  </si>
  <si>
    <t xml:space="preserve">100G Cours Lafayette, Lyon, Auvergne-Rhone-Alpes, France, 69003</t>
  </si>
  <si>
    <t xml:space="preserve">Studis Ingénierie, bureaux d'études à Lyon, Lille et Toulouse. Ingénierie technique en plomberie, électricité, sécurité incendie ou encore installations photovoltaïques.</t>
  </si>
  <si>
    <t>Queyras</t>
  </si>
  <si>
    <t xml:space="preserve">Société de Travaux Alpes Méditerranée</t>
  </si>
  <si>
    <t>alexandre.queyras@stam05.fr</t>
  </si>
  <si>
    <t>http://www.linkedin.com/in/alexandre-queyras-0aa22998</t>
  </si>
  <si>
    <t>http://www.stam-construction.fr</t>
  </si>
  <si>
    <t>Guillestre</t>
  </si>
  <si>
    <t xml:space="preserve">Guillestre, Provence-Alpes-Cote d'Azur, France, 05600</t>
  </si>
  <si>
    <t>Gagniere</t>
  </si>
  <si>
    <t xml:space="preserve">Capelli et Cie</t>
  </si>
  <si>
    <t>laurentg@capelli.fr</t>
  </si>
  <si>
    <t>http://www.linkedin.com/in/laurent-gagniere-0aa8a314a</t>
  </si>
  <si>
    <t>http://www.capelli.fr</t>
  </si>
  <si>
    <t>Jarrie</t>
  </si>
  <si>
    <t xml:space="preserve">29 Rue Ostian, Jarrie, Auvergne-Rhone-Alpes, France, 38560</t>
  </si>
  <si>
    <t xml:space="preserve">CAPELLI &amp; Cie fabrique des appareils à pression, fours industriels, skids et de nombreux autres ensembles chaudronnés.</t>
  </si>
  <si>
    <t>Zorninger</t>
  </si>
  <si>
    <t>NOVIM</t>
  </si>
  <si>
    <t>anne.zorninger@novim-epl.fr</t>
  </si>
  <si>
    <t>http://www.linkedin.com/in/anne-zorninger-391a1a91</t>
  </si>
  <si>
    <t>http://www.novim-epl.fr</t>
  </si>
  <si>
    <t xml:space="preserve">33 Boulevard Antonio Vivaldi, Saint-Etienne, Rhone-Alpes, France, 42000</t>
  </si>
  <si>
    <t xml:space="preserve">Novim : Opérateur de l'aménagement territorial.</t>
  </si>
  <si>
    <t>Recoque</t>
  </si>
  <si>
    <t xml:space="preserve">Groupe Moyse</t>
  </si>
  <si>
    <t>matthieu.recoque@moyse.fr</t>
  </si>
  <si>
    <t>http://www.linkedin.com/in/matthieu-recoque-a244491a3</t>
  </si>
  <si>
    <t>http://www.moyse.fr</t>
  </si>
  <si>
    <t xml:space="preserve">59 Chemin des Planches, Besancon, Bourgogne-Franche-Comte, France, 25000</t>
  </si>
  <si>
    <t>Barthe</t>
  </si>
  <si>
    <t>BARTHE</t>
  </si>
  <si>
    <t>benoitbarthe@barthe.com</t>
  </si>
  <si>
    <t>http://www.linkedin.com/in/beno%c3%aet-barthe-23786852</t>
  </si>
  <si>
    <t>http://www.barthe.com</t>
  </si>
  <si>
    <t xml:space="preserve">North Carolina, United States</t>
  </si>
  <si>
    <t xml:space="preserve">Barthe vous accompagne dans tous vos projets pour le chauffage, la climatisation ou le solaire.</t>
  </si>
  <si>
    <t>Henri-Luc</t>
  </si>
  <si>
    <t>Mougel</t>
  </si>
  <si>
    <t xml:space="preserve">METHODES ET PILOTAGE</t>
  </si>
  <si>
    <t>henri-luc.mougel@methodes.com</t>
  </si>
  <si>
    <t>http://www.linkedin.com/in/henri-luc-mougel-7aaa28a5</t>
  </si>
  <si>
    <t>http://www.methodes.com</t>
  </si>
  <si>
    <t xml:space="preserve">5 Rue de Logelbach, Paris, Ile-de-France, France, 75017</t>
  </si>
  <si>
    <t xml:space="preserve">Depuis sa création en 1969, Méthodes et Pilotage s’est forgé une image de réactivité, de savoir-faire et d’indépendance dans la conduite de projets de construct</t>
  </si>
  <si>
    <t xml:space="preserve">Etablissements Houllé</t>
  </si>
  <si>
    <t>martin.antoine@ets-houlle.fr</t>
  </si>
  <si>
    <t>http://www.linkedin.com/in/antoine-martin-3b4bb5129</t>
  </si>
  <si>
    <t>http://www.ets-houlle.fr</t>
  </si>
  <si>
    <t xml:space="preserve">Sarreguemines, Alsace-Champagne-Ardenne-Lorraine, France, 57200</t>
  </si>
  <si>
    <t xml:space="preserve">Spécialiste du chauffage et de la climatisation depuis plus de 50 ans, l'entreprise Houlle - 80 salariés - chiffre d'affaires 10 millions € - rayonne dans les domaines aussi variés que l'industrie, le tertiaire, les hôpitaux et le logement collectif.</t>
  </si>
  <si>
    <t>Lilian</t>
  </si>
  <si>
    <t>Rene</t>
  </si>
  <si>
    <t>ServiGaz</t>
  </si>
  <si>
    <t>lilian.rene@servigaz.com</t>
  </si>
  <si>
    <t>http://www.linkedin.com/in/lilian-ren%c3%a9-53bb9b191</t>
  </si>
  <si>
    <t>http://www.servigaz-sarl.com</t>
  </si>
  <si>
    <t xml:space="preserve">Dépannage chaudière gaz, entretien et maintenance chaudière à Lyon, Bron, Villeurbanne et dans le Rhône. Servigaz, plus de 40 ans de service.</t>
  </si>
  <si>
    <t>Ramazan</t>
  </si>
  <si>
    <t>Matayli</t>
  </si>
  <si>
    <t xml:space="preserve">CIEL ETANCHE</t>
  </si>
  <si>
    <t>r.matayli@cieletanche.fr</t>
  </si>
  <si>
    <t>http://www.linkedin.com/in/ramazan-matayli-294b47168</t>
  </si>
  <si>
    <t>http://www.cieletanche.fr</t>
  </si>
  <si>
    <t xml:space="preserve">Villeneuve-le-Roi, Ile-de-France, France</t>
  </si>
  <si>
    <t xml:space="preserve">Ciel Etanche, couvreur 94. Nos équipes s'occupent de tous travaux d'étanchéité, de couverture, de ravalement et de bardage pour les professionnels d'Ile de France.</t>
  </si>
  <si>
    <t>Desanti</t>
  </si>
  <si>
    <t xml:space="preserve">PLANETE MENUISERIE</t>
  </si>
  <si>
    <t>pascal.desanti@planetemenuiserie82.fr</t>
  </si>
  <si>
    <t>http://www.linkedin.com/in/pascal-desanti-968837199</t>
  </si>
  <si>
    <t>http://www.planete-menuiserie-montauban.fr</t>
  </si>
  <si>
    <t>Souhait</t>
  </si>
  <si>
    <t>123Modules</t>
  </si>
  <si>
    <t>jp.souhait@jipe.fr</t>
  </si>
  <si>
    <t>http://www.linkedin.com/in/jp-souhait-88a4b7122</t>
  </si>
  <si>
    <t>http://www.123modules.fr</t>
  </si>
  <si>
    <t xml:space="preserve">Rue du Paquis, Vigneulles-les-Hattonchatel, Grand Est, France, 55210</t>
  </si>
  <si>
    <t>Bonet</t>
  </si>
  <si>
    <t xml:space="preserve">IPE Immobilier Pour l'Entreprise</t>
  </si>
  <si>
    <t>yannick.bonet@ipebat.com</t>
  </si>
  <si>
    <t>http://www.linkedin.com/in/bonet-yannick</t>
  </si>
  <si>
    <t>http://www.ipebat.com</t>
  </si>
  <si>
    <t xml:space="preserve">2 Avenue Christian Doppler, Serris, Ile-de-France, France, 77700</t>
  </si>
  <si>
    <t xml:space="preserve">Créée en 1996, IPE Immobilier est un cabinet d'études spécialisé dans la conception et la construction de bâtiments tertiaires, industriels et commerciaux.</t>
  </si>
  <si>
    <t>Pannunzio</t>
  </si>
  <si>
    <t>AIV</t>
  </si>
  <si>
    <t>m.pannunzio@alienor-vini.fr</t>
  </si>
  <si>
    <t>http://www.linkedin.com/in/maxime-pannunzio-177597bb</t>
  </si>
  <si>
    <t>http://www.alienor-vini.fr</t>
  </si>
  <si>
    <t xml:space="preserve">4 Allee de la Crabette, Pessac, Nouvelle-Aquitaine, France, 33600</t>
  </si>
  <si>
    <t xml:space="preserve">UTPM Marbrerie</t>
  </si>
  <si>
    <t>c.guillaume@utpm.fr</t>
  </si>
  <si>
    <t>http://www.linkedin.com/in/christophe-guillaume-36922b173</t>
  </si>
  <si>
    <t>http://www.utpm.fr</t>
  </si>
  <si>
    <t xml:space="preserve">9 Rue de Lombardie, Saint-Priest, Auvergne-Rhone-Alpes, France, 69800</t>
  </si>
  <si>
    <t>Bespok</t>
  </si>
  <si>
    <t>charlene@bespok.co</t>
  </si>
  <si>
    <t>http://www.linkedin.com/in/charlene-c-360731a</t>
  </si>
  <si>
    <t>http://www.bespok.co</t>
  </si>
  <si>
    <t xml:space="preserve">HAPPY TRAVAUX GEX</t>
  </si>
  <si>
    <t>s.martin@activ-travaux.com</t>
  </si>
  <si>
    <t>http://www.linkedin.com/in/sylvain-martin</t>
  </si>
  <si>
    <t>http://www.activ-travaux.com</t>
  </si>
  <si>
    <t>Gex</t>
  </si>
  <si>
    <t xml:space="preserve">Gex, Auvergne-Rhone-Alpes, France, 01170</t>
  </si>
  <si>
    <t>Fichet</t>
  </si>
  <si>
    <t>Nant'artisans</t>
  </si>
  <si>
    <t>guillaume@nant-artisans.com</t>
  </si>
  <si>
    <t>http://www.linkedin.com/in/guillaume-fichet-%f0%9f%aa%84-236636135</t>
  </si>
  <si>
    <t>http://www.nant-artisans.com</t>
  </si>
  <si>
    <t>Dagault</t>
  </si>
  <si>
    <t xml:space="preserve">ICOFLUIDES Ingénierie</t>
  </si>
  <si>
    <t>yann.dagault@icofluides.fr</t>
  </si>
  <si>
    <t>http://www.linkedin.com/in/yann-dagault-10b05668</t>
  </si>
  <si>
    <t>http://www.icofluides.fr</t>
  </si>
  <si>
    <t xml:space="preserve">Thorigne-Fouillard, Brittany, France</t>
  </si>
  <si>
    <t xml:space="preserve">ICOFLUIDES Ingénierie et ICOFLUIDES Maison, bureaux d'études thermiques et fluides Rennes. Tertiaire, Résidentiel, Maison individuelle. Neuf ou Rénovation.</t>
  </si>
  <si>
    <t>Pinault</t>
  </si>
  <si>
    <t>ECCE</t>
  </si>
  <si>
    <t>thomasp@ecce-paris.com</t>
  </si>
  <si>
    <t>http://www.linkedin.com/in/thomas-pinault-08676312</t>
  </si>
  <si>
    <t>http://www.ecce-paris.com</t>
  </si>
  <si>
    <t xml:space="preserve">1 نهج بن ضياف, Tunisia</t>
  </si>
  <si>
    <t>Dumery</t>
  </si>
  <si>
    <t>SEFRA</t>
  </si>
  <si>
    <t>m.dumery@sefra.pro</t>
  </si>
  <si>
    <t>http://www.linkedin.com/in/muriel-dumery-750749152</t>
  </si>
  <si>
    <t>http://www.sefra.pro</t>
  </si>
  <si>
    <t xml:space="preserve">Rue de la Bourdinière, Yffiniac, Brittany, France, 22120</t>
  </si>
  <si>
    <t>Telelec</t>
  </si>
  <si>
    <t>frederic.guichard@telelec.fr</t>
  </si>
  <si>
    <t>http://www.linkedin.com/in/frederic-guichard-99562813</t>
  </si>
  <si>
    <t>http://www.telelec.fr</t>
  </si>
  <si>
    <t xml:space="preserve">Boulazac, Nouvelle-Aquitaine, France, 24750</t>
  </si>
  <si>
    <t xml:space="preserve">Télécommunication d'entreprise | Expert Télécommunication pour entreprise | Telelec vous accompagne à Bordeaux, Pau, Périgueux et en Dordogne</t>
  </si>
  <si>
    <t>Jerbi</t>
  </si>
  <si>
    <t xml:space="preserve">COO and co-founder</t>
  </si>
  <si>
    <t>Altaroad</t>
  </si>
  <si>
    <t>rihab.jerbi@altaroad.com</t>
  </si>
  <si>
    <t>http://www.linkedin.com/in/rihab-jerbi-altaroad</t>
  </si>
  <si>
    <t>http://www.altaroad.com</t>
  </si>
  <si>
    <t xml:space="preserve">5 Avenue du General de Gaulle, Saint-Mande, Ile-de-France, France, 94160</t>
  </si>
  <si>
    <t xml:space="preserve">Altaroad utilise l'intelligence artificielle au service de la gestion des flux de déchets et de matières sur vos sites.</t>
  </si>
  <si>
    <t>Lebental</t>
  </si>
  <si>
    <t xml:space="preserve">Cofounder &amp; Scientific Advisor</t>
  </si>
  <si>
    <t>berengere.lebental@altaroad.com</t>
  </si>
  <si>
    <t>http://www.linkedin.com/in/bereng%c3%a8re-lebental-7219b97</t>
  </si>
  <si>
    <t>Akaaboun</t>
  </si>
  <si>
    <t xml:space="preserve">ACCES BTP</t>
  </si>
  <si>
    <t>ahmed.akaaboun@accesbtp.fr</t>
  </si>
  <si>
    <t>http://www.linkedin.com/in/ahmed-akaaboun-9a586082</t>
  </si>
  <si>
    <t>http://www.accesbtp.fr</t>
  </si>
  <si>
    <t xml:space="preserve">28 Avenue de Messine, Paris, Ile-de-France, France, 75008</t>
  </si>
  <si>
    <t xml:space="preserve">La reprise en sous-oeuvre accessible à tous</t>
  </si>
  <si>
    <t>Homsy</t>
  </si>
  <si>
    <t>TECTON</t>
  </si>
  <si>
    <t>jchomsy@tecton.fr</t>
  </si>
  <si>
    <t>http://www.linkedin.com/in/jean-christophe-homsy-a0a21185</t>
  </si>
  <si>
    <t>http://www.tecton.fr</t>
  </si>
  <si>
    <t xml:space="preserve">18 Rue Cluseret, Suresnes, Ile-de-France, France, 92150</t>
  </si>
  <si>
    <t xml:space="preserve">VALENTIN CONSTRUCTION</t>
  </si>
  <si>
    <t>p-valentin@groupe-valentin.fr</t>
  </si>
  <si>
    <t>http://www.linkedin.com/in/groupevalentin</t>
  </si>
  <si>
    <t>http://www.valentin-construction.fr</t>
  </si>
  <si>
    <t xml:space="preserve">Chavanoz, Auvergne-Rhone-Alpes, France</t>
  </si>
  <si>
    <t>Kornacker</t>
  </si>
  <si>
    <t xml:space="preserve">MADER SA</t>
  </si>
  <si>
    <t>mkornacker@mader-sa.fr</t>
  </si>
  <si>
    <t>http://www.linkedin.com/in/maxime-kornacker</t>
  </si>
  <si>
    <t>http://www.mader-sa.fr</t>
  </si>
  <si>
    <t xml:space="preserve">Guebwiller, Alsace, France</t>
  </si>
  <si>
    <t xml:space="preserve">MADER S.A. localisée en Alsace, propose ses compétences dans de nombreux domaines : Bâtiment, Travaux Publics, Génie Civil, Travaux hydrauliques, Préfabrication et Désamiantage.</t>
  </si>
  <si>
    <t xml:space="preserve">Directeur général adjoint / Responsable d’activité</t>
  </si>
  <si>
    <t xml:space="preserve">SCOP PPRV</t>
  </si>
  <si>
    <t>menard@pprv.fr</t>
  </si>
  <si>
    <t>http://www.linkedin.com/in/alexandre-menard-b1b871156</t>
  </si>
  <si>
    <t>http://www.pprv.fr</t>
  </si>
  <si>
    <t xml:space="preserve">Rue Jules Verne, Le Poire-sur-Vie, Pays de la Loire, France, 85170</t>
  </si>
  <si>
    <t>Cecilie</t>
  </si>
  <si>
    <t>ELFIMM</t>
  </si>
  <si>
    <t>eddy.cecilie@elfimm.com</t>
  </si>
  <si>
    <t>http://www.linkedin.com/in/eddy-c%c3%a9cilie-2ab78170</t>
  </si>
  <si>
    <t>http://www.elfimm.com</t>
  </si>
  <si>
    <t xml:space="preserve">15 Rue Beaujon, Paris, Ile-de-France, France, 75008</t>
  </si>
  <si>
    <t xml:space="preserve">Nos derniers projets</t>
  </si>
  <si>
    <t>Arnal</t>
  </si>
  <si>
    <t xml:space="preserve">Co Fondateur ICECS HDF</t>
  </si>
  <si>
    <t xml:space="preserve">ICECS HDF • A3C CONCEPT 🔵</t>
  </si>
  <si>
    <t>j.arnal@icecs.fr</t>
  </si>
  <si>
    <t>http://www.linkedin.com/in/jonathan-arnal-32a638130</t>
  </si>
  <si>
    <t>http://www.suisseblick24.net</t>
  </si>
  <si>
    <t>Agnetz</t>
  </si>
  <si>
    <t xml:space="preserve">12 Avenue du Beauvaisis, Beauvais, Hauts-de-France, France, 60000</t>
  </si>
  <si>
    <t>Abikanlou</t>
  </si>
  <si>
    <t xml:space="preserve">Owner &amp; Founder - CEO</t>
  </si>
  <si>
    <t>CRMP</t>
  </si>
  <si>
    <t>abikanlou@crmp-consult.com</t>
  </si>
  <si>
    <t>http://www.linkedin.com/in/gilles-abikanlou-7545012</t>
  </si>
  <si>
    <t>http://www.aetmgroup.fr</t>
  </si>
  <si>
    <t xml:space="preserve">9 Rue de l'Oise, Mery-sur-Oise, Ile-de-France, France, 95540</t>
  </si>
  <si>
    <t>Rothblum</t>
  </si>
  <si>
    <t xml:space="preserve">Master Solutions</t>
  </si>
  <si>
    <t>stephane.rothblum@master-solutions.fr</t>
  </si>
  <si>
    <t>http://www.linkedin.com/in/stephane-rothblum-b971a6a</t>
  </si>
  <si>
    <t>http://www.master-solutions.fr</t>
  </si>
  <si>
    <t>Mercurol</t>
  </si>
  <si>
    <t>Jaffry</t>
  </si>
  <si>
    <t>eMOs</t>
  </si>
  <si>
    <t>c.jaffry@emos.fr</t>
  </si>
  <si>
    <t>http://www.linkedin.com/in/christophe-jaffry-43329712b</t>
  </si>
  <si>
    <t>http://www.emos.fr</t>
  </si>
  <si>
    <t xml:space="preserve">27 Rue Adrastee, Chavanod, Auvergne-Rhone-Alpes, France, 74650</t>
  </si>
  <si>
    <t>Tracktor</t>
  </si>
  <si>
    <t>julien.mousseau@tracktor.fr</t>
  </si>
  <si>
    <t>http://www.linkedin.com/in/mousseaujulien</t>
  </si>
  <si>
    <t>http://www.tracktor-saas.fr</t>
  </si>
  <si>
    <t xml:space="preserve">Le logiciel qui réinvente la location, du chantier au bureau</t>
  </si>
  <si>
    <t>julien.s@fm-s.eu</t>
  </si>
  <si>
    <t>http://www.linkedin.com/in/julien-schoch-83963512a</t>
  </si>
  <si>
    <t>http://www.fmsgroupe.fr</t>
  </si>
  <si>
    <t xml:space="preserve">Eschau, Grand Est, France</t>
  </si>
  <si>
    <t>Robbin</t>
  </si>
  <si>
    <t>Rodas</t>
  </si>
  <si>
    <t>AIDF</t>
  </si>
  <si>
    <t>aidf@aidf.pro</t>
  </si>
  <si>
    <t>http://www.linkedin.com/in/robbin-rodas-827589228</t>
  </si>
  <si>
    <t>http://www.aidf.pro</t>
  </si>
  <si>
    <t xml:space="preserve">Nous sommes experts dans la mise en place de la signalisation temporaire, l’installation de tous types de clôtures de chantier, le marquage...</t>
  </si>
  <si>
    <t>Kuhn</t>
  </si>
  <si>
    <t xml:space="preserve">ABAQUE BATIMENT SERVICES</t>
  </si>
  <si>
    <t>g.kuhn@abaque-s.fr</t>
  </si>
  <si>
    <t>http://www.linkedin.com/in/geoffroy-kuhn-29946526</t>
  </si>
  <si>
    <t>http://www.abaque-s.fr</t>
  </si>
  <si>
    <t xml:space="preserve">Montargis, Centre-Val de Loire, France</t>
  </si>
  <si>
    <t>PIERRENOEL</t>
  </si>
  <si>
    <t>julien.rigaud@pierrenoel.fr</t>
  </si>
  <si>
    <t>http://www.linkedin.com/in/julien-rigaud-72132ba8</t>
  </si>
  <si>
    <t>http://www.pierrenoel.fr</t>
  </si>
  <si>
    <t xml:space="preserve">112 Rue Ambroise Croizat, Saint-Denis, Ile-de-France, France, 93200</t>
  </si>
  <si>
    <t>Moncel</t>
  </si>
  <si>
    <t xml:space="preserve">LIOTARD TP</t>
  </si>
  <si>
    <t>bmoncel@liotard-groupe.com</t>
  </si>
  <si>
    <t>http://www.linkedin.com/in/beno%c3%aet-moncel-8a3915201</t>
  </si>
  <si>
    <t>http://www.liotard-tp.com</t>
  </si>
  <si>
    <t>Aurel</t>
  </si>
  <si>
    <t xml:space="preserve">Barsac, Barsac, Auvergne-Rhone-Alpes, France, 26150</t>
  </si>
  <si>
    <t xml:space="preserve">Liotard TP : Travaux publics, terrassements, démolitions, canalisations et voiries - Maçonnerie - Aurel Drôme</t>
  </si>
  <si>
    <t>Veysel</t>
  </si>
  <si>
    <t>Acar</t>
  </si>
  <si>
    <t>SYBAT</t>
  </si>
  <si>
    <t>veysel@sybat.fr</t>
  </si>
  <si>
    <t>http://www.linkedin.com/in/veysel-acar-185b96207</t>
  </si>
  <si>
    <t>http://www.sybat.fr</t>
  </si>
  <si>
    <t xml:space="preserve">45 Rue du Pont d'Argenteuil, Gennevilliers, Ile-de-France, France, 92230</t>
  </si>
  <si>
    <t>Gonidec</t>
  </si>
  <si>
    <t>jean-yves.gonidec@groupe-bardec.com</t>
  </si>
  <si>
    <t>http://www.linkedin.com/in/jean-yves-gonidec-99949320a</t>
  </si>
  <si>
    <t>http://www.camus-bardec.com</t>
  </si>
  <si>
    <t>Cour-sur-Loire</t>
  </si>
  <si>
    <t xml:space="preserve">4 Rue de la Foret, Saint-Leonard-en-Beauce, Centre-Val de Loire, France, 41370</t>
  </si>
  <si>
    <t>Stifor</t>
  </si>
  <si>
    <t>f.petit@stifor.fr</t>
  </si>
  <si>
    <t>http://www.linkedin.com/in/franck-petit-stifor</t>
  </si>
  <si>
    <t>http://www.stifor.fr</t>
  </si>
  <si>
    <t xml:space="preserve">Stifor, votre spécialiste dans la découpe de béton depuis plus de 30 ans auprès des entreprises de gros œuvre et de génie civil.</t>
  </si>
  <si>
    <t>Lozachmeur</t>
  </si>
  <si>
    <t>Lign.O</t>
  </si>
  <si>
    <t>yves.lozachmeur@lign-o.fr</t>
  </si>
  <si>
    <t>http://www.linkedin.com/in/yves-lozachmeur-9a37a1</t>
  </si>
  <si>
    <t>http://www.lign-o.fr</t>
  </si>
  <si>
    <t>Grasser</t>
  </si>
  <si>
    <t>A4Services</t>
  </si>
  <si>
    <t>f.grasser@a4services.com</t>
  </si>
  <si>
    <t>http://www.linkedin.com/in/fr%c3%a9d%c3%a9ric-grasser-517a67116</t>
  </si>
  <si>
    <t>http://www.a4services.com</t>
  </si>
  <si>
    <t xml:space="preserve">16 Allee du Pressoir, Rumilly, Auvergne-Rhone-Alpes, France, 74150</t>
  </si>
  <si>
    <t xml:space="preserve">Joko Padel</t>
  </si>
  <si>
    <t>romain@jokopadel.com</t>
  </si>
  <si>
    <t>http://www.linkedin.com/in/romain-germain-2385ba159</t>
  </si>
  <si>
    <t>http://www.jokopadel.com</t>
  </si>
  <si>
    <t xml:space="preserve">40 Rue des Sablieres, Bordeaux, Nouvelle-Aquitaine, France, 33800</t>
  </si>
  <si>
    <t>Linise</t>
  </si>
  <si>
    <t xml:space="preserve">Fuites Pro Detection</t>
  </si>
  <si>
    <t>jeanluc@fuitesprodetection.fr</t>
  </si>
  <si>
    <t>http://www.linkedin.com/in/jean-luc-linise-146740133</t>
  </si>
  <si>
    <t>http://www.fuitesprodetection.fr</t>
  </si>
  <si>
    <t xml:space="preserve">6 Rue des Pruniers, Saint-Didier, Brittany, France, 35220</t>
  </si>
  <si>
    <t>Besnier</t>
  </si>
  <si>
    <t xml:space="preserve">Laval Mayenne Aménagements</t>
  </si>
  <si>
    <t>jean-marc.besnier@groupement-lma.fr</t>
  </si>
  <si>
    <t>http://www.linkedin.com/in/jean-marc-besnier</t>
  </si>
  <si>
    <t>http://www.groupement-lma.fr</t>
  </si>
  <si>
    <t xml:space="preserve">LMA à Laval (53), accompagne les collectivités et les entreprises dans la réalisation de projets immobiliers et urbains, de la maîtrise d'ouvrage à l'aménagement.</t>
  </si>
  <si>
    <t>Horrenberger</t>
  </si>
  <si>
    <t>HORRENBERGER</t>
  </si>
  <si>
    <t>vh@horrenberger.com</t>
  </si>
  <si>
    <t>http://www.linkedin.com/in/vincent-horrenberger-9a1421179</t>
  </si>
  <si>
    <t>http://www.horrenberger.com</t>
  </si>
  <si>
    <t>Gallo</t>
  </si>
  <si>
    <t xml:space="preserve">Willy Naessens FRANCE</t>
  </si>
  <si>
    <t>angelo-g@willynaessens.fr</t>
  </si>
  <si>
    <t>http://www.linkedin.com/in/angelo-gallo-355908125</t>
  </si>
  <si>
    <t>http://www.willynaessens.fr</t>
  </si>
  <si>
    <t xml:space="preserve">Bapaume, Nord-Pas-de-Calais-Picardie, France, 62450</t>
  </si>
  <si>
    <t>Tomasz</t>
  </si>
  <si>
    <t>Daktera</t>
  </si>
  <si>
    <t>SoilCloud</t>
  </si>
  <si>
    <t>tomasz.daktera@soilcloud.fr</t>
  </si>
  <si>
    <t>http://www.linkedin.com/in/daktera</t>
  </si>
  <si>
    <t>http://www.soilcloud.tech</t>
  </si>
  <si>
    <t xml:space="preserve">Rue des Taillandiers, Paris, Ile-de-France, France, 75011</t>
  </si>
  <si>
    <t xml:space="preserve">SoilCloud est une plateforme web dédiée à l'analyse et à l'exploitation des données géotechniques.</t>
  </si>
  <si>
    <t xml:space="preserve">Maisons Batilor</t>
  </si>
  <si>
    <t>p.alves@batilor.fr</t>
  </si>
  <si>
    <t>http://www.linkedin.com/in/maisonsbatilordgpedroalves</t>
  </si>
  <si>
    <t>http://www.batilor.com</t>
  </si>
  <si>
    <t xml:space="preserve">7 Rue Auguste Jouchoux, Besancon, Franche-Comte, France, 25000</t>
  </si>
  <si>
    <t xml:space="preserve">Constructeur de maison en Franche Comté ( Doubs, Jura, Haute Saône, Belfort), en Lorraine ( Vosges) et en Alsace.</t>
  </si>
  <si>
    <t>Varailhon</t>
  </si>
  <si>
    <t xml:space="preserve">Directeur général et associé</t>
  </si>
  <si>
    <t>ILINKUP</t>
  </si>
  <si>
    <t>alex@ilinkup.fr</t>
  </si>
  <si>
    <t>http://www.linkedin.com/in/alex-varailhon-21509b136</t>
  </si>
  <si>
    <t>http://www.ilinkup.fr</t>
  </si>
  <si>
    <t xml:space="preserve">St-Laurent-du-Var, Provence-Alpes-Cote d'Azur, France</t>
  </si>
  <si>
    <t>Tounsi</t>
  </si>
  <si>
    <t>ESTB</t>
  </si>
  <si>
    <t>mourad.tounsi@estb.fr</t>
  </si>
  <si>
    <t>http://www.linkedin.com/in/mourad-tounsi-7a2977262</t>
  </si>
  <si>
    <t>http://www.estb.org.eg</t>
  </si>
  <si>
    <t xml:space="preserve">Allee des Epinettes, Torcy, Ile-de-France, France, 77200</t>
  </si>
  <si>
    <t>Chanel</t>
  </si>
  <si>
    <t>s.chanel@jipe.fr</t>
  </si>
  <si>
    <t>http://www.linkedin.com/in/sebastien-chanel-340112</t>
  </si>
  <si>
    <t>Jenny</t>
  </si>
  <si>
    <t>Dudrat</t>
  </si>
  <si>
    <t>direction@maisonlebel.com</t>
  </si>
  <si>
    <t>http://www.linkedin.com/in/jenny-guillon-dudrat-98029817b</t>
  </si>
  <si>
    <t>Jeault</t>
  </si>
  <si>
    <t xml:space="preserve">Président chez RESEAU FJA</t>
  </si>
  <si>
    <t xml:space="preserve">Réseau FJA</t>
  </si>
  <si>
    <t>frederic.jeault@reseau-fja.fr</t>
  </si>
  <si>
    <t>http://www.linkedin.com/in/fr%c3%a9d%c3%a9ric-jeault-29117a64</t>
  </si>
  <si>
    <t>http://www.reseau-fja.fr</t>
  </si>
  <si>
    <t xml:space="preserve">Change, Pays de la Loire, France</t>
  </si>
  <si>
    <t xml:space="preserve">Expert du génie climatique, le Réseau FJA accompagne les sociétés des secteurs tertiaire et industriel dans l'installation et la maintenance d'équipements.</t>
  </si>
  <si>
    <t>MonChauffagiste.com</t>
  </si>
  <si>
    <t>m.boulanger@monchauffagiste.com</t>
  </si>
  <si>
    <t>http://www.linkedin.com/in/maxime-boulanger-98780321</t>
  </si>
  <si>
    <t>http://www.monchauffagiste.com</t>
  </si>
  <si>
    <t xml:space="preserve">16 Rue de Londres, Lille, Hauts-de-France, France, 59000</t>
  </si>
  <si>
    <t>Cordeiro</t>
  </si>
  <si>
    <t xml:space="preserve">Santana Batiment</t>
  </si>
  <si>
    <t>marco.cordeiro@santana-batiment.fr</t>
  </si>
  <si>
    <t>http://www.linkedin.com/in/marco-cordeiro-9633454b</t>
  </si>
  <si>
    <t>http://www.santana-batiment.fr</t>
  </si>
  <si>
    <t xml:space="preserve">34 Route de Versailles, Champlan, Ile-de-France, France, 91160</t>
  </si>
  <si>
    <t>Lisandre</t>
  </si>
  <si>
    <t xml:space="preserve">Fondateur SARL LISANDRE</t>
  </si>
  <si>
    <t xml:space="preserve">SARL LISANDRE</t>
  </si>
  <si>
    <t>marielaure@lisandre.fr</t>
  </si>
  <si>
    <t>http://www.linkedin.com/in/christophe-lisandre-08a6a765</t>
  </si>
  <si>
    <t>http://www.lisandre.fr</t>
  </si>
  <si>
    <t xml:space="preserve">11 Rue Helene Roederer, Chatenay-Malabry, Ile-de-France, France, 92290</t>
  </si>
  <si>
    <t xml:space="preserve">Depuis 1987, Lisandre rénove maisons, appartements, sous-sols et combles. Experts en rénovation globale et énergétique, nous vous accompagnons de A à Z pour vos projets.</t>
  </si>
  <si>
    <t>Hussenot</t>
  </si>
  <si>
    <t xml:space="preserve">ROUSSEL PEINTURE</t>
  </si>
  <si>
    <t>ohussenot@rousselpeinture.com</t>
  </si>
  <si>
    <t>http://www.linkedin.com/in/olivier-hussenot-654373119</t>
  </si>
  <si>
    <t>http://www.rousselpeinture.fr</t>
  </si>
  <si>
    <t xml:space="preserve">282 Rue Jean Jaures, Anzin, Hauts-de-France, France, 59410</t>
  </si>
  <si>
    <t xml:space="preserve">Roussel Peinture est une entreprise basée à Croix, forte de 150 années d'expérience, dans la rénovation pour les particuliers, commerçants,</t>
  </si>
  <si>
    <t>Kadiri</t>
  </si>
  <si>
    <t>KASQ</t>
  </si>
  <si>
    <t>saad.kadiri@kasq.fr</t>
  </si>
  <si>
    <t>http://www.linkedin.com/in/sa%c3%a2d-kadiri-a7b827116</t>
  </si>
  <si>
    <t>http://www.kasq.fr</t>
  </si>
  <si>
    <t xml:space="preserve">Paris, Ile-de-France, France, 75011</t>
  </si>
  <si>
    <t xml:space="preserve">KASQ est une entreprise spécialisée qui vous accompagne dans votre projet de rénovation de A à Z, de la conception des plans à la livraison!</t>
  </si>
  <si>
    <t>Carlier</t>
  </si>
  <si>
    <t>STIO</t>
  </si>
  <si>
    <t>thomas.carlier@stio60.fr</t>
  </si>
  <si>
    <t>http://www.linkedin.com/in/thomas-carlier-6a07a4142</t>
  </si>
  <si>
    <t>http://www.stio60.fr</t>
  </si>
  <si>
    <t xml:space="preserve">Rue Henri Becquerel, Villers-Saint-Paul, Hauts-de-France, France, 60870</t>
  </si>
  <si>
    <t>Dubegny</t>
  </si>
  <si>
    <t xml:space="preserve">Nu ‎• Architectural Design &amp; Engineering Firm</t>
  </si>
  <si>
    <t>t.dubegny@noussommesnu.fr</t>
  </si>
  <si>
    <t>http://www.linkedin.com/in/tdlinkedin</t>
  </si>
  <si>
    <t>http://www.noussommesnu.fr</t>
  </si>
  <si>
    <t xml:space="preserve">Nu conçoit des ouvrages pertinents pour leur présent et capables pour leur futur, pour être, demain, ce qui n’a pas encore été imaginé.</t>
  </si>
  <si>
    <t>ASRO</t>
  </si>
  <si>
    <t>thierry.amzallag@institut-ophtalmique.fr</t>
  </si>
  <si>
    <t>http://www.linkedin.com/in/thierry-amzallag-36450753</t>
  </si>
  <si>
    <t>http://www.institut-ophtalmique.fr</t>
  </si>
  <si>
    <t xml:space="preserve">Overpelt, Flanders, Belgium</t>
  </si>
  <si>
    <t>Crazover</t>
  </si>
  <si>
    <t xml:space="preserve">EUROLEC 2000</t>
  </si>
  <si>
    <t>fx.crazover@eurolec2000.fr</t>
  </si>
  <si>
    <t>http://www.linkedin.com/in/fran%c3%a7ois-xavier-crazover-89506511</t>
  </si>
  <si>
    <t>http://www.eurolec2000.fr</t>
  </si>
  <si>
    <t xml:space="preserve">Saint-Pierre-du-Perray, Ile-de-France, France</t>
  </si>
  <si>
    <t xml:space="preserve">Depuis près de 20 ans, EUROLEC 2000 sert au mieux ses clients acteurs de la promotion immobilière. Nous maîtrisons l’ensemble des compétences nécessaires à la conception et à la réalisation de réseaux électriques en courant fort, courant faible et domotique.</t>
  </si>
  <si>
    <t>Maggio</t>
  </si>
  <si>
    <t xml:space="preserve">DEAL ECO</t>
  </si>
  <si>
    <t>vmaggio@deal-eco.fr</t>
  </si>
  <si>
    <t>http://www.linkedin.com/in/vincent-maggio-0b5484204</t>
  </si>
  <si>
    <t>http://www.deal-eco.fr</t>
  </si>
  <si>
    <t xml:space="preserve">Aytre, Poitou-Charentes, France</t>
  </si>
  <si>
    <t xml:space="preserve">Experts en rénovation énergétique à La Rochelle : pompe à chaleur, isolation, panneaux solaires. Obtenez un devis gratuit pour améliorer l’efficacité de votre habitation.</t>
  </si>
  <si>
    <t>Guinde</t>
  </si>
  <si>
    <t>GUINDE</t>
  </si>
  <si>
    <t>j.guinde@guinde.com</t>
  </si>
  <si>
    <t>http://www.linkedin.com/in/j%c3%a9rome-guind%c3%a9-a4835065</t>
  </si>
  <si>
    <t>http://www.guinde.com</t>
  </si>
  <si>
    <t>Dinan</t>
  </si>
  <si>
    <t xml:space="preserve">Pleudihen-sur-Rance, Brittany, France, 22690</t>
  </si>
  <si>
    <t>Baboin</t>
  </si>
  <si>
    <t xml:space="preserve">ABCIS Contractant</t>
  </si>
  <si>
    <t>j.baboin@abcis.fr</t>
  </si>
  <si>
    <t>http://www.linkedin.com/in/jean-baboin-4158b648</t>
  </si>
  <si>
    <t>http://www.abcis.fr</t>
  </si>
  <si>
    <t>christine.lequertier@lequertiersa.fr</t>
  </si>
  <si>
    <t>http://www.linkedin.com/in/christine-lequertier-14b2a276</t>
  </si>
  <si>
    <t xml:space="preserve">La Richardais</t>
  </si>
  <si>
    <t>Doreau</t>
  </si>
  <si>
    <t>pax</t>
  </si>
  <si>
    <t>pdoreau@pax-ing.fr</t>
  </si>
  <si>
    <t>http://www.linkedin.com/in/patrick-doreau-843a677a</t>
  </si>
  <si>
    <t>http://www.pax-ing.fr</t>
  </si>
  <si>
    <t xml:space="preserve">Bihorel, Normandy, France</t>
  </si>
  <si>
    <t>Quilloux</t>
  </si>
  <si>
    <t xml:space="preserve">Routes &amp; Chantiers Modernes</t>
  </si>
  <si>
    <t>pquilloux@routesetchantiersmodernes.fr</t>
  </si>
  <si>
    <t>http://www.linkedin.com/in/patrice-quilloux-99ba1983</t>
  </si>
  <si>
    <t>http://www.routesetchantiersmodernes.com</t>
  </si>
  <si>
    <t xml:space="preserve">Lieu-dit Courceaux, Montereau-sur-le-Jard, Ile-de-France, France, 77950</t>
  </si>
  <si>
    <t>Schmoll</t>
  </si>
  <si>
    <t>ELIEZ</t>
  </si>
  <si>
    <t>a.schmoll@eliez.fr</t>
  </si>
  <si>
    <t>http://www.linkedin.com/in/alain-schmoll-a0289a59</t>
  </si>
  <si>
    <t>http://www.eliez.fr</t>
  </si>
  <si>
    <t xml:space="preserve">30BIS Rue du Bailly, Saint-Denis, Ile-de-France, France, 93210</t>
  </si>
  <si>
    <t xml:space="preserve">Spécialisée en travaux de finition, ELIEZ a évolué vers la conception-réalisation et l’amélioration des performances environnementales du bâtiment.</t>
  </si>
  <si>
    <t>Revel</t>
  </si>
  <si>
    <t xml:space="preserve">BRB BATIMENT</t>
  </si>
  <si>
    <t>rrevel@brbatiment.fr</t>
  </si>
  <si>
    <t>http://www.linkedin.com/in/romain-revel-62071496</t>
  </si>
  <si>
    <t>http://www.brbatiment.fr</t>
  </si>
  <si>
    <t xml:space="preserve">13 Rue Saint-Honore, Versailles, Ile-de-France, France, 78000</t>
  </si>
  <si>
    <t xml:space="preserve">BRB est une entreprise générale spécialisée dans la construction et la réhabilitation de bâtiments à Paris et en Île-de-France.</t>
  </si>
  <si>
    <t>Croixmarie</t>
  </si>
  <si>
    <t xml:space="preserve">Groupe Croixmarie</t>
  </si>
  <si>
    <t>erwan.croixmarie@croixmarie.com</t>
  </si>
  <si>
    <t>http://www.linkedin.com/in/erwan-croixmarie-96938755</t>
  </si>
  <si>
    <t>http://www.groupecroixmarie.com</t>
  </si>
  <si>
    <t xml:space="preserve">41 Rue des Freres Lumiere, Saint-Jean-de-Braye, Centre, France, 45800</t>
  </si>
  <si>
    <t>Leblon</t>
  </si>
  <si>
    <t xml:space="preserve">Groupe Stratiforme-Compreforme -Technoforme</t>
  </si>
  <si>
    <t>g.leblon@stratiforme.com</t>
  </si>
  <si>
    <t>http://www.linkedin.com/in/guy-leblon-91b02682</t>
  </si>
  <si>
    <t>http://www.stratiforme.fr</t>
  </si>
  <si>
    <t xml:space="preserve">570 Rue du Pave, Bersee, Hauts-de-France, France, 59235</t>
  </si>
  <si>
    <t>Cordonnier</t>
  </si>
  <si>
    <t xml:space="preserve">PILGRIM Design &amp; Build</t>
  </si>
  <si>
    <t>vcordonnier@pilgrim-db.com</t>
  </si>
  <si>
    <t>http://www.linkedin.com/in/vincent-cordonnier-50062842</t>
  </si>
  <si>
    <t>http://www.pilgrim-db.com</t>
  </si>
  <si>
    <t>Livadiotti</t>
  </si>
  <si>
    <t>MaP3</t>
  </si>
  <si>
    <t>elivadiotti@map3.net</t>
  </si>
  <si>
    <t>http://www.linkedin.com/in/emmanuel-livadiotti-50261b41</t>
  </si>
  <si>
    <t>http://www.map3.net</t>
  </si>
  <si>
    <t xml:space="preserve">7 Avenue Albert Bartholome, Paris, Ile-de-France, France, 75015</t>
  </si>
  <si>
    <t xml:space="preserve">MaP3 - Engineering &amp; Structural Design - Bureau d'Etudes Structures - 7, av. Albert Bartolomé 75015 PARIS - tel : 01.40.43.43.10</t>
  </si>
  <si>
    <t>Chatauret</t>
  </si>
  <si>
    <t xml:space="preserve">SAS CHATAURET TP</t>
  </si>
  <si>
    <t>julien.chatauret@chatauret-tp.com</t>
  </si>
  <si>
    <t>http://www.linkedin.com/in/julien-chatauret-431826175</t>
  </si>
  <si>
    <t>http://www.chatauret-tp.com</t>
  </si>
  <si>
    <t xml:space="preserve">Izon, Aquitaine-Limousin-Poitou-Charentes, France, 33450</t>
  </si>
  <si>
    <t xml:space="preserve">Terrassement, assainissement, maçonnerie, clôtures, portails, allées, parkings, tout à l’égout... Nous choisir, c’est faire le choix de l’expérience.</t>
  </si>
  <si>
    <t>youse</t>
  </si>
  <si>
    <t>abarbier@youse-dev.com</t>
  </si>
  <si>
    <t>http://www.linkedin.com/in/alain-barbier-12891542</t>
  </si>
  <si>
    <t>http://www.youse-dev.com</t>
  </si>
  <si>
    <t xml:space="preserve">15 Rue des Cuirassiers, Lyon, Auvergne-Rhone-Alpes, France, 69003</t>
  </si>
  <si>
    <t xml:space="preserve">Faites confiance à Youse Dev, acteur émergent de la promotion immobilière dans le Rhône. Entreprendre avec Youse Dev, c'est développer des projets innovants au service d’une ville désirable</t>
  </si>
  <si>
    <t>Arroyo</t>
  </si>
  <si>
    <t>R-USE</t>
  </si>
  <si>
    <t>mathieu@r-use.fr</t>
  </si>
  <si>
    <t>http://www.linkedin.com/in/mathieu-paradas-arroyo-482b912b</t>
  </si>
  <si>
    <t>http://www.r-use.fr</t>
  </si>
  <si>
    <t xml:space="preserve">Conseil - Ingénierie en Réemploi / R-USE est un trait d’union d’ingénierie et de design entre la déconstruction et la construction.</t>
  </si>
  <si>
    <t xml:space="preserve">Co-Fondatrice &amp; Co-Dirigeante</t>
  </si>
  <si>
    <t>anne.lozachmeur@lign-o.fr</t>
  </si>
  <si>
    <t>http://www.linkedin.com/in/anne-lozachmeur-13783b</t>
  </si>
  <si>
    <t>Bertholon</t>
  </si>
  <si>
    <t xml:space="preserve">AGI ISOLATION</t>
  </si>
  <si>
    <t>valerie-bertholon@agi-isolation.com</t>
  </si>
  <si>
    <t>http://www.linkedin.com/in/val%c3%a9rie-bertholon-99484690</t>
  </si>
  <si>
    <t>http://www.agi-isolation.com</t>
  </si>
  <si>
    <t xml:space="preserve">Genas, Auvergne-Rhone-Alpes, France, 69740</t>
  </si>
  <si>
    <t xml:space="preserve">AGI ISOLATION situé à Genas (69), expert de l'isolation thermique, coupe-feu et acoustique (laine de roche, enduit, gaine) vous accompagne en France, Europe et dans le monde.</t>
  </si>
  <si>
    <t>Krembser</t>
  </si>
  <si>
    <t xml:space="preserve">ACP Immo</t>
  </si>
  <si>
    <t>ckrembser@acp-immo.fr</t>
  </si>
  <si>
    <t>http://www.linkedin.com/in/cindy-krembser-1671679b</t>
  </si>
  <si>
    <t>http://www.acp-immo.fr</t>
  </si>
  <si>
    <t xml:space="preserve">Rue des Iles Kerguelen, Saint-Gregoire, Brittany, France, 35760</t>
  </si>
  <si>
    <t xml:space="preserve">ACP Immo, promoteur immobilier en Bretagne. Découvrez nos programmes immobiliers, terrains constructibles et locaux commerciaux.</t>
  </si>
  <si>
    <t xml:space="preserve">Ets René Joncour</t>
  </si>
  <si>
    <t>r.joncour@rjoncour.com</t>
  </si>
  <si>
    <t>http://www.linkedin.com/in/romain-joncour-a5387967</t>
  </si>
  <si>
    <t>http://www.rjoncour.com</t>
  </si>
  <si>
    <t>Pluguffan</t>
  </si>
  <si>
    <t xml:space="preserve">15 Rue de Bel-Air, Pluguffan, Brittany, France, 29700</t>
  </si>
  <si>
    <t xml:space="preserve">Crée en 1923, l'entreprise générale de construction RENÉ JONCOUR est une entreprise familiale basée à Pluguffan, près de Quimper.
Spécialisée dans la construction de bâtiments collectifs, tertiaires et industriels ; Elle est forte de ses 60 salariés et possède son propre matériel.</t>
  </si>
  <si>
    <t>Santantonio</t>
  </si>
  <si>
    <t>VOXOA</t>
  </si>
  <si>
    <t>t.santantonio@voxoa.fr</t>
  </si>
  <si>
    <t>http://www.linkedin.com/in/thibaud-santantonio-336537142</t>
  </si>
  <si>
    <t>http://www.voxoa.fr</t>
  </si>
  <si>
    <t xml:space="preserve">27 Rue Joannes Carret, Lyon, Auvergne-Rhone-Alpes, France, 69009</t>
  </si>
  <si>
    <t>Stoops</t>
  </si>
  <si>
    <t xml:space="preserve">GROUPE STOOPS</t>
  </si>
  <si>
    <t>kstoops@groupe-stoops.fr</t>
  </si>
  <si>
    <t>http://www.linkedin.com/in/karine-stoops-323b331a</t>
  </si>
  <si>
    <t>http://www.groupe-stoops.fr</t>
  </si>
  <si>
    <t>Lens</t>
  </si>
  <si>
    <t xml:space="preserve">Rouvroy, Nord-Pas-de-Calais-Picardie, France</t>
  </si>
  <si>
    <t xml:space="preserve">Depuis 25 ans, les entreprises du Groupe Stoops interviennent dans les Hauts-de-France : Électricité, Plomberie, Second Œuvre et Génie Civil.</t>
  </si>
  <si>
    <t>Antoniazzi</t>
  </si>
  <si>
    <t xml:space="preserve">PHD Déco</t>
  </si>
  <si>
    <t>sabrina.antoniazzi@phd-deco.com</t>
  </si>
  <si>
    <t>http://www.linkedin.com/in/sabrina-antoniazzi-</t>
  </si>
  <si>
    <t>http://www.phd-deco.com</t>
  </si>
  <si>
    <t xml:space="preserve">14 Rue de Tolbiac, Paris, Ile-de-France, France, 75013</t>
  </si>
  <si>
    <t>Ouchikh</t>
  </si>
  <si>
    <t xml:space="preserve">SO INGENIERIE</t>
  </si>
  <si>
    <t>s.ouchikh@soingenierie.com</t>
  </si>
  <si>
    <t>http://www.linkedin.com/in/salim-ouchikh-39015a155</t>
  </si>
  <si>
    <t>http://www.soingenierie.com</t>
  </si>
  <si>
    <t xml:space="preserve">5b Rue Jean Grandel, Argenteuil, Ile-de-France, France, 95100</t>
  </si>
  <si>
    <t xml:space="preserve">Experts en génie climatique, SO Ingénierie vous accompagne à chaque étape du cycle de vos projets: conseil, ingénierie et travaux. www.soingenierie.com</t>
  </si>
  <si>
    <t>aymeric@r-use.fr</t>
  </si>
  <si>
    <t>http://www.linkedin.com/in/aymeric-meunier-52ba3b1</t>
  </si>
  <si>
    <t>Guibreteau</t>
  </si>
  <si>
    <t>guibreteau@sv-miroiterie.fr</t>
  </si>
  <si>
    <t>http://www.linkedin.com/in/david-guibreteau-78b8977a</t>
  </si>
  <si>
    <t>Virlogeux</t>
  </si>
  <si>
    <t xml:space="preserve">ISCHEBECK FRANCE</t>
  </si>
  <si>
    <t>avirlogeux@ischebeckfrance.fr</t>
  </si>
  <si>
    <t>http://www.linkedin.com/in/alexandre-virlogeux-57a15437</t>
  </si>
  <si>
    <t>http://www.ischebeckfrance.fr</t>
  </si>
  <si>
    <t xml:space="preserve">19 Rue des Renards, Sartrouville, Ile-de-France, France, 78500</t>
  </si>
  <si>
    <t xml:space="preserve">Ischebeck est le spécialiste des systèmes d'ancrage à base d'étais et micropieux, du coffrage horizontal avec poutrelles, de l'étaiement en aluminium.</t>
  </si>
  <si>
    <t>Lucille</t>
  </si>
  <si>
    <t>Grandcolas</t>
  </si>
  <si>
    <t>TYÖ</t>
  </si>
  <si>
    <t>lucille@tyo.work</t>
  </si>
  <si>
    <t>http://www.linkedin.com/in/lucille-grandcolas-1122a6206</t>
  </si>
  <si>
    <t>http://www.tyo.work</t>
  </si>
  <si>
    <t xml:space="preserve">11 Rue du Martin Pecheur, Schiltigheim, Grand Est, France, 67300</t>
  </si>
  <si>
    <t>Spielmann</t>
  </si>
  <si>
    <t xml:space="preserve">BigMat Spielmann</t>
  </si>
  <si>
    <t>luc.spielmann@bigmat-spielmann.com</t>
  </si>
  <si>
    <t>http://www.linkedin.com/in/luc-spielmann-6391aa231</t>
  </si>
  <si>
    <t>http://www.bigmat-spielmann.com</t>
  </si>
  <si>
    <t xml:space="preserve">74 Rue de la Plaine des Bouchers, Strasbourg, Grand Est, France, 67100</t>
  </si>
  <si>
    <t>Bellante</t>
  </si>
  <si>
    <t xml:space="preserve">Merceron TP</t>
  </si>
  <si>
    <t>p.bellante@merceron.com</t>
  </si>
  <si>
    <t>http://www.linkedin.com/in/philippe-bellante-652303a9</t>
  </si>
  <si>
    <t>http://www.merceron.com</t>
  </si>
  <si>
    <t xml:space="preserve">180 Route de Beauvoir, Sallertaine, Pays de la Loire, France, 85300</t>
  </si>
  <si>
    <t xml:space="preserve">EPC Travaux</t>
  </si>
  <si>
    <t>christophe.mas@epc-travaux.fr</t>
  </si>
  <si>
    <t>http://www.linkedin.com/in/christophe-mas-343b13105</t>
  </si>
  <si>
    <t>http://www.epc-travaux.fr</t>
  </si>
  <si>
    <t xml:space="preserve">55 Rue Cornaline, Eguilles, Provence-Alpes-Cote d'Azur, France, 13510</t>
  </si>
  <si>
    <t xml:space="preserve">EPC Travaux est une entreprise qui réalise l'ensemble de vos travaux de rénovation et de construction avec perfection !</t>
  </si>
  <si>
    <t>Palmieri</t>
  </si>
  <si>
    <t>SOCODIP</t>
  </si>
  <si>
    <t>jcp@socodip.com</t>
  </si>
  <si>
    <t>http://www.linkedin.com/in/jean-christophe-palmieri-04299a144</t>
  </si>
  <si>
    <t>http://www.socodip.com</t>
  </si>
  <si>
    <t>Biguglia</t>
  </si>
  <si>
    <t xml:space="preserve">Lieu-dit Pastoreccia, Bastia, Corsica, France, 20600</t>
  </si>
  <si>
    <t xml:space="preserve">Votre spécialiste en Corse de peintures, parquet bois, stratifié, papier peint, béton ciré, décoration et bien d'autres produits encore</t>
  </si>
  <si>
    <t>Khouman</t>
  </si>
  <si>
    <t>Dwelling</t>
  </si>
  <si>
    <t>gestion1@cabinetdwelling.fr</t>
  </si>
  <si>
    <t>http://www.linkedin.com/in/youssef-khouman-155556106</t>
  </si>
  <si>
    <t>http://www.dwelling.be</t>
  </si>
  <si>
    <t xml:space="preserve">332 Rue de Pontillas, Andenne, Walloon Region, Belgium, 5300</t>
  </si>
  <si>
    <t xml:space="preserve">Aménageur-promoteur au service des collectivités.
Notre mission : Assurer une assistance auprès des collectivités dans leur démarche d'aménagement urbain, de construction ou de réhabilitation.
Notre métier : Aménagement urbain, ZAC, lotissement. Construction de logements, commerces, bureaux, équipements publics</t>
  </si>
  <si>
    <t>Hamo</t>
  </si>
  <si>
    <t>Cecen</t>
  </si>
  <si>
    <t>ARCHI-BAT</t>
  </si>
  <si>
    <t>hamo@archi-bat.com</t>
  </si>
  <si>
    <t>http://www.linkedin.com/in/hamo-cecen-a018ba170</t>
  </si>
  <si>
    <t>http://www.archi-bat.fr</t>
  </si>
  <si>
    <t xml:space="preserve">25 Rue du Capitaine Dreyfus, Montreuil, Ile-de-France, France, 93100</t>
  </si>
  <si>
    <t xml:space="preserve">Archibat est une entreprise générale du bâtiment spécialisée dans la rénovation intérieure et extérieure située en Ile-de-france. Découvrez en images ses réalisations pour constater la qualité de ses travaux.</t>
  </si>
  <si>
    <t xml:space="preserve">La Charpente Thouarsaise</t>
  </si>
  <si>
    <t>quentin.capelle@charpente-thouarsaise.fr</t>
  </si>
  <si>
    <t>http://www.linkedin.com/in/quentin-capelle-b45453184</t>
  </si>
  <si>
    <t>http://www.charpente-thouarsaise.fr</t>
  </si>
  <si>
    <t xml:space="preserve">7 Rue Jean Devaux, Thouars, Poitou-Charentes, France, 79100</t>
  </si>
  <si>
    <t xml:space="preserve">La Charpente Thouarsaise, une entreprise experte dans la conception, la fabrication et la pose de charpente depuis 1973.</t>
  </si>
  <si>
    <t>ALPROFER</t>
  </si>
  <si>
    <t>p.martin@alprofer.fr</t>
  </si>
  <si>
    <t>http://www.linkedin.com/in/pascal-martin-7008102a6</t>
  </si>
  <si>
    <t>http://www.alprofer.fr</t>
  </si>
  <si>
    <t xml:space="preserve">30 Rue de Saint-Denis de Gastines, Ernee, Pays de la Loire, France, 53500</t>
  </si>
  <si>
    <t xml:space="preserve">Alrpoger - entreprise spécialisée dans les menuiserie aluminium, les façades murs rideaux, la métallerie et la serrurerie depuis 1972. site de fabrication de 4000 m</t>
  </si>
  <si>
    <t>Chevalier</t>
  </si>
  <si>
    <t xml:space="preserve">RMC Equipements</t>
  </si>
  <si>
    <t>chevalier@rmc-equipements.fr</t>
  </si>
  <si>
    <t>http://www.linkedin.com/in/thierry-chevalier-209423167</t>
  </si>
  <si>
    <t>http://www.rmc-equipements.fr</t>
  </si>
  <si>
    <t>Bellengreville</t>
  </si>
  <si>
    <t xml:space="preserve">Bellengreville, Normandy, France, 14370</t>
  </si>
  <si>
    <t xml:space="preserve">RMC EQUIPEMENT est une entreprise française spécialisée dans la fabrication de stations d'épurations et de ponts racleurs, suceurs. La société intervient également dans les domaines de la serrurerie et de la tuyauterie. Son champs d'intervention couvre l'international (Guadeloupe, Algérie, Maroc, Tchequie...°</t>
  </si>
  <si>
    <t>Peschet</t>
  </si>
  <si>
    <t xml:space="preserve">Haret Déco</t>
  </si>
  <si>
    <t>g.peschet@haretdeco.fr</t>
  </si>
  <si>
    <t>http://www.linkedin.com/in/ga%c3%abtan-peschet-436992225</t>
  </si>
  <si>
    <t>http://www.haretdeco.fr</t>
  </si>
  <si>
    <t xml:space="preserve">3 Rue des Entrepreneurs, Bretteville-sur-Odon, Normandy, France, 14760</t>
  </si>
  <si>
    <t xml:space="preserve">Haret DÃ©co (Caen &amp; Bretteville-sur-Odon), sociÃ©tÃ© spÃ©cialisÃ©e de lâ€™Ã©tude Ã  la rÃ©alisation en menuiserie, agencement et isolation. Certifications Qualibat &amp; RGE. Le sur mesure de l'amÃ©nagement depuis 1948.</t>
  </si>
  <si>
    <t xml:space="preserve">ALTIA CONSTRUCTIONS</t>
  </si>
  <si>
    <t>aurelien.grenier@groupe-eltia.com</t>
  </si>
  <si>
    <t>http://www.linkedin.com/in/aur%c3%a9lien-grenier-0b8323a2</t>
  </si>
  <si>
    <t>http://www.altia-constructions.fr</t>
  </si>
  <si>
    <t>Viriat</t>
  </si>
  <si>
    <t xml:space="preserve">Bourg-en-Bresse, Auvergne-Rhone-Alpes, France, 01000</t>
  </si>
  <si>
    <t xml:space="preserve">Réseau Chantier</t>
  </si>
  <si>
    <t>a.brunel@reseauchantier.fr</t>
  </si>
  <si>
    <t>http://www.linkedin.com/in/ambroise-brunel-6b29b032</t>
  </si>
  <si>
    <t>http://www.reseauchantier.fr</t>
  </si>
  <si>
    <t xml:space="preserve">18 Rue d'Harausta, Biarritz, Nouvelle-Aquitaine, France, 64200</t>
  </si>
  <si>
    <t>Riza</t>
  </si>
  <si>
    <t>Ciftci</t>
  </si>
  <si>
    <t xml:space="preserve">CILG Construction</t>
  </si>
  <si>
    <t>r.ciftci@cilg-construction.fr</t>
  </si>
  <si>
    <t>http://www.linkedin.com/in/riza-ciftci-42641baa</t>
  </si>
  <si>
    <t>http://www.cilg-construction.fr</t>
  </si>
  <si>
    <t xml:space="preserve">Le Bourget</t>
  </si>
  <si>
    <t xml:space="preserve">Le Bourget, Ile-de-France, France</t>
  </si>
  <si>
    <t>Paola</t>
  </si>
  <si>
    <t>Berrino</t>
  </si>
  <si>
    <t xml:space="preserve">Co-founder and President</t>
  </si>
  <si>
    <t>paola.berrino@bbbuild.fr</t>
  </si>
  <si>
    <t>http://www.linkedin.com/in/paola-berrino-3b823892</t>
  </si>
  <si>
    <t>Sangiardi</t>
  </si>
  <si>
    <t xml:space="preserve">Directeur général chez ICE by Tech9</t>
  </si>
  <si>
    <t xml:space="preserve">TECH9 Group</t>
  </si>
  <si>
    <t>p.sangiardi@grouptech9.fr</t>
  </si>
  <si>
    <t>http://www.linkedin.com/in/patrick-sangiardi-72004122b</t>
  </si>
  <si>
    <t>http://www.grouptech9.fr</t>
  </si>
  <si>
    <t xml:space="preserve">Salon-de-Provence, Provence-Alpes-Cote d'Azur, France</t>
  </si>
  <si>
    <t>Saillon</t>
  </si>
  <si>
    <t>RPI</t>
  </si>
  <si>
    <t>antoine.saillon@rpimenuiserie.com</t>
  </si>
  <si>
    <t>http://www.linkedin.com/in/antoinesaillon</t>
  </si>
  <si>
    <t>http://www.rpimenuiserie.com</t>
  </si>
  <si>
    <t xml:space="preserve">Sauveterre-de-Guyenne, Nouvelle-Aquitaine, France, 33540</t>
  </si>
  <si>
    <t xml:space="preserve">RPI fabricant de menuiseries sur mesure PVC, Bois et aluminium. Pour une menuiserie de qualité nef et rénovation en Nouvelle aquitaine</t>
  </si>
  <si>
    <t>Gerome</t>
  </si>
  <si>
    <t xml:space="preserve">TRAVAUX PUBLICS DU BLAVET</t>
  </si>
  <si>
    <t>gerome.blanc@groupe-tpb.fr</t>
  </si>
  <si>
    <t>http://www.linkedin.com/in/g%c3%a9r%c3%b4me-blanc-86925928</t>
  </si>
  <si>
    <t>http://www.groupe-tpb.fr</t>
  </si>
  <si>
    <t xml:space="preserve">Ty er Douar, Baud, Bretagne, France, 56150</t>
  </si>
  <si>
    <t xml:space="preserve">TPB est un groupe indépendant et familial qui oeuvre dans les travaux publics, l'environnement et le haut débit dans la région Grand Ouest.</t>
  </si>
  <si>
    <t>Cengiz</t>
  </si>
  <si>
    <t>Donmez</t>
  </si>
  <si>
    <t>c.donmez@isolationfutee.fr</t>
  </si>
  <si>
    <t>http://www.linkedin.com/in/cengiz-donmez-b55996166</t>
  </si>
  <si>
    <t>Montceau-les-Mines</t>
  </si>
  <si>
    <t>Seixo</t>
  </si>
  <si>
    <t xml:space="preserve">Seixo Habitat</t>
  </si>
  <si>
    <t>philippe.seixo@seixo-habitat.fr</t>
  </si>
  <si>
    <t>http://www.linkedin.com/in/philippe-seixo-144b05195</t>
  </si>
  <si>
    <t>http://www.seixo-habitat.fr</t>
  </si>
  <si>
    <t xml:space="preserve">Bayonne, Nouvelle-Aquitaine, France</t>
  </si>
  <si>
    <t xml:space="preserve">SEIXO Habitat Promoteur Constructeur immobilier de logement neuf, appartement, maison et terrain à bâtir depuis plus de 20 ans</t>
  </si>
  <si>
    <t>Idir</t>
  </si>
  <si>
    <t>Amer</t>
  </si>
  <si>
    <t>idir.asa@tracktor.fr</t>
  </si>
  <si>
    <t>http://www.linkedin.com/in/idirasa</t>
  </si>
  <si>
    <t>Petreaux</t>
  </si>
  <si>
    <t xml:space="preserve">Groupe TEBIOR</t>
  </si>
  <si>
    <t>n.petreaux@tebior.com</t>
  </si>
  <si>
    <t>http://www.linkedin.com/in/nicolas-petreaux-5643516</t>
  </si>
  <si>
    <t>http://www.tebior.com</t>
  </si>
  <si>
    <t xml:space="preserve">4 Impasse des Freres Lumiere, Pusignan, Auvergne-Rhone-Alpes, France, 69330</t>
  </si>
  <si>
    <t>maxime@nant-artisans.com</t>
  </si>
  <si>
    <t>http://www.linkedin.com/in/maxime-chaumont-5b3a47176</t>
  </si>
  <si>
    <t>Mathiot</t>
  </si>
  <si>
    <t>TAMBÈ</t>
  </si>
  <si>
    <t>p.mathiot@tambe.fr</t>
  </si>
  <si>
    <t>http://www.linkedin.com/in/patricemathiot</t>
  </si>
  <si>
    <t>http://www.tambe.fr</t>
  </si>
  <si>
    <t xml:space="preserve">La Motte-Servolex</t>
  </si>
  <si>
    <t xml:space="preserve">608 Rue Denis Papin, La Motte-Servolex, Auvergne-Rhone-Alpes, France, 73290</t>
  </si>
  <si>
    <t xml:space="preserve">Since 1989, Tambè has been designing, installing, and maintaining custom stage equipment for theaters, operas, and performance venues.</t>
  </si>
  <si>
    <t>antoine@constructions-3d.com</t>
  </si>
  <si>
    <t>http://www.linkedin.com/in/antoine-motte-73158272</t>
  </si>
  <si>
    <t>Bruay-sur-l'Escaut</t>
  </si>
  <si>
    <t>Rotteleur</t>
  </si>
  <si>
    <t xml:space="preserve">BRIAND INDUSTRIES</t>
  </si>
  <si>
    <t>eric.rotteleur@briand-industries.fr</t>
  </si>
  <si>
    <t>http://www.linkedin.com/in/eric-rotteleur-54487a17</t>
  </si>
  <si>
    <t>http://www.briand-industries.fr</t>
  </si>
  <si>
    <t>Pontchateau</t>
  </si>
  <si>
    <t xml:space="preserve">Pontchateau, Pays de la Loire, France, 44160</t>
  </si>
  <si>
    <t xml:space="preserve">Briand industries concoit et réalise des pièces en métal pour le batiment et l'industrie comme des escaliers, des garde-corps, des verrières, des portes, des cloisons vitrées et des pièces industrielles</t>
  </si>
  <si>
    <t>Chassagne</t>
  </si>
  <si>
    <t xml:space="preserve">Président - Ingénieur ESTP</t>
  </si>
  <si>
    <t>chassagne.remi@h2o-bet.com</t>
  </si>
  <si>
    <t>http://www.linkedin.com/in/r%c3%a9mi-chassagne-bb806966</t>
  </si>
  <si>
    <t>Champigny-sur-Marne</t>
  </si>
  <si>
    <t xml:space="preserve">OCELLIS ENERGIES</t>
  </si>
  <si>
    <t>tbernardo@ocellis-energies.fr</t>
  </si>
  <si>
    <t>http://www.linkedin.com/in/tony-bernardo-55a58398</t>
  </si>
  <si>
    <t>http://www.ocellis-energies.fr</t>
  </si>
  <si>
    <t xml:space="preserve">33 Rue Benoit Malon, Suresnes, Ile-de-France, France, 92150</t>
  </si>
  <si>
    <t xml:space="preserve">Entreprise en génie climatique experte depuis plus de 20 ans pour tous vos besoins en climatisation, CVC et GTB. Contactez-nous pour un devis en ligne</t>
  </si>
  <si>
    <t xml:space="preserve">Groupe ROULLIAUD</t>
  </si>
  <si>
    <t>lgenest@roulliaud.fr</t>
  </si>
  <si>
    <t>http://www.linkedin.com/in/laura-genest-947a0631</t>
  </si>
  <si>
    <t>http://www.roulliaud.fr</t>
  </si>
  <si>
    <t xml:space="preserve">1 Rue du Tertreau, Notre-Dame-d'Oe, Centre-Val de Loire, France, 37390</t>
  </si>
  <si>
    <t xml:space="preserve">Fondée en 1953, Roulliaud entreprise générale du bâtiment s’impose en région Centre Ouest comme un acteur incontournable des métiers du second œuvre. Grâce au savoir-faire et au professionnalisme de ses équipes Roulliaud est en mesure d’accompagner les professionnels et les particuliers dans tous leurs projets.</t>
  </si>
  <si>
    <t>Distinguin</t>
  </si>
  <si>
    <t>Semiper</t>
  </si>
  <si>
    <t>stephane.distinguin@semiper.fr</t>
  </si>
  <si>
    <t>http://www.linkedin.com/in/st%c3%a9phane-distinguin-a0b09744</t>
  </si>
  <si>
    <t>http://www.semiper.fr</t>
  </si>
  <si>
    <t>Palvadeau</t>
  </si>
  <si>
    <t xml:space="preserve">NOVAM Ingénierie</t>
  </si>
  <si>
    <t>tpalvadeau@novam-ingenierie.com</t>
  </si>
  <si>
    <t>http://www.linkedin.com/in/thierry-palvadeau-37642170</t>
  </si>
  <si>
    <t>http://www.novam-ingenierie.com</t>
  </si>
  <si>
    <t xml:space="preserve">1 Rue Newton, Challans, Pays de la Loire, France, 85300</t>
  </si>
  <si>
    <t xml:space="preserve">Novam Ingénierie réunit huit bureaux d'études aux compétences complémentaires. Le groupe apporte à ses clients une approche pluridisciplinaire pour l'ingénierie de la construction, de l'environnement et de l'aménagement, de la conception à l'exécution.</t>
  </si>
  <si>
    <t>Mustafa</t>
  </si>
  <si>
    <t>Akyuz</t>
  </si>
  <si>
    <t>DEOBAT</t>
  </si>
  <si>
    <t>m.akyuz@deobat.fr</t>
  </si>
  <si>
    <t>http://www.linkedin.com/in/mustafa-akyuz-bb48b3100</t>
  </si>
  <si>
    <t>http://www.deobat.com</t>
  </si>
  <si>
    <t>Saint-Die-des-Vosges</t>
  </si>
  <si>
    <t xml:space="preserve">Le Banbois, Etival-Clairefontaine, Grand Est, France, 88480</t>
  </si>
  <si>
    <t>Moukdir</t>
  </si>
  <si>
    <t>NOUVEL'ÈRE</t>
  </si>
  <si>
    <t>kamal.moukdir@nouvelere-corp.fr</t>
  </si>
  <si>
    <t>http://www.linkedin.com/in/kamal-moukdir-05b501179</t>
  </si>
  <si>
    <t>http://www.nouvelere-corp.fr</t>
  </si>
  <si>
    <t xml:space="preserve">NOUVEL’ÈRE CORPORATION est une société jeune et ambitieuse. La société siège au 49, rue de Ponthieu à Paris 75008.
L’entreprise est spécialisée dans la fourn...</t>
  </si>
  <si>
    <t>Delanghe</t>
  </si>
  <si>
    <t xml:space="preserve">Co-Fondateur et Responsable commercial</t>
  </si>
  <si>
    <t>Kalysse</t>
  </si>
  <si>
    <t>c.delanghe@kalysse.fr</t>
  </si>
  <si>
    <t>http://www.linkedin.com/in/camille-delanghe-497448135</t>
  </si>
  <si>
    <t xml:space="preserve">Lille, Hauts-de-France, France, 59160</t>
  </si>
  <si>
    <t>Kisaer</t>
  </si>
  <si>
    <t xml:space="preserve">REAL SOL</t>
  </si>
  <si>
    <t>f.kisaer@realsol.fr</t>
  </si>
  <si>
    <t>http://www.linkedin.com/in/firat-kisaer-89402285</t>
  </si>
  <si>
    <t>http://www.realsol.fr</t>
  </si>
  <si>
    <t xml:space="preserve">Bouc-Bel-Air, Provence-Alpes-Cote d'Azur, France, 13320</t>
  </si>
  <si>
    <t>Beaurepaire</t>
  </si>
  <si>
    <t>e.beaurepaire@verandaline.com</t>
  </si>
  <si>
    <t>http://www.linkedin.com/in/emilie-beaurepaire-09a929261</t>
  </si>
  <si>
    <t>Quintin</t>
  </si>
  <si>
    <t>Menuet</t>
  </si>
  <si>
    <t>FADEM</t>
  </si>
  <si>
    <t>xmenuet@fadem.net</t>
  </si>
  <si>
    <t>http://www.linkedin.com/in/xaviermenuet</t>
  </si>
  <si>
    <t>http://www.fadem.net</t>
  </si>
  <si>
    <t xml:space="preserve">10 Allee de Calais, Maffliers, Ile-de-France, France, 95560</t>
  </si>
  <si>
    <t>L'AUBE</t>
  </si>
  <si>
    <t>r.monnier@laube.fr</t>
  </si>
  <si>
    <t>http://www.linkedin.com/in/r%c3%a9my-monnier-402b121b</t>
  </si>
  <si>
    <t>http://www.laube.fr</t>
  </si>
  <si>
    <t>Belfort</t>
  </si>
  <si>
    <t xml:space="preserve">1 Rue de Meroux, Andelnans, Franche-Comte, France, 90400</t>
  </si>
  <si>
    <t>Thevenin</t>
  </si>
  <si>
    <t xml:space="preserve">Groupe VIVIANY</t>
  </si>
  <si>
    <t>p.thevenin@viviany.fr</t>
  </si>
  <si>
    <t>http://www.linkedin.com/in/pierre-thevenin-33a0b4132</t>
  </si>
  <si>
    <t>http://www.viviany.fr</t>
  </si>
  <si>
    <t xml:space="preserve">Montelimar, Rhone-Alpes, France</t>
  </si>
  <si>
    <t xml:space="preserve">BATISOL DALLAGES</t>
  </si>
  <si>
    <t>p.lejeune@batisoldallage.com</t>
  </si>
  <si>
    <t>http://www.linkedin.com/in/philippe-lejeune-4423b3166</t>
  </si>
  <si>
    <t>http://www.batisoldallage.com</t>
  </si>
  <si>
    <t>Saint-Medard-d'Eyrans</t>
  </si>
  <si>
    <t xml:space="preserve">Batisol Dallage est spécialiste dans la mise en oeuvre de tous les types de sols industriels. Batisol dallage vous conseille sur le dallage apdapté à votre secteur d'activité.</t>
  </si>
  <si>
    <t>Stumpf</t>
  </si>
  <si>
    <t xml:space="preserve">Hasler Fenster AG</t>
  </si>
  <si>
    <t>cstumpf@haslerfenster.ch</t>
  </si>
  <si>
    <t>http://www.linkedin.com/in/christophe-stumpf-b7916a1b1</t>
  </si>
  <si>
    <t>http://www.haslerfenster.ch</t>
  </si>
  <si>
    <t xml:space="preserve">73 Oberwilerstrasse, Therwil, Basel-Landschaft, Switzerland, 4106</t>
  </si>
  <si>
    <t>Faurie</t>
  </si>
  <si>
    <t xml:space="preserve">SC FLORIOT</t>
  </si>
  <si>
    <t>jc.faurie@floriot.fr</t>
  </si>
  <si>
    <t>http://www.linkedin.com/in/jean-christophe-faurie-059388123</t>
  </si>
  <si>
    <t>http://www.floriot.fr</t>
  </si>
  <si>
    <t xml:space="preserve">La Société de Construction Floriot a été créée en 1944 par Michel Floriot. Après deux successions, elle a été reprise en 2019 par trois cadres de l'entreprise.</t>
  </si>
  <si>
    <t>Brandolini</t>
  </si>
  <si>
    <t xml:space="preserve">BROSSE ET CHARRE</t>
  </si>
  <si>
    <t>p.brandolini@brosse-et-charre.fr</t>
  </si>
  <si>
    <t>http://www.linkedin.com/in/philippe-brandolini-8b5babb</t>
  </si>
  <si>
    <t>http://www.menuiserie-fenetres-loire-rhone.fr</t>
  </si>
  <si>
    <t xml:space="preserve">35 Impasse de l'Artisanat, Saint-Paul-en-Jarez, Auvergne-Rhone-Alpes, France, 42740</t>
  </si>
  <si>
    <t xml:space="preserve">L'entreprise Menuiserie Brosse et Charre s'occupe de tous vos projets dans les environs de Saint-Paul-en-Jarez, dans le département de la Loire.</t>
  </si>
  <si>
    <t>Salem</t>
  </si>
  <si>
    <t xml:space="preserve">Delecroix Stanczyk</t>
  </si>
  <si>
    <t>m.salem@delecroix-stanczyk.com</t>
  </si>
  <si>
    <t>http://www.linkedin.com/in/matthieu-salem-544246205</t>
  </si>
  <si>
    <t>http://www.delecroix-stanczyk.com</t>
  </si>
  <si>
    <t>Courrieres</t>
  </si>
  <si>
    <t xml:space="preserve">112 Rue Roger Salengro, Courrieres, Nord-Pas-de-Calais, France, 62710</t>
  </si>
  <si>
    <t xml:space="preserve">DELECROIX STANCZYK : édification d’immeubles, lotissements, bâtiments médicaux, rénovation d’édifices et sites industriels.</t>
  </si>
  <si>
    <t>Chiappore</t>
  </si>
  <si>
    <t>Igesa</t>
  </si>
  <si>
    <t>pchiappore@igesa.fr</t>
  </si>
  <si>
    <t>http://www.linkedin.com/in/paul-chiappore-43b46b83</t>
  </si>
  <si>
    <t>http://www.igesa.com.pe</t>
  </si>
  <si>
    <t xml:space="preserve">160 Calle Santa Elena Norte, Santiago de Surco, Callao Region, Peru, 15023</t>
  </si>
  <si>
    <t>Adele</t>
  </si>
  <si>
    <t xml:space="preserve">GAUTIER ENTREPRISE</t>
  </si>
  <si>
    <t>adele.marteau@gautier-entreprise.fr</t>
  </si>
  <si>
    <t>http://www.linkedin.com/in/ad%c3%a8le-marteau-1679ba183</t>
  </si>
  <si>
    <t>http://www.gautier-entreprise.fr</t>
  </si>
  <si>
    <t xml:space="preserve">Combourg, Brittany, France</t>
  </si>
  <si>
    <t xml:space="preserve">L’entreprise Gautier vous propose ses services dans la pose ou l'entretien de votre toiture, l'isolation de votre habitat et la pose de panneaux photovoltaïques.</t>
  </si>
  <si>
    <t xml:space="preserve">Directeur général Amourdedieu Paysages</t>
  </si>
  <si>
    <t>v.ollier@amourdedieu.fr</t>
  </si>
  <si>
    <t>http://www.linkedin.com/in/victor-ollier-9a8869110</t>
  </si>
  <si>
    <t>http://www.amourdedieu.fr</t>
  </si>
  <si>
    <t>Allouis</t>
  </si>
  <si>
    <t xml:space="preserve">ALLOUIS Face In Tec®</t>
  </si>
  <si>
    <t>lallouis@allouis-faceintec.com</t>
  </si>
  <si>
    <t>http://www.linkedin.com/in/laurent-allouis-95aaa9127</t>
  </si>
  <si>
    <t>http://www.allouis-faceintec.com</t>
  </si>
  <si>
    <t xml:space="preserve">1070 Route de Charnoz, Meximieux, Auvergne-Rhone-Alpes, France, 01800</t>
  </si>
  <si>
    <t xml:space="preserve">MTC II</t>
  </si>
  <si>
    <t>vincent.barbier@mtc-ii.com</t>
  </si>
  <si>
    <t>http://www.linkedin.com/in/vincent-barbier-aab42753</t>
  </si>
  <si>
    <t>http://www.mtc-ii.com</t>
  </si>
  <si>
    <t xml:space="preserve">539 Avenue des Chasseens, Gardanne, Provence-Alpes-Cote d'Azur, France, 13120</t>
  </si>
  <si>
    <t>Charpentier</t>
  </si>
  <si>
    <t>pierre.charpentier@groupe-eltia.com</t>
  </si>
  <si>
    <t>http://www.linkedin.com/in/pierre-charpentier-3b8440169</t>
  </si>
  <si>
    <t>Vonnas</t>
  </si>
  <si>
    <t>Bouclier</t>
  </si>
  <si>
    <t xml:space="preserve">HABITAT ENVIRONNEMENT SERVICES</t>
  </si>
  <si>
    <t>direction@habitat-environnement-services.fr</t>
  </si>
  <si>
    <t>http://www.linkedin.com/in/j%c3%a9r%c3%b4me-bouclier-b5574b22b</t>
  </si>
  <si>
    <t>http://www.habitat-environnement-services.fr</t>
  </si>
  <si>
    <t>Casteide-Cami</t>
  </si>
  <si>
    <t xml:space="preserve">Lons, Aquitaine, France</t>
  </si>
  <si>
    <t xml:space="preserve">HES, entreprise locale certifiée RGE / Qualibat, spécialisée dans l'isolation, le traitement des bois, le traitement contre les nuisibles.</t>
  </si>
  <si>
    <t>Colson</t>
  </si>
  <si>
    <t xml:space="preserve">BET ADAM STRUCTURES</t>
  </si>
  <si>
    <t>fcolson@bet-adam.fr</t>
  </si>
  <si>
    <t>http://www.linkedin.com/in/france-colson-50b6b91ba</t>
  </si>
  <si>
    <t>http://www.betadam.fr</t>
  </si>
  <si>
    <t xml:space="preserve">13 Avenue de la Garenne, Nancy, Grand Est, France, 54000</t>
  </si>
  <si>
    <t xml:space="preserve">RENAUD Bâtiment</t>
  </si>
  <si>
    <t>x.renaud@renaud-duby.fr</t>
  </si>
  <si>
    <t>http://www.linkedin.com/in/xavier-renaud-5b4822185</t>
  </si>
  <si>
    <t>http://www.renaud-duby.fr</t>
  </si>
  <si>
    <t xml:space="preserve">68 Rue de la Croix Colin, Replonges, Auvergne-Rhone-Alpes, France, 01750</t>
  </si>
  <si>
    <t>Lachaumette</t>
  </si>
  <si>
    <t xml:space="preserve">LACHAUMETTE CHAPUT</t>
  </si>
  <si>
    <t>c.lachaumette@lachaumettechaput.fr</t>
  </si>
  <si>
    <t>http://www.linkedin.com/in/c%c3%a9dric-lachaumette-9439887b</t>
  </si>
  <si>
    <t>http://www.lachaumettechaput.fr</t>
  </si>
  <si>
    <t xml:space="preserve">Orly, Ile-de-France, France</t>
  </si>
  <si>
    <t xml:space="preserve">L'entreprise Lachaumette Chaput met à votre disposition son savoir-faire pour réaliser tous vos projets d'aménagement.</t>
  </si>
  <si>
    <t>Porcheron</t>
  </si>
  <si>
    <t xml:space="preserve">PORCHERON FRERES ET CIE</t>
  </si>
  <si>
    <t>d.porcheron@porcheron.com</t>
  </si>
  <si>
    <t>http://www.linkedin.com/in/damien-porcheron-aa9b8720a</t>
  </si>
  <si>
    <t>http://www.porcheron.com</t>
  </si>
  <si>
    <t>Albens</t>
  </si>
  <si>
    <t xml:space="preserve">80 Rue de la Servette, Geneva, Geneva, Switzerland, 1202</t>
  </si>
  <si>
    <t xml:space="preserve">L'entreprise Porcheron Electricité est avant tout une histoire de famille au service de la qualité depuis 1925.</t>
  </si>
  <si>
    <t>Kudlug</t>
  </si>
  <si>
    <t>Deger</t>
  </si>
  <si>
    <t xml:space="preserve">DG GROUP</t>
  </si>
  <si>
    <t>kudlug.deger@dggroup.fr</t>
  </si>
  <si>
    <t>http://www.linkedin.com/in/kudlug-deger-8aab7032</t>
  </si>
  <si>
    <t>http://www.dggroup.fr</t>
  </si>
  <si>
    <t xml:space="preserve">22 Avenue du Gue Langlois, Bussy-Saint-Martin, Ile-de-France, France, 77600</t>
  </si>
  <si>
    <t xml:space="preserve">Fort de cinq pôles complémentaires allant de la promotion à la construction, DG Group déploient l’ensemble de ses compétences pour créer l’immobilier de demain.</t>
  </si>
  <si>
    <t xml:space="preserve">MIROITERIE SCHULTZ</t>
  </si>
  <si>
    <t>a.garnier@miroiterie-schultz.fr</t>
  </si>
  <si>
    <t>http://www.linkedin.com/in/adeline-garnier-24a6292bb</t>
  </si>
  <si>
    <t>http://www.miroiterie-schultz.fr</t>
  </si>
  <si>
    <t>Saint-Berthevin</t>
  </si>
  <si>
    <t xml:space="preserve">Saint-Berthevin, Pays de la Loire, France</t>
  </si>
  <si>
    <t xml:space="preserve">CREABOIS Aménagement</t>
  </si>
  <si>
    <t>ludovic.fabre@creabois-agencement.fr</t>
  </si>
  <si>
    <t>http://www.linkedin.com/in/ludovic-fabre-501ab3170</t>
  </si>
  <si>
    <t>http://www.creabois-agencement.fr</t>
  </si>
  <si>
    <t xml:space="preserve">Rue des Plaines, Parigny, Auvergne-Rhone-Alpes, France, 42120</t>
  </si>
  <si>
    <t xml:space="preserve">Créabois est spécialisé en menuiserie traditionnelle sur mesure ainsi qu'en agencement. Nous sommes situés à Parigny prés de Roanne...</t>
  </si>
  <si>
    <t>Bogeat</t>
  </si>
  <si>
    <t>Vestack</t>
  </si>
  <si>
    <t>sylvain.bogeat@vestack.com</t>
  </si>
  <si>
    <t>http://www.linkedin.com/in/sylvain-bogeat</t>
  </si>
  <si>
    <t>http://www.vestack.com</t>
  </si>
  <si>
    <t xml:space="preserve">103 Rue La Boetie, Paris, Ile-de-France, France, 75008</t>
  </si>
  <si>
    <t xml:space="preserve">Vestack conçoit et construit des bâtiments en matériaux biosourcés, sous forme de modules assemblés hors site en Ile de France.</t>
  </si>
  <si>
    <t>Minvielle</t>
  </si>
  <si>
    <t>Kaliti</t>
  </si>
  <si>
    <t>q.minvielle@kaliti.fr</t>
  </si>
  <si>
    <t>http://www.linkedin.com/in/quentin-minvielle-9918b34a</t>
  </si>
  <si>
    <t>http://www.kaliti.fr</t>
  </si>
  <si>
    <t xml:space="preserve">160BIS Rue de Paris, Boulogne-Billancourt, Ile-de-France, France, 92100</t>
  </si>
  <si>
    <t xml:space="preserve">Bienvenue sur le site Kaliti, solution de suivi de chantier pour les maîtres d'oeuvre et les maîtres d'ouvrage permettant un meilleur pilotage des travaux.</t>
  </si>
  <si>
    <t>Ducouret</t>
  </si>
  <si>
    <t xml:space="preserve">P&amp;T Technologie SAS</t>
  </si>
  <si>
    <t>ducouret@pt-technologie.fr</t>
  </si>
  <si>
    <t>http://www.linkedin.com/in/jan-ducouret</t>
  </si>
  <si>
    <t>http://www.energiequelle.fr</t>
  </si>
  <si>
    <t xml:space="preserve">Rue du Pre Long, Vern-sur-Seiche, Brittany, France, 35770</t>
  </si>
  <si>
    <t>Vial</t>
  </si>
  <si>
    <t xml:space="preserve">VIAL CLIMATIQUE</t>
  </si>
  <si>
    <t>p.vial@vial-climatique.com</t>
  </si>
  <si>
    <t>http://www.linkedin.com/in/pierre-vial-33abaa79</t>
  </si>
  <si>
    <t>http://www.vial-climatique.com</t>
  </si>
  <si>
    <t xml:space="preserve">17 Rue Roger Salengro, Genas, Auvergne-Rhone-Alpes, France, 69740</t>
  </si>
  <si>
    <t>Jacquelot</t>
  </si>
  <si>
    <t>bjacquelot@projim.com</t>
  </si>
  <si>
    <t>http://www.linkedin.com/in/bertrand-jacquelot-bb60674a</t>
  </si>
  <si>
    <t>http://www.projim.com</t>
  </si>
  <si>
    <t xml:space="preserve">5 Place Praslin, Melun, Ile-de-France, France, 77000</t>
  </si>
  <si>
    <t>Chailloux</t>
  </si>
  <si>
    <t xml:space="preserve">Président et Direction Technique</t>
  </si>
  <si>
    <t xml:space="preserve">ATLANTIC MODULAIRE</t>
  </si>
  <si>
    <t>xavier.chailloux@atlantic-modulaire.fr</t>
  </si>
  <si>
    <t>http://www.linkedin.com/in/chailloux-xavier-14b1176a</t>
  </si>
  <si>
    <t>http://www.atlantic-modulaire.fr</t>
  </si>
  <si>
    <t xml:space="preserve">Bournezeau, Pays de la Loire, France</t>
  </si>
  <si>
    <t xml:space="preserve">XtreeE the large-scale 3D</t>
  </si>
  <si>
    <t>alain.guillen@xtreee.com</t>
  </si>
  <si>
    <t>http://www.linkedin.com/in/alain-guillen-154a29</t>
  </si>
  <si>
    <t>http://www.xtreee.com</t>
  </si>
  <si>
    <t>Villemurlin</t>
  </si>
  <si>
    <t xml:space="preserve">18 Rue du Jura, Rungis, Ile-de-France, France, 94150</t>
  </si>
  <si>
    <t xml:space="preserve">XtreeE designs and manufactures large-scale 3D printers for construction industry.</t>
  </si>
  <si>
    <t>Gheselle</t>
  </si>
  <si>
    <t xml:space="preserve">Directeur Général / Co-fondateur</t>
  </si>
  <si>
    <t xml:space="preserve">GROUPE ECOLIS</t>
  </si>
  <si>
    <t>tgheselle@sunelis.com</t>
  </si>
  <si>
    <t>http://www.linkedin.com/in/thomas-gheselle</t>
  </si>
  <si>
    <t>http://www.sunelis.com</t>
  </si>
  <si>
    <t xml:space="preserve">721 Rue des Famards, Fretin, Hauts-de-France, France, 59273</t>
  </si>
  <si>
    <t>Eveno</t>
  </si>
  <si>
    <t>leveno@groupecimeo.fr</t>
  </si>
  <si>
    <t>http://www.linkedin.com/in/ludovic-eveno-84216713b</t>
  </si>
  <si>
    <t>Debelfort</t>
  </si>
  <si>
    <t xml:space="preserve">Life Ingénierie &amp; Constructions</t>
  </si>
  <si>
    <t>l.debelfort@life-ingenierie.com</t>
  </si>
  <si>
    <t>http://www.linkedin.com/in/ludovic-debelfort-9b3856108</t>
  </si>
  <si>
    <t>http://www.life-ingenierie.com</t>
  </si>
  <si>
    <t xml:space="preserve">445 Rue Lavoisier, Montbonnot-Saint-Martin, Auvergne-Rhone-Alpes, France, 38330</t>
  </si>
  <si>
    <t xml:space="preserve">Spécialistes dans la conception-construction de zones de type salle blanche et laboratoire. Découvrez les services de Life Ingénierie !</t>
  </si>
  <si>
    <t>Thiebaut</t>
  </si>
  <si>
    <t>SOREBA</t>
  </si>
  <si>
    <t>eric@soreba.fr</t>
  </si>
  <si>
    <t>http://www.linkedin.com/in/eric-thiebaut-5a90525a</t>
  </si>
  <si>
    <t>http://www.soreba.fr</t>
  </si>
  <si>
    <t>Ribeauville</t>
  </si>
  <si>
    <t xml:space="preserve">33 Rue de l'Abattoir, Ribeauville, Alsace, France, 68150</t>
  </si>
  <si>
    <t xml:space="preserve">Soreba : menuiserie passives, fenêtres, volets, brise soleil, velux, domotique, portes, portails, menuiserie d'intérieures, pvc, bois, aluminium.</t>
  </si>
  <si>
    <t>Lembeye</t>
  </si>
  <si>
    <t>Teploenergies</t>
  </si>
  <si>
    <t>simon@teploenergies.com</t>
  </si>
  <si>
    <t>http://www.linkedin.com/in/simon-lembeye-443512a1</t>
  </si>
  <si>
    <t>http://www.teploenergies.com</t>
  </si>
  <si>
    <t xml:space="preserve">5 Rue du Plateau, Mettray, Centre-Val de Loire, France, 37390</t>
  </si>
  <si>
    <t>Sylneo</t>
  </si>
  <si>
    <t>mathieu.pichon@sylneo.com</t>
  </si>
  <si>
    <t>http://www.linkedin.com/in/mathieu-pichon-61496b17</t>
  </si>
  <si>
    <t>http://www.sylneo.com</t>
  </si>
  <si>
    <t xml:space="preserve">fabricant français de bois composite écoresponsable - écomatériau 100% recyclable fabriqué à partir de 100% de matière recyclée</t>
  </si>
  <si>
    <t>Lorant</t>
  </si>
  <si>
    <t xml:space="preserve">LBM Paris</t>
  </si>
  <si>
    <t>christophe@lbm.paris</t>
  </si>
  <si>
    <t>http://www.linkedin.com/in/christophe-lorant-81b5211</t>
  </si>
  <si>
    <t>http://www.lbm.paris</t>
  </si>
  <si>
    <t xml:space="preserve">13 Rue Paul Bert, Paris, Ile-de-France, France, 75011</t>
  </si>
  <si>
    <t xml:space="preserve">La clef de la réussite est de bien s'entourer. Chez LBM™ nous vous proposons de nous occuper de tout, y compris de ces aspects financiers.</t>
  </si>
  <si>
    <t>Courteix</t>
  </si>
  <si>
    <t xml:space="preserve">ENTREPRISE BOSGIRAUD</t>
  </si>
  <si>
    <t>acourteix@bosgiraud.fr</t>
  </si>
  <si>
    <t>http://www.linkedin.com/in/courteix-alexandre-33760083</t>
  </si>
  <si>
    <t>http://www.bosgiraud.fr</t>
  </si>
  <si>
    <t xml:space="preserve">Limas, Auvergne-Rhone-Alpes, France, 69400</t>
  </si>
  <si>
    <t xml:space="preserve">Par notre expérience nous réalisons tous types d’ouvrages en béton armé, béton cellulaire, briques, agglomérés… Reconnue pour notre savoir-faire et la qualité d</t>
  </si>
  <si>
    <t>Baumann</t>
  </si>
  <si>
    <t xml:space="preserve">L'Atelier d'Agencement</t>
  </si>
  <si>
    <t>f.baumann@atelier-agencement.fr</t>
  </si>
  <si>
    <t>http://www.linkedin.com/in/francis-baumann-35a611108</t>
  </si>
  <si>
    <t>http://www.atelier-agencement.fr</t>
  </si>
  <si>
    <t xml:space="preserve">L'Atelier d'Agencement intervient sur vos projets d'architecture et d'aménagement intérieur. Experts en ébénisterie, vernis laquage et protection solaire.</t>
  </si>
  <si>
    <t>Gallay</t>
  </si>
  <si>
    <t xml:space="preserve">IDELEC PLUS</t>
  </si>
  <si>
    <t>laurent.gallay@idelecplus.com</t>
  </si>
  <si>
    <t>http://www.linkedin.com/in/laurent-gallay-idelecplus</t>
  </si>
  <si>
    <t>http://www.idelecplus.com</t>
  </si>
  <si>
    <t xml:space="preserve">22 Avenue Eugene Henaff, Vaulx-en-Velin, Auvergne-Rhone-Alpes, France, 69120</t>
  </si>
  <si>
    <t xml:space="preserve">Idelec Plus, Accueil , est spécialiste de l’électricité générale, l’installation d’équipements électriques et la réalisation d’infrastructures réseaux pour le tertiaire, l’industrie et l’habitat collectif.</t>
  </si>
  <si>
    <t>Noiray</t>
  </si>
  <si>
    <t xml:space="preserve">SPADA CONSTRUCTION</t>
  </si>
  <si>
    <t>f.noiray@spada-construction.fr</t>
  </si>
  <si>
    <t>http://www.linkedin.com/in/florent-noiray-22037b1</t>
  </si>
  <si>
    <t>http://www.spadagroup.fr</t>
  </si>
  <si>
    <t xml:space="preserve">21 Avenue Simone Veil, Nice, Provence-Alpes-Cote d'Azur, France, 06200</t>
  </si>
  <si>
    <t xml:space="preserve">Le groupe SPADA est un des leaders régionaux du bâtiment et Travaux Publics au travers de ses activités de construction, de promotion immobilière et d'ISDI.</t>
  </si>
  <si>
    <t>Trancart</t>
  </si>
  <si>
    <t>pierre.trancart@groupe-ig.com</t>
  </si>
  <si>
    <t>http://www.linkedin.com/in/pierre-trancart-91a79340</t>
  </si>
  <si>
    <t>http://www.groupe-ig.com</t>
  </si>
  <si>
    <t xml:space="preserve">64 Rue du Dessous des Berges, Paris, Ile-de-France, France, 75013</t>
  </si>
  <si>
    <t>http://www.linkedin.com/in/erik-ledorguet-48836483</t>
  </si>
  <si>
    <t xml:space="preserve">Lor-éco énergies</t>
  </si>
  <si>
    <t>r.bellon@lor-eco.fr</t>
  </si>
  <si>
    <t>http://www.linkedin.com/in/romuald-bellon-6158514a</t>
  </si>
  <si>
    <t>http://www.lor-eco.fr</t>
  </si>
  <si>
    <t xml:space="preserve">Dommartin-les-Toul, Grand Est, France, 54200</t>
  </si>
  <si>
    <t xml:space="preserve">Découvrez Lor-éco énergies, votre spécialiste en installations de chauffage, climatisation, et énergies renouvelables. Des solutions sur mesure pour réduire vos factures énergétiques et améliorer votre confort. Service complet d'installation, maintenance et dépannage, avec plus de 20 ans d'expérience. Contactez-nous pour une étude gratuite et sans engagement.</t>
  </si>
  <si>
    <t>a.bisbrouck@edwood.fr</t>
  </si>
  <si>
    <t>http://www.linkedin.com/in/antoine-bisbrouck-81425bb3</t>
  </si>
  <si>
    <t>Bryan</t>
  </si>
  <si>
    <t>Pagnusatt</t>
  </si>
  <si>
    <t xml:space="preserve">Qualitech Groupe</t>
  </si>
  <si>
    <t>b.pagnusatt@qualitech-groupe.com</t>
  </si>
  <si>
    <t>http://www.linkedin.com/in/bryanpagnusatt</t>
  </si>
  <si>
    <t>http://www.qualitech-groupe.com</t>
  </si>
  <si>
    <t xml:space="preserve">Entrelacs, Quebec, Canada, J0T</t>
  </si>
  <si>
    <t xml:space="preserve">Vous imaginez, nous bâtissons. Depuis 2012, notre groupe intervient dans tous corps de métier en tant qu'entreprise générale de la construction.</t>
  </si>
  <si>
    <t xml:space="preserve">PHASE QUATRE</t>
  </si>
  <si>
    <t>leroy@groupelba.com</t>
  </si>
  <si>
    <t>http://www.linkedin.com/in/matthieu-leroy-70132637</t>
  </si>
  <si>
    <t>http://www.phasequatre.com</t>
  </si>
  <si>
    <t xml:space="preserve">21 Rue Albert Calmette, Jouy-en-Josas, Ile-de-France, France, 78350</t>
  </si>
  <si>
    <t xml:space="preserve">Spécialiste dans les secteurs Tertiaire, Hôtellerie et Retail, pour la conception et la réalisation de plafonds suspendus de toutes technicités, de la plâtrerie, et du staff.</t>
  </si>
  <si>
    <t xml:space="preserve">President directeur général TRTP</t>
  </si>
  <si>
    <t xml:space="preserve">TERRASSEMENT ROUSSEL TRAVAUX PUBLICS</t>
  </si>
  <si>
    <t>d.roussel@trtp-paca.fr</t>
  </si>
  <si>
    <t>http://www.linkedin.com/in/didier-roussel-49387520b</t>
  </si>
  <si>
    <t>http://www.trtp-paca.fr</t>
  </si>
  <si>
    <t xml:space="preserve">Chateauneuf-les-Martigues, Provence-Alpes-Cote d'Azur, France</t>
  </si>
  <si>
    <t>Estevan</t>
  </si>
  <si>
    <t>COMELY</t>
  </si>
  <si>
    <t>estevan@comely.fr</t>
  </si>
  <si>
    <t>http://www.linkedin.com/in/estevan-cyril-68371196</t>
  </si>
  <si>
    <t>http://www.equipements-ouvrages-art.fr</t>
  </si>
  <si>
    <t xml:space="preserve">6 Avenue Docteur Schweitzer, Meyzieu, Auvergne-Rhone-Alpes, France, 69330</t>
  </si>
  <si>
    <t xml:space="preserve">CLR CONSULTING</t>
  </si>
  <si>
    <t>carole.robert@clr-consulting.fr</t>
  </si>
  <si>
    <t>http://www.linkedin.com/in/carole-robert-165b4541</t>
  </si>
  <si>
    <t>http://www.clr-consulting.fr</t>
  </si>
  <si>
    <t xml:space="preserve">1 Avenue Laurent Cely, Asnieres-sur-Seine, Ile-de-France, France, 92600</t>
  </si>
  <si>
    <t xml:space="preserve">Bureau d'études spécialisé dans les domaines : Génie thermique / Génie électrique / Génie climatique /Structure</t>
  </si>
  <si>
    <t>Boudain</t>
  </si>
  <si>
    <t>BE-SEMI</t>
  </si>
  <si>
    <t>xavier.boudain@be-semi.com</t>
  </si>
  <si>
    <t>http://www.linkedin.com/in/xavier-boudain-ab43698a</t>
  </si>
  <si>
    <t>http://www.be-semi.com</t>
  </si>
  <si>
    <t xml:space="preserve">10 Avenue des Canuts, Vaulx-en-Velin, Auvergne-Rhone-Alpes, France, 69120</t>
  </si>
  <si>
    <t xml:space="preserve">SEMI : Bureau d'études, méthodes, conseils. Génie-Civil, Travaux Publiques, Ouvrages d'Arts</t>
  </si>
  <si>
    <t xml:space="preserve">TRAVAUX PUBLICS SEINE ET MARNAIS</t>
  </si>
  <si>
    <t>lrichard@tpsm-tp.fr</t>
  </si>
  <si>
    <t>http://www.linkedin.com/in/laurent-richard-a259899b</t>
  </si>
  <si>
    <t>http://www.tpsm-tp.fr</t>
  </si>
  <si>
    <t xml:space="preserve">Moissy-Cramayel, Ile-de-France, France</t>
  </si>
  <si>
    <t>Faussot</t>
  </si>
  <si>
    <t>didier.faussot@entpaquet.fr</t>
  </si>
  <si>
    <t>http://www.linkedin.com/in/faussot-didier-460484113</t>
  </si>
  <si>
    <t>Touron</t>
  </si>
  <si>
    <t xml:space="preserve">Nemesia Amenagement</t>
  </si>
  <si>
    <t>nicolas@nemesia-amenagement.fr</t>
  </si>
  <si>
    <t>http://www.linkedin.com/in/nicolas-touron-9b1643251</t>
  </si>
  <si>
    <t>http://www.nemesia-amenagement.fr</t>
  </si>
  <si>
    <t xml:space="preserve">La Seyne-sur-Mer</t>
  </si>
  <si>
    <t xml:space="preserve">Six-Fours-les-Plages, Provence-Alpes-Cote d'Azur, France</t>
  </si>
  <si>
    <t xml:space="preserve">A Six fours les plages, près de Toulon dans le Var, Nemasia Amenagement est une entreprise spécialisée dans la pose de terrasses bois.</t>
  </si>
  <si>
    <t>Saffray</t>
  </si>
  <si>
    <t xml:space="preserve">H2C n CO</t>
  </si>
  <si>
    <t>t.saffray@h2cnco.fr</t>
  </si>
  <si>
    <t>http://www.linkedin.com/in/th%c3%a9o-saffray-a568aa165</t>
  </si>
  <si>
    <t>http://www.h2cnco.fr</t>
  </si>
  <si>
    <t xml:space="preserve">Massy, Ile-de-France, France</t>
  </si>
  <si>
    <t>Nacio</t>
  </si>
  <si>
    <t>p.nacio@becprovence.fayat.com</t>
  </si>
  <si>
    <t>http://www.linkedin.com/in/pierre-nacio-4958b4111</t>
  </si>
  <si>
    <t xml:space="preserve">AVR INGENIERIE</t>
  </si>
  <si>
    <t>n.guillen@avr-ing.fr</t>
  </si>
  <si>
    <t>http://www.linkedin.com/in/nicolas-guillen-2211a275</t>
  </si>
  <si>
    <t>http://www.avr-ing.fr</t>
  </si>
  <si>
    <t>Bonneuil-sur-Marne</t>
  </si>
  <si>
    <t xml:space="preserve">Avenue des Violettes, Bonneuil-sur-Marne, Ile-de-France, France, 94380</t>
  </si>
  <si>
    <t>Boitel</t>
  </si>
  <si>
    <t xml:space="preserve">BOITEL &amp; FILS</t>
  </si>
  <si>
    <t>v.boitel@boiteletfils.fr</t>
  </si>
  <si>
    <t>http://www.linkedin.com/in/vincent-boitel-417b9a11</t>
  </si>
  <si>
    <t>http://www.boiteletfils.fr</t>
  </si>
  <si>
    <t xml:space="preserve">Vignemont, Hauts-de-France, France</t>
  </si>
  <si>
    <t xml:space="preserve">Notre entreprise présente dans l'Oise (60), intervient pour tous travaux de façade de magasin en bois, menuiserie... Contactez-nous pour un devis gratuit !</t>
  </si>
  <si>
    <t>Bonnet</t>
  </si>
  <si>
    <t xml:space="preserve">LA BOCAINE</t>
  </si>
  <si>
    <t>x.bonnet@labocaine.com</t>
  </si>
  <si>
    <t>http://www.linkedin.com/in/xavier-bonnet-149a08116</t>
  </si>
  <si>
    <t>http://www.labocaine.com</t>
  </si>
  <si>
    <t xml:space="preserve">13 Avenue de l'Arborescente, Les Herbiers, Pays de la Loire, France, 85500</t>
  </si>
  <si>
    <t>Morais</t>
  </si>
  <si>
    <t xml:space="preserve">SARTHOU SAS</t>
  </si>
  <si>
    <t>eric@sarthou-menuiseries.fr</t>
  </si>
  <si>
    <t>http://www.linkedin.com/in/eric-de-morais-53061811</t>
  </si>
  <si>
    <t>http://www.sarthou-menuiseries.fr</t>
  </si>
  <si>
    <t xml:space="preserve">8 Rue Vincent Auriol, Pau, Nouvelle-Aquitaine, France, 64000</t>
  </si>
  <si>
    <t xml:space="preserve">Une entreprise familiale, des prestations de qualité, une équipe d’experts. Depuis 1981, Sarthou Menuiseries est spécialiste menuiseries (alu, bois, PVC), portails, agencement intérieur/extérieur et pergolas. Chez nous, l'expérience et l'expertise sont les maîtres mots. Notre équipe de poseurs intégrés et notre atelier de conception sont un gage de qualité dans la réalisation de votre projet. L' humain est au centre de notre métier. La confiance, le respect, le professionnalisme, la proximité sont des valeurs essentielles pour nous.</t>
  </si>
  <si>
    <t>Planchais</t>
  </si>
  <si>
    <t xml:space="preserve">DESCHAMPS SA</t>
  </si>
  <si>
    <t>nathalie@deschamps-sa.com</t>
  </si>
  <si>
    <t>http://www.linkedin.com/in/nathalie-planchais</t>
  </si>
  <si>
    <t>http://www.deschamps-sa.com</t>
  </si>
  <si>
    <t>Saint-Denis-de-Gastines</t>
  </si>
  <si>
    <t xml:space="preserve">Saint-Denis-de-Gastines, Pays de la Loire, France, 53500</t>
  </si>
  <si>
    <t xml:space="preserve">L’entreprise charpente DESCHAMPS, l'adaptation de l'entreprise familiale et la force et l'engagement d'un collectif</t>
  </si>
  <si>
    <t>Echasseriau</t>
  </si>
  <si>
    <t>Steelgo</t>
  </si>
  <si>
    <t>echasseriau@steelgo.fr</t>
  </si>
  <si>
    <t>http://www.linkedin.com/in/hugues-echasseriau-6a266545</t>
  </si>
  <si>
    <t>http://www.steelgo.fr</t>
  </si>
  <si>
    <t xml:space="preserve">2 Rue Thomas Edison, Chanverrie, Pays de la Loire, France, 85130</t>
  </si>
  <si>
    <t xml:space="preserve">Steelgo, spécialiste charpente, couverture, bardage en métal en France et à l'international, au service des industriels et des bâtiments agricoles.</t>
  </si>
  <si>
    <t xml:space="preserve">ROUGIER ET FILS</t>
  </si>
  <si>
    <t>alexis.roques@rougieretfils.fr</t>
  </si>
  <si>
    <t>http://www.linkedin.com/in/alexis-roques-3a695a32</t>
  </si>
  <si>
    <t>http://www.rougieretfils.fr</t>
  </si>
  <si>
    <t xml:space="preserve">80 Avenue de Paris, Caen, Lower Normandy, France, 14000</t>
  </si>
  <si>
    <t xml:space="preserve">L'entreprise Rougier et fils, spécialiste en bâtiment, gros oeuvre, industrie, génie civil, depuis bientôt 90 ans, réalise vos travaux dans de Calvados</t>
  </si>
  <si>
    <t>Saubesty</t>
  </si>
  <si>
    <t>HOME-CONSTRUCTIONS</t>
  </si>
  <si>
    <t>julien.saubesty@home-constructions.fr</t>
  </si>
  <si>
    <t>http://www.linkedin.com/in/julien-saubesty-873b11b4</t>
  </si>
  <si>
    <t>http://www.home-constructions.fr</t>
  </si>
  <si>
    <t xml:space="preserve">Route du Pout, Loupes, Nouvelle-Aquitaine, France, 33370</t>
  </si>
  <si>
    <t xml:space="preserve">Bienvenue sur Home, constructeur de maison individuelle agréé en Gironde. Faire construire avec HOME c’est l’assurance d’avoir une maison...</t>
  </si>
  <si>
    <t>Goncalves</t>
  </si>
  <si>
    <t xml:space="preserve">Groupe Remove</t>
  </si>
  <si>
    <t>sg@remove-france.com</t>
  </si>
  <si>
    <t>http://www.linkedin.com/in/sylvain-goncalves-21a030101</t>
  </si>
  <si>
    <t>http://www.groupe-remove.com</t>
  </si>
  <si>
    <t xml:space="preserve">Entreprise française certifiée pour le désamiantage, déplombage, curage et démolition. Expertise, Sécurité et Rapidité.</t>
  </si>
  <si>
    <t>Legendre</t>
  </si>
  <si>
    <t xml:space="preserve">La Compagnie des Toits</t>
  </si>
  <si>
    <t>nlegendre@lacompagniedestoits.com</t>
  </si>
  <si>
    <t>http://www.linkedin.com/in/nicolas-legendre-8496151a</t>
  </si>
  <si>
    <t>http://www.lacompagniedestoits.com</t>
  </si>
  <si>
    <t xml:space="preserve">1 Rue Jean-Baptiste Colbert, Le Mee-sur-Seine, Ile-de-France, France, 77350</t>
  </si>
  <si>
    <t xml:space="preserve">Le métier de La Compagnie des Toits est de gérer le cycle de vie de tous les toits professionnels : Études, Interventions et Maintenance.</t>
  </si>
  <si>
    <t>Colombel</t>
  </si>
  <si>
    <t>Cogelec</t>
  </si>
  <si>
    <t>gilles.colombel@cogelec.net</t>
  </si>
  <si>
    <t>http://www.linkedin.com/in/gilles-colombel-80ba0575</t>
  </si>
  <si>
    <t>http://www.cogelec.net</t>
  </si>
  <si>
    <t xml:space="preserve">4 Allee Romain Rolland, Saint-Aubin-les-Elbeuf, Normandie, France, 76410</t>
  </si>
  <si>
    <t xml:space="preserve">Cogelec réalise des travaux d'électricité générale sur 4 activités :  Tertiaire (équipements fonctionnels), Logements Neufs, Logements Réhabilités, Maintenance / dépannage.</t>
  </si>
  <si>
    <t>BENOIT-GUYOT</t>
  </si>
  <si>
    <t>cedric.gauthier@benoit-guyot.fr</t>
  </si>
  <si>
    <t>http://www.linkedin.com/in/c%c3%a9dric-gauthier-610914219</t>
  </si>
  <si>
    <t>http://www.benoit-guyot.fr</t>
  </si>
  <si>
    <t>Passy</t>
  </si>
  <si>
    <t xml:space="preserve">Saint-Julien-en-Genevois, Auvergne-Rhone-Alpes, France, 74160</t>
  </si>
  <si>
    <t xml:space="preserve">Benoit-Guyot, Saint-Julien-en-Genevois  Chamonix 74 ... Votre professionnel du génie climatique et sanitaire en Haute-Savoie. Chauffage Annemasse 74, chauffage Saint-Julien 74, chauffage Chamonix 74, chauffage Bonneville 74, chauffage Sallanches 74,  climatisation, énergies renouvelables, sanitaire et traitement de l'eau, ventilation et traitement de l'air, process industriel, maintenance, SAV et télégestion.</t>
  </si>
  <si>
    <t>Firmin</t>
  </si>
  <si>
    <t xml:space="preserve">Président &amp; Fondateur</t>
  </si>
  <si>
    <t>ShareMat</t>
  </si>
  <si>
    <t>jeanluc@sharemat.fr</t>
  </si>
  <si>
    <t>http://www.linkedin.com/in/jeanlucfirmin</t>
  </si>
  <si>
    <t>http://www.sharemat.fr</t>
  </si>
  <si>
    <t xml:space="preserve">Pilotez facilement votre parc de matériel multi-marques. Avec ShareMat, nous vous accompagnons pour gagner des journées d’activité.</t>
  </si>
  <si>
    <t>Vertadier</t>
  </si>
  <si>
    <t xml:space="preserve">Scop Cabrol</t>
  </si>
  <si>
    <t>cvertadier@cabrol.fr</t>
  </si>
  <si>
    <t>http://www.linkedin.com/in/christian-vertadier-511b31a4</t>
  </si>
  <si>
    <t>http://www.cabrol.fr</t>
  </si>
  <si>
    <t>Mazamet</t>
  </si>
  <si>
    <t xml:space="preserve">6 Rue de la Ferronnerie, Mazamet, Occitanie, France, 81200</t>
  </si>
  <si>
    <t>Ozdogan</t>
  </si>
  <si>
    <t>Yilmaz</t>
  </si>
  <si>
    <t xml:space="preserve">EZEL BÂTIMENT</t>
  </si>
  <si>
    <t>oyilmaz@ezel.fr</t>
  </si>
  <si>
    <t>http://www.linkedin.com/in/ozdogan-yilmaz-b168a3120</t>
  </si>
  <si>
    <t>http://www.ezel.fr</t>
  </si>
  <si>
    <t>Emerainville</t>
  </si>
  <si>
    <t xml:space="preserve">88 Avenue de l'Europe, Emerainville, Ile-de-France, France, 77184</t>
  </si>
  <si>
    <t>Moayad</t>
  </si>
  <si>
    <t>Harb</t>
  </si>
  <si>
    <t xml:space="preserve">Président/ Cofondateur</t>
  </si>
  <si>
    <t>AFACO</t>
  </si>
  <si>
    <t>m.harb@afaco.fr</t>
  </si>
  <si>
    <t>http://www.linkedin.com/in/moayad-harb</t>
  </si>
  <si>
    <t>http://www.afaco.fr</t>
  </si>
  <si>
    <t xml:space="preserve">7 Avenue Maximilien de Robespierre, Vitry-sur-Seine, Ile-de-France, France, 94400</t>
  </si>
  <si>
    <t xml:space="preserve">Afaco est une entreprise générale du bâtiment spécialisé en rénovation énergétique. Elle vous accompagne dans toutes les étapes de votre projet.</t>
  </si>
  <si>
    <t>Lecloux</t>
  </si>
  <si>
    <t xml:space="preserve">Directeur Général Opérationnel de SA CARRIERES NIVET</t>
  </si>
  <si>
    <t xml:space="preserve">SA Carrières NIVET</t>
  </si>
  <si>
    <t>c.lecloux@nivet.fr</t>
  </si>
  <si>
    <t>http://www.linkedin.com/in/christianlecloux63</t>
  </si>
  <si>
    <t>http://www.nivet.fr</t>
  </si>
  <si>
    <t xml:space="preserve">Rond-Point Giratoire Champs Blanchard, Distre, Pays de la Loire, France, 49400</t>
  </si>
  <si>
    <t xml:space="preserve">SOMBAT SAS</t>
  </si>
  <si>
    <t>n.maitre@sombat.fr</t>
  </si>
  <si>
    <t>http://www.linkedin.com/in/nicolas-maitre-34133ba5</t>
  </si>
  <si>
    <t>http://www.sombat.fr</t>
  </si>
  <si>
    <t xml:space="preserve">Avrille, Pays de la Loire, France, 49240</t>
  </si>
  <si>
    <t xml:space="preserve">Entreprise de maçonnerie et de gros œuvre à Angers, SOMBAT intervient sur des chantiers pour les particuliers et professionnels</t>
  </si>
  <si>
    <t>Westerfeld</t>
  </si>
  <si>
    <t xml:space="preserve">Co-directrice générale</t>
  </si>
  <si>
    <t>Bellastock</t>
  </si>
  <si>
    <t>sarah.westerfeld@bellastock.com</t>
  </si>
  <si>
    <t>http://www.linkedin.com/in/sarah-westerfeld-913295215</t>
  </si>
  <si>
    <t>http://www.bellastock.com</t>
  </si>
  <si>
    <t xml:space="preserve">13 Rue Santeuil, Paris, Ile-de-France, France, 75005</t>
  </si>
  <si>
    <t>Ghyslain</t>
  </si>
  <si>
    <t>Wattrelos</t>
  </si>
  <si>
    <t>GreenMade</t>
  </si>
  <si>
    <t>g.wattrelos@greenmade.fr</t>
  </si>
  <si>
    <t xml:space="preserve">building materials</t>
  </si>
  <si>
    <t>http://www.linkedin.com/in/ghyslainwattrelos</t>
  </si>
  <si>
    <t>http://www.greenmade.fr</t>
  </si>
  <si>
    <t>Chatou</t>
  </si>
  <si>
    <t xml:space="preserve">APOGEA Bretagne</t>
  </si>
  <si>
    <t>p.parisot@apogea-sol.fr</t>
  </si>
  <si>
    <t>http://www.linkedin.com/in/pierre-parisot-7b46bb8</t>
  </si>
  <si>
    <t>http://www.apogea-sol.fr</t>
  </si>
  <si>
    <t>Lagrange</t>
  </si>
  <si>
    <t xml:space="preserve">CARRÉ CRÉATION</t>
  </si>
  <si>
    <t>pe.lagrange@carre-creation.com</t>
  </si>
  <si>
    <t>http://www.linkedin.com/in/pierre-emmanuel-lagrange-7219338b</t>
  </si>
  <si>
    <t>http://www.carre-creation.com</t>
  </si>
  <si>
    <t xml:space="preserve">60 Rue de la Champagne, Genay, Rhone-Alpes, France, 69730</t>
  </si>
  <si>
    <t>Bonnamain</t>
  </si>
  <si>
    <t xml:space="preserve">Groupe BONNEFOY</t>
  </si>
  <si>
    <t>jm.bonnamain@groupe-bonnefoy.fr</t>
  </si>
  <si>
    <t>http://www.linkedin.com/in/jean-marc-bonnamain-b113bbb9</t>
  </si>
  <si>
    <t>http://www.groupe-bonnefoy.fr</t>
  </si>
  <si>
    <t xml:space="preserve">Saone, Bourgogne-Franche-Comte, France, 25660</t>
  </si>
  <si>
    <t xml:space="preserve">Découvrez le Groupe Bonnefoy, spécialiste des travaux publics dans le Doubs en Franche-Comté. Le Groupe compte quatre entités : TP J-C Bonnefoy, BBCI, B2T et Bonnefoy Energies Nouvelles.</t>
  </si>
  <si>
    <t>Richaud</t>
  </si>
  <si>
    <t>n.richaud@grouptech9.fr</t>
  </si>
  <si>
    <t>http://www.linkedin.com/in/nicolas-richaud-114a99a6</t>
  </si>
  <si>
    <t>Miramas</t>
  </si>
  <si>
    <t xml:space="preserve">BFC Promotion HABITAT</t>
  </si>
  <si>
    <t>tmichaud@bfc-promotion-habitat.fr</t>
  </si>
  <si>
    <t>http://www.linkedin.com/in/thomas-michaud-ba3a02b5</t>
  </si>
  <si>
    <t>http://www.bfc-promotion-habitat.fr</t>
  </si>
  <si>
    <t xml:space="preserve">Immobilier neuf Dijon | Appartements neufs et maisons de ville sur Dijon et son agglomération. Achat et vente de terrains à bâtir</t>
  </si>
  <si>
    <t>Louet</t>
  </si>
  <si>
    <t>BLARD</t>
  </si>
  <si>
    <t>p.louet@blard.fr</t>
  </si>
  <si>
    <t>http://www.linkedin.com/in/philippe-louet</t>
  </si>
  <si>
    <t>http://www.blard.fr</t>
  </si>
  <si>
    <t xml:space="preserve">42 Quai de la Ruelle, Pont-Audemer, Normandie, France, 27500</t>
  </si>
  <si>
    <t xml:space="preserve">Depuis plus de 50 ans Blard est le spécialiste de la conception et la production d’éléments de regards en béton étanches pour les réseaux d’assainissement.</t>
  </si>
  <si>
    <t>Gleyen</t>
  </si>
  <si>
    <t xml:space="preserve">GROUPE BARDON</t>
  </si>
  <si>
    <t>bgleyen@groupe-bardon.com</t>
  </si>
  <si>
    <t>http://www.linkedin.com/in/boris-gleyen-b2565445</t>
  </si>
  <si>
    <t>http://www.groupe-bardon.com</t>
  </si>
  <si>
    <t xml:space="preserve">1 Rue Andre et Yvonne Meynier, Rennes, Brittany, France, 35000</t>
  </si>
  <si>
    <t xml:space="preserve">Le Groupe BARDON est une foncière indépendante et familiale intervenant depuis 47 ans dans les métiers de l’architecture, de la construction et depuis 15 ans en investissement.</t>
  </si>
  <si>
    <t>Petrel</t>
  </si>
  <si>
    <t>HABITEUM</t>
  </si>
  <si>
    <t>julien.petrel@habiteum.com</t>
  </si>
  <si>
    <t>http://www.linkedin.com/in/julien-petrel-a4992b26</t>
  </si>
  <si>
    <t>http://www.habiteum.com</t>
  </si>
  <si>
    <t xml:space="preserve">28 Cours Albert 1er, Paris, Ile-de-France, France, 75008</t>
  </si>
  <si>
    <t xml:space="preserve">L'expert de la rénovation d'appartements, de maisons, de bureaux et de commerces à Paris et en région parisienne. Transparence, réactivité, fiabilité.</t>
  </si>
  <si>
    <t>Ruccione</t>
  </si>
  <si>
    <t xml:space="preserve">ECTB GROUP</t>
  </si>
  <si>
    <t>j.ruccione@ectb.fr</t>
  </si>
  <si>
    <t>http://www.linkedin.com/in/julien-ruccione-1a76a8202</t>
  </si>
  <si>
    <t>http://www.ectb.fr</t>
  </si>
  <si>
    <t>Hamid</t>
  </si>
  <si>
    <t>Chtouane</t>
  </si>
  <si>
    <t xml:space="preserve">AHL DESIGN &amp; ENGINEERING</t>
  </si>
  <si>
    <t>hamid.chtouane@ahlde.eu</t>
  </si>
  <si>
    <t>http://www.linkedin.com/in/hamid-chtouane-7521b37</t>
  </si>
  <si>
    <t>http://www.ahlde.eu</t>
  </si>
  <si>
    <t xml:space="preserve">2A Strada Johann Strauss, Bucharest, Bucharest, Romania, 020312</t>
  </si>
  <si>
    <t>Febra</t>
  </si>
  <si>
    <t xml:space="preserve">⚡ G2J-ELEC ⚡ 电力、报警、家庭自动化 ⚡ 社区、专业和个人</t>
  </si>
  <si>
    <t>jonathan.febra@g2j-elec.fr</t>
  </si>
  <si>
    <t>http://www.linkedin.com/in/jonathan-febra-05768b84</t>
  </si>
  <si>
    <t>http://www.g2j-elec.fr</t>
  </si>
  <si>
    <t xml:space="preserve">21 Avenue Emile Cossonneau, Noisy-le-Grand, Ile-de-France, France, 93160</t>
  </si>
  <si>
    <t xml:space="preserve">D'une rénovation complète à une mise aux normes pour une vente ou une mise en location, en passant par l'installation de systèmes de sécurité et domotique, l'électricité n'a aucun secret pour G2J‑ELEC.Une équipe d'experts à votre service pour tous vos projets.</t>
  </si>
  <si>
    <t>Boulay</t>
  </si>
  <si>
    <t xml:space="preserve">PEINTECO SAS</t>
  </si>
  <si>
    <t>p.boulay@peinteco.com</t>
  </si>
  <si>
    <t>http://www.linkedin.com/in/philippe-boulay-directeur-g%c3%a9n%c3%a9ral-32291215</t>
  </si>
  <si>
    <t>http://www.peinteco.com</t>
  </si>
  <si>
    <t xml:space="preserve">87 Rue Cartier-Bresson, Pantin, Ile-de-France, France, 93500</t>
  </si>
  <si>
    <t xml:space="preserve">PEINTECO accompagne les Maîtres d’ouvrage et Maîtres d’œuvre dans la restauration du bati ancien et la rénovation technique et énergétique des façades contemporaines.</t>
  </si>
  <si>
    <t xml:space="preserve">CEO - Président</t>
  </si>
  <si>
    <t>PermisMaison.fr</t>
  </si>
  <si>
    <t>comptabilite@permismaison.fr</t>
  </si>
  <si>
    <t>http://www.linkedin.com/in/samuel-jacob-permis-maison</t>
  </si>
  <si>
    <t>http://www.permismaison.fr</t>
  </si>
  <si>
    <t xml:space="preserve">14 Rue Balloffet Dury, Belleville-en-Beaujolais, Auvergne-Rhone-Alpes, France, 69220</t>
  </si>
  <si>
    <t xml:space="preserve">Nous réalisons des dossiers de déclaration préalable de travaux et de permis de construire en ligne dans toute la France, y compris dans les DOM-TOM.</t>
  </si>
  <si>
    <t>Rodrigues</t>
  </si>
  <si>
    <t xml:space="preserve">J4R ECHAFAUDAGES</t>
  </si>
  <si>
    <t>j.rodrigues@j4r.fr</t>
  </si>
  <si>
    <t>http://www.linkedin.com/in/julien-rodrigues-020aa820</t>
  </si>
  <si>
    <t>http://www.j4r.fr</t>
  </si>
  <si>
    <t xml:space="preserve">Lagny-sur-Marne, Ile-de-France, France, 77400</t>
  </si>
  <si>
    <t xml:space="preserve">Fenêtres et Vérandas</t>
  </si>
  <si>
    <t>david.thorel@fenetresetverandas.fr</t>
  </si>
  <si>
    <t>http://www.linkedin.com/in/david-thorel-452b3bb7</t>
  </si>
  <si>
    <t>http://www.fenetresetverandas.fr</t>
  </si>
  <si>
    <t xml:space="preserve">2 Rue de l'Eglise, Balatre, Hauts-de-France, France, 80700</t>
  </si>
  <si>
    <t>Bourrasset</t>
  </si>
  <si>
    <t xml:space="preserve">SAS B BATI</t>
  </si>
  <si>
    <t>n.bourrasset@b-batiservices.fr</t>
  </si>
  <si>
    <t>http://www.linkedin.com/in/nicolas-bourrasset-5a14321a4</t>
  </si>
  <si>
    <t>http://www.bbati.com</t>
  </si>
  <si>
    <t xml:space="preserve">27 Rue des Osiers, Coignieres, Ile-de-France, France, 78310</t>
  </si>
  <si>
    <t>Chanteloup</t>
  </si>
  <si>
    <t>AMBEE</t>
  </si>
  <si>
    <t>a.chanteloup@ambee.fr</t>
  </si>
  <si>
    <t>http://www.linkedin.com/in/aymeric-chanteloup-41720032</t>
  </si>
  <si>
    <t>http://www.ambee.fr</t>
  </si>
  <si>
    <t xml:space="preserve">La société AMBEE est un Bureau d’Etude Technique (BET) créé en 2013, située à la fois à Lyon et à Orléans, spécialisé dans le génie fluide et thermique.</t>
  </si>
  <si>
    <t>Petitfour</t>
  </si>
  <si>
    <t>SEPEM</t>
  </si>
  <si>
    <t>nicolas.petitfour@sepem.com</t>
  </si>
  <si>
    <t>http://www.linkedin.com/in/nicolas-petitfour-9498554a</t>
  </si>
  <si>
    <t>http://www.peintre-toulouse.com</t>
  </si>
  <si>
    <t xml:space="preserve">32 Avenue Albert Bedouce, Toulouse, Occitanie, France, 31400</t>
  </si>
  <si>
    <t xml:space="preserve">Peintre à Toulouse, SOCIÉTÉ D'EXPANSION DE PEINTURE offre des services de peinture, ravalement façade, isolation thermique à l’extérieur.</t>
  </si>
  <si>
    <t>Cavel</t>
  </si>
  <si>
    <t>valeriecavel@delaval.fr</t>
  </si>
  <si>
    <t>http://www.linkedin.com/in/valerie-cavel</t>
  </si>
  <si>
    <t>http://www.delaval.fr</t>
  </si>
  <si>
    <t xml:space="preserve">17 Rue de Visien, Courbevoie, Ile-de-France, France, 92400</t>
  </si>
  <si>
    <t xml:space="preserve">IDEC GRAND SUD</t>
  </si>
  <si>
    <t>s.picard@groupeidec.com</t>
  </si>
  <si>
    <t>http://www.linkedin.com/in/s%c3%a9bastien-picard-75405474</t>
  </si>
  <si>
    <t>http://www.idec-grandsud.com</t>
  </si>
  <si>
    <t xml:space="preserve">Perols, Languedoc-Roussillon, France</t>
  </si>
  <si>
    <t xml:space="preserve">Découvrez IDEC GRAND SUD, le spécialiste de la conception et de la construction clé en main d'immobilier d'entreprise, commercial et résidentiel.</t>
  </si>
  <si>
    <t>Duvoid</t>
  </si>
  <si>
    <t xml:space="preserve">Directeur général Agence Sud</t>
  </si>
  <si>
    <t>Ingégroup</t>
  </si>
  <si>
    <t>arthur.duvoid@ingegroup.fr</t>
  </si>
  <si>
    <t>http://www.linkedin.com/in/arthur-duvoid-66b1381ba</t>
  </si>
  <si>
    <t>http://www.ingegroup.fr</t>
  </si>
  <si>
    <t xml:space="preserve">411 Allee des Noisetiers, Limonest, Auvergne-Rhone-Alpes, France, 69760</t>
  </si>
  <si>
    <t>Chambon</t>
  </si>
  <si>
    <t xml:space="preserve">Groupe LANG</t>
  </si>
  <si>
    <t>edouardchambon@groupe-lang.com</t>
  </si>
  <si>
    <t>http://www.linkedin.com/in/edouard-chambon-7b113b72</t>
  </si>
  <si>
    <t>http://www.groupe-lang.com</t>
  </si>
  <si>
    <t xml:space="preserve">Saint-Nazaire, Pays de la Loire, France, 44600</t>
  </si>
  <si>
    <t xml:space="preserve">ARRO INGENIERIE</t>
  </si>
  <si>
    <t>m.robert@arro-ing.fr</t>
  </si>
  <si>
    <t>http://www.linkedin.com/in/matthieurobert</t>
  </si>
  <si>
    <t>http://www.arro-ingenierie.fr</t>
  </si>
  <si>
    <t xml:space="preserve">8 Avenue des Thebaudieres, Saint-Herblain, Pays de la Loire, France, 44800</t>
  </si>
  <si>
    <t xml:space="preserve">Arro-ing Website</t>
  </si>
  <si>
    <t>Marouane</t>
  </si>
  <si>
    <t>Jalal</t>
  </si>
  <si>
    <t>M2C</t>
  </si>
  <si>
    <t>m.jalal@m2c-amenagement.fr</t>
  </si>
  <si>
    <t>http://www.linkedin.com/in/marouane-jalal-%f0%9f%8c%9f-b80a42135</t>
  </si>
  <si>
    <t>http://www.m2c-amenagement.fr</t>
  </si>
  <si>
    <t xml:space="preserve">L'entreprise M2C est une entreprise générale de bâtiment tout corps d'Etat qui met son savoir-faire et ses compétences au service de tout projet de rénovation, d'aménagement et  de construction .</t>
  </si>
  <si>
    <t>Avramoglou</t>
  </si>
  <si>
    <t xml:space="preserve">Réseau Twiza</t>
  </si>
  <si>
    <t>cedric@twiza.org</t>
  </si>
  <si>
    <t>http://www.linkedin.com/in/cedric-daniel-twiza</t>
  </si>
  <si>
    <t>http://www.twiza.org</t>
  </si>
  <si>
    <t>Marrant</t>
  </si>
  <si>
    <t xml:space="preserve">Groupe BAM</t>
  </si>
  <si>
    <t>sergemarrant@groupe-bam.fr</t>
  </si>
  <si>
    <t>http://www.linkedin.com/in/serge-marrant-1950bb160</t>
  </si>
  <si>
    <t>http://www.groupe-bam.fr</t>
  </si>
  <si>
    <t xml:space="preserve">Saint-Gilles, Brittany, France, 35590</t>
  </si>
  <si>
    <t xml:space="preserve">Le groupe BAM est un groupe de construction et d’industrie fédéré autour des valeurs fortes de ses dirigeants. Le groupe BAM est composé de 8 entreprises opérationnelles réparties sur la façade ouest de la France. Fort de 258 collaborateurs, le groupe est en mesure de répondre à l’intégralité des projets du particulier au projet à forte complexité. Le groupe s’articule autour de domaines de compétence en gros œuvre, charpente &amp; structure bois, couverture &amp; étanchéité ainsi que l’industrie de la préfabrication béton et bois.</t>
  </si>
  <si>
    <t>MGBR</t>
  </si>
  <si>
    <t>cyrille.couder@mgbr.fr</t>
  </si>
  <si>
    <t>http://www.linkedin.com/in/cyrille-couder-1a27447a</t>
  </si>
  <si>
    <t>http://www.mgbr.fr</t>
  </si>
  <si>
    <t xml:space="preserve">Le Plessis-Trevise, Ile-de-France, France, 94420</t>
  </si>
  <si>
    <t>Moroni</t>
  </si>
  <si>
    <t xml:space="preserve">CEO - Management de Transition</t>
  </si>
  <si>
    <t xml:space="preserve">Moroni S.A</t>
  </si>
  <si>
    <t>moroni.anne@diplomatie.gouv.fr</t>
  </si>
  <si>
    <t>http://www.linkedin.com/in/anne-sophie-moroni</t>
  </si>
  <si>
    <t>http://www.moroni.fr</t>
  </si>
  <si>
    <t xml:space="preserve">Saint-Leonard, Grand Est, France, 88650</t>
  </si>
  <si>
    <t xml:space="preserve">A Reims, Granulats, sable et graviers, matériaux de construction (gros oeuvre), granulats de recyclage, fournisseurs, grossistes et distributeurs. Traitement et recyclage des granulats : sables et graviers roulés.</t>
  </si>
  <si>
    <t>Martienne</t>
  </si>
  <si>
    <t xml:space="preserve">Lazard Group Real Estate</t>
  </si>
  <si>
    <t>gildas.martienne@lazard-sa.com</t>
  </si>
  <si>
    <t>http://www.linkedin.com/in/gildas-martienne-23746a70</t>
  </si>
  <si>
    <t>http://www.lazard-sa.com</t>
  </si>
  <si>
    <t xml:space="preserve">16 Place Vendome, Paris, Ile-de-France, France, 75001</t>
  </si>
  <si>
    <t xml:space="preserve">Excellence des sites, pertinence des projets, performance environnementale et qualité architecturale sont autant d'atouts qui ont permis à Lazard Group de devenir un acteur majeur de l'immobilier d'entreprise en France.</t>
  </si>
  <si>
    <t>Riachi</t>
  </si>
  <si>
    <t xml:space="preserve">Baie de Somme Habitat</t>
  </si>
  <si>
    <t>mriachi@bdsh.fr</t>
  </si>
  <si>
    <t>http://www.linkedin.com/in/mehdi-riachi-b1436835</t>
  </si>
  <si>
    <t>http://www.baiedesomme-habitat.fr</t>
  </si>
  <si>
    <t xml:space="preserve">13 Rue Jeanne d'Arc, Abbeville, Hauts-de-France, France, 80100</t>
  </si>
  <si>
    <t>Cassin</t>
  </si>
  <si>
    <t xml:space="preserve">CEO et Fondateur</t>
  </si>
  <si>
    <t>TriDyme</t>
  </si>
  <si>
    <t>guillaume.cassin@triazur.com</t>
  </si>
  <si>
    <t>http://www.linkedin.com/in/guillaume-cassin-a3b23488</t>
  </si>
  <si>
    <t>http://www.tridyme.com</t>
  </si>
  <si>
    <t xml:space="preserve">29 Rue de la Paix, Colombes, Ile-de-France, France, 92700</t>
  </si>
  <si>
    <t xml:space="preserve">Structural Analysis, BIM, Steel, Concrete or Wood design directly online</t>
  </si>
  <si>
    <t>Hugand</t>
  </si>
  <si>
    <t xml:space="preserve">FUSION METALLERIE</t>
  </si>
  <si>
    <t>pierre.hugand@fusion-cm.com</t>
  </si>
  <si>
    <t>http://www.linkedin.com/in/pierre-hugand-248a67136</t>
  </si>
  <si>
    <t>http://www.fusion-cm.com</t>
  </si>
  <si>
    <t xml:space="preserve">Begles, Nouvelle-Aquitaine, France, 33130</t>
  </si>
  <si>
    <t>Soraya</t>
  </si>
  <si>
    <t>Haffaf</t>
  </si>
  <si>
    <t xml:space="preserve">Co-fondatrice de Constellations Studio</t>
  </si>
  <si>
    <t>soraya@constellations-studio.com</t>
  </si>
  <si>
    <t>http://www.linkedin.com/in/soraya-haffaf-332bb2220</t>
  </si>
  <si>
    <t>Thauvin</t>
  </si>
  <si>
    <t xml:space="preserve">LES MAISONS VIGERY</t>
  </si>
  <si>
    <t>fthauvin@maisons-vigery.com</t>
  </si>
  <si>
    <t>http://www.linkedin.com/in/fabien-thauvin-398888a4</t>
  </si>
  <si>
    <t>http://www.maisons-vigery.com</t>
  </si>
  <si>
    <t>Meung-sur-Loire</t>
  </si>
  <si>
    <t xml:space="preserve">Baule, Centre-Val de Loire, France, 45130</t>
  </si>
  <si>
    <t xml:space="preserve">MAISONS VIGERY vous accompagne de l'achat de votre terrain à la construction de votre habitation dans le Loiret et le Loir-et-Cher. Contactez-nous.</t>
  </si>
  <si>
    <t>Comble</t>
  </si>
  <si>
    <t xml:space="preserve">Les Couvertures Lopez</t>
  </si>
  <si>
    <t>didier.comble@couvertureslopez.fr</t>
  </si>
  <si>
    <t>http://www.linkedin.com/in/didier-comble-tangente-phi3282</t>
  </si>
  <si>
    <t>http://www.couvertureslopez.fr</t>
  </si>
  <si>
    <t xml:space="preserve">19 Rue Rene Sore, Thouars, Nouvelle-Aquitaine, France, 79100</t>
  </si>
  <si>
    <t xml:space="preserve">Nous prenons en charge les projets de couverture et charpente pour les professionnelles ainsi que pour les particuliers en neuf ou rénovation</t>
  </si>
  <si>
    <t>Abinoham</t>
  </si>
  <si>
    <t>Pantel</t>
  </si>
  <si>
    <t xml:space="preserve">Armorgard France</t>
  </si>
  <si>
    <t>abinoham.pantel@armorgard.fr</t>
  </si>
  <si>
    <t>http://www.linkedin.com/in/abinoham-pantel-175b3ab1</t>
  </si>
  <si>
    <t>http://www.armorgard.fr</t>
  </si>
  <si>
    <t xml:space="preserve">La Voulte-sur-Rhone</t>
  </si>
  <si>
    <t xml:space="preserve">Chemin des Huguenots, Valence, Auvergne-Rhone-Alpes, France, 26000</t>
  </si>
  <si>
    <t xml:space="preserve">Fabricant de solutions de stockage sécurisé et de manutention manuelle ergonomique augmentant la sécurité et l'efficacité sur site</t>
  </si>
  <si>
    <t>Sallenave</t>
  </si>
  <si>
    <t>CNI</t>
  </si>
  <si>
    <t>psallenave@cni44.com</t>
  </si>
  <si>
    <t>http://www.linkedin.com/in/pierre-sallenave-60494a78</t>
  </si>
  <si>
    <t>http://www.cni44.com</t>
  </si>
  <si>
    <t xml:space="preserve">Boulevard des Apprentis, Montoir-de-Bretagne, Pays de la Loire, France, 44550</t>
  </si>
  <si>
    <t xml:space="preserve">CNI est situé en Loire Atlantique (44), réalise tous vos projets de Chaudronnerie, Mécano-soudure, Outillage Industriel, Naval, Aéronautique, (…)</t>
  </si>
  <si>
    <t>Delpech</t>
  </si>
  <si>
    <t xml:space="preserve">Groupe HDI</t>
  </si>
  <si>
    <t>anthony.delpech@demeuresdoccitanie.fr</t>
  </si>
  <si>
    <t>http://www.linkedin.com/in/anthony-delpech-212319135</t>
  </si>
  <si>
    <t>http://www.demeuresdoccitanie.fr</t>
  </si>
  <si>
    <t xml:space="preserve">Auterive, France, 31190</t>
  </si>
  <si>
    <t>Delaplace</t>
  </si>
  <si>
    <t xml:space="preserve">Entreprise Jean Negri et Fils</t>
  </si>
  <si>
    <t>s.delaplace@negri-france.com</t>
  </si>
  <si>
    <t>http://www.linkedin.com/in/st%c3%a9phane-delaplace-8a4b763b</t>
  </si>
  <si>
    <t>http://www.negri-france.fr</t>
  </si>
  <si>
    <t xml:space="preserve">Fos-sur-Mer, Provence-Alpes-Cote d'Azur, France, 13270</t>
  </si>
  <si>
    <t xml:space="preserve">Entreprise de travaux maritimes depuis 1918 Depuis plus d’un siècle, l’entreprise Negri relève des challenges maritimes. C’est une entreprise familiale qui s’est...</t>
  </si>
  <si>
    <t>Rabuel</t>
  </si>
  <si>
    <t xml:space="preserve">SCIC ielo</t>
  </si>
  <si>
    <t>nicolas.rabuel@ielo.coop</t>
  </si>
  <si>
    <t>http://www.linkedin.com/in/nicolas-rabuel</t>
  </si>
  <si>
    <t>http://www.ielo.coop</t>
  </si>
  <si>
    <t xml:space="preserve">Rejoignez ielo pour transformer l'industrie de la construction avec des solutions durables et une approche coopérative. Découvrez nos projets, devenez sociétaire et engagez-vous pour un futur durable.</t>
  </si>
  <si>
    <t>Gombert</t>
  </si>
  <si>
    <t xml:space="preserve">Groupe Vernat Travaux Publics GVTP</t>
  </si>
  <si>
    <t>s.gombert@vernattp-gv.com</t>
  </si>
  <si>
    <t>http://www.linkedin.com/in/st%c3%a9phane-gombert-95689a41</t>
  </si>
  <si>
    <t>http://www.groupevernat.com</t>
  </si>
  <si>
    <t xml:space="preserve">Loches, Centre-Val de Loire, France, 37600</t>
  </si>
  <si>
    <t>Refour</t>
  </si>
  <si>
    <t xml:space="preserve">BERNASCONI T.P</t>
  </si>
  <si>
    <t>frefour@bernasconi-tp.fr</t>
  </si>
  <si>
    <t>http://www.linkedin.com/in/fabian-refour-1089b4166</t>
  </si>
  <si>
    <t>http://www.bernasconi-tp.com</t>
  </si>
  <si>
    <t>Domjean</t>
  </si>
  <si>
    <t xml:space="preserve">Domjean, Normandy, France, 50420</t>
  </si>
  <si>
    <t xml:space="preserve">RESOLUTION FRANCE</t>
  </si>
  <si>
    <t>tony.mendes@resolutionfrance.com</t>
  </si>
  <si>
    <t>http://www.linkedin.com/in/tony-mendes-b39a8154</t>
  </si>
  <si>
    <t>http://www.resolutionfrance.com</t>
  </si>
  <si>
    <t xml:space="preserve">56 Rue Pierre-Marie Derrien, Champigny-sur-Marne, Ile-de-France, France, 94500</t>
  </si>
  <si>
    <t>Peiuko</t>
  </si>
  <si>
    <t>Pourquie</t>
  </si>
  <si>
    <t xml:space="preserve">ARKEO SYSTEM</t>
  </si>
  <si>
    <t>p.pourquie@arkeo-system.com</t>
  </si>
  <si>
    <t>http://www.linkedin.com/in/peiuko-pourqui%c3%a9-74b42723</t>
  </si>
  <si>
    <t>http://www.arkeo-system.com</t>
  </si>
  <si>
    <t xml:space="preserve">Fabricant d’ossature métallique légère made in france</t>
  </si>
  <si>
    <t>s.rigot@valentin-construction.fr</t>
  </si>
  <si>
    <t>http://www.linkedin.com/in/s%c3%a9bastien-rigot-61096922a</t>
  </si>
  <si>
    <t>Chavanoz</t>
  </si>
  <si>
    <t>Cardoso</t>
  </si>
  <si>
    <t>BAT'ISOL</t>
  </si>
  <si>
    <t>d.cardoso@bat-isol.fr</t>
  </si>
  <si>
    <t>http://www.linkedin.com/in/damien-cardoso-a54599177</t>
  </si>
  <si>
    <t>http://www.bat-isol.fr</t>
  </si>
  <si>
    <t xml:space="preserve">4 Rue Ambroise Pare, Saint-Priest, Auvergne-Rhone-Alpes, France, 69800</t>
  </si>
  <si>
    <t xml:space="preserve">Experts du bâtiment, Bat-isol vous propose ses conseils et techniques sur Lyon et ses alentours pour vos travaux d'isolation, toiture, ventilation, électricité, façade.</t>
  </si>
  <si>
    <t>Lapointe</t>
  </si>
  <si>
    <t xml:space="preserve">IMPACT TOMORROW</t>
  </si>
  <si>
    <t>benjamin@impacttomorrow.fr</t>
  </si>
  <si>
    <t>http://www.linkedin.com/in/benjamin-lapointe-a0617952</t>
  </si>
  <si>
    <t>http://www.impacttomorrow.fr</t>
  </si>
  <si>
    <t xml:space="preserve">26 Allee Albert Thomas, Massy, Ile-de-France, France, 91300</t>
  </si>
  <si>
    <t>Thevenot</t>
  </si>
  <si>
    <t>Neurön</t>
  </si>
  <si>
    <t>thomas@neuronconsultancy.com</t>
  </si>
  <si>
    <t>http://www.linkedin.com/in/thomas-thevenot-mrics-a1777039</t>
  </si>
  <si>
    <t>http://www.neuronconsultancy.com</t>
  </si>
  <si>
    <t xml:space="preserve">2 Rue Chaudruc de Crazannes, Saintes, Nouvelle-Aquitaine, France, 17100</t>
  </si>
  <si>
    <t xml:space="preserve">Neurön Consultancy is an independent construction and property consultancy delivering comprehensive cost and project management services across the world.</t>
  </si>
  <si>
    <t xml:space="preserve">Directeur général associé SERVIGAZ</t>
  </si>
  <si>
    <t>pierre.tissot@servigaz.com</t>
  </si>
  <si>
    <t>http://www.linkedin.com/in/pierre-tissot-270a77117</t>
  </si>
  <si>
    <t>Crapart</t>
  </si>
  <si>
    <t xml:space="preserve">Directeur général Wiame AXE</t>
  </si>
  <si>
    <t xml:space="preserve">GROUPE WIAME</t>
  </si>
  <si>
    <t>a.crapart@wiame-vrd.com</t>
  </si>
  <si>
    <t>http://www.linkedin.com/in/arnaud-crapart-333622b3</t>
  </si>
  <si>
    <t>http://www.groupe-wiame.com</t>
  </si>
  <si>
    <t>Vaux-le-Penil</t>
  </si>
  <si>
    <t xml:space="preserve">15 Rue du Hainault, Sept-Sorts, Ile-de-France, France, 77260</t>
  </si>
  <si>
    <t xml:space="preserve">WIAME VRD infrastructures routières, voirie et assainissement, AEP et réseaux divers - centrale enrobé Seine-et-Marne 77 - recyclage des matériaux de déconstruction</t>
  </si>
  <si>
    <t xml:space="preserve">GUILLHARD CONFORT</t>
  </si>
  <si>
    <t>mickael@guillhard.fr</t>
  </si>
  <si>
    <t>http://www.linkedin.com/in/mickael-hardy-450515175</t>
  </si>
  <si>
    <t>http://www.guillhardconfort.fr</t>
  </si>
  <si>
    <t xml:space="preserve">Description Meta</t>
  </si>
  <si>
    <t>Tinmazian</t>
  </si>
  <si>
    <t xml:space="preserve">CEO &amp; CO-FOUNDER</t>
  </si>
  <si>
    <t xml:space="preserve">BLEU ELECTRICITE SOLUTIONS</t>
  </si>
  <si>
    <t>daniel@bleu-electricite-solutions.com</t>
  </si>
  <si>
    <t>http://www.linkedin.com/in/dtinmazian</t>
  </si>
  <si>
    <t>http://www.bleu-electricite-solutions.com</t>
  </si>
  <si>
    <t>SODETRI</t>
  </si>
  <si>
    <t>antoine@sodetri.fr</t>
  </si>
  <si>
    <t>http://www.linkedin.com/in/antoine-b-30079a86</t>
  </si>
  <si>
    <t>http://www.sodetri.fr</t>
  </si>
  <si>
    <t>Saint-Georges-les-Baillargeaux</t>
  </si>
  <si>
    <t xml:space="preserve">Les Moinards, Saint-Georges-les-Baillargeaux, Nouvelle-Aquitaine, France, 86130</t>
  </si>
  <si>
    <t xml:space="preserve">SODETRI - Société d'équipements thermiques et de réalisations industrielles depuis plus de 40 - Tuyauteries tous fluides, tuyauteries réglementées</t>
  </si>
  <si>
    <t>Breon</t>
  </si>
  <si>
    <t>s.debreon@abcis.fr</t>
  </si>
  <si>
    <t>http://www.linkedin.com/in/stanislas-de-br%c3%a9on-a6447ba6</t>
  </si>
  <si>
    <t>Prevost</t>
  </si>
  <si>
    <t xml:space="preserve">ETS PEUCH FILS</t>
  </si>
  <si>
    <t>mprevost@ets-peuch.com</t>
  </si>
  <si>
    <t>http://www.linkedin.com/in/morgan-prevost-77baa4202</t>
  </si>
  <si>
    <t>http://www.ets-peuch.fr</t>
  </si>
  <si>
    <t>Coubron</t>
  </si>
  <si>
    <t xml:space="preserve">2 Rue de la Fauvette, Argenteuil, Ile-de-France, France, 95100</t>
  </si>
  <si>
    <t xml:space="preserve">L'entreprise PEUCH et FILS, créés en 1926, est spécialisée dans l’habillage et l'agencement d’ascenseur ainsi que dans la menuiserie.</t>
  </si>
  <si>
    <t>Dulbecco</t>
  </si>
  <si>
    <t xml:space="preserve">IONYX Industrie Environnement</t>
  </si>
  <si>
    <t>sylvain.dulbecco@groupe-ionyx.com</t>
  </si>
  <si>
    <t>http://www.linkedin.com/in/sylvain-dulbecco-2519a098</t>
  </si>
  <si>
    <t>http://www.ionyx-industrie.fr</t>
  </si>
  <si>
    <t xml:space="preserve">8 Lotissement Les Ferrages, Tourves, Provence-Alpes-Cote d'Azur, France, 83170</t>
  </si>
  <si>
    <t>Passini</t>
  </si>
  <si>
    <t>SNA</t>
  </si>
  <si>
    <t>jean.passini@sna.fr</t>
  </si>
  <si>
    <t>http://www.linkedin.com/in/jean-passini-421a5129</t>
  </si>
  <si>
    <t>http://www.sna.fr</t>
  </si>
  <si>
    <t>Weibel</t>
  </si>
  <si>
    <t>DECOPEINT</t>
  </si>
  <si>
    <t>gilles.weibel@decopeint.fr</t>
  </si>
  <si>
    <t>http://www.linkedin.com/in/gilles-weibel-7582a080</t>
  </si>
  <si>
    <t>http://www.deco-peint.com</t>
  </si>
  <si>
    <t xml:space="preserve">Saint-Jean-de-Braye, Centre, France</t>
  </si>
  <si>
    <t xml:space="preserve">DECOPEINT accompagne particuliers et professionnels depuis 1996 pour les travaux de peinture, décoration, revêtements sols et murs, ravalement de façade, aérogommage et mise en oeuvre de sytème de Cool Roofing.</t>
  </si>
  <si>
    <t>Guinet</t>
  </si>
  <si>
    <t xml:space="preserve">Directeur Général et Responsable commercial</t>
  </si>
  <si>
    <t>TECTA</t>
  </si>
  <si>
    <t>d.guinet@tecta-ing.com</t>
  </si>
  <si>
    <t>http://www.linkedin.com/in/david-guinet-61089b64</t>
  </si>
  <si>
    <t>http://www.tecta-ing.com</t>
  </si>
  <si>
    <t xml:space="preserve">Allonzier-la-Caille, Rhone-Alpes, France</t>
  </si>
  <si>
    <t>Delatronchette</t>
  </si>
  <si>
    <t xml:space="preserve">Président du directoire</t>
  </si>
  <si>
    <t>pdelatronchette@lasoderec.com</t>
  </si>
  <si>
    <t>http://www.linkedin.com/in/philippe-delatronchette-31063725b</t>
  </si>
  <si>
    <t xml:space="preserve">La Villa Pornicaise</t>
  </si>
  <si>
    <t>b.millet@lavillapornicaise.fr</t>
  </si>
  <si>
    <t>http://www.linkedin.com/in/brice-millet-0a100665</t>
  </si>
  <si>
    <t>http://www.lavillapornicaise.fr</t>
  </si>
  <si>
    <t xml:space="preserve">41 Rue des Sables, Pornic, Pays de la Loire, France, 44210</t>
  </si>
  <si>
    <t>Torsiello</t>
  </si>
  <si>
    <t>SOCAM</t>
  </si>
  <si>
    <t>j.torsiello@socam-sme.fr</t>
  </si>
  <si>
    <t>http://www.linkedin.com/in/j%c3%a9r%c3%b4me-torsiello-990332157</t>
  </si>
  <si>
    <t>http://www.socam-sme.fr</t>
  </si>
  <si>
    <t>Saint-Maurice-l'Exil</t>
  </si>
  <si>
    <t xml:space="preserve">141 Rue Gaspard Monge, Saint-Maurice-l'Exil, Auvergne-Rhone-Alpes, France, 38550</t>
  </si>
  <si>
    <t>Angermuller</t>
  </si>
  <si>
    <t xml:space="preserve">ANGERMULLER S.A</t>
  </si>
  <si>
    <t>yves.angermuller@angermuller.com</t>
  </si>
  <si>
    <t>http://www.linkedin.com/in/yves-angermuller-ab695310</t>
  </si>
  <si>
    <t>http://www.angermuller.com</t>
  </si>
  <si>
    <t xml:space="preserve">14 Rue de Steinbach, Sarreguemines, Grand Est, France, 57200</t>
  </si>
  <si>
    <t xml:space="preserve">Angermuller se décline en 4 activités, le béton prêt à l'emploi,
      les matériaux de construction sous l'enseigne Bigmat, la distribution de fioul, SARBETON fabricant de produits en béton destinés aux TP et au génie civil et
      l'assainissement</t>
  </si>
  <si>
    <t>Penillault</t>
  </si>
  <si>
    <t xml:space="preserve">Les Charpentiers de Paris</t>
  </si>
  <si>
    <t>remi.penillault@les-charpentiers-de-paris.fr</t>
  </si>
  <si>
    <t>http://www.linkedin.com/in/r%c3%a9mi-penillault-13651438</t>
  </si>
  <si>
    <t>http://www.les-charpentiers-de-paris.fr</t>
  </si>
  <si>
    <t xml:space="preserve">18 Avenue Ampere, Wissous, Ile-de-France, France, 91320</t>
  </si>
  <si>
    <t xml:space="preserve">Notre société est spécialisée dans les travaux de : Charpentes et structures bois et métalliques / Etaiements et confortements d'ouvrages / Menuiserie générale - Grands projets d'Agencement</t>
  </si>
  <si>
    <t>Pernin</t>
  </si>
  <si>
    <t xml:space="preserve">La Nouvelle Miroiterie Landaise</t>
  </si>
  <si>
    <t>cpernin@nouvelle-miroiterie.fr</t>
  </si>
  <si>
    <t>http://www.linkedin.com/in/claude-pernin-8bb256133</t>
  </si>
  <si>
    <t>http://www.landaise-menuiserie.fr</t>
  </si>
  <si>
    <t>Meilhan</t>
  </si>
  <si>
    <t xml:space="preserve">Rue de la Ferme de Carboue, Mont-de-Marsan, Nouvelle-Aquitaine, France, 40000</t>
  </si>
  <si>
    <t>Dubeaurepaire</t>
  </si>
  <si>
    <t xml:space="preserve">Terrasses et bois</t>
  </si>
  <si>
    <t>ddubeaurepaire@terrassesetbois.fr</t>
  </si>
  <si>
    <t>http://www.linkedin.com/in/damiendubeaurepaire</t>
  </si>
  <si>
    <t>http://www.terrassesetbois.fr</t>
  </si>
  <si>
    <t xml:space="preserve">62 Avenue Jean-Baptiste Lebas, Roubaix, Hauts-de-France, France, 59100</t>
  </si>
  <si>
    <t xml:space="preserve">Chez Terrasses &amp; bois nous imaginons votre terrasse en bois comme un prolongement de votre habitat, une nouvelle pièce à vivre ouverte sur la maison comme sur l’extérieur, où l’on joue, où l’on rit, où l’on vit. pour nous, une terrasse est un mode de vie.</t>
  </si>
  <si>
    <t>Baraut</t>
  </si>
  <si>
    <t xml:space="preserve">Atelier Cox</t>
  </si>
  <si>
    <t>alexis.baraut@ateliercox.fr</t>
  </si>
  <si>
    <t>http://www.linkedin.com/in/alexis-baraut-371566a6</t>
  </si>
  <si>
    <t>http://www.ateliercox.fr</t>
  </si>
  <si>
    <t xml:space="preserve">Souligny, Grand Est, France, 10320</t>
  </si>
  <si>
    <t xml:space="preserve">Menuiserie spécialisée dans les chalets de loisirs, abris de jardin, garages, bungalows, cabanes à ossature bois, terrasses, Tiny House...</t>
  </si>
  <si>
    <t>Moussion</t>
  </si>
  <si>
    <t xml:space="preserve">Fondateur - Architecte Naval</t>
  </si>
  <si>
    <t xml:space="preserve">ARMEN Initiative</t>
  </si>
  <si>
    <t>theo@armen-initiative.fr</t>
  </si>
  <si>
    <t>shipbuilding</t>
  </si>
  <si>
    <t>http://www.linkedin.com/in/th%c3%a9o-moussion-65ab7511b</t>
  </si>
  <si>
    <t>http://www.armen-initiative.fr</t>
  </si>
  <si>
    <t>Audierne</t>
  </si>
  <si>
    <t xml:space="preserve">Place de la France Libre, Audierne, Brittany, France, 29770</t>
  </si>
  <si>
    <t xml:space="preserve">ARMEN Initiative est une société française spécialisée dans la conception et la fabrication de bateaux en PEHD innovants, robustes et durable.</t>
  </si>
  <si>
    <t>Touchard</t>
  </si>
  <si>
    <t xml:space="preserve">Président Alpha Services</t>
  </si>
  <si>
    <t xml:space="preserve">Alpha Services</t>
  </si>
  <si>
    <t>david.touchard@alphaservices41.fr</t>
  </si>
  <si>
    <t>http://www.linkedin.com/in/david-touchard-19785a141</t>
  </si>
  <si>
    <t>http://www.alpha-service.co.uk</t>
  </si>
  <si>
    <t xml:space="preserve">Barlow Park, Dundee, Scotland, United Kingdom, DD5 3RS</t>
  </si>
  <si>
    <t>Gulyas</t>
  </si>
  <si>
    <t>SERILEC</t>
  </si>
  <si>
    <t>vgulyas@serilec-fr.com</t>
  </si>
  <si>
    <t>http://www.linkedin.com/in/val%c3%a9rie-gulyas-a5a52b78</t>
  </si>
  <si>
    <t>http://www.groupe-serilec.fr</t>
  </si>
  <si>
    <t xml:space="preserve">Cesson, Ile-de-France, France, 77240</t>
  </si>
  <si>
    <t xml:space="preserve">Depuis 40 ans, Sérilec est l'expert pour vous accompagner dans vos projets électriques courant fort, courant faible, VDI, domotique et éclairage.</t>
  </si>
  <si>
    <t>Laguet</t>
  </si>
  <si>
    <t xml:space="preserve">FERBECK ET FUMITHERM</t>
  </si>
  <si>
    <t>gilles.laguet@ferbecketfumitherm.com</t>
  </si>
  <si>
    <t>http://www.linkedin.com/in/gilles-laguet-11814240</t>
  </si>
  <si>
    <t>http://www.ferbecketfumitherm.com</t>
  </si>
  <si>
    <t xml:space="preserve">Nivolas-Vermelle, Auvergne-Rhone-Alpes, France, 38300</t>
  </si>
  <si>
    <t>Mazlum</t>
  </si>
  <si>
    <t>Alagoz</t>
  </si>
  <si>
    <t xml:space="preserve">HM RAVALEMENT</t>
  </si>
  <si>
    <t>mazlum.alagoz@hmravalement.fr</t>
  </si>
  <si>
    <t>http://www.linkedin.com/in/mazlum-alagoz-62a069171</t>
  </si>
  <si>
    <t>http://www.hmravalement.fr</t>
  </si>
  <si>
    <t xml:space="preserve">Aulnay-sous-Bois, Ile-de-France, France</t>
  </si>
  <si>
    <t>Bernard-Brunel</t>
  </si>
  <si>
    <t>e.bernard-brunel@vepres.fr</t>
  </si>
  <si>
    <t>http://www.linkedin.com/in/eric-bernard-brunel-3b3a6419b</t>
  </si>
  <si>
    <t>http://www.vepres.fr</t>
  </si>
  <si>
    <t xml:space="preserve">15 Chemin de la Plaine, Claix, Rhone-Alpes, France, 38640</t>
  </si>
  <si>
    <t>Melina</t>
  </si>
  <si>
    <t>melina.lucas@qsb.fr</t>
  </si>
  <si>
    <t>http://www.linkedin.com/in/m%c3%a9lina-lucas-7a5684211</t>
  </si>
  <si>
    <t>Lannion</t>
  </si>
  <si>
    <t>Chaperon</t>
  </si>
  <si>
    <t xml:space="preserve">ENTREPRISE IMPER ETANCHEITE</t>
  </si>
  <si>
    <t>sophiechaperon@imper-etancheite.fr</t>
  </si>
  <si>
    <t>http://www.linkedin.com/in/sophie-chaperon-75873968</t>
  </si>
  <si>
    <t>http://www.imper-etancheite.fr</t>
  </si>
  <si>
    <t xml:space="preserve">Rue des Entrepreneurs, La Croix-Saint-Ouen, Hauts-de-France, France, 60610</t>
  </si>
  <si>
    <t xml:space="preserve">Imper Étanchéité des solutions durables pour l'entretien et la maintenance de vos toitures terrasses. Nous sommes spécialisés dans l’étancheité,le bardage, le désenfumage, la sécurité et les accès. Suivez vos interventions en ligne avec ROOFTECH.</t>
  </si>
  <si>
    <t>Gauvrit</t>
  </si>
  <si>
    <t xml:space="preserve">CONSTRUCTIONS SAINT-ELOI</t>
  </si>
  <si>
    <t>sylvain.gauvrit@saint-eloi.eu</t>
  </si>
  <si>
    <t>http://www.linkedin.com/in/sylvain-gauvrit-54065743</t>
  </si>
  <si>
    <t>http://www.saint-eloi.eu</t>
  </si>
  <si>
    <t xml:space="preserve">2 Chemin d'El Pey, Colomiers, Midi-Pyrenees, France, 31770</t>
  </si>
  <si>
    <t xml:space="preserve">Expert dans le domaine du génie métallique, construction d’ouvrage métallique et verrières, passerelles et rénovation de structure historique.</t>
  </si>
  <si>
    <t>Moreno</t>
  </si>
  <si>
    <t>Modelar</t>
  </si>
  <si>
    <t>jonathan.moreno@alobatiment.com</t>
  </si>
  <si>
    <t>http://www.linkedin.com/in/jonathan-moreno-30704a1ab</t>
  </si>
  <si>
    <t>http://www.modelar.fr</t>
  </si>
  <si>
    <t xml:space="preserve">46 Avenue du General Michel Bizot, Paris, Ile-de-France, France, 75012</t>
  </si>
  <si>
    <t xml:space="preserve">Fondée en 2002, Modelar vous accompagne dans votre projet de rénovation de la conception à la réalisation des travaux. Devis détaillé et plan 3D gratuit.</t>
  </si>
  <si>
    <t>Gouffe</t>
  </si>
  <si>
    <t>Cénovia</t>
  </si>
  <si>
    <t>jacques.gouffe@cenovia.fr</t>
  </si>
  <si>
    <t>http://www.linkedin.com/in/jacques-gouff%c3%a9-49a252294</t>
  </si>
  <si>
    <t>http://www.cenovia.fr</t>
  </si>
  <si>
    <t xml:space="preserve">41 Rue de l'Esterel, Le Mans, Pays de la Loire, France, 72100</t>
  </si>
  <si>
    <t xml:space="preserve">Cénovia, anciennement la Société d'Equipement du Mans (S.E.M), est un acteur local au service de la ville du Mans pour son développement économique et son amélioration de l'habitat.</t>
  </si>
  <si>
    <t>Marlet</t>
  </si>
  <si>
    <t xml:space="preserve">Objectif bâtiment</t>
  </si>
  <si>
    <t>l.marlet@objectifbatiment.fr</t>
  </si>
  <si>
    <t>http://www.linkedin.com/in/lionel-marlet-3a758b108</t>
  </si>
  <si>
    <t>http://www.acrobat-btp.fr</t>
  </si>
  <si>
    <t>Chevry-Cossigny</t>
  </si>
  <si>
    <t xml:space="preserve">Ozoir-la-Ferriere, Ile-de-France, France</t>
  </si>
  <si>
    <t>Bolardi</t>
  </si>
  <si>
    <t>Demain</t>
  </si>
  <si>
    <t>paul@demain.works</t>
  </si>
  <si>
    <t>http://www.linkedin.com/in/paulbolardi</t>
  </si>
  <si>
    <t>http://www.buildingdemain.com</t>
  </si>
  <si>
    <t xml:space="preserve">1435 Vine St, Cincinnati, Ohio, United States, 45202-7017</t>
  </si>
  <si>
    <t xml:space="preserve">Demain offers industrialized construction solutions by integrating its consortium member companies through data.</t>
  </si>
  <si>
    <t xml:space="preserve">Maisons Oxygène</t>
  </si>
  <si>
    <t>g.marrant@maisonsoxygene.com</t>
  </si>
  <si>
    <t>http://www.linkedin.com/in/gregoire-marrant-461110141</t>
  </si>
  <si>
    <t>http://www.maisonsoxygene.com</t>
  </si>
  <si>
    <t xml:space="preserve">14 Avenue du Pre de Challes, Annecy, Auvergne-Rhone-Alpes, France, 74940</t>
  </si>
  <si>
    <t xml:space="preserve">Avec Maisons Oxygène, faites-vous construire une maison contemporaines en Savoie (73) et Haute-Savoie (74) : constructions nouvelles en brique ou ossature bois.</t>
  </si>
  <si>
    <t>Guillet</t>
  </si>
  <si>
    <t xml:space="preserve">GUILLET TP</t>
  </si>
  <si>
    <t>adrien@guillet-tp.com</t>
  </si>
  <si>
    <t>http://www.linkedin.com/in/adrien-guillet-a53728140</t>
  </si>
  <si>
    <t>http://www.location-tp-vendee.com</t>
  </si>
  <si>
    <t xml:space="preserve">Le Poire-sur-Vie, Pays de la Loire, France, 85170</t>
  </si>
  <si>
    <t>Loitiere</t>
  </si>
  <si>
    <t xml:space="preserve">Suit Your Wall</t>
  </si>
  <si>
    <t>philippe@suityourwall.com</t>
  </si>
  <si>
    <t>http://www.linkedin.com/in/philippe-de-loitiere-626499b1</t>
  </si>
  <si>
    <t>http://www.suityourwall.com</t>
  </si>
  <si>
    <t>Gournerie</t>
  </si>
  <si>
    <t xml:space="preserve">Directeur général K2 Energies Habitat</t>
  </si>
  <si>
    <t>antoine.delagournerie@k2energies.com</t>
  </si>
  <si>
    <t>http://www.linkedin.com/in/antoine-de-la-gournerie-64556b38</t>
  </si>
  <si>
    <t>Urbain</t>
  </si>
  <si>
    <t>d.urbain@cohesens.net</t>
  </si>
  <si>
    <t>http://www.linkedin.com/in/dominique-urbain-667a19119</t>
  </si>
  <si>
    <t>http://www.cohesens.net</t>
  </si>
  <si>
    <t xml:space="preserve">4 Rue Bernard Palissy, Taissy, Grand Est, France, 51500</t>
  </si>
  <si>
    <t>Riscala</t>
  </si>
  <si>
    <t>ECOxIA</t>
  </si>
  <si>
    <t>olivier.riscala@ecoxia.com</t>
  </si>
  <si>
    <t>http://www.linkedin.com/in/olivier-riscala-5452612</t>
  </si>
  <si>
    <t>http://www.ecoxia.fr</t>
  </si>
  <si>
    <t xml:space="preserve">43 Rue Royale, Yerres, Ile-de-France, France, 91330</t>
  </si>
  <si>
    <t xml:space="preserve">Spécialiste de la construction de maisons passives et bas carbone. L'Enveloppe Intelligente répond au défi du développement durable de la construction.</t>
  </si>
  <si>
    <t>Jarjanette</t>
  </si>
  <si>
    <t xml:space="preserve">SECURELEC France</t>
  </si>
  <si>
    <t>thomas.jarjanette@securelec-france.fr</t>
  </si>
  <si>
    <t>http://www.linkedin.com/in/thomas-jarjanette-089a8a130</t>
  </si>
  <si>
    <t>http://www.securelec-france.fr</t>
  </si>
  <si>
    <t xml:space="preserve">20 Rue des Teinturiers, Meaux, Ile-de-France, France, 77100</t>
  </si>
  <si>
    <t>Chrystopher</t>
  </si>
  <si>
    <t>Karransing</t>
  </si>
  <si>
    <t>Kartesien</t>
  </si>
  <si>
    <t>c.karransing@kartesien.fr</t>
  </si>
  <si>
    <t>http://www.linkedin.com/in/ck-kartesien</t>
  </si>
  <si>
    <t>http://www.kartesien.fr</t>
  </si>
  <si>
    <t>Llobregat</t>
  </si>
  <si>
    <t xml:space="preserve">Continental Bitumen</t>
  </si>
  <si>
    <t>raphael.llobregat@colas.com</t>
  </si>
  <si>
    <t>http://www.linkedin.com/in/raphael-llobregat-4359bb</t>
  </si>
  <si>
    <t>http://www.continentalbitumen.com</t>
  </si>
  <si>
    <t xml:space="preserve">Dublin, Dublin, Ireland</t>
  </si>
  <si>
    <t xml:space="preserve">Continental Bitumen is an autonomous subsidiary of Colas dedicated to bitumen in Europe, Africa, Middle East and Latin America.</t>
  </si>
  <si>
    <t>Pierric</t>
  </si>
  <si>
    <t>Metiista</t>
  </si>
  <si>
    <t>pierric@metiista.fr</t>
  </si>
  <si>
    <t>http://www.linkedin.com/in/pierric-pottier-715b4425</t>
  </si>
  <si>
    <t>http://www.metiista.com</t>
  </si>
  <si>
    <t xml:space="preserve">75 Rue Joseph Moulin, Craponne, Rhone-Alpes, France, 69290</t>
  </si>
  <si>
    <t xml:space="preserve">Metiista est une entreprise de travaux de rénovation éco-responsable basée à Craponne, à quelques minutes du centre de Lyon.</t>
  </si>
  <si>
    <t>Dousse</t>
  </si>
  <si>
    <t xml:space="preserve">Provençale d'Aluminium</t>
  </si>
  <si>
    <t>dousse@provencale-aluminium.com</t>
  </si>
  <si>
    <t>http://www.linkedin.com/in/alain-dousse-1a2a0b279</t>
  </si>
  <si>
    <t>http://www.provencale-aluminium.com</t>
  </si>
  <si>
    <t>Roquevaire</t>
  </si>
  <si>
    <t xml:space="preserve">Roquevaire, Provence-Alpes-Cote d'Azur, France, 13360</t>
  </si>
  <si>
    <t xml:space="preserve">Provençale d'Aluminium : un expert en conception, fabrication et pose d'ouvrage aluminium de technicité élevée sur les chantiers les plus exigeants</t>
  </si>
  <si>
    <t>Fiacre</t>
  </si>
  <si>
    <t>ATEBAT</t>
  </si>
  <si>
    <t>g.fiacre@atebat.fr</t>
  </si>
  <si>
    <t>http://www.linkedin.com/in/gilles-fiacre-693176a2</t>
  </si>
  <si>
    <t>http://www.atebat.fr</t>
  </si>
  <si>
    <t xml:space="preserve">Fagnieres, Alsace-Champagne-Ardenne-Lorraine, France, 51510</t>
  </si>
  <si>
    <t>Brochard</t>
  </si>
  <si>
    <t xml:space="preserve">Gesys Ingénierie</t>
  </si>
  <si>
    <t>jean-christophe.brochard@gesys-ing.com</t>
  </si>
  <si>
    <t>http://www.linkedin.com/in/jean-christophe-brochard-5500a543</t>
  </si>
  <si>
    <t>http://www.gesys-ing.com</t>
  </si>
  <si>
    <t xml:space="preserve">15 Rue des Grands-Pres, Nanterre, Ile-de-France, France, 92000</t>
  </si>
  <si>
    <t>Chiecchio</t>
  </si>
  <si>
    <t>hugo@hugo-tech.com</t>
  </si>
  <si>
    <t>http://www.linkedin.com/in/hugo-chiecchio-618992133</t>
  </si>
  <si>
    <t xml:space="preserve">TOTAL CABLE</t>
  </si>
  <si>
    <t>thierry.soula@finedi.eu</t>
  </si>
  <si>
    <t>http://www.linkedin.com/in/thierry-soula-6450b2111</t>
  </si>
  <si>
    <t>http://www.totalcable.fr</t>
  </si>
  <si>
    <t xml:space="preserve">339 Route du Circuit, Saint-Gaudens, Occitanie, France, 31800</t>
  </si>
  <si>
    <t xml:space="preserve">TOTAL CABLE, N°1 tirage et câblage de centrales photovoltaïques</t>
  </si>
  <si>
    <t>Duthoit</t>
  </si>
  <si>
    <t xml:space="preserve">Donato SA</t>
  </si>
  <si>
    <t>alexis@donato-construction.fr</t>
  </si>
  <si>
    <t>http://www.linkedin.com/in/alexis-duthoit-786686b9</t>
  </si>
  <si>
    <t>http://www.donato-construction.fr</t>
  </si>
  <si>
    <t xml:space="preserve">Buchelay, Ile-de-France, France, 78200</t>
  </si>
  <si>
    <t xml:space="preserve">Entreprise générale de construction, expert dans le gros oeuvre, les travaux spéciaux, le clos couvert, le corps d'états architecturaux. Construction pisé, béton de terre, béton recyclé.</t>
  </si>
  <si>
    <t>alexis.devaux@altius.fr</t>
  </si>
  <si>
    <t>http://www.linkedin.com/in/alexis-devaux-425754aa</t>
  </si>
  <si>
    <t>yilmaz@sybat.fr</t>
  </si>
  <si>
    <t>http://www.linkedin.com/in/fran%c3%a7ois-yilmaz-85722b232</t>
  </si>
  <si>
    <t>Thoulouze</t>
  </si>
  <si>
    <t>Archionline</t>
  </si>
  <si>
    <t>victor@archionline.fr</t>
  </si>
  <si>
    <t>http://www.linkedin.com/in/thoulouzevictor</t>
  </si>
  <si>
    <t>http://www.archionline.com</t>
  </si>
  <si>
    <t xml:space="preserve">19 Rue d'Hauteville, Paris, Ile-de-France, France, 75010</t>
  </si>
  <si>
    <t xml:space="preserve">De la conception d'architecte jusqu'à la réalisation des travaux, Archionline réalise vos projets de Rénovation, construction &amp; Extension au juste prix,</t>
  </si>
  <si>
    <t>Septvant</t>
  </si>
  <si>
    <t>a.septvant@archidvisor.com</t>
  </si>
  <si>
    <t>http://www.linkedin.com/in/aymeric-septvant-69b8a0b2</t>
  </si>
  <si>
    <t>SOMMA</t>
  </si>
  <si>
    <t>luc.guillon@somma.fr</t>
  </si>
  <si>
    <t>http://www.linkedin.com/in/luc-guillon-53898a14</t>
  </si>
  <si>
    <t>http://www.sommatool.com</t>
  </si>
  <si>
    <t xml:space="preserve">102 Route de Limours, Saint-Remy-les-Chevreuse, Ile-de-France, France, 78470</t>
  </si>
  <si>
    <t xml:space="preserve">Somma Tool Company is the only manufacturer in the United States to offer a full line of tooling for screw machines; Rotary Broaches, Cutoffs and more.</t>
  </si>
  <si>
    <t>r.guinde@guinde.com</t>
  </si>
  <si>
    <t>http://www.linkedin.com/in/r%c3%a9gis-guind%c3%a9-65104314b</t>
  </si>
  <si>
    <t>Lanvallay</t>
  </si>
  <si>
    <t xml:space="preserve">Président co-fondateur</t>
  </si>
  <si>
    <t>d.marot@tecta-ing.com</t>
  </si>
  <si>
    <t>http://www.linkedin.com/in/didier-marot-2b808770</t>
  </si>
  <si>
    <t xml:space="preserve">ONE WAY</t>
  </si>
  <si>
    <t>damien.lecomte@one-way.fr</t>
  </si>
  <si>
    <t>http://www.linkedin.com/in/damien-lecomte-86573372</t>
  </si>
  <si>
    <t>http://www.one-way.fr</t>
  </si>
  <si>
    <t xml:space="preserve">2T Rue de l'Europe, Sequedin, Hauts-de-France, France, 59320</t>
  </si>
  <si>
    <t xml:space="preserve">ONE WAY est un contractant général spécialisé dans les travaux de second oeuvre en bâtiment. Il dispose de ses propres équipes de compagnon.</t>
  </si>
  <si>
    <t>Midou</t>
  </si>
  <si>
    <t>sebastien.midou@gsl-prefa.fr</t>
  </si>
  <si>
    <t>http://www.linkedin.com/in/s%c3%a9bastien-midou-02996b77</t>
  </si>
  <si>
    <t>IDSB</t>
  </si>
  <si>
    <t>f.dubois@idsb.com</t>
  </si>
  <si>
    <t>http://www.linkedin.com/in/fr%c3%a9d%c3%a9ric-dubois-585353b6</t>
  </si>
  <si>
    <t>http://www.idsb.com</t>
  </si>
  <si>
    <t xml:space="preserve">4 Rue de Hoerdt, Eckwersheim, Grand Est, France, 67550</t>
  </si>
  <si>
    <t xml:space="preserve">Innover Durablement des Solutions pour Bâtir. IDSB conçoit et produit des composants structuraux innovants sur mesure facilitant l'acte de construire aux acteurs du BTP. Ecoute, réactivité et respect des engagements sont les valeurs essentielles des équipes de IDSB depuis 2005.</t>
  </si>
  <si>
    <t>Dielaine</t>
  </si>
  <si>
    <t xml:space="preserve">SPL CERGY-PONTOISE AMENAGEMENT</t>
  </si>
  <si>
    <t>fdielaine@cergypontoise-amenagement.fr</t>
  </si>
  <si>
    <t>http://www.linkedin.com/in/fr%c3%a9d%c3%a9rique-di%c3%a9laine</t>
  </si>
  <si>
    <t>http://www.cergypontoise-amenagement.fr</t>
  </si>
  <si>
    <t xml:space="preserve">Cergy, Ile-de-France, France, 95000</t>
  </si>
  <si>
    <t>Mallard</t>
  </si>
  <si>
    <t>david.mallard@brard-entreprise.fr</t>
  </si>
  <si>
    <t>http://www.linkedin.com/in/david-mallard-25166774</t>
  </si>
  <si>
    <t>Duncan</t>
  </si>
  <si>
    <t>Stuart</t>
  </si>
  <si>
    <t xml:space="preserve">Co-founder and Chief Executive Officer</t>
  </si>
  <si>
    <t>Skibby</t>
  </si>
  <si>
    <t>duncan@skibby.co</t>
  </si>
  <si>
    <t>http://www.linkedin.com/in/duncan-stuart-b2382425b</t>
  </si>
  <si>
    <t>http://www.skibby.co</t>
  </si>
  <si>
    <t xml:space="preserve">A budding construction industry based Social Network for finding jobs and hiring professionals | Skibby</t>
  </si>
  <si>
    <t>Guitton</t>
  </si>
  <si>
    <t xml:space="preserve">GUITTON MENUISERIE</t>
  </si>
  <si>
    <t>ronan@guittonsa.fr</t>
  </si>
  <si>
    <t>http://www.linkedin.com/in/ronan-guitton-b4626385</t>
  </si>
  <si>
    <t>http://www.guittonsa.fr</t>
  </si>
  <si>
    <t xml:space="preserve">La Meziere, Bretagne, France, 35520</t>
  </si>
  <si>
    <t>Neveu</t>
  </si>
  <si>
    <t xml:space="preserve">SE2N NEVEU</t>
  </si>
  <si>
    <t>julie@se2n-neveu.fr</t>
  </si>
  <si>
    <t>http://www.linkedin.com/in/julie-neveu-1798306b</t>
  </si>
  <si>
    <t>http://www.se2n-neveu.fr</t>
  </si>
  <si>
    <t xml:space="preserve">22 Rue Antoine Lavoisier, Roissy-en-Brie, Ile-de-France, France, 77680</t>
  </si>
  <si>
    <t xml:space="preserve">Il s’agit de l’extrait de votre page d’accueil.</t>
  </si>
  <si>
    <t xml:space="preserve">Eco Négoce</t>
  </si>
  <si>
    <t>a.cohen@econegoce.com</t>
  </si>
  <si>
    <t>http://www.linkedin.com/in/aviel-cohen-a90b8a33</t>
  </si>
  <si>
    <t>http://www.econegoce.com</t>
  </si>
  <si>
    <t xml:space="preserve">Pantin, Ile-de-France, France, 93500</t>
  </si>
  <si>
    <t>Taglioni</t>
  </si>
  <si>
    <t xml:space="preserve">NGE IMMOBILIER</t>
  </si>
  <si>
    <t>dtaglioni@nge.fr</t>
  </si>
  <si>
    <t>http://www.linkedin.com/in/david-taglioni-1427694a</t>
  </si>
  <si>
    <t>http://www.nge-immobilier.fr</t>
  </si>
  <si>
    <t xml:space="preserve">20 Rue de Caumartin, Paris, Ile-de-France, France, 75009</t>
  </si>
  <si>
    <t>Ziane</t>
  </si>
  <si>
    <t xml:space="preserve">Chanel Rénovation</t>
  </si>
  <si>
    <t>aziane@chanelrenovation34.fr</t>
  </si>
  <si>
    <t>http://www.linkedin.com/in/ahmed-ziane-4a01bb186</t>
  </si>
  <si>
    <t>http://www.chanelrenovation.fr</t>
  </si>
  <si>
    <t xml:space="preserve">12 Rue de l'Industrie, Venissieux, Auvergne-Rhone-Alpes, France, 69200</t>
  </si>
  <si>
    <t xml:space="preserve">Confiez vos travaux de bardage, isolation, valorisation, réhabilitation et embellissement de vos façades à l'entreprise en bâtiment de référence en Rhône-Alpes.</t>
  </si>
  <si>
    <t>Charley</t>
  </si>
  <si>
    <t>Ferra</t>
  </si>
  <si>
    <t>c.ferra@groupe-carre.com</t>
  </si>
  <si>
    <t>http://www.linkedin.com/in/charley-ferra-80356b87</t>
  </si>
  <si>
    <t>Daurat</t>
  </si>
  <si>
    <t>AP2R</t>
  </si>
  <si>
    <t>emmanuel.daurat@ap2r-idf.fr</t>
  </si>
  <si>
    <t>http://www.linkedin.com/in/emmanuel-daurat-b23417163</t>
  </si>
  <si>
    <t>http://www.entrepriseap2r.fr</t>
  </si>
  <si>
    <t xml:space="preserve">12 Rue de l'Ecluse, Alfortville, Ile-de-France, France, 94140</t>
  </si>
  <si>
    <t xml:space="preserve">AP2R est une entreprise créée en 1996 et spécialiste de l'agencement, de la peinture, du revêtement de sols et du ravalement.</t>
  </si>
  <si>
    <t>Alizon</t>
  </si>
  <si>
    <t>p.alizon@axys-be.fr</t>
  </si>
  <si>
    <t>http://www.linkedin.com/in/patrick-alizon-b858a81a8</t>
  </si>
  <si>
    <t>http://www.axys-be.fr</t>
  </si>
  <si>
    <t xml:space="preserve">21 Avenue de la Baltique, Villebon-sur-Yvette, Ile-de-France, France, 91140</t>
  </si>
  <si>
    <t>Jason</t>
  </si>
  <si>
    <t>jason.tsivatou@c2tmi.fr</t>
  </si>
  <si>
    <t>http://www.linkedin.com/in/jason-tsivatou-03a632146</t>
  </si>
  <si>
    <t>http://www.c2tmi.fr</t>
  </si>
  <si>
    <t xml:space="preserve">Montlouis-sur-Loire, Centre-Val de Loire, France, 37270</t>
  </si>
  <si>
    <t>Martinho</t>
  </si>
  <si>
    <t xml:space="preserve">Piscines DUGAIN</t>
  </si>
  <si>
    <t>p.martinho@piscinesdugain.com</t>
  </si>
  <si>
    <t>http://www.linkedin.com/in/paulo-martinho-93984b187</t>
  </si>
  <si>
    <t>http://www.piscinesdugain.com</t>
  </si>
  <si>
    <t xml:space="preserve">80 Rue Jean-Baptiste Colbert, La Chapelle-Saint-Luc, Alsace-Champagne-Ardenne-Lorraine, France, 10600</t>
  </si>
  <si>
    <t>Apo</t>
  </si>
  <si>
    <t>J.</t>
  </si>
  <si>
    <t>MEDAJ</t>
  </si>
  <si>
    <t>apo@medaj.fr</t>
  </si>
  <si>
    <t>http://www.linkedin.com/in/apojemo</t>
  </si>
  <si>
    <t>http://www.medaj.fr</t>
  </si>
  <si>
    <t xml:space="preserve">47 Boulevard de Courcelles, Paris, Ile-de-France, France, 75008</t>
  </si>
  <si>
    <t>TPBoutté</t>
  </si>
  <si>
    <t>jcb@tpboutte.fr</t>
  </si>
  <si>
    <t>http://www.linkedin.com/in/jean-christophe-boutt%c3%a9-b7163aa8</t>
  </si>
  <si>
    <t>http://www.tpboutte.fr</t>
  </si>
  <si>
    <t>Conde-sur-Vire</t>
  </si>
  <si>
    <t xml:space="preserve">73 Route de Saint-Lo, Conde-sur-Vire, Normandie, France, 50890</t>
  </si>
  <si>
    <t xml:space="preserve">Travaux publics à Condé sur Vire dans la manche - TP Boutte | TRAVAUX PUBLICS BOUTTÉ – 73, route de Saint-Lô – 50890 Condé-sur-Vire – Tél. 02 33 56 50 82</t>
  </si>
  <si>
    <t xml:space="preserve">ASB Wilbot</t>
  </si>
  <si>
    <t>jros@asbwilbot.fr</t>
  </si>
  <si>
    <t>http://www.linkedin.com/in/jose-ros-66708710b</t>
  </si>
  <si>
    <t>http://www.asbwilbot.fr</t>
  </si>
  <si>
    <t xml:space="preserve">ASB WILBOT - Armaturier, Armature béton armé, entreprise, Btp. Trente années d'expérience dans le domaine de l'armature. 23 rue Balzac - 75008 Paris</t>
  </si>
  <si>
    <t>PENNEQUIN</t>
  </si>
  <si>
    <t>pascal.thomas@pennequin.fr</t>
  </si>
  <si>
    <t>http://www.linkedin.com/in/pascal-thomas-a50168131</t>
  </si>
  <si>
    <t>http://www.pennequin.fr</t>
  </si>
  <si>
    <t xml:space="preserve">601 Rue de la Piece Leger, Marsannay-la-Cote, Bourgogne-Franche-Comte, France, 21160</t>
  </si>
  <si>
    <t xml:space="preserve">Faites confiance à l’entreprise PENNEQUIN pour vos travaux de démolition, de terrassement et de voirie et réseaux divers (VRD) à Dijon et alentours.</t>
  </si>
  <si>
    <t>Olaf</t>
  </si>
  <si>
    <t>Adamec</t>
  </si>
  <si>
    <t>ALTIOSA</t>
  </si>
  <si>
    <t>olaf@altiosa.com</t>
  </si>
  <si>
    <t>http://www.linkedin.com/in/olaf-adamec-4a35681a0</t>
  </si>
  <si>
    <t>http://www.altiosa.com</t>
  </si>
  <si>
    <t xml:space="preserve">Montriond, Auvergne-Rhone-Alpes, France</t>
  </si>
  <si>
    <t>Mezzouji</t>
  </si>
  <si>
    <t xml:space="preserve">PAS ASCENSEURS</t>
  </si>
  <si>
    <t>m.mezzouji@pas-ascenseurs.com</t>
  </si>
  <si>
    <t>http://www.linkedin.com/in/mezzouji-mohamed-0b4727ba</t>
  </si>
  <si>
    <t>http://www.pas-ascenseurs.com</t>
  </si>
  <si>
    <t xml:space="preserve">Montigny-les-Cormeilles, Ile-de-France, France</t>
  </si>
  <si>
    <t xml:space="preserve">PAS Ascenseurs, le spécialiste de l'ascenseur à Paris et dans sa région. Travaux d'installation, de modernisation ou de dépannage, sur toutes les marques</t>
  </si>
  <si>
    <t xml:space="preserve">Menuisier et directeur général</t>
  </si>
  <si>
    <t>SOLID.paris</t>
  </si>
  <si>
    <t>jeremy@solid.paris</t>
  </si>
  <si>
    <t>http://www.linkedin.com/in/jeremy-pierre-b01b32100</t>
  </si>
  <si>
    <t>http://www.solid.paris</t>
  </si>
  <si>
    <t xml:space="preserve">16 Allee des Marguerites, Clichy-sous-Bois, Ile-de-France, France, 93390</t>
  </si>
  <si>
    <t>Lopes</t>
  </si>
  <si>
    <t>OZICE</t>
  </si>
  <si>
    <t>p.lopes@ozice.fr</t>
  </si>
  <si>
    <t>http://www.linkedin.com/in/philippe-lopes-3b309b63</t>
  </si>
  <si>
    <t>http://www.ozice.fr</t>
  </si>
  <si>
    <t xml:space="preserve">24 Rue de Mogador, Paris, Ile-de-France, France, 75009</t>
  </si>
  <si>
    <t>Beghin</t>
  </si>
  <si>
    <t xml:space="preserve">Directeur général opérationnel</t>
  </si>
  <si>
    <t xml:space="preserve">CLOTURES MICHEL WILLOQUAUX</t>
  </si>
  <si>
    <t>pbeghin@clowill.com</t>
  </si>
  <si>
    <t>http://www.linkedin.com/in/pascal-beghin-141b2431</t>
  </si>
  <si>
    <t>http://www.groupe-cw.fr</t>
  </si>
  <si>
    <t xml:space="preserve">Tressin, Hauts-de-France, France, 59152</t>
  </si>
  <si>
    <t xml:space="preserve">Installée depuis 1963 dans le Nord, la SA CLOTURES Michel WILLOQUAUX est une société familiale.
Nous concevons, fabriquons, commercialisons et installons une gamme complète de clôtures, portails et automatismes pour sécuriser vos espaces.</t>
  </si>
  <si>
    <t>Ewa</t>
  </si>
  <si>
    <t>Verpillot</t>
  </si>
  <si>
    <t>CAPALLEST</t>
  </si>
  <si>
    <t>ewaverpillot@capallest.com</t>
  </si>
  <si>
    <t>http://www.linkedin.com/in/ewa-verpillot-13760879</t>
  </si>
  <si>
    <t>http://www.capallest.com</t>
  </si>
  <si>
    <t xml:space="preserve">Vous trouverez chez CAPALLEST un large choix de vitrages, joints et garnitures qui participent tout autant à l'esthétique qu'à la protection du matériau.</t>
  </si>
  <si>
    <t>Arrue</t>
  </si>
  <si>
    <t xml:space="preserve">PDG ste Darrieumerlou  à Bardos</t>
  </si>
  <si>
    <t xml:space="preserve">DARRIEUMERLOU CHARPENTE</t>
  </si>
  <si>
    <t>bertrand.arrue@darrieumerlou.fr</t>
  </si>
  <si>
    <t>http://www.linkedin.com/in/bertrand-arrue-95b1aa154</t>
  </si>
  <si>
    <t>http://www.darrieumerlou.fr</t>
  </si>
  <si>
    <t>Meharin</t>
  </si>
  <si>
    <t xml:space="preserve">Route de Bayonne, Bardos, Nouvelle-Aquitaine, France, 64520</t>
  </si>
  <si>
    <t>Herbreteau</t>
  </si>
  <si>
    <t xml:space="preserve">Dirigeant associé / ASCIA GROUPE</t>
  </si>
  <si>
    <t xml:space="preserve">GROUPE ASCIA</t>
  </si>
  <si>
    <t>mherbreteau@groupeascia.fr</t>
  </si>
  <si>
    <t>http://www.linkedin.com/in/maxime-herbreteau-97974311a</t>
  </si>
  <si>
    <t>http://www.groupeascia.fr</t>
  </si>
  <si>
    <t xml:space="preserve">45 Rue des Garottieres, Haute-Goulaine, Pays de la Loire, France, 44115</t>
  </si>
  <si>
    <t xml:space="preserve">Bureaux d’étude structure spécialisés en dimensionnement, calculs de structure et diagnostic pour les bâtiments béton bois et métal.</t>
  </si>
  <si>
    <t>Lendormi</t>
  </si>
  <si>
    <t>BIEF-Cariçaie</t>
  </si>
  <si>
    <t>glendormi@bief.net</t>
  </si>
  <si>
    <t>http://www.linkedin.com/in/g%c3%a9rald-lendormi-59b4b2121</t>
  </si>
  <si>
    <t>http://www.bief.fr</t>
  </si>
  <si>
    <t xml:space="preserve">68 Rue de l'Aqueduc, Paris, Ile-de-France, France, 75010</t>
  </si>
  <si>
    <t xml:space="preserve">Ingénierie Fluviale - Études hydrauliques - Études réglementaires - Écologie et renaturation Maîtrise d'Œuvre &amp; Assistance à Maîtrise d'Ouvrage Du génie civil au géni</t>
  </si>
  <si>
    <t>Sukru</t>
  </si>
  <si>
    <t xml:space="preserve">CIREME échafaudage</t>
  </si>
  <si>
    <t>s.meric@cireme.com</t>
  </si>
  <si>
    <t>http://www.linkedin.com/in/meric-sukru-97511798</t>
  </si>
  <si>
    <t>http://www.cireme.com</t>
  </si>
  <si>
    <t xml:space="preserve">CIREME est le leader français de location et vente d'échafaudages. Depuis plsu de 25 ans nous vous accompagnons dans vos travaux en hauteur.</t>
  </si>
  <si>
    <t>Jean-Gilles</t>
  </si>
  <si>
    <t>Fevre</t>
  </si>
  <si>
    <t>jg.fevre@isoleplus.com</t>
  </si>
  <si>
    <t>http://www.linkedin.com/in/jean-gilles-fevre-526164298</t>
  </si>
  <si>
    <t>Delamotte</t>
  </si>
  <si>
    <t xml:space="preserve">LBC SAS</t>
  </si>
  <si>
    <t>bdelamotte@averroes-solutions.com</t>
  </si>
  <si>
    <t>http://www.linkedin.com/in/bd-aditdn</t>
  </si>
  <si>
    <t>http://www.averroes-solutions.com</t>
  </si>
  <si>
    <t xml:space="preserve">5 Avenue Arago, Chilly-Mazarin, Ile-de-France, France, 91380</t>
  </si>
  <si>
    <t>Roue</t>
  </si>
  <si>
    <t>ADEIMMO</t>
  </si>
  <si>
    <t>mroue@adeimmo.fr</t>
  </si>
  <si>
    <t>http://www.linkedin.com/in/matthieu-rou%c3%a9</t>
  </si>
  <si>
    <t>http://www.adeimmo.fr</t>
  </si>
  <si>
    <t xml:space="preserve">CRÉATEUR DE LOGEMENTS D'exception À BORDEAUX ET SA RÉGION Des logements sur mesure d'exception Chez ADEIMMO, nous construisons nos logements neufs avec des matériaux de qualité, tant dans la structure des bâtiments que dans la création des logements. En complément, de belles prestations accompagnent les logements afin d'offrir un confort de vie rare à nos résidents. DÉCOUVRIR</t>
  </si>
  <si>
    <t>Verdru</t>
  </si>
  <si>
    <t>mathilde.verdru@eurisol.fr</t>
  </si>
  <si>
    <t>http://www.linkedin.com/in/mathildeverdru</t>
  </si>
  <si>
    <t>http://www.eurisol.fr</t>
  </si>
  <si>
    <t xml:space="preserve">Allee des Roseaux, Bailleul, Hauts-de-France, France, 59270</t>
  </si>
  <si>
    <t xml:space="preserve">REAL MARBRE</t>
  </si>
  <si>
    <t>msoares@realmarbre.fr</t>
  </si>
  <si>
    <t>http://www.linkedin.com/in/manuel-soares-9351ba55</t>
  </si>
  <si>
    <t>http://www.real-marbre.com</t>
  </si>
  <si>
    <t xml:space="preserve">6 Rue Saint-Florentin, Paris, Ile-de-France, France, 75001</t>
  </si>
  <si>
    <t>Cheval</t>
  </si>
  <si>
    <t xml:space="preserve">Responsable du BET, Roofing and Waterproofing Consultant, CEO &amp; founder</t>
  </si>
  <si>
    <t xml:space="preserve">2TCE Toitures-Terrasses Conseils Etanchéité</t>
  </si>
  <si>
    <t>bertrand@2tce.com</t>
  </si>
  <si>
    <t>http://www.linkedin.com/in/bertrand-cheval-224a4612</t>
  </si>
  <si>
    <t>http://www.2tce.com</t>
  </si>
  <si>
    <t xml:space="preserve">La Nomluce, Saint-Brevin-les-Pins, Pays de la Loire, France, 44250</t>
  </si>
  <si>
    <t>Favraud</t>
  </si>
  <si>
    <t xml:space="preserve">Escaliers REM</t>
  </si>
  <si>
    <t>as.favraud@escaliers-rem.com</t>
  </si>
  <si>
    <t>http://www.linkedin.com/in/anne-sophie-favraud-ab373a11a</t>
  </si>
  <si>
    <t>http://www.escaliers-rem.com</t>
  </si>
  <si>
    <t>Denaze</t>
  </si>
  <si>
    <t xml:space="preserve">1 Allee de Coubron, Clichy-sous-Bois, Ile-de-France, France, 93390</t>
  </si>
  <si>
    <t xml:space="preserve">Spécialisés dans la création d'escaliers métalliques, Escaliers REM conçoit, fabrique et pose vos escaliers sur mesure: escaliers droits, balancés...</t>
  </si>
  <si>
    <t>Gonot</t>
  </si>
  <si>
    <t xml:space="preserve">NEOVIA "La Nouvelle Voie"</t>
  </si>
  <si>
    <t>e.gonot@neovia-tp.fr</t>
  </si>
  <si>
    <t>http://www.linkedin.com/in/eric-gonot-78820976</t>
  </si>
  <si>
    <t>http://www.neovia-tp.fr</t>
  </si>
  <si>
    <t xml:space="preserve">Le Plessis-Pate</t>
  </si>
  <si>
    <t xml:space="preserve">Le Plessis-Pate, Ile-de-France, France, 91220</t>
  </si>
  <si>
    <t xml:space="preserve">Découvrez nos techniques d'entretien et leurs domaines d'application : Pontage de fissures - Enrobé projeté - Hydrorégénération</t>
  </si>
  <si>
    <t>Covelli</t>
  </si>
  <si>
    <t xml:space="preserve">Ecole de la Construction des Infrastructures et des Réseaux</t>
  </si>
  <si>
    <t>laurent.covelli@ecirtp.fr</t>
  </si>
  <si>
    <t>http://www.linkedin.com/in/laurent-covelli-702679a8</t>
  </si>
  <si>
    <t>http://www.ecirformation.fr</t>
  </si>
  <si>
    <t xml:space="preserve">Mallemort, Provence-Alpes-Cote d'Azur, France, 13370</t>
  </si>
  <si>
    <t>Lene</t>
  </si>
  <si>
    <t>GUIGUES</t>
  </si>
  <si>
    <t>lene@guigues.fr</t>
  </si>
  <si>
    <t>http://www.linkedin.com/in/olivier-l%c3%a9n%c3%a9-45481345</t>
  </si>
  <si>
    <t>http://www.guigues.fr</t>
  </si>
  <si>
    <t xml:space="preserve">Le Castellet</t>
  </si>
  <si>
    <t xml:space="preserve">GUIGUES, l'esprit constructif pour des solutions sobres et décarbonnées.</t>
  </si>
  <si>
    <t>damien.odin@cyprium.fr</t>
  </si>
  <si>
    <t>http://www.linkedin.com/in/damien-odin-32589292</t>
  </si>
  <si>
    <t>Lazard</t>
  </si>
  <si>
    <t>francois.lazard@lazard-sa.com</t>
  </si>
  <si>
    <t>http://www.linkedin.com/in/fran%c3%a7ois-lazard-a2304792</t>
  </si>
  <si>
    <t>Malher</t>
  </si>
  <si>
    <t xml:space="preserve">JOUSSELIN CONSTRUCTION</t>
  </si>
  <si>
    <t>p.malher@jousselin-construction.com</t>
  </si>
  <si>
    <t>http://www.linkedin.com/in/patrice-malher-651496219</t>
  </si>
  <si>
    <t>http://www.jousselin-construction.com</t>
  </si>
  <si>
    <t>Segre</t>
  </si>
  <si>
    <t xml:space="preserve">Rue d'Anjou, Ombree d'Anjou, Pays de la Loire, France, 49420</t>
  </si>
  <si>
    <t xml:space="preserve">JOUSSELIN CONSTRUCTION est une entreprise dynamique spécialisée dans le secteur du bâtiment et de la construction. Forte d'une expertise dans la réalisation de divers projets allant de l'agrandissement d'établissements éducatifs à la construction de logements collectifs, l'équipe dédiée garantit un travail de qualité et dans les délais. Engagés dans la formation et l'apprentissage, nous valorisons également le développement des jeunes talents dans le métier. Nos partenariats solides avec des clients et fournisseurs tels que Pelé Agri Conseil et POINT.P - SGDB France BPE témoignent de notre crédibilité et de notre savoir-faire.</t>
  </si>
  <si>
    <t>Luczak</t>
  </si>
  <si>
    <t xml:space="preserve">Hexa Ingénierie</t>
  </si>
  <si>
    <t>oluczak@hexa-ingenierie.com</t>
  </si>
  <si>
    <t>http://www.linkedin.com/in/olivier-luczak-643459116</t>
  </si>
  <si>
    <t>http://www.hexa-ingenierie.com</t>
  </si>
  <si>
    <t xml:space="preserve">670 Rue Jean Perrin, Douai, Hauts-de-France, France, 59500</t>
  </si>
  <si>
    <t xml:space="preserve">Ingénierie générale du bâtiment, de l’aménagement urbain et de l’environnement. Hexa est votre partenaire de confiance pour tous vos projets</t>
  </si>
  <si>
    <t xml:space="preserve">Président (représentant du)</t>
  </si>
  <si>
    <t>pierre.noiray@jean-spada.fr</t>
  </si>
  <si>
    <t>http://www.linkedin.com/in/pierre-noiray-b68ba642</t>
  </si>
  <si>
    <t>Bassaglia</t>
  </si>
  <si>
    <t>Homyos</t>
  </si>
  <si>
    <t>gbassaglia@homyos.fr</t>
  </si>
  <si>
    <t>http://www.linkedin.com/in/ga%c3%abl-bassaglia-44112644</t>
  </si>
  <si>
    <t>http://www.homyos.fr</t>
  </si>
  <si>
    <t xml:space="preserve">20 Avenue Parmentier, Paris, Ile-de-France, France, 75011</t>
  </si>
  <si>
    <t xml:space="preserve">Homyos réalise votre plan de travaux pour accroitre la performance énergétique de votre logement. Spécialiste en isolation, chauffage et énergie solaire.</t>
  </si>
  <si>
    <t>OneSpace</t>
  </si>
  <si>
    <t>a.karim@onespacetechnologies.com</t>
  </si>
  <si>
    <t>http://www.linkedin.com/in/aniskarim</t>
  </si>
  <si>
    <t>http://www.onespacetechnologies.com</t>
  </si>
  <si>
    <t xml:space="preserve">206 S Wilson St, Rock Hill, South Carolina, United States, 29730</t>
  </si>
  <si>
    <t>Pommellet</t>
  </si>
  <si>
    <t xml:space="preserve">Mon Idéal Artisans</t>
  </si>
  <si>
    <t>damien.pommellet@monideal-artisans.fr</t>
  </si>
  <si>
    <t>http://www.linkedin.com/in/damien-pommellet-3b465319b</t>
  </si>
  <si>
    <t>http://www.monideal-artisans.fr</t>
  </si>
  <si>
    <t xml:space="preserve">4 Rue Jean Rostand, Ploufragan, Bretagne, France, 22440</t>
  </si>
  <si>
    <t>Barthel</t>
  </si>
  <si>
    <t>abarthel@lasoderec.com</t>
  </si>
  <si>
    <t>http://www.linkedin.com/in/aurorebarthel</t>
  </si>
  <si>
    <t>Polisset</t>
  </si>
  <si>
    <t xml:space="preserve">Dirigeant co-fondateur</t>
  </si>
  <si>
    <t xml:space="preserve">Visori Prévention</t>
  </si>
  <si>
    <t>regis.polisset@visori-prevention.fr</t>
  </si>
  <si>
    <t>http://www.linkedin.com/in/r%c3%a9gis-polisset-a0a61748</t>
  </si>
  <si>
    <t>http://www.visori-prevention.fr</t>
  </si>
  <si>
    <t xml:space="preserve">directrice Générale</t>
  </si>
  <si>
    <t xml:space="preserve">GAUTHIER SAS</t>
  </si>
  <si>
    <t>laurence.dupuis@gauthier-sa.fr</t>
  </si>
  <si>
    <t>http://www.linkedin.com/in/laurence-dupuis-6964729a</t>
  </si>
  <si>
    <t>http://www.gauthier-sa.fr</t>
  </si>
  <si>
    <t>DINOBAT</t>
  </si>
  <si>
    <t>william.bon@dinobat.com</t>
  </si>
  <si>
    <t>http://www.linkedin.com/in/william-bon-3051b410a</t>
  </si>
  <si>
    <t>http://www.dinobat.com</t>
  </si>
  <si>
    <t xml:space="preserve">Le Touvet</t>
  </si>
  <si>
    <t xml:space="preserve">Le Cheylas, Auvergne-Rhone-Alpes, France</t>
  </si>
  <si>
    <t xml:space="preserve">Faites pousser vos chantiers avec les tubes de coffrage et carton alvéolaire de DINOBAT. En pilier rond, polygonaux, en plaques horizontales. Découvrez toute la gamme Dinobat.</t>
  </si>
  <si>
    <t>Varache</t>
  </si>
  <si>
    <t xml:space="preserve">Groupe SOFLUX</t>
  </si>
  <si>
    <t>c.varache@sere.soflux.fr</t>
  </si>
  <si>
    <t>http://www.linkedin.com/in/christophe-varache-416854131</t>
  </si>
  <si>
    <t>http://www.soflux.fr</t>
  </si>
  <si>
    <t xml:space="preserve">Gond-Pontouvre, Nouvelle-Aquitaine, France</t>
  </si>
  <si>
    <t xml:space="preserve">Acteur majeur des services multi-fluides, le Groupe SOFLUX accompagne les entreprises pour optimiser la rentabilité de leur projet.</t>
  </si>
  <si>
    <t xml:space="preserve">BEST Consultants</t>
  </si>
  <si>
    <t>b.esteves@best-consultants.fr</t>
  </si>
  <si>
    <t>http://www.linkedin.com/in/bruno-esteves-9109b368</t>
  </si>
  <si>
    <t>http://www.bestconsultants.com.au</t>
  </si>
  <si>
    <t xml:space="preserve">575 Newcastle St, Perth, Western Australia, Australia, 6005</t>
  </si>
  <si>
    <t>Trancon</t>
  </si>
  <si>
    <t xml:space="preserve">NIU INGENIERIE CONSTRUCTION</t>
  </si>
  <si>
    <t>ttrancon@niu-ingenierie-construction.fr</t>
  </si>
  <si>
    <t>http://www.linkedin.com/in/thomas-tran%c3%a7on-5a7b81171</t>
  </si>
  <si>
    <t>http://www.niu-ingenierie-construction.fr</t>
  </si>
  <si>
    <t xml:space="preserve">2 Rue du Bocage, Colombelles, Normandy, France, 14460</t>
  </si>
  <si>
    <t xml:space="preserve">NIU Ingénierie Construction vous apporte son expertise pour mettre en œuvre toutes vos opérations de construction ou de rénovation.</t>
  </si>
  <si>
    <t>Buzon</t>
  </si>
  <si>
    <t xml:space="preserve">Groupe Proxiso</t>
  </si>
  <si>
    <t>regis.buzon@proxiso-est.com</t>
  </si>
  <si>
    <t>http://www.linkedin.com/in/r%c3%a9gis-buzon-533602156</t>
  </si>
  <si>
    <t>http://www.proxiso.com</t>
  </si>
  <si>
    <t xml:space="preserve">ProxIso : Professionnels de la rénovation énergétique pour l'isolation de combles, l'isolation du plancher et le calorifugeage des réseaux.</t>
  </si>
  <si>
    <t>Fatih</t>
  </si>
  <si>
    <t>Gundogdu</t>
  </si>
  <si>
    <t xml:space="preserve">SG BATIMENT</t>
  </si>
  <si>
    <t>fatih.gundogdu@sg-batiment.com</t>
  </si>
  <si>
    <t>http://www.linkedin.com/in/fatih-gundogdu-587262232</t>
  </si>
  <si>
    <t>http://www.sg-batiment.com</t>
  </si>
  <si>
    <t>Nogent-sur-Oise</t>
  </si>
  <si>
    <t xml:space="preserve">Rue Roland Vachette, Nogent-sur-Oise, Hauts-de-France, France, 60180</t>
  </si>
  <si>
    <t xml:space="preserve">STIM TECHNIBAT</t>
  </si>
  <si>
    <t>barthelemy@stimtechnibat.fr</t>
  </si>
  <si>
    <t>http://www.linkedin.com/in/jean-marie-barthelemy-b2780644</t>
  </si>
  <si>
    <t>http://www.stimtechnibat.com</t>
  </si>
  <si>
    <t xml:space="preserve">Montmagny, Ile-de-France, France</t>
  </si>
  <si>
    <t xml:space="preserve">Accueil : Spécialiste de l'enveloppe du bâtiment pour tous les projets de construction et de réhabilitation.</t>
  </si>
  <si>
    <t xml:space="preserve">sud est prevention</t>
  </si>
  <si>
    <t>b.julien@sudestprevention.com</t>
  </si>
  <si>
    <t>http://www.linkedin.com/in/beno%c3%aet-julien-37534454</t>
  </si>
  <si>
    <t>http://www.sudestprevention.com</t>
  </si>
  <si>
    <t xml:space="preserve">17 Chemin Louis Chirpaz, Ecully, Auvergne-Rhone-Alpes, France, 69130</t>
  </si>
  <si>
    <t>v.noel@cybel-extension.com</t>
  </si>
  <si>
    <t>http://www.linkedin.com/in/vincent-no%c3%abl-072830164</t>
  </si>
  <si>
    <t>http://www.cybel-extension.com</t>
  </si>
  <si>
    <t xml:space="preserve">14 Rue Du Bocage, La Chapelle-des-Fougeretz, Bretagne, France, 35520</t>
  </si>
  <si>
    <t>Mirarchi</t>
  </si>
  <si>
    <t>HIMFLOOR</t>
  </si>
  <si>
    <t>m.mirarchi@himfloor.com</t>
  </si>
  <si>
    <t>http://www.linkedin.com/in/martin-mirarchi-ex-fosroc-france-2b295217</t>
  </si>
  <si>
    <t>http://www.himfloor.com</t>
  </si>
  <si>
    <t xml:space="preserve">5 Avenue Eugene Freyssinet, Frepillon, Ile-de-France, France, 95740</t>
  </si>
  <si>
    <t xml:space="preserve">Rénovation de Sol Industriel avec des Revêtements en Résine Epoxy et Polyuréthane - Classements UPEC, PMC, IPRU</t>
  </si>
  <si>
    <t>Bonnefoy</t>
  </si>
  <si>
    <t>c.bonnefoy@groupe-bonnefoy.fr</t>
  </si>
  <si>
    <t>http://www.linkedin.com/in/christophe-bonnefoy-a4626111b</t>
  </si>
  <si>
    <t>Beaudin</t>
  </si>
  <si>
    <t xml:space="preserve">VIVIAN ET CIE</t>
  </si>
  <si>
    <t>f.beaudin@vivian.fr</t>
  </si>
  <si>
    <t>http://www.linkedin.com/in/fr%c3%a9d%c3%a9ric-beaudin-b36714222</t>
  </si>
  <si>
    <t>http://www.vivian.fr</t>
  </si>
  <si>
    <t>Costa</t>
  </si>
  <si>
    <t>SPI-STONEMIX</t>
  </si>
  <si>
    <t>jose@spi-stonemix.fr</t>
  </si>
  <si>
    <t>http://www.linkedin.com/in/jose-da-costa-502a81117</t>
  </si>
  <si>
    <t>http://www.spi-stonemix.fr</t>
  </si>
  <si>
    <t>Roissy-en-France</t>
  </si>
  <si>
    <t xml:space="preserve">Spi-Stonemix est le leader de la pierre reconstituée ou micro-béton. Découvrez nos parements de façade et modénatures sur mesure réalisés en Pétramix®.</t>
  </si>
  <si>
    <t>Becquart</t>
  </si>
  <si>
    <t xml:space="preserve">Co-founder and President at ARRO</t>
  </si>
  <si>
    <t>ARRO</t>
  </si>
  <si>
    <t>arnaud.becquart@tbdgroup.com</t>
  </si>
  <si>
    <t>http://www.linkedin.com/in/arnaud-becquart-03b1965</t>
  </si>
  <si>
    <t>http://www.goarro.com</t>
  </si>
  <si>
    <t xml:space="preserve">38 Place des Pavillons, Lyon, Auvergne-Rhone-Alpes, France, 69007</t>
  </si>
  <si>
    <t>Chavet</t>
  </si>
  <si>
    <t xml:space="preserve">PR INDUSTRIE</t>
  </si>
  <si>
    <t>b.chavet@pr-industrie.com</t>
  </si>
  <si>
    <t>http://www.linkedin.com/in/beno%c3%aet-chavet-680283126</t>
  </si>
  <si>
    <t>http://www.pr-industrie.com</t>
  </si>
  <si>
    <t xml:space="preserve">Rue de Barive, Arnay-le-Duc, Bourgogne-Franche-Comte, France, 21230</t>
  </si>
  <si>
    <t xml:space="preserve">Développement, fabrication et commercialisation d'additifs pour l'amélioration des performances mécaniques des enrobés bitumineux.</t>
  </si>
  <si>
    <t>Kanovitch</t>
  </si>
  <si>
    <t xml:space="preserve">Onyx Projects</t>
  </si>
  <si>
    <t>stephane.kanovitch@kertios.com</t>
  </si>
  <si>
    <t>http://www.linkedin.com/in/stephane-kanovitch</t>
  </si>
  <si>
    <t>http://www.kertios.com</t>
  </si>
  <si>
    <t>Turi</t>
  </si>
  <si>
    <t xml:space="preserve">Liaisons Habitat</t>
  </si>
  <si>
    <t>jt@liaisons-habitat.fr</t>
  </si>
  <si>
    <t>http://www.linkedin.com/in/jimmy-turi-%f0%9f%8f%a1-b050b3156</t>
  </si>
  <si>
    <t>http://www.liaisons-habitat.fr</t>
  </si>
  <si>
    <t xml:space="preserve">9 Rue de l'Amiral Hamelin, Paris, Ile-de-France, France, 75116</t>
  </si>
  <si>
    <t>Colas</t>
  </si>
  <si>
    <t xml:space="preserve">OPN Air</t>
  </si>
  <si>
    <t>jeremy.colas@opnr.fr</t>
  </si>
  <si>
    <t>http://www.linkedin.com/in/j%c3%a9r%c3%a9my-colas-aba220b6</t>
  </si>
  <si>
    <t>http://www.opnr.fr</t>
  </si>
  <si>
    <t>Solaize</t>
  </si>
  <si>
    <t xml:space="preserve">Chemin Departemental 12, Solaize, Auvergne-Rhone-Alpes, France, 69360</t>
  </si>
  <si>
    <t xml:space="preserve">Le Groupe OPNR est expert de la rénovation globale de l'habitat. Avec nos 4 marques RGE et les aides en place, valorisez votre logement.</t>
  </si>
  <si>
    <t>Martinot</t>
  </si>
  <si>
    <t>Rénovtaloc</t>
  </si>
  <si>
    <t>t.martinot@renovtaloc.fr</t>
  </si>
  <si>
    <t>http://www.linkedin.com/in/tom-martinot</t>
  </si>
  <si>
    <t>http://www.renovtaloc.fr</t>
  </si>
  <si>
    <t xml:space="preserve">14 Rue de la Lune, Paris, Ile-de-France, France, 75002</t>
  </si>
  <si>
    <t xml:space="preserve">Estimation travaux en 24h. Entreprise de rénovation intérieure &amp; énergétique pour appartements et bureaux à Paris et en Ile-de-France.</t>
  </si>
  <si>
    <t>Belloc</t>
  </si>
  <si>
    <t xml:space="preserve">INNOVIA DEVELOPPEMENT</t>
  </si>
  <si>
    <t>jcb@innovia.pro</t>
  </si>
  <si>
    <t>http://www.linkedin.com/in/jean-christophe-belloc-90a27a60</t>
  </si>
  <si>
    <t>http://www.innoviadev.com</t>
  </si>
  <si>
    <t xml:space="preserve">7 Rue Edouard Jacques, Paris, Ile-de-France, France, 75014</t>
  </si>
  <si>
    <t>Yaiche</t>
  </si>
  <si>
    <t xml:space="preserve">GYRARD GROUPE</t>
  </si>
  <si>
    <t>g.yaiche@gyrardgroupe.com</t>
  </si>
  <si>
    <t>http://www.linkedin.com/in/gerard-yaiche-a63279197</t>
  </si>
  <si>
    <t>http://www.gyrardgroupe.com</t>
  </si>
  <si>
    <t xml:space="preserve">201 Avenue Laurent Cely, Gennevilliers, Ile-de-France, France, 92230</t>
  </si>
  <si>
    <t>ABARCO</t>
  </si>
  <si>
    <t>jamet@expert-bois.fr</t>
  </si>
  <si>
    <t>http://www.linkedin.com/in/nicolas-jamet-0775b88</t>
  </si>
  <si>
    <t>http://www.expert-bois.fr</t>
  </si>
  <si>
    <t xml:space="preserve">9 Rue des Salamandres, Guerande, Pays de la Loire, France, 44350</t>
  </si>
  <si>
    <t xml:space="preserve">Cabinet d'expertise construction bois et laboratoire d'identification biologique : champignons lignivores, insectes xylophages et essences de bois.</t>
  </si>
  <si>
    <t xml:space="preserve">FPI FRANCE</t>
  </si>
  <si>
    <t>p.boulanger@fpifrance.fr</t>
  </si>
  <si>
    <t>http://www.linkedin.com/in/pascal-boulanger-082b40212</t>
  </si>
  <si>
    <t>http://www.fpifrance.fr</t>
  </si>
  <si>
    <t xml:space="preserve">106 Rue de l'Universite, Paris, Ile-de-France, France, 75007</t>
  </si>
  <si>
    <t>AMOLIA</t>
  </si>
  <si>
    <t>raychristophe@amolia.fr</t>
  </si>
  <si>
    <t>http://www.linkedin.com/in/christophe-ray-07754163</t>
  </si>
  <si>
    <t>http://www.amolia.fr</t>
  </si>
  <si>
    <t xml:space="preserve">1 Boulevard du Massacre, Saint-Herblain, Pays de la Loire, France, 44800</t>
  </si>
  <si>
    <t xml:space="preserve">Expertise en maîtrise d'ouvrage, conduite d'opération, étude de faisabilité, conception, réalisation, programmation, permis, réception,... Intervention Région de Nantes - Pays de Loire - Bretagne - Basse Normandie - Centre - Poitou-Charente...</t>
  </si>
  <si>
    <t>Missemer</t>
  </si>
  <si>
    <t xml:space="preserve">Maisons Brand</t>
  </si>
  <si>
    <t>t.missemer@maisonsbrand.fr</t>
  </si>
  <si>
    <t>http://www.linkedin.com/in/thomas-missemer-3b3a67ab</t>
  </si>
  <si>
    <t>http://www.maisonsbrand.fr</t>
  </si>
  <si>
    <t xml:space="preserve">Colmar, Alsace, France, 68000</t>
  </si>
  <si>
    <t xml:space="preserve">Terrains constructibles, plans de maisons... découvrez toutes les offres de Maisons BRAND, constructeur de maisons individuelles en Alsace !</t>
  </si>
  <si>
    <t>fxrousseau@hexa-ingenierie.com</t>
  </si>
  <si>
    <t>http://www.linkedin.com/in/fran%c3%a7ois-xavier-rousseau-99536190</t>
  </si>
  <si>
    <t>Rayssiguier</t>
  </si>
  <si>
    <t xml:space="preserve">BP Métal</t>
  </si>
  <si>
    <t>ronan.rayssiguier@bpmetal.fr</t>
  </si>
  <si>
    <t>http://www.linkedin.com/in/ronan-rayssiguier-242695b4</t>
  </si>
  <si>
    <t>http://www.bpmetal.fr</t>
  </si>
  <si>
    <t>Landivisiau</t>
  </si>
  <si>
    <t xml:space="preserve">Rue du Ponant, Landivisiau, Brittany, France, 29400</t>
  </si>
  <si>
    <t>Esselinck</t>
  </si>
  <si>
    <t xml:space="preserve">assemblage ingénierie</t>
  </si>
  <si>
    <t>pierre@assemblage.net</t>
  </si>
  <si>
    <t>http://www.linkedin.com/in/pierre-esselinck-3ab265b</t>
  </si>
  <si>
    <t>http://www.assemblage.net</t>
  </si>
  <si>
    <t xml:space="preserve">Ivry-sur-Seine, Ile-de-France, France, 94200</t>
  </si>
  <si>
    <t xml:space="preserve">Assemblage ingénierie rassemble des compétences en ingénierie des structures, en ingénierie environnementale et en projets de développement.</t>
  </si>
  <si>
    <t>Corvez</t>
  </si>
  <si>
    <t>dominique.corvez@xtreee.com</t>
  </si>
  <si>
    <t>http://www.linkedin.com/in/dominique-corvez-9694325</t>
  </si>
  <si>
    <t>Alletru</t>
  </si>
  <si>
    <t xml:space="preserve">Directeur général et direction commerciale</t>
  </si>
  <si>
    <t>michael.alletru@atlantic-modulaire.fr</t>
  </si>
  <si>
    <t>http://www.linkedin.com/in/micha%c3%abl-alletru-a50145b2</t>
  </si>
  <si>
    <t xml:space="preserve">Compagnie Parisienne d'Entreprises Générales PARENGE</t>
  </si>
  <si>
    <t>e.coppi@parenge.fr</t>
  </si>
  <si>
    <t>http://www.linkedin.com/in/eric-coppi-901ba91a1</t>
  </si>
  <si>
    <t>http://www.parenge.fr</t>
  </si>
  <si>
    <t xml:space="preserve">7 Avenue Leon Harmel, Antony, Ile-de-France, France, 92160</t>
  </si>
  <si>
    <t xml:space="preserve">OUEST ETANCHE</t>
  </si>
  <si>
    <t>laurent.jacob@ouestetanche.com</t>
  </si>
  <si>
    <t>http://www.linkedin.com/in/laurent-jacob-67227b43</t>
  </si>
  <si>
    <t>http://www.ouestetanche.com</t>
  </si>
  <si>
    <t>Landeronde</t>
  </si>
  <si>
    <t xml:space="preserve">Landeronde, Pays de la Loire, France</t>
  </si>
  <si>
    <t>Frayssinhes-Garcia</t>
  </si>
  <si>
    <t xml:space="preserve">Dirigeant - Président &amp; associé</t>
  </si>
  <si>
    <t>EXTEND</t>
  </si>
  <si>
    <t>kevin@extend.fr</t>
  </si>
  <si>
    <t>http://www.linkedin.com/in/k%c3%a9vin-frayssinhes-garcia-51465b6b</t>
  </si>
  <si>
    <t>http://www.extend.fr</t>
  </si>
  <si>
    <t xml:space="preserve">3 Rue du Segalar, Lescure-d'Albigeois, Occitanie, France, 81380</t>
  </si>
  <si>
    <t xml:space="preserve">Extend à Albi - Tarn - Aveyron, les dernières innovations pour votre maison. Neuf - Rénovation, vérandas, fenêtres, pergolas, stores, portails</t>
  </si>
  <si>
    <t>Luah</t>
  </si>
  <si>
    <t xml:space="preserve">X-Projects Construction</t>
  </si>
  <si>
    <t>pluah@xprojects-construction.com</t>
  </si>
  <si>
    <t>http://www.linkedin.com/in/philipluah</t>
  </si>
  <si>
    <t>http://www.xprojectsconstruction.com</t>
  </si>
  <si>
    <t xml:space="preserve">17 Allee Gaston Defferre, Neuilly-sur-Marne, Ile-de-France, France, 93330</t>
  </si>
  <si>
    <t>Ilyas</t>
  </si>
  <si>
    <t>Ouchani</t>
  </si>
  <si>
    <t xml:space="preserve">Helix Construction</t>
  </si>
  <si>
    <t>ouchani@helix-btp.fr</t>
  </si>
  <si>
    <t>http://www.linkedin.com/in/ilyas-ouchani-52520b86</t>
  </si>
  <si>
    <t>http://www.helix-btp.fr</t>
  </si>
  <si>
    <t xml:space="preserve">Denver, Colorado, United States</t>
  </si>
  <si>
    <t>Dalis</t>
  </si>
  <si>
    <t xml:space="preserve">ALTI CITY</t>
  </si>
  <si>
    <t>sdalis@alticity.fr</t>
  </si>
  <si>
    <t>http://www.linkedin.com/in/st%c3%a9phane-dalis-63525815b</t>
  </si>
  <si>
    <t>http://www.alticity.eu</t>
  </si>
  <si>
    <t>Landerneau</t>
  </si>
  <si>
    <t xml:space="preserve">Guipavas, Brittany, France</t>
  </si>
  <si>
    <t xml:space="preserve">Alti City, les Alpinistes Brestois du Bâtiment. Tous les travaux d’accès difficiles en hauteur et sur cordes sur la Bretagne et la région ouest.</t>
  </si>
  <si>
    <t xml:space="preserve">Fondateur Dirigeant Entrepreneur</t>
  </si>
  <si>
    <t>Eneos</t>
  </si>
  <si>
    <t>luc.flye@eneos.pro</t>
  </si>
  <si>
    <t>http://www.linkedin.com/in/luc-flye-sainte-marie-eneos</t>
  </si>
  <si>
    <t>http://www.eneos.pro</t>
  </si>
  <si>
    <t xml:space="preserve">Bassens, Nouvelle-Aquitaine, France</t>
  </si>
  <si>
    <t xml:space="preserve">Eneos, Partenaire de vos projets d'amélioration de la performance globale de vos bâtiments : ingénierie énergétique, maitrise d'oeuvre rénovation et fluides, études énergie renouvelable ENR, économie d'énergie du bâtiment.</t>
  </si>
  <si>
    <t xml:space="preserve">CAT INGENIERIE</t>
  </si>
  <si>
    <t>colletguillaume@cat-ingenierie.fr</t>
  </si>
  <si>
    <t>http://www.linkedin.com/in/guillaume-collet-15063a106</t>
  </si>
  <si>
    <t>http://www.cat-ingenierie.fr</t>
  </si>
  <si>
    <t xml:space="preserve">36 Rue Gallieni, Asnieres-sur-Seine, Ile-de-France, France, 92600</t>
  </si>
  <si>
    <t>Kuehn</t>
  </si>
  <si>
    <t>BluePad</t>
  </si>
  <si>
    <t>michel.kuehn@bluepad.fr</t>
  </si>
  <si>
    <t>http://www.linkedin.com/in/michel-kuehn-435367122</t>
  </si>
  <si>
    <t>http://www.bluepad.fr</t>
  </si>
  <si>
    <t xml:space="preserve">2 Rue Thomas Edison, Metz, Grand Est, France, 57070</t>
  </si>
  <si>
    <t>Minot</t>
  </si>
  <si>
    <t xml:space="preserve">Groupe Minot</t>
  </si>
  <si>
    <t>s.minot@minot.fr</t>
  </si>
  <si>
    <t>http://www.linkedin.com/in/samuel-minot-18a260155</t>
  </si>
  <si>
    <t>http://www.groupeminot.fr</t>
  </si>
  <si>
    <t xml:space="preserve">Arnas, Rhone-Alpes, France, 69400</t>
  </si>
  <si>
    <t xml:space="preserve">Le groupe Minot, spécialiste des charpentes bois, ossatures bois et structures bois présent dans toute la France</t>
  </si>
  <si>
    <t>Lapendry</t>
  </si>
  <si>
    <t>slapendry@youse-dev.com</t>
  </si>
  <si>
    <t>http://www.linkedin.com/in/s%c3%a9bastien-lapendry-03499b36</t>
  </si>
  <si>
    <t>Demulier</t>
  </si>
  <si>
    <t xml:space="preserve">AMOEX CONSEILS</t>
  </si>
  <si>
    <t>h.demulier@amoex-conseils.fr</t>
  </si>
  <si>
    <t>http://www.linkedin.com/in/herve-demulier-459a3860</t>
  </si>
  <si>
    <t>http://www.amoex-conseils.fr</t>
  </si>
  <si>
    <t xml:space="preserve">885 Rue Louis Breguet, Calais, Hauts-de-France, France, 62100</t>
  </si>
  <si>
    <t xml:space="preserve">Amoex Conseil vous accompagne et vous conseille dans vos projets de construction. Maître d’ouvrage, Architecte ou autre acteur du bâtiment, diverses compétences sont proposées</t>
  </si>
  <si>
    <t>Williot</t>
  </si>
  <si>
    <t xml:space="preserve">DANEY Constructions Métalliques</t>
  </si>
  <si>
    <t>pierre-yves.williot@daney.fr</t>
  </si>
  <si>
    <t>http://www.linkedin.com/in/pierre-yves-williot-a48658194</t>
  </si>
  <si>
    <t>http://www.daney.fr</t>
  </si>
  <si>
    <t xml:space="preserve">Savignac, Aquitaine, France</t>
  </si>
  <si>
    <t xml:space="preserve">L’entreprise DANEY est présente à Savignac en Gironde est spécialisé dans la construction de charpente métallique</t>
  </si>
  <si>
    <t>Cellier</t>
  </si>
  <si>
    <t xml:space="preserve">Fondateur &amp; Directeur Général</t>
  </si>
  <si>
    <t xml:space="preserve">AVOLTIS Rénovation</t>
  </si>
  <si>
    <t>colas.cellier@avoltis.com</t>
  </si>
  <si>
    <t>http://www.linkedin.com/in/colas-cellier-794b9b25</t>
  </si>
  <si>
    <t>http://www.avoltisrenovation.com</t>
  </si>
  <si>
    <t xml:space="preserve">Conception et Réalisation de Travaux de Rénovation. Chiffrage Immédiat en Ligne. Accompagnement sur-mesure. Suivi Chantier de A à Z. Artisans Qualifiés.</t>
  </si>
  <si>
    <t>Labussiere</t>
  </si>
  <si>
    <t>MECOWORKS</t>
  </si>
  <si>
    <t>christophe.labussiere@mecoworks.com</t>
  </si>
  <si>
    <t>http://www.linkedin.com/in/christophe-labussiere-a855b272</t>
  </si>
  <si>
    <t>http://www.mecoworks.com</t>
  </si>
  <si>
    <t>Lioret</t>
  </si>
  <si>
    <t xml:space="preserve">Groupe GECEHA</t>
  </si>
  <si>
    <t>cyril.lioret@geceha.com</t>
  </si>
  <si>
    <t>http://www.linkedin.com/in/cyril-lioret-927198a5</t>
  </si>
  <si>
    <t>http://www.geceha.com</t>
  </si>
  <si>
    <t>Combs-la-Ville</t>
  </si>
  <si>
    <t xml:space="preserve">6 Rue du 8 Mai 1945, Boissy-Saint-Leger, Ile-de-France, France, 94470</t>
  </si>
  <si>
    <t xml:space="preserve">Métiers de services liés au secteur du génie climatique, de l’énergie, et du développement durable</t>
  </si>
  <si>
    <t>Ghezzi</t>
  </si>
  <si>
    <t xml:space="preserve">Ghezzi Menuiserie</t>
  </si>
  <si>
    <t>o.ghezzi@ghezzimenuiserie.fr</t>
  </si>
  <si>
    <t>http://www.linkedin.com/in/olivier-ghezzi-b73689210</t>
  </si>
  <si>
    <t>http://www.ghezzimenuiserie.fr</t>
  </si>
  <si>
    <t>Serviers-et-Labaume</t>
  </si>
  <si>
    <t xml:space="preserve">Uzes, Languedoc-Roussillon, France</t>
  </si>
  <si>
    <t xml:space="preserve">Bienvenue sur le Site Officiel de Ghezzi Menuiserie, basé à Uzès dans le Gard depuis les années 60.</t>
  </si>
  <si>
    <t>DIGISECUR</t>
  </si>
  <si>
    <t>p.pereira@digisecur.fr</t>
  </si>
  <si>
    <t>http://www.linkedin.com/in/digisecur</t>
  </si>
  <si>
    <t>http://www.digisecur.de</t>
  </si>
  <si>
    <t xml:space="preserve">113 Boulevard Soult, Paris, Ile-de-France, France, 75012</t>
  </si>
  <si>
    <t xml:space="preserve">Garden Pool srl</t>
  </si>
  <si>
    <t>m.bruno@gardenpool.fr</t>
  </si>
  <si>
    <t>http://www.linkedin.com/in/maurice-bruno-85929846</t>
  </si>
  <si>
    <t>http://www.gardenpool-piscineintoscana.com</t>
  </si>
  <si>
    <t xml:space="preserve">40 Via Cassia per Siena, San Casciano In Val di Pesa, Toscana, Italy, 50026</t>
  </si>
  <si>
    <t xml:space="preserve">Azienda storica di realizzazione piscine e giardini, nel cuore della Toscana, più di 600 piscine di ogni tipo realizzate ad opera d'arte</t>
  </si>
  <si>
    <t>Francesco</t>
  </si>
  <si>
    <t>Lovison</t>
  </si>
  <si>
    <t xml:space="preserve">Co-Founder at OMNIAWORKS PARIS</t>
  </si>
  <si>
    <t>OMNIAWORKS</t>
  </si>
  <si>
    <t>francesco.lovison@omniaworks.it</t>
  </si>
  <si>
    <t>http://www.linkedin.com/in/francesco-lovison-24133230</t>
  </si>
  <si>
    <t>http://www.omniaworks.it</t>
  </si>
  <si>
    <t xml:space="preserve">135 Via Legione Antonini, Vicenza, Veneto, Italy, 36100</t>
  </si>
  <si>
    <t xml:space="preserve">Le vostre idee sono la nostra forza</t>
  </si>
  <si>
    <t>Oguz</t>
  </si>
  <si>
    <t>Karadag</t>
  </si>
  <si>
    <t xml:space="preserve">Maisons Batige</t>
  </si>
  <si>
    <t>o.karadag@batige.com</t>
  </si>
  <si>
    <t>http://www.linkedin.com/in/oguz-karadag-78617716b</t>
  </si>
  <si>
    <t>http://www.batige.fr</t>
  </si>
  <si>
    <t xml:space="preserve">80 Rue de la Gare, Bartenheim, Alsace, France, 68870</t>
  </si>
  <si>
    <t xml:space="preserve">Batige consacre son énergie et ses compétences à un unique métier, la construction de maisons individuelles en Alsace dans le Haut-Rhin. Batige : Constructeur de Maisons Neuves Haut-Rhin</t>
  </si>
  <si>
    <t>Pigeau</t>
  </si>
  <si>
    <t xml:space="preserve">Origine Structures Bureau d'études</t>
  </si>
  <si>
    <t>pigeau@be-origine.com</t>
  </si>
  <si>
    <t>http://www.linkedin.com/in/paul-pigeau-bab1331ba</t>
  </si>
  <si>
    <t>http://www.be-origine.com</t>
  </si>
  <si>
    <t xml:space="preserve">61 Rue du Chateau d'Eau, Bordeaux, Nouvelle-Aquitaine, France, 33000</t>
  </si>
  <si>
    <t xml:space="preserve">Le bureau d'études Origine Structures est spécialisé dans l'accompagnement, la réalisation d'ouvrages bois, métal, béton à Paris et Bordeaux.</t>
  </si>
  <si>
    <t>Elsen</t>
  </si>
  <si>
    <t>MULTIDECK</t>
  </si>
  <si>
    <t>p.elsen@multideck.fr</t>
  </si>
  <si>
    <t>http://www.linkedin.com/in/pierre-elsen-6557b41b9</t>
  </si>
  <si>
    <t>http://www.multideck.fr</t>
  </si>
  <si>
    <t>Saint-Brevin-les-Pins</t>
  </si>
  <si>
    <t xml:space="preserve">Saint-Viaud, Pays de la Loire, France, 44320</t>
  </si>
  <si>
    <t>Andrew</t>
  </si>
  <si>
    <t>Puddu</t>
  </si>
  <si>
    <t>ekwipt</t>
  </si>
  <si>
    <t>andrew@ekwipt.fr</t>
  </si>
  <si>
    <t>http://www.linkedin.com/in/andrew-puddu-5112461a6</t>
  </si>
  <si>
    <t>http://www.ekwipt.fr</t>
  </si>
  <si>
    <t xml:space="preserve">63 Rue Andre Bollier, Lyon, Auvergne-Rhone-Alpes, France, 69007</t>
  </si>
  <si>
    <t xml:space="preserve">Audit, installation, dépannage et maintenance dans les énergies du bâtiment : climatisation, chauffage, ventilation, etc. Nous intervenons dans le Rhône et les Alpes-Maritimes.</t>
  </si>
  <si>
    <t>EDMI</t>
  </si>
  <si>
    <t>s.girard@edmi-elec.fr</t>
  </si>
  <si>
    <t>http://www.linkedin.com/in/sylvain-girard-103b65a2</t>
  </si>
  <si>
    <t>http://www.edmi-elec.fr</t>
  </si>
  <si>
    <t xml:space="preserve">1C Traverse des Aubepines, Vif, Auvergne-Rhone-Alpes, France, 38450</t>
  </si>
  <si>
    <t xml:space="preserve">EDMI GROUP, entreprise d'électricité et d'énergies renouvelables intervient dans l'étude, l'installation et la maintenance de vos projets liés à l'électricité industrielle et tertiaire.</t>
  </si>
  <si>
    <t>Acquier</t>
  </si>
  <si>
    <t>SEMDAS</t>
  </si>
  <si>
    <t>patrice.acquier@semdas.fr</t>
  </si>
  <si>
    <t>http://www.linkedin.com/in/patrice-acquier-76175095</t>
  </si>
  <si>
    <t>http://www.semdas.fr</t>
  </si>
  <si>
    <t xml:space="preserve">85 Boulevard de la Republique, La Rochelle, Poitou-Charentes, France, 17000</t>
  </si>
  <si>
    <t xml:space="preserve">Accompagner les entreprises et collectivités dans leurs investissements, projets d’aménagement, et constructions diverses en Charente-Maritime.</t>
  </si>
  <si>
    <t>Bion</t>
  </si>
  <si>
    <t xml:space="preserve">SAS TURLIER GOZARD ELECTRICITE GENERALE</t>
  </si>
  <si>
    <t>j.bion@tgeg-electricite.com</t>
  </si>
  <si>
    <t>http://www.linkedin.com/in/jordan-bion-731637144</t>
  </si>
  <si>
    <t>http://www.tgeg-electricite.com</t>
  </si>
  <si>
    <t>Yzeure</t>
  </si>
  <si>
    <t xml:space="preserve">Yzeure, Auvergne-Rhone-Alpes, France, 03400</t>
  </si>
  <si>
    <t>jean-christophe.pierron@vestack.com</t>
  </si>
  <si>
    <t>http://www.linkedin.com/in/jean-christophe-pierron-07203b31</t>
  </si>
  <si>
    <t>Katell</t>
  </si>
  <si>
    <t>Commaret</t>
  </si>
  <si>
    <t xml:space="preserve">Mericom Archi</t>
  </si>
  <si>
    <t>katell@mericom.archi</t>
  </si>
  <si>
    <t>http://www.linkedin.com/in/katell-commaret-a9a11087</t>
  </si>
  <si>
    <t>http://www.mericom.archi</t>
  </si>
  <si>
    <t xml:space="preserve">14 Rue Recteur Schmitt, Nantes, Pays de la Loire, France, 44300</t>
  </si>
  <si>
    <t xml:space="preserve">Mericom.archi est l’équipe pluridisciplinaire d’architectes, d’ingénieurs, de professionnels du bâtiment qui déploie son savoir-faire sur le Grand Ouest</t>
  </si>
  <si>
    <t>Hanoy</t>
  </si>
  <si>
    <t xml:space="preserve">ENERA Conseil</t>
  </si>
  <si>
    <t>michael.hanoy@enera.fr</t>
  </si>
  <si>
    <t>http://www.linkedin.com/in/michael-hanoy-567a503</t>
  </si>
  <si>
    <t>http://www.enera.fr</t>
  </si>
  <si>
    <t xml:space="preserve">6b Boulevard Diderot, Paris, Ile-de-France, France, 75012</t>
  </si>
  <si>
    <t xml:space="preserve">Enera Conseil vous guide vers une gestion énergétique efficace. Profitez de notre savoir-faire en conseils durables pour maximiser vos ressources et minimiser votre impact sur l'environnement.</t>
  </si>
  <si>
    <t xml:space="preserve">S2T INGENIERIE</t>
  </si>
  <si>
    <t>jerome.mathieu@s2t.fr</t>
  </si>
  <si>
    <t>http://www.linkedin.com/in/jerome-mathieu-39932a25</t>
  </si>
  <si>
    <t>http://www.s2t.fr</t>
  </si>
  <si>
    <t>Decremps</t>
  </si>
  <si>
    <t xml:space="preserve">DECREMPS BTP</t>
  </si>
  <si>
    <t>ydecremps@decremps.fr</t>
  </si>
  <si>
    <t>http://www.linkedin.com/in/yann-decremps-9876aa1a2</t>
  </si>
  <si>
    <t>http://www.decremps-btp.fr</t>
  </si>
  <si>
    <t xml:space="preserve">326 Rue de Pierre Longue, Amancy, Auvergne-Rhone-Alpes, France, 74800</t>
  </si>
  <si>
    <t xml:space="preserve">Decremps BTP, entreprise de travaux publics BTP à Amancy en Haute-Savoie 74 (entre La Roche sur Foron 74 et Bonneville 74). Decremps BTP intervient depuis 1972 auprès des professionnels, communes, départements, régions, grands donneurs d’ordres, mais aussi des particuliers sur des travaux de terrassements de masses, plateformes, travaux en rivières &amp; enrochement, travaux en montagne, démolition, minage, VRD, voiries et aménagements, canalisations et réseaux, réseaux, canons à neige, génie civil et maçonnerie, déneigement, bureau d’études, transport et location, concassage, recyclage &amp; environnement.</t>
  </si>
  <si>
    <t>Anastasio</t>
  </si>
  <si>
    <t>SNRB</t>
  </si>
  <si>
    <t>j.anastasio@snrb.fr</t>
  </si>
  <si>
    <t>http://www.linkedin.com/in/anastasio-j%c3%a9r%c3%b4me-052450b3</t>
  </si>
  <si>
    <t>http://www.snrb.fr</t>
  </si>
  <si>
    <t xml:space="preserve">Ermont, Ile-de-France, France</t>
  </si>
  <si>
    <t xml:space="preserve">Inventez l'avenir, nous le construisons</t>
  </si>
  <si>
    <t>Musa</t>
  </si>
  <si>
    <t xml:space="preserve">SPEED ECHAFAUDAGES</t>
  </si>
  <si>
    <t>m.meric@speed-echafaudages.fr</t>
  </si>
  <si>
    <t>http://www.linkedin.com/in/musa-meric-9357a2217</t>
  </si>
  <si>
    <t>http://www.speedechafaudages.com</t>
  </si>
  <si>
    <t xml:space="preserve">115 Route d'Orleans, Montlhery, Ile-de-France, France, 91310</t>
  </si>
  <si>
    <t>Gallard</t>
  </si>
  <si>
    <t xml:space="preserve">Directeur général associé spécialisé dans le Bâtiment et la construction béton, bois et acier</t>
  </si>
  <si>
    <t>d.gallard@boisseau-batiment.com</t>
  </si>
  <si>
    <t>http://www.linkedin.com/in/damien-gallard-0b372a100</t>
  </si>
  <si>
    <t xml:space="preserve">IPH Ingénierie</t>
  </si>
  <si>
    <t>direction@iph-bet.fr</t>
  </si>
  <si>
    <t>http://www.linkedin.com/in/virgile-brochard-693968106</t>
  </si>
  <si>
    <t>http://www.iph-bet.fr</t>
  </si>
  <si>
    <t xml:space="preserve">831 Rue Quentin de La Tour, Harly, Hauts-de-France, France, 02100</t>
  </si>
  <si>
    <t>Tixier</t>
  </si>
  <si>
    <t xml:space="preserve">Co-founder and R&amp;D lead at SafetyAI</t>
  </si>
  <si>
    <t xml:space="preserve">Safety Function</t>
  </si>
  <si>
    <t>antoine.tixier@safetyfunction.com</t>
  </si>
  <si>
    <t>http://www.linkedin.com/in/antoine-tixier-b6bb8b40</t>
  </si>
  <si>
    <t>http://www.safetyfunction.com</t>
  </si>
  <si>
    <t xml:space="preserve">Boulder, Colorado, United States</t>
  </si>
  <si>
    <t xml:space="preserve">2RT ETANCHEITE</t>
  </si>
  <si>
    <t>yannick.beaud@2rt-etancheite.fr</t>
  </si>
  <si>
    <t>http://www.linkedin.com/in/yannick-beaud-068177bb</t>
  </si>
  <si>
    <t>http://www.2rt-etancheite.fr</t>
  </si>
  <si>
    <t xml:space="preserve">5 Rue Marius Berliet, Chazay-d'Azergues, Auvergne-Rhone-Alpes, France, 69380</t>
  </si>
  <si>
    <t xml:space="preserve">Bienvenue chez 2RT ÉTANCHÉITÉ. Réalisations de travaux d'étanchéité, revêtements spéciaux, résines de sols et réparations structurelles.</t>
  </si>
  <si>
    <t>Heim</t>
  </si>
  <si>
    <t xml:space="preserve">MODULO PROTECT</t>
  </si>
  <si>
    <t>vivien.heim@modulo-protect.fr</t>
  </si>
  <si>
    <t>http://www.linkedin.com/in/vivien-heim-260582144</t>
  </si>
  <si>
    <t>http://www.modulo-protect.fr</t>
  </si>
  <si>
    <t xml:space="preserve">16 Rue des Tulipes, Muttersholtz, Grand Est, France, 67600</t>
  </si>
  <si>
    <t>Chaplain</t>
  </si>
  <si>
    <t xml:space="preserve">Facildata le bâtiment performant et responsable</t>
  </si>
  <si>
    <t>mathieu.chaplain@facildata.com</t>
  </si>
  <si>
    <t>http://www.linkedin.com/in/mathieu-chaplain</t>
  </si>
  <si>
    <t>http://www.facildata.com</t>
  </si>
  <si>
    <t xml:space="preserve">1 Rue Michelet, Ivry-sur-Seine, Ile-de-France, France, 94200</t>
  </si>
  <si>
    <t xml:space="preserve">Organisez facilement la gestion de maintenance des bâtiments et équipements avec le QR code. L'information en temps réel au bureau et en 1 scan en intervention.</t>
  </si>
  <si>
    <t>Salvaggio</t>
  </si>
  <si>
    <t xml:space="preserve">Co dirigeant - Co fondateur</t>
  </si>
  <si>
    <t xml:space="preserve">MAISONS CLAIRE</t>
  </si>
  <si>
    <t>antoinesalvaggio@maisonsclaire.com</t>
  </si>
  <si>
    <t>http://www.linkedin.com/in/antoine-salvaggio-49232b61</t>
  </si>
  <si>
    <t>http://www.maisonsclaire.com</t>
  </si>
  <si>
    <t xml:space="preserve">Rue des Pres, Hauconcourt, Grand Est, France, 57280</t>
  </si>
  <si>
    <t xml:space="preserve">Maisons Claire, acteur incontournable de la construction de maisons individuelles en Lorraine (Metz, Thionville, Nancy, St Avold), conçoit des projets sur mesure adaptés à vos besoins, envies et budget. Contrat sécurisé (CCMI), garanties légales et délais respectés. Visitez notre showroom à Hauconcourt pour découvrir nos matériaux et vous projeter dans votre future maison contemporaine ou traditionnelle</t>
  </si>
  <si>
    <t>Maury</t>
  </si>
  <si>
    <t xml:space="preserve">PLOMBERIE PAVAN</t>
  </si>
  <si>
    <t>guilhemmaury@plomberiepavan.fr</t>
  </si>
  <si>
    <t>http://www.linkedin.com/in/guilhem-maury</t>
  </si>
  <si>
    <t>http://www.plomberiepavan.fr</t>
  </si>
  <si>
    <t xml:space="preserve">20 Rue Jorgi Reboul, Marseille, Provence-Alpes-Cote d'Azur, France, 13015</t>
  </si>
  <si>
    <t>Cazeaux</t>
  </si>
  <si>
    <t xml:space="preserve">Groupe Eovest</t>
  </si>
  <si>
    <t>a.cazeaux@eovest.fr</t>
  </si>
  <si>
    <t>http://www.linkedin.com/in/audrey-cazeaux-47ba93a6</t>
  </si>
  <si>
    <t>http://www.eovest.fr</t>
  </si>
  <si>
    <t xml:space="preserve">11 Rue Pierre et Marie Curie, Bruges, Aquitaine, France, 33520</t>
  </si>
  <si>
    <t xml:space="preserve">EOVEST regroupe aujourd’hui 6 filiales expertes dans les métiers du bâtiment : gros-œuvre, entreprise générale, promotion immobilière et services. Eovest se positionne comme un acteur économique régional engagé.</t>
  </si>
  <si>
    <t>Costet</t>
  </si>
  <si>
    <t xml:space="preserve">KEOPS INGENIERIE</t>
  </si>
  <si>
    <t>thibault@keops-ingenierie.com</t>
  </si>
  <si>
    <t>http://www.linkedin.com/in/thibault-costet-1bb7b7b2</t>
  </si>
  <si>
    <t>http://www.keops-ingenierie.com</t>
  </si>
  <si>
    <t xml:space="preserve">17 Allee du Lac d'Aiguebelette, Le Bourget-du-Lac, Auvergne-Rhone-Alpes, France, 73370</t>
  </si>
  <si>
    <t xml:space="preserve">Generated by create next app</t>
  </si>
  <si>
    <t>Plotton</t>
  </si>
  <si>
    <t xml:space="preserve">SERMECA Stéphanoise</t>
  </si>
  <si>
    <t>plotton.j@sermeca.fr</t>
  </si>
  <si>
    <t>http://www.linkedin.com/in/j%c3%a9r%c3%a9my-plotton-102082163</t>
  </si>
  <si>
    <t>http://www.sermeca.fr</t>
  </si>
  <si>
    <t xml:space="preserve">La Ricamarie, Rhone-Alpes, France</t>
  </si>
  <si>
    <t xml:space="preserve">Sermeca stéphanoise</t>
  </si>
  <si>
    <t>Benoist</t>
  </si>
  <si>
    <t xml:space="preserve">Sèvre Loire Habitat</t>
  </si>
  <si>
    <t>jeremy.benoist@slh-habitat.fr</t>
  </si>
  <si>
    <t>http://www.linkedin.com/in/j%c3%a9r%c3%a9my-benoist-97b91b135</t>
  </si>
  <si>
    <t>http://www.slh-habitat.fr</t>
  </si>
  <si>
    <t>L'Herbergement</t>
  </si>
  <si>
    <t xml:space="preserve">34 Rue de Saint-Christophe, Cholet, Pays de la Loire, France, 49300</t>
  </si>
  <si>
    <t>Perreton</t>
  </si>
  <si>
    <t xml:space="preserve">CAP METROPOLE</t>
  </si>
  <si>
    <t>joseph.perreton@capmetropole.fr</t>
  </si>
  <si>
    <t>http://www.linkedin.com/in/joseph-perreton-bb504519b</t>
  </si>
  <si>
    <t>http://www.capmetropole.fr</t>
  </si>
  <si>
    <t xml:space="preserve">Saint-Etienne, Auvergne-Rhone-Alpes, France</t>
  </si>
  <si>
    <t xml:space="preserve">Nos missions</t>
  </si>
  <si>
    <t>Piantoni</t>
  </si>
  <si>
    <t xml:space="preserve">Cosepi France</t>
  </si>
  <si>
    <t>laura.piantoni@cosepi.fr</t>
  </si>
  <si>
    <t>http://www.linkedin.com/in/laura-piantoni-b8000012a</t>
  </si>
  <si>
    <t>http://www.cosepi-france-btp.fr</t>
  </si>
  <si>
    <t xml:space="preserve">32 Avenue Beau de Rochas, Aiglun, Provence-Alpes-Cote d'Azur, France, 04510</t>
  </si>
  <si>
    <t xml:space="preserve">COSEPI France, maçonnerie générale et gros œuvre, située à Aiglun dans la région Provence-Alpes-Côte d'Azur, met toutes ses compétences à votre service.</t>
  </si>
  <si>
    <t xml:space="preserve">Azur Alu</t>
  </si>
  <si>
    <t>mohamed@azuralu.com</t>
  </si>
  <si>
    <t>http://www.linkedin.com/in/mohamed-badaoui-0139a5113</t>
  </si>
  <si>
    <t>http://www.azuralusarl.com</t>
  </si>
  <si>
    <t xml:space="preserve">2 Rue Zone Industrie la Valliere, Saint-Andre-de-la-Roche, Provence-Alpes-Cote d'Azur, France, 06730</t>
  </si>
  <si>
    <t>Moutarlier</t>
  </si>
  <si>
    <t>SYS&amp;COM</t>
  </si>
  <si>
    <t>gilles.moutarlier@sys-et-com.fr</t>
  </si>
  <si>
    <t>http://www.linkedin.com/in/gilles-moutarlier-2392baa8</t>
  </si>
  <si>
    <t>http://www.sys-et-com.fr</t>
  </si>
  <si>
    <t xml:space="preserve">5 Rue Hoche, Montreuil, Ile-de-France, France, 93100</t>
  </si>
  <si>
    <t>Chaouki</t>
  </si>
  <si>
    <t xml:space="preserve">7 concept</t>
  </si>
  <si>
    <t>chsalame@7concept.fr</t>
  </si>
  <si>
    <t>http://www.linkedin.com/in/chaouki-salame-808b5665</t>
  </si>
  <si>
    <t>http://www.7concept.fr</t>
  </si>
  <si>
    <t xml:space="preserve">8 Quai de Bir-Hakeim, Saint-Maurice, Ile-de-France, France, 94410</t>
  </si>
  <si>
    <t>JC</t>
  </si>
  <si>
    <t>Pratt-Delzenne</t>
  </si>
  <si>
    <t>Builda</t>
  </si>
  <si>
    <t>jc@builda.dev</t>
  </si>
  <si>
    <t>http://www.linkedin.com/in/jc-pratt-delzenne-5687646b</t>
  </si>
  <si>
    <t>http://www.builda.se</t>
  </si>
  <si>
    <t xml:space="preserve">12A Metodvaegen, Moelnlycke, Vaestra Goetaland County, Sweden, 435 33</t>
  </si>
  <si>
    <t>Cayron</t>
  </si>
  <si>
    <t xml:space="preserve">SEE LAVABRE ALAIN</t>
  </si>
  <si>
    <t>laurent.cayron@seelavabrealain.com</t>
  </si>
  <si>
    <t>http://www.linkedin.com/in/laurent-cayron-140382a0</t>
  </si>
  <si>
    <t>http://www.seelavabrealain.com</t>
  </si>
  <si>
    <t xml:space="preserve">Les Clayes-sous-Bois, Ile-de-France, France</t>
  </si>
  <si>
    <t xml:space="preserve">LAVABRE&amp;LECAMME - Entreprise spécialisée en CHAUFFAGE - PLOMBERIE - POMPE A CHALEUR - CLIMATISATION - SALLE DE BAIN</t>
  </si>
  <si>
    <t>Puyperoux</t>
  </si>
  <si>
    <t xml:space="preserve">CFLC Groupe</t>
  </si>
  <si>
    <t>b.puyperoux@cplc.fr</t>
  </si>
  <si>
    <t>http://www.linkedin.com/in/beatrice-puyperoux</t>
  </si>
  <si>
    <t>http://www.cflc.fr</t>
  </si>
  <si>
    <t>Ciciarelli</t>
  </si>
  <si>
    <t xml:space="preserve">CICIARELLI ALU</t>
  </si>
  <si>
    <t>direction@ciciarelli.com</t>
  </si>
  <si>
    <t>http://www.linkedin.com/in/florian-ciciarelli-3b2712125</t>
  </si>
  <si>
    <t>http://www.ciciarelli.com</t>
  </si>
  <si>
    <t>Caissargues</t>
  </si>
  <si>
    <t xml:space="preserve">Caissargues, Occitanie, France, 30132</t>
  </si>
  <si>
    <t xml:space="preserve">Pour Ciciarelli Alu être Aluminier Agréé Technal c'est :.Un honneur d'avoir été choisi par Technal pour représenter l'excellence du 1er réseau français de menui...</t>
  </si>
  <si>
    <t>Roullies</t>
  </si>
  <si>
    <t>s.roullies@bee-cycle.fr</t>
  </si>
  <si>
    <t>http://www.linkedin.com/in/itfactor</t>
  </si>
  <si>
    <t>http://www.bee-cycle.fr</t>
  </si>
  <si>
    <t>Iltis</t>
  </si>
  <si>
    <t xml:space="preserve">Maisons Stéphane Berger</t>
  </si>
  <si>
    <t>iltis@stephaneberger.com</t>
  </si>
  <si>
    <t>http://www.linkedin.com/in/jerome-iltis-8a146199</t>
  </si>
  <si>
    <t>http://www.stephaneberger.com</t>
  </si>
  <si>
    <t xml:space="preserve">15 Rue de Didenheim, Mulhouse, Alsace, France, 68200</t>
  </si>
  <si>
    <t xml:space="preserve">Pour la construction de votre maison individuelle en Alsace et Franche-Comté, faites appel au Constructeur Maisons Stéphane Berger.</t>
  </si>
  <si>
    <t>Bacholle</t>
  </si>
  <si>
    <t xml:space="preserve">Directeur associé, directeur général d'Office Santé Services</t>
  </si>
  <si>
    <t xml:space="preserve">OFFICE SANTÉ</t>
  </si>
  <si>
    <t>antoinebacholle@officesante.com</t>
  </si>
  <si>
    <t>http://www.linkedin.com/in/antoine-bacholle-b5b48522</t>
  </si>
  <si>
    <t>http://www.officesante.com</t>
  </si>
  <si>
    <t xml:space="preserve">Avec les soignants, au service des patients et au coeur des territoires, Office Santé accompagne et bâtit les maisons de santé.</t>
  </si>
  <si>
    <t>Andrieu</t>
  </si>
  <si>
    <t>SICEP</t>
  </si>
  <si>
    <t>andrieu@sicep.fr</t>
  </si>
  <si>
    <t>http://www.linkedin.com/in/r%c3%a9mi-andrieu-2641055b</t>
  </si>
  <si>
    <t>http://www.sicep.fr</t>
  </si>
  <si>
    <t>Laguepie</t>
  </si>
  <si>
    <t xml:space="preserve">2 rue du Moulin, Laguepie, Occitanie, France, 82250</t>
  </si>
  <si>
    <t xml:space="preserve">SICEP vous accompagne dans vos projets d'aménagements, de réhabilitations et de constructions de locaux industriels, commerciaux et tertiaires.
SICEP Architecture vous accompagne sur des constructions commerciales et industrielles.
CSM (contractant général) offre une solution clés en main.</t>
  </si>
  <si>
    <t>Beucher</t>
  </si>
  <si>
    <t>LEMAIRE-TRICOTEL</t>
  </si>
  <si>
    <t>beucher@lemaire-tricotel.fr</t>
  </si>
  <si>
    <t>http://www.linkedin.com/in/emmanuel-beucher-b2250a23a</t>
  </si>
  <si>
    <t>http://www.lemaire-tricotel.fr</t>
  </si>
  <si>
    <t>Saint-Ouen-l'Aumone</t>
  </si>
  <si>
    <t xml:space="preserve">Saint-Ouen-l'Aumone, Ile-de-France, France</t>
  </si>
  <si>
    <t xml:space="preserve">Forte de sa collaboration avec les meilleures marques de clôtures et portails, Lemaire-Tricotel s’inscrit comme la référence en région parisienne. Fabricant de clôtures et portails, notre entreprise saura trouver la solution adéquate que votre projet soit standard ou sur mesures.</t>
  </si>
  <si>
    <t>Rock</t>
  </si>
  <si>
    <t>luc.rock@deco-charpente.fr</t>
  </si>
  <si>
    <t>http://www.linkedin.com/in/luc-rock-72781729a</t>
  </si>
  <si>
    <t>Forcalqueiret</t>
  </si>
  <si>
    <t>Bect</t>
  </si>
  <si>
    <t xml:space="preserve">BECT SAS</t>
  </si>
  <si>
    <t>gerard.bect@bect-sas.fr</t>
  </si>
  <si>
    <t>http://www.linkedin.com/in/bect-g%c3%a9rard-gerard-7a4899107</t>
  </si>
  <si>
    <t>http://www.bect-sas.fr</t>
  </si>
  <si>
    <t xml:space="preserve">124 Chemin du Fond Mourand, Marcollin, Auvergne-Rhone-Alpes, France, 38270</t>
  </si>
  <si>
    <t>Porto</t>
  </si>
  <si>
    <t xml:space="preserve">CP ETOILE</t>
  </si>
  <si>
    <t>jose.porto@cpetoile.fr</t>
  </si>
  <si>
    <t>http://www.linkedin.com/in/jos%c3%a9-porto-395977112</t>
  </si>
  <si>
    <t>http://www.cpetoile.com</t>
  </si>
  <si>
    <t>Rio</t>
  </si>
  <si>
    <t>aLiSa.D</t>
  </si>
  <si>
    <t>rio@alisa-depollution.com</t>
  </si>
  <si>
    <t>http://www.linkedin.com/in/olivier-rio-339b99169</t>
  </si>
  <si>
    <t>http://www.alisa-depollution.com</t>
  </si>
  <si>
    <t xml:space="preserve">331 Rue du Galibot, Lallaing, Hauts-de-France, France, 59167</t>
  </si>
  <si>
    <t>Blandin</t>
  </si>
  <si>
    <t xml:space="preserve">Design Constructions &amp; Associés</t>
  </si>
  <si>
    <t>eric.blandin@designconstructions.com</t>
  </si>
  <si>
    <t>http://www.linkedin.com/in/%c3%a9ric-blandin</t>
  </si>
  <si>
    <t>http://www.designconstructions.com</t>
  </si>
  <si>
    <t xml:space="preserve">123 Rue Couraye, Granville, Lower Normandy, France, 50400</t>
  </si>
  <si>
    <t xml:space="preserve">Design Constructions, constructeur de maisons individuelles sur-mesure à Granville, Saint-Malo, Avranches, Dinard, Dinan et Rennes. Spécialiste de l'extension et de la rénovation.</t>
  </si>
  <si>
    <t>Mahaut</t>
  </si>
  <si>
    <t xml:space="preserve">STYLIQUE Paris</t>
  </si>
  <si>
    <t>mahaut@stylique.eu</t>
  </si>
  <si>
    <t>http://www.linkedin.com/in/laurent-mahaut-35404519</t>
  </si>
  <si>
    <t>http://www.stylique.eu</t>
  </si>
  <si>
    <t xml:space="preserve">15 Rue du Petit Albi, Cergy, Ile-de-France, France, 95800</t>
  </si>
  <si>
    <t xml:space="preserve">Stylique vous accompagne de la genèse à l'acheminement de votre projet d'aménagement de votre espace professionnel intérieur.</t>
  </si>
  <si>
    <t>Fitoussi</t>
  </si>
  <si>
    <t xml:space="preserve">OpenBox Co Design&amp;Build</t>
  </si>
  <si>
    <t>david.fitoussi@openbox-codb.com</t>
  </si>
  <si>
    <t>http://www.linkedin.com/in/david-fitoussi</t>
  </si>
  <si>
    <t>http://www.openbox-codb.com</t>
  </si>
  <si>
    <t xml:space="preserve">Conception-réalisation de plateformes logistiques, bâtiments industriels, bureaux, en Co Design&amp;Build : engagements de résultats, transparence, collaboration et partage d'économies, contractant général</t>
  </si>
  <si>
    <t>Leveillet</t>
  </si>
  <si>
    <t>p.leveillet@moderlab.com</t>
  </si>
  <si>
    <t>http://www.linkedin.com/in/pierre-leveillet-a365b227</t>
  </si>
  <si>
    <t>http://www.moderlab.com</t>
  </si>
  <si>
    <t xml:space="preserve">17 Rue Van Loo, Paris, Ile-de-France, France, 75016</t>
  </si>
  <si>
    <t>Stahl</t>
  </si>
  <si>
    <t xml:space="preserve">G2A Electricité</t>
  </si>
  <si>
    <t>g.stahl@koessler.fr</t>
  </si>
  <si>
    <t>http://www.linkedin.com/in/gr%c3%a9gory-stahl-8423921a0</t>
  </si>
  <si>
    <t>http://www.g2a-electricite.fr</t>
  </si>
  <si>
    <t xml:space="preserve">Brumath, Alsace-Champagne-Ardenne-Lorraine, France, 67170</t>
  </si>
  <si>
    <t xml:space="preserve">Entreprise d'électricité dans le Bas-Rhin (67), les électriciens G2A Electricité réalisent l'électricité générale, solutions connectées, entretien et maintenance.</t>
  </si>
  <si>
    <t xml:space="preserve">KALOWRIE Industrie</t>
  </si>
  <si>
    <t>gilles.bertrand@holding-goeland.fr</t>
  </si>
  <si>
    <t>http://www.linkedin.com/in/gilles-bertrand-1074ab136</t>
  </si>
  <si>
    <t>http://www.vincent-isolation.fr</t>
  </si>
  <si>
    <t xml:space="preserve">Domloup, Brittany, France</t>
  </si>
  <si>
    <t>ARGILUS</t>
  </si>
  <si>
    <t>julien.blanchard@argilus.fr</t>
  </si>
  <si>
    <t>http://www.linkedin.com/in/julien-blanchard-a2232980</t>
  </si>
  <si>
    <t>http://www.argilus.fr</t>
  </si>
  <si>
    <t xml:space="preserve">Rives-de-l'Yon, Pays de la Loire, France, 85310</t>
  </si>
  <si>
    <t>Guiton</t>
  </si>
  <si>
    <t xml:space="preserve">Groupe Guiton</t>
  </si>
  <si>
    <t>cyrille.guiton@guiton-constructions.fr</t>
  </si>
  <si>
    <t>http://www.linkedin.com/in/cyrille-guiton-113785a4</t>
  </si>
  <si>
    <t>http://www.groupe-guiton.fr</t>
  </si>
  <si>
    <t xml:space="preserve">Chevigny-Saint-Sauveur, Bourgogne-Franche-Comte, France, 21800</t>
  </si>
  <si>
    <t xml:space="preserve">Le Groupe Guiton prend en charge la conception de vos bâtiments professionnels à Dijon et dans toute la région Bourgogne-Franche-Comté.</t>
  </si>
  <si>
    <t>Guivarc'h</t>
  </si>
  <si>
    <t>stephaneguivarch@officesante.com</t>
  </si>
  <si>
    <t>http://www.linkedin.com/in/stephane-guivarc-h-3bb1a753</t>
  </si>
  <si>
    <t>t.guillot@soflux.fr</t>
  </si>
  <si>
    <t>http://www.linkedin.com/in/thierry-guillot-64b07587</t>
  </si>
  <si>
    <t>Delikaya</t>
  </si>
  <si>
    <t>ROC</t>
  </si>
  <si>
    <t>umit.delikaya@rocsas.fr</t>
  </si>
  <si>
    <t>http://www.linkedin.com/in/%c3%bcmit-delikaya-21470a7a</t>
  </si>
  <si>
    <t>http://www.rocsas.fr</t>
  </si>
  <si>
    <t xml:space="preserve">1 Rue de la Marne, Saint-Thibault-des-Vignes, Ile-de-France, France, 77400</t>
  </si>
  <si>
    <t>IBA</t>
  </si>
  <si>
    <t>denis.bertin@iba-nantes.fr</t>
  </si>
  <si>
    <t>http://www.linkedin.com/in/denis-bertin-7b164820b</t>
  </si>
  <si>
    <t>http://www.iba-nantes.fr</t>
  </si>
  <si>
    <t xml:space="preserve">Vertou, Pays de la Loire, France</t>
  </si>
  <si>
    <t xml:space="preserve">Notre bureau d’études spécialisé en dimensionnement des bâtiments, vous accompagne dans les études de structures (béton, bois, métal), fluides et thermiques.</t>
  </si>
  <si>
    <t>Ghit</t>
  </si>
  <si>
    <t xml:space="preserve">ATLAS Géotechnique</t>
  </si>
  <si>
    <t>y.ghit@atlas-geotechnique.fr</t>
  </si>
  <si>
    <t>http://www.linkedin.com/in/youcef-ghit-a89a9a1b</t>
  </si>
  <si>
    <t>http://www.atlas-geotechnique.fr</t>
  </si>
  <si>
    <t xml:space="preserve">1 Rue Mona Lisa, Lisses, Ile-de-France, France, 91090</t>
  </si>
  <si>
    <t xml:space="preserve">Atlas Géotechnique, votre bureau d’étude technique pragmatique, efficace et à l’écoute spécialisé dans les études géotechniques.</t>
  </si>
  <si>
    <t xml:space="preserve">Trianon Résidences</t>
  </si>
  <si>
    <t>c.simonin@buildandconnect.eu</t>
  </si>
  <si>
    <t>http://www.linkedin.com/in/c%c3%a9dric-simonin-a17b81a3</t>
  </si>
  <si>
    <t>http://www.trianon-residences.fr</t>
  </si>
  <si>
    <t xml:space="preserve">Route de Thann, Lutterbach, Grand Est, France, 68460</t>
  </si>
  <si>
    <t xml:space="preserve">Devenez propriétaire avec Trianon Résidences, faites le choix de l’appartement neuf ! Découvrez nos résidences éco-responsables !</t>
  </si>
  <si>
    <t xml:space="preserve">Hugues Construction</t>
  </si>
  <si>
    <t>lionel-hugues@hugues-construction.fr</t>
  </si>
  <si>
    <t>http://www.linkedin.com/in/lionel-hugues-76399973</t>
  </si>
  <si>
    <t>http://www.hugues-construction.fr</t>
  </si>
  <si>
    <t>Lancon-Provence</t>
  </si>
  <si>
    <t xml:space="preserve">Lancon-Provence, Provence-Alpes-Cote d'Azur, France, 13680</t>
  </si>
  <si>
    <t xml:space="preserve">Hugues Construction est une entreprise de construction à taille humaine intervant sur le gros oeuvre, le génie civil et les bâtiments industriels dans les Bouches du Rhônes.</t>
  </si>
  <si>
    <t>Azzeddine</t>
  </si>
  <si>
    <t>Dellani</t>
  </si>
  <si>
    <t xml:space="preserve">ECOMAC CONSTRUCTION</t>
  </si>
  <si>
    <t>a.dellani@ecomac-construction.fr</t>
  </si>
  <si>
    <t>http://www.linkedin.com/in/azzeddine-dellani-b0182954</t>
  </si>
  <si>
    <t>http://www.ecomac-construction.fr</t>
  </si>
  <si>
    <t xml:space="preserve">Beauvais, Picardy, France</t>
  </si>
  <si>
    <t>Verrier</t>
  </si>
  <si>
    <t>manuel@buildrz.io</t>
  </si>
  <si>
    <t>http://www.linkedin.com/in/manuel-verrier-b3ba4322</t>
  </si>
  <si>
    <t>Inguanta</t>
  </si>
  <si>
    <t xml:space="preserve">ART DECO PISCINE</t>
  </si>
  <si>
    <t>joseph.inguanta@artdecopiscine.fr</t>
  </si>
  <si>
    <t>http://www.linkedin.com/in/joseph-inguanta-b92525116</t>
  </si>
  <si>
    <t>http://www.artdecopiscine.fr</t>
  </si>
  <si>
    <t xml:space="preserve">116 Boulevard de la Pomme, Marseille, Provence-Alpes-Cote d'Azur, France, 13011</t>
  </si>
  <si>
    <t>Temmerman</t>
  </si>
  <si>
    <t>ABA</t>
  </si>
  <si>
    <t>alain@a-b-a.fr</t>
  </si>
  <si>
    <t>http://www.linkedin.com/in/alain-de-temmerman</t>
  </si>
  <si>
    <t>http://www.a-b-a.fr</t>
  </si>
  <si>
    <t xml:space="preserve">Rue des Sablons, Meung-sur-Loire, Centre, France, 45130</t>
  </si>
  <si>
    <t xml:space="preserve">A.B.A - Aménagement Bureaux et Ateliers expert en cloison amovible Orléans, faux plafond, isolation, aménagement intérieur. cloison Orléans</t>
  </si>
  <si>
    <t>Baudry</t>
  </si>
  <si>
    <t xml:space="preserve">Carré et Associés</t>
  </si>
  <si>
    <t>lbaudry@sarlcarre.fr</t>
  </si>
  <si>
    <t>http://www.linkedin.com/in/lbaudry</t>
  </si>
  <si>
    <t>http://www.sarlcarre.fr</t>
  </si>
  <si>
    <t xml:space="preserve">Fontenay-le-Comte, Pays de la Loire, France</t>
  </si>
  <si>
    <t xml:space="preserve">Depuis 1920, nous accompagnons professionnels et particuliers dans leurs projets énergétiques, génie-climatique, chaudières ou salles de bain.</t>
  </si>
  <si>
    <t>Cihat</t>
  </si>
  <si>
    <t xml:space="preserve">TCI BAT</t>
  </si>
  <si>
    <t>c.ciftci@tci-batiment.fr</t>
  </si>
  <si>
    <t>http://www.linkedin.com/in/cihat-ciftci-60b5a0145</t>
  </si>
  <si>
    <t>http://www.tci-batiment.fr</t>
  </si>
  <si>
    <t xml:space="preserve">381 Rue Marcel Paul, Champigny-sur-Marne, Ile-de-France, France, 94500</t>
  </si>
  <si>
    <t>Clemenceau</t>
  </si>
  <si>
    <t>GEOEXPERTS</t>
  </si>
  <si>
    <t>m.clemenceau@geoexperts.fr</t>
  </si>
  <si>
    <t>http://www.linkedin.com/in/mathieu-clemenceau-88b97560</t>
  </si>
  <si>
    <t>http://www.geoexperts.fr</t>
  </si>
  <si>
    <t xml:space="preserve">C4C Études &amp; Expertises</t>
  </si>
  <si>
    <t>acollin@c-4-c.fr</t>
  </si>
  <si>
    <t>http://www.linkedin.com/in/aur%c3%a9lien-collin-61780912a</t>
  </si>
  <si>
    <t>http://www.c4c-etudes-expertises.fr</t>
  </si>
  <si>
    <t xml:space="preserve">5 Rue de la Galmy, Chessy, Ile-de-France, France, 77700</t>
  </si>
  <si>
    <t xml:space="preserve">Société C4C, Amiante, Plomb, Travaux, AMO, MOE, Maître d'œuvre, Surveillance, Direction de travaux, Pilotage, Coordination, Expertise, Repérage</t>
  </si>
  <si>
    <t>Foucaut</t>
  </si>
  <si>
    <t>claire.foucaut@porcheron.com</t>
  </si>
  <si>
    <t>http://www.linkedin.com/in/claire-foucaut-b03825239</t>
  </si>
  <si>
    <t>THP</t>
  </si>
  <si>
    <t>olivier.dupont@thp.fr</t>
  </si>
  <si>
    <t>http://www.linkedin.com/in/olivier-dupont-60a4901a</t>
  </si>
  <si>
    <t>http://www.thp.fr</t>
  </si>
  <si>
    <t xml:space="preserve">Saint-Denis-de-Pile, Aquitaine-Limousin-Poitou-Charentes, France, 33910</t>
  </si>
  <si>
    <t xml:space="preserve">THP est spécialisée dans l'Hydrodémolition et l'Ultra Haute Pression UHP. Techniques Haute Pression a consolidé au cours de ces quinze dernières années sa position de leader sur le marché de l'hydrodynamique UHP en France. Basées près de Bordeaux, les équipes THP interviennent toute l'année dans toute la france.</t>
  </si>
  <si>
    <t>Renard</t>
  </si>
  <si>
    <t xml:space="preserve">CEO &amp; Owner</t>
  </si>
  <si>
    <t>B.C.R</t>
  </si>
  <si>
    <t>guillaume.renard@b-c-r.fr</t>
  </si>
  <si>
    <t>http://www.linkedin.com/in/grenard</t>
  </si>
  <si>
    <t>http://www.b-c-r.fr</t>
  </si>
  <si>
    <t xml:space="preserve">26 Rue de Piscop, Saint-Brice-sous-Foret, Ile-de-France, France, 95350</t>
  </si>
  <si>
    <t>Bruneau</t>
  </si>
  <si>
    <t xml:space="preserve">AVANTAGES SECURITE</t>
  </si>
  <si>
    <t>remi.bruneau@avantagessecurite.com</t>
  </si>
  <si>
    <t>http://www.linkedin.com/in/avantagessecurite</t>
  </si>
  <si>
    <t>http://www.systemedecontroledacces.com</t>
  </si>
  <si>
    <t xml:space="preserve">645 Rue Mayor de Montricher, Aix-en-Provence, Provence-Alpes-Cote d'Azur, France, 13290</t>
  </si>
  <si>
    <t xml:space="preserve">Depuis plus de 20 ans, AVANTAGES sert ses clients grands comptes, PME et Collectivités de la région Sud-Est avec des solutions de sécurité clefs en mains.</t>
  </si>
  <si>
    <t>Quisserne</t>
  </si>
  <si>
    <t>david.quisserne@ae75.fr</t>
  </si>
  <si>
    <t>http://www.linkedin.com/in/david-quisserne-a0449719</t>
  </si>
  <si>
    <t>Dethan</t>
  </si>
  <si>
    <t xml:space="preserve">INEX BET</t>
  </si>
  <si>
    <t>guillaume.dethan@inex.fr</t>
  </si>
  <si>
    <t>http://www.linkedin.com/in/dethanguillaume</t>
  </si>
  <si>
    <t>http://www.inex.fr</t>
  </si>
  <si>
    <t xml:space="preserve">2 Rue Rabelais, Montreuil, Ile-de-France, France, 93100</t>
  </si>
  <si>
    <t xml:space="preserve">INEX est un bureau d’études techniques et environnementales spécialisé en fluides : CVC, Electricité, Incendie, Thermique, Environnement, Urbanisme, CFD...</t>
  </si>
  <si>
    <t>e.dupuis@gauthier-sa.fr</t>
  </si>
  <si>
    <t>http://www.linkedin.com/in/eliott-dupuis-21219337</t>
  </si>
  <si>
    <t>Radufe</t>
  </si>
  <si>
    <t xml:space="preserve">MENUISERIES NICOLAS</t>
  </si>
  <si>
    <t>david.radufe@menuiseries-nicolas.fr</t>
  </si>
  <si>
    <t>http://www.linkedin.com/in/radufe-david-41b90b188</t>
  </si>
  <si>
    <t>http://www.menuiseriesnicolas.fr</t>
  </si>
  <si>
    <t>Lanvollon</t>
  </si>
  <si>
    <t xml:space="preserve">Rue Saint-Hubert, Lanvollon, Bretagne, France, 22290</t>
  </si>
  <si>
    <t xml:space="preserve">Menuiseries NICOLAS dispose d'un savoir-faire artisanal qui conjugue l'utilisation des nouvelles technologies pour apporter une réponse de professionnel à chaque demande. En bois, en aluminium ou en PVC, tous les produits Menuiseries NICOLAS obéissent aux mêmes exigences de fabrication et de finition et font l'objet de contrôles rigoureux.</t>
  </si>
  <si>
    <t xml:space="preserve">GROUPE BML</t>
  </si>
  <si>
    <t>b.laurent@groupebml.fr</t>
  </si>
  <si>
    <t>http://www.linkedin.com/in/benjamin-laurent-3bb6a773</t>
  </si>
  <si>
    <t>http://www.groupebml.fr</t>
  </si>
  <si>
    <t xml:space="preserve">Rue du Stade, Fresnes, Ile-de-France, France, 94260</t>
  </si>
  <si>
    <t>Saqib</t>
  </si>
  <si>
    <t>Arshad</t>
  </si>
  <si>
    <t xml:space="preserve">GTE ELEC</t>
  </si>
  <si>
    <t>s.arshad@gte-elec.fr</t>
  </si>
  <si>
    <t>http://www.linkedin.com/in/saqib-arshad-157251193</t>
  </si>
  <si>
    <t>http://www.gte-elec.fr</t>
  </si>
  <si>
    <t xml:space="preserve">3 Rue des Longues Raies, Moussy-le-Neuf, Ile-de-France, France, 77230</t>
  </si>
  <si>
    <t xml:space="preserve">Bienvenue chez GTE, spécialisée en installation électrique, courants forts et faibles. Nos domaines d'interventions concernent les professionnels. Maintenant que vous êtes au courant, n'hésitez pas à visiter notre site.</t>
  </si>
  <si>
    <t>Fiastre</t>
  </si>
  <si>
    <t xml:space="preserve">GROUPE BIR</t>
  </si>
  <si>
    <t>vfiastre@groupebir.fr</t>
  </si>
  <si>
    <t>http://www.linkedin.com/in/val%c3%a9rie-fiastre-9628a7210</t>
  </si>
  <si>
    <t>http://www.groupebir.fr</t>
  </si>
  <si>
    <t>Bidaux</t>
  </si>
  <si>
    <t>MABI</t>
  </si>
  <si>
    <t>obidaux@mabi.fr</t>
  </si>
  <si>
    <t>http://www.linkedin.com/in/olivier-bidaux-5a1793100</t>
  </si>
  <si>
    <t>http://www.mabi.fr</t>
  </si>
  <si>
    <t>Botans</t>
  </si>
  <si>
    <t xml:space="preserve">8 Z.A.C. des Saules, Botans, Bourgogne-Franche-Comte, France, 90400</t>
  </si>
  <si>
    <t>Huvier</t>
  </si>
  <si>
    <t xml:space="preserve">TSO REALI</t>
  </si>
  <si>
    <t>s.huvier@tso-reali.fr</t>
  </si>
  <si>
    <t>http://www.linkedin.com/in/sylvain-huvier-356b2b9a</t>
  </si>
  <si>
    <t>http://www.tso-reali.fr</t>
  </si>
  <si>
    <t>Vert-le-Petit</t>
  </si>
  <si>
    <t xml:space="preserve">9 Rue des Entrepreneurs, Crosne, Ile-de-France, France, 91560</t>
  </si>
  <si>
    <t>Euromib</t>
  </si>
  <si>
    <t>mario@euromib.fr</t>
  </si>
  <si>
    <t>http://www.linkedin.com/in/mario-vaz-alves-5b065b111</t>
  </si>
  <si>
    <t>http://www.euromib.fr</t>
  </si>
  <si>
    <t xml:space="preserve">21 Rue de la Mare a Tissier, Saint-Pierre-du-Perray, Ile-de-France, France, 91280</t>
  </si>
  <si>
    <t>Cordani</t>
  </si>
  <si>
    <t xml:space="preserve">RHP COMBLES</t>
  </si>
  <si>
    <t>fs@rhp-combles.com</t>
  </si>
  <si>
    <t>http://www.linkedin.com/in/laurent-cordani-8401271ba</t>
  </si>
  <si>
    <t>http://www.rhp-combles.com</t>
  </si>
  <si>
    <t>Quetteville</t>
  </si>
  <si>
    <t xml:space="preserve">Le Mesnil, Quetteville, Normandie, France, 14130</t>
  </si>
  <si>
    <t xml:space="preserve">Experte dans l'aménagement de combles perdus, RHP Combles transforme les charpentes à fermettes industrielles en bois ou acier en combles aménagés.</t>
  </si>
  <si>
    <t xml:space="preserve">Fregonese Échafaudages</t>
  </si>
  <si>
    <t>sebastien.moulin@fregonese.fr</t>
  </si>
  <si>
    <t>http://www.linkedin.com/in/sebastien-moulin-53806914a</t>
  </si>
  <si>
    <t>http://www.fregonese.fr</t>
  </si>
  <si>
    <t xml:space="preserve">6 Rue Desaix, Mundolsheim, Grand Est, France, 67450</t>
  </si>
  <si>
    <t xml:space="preserve">FREGONESE &amp; FILS Location d'échafaudages et étaiement en Alsace, Lorraine et franche Comté</t>
  </si>
  <si>
    <t xml:space="preserve">CA REFRACTORIES FRANCE</t>
  </si>
  <si>
    <t>s.pau@ca-rf.com</t>
  </si>
  <si>
    <t>http://www.linkedin.com/in/stephane-pau-35562795</t>
  </si>
  <si>
    <t>http://www.ca-rf.com</t>
  </si>
  <si>
    <t xml:space="preserve">515 Avenue des Chasseens, Gardanne, Provence-Alpes-Cote d'Azur, France, 13120</t>
  </si>
  <si>
    <t xml:space="preserve">RENOBAT PACA</t>
  </si>
  <si>
    <t>b.rigaud@renobat-paca.com</t>
  </si>
  <si>
    <t>http://www.linkedin.com/in/bertrand-rigaud-696b94b0</t>
  </si>
  <si>
    <t>http://www.renobat-paca.com</t>
  </si>
  <si>
    <t xml:space="preserve">1185 Chemin de la Vallee, Aubagne, Provence-Alpes-Cote d'Azur, France, 13400</t>
  </si>
  <si>
    <t xml:space="preserve">Renobat, entreprise de travaux spéciaux pour sortie de péril, intervention après sinistres et autres cas particuliers.</t>
  </si>
  <si>
    <t xml:space="preserve">Directeur général BUREAU D'ETUDES QSB VANNES</t>
  </si>
  <si>
    <t>christophe.ollivier@qsb.fr</t>
  </si>
  <si>
    <t>http://www.linkedin.com/in/christophe-ollivier-079a2814b</t>
  </si>
  <si>
    <t>Zeig</t>
  </si>
  <si>
    <t>Immolib</t>
  </si>
  <si>
    <t>benjamin@immolib.fr</t>
  </si>
  <si>
    <t>http://www.linkedin.com/in/benjaminzeig</t>
  </si>
  <si>
    <t>http://www.immolib.fr</t>
  </si>
  <si>
    <t xml:space="preserve">Découvrez Immolib, la start-up qui vous simplifie l'immobilier. Construire, Rénover, Décorer en toute simplicité</t>
  </si>
  <si>
    <t>L'helgoualc'h</t>
  </si>
  <si>
    <t xml:space="preserve">Synergie Forage</t>
  </si>
  <si>
    <t>a.lhelgoualch@vestallia.com</t>
  </si>
  <si>
    <t>http://www.linkedin.com/in/augustin-l-helgoualc-h-b7981383</t>
  </si>
  <si>
    <t>http://www.vestallia.com</t>
  </si>
  <si>
    <t>Bain</t>
  </si>
  <si>
    <t xml:space="preserve">SAS APPR</t>
  </si>
  <si>
    <t>b.bain@appr91.com</t>
  </si>
  <si>
    <t>http://www.linkedin.com/in/baptiste-bain-918618146</t>
  </si>
  <si>
    <t>http://www.appr91.com</t>
  </si>
  <si>
    <t>Marolles-en-Beauce</t>
  </si>
  <si>
    <t xml:space="preserve">APPR est une société spécialisé dans le dégorgement, la réparation de canalisation en tous genre, pompe de relevage, ainsi que les fuites d'eau.</t>
  </si>
  <si>
    <t>Seixas</t>
  </si>
  <si>
    <t xml:space="preserve">Country Manager/Directeur Général</t>
  </si>
  <si>
    <t>QFORT</t>
  </si>
  <si>
    <t>patrick.seixas@qfort.fr</t>
  </si>
  <si>
    <t>http://www.linkedin.com/in/patrick-seixas-2387b69a</t>
  </si>
  <si>
    <t>http://www.qfort.fr</t>
  </si>
  <si>
    <t xml:space="preserve">34 Avenue Marc Sangnier, Villeneuve-la-Garenne, Ile-de-France, France, 92390</t>
  </si>
  <si>
    <t xml:space="preserve">QFORT : Fabricant de menuiseries Aluminium et PVC. Pour tous vos projets de fenêtres, baies vitrées, portes, portail, pergola.</t>
  </si>
  <si>
    <t>Ferro</t>
  </si>
  <si>
    <t xml:space="preserve">Ferro Ingenierie</t>
  </si>
  <si>
    <t>iferro@ferro.fr</t>
  </si>
  <si>
    <t>http://www.linkedin.com/in/ingrid-ferro-0476a7a2</t>
  </si>
  <si>
    <t>http://www.ferro-ingenierie.fr</t>
  </si>
  <si>
    <t xml:space="preserve">25 Rue de la Fosse aux Moines, Perthes, Ile-de-France, France, 77930</t>
  </si>
  <si>
    <t xml:space="preserve">Avec plus de 25 ans d’expérience, Ferro Ingénierie est spécialisé dans l’assistance à maîtrise d’ouvrage et des missions de maîtrise d’œuvre technique en France et à l’international.</t>
  </si>
  <si>
    <t xml:space="preserve">Associate CEO</t>
  </si>
  <si>
    <t xml:space="preserve">GEOTECHNIQUE SAS</t>
  </si>
  <si>
    <t>r.brossard@geotechnique-sas.com</t>
  </si>
  <si>
    <t>http://www.linkedin.com/in/remy-brossard-85997651</t>
  </si>
  <si>
    <t>http://www.geotechnique-sas.com</t>
  </si>
  <si>
    <t xml:space="preserve">140 Rue du Traite de Rome, Avignon, Provence-Alpes-Cote d'Azur, France, 84140</t>
  </si>
  <si>
    <t xml:space="preserve">Bienvenue sur le site du groupe Vinire, spécialiste en sciences de la terre, hydrogéologie, études de sol, Assainissement hydro, essais et contrôles</t>
  </si>
  <si>
    <t>Grollier</t>
  </si>
  <si>
    <t xml:space="preserve">ICF Climatisation</t>
  </si>
  <si>
    <t>maxence.grollier@icf-sarl.com</t>
  </si>
  <si>
    <t>http://www.linkedin.com/in/maxence-grollier-a56972105</t>
  </si>
  <si>
    <t>http://www.icf-sarl.com</t>
  </si>
  <si>
    <t>Saint-Martin-de-Fontenay</t>
  </si>
  <si>
    <t xml:space="preserve">61 Route d'Harcourt, Saint-Martin-de-Fontenay, Normandie, France, 14320</t>
  </si>
  <si>
    <t>Hazim</t>
  </si>
  <si>
    <t>ALLOBUILD</t>
  </si>
  <si>
    <t>hhazim@allobuild.com</t>
  </si>
  <si>
    <t>http://www.linkedin.com/in/hhazim</t>
  </si>
  <si>
    <t>http://www.allobuild.fr</t>
  </si>
  <si>
    <t xml:space="preserve">7 Avenue du General Leclerc, Boulogne-Billancourt, Ile-de-France, France, 92100</t>
  </si>
  <si>
    <t xml:space="preserve">Maintenance et Dépannage , Département Travaux. Astreinte 24/7. Nous intervenons dans toute l’île de France. Tout corps d'état. Paris.</t>
  </si>
  <si>
    <t>Knefel</t>
  </si>
  <si>
    <t xml:space="preserve">COTE OUVERTURE</t>
  </si>
  <si>
    <t>sylvain.knefel@cote-ouverture.fr</t>
  </si>
  <si>
    <t>http://www.linkedin.com/in/sylvain-knefel-984b0410a</t>
  </si>
  <si>
    <t>http://www.cote-ouverture.fr</t>
  </si>
  <si>
    <t>Riorges</t>
  </si>
  <si>
    <t xml:space="preserve">Riorges, Rhone-Alpes, France</t>
  </si>
  <si>
    <t xml:space="preserve">Côté Ouverture entreprise spécialisée dans la conception, fabrication et pose de fenêtres PVC et aluminium à Roanne et en région roannaise</t>
  </si>
  <si>
    <t>Mame</t>
  </si>
  <si>
    <t xml:space="preserve">Cofounder and CEO</t>
  </si>
  <si>
    <t>Batiboom</t>
  </si>
  <si>
    <t>mktraore@batiboom.com</t>
  </si>
  <si>
    <t>http://www.linkedin.com/in/mame-kankou-traore</t>
  </si>
  <si>
    <t>http://www.batiboom.com</t>
  </si>
  <si>
    <t xml:space="preserve">Vous avez des questions ? Veuillez nous contacter au +221 77 836 15 15Voir les programmesVOUS ALLEZ RéUSSIR VOTRE PROJET IMMOBILIER AU Sénégal</t>
  </si>
  <si>
    <t>Bertolani</t>
  </si>
  <si>
    <t xml:space="preserve">BERTOLANI ET FILS</t>
  </si>
  <si>
    <t>ab@bertolani.fr</t>
  </si>
  <si>
    <t>http://www.linkedin.com/in/aurore-bertolani-1a61b924</t>
  </si>
  <si>
    <t>http://www.bertolani.fr</t>
  </si>
  <si>
    <t xml:space="preserve">Houdemont, Lorraine, France</t>
  </si>
  <si>
    <t xml:space="preserve">Bertolani est une entreprise générale de bâtiment, spécialisée dans la rénovation intérieure et extérieure</t>
  </si>
  <si>
    <t xml:space="preserve">Lafaix + Courtadon</t>
  </si>
  <si>
    <t>remy@lafaix.com</t>
  </si>
  <si>
    <t>http://www.linkedin.com/in/r%c3%a9my-s%c3%a9n%c3%a9gas-00973444</t>
  </si>
  <si>
    <t>http://www.lafaix.com</t>
  </si>
  <si>
    <t xml:space="preserve">Pre du Chateau, Murat-le-Quaire, Auvergne-Rhone-Alpes, France, 63150</t>
  </si>
  <si>
    <t xml:space="preserve">Menuiserie, Agencement, Charpente à la Bourboule et dans tout le massif du 
Sancy.</t>
  </si>
  <si>
    <t xml:space="preserve">Hoffmann Green Cement</t>
  </si>
  <si>
    <t>david.hoffmann@ciments-hoffmann.fr</t>
  </si>
  <si>
    <t>http://www.linkedin.com/in/david-hoffmann-337aa486</t>
  </si>
  <si>
    <t>http://www.ciments-hoffmann.fr</t>
  </si>
  <si>
    <t xml:space="preserve">Pionnier du ciment décarboné - Les technologies Hoffmann proposent une alternative et divisent jusque par 5 l'impact carbone du ciment.</t>
  </si>
  <si>
    <t>guillaume.queyras@stam05.fr</t>
  </si>
  <si>
    <t>http://www.linkedin.com/in/guillaume-queyras-b7208858</t>
  </si>
  <si>
    <t>ADECLIM</t>
  </si>
  <si>
    <t>bruno.collet@adeclim.fr</t>
  </si>
  <si>
    <t>http://www.linkedin.com/in/bruno-collet-0aa18519b</t>
  </si>
  <si>
    <t>http://www.adeclim.fr</t>
  </si>
  <si>
    <t xml:space="preserve">6 Rue Newton, La Chapelle-sur-Erdre, Pays de la Loire, France, 44240</t>
  </si>
  <si>
    <t xml:space="preserve">Adeclim, à vos côtés depuis plus de 25 ans pour votre chauffage et votre plomberie, pour les entreprise et le secteur médicale à La Chapelle sur Erdre (44).</t>
  </si>
  <si>
    <t>Ricart</t>
  </si>
  <si>
    <t xml:space="preserve">Batiweb Group</t>
  </si>
  <si>
    <t>nicolas.ricart@batiweb.com</t>
  </si>
  <si>
    <t>http://www.linkedin.com/in/nicolas-ricart-19153714</t>
  </si>
  <si>
    <t>http://www.batiwebgroup.com</t>
  </si>
  <si>
    <t xml:space="preserve">41 Avenue du Centre, Montigny-le-Bretonneux, Ile-de-France, France, 78180</t>
  </si>
  <si>
    <t xml:space="preserve">Depuis plus de 20 ans Batiweb propose un modèle unique permettant de toucher plus de 1 million de professionnels du bâtiment grâce à ses activités de mise en relation</t>
  </si>
  <si>
    <t>Fantou</t>
  </si>
  <si>
    <t xml:space="preserve">CANA OUEST</t>
  </si>
  <si>
    <t>jacques.fantou@cana-ouest.fr</t>
  </si>
  <si>
    <t>http://www.linkedin.com/in/jacques-fantou-271492151</t>
  </si>
  <si>
    <t>http://www.cana-ouest.fr</t>
  </si>
  <si>
    <t xml:space="preserve">Neuville-sur-Sarthe, Pays de la Loire, France, 72190</t>
  </si>
  <si>
    <t xml:space="preserve">CANA-OUEST est une entreprise spécialisée en travaux de pose de canalisation pour transport de fluide : AEP, assainissement, transport gaz et hydrocarbures, protection cathodique et travaux spéciaux. Elle s'emploie à mettre ses compétences et son expérience au service de ses clients : collectivités locales, grands donneurs d’ordre départementaux, régionaux et même nationaux.</t>
  </si>
  <si>
    <t>Jelsch</t>
  </si>
  <si>
    <t xml:space="preserve">Directeur Général et Direction Achats</t>
  </si>
  <si>
    <t>patrice.jelsch@atlantic-modulaire.fr</t>
  </si>
  <si>
    <t>http://www.linkedin.com/in/patrice-jelsch-57b62257</t>
  </si>
  <si>
    <t>Talmont-Saint-Hilaire</t>
  </si>
  <si>
    <t>Lestingi</t>
  </si>
  <si>
    <t xml:space="preserve">Blanc Carrare</t>
  </si>
  <si>
    <t>jacqueline.l@blanc-carrare.com</t>
  </si>
  <si>
    <t>http://www.linkedin.com/in/jacqueline-lestingi-a6b008164</t>
  </si>
  <si>
    <t>http://www.blanc-carrare.com</t>
  </si>
  <si>
    <t xml:space="preserve">10 Rue de Lorraine, Niderviller, Grand Est, France, 57565</t>
  </si>
  <si>
    <t>Boisboréal</t>
  </si>
  <si>
    <t>a.charrier@boisboreal.fr</t>
  </si>
  <si>
    <t>http://www.linkedin.com/in/aliz%c3%a9e-charrier-b576b7131</t>
  </si>
  <si>
    <t>http://www.boisboreal.fr</t>
  </si>
  <si>
    <t>Coex</t>
  </si>
  <si>
    <t xml:space="preserve">8 Rue Joseph Monnier, Coex, Pays de la Loire, France, 85220</t>
  </si>
  <si>
    <t xml:space="preserve">Boisboréal, charpentier, fabricant de bâtiments et logements à ossature boisen en Pays de la Loire, Poitou Charentes et Bretagne.</t>
  </si>
  <si>
    <t>ALTER-NATIVE</t>
  </si>
  <si>
    <t>cecile@alter-native.site</t>
  </si>
  <si>
    <t>http://www.linkedin.com/in/c%c3%a9cile-bello</t>
  </si>
  <si>
    <t>http://www.alter-native.site</t>
  </si>
  <si>
    <t xml:space="preserve">97 Rue General Mangin, Grenoble, Auvergne-Rhone-Alpes, France, 38100</t>
  </si>
  <si>
    <t xml:space="preserve">Profitez d'une vie agréable dans nos résidences pour senior à proximité des commerces &amp; lieux culturels. Découvrez les residences senior Alter-native pour jeunes retraités</t>
  </si>
  <si>
    <t>Heitzler</t>
  </si>
  <si>
    <t>ALTITUD</t>
  </si>
  <si>
    <t>johann.heitzler@altitud-eam.com</t>
  </si>
  <si>
    <t>http://www.linkedin.com/in/johann-heitzler-730a9223b</t>
  </si>
  <si>
    <t>http://www.altitud-eam.com</t>
  </si>
  <si>
    <t>Lorry-les-Metz</t>
  </si>
  <si>
    <t xml:space="preserve">48 Rue Saint Martin, Raucourt, Grand Est, France, 54610</t>
  </si>
  <si>
    <t>Nardot</t>
  </si>
  <si>
    <t xml:space="preserve">Groupe Cii</t>
  </si>
  <si>
    <t>e.nardot@groupecii.fr</t>
  </si>
  <si>
    <t>http://www.linkedin.com/in/%c3%a9ric-nardot-6277b147</t>
  </si>
  <si>
    <t>http://www.groupecii.fr</t>
  </si>
  <si>
    <t xml:space="preserve">Limoges, Limousin, France</t>
  </si>
  <si>
    <t xml:space="preserve">ECO CHAUFFAGE AQUITAINE</t>
  </si>
  <si>
    <t>mathieu@eco-chauffage-aquitaine.fr</t>
  </si>
  <si>
    <t>http://www.linkedin.com/in/mathieu-sarciat-6453a2197</t>
  </si>
  <si>
    <t>http://www.eco-chauffage-aquitaine.fr</t>
  </si>
  <si>
    <t xml:space="preserve">Eco Chauffage Aquitaine  | Pour un meilleur habitat !</t>
  </si>
  <si>
    <t>Morenval</t>
  </si>
  <si>
    <t xml:space="preserve">CEO &amp; Founder at MUANCE</t>
  </si>
  <si>
    <t>MUANCE</t>
  </si>
  <si>
    <t>lionel.morenval@muance.com</t>
  </si>
  <si>
    <t>http://www.linkedin.com/in/lionel-morenval-ba266722</t>
  </si>
  <si>
    <t>http://www.muance.com</t>
  </si>
  <si>
    <t xml:space="preserve">Rue Lisse-Saint-Louis, Aix-en-Provence, Provence-Alpes-Cote d'Azur, France, 13100</t>
  </si>
  <si>
    <t xml:space="preserve">Constructions industrialisées avec matériaux innovants et le numérique pour faire mieux, plus vite, tout en respectant l'environnement.</t>
  </si>
  <si>
    <t>Courdeau</t>
  </si>
  <si>
    <t>REHAS</t>
  </si>
  <si>
    <t>a.courdeau@rehas.fr</t>
  </si>
  <si>
    <t>http://www.linkedin.com/in/antoine-courdeau-b7627b85</t>
  </si>
  <si>
    <t>http://www.rehas.fr</t>
  </si>
  <si>
    <t xml:space="preserve">24 Rue Armand Numes, Asnieres-sur-Seine, Ile-de-France, France, 92600</t>
  </si>
  <si>
    <t>Cheminot</t>
  </si>
  <si>
    <t>n.cheminot@avr-ing.fr</t>
  </si>
  <si>
    <t>http://www.linkedin.com/in/norbert-cheminot-a69578112</t>
  </si>
  <si>
    <t>Demouy</t>
  </si>
  <si>
    <t>hdemouy@demouy.fr</t>
  </si>
  <si>
    <t>http://www.linkedin.com/in/herv%c3%a9-demouy-135656105</t>
  </si>
  <si>
    <t>http://www.demouy.fr</t>
  </si>
  <si>
    <t xml:space="preserve">Clairoix, Hauts-de-France, France</t>
  </si>
  <si>
    <t xml:space="preserve">Spécialisées dans les travaux de génie civil électrique; Demouy dispose de l’expérience et des moyens nécessaires à la réussite de ses chantiers.</t>
  </si>
  <si>
    <t>Aulagnier</t>
  </si>
  <si>
    <t xml:space="preserve">Socobat Aulagnier</t>
  </si>
  <si>
    <t>benjamin.aulagnier@socobat.com</t>
  </si>
  <si>
    <t>http://www.linkedin.com/in/benjamin-aulagnier-183598122</t>
  </si>
  <si>
    <t>http://www.socobat-43.fr</t>
  </si>
  <si>
    <t xml:space="preserve">37 Rue du Kersonnier, Monistrol-sur-Loire, Auvergne, France, 43120</t>
  </si>
  <si>
    <t xml:space="preserve">Maçonnerie Auvergne Rhône Alpes - SOCOBAT propose son expertise pour tous vos besoins en maçonnerie bâtiment et gros œuvre en Haute-Loire 43</t>
  </si>
  <si>
    <t>Aubague</t>
  </si>
  <si>
    <t xml:space="preserve">CTE LYON</t>
  </si>
  <si>
    <t>c.aubague@cte-sa.com</t>
  </si>
  <si>
    <t>http://www.linkedin.com/in/christophe-aubague-5b6979131</t>
  </si>
  <si>
    <t>http://www.cte-sa.com</t>
  </si>
  <si>
    <t>Palaisi</t>
  </si>
  <si>
    <t xml:space="preserve">Grisa Chaudronnerie</t>
  </si>
  <si>
    <t>olivier.palaisi@grisa.fr</t>
  </si>
  <si>
    <t>http://www.linkedin.com/in/olivier-palaisi-98a35410b</t>
  </si>
  <si>
    <t>http://www.grisa.fr</t>
  </si>
  <si>
    <t xml:space="preserve">Voreppe, Rhone-Alpes, France</t>
  </si>
  <si>
    <t xml:space="preserve">Grisa Chaudronnerie est une chaudronnerie industrielle, spécialiste de la conception et fabrication sur-mesure. Livraison en France et à l'International.</t>
  </si>
  <si>
    <t xml:space="preserve">ANTOINE ECHAFAUDAGES</t>
  </si>
  <si>
    <t>laura.antoine@antoine-echafaudages.fr</t>
  </si>
  <si>
    <t>http://www.linkedin.com/in/laura-antoine-298a79203</t>
  </si>
  <si>
    <t>http://www.antoine-echafaudages.fr</t>
  </si>
  <si>
    <t xml:space="preserve">Route Pagny, Vandieres, Grand Est, France, 54121</t>
  </si>
  <si>
    <t>Cartel</t>
  </si>
  <si>
    <t>thomas.cartel@stepelec.fr</t>
  </si>
  <si>
    <t>http://www.linkedin.com/in/thomas-cartel-ba0b3963</t>
  </si>
  <si>
    <t>ARMETON</t>
  </si>
  <si>
    <t>ajoly@armeton.fr</t>
  </si>
  <si>
    <t>http://www.linkedin.com/in/armeton</t>
  </si>
  <si>
    <t>http://www.armeton.fr</t>
  </si>
  <si>
    <t>Venansault</t>
  </si>
  <si>
    <t xml:space="preserve">Venansault, Pays de la Loire, France</t>
  </si>
  <si>
    <t xml:space="preserve">ARMETON - Armatures, portails et bureaux d'études - Entreprise d'armatures pour les béton et de portails en acier - Prescrit et fabrique des armatures pour le béton-armé depuis 1982</t>
  </si>
  <si>
    <t>SWEELCO</t>
  </si>
  <si>
    <t>damien@sweelco.com</t>
  </si>
  <si>
    <t>http://www.linkedin.com/in/mullerdamien</t>
  </si>
  <si>
    <t>http://www.sweelco.com</t>
  </si>
  <si>
    <t xml:space="preserve">6 Rue Thomas Edison, Montreuil-Juigne, Pays de la Loire, France, 49460</t>
  </si>
  <si>
    <t xml:space="preserve">SWEELCO, expert en construction hors-site en ossature métallique, propose des solutions modulaires écologiques et rapides pour des bâtiments durables et sur-mesure.</t>
  </si>
  <si>
    <t xml:space="preserve">BCD INGENIERIE</t>
  </si>
  <si>
    <t>meslem.km@gmi-groupe.fr</t>
  </si>
  <si>
    <t>http://www.linkedin.com/in/karim-meslem-14b546128</t>
  </si>
  <si>
    <t>http://www.global-industrie.fr</t>
  </si>
  <si>
    <t>Seclin</t>
  </si>
  <si>
    <t xml:space="preserve">8 Rue du Fort de Noyelles, Seclin, Hauts-de-France, France, 59113</t>
  </si>
  <si>
    <t>Zaara</t>
  </si>
  <si>
    <t>BIMtoBuild</t>
  </si>
  <si>
    <t>zaara.aziz@bimtobuild.fr</t>
  </si>
  <si>
    <t>http://www.linkedin.com/in/zaara-aziz-486b88131</t>
  </si>
  <si>
    <t>http://www.bimtobuild.fr</t>
  </si>
  <si>
    <t xml:space="preserve">CRRI 2000</t>
  </si>
  <si>
    <t>l.germain@crri2000.fr</t>
  </si>
  <si>
    <t>http://www.linkedin.com/in/laurent-germain-230052110</t>
  </si>
  <si>
    <t>http://www.crri2000.fr</t>
  </si>
  <si>
    <t xml:space="preserve">Montbeliard, Bourgogne-Franche-Comte, France, 25200</t>
  </si>
  <si>
    <t>Sladky</t>
  </si>
  <si>
    <t>olivier.sladky@les-charpentiers-de-paris.fr</t>
  </si>
  <si>
    <t>http://www.linkedin.com/in/olivier-sladky-184b5744</t>
  </si>
  <si>
    <t>Pelissier</t>
  </si>
  <si>
    <t>C'CLÔT</t>
  </si>
  <si>
    <t>gaetan.pelissier@cclot.fr</t>
  </si>
  <si>
    <t>http://www.linkedin.com/in/gaetanpelissier</t>
  </si>
  <si>
    <t>http://www.cclot.fr</t>
  </si>
  <si>
    <t xml:space="preserve">Rillieux-la-Pape, Rhone-Alpes, France</t>
  </si>
  <si>
    <t xml:space="preserve">Depuis plus de 20 ans C'CLÔT est un acteur majeur dans la vente et l'installation de solutions de sécurisation périmétriques!</t>
  </si>
  <si>
    <t>Rei</t>
  </si>
  <si>
    <t xml:space="preserve">CPL Bois</t>
  </si>
  <si>
    <t>arei@cplbois.fr</t>
  </si>
  <si>
    <t>http://www.linkedin.com/in/alexandre-rei-b69a65a1</t>
  </si>
  <si>
    <t>http://www.cplbois.fr</t>
  </si>
  <si>
    <t>Vire</t>
  </si>
  <si>
    <t xml:space="preserve">Gresy-sur-Aix, Rhone-Alpes, France</t>
  </si>
  <si>
    <t>Ruegg</t>
  </si>
  <si>
    <t xml:space="preserve">Directeur Général associés</t>
  </si>
  <si>
    <t xml:space="preserve">CLIMELEC Entreprise SAS</t>
  </si>
  <si>
    <t>christophe.ruegg@climelec.fr</t>
  </si>
  <si>
    <t>http://www.linkedin.com/in/christophe-ruegg-364798107</t>
  </si>
  <si>
    <t>http://www.climelec.fr</t>
  </si>
  <si>
    <t xml:space="preserve">39 Traverse de Courtrai, Marseille, Provence-Alpes-Cote d'Azur, France, 13012</t>
  </si>
  <si>
    <t>Latapie</t>
  </si>
  <si>
    <t xml:space="preserve">ARBONIA climate</t>
  </si>
  <si>
    <t>christophe.latapie@vasco.eu</t>
  </si>
  <si>
    <t>http://www.linkedin.com/in/christophe-latapie-97a72399</t>
  </si>
  <si>
    <t>http://www.arbonia-climate.com</t>
  </si>
  <si>
    <t xml:space="preserve">Angenehmes und natürliches Raumklima – so effizient wie möglich.</t>
  </si>
  <si>
    <t>Bruyas</t>
  </si>
  <si>
    <t xml:space="preserve">OPUS 2B</t>
  </si>
  <si>
    <t>d.bruyas@opus2b.fr</t>
  </si>
  <si>
    <t>http://www.linkedin.com/in/didier-bruyas-1082b3142</t>
  </si>
  <si>
    <t>http://www.opus2b.fr</t>
  </si>
  <si>
    <t>Messimy</t>
  </si>
  <si>
    <t xml:space="preserve">14 Rue du Pont d'Arthaud, Messimy, Rhone-Alpes, France, 69510</t>
  </si>
  <si>
    <t xml:space="preserve">OPUS2B orchestre la mise en oeuvre de vos projets d'architecture professionnels ou personnels à Lyon et dans toute la France.</t>
  </si>
  <si>
    <t>Benjemia</t>
  </si>
  <si>
    <t xml:space="preserve">L'Atelier MARINKA</t>
  </si>
  <si>
    <t>mehdi@marinka.com</t>
  </si>
  <si>
    <t>http://www.linkedin.com/in/mehdi-benjemia-063860</t>
  </si>
  <si>
    <t>http://www.marinka.com</t>
  </si>
  <si>
    <t xml:space="preserve">Avenue de l'Opera, Paris, Ile-de-France, France, 75001</t>
  </si>
  <si>
    <t>Vishav</t>
  </si>
  <si>
    <t>Kumar</t>
  </si>
  <si>
    <t>ANVIG</t>
  </si>
  <si>
    <t>vkumar@anvig.fr</t>
  </si>
  <si>
    <t>http://www.linkedin.com/in/vishav-kumar-b7b851200</t>
  </si>
  <si>
    <t>http://www.anvig.fr</t>
  </si>
  <si>
    <t xml:space="preserve">278 Rue de Rosny, Montreuil, Ile-de-France, France, 93100</t>
  </si>
  <si>
    <t>Zenati</t>
  </si>
  <si>
    <t xml:space="preserve">Super Plomb Elec</t>
  </si>
  <si>
    <t>hamza.zenati@superplombelec.fr</t>
  </si>
  <si>
    <t>http://www.linkedin.com/in/hamza-zenati-5a3516196</t>
  </si>
  <si>
    <t>http://www.superplombelec.fr</t>
  </si>
  <si>
    <t xml:space="preserve">9 Rue du Gue, Rueil-Malmaison, Ile-de-France, France, 92500</t>
  </si>
  <si>
    <t xml:space="preserve">Fondateur gerant</t>
  </si>
  <si>
    <t>ACB</t>
  </si>
  <si>
    <t>fb@acb-var.com</t>
  </si>
  <si>
    <t>http://www.linkedin.com/in/bruno-ferreira-34638a16b</t>
  </si>
  <si>
    <t>http://www.acb-var.com</t>
  </si>
  <si>
    <t xml:space="preserve">106 Impasse de l'Aramon, La Farlede, Provence-Alpes-Cote d'Azur, France, 83210</t>
  </si>
  <si>
    <t xml:space="preserve">ACB Var : votre accompagnateur dans vos travaux d'aménagement, de construction et du bâtiment dans le Var et en région PACA.</t>
  </si>
  <si>
    <t>p.brandizi@groupebrandizi.fr</t>
  </si>
  <si>
    <t>http://www.linkedin.com/in/patrick-brandizi-70a03252</t>
  </si>
  <si>
    <t>Rosin</t>
  </si>
  <si>
    <t xml:space="preserve">ROSIN ENTREPRISE</t>
  </si>
  <si>
    <t>damien.rosin@rosin-ent.com</t>
  </si>
  <si>
    <t>http://www.linkedin.com/in/damien-rosin-6174975b</t>
  </si>
  <si>
    <t>http://www.rosin-ent.com</t>
  </si>
  <si>
    <t xml:space="preserve">Varces-Allieres-et-Risset, Rhone-Alpes, France</t>
  </si>
  <si>
    <t xml:space="preserve">Conception, fabrication et pose de tous types d’éléments de confinement : cloisons, plafonds, vitrages, portes ou encore faux planchers.</t>
  </si>
  <si>
    <t>Kurt</t>
  </si>
  <si>
    <t>m.kurt@designconstructions.fr</t>
  </si>
  <si>
    <t>http://www.linkedin.com/in/murat-kurt-7a070049</t>
  </si>
  <si>
    <t xml:space="preserve">ALLIANCE TRAVAUX SPECIAUX</t>
  </si>
  <si>
    <t>q.laurent@alliance-ts.fr</t>
  </si>
  <si>
    <t>http://www.linkedin.com/in/quentin-laurent-887974183</t>
  </si>
  <si>
    <t>http://www.alliance-ts.fr</t>
  </si>
  <si>
    <t xml:space="preserve">Valsonne, Auvergne-Rhone-Alpes, France, 69170</t>
  </si>
  <si>
    <t xml:space="preserve">Travaux de soutènements et fondations</t>
  </si>
  <si>
    <t>Desgrousilliers</t>
  </si>
  <si>
    <t xml:space="preserve">Boulet Bâtiment</t>
  </si>
  <si>
    <t>cdesgrousilliers@boulet-batiment.fr</t>
  </si>
  <si>
    <t>http://www.linkedin.com/in/desgrousilliers-christophe-b23732117</t>
  </si>
  <si>
    <t>http://www.boulet-batiment.fr</t>
  </si>
  <si>
    <t>Azincourt</t>
  </si>
  <si>
    <t xml:space="preserve">Azincourt, Nord-Pas-de-Calais, France</t>
  </si>
  <si>
    <t xml:space="preserve">BOULET BATIMENTS est une entreprise de construction basée à Azincourt. Nous intervenons à Lille et alentour.</t>
  </si>
  <si>
    <t>Saint-Martin</t>
  </si>
  <si>
    <t xml:space="preserve">Agence Coup de Coeur</t>
  </si>
  <si>
    <t>thibault@agencecoupdecoeur.fr</t>
  </si>
  <si>
    <t>http://www.linkedin.com/in/thibaultsaintmartin</t>
  </si>
  <si>
    <t>http://www.agencecoupdecoeur.fr</t>
  </si>
  <si>
    <t xml:space="preserve">1 Place des Precheurs, Aix-en-Provence, Provence-Alpes-Cote d'Azur, France, 13100</t>
  </si>
  <si>
    <t xml:space="preserve">Netbox Containers</t>
  </si>
  <si>
    <t>eric.annezer@netbox-containers.fr</t>
  </si>
  <si>
    <t>http://www.linkedin.com/in/eric-annezer-a92749148</t>
  </si>
  <si>
    <t>http://www.netbox-containers.fr</t>
  </si>
  <si>
    <t xml:space="preserve">Netbox Containers est le 1er réseau de professionnels du container maritime en France: achat ou transformation, faites appel au réseau !</t>
  </si>
  <si>
    <t>Penot</t>
  </si>
  <si>
    <t>RSCP</t>
  </si>
  <si>
    <t>marc.penot@rscp.fr</t>
  </si>
  <si>
    <t>http://www.linkedin.com/in/marc-penot-31b199105</t>
  </si>
  <si>
    <t>http://www.rscp.fr</t>
  </si>
  <si>
    <t xml:space="preserve">8 Rue du Fromenteau, Gometz-le-Chatel, Ile-de-France, France, 91940</t>
  </si>
  <si>
    <t>rio.florent@sammob-sbi.com</t>
  </si>
  <si>
    <t>http://www.linkedin.com/in/florent-rio-8069b219</t>
  </si>
  <si>
    <t>http://www.sammob-sbi.com</t>
  </si>
  <si>
    <t>Saint-Martin-du-Fouilloux</t>
  </si>
  <si>
    <t xml:space="preserve">8 Rue de la Mare Blanche, Noisiel, Ile-de-France, France, 77186</t>
  </si>
  <si>
    <t xml:space="preserve">CONSTRUCTIONS ROBERT BROUCA</t>
  </si>
  <si>
    <t>kevin@robert-brouca.fr</t>
  </si>
  <si>
    <t>http://www.linkedin.com/in/kevin-drouin-0a2b0a1b8</t>
  </si>
  <si>
    <t>http://www.constructions-robert-brouca.fr</t>
  </si>
  <si>
    <t xml:space="preserve">6 Rue Louis Chappee, Saint-Saturnin, Pays de la Loire, France, 72650</t>
  </si>
  <si>
    <t>Szulc</t>
  </si>
  <si>
    <t xml:space="preserve">CHIEF EXECUTIVE OFFICER</t>
  </si>
  <si>
    <t xml:space="preserve">TECH SUB</t>
  </si>
  <si>
    <t>helene.szulc@techsub.com</t>
  </si>
  <si>
    <t>http://www.linkedin.com/in/heleneszulc</t>
  </si>
  <si>
    <t>http://www.techsub.com</t>
  </si>
  <si>
    <t xml:space="preserve">140 Rue de la Briqueterie, Thelus, Hauts-de-France, France, 62580</t>
  </si>
  <si>
    <t xml:space="preserve">« CELA SEMBLE TOUJOURS IMPOSSIBLE JUSQU’À CE QU’ON LE FASSE » NELSON MANDELA</t>
  </si>
  <si>
    <t xml:space="preserve">CHARPENTIER SAS</t>
  </si>
  <si>
    <t>gc@charpentier-sas.com</t>
  </si>
  <si>
    <t>http://www.linkedin.com/in/guillaume-charpentier-032000104</t>
  </si>
  <si>
    <t>http://www.charpentier-sas.com</t>
  </si>
  <si>
    <t>Bretigny-sur-Orge</t>
  </si>
  <si>
    <t xml:space="preserve">1 Rue de Bretagne, Bretigny-sur-Orge, Ile-de-France, France, 91220</t>
  </si>
  <si>
    <t xml:space="preserve">Que ce soit en travaux neufs, réhabilitation ou dans le domaine des 
services, CHARPENTIER intervient dans tous les secteurs du génie climatique 
: chauffage, climatisation, ventilation, traitement de l’air, optimisation 
des consommations énergétiques. L’entreprise dispose également d’un 
département plomberie diversifié : fluides industriels, équipements 
sanitaires, traitement industriel des rejets.</t>
  </si>
  <si>
    <t xml:space="preserve">MENUISERIE DEVILLOISE</t>
  </si>
  <si>
    <t>stephane.victor@menuiseriedevilloise.fr</t>
  </si>
  <si>
    <t>http://www.linkedin.com/in/stephane-victor-94875219</t>
  </si>
  <si>
    <t>http://www.menuiseriedevilloise.fr</t>
  </si>
  <si>
    <t xml:space="preserve">Deville-les-Rouen, Upper Normandy, France</t>
  </si>
  <si>
    <t>y.robin@moderlab.com</t>
  </si>
  <si>
    <t>http://www.linkedin.com/in/yann-robin-547262109</t>
  </si>
  <si>
    <t>Sorin</t>
  </si>
  <si>
    <t>SECOM’ALU</t>
  </si>
  <si>
    <t>d.sorin@secomalu.com</t>
  </si>
  <si>
    <t>http://www.linkedin.com/in/david-sorin-b96571117</t>
  </si>
  <si>
    <t xml:space="preserve">La Mothe-Achard</t>
  </si>
  <si>
    <t xml:space="preserve">La Mothe-Achard, Pays de la Loire, France, 85150</t>
  </si>
  <si>
    <t>Furet</t>
  </si>
  <si>
    <t xml:space="preserve">Fondateur - Directeur Général</t>
  </si>
  <si>
    <t>af@mobius-reemploi.fr</t>
  </si>
  <si>
    <t>http://www.linkedin.com/in/aur%c3%a9lien-furet-489aa8b9</t>
  </si>
  <si>
    <t>http://www.mobius-reemploi.fr</t>
  </si>
  <si>
    <t xml:space="preserve">21 Rue du Faubourg Saint-Antoine, Paris, Ile-de-France, France, 75011</t>
  </si>
  <si>
    <t>Lebranchu</t>
  </si>
  <si>
    <t xml:space="preserve">My concept</t>
  </si>
  <si>
    <t>al@myconcept.bzh</t>
  </si>
  <si>
    <t>http://www.linkedin.com/in/anne-laure-lebranchu-b5131b177</t>
  </si>
  <si>
    <t>http://www.myconcept.bzh</t>
  </si>
  <si>
    <t xml:space="preserve">Lieu-dit La Metairie, Melesse, Brittany, France, 35520</t>
  </si>
  <si>
    <t>Carle</t>
  </si>
  <si>
    <t xml:space="preserve">1873 BSR</t>
  </si>
  <si>
    <t>ronan@bsrbtp.com</t>
  </si>
  <si>
    <t>http://www.linkedin.com/in/ronan-carl%c3%a9-62879aa2</t>
  </si>
  <si>
    <t>http://www.bsrbtp.com</t>
  </si>
  <si>
    <t xml:space="preserve">76 Avenue Jean Mermoz, La Courneuve, Ile-de-France, France, 93120</t>
  </si>
  <si>
    <t xml:space="preserve">BSR 1873 est une entreprise de construction spécialisée dans les ouvrages complexes : réhabilitations lourdes, reprises de structures, fondations spéciales.</t>
  </si>
  <si>
    <t>Morael</t>
  </si>
  <si>
    <t xml:space="preserve">Association Lean Construction</t>
  </si>
  <si>
    <t>vmorael@coeff.fr</t>
  </si>
  <si>
    <t>http://www.linkedin.com/in/vincent-morael-70a93525</t>
  </si>
  <si>
    <t>http://www.associationleanconstruction.fr</t>
  </si>
  <si>
    <t xml:space="preserve">9 Rue Parrot, Paris, Ile-de-France, France, 75012</t>
  </si>
  <si>
    <t xml:space="preserve">Le réseau des acteurs du lean construction on Association Lean Construction…</t>
  </si>
  <si>
    <t>LuxuryLittleHome</t>
  </si>
  <si>
    <t>valentin@luxurylittlehome.com</t>
  </si>
  <si>
    <t>http://www.linkedin.com/in/valentinboyer</t>
  </si>
  <si>
    <t>http://www.luxurylittlehome.com</t>
  </si>
  <si>
    <t xml:space="preserve">Dijon, Bourgogne-Franche-Comte, France, 21000</t>
  </si>
  <si>
    <t xml:space="preserve">Founder / CEO-FMI - Sécurité Antichute</t>
  </si>
  <si>
    <t>FMIPRO</t>
  </si>
  <si>
    <t>m.fitoussi@fmipro.fr</t>
  </si>
  <si>
    <t>http://www.linkedin.com/in/marcofitoussi</t>
  </si>
  <si>
    <t>http://www.fmipro.fr</t>
  </si>
  <si>
    <t xml:space="preserve">10 Rue de la Digue, Saint-Maur-des-Fosses, Ile-de-France, France, 94210</t>
  </si>
  <si>
    <t xml:space="preserve">FMI PRO offre à ses clients la gamme complète de services dédiés à la sécurité de l’homme en hauteur, ceci en relation étroite avec ses partenaires.</t>
  </si>
  <si>
    <t>Berod</t>
  </si>
  <si>
    <t xml:space="preserve">Co-Fondateur // Directeur Développement Commercial &amp; Marketing</t>
  </si>
  <si>
    <t>thomas.berod@avoltis.com</t>
  </si>
  <si>
    <t>http://www.linkedin.com/in/thomas-berod-38497340</t>
  </si>
  <si>
    <t>Fretigne</t>
  </si>
  <si>
    <t xml:space="preserve">CEO chez C2T</t>
  </si>
  <si>
    <t xml:space="preserve">C2T Strasbourg</t>
  </si>
  <si>
    <t>thierry@c2t.fr</t>
  </si>
  <si>
    <t>http://www.linkedin.com/in/thierry-fretigne-a8a247120</t>
  </si>
  <si>
    <t>http://www.c2t-strasbourg.fr</t>
  </si>
  <si>
    <t xml:space="preserve">3C Route de la Federation, Strasbourg, Grand Est, France, 67100</t>
  </si>
  <si>
    <t xml:space="preserve">C2T | Entreprise de Chauffage et Climatisation pour particuliers et professionnels  | Strasbourg | Intervention en Alsace</t>
  </si>
  <si>
    <t>Aucerne</t>
  </si>
  <si>
    <t xml:space="preserve">Président - Co-fondateur</t>
  </si>
  <si>
    <t xml:space="preserve">Bureau d'études NOVATEC</t>
  </si>
  <si>
    <t>e.aucerne@nova-tec.fr</t>
  </si>
  <si>
    <t>http://www.linkedin.com/in/etienne-aucerne-8a0988a7</t>
  </si>
  <si>
    <t>http://www.nova-tec.fr</t>
  </si>
  <si>
    <t xml:space="preserve">38 Rue de Fondargent, Saint-Orens-de-Gameville, Languedoc-Roussillon-Midi-Pyrenees, France, 31650</t>
  </si>
  <si>
    <t>Gassim</t>
  </si>
  <si>
    <t>yves.dumont@gassim.eu</t>
  </si>
  <si>
    <t>http://www.linkedin.com/in/yves-dumont-b4768517</t>
  </si>
  <si>
    <t>http://www.gassim.net</t>
  </si>
  <si>
    <t>Abitbol</t>
  </si>
  <si>
    <t xml:space="preserve">Groupe Axho</t>
  </si>
  <si>
    <t>m.abitbol@axhoma.com</t>
  </si>
  <si>
    <t>http://www.linkedin.com/in/marc-abitbol-876a36a9</t>
  </si>
  <si>
    <t>http://www.axho-groupe.com</t>
  </si>
  <si>
    <t xml:space="preserve">19 Avenue des Chalets, Choisy-le-Roi, Ile-de-France, France, 94600</t>
  </si>
  <si>
    <t>Boutinaud</t>
  </si>
  <si>
    <t>j.boutinaud@groupecii.fr</t>
  </si>
  <si>
    <t>http://www.linkedin.com/in/julien-boutinaud-a8526b149</t>
  </si>
  <si>
    <t xml:space="preserve">La Tremblade</t>
  </si>
  <si>
    <t>Sevin</t>
  </si>
  <si>
    <t>loic.sevin@cenovia.fr</t>
  </si>
  <si>
    <t>http://www.linkedin.com/in/lo%c3%afc-s%c3%a9vin-7825b1113</t>
  </si>
  <si>
    <t>Paly</t>
  </si>
  <si>
    <t xml:space="preserve">Co-fondatrice du Plateau Circulaire</t>
  </si>
  <si>
    <t xml:space="preserve">Le Plateau Circulaire</t>
  </si>
  <si>
    <t>spaly@plateaucirculaire.fr</t>
  </si>
  <si>
    <t>http://www.linkedin.com/in/st%c3%a9phanie-paly-24050164</t>
  </si>
  <si>
    <t>http://www.plateaucirculaire.fr</t>
  </si>
  <si>
    <t xml:space="preserve">Caen, Lower Normandy, France</t>
  </si>
  <si>
    <t>Tekin</t>
  </si>
  <si>
    <t xml:space="preserve">PROS ETANCHEITE</t>
  </si>
  <si>
    <t>tekin.b@pros-etancheite.fr</t>
  </si>
  <si>
    <t>http://www.linkedin.com/in/benjamin-tekin-3a386510b</t>
  </si>
  <si>
    <t>http://www.prosetancheite.fr</t>
  </si>
  <si>
    <t xml:space="preserve">10 Rue du Bois-Colbert, Villeneuve-Saint-Georges, Ile-de-France, France, 94190</t>
  </si>
  <si>
    <t>Hussnan</t>
  </si>
  <si>
    <t xml:space="preserve">HR GONDAL</t>
  </si>
  <si>
    <t>h.riaz@hrgondal.com</t>
  </si>
  <si>
    <t>http://www.linkedin.com/in/hussnan-riaz-1697b8b8</t>
  </si>
  <si>
    <t>http://www.hrgondal.com</t>
  </si>
  <si>
    <t xml:space="preserve">Eaubonne, Ile-de-France, France</t>
  </si>
  <si>
    <t>Condomines</t>
  </si>
  <si>
    <t xml:space="preserve">Groupe CHEVREUL</t>
  </si>
  <si>
    <t>l.condomines@groupe-chevreul.fr</t>
  </si>
  <si>
    <t>http://www.linkedin.com/in/laurent-condomines-29a474130</t>
  </si>
  <si>
    <t>http://www.groupe-chevreul.fr</t>
  </si>
  <si>
    <t xml:space="preserve">93 Chemin de France, Saint-Maurice-de-Cazevieille, Occitanie, France, 30360</t>
  </si>
  <si>
    <t xml:space="preserve">Acteur incontournable dans le secteur large de la métallerie, de la construction métallique et de la réalisation de façades, notre savoir-faire repose sur un bureau d'études, sur des compétences terrain et du personnel expérimenté et motivé.</t>
  </si>
  <si>
    <t>Chadi</t>
  </si>
  <si>
    <t xml:space="preserve">SECC Ingénierie</t>
  </si>
  <si>
    <t>ayoub@secc-ingenierie.fr</t>
  </si>
  <si>
    <t>http://www.linkedin.com/in/chadi-ayoub-9b3923167</t>
  </si>
  <si>
    <t>http://www.secc-ingenierie.fr</t>
  </si>
  <si>
    <t xml:space="preserve">102 Boulevard Jean Jaures, Houilles, Ile-de-France, France, 78800</t>
  </si>
  <si>
    <t xml:space="preserve">Depuis plus de quarante ans, SECC est présent au côté de ses clients pour les accompagner dans la réussite de leurs projets de construction.</t>
  </si>
  <si>
    <t>Hary</t>
  </si>
  <si>
    <t>NORBA</t>
  </si>
  <si>
    <t>xhary@norba.ch</t>
  </si>
  <si>
    <t>http://www.linkedin.com/in/xavier-hary-4821a623</t>
  </si>
  <si>
    <t>http://www.norba.ch</t>
  </si>
  <si>
    <t xml:space="preserve">9 Route de Palezieux, Grenchen, Canton of Solothurn, Switzerland, 1614</t>
  </si>
  <si>
    <t xml:space="preserve">Grand Construction</t>
  </si>
  <si>
    <t>robin@grand-construction.fr</t>
  </si>
  <si>
    <t>http://www.linkedin.com/in/robin-grand-752b78a8</t>
  </si>
  <si>
    <t>http://www.grand-construction.fr</t>
  </si>
  <si>
    <t xml:space="preserve">50 Avenue Saint-Martin de Boville, Balma, Occitanie, France, 31130</t>
  </si>
  <si>
    <t xml:space="preserve">Constructeur de maison individuelle à Toulouse, GRAND Construction et son équipe de professionnels vous apporte des solutions adaptées.</t>
  </si>
  <si>
    <t>Matty</t>
  </si>
  <si>
    <t xml:space="preserve">Directeur général - Spécialistes sécurité et accessibilité en hauteur</t>
  </si>
  <si>
    <t>matty.fitoussi@fmipro.fr</t>
  </si>
  <si>
    <t>http://www.linkedin.com/in/mattyfitoussi</t>
  </si>
  <si>
    <t>Reffet</t>
  </si>
  <si>
    <t xml:space="preserve">Directeur Général PME étanchéité-couverture-bardage</t>
  </si>
  <si>
    <t xml:space="preserve">BRIDAULT SOLUTIONS</t>
  </si>
  <si>
    <t>didier.reffet@bridault-solutions.com</t>
  </si>
  <si>
    <t>http://www.linkedin.com/in/didier-reffet-a7b6a01</t>
  </si>
  <si>
    <t>http://www.bridault-solutions.com</t>
  </si>
  <si>
    <t xml:space="preserve">Rue des Marlieres, Avelin, Hauts-de-France, France, 59710</t>
  </si>
  <si>
    <t>p.ginet@floriot.fr</t>
  </si>
  <si>
    <t>http://www.linkedin.com/in/philippe-ginet-7056a8138</t>
  </si>
  <si>
    <t>Melchilsen</t>
  </si>
  <si>
    <t>ANTOMATIC</t>
  </si>
  <si>
    <t>anthony@antomatic.fr</t>
  </si>
  <si>
    <t>http://www.linkedin.com/in/anthony-melchilsen-04433a1b4</t>
  </si>
  <si>
    <t>http://www.antomatic.fr</t>
  </si>
  <si>
    <t xml:space="preserve">Rue Rene Caudron, Margny-les-Compiegne, Hauts-de-France, France, 60280</t>
  </si>
  <si>
    <t>EMMAC</t>
  </si>
  <si>
    <t>raphael@emmac.fr</t>
  </si>
  <si>
    <t>http://www.linkedin.com/in/rapha%c3%abl-a-8726689a</t>
  </si>
  <si>
    <t>http://www.emmac.fr</t>
  </si>
  <si>
    <t xml:space="preserve">Alfortville, Ile-de-France, France, 94140</t>
  </si>
  <si>
    <t xml:space="preserve">Notre société, présente dans le Val-de-Marne (94), est spécialisée en rénovation intérieure, carrelage et dallage, installation de pompe à chaleur, rénovation générale... Contactez Emmac pour un devis gratuit !</t>
  </si>
  <si>
    <t xml:space="preserve">Co-fondateur 3CS - Coordinateur BIM</t>
  </si>
  <si>
    <t>3CS</t>
  </si>
  <si>
    <t>clement.guerin@3cs.fr</t>
  </si>
  <si>
    <t>http://www.linkedin.com/in/3cs-mep-guerin-cl%c3%a9ment</t>
  </si>
  <si>
    <t>http://www.3cs.fr</t>
  </si>
  <si>
    <t xml:space="preserve">Directrice générale de BCM</t>
  </si>
  <si>
    <t>v.stelandre@bcm.fr</t>
  </si>
  <si>
    <t>http://www.linkedin.com/in/virginie-st%c3%a9landre-408865163</t>
  </si>
  <si>
    <t>http://www.bcm.fr</t>
  </si>
  <si>
    <t xml:space="preserve">Rue Robert Schuman, Issoire, Auvergne, France, 63500</t>
  </si>
  <si>
    <t>Bataillard</t>
  </si>
  <si>
    <t xml:space="preserve">DIRIGEANT / FONDATEUR</t>
  </si>
  <si>
    <t xml:space="preserve">ROUGE &amp; NOIR Agencement</t>
  </si>
  <si>
    <t>tbataillard@rouge-noir-aea.com</t>
  </si>
  <si>
    <t>http://www.linkedin.com/in/thomas-bataillard-653ba791</t>
  </si>
  <si>
    <t>http://www.rouge-noir-aea.com</t>
  </si>
  <si>
    <t xml:space="preserve">Rue Jacquard, Mably, Rhone-Alpes, France, 42300</t>
  </si>
  <si>
    <t xml:space="preserve">Agenceur et aménageur de commerce, restaurant ou apparatement: venez nous consueltez pour des conseils. Nous réalisons les chantiers en fonction de vos demandes et besoins.</t>
  </si>
  <si>
    <t>AD2L</t>
  </si>
  <si>
    <t>xavier.richard@ad2lfrance.fr</t>
  </si>
  <si>
    <t>http://www.linkedin.com/in/xavier-richard-17ab99172</t>
  </si>
  <si>
    <t>http://www.desamiantage-ad2l.com</t>
  </si>
  <si>
    <t xml:space="preserve">La Roche-Clermault, Centre, France, 37500</t>
  </si>
  <si>
    <t xml:space="preserve">société de désamiantage spécialisée dans les interventions en milieux hostiles, retrait de matériaux contenant de l’amiante et du traitement des peintures au plomb</t>
  </si>
  <si>
    <t>VALTINEE</t>
  </si>
  <si>
    <t>laurent.mario@valtinee.fr</t>
  </si>
  <si>
    <t>http://www.linkedin.com/in/laurent-mario-00a07187</t>
  </si>
  <si>
    <t>http://www.valtinee.fr</t>
  </si>
  <si>
    <t xml:space="preserve">M2205, Saint-Sauveur-sur-Tinee, Provence-Alpes-Cote d'Azur, France, 06420</t>
  </si>
  <si>
    <t xml:space="preserve">Valtinée, entreprise de travaux publics des Alpes-Maritimes. Valtinée a 93 ans d'expérience dans les travaux publics/privés et la construction d'habitat.</t>
  </si>
  <si>
    <t>Azelec</t>
  </si>
  <si>
    <t>zyoussef@a-zelec.fr</t>
  </si>
  <si>
    <t>http://www.linkedin.com/in/ziad-youssef-30892894</t>
  </si>
  <si>
    <t>http://www.azelec.be</t>
  </si>
  <si>
    <t xml:space="preserve">14 Rue Henri Werrie, Jette, Brussels, Belgium, 1090</t>
  </si>
  <si>
    <t xml:space="preserve">Azélec’s team of electricians helps you with all your electrical installations. Find out about our range of services.</t>
  </si>
  <si>
    <t xml:space="preserve">Cofondateur, Président, directeur innovation et usages</t>
  </si>
  <si>
    <t>BEAM³</t>
  </si>
  <si>
    <t>thierry.albert@beam3.fr</t>
  </si>
  <si>
    <t>http://www.linkedin.com/in/thierry-albert-22986b78</t>
  </si>
  <si>
    <t>http://www.beam3.fr</t>
  </si>
  <si>
    <t>Lannuzel</t>
  </si>
  <si>
    <t>NOBÂ</t>
  </si>
  <si>
    <t>x.lannuzel@noba-btp.fr</t>
  </si>
  <si>
    <t>http://www.linkedin.com/in/xavier-lannuzel-86534a101</t>
  </si>
  <si>
    <t>http://www.noba-btp.fr</t>
  </si>
  <si>
    <t xml:space="preserve">14 Rue de la Ville Broute, Plerin, Brittany, France, 22190</t>
  </si>
  <si>
    <t xml:space="preserve">Nobâ, entreprise de construction située à Plérin (22) est spécialisée dans les ouvrages neufs en béton banché mais aussi dans les travaux de réhabilitation</t>
  </si>
  <si>
    <t>Peyrelongue</t>
  </si>
  <si>
    <t>Orvéa</t>
  </si>
  <si>
    <t>adpeyrelongue@orvea.io</t>
  </si>
  <si>
    <t>http://www.linkedin.com/in/alban-de-peyrelongue-42556867</t>
  </si>
  <si>
    <t>http://www.orvea.io</t>
  </si>
  <si>
    <t xml:space="preserve">57 Avenue Charles de Gaulle, Neuilly-sur-Seine, Ile-de-France, France, 92200</t>
  </si>
  <si>
    <t xml:space="preserve">Découvrez la nouvelle approche métier Orvéa pour mieux gérer vos chantiers en CES en lieu et place du compte prorata. Devis sous 48h sans engagement.</t>
  </si>
  <si>
    <t>arnaud.martin@sharemat.fr</t>
  </si>
  <si>
    <t>http://www.linkedin.com/in/arnaud-martin-sharemat</t>
  </si>
  <si>
    <t xml:space="preserve">french proptech</t>
  </si>
  <si>
    <t>pierre.leroy@energie-perspective.fr</t>
  </si>
  <si>
    <t>http://www.linkedin.com/in/pierre-leroy-4920329a</t>
  </si>
  <si>
    <t>http://www.frenchproptech.fr</t>
  </si>
  <si>
    <t xml:space="preserve">La French PropTech est un mouvement qui fédère les acteurs de la tech et de l'innovation qui cherchent à réinventer la ville, une ville centrée sur l’Homme et les usages. Une ville où il fait bon vivre, travailler et se divertir.</t>
  </si>
  <si>
    <t xml:space="preserve">HERNANDEZ DECORS</t>
  </si>
  <si>
    <t>laurent.fournier@hernandez-decors.fr</t>
  </si>
  <si>
    <t>http://www.linkedin.com/in/laurent-fournier-6031b644</t>
  </si>
  <si>
    <t>http://www.hernandez-decors.fr</t>
  </si>
  <si>
    <t>Beaumont-sur-Sarthe</t>
  </si>
  <si>
    <t xml:space="preserve">32 Rue de Saint-Pierre, Beaumont-sur-Sarthe, Pays de la Loire, France, 72170</t>
  </si>
  <si>
    <t>Conil</t>
  </si>
  <si>
    <t xml:space="preserve">Leroux Formes &amp; Plans</t>
  </si>
  <si>
    <t>mc@leroux-ouestproduction.fr</t>
  </si>
  <si>
    <t>http://www.linkedin.com/in/michel-conil</t>
  </si>
  <si>
    <t>http://www.leroux-ouestproduction.fr</t>
  </si>
  <si>
    <t xml:space="preserve">30 Rue du Parc, Saint-Christophe-du-Bois, Pays de la Loire, France, 49280</t>
  </si>
  <si>
    <t xml:space="preserve">L'entreprise LEROUX intervient en tant que fabricant sous-traitant de plans de travail et de mobilier d’agencement sur toute la France.</t>
  </si>
  <si>
    <t>Quencez</t>
  </si>
  <si>
    <t xml:space="preserve">AD VALIDEM</t>
  </si>
  <si>
    <t>romain.quencez@advalidem.com</t>
  </si>
  <si>
    <t>http://www.linkedin.com/in/romain-quencez-645b1310a</t>
  </si>
  <si>
    <t>http://www.advalidem.com</t>
  </si>
  <si>
    <t xml:space="preserve">Cugnaux, Languedoc-Roussillon-Midi-Pyrenees, France</t>
  </si>
  <si>
    <t xml:space="preserve">AD VALIDEM, entreprise spécialisée dans les travaux de performance énergétique et d'entretien des bâtiments en France.</t>
  </si>
  <si>
    <t>j.dupuis@gauthier-sa.fr</t>
  </si>
  <si>
    <t>http://www.linkedin.com/in/jacques-dupuis-b146b649</t>
  </si>
  <si>
    <t>Caurier</t>
  </si>
  <si>
    <t>Skaping</t>
  </si>
  <si>
    <t>jp.caurier@skaping.com</t>
  </si>
  <si>
    <t>http://www.linkedin.com/in/jeanpierrecaurier</t>
  </si>
  <si>
    <t>http://www.skaping.com</t>
  </si>
  <si>
    <t xml:space="preserve">Outils de promotion territoriale avec webcams pour le tourisme et livecams nouvelle génération 360 degrés haute définition</t>
  </si>
  <si>
    <t>Plouzennec</t>
  </si>
  <si>
    <t xml:space="preserve">Groupe Nivet</t>
  </si>
  <si>
    <t>h.plouzennec@nivet.fr</t>
  </si>
  <si>
    <t>http://www.linkedin.com/in/herv%c3%a9-plouzennec-a0026a115</t>
  </si>
  <si>
    <t xml:space="preserve">Saumur, Pays de la Loire, France</t>
  </si>
  <si>
    <t xml:space="preserve">Entreprise de TP en Région Centre et Pays de la Loire : Carrières, Voirie, VRD, Ouvrages d'art, Produits Routiers, BPE, Béton, Enrobé, Goudronnage..</t>
  </si>
  <si>
    <t>Zefco</t>
  </si>
  <si>
    <t>florian@zefco.fr</t>
  </si>
  <si>
    <t>http://www.linkedin.com/in/florian-dupont-468b9730</t>
  </si>
  <si>
    <t>http://www.zefco.fr</t>
  </si>
  <si>
    <t xml:space="preserve">Zefco est un bureau d’études environnement. Nous proposons une approche technique, innovante et sensible du développement durable.</t>
  </si>
  <si>
    <t xml:space="preserve">M2I INGENIERIE</t>
  </si>
  <si>
    <t>m.gateau@m2i-ingenierie.fr</t>
  </si>
  <si>
    <t>http://www.linkedin.com/in/mathieu-gateau-04a8a481</t>
  </si>
  <si>
    <t>http://www.m2i-ingenierie.com</t>
  </si>
  <si>
    <t>Urbany</t>
  </si>
  <si>
    <t>g.urbany@groupekube.fr</t>
  </si>
  <si>
    <t>http://www.linkedin.com/in/guillaume-urbany-2b9667b2</t>
  </si>
  <si>
    <t>http://www.groupekube.fr</t>
  </si>
  <si>
    <t>Rayssac</t>
  </si>
  <si>
    <t xml:space="preserve">ANDRIEU CONSTRUCTION</t>
  </si>
  <si>
    <t>stephanerayssac@andrieuconstruction.fr</t>
  </si>
  <si>
    <t>http://www.linkedin.com/in/st%c3%a9phane-rayssac-768172a7</t>
  </si>
  <si>
    <t>http://www.andrieuconstruction.fr</t>
  </si>
  <si>
    <t xml:space="preserve">Rue Barthelemy Thimonnier, Olemps, Occitanie, France, 12510</t>
  </si>
  <si>
    <t xml:space="preserve">Andrieu Construction, entreprise familiale de BTP centrée sur des valeurs humaines. Solution de construction globale. Gros oeuvre, entreprise générale, Conception et réalisation, maîtrise d'oeuvre.</t>
  </si>
  <si>
    <t>Tribillac</t>
  </si>
  <si>
    <t xml:space="preserve">ESPACIO GROUPE</t>
  </si>
  <si>
    <t>s.tribillac@espacio-groupe.fr</t>
  </si>
  <si>
    <t>http://www.linkedin.com/in/sofia-tribillac-579122201</t>
  </si>
  <si>
    <t>http://www.espacio-groupe.fr</t>
  </si>
  <si>
    <t>Lunel</t>
  </si>
  <si>
    <t xml:space="preserve">20 Boulevard de Strasbourg, Lunel, Occitanie, France, 34400</t>
  </si>
  <si>
    <t xml:space="preserve">Maitrise d’œuvre, Assistance à maitrise d'ouvrage, Contractant général et Space planner</t>
  </si>
  <si>
    <t>Stoker</t>
  </si>
  <si>
    <t xml:space="preserve">ETABLISSEMENTS STOKER</t>
  </si>
  <si>
    <t>mathias.stoker@stoker.fr</t>
  </si>
  <si>
    <t>http://www.linkedin.com/in/mathias-stoker-1b7520140</t>
  </si>
  <si>
    <t>http://www.stoker.fr</t>
  </si>
  <si>
    <t xml:space="preserve">Pouilly-en-Auxois, Bourgogne-Franche-Comte, France, 21320</t>
  </si>
  <si>
    <t xml:space="preserve">Spécialistes en matériaux de construction, menuiseries et combustibles, Stoker vous accompagne dans vos projets de rénovation et construction</t>
  </si>
  <si>
    <t>Billet</t>
  </si>
  <si>
    <t>Korus</t>
  </si>
  <si>
    <t>marc.billet@korus.fr</t>
  </si>
  <si>
    <t>http://www.linkedin.com/in/marc-billet-838516133</t>
  </si>
  <si>
    <t>http://www.korusweb.com</t>
  </si>
  <si>
    <t xml:space="preserve">5 Via Savoia, Rome, Lazio, Italy, 00198</t>
  </si>
  <si>
    <t xml:space="preserve">Finestre in pvc/alluminio, alluminio e alluminio/legno ad altissime performance termiche e acustiche con design elegante e raffinato</t>
  </si>
  <si>
    <t>Rohrbach</t>
  </si>
  <si>
    <t>ArtxBat</t>
  </si>
  <si>
    <t>crohrbach@artxbat.fr</t>
  </si>
  <si>
    <t>http://www.linkedin.com/in/christian-rohrbach-9aa78472</t>
  </si>
  <si>
    <t>http://www.artxbat.fr</t>
  </si>
  <si>
    <t xml:space="preserve">17 Rue Rubens, Paris, Ile-de-France, France, 75013</t>
  </si>
  <si>
    <t>Nouvier</t>
  </si>
  <si>
    <t>2SW</t>
  </si>
  <si>
    <t>mnouvier@2sw.eu</t>
  </si>
  <si>
    <t>http://www.linkedin.com/in/mathieu-nouvier-796a8783</t>
  </si>
  <si>
    <t>http://www.2sw.eu</t>
  </si>
  <si>
    <t xml:space="preserve">3 Square Edouard VII, Paris, Ile-de-France, France, 75009</t>
  </si>
  <si>
    <t xml:space="preserve">STCT groupe Myrium</t>
  </si>
  <si>
    <t>thierry.martin@stct.fr</t>
  </si>
  <si>
    <t>http://www.linkedin.com/in/thierry-martin-b321b86a</t>
  </si>
  <si>
    <t>http://www.stct.fr</t>
  </si>
  <si>
    <t xml:space="preserve">Avenue de la Mauldre, Epone, Ile-de-France, France, 78680</t>
  </si>
  <si>
    <t>Pastorello</t>
  </si>
  <si>
    <t xml:space="preserve">IDEC HAUTES</t>
  </si>
  <si>
    <t>pierre.pastorello@er2i.fr</t>
  </si>
  <si>
    <t>http://www.linkedin.com/in/pierre-pastorello-aab8232b</t>
  </si>
  <si>
    <t>http://www.idec-hautestechnologies.com</t>
  </si>
  <si>
    <t xml:space="preserve">420 Chemin des Preles, Saint-Ismier, Auvergne-Rhone-Alpes, France, 38330</t>
  </si>
  <si>
    <t xml:space="preserve">Le spécialiste de la conception et de la construction de bâtiments dédiés aux énergies et microélectronique, sciences de la vie, laboratoires de recherche, hospitalier et plateaux techniques</t>
  </si>
  <si>
    <t>Prieur</t>
  </si>
  <si>
    <t xml:space="preserve">VOLUME AGENCEMENT</t>
  </si>
  <si>
    <t>amelie.prieur@volume-agencement.fr</t>
  </si>
  <si>
    <t>http://www.linkedin.com/in/am%c3%a9lie-prieur-897131109</t>
  </si>
  <si>
    <t>http://www.volume-international.fr</t>
  </si>
  <si>
    <t xml:space="preserve">2 Rue de Buchelay, Mantes-la-Jolie, Ile-de-France, France, 78200</t>
  </si>
  <si>
    <t xml:space="preserve">Muséographie, Scénographie, Aménagement, Évènementiel - Matérialiser l’inspiration des scénographes et architectes pour valoriser le patrimoine</t>
  </si>
  <si>
    <t>Pajot</t>
  </si>
  <si>
    <t xml:space="preserve">PAJOT solutions de battage</t>
  </si>
  <si>
    <t>s.pajot@pajot.com</t>
  </si>
  <si>
    <t>http://www.linkedin.com/in/s%c3%a9bastien-pajot-b5660129</t>
  </si>
  <si>
    <t>http://www.pajot.com</t>
  </si>
  <si>
    <t xml:space="preserve">11p Rue des Portieres, Saint-Barthelemy-d'Anjou, Pays de la Loire, France, 49124</t>
  </si>
  <si>
    <t xml:space="preserve">L’entreprise Pajot est spécialisée dans la vente et la location de matériel de battage, de vibrofonçage, de vérinage, d’arrachage et de coffrage.</t>
  </si>
  <si>
    <t>Boudifa</t>
  </si>
  <si>
    <t>djamel.boudifa@bimingenierie.fr</t>
  </si>
  <si>
    <t>http://www.linkedin.com/in/djamel-boudifa-b09277104</t>
  </si>
  <si>
    <t>http://www.bimingenierie.fr</t>
  </si>
  <si>
    <t xml:space="preserve">28 Rue des Graviers, Maisons-Laffitte, Ile-de-France, France, 78600</t>
  </si>
  <si>
    <t>Djermani</t>
  </si>
  <si>
    <t>kdjermani@bysg.fr</t>
  </si>
  <si>
    <t>http://www.linkedin.com/in/karim-djermani-306a0a20b</t>
  </si>
  <si>
    <t>Bondy</t>
  </si>
  <si>
    <t xml:space="preserve">J&amp;P Facilities</t>
  </si>
  <si>
    <t>y.marine@jp-facilities.com</t>
  </si>
  <si>
    <t>http://www.linkedin.com/in/yann-nino-marine-376288213</t>
  </si>
  <si>
    <t>http://www.jp-facilities.com</t>
  </si>
  <si>
    <t xml:space="preserve">Suresnes, Ile-de-France, France</t>
  </si>
  <si>
    <t xml:space="preserve">Partenaire des maîtres d’œuvre, nous vous accompagnons de A à Z dans vos projets tout en vous assurant une équipe d’experts tout au long de votre chantier.</t>
  </si>
  <si>
    <t>Murger</t>
  </si>
  <si>
    <t xml:space="preserve">Le Maison</t>
  </si>
  <si>
    <t>amurger@le-maison.fr</t>
  </si>
  <si>
    <t>http://www.linkedin.com/in/arnaud-murger-928779b3</t>
  </si>
  <si>
    <t>http://www.lemaison.es</t>
  </si>
  <si>
    <t xml:space="preserve">45 Avenida de Bruselas, Madrid, Community of Madrid, Spain, 28028</t>
  </si>
  <si>
    <t>Hafid</t>
  </si>
  <si>
    <t>h.rahmani@trianon-residences.com</t>
  </si>
  <si>
    <t>http://www.linkedin.com/in/hafid-rahmani-90166b203</t>
  </si>
  <si>
    <t>Cassagneres</t>
  </si>
  <si>
    <t xml:space="preserve">FORAGES DU NORD OUEST</t>
  </si>
  <si>
    <t>rcassagneres@forages-du-nord-ouest.fr</t>
  </si>
  <si>
    <t>http://www.linkedin.com/in/romaincassagneres</t>
  </si>
  <si>
    <t>http://www.forages-du-nord-ouest.fr</t>
  </si>
  <si>
    <t>Bois-Guillaume</t>
  </si>
  <si>
    <t xml:space="preserve">3545 Rue de la Haie, Bois-Guillaume, Normandie, France, 76230</t>
  </si>
  <si>
    <t>Description</t>
  </si>
  <si>
    <t>Radouane</t>
  </si>
  <si>
    <t>rnassim@groupeascia.fr</t>
  </si>
  <si>
    <t>http://www.linkedin.com/in/radouane-nassim-a58b1835</t>
  </si>
  <si>
    <t>Conte</t>
  </si>
  <si>
    <t>MANEHOME</t>
  </si>
  <si>
    <t>aconte@manehome.fr</t>
  </si>
  <si>
    <t>http://www.linkedin.com/in/anthony-conte-a058b5250</t>
  </si>
  <si>
    <t>http://www.manehome.fr</t>
  </si>
  <si>
    <t xml:space="preserve">534 Rue du Chateau d'Eau, Charge, Centre-Val de Loire, France, 37530</t>
  </si>
  <si>
    <t>Balan</t>
  </si>
  <si>
    <t>etienne.balan@roquet.fr</t>
  </si>
  <si>
    <t>http://www.linkedin.com/in/etienne-balan-a1060193</t>
  </si>
  <si>
    <t xml:space="preserve">SPIC Ingénierie Structures</t>
  </si>
  <si>
    <t>philippe@spic-btp.fr</t>
  </si>
  <si>
    <t>http://www.linkedin.com/in/philippe-simon-44692850</t>
  </si>
  <si>
    <t>http://www.spic-btp.fr</t>
  </si>
  <si>
    <t>Joue-les-Tours</t>
  </si>
  <si>
    <t xml:space="preserve">8 Rue Gamard, Joue-les-Tours, Centre, France, 37300</t>
  </si>
  <si>
    <t xml:space="preserve">La référence en ingénierie structures préfabriquées en béton, nous avons étendu notre expertise aux ouvrages coulés en place et aux structures bois.</t>
  </si>
  <si>
    <t>Gerente</t>
  </si>
  <si>
    <t xml:space="preserve">ASTER BTP</t>
  </si>
  <si>
    <t>f.gerente@asterbtp.com</t>
  </si>
  <si>
    <t>http://www.linkedin.com/in/fr%c3%a9d%c3%a9ric-gerente-26b042b1</t>
  </si>
  <si>
    <t>http://www.asterbtp.com</t>
  </si>
  <si>
    <t xml:space="preserve">29 Avenue des Palmiers, Nice, Provence-Alpes-Cote d'Azur, France, 06100</t>
  </si>
  <si>
    <t xml:space="preserve">Aster BTP, Bureau d’études techniques et d’ingénierie. Missions d’assistance technique dans les expertises judiciaires et amiables pour la détermination de l’origine des désordres.</t>
  </si>
  <si>
    <t>Elvin</t>
  </si>
  <si>
    <t>Pagiras</t>
  </si>
  <si>
    <t>Modulor</t>
  </si>
  <si>
    <t>elvin@modulor.tv</t>
  </si>
  <si>
    <t>http://www.linkedin.com/in/elvin-pagiras-95902738</t>
  </si>
  <si>
    <t>http://www.modulor.ca</t>
  </si>
  <si>
    <t xml:space="preserve">277 Rue St-Zotique O, Montreal, Quebec, Canada, H2V 1A4</t>
  </si>
  <si>
    <t xml:space="preserve">New construction and architectural renovation for residential and commercial properties</t>
  </si>
  <si>
    <t>Rivory</t>
  </si>
  <si>
    <t xml:space="preserve">NEOCITY Promotion</t>
  </si>
  <si>
    <t>f.rivory@neocitypromotion.fr</t>
  </si>
  <si>
    <t>http://www.linkedin.com/in/fr%c3%a9d%c3%a9ric-rivory-7162a279</t>
  </si>
  <si>
    <t>http://www.neocitypromotion.fr</t>
  </si>
  <si>
    <t xml:space="preserve">120 Rue de Thor, Montpellier, Occitanie, France, 34000</t>
  </si>
  <si>
    <t xml:space="preserve">Découvrez tous nos programmes immobiliers neufs à travers la France ! Nos habitats sont toujours pensés dans un objectif de durabilité.</t>
  </si>
  <si>
    <t>Rohel</t>
  </si>
  <si>
    <t xml:space="preserve">Inserco SAS</t>
  </si>
  <si>
    <t>eric.rohel@inserco.eu</t>
  </si>
  <si>
    <t>http://www.linkedin.com/in/eric-rohel-501552b6</t>
  </si>
  <si>
    <t>http://www.insercoequipos.com</t>
  </si>
  <si>
    <t xml:space="preserve">32 Carrera 14 13 N, Bucaramanga, Santander Department, Colombia, 680001</t>
  </si>
  <si>
    <t xml:space="preserve">INSERCO S.A.S., alquiler y venta de equipos menores, formaleta metálica y accesorios, andamios, parales y cerchas metálicas y otros equipos para construcción en Bucaramanga.</t>
  </si>
  <si>
    <t>Giudice</t>
  </si>
  <si>
    <t>Rolaix</t>
  </si>
  <si>
    <t>claude.giudice@rolaix.com</t>
  </si>
  <si>
    <t>http://www.linkedin.com/in/claude-giudice-400784a4</t>
  </si>
  <si>
    <t>http://www.rolaix.com</t>
  </si>
  <si>
    <t xml:space="preserve">2 Rue de Vienne, Vitrolles, Provence-Alpes-Cote d'Azur, France, 13127</t>
  </si>
  <si>
    <t xml:space="preserve">Rolaix Corporation conseille, conçoit, étudie et dimensionne des installations électriques dans le secteur industriel, du bâtiment &amp; du tertiaire dans les Bouches-du-Rhône. Contactez nos experts en Génie Electrique !</t>
  </si>
  <si>
    <t>Donatien</t>
  </si>
  <si>
    <t>Piffard</t>
  </si>
  <si>
    <t>d.piffard@vivian.fr</t>
  </si>
  <si>
    <t>http://www.linkedin.com/in/donatien-piffard-bb955086</t>
  </si>
  <si>
    <t>Ignacchiti</t>
  </si>
  <si>
    <t xml:space="preserve">SERIC Group</t>
  </si>
  <si>
    <t>l.ignacchiti@seric-group.fr</t>
  </si>
  <si>
    <t>http://www.linkedin.com/in/laurent-ignacchiti-53070349</t>
  </si>
  <si>
    <t>http://www.seric-cloture.com</t>
  </si>
  <si>
    <t xml:space="preserve">Systèmes de clôtures et contrôles d'accès</t>
  </si>
  <si>
    <t>Petrughjuvanni</t>
  </si>
  <si>
    <t>Torre</t>
  </si>
  <si>
    <t xml:space="preserve">TERRACO SAS</t>
  </si>
  <si>
    <t>p.torre@terraco20.fr</t>
  </si>
  <si>
    <t>http://www.linkedin.com/in/petrughjuvanni-torre-78454144</t>
  </si>
  <si>
    <t>http://www.terraco.fr</t>
  </si>
  <si>
    <t xml:space="preserve">Penta-di-Casinca, Corsica, France, 20213</t>
  </si>
  <si>
    <t xml:space="preserve">Construire avec passion - Présent sur le marché du terrassement et des VRD depuis 1984, TERRACO, créé par Patrick BRANDIZI,</t>
  </si>
  <si>
    <t xml:space="preserve">Chevalier Nord</t>
  </si>
  <si>
    <t>thomas.george@chevaliernord.com</t>
  </si>
  <si>
    <t>http://www.linkedin.com/in/thomas-george-591759137</t>
  </si>
  <si>
    <t>http://www.chevaliernord.com</t>
  </si>
  <si>
    <t>Saint-Martin-au-Laert</t>
  </si>
  <si>
    <t xml:space="preserve">Saint-Martin-lez-Tatinghem, Hauts-de-France, France, 62500</t>
  </si>
  <si>
    <t xml:space="preserve">Depuis 1988</t>
  </si>
  <si>
    <t>Ismail</t>
  </si>
  <si>
    <t>Tahtaci</t>
  </si>
  <si>
    <t xml:space="preserve">Pôle Build&amp;Connect</t>
  </si>
  <si>
    <t>i.tahtaci@buildandconnect.eu</t>
  </si>
  <si>
    <t>http://www.linkedin.com/in/ismail-tahtaci-53a23368</t>
  </si>
  <si>
    <t>http://www.buildandconnect.eu</t>
  </si>
  <si>
    <t xml:space="preserve">Illkirch, Grand Est, France, 67400</t>
  </si>
  <si>
    <t xml:space="preserve">Build &amp; Connect est le seul Pôle dédié à la décarbonation du bâtiment et des territoires via l'innovation, le numérique et la transition environnementale</t>
  </si>
  <si>
    <t>Martellon</t>
  </si>
  <si>
    <t>ESPÉ</t>
  </si>
  <si>
    <t>renaud.martellon@espe-psy.com</t>
  </si>
  <si>
    <t>http://www.linkedin.com/in/renaudmartellon</t>
  </si>
  <si>
    <t>http://www.espemtl.com</t>
  </si>
  <si>
    <t xml:space="preserve">3800 Boulevard Cremazie E, Montreal, Quebec, Canada, H2A 1B8</t>
  </si>
  <si>
    <t xml:space="preserve">ESPÉ est spécialiste de la rénovation haut de gamme à Montréal depuis plus de 20 ans. Discutons dès maintenant de votre projet de rénovation!</t>
  </si>
  <si>
    <t>Deruelle</t>
  </si>
  <si>
    <t>BDDRP</t>
  </si>
  <si>
    <t>lderuelle@bddrp.fr</t>
  </si>
  <si>
    <t>http://www.linkedin.com/in/laurent-deruelle-7a53865</t>
  </si>
  <si>
    <t>http://www.bddrp.com</t>
  </si>
  <si>
    <t xml:space="preserve">167B Rue de la Porte Jaune, Garches, Ile-de-France, France, 92380</t>
  </si>
  <si>
    <t xml:space="preserve">Installé à Garches, le Groupe BDDRP est un professionnel du bâtiment (plomberie, électricité, étanchéité, chauffage, climatisation...)</t>
  </si>
  <si>
    <t>Chevalard</t>
  </si>
  <si>
    <t xml:space="preserve">CLEAS PROTECTION</t>
  </si>
  <si>
    <t>jc@cleas-protection.fr</t>
  </si>
  <si>
    <t>http://www.linkedin.com/in/julien-chevalard-230330a8</t>
  </si>
  <si>
    <t>http://www.cleas-protection.fr</t>
  </si>
  <si>
    <t xml:space="preserve">5 Rue du Pont Lunettes, Vourles, Auvergne-Rhone-Alpes, France, 69390</t>
  </si>
  <si>
    <t xml:space="preserve">Cleas Protection, est l’expert français de la Sécurité en Hauteur et dans la pose et réalisation de matériel Antichute, découvrez notre catalogue en ligne dès maintenant.</t>
  </si>
  <si>
    <t>Jildaz</t>
  </si>
  <si>
    <t>Adeux</t>
  </si>
  <si>
    <t xml:space="preserve">CV CLIM</t>
  </si>
  <si>
    <t>j.adeux@cv-clim.fr</t>
  </si>
  <si>
    <t>http://www.linkedin.com/in/jildaz-adeux-a137a0a2</t>
  </si>
  <si>
    <t>http://www.cv-clim.fr</t>
  </si>
  <si>
    <t xml:space="preserve">La Meziere, Brittany, France</t>
  </si>
  <si>
    <t>Pires</t>
  </si>
  <si>
    <t xml:space="preserve">URBEL FACADE</t>
  </si>
  <si>
    <t>rpires@urbel.fr</t>
  </si>
  <si>
    <t>http://www.linkedin.com/in/roberto-pires-5523a3a7</t>
  </si>
  <si>
    <t>http://www.urbel.fr</t>
  </si>
  <si>
    <t xml:space="preserve">Lieu-dit Le Plantin, Lillers, Hauts-de-France, France, 62190</t>
  </si>
  <si>
    <t xml:space="preserve">Avec Urbel vous avez trouvé une entreprise de façade spécialisée dans l'enduit extérieur, le crépi, l'isolation thermique par l’extérieur, le ravalement et la rénovation de façade</t>
  </si>
  <si>
    <t xml:space="preserve">Tout Faire By ALMAT</t>
  </si>
  <si>
    <t>f.badier@toutfaire.pro</t>
  </si>
  <si>
    <t>http://www.linkedin.com/in/fr%c3%a9d%c3%a9ric-badier-47531017a</t>
  </si>
  <si>
    <t>http://www.toutfaire.pro</t>
  </si>
  <si>
    <t xml:space="preserve">Maxeville, Grand Est, France</t>
  </si>
  <si>
    <t>Guillou</t>
  </si>
  <si>
    <t xml:space="preserve">Chabrié Isolation</t>
  </si>
  <si>
    <t>tguillou@chabrie-isolation.fr</t>
  </si>
  <si>
    <t>http://www.linkedin.com/in/thomas-guillou-15539418b</t>
  </si>
  <si>
    <t>http://www.chabrie-isolation.fr</t>
  </si>
  <si>
    <t>Sainte-Colombe-en-Bruilhois</t>
  </si>
  <si>
    <t xml:space="preserve">1116 Allee de la Seynes, Sainte-Colombe-en-Bruilhois, Nouvelle-Aquitaine, France, 47310</t>
  </si>
  <si>
    <t xml:space="preserve">Spécialistes du froid : chambre froide, plateformes logistiques, bâtiments exceptionnels, faux plafonds, cloisons isothermes, salles blanches...Confiez votre projet à Chabrié Isolation dans le Sud-Ouest</t>
  </si>
  <si>
    <t>Juillet</t>
  </si>
  <si>
    <t xml:space="preserve">CHANIN BTP</t>
  </si>
  <si>
    <t>m.juillet@chaninbtp.fr</t>
  </si>
  <si>
    <t>http://www.linkedin.com/in/matthieu-juillet-44b972146</t>
  </si>
  <si>
    <t>http://www.chaninbtp.fr</t>
  </si>
  <si>
    <t xml:space="preserve">7 Rue Salvador Allende, Palaiseau, Ile-de-France, France, 91120</t>
  </si>
  <si>
    <t xml:space="preserve">La société CHANIN BTP fait partie du groupe Confluence. Nous sommes spécialiste en reprise en sous-œuvre, consolidation de sol et fondations.</t>
  </si>
  <si>
    <t>Messac</t>
  </si>
  <si>
    <t xml:space="preserve">TRADI ART Construction</t>
  </si>
  <si>
    <t>laurent.messac@tradiart-construction.fr</t>
  </si>
  <si>
    <t>http://www.linkedin.com/in/laurent-messac-400277103</t>
  </si>
  <si>
    <t>http://www.tradiart-construction.fr</t>
  </si>
  <si>
    <t>Fleury-Merogis</t>
  </si>
  <si>
    <t xml:space="preserve">38 Rue Clement Ader, Fleury-Merogis, Ile-de-France, France, 91700</t>
  </si>
  <si>
    <t>Carvalho</t>
  </si>
  <si>
    <t>STGC</t>
  </si>
  <si>
    <t>yannick.decarvalho@stgc.fr</t>
  </si>
  <si>
    <t>http://www.linkedin.com/in/yannick-de-carvalho-0368301bb</t>
  </si>
  <si>
    <t>http://www.stgc.fr</t>
  </si>
  <si>
    <t xml:space="preserve">Confiez l'installation de pompes à chaleur, systèmes Biomasse ou chaudières à gaz à un partenaire expert en génie climatique installé dans toute la France</t>
  </si>
  <si>
    <t>quentin.wagner@gifetal.fr</t>
  </si>
  <si>
    <t>http://www.linkedin.com/in/quentin-wagner-45266b1aa</t>
  </si>
  <si>
    <t>Akif</t>
  </si>
  <si>
    <t>mounir.akif@resolutionfrance.com</t>
  </si>
  <si>
    <t>http://www.linkedin.com/in/mounir-akif-2a415143</t>
  </si>
  <si>
    <t>Top</t>
  </si>
  <si>
    <t xml:space="preserve">TOP VAN DOOREN</t>
  </si>
  <si>
    <t>maxence.top@topvandooren.com</t>
  </si>
  <si>
    <t>http://www.linkedin.com/in/maxence-top-8b2a7426</t>
  </si>
  <si>
    <t>http://www.topvandooren.net</t>
  </si>
  <si>
    <t xml:space="preserve">Avenue Archimede, Saint-Quentin, Hauts-de-France, France, 02100</t>
  </si>
  <si>
    <t xml:space="preserve">Poseur de revêtement de sols souples à Saint Quentin, nous intervenons sur la région Picardie, Nord pas de Calais, Champagne Ardennes.</t>
  </si>
  <si>
    <t xml:space="preserve">AT Métallerie SAS</t>
  </si>
  <si>
    <t>yves.guillaume@atmetallerie.fr</t>
  </si>
  <si>
    <t>http://www.linkedin.com/in/yvesguillaume</t>
  </si>
  <si>
    <t>http://www.atmetallerie.fr</t>
  </si>
  <si>
    <t xml:space="preserve">15 Rue Saint-Gilles, Bonneval, Centre-Val de Loire, France, 28800</t>
  </si>
  <si>
    <t xml:space="preserve">Etablie à Chartres, l’entreprise AT Métallerie réalise pour vous tous types de travaux de métallerie ferronnerie sur-mesure.</t>
  </si>
  <si>
    <t>Boussalla</t>
  </si>
  <si>
    <t xml:space="preserve">Directeur Général de la franchise TILKEO</t>
  </si>
  <si>
    <t>abdel.boussalla@tilkeo.com</t>
  </si>
  <si>
    <t>http://www.linkedin.com/in/abdel-boussalla</t>
  </si>
  <si>
    <t xml:space="preserve">SPA PIscines</t>
  </si>
  <si>
    <t>christophe.pascal@spapiscines.com</t>
  </si>
  <si>
    <t>http://www.linkedin.com/in/christophe-pascal-8b70a2164</t>
  </si>
  <si>
    <t>http://www.spapiscines.com</t>
  </si>
  <si>
    <t xml:space="preserve">Route de Grenoble, Nice, Provence-Alpes-Cote d'Azur, France, 06200</t>
  </si>
  <si>
    <t xml:space="preserve">SPA Piscines Nice vous propose ses piscinistes afin de réaliser votre piscine dans le 06 en Alpes Maritimes. Numéro 1 de la piscine Nice.</t>
  </si>
  <si>
    <t>Audoux</t>
  </si>
  <si>
    <t xml:space="preserve">AURORA INGENIERIE</t>
  </si>
  <si>
    <t>michael.audoux@aurora-ingenierie.com</t>
  </si>
  <si>
    <t>http://www.linkedin.com/in/michael-audoux-366a0b87</t>
  </si>
  <si>
    <t>http://www.aurora-ingenierie.com</t>
  </si>
  <si>
    <t xml:space="preserve">10 Chemin de la Garenne, Saint-Marc-Jaumegarde, Provence-Alpes-Cote d'Azur, France, 13100</t>
  </si>
  <si>
    <t>Lasch</t>
  </si>
  <si>
    <t xml:space="preserve">MB PASSION</t>
  </si>
  <si>
    <t>florian.ll@mb-passion.com</t>
  </si>
  <si>
    <t>http://www.linkedin.com/in/mbpassion</t>
  </si>
  <si>
    <t>http://www.mb-passion.com</t>
  </si>
  <si>
    <t>Betschdorf</t>
  </si>
  <si>
    <t xml:space="preserve">Betschdorf, Grand Est, France</t>
  </si>
  <si>
    <t xml:space="preserve">MB Passion, pour vous accompagner dans tous vos projets de rénovations et d'isolations de combles et de toitures.
Nos domaines d'actions : 
- Charpente
- Couverture &amp; Zinguerie &amp; Etanchéité
- Pose de fenêtres de toit Velux
- Construction de maison à ossature bois &amp; colombage
- Création de terrasse en bois
- Démoussage de toitures</t>
  </si>
  <si>
    <t xml:space="preserve">Amhpb Créations</t>
  </si>
  <si>
    <t>didier@amhpb.fr</t>
  </si>
  <si>
    <t>http://www.linkedin.com/in/didier-boyer-815478126</t>
  </si>
  <si>
    <t>http://www.amhpbcreations.com</t>
  </si>
  <si>
    <t xml:space="preserve">AMHPB CREATIONS Entreprise Générale &amp; Agencement d'intérieur, conçoit des solutions sur mesure, en étroite relation avec ses clients.Nous avons la bonne solution pour vous en matière de rénovations, d’aménagement intérieur et mobilier.</t>
  </si>
  <si>
    <t xml:space="preserve">Directrice générale et responsable de la production chez BCM (Bâtiments Constructions Modulaires)</t>
  </si>
  <si>
    <t>h.robin@bcm.fr</t>
  </si>
  <si>
    <t>http://www.linkedin.com/in/h%c3%a9l%c3%a8ne-robin-54b868163</t>
  </si>
  <si>
    <t>Tahir</t>
  </si>
  <si>
    <t xml:space="preserve">SAS DEMEURES PARISIENNES</t>
  </si>
  <si>
    <t>t.arshad@demeuresparisiennes.fr</t>
  </si>
  <si>
    <t>http://www.linkedin.com/in/tahir-arshad-57735a13a</t>
  </si>
  <si>
    <t>http://www.demeuresparisiennes.net</t>
  </si>
  <si>
    <t xml:space="preserve">2 Rue Leon Blum, Palaiseau, Ile-de-France, France, 91120</t>
  </si>
  <si>
    <t xml:space="preserve">Demeures Parisiennes, une référence incontournable dans le domaine de la construction de maisons individuelles et de la rénovation à Paris.</t>
  </si>
  <si>
    <t>Abou</t>
  </si>
  <si>
    <t>Dia</t>
  </si>
  <si>
    <t>Diarbosa</t>
  </si>
  <si>
    <t>abou.dia@diarbosaservices.com</t>
  </si>
  <si>
    <t>http://www.linkedin.com/in/abou-dia-409588241</t>
  </si>
  <si>
    <t>http://www.diarbosa.com</t>
  </si>
  <si>
    <t>Sutter</t>
  </si>
  <si>
    <t xml:space="preserve">► Directeur général ◄</t>
  </si>
  <si>
    <t xml:space="preserve">REA HABITAT</t>
  </si>
  <si>
    <t>sutter@rea-habitat.fr</t>
  </si>
  <si>
    <t>http://www.linkedin.com/in/christophe-sutter</t>
  </si>
  <si>
    <t>http://www.rea-habitat.fr</t>
  </si>
  <si>
    <t xml:space="preserve">2 Rue du Rhin Napoleon, Strasbourg, Grand Est, France, 67000</t>
  </si>
  <si>
    <t xml:space="preserve">Entreprise de rénovation, d'extension et de construction de maison et petits collectifs en Alsace et à Strasbourg</t>
  </si>
  <si>
    <t>Liot</t>
  </si>
  <si>
    <t xml:space="preserve">Launet Construction</t>
  </si>
  <si>
    <t>victor.liot@launet.fr</t>
  </si>
  <si>
    <t>http://www.linkedin.com/in/victor-liot-80216a100</t>
  </si>
  <si>
    <t>http://www.launet.fr</t>
  </si>
  <si>
    <t xml:space="preserve">Beauvais, Picardy, France, 60000</t>
  </si>
  <si>
    <t>Montariol</t>
  </si>
  <si>
    <t xml:space="preserve">3S EQUIPEMENTS ROUTIERS</t>
  </si>
  <si>
    <t>b.montariol@3s-er.com</t>
  </si>
  <si>
    <t>http://www.linkedin.com/in/bertrand-montariol-bbb898a6</t>
  </si>
  <si>
    <t>http://www.wpcode.fr</t>
  </si>
  <si>
    <t xml:space="preserve">10 Chemin des Caminoles, Portet-sur-Garonne, Occitanie, France, 31120</t>
  </si>
  <si>
    <t>Gohier</t>
  </si>
  <si>
    <t>ISOPANEL</t>
  </si>
  <si>
    <t>hgohier@isopanel.fr</t>
  </si>
  <si>
    <t>http://www.linkedin.com/in/h%c3%a9l%c3%a8ne-gohier-341241234</t>
  </si>
  <si>
    <t>http://www.isopanel.fr</t>
  </si>
  <si>
    <t>Chateau-Gontier</t>
  </si>
  <si>
    <t xml:space="preserve">1 Allee de la Rufiniere, Chateau-Gontier, Pays de la Loire, France, 53200</t>
  </si>
  <si>
    <t xml:space="preserve">Terrasses à Vivre</t>
  </si>
  <si>
    <t>r.bernard@terrasses-a-vivre.fr</t>
  </si>
  <si>
    <t>http://www.linkedin.com/in/rapha%c3%abl-bernard-a9b74683</t>
  </si>
  <si>
    <t>http://www.terrasses-a-vivre.fr</t>
  </si>
  <si>
    <t xml:space="preserve">6 Rue de Bruxelles, Thouare-sur-Loire, Pays de la Loire, France, 44470</t>
  </si>
  <si>
    <t xml:space="preserve">La construction de maisons individuelles et de maisons d’oeuvre nécessite l’intervention de professionnels spécialisés dans chacun des corps de métier. Terrasses à vivre, professionnel de l’étanchéité, met à profit plus de 45 années d’expérience afin de vous assurer la meilleure qualité de service.</t>
  </si>
  <si>
    <t xml:space="preserve">GROUPE ETO</t>
  </si>
  <si>
    <t>jdelalande@groupe-eto.com</t>
  </si>
  <si>
    <t>http://www.linkedin.com/in/juliendelalande</t>
  </si>
  <si>
    <t>http://www.groupe-eto.com</t>
  </si>
  <si>
    <t xml:space="preserve">33 Rue Godefroy, Lyon, Auvergne-Rhone-Alpes, France, 69006</t>
  </si>
  <si>
    <t xml:space="preserve">PME spécialisées dans les métiers du bâtiment. Savoir-faire et expertise du second-oeuvre. Agencement &amp; menuiserie / Staff &amp; plafond / Aménagement de bureau</t>
  </si>
  <si>
    <t>Zoran</t>
  </si>
  <si>
    <t>Dordevic</t>
  </si>
  <si>
    <t xml:space="preserve">SG BTP</t>
  </si>
  <si>
    <t>zoran@sg-btp.fr</t>
  </si>
  <si>
    <t>http://www.linkedin.com/in/zoran-dordevic-09791b212</t>
  </si>
  <si>
    <t>http://www.sg-btp.fr</t>
  </si>
  <si>
    <t>Joimel</t>
  </si>
  <si>
    <t xml:space="preserve">Président et associé chez Géo²concept</t>
  </si>
  <si>
    <t>Geo²Concept</t>
  </si>
  <si>
    <t>mjoimel@geo2concept.fr</t>
  </si>
  <si>
    <t>http://www.linkedin.com/in/mathieu-joimel-2297aa131</t>
  </si>
  <si>
    <t>http://www.geo2concept.fr</t>
  </si>
  <si>
    <t xml:space="preserve">Route de Croix de Mission, Dirinon, Brittany, France, 29460</t>
  </si>
  <si>
    <t xml:space="preserve">Bureau d’étude technique travaux publics &amp; bâtiments (Topographie, Géotechnique, Maîtrise d’œuvre &amp; VRD, Environnement) présent sur le Finistère, Morbihan &amp; Côtes d’Armor : Brest, Quimper, Morlaix, Lorient, Vannes, Saint-Brieuc.</t>
  </si>
  <si>
    <t>Nau</t>
  </si>
  <si>
    <t xml:space="preserve">MOTEC INGENIERIE</t>
  </si>
  <si>
    <t>fnau@motec-ingenierie.fr</t>
  </si>
  <si>
    <t>http://www.linkedin.com/in/fabien-nau-184877183</t>
  </si>
  <si>
    <t>http://www.motec-ingenierie.fr</t>
  </si>
  <si>
    <t xml:space="preserve">MOTEC INGENIERIE est un acteur reconnu dans la maîtrise d'oeuvre du bâtiment de la région des Pays de la Loire et de Nantes Métropole.</t>
  </si>
  <si>
    <t>Berhil</t>
  </si>
  <si>
    <t xml:space="preserve">Laboratoire CEAPIC</t>
  </si>
  <si>
    <t>jberhil@ceapic.fr</t>
  </si>
  <si>
    <t>http://www.linkedin.com/in/jamel-berhil-923291111</t>
  </si>
  <si>
    <t>http://www.ccl-lab.fr</t>
  </si>
  <si>
    <t xml:space="preserve">13 Rue Louis Armand, Soisy-sous-Montmorency, Ile-de-France, France, 95230</t>
  </si>
  <si>
    <t xml:space="preserve">CCL Laboratoires</t>
  </si>
  <si>
    <t>Souchal</t>
  </si>
  <si>
    <t xml:space="preserve">CONTANT S.A.S</t>
  </si>
  <si>
    <t>b.souchal@contant.fr</t>
  </si>
  <si>
    <t>http://www.linkedin.com/in/bruno-souchal-3a883475</t>
  </si>
  <si>
    <t>http://www.contant.fr</t>
  </si>
  <si>
    <t xml:space="preserve">1 Impasse Paul Contant, Lubersac, Nouvelle-Aquitaine, France, 19210</t>
  </si>
  <si>
    <t xml:space="preserve">CONTANT ENTREPRISE SAS : Forages dirigés, forages géothermie, réseaux d'électricité, éclairage public, AEP, Gaz, Télécommunication</t>
  </si>
  <si>
    <t>Delfosse</t>
  </si>
  <si>
    <t xml:space="preserve">MENUISERIE VUILLERMET</t>
  </si>
  <si>
    <t>pdelfosse@menuiserie-vuillermet.com</t>
  </si>
  <si>
    <t>http://www.linkedin.com/in/philippe-delfosse-047487a2</t>
  </si>
  <si>
    <t>http://www.menuiserie-vuillermet.com</t>
  </si>
  <si>
    <t>SANIPAC</t>
  </si>
  <si>
    <t>raphael.garnier@sanipac.fr</t>
  </si>
  <si>
    <t>http://www.linkedin.com/in/raphael-garnier-aaa23592</t>
  </si>
  <si>
    <t>http://www.sanipac.fr</t>
  </si>
  <si>
    <t xml:space="preserve">8 Rue des Sources, Annonay, Auvergne-Rhone-Alpes, France, 07100</t>
  </si>
  <si>
    <t xml:space="preserve">Sanipac est votre plombier, chauffagiste, installateur et dépanneur à Annonay (Ardèche) et environs. Devis gratuit, n'hésitez pas à nous contacter.</t>
  </si>
  <si>
    <t>gilles.blanchard@ipebat.com</t>
  </si>
  <si>
    <t>http://www.linkedin.com/in/gilles-blanchard</t>
  </si>
  <si>
    <t>Constantinides</t>
  </si>
  <si>
    <t xml:space="preserve">AT Plus production</t>
  </si>
  <si>
    <t>paul@atplus.fr</t>
  </si>
  <si>
    <t>http://www.linkedin.com/in/paul-constantinides-3208794</t>
  </si>
  <si>
    <t>http://www.atplus.fr</t>
  </si>
  <si>
    <t xml:space="preserve">7 Allee de la Capitelle, Cournonsec, Languedoc-Roussillon, France, 34660</t>
  </si>
  <si>
    <t>Duminil</t>
  </si>
  <si>
    <t xml:space="preserve">Directeur général TP Entreprise</t>
  </si>
  <si>
    <t>GCBTP</t>
  </si>
  <si>
    <t>j.duminil@gcbtp.fr</t>
  </si>
  <si>
    <t>http://www.linkedin.com/in/joachim-duminil-a6360a55</t>
  </si>
  <si>
    <t>http://www.gcbtp.fr</t>
  </si>
  <si>
    <t>D'Hondt</t>
  </si>
  <si>
    <t xml:space="preserve">Directrice Générale Adjointe en charge des opérations</t>
  </si>
  <si>
    <t xml:space="preserve">Île-de-France Construction Durable</t>
  </si>
  <si>
    <t>g.dhondt@idf-constructiondurable.fr</t>
  </si>
  <si>
    <t>http://www.linkedin.com/in/ghislaine-d-hondt-191401aa</t>
  </si>
  <si>
    <t>http://www.idf-constructiondurable.fr</t>
  </si>
  <si>
    <t>Saint-Simeon</t>
  </si>
  <si>
    <t xml:space="preserve">Rue Saint-Denis, Saint-Ouen, Ile-de-France, France, 93400</t>
  </si>
  <si>
    <t>Soret</t>
  </si>
  <si>
    <t>d.soret@floriot.fr</t>
  </si>
  <si>
    <t>http://www.linkedin.com/in/david-soret-a4770961</t>
  </si>
  <si>
    <t>Faravellon</t>
  </si>
  <si>
    <t>TOUTENVERT</t>
  </si>
  <si>
    <t>m.faravellon@toutenvert.fr</t>
  </si>
  <si>
    <t>http://www.linkedin.com/in/mathieu-faravellon-920087290</t>
  </si>
  <si>
    <t>http://www.toutenvert.com</t>
  </si>
  <si>
    <t xml:space="preserve">Chatte, Rhone-Alpes, France</t>
  </si>
  <si>
    <t xml:space="preserve">Découvrez Toutenvert Travaux Publics et ses chantiers en Rhône-Alpes : TP, terrassement, Voirie Réseaux Divers, aménagement urbain, aménagement paysager...</t>
  </si>
  <si>
    <t>VETISOL</t>
  </si>
  <si>
    <t>borne@vetisol.com</t>
  </si>
  <si>
    <t>http://www.linkedin.com/in/frenois-gilles-363ba8a6</t>
  </si>
  <si>
    <t>http://www.vetisol.fr</t>
  </si>
  <si>
    <t xml:space="preserve">890 Rue des Freres Lumiere, Macon, Burgundy, France, 71000</t>
  </si>
  <si>
    <t>Martz</t>
  </si>
  <si>
    <t xml:space="preserve">SOL SOLUTION</t>
  </si>
  <si>
    <t>cmartz@solsolution.com</t>
  </si>
  <si>
    <t>http://www.linkedin.com/in/christophe-martz-09b76330</t>
  </si>
  <si>
    <t>http://www.solsolution.com</t>
  </si>
  <si>
    <t xml:space="preserve">10 Rue de la Rabotiere, Saint-Herblain, Pays de la Loire, France, 44800</t>
  </si>
  <si>
    <t xml:space="preserve">Spécialiste français du revêtement de sol en résine pour les usages spécifiques des industries, entreprises, établissements privés et publics</t>
  </si>
  <si>
    <t>Auddino</t>
  </si>
  <si>
    <t xml:space="preserve">Président / Directeur général</t>
  </si>
  <si>
    <t>raphaelauddino@maisonsclaire.com</t>
  </si>
  <si>
    <t>http://www.linkedin.com/in/rapha%c3%abl-auddino-6128691a9</t>
  </si>
  <si>
    <t>Ay-sur-Moselle</t>
  </si>
  <si>
    <t>Taha</t>
  </si>
  <si>
    <t>Aladine</t>
  </si>
  <si>
    <t>taladine@map3.net</t>
  </si>
  <si>
    <t>http://www.linkedin.com/in/taha-aladine-425a01103</t>
  </si>
  <si>
    <t>RAM</t>
  </si>
  <si>
    <t>thibault.foucault@ram.fr</t>
  </si>
  <si>
    <t>http://www.linkedin.com/in/thibault-foucault-0278abb8</t>
  </si>
  <si>
    <t>http://www.ram.fr</t>
  </si>
  <si>
    <t xml:space="preserve">8 Avenue Ampere, Wissous, Ile-de-France, France, 91320</t>
  </si>
  <si>
    <t xml:space="preserve">Construction Savoyarde</t>
  </si>
  <si>
    <t>hbroche@constructionsavoyarde.fr</t>
  </si>
  <si>
    <t>http://www.linkedin.com/in/hugo-broche-39378b174</t>
  </si>
  <si>
    <t>http://www.constructionsavoyarde.fr</t>
  </si>
  <si>
    <t xml:space="preserve">Macot-la-Plagne, France, 73210</t>
  </si>
  <si>
    <t>Oceane</t>
  </si>
  <si>
    <t xml:space="preserve">Lbs Demolition</t>
  </si>
  <si>
    <t>oceane.leroux@lbsdemolition.fr</t>
  </si>
  <si>
    <t>http://www.linkedin.com/in/oc%c3%a9ane-leroux-98abb81a8</t>
  </si>
  <si>
    <t>http://www.lbsdemolition.fr</t>
  </si>
  <si>
    <t xml:space="preserve">Les Attaques, Hauts-de-France, France</t>
  </si>
  <si>
    <t>Bisceglia</t>
  </si>
  <si>
    <t xml:space="preserve">SICE PREVIT FRANCE SARL</t>
  </si>
  <si>
    <t>mario.bisceglia@sicefrance.fr</t>
  </si>
  <si>
    <t>http://www.linkedin.com/in/mario-bisceglia</t>
  </si>
  <si>
    <t>http://www.sicefrance.fr</t>
  </si>
  <si>
    <t xml:space="preserve">14 Rue d'Antin, Paris, Ile-de-France, France, 75002</t>
  </si>
  <si>
    <t>Vacaresse</t>
  </si>
  <si>
    <t xml:space="preserve">ECIB Exploitation</t>
  </si>
  <si>
    <t>y.vacaresse@ecib.fr</t>
  </si>
  <si>
    <t>http://www.linkedin.com/in/yves-vacaresse-3aa09791</t>
  </si>
  <si>
    <t>http://www.ecib-pv.fr</t>
  </si>
  <si>
    <t xml:space="preserve">5 Rue Agache Kuhlmann, Le Petit-Quevilly, Normandie, France, 76140</t>
  </si>
  <si>
    <t>HERKRUG</t>
  </si>
  <si>
    <t>nicolas.hernandez@herkrug.fr</t>
  </si>
  <si>
    <t>http://www.linkedin.com/in/nicolas-hernandez-3b726636</t>
  </si>
  <si>
    <t>http://www.herkrug.fr</t>
  </si>
  <si>
    <t xml:space="preserve">6 Rue du Moulin a Vent, Grisy-Suisnes, Ile-de-France, France, 77166</t>
  </si>
  <si>
    <t xml:space="preserve">Fondée en 1979, Herkrug a su s’imposer au fil des années, comme un acteur majeur du secteur de l’enveloppe du bâtiment en Seine et Marne et sur tout le territoire Francilien.</t>
  </si>
  <si>
    <t>Tisseyre</t>
  </si>
  <si>
    <t xml:space="preserve">BECK ET CIE</t>
  </si>
  <si>
    <t>d.tisseyre@becketcie.fr</t>
  </si>
  <si>
    <t>http://www.linkedin.com/in/david-tisseyre-845477117</t>
  </si>
  <si>
    <t>http://www.beck-et-cie.com</t>
  </si>
  <si>
    <t xml:space="preserve">Avenue des Alberes, Millas, Occitanie, France, 66170</t>
  </si>
  <si>
    <t>Moncenix</t>
  </si>
  <si>
    <t>NEOCEN</t>
  </si>
  <si>
    <t>yann.moncenix@neocen.fr</t>
  </si>
  <si>
    <t>http://www.linkedin.com/in/yann-moncenix-a8078816b</t>
  </si>
  <si>
    <t>http://www.neocen.fr</t>
  </si>
  <si>
    <t xml:space="preserve">Rue des Blaches, La Buissiere, Auvergne-Rhone-Alpes, France, 38530</t>
  </si>
  <si>
    <t>Salvo</t>
  </si>
  <si>
    <t>ICM</t>
  </si>
  <si>
    <t>s.salvo@icm13.fr</t>
  </si>
  <si>
    <t>http://www.linkedin.com/in/stephane-salvo-b64722130</t>
  </si>
  <si>
    <t>http://www.icm13.fr</t>
  </si>
  <si>
    <t xml:space="preserve">23 Rue de Berlin, Vitrolles, Provence-Alpes-Cote d'Azur, France, 13127</t>
  </si>
  <si>
    <t xml:space="preserve">ICM et ITA sont spécialistes des constructions métalliques, charpentes métalliques complexes et d’habillage de façades décoratives en métal tissé.</t>
  </si>
  <si>
    <t xml:space="preserve">L2A Agencement</t>
  </si>
  <si>
    <t>flegendre@l2a-agencement.com</t>
  </si>
  <si>
    <t>http://www.linkedin.com/in/fran%c3%a7ois-legendre-l2a</t>
  </si>
  <si>
    <t>http://www.l2a-agencement.com</t>
  </si>
  <si>
    <t xml:space="preserve">39 Rue de l'Atlantique, Basse-Goulaine, Pays de la Loire, France, 44115</t>
  </si>
  <si>
    <t xml:space="preserve">Depuis sa création en 2007, L2A Agencement réalise pour ses clients l’ensemble des travaux de second-oeuvre et d’aménagement intérieur.</t>
  </si>
  <si>
    <t>Trezentos</t>
  </si>
  <si>
    <t xml:space="preserve">Bat'inov Concept</t>
  </si>
  <si>
    <t>m.trezentos@batinovconcept.fr</t>
  </si>
  <si>
    <t>http://www.linkedin.com/in/michael-trezentos-7a0302b6</t>
  </si>
  <si>
    <t>http://www.batinovconcept.fr</t>
  </si>
  <si>
    <t xml:space="preserve">24 Rue du General de Gaulle, Neuilly-Plaisance, Ile-de-France, France, 93360</t>
  </si>
  <si>
    <t>Even</t>
  </si>
  <si>
    <t>Soleo</t>
  </si>
  <si>
    <t>g.even@soleo.io</t>
  </si>
  <si>
    <t>http://www.linkedin.com/in/gildas-even-0b57a745</t>
  </si>
  <si>
    <t>http://www.soleo.io</t>
  </si>
  <si>
    <t xml:space="preserve">Pilotez et automatisez simplement la gestion de vos projets de travaux et de construction. Soleo apporte de la vision aux donneurs d’ordre en facilitant la supervision financière, administrative et contractuelle des opérations de construction.</t>
  </si>
  <si>
    <t>Marchay</t>
  </si>
  <si>
    <t>Phaselec</t>
  </si>
  <si>
    <t>philippe@phaselec.com</t>
  </si>
  <si>
    <t>http://www.linkedin.com/in/philippe-marchay-9626b5</t>
  </si>
  <si>
    <t>http://www.phaselec.com</t>
  </si>
  <si>
    <t xml:space="preserve">1514 Chemin de la Plaine, Mougins, Provence-Alpes-Cote d'Azur, France, 06250</t>
  </si>
  <si>
    <t>Prouaix</t>
  </si>
  <si>
    <t xml:space="preserve">Couserans construction</t>
  </si>
  <si>
    <t>prouaix@couseransconstruction.fr</t>
  </si>
  <si>
    <t>http://www.linkedin.com/in/patrick-prouaix-253573131</t>
  </si>
  <si>
    <t>http://www.couseransconstruction.fr</t>
  </si>
  <si>
    <t>Landolt</t>
  </si>
  <si>
    <t>DrillHeat</t>
  </si>
  <si>
    <t>p.landolt@drillheat.com</t>
  </si>
  <si>
    <t>http://www.linkedin.com/in/patricelandolt</t>
  </si>
  <si>
    <t>http://www.drillheat.com</t>
  </si>
  <si>
    <t xml:space="preserve">Drill Heat cherche à optimiser le dimensionnement des installations afin de limiter l’investissement et optimiser votre projet de géothermie</t>
  </si>
  <si>
    <t>Saillard</t>
  </si>
  <si>
    <t xml:space="preserve">SAS TP SAILLARD</t>
  </si>
  <si>
    <t>robin@tp-saillard.fr</t>
  </si>
  <si>
    <t>http://www.linkedin.com/in/robin-saillard-b24190139</t>
  </si>
  <si>
    <t>http://www.tp-saillard.fr</t>
  </si>
  <si>
    <t>Arbois</t>
  </si>
  <si>
    <t xml:space="preserve">Route de Villeneuve, Arbois, Franche-Comte, France, 39600</t>
  </si>
  <si>
    <t xml:space="preserve">Directeur général et ingénieur méthodes</t>
  </si>
  <si>
    <t xml:space="preserve">SODEP INGENIERIE</t>
  </si>
  <si>
    <t>etienne.morelle@sodep.net</t>
  </si>
  <si>
    <t>http://www.linkedin.com/in/etienne-morelle-3475459b</t>
  </si>
  <si>
    <t>http://www.sodep.net</t>
  </si>
  <si>
    <t xml:space="preserve">26 Rue du President Paul Doumer, Villeneuve-d'Ascq, Hauts-de-France, France, 59650</t>
  </si>
  <si>
    <t>Asimus</t>
  </si>
  <si>
    <t xml:space="preserve">Directeur général et gérant - Executive Director</t>
  </si>
  <si>
    <t>SOLOSAR</t>
  </si>
  <si>
    <t>asimus@solosar.fr</t>
  </si>
  <si>
    <t>http://www.linkedin.com/in/patrick-asimus-bbaba112</t>
  </si>
  <si>
    <t>http://www.solosar.fr</t>
  </si>
  <si>
    <t xml:space="preserve">3 Rue Docteur Guillaume Schoettke, Sarreguemines, Grand Est, France, 57200</t>
  </si>
  <si>
    <t xml:space="preserve">LOMA Ingénierie</t>
  </si>
  <si>
    <t>loic.cadet@loma-ing.fr</t>
  </si>
  <si>
    <t>http://www.linkedin.com/in/lo%c3%afc-cadet-91921469</t>
  </si>
  <si>
    <t>http://www.loma-ing.fr</t>
  </si>
  <si>
    <t xml:space="preserve">Avenue Alfred Kastler, La Valette-du-Var, Provence-Alpes-Cote d'Azur, France, 83160</t>
  </si>
  <si>
    <t>Varnajot</t>
  </si>
  <si>
    <t xml:space="preserve">FOUNDER &amp; PRESIDENT</t>
  </si>
  <si>
    <t xml:space="preserve">HARMONIE CONCEPT groupe LV</t>
  </si>
  <si>
    <t>l.varnajot@harmonieconcept.com</t>
  </si>
  <si>
    <t>http://www.linkedin.com/in/lo%c3%afc-varnajot-7494801a3</t>
  </si>
  <si>
    <t>http://www.harmonieconcept.com</t>
  </si>
  <si>
    <t xml:space="preserve">Saint-Gilles-Croix-de-Vie, Pays de la Loire, France, 85800</t>
  </si>
  <si>
    <t xml:space="preserve">Amenagement de points de vente et commerces | Harmonie Concept</t>
  </si>
  <si>
    <t>VERSANT</t>
  </si>
  <si>
    <t>sab2@versantevenement.com</t>
  </si>
  <si>
    <t>http://www.linkedin.com/in/samir-bouaziz-a4320a27b</t>
  </si>
  <si>
    <t>http://www.versant-groupe.com</t>
  </si>
  <si>
    <t xml:space="preserve">22 Rue d'Arras, Nanterre, Ile-de-France, France, 92000</t>
  </si>
  <si>
    <t xml:space="preserve">VERSANT possède un savoir-faire dans le domaine des interventions en accès difficile. Bâtiment, multiservices, événementiel, com grand format</t>
  </si>
  <si>
    <t>fprevost@ets-peuch.com</t>
  </si>
  <si>
    <t>http://www.linkedin.com/in/pr%c3%a9vost-fr%c3%a9d%c3%a9ric-ba6953109</t>
  </si>
  <si>
    <t xml:space="preserve">CAOM Batiment</t>
  </si>
  <si>
    <t>b.flageul@caom-batiment.fr</t>
  </si>
  <si>
    <t>http://www.linkedin.com/in/beno%c3%aet-flageul-3385a3a6</t>
  </si>
  <si>
    <t>http://www.caom-batiment.fr</t>
  </si>
  <si>
    <t xml:space="preserve">251 Avenue de la Californie, Nice, Provence-Alpes-Cote d'Azur, France, 06200</t>
  </si>
  <si>
    <t xml:space="preserve">Ingénierie bâtimentCAOM est un cabinet de maîtrise d’oeuvreet d’ingénierie de la constructionVoir nos réalisations Play Video Play Video 0101tél04 22 53 03 29 Fondée en janvier 2015, CAOM Bâtiment est une entreprise de Maîtrise d’œuvre accompagnant particuliers et professionnels dans leurs projets de construction, de la conception à la livraison clé en main.Présente à Nice,</t>
  </si>
  <si>
    <t>Carayon</t>
  </si>
  <si>
    <t>CARAYON</t>
  </si>
  <si>
    <t>arnaud.carayon@carayon.com</t>
  </si>
  <si>
    <t>http://www.linkedin.com/in/arnaud-carayon-48669769</t>
  </si>
  <si>
    <t>http://www.carayon.com</t>
  </si>
  <si>
    <t xml:space="preserve">Beziers, Languedoc-Roussillon, France</t>
  </si>
  <si>
    <t>Suchet</t>
  </si>
  <si>
    <t xml:space="preserve">SAS SUCHET</t>
  </si>
  <si>
    <t>jacques@suchet.eu</t>
  </si>
  <si>
    <t>http://www.linkedin.com/in/jacques-suchet-9547a3b4</t>
  </si>
  <si>
    <t>http://www.suchet.eu</t>
  </si>
  <si>
    <t>Cusset</t>
  </si>
  <si>
    <t xml:space="preserve">51 Rue de l'Industrie, Cusset, Auvergne, France, 03300</t>
  </si>
  <si>
    <t xml:space="preserve">Bienvenue sur la page d'accueil de Suchet. Spécialiste du bâtiment : couverture, zinguerie, étanchéité, bardage.</t>
  </si>
  <si>
    <t>Erdal</t>
  </si>
  <si>
    <t>Atas</t>
  </si>
  <si>
    <t>EUROBAT</t>
  </si>
  <si>
    <t>e.atas@euro-bat.com</t>
  </si>
  <si>
    <t>http://www.linkedin.com/in/erdal-atas-a35b18100</t>
  </si>
  <si>
    <t>http://www.euro-bat.com</t>
  </si>
  <si>
    <t xml:space="preserve">Soyez les bienvenus sur le site internet d'Eurobat qui regroupe toutes la vie de l'entreprise ainsi que celles des chantiers.</t>
  </si>
  <si>
    <t>Depreux</t>
  </si>
  <si>
    <t xml:space="preserve">Depreux Construction</t>
  </si>
  <si>
    <t>jdepreux@depreux-construction.fr</t>
  </si>
  <si>
    <t>http://www.linkedin.com/in/jean-depreux-b3214321</t>
  </si>
  <si>
    <t>http://www.depreux-construction.com</t>
  </si>
  <si>
    <t xml:space="preserve">146 Rue des Sorinieres, Reze, Pays de la Loire, France, 44400</t>
  </si>
  <si>
    <t xml:space="preserve">Pour vos projets de construction, rénovation, extension de Maison ou de Batiments professionnels sur le Grand Ouest, choisissez Depreux Construction !</t>
  </si>
  <si>
    <t xml:space="preserve">Groupe JL&amp;P</t>
  </si>
  <si>
    <t>jonathan.leroy@jlandp.com</t>
  </si>
  <si>
    <t>http://www.linkedin.com/in/jonathan-leroy-8b857b16</t>
  </si>
  <si>
    <t>http://www.jlandp.com</t>
  </si>
  <si>
    <t xml:space="preserve">Montesquieu, Occitanie, France, 82200</t>
  </si>
  <si>
    <t xml:space="preserve">Le Groupe JL&amp;P est un groupe d'ingénierie et d'architecture pluridisciplinaire, présent sur l'ensemble du territoire français, intervenant dans les secteurs de l'énergie, l'industrie, du bâtiment, de la mobilité, de l'eau et de l'environnement.</t>
  </si>
  <si>
    <t>mickaelguillet@nivet.fr</t>
  </si>
  <si>
    <t>http://www.linkedin.com/in/micka%c3%abl-guillet-65894b210</t>
  </si>
  <si>
    <t>Glaux</t>
  </si>
  <si>
    <t>HEJ'France</t>
  </si>
  <si>
    <t>n.glaux@hejfrance.com</t>
  </si>
  <si>
    <t>http://www.linkedin.com/in/nicolas-glaux-a3a8b533</t>
  </si>
  <si>
    <t>http://www.hejfrance.com</t>
  </si>
  <si>
    <t xml:space="preserve">14 Rue Michel Strogoff, La Chapelle-sur-Erdre, Pays de la Loire, France, 44240</t>
  </si>
  <si>
    <t xml:space="preserve">Découvrez l’ensemble de notre gamme de Maisons Ossature Bois Suédoises, Basse Consommation et haut de gamme équipées, en standard, avec du triple vitrage, 29 cm d’isolant dans les murs et 40 cm dans les combles.  Tous nos modèles bénéficient de l’expérience de l’usine créée en 1932. Ils sont 100% personnalisables et nous proposons une offre Maison d’Architecte pour réaliser une maison unique adaptée à vos souhaits répondant à l'Exigence Scandinave.</t>
  </si>
  <si>
    <t xml:space="preserve">La Régionale Electrique Climatique Informatique Industrielle</t>
  </si>
  <si>
    <t>francky.pellerin@lre.fr</t>
  </si>
  <si>
    <t>http://www.linkedin.com/in/francky-pellerin-5a4051320</t>
  </si>
  <si>
    <t>http://www.lre.fr</t>
  </si>
  <si>
    <t xml:space="preserve">15 Rue Marcel Dassault, Sainte-Luce-sur-Loire, Pays de la Loire, France, 44980</t>
  </si>
  <si>
    <t xml:space="preserve">LA REGIONALE propose une offre de service complète dans la mise en œuvre et la gestion des énergies fluides et électriques</t>
  </si>
  <si>
    <t>Babin</t>
  </si>
  <si>
    <t xml:space="preserve">YOU Charpentes bois</t>
  </si>
  <si>
    <t>samuel@you-charpentebois.fr</t>
  </si>
  <si>
    <t>http://www.linkedin.com/in/samuel-babin-225070234</t>
  </si>
  <si>
    <t>http://www.you-charpentebois.fr</t>
  </si>
  <si>
    <t xml:space="preserve">Le Bignon</t>
  </si>
  <si>
    <t xml:space="preserve">13 Rue de la Communaute, Le Bignon, Pays de la Loire, France, 44140</t>
  </si>
  <si>
    <t xml:space="preserve">You est un constructeur bois sur Nantes et la Loire-Atlantique. Ses compétences : la maison à ossature bois, l'extension, la rénovation, le bardage bois...</t>
  </si>
  <si>
    <t>Petitqueux</t>
  </si>
  <si>
    <t>Sky'inLab</t>
  </si>
  <si>
    <t>matthieu@skyinlab.fr</t>
  </si>
  <si>
    <t>http://www.linkedin.com/in/matthieu-petitqueux-3454ab113</t>
  </si>
  <si>
    <t>http://www.skyinlab.fr</t>
  </si>
  <si>
    <t xml:space="preserve">38 Rue Lormiere, Montastruc-la-Conseillere, Occitanie, France, 31380</t>
  </si>
  <si>
    <t xml:space="preserve">Réparation et laquage de menuiseries métalliques et PVC directement chez le client, un résultat "Comme neuf !" garanti 5 ans | Service de Serrurerie intégré.</t>
  </si>
  <si>
    <t>Berjonneau</t>
  </si>
  <si>
    <t xml:space="preserve">Accès +</t>
  </si>
  <si>
    <t>yb@accesplus.fr</t>
  </si>
  <si>
    <t>http://www.linkedin.com/in/yann-berjonneau-582541101</t>
  </si>
  <si>
    <t>http://www.accesplus.fr</t>
  </si>
  <si>
    <t xml:space="preserve">Drancy, Ile-de-France, France</t>
  </si>
  <si>
    <t xml:space="preserve">Accès Plus vous accompagne dans tous vos projets d’accessibilité. Des solutions pour l’accessibilité des personnes handicapées, l’adaptation de l’habitat, le contrôle d’accès véhicules, l’aménagement urbain et la signalisation.</t>
  </si>
  <si>
    <t>Turle</t>
  </si>
  <si>
    <t xml:space="preserve">APC INGENIERIE</t>
  </si>
  <si>
    <t>sturle@apc-ingenierie.com</t>
  </si>
  <si>
    <t>http://www.linkedin.com/in/turle-samuel-7000955b</t>
  </si>
  <si>
    <t>http://www.apc-ingenierie.com</t>
  </si>
  <si>
    <t xml:space="preserve">Vigneux-de-Bretagne, Pays de la Loire, France, 44360</t>
  </si>
  <si>
    <t>Okut</t>
  </si>
  <si>
    <t xml:space="preserve">123 Chez Moi</t>
  </si>
  <si>
    <t>a.okut@123chezmoi.com</t>
  </si>
  <si>
    <t>http://www.linkedin.com/in/ali-okut-762b19155</t>
  </si>
  <si>
    <t>http://www.123chezmoi.com</t>
  </si>
  <si>
    <t xml:space="preserve">Rue Gustave Eiffel, Guilherand-Granges, Auvergne-Rhone-Alpes, France, 07500</t>
  </si>
  <si>
    <t xml:space="preserve">Construire votre maison en Drôme — Ardèche en passant par le constructeur 123 Chez Moi, c'est pouvoir construire en toute sérénité et à prix juste.</t>
  </si>
  <si>
    <t>Lazimi</t>
  </si>
  <si>
    <t>RencontreUnArchi.com</t>
  </si>
  <si>
    <t>benjamin@rencontreunarchi.com</t>
  </si>
  <si>
    <t>http://www.linkedin.com/in/benjamin-lazimi-99369a26</t>
  </si>
  <si>
    <t>http://www.rencontreunarchi.com</t>
  </si>
  <si>
    <t xml:space="preserve">34 Rue du Dragon, Paris, Ile-de-France, France, 75006</t>
  </si>
  <si>
    <t xml:space="preserve">Les meilleurs Archis triés sur le volet par un jury d'expert &amp; des entreprises de travaux sélectionnées par nos Archis pour nos Archis, à votre service.</t>
  </si>
  <si>
    <t>Peyron</t>
  </si>
  <si>
    <t>francois@zefco.fr</t>
  </si>
  <si>
    <t>http://www.linkedin.com/in/francois-peyron-63156a21</t>
  </si>
  <si>
    <t>Poudevigne</t>
  </si>
  <si>
    <t xml:space="preserve">IMECA S.A</t>
  </si>
  <si>
    <t>t.poudevigne@imecafrance.fr</t>
  </si>
  <si>
    <t>http://www.linkedin.com/in/thierry-poudevigne-182a3382</t>
  </si>
  <si>
    <t>http://www.imeca-reel.com</t>
  </si>
  <si>
    <t xml:space="preserve">Guatemala City, Guatemala, Guatemala, 01012</t>
  </si>
  <si>
    <t>Guatemala</t>
  </si>
  <si>
    <t>Guermeur</t>
  </si>
  <si>
    <t xml:space="preserve">QUALI CONFORT isolation</t>
  </si>
  <si>
    <t>sebastien.guermeur@qualiconfort.com</t>
  </si>
  <si>
    <t>http://www.linkedin.com/in/sebastien-guermeur-7a82a247</t>
  </si>
  <si>
    <t>http://www.qualiconfort.com</t>
  </si>
  <si>
    <t xml:space="preserve">Plouedern, Brittany, France, 29800</t>
  </si>
  <si>
    <t xml:space="preserve">Optimisez votre habitat avec Qualiconfort : Des solutions expertes en rénovation énergétique et isolation pour des économies d'énergie et votre confort.</t>
  </si>
  <si>
    <t>Gibon</t>
  </si>
  <si>
    <t xml:space="preserve">CRBat Ingénierie</t>
  </si>
  <si>
    <t>n.gibon@crbat-ing.com</t>
  </si>
  <si>
    <t>http://www.linkedin.com/in/nicolas-gibon-859ab240</t>
  </si>
  <si>
    <t>http://www.crbat-ing.com</t>
  </si>
  <si>
    <t xml:space="preserve">À la recherche d’un maître d'œuvre tout corps d'état en région Bretagne ? CR BÂT INGÉNIERIE assure la conception et la construction de bâtiment à Cesson-Sévigné. Contactez-nous au 02 99 35 16 16.</t>
  </si>
  <si>
    <t>DOMOPAD</t>
  </si>
  <si>
    <t>philippe.roux@domopad.com</t>
  </si>
  <si>
    <t>http://www.linkedin.com/in/philippe-roux-37a3943a</t>
  </si>
  <si>
    <t>http://www.domopad.com</t>
  </si>
  <si>
    <t xml:space="preserve">32 Chemin du Dessous du Rocher, Palaiseau, Ile-de-France, France, 91120</t>
  </si>
  <si>
    <t xml:space="preserve">MB2 Rénovation</t>
  </si>
  <si>
    <t>alexis.moreau@modeling2building.fr</t>
  </si>
  <si>
    <t>http://www.linkedin.com/in/alexis-moreau-2283129a</t>
  </si>
  <si>
    <t>http://www.modeling2building.fr</t>
  </si>
  <si>
    <t xml:space="preserve">Lieu-dit Mursay, Echire, Nouvelle-Aquitaine, France, 79410</t>
  </si>
  <si>
    <t xml:space="preserve">MB2 vous accompagne de A à Z sur vos projets de rénovation, de la conception à la réalisation.</t>
  </si>
  <si>
    <t>FAVRE</t>
  </si>
  <si>
    <t>n.chappaz@favresas.com</t>
  </si>
  <si>
    <t>http://www.linkedin.com/in/nicolas-chappaz-61127a14</t>
  </si>
  <si>
    <t>http://www.favresas.com</t>
  </si>
  <si>
    <t xml:space="preserve">Floirac, Aquitaine-Limousin-Poitou-Charentes, France</t>
  </si>
  <si>
    <t>Kozmin</t>
  </si>
  <si>
    <t xml:space="preserve">setec gl ingénierie</t>
  </si>
  <si>
    <t>philippe.kozmin@gli.setec.fr</t>
  </si>
  <si>
    <t>http://www.linkedin.com/in/philippe-kozmin-5192b091</t>
  </si>
  <si>
    <t>http://www.setec-gli.fr</t>
  </si>
  <si>
    <t>Villard-Reculas</t>
  </si>
  <si>
    <t xml:space="preserve">444 Boulevard du Mercantour, Nice, Provence-Alpes-Cote d'Azur, France, 06200</t>
  </si>
  <si>
    <t>Mehdaoui</t>
  </si>
  <si>
    <t>FGE-IDF</t>
  </si>
  <si>
    <t>m.mehdaoui@fge-idf.fr</t>
  </si>
  <si>
    <t>http://www.linkedin.com/in/mohamed-mehdaoui-339506137</t>
  </si>
  <si>
    <t>http://www.fge-idf.fr</t>
  </si>
  <si>
    <t xml:space="preserve">Romainville, Ile-de-France, France</t>
  </si>
  <si>
    <t>Rusu</t>
  </si>
  <si>
    <t xml:space="preserve">RUSU Ascenseurs</t>
  </si>
  <si>
    <t>andrea@rusu.fr</t>
  </si>
  <si>
    <t>http://www.linkedin.com/in/andrea-rusu-905540197</t>
  </si>
  <si>
    <t>http://www.rusu.fr</t>
  </si>
  <si>
    <t xml:space="preserve">21 Avenue Saint-Fiacre, Saint-Germain-en-Laye, Ile-de-France, France, 78100</t>
  </si>
  <si>
    <t>Heus</t>
  </si>
  <si>
    <t>EMPEERING</t>
  </si>
  <si>
    <t>a.heus@empeering.fr</t>
  </si>
  <si>
    <t>http://www.linkedin.com/in/abdallah-heus-413024122</t>
  </si>
  <si>
    <t>http://www.empeering.fr</t>
  </si>
  <si>
    <t xml:space="preserve">155 Rue du Docteur Bauer, Saint-Ouen, Ile-de-France, France, 93400</t>
  </si>
  <si>
    <t xml:space="preserve">EMPEERING s’est imposé comme un bureau d’étude de référence dans le management de projets de construction. Notre mission est de transformer vos visions en réalité grâce à l’expertise technique de notre équipe dédiée et passionnée. Nous sommes fiers de notre spécialisation en Maîtrise d’Œuvre d’Exécution (MOEX), Ordonnancement Pilotage Coordination (OPC), et Coordination des études.</t>
  </si>
  <si>
    <t>Santamaria</t>
  </si>
  <si>
    <t>ER2C</t>
  </si>
  <si>
    <t>v.santamaria@er2c.fr</t>
  </si>
  <si>
    <t>http://www.linkedin.com/in/vincent-santamaria-10a9954b</t>
  </si>
  <si>
    <t>http://www.er2c.fr</t>
  </si>
  <si>
    <t xml:space="preserve">Evry, Ile-de-France, France</t>
  </si>
  <si>
    <t>jonathan.jeanne@menuiseriedevilloise.fr</t>
  </si>
  <si>
    <t>http://www.linkedin.com/in/jonathan-jeanne-04a6bbb4</t>
  </si>
  <si>
    <t>Eni</t>
  </si>
  <si>
    <t xml:space="preserve">Fécamp Services</t>
  </si>
  <si>
    <t>mathieu@fecamp-services.com</t>
  </si>
  <si>
    <t>http://www.linkedin.com/in/mathieu-avner-eni-865820209</t>
  </si>
  <si>
    <t>http://www.fecamp-services.com</t>
  </si>
  <si>
    <t xml:space="preserve">66 Rue de Fecamp, Paris, Ile-de-France, France, 75012</t>
  </si>
  <si>
    <t xml:space="preserve">Fécamp services® est une entreprise de dépannage et de travaux qui intervient pour ses clients à Paris et dans toute l'Ile-de-France.</t>
  </si>
  <si>
    <t>Raynard</t>
  </si>
  <si>
    <t xml:space="preserve">EXA ECS</t>
  </si>
  <si>
    <t>christian.raynard@ecsidf.com</t>
  </si>
  <si>
    <t>http://www.linkedin.com/in/raynard-christian-37a48434</t>
  </si>
  <si>
    <t>http://www.exa-ecs.com</t>
  </si>
  <si>
    <t xml:space="preserve">1 Rue Terre-Neuve, Les Ulis, Ile-de-France, France, 91940</t>
  </si>
  <si>
    <t xml:space="preserve">EXA-ECS est spécialisée dans l’étude et l’installation électrique pour les entreprises : Courant faible, courant fort, câblage, énergie et sécurité électronique.</t>
  </si>
  <si>
    <t>Plenard</t>
  </si>
  <si>
    <t xml:space="preserve">Fondateur, Gérant</t>
  </si>
  <si>
    <t>ISOVOO</t>
  </si>
  <si>
    <t>jbp@isovoo.com</t>
  </si>
  <si>
    <t>http://www.linkedin.com/in/jean-baptiste-pl%c3%a9nard</t>
  </si>
  <si>
    <t>http://www.isovoo.com</t>
  </si>
  <si>
    <t>Montchanin</t>
  </si>
  <si>
    <t xml:space="preserve">13 Rue du Moulin, Blanzy, Burgandy, France, 71450</t>
  </si>
  <si>
    <t xml:space="preserve">Découvrez les avantages de la maison ossature bois isolée en paille pour une habitation écologique, économique et respectueuse de l'humain.</t>
  </si>
  <si>
    <t>Foskolos</t>
  </si>
  <si>
    <t xml:space="preserve">IE RÉSINE</t>
  </si>
  <si>
    <t>benoit.foskolos@isere-entretien.fr</t>
  </si>
  <si>
    <t>http://www.linkedin.com/in/benoit-foskolos-39ab8bb3</t>
  </si>
  <si>
    <t>http://www.isere-entretien.fr</t>
  </si>
  <si>
    <t xml:space="preserve">Claix, Auvergne-Rhone-Alpes, France</t>
  </si>
  <si>
    <t>Dubrulle</t>
  </si>
  <si>
    <t xml:space="preserve">Dubrulle Faignot TP</t>
  </si>
  <si>
    <t>tdubrulle@groupedubrulle.com</t>
  </si>
  <si>
    <t>http://www.linkedin.com/in/thibault-dubrulle</t>
  </si>
  <si>
    <t>http://www.dubrulle-faignot-tp.fr</t>
  </si>
  <si>
    <t xml:space="preserve">Lieu-dit Le Petit Bruxelles, Sainte-Marie-Cappel, Hauts-de-France, France, 59670</t>
  </si>
  <si>
    <t>Follet</t>
  </si>
  <si>
    <t xml:space="preserve">BFTB SAS</t>
  </si>
  <si>
    <t>mfollet@bftb.fr</t>
  </si>
  <si>
    <t>http://www.linkedin.com/in/mathieu-follet-6a0833127</t>
  </si>
  <si>
    <t>http://www.bftb.fr</t>
  </si>
  <si>
    <t xml:space="preserve">2 Rue des Pierres Missigault, Barjouville, Centre-Val de Loire, France, 28630</t>
  </si>
  <si>
    <t xml:space="preserve">Réhabilitation/ Renovation, Gros-oeuvre, Restauration
Maçonnerie Général,  Ravalement, Carrelage</t>
  </si>
  <si>
    <t xml:space="preserve">ENTREPRISE PEIX</t>
  </si>
  <si>
    <t>fpayen@entreprise-peix.fr</t>
  </si>
  <si>
    <t>http://www.linkedin.com/in/florent-payen-850a7722</t>
  </si>
  <si>
    <t>http://www.entreprise-peix.fr</t>
  </si>
  <si>
    <t xml:space="preserve">Corbas, Rhone-Alpes, France</t>
  </si>
  <si>
    <t>Geplast_fr</t>
  </si>
  <si>
    <t>egrimault@geplast.fr</t>
  </si>
  <si>
    <t>http://www.linkedin.com/in/etienne-grimault-b00ba0285</t>
  </si>
  <si>
    <t>http://www.geplast.fr</t>
  </si>
  <si>
    <t>Saint-Andre-de-la-Marche</t>
  </si>
  <si>
    <t xml:space="preserve">6 Rue de Beausejour, Sevremoine, Pays de la Loire, France, 49450</t>
  </si>
  <si>
    <t xml:space="preserve">Basée à Sèvremoine dans le Maine-et-Loire, Geplast est spécialisé dans le domaine de l’extrusion, en proposant des profilés de qualité et des solutions innovantes à destination des professionnels du bâtiment et de l’aménagement extérieur.</t>
  </si>
  <si>
    <t xml:space="preserve">Co-fondateur Groupe Edgar-Den</t>
  </si>
  <si>
    <t>Edgar-Den</t>
  </si>
  <si>
    <t>romain.g@edgar-den.fr</t>
  </si>
  <si>
    <t>http://www.linkedin.com/in/romain-gay-654590256</t>
  </si>
  <si>
    <t>http://www.edgar-den.fr</t>
  </si>
  <si>
    <t xml:space="preserve">Avenue Helene Boucher, Boulazac Isle Manoire, Nouvelle-Aquitaine, France, 24750</t>
  </si>
  <si>
    <t>Juliac</t>
  </si>
  <si>
    <t xml:space="preserve">Miroiterie SOS Vitrine</t>
  </si>
  <si>
    <t>b.juliac@sos-vitrine.fr</t>
  </si>
  <si>
    <t>http://www.linkedin.com/in/b%c3%a9atrice-juliac-54b311133</t>
  </si>
  <si>
    <t>http://www.sos-vitrine.fr</t>
  </si>
  <si>
    <t xml:space="preserve">Miroiterie SOS Vitrine, miroiterie / vitrerie spécialiste du remplacement, dépannage et réparation de vitrines, vitres, vitrages à Toulouse et dans périphérie.</t>
  </si>
  <si>
    <t xml:space="preserve">GAMA Renovation Toulouse</t>
  </si>
  <si>
    <t>r.gallois@gama-renovation.com</t>
  </si>
  <si>
    <t>http://www.linkedin.com/in/richard-gallois-a911396a</t>
  </si>
  <si>
    <t>http://www.gama-renovation.com</t>
  </si>
  <si>
    <t xml:space="preserve">34 Impasse des Etats-Unis, Toulouse, Occitanie, France, 31200</t>
  </si>
  <si>
    <t xml:space="preserve">Entreprise de travaux de rénovation immobilière à Toulouse et haute Garonne. Travaux de rénovation pour entreprises commerces et habitations</t>
  </si>
  <si>
    <t>Dreo</t>
  </si>
  <si>
    <t>e.ledreo@faceagroup.com</t>
  </si>
  <si>
    <t>http://www.linkedin.com/in/eric-le-dreo-7111ab74</t>
  </si>
  <si>
    <t>Hinderze</t>
  </si>
  <si>
    <t xml:space="preserve">Harmonie SAS</t>
  </si>
  <si>
    <t>fh@harmonie.fr</t>
  </si>
  <si>
    <t>http://www.linkedin.com/in/frederic-hinderze-4198428b</t>
  </si>
  <si>
    <t>http://www.harmonie.fr</t>
  </si>
  <si>
    <t xml:space="preserve">6B Rue du Marechal Foch, Maisons-Laffitte, Ile-de-France, France, 78600</t>
  </si>
  <si>
    <t xml:space="preserve">Harmonie réalise des travaux d'isolation thermique par l'extérieur, de ravalement et d'étanchéité en copropriété en Île-de-France</t>
  </si>
  <si>
    <t>Tertrais</t>
  </si>
  <si>
    <t>frederic.tertrais@roquet.fr</t>
  </si>
  <si>
    <t>http://www.linkedin.com/in/fr%c3%a9d%c3%a9ric-tertrais-45173b17</t>
  </si>
  <si>
    <t>Coppens</t>
  </si>
  <si>
    <t xml:space="preserve">GROUPE OMNIUM</t>
  </si>
  <si>
    <t>p.coppens@groupe-omnium.net</t>
  </si>
  <si>
    <t>http://www.linkedin.com/in/pascal-coppens-4725b759</t>
  </si>
  <si>
    <t>http://www.groupe-omnium.net</t>
  </si>
  <si>
    <t xml:space="preserve">117 Traverse de la Montre, Marseille, Provence-Alpes-Cote d'Azur, France, 13011</t>
  </si>
  <si>
    <t xml:space="preserve">Entreprise de rénovation du bâtiment spécialisée façade, étanchéité, peinture, métallerie, désamiantage et projets en Tous Corps d'Etat.</t>
  </si>
  <si>
    <t>Cherpin</t>
  </si>
  <si>
    <t xml:space="preserve">GDR CHERPIN</t>
  </si>
  <si>
    <t>pcherpin@gdr-cherpin.fr</t>
  </si>
  <si>
    <t>http://www.linkedin.com/in/pierre-cherpin-a34044185</t>
  </si>
  <si>
    <t>http://www.gdr-cherpin.fr</t>
  </si>
  <si>
    <t xml:space="preserve">34 Rue Etienne Dolet, Bondy, Ile-de-France, France, 93140</t>
  </si>
  <si>
    <t xml:space="preserve">Solutions sur-mesure pour le désamiantage,  le déplombage, la déconstruction, le curage et la démolition</t>
  </si>
  <si>
    <t>Mounier</t>
  </si>
  <si>
    <t xml:space="preserve">2MO Ingénierie</t>
  </si>
  <si>
    <t>yann.mounier@2mo.tech</t>
  </si>
  <si>
    <t>http://www.linkedin.com/in/yann-mounier-2346a654</t>
  </si>
  <si>
    <t>http://www.2mo.tech</t>
  </si>
  <si>
    <t xml:space="preserve">60 Quai Perrache, Lyon, Auvergne-Rhone-Alpes, France, 69002</t>
  </si>
  <si>
    <t xml:space="preserve">2MO, basé à Lyon, expertise en ingénierie des lots techniques (fluides, thermique, économie de la construction, environnement).</t>
  </si>
  <si>
    <t>Galichet</t>
  </si>
  <si>
    <t xml:space="preserve">ATI Isolation</t>
  </si>
  <si>
    <t>sgalichet@ati-isol.com</t>
  </si>
  <si>
    <t>http://www.linkedin.com/in/sophie-galichet-657b4611a</t>
  </si>
  <si>
    <t>http://www.ati-isolation.com</t>
  </si>
  <si>
    <t xml:space="preserve">Dagneux, Rhone-Alpes, France</t>
  </si>
  <si>
    <t xml:space="preserve">fruit de notre engagement envers l'innovation et le progrès.Cette nouvelle infrastructure reflète notre vision d'avenir et notre volonté constante d’offrir</t>
  </si>
  <si>
    <t xml:space="preserve">GROUPE CETAB</t>
  </si>
  <si>
    <t>y.marot@cetab.fr</t>
  </si>
  <si>
    <t>http://www.linkedin.com/in/yann-marot-82097360</t>
  </si>
  <si>
    <t>http://www.cetab.fr</t>
  </si>
  <si>
    <t xml:space="preserve">61 Rue du Professeur Lannelongue, Bordeaux, Nouvelle-Aquitaine, France, 33300</t>
  </si>
  <si>
    <t xml:space="preserve">Spécialisé dans les infrastructures, l'environnement, les structures industrielles et du batiment, le génie climatique, le génie électrique, les réseaux numériques.</t>
  </si>
  <si>
    <t>Naji</t>
  </si>
  <si>
    <t>INCET</t>
  </si>
  <si>
    <t>nsalame@incet.fr</t>
  </si>
  <si>
    <t>http://www.linkedin.com/in/naji-salam%c3%a9-bb536110a</t>
  </si>
  <si>
    <t>http://www.incet.fr</t>
  </si>
  <si>
    <t xml:space="preserve">113 Rue de Longchamp, Paris, Ile-de-France, France, 75116</t>
  </si>
  <si>
    <t xml:space="preserve">INCET exerce ses compétences dans le domaine de la maîtrise d'œuvre bâtiment. Il assume les études techniques tous corps d'état, l'économie de la construction et possède un réel savoir-faire en ingénierie environnementale.</t>
  </si>
  <si>
    <t>lionel.rodas@aidf.pro</t>
  </si>
  <si>
    <t>http://www.linkedin.com/in/lionel-rodas-03b589228</t>
  </si>
  <si>
    <t>Roches</t>
  </si>
  <si>
    <t>SPEBI</t>
  </si>
  <si>
    <t>vincent.roches@spebi.fr</t>
  </si>
  <si>
    <t>http://www.linkedin.com/in/vincent-roches-30743795</t>
  </si>
  <si>
    <t>http://www.spebi.fr</t>
  </si>
  <si>
    <t xml:space="preserve">85 Rue Jean Le Galleu, Ivry-sur-Seine, Ile-de-France, France, 94200</t>
  </si>
  <si>
    <t xml:space="preserve">Entreprise de Peinture certifiée AFAQ ISO 9001, ISO 14001 et OHSAS 18001. VIDEO de présentation, le SUIVI des CHANTIERS en cours, DEVIS ...</t>
  </si>
  <si>
    <t>Legout</t>
  </si>
  <si>
    <t>f.legout@nivet.fr</t>
  </si>
  <si>
    <t>http://www.linkedin.com/in/franck-legout-9a268ab5</t>
  </si>
  <si>
    <t>Jousseau</t>
  </si>
  <si>
    <t xml:space="preserve">BONNE PIOCHE</t>
  </si>
  <si>
    <t>julien.jousseau@bonnepioche-mo.com</t>
  </si>
  <si>
    <t>http://www.linkedin.com/in/julien-jousseau-764b31192</t>
  </si>
  <si>
    <t>http://www.bonnepioche-mo.com</t>
  </si>
  <si>
    <t xml:space="preserve">La Chevroliere</t>
  </si>
  <si>
    <t>Gadenne</t>
  </si>
  <si>
    <t>ECOFRAME</t>
  </si>
  <si>
    <t>b.gadenne@ecoframe.io</t>
  </si>
  <si>
    <t>http://www.linkedin.com/in/bastien-gadenne-4b86a5133</t>
  </si>
  <si>
    <t>http://www.moduleo-container.com</t>
  </si>
  <si>
    <t>Joyce</t>
  </si>
  <si>
    <t xml:space="preserve">Directrice Générale - Co-fondatrice</t>
  </si>
  <si>
    <t xml:space="preserve">SHARP INGENIERIE</t>
  </si>
  <si>
    <t>jmalo@sharping.fr</t>
  </si>
  <si>
    <t>http://www.linkedin.com/in/joyce-malo-69218489</t>
  </si>
  <si>
    <t>http://www.sharp-ingenierie.fr</t>
  </si>
  <si>
    <t xml:space="preserve">7 Rue Pasquier, Paris, Ile-de-France, France, 75008</t>
  </si>
  <si>
    <t xml:space="preserve">Nos métiers Nous nous appuyons sur une équipe d’experts composée d’architectes, d’ingénieurs, de chef de projets et de pilotes de chantier, tous dotés d’une…</t>
  </si>
  <si>
    <t>Bouisson</t>
  </si>
  <si>
    <t xml:space="preserve">Architect / Co-founder</t>
  </si>
  <si>
    <t xml:space="preserve">FORALL STUDIO</t>
  </si>
  <si>
    <t>nicolas.bouisson@forallstudio.com</t>
  </si>
  <si>
    <t>http://www.linkedin.com/in/nicolasbouisson</t>
  </si>
  <si>
    <t>http://www.forallstudio.com</t>
  </si>
  <si>
    <t xml:space="preserve">83 Allee Darius Milhaud, Paris, Ile-de-France, France, 75019</t>
  </si>
  <si>
    <t xml:space="preserve">Forall est une agence d'architecture éco-responsable située à Paris, lauréate des AJAP 2020, et co-gérée par Nicolas Bouisson et Hugo Crespy.</t>
  </si>
  <si>
    <t>ENERSTEEL</t>
  </si>
  <si>
    <t>jean-jacques.gaboriau@enersteel.fr</t>
  </si>
  <si>
    <t>http://www.linkedin.com/in/jean-jacques-gaboriau-b4157192</t>
  </si>
  <si>
    <t>http://www.enersteel.fr</t>
  </si>
  <si>
    <t xml:space="preserve">Avenue de la Rotonde, Aytre, Nouvelle-Aquitaine, France, 17440</t>
  </si>
  <si>
    <t xml:space="preserve">ENERSTEEL est un Concepteur / Fabricant / 
 Installateur d'ombrieres photovoltaïques basé à La Rochelle depuis 2003</t>
  </si>
  <si>
    <t xml:space="preserve">Les Grands Ateliers</t>
  </si>
  <si>
    <t>maxime.bonnevie@lesgrandsateliers.fr</t>
  </si>
  <si>
    <t>http://www.linkedin.com/in/maxime-bonnevie-b81353b2</t>
  </si>
  <si>
    <t>http://www.lesgrandsateliers.org</t>
  </si>
  <si>
    <t xml:space="preserve">96 Boulevard de Villefontaine, Villefontaine, Auvergne-Rhone-Alpes, France, 38090</t>
  </si>
  <si>
    <t xml:space="preserve">Les Grands Ateliers est un organisme de formation professionnelle et formation continue en architecture, espace maquettage échelle 1. Contactez-nous !</t>
  </si>
  <si>
    <t>Loctin</t>
  </si>
  <si>
    <t xml:space="preserve">CRC LYON</t>
  </si>
  <si>
    <t>gerald@crclyon.com</t>
  </si>
  <si>
    <t>http://www.linkedin.com/in/gerald-loctin-7952b8178</t>
  </si>
  <si>
    <t>http://www.crclyon.com</t>
  </si>
  <si>
    <t xml:space="preserve">CRC Lyon réalisation rénovation &amp; maîtrise d’œuvre nous organisons les chantiers et coordonnons l’intervention des différents corps de métiers</t>
  </si>
  <si>
    <t>Boyrie</t>
  </si>
  <si>
    <t>iboyrie@intoo-habitat.com</t>
  </si>
  <si>
    <t>http://www.linkedin.com/in/isabelle-boyrie-9b913a146</t>
  </si>
  <si>
    <t>Bardotto</t>
  </si>
  <si>
    <t xml:space="preserve">ISOLATIONS RAUSCHMAIER SAS</t>
  </si>
  <si>
    <t>s.bardotto@isolations-rauschmaier.fr</t>
  </si>
  <si>
    <t>http://www.linkedin.com/in/st%c3%a9phanie-bardotto-345450202</t>
  </si>
  <si>
    <t>http://www.isolations-rauschmaier.fr</t>
  </si>
  <si>
    <t xml:space="preserve">Isolations Rauschmaier experte depuis plus de 70 ans dans l'isolations extérieur, le calorifuge, la projection et le bardage dans le Grand Est.</t>
  </si>
  <si>
    <t>Adeneuer</t>
  </si>
  <si>
    <t>EOSGIE</t>
  </si>
  <si>
    <t>morgan.adeneuer@eosgie.fr</t>
  </si>
  <si>
    <t>http://www.linkedin.com/in/morgan-adeneuer-a75592151</t>
  </si>
  <si>
    <t>http://www.eosgie.fr</t>
  </si>
  <si>
    <t>Neuilly-Plaisance</t>
  </si>
  <si>
    <t xml:space="preserve">4 Allee Nicephore Niepce, Neuilly-Plaisance, Ile-de-France, France, 94120</t>
  </si>
  <si>
    <t>Goossens</t>
  </si>
  <si>
    <t xml:space="preserve">SAS LE PLOMBIER BORDELAIS</t>
  </si>
  <si>
    <t>j.goossens@lpb33.fr</t>
  </si>
  <si>
    <t>http://www.linkedin.com/in/jo%c3%abl-goossens-3704a1130</t>
  </si>
  <si>
    <t>http://www.lpb33.fr</t>
  </si>
  <si>
    <t xml:space="preserve">14 Z.A. du Grand Chemin, Yvrac, Aquitaine-Limousin-Poitou-Charentes, France, 33370</t>
  </si>
  <si>
    <t xml:space="preserve">Votre partenaire en promotion immobilière</t>
  </si>
  <si>
    <t>Anchisi</t>
  </si>
  <si>
    <t>Cevoha</t>
  </si>
  <si>
    <t>anchisi.florian@cevoha.fr</t>
  </si>
  <si>
    <t>http://www.linkedin.com/in/florian-anchisi-434598182</t>
  </si>
  <si>
    <t>http://www.cevoha.fr</t>
  </si>
  <si>
    <t xml:space="preserve">141 Route des Remouleurs, Avignon, Provence-Alpes-Cote d'Azur, France, 84000</t>
  </si>
  <si>
    <t xml:space="preserve">Depuis 2018, notre entreprise de rénovation énergétique vous aide à réaliser des économies et améliorer votre confort. Isolation, chauffage, énergie solaire...</t>
  </si>
  <si>
    <t xml:space="preserve">AGB RENOVATION</t>
  </si>
  <si>
    <t>a.fernandes@agbrenovation37.fr</t>
  </si>
  <si>
    <t>http://www.linkedin.com/in/antonio-fernandes-994b21217</t>
  </si>
  <si>
    <t>http://www.agbrenovation37.fr</t>
  </si>
  <si>
    <t xml:space="preserve">3 Avenue Leonard de Vinci, Montlouis-sur-Loire, Centre, France, 37270</t>
  </si>
  <si>
    <t xml:space="preserve">Services dédiés aux Particuliers et aux Professionnels. Isolation thermique. Aménagement et agencement. Entretien des toitures. Rénovation des murs et façades. Cordistes. Bureau d'étude.</t>
  </si>
  <si>
    <t xml:space="preserve">ETS JOSEPH SAS</t>
  </si>
  <si>
    <t>nicolas.joseph@joseph-sas.fr</t>
  </si>
  <si>
    <t>http://www.linkedin.com/in/nicolas-joseph-b5a2aa273</t>
  </si>
  <si>
    <t>http://www.joseph-pro.com</t>
  </si>
  <si>
    <t xml:space="preserve">390 Avenue de Parme, Bourg-en-Bresse, Auvergne-Rhone-Alpes, France, 01000</t>
  </si>
  <si>
    <t>Rougeulle</t>
  </si>
  <si>
    <t>pierre@sweelco.com</t>
  </si>
  <si>
    <t>http://www.linkedin.com/in/pierre-rougeulle-913b00a6</t>
  </si>
  <si>
    <t>Sawan</t>
  </si>
  <si>
    <t xml:space="preserve">directeur général IDF</t>
  </si>
  <si>
    <t>fsawan@artxbat.fr</t>
  </si>
  <si>
    <t>http://www.linkedin.com/in/fadi-sawan-160b9b1a</t>
  </si>
  <si>
    <t>Laforge</t>
  </si>
  <si>
    <t>OVATIS</t>
  </si>
  <si>
    <t>dlaforge@ovatisconcept.fr</t>
  </si>
  <si>
    <t>http://www.linkedin.com/in/damien-laforge-22010310</t>
  </si>
  <si>
    <t>http://www.ovatis.fr</t>
  </si>
  <si>
    <t xml:space="preserve">Rue d'Aix, Marseille, France, 13001</t>
  </si>
  <si>
    <t xml:space="preserve">Entreprise générale de bâtiment spécialisée en gros-oeuvre de logements collectifs et bureaux</t>
  </si>
  <si>
    <t>Souchon</t>
  </si>
  <si>
    <t xml:space="preserve">Directeur général adjoint - Associé</t>
  </si>
  <si>
    <t xml:space="preserve">VP &amp; Green engineering</t>
  </si>
  <si>
    <t>thomas.souchon@vpgreen.fr</t>
  </si>
  <si>
    <t>http://www.linkedin.com/in/thomas-souchon-81742913</t>
  </si>
  <si>
    <t>http://www.vpgreen.fr</t>
  </si>
  <si>
    <t xml:space="preserve">115 Rue du Bac, Paris, Ile-de-France, France, 75007</t>
  </si>
  <si>
    <t xml:space="preserve">VP&amp;Green Ingénierie est un bureau d’études expérimenté dans le domaine de 
la structure et de la façade de bâtiments.</t>
  </si>
  <si>
    <t>S.E.F.A.T</t>
  </si>
  <si>
    <t>sophie.martinez@sefat.fr</t>
  </si>
  <si>
    <t>http://www.linkedin.com/in/sophie-martinez-63b6b32a</t>
  </si>
  <si>
    <t>http://www.sefat.fr</t>
  </si>
  <si>
    <t xml:space="preserve">175 Rue Henri Bessemer, Aix-en-Provence, Provence-Alpes-Cote d'Azur, France, 13290</t>
  </si>
  <si>
    <t>Bry</t>
  </si>
  <si>
    <t xml:space="preserve">Directeur Général Délégué Courant Fort et Faible</t>
  </si>
  <si>
    <t>rbry@ocellis-energies.fr</t>
  </si>
  <si>
    <t>http://www.linkedin.com/in/richard-bry-83669868</t>
  </si>
  <si>
    <t>Degano</t>
  </si>
  <si>
    <t>SORAETEC</t>
  </si>
  <si>
    <t>romain.degano@soraetec.com</t>
  </si>
  <si>
    <t>http://www.linkedin.com/in/romain-degano-3629303a</t>
  </si>
  <si>
    <t>http://www.bet-soraetec.fr</t>
  </si>
  <si>
    <t xml:space="preserve">Des équipes professionnelles et des compétences qui permettent d’étudier l’ensemble des structures béton-métal-bois.</t>
  </si>
  <si>
    <t>romuald.hernandez@herkrug.fr</t>
  </si>
  <si>
    <t>http://www.linkedin.com/in/romuald-hernandez-b68003135</t>
  </si>
  <si>
    <t>Grisy-Suisnes</t>
  </si>
  <si>
    <t>Alcan</t>
  </si>
  <si>
    <t xml:space="preserve">SCOP SECOP</t>
  </si>
  <si>
    <t>f.alcan@secop.fr</t>
  </si>
  <si>
    <t>http://www.linkedin.com/in/fran%c3%a7ois-alcan-49a70414a</t>
  </si>
  <si>
    <t>http://www.secop.fr</t>
  </si>
  <si>
    <t xml:space="preserve">10 Boulevard des Ravalieres, Change, Pays de la Loire, France, 72560</t>
  </si>
  <si>
    <t xml:space="preserve">S.E.C.O.P effectue tous travaux de plomberie près de Mans et dans les environs. Cette entreprise installe aussi les équipements de climatisation : chauffage, ventilation…</t>
  </si>
  <si>
    <t>Marjorie</t>
  </si>
  <si>
    <t xml:space="preserve">Cadre dirigeant Groupe FERREIRA</t>
  </si>
  <si>
    <t xml:space="preserve">FERREIRA BATIMENT</t>
  </si>
  <si>
    <t>marjorie.ferreira@ferreira-batiment.fr</t>
  </si>
  <si>
    <t>http://www.linkedin.com/in/marjorie-ferreira-a5113031</t>
  </si>
  <si>
    <t>http://www.ferreira-batiment.fr</t>
  </si>
  <si>
    <t xml:space="preserve">86 Rue Isaac Newton, Bourg-les-Valence, Auvergne-Rhone-Alpes, France, 26500</t>
  </si>
  <si>
    <t xml:space="preserve">Entreprise familiale de plus de 45 ans d'expérience dans le bâtiment, le gros œuvre et le génie civil. Spécialiste dans le béton armé, béton architectonique et brut de décoffrage, elle est la référence du secteur de la construction dans le bassin Valentinois.</t>
  </si>
  <si>
    <t xml:space="preserve">JEAN LUCY</t>
  </si>
  <si>
    <t>slucy@jeanlucy.com</t>
  </si>
  <si>
    <t>http://www.linkedin.com/in/st%c3%a9phane-lucy-b6b1a713b</t>
  </si>
  <si>
    <t>http://www.jeanlucy.com</t>
  </si>
  <si>
    <t xml:space="preserve">25 Rue Dunois, Paris, Ile-de-France, France, 75013</t>
  </si>
  <si>
    <t>Ruseff</t>
  </si>
  <si>
    <t xml:space="preserve">SEEMO Promoteur Nouvelle Génération</t>
  </si>
  <si>
    <t>b.ruseff@seemo.fr</t>
  </si>
  <si>
    <t>http://www.linkedin.com/in/benoit-ruseff-4aa922a6</t>
  </si>
  <si>
    <t>http://www.seemo.fr</t>
  </si>
  <si>
    <t xml:space="preserve">Rue de Bretagne, Paris, Ile-de-France, France, 75003</t>
  </si>
  <si>
    <t xml:space="preserve">N’avez-vous jamais rêvé de devenir acteur d’une promotion immobilière que ce soit grâce à votre patrimoine ou celui qui vous entoure ? Découvrez SEEMO</t>
  </si>
  <si>
    <t>Khouane</t>
  </si>
  <si>
    <t>GF3M</t>
  </si>
  <si>
    <t>benoit.khouane@gf3m.fr</t>
  </si>
  <si>
    <t>http://www.linkedin.com/in/benoit-khouane-2ab2227b</t>
  </si>
  <si>
    <t>http://www.gf3m.fr</t>
  </si>
  <si>
    <t xml:space="preserve">104 Route Nationale, Caudrot, Nouvelle-Aquitaine, France, 33490</t>
  </si>
  <si>
    <t>Silverio</t>
  </si>
  <si>
    <t>Antunes</t>
  </si>
  <si>
    <t xml:space="preserve">Groupe 4S</t>
  </si>
  <si>
    <t>silverio.antunes@groupe4s.com</t>
  </si>
  <si>
    <t>http://www.linkedin.com/in/silv%c3%a9rio-antunes-49551a119</t>
  </si>
  <si>
    <t>http://www.4spbp.fr</t>
  </si>
  <si>
    <t xml:space="preserve">Saint-Ouen-l'Aumone, Ile-de-France, France, 95310</t>
  </si>
  <si>
    <t xml:space="preserve">Expert de la protection et sécurité incendie, nous mettons un point d’honneur à vous proposer un service de qualité et adapté à chacun de vos besoins.</t>
  </si>
  <si>
    <t>Mention</t>
  </si>
  <si>
    <t xml:space="preserve">EMI GENIE CLIMATIQUE</t>
  </si>
  <si>
    <t>jlmention@groupemention.fr</t>
  </si>
  <si>
    <t>http://www.linkedin.com/in/jean-luc-mention-ba895452</t>
  </si>
  <si>
    <t>http://www.emi-genieclimatique.fr</t>
  </si>
  <si>
    <t xml:space="preserve">51 Avenue Roger Dumoulin, Amiens, Hauts-de-France, France, 80080</t>
  </si>
  <si>
    <t xml:space="preserve">Basés à Amiens, nous sommes spécialisés dans l’installation de chauffage, ventilation, climatisation et plomberie de logements collectifs et individuels, neufs ou en réhabilitation, dans les secteurs industriel et tertiaire. Groupe Mention&amp;Co. Contactez-nous ! 03 60 129 130</t>
  </si>
  <si>
    <t>Heroult</t>
  </si>
  <si>
    <t xml:space="preserve">HEROULT ELECTRICITE</t>
  </si>
  <si>
    <t>fabrice.heroult@heroult.fr</t>
  </si>
  <si>
    <t>http://www.linkedin.com/in/fabrice-heroult-154309159</t>
  </si>
  <si>
    <t>http://www.heroult.fr</t>
  </si>
  <si>
    <t>Petit-Couronne</t>
  </si>
  <si>
    <t xml:space="preserve">Petit-Couronne, Upper Normandy, France</t>
  </si>
  <si>
    <t>Caprini</t>
  </si>
  <si>
    <t xml:space="preserve">CAPRINI &amp; PELLERIN</t>
  </si>
  <si>
    <t>kevin@caprinipellerin.com</t>
  </si>
  <si>
    <t>http://www.linkedin.com/in/kevin-caprini-38508a20a</t>
  </si>
  <si>
    <t>http://www.caprinipellerin.com</t>
  </si>
  <si>
    <t>Daille</t>
  </si>
  <si>
    <t>LPB</t>
  </si>
  <si>
    <t>a.daille@lpb-sa.com</t>
  </si>
  <si>
    <t>http://www.linkedin.com/in/am%c3%a9d%c3%a9e-daille-5ba632b3</t>
  </si>
  <si>
    <t>http://www.lpb-sa.com</t>
  </si>
  <si>
    <t xml:space="preserve">Crottet, Auvergne-Rhone-Alpes, France</t>
  </si>
  <si>
    <t xml:space="preserve">Les produits en béton, standards ou sur mesure, proposés par LPB-SA pour l'assainissement et la voirie répondent aux attentes de qualité des clients.</t>
  </si>
  <si>
    <t>CybStores</t>
  </si>
  <si>
    <t>christophe.besson@cybstores.com</t>
  </si>
  <si>
    <t>http://www.linkedin.com/in/christophe-besson-513b28111</t>
  </si>
  <si>
    <t>http://www.cybstores.com</t>
  </si>
  <si>
    <t xml:space="preserve">86 Avenue Louis Roche, Gennevilliers, Ile-de-France, France, 92230</t>
  </si>
  <si>
    <t xml:space="preserve">CybStores, spécialiste en stores intérieurs, extérieurs, pergolas, moustiquaires et fermetures sur mesure. Découvrez nos réalisations et trouvez votre showroom le plus proche</t>
  </si>
  <si>
    <t>Berruee</t>
  </si>
  <si>
    <t>b.berruee@axys-be.fr</t>
  </si>
  <si>
    <t>http://www.linkedin.com/in/bernard-berruee-9a645634</t>
  </si>
  <si>
    <t>Alexander</t>
  </si>
  <si>
    <t xml:space="preserve">CTE Structural Engineering</t>
  </si>
  <si>
    <t>a.martin@cte-sa.com</t>
  </si>
  <si>
    <t>http://www.linkedin.com/in/alexander-martin-9a31596</t>
  </si>
  <si>
    <t xml:space="preserve">CTE est un bureau d'études de structures dans le domaine du Bâtiment et du Génie civil, les structures en béton armé, photovoltaïque, éolien et industrie en France mais aussi à l'étranger, au travers de 10 filiales et de plus de 110 collaborateurs.</t>
  </si>
  <si>
    <t>Gaude</t>
  </si>
  <si>
    <t>r.gaude@be-cet.fr</t>
  </si>
  <si>
    <t>http://www.linkedin.com/in/r%c3%a9my-gaude-723b56210</t>
  </si>
  <si>
    <t xml:space="preserve">SUD OUEST BATIMENT</t>
  </si>
  <si>
    <t>s.garcia@sobatiment.fr</t>
  </si>
  <si>
    <t>http://www.linkedin.com/in/st%c3%a9phane-garcia-a0b459175</t>
  </si>
  <si>
    <t>http://www.renov-toulouse.fr</t>
  </si>
  <si>
    <t xml:space="preserve">4 Chemin du Chapitre, Toulouse, Occitanie, France, 31100</t>
  </si>
  <si>
    <t xml:space="preserve">Travaux de rénovation et d'aménagement de bureaux à Toulouse : Bureaux, hôtels, restaurants, entreprises, magasins et grandes surfaces.</t>
  </si>
  <si>
    <t xml:space="preserve">GEAY MENUISERIE</t>
  </si>
  <si>
    <t>n.gadal@geaymenuiserie.fr</t>
  </si>
  <si>
    <t>http://www.linkedin.com/in/nicolas-g-b4431878</t>
  </si>
  <si>
    <t>http://www.geaymenuiserie.fr</t>
  </si>
  <si>
    <t>Breuillet</t>
  </si>
  <si>
    <t xml:space="preserve">Saintes, Poitou-Charentes, France</t>
  </si>
  <si>
    <t xml:space="preserve">Geay Menuiserie est une entreprise de fabrication et de pose de menuiseries en aluminium en Nouvelle Aquitaine. Notre siège est à Saintes en Charente Maritime. Nous fabriquons et installons des fenêtres, des volets, des stores, des pergolas, des portails.</t>
  </si>
  <si>
    <t>patrick.lecointre@accesbtp.fr</t>
  </si>
  <si>
    <t>http://www.linkedin.com/in/patrick-lecointre-56a03985</t>
  </si>
  <si>
    <t>Navarrenx</t>
  </si>
  <si>
    <t>Hainault</t>
  </si>
  <si>
    <t>DEPC</t>
  </si>
  <si>
    <t>fabien.hainault@depc.fr</t>
  </si>
  <si>
    <t>http://www.linkedin.com/in/fabien-hainault-1b4a95154</t>
  </si>
  <si>
    <t>http://www.31.24</t>
  </si>
  <si>
    <t xml:space="preserve">1 Allee de la Saulaie, Trelaze, Pays de la Loire, France, 49800</t>
  </si>
  <si>
    <t>Silvere</t>
  </si>
  <si>
    <t>Faucon</t>
  </si>
  <si>
    <t xml:space="preserve">HERACLES Robotics</t>
  </si>
  <si>
    <t>silvere.faucon@heracles-robotics.com</t>
  </si>
  <si>
    <t>http://www.linkedin.com/in/silvere-faucon-3053b4214</t>
  </si>
  <si>
    <t>http://www.heracles-robotics.com</t>
  </si>
  <si>
    <t xml:space="preserve">HERACLES ROBOTICS : Terrassement Autonome, Start up spécialisée en travaux publics</t>
  </si>
  <si>
    <t>Medina</t>
  </si>
  <si>
    <t xml:space="preserve">GROUPE IFH</t>
  </si>
  <si>
    <t>lionel@groupe-ifh.fr</t>
  </si>
  <si>
    <t>http://www.linkedin.com/in/lionel-medina-4b502149</t>
  </si>
  <si>
    <t>http://www.groupe-ifh.com</t>
  </si>
  <si>
    <t xml:space="preserve">Le Groupe IFH est un acteur majeur de la rénovation de l'habitat.  Il accompagne ses clients au travers de ses deux marques : Dolceau et Isolation Française.</t>
  </si>
  <si>
    <t xml:space="preserve">EURO TERRE</t>
  </si>
  <si>
    <t>r.atas@euroterre.fr</t>
  </si>
  <si>
    <t>http://www.linkedin.com/in/ramazan-atas-479265116</t>
  </si>
  <si>
    <t>http://www.euroterre.fr</t>
  </si>
  <si>
    <t xml:space="preserve">18 Rue de l'Escouvrier, Sarcelles, Ile-de-France, France, 95200</t>
  </si>
  <si>
    <t xml:space="preserve">Soyez les bienvenus sur le site internet d'Euroterre qui regroupe toutes la vie de l'entreprise ainsi que celles des chantiers.</t>
  </si>
  <si>
    <t>Becherel</t>
  </si>
  <si>
    <t xml:space="preserve">Nid Perché</t>
  </si>
  <si>
    <t>r.becherel@nidperche.com</t>
  </si>
  <si>
    <t>http://www.linkedin.com/in/r%c3%a9mi-becherel-a467a8a6</t>
  </si>
  <si>
    <t>http://www.nidperche.com</t>
  </si>
  <si>
    <t>Beaumont-du-Perigord</t>
  </si>
  <si>
    <t xml:space="preserve">Beaumontois-en-Perigord, Nouvelle-Aquitaine, France, 24440</t>
  </si>
  <si>
    <t xml:space="preserve">Construire une cabane dans les arbres avec NidPerché, 1er constructeur de cabane en France. Nos cabanes sont construite avec des matériaux sains et écologiques. Nous recherchons perpétuellement la qualité et la perfection dans notre travail, construisons ensemble la cabane de vos rêves.</t>
  </si>
  <si>
    <t xml:space="preserve">DMA ARMATURES</t>
  </si>
  <si>
    <t>r.aubry@dmasite.com</t>
  </si>
  <si>
    <t>http://www.linkedin.com/in/richard-aubry-38102b63</t>
  </si>
  <si>
    <t>http://www.dmasite.com</t>
  </si>
  <si>
    <t xml:space="preserve">14 Rue Ernest Gouin, Croissy-sur-Seine, Ile-de-France, France, 78290</t>
  </si>
  <si>
    <t>Logel</t>
  </si>
  <si>
    <t xml:space="preserve">QL CLEAN CONSORTIUM</t>
  </si>
  <si>
    <t>philippe.logel@qlclean.com</t>
  </si>
  <si>
    <t>http://www.linkedin.com/in/philippe-logel-3535a190</t>
  </si>
  <si>
    <t>http://www.renovio-invest.com</t>
  </si>
  <si>
    <t xml:space="preserve">Renovio Investment est le constortium d'investissement français de référence pour les PME solidement implantées dans le domaine de la rénovation immobilière.</t>
  </si>
  <si>
    <t>Frieden</t>
  </si>
  <si>
    <t xml:space="preserve">Losberger De Boer France</t>
  </si>
  <si>
    <t>julie.frieden@losbergerdeboer.com</t>
  </si>
  <si>
    <t>http://www.linkedin.com/in/julie-frieden-ba557076</t>
  </si>
  <si>
    <t>http://www.losbergerdeboer.com</t>
  </si>
  <si>
    <t xml:space="preserve">1 Rue du Bruch, Brumath, Grand Est, France, 67170</t>
  </si>
  <si>
    <t>OCCIFLUID</t>
  </si>
  <si>
    <t>laurent.barres@occifluid.fr</t>
  </si>
  <si>
    <t>http://www.linkedin.com/in/laurent-barres-03bb92120</t>
  </si>
  <si>
    <t>http://www.occifluid.fr</t>
  </si>
  <si>
    <t xml:space="preserve">Colomiers, Occitanie, France, 31770</t>
  </si>
  <si>
    <t xml:space="preserve">✅ Occifluid est votre bureau d'étude vers Toulouse et partout en France. Vous souhaitez une étude d'exécution, une conception de schéma technique, une création de plan technique ? Contactez-nous rapidement.</t>
  </si>
  <si>
    <t>Malet</t>
  </si>
  <si>
    <t xml:space="preserve">GER Constructeur</t>
  </si>
  <si>
    <t>jerome.malet@gerconstructeur.fr</t>
  </si>
  <si>
    <t>http://www.linkedin.com/in/j%c3%a9r%c3%b4me-malet-28335b126</t>
  </si>
  <si>
    <t>http://www.gerconstructeur.fr</t>
  </si>
  <si>
    <t xml:space="preserve">156 Avenue des Pyrenees, Le Passage, Nouvelle-Aquitaine, France, 47520</t>
  </si>
  <si>
    <t>Mahmut</t>
  </si>
  <si>
    <t>Cakir</t>
  </si>
  <si>
    <t>cakir@snrb.fr</t>
  </si>
  <si>
    <t>http://www.linkedin.com/in/mahmut-cakir-2ba629155</t>
  </si>
  <si>
    <t>antonio@euromib.fr</t>
  </si>
  <si>
    <t>http://www.linkedin.com/in/antonio-vaz-alves-008373264</t>
  </si>
  <si>
    <t>Manach</t>
  </si>
  <si>
    <t xml:space="preserve">AMG FECHOZ</t>
  </si>
  <si>
    <t>pmanach@amg-fechoz.com</t>
  </si>
  <si>
    <t>http://www.linkedin.com/in/philippe-manach-4366b429</t>
  </si>
  <si>
    <t>http://www.amg-fechoz.com</t>
  </si>
  <si>
    <t xml:space="preserve">11B Rue Scribe, Paris, Ile-de-France, France, 75009</t>
  </si>
  <si>
    <t>Fargetas</t>
  </si>
  <si>
    <t xml:space="preserve">PATIE MICHEL</t>
  </si>
  <si>
    <t>ofa@patiemichel.com</t>
  </si>
  <si>
    <t>http://www.linkedin.com/in/olivier-fargetas-60ba3613a</t>
  </si>
  <si>
    <t>http://www.patiemichel.com</t>
  </si>
  <si>
    <t xml:space="preserve">L'entreprise Patie Michel, spécialiste dans la conception de réseaux et installation de tuyauterie industrielle et fluides médicaux depuis 1982.</t>
  </si>
  <si>
    <t>Chalamel</t>
  </si>
  <si>
    <t xml:space="preserve">VIRICEL SAS</t>
  </si>
  <si>
    <t>g.chalamel@viricel.fr</t>
  </si>
  <si>
    <t>http://www.linkedin.com/in/gr%c3%a9gory-chalamel-9091001a2</t>
  </si>
  <si>
    <t>http://www.viricel.fr</t>
  </si>
  <si>
    <t xml:space="preserve">Allee des Filieristes, Trevoux, Auvergne-Rhone-Alpes, France, 01600</t>
  </si>
  <si>
    <t xml:space="preserve">Pose de plaquisterie Pose de menuiseries intérieures et extérieures, conception et rénovation de toiture, surélévation / extension de maison Abris de jardin, dans l’Ain, le Rhône, et le Val de Saône</t>
  </si>
  <si>
    <t>Ochando</t>
  </si>
  <si>
    <t xml:space="preserve">Grupo Tesela</t>
  </si>
  <si>
    <t>laura@grupotesela.com</t>
  </si>
  <si>
    <t>http://www.linkedin.com/in/lauralopezochando</t>
  </si>
  <si>
    <t>http://www.grupotesela.com</t>
  </si>
  <si>
    <t xml:space="preserve">6 Calle Roger de Lauria, Valencia, Valencian Community, Spain, 46002</t>
  </si>
  <si>
    <t>Mignet</t>
  </si>
  <si>
    <t>mignet@set.fr</t>
  </si>
  <si>
    <t>http://www.linkedin.com/in/clement-mignet-2a585a226</t>
  </si>
  <si>
    <t>http://www.set.fr</t>
  </si>
  <si>
    <t xml:space="preserve">40 Rue James Watt, Tours, Centre-Val de Loire, France, 37200</t>
  </si>
  <si>
    <t>Dorobantu</t>
  </si>
  <si>
    <t>BAW</t>
  </si>
  <si>
    <t>julian@bawmedia.com</t>
  </si>
  <si>
    <t>http://www.linkedin.com/in/julian-dorobantu-66884374</t>
  </si>
  <si>
    <t>http://www.baw.be</t>
  </si>
  <si>
    <t xml:space="preserve">7 Dennenlaan, Belgium, 2340</t>
  </si>
  <si>
    <t xml:space="preserve">Al meer dan 40 jaar produceert en plaatst BAW kwalitatief hoogstaand aluminium schrijnwerk. Geen project is te klein, te groot of te complex.</t>
  </si>
  <si>
    <t xml:space="preserve">Chief Science Officer - Co-founder</t>
  </si>
  <si>
    <t>brice.sevin@bureau-gda.fr</t>
  </si>
  <si>
    <t>http://www.linkedin.com/in/brice-sevin-a921a6147</t>
  </si>
  <si>
    <t xml:space="preserve">Directeur Général Bluerium</t>
  </si>
  <si>
    <t xml:space="preserve">BLUERIUM SAS</t>
  </si>
  <si>
    <t>e.robert@bluerium.com</t>
  </si>
  <si>
    <t>http://www.linkedin.com/in/emmanuel-robert-04796958</t>
  </si>
  <si>
    <t>http://www.bluerium.com</t>
  </si>
  <si>
    <t xml:space="preserve">Avenue Louis Philibert, Aix-en-Provence, Provence-Alpes-Cote d'Azur, France, 13290</t>
  </si>
  <si>
    <t xml:space="preserve">42c Sécurité Incendie</t>
  </si>
  <si>
    <t>alexandre.barraud@42csi.fr</t>
  </si>
  <si>
    <t>http://www.linkedin.com/in/alexandre-barraud-6ab978105</t>
  </si>
  <si>
    <t>http://www.42csi.fr</t>
  </si>
  <si>
    <t xml:space="preserve">31 Rue Paul Meurice, Paris, Ile-de-France, France, 75020</t>
  </si>
  <si>
    <t>Dine</t>
  </si>
  <si>
    <t xml:space="preserve">Directeur général &amp; fondateur</t>
  </si>
  <si>
    <t>énid</t>
  </si>
  <si>
    <t>philippe.dine@enid.fr</t>
  </si>
  <si>
    <t>http://www.linkedin.com/in/philippe-din%c3%a9-89842641</t>
  </si>
  <si>
    <t>http://www.enid.fr</t>
  </si>
  <si>
    <t xml:space="preserve">188 Allee des Bleuets, Montanay, Auvergne-Rhone-Alpes, France, 69250</t>
  </si>
  <si>
    <t xml:space="preserve">énid est spécialisé en confort climatique et en rénovation énergétique. Organisons ensemble la solution qui correspond à votre maison !</t>
  </si>
  <si>
    <t>Blacteau</t>
  </si>
  <si>
    <t xml:space="preserve">Directeur Général chez Services Voltige</t>
  </si>
  <si>
    <t xml:space="preserve">Services Voltige travaux difficiles d'accès</t>
  </si>
  <si>
    <t>ablacteau@voltige-services.com</t>
  </si>
  <si>
    <t>http://www.linkedin.com/in/alexandre-blacteau-81854614a</t>
  </si>
  <si>
    <t>http://www.voltige-services.com</t>
  </si>
  <si>
    <t xml:space="preserve">La Justice, Campbon, Pays de la Loire, France, 44750</t>
  </si>
  <si>
    <t xml:space="preserve">Les travaux en hauteur et difficiles d'accès mis au service de vos projets industriels, immobiliers, offshore et autres !</t>
  </si>
  <si>
    <t>Lagoutte</t>
  </si>
  <si>
    <t xml:space="preserve">Cloisons PARTENA®</t>
  </si>
  <si>
    <t>llagoutte@cloisons-partena.com</t>
  </si>
  <si>
    <t>http://www.linkedin.com/in/lo%c3%afc-lagoutte-95635279</t>
  </si>
  <si>
    <t>http://www.partena-sas.com</t>
  </si>
  <si>
    <t xml:space="preserve">18 Rue Saint-Denis, Saint-Denis, Ile-de-France, France, 93200</t>
  </si>
  <si>
    <t xml:space="preserve">Concepteur, fabricant, installateur de cloisons amovibles, notre expertise du second œuvre et de l’aménagement intérieur vous permettra d'aménager tous vos espaces.</t>
  </si>
  <si>
    <t xml:space="preserve">Royal Group</t>
  </si>
  <si>
    <t>olga.rigaud@royal-group.fr</t>
  </si>
  <si>
    <t>http://www.linkedin.com/in/olgarigaud</t>
  </si>
  <si>
    <t>http://www.royal-group.fr</t>
  </si>
  <si>
    <t>Chekroun</t>
  </si>
  <si>
    <t xml:space="preserve">Directeur général France et Belgique</t>
  </si>
  <si>
    <t xml:space="preserve">Elyor Group</t>
  </si>
  <si>
    <t>maurice@elyorgroup.com</t>
  </si>
  <si>
    <t>http://www.linkedin.com/in/maurice-chekroun</t>
  </si>
  <si>
    <t>http://www.elyor-group.com</t>
  </si>
  <si>
    <t xml:space="preserve">Elyor Group développeur expérimenté dans le domaine des projets solaires photovoltaïques pour les professionnels: hangar, toit, serre solaire.</t>
  </si>
  <si>
    <t>Devaud</t>
  </si>
  <si>
    <t xml:space="preserve">Directrice générale déléguée par interim</t>
  </si>
  <si>
    <t xml:space="preserve">ESSONNE AMENAGEMENT et SPL DES TERRITOIRES DE L'ESSONNE</t>
  </si>
  <si>
    <t>sdevaud@91amenagement.fr</t>
  </si>
  <si>
    <t>http://www.linkedin.com/in/sandra-devaud-87559627b</t>
  </si>
  <si>
    <t>http://www.essonne-amenagement.fr</t>
  </si>
  <si>
    <t xml:space="preserve">9 Cours Blaise Pascal, Courcouronnes, Ile-de-France, France, 91000</t>
  </si>
  <si>
    <t xml:space="preserve">Site Internet d'Essonne Aménagement et de la SPL des Territoires de l'Essonne</t>
  </si>
  <si>
    <t>Djebbar</t>
  </si>
  <si>
    <t xml:space="preserve">Chief Executive Officer - Directeur Général</t>
  </si>
  <si>
    <t>DEVEUGLE</t>
  </si>
  <si>
    <t>sdjebbar@deveugle.com</t>
  </si>
  <si>
    <t>http://www.linkedin.com/in/salim-djebbar-2004aa24</t>
  </si>
  <si>
    <t>http://www.deveugle.com</t>
  </si>
  <si>
    <t xml:space="preserve">23 Rue des Forts, Neuville-en-Ferrain, Hauts-de-France, France, 59960</t>
  </si>
  <si>
    <t xml:space="preserve">Deveugle conçoit et fabrique vos menuiseries sur mesure aluminium et acier. Spécialiste du prêt-à-poser. Porte et fenêtre : coupe-feu, pare-flamme, pare-balles et anti-effraction.</t>
  </si>
  <si>
    <t>Gentreau</t>
  </si>
  <si>
    <t>CSO</t>
  </si>
  <si>
    <t>as.gentreau@cso-brest.com</t>
  </si>
  <si>
    <t>http://www.linkedin.com/in/anne-sophie-gentreau-6119a594</t>
  </si>
  <si>
    <t>http://www.cso-brest.com</t>
  </si>
  <si>
    <t xml:space="preserve">246 Rue Antoine Lavoisier, Plabennec, Brittany, France, 29860</t>
  </si>
  <si>
    <t xml:space="preserve">L’entreprise assure l’installation, la mise en service de ses installations et le service après-vente ; la maintenance est assurée par sa filiale OSC.</t>
  </si>
  <si>
    <t>Tahar</t>
  </si>
  <si>
    <t>Ecovair</t>
  </si>
  <si>
    <t>alexandre.tahar@ecovair.fr</t>
  </si>
  <si>
    <t>http://www.linkedin.com/in/alexandre-tahar-44b71234</t>
  </si>
  <si>
    <t>http://www.ecovair.net</t>
  </si>
  <si>
    <t xml:space="preserve">Giza Governorate, Egypt</t>
  </si>
  <si>
    <t>Egypt</t>
  </si>
  <si>
    <t xml:space="preserve">MAISON BLEUE PREFA</t>
  </si>
  <si>
    <t>e.renaud@maisonbleue.fr</t>
  </si>
  <si>
    <t>http://www.linkedin.com/in/eddy-renaud-a737b4198</t>
  </si>
  <si>
    <t>http://www.maisonbleue.fr</t>
  </si>
  <si>
    <t xml:space="preserve">La Rabateliere, Pays de la Loire, France, 85250</t>
  </si>
  <si>
    <t xml:space="preserve">Maison Bleue est un préfabricant béton qui associe à son usine de préfabrication ses propres équipes de pose : Fabrication et pose de murs ou éléments sur-mesure préfabriqués en béton pour bâtiments industriels (logistiques ou stockage) ou agricoles (élevage ou stockage) et ouvrages du génie civil</t>
  </si>
  <si>
    <t xml:space="preserve">NORTEC Ingénierie</t>
  </si>
  <si>
    <t>bpetit@nortecbet.com</t>
  </si>
  <si>
    <t>http://www.linkedin.com/in/benoit-petit-978122b1</t>
  </si>
  <si>
    <t>http://www.nortecbet.com</t>
  </si>
  <si>
    <t>Galle</t>
  </si>
  <si>
    <t xml:space="preserve">Groupe Noblet</t>
  </si>
  <si>
    <t>laurent.galle@groupenoblet.com</t>
  </si>
  <si>
    <t>http://www.linkedin.com/in/laurent-galle-53b254</t>
  </si>
  <si>
    <t>http://www.groupenoblet.com</t>
  </si>
  <si>
    <t xml:space="preserve">Route de Meaux, Serris, Ile-de-France, France, 77700</t>
  </si>
  <si>
    <t xml:space="preserve">Le groupe Noblet est spécialiste de la location de camions avec chauffeur et service aux entreprises de TP &amp; Espaces verts en Île-de-France.</t>
  </si>
  <si>
    <t>Burbaud</t>
  </si>
  <si>
    <t>BBE</t>
  </si>
  <si>
    <t>burbaud@bbe-sas.com</t>
  </si>
  <si>
    <t>http://www.linkedin.com/in/olivier-burbaud-763253134</t>
  </si>
  <si>
    <t>http://www.bbe-sas.com</t>
  </si>
  <si>
    <t xml:space="preserve">14 Rue Ampere, Pusignan, Rhone-Alpes, France, 69330</t>
  </si>
  <si>
    <t>Desmoulin</t>
  </si>
  <si>
    <t>eric.desmoulin@sngisa.fr</t>
  </si>
  <si>
    <t>http://www.linkedin.com/in/eric-desmoulin-6aa68286</t>
  </si>
  <si>
    <t>http://www.sngisas.com</t>
  </si>
  <si>
    <t xml:space="preserve">1044 Route de Lyon, Sainte-Foy-l'Argentiere, Auvergne-Rhone-Alpes, France, 69610</t>
  </si>
  <si>
    <t>patrick.fitoussi@groupe-ifh.fr</t>
  </si>
  <si>
    <t>http://www.linkedin.com/in/patrick-fitoussi-85b22a57</t>
  </si>
  <si>
    <t>Cramoisan</t>
  </si>
  <si>
    <t xml:space="preserve">CARRILLO CARRELAGE</t>
  </si>
  <si>
    <t>o.cramoisan@carrillo-carrelage.fr</t>
  </si>
  <si>
    <t>http://www.linkedin.com/in/olivier-cramoisan-867064107</t>
  </si>
  <si>
    <t>http://www.carrillo-carrelage.com</t>
  </si>
  <si>
    <t>Fabregues</t>
  </si>
  <si>
    <t xml:space="preserve">19 Avenue du General de Gaulle, Fabregues, Languedoc-Roussillon, France, 34690</t>
  </si>
  <si>
    <t>Hamelot</t>
  </si>
  <si>
    <t>co-fondateur</t>
  </si>
  <si>
    <t xml:space="preserve">Le Pavé®</t>
  </si>
  <si>
    <t>marius.hamelot@sasminimum.com</t>
  </si>
  <si>
    <t>http://www.linkedin.com/in/marius-hamelot-698442124</t>
  </si>
  <si>
    <t>http://www.le-pave.com</t>
  </si>
  <si>
    <t xml:space="preserve">97 Rue du Port, Aubervilliers, Ile-de-France, France, 93300</t>
  </si>
  <si>
    <t>Fasiolo</t>
  </si>
  <si>
    <t>marc.fasiolo@s2t.fr</t>
  </si>
  <si>
    <t>http://www.linkedin.com/in/marc-fasiolo-564760</t>
  </si>
  <si>
    <t>Danan</t>
  </si>
  <si>
    <t xml:space="preserve">Citizens ID</t>
  </si>
  <si>
    <t>odanan@citizensid.com</t>
  </si>
  <si>
    <t>http://www.linkedin.com/in/olivierdanan</t>
  </si>
  <si>
    <t>http://www.citizensid.com</t>
  </si>
  <si>
    <t xml:space="preserve">7500A Beach Rd, Singapore, Singapore, 199591</t>
  </si>
  <si>
    <t>Luckert</t>
  </si>
  <si>
    <t xml:space="preserve">MICHEL SAS</t>
  </si>
  <si>
    <t>j.luckert@michelsas.fr</t>
  </si>
  <si>
    <t>http://www.linkedin.com/in/jerome-luckert-963b2086</t>
  </si>
  <si>
    <t>http://www.michelsas.com</t>
  </si>
  <si>
    <t xml:space="preserve">Auxerre, Burgundy, France</t>
  </si>
  <si>
    <t xml:space="preserve">Le Groupe Michel SAS met à votre service son expérience et son professionnalisme pour mener à bien vos projets</t>
  </si>
  <si>
    <t>Dasse</t>
  </si>
  <si>
    <t>ESOLIA</t>
  </si>
  <si>
    <t>hdasse@esolia.fr</t>
  </si>
  <si>
    <t>http://www.linkedin.com/in/h%c3%a9l%c3%a8ne-dass%c3%a9</t>
  </si>
  <si>
    <t>http://www.esolia.fr</t>
  </si>
  <si>
    <t xml:space="preserve">Chemin de Bernay, Sainte-Gemmes-sur-Loire, Pays de la Loire, France, 49130</t>
  </si>
  <si>
    <t xml:space="preserve">Nos deux métiers : ESOLIA Résine : la résine de sol et ESOLIA Maintenance la réparation, maintenance des dalles et dallages béton.
Chacune de ces activités est gérée par un professionnel bénéficiant de nombreuses années d’expérience, appuyé par des compagnons qui en font le dynamisme.</t>
  </si>
  <si>
    <t>Saurel</t>
  </si>
  <si>
    <t xml:space="preserve">Responsable Bellastock Marseille, direction expertise réemploi et co-fondateur</t>
  </si>
  <si>
    <t>gregoire.saurel@bellastock.com</t>
  </si>
  <si>
    <t>http://www.linkedin.com/in/gr%c3%a9goire-saurel-b5b62b92</t>
  </si>
  <si>
    <t>V</t>
  </si>
  <si>
    <t xml:space="preserve">Le Wood Gang</t>
  </si>
  <si>
    <t>fabien@lewoodgang.com</t>
  </si>
  <si>
    <t>http://www.linkedin.com/in/fabienvanhecke</t>
  </si>
  <si>
    <t>http://www.lewoodgang.com</t>
  </si>
  <si>
    <t xml:space="preserve">Templemars, Nord-Pas-de-Calais, France</t>
  </si>
  <si>
    <t>Franchini</t>
  </si>
  <si>
    <t>PHARMABOIS</t>
  </si>
  <si>
    <t>s.franchini@pharmabois.fr</t>
  </si>
  <si>
    <t>http://www.linkedin.com/in/samuel-franchini-353a60139</t>
  </si>
  <si>
    <t>http://www.pharmabois.com</t>
  </si>
  <si>
    <t xml:space="preserve">Découvrez nos solutions pour la réhabilitation de vos bâtiments et les réponses à vos problèmes sur vos structures en bois et métal.</t>
  </si>
  <si>
    <t>Lavocat</t>
  </si>
  <si>
    <t xml:space="preserve">QUINCE Construction</t>
  </si>
  <si>
    <t>l.lavocat@quinceconstruction.fr</t>
  </si>
  <si>
    <t>http://www.linkedin.com/in/llavocat</t>
  </si>
  <si>
    <t>http://www.quinceconstruction.fr</t>
  </si>
  <si>
    <t xml:space="preserve">Putanges-le-Lac, Normandie, France, 61210</t>
  </si>
  <si>
    <t xml:space="preserve">Bienvenue chez Quincé, entreprise générale du bâtiment et de gros oeuvre en Normandie. Nous sommes situé dans l'Orne, près de Flers</t>
  </si>
  <si>
    <t>Faucherand</t>
  </si>
  <si>
    <t>ARCHING</t>
  </si>
  <si>
    <t>bfaucherand@arching.com</t>
  </si>
  <si>
    <t>http://www.linkedin.com/in/benoit-faucherand-b5a2871</t>
  </si>
  <si>
    <t>http://www.arching.com</t>
  </si>
  <si>
    <t>Libaud</t>
  </si>
  <si>
    <t>b.libaud@lpb33.fr</t>
  </si>
  <si>
    <t>http://www.linkedin.com/in/benoit-libaud-1a6a54a2</t>
  </si>
  <si>
    <t>tmention@groupemention.fr</t>
  </si>
  <si>
    <t>http://www.linkedin.com/in/thomas-mention-538917a5</t>
  </si>
  <si>
    <t>Herran</t>
  </si>
  <si>
    <t xml:space="preserve">ENERGY MENUISERIES</t>
  </si>
  <si>
    <t>gauthier@energy-menuiseries.com</t>
  </si>
  <si>
    <t>http://www.linkedin.com/in/gauthier-herran-79233310b</t>
  </si>
  <si>
    <t>http://www.energy-menuiseries.com</t>
  </si>
  <si>
    <t xml:space="preserve">1 Rue de l'Ardiden, Ibos, Occitanie, France, 65420</t>
  </si>
  <si>
    <t>Leurquin</t>
  </si>
  <si>
    <t>bertrand.leurquin@sedri.fr</t>
  </si>
  <si>
    <t>http://www.linkedin.com/in/bertrand-leurquin-36a812155</t>
  </si>
  <si>
    <t>Duchamp</t>
  </si>
  <si>
    <t>m.duchamp@seric-group.fr</t>
  </si>
  <si>
    <t>http://www.linkedin.com/in/mathieu-duchamp-63079b1b7</t>
  </si>
  <si>
    <t>C.R.D</t>
  </si>
  <si>
    <t>clefeuvre@sascrd.com</t>
  </si>
  <si>
    <t>http://www.linkedin.com/in/cedric-lefeuvre-3479141a1</t>
  </si>
  <si>
    <t>http://www.sascrd.com</t>
  </si>
  <si>
    <t xml:space="preserve">Jugon-les-Lacs, Brittany, France, 22270</t>
  </si>
  <si>
    <t xml:space="preserve">CRD est le spécialiste de la maçonnerie et rénovation pour les particuliers et les professionnels. Implantée à Jugon, CRD a intégré le Groupe Ciméo en 2014.</t>
  </si>
  <si>
    <t>Voeltzel</t>
  </si>
  <si>
    <t>borisvoeltzel@delaval.fr</t>
  </si>
  <si>
    <t>http://www.linkedin.com/in/boris-voeltzel</t>
  </si>
  <si>
    <t>Ergand</t>
  </si>
  <si>
    <t>JEI</t>
  </si>
  <si>
    <t>j.ergand@jei.fr</t>
  </si>
  <si>
    <t>http://www.linkedin.com/in/ergand-jacques-8297b159</t>
  </si>
  <si>
    <t>http://www.jei.fr</t>
  </si>
  <si>
    <t xml:space="preserve">Co-fondateur, DG, Directeur Affaires et Stratégie</t>
  </si>
  <si>
    <t>olivier.maury@beam3.fr</t>
  </si>
  <si>
    <t>http://www.linkedin.com/in/olivier-maury-96150755</t>
  </si>
  <si>
    <t>Bigotte</t>
  </si>
  <si>
    <t xml:space="preserve">LES MENUISIERS DU RHONE</t>
  </si>
  <si>
    <t>j.bigotte@menuisiersdurhone.fr</t>
  </si>
  <si>
    <t>http://www.linkedin.com/in/jeremy-bigotte-9755ba201</t>
  </si>
  <si>
    <t>http://www.menuisiersdurhone.fr</t>
  </si>
  <si>
    <t>Oullins</t>
  </si>
  <si>
    <t xml:space="preserve">Vaulx-en-Velin, Rhone-Alpes, France</t>
  </si>
  <si>
    <t xml:space="preserve">Bienvenue sur le site internet des Menuisiers du Rhône ! Agencement, rénovation et menuiserie.</t>
  </si>
  <si>
    <t>Omer</t>
  </si>
  <si>
    <t>Gurcan</t>
  </si>
  <si>
    <t xml:space="preserve">BRG HABITAT</t>
  </si>
  <si>
    <t>gurcan@brghabitat.fr</t>
  </si>
  <si>
    <t>http://www.linkedin.com/in/omer-gurcan-b05752223</t>
  </si>
  <si>
    <t>http://www.brghabitat.fr</t>
  </si>
  <si>
    <t xml:space="preserve">9 Rue de la Dhuys, Coubron, Ile-de-France, France, 93470</t>
  </si>
  <si>
    <t>Inan</t>
  </si>
  <si>
    <t>Ozgur</t>
  </si>
  <si>
    <t>ELRP</t>
  </si>
  <si>
    <t>i.ozgur@elrp.fr</t>
  </si>
  <si>
    <t>http://www.linkedin.com/in/inan-ozgur-7745a8164</t>
  </si>
  <si>
    <t>http://www.elrp-peinture.fr</t>
  </si>
  <si>
    <t xml:space="preserve">21 Rue Francine Fromont, Vaulx-en-Velin, Auvergne-Rhone-Alpes, France, 69120</t>
  </si>
  <si>
    <t xml:space="preserve">Entreprise lyonnaise de plâtrerie et peinture.</t>
  </si>
  <si>
    <t>Aiello</t>
  </si>
  <si>
    <t xml:space="preserve">AUZEO Habitat</t>
  </si>
  <si>
    <t>s.aiello@auzeo-habitat.com</t>
  </si>
  <si>
    <t>http://www.linkedin.com/in/steve-a%c3%afello-336233112</t>
  </si>
  <si>
    <t>http://www.auzeo-habitat.com</t>
  </si>
  <si>
    <t xml:space="preserve">22 Avenue de la Gare, Beynes, Ile-de-France, France, 78650</t>
  </si>
  <si>
    <t xml:space="preserve">Site officiel de la société AUZEO HABITAT - Fourniture et pose de fenêtres, portes, volets et stores en Île de France | Devis gratuit sous 48h | Certifié Qualibat RGE | Pose soignée par personnel qualifié | 15 ans d'expérience</t>
  </si>
  <si>
    <t>Lozac'h</t>
  </si>
  <si>
    <t xml:space="preserve">TECHNI CHAUFFAGE</t>
  </si>
  <si>
    <t>jerome.lozach@technichauffage.fr</t>
  </si>
  <si>
    <t>http://www.linkedin.com/in/j%c3%a9r%c3%b4me-lozac-h-23151a14a</t>
  </si>
  <si>
    <t>http://www.technichauffage.fr</t>
  </si>
  <si>
    <t>Locmaria-Plouzane</t>
  </si>
  <si>
    <t>Bergeron</t>
  </si>
  <si>
    <t>SAS-BIM</t>
  </si>
  <si>
    <t>patrice.bergeron@sas-bim.fr</t>
  </si>
  <si>
    <t>http://www.linkedin.com/in/patrice-bergeron-3a706571</t>
  </si>
  <si>
    <t>http://www.sas-bim.fr</t>
  </si>
  <si>
    <t xml:space="preserve">15 Rue du Commandant Reibel, Strasbourg, Grand Est, France, 67000</t>
  </si>
  <si>
    <t xml:space="preserve">Société spécialisée dans les études de synthèse TCE y compris architecturale et d'execution. Nous réalisons également des maquettes TCE selon les besoins de nos clients, BIM Management, Coordination BIM, AMO BIM.
Assistance à Maitrise d’Ouvrage pour la mise en œuvre d’opérations BIM.
Conseils et assistances auprès de l’ensemble des acteurs du BTP dans le cadre de la mise à œuvre de procédures BIM.</t>
  </si>
  <si>
    <t>Carbonero</t>
  </si>
  <si>
    <t xml:space="preserve">Directeur général CARBONERO</t>
  </si>
  <si>
    <t xml:space="preserve">CARBONERO SAS</t>
  </si>
  <si>
    <t>r.carbonero@carbonero.fr</t>
  </si>
  <si>
    <t>http://www.linkedin.com/in/r%c3%a9mi-carbonero-aa571596</t>
  </si>
  <si>
    <t>http://www.carbonero.fr</t>
  </si>
  <si>
    <t xml:space="preserve">1192 Chemin du Pansu, La Buisse, Auvergne-Rhone-Alpes, France, 38500</t>
  </si>
  <si>
    <t>Menet</t>
  </si>
  <si>
    <t xml:space="preserve">TP+ sas</t>
  </si>
  <si>
    <t>jmenet@tp-plus.fr</t>
  </si>
  <si>
    <t>http://www.linkedin.com/in/johann-menet-460512105</t>
  </si>
  <si>
    <t>http://www.tp-plus.fr</t>
  </si>
  <si>
    <t>Billy-Berclau</t>
  </si>
  <si>
    <t xml:space="preserve">Billy-Berclau, Hauts-de-France, France, 62138</t>
  </si>
  <si>
    <t>Blaison</t>
  </si>
  <si>
    <t>virginie@metiista.fr</t>
  </si>
  <si>
    <t>http://www.linkedin.com/in/virginie-blaison-695239185</t>
  </si>
  <si>
    <t>rbinet@bernasconi-tp.fr</t>
  </si>
  <si>
    <t>http://www.linkedin.com/in/regis-binet-a5b897106</t>
  </si>
  <si>
    <t>Homagil</t>
  </si>
  <si>
    <t>c.gomme@corenaccess.fr</t>
  </si>
  <si>
    <t>http://www.linkedin.com/in/clement-gomme-5a7157a0</t>
  </si>
  <si>
    <t>http://www.homagil.fr</t>
  </si>
  <si>
    <t xml:space="preserve">Homagil est spécialisée en aménagement accessibilité intérieur/extérieur. Conseils et travaux pour particulier, entreprise, collectivité</t>
  </si>
  <si>
    <t>Reynaud</t>
  </si>
  <si>
    <t xml:space="preserve">Ceo et Founder</t>
  </si>
  <si>
    <t>Transparence</t>
  </si>
  <si>
    <t>philippe@transparence.site</t>
  </si>
  <si>
    <t>http://www.linkedin.com/in/philippe-reynaud-transparence-conformit%c3%a9-l%c3%a9gale</t>
  </si>
  <si>
    <t>http://www.transparence.dk</t>
  </si>
  <si>
    <t xml:space="preserve">1 Frederiksborggade, Kobenhavn, Capital Region of Denmark, Denmark, 1360</t>
  </si>
  <si>
    <t xml:space="preserve">Transparence skaber individuelle løsninger, så du opnår transparens og tryghed indenfor økonomisk styring af dine projekter og din virksomhed.</t>
  </si>
  <si>
    <t>Cabaud</t>
  </si>
  <si>
    <t xml:space="preserve">Cool Roof</t>
  </si>
  <si>
    <t>lcabaud@coolroof-france.com</t>
  </si>
  <si>
    <t>http://www.linkedin.com/in/louis-cabaud-19a1127</t>
  </si>
  <si>
    <t>http://www.getcoolroof.com</t>
  </si>
  <si>
    <t>Richelieu</t>
  </si>
  <si>
    <t xml:space="preserve">23152 Verdugo Dr, Laguna Hills, California, United States, 92653</t>
  </si>
  <si>
    <t>Guinebretiere</t>
  </si>
  <si>
    <t>nicolas.guinebretiere@vestack.com</t>
  </si>
  <si>
    <t>http://www.linkedin.com/in/nicolasguinebretiere</t>
  </si>
  <si>
    <t xml:space="preserve">Co-Founder &amp; Operations Director</t>
  </si>
  <si>
    <t>Sinfonic</t>
  </si>
  <si>
    <t>mehdi.belarbi@sinfonic.fr</t>
  </si>
  <si>
    <t>http://www.linkedin.com/in/mehdi-b-37094a1b</t>
  </si>
  <si>
    <t>http://www.sinfonic.fr</t>
  </si>
  <si>
    <t>Bafti</t>
  </si>
  <si>
    <t>Nerguti</t>
  </si>
  <si>
    <t xml:space="preserve">MANOSQUE ELECTRICITE PLOMBERIE</t>
  </si>
  <si>
    <t>bafti.nerguti@mep-manosque.fr</t>
  </si>
  <si>
    <t>http://www.linkedin.com/in/bafti-nerguti-15a964193</t>
  </si>
  <si>
    <t>http://www.mep-energie.com</t>
  </si>
  <si>
    <t xml:space="preserve">Manosque, Provence-Alpes-Cote d'Azur, France</t>
  </si>
  <si>
    <t>Frasil</t>
  </si>
  <si>
    <t>julien.durieux@frasil-maisons.fr</t>
  </si>
  <si>
    <t>http://www.linkedin.com/in/juliendurieux</t>
  </si>
  <si>
    <t>http://www.frasil.fr</t>
  </si>
  <si>
    <t xml:space="preserve">Allee du Rhone, Villeurbanne, Rhone-Alpes, France, 69100</t>
  </si>
  <si>
    <t xml:space="preserve">Frasil est un maitre d'oeuvre et architecte d'intérieur qui vous accompagne dans vos projets de rénovation et construction de manière transparente et durable.</t>
  </si>
  <si>
    <t>Caminade</t>
  </si>
  <si>
    <t>g.caminade@gcbtp.fr</t>
  </si>
  <si>
    <t>http://www.linkedin.com/in/gillescaminade</t>
  </si>
  <si>
    <t xml:space="preserve">GROUPE BRUNET</t>
  </si>
  <si>
    <t>jpbrunet@groupebrunet.com</t>
  </si>
  <si>
    <t>http://www.linkedin.com/in/jean-pierre-brunet-254137a6</t>
  </si>
  <si>
    <t>http://www.groupebrunet.com</t>
  </si>
  <si>
    <t xml:space="preserve">813 Rue Leon Blum, Amberieu-en-Bugey, Auvergne-Rhone-Alpes, France, 01500</t>
  </si>
  <si>
    <t xml:space="preserve">Groupe Brunet. Depuis 60 ans le groupe opère dans des projets d’aménagement foncier en France dans le respect de l’environnement et de la bio diversité %</t>
  </si>
  <si>
    <t xml:space="preserve">Richard Construction</t>
  </si>
  <si>
    <t>r.perez@richard-construction.fr</t>
  </si>
  <si>
    <t>http://www.linkedin.com/in/richard-perez-35b02bb5</t>
  </si>
  <si>
    <t>http://www.richard-construction.fr</t>
  </si>
  <si>
    <t xml:space="preserve">Richard Construction est expert dans le domaine du bâtiment, maçonnerie et gros-oeuvre depuis 1956</t>
  </si>
  <si>
    <t>Gaussail</t>
  </si>
  <si>
    <t>ogaussail@ferro.fr</t>
  </si>
  <si>
    <t>http://www.linkedin.com/in/olivier-gaussail-172226137</t>
  </si>
  <si>
    <t>Khafi</t>
  </si>
  <si>
    <t xml:space="preserve">GROUPE ELIÉNE</t>
  </si>
  <si>
    <t>s.khafi@jp-elec.fr</t>
  </si>
  <si>
    <t>http://www.linkedin.com/in/salah-khafi-39b278234</t>
  </si>
  <si>
    <t>http://www.groupe-eliene.com</t>
  </si>
  <si>
    <t>Turetta</t>
  </si>
  <si>
    <t xml:space="preserve">CMD LYON</t>
  </si>
  <si>
    <t>g.turetta@cmdlyon.com</t>
  </si>
  <si>
    <t>http://www.linkedin.com/in/gerardturetta</t>
  </si>
  <si>
    <t>http://www.cmdlyon.com</t>
  </si>
  <si>
    <t xml:space="preserve">Taluyers, Auvergne-Rhone-Alpes, France, 69440</t>
  </si>
  <si>
    <t>Lartigue</t>
  </si>
  <si>
    <t xml:space="preserve">Groupe Lartigue</t>
  </si>
  <si>
    <t>frederic@groupelartigue.com</t>
  </si>
  <si>
    <t>http://www.linkedin.com/in/frederic-lartigue-b4527b106</t>
  </si>
  <si>
    <t>http://www.groupelartigue.com</t>
  </si>
  <si>
    <t xml:space="preserve">Une vision commune : "Améliorer le bien être économique et la qualité de vie de tous les intéressés... Clients, collaborateurs et partenaires".</t>
  </si>
  <si>
    <t>Mortier</t>
  </si>
  <si>
    <t>franck.mortier@mf-construction.com</t>
  </si>
  <si>
    <t>http://www.linkedin.com/in/franck-mortier-2375128b</t>
  </si>
  <si>
    <t>Konrat</t>
  </si>
  <si>
    <t>Maverick</t>
  </si>
  <si>
    <t>anna@maverick.com.de</t>
  </si>
  <si>
    <t>http://www.linkedin.com/in/anna-konrat-74b56956</t>
  </si>
  <si>
    <t>http://www.exhibitionstand.construction</t>
  </si>
  <si>
    <t xml:space="preserve">1 Aubstrasse, Langenzenn, Bavaria, Germany, 90579</t>
  </si>
  <si>
    <t xml:space="preserve">Maverick GmbH's ⭐ professional event stand builders bring creativity and precision to every project, ensuring your brand shines at every event. Let us turn your ideas into captivating exhibits!</t>
  </si>
  <si>
    <t>Joie</t>
  </si>
  <si>
    <t xml:space="preserve">MENUISERIE JOIE</t>
  </si>
  <si>
    <t>gjoie@menuiseriejoie.com</t>
  </si>
  <si>
    <t>http://www.linkedin.com/in/ga%c3%a9tan-joie-066725195</t>
  </si>
  <si>
    <t>http://www.menuiseriejoie.com</t>
  </si>
  <si>
    <t>Philondenx</t>
  </si>
  <si>
    <t xml:space="preserve">14 Route des Pyrenees, Philondenx, Nouvelle-Aquitaine, France, 40320</t>
  </si>
  <si>
    <t xml:space="preserve">La menuiserie Joie est une entreprise de menuiserie active près de Mont-de-Marsan. A l'écoute de vos besoins, nous mettons nos compétences...</t>
  </si>
  <si>
    <t>Sartre</t>
  </si>
  <si>
    <t>hsartre@homyos.fr</t>
  </si>
  <si>
    <t>http://www.linkedin.com/in/huguessartre</t>
  </si>
  <si>
    <t xml:space="preserve">Technopôle Domolandes</t>
  </si>
  <si>
    <t>herve.noyon@domolandes.fr</t>
  </si>
  <si>
    <t>http://www.linkedin.com/in/herv%c3%a9-noyon-11896b41</t>
  </si>
  <si>
    <t>http://www.domolandes.fr</t>
  </si>
  <si>
    <t xml:space="preserve">Saint-Geours-de-Maremne, Aquitaine, France, 40230</t>
  </si>
  <si>
    <t xml:space="preserve">Notre mission : accompagner la création et le développement des entreprises de la filière du bâtiment. Pépinière d'entreprises, Formation, Innovation</t>
  </si>
  <si>
    <t>Lars</t>
  </si>
  <si>
    <t>HOUMMI</t>
  </si>
  <si>
    <t>lars@hoummi.com</t>
  </si>
  <si>
    <t>http://www.linkedin.com/in/lars-herbillon</t>
  </si>
  <si>
    <t>http://www.hoummi.com</t>
  </si>
  <si>
    <t xml:space="preserve">35t Avenue Pierre Grenier, Boulogne-Billancourt, Ile-de-France, France, 92100</t>
  </si>
  <si>
    <t xml:space="preserve">Hoummi développe des habitations et espaces de travail autonomes en eau et en énergie, intelligents et durables. Bienvenue dans la maison du futur.</t>
  </si>
  <si>
    <t xml:space="preserve">Thermsanit Groupe</t>
  </si>
  <si>
    <t>gilbert.navarro@therm-sanit.com</t>
  </si>
  <si>
    <t>http://www.linkedin.com/in/gilbert-navarro</t>
  </si>
  <si>
    <t>http://www.therm-sanit.com</t>
  </si>
  <si>
    <t xml:space="preserve">Sillingy, Auvergne-Rhone-Alpes, France, 74330</t>
  </si>
  <si>
    <t xml:space="preserve">Équipe de professionnels comprenant des chauffagistes, des concepteurs, des dessinateurs, des carreleurs et des électriciens pour garantir des solutions intégrées à tous vos projets de construction et de rénovation. Un projet ? Une question ? Thermsanit, 120 route de Clermont, 74330 Sillingy - 04 50 68 78 35</t>
  </si>
  <si>
    <t>Bellec</t>
  </si>
  <si>
    <t>coat-ing</t>
  </si>
  <si>
    <t>p.bellec@coat-ing.eu</t>
  </si>
  <si>
    <t>http://www.linkedin.com/in/paulinebellec</t>
  </si>
  <si>
    <t>http://www.coat-ing.eu</t>
  </si>
  <si>
    <t xml:space="preserve">41 Place Rihour, Lille, Hauts-de-France, France, 59800</t>
  </si>
  <si>
    <t xml:space="preserve">Lauréat de l'AAP lancé par la Région Hauts de France pour 
l'industrialisation de la rénovation énergétique</t>
  </si>
  <si>
    <t xml:space="preserve">GROUPE CRESPY</t>
  </si>
  <si>
    <t>mdumas@crespy.fr</t>
  </si>
  <si>
    <t>http://www.linkedin.com/in/mathieu-dumas-05874784</t>
  </si>
  <si>
    <t>http://www.groupe-crespy.fr</t>
  </si>
  <si>
    <t xml:space="preserve">2 Avenue de la Gare, Revel, Occitanie, France, 31250</t>
  </si>
  <si>
    <t xml:space="preserve">Dans le secteur de la construction et du bâtiment depuis plus d’un siècle</t>
  </si>
  <si>
    <t>G2I</t>
  </si>
  <si>
    <t>d.briancon@g2i.fr</t>
  </si>
  <si>
    <t>http://www.linkedin.com/in/delphine-garcia-brian%c3%a7on-3b881248</t>
  </si>
  <si>
    <t>http://www.g2i.fr</t>
  </si>
  <si>
    <t xml:space="preserve">164 Chemin Saint-Jean du Desert, Marseille, Provence-Alpes-Cote d'Azur, France, 13005</t>
  </si>
  <si>
    <t xml:space="preserve">ETS FERNANDES SA</t>
  </si>
  <si>
    <t>sebastien@fernandesinox.com</t>
  </si>
  <si>
    <t>http://www.linkedin.com/in/s%c3%a9bastien-fernandes-979438b0</t>
  </si>
  <si>
    <t>http://www.fernandesinox.com</t>
  </si>
  <si>
    <t xml:space="preserve">Mably, Auvergne-Rhone-Alpes, France, 42300</t>
  </si>
  <si>
    <t xml:space="preserve">Nous concevons, fabriquons et installons des solutions en acier inoxydable. Fernandes, c'est votre partenaire INOX sur Roanne.</t>
  </si>
  <si>
    <t>Cayet</t>
  </si>
  <si>
    <t>BATINOR</t>
  </si>
  <si>
    <t>stephanie.cayet@batinor.fr</t>
  </si>
  <si>
    <t>http://www.linkedin.com/in/st%c3%a9phanie-cayet-233a56138</t>
  </si>
  <si>
    <t>http://www.batinor.fr</t>
  </si>
  <si>
    <t>Bethune</t>
  </si>
  <si>
    <t xml:space="preserve">550 Rue des Reptins, Ruitz, Hauts-de-France, France, 62620</t>
  </si>
  <si>
    <t>Texandier</t>
  </si>
  <si>
    <t>ELAII</t>
  </si>
  <si>
    <t>t.texandier@elaii.fr</t>
  </si>
  <si>
    <t>http://www.linkedin.com/in/tony-texandier-39b353110</t>
  </si>
  <si>
    <t>http://www.elaii.fr</t>
  </si>
  <si>
    <t>Ceccaldi</t>
  </si>
  <si>
    <t>Cemexa</t>
  </si>
  <si>
    <t>c.ceccaldi@cemexa.eu</t>
  </si>
  <si>
    <t>http://www.linkedin.com/in/christophe-ceccaldi-b07320135</t>
  </si>
  <si>
    <t>http://www.cemexa.eu</t>
  </si>
  <si>
    <t>Dieulefit</t>
  </si>
  <si>
    <t xml:space="preserve">Avenue des Eoliennes, Donzere, Auvergne-Rhone-Alpes, France, 26290</t>
  </si>
  <si>
    <t>Parisset</t>
  </si>
  <si>
    <t>Novactory</t>
  </si>
  <si>
    <t>clement.parisset@novactory.eu</t>
  </si>
  <si>
    <t>http://www.linkedin.com/in/cl%c3%a9ment-parisset-a28a95112</t>
  </si>
  <si>
    <t>http://www.novactory.eu</t>
  </si>
  <si>
    <t>Limoux</t>
  </si>
  <si>
    <t xml:space="preserve">48 Route des Pyrenees, Couiza, Occitanie, France, 11190</t>
  </si>
  <si>
    <t xml:space="preserve">Novactory est une manufacture 2.0, un atelier nouvelle génération et un fournisseur de services qui va faire bouger votre quotidien</t>
  </si>
  <si>
    <t>Gallia</t>
  </si>
  <si>
    <t xml:space="preserve">GALLIA Ets</t>
  </si>
  <si>
    <t>florent.gallia@gallia-btp.fr</t>
  </si>
  <si>
    <t>http://www.linkedin.com/in/florent-gallia-9b412867</t>
  </si>
  <si>
    <t>http://www.gallia-btp.fr</t>
  </si>
  <si>
    <t xml:space="preserve">110 Chemin des Gorges, Valserhone, Auvergne-Rhone-Alpes, France, 01200</t>
  </si>
  <si>
    <t>Rouzier</t>
  </si>
  <si>
    <t>p.rouzier@groupebrandizi.fr</t>
  </si>
  <si>
    <t>http://www.linkedin.com/in/patrice-rouzier-0623bb205</t>
  </si>
  <si>
    <t xml:space="preserve">Director &amp; co-founder</t>
  </si>
  <si>
    <t>jcl@qlclean.com</t>
  </si>
  <si>
    <t>http://www.linkedin.com/in/jean-charles-lebeau-34a34aa5</t>
  </si>
  <si>
    <t>Aumis</t>
  </si>
  <si>
    <t xml:space="preserve">Chief Operating Officer / Co-founder</t>
  </si>
  <si>
    <t>localteams</t>
  </si>
  <si>
    <t>denis.aumis@locallyteams.com</t>
  </si>
  <si>
    <t>http://www.linkedin.com/in/denis-aumis-846a67137</t>
  </si>
  <si>
    <t>http://www.localteams.io</t>
  </si>
  <si>
    <t xml:space="preserve">1 Rue du Champ de Mars, Paris, Ile-de-France, France, 75007</t>
  </si>
  <si>
    <t>Bacquie</t>
  </si>
  <si>
    <t xml:space="preserve">SRBI Immobilier professionnel</t>
  </si>
  <si>
    <t>h.bacquie@srbi.fr</t>
  </si>
  <si>
    <t>http://www.linkedin.com/in/herv%c3%a9bacqui%c3%a9</t>
  </si>
  <si>
    <t>http://www.srbi.fr</t>
  </si>
  <si>
    <t xml:space="preserve">19 Boulevard Joffre, La Rochelle, Nouvelle-Aquitaine, France, 17000</t>
  </si>
  <si>
    <t xml:space="preserve">Contractant Général et Maître d'oeuvre en Bâtiments industriels, Bureaux, Commerces, Entrepôts logistique et stockage. Construction clé en main</t>
  </si>
  <si>
    <t>Attard</t>
  </si>
  <si>
    <t>jeremy.a@edgar-den.fr</t>
  </si>
  <si>
    <t>http://www.linkedin.com/in/jeremy-attard-a628721a5</t>
  </si>
  <si>
    <t>Latour</t>
  </si>
  <si>
    <t xml:space="preserve">AG CONCEPT</t>
  </si>
  <si>
    <t>thibaut.latour@agconcept.org</t>
  </si>
  <si>
    <t>http://www.linkedin.com/in/thibaut-latour-4084981</t>
  </si>
  <si>
    <t>http://www.agconcept.org</t>
  </si>
  <si>
    <t xml:space="preserve">29 Rue des Orfevres, Blagnac, Occitanie, France, 31700</t>
  </si>
  <si>
    <t xml:space="preserve">AG Concept intervient dans la création, l’aménagement, ou le réaménagement d’espaces, de locaux professionnels.</t>
  </si>
  <si>
    <t>Jaume</t>
  </si>
  <si>
    <t>CEMFLUID</t>
  </si>
  <si>
    <t>v.jaume@cemfluid.fr</t>
  </si>
  <si>
    <t>http://www.linkedin.com/in/vincent-jaume-84213443</t>
  </si>
  <si>
    <t>http://www.cemfluid.fr</t>
  </si>
  <si>
    <t xml:space="preserve">Avignon, Provence-Alpes-Cote d'Azur, France</t>
  </si>
  <si>
    <t xml:space="preserve">Cemfluid, la chape fluide autrement... Avec la chape Fullchap et l'innovation Phonispray Cemfluid simplifie les chantiers</t>
  </si>
  <si>
    <t>Tilquin</t>
  </si>
  <si>
    <t>ntilquin@groupebir.fr</t>
  </si>
  <si>
    <t>http://www.linkedin.com/in/nicolas-tilquin-33524563</t>
  </si>
  <si>
    <t>Raphaele</t>
  </si>
  <si>
    <t>Lehman</t>
  </si>
  <si>
    <t>r.lehman@cflc.fr</t>
  </si>
  <si>
    <t>http://www.linkedin.com/in/rapha%c3%able-lehman-b87557a5</t>
  </si>
  <si>
    <t>Mazieres</t>
  </si>
  <si>
    <t xml:space="preserve">Directeur général - Agence Rouzès Ile de France</t>
  </si>
  <si>
    <t xml:space="preserve">ROUZÈS GROUPE</t>
  </si>
  <si>
    <t>l.mazieres@cloison.fr</t>
  </si>
  <si>
    <t>http://www.linkedin.com/in/lo%c3%afc-mazieres-7575aa7b</t>
  </si>
  <si>
    <t>http://www.rouzes.com</t>
  </si>
  <si>
    <t xml:space="preserve">15 Avenue Marcel Vidal, Saint-Sulpice-sur-Leze, Occitanie, France, 31410</t>
  </si>
  <si>
    <t>mbenard@infraservices.fr</t>
  </si>
  <si>
    <t>http://www.linkedin.com/in/michel-benard-b218ab15a</t>
  </si>
  <si>
    <t>Thiebaut-George</t>
  </si>
  <si>
    <t>f.thiebaut@maisonbleue.fr</t>
  </si>
  <si>
    <t>http://www.linkedin.com/in/franck-thiebaut-george-07452114a</t>
  </si>
  <si>
    <t>Mariet</t>
  </si>
  <si>
    <t>GEPRIF</t>
  </si>
  <si>
    <t>bernard.mariet@geprif.fr</t>
  </si>
  <si>
    <t>http://www.linkedin.com/in/bernard-mariet-a9239640</t>
  </si>
  <si>
    <t>http://www.geprif.fr</t>
  </si>
  <si>
    <t xml:space="preserve">112 Avenue Charles de Gaulle, Neuilly-sur-Seine, Ile-de-France, France, 92200</t>
  </si>
  <si>
    <t>Birling</t>
  </si>
  <si>
    <t>CBA</t>
  </si>
  <si>
    <t>marc.birling@cbainfo.fr</t>
  </si>
  <si>
    <t>http://www.linkedin.com/in/marc-birling-7b84a9121</t>
  </si>
  <si>
    <t>http://www.cbagroupe.fr</t>
  </si>
  <si>
    <t xml:space="preserve">Vendenheim, Grand Est, France</t>
  </si>
  <si>
    <t xml:space="preserve">Entreprise implantée à proximité de Strasbourg, CBA intervient à tous les niveaux du processus de construction. Concepteur, bâtisseur, assembleur.</t>
  </si>
  <si>
    <t>Pane</t>
  </si>
  <si>
    <t xml:space="preserve">Fondateur, Président et Directeur de synthèse</t>
  </si>
  <si>
    <t>SynthésArt</t>
  </si>
  <si>
    <t>a.pane@synthesart.fr</t>
  </si>
  <si>
    <t>http://www.linkedin.com/in/alain-pan%c3%a9-074b3586</t>
  </si>
  <si>
    <t>http://www.synthesart.fr</t>
  </si>
  <si>
    <t xml:space="preserve">Lauraguel, Occitanie, France, 11300</t>
  </si>
  <si>
    <t>Gras</t>
  </si>
  <si>
    <t>r.gras@nivet.fr</t>
  </si>
  <si>
    <t>http://www.linkedin.com/in/romain-gras-46240730</t>
  </si>
  <si>
    <t xml:space="preserve">Maisons du Val</t>
  </si>
  <si>
    <t>f.duval@maisons-du-val.fr</t>
  </si>
  <si>
    <t>http://www.linkedin.com/in/francois-duval-247731188</t>
  </si>
  <si>
    <t>http://www.maisons-du-val.fr</t>
  </si>
  <si>
    <t xml:space="preserve">1 Rue de la Piece Noire, Treillieres, Pays de la Loire, France, 44119</t>
  </si>
  <si>
    <t>Maksym</t>
  </si>
  <si>
    <t>Nikolayev</t>
  </si>
  <si>
    <t>maksymn@buildrz.io</t>
  </si>
  <si>
    <t>http://www.linkedin.com/in/maksym-nikolayev-67572b74</t>
  </si>
  <si>
    <t>Dufeutrelle</t>
  </si>
  <si>
    <t>alexandre.dufeutrelle@scintelle.fr</t>
  </si>
  <si>
    <t>http://www.linkedin.com/in/alexandre-dufeutrelle-150b60165</t>
  </si>
  <si>
    <t>Bechet</t>
  </si>
  <si>
    <t xml:space="preserve">Groupe JARDIN</t>
  </si>
  <si>
    <t>hbechet@groupe-jardin.com</t>
  </si>
  <si>
    <t>http://www.linkedin.com/in/herv%c3%a9-bechet-059ab2ba</t>
  </si>
  <si>
    <t>http://www.groupe-jardin.com</t>
  </si>
  <si>
    <t>Courtin</t>
  </si>
  <si>
    <t>Cocreata</t>
  </si>
  <si>
    <t>nicolas.courtin@cocreata.fr</t>
  </si>
  <si>
    <t>http://www.linkedin.com/in/nicolas-courtin-60a8811</t>
  </si>
  <si>
    <t>http://www.cocreata.fr</t>
  </si>
  <si>
    <t>Ast</t>
  </si>
  <si>
    <t xml:space="preserve">DELTA POMPAGE</t>
  </si>
  <si>
    <t>didier.ast@vicat.fr</t>
  </si>
  <si>
    <t>http://www.linkedin.com/in/didier-ast-1a657952</t>
  </si>
  <si>
    <t>http://www.vicat.fr</t>
  </si>
  <si>
    <t xml:space="preserve">Chambery, Auvergne-Rhone-Alpes, France, 73000</t>
  </si>
  <si>
    <t>Pierre-Charles</t>
  </si>
  <si>
    <t>Dohm</t>
  </si>
  <si>
    <t xml:space="preserve">Setea Ingénierie Electrique</t>
  </si>
  <si>
    <t>pierre-charles.dohm@setea.fr</t>
  </si>
  <si>
    <t>http://www.linkedin.com/in/pierre-charles-dohm-b09a19101</t>
  </si>
  <si>
    <t>http://www.setea.fr</t>
  </si>
  <si>
    <t xml:space="preserve">7 Rue Alfred Kastler, Maxeville, Grand Est, France, 54320</t>
  </si>
  <si>
    <t>Rupp</t>
  </si>
  <si>
    <t>RezoProcess</t>
  </si>
  <si>
    <t>jean-christophe.rupp@rezoprocess.fr</t>
  </si>
  <si>
    <t>http://www.linkedin.com/in/jean-christophe-rupp-85787224</t>
  </si>
  <si>
    <t>http://www.rezoprocess.fr</t>
  </si>
  <si>
    <t xml:space="preserve">45 Rue du Val Vert, Annecy, Auvergne-Rhone-Alpes, France, 74600</t>
  </si>
  <si>
    <t xml:space="preserve">Rezoprocess mets à disposition des acteurs des travaux publics des solutions innovantes, adaptées au chantier, pour améliorer la productivité et la sécurité des opérations.</t>
  </si>
  <si>
    <t>Margerit</t>
  </si>
  <si>
    <t>SGDM</t>
  </si>
  <si>
    <t>gmargerit@sgdm-holding.com</t>
  </si>
  <si>
    <t>http://www.linkedin.com/in/gilles-margerit-88905435</t>
  </si>
  <si>
    <t>http://www.sgdm-construction.com</t>
  </si>
  <si>
    <t xml:space="preserve">Rue Moulay Idriss, Tangier, Tangier-Tetouan-Al Hoceima, Morocco</t>
  </si>
  <si>
    <t>Pollin</t>
  </si>
  <si>
    <t>VAREO</t>
  </si>
  <si>
    <t>cpollin@vareo.fr</t>
  </si>
  <si>
    <t>http://www.linkedin.com/in/c%c3%a9dric-pollin-30a12518</t>
  </si>
  <si>
    <t>http://www.vareo.fr</t>
  </si>
  <si>
    <t xml:space="preserve">815 Avenue Pierre Brossolette, Draguignan, Provence-Alpes-Cote d'Azur, France, 83300</t>
  </si>
  <si>
    <t xml:space="preserve">Découvrez Varéo, une équipe locale d'experts pour équiper vos forages, installer et entretenir vos pompes, mais aussi vos piscines et spas à Draguignan, dans le Var</t>
  </si>
  <si>
    <t>Iacono</t>
  </si>
  <si>
    <t xml:space="preserve">Les Compagnons du Barroux</t>
  </si>
  <si>
    <t>j.loiacono@compagnons-du-barroux.fr</t>
  </si>
  <si>
    <t>http://www.linkedin.com/in/joseph-lo-iacono-8510b994</t>
  </si>
  <si>
    <t>http://www.compagnons-du-barroux.fr</t>
  </si>
  <si>
    <t xml:space="preserve">3265 Avenue Joseph Vernet, Aubignan, Provence-Alpes-Cote d'Azur, France, 84810</t>
  </si>
  <si>
    <t>Streicher</t>
  </si>
  <si>
    <t xml:space="preserve">KS aménagement</t>
  </si>
  <si>
    <t>lstreicher@ks-amenagement.fr</t>
  </si>
  <si>
    <t>http://www.linkedin.com/in/lionel-streicher-36a5229b</t>
  </si>
  <si>
    <t>http://www.ks-amenagement.fr</t>
  </si>
  <si>
    <t xml:space="preserve">10 Rue de l'Atome, Bischheim, Grand Est, France, 67800</t>
  </si>
  <si>
    <t xml:space="preserve">Fort d'une longue expérience dans le bâtiment, KS Aménagement est spécialisée dans les travaux de rénovation et aménagement en Alsace.</t>
  </si>
  <si>
    <t xml:space="preserve">GEA BASSIN</t>
  </si>
  <si>
    <t>edouard@gea-bassin.com</t>
  </si>
  <si>
    <t>http://www.linkedin.com/in/edouardmoreaufr</t>
  </si>
  <si>
    <t>http://www.gea-bassin.com</t>
  </si>
  <si>
    <t xml:space="preserve">Lege-Cap-Ferret, Aquitaine, France</t>
  </si>
  <si>
    <t xml:space="preserve">Travaux de terrassement, VRD, démolition, d'enrochement (digue et peré), allée Calcaire, parking, enrobé, béton désactivé, réseau Aménagement et location d'engins sur le bassin d'Arcachon, Lège Cap Ferret, Andernos, Ares, Lanton, Audenge, Biganos, le sud médoc et la région bordelaise (33).</t>
  </si>
  <si>
    <t>Marnas</t>
  </si>
  <si>
    <t xml:space="preserve">AGOS Agencement Organisation Services</t>
  </si>
  <si>
    <t>r.marnas@agos-sas.com</t>
  </si>
  <si>
    <t>http://www.linkedin.com/in/richard-marnas</t>
  </si>
  <si>
    <t>http://www.agos-sas.com</t>
  </si>
  <si>
    <t xml:space="preserve">Vourles, Auvergne-Rhone-Alpes, France</t>
  </si>
  <si>
    <t>ARMORY</t>
  </si>
  <si>
    <t>jacques.clere@armory.bzh</t>
  </si>
  <si>
    <t>http://www.linkedin.com/in/jacques-clere-0269857b</t>
  </si>
  <si>
    <t>http://www.armory.bzh</t>
  </si>
  <si>
    <t xml:space="preserve">73 Rue de Bretagne, Beauce, Bretagne, France, 35133</t>
  </si>
  <si>
    <t xml:space="preserve">Armory est une entreprise spécialisée dans la fabrication et la pose de menuiseries extérieures. Conseil, étude, fabrication et pose, grâce à nos agences réparties sur toute la Bretagne, vous bénéficiez d’un service de proximité.</t>
  </si>
  <si>
    <t>Sigaut</t>
  </si>
  <si>
    <t xml:space="preserve">TECAMVER Concept</t>
  </si>
  <si>
    <t>r.sigaut@tecamver.fr</t>
  </si>
  <si>
    <t>http://www.linkedin.com/in/romain-sigaut-680410150</t>
  </si>
  <si>
    <t>http://www.tecamver.fr</t>
  </si>
  <si>
    <t>Pegomas</t>
  </si>
  <si>
    <t xml:space="preserve">5 Chemin des Pebres d'Ai, Puget-sur-Argens, Provence-Alpes-Cote d'Azur, France, 83480</t>
  </si>
  <si>
    <t xml:space="preserve">L’entreprise TECAMVER Concept est spécialisée dans la fabrication et l’installation de fenêtres en PVC et en aluminium. Nous intervenons à Fréjus et alentour.</t>
  </si>
  <si>
    <t>Hervochon</t>
  </si>
  <si>
    <t>BIPA</t>
  </si>
  <si>
    <t>franck.hervochon@bipa.fr</t>
  </si>
  <si>
    <t>http://www.linkedin.com/in/franck-hervochon-64b9904b</t>
  </si>
  <si>
    <t>http://www.bipa.fr</t>
  </si>
  <si>
    <t>Vailly-sur-Aisne</t>
  </si>
  <si>
    <t xml:space="preserve">7 Route de Soissons, Vailly-sur-Aisne, Hauts-de-France, France, 02370</t>
  </si>
  <si>
    <t xml:space="preserve">Menuiserie PVC BIPA, l'art de s'adapter: fabrication sur mesure pour la rénovation ou le neuf.</t>
  </si>
  <si>
    <t>Morlier</t>
  </si>
  <si>
    <t xml:space="preserve">BOUCHARD CONSTRUCTION</t>
  </si>
  <si>
    <t>david.morlier@bouchard-construction.fr</t>
  </si>
  <si>
    <t>http://www.linkedin.com/in/david-morlier-309909198</t>
  </si>
  <si>
    <t>http://www.www-bouchard-construction.fr</t>
  </si>
  <si>
    <t xml:space="preserve">27 Rue de la Marebaudiere, Montgermont, Brittany, France, 35760</t>
  </si>
  <si>
    <t>Amicel</t>
  </si>
  <si>
    <t xml:space="preserve">HAMON MOLARD</t>
  </si>
  <si>
    <t>martin.amicel@hms35.fr</t>
  </si>
  <si>
    <t>http://www.linkedin.com/in/martin-amicel-6b344a208</t>
  </si>
  <si>
    <t>http://www.hamon-molard.fr</t>
  </si>
  <si>
    <t xml:space="preserve">Saint-Gregoire, Brittany, France</t>
  </si>
  <si>
    <t>Kanos</t>
  </si>
  <si>
    <t xml:space="preserve">KANOS Concassage &amp; Criblage Mobile</t>
  </si>
  <si>
    <t>franck.kanos@kanos.fr</t>
  </si>
  <si>
    <t>http://www.linkedin.com/in/franck-kanos-987105256</t>
  </si>
  <si>
    <t>http://www.kanos.fr</t>
  </si>
  <si>
    <t>Belleville-sur-Meuse</t>
  </si>
  <si>
    <t xml:space="preserve">Route de Montgrignon, Belleville-sur-Meuse, Grand Est, France, 55430</t>
  </si>
  <si>
    <t xml:space="preserve">Consultez toutes nos prestations</t>
  </si>
  <si>
    <t>Morad</t>
  </si>
  <si>
    <t>Guechi</t>
  </si>
  <si>
    <t>m.guechi@oxiumgroup.fr</t>
  </si>
  <si>
    <t>http://www.linkedin.com/in/morad-guechi-81ba74284</t>
  </si>
  <si>
    <t xml:space="preserve">Le Plessis-Robinson</t>
  </si>
  <si>
    <t>Gojkovic</t>
  </si>
  <si>
    <t>alexandre.gojkovic@gallia-btp.fr</t>
  </si>
  <si>
    <t>http://www.linkedin.com/in/alexandre-gojkovic-811486b4</t>
  </si>
  <si>
    <t>Izernore</t>
  </si>
  <si>
    <t>Cazaban</t>
  </si>
  <si>
    <t>DESNEUX</t>
  </si>
  <si>
    <t>jcazaban@desneux-tp.fr</t>
  </si>
  <si>
    <t>http://www.linkedin.com/in/j%c3%a9r%c3%b4me-cazaban-821a15164</t>
  </si>
  <si>
    <t>http://www.desneux-tp.fr</t>
  </si>
  <si>
    <t xml:space="preserve">Sarcelles, Ile-de-France, France</t>
  </si>
  <si>
    <t>Giambino</t>
  </si>
  <si>
    <t>p.giambino@grouptech9.fr</t>
  </si>
  <si>
    <t>http://www.linkedin.com/in/pascal-giambino-63836618b</t>
  </si>
  <si>
    <t>Pina</t>
  </si>
  <si>
    <t xml:space="preserve">PAROUTEAU ENTREPRISE</t>
  </si>
  <si>
    <t>arnaud.pina@parouteau.fr</t>
  </si>
  <si>
    <t>http://www.linkedin.com/in/arnaud-pina-5a95b8124</t>
  </si>
  <si>
    <t>http://www.parouteau.fr</t>
  </si>
  <si>
    <t xml:space="preserve">Brive-la-Gaillarde, Limousin, France</t>
  </si>
  <si>
    <t xml:space="preserve">Depuis plus de 60 ans, l’entreprise Parouteau place ses clients au cœur de ses préoccupations en leur apportant des solutions de construction adaptées.</t>
  </si>
  <si>
    <t xml:space="preserve">SUD RENOVATION PACA</t>
  </si>
  <si>
    <t>alainserre@sud-renovation.fr</t>
  </si>
  <si>
    <t>http://www.linkedin.com/in/alain-serre-86169a207</t>
  </si>
  <si>
    <t>http://www.sud-renovation.fr</t>
  </si>
  <si>
    <t xml:space="preserve">Avenue Jacques Chaban-Delmas, Salon-de-Provence, Provence-Alpes-Cote d'Azur, France, 13300</t>
  </si>
  <si>
    <t>Napoleone</t>
  </si>
  <si>
    <t xml:space="preserve">FACADES SUD-OUEST</t>
  </si>
  <si>
    <t>bernard.napoleone@facades-sud-ouest.fr</t>
  </si>
  <si>
    <t>http://www.linkedin.com/in/bernard-napoleone-61076956</t>
  </si>
  <si>
    <t>http://www.facades-sud-ouest.fr</t>
  </si>
  <si>
    <t xml:space="preserve">282 Allee Solitude, Saint-Martin-de-Seignanx, Nouvelle-Aquitaine, France, 40390</t>
  </si>
  <si>
    <t xml:space="preserve">La société Façades Sud Ouest, située près de Bayonne, réalise vos travaux d'isolation par l'extérieur, de ravalement de façade, et de peinture intérieure.</t>
  </si>
  <si>
    <t>TECHNI-RESINE</t>
  </si>
  <si>
    <t>manuel.fernandes@techniresine.fr</t>
  </si>
  <si>
    <t>http://www.linkedin.com/in/manuel-fernandes-b916a2a8</t>
  </si>
  <si>
    <t>http://www.techniresine.fr</t>
  </si>
  <si>
    <t>Freneuse</t>
  </si>
  <si>
    <t xml:space="preserve">Rue des Bouderies, Freneuse, Ile-de-France, France, 78840</t>
  </si>
  <si>
    <t xml:space="preserve">TECHNI-RESINE, spécialistes des sols coulés industriels et décoratifs résines, chapes, bétons. Situé dans les Yvelines (78), nous intervenons sur toute la france</t>
  </si>
  <si>
    <t>Sahuc</t>
  </si>
  <si>
    <t xml:space="preserve">Directeur général - EG</t>
  </si>
  <si>
    <t>SMB</t>
  </si>
  <si>
    <t>p.sahuc@smbsa.fr</t>
  </si>
  <si>
    <t>http://www.linkedin.com/in/pierre-sahuc-1140a384</t>
  </si>
  <si>
    <t>http://www.groupesmb.fr</t>
  </si>
  <si>
    <t xml:space="preserve">Nimes, Languedoc-Roussillon, France</t>
  </si>
  <si>
    <t>Fantina</t>
  </si>
  <si>
    <t xml:space="preserve">GILLOUAYE SAS</t>
  </si>
  <si>
    <t>t.fantina@gillouaye.com</t>
  </si>
  <si>
    <t>http://www.linkedin.com/in/mr-fantina-thierry-66982b111</t>
  </si>
  <si>
    <t>http://www.silos-gillouaye.com</t>
  </si>
  <si>
    <t>Guichen</t>
  </si>
  <si>
    <t xml:space="preserve">9 Lieu-dit La Perrais, Guichen, Brittany, France, 35580</t>
  </si>
  <si>
    <t xml:space="preserve">Spécialisée dans la fabrication de silos métalliques depuis plus d’un demi-siècle, GILLOUAYE sas est un acteur incontournable de la conception au montage de tous silos métalliques pour l’agroalimentaire et l’industrie.</t>
  </si>
  <si>
    <t>Portier</t>
  </si>
  <si>
    <t xml:space="preserve">SMBI PROMOTION</t>
  </si>
  <si>
    <t>s.portier@smbipromotion.fr</t>
  </si>
  <si>
    <t>http://www.linkedin.com/in/stephane-portier-133732112</t>
  </si>
  <si>
    <t>http://www.smbipromotion.fr</t>
  </si>
  <si>
    <t xml:space="preserve">89 Rue Lauriston, Paris, Ile-de-France, France, 75116</t>
  </si>
  <si>
    <t xml:space="preserve">SMBI Promotion est le promoteur immobilier en Île de France proposant aux investisseurs et acquéreurs des biens de qualité pour un confort de vie pérenne.</t>
  </si>
  <si>
    <t>Lapellegerie</t>
  </si>
  <si>
    <t xml:space="preserve">Directeur Général et membre du Directoire</t>
  </si>
  <si>
    <t>f.lapellegerie@stella.group</t>
  </si>
  <si>
    <t>http://www.linkedin.com/in/fr%c3%a9d%c3%a9ric-lapellegerie-02b13263</t>
  </si>
  <si>
    <t>http://www.stella.group</t>
  </si>
  <si>
    <t>Neb</t>
  </si>
  <si>
    <t>Radovanovic</t>
  </si>
  <si>
    <t xml:space="preserve">Fondateur President Directeur General</t>
  </si>
  <si>
    <t xml:space="preserve">NATIONAL ENGINEERING BUILDING</t>
  </si>
  <si>
    <t>n.radovanovic@n-e-b.fr</t>
  </si>
  <si>
    <t>http://www.linkedin.com/in/neb-radovanovic-5862aa37</t>
  </si>
  <si>
    <t>http://www.n-e-b.fr</t>
  </si>
  <si>
    <t xml:space="preserve">2 bis Rue Alfred Nobel, Champs-sur-Marne, Ile-de-France, France, 77420</t>
  </si>
  <si>
    <t xml:space="preserve">N.E.B, cabinet de maîtrise d’oeuvre d’exécution et OPC, propose son expertise aux maîtres d’ouvrage promoteurs et maîtres d’oeuvre architectes.</t>
  </si>
  <si>
    <t>Goekhan</t>
  </si>
  <si>
    <t>Toprakkala</t>
  </si>
  <si>
    <t xml:space="preserve">GTE Construction</t>
  </si>
  <si>
    <t>gokhan@lte-construction.fr</t>
  </si>
  <si>
    <t>http://www.linkedin.com/in/g%c3%b6khan-toprakkala-29598594</t>
  </si>
  <si>
    <t>http://www.lte-construction.fr</t>
  </si>
  <si>
    <t xml:space="preserve">Lenoir, North Carolina, United States</t>
  </si>
  <si>
    <t>Donati</t>
  </si>
  <si>
    <t>Steuer</t>
  </si>
  <si>
    <t>thomas.donati@steuer-reeds.eu</t>
  </si>
  <si>
    <t>http://www.linkedin.com/in/thomas-donati-3aa4b124</t>
  </si>
  <si>
    <t>http://www.steuer.group</t>
  </si>
  <si>
    <t>Carqueiranne</t>
  </si>
  <si>
    <t xml:space="preserve">18 Im Espel, Blumberg, Baden-Wuerttemberg, Germany, 78176</t>
  </si>
  <si>
    <t>Lissague</t>
  </si>
  <si>
    <t xml:space="preserve">Fondateur &amp; Gérant</t>
  </si>
  <si>
    <t xml:space="preserve">BIOM ENERGIES</t>
  </si>
  <si>
    <t>bastien@biom-energies.fr</t>
  </si>
  <si>
    <t>http://www.linkedin.com/in/bastien-lissague-0a0898113</t>
  </si>
  <si>
    <t>http://www.biom64.fr</t>
  </si>
  <si>
    <t xml:space="preserve">Anglet, Nouvelle-Aquitaine, France, 64600</t>
  </si>
  <si>
    <t>Tiquet</t>
  </si>
  <si>
    <t xml:space="preserve">MENUISERIE TIQUET</t>
  </si>
  <si>
    <t>gregory.tiquet@tiquet.fr</t>
  </si>
  <si>
    <t>http://www.linkedin.com/in/gr%c3%a9gory-tiquet-b77174140</t>
  </si>
  <si>
    <t>http://www.tiquet.fr</t>
  </si>
  <si>
    <t xml:space="preserve">2 Route de Ventenac, Villegailhenc, Occitanie, France, 11600</t>
  </si>
  <si>
    <t xml:space="preserve">De la conception à la pose, nous valorisons vos espaces sur CARCASSONNE et tout le département de l'AUDE.</t>
  </si>
  <si>
    <t>Jacques-Yves</t>
  </si>
  <si>
    <t>Fraignac</t>
  </si>
  <si>
    <t xml:space="preserve">Joseph Fougères</t>
  </si>
  <si>
    <t>jy-fraignac@fougeres-joseph.com</t>
  </si>
  <si>
    <t>http://www.linkedin.com/in/jacques-yves-fraignac-2b57755</t>
  </si>
  <si>
    <t>http://www.fougeres-joseph.com</t>
  </si>
  <si>
    <t xml:space="preserve">FOUGERES intervient sur toute l'ille et vilaine pour les installations dépannage de plomberie, electricité et chauffage sur vos chantiers neuf ou renovation</t>
  </si>
  <si>
    <t>Valenti</t>
  </si>
  <si>
    <t>evalenti@cloisons-partena.com</t>
  </si>
  <si>
    <t>http://www.linkedin.com/in/emmanuel-valenti-323b4238</t>
  </si>
  <si>
    <t>EC-BE</t>
  </si>
  <si>
    <t>matthieu.thomas@ec-be.fr</t>
  </si>
  <si>
    <t>http://www.linkedin.com/in/matthieu-thomas-9390b6150</t>
  </si>
  <si>
    <t>http://www.ec-be.fr</t>
  </si>
  <si>
    <t>Ludwig</t>
  </si>
  <si>
    <t>Valliemin</t>
  </si>
  <si>
    <t xml:space="preserve">BOUTILLET SAS</t>
  </si>
  <si>
    <t>ludwigvalliemin@boutillet.fr</t>
  </si>
  <si>
    <t>http://www.linkedin.com/in/ludwig-valliemin-745a00a8</t>
  </si>
  <si>
    <t>http://www.boutillet.fr</t>
  </si>
  <si>
    <t xml:space="preserve">Rue de Montmorillon, Chauvigny, Poitou-Charentes, France, 86300</t>
  </si>
  <si>
    <t>Darrieumerlou</t>
  </si>
  <si>
    <t>regis.darrieumerlou@darrieumerlou.fr</t>
  </si>
  <si>
    <t>http://www.linkedin.com/in/r%c3%a9gis-darrieumerlou-304b2861</t>
  </si>
  <si>
    <t>Bidache</t>
  </si>
  <si>
    <t>Tessier</t>
  </si>
  <si>
    <t>BGCV</t>
  </si>
  <si>
    <t>ptessier@boutolleau.fr</t>
  </si>
  <si>
    <t>http://www.linkedin.com/in/pascal-tessier-a25391119</t>
  </si>
  <si>
    <t>http://www.bgcv-recrute.fr</t>
  </si>
  <si>
    <t>Soullans</t>
  </si>
  <si>
    <t xml:space="preserve">50 Rue de la Victoire de Valmy, La Roche-sur-Yon, Pays de la Loire, France, 85000</t>
  </si>
  <si>
    <t xml:space="preserve">BGCV c'est l'expert Vendéen pour tous les travaux d'aménagement et d'extension de votre patrimoine industriel.</t>
  </si>
  <si>
    <t>Delahaye</t>
  </si>
  <si>
    <t xml:space="preserve">Président / Propriétaire</t>
  </si>
  <si>
    <t xml:space="preserve">BÂTI 85</t>
  </si>
  <si>
    <t>tdelahaye@bati85.fr</t>
  </si>
  <si>
    <t>http://www.linkedin.com/in/thomasdelahaye</t>
  </si>
  <si>
    <t>http://www.bati85.com</t>
  </si>
  <si>
    <t xml:space="preserve">Rue du Gatineau, Saint-Hilaire-de-Riez, Pays de la Loire, France, 85270</t>
  </si>
  <si>
    <t xml:space="preserve">Bâti85 a assuré la construction de plus de 4000 maisons individuelles depuis 1983 et possède plusieurs agences en Vendée et Loire-Atlantique.</t>
  </si>
  <si>
    <t>Labbe</t>
  </si>
  <si>
    <t xml:space="preserve">CAP DC</t>
  </si>
  <si>
    <t>o.labbe@cap-dc.com</t>
  </si>
  <si>
    <t>http://www.linkedin.com/in/olivier-labbe-capdc</t>
  </si>
  <si>
    <t>http://www.cap-dc.com</t>
  </si>
  <si>
    <t xml:space="preserve">Saint-Jean-d'Illac, Aquitaine, France</t>
  </si>
  <si>
    <t>Aly</t>
  </si>
  <si>
    <t>Adham</t>
  </si>
  <si>
    <t xml:space="preserve">ISOSIGN sécurité routière</t>
  </si>
  <si>
    <t>a.adham@isosign.fr</t>
  </si>
  <si>
    <t>http://www.linkedin.com/in/aly-adham-a2175385</t>
  </si>
  <si>
    <t>http://www.isosign.fr</t>
  </si>
  <si>
    <t xml:space="preserve">Saint-Eusebe, Bourgogne-Franche-Comte, France, 71210</t>
  </si>
  <si>
    <t>Nougaret</t>
  </si>
  <si>
    <t>JPS-CONTRÔLE</t>
  </si>
  <si>
    <t>olivier.nougaret@jps-controle.fr</t>
  </si>
  <si>
    <t>http://www.linkedin.com/in/olivier-nougaret-48497349</t>
  </si>
  <si>
    <t>http://www.jpscontrole.biz</t>
  </si>
  <si>
    <t xml:space="preserve">52 Rue du Capitaine Guynemer, Courbevoie, Ile-de-France, France, 92400</t>
  </si>
  <si>
    <t xml:space="preserve">Prestations dans le controle technique de construction, vérification des équipements et des installations, de l'hygiène et de la sécurité sur les chantiers</t>
  </si>
  <si>
    <t>Penin</t>
  </si>
  <si>
    <t xml:space="preserve">Citec Label porte automatique</t>
  </si>
  <si>
    <t>jcp@citec-opa.fr</t>
  </si>
  <si>
    <t>http://www.linkedin.com/in/jean-claude-penin-25229b25</t>
  </si>
  <si>
    <t>http://www.citec-portesautomatiques.fr</t>
  </si>
  <si>
    <t xml:space="preserve">Lissieu, Rhone-Alpes, France</t>
  </si>
  <si>
    <t xml:space="preserve">CITEC conçoit et fabrique des portes automatiques sur mesure : porte coulissante, porte tambour, porte coupe feu, ... Contactez-nous pour une étude personnalisée.</t>
  </si>
  <si>
    <t>Bosch</t>
  </si>
  <si>
    <t>SDCC</t>
  </si>
  <si>
    <t>dbosch@sdcc.fr</t>
  </si>
  <si>
    <t>http://www.linkedin.com/in/david-bosch-88a679111</t>
  </si>
  <si>
    <t>http://www.sdcc.fr</t>
  </si>
  <si>
    <t xml:space="preserve">Varces-Allieres-et-Risset, Rhone-Alpes, France, 38760</t>
  </si>
  <si>
    <t>Bardol</t>
  </si>
  <si>
    <t xml:space="preserve">Président de Génération Confort de l'Habitat NORD</t>
  </si>
  <si>
    <t xml:space="preserve">GCDH NORD</t>
  </si>
  <si>
    <t>fabrice.bardol@gcdh.fr</t>
  </si>
  <si>
    <t>http://www.linkedin.com/in/fabrice-bardol-a674b3132</t>
  </si>
  <si>
    <t>http://www.gcdh.fr</t>
  </si>
  <si>
    <t xml:space="preserve">87 Avenue de Lanessan, Champagne-au-Mont-d'Or, Auvergne-Rhone-Alpes, France, 69410</t>
  </si>
  <si>
    <t>Evy</t>
  </si>
  <si>
    <t>Symoen</t>
  </si>
  <si>
    <t>Traconord</t>
  </si>
  <si>
    <t>e.symoen@traconord.fr</t>
  </si>
  <si>
    <t>http://www.linkedin.com/in/evy-symoen-a820aa7</t>
  </si>
  <si>
    <t>http://www.traconord.fr</t>
  </si>
  <si>
    <t xml:space="preserve">187 Boulevard Faidherbe, Armentieres, Hauts-de-France, France, 59280</t>
  </si>
  <si>
    <t xml:space="preserve">Traconord et l'entreprise soeur belge Valcke Prefab Beton sont spécialisées dans la réalisation de projets de construction industriels.Doter votre bâtiment d'exploitation d'un gros oeuvre en béton préfabriqué, c'est opter pour une solution rapide, économique, ignifuge, durable et sur mesure. Forts ...</t>
  </si>
  <si>
    <t>Ivana</t>
  </si>
  <si>
    <t>Frassanito</t>
  </si>
  <si>
    <t>Untitled</t>
  </si>
  <si>
    <t>ivana@untitledcompany.fr</t>
  </si>
  <si>
    <t>http://www.linkedin.com/in/ivana-frassanito</t>
  </si>
  <si>
    <t>http://www.untitledcompany.fr</t>
  </si>
  <si>
    <t xml:space="preserve">Waukesha, Wisconsin, United States, 53186</t>
  </si>
  <si>
    <t>Bouisset</t>
  </si>
  <si>
    <t xml:space="preserve">Ateliers ARKAL</t>
  </si>
  <si>
    <t>stephanie.bouisset@arkal.fr</t>
  </si>
  <si>
    <t>http://www.linkedin.com/in/st%c3%a9phanie-bouisset</t>
  </si>
  <si>
    <t>http://www.arkal.fr</t>
  </si>
  <si>
    <t xml:space="preserve">La Fleche</t>
  </si>
  <si>
    <t xml:space="preserve">1 Allee des Pilletieres, La Fleche, Pays de la Loire, France, 72200</t>
  </si>
  <si>
    <t xml:space="preserve">Ateliers ARKAL in La Flèche designs and makes bespoke furniture and fittings for its prestigious clients, drawing on its exceptional craftsmanship.</t>
  </si>
  <si>
    <t>Delforge</t>
  </si>
  <si>
    <t xml:space="preserve">Co-fondateur NUUK®</t>
  </si>
  <si>
    <t>NUUK®</t>
  </si>
  <si>
    <t>x.delforge@nuuk-group.com</t>
  </si>
  <si>
    <t>http://www.linkedin.com/in/xavier-delforge-8b929096</t>
  </si>
  <si>
    <t>http://www.nuuk-group.com</t>
  </si>
  <si>
    <t xml:space="preserve">4 Allee du Progres, Englos, Hauts-de-France, France, 59320</t>
  </si>
  <si>
    <t>Mussel</t>
  </si>
  <si>
    <t>CARNIEL-SONAPLAST</t>
  </si>
  <si>
    <t>pierre@carniel-sonaplast.fr</t>
  </si>
  <si>
    <t>http://www.linkedin.com/in/pierre-mussel-2653947b</t>
  </si>
  <si>
    <t>http://www.carniel-sonaplast.fr</t>
  </si>
  <si>
    <t xml:space="preserve">D1532, Saint-Just-de-Claix, Auvergne-Rhone-Alpes, France, 38680</t>
  </si>
  <si>
    <t xml:space="preserve">Fabricant français de fenêtres, portes et volets depuis 65 ans. Un savoir-faire historique offrant une gamme complète pour l'habitat.</t>
  </si>
  <si>
    <t>Isik</t>
  </si>
  <si>
    <t xml:space="preserve">2M construction</t>
  </si>
  <si>
    <t>m.isik@2mconstruction.fr</t>
  </si>
  <si>
    <t>http://www.linkedin.com/in/musa-isik-429a35125</t>
  </si>
  <si>
    <t>http://www.2mconstruction.fr</t>
  </si>
  <si>
    <t xml:space="preserve">2M Construction, votre entreprise de gros oeuvre à Toulouse. Entreprise familiale créée en 2006, nous construisons des logements individuels et collectifs.</t>
  </si>
  <si>
    <t>berger@bbe-sas.com</t>
  </si>
  <si>
    <t>http://www.linkedin.com/in/benjamin-berger-2a0679b6</t>
  </si>
  <si>
    <t>Chambreuil</t>
  </si>
  <si>
    <t xml:space="preserve">GROUPE METALPE</t>
  </si>
  <si>
    <t>e.chambreuil@capmetal-sas.fr</t>
  </si>
  <si>
    <t>http://www.linkedin.com/in/emmanuel-chambreuil-48a790161</t>
  </si>
  <si>
    <t>http://www.groupe-metalpe.com</t>
  </si>
  <si>
    <t xml:space="preserve">3 Rue des Narcisses, Port, Auvergne-Rhone-Alpes, France, 01460</t>
  </si>
  <si>
    <t xml:space="preserve">Synergie de 5 entreprises du bâtiment, de la métallurgie et de l'environnement : KAPECI, ALLIAGE TÔLERIE, FEUGIER ENVIRONNEMENT, AEROLUX et CAPMETAL.</t>
  </si>
  <si>
    <t>Constance</t>
  </si>
  <si>
    <t>Batz</t>
  </si>
  <si>
    <t xml:space="preserve">Présidente Directrice Générale</t>
  </si>
  <si>
    <t>MBAcity</t>
  </si>
  <si>
    <t>constance.debatz@mbacity.com</t>
  </si>
  <si>
    <t>http://www.linkedin.com/in/constancedebatz</t>
  </si>
  <si>
    <t>http://www.mbacity.com</t>
  </si>
  <si>
    <t xml:space="preserve">6 Rue Sainte-Lucie, Paris, Ile-de-France, France, 75015</t>
  </si>
  <si>
    <t xml:space="preserve">Précurseur du BIM en France, l'ambition de MBAcity est d’accompagner les acteurs du BTP dans leur transition numérique à travers l’intégration du BIM.</t>
  </si>
  <si>
    <t>Laplace</t>
  </si>
  <si>
    <t>mlaplace@groupebrunet.com</t>
  </si>
  <si>
    <t>http://www.linkedin.com/in/marc-laplace-497285b5</t>
  </si>
  <si>
    <t>eric.buffin@buffin-tp.fr</t>
  </si>
  <si>
    <t>http://www.linkedin.com/in/eric-buffin-212868173</t>
  </si>
  <si>
    <t>Savarese</t>
  </si>
  <si>
    <t>sgc@technocarbon.fr</t>
  </si>
  <si>
    <t>http://www.linkedin.com/in/stephansavarese</t>
  </si>
  <si>
    <t>denis.pelissier@cclot.fr</t>
  </si>
  <si>
    <t>http://www.linkedin.com/in/denis-pelissier-328971131</t>
  </si>
  <si>
    <t>Gaillard</t>
  </si>
  <si>
    <t xml:space="preserve">Président et Fondateur du Groupe EPPY</t>
  </si>
  <si>
    <t>Eppy</t>
  </si>
  <si>
    <t>herve.gaillard@eppygroup.fr</t>
  </si>
  <si>
    <t>http://www.linkedin.com/in/herv%c3%a9-gaillard-340b7419</t>
  </si>
  <si>
    <t>http://www.eppygroup.fr</t>
  </si>
  <si>
    <t xml:space="preserve">6 Avenue de Verdun 1916, La Garenne-Colombes, Ile-de-France, France, 92250</t>
  </si>
  <si>
    <t xml:space="preserve">Eppy est votre bureau d'études privilégié pour vous accompagner de la phase de montage à l'exploitation du bâtiment, sans perte d'information</t>
  </si>
  <si>
    <t>jkornacker@mader-sa.fr</t>
  </si>
  <si>
    <t>http://www.linkedin.com/in/jean-marc-kornacker-59a277109</t>
  </si>
  <si>
    <t xml:space="preserve">Saint Roch BTP</t>
  </si>
  <si>
    <t>b.thiriot@strochbtp.fr</t>
  </si>
  <si>
    <t>http://www.linkedin.com/in/benjamin-thiriot-41ba35113</t>
  </si>
  <si>
    <t>http://www.saintrochbtp.fr</t>
  </si>
  <si>
    <t xml:space="preserve">51 Impasse des Eglantiers, Saint-Clement-de-Riviere, Occitanie, France, 34980</t>
  </si>
  <si>
    <t>Eliahou</t>
  </si>
  <si>
    <t>Sadoun</t>
  </si>
  <si>
    <t>eliahou@ozio-group.com</t>
  </si>
  <si>
    <t>http://www.linkedin.com/in/eliahou-sadoun-26b0a048</t>
  </si>
  <si>
    <t>ROYET</t>
  </si>
  <si>
    <t>florent.royet@maconnerie-royet.fr</t>
  </si>
  <si>
    <t>http://www.linkedin.com/in/florent-royet-6682231b0</t>
  </si>
  <si>
    <t>http://www.maconnerie-royet.fr</t>
  </si>
  <si>
    <t>Farid</t>
  </si>
  <si>
    <t>Belhouchat</t>
  </si>
  <si>
    <t xml:space="preserve">EDE INGENIERIE Group</t>
  </si>
  <si>
    <t>fbelhouchat@ede-ingenierie.com</t>
  </si>
  <si>
    <t>http://www.linkedin.com/in/farid-belhouchat-63ab7148</t>
  </si>
  <si>
    <t>http://www.ede-ingenierie.com</t>
  </si>
  <si>
    <t xml:space="preserve">Associant des Bureaux d’Études Techniques aux compétences complémentaires, EDE propose son expertise dans le bâtiment, les infrastructures, l'aménagement et l’énergie.</t>
  </si>
  <si>
    <t>Melvyn</t>
  </si>
  <si>
    <t>Bonhomme</t>
  </si>
  <si>
    <t xml:space="preserve">GROUPE BONHOMME</t>
  </si>
  <si>
    <t>melvyn.bonhomme@bonhomme-groupe.com</t>
  </si>
  <si>
    <t>http://www.linkedin.com/in/melvyn-bonhomme-7540bb72</t>
  </si>
  <si>
    <t>http://www.bonhomme-groupe.com</t>
  </si>
  <si>
    <t>Montmeyran</t>
  </si>
  <si>
    <t xml:space="preserve">Les Petits Champs, Montelier, Auvergne-Rhone-Alpes, France, 26120</t>
  </si>
  <si>
    <t xml:space="preserve">Entreprise Familiale depuis 1963, le Groupe Bonhomme, est avant tout, 2 pôles d’activités : le Pôle AUTOMOBILE et le Pôle BÂTIMENT</t>
  </si>
  <si>
    <t xml:space="preserve">Directeur Administratif et Financier (Secrétaire Général)</t>
  </si>
  <si>
    <t>a.frenois@d2mgroupe.fr</t>
  </si>
  <si>
    <t>http://www.linkedin.com/in/anthony-fr%c3%a9nois-034312123</t>
  </si>
  <si>
    <t>Serhat</t>
  </si>
  <si>
    <t>Karatas</t>
  </si>
  <si>
    <t>RAVALSA</t>
  </si>
  <si>
    <t>karatas@ravalsa.fr</t>
  </si>
  <si>
    <t>http://www.linkedin.com/in/serhat-karatas-aba52911b</t>
  </si>
  <si>
    <t>http://www.ravalsa.fr</t>
  </si>
  <si>
    <t>Thebert</t>
  </si>
  <si>
    <t xml:space="preserve">GEB CONSTRUCTION</t>
  </si>
  <si>
    <t>i.thebert@gebchateaubourg.fr</t>
  </si>
  <si>
    <t>http://www.linkedin.com/in/ingrid-th%c3%a9bert</t>
  </si>
  <si>
    <t>http://www.gebconstruction.fr</t>
  </si>
  <si>
    <t>Chateaubourg</t>
  </si>
  <si>
    <t>Court</t>
  </si>
  <si>
    <t xml:space="preserve">Directrice générale adjointe Déléguée</t>
  </si>
  <si>
    <t xml:space="preserve">CTP Coffrage</t>
  </si>
  <si>
    <t>mcourt@ctp91.fr</t>
  </si>
  <si>
    <t>http://www.linkedin.com/in/marion-court-222a8719</t>
  </si>
  <si>
    <t>http://www.ctpcoffrage.com</t>
  </si>
  <si>
    <t xml:space="preserve">11 Rue Denis Papin, Chilly-Mazarin, Ile-de-France, France, 91380</t>
  </si>
  <si>
    <t>Sauvinet</t>
  </si>
  <si>
    <t>p.sauvinet@perigordhabitat.fr</t>
  </si>
  <si>
    <t>http://www.linkedin.com/in/patrick-sauvinet-440a6181</t>
  </si>
  <si>
    <t>Duvivier</t>
  </si>
  <si>
    <t>duvivier@alisa-depollution.com</t>
  </si>
  <si>
    <t>http://www.linkedin.com/in/michael-duvivier-5b4b76166</t>
  </si>
  <si>
    <t>Desveaux</t>
  </si>
  <si>
    <t xml:space="preserve">ATLANTIC SOLS CONFORT</t>
  </si>
  <si>
    <t>freville@atlantic-sols.fr</t>
  </si>
  <si>
    <t>http://www.linkedin.com/in/val%c3%a9rie-desveaux-52729418</t>
  </si>
  <si>
    <t>http://www.atlantic-sols.fr</t>
  </si>
  <si>
    <t>Papet</t>
  </si>
  <si>
    <t xml:space="preserve">MENUISERIE PAPET</t>
  </si>
  <si>
    <t>jerome.papet@menuiseriepapet.com</t>
  </si>
  <si>
    <t>http://www.linkedin.com/in/j%c3%a9r%c3%b4me-papet-b4232163</t>
  </si>
  <si>
    <t>http://www.menuiseriepapet.com</t>
  </si>
  <si>
    <t xml:space="preserve">Champigny-sur-Marne, Ile-de-France, France</t>
  </si>
  <si>
    <t xml:space="preserve">PVC ALU CREATION</t>
  </si>
  <si>
    <t>f.bouvet@pvcalu-creation.fr</t>
  </si>
  <si>
    <t>http://www.linkedin.com/in/fabien-bouvet-28b9a5293</t>
  </si>
  <si>
    <t>http://www.pvcalu-creation.fr</t>
  </si>
  <si>
    <t>Santeny</t>
  </si>
  <si>
    <t xml:space="preserve">Santeny, Ile-de-France, France, 94440</t>
  </si>
  <si>
    <t xml:space="preserve">Depuis 2001, PVC ALU Création fabrique des menuiseries performantes, faciles et rapides à poser. Nos gammes de fenêtres, coulissants, portes, portails et</t>
  </si>
  <si>
    <t>Bihel</t>
  </si>
  <si>
    <t xml:space="preserve">Président, fondateur</t>
  </si>
  <si>
    <t>e.bihel@groupe-bage.com</t>
  </si>
  <si>
    <t>http://www.linkedin.com/in/erwan-bihel-166020a7</t>
  </si>
  <si>
    <t>AGLO</t>
  </si>
  <si>
    <t>mathias@aglo.ai</t>
  </si>
  <si>
    <t>http://www.linkedin.com/in/mathias-boutier-34b2625a</t>
  </si>
  <si>
    <t>http://www.aglo.ai</t>
  </si>
  <si>
    <t xml:space="preserve">AGLO est un logiciel intelligent qui optimise la rédaction de pièces écrites (CCTP - DPGF - DQE) et chaque consultation d'entreprises.</t>
  </si>
  <si>
    <t>Gualbert</t>
  </si>
  <si>
    <t>Ongolo</t>
  </si>
  <si>
    <t>SafEchaf</t>
  </si>
  <si>
    <t>gualbert.ongolo@safechaf.com</t>
  </si>
  <si>
    <t>http://www.linkedin.com/in/gualbert-ongolo-699857110</t>
  </si>
  <si>
    <t>http://www.safechaf.com</t>
  </si>
  <si>
    <t xml:space="preserve">Lacs, Cote d'Ivoire</t>
  </si>
  <si>
    <t xml:space="preserve">SafEchaf Location, montage et démontage d'échafaudages Layher multidirectionnels pour l'Industrie, offshore et onshore, BTP. Coffrages et Etaiements.</t>
  </si>
  <si>
    <t>Cheraz</t>
  </si>
  <si>
    <t>Mushtaq</t>
  </si>
  <si>
    <t>EXTHA</t>
  </si>
  <si>
    <t>cmushtaq@extha.fr</t>
  </si>
  <si>
    <t>http://www.linkedin.com/in/gaine-staff-flocage-coupe-feu</t>
  </si>
  <si>
    <t>http://www.extha.fr</t>
  </si>
  <si>
    <t xml:space="preserve">La Courneuve, Ile-de-France, France</t>
  </si>
  <si>
    <t>D'Issernio</t>
  </si>
  <si>
    <t xml:space="preserve">Captain Solar</t>
  </si>
  <si>
    <t>nicolas@captainsolar.fr</t>
  </si>
  <si>
    <t>http://www.linkedin.com/in/nicolas-dissernio</t>
  </si>
  <si>
    <t>http://www.captainsolar.fr</t>
  </si>
  <si>
    <t xml:space="preserve">48 Rue Claude Balbastre, Montpellier, Occitanie, France, 34070</t>
  </si>
  <si>
    <t xml:space="preserve">Expert Photovoltaïque — Artisans certifiés RGE QualiPV Captain Solar. Contactez nous Pour un Devis. Nous intervenons dans les localités de Montpellier, Nimes, Béziers. Équipe De Passionnés.</t>
  </si>
  <si>
    <t>Poinsot</t>
  </si>
  <si>
    <t xml:space="preserve">Etablissements LEMAITRE</t>
  </si>
  <si>
    <t>direction@lemaitre-serrurerie.fr</t>
  </si>
  <si>
    <t>http://www.linkedin.com/in/cyrilpoinsot44</t>
  </si>
  <si>
    <t>http://www.serrurerie-lemaitre-nantes.fr</t>
  </si>
  <si>
    <t xml:space="preserve">30 Boulevard de la Prairie au Duc, Nantes, Pays de la Loire, France, 44200</t>
  </si>
  <si>
    <t>Chateigner</t>
  </si>
  <si>
    <t xml:space="preserve">ATLAS PROMOTION</t>
  </si>
  <si>
    <t>jp.chateigner@atlas-promotion.com</t>
  </si>
  <si>
    <t>http://www.linkedin.com/in/jean-philippe-chateigner-340b16129</t>
  </si>
  <si>
    <t>http://www.atlas-promotion.com</t>
  </si>
  <si>
    <t xml:space="preserve">Saint-Philbert-de-Bouaine, Pays de la Loire, France, 85660</t>
  </si>
  <si>
    <t xml:space="preserve">Atlas Promotion, promoteur immobilier en Pays de la Loire, propose des programmes immobiliers, pour acheteurs et investisseurs.</t>
  </si>
  <si>
    <t>Pele</t>
  </si>
  <si>
    <t xml:space="preserve">Vitel Menuiseries</t>
  </si>
  <si>
    <t>h.pele@vitel.fr</t>
  </si>
  <si>
    <t>http://www.linkedin.com/in/herv%c3%a9-pel%c3%a9-00951aa7</t>
  </si>
  <si>
    <t>http://www.vitel.fr</t>
  </si>
  <si>
    <t>Challes</t>
  </si>
  <si>
    <t xml:space="preserve">1 Rue de la Ville Huet, Plerin, Brittany, France, 22190</t>
  </si>
  <si>
    <t>Marny</t>
  </si>
  <si>
    <t xml:space="preserve">AVB Innovations</t>
  </si>
  <si>
    <t>frederic.marny@avb-innovations.fr</t>
  </si>
  <si>
    <t>http://www.linkedin.com/in/fr%c3%a9d%c3%a9ric-marny-81623873</t>
  </si>
  <si>
    <t>http://www.avb-innovations.fr</t>
  </si>
  <si>
    <t xml:space="preserve">31 Rue Henri Becquerel, Chelles, Ile-de-France, France, 77500</t>
  </si>
  <si>
    <t>Slezak</t>
  </si>
  <si>
    <t>a.slezak@michelsas.com</t>
  </si>
  <si>
    <t>http://www.linkedin.com/in/arnaud-slezak-518b24b2</t>
  </si>
  <si>
    <t>Kergorlay</t>
  </si>
  <si>
    <t xml:space="preserve">Groupe KUBE</t>
  </si>
  <si>
    <t>c.kergorlay@groupekube.fr</t>
  </si>
  <si>
    <t>http://www.linkedin.com/in/clement-de-kergorlay-ba927a37</t>
  </si>
  <si>
    <t xml:space="preserve">2 Rue du Commerce, Reims, Grand Est, France, 51100</t>
  </si>
  <si>
    <t xml:space="preserve">Groupe Verlaine</t>
  </si>
  <si>
    <t>david.naccache@groupeverlaine.fr</t>
  </si>
  <si>
    <t>http://www.linkedin.com/in/david-naccache-a25a989a</t>
  </si>
  <si>
    <t>http://www.groupeverlaine.com</t>
  </si>
  <si>
    <t xml:space="preserve">1 Rue Marc Seguin, Alixan, Auvergne-Rhone-Alpes, France, 26300</t>
  </si>
  <si>
    <t>Flatres</t>
  </si>
  <si>
    <t xml:space="preserve">Lamotte Maisons Individuelles</t>
  </si>
  <si>
    <t>o.flatres@lamotte.fr</t>
  </si>
  <si>
    <t>http://www.linkedin.com/in/olivier-flatres-96265162</t>
  </si>
  <si>
    <t>http://www.lamotte-maisons-individuelles.fr</t>
  </si>
  <si>
    <t xml:space="preserve">4 Rue de Jouanet, Rennes, Bretagne, France, 35700</t>
  </si>
  <si>
    <t xml:space="preserve">Lamotte Maisons Individuelles, constructeur en Bretagne et Loire-Atlantique, vous accompagne pour la construction de maison et la recherche du terrain.</t>
  </si>
  <si>
    <t>Giudicelli</t>
  </si>
  <si>
    <t>GreenNest</t>
  </si>
  <si>
    <t>cgiudicelli@greennest.fr</t>
  </si>
  <si>
    <t>http://www.linkedin.com/in/cl%c3%a9ment-giudicelli-19ab78b4</t>
  </si>
  <si>
    <t>http://www.greennest.fr</t>
  </si>
  <si>
    <t xml:space="preserve">720 Avenue de Montpellier, Vendargues, Languedoc-Roussillon, France, 34740</t>
  </si>
  <si>
    <t xml:space="preserve">GreenNest éco-logis est une entreprise française spécialisée dans la revalorisation de conteneurs maritimes en éco-habitats de plein air haut de gamme. Nos mobil-homes, chalets, bungalows, studios de jardin et tiny-houses sont conçus pour être le mélange parfait entre robustesse, confort et éco-responsabilité. Professionnels du tourisme de plein air, du camping, ou particuliers, découvrez nos différentes gammes et superficies d'hébergements de plein air pour devenir acteurs du changement.</t>
  </si>
  <si>
    <t>Erpeldinger</t>
  </si>
  <si>
    <t xml:space="preserve">Groupe HYDRO-THERM</t>
  </si>
  <si>
    <t>renaud.erpeldinger@hydro-therm.fr</t>
  </si>
  <si>
    <t>http://www.linkedin.com/in/renaud-erpeldinger-1480ba18</t>
  </si>
  <si>
    <t>http://www.hydro-therm.fr</t>
  </si>
  <si>
    <t xml:space="preserve">21 Avenue Auber, Nice, Provence-Alpes-Cote d'Azur, France, 06000</t>
  </si>
  <si>
    <t xml:space="preserve">Expert en génie climatique nos installations sur-mesure s’adaptent à l’agencement de vos locaux et prennent en compte toutes vos contraintes techniques.</t>
  </si>
  <si>
    <t>Joffre</t>
  </si>
  <si>
    <t xml:space="preserve">ex-DG/CEO  - Ingénierie Fluides, Numérique &amp; Energie Solaire</t>
  </si>
  <si>
    <t xml:space="preserve">TECSOL Antilles Guyane</t>
  </si>
  <si>
    <t>frederic.joffre@tecsol-antilles-guyane.fr</t>
  </si>
  <si>
    <t>http://www.linkedin.com/in/fr%c3%a9d%c3%a9ric-joffre-55238699</t>
  </si>
  <si>
    <t>http://www.tecsol-antilles-guyane.fr</t>
  </si>
  <si>
    <t xml:space="preserve">Saint-Alban, Baie Mahault, Basse-Terre, Guadeloupe, 97122</t>
  </si>
  <si>
    <t>Guadeloupe</t>
  </si>
  <si>
    <t xml:space="preserve">Bureau d'études techniques aux Antilles  et en Guyane depuis 1996</t>
  </si>
  <si>
    <t>Dufrenne</t>
  </si>
  <si>
    <t>REGOODS</t>
  </si>
  <si>
    <t>ad@regoods.eco</t>
  </si>
  <si>
    <t>http://www.linkedin.com/in/alexandredufrenne</t>
  </si>
  <si>
    <t>http://www.regoods.eco</t>
  </si>
  <si>
    <t>Boukobza</t>
  </si>
  <si>
    <t xml:space="preserve">KY Architecture</t>
  </si>
  <si>
    <t>kelly@kyarchitecture.fr</t>
  </si>
  <si>
    <t>http://www.linkedin.com/in/kelly-boukobza-962263a5</t>
  </si>
  <si>
    <t>http://www.kyarchitecture.fr</t>
  </si>
  <si>
    <t xml:space="preserve">26 Rue Ampere, Paris, Ile-de-France, France, 75017</t>
  </si>
  <si>
    <t xml:space="preserve">kelly boukobza, architecte(s), architecture, architecte(s) d’intérieur, offre de stage en architecture d’intérieur, design, mobilier contemporain, espaces intérieurs, idées déco, aménagement boutiques, suivi de travaux, recherche architecte d’intérieur, paris 17ème, rue Ampère ky architecture kyarchitecture</t>
  </si>
  <si>
    <t>Santos</t>
  </si>
  <si>
    <t xml:space="preserve">Groupe DSA</t>
  </si>
  <si>
    <t>juliette@groupedsa.fr</t>
  </si>
  <si>
    <t>http://www.linkedin.com/in/juliette-dos-santos-1482578b</t>
  </si>
  <si>
    <t>http://www.groupedsa.fr</t>
  </si>
  <si>
    <t xml:space="preserve">4 Rue du Perou, Massy, Ile-de-France, France, 91300</t>
  </si>
  <si>
    <t xml:space="preserve">Leader sur les marchés de l’habillage et de l’entretien de façades, le Groupe DSA a su s’adapter et se développer pour répondre aux besoins de ses clients.</t>
  </si>
  <si>
    <t>Perard</t>
  </si>
  <si>
    <t>SHM</t>
  </si>
  <si>
    <t>secretariat@shm-metal.com</t>
  </si>
  <si>
    <t>http://www.linkedin.com/in/gabriel-perard</t>
  </si>
  <si>
    <t>http://www.shm-metal.com</t>
  </si>
  <si>
    <t xml:space="preserve">240 Chemin de la Mauniere, Hyeres, Provence-Alpes-Cote d'Azur, France, 83400</t>
  </si>
  <si>
    <t>Biwer</t>
  </si>
  <si>
    <t xml:space="preserve">CATY PEINTURE</t>
  </si>
  <si>
    <t>abiwer@catypeinture.fr</t>
  </si>
  <si>
    <t>http://www.linkedin.com/in/arnaud-biwer-27b95187</t>
  </si>
  <si>
    <t>http://www.caty-peinture.fr</t>
  </si>
  <si>
    <t xml:space="preserve">Rue Stephane Hessel, Camon, Hauts-de-France, France, 80450</t>
  </si>
  <si>
    <t xml:space="preserve">HERIS CONSTRUCTION</t>
  </si>
  <si>
    <t>r.younes@heris-construction.fr</t>
  </si>
  <si>
    <t>http://www.linkedin.com/in/rami-younes-27b590141</t>
  </si>
  <si>
    <t>http://www.heris-construction.fr</t>
  </si>
  <si>
    <t xml:space="preserve">61 Rue Jean Briaud, Merignac, Nouvelle-Aquitaine, France, 33700</t>
  </si>
  <si>
    <t xml:space="preserve">Heris construction propose un accompagnement adapté pour la rénovation, la construction, la surélévation et l'agrandissement de votre maison.</t>
  </si>
  <si>
    <t>Monai</t>
  </si>
  <si>
    <t xml:space="preserve">NOVIMO SAS</t>
  </si>
  <si>
    <t>s.monai@novimo.eu</t>
  </si>
  <si>
    <t>http://www.linkedin.com/in/sylvie-monai-1432a6180</t>
  </si>
  <si>
    <t>http://www.novimo.eu</t>
  </si>
  <si>
    <t xml:space="preserve">Argenteuil, Ile-de-France, France</t>
  </si>
  <si>
    <t>Peauger</t>
  </si>
  <si>
    <t xml:space="preserve">FERALU ® Les Techniciens du Métal</t>
  </si>
  <si>
    <t>cpeauger@feralu.fr</t>
  </si>
  <si>
    <t>http://www.linkedin.com/in/cyril-peauger-baab0165</t>
  </si>
  <si>
    <t>http://www.feralu.fr</t>
  </si>
  <si>
    <t xml:space="preserve">12 Allee Louis Breguet, Villepinte, Ile-de-France, France, 93420</t>
  </si>
  <si>
    <t xml:space="preserve">fabrique,pose pylones.conformités palières,baies vitrées et grillagées.Travaux Inox,acier,aluminium,murs rideaux,portes,portails(automatisme),vérandas, gravure, signalitique, escalier métallique</t>
  </si>
  <si>
    <t>Bizet</t>
  </si>
  <si>
    <t>FELEC</t>
  </si>
  <si>
    <t>alain.bizet@f-elec.fr</t>
  </si>
  <si>
    <t>http://www.linkedin.com/in/alain-bizet-79b67b2a3</t>
  </si>
  <si>
    <t>http://www.f-elec.eu</t>
  </si>
  <si>
    <t>Senay</t>
  </si>
  <si>
    <t>Yavuz</t>
  </si>
  <si>
    <t xml:space="preserve">AZ METAL</t>
  </si>
  <si>
    <t>senay@azmetal.fr</t>
  </si>
  <si>
    <t>http://www.linkedin.com/in/senay-yavuz-a38b86169</t>
  </si>
  <si>
    <t>http://www.azmetal.fr</t>
  </si>
  <si>
    <t xml:space="preserve">41 Rue d'Aulnay, Gonesse, Ile-de-France, France, 95500</t>
  </si>
  <si>
    <t>Dreyfus</t>
  </si>
  <si>
    <t xml:space="preserve">BTP CFA Loire-Atlantique</t>
  </si>
  <si>
    <t>philippe.dreyfus@btpcfa-pdl.com</t>
  </si>
  <si>
    <t>http://www.linkedin.com/in/philippe-dreyfus-958a7a7a</t>
  </si>
  <si>
    <t xml:space="preserve">27 Rue de la Rivaudiere, Saint-Herblain, Pays de la Loire, France, 44800</t>
  </si>
  <si>
    <t>Jolibois</t>
  </si>
  <si>
    <t xml:space="preserve">Cabinet AXIAL</t>
  </si>
  <si>
    <t>stephane.jolibois@cabaxial.com</t>
  </si>
  <si>
    <t>http://www.linkedin.com/in/st%c3%a9phane-jolibois-845192161</t>
  </si>
  <si>
    <t>http://www.cabaxial.com</t>
  </si>
  <si>
    <t xml:space="preserve">Cabinet AXIAL - Ingénierie Globale de Projet Bâtiment &amp; TP - Gestion de projet - Audit</t>
  </si>
  <si>
    <t>http://www.linkedin.com/in/olivier-rosat-981368131</t>
  </si>
  <si>
    <t>Nouhaud</t>
  </si>
  <si>
    <t>SIMPRA</t>
  </si>
  <si>
    <t>a.nouhaud@simpra.eu</t>
  </si>
  <si>
    <t>http://www.linkedin.com/in/alain-nouhaud-552a59206</t>
  </si>
  <si>
    <t>http://www.simpra.fr</t>
  </si>
  <si>
    <t xml:space="preserve">48 Rue de Colombes, Asnieres-sur-Seine, Ile-de-France, France, 92600</t>
  </si>
  <si>
    <t xml:space="preserve">Coffrages standards et spécifiques pour les BTP</t>
  </si>
  <si>
    <t xml:space="preserve">AMD Énergies</t>
  </si>
  <si>
    <t>julien.molina@amdenergies.fr</t>
  </si>
  <si>
    <t>http://www.linkedin.com/in/julien-molina-524159235</t>
  </si>
  <si>
    <t>http://www.amdenergies.fr</t>
  </si>
  <si>
    <t xml:space="preserve">140 Avenue du Counoise, Entraigues-sur-la-Sorgue, Provence-Alpes-Cote d'Azur, France, 84320</t>
  </si>
  <si>
    <t>patricia.nako@lign-o.fr</t>
  </si>
  <si>
    <t>http://www.linkedin.com/in/patricia-nako</t>
  </si>
  <si>
    <t>Tber</t>
  </si>
  <si>
    <t>atber@nge.fr</t>
  </si>
  <si>
    <t>http://www.linkedin.com/in/adil-tber-72509b1b</t>
  </si>
  <si>
    <t>Barachet</t>
  </si>
  <si>
    <t xml:space="preserve">Fondateur - Directeur associé</t>
  </si>
  <si>
    <t>Ernova</t>
  </si>
  <si>
    <t>mathieu.barachet@ernova.fr</t>
  </si>
  <si>
    <t>http://www.linkedin.com/in/mathieu-barachet-54421040</t>
  </si>
  <si>
    <t>http://www.ernova.fr</t>
  </si>
  <si>
    <t xml:space="preserve">10 Rue Claude Burdin, Clermont-Ferrand, Auvergne-Rhone-Alpes, France, 63000</t>
  </si>
  <si>
    <t xml:space="preserve">Audit énergétique, installation de pompe à chaleur, obtention des aides financières, maintenance... ERNOVA, expert en photovoltaïque, chauffage et climatisation, vous accompagne dans tous vos travaux d'économie d'énergie.</t>
  </si>
  <si>
    <t>Beaussaert</t>
  </si>
  <si>
    <t xml:space="preserve">L'ANGLE ROI</t>
  </si>
  <si>
    <t>david.beaussaert@langleroi.fr</t>
  </si>
  <si>
    <t>http://www.linkedin.com/in/david-beaussaert</t>
  </si>
  <si>
    <t>http://www.langleroi.fr</t>
  </si>
  <si>
    <t xml:space="preserve">22 Les Espos, Verfeil, Occitanie, France, 31590</t>
  </si>
  <si>
    <t xml:space="preserve">Retrouvez très prochainement le site internet de L'angle Roi</t>
  </si>
  <si>
    <t>Malins</t>
  </si>
  <si>
    <t xml:space="preserve">Directeur Général / Co-Gérant</t>
  </si>
  <si>
    <t xml:space="preserve">Dumont clean services</t>
  </si>
  <si>
    <t>smalins@dumont-clean.fr</t>
  </si>
  <si>
    <t>http://www.linkedin.com/in/stephane-malins-27012715b</t>
  </si>
  <si>
    <t>http://www.dumont-clean.com</t>
  </si>
  <si>
    <t>Saint-Jean-de-Bournay</t>
  </si>
  <si>
    <t xml:space="preserve">Route de Vienne, Saint-Jean-de-Bournay, Auvergne-Rhone-Alpes, France, 38440</t>
  </si>
  <si>
    <t>Ipolit</t>
  </si>
  <si>
    <t>lrodier@ipolit.net</t>
  </si>
  <si>
    <t>http://www.linkedin.com/in/lionel-rodier-7a024969</t>
  </si>
  <si>
    <t>http://www.ipolit.net</t>
  </si>
  <si>
    <t xml:space="preserve">Les 4 Temps, Ile-de-France, France, 92800</t>
  </si>
  <si>
    <t xml:space="preserve">IPOLIT c'est l'expert incontournable dans vos projets d'aménagements de bureaux à Marne-la-Vallée et aux alentours. Pose cloisons amovibles, plafonds, sols...</t>
  </si>
  <si>
    <t xml:space="preserve">Directeur Général des Services</t>
  </si>
  <si>
    <t xml:space="preserve">SARL TOURNEUX</t>
  </si>
  <si>
    <t>f.ruault@tourneuxsarl.fr</t>
  </si>
  <si>
    <t>http://www.linkedin.com/in/freddy-ruault-a87220a9</t>
  </si>
  <si>
    <t>http://www.tourneuxsarl.fr</t>
  </si>
  <si>
    <t xml:space="preserve">Vous cherchez un spécialiste dans les métiers du bâtiment ? Faites appel au savoir-faire de l'entreprise Christophe TOURNEUX ! Contactez le 02 99 75 04 28.</t>
  </si>
  <si>
    <t xml:space="preserve">QUALICLIM SN</t>
  </si>
  <si>
    <t>o.bertrand@qualiclim.com</t>
  </si>
  <si>
    <t>http://www.linkedin.com/in/olivier-bertrand-2a069786</t>
  </si>
  <si>
    <t>http://www.qualiclim.com</t>
  </si>
  <si>
    <t>Melot</t>
  </si>
  <si>
    <t xml:space="preserve">PISCINES ET TRADITIONS</t>
  </si>
  <si>
    <t>vmelot@piscines-et-traditions.fr</t>
  </si>
  <si>
    <t>http://www.linkedin.com/in/vincent-melot-059328155</t>
  </si>
  <si>
    <t>http://www.piscines-et-traditions.fr</t>
  </si>
  <si>
    <t xml:space="preserve">882 N7, Chonas-l'Amballan, Auvergne-Rhone-Alpes, France, 38121</t>
  </si>
  <si>
    <t>Urbalterre</t>
  </si>
  <si>
    <t>dominique.dias@urbalterre.com</t>
  </si>
  <si>
    <t>http://www.linkedin.com/in/dominique-dias-ba2253208</t>
  </si>
  <si>
    <t>http://www.urbalterre.fr</t>
  </si>
  <si>
    <t xml:space="preserve">Wood Impact</t>
  </si>
  <si>
    <t>o.berger@wood-impact.com</t>
  </si>
  <si>
    <t>http://www.linkedin.com/in/olivier-berger-41b2b51ba</t>
  </si>
  <si>
    <t>http://www.wood-impact.com</t>
  </si>
  <si>
    <t>Baris</t>
  </si>
  <si>
    <t>Gokce</t>
  </si>
  <si>
    <t xml:space="preserve">GROUPEMENT SAVOYARD DE PREFABRICATION</t>
  </si>
  <si>
    <t>baris.gokce@gsp-prefa.com</t>
  </si>
  <si>
    <t>http://www.linkedin.com/in/baris-gokce-0ab519180</t>
  </si>
  <si>
    <t>http://www.gsp-prefa.com</t>
  </si>
  <si>
    <t xml:space="preserve">Cruet, Rhone-Alpes, France</t>
  </si>
  <si>
    <t>Tancrede</t>
  </si>
  <si>
    <t>t.hubert@quinceconstruction.fr</t>
  </si>
  <si>
    <t>http://www.linkedin.com/in/tancr%c3%a8de-hubert-993a9810</t>
  </si>
  <si>
    <t>ENTARO</t>
  </si>
  <si>
    <t>francis.rodrigues@entaro.fr</t>
  </si>
  <si>
    <t>http://www.linkedin.com/in/francis-rodrigues-6a211322a</t>
  </si>
  <si>
    <t>http://www.entaro.fr</t>
  </si>
  <si>
    <t xml:space="preserve">42 Rue Magnan, Virsac, Nouvelle-Aquitaine, France, 33240</t>
  </si>
  <si>
    <t>Guirao</t>
  </si>
  <si>
    <t xml:space="preserve">Directeur général - DSA Aquitaine isomar - AQUIFAB</t>
  </si>
  <si>
    <t>stephane.guirao@groupedsa.fr</t>
  </si>
  <si>
    <t>http://www.linkedin.com/in/stephane-guirao-240160106</t>
  </si>
  <si>
    <t>Piacitelli</t>
  </si>
  <si>
    <t xml:space="preserve">Fondateur de MPhabitat</t>
  </si>
  <si>
    <t xml:space="preserve">MP Habitat</t>
  </si>
  <si>
    <t>mickael.piacitelli@mphabitat.fr</t>
  </si>
  <si>
    <t>http://www.linkedin.com/in/mickael-piacitelli-231555123</t>
  </si>
  <si>
    <t>http://www.mphabitat.fr</t>
  </si>
  <si>
    <t xml:space="preserve">17 Avenue Gambetta, Ablon-sur-Seine, Ile-de-France, France, 94480</t>
  </si>
  <si>
    <t xml:space="preserve">Mphabitat - Entreprise générale du bâtiment vous accompagne dans vos projets de travaux - Expert en rénovation - Paris / Bordeaux / Biarritz</t>
  </si>
  <si>
    <t>Foued</t>
  </si>
  <si>
    <t>COPRIM</t>
  </si>
  <si>
    <t>foued.bahri@coprimenergies.com</t>
  </si>
  <si>
    <t>http://www.linkedin.com/in/foued-bahri-298822109</t>
  </si>
  <si>
    <t>http://www.coprim.net</t>
  </si>
  <si>
    <t>Brie-Comte-Robert</t>
  </si>
  <si>
    <t xml:space="preserve">Montbrison, Rhone-Alpes, France</t>
  </si>
  <si>
    <t xml:space="preserve">SEV ENERGIE</t>
  </si>
  <si>
    <t>johan.sauvage@sev-energie.fr</t>
  </si>
  <si>
    <t>http://www.linkedin.com/in/sauvage-johan-0a6118183</t>
  </si>
  <si>
    <t>http://www.sev-energie.fr</t>
  </si>
  <si>
    <t xml:space="preserve">33 Rue de Luyot, Seclin, Nord-Pas-de-Calais, France, 59113</t>
  </si>
  <si>
    <t xml:space="preserve">SEV énergie // Opérateur de services - collectivités clients privés</t>
  </si>
  <si>
    <t>Carlos</t>
  </si>
  <si>
    <t xml:space="preserve">CAMBRA Industrie</t>
  </si>
  <si>
    <t>ccambra@cambra-industrie.com</t>
  </si>
  <si>
    <t>http://www.linkedin.com/in/carlos-cambra-918448242</t>
  </si>
  <si>
    <t>http://www.cambra-industrie.com</t>
  </si>
  <si>
    <t xml:space="preserve">Grisolles, Languedoc-Roussillon-Midi-Pyrenees, France, 82170</t>
  </si>
  <si>
    <t xml:space="preserve">Maisons TECO</t>
  </si>
  <si>
    <t>sdavy@teco.fr</t>
  </si>
  <si>
    <t>http://www.linkedin.com/in/st%c3%a9phane-davy-919749228</t>
  </si>
  <si>
    <t>http://www.teco.fr</t>
  </si>
  <si>
    <t>Botrel</t>
  </si>
  <si>
    <t xml:space="preserve">SAS BOTREL</t>
  </si>
  <si>
    <t>y.botrel@sas-botrel.com</t>
  </si>
  <si>
    <t>http://www.linkedin.com/in/yohann-botrel-63851a118</t>
  </si>
  <si>
    <t>http://www.sas-botrel.com</t>
  </si>
  <si>
    <t>Ploumagoar</t>
  </si>
  <si>
    <t xml:space="preserve">Ploumagoar, Brittany, France, 22970</t>
  </si>
  <si>
    <t xml:space="preserve">La société Botrel réalise pour les professionnels et collectivités du Grand Ouest des travaux de chauffage, plomberie sanitaire, ventilation, électricité</t>
  </si>
  <si>
    <t>Vossier</t>
  </si>
  <si>
    <t>ELBENE</t>
  </si>
  <si>
    <t>svossier@edrelec.fr</t>
  </si>
  <si>
    <t>http://www.linkedin.com/in/sebastien-vossier-9aa808153</t>
  </si>
  <si>
    <t>http://www.edrelec.fr</t>
  </si>
  <si>
    <t xml:space="preserve">14 Rue Antoine-Laurent de Lavoisier, Portes-les-Valence, Auvergne-Rhone-Alpes, France, 26800</t>
  </si>
  <si>
    <t>BATIVALOIRE</t>
  </si>
  <si>
    <t>p.roy@bativaloire.com</t>
  </si>
  <si>
    <t>http://www.linkedin.com/in/pascal-roy-6b161b184</t>
  </si>
  <si>
    <t>http://www.bativaloire.com</t>
  </si>
  <si>
    <t xml:space="preserve">Joue-les-Tours, Centre, France</t>
  </si>
  <si>
    <t xml:space="preserve">Bativaloire intervient dans les domaines de la maçonnerie, du terrassement, de la charpente et de la couverture. Basés à Joué-lès-Tours, nous intervenons sur le département de l’Indre-et Loire (37).</t>
  </si>
  <si>
    <t>Bayram</t>
  </si>
  <si>
    <t>Olcer</t>
  </si>
  <si>
    <t>A.B.T.'</t>
  </si>
  <si>
    <t>b.olcer@abt-prim.fr</t>
  </si>
  <si>
    <t>http://www.linkedin.com/in/bayram-olcer-743b16228</t>
  </si>
  <si>
    <t>http://www.abt-prim.fr</t>
  </si>
  <si>
    <t xml:space="preserve">Clair de baie</t>
  </si>
  <si>
    <t>f.pillet@clairdebaie.fr</t>
  </si>
  <si>
    <t>http://www.linkedin.com/in/francois-pillet-465693235</t>
  </si>
  <si>
    <t>http://www.clairdebaie.fr</t>
  </si>
  <si>
    <t xml:space="preserve">200 Avenue d'Argenteuil, Asnieres-sur-Seine, Ile-de-France, France, 92600</t>
  </si>
  <si>
    <t xml:space="preserve">Clair de Baie, menuiseries PVC, alu et bois sur mesure, vous propose fenêtres, portes, volets, portails, garde-corps, pergolas...</t>
  </si>
  <si>
    <t>Roller</t>
  </si>
  <si>
    <t xml:space="preserve">Alliance Contrôle Bâtiment</t>
  </si>
  <si>
    <t>yann.roller@acb-controle.fr</t>
  </si>
  <si>
    <t>http://www.linkedin.com/in/yann-roller-9976ba43</t>
  </si>
  <si>
    <t>http://www.alliance-controle-batiment.com</t>
  </si>
  <si>
    <t xml:space="preserve">22 Rue de Paris, Lisses, Ile-de-France, France, 91090</t>
  </si>
  <si>
    <t xml:space="preserve">Fondé en 2010, Alliance Contrôle Bâtiment est votre allié pour sécuriser vos projets de construction. La réglementation à Votre service !</t>
  </si>
  <si>
    <t>Recep</t>
  </si>
  <si>
    <t>Yildirim</t>
  </si>
  <si>
    <t xml:space="preserve">FRANCE-LANORD &amp; BICHATON Entreprise Générale</t>
  </si>
  <si>
    <t>ryildirim@flb.fr</t>
  </si>
  <si>
    <t>http://www.linkedin.com/in/recep-yildirim-a02b29128</t>
  </si>
  <si>
    <t>http://www.flb.fr</t>
  </si>
  <si>
    <t xml:space="preserve">Heillecourt, Lorraine, France</t>
  </si>
  <si>
    <t xml:space="preserve">FRANCE LANORD et BICHATON regroupe les métiers de la Maçonnerie (gros œuvre, taille de pierre, enduits), Menuiserie Agencement et Bâtiment tout corps d'état.</t>
  </si>
  <si>
    <t>Agrain</t>
  </si>
  <si>
    <t xml:space="preserve">CEO / Fondateur</t>
  </si>
  <si>
    <t>Neoabita</t>
  </si>
  <si>
    <t>remi@neoabita.fr</t>
  </si>
  <si>
    <t>http://www.linkedin.com/in/remi-agrain-509656111</t>
  </si>
  <si>
    <t>http://www.neoabita.fr</t>
  </si>
  <si>
    <t xml:space="preserve">31 Cours Fauriel, Saint-Etienne, Auvergne-Rhone-Alpes, France, 42100</t>
  </si>
  <si>
    <t xml:space="preserve">Notre métier : créer des maisons éco-responsables et design avec des solutions pour limiter votre consommation d’énergie.</t>
  </si>
  <si>
    <t>Macioce</t>
  </si>
  <si>
    <t>Comalec</t>
  </si>
  <si>
    <t>marc.macioce@comalec.fr</t>
  </si>
  <si>
    <t>http://www.linkedin.com/in/marc-macioce-0204a5192</t>
  </si>
  <si>
    <t>http://www.comalec.fr</t>
  </si>
  <si>
    <t xml:space="preserve">Crissey, Bourgogne-Franche-Comte, France, 71530</t>
  </si>
  <si>
    <t xml:space="preserve">Comalec : au service des particuliers et professionnels pour tous les travaux d'électricité, plomberie, sécurité, chauffage ou climatisation</t>
  </si>
  <si>
    <t>Mialhe</t>
  </si>
  <si>
    <t>EXAGON</t>
  </si>
  <si>
    <t>f.mialhe@exagon-habitat.fr</t>
  </si>
  <si>
    <t>http://www.linkedin.com/in/florian-mialhe-79261a183</t>
  </si>
  <si>
    <t>http://www.exagon-habitat.fr</t>
  </si>
  <si>
    <t xml:space="preserve">23 Rue Gambetta, Castres, Occitanie, France, 81100</t>
  </si>
  <si>
    <t xml:space="preserve">EXAGON Habitat réalise vos audits énergétiques, contrôles après travaux et diagnostics immobiliers obligatoires dans tout le Sud-Ouest.</t>
  </si>
  <si>
    <t>bruno.lemaitre@eppygroup.fr</t>
  </si>
  <si>
    <t>http://www.linkedin.com/in/bruno-lemaitre-07478b138</t>
  </si>
  <si>
    <t>Crescitz</t>
  </si>
  <si>
    <t xml:space="preserve">ETS JEAN CRESCITZ</t>
  </si>
  <si>
    <t>screscitz@crescitz.com</t>
  </si>
  <si>
    <t>http://www.linkedin.com/in/st%c3%a9phane-crescitz-b2ba38188</t>
  </si>
  <si>
    <t>http://www.crescitz.com</t>
  </si>
  <si>
    <t>Dumange</t>
  </si>
  <si>
    <t xml:space="preserve">DUMANGE AGENCEMENT</t>
  </si>
  <si>
    <t>cedricdumange@dumangeagencement.com</t>
  </si>
  <si>
    <t>http://www.linkedin.com/in/cedric-dumange-12879b157</t>
  </si>
  <si>
    <t>http://www.dumangeagencement.com</t>
  </si>
  <si>
    <t>Velin</t>
  </si>
  <si>
    <t xml:space="preserve">ACCIOME 08</t>
  </si>
  <si>
    <t>laurent.velin@acciome08.fr</t>
  </si>
  <si>
    <t>http://www.linkedin.com/in/laurent-velin-6955b4160</t>
  </si>
  <si>
    <t>http://www.acciome08.fr</t>
  </si>
  <si>
    <t xml:space="preserve">Route de Revin, Les Mazures, Grand Est, France, 08500</t>
  </si>
  <si>
    <t xml:space="preserve">Acciome 08 du métal au béton Votre partenaire pour vos ouvrages béton préfabriqués et outillages métalliques dédiés au BTP. Acciome 08 du métal au béton Votre partenaire pour vos ouvrages béton préfabriqués et outillages métalliques dédiés au BTP. La maîtrise du béton et de la chaudronnerie ACCIOME 08 réalise des…</t>
  </si>
  <si>
    <t>Bomel</t>
  </si>
  <si>
    <t>SOREDAL</t>
  </si>
  <si>
    <t>francois.bomel@soredal.com</t>
  </si>
  <si>
    <t>http://www.linkedin.com/in/fran%c3%a7ois-bomel-5ba567188</t>
  </si>
  <si>
    <t>http://www.soredal.com</t>
  </si>
  <si>
    <t xml:space="preserve">Pieces Bourgeoises, Givry, Bourgogne-Franche-Comte, France, 71640</t>
  </si>
  <si>
    <t>Thouraud</t>
  </si>
  <si>
    <t>HDMS</t>
  </si>
  <si>
    <t>cedric.thouraud@hdms33.fr</t>
  </si>
  <si>
    <t>http://www.linkedin.com/in/cedricthouraud</t>
  </si>
  <si>
    <t>http://www.hdms33.fr</t>
  </si>
  <si>
    <t xml:space="preserve">16 Rue Gay-Lussac, Merignac, Nouvelle-Aquitaine, France, 33700</t>
  </si>
  <si>
    <t xml:space="preserve">HDMS est une entreprise de métallerie et serrurerie à Bordeaux, basée à Mérignac. Nous intervenons après des professionnels et particuliers</t>
  </si>
  <si>
    <t>Antar</t>
  </si>
  <si>
    <t>r.antar@monchauffagiste.com</t>
  </si>
  <si>
    <t>http://www.linkedin.com/in/ramzi-antar-a80513193</t>
  </si>
  <si>
    <t xml:space="preserve">3D NORD</t>
  </si>
  <si>
    <t>k.joos@3dnord.fr</t>
  </si>
  <si>
    <t>http://www.linkedin.com/in/kevin-joos-42611a17a</t>
  </si>
  <si>
    <t>http://www.3dnord.fr</t>
  </si>
  <si>
    <t xml:space="preserve">71 Rue de Wancourt, Monchy-le-Preux, Hauts-de-France, France, 62118</t>
  </si>
  <si>
    <t>Yvonnou</t>
  </si>
  <si>
    <t>SEBACO</t>
  </si>
  <si>
    <t>yann@sebaco.fr</t>
  </si>
  <si>
    <t>http://www.linkedin.com/in/yann-yvonnou-8b4b717b</t>
  </si>
  <si>
    <t>http://www.groupesebaco.com</t>
  </si>
  <si>
    <t xml:space="preserve">3 Route de Kerourvois, Ergue-Gaberic, Brittany, France, 29500</t>
  </si>
  <si>
    <t>Clarenc</t>
  </si>
  <si>
    <t>e.clarenc@faceagroup.com</t>
  </si>
  <si>
    <t>http://www.linkedin.com/in/eric-clarenc-08a014148</t>
  </si>
  <si>
    <t xml:space="preserve">Soleil Vert de France</t>
  </si>
  <si>
    <t>raphael.dahan@soleilvertdefrance.com</t>
  </si>
  <si>
    <t>http://www.linkedin.com/in/raphael-dahan-4b1a20282</t>
  </si>
  <si>
    <t>http://www.soleilvertdefrance.fr</t>
  </si>
  <si>
    <t xml:space="preserve">Soleil Vert de France vous accompagne dans vos projets photovoltaïques et énergétiques. Installation sans sous-traitance certifiée RGE</t>
  </si>
  <si>
    <t>Jude</t>
  </si>
  <si>
    <t>Duhen</t>
  </si>
  <si>
    <t>LABOMAT</t>
  </si>
  <si>
    <t>j.duhen@labomat.com</t>
  </si>
  <si>
    <t>http://www.linkedin.com/in/jude-duhen-964bb713</t>
  </si>
  <si>
    <t>http://www.labomat.net</t>
  </si>
  <si>
    <t xml:space="preserve">Sint-Jans-Molenbeek, Brussels, Belgium</t>
  </si>
  <si>
    <t xml:space="preserve">Get more clients with this contemporary website!</t>
  </si>
  <si>
    <t>Fretel</t>
  </si>
  <si>
    <t>smcb</t>
  </si>
  <si>
    <t>jean-christophe.fretel@smcb.fr</t>
  </si>
  <si>
    <t>http://www.linkedin.com/in/jean-christophe-fretel-06547618</t>
  </si>
  <si>
    <t>http://www.smcb.fr</t>
  </si>
  <si>
    <t>Camon</t>
  </si>
  <si>
    <t xml:space="preserve">60 Rue Edouard Branly, Camon, Hauts-de-France, France, 80450</t>
  </si>
  <si>
    <t>Cannet</t>
  </si>
  <si>
    <t xml:space="preserve">P.CE TECH</t>
  </si>
  <si>
    <t>pcannet@pcetech.fr</t>
  </si>
  <si>
    <t>http://www.linkedin.com/in/patrice-cannet-4b8b71101</t>
  </si>
  <si>
    <t>http://www.cinfora.fr</t>
  </si>
  <si>
    <t xml:space="preserve">Saint-Maurice, Ile-de-France, France</t>
  </si>
  <si>
    <t>Chemin</t>
  </si>
  <si>
    <t>p.chemin@life-ingenierie.com</t>
  </si>
  <si>
    <t>http://www.linkedin.com/in/pierrick-chemin-915a9b110</t>
  </si>
  <si>
    <t xml:space="preserve">Rivet Création</t>
  </si>
  <si>
    <t>emmanuel.rivet@technis.com</t>
  </si>
  <si>
    <t>http://www.linkedin.com/in/emmanuel-rivet</t>
  </si>
  <si>
    <t>http://www.rivet-creation.com</t>
  </si>
  <si>
    <t xml:space="preserve">45 Rue Emile Augier, Rueil-Malmaison, Ile-de-France, France, 92500</t>
  </si>
  <si>
    <t>MARTEL</t>
  </si>
  <si>
    <t>g.henry@maisonmartel.fr</t>
  </si>
  <si>
    <t>http://www.linkedin.com/in/gilles-henry-4a10b088</t>
  </si>
  <si>
    <t>http://www.serrurerie-martel.fr</t>
  </si>
  <si>
    <t xml:space="preserve">233 Rue de la Ferronnerie, Rodez, Midi-Pyrenees, France, 12000</t>
  </si>
  <si>
    <t xml:space="preserve">La Serrurerie MARTEL met à votre service son savoir-faire en serrurerie, métallerie, ferronnerie, sécurité, dépannage et maintenance. Nous intervenons à Rodez et en Aveyron. Nous sommes Point Fort ...</t>
  </si>
  <si>
    <t>Repec</t>
  </si>
  <si>
    <t>RConstruction</t>
  </si>
  <si>
    <t>m.repec@ent-rconstruction.fr</t>
  </si>
  <si>
    <t>http://www.linkedin.com/in/mathieu-repec-359475a9</t>
  </si>
  <si>
    <t>http://www.ent-rconstruction.fr</t>
  </si>
  <si>
    <t xml:space="preserve">8 Rue au Bouchet, Dijon, Bourgogne-Franche-Comte, France, 21000</t>
  </si>
  <si>
    <t xml:space="preserve">RCONSTRUCTION est spécialisée dans la rénovation des bâtiments classés au patrimoine. Nous restaurons vieilles bâtisses et maisons en pierre. Appelez-nous.</t>
  </si>
  <si>
    <t xml:space="preserve">Fondateur de ARKA HOME</t>
  </si>
  <si>
    <t xml:space="preserve">ARKA HOME</t>
  </si>
  <si>
    <t>pierre@arka-home.fr</t>
  </si>
  <si>
    <t>http://www.linkedin.com/in/pierre-bichot-61a84813b</t>
  </si>
  <si>
    <t>http://www.arka-home.fr</t>
  </si>
  <si>
    <t xml:space="preserve">267 Rue Saumuroise, Angers, Pays de la Loire, France, 49000</t>
  </si>
  <si>
    <t>Arthuis</t>
  </si>
  <si>
    <t>g.arthuis@noussommesnu.fr</t>
  </si>
  <si>
    <t>http://www.linkedin.com/in/gr%c3%a9goire-arthuis-28b74a53</t>
  </si>
  <si>
    <t>Seckou</t>
  </si>
  <si>
    <t>Jatta</t>
  </si>
  <si>
    <t xml:space="preserve">3S SAFETY</t>
  </si>
  <si>
    <t>seckou.jatta@3ssafety.fr</t>
  </si>
  <si>
    <t>http://www.linkedin.com/in/seckou-jatta-506295123</t>
  </si>
  <si>
    <t>http://www.3ssafety.it</t>
  </si>
  <si>
    <t>Mours</t>
  </si>
  <si>
    <t xml:space="preserve">3 Via Castelli, Faenza, Emilia-Romagna, Italy, 48018</t>
  </si>
  <si>
    <t>Hammerlin</t>
  </si>
  <si>
    <t>PYRETHERM</t>
  </si>
  <si>
    <t>f.hammerlin@pyretherm.com</t>
  </si>
  <si>
    <t>http://www.linkedin.com/in/franck-hammerlin-7b348a83</t>
  </si>
  <si>
    <t>http://www.pyretherm.com</t>
  </si>
  <si>
    <t>Sabaillan</t>
  </si>
  <si>
    <t xml:space="preserve">Estancarbon, Midi-Pyrenees, France, 31800</t>
  </si>
  <si>
    <t>PROSOLUCE</t>
  </si>
  <si>
    <t>cmarin@flb.fr</t>
  </si>
  <si>
    <t>http://www.linkedin.com/in/claude-marin-0a5b56210</t>
  </si>
  <si>
    <t>Heillecourt</t>
  </si>
  <si>
    <t>Rotszyld</t>
  </si>
  <si>
    <t>DOMANI</t>
  </si>
  <si>
    <t>mrotszyld@domani.fr</t>
  </si>
  <si>
    <t>http://www.linkedin.com/in/manuel-rotszyld-41394b1a</t>
  </si>
  <si>
    <t>http://www.domani.fr</t>
  </si>
  <si>
    <t xml:space="preserve">12 Avenue Prat Gimont, Balma, Occitanie, France, 31130</t>
  </si>
  <si>
    <t>Roos</t>
  </si>
  <si>
    <t xml:space="preserve">Consultante DD et formatrice, co-fondatrice</t>
  </si>
  <si>
    <t xml:space="preserve">Scop les 2 rives</t>
  </si>
  <si>
    <t>celine.roos@scop-les2rives.eu</t>
  </si>
  <si>
    <t>http://www.linkedin.com/in/c%c3%a9line-roos-6a16b743</t>
  </si>
  <si>
    <t>http://www.scop-les2rives.eu</t>
  </si>
  <si>
    <t xml:space="preserve">12 Rue de Saint-Cyr, Lyon, Auvergne-Rhone-Alpes, France, 69009</t>
  </si>
  <si>
    <t xml:space="preserve">Scop les 2 rives, une coopérative qui travaille sur le Développement Durable et  l'écologie dans le bâtiment et l'architecture à Lyon, Strasbourg, Dijon, Paris</t>
  </si>
  <si>
    <t xml:space="preserve">Malbrel Conservation</t>
  </si>
  <si>
    <t>c.vallet@malbrelconservation.fr</t>
  </si>
  <si>
    <t>http://www.linkedin.com/in/charles-vallet-5a2154124</t>
  </si>
  <si>
    <t>http://www.malbrelconservation.fr</t>
  </si>
  <si>
    <t xml:space="preserve">Malbrel Conservation est une entreprise spécialisée dans la restauration et la conservation du patrimoine français, basée dans le Lot en Occitanie.</t>
  </si>
  <si>
    <t>Descheemaeker</t>
  </si>
  <si>
    <t xml:space="preserve">NORD CHAUFFAGE SERVICES</t>
  </si>
  <si>
    <t>loic@ncs59.fr</t>
  </si>
  <si>
    <t>http://www.linkedin.com/in/loicdesch</t>
  </si>
  <si>
    <t>http://www.nord-chauffage-services.fr</t>
  </si>
  <si>
    <t xml:space="preserve">Spécialistes du chauffage depuis 1978, l'équipe de Nord Chauffage Services installe, entretien et répare vos installations de chauffage et sanitaires.</t>
  </si>
  <si>
    <t>Soule-Dupuy</t>
  </si>
  <si>
    <t xml:space="preserve">JSD GROUPE</t>
  </si>
  <si>
    <t>d.soule-dupuy@jsd-groupe.com</t>
  </si>
  <si>
    <t>http://www.linkedin.com/in/didier-soul%c3%a9-dupuy-7071a45b</t>
  </si>
  <si>
    <t>http://www.jsd-groupe.com</t>
  </si>
  <si>
    <t xml:space="preserve">31 Avenue Leonard de Vinci, Pessac, Nouvelle-Aquitaine, France, 33600</t>
  </si>
  <si>
    <t>Ketty</t>
  </si>
  <si>
    <t>Bikelel</t>
  </si>
  <si>
    <t xml:space="preserve">BR CONSULT</t>
  </si>
  <si>
    <t>ketty.bikelel@brconsult.fr</t>
  </si>
  <si>
    <t>http://www.linkedin.com/in/ketty-bikelel-6705aa133</t>
  </si>
  <si>
    <t>http://www.brconsult.com</t>
  </si>
  <si>
    <t xml:space="preserve">16 Boulevard de Creteil, Saint-Maur-des-Fosses, Ile-de-France, France, 94100</t>
  </si>
  <si>
    <t>Leseur</t>
  </si>
  <si>
    <t xml:space="preserve">LES MATERIAUX DE L'OUEST</t>
  </si>
  <si>
    <t>fleseur@mdo.com.fr</t>
  </si>
  <si>
    <t>http://www.linkedin.com/in/frank-leseur-29714168</t>
  </si>
  <si>
    <t>http://www.mdo.com.fr</t>
  </si>
  <si>
    <t xml:space="preserve">L'Hermitage, Brittany, France</t>
  </si>
  <si>
    <t>Gailliard</t>
  </si>
  <si>
    <t xml:space="preserve">MR MENUISERIE</t>
  </si>
  <si>
    <t>m.gailliard@mr-menuiserie.fr</t>
  </si>
  <si>
    <t>http://www.linkedin.com/in/maxime-gailliard-094ab61b9</t>
  </si>
  <si>
    <t>http://www.mrmenuiserie.fr</t>
  </si>
  <si>
    <t>Loison-sous-Lens</t>
  </si>
  <si>
    <t xml:space="preserve">3 Rue des Jonquilles, Loison-sous-Lens, Hauts-de-France, France, 62218</t>
  </si>
  <si>
    <t>Antona</t>
  </si>
  <si>
    <t xml:space="preserve">ANTONA ET COFI</t>
  </si>
  <si>
    <t>arthur.antona@antona-et-cofi.fr</t>
  </si>
  <si>
    <t>http://www.linkedin.com/in/arthur-antona-640990163</t>
  </si>
  <si>
    <t>http://www.antona-et-cofi.fr</t>
  </si>
  <si>
    <t xml:space="preserve">13 Avenue Brezin, Garches, Ile-de-France, France, 92380</t>
  </si>
  <si>
    <t xml:space="preserve">antona et cofi est spécialiste en exploitation, maintenance et rénovation d’installation thermiques de chauffage, eau chaude sanitaire pour l’habitat collectif.</t>
  </si>
  <si>
    <t>Vicente</t>
  </si>
  <si>
    <t>vicente@comely.fr</t>
  </si>
  <si>
    <t>http://www.linkedin.com/in/julien-vicente-8b2746106</t>
  </si>
  <si>
    <t>Bredy</t>
  </si>
  <si>
    <t xml:space="preserve">BREDY AGENCEMENT</t>
  </si>
  <si>
    <t>gbredy@bredy-agencement.fr</t>
  </si>
  <si>
    <t>http://www.linkedin.com/in/guillaume-bredy-900199202</t>
  </si>
  <si>
    <t>http://www.bredy-agencement.fr</t>
  </si>
  <si>
    <t xml:space="preserve">Découvrez l'entreprise Bredy Agencement, entreprise spécialisée dans la menuiserie, la décoration et l'Agencement.</t>
  </si>
  <si>
    <t>Clarte</t>
  </si>
  <si>
    <t>FACILI</t>
  </si>
  <si>
    <t>clarte.milan@faciligroupe.fr</t>
  </si>
  <si>
    <t>http://www.linkedin.com/in/clart%c3%a9-milan-creche-ecole-sant%c3%a9-architecte-travaux</t>
  </si>
  <si>
    <t>http://www.faciligroupe.fr</t>
  </si>
  <si>
    <t xml:space="preserve">20 Rue Raymond Losserand, Paris, Ile-de-France, France, 75014</t>
  </si>
  <si>
    <t xml:space="preserve">Facili Groupe créé et rénove des lieux adaptés à votre type d’activité (école, crèche, cabinet médical ...) et aux besoins de votre clientèle.</t>
  </si>
  <si>
    <t>Mangier</t>
  </si>
  <si>
    <t xml:space="preserve">MOUCHET CONSTRUCTION</t>
  </si>
  <si>
    <t>mangier@mouchet-construction.fr</t>
  </si>
  <si>
    <t>http://www.linkedin.com/in/lionel-mangier-685bbb2bb</t>
  </si>
  <si>
    <t>http://www.mouchet-construction.fr</t>
  </si>
  <si>
    <t>Bonneville</t>
  </si>
  <si>
    <t xml:space="preserve">Allinges, Rhone-Alpes, France</t>
  </si>
  <si>
    <t xml:space="preserve">Mouchet Construction c'est plus de 50 ans d'expérience dans la maçonnerie gros œuvre.</t>
  </si>
  <si>
    <t xml:space="preserve">SAS AVENIR METAL</t>
  </si>
  <si>
    <t>t.richard@avenir-metal.com</t>
  </si>
  <si>
    <t>http://www.linkedin.com/in/thibault-richard-57829638</t>
  </si>
  <si>
    <t>http://www.avenir-metal.com</t>
  </si>
  <si>
    <t xml:space="preserve">Zone d'Activites des Prairies, Frontonas, Auvergne-Rhone-Alpes, France, 38290</t>
  </si>
  <si>
    <t xml:space="preserve">AVENIR METAL vous accompagne depuis 1997 dans la création et la rénovation de votre bâtiment : façade et toiture. Solutions innovantes, normes</t>
  </si>
  <si>
    <t xml:space="preserve">Demeures Rhône-Alpes</t>
  </si>
  <si>
    <t>olivier.laurent@demeuresrhonealpes.com</t>
  </si>
  <si>
    <t>http://www.linkedin.com/in/olivier-laurent-2b094059</t>
  </si>
  <si>
    <t>http://www.demeuresrhonealpes.com</t>
  </si>
  <si>
    <t xml:space="preserve">2 Rue Franklin, Genas, Auvergne-Rhone-Alpes, France, 69740</t>
  </si>
  <si>
    <t>Gobert</t>
  </si>
  <si>
    <t xml:space="preserve">DIEBOLT TP</t>
  </si>
  <si>
    <t>mgobert@diebolt-tp.fr</t>
  </si>
  <si>
    <t>http://www.linkedin.com/in/matthieu-gobert-8aa51b174</t>
  </si>
  <si>
    <t>http://www.diebolt-tp.fr</t>
  </si>
  <si>
    <t xml:space="preserve">Marmoutier, Alsace-Champagne-Ardenne-Lorraine, France, 67440</t>
  </si>
  <si>
    <t>Tommy</t>
  </si>
  <si>
    <t>Cicerale</t>
  </si>
  <si>
    <t xml:space="preserve">A.V.E DECO</t>
  </si>
  <si>
    <t>tommy@ave-deco.com</t>
  </si>
  <si>
    <t>http://www.linkedin.com/in/tommy-cicerale-30ab15178</t>
  </si>
  <si>
    <t>http://www.ave-deco.fr</t>
  </si>
  <si>
    <t xml:space="preserve">4 Chemin de la Gueule du Bois, Villevaude, Ile-de-France, France, 77410</t>
  </si>
  <si>
    <t>Lagreze</t>
  </si>
  <si>
    <t xml:space="preserve">IDEAL BATIMENT</t>
  </si>
  <si>
    <t>s.lagreze@lagreze-batiment.com</t>
  </si>
  <si>
    <t>http://www.linkedin.com/in/s%c3%a9bastien-lagreze-62897a176</t>
  </si>
  <si>
    <t>http://www.lagreze-batiment.com</t>
  </si>
  <si>
    <t xml:space="preserve">Toulouse, Occitanie, France, 31300</t>
  </si>
  <si>
    <t xml:space="preserve">IDEAL Peinture &amp; LAGREZE Bâtiment effectue tous les travaux de rénovation et de peinture de vos bâtiments sur Toulouse, Blagnac et la Haute-Garonne (31).</t>
  </si>
  <si>
    <t xml:space="preserve">UNELO éco-voiries</t>
  </si>
  <si>
    <t>tchardin@unelo.fr</t>
  </si>
  <si>
    <t>http://www.linkedin.com/in/thomas-chardin-32218016a</t>
  </si>
  <si>
    <t>http://www.unelo.fr</t>
  </si>
  <si>
    <t xml:space="preserve">465 Avenue de Larrigan, Seignosse, Nouvelle-Aquitaine, France, 40510</t>
  </si>
  <si>
    <t xml:space="preserve">Eco-voiries bas-carbone, solutions perméables, valorisation de matériaux.</t>
  </si>
  <si>
    <t>Piquet</t>
  </si>
  <si>
    <t>cpiquet@cplbois.fr</t>
  </si>
  <si>
    <t>http://www.linkedin.com/in/christian-piquet-a97456151</t>
  </si>
  <si>
    <t>http://www.cplbois.com</t>
  </si>
  <si>
    <t xml:space="preserve">CPL Bois Atelier de menuiserie à Annecy, Agencement intérieur, Menuiserie intérieure et extérieure sur mesure sur Aix les Bains. Agenceur depuis 1992.</t>
  </si>
  <si>
    <t>Bouffard</t>
  </si>
  <si>
    <t xml:space="preserve">Bouffard Aménagement</t>
  </si>
  <si>
    <t>hbouffard@bouffard-amenagement.com</t>
  </si>
  <si>
    <t>http://www.linkedin.com/in/hugues-bouffard-367210142</t>
  </si>
  <si>
    <t>http://www.bouffard-amenagement.com</t>
  </si>
  <si>
    <t xml:space="preserve">SN BABIN</t>
  </si>
  <si>
    <t>maxime@snbabin.fr</t>
  </si>
  <si>
    <t>http://www.linkedin.com/in/maxime-dreux-304a88307</t>
  </si>
  <si>
    <t>http://www.snbabin.fr</t>
  </si>
  <si>
    <t xml:space="preserve">Saint-Berthevin, Pays de la Loire, France, 53940</t>
  </si>
  <si>
    <t xml:space="preserve">SN Babin Cuisine en chêne massif Cuisine Espace sanitaire Salle de bain Placard sous rampant Dressing Cuisine avec ilot Cuisine Verrière Fenêtre Placard dressing Dressing Fournil des Anneaux Agenceme</t>
  </si>
  <si>
    <t>jeanpaul.rousseau@advalidem.com</t>
  </si>
  <si>
    <t>http://www.linkedin.com/in/jean-paul-rousseau-2696b23</t>
  </si>
  <si>
    <t>Fleurance</t>
  </si>
  <si>
    <t xml:space="preserve">ALBEDO Ingénierie Environnementale</t>
  </si>
  <si>
    <t>thierry.fleurance@albedo-hqe.com</t>
  </si>
  <si>
    <t>http://www.linkedin.com/in/thierry-fleurance-a4281591</t>
  </si>
  <si>
    <t>http://www.albedo-hqe.com</t>
  </si>
  <si>
    <t>gstoops@groupe-stoops.fr</t>
  </si>
  <si>
    <t>http://www.linkedin.com/in/gr%c3%a9gory-stoops-098b9aa9</t>
  </si>
  <si>
    <t>Zakine</t>
  </si>
  <si>
    <t xml:space="preserve">CEO Groupe APB</t>
  </si>
  <si>
    <t xml:space="preserve">Groupe APB</t>
  </si>
  <si>
    <t>anthony@groupe-apb.fr</t>
  </si>
  <si>
    <t>http://www.linkedin.com/in/anthony-zakine-a99974212</t>
  </si>
  <si>
    <t>http://www.groupe-apb.fr</t>
  </si>
  <si>
    <t xml:space="preserve">12 Avenue Georges Clemenceau, Maisons-Alfort, Ile-de-France, France, 94700</t>
  </si>
  <si>
    <t xml:space="preserve">Groupe APB : l’entreprise RGE experte en transition énergétique qui vous accompagne dans vos travaux de rénovation !</t>
  </si>
  <si>
    <t>Chiarot</t>
  </si>
  <si>
    <t xml:space="preserve">ABSO ENERGIES</t>
  </si>
  <si>
    <t>s.chiarot@absoenergies.fr</t>
  </si>
  <si>
    <t>http://www.linkedin.com/in/sebastien-chiarot-00679722b</t>
  </si>
  <si>
    <t>http://www.absoenergies.fr</t>
  </si>
  <si>
    <t xml:space="preserve">182 Allee des Lilas, Cadaujac, Nouvelle-Aquitaine, France, 33140</t>
  </si>
  <si>
    <t>Julliot</t>
  </si>
  <si>
    <t>CTP</t>
  </si>
  <si>
    <t>pjulliot@champagne-tp.fr</t>
  </si>
  <si>
    <t>http://www.linkedin.com/in/pascal-julliot-a285a5237</t>
  </si>
  <si>
    <t>http://www.champagne-tp.fr</t>
  </si>
  <si>
    <t xml:space="preserve">4 Rue des Tonneliers, Cormontreuil, Grand Est, France, 51350</t>
  </si>
  <si>
    <t>Barbusse</t>
  </si>
  <si>
    <t xml:space="preserve">Co-fondateur Nemausus Fermetures</t>
  </si>
  <si>
    <t xml:space="preserve">MONSIEUR STORE NIMES ET AVIGNON</t>
  </si>
  <si>
    <t>f.barbusse@monsieur-store.net</t>
  </si>
  <si>
    <t>http://www.linkedin.com/in/fr%c3%a9d%c3%a9ric-barbusse-6568519a</t>
  </si>
  <si>
    <t>http://www.monsieurstore.com</t>
  </si>
  <si>
    <t xml:space="preserve">Route des Bealieres, Veurey-Voroize, Auvergne-Rhone-Alpes, France, 38113</t>
  </si>
  <si>
    <t xml:space="preserve">Devis en ligne ou rendez-vous en magasin, le réseau Monsieur Store vous accompagne dans vos projets d'aménagements intérieurs (stores, fenêtres, porte d'entrée) ou extérieurs (portails, pergolas, volets).</t>
  </si>
  <si>
    <t xml:space="preserve">BRUNET SAS</t>
  </si>
  <si>
    <t>philippebrunet@sympatico.ca</t>
  </si>
  <si>
    <t>http://www.linkedin.com/in/philippe-brunet-70aa6794</t>
  </si>
  <si>
    <t>http://www.brunet-agencement.pro</t>
  </si>
  <si>
    <t xml:space="preserve">Yvrac, Aquitaine-Limousin-Poitou-Charentes, France, 33370</t>
  </si>
  <si>
    <t xml:space="preserve">Associé Président</t>
  </si>
  <si>
    <t xml:space="preserve">LEGAGNEUR &amp; ASSOCIES</t>
  </si>
  <si>
    <t>a.maruejouls@legagneur-associes.fr</t>
  </si>
  <si>
    <t>http://www.linkedin.com/in/antony-maruejouls-925105117</t>
  </si>
  <si>
    <t>http://www.legagneur-associes.fr</t>
  </si>
  <si>
    <t xml:space="preserve">12D Rue des Landelles, Cesson-Sevigne, Brittany, France, 35510</t>
  </si>
  <si>
    <t xml:space="preserve">Legagneur &amp; Associés est un cabinet d’ingénierie spécialisé dans l’étude, la conception et la réalisation de bâtiments industriels sur l’ensemble du territoire national. Nous sommes basés à Rennes.</t>
  </si>
  <si>
    <t>Benalla</t>
  </si>
  <si>
    <t xml:space="preserve">Fondateur As</t>
  </si>
  <si>
    <t xml:space="preserve">HB Engineering</t>
  </si>
  <si>
    <t>kamel.benalla@hbengineering.fr</t>
  </si>
  <si>
    <t>http://www.linkedin.com/in/kamel-benalla-3a2425221</t>
  </si>
  <si>
    <t>http://www.hbengineering.fr</t>
  </si>
  <si>
    <t xml:space="preserve">La Chapelle-Saint-Mesmin</t>
  </si>
  <si>
    <t xml:space="preserve">4 Rue Jacques Charles, La Chapelle-Saint-Mesmin, Centre-Val de Loire, France, 45380</t>
  </si>
  <si>
    <t>Max</t>
  </si>
  <si>
    <t>Clairet</t>
  </si>
  <si>
    <t>max.clairet@soredal.com</t>
  </si>
  <si>
    <t>http://www.linkedin.com/in/max-clairet-a157aa1b8</t>
  </si>
  <si>
    <t>Chatel-Guyon</t>
  </si>
  <si>
    <t xml:space="preserve">ROY Travaux</t>
  </si>
  <si>
    <t>rroy@grouperoy.fr</t>
  </si>
  <si>
    <t>http://www.linkedin.com/in/r%c3%a9gis-roy</t>
  </si>
  <si>
    <t>http://www.roy-travaux.fr</t>
  </si>
  <si>
    <t xml:space="preserve">780 Avenue des Petites Landes, Pouydesseaux, Aquitaine, France, 40120</t>
  </si>
  <si>
    <t xml:space="preserve">Producteur local : gravier, sable à bâtir, remblais, béton, concassé, roulé, alluvionnaire, calcaire, ardoise, terre végétale, fraisât. De la carrière à votre chantier, en vrac ou en big bag !</t>
  </si>
  <si>
    <t xml:space="preserve">MENUISERIE LEGENDRE &amp; LUREAU</t>
  </si>
  <si>
    <t>a.burlat@legendre-lureau.com</t>
  </si>
  <si>
    <t>http://www.linkedin.com/in/antonin-burlat-409b17204</t>
  </si>
  <si>
    <t>http://www.legendre-lureau.com</t>
  </si>
  <si>
    <t xml:space="preserve">7 Lieu-dit Les Boutinards, Sablons, Nouvelle-Aquitaine, France, 33910</t>
  </si>
  <si>
    <t xml:space="preserve">Bienvenue au site web du groupe Legendre &amp; Lureau.</t>
  </si>
  <si>
    <t>Khalifat</t>
  </si>
  <si>
    <t>BANITI</t>
  </si>
  <si>
    <t>pkhalifat@baniti.fr</t>
  </si>
  <si>
    <t>http://www.linkedin.com/in/philippe-khalifat-b4b27b42</t>
  </si>
  <si>
    <t>http://www.baniti.fr</t>
  </si>
  <si>
    <t xml:space="preserve">24 Rue des 2 Communes, Vincennes, Ile-de-France, France, 94300</t>
  </si>
  <si>
    <t>NICOLARDOT</t>
  </si>
  <si>
    <t>jcfernandes@nicolardot.fr</t>
  </si>
  <si>
    <t>http://www.linkedin.com/in/jean-claude-fernandes-561b88a4</t>
  </si>
  <si>
    <t>http://www.nicolardot.fr</t>
  </si>
  <si>
    <t xml:space="preserve">50 Avenue Jean Moulin, Marsannay-la-Cote, Bourgogne-Franche-Comte, France, 21160</t>
  </si>
  <si>
    <t>jharribey@harribeyconstructions.fr</t>
  </si>
  <si>
    <t>http://www.linkedin.com/in/jean-harribey-490853150</t>
  </si>
  <si>
    <t>http://www.harribeyconstructions.fr</t>
  </si>
  <si>
    <t xml:space="preserve">10 Avenue Henry le Chatelier, Merignac, Nouvelle-Aquitaine, France, 33700</t>
  </si>
  <si>
    <t>Pasteur</t>
  </si>
  <si>
    <t xml:space="preserve">PASTEUR TP</t>
  </si>
  <si>
    <t>christophe.pasteur@pasteurtp.fr</t>
  </si>
  <si>
    <t>http://www.linkedin.com/in/christophe-pasteur-1a341084</t>
  </si>
  <si>
    <t>http://www.pasteurtp.fr</t>
  </si>
  <si>
    <t xml:space="preserve">18 Rue du Stade, Villeny, Centre-Val de Loire, France, 41220</t>
  </si>
  <si>
    <t xml:space="preserve">PASTEUR TP spécialisée dans les travaux de V.R.D. travaux préparatoires, d'aménagements paysagers, terrassements, voiries et réseaux divers</t>
  </si>
  <si>
    <t>Virasack</t>
  </si>
  <si>
    <t>Sananikone</t>
  </si>
  <si>
    <t xml:space="preserve">ACTIUM Groupe</t>
  </si>
  <si>
    <t>vsananikone@actium-tp.com</t>
  </si>
  <si>
    <t>http://www.linkedin.com/in/virasack-sananikone-986372121</t>
  </si>
  <si>
    <t>http://www.actium-groupe.com</t>
  </si>
  <si>
    <t xml:space="preserve">Caurel, Brittany, France</t>
  </si>
  <si>
    <t xml:space="preserve">Infrastructures, Génie civil, Ingénierie de projet, Détections de réseaux, Travaux spéciaux dans les alentours de Reims</t>
  </si>
  <si>
    <t xml:space="preserve">GV Ingénierie</t>
  </si>
  <si>
    <t>benoit.chailloux@gvingenierie.fr</t>
  </si>
  <si>
    <t>http://www.linkedin.com/in/benoitchailloux</t>
  </si>
  <si>
    <t>http://www.gvingenierie.fr</t>
  </si>
  <si>
    <t xml:space="preserve">4 Allee des Ambalais, Le Plessis-Trevise, Ile-de-France, France, 94420</t>
  </si>
  <si>
    <t xml:space="preserve">G.V. Ingénierie est spécialisé dans les domaines de l’assistance économique aux maîtres d’ouvrages et l'économie de la construction.</t>
  </si>
  <si>
    <t>Palette</t>
  </si>
  <si>
    <t>Fouqueron</t>
  </si>
  <si>
    <t>c.palette@fouqueron.com</t>
  </si>
  <si>
    <t>http://www.linkedin.com/in/christophe-palette-245a5881</t>
  </si>
  <si>
    <t>http://www.fouqueron.com</t>
  </si>
  <si>
    <t xml:space="preserve">Les Ponts-de-Ce, Pays de la Loire, France, 49130</t>
  </si>
  <si>
    <t xml:space="preserve">Entreprise d'électricité, plomberie, chauffage, ventilation, climatisation et sécurité de vos installations connectées à Angers (49).</t>
  </si>
  <si>
    <t>BETIS</t>
  </si>
  <si>
    <t>fbriand@betis.fr</t>
  </si>
  <si>
    <t>http://www.linkedin.com/in/florent-briand-06478180</t>
  </si>
  <si>
    <t>http://www.betis.fr</t>
  </si>
  <si>
    <t xml:space="preserve">1 Voie d'Angleterre, Vitrolles, Provence-Alpes-Cote d'Azur, France, 13127</t>
  </si>
  <si>
    <t xml:space="preserve">Vous souhaitez faire installer un système de confort dans vos locaux en région PACA et partout en France ? Marseille, Montpellier, Aix-en-provence, Nice, etc. ✅ Faites appel à nos services.</t>
  </si>
  <si>
    <t>Ervan</t>
  </si>
  <si>
    <t>Clauzier</t>
  </si>
  <si>
    <t xml:space="preserve">Atelier Menuiséa</t>
  </si>
  <si>
    <t>ervan@ateliermenuisea.fr</t>
  </si>
  <si>
    <t>http://www.linkedin.com/in/ervan-clauzier-26a392173</t>
  </si>
  <si>
    <t>http://www.ateliermenuisea.fr</t>
  </si>
  <si>
    <t>Aubenas</t>
  </si>
  <si>
    <t xml:space="preserve">10 Avenue de Bellande, Aubenas, Auvergne-Rhone-Alpes, France, 07200</t>
  </si>
  <si>
    <t>Altitech</t>
  </si>
  <si>
    <t>guillaume.germain@altitech.fr</t>
  </si>
  <si>
    <t>http://www.linkedin.com/in/guillaume-germain-4b5b7913</t>
  </si>
  <si>
    <t>http://www.altitech.fr</t>
  </si>
  <si>
    <t xml:space="preserve">997 Chemin de la Bruyere, Tramoyes, Auvergne-Rhone-Alpes, France, 01390</t>
  </si>
  <si>
    <t>Canaud</t>
  </si>
  <si>
    <t xml:space="preserve">Richelieu Rénovation</t>
  </si>
  <si>
    <t>f.canaud@richelieu-renovation.com</t>
  </si>
  <si>
    <t>http://www.linkedin.com/in/francois-canaud-ab454b73</t>
  </si>
  <si>
    <t>http://www.richelieu-renovation.com</t>
  </si>
  <si>
    <t>Saint-Leu-la-Foret</t>
  </si>
  <si>
    <t xml:space="preserve">31 Rue de Monceau, Paris, Ile-de-France, France, 75008</t>
  </si>
  <si>
    <t xml:space="preserve">Le savoir-faire de nos équipes au service d'une rénovation de qualité de vos appartements et maisons à Paris et maintenant également en région.</t>
  </si>
  <si>
    <t xml:space="preserve">SOLS INDUSTRIELS 21</t>
  </si>
  <si>
    <t>sromain@si21.fr</t>
  </si>
  <si>
    <t>http://www.linkedin.com/in/st%c3%a9phane-romain-a608a6b2</t>
  </si>
  <si>
    <t>http://www.si21.fr</t>
  </si>
  <si>
    <t xml:space="preserve">Impasse des Forgerons, Chevigny-Saint-Sauveur, Bourgogne-Franche-Comte, France, 21800</t>
  </si>
  <si>
    <t>EMAPLAST</t>
  </si>
  <si>
    <t>sylvie@emaplast.fr</t>
  </si>
  <si>
    <t>http://www.linkedin.com/in/sylvie-bernard-55a276144</t>
  </si>
  <si>
    <t>http://www.emaplast.fr</t>
  </si>
  <si>
    <t>Parne-sur-Roc</t>
  </si>
  <si>
    <t xml:space="preserve">Lieu-dit L'Epronniere, Parne-sur-Roc, Pays de la Loire, France, 53260</t>
  </si>
  <si>
    <t xml:space="preserve">Pour tous vos travaux de construction ou de rénovation, votre expert menuiserie PVC Alu répond présent. Faites appel au savoir-faire EMAPLAST !</t>
  </si>
  <si>
    <t>patrice.georges@deco-charpente.fr</t>
  </si>
  <si>
    <t>http://www.linkedin.com/in/patrice-georges-4195b710a</t>
  </si>
  <si>
    <t>Mions</t>
  </si>
  <si>
    <t>Vaumas</t>
  </si>
  <si>
    <t xml:space="preserve">Associé-fondateur de KERMAREC (kermarec.fr)</t>
  </si>
  <si>
    <t>KERMAREC</t>
  </si>
  <si>
    <t>antoine@kermarec.fr</t>
  </si>
  <si>
    <t>http://www.linkedin.com/in/antoine-de-vaumas-baa77a2b</t>
  </si>
  <si>
    <t>http://www.kermarec.fr</t>
  </si>
  <si>
    <t xml:space="preserve">92 Rue de Verdun, Puteaux, Ile-de-France, France, 92800</t>
  </si>
  <si>
    <t>f.cazeaux@eovest.fr</t>
  </si>
  <si>
    <t>http://www.linkedin.com/in/frederic-cazeaux-903a11153</t>
  </si>
  <si>
    <t xml:space="preserve">CARO TP</t>
  </si>
  <si>
    <t>marcroques@carotp.fr</t>
  </si>
  <si>
    <t>http://www.linkedin.com/in/marc-roques-6b2428a7</t>
  </si>
  <si>
    <t>http://www.carotp.fr</t>
  </si>
  <si>
    <t xml:space="preserve">Alliance Echafaudages &amp; Structures</t>
  </si>
  <si>
    <t>lbernard@alliance-echafaudages.fr</t>
  </si>
  <si>
    <t>http://www.linkedin.com/in/alexis-delaunay-b99540137</t>
  </si>
  <si>
    <t>http://www.alliance-echafaudages.fr</t>
  </si>
  <si>
    <t xml:space="preserve">149 Rue de l’Aéropostale, Colombier-Saugnieu, Auvergne-Rhône-Alpes, France, 69124</t>
  </si>
  <si>
    <t>Astier</t>
  </si>
  <si>
    <t>BRONDANI</t>
  </si>
  <si>
    <t>l.astier@brondani.fr</t>
  </si>
  <si>
    <t>http://www.linkedin.com/in/laurent-astier-9105088a</t>
  </si>
  <si>
    <t>http://www.brondani.fr</t>
  </si>
  <si>
    <t xml:space="preserve">Geispolsheim, Alsace-Champagne-Ardenne-Lorraine, France, 67118</t>
  </si>
  <si>
    <t xml:space="preserve">Fondée en 1964, l'entreprise Brondani réalise depuis plus de 50 ans tous types de travaux de gros oeuvre et de maçonnerie</t>
  </si>
  <si>
    <t>Vinel</t>
  </si>
  <si>
    <t xml:space="preserve">Nancy Construction</t>
  </si>
  <si>
    <t>s.vinel@nancyconstruction.com</t>
  </si>
  <si>
    <t>http://www.linkedin.com/in/st%c3%a9phane-vinel-74aa405b</t>
  </si>
  <si>
    <t>http://www.nancy-construction.com</t>
  </si>
  <si>
    <t xml:space="preserve">6 Allee des Peupliers, Houdemont, Lorraine, France, 54180</t>
  </si>
  <si>
    <t xml:space="preserve">Contractant Global &amp; Promoteur en Immobilier d'Entreprise Clés en main ✅ Bâtiments industriels à Ossature Métallique, Bâtiments d'activité, Immeubles de bureaux</t>
  </si>
  <si>
    <t>Perroux</t>
  </si>
  <si>
    <t>GROSSET-JANIN</t>
  </si>
  <si>
    <t>n.perroux@grossetjanin.com</t>
  </si>
  <si>
    <t>http://www.linkedin.com/in/nicolas-perroux-96280753</t>
  </si>
  <si>
    <t>http://www.grossetjanin.com</t>
  </si>
  <si>
    <t xml:space="preserve">Domancy, Auvergne-Rhone-Alpes, France</t>
  </si>
  <si>
    <t xml:space="preserve">Grosset Janin, constructeur de chalet en bois sur mesure depuis 1950 vous accompagne dans la création, ou la rénovation de votre chalet clé en main.</t>
  </si>
  <si>
    <t xml:space="preserve">Co-fondateur et Dirigeant</t>
  </si>
  <si>
    <t>Kayousoft</t>
  </si>
  <si>
    <t>anthony.perrier@kayousoft.com</t>
  </si>
  <si>
    <t>http://www.linkedin.com/in/anthonyperrierkayousoft</t>
  </si>
  <si>
    <t>http://www.kayousoft.fr</t>
  </si>
  <si>
    <t xml:space="preserve">720 Chemin de la Plaine, Soyons, Auvergne-Rhone-Alpes, France, 07130</t>
  </si>
  <si>
    <t xml:space="preserve">Innovons l'industrie des carrières</t>
  </si>
  <si>
    <t>Vincendeau</t>
  </si>
  <si>
    <t>SERALU</t>
  </si>
  <si>
    <t>bv@seralu.com</t>
  </si>
  <si>
    <t>http://www.linkedin.com/in/bruno-vincendeau-81baaa111</t>
  </si>
  <si>
    <t>http://www.seralu.com</t>
  </si>
  <si>
    <t xml:space="preserve">Mouchamps, Pays de la Loire, France, 85640</t>
  </si>
  <si>
    <t xml:space="preserve">Besoin de menuiseries ou façades en aluminium ? Contactez les experts de l'aluminium depuis 40 ans ! De l'étude, à la pose SERALU réalisent tous vos projets</t>
  </si>
  <si>
    <t>Raux</t>
  </si>
  <si>
    <t xml:space="preserve">Fondateur, responsable technique</t>
  </si>
  <si>
    <t>ELECT'RAUX</t>
  </si>
  <si>
    <t>christophe.raux@electraux.com</t>
  </si>
  <si>
    <t>http://www.linkedin.com/in/christophe-raux-2110ba121</t>
  </si>
  <si>
    <t>http://www.electraux.com</t>
  </si>
  <si>
    <t>Chambly</t>
  </si>
  <si>
    <t xml:space="preserve">130 Chemin du Moulin a Draps, Chambly, Hauts-de-France, France, 60230</t>
  </si>
  <si>
    <t xml:space="preserve">Votre spécialiste de la pose de cloisons amovibles, l'agencement et la rénovation de bureaux dans l'Oise, Val d'Oise, l'Aisne et la Somme.</t>
  </si>
  <si>
    <t>Candy</t>
  </si>
  <si>
    <t>Rejasse</t>
  </si>
  <si>
    <t xml:space="preserve">MAISONS JB</t>
  </si>
  <si>
    <t>c.rejasse@groupecii.fr</t>
  </si>
  <si>
    <t>http://www.linkedin.com/in/candy-rejasse-031a71112</t>
  </si>
  <si>
    <t>http://www.maisons-jb.fr</t>
  </si>
  <si>
    <t xml:space="preserve">Limoges, Aquitaine-Limousin-Poitou-Charentes, France</t>
  </si>
  <si>
    <t xml:space="preserve">Découvrez nos offres en ligne ou rendez-vous dans nos agences et venez découvrir nos showrooms à Limoges, Saint-Junien, Saint-Yrieix-la-Perche, Guéret et Brive.</t>
  </si>
  <si>
    <t xml:space="preserve">Menuiserie Le Cèdre</t>
  </si>
  <si>
    <t>fpereira@menuiserie-le-cedre.com</t>
  </si>
  <si>
    <t>http://www.linkedin.com/in/fr%c3%a9d%c3%a9ric-pereira-7674b7119</t>
  </si>
  <si>
    <t>http://www.menuiserie-le-cedre.com</t>
  </si>
  <si>
    <t>Villiers-sur-Marne</t>
  </si>
  <si>
    <t xml:space="preserve">32 Rue Ampere, Lagny-sur-Marne, Ile-de-France, France, 77400</t>
  </si>
  <si>
    <t>M'hamed</t>
  </si>
  <si>
    <t xml:space="preserve">A2L HABITAT</t>
  </si>
  <si>
    <t>m.aissa@a2lhabitat.fr</t>
  </si>
  <si>
    <t>http://www.linkedin.com/in/m-hamed-aissa-78168612b</t>
  </si>
  <si>
    <t>http://www.a2lhabitat.fr</t>
  </si>
  <si>
    <t xml:space="preserve">91 Route de Bretagne, Bretteville-sur-Odon, Normandy, France, 14760</t>
  </si>
  <si>
    <t xml:space="preserve">A2L Habitat constructeur de maison individuelle extension et rénovation de l'existant</t>
  </si>
  <si>
    <t>Quivrin</t>
  </si>
  <si>
    <t>MOVVÉO</t>
  </si>
  <si>
    <t>jean-francois.quivrin@movveo.fr</t>
  </si>
  <si>
    <t>http://www.linkedin.com/in/jean-fran%c3%a7ois-quivrin-69322b57</t>
  </si>
  <si>
    <t>http://www.movveo.fr</t>
  </si>
  <si>
    <t xml:space="preserve">39 Rue Louis Blanc, Courbevoie, Ile-de-France, France, 92400</t>
  </si>
  <si>
    <t xml:space="preserve">HORIZON COUVERTURE RAVALEMENT</t>
  </si>
  <si>
    <t>o.breuil@horizoncr.com</t>
  </si>
  <si>
    <t>http://www.linkedin.com/in/olivier-breuil-a7a60a129</t>
  </si>
  <si>
    <t>http://www.horizoncr.fr</t>
  </si>
  <si>
    <t xml:space="preserve">Horizon propose principalement deux types de travaux : le ravalement de façades et la couverture. Si le besoin s’en fait sentir, Horizon est à même de réaliser des travaux de peinture en rénovation de cages d’escaliers afin de compléter son offre.</t>
  </si>
  <si>
    <t>Spagnuolo</t>
  </si>
  <si>
    <t xml:space="preserve">SP TOITURE</t>
  </si>
  <si>
    <t>n.spagnuolo@sp-toiture.fr</t>
  </si>
  <si>
    <t>http://www.linkedin.com/in/nicolas-spagnuolo-44b193155</t>
  </si>
  <si>
    <t>http://www.sp-toiture.com</t>
  </si>
  <si>
    <t xml:space="preserve">Le Plessis-Pate, Ile-de-France, France</t>
  </si>
  <si>
    <t>Pothelet</t>
  </si>
  <si>
    <t xml:space="preserve">SAS POTHELET</t>
  </si>
  <si>
    <t>pothelet@saspothelet.fr</t>
  </si>
  <si>
    <t>http://www.linkedin.com/in/nicolas-pothelet-4710791b1</t>
  </si>
  <si>
    <t>http://www.saspothelet.fr</t>
  </si>
  <si>
    <t>Epernay</t>
  </si>
  <si>
    <t xml:space="preserve">Pierry, Alsace-Champagne-Ardenne-Lorraine, France, 51530</t>
  </si>
  <si>
    <t>Benguigui</t>
  </si>
  <si>
    <t>Kapea</t>
  </si>
  <si>
    <t>david.benguigui@kapea-amo.fr</t>
  </si>
  <si>
    <t>http://www.linkedin.com/in/david-benguigui-81150288</t>
  </si>
  <si>
    <t>http://www.kapea-ke.org</t>
  </si>
  <si>
    <t xml:space="preserve">60 Avenue Gaston Cabannes, Floirac, Aquitaine, France, 33270</t>
  </si>
  <si>
    <t>Artirenov</t>
  </si>
  <si>
    <t>alexandre.sion@artirenov.com</t>
  </si>
  <si>
    <t>http://www.linkedin.com/in/alexandre-sion-09754a18</t>
  </si>
  <si>
    <t>http://www.artirenov-renovation-travaux-49.fr</t>
  </si>
  <si>
    <t xml:space="preserve">Trelaze, Pays de la Loire, France, 49800</t>
  </si>
  <si>
    <t xml:space="preserve">Artirenov, entreprise de rénovation à Angers (49), vous propose ses services pour la rénovation de votre domicile ou de votre lieu de travail.</t>
  </si>
  <si>
    <t>Griset</t>
  </si>
  <si>
    <t xml:space="preserve">GRISET MATÉRIEL</t>
  </si>
  <si>
    <t>r.griset@griset-materiel.fr</t>
  </si>
  <si>
    <t>http://www.linkedin.com/in/roland-griset-13a43958</t>
  </si>
  <si>
    <t>http://www.griset-materiel.fr</t>
  </si>
  <si>
    <t xml:space="preserve">15 Avenue des Fusilles, Arbin, Auvergne-Rhone-Alpes, France, 73800</t>
  </si>
  <si>
    <t xml:space="preserve">Griset Matériel est votre partenaire pour le matériel de chantier BTP, industrie et recyclage : neuf, occasion, location.</t>
  </si>
  <si>
    <t>Bringand</t>
  </si>
  <si>
    <t xml:space="preserve">AXIOM DÉVELOPPEMENT</t>
  </si>
  <si>
    <t>e.bringand@axiom-immobilier.com</t>
  </si>
  <si>
    <t>http://www.linkedin.com/in/edouard-bringand-b3126433</t>
  </si>
  <si>
    <t>http://www.axiom-developpement.com</t>
  </si>
  <si>
    <t xml:space="preserve">267 Boulevard Pereire, Paris, Ile-de-France, France, 75017</t>
  </si>
  <si>
    <t>Martineau</t>
  </si>
  <si>
    <t xml:space="preserve">La Compagnie du logement</t>
  </si>
  <si>
    <t>d.martineau@cie-logement.fr</t>
  </si>
  <si>
    <t>http://www.linkedin.com/in/martineau-damien-509787b0</t>
  </si>
  <si>
    <t>http://www.la-compagnie-du-logement.fr</t>
  </si>
  <si>
    <t xml:space="preserve">6 Rue du Marechal Foch, La Roche-sur-Yon, Pays de la Loire, France, 85000</t>
  </si>
  <si>
    <t>Colomar</t>
  </si>
  <si>
    <t>ARTEIX</t>
  </si>
  <si>
    <t>f.colomar@arteix.com</t>
  </si>
  <si>
    <t>http://www.linkedin.com/in/florian-colomar-91a76894</t>
  </si>
  <si>
    <t>http://www.arteix-ingenierie.com</t>
  </si>
  <si>
    <t xml:space="preserve">Arteix - Maitrise d'oeuvre conception et exécution, OPC et Assistance Maitrise d'Ouvrage</t>
  </si>
  <si>
    <t>Paillardin</t>
  </si>
  <si>
    <t xml:space="preserve">OPH de Saint-Dizier</t>
  </si>
  <si>
    <t>dpaillardin@oph-saintdizier.fr</t>
  </si>
  <si>
    <t>http://www.linkedin.com/in/delphine-paillardin-74b23615b</t>
  </si>
  <si>
    <t>http://www.oph-saintdizier.fr</t>
  </si>
  <si>
    <t>Saint-Dizier</t>
  </si>
  <si>
    <t xml:space="preserve">1 Rue Jean Vilar, Saint-Dizier, Grand Est, France, 52100</t>
  </si>
  <si>
    <t xml:space="preserve">L'OPH Saint-Dizier vous propose une large offre de logements sociaux disponibles à l'achat ou à la location dans la région de Saint-Dizier.</t>
  </si>
  <si>
    <t>Serdar</t>
  </si>
  <si>
    <t>Aksan</t>
  </si>
  <si>
    <t>PRESTIBAT</t>
  </si>
  <si>
    <t>s.aksan@prestibat.com</t>
  </si>
  <si>
    <t>http://www.linkedin.com/in/serdar-aksan-719baab2</t>
  </si>
  <si>
    <t>http://www.groupe-prestibat.com</t>
  </si>
  <si>
    <t xml:space="preserve">14 Rue Lucien Barbier, Argenteuil, Ile-de-France, France, 95100</t>
  </si>
  <si>
    <t xml:space="preserve">Prestibat, entreprise générale de bâtiment.</t>
  </si>
  <si>
    <t>Leonate</t>
  </si>
  <si>
    <t>ANTWAY</t>
  </si>
  <si>
    <t>t-leonate@antway.fr</t>
  </si>
  <si>
    <t>http://www.linkedin.com/in/thomas-leonate-453b08221</t>
  </si>
  <si>
    <t>http://www.antway.fr</t>
  </si>
  <si>
    <t xml:space="preserve">Kilstett, Alsace, France</t>
  </si>
  <si>
    <t>Gakumba</t>
  </si>
  <si>
    <t xml:space="preserve">BexConsult - Founder and General Manager</t>
  </si>
  <si>
    <t>BexConsult</t>
  </si>
  <si>
    <t>alain.gakumba@bex-consult.com</t>
  </si>
  <si>
    <t>http://www.linkedin.com/in/alain-gakumba-06b0915a</t>
  </si>
  <si>
    <t>http://www.bexconsult.fr</t>
  </si>
  <si>
    <t xml:space="preserve">Notre bureau d'études est au centre de vos projets de construction, de rénovation et d'ingénierie et assure des missions de maîtrise d'œuvre, OPC et TCE.</t>
  </si>
  <si>
    <t>Homo</t>
  </si>
  <si>
    <t xml:space="preserve">FER MET ALU</t>
  </si>
  <si>
    <t>julien.homo@fermetalu.com</t>
  </si>
  <si>
    <t>http://www.linkedin.com/in/julienhomo</t>
  </si>
  <si>
    <t>http://www.fermetalu.com</t>
  </si>
  <si>
    <t xml:space="preserve">Rue de la Hautiere, L'Hermitage, Brittany, France, 35590</t>
  </si>
  <si>
    <t xml:space="preserve">Walden solutions</t>
  </si>
  <si>
    <t>s.chanel@walden-solutions.fr</t>
  </si>
  <si>
    <t>http://www.linkedin.com/in/sebastien-c-340112</t>
  </si>
  <si>
    <t>http://www.walden-solutions.fr</t>
  </si>
  <si>
    <t xml:space="preserve">Des solutions durables, redéployables aisément, alliant confort et robustesse.</t>
  </si>
  <si>
    <t>Amieux</t>
  </si>
  <si>
    <t>EXEDIX</t>
  </si>
  <si>
    <t>a.amieux@exedix.fr</t>
  </si>
  <si>
    <t>http://www.linkedin.com/in/antoine-amieux-42b46a103</t>
  </si>
  <si>
    <t>http://www.exedix.fr</t>
  </si>
  <si>
    <t xml:space="preserve">10 Rue Mesnil, Paris, Ile-de-France, France, 75116</t>
  </si>
  <si>
    <t xml:space="preserve">EXEDIX intervient sur toute la chaîne de valeurs d’un ouvrage : conception, construction, exploitation, maintenance et rénovation.</t>
  </si>
  <si>
    <t>Gouva</t>
  </si>
  <si>
    <t xml:space="preserve">FRAISAGE SERVICES</t>
  </si>
  <si>
    <t>arnaud.gouva@fraisageservices.fr</t>
  </si>
  <si>
    <t>http://www.linkedin.com/in/arnaud-gouva-25b68914b</t>
  </si>
  <si>
    <t>http://www.fraisageservices.fr</t>
  </si>
  <si>
    <t>Gargenville</t>
  </si>
  <si>
    <t xml:space="preserve">Sainte-Seve, Brittany, France, 29600</t>
  </si>
  <si>
    <t>Thalmann</t>
  </si>
  <si>
    <t xml:space="preserve">MENUISERIE THALMANN</t>
  </si>
  <si>
    <t>fabien.thalmann@thalmann-lyon.fr</t>
  </si>
  <si>
    <t>http://www.linkedin.com/in/fabien-thalmann-61a86188</t>
  </si>
  <si>
    <t>http://www.menuiserie-thalmann.com</t>
  </si>
  <si>
    <t xml:space="preserve">Route de Sainte-Consorce, Marcy-l'Etoile, Auvergne-Rhone-Alpes, France, 69280</t>
  </si>
  <si>
    <t xml:space="preserve">Menuiserie bois, agencement en Rhone-Alpes depuis 1975. SARL Thalmann Père et fils réalise tous types de projets, publics, tertiaires, promotions immobilières</t>
  </si>
  <si>
    <t>http://www.linkedin.com/in/giancarlo-basile-hospitality</t>
  </si>
  <si>
    <t>Jean-Mathieu</t>
  </si>
  <si>
    <t>Limerat</t>
  </si>
  <si>
    <t xml:space="preserve">Président-directeur général société CREABOIS Beychac et Cailleau</t>
  </si>
  <si>
    <t xml:space="preserve">CREABOIS Menuiserie agencement</t>
  </si>
  <si>
    <t>jm.limerat@creabois.fr</t>
  </si>
  <si>
    <t>http://www.linkedin.com/in/jean-mathieu-limerat-51b42a6a</t>
  </si>
  <si>
    <t>http://www.creabois.fr</t>
  </si>
  <si>
    <t xml:space="preserve">Beychac-et-Caillau, Nouvelle-Aquitaine, France, 33750</t>
  </si>
  <si>
    <t>Chermette</t>
  </si>
  <si>
    <t xml:space="preserve">Les Métronormes</t>
  </si>
  <si>
    <t>s.chermette@lesmetronormes.fr</t>
  </si>
  <si>
    <t>http://www.linkedin.com/in/samuel-chermette-54007470</t>
  </si>
  <si>
    <t>http://www.lesmetronormes.fr</t>
  </si>
  <si>
    <t>Escoville</t>
  </si>
  <si>
    <t xml:space="preserve">21E Rue de Troarn, Escoville, Normandy, France, 14850</t>
  </si>
  <si>
    <t xml:space="preserve">Les Métronormes, assistance à maitrise d'ouvrage et maitrise d'œuvre d'exécution, professionnels de la gestion et du pilotage travaux en second œuvre</t>
  </si>
  <si>
    <t>Revol</t>
  </si>
  <si>
    <t>arevol@roche-et-cie.fr</t>
  </si>
  <si>
    <t>http://www.linkedin.com/in/aur%c3%a9lien-revol-5159b710b</t>
  </si>
  <si>
    <t>http://www.roche-et-cie.fr</t>
  </si>
  <si>
    <t xml:space="preserve">25 Rue Georges Marrane, Venissieux, Auvergne-Rhone-Alpes, France, 69200</t>
  </si>
  <si>
    <t>Tujague</t>
  </si>
  <si>
    <t>EDA</t>
  </si>
  <si>
    <t>d.tujague@eda-france.fr</t>
  </si>
  <si>
    <t>http://www.linkedin.com/in/damien-tujague-a34b0219a</t>
  </si>
  <si>
    <t>http://www.eda-france.fr</t>
  </si>
  <si>
    <t xml:space="preserve">37 Rue de Funas, Bourgoin-Jallieu, Auvergne-Rhone-Alpes, France, 38300</t>
  </si>
  <si>
    <t xml:space="preserve">EDA conception, installation de solutions innovantes sur mesure, en éclairement et désenfumage naturel des bâtiments et rafraîchissement des locaux.</t>
  </si>
  <si>
    <t>Elshani</t>
  </si>
  <si>
    <t xml:space="preserve">NEOLER ENERGIE</t>
  </si>
  <si>
    <t>a.elshani@neoler.com</t>
  </si>
  <si>
    <t>http://www.linkedin.com/in/alban-elshani-734a06a0</t>
  </si>
  <si>
    <t>http://www.neoler.com</t>
  </si>
  <si>
    <t>Conflans-Sainte-Honorine</t>
  </si>
  <si>
    <t xml:space="preserve">9 Quai de l'Ile du Bac, Conflans-Sainte-Honorine, Ile-de-France, France, 78700</t>
  </si>
  <si>
    <t xml:space="preserve">NEOLER est une entreprise spécialisée dans le secours et la production d'énergie pour assurer la continuité d’alimentation en énergie.</t>
  </si>
  <si>
    <t>OXYMONTAGE</t>
  </si>
  <si>
    <t>andre.herry@oxymontage.fr</t>
  </si>
  <si>
    <t>http://www.linkedin.com/in/andr%c3%a9-herry-3842b7285</t>
  </si>
  <si>
    <t>http://www.oxymontage.com</t>
  </si>
  <si>
    <t>Loctudy</t>
  </si>
  <si>
    <t xml:space="preserve">Saint-Divy, Brittany, France, 29800</t>
  </si>
  <si>
    <t>Zlatko</t>
  </si>
  <si>
    <t>Kristic</t>
  </si>
  <si>
    <t>A.M.D.F</t>
  </si>
  <si>
    <t>kz@amdf.fr</t>
  </si>
  <si>
    <t>http://www.linkedin.com/in/zlatko-kristic-38652943</t>
  </si>
  <si>
    <t>http://www.amdf.fr</t>
  </si>
  <si>
    <t xml:space="preserve">10 Rue Vieille-Forge, Vanves, Ile-de-France, France, 92170</t>
  </si>
  <si>
    <t xml:space="preserve">Directeur général Pôle production</t>
  </si>
  <si>
    <t xml:space="preserve">Menuiserie Bonnardel</t>
  </si>
  <si>
    <t>arenard@bonnardel.fr</t>
  </si>
  <si>
    <t>http://www.linkedin.com/in/arnaud-renard-65156125a</t>
  </si>
  <si>
    <t>http://www.bonnardel.fr</t>
  </si>
  <si>
    <t>Vulaines-sur-Seine</t>
  </si>
  <si>
    <t xml:space="preserve">Vulaines-sur-Seine, Ile-de-France, France, 77870</t>
  </si>
  <si>
    <t xml:space="preserve">Bonnardel - Menuiserie Bonnardel, agencement sur mesure intérieur et extérieur. Notre savoir-faire : conseiller, concevoir, construire et agencer.</t>
  </si>
  <si>
    <t>Meurillon</t>
  </si>
  <si>
    <t xml:space="preserve">Nys et Cie</t>
  </si>
  <si>
    <t>ameurillon@nys.fr</t>
  </si>
  <si>
    <t>http://www.linkedin.com/in/alexis-meurillon-92bb31a0</t>
  </si>
  <si>
    <t>http://www.nys.fr</t>
  </si>
  <si>
    <t xml:space="preserve">1 Rue Eugene-Imbert de la Phalecque, Lille, Hauts-de-France, France, 59160</t>
  </si>
  <si>
    <t>Heurtebize</t>
  </si>
  <si>
    <t xml:space="preserve">FACEB SAS</t>
  </si>
  <si>
    <t>j.heurtebize@befaceb.fr</t>
  </si>
  <si>
    <t>http://www.linkedin.com/in/julien-heurtebize-77191ab0</t>
  </si>
  <si>
    <t>http://www.befaceb.fr</t>
  </si>
  <si>
    <t xml:space="preserve">FACEB est un bureau d’études techniques spécialisé dans l’enveloppe du bâtiment, pour des architectes, maîtrise d’œuvre, maîtrise d’ouvrage</t>
  </si>
  <si>
    <t>Chalmin</t>
  </si>
  <si>
    <t xml:space="preserve">PACT ACIER &amp; COMPOSITE</t>
  </si>
  <si>
    <t>f.chalmin@pactsnz.fr</t>
  </si>
  <si>
    <t>http://www.linkedin.com/in/frederic-chalmin-6429548</t>
  </si>
  <si>
    <t>http://www.pactsnz.fr</t>
  </si>
  <si>
    <t xml:space="preserve">Chaponnay, Auvergne-Rhone-Alpes, France, 69970</t>
  </si>
  <si>
    <t xml:space="preserve">PACT est un ensemblier en tuyauterie industrielle qui vous accompagne dans toutes les étapes de votre projet. Contactez-nous !</t>
  </si>
  <si>
    <t>Cardineau</t>
  </si>
  <si>
    <t>DIESE</t>
  </si>
  <si>
    <t>rcardineau@betdiese.fr</t>
  </si>
  <si>
    <t>http://www.linkedin.com/in/romain-cardineau-1b79873a</t>
  </si>
  <si>
    <t>http://www.betdiese.fr</t>
  </si>
  <si>
    <t xml:space="preserve">Rue Isabelle Autissier, Lagord, Nouvelle-Aquitaine, France, 17140</t>
  </si>
  <si>
    <t xml:space="preserve">Bureau d'études fluides, énergies et bas carbone - La Rochelle</t>
  </si>
  <si>
    <t>Flucklinger</t>
  </si>
  <si>
    <t>FLUCKLINGER</t>
  </si>
  <si>
    <t>jflucklinger@flucklinger.com</t>
  </si>
  <si>
    <t>http://www.linkedin.com/in/flucklinger-j%c3%a9rome-1199b8105</t>
  </si>
  <si>
    <t>http://www.flucklinger.com</t>
  </si>
  <si>
    <t xml:space="preserve">123 Boulevard Saint-Symphorien, Longeville-les-Metz, Grand Est, France, 57050</t>
  </si>
  <si>
    <t xml:space="preserve">ABBS HABITAT</t>
  </si>
  <si>
    <t>bryanspitz@abbs-habitat.fr</t>
  </si>
  <si>
    <t>http://www.linkedin.com/in/bryan-spitz-06593a19a</t>
  </si>
  <si>
    <t>http://www.abbs-habitat.fr</t>
  </si>
  <si>
    <t xml:space="preserve">4 Impasse Andre Citroen, Les Sables-d'Olonne, Pays de la Loire, France, 85340</t>
  </si>
  <si>
    <t xml:space="preserve">ABBS Habitat est le spécialiste de la rénovation de la toiture, façade et isolation sur Les Sables d'Olonne en Vendée.</t>
  </si>
  <si>
    <t>Jouan</t>
  </si>
  <si>
    <t>r.jouan@horizoncr.com</t>
  </si>
  <si>
    <t>http://www.linkedin.com/in/romain-jouan-700b03182</t>
  </si>
  <si>
    <t xml:space="preserve">ROLANDO &amp; POISSON</t>
  </si>
  <si>
    <t>edouard@rolando-poisson.fr</t>
  </si>
  <si>
    <t>http://www.linkedin.com/in/edouard-poisson-079b47171</t>
  </si>
  <si>
    <t>http://www.rolandopoisson.fr</t>
  </si>
  <si>
    <t xml:space="preserve">Saint-Fons, Auvergne-Rhone-Alpes, France</t>
  </si>
  <si>
    <t>Patxi</t>
  </si>
  <si>
    <t>Elichiry</t>
  </si>
  <si>
    <t xml:space="preserve">PELATIS sas</t>
  </si>
  <si>
    <t>patxi@pelatis.fr</t>
  </si>
  <si>
    <t>http://www.linkedin.com/in/patxi-elichiry</t>
  </si>
  <si>
    <t>http://www.pelatis.fr</t>
  </si>
  <si>
    <t xml:space="preserve">Bagneux, Ile-de-France, France</t>
  </si>
  <si>
    <t>Mazza</t>
  </si>
  <si>
    <t xml:space="preserve">Zénith Constructions</t>
  </si>
  <si>
    <t>patrice@maisonszenith.fr</t>
  </si>
  <si>
    <t>http://www.linkedin.com/in/patrice-mazza-5256391a3</t>
  </si>
  <si>
    <t>http://www.maisonszenith.com</t>
  </si>
  <si>
    <t xml:space="preserve">Mamirolle, Franche-Comte, France, 25620</t>
  </si>
  <si>
    <t xml:space="preserve">Zénith Constructions vous accompagne dans votre projet de construction dans la région Bourgogne Franche-Comté avec l'aide de son équipe.</t>
  </si>
  <si>
    <t>Partouche</t>
  </si>
  <si>
    <t xml:space="preserve">Bureau Sécurite de l'Habitat</t>
  </si>
  <si>
    <t>jonathan.partouche@bsh-france.fr</t>
  </si>
  <si>
    <t>http://www.linkedin.com/in/jonathan-partouche-865711216</t>
  </si>
  <si>
    <t>http://www.bsh-france.fr</t>
  </si>
  <si>
    <t xml:space="preserve">30 Chemin de la Violette, L'Union, Occitanie, France, 31240</t>
  </si>
  <si>
    <t xml:space="preserve">Bénéficiez de l'expertise et du savoir-faire de notre entreprise en bâtiment. Nous vous accompagnons dans plusieurs travaux concernant votre maison.</t>
  </si>
  <si>
    <t>Jefferson</t>
  </si>
  <si>
    <t>Crispet</t>
  </si>
  <si>
    <t xml:space="preserve">Directeur général / Coordinateur SSI, préventionniste et ingénieur MOE</t>
  </si>
  <si>
    <t xml:space="preserve">CJC Consulting</t>
  </si>
  <si>
    <t>jefferson.crispet@cjc-consulting.fr</t>
  </si>
  <si>
    <t>http://www.linkedin.com/in/jefmarshall</t>
  </si>
  <si>
    <t>http://www.cjc-consulting.fr</t>
  </si>
  <si>
    <t>Epinay-sur-Seine</t>
  </si>
  <si>
    <t xml:space="preserve">62 Rue de Fecamp, Paris, Ile-de-France, France, 75012</t>
  </si>
  <si>
    <t xml:space="preserve">BET spécialisé en sécurité incendie et accessibilité handicapée (coordinateur SSI, préventionniste, maître d'œuvre), CJ2C assure la conformité de vos projets de construction ou d'aménagement (ERP, IGH, bureaux, ICPE).</t>
  </si>
  <si>
    <t>Galibert</t>
  </si>
  <si>
    <t xml:space="preserve">ATB AGENCEMENT</t>
  </si>
  <si>
    <t>bg@atb-agencement.com</t>
  </si>
  <si>
    <t>http://www.linkedin.com/in/bastien-galibert-183ab4101</t>
  </si>
  <si>
    <t>http://www.atb-agencement.com</t>
  </si>
  <si>
    <t xml:space="preserve">11 Rue des Entrepreneurs, Carrieres-sur-Seine, Ile-de-France, France, 78420</t>
  </si>
  <si>
    <t xml:space="preserve">Spécialiste de l'agencement sur mesure des espaces tertiaires dans toute la France. Conception, fabrication et installation depuis 2017.</t>
  </si>
  <si>
    <t>Paillat</t>
  </si>
  <si>
    <t xml:space="preserve">Barbarit-Texier 85</t>
  </si>
  <si>
    <t>stephane@barbarittexier.fr</t>
  </si>
  <si>
    <t>http://www.linkedin.com/in/stephane-paillat-47204b181</t>
  </si>
  <si>
    <t>http://www.barbarittexier.fr</t>
  </si>
  <si>
    <t xml:space="preserve">40 Rue du Chateau d'Eau, La Ferriere, Pays de la Loire, France, 85280</t>
  </si>
  <si>
    <t xml:space="preserve">L’entreprise Barbarit Texier et ses menuisiers à la Ferrière vous font part depuis 20 ans de leur savoir-faire pour la réalisation de projets en menuiserie, rénovation et construction bois.</t>
  </si>
  <si>
    <t>Paemelaere</t>
  </si>
  <si>
    <t>Yalink</t>
  </si>
  <si>
    <t>antoine@yalink.fr</t>
  </si>
  <si>
    <t>http://www.linkedin.com/in/antoine-paemelaere</t>
  </si>
  <si>
    <t>http://www.yalink.fr</t>
  </si>
  <si>
    <t>Subclic</t>
  </si>
  <si>
    <t>b.guy@subclic.com</t>
  </si>
  <si>
    <t>http://www.linkedin.com/in/benjamin-guy-11418913b</t>
  </si>
  <si>
    <t>http://www.subclic.com</t>
  </si>
  <si>
    <t xml:space="preserve">67 Rue Sylvabelle, Marseille, Provence-Alpes-Cote d'Azur, France, 13006</t>
  </si>
  <si>
    <t xml:space="preserve">La plateforme n°1 pour centraliser, contractualiser et piloter vos 
sous-traitants.</t>
  </si>
  <si>
    <t>Riffet</t>
  </si>
  <si>
    <t xml:space="preserve">RGA Bureau d'Étude Technique</t>
  </si>
  <si>
    <t>stephanie.riffet@rgabet.fr</t>
  </si>
  <si>
    <t>http://www.linkedin.com/in/st%c3%a9phanie-riffet-637007a5</t>
  </si>
  <si>
    <t>http://www.rgabet.com</t>
  </si>
  <si>
    <t xml:space="preserve">9 Rue Joyeuse, Bourges, Centre, France, 18000</t>
  </si>
  <si>
    <t xml:space="preserve">Le bureau d'étude technique RGA est reconnu dans le domaine de la construction. Ingénieur CVC, Ingénieur génie climatique, Projeteur CVC ou encore Technicien CVC travaillent ensemble pour des clients prestigieux issus des secteurs de l'industrie, la santé ou le tertiaire. Bureaux situés à Bourges et à Toulouse.</t>
  </si>
  <si>
    <t>SPAC95</t>
  </si>
  <si>
    <t>c.guerin@spac95.net</t>
  </si>
  <si>
    <t>http://www.linkedin.com/in/cedric-guerin-880594a5</t>
  </si>
  <si>
    <t>http://www.spac95.net</t>
  </si>
  <si>
    <t xml:space="preserve">Goussainville, Ile-de-France, France</t>
  </si>
  <si>
    <t xml:space="preserve">Nous réalisons des solutions personnalisées et créatives pour l’aménagement de petites et moyennes surfaces ainsi que des projets de grande envergure.</t>
  </si>
  <si>
    <t>Hartweg</t>
  </si>
  <si>
    <t xml:space="preserve">SPL Deux-Rives Strasbourg</t>
  </si>
  <si>
    <t>eric.hartweg@spldeuxrives.eu</t>
  </si>
  <si>
    <t>http://www.linkedin.com/in/eric-hartweg-33544793</t>
  </si>
  <si>
    <t>http://www.spldeuxrives.eu</t>
  </si>
  <si>
    <t xml:space="preserve">3 Rue de la Cooperative, Strasbourg, Grand Est, France, 67000</t>
  </si>
  <si>
    <t xml:space="preserve">Le projet Deux Rives / Zwei Ufer rapproche Strasbourg et Kehl am Rhein pour créer un espace urbain transfrontalier avec le Rhin comme trait d'union.</t>
  </si>
  <si>
    <t>Pepin</t>
  </si>
  <si>
    <t>vincent@yalink.fr</t>
  </si>
  <si>
    <t>http://www.linkedin.com/in/vincentpepin</t>
  </si>
  <si>
    <t>Fiquet</t>
  </si>
  <si>
    <t xml:space="preserve">delTa REALISATION</t>
  </si>
  <si>
    <t>lfiquet@deltarealisation.com</t>
  </si>
  <si>
    <t>http://www.linkedin.com/in/lo%c3%afc-fiquet-a7907581</t>
  </si>
  <si>
    <t>http://www.deltarealisation.com</t>
  </si>
  <si>
    <t xml:space="preserve">Les Tourrades, Mandelieu-La Napoule, Provence-Alpes-Cote d'Azur, France, 06210</t>
  </si>
  <si>
    <t xml:space="preserve">Construction de locaux professionnels, rénovation de bâtiments, delTa réalisation vous accompagne depuis la conception jusqu’à la réalisation.</t>
  </si>
  <si>
    <t>SUDETEC</t>
  </si>
  <si>
    <t>alaurent@sudetec.fr</t>
  </si>
  <si>
    <t>http://www.linkedin.com/in/arnaud-laurent-a98b33b5</t>
  </si>
  <si>
    <t>http://www.sudetec.fr</t>
  </si>
  <si>
    <t xml:space="preserve">950 Avenue Roumanille, Provence-Alpes-Cote d'Azur, France, 06410</t>
  </si>
  <si>
    <t>Delaunay</t>
  </si>
  <si>
    <t xml:space="preserve">LES MAISONS RENNAISES</t>
  </si>
  <si>
    <t>aude.delaunay@maisons-rennaises.fr</t>
  </si>
  <si>
    <t>http://www.linkedin.com/in/aude-delaunay-2868bb69</t>
  </si>
  <si>
    <t>http://www.maisons-rennaises.fr</t>
  </si>
  <si>
    <t xml:space="preserve">8 Rue Maurice Fabre, Rennes, Brittany, France, 35000</t>
  </si>
  <si>
    <t>Lecuiller</t>
  </si>
  <si>
    <t xml:space="preserve">Directeur Général cofondateur</t>
  </si>
  <si>
    <t>ARKEGREEN</t>
  </si>
  <si>
    <t>david.lecuiller@arkegreen.com</t>
  </si>
  <si>
    <t>http://www.linkedin.com/in/davidlecuiller</t>
  </si>
  <si>
    <t>http://www.arkegreen.com</t>
  </si>
  <si>
    <t xml:space="preserve">11 Rue Georges Melies, Cormeilles-en-Parisis, Ile-de-France, France, 95240</t>
  </si>
  <si>
    <t xml:space="preserve">Arkegreen propose aux particuliers, professionnels de l’hôtellerie de plein air et collectivités des habitations low carbon et à moindre coût.</t>
  </si>
  <si>
    <t xml:space="preserve">WELDS ENERGY</t>
  </si>
  <si>
    <t>mpereira@weldsenergy.fr</t>
  </si>
  <si>
    <t>http://www.linkedin.com/in/marco-pereira-8b8b01283</t>
  </si>
  <si>
    <t>http://www.weldsenergy.fr</t>
  </si>
  <si>
    <t xml:space="preserve">40 Rue Charles Mory, Draveil, Ile-de-France, France, 91210</t>
  </si>
  <si>
    <t xml:space="preserve">Filiale du groupe Arena Holding, Welds Energy réalise tout type de soudures en acier, inox, cuivre, polyéthylène et plomb. Réalisation de conduites d’immeubles et conduites montantes, chaufferies à la construction et raccordement de réseaux industriels</t>
  </si>
  <si>
    <t>BATIVRD</t>
  </si>
  <si>
    <t>edouard@bativrd.com</t>
  </si>
  <si>
    <t>http://www.linkedin.com/in/edouard-p%c3%a9ri%c3%a9-6b811171</t>
  </si>
  <si>
    <t>http://www.bativrd.com</t>
  </si>
  <si>
    <t xml:space="preserve">Le Chateau, Gustavia, Saint Barthelemy, 97133</t>
  </si>
  <si>
    <t>Garbutt</t>
  </si>
  <si>
    <t xml:space="preserve">DESIGN BOX</t>
  </si>
  <si>
    <t>p.garbutt@db-structures.com</t>
  </si>
  <si>
    <t>http://www.linkedin.com/in/philip-garbutt-27234931</t>
  </si>
  <si>
    <t>http://www.db-structures.com</t>
  </si>
  <si>
    <t xml:space="preserve">5 Boulevard de la Marne, Rouen, Upper Normandy, France, 76000</t>
  </si>
  <si>
    <t xml:space="preserve">Design Box offers a cutting-edge structural service to building owners, architects and companies.</t>
  </si>
  <si>
    <t>Montegut</t>
  </si>
  <si>
    <t xml:space="preserve">Cofondateur, CIO &amp; COO</t>
  </si>
  <si>
    <t>360SmartConnect</t>
  </si>
  <si>
    <t>lm@360sc.io</t>
  </si>
  <si>
    <t>http://www.linkedin.com/in/laurentmontegut</t>
  </si>
  <si>
    <t>http://www.360sc.io</t>
  </si>
  <si>
    <t xml:space="preserve">19 Avenue de la Gare, Trans-en-Provence, Provence-Alpes-Cote d'Azur, France, 83720</t>
  </si>
  <si>
    <t xml:space="preserve">Communiquez de manière ouverte, structurée et sécurisée, les informations liées à vos produits ou ouvrages avec des tiers connus ou inconnus.</t>
  </si>
  <si>
    <t>Pinart</t>
  </si>
  <si>
    <t>CHAIGNARD</t>
  </si>
  <si>
    <t>jerome.pinart@chaignard.fr</t>
  </si>
  <si>
    <t>http://www.linkedin.com/in/jeromepinart</t>
  </si>
  <si>
    <t>http://www.chaignard.fr</t>
  </si>
  <si>
    <t xml:space="preserve">Ambrieres-les-Vallees, Pays de la Loire, France</t>
  </si>
  <si>
    <t xml:space="preserve">CHAIGNARD fabrique et pose des bâtiments, hangars sur-mesure pour le secteur agricole, élevage, industriel avec des panneaux photovoltaiques.</t>
  </si>
  <si>
    <t>Chifor</t>
  </si>
  <si>
    <t xml:space="preserve">KRT Groupe</t>
  </si>
  <si>
    <t>m.chifor@krt-construction.com</t>
  </si>
  <si>
    <t>http://www.linkedin.com/in/mario-chifor-28590517b</t>
  </si>
  <si>
    <t>http://www.krtgroupe.fr</t>
  </si>
  <si>
    <t xml:space="preserve">142 Rue Paul Vaillant Couturier, Neuilly-sur-Marne, Ile-de-France, France, 93330</t>
  </si>
  <si>
    <t>Carboni</t>
  </si>
  <si>
    <t xml:space="preserve">Arma Groupe</t>
  </si>
  <si>
    <t>c.carboni@armagroupe.fr</t>
  </si>
  <si>
    <t>http://www.linkedin.com/in/cyril-carboni-58070a4</t>
  </si>
  <si>
    <t>http://www.armatures.fr</t>
  </si>
  <si>
    <t>Tournan-en-Brie</t>
  </si>
  <si>
    <t xml:space="preserve">9 Rue Gustave Eiffel, Tournan-en-Brie, Ile-de-France, France, 77220</t>
  </si>
  <si>
    <t xml:space="preserve">Parmi les leaders du marché de l’armature pour le béton armé, ARMA GROUPE, c’est 30 ans d’expérience au service des entreprises du BTP et du Génie Civil.</t>
  </si>
  <si>
    <t>Genevieve</t>
  </si>
  <si>
    <t>Marais</t>
  </si>
  <si>
    <t xml:space="preserve">AquaTech Innovation</t>
  </si>
  <si>
    <t>genevieve.marais@aquatech-innovation.com</t>
  </si>
  <si>
    <t>http://www.linkedin.com/in/genevi%c3%a8ve-marais-2b7383b5</t>
  </si>
  <si>
    <t>http://www.aquatech-innovation.com</t>
  </si>
  <si>
    <t xml:space="preserve">140 Avenue de la Reglisse, Montpellier, Occitanie, France, 34070</t>
  </si>
  <si>
    <t xml:space="preserve">AquaTech Innovation, acteur opérationnel de la Green Tech, développe des solutions pour préserver l’eau. Découvrez nos produits 100% biologique pour le traitement des eaux usées et le recyclage-régénération des eaux de piscines.”</t>
  </si>
  <si>
    <t xml:space="preserve">RENOVAL ABRIS piscine et terrasse</t>
  </si>
  <si>
    <t>o.dixneuf@renoval.com</t>
  </si>
  <si>
    <t>http://www.linkedin.com/in/olivier-dixneuf-32ab77a8</t>
  </si>
  <si>
    <t>http://www.renoval-abris-piscine.com</t>
  </si>
  <si>
    <t>Saint-Philbert-de-Bouaine</t>
  </si>
  <si>
    <t xml:space="preserve">Sevremoine, Pays de la Loire, France, 49230</t>
  </si>
  <si>
    <t xml:space="preserve">Fabricant d'ABRIS de PISCINE et de TERRASSE en aluminium. Découvrez la technologie Prestige DOUBLE VITRAGE 16 et 20mm à isolation renforcée + Verre feuilleté. Plus de 80 agences près de chez vous - Fabrication 100% française. Haut de gamme +.</t>
  </si>
  <si>
    <t>Peiller</t>
  </si>
  <si>
    <t xml:space="preserve">Groupe Despretz</t>
  </si>
  <si>
    <t>rpeiller@groupe-despretz.fr</t>
  </si>
  <si>
    <t>http://www.linkedin.com/in/r%c3%a9mi-peiller-64a592151</t>
  </si>
  <si>
    <t>http://www.groupe-despretz.fr</t>
  </si>
  <si>
    <t xml:space="preserve">Beaugency, Centre-Val de Loire, France, 45190</t>
  </si>
  <si>
    <t>Campo</t>
  </si>
  <si>
    <t xml:space="preserve">SOCABAT Construction</t>
  </si>
  <si>
    <t>b.campo@socabat-construction.fr</t>
  </si>
  <si>
    <t>http://www.linkedin.com/in/brice-campo-67917a180</t>
  </si>
  <si>
    <t>http://www.so-ca-bat.fr</t>
  </si>
  <si>
    <t>Saint-Lary-Soulan</t>
  </si>
  <si>
    <t xml:space="preserve">8 Chemin de Vielle Aure, Vignec, Occitanie, France, 65170</t>
  </si>
  <si>
    <t xml:space="preserve">L'ensemble de l'équipe de la Société CAMPO Bâtiment Toiture  "SOCABAT" est heureuse de vous accueillir sur son site et vous invite à découvrir ses réalisations.</t>
  </si>
  <si>
    <t>Jorda</t>
  </si>
  <si>
    <t xml:space="preserve">ART DECOR</t>
  </si>
  <si>
    <t>pierre.jorda@artdecor78.fr</t>
  </si>
  <si>
    <t>http://www.linkedin.com/in/pierre-jorda-159096198</t>
  </si>
  <si>
    <t>http://www.artdecor78.com</t>
  </si>
  <si>
    <t xml:space="preserve">26 Rue Sadi-Carnot, Rambouillet, Ile-de-France, France, 78120</t>
  </si>
  <si>
    <t xml:space="preserve">BATIMENT SERVICE SAS</t>
  </si>
  <si>
    <t>aschwartz@batiment-service.fr</t>
  </si>
  <si>
    <t>http://www.linkedin.com/in/alain-schwartz-a059b2129</t>
  </si>
  <si>
    <t>http://www.batiment-service.fr</t>
  </si>
  <si>
    <t xml:space="preserve">CAPAVENIR, Grand Est, France, 88150</t>
  </si>
  <si>
    <t xml:space="preserve">Charpente métallique, Couverture, Bardage : Bâtiment Service répond à tous vos projets de bâtiments industriels ou commerciaux : construction neuve, rénovation, entretien, isolation - Vosges Alsace Lorraine</t>
  </si>
  <si>
    <t xml:space="preserve">AEB ELECTRICITE</t>
  </si>
  <si>
    <t>s.gauthier@aebelectricite.com</t>
  </si>
  <si>
    <t>http://www.linkedin.com/in/st%c3%a9phane-gauthier-b506961bb</t>
  </si>
  <si>
    <t>http://www.aebelectricite.com</t>
  </si>
  <si>
    <t xml:space="preserve">Saint-Germain-du-Puy, Centre, France</t>
  </si>
  <si>
    <t>Allali</t>
  </si>
  <si>
    <t xml:space="preserve">KALIA Menuiserie</t>
  </si>
  <si>
    <t>karim.allali@kalia-menuiserie.fr</t>
  </si>
  <si>
    <t>http://www.linkedin.com/in/karim-allali-010256103</t>
  </si>
  <si>
    <t>http://www.kalia-menuiserie.fr</t>
  </si>
  <si>
    <t>Meffre</t>
  </si>
  <si>
    <t xml:space="preserve">TEYSSIER Travaux Publics</t>
  </si>
  <si>
    <t>eric.meffre@sas-teyssier.com</t>
  </si>
  <si>
    <t>http://www.linkedin.com/in/eric-meffre-b56880125</t>
  </si>
  <si>
    <t>http://www.sas-teyssier.com</t>
  </si>
  <si>
    <t xml:space="preserve">Vaison-la-Romaine, Provence-Alpes-Cote d'Azur, France, 84110</t>
  </si>
  <si>
    <t xml:space="preserve">TEYSSIER Travaux Publics est une société de BTP spécialisée dans la réalisation des réseaux secs et réseaux humides, travaux VRD</t>
  </si>
  <si>
    <t>Capitaine</t>
  </si>
  <si>
    <t xml:space="preserve">Co-fondateur &amp; Co-gérant - Société CAPPEL</t>
  </si>
  <si>
    <t>CAPPEL</t>
  </si>
  <si>
    <t>v.capitaine@cappel.fr</t>
  </si>
  <si>
    <t>http://www.linkedin.com/in/vincent-capitaine-72a153124</t>
  </si>
  <si>
    <t>http://www.cappel.fr</t>
  </si>
  <si>
    <t xml:space="preserve">Voisins-le-Bretonneux, Ile-de-France, France, 78960</t>
  </si>
  <si>
    <t>Chemlali</t>
  </si>
  <si>
    <t xml:space="preserve">ACR PATRIMOINE</t>
  </si>
  <si>
    <t>j.chemlali@acrpatrimoine.com</t>
  </si>
  <si>
    <t>http://www.linkedin.com/in/jonathan-chemlali-1403201b7</t>
  </si>
  <si>
    <t>http://www.acrpatrimoine.fr</t>
  </si>
  <si>
    <t xml:space="preserve">8 Allee Henri Hugon, La Chaussee-Saint-Victor, Centre-Val de Loire, France, 41260</t>
  </si>
  <si>
    <t>Maho</t>
  </si>
  <si>
    <t xml:space="preserve">Groupe MAHO</t>
  </si>
  <si>
    <t>pierremarie.maho@maho.fr</t>
  </si>
  <si>
    <t>http://www.linkedin.com/in/pierre-marie-maho-0a8553b7</t>
  </si>
  <si>
    <t>http://www.maho.fr</t>
  </si>
  <si>
    <t xml:space="preserve">Lieu-dit Ty Er Douar, Baud, Brittany, France, 56150</t>
  </si>
  <si>
    <t>Chassain</t>
  </si>
  <si>
    <t xml:space="preserve">Directeur général Groupe AléaTec</t>
  </si>
  <si>
    <t xml:space="preserve">Groupe AléaTec</t>
  </si>
  <si>
    <t>alexis.chassain@groupe-aleatec.com</t>
  </si>
  <si>
    <t>http://www.linkedin.com/in/alexis-chassain-b1782286</t>
  </si>
  <si>
    <t>http://www.groupe-aleatec.com</t>
  </si>
  <si>
    <t xml:space="preserve">60 Rue de Melun, Saint-Augustin, Ile-de-France, France, 77515</t>
  </si>
  <si>
    <t xml:space="preserve">Groupe AléaTec est un bureau spécialiste du contrôle technique, de la coordination SPS et de l'inspection du bâtiment et de la construction</t>
  </si>
  <si>
    <t xml:space="preserve">CARDONNEL Ingénierie</t>
  </si>
  <si>
    <t>julien.garnier@cardonnel.fr</t>
  </si>
  <si>
    <t>http://www.linkedin.com/in/julien-garnier-11860356</t>
  </si>
  <si>
    <t>http://www.cardonnel.fr</t>
  </si>
  <si>
    <t xml:space="preserve">11 Rue Georges Charpak, Lieusaint, Ile-de-France, France, 77127</t>
  </si>
  <si>
    <t xml:space="preserve">Reprise CARDONNEL Ingénierie par IE Conseil (Bureau d'études) et G1Besoin (Audits Maisons individuelles et développements et distribution d'outils numériques)</t>
  </si>
  <si>
    <t>Russail</t>
  </si>
  <si>
    <t>REUX</t>
  </si>
  <si>
    <t>antoine@reuxtravaux.fr</t>
  </si>
  <si>
    <t>http://www.linkedin.com/in/antoine-russail-7bb47048</t>
  </si>
  <si>
    <t>http://www.reuxtravaux.fr</t>
  </si>
  <si>
    <t xml:space="preserve">54 Rue Saint-Honore, Fontainebleau, Ile-de-France, France, 77300</t>
  </si>
  <si>
    <t xml:space="preserve">Si vous êtes à la recherche d’une entreprise de peinture en Seine-et-Marne (77) afin de réaliser des travaux de peinture dans une maison ou un appartement, Reux Peinture est l’entreprise qu’il vous faut ! Nos artisans peintres vous proposent des travaux de peinture et décoration d’une grande qualité. Nous nous spécialisons aussi bien dans les travaux de peinture intérieurs qu’extérieurs.</t>
  </si>
  <si>
    <t>Erwann</t>
  </si>
  <si>
    <t>Belleguic</t>
  </si>
  <si>
    <t xml:space="preserve">CEME MOREAU</t>
  </si>
  <si>
    <t>ebelleguic@ceme-sa.com</t>
  </si>
  <si>
    <t>http://www.linkedin.com/in/erwann-belleguic-7614ab140</t>
  </si>
  <si>
    <t>http://www.ceme.pro</t>
  </si>
  <si>
    <t xml:space="preserve">Zone Industrielle des Dorices, Vallet, Pays de la Loire, France, 44330</t>
  </si>
  <si>
    <t xml:space="preserve">Le groupe CEME associe ses expertises en génie électrique, génie climatique et maintenance pour répondre aux besoins de ses clients dans de nombreux secteurs d'activité.</t>
  </si>
  <si>
    <t>Gitzhofer</t>
  </si>
  <si>
    <t>EUROGRANULATS</t>
  </si>
  <si>
    <t>mathieu.gitzhofer@eurogranulats.fr</t>
  </si>
  <si>
    <t>http://www.linkedin.com/in/mathieu-gitzhofer-2ab699a4</t>
  </si>
  <si>
    <t>http://www.eurogranulats.fr</t>
  </si>
  <si>
    <t xml:space="preserve">30 Rue du Canal, Hauconcourt, Grand Est, France, 57280</t>
  </si>
  <si>
    <t xml:space="preserve">Des activités innovantes et respectueuses de l’environnement pour une construction durable. Créé en 1991, l'entreprise EUROGRANULATS regroupe 5 carrières de granulats naturels, 10 sites de production de granulats sidérurgiques, 9 installations de stockage et valorisation de déchets inertes, et une installation de stockage de déchet d'amiante lié.</t>
  </si>
  <si>
    <t xml:space="preserve">MARCEL FRANCE MECANO GALVA</t>
  </si>
  <si>
    <t>c.marin@mfmg.fr</t>
  </si>
  <si>
    <t>http://www.linkedin.com/in/c%c3%a9dric-marin-08b312243</t>
  </si>
  <si>
    <t>http://www.mfmg.fr</t>
  </si>
  <si>
    <t>Vrigne-aux-Bois</t>
  </si>
  <si>
    <t xml:space="preserve">Vrigne-aux-Bois, Grand Est, France</t>
  </si>
  <si>
    <t xml:space="preserve">Tolerie - Mecano Soudure | Traitement de surface | Usinage | Montage MARCEL FRANCE MECANO GALVA</t>
  </si>
  <si>
    <t>Specklin</t>
  </si>
  <si>
    <t xml:space="preserve">Arcades solutions</t>
  </si>
  <si>
    <t>alexandre@arcades-solutions.fr</t>
  </si>
  <si>
    <t>http://www.linkedin.com/in/alexandre-specklin-373736b3</t>
  </si>
  <si>
    <t>http://www.arcades-solutions.fr</t>
  </si>
  <si>
    <t>LOWCALBAT</t>
  </si>
  <si>
    <t>laurence.druon@lowcalbat.fr</t>
  </si>
  <si>
    <t>http://www.linkedin.com/in/laurence-druon-24b059159</t>
  </si>
  <si>
    <t>http://www.lowcalbat.fr</t>
  </si>
  <si>
    <t xml:space="preserve">112 Route Nationale, Marquion, Hauts-de-France, France, 62860</t>
  </si>
  <si>
    <t xml:space="preserve">Thermie France - Lowcalbat, spécialiste en travaux d'isolation pour les pros. Collectivités, bailleurs, TCE... confiez vos travaux d'isolation au n°1 régional.</t>
  </si>
  <si>
    <t>Labbane</t>
  </si>
  <si>
    <t>LABALU</t>
  </si>
  <si>
    <t>mohamed.labbane@labalu.fr</t>
  </si>
  <si>
    <t>http://www.linkedin.com/in/mohamed-labalu-labbane-67b7a3124</t>
  </si>
  <si>
    <t>http://www.labalu.com</t>
  </si>
  <si>
    <t xml:space="preserve">56 Rue Maurice Flandin, Lyon, Auvergne-Rhone-Alpes, France, 69003</t>
  </si>
  <si>
    <t>Belarouci</t>
  </si>
  <si>
    <t>Batexpert</t>
  </si>
  <si>
    <t>samir.belarouci@batexpert.fr</t>
  </si>
  <si>
    <t>http://www.linkedin.com/in/samir-belarouci-ab9930155</t>
  </si>
  <si>
    <t>http://www.batexpert.fr</t>
  </si>
  <si>
    <t xml:space="preserve">4 Rue de l'Ancienne Eglise, Montgeron, Ile-de-France, France, 91230</t>
  </si>
  <si>
    <t xml:space="preserve">N°1 du diagnostic amiante et hap dans les enrobés en Île de France, Bâtexpert est une entreprise spécialisée dans la prévention des risques professionnels.</t>
  </si>
  <si>
    <t>Tolgay</t>
  </si>
  <si>
    <t>Yildiz</t>
  </si>
  <si>
    <t xml:space="preserve">High Cube Eco Habitat</t>
  </si>
  <si>
    <t>t.yildiz@highcube.fr</t>
  </si>
  <si>
    <t>http://www.linkedin.com/in/tolgay-yildiz-highcube</t>
  </si>
  <si>
    <t>http://www.highcube.fr</t>
  </si>
  <si>
    <t>Chalons-en-Champagne</t>
  </si>
  <si>
    <t xml:space="preserve">33 Chaussee du Port, Chalons-en-Champagne, Grand Est, France, 51000</t>
  </si>
  <si>
    <t>Baffy</t>
  </si>
  <si>
    <t xml:space="preserve">BAFFY SOLUTIONS RENOVATION</t>
  </si>
  <si>
    <t>laurent.baffy@baffy.fr</t>
  </si>
  <si>
    <t>http://www.linkedin.com/in/laurent-baffy-662a072</t>
  </si>
  <si>
    <t>http://www.baffy.fr</t>
  </si>
  <si>
    <t xml:space="preserve">13 Rue Docteur Quignard, Dijon, Burgundy, France, 21000</t>
  </si>
  <si>
    <t xml:space="preserve">Spécialiste en travaux d'aménagement et rénovation à Dijon et Paris, Baffy intervient sur les lots tous corps d'état et Design&amp;Build.</t>
  </si>
  <si>
    <t>Grun</t>
  </si>
  <si>
    <t xml:space="preserve">Entreprise David SAS</t>
  </si>
  <si>
    <t>o.grun@davidsa.fr</t>
  </si>
  <si>
    <t>http://www.linkedin.com/in/olivier-gr%c3%bcn-752746158</t>
  </si>
  <si>
    <t>http://www.davidsa.fr</t>
  </si>
  <si>
    <t xml:space="preserve">16 Rue de l'Autan, Labastide-d'Anjou, Occitanie, France, 11320</t>
  </si>
  <si>
    <t>Commandeur</t>
  </si>
  <si>
    <t xml:space="preserve">NORMANDIE DRAINAGE</t>
  </si>
  <si>
    <t>scommandeur@normandie-drainage.fr</t>
  </si>
  <si>
    <t>http://www.linkedin.com/in/st%c3%a9phanie-commandeur-07474161</t>
  </si>
  <si>
    <t>http://www.normandie-drainage.com</t>
  </si>
  <si>
    <t>Pont-l'Eveque</t>
  </si>
  <si>
    <t xml:space="preserve">Villers-Bocage, Hauts-de-France, France, 80260</t>
  </si>
  <si>
    <t xml:space="preserve">BRUN CECCOTTI MEDITERRANEE</t>
  </si>
  <si>
    <t>remy.toulouse@brun-ceccotti-med.fr</t>
  </si>
  <si>
    <t>http://www.linkedin.com/in/r%c3%a9my-toulouse-609762148</t>
  </si>
  <si>
    <t>http://www.brun-ceccotti-med.fr</t>
  </si>
  <si>
    <t xml:space="preserve">72 Boulevard Penelope, Montpellier, Occitanie, France, 34000</t>
  </si>
  <si>
    <t>Kuss</t>
  </si>
  <si>
    <t xml:space="preserve">Directeur Général Administratif et Financier</t>
  </si>
  <si>
    <t xml:space="preserve">R3S France</t>
  </si>
  <si>
    <t>d.kuss@r3s-france.com</t>
  </si>
  <si>
    <t>http://www.linkedin.com/in/didier-kuss-b774032b</t>
  </si>
  <si>
    <t>http://www.r3s-france.fr</t>
  </si>
  <si>
    <t>Mazeres</t>
  </si>
  <si>
    <t xml:space="preserve">17 Chemin des Vignes, Mazeres, Midi-Pyrenees, France, 09270</t>
  </si>
  <si>
    <t xml:space="preserve">SOTRALENTZ CONSTRUCTION</t>
  </si>
  <si>
    <t>olivier.schmitt@sotralentz-construction.com</t>
  </si>
  <si>
    <t>http://www.linkedin.com/in/olivier-schmitt-3aa8b512a</t>
  </si>
  <si>
    <t>http://www.sotralentz-construction.com</t>
  </si>
  <si>
    <t xml:space="preserve">2a Rue de Sarreguemines, Drulingen, Grand Est, France, 67320</t>
  </si>
  <si>
    <t xml:space="preserve">Sotralentz Construction</t>
  </si>
  <si>
    <t>Serby</t>
  </si>
  <si>
    <t xml:space="preserve">EN'GO BOURGOGNE</t>
  </si>
  <si>
    <t>romain.serby@groupe-engo.com</t>
  </si>
  <si>
    <t>http://www.linkedin.com/in/romain-serby-067469201</t>
  </si>
  <si>
    <t>http://www.groupe-engo.com</t>
  </si>
  <si>
    <t>Feillens</t>
  </si>
  <si>
    <t xml:space="preserve">LaSalle, Illinois, United States</t>
  </si>
  <si>
    <t xml:space="preserve">Le groupe Engo regroupe les activités de gros-oeuvre, plomberie, chauffage, électricité sur les régions Bourgogne, Franche-Comté et Rhône-Alpes.</t>
  </si>
  <si>
    <t>Petru</t>
  </si>
  <si>
    <t>Stefancu</t>
  </si>
  <si>
    <t>CMBB</t>
  </si>
  <si>
    <t>petru@cmbb.eu</t>
  </si>
  <si>
    <t>http://www.linkedin.com/in/petru-stefancu-537707167</t>
  </si>
  <si>
    <t>http://www.cmbb.eu</t>
  </si>
  <si>
    <t xml:space="preserve">Maisons-Alfort, Ile-de-France, France</t>
  </si>
  <si>
    <t>Noyelle</t>
  </si>
  <si>
    <t xml:space="preserve">APLUSELEC Habitat</t>
  </si>
  <si>
    <t>e.noyelle@apluselec.fr</t>
  </si>
  <si>
    <t>http://www.linkedin.com/in/noyelle-emmanuel-44711914b</t>
  </si>
  <si>
    <t>http://www.apluselec.fr</t>
  </si>
  <si>
    <t xml:space="preserve">8 Rue de Touraine, Caen, Lower Normandy, France, 14000</t>
  </si>
  <si>
    <t xml:space="preserve">A PLUS ELEC, électricien à Caen, propose des services de qualité pour particuliers, copropriétés et entreprises. Contactez-nous pour des installations électriques sûres et fiables.</t>
  </si>
  <si>
    <t>Roldo</t>
  </si>
  <si>
    <t>ATPV</t>
  </si>
  <si>
    <t>s.roldo@atpv.fr</t>
  </si>
  <si>
    <t>http://www.linkedin.com/in/st%c3%a9phane-roldo-041396114</t>
  </si>
  <si>
    <t>http://www.atpv.fr</t>
  </si>
  <si>
    <t>Chatelais</t>
  </si>
  <si>
    <t xml:space="preserve">Friauville, Lorraine, France, 54800</t>
  </si>
  <si>
    <t>Gaby</t>
  </si>
  <si>
    <t>Tayoun</t>
  </si>
  <si>
    <t xml:space="preserve">MFP International</t>
  </si>
  <si>
    <t>gtayoun@mfpglobal.com</t>
  </si>
  <si>
    <t>http://www.linkedin.com/in/gaby-tayoun-3729432</t>
  </si>
  <si>
    <t>http://www.mfpglobal.com</t>
  </si>
  <si>
    <t xml:space="preserve">39 Rue de Veyrot, Meyrin, Geneva, Switzerland, 1217</t>
  </si>
  <si>
    <t>Chabrier</t>
  </si>
  <si>
    <t>TOTEMM</t>
  </si>
  <si>
    <t>franck.chabrier@bce-developpement.fr</t>
  </si>
  <si>
    <t>http://www.linkedin.com/in/franck-chabrier-16a86832</t>
  </si>
  <si>
    <t>http://www.totemm.fr</t>
  </si>
  <si>
    <t xml:space="preserve">79 Allee de la Croix des Hormes, Montanay, Auvergne-Rhone-Alpes, France, 69250</t>
  </si>
  <si>
    <t>Llopis</t>
  </si>
  <si>
    <t>groupe_brassier</t>
  </si>
  <si>
    <t>ludovic.llopis@groupe-brassier.com</t>
  </si>
  <si>
    <t>http://www.linkedin.com/in/ludovic-llopis-834595141</t>
  </si>
  <si>
    <t>http://www.groupe-brassier.com</t>
  </si>
  <si>
    <t xml:space="preserve">39 Avenue de la Margeride, Clermont-Ferrand, Auvergne, France, 63000</t>
  </si>
  <si>
    <t xml:space="preserve">Le groupe Brassier intervient dans la rénovation, la conception, la 
réalisation, et le montage de bâtiments, du particulier au professionnel. 
Le groupe Brassier développe et fabrique des solutions métalliques pour vos 
besoins constructifs.</t>
  </si>
  <si>
    <t xml:space="preserve">AC2F Normandie</t>
  </si>
  <si>
    <t>mblondel@ac2f-normandie.fr</t>
  </si>
  <si>
    <t>http://www.linkedin.com/in/maxime-blondel-rouen</t>
  </si>
  <si>
    <t>http://www.ac2f-normandie.fr</t>
  </si>
  <si>
    <t xml:space="preserve">48 Rue Caroline Herschel, Saint-Etienne-du-Rouvray, Normandy, France, 76800</t>
  </si>
  <si>
    <t>Atilah</t>
  </si>
  <si>
    <t>Cacan</t>
  </si>
  <si>
    <t xml:space="preserve">CRP RAVALEMENT</t>
  </si>
  <si>
    <t>atilah.cacan@crp-rav.fr</t>
  </si>
  <si>
    <t>http://www.linkedin.com/in/atilah-cacan-4650749a</t>
  </si>
  <si>
    <t>http://www.crpravalement.fr</t>
  </si>
  <si>
    <t>Valente</t>
  </si>
  <si>
    <t xml:space="preserve">VALENTE CONSTRUCTION</t>
  </si>
  <si>
    <t>alexandre@valente-construction.fr</t>
  </si>
  <si>
    <t>http://www.linkedin.com/in/alexandre-valente-2690a1150</t>
  </si>
  <si>
    <t>http://www.valente-construction.fr</t>
  </si>
  <si>
    <t>Mouroux</t>
  </si>
  <si>
    <t xml:space="preserve">Mouroux, Ile-de-France, France, 77120</t>
  </si>
  <si>
    <t xml:space="preserve">Valente Construction est spécialisé dans la construction de maison traditionnelle et moderne en Seine et Marne ... Nous proposons également des constructions de maison haut de gamme.</t>
  </si>
  <si>
    <t>Capuano</t>
  </si>
  <si>
    <t xml:space="preserve">Groupe Solaire Clim Chauffage</t>
  </si>
  <si>
    <t>nicolas@franceclimchauffage.fr</t>
  </si>
  <si>
    <t>http://www.linkedin.com/in/nicolas-capuano-8b9629130</t>
  </si>
  <si>
    <t>http://www.loireclimchauffage.fr</t>
  </si>
  <si>
    <t xml:space="preserve">42 Avenue de Montbrison, Andrezieux-Boutheon, Auvergne-Rhone-Alpes, France, 42160</t>
  </si>
  <si>
    <t xml:space="preserve">Loire Clim chauffage, votre artisan installateur de Pompe à Chaleur en Loire ! Entreprise spécialisée PAC &amp; installation de climatisation.</t>
  </si>
  <si>
    <t>Jennyfer</t>
  </si>
  <si>
    <t>Carreau</t>
  </si>
  <si>
    <t xml:space="preserve">Directrice Générale - Economiste de la construction</t>
  </si>
  <si>
    <t>US</t>
  </si>
  <si>
    <t>j.carreau@useco.fr</t>
  </si>
  <si>
    <t>http://www.linkedin.com/in/jennyfer-carreau-01ab947a</t>
  </si>
  <si>
    <t>http://www.useco.fr</t>
  </si>
  <si>
    <t xml:space="preserve">3 Rue Peyron, Vienne, Auvergne-Rhone-Alpes, France, 38200</t>
  </si>
  <si>
    <t xml:space="preserve">MAISONS ORTELLI</t>
  </si>
  <si>
    <t>frederic.lecat@maisonsortelli.fr</t>
  </si>
  <si>
    <t>http://www.linkedin.com/in/fr%c3%a9d%c3%a9ric-lecat-a8b278224</t>
  </si>
  <si>
    <t>http://www.maisonsortelli.fr</t>
  </si>
  <si>
    <t xml:space="preserve">Saint-Jacques-sur-Darnetal, Upper Normandy, France, 76160</t>
  </si>
  <si>
    <t xml:space="preserve">Maisons Ortelli Constructeur de maisons individuelles sur mesure entièrement personnalisées, Rouen et la Normandie depuis 50 ans, entreprise générale de bâtiment pour votre projet de construction.</t>
  </si>
  <si>
    <t xml:space="preserve">YODA MASTER</t>
  </si>
  <si>
    <t>yannick.mary@yodamaster.fr</t>
  </si>
  <si>
    <t>http://www.linkedin.com/in/yannick-mary-68718911</t>
  </si>
  <si>
    <t>http://www.yodamaster.fr</t>
  </si>
  <si>
    <t xml:space="preserve">27 Boulevard Saint-Martin, Paris, Ile-de-France, France, 75003</t>
  </si>
  <si>
    <t xml:space="preserve">Yoda Master accompagne ses clients sur l’ensemble des disciplines du secteur de la construction. Nos équipes interviennent à différentes phases des projets architecturaux (lots techniques, lots architecturaux, tous corps d’état).</t>
  </si>
  <si>
    <t>Avenas</t>
  </si>
  <si>
    <t xml:space="preserve">SAPEC Rhône Alpes</t>
  </si>
  <si>
    <t>florent.avenas@sapec-ra.com</t>
  </si>
  <si>
    <t>http://www.linkedin.com/in/florent-avenas-893b47193</t>
  </si>
  <si>
    <t>http://www.sapec-ra.com</t>
  </si>
  <si>
    <t xml:space="preserve">15 Cours Alexandre Borodine, Valence, Auvergne-Rhone-Alpes, France, 26000</t>
  </si>
  <si>
    <t>Namy</t>
  </si>
  <si>
    <t xml:space="preserve">CEO Groupe Hild</t>
  </si>
  <si>
    <t xml:space="preserve">Groupe Hild</t>
  </si>
  <si>
    <t>didier.namy@hild.fr</t>
  </si>
  <si>
    <t>http://www.linkedin.com/in/didier-namy-30a0b1205</t>
  </si>
  <si>
    <t>http://www.hild.fr</t>
  </si>
  <si>
    <t xml:space="preserve">Rue de la 5eme Division Blindee, Jebsheim, Grand Est, France, 68320</t>
  </si>
  <si>
    <t>Cormerais</t>
  </si>
  <si>
    <t>CMBS</t>
  </si>
  <si>
    <t>julien.cormerais@cmbs.fr</t>
  </si>
  <si>
    <t>http://www.linkedin.com/in/julien-cormerais-13b1b682</t>
  </si>
  <si>
    <t>http://www.cmbs.fr</t>
  </si>
  <si>
    <t xml:space="preserve">Parc d'Activite de Creler, Le Guerno, Brittany, France, 56190</t>
  </si>
  <si>
    <t xml:space="preserve">CMBS, l’entreprise Charpente Menuiserie Bretagne Sud, un acteur majeur de la construction bois dans le Grand Ouest</t>
  </si>
  <si>
    <t xml:space="preserve">MiTek France</t>
  </si>
  <si>
    <t>lschwartz@mitek.fr</t>
  </si>
  <si>
    <t>http://www.linkedin.com/in/ludovic-schwartz-29b27519a</t>
  </si>
  <si>
    <t>http://www.mitek.fr</t>
  </si>
  <si>
    <t xml:space="preserve">3 Rue des Archives, Creteil, Ile-de-France, France, 94000</t>
  </si>
  <si>
    <t xml:space="preserve">MiTek l'ingénierie de la construction et leader de la charpente industrialisée vous propose une gamme de services, logicels, machines à votre disposition.</t>
  </si>
  <si>
    <t>Lheriau</t>
  </si>
  <si>
    <t>ASTERM</t>
  </si>
  <si>
    <t>stephane.lheriau@asterm.com</t>
  </si>
  <si>
    <t>http://www.linkedin.com/in/stephane-lheriau-a6a73543</t>
  </si>
  <si>
    <t>http://www.asterm.com</t>
  </si>
  <si>
    <t xml:space="preserve">3 Rue du Pont des Halles, Rungis, Ile-de-France, France, 94150</t>
  </si>
  <si>
    <t xml:space="preserve">Spécialisée dans le domaine du service en Génie Climatique, ASTERM accompagne les installateurs CVC, les sociétés de maintenance, les facilities management et les maitres d’œuvre et d’ouvrage dans leurs projets de construction et de rénovation.
Nous sommes capables d’intervenir sur un large type de projets, tels que la mise en service, la mise au point et le réglage d’installations, la fourniture, la programmation et la mise en service de système de régulation et de GTB ou l’ingénierie de réseaux hydrauliques.</t>
  </si>
  <si>
    <t>SODETER</t>
  </si>
  <si>
    <t>laurent.mazieres@sodeter.fr</t>
  </si>
  <si>
    <t>http://www.linkedin.com/in/laurent-mazieres-66a453115</t>
  </si>
  <si>
    <t>http://www.sodeter.net</t>
  </si>
  <si>
    <t xml:space="preserve">4 Rue des Armoiries, Champigny-sur-Marne, Ile-de-France, France, 94500</t>
  </si>
  <si>
    <t>Rainéa</t>
  </si>
  <si>
    <t>gildas@rainea.fr</t>
  </si>
  <si>
    <t>http://www.linkedin.com/in/gildas-guilloux</t>
  </si>
  <si>
    <t>http://www.rainea.fr</t>
  </si>
  <si>
    <t xml:space="preserve">Microstation d'épuration, épandage, filtres compactes, récupérateurs d'eau de pluie : de nombreuses installations pour tous vos besoins.</t>
  </si>
  <si>
    <t>Guilbert</t>
  </si>
  <si>
    <t xml:space="preserve">Ceo Alcad Service</t>
  </si>
  <si>
    <t xml:space="preserve">Alcad Clim &amp; Service</t>
  </si>
  <si>
    <t>nicolas.guilbert@alcadclim.com</t>
  </si>
  <si>
    <t>http://www.linkedin.com/in/nicolas-guilbert-0b77a368</t>
  </si>
  <si>
    <t>http://www.alcadclim.com</t>
  </si>
  <si>
    <t xml:space="preserve">8 Rue de la Gare, Villaines-sous-Bois, Ile-de-France, France, 95570</t>
  </si>
  <si>
    <t xml:space="preserve">DEMATHIEU BARD MAINTENANCE</t>
  </si>
  <si>
    <t>bruno.martin@demathieu-bard.fr</t>
  </si>
  <si>
    <t>http://www.linkedin.com/in/bruno-martin-43b8a2113</t>
  </si>
  <si>
    <t>http://www.demathieu-bard-maintenance.fr</t>
  </si>
  <si>
    <t xml:space="preserve">Hauconcourt, Alsace-Champagne-Ardenne-Lorraine, France, 57280</t>
  </si>
  <si>
    <t xml:space="preserve">Nos domaines de compétences : CVC, maintenance bâtimentaire, électricité - sécurité incendie, plomberie-sanitaires, facilities management, ...</t>
  </si>
  <si>
    <t>ELYPSO</t>
  </si>
  <si>
    <t>laurent.petitjean@elypso.fr</t>
  </si>
  <si>
    <t>http://www.linkedin.com/in/laurent-petitjean-12190b175</t>
  </si>
  <si>
    <t>http://www.elypso.fr</t>
  </si>
  <si>
    <t xml:space="preserve">440 Rue de la Maison Rose, Mornant, Rhone-Alpes, France, 69440</t>
  </si>
  <si>
    <t>Stasia</t>
  </si>
  <si>
    <t>Façonéo</t>
  </si>
  <si>
    <t>yannick.stasia@faconeo.com</t>
  </si>
  <si>
    <t>http://www.linkedin.com/in/yannick-stasia-696b23b7</t>
  </si>
  <si>
    <t>http://www.faconeo.com</t>
  </si>
  <si>
    <t xml:space="preserve">165 Avenue du Marin Blanc, Aubagne, Provence-Alpes-Cote d'Azur, France, 13400</t>
  </si>
  <si>
    <t xml:space="preserve">We are doing some maintenance on our site. Please come back later.</t>
  </si>
  <si>
    <t>Bouchez</t>
  </si>
  <si>
    <t xml:space="preserve">Directeur Général - Responsable des Opérations</t>
  </si>
  <si>
    <t xml:space="preserve">RALLIE ELEC</t>
  </si>
  <si>
    <t>nicolas.bouchez@rallie-elec.fr</t>
  </si>
  <si>
    <t>http://www.linkedin.com/in/nicolas-bouchez-3a565813a</t>
  </si>
  <si>
    <t>http://www.rallie-elec.fr</t>
  </si>
  <si>
    <t xml:space="preserve">Poissy, Ile-de-France, France, 78300</t>
  </si>
  <si>
    <t xml:space="preserve">entreprise electricite</t>
  </si>
  <si>
    <t>Borniambuc</t>
  </si>
  <si>
    <t>SOMEDEC</t>
  </si>
  <si>
    <t>bborniambuc@somedec.fr</t>
  </si>
  <si>
    <t>http://www.linkedin.com/in/baptiste-borniambuc-1b3697108</t>
  </si>
  <si>
    <t>http://www.somedec-materiaux.fr</t>
  </si>
  <si>
    <t xml:space="preserve">Maromme, Normandy, France, 76150</t>
  </si>
  <si>
    <t>Liziard</t>
  </si>
  <si>
    <t>LIZIARD</t>
  </si>
  <si>
    <t>mliziard@liziard.fr</t>
  </si>
  <si>
    <t>http://www.linkedin.com/in/marc-liziard-025625a4</t>
  </si>
  <si>
    <t>http://www.liziard.fr</t>
  </si>
  <si>
    <t xml:space="preserve">Landerneau, Brittany, France, 29800</t>
  </si>
  <si>
    <t>Botineau</t>
  </si>
  <si>
    <t xml:space="preserve">LATIEULE BTP</t>
  </si>
  <si>
    <t>a.botineau@latieuletp.com</t>
  </si>
  <si>
    <t>http://www.linkedin.com/in/adrien-botineau-62141818a</t>
  </si>
  <si>
    <t>http://www.latieulebtp.com</t>
  </si>
  <si>
    <t xml:space="preserve">Montastruc-la-Conseillere, Languedoc-Roussillon-Midi-Pyrenees, France, 31380</t>
  </si>
  <si>
    <t>Verzegnassi</t>
  </si>
  <si>
    <t xml:space="preserve">Atelier JV</t>
  </si>
  <si>
    <t>j.verzegnassi@atelierjv.fr</t>
  </si>
  <si>
    <t>http://www.linkedin.com/in/j%c3%a9r%c3%b4me-verzegnassi-341295132</t>
  </si>
  <si>
    <t>http://www.atelierjv.com.au</t>
  </si>
  <si>
    <t xml:space="preserve">123 Aberdeen St, Perth, Western Australia, Australia, 6003</t>
  </si>
  <si>
    <t xml:space="preserve">Atelier JV Structural and Facade Engineering Design, Perth, Western Australia</t>
  </si>
  <si>
    <t>Mesut</t>
  </si>
  <si>
    <t>Koc</t>
  </si>
  <si>
    <t xml:space="preserve">MLS CONSTRUCTION</t>
  </si>
  <si>
    <t>mesut.koc@mls-construction.fr</t>
  </si>
  <si>
    <t>http://www.linkedin.com/in/mesut-koc-8069871a0</t>
  </si>
  <si>
    <t>http://www.mls-construction.fr</t>
  </si>
  <si>
    <t xml:space="preserve">16B Rue Grange Dame-Rose, Velizy-Villacoublay, Ile-de-France, France, 78140</t>
  </si>
  <si>
    <t>Couton</t>
  </si>
  <si>
    <t>Co-Dirigeant</t>
  </si>
  <si>
    <t xml:space="preserve">VOISIN CONSTRUCTIONS</t>
  </si>
  <si>
    <t>jcouton@voisin-constructions.fr</t>
  </si>
  <si>
    <t>http://www.linkedin.com/in/johann-couton-9277a6155</t>
  </si>
  <si>
    <t>http://www.voisin-constructions.fr</t>
  </si>
  <si>
    <t xml:space="preserve">Rue du Cormier, Soullans, Pays de la Loire, France, 85300</t>
  </si>
  <si>
    <t xml:space="preserve">L'entreprise Voisin Constructions est spécialisée dans le gros œuvre en Vendée depuis plus de 35 ans</t>
  </si>
  <si>
    <t>Ferhat</t>
  </si>
  <si>
    <t xml:space="preserve">BATICEL Groupe</t>
  </si>
  <si>
    <t>h.ferhat@baticelgroupe.com</t>
  </si>
  <si>
    <t>http://www.linkedin.com/in/hamid-ferhat-922000138</t>
  </si>
  <si>
    <t>http://www.baticelgroupe.com</t>
  </si>
  <si>
    <t xml:space="preserve">22 Avenue de la Division Leclerc, Bobigny, Ile-de-France, France, 93000</t>
  </si>
  <si>
    <t>Wenger</t>
  </si>
  <si>
    <t xml:space="preserve">Directeur Général Technique</t>
  </si>
  <si>
    <t xml:space="preserve">ProContain France</t>
  </si>
  <si>
    <t>joachim.wenger@procontain.fr</t>
  </si>
  <si>
    <t>http://www.linkedin.com/in/joachim-wenger-8a22b411a</t>
  </si>
  <si>
    <t>http://www.procontain.fr</t>
  </si>
  <si>
    <t xml:space="preserve">Rue Sophie Germain, Mitry-Mory, Ile-de-France, France, 77290</t>
  </si>
  <si>
    <t>Renevot</t>
  </si>
  <si>
    <t xml:space="preserve">LABASTERE 33</t>
  </si>
  <si>
    <t>denis.renevot@labastere.fr</t>
  </si>
  <si>
    <t>http://www.linkedin.com/in/denis-renevot-6a4981159</t>
  </si>
  <si>
    <t>http://www.labastere33-technal.fr</t>
  </si>
  <si>
    <t xml:space="preserve">2 Rue Pierre-Paul Riquet, Canejan, Nouvelle-Aquitaine, France, 33610</t>
  </si>
  <si>
    <t>Burette-Pommay</t>
  </si>
  <si>
    <t>LENAUD</t>
  </si>
  <si>
    <t>jburette@lenaud.com</t>
  </si>
  <si>
    <t>http://www.linkedin.com/in/jacques-burette-pommay-1799b41b0</t>
  </si>
  <si>
    <t>http://www.lenaud.com</t>
  </si>
  <si>
    <t>Clichy-sous-Bois</t>
  </si>
  <si>
    <t xml:space="preserve">38 Rue Henri Becquerel, Chelles, Ile-de-France, France, 77500</t>
  </si>
  <si>
    <t xml:space="preserve">Génie climatique chauffage, climatisation, ventilation, Plomberie, Fluides industriels, Protection incendie, travaux de plomberie rénovation installation depuis 1928</t>
  </si>
  <si>
    <t>Morlot</t>
  </si>
  <si>
    <t xml:space="preserve">Groupe Morlot</t>
  </si>
  <si>
    <t>l.morlot@groupe-morlot.fr</t>
  </si>
  <si>
    <t>http://www.linkedin.com/in/laurent-morlot-0b24a910a</t>
  </si>
  <si>
    <t>http://www.morlotgroup.com</t>
  </si>
  <si>
    <t>Tremblais</t>
  </si>
  <si>
    <t xml:space="preserve">Directeur général -</t>
  </si>
  <si>
    <t xml:space="preserve">TREMBLAIS CRÉATEUR</t>
  </si>
  <si>
    <t>pascal@tremblais.fr</t>
  </si>
  <si>
    <t>http://www.linkedin.com/in/pascal-tremblais-9810a0181</t>
  </si>
  <si>
    <t>http://www.tremblais.fr</t>
  </si>
  <si>
    <t xml:space="preserve">Rue Charles Tellier, Cholet, Pays de la Loire, France, 49300</t>
  </si>
  <si>
    <t xml:space="preserve">Groupe DF2G</t>
  </si>
  <si>
    <t>damien.fillion@df2g.fr</t>
  </si>
  <si>
    <t>http://www.linkedin.com/in/damien-fillion-926a17178</t>
  </si>
  <si>
    <t>http://www.groupe-df2g.fr</t>
  </si>
  <si>
    <t xml:space="preserve">Epagny-Metz-Tessy, Auvergne-Rhone-Alpes, France, 74370</t>
  </si>
  <si>
    <t>Luthi</t>
  </si>
  <si>
    <t xml:space="preserve">MBS Services &amp; Works</t>
  </si>
  <si>
    <t>mluthi@mbs-services.fr</t>
  </si>
  <si>
    <t>http://www.linkedin.com/in/mathilde-luthi-618196143</t>
  </si>
  <si>
    <t>http://www.mbs-services.fr</t>
  </si>
  <si>
    <t>Pierrelaye</t>
  </si>
  <si>
    <t xml:space="preserve">Rue d'Herblay, Taverny, Ile-de-France, France, 95150</t>
  </si>
  <si>
    <t>Malandain</t>
  </si>
  <si>
    <t xml:space="preserve">Optimiz Construction</t>
  </si>
  <si>
    <t>marion.malandain@optimiz-construction.fr</t>
  </si>
  <si>
    <t>http://www.linkedin.com/in/marion-malandain-51488712b</t>
  </si>
  <si>
    <t>http://www.optimiz-construction.fr</t>
  </si>
  <si>
    <t xml:space="preserve">Optimiz Construction optimise la pose et la découpe des matériaux sur chantier grâce à une approche clé en main combinant l'expertise terrain avec l'algorithmie</t>
  </si>
  <si>
    <t>Medjoub</t>
  </si>
  <si>
    <t xml:space="preserve">Groupe ZACHA</t>
  </si>
  <si>
    <t>samuel.medjoub@zacha.fr</t>
  </si>
  <si>
    <t>http://www.linkedin.com/in/samuel-medjoub-b188b251</t>
  </si>
  <si>
    <t>http://www.zacha.fr</t>
  </si>
  <si>
    <t xml:space="preserve">31 Zone Industrielle Bellevue, Guenange, Grand Est, France, 57310</t>
  </si>
  <si>
    <t>Sudres</t>
  </si>
  <si>
    <t xml:space="preserve">Architecte associé, co fondateur</t>
  </si>
  <si>
    <t>tikoam</t>
  </si>
  <si>
    <t>mathieu.sudres@tikoam.com</t>
  </si>
  <si>
    <t>http://www.linkedin.com/in/mathieusudres</t>
  </si>
  <si>
    <t>http://www.tikoam.com</t>
  </si>
  <si>
    <t xml:space="preserve">67 Rue de Mirambeau, Anglet, Aquitaine, France, 64600</t>
  </si>
  <si>
    <t>Melet</t>
  </si>
  <si>
    <t xml:space="preserve">M2 SOLUTION</t>
  </si>
  <si>
    <t>p.melet@m2-solution.fr</t>
  </si>
  <si>
    <t>http://www.linkedin.com/in/philippe-melet-a9759551</t>
  </si>
  <si>
    <t>http://www.m2-solution.fr</t>
  </si>
  <si>
    <t xml:space="preserve">10 Route de Seysses, Muret, Occitanie, France, 31600</t>
  </si>
  <si>
    <t xml:space="preserve">SYMBIEAU TECH</t>
  </si>
  <si>
    <t>ludovic.richard@symbieau-tech.com</t>
  </si>
  <si>
    <t>http://www.linkedin.com/in/richard-ludovic-848ab9149</t>
  </si>
  <si>
    <t>http://www.symbieautech.fr</t>
  </si>
  <si>
    <t xml:space="preserve">Mornant, Auvergne-Rhone-Alpes, France, 69440</t>
  </si>
  <si>
    <t xml:space="preserve">Symbieau Tech, bureau d'études regroupant toutes les compétences nécessaires à l'étude des fluides.</t>
  </si>
  <si>
    <t>THIVENT</t>
  </si>
  <si>
    <t>m.dumas@thivent-sas.com</t>
  </si>
  <si>
    <t>http://www.linkedin.com/in/marc-dumas-4a141960</t>
  </si>
  <si>
    <t>http://www.thivent-sas.com</t>
  </si>
  <si>
    <t xml:space="preserve">Les Moquets, La Chapelle-sous-Dun, Bourgogne-Franche-Comte, France, 71800</t>
  </si>
  <si>
    <t xml:space="preserve">Thivent, acteur régional de premier plan dans le domaine des travaux publics en Saône-et-Loire, Rhône, Loire, Allier et Nièvre.</t>
  </si>
  <si>
    <t>Houtte</t>
  </si>
  <si>
    <t>FCTP</t>
  </si>
  <si>
    <t>olivier.vanhoutte@fctp.fr</t>
  </si>
  <si>
    <t>http://www.linkedin.com/in/olivier-van-houtte-9a492077</t>
  </si>
  <si>
    <t>http://www.fctp.fr</t>
  </si>
  <si>
    <t xml:space="preserve">300 Rue des Carrieres Morillon, Villeneuve-le-Roi, Ile-de-France, France, 94290</t>
  </si>
  <si>
    <t xml:space="preserve">Founder/Fondateur Studio Jouan</t>
  </si>
  <si>
    <t xml:space="preserve">STUDIO JOUAN</t>
  </si>
  <si>
    <t>sebastien@studiojouan.com</t>
  </si>
  <si>
    <t>http://www.linkedin.com/in/s%c3%a9bastien-jouan-8704982</t>
  </si>
  <si>
    <t>http://www.studiojouan.com</t>
  </si>
  <si>
    <t xml:space="preserve">Acoustic Design by Studio Jouan/Conception Acoustique par Studio Jouan</t>
  </si>
  <si>
    <t>Bielecki</t>
  </si>
  <si>
    <t xml:space="preserve">SBF GROUPE</t>
  </si>
  <si>
    <t>stephane.bielecki@sbf-groupe.fr</t>
  </si>
  <si>
    <t>http://www.linkedin.com/in/st%c3%a9phane-bielecki-92607837</t>
  </si>
  <si>
    <t>http://www.sbf-groupe.fr</t>
  </si>
  <si>
    <t xml:space="preserve">Droue-sur-Drouette, Centre-Val de Loire, France, 28230</t>
  </si>
  <si>
    <t>Bouteiller</t>
  </si>
  <si>
    <t>axelbouteiller@abbs-habitat.fr</t>
  </si>
  <si>
    <t>http://www.linkedin.com/in/axel-bouteiller-6b993919a</t>
  </si>
  <si>
    <t>Raspail</t>
  </si>
  <si>
    <t xml:space="preserve">RD CONSTRUCTION</t>
  </si>
  <si>
    <t>direction@rdconstruction.fr</t>
  </si>
  <si>
    <t>http://www.linkedin.com/in/andy-raspail-39454615a</t>
  </si>
  <si>
    <t>http://www.rd-construction.com</t>
  </si>
  <si>
    <t xml:space="preserve">615 Chemin des Chirons, Beaumont-les-Valence, Auvergne-Rhone-Alpes, France, 26760</t>
  </si>
  <si>
    <t>patrick@flucklinger.com</t>
  </si>
  <si>
    <t>http://www.linkedin.com/in/flucklinger-patrick-897a0855</t>
  </si>
  <si>
    <t>Drieux</t>
  </si>
  <si>
    <t>PIERRITE</t>
  </si>
  <si>
    <t>mdrieux@pierrite.fr</t>
  </si>
  <si>
    <t>http://www.linkedin.com/in/marc-drieux-5721a</t>
  </si>
  <si>
    <t>http://www.pierrite.fr</t>
  </si>
  <si>
    <t xml:space="preserve">Guerande, Pays de la Loire, France</t>
  </si>
  <si>
    <t>Arancio</t>
  </si>
  <si>
    <t>hugues.arancio@rgabet.fr</t>
  </si>
  <si>
    <t>http://www.linkedin.com/in/hugues-arancio-29922a7b</t>
  </si>
  <si>
    <t>Chaffin</t>
  </si>
  <si>
    <t>AKERA</t>
  </si>
  <si>
    <t>a.chaffin@akera.fr</t>
  </si>
  <si>
    <t>http://www.linkedin.com/in/chaffin-andre-80745413</t>
  </si>
  <si>
    <t>http://www.akera.fr</t>
  </si>
  <si>
    <t xml:space="preserve">AKERA crée des espaces de vie respectueux de l'environnement et développe des projets de bureaux/logements répondant aux exigences du marché.</t>
  </si>
  <si>
    <t>Maryse</t>
  </si>
  <si>
    <t>Acquaviva</t>
  </si>
  <si>
    <t>Aedes</t>
  </si>
  <si>
    <t>direction@aedes-expertise.com</t>
  </si>
  <si>
    <t>http://www.linkedin.com/in/maryse-acquaviva-086aa5a3</t>
  </si>
  <si>
    <t>http://www.aedes-expertise.fr</t>
  </si>
  <si>
    <t>Lambesc</t>
  </si>
  <si>
    <t xml:space="preserve">40 Avenue Jean Monnet, Lambesc, Provence-Alpes-Cote d'Azur, France, 13410</t>
  </si>
  <si>
    <t xml:space="preserve">AEDES 1er applicateur agrée du réseau POLYATECH. Confinement SS3 de chantiers de désamiantage par application de polyane sur structure bois et/ou polyasim liquide, chantiers SS4.</t>
  </si>
  <si>
    <t>Polat</t>
  </si>
  <si>
    <t xml:space="preserve">COLLIN Étanchéité</t>
  </si>
  <si>
    <t>ipolat@collin-etancheite.fr</t>
  </si>
  <si>
    <t>http://www.linkedin.com/in/ismail-polat-97a920257</t>
  </si>
  <si>
    <t>http://www.collin-etancheite.fr</t>
  </si>
  <si>
    <t xml:space="preserve">14 Rue Jean-Baptiste Colbert, La Chapelle-Saint-Luc, Alsace-Champagne-Ardenne-Lorraine, France, 10600</t>
  </si>
  <si>
    <t>Carrette</t>
  </si>
  <si>
    <t>CUPPENS</t>
  </si>
  <si>
    <t>acarrette@cuppens.fr</t>
  </si>
  <si>
    <t>http://www.linkedin.com/in/antoine-carrette-b89086198</t>
  </si>
  <si>
    <t>http://www.cuppens.fr</t>
  </si>
  <si>
    <t xml:space="preserve">Loos, Nord-Pas-de-Calais, France</t>
  </si>
  <si>
    <t xml:space="preserve">CUPPENS est spécialisé en aménagement intérieur de bureaux, centres de santé et concessions. Nous vous accompagnons dans vos projets d'aménagement d'espace.</t>
  </si>
  <si>
    <t>FRANCE-SOLS</t>
  </si>
  <si>
    <t>marc.perin@spr.fr</t>
  </si>
  <si>
    <t>http://www.linkedin.com/in/marc-perin-b833a9198</t>
  </si>
  <si>
    <t>http://www.france-sols.fr</t>
  </si>
  <si>
    <t xml:space="preserve">Ivry-sur-Seine, Ile-de-France, France</t>
  </si>
  <si>
    <t>Paverne</t>
  </si>
  <si>
    <t>G2T</t>
  </si>
  <si>
    <t>romainpaverne@g2t.fr</t>
  </si>
  <si>
    <t>http://www.linkedin.com/in/romain-paverne-7307002a6</t>
  </si>
  <si>
    <t>http://www.g2t.fr</t>
  </si>
  <si>
    <t xml:space="preserve">Bethoncourt, Bourgogne-Franche-Comte, France, 25200</t>
  </si>
  <si>
    <t>Pauget</t>
  </si>
  <si>
    <t xml:space="preserve">Sotrapp TP</t>
  </si>
  <si>
    <t>l.pauget@sotrapptp.fr</t>
  </si>
  <si>
    <t>http://www.linkedin.com/in/ludovic-pauget-6b2740b2</t>
  </si>
  <si>
    <t>http://www.sotrapp-tp.fr</t>
  </si>
  <si>
    <t xml:space="preserve">222 Rue du Loup, Viriat, Auvergne-Rhone-Alpes, France, 01440</t>
  </si>
  <si>
    <t>Merceron</t>
  </si>
  <si>
    <t xml:space="preserve">IDMAT Levage</t>
  </si>
  <si>
    <t>l.merceron@idmat.fr</t>
  </si>
  <si>
    <t>http://www.linkedin.com/in/lucas-merceron-2961b0b9</t>
  </si>
  <si>
    <t>http://www.idmat.eu</t>
  </si>
  <si>
    <t xml:space="preserve">Vernoux-en-Gatine, Nouvelle-Aquitaine, France, 79240</t>
  </si>
  <si>
    <t xml:space="preserve">Solutions de levage &amp; manutention, IdMat fabrique ses élingues câble, chaines et textiles sur mesure avec ses propres accessoires de levage.</t>
  </si>
  <si>
    <t>Lemmens</t>
  </si>
  <si>
    <t>Dirigeant/CEO</t>
  </si>
  <si>
    <t xml:space="preserve">Compassi Prefa</t>
  </si>
  <si>
    <t>jean.lemmens@compassi-prefa.com</t>
  </si>
  <si>
    <t>http://www.linkedin.com/in/jean-lemmens-857a1b92</t>
  </si>
  <si>
    <t>http://www.compassi-prefa.com</t>
  </si>
  <si>
    <t xml:space="preserve">Route de Lyon, Cognin, Auvergne-Rhone-Alpes, France, 73160</t>
  </si>
  <si>
    <t>Jacinte</t>
  </si>
  <si>
    <t xml:space="preserve">Directrice Générale (associée)</t>
  </si>
  <si>
    <t xml:space="preserve">Groupe TPF</t>
  </si>
  <si>
    <t>jacinte.ferreira@groupetpf.fr</t>
  </si>
  <si>
    <t>http://www.linkedin.com/in/jacinte-ferreira-727ab31ab</t>
  </si>
  <si>
    <t>http://www.groupetpf.com</t>
  </si>
  <si>
    <t xml:space="preserve">TPF est un groupe de travaux publics œuvrant dans le domaine de la location d'engins et de camions bennes, des travaux de démolition et de terrassement.</t>
  </si>
  <si>
    <t>Mechiane</t>
  </si>
  <si>
    <t xml:space="preserve">CF SERVICES</t>
  </si>
  <si>
    <t>f.mechiane@cf-services.com</t>
  </si>
  <si>
    <t>http://www.linkedin.com/in/fr%c3%a9d%c3%a9ric-m%c3%a9chiane-b334b691</t>
  </si>
  <si>
    <t>http://www.cf-services.com</t>
  </si>
  <si>
    <t xml:space="preserve">19B Avenue Marcel Dassault, Montfermeil, Ile-de-France, France, 93370</t>
  </si>
  <si>
    <t xml:space="preserve">Spécialistes confirmés et reconnus dans le domaine de la façade, ITE, bardage, protection incendie passive, flocage, rénovation TCE intérieure</t>
  </si>
  <si>
    <t>Redouane</t>
  </si>
  <si>
    <t>Benalia</t>
  </si>
  <si>
    <t>Homfen</t>
  </si>
  <si>
    <t>r.benalia@homfen.fr</t>
  </si>
  <si>
    <t>http://www.linkedin.com/in/redouane-benalia-0b562253</t>
  </si>
  <si>
    <t>http://www.homfen.fr</t>
  </si>
  <si>
    <t xml:space="preserve">Homfen est une menuiserie basée à Nîmes qui propose un large choix de produits et la meilleure pose en neuf et en rénovation.</t>
  </si>
  <si>
    <t>Lajuzan</t>
  </si>
  <si>
    <t xml:space="preserve">UCB Construction</t>
  </si>
  <si>
    <t>c.lajuzan@ucb-bat.fr</t>
  </si>
  <si>
    <t>http://www.linkedin.com/in/christophe-lajuzan-938a40b1</t>
  </si>
  <si>
    <t>http://www.ucb-bat.fr</t>
  </si>
  <si>
    <t xml:space="preserve">23 Allee du Clos des Charmes, Collegien, Ile-de-France, France, 77090</t>
  </si>
  <si>
    <t>Folickmann</t>
  </si>
  <si>
    <t xml:space="preserve">AROK Concasseur</t>
  </si>
  <si>
    <t>c.folickmann@axroad.fr</t>
  </si>
  <si>
    <t>http://www.linkedin.com/in/corinne-folickmann-389aa2b0</t>
  </si>
  <si>
    <t>http://www.arok.fr</t>
  </si>
  <si>
    <t xml:space="preserve">Chemin de la Maire des Eaux, Puget-Ville, Provence-Alpes-Cote d'Azur, France, 83390</t>
  </si>
  <si>
    <t>Amjad</t>
  </si>
  <si>
    <t xml:space="preserve">EPIC PROTECTION &amp; ISOLATION</t>
  </si>
  <si>
    <t>amjad.khan@epic-france.com</t>
  </si>
  <si>
    <t>http://www.linkedin.com/in/amjad-khan-1b197320b</t>
  </si>
  <si>
    <t>http://www.epic-france.com</t>
  </si>
  <si>
    <t xml:space="preserve">Rue de Touraine, La Romagne, Pays de la Loire, France, 49740</t>
  </si>
  <si>
    <t xml:space="preserve">S.M.I construction</t>
  </si>
  <si>
    <t>felix@smi-construction.fr</t>
  </si>
  <si>
    <t>http://www.linkedin.com/in/f%c3%a9lix-mathis-a4703999</t>
  </si>
  <si>
    <t>http://www.smi-construction.fr</t>
  </si>
  <si>
    <t xml:space="preserve">21 Rue Jacobi-Netter, Strasbourg, Grand Est, France, 67200</t>
  </si>
  <si>
    <t xml:space="preserve">AB Associés</t>
  </si>
  <si>
    <t>m.asselin@ab-geometre.com</t>
  </si>
  <si>
    <t>http://www.linkedin.com/in/maxime-asselin-6b1244150</t>
  </si>
  <si>
    <t>http://www.ab-geometre.com</t>
  </si>
  <si>
    <t xml:space="preserve">2 Rue de Croquechataigne, La Chapelle-Saint-Mesmin, Centre-Val de Loire, France, 45380</t>
  </si>
  <si>
    <t xml:space="preserve">AB ASSOCIES, cabinet de Géomètres-Experts à ORLEANS (45) spécialisé dans vos projets de bornage, division, copropriété, implantation ou tout type de relevés</t>
  </si>
  <si>
    <t>Abdelnour</t>
  </si>
  <si>
    <t xml:space="preserve">Co-Fondateur bimcubes</t>
  </si>
  <si>
    <t>BIMCUBES</t>
  </si>
  <si>
    <t>jad@bimcubes.com</t>
  </si>
  <si>
    <t>http://www.linkedin.com/in/jad-abdelnour-5849b3a3</t>
  </si>
  <si>
    <t>http://www.bimcubes.com</t>
  </si>
  <si>
    <t xml:space="preserve">51 Rue du Colisee, Paris, Ile-de-France, France, 75008</t>
  </si>
  <si>
    <t>Decoene</t>
  </si>
  <si>
    <t>Insitu-a</t>
  </si>
  <si>
    <t>r.decoene@insitu-a.fr</t>
  </si>
  <si>
    <t>http://www.linkedin.com/in/r%c3%a9mi-decoene-1a94a710</t>
  </si>
  <si>
    <t>http://www.insitu-a.fr</t>
  </si>
  <si>
    <t xml:space="preserve">99 Rue Pierre Semard, Chatillon, Ile-de-France, France, 92320</t>
  </si>
  <si>
    <t xml:space="preserve">ETS R PETIT ET FILS</t>
  </si>
  <si>
    <t>aline.duval@petitetfils.com</t>
  </si>
  <si>
    <t>http://www.linkedin.com/in/aline-ibolya-duval-9298a55b</t>
  </si>
  <si>
    <t>http://www.petitetfils.com</t>
  </si>
  <si>
    <t xml:space="preserve">Noisy-le-Sec, Ile-de-France, France, 93130</t>
  </si>
  <si>
    <t xml:space="preserve">Serrurerie Metallerie à Paris et en Ile de France ✓Entretien &amp; Rénovation d'immeuble ✓Contrôle d'accès  ✓Menuiserie extérieur</t>
  </si>
  <si>
    <t>Gastaldi</t>
  </si>
  <si>
    <t xml:space="preserve">LES PARCS</t>
  </si>
  <si>
    <t>jerome.gastaldi@lesparcs.fr</t>
  </si>
  <si>
    <t>http://www.linkedin.com/in/j%c3%a9r%c3%b4me-gastaldi-172ab7121</t>
  </si>
  <si>
    <t>http://www.lesparcs-amenageur.com</t>
  </si>
  <si>
    <t xml:space="preserve">2 Boulevard d'Arcole, Toulouse, Occitanie, France, 31000</t>
  </si>
  <si>
    <t xml:space="preserve">Acteur majeur de la vente de terrains à bâtir sur Toulouse et la Haute-Garonne, les Parcs Aménageur propose ses terrains à vendre sur Toulouse et sa région.</t>
  </si>
  <si>
    <t>Miranda</t>
  </si>
  <si>
    <t xml:space="preserve">SFP ISOBAT</t>
  </si>
  <si>
    <t>serge.miranda@sfp-isobat.com</t>
  </si>
  <si>
    <t>http://www.linkedin.com/in/serge-miranda-805a06b1</t>
  </si>
  <si>
    <t>http://www.sfp-isobat.fr</t>
  </si>
  <si>
    <t xml:space="preserve">Gennevilliers, Ile-de-France, France</t>
  </si>
  <si>
    <t xml:space="preserve">Bienvenue chez SFP ISOBAT « Faire de vos projets une référence » Réactivité, prestations sur-mesure et solutions fiables dans le temps, tels sont les maîtres-mots de SFP ISOBAT. Bureau d’études intégré, chargés d’études, poseurs maison et poseurs sous-traitants référencés régulièrement formés au meilleur niveau, SFP ISOBAT propose des prestations clés en mains, pour des chantiers</t>
  </si>
  <si>
    <t xml:space="preserve">DUARTE &amp; BAKER</t>
  </si>
  <si>
    <t>mduarte@duarte-baker.com</t>
  </si>
  <si>
    <t>http://www.linkedin.com/in/marco-duarte-28a8b4100</t>
  </si>
  <si>
    <t>http://www.duarte-baker.com</t>
  </si>
  <si>
    <t xml:space="preserve">69 Rue de Lyon, Paris, Ile-de-France, France, 75012</t>
  </si>
  <si>
    <t xml:space="preserve">Duarte &amp; Baker's website</t>
  </si>
  <si>
    <t>Malik</t>
  </si>
  <si>
    <t>Lamkadam</t>
  </si>
  <si>
    <t>MV2</t>
  </si>
  <si>
    <t>malik.lamkadam@mv2.fr</t>
  </si>
  <si>
    <t>http://www.linkedin.com/in/maliklamkadam</t>
  </si>
  <si>
    <t>http://www.mv2.fr</t>
  </si>
  <si>
    <t xml:space="preserve">30 Rue Ribot, Chaumont, Grand Est, France, 52000</t>
  </si>
  <si>
    <t xml:space="preserve">MV2, spécialiste de la rénovation. Fenêtres, couvertures, isolation ou pompes à chaleur : faites appel à nous pour une étude personnalisée gratuite.</t>
  </si>
  <si>
    <t>Delaby</t>
  </si>
  <si>
    <t>prefabricationbois.com</t>
  </si>
  <si>
    <t>w.delaby@prefabricationbois.com</t>
  </si>
  <si>
    <t>http://www.linkedin.com/in/william-delaby</t>
  </si>
  <si>
    <t>http://www.prefabricationbois.com</t>
  </si>
  <si>
    <t xml:space="preserve">6B Boulevard Berthelot, Montpellier, Languedoc-Roussillon, France, 34000</t>
  </si>
  <si>
    <t xml:space="preserve">Trouvez des partenaires professionnels fiables dans le domaine de la charpente, de la construction bois et de la préfabrication en atelier.</t>
  </si>
  <si>
    <t xml:space="preserve">Président fondateur du Groupe AETHICA</t>
  </si>
  <si>
    <t>p.fontaine@aethica.fr</t>
  </si>
  <si>
    <t>http://www.linkedin.com/in/patrick-fontaine-b01999281</t>
  </si>
  <si>
    <t>Gaillard-Dubois</t>
  </si>
  <si>
    <t xml:space="preserve">Co-fondateur / Dirigeant</t>
  </si>
  <si>
    <t>Hexagone</t>
  </si>
  <si>
    <t>r.gaillarddubois@hexagonepm.fr</t>
  </si>
  <si>
    <t>http://www.linkedin.com/in/romain-gaillard-dubois-5211b034</t>
  </si>
  <si>
    <t>http://www.hexagonepm.fr</t>
  </si>
  <si>
    <t xml:space="preserve">13 Residence de Grasse Village, Feucherolles, Ile-de-France, France, 78810</t>
  </si>
  <si>
    <t xml:space="preserve">Hexagone, spécialiste de la plâtrerie et menuiserie intérieure. Logement collectif et individuel. Fourniture et pose pour les professionnels de l’île de France (bailleurs, institutionnels, et promoteurs). Ouvrages : lots isolation, cloisons, doublages, faux plafonds, menuiserie intérieure, et escaliers bois.</t>
  </si>
  <si>
    <t>Reniew®</t>
  </si>
  <si>
    <t>thibaud@reniew.fr</t>
  </si>
  <si>
    <t>http://www.linkedin.com/in/thibaudbrossard</t>
  </si>
  <si>
    <t>http://www.reniew.fr</t>
  </si>
  <si>
    <t xml:space="preserve">23 Rue des Phoceens, Marseille, Provence-Alpes-Cote d'Azur, France, 13002</t>
  </si>
  <si>
    <t xml:space="preserve">Reniew®, c'est la vasque durable,
100% recyclée, en SoftSurface™ Le Pavé®,
Fabriquée en France à partir de déchets.</t>
  </si>
  <si>
    <t>Barconnière</t>
  </si>
  <si>
    <t>laurent.guyon@barconniere.com</t>
  </si>
  <si>
    <t>http://www.linkedin.com/in/laurentguyondg</t>
  </si>
  <si>
    <t>http://www.barconniere.com</t>
  </si>
  <si>
    <t xml:space="preserve">Route de Goulat, Nontron, Aquitaine, France, 24300</t>
  </si>
  <si>
    <t xml:space="preserve">Spécialiste depuis 50 ans, Barconnière intervient sur la charpente métallique, le bardage, la couverture et la métallerie en Nouvelle-Aquitaine et en région Centre</t>
  </si>
  <si>
    <t>Queru</t>
  </si>
  <si>
    <t>jean-pierre.queru@france-sols.fr</t>
  </si>
  <si>
    <t>http://www.linkedin.com/in/jean-pierre-qu%c3%a9ru-09568950</t>
  </si>
  <si>
    <t>Matias</t>
  </si>
  <si>
    <t xml:space="preserve">A2M PROXIMETAL</t>
  </si>
  <si>
    <t>matias.lionel@proximetal.fr</t>
  </si>
  <si>
    <t>http://www.linkedin.com/in/lionel-matias-868a12169</t>
  </si>
  <si>
    <t>http://www.proximetal.fr</t>
  </si>
  <si>
    <t>Begles</t>
  </si>
  <si>
    <t xml:space="preserve">101 Zone Industrielle les Pins, Saint-Aubin-de-Blaye, Nouvelle-Aquitaine, France, 33820</t>
  </si>
  <si>
    <t xml:space="preserve">Constructions métalliques de bâtiments industriels, collectifs et agricoles. Serrurerie, tôlerie, métallerie, pour bardage couverture etc</t>
  </si>
  <si>
    <t>Cabridain</t>
  </si>
  <si>
    <t xml:space="preserve">Co-fondateur HOME CONCEPT</t>
  </si>
  <si>
    <t xml:space="preserve">HOME CONCEPT</t>
  </si>
  <si>
    <t>gilles.cabridain@homeconcept.fr</t>
  </si>
  <si>
    <t>http://www.linkedin.com/in/gilles-cabridain-267618299</t>
  </si>
  <si>
    <t>http://www.homeconcept.fr</t>
  </si>
  <si>
    <t xml:space="preserve">98 Rue de Montreuil, Vincennes, Ile-de-France, France, 94300</t>
  </si>
  <si>
    <t xml:space="preserve">Programmes neufs, appartements rénovés : HOME CONCEPT propose des appartements en Ile-de-France : L’Hay-les-Roses (94240), Meudon (92190), Maisons-Alfort (94700), Créteil (94000)...</t>
  </si>
  <si>
    <t>Teixeira</t>
  </si>
  <si>
    <t xml:space="preserve">CLIMATIKA 77</t>
  </si>
  <si>
    <t>a.teixeira@climatika77.com</t>
  </si>
  <si>
    <t>http://www.linkedin.com/in/anthony-teixeira-b02174206</t>
  </si>
  <si>
    <t>http://www.climatika77.com</t>
  </si>
  <si>
    <t xml:space="preserve">Pontault-Combault, Ile-de-France, France</t>
  </si>
  <si>
    <t>Cau</t>
  </si>
  <si>
    <t>CLIMAT</t>
  </si>
  <si>
    <t>o.cau@climat-systems.fr</t>
  </si>
  <si>
    <t>http://www.linkedin.com/in/olivier-cau-835393224</t>
  </si>
  <si>
    <t>http://www.climatsystems.fr</t>
  </si>
  <si>
    <t>Chanteloup-en-Brie</t>
  </si>
  <si>
    <t xml:space="preserve">Chanteloup-en-Brie, Ile-de-France, France</t>
  </si>
  <si>
    <t xml:space="preserve">Découvrez Climat Systems, vos experts de l’installation et de la maintenance de vos systèmes frigorifiques professionnels en Seine-et-Marne.</t>
  </si>
  <si>
    <t>PREVENTEC</t>
  </si>
  <si>
    <t>flefebvre@preventec.fr</t>
  </si>
  <si>
    <t>http://www.linkedin.com/in/fran%c3%a7ois-lefebvre-b3251a44</t>
  </si>
  <si>
    <t>http://www.preventec.fr</t>
  </si>
  <si>
    <t xml:space="preserve">407 Rue Salvador Allende, Loos, Hauts-de-France, France, 59120</t>
  </si>
  <si>
    <t>Heleux</t>
  </si>
  <si>
    <t xml:space="preserve">i2C INGENIERIE</t>
  </si>
  <si>
    <t>rheleux@i2c-sa.fr</t>
  </si>
  <si>
    <t>http://www.linkedin.com/in/ronan-h%c3%a9leux-355811145</t>
  </si>
  <si>
    <t>http://www.i2c-ingenierie.fr</t>
  </si>
  <si>
    <t xml:space="preserve">25 Rue Bahon Rault, Saint-Gregoire, Brittany, France, 35760</t>
  </si>
  <si>
    <t xml:space="preserve">Bureau d’études pluridisciplinaire, I2C Ingénierie vous accompagne de la phase de conception jusqu’à la réalisation de votre projet de construction.</t>
  </si>
  <si>
    <t xml:space="preserve">Tech and Product Enthusiast, Co-Founder @ Yalink | Shaping the future</t>
  </si>
  <si>
    <t>alex@yalink.fr</t>
  </si>
  <si>
    <t>http://www.linkedin.com/in/alex-jousse</t>
  </si>
  <si>
    <t xml:space="preserve">Océane Habitat</t>
  </si>
  <si>
    <t>l.guibert@oceanehabitat44.fr</t>
  </si>
  <si>
    <t>http://www.linkedin.com/in/ludovic-guibert-b750829b</t>
  </si>
  <si>
    <t>http://www.maisons-oceane-habitat.com</t>
  </si>
  <si>
    <t xml:space="preserve">Construction de maisons individuelles sur mesure en Loire-Atlantique. Avec Océane Habitat faites construire la maison qui vous ressemble.</t>
  </si>
  <si>
    <t xml:space="preserve">LDA Environnement</t>
  </si>
  <si>
    <t>t.ollivier@ldae.fr</t>
  </si>
  <si>
    <t>http://www.linkedin.com/in/thierry-ollivier-a64330208</t>
  </si>
  <si>
    <t>http://www.lda-environnement.com</t>
  </si>
  <si>
    <t xml:space="preserve">Bethune, Nord-Pas-de-Calais, France</t>
  </si>
  <si>
    <t>Guillement</t>
  </si>
  <si>
    <t>Juignet</t>
  </si>
  <si>
    <t>didier.guillement@juignet-sas.com</t>
  </si>
  <si>
    <t>http://www.linkedin.com/in/didier-guillement-428039228</t>
  </si>
  <si>
    <t>http://www.juignet-sas.com</t>
  </si>
  <si>
    <t xml:space="preserve">7 Rue du Bignon, Les Sorinieres, Pays de la Loire, France, 44840</t>
  </si>
  <si>
    <t>Sce</t>
  </si>
  <si>
    <t>a.garnier@sce28.fr</t>
  </si>
  <si>
    <t>http://www.linkedin.com/in/aur%c3%a9lien-garnier-47283b164</t>
  </si>
  <si>
    <t>http://www.sce28.fr</t>
  </si>
  <si>
    <t xml:space="preserve">110 Rue de Sours, Chartres, Centre-Val de Loire, France, 28000</t>
  </si>
  <si>
    <t xml:space="preserve">LA SCE, société chartraine d'électricité existe depuis plus de 4 générations ! Nous sommes situés au 110 rue de Sours à Chartres.</t>
  </si>
  <si>
    <t>Tonquedec</t>
  </si>
  <si>
    <t xml:space="preserve">UNION THERMIQUE</t>
  </si>
  <si>
    <t>tonquedec@unionthermique.fr</t>
  </si>
  <si>
    <t>http://www.linkedin.com/in/loic-de-tonquedec-66625a68</t>
  </si>
  <si>
    <t>http://www.unionthermique.fr</t>
  </si>
  <si>
    <t xml:space="preserve">11 Chemin Neuf, Gouvernes, Ile-de-France, France, 77400</t>
  </si>
  <si>
    <t>Marcenat</t>
  </si>
  <si>
    <t>Logelis</t>
  </si>
  <si>
    <t>geraud.marcenat@logelis.com</t>
  </si>
  <si>
    <t>http://www.linkedin.com/in/g%c3%a9raud-marcenat-19591419</t>
  </si>
  <si>
    <t>http://www.logelis.com</t>
  </si>
  <si>
    <t xml:space="preserve">Romans-sur-Isere, Auvergne-Rhone-Alpes, France, 26100</t>
  </si>
  <si>
    <t xml:space="preserve">Contactez Logelis, le spécialiste de la fourniture de murs et façades en ossature bois pour les professionnels de la construction. Des solutions personnalisées pour chaque projet.</t>
  </si>
  <si>
    <t>Balle</t>
  </si>
  <si>
    <t xml:space="preserve">Orikia Promotion</t>
  </si>
  <si>
    <t>nicolas.balle@orikia-promotion.com</t>
  </si>
  <si>
    <t>http://www.linkedin.com/in/nicolas-balle-7a469770</t>
  </si>
  <si>
    <t>http://www.orikia-promotion.com</t>
  </si>
  <si>
    <t>Kyriasis</t>
  </si>
  <si>
    <t xml:space="preserve">Leray Menuiserie</t>
  </si>
  <si>
    <t>nicolas.kyriasis@leray-menuiserie.fr</t>
  </si>
  <si>
    <t>http://www.linkedin.com/in/nicolas-kyriasis-a3366b42</t>
  </si>
  <si>
    <t>http://www.leray-menuiserie.fr</t>
  </si>
  <si>
    <t xml:space="preserve">Trignac, Pays de la Loire, France</t>
  </si>
  <si>
    <t xml:space="preserve">Leray Menuiserie est la référence pour vos travaux de menuiserie en Presqu'île Guérandaise - Saint-Nazaire, La Baule, Guérande</t>
  </si>
  <si>
    <t>Bourdin</t>
  </si>
  <si>
    <t xml:space="preserve">CREA Construction</t>
  </si>
  <si>
    <t>bertrand@creaconstruction.fr</t>
  </si>
  <si>
    <t>http://www.linkedin.com/in/bertrand-bourdin-50609b155</t>
  </si>
  <si>
    <t>http://www.creagc.com</t>
  </si>
  <si>
    <t>Fay-de-Bretagne</t>
  </si>
  <si>
    <t xml:space="preserve">161 N Clark St, Chicago, Illinois, United States, 60601</t>
  </si>
  <si>
    <t>Delsarte</t>
  </si>
  <si>
    <t>BOISDELLYS</t>
  </si>
  <si>
    <t>aymeric@boisdellys.com</t>
  </si>
  <si>
    <t>http://www.linkedin.com/in/aymeric-delsarte-1b336199</t>
  </si>
  <si>
    <t>http://www.boisdellys.com</t>
  </si>
  <si>
    <t xml:space="preserve">Montfort-sur-Meu, Brittany, France, 35160</t>
  </si>
  <si>
    <t xml:space="preserve">Construction bois écoresponsable et durable. Le bois, permet toutes les audaces en préservant les ressources naturelles.</t>
  </si>
  <si>
    <t>Lettieri</t>
  </si>
  <si>
    <t>COUVREST</t>
  </si>
  <si>
    <t>dlettieri@couvrest.fr</t>
  </si>
  <si>
    <t>http://www.linkedin.com/in/damien-lettieri-a46603134</t>
  </si>
  <si>
    <t>http://www.couvrest.fr</t>
  </si>
  <si>
    <t xml:space="preserve">Ludres, Alsace-Champagne-Ardenne-Lorraine, France</t>
  </si>
  <si>
    <t xml:space="preserve">Couvrest, votre spécialiste en Alsace et Lorraine de la couverture, le bardage, l’étanchéité et la rénovation de vos bâtiments.</t>
  </si>
  <si>
    <t xml:space="preserve"> Directeur Général IMMALLIANCE VAR</t>
  </si>
  <si>
    <t xml:space="preserve">VALDEVEZ PEINTURE</t>
  </si>
  <si>
    <t>vincent@instagram.com</t>
  </si>
  <si>
    <t>http://www.linkedin.com/in/vincent-l-33614b125</t>
  </si>
  <si>
    <t>http://www.instagram.com</t>
  </si>
  <si>
    <t xml:space="preserve">359 Rue de Premarchand, Cadaujac, Nouvelle-Aquitaine, France, 33140</t>
  </si>
  <si>
    <t>Perro</t>
  </si>
  <si>
    <t>Eréo</t>
  </si>
  <si>
    <t>e.perro@ereoenergies.fr</t>
  </si>
  <si>
    <t>http://www.linkedin.com/in/eric-perro-1aa27a100</t>
  </si>
  <si>
    <t>http://www.ereoenergies.fr</t>
  </si>
  <si>
    <t xml:space="preserve">EREO, plombier, chauffagiste multi-énergies, électricien : installation, entretien et réparation pour professionnels et particuliers - Lamballe</t>
  </si>
  <si>
    <t xml:space="preserve">ARSENAL FLUIDES</t>
  </si>
  <si>
    <t>jmmartin@arsenal-fluides.fr</t>
  </si>
  <si>
    <t>http://www.linkedin.com/in/jean-marc-martin-75a75b132</t>
  </si>
  <si>
    <t>http://www.arsenal-fluides.fr</t>
  </si>
  <si>
    <t xml:space="preserve">44 Route de Corbas, Venissieux, Auvergne-Rhone-Alpes, France, 69200</t>
  </si>
  <si>
    <t>Romeyer</t>
  </si>
  <si>
    <t xml:space="preserve">SACMA Agencements</t>
  </si>
  <si>
    <t>f.romeyer@sacma.fr</t>
  </si>
  <si>
    <t>http://www.linkedin.com/in/frederic-romeyer-0677a686</t>
  </si>
  <si>
    <t>http://www.sacma.fr</t>
  </si>
  <si>
    <t xml:space="preserve">15 Rue du Vercors, Saint-Etienne, Auvergne-Rhone-Alpes, France, 42100</t>
  </si>
  <si>
    <t xml:space="preserve">SACMA Agencements : agencements, bureau d’études, second œuvre, fabrication et pose, mobiliers. Depuis 1963.</t>
  </si>
  <si>
    <t>Vion</t>
  </si>
  <si>
    <t>f.vion@subclic.com</t>
  </si>
  <si>
    <t>http://www.linkedin.com/in/fr%c3%a9d%c3%a9ric-vion-0496b37a</t>
  </si>
  <si>
    <t>Tressel</t>
  </si>
  <si>
    <t>DOURMAP</t>
  </si>
  <si>
    <t>h.tressel@dourmap.com</t>
  </si>
  <si>
    <t>http://www.linkedin.com/in/herv%c3%a9-tressel-1b5a1293</t>
  </si>
  <si>
    <t>http://www.dourmap.com</t>
  </si>
  <si>
    <t xml:space="preserve">280 Rue Antoine de Lavoisier, Guipavas, Brittany, France, 29490</t>
  </si>
  <si>
    <t xml:space="preserve">RYFE Bureau D’études</t>
  </si>
  <si>
    <t>m.castel@ryfebureaudetudes.com</t>
  </si>
  <si>
    <t>http://www.linkedin.com/in/melanie-castel-197a22196</t>
  </si>
  <si>
    <t>http://www.ryfebureaudetudes.com</t>
  </si>
  <si>
    <t xml:space="preserve">28 Rue Jacques Gallicher, Ezanville, Ile-de-France, France, 95460</t>
  </si>
  <si>
    <t>Khadiri</t>
  </si>
  <si>
    <t xml:space="preserve">Directeur Général BET ACIE</t>
  </si>
  <si>
    <t>ACIE-INGENIERIE</t>
  </si>
  <si>
    <t>r.khadiri@acie-ing.fr</t>
  </si>
  <si>
    <t>http://www.linkedin.com/in/rachid-khadiri-2716b034</t>
  </si>
  <si>
    <t>http://www.acie-ing.fr</t>
  </si>
  <si>
    <t xml:space="preserve">VAUBAN GC</t>
  </si>
  <si>
    <t>lpichard@vaubangc.fr</t>
  </si>
  <si>
    <t>http://www.linkedin.com/in/luc-pichard-05baab182</t>
  </si>
  <si>
    <t>http://www.vaubangc.fr</t>
  </si>
  <si>
    <t xml:space="preserve">611 Rue Paul Boucherot, Ifs, Lower Normandy, France, 14123</t>
  </si>
  <si>
    <t xml:space="preserve">VAUBAN GC : Collectivités ? Industriels ? Agriculteurs ? Particuliers ? VAUBAN GC vous assure de sa totale implication dans vos projets</t>
  </si>
  <si>
    <t>Dailly</t>
  </si>
  <si>
    <t>archimed-GE</t>
  </si>
  <si>
    <t>sdailly@archimed-ge.com</t>
  </si>
  <si>
    <t>http://www.linkedin.com/in/sylvain-dailly-bb700049</t>
  </si>
  <si>
    <t>http://www.archimed-ge.com</t>
  </si>
  <si>
    <t>Michot</t>
  </si>
  <si>
    <t xml:space="preserve">Président Co-Fondateur</t>
  </si>
  <si>
    <t>IMETIS</t>
  </si>
  <si>
    <t>omichot@imetis.fr</t>
  </si>
  <si>
    <t>http://www.linkedin.com/in/olivier-michot-a6473ab</t>
  </si>
  <si>
    <t>http://www.imetis.fr</t>
  </si>
  <si>
    <t xml:space="preserve">35 Rue de Marseille, Lyon, Auvergne-Rhone-Alpes, France, 69007</t>
  </si>
  <si>
    <t xml:space="preserve">L’IMMOBILIER MAITRISE
Que vous soyez investisseurs, utilisateurs ou promoteurs, aménageurs, IMETIS est là pour vous accompagner, conseiller et défendre vos intérêts à chaque étape de vos projets immobiliers.</t>
  </si>
  <si>
    <t>L'houtellier</t>
  </si>
  <si>
    <t xml:space="preserve">SNR Entreprise</t>
  </si>
  <si>
    <t>a.lhoutellier@snrentreprise.com</t>
  </si>
  <si>
    <t>http://www.linkedin.com/in/arthur-l-houtellier-97a2b950</t>
  </si>
  <si>
    <t>http://www.snrentreprise.com</t>
  </si>
  <si>
    <t xml:space="preserve">76 Avenue de Paris, Saint-Berthevin, Pays de la Loire, France, 53940</t>
  </si>
  <si>
    <t xml:space="preserve">Avec plus de 30 ans d’expérience, SNR Entreprise vous conseille et prend en charge l’intégralité de votre projet, de rénovation et d’aménagement de bâtiment</t>
  </si>
  <si>
    <t xml:space="preserve">SPP PAI</t>
  </si>
  <si>
    <t>sebastien.prevost@psigroupe.com</t>
  </si>
  <si>
    <t>http://www.linkedin.com/in/s%c3%a9bastien-pr%c3%a9vost-1b8663182</t>
  </si>
  <si>
    <t>http://www.psigroupe.com</t>
  </si>
  <si>
    <t xml:space="preserve">La Creche, Poitou-Charentes, France</t>
  </si>
  <si>
    <t xml:space="preserve">Spécialiste des ossatures métalliques, plaques de plâtre, plafond, profilé de finition façade et accessoires pour l'aménagement intérieur. PSI, le savoir-faire et l'expertise d'un fabricant français au service des métiers du plafiste, plaquiste, façadier.</t>
  </si>
  <si>
    <t>Cloet</t>
  </si>
  <si>
    <t>gcloet@ac2f-normandie.fr</t>
  </si>
  <si>
    <t>http://www.linkedin.com/in/gregory-cloet</t>
  </si>
  <si>
    <t>Lehuede</t>
  </si>
  <si>
    <t xml:space="preserve">BST-BATIMENT SANITAIRE THERMIQUE</t>
  </si>
  <si>
    <t>jp.lehuede@bst-sa.fr</t>
  </si>
  <si>
    <t>http://www.linkedin.com/in/jean-paul-lehuede-46a587259</t>
  </si>
  <si>
    <t>http://www.bst-sa.fr</t>
  </si>
  <si>
    <t xml:space="preserve">Pace, Florida, United States</t>
  </si>
  <si>
    <t>Mattern</t>
  </si>
  <si>
    <t xml:space="preserve">BC INOXEO</t>
  </si>
  <si>
    <t>philippe.mattern@baudinchateauneuf.com</t>
  </si>
  <si>
    <t>http://www.linkedin.com/in/philippe-mattern-5750406a</t>
  </si>
  <si>
    <t>http://www.bcinoxeo.com</t>
  </si>
  <si>
    <t>Chateauneuf-sur-Loire</t>
  </si>
  <si>
    <t xml:space="preserve">49 Rue de Saint-Barthelemy, Chateauneuf-sur-Loire, Centre-Val de Loire, France, 45110</t>
  </si>
  <si>
    <t xml:space="preserve">BC Inoxéo, fabriquant et installateur de bassins ou piscines en inox d'une qualité inoxydable. Inoxéo, une filiale du groupe Baudin Chateauneuf.</t>
  </si>
  <si>
    <t xml:space="preserve">AMOCER Group</t>
  </si>
  <si>
    <t>jerome.laurent@amocer.eu</t>
  </si>
  <si>
    <t>http://www.linkedin.com/in/jerome-laurent-36252b90</t>
  </si>
  <si>
    <t>http://www.amocer-group.com</t>
  </si>
  <si>
    <t xml:space="preserve">60 Rue Lawrence Durrel, Avignon, Provence-Alpes-Cote d'Azur, France, 84140</t>
  </si>
  <si>
    <t xml:space="preserve">AMOCER Group est un bureau d'études structure, spécialisé dans les études, les modélisations, la R&amp;D et la maîtrise d'oeuvre.</t>
  </si>
  <si>
    <t>Negrello</t>
  </si>
  <si>
    <t xml:space="preserve">INGENIERIE CONSTRUCTION STRUCTURES</t>
  </si>
  <si>
    <t>b.negrello@bet-ics.com</t>
  </si>
  <si>
    <t>http://www.linkedin.com/in/benoit-negrello-a44a41180</t>
  </si>
  <si>
    <t>http://www.bet-ics.fr</t>
  </si>
  <si>
    <t xml:space="preserve">95 Rue du Dauphine, Saint-Priest, Rhone-Alpes, France, 69800</t>
  </si>
  <si>
    <t>Robine</t>
  </si>
  <si>
    <t xml:space="preserve">directrice générale</t>
  </si>
  <si>
    <t xml:space="preserve">ASC ROBINE</t>
  </si>
  <si>
    <t>karine.robine@ascrobine.com</t>
  </si>
  <si>
    <t>http://www.linkedin.com/in/karine-robine-b19452115</t>
  </si>
  <si>
    <t>http://www.ascrobine.com</t>
  </si>
  <si>
    <t>Englesqueville-la-Percee</t>
  </si>
  <si>
    <t xml:space="preserve">Brehal, Lower Normandy, France</t>
  </si>
  <si>
    <t>Hatim</t>
  </si>
  <si>
    <t>Rih</t>
  </si>
  <si>
    <t>SoPUMP</t>
  </si>
  <si>
    <t>hatim.rih@sopump.fr</t>
  </si>
  <si>
    <t>http://www.linkedin.com/in/rhatim</t>
  </si>
  <si>
    <t>http://www.sopump.io</t>
  </si>
  <si>
    <t xml:space="preserve">SoPUMP est un logiciel à destination des spécialistes de la location de pompe à béton. Automatisez votre activité pour vous concentrer sur l'essentiel.</t>
  </si>
  <si>
    <t>AGDI</t>
  </si>
  <si>
    <t>arnaud.garnier@agdi-demolition.fr</t>
  </si>
  <si>
    <t>http://www.linkedin.com/in/arnaud-garnier-750457aa</t>
  </si>
  <si>
    <t>http://www.agdi-demolition.fr</t>
  </si>
  <si>
    <t>Roye</t>
  </si>
  <si>
    <t xml:space="preserve">14 Rue Julien Detaille, Vrely, Hauts-de-France, France, 80170</t>
  </si>
  <si>
    <t>Hirschner</t>
  </si>
  <si>
    <t xml:space="preserve">ENTREPRISE DE CONSTRUCTIONS HIRSCHNER</t>
  </si>
  <si>
    <t>mathieu@hirschner.fr</t>
  </si>
  <si>
    <t>http://www.linkedin.com/in/mathieu-hirschner-88468b1a0</t>
  </si>
  <si>
    <t>http://www.hirschner.fr</t>
  </si>
  <si>
    <t xml:space="preserve">Holtzheim, Alsace, France</t>
  </si>
  <si>
    <t>Wissam</t>
  </si>
  <si>
    <t>Marroun</t>
  </si>
  <si>
    <t xml:space="preserve">Directeur Général Ingénieur Expert Génie Civil</t>
  </si>
  <si>
    <t xml:space="preserve">SOS B.E.T</t>
  </si>
  <si>
    <t>wmarroun@sos-bet.com</t>
  </si>
  <si>
    <t>http://www.linkedin.com/in/wissam-marroun-17b366132</t>
  </si>
  <si>
    <t>http://www.sos-bet.com</t>
  </si>
  <si>
    <t xml:space="preserve">16 Rue Neuve Sainte-Catherine, Marseille, Provence-Alpes-Cote d'Azur, France, 13007</t>
  </si>
  <si>
    <t>Palie</t>
  </si>
  <si>
    <t>SANTRAC</t>
  </si>
  <si>
    <t>patrick.palie@santrac.fr</t>
  </si>
  <si>
    <t>http://www.linkedin.com/in/patrickpalie</t>
  </si>
  <si>
    <t>http://www.santrac.fr</t>
  </si>
  <si>
    <t xml:space="preserve">13 Rue Denis Papin, Le Lion-d'Angers, Pays de la Loire, France, 49220</t>
  </si>
  <si>
    <t xml:space="preserve">Santrac est expert de l’enfouissement de vos réseaux secs et humides. Entreprise innovante et réactive, elle est implantée près d’Angers. Que vous travailliez au sein d’une collectivité ou d’une entreprise, vous pouvez faire appel à Santrac pour nous soumettre un projet d’enfouissement de réseaux secs ou humides.</t>
  </si>
  <si>
    <t>Tommaso</t>
  </si>
  <si>
    <t xml:space="preserve">Founder CEO</t>
  </si>
  <si>
    <t xml:space="preserve">Maisons ATRIUM</t>
  </si>
  <si>
    <t>stephane@maisonsatrium.fr</t>
  </si>
  <si>
    <t>http://www.linkedin.com/in/st%c3%a9phane-di-tommaso-8b1aa9152</t>
  </si>
  <si>
    <t>http://www.maisonsatrium.fr</t>
  </si>
  <si>
    <t xml:space="preserve">14 Rue de Vaucouleurs, Vandoeuvre-les-Nancy, Grand Est, France, 54500</t>
  </si>
  <si>
    <t xml:space="preserve">Maisons ATRIUM, constructeur spécialisé dans les maisons individuelles premium sur-mesure à Nancy.</t>
  </si>
  <si>
    <t xml:space="preserve">Co-founder &amp; Technical Director</t>
  </si>
  <si>
    <t xml:space="preserve">High Six</t>
  </si>
  <si>
    <t>max.garcia@highsix.xyz</t>
  </si>
  <si>
    <t>http://www.linkedin.com/in/highsixmax</t>
  </si>
  <si>
    <t>http://www.highsix.fr</t>
  </si>
  <si>
    <t xml:space="preserve">Approche produit, conception digitalisée et construction hors-site pour l’intégration optimale de solutions constructives alternatives</t>
  </si>
  <si>
    <t>Ferrarin</t>
  </si>
  <si>
    <t>EURISOL</t>
  </si>
  <si>
    <t>m.ferrarin@eurisol.net</t>
  </si>
  <si>
    <t>http://www.linkedin.com/in/marco-ferrarin-30a304132</t>
  </si>
  <si>
    <t>http://www.eurisol.net</t>
  </si>
  <si>
    <t xml:space="preserve">Senlis, Picardy, France</t>
  </si>
  <si>
    <t>Horneck</t>
  </si>
  <si>
    <t xml:space="preserve">Directeur général.</t>
  </si>
  <si>
    <t xml:space="preserve">Ravier Plombier depuis 1958</t>
  </si>
  <si>
    <t>n.horneck@ravier78.fr</t>
  </si>
  <si>
    <t>http://www.linkedin.com/in/nicolas-horneck-a26915173</t>
  </si>
  <si>
    <t>http://www.ravier78.fr</t>
  </si>
  <si>
    <t xml:space="preserve">GROUPE PAGÈS</t>
  </si>
  <si>
    <t>lguyon@groupepages.fr</t>
  </si>
  <si>
    <t>http://www.linkedin.com/in/laurent-guyon-4522b947</t>
  </si>
  <si>
    <t>http://www.groupepages.fr</t>
  </si>
  <si>
    <t xml:space="preserve">Avenue Jean Moulin, Saint-Christol-les-Ales, Occitanie, France, 30380</t>
  </si>
  <si>
    <t xml:space="preserve">Découvrez nos solutions d'aménagement TCE, agencement sur-mesure, mobilier unique, pour magasins, bureaux, hospitality, agence et travel. Expertise garantie !</t>
  </si>
  <si>
    <t xml:space="preserve">PONS MENUISERIES</t>
  </si>
  <si>
    <t>luc@pons-menuiseries.com</t>
  </si>
  <si>
    <t>http://www.linkedin.com/in/luc-pons-4a3a57206</t>
  </si>
  <si>
    <t>http://www.pons-menuiseries.com</t>
  </si>
  <si>
    <t>Cahors</t>
  </si>
  <si>
    <t xml:space="preserve">680 Route de Cahors, Lamagdelaine, Occitanie, France, 46090</t>
  </si>
  <si>
    <t xml:space="preserve">SOLA TP</t>
  </si>
  <si>
    <t>dsantos@solatp.fr</t>
  </si>
  <si>
    <t>http://www.linkedin.com/in/david-dos-santos-72a3bb1a4</t>
  </si>
  <si>
    <t>http://www.solatp.fr</t>
  </si>
  <si>
    <t>Draveil</t>
  </si>
  <si>
    <t xml:space="preserve">Description du site</t>
  </si>
  <si>
    <t>victoria.ferreira@groupetpf.fr</t>
  </si>
  <si>
    <t>http://www.linkedin.com/in/victoria-ferreira-7693b21b3</t>
  </si>
  <si>
    <t>Marie-Odile</t>
  </si>
  <si>
    <t xml:space="preserve">Directeur général HOME CONCEPT</t>
  </si>
  <si>
    <t>marie-odile.cabridain@homeconcept.fr</t>
  </si>
  <si>
    <t>http://www.linkedin.com/in/marie-odile-cabridain-61a48620b</t>
  </si>
  <si>
    <t>Hamaoui</t>
  </si>
  <si>
    <t>RéaVie</t>
  </si>
  <si>
    <t>mohamed@asso-reavie.fr</t>
  </si>
  <si>
    <t>http://www.linkedin.com/in/mohamed-hamaoui-307784127</t>
  </si>
  <si>
    <t>http://www.asso-reavie.fr</t>
  </si>
  <si>
    <t xml:space="preserve">Directeur général et gérant</t>
  </si>
  <si>
    <t>Clairon</t>
  </si>
  <si>
    <t>christophe.cormier@clairon.org</t>
  </si>
  <si>
    <t>http://www.linkedin.com/in/christophe-cormier-1b393b40</t>
  </si>
  <si>
    <t>http://www.clairon.glass</t>
  </si>
  <si>
    <t xml:space="preserve">2111 W 76th St, Hialeah, Florida, United States, 33016</t>
  </si>
  <si>
    <t xml:space="preserve">Discover Clairon's range of custom glass shower doors. Installing across Miami, Broward, and Palm Beach since '05- Get an Online Quote today!</t>
  </si>
  <si>
    <t>Lobligeois</t>
  </si>
  <si>
    <t xml:space="preserve">GROUPE LOBLIGEOIS</t>
  </si>
  <si>
    <t>cedric.lobligeois@groupe-lobligeois.com</t>
  </si>
  <si>
    <t>http://www.linkedin.com/in/cedric-lobligeois-152315199</t>
  </si>
  <si>
    <t>http://www.groupe-lobligeois.com</t>
  </si>
  <si>
    <t xml:space="preserve">2 Rue des Ateliers, Saint-Renan, Brittany, France, 29290</t>
  </si>
  <si>
    <t xml:space="preserve">La ferronnerie d’art Lobligeois de Saint Renan près de Brest dans le Finistère (29) vous propose des escaliers, meubles, gardes corps, portails, passerelles, claustras, rambardes, balcons et terrasses sur-mesure.</t>
  </si>
  <si>
    <t>ah@debevre.com</t>
  </si>
  <si>
    <t>http://www.linkedin.com/in/amauryhonore</t>
  </si>
  <si>
    <t>SPACING</t>
  </si>
  <si>
    <t>xavier.richard@spacing.pro</t>
  </si>
  <si>
    <t>http://www.linkedin.com/in/xavier-richard-1333782</t>
  </si>
  <si>
    <t>http://www.spacing.pro</t>
  </si>
  <si>
    <t xml:space="preserve">Rue Louis Bouquet, Fleurbaix, Hauts-de-France, France, 62840</t>
  </si>
  <si>
    <t xml:space="preserve">Accueil - Spacing expert en aménagement intérieur</t>
  </si>
  <si>
    <t>Corbie</t>
  </si>
  <si>
    <t>SITM</t>
  </si>
  <si>
    <t>mathieu.corbie@sitm77.fr</t>
  </si>
  <si>
    <t>http://www.linkedin.com/in/mathieu-corbie-183451179</t>
  </si>
  <si>
    <t>http://www.sitm77.fr</t>
  </si>
  <si>
    <t xml:space="preserve">12 Rue Lavoisier, Lagny-sur-Marne, Ile-de-France, France, 77400</t>
  </si>
  <si>
    <t xml:space="preserve">Nos réalisations : ferronnerie, serrurerie, chaudronnerie, constructions et menuiseries métalliques.</t>
  </si>
  <si>
    <t>Aragones</t>
  </si>
  <si>
    <t xml:space="preserve">SAM Rénovation</t>
  </si>
  <si>
    <t>benjamin@samrenovation.fr</t>
  </si>
  <si>
    <t>http://www.linkedin.com/in/benjamin-aragones-6b80a319a</t>
  </si>
  <si>
    <t>http://www.samrenovation.fr</t>
  </si>
  <si>
    <t xml:space="preserve">494 Rue de la Jasse de Maurin, Montpellier, Occitanie, France, 34070</t>
  </si>
  <si>
    <t xml:space="preserve">Entreprise générale de bâtiment &amp; Agence de rénovation haut de gamme basée 
à Montpellier.</t>
  </si>
  <si>
    <t>Serraille</t>
  </si>
  <si>
    <t xml:space="preserve">ETS SERRAILLE</t>
  </si>
  <si>
    <t>julien@ets-serraille.fr</t>
  </si>
  <si>
    <t>http://www.linkedin.com/in/julien-serraille-397a5411a</t>
  </si>
  <si>
    <t>http://www.ets-serraille.fr</t>
  </si>
  <si>
    <t xml:space="preserve">Roanne, Auvergne-Rhone-Alpes, France, 42300</t>
  </si>
  <si>
    <t xml:space="preserve">ETS SERRAILLE: Couverture Roanne, spécialiste Zinguerie Etanchéité Mably, Riorges. Votre artisan couvreur zingueur - Le Coteau. Bardage &amp; Isolation</t>
  </si>
  <si>
    <t>Micha</t>
  </si>
  <si>
    <t>Nikolic</t>
  </si>
  <si>
    <t xml:space="preserve">Façades Ingénierie Construction</t>
  </si>
  <si>
    <t>micha.nikolic@veolia.com</t>
  </si>
  <si>
    <t>http://www.linkedin.com/in/micha-nikolic-0b6a937a</t>
  </si>
  <si>
    <t>http://www.fic-veolia.com</t>
  </si>
  <si>
    <t xml:space="preserve">27 Rue de l'Industrie, Draveil, Ile-de-France, France, 91210</t>
  </si>
  <si>
    <t xml:space="preserve">La société FIC, spécialisée dans le domaine de la façade aluminium, réalise depuis plus de 20 ans des chantiers de grande envergure pour le compte d’investisseurs privés, publics et contractants généraux.</t>
  </si>
  <si>
    <t>Leborgne</t>
  </si>
  <si>
    <t xml:space="preserve">MAF ATLANTIQUE Menuiserie Acier</t>
  </si>
  <si>
    <t>gleborgne@maf-atlantique.fr</t>
  </si>
  <si>
    <t>http://www.linkedin.com/in/guillaume-leborgne</t>
  </si>
  <si>
    <t>http://www.maf-atlantique.fr</t>
  </si>
  <si>
    <t>Guerande</t>
  </si>
  <si>
    <t xml:space="preserve">3 Rue de la Lande, Guerande, Pays de la Loire, France, 44350</t>
  </si>
  <si>
    <t xml:space="preserve">Spécialise du prêt à poser en menuiserie acier feu,vitrée feu, aluminium, bois</t>
  </si>
  <si>
    <t>Celal</t>
  </si>
  <si>
    <t>Karabay</t>
  </si>
  <si>
    <t xml:space="preserve">IDEA Construction</t>
  </si>
  <si>
    <t>cka@ideaconstruction.fr</t>
  </si>
  <si>
    <t>http://www.linkedin.com/in/celal-karabay-b7809a19</t>
  </si>
  <si>
    <t>http://www.ideaconstruction.com</t>
  </si>
  <si>
    <t>Florange</t>
  </si>
  <si>
    <t xml:space="preserve">100 N Central Expy, Dallas, Texas, United States, 75201</t>
  </si>
  <si>
    <t xml:space="preserve">MAISONS EGLANTINE</t>
  </si>
  <si>
    <t>mmonteiro@maisons-eglantine.fr</t>
  </si>
  <si>
    <t>http://www.linkedin.com/in/manuel-monteiro-78ba331a5</t>
  </si>
  <si>
    <t>http://www.maisons-eglantine.fr</t>
  </si>
  <si>
    <t xml:space="preserve">115 Avenue Georges Pompidou, Libourne, Aquitaine, France, 33500</t>
  </si>
  <si>
    <t xml:space="preserve">Maisons Églantine met son savoir-faire à votre service pour l'achat de terrain et la construction de maison individuelle en Aquitaine.</t>
  </si>
  <si>
    <t>Bouis</t>
  </si>
  <si>
    <t>CORTEP</t>
  </si>
  <si>
    <t>pbouis@cortep.fr</t>
  </si>
  <si>
    <t>http://www.linkedin.com/in/philippe-bouis-a3194362</t>
  </si>
  <si>
    <t>http://www.cortep.fr</t>
  </si>
  <si>
    <t xml:space="preserve">Rueil-Malmaison, Ile-de-France, France</t>
  </si>
  <si>
    <t>francois.soula@totalcable.fr</t>
  </si>
  <si>
    <t>http://www.linkedin.com/in/fran%c3%a7ois-soula-a85131b3</t>
  </si>
  <si>
    <t>Mohsen</t>
  </si>
  <si>
    <t>Ayadi</t>
  </si>
  <si>
    <t xml:space="preserve">HARKE D&amp;B</t>
  </si>
  <si>
    <t>mohsen.ayadi@harkedb.com</t>
  </si>
  <si>
    <t>http://www.linkedin.com/in/mohsen-ayadi-665aa9101</t>
  </si>
  <si>
    <t>http://www.harkedb.com</t>
  </si>
  <si>
    <t xml:space="preserve">64 Rue du Dessous-des-Berges, Paris, Ile-de-France, France, 75013</t>
  </si>
  <si>
    <t xml:space="preserve">Depuis des années les membres de l’équipe harke sont à votre service pour vous apporter leur expertise pour l’aménagement de vos espaces de travail. De la conception à l’utilisation en passant par la réalisation, les fondateurs d’harke mettent leurs équipes à vos services dans les domaines de l’ingénierie, de la construction, de la réhabilitation ou restructuration de vos locaux.</t>
  </si>
  <si>
    <t xml:space="preserve">FIMUREX BTP</t>
  </si>
  <si>
    <t>t.laurent@fimurex.com</t>
  </si>
  <si>
    <t>http://www.linkedin.com/in/thierry-ja-laurent</t>
  </si>
  <si>
    <t>http://www.adets.fr</t>
  </si>
  <si>
    <t xml:space="preserve">Rives, Auvergne-Rhone-Alpes, France, 38140</t>
  </si>
  <si>
    <t>Camara</t>
  </si>
  <si>
    <t xml:space="preserve">Fondateur associé</t>
  </si>
  <si>
    <t>IN&amp;MAA</t>
  </si>
  <si>
    <t>maxime.camara@inemaa.fr</t>
  </si>
  <si>
    <t>http://www.linkedin.com/in/maxime-camara-141017121</t>
  </si>
  <si>
    <t>http://www.inemaa.fr</t>
  </si>
  <si>
    <t xml:space="preserve">Orvault, Pays de la Loire, France, 44700</t>
  </si>
  <si>
    <t>Cornaton</t>
  </si>
  <si>
    <t xml:space="preserve">ABAC INGENIERIE</t>
  </si>
  <si>
    <t>cornaton@abac-ingenierie.fr</t>
  </si>
  <si>
    <t>http://www.linkedin.com/in/franck-cornaton-94a51816</t>
  </si>
  <si>
    <t>http://www.abac-ingenierie.fr</t>
  </si>
  <si>
    <t>Vernosc-les-Annonay</t>
  </si>
  <si>
    <t xml:space="preserve">241 Rue Victor Hugo, Villefranche-sur-Saone, Auvergne-Rhone-Alpes, France, 69400</t>
  </si>
  <si>
    <t>Sauveur</t>
  </si>
  <si>
    <t>Bucchieri</t>
  </si>
  <si>
    <t>sauveur@marion-isolation.fr</t>
  </si>
  <si>
    <t>http://www.linkedin.com/in/sauveur-bucchieri-b58a17a9</t>
  </si>
  <si>
    <t>http://www.marion-isolation.fr</t>
  </si>
  <si>
    <t xml:space="preserve">35 Rue Jules Guesde, Villeurbanne, Rhone-Alpes, France, 69100</t>
  </si>
  <si>
    <t xml:space="preserve">FABRIPLAST Menuiseries</t>
  </si>
  <si>
    <t>johan.olivier@fabriplast-sas.fr</t>
  </si>
  <si>
    <t>http://www.linkedin.com/in/johan-olivier-81058888</t>
  </si>
  <si>
    <t>http://www.fabriplast-fenetre-veranda.fr</t>
  </si>
  <si>
    <t xml:space="preserve">10 Rue de Nesle, Roye, Hauts-de-France, France, 80700</t>
  </si>
  <si>
    <t xml:space="preserve">Améliorez les performances et le confort de votre maison avec Fabriplast : Fenêtre, Porte, Véranda, Pergola, Volets de Qualité Supérieure</t>
  </si>
  <si>
    <t>Gout</t>
  </si>
  <si>
    <t xml:space="preserve">SAS PEGEON FILS</t>
  </si>
  <si>
    <t>christinegout@pegeon-fils.com</t>
  </si>
  <si>
    <t>http://www.linkedin.com/in/christine-gout-99080114b</t>
  </si>
  <si>
    <t>http://www.pegeon-fils.com</t>
  </si>
  <si>
    <t xml:space="preserve">Beaumont, Auvergne-Rhone-Alpes, France</t>
  </si>
  <si>
    <t>Cordelier</t>
  </si>
  <si>
    <t xml:space="preserve">Wall Up Préfa</t>
  </si>
  <si>
    <t>a.cordelier@wallup.fr</t>
  </si>
  <si>
    <t>http://www.linkedin.com/in/arthur-cordelier-baa1a2168</t>
  </si>
  <si>
    <t>http://www.wallup.fr</t>
  </si>
  <si>
    <t xml:space="preserve">Aulnoy, Ile-de-France, France, 77120</t>
  </si>
  <si>
    <t>m.garnier@sce28.fr</t>
  </si>
  <si>
    <t>http://www.linkedin.com/in/maxime-garnier-42617413b</t>
  </si>
  <si>
    <t>Vettier</t>
  </si>
  <si>
    <t xml:space="preserve">WAX BETON</t>
  </si>
  <si>
    <t>gillesvettier@wax-beton.com</t>
  </si>
  <si>
    <t>http://www.linkedin.com/in/gilles-vettier-827462204</t>
  </si>
  <si>
    <t>http://www.wax-beton.com</t>
  </si>
  <si>
    <t xml:space="preserve">La Richardais, Brittany, France</t>
  </si>
  <si>
    <t xml:space="preserve">Wax béton, fabricant de béton ciré à Saint-Malo / Dinard : INTÉRIEUR &amp; EXTÉRIEUR. Béton pour Sols / Murs / Meubles / Douches Italiennes. Solutions pour Bars / Hôtels / Restaurants / Halls d’Entrées / Showrooms / Villas.</t>
  </si>
  <si>
    <t>Deslis</t>
  </si>
  <si>
    <t xml:space="preserve">ROGER MARTEAU SAS</t>
  </si>
  <si>
    <t>richard.deslis@roger-marteau.fr</t>
  </si>
  <si>
    <t>http://www.linkedin.com/in/richard-deslis-a35047121</t>
  </si>
  <si>
    <t>http://www.roger-marteau.fr</t>
  </si>
  <si>
    <t xml:space="preserve">Rue de Sainte-Marie, Saint-Jean-de-Braye, Centre, France, 45800</t>
  </si>
  <si>
    <t>Jarlot</t>
  </si>
  <si>
    <t>Nooco</t>
  </si>
  <si>
    <t>guillaume.jarlot@nooco.com</t>
  </si>
  <si>
    <t>http://www.linkedin.com/in/guillaume-jarlot-15120a25</t>
  </si>
  <si>
    <t>http://www.nooco.com</t>
  </si>
  <si>
    <t xml:space="preserve">Nooco aide les acteurs de la construction à piloter les émissions carbone de leurs projets. L'ACV certifié enfin accessible pour tous, fiable et sans expertise.</t>
  </si>
  <si>
    <t>Lamberet</t>
  </si>
  <si>
    <t xml:space="preserve">Evolum Containers</t>
  </si>
  <si>
    <t>jeremy.l@evolum-containers.com</t>
  </si>
  <si>
    <t>http://www.linkedin.com/in/j%c3%a9r%c3%a9my-lamberet-3342a1175</t>
  </si>
  <si>
    <t>http://www.containerland.fr</t>
  </si>
  <si>
    <t xml:space="preserve">Civrieux, Rhone-Alpes, France</t>
  </si>
  <si>
    <t>Elslande</t>
  </si>
  <si>
    <t>FDS</t>
  </si>
  <si>
    <t>ebruno@factset.com</t>
  </si>
  <si>
    <t>http://www.linkedin.com/in/bruno-van-elslande</t>
  </si>
  <si>
    <t>http://www.factset.com</t>
  </si>
  <si>
    <t>Saint-Fargeau-Ponthierry</t>
  </si>
  <si>
    <t xml:space="preserve">Rothwell, England, United Kingdom</t>
  </si>
  <si>
    <t>Afonso</t>
  </si>
  <si>
    <t>AFONSO</t>
  </si>
  <si>
    <t>luisafonso@afonsosas.com</t>
  </si>
  <si>
    <t>http://www.linkedin.com/in/luis-afonso-23802a295</t>
  </si>
  <si>
    <t>http://www.afonsosas.com</t>
  </si>
  <si>
    <t xml:space="preserve">Epinal, Grand Est, France, 88000</t>
  </si>
  <si>
    <t>Spehner</t>
  </si>
  <si>
    <t>SPEHNER</t>
  </si>
  <si>
    <t>thomas@spehner.fr</t>
  </si>
  <si>
    <t>http://www.linkedin.com/in/thomas-spehner-34a845133</t>
  </si>
  <si>
    <t>http://www.spehner.fr</t>
  </si>
  <si>
    <t>Geispolsheim</t>
  </si>
  <si>
    <t xml:space="preserve">6 Rue Frederic Chopin, Geispolsheim, Grand Est, France, 67118</t>
  </si>
  <si>
    <t xml:space="preserve">Lachaux Paysage</t>
  </si>
  <si>
    <t>tguignard@lachaux-paysage.fr</t>
  </si>
  <si>
    <t>http://www.linkedin.com/in/thierry-guignard-b880a122a</t>
  </si>
  <si>
    <t>http://www.lachauxpaysage.com</t>
  </si>
  <si>
    <t xml:space="preserve">12 Rue des Etangs, Villevaude, Ile-de-France, France, 77410</t>
  </si>
  <si>
    <t xml:space="preserve">Lachaux Paysage est une entreprise spécialisée dans la création et l’entretien d’espaces verts, et l’arboriculture. n'hésitez pas à visiter nos réalisation, nos expertises.</t>
  </si>
  <si>
    <t>Cegielka</t>
  </si>
  <si>
    <t xml:space="preserve">LES TOITURES DE L'EST</t>
  </si>
  <si>
    <t>thierry.cegielka@lestoituresdelest.fr</t>
  </si>
  <si>
    <t>http://www.linkedin.com/in/thierry-cegielka-bb8851299</t>
  </si>
  <si>
    <t>http://www.lestoituresdelest.fr</t>
  </si>
  <si>
    <t>Jouy-aux-Arches</t>
  </si>
  <si>
    <t xml:space="preserve">Actisud Saint-Jean, Ancy-Dornot, Grand Est, France, 57130</t>
  </si>
  <si>
    <t>Brunot</t>
  </si>
  <si>
    <t xml:space="preserve">DIRECTIQUE ENGINEERING</t>
  </si>
  <si>
    <t>olivier.brunot@directique.com</t>
  </si>
  <si>
    <t>http://www.linkedin.com/in/olivierbrunot</t>
  </si>
  <si>
    <t>http://www.directique.com</t>
  </si>
  <si>
    <t xml:space="preserve">15 Rue Henri Regnault, Paris, Ile-de-France, France, 75014</t>
  </si>
  <si>
    <t>Hantz</t>
  </si>
  <si>
    <t xml:space="preserve">DEXT Habitat</t>
  </si>
  <si>
    <t>jimmy.hantz@dext-habitat.fr</t>
  </si>
  <si>
    <t>http://www.linkedin.com/in/jimmy-hantz-b0279551</t>
  </si>
  <si>
    <t>http://www.dext-habitat.fr</t>
  </si>
  <si>
    <t xml:space="preserve">Impasse des Combes, Laissac, Occitanie, France, 12310</t>
  </si>
  <si>
    <t xml:space="preserve">Vous envisagez d'agrandir votre maison ? Dext Habitat propose des solutions pour agrandir votre espace de vie. Modernes et Design découvrez nos modèles.</t>
  </si>
  <si>
    <t>Midavaine</t>
  </si>
  <si>
    <t xml:space="preserve">Midavaine GROUPE</t>
  </si>
  <si>
    <t>a.midavaine@midavaine.com</t>
  </si>
  <si>
    <t>http://www.linkedin.com/in/arnaud-midavaine-6941b8152</t>
  </si>
  <si>
    <t>http://www.groupe-midavaine.com</t>
  </si>
  <si>
    <t>Listone</t>
  </si>
  <si>
    <t>Lutonadio</t>
  </si>
  <si>
    <t>llutonadio@lenaud.com</t>
  </si>
  <si>
    <t>http://www.linkedin.com/in/listone-lutonadio-29935658</t>
  </si>
  <si>
    <t>Lecoeur</t>
  </si>
  <si>
    <t xml:space="preserve">SARL FENETRES DE PICARDIE</t>
  </si>
  <si>
    <t>s.lecoeur@fenetres-de-picardie.fr</t>
  </si>
  <si>
    <t>http://www.linkedin.com/in/sylvain-lecoeur-164219246</t>
  </si>
  <si>
    <t>http://www.fenetres-de-picardie.fr</t>
  </si>
  <si>
    <t>Grandvilliers</t>
  </si>
  <si>
    <t xml:space="preserve">32 Rue Eugene de Saint-Fuscien, Grandvilliers, Hauts-de-France, France, 60210</t>
  </si>
  <si>
    <t xml:space="preserve">JANNEAU et SOMFY - Fenêtres, Portes d'entrée, Portails, Volets, Portes de garages, Stores, Motorisation... grandes marques en magasin à Grandvilliers</t>
  </si>
  <si>
    <t>Flavien</t>
  </si>
  <si>
    <t>SPRAS</t>
  </si>
  <si>
    <t>flavien@spras.fr</t>
  </si>
  <si>
    <t>http://www.linkedin.com/in/flavien-r%c3%a9mi-432109b1</t>
  </si>
  <si>
    <t>http://www.spras.fr</t>
  </si>
  <si>
    <t xml:space="preserve">85 Rue des Charmes, Chartrettes, Ile-de-France, France, 77590</t>
  </si>
  <si>
    <t xml:space="preserve">SPRAS vous propose ses expertises métiers avec précision et minutie pour tous vos projets d’aménagement et de construction. Nous conseillons et accompagnons nos clients sur chaque étape de leur chantier avec comme mots d’ordre : exigence, qualité, délai et souplesse.</t>
  </si>
  <si>
    <t>Bejean</t>
  </si>
  <si>
    <t>TH</t>
  </si>
  <si>
    <t>a.bejean@tech-hab.com</t>
  </si>
  <si>
    <t>http://www.linkedin.com/in/alain-bejean-1771023a</t>
  </si>
  <si>
    <t>http://www.th-groupe.com</t>
  </si>
  <si>
    <t xml:space="preserve">1602 North Cahuenga Boulevard, Los Angeles, California, United States, 90028</t>
  </si>
  <si>
    <t>Raye</t>
  </si>
  <si>
    <t xml:space="preserve">Directeur associé &amp; Président</t>
  </si>
  <si>
    <t>p.raye@akera.fr</t>
  </si>
  <si>
    <t>http://www.linkedin.com/in/philippe-ray%c3%a9-42575711</t>
  </si>
  <si>
    <t>Favrat</t>
  </si>
  <si>
    <t xml:space="preserve">FAVRAT CONSTRUCTION BOIS</t>
  </si>
  <si>
    <t>pascal@favrat.fr</t>
  </si>
  <si>
    <t>http://www.linkedin.com/in/pascal-favrat-8a4406a7</t>
  </si>
  <si>
    <t>http://www.favrat-ossature-bois.fr</t>
  </si>
  <si>
    <t>Orcier</t>
  </si>
  <si>
    <t xml:space="preserve">84 Route du Lac, Orcier, Auvergne-Rhone-Alpes, France, 74550</t>
  </si>
  <si>
    <t xml:space="preserve">Charpente Favrat 74 réalise des constructions bois telles que des charpentes et des ossatures bois mais aussi des maisons en structure bois sur l'Ain et la Haute Savoie; Intervention charpente sur Thonon, Annemasse, Evian, Bogeve, Avoriaz, Perrignier, sciez, Douvaine, Bons en chablais, Trevoux, Amberieu en bugey, Meximieu, Miribel, Lyon, Saint Quentin fallavier, certifié rt 2012 et Qualibat</t>
  </si>
  <si>
    <t>Ozdemir</t>
  </si>
  <si>
    <t>y.ozdemir@cf-services.com</t>
  </si>
  <si>
    <t>http://www.linkedin.com/in/yunus-ozdemir-4680a0103</t>
  </si>
  <si>
    <t xml:space="preserve">OSSATURE PRODUCTION</t>
  </si>
  <si>
    <t>olivierfabre@ossatureproduction.com</t>
  </si>
  <si>
    <t>http://www.linkedin.com/in/olivier-fabre-77220029</t>
  </si>
  <si>
    <t>http://www.ossature-production.com</t>
  </si>
  <si>
    <t xml:space="preserve">41 Rue de Nivouville, Chateaudun, Centre, France, 28200</t>
  </si>
  <si>
    <t xml:space="preserve">Ossature Production est spécialisée depuis 20 ans dans la fabrication et la pose de stands d'exposition haut de gamme, de showroom et dans l'aménagement de magasin.</t>
  </si>
  <si>
    <t>Plankeele</t>
  </si>
  <si>
    <t xml:space="preserve">Collectif JINKAU</t>
  </si>
  <si>
    <t>tplankeele@blue-beaver.com</t>
  </si>
  <si>
    <t>http://www.linkedin.com/in/thomas-plankeele</t>
  </si>
  <si>
    <t>http://www.jinkau.com</t>
  </si>
  <si>
    <t>Gevaert</t>
  </si>
  <si>
    <t xml:space="preserve">TECHPLI SAS</t>
  </si>
  <si>
    <t>s.gevaert@techpli.fr</t>
  </si>
  <si>
    <t>http://www.linkedin.com/in/s%c3%a9bastien-gevaert-069589124</t>
  </si>
  <si>
    <t>http://www.techpli.eu</t>
  </si>
  <si>
    <t xml:space="preserve">10 Rue Paule Raymondis, Toulouse, Occitanie, France, 31200</t>
  </si>
  <si>
    <t xml:space="preserve">BOULANGER SAS</t>
  </si>
  <si>
    <t>sboulanger@boulanger-sa.com</t>
  </si>
  <si>
    <t>http://www.linkedin.com/in/sas-boulanger-0325209b</t>
  </si>
  <si>
    <t>http://www.boulanger-sa.com</t>
  </si>
  <si>
    <t xml:space="preserve">Vitre, Brittany, France</t>
  </si>
  <si>
    <t>d.hubert@lesmetronormes.fr</t>
  </si>
  <si>
    <t>http://www.linkedin.com/in/david-hubert-163b8585</t>
  </si>
  <si>
    <t>s.renaudin@hpm-fr.com</t>
  </si>
  <si>
    <t>http://www.linkedin.com/in/samuel-renaudin-56973b40</t>
  </si>
  <si>
    <t>Decelle</t>
  </si>
  <si>
    <t>UNISCOP</t>
  </si>
  <si>
    <t>david.decelle@uniscop.com</t>
  </si>
  <si>
    <t>http://www.linkedin.com/in/david-decelle-794b181a5</t>
  </si>
  <si>
    <t>http://www.uniscop.com</t>
  </si>
  <si>
    <t xml:space="preserve">5 Rue du Carreau, Poitiers, Nouvelle-Aquitaine, France, 86000</t>
  </si>
  <si>
    <t xml:space="preserve">Uniscop c'est l'excellence depuis 1983 pour la rénovation et construction de monuments historiques, logements, tertiaires etc ...</t>
  </si>
  <si>
    <t>Vuillot</t>
  </si>
  <si>
    <t xml:space="preserve">Façades France Rénovation</t>
  </si>
  <si>
    <t>j.vuillot@groupe-ffr.com</t>
  </si>
  <si>
    <t>http://www.linkedin.com/in/julien-vuillot-5b0611a2</t>
  </si>
  <si>
    <t>http://www.facades-france-renovation.fr</t>
  </si>
  <si>
    <t xml:space="preserve">Rue Christian Barnard, Chatillon-sur-Chalaronne, Rhone-Alpes, France, 01400</t>
  </si>
  <si>
    <t xml:space="preserve">Façades France Rénovation est une entreprise spécialisée dans le ravalement de façades et l'isolation extérieure : Lyon, Châtillon-sur-Chalaronne, Bourg-en-Bresse, Mâcon.</t>
  </si>
  <si>
    <t>Martek</t>
  </si>
  <si>
    <t>rene.katz@martek.fr</t>
  </si>
  <si>
    <t>http://www.linkedin.com/in/ren%c3%a9-katz-63406a39</t>
  </si>
  <si>
    <t>http://www.martek.co.uk</t>
  </si>
  <si>
    <t xml:space="preserve">King Henry's Drive, Croydon, England, United Kingdom, CR9 0</t>
  </si>
  <si>
    <t xml:space="preserve">Competitive, market-leading refill systems for retailing dried foods and liquids without single-use plastic. We have a fully stocked range of gravity bins and scoop bins in a number of sizes and manufacture refill stations in all shapes and sizes.</t>
  </si>
  <si>
    <t>Becel</t>
  </si>
  <si>
    <t xml:space="preserve">Atelier Tourtoulou Paris</t>
  </si>
  <si>
    <t>fbecel@ateliertourtoulou.com</t>
  </si>
  <si>
    <t>http://www.linkedin.com/in/frederick-becel-9b1620112</t>
  </si>
  <si>
    <t>http://www.ateliertourtoulou.com</t>
  </si>
  <si>
    <t xml:space="preserve">57B Rue de Tocqueville, Paris, Ile-de-France, France, 75017</t>
  </si>
  <si>
    <t xml:space="preserve">Directeur Division Acoustique SOPREMA Groupe/ Directeur Général TECSOUND SAS</t>
  </si>
  <si>
    <t xml:space="preserve">TECSOUND by Soprema</t>
  </si>
  <si>
    <t>djulia@tecsound.fr</t>
  </si>
  <si>
    <t>http://www.linkedin.com/in/daniel-julia-a6982a57</t>
  </si>
  <si>
    <t>http://www.tecsound.fr</t>
  </si>
  <si>
    <t xml:space="preserve">7 Rue de Furchhausen, Saverne, Grand Est, France, 67700</t>
  </si>
  <si>
    <t xml:space="preserve">Une gamme complète de solutions de haute performance et sur mesure pour relever ensemble les défis acoustiques de demain</t>
  </si>
  <si>
    <t>Bressan</t>
  </si>
  <si>
    <t xml:space="preserve">RAOUL CORRE</t>
  </si>
  <si>
    <t>christian.bressan@raoulcorre.fr</t>
  </si>
  <si>
    <t>http://www.linkedin.com/in/christian-bressan-9700b662</t>
  </si>
  <si>
    <t>http://www.raoulcorre.com</t>
  </si>
  <si>
    <t xml:space="preserve">Le Folgoet, Brittany, France, 29260</t>
  </si>
  <si>
    <t xml:space="preserve">Raoul Corre, Entreprise Générale de Bâtiment depuis 1928, Rénovation Globale Energétique, constructeur de maisons individuelles personnalisées, agencement intérieur, rénovation, extension, spécialiste de la rénovation pierre, le Folgoet, le Relecq Kerhuon, Brest, Finistère Nord 29, Ouessant, Morlaix, Ploudalmézeau, St Pol de Léon, Carantec, Landerneau, Landivisiau, Presquîle de Crozon</t>
  </si>
  <si>
    <t>Prioux</t>
  </si>
  <si>
    <t xml:space="preserve">ASTON BATIMENT</t>
  </si>
  <si>
    <t>l.prioux@astonbatiment.fr</t>
  </si>
  <si>
    <t>http://www.linkedin.com/in/lionel-prioux-099a65125</t>
  </si>
  <si>
    <t>http://www.astonbatiment.fr</t>
  </si>
  <si>
    <t xml:space="preserve">50 Avenue de Nice, Antibes, Provence-Alpes-Cote d'Azur, France, 06600</t>
  </si>
  <si>
    <t>Fannechere</t>
  </si>
  <si>
    <t>BBC-Bois</t>
  </si>
  <si>
    <t>nicolas.fannechere@bbc-bois.com</t>
  </si>
  <si>
    <t>http://www.linkedin.com/in/fannechere</t>
  </si>
  <si>
    <t>http://www.bbc-bois.com</t>
  </si>
  <si>
    <t xml:space="preserve">27BIS Rue du Chemin Noe, Langueux, Brittany, France, 22360</t>
  </si>
  <si>
    <t xml:space="preserve">Basés à Langueux près de Saint Brieuc nous réalisons vos projets de maison, extension, charpente, rénovation, mais aussi isolation et aménagements</t>
  </si>
  <si>
    <t>Megevand</t>
  </si>
  <si>
    <t xml:space="preserve">President Directeur Général</t>
  </si>
  <si>
    <t xml:space="preserve">GROPPI SAS</t>
  </si>
  <si>
    <t>david.megevand@groppi.fr</t>
  </si>
  <si>
    <t>http://www.linkedin.com/in/david-megevand-37049043</t>
  </si>
  <si>
    <t>http://www.groppi.fr</t>
  </si>
  <si>
    <t xml:space="preserve">Thonon-les-Bains, Auvergne-Rhone-Alpes, France, 74200</t>
  </si>
  <si>
    <t xml:space="preserve">Groppi TP, votre entreprise de terrassement à Thonon vous propose son expertise pour réaliser l'ensemble de vos travaux dans la Haute-Savoie</t>
  </si>
  <si>
    <t>Arif</t>
  </si>
  <si>
    <t>ACTS</t>
  </si>
  <si>
    <t>a.cecen@rcebat.com</t>
  </si>
  <si>
    <t>http://www.linkedin.com/in/arifcecen</t>
  </si>
  <si>
    <t>http://www.rcebat.com</t>
  </si>
  <si>
    <t xml:space="preserve">Gonesse, Ile-de-France, France, 95500</t>
  </si>
  <si>
    <t>Renouard</t>
  </si>
  <si>
    <t xml:space="preserve">Fondateur | Directeur de projets | AMO | Formateur</t>
  </si>
  <si>
    <t xml:space="preserve">REN Ingénierie</t>
  </si>
  <si>
    <t>guillaume.renouard@ren-ingenierie.com</t>
  </si>
  <si>
    <t>http://www.linkedin.com/in/guillaume-renouard-50564542</t>
  </si>
  <si>
    <t>http://www.ren-ingenierie.com</t>
  </si>
  <si>
    <t xml:space="preserve">Rénovation | Expertise | Neuf :
REN Ingénierie est une Société de Conseil (AMO / MOE) et de Formation avec une Expertise dans l'Ingénierie, la Direction de projets, et le Management de Projets et d'Equipes.</t>
  </si>
  <si>
    <t>Folly</t>
  </si>
  <si>
    <t>Koussawo</t>
  </si>
  <si>
    <t xml:space="preserve">Fondateur : Président exécutif</t>
  </si>
  <si>
    <t xml:space="preserve">Trianon Homes</t>
  </si>
  <si>
    <t>f.koussawo@trianon-homes.com</t>
  </si>
  <si>
    <t>http://www.linkedin.com/in/folly-koussawo</t>
  </si>
  <si>
    <t>http://www.trianon-homes.com</t>
  </si>
  <si>
    <t xml:space="preserve">Libreville, Estuaire, Gabon</t>
  </si>
  <si>
    <t>Gabon</t>
  </si>
  <si>
    <t>Grenouilleau</t>
  </si>
  <si>
    <t xml:space="preserve">Président SAS ERB</t>
  </si>
  <si>
    <t xml:space="preserve">ERB Entreprise Générale</t>
  </si>
  <si>
    <t>t.grenouilleau@erb-batiment.fr</t>
  </si>
  <si>
    <t>http://www.linkedin.com/in/thomas-grenouilleau-72b772201</t>
  </si>
  <si>
    <t>http://www.erb-batiment.fr</t>
  </si>
  <si>
    <t xml:space="preserve">10 Rue du Chene Galant, Chalonnes-sur-Loire, Pays de la Loire, France, 49290</t>
  </si>
  <si>
    <t xml:space="preserve">Président chez Ilot Piscines - Mondial Piscine</t>
  </si>
  <si>
    <t>ILOT</t>
  </si>
  <si>
    <t>bertrand@ilotpiscines.fr</t>
  </si>
  <si>
    <t>http://www.linkedin.com/in/bertrand-reynaud-48b66a71</t>
  </si>
  <si>
    <t>http://www.ilotpiscines.fr</t>
  </si>
  <si>
    <t xml:space="preserve">Basée à Guérande, Ilot est spécialisée dans la vente et l’installation de piscines, de spas et de cuves de récupération d'eau de pluie.</t>
  </si>
  <si>
    <t>Loth</t>
  </si>
  <si>
    <t>FLOCA-REM</t>
  </si>
  <si>
    <t>jp.loth@flocarem.fr</t>
  </si>
  <si>
    <t>http://www.linkedin.com/in/jean-philippe-loth-423b12111</t>
  </si>
  <si>
    <t>http://www.flocarem.com</t>
  </si>
  <si>
    <t xml:space="preserve">15 Rue de l'Escaut, Reims, Grand Est, France, 51100</t>
  </si>
  <si>
    <t xml:space="preserve">Depuis 2002, Floca-Rem, spécialiste de l'isolation, vous isole et protège du chaud, du froid, des incendies, du bruit et ...</t>
  </si>
  <si>
    <t>Prudent</t>
  </si>
  <si>
    <t>RECMA</t>
  </si>
  <si>
    <t>a.prudent@recma.fr</t>
  </si>
  <si>
    <t>http://www.linkedin.com/in/alexandre-prudent-0703715a</t>
  </si>
  <si>
    <t>http://www.recma.fr</t>
  </si>
  <si>
    <t xml:space="preserve">Guibeville, Ile-de-France, France, 91630</t>
  </si>
  <si>
    <t xml:space="preserve">RECMA, experte en fourniture et pose de revêtements de sols et murs en Île-de-France, sert les professionnels du bâtiment depuis plus de 30 ans.</t>
  </si>
  <si>
    <t xml:space="preserve">AFL Amélioration Française du Logement</t>
  </si>
  <si>
    <t>laurent.neveu@reseau-afl.fr</t>
  </si>
  <si>
    <t>http://www.linkedin.com/in/laurent-neveu-78646b3</t>
  </si>
  <si>
    <t>http://www.reseau-afl.fr</t>
  </si>
  <si>
    <t xml:space="preserve">622 Rue Jean Perrin, Douai, Hauts-de-France, France, 59500</t>
  </si>
  <si>
    <t xml:space="preserve">Entreprise de rénovation énergétique pour vos travaux d'isolation, de toiture et de chauffage, faites appel à AFL, votre partenaire certifié !</t>
  </si>
  <si>
    <t xml:space="preserve">Co-Founder | CEO at SoPUMP</t>
  </si>
  <si>
    <t>abdellah.as@sopump.fr</t>
  </si>
  <si>
    <t>http://www.linkedin.com/in/abdellah-ait-said-b96b94</t>
  </si>
  <si>
    <t>Borney</t>
  </si>
  <si>
    <t>LOGISSIA</t>
  </si>
  <si>
    <t>eric.borney@borney.fr</t>
  </si>
  <si>
    <t>http://www.linkedin.com/in/eric-borney-92769139</t>
  </si>
  <si>
    <t>http://www.unlogementdanslorne.fr</t>
  </si>
  <si>
    <t>Argentan</t>
  </si>
  <si>
    <t xml:space="preserve">21 Rue de la Chaussee, Alencon, Normandie, France, 61000</t>
  </si>
  <si>
    <t xml:space="preserve">Location de maison, appartement, HLM, parking, garage à Alencon, Argentan, Sees, Mortagne, Ferte Mace, Lisieux, Logissia - Sagim - Logis Familial</t>
  </si>
  <si>
    <t xml:space="preserve">DOMEUS CONSTRUCTIONS</t>
  </si>
  <si>
    <t>g.mary@domeus-constructions.fr</t>
  </si>
  <si>
    <t>http://www.linkedin.com/in/guillaume-mary-518136180</t>
  </si>
  <si>
    <t>http://www.domeus-constructions.fr</t>
  </si>
  <si>
    <t xml:space="preserve">33 Rue de l'Atlantique, Basse-Goulaine, Pays de la Loire, France, 44115</t>
  </si>
  <si>
    <t xml:space="preserve">ACMES SAS</t>
  </si>
  <si>
    <t>benoit.pierre@acmes33.fr</t>
  </si>
  <si>
    <t>http://www.linkedin.com/in/benoit-pierre-6934b79a</t>
  </si>
  <si>
    <t>http://www.acmes33.fr</t>
  </si>
  <si>
    <t xml:space="preserve">Eysines, Aquitaine-Limousin-Poitou-Charentes, France, 33320</t>
  </si>
  <si>
    <t xml:space="preserve">MF Drone</t>
  </si>
  <si>
    <t>luc@mf-drone.com</t>
  </si>
  <si>
    <t>http://www.linkedin.com/in/luc-muller-2822b8172</t>
  </si>
  <si>
    <t>http://www.mf-drone.com</t>
  </si>
  <si>
    <t xml:space="preserve">10 Rue du Buet, Ville-la-Grand, Rhone-Alpes, France, 74100</t>
  </si>
  <si>
    <t>Alleau</t>
  </si>
  <si>
    <t>eric.alleau@alcadclim.com</t>
  </si>
  <si>
    <t>http://www.linkedin.com/in/eric-alleau-441805a7</t>
  </si>
  <si>
    <t>Gosmand</t>
  </si>
  <si>
    <t xml:space="preserve">Groupe EDDIFIS</t>
  </si>
  <si>
    <t>dgosmand@groupe-eddifis.fr</t>
  </si>
  <si>
    <t>http://www.linkedin.com/in/didier-gosmand-661aa625</t>
  </si>
  <si>
    <t>http://www.groupe-eddifis.fr</t>
  </si>
  <si>
    <t xml:space="preserve">37 Rue Guy Moquet, Paris, Ile-de-France, France, 75017</t>
  </si>
  <si>
    <t xml:space="preserve">Fondateur | CEO</t>
  </si>
  <si>
    <t>G2V</t>
  </si>
  <si>
    <t>vgerard@g2v.fr</t>
  </si>
  <si>
    <t>http://www.linkedin.com/in/vincent-gerard-95099793</t>
  </si>
  <si>
    <t>http://www.g2v.fr</t>
  </si>
  <si>
    <t xml:space="preserve">57 Boulevard de la Republique, Chatou, Ile-de-France, France, 78400</t>
  </si>
  <si>
    <t xml:space="preserve">DECOBAT ENTREPRISES</t>
  </si>
  <si>
    <t>denis.blanc@decobat-entreprises.com</t>
  </si>
  <si>
    <t>http://www.linkedin.com/in/denis-blanc-3297473b</t>
  </si>
  <si>
    <t>http://www.decobat-entreprises.com</t>
  </si>
  <si>
    <t xml:space="preserve">11 Rue Marsollier, Paris, Ile-de-France, France, 75002</t>
  </si>
  <si>
    <t>Pageot</t>
  </si>
  <si>
    <t xml:space="preserve">Torq &amp; Electric Motion</t>
  </si>
  <si>
    <t>walter.pageot@torq-em.com</t>
  </si>
  <si>
    <t>http://www.linkedin.com/in/walter-pageot-3242605b</t>
  </si>
  <si>
    <t>http://www.torq-em.com</t>
  </si>
  <si>
    <t xml:space="preserve">Le Loroux-Bottereau, Pays de la Loire, France, 44430</t>
  </si>
  <si>
    <t xml:space="preserve">Intégrateur de solutions d'électrification à vocation des machines mobiles. Traction éléctrique, Moteur IPM, AC, Variateur de vitesses, Onduleurs, Convertisseurs, Ponts électrifiés. Haute Tension Basse Tension</t>
  </si>
  <si>
    <t>Abdelfattah</t>
  </si>
  <si>
    <t>EathVentum</t>
  </si>
  <si>
    <t>abdelfattah.hadji@eathventum.com</t>
  </si>
  <si>
    <t>http://www.linkedin.com/in/hadjiabdelfattah</t>
  </si>
  <si>
    <t>http://www.eathventum.com</t>
  </si>
  <si>
    <t xml:space="preserve">2 Rue de la Ferme Saint-Simon, Gonesse, Ile-de-France, France, 95500</t>
  </si>
  <si>
    <t>Hennequin</t>
  </si>
  <si>
    <t xml:space="preserve">Cofondateur &amp; CEO @Stugan</t>
  </si>
  <si>
    <t>Stugan</t>
  </si>
  <si>
    <t>manuel.hennequin@stugan-house.com</t>
  </si>
  <si>
    <t>http://www.linkedin.com/in/manuelhennequin-entrepreneur-impact</t>
  </si>
  <si>
    <t>http://www.stugan-house.com</t>
  </si>
  <si>
    <t xml:space="preserve">126 Avenue Estienne d'Orves, La Seyne-sur-Mer, Provence-Alpes-Cote d'Azur, France, 83500</t>
  </si>
  <si>
    <t>Desgrippes</t>
  </si>
  <si>
    <t>ZEOM</t>
  </si>
  <si>
    <t>vincent.desgrippes@zeom.fr</t>
  </si>
  <si>
    <t>http://www.linkedin.com/in/vdesgrippes</t>
  </si>
  <si>
    <t>http://www.zeom.fr</t>
  </si>
  <si>
    <t xml:space="preserve">Avenue d'Alphasis, Saint-Gregoire, Bretagne, France, 35760</t>
  </si>
  <si>
    <t xml:space="preserve">Bienvenue sur le site de ZEOM Habitat, constructeur de maisons durables et écologiques futuristes.</t>
  </si>
  <si>
    <t>Sagnard</t>
  </si>
  <si>
    <t xml:space="preserve">Groupe Culture Habitat</t>
  </si>
  <si>
    <t>u.sagnard@culturehabitat.com</t>
  </si>
  <si>
    <t>http://www.linkedin.com/in/ugo-sagnard-17697516</t>
  </si>
  <si>
    <t>http://www.culturehabitat.com</t>
  </si>
  <si>
    <t>Rizzon</t>
  </si>
  <si>
    <t xml:space="preserve">MAISONS CLAUDE RIZZON</t>
  </si>
  <si>
    <t>benjamin.rizzon@rizzon.com</t>
  </si>
  <si>
    <t>http://www.linkedin.com/in/benjamin-rizzon-765a26225</t>
  </si>
  <si>
    <t>http://www.maisonsclauderizzon-lorraine.fr</t>
  </si>
  <si>
    <t>Chatel-Saint-Germain</t>
  </si>
  <si>
    <t xml:space="preserve">1 Route de Briey, Chatel-Saint-Germain, Grand Est, France, 57160</t>
  </si>
  <si>
    <t>Simone</t>
  </si>
  <si>
    <t>Grismondi</t>
  </si>
  <si>
    <t xml:space="preserve">SEMM Logging</t>
  </si>
  <si>
    <t>grismondi@semmlogging.com</t>
  </si>
  <si>
    <t>http://www.linkedin.com/in/simone-grismondi-36431b1a</t>
  </si>
  <si>
    <t>http://www.semmlogging.com</t>
  </si>
  <si>
    <t xml:space="preserve">2290 Champ Mouille, Vesdun, Centre-Val de Loire, France, 18360</t>
  </si>
  <si>
    <t>CV3E</t>
  </si>
  <si>
    <t>lsoriano@cv3e.fr</t>
  </si>
  <si>
    <t>http://www.linkedin.com/in/laurent-soriano-594996106</t>
  </si>
  <si>
    <t>http://www.cv3e.fr</t>
  </si>
  <si>
    <t xml:space="preserve">20 Rue des Metiers, Septemes-les-Vallons, Provence-Alpes-Cote d'Azur, France, 13240</t>
  </si>
  <si>
    <t xml:space="preserve">CV3E Spécialiste en Génie électrique et climatique : courant fort, courant faible, climatisation, ventilation,chauffage. Région PACA.</t>
  </si>
  <si>
    <t>Toral</t>
  </si>
  <si>
    <t xml:space="preserve">Maisons d’en France Sud Pyrénées – Acteur de PROCIVIS Nouvelle Aquitaine</t>
  </si>
  <si>
    <t>ntoral@maisons-aquitaine.fr</t>
  </si>
  <si>
    <t>http://www.linkedin.com/in/nicolas-toral-2094551b8</t>
  </si>
  <si>
    <t>http://www.maisonsdenfrance-sudpyrenees.fr</t>
  </si>
  <si>
    <t xml:space="preserve">Pau, Nouvelle-Aquitaine, France</t>
  </si>
  <si>
    <t>Berthon</t>
  </si>
  <si>
    <t xml:space="preserve">Advivo Office Public de l'Habitat</t>
  </si>
  <si>
    <t>nicolas.berthon@advivo.fr</t>
  </si>
  <si>
    <t>http://www.linkedin.com/in/nicolas-berthon-56458464</t>
  </si>
  <si>
    <t>http://www.advivo.fr</t>
  </si>
  <si>
    <t xml:space="preserve">1 square de la resistance, Vienne, Auvergne-Rhone-Alpes, France, 38200</t>
  </si>
  <si>
    <t>Maroin</t>
  </si>
  <si>
    <t>Hamra</t>
  </si>
  <si>
    <t xml:space="preserve">M&amp;H Ingénierie</t>
  </si>
  <si>
    <t>maroin.hamra@mh-ingenierie.fr</t>
  </si>
  <si>
    <t>http://www.linkedin.com/in/maroin-hamra-33710ba8</t>
  </si>
  <si>
    <t>http://www.mh-ingenierie.fr</t>
  </si>
  <si>
    <t xml:space="preserve">7 Rue Montespan, Courcouronnes, Ile-de-France, France, 91000</t>
  </si>
  <si>
    <t>Landrin</t>
  </si>
  <si>
    <t>ANACLOS</t>
  </si>
  <si>
    <t>m.landrin@anaclos.com</t>
  </si>
  <si>
    <t>http://www.linkedin.com/in/michel-landrin-403a94a7</t>
  </si>
  <si>
    <t>http://www.anaclos.com</t>
  </si>
  <si>
    <t>RealSense</t>
  </si>
  <si>
    <t>olivier@realsense.fr</t>
  </si>
  <si>
    <t>http://www.linkedin.com/in/olivier-gauthier-mrics-63386210</t>
  </si>
  <si>
    <t>http://www.realsense.fr</t>
  </si>
  <si>
    <t xml:space="preserve">100 Quai de la Rapee, Paris, Ile-de-France, France, 75012</t>
  </si>
  <si>
    <t xml:space="preserve">www.realsense.fr. 
Experts in managing construction and real estate projects in France, Switzerland and Monaco. 
We listen, we plan and we manage your capital projects with a Sense of Elegance and Commitment towards Excellence. 
Please visit our website and contact us</t>
  </si>
  <si>
    <t>Camuset</t>
  </si>
  <si>
    <t xml:space="preserve">Directeur général - Ingenieur electrotechnique</t>
  </si>
  <si>
    <t>ILCREE</t>
  </si>
  <si>
    <t>christophe.camuset@ilcree.com</t>
  </si>
  <si>
    <t>http://www.linkedin.com/in/christophe-camuset-537121137</t>
  </si>
  <si>
    <t>http://www.ilcree.com</t>
  </si>
  <si>
    <t xml:space="preserve">3 Rue Gambetta, Saint-Die-des-Vosges, Lorraine, France, 88100</t>
  </si>
  <si>
    <t>Mapair</t>
  </si>
  <si>
    <t>Sarl</t>
  </si>
  <si>
    <t>MAPAIR</t>
  </si>
  <si>
    <t>mapair@mapair.fr</t>
  </si>
  <si>
    <t>http://www.linkedin.com/in/mapair-sarl-6172b422a</t>
  </si>
  <si>
    <t>http://www.mapair.fr</t>
  </si>
  <si>
    <t>Villiers-le-Bel</t>
  </si>
  <si>
    <t xml:space="preserve">Villiers-le-Bel, Ile-de-France, France</t>
  </si>
  <si>
    <t>Bruchet</t>
  </si>
  <si>
    <t xml:space="preserve">GROUPE SECRE</t>
  </si>
  <si>
    <t>o.bruchet@groupe-secre.eu</t>
  </si>
  <si>
    <t>http://www.linkedin.com/in/olivier-bruchet-a4b1335a</t>
  </si>
  <si>
    <t>http://www.groupe-secre.com</t>
  </si>
  <si>
    <t xml:space="preserve">Rue des Colibris, Loison-sous-Lens, Hauts-de-France, France, 62218</t>
  </si>
  <si>
    <t>Morbe</t>
  </si>
  <si>
    <t>PRODOTEC</t>
  </si>
  <si>
    <t>remi.morbe@prodotec.fr</t>
  </si>
  <si>
    <t>http://www.linkedin.com/in/r%c3%a9mi-morb%c3%a9-362692131</t>
  </si>
  <si>
    <t>http://www.prodotec.fr</t>
  </si>
  <si>
    <t xml:space="preserve">Vigy, Grand Est, France, 57640</t>
  </si>
  <si>
    <t>Tebbal</t>
  </si>
  <si>
    <t xml:space="preserve">BIM Manager &amp; Founder</t>
  </si>
  <si>
    <t xml:space="preserve">We Build Up</t>
  </si>
  <si>
    <t>hassan.tebbal@webuildup.io</t>
  </si>
  <si>
    <t>http://www.linkedin.com/in/hassan-tebbal-b40890114</t>
  </si>
  <si>
    <t>http://www.webuildup.io</t>
  </si>
  <si>
    <t xml:space="preserve">Versailles, Ile-de-France, France, 78000</t>
  </si>
  <si>
    <t xml:space="preserve">We Build Up - Digitaliser le monde de la construction</t>
  </si>
  <si>
    <t>Simao</t>
  </si>
  <si>
    <t>Marinho</t>
  </si>
  <si>
    <t xml:space="preserve">CONSTRUCTIONS NASCER DO SOL</t>
  </si>
  <si>
    <t>batiment@nascer-do-sol.com</t>
  </si>
  <si>
    <t>http://www.linkedin.com/in/sim%c3%a3o-marinho-62b9231b2</t>
  </si>
  <si>
    <t>http://www.nascer-do-sol.com</t>
  </si>
  <si>
    <t xml:space="preserve">Chemin du Moulinal, Venes, Occitanie, France, 81440</t>
  </si>
  <si>
    <t xml:space="preserve">Construction Nascer do Sol</t>
  </si>
  <si>
    <t>Beauvillain</t>
  </si>
  <si>
    <t xml:space="preserve">Saint Quentin Bâtiment</t>
  </si>
  <si>
    <t>patrick.b@apy78.fr</t>
  </si>
  <si>
    <t>http://www.linkedin.com/in/patrick-beauvillain-036ab814b</t>
  </si>
  <si>
    <t>http://www.sqb-batiment.fr</t>
  </si>
  <si>
    <t xml:space="preserve">1 Avenue Joseph Kessel, Montigny-le-Bretonneux, Ile-de-France, France, 78180</t>
  </si>
  <si>
    <t xml:space="preserve">Saint-Quentin Bâtiment, entreprise de bâtiment située à Montigny-le-Bretonneux dans les Yvelines, réalise vos travaux d'aménagement intérieur et extérieur.</t>
  </si>
  <si>
    <t>Andrade</t>
  </si>
  <si>
    <t xml:space="preserve">LA MAISON DU PATRIMOINE</t>
  </si>
  <si>
    <t>jordan.andrade@df-investissements.fr</t>
  </si>
  <si>
    <t>http://www.linkedin.com/in/jordan-andrade-01b098255</t>
  </si>
  <si>
    <t>http://www.renovationdupatrimoine-bat.com</t>
  </si>
  <si>
    <t>Gino</t>
  </si>
  <si>
    <t>Scarna</t>
  </si>
  <si>
    <t xml:space="preserve">GROUPE SOLIDUM</t>
  </si>
  <si>
    <t>gino.scarna@groupe-solidum.fr</t>
  </si>
  <si>
    <t>http://www.linkedin.com/in/gino-scarna-00916499</t>
  </si>
  <si>
    <t>http://www.groupe-solidum.fr</t>
  </si>
  <si>
    <t xml:space="preserve">66 Rue Gabriel Peri, Haubourdin, Hauts-de-France, France, 59320</t>
  </si>
  <si>
    <t>Troussard</t>
  </si>
  <si>
    <t xml:space="preserve">SOCIETE FRANCILIENNE DE BETON</t>
  </si>
  <si>
    <t>stroussard@sfbeton.eu</t>
  </si>
  <si>
    <t>http://www.linkedin.com/in/stephane-troussard-0b047048</t>
  </si>
  <si>
    <t>http://www.sfbeton.eu</t>
  </si>
  <si>
    <t xml:space="preserve">1 Rue Vasco de Gama, Valenton, Ile-de-France, France, 94460</t>
  </si>
  <si>
    <t>SFBeton</t>
  </si>
  <si>
    <t>Chahine</t>
  </si>
  <si>
    <t>SOLARCOM-ENR</t>
  </si>
  <si>
    <t>mchahine@solarcom-enr.com</t>
  </si>
  <si>
    <t>http://www.linkedin.com/in/matthieu-chahine-president</t>
  </si>
  <si>
    <t>http://www.solarcom-enr.com</t>
  </si>
  <si>
    <t xml:space="preserve">1 Rue de la Plaine de la Croix Besnard, Vaux-le-Penil, Ile-de-France, France, 77000</t>
  </si>
  <si>
    <t xml:space="preserve">Solarcom-Enr est une entreprise spécialisée dans les énergies renouvelables, notamment, le photovoltaïque. L’objectif est de répondre à un besoin urgent et immédiat dans l’énergie électrique et faire face aux carences des réseaux électriques nationaux en Afrique et dans le monde.</t>
  </si>
  <si>
    <t xml:space="preserve">DB Centre</t>
  </si>
  <si>
    <t>b.pelletier@db-centre.com</t>
  </si>
  <si>
    <t>http://www.linkedin.com/in/benoit-pelletier-97b199212</t>
  </si>
  <si>
    <t>http://www.db-centre.com</t>
  </si>
  <si>
    <t xml:space="preserve">Chemin des Charpentiers, Chateauneuf-sur-Cher, Centre-Val de Loire, France, 18190</t>
  </si>
  <si>
    <t>Paccard</t>
  </si>
  <si>
    <t>SADEMO</t>
  </si>
  <si>
    <t>sebastien.paccard@sademo.com</t>
  </si>
  <si>
    <t>http://www.linkedin.com/in/sebastien-paccard-212b30a9</t>
  </si>
  <si>
    <t>http://www.sademo.com</t>
  </si>
  <si>
    <t xml:space="preserve">110 Avenue des Marais, Allonzier-la-Caille, Auvergne-Rhone-Alpes, France, 74350</t>
  </si>
  <si>
    <t xml:space="preserve">Spécialiste du découpage de béton et renforcement de structure, l'entreprise travaille principalement dans les Deux Savoie, l’Ain, l’Isère, et le Rhône.</t>
  </si>
  <si>
    <t>Jacquier</t>
  </si>
  <si>
    <t xml:space="preserve">BC SYLVAMETAL</t>
  </si>
  <si>
    <t>jeanphilippe.jacquier@baudinchateauneuf.com</t>
  </si>
  <si>
    <t>http://www.linkedin.com/in/jean-philippe-jacquier-049906bb</t>
  </si>
  <si>
    <t>http://www.sylvametal.com</t>
  </si>
  <si>
    <t xml:space="preserve">Emerainville, Ile-de-France, France</t>
  </si>
  <si>
    <t xml:space="preserve">Créée en juillet 2001 à l’initiative du Groupe BAUDIN CHATEAUNEUF dont elle est une filiale, la société BC SYLVAMETAL intervient en qualité d’Entreprise Générale auprès de Maîtres d’ouvrage publics et privés.</t>
  </si>
  <si>
    <t xml:space="preserve">Ideal Tiny</t>
  </si>
  <si>
    <t>denis.lelievre@ideal-tiny.fr</t>
  </si>
  <si>
    <t>http://www.linkedin.com/in/denis-lelievre</t>
  </si>
  <si>
    <t>http://www.ideal-tiny.fr</t>
  </si>
  <si>
    <t>Montbert</t>
  </si>
  <si>
    <t xml:space="preserve">Le Bignon, Pays de la Loire, France, 44140</t>
  </si>
  <si>
    <t xml:space="preserve">Installé dans la campagne Nantaise, Ideal Tiny est un fabricant de Tiny House éthique et minimaliste à ossature bois.</t>
  </si>
  <si>
    <t>Fluid'Inox</t>
  </si>
  <si>
    <t>luis.dantas@fluid-inox.fr</t>
  </si>
  <si>
    <t>http://www.linkedin.com/in/luis-dantas-13b29696</t>
  </si>
  <si>
    <t>http://www.fluid-inox.fr</t>
  </si>
  <si>
    <t xml:space="preserve">Bernin, Auvergne-Rhone-Alpes, France, 38190</t>
  </si>
  <si>
    <t xml:space="preserve">Découvrez notre savoir faire en matière de tuyauterie inox industrielle et en process des fluides industriels. Faites nous part de votre demande !</t>
  </si>
  <si>
    <t>Albizati</t>
  </si>
  <si>
    <t xml:space="preserve">ALBIZZATI Père et Fils</t>
  </si>
  <si>
    <t>a.albizati@albizzati.fr</t>
  </si>
  <si>
    <t>http://www.linkedin.com/in/albizati-alain-8ba01684</t>
  </si>
  <si>
    <t>http://www.albizzati.fr</t>
  </si>
  <si>
    <t xml:space="preserve">Rue Jean-Baptiste Saget, Danjoutin, Bourgogne-Franche-Comte, France, 90400</t>
  </si>
  <si>
    <t>Imoleon</t>
  </si>
  <si>
    <t>HITEC</t>
  </si>
  <si>
    <t>ximoleon@hitecfrance.com</t>
  </si>
  <si>
    <t>http://www.linkedin.com/in/xavier-imoleon-4a4b498a</t>
  </si>
  <si>
    <t>http://www.hitecfrance.com</t>
  </si>
  <si>
    <t xml:space="preserve">39 Rue Lavoisier, Villeparisis, Ile-de-France, France, 77270</t>
  </si>
  <si>
    <t>Florentz</t>
  </si>
  <si>
    <t>nicolas.florentz@spacing.pro</t>
  </si>
  <si>
    <t>http://www.linkedin.com/in/nicolas-florentz-4bb802155</t>
  </si>
  <si>
    <t>Lorgies</t>
  </si>
  <si>
    <t>Seignat</t>
  </si>
  <si>
    <t xml:space="preserve">ARAUJO SEIGNAT ENERGIE</t>
  </si>
  <si>
    <t>d.seignat@araujoseignat.fr</t>
  </si>
  <si>
    <t>http://www.linkedin.com/in/david-seignat-9615b1161</t>
  </si>
  <si>
    <t>http://www.araujoseignat.fr</t>
  </si>
  <si>
    <t xml:space="preserve">Notre entreprise de génie climatique est spécialisée en : plomberie, chauffage, sanitaire, climatisation, gouttières aluminium,…</t>
  </si>
  <si>
    <t>Dormy</t>
  </si>
  <si>
    <t xml:space="preserve">France Bâtiment Rénovation Entretien</t>
  </si>
  <si>
    <t>cyril.dormy@francebatiment.com</t>
  </si>
  <si>
    <t>http://www.linkedin.com/in/cyril-dormy-0b0400aa</t>
  </si>
  <si>
    <t>http://www.francebatiment.com</t>
  </si>
  <si>
    <t xml:space="preserve">13 Rue d'Alesia, Paris, Ile-de-France, France, 75014</t>
  </si>
  <si>
    <t xml:space="preserve">FBRE, spécialiste de la rénovation d'appartement et de maison de particuliers sur Paris et en Île-de-France depuis 1956.</t>
  </si>
  <si>
    <t>dclara@jinkau.com</t>
  </si>
  <si>
    <t>http://www.linkedin.com/in/damien-clara-84059623</t>
  </si>
  <si>
    <t xml:space="preserve">La Madeleine</t>
  </si>
  <si>
    <t>Gouttenoire</t>
  </si>
  <si>
    <t xml:space="preserve">Co-fondatrice - accompagnement Habitats partagés (participatifs et/ou inclusifs)</t>
  </si>
  <si>
    <t xml:space="preserve">Chez Moi Demain</t>
  </si>
  <si>
    <t>marie@chezmoidemain.com</t>
  </si>
  <si>
    <t>http://www.linkedin.com/in/marie-gouttenoire-263759106</t>
  </si>
  <si>
    <t>http://www.chezmoidemain.com</t>
  </si>
  <si>
    <t xml:space="preserve">Co-construisez votre lieu de vie !</t>
  </si>
  <si>
    <t>Jugla</t>
  </si>
  <si>
    <t xml:space="preserve">CHARPENTES JUGLA</t>
  </si>
  <si>
    <t>karine@charpentes-jugla.fr</t>
  </si>
  <si>
    <t>http://www.linkedin.com/in/karine-jugla-b30b95117</t>
  </si>
  <si>
    <t>http://www.charpentes-ventura.fr</t>
  </si>
  <si>
    <t>Senille</t>
  </si>
  <si>
    <t xml:space="preserve">Pleumartin, Nouvelle-Aquitaine, France, 86450</t>
  </si>
  <si>
    <t xml:space="preserve">Charpentes Ventura est une entreprise familiale spécialisée dans la fabrication de charpentes industrielles et traditionnelles dans la Vienne (86).</t>
  </si>
  <si>
    <t>Mace</t>
  </si>
  <si>
    <t>yves.mace@arkegreen.com</t>
  </si>
  <si>
    <t>http://www.linkedin.com/in/yvesmace</t>
  </si>
  <si>
    <t>Andilly</t>
  </si>
  <si>
    <t>Carrere</t>
  </si>
  <si>
    <t>SERCLIM</t>
  </si>
  <si>
    <t>n.carrere@serclim.fr</t>
  </si>
  <si>
    <t>http://www.linkedin.com/in/nancy-carrere-5a45165a</t>
  </si>
  <si>
    <t>http://www.serclim.fr</t>
  </si>
  <si>
    <t xml:space="preserve">Route de Narbonne, Carcassonne, Occitanie, France, 11000</t>
  </si>
  <si>
    <t xml:space="preserve">Site internet officiel de la société SERCLIM, société d'études et de réalisations climatiques : installation, chauffage, climatisation et plomberie</t>
  </si>
  <si>
    <t>Pelago</t>
  </si>
  <si>
    <t xml:space="preserve">Co-fondateur &amp; Co-gérant</t>
  </si>
  <si>
    <t>f.pelago@cappel.fr</t>
  </si>
  <si>
    <t>http://www.linkedin.com/in/fran%c3%a7ois-pelago-6b658a10a</t>
  </si>
  <si>
    <t>Ballone</t>
  </si>
  <si>
    <t>fiona.ballone@groupe-solidum.fr</t>
  </si>
  <si>
    <t>http://www.linkedin.com/in/fiona-ballone-scarna-a1b17a113</t>
  </si>
  <si>
    <t xml:space="preserve">Co-founder - Contract and Claim Management Expert</t>
  </si>
  <si>
    <t xml:space="preserve">AECCO Consulting</t>
  </si>
  <si>
    <t>dominique.auger@aecco-consulting.com</t>
  </si>
  <si>
    <t>http://www.linkedin.com/in/dominique-auger-235735152</t>
  </si>
  <si>
    <t>http://www.aecco-consulting.com</t>
  </si>
  <si>
    <t>Ingen</t>
  </si>
  <si>
    <t xml:space="preserve">VAN INGEN FORAGES</t>
  </si>
  <si>
    <t>freddy@vaningen-forages.fr</t>
  </si>
  <si>
    <t>http://www.linkedin.com/in/freddy-van-ingen-548435155</t>
  </si>
  <si>
    <t>http://www.vaningen-forages.fr</t>
  </si>
  <si>
    <t xml:space="preserve">Tournon-Saint-Pierre, Centre-Val de Loire, France, 37290</t>
  </si>
  <si>
    <t xml:space="preserve">Depuis 1989 SAS VAN INGEN FORAGES est spécialiste de la recherche d'eau et du forage pour particuliers, professionnels, agriculteurs et collectivités. Eau potable, eau de source, arrosage de jardin, irrigation agricole et forages géothermiques. VAN INGEN FORAGES garantit le résultat sur ses implantations selon les secteurs.</t>
  </si>
  <si>
    <t xml:space="preserve">Directeur général pôle construction</t>
  </si>
  <si>
    <t xml:space="preserve">Groupe Treuil</t>
  </si>
  <si>
    <t>d.marechal@treuil.fr</t>
  </si>
  <si>
    <t>http://www.linkedin.com/in/damien-marechal-6774a1160</t>
  </si>
  <si>
    <t>http://www.treuil.fr</t>
  </si>
  <si>
    <t xml:space="preserve">Route de Jumelle, Saint-Andre-de-l'Eure, Normandy, France, 27220</t>
  </si>
  <si>
    <t>ENERSCIENCE</t>
  </si>
  <si>
    <t>c.guyot@enerscience.fr</t>
  </si>
  <si>
    <t>http://www.linkedin.com/in/christophe-guyot-39145a42</t>
  </si>
  <si>
    <t>http://www.enerscience.fr</t>
  </si>
  <si>
    <t xml:space="preserve">Enerscience spécialiste en installation électrique, distribution de puissance (CFO), courants faibles (sécurité, VDI) basée à Alençon (61)</t>
  </si>
  <si>
    <t>Sophia</t>
  </si>
  <si>
    <t>R</t>
  </si>
  <si>
    <t xml:space="preserve">PATFOORT BATIMENT</t>
  </si>
  <si>
    <t>gilles.patfoort@patfoort.com</t>
  </si>
  <si>
    <t>http://www.linkedin.com/in/activachats</t>
  </si>
  <si>
    <t>http://www.patfoort.com</t>
  </si>
  <si>
    <t xml:space="preserve">75 Route Nationale, Curgies, Hauts-de-France, France, 59990</t>
  </si>
  <si>
    <t xml:space="preserve">Co-fondateur et Directeur</t>
  </si>
  <si>
    <t xml:space="preserve">Cobalto SAS</t>
  </si>
  <si>
    <t>j.bizet@cobalto.fr</t>
  </si>
  <si>
    <t>http://www.linkedin.com/in/julian-bizet-7686b7124</t>
  </si>
  <si>
    <t>http://www.cobalto-sas.fr</t>
  </si>
  <si>
    <t xml:space="preserve">Villenave-d'Ornon, Nouvelle-Aquitaine, France, 33140</t>
  </si>
  <si>
    <t xml:space="preserve">Créée en 2021, l'entreprise Cobalto est basée à Villenave d'Ornon. Nous réalisons des opérations de gros oeuvre et taille de pierre en Gironde.</t>
  </si>
  <si>
    <t>david.cadet@alcadclim.com</t>
  </si>
  <si>
    <t>http://www.linkedin.com/in/david-cadet-21b5b9b6</t>
  </si>
  <si>
    <t>Bouffemont</t>
  </si>
  <si>
    <t>Madamour</t>
  </si>
  <si>
    <t xml:space="preserve">PB Constructions</t>
  </si>
  <si>
    <t>b.madamour@pb-constructions.fr</t>
  </si>
  <si>
    <t>http://www.linkedin.com/in/bertrand-madamour-ba107021</t>
  </si>
  <si>
    <t>http://www.pb-constructions.fr</t>
  </si>
  <si>
    <t>Chasse-sur-Rhone</t>
  </si>
  <si>
    <t xml:space="preserve">646 Route de Vienne, Chasse-sur-Rhone, Auvergne-Rhone-Alpes, France, 38670</t>
  </si>
  <si>
    <t>arevel@onlytoit.fr</t>
  </si>
  <si>
    <t>http://www.linkedin.com/in/alexandre-revel-7a8753108</t>
  </si>
  <si>
    <t>http://www.onlytoit.fr</t>
  </si>
  <si>
    <t xml:space="preserve">1 Chemin des Longes, Dardilly, Rhone-Alpes, France, 69570</t>
  </si>
  <si>
    <t xml:space="preserve">CGEM CONSTRUCTION</t>
  </si>
  <si>
    <t>r.vial@cgem.fr</t>
  </si>
  <si>
    <t>http://www.linkedin.com/in/rapha%c3%abl-vial-0a316117b</t>
  </si>
  <si>
    <t>http://www.cgem.fr</t>
  </si>
  <si>
    <t xml:space="preserve">131 Route de Launaguet, Toulouse, Occitanie, France, 31200</t>
  </si>
  <si>
    <t xml:space="preserve">CGEM Construction vous accompagne pour vos projets et vos travaux. L’entreprise est spécialisée dans les domaines suivants : Rénovation du patrimoine -  Désamiantage - Démolition - Gros œuvre - Maçonnerie - Menuiserie bois (ABF) - Agencement - Serrurerie.</t>
  </si>
  <si>
    <t>Dellavalle</t>
  </si>
  <si>
    <t xml:space="preserve">GROUPE BODEZE</t>
  </si>
  <si>
    <t>t.dellavalle@groupe-bodeze.com</t>
  </si>
  <si>
    <t>http://www.linkedin.com/in/tom-dellavalle-b9755516a</t>
  </si>
  <si>
    <t>http://www.groupe-bodeze.fr</t>
  </si>
  <si>
    <t xml:space="preserve">Montarnaud, Occitanie, France, 34570</t>
  </si>
  <si>
    <t xml:space="preserve">Faites appel à BODEZE Groupe, entreprise générale du bâtiment située à Montarnaud, pour réussir vos projets et profiter d’un accompagnement personnalisé.</t>
  </si>
  <si>
    <t>Adongoun</t>
  </si>
  <si>
    <t xml:space="preserve">GAD Rénovation</t>
  </si>
  <si>
    <t>g.adongoun@gad-renov.fr</t>
  </si>
  <si>
    <t>http://www.linkedin.com/in/adongoun-gilles-43b7446b</t>
  </si>
  <si>
    <t>http://www.gad-renov.fr</t>
  </si>
  <si>
    <t xml:space="preserve">Gad Renovation, entreprise de rénovation et travaux second oeuvre en Rhône-Alpes, plâtrerie, peinture, faux-plafond, sol dur, sol souple, salle de bain, isolation d'intérieur, isolation façade, démolition, plomberie, électricté, curage</t>
  </si>
  <si>
    <t>Jorge</t>
  </si>
  <si>
    <t xml:space="preserve">Amicitia Immobilier</t>
  </si>
  <si>
    <t>jsousa@amicitia-immobilier.com</t>
  </si>
  <si>
    <t>http://www.linkedin.com/in/jorge-sousa-9579a693</t>
  </si>
  <si>
    <t>http://www.amicitia-immobilier.fr</t>
  </si>
  <si>
    <t xml:space="preserve">22 Boulevard Vincent Auriol, Tournefeuille, Occitanie, France, 31170</t>
  </si>
  <si>
    <t xml:space="preserve">Amicitia Immobilier est un promoteur spécialisé dans la création de programmes immobiliers à taille humaine.</t>
  </si>
  <si>
    <t>Franc</t>
  </si>
  <si>
    <t xml:space="preserve">Aquitaine Céramique</t>
  </si>
  <si>
    <t>afranc@aquitaineceramique.fr</t>
  </si>
  <si>
    <t>http://www.linkedin.com/in/antoine-franc-36940015b</t>
  </si>
  <si>
    <t>http://www.aquitaineceramique.fr</t>
  </si>
  <si>
    <t>Manzoni</t>
  </si>
  <si>
    <t xml:space="preserve">FIB FEDERATION DE L INDUSTRIE DU BETON</t>
  </si>
  <si>
    <t>j.manzoni@fib.org</t>
  </si>
  <si>
    <t>http://www.linkedin.com/in/jacques-manzoni-5770a934</t>
  </si>
  <si>
    <t>http://www.fib.org</t>
  </si>
  <si>
    <t xml:space="preserve">15 Boulevard du General de Gaulle, Montrouge, Ile-de-France, France, 92120</t>
  </si>
  <si>
    <t xml:space="preserve">La Fédération de l'Industrie du Béton, concourt à la promotion des intérêts des industriels fabricants de produits en béton et assure leur représentation.</t>
  </si>
  <si>
    <t>Taner</t>
  </si>
  <si>
    <t>Ucler</t>
  </si>
  <si>
    <t xml:space="preserve">Fondateur Ceo</t>
  </si>
  <si>
    <t xml:space="preserve">CBR Architecture</t>
  </si>
  <si>
    <t>taner.ucler@cbr-batiment.fr</t>
  </si>
  <si>
    <t>http://www.linkedin.com/in/taner-ucler-28a175124</t>
  </si>
  <si>
    <t>http://www.cbr-architecture.fr</t>
  </si>
  <si>
    <t xml:space="preserve">5 Rue Etienne Dolet, Le Petit-Quevilly, Normandy, France, 76140</t>
  </si>
  <si>
    <t xml:space="preserve">Architecte Rouen, maitre d'oeuvre construction maison rouen permis de construire agrandissement maison renovation</t>
  </si>
  <si>
    <t>Chazallet</t>
  </si>
  <si>
    <t>SECOBOIS</t>
  </si>
  <si>
    <t>remy@secobois.fr</t>
  </si>
  <si>
    <t>http://www.linkedin.com/in/r%c3%a9my-chazallet-499531269</t>
  </si>
  <si>
    <t>http://www.secobois.fr</t>
  </si>
  <si>
    <t>Portes-les-Valence</t>
  </si>
  <si>
    <t>Airieau</t>
  </si>
  <si>
    <t xml:space="preserve">Groupe Charpentier</t>
  </si>
  <si>
    <t>didier.airieau@groupe-charpentier.fr</t>
  </si>
  <si>
    <t>http://www.linkedin.com/in/didier-airieau</t>
  </si>
  <si>
    <t>http://www.groupe-charpentier.fr</t>
  </si>
  <si>
    <t xml:space="preserve">3 Rue des Artisans, L'Oie, Pays de la Loire, France, 85140</t>
  </si>
  <si>
    <t xml:space="preserve">Le Groupe Charpentier société de Travaux Publics en Vendée, Maine-et-Loire, Loire-Altantique, Charente-Maritime, Charente et Deux Sèvres - 02 51 66 01 22</t>
  </si>
  <si>
    <t>Dulatier</t>
  </si>
  <si>
    <t xml:space="preserve">AQUADECO La Différence</t>
  </si>
  <si>
    <t>julian.dulatier@sfr.fr</t>
  </si>
  <si>
    <t>http://www.linkedin.com/in/julian-dulatier-20a31b214</t>
  </si>
  <si>
    <t>http://www.peintre-decorateur-rennes.fr</t>
  </si>
  <si>
    <t xml:space="preserve">11 Rue Henri Polles, Saint-Jacques-de-la-Lande, Bretagne, France, 35136</t>
  </si>
  <si>
    <t xml:space="preserve">Aquadeco peintre en bâtiment et décorateur à Rennes et Dinan pour vos travaux de peinture d'intérieur et d'extérieur, revêtements de sols et d'enduit.</t>
  </si>
  <si>
    <t>Gaudefroy</t>
  </si>
  <si>
    <t>ggaudefroy@jinkau.com</t>
  </si>
  <si>
    <t>http://www.linkedin.com/in/gilles-gaudefroy-bb290316</t>
  </si>
  <si>
    <t>Parfait</t>
  </si>
  <si>
    <t>Nounagnon</t>
  </si>
  <si>
    <t xml:space="preserve">ELEF Ingénierie</t>
  </si>
  <si>
    <t>p.nounagnon@elef-ingenierie.fr</t>
  </si>
  <si>
    <t>http://www.linkedin.com/in/parfait-nounagnon-43186265</t>
  </si>
  <si>
    <t>http://www.elef-ingenierie.fr</t>
  </si>
  <si>
    <t xml:space="preserve">3 Avenue de la Baraudiere, Saint-Herblain, Pays de la Loire, France, 44800</t>
  </si>
  <si>
    <t xml:space="preserve">SNERCT Construction</t>
  </si>
  <si>
    <t>ajoly@snerct.com</t>
  </si>
  <si>
    <t>http://www.linkedin.com/in/alexis-joly-erct-construction</t>
  </si>
  <si>
    <t>http://www.erct-construction.com</t>
  </si>
  <si>
    <t xml:space="preserve">86 Avenue Georges Clemenceau, Bry-sur-Marne, Ile-de-France, France, 94360</t>
  </si>
  <si>
    <t>Vanpevenage</t>
  </si>
  <si>
    <t xml:space="preserve">PAVECO Aménagement</t>
  </si>
  <si>
    <t>rvanpevenage@paveco.eu</t>
  </si>
  <si>
    <t>http://www.linkedin.com/in/romain-vanpevenage-80260630</t>
  </si>
  <si>
    <t>http://www.paveco.eu</t>
  </si>
  <si>
    <t xml:space="preserve">11 Rue Rene Panhard Emile Levassor, Chanteloup-les-Vignes, Ile-de-France, France, 78570</t>
  </si>
  <si>
    <t xml:space="preserve">PAVECO Aménagement Réalisation de Voiries et d’Espaces Publics depuis 1998. Les équipes de PAVECO embellissent vos espaces de vie.</t>
  </si>
  <si>
    <t>Pipo</t>
  </si>
  <si>
    <t>Dassé</t>
  </si>
  <si>
    <t>p.pipo@dasse.com</t>
  </si>
  <si>
    <t>http://www.linkedin.com/in/pierre-pipo-14174751</t>
  </si>
  <si>
    <t>http://www.dasse.com</t>
  </si>
  <si>
    <t>Castets</t>
  </si>
  <si>
    <t xml:space="preserve">Castets, Aquitaine-Limousin-Poitou-Charentes, France, 40260</t>
  </si>
  <si>
    <t xml:space="preserve">Dassé, pionnier de la construction modulaire industrialisée en bois, vous accompagne dans vos projets clés-en-main.</t>
  </si>
  <si>
    <t>Necmettin</t>
  </si>
  <si>
    <t>Atici</t>
  </si>
  <si>
    <t>n.atici@prestibat.com</t>
  </si>
  <si>
    <t>http://www.linkedin.com/in/necmettin-atici-08258687</t>
  </si>
  <si>
    <t>Brault</t>
  </si>
  <si>
    <t xml:space="preserve">BRAULT SAS</t>
  </si>
  <si>
    <t>jm-brault@brault-metallerie.com</t>
  </si>
  <si>
    <t>http://www.linkedin.com/in/jean-michel-brault-127728293</t>
  </si>
  <si>
    <t>http://www.brault-metallerie.com</t>
  </si>
  <si>
    <t>Montrevault-sur-Evre</t>
  </si>
  <si>
    <t xml:space="preserve">Rue des Mauges, Montrevault-sur-Evre, Pays de la Loire, France, 49110</t>
  </si>
  <si>
    <t xml:space="preserve">la SAS BRAULT est spécialisée dans la métallerie (escaliers, garde-corps, portes) au travers de la réalisation de nombreux chantiers principalement sur NANTES et ANGERS</t>
  </si>
  <si>
    <t>Turmet</t>
  </si>
  <si>
    <t>FONDOUEST</t>
  </si>
  <si>
    <t>fturmet@fondouest.com</t>
  </si>
  <si>
    <t>http://www.linkedin.com/in/fr%c3%a9d%c3%a9ric-turmet-ba5b81b5</t>
  </si>
  <si>
    <t>http://www.fondouest.com</t>
  </si>
  <si>
    <t>Bacilly</t>
  </si>
  <si>
    <t xml:space="preserve">Rue du Pont Ce, Longueville, Normandy, France, 50290</t>
  </si>
  <si>
    <t xml:space="preserve">Nos Experts Géotechniciens vous Accompagnent dans Vos Études de Sol pour la Construction : Dimensionnement des Fondations, Sondages de Sols et Essais</t>
  </si>
  <si>
    <t>Durocher</t>
  </si>
  <si>
    <t>TimeTonic</t>
  </si>
  <si>
    <t>jmd@timetonic.com</t>
  </si>
  <si>
    <t>http://www.linkedin.com/in/jeanmicheldurocher</t>
  </si>
  <si>
    <t>http://www.timetonic.com</t>
  </si>
  <si>
    <t xml:space="preserve">48 Rue de la Republique, Saint-Germain-en-Laye, Ile-de-France, France, 78100</t>
  </si>
  <si>
    <t xml:space="preserve">Digitalize, automate and simplify your work with TimeTonic, your no code business collaboration platform.</t>
  </si>
  <si>
    <t xml:space="preserve">IMX GROUP</t>
  </si>
  <si>
    <t>l.cayet@imxpostal.fr</t>
  </si>
  <si>
    <t>http://www.linkedin.com/in/laurent-cayet-2a99b0</t>
  </si>
  <si>
    <t>http://www.imxgroupllc.com</t>
  </si>
  <si>
    <t xml:space="preserve">140 Hayes Ave, La Grange, Illinois, United States, 60525-2528</t>
  </si>
  <si>
    <t>Masselin</t>
  </si>
  <si>
    <t xml:space="preserve">TCHOULFIAN SAS</t>
  </si>
  <si>
    <t>x.masselin@tchoulfian.fr</t>
  </si>
  <si>
    <t>http://www.linkedin.com/in/xavier-masselin-03ba90a</t>
  </si>
  <si>
    <t>http://www.tchoulfian.fr</t>
  </si>
  <si>
    <t xml:space="preserve">Roussillon, Provence-Alpes-Cote d'Azur, France, 84220</t>
  </si>
  <si>
    <t xml:space="preserve">La société Tchoulfian, à Roussillon, en Isère Rhône Alpes, spécialisée en Calorifuge, Isolation, Echafaudage, Ventilation et Hygiénisation travaille essentiellement pour l'industrie, sur tout le territoire français et également en Europe et au Magreb.</t>
  </si>
  <si>
    <t>Catak</t>
  </si>
  <si>
    <t>ucb@ucb-bat.fr</t>
  </si>
  <si>
    <t>http://www.linkedin.com/in/ahmet-catak-0b987111a</t>
  </si>
  <si>
    <t>Rapid'Béton</t>
  </si>
  <si>
    <t>stephane.thomas@rapidbeton.fr</t>
  </si>
  <si>
    <t>http://www.linkedin.com/in/st%c3%a9phane-thomas-889b96101</t>
  </si>
  <si>
    <t>http://www.rapidbeton.fr</t>
  </si>
  <si>
    <t>Bavetta</t>
  </si>
  <si>
    <t xml:space="preserve">BAVETTA CONSTRUCTION</t>
  </si>
  <si>
    <t>a.bavetta@bavetta.fr</t>
  </si>
  <si>
    <t>http://www.linkedin.com/in/bavetta-alexis-1340bba6</t>
  </si>
  <si>
    <t>http://www.bavetta.fr</t>
  </si>
  <si>
    <t xml:space="preserve">Bois-Bernard, Nord-Pas-de-Calais, France</t>
  </si>
  <si>
    <t xml:space="preserve">CONSTRUCTIONS DE L'ERDRE</t>
  </si>
  <si>
    <t>baptiste@constructions-erdre.fr</t>
  </si>
  <si>
    <t>http://www.linkedin.com/in/baptiste-david-1698171a2</t>
  </si>
  <si>
    <t>http://www.constructions-erdre.fr</t>
  </si>
  <si>
    <t xml:space="preserve">La Chapelle-sur-Erdre, Pays de la Loire, France, 44240</t>
  </si>
  <si>
    <t>quentin@reniew.fr</t>
  </si>
  <si>
    <t>http://www.linkedin.com/in/quentin-millet-93158250</t>
  </si>
  <si>
    <t>Krichen</t>
  </si>
  <si>
    <t xml:space="preserve">PATRIMOINE &amp; RÉNOVATION</t>
  </si>
  <si>
    <t>krichen@patrimoine-et-renovation.fr</t>
  </si>
  <si>
    <t>http://www.linkedin.com/in/mohamed-krichen-62356149</t>
  </si>
  <si>
    <t>http://www.patrimoine-et-renovation.fr</t>
  </si>
  <si>
    <t xml:space="preserve">57 Avenue Michelet, Saint-Ouen, Ile-de-France, France, 93400</t>
  </si>
  <si>
    <t xml:space="preserve">Patrimoine &amp; Rénovation est une entreprise générale de rénovation et de construction tous corps d'état basée à Clichy.</t>
  </si>
  <si>
    <t>Muhammed</t>
  </si>
  <si>
    <t>Kavak</t>
  </si>
  <si>
    <t xml:space="preserve">Kavak Groupe</t>
  </si>
  <si>
    <t>muhammed.kavak@kavakgroupe.com</t>
  </si>
  <si>
    <t>http://www.linkedin.com/in/muhammed-kavak-0042b3164</t>
  </si>
  <si>
    <t>http://www.kavakgroupe.com</t>
  </si>
  <si>
    <t xml:space="preserve">33 Boulevard de l'Atelier, Saint-Esteve, Languedoc-Roussillon-Midi-Pyrenees, France, 66240</t>
  </si>
  <si>
    <t xml:space="preserve">Le GROUPE KAVAK, constructeur d'ouvrages publics et privés à la base depuis 2004, s'est diversifié dans la promotion immobilière à Perpignan.</t>
  </si>
  <si>
    <t xml:space="preserve">BRB Construction</t>
  </si>
  <si>
    <t>fblondeau@brbconstruction.fr</t>
  </si>
  <si>
    <t>http://www.linkedin.com/in/francois-blondeau-1537ba69</t>
  </si>
  <si>
    <t>http://www.brbconstruction.fr</t>
  </si>
  <si>
    <t xml:space="preserve">Venissieux, Auvergne-Rhone-Alpes, France, 69200</t>
  </si>
  <si>
    <t xml:space="preserve">SIMON 4G</t>
  </si>
  <si>
    <t>fsimon@simon4g.fr</t>
  </si>
  <si>
    <t>http://www.linkedin.com/in/franck-simon-4a6303155</t>
  </si>
  <si>
    <t>http://www.simon4g.fr</t>
  </si>
  <si>
    <t xml:space="preserve">12 Rue Beauregard, Aulnay-sous-Bois, Ile-de-France, France, 93600</t>
  </si>
  <si>
    <t>Nkwane-Morice</t>
  </si>
  <si>
    <t xml:space="preserve">YOUNG CM</t>
  </si>
  <si>
    <t>pascal.nkwane@youngcm.fr</t>
  </si>
  <si>
    <t>http://www.linkedin.com/in/pascal-nkwane-morice-38258454</t>
  </si>
  <si>
    <t>http://www.youngcm.fr</t>
  </si>
  <si>
    <t xml:space="preserve">Artigues-pres-Bordeaux, Aquitaine-Limousin-Poitou-Charentes, France, 33370</t>
  </si>
  <si>
    <t xml:space="preserve">Young - Charpente Métallique</t>
  </si>
  <si>
    <t>Boussac</t>
  </si>
  <si>
    <t xml:space="preserve">PARQUETS BRIATTE</t>
  </si>
  <si>
    <t>gilles.boussac@parquetsbriatte.fr</t>
  </si>
  <si>
    <t>http://www.linkedin.com/in/gilles-boussac-055b3251</t>
  </si>
  <si>
    <t>http://www.parquetsbriatte.fr</t>
  </si>
  <si>
    <t xml:space="preserve">9 Avenue Rene Villemer, Le Thillay, Ile-de-France, France, 95500</t>
  </si>
  <si>
    <t xml:space="preserve">Parqueteur depuis 1919</t>
  </si>
  <si>
    <t>Primiano</t>
  </si>
  <si>
    <t>Sdeo</t>
  </si>
  <si>
    <t xml:space="preserve">SPB ELEC</t>
  </si>
  <si>
    <t>p.sdeo@spb-elec.com</t>
  </si>
  <si>
    <t>http://www.linkedin.com/in/primiano-sdeo-7224461b4</t>
  </si>
  <si>
    <t>http://www.spb-elec.com</t>
  </si>
  <si>
    <t xml:space="preserve">Rue Leonard de Vinci, Chambly, Hauts-de-France, France, 60230</t>
  </si>
  <si>
    <t xml:space="preserve">Site web de l'entreprise d'électricité SPB ELEC située à Chambly (60)</t>
  </si>
  <si>
    <t>Parigot</t>
  </si>
  <si>
    <t xml:space="preserve">T.S.M. TRAVAUX SUR MESURE Groupe Graftek Métal</t>
  </si>
  <si>
    <t>yparigot@tsm-france.com</t>
  </si>
  <si>
    <t>http://www.linkedin.com/in/yann-parigot-a673121a</t>
  </si>
  <si>
    <t>http://www.tsm-france.com</t>
  </si>
  <si>
    <t xml:space="preserve">254 Rue du Rond d'Eau, Saint-Cyr-en-Val, Centre, France, 45590</t>
  </si>
  <si>
    <t xml:space="preserve">TSM, Toute la métallerie, tôlerie, serrurerie, vitrerie du bâtiment et de l'industrie. Etude, fabrication et pose. Prototype et production en série. Orléans loiret(45).</t>
  </si>
  <si>
    <t>Yasar</t>
  </si>
  <si>
    <t>ALRIC</t>
  </si>
  <si>
    <t>daniel.yasar@alric.net</t>
  </si>
  <si>
    <t>http://www.linkedin.com/in/daniel-yasar-a3128b8b</t>
  </si>
  <si>
    <t>http://www.alric.net</t>
  </si>
  <si>
    <t xml:space="preserve">21 Rue Clement Ader, Fleury-Merogis, Ile-de-France, France, 91700</t>
  </si>
  <si>
    <t>Charles-Henry</t>
  </si>
  <si>
    <t>chefdechantier.fr</t>
  </si>
  <si>
    <t>charles@chefdechantier.fr</t>
  </si>
  <si>
    <t>http://www.linkedin.com/in/charles-henry-delbart-9ba39594</t>
  </si>
  <si>
    <t>http://www.chefdechantier.fr</t>
  </si>
  <si>
    <t xml:space="preserve">Spécialisés dans la rénovation tous corps d'état, Chefdechantier.fr vous accompagne dans la réussite de votre projet à Paris et en Ile-de-France.</t>
  </si>
  <si>
    <t>Bitach</t>
  </si>
  <si>
    <t xml:space="preserve">Président CHAPELEC</t>
  </si>
  <si>
    <t>CHAPELEC</t>
  </si>
  <si>
    <t>h.bitach@chapelec.fr</t>
  </si>
  <si>
    <t>http://www.linkedin.com/in/hassan-bitach-b1a64745</t>
  </si>
  <si>
    <t>http://www.sas-chapelec.com</t>
  </si>
  <si>
    <t xml:space="preserve">5 Avenue Philippe Lebon, Villeneuve-la-Garenne, Ile-de-France, France, 92390</t>
  </si>
  <si>
    <t xml:space="preserve">CHAPELEC est une société spécialisée dans les travaux de couverture et d’étanchéité (asphalte). Elle propose ses services dans toute l’Île-de-France.</t>
  </si>
  <si>
    <t>ATLANROUTE</t>
  </si>
  <si>
    <t>didier.airieau@atlanroute.fr</t>
  </si>
  <si>
    <t>http://www.linkedin.com/in/didier-airieau-4bb525136</t>
  </si>
  <si>
    <t>http://www.atlanroute.fr</t>
  </si>
  <si>
    <t xml:space="preserve">Atlanroute, entreprise d’Enrobés et de Travaux Publics : fabrication et mise en œuvre d’enrobés, gravillonnage, travaux publics et particuliers.</t>
  </si>
  <si>
    <t>TPU</t>
  </si>
  <si>
    <t>guilletbenjamin@tpurbains.fr</t>
  </si>
  <si>
    <t>http://www.linkedin.com/in/benjamin-guillet-872a104b</t>
  </si>
  <si>
    <t>http://www.lgmco.fr</t>
  </si>
  <si>
    <t xml:space="preserve">Ballainvilliers, Ile-de-France, France</t>
  </si>
  <si>
    <t>Vanhalwyn</t>
  </si>
  <si>
    <t xml:space="preserve">Eau Air Système</t>
  </si>
  <si>
    <t>christophe.vanhalwyn@eauairsysteme.com</t>
  </si>
  <si>
    <t>http://www.linkedin.com/in/christophe-vanhalwyn-3134a1243</t>
  </si>
  <si>
    <t>http://www.eauairsysteme.com</t>
  </si>
  <si>
    <t xml:space="preserve">14 Avenue de l'Horizon, Villeneuve-d'Ascq, Hauts-de-France, France, 59650</t>
  </si>
  <si>
    <t xml:space="preserve">La société EAU AIR SYSTEME conçoit et met en œuvre des installations de traitement d’eau, de chauffage et de traitement d’air pour les centres aquatiques.</t>
  </si>
  <si>
    <t>Montourcy</t>
  </si>
  <si>
    <t xml:space="preserve">BANGUI Groupe</t>
  </si>
  <si>
    <t>alain.montourcy@bangui-groupe.fr</t>
  </si>
  <si>
    <t>http://www.linkedin.com/in/alain-montourcy-b7614a135</t>
  </si>
  <si>
    <t>http://www.bangui-groupe.fr</t>
  </si>
  <si>
    <t xml:space="preserve">15 Rue du Vieux-Pont, Nanterre, Ile-de-France, France, 92000</t>
  </si>
  <si>
    <t xml:space="preserve">SMB AGENCEMENT</t>
  </si>
  <si>
    <t>g.boennec@smb-agencement.fr</t>
  </si>
  <si>
    <t>http://www.linkedin.com/in/gilles-boennec-0b6995b2</t>
  </si>
  <si>
    <t>http://www.smb-agencement.fr</t>
  </si>
  <si>
    <t xml:space="preserve">Construction et agencement pour particuliers et professionnels optimisé et conforme à vos envies et besoins. SMB Agencement intervient sur toute la Bretagne et le Grand Ouest.</t>
  </si>
  <si>
    <t>rm@360sc.io</t>
  </si>
  <si>
    <t>http://www.linkedin.com/in/rollandmelet</t>
  </si>
  <si>
    <t>Trans-en-Provence</t>
  </si>
  <si>
    <t>Capo</t>
  </si>
  <si>
    <t xml:space="preserve">EGSA BTP</t>
  </si>
  <si>
    <t>remy.capo@egsa.fr</t>
  </si>
  <si>
    <t>http://www.linkedin.com/in/r%c3%a9my-capo-4b1aa156</t>
  </si>
  <si>
    <t>http://www.egsa.fr</t>
  </si>
  <si>
    <t xml:space="preserve">19 Rue Louis Breguet, Jacou, Languedoc-Roussillon, France, 34830</t>
  </si>
  <si>
    <t xml:space="preserve">EGSA est une société d'Investigations et d'Etudes géotechniques à vocation régionale.</t>
  </si>
  <si>
    <t>Coutand</t>
  </si>
  <si>
    <t xml:space="preserve">POOL AND CO</t>
  </si>
  <si>
    <t>olivier@pool-and-co.fr</t>
  </si>
  <si>
    <t>http://www.linkedin.com/in/olivier-coutand-94581b27</t>
  </si>
  <si>
    <t>http://www.pool-and-co.fr</t>
  </si>
  <si>
    <t>Olonne-sur-Mer</t>
  </si>
  <si>
    <t xml:space="preserve">Challans, Pays de la Loire, France</t>
  </si>
  <si>
    <t xml:space="preserve">Constructeur de piscines privées et collectives sur mesure en Vendée fabricant de spa sauna et hammam Pool and Co l'expérience et la qualité VM piscines.</t>
  </si>
  <si>
    <t>Pisani</t>
  </si>
  <si>
    <t xml:space="preserve">FRAMATEC SAS</t>
  </si>
  <si>
    <t>anthony.pisani@framatec.fr</t>
  </si>
  <si>
    <t>http://www.linkedin.com/in/anthony-pisani-2888a827</t>
  </si>
  <si>
    <t>http://www.framatec.fr</t>
  </si>
  <si>
    <t xml:space="preserve">192 Rue de la Papeterie, Dinoze, Grand Est, France, 88000</t>
  </si>
  <si>
    <t>Picq</t>
  </si>
  <si>
    <t xml:space="preserve">Renov Innov</t>
  </si>
  <si>
    <t>r.picq@renov-innov.fr</t>
  </si>
  <si>
    <t>http://www.linkedin.com/in/rapha%c3%abl-picq-bb2993166</t>
  </si>
  <si>
    <t>http://www.france-renov.gouv.fr</t>
  </si>
  <si>
    <t>j.bois@aethica.fr</t>
  </si>
  <si>
    <t>http://www.linkedin.com/in/jerome-bois-a5981b114</t>
  </si>
  <si>
    <t>Goujon</t>
  </si>
  <si>
    <t>CECFA-ID</t>
  </si>
  <si>
    <t>alain.goujon@cecfa.fr</t>
  </si>
  <si>
    <t>http://www.linkedin.com/in/alain-goujon-363313a6</t>
  </si>
  <si>
    <t>http://www.cecfa.fr</t>
  </si>
  <si>
    <t xml:space="preserve">Versailles, Ile-de-France, France</t>
  </si>
  <si>
    <t>Auzet</t>
  </si>
  <si>
    <t>CLIM-MAG</t>
  </si>
  <si>
    <t>romain.auzet@clim-mag.fr</t>
  </si>
  <si>
    <t>http://www.linkedin.com/in/romain-auzet-768163103</t>
  </si>
  <si>
    <t>http://www.clim-mag.fr</t>
  </si>
  <si>
    <t xml:space="preserve">Climatisation et chauffage pour professionnels, chaines magasins, commerces, services, restaurants, collectivités, installations et maintenances professionnelles dans toute la France.</t>
  </si>
  <si>
    <t>Courbu</t>
  </si>
  <si>
    <t>RTSO</t>
  </si>
  <si>
    <t>ccourbu@rtso.fr</t>
  </si>
  <si>
    <t>http://www.linkedin.com/in/cyril-courbu-61b242156</t>
  </si>
  <si>
    <t>http://www.rtso.fr</t>
  </si>
  <si>
    <t xml:space="preserve">RTSO, basé à Bordeaux, spécialiste depuis 30 ans en entretien et rénovation de bâtiment. Ravalement de façades, sols techniques &amp; peinture intérieure !</t>
  </si>
  <si>
    <t>Aydin</t>
  </si>
  <si>
    <t>Renostyles</t>
  </si>
  <si>
    <t>frederic@renostyles.com</t>
  </si>
  <si>
    <t>http://www.linkedin.com/in/fr%c3%a9d%c3%a9ric-aydin-84bb3091</t>
  </si>
  <si>
    <t>http://www.renostyles.com</t>
  </si>
  <si>
    <t xml:space="preserve">24 Rue de la Regale, Courtry, Ile-de-France, France, 77181</t>
  </si>
  <si>
    <t xml:space="preserve">Méca Métal Process</t>
  </si>
  <si>
    <t>mickael.meyer@mecametalprocess.fr</t>
  </si>
  <si>
    <t>http://www.linkedin.com/in/mickael-meyer-0b528715</t>
  </si>
  <si>
    <t>http://www.mecametalprocess.com</t>
  </si>
  <si>
    <t xml:space="preserve">465 Rue Marie Marvingt, Cebazat, Auvergne-Rhone-Alpes, France, 63118</t>
  </si>
  <si>
    <t xml:space="preserve">Présentation de Meca Metal Process
Photos de nos projets et de nos compétences en Tuyauterie et soudage orbital
Descriptif de nos moyens techniques
Descriptif de notre service qualité Process Pharmaceutique</t>
  </si>
  <si>
    <t>Sochon</t>
  </si>
  <si>
    <t>KPLA</t>
  </si>
  <si>
    <t>g.sochon@kpla.fr</t>
  </si>
  <si>
    <t>http://www.linkedin.com/in/guillaume-sochon-56213996</t>
  </si>
  <si>
    <t>http://www.kpla.fr</t>
  </si>
  <si>
    <t xml:space="preserve">14 Rue Jean Bonal, La Garenne-Colombes, Ile-de-France, France, 92250</t>
  </si>
  <si>
    <t xml:space="preserve">De la conception à la réalisation, KPLA vous accompagne dans votre projet de création ou d'aménagement de vos bureaux et espaces d'entreprise</t>
  </si>
  <si>
    <t xml:space="preserve">La Nouvelle Sirolaise de Construction</t>
  </si>
  <si>
    <t>sbres@la-sirolaise.com</t>
  </si>
  <si>
    <t>http://www.linkedin.com/in/st%c3%a9phanie-b-015909159</t>
  </si>
  <si>
    <t>http://www.la-sirolaise.com</t>
  </si>
  <si>
    <t xml:space="preserve">492 5eme Avenue, Carros, Provence-Alpes-Cote d'Azur, France, 06510</t>
  </si>
  <si>
    <t>Debort</t>
  </si>
  <si>
    <t>pdebort@brbconstruction.fr</t>
  </si>
  <si>
    <t>http://www.linkedin.com/in/philippe-debort-2ba48991</t>
  </si>
  <si>
    <t xml:space="preserve">Cofondateur et Directeur Général</t>
  </si>
  <si>
    <t xml:space="preserve">ENERGIS ENGINEERING</t>
  </si>
  <si>
    <t>basile.rodriguez@energis-engineering.com</t>
  </si>
  <si>
    <t>http://www.linkedin.com/in/basile-rodriguez-35032511b</t>
  </si>
  <si>
    <t>http://www.energis-engineering.com</t>
  </si>
  <si>
    <t xml:space="preserve">61 Avenue Robert Schuman, Marseille, Provence-Alpes-Cote d'Azur, France, 13002</t>
  </si>
  <si>
    <t>Bonel</t>
  </si>
  <si>
    <t>SOGIMAC</t>
  </si>
  <si>
    <t>stephanie.bonel@sogimac.fr</t>
  </si>
  <si>
    <t>http://www.linkedin.com/in/st%c3%a9phanie-bonel-85b8071a</t>
  </si>
  <si>
    <t>http://www.sogimac.fr</t>
  </si>
  <si>
    <t xml:space="preserve">21 Avenue Manon Cormier, Bassens, Nouvelle-Aquitaine, France, 33530</t>
  </si>
  <si>
    <t>Jose-Manuel</t>
  </si>
  <si>
    <t>Ramirez</t>
  </si>
  <si>
    <t>SCB</t>
  </si>
  <si>
    <t>j.ramirez@scbsas.com</t>
  </si>
  <si>
    <t>http://www.linkedin.com/in/jos%c3%a9-manuel-ramirez-11045856</t>
  </si>
  <si>
    <t>http://www.scb-exteriorsdesign.com</t>
  </si>
  <si>
    <t xml:space="preserve">Ingre, Centre-Val de Loire, France, 45140</t>
  </si>
  <si>
    <t xml:space="preserve">SCB des solutions de revêtements de façade en fibre de bois CanExel, PVC éco-responsable Aigis, fibres ciment Duracolor &amp; SwissPearl, et HPL Resoplan.</t>
  </si>
  <si>
    <t>Marras</t>
  </si>
  <si>
    <t>AVELIS</t>
  </si>
  <si>
    <t>philippe.marras@avelis.com</t>
  </si>
  <si>
    <t>http://www.linkedin.com/in/avelisgroup</t>
  </si>
  <si>
    <t>http://www.avelis.com</t>
  </si>
  <si>
    <t xml:space="preserve">5 Place de la Pyramide, Ile-de-France, France, 92800</t>
  </si>
  <si>
    <t xml:space="preserve">Spécialiste de la construction modulaire et hors site, bâtiments bas carbone, services et logistique globale, bâtiments temporaires et containers transformés.</t>
  </si>
  <si>
    <t xml:space="preserve">BJ Partenaires</t>
  </si>
  <si>
    <t>d.jacquier@bj-partenaires.com</t>
  </si>
  <si>
    <t>http://www.linkedin.com/in/didier-jacquier-4a3a54140</t>
  </si>
  <si>
    <t>http://www.bj-partenaires.com</t>
  </si>
  <si>
    <t xml:space="preserve">180 Route des Pres Rollier, Sillingy, Auvergne-Rhone-Alpes, France, 74330</t>
  </si>
  <si>
    <t xml:space="preserve">Nos métiers : la distribution de matériel électrique, la fabrication de tableaux électriques, la réalisation d'armoires de chantier, l'envoi de commandes.</t>
  </si>
  <si>
    <t>ludovic.duval@maisons-rennaises.fr</t>
  </si>
  <si>
    <t>http://www.linkedin.com/in/ludovic-duval-6a651bb7</t>
  </si>
  <si>
    <t>Pierret</t>
  </si>
  <si>
    <t xml:space="preserve">Co-fondateur et directeur général</t>
  </si>
  <si>
    <t>Alpaga</t>
  </si>
  <si>
    <t>thibaut@alpaga.io</t>
  </si>
  <si>
    <t>http://www.linkedin.com/in/thibautpierret</t>
  </si>
  <si>
    <t>http://www.thermo-alpaga.com</t>
  </si>
  <si>
    <t xml:space="preserve">Route de Beg ar Groas, La Forest-Landerneau, Bretagne, France, 29800</t>
  </si>
  <si>
    <t xml:space="preserve">Alpaga est une entreprise de Brest spécialisé sur le thermobachage (thermo-bachage), en déconstruction démolition, désamiantage et travaux publics</t>
  </si>
  <si>
    <t xml:space="preserve">RAWLPLUG France</t>
  </si>
  <si>
    <t>christophe.perrin@rawlplug.com</t>
  </si>
  <si>
    <t>http://www.linkedin.com/in/christophe-perrin-b7578911b</t>
  </si>
  <si>
    <t xml:space="preserve">Compans, Ile-de-France, France, 77290</t>
  </si>
  <si>
    <t>Tarrit</t>
  </si>
  <si>
    <t xml:space="preserve">Groupe Saintex</t>
  </si>
  <si>
    <t>jm.tarrit@fimurex.com</t>
  </si>
  <si>
    <t>http://www.linkedin.com/in/jean-marc-tarrit-47205ab6</t>
  </si>
  <si>
    <t>corinne.scarna@groupe-solidum.fr</t>
  </si>
  <si>
    <t>http://www.linkedin.com/in/corinne-scarna-bb5134b2</t>
  </si>
  <si>
    <t>Babikian</t>
  </si>
  <si>
    <t>Canupi</t>
  </si>
  <si>
    <t>xavier@canupi.fr</t>
  </si>
  <si>
    <t>http://www.linkedin.com/in/xavier-babikian-66864724a</t>
  </si>
  <si>
    <t>http://www.canupi.fr</t>
  </si>
  <si>
    <t xml:space="preserve">Aubagne, Provence-Alpes-Cote d'Azur, France</t>
  </si>
  <si>
    <t>Temprano</t>
  </si>
  <si>
    <t>temprano@pelatis.fr</t>
  </si>
  <si>
    <t>http://www.linkedin.com/in/pedro-temprano-b9250087</t>
  </si>
  <si>
    <t>gael.caron@stugan-house.com</t>
  </si>
  <si>
    <t>http://www.linkedin.com/in/gael-caron-energie-bois-environnement-construction</t>
  </si>
  <si>
    <t xml:space="preserve">PYRENEES CHARPENTES</t>
  </si>
  <si>
    <t>c.larrouy@pyrenees-charpentes.fr</t>
  </si>
  <si>
    <t>http://www.linkedin.com/in/christian-larrouy-b9532295</t>
  </si>
  <si>
    <t>http://www.pyrenees-charpentes.fr</t>
  </si>
  <si>
    <t>Agos-Vidalos</t>
  </si>
  <si>
    <t xml:space="preserve">Agos-Vidalos, Midi-Pyrenees, France</t>
  </si>
  <si>
    <t xml:space="preserve">Pyrénées Charpentes, entreprise familiale fondée en 1987, conçoit, fabrique et met en œuvre la structure bois, la charpente et la couverture de projets autant complexes que variés.</t>
  </si>
  <si>
    <t>Harrault</t>
  </si>
  <si>
    <t xml:space="preserve">HARRAULT CONSTRUCTION MANAGEMENT</t>
  </si>
  <si>
    <t>julien@harrault.com</t>
  </si>
  <si>
    <t>http://www.linkedin.com/in/julien-harrault-7744b2124</t>
  </si>
  <si>
    <t>http://www.harrault.com</t>
  </si>
  <si>
    <t xml:space="preserve">1B Quai de Turckheim, Strasbourg, Grand Est, France, 67000</t>
  </si>
  <si>
    <t xml:space="preserve">HARRAULT est née avec la volonté de Julien HARRAULT, formé à la fois en architecture et en ingénierie, de faire partager son expérience et son savoir-faire...</t>
  </si>
  <si>
    <t>Choloux</t>
  </si>
  <si>
    <t xml:space="preserve">Président Général de MCA</t>
  </si>
  <si>
    <t xml:space="preserve">MCA SEVRE ET MAINE</t>
  </si>
  <si>
    <t>fabrice@mca-menuiserie.fr</t>
  </si>
  <si>
    <t>http://www.linkedin.com/in/fabrice-choloux</t>
  </si>
  <si>
    <t>http://www.mca-menuiserie.fr</t>
  </si>
  <si>
    <t xml:space="preserve">Aigrefeuille-sur-Maine, Pays de la Loire, France, 44140</t>
  </si>
  <si>
    <t>Casado</t>
  </si>
  <si>
    <t xml:space="preserve">CASADO SAS</t>
  </si>
  <si>
    <t>nicolas@casado.fr</t>
  </si>
  <si>
    <t>http://www.linkedin.com/in/nicolas-casado-b51469141</t>
  </si>
  <si>
    <t>http://www.casado-en-ligne.fr</t>
  </si>
  <si>
    <t xml:space="preserve">Douville, Aquitaine, France</t>
  </si>
  <si>
    <t xml:space="preserve">Casado Sas, fabricant français de serres de jardin, abris et tunnels pour les professionnels et pour les particuliers. Fournisseur de films plastique, bâche camion, filet, tubes et arceaux en acier.</t>
  </si>
  <si>
    <t>Gely</t>
  </si>
  <si>
    <t xml:space="preserve">BENETIERE SAS</t>
  </si>
  <si>
    <t>r.gely@benetiere.fr</t>
  </si>
  <si>
    <t>http://www.linkedin.com/in/richard-gely-339563262</t>
  </si>
  <si>
    <t>http://www.benetiere.fr</t>
  </si>
  <si>
    <t xml:space="preserve">3 Rue Francois Couperin, Saint-Etienne, Auvergne-Rhone-Alpes, France, 42000</t>
  </si>
  <si>
    <t>Flechard</t>
  </si>
  <si>
    <t>BlocToBuild</t>
  </si>
  <si>
    <t>julien@bloctobuild.com</t>
  </si>
  <si>
    <t>http://www.linkedin.com/in/julienflechard</t>
  </si>
  <si>
    <t>http://www.bloctobuild.com</t>
  </si>
  <si>
    <t xml:space="preserve">Chez Bloc To Build, nous sommes convaincus que la transformation de la construction est possible en appliquant à cette industrie les principes de l'ingénierie système, en utilisant des matériaux à faible impact environnemental et en industrialisant les procédés de construction.</t>
  </si>
  <si>
    <t>Pertusa</t>
  </si>
  <si>
    <t xml:space="preserve">ADORA Rénovation</t>
  </si>
  <si>
    <t>sonia.pertusa@adora-renovation.fr</t>
  </si>
  <si>
    <t>http://www.linkedin.com/in/sonia-pertusa-7b04681</t>
  </si>
  <si>
    <t>http://www.adora-renovation.fr</t>
  </si>
  <si>
    <t xml:space="preserve">Chaville, Ile-de-France, France</t>
  </si>
  <si>
    <t xml:space="preserve">Adora Rénovation - 01.45.07.07.07- Rénovation d’appartements à Paris, Hauts de Seine et Yvelines</t>
  </si>
  <si>
    <t>Medjdoubi</t>
  </si>
  <si>
    <t xml:space="preserve">DC2M incendie</t>
  </si>
  <si>
    <t>ludovic.medjdoubi@dc2m-incendie.com</t>
  </si>
  <si>
    <t>http://www.linkedin.com/in/ludovic-medjdoubi-66465ab7</t>
  </si>
  <si>
    <t>http://www.dc2m-incendie.com</t>
  </si>
  <si>
    <t xml:space="preserve">2 Rue du Bois, Guerard, Ile-de-France, France, 77580</t>
  </si>
  <si>
    <t>Careglio</t>
  </si>
  <si>
    <t xml:space="preserve">LABASTERE 64</t>
  </si>
  <si>
    <t>christophe.careglio@labastere.fr</t>
  </si>
  <si>
    <t>http://www.linkedin.com/in/christophe-careglio-a40980211</t>
  </si>
  <si>
    <t>http://www.labastere.fr</t>
  </si>
  <si>
    <t xml:space="preserve">Bayonne, Nouvelle-Aquitaine, France, 64100</t>
  </si>
  <si>
    <t>Abdelrhani</t>
  </si>
  <si>
    <t>Ej-Jennane</t>
  </si>
  <si>
    <t xml:space="preserve">Grafic Art</t>
  </si>
  <si>
    <t>aj@graficart.fr</t>
  </si>
  <si>
    <t>http://www.linkedin.com/in/abdelrhani-ej-jennane-13203872</t>
  </si>
  <si>
    <t>http://www.graficart.ro.it</t>
  </si>
  <si>
    <t xml:space="preserve">Costa Mesa, California, United States</t>
  </si>
  <si>
    <t xml:space="preserve">Società GRAFIC-ART COSTRUZIONI S.a.s. Impresa di costruzioni, società che dal 2002 svolge attività in ambito edilizio si occupa della costruzione o ristrutturazione e recupero di qualsiasi tipo di edificio civile/industriale Geom. Marco Monesi Geometra svolge attività tecnica e di consulenza globale per la Progettazione e D.L. in pratiche edilizie in ambito edilizio residenziale, industriale/artigianale, direzionale, commerciale</t>
  </si>
  <si>
    <t>Marinet</t>
  </si>
  <si>
    <t xml:space="preserve">Côté JARDIN Piscines Carré Bleu Lyon</t>
  </si>
  <si>
    <t>clairemarinet@cotejardin69.fr</t>
  </si>
  <si>
    <t>http://www.linkedin.com/in/claire-marinet-ab01a71b3</t>
  </si>
  <si>
    <t>http://www.cotejardin69.com</t>
  </si>
  <si>
    <t>Montagny</t>
  </si>
  <si>
    <t xml:space="preserve">Montagny, Canton of Fribourg, Switzerland</t>
  </si>
  <si>
    <t xml:space="preserve">Côté Jardin est une entreprise compétente dans la création de jardin, la construction de piscine ainsi que l'installation de sauna, spa ou hammam sur Lyon.</t>
  </si>
  <si>
    <t>Holtzscherer</t>
  </si>
  <si>
    <t xml:space="preserve">CHANU HD</t>
  </si>
  <si>
    <t>oholtzscherer@chanuhd.com</t>
  </si>
  <si>
    <t>http://www.linkedin.com/in/olivier-holtzscherer-380864a8</t>
  </si>
  <si>
    <t>http://www.chanuhd.com</t>
  </si>
  <si>
    <t xml:space="preserve">Vire-Normandie, Normandie, France, 14500</t>
  </si>
  <si>
    <t xml:space="preserve">Concevoir, Construire, Aménager, décorer</t>
  </si>
  <si>
    <t>http://www.linkedin.com/in/alexis-duthoit-363869182</t>
  </si>
  <si>
    <t>http://www.linkedin.com/in/boris-voeltzel-672418</t>
  </si>
  <si>
    <t xml:space="preserve">Depuis 50 ans le groupe Bonnefoy accompagne les Collectivités et les Acteurs Industriels dans la réalisation de leurs projets travaux</t>
  </si>
  <si>
    <t>cedric.guichard@adeclim.fr</t>
  </si>
  <si>
    <t>http://www.linkedin.com/in/c%c3%a9dric-guichard-48748619b</t>
  </si>
  <si>
    <t>http://www.linkedin.com/in/c%c3%a9dric-thouraud-99ab09178</t>
  </si>
  <si>
    <t>http://www.linkedin.com/in/christophe-labussiere-014b46b</t>
  </si>
  <si>
    <t xml:space="preserve">Climelec spécialisée en génie climatique, génie électrique, automatisme et maintenance.
 Dans les secteurs suivants; Télécoms, Data center, Salle technique, Salle blanche, Laboratoire, Process industriel, photovoltaïque, installation de borne voiture électrique.</t>
  </si>
  <si>
    <t>http://www.tec2e-electricite-cvc-plomberie.fr</t>
  </si>
  <si>
    <t xml:space="preserve">395 Rue Antoine de Saint-Exupery, Beaumont-les-Valence, Auvergne-Rhone-Alpes, France, 26760</t>
  </si>
  <si>
    <t xml:space="preserve">Conception &amp; Rénovation d'Intérieurs. Accompagnement de A à Z et Sur-Mesure. Travaux &amp; Suivi Chantier. Artisans Qualifiés. Devis en Ligne.</t>
  </si>
  <si>
    <t>http://www.linkedin.com/in/christophe-stumpf-57a9ba12b</t>
  </si>
  <si>
    <t>http://www.linkedin.com/in/fran%c3%a7ois-legendre-159a23148</t>
  </si>
  <si>
    <t xml:space="preserve">L'entreprise Bernasconi basée à Domjean dans le département de la Manche (50) est spécialisée dans la pose de canalisations.</t>
  </si>
  <si>
    <t>Nu</t>
  </si>
  <si>
    <t xml:space="preserve">AHLDE est une société privée spécialisée dans la conception et l'ingénierie. Notre travail et nos projets font changer la façon d'agir et la perception du public.</t>
  </si>
  <si>
    <t xml:space="preserve">Stéphane Berger</t>
  </si>
  <si>
    <t>http://www.linkedin.com/in/jamel-berhil-5ab778222</t>
  </si>
  <si>
    <t>http://www.linkedin.com/in/jean-baptiste-pl%c3%a9nard-a31183b2</t>
  </si>
  <si>
    <t>http://www.groupe-bardec.com</t>
  </si>
  <si>
    <t>G2J-ELEC</t>
  </si>
  <si>
    <t>Truchot</t>
  </si>
  <si>
    <t>INGEDEC</t>
  </si>
  <si>
    <t>jp.truchot@ingedec.com</t>
  </si>
  <si>
    <t>http://www.linkedin.com/in/jean-pierre-truchot-7b9695b1</t>
  </si>
  <si>
    <t>http://www.ingedec.com</t>
  </si>
  <si>
    <t xml:space="preserve">9 Rue du Parc, Oberhausbergen, Grand Est, France, 67205</t>
  </si>
  <si>
    <t xml:space="preserve">Bureau d’Études du Bâtiment en Alsace. Maîtrise d'oeuvre Tous Corps d’État. Amélioration énergétique des bâtiments.</t>
  </si>
  <si>
    <t>http://www.linkedin.com/in/julien-le-guen-33a167226</t>
  </si>
  <si>
    <t>http://www.renoouest.fr</t>
  </si>
  <si>
    <t xml:space="preserve">28 Route de Paris, Carquefou, Pays de la Loire, France, 44470</t>
  </si>
  <si>
    <t>Siclier</t>
  </si>
  <si>
    <t>ADEBAT</t>
  </si>
  <si>
    <t>l.siclier@adebat.fr</t>
  </si>
  <si>
    <t>http://www.linkedin.com/in/laurent-siclier-38796090</t>
  </si>
  <si>
    <t>http://www.adebat.fr</t>
  </si>
  <si>
    <t xml:space="preserve">97 Avenue Aristide Briand, Montrouge, Ile-de-France, France, 92120</t>
  </si>
  <si>
    <t xml:space="preserve">Adebat, le partenaire des syndics, architectes, chantiers privés et publics pour la Couverture, l'Etanchéité, la Plomberie, la Chauffage à Paris</t>
  </si>
  <si>
    <t xml:space="preserve">ALLOUIS Face In Tec</t>
  </si>
  <si>
    <t xml:space="preserve">TRADI ART</t>
  </si>
  <si>
    <t xml:space="preserve">Cloisons PARTENA</t>
  </si>
  <si>
    <t xml:space="preserve">AVR Ingénierie est un bureau d'études techniques spécialisé dans l'assainissement, la voirie, le réseaux divers ainsi que le géoréférencement et la géodétection.</t>
  </si>
  <si>
    <t>Najib</t>
  </si>
  <si>
    <t>Mrabet</t>
  </si>
  <si>
    <t xml:space="preserve">MIEUX RENOVER</t>
  </si>
  <si>
    <t>najib@mieuxrenover.com</t>
  </si>
  <si>
    <t>http://www.linkedin.com/in/najib-el-mrabet-69591817a</t>
  </si>
  <si>
    <t>http://www.mieuxrenover.com</t>
  </si>
  <si>
    <t xml:space="preserve">16 Rue Jacquard, Saint-Pierre-du-Perray, Ile-de-France, France, 91280</t>
  </si>
  <si>
    <t xml:space="preserve">Entreprise isolation et rénovation énergétique RGE, Mieux Rénover réalise tous vos travaux de combles, toiture &amp; façades. Diagnostic gratuit</t>
  </si>
  <si>
    <t>Se</t>
  </si>
  <si>
    <t>NOVECOLOGY</t>
  </si>
  <si>
    <t>nicolas@novecology.fr</t>
  </si>
  <si>
    <t>http://www.linkedin.com/in/nicolas-se-10a84156</t>
  </si>
  <si>
    <t>http://www.novecology.fr</t>
  </si>
  <si>
    <t xml:space="preserve">2 Rue du Pre des Aulnes, Pontault-Combault, Ile-de-France, France, 77340</t>
  </si>
  <si>
    <t xml:space="preserve">Novecology website</t>
  </si>
  <si>
    <t>BEAM</t>
  </si>
  <si>
    <t xml:space="preserve">Depuis plus de 60 ans, le Groupe Merceron est au service des collectivités, des professionnels et des particuliers pour mener à bien tous les grands projets d’avenir.</t>
  </si>
  <si>
    <t>http://www.linkedin.com/in/philippe-khalifat-98649a72</t>
  </si>
  <si>
    <t>http://www.linkedin.com/in/ringo-azevedo-59b666106</t>
  </si>
  <si>
    <t>http://www.linkedin.com/in/r%c3%a9gis-roy-86653bb5</t>
  </si>
  <si>
    <t xml:space="preserve">Negri France</t>
  </si>
  <si>
    <t>http://www.linkedin.com/in/sebastien-frouin-a2530148</t>
  </si>
  <si>
    <t>sbonnot@myral.com</t>
  </si>
  <si>
    <t>http://www.myral.com</t>
  </si>
  <si>
    <t xml:space="preserve">Rue du Triage, Is-sur-Tille, Bourgogne-Franche-Comte, France, 21120</t>
  </si>
  <si>
    <t>ABBEI</t>
  </si>
  <si>
    <t xml:space="preserve">Entreprise générale de Bâtiment, Batinor réalise vos travaux en maçonnerie, carrelage, couverture, plâtrerie, menuiserie, désamiantage ...</t>
  </si>
  <si>
    <t>http://www.emaplast.com.tr</t>
  </si>
  <si>
    <t xml:space="preserve">Nu ‎</t>
  </si>
  <si>
    <t>http://www.linkedin.com/in/pedro-temprano-baaa2a219</t>
  </si>
  <si>
    <t>Yana</t>
  </si>
  <si>
    <t>Matchuk</t>
  </si>
  <si>
    <t xml:space="preserve">Co-Founder &amp; Head of Customer Success Management</t>
  </si>
  <si>
    <t>ProfiCircle</t>
  </si>
  <si>
    <t>yana@proficircle.com</t>
  </si>
  <si>
    <t>http://www.linkedin.com/in/yana-matchuk-a526b717</t>
  </si>
  <si>
    <t>http://www.proficircle.com</t>
  </si>
  <si>
    <t xml:space="preserve">Neuchatel, Canton of Neuchatel, Switzerland</t>
  </si>
  <si>
    <t xml:space="preserve">Streamline sourcing, comparisons, and negotiations with an all-in-one digital platform for the fit-out construction industry.</t>
  </si>
  <si>
    <t>http://www.ipe-sas.com</t>
  </si>
  <si>
    <t>Monnerie</t>
  </si>
  <si>
    <t xml:space="preserve">Territoires Rennes</t>
  </si>
  <si>
    <t>antoine.monnerie@territoires-rennes.fr</t>
  </si>
  <si>
    <t>http://www.linkedin.com/in/antoine-monnerie-82299754</t>
  </si>
  <si>
    <t>https://territoires-rennes.fr</t>
  </si>
  <si>
    <t xml:space="preserve">1 Rue Genevieve de Gaulle-Anthonioz, Rennes, Brittany, France, 35200</t>
  </si>
  <si>
    <t xml:space="preserve">Depuis plus de 60 ans, l’ensemble Territoires Rennes accompagne les communes de la métropole rennaise dans la conduite de projets d’aménagement et de renouvellement urbains.</t>
  </si>
  <si>
    <t>Clapisson</t>
  </si>
  <si>
    <t xml:space="preserve">Directrice Générale Adjointe - Directrice juridique</t>
  </si>
  <si>
    <t xml:space="preserve">ELEGIA GROUPE</t>
  </si>
  <si>
    <t>c.clapisson@elegia-groupe.fr</t>
  </si>
  <si>
    <t>http://www.linkedin.com/in/c%c3%a9line-clapisson-0458ab12b</t>
  </si>
  <si>
    <t>https://elegia-groupe.fr</t>
  </si>
  <si>
    <t xml:space="preserve">ELEGIA maîtrise l’ensemble des champs de l’aménagement et de la construction dans leurs différentes composantes.</t>
  </si>
  <si>
    <t>Beautemps</t>
  </si>
  <si>
    <t xml:space="preserve">ATELIER COS</t>
  </si>
  <si>
    <t>d.beautemps@ateliercos.com</t>
  </si>
  <si>
    <t>http://www.linkedin.com/in/didier-beautemps-948b4131</t>
  </si>
  <si>
    <t>https://ateliercos.com</t>
  </si>
  <si>
    <t xml:space="preserve">26 Rue Laffitte, Paris, Ile-de-France, France, 75009</t>
  </si>
  <si>
    <t xml:space="preserve">architecture | design | conseil</t>
  </si>
  <si>
    <t>Giuseppe</t>
  </si>
  <si>
    <t xml:space="preserve">Ville Renouvelée</t>
  </si>
  <si>
    <t>glomonaco@semvr.fr</t>
  </si>
  <si>
    <t>http://www.linkedin.com/in/giuseppe-lo-monaco-641389204</t>
  </si>
  <si>
    <t>https://villerenouvelee.fr</t>
  </si>
  <si>
    <t xml:space="preserve">75 Rue de Tournai, Tourcoing, Hauts-de-France, France, 59200</t>
  </si>
  <si>
    <t xml:space="preserve">Acteur depuis 40 ans dans l'Aménagement urbain, construction, réhabilitation, promotion immobilière, gestion transitoire, mobilité...</t>
  </si>
  <si>
    <t>Maguer</t>
  </si>
  <si>
    <t xml:space="preserve">Plaine Commune Développement</t>
  </si>
  <si>
    <t>gmaguer@semplaine.fr</t>
  </si>
  <si>
    <t>http://www.linkedin.com/in/gildas-maguer-93b81816</t>
  </si>
  <si>
    <t>https://semplaine.fr</t>
  </si>
  <si>
    <t xml:space="preserve">36 Avenue Amilcar Cabral, Saint-Denis, Ile-de-France, France, 93210</t>
  </si>
  <si>
    <t xml:space="preserve">Plaine Commune Développement, principal opérateur du développement et renouvellement urbain du territoire de Plaine Commune.</t>
  </si>
  <si>
    <t>Dieuset</t>
  </si>
  <si>
    <t>SemBreizh</t>
  </si>
  <si>
    <t>guillaume.dieuset@sembreizh.fr</t>
  </si>
  <si>
    <t>http://www.linkedin.com/in/guillaume-dieuset-bb272343</t>
  </si>
  <si>
    <t>https://sembreizh.fr</t>
  </si>
  <si>
    <t>Heywood</t>
  </si>
  <si>
    <t xml:space="preserve">Co-Founder, Operations</t>
  </si>
  <si>
    <t>Allure</t>
  </si>
  <si>
    <t>keith.h@allure-smartdesign.com</t>
  </si>
  <si>
    <t>http://www.linkedin.com/in/keith-heywood-7a391178</t>
  </si>
  <si>
    <t>https://allure.eu.com</t>
  </si>
  <si>
    <t xml:space="preserve">Allure, a European architecture firm, creates innovative work environments, connects people to brands and simplifies project management.</t>
  </si>
  <si>
    <t>Reydon</t>
  </si>
  <si>
    <t>pascal.r@allure-smartdesign.com</t>
  </si>
  <si>
    <t>http://www.linkedin.com/in/pascalreydon</t>
  </si>
  <si>
    <t>Ales</t>
  </si>
  <si>
    <t>Catonnet</t>
  </si>
  <si>
    <t>OPPIDEA</t>
  </si>
  <si>
    <t>r.catonnet@oppidea.fr</t>
  </si>
  <si>
    <t>http://www.linkedin.com/in/raphael-catonnet-95b70787</t>
  </si>
  <si>
    <t>https://oppidea.fr</t>
  </si>
  <si>
    <t xml:space="preserve">21 Boulevard de la Marquette, Toulouse, Occitanie, France, 31000</t>
  </si>
  <si>
    <t xml:space="preserve">Opérateur public de Toulouse Métropole, le groupe Oppidea Europolia pilote des projets d'aménagement, de renouvellement urbain et de construction.</t>
  </si>
  <si>
    <t>Teissonniere</t>
  </si>
  <si>
    <t xml:space="preserve">Co-founder - Project Lead</t>
  </si>
  <si>
    <t>teddy.t@allure-smartdesign.com</t>
  </si>
  <si>
    <t>http://www.linkedin.com/in/teddy-teissonni%c3%a8re-670526195</t>
  </si>
  <si>
    <t>Neolife</t>
  </si>
  <si>
    <t>bernard.voisin@neolife.fr</t>
  </si>
  <si>
    <t>http://www.linkedin.com/in/bernard-voisin-902188111</t>
  </si>
  <si>
    <t>https://neolife.fr</t>
  </si>
  <si>
    <t xml:space="preserve">11 Chemin des Anciennes Vignes, Champagne-au-Mont-d'Or, Auvergne-Rhone-Alpes, France, 69410</t>
  </si>
  <si>
    <t xml:space="preserve">Depuis 2012, nous fabriquons des matériaux de construction écologiques : bardages, terrasses et profils décoratifs. Des solutions résistantes, durables et esthétiques sous Avis Technique.</t>
  </si>
  <si>
    <t>Gotteland</t>
  </si>
  <si>
    <t xml:space="preserve">CECCON BTP</t>
  </si>
  <si>
    <t>cedric.gotteland@ceccon-btp.fr</t>
  </si>
  <si>
    <t>http://www.linkedin.com/in/cedric-gotteland-96519a246</t>
  </si>
  <si>
    <t>https://ceccon-btp.fr</t>
  </si>
  <si>
    <t>Chanliaud</t>
  </si>
  <si>
    <t>chanliaud@ribiere.eu</t>
  </si>
  <si>
    <t>http://www.linkedin.com/in/joseph-chanliaud-7395b0164</t>
  </si>
  <si>
    <t>https://ribiere.eu</t>
  </si>
  <si>
    <t xml:space="preserve">105 Avenue du Port, Salaise-sur-Sanne, Auvergne-Rhone-Alpes, France, 38150</t>
  </si>
  <si>
    <t xml:space="preserve">Entreprise générale de bâtiment. Notre objectif est de faire de vos projets notre réussite. Découvrez notre savoir-faire et nos réalisations.</t>
  </si>
  <si>
    <t>Perriere</t>
  </si>
  <si>
    <t xml:space="preserve">Dorémi Rénovation</t>
  </si>
  <si>
    <t>a.brac-de-la-perriere@renovation-doremi.com</t>
  </si>
  <si>
    <t>http://www.linkedin.com/in/arthurbrac</t>
  </si>
  <si>
    <t>https://renovation-doremi.com</t>
  </si>
  <si>
    <t xml:space="preserve">1 Rue Marc Seguin, Alixan, Rhone-Alpes, France, 26300</t>
  </si>
  <si>
    <t xml:space="preserve">Dorémi vous conseille dans le projet de rénovation énergétique globale de votre maison et vous met en relation avec des professionnels du bâtiment qualifiés.</t>
  </si>
  <si>
    <t>Ferrie</t>
  </si>
  <si>
    <t xml:space="preserve">Fayat Fondations</t>
  </si>
  <si>
    <t>a.ferrie@fayat-fondations.com</t>
  </si>
  <si>
    <t>http://www.linkedin.com/in/alexandre-ferri%c3%a9-30b952173</t>
  </si>
  <si>
    <t>https://fayat-fondations.com</t>
  </si>
  <si>
    <t xml:space="preserve">9 Rue Gustave Eiffel, Grigny, Ile-de-France, France, 91350</t>
  </si>
  <si>
    <t>a.pingat@groupe-pingat.fr</t>
  </si>
  <si>
    <t>http://www.linkedin.com/in/arnaud-pingat</t>
  </si>
  <si>
    <t>https://groupe-pingat.fr</t>
  </si>
  <si>
    <t xml:space="preserve">43 Boulevard de Strasbourg, Paris, Ile-de-France, France, 75010</t>
  </si>
  <si>
    <t xml:space="preserve">Pingat propose des services d'ingénierie et de maîtrise d'œuvre à Reims, garantissant des solutions sur mesure pour chaque projet.</t>
  </si>
  <si>
    <t>Rawas</t>
  </si>
  <si>
    <t>ECOBA-ADS</t>
  </si>
  <si>
    <t>a.rawas@ecoba.fr</t>
  </si>
  <si>
    <t>http://www.linkedin.com/in/alain-rawas-951a1ab8</t>
  </si>
  <si>
    <t>https://ecoba-ads.com</t>
  </si>
  <si>
    <t xml:space="preserve">Avec plus de 80 chantiers à l’année et plus de 40 collaborateurs répartis dans ses deux activités ; conception et exécution, Ecoba -ADS est un partenaire de choix pour les maîtres d'ouvrage et les entreprises de gros-œuvre. </t>
  </si>
  <si>
    <t>Rocco</t>
  </si>
  <si>
    <t>CABRE</t>
  </si>
  <si>
    <t>a.rocco@cabre.fr</t>
  </si>
  <si>
    <t>http://www.linkedin.com/in/antoine-rocco-98a35421</t>
  </si>
  <si>
    <t>https://cabre.fr</t>
  </si>
  <si>
    <t xml:space="preserve">Rue Raoul Briquet, Courrieres, Nord-Pas-de-Calais, France, 62710</t>
  </si>
  <si>
    <t>Sionneau</t>
  </si>
  <si>
    <t xml:space="preserve">Groupe SIONNEAU</t>
  </si>
  <si>
    <t>a.sionneau@sionneau.fr</t>
  </si>
  <si>
    <t>http://www.linkedin.com/in/aurore-sionneau-2691a888</t>
  </si>
  <si>
    <t>https://groupe-sionneau.fr</t>
  </si>
  <si>
    <t xml:space="preserve">3 Rue Edmond Rostand, Reims, Grand Est, France, 51100</t>
  </si>
  <si>
    <t>Vicens</t>
  </si>
  <si>
    <t xml:space="preserve">GROUPE HDV</t>
  </si>
  <si>
    <t>a.vicens@groupe-hdv.fr</t>
  </si>
  <si>
    <t>http://www.linkedin.com/in/aur%c3%a9lie-vicens-0a2027200</t>
  </si>
  <si>
    <t>https://groupe-hdv.fr</t>
  </si>
  <si>
    <t xml:space="preserve">15 Route de Canteloup, Beychac-et-Caillau, Nouvelle-Aquitaine, France, 33750</t>
  </si>
  <si>
    <t xml:space="preserve">Le Groupe HDV c'est Alpha Constructions, Ya'K Construire, Couleur villas, Optiméa, SO'9 Habitat, Alliance Constructions Aquitaine, constructeurs de Maisons Individuelles en Nouvelle Aquitaine, Occitaine et centre Val de Loire.</t>
  </si>
  <si>
    <t>Basin</t>
  </si>
  <si>
    <t xml:space="preserve">Directeur général - cofondateur</t>
  </si>
  <si>
    <t>Axess</t>
  </si>
  <si>
    <t>abasin@axessgroup.eu</t>
  </si>
  <si>
    <t>http://www.linkedin.com/in/aur%c3%a9lien-basin-035400a0</t>
  </si>
  <si>
    <t>https://axess-solutions.eu</t>
  </si>
  <si>
    <t xml:space="preserve">8 Rue Henri Rochefort, Paris, Ile-de-France, France, 75017</t>
  </si>
  <si>
    <t xml:space="preserve">Logistique, espaces de travail, commerces, parcs d'activités : Axess prend part à l'activité économique des territoires à travers la construction, la réhabilitation ou l'aménagement de nombreux actifs immobiliers.</t>
  </si>
  <si>
    <t>Cousseau</t>
  </si>
  <si>
    <t xml:space="preserve">AB2PRO FRANCE</t>
  </si>
  <si>
    <t>ac@ab2pro.com</t>
  </si>
  <si>
    <t>http://www.linkedin.com/in/arthur-cousseau-60730395</t>
  </si>
  <si>
    <t>https://ab2pro.com</t>
  </si>
  <si>
    <t xml:space="preserve">4 Rue des Douelles, Bouaye, Pays de la Loire, France, 44830</t>
  </si>
  <si>
    <t xml:space="preserve">Notre agence d'intérim spécialisée BTP embauche des travailleurs européens pour un travail temporaire. Trouvez l'emploi qu'il vous faut.</t>
  </si>
  <si>
    <t>Dayb</t>
  </si>
  <si>
    <t xml:space="preserve">Président TECNIKA - GROUPE BATIBIG</t>
  </si>
  <si>
    <t>BATIBIG</t>
  </si>
  <si>
    <t>adayb@gratteciel.fr</t>
  </si>
  <si>
    <t>http://www.linkedin.com/in/ahmed-dayb-06491a88</t>
  </si>
  <si>
    <t>https://batibig.com</t>
  </si>
  <si>
    <t xml:space="preserve">68 Rue Villeneuve, Clichy, Ile-de-France, France, 92110</t>
  </si>
  <si>
    <t xml:space="preserve">Entreprises traditionnelles spécialisées dans la maintenance et les travaux de la rénovation du bâtiment.</t>
  </si>
  <si>
    <t>SORIBA</t>
  </si>
  <si>
    <t>agarnier@soriba.fr</t>
  </si>
  <si>
    <t>http://www.linkedin.com/in/annie-garnier-ab0303105</t>
  </si>
  <si>
    <t>https://soriba.fr</t>
  </si>
  <si>
    <t xml:space="preserve">Rue Gustave Eiffel, Challans, Pays de la Loire, France, 85300</t>
  </si>
  <si>
    <t xml:space="preserve">Leader sur le marche, Soriba vous propose une préfabrication de vos façades, escaliers en béton architectonique et bas carbonne pour les professionnels.</t>
  </si>
  <si>
    <t xml:space="preserve">ENTREPRISE CHANSON</t>
  </si>
  <si>
    <t>al@entreprisechanson.fr</t>
  </si>
  <si>
    <t>http://www.linkedin.com/in/antoine-lucas-749104194</t>
  </si>
  <si>
    <t>https://entreprisechanson.fr</t>
  </si>
  <si>
    <t xml:space="preserve">La Haye Fonteny, Chateaubourg, Bretagne, France, 35220</t>
  </si>
  <si>
    <t xml:space="preserve">L'Entreprise Chanson est formée d'une équipe de professionnels pour tous vos travaux de maçonnerie traditionnelle et de gros œuvre. Notre activité s'adapte parfaitement à tous vos projets de construction neuve, d'extension et de rénovation d'ouvrages fonctionnels, industriels, tertiaires et collectifs.</t>
  </si>
  <si>
    <t>Epp</t>
  </si>
  <si>
    <t>Lindera</t>
  </si>
  <si>
    <t>alain.epp@lindera.fr</t>
  </si>
  <si>
    <t>http://www.linkedin.com/in/alain-epp-576358a5</t>
  </si>
  <si>
    <t>https://lindera.fr</t>
  </si>
  <si>
    <t xml:space="preserve">7 Rue de la Meridienne, Fresnes, Ile-de-France, France, 94260</t>
  </si>
  <si>
    <t xml:space="preserve">Lindera works with you on the design, fit-out and restyling of all your spaces in France and internationally.</t>
  </si>
  <si>
    <t xml:space="preserve">Directeur général CRUARD CHARPENTE</t>
  </si>
  <si>
    <t xml:space="preserve">CRUARD CHARPENTE ET CONSTRUCTIONS BOIS</t>
  </si>
  <si>
    <t>alefevre@cruard-charpente.com</t>
  </si>
  <si>
    <t>http://www.linkedin.com/in/andr%c3%a9-lefevre-654517ab</t>
  </si>
  <si>
    <t>https://cruard-charpente.com</t>
  </si>
  <si>
    <t>Simple</t>
  </si>
  <si>
    <t xml:space="preserve">5 Rue des Sports, Simple, Pays de la Loire, France, 53360</t>
  </si>
  <si>
    <t xml:space="preserve">Construction bois et restauration du patrimoine</t>
  </si>
  <si>
    <t>Moos</t>
  </si>
  <si>
    <t xml:space="preserve">Groupe Moos</t>
  </si>
  <si>
    <t>alexandre.moos@jmoos.fr</t>
  </si>
  <si>
    <t>http://www.linkedin.com/in/alexandre-moos-3963082b</t>
  </si>
  <si>
    <t>https://groupemoos.fr</t>
  </si>
  <si>
    <t xml:space="preserve">Amplepuis, Auvergne-Rhone-Alpes, France, 69550</t>
  </si>
  <si>
    <t xml:space="preserve">Un groupe autour d'une synergie d'entreprises à taille humaine et aux valeurs familiales fortes</t>
  </si>
  <si>
    <t>Person</t>
  </si>
  <si>
    <t xml:space="preserve">Groupe E2M</t>
  </si>
  <si>
    <t>alexandre.person@e2msa.fr</t>
  </si>
  <si>
    <t>http://www.linkedin.com/in/alexandre-person-7341b6102</t>
  </si>
  <si>
    <t>https://e2m-groupe.fr</t>
  </si>
  <si>
    <t xml:space="preserve">5 Avenue du Pont Gris, Canejan, Nouvelle-Aquitaine, France, 33610</t>
  </si>
  <si>
    <t xml:space="preserve">Le Groupe E2M, est votre prestataire de services pour vos projets en électricité ,climatisation, aspiration, filtration et métallerie.</t>
  </si>
  <si>
    <t>Abeudje</t>
  </si>
  <si>
    <t xml:space="preserve">Directeur général - Responsable service méthodes</t>
  </si>
  <si>
    <t>ACEM</t>
  </si>
  <si>
    <t>alexandre@acem.live</t>
  </si>
  <si>
    <t>http://www.linkedin.com/in/alexandre-abeudje-49b66018b</t>
  </si>
  <si>
    <t>https://acem.live</t>
  </si>
  <si>
    <t xml:space="preserve">ACEM, votre bureau d'étude méthodes BTP à Dreux, Eure et Loir (28). Solutions personnalisées en construction, et organisation de chantier (plan d'installation de chantier)</t>
  </si>
  <si>
    <t>Debain</t>
  </si>
  <si>
    <t xml:space="preserve">Co-fondateur MCH Lille</t>
  </si>
  <si>
    <t xml:space="preserve">Mon Concept Habitation</t>
  </si>
  <si>
    <t>alexandre@monconcepthabitation.com</t>
  </si>
  <si>
    <t>http://www.linkedin.com/in/alexandre-debain-520763140</t>
  </si>
  <si>
    <t>https://monconcepthabitation.com</t>
  </si>
  <si>
    <t xml:space="preserve">105 Rue La Fayette, Paris, Ile-de-France, France, 75010</t>
  </si>
  <si>
    <t xml:space="preserve">Notre équipe gère tout pour vous ! Les 4 étapes pour réussir votre projet avec Mon Concept Habitation.</t>
  </si>
  <si>
    <t>IMING</t>
  </si>
  <si>
    <t>alexis.lartigue@ingeole.com</t>
  </si>
  <si>
    <t>http://www.linkedin.com/in/lartigue-alexis-479a9b35</t>
  </si>
  <si>
    <t>https://iming.fr</t>
  </si>
  <si>
    <t xml:space="preserve">Montrouge, Ile-de-France, France, 92120</t>
  </si>
  <si>
    <t xml:space="preserve">IMING, Bureau d'études en Ingénierie et Management de projets. Spécialiste multidisciplinaire en ingénierie, management de projets, assistance et maitrise d'ouvrage et d’œuvre.</t>
  </si>
  <si>
    <t>Omnes</t>
  </si>
  <si>
    <t xml:space="preserve">HIRSCH ISOLATION</t>
  </si>
  <si>
    <t>amaury.omnes@hirsch-gruppe.com</t>
  </si>
  <si>
    <t>http://www.linkedin.com/in/amaury-omn%c3%a8s-93b96320</t>
  </si>
  <si>
    <t>https://hirschisolation.fr</t>
  </si>
  <si>
    <t xml:space="preserve">Willkommen in der HIRSCH Servo Gruppe: Ihr Experte in der EPS- &amp; EPP-Industrie mit 50 Jahren Erfahrung, 34 Produktionsstandorten in 10 Ländern.</t>
  </si>
  <si>
    <t>Thenery</t>
  </si>
  <si>
    <t xml:space="preserve">Garden Design</t>
  </si>
  <si>
    <t>ambiance@gardendesign.pro</t>
  </si>
  <si>
    <t>http://www.linkedin.com/in/jean-jacques-thenery-9894259</t>
  </si>
  <si>
    <t>https://gardendesignlandscaping.com</t>
  </si>
  <si>
    <t xml:space="preserve">1925 Valley View Ln, Dallas, Texas, United States, 75234</t>
  </si>
  <si>
    <t xml:space="preserve">Groupe Guinier 1823</t>
  </si>
  <si>
    <t>andrea.paoletti@guinier1823.fr</t>
  </si>
  <si>
    <t>http://www.linkedin.com/in/andrea-paoletti-65367010b</t>
  </si>
  <si>
    <t>https://guinier1823.com</t>
  </si>
  <si>
    <t>Noyel</t>
  </si>
  <si>
    <t xml:space="preserve">Directeur Général Adjoint chez Lenoir Métallerie</t>
  </si>
  <si>
    <t xml:space="preserve">LENOIR METALLERIE</t>
  </si>
  <si>
    <t>anoyel@lenoirmetallerie.fr</t>
  </si>
  <si>
    <t>http://www.linkedin.com/in/antoine-noyel-a6a52a114</t>
  </si>
  <si>
    <t>https://lenoirmetallerie.fr</t>
  </si>
  <si>
    <t xml:space="preserve">30 Rue du Marais, Villeurbanne, Auvergne-Rhone-Alpes, France, 69100</t>
  </si>
  <si>
    <t>Giallo</t>
  </si>
  <si>
    <t xml:space="preserve">Groupe EITP</t>
  </si>
  <si>
    <t>anthony.giallo@eitp.fr</t>
  </si>
  <si>
    <t>http://www.linkedin.com/in/anthony-giallo-b3130b152</t>
  </si>
  <si>
    <t>https://eitp.fr</t>
  </si>
  <si>
    <t xml:space="preserve">3 Allee de la Billonne, Les Pennes-Mirabeau, Provence-Alpes-Cote d'Azur, France, 13170</t>
  </si>
  <si>
    <t>Cerisier</t>
  </si>
  <si>
    <t>Ubat</t>
  </si>
  <si>
    <t>antoine.cerisier@ubat.fr</t>
  </si>
  <si>
    <t>http://www.linkedin.com/in/cerisier-antoine-b2610b82</t>
  </si>
  <si>
    <t>https://ubat.fr</t>
  </si>
  <si>
    <t xml:space="preserve">1 Rue Michel Gerard, Rennes, Bretagne, France, 35200</t>
  </si>
  <si>
    <t xml:space="preserve">Ubat est un acteur national incontournable des métiers liés à la maîtrise de la Perméabilité à l’Air de l’enveloppe des bâtiments, des Réseaux Aérauliques, de l’Acoustique et de la Qualité de l’Air Intérieur.</t>
  </si>
  <si>
    <t>Ladu</t>
  </si>
  <si>
    <t>Natilia</t>
  </si>
  <si>
    <t>arnaud.ladu@natilia.fr</t>
  </si>
  <si>
    <t>http://www.linkedin.com/in/arnaud-ladu-974089ba</t>
  </si>
  <si>
    <t>https://maison-natilia.fr</t>
  </si>
  <si>
    <t xml:space="preserve">Decines-Charpieu, Auvergne-Rhone-Alpes, France, 69150</t>
  </si>
  <si>
    <t xml:space="preserve">Leader Français de la maison individuelle en ossature bois, nous vous accompagnons dans la réalisation de votre projet de maison partout en France.</t>
  </si>
  <si>
    <t>Poutiers</t>
  </si>
  <si>
    <t>Perfhome</t>
  </si>
  <si>
    <t>aymeric.poutiers@perfhome.com</t>
  </si>
  <si>
    <t>http://www.linkedin.com/in/aymeric-poutiers-104490202</t>
  </si>
  <si>
    <t>https://perfhome.com</t>
  </si>
  <si>
    <t xml:space="preserve">Sequedin, Nord-Pas-de-Calais, France</t>
  </si>
  <si>
    <t xml:space="preserve">Leader lots techniques CVC / Electricité</t>
  </si>
  <si>
    <t>Bouzidi</t>
  </si>
  <si>
    <t>SCIE</t>
  </si>
  <si>
    <t>b.bouzidi@scie.fr</t>
  </si>
  <si>
    <t>http://www.linkedin.com/in/brianbouzidi</t>
  </si>
  <si>
    <t>https://scie-cablage.com</t>
  </si>
  <si>
    <t xml:space="preserve">20 Rue de Grenoble, Alfortville, Ile-de-France, France, 94140</t>
  </si>
  <si>
    <t>Rossignol</t>
  </si>
  <si>
    <t xml:space="preserve">MARC SAS</t>
  </si>
  <si>
    <t>b.rossignol@marc-electricite.fr</t>
  </si>
  <si>
    <t>http://www.linkedin.com/in/bruno-rossignol-203038151</t>
  </si>
  <si>
    <t>https://marc-electricite.fr</t>
  </si>
  <si>
    <t xml:space="preserve">26 Rue Joe Dassin, Montpellier, Occitanie, France, 34080</t>
  </si>
  <si>
    <t xml:space="preserve">Depuis 1965, MARC ÉLECTRICITÉ intervient en Occitanie pour vos projets électriques tertiaires, résidentiels, collectifs. Partenaires locaux, approche éco-responsable.</t>
  </si>
  <si>
    <t>Balzeau</t>
  </si>
  <si>
    <t xml:space="preserve">Associé Co-gérant</t>
  </si>
  <si>
    <t>ILAO</t>
  </si>
  <si>
    <t>baptiste.balzeau@ilao.fr</t>
  </si>
  <si>
    <t>http://www.linkedin.com/in/baptiste-balzeau-64481938</t>
  </si>
  <si>
    <t>https://ilao.fr</t>
  </si>
  <si>
    <t xml:space="preserve">8B Rue des Greffieres, Lagord, Nouvelle-Aquitaine, France, 17140</t>
  </si>
  <si>
    <t xml:space="preserve">Une équipe à l'écoute de ses clients, pour répondre au mieux aux ambitions de leurs projets, aux exigences légales et réglementaires et force de propositions &amp; de processus innovants.ILAO est engagé dans des démarches qualité, sociétales et environnementales (RSE) et certifié ISO 9001 - ISO 14001 - ISO 45001</t>
  </si>
  <si>
    <t>Valenzuela</t>
  </si>
  <si>
    <t xml:space="preserve">GROUPE DARVER</t>
  </si>
  <si>
    <t>barredo.alvaro@darver.fr</t>
  </si>
  <si>
    <t>http://www.linkedin.com/in/alvaro-barredo-de-valenzuela-514183152</t>
  </si>
  <si>
    <t>https://darver.fr</t>
  </si>
  <si>
    <t xml:space="preserve">Avenue des Razeteurs, Castries, Languedoc-Roussillon, France, 34160</t>
  </si>
  <si>
    <t>bastien.monteils@iming.fr</t>
  </si>
  <si>
    <t>http://www.linkedin.com/in/bastienmonteils</t>
  </si>
  <si>
    <t>Bodin</t>
  </si>
  <si>
    <t xml:space="preserve">BAUDET S.A</t>
  </si>
  <si>
    <t>bbodin@baudet-sa.com</t>
  </si>
  <si>
    <t>http://www.linkedin.com/in/bertrand-bodin-8a101516a</t>
  </si>
  <si>
    <t>https://baudet-sa.com</t>
  </si>
  <si>
    <t xml:space="preserve">Rue Saint-Fiacre, Mouchamps, Pays de la Loire, France, 85640</t>
  </si>
  <si>
    <t xml:space="preserve">Salles de Bains Préfabriqués pour Hôtellerie, Etablissement de Santé, Logement Résidentiel, et Logement de Etudient et Social - BAUDET - 02 51 66 27 85</t>
  </si>
  <si>
    <t>Boitelle</t>
  </si>
  <si>
    <t xml:space="preserve">SERUPA SAS</t>
  </si>
  <si>
    <t>bboitelle@serupa.fr</t>
  </si>
  <si>
    <t>http://www.linkedin.com/in/bertrand-boitelle-64b639170</t>
  </si>
  <si>
    <t>https://serupa.fr</t>
  </si>
  <si>
    <t xml:space="preserve">Merdrignac, Brittany, France, 22230</t>
  </si>
  <si>
    <t xml:space="preserve">Leader Français de la conception et la construction de bâtiments d’élevage et industriels, SERUPA accompagne depuis +45 ans les éleveurs !</t>
  </si>
  <si>
    <t>bdrouin@asselin.fr</t>
  </si>
  <si>
    <t>http://www.linkedin.com/in/benoit-drouin-08186a10b</t>
  </si>
  <si>
    <t>https://asselin.fr</t>
  </si>
  <si>
    <t xml:space="preserve">10 Boulevard Auguste Rodin, Thouars, Nouvelle-Aquitaine, France, 79100</t>
  </si>
  <si>
    <t xml:space="preserve">Asselin, spécialiste de la restauration de patrimoine et bâtiments anciens en France : menuiserie extérieure, intérieure, charpente, ferronnerie d'art.</t>
  </si>
  <si>
    <t>Cattin-Martel</t>
  </si>
  <si>
    <t xml:space="preserve">CEO Sateba Group</t>
  </si>
  <si>
    <t xml:space="preserve">SATEBA France</t>
  </si>
  <si>
    <t>benoit.cattin-martel@sateba.com</t>
  </si>
  <si>
    <t>http://www.linkedin.com/in/benoit-cattin-martel-99203123</t>
  </si>
  <si>
    <t>https://sateba.fr</t>
  </si>
  <si>
    <t xml:space="preserve">SATEBA France couvre la moitié des besoins annuels de RFF/SNCF, estimés à environ 1 million de traverses. Membre de la Fédération des Industries Ferroviaires.</t>
  </si>
  <si>
    <t>Lebobe</t>
  </si>
  <si>
    <t xml:space="preserve">Gérant NATIBOX</t>
  </si>
  <si>
    <t xml:space="preserve">Natibox studio de jardin environnemental</t>
  </si>
  <si>
    <t>benoit.lebobe@natibox.fr</t>
  </si>
  <si>
    <t>http://www.linkedin.com/in/beno%c3%aet-lebobe-0abb43137</t>
  </si>
  <si>
    <t>https://natibox.fr</t>
  </si>
  <si>
    <t xml:space="preserve">78 Rue Elisee Reclus, Decines-Charpieu, Rhone-Alpes, France, 69150</t>
  </si>
  <si>
    <t>Lisbonne</t>
  </si>
  <si>
    <t>ADELEC</t>
  </si>
  <si>
    <t>bernard.lisbonne@adelec.fr</t>
  </si>
  <si>
    <t>http://www.linkedin.com/in/bernard-lisbonne-7b640475</t>
  </si>
  <si>
    <t>https://adelec-securité.fr</t>
  </si>
  <si>
    <t xml:space="preserve">ABG CLIMATIQUE</t>
  </si>
  <si>
    <t>biron.jacques@abg-climatique.fr</t>
  </si>
  <si>
    <t>http://www.linkedin.com/in/jacques-biron-54826692</t>
  </si>
  <si>
    <t>https://abg-climatique.fr</t>
  </si>
  <si>
    <t xml:space="preserve">37 Avenue de la Tessoualle, Cholet, Pays de la Loire, France, 49300</t>
  </si>
  <si>
    <t xml:space="preserve">Choisissez ABG Climatique à Cholet et Saumur pour vos travaux de chauffage, plomberie, climatisation, pour les professionnels et particuliers.</t>
  </si>
  <si>
    <t>COREVA</t>
  </si>
  <si>
    <t>bmoreau@entreprise-coreva.fr</t>
  </si>
  <si>
    <t>http://www.linkedin.com/in/benjamin-moreau-44880a8</t>
  </si>
  <si>
    <t>https://entreprise-coreva.fr</t>
  </si>
  <si>
    <t xml:space="preserve">Lieu-dit La Croix Rouge, Brece, Brittany, France, 35530</t>
  </si>
  <si>
    <t xml:space="preserve">Bienvenue chez Coreva. L’entreprise Coreva est une PME, notre métier est la construction dans le domaine du Gros-Œuvre, ainsi que l’entreprise générale.</t>
  </si>
  <si>
    <t xml:space="preserve">CMF STRUCTURES</t>
  </si>
  <si>
    <t>boyer@cmf-structures.com</t>
  </si>
  <si>
    <t>http://www.linkedin.com/in/micha%c3%abl-boyer-67621883</t>
  </si>
  <si>
    <t>https://cmf-structures.com</t>
  </si>
  <si>
    <t xml:space="preserve">Massiac, Auvergne-Rhone-Alpes, France, 15500</t>
  </si>
  <si>
    <t>Soufir</t>
  </si>
  <si>
    <t>brian@groupe-apb.fr</t>
  </si>
  <si>
    <t>http://www.linkedin.com/in/brian-soufir</t>
  </si>
  <si>
    <t>https://groupe-apb.fr</t>
  </si>
  <si>
    <t>Camuzet</t>
  </si>
  <si>
    <t xml:space="preserve">gérant sarl AT2C</t>
  </si>
  <si>
    <t xml:space="preserve">ACTIV TRAVAUX France</t>
  </si>
  <si>
    <t>c.camuzet@activ-travaux.com</t>
  </si>
  <si>
    <t>http://www.linkedin.com/in/cyril-camuzet-54b182108</t>
  </si>
  <si>
    <t>https://activ-travaux.com</t>
  </si>
  <si>
    <t>Oytier-Saint-Oblas</t>
  </si>
  <si>
    <t xml:space="preserve">Rue Augustin Fresnel, Carquefou, Pays de la Loire, France, 44470</t>
  </si>
  <si>
    <t xml:space="preserve">Transformez votre espace professionnel avec notre expertise en rénovation de locaux. De l'agencement intérieur à l'optimisation de l'espace, notre équipe dédiée réalise des travaux sur mesure pour refléter l'image de votre entreprise. Découvrez des soluti</t>
  </si>
  <si>
    <t>Gahinet</t>
  </si>
  <si>
    <t>c.gahinet@activ-travaux.com</t>
  </si>
  <si>
    <t>http://www.linkedin.com/in/christian-gahinet-561a1873</t>
  </si>
  <si>
    <t>Gain</t>
  </si>
  <si>
    <t>c.gain@sateba.com</t>
  </si>
  <si>
    <t>http://www.linkedin.com/in/christian-gain-5b37b3226</t>
  </si>
  <si>
    <t>Chambray-les-Tours</t>
  </si>
  <si>
    <t>Gelle</t>
  </si>
  <si>
    <t xml:space="preserve">C&amp;W Design+Build France</t>
  </si>
  <si>
    <t>c.gelle@reponse.fr</t>
  </si>
  <si>
    <t>http://www.linkedin.com/in/christophe-gell%c3%a9-7a636b27</t>
  </si>
  <si>
    <t>https://reponse.fr</t>
  </si>
  <si>
    <t>Lac</t>
  </si>
  <si>
    <t xml:space="preserve">BETOM Group</t>
  </si>
  <si>
    <t>c.lac@groupebetom.fr</t>
  </si>
  <si>
    <t>http://www.linkedin.com/in/christophe-lac-b1b64223a</t>
  </si>
  <si>
    <t>https://groupe-betom.fr</t>
  </si>
  <si>
    <t xml:space="preserve">Experts dans l'ingénierie du bâtiment, des infrastructures &amp; de l'industrie, nous offrons des solutions innovantes de conception et de réalisation.</t>
  </si>
  <si>
    <t>Mehats</t>
  </si>
  <si>
    <t xml:space="preserve">ALKAR Constructions Métalliques</t>
  </si>
  <si>
    <t>c.mehats@alkar.fr</t>
  </si>
  <si>
    <t>http://www.linkedin.com/in/christophe-mehats-6a0391123</t>
  </si>
  <si>
    <t>https://alkar.fr</t>
  </si>
  <si>
    <t>Cheraute</t>
  </si>
  <si>
    <t xml:space="preserve">11 Rue Rene Elissabide, Mauleon-Licharre, Aquitaine-Limousin-Poitou-Charentes, France, 64130</t>
  </si>
  <si>
    <t xml:space="preserve">Qualité, maîtrise des coûts et des délais. Votre partenaire dans le grand sud. ALKAR, contactez-nous au 05 59 28 30 79</t>
  </si>
  <si>
    <t>Ploux</t>
  </si>
  <si>
    <t>HRS</t>
  </si>
  <si>
    <t>c.ploux@hrsfrance.fr</t>
  </si>
  <si>
    <t>http://www.linkedin.com/in/christophe-ploux-8b615317</t>
  </si>
  <si>
    <t>https://highwayresource.co.uk</t>
  </si>
  <si>
    <t xml:space="preserve">Orston Lane, Bottesford, England, United Kingdom, NG13 0AU</t>
  </si>
  <si>
    <t xml:space="preserve">A Work Zone Safety Company</t>
  </si>
  <si>
    <t>Bignon</t>
  </si>
  <si>
    <t xml:space="preserve">ASSOCIE FONDATEUR</t>
  </si>
  <si>
    <t>cabignon@batibig.com</t>
  </si>
  <si>
    <t>http://www.linkedin.com/in/charles-bignon-67685152</t>
  </si>
  <si>
    <t>Synerciel</t>
  </si>
  <si>
    <t>catherine.aubert@synerciel.fr</t>
  </si>
  <si>
    <t>http://www.linkedin.com/in/catherine-aubert-32a50b203</t>
  </si>
  <si>
    <t>https://synerciel.fr</t>
  </si>
  <si>
    <t xml:space="preserve">102 Terrasse Boieldieu, Puteaux, Ile-de-France, France, 92800</t>
  </si>
  <si>
    <t xml:space="preserve">Découvrez Synerciel, un réseau de plus de 2000 artisans qualifiés proches de chez vous pour effectuer l'ensemble de vos travaux et valoriser votre bien.</t>
  </si>
  <si>
    <t>Balanche</t>
  </si>
  <si>
    <t xml:space="preserve">SIMONIN SAS Wood Solutions</t>
  </si>
  <si>
    <t>cbalanche@simonin.com</t>
  </si>
  <si>
    <t>http://www.linkedin.com/in/christian-balanche-290ba5202</t>
  </si>
  <si>
    <t>https://simonin.com</t>
  </si>
  <si>
    <t>Montlebon</t>
  </si>
  <si>
    <t xml:space="preserve">18 Rue des Epinottes, Montlebon, Bourgogne-Franche-Comte, France, 25500</t>
  </si>
  <si>
    <t xml:space="preserve">La passion bois</t>
  </si>
  <si>
    <t>CAPREMIB</t>
  </si>
  <si>
    <t>cblanc@capremib.fr</t>
  </si>
  <si>
    <t>http://www.linkedin.com/in/cl%c3%a9ment-blanc-838071112</t>
  </si>
  <si>
    <t>https://capremib.com</t>
  </si>
  <si>
    <t xml:space="preserve">Route Nationale 44, Cormicy, Grand Est, France, 51220</t>
  </si>
  <si>
    <t>Desmettre</t>
  </si>
  <si>
    <t xml:space="preserve">Dirigeant Createur</t>
  </si>
  <si>
    <t>DEMEX</t>
  </si>
  <si>
    <t>cdesmettre@demex.fr</t>
  </si>
  <si>
    <t>http://www.linkedin.com/in/christophe-desmettre-6a3833bb</t>
  </si>
  <si>
    <t>https://demex.com.au</t>
  </si>
  <si>
    <t xml:space="preserve">Yatala, Queensland, Australia, 4207</t>
  </si>
  <si>
    <t xml:space="preserve">Demex based in Brisbane and the Gold Coast, is a demolition, excavation &amp; asbestos removal company removing residential and commercial structures of any size.</t>
  </si>
  <si>
    <t>Petiteau</t>
  </si>
  <si>
    <t>PETITEAU</t>
  </si>
  <si>
    <t>cedric@petiteau-renovation.fr</t>
  </si>
  <si>
    <t>http://www.linkedin.com/in/c%c3%a9dric-petiteau-108236b6</t>
  </si>
  <si>
    <t>https://petiteau-energies.fr</t>
  </si>
  <si>
    <t xml:space="preserve">6 Rue du Patis, Saint-Barthelemy-d'Anjou, Pays de la Loire, France, 49124</t>
  </si>
  <si>
    <t>CECM</t>
  </si>
  <si>
    <t>cem.embouteillage@cegetel.net</t>
  </si>
  <si>
    <t>http://www.linkedin.com/in/olivier-francois-a0042157</t>
  </si>
  <si>
    <t>https://cecm.com.mx</t>
  </si>
  <si>
    <t xml:space="preserve">1606 Calle Batallon de San Blas, Monterrey, Nuevo Leon, Mexico, 64550</t>
  </si>
  <si>
    <t>Marcerou</t>
  </si>
  <si>
    <t xml:space="preserve">MRC Construction</t>
  </si>
  <si>
    <t>charles.marcerou@constructionmrc.com</t>
  </si>
  <si>
    <t>http://www.linkedin.com/in/charles-marcerou-7a0448107</t>
  </si>
  <si>
    <t>https://mrcconstruction.com</t>
  </si>
  <si>
    <t xml:space="preserve">6490 Garrison Road, Durand, Michigan, United States, 48429</t>
  </si>
  <si>
    <t xml:space="preserve">MRC Construction Company is your one stop shop for your construction needs. We have confidently served the CSRA since 1947.</t>
  </si>
  <si>
    <t>Debains</t>
  </si>
  <si>
    <t xml:space="preserve">Monsieur Peinture</t>
  </si>
  <si>
    <t>charles@monsieurpeinture.com</t>
  </si>
  <si>
    <t>http://www.linkedin.com/in/charles-debains-9489998</t>
  </si>
  <si>
    <t>https://monsieurpeinture.com</t>
  </si>
  <si>
    <t xml:space="preserve">137 Rue d'Aboukir, Paris, Ile-de-France, France, 75002</t>
  </si>
  <si>
    <t xml:space="preserve">Entreprise de peinture et de rénovation en France. Devis gratuit pour tous travaux. Nos artisans peintres sont professionnels et efficaces.</t>
  </si>
  <si>
    <t>Duveau</t>
  </si>
  <si>
    <t>FPRS</t>
  </si>
  <si>
    <t>christophe.duveau@fprs.fr</t>
  </si>
  <si>
    <t>http://www.linkedin.com/in/christophe-duveau-9ab467185</t>
  </si>
  <si>
    <t>https://fprs.fr</t>
  </si>
  <si>
    <t xml:space="preserve">NOS MÉTIERS RAVALEMENT En savoir plus REMISE EN ÉTAT DE LOGEMENT (REL) En savoir plus RÉHABILITATION TOUS CORPS D'ÉTAT En savoir plus ACCESSIBILITÉ PMR En savoir plus À PROPOS DE FPRS Créée en 1991, FPRS, entreprise familiale, s’appuie sur son professionnalisme pour vous proposer des solutions adaptées à vos besoins.Spécialisée dans les travaux de réhabilitation,</t>
  </si>
  <si>
    <t>Nicoletta</t>
  </si>
  <si>
    <t xml:space="preserve">NICOLETTA GROUPE</t>
  </si>
  <si>
    <t>christophe.nicoletta@nicoletta.fr</t>
  </si>
  <si>
    <t>http://www.linkedin.com/in/christophe-nicoletta-b7974b39</t>
  </si>
  <si>
    <t>https://nicoletta.fr</t>
  </si>
  <si>
    <t xml:space="preserve">Augny, Grand Est, France</t>
  </si>
  <si>
    <t xml:space="preserve">Le Groupe Nicoletta est spécialisé dans le traitement et la protection des surfaces métalliques et des bétons ainsi que dans la finition du bâtiment pour les particuliers et les professionnels.</t>
  </si>
  <si>
    <t>Posseme</t>
  </si>
  <si>
    <t xml:space="preserve">LE BATIMENT ASSOCIE</t>
  </si>
  <si>
    <t>christophe.posseme@batiment-associe.fr</t>
  </si>
  <si>
    <t>http://www.linkedin.com/in/christophe-poss%c3%a9m%c3%a9-303246a1</t>
  </si>
  <si>
    <t>https://lebatimentassocie.fr</t>
  </si>
  <si>
    <t xml:space="preserve">Muizon, Grand Est, France, 51140</t>
  </si>
  <si>
    <t>Marillier</t>
  </si>
  <si>
    <t>SOTRELEC</t>
  </si>
  <si>
    <t>cyril.marillier@sotrelec.fr</t>
  </si>
  <si>
    <t>http://www.linkedin.com/in/cyril-marillier-8927a9302</t>
  </si>
  <si>
    <t>https://sotrelec.fr</t>
  </si>
  <si>
    <t xml:space="preserve">3 Allee Emile Reynaud, Torcy, Ile-de-France, France, 77200</t>
  </si>
  <si>
    <t xml:space="preserve">SOTRELEC, acteur majeur dans les métiers de l’électricité, du contrôle d’accès, de la sécurité anti-intrusion, de la vidéosurveillance et de la détection incendie.</t>
  </si>
  <si>
    <t>GENERE</t>
  </si>
  <si>
    <t>d.brunet@genere.fr</t>
  </si>
  <si>
    <t>http://www.linkedin.com/in/daniel-brunet-5b9b946b</t>
  </si>
  <si>
    <t>https://genere.fr</t>
  </si>
  <si>
    <t xml:space="preserve">5 Avenue de la Villa Antony, Saint-Maurice, Ile-de-France, France, 94410</t>
  </si>
  <si>
    <t xml:space="preserve">Entreprise Genere BTP, spécialiste de la réhabilitation. Chantier en résidence sociale, travaux de logements et bâtiments dans le Val d'Oise 94 à St Maurice.</t>
  </si>
  <si>
    <t>VIVIEN</t>
  </si>
  <si>
    <t>d.vivien@be-vivien.fr</t>
  </si>
  <si>
    <t>http://www.linkedin.com/in/dominique-vivien-3a9ab411b</t>
  </si>
  <si>
    <t>https://be-vivien.fr</t>
  </si>
  <si>
    <t xml:space="preserve">97 Avenue Edmond Rostand, Merignac, Nouvelle-Aquitaine, France, 33700</t>
  </si>
  <si>
    <t xml:space="preserve">WIG France Entreprises</t>
  </si>
  <si>
    <t>daniel.cerutti@wigfrance.fr</t>
  </si>
  <si>
    <t>http://www.linkedin.com/in/cerutti-daniel-30843a7b</t>
  </si>
  <si>
    <t>https://wigfrance.fr</t>
  </si>
  <si>
    <t xml:space="preserve">Toul, Alsace-Champagne-Ardenne-Lorraine, France, 54200</t>
  </si>
  <si>
    <t xml:space="preserve">Construction en Grand Est et décontamination des bâtiments et biens d’équipements industriels sur toute la France : plus de 20 ans d'expérience</t>
  </si>
  <si>
    <t>Lardeux</t>
  </si>
  <si>
    <t xml:space="preserve">CONSTRUCTIONS DU HAUT ANJOU</t>
  </si>
  <si>
    <t>daniel.lardeux@cha-constructions.com</t>
  </si>
  <si>
    <t>http://www.linkedin.com/in/daniel-lardeux-15425410b</t>
  </si>
  <si>
    <t>https://cha-constructions.com</t>
  </si>
  <si>
    <t xml:space="preserve">1 Rue Grand Pree, Ombree d'Anjou, Pays de la Loire, France, 49420</t>
  </si>
  <si>
    <t xml:space="preserve">Profitez de tous les avantages à faire bâtir un logement neuf. Recourez à CONSTRUCTIONS DU HAUT ANJOU, votre entreprise de gros œuvre en Maine-et-Loire 49. Contactez-nous au 02 41 92 46 56.</t>
  </si>
  <si>
    <t>Bruzzese</t>
  </si>
  <si>
    <t>R2M</t>
  </si>
  <si>
    <t>david.bruzzese@r2m-economiste.com</t>
  </si>
  <si>
    <t>http://www.linkedin.com/in/david-bruzzese-657a0369</t>
  </si>
  <si>
    <t>https://r2m-economiste.com</t>
  </si>
  <si>
    <t xml:space="preserve">22 Avenue Andre Roussin, Marseille, Provence-Alpes-Cote d'Azur, France, 13016</t>
  </si>
  <si>
    <t xml:space="preserve">R2M est un bureau d’étude certifié ISO 9001 spécialisé dans les métiers de l’ingénierie du bâtiment basé à Marseille.</t>
  </si>
  <si>
    <t xml:space="preserve">Directeur Général Délégué aux Opérations - Associé</t>
  </si>
  <si>
    <t>dcharrier@axessgroup.eu</t>
  </si>
  <si>
    <t>http://www.linkedin.com/in/denis-charrier-092a9088</t>
  </si>
  <si>
    <t>Clemot</t>
  </si>
  <si>
    <t>GÉRANT</t>
  </si>
  <si>
    <t xml:space="preserve">Maisons Création</t>
  </si>
  <si>
    <t>dclemot@maisonscreation.com</t>
  </si>
  <si>
    <t>http://www.linkedin.com/in/didier-clemot-62014746</t>
  </si>
  <si>
    <t>https://maisonscreation.com</t>
  </si>
  <si>
    <t xml:space="preserve">29 Boulevard de la Tour d'Auvergne, Rennes, Brittany, France, 35000</t>
  </si>
  <si>
    <t xml:space="preserve">Nous construisons des maisons modernes et fonctionnelles, labellisées Maisons de Qualité à Rennes, Saint-Malo, Dinan et dans toute l’Ille et Vilaine.</t>
  </si>
  <si>
    <t xml:space="preserve">IDF Habitat</t>
  </si>
  <si>
    <t>de.valentin@idfhabitat.fr</t>
  </si>
  <si>
    <t>http://www.linkedin.com/in/delphine-valentin-7749124a</t>
  </si>
  <si>
    <t>https://idfhabitat.fr</t>
  </si>
  <si>
    <t xml:space="preserve">53 Rue Pierre-Marie Derrien, Champigny-sur-Marne, Ile-de-France, France, 94500</t>
  </si>
  <si>
    <t xml:space="preserve">Société HLM spécialisée dans le locatif et l'accession</t>
  </si>
  <si>
    <t>Empereur</t>
  </si>
  <si>
    <t xml:space="preserve">Directeur Général du Groupe Roger Delattre</t>
  </si>
  <si>
    <t xml:space="preserve">GROUPE ROGER DELATTRE</t>
  </si>
  <si>
    <t>dempereur@grouperogerdelattre.com</t>
  </si>
  <si>
    <t>http://www.linkedin.com/in/david-empereur-692b48b2</t>
  </si>
  <si>
    <t>https://rogerdelattre.com</t>
  </si>
  <si>
    <t xml:space="preserve">Boulogne-sur-Mer, Hauts-de-France, France, 62200</t>
  </si>
  <si>
    <t>Wolf</t>
  </si>
  <si>
    <t xml:space="preserve">Directeur Général FEDERALY LOGEMENT</t>
  </si>
  <si>
    <t>FEDERALY</t>
  </si>
  <si>
    <t>denis.wolf@federaly.fr</t>
  </si>
  <si>
    <t>http://www.linkedin.com/in/denis-wolf-b1010a143</t>
  </si>
  <si>
    <t>https://federaly.fr</t>
  </si>
  <si>
    <t xml:space="preserve">87 Avenue Marius Berliet, Chaponnay, Rhone-Alpes, France, 69970</t>
  </si>
  <si>
    <t xml:space="preserve">Le Groupe Federaly est spécialisé dans l'accompagnement de projet immobilier. En tant que contractant général nous proposons des solutions clé en main de la conception à la construction jusqu'à la livraison de vos projets immobilier.</t>
  </si>
  <si>
    <t>Guinard</t>
  </si>
  <si>
    <t>COPAC</t>
  </si>
  <si>
    <t>dguinard@copac.fr</t>
  </si>
  <si>
    <t>http://www.linkedin.com/in/denis-guinard-aab893140</t>
  </si>
  <si>
    <t>https://copac.fr</t>
  </si>
  <si>
    <t>Meriel</t>
  </si>
  <si>
    <t xml:space="preserve">Beauchamp, Ile-de-France, France, 95250</t>
  </si>
  <si>
    <t xml:space="preserve">Copac est spécialiste du BTP depuis 1990. Coffrages et passerelles pour la construction, matériel de sécurité BTP. Vente et location.</t>
  </si>
  <si>
    <t>Chatriot</t>
  </si>
  <si>
    <t>3iA</t>
  </si>
  <si>
    <t>didier.chatriot@3ia.fr</t>
  </si>
  <si>
    <t>http://www.linkedin.com/in/didier-chatriot-84351ab7</t>
  </si>
  <si>
    <t>https://3ia.fr</t>
  </si>
  <si>
    <t xml:space="preserve">6 Rue Carre, Troyes, Grand Est, France, 10000</t>
  </si>
  <si>
    <t>Cegarra</t>
  </si>
  <si>
    <t>dimitri.cegarra@natibox.fr</t>
  </si>
  <si>
    <t>http://www.linkedin.com/in/dimitri-cegarra-39662a182</t>
  </si>
  <si>
    <t>Claisse</t>
  </si>
  <si>
    <t>CLMTP</t>
  </si>
  <si>
    <t>dimitri.claisse@clmtp.fr</t>
  </si>
  <si>
    <t>http://www.linkedin.com/in/dimitri-claisse-57053ab7</t>
  </si>
  <si>
    <t>https://clmtp.fr</t>
  </si>
  <si>
    <t xml:space="preserve">Sable-sur-Sarthe, Pays de la Loire, France</t>
  </si>
  <si>
    <t xml:space="preserve">Spécialiste du ferroviaire pour des travaux de voie, de génie civil, de traction et de sécurité ferroviaire sur le réseau national ou privé.</t>
  </si>
  <si>
    <t xml:space="preserve">Groupe Planchais</t>
  </si>
  <si>
    <t>direction@planchais.fr</t>
  </si>
  <si>
    <t>http://www.linkedin.com/in/didier-planchais-750168a2</t>
  </si>
  <si>
    <t>https://planchais.fr</t>
  </si>
  <si>
    <t xml:space="preserve">14 Rue de Vallon d'Ize, Vitre, Brittany, France, 35500</t>
  </si>
  <si>
    <t xml:space="preserve">Sollicitez le savoir-faire de votre entreprise PLANCHAIS pour tous vos travaux de gros œuvre à Vitré, Rennes et dans le 35 en contactant le 02 99 75 28 89</t>
  </si>
  <si>
    <t>Meggiolaro</t>
  </si>
  <si>
    <t>BIG</t>
  </si>
  <si>
    <t>dmeggiolaro@big-france.com</t>
  </si>
  <si>
    <t>http://www.linkedin.com/in/didier-meggiolaro-4817954b</t>
  </si>
  <si>
    <t>https://big-france.com</t>
  </si>
  <si>
    <t xml:space="preserve">25 Avenue Zone d'amenagement concerte de Chassagne, Ternay, Auvergne-Rhone-Alpes, France, 69360</t>
  </si>
  <si>
    <t>MATELOC</t>
  </si>
  <si>
    <t>dominique.laurence@mateloc.com</t>
  </si>
  <si>
    <t>http://www.linkedin.com/in/dominique-laurence-5a83163a</t>
  </si>
  <si>
    <t>https://mateloc.com</t>
  </si>
  <si>
    <t xml:space="preserve">9 Square Nicolas Appert, Cholet, Pays de la Loire, France, 49300</t>
  </si>
  <si>
    <t xml:space="preserve">Mateloc spécialiste en location, maintenance et négoce (neuf et occasion) de matériels pour entreprises du Bâtiment et Industrie et découpe béton et démolition</t>
  </si>
  <si>
    <t>Dorgeret</t>
  </si>
  <si>
    <t xml:space="preserve">CTMNC Centre Technique de Matériaux Naturels de Construction</t>
  </si>
  <si>
    <t>dorgeret.i@ctmnc.fr</t>
  </si>
  <si>
    <t>http://www.linkedin.com/in/dorgeret-isabelle-b5379734</t>
  </si>
  <si>
    <t>https://ctmnc.fr</t>
  </si>
  <si>
    <t xml:space="preserve">200 Avenue du General de Gaulle, Clamart, Ile-de-France, France, 92140</t>
  </si>
  <si>
    <t>Roustin</t>
  </si>
  <si>
    <t xml:space="preserve">setec élite</t>
  </si>
  <si>
    <t>droustin@elite.fr</t>
  </si>
  <si>
    <t>http://www.linkedin.com/in/damien-roustin-8193111b</t>
  </si>
  <si>
    <t>https://elite.fr</t>
  </si>
  <si>
    <t xml:space="preserve">1 Rue Garnier, Neuilly-sur-Seine, Ile-de-France, France, 92200</t>
  </si>
  <si>
    <t>Dunod</t>
  </si>
  <si>
    <t xml:space="preserve">Stibat Groupe</t>
  </si>
  <si>
    <t>dunod@stibat.fr</t>
  </si>
  <si>
    <t>http://www.linkedin.com/in/alban-dunod-30929814</t>
  </si>
  <si>
    <t>https://stibat.fr</t>
  </si>
  <si>
    <t xml:space="preserve">17 Rue du Libre Echange, Toulouse, Occitanie, France, 31500</t>
  </si>
  <si>
    <t xml:space="preserve">La vocation du Groupe STIBAT, à travers ses sociétés spécialisées ou généralistes, est de vous accompagner dans l’étude et la réalisation de vos projets.</t>
  </si>
  <si>
    <t>dupont.o@ctmnc.fr</t>
  </si>
  <si>
    <t>http://www.linkedin.com/in/olivier-dupont-5b882610</t>
  </si>
  <si>
    <t>Haubertin</t>
  </si>
  <si>
    <t xml:space="preserve">Energie Côté Sud</t>
  </si>
  <si>
    <t>dyh@energie-cote-sud.com</t>
  </si>
  <si>
    <t>http://www.linkedin.com/in/david-haubertin</t>
  </si>
  <si>
    <t>https://energie-cote-sud.com</t>
  </si>
  <si>
    <t xml:space="preserve">12BIS Rue Parmentier, La Farlede, Provence-Alpes-Cote d'Azur, France, 83210</t>
  </si>
  <si>
    <t xml:space="preserve">Premier électricien indépendant de la région PACA, Energie Côté Sud accompagne les professionnels de l'immobilier dans leurs projets de construction.</t>
  </si>
  <si>
    <t>Lafond</t>
  </si>
  <si>
    <t>SOPRECO</t>
  </si>
  <si>
    <t>e.lafond@sopreco.fr</t>
  </si>
  <si>
    <t>http://www.linkedin.com/in/etienne-lafond-0b332486</t>
  </si>
  <si>
    <t>https://sopreco.org</t>
  </si>
  <si>
    <t xml:space="preserve">Labege, Midi-Pyrenees, France</t>
  </si>
  <si>
    <t xml:space="preserve">Entreprise générale de bâtiment et génie civil industriel à Toulouse experte pour vos projets clés en main de construction et rénovation.</t>
  </si>
  <si>
    <t>Sygmatel</t>
  </si>
  <si>
    <t>e.martin@sygmatel.fr</t>
  </si>
  <si>
    <t>http://www.linkedin.com/in/eric-martin-5b0733166</t>
  </si>
  <si>
    <t>https://sygmatel.fr</t>
  </si>
  <si>
    <t xml:space="preserve">Sygmatel, grand groupe de services en électricité, sûreté et audiovisuel dans quart nord-ouest de la France se positionne en tant qu'expert.</t>
  </si>
  <si>
    <t>Bonnin</t>
  </si>
  <si>
    <t xml:space="preserve">Directeur Général &amp; Directeur Operationnel</t>
  </si>
  <si>
    <t xml:space="preserve">LCA CONSTRUCTION BOIS</t>
  </si>
  <si>
    <t>ebonnin@l-c-a.fr</t>
  </si>
  <si>
    <t>http://www.linkedin.com/in/edouard-bonnin-lca-construction-bois</t>
  </si>
  <si>
    <t>https://lca-construction.fr</t>
  </si>
  <si>
    <t xml:space="preserve">La Boissiere-de-Montaigu, Pays de la Loire, France, 85600</t>
  </si>
  <si>
    <t xml:space="preserve">LCA, Les Charpentiers de l'Atlantique, est spécialiste du gros œuvre bois et de l'enveloppe du bâti pour les secteurs du publics et privés.</t>
  </si>
  <si>
    <t>Dangremont</t>
  </si>
  <si>
    <t xml:space="preserve">La Scetec</t>
  </si>
  <si>
    <t>edangremont@scetec.fr</t>
  </si>
  <si>
    <t>http://www.linkedin.com/in/dangremont-erik-7327b614</t>
  </si>
  <si>
    <t>https://scetec.fr</t>
  </si>
  <si>
    <t xml:space="preserve">15 Rue Louis Breguet, Le Mans, Pays de la Loire, France, 72100</t>
  </si>
  <si>
    <t xml:space="preserve">Implantée dans le Grand Ouest, la Scetec conçoit, réalise, exploite et maintient des systèmes et équipements en génie électrique et climatique.</t>
  </si>
  <si>
    <t>Che</t>
  </si>
  <si>
    <t>Créa-Design</t>
  </si>
  <si>
    <t>eduche@crea-design.fr</t>
  </si>
  <si>
    <t>http://www.linkedin.com/in/eric-du-ch%c3%a9-03277571</t>
  </si>
  <si>
    <t>https://crea-design.fr</t>
  </si>
  <si>
    <t xml:space="preserve">406 Chemin de Charriere Neuve, Chambery, Auvergne-Rhone-Alpes, France, 73000</t>
  </si>
  <si>
    <t xml:space="preserve">Créa Design architecte intérieur, est votre partenaire et votre solution ! En tant que contractant général, Créa Design s'occupe de tout; vous n'avez qu'un seul interlocuteur commercial et technique du début de votre projet jusqu'à sa réalisation "clés en mains".</t>
  </si>
  <si>
    <t>Hemon</t>
  </si>
  <si>
    <t>ehemon@scetec.fr</t>
  </si>
  <si>
    <t>http://www.linkedin.com/in/emmanuel-hemon-35020786</t>
  </si>
  <si>
    <t>Veit</t>
  </si>
  <si>
    <t xml:space="preserve">ELECTRICITE VEIT</t>
  </si>
  <si>
    <t>emmanuel@veit.fr</t>
  </si>
  <si>
    <t>http://www.linkedin.com/in/emmanuel-veit-1b4ab973</t>
  </si>
  <si>
    <t>https://veit.fr</t>
  </si>
  <si>
    <t xml:space="preserve">6 Rue du Depot, Mundolsheim, Grand Est, France, 67450</t>
  </si>
  <si>
    <t xml:space="preserve">Electricité &amp; Domotique professionnel</t>
  </si>
  <si>
    <t xml:space="preserve">Ségic Ingénierie</t>
  </si>
  <si>
    <t>epetitlebrun@segic-ingenierie.fr</t>
  </si>
  <si>
    <t>http://www.linkedin.com/in/emmanuel-petit-le-brun-33611b278</t>
  </si>
  <si>
    <t>https://segic-ingenierie.fr</t>
  </si>
  <si>
    <t xml:space="preserve">Verrieres-le-Buisson, Ile-de-France, France, 91370</t>
  </si>
  <si>
    <t>Piroud</t>
  </si>
  <si>
    <t>Francioli</t>
  </si>
  <si>
    <t>epiroud@francioli.fr</t>
  </si>
  <si>
    <t>http://www.linkedin.com/in/eric-piroud-3393655a</t>
  </si>
  <si>
    <t>https://francioli.fr</t>
  </si>
  <si>
    <t xml:space="preserve">Rue de la Barre, Chaleins, Auvergne-Rhone-Alpes, France, 01480</t>
  </si>
  <si>
    <t xml:space="preserve">Francioli is a French manufacturer of public toilets and concrete urban furniture: public benches, buried rubbish containers, concrete bollards...</t>
  </si>
  <si>
    <t>Frisoni</t>
  </si>
  <si>
    <t>CTIO</t>
  </si>
  <si>
    <t>eric.frisoni@ctio.fr</t>
  </si>
  <si>
    <t>http://www.linkedin.com/in/eric-frisoni-857934ba</t>
  </si>
  <si>
    <t>https://ctio.fr</t>
  </si>
  <si>
    <t xml:space="preserve">Thouare-sur-Loire, Pays de la Loire, France, 44470</t>
  </si>
  <si>
    <t>Sauer</t>
  </si>
  <si>
    <t xml:space="preserve">Directeur Général chez KS groupe</t>
  </si>
  <si>
    <t xml:space="preserve">KS groupe</t>
  </si>
  <si>
    <t>esauer@ksgroupe.fr</t>
  </si>
  <si>
    <t>http://www.linkedin.com/in/edouardsauer</t>
  </si>
  <si>
    <t>https://ksgroupe.fr</t>
  </si>
  <si>
    <t xml:space="preserve">Bischheim, Alsace, France</t>
  </si>
  <si>
    <t xml:space="preserve">KS groupe est une entreprise familiale indépendante. Nous fournissons des solutions adaptées pour les projets liés à la construction et au bâtiment.</t>
  </si>
  <si>
    <t>Pascreau</t>
  </si>
  <si>
    <t>OUVRARD</t>
  </si>
  <si>
    <t>etienne.pascreau@ouvrard-batiment.com</t>
  </si>
  <si>
    <t>http://www.linkedin.com/in/etienne-pascreau-7ba0a9a1</t>
  </si>
  <si>
    <t>https://ouvrard-batiment.com</t>
  </si>
  <si>
    <t xml:space="preserve">2 Rue du Floriane, Les Herbiers, Pays de la Loire, France, 85500</t>
  </si>
  <si>
    <t xml:space="preserve">L'entreprise Ouvrard est spécialisée dans les énergies renouvelables sur la Vendée. Basée aux Herbiers, cette entreprise familiale intervient en Electricité, Plomberie, Chauffage auprès des particuliers et professionnels ( bâtiments industriels et tertaires )</t>
  </si>
  <si>
    <t>Pistre</t>
  </si>
  <si>
    <t>EMBASE</t>
  </si>
  <si>
    <t>etienne.pistre@embase.fr</t>
  </si>
  <si>
    <t>http://www.linkedin.com/in/%c3%a9tienne-pistr%c3%a9-95215735</t>
  </si>
  <si>
    <t>https://embase.fr</t>
  </si>
  <si>
    <t xml:space="preserve">43 Rue de la Breche aux Loups, Paris, Ile-de-France, France, 75012</t>
  </si>
  <si>
    <t xml:space="preserve">Bienvenue chez Embase. Améliorer vos projets grâce nos compétences en stratégie, programmation et assistance en maîtrise d'ouvrage. Découvrez nos références. Contactez-nous.</t>
  </si>
  <si>
    <t xml:space="preserve">Gérant de la société 3B RENOUV'HOME, concessionnaire ACTIV TRAVAUX</t>
  </si>
  <si>
    <t>f.bailly@activ-travaux.com</t>
  </si>
  <si>
    <t>http://www.linkedin.com/in/franck-bailly-20b25b80</t>
  </si>
  <si>
    <t>EGDC</t>
  </si>
  <si>
    <t>f.meunier@egdc-sa.fr</t>
  </si>
  <si>
    <t>http://www.linkedin.com/in/franck-meunier-20050619</t>
  </si>
  <si>
    <t>https://egdc.eu</t>
  </si>
  <si>
    <t>Cerizay</t>
  </si>
  <si>
    <t xml:space="preserve">Longchamp, Cerizay, Nouvelle-Aquitaine, France, 79140</t>
  </si>
  <si>
    <t xml:space="preserve">Découvrez l'entreprise EGDC, entreprise de gros oeuvre depuis plus de 50 ans dans différents domaines pour les entreprises et collectivités.</t>
  </si>
  <si>
    <t>Menu</t>
  </si>
  <si>
    <t>PLACEO</t>
  </si>
  <si>
    <t>fabien.menu@placeo.fr</t>
  </si>
  <si>
    <t>http://www.linkedin.com/in/fabien-menu-placeo</t>
  </si>
  <si>
    <t>https://placeo.eu</t>
  </si>
  <si>
    <t xml:space="preserve">Applicateur de sols industriels, dallage en béton mais aussi la chape liquide, la chape fluide avec une gamme de produits répondant aux besoins des industriels et des particuliers.</t>
  </si>
  <si>
    <t>fabrice.lesage@synerciel.fr</t>
  </si>
  <si>
    <t>http://www.linkedin.com/in/fabrice-lesage-36380b27</t>
  </si>
  <si>
    <t>Arkédia</t>
  </si>
  <si>
    <t>ffavre@arkedia.fr</t>
  </si>
  <si>
    <t>http://www.linkedin.com/in/franck-favre-33a99618</t>
  </si>
  <si>
    <t>https://arkedia.fr</t>
  </si>
  <si>
    <t xml:space="preserve">1 Chemin du Heilgass, Turckheim, Alsace, France, 68230</t>
  </si>
  <si>
    <t xml:space="preserve">Bâtiment Travaux Public - Aménagements Paysagers - Constructions Bois - Peinture - Isolation - Couverture Zinguerie. Colmar | Mulhouse | Strasbourg</t>
  </si>
  <si>
    <t>Gressent</t>
  </si>
  <si>
    <t xml:space="preserve">MPO Fenêtres</t>
  </si>
  <si>
    <t>fgressent@mpofenetres.com</t>
  </si>
  <si>
    <t>http://www.linkedin.com/in/fr%c3%a9d%c3%a9ric-gressent-2a1a8775</t>
  </si>
  <si>
    <t>https://mpofenetres.com</t>
  </si>
  <si>
    <t xml:space="preserve">Cerise, Lower Normandy, France</t>
  </si>
  <si>
    <t xml:space="preserve">Depuis 1970, MPO Fenêtres est le spécialiste Français de la conception, fabrication et pose de menuiseries sur-mesure en PVC et aluminium, dans le neuf et la rénovation.</t>
  </si>
  <si>
    <t>Champain</t>
  </si>
  <si>
    <t>MtechBuild</t>
  </si>
  <si>
    <t>franck.champain@mtechbuild.fr</t>
  </si>
  <si>
    <t>http://www.linkedin.com/in/champain-franck-32425793</t>
  </si>
  <si>
    <t>https://mtechbuild.fr</t>
  </si>
  <si>
    <t xml:space="preserve">107 Avenue du Marechal de Lattre de Tassigny, Lucon, Pays de la Loire, France, 85400</t>
  </si>
  <si>
    <t xml:space="preserve">MTECHBUILD ose chaque jour de nouvelles voies techniques pour concrétiser les idées les plus audacieuses des architectes dans la construction en verre.</t>
  </si>
  <si>
    <t>Fournols</t>
  </si>
  <si>
    <t xml:space="preserve">FRANCE RABOTAGE</t>
  </si>
  <si>
    <t>franck.fournols@france-rabotage.fr</t>
  </si>
  <si>
    <t>http://www.linkedin.com/in/franck-fournols-9a174798</t>
  </si>
  <si>
    <t>https://france-rabotage.fr</t>
  </si>
  <si>
    <t xml:space="preserve">13 Rue Anne-Marie Terriere, Saint-Martin-sur-le-Pre, Grand Est, France, 51520</t>
  </si>
  <si>
    <t>Gillier</t>
  </si>
  <si>
    <t xml:space="preserve">Président Elo-énergie</t>
  </si>
  <si>
    <t xml:space="preserve">ELO énergie</t>
  </si>
  <si>
    <t>franck.gillier@elo-energie.com</t>
  </si>
  <si>
    <t>http://www.linkedin.com/in/franck-gillier-77436183</t>
  </si>
  <si>
    <t>https://elo-energie.com</t>
  </si>
  <si>
    <t>Grandchamps-des-Fontaines</t>
  </si>
  <si>
    <t xml:space="preserve">10 Rue Marie Curie, Grandchamps-des-Fontaines, Pays de la Loire, France, 44119</t>
  </si>
  <si>
    <t xml:space="preserve">Elo Energie travaille sur tous secteurs de la haute et basse tension, nos équipes études et travaux interviennent partout en Europe et demain dans le monde.</t>
  </si>
  <si>
    <t>Hagnere</t>
  </si>
  <si>
    <t xml:space="preserve">Owner - Gérant</t>
  </si>
  <si>
    <t xml:space="preserve">BOIS LOISIRS CREATIONS</t>
  </si>
  <si>
    <t>franckhagnere@boisloisirscreations.fr</t>
  </si>
  <si>
    <t>http://www.linkedin.com/in/fhagnere</t>
  </si>
  <si>
    <t>https://bois-loisirs-creations.com</t>
  </si>
  <si>
    <t xml:space="preserve">La Ceriseraie, Saint-Mars-du-Desert, Pays de la Loire, France, 44850</t>
  </si>
  <si>
    <t xml:space="preserve">Spécialiste de l'aménagement extérieur en bois et métal pour parcs et jardins. Entreprises, collectivités et particuliers.</t>
  </si>
  <si>
    <t>francois.ladu@natilia.fr</t>
  </si>
  <si>
    <t>http://www.linkedin.com/in/fran%c3%a7ois-ladu-aabb3a97</t>
  </si>
  <si>
    <t>Rosen</t>
  </si>
  <si>
    <t xml:space="preserve">GAMMA Industries</t>
  </si>
  <si>
    <t>francois.rosen@gamma-industries.com</t>
  </si>
  <si>
    <t>http://www.linkedin.com/in/francoisrosen</t>
  </si>
  <si>
    <t>https://gamma-industries.com</t>
  </si>
  <si>
    <t xml:space="preserve">Depuis plus de 70 ans, Gamma Industries, leader du plancher surélevé en France, accompagne vos projets de construction et de réhabilitation, avec des solutions fabriquées en usine et livrées dans le monde entier</t>
  </si>
  <si>
    <t>Welker</t>
  </si>
  <si>
    <t xml:space="preserve">Directeur Général GROUPE STIHLE</t>
  </si>
  <si>
    <t xml:space="preserve">Groupe Stihlé</t>
  </si>
  <si>
    <t>francois.welker@stihle.fr</t>
  </si>
  <si>
    <t>http://www.linkedin.com/in/fran%c3%a7ois-welker-70769a133</t>
  </si>
  <si>
    <t>https://stihle-freres.fr</t>
  </si>
  <si>
    <t xml:space="preserve">Turckheim, Grand Est, France, 68230</t>
  </si>
  <si>
    <t xml:space="preserve">Page du groupe Stihlé, groupe s'occupant de chauffage, climatisation et sanitaire en Alsace</t>
  </si>
  <si>
    <t>Chara</t>
  </si>
  <si>
    <t xml:space="preserve">Président &amp; Directeur financier</t>
  </si>
  <si>
    <t xml:space="preserve">MONOPANEL SAS</t>
  </si>
  <si>
    <t>frederic.chara@monopanel.com</t>
  </si>
  <si>
    <t>http://www.linkedin.com/in/fredchara</t>
  </si>
  <si>
    <t>https://monopanel.com</t>
  </si>
  <si>
    <t xml:space="preserve">Chauny, Hauts-de-France, France, 02300</t>
  </si>
  <si>
    <t xml:space="preserve">Monopanel, une large gamme de panneaux sandwichs et de profils. Technicité, qualité et service attendus par le marché de la construction</t>
  </si>
  <si>
    <t>CIRTEC</t>
  </si>
  <si>
    <t>frederic.renaudin@cirtec.fr</t>
  </si>
  <si>
    <t>http://www.linkedin.com/in/fr%c3%a9d%c3%a9ric-renaudin-41224089</t>
  </si>
  <si>
    <t>https://cirtec.fr</t>
  </si>
  <si>
    <t xml:space="preserve">5 Rue de Belle-Ile, Saint-Gregoire, Brittany, France, 35760</t>
  </si>
  <si>
    <t xml:space="preserve">Maîtrise d'oeuvre - Notre métier : concilier le beau et le pratique pour concevoir des bâtiments modernes, performants, esthétiques et faciles à vivre pour vos clients et vos collaborateurs.</t>
  </si>
  <si>
    <t>Samibois</t>
  </si>
  <si>
    <t>ftessier@samibois.com</t>
  </si>
  <si>
    <t>http://www.linkedin.com/in/francois-tessier-b8405268</t>
  </si>
  <si>
    <t>https://samibois.com</t>
  </si>
  <si>
    <t xml:space="preserve">Zone d'activite Pole Technique Odyssee, Coex, Pays de la Loire, France, 85220</t>
  </si>
  <si>
    <t xml:space="preserve">Samibois, Fabricant de Chalet bois, Ecolodge, bungalows toilés &amp; terrasses dessinés et fabriqués en France pour l’Hôtellerie de Plein Air</t>
  </si>
  <si>
    <t>Veront</t>
  </si>
  <si>
    <t xml:space="preserve">Picard Serrures</t>
  </si>
  <si>
    <t>fveront@picard-serrures.com</t>
  </si>
  <si>
    <t>http://www.linkedin.com/in/fabrice-veront-89174918a</t>
  </si>
  <si>
    <t>https://picard-serrures.com</t>
  </si>
  <si>
    <t xml:space="preserve">20 Rue Henri Barbusse, Feuquieres-en-Vimeu, Hauts-de-France, France, 80210</t>
  </si>
  <si>
    <t xml:space="preserve">Société française fondée en 1720, fabricant de portes d'entrée blindées et de serrures multipoints de haute sécurité, pour particuliers &amp; professionnels. 2...</t>
  </si>
  <si>
    <t>Boqueho</t>
  </si>
  <si>
    <t xml:space="preserve">Directeur Général Adjoint | COO</t>
  </si>
  <si>
    <t>g.boqueho@betom.fr</t>
  </si>
  <si>
    <t>http://www.linkedin.com/in/glen-boqueho-b53ab7105</t>
  </si>
  <si>
    <t>Gabillet</t>
  </si>
  <si>
    <t xml:space="preserve">Gérant Double G Habitat</t>
  </si>
  <si>
    <t>g.gabillet@activ-travaux.com</t>
  </si>
  <si>
    <t>http://www.linkedin.com/in/guillaume-gabillet-a6b94295</t>
  </si>
  <si>
    <t>Lourenco</t>
  </si>
  <si>
    <t>SATEB</t>
  </si>
  <si>
    <t>g.lourenco@sateb.net</t>
  </si>
  <si>
    <t>http://www.linkedin.com/in/gilles-lourenco-45ba16102</t>
  </si>
  <si>
    <t>https://sateb.net</t>
  </si>
  <si>
    <t xml:space="preserve">5 Rue de la Scierie, Grand-Couronne, Normandie, France, 76530</t>
  </si>
  <si>
    <t xml:space="preserve">La SATEB est une société proposant différents services en termes de travaux neufs ou rénovations. Basée en Normandie depuis plus de 40 ans.</t>
  </si>
  <si>
    <t>Gatimel</t>
  </si>
  <si>
    <t xml:space="preserve">Directeur Général Groupe GB</t>
  </si>
  <si>
    <t xml:space="preserve">Groupe GB</t>
  </si>
  <si>
    <t>gatimelp@gbmp.fr</t>
  </si>
  <si>
    <t>http://www.linkedin.com/in/pierre-gatimel</t>
  </si>
  <si>
    <t>https://groupe-gb.fr</t>
  </si>
  <si>
    <t xml:space="preserve">378 Route de Launaguet, Launaguet, Midi-Pyrenees, France, 31140</t>
  </si>
  <si>
    <t>gcordonnier@lacompagniedestoits.com</t>
  </si>
  <si>
    <t>http://www.linkedin.com/in/gregoire-cordonnier-770a48b9</t>
  </si>
  <si>
    <t>https://lacompagniedestoits.com</t>
  </si>
  <si>
    <t xml:space="preserve">ALUPIC par A2Groupe</t>
  </si>
  <si>
    <t>georges.mention@alupic.com</t>
  </si>
  <si>
    <t>http://www.linkedin.com/in/georges-mention-2b9b40107</t>
  </si>
  <si>
    <t>https://alupic.com</t>
  </si>
  <si>
    <t xml:space="preserve">Le Plessis-Hebert</t>
  </si>
  <si>
    <t xml:space="preserve">Rue du Pont VI, Le Havre, Normandie, France, 76600</t>
  </si>
  <si>
    <t xml:space="preserve">ALUPIC est un acteur reconnu nationalement en tant que concepteur et transformateur de produits et de systèmes de façade...</t>
  </si>
  <si>
    <t xml:space="preserve">VIP PLUS</t>
  </si>
  <si>
    <t>gerard.allouche@vipplus.com</t>
  </si>
  <si>
    <t>http://www.linkedin.com/in/g%c3%a9rard-allouche-5168b4117</t>
  </si>
  <si>
    <t>https://vipplus.com</t>
  </si>
  <si>
    <t xml:space="preserve">430 Avenue Blaise Pascal, Castelnau-le-Lez, Languedoc-Roussillon, France, 34170</t>
  </si>
  <si>
    <t xml:space="preserve">Un expert au service de vos projets d'ambition depuis 1990. Menuiserie, Serrurerie-Métallerie, Protection électronique, Automatisme, Génie climatique.</t>
  </si>
  <si>
    <t>gguerin@lacompagniedestoits.com</t>
  </si>
  <si>
    <t>http://www.linkedin.com/in/guillaumeguerin-</t>
  </si>
  <si>
    <t>Vizcab</t>
  </si>
  <si>
    <t>gl@vizcab.io</t>
  </si>
  <si>
    <t>http://www.linkedin.com/in/guillaume-lafont-00932b80</t>
  </si>
  <si>
    <t>https://vizcab.io</t>
  </si>
  <si>
    <t xml:space="preserve">Regain control over the carbon impact of your projects. Secure carbon data on an accredited collaborative platform</t>
  </si>
  <si>
    <t>Lect</t>
  </si>
  <si>
    <t>ATIXIS</t>
  </si>
  <si>
    <t>glect@atixis.com</t>
  </si>
  <si>
    <t>http://www.linkedin.com/in/gregory-lect-ba526531</t>
  </si>
  <si>
    <t>https://atixis.com</t>
  </si>
  <si>
    <t xml:space="preserve">33 Avenue des Champs-Elysees, Paris, Ile-de-France, France, 75008</t>
  </si>
  <si>
    <t xml:space="preserve">ATIXIS vous accompagne à chaque étape de vos projets de construction de la faisabilité à la réception dans les secteurs tertiaire, public, hôtellerie, santé...</t>
  </si>
  <si>
    <t>gregory.sierra@ingegroup.fr</t>
  </si>
  <si>
    <t>http://www.linkedin.com/in/gr%c3%a9gory-sierra-b0207793</t>
  </si>
  <si>
    <t>https://ingegroup.fr</t>
  </si>
  <si>
    <t>Viol</t>
  </si>
  <si>
    <t xml:space="preserve">Le Nouy windows &amp; closures</t>
  </si>
  <si>
    <t>gwenael.leviol@lenouy.com</t>
  </si>
  <si>
    <t>http://www.linkedin.com/in/gwena%c3%abl-le-viol-996771141</t>
  </si>
  <si>
    <t>https://lenouy.com</t>
  </si>
  <si>
    <t>Briec</t>
  </si>
  <si>
    <t xml:space="preserve">1 Z.A. de Rosculec, Briec, Brittany, France, 29510</t>
  </si>
  <si>
    <t xml:space="preserve">Associé Fondateur ACTIV TRAVAUX France</t>
  </si>
  <si>
    <t>h.blandin@activ-travaux.com</t>
  </si>
  <si>
    <t>http://www.linkedin.com/in/herv%c3%a9-blandin-33829411</t>
  </si>
  <si>
    <t xml:space="preserve">International Partner-Directeur Général Adjoint</t>
  </si>
  <si>
    <t>h.picard@reponse.fr</t>
  </si>
  <si>
    <t>http://www.linkedin.com/in/herv%c3%a9-picard-aa067a67</t>
  </si>
  <si>
    <t>htellier@lacompagniedestoits.com</t>
  </si>
  <si>
    <t>http://www.linkedin.com/in/hadrien-tellier-2983b633</t>
  </si>
  <si>
    <t>Vanel</t>
  </si>
  <si>
    <t>hugues.vanel@bouchard-construction.fr</t>
  </si>
  <si>
    <t>http://www.linkedin.com/in/hugues-vanel-905b57189</t>
  </si>
  <si>
    <t>https://www-bouchard-construction.fr</t>
  </si>
  <si>
    <t>Favier</t>
  </si>
  <si>
    <t xml:space="preserve">IDEC AGRO &amp; Factory</t>
  </si>
  <si>
    <t>j.favier@groupeidec.com</t>
  </si>
  <si>
    <t>http://www.linkedin.com/in/james-favier-5885b010</t>
  </si>
  <si>
    <t>https://idec-agro.com</t>
  </si>
  <si>
    <t xml:space="preserve">4B Rue des Buttes, Cesson-Sevigne, Brittany, France, 35510</t>
  </si>
  <si>
    <t xml:space="preserve">Découvrez IDEC AGRO &amp; CECIA, les spécialistes de la conception et de la construction clé en main d’usines agroalimentaires</t>
  </si>
  <si>
    <t xml:space="preserve">COMPTOIR DES REVETEMENTS</t>
  </si>
  <si>
    <t>j.fayard@comptoirdesrevetements.com</t>
  </si>
  <si>
    <t>http://www.linkedin.com/in/j%c3%a9r%c3%b4me-fayard-6348ab184</t>
  </si>
  <si>
    <t>https://comptoirdesrevetements.com</t>
  </si>
  <si>
    <t xml:space="preserve">45 Rue du Marais, Villeurbanne, Auvergne-Rhone-Alpes, France, 69100</t>
  </si>
  <si>
    <t xml:space="preserve">Comptoir des revêtements est spécialiste en travaux de second œuvre dans le Rhône. Pour vos travaux de plâtrerie, peinture, menuiserie, sols, carrelage.</t>
  </si>
  <si>
    <t xml:space="preserve">GROUPE QUALITAT</t>
  </si>
  <si>
    <t>j.jourdan@groupe-qualitat.fr</t>
  </si>
  <si>
    <t>http://www.linkedin.com/in/josselin-jourdan-31340619</t>
  </si>
  <si>
    <t>https://qualitat.fr</t>
  </si>
  <si>
    <t xml:space="preserve">92 Boulevard Victor Hugo, Clichy, Ile-de-France, France, 92110</t>
  </si>
  <si>
    <t xml:space="preserve">Le Groupe Qualitat représente un ensemble de sociétés spécialisées dans l'audit technique et environnemental du bâtiment. Nos experts interviennent sur différentes typologies de projets et de bâtiments. Nous réalisons les diagnostics immobiliers avant-travaux, avant démolition, avant vente.</t>
  </si>
  <si>
    <t xml:space="preserve">Entreprise PITEL</t>
  </si>
  <si>
    <t>j.vigier@pitel.fr</t>
  </si>
  <si>
    <t>http://www.linkedin.com/in/jacques-vigier-86888a93</t>
  </si>
  <si>
    <t>https://pitel.fr</t>
  </si>
  <si>
    <t>Morangis</t>
  </si>
  <si>
    <t xml:space="preserve">3 Rue du Docteur Albert Schweitzer, Morangis, Ile-de-France, France, 91420</t>
  </si>
  <si>
    <t xml:space="preserve">Découvrez l'histoire, les valeurs et les réalisations de PITEL, entreprise générale de bâtiment.</t>
  </si>
  <si>
    <t xml:space="preserve">BOST Ingénierie</t>
  </si>
  <si>
    <t>jbost@bost-ing.com</t>
  </si>
  <si>
    <t>http://www.linkedin.com/in/julien-bost-0a851586</t>
  </si>
  <si>
    <t>https://bost-ing.com</t>
  </si>
  <si>
    <t xml:space="preserve">La Talaudiere, Auvergne-Rhone-Alpes, France, 42350</t>
  </si>
  <si>
    <t xml:space="preserve">Bost ingénierie réalise des études de structures pour des projets neufs et de restructuration : Béton armé, Charpente métallique, Charpente Bois ...</t>
  </si>
  <si>
    <t xml:space="preserve">Les Établissements GIFFARD</t>
  </si>
  <si>
    <t>jc.toussaint@giffard.fr</t>
  </si>
  <si>
    <t>http://www.linkedin.com/in/jean-christophe-toussaint-10a263145</t>
  </si>
  <si>
    <t>https://giffard.fr</t>
  </si>
  <si>
    <t>Orly</t>
  </si>
  <si>
    <t xml:space="preserve">1 Rue du Kefir, Orly, Ile-de-France, France, 94310</t>
  </si>
  <si>
    <t>Prevot</t>
  </si>
  <si>
    <t xml:space="preserve">SLCI Groupe acteur du réseau Procivis</t>
  </si>
  <si>
    <t>jean-francois.prevot@slci-groupe.com</t>
  </si>
  <si>
    <t>http://www.linkedin.com/in/jean-fran%c3%a7ois-pr%c3%a9vot-ba9a535b</t>
  </si>
  <si>
    <t>https://slci-groupe.com</t>
  </si>
  <si>
    <t xml:space="preserve">169 Avenue Jean Jaures, Lyon, Auvergne-Rhone-Alpes, France, 69007</t>
  </si>
  <si>
    <t>Cotexa</t>
  </si>
  <si>
    <t>jean-paul.bourdon@cotexa-afrique.com</t>
  </si>
  <si>
    <t>http://www.linkedin.com/in/jean-paul-bourdon-385bb834</t>
  </si>
  <si>
    <t>https://cotexa-afrique.com</t>
  </si>
  <si>
    <t xml:space="preserve">La maîtrise de vos risques depuis plus de 5 ans. COTEXA vous accompagne dans l'optimisation de la sécurité et la conformité de vos projets de construction avec notre...</t>
  </si>
  <si>
    <t xml:space="preserve">Directeur général constructeur villa individuelle</t>
  </si>
  <si>
    <t>jerome.chevalier@natilia.fr</t>
  </si>
  <si>
    <t>http://www.linkedin.com/in/j%c3%a9r%c3%b4me-chevalier-745667171</t>
  </si>
  <si>
    <t>Vauvert</t>
  </si>
  <si>
    <t xml:space="preserve">Directeur général adjoint (COMELEC &amp; DEBELEC)</t>
  </si>
  <si>
    <t xml:space="preserve">GROUPE COMELEC</t>
  </si>
  <si>
    <t>jerome.gay@groupe-comelec.com</t>
  </si>
  <si>
    <t>http://www.linkedin.com/in/j%c3%a9r%c3%b4me-gay-11638482</t>
  </si>
  <si>
    <t>https://groupe-comelec.com</t>
  </si>
  <si>
    <t xml:space="preserve">Carcassonne, Languedoc-Roussillon-Midi-Pyrenees, France, 11000</t>
  </si>
  <si>
    <t xml:space="preserve">La référence en Occitanie pour des solutions d'infrastructures et de réseaux durables. Expert en panneaux solaires, bornes de recharge voiture électrique, formations et plus encore. Engagés pour un avenir responsable depuis 2008.</t>
  </si>
  <si>
    <t>Maison</t>
  </si>
  <si>
    <t>jf.maison@pitel.fr</t>
  </si>
  <si>
    <t>http://www.linkedin.com/in/jean-fran%c3%a7ois-maison-2574b236</t>
  </si>
  <si>
    <t>Amare</t>
  </si>
  <si>
    <t xml:space="preserve">Atawey Hydrogen</t>
  </si>
  <si>
    <t>jm.amare@atawey.com</t>
  </si>
  <si>
    <t>http://www.linkedin.com/in/jean-michel-amare-23321614a</t>
  </si>
  <si>
    <t>https://atawey.com</t>
  </si>
  <si>
    <t xml:space="preserve">17 Avenue du Lac Leman, Le Bourget-du-Lac, Auvergne-Rhone-Alpes, France, 73370</t>
  </si>
  <si>
    <t xml:space="preserve">Pour répondre aux enjeux de mobilité durable et de transition énergétique, Atawey conçoit, fabrique et commercialise des stations de recharge d'hydrogène vert. Des stations pour répondre à la demande actuelle du marché naissant de la mobilité hydrogène : du projet pilote au maillage de territoires en passant par les petites flottes de véhicules.</t>
  </si>
  <si>
    <t>Maynadier</t>
  </si>
  <si>
    <t>jmaynadier@lacompagniedestoits.com</t>
  </si>
  <si>
    <t>http://www.linkedin.com/in/jerome-maynadier-57633615</t>
  </si>
  <si>
    <t>Charton</t>
  </si>
  <si>
    <t xml:space="preserve">GUINOT TP</t>
  </si>
  <si>
    <t>joel.charton@guinot-tp.com</t>
  </si>
  <si>
    <t>http://www.linkedin.com/in/joel-charton-3b198766</t>
  </si>
  <si>
    <t>https://guinot-tp.com</t>
  </si>
  <si>
    <t xml:space="preserve">Rue Henri Paul Schneider, Montchanin, Bourgogne-Franche-Comte, France, 71210</t>
  </si>
  <si>
    <t xml:space="preserve">Canalisations, terrassements, voiries, routes, aménagements urbains, production d'enrobés, réseauxélectriques, réseaux gaz, éclairage public.</t>
  </si>
  <si>
    <t xml:space="preserve">SOC spécialiste de l’eau l’énergie et de l’électricité</t>
  </si>
  <si>
    <t>joel.rouzier@soc.fr</t>
  </si>
  <si>
    <t>http://www.linkedin.com/in/jo%c3%abl-rouzier-968034104</t>
  </si>
  <si>
    <t>https://soc.fr</t>
  </si>
  <si>
    <t xml:space="preserve">Avenue de Pagnot, Saint-Medard-en-Jalles, Nouvelle-Aquitaine, France, 33160</t>
  </si>
  <si>
    <t>Gertrude</t>
  </si>
  <si>
    <t xml:space="preserve">IB CONSTRUCTION</t>
  </si>
  <si>
    <t>jose.gertrude@ibconstruction.fr</t>
  </si>
  <si>
    <t>http://www.linkedin.com/in/jos%c3%a9-gertrude-b75895b2</t>
  </si>
  <si>
    <t>https://ibconstruction.dz</t>
  </si>
  <si>
    <t xml:space="preserve">Rouiba, Algiers Province, Algeria</t>
  </si>
  <si>
    <t>Kaplanski</t>
  </si>
  <si>
    <t>SOLEAM</t>
  </si>
  <si>
    <t>jp.kaplanski@soleam.net</t>
  </si>
  <si>
    <t>http://www.linkedin.com/in/jean-paul-kaplanski-9839b6267</t>
  </si>
  <si>
    <t>https://soleam.net</t>
  </si>
  <si>
    <t xml:space="preserve">49 La Canebiere, Marseille, Provence-Alpes-Cote d'Azur, France, 13001</t>
  </si>
  <si>
    <t xml:space="preserve">Depuis 2010, SOLEAM, une société publique locale d'équipement et d'aménagement exerce sur le territoire de la Métropole Aix-Marseille-Provence.</t>
  </si>
  <si>
    <t>Schelcher</t>
  </si>
  <si>
    <t xml:space="preserve">Rhin Climatisation</t>
  </si>
  <si>
    <t>julien.schelcher@rhin-climatisation.fr</t>
  </si>
  <si>
    <t>http://www.linkedin.com/in/julien-schelcher-29810869</t>
  </si>
  <si>
    <t>https://rhin-climatisation.fr</t>
  </si>
  <si>
    <t xml:space="preserve">12 Rue Jean Monnet, Eckbolsheim, Alsace, France, 67201</t>
  </si>
  <si>
    <t xml:space="preserve">Rhin Climatisation est une entreprise située en Alsace et spécialisée en installation et en maintenance d’équipements de chauffage; ventilation; climatisation.</t>
  </si>
  <si>
    <t xml:space="preserve">Iliade Ingénierie</t>
  </si>
  <si>
    <t>l.benoit@iliade-ing.com</t>
  </si>
  <si>
    <t>http://www.linkedin.com/in/laurent-benoit-iliade</t>
  </si>
  <si>
    <t>https://iliade-ingenierie.com</t>
  </si>
  <si>
    <t xml:space="preserve">Caluire-et-Cuire, Auvergne-Rhone-Alpes, France, 69300</t>
  </si>
  <si>
    <t xml:space="preserve">Iliade Ingénierie offre une prestation globale et de qualité sur l'ensemble des projets de construction : génie civil, infrastructures, équipements publics et privés</t>
  </si>
  <si>
    <t>Demange</t>
  </si>
  <si>
    <t xml:space="preserve">GROUPE GALOPIN</t>
  </si>
  <si>
    <t>l.demange@groupe-galopin.com</t>
  </si>
  <si>
    <t>http://www.linkedin.com/in/laurent-demange-23624115b</t>
  </si>
  <si>
    <t>https://groupe-galopin.com</t>
  </si>
  <si>
    <t xml:space="preserve">Mulhouse, Alsace, France</t>
  </si>
  <si>
    <t xml:space="preserve">Notre objectif ? Vous proposer des services spécifiques ou une offre globale « clés en mains » faisant appel aux...</t>
  </si>
  <si>
    <t>Gasiglia</t>
  </si>
  <si>
    <t xml:space="preserve">PORALU MARINE</t>
  </si>
  <si>
    <t>l.gasiglia@poralu.com</t>
  </si>
  <si>
    <t>http://www.linkedin.com/in/laurent-gasiglia-a367b27</t>
  </si>
  <si>
    <t>https://poralu.com</t>
  </si>
  <si>
    <t xml:space="preserve">Port, North, Lebanon</t>
  </si>
  <si>
    <t>Macor</t>
  </si>
  <si>
    <t>l.macor@groupe-galopin.com</t>
  </si>
  <si>
    <t>http://www.linkedin.com/in/lionel-macor-26a3b98a</t>
  </si>
  <si>
    <t xml:space="preserve">Directeur Général Energy</t>
  </si>
  <si>
    <t>l.morice@guinier1823.fr</t>
  </si>
  <si>
    <t>http://www.linkedin.com/in/lionel-morice-7079592a</t>
  </si>
  <si>
    <t>Poupin</t>
  </si>
  <si>
    <t>POUPIN</t>
  </si>
  <si>
    <t>l.poupin@poupin.com</t>
  </si>
  <si>
    <t>http://www.linkedin.com/in/laura-poupin-8a19a6209</t>
  </si>
  <si>
    <t>https://poupin.com</t>
  </si>
  <si>
    <t xml:space="preserve">22 Rue Principale, Loiron-Ruille, Pays de la Loire, France, 53320</t>
  </si>
  <si>
    <t xml:space="preserve">Poupin : Votre fabricant/poseur de menuiseries Bois, PVC et Alu. Un service sur-mesure pour votre projet de rénovation ou de construction.</t>
  </si>
  <si>
    <t>Sahuquet</t>
  </si>
  <si>
    <t>EGCS</t>
  </si>
  <si>
    <t>l.sahuquet@egcs.fr</t>
  </si>
  <si>
    <t>http://www.linkedin.com/in/laurent-sahuquet-64971161</t>
  </si>
  <si>
    <t>https://egcs.fr</t>
  </si>
  <si>
    <t xml:space="preserve">19 Rue Lavoisier, Chassieu, Rhone-Alpes, France, 69680</t>
  </si>
  <si>
    <t xml:space="preserve">Secrétaire général / Directeur des Investissements et des participations</t>
  </si>
  <si>
    <t xml:space="preserve">ARAC Occitanie</t>
  </si>
  <si>
    <t>laurent.collet@cogemip.fr</t>
  </si>
  <si>
    <t>http://www.linkedin.com/in/laurent-collet-79070064</t>
  </si>
  <si>
    <t>https://arac-occitanie.fr</t>
  </si>
  <si>
    <t xml:space="preserve">Occitanie, France</t>
  </si>
  <si>
    <t xml:space="preserve">ARAC - Agence Régionale Aménagement Construction Occitanie, partenaire des opérateurs publics &amp; privés pour leurs projets sur tous les territoires d'Occitanie.</t>
  </si>
  <si>
    <t>Jacotin</t>
  </si>
  <si>
    <t>laurent.jacotin@fprs.fr</t>
  </si>
  <si>
    <t>http://www.linkedin.com/in/laurent-jacotin-b29458195</t>
  </si>
  <si>
    <t>AITEC</t>
  </si>
  <si>
    <t>laurent@aitecelec.fr</t>
  </si>
  <si>
    <t>http://www.linkedin.com/in/laurent-aicardi-00515b69</t>
  </si>
  <si>
    <t>https://aitecelec.fr</t>
  </si>
  <si>
    <t xml:space="preserve">1 Rue Docteur Ardoin, Nice, Provence-Alpes-Cote d'Azur, France, 06300</t>
  </si>
  <si>
    <t>Boetsch</t>
  </si>
  <si>
    <t>lboetsch@alquier.fr</t>
  </si>
  <si>
    <t>http://www.linkedin.com/in/ludovic-boetsch-1a2310146</t>
  </si>
  <si>
    <t>https://alquier.fr</t>
  </si>
  <si>
    <t xml:space="preserve">547 Avenue de Londres, Signes, Provence-Alpes-Cote d'Azur, France, 83870</t>
  </si>
  <si>
    <t>Cachau</t>
  </si>
  <si>
    <t xml:space="preserve">Maison Villas Club</t>
  </si>
  <si>
    <t>lionel.cachau@villas-club.fr</t>
  </si>
  <si>
    <t>http://www.linkedin.com/in/lionel-cachau-b68a20157</t>
  </si>
  <si>
    <t>https://villas-club.fr</t>
  </si>
  <si>
    <t xml:space="preserve">Villas Club est un réseau d'agences de constructeurs de Maisons Contemporaines et Modernes. Contactez votre agence et construisez votre maison !</t>
  </si>
  <si>
    <t>Lewis</t>
  </si>
  <si>
    <t>Maricel</t>
  </si>
  <si>
    <t xml:space="preserve">Dirigeant - La Compagnie Des Toits - Hérault Sud</t>
  </si>
  <si>
    <t>lmaricel@lacompagniedestoits.com</t>
  </si>
  <si>
    <t>http://www.linkedin.com/in/lewis-maricel-8a799a266</t>
  </si>
  <si>
    <t>Loick</t>
  </si>
  <si>
    <t>Jacobi</t>
  </si>
  <si>
    <t xml:space="preserve">Architecte co-gérant</t>
  </si>
  <si>
    <t>loick.jacobi@natilia.fr</t>
  </si>
  <si>
    <t>http://www.linkedin.com/in/lo%c3%afck-jacobi-9b014395</t>
  </si>
  <si>
    <t>Deveugle</t>
  </si>
  <si>
    <t>louis-deveugle@deveugle.fr</t>
  </si>
  <si>
    <t>http://www.linkedin.com/in/louis-deveugle-762288b2</t>
  </si>
  <si>
    <t>https://deveugle.com</t>
  </si>
  <si>
    <t>Neuville-en-Ferrain</t>
  </si>
  <si>
    <t>lroue@baudet-sa.com</t>
  </si>
  <si>
    <t>http://www.linkedin.com/in/laurent-rou%c3%a9-54b0128b</t>
  </si>
  <si>
    <t>Bosc</t>
  </si>
  <si>
    <t>lucas@scobprod.com</t>
  </si>
  <si>
    <t>http://www.linkedin.com/in/lucasbosc</t>
  </si>
  <si>
    <t>https://scob-maisonsbois.com</t>
  </si>
  <si>
    <t xml:space="preserve">Breal-sous-Montfort, Brittany, France, 35310</t>
  </si>
  <si>
    <t>Eteve</t>
  </si>
  <si>
    <t xml:space="preserve">Groupe MCE</t>
  </si>
  <si>
    <t>m.eteve@mce.fr</t>
  </si>
  <si>
    <t>http://www.linkedin.com/in/matthieu-eteve</t>
  </si>
  <si>
    <t>https://mce.fr</t>
  </si>
  <si>
    <t xml:space="preserve">26 Rue Louis de Broglie, Le Thillay, Ile-de-France, France, 95500</t>
  </si>
  <si>
    <t xml:space="preserve">CIDE ELEC</t>
  </si>
  <si>
    <t>m.santos@cide-elec.fr</t>
  </si>
  <si>
    <t>http://www.linkedin.com/in/michel-santos-642899b2</t>
  </si>
  <si>
    <t>https://cide-elec.fr</t>
  </si>
  <si>
    <t>Crosne</t>
  </si>
  <si>
    <t xml:space="preserve">32 Rue des Entrepreneurs, Crosne, Ile-de-France, France, 91560</t>
  </si>
  <si>
    <t xml:space="preserve">Cide Elec est une entreprise d'électricité générale basée à Crosne, en Essonne. Nous intervenons sur tous types de chantiers électriques : neuf, réhabilitation, entretien et maintenance courant fort, courant faible et tous corps d'état (TCE).</t>
  </si>
  <si>
    <t>Marylene</t>
  </si>
  <si>
    <t xml:space="preserve">Directrice Générale Déléguée</t>
  </si>
  <si>
    <t>EITEM</t>
  </si>
  <si>
    <t>marylene.baron@ei-tem.com</t>
  </si>
  <si>
    <t>http://www.linkedin.com/in/maryl%c3%a8ne-baron-5780888a</t>
  </si>
  <si>
    <t>https://ei-tem.com</t>
  </si>
  <si>
    <t xml:space="preserve">5 Rue des Garennes, Gargenville, Ile-de-France, France, 78440</t>
  </si>
  <si>
    <t xml:space="preserve">EI TEM conçoit, réalise et exploite des installations de production, de traitement et de distribution de fluides industriels. EI TEM est au service de grandes entreprises et de grands maîtres d'ouvrage, ainsi que de plus petites structures. EI TEM est une filiale énergie du groupe GCC</t>
  </si>
  <si>
    <t xml:space="preserve">Directeur Général chez SUSCILLON Menuiserie Agencement</t>
  </si>
  <si>
    <t>HASAP</t>
  </si>
  <si>
    <t>mathieu.blanc@hasap.fr</t>
  </si>
  <si>
    <t>http://www.linkedin.com/in/mathieu-blanc-4a4b1845</t>
  </si>
  <si>
    <t>https://hasap.fr</t>
  </si>
  <si>
    <t xml:space="preserve">4 Impasse de l'Ecluse, Dargoire, Auvergne-Rhone-Alpes, France, 42800</t>
  </si>
  <si>
    <t xml:space="preserve">Le Groupe Hasap réunit cinq maisons à forte personnalité, qui partagent l’écoute, l’humilité, l’envie du travail bien fait, et le respect des engagements.</t>
  </si>
  <si>
    <t>Fardin</t>
  </si>
  <si>
    <t>MASTORE</t>
  </si>
  <si>
    <t>mfardin@mastore.fr</t>
  </si>
  <si>
    <t>http://www.linkedin.com/in/mika%c3%abl-fardin-3696a999</t>
  </si>
  <si>
    <t>https://mastore.fr</t>
  </si>
  <si>
    <t xml:space="preserve">Maintenance, maîtrise d’œuvre et travaux spécifiques. 10 années d’expérience et un savoir-faire d’excellence, partout en France.</t>
  </si>
  <si>
    <t>LBGE</t>
  </si>
  <si>
    <t>mguegan@lbge.bzh</t>
  </si>
  <si>
    <t>http://www.linkedin.com/in/marc-guegan-3a9455186</t>
  </si>
  <si>
    <t>https://lbge.fr</t>
  </si>
  <si>
    <t xml:space="preserve">Lieu-dit Le Porzo, Kervignac, Brittany, France, 56700</t>
  </si>
  <si>
    <t>Cavanna</t>
  </si>
  <si>
    <t xml:space="preserve">Société Nouvelle de Travaux Publics et Particuliers</t>
  </si>
  <si>
    <t>mickael.cavanna@sntpp.com</t>
  </si>
  <si>
    <t>http://www.linkedin.com/in/micka%c3%abl-cavanna-13b10787</t>
  </si>
  <si>
    <t>https://sntpp.fr</t>
  </si>
  <si>
    <t xml:space="preserve">2 Rue de la Corneille, Fontenay-sous-Bois, Ile-de-France, France, 94120</t>
  </si>
  <si>
    <t>Leon</t>
  </si>
  <si>
    <t>KERLEROUX</t>
  </si>
  <si>
    <t>mleon@kerleroux.com</t>
  </si>
  <si>
    <t>http://www.linkedin.com/in/matthieu-leon-477aa01a3</t>
  </si>
  <si>
    <t>https://kerleroux.com</t>
  </si>
  <si>
    <t xml:space="preserve">Guipronvel, Brittany, France</t>
  </si>
  <si>
    <t xml:space="preserve">Kerleroux est une entreprise spécialiste en déconstruction, désamiantage et travaux publics. Elle intervient en Bretagne, Finistère, Loire Atlantique.</t>
  </si>
  <si>
    <t>Altuntas</t>
  </si>
  <si>
    <t xml:space="preserve">MD CONSTRUCTION</t>
  </si>
  <si>
    <t>murat@md-construction.fr</t>
  </si>
  <si>
    <t>http://www.linkedin.com/in/murat-altuntas</t>
  </si>
  <si>
    <t>https://md-construction.fr</t>
  </si>
  <si>
    <t xml:space="preserve">Avenue de la Feuillade, Montelimar, Auvergne-Rhone-Alpes, France, 26200</t>
  </si>
  <si>
    <t xml:space="preserve">Directeur général Mateos Electricité Toulouse &amp; Mateos Electricité Aquitaine</t>
  </si>
  <si>
    <t xml:space="preserve">MATEOS ELECTRICITE</t>
  </si>
  <si>
    <t>n.dasse@mateos-elec.com</t>
  </si>
  <si>
    <t>http://www.linkedin.com/in/nicolas-dasse-84955713</t>
  </si>
  <si>
    <t>https://mateos-elec.fr</t>
  </si>
  <si>
    <t xml:space="preserve">3BIS Route de Lacourtensourt, Fenouillet, Occitanie, France, 31150</t>
  </si>
  <si>
    <t xml:space="preserve">Matéos Electricité conçoit, réalise et assure la maintenance de solutions de gestion de l’énergie en répondant aux besoins spécifiques de l’industrie et du bâtiment.</t>
  </si>
  <si>
    <t>Pallavera</t>
  </si>
  <si>
    <t>VIATER</t>
  </si>
  <si>
    <t>n.pallavera@viater.fr</t>
  </si>
  <si>
    <t>http://www.linkedin.com/in/nicolas-pallavera-9a5853b1</t>
  </si>
  <si>
    <t>https://viater.fr</t>
  </si>
  <si>
    <t xml:space="preserve">Le Raincy, Ile-de-France, France</t>
  </si>
  <si>
    <t xml:space="preserve">Voirie - Assainissement - Espaces verts</t>
  </si>
  <si>
    <t>Pitra</t>
  </si>
  <si>
    <t>ECCS</t>
  </si>
  <si>
    <t>n.pitra@eccs.fr</t>
  </si>
  <si>
    <t>http://www.linkedin.com/in/nathalie-pitra-18a96a195</t>
  </si>
  <si>
    <t>https://eccs.fr</t>
  </si>
  <si>
    <t xml:space="preserve">Chateau-d'Olonne, Pays de la Loire, France</t>
  </si>
  <si>
    <t>n.reynaud@isosign.fr</t>
  </si>
  <si>
    <t>http://www.linkedin.com/in/nicolas-reynaud-21332a76</t>
  </si>
  <si>
    <t>https://isosign.fr</t>
  </si>
  <si>
    <t>Mercurey</t>
  </si>
  <si>
    <t>Trompille</t>
  </si>
  <si>
    <t>Co-président</t>
  </si>
  <si>
    <t>n.trompille@iliade-ing.com</t>
  </si>
  <si>
    <t>http://www.linkedin.com/in/nicolas-trompille-49ab90144</t>
  </si>
  <si>
    <t xml:space="preserve">Co-fondateur &amp; co-gérant associé</t>
  </si>
  <si>
    <t>Anéo</t>
  </si>
  <si>
    <t>nbesson@aneo-energie.fr</t>
  </si>
  <si>
    <t>http://www.linkedin.com/in/nicolas-besson-283446115</t>
  </si>
  <si>
    <t>https://aneo-energie.fr</t>
  </si>
  <si>
    <t xml:space="preserve">Anéo, vos experts en énergies économiques, propres, renouvelables et en solutions énergétiques innovantes pour votre habitation. Dans le Gard (30) et dans lHérault (34)</t>
  </si>
  <si>
    <t>Dumortier</t>
  </si>
  <si>
    <t>Qovans®</t>
  </si>
  <si>
    <t>ndumortier@qovans.com</t>
  </si>
  <si>
    <t>http://www.linkedin.com/in/nicolas-dumortier-841a3113a</t>
  </si>
  <si>
    <t>https://qovans.com</t>
  </si>
  <si>
    <t xml:space="preserve">Rue de l'Industrie, Falaise, Lower Normandy, France, 14700</t>
  </si>
  <si>
    <t xml:space="preserve">QOVANS conçoit et fabrique pour ses clients des systèmes de cloisons amovibles de bureaux et des solutions d’aménagement tertiaire</t>
  </si>
  <si>
    <t>Gelisse</t>
  </si>
  <si>
    <t>UNIFER</t>
  </si>
  <si>
    <t>ngelisse@unifer-travaux.fr</t>
  </si>
  <si>
    <t>http://www.linkedin.com/in/nicolas-g%c3%a9lisse-453702b7</t>
  </si>
  <si>
    <t>https://uif-travaux.fr</t>
  </si>
  <si>
    <t xml:space="preserve">Qui sommes-nous ? Le Groupe UNIFER est composé de 12 sociétés de travaux ferroviaires qui ont décidé de mutualiser leurs ressources, leurs expériences et</t>
  </si>
  <si>
    <t>Prats</t>
  </si>
  <si>
    <t>nicolas@monconcepthabitation.com</t>
  </si>
  <si>
    <t>http://www.linkedin.com/in/nicolas-prats-b470a55</t>
  </si>
  <si>
    <t xml:space="preserve">CO-founder &amp; COO</t>
  </si>
  <si>
    <t>Roof</t>
  </si>
  <si>
    <t>nicolas@weareroof.com</t>
  </si>
  <si>
    <t>http://www.linkedin.com/in/nicolas-leroy-62a79146</t>
  </si>
  <si>
    <t>https://roof.ch</t>
  </si>
  <si>
    <t xml:space="preserve">198 Route de Saint-Julien, Plan-les-Ouates, Geneva, Switzerland, 1228</t>
  </si>
  <si>
    <t xml:space="preserve">RP France</t>
  </si>
  <si>
    <t>nicolasriviere@rpfrance.fr</t>
  </si>
  <si>
    <t>http://www.linkedin.com/in/nicolas-rivi%c3%a8re-a10b541b7</t>
  </si>
  <si>
    <t>https://rpfrance.fr</t>
  </si>
  <si>
    <t xml:space="preserve">24 Rue Victor Grignard, Poitiers, Nouvelle-Aquitaine, France, 86000</t>
  </si>
  <si>
    <t xml:space="preserve">Votre réseau de techniciens pour la rénovation de votre habitation. Chauffage | Climatisation | Couverture | Isolation | Énergies et plus !</t>
  </si>
  <si>
    <t>Pervier</t>
  </si>
  <si>
    <t>Noella</t>
  </si>
  <si>
    <t>DEFI</t>
  </si>
  <si>
    <t>npervier@defi-fermetures.fr</t>
  </si>
  <si>
    <t>http://www.linkedin.com/in/pervier-noella-510b08161</t>
  </si>
  <si>
    <t>https://defi-fermetures.fr</t>
  </si>
  <si>
    <t xml:space="preserve">3 Rue du Bois Fleuri, Lege, Pays de la Loire, France, 44650</t>
  </si>
  <si>
    <t xml:space="preserve">La société DEFI est spécialisée dans les fermetures industrielles et les équipements de quais. Elle appuie son expérience sur le conseil, la commercialisation, l’installation, la maintenance et le dépannage des équipements industriels.</t>
  </si>
  <si>
    <t>Gaudard</t>
  </si>
  <si>
    <t>B27</t>
  </si>
  <si>
    <t>o.gaudard@archimen.net</t>
  </si>
  <si>
    <t>http://www.linkedin.com/in/olivier-gaudard-25211759</t>
  </si>
  <si>
    <t>https://b27.fr</t>
  </si>
  <si>
    <t xml:space="preserve">Bureau d'études et ingénierie : TCE, MOE, BIM, smartbuilding, structure, thermique, acoustique, fluides, AMO, amiante, paysage, ICPE, VRD</t>
  </si>
  <si>
    <t xml:space="preserve">Maisons France STYLE</t>
  </si>
  <si>
    <t>o.perrin@francestyle.fr</t>
  </si>
  <si>
    <t>http://www.linkedin.com/in/olivier-perrin-0ab173b0</t>
  </si>
  <si>
    <t>https://francestyle.fr</t>
  </si>
  <si>
    <t xml:space="preserve">116 Allee Louis Bleriot, Boos, Upper Normandy, France, 76520</t>
  </si>
  <si>
    <t xml:space="preserve">Constructeur de maisons individuelles, Maisons France Style réalise vos projets de construction sur mesure.</t>
  </si>
  <si>
    <t>Brenet</t>
  </si>
  <si>
    <t>obrenet@ksgroupe.fr</t>
  </si>
  <si>
    <t>http://www.linkedin.com/in/obrenet</t>
  </si>
  <si>
    <t>Chanas</t>
  </si>
  <si>
    <t>ochanas@lacompagniedestoits.com</t>
  </si>
  <si>
    <t>http://www.linkedin.com/in/olivier-chanas-expert-toits-professionnels</t>
  </si>
  <si>
    <t>Langlois</t>
  </si>
  <si>
    <t xml:space="preserve">Dirigeant - La Compagnie des Toits - Maine et Loire Nord</t>
  </si>
  <si>
    <t>olanglois@lacompagniedestoits.com</t>
  </si>
  <si>
    <t>http://www.linkedin.com/in/olivierlangloissfacbeton</t>
  </si>
  <si>
    <t>Budin</t>
  </si>
  <si>
    <t xml:space="preserve">Groupe Ipelec</t>
  </si>
  <si>
    <t>olivier.budin@ipelec.com</t>
  </si>
  <si>
    <t>http://www.linkedin.com/in/olivier-budin</t>
  </si>
  <si>
    <t>https://ipelec.com</t>
  </si>
  <si>
    <t xml:space="preserve">685 Avenue de l'Universite, Saint-Etienne-du-Rouvray, Normandie, France, 76800</t>
  </si>
  <si>
    <t xml:space="preserve">IPELEC , spécialiste de la pieuvre électrique, kits préfabriqués électricité et plomberie pour la maison individuelle: sanitaire et chauffage</t>
  </si>
  <si>
    <t>Schaal</t>
  </si>
  <si>
    <t xml:space="preserve">Eribel France</t>
  </si>
  <si>
    <t>olivier.schaal@pyrometal.eu</t>
  </si>
  <si>
    <t>http://www.linkedin.com/in/olivier-schaal-71a16192</t>
  </si>
  <si>
    <t>https://vd-industry.eu</t>
  </si>
  <si>
    <t>Saint-Michel-sur-Meurthe</t>
  </si>
  <si>
    <t xml:space="preserve">Saint-Michel-sur-Meurthe, Grand Est, France, 88470</t>
  </si>
  <si>
    <t xml:space="preserve">Eribel, expert in gecertificeerd technisch schrijnwerk. Wij produceren en plaatsen oplossingen die beschermen tegen o.a. brand, inbraak en geluid.</t>
  </si>
  <si>
    <t>olivier@guermonprez.com</t>
  </si>
  <si>
    <t>http://www.linkedin.com/in/olivier-guermonprez-21411b1a7</t>
  </si>
  <si>
    <t>https://guermonprez.com</t>
  </si>
  <si>
    <t>Dautriat</t>
  </si>
  <si>
    <t xml:space="preserve">CEO Owner - Founder</t>
  </si>
  <si>
    <t>TDI</t>
  </si>
  <si>
    <t>olivier@multitec-distribution.com</t>
  </si>
  <si>
    <t>http://www.linkedin.com/in/olivier-dautriat-a0321676</t>
  </si>
  <si>
    <t>https://tdisystems.co.uk</t>
  </si>
  <si>
    <t xml:space="preserve">Edward Street, England, United Kingdom, B97 6HA</t>
  </si>
  <si>
    <t>Tommasini</t>
  </si>
  <si>
    <t xml:space="preserve">TOMMASINI CONSTRUCTION</t>
  </si>
  <si>
    <t>otommasini@tommasini.fr</t>
  </si>
  <si>
    <t>http://www.linkedin.com/in/olivier-tommasini-023a2814a</t>
  </si>
  <si>
    <t>https://groupe-tommasini.com</t>
  </si>
  <si>
    <t xml:space="preserve">76 Rue la Fontaine, Aulnoye-Aymeries, Nord-Pas-de-Calais, France, 59620</t>
  </si>
  <si>
    <t>Vernassa</t>
  </si>
  <si>
    <t xml:space="preserve">VERNASSA Electricité</t>
  </si>
  <si>
    <t>ov@vernassa.com</t>
  </si>
  <si>
    <t>http://www.linkedin.com/in/olivier-vernassa-b8141871</t>
  </si>
  <si>
    <t>https://vernassa.fr</t>
  </si>
  <si>
    <t xml:space="preserve">55 Route de Canta-Galet, Nice, Provence-Alpes-Cote d'Azur, France, 06200</t>
  </si>
  <si>
    <t xml:space="preserve">VERNASSA Electricite, 55, route de Canta Galet, 06200 Nice, depuis 1917 spécialiste en courants forts, courants faibles, génie thermique, maintenance, dans les secteurs industriel, tertiaire, prestations de luxe et grande distribution</t>
  </si>
  <si>
    <t>Chabertier</t>
  </si>
  <si>
    <t>p.chabertier@groupe-galopin.com</t>
  </si>
  <si>
    <t>http://www.linkedin.com/in/pierre-chabertier-84237846</t>
  </si>
  <si>
    <t>Chadoin</t>
  </si>
  <si>
    <t xml:space="preserve">Rampa Travaux Publics</t>
  </si>
  <si>
    <t>p.chadoin@rampa.fr</t>
  </si>
  <si>
    <t>http://www.linkedin.com/in/pierre-chadoin-46164a84</t>
  </si>
  <si>
    <t>https://rampa-tp.com</t>
  </si>
  <si>
    <t xml:space="preserve">Le Pouzin, Auvergne-Rhone-Alpes, France, 07250</t>
  </si>
  <si>
    <t>Lotiquet</t>
  </si>
  <si>
    <t xml:space="preserve">ZUB S.A</t>
  </si>
  <si>
    <t>p.lotiquet@zub.fr</t>
  </si>
  <si>
    <t>http://www.linkedin.com/in/pierrick-lotiquet-a90b94129</t>
  </si>
  <si>
    <t>https://zub.fr</t>
  </si>
  <si>
    <t xml:space="preserve">22 Rue de Reims, Couloisy, Hauts-de-France, France, 60350</t>
  </si>
  <si>
    <t>Mauny</t>
  </si>
  <si>
    <t>p.mauny@betom.fr</t>
  </si>
  <si>
    <t>http://www.linkedin.com/in/patrick-mauny-168686131</t>
  </si>
  <si>
    <t>Refloch</t>
  </si>
  <si>
    <t xml:space="preserve">Directeur Général opérationnel</t>
  </si>
  <si>
    <t>p.refloch@guinier1823.fr</t>
  </si>
  <si>
    <t>http://www.linkedin.com/in/pierre-refloch-946257103</t>
  </si>
  <si>
    <t>Yaicle</t>
  </si>
  <si>
    <t>p.yaicle@fouchard.net</t>
  </si>
  <si>
    <t>http://www.linkedin.com/in/pascal-yaicle-5a5787186</t>
  </si>
  <si>
    <t>https://fouchard.de</t>
  </si>
  <si>
    <t xml:space="preserve">Coutances, Normandy, France, 50200</t>
  </si>
  <si>
    <t>CADELEC</t>
  </si>
  <si>
    <t>pascal.lafont@cadelec.net</t>
  </si>
  <si>
    <t>http://www.linkedin.com/in/pascal-lafont-a325b740</t>
  </si>
  <si>
    <t>https://cadelec.com.au</t>
  </si>
  <si>
    <t xml:space="preserve">Cadenet, Provence-Alpes-Cote d'Azur, France, 84160</t>
  </si>
  <si>
    <t xml:space="preserve">SAMEDIA INT</t>
  </si>
  <si>
    <t>pascal.seguin@samedia.com</t>
  </si>
  <si>
    <t>http://www.linkedin.com/in/pascal-seguin-88400410</t>
  </si>
  <si>
    <t>https://samedia.com</t>
  </si>
  <si>
    <t xml:space="preserve">6 Rue Etienne Lenoir, Les Herbiers, Pays de la Loire, France, 85500</t>
  </si>
  <si>
    <t xml:space="preserve">Spécialiste des outils diamantés pour les professionnels de la construction et TP. Solutions globales pour découper, surfacer et forer - 02 51 64 80 80</t>
  </si>
  <si>
    <t>Lescos</t>
  </si>
  <si>
    <t>TROISEL</t>
  </si>
  <si>
    <t>patrick.lescos@troisel.com</t>
  </si>
  <si>
    <t>http://www.linkedin.com/in/patrick-lescos-a67189152</t>
  </si>
  <si>
    <t>https://troisel.com</t>
  </si>
  <si>
    <t xml:space="preserve">Fleurance, Occitanie, France, 32500</t>
  </si>
  <si>
    <t>Pineau</t>
  </si>
  <si>
    <t>PINEAU</t>
  </si>
  <si>
    <t>patrick@pineau-energie.fr</t>
  </si>
  <si>
    <t>http://www.linkedin.com/in/patrick-pineau-6a9b06244</t>
  </si>
  <si>
    <t>https://pineau-energie.fr</t>
  </si>
  <si>
    <t>Cugand</t>
  </si>
  <si>
    <t xml:space="preserve">Le Mortier, Cugand, Pays de la Loire, France, 85610</t>
  </si>
  <si>
    <t xml:space="preserve">Pineau Energie, Génie électrique et thermique : plomberie, électricité, chauffage, climatisation... Nous intervenons à Nantes, Angers, la Roche sur Yon...</t>
  </si>
  <si>
    <t>Rampa</t>
  </si>
  <si>
    <t>paul.rampa@rampa.fr</t>
  </si>
  <si>
    <t>http://www.linkedin.com/in/paul-rampa-38395216</t>
  </si>
  <si>
    <t xml:space="preserve">Detect Réseaux France</t>
  </si>
  <si>
    <t>paymard@detect-reseaux.fr</t>
  </si>
  <si>
    <t>http://www.linkedin.com/in/philippe-aymard-b9558176</t>
  </si>
  <si>
    <t>https://detect-reseaux.fr</t>
  </si>
  <si>
    <t xml:space="preserve">2 Rue Louis de Saint-Just, Venissieux, Auvergne-Rhone-Alpes, France, 69200</t>
  </si>
  <si>
    <t xml:space="preserve">Detect Réseaux est le spécialiste en localisation et géo-référencement de réseaux souterrains. Nos clients : mairies &amp; collectivités, MOA et MOE, acteurs TP</t>
  </si>
  <si>
    <t>Bourdot</t>
  </si>
  <si>
    <t>pbourdot@lacompagniedestoits.com</t>
  </si>
  <si>
    <t>http://www.linkedin.com/in/philippe-bourdot-356aa77b</t>
  </si>
  <si>
    <t>Paul-Edouard</t>
  </si>
  <si>
    <t xml:space="preserve">Groupe MORIN</t>
  </si>
  <si>
    <t>pe.morin@groupmorin.com</t>
  </si>
  <si>
    <t>http://www.linkedin.com/in/paul-edouard-morin-28a90a167</t>
  </si>
  <si>
    <t>https://morin-groupe.fr</t>
  </si>
  <si>
    <t xml:space="preserve">290 Rue Alberto Santos-Dumont, Guichainville, Normandy, France, 27930</t>
  </si>
  <si>
    <t xml:space="preserve">Le Groupe Morin c’est plus de 100 collaborateurs répartis sur 5 départements, pour toujours assurer notre proximité et notre réactivité !</t>
  </si>
  <si>
    <t>Georgel</t>
  </si>
  <si>
    <t>ECOVEGETAL</t>
  </si>
  <si>
    <t>pgeorgel@ecovegetal.com</t>
  </si>
  <si>
    <t>http://www.linkedin.com/in/pgeorgel</t>
  </si>
  <si>
    <t>https://ecovegetal.com</t>
  </si>
  <si>
    <t>Broue</t>
  </si>
  <si>
    <t xml:space="preserve">Fresquiennes, Normandy, France</t>
  </si>
  <si>
    <t xml:space="preserve">Depuis plus de 20 ans, ECOVEGETAL est la référence naturelle pour les toitures végétales, les parkings perméables et la stabilisation des sols.</t>
  </si>
  <si>
    <t>Calland</t>
  </si>
  <si>
    <t>PLASTEUROP</t>
  </si>
  <si>
    <t>philippe.calland@plasteurop.fr</t>
  </si>
  <si>
    <t>http://www.linkedin.com/in/philippe-calland-46359850</t>
  </si>
  <si>
    <t>https://plasteurop.fr</t>
  </si>
  <si>
    <t xml:space="preserve">Route de Chaveyriat, Vonnas, Auvergne-Rhone-Alpes, France, 01540</t>
  </si>
  <si>
    <t xml:space="preserve">Plasteurop est un fabricant de système de cloisons, de plafonds, de portes et de vitrages composant l'enceinte des salles propres.</t>
  </si>
  <si>
    <t>philippe.clement@guinot-tp.com</t>
  </si>
  <si>
    <t>http://www.linkedin.com/in/philippe-clement-a653b7120</t>
  </si>
  <si>
    <t>Du</t>
  </si>
  <si>
    <t xml:space="preserve">LE DU</t>
  </si>
  <si>
    <t>philippe.ledu@groupeledu.com</t>
  </si>
  <si>
    <t>http://www.linkedin.com/in/philippe-le-du-57b238161</t>
  </si>
  <si>
    <t>https://groupeledu.com</t>
  </si>
  <si>
    <t xml:space="preserve">1 Rue Notre-Dame, Chatelaudren-Plouagat, Brittany, France, 22170</t>
  </si>
  <si>
    <t>http://www.linkedin.com/in/million-philippe-737472a6</t>
  </si>
  <si>
    <t>https://everest-isolation.fr</t>
  </si>
  <si>
    <t xml:space="preserve">Orange, Provence-Alpes-Cote d'Azur, France, 84100</t>
  </si>
  <si>
    <t>pierre.bonnet@slci-groupe.com</t>
  </si>
  <si>
    <t>http://www.linkedin.com/in/pibonnet</t>
  </si>
  <si>
    <t>Deremaux</t>
  </si>
  <si>
    <t xml:space="preserve">BTP CFA Pays de la Loire</t>
  </si>
  <si>
    <t>pierre.deremaux@btpcfa-pdl.com</t>
  </si>
  <si>
    <t>http://www.linkedin.com/in/pierre-deremaux-14719234</t>
  </si>
  <si>
    <t>https://btpcfa-pdl.com</t>
  </si>
  <si>
    <t xml:space="preserve">Association régionale des CFA du BTP des Pays de la Loire</t>
  </si>
  <si>
    <t>Bonnefond</t>
  </si>
  <si>
    <t>pj.bonnefond@atawey.com</t>
  </si>
  <si>
    <t>http://www.linkedin.com/in/pierre-jean-bonnefond-61395141</t>
  </si>
  <si>
    <t>Pierre-Paul</t>
  </si>
  <si>
    <t>Bernardi</t>
  </si>
  <si>
    <t>Garelli</t>
  </si>
  <si>
    <t>ppbernardi@garelli.fr</t>
  </si>
  <si>
    <t>http://www.linkedin.com/in/pierre-paul-bernardi-2534281b9</t>
  </si>
  <si>
    <t>https://garelli.fr</t>
  </si>
  <si>
    <t xml:space="preserve">724 Boulevard du Mercantour, Nice, Provence-Alpes-Cote d'Azur, France, 06200</t>
  </si>
  <si>
    <t xml:space="preserve">Fort de ses hommes, d'un parc propre de matériels techniques et spécifiques, le Groupe GARELLI est présent dans les principaux métiers des Travaux Publics ...</t>
  </si>
  <si>
    <t>ppervier@defi-fermetures.fr</t>
  </si>
  <si>
    <t>http://www.linkedin.com/in/pascal-pervier-4a2448135</t>
  </si>
  <si>
    <t>Colombieres</t>
  </si>
  <si>
    <t>quentin@monsieurpeinture.com</t>
  </si>
  <si>
    <t>http://www.linkedin.com/in/quentin-cl%c3%a9ment-de-colombi%c3%a8res-9695ba17</t>
  </si>
  <si>
    <t>Braja</t>
  </si>
  <si>
    <t xml:space="preserve">Groupe BRAJA</t>
  </si>
  <si>
    <t>r.braja@brajavesigne.fr</t>
  </si>
  <si>
    <t>http://www.linkedin.com/in/ren%c3%a9-braja-5a254a63</t>
  </si>
  <si>
    <t>https://brajavesigne.fr</t>
  </si>
  <si>
    <t xml:space="preserve">21 Avenue Frederic Mistral, Orange, Provence-Alpes-Cote d'Azur, France, 84100</t>
  </si>
  <si>
    <t xml:space="preserve">Spécialiste de l’industrie routière depuis 1986</t>
  </si>
  <si>
    <t>Degombert</t>
  </si>
  <si>
    <t xml:space="preserve">BERTHOULY TRAVAUX PUBLICS</t>
  </si>
  <si>
    <t>r.degombert@berthouly.fr</t>
  </si>
  <si>
    <t>http://www.linkedin.com/in/richard-degombert-3001458b</t>
  </si>
  <si>
    <t>https://viviany.fr</t>
  </si>
  <si>
    <t xml:space="preserve">18 Rue de Dion Bouton, Montelimar, Auvergne-Rhone-Alpes, France, 26200</t>
  </si>
  <si>
    <t xml:space="preserve">Le groupe Viviany, c’est une confédération de d'entreprises dans les métiers des Travaux Publics, du Bâtiment et de la Promotion immobilière.</t>
  </si>
  <si>
    <t>Ribiollet</t>
  </si>
  <si>
    <t xml:space="preserve">DURET ELECTRICITE</t>
  </si>
  <si>
    <t>r.ribiollet@duretelec.fr</t>
  </si>
  <si>
    <t>http://www.linkedin.com/in/robin-ribiollet-53074ba9</t>
  </si>
  <si>
    <t>https://duretelec.fr</t>
  </si>
  <si>
    <t xml:space="preserve">18 Rue du Pre Faucon, Annecy, Auvergne-Rhone-Alpes, France, 74940</t>
  </si>
  <si>
    <t xml:space="preserve">DURET ELECTRICITE est une des plus attractives PME des 2 Savoie dans le domaine de l'installation électrique sous toutes ses formes.</t>
  </si>
  <si>
    <t>Yaou</t>
  </si>
  <si>
    <t xml:space="preserve">Fondateur / Chargé d'affaire</t>
  </si>
  <si>
    <t>STIS</t>
  </si>
  <si>
    <t>r.yaou@stis.fr</t>
  </si>
  <si>
    <t>http://www.linkedin.com/in/rachid-yaou-434307141</t>
  </si>
  <si>
    <t>https://stis.fr</t>
  </si>
  <si>
    <t xml:space="preserve">2 Boulevard de la Liberation, Saint-Denis, Ile-de-France, France, 93200</t>
  </si>
  <si>
    <t>Evariste</t>
  </si>
  <si>
    <t xml:space="preserve">Gérant Natilia Salon de Provence</t>
  </si>
  <si>
    <t>raphael.evariste@natilia.fr</t>
  </si>
  <si>
    <t>http://www.linkedin.com/in/evariste-rapha%c3%abl-30bb56183</t>
  </si>
  <si>
    <t xml:space="preserve">CEO - Fondateur &amp; PDG Groupe Le Prieuré</t>
  </si>
  <si>
    <t xml:space="preserve">Le Prieuré</t>
  </si>
  <si>
    <t>raphael.lame@vegetalid.com</t>
  </si>
  <si>
    <t>http://www.linkedin.com/in/raphael-lam%c3%a9-1a876467</t>
  </si>
  <si>
    <t>https://vegetalid.fr</t>
  </si>
  <si>
    <t xml:space="preserve">Moisy, Centre-Val de Loire, France, 41160</t>
  </si>
  <si>
    <t xml:space="preserve">Spécialiste des toitures végétalisées depuis 1993, Le Prieuré Vegetalid produit et fournit des systèmes de végétalisation pour toit végétal, mur végétal, ainsi que pour les aménagements paysagers urbains.</t>
  </si>
  <si>
    <t>Chanceaulme</t>
  </si>
  <si>
    <t>BMF</t>
  </si>
  <si>
    <t>renaud.chanceaulme@bmf-conseil.fr</t>
  </si>
  <si>
    <t>http://www.linkedin.com/in/renaud-chanceaulme-09676233</t>
  </si>
  <si>
    <t>https://bmf-conseil.fr</t>
  </si>
  <si>
    <t xml:space="preserve">256 Route de Charavines, Apprieu, Auvergne-Rhone-Alpes, France, 38140</t>
  </si>
  <si>
    <t xml:space="preserve">Ingénieur conseil en économie du bâtiment : architecte, maître d’ouvrage privé ou public vous recherchez un partenaire, capable d’avoir une vision globale. Découvrez-nous.</t>
  </si>
  <si>
    <t>rene.bikelel@brconsult.fr</t>
  </si>
  <si>
    <t>http://www.linkedin.com/in/ren%c3%a9-bikelel-417425a3</t>
  </si>
  <si>
    <t>https://brconsult.com</t>
  </si>
  <si>
    <t>Lecarpentier</t>
  </si>
  <si>
    <t>rlecarpentier@lacompagniedestoits.com</t>
  </si>
  <si>
    <t>http://www.linkedin.com/in/romain-lecarpentier-2a3903217</t>
  </si>
  <si>
    <t>Olivin</t>
  </si>
  <si>
    <t xml:space="preserve">AQUACLIM SERVICE</t>
  </si>
  <si>
    <t>ronan.olivin@aquaclimservice.fr</t>
  </si>
  <si>
    <t>http://www.linkedin.com/in/ronan-olivin-ba846436</t>
  </si>
  <si>
    <t>https://aquaclimservice.fr</t>
  </si>
  <si>
    <t xml:space="preserve">Lorient, Brittany, France, 56100</t>
  </si>
  <si>
    <t xml:space="preserve">Aquaclim Service, spécialiste en pompe à chaleur, chauffage et énergies renouvelables. Bénéficiez de solutions éco-responsables pour votre confort</t>
  </si>
  <si>
    <t xml:space="preserve">président du directoire</t>
  </si>
  <si>
    <t>rsauer@ksgroupe.fr</t>
  </si>
  <si>
    <t>http://www.linkedin.com/in/richard-sauer-72a586131</t>
  </si>
  <si>
    <t>Ageneau</t>
  </si>
  <si>
    <t xml:space="preserve">ANA Ingénierie</t>
  </si>
  <si>
    <t>s.ageneau@ana-ingenierie.fr</t>
  </si>
  <si>
    <t>http://www.linkedin.com/in/sylvain-ageneau-b37b14158</t>
  </si>
  <si>
    <t>https://ana-ingenierie.fr</t>
  </si>
  <si>
    <t xml:space="preserve">22 Rue du Bignon, Rennes, Brittany, France, 35000</t>
  </si>
  <si>
    <t xml:space="preserve">Ayant une très forte sensibilité à une ingénierie créative, nous souhaitons apporter à nos partenaires clients, architectes et concepteurs, notre vision pragmatique de l'ingénierie basée sur le conseil et le service, autour des valeurs qui nous ont fait grandir...</t>
  </si>
  <si>
    <t>s.allouche@vipplus.com</t>
  </si>
  <si>
    <t>http://www.linkedin.com/in/sebastien-allouche-73aa9b109</t>
  </si>
  <si>
    <t>s.aubron@ana-ingenierie.fr</t>
  </si>
  <si>
    <t>http://www.linkedin.com/in/samuel-aubron-89a6127b</t>
  </si>
  <si>
    <t xml:space="preserve">Directeur Général Délégué aux Finances, SI et Achats</t>
  </si>
  <si>
    <t>s.bousquet@alkar.fr</t>
  </si>
  <si>
    <t>http://www.linkedin.com/in/sbousquet</t>
  </si>
  <si>
    <t>Hasparren</t>
  </si>
  <si>
    <t>Foni</t>
  </si>
  <si>
    <t xml:space="preserve">SATRI SAM</t>
  </si>
  <si>
    <t>s.foni@satri.mc</t>
  </si>
  <si>
    <t>http://www.linkedin.com/in/sylvain-foni-81566174</t>
  </si>
  <si>
    <t>https://satri.mc</t>
  </si>
  <si>
    <t xml:space="preserve">Monaco, Oklahoma, Monaco, 98000</t>
  </si>
  <si>
    <t xml:space="preserve">I2D Conseils</t>
  </si>
  <si>
    <t>s.lebreton@i2d-conseils.fr</t>
  </si>
  <si>
    <t>http://www.linkedin.com/in/stephane-lebreton-7392761b</t>
  </si>
  <si>
    <t>https://i2d-conseils.fr</t>
  </si>
  <si>
    <t xml:space="preserve">Beaucouze, Pays de la Loire, France, 49070</t>
  </si>
  <si>
    <t xml:space="preserve">Découvrez I2D Conseils, expert en ingénierie durable, développement stratégique et transition énergétique. Optimisez votre futur avec nos solutions innovantes.</t>
  </si>
  <si>
    <t>Melchiorre</t>
  </si>
  <si>
    <t xml:space="preserve">Maisons MCA</t>
  </si>
  <si>
    <t>s.melchiorre@maisonsmca.fr</t>
  </si>
  <si>
    <t>http://www.linkedin.com/in/serge-melchiorre-ba5b7232</t>
  </si>
  <si>
    <t>https://maisons-mca.com</t>
  </si>
  <si>
    <t>Arcachon</t>
  </si>
  <si>
    <t xml:space="preserve">110 Avenue du Peyrou, Artigues-pres-Bordeaux, Aquitaine, France, 33370</t>
  </si>
  <si>
    <t xml:space="preserve">Maisons MCA, votre constructeur de maisons individuelles dans le Sud-Ouest. Faites construire une maison : moderne, plain-pied, à étage ...</t>
  </si>
  <si>
    <t>Ravanas</t>
  </si>
  <si>
    <t>s.ravanas@groupe-omnium.net</t>
  </si>
  <si>
    <t>http://www.linkedin.com/in/samuel-ravanas-44183b27</t>
  </si>
  <si>
    <t>https://groupe-omnium.net</t>
  </si>
  <si>
    <t>sebastien.gerard@groupe-comelec.com</t>
  </si>
  <si>
    <t>http://www.linkedin.com/in/s%c3%a9bastien-gerard-54368b91</t>
  </si>
  <si>
    <t>Lematte</t>
  </si>
  <si>
    <t xml:space="preserve">Co-fondateur et gérant de MODUO NORD / MODUO ENERGIE / MODUO SUD / MODUO CONTRACT</t>
  </si>
  <si>
    <t>MODUO</t>
  </si>
  <si>
    <t>sebastien.lematte@moduo.fr</t>
  </si>
  <si>
    <t>http://www.linkedin.com/in/sebastien-lematte-86782877</t>
  </si>
  <si>
    <t>https://moduo.fr</t>
  </si>
  <si>
    <t xml:space="preserve">Sainghin-en-Melantois, Hauts-de-France, France, 59262</t>
  </si>
  <si>
    <t xml:space="preserve">Le groupe d'ingénierie pluridisciplinaire pour accompagner tous vos projets</t>
  </si>
  <si>
    <t>sgarnier@soriba.fr</t>
  </si>
  <si>
    <t>http://www.linkedin.com/in/stephanegarniersoriba</t>
  </si>
  <si>
    <t>Krajinovic</t>
  </si>
  <si>
    <t>JARNIAS</t>
  </si>
  <si>
    <t>skrajinovic@jarnias.fr</t>
  </si>
  <si>
    <t>http://www.linkedin.com/in/sebastienkrajinovic</t>
  </si>
  <si>
    <t>https://jarnias.fr</t>
  </si>
  <si>
    <t xml:space="preserve">15 Rue des Marronniers, L'Hay-les-Roses, Ile-de-France, France, 94240</t>
  </si>
  <si>
    <t xml:space="preserve">Travaux en hauteur et d'accès difficiles - Bâches, filets et dispositifs de protection et de sécurité - Formations aux travaux en hauteur</t>
  </si>
  <si>
    <t>Leloutre</t>
  </si>
  <si>
    <t>SOTRAV</t>
  </si>
  <si>
    <t>sleloutre@sotrav.com</t>
  </si>
  <si>
    <t>http://www.linkedin.com/in/sylvain-leloutre-626365bb</t>
  </si>
  <si>
    <t>https://sotrav.com</t>
  </si>
  <si>
    <t xml:space="preserve">1 Rue de la Sermendiere, Fougeres, Brittany, France, 35300</t>
  </si>
  <si>
    <t xml:space="preserve">L'entreprise SOTRAV vous présente son expertise dans les domaines des travaux publics située à Rennes, elle intervient sur tout le département de l'Ille-Et-Vilaine.</t>
  </si>
  <si>
    <t>Maniquet</t>
  </si>
  <si>
    <t>smb@fmaniquet.com</t>
  </si>
  <si>
    <t>http://www.linkedin.com/in/fran%c3%a7ois-maniquet-21398730</t>
  </si>
  <si>
    <t>https://jeremysavel-photographe.com</t>
  </si>
  <si>
    <t xml:space="preserve">Sotteville-les-Rouen, Upper Normandy, France, 76300</t>
  </si>
  <si>
    <t xml:space="preserve">Photographie, Impression, encadrement/mesure, exposition, installation
AtelierS 36 / Galerie paysages Cantal, mariage, shooting.
Complexe dédie a l'art visuel.</t>
  </si>
  <si>
    <t>sophie.dupont@slci-groupe.com</t>
  </si>
  <si>
    <t>http://www.linkedin.com/in/sophie-dupont-aa8335a9</t>
  </si>
  <si>
    <t>Porchel</t>
  </si>
  <si>
    <t xml:space="preserve">Dirigeant - La Compagnie des Toits - Gard</t>
  </si>
  <si>
    <t>sporchel@lacompagniedestoits.com</t>
  </si>
  <si>
    <t>http://www.linkedin.com/in/samuel-porchel-6875654a</t>
  </si>
  <si>
    <t>Gai</t>
  </si>
  <si>
    <t>Mayers</t>
  </si>
  <si>
    <t>stephane.gai@realites.com</t>
  </si>
  <si>
    <t>http://www.linkedin.com/in/stephanegai</t>
  </si>
  <si>
    <t>https://mayers-buildtech.com</t>
  </si>
  <si>
    <t xml:space="preserve">Mayers est une société spécialisée dans la construction bas-carbone, notamment la construction hors-site. Pour cela, nous accompagnons nos clients sur l'ensemble de la chaîne de valeur de la construction avec nos trois pôles : Design, Make &amp; Build.</t>
  </si>
  <si>
    <t xml:space="preserve">AFS PLOMBERIE CVC</t>
  </si>
  <si>
    <t>stephane@afsplomberiecvc.fr</t>
  </si>
  <si>
    <t>http://www.linkedin.com/in/st%c3%a9phane-fran%c3%a7ois-51b82a114</t>
  </si>
  <si>
    <t>https://afsplomberiecvc.fr</t>
  </si>
  <si>
    <t xml:space="preserve">Bievres, Ile-de-France, France, 91570</t>
  </si>
  <si>
    <t xml:space="preserve">AFS PLOMBERIE - CHAUFFAGE - VENTILATION - CLIMATISATION vous accompagne sur l’ensemble des métiers de la plomberie et du génie climatique, appuyé par des techniciens porteurs d’un savoir-faire unique acquis de 21 années d’expériences.</t>
  </si>
  <si>
    <t xml:space="preserve">ENTREPRISE NEVEU</t>
  </si>
  <si>
    <t>stephane@entreprise-neveu.com</t>
  </si>
  <si>
    <t>http://www.linkedin.com/in/stephane-neveu-2a803a113</t>
  </si>
  <si>
    <t>https://entreprise-neveu.com</t>
  </si>
  <si>
    <t xml:space="preserve">Reignac, Nouvelle-Aquitaine, France</t>
  </si>
  <si>
    <t xml:space="preserve">Professionnels, particuliers, marchés publics… des équipes spécialisées interviennent sur chaque type de chantier...</t>
  </si>
  <si>
    <t>Bastos</t>
  </si>
  <si>
    <t xml:space="preserve">A CIEL OUVERT</t>
  </si>
  <si>
    <t>t.bastos@acielouvert.com</t>
  </si>
  <si>
    <t>http://www.linkedin.com/in/tiago-bastos-b567152b2</t>
  </si>
  <si>
    <t>https://acielouvert.com</t>
  </si>
  <si>
    <t xml:space="preserve">Saint-Jacques-de-la-Lande, Brittany, France</t>
  </si>
  <si>
    <t xml:space="preserve">Installateur VELUX certifié, A CIEL OUVERT installe, équipe et réalise la maintenance de vos fenêtres de toit de la marque VELUX. Devis gratuit sous 48h !</t>
  </si>
  <si>
    <t>Charmasson</t>
  </si>
  <si>
    <t xml:space="preserve">Président ELAN GIPEN</t>
  </si>
  <si>
    <t>GIPEN</t>
  </si>
  <si>
    <t>t.charmasson@gipen.fr</t>
  </si>
  <si>
    <t>http://www.linkedin.com/in/thomas-charmasson-38a111bb</t>
  </si>
  <si>
    <t>https://gipen.fr</t>
  </si>
  <si>
    <t xml:space="preserve">Magland, Auvergne-Rhone-Alpes, France, 74300</t>
  </si>
  <si>
    <t xml:space="preserve">charpentes bois, maison bois, constructeur bois</t>
  </si>
  <si>
    <t xml:space="preserve">Fontanel Groupe</t>
  </si>
  <si>
    <t>t.paillet@fontanel-groupe.fr</t>
  </si>
  <si>
    <t>http://www.linkedin.com/in/paillet-thierry-039b2356</t>
  </si>
  <si>
    <t>https://fontanel-groupe.fr</t>
  </si>
  <si>
    <t xml:space="preserve">Route de Chasselay, Quincieux, Auvergne-Rhone-Alpes, France, 69650</t>
  </si>
  <si>
    <t xml:space="preserve">Maisons Clair Logis</t>
  </si>
  <si>
    <t>tboissier@maisonsclairlogis.fr</t>
  </si>
  <si>
    <t>http://www.linkedin.com/in/thierry-boissier-301b96</t>
  </si>
  <si>
    <t>https://maisonsclairlogis.fr</t>
  </si>
  <si>
    <t xml:space="preserve">191 Avenue du General Leclerc, Alencon, Normandy, France, 61000</t>
  </si>
  <si>
    <t xml:space="preserve">Constructeur de maisons individuelles depuis 1952, nous vous offrons un accompagnement de A à Z tout au long de projet de construction.</t>
  </si>
  <si>
    <t>Grandmenil</t>
  </si>
  <si>
    <t>tgrandmenil@big-france.com</t>
  </si>
  <si>
    <t>http://www.linkedin.com/in/tony-grandm%c3%a9nil</t>
  </si>
  <si>
    <t>thibaut.lambert@nicoletta.fr</t>
  </si>
  <si>
    <t>http://www.linkedin.com/in/thibaut-lambert-1a5544111</t>
  </si>
  <si>
    <t>Moidieu-Detourbe</t>
  </si>
  <si>
    <t>thierry.bouchard@groupegb.fr</t>
  </si>
  <si>
    <t>http://www.linkedin.com/in/thierry-bouchard-448b535a</t>
  </si>
  <si>
    <t xml:space="preserve">SERUE INGENIERIE</t>
  </si>
  <si>
    <t>thierry.schmitt@serue.fr</t>
  </si>
  <si>
    <t>http://www.linkedin.com/in/thierry-schmitt-b18457b0</t>
  </si>
  <si>
    <t>https://serue.com</t>
  </si>
  <si>
    <t xml:space="preserve">4 Rue de Vienne, Schiltigheim, Grand Est, France, 67300</t>
  </si>
  <si>
    <t xml:space="preserve">Bienvenue chez SERUE Ingenierie : découvrez notre bureau d'étude en ingénérie; nos services et expertises pour concevoir vos projets innovants et durables.</t>
  </si>
  <si>
    <t>thierrypaget@rpfrance.fr</t>
  </si>
  <si>
    <t>http://www.linkedin.com/in/thierry-paget-915b541b7</t>
  </si>
  <si>
    <t>Altempo</t>
  </si>
  <si>
    <t>thomas.charton@altempo.com</t>
  </si>
  <si>
    <t>http://www.linkedin.com/in/thomas-charton-5a997b16</t>
  </si>
  <si>
    <t>https://altempo.com</t>
  </si>
  <si>
    <t xml:space="preserve">6A Rue de l'Industrie, Bennwihr, Alsace-Champagne-Ardenne-Lorraine, France, 68126</t>
  </si>
  <si>
    <t xml:space="preserve">Profitez de l’expertise du provisoire d’Altempo : bâtiment modulaire, scolaire et tertiaire, installation de chantier et prestations de services associés.</t>
  </si>
  <si>
    <t>ISO&amp;FACE</t>
  </si>
  <si>
    <t>thomas.page@isoface33.fr</t>
  </si>
  <si>
    <t>http://www.linkedin.com/in/thomas-page-4a5724112</t>
  </si>
  <si>
    <t>https://isoface.fr</t>
  </si>
  <si>
    <t xml:space="preserve">Le Teich, Aquitaine, France, 33470</t>
  </si>
  <si>
    <t xml:space="preserve">ISO&amp;FACE est une entreprise locale. Grâce à nos 5 Agences, nous intervenons dans les départements de la Gironde, de la Dordogne, des Landes et des Pyrénées Atlantiques.</t>
  </si>
  <si>
    <t xml:space="preserve">PI INSTALL</t>
  </si>
  <si>
    <t>tony.marques@pi-install.com</t>
  </si>
  <si>
    <t>http://www.linkedin.com/in/tony-marques-1a997a129</t>
  </si>
  <si>
    <t>https://pi-install.com</t>
  </si>
  <si>
    <t>Montrevel-en-Bresse</t>
  </si>
  <si>
    <t xml:space="preserve">Montrevel-en-Bresse, Auvergne-Rhone-Alpes, France, 01340</t>
  </si>
  <si>
    <t xml:space="preserve">Société d’ingénierie reconnue, nous installons vos environnements et espaces de travail contrôlés : salle propre, salle blanche et chambre froide.</t>
  </si>
  <si>
    <t>Peyrichou</t>
  </si>
  <si>
    <t xml:space="preserve">CEO - HAYET ELECTRICITE</t>
  </si>
  <si>
    <t>tpeyrichou@dimaphonie.fr</t>
  </si>
  <si>
    <t>http://www.linkedin.com/in/thibault-peyrichou-05382890</t>
  </si>
  <si>
    <t>Spinella</t>
  </si>
  <si>
    <t xml:space="preserve">TS CONSTRUCTION</t>
  </si>
  <si>
    <t>tspinella@tsconstruction.fr</t>
  </si>
  <si>
    <t>http://www.linkedin.com/in/thibaud-spinella-489594127</t>
  </si>
  <si>
    <t>https://tsconstruction.fr</t>
  </si>
  <si>
    <t xml:space="preserve">Ecquevilly, Ile-de-France, France</t>
  </si>
  <si>
    <t>Vignal</t>
  </si>
  <si>
    <t>SOPCZ</t>
  </si>
  <si>
    <t>tvignal@sopcz.com</t>
  </si>
  <si>
    <t>http://www.linkedin.com/in/thierry-vignal-a8825923b</t>
  </si>
  <si>
    <t>https://sopcz.com</t>
  </si>
  <si>
    <t xml:space="preserve">La SOPCZ est une société coopérative et participative implantée au coeur de Limoges depuis 1905 dans laquelle l'engagement de chaque salarié garantit une éthique de travail basée sur l'écoute, la maîtrise technique et la pérennité des savoir-faire.</t>
  </si>
  <si>
    <t>Bouland</t>
  </si>
  <si>
    <t>v.bouland@mayers-buildtech.com</t>
  </si>
  <si>
    <t>http://www.linkedin.com/in/vincent-bouland-a04b052a4</t>
  </si>
  <si>
    <t>v.legrand@renovation-doremi.com</t>
  </si>
  <si>
    <t>http://www.linkedin.com/in/legrandvin</t>
  </si>
  <si>
    <t>Alixan</t>
  </si>
  <si>
    <t>Zavaglia</t>
  </si>
  <si>
    <t xml:space="preserve">AIN CARRELAGES</t>
  </si>
  <si>
    <t>v.zavaglia@aincarrelages.com</t>
  </si>
  <si>
    <t>http://www.linkedin.com/in/vincent-zavaglia-401a63ab</t>
  </si>
  <si>
    <t>https://ain-carrelages.com</t>
  </si>
  <si>
    <t xml:space="preserve">53 Rue de la Outarde, Chateau-Gaillard, Auvergne-Rhone-Alpes, France, 01500</t>
  </si>
  <si>
    <t>Chazelle</t>
  </si>
  <si>
    <t xml:space="preserve">ENTREPRISE CHAZELLE</t>
  </si>
  <si>
    <t>vchazelle@chazelle.fr</t>
  </si>
  <si>
    <t>http://www.linkedin.com/in/val%c3%a9rie-chazelle-90129ba3</t>
  </si>
  <si>
    <t>https://groupe-chazelle.fr</t>
  </si>
  <si>
    <t xml:space="preserve">7 Rue Calixte Plotton, Saint-Etienne, Auvergne-Rhone-Alpes, France, 42000</t>
  </si>
  <si>
    <t xml:space="preserve">Bâtisseurs concepteurs promoteurs, l'entreprise familiale CHAZELLE est une équipe de 150 compagnons qualifiés, polyvalents et "tout terrain"​ alliant savoir faire, valeurs et l'envie de relever des challenges.. Le groupe CHAZELLE intervient dans tout type de projet : industriel, logement collectif et individuel, tertiaire, hospitalier...... en qualité de promoteur, d'entreprise générale ou d'entreprise de gros-œuvre pour le compte de maitres d'ouvrage publics ou privés.Certifiée MASE, ISO 14001 et 9001, l'entreprise CHAZELLE est engagée depuis de nombreuses années dans une démarche Qualité, Sécurité et Environnement.</t>
  </si>
  <si>
    <t>Boutelier</t>
  </si>
  <si>
    <t>victor@monsieurpeinture.com</t>
  </si>
  <si>
    <t>http://www.linkedin.com/in/victor-boutelier</t>
  </si>
  <si>
    <t>Danilo</t>
  </si>
  <si>
    <t xml:space="preserve">Essemes Services</t>
  </si>
  <si>
    <t>vincent.danilo@essemes-services.com</t>
  </si>
  <si>
    <t>http://www.linkedin.com/in/vincent-danilo-018339104</t>
  </si>
  <si>
    <t>https://essemes-services.com</t>
  </si>
  <si>
    <t xml:space="preserve">50 Rue du General Leclerc, Marle, Hauts-de-France, France, 02250</t>
  </si>
  <si>
    <t>Justeau</t>
  </si>
  <si>
    <t>JUSTEAU</t>
  </si>
  <si>
    <t>vincent.justeau@justeau49.fr</t>
  </si>
  <si>
    <t>http://www.linkedin.com/in/vincent-justeau-1aa650196</t>
  </si>
  <si>
    <t>https://justeau49.fr</t>
  </si>
  <si>
    <t xml:space="preserve">Louresse-Rochemenier, Pays de la Loire, France</t>
  </si>
  <si>
    <t xml:space="preserve">Les sociétés Justeau, basées à Louresse-Rochemenier (49) entre Angers et Saumur, sont des acteurs majeurs de la construction dans le Maine-et-Loire.</t>
  </si>
  <si>
    <t>Olagne</t>
  </si>
  <si>
    <t>SABEKO</t>
  </si>
  <si>
    <t>vincent.olagne@sabeko.fr</t>
  </si>
  <si>
    <t>http://www.linkedin.com/in/vincent-olagne</t>
  </si>
  <si>
    <t>https://sabeko.fr</t>
  </si>
  <si>
    <t xml:space="preserve">Besoin d'un plombier à Lyon (69) ? Découvrez SABEKO | Une équipe performante et disponible qui réalise 4000 interventions par an</t>
  </si>
  <si>
    <t>Thollon</t>
  </si>
  <si>
    <t xml:space="preserve">Directrice générale déléguée, activités promotion et construction</t>
  </si>
  <si>
    <t>virginie.thollon@slci-groupe.com</t>
  </si>
  <si>
    <t>http://www.linkedin.com/in/virginie-thollon-bayeul-8855766b</t>
  </si>
  <si>
    <t>Sarkissian</t>
  </si>
  <si>
    <t xml:space="preserve">Villas Prisme</t>
  </si>
  <si>
    <t>vsarkissian@villasprisme.fr</t>
  </si>
  <si>
    <t>http://www.linkedin.com/in/val%c3%a9rie-sarkissian-1aa30149</t>
  </si>
  <si>
    <t>https://villasprisme.fr</t>
  </si>
  <si>
    <t xml:space="preserve">10 Chemin du Lion, Vitrolles, Provence-Alpes-Cote d'Azur, France, 13127</t>
  </si>
  <si>
    <t xml:space="preserve">Découvrez VILLAS PRISME, constructeur de maison individuelle en région PACA, nous disposons de 12 agences des Alpes de Haute Provence au Var</t>
  </si>
  <si>
    <t>Batut</t>
  </si>
  <si>
    <t xml:space="preserve">ALTRAD ARNHOLDT Echafaudage</t>
  </si>
  <si>
    <t>william.batut@altrad.com</t>
  </si>
  <si>
    <t>http://www.linkedin.com/in/william-batut-13b003204</t>
  </si>
  <si>
    <t>https://arnholdt.fr</t>
  </si>
  <si>
    <t xml:space="preserve">Sucy-en-Brie, Ile-de-France, France</t>
  </si>
  <si>
    <t xml:space="preserve">ARNHOLDT échafaudages est aujourd’hui, avec un chiffre d’affaires de plus de 32M€, l’une des premières entreprises françaises de location-montage d’échafaudages. En 30 ans, Altrad est devenu un acteur majeur sur le marché du matériel pour le bâtiment.</t>
  </si>
  <si>
    <t>Lebot</t>
  </si>
  <si>
    <t xml:space="preserve">MACORETZ SCOP</t>
  </si>
  <si>
    <t>xavier.lebot@macoretz-scop.fr</t>
  </si>
  <si>
    <t>http://www.linkedin.com/in/xavier-lebot-14183367</t>
  </si>
  <si>
    <t>https://macoretz.fr</t>
  </si>
  <si>
    <t xml:space="preserve">Route de Nantes, Saint-Pere-en-Retz, Pays de la Loire, France, 44320</t>
  </si>
  <si>
    <t xml:space="preserve">Macoretz Scop, constructeur de maison individuelle, de logement collectif, expert en rénovation de l'habitat : agrandissement de maison, rénovation globale en Loire-Atlantique, depuis 1986.</t>
  </si>
  <si>
    <t>Beaudru</t>
  </si>
  <si>
    <t xml:space="preserve">SAS Maisons BMC</t>
  </si>
  <si>
    <t>xbeaudru@maisonsbmc.fr</t>
  </si>
  <si>
    <t>http://www.linkedin.com/in/xavier-beaudru-6b554484</t>
  </si>
  <si>
    <t>https://maisons-bmc.fr</t>
  </si>
  <si>
    <t xml:space="preserve">22 Rue Jacques Cassard, Lege-Cap-Ferret, Nouvelle-Aquitaine, France, 33950</t>
  </si>
  <si>
    <t>COTEC</t>
  </si>
  <si>
    <t>xmoriceau@cotec-ing.com</t>
  </si>
  <si>
    <t>http://www.linkedin.com/in/xavier-moriceau-18932b41</t>
  </si>
  <si>
    <t>https://cotec-ing.com</t>
  </si>
  <si>
    <t xml:space="preserve">4 Rue des Grilles, Pantin, Ile-de-France, France, 93500</t>
  </si>
  <si>
    <t>xrodriguez@jarnias.fr</t>
  </si>
  <si>
    <t>http://www.linkedin.com/in/linkedinrodriguezxavier</t>
  </si>
  <si>
    <t>Puisset</t>
  </si>
  <si>
    <t>COOP&amp;BAT</t>
  </si>
  <si>
    <t>y.puisset@coopetbat.fr</t>
  </si>
  <si>
    <t>http://www.linkedin.com/in/yannick-puisset-b8595528b</t>
  </si>
  <si>
    <t>https://coopetbat.fr</t>
  </si>
  <si>
    <t>Ambares-et-Lagrave</t>
  </si>
  <si>
    <t xml:space="preserve">44 Avenue Victor Hugo, Bassens, Nouvelle-Aquitaine, France, 33530</t>
  </si>
  <si>
    <t xml:space="preserve">Coopérative du bâtiment responsable, solution pour les professionnels du bâtiment qui souhaitent créer leur entreprise en Gironde et Dordogne</t>
  </si>
  <si>
    <t>Fieujean</t>
  </si>
  <si>
    <t>SOCAFL</t>
  </si>
  <si>
    <t>yannick.fieujean@socafl.com</t>
  </si>
  <si>
    <t>http://www.linkedin.com/in/yannick-fieujean-53707aa7</t>
  </si>
  <si>
    <t>https://socafl.com</t>
  </si>
  <si>
    <t xml:space="preserve">Rue de Pont de Veyle, Crottet, Auvergne-Rhone-Alpes, France, 01290</t>
  </si>
  <si>
    <t xml:space="preserve">SOCAFL - Entreprise de Travaux Publics dans l'Ain près de Mâcon : Réseau VRD Assainissement, Terrassement, Travaux de Voirie, Aménagement Urbain</t>
  </si>
  <si>
    <t>Bocquet</t>
  </si>
  <si>
    <t xml:space="preserve">SOFTICA ACTIVATEUR D'ACCÈS</t>
  </si>
  <si>
    <t>ybocquet@softica.fr</t>
  </si>
  <si>
    <t>http://www.linkedin.com/in/yannick-bocquet-54392246</t>
  </si>
  <si>
    <t>https://softica.fr</t>
  </si>
  <si>
    <t xml:space="preserve">55 Impasse des Iris, Mery, Auvergne-Rhone-Alpes, France, 73420</t>
  </si>
  <si>
    <t xml:space="preserve">Softica est un fabricant et installateur de portes automatiques professionnelles 100% françaises. Softica vous propose le conseil, la vente, l’installation, la maintenance et la rénovation de vos portes automatiques.</t>
  </si>
  <si>
    <t>Lepretre</t>
  </si>
  <si>
    <t>SNPR</t>
  </si>
  <si>
    <t>yohan.lepretre@snpr76.fr</t>
  </si>
  <si>
    <t>http://www.linkedin.com/in/yohan-lepretre-969759129</t>
  </si>
  <si>
    <t>https://snpr.bzh</t>
  </si>
  <si>
    <t xml:space="preserve">2 Rue de la Buhotiere, Saint-Jacques-de-la-Lande, Brittany, France, 35136</t>
  </si>
  <si>
    <t>Louis-Christophe</t>
  </si>
  <si>
    <t>Moissonnier</t>
  </si>
  <si>
    <t xml:space="preserve">VERTICAL SEA</t>
  </si>
  <si>
    <t>lcmoissonnier@buildersandpartners.com</t>
  </si>
  <si>
    <t xml:space="preserve">environmental services</t>
  </si>
  <si>
    <t>http://www.linkedin.com/in/louis-christophe-moissonnier-a30b8041</t>
  </si>
  <si>
    <t>https://b-p.fr</t>
  </si>
  <si>
    <t xml:space="preserve">Sevres, Ile-de-France, France</t>
  </si>
  <si>
    <t xml:space="preserve">SOLER IDE, leader français du conseil en environnement depuis 40 ans, offre expertise et solutions durables pour le développement et la certification écologique.</t>
  </si>
  <si>
    <t xml:space="preserve">Blue Group</t>
  </si>
  <si>
    <t>alan@blue-formation.fr</t>
  </si>
  <si>
    <t>http://www.linkedin.com/in/alan-zeitoun-6963ab84</t>
  </si>
  <si>
    <t>https://blue-group.com</t>
  </si>
  <si>
    <t xml:space="preserve">Wyndham Place, Southampton, England, United Kingdom, SO15 1</t>
  </si>
  <si>
    <t>INVEHO</t>
  </si>
  <si>
    <t>regis.murat@inveho.eu</t>
  </si>
  <si>
    <t xml:space="preserve">railroad manufacture</t>
  </si>
  <si>
    <t>http://www.linkedin.com/in/r%c3%a9gis-murat-437242a0</t>
  </si>
  <si>
    <t>https://inveho.eu</t>
  </si>
  <si>
    <t xml:space="preserve">10 Avenue Andre Malraux, Levallois-Perret, Ile-de-France, France, 92300</t>
  </si>
  <si>
    <t xml:space="preserve">Ce site est actuellement en construction.</t>
  </si>
  <si>
    <t>Pratt</t>
  </si>
  <si>
    <t xml:space="preserve">Co-Fondateur et Directeur Général</t>
  </si>
  <si>
    <t xml:space="preserve">Luxury By Blue</t>
  </si>
  <si>
    <t>andy@blue-square.com</t>
  </si>
  <si>
    <t>http://www.linkedin.com/in/andrew-pratt-10a9781b5</t>
  </si>
  <si>
    <t>https://luxurybyblue.com</t>
  </si>
  <si>
    <t xml:space="preserve">473 Route des Dolines, Valbonne, Provence-Alpes-Cote d'Azur, France, 06560</t>
  </si>
  <si>
    <t xml:space="preserve">Agences immobilières spécialisées dans l'immobilier de luxe sur la Côte d'Azur, achat ou vente de votre appartement ou villa sur Cannes, Nice, Saint-Tropez, Monaco, Cap d'Antibes, Mougins...</t>
  </si>
  <si>
    <t>Bouleau</t>
  </si>
  <si>
    <t>PariSeine</t>
  </si>
  <si>
    <t>ariane.bouleau@pariseine.fr</t>
  </si>
  <si>
    <t>http://www.linkedin.com/in/ariane-bouleau-a000b176</t>
  </si>
  <si>
    <t>https://pariseine.fr</t>
  </si>
  <si>
    <t xml:space="preserve">19 Boulevard Henri IV, Paris, Ile-de-France, France, 75004</t>
  </si>
  <si>
    <t xml:space="preserve">Société aux multiples facettes, PariSeine est motrice des projets urbains à forte valeur sociale et environnementale au service des Grands Parisiens.</t>
  </si>
  <si>
    <t xml:space="preserve">Office Public de l'Habitat de l'agglomération de La Rochelle</t>
  </si>
  <si>
    <t>aubonnot@office-agglo-larochelle.fr</t>
  </si>
  <si>
    <t>http://www.linkedin.com/in/aurore-bonnot-a34b7580</t>
  </si>
  <si>
    <t>https://office-agglo-larochelle.fr</t>
  </si>
  <si>
    <t xml:space="preserve">2 Avenue de Varsovie, La Rochelle, Nouvelle-Aquitaine, France, 17000</t>
  </si>
  <si>
    <t xml:space="preserve">Bien chez soi, Bien ensemble</t>
  </si>
  <si>
    <t>Poinas</t>
  </si>
  <si>
    <t xml:space="preserve">Groupe Patriarca Développement</t>
  </si>
  <si>
    <t>b.poinas@patriarca.fr</t>
  </si>
  <si>
    <t>http://www.linkedin.com/in/benoit-poinas-75052929</t>
  </si>
  <si>
    <t>https://patriarca.fr</t>
  </si>
  <si>
    <t xml:space="preserve">33 Avenue du Docteur Georges Levy, Venissieux, Auvergne-Rhone-Alpes, France, 69200</t>
  </si>
  <si>
    <t xml:space="preserve">Immobilier d'entreprise 360°</t>
  </si>
  <si>
    <t>Fouzia</t>
  </si>
  <si>
    <t>Boufagher</t>
  </si>
  <si>
    <t>SEMINOR</t>
  </si>
  <si>
    <t>boufagher@seminor.fr</t>
  </si>
  <si>
    <t>http://www.linkedin.com/in/fouzia-mekki-boufagher-3802796a</t>
  </si>
  <si>
    <t>https://seminor.fr</t>
  </si>
  <si>
    <t xml:space="preserve">Place du General Leclerc, Fecamp, Normandie, France, 76400</t>
  </si>
  <si>
    <t>Bouscaud</t>
  </si>
  <si>
    <t xml:space="preserve">ORNE HABITAT</t>
  </si>
  <si>
    <t>c.bouscaud@orne-habitat.com</t>
  </si>
  <si>
    <t>http://www.linkedin.com/in/christophe-bouscaud-345a33167</t>
  </si>
  <si>
    <t>https://orne-habitat.com</t>
  </si>
  <si>
    <t xml:space="preserve">ORNE HABITAT est l’Office Public de l’Habitat de l’Orne. Premier bailleur du département de l'Orne. Il propose des logements abordables, aussi bien en centre-ville qu’en campagne.</t>
  </si>
  <si>
    <t xml:space="preserve">Directrice générale Office public de l’habitat de Limoges Métropole</t>
  </si>
  <si>
    <t xml:space="preserve">Limoges habitat</t>
  </si>
  <si>
    <t>celine.moreau@limogeshabitat.fr</t>
  </si>
  <si>
    <t>http://www.linkedin.com/in/celine-moreau-b7387a118</t>
  </si>
  <si>
    <t>https://limogeshabitat.fr</t>
  </si>
  <si>
    <t xml:space="preserve">Limoges, Nouvelle-Aquitaine, France</t>
  </si>
  <si>
    <t xml:space="preserve">Limoges habitat propose des appartements et maison à louer, de type T1 à T6, dans un parc de 13 200 logements en collectif ou individuel,
sur Limoges et son agglomération. 84% de nos locataires sont satisfaits de nos services et nous recommandent.</t>
  </si>
  <si>
    <t>Raffier</t>
  </si>
  <si>
    <t xml:space="preserve">Mancelle d'habitation</t>
  </si>
  <si>
    <t>cyril.raffier@mancelle-habitation.fr</t>
  </si>
  <si>
    <t>http://www.linkedin.com/in/cyril-raffier-aa638a12b</t>
  </si>
  <si>
    <t>https://mancelle-habitation.fr</t>
  </si>
  <si>
    <t xml:space="preserve">11 Rue du Donjon, Le Mans, Pays de la Loire, France, 72000</t>
  </si>
  <si>
    <t xml:space="preserve">Mancelle d’habitation est une Entreprise Sociale pour l’Habitat qui propose à la location et à la vente, des biens issus de son parc de logements sociaux.</t>
  </si>
  <si>
    <t>Farouk</t>
  </si>
  <si>
    <t>Benzeghiba</t>
  </si>
  <si>
    <t xml:space="preserve">Directeur Développement/Président KSI Italie</t>
  </si>
  <si>
    <t xml:space="preserve">APRC GROUP</t>
  </si>
  <si>
    <t>f.benzeghiba@aprc.fr</t>
  </si>
  <si>
    <t>http://www.linkedin.com/in/farouk-benzeghiba-26a243204</t>
  </si>
  <si>
    <t>https://aprcgroup.fr</t>
  </si>
  <si>
    <t xml:space="preserve">63 Quai Charles de Gaulle, Lyon, Auvergne-Rhone-Alpes, France, 69006</t>
  </si>
  <si>
    <t xml:space="preserve">Spécialiste &amp; acteur incontournable de l’immobilier d’entreprise, APRC propose un accompagnement 360° qui réduit au maximum la chaîne immobilière.</t>
  </si>
  <si>
    <t>frleclerc@office-agglo-larochelle.fr</t>
  </si>
  <si>
    <t>http://www.linkedin.com/in/fr%c3%a9d%c3%a9ric-leclerc-5232b16b</t>
  </si>
  <si>
    <t>Brioist</t>
  </si>
  <si>
    <t xml:space="preserve">Directeur général adjoint (DGA) en charge de l’administratif et des finances</t>
  </si>
  <si>
    <t>guillaume.brioist@mancelle-habitation.fr</t>
  </si>
  <si>
    <t>http://www.linkedin.com/in/guillaumebrioist</t>
  </si>
  <si>
    <t>Couturier</t>
  </si>
  <si>
    <t xml:space="preserve">Habitats de Haute-Alsace</t>
  </si>
  <si>
    <t>guillaume.couturier@hha.fr</t>
  </si>
  <si>
    <t>http://www.linkedin.com/in/guillaume-couturier-4a38531b6</t>
  </si>
  <si>
    <t>https://hha.fr</t>
  </si>
  <si>
    <t xml:space="preserve">73 Rue de Morat, Colmar, Grand Est, France, 68000</t>
  </si>
  <si>
    <t xml:space="preserve">Habitats de Haute-Alsace c'est plus de 90 ans d'expérience et de savoir-faire dans le domaine de la construction et de la gestion de logements dans le Haut-Rhin.</t>
  </si>
  <si>
    <t>Devillers</t>
  </si>
  <si>
    <t xml:space="preserve">HABITAT DU NORD</t>
  </si>
  <si>
    <t>j.devillers@habitatdunord.fr</t>
  </si>
  <si>
    <t>http://www.linkedin.com/in/jean-fran%c3%a7ois-devillers-a1311266</t>
  </si>
  <si>
    <t>https://habitatdunord.fr</t>
  </si>
  <si>
    <t xml:space="preserve">10 Rue du Vaisseau, Villeneuve-d'Ascq, Hauts-de-France, France, 59650</t>
  </si>
  <si>
    <t xml:space="preserve">Habitat du Nord est un bailleur engagé et responsable dans les Hauts-de-France, avec ses clients et ses partenaires.</t>
  </si>
  <si>
    <t>Narayanin</t>
  </si>
  <si>
    <t xml:space="preserve">Groupe Verrecchia</t>
  </si>
  <si>
    <t>j.narayanin@verrecchia.com</t>
  </si>
  <si>
    <t>http://www.linkedin.com/in/julien-narayanin-859b1a3b</t>
  </si>
  <si>
    <t>https://groupeverrecchia.com</t>
  </si>
  <si>
    <t xml:space="preserve">1 Rue d'Aurion, Rosny-sous-Bois, Ile-de-France, France, 93110</t>
  </si>
  <si>
    <t>Vinson</t>
  </si>
  <si>
    <t>Sinteo</t>
  </si>
  <si>
    <t>julie.vinson@sinteo.fr</t>
  </si>
  <si>
    <t>http://www.linkedin.com/in/julievinsonpetit</t>
  </si>
  <si>
    <t>https://sinteo.fr</t>
  </si>
  <si>
    <t xml:space="preserve">29 Rue Saint-Lazare, Paris, Ile-de-France, France, 75009</t>
  </si>
  <si>
    <t xml:space="preserve">Founded in 2008, Sinteo is an engineering and consulting company working for real estate and the post-carbon city.</t>
  </si>
  <si>
    <t>Joffray</t>
  </si>
  <si>
    <t>Vallat</t>
  </si>
  <si>
    <t xml:space="preserve">CEO &amp; Founder VALLAT</t>
  </si>
  <si>
    <t>VALLAT</t>
  </si>
  <si>
    <t>jv@vallat.fr</t>
  </si>
  <si>
    <t>http://www.linkedin.com/in/joffray-vallat-830468195</t>
  </si>
  <si>
    <t>https://vallat-immobilier.com</t>
  </si>
  <si>
    <t xml:space="preserve">3 Rue Guillaume Fichet, Annecy, Auvergne-Rhone-Alpes, France, 74000</t>
  </si>
  <si>
    <t xml:space="preserve">Créateur, constructeur et promoteur d’immobilier plaisir, le Groupe VALLAT vous accompagne tout au long de votre projet immobilier. Maisons de prestige, appartements de caractère, lofts, villas et chalets sur-mesure.</t>
  </si>
  <si>
    <t>Arens</t>
  </si>
  <si>
    <t xml:space="preserve">Directrice générale Opérations Immobilières</t>
  </si>
  <si>
    <t>ka@vallat.fr</t>
  </si>
  <si>
    <t>http://www.linkedin.com/in/karine-arens-12384689</t>
  </si>
  <si>
    <t>Cantet</t>
  </si>
  <si>
    <t>SHEMA</t>
  </si>
  <si>
    <t>lcantet@shema.fr</t>
  </si>
  <si>
    <t>http://www.linkedin.com/in/lucile-cantet-shema</t>
  </si>
  <si>
    <t>https://shema.fr</t>
  </si>
  <si>
    <t xml:space="preserve">Société d’économie mixte d'aménagement normande, la SHEMA est un opérateur au service du développement économique et urbain des territoires, spécialisé dans l’aménagement, la réalisation d’équipements publics et l'immobilier d'entreprise. 58 collaborateurs, 140 opérations en cours, 70 M€ de CA.</t>
  </si>
  <si>
    <t>Marilyn</t>
  </si>
  <si>
    <t>Bourquin</t>
  </si>
  <si>
    <t xml:space="preserve">OPH EMERAUDE HABITATION</t>
  </si>
  <si>
    <t>m.bourquin@emeraude-habitation.fr</t>
  </si>
  <si>
    <t>http://www.linkedin.com/in/marilyn-bourquin-1974a8114</t>
  </si>
  <si>
    <t>https://emeraude-habitation.fr</t>
  </si>
  <si>
    <t xml:space="preserve">12 Avenue Jean Jaures, Saint-Malo, Bretagne, France, 35400</t>
  </si>
  <si>
    <t xml:space="preserve">Bailleur social du Pays de Saint-Malo, Emeraude Habitation propose des solutions immobilières pour répondre aux besoins des habitants du territoire.</t>
  </si>
  <si>
    <t>BSB</t>
  </si>
  <si>
    <t>marc.lelievre@bsb-lesfoyers.com</t>
  </si>
  <si>
    <t>http://www.linkedin.com/in/marc-lelievre-a863377a</t>
  </si>
  <si>
    <t>https://bsb-lesfoyers.com</t>
  </si>
  <si>
    <t xml:space="preserve">5 Rue de Vezin, Rennes, Brittany, France, 35000</t>
  </si>
  <si>
    <t xml:space="preserve">BSB-Les Foyers est présent sur l'ensemble du territoire breton. Il assure la construction et la gestion des logements sociaux allant de l'habitat familial</t>
  </si>
  <si>
    <t>Verrecchia</t>
  </si>
  <si>
    <t>marc.verrecchia@verrecchia.com</t>
  </si>
  <si>
    <t>http://www.linkedin.com/in/marc-verrecchia-20611594</t>
  </si>
  <si>
    <t>Antonini</t>
  </si>
  <si>
    <t xml:space="preserve">Directeur Général Adjoint au Développement</t>
  </si>
  <si>
    <t>n.antonini@verrecchia.com</t>
  </si>
  <si>
    <t>http://www.linkedin.com/in/nicolas-antonini-91006b27</t>
  </si>
  <si>
    <t>Faura</t>
  </si>
  <si>
    <t xml:space="preserve">Entrepreneur / Président</t>
  </si>
  <si>
    <t>o.faura@patriarca.fr</t>
  </si>
  <si>
    <t>http://www.linkedin.com/in/olivier-faura-abb41028</t>
  </si>
  <si>
    <t xml:space="preserve">MAYENNE HABITAT</t>
  </si>
  <si>
    <t>p.leroux@cummins.fr</t>
  </si>
  <si>
    <t>http://www.linkedin.com/in/patrick-leroux-157970137</t>
  </si>
  <si>
    <t>https://mayenne-habitat.fr</t>
  </si>
  <si>
    <t xml:space="preserve">10 Rue Auguste Beuneux, Laval, Pays de la Loire, France, 53000</t>
  </si>
  <si>
    <t xml:space="preserve">Principal bailleur social de la Mayenne, Mayenne Habitat a pour mission de proposer une offre immobilière de qualité (maison, appartement, pavillon).</t>
  </si>
  <si>
    <t>Aulert</t>
  </si>
  <si>
    <t>s.aulert@sagim.net</t>
  </si>
  <si>
    <t>http://www.linkedin.com/in/stephane-aulert-86755b55</t>
  </si>
  <si>
    <t>https://unlogementdanslorne.fr</t>
  </si>
  <si>
    <t xml:space="preserve">Cheffe de cabinet du Président</t>
  </si>
  <si>
    <t>s.pereira@verrecchia.com</t>
  </si>
  <si>
    <t>http://www.linkedin.com/in/st%c3%a9phanie-pereira-a5979925</t>
  </si>
  <si>
    <t>Ruisi</t>
  </si>
  <si>
    <t>1894-L'immobilier</t>
  </si>
  <si>
    <t>stephane.ruisi@1894-immo.com</t>
  </si>
  <si>
    <t>http://www.linkedin.com/in/stephane-ruisi-411305b1</t>
  </si>
  <si>
    <t>https://1894-immo.com</t>
  </si>
  <si>
    <t xml:space="preserve">6 Rue Louis Rege, Marseille, Provence-Alpes-Cote d'Azur, France, 13008</t>
  </si>
  <si>
    <t xml:space="preserve">Découvrez 1894-L'immobilier, votre agence à Marseille, Aix-en-Provence et La Ciotat. Achat, vente, location, gestion : un service complet pour vos projets immobiliers.</t>
  </si>
  <si>
    <t>Merat</t>
  </si>
  <si>
    <t xml:space="preserve">Directeur général par intérim</t>
  </si>
  <si>
    <t xml:space="preserve">Grand Bourg Habitat</t>
  </si>
  <si>
    <t>thierry.merat@bourg-habitat.com</t>
  </si>
  <si>
    <t>http://www.linkedin.com/in/thierrymerat</t>
  </si>
  <si>
    <t>https://bourg-habitat.com</t>
  </si>
  <si>
    <t xml:space="preserve">16 Avenue Maginot, Bourg-en-Bresse, Auvergne-Rhone-Alpes, France, 01000</t>
  </si>
  <si>
    <t xml:space="preserve">Premier bailleur du bassin de vie de Bourg-en-Bresse, Grand Bourg Habitat gère plus de 5600 logements implantés dans une vingtaine de communes du département de l’Ain</t>
  </si>
  <si>
    <t>Buffey</t>
  </si>
  <si>
    <t xml:space="preserve">Directrice administrative et financière - Secrétaire générale</t>
  </si>
  <si>
    <t xml:space="preserve">Rouen Habitat</t>
  </si>
  <si>
    <t>virginie.buffey@rouenhabitat.fr</t>
  </si>
  <si>
    <t>http://www.linkedin.com/in/virginie-buffey-6b60b9136</t>
  </si>
  <si>
    <t>https://rouenhabitat.fr</t>
  </si>
  <si>
    <t xml:space="preserve">5 Place du General de Gaulle, Rouen, Upper Normandy, France, 76000</t>
  </si>
  <si>
    <t xml:space="preserve">Retrouvez les dernières informations de l'habitat. Acteur majeur de l’habitat sur la Métropole Rouen Normandie</t>
  </si>
  <si>
    <t>Benhamou</t>
  </si>
  <si>
    <t xml:space="preserve">Directeur général - programme d'affiliation</t>
  </si>
  <si>
    <t>arthur.b@groupeverlaine.fr</t>
  </si>
  <si>
    <t>http://www.linkedin.com/in/arthurbenhamou</t>
  </si>
  <si>
    <t>https://groupeverlaine.com</t>
  </si>
  <si>
    <t xml:space="preserve">Un seul interlocuteur de bout en bout pour vous faciliter la vie : devis, pose, SAV, maintenance, aides de l’État.</t>
  </si>
  <si>
    <t>Delettre</t>
  </si>
  <si>
    <t xml:space="preserve">Promotelec Services</t>
  </si>
  <si>
    <t>florence.delettre@promotelec-services.com</t>
  </si>
  <si>
    <t>http://www.linkedin.com/in/florence-delettre-154a773</t>
  </si>
  <si>
    <t>https://promotelec-services.com</t>
  </si>
  <si>
    <t xml:space="preserve">5 Rue Chante-Coq, Puteaux, Ile-de-France, France, 92800</t>
  </si>
  <si>
    <t>Bigo</t>
  </si>
  <si>
    <t xml:space="preserve">IZI Solutions Renov</t>
  </si>
  <si>
    <t>jeremie.bigo@mychauffage.com</t>
  </si>
  <si>
    <t>http://www.linkedin.com/in/j%c3%a9r%c3%a9mie-bigo-674b3b121</t>
  </si>
  <si>
    <t>https://mychauffage.com</t>
  </si>
  <si>
    <t xml:space="preserve">182 Quai George V, Le Havre, Upper Normandy, France, 76600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</si>
</sst>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6">
    <font>
      <sz val="11.000000"/>
      <color theme="1"/>
      <name val="Calibri"/>
      <scheme val="minor"/>
    </font>
    <font>
      <sz val="11.000000"/>
      <color theme="0" tint="0"/>
      <name val="Calibri"/>
      <scheme val="minor"/>
    </font>
    <font>
      <color theme="0" tint="0"/>
      <name val="Calibri"/>
      <scheme val="minor"/>
    </font>
    <font>
      <color theme="1"/>
      <name val="Calibri"/>
      <scheme val="minor"/>
    </font>
    <font>
      <u/>
      <color indexed="4"/>
    </font>
    <font>
      <sz val="10.000000"/>
      <color theme="1"/>
      <name val="Calibri"/>
      <scheme val="minor"/>
    </font>
    <font>
      <color theme="1"/>
      <name val="Arial"/>
    </font>
    <font>
      <u/>
      <color rgb="FF1155CC"/>
      <name val="Arial"/>
    </font>
    <font>
      <u/>
      <color indexed="4"/>
      <name val="Arial"/>
    </font>
    <font>
      <color indexed="65"/>
      <name val="Calibri"/>
      <scheme val="minor"/>
    </font>
    <font>
      <sz val="11.000000"/>
      <color indexed="65"/>
      <name val="Calibri"/>
    </font>
    <font>
      <sz val="11.000000"/>
      <color theme="1"/>
      <name val="Calibri"/>
    </font>
    <font>
      <b/>
      <color indexed="65"/>
      <name val="Calibri"/>
      <scheme val="minor"/>
    </font>
    <font>
      <b/>
      <sz val="11.000000"/>
      <color indexed="65"/>
      <name val="Calibri"/>
    </font>
    <font>
      <color indexed="65"/>
      <name val="Arial"/>
      <scheme val="minor"/>
    </font>
    <font>
      <color theme="1"/>
      <name val="Arial"/>
      <scheme val="minor"/>
    </font>
  </fonts>
  <fills count="5">
    <fill>
      <patternFill patternType="none"/>
    </fill>
    <fill>
      <patternFill patternType="gray125"/>
    </fill>
    <fill>
      <patternFill patternType="solid">
        <fgColor theme="1" tint="0.049989318521683403"/>
        <bgColor theme="1" tint="0.049989318521683403"/>
      </patternFill>
    </fill>
    <fill>
      <patternFill patternType="solid"/>
    </fill>
    <fill>
      <patternFill patternType="solid">
        <fgColor indexed="64"/>
        <bgColor indexed="64"/>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19">
    <xf fontId="0" fillId="0" borderId="0" numFmtId="0" xfId="0"/>
    <xf fontId="1" fillId="2" borderId="0" numFmtId="0" xfId="0" applyFont="1" applyFill="1"/>
    <xf fontId="2" fillId="2" borderId="0" numFmtId="0" xfId="0" applyFont="1" applyFill="1"/>
    <xf fontId="1" fillId="2" borderId="0" numFmtId="0" xfId="0" applyFont="1" applyFill="1">
      <protection hidden="0" locked="1"/>
    </xf>
    <xf fontId="3" fillId="0" borderId="0" numFmtId="0" xfId="0" applyFont="1"/>
    <xf fontId="4" fillId="0" borderId="0" numFmtId="0" xfId="0" applyFont="1"/>
    <xf fontId="0" fillId="0" borderId="0" numFmtId="0" xfId="0">
      <protection hidden="0" locked="1"/>
    </xf>
    <xf fontId="5" fillId="0" borderId="0" numFmtId="0" xfId="0" applyFont="1">
      <protection hidden="0" locked="1"/>
    </xf>
    <xf fontId="6" fillId="0" borderId="0" numFmtId="0" xfId="0" applyFont="1"/>
    <xf fontId="6" fillId="0" borderId="0" numFmtId="0" xfId="0" applyFont="1" applyAlignment="1">
      <alignment horizontal="right"/>
    </xf>
    <xf fontId="7" fillId="0" borderId="0" numFmtId="0" xfId="0" applyFont="1"/>
    <xf fontId="8" fillId="0" borderId="0" numFmtId="0" xfId="0" applyFont="1"/>
    <xf fontId="9" fillId="3" borderId="0" numFmtId="0" xfId="0" applyFont="1" applyFill="1"/>
    <xf fontId="10" fillId="3" borderId="0" numFmtId="0" xfId="0" applyFont="1" applyFill="1"/>
    <xf fontId="11" fillId="0" borderId="0" numFmtId="0" xfId="0" applyFont="1"/>
    <xf fontId="12" fillId="3" borderId="0" numFmtId="0" xfId="0" applyFont="1" applyFill="1"/>
    <xf fontId="13" fillId="3" borderId="0" numFmtId="0" xfId="0" applyFont="1" applyFill="1"/>
    <xf fontId="14" fillId="4" borderId="0" numFmtId="0" xfId="0" applyFont="1" applyFill="1"/>
    <xf fontId="15"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www.linkedin.com/in/thomas-pruneyrac-81015a63" TargetMode="External"/><Relationship  Id="rId10" Type="http://schemas.openxmlformats.org/officeDocument/2006/relationships/hyperlink" Target="http://www.hudi.fr" TargetMode="External"/><Relationship  Id="rId100" Type="http://schemas.openxmlformats.org/officeDocument/2006/relationships/hyperlink" Target="http://www.linkedin.com/in/sol%c3%a8ne-conraux-825507140" TargetMode="External"/><Relationship  Id="rId1000" Type="http://schemas.openxmlformats.org/officeDocument/2006/relationships/hyperlink" Target="http://www.linkedin.com/in/pbernard1" TargetMode="External"/><Relationship  Id="rId10000" Type="http://schemas.openxmlformats.org/officeDocument/2006/relationships/hyperlink" Target="http://www.linkedin.com/in/expathealthinsurance" TargetMode="External"/><Relationship  Id="rId10001" Type="http://schemas.openxmlformats.org/officeDocument/2006/relationships/hyperlink" Target="http://www.aoc-insurancebroker.com" TargetMode="External"/><Relationship  Id="rId10002" Type="http://schemas.openxmlformats.org/officeDocument/2006/relationships/hyperlink" Target="http://www.linkedin.com/in/pascal-joulin-4854a750" TargetMode="External"/><Relationship  Id="rId10003" Type="http://schemas.openxmlformats.org/officeDocument/2006/relationships/hyperlink" Target="http://www.linkedin.com/in/hugopochet" TargetMode="External"/><Relationship  Id="rId10004" Type="http://schemas.openxmlformats.org/officeDocument/2006/relationships/hyperlink" Target="http://www.qivio.fr" TargetMode="External"/><Relationship  Id="rId10005" Type="http://schemas.openxmlformats.org/officeDocument/2006/relationships/hyperlink" Target="http://www.linkedin.com/in/raphael-reiter-19970526" TargetMode="External"/><Relationship  Id="rId10006" Type="http://schemas.openxmlformats.org/officeDocument/2006/relationships/hyperlink" Target="http://www.international-sante.com" TargetMode="External"/><Relationship  Id="rId10007" Type="http://schemas.openxmlformats.org/officeDocument/2006/relationships/hyperlink" Target="http://www.linkedin.com/in/stephane-demuth-a9a019244" TargetMode="External"/><Relationship  Id="rId10008" Type="http://schemas.openxmlformats.org/officeDocument/2006/relationships/hyperlink" Target="http://www.muta-sante.fr" TargetMode="External"/><Relationship  Id="rId10009" Type="http://schemas.openxmlformats.org/officeDocument/2006/relationships/hyperlink" Target="http://www.linkedin.com/in/youssefkanouni" TargetMode="External"/><Relationship  Id="rId1001" Type="http://schemas.openxmlformats.org/officeDocument/2006/relationships/hyperlink" Target="http://www.inauris.fr" TargetMode="External"/><Relationship  Id="rId10010" Type="http://schemas.openxmlformats.org/officeDocument/2006/relationships/hyperlink" Target="http://kanonik.fr" TargetMode="External"/><Relationship  Id="rId10011" Type="http://schemas.openxmlformats.org/officeDocument/2006/relationships/hyperlink" Target="http://www.linkedin.com/in/eric-lamouret-8310b419" TargetMode="External"/><Relationship  Id="rId10012" Type="http://schemas.openxmlformats.org/officeDocument/2006/relationships/hyperlink" Target="http://www.atrias-pro.fr" TargetMode="External"/><Relationship  Id="rId10013" Type="http://schemas.openxmlformats.org/officeDocument/2006/relationships/hyperlink" Target="http://www.linkedin.com/in/raphaeljabol" TargetMode="External"/><Relationship  Id="rId10014" Type="http://schemas.openxmlformats.org/officeDocument/2006/relationships/hyperlink" Target="http://www.ekie.co" TargetMode="External"/><Relationship  Id="rId10015" Type="http://schemas.openxmlformats.org/officeDocument/2006/relationships/hyperlink" Target="http://www.linkedin.com/in/benoit-salembier-b461254b" TargetMode="External"/><Relationship  Id="rId10016" Type="http://schemas.openxmlformats.org/officeDocument/2006/relationships/hyperlink" Target="http://www.add-value.fr" TargetMode="External"/><Relationship  Id="rId10017" Type="http://schemas.openxmlformats.org/officeDocument/2006/relationships/hyperlink" Target="http://www.linkedin.com/in/muriel-limberg%c3%a8re-a4305250" TargetMode="External"/><Relationship  Id="rId10018" Type="http://schemas.openxmlformats.org/officeDocument/2006/relationships/hyperlink" Target="http://www.assurpol.fr" TargetMode="External"/><Relationship  Id="rId10019" Type="http://schemas.openxmlformats.org/officeDocument/2006/relationships/hyperlink" Target="http://www.linkedin.com/in/christophe-hautbourg-04552425" TargetMode="External"/><Relationship  Id="rId1002" Type="http://schemas.openxmlformats.org/officeDocument/2006/relationships/hyperlink" Target="http://www.linkedin.com/in/david-zhu-793263219" TargetMode="External"/><Relationship  Id="rId10020" Type="http://schemas.openxmlformats.org/officeDocument/2006/relationships/hyperlink" Target="http://www.planetecsca.fr" TargetMode="External"/><Relationship  Id="rId10021" Type="http://schemas.openxmlformats.org/officeDocument/2006/relationships/hyperlink" Target="http://www.linkedin.com/in/c%c3%a9dric-legros-3553aa18a" TargetMode="External"/><Relationship  Id="rId10022" Type="http://schemas.openxmlformats.org/officeDocument/2006/relationships/hyperlink" Target="http://www.math-prevaris.com" TargetMode="External"/><Relationship  Id="rId10023" Type="http://schemas.openxmlformats.org/officeDocument/2006/relationships/hyperlink" Target="http://www.linkedin.com/in/agn%c3%a8s-quenet-3b697996" TargetMode="External"/><Relationship  Id="rId10024" Type="http://schemas.openxmlformats.org/officeDocument/2006/relationships/hyperlink" Target="http://www.linkedin.com/in/mikael-uzan-a450081" TargetMode="External"/><Relationship  Id="rId10025" Type="http://schemas.openxmlformats.org/officeDocument/2006/relationships/hyperlink" Target="http://www.wemind.io" TargetMode="External"/><Relationship  Id="rId10026" Type="http://schemas.openxmlformats.org/officeDocument/2006/relationships/hyperlink" Target="http://www.linkedin.com/in/adriencombe" TargetMode="External"/><Relationship  Id="rId10027" Type="http://schemas.openxmlformats.org/officeDocument/2006/relationships/hyperlink" Target="http://www.linkedin.com/in/hugo-saias-39331549" TargetMode="External"/><Relationship  Id="rId10028" Type="http://schemas.openxmlformats.org/officeDocument/2006/relationships/hyperlink" Target="http://www.linkedin.com/in/archegolem" TargetMode="External"/><Relationship  Id="rId10029" Type="http://schemas.openxmlformats.org/officeDocument/2006/relationships/hyperlink" Target="http://www.linkedin.com/in/laurent-duray-921b9391" TargetMode="External"/><Relationship  Id="rId1003" Type="http://schemas.openxmlformats.org/officeDocument/2006/relationships/hyperlink" Target="http://www.pokeshopparis.fr" TargetMode="External"/><Relationship  Id="rId10030" Type="http://schemas.openxmlformats.org/officeDocument/2006/relationships/hyperlink" Target="http://www.legalim.co.uk" TargetMode="External"/><Relationship  Id="rId10031" Type="http://schemas.openxmlformats.org/officeDocument/2006/relationships/hyperlink" Target="http://www.linkedin.com/in/patrice-guizard-37257745" TargetMode="External"/><Relationship  Id="rId10032" Type="http://schemas.openxmlformats.org/officeDocument/2006/relationships/hyperlink" Target="http://www.cetri.fr" TargetMode="External"/><Relationship  Id="rId10033" Type="http://schemas.openxmlformats.org/officeDocument/2006/relationships/hyperlink" Target="http://www.linkedin.com/in/joy-de-vivies-229ba9114" TargetMode="External"/><Relationship  Id="rId10034" Type="http://schemas.openxmlformats.org/officeDocument/2006/relationships/hyperlink" Target="http://www.linkedin.com/in/eric-fontaine-4b036016" TargetMode="External"/><Relationship  Id="rId10035" Type="http://schemas.openxmlformats.org/officeDocument/2006/relationships/hyperlink" Target="http://www.assurfin.fr" TargetMode="External"/><Relationship  Id="rId10036" Type="http://schemas.openxmlformats.org/officeDocument/2006/relationships/hyperlink" Target="http://www.linkedin.com/in/luc-de-seigneurens-6a4152" TargetMode="External"/><Relationship  Id="rId10037" Type="http://schemas.openxmlformats.org/officeDocument/2006/relationships/hyperlink" Target="http://www.mutlog.fr" TargetMode="External"/><Relationship  Id="rId10038" Type="http://schemas.openxmlformats.org/officeDocument/2006/relationships/hyperlink" Target="http://www.linkedin.com/in/anne-claude-pont-000a1a4" TargetMode="External"/><Relationship  Id="rId10039" Type="http://schemas.openxmlformats.org/officeDocument/2006/relationships/hyperlink" Target="http://www.wilov.com" TargetMode="External"/><Relationship  Id="rId1004" Type="http://schemas.openxmlformats.org/officeDocument/2006/relationships/hyperlink" Target="http://www.linkedin.com/in/pierre-brechard-25349180" TargetMode="External"/><Relationship  Id="rId10040" Type="http://schemas.openxmlformats.org/officeDocument/2006/relationships/hyperlink" Target="http://www.linkedin.com/in/julien-makhzoum-229b779b" TargetMode="External"/><Relationship  Id="rId10041" Type="http://schemas.openxmlformats.org/officeDocument/2006/relationships/hyperlink" Target="http://www.azuria-courtage.fr" TargetMode="External"/><Relationship  Id="rId10042" Type="http://schemas.openxmlformats.org/officeDocument/2006/relationships/hyperlink" Target="http://www.linkedin.com/in/maxime-gleise-7241629a" TargetMode="External"/><Relationship  Id="rId10043" Type="http://schemas.openxmlformats.org/officeDocument/2006/relationships/hyperlink" Target="http://www.linkedin.com/in/jean-christophe-lerouge" TargetMode="External"/><Relationship  Id="rId10044" Type="http://schemas.openxmlformats.org/officeDocument/2006/relationships/hyperlink" Target="http://www.as-solutions.fr" TargetMode="External"/><Relationship  Id="rId10045" Type="http://schemas.openxmlformats.org/officeDocument/2006/relationships/hyperlink" Target="http://www.linkedin.com/in/emile-sautet-484a2b127" TargetMode="External"/><Relationship  Id="rId10046" Type="http://schemas.openxmlformats.org/officeDocument/2006/relationships/hyperlink" Target="http://www.linkedin.com/in/delphine-sibony-33310782" TargetMode="External"/><Relationship  Id="rId10047" Type="http://schemas.openxmlformats.org/officeDocument/2006/relationships/hyperlink" Target="http://www.nevidis.fr" TargetMode="External"/><Relationship  Id="rId10048" Type="http://schemas.openxmlformats.org/officeDocument/2006/relationships/hyperlink" Target="http://www.linkedin.com/in/kais-ben-henia" TargetMode="External"/><Relationship  Id="rId10049" Type="http://schemas.openxmlformats.org/officeDocument/2006/relationships/hyperlink" Target="http://www.actuaires-associes.com" TargetMode="External"/><Relationship  Id="rId1005" Type="http://schemas.openxmlformats.org/officeDocument/2006/relationships/hyperlink" Target="http://www.noemys.fr" TargetMode="External"/><Relationship  Id="rId10050" Type="http://schemas.openxmlformats.org/officeDocument/2006/relationships/hyperlink" Target="http://www.linkedin.com/in/pstanislas" TargetMode="External"/><Relationship  Id="rId10051" Type="http://schemas.openxmlformats.org/officeDocument/2006/relationships/hyperlink" Target="http://www.linkedin.com/in/emmanuelyvespierron" TargetMode="External"/><Relationship  Id="rId10052" Type="http://schemas.openxmlformats.org/officeDocument/2006/relationships/hyperlink" Target="http://www.datafolio.com" TargetMode="External"/><Relationship  Id="rId10053" Type="http://schemas.openxmlformats.org/officeDocument/2006/relationships/hyperlink" Target="http://www.linkedin.com/in/vincent-dupont-52934571" TargetMode="External"/><Relationship  Id="rId10054" Type="http://schemas.openxmlformats.org/officeDocument/2006/relationships/hyperlink" Target="http://www.accessante.fr" TargetMode="External"/><Relationship  Id="rId10055" Type="http://schemas.openxmlformats.org/officeDocument/2006/relationships/hyperlink" Target="http://www.linkedin.com/in/henry-hamelin-738291100" TargetMode="External"/><Relationship  Id="rId10056" Type="http://schemas.openxmlformats.org/officeDocument/2006/relationships/hyperlink" Target="http://www.youfirst-assurances.fr" TargetMode="External"/><Relationship  Id="rId10057" Type="http://schemas.openxmlformats.org/officeDocument/2006/relationships/hyperlink" Target="http://www.linkedin.com/in/marc-pinoche-a0817145" TargetMode="External"/><Relationship  Id="rId10058" Type="http://schemas.openxmlformats.org/officeDocument/2006/relationships/hyperlink" Target="http://www.patrimone.com" TargetMode="External"/><Relationship  Id="rId10059" Type="http://schemas.openxmlformats.org/officeDocument/2006/relationships/hyperlink" Target="http://www.linkedin.com/in/mario-ugljesic-96849610" TargetMode="External"/><Relationship  Id="rId1006" Type="http://schemas.openxmlformats.org/officeDocument/2006/relationships/hyperlink" Target="http://www.linkedin.com/in/v%c3%a9ronique-vidoni-a35627179" TargetMode="External"/><Relationship  Id="rId10060" Type="http://schemas.openxmlformats.org/officeDocument/2006/relationships/hyperlink" Target="http://www.mnspf.fr" TargetMode="External"/><Relationship  Id="rId10061" Type="http://schemas.openxmlformats.org/officeDocument/2006/relationships/hyperlink" Target="http://www.linkedin.com/in/fabien-cazes-380a4869" TargetMode="External"/><Relationship  Id="rId10062" Type="http://schemas.openxmlformats.org/officeDocument/2006/relationships/hyperlink" Target="http://www.linkedin.com/in/hajer-gorgi" TargetMode="External"/><Relationship  Id="rId10063" Type="http://schemas.openxmlformats.org/officeDocument/2006/relationships/hyperlink" Target="http://www.flitter.fr" TargetMode="External"/><Relationship  Id="rId10064" Type="http://schemas.openxmlformats.org/officeDocument/2006/relationships/hyperlink" Target="http://www.linkedin.com/in/arnaud-dumora-ab74b3a5" TargetMode="External"/><Relationship  Id="rId10065" Type="http://schemas.openxmlformats.org/officeDocument/2006/relationships/hyperlink" Target="http://www.linkedin.com/in/jacky-dufourcq-86447789" TargetMode="External"/><Relationship  Id="rId10066" Type="http://schemas.openxmlformats.org/officeDocument/2006/relationships/hyperlink" Target="http://www.linkedin.com/in/geraldine-richshoffer" TargetMode="External"/><Relationship  Id="rId10067" Type="http://schemas.openxmlformats.org/officeDocument/2006/relationships/hyperlink" Target="http://www.pegase-insurance.com" TargetMode="External"/><Relationship  Id="rId10068" Type="http://schemas.openxmlformats.org/officeDocument/2006/relationships/hyperlink" Target="http://www.linkedin.com/in/nadia-kalah-a5225083" TargetMode="External"/><Relationship  Id="rId10069" Type="http://schemas.openxmlformats.org/officeDocument/2006/relationships/hyperlink" Target="http://www.avenirprevoyance.com" TargetMode="External"/><Relationship  Id="rId1007" Type="http://schemas.openxmlformats.org/officeDocument/2006/relationships/hyperlink" Target="http://www.fahrenheitseven.com" TargetMode="External"/><Relationship  Id="rId10070" Type="http://schemas.openxmlformats.org/officeDocument/2006/relationships/hyperlink" Target="http://www.linkedin.com/in/sabine-staehly-455242178" TargetMode="External"/><Relationship  Id="rId10071" Type="http://schemas.openxmlformats.org/officeDocument/2006/relationships/hyperlink" Target="http://www.mc-alsace.fr" TargetMode="External"/><Relationship  Id="rId10072" Type="http://schemas.openxmlformats.org/officeDocument/2006/relationships/hyperlink" Target="http://www.linkedin.com/in/benoitasser" TargetMode="External"/><Relationship  Id="rId10073" Type="http://schemas.openxmlformats.org/officeDocument/2006/relationships/hyperlink" Target="http://www.zensa.lu" TargetMode="External"/><Relationship  Id="rId10074" Type="http://schemas.openxmlformats.org/officeDocument/2006/relationships/hyperlink" Target="http://www.linkedin.com/in/olivier-descamps-2a945838" TargetMode="External"/><Relationship  Id="rId10075" Type="http://schemas.openxmlformats.org/officeDocument/2006/relationships/hyperlink" Target="http://www.diot-immobilier.com" TargetMode="External"/><Relationship  Id="rId10076" Type="http://schemas.openxmlformats.org/officeDocument/2006/relationships/hyperlink" Target="http://www.linkedin.com/in/bernard-albenois-38a389a0" TargetMode="External"/><Relationship  Id="rId10077" Type="http://schemas.openxmlformats.org/officeDocument/2006/relationships/hyperlink" Target="http://www.auxilia-courtage.fr" TargetMode="External"/><Relationship  Id="rId10078" Type="http://schemas.openxmlformats.org/officeDocument/2006/relationships/hyperlink" Target="http://www.linkedin.com/in/julien-fillaud" TargetMode="External"/><Relationship  Id="rId10079" Type="http://schemas.openxmlformats.org/officeDocument/2006/relationships/hyperlink" Target="http://www.comparadise.com" TargetMode="External"/><Relationship  Id="rId1008" Type="http://schemas.openxmlformats.org/officeDocument/2006/relationships/hyperlink" Target="http://www.linkedin.com/in/alexandre-giesbert-65519135" TargetMode="External"/><Relationship  Id="rId10080" Type="http://schemas.openxmlformats.org/officeDocument/2006/relationships/hyperlink" Target="http://www.linkedin.com/in/ian-zieleskiewicz-2a719089" TargetMode="External"/><Relationship  Id="rId10081" Type="http://schemas.openxmlformats.org/officeDocument/2006/relationships/hyperlink" Target="http://www.lbcassocies.fr" TargetMode="External"/><Relationship  Id="rId10082" Type="http://schemas.openxmlformats.org/officeDocument/2006/relationships/hyperlink" Target="http://www.linkedin.com/in/stephanedebair" TargetMode="External"/><Relationship  Id="rId10083" Type="http://schemas.openxmlformats.org/officeDocument/2006/relationships/hyperlink" Target="http://www.selexium.com" TargetMode="External"/><Relationship  Id="rId10084" Type="http://schemas.openxmlformats.org/officeDocument/2006/relationships/hyperlink" Target="http://www.linkedin.com/in/cousinhub" TargetMode="External"/><Relationship  Id="rId10085" Type="http://schemas.openxmlformats.org/officeDocument/2006/relationships/hyperlink" Target="http://www.linkedin.com/in/marionmattei" TargetMode="External"/><Relationship  Id="rId10086" Type="http://schemas.openxmlformats.org/officeDocument/2006/relationships/hyperlink" Target="http://www.linkedin.com/in/michel-clerc-13725b1b" TargetMode="External"/><Relationship  Id="rId10087" Type="http://schemas.openxmlformats.org/officeDocument/2006/relationships/hyperlink" Target="http://www.mutuelle-medicis.com" TargetMode="External"/><Relationship  Id="rId10088" Type="http://schemas.openxmlformats.org/officeDocument/2006/relationships/hyperlink" Target="http://www.linkedin.com/in/frizon-cyril-3a261046" TargetMode="External"/><Relationship  Id="rId10089" Type="http://schemas.openxmlformats.org/officeDocument/2006/relationships/hyperlink" Target="http://www.mutuelle-msp.fr" TargetMode="External"/><Relationship  Id="rId1009" Type="http://schemas.openxmlformats.org/officeDocument/2006/relationships/hyperlink" Target="http://www.daroco.com" TargetMode="External"/><Relationship  Id="rId10090" Type="http://schemas.openxmlformats.org/officeDocument/2006/relationships/hyperlink" Target="http://www.linkedin.com/in/st%c3%a9phane-rapin%c3%a9-044b322b" TargetMode="External"/><Relationship  Id="rId10091" Type="http://schemas.openxmlformats.org/officeDocument/2006/relationships/hyperlink" Target="http://www.assercar.fr" TargetMode="External"/><Relationship  Id="rId10092" Type="http://schemas.openxmlformats.org/officeDocument/2006/relationships/hyperlink" Target="http://elyos.io" TargetMode="External"/><Relationship  Id="rId10093" Type="http://schemas.openxmlformats.org/officeDocument/2006/relationships/hyperlink" Target="http://www.linkedin.com/in/kevin-koubi-6aa515152" TargetMode="External"/><Relationship  Id="rId10094" Type="http://schemas.openxmlformats.org/officeDocument/2006/relationships/hyperlink" Target="http://www.elyos.io" TargetMode="External"/><Relationship  Id="rId10095" Type="http://schemas.openxmlformats.org/officeDocument/2006/relationships/hyperlink" Target="http://www.linkedin.com/in/vincent-cordier-70b550101" TargetMode="External"/><Relationship  Id="rId10096" Type="http://schemas.openxmlformats.org/officeDocument/2006/relationships/hyperlink" Target="http://www.linkedin.com/in/afif-nefikha" TargetMode="External"/><Relationship  Id="rId10097" Type="http://schemas.openxmlformats.org/officeDocument/2006/relationships/hyperlink" Target="http://www.actiprev.com" TargetMode="External"/><Relationship  Id="rId10098" Type="http://schemas.openxmlformats.org/officeDocument/2006/relationships/hyperlink" Target="http://www.linkedin.com/in/fguemara" TargetMode="External"/><Relationship  Id="rId10099" Type="http://schemas.openxmlformats.org/officeDocument/2006/relationships/hyperlink" Target="http://www.assur3d.com" TargetMode="External"/><Relationship  Id="rId101" Type="http://schemas.openxmlformats.org/officeDocument/2006/relationships/hyperlink" Target="http://www.labutte.fr" TargetMode="External"/><Relationship  Id="rId1010" Type="http://schemas.openxmlformats.org/officeDocument/2006/relationships/hyperlink" Target="http://www.linkedin.com/in/eric-tarare-a6a2a472" TargetMode="External"/><Relationship  Id="rId10100" Type="http://schemas.openxmlformats.org/officeDocument/2006/relationships/hyperlink" Target="http://www.linkedin.com/in/mathieu-beal-949789143" TargetMode="External"/><Relationship  Id="rId10101" Type="http://schemas.openxmlformats.org/officeDocument/2006/relationships/hyperlink" Target="http://www.mutuelle-gsmc.fr" TargetMode="External"/><Relationship  Id="rId10102" Type="http://schemas.openxmlformats.org/officeDocument/2006/relationships/hyperlink" Target="http://www.linkedin.com/in/philippe-herve-blouin-673a1a55" TargetMode="External"/><Relationship  Id="rId10103" Type="http://schemas.openxmlformats.org/officeDocument/2006/relationships/hyperlink" Target="http://www.flandre-assurances.fr" TargetMode="External"/><Relationship  Id="rId10104" Type="http://schemas.openxmlformats.org/officeDocument/2006/relationships/hyperlink" Target="http://wedou.fr" TargetMode="External"/><Relationship  Id="rId10105" Type="http://schemas.openxmlformats.org/officeDocument/2006/relationships/hyperlink" Target="http://www.linkedin.com/in/patrick-bacchetta" TargetMode="External"/><Relationship  Id="rId10106" Type="http://schemas.openxmlformats.org/officeDocument/2006/relationships/hyperlink" Target="http://www.wedou.fr" TargetMode="External"/><Relationship  Id="rId10107" Type="http://schemas.openxmlformats.org/officeDocument/2006/relationships/hyperlink" Target="http://www.linkedin.com/in/stanislassoulie" TargetMode="External"/><Relationship  Id="rId10108" Type="http://schemas.openxmlformats.org/officeDocument/2006/relationships/hyperlink" Target="http://www.linkedin.com/in/gergana-guberova-49a5aa8a" TargetMode="External"/><Relationship  Id="rId10109" Type="http://schemas.openxmlformats.org/officeDocument/2006/relationships/hyperlink" Target="http://www.linkedin.com/in/hugues-chavrier-46533729" TargetMode="External"/><Relationship  Id="rId1011" Type="http://schemas.openxmlformats.org/officeDocument/2006/relationships/hyperlink" Target="http://www.yatta-ramen.com" TargetMode="External"/><Relationship  Id="rId10110" Type="http://schemas.openxmlformats.org/officeDocument/2006/relationships/hyperlink" Target="http://www.assursafe.fr" TargetMode="External"/><Relationship  Id="rId10111" Type="http://schemas.openxmlformats.org/officeDocument/2006/relationships/hyperlink" Target="http://www.linkedin.com/in/fr%c3%a9d%c3%a9ric-guez-assurea" TargetMode="External"/><Relationship  Id="rId10112" Type="http://schemas.openxmlformats.org/officeDocument/2006/relationships/hyperlink" Target="http://www.assurea.fr" TargetMode="External"/><Relationship  Id="rId10113" Type="http://schemas.openxmlformats.org/officeDocument/2006/relationships/hyperlink" Target="http://www.linkedin.com/in/pierre-yves-baste-9168a469" TargetMode="External"/><Relationship  Id="rId10114" Type="http://schemas.openxmlformats.org/officeDocument/2006/relationships/hyperlink" Target="http://www.linkedin.com/in/berengere-vachez-752328164" TargetMode="External"/><Relationship  Id="rId10115" Type="http://schemas.openxmlformats.org/officeDocument/2006/relationships/hyperlink" Target="http://www.linkedin.com/in/francoisdargence" TargetMode="External"/><Relationship  Id="rId10116" Type="http://schemas.openxmlformats.org/officeDocument/2006/relationships/hyperlink" Target="http://www.sinalys.com" TargetMode="External"/><Relationship  Id="rId10117" Type="http://schemas.openxmlformats.org/officeDocument/2006/relationships/hyperlink" Target="http://www.linkedin.com/in/gourd%c3%a8s-pierre-yves" TargetMode="External"/><Relationship  Id="rId10118" Type="http://schemas.openxmlformats.org/officeDocument/2006/relationships/hyperlink" Target="http://www.ulygo.fr" TargetMode="External"/><Relationship  Id="rId10119" Type="http://schemas.openxmlformats.org/officeDocument/2006/relationships/hyperlink" Target="http://www.linkedin.com/in/francoismontenay" TargetMode="External"/><Relationship  Id="rId1012" Type="http://schemas.openxmlformats.org/officeDocument/2006/relationships/hyperlink" Target="http://www.linkedin.com/in/jean-jacques-maignan-ba112964" TargetMode="External"/><Relationship  Id="rId10120" Type="http://schemas.openxmlformats.org/officeDocument/2006/relationships/hyperlink" Target="http://www.antevis.com" TargetMode="External"/><Relationship  Id="rId10121" Type="http://schemas.openxmlformats.org/officeDocument/2006/relationships/hyperlink" Target="http://www.linkedin.com/in/herve-wery-a0a89519" TargetMode="External"/><Relationship  Id="rId10122" Type="http://schemas.openxmlformats.org/officeDocument/2006/relationships/hyperlink" Target="http://www.mutuelle-entrenous.fr" TargetMode="External"/><Relationship  Id="rId10123" Type="http://schemas.openxmlformats.org/officeDocument/2006/relationships/hyperlink" Target="http://www.linkedin.com/in/guillaume-waltzer-176098252" TargetMode="External"/><Relationship  Id="rId10124" Type="http://schemas.openxmlformats.org/officeDocument/2006/relationships/hyperlink" Target="http://www.mavim.fr" TargetMode="External"/><Relationship  Id="rId10125" Type="http://schemas.openxmlformats.org/officeDocument/2006/relationships/hyperlink" Target="http://www.linkedin.com/in/ronny-sebag-3773a361" TargetMode="External"/><Relationship  Id="rId10126" Type="http://schemas.openxmlformats.org/officeDocument/2006/relationships/hyperlink" Target="http://www.ediifice.com" TargetMode="External"/><Relationship  Id="rId10127" Type="http://schemas.openxmlformats.org/officeDocument/2006/relationships/hyperlink" Target="http://www.linkedin.com/in/eric-gaudinot-5a011947" TargetMode="External"/><Relationship  Id="rId10128" Type="http://schemas.openxmlformats.org/officeDocument/2006/relationships/hyperlink" Target="http://www.claisy.com" TargetMode="External"/><Relationship  Id="rId10129" Type="http://schemas.openxmlformats.org/officeDocument/2006/relationships/hyperlink" Target="http://www.linkedin.com/in/styve-tchachuang-89b349bb" TargetMode="External"/><Relationship  Id="rId1013" Type="http://schemas.openxmlformats.org/officeDocument/2006/relationships/hyperlink" Target="http://www.domainedesthomeaux.fr" TargetMode="External"/><Relationship  Id="rId10130" Type="http://schemas.openxmlformats.org/officeDocument/2006/relationships/hyperlink" Target="http://www.diaspoassur.com" TargetMode="External"/><Relationship  Id="rId10131" Type="http://schemas.openxmlformats.org/officeDocument/2006/relationships/hyperlink" Target="http://www.linkedin.com/in/bourret-pierre-660309" TargetMode="External"/><Relationship  Id="rId10132" Type="http://schemas.openxmlformats.org/officeDocument/2006/relationships/hyperlink" Target="http://www.yupwego.com" TargetMode="External"/><Relationship  Id="rId10133" Type="http://schemas.openxmlformats.org/officeDocument/2006/relationships/hyperlink" Target="http://www.linkedin.com/in/antoinesinton" TargetMode="External"/><Relationship  Id="rId10134" Type="http://schemas.openxmlformats.org/officeDocument/2006/relationships/hyperlink" Target="http://www.linkedin.com/in/j%c3%a9r%c3%a9my-belfodil-47396875" TargetMode="External"/><Relationship  Id="rId10135" Type="http://schemas.openxmlformats.org/officeDocument/2006/relationships/hyperlink" Target="http://www.brokoliapp.com" TargetMode="External"/><Relationship  Id="rId10136" Type="http://schemas.openxmlformats.org/officeDocument/2006/relationships/hyperlink" Target="http://www.linkedin.com/in/carassodavid" TargetMode="External"/><Relationship  Id="rId10137" Type="http://schemas.openxmlformats.org/officeDocument/2006/relationships/hyperlink" Target="http://www.assurup.com" TargetMode="External"/><Relationship  Id="rId10138" Type="http://schemas.openxmlformats.org/officeDocument/2006/relationships/hyperlink" Target="http://segurta.tn" TargetMode="External"/><Relationship  Id="rId10139" Type="http://schemas.openxmlformats.org/officeDocument/2006/relationships/hyperlink" Target="http://www.linkedin.com/in/mohamed-ferjani-7a8461155" TargetMode="External"/><Relationship  Id="rId1014" Type="http://schemas.openxmlformats.org/officeDocument/2006/relationships/hyperlink" Target="http://www.linkedin.com/in/psmekens" TargetMode="External"/><Relationship  Id="rId10140" Type="http://schemas.openxmlformats.org/officeDocument/2006/relationships/hyperlink" Target="http://www.segurta.tn" TargetMode="External"/><Relationship  Id="rId10141" Type="http://schemas.openxmlformats.org/officeDocument/2006/relationships/hyperlink" Target="http://www.linkedin.com/in/quentin-roy-65862315a" TargetMode="External"/><Relationship  Id="rId10142" Type="http://schemas.openxmlformats.org/officeDocument/2006/relationships/hyperlink" Target="http://www.grace.io" TargetMode="External"/><Relationship  Id="rId10143" Type="http://schemas.openxmlformats.org/officeDocument/2006/relationships/hyperlink" Target="http://www.linkedin.com/in/willie-lekeufack-632a6ba5" TargetMode="External"/><Relationship  Id="rId10144" Type="http://schemas.openxmlformats.org/officeDocument/2006/relationships/hyperlink" Target="http://www.good-data.fr" TargetMode="External"/><Relationship  Id="rId10145" Type="http://schemas.openxmlformats.org/officeDocument/2006/relationships/hyperlink" Target="http://www.linkedin.com/in/emmanuel-zenou" TargetMode="External"/><Relationship  Id="rId10146" Type="http://schemas.openxmlformats.org/officeDocument/2006/relationships/hyperlink" Target="http://www.vytor.fr" TargetMode="External"/><Relationship  Id="rId10147" Type="http://schemas.openxmlformats.org/officeDocument/2006/relationships/hyperlink" Target="http://www.linkedin.com/in/bernard-finas-2aa9b018" TargetMode="External"/><Relationship  Id="rId10148" Type="http://schemas.openxmlformats.org/officeDocument/2006/relationships/hyperlink" Target="http://www.jolasolutions.com" TargetMode="External"/><Relationship  Id="rId10149" Type="http://schemas.openxmlformats.org/officeDocument/2006/relationships/hyperlink" Target="http://www.linkedin.com/in/pierre-mouilhade-44412331" TargetMode="External"/><Relationship  Id="rId1015" Type="http://schemas.openxmlformats.org/officeDocument/2006/relationships/hyperlink" Target="http://www.faernresorts.com" TargetMode="External"/><Relationship  Id="rId10150" Type="http://schemas.openxmlformats.org/officeDocument/2006/relationships/hyperlink" Target="http://www.inspart.eu" TargetMode="External"/><Relationship  Id="rId10151" Type="http://schemas.openxmlformats.org/officeDocument/2006/relationships/hyperlink" Target="http://www.linkedin.com/in/aur%c3%a9lien-le-bail-b9276418" TargetMode="External"/><Relationship  Id="rId10152" Type="http://schemas.openxmlformats.org/officeDocument/2006/relationships/hyperlink" Target="http://www.arsolutions.fr" TargetMode="External"/><Relationship  Id="rId10153" Type="http://schemas.openxmlformats.org/officeDocument/2006/relationships/hyperlink" Target="http://www.linkedin.com/in/jean-philippe-monnatte-36500b42" TargetMode="External"/><Relationship  Id="rId10154" Type="http://schemas.openxmlformats.org/officeDocument/2006/relationships/hyperlink" Target="http://www.acprevention.fr" TargetMode="External"/><Relationship  Id="rId10155" Type="http://schemas.openxmlformats.org/officeDocument/2006/relationships/hyperlink" Target="http://www.linkedin.com/in/sylvain-grapeloux-45ba6427" TargetMode="External"/><Relationship  Id="rId10156" Type="http://schemas.openxmlformats.org/officeDocument/2006/relationships/hyperlink" Target="http://www.sgaconseil.fr" TargetMode="External"/><Relationship  Id="rId10157" Type="http://schemas.openxmlformats.org/officeDocument/2006/relationships/hyperlink" Target="http://www.linkedin.com/in/pierre-gere-a6596914a" TargetMode="External"/><Relationship  Id="rId10158" Type="http://schemas.openxmlformats.org/officeDocument/2006/relationships/hyperlink" Target="http://www.assurance-singuliere.fr" TargetMode="External"/><Relationship  Id="rId10159" Type="http://schemas.openxmlformats.org/officeDocument/2006/relationships/hyperlink" Target="http://www.linkedin.com/in/renaud-artusio-4255815b" TargetMode="External"/><Relationship  Id="rId1016" Type="http://schemas.openxmlformats.org/officeDocument/2006/relationships/hyperlink" Target="http://www.linkedin.com/in/dimitri-dehon-14a85625" TargetMode="External"/><Relationship  Id="rId10160" Type="http://schemas.openxmlformats.org/officeDocument/2006/relationships/hyperlink" Target="http://www.verspieren-cotedazur.com" TargetMode="External"/><Relationship  Id="rId10161" Type="http://schemas.openxmlformats.org/officeDocument/2006/relationships/hyperlink" Target="http://santexpat.fr" TargetMode="External"/><Relationship  Id="rId10162" Type="http://schemas.openxmlformats.org/officeDocument/2006/relationships/hyperlink" Target="http://www.linkedin.com/in/jcpandolfi" TargetMode="External"/><Relationship  Id="rId10163" Type="http://schemas.openxmlformats.org/officeDocument/2006/relationships/hyperlink" Target="http://www.santexpat.fr" TargetMode="External"/><Relationship  Id="rId10164" Type="http://schemas.openxmlformats.org/officeDocument/2006/relationships/hyperlink" Target="http://www.linkedin.com/in/nicolas-siegler-06187b" TargetMode="External"/><Relationship  Id="rId10165" Type="http://schemas.openxmlformats.org/officeDocument/2006/relationships/hyperlink" Target="http://www.maif.fr" TargetMode="External"/><Relationship  Id="rId10166" Type="http://schemas.openxmlformats.org/officeDocument/2006/relationships/hyperlink" Target="http://www.linkedin.com/in/elodie-paget-13327bb" TargetMode="External"/><Relationship  Id="rId10167" Type="http://schemas.openxmlformats.org/officeDocument/2006/relationships/hyperlink" Target="http://www.linkedin.com/in/antoine-poupart-0a55558b" TargetMode="External"/><Relationship  Id="rId10168" Type="http://schemas.openxmlformats.org/officeDocument/2006/relationships/hyperlink" Target="http://www.atekka.fr" TargetMode="External"/><Relationship  Id="rId10169" Type="http://schemas.openxmlformats.org/officeDocument/2006/relationships/hyperlink" Target="http://www.linkedin.com/in/stephane-choulette-374b851b" TargetMode="External"/><Relationship  Id="rId1017" Type="http://schemas.openxmlformats.org/officeDocument/2006/relationships/hyperlink" Target="http://www.linkedin.com/in/serge-villaume-27183512a" TargetMode="External"/><Relationship  Id="rId10170" Type="http://schemas.openxmlformats.org/officeDocument/2006/relationships/hyperlink" Target="http://www.valmen.fr" TargetMode="External"/><Relationship  Id="rId10171" Type="http://schemas.openxmlformats.org/officeDocument/2006/relationships/hyperlink" Target="http://www.linkedin.com/in/st%c3%a9phane-jersol-478a29100" TargetMode="External"/><Relationship  Id="rId10172" Type="http://schemas.openxmlformats.org/officeDocument/2006/relationships/hyperlink" Target="http://www.insurte.com" TargetMode="External"/><Relationship  Id="rId10173" Type="http://schemas.openxmlformats.org/officeDocument/2006/relationships/hyperlink" Target="http://lesexpertssante.fr" TargetMode="External"/><Relationship  Id="rId10174" Type="http://schemas.openxmlformats.org/officeDocument/2006/relationships/hyperlink" Target="http://www.linkedin.com/in/in%c3%a8s-zantour-054346218" TargetMode="External"/><Relationship  Id="rId10175" Type="http://schemas.openxmlformats.org/officeDocument/2006/relationships/hyperlink" Target="http://www.lesexpertssante.fr" TargetMode="External"/><Relationship  Id="rId10176" Type="http://schemas.openxmlformats.org/officeDocument/2006/relationships/hyperlink" Target="http://www.linkedin.com/in/denis-b-2680a710a" TargetMode="External"/><Relationship  Id="rId10177" Type="http://schemas.openxmlformats.org/officeDocument/2006/relationships/hyperlink" Target="http://www.mspp.fr" TargetMode="External"/><Relationship  Id="rId10178" Type="http://schemas.openxmlformats.org/officeDocument/2006/relationships/hyperlink" Target="http://www.linkedin.com/in/ramaug%c3%a9-siegfried-177088132" TargetMode="External"/><Relationship  Id="rId10179" Type="http://schemas.openxmlformats.org/officeDocument/2006/relationships/hyperlink" Target="http://www.artex-assurances.com" TargetMode="External"/><Relationship  Id="rId1018" Type="http://schemas.openxmlformats.org/officeDocument/2006/relationships/hyperlink" Target="http://www.tables-auberges.com" TargetMode="External"/><Relationship  Id="rId10180" Type="http://schemas.openxmlformats.org/officeDocument/2006/relationships/hyperlink" Target="http://www.linkedin.com/in/damien-dumartin-834254160" TargetMode="External"/><Relationship  Id="rId10181" Type="http://schemas.openxmlformats.org/officeDocument/2006/relationships/hyperlink" Target="http://www.crtl.fr" TargetMode="External"/><Relationship  Id="rId10182" Type="http://schemas.openxmlformats.org/officeDocument/2006/relationships/hyperlink" Target="http://www.linkedin.com/in/charles-ko%c3%abhl-680a8a33" TargetMode="External"/><Relationship  Id="rId10183" Type="http://schemas.openxmlformats.org/officeDocument/2006/relationships/hyperlink" Target="http://www.koehl-assurances.fr" TargetMode="External"/><Relationship  Id="rId10184" Type="http://schemas.openxmlformats.org/officeDocument/2006/relationships/hyperlink" Target="http://www.linkedin.com/in/fr%c3%a9d%c3%a9ric-denefle-155b1b121" TargetMode="External"/><Relationship  Id="rId10185" Type="http://schemas.openxmlformats.org/officeDocument/2006/relationships/hyperlink" Target="http://www.garex.fr" TargetMode="External"/><Relationship  Id="rId10186" Type="http://schemas.openxmlformats.org/officeDocument/2006/relationships/hyperlink" Target="http://www.linkedin.com/in/alicechampenois" TargetMode="External"/><Relationship  Id="rId10187" Type="http://schemas.openxmlformats.org/officeDocument/2006/relationships/hyperlink" Target="http://www.linkedin.com/in/glen-kergunteuil-67143363" TargetMode="External"/><Relationship  Id="rId10188" Type="http://schemas.openxmlformats.org/officeDocument/2006/relationships/hyperlink" Target="http://www.linkedin.com/in/daniel-lemenuel-28242b20a" TargetMode="External"/><Relationship  Id="rId10189" Type="http://schemas.openxmlformats.org/officeDocument/2006/relationships/hyperlink" Target="http://www.mutame-plus.fr" TargetMode="External"/><Relationship  Id="rId1019" Type="http://schemas.openxmlformats.org/officeDocument/2006/relationships/hyperlink" Target="http://www.linkedin.com/in/harris-sheikh-979b18194" TargetMode="External"/><Relationship  Id="rId10190" Type="http://schemas.openxmlformats.org/officeDocument/2006/relationships/hyperlink" Target="http://www.linkedin.com/in/bertrand-de-surmont-34b9251b3" TargetMode="External"/><Relationship  Id="rId10191" Type="http://schemas.openxmlformats.org/officeDocument/2006/relationships/hyperlink" Target="http://www.linkedin.com/in/marco-favale-b2078645" TargetMode="External"/><Relationship  Id="rId10192" Type="http://schemas.openxmlformats.org/officeDocument/2006/relationships/hyperlink" Target="http://www.beagroup.eu" TargetMode="External"/><Relationship  Id="rId10193" Type="http://schemas.openxmlformats.org/officeDocument/2006/relationships/hyperlink" Target="http://www.linkedin.com/in/herv%c3%a9-lamy-4718011a8" TargetMode="External"/><Relationship  Id="rId10194" Type="http://schemas.openxmlformats.org/officeDocument/2006/relationships/hyperlink" Target="http://www.lbcassurances.fr" TargetMode="External"/><Relationship  Id="rId10195" Type="http://schemas.openxmlformats.org/officeDocument/2006/relationships/hyperlink" Target="http://www.linkedin.com/in/ivan-rambaud-6a4b50" TargetMode="External"/><Relationship  Id="rId10196" Type="http://schemas.openxmlformats.org/officeDocument/2006/relationships/hyperlink" Target="http://www.rambaud-labrosse.com" TargetMode="External"/><Relationship  Id="rId10197" Type="http://schemas.openxmlformats.org/officeDocument/2006/relationships/hyperlink" Target="http://www.linkedin.com/in/geoffroy-de-lassee-4810a346" TargetMode="External"/><Relationship  Id="rId10198" Type="http://schemas.openxmlformats.org/officeDocument/2006/relationships/hyperlink" Target="http://www.delassee.com" TargetMode="External"/><Relationship  Id="rId10199" Type="http://schemas.openxmlformats.org/officeDocument/2006/relationships/hyperlink" Target="http://www.linkedin.com/in/anthony-traverse-90576269" TargetMode="External"/><Relationship  Id="rId102" Type="http://schemas.openxmlformats.org/officeDocument/2006/relationships/hyperlink" Target="http://www.linkedin.com/in/rachid-nakhl%c3%a9-08b3b81" TargetMode="External"/><Relationship  Id="rId1020" Type="http://schemas.openxmlformats.org/officeDocument/2006/relationships/hyperlink" Target="http://www.edgaretachille.com" TargetMode="External"/><Relationship  Id="rId10200" Type="http://schemas.openxmlformats.org/officeDocument/2006/relationships/hyperlink" Target="http://www.linkedin.com/in/philippe-bergogne-62b7797a" TargetMode="External"/><Relationship  Id="rId10201" Type="http://schemas.openxmlformats.org/officeDocument/2006/relationships/hyperlink" Target="http://www.mutac.com" TargetMode="External"/><Relationship  Id="rId10202" Type="http://schemas.openxmlformats.org/officeDocument/2006/relationships/hyperlink" Target="http://www.linkedin.com/in/yassine-zougar-91bb49156" TargetMode="External"/><Relationship  Id="rId10203" Type="http://schemas.openxmlformats.org/officeDocument/2006/relationships/hyperlink" Target="http://www.lescourtiersdefrance.fr" TargetMode="External"/><Relationship  Id="rId10204" Type="http://schemas.openxmlformats.org/officeDocument/2006/relationships/hyperlink" Target="http://www.linkedin.com/in/laurent-morasset-b5022986" TargetMode="External"/><Relationship  Id="rId10205" Type="http://schemas.openxmlformats.org/officeDocument/2006/relationships/hyperlink" Target="http://www.alexo.fr" TargetMode="External"/><Relationship  Id="rId10206" Type="http://schemas.openxmlformats.org/officeDocument/2006/relationships/hyperlink" Target="http://www.linkedin.com/in/laurent-meyrignac-a360466b" TargetMode="External"/><Relationship  Id="rId10207" Type="http://schemas.openxmlformats.org/officeDocument/2006/relationships/hyperlink" Target="http://www.linkedin.com/in/jean-dominique-lelong-79a62a2a" TargetMode="External"/><Relationship  Id="rId10208" Type="http://schemas.openxmlformats.org/officeDocument/2006/relationships/hyperlink" Target="http://www.linkedin.com/in/maximiliendauzet" TargetMode="External"/><Relationship  Id="rId10209" Type="http://schemas.openxmlformats.org/officeDocument/2006/relationships/hyperlink" Target="http://www.linkedin.com/in/daphn%c3%a9-de-vitton-363487" TargetMode="External"/><Relationship  Id="rId1021" Type="http://schemas.openxmlformats.org/officeDocument/2006/relationships/hyperlink" Target="http://www.linkedin.com/in/fran%c3%a7ois-souman-9685191a9" TargetMode="External"/><Relationship  Id="rId10210" Type="http://schemas.openxmlformats.org/officeDocument/2006/relationships/hyperlink" Target="http://www.april.ca" TargetMode="External"/><Relationship  Id="rId10211" Type="http://schemas.openxmlformats.org/officeDocument/2006/relationships/hyperlink" Target="http://www.linkedin.com/in/philippe-soubirous-a49648129" TargetMode="External"/><Relationship  Id="rId10212" Type="http://schemas.openxmlformats.org/officeDocument/2006/relationships/hyperlink" Target="http://www.prefon.fr" TargetMode="External"/><Relationship  Id="rId10213" Type="http://schemas.openxmlformats.org/officeDocument/2006/relationships/hyperlink" Target="http://www.linkedin.com/in/lionel-boismery-a1078a19" TargetMode="External"/><Relationship  Id="rId10214" Type="http://schemas.openxmlformats.org/officeDocument/2006/relationships/hyperlink" Target="http://www.linkedin.com/in/jeremydahan" TargetMode="External"/><Relationship  Id="rId10215" Type="http://schemas.openxmlformats.org/officeDocument/2006/relationships/hyperlink" Target="http://www.linkedin.com/in/xaviergazay" TargetMode="External"/><Relationship  Id="rId10216" Type="http://schemas.openxmlformats.org/officeDocument/2006/relationships/hyperlink" Target="http://www.fr.sedgwick.com" TargetMode="External"/><Relationship  Id="rId10217" Type="http://schemas.openxmlformats.org/officeDocument/2006/relationships/hyperlink" Target="http://www.linkedin.com/in/philippe-baudiniere-06151871" TargetMode="External"/><Relationship  Id="rId10218" Type="http://schemas.openxmlformats.org/officeDocument/2006/relationships/hyperlink" Target="http://www.coverity.fr" TargetMode="External"/><Relationship  Id="rId10219" Type="http://schemas.openxmlformats.org/officeDocument/2006/relationships/hyperlink" Target="http://www.linkedin.com/in/charles-quatannens-33b68015" TargetMode="External"/><Relationship  Id="rId1022" Type="http://schemas.openxmlformats.org/officeDocument/2006/relationships/hyperlink" Target="http://www.esprit-saint-germain.com" TargetMode="External"/><Relationship  Id="rId10220" Type="http://schemas.openxmlformats.org/officeDocument/2006/relationships/hyperlink" Target="http://www.duneassurances.com" TargetMode="External"/><Relationship  Id="rId10221" Type="http://schemas.openxmlformats.org/officeDocument/2006/relationships/hyperlink" Target="http://www.linkedin.com/in/st%c3%a9phane-guerrier-91a6245b" TargetMode="External"/><Relationship  Id="rId10222" Type="http://schemas.openxmlformats.org/officeDocument/2006/relationships/hyperlink" Target="http://www.kareo-horizon.com" TargetMode="External"/><Relationship  Id="rId10223" Type="http://schemas.openxmlformats.org/officeDocument/2006/relationships/hyperlink" Target="http://www.linkedin.com/in/jadsoukarieh" TargetMode="External"/><Relationship  Id="rId10224" Type="http://schemas.openxmlformats.org/officeDocument/2006/relationships/hyperlink" Target="http://www.mesange-prevoyance.fr" TargetMode="External"/><Relationship  Id="rId10225" Type="http://schemas.openxmlformats.org/officeDocument/2006/relationships/hyperlink" Target="http://www.linkedin.com/in/thierryvandecasteele" TargetMode="External"/><Relationship  Id="rId10226" Type="http://schemas.openxmlformats.org/officeDocument/2006/relationships/hyperlink" Target="http://www.lma5pcourtage.fr" TargetMode="External"/><Relationship  Id="rId10227" Type="http://schemas.openxmlformats.org/officeDocument/2006/relationships/hyperlink" Target="http://www.linkedin.com/in/caroline-h%c3%a9raud-967792b8" TargetMode="External"/><Relationship  Id="rId10228" Type="http://schemas.openxmlformats.org/officeDocument/2006/relationships/hyperlink" Target="http://www.linkedin.com/in/guillaume-gerber-41283952" TargetMode="External"/><Relationship  Id="rId10229" Type="http://schemas.openxmlformats.org/officeDocument/2006/relationships/hyperlink" Target="http://www.lasecuritefamiliale.com" TargetMode="External"/><Relationship  Id="rId1023" Type="http://schemas.openxmlformats.org/officeDocument/2006/relationships/hyperlink" Target="http://www.linkedin.com/in/tanguy-kayser-27a301114" TargetMode="External"/><Relationship  Id="rId10230" Type="http://schemas.openxmlformats.org/officeDocument/2006/relationships/hyperlink" Target="http://www.linkedin.com/in/sa%c3%afd-fard-544056159" TargetMode="External"/><Relationship  Id="rId10231" Type="http://schemas.openxmlformats.org/officeDocument/2006/relationships/hyperlink" Target="http://www.uniondesassisteurs.fr" TargetMode="External"/><Relationship  Id="rId10232" Type="http://schemas.openxmlformats.org/officeDocument/2006/relationships/hyperlink" Target="http://www.linkedin.com/in/henri-lavaure-40253813" TargetMode="External"/><Relationship  Id="rId10233" Type="http://schemas.openxmlformats.org/officeDocument/2006/relationships/hyperlink" Target="http://www.airbag-courtage.com" TargetMode="External"/><Relationship  Id="rId10234" Type="http://schemas.openxmlformats.org/officeDocument/2006/relationships/hyperlink" Target="http://www.linkedin.com/in/jacqueline-moreau-2b5b7a233" TargetMode="External"/><Relationship  Id="rId10235" Type="http://schemas.openxmlformats.org/officeDocument/2006/relationships/hyperlink" Target="http://www.madp.fr" TargetMode="External"/><Relationship  Id="rId10236" Type="http://schemas.openxmlformats.org/officeDocument/2006/relationships/hyperlink" Target="http://www.linkedin.com/in/jonathan-aimini-01a7871b3" TargetMode="External"/><Relationship  Id="rId10237" Type="http://schemas.openxmlformats.org/officeDocument/2006/relationships/hyperlink" Target="http://www.linkedin.com/in/frederic-nouaille-7a7a6410" TargetMode="External"/><Relationship  Id="rId10238" Type="http://schemas.openxmlformats.org/officeDocument/2006/relationships/hyperlink" Target="http://www.iforct.com" TargetMode="External"/><Relationship  Id="rId10239" Type="http://schemas.openxmlformats.org/officeDocument/2006/relationships/hyperlink" Target="http://www.linkedin.com/in/mohamed-afakir-6b361b241" TargetMode="External"/><Relationship  Id="rId1024" Type="http://schemas.openxmlformats.org/officeDocument/2006/relationships/hyperlink" Target="http://www.cafeblondie.com" TargetMode="External"/><Relationship  Id="rId10240" Type="http://schemas.openxmlformats.org/officeDocument/2006/relationships/hyperlink" Target="http://www.linkedin.com/in/david-d-0520407" TargetMode="External"/><Relationship  Id="rId10241" Type="http://schemas.openxmlformats.org/officeDocument/2006/relationships/hyperlink" Target="http://www.oib-solutions.com" TargetMode="External"/><Relationship  Id="rId10242" Type="http://schemas.openxmlformats.org/officeDocument/2006/relationships/hyperlink" Target="http://www.linkedin.com/in/george-bitar-41754212" TargetMode="External"/><Relationship  Id="rId10243" Type="http://schemas.openxmlformats.org/officeDocument/2006/relationships/hyperlink" Target="http://www.premiumbroking.com" TargetMode="External"/><Relationship  Id="rId10244" Type="http://schemas.openxmlformats.org/officeDocument/2006/relationships/hyperlink" Target="http://www.linkedin.com/in/emmanuel-legras-a547b6" TargetMode="External"/><Relationship  Id="rId10245" Type="http://schemas.openxmlformats.org/officeDocument/2006/relationships/hyperlink" Target="http://www.linkedin.com/in/guillaume-delfino-226535150" TargetMode="External"/><Relationship  Id="rId10246" Type="http://schemas.openxmlformats.org/officeDocument/2006/relationships/hyperlink" Target="http://www.asteria-patrimoine.com" TargetMode="External"/><Relationship  Id="rId10247" Type="http://schemas.openxmlformats.org/officeDocument/2006/relationships/hyperlink" Target="http://www.linkedin.com/in/patrick-weil-4b3210ba" TargetMode="External"/><Relationship  Id="rId10248" Type="http://schemas.openxmlformats.org/officeDocument/2006/relationships/hyperlink" Target="http://www.groupe-prunay.com" TargetMode="External"/><Relationship  Id="rId10249" Type="http://schemas.openxmlformats.org/officeDocument/2006/relationships/hyperlink" Target="http://www.linkedin.com/in/li-cai-9a6a855a" TargetMode="External"/><Relationship  Id="rId1025" Type="http://schemas.openxmlformats.org/officeDocument/2006/relationships/hyperlink" Target="http://www.linkedin.com/in/raphael-boissier-b57680138" TargetMode="External"/><Relationship  Id="rId10250" Type="http://schemas.openxmlformats.org/officeDocument/2006/relationships/hyperlink" Target="http://www.lyanne.fr" TargetMode="External"/><Relationship  Id="rId10251" Type="http://schemas.openxmlformats.org/officeDocument/2006/relationships/hyperlink" Target="http://www.linkedin.com/in/laurent-haumont-502a8b73" TargetMode="External"/><Relationship  Id="rId10252" Type="http://schemas.openxmlformats.org/officeDocument/2006/relationships/hyperlink" Target="http://www.saam-assurance.com" TargetMode="External"/><Relationship  Id="rId10253" Type="http://schemas.openxmlformats.org/officeDocument/2006/relationships/hyperlink" Target="http://www.linkedin.com/in/stephane-lafitte-1b1aa7142" TargetMode="External"/><Relationship  Id="rId10254" Type="http://schemas.openxmlformats.org/officeDocument/2006/relationships/hyperlink" Target="http://www.gea-assurances.com" TargetMode="External"/><Relationship  Id="rId10255" Type="http://schemas.openxmlformats.org/officeDocument/2006/relationships/hyperlink" Target="http://www.linkedin.com/in/christoferdahlstrom" TargetMode="External"/><Relationship  Id="rId10256" Type="http://schemas.openxmlformats.org/officeDocument/2006/relationships/hyperlink" Target="http://www.linkedin.com/in/jean-yigitoglu-90669a70" TargetMode="External"/><Relationship  Id="rId10257" Type="http://schemas.openxmlformats.org/officeDocument/2006/relationships/hyperlink" Target="http://www.linkedin.com/in/jonathan-cadet-015787172" TargetMode="External"/><Relationship  Id="rId10258" Type="http://schemas.openxmlformats.org/officeDocument/2006/relationships/hyperlink" Target="http://www.rhea-assurance.com" TargetMode="External"/><Relationship  Id="rId10259" Type="http://schemas.openxmlformats.org/officeDocument/2006/relationships/hyperlink" Target="http://www.linkedin.com/in/hervesaiz" TargetMode="External"/><Relationship  Id="rId1026" Type="http://schemas.openxmlformats.org/officeDocument/2006/relationships/hyperlink" Target="http://www.tonichotel.net" TargetMode="External"/><Relationship  Id="rId10260" Type="http://schemas.openxmlformats.org/officeDocument/2006/relationships/hyperlink" Target="http://www.chouette-assurance.fr" TargetMode="External"/><Relationship  Id="rId10261" Type="http://schemas.openxmlformats.org/officeDocument/2006/relationships/hyperlink" Target="http://www.linkedin.com/in/meriemaouadi" TargetMode="External"/><Relationship  Id="rId10262" Type="http://schemas.openxmlformats.org/officeDocument/2006/relationships/hyperlink" Target="http://www.linkedin.com/in/fabiensauleman" TargetMode="External"/><Relationship  Id="rId10263" Type="http://schemas.openxmlformats.org/officeDocument/2006/relationships/hyperlink" Target="http://www.rickochet.fr" TargetMode="External"/><Relationship  Id="rId10264" Type="http://schemas.openxmlformats.org/officeDocument/2006/relationships/hyperlink" Target="http://www.linkedin.com/in/abdellah-boutkhil-mba-82a325212" TargetMode="External"/><Relationship  Id="rId10265" Type="http://schemas.openxmlformats.org/officeDocument/2006/relationships/hyperlink" Target="http://www.infocea.fr" TargetMode="External"/><Relationship  Id="rId10266" Type="http://schemas.openxmlformats.org/officeDocument/2006/relationships/hyperlink" Target="http://www.linkedin.com/in/j%c3%a9r%c3%b4me-estevez-7934985a" TargetMode="External"/><Relationship  Id="rId10267" Type="http://schemas.openxmlformats.org/officeDocument/2006/relationships/hyperlink" Target="http://www.syoux.net" TargetMode="External"/><Relationship  Id="rId10268" Type="http://schemas.openxmlformats.org/officeDocument/2006/relationships/hyperlink" Target="http://www.linkedin.com/in/arnaudfournier-lyon" TargetMode="External"/><Relationship  Id="rId10269" Type="http://schemas.openxmlformats.org/officeDocument/2006/relationships/hyperlink" Target="http://www.linkedin.com/in/nicolas-gimel-14373976" TargetMode="External"/><Relationship  Id="rId1027" Type="http://schemas.openxmlformats.org/officeDocument/2006/relationships/hyperlink" Target="http://www.linkedin.com/in/fran%c3%a7ois-ohlmann-25a9a094" TargetMode="External"/><Relationship  Id="rId10270" Type="http://schemas.openxmlformats.org/officeDocument/2006/relationships/hyperlink" Target="http://www.etik-assurance.com" TargetMode="External"/><Relationship  Id="rId10271" Type="http://schemas.openxmlformats.org/officeDocument/2006/relationships/hyperlink" Target="http://www.linkedin.com/in/jacques-chanut-275a9697" TargetMode="External"/><Relationship  Id="rId10272" Type="http://schemas.openxmlformats.org/officeDocument/2006/relationships/hyperlink" Target="http://www.groupe-sma.fr" TargetMode="External"/><Relationship  Id="rId10273" Type="http://schemas.openxmlformats.org/officeDocument/2006/relationships/hyperlink" Target="http://www.linkedin.com/in/martin-lenweiter-2bb077b5" TargetMode="External"/><Relationship  Id="rId10274" Type="http://schemas.openxmlformats.org/officeDocument/2006/relationships/hyperlink" Target="http://www.linkedin.com/in/marie-janoviez-6362a184" TargetMode="External"/><Relationship  Id="rId10275" Type="http://schemas.openxmlformats.org/officeDocument/2006/relationships/hyperlink" Target="http://www.linkedin.com/in/jonathan-muscat-200105159" TargetMode="External"/><Relationship  Id="rId10276" Type="http://schemas.openxmlformats.org/officeDocument/2006/relationships/hyperlink" Target="http://www.bird-agency.fr" TargetMode="External"/><Relationship  Id="rId10277" Type="http://schemas.openxmlformats.org/officeDocument/2006/relationships/hyperlink" Target="http://www.linkedin.com/in/christian-carrega-2b225515" TargetMode="External"/><Relationship  Id="rId10278" Type="http://schemas.openxmlformats.org/officeDocument/2006/relationships/hyperlink" Target="http://www.linkedin.com/in/xavier-nako-47712612" TargetMode="External"/><Relationship  Id="rId10279" Type="http://schemas.openxmlformats.org/officeDocument/2006/relationships/hyperlink" Target="http://www.linkedin.com/in/lara-le-p%c3%a9ru-4b336244" TargetMode="External"/><Relationship  Id="rId1028" Type="http://schemas.openxmlformats.org/officeDocument/2006/relationships/hyperlink" Target="http://www.najeti.fr" TargetMode="External"/><Relationship  Id="rId10280" Type="http://schemas.openxmlformats.org/officeDocument/2006/relationships/hyperlink" Target="http://www.linkedin.com/in/amira-nakouri-1b729248" TargetMode="External"/><Relationship  Id="rId10281" Type="http://schemas.openxmlformats.org/officeDocument/2006/relationships/hyperlink" Target="http://www.getklaimy.com" TargetMode="External"/><Relationship  Id="rId10282" Type="http://schemas.openxmlformats.org/officeDocument/2006/relationships/hyperlink" Target="http://www.linkedin.com/in/michel-bourgeat-b2034124" TargetMode="External"/><Relationship  Id="rId10283" Type="http://schemas.openxmlformats.org/officeDocument/2006/relationships/hyperlink" Target="http://www.signature-assurances.fr" TargetMode="External"/><Relationship  Id="rId10284" Type="http://schemas.openxmlformats.org/officeDocument/2006/relationships/hyperlink" Target="http://www.linkedin.com/in/mehdi-nadji-b3b56549" TargetMode="External"/><Relationship  Id="rId10285" Type="http://schemas.openxmlformats.org/officeDocument/2006/relationships/hyperlink" Target="http://www.orizon-assurance.fr" TargetMode="External"/><Relationship  Id="rId10286" Type="http://schemas.openxmlformats.org/officeDocument/2006/relationships/hyperlink" Target="http://www.linkedin.com/in/caroline-magnard-a25b0062" TargetMode="External"/><Relationship  Id="rId10287" Type="http://schemas.openxmlformats.org/officeDocument/2006/relationships/hyperlink" Target="http://www.linkedin.com/in/amaury-delagarde" TargetMode="External"/><Relationship  Id="rId10288" Type="http://schemas.openxmlformats.org/officeDocument/2006/relationships/hyperlink" Target="http://www.mytulip.io" TargetMode="External"/><Relationship  Id="rId10289" Type="http://schemas.openxmlformats.org/officeDocument/2006/relationships/hyperlink" Target="http://www.linkedin.com/in/yurinarozniak" TargetMode="External"/><Relationship  Id="rId1029" Type="http://schemas.openxmlformats.org/officeDocument/2006/relationships/hyperlink" Target="http://www.linkedin.com/in/inkaprlesi" TargetMode="External"/><Relationship  Id="rId10290" Type="http://schemas.openxmlformats.org/officeDocument/2006/relationships/hyperlink" Target="http://www.linkedin.com/in/julien-didi-059b2568" TargetMode="External"/><Relationship  Id="rId10291" Type="http://schemas.openxmlformats.org/officeDocument/2006/relationships/hyperlink" Target="http://www.cabinet-apex.fr" TargetMode="External"/><Relationship  Id="rId10292" Type="http://schemas.openxmlformats.org/officeDocument/2006/relationships/hyperlink" Target="http://www.linkedin.com/in/tarek-bouslama-9a3709114" TargetMode="External"/><Relationship  Id="rId10293" Type="http://schemas.openxmlformats.org/officeDocument/2006/relationships/hyperlink" Target="http://www.casoxia.fr" TargetMode="External"/><Relationship  Id="rId10294" Type="http://schemas.openxmlformats.org/officeDocument/2006/relationships/hyperlink" Target="http://www.linkedin.com/in/virgiledelporte" TargetMode="External"/><Relationship  Id="rId10295" Type="http://schemas.openxmlformats.org/officeDocument/2006/relationships/hyperlink" Target="http://www.linkedin.com/in/gregory-lecerf-85434aba" TargetMode="External"/><Relationship  Id="rId10296" Type="http://schemas.openxmlformats.org/officeDocument/2006/relationships/hyperlink" Target="http://www.mutuellelmp.fr" TargetMode="External"/><Relationship  Id="rId10297" Type="http://schemas.openxmlformats.org/officeDocument/2006/relationships/hyperlink" Target="http://www.linkedin.com/in/benjamin-bing-b557a11b" TargetMode="External"/><Relationship  Id="rId10298" Type="http://schemas.openxmlformats.org/officeDocument/2006/relationships/hyperlink" Target="http://www.linkedin.com/in/raimi-adet-88b2387a" TargetMode="External"/><Relationship  Id="rId10299" Type="http://schemas.openxmlformats.org/officeDocument/2006/relationships/hyperlink" Target="http://www.actudata.fr" TargetMode="External"/><Relationship  Id="rId103" Type="http://schemas.openxmlformats.org/officeDocument/2006/relationships/hyperlink" Target="http://www.patchwork.me" TargetMode="External"/><Relationship  Id="rId1030" Type="http://schemas.openxmlformats.org/officeDocument/2006/relationships/hyperlink" Target="http://www.coben-group.com" TargetMode="External"/><Relationship  Id="rId10300" Type="http://schemas.openxmlformats.org/officeDocument/2006/relationships/hyperlink" Target="http://www.linkedin.com/in/pascal-woitier-a6767149" TargetMode="External"/><Relationship  Id="rId10301" Type="http://schemas.openxmlformats.org/officeDocument/2006/relationships/hyperlink" Target="http://www.neuros.fr" TargetMode="External"/><Relationship  Id="rId10302" Type="http://schemas.openxmlformats.org/officeDocument/2006/relationships/hyperlink" Target="http://www.linkedin.com/in/ericsolal" TargetMode="External"/><Relationship  Id="rId10303" Type="http://schemas.openxmlformats.org/officeDocument/2006/relationships/hyperlink" Target="http://www.linkedin.com/in/sacha-koubi-%f0%9f%8e%97%ef%b8%8f-487111114" TargetMode="External"/><Relationship  Id="rId10304" Type="http://schemas.openxmlformats.org/officeDocument/2006/relationships/hyperlink" Target="http://www.linkedin.com/in/josselin-yhuel-a7279147" TargetMode="External"/><Relationship  Id="rId10305" Type="http://schemas.openxmlformats.org/officeDocument/2006/relationships/hyperlink" Target="http://www.savaden.fr" TargetMode="External"/><Relationship  Id="rId10306" Type="http://schemas.openxmlformats.org/officeDocument/2006/relationships/hyperlink" Target="http://www.linkedin.com/in/julien-garcia" TargetMode="External"/><Relationship  Id="rId10307" Type="http://schemas.openxmlformats.org/officeDocument/2006/relationships/hyperlink" Target="http://www.to.day" TargetMode="External"/><Relationship  Id="rId10308" Type="http://schemas.openxmlformats.org/officeDocument/2006/relationships/hyperlink" Target="http://www.linkedin.com/in/delfine-marcaud" TargetMode="External"/><Relationship  Id="rId10309" Type="http://schemas.openxmlformats.org/officeDocument/2006/relationships/hyperlink" Target="http://www.linkedin.com/in/lyne-stambouli-84305631" TargetMode="External"/><Relationship  Id="rId1031" Type="http://schemas.openxmlformats.org/officeDocument/2006/relationships/hyperlink" Target="http://www.linkedin.com/in/mehdi-favri-1abb4981" TargetMode="External"/><Relationship  Id="rId10310" Type="http://schemas.openxmlformats.org/officeDocument/2006/relationships/hyperlink" Target="http://www.everrose.com" TargetMode="External"/><Relationship  Id="rId10311" Type="http://schemas.openxmlformats.org/officeDocument/2006/relationships/hyperlink" Target="http://www.linkedin.com/in/rullolivier" TargetMode="External"/><Relationship  Id="rId10312" Type="http://schemas.openxmlformats.org/officeDocument/2006/relationships/hyperlink" Target="http://www.linkedin.com/in/thierry-gauvin-505a2a155" TargetMode="External"/><Relationship  Id="rId10313" Type="http://schemas.openxmlformats.org/officeDocument/2006/relationships/hyperlink" Target="http://www.linkedin.com/in/brian-johnson-b342668" TargetMode="External"/><Relationship  Id="rId10314" Type="http://schemas.openxmlformats.org/officeDocument/2006/relationships/hyperlink" Target="http://www.bric.com.au" TargetMode="External"/><Relationship  Id="rId10315" Type="http://schemas.openxmlformats.org/officeDocument/2006/relationships/hyperlink" Target="http://www.linkedin.com/in/sylvain-charpilienne-66820a" TargetMode="External"/><Relationship  Id="rId10316" Type="http://schemas.openxmlformats.org/officeDocument/2006/relationships/hyperlink" Target="http://www.expatpa.com" TargetMode="External"/><Relationship  Id="rId10317" Type="http://schemas.openxmlformats.org/officeDocument/2006/relationships/hyperlink" Target="http://www.linkedin.com/in/lukewilson23" TargetMode="External"/><Relationship  Id="rId10318" Type="http://schemas.openxmlformats.org/officeDocument/2006/relationships/hyperlink" Target="http://www.shieldspecialtyinsurance.com" TargetMode="External"/><Relationship  Id="rId10319" Type="http://schemas.openxmlformats.org/officeDocument/2006/relationships/hyperlink" Target="http://www.linkedin.com/in/gilles-andre-a6048842" TargetMode="External"/><Relationship  Id="rId1032" Type="http://schemas.openxmlformats.org/officeDocument/2006/relationships/hyperlink" Target="http://www.linkedin.com/in/gauthierberdeaux" TargetMode="External"/><Relationship  Id="rId10320" Type="http://schemas.openxmlformats.org/officeDocument/2006/relationships/hyperlink" Target="http://www.riskweathertech.com" TargetMode="External"/><Relationship  Id="rId10321" Type="http://schemas.openxmlformats.org/officeDocument/2006/relationships/hyperlink" Target="http://www.linkedin.com/in/clementclaudinon" TargetMode="External"/><Relationship  Id="rId10322" Type="http://schemas.openxmlformats.org/officeDocument/2006/relationships/hyperlink" Target="http://www.alexis-assurances.com" TargetMode="External"/><Relationship  Id="rId10323" Type="http://schemas.openxmlformats.org/officeDocument/2006/relationships/hyperlink" Target="http://www.linkedin.com/in/edouard-da-rin-2164961" TargetMode="External"/><Relationship  Id="rId10324" Type="http://schemas.openxmlformats.org/officeDocument/2006/relationships/hyperlink" Target="http://www.acs-ami.com" TargetMode="External"/><Relationship  Id="rId10325" Type="http://schemas.openxmlformats.org/officeDocument/2006/relationships/hyperlink" Target="http://www.linkedin.com/in/dorian-rain-3771b2a9" TargetMode="External"/><Relationship  Id="rId10326" Type="http://schemas.openxmlformats.org/officeDocument/2006/relationships/hyperlink" Target="http://www.credyl.fr" TargetMode="External"/><Relationship  Id="rId10327" Type="http://schemas.openxmlformats.org/officeDocument/2006/relationships/hyperlink" Target="http://www.linkedin.com/in/david-ollivier-0aa8bb173" TargetMode="External"/><Relationship  Id="rId10328" Type="http://schemas.openxmlformats.org/officeDocument/2006/relationships/hyperlink" Target="http://www.rempartmutuelle.fr" TargetMode="External"/><Relationship  Id="rId10329" Type="http://schemas.openxmlformats.org/officeDocument/2006/relationships/hyperlink" Target="http://www.linkedin.com/in/katherine-graffin-571527a" TargetMode="External"/><Relationship  Id="rId1033" Type="http://schemas.openxmlformats.org/officeDocument/2006/relationships/hyperlink" Target="http://www.aristide-hotel.com" TargetMode="External"/><Relationship  Id="rId10330" Type="http://schemas.openxmlformats.org/officeDocument/2006/relationships/hyperlink" Target="http://www.mondassur.com" TargetMode="External"/><Relationship  Id="rId10331" Type="http://schemas.openxmlformats.org/officeDocument/2006/relationships/hyperlink" Target="http://www.linkedin.com/in/denise-chevallet-414309142" TargetMode="External"/><Relationship  Id="rId10332" Type="http://schemas.openxmlformats.org/officeDocument/2006/relationships/hyperlink" Target="http://www.moncourtierfrontalier.com" TargetMode="External"/><Relationship  Id="rId10333" Type="http://schemas.openxmlformats.org/officeDocument/2006/relationships/hyperlink" Target="http://www.linkedin.com/in/vincent-raynal-8913a7103" TargetMode="External"/><Relationship  Id="rId10334" Type="http://schemas.openxmlformats.org/officeDocument/2006/relationships/hyperlink" Target="http://www.also-consulting.fr" TargetMode="External"/><Relationship  Id="rId10335" Type="http://schemas.openxmlformats.org/officeDocument/2006/relationships/hyperlink" Target="http://www.linkedin.com/in/philippe-breuils-86807b138" TargetMode="External"/><Relationship  Id="rId10336" Type="http://schemas.openxmlformats.org/officeDocument/2006/relationships/hyperlink" Target="http://www.linkedin.com/in/thomas-boudinaud-aa889933" TargetMode="External"/><Relationship  Id="rId10337" Type="http://schemas.openxmlformats.org/officeDocument/2006/relationships/hyperlink" Target="http://www.alphawave.fr" TargetMode="External"/><Relationship  Id="rId10338" Type="http://schemas.openxmlformats.org/officeDocument/2006/relationships/hyperlink" Target="http://www.linkedin.com/in/sacha-koskas" TargetMode="External"/><Relationship  Id="rId10339" Type="http://schemas.openxmlformats.org/officeDocument/2006/relationships/hyperlink" Target="http://www.assurancefinanciere.fr" TargetMode="External"/><Relationship  Id="rId1034" Type="http://schemas.openxmlformats.org/officeDocument/2006/relationships/hyperlink" Target="http://www.linkedin.com/in/olivier-le-floch-0899a9" TargetMode="External"/><Relationship  Id="rId10340" Type="http://schemas.openxmlformats.org/officeDocument/2006/relationships/hyperlink" Target="http://www.linkedin.com/in/s%c3%a9bastien-paul-dauphin-14122343" TargetMode="External"/><Relationship  Id="rId10341" Type="http://schemas.openxmlformats.org/officeDocument/2006/relationships/hyperlink" Target="http://www.assurva.fr" TargetMode="External"/><Relationship  Id="rId10342" Type="http://schemas.openxmlformats.org/officeDocument/2006/relationships/hyperlink" Target="http://www.linkedin.com/in/raphael-haziza-78898612" TargetMode="External"/><Relationship  Id="rId10343" Type="http://schemas.openxmlformats.org/officeDocument/2006/relationships/hyperlink" Target="http://www.oko.finance" TargetMode="External"/><Relationship  Id="rId10344" Type="http://schemas.openxmlformats.org/officeDocument/2006/relationships/hyperlink" Target="http://www.linkedin.com/in/ludovic-f%c3%a9tiveau-87b51919" TargetMode="External"/><Relationship  Id="rId10345" Type="http://schemas.openxmlformats.org/officeDocument/2006/relationships/hyperlink" Target="http://www.linkedin.com/in/michel-carite-83b73972" TargetMode="External"/><Relationship  Id="rId10346" Type="http://schemas.openxmlformats.org/officeDocument/2006/relationships/hyperlink" Target="http://www.elexia.fr" TargetMode="External"/><Relationship  Id="rId10347" Type="http://schemas.openxmlformats.org/officeDocument/2006/relationships/hyperlink" Target="http://www.linkedin.com/in/fanny-ridet-8027b31" TargetMode="External"/><Relationship  Id="rId10348" Type="http://schemas.openxmlformats.org/officeDocument/2006/relationships/hyperlink" Target="http://www.cocoon.fr" TargetMode="External"/><Relationship  Id="rId10349" Type="http://schemas.openxmlformats.org/officeDocument/2006/relationships/hyperlink" Target="http://www.linkedin.com/in/nicolas-blachard-0531b25" TargetMode="External"/><Relationship  Id="rId1035" Type="http://schemas.openxmlformats.org/officeDocument/2006/relationships/hyperlink" Target="http://www.linkedin.com/in/thierry-guignard-25908a109" TargetMode="External"/><Relationship  Id="rId10350" Type="http://schemas.openxmlformats.org/officeDocument/2006/relationships/hyperlink" Target="http://www.placementsexpert.com" TargetMode="External"/><Relationship  Id="rId10351" Type="http://schemas.openxmlformats.org/officeDocument/2006/relationships/hyperlink" Target="http://www.linkedin.com/in/maxime-mansuy-24541b139" TargetMode="External"/><Relationship  Id="rId10352" Type="http://schemas.openxmlformats.org/officeDocument/2006/relationships/hyperlink" Target="http://www.groupe-mansuy.com" TargetMode="External"/><Relationship  Id="rId10353" Type="http://schemas.openxmlformats.org/officeDocument/2006/relationships/hyperlink" Target="http://www.linkedin.com/in/alexandre-combalat-49b23a76" TargetMode="External"/><Relationship  Id="rId10354" Type="http://schemas.openxmlformats.org/officeDocument/2006/relationships/hyperlink" Target="http://www.acssur.fr" TargetMode="External"/><Relationship  Id="rId10355" Type="http://schemas.openxmlformats.org/officeDocument/2006/relationships/hyperlink" Target="http://www.linkedin.com/in/geoffrey-morin-b5078a150" TargetMode="External"/><Relationship  Id="rId10356" Type="http://schemas.openxmlformats.org/officeDocument/2006/relationships/hyperlink" Target="http://www.linkedin.com/in/philippe-levavasseur-89a03223" TargetMode="External"/><Relationship  Id="rId10357" Type="http://schemas.openxmlformats.org/officeDocument/2006/relationships/hyperlink" Target="http://www.unisante.com" TargetMode="External"/><Relationship  Id="rId10358" Type="http://schemas.openxmlformats.org/officeDocument/2006/relationships/hyperlink" Target="http://www.linkedin.com/in/catherine-brignoli-ab6502158" TargetMode="External"/><Relationship  Id="rId10359" Type="http://schemas.openxmlformats.org/officeDocument/2006/relationships/hyperlink" Target="http://www.mutuelle-mos.fr" TargetMode="External"/><Relationship  Id="rId1036" Type="http://schemas.openxmlformats.org/officeDocument/2006/relationships/hyperlink" Target="http://www.linkedin.com/in/keyvanbadri" TargetMode="External"/><Relationship  Id="rId10360" Type="http://schemas.openxmlformats.org/officeDocument/2006/relationships/hyperlink" Target="http://www.linkedin.com/in/pigeon-catherine-43128438" TargetMode="External"/><Relationship  Id="rId10361" Type="http://schemas.openxmlformats.org/officeDocument/2006/relationships/hyperlink" Target="http://www.insurem.eu" TargetMode="External"/><Relationship  Id="rId10362" Type="http://schemas.openxmlformats.org/officeDocument/2006/relationships/hyperlink" Target="http://www.linkedin.com/in/laurentfaucillon" TargetMode="External"/><Relationship  Id="rId10363" Type="http://schemas.openxmlformats.org/officeDocument/2006/relationships/hyperlink" Target="http://www.fraeris.fr" TargetMode="External"/><Relationship  Id="rId10364" Type="http://schemas.openxmlformats.org/officeDocument/2006/relationships/hyperlink" Target="http://www.linkedin.com/in/j%c3%a9r%c3%b4me-laemmel-2a6443123" TargetMode="External"/><Relationship  Id="rId10365" Type="http://schemas.openxmlformats.org/officeDocument/2006/relationships/hyperlink" Target="http://www.cva-assurances.fr" TargetMode="External"/><Relationship  Id="rId10366" Type="http://schemas.openxmlformats.org/officeDocument/2006/relationships/hyperlink" Target="http://www.linkedin.com/in/laurent-marseille-83a391157" TargetMode="External"/><Relationship  Id="rId10367" Type="http://schemas.openxmlformats.org/officeDocument/2006/relationships/hyperlink" Target="http://www.amp-net.fr" TargetMode="External"/><Relationship  Id="rId10368" Type="http://schemas.openxmlformats.org/officeDocument/2006/relationships/hyperlink" Target="http://www.linkedin.com/in/eric-maurin" TargetMode="External"/><Relationship  Id="rId10369" Type="http://schemas.openxmlformats.org/officeDocument/2006/relationships/hyperlink" Target="http://www.linkedin.com/in/mathieu-millet-131002115" TargetMode="External"/><Relationship  Id="rId1037" Type="http://schemas.openxmlformats.org/officeDocument/2006/relationships/hyperlink" Target="http://www.merseaparis.com" TargetMode="External"/><Relationship  Id="rId10370" Type="http://schemas.openxmlformats.org/officeDocument/2006/relationships/hyperlink" Target="http://www.evalucar.fr" TargetMode="External"/><Relationship  Id="rId10371" Type="http://schemas.openxmlformats.org/officeDocument/2006/relationships/hyperlink" Target="http://www.linkedin.com/in/karlverger" TargetMode="External"/><Relationship  Id="rId10372" Type="http://schemas.openxmlformats.org/officeDocument/2006/relationships/hyperlink" Target="http://www.lapigroupe.fr" TargetMode="External"/><Relationship  Id="rId10373" Type="http://schemas.openxmlformats.org/officeDocument/2006/relationships/hyperlink" Target="http://lelynx.fr" TargetMode="External"/><Relationship  Id="rId10374" Type="http://schemas.openxmlformats.org/officeDocument/2006/relationships/hyperlink" Target="http://www.linkedin.com/in/arthur-martiano-9896ab1a" TargetMode="External"/><Relationship  Id="rId10375" Type="http://schemas.openxmlformats.org/officeDocument/2006/relationships/hyperlink" Target="http://www.lelynx.fr" TargetMode="External"/><Relationship  Id="rId10376" Type="http://schemas.openxmlformats.org/officeDocument/2006/relationships/hyperlink" Target="http://www.linkedin.com/in/hichem-baba-hammou-b586a192" TargetMode="External"/><Relationship  Id="rId10377" Type="http://schemas.openxmlformats.org/officeDocument/2006/relationships/hyperlink" Target="http://www.hn6.fr" TargetMode="External"/><Relationship  Id="rId10378" Type="http://schemas.openxmlformats.org/officeDocument/2006/relationships/hyperlink" Target="http://www.linkedin.com/in/julien-remy-010176174" TargetMode="External"/><Relationship  Id="rId10379" Type="http://schemas.openxmlformats.org/officeDocument/2006/relationships/hyperlink" Target="http://www.oxylians.fr" TargetMode="External"/><Relationship  Id="rId1038" Type="http://schemas.openxmlformats.org/officeDocument/2006/relationships/hyperlink" Target="http://www.linkedin.com/in/matthieu-le-maitre-7aa8b547" TargetMode="External"/><Relationship  Id="rId10380" Type="http://schemas.openxmlformats.org/officeDocument/2006/relationships/hyperlink" Target="http://www.linkedin.com/in/g%c3%a9rald-loobuyck-4a4b2258" TargetMode="External"/><Relationship  Id="rId10381" Type="http://schemas.openxmlformats.org/officeDocument/2006/relationships/hyperlink" Target="http://www.weendeal.com" TargetMode="External"/><Relationship  Id="rId10382" Type="http://schemas.openxmlformats.org/officeDocument/2006/relationships/hyperlink" Target="http://www.linkedin.com/in/ericjlemaire" TargetMode="External"/><Relationship  Id="rId10383" Type="http://schemas.openxmlformats.org/officeDocument/2006/relationships/hyperlink" Target="http://www.axa.fr" TargetMode="External"/><Relationship  Id="rId10384" Type="http://schemas.openxmlformats.org/officeDocument/2006/relationships/hyperlink" Target="http://www.linkedin.com/in/arnaud-delpierre-26b6233" TargetMode="External"/><Relationship  Id="rId10385" Type="http://schemas.openxmlformats.org/officeDocument/2006/relationships/hyperlink" Target="http://www.dekuple.com" TargetMode="External"/><Relationship  Id="rId10386" Type="http://schemas.openxmlformats.org/officeDocument/2006/relationships/hyperlink" Target="http://www.linkedin.com/in/yannick-schwob-3131435" TargetMode="External"/><Relationship  Id="rId10387" Type="http://schemas.openxmlformats.org/officeDocument/2006/relationships/hyperlink" Target="http://www.avocotes.com" TargetMode="External"/><Relationship  Id="rId10388" Type="http://schemas.openxmlformats.org/officeDocument/2006/relationships/hyperlink" Target="http://www.linkedin.com/in/olivier-binachon-68543912" TargetMode="External"/><Relationship  Id="rId10389" Type="http://schemas.openxmlformats.org/officeDocument/2006/relationships/hyperlink" Target="http://www.federation-courtage.com" TargetMode="External"/><Relationship  Id="rId1039" Type="http://schemas.openxmlformats.org/officeDocument/2006/relationships/hyperlink" Target="http://www.linkedin.com/in/camille-duclos-645a4b48" TargetMode="External"/><Relationship  Id="rId10390" Type="http://schemas.openxmlformats.org/officeDocument/2006/relationships/hyperlink" Target="http://www.linkedin.com/in/fr%c3%a9deric-mok-6926ab147" TargetMode="External"/><Relationship  Id="rId10391" Type="http://schemas.openxmlformats.org/officeDocument/2006/relationships/hyperlink" Target="http://www.buddey.fr" TargetMode="External"/><Relationship  Id="rId10392" Type="http://schemas.openxmlformats.org/officeDocument/2006/relationships/hyperlink" Target="http://www.linkedin.com/in/tristan-de-la-martiniere" TargetMode="External"/><Relationship  Id="rId10393" Type="http://schemas.openxmlformats.org/officeDocument/2006/relationships/hyperlink" Target="http://www.giva.fr" TargetMode="External"/><Relationship  Id="rId10394" Type="http://schemas.openxmlformats.org/officeDocument/2006/relationships/hyperlink" Target="http://www.linkedin.com/in/cyril-bayvet-2b4935b1" TargetMode="External"/><Relationship  Id="rId10395" Type="http://schemas.openxmlformats.org/officeDocument/2006/relationships/hyperlink" Target="http://www.bayvet-basset.com" TargetMode="External"/><Relationship  Id="rId10396" Type="http://schemas.openxmlformats.org/officeDocument/2006/relationships/hyperlink" Target="http://www.linkedin.com/in/sidney-mbassi" TargetMode="External"/><Relationship  Id="rId10397" Type="http://schemas.openxmlformats.org/officeDocument/2006/relationships/hyperlink" Target="http://www.lsmbassurances.com" TargetMode="External"/><Relationship  Id="rId10398" Type="http://schemas.openxmlformats.org/officeDocument/2006/relationships/hyperlink" Target="http://www.linkedin.com/in/soundar-adavane-a6b93165" TargetMode="External"/><Relationship  Id="rId10399" Type="http://schemas.openxmlformats.org/officeDocument/2006/relationships/hyperlink" Target="http://www.joltee.fr" TargetMode="External"/><Relationship  Id="rId104" Type="http://schemas.openxmlformats.org/officeDocument/2006/relationships/hyperlink" Target="http://www.linkedin.com/in/jo%c3%abl-pinto-8164babb" TargetMode="External"/><Relationship  Id="rId1040" Type="http://schemas.openxmlformats.org/officeDocument/2006/relationships/hyperlink" Target="http://www.smaak-natural-food.com" TargetMode="External"/><Relationship  Id="rId10400" Type="http://schemas.openxmlformats.org/officeDocument/2006/relationships/hyperlink" Target="http://www.linkedin.com/in/philippe-pierre-00025487" TargetMode="External"/><Relationship  Id="rId10401" Type="http://schemas.openxmlformats.org/officeDocument/2006/relationships/hyperlink" Target="http://www.xenassur.fr" TargetMode="External"/><Relationship  Id="rId10402" Type="http://schemas.openxmlformats.org/officeDocument/2006/relationships/hyperlink" Target="http://www.linkedin.com/in/caroline-blas-3597b8a2" TargetMode="External"/><Relationship  Id="rId10403" Type="http://schemas.openxmlformats.org/officeDocument/2006/relationships/hyperlink" Target="http://www.carelmutuelle.fr" TargetMode="External"/><Relationship  Id="rId10404" Type="http://schemas.openxmlformats.org/officeDocument/2006/relationships/hyperlink" Target="http://www.linkedin.com/in/kays-bouachik-48884b89" TargetMode="External"/><Relationship  Id="rId10405" Type="http://schemas.openxmlformats.org/officeDocument/2006/relationships/hyperlink" Target="http://www.kayros.tech" TargetMode="External"/><Relationship  Id="rId10406" Type="http://schemas.openxmlformats.org/officeDocument/2006/relationships/hyperlink" Target="http://www.linkedin.com/in/jean-baptiste-l-20001b23" TargetMode="External"/><Relationship  Id="rId10407" Type="http://schemas.openxmlformats.org/officeDocument/2006/relationships/hyperlink" Target="http://www.korint.io" TargetMode="External"/><Relationship  Id="rId10408" Type="http://schemas.openxmlformats.org/officeDocument/2006/relationships/hyperlink" Target="http://www.linkedin.com/in/c%c3%a9dric-mavoungou-874b9b66" TargetMode="External"/><Relationship  Id="rId10409" Type="http://schemas.openxmlformats.org/officeDocument/2006/relationships/hyperlink" Target="http://www.linkedin.com/in/arnaud-gressel" TargetMode="External"/><Relationship  Id="rId1041" Type="http://schemas.openxmlformats.org/officeDocument/2006/relationships/hyperlink" Target="http://www.linkedin.com/in/christelle-lapierre-95b602108" TargetMode="External"/><Relationship  Id="rId10410" Type="http://schemas.openxmlformats.org/officeDocument/2006/relationships/hyperlink" Target="http://www.resco-courtage.com" TargetMode="External"/><Relationship  Id="rId10411" Type="http://schemas.openxmlformats.org/officeDocument/2006/relationships/hyperlink" Target="http://www.linkedin.com/in/xavier-hermand-baa60787" TargetMode="External"/><Relationship  Id="rId10412" Type="http://schemas.openxmlformats.org/officeDocument/2006/relationships/hyperlink" Target="http://www.kenko.fr" TargetMode="External"/><Relationship  Id="rId10413" Type="http://schemas.openxmlformats.org/officeDocument/2006/relationships/hyperlink" Target="http://www.linkedin.com/in/thibaut-marchetti-862b15b7" TargetMode="External"/><Relationship  Id="rId10414" Type="http://schemas.openxmlformats.org/officeDocument/2006/relationships/hyperlink" Target="http://www.libbela.com" TargetMode="External"/><Relationship  Id="rId10415" Type="http://schemas.openxmlformats.org/officeDocument/2006/relationships/hyperlink" Target="http://www.linkedin.com/in/adrien-jacquet-74893497" TargetMode="External"/><Relationship  Id="rId10416" Type="http://schemas.openxmlformats.org/officeDocument/2006/relationships/hyperlink" Target="http://www.immo-assurances.fr" TargetMode="External"/><Relationship  Id="rId10417" Type="http://schemas.openxmlformats.org/officeDocument/2006/relationships/hyperlink" Target="http://www.linkedin.com/in/alexandre-farge-660460b6" TargetMode="External"/><Relationship  Id="rId10418" Type="http://schemas.openxmlformats.org/officeDocument/2006/relationships/hyperlink" Target="http://www.af-patrimoine.com" TargetMode="External"/><Relationship  Id="rId10419" Type="http://schemas.openxmlformats.org/officeDocument/2006/relationships/hyperlink" Target="http://uptimyz.fr" TargetMode="External"/><Relationship  Id="rId1042" Type="http://schemas.openxmlformats.org/officeDocument/2006/relationships/hyperlink" Target="http://www.lapierretraiteur.com" TargetMode="External"/><Relationship  Id="rId10420" Type="http://schemas.openxmlformats.org/officeDocument/2006/relationships/hyperlink" Target="http://www.linkedin.com/in/matthieu-sciacca-uptimyz-fr" TargetMode="External"/><Relationship  Id="rId10421" Type="http://schemas.openxmlformats.org/officeDocument/2006/relationships/hyperlink" Target="http://www.uptimyz.fr" TargetMode="External"/><Relationship  Id="rId10422" Type="http://schemas.openxmlformats.org/officeDocument/2006/relationships/hyperlink" Target="http://www.linkedin.com/in/pauline-closse" TargetMode="External"/><Relationship  Id="rId10423" Type="http://schemas.openxmlformats.org/officeDocument/2006/relationships/hyperlink" Target="http://www.svi-assurances.com" TargetMode="External"/><Relationship  Id="rId10424" Type="http://schemas.openxmlformats.org/officeDocument/2006/relationships/hyperlink" Target="http://www.linkedin.com/in/jordan-broussous" TargetMode="External"/><Relationship  Id="rId10425" Type="http://schemas.openxmlformats.org/officeDocument/2006/relationships/hyperlink" Target="http://www.quartz.eu" TargetMode="External"/><Relationship  Id="rId10426" Type="http://schemas.openxmlformats.org/officeDocument/2006/relationships/hyperlink" Target="http://www.linkedin.com/in/geraudpuechaldou" TargetMode="External"/><Relationship  Id="rId10427" Type="http://schemas.openxmlformats.org/officeDocument/2006/relationships/hyperlink" Target="http://www.segap.com" TargetMode="External"/><Relationship  Id="rId10428" Type="http://schemas.openxmlformats.org/officeDocument/2006/relationships/hyperlink" Target="http://www.linkedin.com/in/mathieu-wauquier-35b31643" TargetMode="External"/><Relationship  Id="rId10429" Type="http://schemas.openxmlformats.org/officeDocument/2006/relationships/hyperlink" Target="http://www.linkedin.com/in/pascal-balard-185257b3" TargetMode="External"/><Relationship  Id="rId1043" Type="http://schemas.openxmlformats.org/officeDocument/2006/relationships/hyperlink" Target="http://www.linkedin.com/in/christian-soenen-ba5570156" TargetMode="External"/><Relationship  Id="rId10430" Type="http://schemas.openxmlformats.org/officeDocument/2006/relationships/hyperlink" Target="http://www.ami3f.com" TargetMode="External"/><Relationship  Id="rId10431" Type="http://schemas.openxmlformats.org/officeDocument/2006/relationships/hyperlink" Target="http://www.linkedin.com/in/alexandre-parker-4b69957b" TargetMode="External"/><Relationship  Id="rId10432" Type="http://schemas.openxmlformats.org/officeDocument/2006/relationships/hyperlink" Target="http://www.madrigal-conseil.fr" TargetMode="External"/><Relationship  Id="rId10433" Type="http://schemas.openxmlformats.org/officeDocument/2006/relationships/hyperlink" Target="http://www.linkedin.com/in/olivier-sanson-504a02b" TargetMode="External"/><Relationship  Id="rId10434" Type="http://schemas.openxmlformats.org/officeDocument/2006/relationships/hyperlink" Target="http://www.salamandre-assurances.fr" TargetMode="External"/><Relationship  Id="rId10435" Type="http://schemas.openxmlformats.org/officeDocument/2006/relationships/hyperlink" Target="http://www.linkedin.com/in/laurentcuzin" TargetMode="External"/><Relationship  Id="rId10436" Type="http://schemas.openxmlformats.org/officeDocument/2006/relationships/hyperlink" Target="http://www.linkedin.com/in/fran%c3%a7ois-xavier-combe" TargetMode="External"/><Relationship  Id="rId10437" Type="http://schemas.openxmlformats.org/officeDocument/2006/relationships/hyperlink" Target="http://www.stello.eu" TargetMode="External"/><Relationship  Id="rId10438" Type="http://schemas.openxmlformats.org/officeDocument/2006/relationships/hyperlink" Target="http://www.linkedin.com/in/guy-leroy-117b2a3" TargetMode="External"/><Relationship  Id="rId10439" Type="http://schemas.openxmlformats.org/officeDocument/2006/relationships/hyperlink" Target="http://www.minalea.com" TargetMode="External"/><Relationship  Id="rId1044" Type="http://schemas.openxmlformats.org/officeDocument/2006/relationships/hyperlink" Target="http://www.ussim-vacances.com" TargetMode="External"/><Relationship  Id="rId10440" Type="http://schemas.openxmlformats.org/officeDocument/2006/relationships/hyperlink" Target="http://www.linkedin.com/in/emelyne-delporte-077080129" TargetMode="External"/><Relationship  Id="rId10441" Type="http://schemas.openxmlformats.org/officeDocument/2006/relationships/hyperlink" Target="http://www.assur-travel.fr" TargetMode="External"/><Relationship  Id="rId10442" Type="http://schemas.openxmlformats.org/officeDocument/2006/relationships/hyperlink" Target="http://www.linkedin.com/in/cl%c3%a9ment-janicot-33b3b61a" TargetMode="External"/><Relationship  Id="rId10443" Type="http://schemas.openxmlformats.org/officeDocument/2006/relationships/hyperlink" Target="http://www.gus-assurance.fr" TargetMode="External"/><Relationship  Id="rId10444" Type="http://schemas.openxmlformats.org/officeDocument/2006/relationships/hyperlink" Target="http://www.linkedin.com/in/patrick-brier-757562211" TargetMode="External"/><Relationship  Id="rId10445" Type="http://schemas.openxmlformats.org/officeDocument/2006/relationships/hyperlink" Target="http://www.avenirsantemutuelle.fr" TargetMode="External"/><Relationship  Id="rId10446" Type="http://schemas.openxmlformats.org/officeDocument/2006/relationships/hyperlink" Target="http://www.linkedin.com/in/isabelle-gueudry-093a7730" TargetMode="External"/><Relationship  Id="rId10447" Type="http://schemas.openxmlformats.org/officeDocument/2006/relationships/hyperlink" Target="http://www.amf-sam.fr" TargetMode="External"/><Relationship  Id="rId10448" Type="http://schemas.openxmlformats.org/officeDocument/2006/relationships/hyperlink" Target="http://www.linkedin.com/in/thibaut-bayvet-09a946194" TargetMode="External"/><Relationship  Id="rId10449" Type="http://schemas.openxmlformats.org/officeDocument/2006/relationships/hyperlink" Target="http://www.linkedin.com/in/xavier-sorel-50b774" TargetMode="External"/><Relationship  Id="rId1045" Type="http://schemas.openxmlformats.org/officeDocument/2006/relationships/hyperlink" Target="http://www.linkedin.com/in/jennifer-hopquin-a950a3136" TargetMode="External"/><Relationship  Id="rId10450" Type="http://schemas.openxmlformats.org/officeDocument/2006/relationships/hyperlink" Target="http://www.imsinsuranceagency.com" TargetMode="External"/><Relationship  Id="rId10451" Type="http://schemas.openxmlformats.org/officeDocument/2006/relationships/hyperlink" Target="http://www.linkedin.com/in/eve-roux-b3618411a" TargetMode="External"/><Relationship  Id="rId10452" Type="http://schemas.openxmlformats.org/officeDocument/2006/relationships/hyperlink" Target="http://www.cnpluxembourg.lu" TargetMode="External"/><Relationship  Id="rId10453" Type="http://schemas.openxmlformats.org/officeDocument/2006/relationships/hyperlink" Target="http://www.linkedin.com/in/jamiewturner" TargetMode="External"/><Relationship  Id="rId10454" Type="http://schemas.openxmlformats.org/officeDocument/2006/relationships/hyperlink" Target="http://www.lucett.com" TargetMode="External"/><Relationship  Id="rId10455" Type="http://schemas.openxmlformats.org/officeDocument/2006/relationships/hyperlink" Target="http://www.linkedin.com/in/brahim-mizmani-677099118" TargetMode="External"/><Relationship  Id="rId10456" Type="http://schemas.openxmlformats.org/officeDocument/2006/relationships/hyperlink" Target="http://www.asekkey.fr" TargetMode="External"/><Relationship  Id="rId10457" Type="http://schemas.openxmlformats.org/officeDocument/2006/relationships/hyperlink" Target="http://www.linkedin.com/in/jean-boucher-638bb619" TargetMode="External"/><Relationship  Id="rId10458" Type="http://schemas.openxmlformats.org/officeDocument/2006/relationships/hyperlink" Target="http://www.mila.direct" TargetMode="External"/><Relationship  Id="rId10459" Type="http://schemas.openxmlformats.org/officeDocument/2006/relationships/hyperlink" Target="http://www.linkedin.com/in/fxhay" TargetMode="External"/><Relationship  Id="rId1046" Type="http://schemas.openxmlformats.org/officeDocument/2006/relationships/hyperlink" Target="http://www.hotelabbayeparis.com" TargetMode="External"/><Relationship  Id="rId10460" Type="http://schemas.openxmlformats.org/officeDocument/2006/relationships/hyperlink" Target="http://www.wingsure.co" TargetMode="External"/><Relationship  Id="rId10461" Type="http://schemas.openxmlformats.org/officeDocument/2006/relationships/hyperlink" Target="http://www.linkedin.com/in/c%c3%a9dric-combaret-078b5146" TargetMode="External"/><Relationship  Id="rId10462" Type="http://schemas.openxmlformats.org/officeDocument/2006/relationships/hyperlink" Target="http://www.guemas-international.com" TargetMode="External"/><Relationship  Id="rId10463" Type="http://schemas.openxmlformats.org/officeDocument/2006/relationships/hyperlink" Target="http://www.linkedin.com/in/yann-quere-57271071" TargetMode="External"/><Relationship  Id="rId10464" Type="http://schemas.openxmlformats.org/officeDocument/2006/relationships/hyperlink" Target="http://www.lourmel.com" TargetMode="External"/><Relationship  Id="rId10465" Type="http://schemas.openxmlformats.org/officeDocument/2006/relationships/hyperlink" Target="http://www.linkedin.com/in/b%c3%a9atrice-genin-44239016b" TargetMode="External"/><Relationship  Id="rId10466" Type="http://schemas.openxmlformats.org/officeDocument/2006/relationships/hyperlink" Target="http://www.malmasson.fr" TargetMode="External"/><Relationship  Id="rId10467" Type="http://schemas.openxmlformats.org/officeDocument/2006/relationships/hyperlink" Target="http://www.linkedin.com/in/thomas-miconnet-390b7360" TargetMode="External"/><Relationship  Id="rId10468" Type="http://schemas.openxmlformats.org/officeDocument/2006/relationships/hyperlink" Target="http://www.linkedin.com/in/anthony-fline-43735a110" TargetMode="External"/><Relationship  Id="rId10469" Type="http://schemas.openxmlformats.org/officeDocument/2006/relationships/hyperlink" Target="http://www.linkedin.com/in/laurent-cauc%c3%a9-163371" TargetMode="External"/><Relationship  Id="rId1047" Type="http://schemas.openxmlformats.org/officeDocument/2006/relationships/hyperlink" Target="http://www.linkedin.com/in/alban-letertre-67ba6156" TargetMode="External"/><Relationship  Id="rId10470" Type="http://schemas.openxmlformats.org/officeDocument/2006/relationships/hyperlink" Target="http://www.linkedin.com/in/claire-lecorche-98a90795" TargetMode="External"/><Relationship  Id="rId10471" Type="http://schemas.openxmlformats.org/officeDocument/2006/relationships/hyperlink" Target="http://www.suisscourtage.com" TargetMode="External"/><Relationship  Id="rId10472" Type="http://schemas.openxmlformats.org/officeDocument/2006/relationships/hyperlink" Target="http://www.linkedin.com/in/b%c3%a9reng%c3%a8re-dezaphix-9b884214" TargetMode="External"/><Relationship  Id="rId10473" Type="http://schemas.openxmlformats.org/officeDocument/2006/relationships/hyperlink" Target="http://www.aelia-assurances.com" TargetMode="External"/><Relationship  Id="rId10474" Type="http://schemas.openxmlformats.org/officeDocument/2006/relationships/hyperlink" Target="http://www.linkedin.com/in/marc-saad-473920bb" TargetMode="External"/><Relationship  Id="rId10475" Type="http://schemas.openxmlformats.org/officeDocument/2006/relationships/hyperlink" Target="http://www.groupevaillanceconseil.fr" TargetMode="External"/><Relationship  Id="rId10476" Type="http://schemas.openxmlformats.org/officeDocument/2006/relationships/hyperlink" Target="http://www.linkedin.com/in/philippe-obert-552580161" TargetMode="External"/><Relationship  Id="rId10477" Type="http://schemas.openxmlformats.org/officeDocument/2006/relationships/hyperlink" Target="http://www.miris-insurance.com" TargetMode="External"/><Relationship  Id="rId10478" Type="http://schemas.openxmlformats.org/officeDocument/2006/relationships/hyperlink" Target="http://www.linkedin.com/in/benoit-heux-59b837a6" TargetMode="External"/><Relationship  Id="rId10479" Type="http://schemas.openxmlformats.org/officeDocument/2006/relationships/hyperlink" Target="http://www.heux-assurances.com" TargetMode="External"/><Relationship  Id="rId1048" Type="http://schemas.openxmlformats.org/officeDocument/2006/relationships/hyperlink" Target="http://www.hotelslitteraires.fr" TargetMode="External"/><Relationship  Id="rId10480" Type="http://schemas.openxmlformats.org/officeDocument/2006/relationships/hyperlink" Target="http://www.linkedin.com/in/edouard-sourisseau-918191113" TargetMode="External"/><Relationship  Id="rId10481" Type="http://schemas.openxmlformats.org/officeDocument/2006/relationships/hyperlink" Target="http://www.manouvelleassurance.fr" TargetMode="External"/><Relationship  Id="rId10482" Type="http://schemas.openxmlformats.org/officeDocument/2006/relationships/hyperlink" Target="http://www.linkedin.com/in/agm1983" TargetMode="External"/><Relationship  Id="rId10483" Type="http://schemas.openxmlformats.org/officeDocument/2006/relationships/hyperlink" Target="http://www.kooalys.com" TargetMode="External"/><Relationship  Id="rId10484" Type="http://schemas.openxmlformats.org/officeDocument/2006/relationships/hyperlink" Target="http://www.linkedin.com/in/ysia-bugeia-ferron-b2644a16" TargetMode="External"/><Relationship  Id="rId10485" Type="http://schemas.openxmlformats.org/officeDocument/2006/relationships/hyperlink" Target="http://www.mutuelle-marseille.com" TargetMode="External"/><Relationship  Id="rId10486" Type="http://schemas.openxmlformats.org/officeDocument/2006/relationships/hyperlink" Target="http://www.linkedin.com/in/pascalgelly" TargetMode="External"/><Relationship  Id="rId10487" Type="http://schemas.openxmlformats.org/officeDocument/2006/relationships/hyperlink" Target="http://www.linkedin.com/in/gerard-suissa-abb3a044" TargetMode="External"/><Relationship  Id="rId10488" Type="http://schemas.openxmlformats.org/officeDocument/2006/relationships/hyperlink" Target="http://www.groupegsa.com" TargetMode="External"/><Relationship  Id="rId10489" Type="http://schemas.openxmlformats.org/officeDocument/2006/relationships/hyperlink" Target="http://www.linkedin.com/in/franck-amiel-8a0190b" TargetMode="External"/><Relationship  Id="rId1049" Type="http://schemas.openxmlformats.org/officeDocument/2006/relationships/hyperlink" Target="http://www.linkedin.com/in/louis-barriquand-326a03b3" TargetMode="External"/><Relationship  Id="rId10490" Type="http://schemas.openxmlformats.org/officeDocument/2006/relationships/hyperlink" Target="http://www.amielpartners.com" TargetMode="External"/><Relationship  Id="rId10491" Type="http://schemas.openxmlformats.org/officeDocument/2006/relationships/hyperlink" Target="http://www.linkedin.com/in/laurent-sauzeau-4a41b8129" TargetMode="External"/><Relationship  Id="rId10492" Type="http://schemas.openxmlformats.org/officeDocument/2006/relationships/hyperlink" Target="http://www.poleposition-assurances.com" TargetMode="External"/><Relationship  Id="rId10493" Type="http://schemas.openxmlformats.org/officeDocument/2006/relationships/hyperlink" Target="http://www.linkedin.com/in/hugo-jacquot-8628b7a1" TargetMode="External"/><Relationship  Id="rId10494" Type="http://schemas.openxmlformats.org/officeDocument/2006/relationships/hyperlink" Target="http://www.fort-insurance.com" TargetMode="External"/><Relationship  Id="rId10495" Type="http://schemas.openxmlformats.org/officeDocument/2006/relationships/hyperlink" Target="http://www.linkedin.com/in/gilles-manent-2bb03128" TargetMode="External"/><Relationship  Id="rId10496" Type="http://schemas.openxmlformats.org/officeDocument/2006/relationships/hyperlink" Target="http://www.disposur.fr" TargetMode="External"/><Relationship  Id="rId10497" Type="http://schemas.openxmlformats.org/officeDocument/2006/relationships/hyperlink" Target="http://www.linkedin.com/in/joachimpicolet-verisante" TargetMode="External"/><Relationship  Id="rId10498" Type="http://schemas.openxmlformats.org/officeDocument/2006/relationships/hyperlink" Target="http://www.verisante.fr" TargetMode="External"/><Relationship  Id="rId10499" Type="http://schemas.openxmlformats.org/officeDocument/2006/relationships/hyperlink" Target="http://www.linkedin.com/in/clara-roux-5550a215" TargetMode="External"/><Relationship  Id="rId105" Type="http://schemas.openxmlformats.org/officeDocument/2006/relationships/hyperlink" Target="http://www.lepopee.fr" TargetMode="External"/><Relationship  Id="rId1050" Type="http://schemas.openxmlformats.org/officeDocument/2006/relationships/hyperlink" Target="http://www.restaurantchezmadeleine.com" TargetMode="External"/><Relationship  Id="rId10500" Type="http://schemas.openxmlformats.org/officeDocument/2006/relationships/hyperlink" Target="http://www.unep-partenaires.fr" TargetMode="External"/><Relationship  Id="rId10501" Type="http://schemas.openxmlformats.org/officeDocument/2006/relationships/hyperlink" Target="http://www.linkedin.com/in/jean-fran%c3%a7ois-vouge-447718" TargetMode="External"/><Relationship  Id="rId10502" Type="http://schemas.openxmlformats.org/officeDocument/2006/relationships/hyperlink" Target="http://www.c-mon-assurance.com" TargetMode="External"/><Relationship  Id="rId10503" Type="http://schemas.openxmlformats.org/officeDocument/2006/relationships/hyperlink" Target="http://www.linkedin.com/in/ramdane-laroubi-a2a439158" TargetMode="External"/><Relationship  Id="rId10504" Type="http://schemas.openxmlformats.org/officeDocument/2006/relationships/hyperlink" Target="http://www.tcheker.fr" TargetMode="External"/><Relationship  Id="rId10505" Type="http://schemas.openxmlformats.org/officeDocument/2006/relationships/hyperlink" Target="http://www.linkedin.com/in/mama-mfomegnam-18639a10" TargetMode="External"/><Relationship  Id="rId10506" Type="http://schemas.openxmlformats.org/officeDocument/2006/relationships/hyperlink" Target="http://www.diasporasante.com" TargetMode="External"/><Relationship  Id="rId10507" Type="http://schemas.openxmlformats.org/officeDocument/2006/relationships/hyperlink" Target="http://www.linkedin.com/in/patrick-guezais-0807b5a9" TargetMode="External"/><Relationship  Id="rId10508" Type="http://schemas.openxmlformats.org/officeDocument/2006/relationships/hyperlink" Target="http://www.esassurances.com" TargetMode="External"/><Relationship  Id="rId10509" Type="http://schemas.openxmlformats.org/officeDocument/2006/relationships/hyperlink" Target="http://www.linkedin.com/in/karine-dubreuilh-22127098" TargetMode="External"/><Relationship  Id="rId1051" Type="http://schemas.openxmlformats.org/officeDocument/2006/relationships/hyperlink" Target="http://www.linkedin.com/in/lahiruweladawe" TargetMode="External"/><Relationship  Id="rId10510" Type="http://schemas.openxmlformats.org/officeDocument/2006/relationships/hyperlink" Target="http://www.mutuelle403.fr" TargetMode="External"/><Relationship  Id="rId10511" Type="http://schemas.openxmlformats.org/officeDocument/2006/relationships/hyperlink" Target="http://www.linkedin.com/in/sfavaretto" TargetMode="External"/><Relationship  Id="rId10512" Type="http://schemas.openxmlformats.org/officeDocument/2006/relationships/hyperlink" Target="http://www.linkedin.com/in/jean-christophe-roig" TargetMode="External"/><Relationship  Id="rId10513" Type="http://schemas.openxmlformats.org/officeDocument/2006/relationships/hyperlink" Target="http://www.omniland.fr" TargetMode="External"/><Relationship  Id="rId10514" Type="http://schemas.openxmlformats.org/officeDocument/2006/relationships/hyperlink" Target="http://www.linkedin.com/in/gerard-deray-4740341bb" TargetMode="External"/><Relationship  Id="rId10515" Type="http://schemas.openxmlformats.org/officeDocument/2006/relationships/hyperlink" Target="http://www.linkedin.com/in/christophe-bremard" TargetMode="External"/><Relationship  Id="rId10516" Type="http://schemas.openxmlformats.org/officeDocument/2006/relationships/hyperlink" Target="http://www.cap-assurances.net" TargetMode="External"/><Relationship  Id="rId10517" Type="http://schemas.openxmlformats.org/officeDocument/2006/relationships/hyperlink" Target="http://www.linkedin.com/in/philippe-maximin-9458101" TargetMode="External"/><Relationship  Id="rId10518" Type="http://schemas.openxmlformats.org/officeDocument/2006/relationships/hyperlink" Target="http://www.linkedin.com/in/fxredier" TargetMode="External"/><Relationship  Id="rId10519" Type="http://schemas.openxmlformats.org/officeDocument/2006/relationships/hyperlink" Target="http://www.lecedreconseils.fr" TargetMode="External"/><Relationship  Id="rId1052" Type="http://schemas.openxmlformats.org/officeDocument/2006/relationships/hyperlink" Target="http://www.kolamparis.com" TargetMode="External"/><Relationship  Id="rId10520" Type="http://schemas.openxmlformats.org/officeDocument/2006/relationships/hyperlink" Target="http://www.linkedin.com/in/mohamed-baccouche-phd-36678117" TargetMode="External"/><Relationship  Id="rId10521" Type="http://schemas.openxmlformats.org/officeDocument/2006/relationships/hyperlink" Target="http://www.yakoota.fr" TargetMode="External"/><Relationship  Id="rId10522" Type="http://schemas.openxmlformats.org/officeDocument/2006/relationships/hyperlink" Target="http://www.linkedin.com/in/bertrand-fran%c3%a7ois-thorel-96950051" TargetMode="External"/><Relationship  Id="rId10523" Type="http://schemas.openxmlformats.org/officeDocument/2006/relationships/hyperlink" Target="http://www.valeurs-assurances.com" TargetMode="External"/><Relationship  Id="rId10524" Type="http://schemas.openxmlformats.org/officeDocument/2006/relationships/hyperlink" Target="http://www.linkedin.com/in/gr%c3%a9goire-sicard-a10b0216b" TargetMode="External"/><Relationship  Id="rId10525" Type="http://schemas.openxmlformats.org/officeDocument/2006/relationships/hyperlink" Target="http://wyneed.fr" TargetMode="External"/><Relationship  Id="rId10526" Type="http://schemas.openxmlformats.org/officeDocument/2006/relationships/hyperlink" Target="http://www.linkedin.com/in/rivka-belhassen" TargetMode="External"/><Relationship  Id="rId10527" Type="http://schemas.openxmlformats.org/officeDocument/2006/relationships/hyperlink" Target="http://help-assurances.com" TargetMode="External"/><Relationship  Id="rId10528" Type="http://schemas.openxmlformats.org/officeDocument/2006/relationships/hyperlink" Target="http://www.linkedin.com/in/guillaume-mariotto-69a63ba8" TargetMode="External"/><Relationship  Id="rId10529" Type="http://schemas.openxmlformats.org/officeDocument/2006/relationships/hyperlink" Target="http://occitanie-credit.fr" TargetMode="External"/><Relationship  Id="rId1053" Type="http://schemas.openxmlformats.org/officeDocument/2006/relationships/hyperlink" Target="http://www.linkedin.com/in/karine-maury-allilaire-480276261" TargetMode="External"/><Relationship  Id="rId10530" Type="http://schemas.openxmlformats.org/officeDocument/2006/relationships/hyperlink" Target="http://www.linkedin.com/in/yonathan-lellouche-dahan-46826430" TargetMode="External"/><Relationship  Id="rId10531" Type="http://schemas.openxmlformats.org/officeDocument/2006/relationships/hyperlink" Target="http://www.yonivers.com" TargetMode="External"/><Relationship  Id="rId10532" Type="http://schemas.openxmlformats.org/officeDocument/2006/relationships/hyperlink" Target="http://www.linkedin.com/in/nicolasth%c3%a9rond" TargetMode="External"/><Relationship  Id="rId10533" Type="http://schemas.openxmlformats.org/officeDocument/2006/relationships/hyperlink" Target="http://retro.fr" TargetMode="External"/><Relationship  Id="rId10534" Type="http://schemas.openxmlformats.org/officeDocument/2006/relationships/hyperlink" Target="http://www.linkedin.com/in/j%c3%a9r%c3%a9my-cohen-17904a16" TargetMode="External"/><Relationship  Id="rId10535" Type="http://schemas.openxmlformats.org/officeDocument/2006/relationships/hyperlink" Target="http://phoceapatrimoine.com" TargetMode="External"/><Relationship  Id="rId10536" Type="http://schemas.openxmlformats.org/officeDocument/2006/relationships/hyperlink" Target="http://www.linkedin.com/in/amaury-louvet" TargetMode="External"/><Relationship  Id="rId10537" Type="http://schemas.openxmlformats.org/officeDocument/2006/relationships/hyperlink" Target="http://louvet-assurances.fr" TargetMode="External"/><Relationship  Id="rId10538" Type="http://schemas.openxmlformats.org/officeDocument/2006/relationships/hyperlink" Target="http://www.linkedin.com/in/julien-renauld-62970750" TargetMode="External"/><Relationship  Id="rId10539" Type="http://schemas.openxmlformats.org/officeDocument/2006/relationships/hyperlink" Target="http://wizzas.com" TargetMode="External"/><Relationship  Id="rId1054" Type="http://schemas.openxmlformats.org/officeDocument/2006/relationships/hyperlink" Target="http://www.pof-france.com" TargetMode="External"/><Relationship  Id="rId10540" Type="http://schemas.openxmlformats.org/officeDocument/2006/relationships/hyperlink" Target="http://www.linkedin.com/in/laurent-sengier-699689b4" TargetMode="External"/><Relationship  Id="rId10541" Type="http://schemas.openxmlformats.org/officeDocument/2006/relationships/hyperlink" Target="http://www.soluciaspj.fr" TargetMode="External"/><Relationship  Id="rId10542" Type="http://schemas.openxmlformats.org/officeDocument/2006/relationships/hyperlink" Target="http://www.linkedin.com/in/laurent-daunizeau-518a3639" TargetMode="External"/><Relationship  Id="rId10543" Type="http://schemas.openxmlformats.org/officeDocument/2006/relationships/hyperlink" Target="http://cepyassurances.fr" TargetMode="External"/><Relationship  Id="rId10544" Type="http://schemas.openxmlformats.org/officeDocument/2006/relationships/hyperlink" Target="http://www.linkedin.com/in/latifa-vittet-120b517b" TargetMode="External"/><Relationship  Id="rId10545" Type="http://schemas.openxmlformats.org/officeDocument/2006/relationships/hyperlink" Target="http://projassur.com" TargetMode="External"/><Relationship  Id="rId10546" Type="http://schemas.openxmlformats.org/officeDocument/2006/relationships/hyperlink" Target="http://www.linkedin.com/in/armand-anne-87486715b" TargetMode="External"/><Relationship  Id="rId10547" Type="http://schemas.openxmlformats.org/officeDocument/2006/relationships/hyperlink" Target="http://atomescourtage.fr" TargetMode="External"/><Relationship  Id="rId10548" Type="http://schemas.openxmlformats.org/officeDocument/2006/relationships/hyperlink" Target="http://www.linkedin.com/in/lindsey-dufay-529629173" TargetMode="External"/><Relationship  Id="rId10549" Type="http://schemas.openxmlformats.org/officeDocument/2006/relationships/hyperlink" Target="http://www.bye-creances.fr" TargetMode="External"/><Relationship  Id="rId1055" Type="http://schemas.openxmlformats.org/officeDocument/2006/relationships/hyperlink" Target="http://www.linkedin.com/in/fr%c3%a9d%c3%a9ric-hamet-b16b305a" TargetMode="External"/><Relationship  Id="rId10550" Type="http://schemas.openxmlformats.org/officeDocument/2006/relationships/hyperlink" Target="http://www.linkedin.com/in/roxane-augen-langonne-b36865108" TargetMode="External"/><Relationship  Id="rId10551" Type="http://schemas.openxmlformats.org/officeDocument/2006/relationships/hyperlink" Target="http://randjcourtage.fr" TargetMode="External"/><Relationship  Id="rId10552" Type="http://schemas.openxmlformats.org/officeDocument/2006/relationships/hyperlink" Target="http://www.linkedin.com/in/jean-pamart-9197a211b" TargetMode="External"/><Relationship  Id="rId10553" Type="http://schemas.openxmlformats.org/officeDocument/2006/relationships/hyperlink" Target="http://elenassur.com" TargetMode="External"/><Relationship  Id="rId10554" Type="http://schemas.openxmlformats.org/officeDocument/2006/relationships/hyperlink" Target="http://www.linkedin.com/in/olivier-pawlak-32910573" TargetMode="External"/><Relationship  Id="rId10555" Type="http://schemas.openxmlformats.org/officeDocument/2006/relationships/hyperlink" Target="http://acebaysolutions.com" TargetMode="External"/><Relationship  Id="rId10556" Type="http://schemas.openxmlformats.org/officeDocument/2006/relationships/hyperlink" Target="http://www.linkedin.com/in/steve-saez-626501aa" TargetMode="External"/><Relationship  Id="rId10557" Type="http://schemas.openxmlformats.org/officeDocument/2006/relationships/hyperlink" Target="http://reflexe-accident.fr" TargetMode="External"/><Relationship  Id="rId10558" Type="http://schemas.openxmlformats.org/officeDocument/2006/relationships/hyperlink" Target="http://www.linkedin.com/in/fr%c3%a9d%c3%a9rique-walbert-84b74320" TargetMode="External"/><Relationship  Id="rId10559" Type="http://schemas.openxmlformats.org/officeDocument/2006/relationships/hyperlink" Target="http://www.francecourtage.fr" TargetMode="External"/><Relationship  Id="rId1056" Type="http://schemas.openxmlformats.org/officeDocument/2006/relationships/hyperlink" Target="http://www.xperteo.com" TargetMode="External"/><Relationship  Id="rId10560" Type="http://schemas.openxmlformats.org/officeDocument/2006/relationships/hyperlink" Target="http://www.linkedin.com/in/grace-diarrassouba-epse-amoikon-%e2%ad%90%ef%b8%8f%e2%ad%90%ef%b8%8f%e2%ad%90%ef%b8%8f-8b3ab250" TargetMode="External"/><Relationship  Id="rId10561" Type="http://schemas.openxmlformats.org/officeDocument/2006/relationships/hyperlink" Target="http://www.linkedin.com/in/ericdandelot" TargetMode="External"/><Relationship  Id="rId10562" Type="http://schemas.openxmlformats.org/officeDocument/2006/relationships/hyperlink" Target="http://clark.fr" TargetMode="External"/><Relationship  Id="rId10563" Type="http://schemas.openxmlformats.org/officeDocument/2006/relationships/hyperlink" Target="http://www.linkedin.com/in/th%c3%a9odore-hedengren-6309b0b" TargetMode="External"/><Relationship  Id="rId10564" Type="http://schemas.openxmlformats.org/officeDocument/2006/relationships/hyperlink" Target="http://thesia.fr" TargetMode="External"/><Relationship  Id="rId10565" Type="http://schemas.openxmlformats.org/officeDocument/2006/relationships/hyperlink" Target="http://www.linkedin.com/in/guillaume-moreau-b394b936" TargetMode="External"/><Relationship  Id="rId10566" Type="http://schemas.openxmlformats.org/officeDocument/2006/relationships/hyperlink" Target="http://racecare.fr" TargetMode="External"/><Relationship  Id="rId10567" Type="http://schemas.openxmlformats.org/officeDocument/2006/relationships/hyperlink" Target="http://www.linkedin.com/in/alexandre-guibert-516746114" TargetMode="External"/><Relationship  Id="rId10568" Type="http://schemas.openxmlformats.org/officeDocument/2006/relationships/hyperlink" Target="http://sgacourtage.fr" TargetMode="External"/><Relationship  Id="rId10569" Type="http://schemas.openxmlformats.org/officeDocument/2006/relationships/hyperlink" Target="http://www.linkedin.com/in/laurentragot" TargetMode="External"/><Relationship  Id="rId1057" Type="http://schemas.openxmlformats.org/officeDocument/2006/relationships/hyperlink" Target="http://www.linkedin.com/in/patherne-kotto-b34698147" TargetMode="External"/><Relationship  Id="rId10570" Type="http://schemas.openxmlformats.org/officeDocument/2006/relationships/hyperlink" Target="http://orbisconsult.fr" TargetMode="External"/><Relationship  Id="rId10571" Type="http://schemas.openxmlformats.org/officeDocument/2006/relationships/hyperlink" Target="http://www.linkedin.com/in/soufiane-el-handa" TargetMode="External"/><Relationship  Id="rId10572" Type="http://schemas.openxmlformats.org/officeDocument/2006/relationships/hyperlink" Target="http://lescourtiersdefrance.fr" TargetMode="External"/><Relationship  Id="rId10573" Type="http://schemas.openxmlformats.org/officeDocument/2006/relationships/hyperlink" Target="http://www.linkedin.com/in/emmanuel-lallier-a41274199" TargetMode="External"/><Relationship  Id="rId10574" Type="http://schemas.openxmlformats.org/officeDocument/2006/relationships/hyperlink" Target="http://optym.fr" TargetMode="External"/><Relationship  Id="rId10575" Type="http://schemas.openxmlformats.org/officeDocument/2006/relationships/hyperlink" Target="http://www.linkedin.com/in/mathieu-orsini-b2ba1" TargetMode="External"/><Relationship  Id="rId10576" Type="http://schemas.openxmlformats.org/officeDocument/2006/relationships/hyperlink" Target="http://adaequatio.fr" TargetMode="External"/><Relationship  Id="rId10577" Type="http://schemas.openxmlformats.org/officeDocument/2006/relationships/hyperlink" Target="http://www.linkedin.com/in/zacharie-abenhaim-7b8382108" TargetMode="External"/><Relationship  Id="rId10578" Type="http://schemas.openxmlformats.org/officeDocument/2006/relationships/hyperlink" Target="http://cab-elab.fr" TargetMode="External"/><Relationship  Id="rId10579" Type="http://schemas.openxmlformats.org/officeDocument/2006/relationships/hyperlink" Target="http://www.linkedin.com/in/r%c3%a9gis-delayat-b05b5a5" TargetMode="External"/><Relationship  Id="rId1058" Type="http://schemas.openxmlformats.org/officeDocument/2006/relationships/hyperlink" Target="http://www.bkapstrategies.com" TargetMode="External"/><Relationship  Id="rId10580" Type="http://schemas.openxmlformats.org/officeDocument/2006/relationships/hyperlink" Target="http://www.cogitanda.com" TargetMode="External"/><Relationship  Id="rId10581" Type="http://schemas.openxmlformats.org/officeDocument/2006/relationships/hyperlink" Target="http://www.linkedin.com/in/valentin-planche-059023105" TargetMode="External"/><Relationship  Id="rId10582" Type="http://schemas.openxmlformats.org/officeDocument/2006/relationships/hyperlink" Target="http://brokin.fr" TargetMode="External"/><Relationship  Id="rId10583" Type="http://schemas.openxmlformats.org/officeDocument/2006/relationships/hyperlink" Target="http://www.linkedin.com/in/chrystelle-brun" TargetMode="External"/><Relationship  Id="rId10584" Type="http://schemas.openxmlformats.org/officeDocument/2006/relationships/hyperlink" Target="http://assur-tous-risques.com" TargetMode="External"/><Relationship  Id="rId10585" Type="http://schemas.openxmlformats.org/officeDocument/2006/relationships/hyperlink" Target="http://www.linkedin.com/in/pierre-schuller-1aa282108" TargetMode="External"/><Relationship  Id="rId10586" Type="http://schemas.openxmlformats.org/officeDocument/2006/relationships/hyperlink" Target="http://schuller-schuller.fr" TargetMode="External"/><Relationship  Id="rId10587" Type="http://schemas.openxmlformats.org/officeDocument/2006/relationships/hyperlink" Target="http://www.linkedin.com/in/denis-blanc-8109074b" TargetMode="External"/><Relationship  Id="rId10588" Type="http://schemas.openxmlformats.org/officeDocument/2006/relationships/hyperlink" Target="http://actuaires-associes.com" TargetMode="External"/><Relationship  Id="rId10589" Type="http://schemas.openxmlformats.org/officeDocument/2006/relationships/hyperlink" Target="http://www.linkedin.com/in/damienv" TargetMode="External"/><Relationship  Id="rId1059" Type="http://schemas.openxmlformats.org/officeDocument/2006/relationships/hyperlink" Target="http://www.linkedin.com/in/geoffrey-diem-96715913" TargetMode="External"/><Relationship  Id="rId10590" Type="http://schemas.openxmlformats.org/officeDocument/2006/relationships/hyperlink" Target="http://www.gerep.fr" TargetMode="External"/><Relationship  Id="rId10591" Type="http://schemas.openxmlformats.org/officeDocument/2006/relationships/hyperlink" Target="http://www.linkedin.com/in/mariam-grigorian" TargetMode="External"/><Relationship  Id="rId10592" Type="http://schemas.openxmlformats.org/officeDocument/2006/relationships/hyperlink" Target="http://ofracar.fr" TargetMode="External"/><Relationship  Id="rId10593" Type="http://schemas.openxmlformats.org/officeDocument/2006/relationships/hyperlink" Target="http://www.linkedin.com/in/hicham-moutaani-14010173" TargetMode="External"/><Relationship  Id="rId10594" Type="http://schemas.openxmlformats.org/officeDocument/2006/relationships/hyperlink" Target="http://www.linkedin.com/in/assurancesentreprises-sylvain-de-nombel" TargetMode="External"/><Relationship  Id="rId10595" Type="http://schemas.openxmlformats.org/officeDocument/2006/relationships/hyperlink" Target="http://fabre-de-nombel.com" TargetMode="External"/><Relationship  Id="rId10596" Type="http://schemas.openxmlformats.org/officeDocument/2006/relationships/hyperlink" Target="http://www.linkedin.com/in/olivierxlegrand" TargetMode="External"/><Relationship  Id="rId10597" Type="http://schemas.openxmlformats.org/officeDocument/2006/relationships/hyperlink" Target="http://www.little-john.io" TargetMode="External"/><Relationship  Id="rId10598" Type="http://schemas.openxmlformats.org/officeDocument/2006/relationships/hyperlink" Target="http://www.linkedin.com/in/amelie-joffroy-03b5b0250" TargetMode="External"/><Relationship  Id="rId10599" Type="http://schemas.openxmlformats.org/officeDocument/2006/relationships/hyperlink" Target="http://www.linkedin.com/in/yves-faraud-27882828" TargetMode="External"/><Relationship  Id="rId106" Type="http://schemas.openxmlformats.org/officeDocument/2006/relationships/hyperlink" Target="http://www.linkedin.com/in/vito-santoro-82aa8211b" TargetMode="External"/><Relationship  Id="rId1060" Type="http://schemas.openxmlformats.org/officeDocument/2006/relationships/hyperlink" Target="http://www.resthohospitality.com" TargetMode="External"/><Relationship  Id="rId10600" Type="http://schemas.openxmlformats.org/officeDocument/2006/relationships/hyperlink" Target="http://mutuelle-entrain.fr" TargetMode="External"/><Relationship  Id="rId10601" Type="http://schemas.openxmlformats.org/officeDocument/2006/relationships/hyperlink" Target="http://www.linkedin.com/in/thierry-delcupe-6460247" TargetMode="External"/><Relationship  Id="rId10602" Type="http://schemas.openxmlformats.org/officeDocument/2006/relationships/hyperlink" Target="http://www.linkedin.com/in/nicolas-koran-a520869a" TargetMode="External"/><Relationship  Id="rId10603" Type="http://schemas.openxmlformats.org/officeDocument/2006/relationships/hyperlink" Target="http://www.linkedin.com/in/axelcalandre" TargetMode="External"/><Relationship  Id="rId10604" Type="http://schemas.openxmlformats.org/officeDocument/2006/relationships/hyperlink" Target="http://www.pheno.men" TargetMode="External"/><Relationship  Id="rId10605" Type="http://schemas.openxmlformats.org/officeDocument/2006/relationships/hyperlink" Target="http://www.linkedin.com/in/lionel-mari-527a7463" TargetMode="External"/><Relationship  Id="rId10606" Type="http://schemas.openxmlformats.org/officeDocument/2006/relationships/hyperlink" Target="http://kiassure.com" TargetMode="External"/><Relationship  Id="rId10607" Type="http://schemas.openxmlformats.org/officeDocument/2006/relationships/hyperlink" Target="http://www.linkedin.com/in/val%c3%a9rie-gagnant-84b507197" TargetMode="External"/><Relationship  Id="rId10608" Type="http://schemas.openxmlformats.org/officeDocument/2006/relationships/hyperlink" Target="http://lecourtiergenereux.fr" TargetMode="External"/><Relationship  Id="rId10609" Type="http://schemas.openxmlformats.org/officeDocument/2006/relationships/hyperlink" Target="http://www.linkedin.com/in/lucasvelimirovic" TargetMode="External"/><Relationship  Id="rId1061" Type="http://schemas.openxmlformats.org/officeDocument/2006/relationships/hyperlink" Target="http://www.linkedin.com/in/marwan-chamoun-34b56518" TargetMode="External"/><Relationship  Id="rId10610" Type="http://schemas.openxmlformats.org/officeDocument/2006/relationships/hyperlink" Target="http://www.gritchen.fr" TargetMode="External"/><Relationship  Id="rId10611" Type="http://schemas.openxmlformats.org/officeDocument/2006/relationships/hyperlink" Target="http://www.linkedin.com/in/st%c3%a9phane-margall-b1237746" TargetMode="External"/><Relationship  Id="rId10612" Type="http://schemas.openxmlformats.org/officeDocument/2006/relationships/hyperlink" Target="http://yogassur.fr" TargetMode="External"/><Relationship  Id="rId10613" Type="http://schemas.openxmlformats.org/officeDocument/2006/relationships/hyperlink" Target="http://www.linkedin.com/in/stephanie-voiseux-viel-535a5b94" TargetMode="External"/><Relationship  Id="rId10614" Type="http://schemas.openxmlformats.org/officeDocument/2006/relationships/hyperlink" Target="http://cerap.com" TargetMode="External"/><Relationship  Id="rId10615" Type="http://schemas.openxmlformats.org/officeDocument/2006/relationships/hyperlink" Target="http://www.linkedin.com/in/rosa-seabra-a0045299" TargetMode="External"/><Relationship  Id="rId10616" Type="http://schemas.openxmlformats.org/officeDocument/2006/relationships/hyperlink" Target="http://aviabroking.fr" TargetMode="External"/><Relationship  Id="rId10617" Type="http://schemas.openxmlformats.org/officeDocument/2006/relationships/hyperlink" Target="http://www.linkedin.com/in/thomas-grisendi-hbjo" TargetMode="External"/><Relationship  Id="rId10618" Type="http://schemas.openxmlformats.org/officeDocument/2006/relationships/hyperlink" Target="http://hbjo-ac.fr" TargetMode="External"/><Relationship  Id="rId10619" Type="http://schemas.openxmlformats.org/officeDocument/2006/relationships/hyperlink" Target="http://www.linkedin.com/in/valentin-bougerolle" TargetMode="External"/><Relationship  Id="rId1062" Type="http://schemas.openxmlformats.org/officeDocument/2006/relationships/hyperlink" Target="http://www.legrandliban.com" TargetMode="External"/><Relationship  Id="rId10620" Type="http://schemas.openxmlformats.org/officeDocument/2006/relationships/hyperlink" Target="http://bify.fr" TargetMode="External"/><Relationship  Id="rId10621" Type="http://schemas.openxmlformats.org/officeDocument/2006/relationships/hyperlink" Target="http://www.linkedin.com/in/sylvain-rivet-2b921385" TargetMode="External"/><Relationship  Id="rId10622" Type="http://schemas.openxmlformats.org/officeDocument/2006/relationships/hyperlink" Target="http://www.cgpa.fr" TargetMode="External"/><Relationship  Id="rId10623" Type="http://schemas.openxmlformats.org/officeDocument/2006/relationships/hyperlink" Target="http://www.linkedin.com/in/saliou-mbodji-03184425" TargetMode="External"/><Relationship  Id="rId10624" Type="http://schemas.openxmlformats.org/officeDocument/2006/relationships/hyperlink" Target="http://asm-assurance.com" TargetMode="External"/><Relationship  Id="rId10625" Type="http://schemas.openxmlformats.org/officeDocument/2006/relationships/hyperlink" Target="http://www.linkedin.com/in/patrice-gu%c3%a9det-gu%c3%a9pratte-12a1b768" TargetMode="External"/><Relationship  Id="rId10626" Type="http://schemas.openxmlformats.org/officeDocument/2006/relationships/hyperlink" Target="http://opega.fr" TargetMode="External"/><Relationship  Id="rId10627" Type="http://schemas.openxmlformats.org/officeDocument/2006/relationships/hyperlink" Target="http://www.linkedin.com/in/rachid-abdou-803b961b1" TargetMode="External"/><Relationship  Id="rId10628" Type="http://schemas.openxmlformats.org/officeDocument/2006/relationships/hyperlink" Target="http://efci-france.fr" TargetMode="External"/><Relationship  Id="rId10629" Type="http://schemas.openxmlformats.org/officeDocument/2006/relationships/hyperlink" Target="http://www.linkedin.com/in/lionel-chassin-527a34212" TargetMode="External"/><Relationship  Id="rId1063" Type="http://schemas.openxmlformats.org/officeDocument/2006/relationships/hyperlink" Target="http://www.linkedin.com/in/eric-blanc-807a4513" TargetMode="External"/><Relationship  Id="rId10630" Type="http://schemas.openxmlformats.org/officeDocument/2006/relationships/hyperlink" Target="http://optimassurance.fr" TargetMode="External"/><Relationship  Id="rId10631" Type="http://schemas.openxmlformats.org/officeDocument/2006/relationships/hyperlink" Target="http://www.linkedin.com/in/judith-goldnadel-99a09861" TargetMode="External"/><Relationship  Id="rId10632" Type="http://schemas.openxmlformats.org/officeDocument/2006/relationships/hyperlink" Target="http://art-assurance.com" TargetMode="External"/><Relationship  Id="rId10633" Type="http://schemas.openxmlformats.org/officeDocument/2006/relationships/hyperlink" Target="http://www.linkedin.com/in/salim-khalil-a2aaa11b0" TargetMode="External"/><Relationship  Id="rId10634" Type="http://schemas.openxmlformats.org/officeDocument/2006/relationships/hyperlink" Target="http://cipret.com" TargetMode="External"/><Relationship  Id="rId10635" Type="http://schemas.openxmlformats.org/officeDocument/2006/relationships/hyperlink" Target="http://www.linkedin.com/in/zied-ketata-72617b34" TargetMode="External"/><Relationship  Id="rId10636" Type="http://schemas.openxmlformats.org/officeDocument/2006/relationships/hyperlink" Target="http://www.linkedin.com/in/laurent-boudet-052b46212" TargetMode="External"/><Relationship  Id="rId10637" Type="http://schemas.openxmlformats.org/officeDocument/2006/relationships/hyperlink" Target="http://cmam.fr" TargetMode="External"/><Relationship  Id="rId10638" Type="http://schemas.openxmlformats.org/officeDocument/2006/relationships/hyperlink" Target="http://www.linkedin.com/in/thomas-prates-700451123" TargetMode="External"/><Relationship  Id="rId10639" Type="http://schemas.openxmlformats.org/officeDocument/2006/relationships/hyperlink" Target="http://ona-conseil.fr" TargetMode="External"/><Relationship  Id="rId1064" Type="http://schemas.openxmlformats.org/officeDocument/2006/relationships/hyperlink" Target="http://www.7urbansuites.fr" TargetMode="External"/><Relationship  Id="rId10640" Type="http://schemas.openxmlformats.org/officeDocument/2006/relationships/hyperlink" Target="http://www.linkedin.com/in/patrice-martin-653153211" TargetMode="External"/><Relationship  Id="rId10641" Type="http://schemas.openxmlformats.org/officeDocument/2006/relationships/hyperlink" Target="http://medexpertises.fr" TargetMode="External"/><Relationship  Id="rId10642" Type="http://schemas.openxmlformats.org/officeDocument/2006/relationships/hyperlink" Target="http://www.linkedin.com/in/yves-coste-44aab5170" TargetMode="External"/><Relationship  Id="rId10643" Type="http://schemas.openxmlformats.org/officeDocument/2006/relationships/hyperlink" Target="http://coste-fermon.fr" TargetMode="External"/><Relationship  Id="rId10644" Type="http://schemas.openxmlformats.org/officeDocument/2006/relationships/hyperlink" Target="http://www.linkedin.com/in/franck-pelle-4280774b" TargetMode="External"/><Relationship  Id="rId10645" Type="http://schemas.openxmlformats.org/officeDocument/2006/relationships/hyperlink" Target="http://wellcov.com" TargetMode="External"/><Relationship  Id="rId10646" Type="http://schemas.openxmlformats.org/officeDocument/2006/relationships/hyperlink" Target="http://www.linkedin.com/in/olivier-guilloux" TargetMode="External"/><Relationship  Id="rId10647" Type="http://schemas.openxmlformats.org/officeDocument/2006/relationships/hyperlink" Target="http://elitegp.fr" TargetMode="External"/><Relationship  Id="rId10648" Type="http://schemas.openxmlformats.org/officeDocument/2006/relationships/hyperlink" Target="http://www.linkedin.com/in/b%c3%a9atrice-granjean-684726180" TargetMode="External"/><Relationship  Id="rId10649" Type="http://schemas.openxmlformats.org/officeDocument/2006/relationships/hyperlink" Target="http://www.kerialis.fr" TargetMode="External"/><Relationship  Id="rId1065" Type="http://schemas.openxmlformats.org/officeDocument/2006/relationships/hyperlink" Target="http://www.linkedin.com/in/cjcheng" TargetMode="External"/><Relationship  Id="rId10650" Type="http://schemas.openxmlformats.org/officeDocument/2006/relationships/hyperlink" Target="http://www.linkedin.com/in/jo%c3%abl-dockwiller-8288381a" TargetMode="External"/><Relationship  Id="rId10651" Type="http://schemas.openxmlformats.org/officeDocument/2006/relationships/hyperlink" Target="http://www.smeno.com" TargetMode="External"/><Relationship  Id="rId10652" Type="http://schemas.openxmlformats.org/officeDocument/2006/relationships/hyperlink" Target="http://www.linkedin.com/in/simon-bensaid" TargetMode="External"/><Relationship  Id="rId10653" Type="http://schemas.openxmlformats.org/officeDocument/2006/relationships/hyperlink" Target="http://ediifice.com" TargetMode="External"/><Relationship  Id="rId10654" Type="http://schemas.openxmlformats.org/officeDocument/2006/relationships/hyperlink" Target="http://www.linkedin.com/in/j%c3%b6rg-kochniss-4a1534218" TargetMode="External"/><Relationship  Id="rId10655" Type="http://schemas.openxmlformats.org/officeDocument/2006/relationships/hyperlink" Target="http://opteven.de" TargetMode="External"/><Relationship  Id="rId10656" Type="http://schemas.openxmlformats.org/officeDocument/2006/relationships/hyperlink" Target="http://www.linkedin.com/in/cyprien-beton-623a04163" TargetMode="External"/><Relationship  Id="rId10657" Type="http://schemas.openxmlformats.org/officeDocument/2006/relationships/hyperlink" Target="http://agasco.fr" TargetMode="External"/><Relationship  Id="rId10658" Type="http://schemas.openxmlformats.org/officeDocument/2006/relationships/hyperlink" Target="http://www.linkedin.com/in/guillaumemader" TargetMode="External"/><Relationship  Id="rId10659" Type="http://schemas.openxmlformats.org/officeDocument/2006/relationships/hyperlink" Target="http://www.mader.fr" TargetMode="External"/><Relationship  Id="rId1066" Type="http://schemas.openxmlformats.org/officeDocument/2006/relationships/hyperlink" Target="http://www.maisonarlotcheng.com" TargetMode="External"/><Relationship  Id="rId10660" Type="http://schemas.openxmlformats.org/officeDocument/2006/relationships/hyperlink" Target="http://www.linkedin.com/in/olivier-adam-93567828" TargetMode="External"/><Relationship  Id="rId10661" Type="http://schemas.openxmlformats.org/officeDocument/2006/relationships/hyperlink" Target="http://special-risks.fr" TargetMode="External"/><Relationship  Id="rId10662" Type="http://schemas.openxmlformats.org/officeDocument/2006/relationships/hyperlink" Target="http://www.linkedin.com/in/antoine-millet-4a95b474" TargetMode="External"/><Relationship  Id="rId10663" Type="http://schemas.openxmlformats.org/officeDocument/2006/relationships/hyperlink" Target="http://www.germen.io" TargetMode="External"/><Relationship  Id="rId10664" Type="http://schemas.openxmlformats.org/officeDocument/2006/relationships/hyperlink" Target="http://www.linkedin.com/in/antoine-rocchi-0b8773118" TargetMode="External"/><Relationship  Id="rId10665" Type="http://schemas.openxmlformats.org/officeDocument/2006/relationships/hyperlink" Target="http://groupecfb.com" TargetMode="External"/><Relationship  Id="rId10666" Type="http://schemas.openxmlformats.org/officeDocument/2006/relationships/hyperlink" Target="http://www.linkedin.com/in/edouard-de-la-batie" TargetMode="External"/><Relationship  Id="rId10667" Type="http://schemas.openxmlformats.org/officeDocument/2006/relationships/hyperlink" Target="http://www.wekase.fr" TargetMode="External"/><Relationship  Id="rId10668" Type="http://schemas.openxmlformats.org/officeDocument/2006/relationships/hyperlink" Target="http://www.linkedin.com/in/patrick-muth-55b907249" TargetMode="External"/><Relationship  Id="rId10669" Type="http://schemas.openxmlformats.org/officeDocument/2006/relationships/hyperlink" Target="http://www.linkedin.com/in/eran-karoutchi-23b923167" TargetMode="External"/><Relationship  Id="rId1067" Type="http://schemas.openxmlformats.org/officeDocument/2006/relationships/hyperlink" Target="http://www.linkedin.com/in/jean-ganizate-89883651" TargetMode="External"/><Relationship  Id="rId10670" Type="http://schemas.openxmlformats.org/officeDocument/2006/relationships/hyperlink" Target="http://mes-courtiers.fr" TargetMode="External"/><Relationship  Id="rId10671" Type="http://schemas.openxmlformats.org/officeDocument/2006/relationships/hyperlink" Target="http://www.linkedin.com/in/aurelie-dziubinski-426a98166" TargetMode="External"/><Relationship  Id="rId10672" Type="http://schemas.openxmlformats.org/officeDocument/2006/relationships/hyperlink" Target="http://assurevie.fr" TargetMode="External"/><Relationship  Id="rId10673" Type="http://schemas.openxmlformats.org/officeDocument/2006/relationships/hyperlink" Target="http://www.linkedin.com/in/ludovicdumont" TargetMode="External"/><Relationship  Id="rId10674" Type="http://schemas.openxmlformats.org/officeDocument/2006/relationships/hyperlink" Target="http://www.fma.fr" TargetMode="External"/><Relationship  Id="rId10675" Type="http://schemas.openxmlformats.org/officeDocument/2006/relationships/hyperlink" Target="http://www.linkedin.com/in/stanislas-de-vasselot-47a4aa3b" TargetMode="External"/><Relationship  Id="rId10676" Type="http://schemas.openxmlformats.org/officeDocument/2006/relationships/hyperlink" Target="http://linxea.com" TargetMode="External"/><Relationship  Id="rId10677" Type="http://schemas.openxmlformats.org/officeDocument/2006/relationships/hyperlink" Target="http://www.linkedin.com/in/christophe-garcia-31bbb5130" TargetMode="External"/><Relationship  Id="rId10678" Type="http://schemas.openxmlformats.org/officeDocument/2006/relationships/hyperlink" Target="http://www.sofraco.com" TargetMode="External"/><Relationship  Id="rId10679" Type="http://schemas.openxmlformats.org/officeDocument/2006/relationships/hyperlink" Target="http://www.linkedin.com/in/abdel-drissi-38068a4b" TargetMode="External"/><Relationship  Id="rId1068" Type="http://schemas.openxmlformats.org/officeDocument/2006/relationships/hyperlink" Target="http://www.meltslowsmokedbarbecue.com" TargetMode="External"/><Relationship  Id="rId10680" Type="http://schemas.openxmlformats.org/officeDocument/2006/relationships/hyperlink" Target="http://provelia.fr" TargetMode="External"/><Relationship  Id="rId10681" Type="http://schemas.openxmlformats.org/officeDocument/2006/relationships/hyperlink" Target="http://www.linkedin.com/in/ambroisebesson" TargetMode="External"/><Relationship  Id="rId10682" Type="http://schemas.openxmlformats.org/officeDocument/2006/relationships/hyperlink" Target="http://berwick-assurances.fr" TargetMode="External"/><Relationship  Id="rId10683" Type="http://schemas.openxmlformats.org/officeDocument/2006/relationships/hyperlink" Target="http://www.linkedin.com/in/charles-frenove-a8944245" TargetMode="External"/><Relationship  Id="rId10684" Type="http://schemas.openxmlformats.org/officeDocument/2006/relationships/hyperlink" Target="http://www.tca-assurances.com" TargetMode="External"/><Relationship  Id="rId10685" Type="http://schemas.openxmlformats.org/officeDocument/2006/relationships/hyperlink" Target="http://www.linkedin.com/in/dominique-humbert-44586569" TargetMode="External"/><Relationship  Id="rId10686" Type="http://schemas.openxmlformats.org/officeDocument/2006/relationships/hyperlink" Target="http://www.linkedin.com/in/pierre-franck-261403aa" TargetMode="External"/><Relationship  Id="rId10687" Type="http://schemas.openxmlformats.org/officeDocument/2006/relationships/hyperlink" Target="http://tikall.ch" TargetMode="External"/><Relationship  Id="rId10688" Type="http://schemas.openxmlformats.org/officeDocument/2006/relationships/hyperlink" Target="http://www.linkedin.com/in/jamel-mezouar-45477925" TargetMode="External"/><Relationship  Id="rId10689" Type="http://schemas.openxmlformats.org/officeDocument/2006/relationships/hyperlink" Target="http://www.linkedin.com/in/filipe-rumor-559332120" TargetMode="External"/><Relationship  Id="rId1069" Type="http://schemas.openxmlformats.org/officeDocument/2006/relationships/hyperlink" Target="http://www.linkedin.com/in/pascal-ducros-60178051" TargetMode="External"/><Relationship  Id="rId10690" Type="http://schemas.openxmlformats.org/officeDocument/2006/relationships/hyperlink" Target="http://courtiassurances.com" TargetMode="External"/><Relationship  Id="rId10691" Type="http://schemas.openxmlformats.org/officeDocument/2006/relationships/hyperlink" Target="http://www.linkedin.com/in/audric-schweitzer-551911175" TargetMode="External"/><Relationship  Id="rId10692" Type="http://schemas.openxmlformats.org/officeDocument/2006/relationships/hyperlink" Target="http://www.linkedin.com/in/philippe-risbourg-31477b1a" TargetMode="External"/><Relationship  Id="rId10693" Type="http://schemas.openxmlformats.org/officeDocument/2006/relationships/hyperlink" Target="http://gentto.com" TargetMode="External"/><Relationship  Id="rId10694" Type="http://schemas.openxmlformats.org/officeDocument/2006/relationships/hyperlink" Target="http://www.linkedin.com/in/raymond-diffo-06a7b51" TargetMode="External"/><Relationship  Id="rId10695" Type="http://schemas.openxmlformats.org/officeDocument/2006/relationships/hyperlink" Target="http://www.group-dsi.com" TargetMode="External"/><Relationship  Id="rId10696" Type="http://schemas.openxmlformats.org/officeDocument/2006/relationships/hyperlink" Target="http://www.linkedin.com/in/saghar-elmsallati-08912a55" TargetMode="External"/><Relationship  Id="rId10697" Type="http://schemas.openxmlformats.org/officeDocument/2006/relationships/hyperlink" Target="http://asas-intl.com" TargetMode="External"/><Relationship  Id="rId10698" Type="http://schemas.openxmlformats.org/officeDocument/2006/relationships/hyperlink" Target="http://www.linkedin.com/in/yohann-aubert-55997662" TargetMode="External"/><Relationship  Id="rId10699" Type="http://schemas.openxmlformats.org/officeDocument/2006/relationships/hyperlink" Target="http://www.territoria-mutuelle.fr" TargetMode="External"/><Relationship  Id="rId107" Type="http://schemas.openxmlformats.org/officeDocument/2006/relationships/hyperlink" Target="http://www.ca-beachhotel.fr" TargetMode="External"/><Relationship  Id="rId1070" Type="http://schemas.openxmlformats.org/officeDocument/2006/relationships/hyperlink" Target="http://www.pivano.fr" TargetMode="External"/><Relationship  Id="rId10700" Type="http://schemas.openxmlformats.org/officeDocument/2006/relationships/hyperlink" Target="http://www.linkedin.com/in/vincent-colette-9b0773202" TargetMode="External"/><Relationship  Id="rId10701" Type="http://schemas.openxmlformats.org/officeDocument/2006/relationships/hyperlink" Target="http://courteam.fr" TargetMode="External"/><Relationship  Id="rId10702" Type="http://schemas.openxmlformats.org/officeDocument/2006/relationships/hyperlink" Target="http://www.linkedin.com/in/guillaume-lejeune-3059aa54" TargetMode="External"/><Relationship  Id="rId10703" Type="http://schemas.openxmlformats.org/officeDocument/2006/relationships/hyperlink" Target="http://www.axa.com" TargetMode="External"/><Relationship  Id="rId10704" Type="http://schemas.openxmlformats.org/officeDocument/2006/relationships/hyperlink" Target="http://www.linkedin.com/in/marc-hemery-506661165" TargetMode="External"/><Relationship  Id="rId10705" Type="http://schemas.openxmlformats.org/officeDocument/2006/relationships/hyperlink" Target="http://pharos-assurances.fr" TargetMode="External"/><Relationship  Id="rId10706" Type="http://schemas.openxmlformats.org/officeDocument/2006/relationships/hyperlink" Target="http://www.linkedin.com/in/franckydefosse" TargetMode="External"/><Relationship  Id="rId10707" Type="http://schemas.openxmlformats.org/officeDocument/2006/relationships/hyperlink" Target="http://www.acheel.com" TargetMode="External"/><Relationship  Id="rId10708" Type="http://schemas.openxmlformats.org/officeDocument/2006/relationships/hyperlink" Target="http://www.linkedin.com/in/martine-mas-7b009144" TargetMode="External"/><Relationship  Id="rId10709" Type="http://schemas.openxmlformats.org/officeDocument/2006/relationships/hyperlink" Target="http://www.linkedin.com/in/laurent-assal-30656865" TargetMode="External"/><Relationship  Id="rId1071" Type="http://schemas.openxmlformats.org/officeDocument/2006/relationships/hyperlink" Target="http://www.linkedin.com/in/jonathan-bauer-monneret-b6783940" TargetMode="External"/><Relationship  Id="rId10710" Type="http://schemas.openxmlformats.org/officeDocument/2006/relationships/hyperlink" Target="http://jclcourtage.fr" TargetMode="External"/><Relationship  Id="rId10711" Type="http://schemas.openxmlformats.org/officeDocument/2006/relationships/hyperlink" Target="http://www.linkedin.com/in/audrey-bossa-39a374126" TargetMode="External"/><Relationship  Id="rId10712" Type="http://schemas.openxmlformats.org/officeDocument/2006/relationships/hyperlink" Target="http://albore-assurance.com" TargetMode="External"/><Relationship  Id="rId10713" Type="http://schemas.openxmlformats.org/officeDocument/2006/relationships/hyperlink" Target="http://www.linkedin.com/in/mohamed-kahia-604879143" TargetMode="External"/><Relationship  Id="rId10714" Type="http://schemas.openxmlformats.org/officeDocument/2006/relationships/hyperlink" Target="http://assuranciacourtage.fr" TargetMode="External"/><Relationship  Id="rId10715" Type="http://schemas.openxmlformats.org/officeDocument/2006/relationships/hyperlink" Target="http://www.linkedin.com/in/isabelle-isimeliere" TargetMode="External"/><Relationship  Id="rId10716" Type="http://schemas.openxmlformats.org/officeDocument/2006/relationships/hyperlink" Target="http://weather2c.com" TargetMode="External"/><Relationship  Id="rId10717" Type="http://schemas.openxmlformats.org/officeDocument/2006/relationships/hyperlink" Target="http://www.linkedin.com/in/sylvie-nogu%c3%a8s-3a148861" TargetMode="External"/><Relationship  Id="rId10718" Type="http://schemas.openxmlformats.org/officeDocument/2006/relationships/hyperlink" Target="http://grca.pro" TargetMode="External"/><Relationship  Id="rId10719" Type="http://schemas.openxmlformats.org/officeDocument/2006/relationships/hyperlink" Target="http://www.linkedin.com/in/daniel-escolan-8b75a0117" TargetMode="External"/><Relationship  Id="rId1072" Type="http://schemas.openxmlformats.org/officeDocument/2006/relationships/hyperlink" Target="http://www.pompette.ca" TargetMode="External"/><Relationship  Id="rId10720" Type="http://schemas.openxmlformats.org/officeDocument/2006/relationships/hyperlink" Target="http://carelmutuelle.fr" TargetMode="External"/><Relationship  Id="rId10721" Type="http://schemas.openxmlformats.org/officeDocument/2006/relationships/hyperlink" Target="http://www.linkedin.com/in/fran%c3%a7ois-pouzol-009ba524" TargetMode="External"/><Relationship  Id="rId10722" Type="http://schemas.openxmlformats.org/officeDocument/2006/relationships/hyperlink" Target="http://credits-assur.fr" TargetMode="External"/><Relationship  Id="rId10723" Type="http://schemas.openxmlformats.org/officeDocument/2006/relationships/hyperlink" Target="http://www.linkedin.com/in/adriengasan" TargetMode="External"/><Relationship  Id="rId10724" Type="http://schemas.openxmlformats.org/officeDocument/2006/relationships/hyperlink" Target="http://lebroker.fr" TargetMode="External"/><Relationship  Id="rId10725" Type="http://schemas.openxmlformats.org/officeDocument/2006/relationships/hyperlink" Target="http://www.linkedin.com/in/fran%c3%a7oise-peronnet-23908985" TargetMode="External"/><Relationship  Id="rId10726" Type="http://schemas.openxmlformats.org/officeDocument/2006/relationships/hyperlink" Target="http://www.altima-assurances.fr" TargetMode="External"/><Relationship  Id="rId10727" Type="http://schemas.openxmlformats.org/officeDocument/2006/relationships/hyperlink" Target="http://www.linkedin.com/in/carolebellanger" TargetMode="External"/><Relationship  Id="rId10728" Type="http://schemas.openxmlformats.org/officeDocument/2006/relationships/hyperlink" Target="http://achille-courtage.com" TargetMode="External"/><Relationship  Id="rId10729" Type="http://schemas.openxmlformats.org/officeDocument/2006/relationships/hyperlink" Target="http://www.linkedin.com/in/benoit-alaphilippe-07579a1a" TargetMode="External"/><Relationship  Id="rId1073" Type="http://schemas.openxmlformats.org/officeDocument/2006/relationships/hyperlink" Target="http://www.linkedin.com/in/marc-audineau-oly-0235a4" TargetMode="External"/><Relationship  Id="rId10730" Type="http://schemas.openxmlformats.org/officeDocument/2006/relationships/hyperlink" Target="http://coherenceassurance.com" TargetMode="External"/><Relationship  Id="rId10731" Type="http://schemas.openxmlformats.org/officeDocument/2006/relationships/hyperlink" Target="http://www.linkedin.com/in/nicolas-chabauty-586a51140" TargetMode="External"/><Relationship  Id="rId10732" Type="http://schemas.openxmlformats.org/officeDocument/2006/relationships/hyperlink" Target="http://www.linkedin.com/in/stephane-ziack" TargetMode="External"/><Relationship  Id="rId10733" Type="http://schemas.openxmlformats.org/officeDocument/2006/relationships/hyperlink" Target="http://mftgs.fr" TargetMode="External"/><Relationship  Id="rId10734" Type="http://schemas.openxmlformats.org/officeDocument/2006/relationships/hyperlink" Target="http://www.linkedin.com/in/marielle-cutin-a63116161" TargetMode="External"/><Relationship  Id="rId10735" Type="http://schemas.openxmlformats.org/officeDocument/2006/relationships/hyperlink" Target="http://mutuel.org" TargetMode="External"/><Relationship  Id="rId10736" Type="http://schemas.openxmlformats.org/officeDocument/2006/relationships/hyperlink" Target="http://www.linkedin.com/in/nathalie-sultan-bbb2291b" TargetMode="External"/><Relationship  Id="rId10737" Type="http://schemas.openxmlformats.org/officeDocument/2006/relationships/hyperlink" Target="http://sogama.fr" TargetMode="External"/><Relationship  Id="rId10738" Type="http://schemas.openxmlformats.org/officeDocument/2006/relationships/hyperlink" Target="http://www.linkedin.com/in/la%c3%abtitia-bertrand-63074518" TargetMode="External"/><Relationship  Id="rId10739" Type="http://schemas.openxmlformats.org/officeDocument/2006/relationships/hyperlink" Target="http://optimusprotect.fr" TargetMode="External"/><Relationship  Id="rId1074" Type="http://schemas.openxmlformats.org/officeDocument/2006/relationships/hyperlink" Target="http://www.canua-island.com" TargetMode="External"/><Relationship  Id="rId10740" Type="http://schemas.openxmlformats.org/officeDocument/2006/relationships/hyperlink" Target="http://www.linkedin.com/in/christophe-biancini-b96b9026" TargetMode="External"/><Relationship  Id="rId10741" Type="http://schemas.openxmlformats.org/officeDocument/2006/relationships/hyperlink" Target="http://www.garantie-privee.com" TargetMode="External"/><Relationship  Id="rId10742" Type="http://schemas.openxmlformats.org/officeDocument/2006/relationships/hyperlink" Target="http://www.linkedin.com/in/benoit-brull-5a8ba2110" TargetMode="External"/><Relationship  Id="rId10743" Type="http://schemas.openxmlformats.org/officeDocument/2006/relationships/hyperlink" Target="http://lecomptoirdesassurances.fr" TargetMode="External"/><Relationship  Id="rId10744" Type="http://schemas.openxmlformats.org/officeDocument/2006/relationships/hyperlink" Target="http://www.linkedin.com/in/julien-blondel-1ba954152" TargetMode="External"/><Relationship  Id="rId10745" Type="http://schemas.openxmlformats.org/officeDocument/2006/relationships/hyperlink" Target="http://optirisk.fr" TargetMode="External"/><Relationship  Id="rId10746" Type="http://schemas.openxmlformats.org/officeDocument/2006/relationships/hyperlink" Target="http://www.linkedin.com/in/audrey-paulin-030752134" TargetMode="External"/><Relationship  Id="rId10747" Type="http://schemas.openxmlformats.org/officeDocument/2006/relationships/hyperlink" Target="http://agencepaulin.fr" TargetMode="External"/><Relationship  Id="rId10748" Type="http://schemas.openxmlformats.org/officeDocument/2006/relationships/hyperlink" Target="http://www.linkedin.com/in/c%c3%a9dric-burgos-a59870161" TargetMode="External"/><Relationship  Id="rId10749" Type="http://schemas.openxmlformats.org/officeDocument/2006/relationships/hyperlink" Target="http://cabinet-burgos.fr" TargetMode="External"/><Relationship  Id="rId1075" Type="http://schemas.openxmlformats.org/officeDocument/2006/relationships/hyperlink" Target="http://www.linkedin.com/in/martin-devictor-42a3a51" TargetMode="External"/><Relationship  Id="rId10750" Type="http://schemas.openxmlformats.org/officeDocument/2006/relationships/hyperlink" Target="http://www.linkedin.com/in/catherine-belin-vent%c3%a9jol-3b2830103" TargetMode="External"/><Relationship  Id="rId10751" Type="http://schemas.openxmlformats.org/officeDocument/2006/relationships/hyperlink" Target="http://www.polyexpert-construction.fr" TargetMode="External"/><Relationship  Id="rId10752" Type="http://schemas.openxmlformats.org/officeDocument/2006/relationships/hyperlink" Target="http://www.linkedin.com/in/fabrice-jouve-4815a71a4" TargetMode="External"/><Relationship  Id="rId10753" Type="http://schemas.openxmlformats.org/officeDocument/2006/relationships/hyperlink" Target="http://prevaccord.fr" TargetMode="External"/><Relationship  Id="rId10754" Type="http://schemas.openxmlformats.org/officeDocument/2006/relationships/hyperlink" Target="http://www.linkedin.com/in/anabel-magalhaes" TargetMode="External"/><Relationship  Id="rId10755" Type="http://schemas.openxmlformats.org/officeDocument/2006/relationships/hyperlink" Target="http://www.ciblexperts.fr" TargetMode="External"/><Relationship  Id="rId10756" Type="http://schemas.openxmlformats.org/officeDocument/2006/relationships/hyperlink" Target="http://www.linkedin.com/in/philippe-salasc-a1733b12" TargetMode="External"/><Relationship  Id="rId10757" Type="http://schemas.openxmlformats.org/officeDocument/2006/relationships/hyperlink" Target="http://puechblanc-associes.fr" TargetMode="External"/><Relationship  Id="rId10758" Type="http://schemas.openxmlformats.org/officeDocument/2006/relationships/hyperlink" Target="http://www.linkedin.com/in/marc-arnould-b0b52655" TargetMode="External"/><Relationship  Id="rId10759" Type="http://schemas.openxmlformats.org/officeDocument/2006/relationships/hyperlink" Target="http://af-patrimoine.com" TargetMode="External"/><Relationship  Id="rId1076" Type="http://schemas.openxmlformats.org/officeDocument/2006/relationships/hyperlink" Target="http://www.montblanc-collection.com" TargetMode="External"/><Relationship  Id="rId10760" Type="http://schemas.openxmlformats.org/officeDocument/2006/relationships/hyperlink" Target="http://www.linkedin.com/in/aymar-de-tymowski-0683802a1" TargetMode="External"/><Relationship  Id="rId10761" Type="http://schemas.openxmlformats.org/officeDocument/2006/relationships/hyperlink" Target="http://assurezo.fr" TargetMode="External"/><Relationship  Id="rId10762" Type="http://schemas.openxmlformats.org/officeDocument/2006/relationships/hyperlink" Target="http://www.linkedin.com/in/antoine-luquiau-8a85a92" TargetMode="External"/><Relationship  Id="rId10763" Type="http://schemas.openxmlformats.org/officeDocument/2006/relationships/hyperlink" Target="http://adam-assu-mar.com" TargetMode="External"/><Relationship  Id="rId10764" Type="http://schemas.openxmlformats.org/officeDocument/2006/relationships/hyperlink" Target="http://www.linkedin.com/in/brigitte-roy-54ba45b1" TargetMode="External"/><Relationship  Id="rId10765" Type="http://schemas.openxmlformats.org/officeDocument/2006/relationships/hyperlink" Target="http://pastelpatrimoine.fr" TargetMode="External"/><Relationship  Id="rId10766" Type="http://schemas.openxmlformats.org/officeDocument/2006/relationships/hyperlink" Target="http://www.linkedin.com/in/thierry-curt-a75789127" TargetMode="External"/><Relationship  Id="rId10767" Type="http://schemas.openxmlformats.org/officeDocument/2006/relationships/hyperlink" Target="http://ht-assurances.com" TargetMode="External"/><Relationship  Id="rId10768" Type="http://schemas.openxmlformats.org/officeDocument/2006/relationships/hyperlink" Target="http://www.linkedin.com/in/thierry-c%c3%a9glia-34758b240" TargetMode="External"/><Relationship  Id="rId10769" Type="http://schemas.openxmlformats.org/officeDocument/2006/relationships/hyperlink" Target="http://enexis-finances.com" TargetMode="External"/><Relationship  Id="rId1077" Type="http://schemas.openxmlformats.org/officeDocument/2006/relationships/hyperlink" Target="http://www.linkedin.com/in/lesliejoycejohns" TargetMode="External"/><Relationship  Id="rId10770" Type="http://schemas.openxmlformats.org/officeDocument/2006/relationships/hyperlink" Target="http://www.linkedin.com/in/oghislain" TargetMode="External"/><Relationship  Id="rId10771" Type="http://schemas.openxmlformats.org/officeDocument/2006/relationships/hyperlink" Target="http://courtigo.fr" TargetMode="External"/><Relationship  Id="rId10772" Type="http://schemas.openxmlformats.org/officeDocument/2006/relationships/hyperlink" Target="http://www.linkedin.com/in/jeanpakey" TargetMode="External"/><Relationship  Id="rId10773" Type="http://schemas.openxmlformats.org/officeDocument/2006/relationships/hyperlink" Target="http://www.junecare.fr" TargetMode="External"/><Relationship  Id="rId10774" Type="http://schemas.openxmlformats.org/officeDocument/2006/relationships/hyperlink" Target="http://www.linkedin.com/in/fabrice-caloni-47729639" TargetMode="External"/><Relationship  Id="rId10775" Type="http://schemas.openxmlformats.org/officeDocument/2006/relationships/hyperlink" Target="http://www.naudet.fr" TargetMode="External"/><Relationship  Id="rId10776" Type="http://schemas.openxmlformats.org/officeDocument/2006/relationships/hyperlink" Target="http://www.linkedin.com/in/gregoirepichat" TargetMode="External"/><Relationship  Id="rId10777" Type="http://schemas.openxmlformats.org/officeDocument/2006/relationships/hyperlink" Target="http://clbassurances.fr" TargetMode="External"/><Relationship  Id="rId10778" Type="http://schemas.openxmlformats.org/officeDocument/2006/relationships/hyperlink" Target="http://www.linkedin.com/in/severine-foucou-902674b1" TargetMode="External"/><Relationship  Id="rId10779" Type="http://schemas.openxmlformats.org/officeDocument/2006/relationships/hyperlink" Target="http://www.sodedif.fr" TargetMode="External"/><Relationship  Id="rId1078" Type="http://schemas.openxmlformats.org/officeDocument/2006/relationships/hyperlink" Target="http://www.linkedin.com/in/st%c3%a9phane-lelievre-760b181a0" TargetMode="External"/><Relationship  Id="rId10780" Type="http://schemas.openxmlformats.org/officeDocument/2006/relationships/hyperlink" Target="http://www.linkedin.com/in/vincent-maisonneuve-94609a37" TargetMode="External"/><Relationship  Id="rId10781" Type="http://schemas.openxmlformats.org/officeDocument/2006/relationships/hyperlink" Target="http://assuretsens.fr" TargetMode="External"/><Relationship  Id="rId10782" Type="http://schemas.openxmlformats.org/officeDocument/2006/relationships/hyperlink" Target="http://www.linkedin.com/in/arnaud-gerigny-275922160" TargetMode="External"/><Relationship  Id="rId10783" Type="http://schemas.openxmlformats.org/officeDocument/2006/relationships/hyperlink" Target="http://www.linkedin.com/in/david-serrano-947a07242" TargetMode="External"/><Relationship  Id="rId10784" Type="http://schemas.openxmlformats.org/officeDocument/2006/relationships/hyperlink" Target="http://www.linkedin.com/in/romain-blestel-060800b3" TargetMode="External"/><Relationship  Id="rId10785" Type="http://schemas.openxmlformats.org/officeDocument/2006/relationships/hyperlink" Target="http://horus-courtage.fr" TargetMode="External"/><Relationship  Id="rId10786" Type="http://schemas.openxmlformats.org/officeDocument/2006/relationships/hyperlink" Target="http://www.linkedin.com/in/zakaria-aljami-98147a12b" TargetMode="External"/><Relationship  Id="rId10787" Type="http://schemas.openxmlformats.org/officeDocument/2006/relationships/hyperlink" Target="http://www.linkedin.com/in/sayco-%e2%80%98-45565345" TargetMode="External"/><Relationship  Id="rId10788" Type="http://schemas.openxmlformats.org/officeDocument/2006/relationships/hyperlink" Target="http://www.linkedin.com/in/julien-mahieu-915a0076" TargetMode="External"/><Relationship  Id="rId10789" Type="http://schemas.openxmlformats.org/officeDocument/2006/relationships/hyperlink" Target="http://fraeris.fr" TargetMode="External"/><Relationship  Id="rId1079" Type="http://schemas.openxmlformats.org/officeDocument/2006/relationships/hyperlink" Target="http://www.linkedin.com/in/lyderick-jadaud-3ab28326" TargetMode="External"/><Relationship  Id="rId10790" Type="http://schemas.openxmlformats.org/officeDocument/2006/relationships/hyperlink" Target="http://www.linkedin.com/in/guy-buisson-01a707124" TargetMode="External"/><Relationship  Id="rId10791" Type="http://schemas.openxmlformats.org/officeDocument/2006/relationships/hyperlink" Target="http://buisson-assurances.fr" TargetMode="External"/><Relationship  Id="rId10792" Type="http://schemas.openxmlformats.org/officeDocument/2006/relationships/hyperlink" Target="http://www.linkedin.com/in/michael-farouze-conseiller-en-gestion-de-patrimoine" TargetMode="External"/><Relationship  Id="rId10793" Type="http://schemas.openxmlformats.org/officeDocument/2006/relationships/hyperlink" Target="http://finance-assurance.fr" TargetMode="External"/><Relationship  Id="rId10794" Type="http://schemas.openxmlformats.org/officeDocument/2006/relationships/hyperlink" Target="http://www.linkedin.com/in/patrice-lachenaud-775141b6" TargetMode="External"/><Relationship  Id="rId10795" Type="http://schemas.openxmlformats.org/officeDocument/2006/relationships/hyperlink" Target="http://concept-avenir.com" TargetMode="External"/><Relationship  Id="rId10796" Type="http://schemas.openxmlformats.org/officeDocument/2006/relationships/hyperlink" Target="http://www.linkedin.com/in/v%c3%a9ronique-milhaud-80403618" TargetMode="External"/><Relationship  Id="rId10797" Type="http://schemas.openxmlformats.org/officeDocument/2006/relationships/hyperlink" Target="http://2mconseil.com" TargetMode="External"/><Relationship  Id="rId10798" Type="http://schemas.openxmlformats.org/officeDocument/2006/relationships/hyperlink" Target="http://www.linkedin.com/in/cedric-coudert-541589172" TargetMode="External"/><Relationship  Id="rId10799" Type="http://schemas.openxmlformats.org/officeDocument/2006/relationships/hyperlink" Target="http://www.linkedin.com/in/delphine-laroche-86913871" TargetMode="External"/><Relationship  Id="rId108" Type="http://schemas.openxmlformats.org/officeDocument/2006/relationships/hyperlink" Target="http://www.linkedin.com/in/olivier-thomas-25958148" TargetMode="External"/><Relationship  Id="rId1080" Type="http://schemas.openxmlformats.org/officeDocument/2006/relationships/hyperlink" Target="http://www.hotel-lancaster.com" TargetMode="External"/><Relationship  Id="rId10800" Type="http://schemas.openxmlformats.org/officeDocument/2006/relationships/hyperlink" Target="http://athence.fr" TargetMode="External"/><Relationship  Id="rId10801" Type="http://schemas.openxmlformats.org/officeDocument/2006/relationships/hyperlink" Target="http://www.linkedin.com/in/catherine-lombard-93672297" TargetMode="External"/><Relationship  Id="rId10802" Type="http://schemas.openxmlformats.org/officeDocument/2006/relationships/hyperlink" Target="http://www.uniprevoyance.fr" TargetMode="External"/><Relationship  Id="rId10803" Type="http://schemas.openxmlformats.org/officeDocument/2006/relationships/hyperlink" Target="http://www.linkedin.com/in/christophe-jaubert-b3488b47" TargetMode="External"/><Relationship  Id="rId10804" Type="http://schemas.openxmlformats.org/officeDocument/2006/relationships/hyperlink" Target="http://markassur.com" TargetMode="External"/><Relationship  Id="rId10805" Type="http://schemas.openxmlformats.org/officeDocument/2006/relationships/hyperlink" Target="http://www.linkedin.com/in/guilhem-marijon" TargetMode="External"/><Relationship  Id="rId10806" Type="http://schemas.openxmlformats.org/officeDocument/2006/relationships/hyperlink" Target="http://www.linkedin.com/in/arnaudbourgeault" TargetMode="External"/><Relationship  Id="rId10807" Type="http://schemas.openxmlformats.org/officeDocument/2006/relationships/hyperlink" Target="http://oleapatrimoine.fr" TargetMode="External"/><Relationship  Id="rId10808" Type="http://schemas.openxmlformats.org/officeDocument/2006/relationships/hyperlink" Target="http://www.linkedin.com/in/tarik-hadjab-280870138" TargetMode="External"/><Relationship  Id="rId10809" Type="http://schemas.openxmlformats.org/officeDocument/2006/relationships/hyperlink" Target="http://reflexassurances.com" TargetMode="External"/><Relationship  Id="rId1081" Type="http://schemas.openxmlformats.org/officeDocument/2006/relationships/hyperlink" Target="http://www.linkedin.com/in/arnauddupuis1" TargetMode="External"/><Relationship  Id="rId10810" Type="http://schemas.openxmlformats.org/officeDocument/2006/relationships/hyperlink" Target="http://www.linkedin.com/in/danielle-wajsbrot-9107a5a4" TargetMode="External"/><Relationship  Id="rId10811" Type="http://schemas.openxmlformats.org/officeDocument/2006/relationships/hyperlink" Target="http://e-thaque.fr" TargetMode="External"/><Relationship  Id="rId10812" Type="http://schemas.openxmlformats.org/officeDocument/2006/relationships/hyperlink" Target="http://www.linkedin.com/in/alexis-th%c3%a9venin-ricard-0b115b30" TargetMode="External"/><Relationship  Id="rId10813" Type="http://schemas.openxmlformats.org/officeDocument/2006/relationships/hyperlink" Target="http://socepra.com" TargetMode="External"/><Relationship  Id="rId10814" Type="http://schemas.openxmlformats.org/officeDocument/2006/relationships/hyperlink" Target="http://www.linkedin.com/in/emmanueljoly" TargetMode="External"/><Relationship  Id="rId10815" Type="http://schemas.openxmlformats.org/officeDocument/2006/relationships/hyperlink" Target="http://www.yvelin.fr" TargetMode="External"/><Relationship  Id="rId10816" Type="http://schemas.openxmlformats.org/officeDocument/2006/relationships/hyperlink" Target="http://www.linkedin.com/in/pardv" TargetMode="External"/><Relationship  Id="rId10817" Type="http://schemas.openxmlformats.org/officeDocument/2006/relationships/hyperlink" Target="http://www.excellcium.fr" TargetMode="External"/><Relationship  Id="rId10818" Type="http://schemas.openxmlformats.org/officeDocument/2006/relationships/hyperlink" Target="http://www.linkedin.com/in/bernard-voiseux-3901a150" TargetMode="External"/><Relationship  Id="rId10819" Type="http://schemas.openxmlformats.org/officeDocument/2006/relationships/hyperlink" Target="http://www.linkedin.com/in/loredana-ma%c3%afer-40b846b3" TargetMode="External"/><Relationship  Id="rId1082" Type="http://schemas.openxmlformats.org/officeDocument/2006/relationships/hyperlink" Target="http://www.mpepite.com" TargetMode="External"/><Relationship  Id="rId10820" Type="http://schemas.openxmlformats.org/officeDocument/2006/relationships/hyperlink" Target="http://www.unmi.eu" TargetMode="External"/><Relationship  Id="rId10821" Type="http://schemas.openxmlformats.org/officeDocument/2006/relationships/hyperlink" Target="http://www.linkedin.com/in/thomas-cohen-73445a57" TargetMode="External"/><Relationship  Id="rId10822" Type="http://schemas.openxmlformats.org/officeDocument/2006/relationships/hyperlink" Target="http://cabinetcohen.fr" TargetMode="External"/><Relationship  Id="rId10823" Type="http://schemas.openxmlformats.org/officeDocument/2006/relationships/hyperlink" Target="http://www.linkedin.com/in/gillescandau" TargetMode="External"/><Relationship  Id="rId10824" Type="http://schemas.openxmlformats.org/officeDocument/2006/relationships/hyperlink" Target="http://assurancesetcautions.com" TargetMode="External"/><Relationship  Id="rId10825" Type="http://schemas.openxmlformats.org/officeDocument/2006/relationships/hyperlink" Target="http://www.linkedin.com/in/pierre-augias-6a0583144" TargetMode="External"/><Relationship  Id="rId10826" Type="http://schemas.openxmlformats.org/officeDocument/2006/relationships/hyperlink" Target="http://www.heyme.care" TargetMode="External"/><Relationship  Id="rId10827" Type="http://schemas.openxmlformats.org/officeDocument/2006/relationships/hyperlink" Target="http://www.linkedin.com/in/laurentserrealliancecourtage" TargetMode="External"/><Relationship  Id="rId10828" Type="http://schemas.openxmlformats.org/officeDocument/2006/relationships/hyperlink" Target="http://alliance-courtage.fr" TargetMode="External"/><Relationship  Id="rId10829" Type="http://schemas.openxmlformats.org/officeDocument/2006/relationships/hyperlink" Target="http://neoconseils.com" TargetMode="External"/><Relationship  Id="rId1083" Type="http://schemas.openxmlformats.org/officeDocument/2006/relationships/hyperlink" Target="http://www.linkedin.com/in/kamal-zaoui-059b6a7b" TargetMode="External"/><Relationship  Id="rId10830" Type="http://schemas.openxmlformats.org/officeDocument/2006/relationships/hyperlink" Target="http://www.linkedin.com/in/m%c3%a9lanie-m%c3%a9zerette-a64908149" TargetMode="External"/><Relationship  Id="rId10831" Type="http://schemas.openxmlformats.org/officeDocument/2006/relationships/hyperlink" Target="http://www.linkedin.com/in/julien-noliere-b663a4103" TargetMode="External"/><Relationship  Id="rId10832" Type="http://schemas.openxmlformats.org/officeDocument/2006/relationships/hyperlink" Target="http://www.mutuale.fr" TargetMode="External"/><Relationship  Id="rId10833" Type="http://schemas.openxmlformats.org/officeDocument/2006/relationships/hyperlink" Target="http://www.linkedin.com/in/gregory-baraban-83a77412" TargetMode="External"/><Relationship  Id="rId10834" Type="http://schemas.openxmlformats.org/officeDocument/2006/relationships/hyperlink" Target="http://lafrancaisedassurance.com" TargetMode="External"/><Relationship  Id="rId10835" Type="http://schemas.openxmlformats.org/officeDocument/2006/relationships/hyperlink" Target="http://www.linkedin.com/in/pascale-buchberger" TargetMode="External"/><Relationship  Id="rId10836" Type="http://schemas.openxmlformats.org/officeDocument/2006/relationships/hyperlink" Target="http://cpartner.fr" TargetMode="External"/><Relationship  Id="rId10837" Type="http://schemas.openxmlformats.org/officeDocument/2006/relationships/hyperlink" Target="http://www.linkedin.com/in/victor-fontaine-9921b0173" TargetMode="External"/><Relationship  Id="rId10838" Type="http://schemas.openxmlformats.org/officeDocument/2006/relationships/hyperlink" Target="http://onisassurances.fr" TargetMode="External"/><Relationship  Id="rId10839" Type="http://schemas.openxmlformats.org/officeDocument/2006/relationships/hyperlink" Target="http://www.linkedin.com/in/david-barbara-b25a5681" TargetMode="External"/><Relationship  Id="rId1084" Type="http://schemas.openxmlformats.org/officeDocument/2006/relationships/hyperlink" Target="http://www.luks-kebab.com" TargetMode="External"/><Relationship  Id="rId10840" Type="http://schemas.openxmlformats.org/officeDocument/2006/relationships/hyperlink" Target="http://www.linkedin.com/in/mathieu-berrurier-8027713b" TargetMode="External"/><Relationship  Id="rId10841" Type="http://schemas.openxmlformats.org/officeDocument/2006/relationships/hyperlink" Target="http://www.eyssautier-verlingue.com" TargetMode="External"/><Relationship  Id="rId10842" Type="http://schemas.openxmlformats.org/officeDocument/2006/relationships/hyperlink" Target="http://www.linkedin.com/in/arthaud-mesnard-08b564116" TargetMode="External"/><Relationship  Id="rId10843" Type="http://schemas.openxmlformats.org/officeDocument/2006/relationships/hyperlink" Target="http://www.getsmarto.com" TargetMode="External"/><Relationship  Id="rId10844" Type="http://schemas.openxmlformats.org/officeDocument/2006/relationships/hyperlink" Target="http://www.linkedin.com/in/laurent-regny" TargetMode="External"/><Relationship  Id="rId10845" Type="http://schemas.openxmlformats.org/officeDocument/2006/relationships/hyperlink" Target="http://invictus-courtage.com" TargetMode="External"/><Relationship  Id="rId10846" Type="http://schemas.openxmlformats.org/officeDocument/2006/relationships/hyperlink" Target="http://www.linkedin.com/in/caroline-gatt-a48777161" TargetMode="External"/><Relationship  Id="rId10847" Type="http://schemas.openxmlformats.org/officeDocument/2006/relationships/hyperlink" Target="http://2caconseils.com" TargetMode="External"/><Relationship  Id="rId10848" Type="http://schemas.openxmlformats.org/officeDocument/2006/relationships/hyperlink" Target="http://www.linkedin.com/in/gaston-sineau-11365018b" TargetMode="External"/><Relationship  Id="rId10849" Type="http://schemas.openxmlformats.org/officeDocument/2006/relationships/hyperlink" Target="http://www.linkedin.com/in/benjamin-roland-533b28b5" TargetMode="External"/><Relationship  Id="rId1085" Type="http://schemas.openxmlformats.org/officeDocument/2006/relationships/hyperlink" Target="http://www.linkedin.com/in/aur%c3%a9lie-bonnevie-2a0076200" TargetMode="External"/><Relationship  Id="rId10850" Type="http://schemas.openxmlformats.org/officeDocument/2006/relationships/hyperlink" Target="http://akor2pret.com" TargetMode="External"/><Relationship  Id="rId10851" Type="http://schemas.openxmlformats.org/officeDocument/2006/relationships/hyperlink" Target="http://www.linkedin.com/in/anthony-familiari-110bb1121" TargetMode="External"/><Relationship  Id="rId10852" Type="http://schemas.openxmlformats.org/officeDocument/2006/relationships/hyperlink" Target="http://familiarivie.fr" TargetMode="External"/><Relationship  Id="rId10853" Type="http://schemas.openxmlformats.org/officeDocument/2006/relationships/hyperlink" Target="http://www.linkedin.com/in/alexandru-slivinschi-325186134" TargetMode="External"/><Relationship  Id="rId10854" Type="http://schemas.openxmlformats.org/officeDocument/2006/relationships/hyperlink" Target="http://addsure.fr" TargetMode="External"/><Relationship  Id="rId10855" Type="http://schemas.openxmlformats.org/officeDocument/2006/relationships/hyperlink" Target="http://www.linkedin.com/in/pierre-lafont-3688856b" TargetMode="External"/><Relationship  Id="rId10856" Type="http://schemas.openxmlformats.org/officeDocument/2006/relationships/hyperlink" Target="http://lafont-assurances.com" TargetMode="External"/><Relationship  Id="rId10857" Type="http://schemas.openxmlformats.org/officeDocument/2006/relationships/hyperlink" Target="http://www.linkedin.com/in/charles-alexandre-10029420" TargetMode="External"/><Relationship  Id="rId10858" Type="http://schemas.openxmlformats.org/officeDocument/2006/relationships/hyperlink" Target="http://simplis.fr" TargetMode="External"/><Relationship  Id="rId10859" Type="http://schemas.openxmlformats.org/officeDocument/2006/relationships/hyperlink" Target="http://www.linkedin.com/in/pascal-dubois-74346a15" TargetMode="External"/><Relationship  Id="rId1086" Type="http://schemas.openxmlformats.org/officeDocument/2006/relationships/hyperlink" Target="http://www.cocoricoapresski.com" TargetMode="External"/><Relationship  Id="rId10860" Type="http://schemas.openxmlformats.org/officeDocument/2006/relationships/hyperlink" Target="http://cesam.org" TargetMode="External"/><Relationship  Id="rId10861" Type="http://schemas.openxmlformats.org/officeDocument/2006/relationships/hyperlink" Target="http://www.linkedin.com/in/alexis-bernard-49800524a" TargetMode="External"/><Relationship  Id="rId10862" Type="http://schemas.openxmlformats.org/officeDocument/2006/relationships/hyperlink" Target="http://ltmcourtage.fr" TargetMode="External"/><Relationship  Id="rId10863" Type="http://schemas.openxmlformats.org/officeDocument/2006/relationships/hyperlink" Target="http://www.linkedin.com/in/st%c3%a9phane-brule-708a45258" TargetMode="External"/><Relationship  Id="rId10864" Type="http://schemas.openxmlformats.org/officeDocument/2006/relationships/hyperlink" Target="http://mutuelle-mutami.fr" TargetMode="External"/><Relationship  Id="rId10865" Type="http://schemas.openxmlformats.org/officeDocument/2006/relationships/hyperlink" Target="http://www.linkedin.com/in/pierre-souill%c3%a9-1088a2234" TargetMode="External"/><Relationship  Id="rId10866" Type="http://schemas.openxmlformats.org/officeDocument/2006/relationships/hyperlink" Target="http://www.linkedin.com/in/romain-d%c3%a9chelette-3b62881" TargetMode="External"/><Relationship  Id="rId10867" Type="http://schemas.openxmlformats.org/officeDocument/2006/relationships/hyperlink" Target="http://serex-assurances.fr" TargetMode="External"/><Relationship  Id="rId10868" Type="http://schemas.openxmlformats.org/officeDocument/2006/relationships/hyperlink" Target="http://www.linkedin.com/in/nataschabarbosa" TargetMode="External"/><Relationship  Id="rId10869" Type="http://schemas.openxmlformats.org/officeDocument/2006/relationships/hyperlink" Target="http://cbarbosaconseils.com" TargetMode="External"/><Relationship  Id="rId1087" Type="http://schemas.openxmlformats.org/officeDocument/2006/relationships/hyperlink" Target="http://www.linkedin.com/in/emilie-perello-b7b8712b" TargetMode="External"/><Relationship  Id="rId10870" Type="http://schemas.openxmlformats.org/officeDocument/2006/relationships/hyperlink" Target="http://www.linkedin.com/in/florence-picard-a67843135" TargetMode="External"/><Relationship  Id="rId10871" Type="http://schemas.openxmlformats.org/officeDocument/2006/relationships/hyperlink" Target="http://www.institutdesactuaires.com" TargetMode="External"/><Relationship  Id="rId10872" Type="http://schemas.openxmlformats.org/officeDocument/2006/relationships/hyperlink" Target="http://www.linkedin.com/in/laurent-charret-02676830" TargetMode="External"/><Relationship  Id="rId10873" Type="http://schemas.openxmlformats.org/officeDocument/2006/relationships/hyperlink" Target="http://air-alpha.fr" TargetMode="External"/><Relationship  Id="rId10874" Type="http://schemas.openxmlformats.org/officeDocument/2006/relationships/hyperlink" Target="http://www.linkedin.com/in/moch%c3%a9-azran-8a0723195" TargetMode="External"/><Relationship  Id="rId10875" Type="http://schemas.openxmlformats.org/officeDocument/2006/relationships/hyperlink" Target="http://bnvce.fr" TargetMode="External"/><Relationship  Id="rId10876" Type="http://schemas.openxmlformats.org/officeDocument/2006/relationships/hyperlink" Target="http://www.linkedin.com/in/rejanelaspreses" TargetMode="External"/><Relationship  Id="rId10877" Type="http://schemas.openxmlformats.org/officeDocument/2006/relationships/hyperlink" Target="http://follow-courtage.fr" TargetMode="External"/><Relationship  Id="rId10878" Type="http://schemas.openxmlformats.org/officeDocument/2006/relationships/hyperlink" Target="http://www.linkedin.com/in/laurent-fermeli-157544" TargetMode="External"/><Relationship  Id="rId10879" Type="http://schemas.openxmlformats.org/officeDocument/2006/relationships/hyperlink" Target="http://hodeva.com" TargetMode="External"/><Relationship  Id="rId1088" Type="http://schemas.openxmlformats.org/officeDocument/2006/relationships/hyperlink" Target="http://www.chateauvoltaire.com" TargetMode="External"/><Relationship  Id="rId10880" Type="http://schemas.openxmlformats.org/officeDocument/2006/relationships/hyperlink" Target="http://www.linkedin.com/in/hubert-thiollier-904204162" TargetMode="External"/><Relationship  Id="rId10881" Type="http://schemas.openxmlformats.org/officeDocument/2006/relationships/hyperlink" Target="http://axiadis.fr" TargetMode="External"/><Relationship  Id="rId10882" Type="http://schemas.openxmlformats.org/officeDocument/2006/relationships/hyperlink" Target="http://www.linkedin.com/in/cl%c3%a9ment-giquiaud-6224123b" TargetMode="External"/><Relationship  Id="rId10883" Type="http://schemas.openxmlformats.org/officeDocument/2006/relationships/hyperlink" Target="http://fees-and-you.com" TargetMode="External"/><Relationship  Id="rId10884" Type="http://schemas.openxmlformats.org/officeDocument/2006/relationships/hyperlink" Target="http://www.linkedin.com/in/emmanuel-copin-90a20810" TargetMode="External"/><Relationship  Id="rId10885" Type="http://schemas.openxmlformats.org/officeDocument/2006/relationships/hyperlink" Target="http://www.auxia.com" TargetMode="External"/><Relationship  Id="rId10886" Type="http://schemas.openxmlformats.org/officeDocument/2006/relationships/hyperlink" Target="http://www.linkedin.com/in/patrick-julien-87698914" TargetMode="External"/><Relationship  Id="rId10887" Type="http://schemas.openxmlformats.org/officeDocument/2006/relationships/hyperlink" Target="http://mutuelle-miltis.fr" TargetMode="External"/><Relationship  Id="rId10888" Type="http://schemas.openxmlformats.org/officeDocument/2006/relationships/hyperlink" Target="http://www.linkedin.com/in/brandon-borgelot-a37a18167" TargetMode="External"/><Relationship  Id="rId10889" Type="http://schemas.openxmlformats.org/officeDocument/2006/relationships/hyperlink" Target="http://neovie.org" TargetMode="External"/><Relationship  Id="rId1089" Type="http://schemas.openxmlformats.org/officeDocument/2006/relationships/hyperlink" Target="http://www.linkedin.com/in/philippegourgaud" TargetMode="External"/><Relationship  Id="rId10890" Type="http://schemas.openxmlformats.org/officeDocument/2006/relationships/hyperlink" Target="http://www.linkedin.com/in/christophe-pardes-985b16160" TargetMode="External"/><Relationship  Id="rId10891" Type="http://schemas.openxmlformats.org/officeDocument/2006/relationships/hyperlink" Target="http://mutuelle-catalane.com" TargetMode="External"/><Relationship  Id="rId10892" Type="http://schemas.openxmlformats.org/officeDocument/2006/relationships/hyperlink" Target="http://www.linkedin.com/in/samuel-rossille-9621301b" TargetMode="External"/><Relationship  Id="rId10893" Type="http://schemas.openxmlformats.org/officeDocument/2006/relationships/hyperlink" Target="http://www.orus.eu" TargetMode="External"/><Relationship  Id="rId10894" Type="http://schemas.openxmlformats.org/officeDocument/2006/relationships/hyperlink" Target="http://www.linkedin.com/in/diamantino-alves-336553112" TargetMode="External"/><Relationship  Id="rId10895" Type="http://schemas.openxmlformats.org/officeDocument/2006/relationships/hyperlink" Target="http://as-assurances.fr" TargetMode="External"/><Relationship  Id="rId10896" Type="http://schemas.openxmlformats.org/officeDocument/2006/relationships/hyperlink" Target="http://www.linkedin.com/in/yves-conan-8476591" TargetMode="External"/><Relationship  Id="rId10897" Type="http://schemas.openxmlformats.org/officeDocument/2006/relationships/hyperlink" Target="http://www.linxea.com" TargetMode="External"/><Relationship  Id="rId10898" Type="http://schemas.openxmlformats.org/officeDocument/2006/relationships/hyperlink" Target="http://www.linkedin.com/in/yann-tardivel-78bba828" TargetMode="External"/><Relationship  Id="rId10899" Type="http://schemas.openxmlformats.org/officeDocument/2006/relationships/hyperlink" Target="http://www.jicetconseil.com" TargetMode="External"/><Relationship  Id="rId109" Type="http://schemas.openxmlformats.org/officeDocument/2006/relationships/hyperlink" Target="http://www.chateaudefere.com" TargetMode="External"/><Relationship  Id="rId1090" Type="http://schemas.openxmlformats.org/officeDocument/2006/relationships/hyperlink" Target="http://www.linkedin.com/in/leovannier" TargetMode="External"/><Relationship  Id="rId10900" Type="http://schemas.openxmlformats.org/officeDocument/2006/relationships/hyperlink" Target="http://www.linkedin.com/in/nathan-elbaz-562272138" TargetMode="External"/><Relationship  Id="rId10901" Type="http://schemas.openxmlformats.org/officeDocument/2006/relationships/hyperlink" Target="http://www.linkedin.com/in/nicolas-perrier-793150228" TargetMode="External"/><Relationship  Id="rId10902" Type="http://schemas.openxmlformats.org/officeDocument/2006/relationships/hyperlink" Target="http://assurisk.fr" TargetMode="External"/><Relationship  Id="rId10903" Type="http://schemas.openxmlformats.org/officeDocument/2006/relationships/hyperlink" Target="http://www.linkedin.com/in/kevin-freydiere-ba172192" TargetMode="External"/><Relationship  Id="rId10904" Type="http://schemas.openxmlformats.org/officeDocument/2006/relationships/hyperlink" Target="http://www.linkedin.com/in/michel-ropiteau" TargetMode="External"/><Relationship  Id="rId10905" Type="http://schemas.openxmlformats.org/officeDocument/2006/relationships/hyperlink" Target="http://plenita.fr" TargetMode="External"/><Relationship  Id="rId10906" Type="http://schemas.openxmlformats.org/officeDocument/2006/relationships/hyperlink" Target="http://www.linkedin.com/in/vincent-payen-717545111" TargetMode="External"/><Relationship  Id="rId10907" Type="http://schemas.openxmlformats.org/officeDocument/2006/relationships/hyperlink" Target="http://www.montmirail.com" TargetMode="External"/><Relationship  Id="rId10908" Type="http://schemas.openxmlformats.org/officeDocument/2006/relationships/hyperlink" Target="http://www.linkedin.com/in/nolwenn-oreal-5759313a" TargetMode="External"/><Relationship  Id="rId10909" Type="http://schemas.openxmlformats.org/officeDocument/2006/relationships/hyperlink" Target="http://www.activeassurances.fr" TargetMode="External"/><Relationship  Id="rId1091" Type="http://schemas.openxmlformats.org/officeDocument/2006/relationships/hyperlink" Target="http://www.groupelamerepoulard.com" TargetMode="External"/><Relationship  Id="rId10910" Type="http://schemas.openxmlformats.org/officeDocument/2006/relationships/hyperlink" Target="http://www.linkedin.com/in/mbsolutions" TargetMode="External"/><Relationship  Id="rId10911" Type="http://schemas.openxmlformats.org/officeDocument/2006/relationships/hyperlink" Target="http://mbsolutions.net" TargetMode="External"/><Relationship  Id="rId10912" Type="http://schemas.openxmlformats.org/officeDocument/2006/relationships/hyperlink" Target="http://www.linkedin.com/in/bernard-defond-diageris" TargetMode="External"/><Relationship  Id="rId10913" Type="http://schemas.openxmlformats.org/officeDocument/2006/relationships/hyperlink" Target="http://diageris.com" TargetMode="External"/><Relationship  Id="rId10914" Type="http://schemas.openxmlformats.org/officeDocument/2006/relationships/hyperlink" Target="http://www.linkedin.com/in/david-cohen-777b5090" TargetMode="External"/><Relationship  Id="rId10915" Type="http://schemas.openxmlformats.org/officeDocument/2006/relationships/hyperlink" Target="http://3ccapital.fr" TargetMode="External"/><Relationship  Id="rId10916" Type="http://schemas.openxmlformats.org/officeDocument/2006/relationships/hyperlink" Target="http://www.linkedin.com/in/christophe-cottille" TargetMode="External"/><Relationship  Id="rId10917" Type="http://schemas.openxmlformats.org/officeDocument/2006/relationships/hyperlink" Target="http://leclubdesproprietaires.com" TargetMode="External"/><Relationship  Id="rId10918" Type="http://schemas.openxmlformats.org/officeDocument/2006/relationships/hyperlink" Target="http://www.linkedin.com/in/sophie-vercruysse-385782a8" TargetMode="External"/><Relationship  Id="rId10919" Type="http://schemas.openxmlformats.org/officeDocument/2006/relationships/hyperlink" Target="http://www.groupevictorhugo.com" TargetMode="External"/><Relationship  Id="rId1092" Type="http://schemas.openxmlformats.org/officeDocument/2006/relationships/hyperlink" Target="http://www.linkedin.com/in/cchatillon" TargetMode="External"/><Relationship  Id="rId10920" Type="http://schemas.openxmlformats.org/officeDocument/2006/relationships/hyperlink" Target="http://www.linkedin.com/in/alex-kouby-35815320" TargetMode="External"/><Relationship  Id="rId10921" Type="http://schemas.openxmlformats.org/officeDocument/2006/relationships/hyperlink" Target="http://bureau132.fr" TargetMode="External"/><Relationship  Id="rId10922" Type="http://schemas.openxmlformats.org/officeDocument/2006/relationships/hyperlink" Target="http://www.linkedin.com/in/margaux-maurin" TargetMode="External"/><Relationship  Id="rId10923" Type="http://schemas.openxmlformats.org/officeDocument/2006/relationships/hyperlink" Target="http://mutuelle-entrenous.fr" TargetMode="External"/><Relationship  Id="rId10924" Type="http://schemas.openxmlformats.org/officeDocument/2006/relationships/hyperlink" Target="http://www.linkedin.com/in/chlo%c3%a9-bretin-a0114aa8" TargetMode="External"/><Relationship  Id="rId10925" Type="http://schemas.openxmlformats.org/officeDocument/2006/relationships/hyperlink" Target="http://gp-assurances.fr" TargetMode="External"/><Relationship  Id="rId10926" Type="http://schemas.openxmlformats.org/officeDocument/2006/relationships/hyperlink" Target="http://www.linkedin.com/in/frederic-janvier-55a65045" TargetMode="External"/><Relationship  Id="rId10927" Type="http://schemas.openxmlformats.org/officeDocument/2006/relationships/hyperlink" Target="http://ido-assurances.fr" TargetMode="External"/><Relationship  Id="rId10928" Type="http://schemas.openxmlformats.org/officeDocument/2006/relationships/hyperlink" Target="http://www.linkedin.com/in/ivanannezer" TargetMode="External"/><Relationship  Id="rId10929" Type="http://schemas.openxmlformats.org/officeDocument/2006/relationships/hyperlink" Target="http://www.emani.be" TargetMode="External"/><Relationship  Id="rId1093" Type="http://schemas.openxmlformats.org/officeDocument/2006/relationships/hyperlink" Target="http://www.lesjardinsdedeauville.com" TargetMode="External"/><Relationship  Id="rId10930" Type="http://schemas.openxmlformats.org/officeDocument/2006/relationships/hyperlink" Target="http://www.linkedin.com/in/ericfrancofrancodit" TargetMode="External"/><Relationship  Id="rId10931" Type="http://schemas.openxmlformats.org/officeDocument/2006/relationships/hyperlink" Target="http://www.linkedin.com/in/benoit-fisse-6a751a32" TargetMode="External"/><Relationship  Id="rId10932" Type="http://schemas.openxmlformats.org/officeDocument/2006/relationships/hyperlink" Target="http://7points.fr" TargetMode="External"/><Relationship  Id="rId10933" Type="http://schemas.openxmlformats.org/officeDocument/2006/relationships/hyperlink" Target="http://www.linkedin.com/in/joao-cardoso-de-jesus-3a3a024" TargetMode="External"/><Relationship  Id="rId10934" Type="http://schemas.openxmlformats.org/officeDocument/2006/relationships/hyperlink" Target="http://www.lovys.com" TargetMode="External"/><Relationship  Id="rId10935" Type="http://schemas.openxmlformats.org/officeDocument/2006/relationships/hyperlink" Target="http://www.linkedin.com/in/emmanuel-burel-68076a114" TargetMode="External"/><Relationship  Id="rId10936" Type="http://schemas.openxmlformats.org/officeDocument/2006/relationships/hyperlink" Target="http://www.linkedin.com/in/hamza-bouadi-864a5bab" TargetMode="External"/><Relationship  Id="rId10937" Type="http://schemas.openxmlformats.org/officeDocument/2006/relationships/hyperlink" Target="http://clerity.fr" TargetMode="External"/><Relationship  Id="rId10938" Type="http://schemas.openxmlformats.org/officeDocument/2006/relationships/hyperlink" Target="http://www.linkedin.com/in/robert-schembri-0b5080110" TargetMode="External"/><Relationship  Id="rId10939" Type="http://schemas.openxmlformats.org/officeDocument/2006/relationships/hyperlink" Target="http://viaconseil-assurances.fr" TargetMode="External"/><Relationship  Id="rId1094" Type="http://schemas.openxmlformats.org/officeDocument/2006/relationships/hyperlink" Target="http://www.linkedin.com/in/augustinzeller" TargetMode="External"/><Relationship  Id="rId10940" Type="http://schemas.openxmlformats.org/officeDocument/2006/relationships/hyperlink" Target="http://www.linkedin.com/in/geoffroy-delion-39635318" TargetMode="External"/><Relationship  Id="rId10941" Type="http://schemas.openxmlformats.org/officeDocument/2006/relationships/hyperlink" Target="http://www.acamvie.com" TargetMode="External"/><Relationship  Id="rId10942" Type="http://schemas.openxmlformats.org/officeDocument/2006/relationships/hyperlink" Target="http://www.linkedin.com/in/ralph-ruimy-08700b4" TargetMode="External"/><Relationship  Id="rId10943" Type="http://schemas.openxmlformats.org/officeDocument/2006/relationships/hyperlink" Target="http://www.linkedin.com/in/xavier-czech-b963a033" TargetMode="External"/><Relationship  Id="rId10944" Type="http://schemas.openxmlformats.org/officeDocument/2006/relationships/hyperlink" Target="http://mncap.fr" TargetMode="External"/><Relationship  Id="rId10945" Type="http://schemas.openxmlformats.org/officeDocument/2006/relationships/hyperlink" Target="http://www.linkedin.com/in/patrick-ginet-45b54640" TargetMode="External"/><Relationship  Id="rId10946" Type="http://schemas.openxmlformats.org/officeDocument/2006/relationships/hyperlink" Target="http://www.antinea-courtage.fr" TargetMode="External"/><Relationship  Id="rId10947" Type="http://schemas.openxmlformats.org/officeDocument/2006/relationships/hyperlink" Target="http://www.linkedin.com/in/philippe-de-rosa-a71b677a" TargetMode="External"/><Relationship  Id="rId10948" Type="http://schemas.openxmlformats.org/officeDocument/2006/relationships/hyperlink" Target="http://orionticketneige.com" TargetMode="External"/><Relationship  Id="rId10949" Type="http://schemas.openxmlformats.org/officeDocument/2006/relationships/hyperlink" Target="http://www.linkedin.com/in/pascalmoreuxpta" TargetMode="External"/><Relationship  Id="rId1095" Type="http://schemas.openxmlformats.org/officeDocument/2006/relationships/hyperlink" Target="http://www.youza.fr" TargetMode="External"/><Relationship  Id="rId10950" Type="http://schemas.openxmlformats.org/officeDocument/2006/relationships/hyperlink" Target="http://paristronchet.fr" TargetMode="External"/><Relationship  Id="rId10951" Type="http://schemas.openxmlformats.org/officeDocument/2006/relationships/hyperlink" Target="http://www.linkedin.com/in/sandrinethibaud" TargetMode="External"/><Relationship  Id="rId10952" Type="http://schemas.openxmlformats.org/officeDocument/2006/relationships/hyperlink" Target="http://stavenir.fr" TargetMode="External"/><Relationship  Id="rId10953" Type="http://schemas.openxmlformats.org/officeDocument/2006/relationships/hyperlink" Target="http://www.linkedin.com/in/christophe-lefebvre-ospro-assurances-795032b6" TargetMode="External"/><Relationship  Id="rId10954" Type="http://schemas.openxmlformats.org/officeDocument/2006/relationships/hyperlink" Target="http://ospro.fr" TargetMode="External"/><Relationship  Id="rId10955" Type="http://schemas.openxmlformats.org/officeDocument/2006/relationships/hyperlink" Target="http://www.linkedin.com/in/julie-perier-01aba91b" TargetMode="External"/><Relationship  Id="rId10956" Type="http://schemas.openxmlformats.org/officeDocument/2006/relationships/hyperlink" Target="http://finbul-assurances.fr" TargetMode="External"/><Relationship  Id="rId10957" Type="http://schemas.openxmlformats.org/officeDocument/2006/relationships/hyperlink" Target="http://www.linkedin.com/in/emmanuelle-caisson-52588a49" TargetMode="External"/><Relationship  Id="rId10958" Type="http://schemas.openxmlformats.org/officeDocument/2006/relationships/hyperlink" Target="http://assurconseilpro.fr" TargetMode="External"/><Relationship  Id="rId10959" Type="http://schemas.openxmlformats.org/officeDocument/2006/relationships/hyperlink" Target="http://www.linkedin.com/in/thomas-calleri-6b940b58" TargetMode="External"/><Relationship  Id="rId1096" Type="http://schemas.openxmlformats.org/officeDocument/2006/relationships/hyperlink" Target="http://www.linkedin.com/in/jeromedumontlkdn" TargetMode="External"/><Relationship  Id="rId10960" Type="http://schemas.openxmlformats.org/officeDocument/2006/relationships/hyperlink" Target="http://lourmel.com" TargetMode="External"/><Relationship  Id="rId10961" Type="http://schemas.openxmlformats.org/officeDocument/2006/relationships/hyperlink" Target="http://www.linkedin.com/in/christian-vieilledent-394b49189" TargetMode="External"/><Relationship  Id="rId10962" Type="http://schemas.openxmlformats.org/officeDocument/2006/relationships/hyperlink" Target="http://www.linkedin.com/in/david-adam-0a35091" TargetMode="External"/><Relationship  Id="rId10963" Type="http://schemas.openxmlformats.org/officeDocument/2006/relationships/hyperlink" Target="http://www.lsngroupe.com" TargetMode="External"/><Relationship  Id="rId10964" Type="http://schemas.openxmlformats.org/officeDocument/2006/relationships/hyperlink" Target="http://www.linkedin.com/in/georges-boduroglou-b3b0805" TargetMode="External"/><Relationship  Id="rId10965" Type="http://schemas.openxmlformats.org/officeDocument/2006/relationships/hyperlink" Target="http://caprele.fr" TargetMode="External"/><Relationship  Id="rId10966" Type="http://schemas.openxmlformats.org/officeDocument/2006/relationships/hyperlink" Target="http://www.linkedin.com/in/paul-dorion-90a4795a" TargetMode="External"/><Relationship  Id="rId10967" Type="http://schemas.openxmlformats.org/officeDocument/2006/relationships/hyperlink" Target="http://sigmage.fr" TargetMode="External"/><Relationship  Id="rId10968" Type="http://schemas.openxmlformats.org/officeDocument/2006/relationships/hyperlink" Target="http://www.linkedin.com/in/flbenoit" TargetMode="External"/><Relationship  Id="rId10969" Type="http://schemas.openxmlformats.org/officeDocument/2006/relationships/hyperlink" Target="http://www.linkedin.com/in/michael-benedicto-9a2889173" TargetMode="External"/><Relationship  Id="rId1097" Type="http://schemas.openxmlformats.org/officeDocument/2006/relationships/hyperlink" Target="http://www.linkedin.com/in/g%c3%a9raud-de-quatrebarbes-395ab944" TargetMode="External"/><Relationship  Id="rId10970" Type="http://schemas.openxmlformats.org/officeDocument/2006/relationships/hyperlink" Target="http://courtage-avenue.com" TargetMode="External"/><Relationship  Id="rId10971" Type="http://schemas.openxmlformats.org/officeDocument/2006/relationships/hyperlink" Target="http://www.linkedin.com/in/patrice-malbernard-0b46571" TargetMode="External"/><Relationship  Id="rId10972" Type="http://schemas.openxmlformats.org/officeDocument/2006/relationships/hyperlink" Target="http://angelteam.fr" TargetMode="External"/><Relationship  Id="rId10973" Type="http://schemas.openxmlformats.org/officeDocument/2006/relationships/hyperlink" Target="http://www.linkedin.com/in/patrick-carton-b56138a1" TargetMode="External"/><Relationship  Id="rId10974" Type="http://schemas.openxmlformats.org/officeDocument/2006/relationships/hyperlink" Target="http://www.mutuelledefranceunie.fr" TargetMode="External"/><Relationship  Id="rId10975" Type="http://schemas.openxmlformats.org/officeDocument/2006/relationships/hyperlink" Target="http://www.linkedin.com/in/florian-poitoux-ab0846197" TargetMode="External"/><Relationship  Id="rId10976" Type="http://schemas.openxmlformats.org/officeDocument/2006/relationships/hyperlink" Target="http://www.firidis.fr" TargetMode="External"/><Relationship  Id="rId10977" Type="http://schemas.openxmlformats.org/officeDocument/2006/relationships/hyperlink" Target="http://www.linkedin.com/in/bost-pierre-louis-31595b120" TargetMode="External"/><Relationship  Id="rId10978" Type="http://schemas.openxmlformats.org/officeDocument/2006/relationships/hyperlink" Target="http://poleassurancescourtage.com" TargetMode="External"/><Relationship  Id="rId10979" Type="http://schemas.openxmlformats.org/officeDocument/2006/relationships/hyperlink" Target="http://www.linkedin.com/in/bilal-zuban-6a6357a1" TargetMode="External"/><Relationship  Id="rId1098" Type="http://schemas.openxmlformats.org/officeDocument/2006/relationships/hyperlink" Target="http://www.residentiels.fr" TargetMode="External"/><Relationship  Id="rId10980" Type="http://schemas.openxmlformats.org/officeDocument/2006/relationships/hyperlink" Target="http://videm.fr" TargetMode="External"/><Relationship  Id="rId10981" Type="http://schemas.openxmlformats.org/officeDocument/2006/relationships/hyperlink" Target="http://www.linkedin.com/in/jv-waldorf" TargetMode="External"/><Relationship  Id="rId10982" Type="http://schemas.openxmlformats.org/officeDocument/2006/relationships/hyperlink" Target="http://www.waldorfprivateoffice.com" TargetMode="External"/><Relationship  Id="rId10983" Type="http://schemas.openxmlformats.org/officeDocument/2006/relationships/hyperlink" Target="http://www.linkedin.com/in/david-libre-babysafe" TargetMode="External"/><Relationship  Id="rId10984" Type="http://schemas.openxmlformats.org/officeDocument/2006/relationships/hyperlink" Target="http://www.linkedin.com/in/fran%c3%a7ois-gatein-8714b5124" TargetMode="External"/><Relationship  Id="rId10985" Type="http://schemas.openxmlformats.org/officeDocument/2006/relationships/hyperlink" Target="http://goldsante.com" TargetMode="External"/><Relationship  Id="rId10986" Type="http://schemas.openxmlformats.org/officeDocument/2006/relationships/hyperlink" Target="http://www.linkedin.com/in/oliviermassa" TargetMode="External"/><Relationship  Id="rId10987" Type="http://schemas.openxmlformats.org/officeDocument/2006/relationships/hyperlink" Target="http://www.linkedin.com/in/florent-cannelle-526aa164" TargetMode="External"/><Relationship  Id="rId10988" Type="http://schemas.openxmlformats.org/officeDocument/2006/relationships/hyperlink" Target="http://www.linkedin.com/in/julien-altar-7b866b94" TargetMode="External"/><Relationship  Id="rId10989" Type="http://schemas.openxmlformats.org/officeDocument/2006/relationships/hyperlink" Target="http://alba-up.com" TargetMode="External"/><Relationship  Id="rId1099" Type="http://schemas.openxmlformats.org/officeDocument/2006/relationships/hyperlink" Target="http://www.linkedin.com/in/s%c3%a9bastien-morel-4a84a01b0" TargetMode="External"/><Relationship  Id="rId10990" Type="http://schemas.openxmlformats.org/officeDocument/2006/relationships/hyperlink" Target="http://www.linkedin.com/in/michel-amalric-13b61124" TargetMode="External"/><Relationship  Id="rId10991" Type="http://schemas.openxmlformats.org/officeDocument/2006/relationships/hyperlink" Target="http://ama.fr" TargetMode="External"/><Relationship  Id="rId10992" Type="http://schemas.openxmlformats.org/officeDocument/2006/relationships/hyperlink" Target="http://www.linkedin.com/in/sylvain-troadec-77b721141" TargetMode="External"/><Relationship  Id="rId10993" Type="http://schemas.openxmlformats.org/officeDocument/2006/relationships/hyperlink" Target="http://trscourtage.com" TargetMode="External"/><Relationship  Id="rId10994" Type="http://schemas.openxmlformats.org/officeDocument/2006/relationships/hyperlink" Target="http://www.linkedin.com/in/mathieu-prodhomme-83454251" TargetMode="External"/><Relationship  Id="rId10995" Type="http://schemas.openxmlformats.org/officeDocument/2006/relationships/hyperlink" Target="http://bretassur.fr" TargetMode="External"/><Relationship  Id="rId10996" Type="http://schemas.openxmlformats.org/officeDocument/2006/relationships/hyperlink" Target="http://www.linkedin.com/in/olivier-gleizal-8b786024" TargetMode="External"/><Relationship  Id="rId10997" Type="http://schemas.openxmlformats.org/officeDocument/2006/relationships/hyperlink" Target="http://alfredauto.fr" TargetMode="External"/><Relationship  Id="rId10998" Type="http://schemas.openxmlformats.org/officeDocument/2006/relationships/hyperlink" Target="http://www.linkedin.com/in/bruno-liger-belair-902b7bb" TargetMode="External"/><Relationship  Id="rId10999" Type="http://schemas.openxmlformats.org/officeDocument/2006/relationships/hyperlink" Target="http://www.smatis.fr" TargetMode="External"/><Relationship  Id="rId11" Type="http://schemas.openxmlformats.org/officeDocument/2006/relationships/hyperlink" Target="http://www.linkedin.com/in/caroline-domange-harding-5b121446" TargetMode="External"/><Relationship  Id="rId110" Type="http://schemas.openxmlformats.org/officeDocument/2006/relationships/hyperlink" Target="http://www.linkedin.com/in/romain-pitat-a503b8177" TargetMode="External"/><Relationship  Id="rId1100" Type="http://schemas.openxmlformats.org/officeDocument/2006/relationships/hyperlink" Target="http://www.domaine-colombier.com" TargetMode="External"/><Relationship  Id="rId11000" Type="http://schemas.openxmlformats.org/officeDocument/2006/relationships/hyperlink" Target="http://www.linkedin.com/in/paul-emile-leroy-89489b21" TargetMode="External"/><Relationship  Id="rId11001" Type="http://schemas.openxmlformats.org/officeDocument/2006/relationships/hyperlink" Target="http://union-industrielle.fr" TargetMode="External"/><Relationship  Id="rId11002" Type="http://schemas.openxmlformats.org/officeDocument/2006/relationships/hyperlink" Target="http://www.linkedin.com/in/benoit-eymieu26" TargetMode="External"/><Relationship  Id="rId11003" Type="http://schemas.openxmlformats.org/officeDocument/2006/relationships/hyperlink" Target="http://fidemassurances.fr" TargetMode="External"/><Relationship  Id="rId11004" Type="http://schemas.openxmlformats.org/officeDocument/2006/relationships/hyperlink" Target="http://www.linkedin.com/in/gilles-marty-b5273767" TargetMode="External"/><Relationship  Id="rId11005" Type="http://schemas.openxmlformats.org/officeDocument/2006/relationships/hyperlink" Target="http://www.linkedin.com/in/fabien-monvoisin" TargetMode="External"/><Relationship  Id="rId11006" Type="http://schemas.openxmlformats.org/officeDocument/2006/relationships/hyperlink" Target="http://www.franchise-rachat-de-credits.com" TargetMode="External"/><Relationship  Id="rId11007" Type="http://schemas.openxmlformats.org/officeDocument/2006/relationships/hyperlink" Target="http://www.linkedin.com/in/olivieratlan" TargetMode="External"/><Relationship  Id="rId11008" Type="http://schemas.openxmlformats.org/officeDocument/2006/relationships/hyperlink" Target="http://coverimmo.com" TargetMode="External"/><Relationship  Id="rId11009" Type="http://schemas.openxmlformats.org/officeDocument/2006/relationships/hyperlink" Target="http://www.linkedin.com/in/aymeric-de-vasselot-6a99651" TargetMode="External"/><Relationship  Id="rId1101" Type="http://schemas.openxmlformats.org/officeDocument/2006/relationships/hyperlink" Target="http://www.linkedin.com/in/antoinejosslecocq" TargetMode="External"/><Relationship  Id="rId11010" Type="http://schemas.openxmlformats.org/officeDocument/2006/relationships/hyperlink" Target="http://o2a-assurance.fr" TargetMode="External"/><Relationship  Id="rId11011" Type="http://schemas.openxmlformats.org/officeDocument/2006/relationships/hyperlink" Target="http://www.linkedin.com/in/axel-rivet-599424226" TargetMode="External"/><Relationship  Id="rId11012" Type="http://schemas.openxmlformats.org/officeDocument/2006/relationships/hyperlink" Target="http://www.jobsizer.fr" TargetMode="External"/><Relationship  Id="rId11013" Type="http://schemas.openxmlformats.org/officeDocument/2006/relationships/hyperlink" Target="http://www.linkedin.com/in/larry-hueber-b0b381109" TargetMode="External"/><Relationship  Id="rId11014" Type="http://schemas.openxmlformats.org/officeDocument/2006/relationships/hyperlink" Target="http://www.groupehueberassurances.fr" TargetMode="External"/><Relationship  Id="rId11015" Type="http://schemas.openxmlformats.org/officeDocument/2006/relationships/hyperlink" Target="http://www.linkedin.com/in/marc-bernard-b2108610b" TargetMode="External"/><Relationship  Id="rId11016" Type="http://schemas.openxmlformats.org/officeDocument/2006/relationships/hyperlink" Target="http://capssur.fr" TargetMode="External"/><Relationship  Id="rId11017" Type="http://schemas.openxmlformats.org/officeDocument/2006/relationships/hyperlink" Target="http://www.linkedin.com/in/jerome-bazille-302680a0" TargetMode="External"/><Relationship  Id="rId11018" Type="http://schemas.openxmlformats.org/officeDocument/2006/relationships/hyperlink" Target="http://h2bassurances.fr" TargetMode="External"/><Relationship  Id="rId11019" Type="http://schemas.openxmlformats.org/officeDocument/2006/relationships/hyperlink" Target="http://www.linkedin.com/in/fabienvighetto" TargetMode="External"/><Relationship  Id="rId1102" Type="http://schemas.openxmlformats.org/officeDocument/2006/relationships/hyperlink" Target="http://www.felakuti.com" TargetMode="External"/><Relationship  Id="rId11020" Type="http://schemas.openxmlformats.org/officeDocument/2006/relationships/hyperlink" Target="http://vigny-depierre.com" TargetMode="External"/><Relationship  Id="rId11021" Type="http://schemas.openxmlformats.org/officeDocument/2006/relationships/hyperlink" Target="http://www.linkedin.com/in/fr%c3%a9d%c3%a9ric-b%c3%a9al-9977316b" TargetMode="External"/><Relationship  Id="rId11022" Type="http://schemas.openxmlformats.org/officeDocument/2006/relationships/hyperlink" Target="http://beal-expertise.fr" TargetMode="External"/><Relationship  Id="rId11023" Type="http://schemas.openxmlformats.org/officeDocument/2006/relationships/hyperlink" Target="http://www.linkedin.com/in/twitrand" TargetMode="External"/><Relationship  Id="rId11024" Type="http://schemas.openxmlformats.org/officeDocument/2006/relationships/hyperlink" Target="http://www.linkedin.com/in/erwan-breuil-b9409427" TargetMode="External"/><Relationship  Id="rId11025" Type="http://schemas.openxmlformats.org/officeDocument/2006/relationships/hyperlink" Target="http://www.linkedin.com/in/s%c3%a9bastien-vonesch-23120876" TargetMode="External"/><Relationship  Id="rId11026" Type="http://schemas.openxmlformats.org/officeDocument/2006/relationships/hyperlink" Target="http://alsaceprotectionsociale.fr" TargetMode="External"/><Relationship  Id="rId11027" Type="http://schemas.openxmlformats.org/officeDocument/2006/relationships/hyperlink" Target="http://www.linkedin.com/in/simon-merel-5b847a144" TargetMode="External"/><Relationship  Id="rId11028" Type="http://schemas.openxmlformats.org/officeDocument/2006/relationships/hyperlink" Target="http://aequocourtage.fr" TargetMode="External"/><Relationship  Id="rId11029" Type="http://schemas.openxmlformats.org/officeDocument/2006/relationships/hyperlink" Target="http://www.linkedin.com/in/tony-cerda-9b2893250" TargetMode="External"/><Relationship  Id="rId1103" Type="http://schemas.openxmlformats.org/officeDocument/2006/relationships/hyperlink" Target="http://www.linkedin.com/in/pauline-herssens-8b349a44" TargetMode="External"/><Relationship  Id="rId11030" Type="http://schemas.openxmlformats.org/officeDocument/2006/relationships/hyperlink" Target="http://xcr.fr" TargetMode="External"/><Relationship  Id="rId11031" Type="http://schemas.openxmlformats.org/officeDocument/2006/relationships/hyperlink" Target="http://www.linkedin.com/in/herv%c3%a9-huet-7449755a" TargetMode="External"/><Relationship  Id="rId11032" Type="http://schemas.openxmlformats.org/officeDocument/2006/relationships/hyperlink" Target="http://www.linkedin.com/in/olivier-alliot-599918295" TargetMode="External"/><Relationship  Id="rId11033" Type="http://schemas.openxmlformats.org/officeDocument/2006/relationships/hyperlink" Target="http://asc-assurance.fr" TargetMode="External"/><Relationship  Id="rId11034" Type="http://schemas.openxmlformats.org/officeDocument/2006/relationships/hyperlink" Target="http://www.linkedin.com/in/julien-pedrono-ab9a0217" TargetMode="External"/><Relationship  Id="rId11035" Type="http://schemas.openxmlformats.org/officeDocument/2006/relationships/hyperlink" Target="http://previi.fr" TargetMode="External"/><Relationship  Id="rId11036" Type="http://schemas.openxmlformats.org/officeDocument/2006/relationships/hyperlink" Target="http://www.linkedin.com/in/christophe-bounous-2200b2164" TargetMode="External"/><Relationship  Id="rId11037" Type="http://schemas.openxmlformats.org/officeDocument/2006/relationships/hyperlink" Target="http://mutuelle-msp.fr" TargetMode="External"/><Relationship  Id="rId11038" Type="http://schemas.openxmlformats.org/officeDocument/2006/relationships/hyperlink" Target="http://www.linkedin.com/in/rince" TargetMode="External"/><Relationship  Id="rId11039" Type="http://schemas.openxmlformats.org/officeDocument/2006/relationships/hyperlink" Target="http://altima-assurances.fr" TargetMode="External"/><Relationship  Id="rId1104" Type="http://schemas.openxmlformats.org/officeDocument/2006/relationships/hyperlink" Target="http://www.linkedin.com/in/thomas-giraudier-52977887" TargetMode="External"/><Relationship  Id="rId11040" Type="http://schemas.openxmlformats.org/officeDocument/2006/relationships/hyperlink" Target="http://www.linkedin.com/in/philippe-chou-3354141a" TargetMode="External"/><Relationship  Id="rId11041" Type="http://schemas.openxmlformats.org/officeDocument/2006/relationships/hyperlink" Target="http://coelience.fr" TargetMode="External"/><Relationship  Id="rId11042" Type="http://schemas.openxmlformats.org/officeDocument/2006/relationships/hyperlink" Target="http://www.linkedin.com/in/philippemariani" TargetMode="External"/><Relationship  Id="rId11043" Type="http://schemas.openxmlformats.org/officeDocument/2006/relationships/hyperlink" Target="http://kogis.fr" TargetMode="External"/><Relationship  Id="rId11044" Type="http://schemas.openxmlformats.org/officeDocument/2006/relationships/hyperlink" Target="http://www.linkedin.com/in/abdoulaye-sall-85030510a" TargetMode="External"/><Relationship  Id="rId11045" Type="http://schemas.openxmlformats.org/officeDocument/2006/relationships/hyperlink" Target="http://universall-consulting.fr" TargetMode="External"/><Relationship  Id="rId11046" Type="http://schemas.openxmlformats.org/officeDocument/2006/relationships/hyperlink" Target="http://www.linkedin.com/in/fabien-mennella-408a9a64" TargetMode="External"/><Relationship  Id="rId11047" Type="http://schemas.openxmlformats.org/officeDocument/2006/relationships/hyperlink" Target="http://connect-courtage.com" TargetMode="External"/><Relationship  Id="rId11048" Type="http://schemas.openxmlformats.org/officeDocument/2006/relationships/hyperlink" Target="http://www.linkedin.com/in/philippe-lefevre-44ba2539" TargetMode="External"/><Relationship  Id="rId11049" Type="http://schemas.openxmlformats.org/officeDocument/2006/relationships/hyperlink" Target="http://ellena-solution.fr" TargetMode="External"/><Relationship  Id="rId1105" Type="http://schemas.openxmlformats.org/officeDocument/2006/relationships/hyperlink" Target="http://www.linkedin.com/in/daniel-david-a05ba110b" TargetMode="External"/><Relationship  Id="rId11050" Type="http://schemas.openxmlformats.org/officeDocument/2006/relationships/hyperlink" Target="http://www.linkedin.com/in/dalila-bacha-a00ab5198" TargetMode="External"/><Relationship  Id="rId11051" Type="http://schemas.openxmlformats.org/officeDocument/2006/relationships/hyperlink" Target="http://smileassurances.fr" TargetMode="External"/><Relationship  Id="rId11052" Type="http://schemas.openxmlformats.org/officeDocument/2006/relationships/hyperlink" Target="http://www.linkedin.com/in/philippe-revelat-a06a7530" TargetMode="External"/><Relationship  Id="rId11053" Type="http://schemas.openxmlformats.org/officeDocument/2006/relationships/hyperlink" Target="http://assuromieux.fr" TargetMode="External"/><Relationship  Id="rId11054" Type="http://schemas.openxmlformats.org/officeDocument/2006/relationships/hyperlink" Target="http://www.linkedin.com/in/thierry-duflot-ab838611" TargetMode="External"/><Relationship  Id="rId11055" Type="http://schemas.openxmlformats.org/officeDocument/2006/relationships/hyperlink" Target="http://www.linkedin.com/in/faouzi-benali-a7b896198" TargetMode="External"/><Relationship  Id="rId11056" Type="http://schemas.openxmlformats.org/officeDocument/2006/relationships/hyperlink" Target="http://ema-assurances.fr" TargetMode="External"/><Relationship  Id="rId11057" Type="http://schemas.openxmlformats.org/officeDocument/2006/relationships/hyperlink" Target="http://www.linkedin.com/in/alexandregravier" TargetMode="External"/><Relationship  Id="rId11058" Type="http://schemas.openxmlformats.org/officeDocument/2006/relationships/hyperlink" Target="http://girose-patrimoine.fr" TargetMode="External"/><Relationship  Id="rId11059" Type="http://schemas.openxmlformats.org/officeDocument/2006/relationships/hyperlink" Target="http://www.linkedin.com/in/jean-brunet26" TargetMode="External"/><Relationship  Id="rId1106" Type="http://schemas.openxmlformats.org/officeDocument/2006/relationships/hyperlink" Target="http://www.linkedin.com/in/vincent-bray-53716a87" TargetMode="External"/><Relationship  Id="rId11060" Type="http://schemas.openxmlformats.org/officeDocument/2006/relationships/hyperlink" Target="http://www.tendanz.com" TargetMode="External"/><Relationship  Id="rId11061" Type="http://schemas.openxmlformats.org/officeDocument/2006/relationships/hyperlink" Target="http://www.linkedin.com/in/denis-raynal-166b7033" TargetMode="External"/><Relationship  Id="rId11062" Type="http://schemas.openxmlformats.org/officeDocument/2006/relationships/hyperlink" Target="http://novacover.fr" TargetMode="External"/><Relationship  Id="rId11063" Type="http://schemas.openxmlformats.org/officeDocument/2006/relationships/hyperlink" Target="http://www.linkedin.com/in/jordan-francois-7807a8106" TargetMode="External"/><Relationship  Id="rId11064" Type="http://schemas.openxmlformats.org/officeDocument/2006/relationships/hyperlink" Target="http://ckairos.fr" TargetMode="External"/><Relationship  Id="rId11065" Type="http://schemas.openxmlformats.org/officeDocument/2006/relationships/hyperlink" Target="http://www.linkedin.com/in/philippe-mah%c3%a9-aa85a2114" TargetMode="External"/><Relationship  Id="rId11066" Type="http://schemas.openxmlformats.org/officeDocument/2006/relationships/hyperlink" Target="http://www.uesas.fr" TargetMode="External"/><Relationship  Id="rId11067" Type="http://schemas.openxmlformats.org/officeDocument/2006/relationships/hyperlink" Target="http://www.linkedin.com/in/christel-albouy-nallard-70b20a86" TargetMode="External"/><Relationship  Id="rId11068" Type="http://schemas.openxmlformats.org/officeDocument/2006/relationships/hyperlink" Target="http://adequation-advisory.com" TargetMode="External"/><Relationship  Id="rId11069" Type="http://schemas.openxmlformats.org/officeDocument/2006/relationships/hyperlink" Target="http://www.linkedin.com/in/s%c3%a9bastien-tournier-8b094668" TargetMode="External"/><Relationship  Id="rId1107" Type="http://schemas.openxmlformats.org/officeDocument/2006/relationships/hyperlink" Target="http://www.alboran.fr" TargetMode="External"/><Relationship  Id="rId11070" Type="http://schemas.openxmlformats.org/officeDocument/2006/relationships/hyperlink" Target="http://www.linkedin.com/in/jules-mangeard-085b0b293" TargetMode="External"/><Relationship  Id="rId11071" Type="http://schemas.openxmlformats.org/officeDocument/2006/relationships/hyperlink" Target="http://isfajuniorconseil.com" TargetMode="External"/><Relationship  Id="rId11072" Type="http://schemas.openxmlformats.org/officeDocument/2006/relationships/hyperlink" Target="http://www.linkedin.com/in/jean-drougard-24185969" TargetMode="External"/><Relationship  Id="rId11073" Type="http://schemas.openxmlformats.org/officeDocument/2006/relationships/hyperlink" Target="http://cristalis.fr" TargetMode="External"/><Relationship  Id="rId11074" Type="http://schemas.openxmlformats.org/officeDocument/2006/relationships/hyperlink" Target="http://www.linkedin.com/in/sophieelorri" TargetMode="External"/><Relationship  Id="rId11075" Type="http://schemas.openxmlformats.org/officeDocument/2006/relationships/hyperlink" Target="http://www.linkedin.com/in/alex-tran-9b58b08" TargetMode="External"/><Relationship  Id="rId11076" Type="http://schemas.openxmlformats.org/officeDocument/2006/relationships/hyperlink" Target="http://axeyspartners.com" TargetMode="External"/><Relationship  Id="rId11077" Type="http://schemas.openxmlformats.org/officeDocument/2006/relationships/hyperlink" Target="http://www.linkedin.com/in/pierre-mangeret-17316178" TargetMode="External"/><Relationship  Id="rId11078" Type="http://schemas.openxmlformats.org/officeDocument/2006/relationships/hyperlink" Target="http://www.linkedin.com/in/michel-nicollet-1227172a" TargetMode="External"/><Relationship  Id="rId11079" Type="http://schemas.openxmlformats.org/officeDocument/2006/relationships/hyperlink" Target="http://www.linkedin.com/in/kamila-yunus" TargetMode="External"/><Relationship  Id="rId1108" Type="http://schemas.openxmlformats.org/officeDocument/2006/relationships/hyperlink" Target="http://www.linkedin.com/in/camael-adeleke-4b51b3164" TargetMode="External"/><Relationship  Id="rId11080" Type="http://schemas.openxmlformats.org/officeDocument/2006/relationships/hyperlink" Target="http://www.amisur.online" TargetMode="External"/><Relationship  Id="rId11081" Type="http://schemas.openxmlformats.org/officeDocument/2006/relationships/hyperlink" Target="http://www.linkedin.com/in/romuald-fidon-60136386" TargetMode="External"/><Relationship  Id="rId11082" Type="http://schemas.openxmlformats.org/officeDocument/2006/relationships/hyperlink" Target="http://fidlcap.fr" TargetMode="External"/><Relationship  Id="rId11083" Type="http://schemas.openxmlformats.org/officeDocument/2006/relationships/hyperlink" Target="http://www.linkedin.com/in/pascal-vassy-2224939b" TargetMode="External"/><Relationship  Id="rId11084" Type="http://schemas.openxmlformats.org/officeDocument/2006/relationships/hyperlink" Target="http://franchise-rachat-de-credits.com" TargetMode="External"/><Relationship  Id="rId11085" Type="http://schemas.openxmlformats.org/officeDocument/2006/relationships/hyperlink" Target="http://www.linkedin.com/in/pierre-simon-28b50721a" TargetMode="External"/><Relationship  Id="rId11086" Type="http://schemas.openxmlformats.org/officeDocument/2006/relationships/hyperlink" Target="http://angelus-courtage.com" TargetMode="External"/><Relationship  Id="rId11087" Type="http://schemas.openxmlformats.org/officeDocument/2006/relationships/hyperlink" Target="http://www.linkedin.com/in/alexandre-pimont-935aa1124" TargetMode="External"/><Relationship  Id="rId11088" Type="http://schemas.openxmlformats.org/officeDocument/2006/relationships/hyperlink" Target="http://sogeas.fr" TargetMode="External"/><Relationship  Id="rId11089" Type="http://schemas.openxmlformats.org/officeDocument/2006/relationships/hyperlink" Target="http://www.linkedin.com/in/vincent-goudot-32494219" TargetMode="External"/><Relationship  Id="rId1109" Type="http://schemas.openxmlformats.org/officeDocument/2006/relationships/hyperlink" Target="http://www.linkedin.com/in/pierredoublet" TargetMode="External"/><Relationship  Id="rId11090" Type="http://schemas.openxmlformats.org/officeDocument/2006/relationships/hyperlink" Target="http://globekeys.fr" TargetMode="External"/><Relationship  Id="rId11091" Type="http://schemas.openxmlformats.org/officeDocument/2006/relationships/hyperlink" Target="http://www.linkedin.com/in/philippe-ricard-162042164" TargetMode="External"/><Relationship  Id="rId11092" Type="http://schemas.openxmlformats.org/officeDocument/2006/relationships/hyperlink" Target="http://www.ipeca.fr" TargetMode="External"/><Relationship  Id="rId11093" Type="http://schemas.openxmlformats.org/officeDocument/2006/relationships/hyperlink" Target="http://www.linkedin.com/in/yannick-happi" TargetMode="External"/><Relationship  Id="rId11094" Type="http://schemas.openxmlformats.org/officeDocument/2006/relationships/hyperlink" Target="http://mansa-patrimoine.fr" TargetMode="External"/><Relationship  Id="rId11095" Type="http://schemas.openxmlformats.org/officeDocument/2006/relationships/hyperlink" Target="http://www.linkedin.com/in/marc-fontanarava-78b73223a" TargetMode="External"/><Relationship  Id="rId11096" Type="http://schemas.openxmlformats.org/officeDocument/2006/relationships/hyperlink" Target="http://www.linkedin.com/in/quentin-torel-63032887" TargetMode="External"/><Relationship  Id="rId11097" Type="http://schemas.openxmlformats.org/officeDocument/2006/relationships/hyperlink" Target="http://colvert-assurances.fr" TargetMode="External"/><Relationship  Id="rId11098" Type="http://schemas.openxmlformats.org/officeDocument/2006/relationships/hyperlink" Target="http://www.linkedin.com/in/zef-berisha-a6a934199" TargetMode="External"/><Relationship  Id="rId11099" Type="http://schemas.openxmlformats.org/officeDocument/2006/relationships/hyperlink" Target="http://alba-assurances.fr" TargetMode="External"/><Relationship  Id="rId111" Type="http://schemas.openxmlformats.org/officeDocument/2006/relationships/hyperlink" Target="http://www.muchachamontpellier.fr" TargetMode="External"/><Relationship  Id="rId1110" Type="http://schemas.openxmlformats.org/officeDocument/2006/relationships/hyperlink" Target="http://www.fugafamily.com" TargetMode="External"/><Relationship  Id="rId11100" Type="http://schemas.openxmlformats.org/officeDocument/2006/relationships/hyperlink" Target="http://www.linkedin.com/in/edouard-bataille-31369568" TargetMode="External"/><Relationship  Id="rId11101" Type="http://schemas.openxmlformats.org/officeDocument/2006/relationships/hyperlink" Target="http://www.chesneau.net" TargetMode="External"/><Relationship  Id="rId11102" Type="http://schemas.openxmlformats.org/officeDocument/2006/relationships/hyperlink" Target="http://www.linkedin.com/in/gregory-huvelle-63a652106" TargetMode="External"/><Relationship  Id="rId11103" Type="http://schemas.openxmlformats.org/officeDocument/2006/relationships/hyperlink" Target="http://vetoptim.com" TargetMode="External"/><Relationship  Id="rId11104" Type="http://schemas.openxmlformats.org/officeDocument/2006/relationships/hyperlink" Target="http://www.linkedin.com/in/ronan-daniel-57556a92" TargetMode="External"/><Relationship  Id="rId11105" Type="http://schemas.openxmlformats.org/officeDocument/2006/relationships/hyperlink" Target="http://rdanielcourtage.fr" TargetMode="External"/><Relationship  Id="rId11106" Type="http://schemas.openxmlformats.org/officeDocument/2006/relationships/hyperlink" Target="http://www.linkedin.com/in/val%c3%a9rie-campioni-21782a141" TargetMode="External"/><Relationship  Id="rId11107" Type="http://schemas.openxmlformats.org/officeDocument/2006/relationships/hyperlink" Target="http://www.linkedin.com/in/nicolas-quinchard-8a289567" TargetMode="External"/><Relationship  Id="rId11108" Type="http://schemas.openxmlformats.org/officeDocument/2006/relationships/hyperlink" Target="http://www.moonee.fr" TargetMode="External"/><Relationship  Id="rId11109" Type="http://schemas.openxmlformats.org/officeDocument/2006/relationships/hyperlink" Target="http://www.linkedin.com/in/rachel-fritsch-078819209" TargetMode="External"/><Relationship  Id="rId1111" Type="http://schemas.openxmlformats.org/officeDocument/2006/relationships/hyperlink" Target="http://hospitality-on.com" TargetMode="External"/><Relationship  Id="rId11110" Type="http://schemas.openxmlformats.org/officeDocument/2006/relationships/hyperlink" Target="http://gmpassist.com" TargetMode="External"/><Relationship  Id="rId11111" Type="http://schemas.openxmlformats.org/officeDocument/2006/relationships/hyperlink" Target="http://www.linkedin.com/in/guy-bernard-9791a7198" TargetMode="External"/><Relationship  Id="rId11112" Type="http://schemas.openxmlformats.org/officeDocument/2006/relationships/hyperlink" Target="http://daccess.fr" TargetMode="External"/><Relationship  Id="rId11113" Type="http://schemas.openxmlformats.org/officeDocument/2006/relationships/hyperlink" Target="http://www.linkedin.com/in/corinnemoscadelli" TargetMode="External"/><Relationship  Id="rId11114" Type="http://schemas.openxmlformats.org/officeDocument/2006/relationships/hyperlink" Target="http://www.linkedin.com/in/peter-driscoll-47320915" TargetMode="External"/><Relationship  Id="rId11115" Type="http://schemas.openxmlformats.org/officeDocument/2006/relationships/hyperlink" Target="http://www.dsa-holdings.com" TargetMode="External"/><Relationship  Id="rId11116" Type="http://schemas.openxmlformats.org/officeDocument/2006/relationships/hyperlink" Target="http://www.linkedin.com/in/louisfourrier" TargetMode="External"/><Relationship  Id="rId11117" Type="http://schemas.openxmlformats.org/officeDocument/2006/relationships/hyperlink" Target="http://www.sidecare.com" TargetMode="External"/><Relationship  Id="rId11118" Type="http://schemas.openxmlformats.org/officeDocument/2006/relationships/hyperlink" Target="http://www.linkedin.com/in/pierre-montane-395552150" TargetMode="External"/><Relationship  Id="rId11119" Type="http://schemas.openxmlformats.org/officeDocument/2006/relationships/hyperlink" Target="http://asselio.com" TargetMode="External"/><Relationship  Id="rId1112" Type="http://schemas.openxmlformats.org/officeDocument/2006/relationships/hyperlink" Target="http://www.linkedin.com/in/vanguelispanayotis" TargetMode="External"/><Relationship  Id="rId11120" Type="http://schemas.openxmlformats.org/officeDocument/2006/relationships/hyperlink" Target="http://www.linkedin.com/in/nicolas-jacob-74935383" TargetMode="External"/><Relationship  Id="rId11121" Type="http://schemas.openxmlformats.org/officeDocument/2006/relationships/hyperlink" Target="http://horizonconsultant.fr" TargetMode="External"/><Relationship  Id="rId11122" Type="http://schemas.openxmlformats.org/officeDocument/2006/relationships/hyperlink" Target="http://www.linkedin.com/in/france-arnaud-de-taddeo-solmondo-a260968" TargetMode="External"/><Relationship  Id="rId11123" Type="http://schemas.openxmlformats.org/officeDocument/2006/relationships/hyperlink" Target="http://www.solmondo.net" TargetMode="External"/><Relationship  Id="rId11124" Type="http://schemas.openxmlformats.org/officeDocument/2006/relationships/hyperlink" Target="http://pauly-medical.com" TargetMode="External"/><Relationship  Id="rId11125" Type="http://schemas.openxmlformats.org/officeDocument/2006/relationships/hyperlink" Target="http://www.linkedin.com/in/maxime-huon" TargetMode="External"/><Relationship  Id="rId11126" Type="http://schemas.openxmlformats.org/officeDocument/2006/relationships/hyperlink" Target="http://www.linkedin.com/in/yannick-nold-360a755a" TargetMode="External"/><Relationship  Id="rId11127" Type="http://schemas.openxmlformats.org/officeDocument/2006/relationships/hyperlink" Target="http://lilycare.fr" TargetMode="External"/><Relationship  Id="rId11128" Type="http://schemas.openxmlformats.org/officeDocument/2006/relationships/hyperlink" Target="http://www.linkedin.com/in/isabelle-rousseau-3b205468" TargetMode="External"/><Relationship  Id="rId11129" Type="http://schemas.openxmlformats.org/officeDocument/2006/relationships/hyperlink" Target="http://groupeascolli.com" TargetMode="External"/><Relationship  Id="rId1113" Type="http://schemas.openxmlformats.org/officeDocument/2006/relationships/hyperlink" Target="http://www.hospitality-on.com" TargetMode="External"/><Relationship  Id="rId11130" Type="http://schemas.openxmlformats.org/officeDocument/2006/relationships/hyperlink" Target="http://www.linkedin.com/in/quentin-wargny-92b5731a" TargetMode="External"/><Relationship  Id="rId11131" Type="http://schemas.openxmlformats.org/officeDocument/2006/relationships/hyperlink" Target="http://wargnyassurances.com" TargetMode="External"/><Relationship  Id="rId11132" Type="http://schemas.openxmlformats.org/officeDocument/2006/relationships/hyperlink" Target="http://www.linkedin.com/in/adrienbrusson" TargetMode="External"/><Relationship  Id="rId11133" Type="http://schemas.openxmlformats.org/officeDocument/2006/relationships/hyperlink" Target="http://aresgroupe-assurances.com" TargetMode="External"/><Relationship  Id="rId11134" Type="http://schemas.openxmlformats.org/officeDocument/2006/relationships/hyperlink" Target="http://www.linkedin.com/in/mengxue-zou-credit-insurance" TargetMode="External"/><Relationship  Id="rId11135" Type="http://schemas.openxmlformats.org/officeDocument/2006/relationships/hyperlink" Target="http://sinocredit.fr" TargetMode="External"/><Relationship  Id="rId11136" Type="http://schemas.openxmlformats.org/officeDocument/2006/relationships/hyperlink" Target="http://www.linkedin.com/in/martin-vancostenoble-6157258" TargetMode="External"/><Relationship  Id="rId11137" Type="http://schemas.openxmlformats.org/officeDocument/2006/relationships/hyperlink" Target="http://www.utwin.fr" TargetMode="External"/><Relationship  Id="rId11138" Type="http://schemas.openxmlformats.org/officeDocument/2006/relationships/hyperlink" Target="http://www.linkedin.com/in/st%c3%a9phane-lecomte-7473b8124" TargetMode="External"/><Relationship  Id="rId11139" Type="http://schemas.openxmlformats.org/officeDocument/2006/relationships/hyperlink" Target="http://www.ofracar.fr" TargetMode="External"/><Relationship  Id="rId1114" Type="http://schemas.openxmlformats.org/officeDocument/2006/relationships/hyperlink" Target="http://www.linkedin.com/in/nicolascarles" TargetMode="External"/><Relationship  Id="rId11140" Type="http://schemas.openxmlformats.org/officeDocument/2006/relationships/hyperlink" Target="http://www.linkedin.com/in/guillaume-burel-1178bb47" TargetMode="External"/><Relationship  Id="rId11141" Type="http://schemas.openxmlformats.org/officeDocument/2006/relationships/hyperlink" Target="http://www.linkedin.com/in/st%c3%a9phane-granier-98b385121" TargetMode="External"/><Relationship  Id="rId11142" Type="http://schemas.openxmlformats.org/officeDocument/2006/relationships/hyperlink" Target="http://granierassurances.fr" TargetMode="External"/><Relationship  Id="rId11143" Type="http://schemas.openxmlformats.org/officeDocument/2006/relationships/hyperlink" Target="http://www.linkedin.com/in/robin-barbereau-49b2bb124" TargetMode="External"/><Relationship  Id="rId11144" Type="http://schemas.openxmlformats.org/officeDocument/2006/relationships/hyperlink" Target="http://groupe-lafondroullet.com" TargetMode="External"/><Relationship  Id="rId11145" Type="http://schemas.openxmlformats.org/officeDocument/2006/relationships/hyperlink" Target="http://www.linkedin.com/in/matthias-clement-80485841" TargetMode="External"/><Relationship  Id="rId11146" Type="http://schemas.openxmlformats.org/officeDocument/2006/relationships/hyperlink" Target="http://mcpartenaires.com" TargetMode="External"/><Relationship  Id="rId11147" Type="http://schemas.openxmlformats.org/officeDocument/2006/relationships/hyperlink" Target="http://www.linkedin.com/in/laurent-bessan-00212430" TargetMode="External"/><Relationship  Id="rId11148" Type="http://schemas.openxmlformats.org/officeDocument/2006/relationships/hyperlink" Target="http://groupebac.com" TargetMode="External"/><Relationship  Id="rId11149" Type="http://schemas.openxmlformats.org/officeDocument/2006/relationships/hyperlink" Target="http://www.linkedin.com/in/michel-piriou-88777712b" TargetMode="External"/><Relationship  Id="rId1115" Type="http://schemas.openxmlformats.org/officeDocument/2006/relationships/hyperlink" Target="http://www.tuttiamici.fr" TargetMode="External"/><Relationship  Id="rId11150" Type="http://schemas.openxmlformats.org/officeDocument/2006/relationships/hyperlink" Target="http://inizys-mutuelle.fr" TargetMode="External"/><Relationship  Id="rId11151" Type="http://schemas.openxmlformats.org/officeDocument/2006/relationships/hyperlink" Target="http://www.linkedin.com/in/philippe-dreno-55b205194" TargetMode="External"/><Relationship  Id="rId11152" Type="http://schemas.openxmlformats.org/officeDocument/2006/relationships/hyperlink" Target="http://riskomnium.fr" TargetMode="External"/><Relationship  Id="rId11153" Type="http://schemas.openxmlformats.org/officeDocument/2006/relationships/hyperlink" Target="http://www.linkedin.com/in/selim-loued-69a009100" TargetMode="External"/><Relationship  Id="rId11154" Type="http://schemas.openxmlformats.org/officeDocument/2006/relationships/hyperlink" Target="http://www.linkedin.com/in/quentin-sauvee-8a359542" TargetMode="External"/><Relationship  Id="rId11155" Type="http://schemas.openxmlformats.org/officeDocument/2006/relationships/hyperlink" Target="http://www.jaji.fr" TargetMode="External"/><Relationship  Id="rId11156" Type="http://schemas.openxmlformats.org/officeDocument/2006/relationships/hyperlink" Target="http://www.linkedin.com/in/eric-chancy-427538182" TargetMode="External"/><Relationship  Id="rId11157" Type="http://schemas.openxmlformats.org/officeDocument/2006/relationships/hyperlink" Target="http://www.linkedin.com/in/renaud-pellet-028702b" TargetMode="External"/><Relationship  Id="rId11158" Type="http://schemas.openxmlformats.org/officeDocument/2006/relationships/hyperlink" Target="http://lamedecinelibre.com" TargetMode="External"/><Relationship  Id="rId11159" Type="http://schemas.openxmlformats.org/officeDocument/2006/relationships/hyperlink" Target="http://www.linkedin.com/in/samuel-daoudi-0b2130209" TargetMode="External"/><Relationship  Id="rId1116" Type="http://schemas.openxmlformats.org/officeDocument/2006/relationships/hyperlink" Target="http://www.linkedin.com/in/justine-cascales-1a052959" TargetMode="External"/><Relationship  Id="rId11160" Type="http://schemas.openxmlformats.org/officeDocument/2006/relationships/hyperlink" Target="http://layel.fr" TargetMode="External"/><Relationship  Id="rId11161" Type="http://schemas.openxmlformats.org/officeDocument/2006/relationships/hyperlink" Target="http://www.linkedin.com/in/arnaud-rouer-22a9a454" TargetMode="External"/><Relationship  Id="rId11162" Type="http://schemas.openxmlformats.org/officeDocument/2006/relationships/hyperlink" Target="http://bcrfinances.com" TargetMode="External"/><Relationship  Id="rId11163" Type="http://schemas.openxmlformats.org/officeDocument/2006/relationships/hyperlink" Target="http://www.linkedin.com/in/isabelle-andriessen-45551459" TargetMode="External"/><Relationship  Id="rId11164" Type="http://schemas.openxmlformats.org/officeDocument/2006/relationships/hyperlink" Target="http://www.andriessenexpertise.nl" TargetMode="External"/><Relationship  Id="rId11165" Type="http://schemas.openxmlformats.org/officeDocument/2006/relationships/hyperlink" Target="http://www.linkedin.com/in/julien-brument-50668417a" TargetMode="External"/><Relationship  Id="rId11166" Type="http://schemas.openxmlformats.org/officeDocument/2006/relationships/hyperlink" Target="http://les-associes.fr" TargetMode="External"/><Relationship  Id="rId11167" Type="http://schemas.openxmlformats.org/officeDocument/2006/relationships/hyperlink" Target="http://www.linkedin.com/in/c%c3%a9cile-depain" TargetMode="External"/><Relationship  Id="rId11168" Type="http://schemas.openxmlformats.org/officeDocument/2006/relationships/hyperlink" Target="http://pyreneesassur.fr" TargetMode="External"/><Relationship  Id="rId11169" Type="http://schemas.openxmlformats.org/officeDocument/2006/relationships/hyperlink" Target="http://www.linkedin.com/in/christelle-guiet-2166381bb" TargetMode="External"/><Relationship  Id="rId1117" Type="http://schemas.openxmlformats.org/officeDocument/2006/relationships/hyperlink" Target="http://www.linkedin.com/in/vincent-delmas-57a57818b" TargetMode="External"/><Relationship  Id="rId11170" Type="http://schemas.openxmlformats.org/officeDocument/2006/relationships/hyperlink" Target="http://www.linkedin.com/in/silvia-autran-526259319" TargetMode="External"/><Relationship  Id="rId11171" Type="http://schemas.openxmlformats.org/officeDocument/2006/relationships/hyperlink" Target="http://masfip.fr" TargetMode="External"/><Relationship  Id="rId11172" Type="http://schemas.openxmlformats.org/officeDocument/2006/relationships/hyperlink" Target="http://www.linkedin.com/in/freddywacheux" TargetMode="External"/><Relationship  Id="rId11173" Type="http://schemas.openxmlformats.org/officeDocument/2006/relationships/hyperlink" Target="http://synefeia.com" TargetMode="External"/><Relationship  Id="rId11174" Type="http://schemas.openxmlformats.org/officeDocument/2006/relationships/hyperlink" Target="http://www.linkedin.com/in/anna-rossin-4319a81b" TargetMode="External"/><Relationship  Id="rId11175" Type="http://schemas.openxmlformats.org/officeDocument/2006/relationships/hyperlink" Target="http://www.linkedin.com/in/maxime-michaud-a14a9498" TargetMode="External"/><Relationship  Id="rId11176" Type="http://schemas.openxmlformats.org/officeDocument/2006/relationships/hyperlink" Target="http://partech-services.fr" TargetMode="External"/><Relationship  Id="rId11177" Type="http://schemas.openxmlformats.org/officeDocument/2006/relationships/hyperlink" Target="http://www.linkedin.com/in/fran%c3%a7oise-autiquet-51b0a6107" TargetMode="External"/><Relationship  Id="rId11178" Type="http://schemas.openxmlformats.org/officeDocument/2006/relationships/hyperlink" Target="http://mocf.fr" TargetMode="External"/><Relationship  Id="rId11179" Type="http://schemas.openxmlformats.org/officeDocument/2006/relationships/hyperlink" Target="http://www.linkedin.com/in/calvin-riffault-%f0%9f%9f%a0%f0%9f%94%b5-5b8872156" TargetMode="External"/><Relationship  Id="rId1118" Type="http://schemas.openxmlformats.org/officeDocument/2006/relationships/hyperlink" Target="http://www.kia-kaha.fr" TargetMode="External"/><Relationship  Id="rId11180" Type="http://schemas.openxmlformats.org/officeDocument/2006/relationships/hyperlink" Target="http://cpsolutions77.com" TargetMode="External"/><Relationship  Id="rId11181" Type="http://schemas.openxmlformats.org/officeDocument/2006/relationships/hyperlink" Target="http://www.linkedin.com/in/brahim-bernoussi-826ba9318" TargetMode="External"/><Relationship  Id="rId11182" Type="http://schemas.openxmlformats.org/officeDocument/2006/relationships/hyperlink" Target="http://vitassurance.fr" TargetMode="External"/><Relationship  Id="rId11183" Type="http://schemas.openxmlformats.org/officeDocument/2006/relationships/hyperlink" Target="http://www.linkedin.com/in/c%c3%a9cile-tardieu-b30b6010" TargetMode="External"/><Relationship  Id="rId11184" Type="http://schemas.openxmlformats.org/officeDocument/2006/relationships/hyperlink" Target="http://www.linkedin.com/in/%c3%a9ric-billiet-b594b3133" TargetMode="External"/><Relationship  Id="rId11185" Type="http://schemas.openxmlformats.org/officeDocument/2006/relationships/hyperlink" Target="http://mc-alsace.fr" TargetMode="External"/><Relationship  Id="rId11186" Type="http://schemas.openxmlformats.org/officeDocument/2006/relationships/hyperlink" Target="http://www.linkedin.com/in/christophe-rigaud-67b8b9103" TargetMode="External"/><Relationship  Id="rId11187" Type="http://schemas.openxmlformats.org/officeDocument/2006/relationships/hyperlink" Target="http://www.linkedin.com/in/jean-philippe-vidou-06161313" TargetMode="External"/><Relationship  Id="rId11188" Type="http://schemas.openxmlformats.org/officeDocument/2006/relationships/hyperlink" Target="http://www.linkedin.com/in/florian-camilleri-78868879" TargetMode="External"/><Relationship  Id="rId11189" Type="http://schemas.openxmlformats.org/officeDocument/2006/relationships/hyperlink" Target="http://www.mutuelle-mutami.fr" TargetMode="External"/><Relationship  Id="rId1119" Type="http://schemas.openxmlformats.org/officeDocument/2006/relationships/hyperlink" Target="http://www.linkedin.com/in/luc-dayen-aa6755157" TargetMode="External"/><Relationship  Id="rId11190" Type="http://schemas.openxmlformats.org/officeDocument/2006/relationships/hyperlink" Target="http://www.linkedin.com/in/jerome-brette-b2400279" TargetMode="External"/><Relationship  Id="rId11191" Type="http://schemas.openxmlformats.org/officeDocument/2006/relationships/hyperlink" Target="http://anovcourtage.com" TargetMode="External"/><Relationship  Id="rId11192" Type="http://schemas.openxmlformats.org/officeDocument/2006/relationships/hyperlink" Target="http://www.linkedin.com/in/s%c3%a9bastien-jaussein" TargetMode="External"/><Relationship  Id="rId11193" Type="http://schemas.openxmlformats.org/officeDocument/2006/relationships/hyperlink" Target="http://jaussein-expertise.fr" TargetMode="External"/><Relationship  Id="rId11194" Type="http://schemas.openxmlformats.org/officeDocument/2006/relationships/hyperlink" Target="http://www.linkedin.com/in/stanislasbetoux" TargetMode="External"/><Relationship  Id="rId11195" Type="http://schemas.openxmlformats.org/officeDocument/2006/relationships/hyperlink" Target="http://br-conseils.com" TargetMode="External"/><Relationship  Id="rId11196" Type="http://schemas.openxmlformats.org/officeDocument/2006/relationships/hyperlink" Target="http://www.linkedin.com/in/pascal-hochard-4a016519" TargetMode="External"/><Relationship  Id="rId11197" Type="http://schemas.openxmlformats.org/officeDocument/2006/relationships/hyperlink" Target="http://www.linkedin.com/in/stephane-kleiber-277a0288" TargetMode="External"/><Relationship  Id="rId11198" Type="http://schemas.openxmlformats.org/officeDocument/2006/relationships/hyperlink" Target="http://tolede-groupe.com" TargetMode="External"/><Relationship  Id="rId11199" Type="http://schemas.openxmlformats.org/officeDocument/2006/relationships/hyperlink" Target="http://www.linkedin.com/in/david-angelvin-bonnetty-31510a19" TargetMode="External"/><Relationship  Id="rId112" Type="http://schemas.openxmlformats.org/officeDocument/2006/relationships/hyperlink" Target="http://www.linkedin.com/in/pierre-gu%c3%a9ret-11b01326" TargetMode="External"/><Relationship  Id="rId1120" Type="http://schemas.openxmlformats.org/officeDocument/2006/relationships/hyperlink" Target="http://www.remoters.io" TargetMode="External"/><Relationship  Id="rId11200" Type="http://schemas.openxmlformats.org/officeDocument/2006/relationships/hyperlink" Target="http://arcassurances.fr" TargetMode="External"/><Relationship  Id="rId11201" Type="http://schemas.openxmlformats.org/officeDocument/2006/relationships/hyperlink" Target="http://www.linkedin.com/in/philippe-blanchet-4338841a" TargetMode="External"/><Relationship  Id="rId11202" Type="http://schemas.openxmlformats.org/officeDocument/2006/relationships/hyperlink" Target="http://globaleassure.fr" TargetMode="External"/><Relationship  Id="rId11203" Type="http://schemas.openxmlformats.org/officeDocument/2006/relationships/hyperlink" Target="http://www.linkedin.com/in/fran%c3%a7ois-bourgeois-9b4122a8" TargetMode="External"/><Relationship  Id="rId11204" Type="http://schemas.openxmlformats.org/officeDocument/2006/relationships/hyperlink" Target="http://www.linkedin.com/in/perrinewang" TargetMode="External"/><Relationship  Id="rId11205" Type="http://schemas.openxmlformats.org/officeDocument/2006/relationships/hyperlink" Target="http://initiative-risk.com" TargetMode="External"/><Relationship  Id="rId11206" Type="http://schemas.openxmlformats.org/officeDocument/2006/relationships/hyperlink" Target="http://www.linkedin.com/in/bernard-devise-611226217" TargetMode="External"/><Relationship  Id="rId11207" Type="http://schemas.openxmlformats.org/officeDocument/2006/relationships/hyperlink" Target="http://permutual.fr" TargetMode="External"/><Relationship  Id="rId11208" Type="http://schemas.openxmlformats.org/officeDocument/2006/relationships/hyperlink" Target="http://www.linkedin.com/in/geoffrey-de-barbeyrac" TargetMode="External"/><Relationship  Id="rId11209" Type="http://schemas.openxmlformats.org/officeDocument/2006/relationships/hyperlink" Target="http://helmett-assurances.com" TargetMode="External"/><Relationship  Id="rId1121" Type="http://schemas.openxmlformats.org/officeDocument/2006/relationships/hyperlink" Target="http://www.linkedin.com/in/basile-gaudin-1aa510228" TargetMode="External"/><Relationship  Id="rId11210" Type="http://schemas.openxmlformats.org/officeDocument/2006/relationships/hyperlink" Target="http://www.linkedin.com/in/robert-chiche-09b87616b" TargetMode="External"/><Relationship  Id="rId11211" Type="http://schemas.openxmlformats.org/officeDocument/2006/relationships/hyperlink" Target="http://territoria-mutuelle.fr" TargetMode="External"/><Relationship  Id="rId11212" Type="http://schemas.openxmlformats.org/officeDocument/2006/relationships/hyperlink" Target="http://www.linkedin.com/in/sandra-pion" TargetMode="External"/><Relationship  Id="rId11213" Type="http://schemas.openxmlformats.org/officeDocument/2006/relationships/hyperlink" Target="http://kpiam.com" TargetMode="External"/><Relationship  Id="rId11214" Type="http://schemas.openxmlformats.org/officeDocument/2006/relationships/hyperlink" Target="http://www.linkedin.com/in/thierry-bensoussan-6663509" TargetMode="External"/><Relationship  Id="rId11215" Type="http://schemas.openxmlformats.org/officeDocument/2006/relationships/hyperlink" Target="http://affiniteam.fr" TargetMode="External"/><Relationship  Id="rId11216" Type="http://schemas.openxmlformats.org/officeDocument/2006/relationships/hyperlink" Target="http://www.linkedin.com/in/benjamin-biale-57819ab8" TargetMode="External"/><Relationship  Id="rId11217" Type="http://schemas.openxmlformats.org/officeDocument/2006/relationships/hyperlink" Target="http://www.linkedin.com/in/sylvain-flahaut-00555a12" TargetMode="External"/><Relationship  Id="rId11218" Type="http://schemas.openxmlformats.org/officeDocument/2006/relationships/hyperlink" Target="http://optimavaleurs.com" TargetMode="External"/><Relationship  Id="rId11219" Type="http://schemas.openxmlformats.org/officeDocument/2006/relationships/hyperlink" Target="http://www.linkedin.com/in/isabelle-elhadad-356470104" TargetMode="External"/><Relationship  Id="rId1122" Type="http://schemas.openxmlformats.org/officeDocument/2006/relationships/hyperlink" Target="http://www.legrandcaf.fr" TargetMode="External"/><Relationship  Id="rId11220" Type="http://schemas.openxmlformats.org/officeDocument/2006/relationships/hyperlink" Target="http://firidis.fr" TargetMode="External"/><Relationship  Id="rId11221" Type="http://schemas.openxmlformats.org/officeDocument/2006/relationships/hyperlink" Target="http://www.linkedin.com/in/pascal-closse-svi-assurances" TargetMode="External"/><Relationship  Id="rId11222" Type="http://schemas.openxmlformats.org/officeDocument/2006/relationships/hyperlink" Target="http://svi-assurances.com" TargetMode="External"/><Relationship  Id="rId11223" Type="http://schemas.openxmlformats.org/officeDocument/2006/relationships/hyperlink" Target="http://www.linkedin.com/in/blandine-l-heveder-493171a9" TargetMode="External"/><Relationship  Id="rId11224" Type="http://schemas.openxmlformats.org/officeDocument/2006/relationships/hyperlink" Target="http://riskweathertech.com" TargetMode="External"/><Relationship  Id="rId11225" Type="http://schemas.openxmlformats.org/officeDocument/2006/relationships/hyperlink" Target="http://www.linkedin.com/in/julien-fievet-20a86115a" TargetMode="External"/><Relationship  Id="rId11226" Type="http://schemas.openxmlformats.org/officeDocument/2006/relationships/hyperlink" Target="http://fiap-courtage.fr" TargetMode="External"/><Relationship  Id="rId11227" Type="http://schemas.openxmlformats.org/officeDocument/2006/relationships/hyperlink" Target="http://www.linkedin.com/in/christopheloubatie" TargetMode="External"/><Relationship  Id="rId11228" Type="http://schemas.openxmlformats.org/officeDocument/2006/relationships/hyperlink" Target="http://alexo.fr" TargetMode="External"/><Relationship  Id="rId11229" Type="http://schemas.openxmlformats.org/officeDocument/2006/relationships/hyperlink" Target="http://www.linkedin.com/in/christophe-ladagnous-87a79417" TargetMode="External"/><Relationship  Id="rId1123" Type="http://schemas.openxmlformats.org/officeDocument/2006/relationships/hyperlink" Target="http://www.linkedin.com/in/romainbinet" TargetMode="External"/><Relationship  Id="rId11230" Type="http://schemas.openxmlformats.org/officeDocument/2006/relationships/hyperlink" Target="http://insured.fr" TargetMode="External"/><Relationship  Id="rId11231" Type="http://schemas.openxmlformats.org/officeDocument/2006/relationships/hyperlink" Target="http://www.linkedin.com/in/guillaume-laurent-07083657" TargetMode="External"/><Relationship  Id="rId11232" Type="http://schemas.openxmlformats.org/officeDocument/2006/relationships/hyperlink" Target="http://www.linkedin.com/in/raymond-bargallo-169a1a57" TargetMode="External"/><Relationship  Id="rId11233" Type="http://schemas.openxmlformats.org/officeDocument/2006/relationships/hyperlink" Target="http://actioncourtage.fr" TargetMode="External"/><Relationship  Id="rId11234" Type="http://schemas.openxmlformats.org/officeDocument/2006/relationships/hyperlink" Target="http://www.linkedin.com/in/olivier-m%c3%a9lisson-36281325" TargetMode="External"/><Relationship  Id="rId11235" Type="http://schemas.openxmlformats.org/officeDocument/2006/relationships/hyperlink" Target="http://www.linkedin.com/in/brayane-cohen-248288179" TargetMode="External"/><Relationship  Id="rId11236" Type="http://schemas.openxmlformats.org/officeDocument/2006/relationships/hyperlink" Target="http://previavie.com" TargetMode="External"/><Relationship  Id="rId11237" Type="http://schemas.openxmlformats.org/officeDocument/2006/relationships/hyperlink" Target="http://www.linkedin.com/in/philippe-decaudin-800a5634" TargetMode="External"/><Relationship  Id="rId11238" Type="http://schemas.openxmlformats.org/officeDocument/2006/relationships/hyperlink" Target="http://www.linkedin.com/in/mario-nasello-027961125" TargetMode="External"/><Relationship  Id="rId11239" Type="http://schemas.openxmlformats.org/officeDocument/2006/relationships/hyperlink" Target="http://almutra.fr" TargetMode="External"/><Relationship  Id="rId1124" Type="http://schemas.openxmlformats.org/officeDocument/2006/relationships/hyperlink" Target="http://www.biografygroup.com" TargetMode="External"/><Relationship  Id="rId11240" Type="http://schemas.openxmlformats.org/officeDocument/2006/relationships/hyperlink" Target="http://www.linkedin.com/in/emeric-paland-22711b93" TargetMode="External"/><Relationship  Id="rId11241" Type="http://schemas.openxmlformats.org/officeDocument/2006/relationships/hyperlink" Target="http://sipac.fr" TargetMode="External"/><Relationship  Id="rId11242" Type="http://schemas.openxmlformats.org/officeDocument/2006/relationships/hyperlink" Target="http://www.linkedin.com/in/r%c3%a9gis-degrey-874778b5" TargetMode="External"/><Relationship  Id="rId11243" Type="http://schemas.openxmlformats.org/officeDocument/2006/relationships/hyperlink" Target="http://cepa-expertises.com" TargetMode="External"/><Relationship  Id="rId11244" Type="http://schemas.openxmlformats.org/officeDocument/2006/relationships/hyperlink" Target="http://www.linkedin.com/in/jacques-sahakian-812605bb" TargetMode="External"/><Relationship  Id="rId11245" Type="http://schemas.openxmlformats.org/officeDocument/2006/relationships/hyperlink" Target="http://initialcc.fr" TargetMode="External"/><Relationship  Id="rId11246" Type="http://schemas.openxmlformats.org/officeDocument/2006/relationships/hyperlink" Target="http://www.linkedin.com/in/olivier-barral-92465461" TargetMode="External"/><Relationship  Id="rId11247" Type="http://schemas.openxmlformats.org/officeDocument/2006/relationships/hyperlink" Target="http://arkol.fr" TargetMode="External"/><Relationship  Id="rId11248" Type="http://schemas.openxmlformats.org/officeDocument/2006/relationships/hyperlink" Target="http://www.linkedin.com/in/pierre-liduena-45662368" TargetMode="External"/><Relationship  Id="rId11249" Type="http://schemas.openxmlformats.org/officeDocument/2006/relationships/hyperlink" Target="http://assurancesvelo.com" TargetMode="External"/><Relationship  Id="rId1125" Type="http://schemas.openxmlformats.org/officeDocument/2006/relationships/hyperlink" Target="http://www.linkedin.com/in/tristan-burdin-28700075" TargetMode="External"/><Relationship  Id="rId11250" Type="http://schemas.openxmlformats.org/officeDocument/2006/relationships/hyperlink" Target="http://www.linkedin.com/in/pierre-ricard-365a7488" TargetMode="External"/><Relationship  Id="rId11251" Type="http://schemas.openxmlformats.org/officeDocument/2006/relationships/hyperlink" Target="http://axston.fr" TargetMode="External"/><Relationship  Id="rId11252" Type="http://schemas.openxmlformats.org/officeDocument/2006/relationships/hyperlink" Target="http://www.linkedin.com/in/mathieulemaire" TargetMode="External"/><Relationship  Id="rId11253" Type="http://schemas.openxmlformats.org/officeDocument/2006/relationships/hyperlink" Target="http://www.talentsafe.eu" TargetMode="External"/><Relationship  Id="rId11254" Type="http://schemas.openxmlformats.org/officeDocument/2006/relationships/hyperlink" Target="http://www.linkedin.com/in/patrick-fotinou-978aa034" TargetMode="External"/><Relationship  Id="rId11255" Type="http://schemas.openxmlformats.org/officeDocument/2006/relationships/hyperlink" Target="http://spaf.fr" TargetMode="External"/><Relationship  Id="rId11256" Type="http://schemas.openxmlformats.org/officeDocument/2006/relationships/hyperlink" Target="http://www.linkedin.com/in/ang%c3%a9lique-gutierrez-709873151" TargetMode="External"/><Relationship  Id="rId11257" Type="http://schemas.openxmlformats.org/officeDocument/2006/relationships/hyperlink" Target="http://elexia.fr" TargetMode="External"/><Relationship  Id="rId11258" Type="http://schemas.openxmlformats.org/officeDocument/2006/relationships/hyperlink" Target="http://www.linkedin.com/in/olivier-pondemer-9667008a" TargetMode="External"/><Relationship  Id="rId11259" Type="http://schemas.openxmlformats.org/officeDocument/2006/relationships/hyperlink" Target="http://axefia.fr" TargetMode="External"/><Relationship  Id="rId1126" Type="http://schemas.openxmlformats.org/officeDocument/2006/relationships/hyperlink" Target="http://www.backyardrotterdam.nl" TargetMode="External"/><Relationship  Id="rId11260" Type="http://schemas.openxmlformats.org/officeDocument/2006/relationships/hyperlink" Target="http://www.linkedin.com/in/mickael-elkaim-92513b19a" TargetMode="External"/><Relationship  Id="rId11261" Type="http://schemas.openxmlformats.org/officeDocument/2006/relationships/hyperlink" Target="http://www.linkedin.com/in/mvra" TargetMode="External"/><Relationship  Id="rId11262" Type="http://schemas.openxmlformats.org/officeDocument/2006/relationships/hyperlink" Target="http://mvra.fr" TargetMode="External"/><Relationship  Id="rId11263" Type="http://schemas.openxmlformats.org/officeDocument/2006/relationships/hyperlink" Target="http://www.linkedin.com/in/benjamin-cauchy" TargetMode="External"/><Relationship  Id="rId11264" Type="http://schemas.openxmlformats.org/officeDocument/2006/relationships/hyperlink" Target="http://cabinet-archimede.com" TargetMode="External"/><Relationship  Id="rId11265" Type="http://schemas.openxmlformats.org/officeDocument/2006/relationships/hyperlink" Target="http://www.linkedin.com/in/frederic-chappaz-666b3b17a" TargetMode="External"/><Relationship  Id="rId11266" Type="http://schemas.openxmlformats.org/officeDocument/2006/relationships/hyperlink" Target="http://www.coopergay.eu" TargetMode="External"/><Relationship  Id="rId11267" Type="http://schemas.openxmlformats.org/officeDocument/2006/relationships/hyperlink" Target="http://www.linkedin.com/in/sylvain-lechesne" TargetMode="External"/><Relationship  Id="rId11268" Type="http://schemas.openxmlformats.org/officeDocument/2006/relationships/hyperlink" Target="http://xxamen.fr" TargetMode="External"/><Relationship  Id="rId11269" Type="http://schemas.openxmlformats.org/officeDocument/2006/relationships/hyperlink" Target="http://www.linkedin.com/in/martial-de-joybert-359b8862" TargetMode="External"/><Relationship  Id="rId1127" Type="http://schemas.openxmlformats.org/officeDocument/2006/relationships/hyperlink" Target="http://www.linkedin.com/in/sebastien-meslin-92a672151" TargetMode="External"/><Relationship  Id="rId11270" Type="http://schemas.openxmlformats.org/officeDocument/2006/relationships/hyperlink" Target="http://hermodassurances.fr" TargetMode="External"/><Relationship  Id="rId11271" Type="http://schemas.openxmlformats.org/officeDocument/2006/relationships/hyperlink" Target="http://www.linkedin.com/in/florence-lecomte-b76912b" TargetMode="External"/><Relationship  Id="rId11272" Type="http://schemas.openxmlformats.org/officeDocument/2006/relationships/hyperlink" Target="http://coralia-conseils.fr" TargetMode="External"/><Relationship  Id="rId11273" Type="http://schemas.openxmlformats.org/officeDocument/2006/relationships/hyperlink" Target="http://www.linkedin.com/in/m%c3%a9lodie-deshayes-b1283621a" TargetMode="External"/><Relationship  Id="rId11274" Type="http://schemas.openxmlformats.org/officeDocument/2006/relationships/hyperlink" Target="http://www.linkedin.com/in/stephane-hug-7b6a7066" TargetMode="External"/><Relationship  Id="rId11275" Type="http://schemas.openxmlformats.org/officeDocument/2006/relationships/hyperlink" Target="http://coverity.fr" TargetMode="External"/><Relationship  Id="rId11276" Type="http://schemas.openxmlformats.org/officeDocument/2006/relationships/hyperlink" Target="http://www.linkedin.com/in/fran%c3%a7ois-bracquart-b6164012b" TargetMode="External"/><Relationship  Id="rId11277" Type="http://schemas.openxmlformats.org/officeDocument/2006/relationships/hyperlink" Target="http://aidasinistre.fr" TargetMode="External"/><Relationship  Id="rId11278" Type="http://schemas.openxmlformats.org/officeDocument/2006/relationships/hyperlink" Target="http://www.linkedin.com/in/christophe-viala-54ab8a74" TargetMode="External"/><Relationship  Id="rId11279" Type="http://schemas.openxmlformats.org/officeDocument/2006/relationships/hyperlink" Target="http://azureapatrimoine.com" TargetMode="External"/><Relationship  Id="rId1128" Type="http://schemas.openxmlformats.org/officeDocument/2006/relationships/hyperlink" Target="http://www.linkedin.com/in/virginie-blein-044b05227" TargetMode="External"/><Relationship  Id="rId11280" Type="http://schemas.openxmlformats.org/officeDocument/2006/relationships/hyperlink" Target="http://www.linkedin.com/in/j%c3%a9rome-robin-92bb7827" TargetMode="External"/><Relationship  Id="rId11281" Type="http://schemas.openxmlformats.org/officeDocument/2006/relationships/hyperlink" Target="http://www.nousassurons.com" TargetMode="External"/><Relationship  Id="rId11282" Type="http://schemas.openxmlformats.org/officeDocument/2006/relationships/hyperlink" Target="http://www.linkedin.com/in/gr%c3%a9gory-boumendil-888b3a147" TargetMode="External"/><Relationship  Id="rId11283" Type="http://schemas.openxmlformats.org/officeDocument/2006/relationships/hyperlink" Target="http://gmaf.fr" TargetMode="External"/><Relationship  Id="rId11284" Type="http://schemas.openxmlformats.org/officeDocument/2006/relationships/hyperlink" Target="http://www.linkedin.com/in/simon-grasset" TargetMode="External"/><Relationship  Id="rId11285" Type="http://schemas.openxmlformats.org/officeDocument/2006/relationships/hyperlink" Target="http://www.linkedin.com/in/michel-dumoux-126177192" TargetMode="External"/><Relationship  Id="rId11286" Type="http://schemas.openxmlformats.org/officeDocument/2006/relationships/hyperlink" Target="http://francemutuelle.fr" TargetMode="External"/><Relationship  Id="rId11287" Type="http://schemas.openxmlformats.org/officeDocument/2006/relationships/hyperlink" Target="http://www.linkedin.com/in/delphine-mercelat-a5658982" TargetMode="External"/><Relationship  Id="rId11288" Type="http://schemas.openxmlformats.org/officeDocument/2006/relationships/hyperlink" Target="http://lsngroupe.com" TargetMode="External"/><Relationship  Id="rId11289" Type="http://schemas.openxmlformats.org/officeDocument/2006/relationships/hyperlink" Target="http://www.linkedin.com/in/alexandre-degoul-372818187" TargetMode="External"/><Relationship  Id="rId1129" Type="http://schemas.openxmlformats.org/officeDocument/2006/relationships/hyperlink" Target="http://www.group-rb.com" TargetMode="External"/><Relationship  Id="rId11290" Type="http://schemas.openxmlformats.org/officeDocument/2006/relationships/hyperlink" Target="http://riskpart.com" TargetMode="External"/><Relationship  Id="rId11291" Type="http://schemas.openxmlformats.org/officeDocument/2006/relationships/hyperlink" Target="http://www.linkedin.com/in/karim-taalbi-827a1aa9" TargetMode="External"/><Relationship  Id="rId11292" Type="http://schemas.openxmlformats.org/officeDocument/2006/relationships/hyperlink" Target="http://www.april.fr" TargetMode="External"/><Relationship  Id="rId11293" Type="http://schemas.openxmlformats.org/officeDocument/2006/relationships/hyperlink" Target="http://www.linkedin.com/in/smaic-zelikra-bb223a46" TargetMode="External"/><Relationship  Id="rId11294" Type="http://schemas.openxmlformats.org/officeDocument/2006/relationships/hyperlink" Target="http://ccassurance.com" TargetMode="External"/><Relationship  Id="rId11295" Type="http://schemas.openxmlformats.org/officeDocument/2006/relationships/hyperlink" Target="http://www.linkedin.com/in/mehdi-zouiten-221a87223" TargetMode="External"/><Relationship  Id="rId11296" Type="http://schemas.openxmlformats.org/officeDocument/2006/relationships/hyperlink" Target="http://vitalys-assurances.com" TargetMode="External"/><Relationship  Id="rId11297" Type="http://schemas.openxmlformats.org/officeDocument/2006/relationships/hyperlink" Target="http://www.linkedin.com/in/maxime-dehmouche-00b90312a" TargetMode="External"/><Relationship  Id="rId11298" Type="http://schemas.openxmlformats.org/officeDocument/2006/relationships/hyperlink" Target="http://www.linkedin.com/in/daphne-frappe" TargetMode="External"/><Relationship  Id="rId11299" Type="http://schemas.openxmlformats.org/officeDocument/2006/relationships/hyperlink" Target="http://leboncourtier.fr" TargetMode="External"/><Relationship  Id="rId113" Type="http://schemas.openxmlformats.org/officeDocument/2006/relationships/hyperlink" Target="http://www.maison-gueret.com" TargetMode="External"/><Relationship  Id="rId1130" Type="http://schemas.openxmlformats.org/officeDocument/2006/relationships/hyperlink" Target="http://www.linkedin.com/in/benjamin-debris-3969b7104" TargetMode="External"/><Relationship  Id="rId11300" Type="http://schemas.openxmlformats.org/officeDocument/2006/relationships/hyperlink" Target="http://www.linkedin.com/in/yazid-hadni" TargetMode="External"/><Relationship  Id="rId11301" Type="http://schemas.openxmlformats.org/officeDocument/2006/relationships/hyperlink" Target="http://www.linkedin.com/in/hadrien-le-roux-64a0b164" TargetMode="External"/><Relationship  Id="rId11302" Type="http://schemas.openxmlformats.org/officeDocument/2006/relationships/hyperlink" Target="http://www.linkedin.com/in/denis-gargaud-833b3058" TargetMode="External"/><Relationship  Id="rId11303" Type="http://schemas.openxmlformats.org/officeDocument/2006/relationships/hyperlink" Target="http://c2-assurances.fr" TargetMode="External"/><Relationship  Id="rId11304" Type="http://schemas.openxmlformats.org/officeDocument/2006/relationships/hyperlink" Target="http://www.linkedin.com/in/emmanuelverdenet" TargetMode="External"/><Relationship  Id="rId11305" Type="http://schemas.openxmlformats.org/officeDocument/2006/relationships/hyperlink" Target="http://www.energiemutuelle.fr" TargetMode="External"/><Relationship  Id="rId11306" Type="http://schemas.openxmlformats.org/officeDocument/2006/relationships/hyperlink" Target="http://www.linkedin.com/in/beno%c3%aet-chantal-88221b129" TargetMode="External"/><Relationship  Id="rId11307" Type="http://schemas.openxmlformats.org/officeDocument/2006/relationships/hyperlink" Target="http://orizon-courtage.fr" TargetMode="External"/><Relationship  Id="rId11308" Type="http://schemas.openxmlformats.org/officeDocument/2006/relationships/hyperlink" Target="http://www.linkedin.com/in/maxime-loengten-a9125056" TargetMode="External"/><Relationship  Id="rId11309" Type="http://schemas.openxmlformats.org/officeDocument/2006/relationships/hyperlink" Target="http://www.asekur.io" TargetMode="External"/><Relationship  Id="rId1131" Type="http://schemas.openxmlformats.org/officeDocument/2006/relationships/hyperlink" Target="http://www.groupe-srp.com" TargetMode="External"/><Relationship  Id="rId11310" Type="http://schemas.openxmlformats.org/officeDocument/2006/relationships/hyperlink" Target="http://www.linkedin.com/in/sarah-barres-5296ab113" TargetMode="External"/><Relationship  Id="rId11311" Type="http://schemas.openxmlformats.org/officeDocument/2006/relationships/hyperlink" Target="http://cyberassure.fr" TargetMode="External"/><Relationship  Id="rId11312" Type="http://schemas.openxmlformats.org/officeDocument/2006/relationships/hyperlink" Target="http://www.linkedin.com/in/gregory-fancony-07373383" TargetMode="External"/><Relationship  Id="rId11313" Type="http://schemas.openxmlformats.org/officeDocument/2006/relationships/hyperlink" Target="http://arteo-courtage.fr" TargetMode="External"/><Relationship  Id="rId11314" Type="http://schemas.openxmlformats.org/officeDocument/2006/relationships/hyperlink" Target="http://www.linkedin.com/in/christelleleberre" TargetMode="External"/><Relationship  Id="rId11315" Type="http://schemas.openxmlformats.org/officeDocument/2006/relationships/hyperlink" Target="http://www.acommeassure.com" TargetMode="External"/><Relationship  Id="rId11316" Type="http://schemas.openxmlformats.org/officeDocument/2006/relationships/hyperlink" Target="http://www.linkedin.com/in/brice-carlac-593746a1" TargetMode="External"/><Relationship  Id="rId11317" Type="http://schemas.openxmlformats.org/officeDocument/2006/relationships/hyperlink" Target="http://carlac-leoncel.com" TargetMode="External"/><Relationship  Id="rId11318" Type="http://schemas.openxmlformats.org/officeDocument/2006/relationships/hyperlink" Target="http://www.linkedin.com/in/emmanuelle-bauchet-003587250" TargetMode="External"/><Relationship  Id="rId11319" Type="http://schemas.openxmlformats.org/officeDocument/2006/relationships/hyperlink" Target="http://www.linkedin.com/in/laurent-gu%c3%a9rel-b3b89862" TargetMode="External"/><Relationship  Id="rId1132" Type="http://schemas.openxmlformats.org/officeDocument/2006/relationships/hyperlink" Target="http://www.linkedin.com/in/frederic-boissier-b8b15b11" TargetMode="External"/><Relationship  Id="rId11320" Type="http://schemas.openxmlformats.org/officeDocument/2006/relationships/hyperlink" Target="http://appc-group.fr" TargetMode="External"/><Relationship  Id="rId11321" Type="http://schemas.openxmlformats.org/officeDocument/2006/relationships/hyperlink" Target="http://www.linkedin.com/in/isidore-juvanteny-499b1a137" TargetMode="External"/><Relationship  Id="rId11322" Type="http://schemas.openxmlformats.org/officeDocument/2006/relationships/hyperlink" Target="http://assuris.fr" TargetMode="External"/><Relationship  Id="rId11323" Type="http://schemas.openxmlformats.org/officeDocument/2006/relationships/hyperlink" Target="http://www.linkedin.com/in/jerome-moinet" TargetMode="External"/><Relationship  Id="rId11324" Type="http://schemas.openxmlformats.org/officeDocument/2006/relationships/hyperlink" Target="http://courtierencredits.com" TargetMode="External"/><Relationship  Id="rId11325" Type="http://schemas.openxmlformats.org/officeDocument/2006/relationships/hyperlink" Target="http://www.linkedin.com/in/christian-pereira-3165391a9" TargetMode="External"/><Relationship  Id="rId11326" Type="http://schemas.openxmlformats.org/officeDocument/2006/relationships/hyperlink" Target="http://montsegur-assurances.fr" TargetMode="External"/><Relationship  Id="rId11327" Type="http://schemas.openxmlformats.org/officeDocument/2006/relationships/hyperlink" Target="http://www.linkedin.com/in/tom-le-bras-a7598b59" TargetMode="External"/><Relationship  Id="rId11328" Type="http://schemas.openxmlformats.org/officeDocument/2006/relationships/hyperlink" Target="http://www.linkedin.com/in/axelle-lebreton-ba7a3793" TargetMode="External"/><Relationship  Id="rId11329" Type="http://schemas.openxmlformats.org/officeDocument/2006/relationships/hyperlink" Target="http://www.linkedin.com/in/arthur-koehl-118975b0" TargetMode="External"/><Relationship  Id="rId1133" Type="http://schemas.openxmlformats.org/officeDocument/2006/relationships/hyperlink" Target="http://www.tonichotel.com.au" TargetMode="External"/><Relationship  Id="rId11330" Type="http://schemas.openxmlformats.org/officeDocument/2006/relationships/hyperlink" Target="http://koehl-assurances.fr" TargetMode="External"/><Relationship  Id="rId11331" Type="http://schemas.openxmlformats.org/officeDocument/2006/relationships/hyperlink" Target="http://www.linkedin.com/in/lionel-sidoun-b521963a" TargetMode="External"/><Relationship  Id="rId11332" Type="http://schemas.openxmlformats.org/officeDocument/2006/relationships/hyperlink" Target="http://modulassur.fr" TargetMode="External"/><Relationship  Id="rId11333" Type="http://schemas.openxmlformats.org/officeDocument/2006/relationships/hyperlink" Target="http://www.linkedin.com/in/alain-roy-b961681b3" TargetMode="External"/><Relationship  Id="rId11334" Type="http://schemas.openxmlformats.org/officeDocument/2006/relationships/hyperlink" Target="http://sarcourtage.com" TargetMode="External"/><Relationship  Id="rId11335" Type="http://schemas.openxmlformats.org/officeDocument/2006/relationships/hyperlink" Target="http://www.linkedin.com/in/laurenttepee" TargetMode="External"/><Relationship  Id="rId11336" Type="http://schemas.openxmlformats.org/officeDocument/2006/relationships/hyperlink" Target="http://www.linkedin.com/in/quentinginet" TargetMode="External"/><Relationship  Id="rId11337" Type="http://schemas.openxmlformats.org/officeDocument/2006/relationships/hyperlink" Target="http://www.linkedin.com/in/marchalbenoit" TargetMode="External"/><Relationship  Id="rId11338" Type="http://schemas.openxmlformats.org/officeDocument/2006/relationships/hyperlink" Target="http://www.solisur.fr" TargetMode="External"/><Relationship  Id="rId11339" Type="http://schemas.openxmlformats.org/officeDocument/2006/relationships/hyperlink" Target="http://www.linkedin.com/in/xavier-basseville-8747a219a" TargetMode="External"/><Relationship  Id="rId1134" Type="http://schemas.openxmlformats.org/officeDocument/2006/relationships/hyperlink" Target="http://www.linkedin.com/in/jeanphilippeselle" TargetMode="External"/><Relationship  Id="rId11340" Type="http://schemas.openxmlformats.org/officeDocument/2006/relationships/hyperlink" Target="http://cabinetbasseville.fr" TargetMode="External"/><Relationship  Id="rId11341" Type="http://schemas.openxmlformats.org/officeDocument/2006/relationships/hyperlink" Target="http://www.linkedin.com/in/alexy-jourdain-04662486" TargetMode="External"/><Relationship  Id="rId11342" Type="http://schemas.openxmlformats.org/officeDocument/2006/relationships/hyperlink" Target="http://www.linkedin.com/in/thomas-beringer-a1bb8725" TargetMode="External"/><Relationship  Id="rId11343" Type="http://schemas.openxmlformats.org/officeDocument/2006/relationships/hyperlink" Target="http://riskmediagroup.net" TargetMode="External"/><Relationship  Id="rId11344" Type="http://schemas.openxmlformats.org/officeDocument/2006/relationships/hyperlink" Target="http://www.linkedin.com/in/st%c3%a9phane-lespagnol" TargetMode="External"/><Relationship  Id="rId11345" Type="http://schemas.openxmlformats.org/officeDocument/2006/relationships/hyperlink" Target="http://signatures-groupe.fr" TargetMode="External"/><Relationship  Id="rId11346" Type="http://schemas.openxmlformats.org/officeDocument/2006/relationships/hyperlink" Target="http://www.linkedin.com/in/vanessa-waldman-tavars-66b83356" TargetMode="External"/><Relationship  Id="rId11347" Type="http://schemas.openxmlformats.org/officeDocument/2006/relationships/hyperlink" Target="http://www.linkedin.com/in/guillaume-d-audiffret-0a664213" TargetMode="External"/><Relationship  Id="rId11348" Type="http://schemas.openxmlformats.org/officeDocument/2006/relationships/hyperlink" Target="http://www.seyna.eu" TargetMode="External"/><Relationship  Id="rId11349" Type="http://schemas.openxmlformats.org/officeDocument/2006/relationships/hyperlink" Target="http://www.linkedin.com/in/stephanelafoucriere" TargetMode="External"/><Relationship  Id="rId1135" Type="http://schemas.openxmlformats.org/officeDocument/2006/relationships/hyperlink" Target="http://www.linkedin.com/in/mathieu-k-7074174" TargetMode="External"/><Relationship  Id="rId11350" Type="http://schemas.openxmlformats.org/officeDocument/2006/relationships/hyperlink" Target="http://grandeourse-patrimoine.fr" TargetMode="External"/><Relationship  Id="rId11351" Type="http://schemas.openxmlformats.org/officeDocument/2006/relationships/hyperlink" Target="http://www.linkedin.com/in/sebastien-nicolas-060726b9" TargetMode="External"/><Relationship  Id="rId11352" Type="http://schemas.openxmlformats.org/officeDocument/2006/relationships/hyperlink" Target="http://courtiersforyou.fr" TargetMode="External"/><Relationship  Id="rId11353" Type="http://schemas.openxmlformats.org/officeDocument/2006/relationships/hyperlink" Target="http://www.linkedin.com/in/thierry-morin-01980a49" TargetMode="External"/><Relationship  Id="rId11354" Type="http://schemas.openxmlformats.org/officeDocument/2006/relationships/hyperlink" Target="http://groupesodalis.com" TargetMode="External"/><Relationship  Id="rId11355" Type="http://schemas.openxmlformats.org/officeDocument/2006/relationships/hyperlink" Target="http://www.linkedin.com/in/marc-henri-boydron" TargetMode="External"/><Relationship  Id="rId11356" Type="http://schemas.openxmlformats.org/officeDocument/2006/relationships/hyperlink" Target="http://www.cyber-cover.fr" TargetMode="External"/><Relationship  Id="rId11357" Type="http://schemas.openxmlformats.org/officeDocument/2006/relationships/hyperlink" Target="http://www.linkedin.com/in/alexandre-andre-75aa2139" TargetMode="External"/><Relationship  Id="rId11358" Type="http://schemas.openxmlformats.org/officeDocument/2006/relationships/hyperlink" Target="http://mutuellemcf.fr" TargetMode="External"/><Relationship  Id="rId11359" Type="http://schemas.openxmlformats.org/officeDocument/2006/relationships/hyperlink" Target="http://www.linkedin.com/in/xavier-oudin-01940347" TargetMode="External"/><Relationship  Id="rId1136" Type="http://schemas.openxmlformats.org/officeDocument/2006/relationships/hyperlink" Target="http://www.linkedin.com/in/joris-bruneel-38b5a267" TargetMode="External"/><Relationship  Id="rId11360" Type="http://schemas.openxmlformats.org/officeDocument/2006/relationships/hyperlink" Target="http://bouclier-courtage.fr" TargetMode="External"/><Relationship  Id="rId11361" Type="http://schemas.openxmlformats.org/officeDocument/2006/relationships/hyperlink" Target="http://www.linkedin.com/in/karim-benkassem-84a24192" TargetMode="External"/><Relationship  Id="rId11362" Type="http://schemas.openxmlformats.org/officeDocument/2006/relationships/hyperlink" Target="http://www.meleine.fr" TargetMode="External"/><Relationship  Id="rId11363" Type="http://schemas.openxmlformats.org/officeDocument/2006/relationships/hyperlink" Target="http://www.linkedin.com/in/sonia-elmlinger-labadie-96098110" TargetMode="External"/><Relationship  Id="rId11364" Type="http://schemas.openxmlformats.org/officeDocument/2006/relationships/hyperlink" Target="http://www.linkedin.com/in/thomas-p-80845168" TargetMode="External"/><Relationship  Id="rId11365" Type="http://schemas.openxmlformats.org/officeDocument/2006/relationships/hyperlink" Target="http://www.parachut.com" TargetMode="External"/><Relationship  Id="rId11366" Type="http://schemas.openxmlformats.org/officeDocument/2006/relationships/hyperlink" Target="http://www.linkedin.com/in/jerome-martin-aaa23783" TargetMode="External"/><Relationship  Id="rId11367" Type="http://schemas.openxmlformats.org/officeDocument/2006/relationships/hyperlink" Target="http://expert-service.fr" TargetMode="External"/><Relationship  Id="rId11368" Type="http://schemas.openxmlformats.org/officeDocument/2006/relationships/hyperlink" Target="http://www.linkedin.com/in/alexis-barcelo-7a138476" TargetMode="External"/><Relationship  Id="rId11369" Type="http://schemas.openxmlformats.org/officeDocument/2006/relationships/hyperlink" Target="http://www.linkedin.com/in/julien-menozzi-25284793" TargetMode="External"/><Relationship  Id="rId1137" Type="http://schemas.openxmlformats.org/officeDocument/2006/relationships/hyperlink" Target="http://www.groupe-myhotels.com" TargetMode="External"/><Relationship  Id="rId11370" Type="http://schemas.openxmlformats.org/officeDocument/2006/relationships/hyperlink" Target="http://monconseil.pro" TargetMode="External"/><Relationship  Id="rId11371" Type="http://schemas.openxmlformats.org/officeDocument/2006/relationships/hyperlink" Target="http://www.linkedin.com/in/laur%c3%a8ne-albenois-82b616158" TargetMode="External"/><Relationship  Id="rId11372" Type="http://schemas.openxmlformats.org/officeDocument/2006/relationships/hyperlink" Target="http://auxilia-courtage.fr" TargetMode="External"/><Relationship  Id="rId11373" Type="http://schemas.openxmlformats.org/officeDocument/2006/relationships/hyperlink" Target="http://www.linkedin.com/in/vincent-richard-454075158" TargetMode="External"/><Relationship  Id="rId11374" Type="http://schemas.openxmlformats.org/officeDocument/2006/relationships/hyperlink" Target="http://www.linkedin.com/in/maisonneuve-vincent-0750637b" TargetMode="External"/><Relationship  Id="rId11375" Type="http://schemas.openxmlformats.org/officeDocument/2006/relationships/hyperlink" Target="http://www.linkedin.com/in/s%c3%a9bastien-capella-0a2699270" TargetMode="External"/><Relationship  Id="rId11376" Type="http://schemas.openxmlformats.org/officeDocument/2006/relationships/hyperlink" Target="http://www.linkedin.com/in/laurent-devineau-31661bab" TargetMode="External"/><Relationship  Id="rId11377" Type="http://schemas.openxmlformats.org/officeDocument/2006/relationships/hyperlink" Target="http://www.detralytics.com" TargetMode="External"/><Relationship  Id="rId11378" Type="http://schemas.openxmlformats.org/officeDocument/2006/relationships/hyperlink" Target="http://www.linkedin.com/in/michel-andreini-63ab22149" TargetMode="External"/><Relationship  Id="rId11379" Type="http://schemas.openxmlformats.org/officeDocument/2006/relationships/hyperlink" Target="http://aegirpatrimoine.com" TargetMode="External"/><Relationship  Id="rId1138" Type="http://schemas.openxmlformats.org/officeDocument/2006/relationships/hyperlink" Target="http://www.linkedin.com/in/nathalie-grand-morin-39410092" TargetMode="External"/><Relationship  Id="rId11380" Type="http://schemas.openxmlformats.org/officeDocument/2006/relationships/hyperlink" Target="http://www.linkedin.com/in/dominique-brossais-413b0924" TargetMode="External"/><Relationship  Id="rId11381" Type="http://schemas.openxmlformats.org/officeDocument/2006/relationships/hyperlink" Target="http://www.linkedin.com/in/lorenzo-cabrerizo-08a8281b5" TargetMode="External"/><Relationship  Id="rId11382" Type="http://schemas.openxmlformats.org/officeDocument/2006/relationships/hyperlink" Target="http://altovia.fr" TargetMode="External"/><Relationship  Id="rId11383" Type="http://schemas.openxmlformats.org/officeDocument/2006/relationships/hyperlink" Target="http://choisir-un-courtier.com" TargetMode="External"/><Relationship  Id="rId11384" Type="http://schemas.openxmlformats.org/officeDocument/2006/relationships/hyperlink" Target="http://www.linkedin.com/in/arnaud-becam" TargetMode="External"/><Relationship  Id="rId11385" Type="http://schemas.openxmlformats.org/officeDocument/2006/relationships/hyperlink" Target="http://www.choisir-un-courtier.com" TargetMode="External"/><Relationship  Id="rId11386" Type="http://schemas.openxmlformats.org/officeDocument/2006/relationships/hyperlink" Target="http://www.linkedin.com/in/laura-lacroix-86b654140" TargetMode="External"/><Relationship  Id="rId11387" Type="http://schemas.openxmlformats.org/officeDocument/2006/relationships/hyperlink" Target="http://www.linkedin.com/in/axel-th%c3%a9ry-817569109" TargetMode="External"/><Relationship  Id="rId11388" Type="http://schemas.openxmlformats.org/officeDocument/2006/relationships/hyperlink" Target="http://www.constructions-3d.com" TargetMode="External"/><Relationship  Id="rId11389" Type="http://schemas.openxmlformats.org/officeDocument/2006/relationships/hyperlink" Target="http://www.linkedin.com/in/mathieu-launay-32a17642" TargetMode="External"/><Relationship  Id="rId1139" Type="http://schemas.openxmlformats.org/officeDocument/2006/relationships/hyperlink" Target="http://www.lecercle.fr" TargetMode="External"/><Relationship  Id="rId11390" Type="http://schemas.openxmlformats.org/officeDocument/2006/relationships/hyperlink" Target="http://www.nextensia.com" TargetMode="External"/><Relationship  Id="rId11391" Type="http://schemas.openxmlformats.org/officeDocument/2006/relationships/hyperlink" Target="http://www.linkedin.com/in/paul-etienne-davier-mrics-2953717" TargetMode="External"/><Relationship  Id="rId11392" Type="http://schemas.openxmlformats.org/officeDocument/2006/relationships/hyperlink" Target="http://www.faceagroup.com" TargetMode="External"/><Relationship  Id="rId11393" Type="http://schemas.openxmlformats.org/officeDocument/2006/relationships/hyperlink" Target="http://www.linkedin.com/in/bastien-polom%c3%a9-72001b90" TargetMode="External"/><Relationship  Id="rId11394" Type="http://schemas.openxmlformats.org/officeDocument/2006/relationships/hyperlink" Target="http://www.geo-projection.fr" TargetMode="External"/><Relationship  Id="rId11395" Type="http://schemas.openxmlformats.org/officeDocument/2006/relationships/hyperlink" Target="http://www.linkedin.com/in/fabrice-lavorel-78846683" TargetMode="External"/><Relationship  Id="rId11396" Type="http://schemas.openxmlformats.org/officeDocument/2006/relationships/hyperlink" Target="http://www.cobalp.fr" TargetMode="External"/><Relationship  Id="rId11397" Type="http://schemas.openxmlformats.org/officeDocument/2006/relationships/hyperlink" Target="http://www.linkedin.com/in/jean-yves-perrier" TargetMode="External"/><Relationship  Id="rId11398" Type="http://schemas.openxmlformats.org/officeDocument/2006/relationships/hyperlink" Target="http://www.edigo.fr" TargetMode="External"/><Relationship  Id="rId11399" Type="http://schemas.openxmlformats.org/officeDocument/2006/relationships/hyperlink" Target="http://www.linkedin.com/in/jean-marie-fournier-13bb38153" TargetMode="External"/><Relationship  Id="rId114" Type="http://schemas.openxmlformats.org/officeDocument/2006/relationships/hyperlink" Target="http://www.linkedin.com/in/pierre-hengoat-19119b53" TargetMode="External"/><Relationship  Id="rId1140" Type="http://schemas.openxmlformats.org/officeDocument/2006/relationships/hyperlink" Target="http://www.linkedin.com/in/carole-viriot-engaz-aab254209" TargetMode="External"/><Relationship  Id="rId11400" Type="http://schemas.openxmlformats.org/officeDocument/2006/relationships/hyperlink" Target="http://www.accoplas.fr" TargetMode="External"/><Relationship  Id="rId11401" Type="http://schemas.openxmlformats.org/officeDocument/2006/relationships/hyperlink" Target="http://www.linkedin.com/in/jean-fortier-00362242" TargetMode="External"/><Relationship  Id="rId11402" Type="http://schemas.openxmlformats.org/officeDocument/2006/relationships/hyperlink" Target="http://www.mf-construction.com" TargetMode="External"/><Relationship  Id="rId11403" Type="http://schemas.openxmlformats.org/officeDocument/2006/relationships/hyperlink" Target="http://www.linkedin.com/in/pascal-chazal-03609628" TargetMode="External"/><Relationship  Id="rId11404" Type="http://schemas.openxmlformats.org/officeDocument/2006/relationships/hyperlink" Target="http://www.zen-modular.com" TargetMode="External"/><Relationship  Id="rId11405" Type="http://schemas.openxmlformats.org/officeDocument/2006/relationships/hyperlink" Target="http://www.linkedin.com/in/cluzeau-bernard-302076a0" TargetMode="External"/><Relationship  Id="rId11406" Type="http://schemas.openxmlformats.org/officeDocument/2006/relationships/hyperlink" Target="http://www.dmf-expert.com" TargetMode="External"/><Relationship  Id="rId11407" Type="http://schemas.openxmlformats.org/officeDocument/2006/relationships/hyperlink" Target="http://www.linkedin.com/in/cedric-durand-61b088105" TargetMode="External"/><Relationship  Id="rId11408" Type="http://schemas.openxmlformats.org/officeDocument/2006/relationships/hyperlink" Target="http://www.alpes-prefa.fr" TargetMode="External"/><Relationship  Id="rId11409" Type="http://schemas.openxmlformats.org/officeDocument/2006/relationships/hyperlink" Target="http://www.linkedin.com/in/david-razafimahaleo-b135aa89" TargetMode="External"/><Relationship  Id="rId1141" Type="http://schemas.openxmlformats.org/officeDocument/2006/relationships/hyperlink" Target="http://www.linkedin.com/in/herve-duperret-2b713117" TargetMode="External"/><Relationship  Id="rId11410" Type="http://schemas.openxmlformats.org/officeDocument/2006/relationships/hyperlink" Target="http://www.opus-concepts.fr" TargetMode="External"/><Relationship  Id="rId11411" Type="http://schemas.openxmlformats.org/officeDocument/2006/relationships/hyperlink" Target="http://www.linkedin.com/in/nicolas-farges-2a9677149" TargetMode="External"/><Relationship  Id="rId11412" Type="http://schemas.openxmlformats.org/officeDocument/2006/relationships/hyperlink" Target="http://www.g2c-sas.fr" TargetMode="External"/><Relationship  Id="rId11413" Type="http://schemas.openxmlformats.org/officeDocument/2006/relationships/hyperlink" Target="http://www.linkedin.com/in/dominique-hardy" TargetMode="External"/><Relationship  Id="rId11414" Type="http://schemas.openxmlformats.org/officeDocument/2006/relationships/hyperlink" Target="http://www.idetec.eu" TargetMode="External"/><Relationship  Id="rId11415" Type="http://schemas.openxmlformats.org/officeDocument/2006/relationships/hyperlink" Target="http://www.linkedin.com/in/ms-leticia-gonzales" TargetMode="External"/><Relationship  Id="rId11416" Type="http://schemas.openxmlformats.org/officeDocument/2006/relationships/hyperlink" Target="http://www.helmproperties.com.au" TargetMode="External"/><Relationship  Id="rId11417" Type="http://schemas.openxmlformats.org/officeDocument/2006/relationships/hyperlink" Target="http://www.linkedin.com/in/fabien-morel-282a5a11a" TargetMode="External"/><Relationship  Id="rId11418" Type="http://schemas.openxmlformats.org/officeDocument/2006/relationships/hyperlink" Target="http://www.atticora.fr" TargetMode="External"/><Relationship  Id="rId11419" Type="http://schemas.openxmlformats.org/officeDocument/2006/relationships/hyperlink" Target="http://www.linkedin.com/in/guillaume-demoy-3b3155124" TargetMode="External"/><Relationship  Id="rId1142" Type="http://schemas.openxmlformats.org/officeDocument/2006/relationships/hyperlink" Target="http://www.forstyle-hotels.com" TargetMode="External"/><Relationship  Id="rId11420" Type="http://schemas.openxmlformats.org/officeDocument/2006/relationships/hyperlink" Target="http://www.scopcsa.fr" TargetMode="External"/><Relationship  Id="rId11421" Type="http://schemas.openxmlformats.org/officeDocument/2006/relationships/hyperlink" Target="http://www.linkedin.com/in/olivier-mallet-3707433a" TargetMode="External"/><Relationship  Id="rId11422" Type="http://schemas.openxmlformats.org/officeDocument/2006/relationships/hyperlink" Target="http://www.groupe-mallet.fr" TargetMode="External"/><Relationship  Id="rId11423" Type="http://schemas.openxmlformats.org/officeDocument/2006/relationships/hyperlink" Target="http://groupe-mallet.fr" TargetMode="External"/><Relationship  Id="rId11424" Type="http://schemas.openxmlformats.org/officeDocument/2006/relationships/hyperlink" Target="http://www.linkedin.com/in/bernard-bacquaert-a506066b" TargetMode="External"/><Relationship  Id="rId11425" Type="http://schemas.openxmlformats.org/officeDocument/2006/relationships/hyperlink" Target="http://www.cobeima.fr" TargetMode="External"/><Relationship  Id="rId11426" Type="http://schemas.openxmlformats.org/officeDocument/2006/relationships/hyperlink" Target="http://www.linkedin.com/in/c%c3%a9dric-mesmacque-8b6003140" TargetMode="External"/><Relationship  Id="rId11427" Type="http://schemas.openxmlformats.org/officeDocument/2006/relationships/hyperlink" Target="http://www.debevre-ventilation.com" TargetMode="External"/><Relationship  Id="rId11428" Type="http://schemas.openxmlformats.org/officeDocument/2006/relationships/hyperlink" Target="http://www.linkedin.com/in/fr%c3%a9d%c3%a9ric-guillon-9a50aa20" TargetMode="External"/><Relationship  Id="rId11429" Type="http://schemas.openxmlformats.org/officeDocument/2006/relationships/hyperlink" Target="http://www.hexagone-groupe.com" TargetMode="External"/><Relationship  Id="rId1143" Type="http://schemas.openxmlformats.org/officeDocument/2006/relationships/hyperlink" Target="http://www.linkedin.com/in/alain-beauvieux-phd-bb286b4" TargetMode="External"/><Relationship  Id="rId11430" Type="http://schemas.openxmlformats.org/officeDocument/2006/relationships/hyperlink" Target="http://www.linkedin.com/in/fabrice-badin-14a304109" TargetMode="External"/><Relationship  Id="rId11431" Type="http://schemas.openxmlformats.org/officeDocument/2006/relationships/hyperlink" Target="http://www.posytec.com" TargetMode="External"/><Relationship  Id="rId11432" Type="http://schemas.openxmlformats.org/officeDocument/2006/relationships/hyperlink" Target="http://www.linkedin.com/in/c%c3%a9dric-jacquet-5b306113b" TargetMode="External"/><Relationship  Id="rId11433" Type="http://schemas.openxmlformats.org/officeDocument/2006/relationships/hyperlink" Target="http://www.tilkeo-renovation.fr" TargetMode="External"/><Relationship  Id="rId11434" Type="http://schemas.openxmlformats.org/officeDocument/2006/relationships/hyperlink" Target="http://www.linkedin.com/in/raphael-reverdy-80a08b103" TargetMode="External"/><Relationship  Id="rId11435" Type="http://schemas.openxmlformats.org/officeDocument/2006/relationships/hyperlink" Target="http://www.limeul.com" TargetMode="External"/><Relationship  Id="rId11436" Type="http://schemas.openxmlformats.org/officeDocument/2006/relationships/hyperlink" Target="http://www.linkedin.com/in/jean-bastien-guiral-63571533" TargetMode="External"/><Relationship  Id="rId11437" Type="http://schemas.openxmlformats.org/officeDocument/2006/relationships/hyperlink" Target="http://www.canal-sanit-air.fr" TargetMode="External"/><Relationship  Id="rId11438" Type="http://schemas.openxmlformats.org/officeDocument/2006/relationships/hyperlink" Target="http://www.linkedin.com/in/christian-marquis-2512a925" TargetMode="External"/><Relationship  Id="rId11439" Type="http://schemas.openxmlformats.org/officeDocument/2006/relationships/hyperlink" Target="http://www.combles.com" TargetMode="External"/><Relationship  Id="rId1144" Type="http://schemas.openxmlformats.org/officeDocument/2006/relationships/hyperlink" Target="http://www.chr365.eu" TargetMode="External"/><Relationship  Id="rId11440" Type="http://schemas.openxmlformats.org/officeDocument/2006/relationships/hyperlink" Target="http://www.linkedin.com/in/steven-robert-diamtec" TargetMode="External"/><Relationship  Id="rId11441" Type="http://schemas.openxmlformats.org/officeDocument/2006/relationships/hyperlink" Target="http://www.astrakgroup.fr" TargetMode="External"/><Relationship  Id="rId11442" Type="http://schemas.openxmlformats.org/officeDocument/2006/relationships/hyperlink" Target="http://www.linkedin.com/in/audric-gaudin-9a577843" TargetMode="External"/><Relationship  Id="rId11443" Type="http://schemas.openxmlformats.org/officeDocument/2006/relationships/hyperlink" Target="http://www.libow.fr" TargetMode="External"/><Relationship  Id="rId11444" Type="http://schemas.openxmlformats.org/officeDocument/2006/relationships/hyperlink" Target="http://www.linkedin.com/in/michel-moussa" TargetMode="External"/><Relationship  Id="rId11445" Type="http://schemas.openxmlformats.org/officeDocument/2006/relationships/hyperlink" Target="http://www.groupeanjalys.com" TargetMode="External"/><Relationship  Id="rId11446" Type="http://schemas.openxmlformats.org/officeDocument/2006/relationships/hyperlink" Target="http://www.linkedin.com/in/vincent-royer-a3154958" TargetMode="External"/><Relationship  Id="rId11447" Type="http://schemas.openxmlformats.org/officeDocument/2006/relationships/hyperlink" Target="http://www.constructlab.fr" TargetMode="External"/><Relationship  Id="rId11448" Type="http://schemas.openxmlformats.org/officeDocument/2006/relationships/hyperlink" Target="http://www.linkedin.com/in/thierrypalandri" TargetMode="External"/><Relationship  Id="rId11449" Type="http://schemas.openxmlformats.org/officeDocument/2006/relationships/hyperlink" Target="http://www.horizongroupe.com" TargetMode="External"/><Relationship  Id="rId1145" Type="http://schemas.openxmlformats.org/officeDocument/2006/relationships/hyperlink" Target="http://www.linkedin.com/in/anthony-bezin-82497151" TargetMode="External"/><Relationship  Id="rId11450" Type="http://schemas.openxmlformats.org/officeDocument/2006/relationships/hyperlink" Target="http://www.linkedin.com/in/s%c3%a9verine-genneret-96673687" TargetMode="External"/><Relationship  Id="rId11451" Type="http://schemas.openxmlformats.org/officeDocument/2006/relationships/hyperlink" Target="http://www.perigordhabitat.fr" TargetMode="External"/><Relationship  Id="rId11452" Type="http://schemas.openxmlformats.org/officeDocument/2006/relationships/hyperlink" Target="http://www.linkedin.com/in/julien-blanchard-65b7881b7" TargetMode="External"/><Relationship  Id="rId11453" Type="http://schemas.openxmlformats.org/officeDocument/2006/relationships/hyperlink" Target="http://www.mconstructions.org" TargetMode="External"/><Relationship  Id="rId11454" Type="http://schemas.openxmlformats.org/officeDocument/2006/relationships/hyperlink" Target="http://www.linkedin.com/in/pierre-ducamin-26878312" TargetMode="External"/><Relationship  Id="rId11455" Type="http://schemas.openxmlformats.org/officeDocument/2006/relationships/hyperlink" Target="http://www.oc-residences.fr" TargetMode="External"/><Relationship  Id="rId11456" Type="http://schemas.openxmlformats.org/officeDocument/2006/relationships/hyperlink" Target="http://www.linkedin.com/in/alaineyraud" TargetMode="External"/><Relationship  Id="rId11457" Type="http://schemas.openxmlformats.org/officeDocument/2006/relationships/hyperlink" Target="http://www.tridant.fr" TargetMode="External"/><Relationship  Id="rId11458" Type="http://schemas.openxmlformats.org/officeDocument/2006/relationships/hyperlink" Target="http://www.linkedin.com/in/patrice-pagani-966564190" TargetMode="External"/><Relationship  Id="rId11459" Type="http://schemas.openxmlformats.org/officeDocument/2006/relationships/hyperlink" Target="http://www.cibelec.fr" TargetMode="External"/><Relationship  Id="rId1146" Type="http://schemas.openxmlformats.org/officeDocument/2006/relationships/hyperlink" Target="http://www.lifehotels.fr" TargetMode="External"/><Relationship  Id="rId11460" Type="http://schemas.openxmlformats.org/officeDocument/2006/relationships/hyperlink" Target="http://www.linkedin.com/in/michel-allais-62613177" TargetMode="External"/><Relationship  Id="rId11461" Type="http://schemas.openxmlformats.org/officeDocument/2006/relationships/hyperlink" Target="http://www.guerin-bremaud.com" TargetMode="External"/><Relationship  Id="rId11462" Type="http://schemas.openxmlformats.org/officeDocument/2006/relationships/hyperlink" Target="http://www.linkedin.com/in/fabien-gaboriau" TargetMode="External"/><Relationship  Id="rId11463" Type="http://schemas.openxmlformats.org/officeDocument/2006/relationships/hyperlink" Target="http://www.projetlineaire.com" TargetMode="External"/><Relationship  Id="rId11464" Type="http://schemas.openxmlformats.org/officeDocument/2006/relationships/hyperlink" Target="http://www.linkedin.com/in/olivier-chaumet-475304176" TargetMode="External"/><Relationship  Id="rId11465" Type="http://schemas.openxmlformats.org/officeDocument/2006/relationships/hyperlink" Target="http://www.steelinbox.com" TargetMode="External"/><Relationship  Id="rId11466" Type="http://schemas.openxmlformats.org/officeDocument/2006/relationships/hyperlink" Target="http://www.linkedin.com/in/tiago-pereira-9356b4b7" TargetMode="External"/><Relationship  Id="rId11467" Type="http://schemas.openxmlformats.org/officeDocument/2006/relationships/hyperlink" Target="http://www.mtpconstruction.fr" TargetMode="External"/><Relationship  Id="rId11468" Type="http://schemas.openxmlformats.org/officeDocument/2006/relationships/hyperlink" Target="http://www.linkedin.com/in/mustapha-benzekhroufa-2315656b" TargetMode="External"/><Relationship  Id="rId11469" Type="http://schemas.openxmlformats.org/officeDocument/2006/relationships/hyperlink" Target="http://www.dao-infranet.com" TargetMode="External"/><Relationship  Id="rId1147" Type="http://schemas.openxmlformats.org/officeDocument/2006/relationships/hyperlink" Target="http://www.linkedin.com/in/dimitri-alexopoulos-da" TargetMode="External"/><Relationship  Id="rId11470" Type="http://schemas.openxmlformats.org/officeDocument/2006/relationships/hyperlink" Target="http://www.linkedin.com/in/thomasblumenfeld" TargetMode="External"/><Relationship  Id="rId11471" Type="http://schemas.openxmlformats.org/officeDocument/2006/relationships/hyperlink" Target="http://www.roadmapper.fr" TargetMode="External"/><Relationship  Id="rId11472" Type="http://schemas.openxmlformats.org/officeDocument/2006/relationships/hyperlink" Target="http://www.linkedin.com/in/aymeric-besnard-6601992b" TargetMode="External"/><Relationship  Id="rId11473" Type="http://schemas.openxmlformats.org/officeDocument/2006/relationships/hyperlink" Target="http://www.moinemenuiserie.fr" TargetMode="External"/><Relationship  Id="rId11474" Type="http://schemas.openxmlformats.org/officeDocument/2006/relationships/hyperlink" Target="http://www.linkedin.com/in/olivier-mury-02946682" TargetMode="External"/><Relationship  Id="rId11475" Type="http://schemas.openxmlformats.org/officeDocument/2006/relationships/hyperlink" Target="http://www.isotoit.fr" TargetMode="External"/><Relationship  Id="rId11476" Type="http://schemas.openxmlformats.org/officeDocument/2006/relationships/hyperlink" Target="http://www.linkedin.com/in/vincent-delaroque-2777465" TargetMode="External"/><Relationship  Id="rId11477" Type="http://schemas.openxmlformats.org/officeDocument/2006/relationships/hyperlink" Target="http://www.la-serrurerie.com" TargetMode="External"/><Relationship  Id="rId11478" Type="http://schemas.openxmlformats.org/officeDocument/2006/relationships/hyperlink" Target="http://www.linkedin.com/in/edouard-frichet-12a04b13" TargetMode="External"/><Relationship  Id="rId11479" Type="http://schemas.openxmlformats.org/officeDocument/2006/relationships/hyperlink" Target="http://www.artefacts-paris.com" TargetMode="External"/><Relationship  Id="rId1148" Type="http://schemas.openxmlformats.org/officeDocument/2006/relationships/hyperlink" Target="http://www.plakaparis.com" TargetMode="External"/><Relationship  Id="rId11480" Type="http://schemas.openxmlformats.org/officeDocument/2006/relationships/hyperlink" Target="http://www.linkedin.com/in/mathilde-quenel-a5b5a946" TargetMode="External"/><Relationship  Id="rId11481" Type="http://schemas.openxmlformats.org/officeDocument/2006/relationships/hyperlink" Target="http://www.linkedin.com/in/fran%c3%a7ois-corre-67835ba7" TargetMode="External"/><Relationship  Id="rId11482" Type="http://schemas.openxmlformats.org/officeDocument/2006/relationships/hyperlink" Target="http://www.amenagement77.fr" TargetMode="External"/><Relationship  Id="rId11483" Type="http://schemas.openxmlformats.org/officeDocument/2006/relationships/hyperlink" Target="http://www.linkedin.com/in/guillaume-charvet-ba63b813b" TargetMode="External"/><Relationship  Id="rId11484" Type="http://schemas.openxmlformats.org/officeDocument/2006/relationships/hyperlink" Target="http://www.c2a.services" TargetMode="External"/><Relationship  Id="rId11485" Type="http://schemas.openxmlformats.org/officeDocument/2006/relationships/hyperlink" Target="http://www.linkedin.com/in/alexandra-gerolami-055503206" TargetMode="External"/><Relationship  Id="rId11486" Type="http://schemas.openxmlformats.org/officeDocument/2006/relationships/hyperlink" Target="http://www.ami-bois.fr" TargetMode="External"/><Relationship  Id="rId11487" Type="http://schemas.openxmlformats.org/officeDocument/2006/relationships/hyperlink" Target="http://www.linkedin.com/in/paul-cairola-05651b16a" TargetMode="External"/><Relationship  Id="rId11488" Type="http://schemas.openxmlformats.org/officeDocument/2006/relationships/hyperlink" Target="http://www.be-cet.com" TargetMode="External"/><Relationship  Id="rId11489" Type="http://schemas.openxmlformats.org/officeDocument/2006/relationships/hyperlink" Target="http://www.linkedin.com/in/sebastien-heinrich-05800b198" TargetMode="External"/><Relationship  Id="rId1149" Type="http://schemas.openxmlformats.org/officeDocument/2006/relationships/hyperlink" Target="http://www.linkedin.com/in/valerianpotier" TargetMode="External"/><Relationship  Id="rId11490" Type="http://schemas.openxmlformats.org/officeDocument/2006/relationships/hyperlink" Target="http://www.heinrich-bock.com" TargetMode="External"/><Relationship  Id="rId11491" Type="http://schemas.openxmlformats.org/officeDocument/2006/relationships/hyperlink" Target="http://www.linkedin.com/in/vincentperin-gda" TargetMode="External"/><Relationship  Id="rId11492" Type="http://schemas.openxmlformats.org/officeDocument/2006/relationships/hyperlink" Target="http://www.bureau-gda.fr" TargetMode="External"/><Relationship  Id="rId11493" Type="http://schemas.openxmlformats.org/officeDocument/2006/relationships/hyperlink" Target="http://www.linkedin.com/in/aur%c3%a9lia-boillod-791735237" TargetMode="External"/><Relationship  Id="rId11494" Type="http://schemas.openxmlformats.org/officeDocument/2006/relationships/hyperlink" Target="http://www.ducre.fr" TargetMode="External"/><Relationship  Id="rId11495" Type="http://schemas.openxmlformats.org/officeDocument/2006/relationships/hyperlink" Target="http://www.linkedin.com/in/vincent-dupriez-6692a9a3" TargetMode="External"/><Relationship  Id="rId11496" Type="http://schemas.openxmlformats.org/officeDocument/2006/relationships/hyperlink" Target="http://www.sopegatp.fr" TargetMode="External"/><Relationship  Id="rId11497" Type="http://schemas.openxmlformats.org/officeDocument/2006/relationships/hyperlink" Target="http://www.linkedin.com/in/julien-le-roy-897873a4" TargetMode="External"/><Relationship  Id="rId11498" Type="http://schemas.openxmlformats.org/officeDocument/2006/relationships/hyperlink" Target="http://www.demattec.fr" TargetMode="External"/><Relationship  Id="rId11499" Type="http://schemas.openxmlformats.org/officeDocument/2006/relationships/hyperlink" Target="http://www.linkedin.com/in/jean-guerizec-852684152" TargetMode="External"/><Relationship  Id="rId115" Type="http://schemas.openxmlformats.org/officeDocument/2006/relationships/hyperlink" Target="http://www.lafrairie.com" TargetMode="External"/><Relationship  Id="rId1150" Type="http://schemas.openxmlformats.org/officeDocument/2006/relationships/hyperlink" Target="http://www.thefoldleamington.co.uk" TargetMode="External"/><Relationship  Id="rId11500" Type="http://schemas.openxmlformats.org/officeDocument/2006/relationships/hyperlink" Target="http://www.paul-turpeau.fr" TargetMode="External"/><Relationship  Id="rId11501" Type="http://schemas.openxmlformats.org/officeDocument/2006/relationships/hyperlink" Target="http://www.linkedin.com/in/j%c3%a9r%c3%b4me-lequertier-36a41710" TargetMode="External"/><Relationship  Id="rId11502" Type="http://schemas.openxmlformats.org/officeDocument/2006/relationships/hyperlink" Target="http://www.ericlequertier.com" TargetMode="External"/><Relationship  Id="rId11503" Type="http://schemas.openxmlformats.org/officeDocument/2006/relationships/hyperlink" Target="http://www.linkedin.com/in/gaetan-milon-81961b17a" TargetMode="External"/><Relationship  Id="rId11504" Type="http://schemas.openxmlformats.org/officeDocument/2006/relationships/hyperlink" Target="http://www.milon-isolation.com" TargetMode="External"/><Relationship  Id="rId11505" Type="http://schemas.openxmlformats.org/officeDocument/2006/relationships/hyperlink" Target="http://www.linkedin.com/in/tony-baltz-492738174" TargetMode="External"/><Relationship  Id="rId11506" Type="http://schemas.openxmlformats.org/officeDocument/2006/relationships/hyperlink" Target="http://www.becprovence.fayat.com" TargetMode="External"/><Relationship  Id="rId11507" Type="http://schemas.openxmlformats.org/officeDocument/2006/relationships/hyperlink" Target="http://www.linkedin.com/in/nicolas-mazieux-188722112" TargetMode="External"/><Relationship  Id="rId11508" Type="http://schemas.openxmlformats.org/officeDocument/2006/relationships/hyperlink" Target="http://www.sfeco.eu" TargetMode="External"/><Relationship  Id="rId11509" Type="http://schemas.openxmlformats.org/officeDocument/2006/relationships/hyperlink" Target="http://www.linkedin.com/in/nelsondealmeida" TargetMode="External"/><Relationship  Id="rId1151" Type="http://schemas.openxmlformats.org/officeDocument/2006/relationships/hyperlink" Target="http://www.linkedin.com/in/yasmine-ibrahim-033b251ab" TargetMode="External"/><Relationship  Id="rId11510" Type="http://schemas.openxmlformats.org/officeDocument/2006/relationships/hyperlink" Target="http://www.solidem.fr" TargetMode="External"/><Relationship  Id="rId11511" Type="http://schemas.openxmlformats.org/officeDocument/2006/relationships/hyperlink" Target="http://www.linkedin.com/in/tony-benard" TargetMode="External"/><Relationship  Id="rId11512" Type="http://schemas.openxmlformats.org/officeDocument/2006/relationships/hyperlink" Target="http://www.infraservices.org" TargetMode="External"/><Relationship  Id="rId11513" Type="http://schemas.openxmlformats.org/officeDocument/2006/relationships/hyperlink" Target="http://www.linkedin.com/in/larissa-jauffrineau-forget-60a6a41a1" TargetMode="External"/><Relationship  Id="rId11514" Type="http://schemas.openxmlformats.org/officeDocument/2006/relationships/hyperlink" Target="http://www.maisons-comeca.com" TargetMode="External"/><Relationship  Id="rId11515" Type="http://schemas.openxmlformats.org/officeDocument/2006/relationships/hyperlink" Target="http://www.linkedin.com/in/s%c3%a9bastien-roussel-%f0%9f%87%ab%f0%9f%87%b7-1a707566" TargetMode="External"/><Relationship  Id="rId11516" Type="http://schemas.openxmlformats.org/officeDocument/2006/relationships/hyperlink" Target="http://www.prefacat-sas.fr" TargetMode="External"/><Relationship  Id="rId11517" Type="http://schemas.openxmlformats.org/officeDocument/2006/relationships/hyperlink" Target="http://www.linkedin.com/in/marko-petrovic-ab85571b9" TargetMode="External"/><Relationship  Id="rId11518" Type="http://schemas.openxmlformats.org/officeDocument/2006/relationships/hyperlink" Target="http://www.piletmetal.com" TargetMode="External"/><Relationship  Id="rId11519" Type="http://schemas.openxmlformats.org/officeDocument/2006/relationships/hyperlink" Target="http://www.linkedin.com/in/vincent-ruysschaert-98872976" TargetMode="External"/><Relationship  Id="rId1152" Type="http://schemas.openxmlformats.org/officeDocument/2006/relationships/hyperlink" Target="http://www.minoofi.fr" TargetMode="External"/><Relationship  Id="rId11520" Type="http://schemas.openxmlformats.org/officeDocument/2006/relationships/hyperlink" Target="http://www.axpacaal.fr" TargetMode="External"/><Relationship  Id="rId11521" Type="http://schemas.openxmlformats.org/officeDocument/2006/relationships/hyperlink" Target="http://www.linkedin.com/in/laurent-berthelot-762b7312" TargetMode="External"/><Relationship  Id="rId11522" Type="http://schemas.openxmlformats.org/officeDocument/2006/relationships/hyperlink" Target="http://www.greenhomes.fr" TargetMode="External"/><Relationship  Id="rId11523" Type="http://schemas.openxmlformats.org/officeDocument/2006/relationships/hyperlink" Target="http://www.linkedin.com/in/samuel-berbo-427087239" TargetMode="External"/><Relationship  Id="rId11524" Type="http://schemas.openxmlformats.org/officeDocument/2006/relationships/hyperlink" Target="http://www.bbbuild.fr" TargetMode="External"/><Relationship  Id="rId11525" Type="http://schemas.openxmlformats.org/officeDocument/2006/relationships/hyperlink" Target="http://www.linkedin.com/in/daussy" TargetMode="External"/><Relationship  Id="rId11526" Type="http://schemas.openxmlformats.org/officeDocument/2006/relationships/hyperlink" Target="http://www.daussy.fr" TargetMode="External"/><Relationship  Id="rId11527" Type="http://schemas.openxmlformats.org/officeDocument/2006/relationships/hyperlink" Target="http://www.linkedin.com/in/helenemariette" TargetMode="External"/><Relationship  Id="rId11528" Type="http://schemas.openxmlformats.org/officeDocument/2006/relationships/hyperlink" Target="http://www.demet-air.fr" TargetMode="External"/><Relationship  Id="rId11529" Type="http://schemas.openxmlformats.org/officeDocument/2006/relationships/hyperlink" Target="http://www.linkedin.com/in/olimenard" TargetMode="External"/><Relationship  Id="rId1153" Type="http://schemas.openxmlformats.org/officeDocument/2006/relationships/hyperlink" Target="http://www.linkedin.com/in/marc-badaoui-a0ab8211" TargetMode="External"/><Relationship  Id="rId11530" Type="http://schemas.openxmlformats.org/officeDocument/2006/relationships/hyperlink" Target="http://www.archibien.com" TargetMode="External"/><Relationship  Id="rId11531" Type="http://schemas.openxmlformats.org/officeDocument/2006/relationships/hyperlink" Target="http://www.linkedin.com/in/gabriel-guiral-a981a311a" TargetMode="External"/><Relationship  Id="rId11532" Type="http://schemas.openxmlformats.org/officeDocument/2006/relationships/hyperlink" Target="http://www.prozon.com" TargetMode="External"/><Relationship  Id="rId11533" Type="http://schemas.openxmlformats.org/officeDocument/2006/relationships/hyperlink" Target="http://www.linkedin.com/in/philippe-guenot-393a34128" TargetMode="External"/><Relationship  Id="rId11534" Type="http://schemas.openxmlformats.org/officeDocument/2006/relationships/hyperlink" Target="http://www.linkedin.com/in/thierry-de-courtilles-3276923a" TargetMode="External"/><Relationship  Id="rId11535" Type="http://schemas.openxmlformats.org/officeDocument/2006/relationships/hyperlink" Target="http://www.imperium-ouvertures.fr" TargetMode="External"/><Relationship  Id="rId11536" Type="http://schemas.openxmlformats.org/officeDocument/2006/relationships/hyperlink" Target="http://www.linkedin.com/in/thomas-marchand-4827b08b" TargetMode="External"/><Relationship  Id="rId11537" Type="http://schemas.openxmlformats.org/officeDocument/2006/relationships/hyperlink" Target="http://www.ets-chardin.fr" TargetMode="External"/><Relationship  Id="rId11538" Type="http://schemas.openxmlformats.org/officeDocument/2006/relationships/hyperlink" Target="http://www.linkedin.com/in/alban-lesaffre-2898b969" TargetMode="External"/><Relationship  Id="rId11539" Type="http://schemas.openxmlformats.org/officeDocument/2006/relationships/hyperlink" Target="http://www.sema-france.fr" TargetMode="External"/><Relationship  Id="rId1154" Type="http://schemas.openxmlformats.org/officeDocument/2006/relationships/hyperlink" Target="http://www.tascamezzebar.fr" TargetMode="External"/><Relationship  Id="rId11540" Type="http://schemas.openxmlformats.org/officeDocument/2006/relationships/hyperlink" Target="http://www.linkedin.com/in/frouin-s%c3%a9bastien-a2530148" TargetMode="External"/><Relationship  Id="rId11541" Type="http://schemas.openxmlformats.org/officeDocument/2006/relationships/hyperlink" Target="http://www.groupevigier.com" TargetMode="External"/><Relationship  Id="rId11542" Type="http://schemas.openxmlformats.org/officeDocument/2006/relationships/hyperlink" Target="http://www.linkedin.com/in/jules-delbos-873177104" TargetMode="External"/><Relationship  Id="rId11543" Type="http://schemas.openxmlformats.org/officeDocument/2006/relationships/hyperlink" Target="http://www.capraro.fr" TargetMode="External"/><Relationship  Id="rId11544" Type="http://schemas.openxmlformats.org/officeDocument/2006/relationships/hyperlink" Target="http://www.linkedin.com/in/denis-pistiaux-a24a1183" TargetMode="External"/><Relationship  Id="rId11545" Type="http://schemas.openxmlformats.org/officeDocument/2006/relationships/hyperlink" Target="http://www.qsb.fr" TargetMode="External"/><Relationship  Id="rId11546" Type="http://schemas.openxmlformats.org/officeDocument/2006/relationships/hyperlink" Target="http://www.linkedin.com/in/lionel-granier-896a51a5" TargetMode="External"/><Relationship  Id="rId11547" Type="http://schemas.openxmlformats.org/officeDocument/2006/relationships/hyperlink" Target="http://www.show-you.fr" TargetMode="External"/><Relationship  Id="rId11548" Type="http://schemas.openxmlformats.org/officeDocument/2006/relationships/hyperlink" Target="http://www.linkedin.com/in/d%c3%a9borah-gaignard-b67bb2120" TargetMode="External"/><Relationship  Id="rId11549" Type="http://schemas.openxmlformats.org/officeDocument/2006/relationships/hyperlink" Target="http://www.feratte.fr" TargetMode="External"/><Relationship  Id="rId1155" Type="http://schemas.openxmlformats.org/officeDocument/2006/relationships/hyperlink" Target="http://www.linkedin.com/in/marion-boyadjis-611a7727" TargetMode="External"/><Relationship  Id="rId11550" Type="http://schemas.openxmlformats.org/officeDocument/2006/relationships/hyperlink" Target="http://www.linkedin.com/in/fredericmella" TargetMode="External"/><Relationship  Id="rId11551" Type="http://schemas.openxmlformats.org/officeDocument/2006/relationships/hyperlink" Target="http://www.k2energies.com" TargetMode="External"/><Relationship  Id="rId11552" Type="http://schemas.openxmlformats.org/officeDocument/2006/relationships/hyperlink" Target="http://www.linkedin.com/in/nicolas-paule-80b5b1136" TargetMode="External"/><Relationship  Id="rId11553" Type="http://schemas.openxmlformats.org/officeDocument/2006/relationships/hyperlink" Target="http://www.netetancheite.com" TargetMode="External"/><Relationship  Id="rId11554" Type="http://schemas.openxmlformats.org/officeDocument/2006/relationships/hyperlink" Target="http://www.linkedin.com/in/pcluzelvirtualizationstorage" TargetMode="External"/><Relationship  Id="rId11555" Type="http://schemas.openxmlformats.org/officeDocument/2006/relationships/hyperlink" Target="http://www.maisonsetarchitectures.com" TargetMode="External"/><Relationship  Id="rId11556" Type="http://schemas.openxmlformats.org/officeDocument/2006/relationships/hyperlink" Target="http://www.linkedin.com/in/wilfried-gallerand-b26955200" TargetMode="External"/><Relationship  Id="rId11557" Type="http://schemas.openxmlformats.org/officeDocument/2006/relationships/hyperlink" Target="http://www.gallerand.com" TargetMode="External"/><Relationship  Id="rId11558" Type="http://schemas.openxmlformats.org/officeDocument/2006/relationships/hyperlink" Target="http://www.linkedin.com/in/joseph-salame" TargetMode="External"/><Relationship  Id="rId11559" Type="http://schemas.openxmlformats.org/officeDocument/2006/relationships/hyperlink" Target="http://www.isotechsal.com" TargetMode="External"/><Relationship  Id="rId1156" Type="http://schemas.openxmlformats.org/officeDocument/2006/relationships/hyperlink" Target="http://www.casaleya.com" TargetMode="External"/><Relationship  Id="rId11560" Type="http://schemas.openxmlformats.org/officeDocument/2006/relationships/hyperlink" Target="http://www.linkedin.com/in/vanessa-sauliere-202357160" TargetMode="External"/><Relationship  Id="rId11561" Type="http://schemas.openxmlformats.org/officeDocument/2006/relationships/hyperlink" Target="http://www.aso31.com" TargetMode="External"/><Relationship  Id="rId11562" Type="http://schemas.openxmlformats.org/officeDocument/2006/relationships/hyperlink" Target="http://www.linkedin.com/in/mathieu-estrabole-6a1620170" TargetMode="External"/><Relationship  Id="rId11563" Type="http://schemas.openxmlformats.org/officeDocument/2006/relationships/hyperlink" Target="http://www.repasol.fr" TargetMode="External"/><Relationship  Id="rId11564" Type="http://schemas.openxmlformats.org/officeDocument/2006/relationships/hyperlink" Target="http://www.linkedin.com/in/fabrice-michel-34701b211" TargetMode="External"/><Relationship  Id="rId11565" Type="http://schemas.openxmlformats.org/officeDocument/2006/relationships/hyperlink" Target="http://www.azur-travaux.fr" TargetMode="External"/><Relationship  Id="rId11566" Type="http://schemas.openxmlformats.org/officeDocument/2006/relationships/hyperlink" Target="http://www.linkedin.com/in/arnaud-roussel-50a553142" TargetMode="External"/><Relationship  Id="rId11567" Type="http://schemas.openxmlformats.org/officeDocument/2006/relationships/hyperlink" Target="http://www.enrgethique.com" TargetMode="External"/><Relationship  Id="rId11568" Type="http://schemas.openxmlformats.org/officeDocument/2006/relationships/hyperlink" Target="http://www.linkedin.com/in/olivierrhone" TargetMode="External"/><Relationship  Id="rId11569" Type="http://schemas.openxmlformats.org/officeDocument/2006/relationships/hyperlink" Target="http://www.rem-isol.fr" TargetMode="External"/><Relationship  Id="rId1157" Type="http://schemas.openxmlformats.org/officeDocument/2006/relationships/hyperlink" Target="http://www.linkedin.com/in/averzier" TargetMode="External"/><Relationship  Id="rId11570" Type="http://schemas.openxmlformats.org/officeDocument/2006/relationships/hyperlink" Target="http://www.linkedin.com/in/anthony-apkarian-92b9a49b" TargetMode="External"/><Relationship  Id="rId11571" Type="http://schemas.openxmlformats.org/officeDocument/2006/relationships/hyperlink" Target="http://www.bost-bds.com" TargetMode="External"/><Relationship  Id="rId11572" Type="http://schemas.openxmlformats.org/officeDocument/2006/relationships/hyperlink" Target="http://www.linkedin.com/in/christophe-delannoy-26bb93103" TargetMode="External"/><Relationship  Id="rId11573" Type="http://schemas.openxmlformats.org/officeDocument/2006/relationships/hyperlink" Target="http://www.alphametal.com" TargetMode="External"/><Relationship  Id="rId11574" Type="http://schemas.openxmlformats.org/officeDocument/2006/relationships/hyperlink" Target="http://www.linkedin.com/in/jimmy-juliot-b13512189" TargetMode="External"/><Relationship  Id="rId11575" Type="http://schemas.openxmlformats.org/officeDocument/2006/relationships/hyperlink" Target="http://www.maisons-lelievre.fr" TargetMode="External"/><Relationship  Id="rId11576" Type="http://schemas.openxmlformats.org/officeDocument/2006/relationships/hyperlink" Target="http://www.linkedin.com/in/porfirio-esteves-b87365131" TargetMode="External"/><Relationship  Id="rId11577" Type="http://schemas.openxmlformats.org/officeDocument/2006/relationships/hyperlink" Target="http://www.estevesfreres.net" TargetMode="External"/><Relationship  Id="rId11578" Type="http://schemas.openxmlformats.org/officeDocument/2006/relationships/hyperlink" Target="http://www.linkedin.com/in/philippe-roland10" TargetMode="External"/><Relationship  Id="rId11579" Type="http://schemas.openxmlformats.org/officeDocument/2006/relationships/hyperlink" Target="http://www.sfmp.fr" TargetMode="External"/><Relationship  Id="rId1158" Type="http://schemas.openxmlformats.org/officeDocument/2006/relationships/hyperlink" Target="http://www.digilink.net" TargetMode="External"/><Relationship  Id="rId11580" Type="http://schemas.openxmlformats.org/officeDocument/2006/relationships/hyperlink" Target="http://www.linkedin.com/in/ringo-azevedo-503097176" TargetMode="External"/><Relationship  Id="rId11581" Type="http://schemas.openxmlformats.org/officeDocument/2006/relationships/hyperlink" Target="http://www.gounot.fr" TargetMode="External"/><Relationship  Id="rId11582" Type="http://schemas.openxmlformats.org/officeDocument/2006/relationships/hyperlink" Target="http://www.linkedin.com/in/simonaraziwebdev" TargetMode="External"/><Relationship  Id="rId11583" Type="http://schemas.openxmlformats.org/officeDocument/2006/relationships/hyperlink" Target="http://www.depanneo.com" TargetMode="External"/><Relationship  Id="rId11584" Type="http://schemas.openxmlformats.org/officeDocument/2006/relationships/hyperlink" Target="http://www.linkedin.com/in/thomas-baheux-32977963" TargetMode="External"/><Relationship  Id="rId11585" Type="http://schemas.openxmlformats.org/officeDocument/2006/relationships/hyperlink" Target="http://www.satp.fr" TargetMode="External"/><Relationship  Id="rId11586" Type="http://schemas.openxmlformats.org/officeDocument/2006/relationships/hyperlink" Target="http://www.linkedin.com/in/cedric-loriaux-93a26590" TargetMode="External"/><Relationship  Id="rId11587" Type="http://schemas.openxmlformats.org/officeDocument/2006/relationships/hyperlink" Target="http://www.sweethometechnology.com" TargetMode="External"/><Relationship  Id="rId11588" Type="http://schemas.openxmlformats.org/officeDocument/2006/relationships/hyperlink" Target="http://www.linkedin.com/in/marie-ange-gay-ramos-26328712b" TargetMode="External"/><Relationship  Id="rId11589" Type="http://schemas.openxmlformats.org/officeDocument/2006/relationships/hyperlink" Target="http://www.etrelec.fr" TargetMode="External"/><Relationship  Id="rId1159" Type="http://schemas.openxmlformats.org/officeDocument/2006/relationships/hyperlink" Target="http://www.linkedin.com/in/maximemoulinet" TargetMode="External"/><Relationship  Id="rId11590" Type="http://schemas.openxmlformats.org/officeDocument/2006/relationships/hyperlink" Target="http://www.linkedin.com/in/cyril-biggi-974234242" TargetMode="External"/><Relationship  Id="rId11591" Type="http://schemas.openxmlformats.org/officeDocument/2006/relationships/hyperlink" Target="http://www.biggiconstructions.fr" TargetMode="External"/><Relationship  Id="rId11592" Type="http://schemas.openxmlformats.org/officeDocument/2006/relationships/hyperlink" Target="http://www.linkedin.com/in/nicolas-gestin-544b18105" TargetMode="External"/><Relationship  Id="rId11593" Type="http://schemas.openxmlformats.org/officeDocument/2006/relationships/hyperlink" Target="http://www.iris-expertise.fr" TargetMode="External"/><Relationship  Id="rId11594" Type="http://schemas.openxmlformats.org/officeDocument/2006/relationships/hyperlink" Target="http://www.linkedin.com/in/laurent-negretto-b2746a276" TargetMode="External"/><Relationship  Id="rId11595" Type="http://schemas.openxmlformats.org/officeDocument/2006/relationships/hyperlink" Target="http://www.espacecharpente.com" TargetMode="External"/><Relationship  Id="rId11596" Type="http://schemas.openxmlformats.org/officeDocument/2006/relationships/hyperlink" Target="http://www.linkedin.com/in/serge-saunier-86725986" TargetMode="External"/><Relationship  Id="rId11597" Type="http://schemas.openxmlformats.org/officeDocument/2006/relationships/hyperlink" Target="http://www.acetech-bet.com" TargetMode="External"/><Relationship  Id="rId11598" Type="http://schemas.openxmlformats.org/officeDocument/2006/relationships/hyperlink" Target="http://www.linkedin.com/in/adil-harmal-22ab781b9" TargetMode="External"/><Relationship  Id="rId11599" Type="http://schemas.openxmlformats.org/officeDocument/2006/relationships/hyperlink" Target="http://www.hproject.fr" TargetMode="External"/><Relationship  Id="rId116" Type="http://schemas.openxmlformats.org/officeDocument/2006/relationships/hyperlink" Target="http://www.linkedin.com/in/matthieu-tiberghien-85890b59" TargetMode="External"/><Relationship  Id="rId1160" Type="http://schemas.openxmlformats.org/officeDocument/2006/relationships/hyperlink" Target="http://www.kledia.fr" TargetMode="External"/><Relationship  Id="rId11600" Type="http://schemas.openxmlformats.org/officeDocument/2006/relationships/hyperlink" Target="http://www.linkedin.com/in/geoffrey-plisson-4808b1211" TargetMode="External"/><Relationship  Id="rId11601" Type="http://schemas.openxmlformats.org/officeDocument/2006/relationships/hyperlink" Target="http://www.etslecuyer.com" TargetMode="External"/><Relationship  Id="rId11602" Type="http://schemas.openxmlformats.org/officeDocument/2006/relationships/hyperlink" Target="http://www.linkedin.com/in/alexis-buffin-007a01a5" TargetMode="External"/><Relationship  Id="rId11603" Type="http://schemas.openxmlformats.org/officeDocument/2006/relationships/hyperlink" Target="http://www.groupe-buffin.fr" TargetMode="External"/><Relationship  Id="rId11604" Type="http://schemas.openxmlformats.org/officeDocument/2006/relationships/hyperlink" Target="http://www.linkedin.com/in/st%c3%a9phane-gazelle-433893b2" TargetMode="External"/><Relationship  Id="rId11605" Type="http://schemas.openxmlformats.org/officeDocument/2006/relationships/hyperlink" Target="http://www.entpaquet.fr" TargetMode="External"/><Relationship  Id="rId11606" Type="http://schemas.openxmlformats.org/officeDocument/2006/relationships/hyperlink" Target="http://www.linkedin.com/in/fabien-boeri-8192099b" TargetMode="External"/><Relationship  Id="rId11607" Type="http://schemas.openxmlformats.org/officeDocument/2006/relationships/hyperlink" Target="http://www.briand-sas.fr" TargetMode="External"/><Relationship  Id="rId11608" Type="http://schemas.openxmlformats.org/officeDocument/2006/relationships/hyperlink" Target="http://www.linkedin.com/in/romaricgomart" TargetMode="External"/><Relationship  Id="rId11609" Type="http://schemas.openxmlformats.org/officeDocument/2006/relationships/hyperlink" Target="http://www.paintup.fr" TargetMode="External"/><Relationship  Id="rId1161" Type="http://schemas.openxmlformats.org/officeDocument/2006/relationships/hyperlink" Target="http://www.linkedin.com/in/linda-mabille-09333820" TargetMode="External"/><Relationship  Id="rId11610" Type="http://schemas.openxmlformats.org/officeDocument/2006/relationships/hyperlink" Target="http://www.linkedin.com/in/fabrice-maindron-72a56b3" TargetMode="External"/><Relationship  Id="rId11611" Type="http://schemas.openxmlformats.org/officeDocument/2006/relationships/hyperlink" Target="http://www.maindron.fr" TargetMode="External"/><Relationship  Id="rId11612" Type="http://schemas.openxmlformats.org/officeDocument/2006/relationships/hyperlink" Target="http://www.linkedin.com/in/ludovic-v%c3%a9rit%c3%a9-0872262" TargetMode="External"/><Relationship  Id="rId11613" Type="http://schemas.openxmlformats.org/officeDocument/2006/relationships/hyperlink" Target="http://www.vac-location.com" TargetMode="External"/><Relationship  Id="rId11614" Type="http://schemas.openxmlformats.org/officeDocument/2006/relationships/hyperlink" Target="http://www.linkedin.com/in/olivier-riom-24b52110" TargetMode="External"/><Relationship  Id="rId11615" Type="http://schemas.openxmlformats.org/officeDocument/2006/relationships/hyperlink" Target="http://www.vivolum.fr" TargetMode="External"/><Relationship  Id="rId11616" Type="http://schemas.openxmlformats.org/officeDocument/2006/relationships/hyperlink" Target="http://www.linkedin.com/in/franck-vandaele-761540106" TargetMode="External"/><Relationship  Id="rId11617" Type="http://schemas.openxmlformats.org/officeDocument/2006/relationships/hyperlink" Target="http://www.tecobat.fr" TargetMode="External"/><Relationship  Id="rId11618" Type="http://schemas.openxmlformats.org/officeDocument/2006/relationships/hyperlink" Target="http://www.linkedin.com/in/marc-guerin-23240a88" TargetMode="External"/><Relationship  Id="rId11619" Type="http://schemas.openxmlformats.org/officeDocument/2006/relationships/hyperlink" Target="http://www.sv-miroiterie.fr" TargetMode="External"/><Relationship  Id="rId1162" Type="http://schemas.openxmlformats.org/officeDocument/2006/relationships/hyperlink" Target="http://www.rivieracollections.com" TargetMode="External"/><Relationship  Id="rId11620" Type="http://schemas.openxmlformats.org/officeDocument/2006/relationships/hyperlink" Target="http://www.linkedin.com/in/vincent-girard-a22372174" TargetMode="External"/><Relationship  Id="rId11621" Type="http://schemas.openxmlformats.org/officeDocument/2006/relationships/hyperlink" Target="http://www.linconyl.com" TargetMode="External"/><Relationship  Id="rId11622" Type="http://schemas.openxmlformats.org/officeDocument/2006/relationships/hyperlink" Target="http://www.linkedin.com/in/fr%c3%a9d%c3%a9ric-carre-sa" TargetMode="External"/><Relationship  Id="rId11623" Type="http://schemas.openxmlformats.org/officeDocument/2006/relationships/hyperlink" Target="http://www.carre-sa.com" TargetMode="External"/><Relationship  Id="rId11624" Type="http://schemas.openxmlformats.org/officeDocument/2006/relationships/hyperlink" Target="http://www.linkedin.com/in/thomas-beck-86174282" TargetMode="External"/><Relationship  Id="rId11625" Type="http://schemas.openxmlformats.org/officeDocument/2006/relationships/hyperlink" Target="http://www.sotravest.fr" TargetMode="External"/><Relationship  Id="rId11626" Type="http://schemas.openxmlformats.org/officeDocument/2006/relationships/hyperlink" Target="http://www.linkedin.com/in/ludovic-olesinski-214887128" TargetMode="External"/><Relationship  Id="rId11627" Type="http://schemas.openxmlformats.org/officeDocument/2006/relationships/hyperlink" Target="http://www.batiloc.com" TargetMode="External"/><Relationship  Id="rId11628" Type="http://schemas.openxmlformats.org/officeDocument/2006/relationships/hyperlink" Target="http://www.linkedin.com/in/francis-leduc-356219100" TargetMode="External"/><Relationship  Id="rId11629" Type="http://schemas.openxmlformats.org/officeDocument/2006/relationships/hyperlink" Target="http://www.verandaline.com" TargetMode="External"/><Relationship  Id="rId1163" Type="http://schemas.openxmlformats.org/officeDocument/2006/relationships/hyperlink" Target="http://www.linkedin.com/in/marine-billiard-065725" TargetMode="External"/><Relationship  Id="rId11630" Type="http://schemas.openxmlformats.org/officeDocument/2006/relationships/hyperlink" Target="http://www.linkedin.com/in/joseph-chafey-9aa880a9" TargetMode="External"/><Relationship  Id="rId11631" Type="http://schemas.openxmlformats.org/officeDocument/2006/relationships/hyperlink" Target="http://www.alliance-economie.fr" TargetMode="External"/><Relationship  Id="rId11632" Type="http://schemas.openxmlformats.org/officeDocument/2006/relationships/hyperlink" Target="http://www.linkedin.com/in/gregory-lefevre" TargetMode="External"/><Relationship  Id="rId11633" Type="http://schemas.openxmlformats.org/officeDocument/2006/relationships/hyperlink" Target="http://www.bermax-constructions.fr" TargetMode="External"/><Relationship  Id="rId11634" Type="http://schemas.openxmlformats.org/officeDocument/2006/relationships/hyperlink" Target="http://www.linkedin.com/in/mehdi-zennaf-100aa21a6" TargetMode="External"/><Relationship  Id="rId11635" Type="http://schemas.openxmlformats.org/officeDocument/2006/relationships/hyperlink" Target="http://www.oxyingenierie.com" TargetMode="External"/><Relationship  Id="rId11636" Type="http://schemas.openxmlformats.org/officeDocument/2006/relationships/hyperlink" Target="http://www.linkedin.com/in/hugo-brandizi" TargetMode="External"/><Relationship  Id="rId11637" Type="http://schemas.openxmlformats.org/officeDocument/2006/relationships/hyperlink" Target="http://www.groupebrandizi.fr" TargetMode="External"/><Relationship  Id="rId11638" Type="http://schemas.openxmlformats.org/officeDocument/2006/relationships/hyperlink" Target="http://www.linkedin.com/in/nicolas-faure-bab04018" TargetMode="External"/><Relationship  Id="rId11639" Type="http://schemas.openxmlformats.org/officeDocument/2006/relationships/hyperlink" Target="http://www.globalis-btp.fr" TargetMode="External"/><Relationship  Id="rId1164" Type="http://schemas.openxmlformats.org/officeDocument/2006/relationships/hyperlink" Target="http://www.sainthonore-cleaning.com" TargetMode="External"/><Relationship  Id="rId11640" Type="http://schemas.openxmlformats.org/officeDocument/2006/relationships/hyperlink" Target="http://monprojetbois.com" TargetMode="External"/><Relationship  Id="rId11641" Type="http://schemas.openxmlformats.org/officeDocument/2006/relationships/hyperlink" Target="http://www.linkedin.com/in/benoit-bouchard-249122102" TargetMode="External"/><Relationship  Id="rId11642" Type="http://schemas.openxmlformats.org/officeDocument/2006/relationships/hyperlink" Target="http://www.monprojetbois.com" TargetMode="External"/><Relationship  Id="rId11643" Type="http://schemas.openxmlformats.org/officeDocument/2006/relationships/hyperlink" Target="http://www.linkedin.com/in/franck-raimondo-038322120" TargetMode="External"/><Relationship  Id="rId11644" Type="http://schemas.openxmlformats.org/officeDocument/2006/relationships/hyperlink" Target="http://www.isole-plus.fr" TargetMode="External"/><Relationship  Id="rId11645" Type="http://schemas.openxmlformats.org/officeDocument/2006/relationships/hyperlink" Target="http://www.linkedin.com/in/olivier-boubat-3a536063" TargetMode="External"/><Relationship  Id="rId11646" Type="http://schemas.openxmlformats.org/officeDocument/2006/relationships/hyperlink" Target="http://www.boubatecoenergie.fr" TargetMode="External"/><Relationship  Id="rId11647" Type="http://schemas.openxmlformats.org/officeDocument/2006/relationships/hyperlink" Target="http://www.linkedin.com/in/s%c3%a9bastien-marchi-b0400393" TargetMode="External"/><Relationship  Id="rId11648" Type="http://schemas.openxmlformats.org/officeDocument/2006/relationships/hyperlink" Target="http://www.cyprium.fr" TargetMode="External"/><Relationship  Id="rId11649" Type="http://schemas.openxmlformats.org/officeDocument/2006/relationships/hyperlink" Target="http://www.linkedin.com/in/honor%c3%a9-giancani-bb56b570" TargetMode="External"/><Relationship  Id="rId1165" Type="http://schemas.openxmlformats.org/officeDocument/2006/relationships/hyperlink" Target="http://www.linkedin.com/in/kader-jawneh-3b707275" TargetMode="External"/><Relationship  Id="rId11650" Type="http://schemas.openxmlformats.org/officeDocument/2006/relationships/hyperlink" Target="http://www.g1000l.com" TargetMode="External"/><Relationship  Id="rId11651" Type="http://schemas.openxmlformats.org/officeDocument/2006/relationships/hyperlink" Target="http://www.linkedin.com/in/estelle-poisson-273b241ab" TargetMode="External"/><Relationship  Id="rId11652" Type="http://schemas.openxmlformats.org/officeDocument/2006/relationships/hyperlink" Target="http://www.constellations-studio.com" TargetMode="External"/><Relationship  Id="rId11653" Type="http://schemas.openxmlformats.org/officeDocument/2006/relationships/hyperlink" Target="http://www.linkedin.com/in/nrenous" TargetMode="External"/><Relationship  Id="rId11654" Type="http://schemas.openxmlformats.org/officeDocument/2006/relationships/hyperlink" Target="http://www.sgetas.fr" TargetMode="External"/><Relationship  Id="rId11655" Type="http://schemas.openxmlformats.org/officeDocument/2006/relationships/hyperlink" Target="http://www.linkedin.com/in/tony-frango-b8714582" TargetMode="External"/><Relationship  Id="rId11656" Type="http://schemas.openxmlformats.org/officeDocument/2006/relationships/hyperlink" Target="http://www.ifp-pavage.fr" TargetMode="External"/><Relationship  Id="rId11657" Type="http://schemas.openxmlformats.org/officeDocument/2006/relationships/hyperlink" Target="http://www.linkedin.com/in/alexis-poisson-916649130" TargetMode="External"/><Relationship  Id="rId11658" Type="http://schemas.openxmlformats.org/officeDocument/2006/relationships/hyperlink" Target="http://www.patrickpoisson.com" TargetMode="External"/><Relationship  Id="rId11659" Type="http://schemas.openxmlformats.org/officeDocument/2006/relationships/hyperlink" Target="http://www.linkedin.com/in/j%c3%a9r%c3%b4me-des-buttes-86ab231" TargetMode="External"/><Relationship  Id="rId1166" Type="http://schemas.openxmlformats.org/officeDocument/2006/relationships/hyperlink" Target="http://www.afriknfusion.fr" TargetMode="External"/><Relationship  Id="rId11660" Type="http://schemas.openxmlformats.org/officeDocument/2006/relationships/hyperlink" Target="http://www.kemica-coatings.com" TargetMode="External"/><Relationship  Id="rId11661" Type="http://schemas.openxmlformats.org/officeDocument/2006/relationships/hyperlink" Target="http://www.linkedin.com/in/antoine-catry-19769111b" TargetMode="External"/><Relationship  Id="rId11662" Type="http://schemas.openxmlformats.org/officeDocument/2006/relationships/hyperlink" Target="http://www.alca.fr" TargetMode="External"/><Relationship  Id="rId11663" Type="http://schemas.openxmlformats.org/officeDocument/2006/relationships/hyperlink" Target="http://www.linkedin.com/in/jo%c3%abl-courbin-b31ab5b6" TargetMode="External"/><Relationship  Id="rId11664" Type="http://schemas.openxmlformats.org/officeDocument/2006/relationships/hyperlink" Target="http://www.triangle-horizon.com" TargetMode="External"/><Relationship  Id="rId11665" Type="http://schemas.openxmlformats.org/officeDocument/2006/relationships/hyperlink" Target="http://www.linkedin.com/in/fabrice-guignard-497b25100" TargetMode="External"/><Relationship  Id="rId11666" Type="http://schemas.openxmlformats.org/officeDocument/2006/relationships/hyperlink" Target="http://www.roquet.fr" TargetMode="External"/><Relationship  Id="rId11667" Type="http://schemas.openxmlformats.org/officeDocument/2006/relationships/hyperlink" Target="http://www.linkedin.com/in/thierry-marty-208251b6" TargetMode="External"/><Relationship  Id="rId11668" Type="http://schemas.openxmlformats.org/officeDocument/2006/relationships/hyperlink" Target="http://www.toitforezien.fr" TargetMode="External"/><Relationship  Id="rId11669" Type="http://schemas.openxmlformats.org/officeDocument/2006/relationships/hyperlink" Target="http://www.linkedin.com/in/thierry-gaillot-73a380160" TargetMode="External"/><Relationship  Id="rId1167" Type="http://schemas.openxmlformats.org/officeDocument/2006/relationships/hyperlink" Target="http://www.linkedin.com/in/jean-baptiste-meusnier-22aa7816" TargetMode="External"/><Relationship  Id="rId11670" Type="http://schemas.openxmlformats.org/officeDocument/2006/relationships/hyperlink" Target="http://www.betag.fr" TargetMode="External"/><Relationship  Id="rId11671" Type="http://schemas.openxmlformats.org/officeDocument/2006/relationships/hyperlink" Target="http://www.linkedin.com/in/jean-fran%c3%a7ois-morvan" TargetMode="External"/><Relationship  Id="rId11672" Type="http://schemas.openxmlformats.org/officeDocument/2006/relationships/hyperlink" Target="http://www.proclim.fr" TargetMode="External"/><Relationship  Id="rId11673" Type="http://schemas.openxmlformats.org/officeDocument/2006/relationships/hyperlink" Target="http://www.linkedin.com/in/julien-clain-159023233" TargetMode="External"/><Relationship  Id="rId11674" Type="http://schemas.openxmlformats.org/officeDocument/2006/relationships/hyperlink" Target="http://www.barcolair.com" TargetMode="External"/><Relationship  Id="rId11675" Type="http://schemas.openxmlformats.org/officeDocument/2006/relationships/hyperlink" Target="http://www.linkedin.com/in/patrick-boland-a36229267" TargetMode="External"/><Relationship  Id="rId11676" Type="http://schemas.openxmlformats.org/officeDocument/2006/relationships/hyperlink" Target="http://www.ecec.fr" TargetMode="External"/><Relationship  Id="rId11677" Type="http://schemas.openxmlformats.org/officeDocument/2006/relationships/hyperlink" Target="http://www.linkedin.com/in/fr%c3%a9d%c3%a9ric-gaget-9623a2a7" TargetMode="External"/><Relationship  Id="rId11678" Type="http://schemas.openxmlformats.org/officeDocument/2006/relationships/hyperlink" Target="http://www.flipo.fr" TargetMode="External"/><Relationship  Id="rId11679" Type="http://schemas.openxmlformats.org/officeDocument/2006/relationships/hyperlink" Target="http://www.linkedin.com/in/r%c3%a9mi-senegas-b9ba6417b" TargetMode="External"/><Relationship  Id="rId1168" Type="http://schemas.openxmlformats.org/officeDocument/2006/relationships/hyperlink" Target="http://www.kodawari-ramen.com" TargetMode="External"/><Relationship  Id="rId11680" Type="http://schemas.openxmlformats.org/officeDocument/2006/relationships/hyperlink" Target="http://www.societe-senelec.fr" TargetMode="External"/><Relationship  Id="rId11681" Type="http://schemas.openxmlformats.org/officeDocument/2006/relationships/hyperlink" Target="http://www.linkedin.com/in/boris-garabos-414907147" TargetMode="External"/><Relationship  Id="rId11682" Type="http://schemas.openxmlformats.org/officeDocument/2006/relationships/hyperlink" Target="http://www.garabos.com" TargetMode="External"/><Relationship  Id="rId11683" Type="http://schemas.openxmlformats.org/officeDocument/2006/relationships/hyperlink" Target="http://www.linkedin.com/in/pakminn-nhou-2b768913a" TargetMode="External"/><Relationship  Id="rId11684" Type="http://schemas.openxmlformats.org/officeDocument/2006/relationships/hyperlink" Target="http://www.adveneris.com" TargetMode="External"/><Relationship  Id="rId11685" Type="http://schemas.openxmlformats.org/officeDocument/2006/relationships/hyperlink" Target="http://www.linkedin.com/in/dimitri-moine-b4994028" TargetMode="External"/><Relationship  Id="rId11686" Type="http://schemas.openxmlformats.org/officeDocument/2006/relationships/hyperlink" Target="http://www.d2mgroupe.fr" TargetMode="External"/><Relationship  Id="rId11687" Type="http://schemas.openxmlformats.org/officeDocument/2006/relationships/hyperlink" Target="http://www.linkedin.com/in/florent-bacci-16118613a" TargetMode="External"/><Relationship  Id="rId11688" Type="http://schemas.openxmlformats.org/officeDocument/2006/relationships/hyperlink" Target="http://www.bourgservicesbatiment.fr" TargetMode="External"/><Relationship  Id="rId11689" Type="http://schemas.openxmlformats.org/officeDocument/2006/relationships/hyperlink" Target="http://www.linkedin.com/in/camille-pontonnier-719176131" TargetMode="External"/><Relationship  Id="rId1169" Type="http://schemas.openxmlformats.org/officeDocument/2006/relationships/hyperlink" Target="http://www.linkedin.com/in/ingrid-chehlaoui" TargetMode="External"/><Relationship  Id="rId11690" Type="http://schemas.openxmlformats.org/officeDocument/2006/relationships/hyperlink" Target="http://www.aps-conception.fr" TargetMode="External"/><Relationship  Id="rId11691" Type="http://schemas.openxmlformats.org/officeDocument/2006/relationships/hyperlink" Target="http://www.linkedin.com/in/laurent-marcal-aa630a10" TargetMode="External"/><Relationship  Id="rId11692" Type="http://schemas.openxmlformats.org/officeDocument/2006/relationships/hyperlink" Target="http://www.sb-tp.fr" TargetMode="External"/><Relationship  Id="rId11693" Type="http://schemas.openxmlformats.org/officeDocument/2006/relationships/hyperlink" Target="http://www.linkedin.com/in/quentin-ravera-1ab85292" TargetMode="External"/><Relationship  Id="rId11694" Type="http://schemas.openxmlformats.org/officeDocument/2006/relationships/hyperlink" Target="http://www.carre-construction.com" TargetMode="External"/><Relationship  Id="rId11695" Type="http://schemas.openxmlformats.org/officeDocument/2006/relationships/hyperlink" Target="http://www.linkedin.com/in/remi-dorangeon-78346146" TargetMode="External"/><Relationship  Id="rId11696" Type="http://schemas.openxmlformats.org/officeDocument/2006/relationships/hyperlink" Target="http://www.hugo-tech.com" TargetMode="External"/><Relationship  Id="rId11697" Type="http://schemas.openxmlformats.org/officeDocument/2006/relationships/hyperlink" Target="http://www.linkedin.com/in/jeangael-madjere" TargetMode="External"/><Relationship  Id="rId11698" Type="http://schemas.openxmlformats.org/officeDocument/2006/relationships/hyperlink" Target="http://www.frenchbimconnect.fr" TargetMode="External"/><Relationship  Id="rId11699" Type="http://schemas.openxmlformats.org/officeDocument/2006/relationships/hyperlink" Target="http://www.linkedin.com/in/fabien-landais-42b09b218" TargetMode="External"/><Relationship  Id="rId117" Type="http://schemas.openxmlformats.org/officeDocument/2006/relationships/hyperlink" Target="http://www.dlcs.fr" TargetMode="External"/><Relationship  Id="rId1170" Type="http://schemas.openxmlformats.org/officeDocument/2006/relationships/hyperlink" Target="http://www.kubri-restaurant.com" TargetMode="External"/><Relationship  Id="rId11700" Type="http://schemas.openxmlformats.org/officeDocument/2006/relationships/hyperlink" Target="http://www.groupelandais.com" TargetMode="External"/><Relationship  Id="rId11701" Type="http://schemas.openxmlformats.org/officeDocument/2006/relationships/hyperlink" Target="http://www.linkedin.com/in/zahed-dhouibi" TargetMode="External"/><Relationship  Id="rId11702" Type="http://schemas.openxmlformats.org/officeDocument/2006/relationships/hyperlink" Target="http://www.growline.fr" TargetMode="External"/><Relationship  Id="rId11703" Type="http://schemas.openxmlformats.org/officeDocument/2006/relationships/hyperlink" Target="http://www.linkedin.com/in/jm-ellias-82940495" TargetMode="External"/><Relationship  Id="rId11704" Type="http://schemas.openxmlformats.org/officeDocument/2006/relationships/hyperlink" Target="http://www.jme-ing.fr" TargetMode="External"/><Relationship  Id="rId11705" Type="http://schemas.openxmlformats.org/officeDocument/2006/relationships/hyperlink" Target="http://www.linkedin.com/in/thibaut-tamp%c3%a9-4779a3" TargetMode="External"/><Relationship  Id="rId11706" Type="http://schemas.openxmlformats.org/officeDocument/2006/relationships/hyperlink" Target="http://www.locapal.fr" TargetMode="External"/><Relationship  Id="rId11707" Type="http://schemas.openxmlformats.org/officeDocument/2006/relationships/hyperlink" Target="http://www.linkedin.com/in/c%c3%a9dric-fernandez-aa22941a4" TargetMode="External"/><Relationship  Id="rId11708" Type="http://schemas.openxmlformats.org/officeDocument/2006/relationships/hyperlink" Target="http://www.atelier-fabrilis.fr" TargetMode="External"/><Relationship  Id="rId11709" Type="http://schemas.openxmlformats.org/officeDocument/2006/relationships/hyperlink" Target="http://www.linkedin.com/in/rolandtournier" TargetMode="External"/><Relationship  Id="rId1171" Type="http://schemas.openxmlformats.org/officeDocument/2006/relationships/hyperlink" Target="http://www.linkedin.com/in/claire-gaudin-a89704130" TargetMode="External"/><Relationship  Id="rId11710" Type="http://schemas.openxmlformats.org/officeDocument/2006/relationships/hyperlink" Target="http://www.ingevin.com" TargetMode="External"/><Relationship  Id="rId11711" Type="http://schemas.openxmlformats.org/officeDocument/2006/relationships/hyperlink" Target="http://www.linkedin.com/in/jeffrey-robert-71701b116" TargetMode="External"/><Relationship  Id="rId11712" Type="http://schemas.openxmlformats.org/officeDocument/2006/relationships/hyperlink" Target="http://www.linkedin.com/in/adrien-martin-9b6b5a5a" TargetMode="External"/><Relationship  Id="rId11713" Type="http://schemas.openxmlformats.org/officeDocument/2006/relationships/hyperlink" Target="http://www.archidvisor.com" TargetMode="External"/><Relationship  Id="rId11714" Type="http://schemas.openxmlformats.org/officeDocument/2006/relationships/hyperlink" Target="http://www.linkedin.com/in/giovanni-ficca-6b8497a2" TargetMode="External"/><Relationship  Id="rId11715" Type="http://schemas.openxmlformats.org/officeDocument/2006/relationships/hyperlink" Target="http://www.firodi.fr" TargetMode="External"/><Relationship  Id="rId11716" Type="http://schemas.openxmlformats.org/officeDocument/2006/relationships/hyperlink" Target="http://www.linkedin.com/in/yvan-chaussat-291289ab" TargetMode="External"/><Relationship  Id="rId11717" Type="http://schemas.openxmlformats.org/officeDocument/2006/relationships/hyperlink" Target="http://www.nr-conseil.net" TargetMode="External"/><Relationship  Id="rId11718" Type="http://schemas.openxmlformats.org/officeDocument/2006/relationships/hyperlink" Target="http://www.linkedin.com/in/youcef-kassoul-861a68164" TargetMode="External"/><Relationship  Id="rId11719" Type="http://schemas.openxmlformats.org/officeDocument/2006/relationships/hyperlink" Target="http://www.oxiumgroup.fr" TargetMode="External"/><Relationship  Id="rId1172" Type="http://schemas.openxmlformats.org/officeDocument/2006/relationships/hyperlink" Target="http://www.linkedin.com/in/bensauvage" TargetMode="External"/><Relationship  Id="rId11720" Type="http://schemas.openxmlformats.org/officeDocument/2006/relationships/hyperlink" Target="http://www.linkedin.com/in/youness-bourimech-41278a7b" TargetMode="External"/><Relationship  Id="rId11721" Type="http://schemas.openxmlformats.org/officeDocument/2006/relationships/hyperlink" Target="http://www.bsgmultiservices.fr" TargetMode="External"/><Relationship  Id="rId11722" Type="http://schemas.openxmlformats.org/officeDocument/2006/relationships/hyperlink" Target="http://www.linkedin.com/in/sandrine-penneau-61353650" TargetMode="External"/><Relationship  Id="rId11723" Type="http://schemas.openxmlformats.org/officeDocument/2006/relationships/hyperlink" Target="http://www.boisseau-batiment.com" TargetMode="External"/><Relationship  Id="rId11724" Type="http://schemas.openxmlformats.org/officeDocument/2006/relationships/hyperlink" Target="http://www.linkedin.com/in/paul-philipponneau-bb537b106" TargetMode="External"/><Relationship  Id="rId11725" Type="http://schemas.openxmlformats.org/officeDocument/2006/relationships/hyperlink" Target="http://www.lfgroupe.fr" TargetMode="External"/><Relationship  Id="rId11726" Type="http://schemas.openxmlformats.org/officeDocument/2006/relationships/hyperlink" Target="http://www.linkedin.com/in/mehdi-lahbib-342905155" TargetMode="External"/><Relationship  Id="rId11727" Type="http://schemas.openxmlformats.org/officeDocument/2006/relationships/hyperlink" Target="http://www.l2m-travaux.fr" TargetMode="External"/><Relationship  Id="rId11728" Type="http://schemas.openxmlformats.org/officeDocument/2006/relationships/hyperlink" Target="http://www.linkedin.com/in/laurent-bonnaire-4b51b724" TargetMode="External"/><Relationship  Id="rId11729" Type="http://schemas.openxmlformats.org/officeDocument/2006/relationships/hyperlink" Target="http://www.fasterlab.fr" TargetMode="External"/><Relationship  Id="rId1173" Type="http://schemas.openxmlformats.org/officeDocument/2006/relationships/hyperlink" Target="http://www.hospitalitysr.com" TargetMode="External"/><Relationship  Id="rId11730" Type="http://schemas.openxmlformats.org/officeDocument/2006/relationships/hyperlink" Target="http://www.linkedin.com/in/david-houry-68732a7a" TargetMode="External"/><Relationship  Id="rId11731" Type="http://schemas.openxmlformats.org/officeDocument/2006/relationships/hyperlink" Target="http://www.building-sa.fr" TargetMode="External"/><Relationship  Id="rId11732" Type="http://schemas.openxmlformats.org/officeDocument/2006/relationships/hyperlink" Target="http://www.linkedin.com/in/francoisbouvier" TargetMode="External"/><Relationship  Id="rId11733" Type="http://schemas.openxmlformats.org/officeDocument/2006/relationships/hyperlink" Target="http://www.altius.fr" TargetMode="External"/><Relationship  Id="rId11734" Type="http://schemas.openxmlformats.org/officeDocument/2006/relationships/hyperlink" Target="http://www.linkedin.com/in/jeremy-mazille-082626a4" TargetMode="External"/><Relationship  Id="rId11735" Type="http://schemas.openxmlformats.org/officeDocument/2006/relationships/hyperlink" Target="http://www.maisonsvalentine.fr" TargetMode="External"/><Relationship  Id="rId11736" Type="http://schemas.openxmlformats.org/officeDocument/2006/relationships/hyperlink" Target="http://www.linkedin.com/in/ange-garcia-35449664" TargetMode="External"/><Relationship  Id="rId11737" Type="http://schemas.openxmlformats.org/officeDocument/2006/relationships/hyperlink" Target="http://www.synergisud.fr" TargetMode="External"/><Relationship  Id="rId11738" Type="http://schemas.openxmlformats.org/officeDocument/2006/relationships/hyperlink" Target="http://www.linkedin.com/in/sylvain-girardet" TargetMode="External"/><Relationship  Id="rId11739" Type="http://schemas.openxmlformats.org/officeDocument/2006/relationships/hyperlink" Target="http://www.groupe-plenetude.fr" TargetMode="External"/><Relationship  Id="rId1174" Type="http://schemas.openxmlformats.org/officeDocument/2006/relationships/hyperlink" Target="http://www.linkedin.com/in/marine-ricklin-0bb87228" TargetMode="External"/><Relationship  Id="rId11740" Type="http://schemas.openxmlformats.org/officeDocument/2006/relationships/hyperlink" Target="http://www.linkedin.com/in/patrick-ducrocq-73179175" TargetMode="External"/><Relationship  Id="rId11741" Type="http://schemas.openxmlformats.org/officeDocument/2006/relationships/hyperlink" Target="http://www.buray.fr" TargetMode="External"/><Relationship  Id="rId11742" Type="http://schemas.openxmlformats.org/officeDocument/2006/relationships/hyperlink" Target="http://www.linkedin.com/in/laurent-rubio-282a4688" TargetMode="External"/><Relationship  Id="rId11743" Type="http://schemas.openxmlformats.org/officeDocument/2006/relationships/hyperlink" Target="http://www.ega-tp.fr" TargetMode="External"/><Relationship  Id="rId11744" Type="http://schemas.openxmlformats.org/officeDocument/2006/relationships/hyperlink" Target="http://www.linkedin.com/in/delphine-reguillon-b025b1136" TargetMode="External"/><Relationship  Id="rId11745" Type="http://schemas.openxmlformats.org/officeDocument/2006/relationships/hyperlink" Target="http://www.groupe-reguillon.fr" TargetMode="External"/><Relationship  Id="rId11746" Type="http://schemas.openxmlformats.org/officeDocument/2006/relationships/hyperlink" Target="http://www.linkedin.com/in/laurent-raulet-b39b9150" TargetMode="External"/><Relationship  Id="rId11747" Type="http://schemas.openxmlformats.org/officeDocument/2006/relationships/hyperlink" Target="http://www.la-henonnaise.fr" TargetMode="External"/><Relationship  Id="rId11748" Type="http://schemas.openxmlformats.org/officeDocument/2006/relationships/hyperlink" Target="http://www.linkedin.com/in/stephaneastic" TargetMode="External"/><Relationship  Id="rId11749" Type="http://schemas.openxmlformats.org/officeDocument/2006/relationships/hyperlink" Target="http://www.technocarbon.tech" TargetMode="External"/><Relationship  Id="rId1175" Type="http://schemas.openxmlformats.org/officeDocument/2006/relationships/hyperlink" Target="http://www.linkedin.com/in/joffrey-asselin-92983b58" TargetMode="External"/><Relationship  Id="rId11750" Type="http://schemas.openxmlformats.org/officeDocument/2006/relationships/hyperlink" Target="http://www.linkedin.com/in/tristan-wagner-a83236161" TargetMode="External"/><Relationship  Id="rId11751" Type="http://schemas.openxmlformats.org/officeDocument/2006/relationships/hyperlink" Target="http://www.gifetal.fr" TargetMode="External"/><Relationship  Id="rId11752" Type="http://schemas.openxmlformats.org/officeDocument/2006/relationships/hyperlink" Target="http://www.linkedin.com/in/romain-thoumieux-569586a5" TargetMode="External"/><Relationship  Id="rId11753" Type="http://schemas.openxmlformats.org/officeDocument/2006/relationships/hyperlink" Target="http://www.linkedin.com/in/damien-wyseur-a5b692132" TargetMode="External"/><Relationship  Id="rId11754" Type="http://schemas.openxmlformats.org/officeDocument/2006/relationships/hyperlink" Target="http://www.dupriezsa.be" TargetMode="External"/><Relationship  Id="rId11755" Type="http://schemas.openxmlformats.org/officeDocument/2006/relationships/hyperlink" Target="http://www.linkedin.com/in/no%c3%abl-lobre-1864121a2" TargetMode="External"/><Relationship  Id="rId11756" Type="http://schemas.openxmlformats.org/officeDocument/2006/relationships/hyperlink" Target="http://www.sorreba-technologie.fr" TargetMode="External"/><Relationship  Id="rId11757" Type="http://schemas.openxmlformats.org/officeDocument/2006/relationships/hyperlink" Target="http://www.linkedin.com/in/bertrand-roux-a8245867" TargetMode="External"/><Relationship  Id="rId11758" Type="http://schemas.openxmlformats.org/officeDocument/2006/relationships/hyperlink" Target="http://www.r-o-m.fr" TargetMode="External"/><Relationship  Id="rId11759" Type="http://schemas.openxmlformats.org/officeDocument/2006/relationships/hyperlink" Target="http://www.linkedin.com/in/ga%c3%abtan-gindre-3b688714b" TargetMode="External"/><Relationship  Id="rId1176" Type="http://schemas.openxmlformats.org/officeDocument/2006/relationships/hyperlink" Target="http://www.lateliersaisonnier.com" TargetMode="External"/><Relationship  Id="rId11760" Type="http://schemas.openxmlformats.org/officeDocument/2006/relationships/hyperlink" Target="http://www.immoworks.fr" TargetMode="External"/><Relationship  Id="rId11761" Type="http://schemas.openxmlformats.org/officeDocument/2006/relationships/hyperlink" Target="http://www.linkedin.com/in/philippe-sagory-1501a57b" TargetMode="External"/><Relationship  Id="rId11762" Type="http://schemas.openxmlformats.org/officeDocument/2006/relationships/hyperlink" Target="http://www.brard-entreprise.fr" TargetMode="External"/><Relationship  Id="rId11763" Type="http://schemas.openxmlformats.org/officeDocument/2006/relationships/hyperlink" Target="http://www.linkedin.com/in/fabrice-garnier-6338b4166" TargetMode="External"/><Relationship  Id="rId11764" Type="http://schemas.openxmlformats.org/officeDocument/2006/relationships/hyperlink" Target="http://www.pic-sa.com" TargetMode="External"/><Relationship  Id="rId11765" Type="http://schemas.openxmlformats.org/officeDocument/2006/relationships/hyperlink" Target="http://www.linkedin.com/in/laurentprelat" TargetMode="External"/><Relationship  Id="rId11766" Type="http://schemas.openxmlformats.org/officeDocument/2006/relationships/hyperlink" Target="http://www.moreel-montage.fr" TargetMode="External"/><Relationship  Id="rId11767" Type="http://schemas.openxmlformats.org/officeDocument/2006/relationships/hyperlink" Target="http://www.linkedin.com/in/stephen-fourcade-3826a1162" TargetMode="External"/><Relationship  Id="rId11768" Type="http://schemas.openxmlformats.org/officeDocument/2006/relationships/hyperlink" Target="http://www.adre-groupe.fr" TargetMode="External"/><Relationship  Id="rId11769" Type="http://schemas.openxmlformats.org/officeDocument/2006/relationships/hyperlink" Target="http://www.linkedin.com/in/edouard-bisbrouck-11a222b2" TargetMode="External"/><Relationship  Id="rId1177" Type="http://schemas.openxmlformats.org/officeDocument/2006/relationships/hyperlink" Target="http://www.linkedin.com/in/hadrien-pujol-6a5b811" TargetMode="External"/><Relationship  Id="rId11770" Type="http://schemas.openxmlformats.org/officeDocument/2006/relationships/hyperlink" Target="http://www.edwood.fr" TargetMode="External"/><Relationship  Id="rId11771" Type="http://schemas.openxmlformats.org/officeDocument/2006/relationships/hyperlink" Target="http://www.linkedin.com/in/fran%c3%a7ois-thebault-0b3929173" TargetMode="External"/><Relationship  Id="rId11772" Type="http://schemas.openxmlformats.org/officeDocument/2006/relationships/hyperlink" Target="http://www.ouestfondations.fr" TargetMode="External"/><Relationship  Id="rId11773" Type="http://schemas.openxmlformats.org/officeDocument/2006/relationships/hyperlink" Target="http://www.linkedin.com/in/jeanlaurentschaub" TargetMode="External"/><Relationship  Id="rId11774" Type="http://schemas.openxmlformats.org/officeDocument/2006/relationships/hyperlink" Target="http://www.gotrust.fr" TargetMode="External"/><Relationship  Id="rId11775" Type="http://schemas.openxmlformats.org/officeDocument/2006/relationships/hyperlink" Target="http://www.linkedin.com/in/laurence-pilot-26467292" TargetMode="External"/><Relationship  Id="rId11776" Type="http://schemas.openxmlformats.org/officeDocument/2006/relationships/hyperlink" Target="http://www.bourgognecouverture.fr" TargetMode="External"/><Relationship  Id="rId11777" Type="http://schemas.openxmlformats.org/officeDocument/2006/relationships/hyperlink" Target="http://www.linkedin.com/in/r%c3%a9my-gallot-a9444145" TargetMode="External"/><Relationship  Id="rId11778" Type="http://schemas.openxmlformats.org/officeDocument/2006/relationships/hyperlink" Target="http://www.rpb-sl.com" TargetMode="External"/><Relationship  Id="rId11779" Type="http://schemas.openxmlformats.org/officeDocument/2006/relationships/hyperlink" Target="http://www.linkedin.com/in/nicolas-perez-5a516a187" TargetMode="External"/><Relationship  Id="rId1178" Type="http://schemas.openxmlformats.org/officeDocument/2006/relationships/hyperlink" Target="http://www.cite-hotels.com" TargetMode="External"/><Relationship  Id="rId11780" Type="http://schemas.openxmlformats.org/officeDocument/2006/relationships/hyperlink" Target="http://www.h2ouverture.com" TargetMode="External"/><Relationship  Id="rId11781" Type="http://schemas.openxmlformats.org/officeDocument/2006/relationships/hyperlink" Target="http://www.linkedin.com/in/karine-amis-compain-44b165a3" TargetMode="External"/><Relationship  Id="rId11782" Type="http://schemas.openxmlformats.org/officeDocument/2006/relationships/hyperlink" Target="http://www.somensarl.com" TargetMode="External"/><Relationship  Id="rId11783" Type="http://schemas.openxmlformats.org/officeDocument/2006/relationships/hyperlink" Target="http://www.linkedin.com/in/st%c3%a9phane-stragliati-a3ab768a" TargetMode="External"/><Relationship  Id="rId11784" Type="http://schemas.openxmlformats.org/officeDocument/2006/relationships/hyperlink" Target="http://www.ccmt-sas.fr" TargetMode="External"/><Relationship  Id="rId11785" Type="http://schemas.openxmlformats.org/officeDocument/2006/relationships/hyperlink" Target="http://www.linkedin.com/in/hubert-chanet" TargetMode="External"/><Relationship  Id="rId11786" Type="http://schemas.openxmlformats.org/officeDocument/2006/relationships/hyperlink" Target="http://www.cosinus.fr" TargetMode="External"/><Relationship  Id="rId11787" Type="http://schemas.openxmlformats.org/officeDocument/2006/relationships/hyperlink" Target="http://www.linkedin.com/in/patrice-ganchou-10922393" TargetMode="External"/><Relationship  Id="rId11788" Type="http://schemas.openxmlformats.org/officeDocument/2006/relationships/hyperlink" Target="http://www.interisol.fr" TargetMode="External"/><Relationship  Id="rId11789" Type="http://schemas.openxmlformats.org/officeDocument/2006/relationships/hyperlink" Target="http://www.linkedin.com/in/bruno-versaveaud-12454960" TargetMode="External"/><Relationship  Id="rId1179" Type="http://schemas.openxmlformats.org/officeDocument/2006/relationships/hyperlink" Target="http://www.linkedin.com/in/paul-lebas-nocnoc" TargetMode="External"/><Relationship  Id="rId11790" Type="http://schemas.openxmlformats.org/officeDocument/2006/relationships/hyperlink" Target="http://www.groupenba.fr" TargetMode="External"/><Relationship  Id="rId11791" Type="http://schemas.openxmlformats.org/officeDocument/2006/relationships/hyperlink" Target="http://www.linkedin.com/in/j%c3%a9r%c3%a9mie-jacquart-96896b93" TargetMode="External"/><Relationship  Id="rId11792" Type="http://schemas.openxmlformats.org/officeDocument/2006/relationships/hyperlink" Target="http://www.euclid-ing.fr" TargetMode="External"/><Relationship  Id="rId11793" Type="http://schemas.openxmlformats.org/officeDocument/2006/relationships/hyperlink" Target="http://www.linkedin.com/in/alain-prats-ladous-581054163" TargetMode="External"/><Relationship  Id="rId11794" Type="http://schemas.openxmlformats.org/officeDocument/2006/relationships/hyperlink" Target="http://www.femil.fr" TargetMode="External"/><Relationship  Id="rId11795" Type="http://schemas.openxmlformats.org/officeDocument/2006/relationships/hyperlink" Target="http://www.linkedin.com/in/philippe-ecochard-8a14657b" TargetMode="External"/><Relationship  Id="rId11796" Type="http://schemas.openxmlformats.org/officeDocument/2006/relationships/hyperlink" Target="http://www.ecochard-lyon.com" TargetMode="External"/><Relationship  Id="rId11797" Type="http://schemas.openxmlformats.org/officeDocument/2006/relationships/hyperlink" Target="http://www.linkedin.com/in/laurent-vaudier-6332922a9" TargetMode="External"/><Relationship  Id="rId11798" Type="http://schemas.openxmlformats.org/officeDocument/2006/relationships/hyperlink" Target="http://www.menuiserie-darbois.com" TargetMode="External"/><Relationship  Id="rId11799" Type="http://schemas.openxmlformats.org/officeDocument/2006/relationships/hyperlink" Target="http://www.linkedin.com/in/christophe-muller-1b276a46" TargetMode="External"/><Relationship  Id="rId118" Type="http://schemas.openxmlformats.org/officeDocument/2006/relationships/hyperlink" Target="http://www.linkedin.com/in/amaury-henin-4b08997" TargetMode="External"/><Relationship  Id="rId1180" Type="http://schemas.openxmlformats.org/officeDocument/2006/relationships/hyperlink" Target="http://www.nocnoc.fr" TargetMode="External"/><Relationship  Id="rId11800" Type="http://schemas.openxmlformats.org/officeDocument/2006/relationships/hyperlink" Target="http://www.mixcite.fr" TargetMode="External"/><Relationship  Id="rId11801" Type="http://schemas.openxmlformats.org/officeDocument/2006/relationships/hyperlink" Target="http://www.linkedin.com/in/christophe-cella" TargetMode="External"/><Relationship  Id="rId11802" Type="http://schemas.openxmlformats.org/officeDocument/2006/relationships/hyperlink" Target="http://www.resonanceacoustique.com" TargetMode="External"/><Relationship  Id="rId11803" Type="http://schemas.openxmlformats.org/officeDocument/2006/relationships/hyperlink" Target="http://www.linkedin.com/in/c%c3%a9dric-berthelot-894326202" TargetMode="External"/><Relationship  Id="rId11804" Type="http://schemas.openxmlformats.org/officeDocument/2006/relationships/hyperlink" Target="http://www.atlantiqueferconstruction.fr" TargetMode="External"/><Relationship  Id="rId11805" Type="http://schemas.openxmlformats.org/officeDocument/2006/relationships/hyperlink" Target="http://www.linkedin.com/in/toufic-bouras-76b4855b" TargetMode="External"/><Relationship  Id="rId11806" Type="http://schemas.openxmlformats.org/officeDocument/2006/relationships/hyperlink" Target="http://www.h2o-btp.com" TargetMode="External"/><Relationship  Id="rId11807" Type="http://schemas.openxmlformats.org/officeDocument/2006/relationships/hyperlink" Target="http://www.linkedin.com/in/herv%c3%a9-lavache-21836a27b" TargetMode="External"/><Relationship  Id="rId11808" Type="http://schemas.openxmlformats.org/officeDocument/2006/relationships/hyperlink" Target="http://www.stepelec.fr" TargetMode="External"/><Relationship  Id="rId11809" Type="http://schemas.openxmlformats.org/officeDocument/2006/relationships/hyperlink" Target="http://www.linkedin.com/in/patrick-pelletier-707958172" TargetMode="External"/><Relationship  Id="rId1181" Type="http://schemas.openxmlformats.org/officeDocument/2006/relationships/hyperlink" Target="http://www.linkedin.com/in/gr%c3%a9goire-vernhet-b4b12baa" TargetMode="External"/><Relationship  Id="rId11810" Type="http://schemas.openxmlformats.org/officeDocument/2006/relationships/hyperlink" Target="http://www.groupepelletier.fr" TargetMode="External"/><Relationship  Id="rId11811" Type="http://schemas.openxmlformats.org/officeDocument/2006/relationships/hyperlink" Target="http://www.linkedin.com/in/r%c3%a9mi-andre-308a21a9" TargetMode="External"/><Relationship  Id="rId11812" Type="http://schemas.openxmlformats.org/officeDocument/2006/relationships/hyperlink" Target="http://www.e2j.fr" TargetMode="External"/><Relationship  Id="rId11813" Type="http://schemas.openxmlformats.org/officeDocument/2006/relationships/hyperlink" Target="http://www.linkedin.com/in/khaled-cherif" TargetMode="External"/><Relationship  Id="rId11814" Type="http://schemas.openxmlformats.org/officeDocument/2006/relationships/hyperlink" Target="http://www.momi.fr" TargetMode="External"/><Relationship  Id="rId11815" Type="http://schemas.openxmlformats.org/officeDocument/2006/relationships/hyperlink" Target="http://www.linkedin.com/in/matthieu-bruillot-1649161a7" TargetMode="External"/><Relationship  Id="rId11816" Type="http://schemas.openxmlformats.org/officeDocument/2006/relationships/hyperlink" Target="http://www.renov-eco.com" TargetMode="External"/><Relationship  Id="rId11817" Type="http://schemas.openxmlformats.org/officeDocument/2006/relationships/hyperlink" Target="http://www.linkedin.com/in/cyril-bouchet-820804142" TargetMode="External"/><Relationship  Id="rId11818" Type="http://schemas.openxmlformats.org/officeDocument/2006/relationships/hyperlink" Target="http://www.bouchet-vezins.fr" TargetMode="External"/><Relationship  Id="rId11819" Type="http://schemas.openxmlformats.org/officeDocument/2006/relationships/hyperlink" Target="http://www.linkedin.com/in/remyborello" TargetMode="External"/><Relationship  Id="rId1182" Type="http://schemas.openxmlformats.org/officeDocument/2006/relationships/hyperlink" Target="http://www.crrsp.com" TargetMode="External"/><Relationship  Id="rId11820" Type="http://schemas.openxmlformats.org/officeDocument/2006/relationships/hyperlink" Target="http://www.borello-isoclair.com" TargetMode="External"/><Relationship  Id="rId11821" Type="http://schemas.openxmlformats.org/officeDocument/2006/relationships/hyperlink" Target="http://www.linkedin.com/in/georgesfernandes" TargetMode="External"/><Relationship  Id="rId11822" Type="http://schemas.openxmlformats.org/officeDocument/2006/relationships/hyperlink" Target="http://www.ahrpe.fr" TargetMode="External"/><Relationship  Id="rId11823" Type="http://schemas.openxmlformats.org/officeDocument/2006/relationships/hyperlink" Target="http://www.linkedin.com/in/arnaud-samuel-42243b9" TargetMode="External"/><Relationship  Id="rId11824" Type="http://schemas.openxmlformats.org/officeDocument/2006/relationships/hyperlink" Target="http://www.structuriste.com" TargetMode="External"/><Relationship  Id="rId11825" Type="http://schemas.openxmlformats.org/officeDocument/2006/relationships/hyperlink" Target="http://www.linkedin.com/in/fabrice-rivoal-2a4762bb" TargetMode="External"/><Relationship  Id="rId11826" Type="http://schemas.openxmlformats.org/officeDocument/2006/relationships/hyperlink" Target="http://www.artdan.fr" TargetMode="External"/><Relationship  Id="rId11827" Type="http://schemas.openxmlformats.org/officeDocument/2006/relationships/hyperlink" Target="http://www.linkedin.com/in/olivier-boju-5a6a11107" TargetMode="External"/><Relationship  Id="rId11828" Type="http://schemas.openxmlformats.org/officeDocument/2006/relationships/hyperlink" Target="http://www.mco-menuiserie.com" TargetMode="External"/><Relationship  Id="rId11829" Type="http://schemas.openxmlformats.org/officeDocument/2006/relationships/hyperlink" Target="http://www.linkedin.com/in/antoine-hamon-961966105" TargetMode="External"/><Relationship  Id="rId1183" Type="http://schemas.openxmlformats.org/officeDocument/2006/relationships/hyperlink" Target="http://www.linkedin.com/in/magaliavignon" TargetMode="External"/><Relationship  Id="rId11830" Type="http://schemas.openxmlformats.org/officeDocument/2006/relationships/hyperlink" Target="http://www.modulecreation.com" TargetMode="External"/><Relationship  Id="rId11831" Type="http://schemas.openxmlformats.org/officeDocument/2006/relationships/hyperlink" Target="http://www.linkedin.com/in/rodolphe-godin-marketing" TargetMode="External"/><Relationship  Id="rId11832" Type="http://schemas.openxmlformats.org/officeDocument/2006/relationships/hyperlink" Target="http://www.tellierbrisesoleil.com" TargetMode="External"/><Relationship  Id="rId11833" Type="http://schemas.openxmlformats.org/officeDocument/2006/relationships/hyperlink" Target="http://www.linkedin.com/in/no%c3%abl-monteils-a43993159" TargetMode="External"/><Relationship  Id="rId11834" Type="http://schemas.openxmlformats.org/officeDocument/2006/relationships/hyperlink" Target="http://www.martin-monteils.fr" TargetMode="External"/><Relationship  Id="rId11835" Type="http://schemas.openxmlformats.org/officeDocument/2006/relationships/hyperlink" Target="http://www.linkedin.com/in/eric-canon-5a4667130" TargetMode="External"/><Relationship  Id="rId11836" Type="http://schemas.openxmlformats.org/officeDocument/2006/relationships/hyperlink" Target="http://www.schreiber-go.eu" TargetMode="External"/><Relationship  Id="rId11837" Type="http://schemas.openxmlformats.org/officeDocument/2006/relationships/hyperlink" Target="http://www.linkedin.com/in/william-pinto-65341213b" TargetMode="External"/><Relationship  Id="rId11838" Type="http://schemas.openxmlformats.org/officeDocument/2006/relationships/hyperlink" Target="http://www.defimetallerie.fr" TargetMode="External"/><Relationship  Id="rId11839" Type="http://schemas.openxmlformats.org/officeDocument/2006/relationships/hyperlink" Target="http://www.linkedin.com/in/laurent-guinobert" TargetMode="External"/><Relationship  Id="rId1184" Type="http://schemas.openxmlformats.org/officeDocument/2006/relationships/hyperlink" Target="http://www.enamoura.com" TargetMode="External"/><Relationship  Id="rId11840" Type="http://schemas.openxmlformats.org/officeDocument/2006/relationships/hyperlink" Target="http://www.groupe-bage.com" TargetMode="External"/><Relationship  Id="rId11841" Type="http://schemas.openxmlformats.org/officeDocument/2006/relationships/hyperlink" Target="http://www.linkedin.com/in/bastien-devilliers-635749157" TargetMode="External"/><Relationship  Id="rId11842" Type="http://schemas.openxmlformats.org/officeDocument/2006/relationships/hyperlink" Target="http://www.groupe-saint-leonard.fr" TargetMode="External"/><Relationship  Id="rId11843" Type="http://schemas.openxmlformats.org/officeDocument/2006/relationships/hyperlink" Target="http://www.linkedin.com/in/samira-zemani-92b38522a" TargetMode="External"/><Relationship  Id="rId11844" Type="http://schemas.openxmlformats.org/officeDocument/2006/relationships/hyperlink" Target="http://www.dayclim.fr" TargetMode="External"/><Relationship  Id="rId11845" Type="http://schemas.openxmlformats.org/officeDocument/2006/relationships/hyperlink" Target="http://www.linkedin.com/in/christophe-savaton-12387789" TargetMode="External"/><Relationship  Id="rId11846" Type="http://schemas.openxmlformats.org/officeDocument/2006/relationships/hyperlink" Target="http://www.constuctions-ideale-demeure.fr" TargetMode="External"/><Relationship  Id="rId11847" Type="http://schemas.openxmlformats.org/officeDocument/2006/relationships/hyperlink" Target="http://www.linkedin.com/in/james-puel-331b136a" TargetMode="External"/><Relationship  Id="rId11848" Type="http://schemas.openxmlformats.org/officeDocument/2006/relationships/hyperlink" Target="http://www.puel.fr" TargetMode="External"/><Relationship  Id="rId11849" Type="http://schemas.openxmlformats.org/officeDocument/2006/relationships/hyperlink" Target="http://www.linkedin.com/in/maximiliencaglayan" TargetMode="External"/><Relationship  Id="rId1185" Type="http://schemas.openxmlformats.org/officeDocument/2006/relationships/hyperlink" Target="http://www.linkedin.com/in/eric-dudognon-3566757b" TargetMode="External"/><Relationship  Id="rId11850" Type="http://schemas.openxmlformats.org/officeDocument/2006/relationships/hyperlink" Target="http://www.renovamax.fr" TargetMode="External"/><Relationship  Id="rId11851" Type="http://schemas.openxmlformats.org/officeDocument/2006/relationships/hyperlink" Target="http://www.linkedin.com/in/didier-rapha%c3%abl-9ba6b6187" TargetMode="External"/><Relationship  Id="rId11852" Type="http://schemas.openxmlformats.org/officeDocument/2006/relationships/hyperlink" Target="http://www.global-btp.com" TargetMode="External"/><Relationship  Id="rId11853" Type="http://schemas.openxmlformats.org/officeDocument/2006/relationships/hyperlink" Target="http://www.linkedin.com/in/laurent-brand-681502179" TargetMode="External"/><Relationship  Id="rId11854" Type="http://schemas.openxmlformats.org/officeDocument/2006/relationships/hyperlink" Target="http://www.corenovation.fr" TargetMode="External"/><Relationship  Id="rId11855" Type="http://schemas.openxmlformats.org/officeDocument/2006/relationships/hyperlink" Target="http://www.linkedin.com/in/s%c3%a9bastien-chevassus-5a9bb4b3" TargetMode="External"/><Relationship  Id="rId11856" Type="http://schemas.openxmlformats.org/officeDocument/2006/relationships/hyperlink" Target="http://www.konnect-systems-group.com" TargetMode="External"/><Relationship  Id="rId11857" Type="http://schemas.openxmlformats.org/officeDocument/2006/relationships/hyperlink" Target="http://www.linkedin.com/in/guillaume-pin-40b674151" TargetMode="External"/><Relationship  Id="rId11858" Type="http://schemas.openxmlformats.org/officeDocument/2006/relationships/hyperlink" Target="http://www.batif.fr" TargetMode="External"/><Relationship  Id="rId11859" Type="http://schemas.openxmlformats.org/officeDocument/2006/relationships/hyperlink" Target="http://www.linkedin.com/in/olivier-touz%c3%a9-12692012" TargetMode="External"/><Relationship  Id="rId1186" Type="http://schemas.openxmlformats.org/officeDocument/2006/relationships/hyperlink" Target="http://www.linkedin.com/in/antoine-pinelli-153873aa" TargetMode="External"/><Relationship  Id="rId11860" Type="http://schemas.openxmlformats.org/officeDocument/2006/relationships/hyperlink" Target="http://www.husqvarnacp.fr" TargetMode="External"/><Relationship  Id="rId11861" Type="http://schemas.openxmlformats.org/officeDocument/2006/relationships/hyperlink" Target="http://www.linkedin.com/in/roussel-marc-bois" TargetMode="External"/><Relationship  Id="rId11862" Type="http://schemas.openxmlformats.org/officeDocument/2006/relationships/hyperlink" Target="http://www.cmbp.fr" TargetMode="External"/><Relationship  Id="rId11863" Type="http://schemas.openxmlformats.org/officeDocument/2006/relationships/hyperlink" Target="http://www.linkedin.com/in/yann-lebigot-6a118183" TargetMode="External"/><Relationship  Id="rId11864" Type="http://schemas.openxmlformats.org/officeDocument/2006/relationships/hyperlink" Target="http://www.soconer.fr" TargetMode="External"/><Relationship  Id="rId11865" Type="http://schemas.openxmlformats.org/officeDocument/2006/relationships/hyperlink" Target="http://www.linkedin.com/in/st%c3%a9phane-galaud-32541b97" TargetMode="External"/><Relationship  Id="rId11866" Type="http://schemas.openxmlformats.org/officeDocument/2006/relationships/hyperlink" Target="http://www.profil-acro.com" TargetMode="External"/><Relationship  Id="rId11867" Type="http://schemas.openxmlformats.org/officeDocument/2006/relationships/hyperlink" Target="http://www.linkedin.com/in/christophe-sprauel-11b41b224" TargetMode="External"/><Relationship  Id="rId11868" Type="http://schemas.openxmlformats.org/officeDocument/2006/relationships/hyperlink" Target="http://www.speyser.fr" TargetMode="External"/><Relationship  Id="rId11869" Type="http://schemas.openxmlformats.org/officeDocument/2006/relationships/hyperlink" Target="http://www.linkedin.com/in/michelstephane" TargetMode="External"/><Relationship  Id="rId1187" Type="http://schemas.openxmlformats.org/officeDocument/2006/relationships/hyperlink" Target="http://www.lavilla.fr" TargetMode="External"/><Relationship  Id="rId11870" Type="http://schemas.openxmlformats.org/officeDocument/2006/relationships/hyperlink" Target="http://www.abbei.org" TargetMode="External"/><Relationship  Id="rId11871" Type="http://schemas.openxmlformats.org/officeDocument/2006/relationships/hyperlink" Target="http://www.linkedin.com/in/patrick-genova-4ab1951bb" TargetMode="External"/><Relationship  Id="rId11872" Type="http://schemas.openxmlformats.org/officeDocument/2006/relationships/hyperlink" Target="http://www.novacier.fr" TargetMode="External"/><Relationship  Id="rId11873" Type="http://schemas.openxmlformats.org/officeDocument/2006/relationships/hyperlink" Target="http://www.linkedin.com/in/michael-sueur-6a88aa108" TargetMode="External"/><Relationship  Id="rId11874" Type="http://schemas.openxmlformats.org/officeDocument/2006/relationships/hyperlink" Target="http://www.deco-charpente.fr" TargetMode="External"/><Relationship  Id="rId11875" Type="http://schemas.openxmlformats.org/officeDocument/2006/relationships/hyperlink" Target="http://www.linkedin.com/in/emmanuel-morel-75696628" TargetMode="External"/><Relationship  Id="rId11876" Type="http://schemas.openxmlformats.org/officeDocument/2006/relationships/hyperlink" Target="http://www.articonnex.com" TargetMode="External"/><Relationship  Id="rId11877" Type="http://schemas.openxmlformats.org/officeDocument/2006/relationships/hyperlink" Target="http://www.linkedin.com/in/guylain-auzoux-10472614a" TargetMode="External"/><Relationship  Id="rId11878" Type="http://schemas.openxmlformats.org/officeDocument/2006/relationships/hyperlink" Target="http://www.energical.fr" TargetMode="External"/><Relationship  Id="rId11879" Type="http://schemas.openxmlformats.org/officeDocument/2006/relationships/hyperlink" Target="http://www.linkedin.com/in/christophe-bastianelli-957539200" TargetMode="External"/><Relationship  Id="rId1188" Type="http://schemas.openxmlformats.org/officeDocument/2006/relationships/hyperlink" Target="http://www.linkedin.com/in/benjamin-cohen-bc" TargetMode="External"/><Relationship  Id="rId11880" Type="http://schemas.openxmlformats.org/officeDocument/2006/relationships/hyperlink" Target="http://www.cimalto.fr" TargetMode="External"/><Relationship  Id="rId11881" Type="http://schemas.openxmlformats.org/officeDocument/2006/relationships/hyperlink" Target="http://www.linkedin.com/in/sebguillot" TargetMode="External"/><Relationship  Id="rId11882" Type="http://schemas.openxmlformats.org/officeDocument/2006/relationships/hyperlink" Target="http://www.weebly.com" TargetMode="External"/><Relationship  Id="rId11883" Type="http://schemas.openxmlformats.org/officeDocument/2006/relationships/hyperlink" Target="http://www.linkedin.com/in/sas-jousse-1177616a" TargetMode="External"/><Relationship  Id="rId11884" Type="http://schemas.openxmlformats.org/officeDocument/2006/relationships/hyperlink" Target="http://www.jousse-sa.fr" TargetMode="External"/><Relationship  Id="rId11885" Type="http://schemas.openxmlformats.org/officeDocument/2006/relationships/hyperlink" Target="http://www.linkedin.com/in/bruno-schambacher-4ab353" TargetMode="External"/><Relationship  Id="rId11886" Type="http://schemas.openxmlformats.org/officeDocument/2006/relationships/hyperlink" Target="http://www.tyllium.com" TargetMode="External"/><Relationship  Id="rId11887" Type="http://schemas.openxmlformats.org/officeDocument/2006/relationships/hyperlink" Target="http://www.linkedin.com/in/francois-fraioli-866585b0" TargetMode="External"/><Relationship  Id="rId11888" Type="http://schemas.openxmlformats.org/officeDocument/2006/relationships/hyperlink" Target="http://www.groupecimeo.fr" TargetMode="External"/><Relationship  Id="rId11889" Type="http://schemas.openxmlformats.org/officeDocument/2006/relationships/hyperlink" Target="http://www.linkedin.com/in/olivier-briand-095b90a1" TargetMode="External"/><Relationship  Id="rId1189" Type="http://schemas.openxmlformats.org/officeDocument/2006/relationships/hyperlink" Target="http://www.daliagroup.com" TargetMode="External"/><Relationship  Id="rId11890" Type="http://schemas.openxmlformats.org/officeDocument/2006/relationships/hyperlink" Target="http://www.betap.fr" TargetMode="External"/><Relationship  Id="rId11891" Type="http://schemas.openxmlformats.org/officeDocument/2006/relationships/hyperlink" Target="http://www.linkedin.com/in/thierry-bosne-434b1653" TargetMode="External"/><Relationship  Id="rId11892" Type="http://schemas.openxmlformats.org/officeDocument/2006/relationships/hyperlink" Target="http://www.boutineau.fr" TargetMode="External"/><Relationship  Id="rId11893" Type="http://schemas.openxmlformats.org/officeDocument/2006/relationships/hyperlink" Target="http://www.linkedin.com/in/cedric-dubourg-359a29100" TargetMode="External"/><Relationship  Id="rId11894" Type="http://schemas.openxmlformats.org/officeDocument/2006/relationships/hyperlink" Target="http://www.linkedin.com/in/bastien-chaumet-0a549a139" TargetMode="External"/><Relationship  Id="rId11895" Type="http://schemas.openxmlformats.org/officeDocument/2006/relationships/hyperlink" Target="http://www.scenetec.fr" TargetMode="External"/><Relationship  Id="rId11896" Type="http://schemas.openxmlformats.org/officeDocument/2006/relationships/hyperlink" Target="http://www.linkedin.com/in/nicolas-leroy-206a95206" TargetMode="External"/><Relationship  Id="rId11897" Type="http://schemas.openxmlformats.org/officeDocument/2006/relationships/hyperlink" Target="http://www.tilyo.fr" TargetMode="External"/><Relationship  Id="rId11898" Type="http://schemas.openxmlformats.org/officeDocument/2006/relationships/hyperlink" Target="http://www.linkedin.com/in/t-lenart" TargetMode="External"/><Relationship  Id="rId11899" Type="http://schemas.openxmlformats.org/officeDocument/2006/relationships/hyperlink" Target="http://www.operys.fr" TargetMode="External"/><Relationship  Id="rId119" Type="http://schemas.openxmlformats.org/officeDocument/2006/relationships/hyperlink" Target="http://www.cuts-paris.fr" TargetMode="External"/><Relationship  Id="rId1190" Type="http://schemas.openxmlformats.org/officeDocument/2006/relationships/hyperlink" Target="http://www.linkedin.com/in/jean-baptiste-martin-39337980" TargetMode="External"/><Relationship  Id="rId11900" Type="http://schemas.openxmlformats.org/officeDocument/2006/relationships/hyperlink" Target="http://www.linkedin.com/in/ewan-pelletier-1bb94b168" TargetMode="External"/><Relationship  Id="rId11901" Type="http://schemas.openxmlformats.org/officeDocument/2006/relationships/hyperlink" Target="http://www.hanvolt.com" TargetMode="External"/><Relationship  Id="rId11902" Type="http://schemas.openxmlformats.org/officeDocument/2006/relationships/hyperlink" Target="http://www.linkedin.com/in/baptiste-cluzel-400279121" TargetMode="External"/><Relationship  Id="rId11903" Type="http://schemas.openxmlformats.org/officeDocument/2006/relationships/hyperlink" Target="http://www.linkedin.com/in/sohail-anwar-a22a0a1bb" TargetMode="External"/><Relationship  Id="rId11904" Type="http://schemas.openxmlformats.org/officeDocument/2006/relationships/hyperlink" Target="http://www.bacer.fr" TargetMode="External"/><Relationship  Id="rId11905" Type="http://schemas.openxmlformats.org/officeDocument/2006/relationships/hyperlink" Target="http://www.linkedin.com/in/beno%c3%aet-antoine-42282999" TargetMode="External"/><Relationship  Id="rId11906" Type="http://schemas.openxmlformats.org/officeDocument/2006/relationships/hyperlink" Target="http://www.make-office.fr" TargetMode="External"/><Relationship  Id="rId11907" Type="http://schemas.openxmlformats.org/officeDocument/2006/relationships/hyperlink" Target="http://www.linkedin.com/in/rayan-javaherian-%f0%9f%8f%a1-08065a165" TargetMode="External"/><Relationship  Id="rId11908" Type="http://schemas.openxmlformats.org/officeDocument/2006/relationships/hyperlink" Target="http://www.renoo.fr" TargetMode="External"/><Relationship  Id="rId11909" Type="http://schemas.openxmlformats.org/officeDocument/2006/relationships/hyperlink" Target="http://www.linkedin.com/in/oussama-kchaou-87692946" TargetMode="External"/><Relationship  Id="rId1191" Type="http://schemas.openxmlformats.org/officeDocument/2006/relationships/hyperlink" Target="http://www.suitcase-hospitality.com" TargetMode="External"/><Relationship  Id="rId11910" Type="http://schemas.openxmlformats.org/officeDocument/2006/relationships/hyperlink" Target="http://www.archi-construit.fr" TargetMode="External"/><Relationship  Id="rId11911" Type="http://schemas.openxmlformats.org/officeDocument/2006/relationships/hyperlink" Target="http://www.linkedin.com/in/suzy-diruy-07839483" TargetMode="External"/><Relationship  Id="rId11912" Type="http://schemas.openxmlformats.org/officeDocument/2006/relationships/hyperlink" Target="http://www.diruy.fr" TargetMode="External"/><Relationship  Id="rId11913" Type="http://schemas.openxmlformats.org/officeDocument/2006/relationships/hyperlink" Target="http://www.linkedin.com/in/filipe-dias-48774982" TargetMode="External"/><Relationship  Id="rId11914" Type="http://schemas.openxmlformats.org/officeDocument/2006/relationships/hyperlink" Target="http://www.afonso-construction.fr" TargetMode="External"/><Relationship  Id="rId11915" Type="http://schemas.openxmlformats.org/officeDocument/2006/relationships/hyperlink" Target="http://www.linkedin.com/in/emilie-de-roeck-432a70135" TargetMode="External"/><Relationship  Id="rId11916" Type="http://schemas.openxmlformats.org/officeDocument/2006/relationships/hyperlink" Target="http://www.studis.fr" TargetMode="External"/><Relationship  Id="rId11917" Type="http://schemas.openxmlformats.org/officeDocument/2006/relationships/hyperlink" Target="http://www.linkedin.com/in/alexandre-queyras-0aa22998" TargetMode="External"/><Relationship  Id="rId11918" Type="http://schemas.openxmlformats.org/officeDocument/2006/relationships/hyperlink" Target="http://www.stam-construction.fr" TargetMode="External"/><Relationship  Id="rId11919" Type="http://schemas.openxmlformats.org/officeDocument/2006/relationships/hyperlink" Target="http://www.linkedin.com/in/laurent-gagniere-0aa8a314a" TargetMode="External"/><Relationship  Id="rId1192" Type="http://schemas.openxmlformats.org/officeDocument/2006/relationships/hyperlink" Target="http://www.linkedin.com/in/charles-henri-bournais-4730963b" TargetMode="External"/><Relationship  Id="rId11920" Type="http://schemas.openxmlformats.org/officeDocument/2006/relationships/hyperlink" Target="http://www.capelli.fr" TargetMode="External"/><Relationship  Id="rId11921" Type="http://schemas.openxmlformats.org/officeDocument/2006/relationships/hyperlink" Target="http://www.linkedin.com/in/anne-zorninger-391a1a91" TargetMode="External"/><Relationship  Id="rId11922" Type="http://schemas.openxmlformats.org/officeDocument/2006/relationships/hyperlink" Target="http://www.novim-epl.fr" TargetMode="External"/><Relationship  Id="rId11923" Type="http://schemas.openxmlformats.org/officeDocument/2006/relationships/hyperlink" Target="http://www.linkedin.com/in/matthieu-recoque-a244491a3" TargetMode="External"/><Relationship  Id="rId11924" Type="http://schemas.openxmlformats.org/officeDocument/2006/relationships/hyperlink" Target="http://www.moyse.fr" TargetMode="External"/><Relationship  Id="rId11925" Type="http://schemas.openxmlformats.org/officeDocument/2006/relationships/hyperlink" Target="http://www.linkedin.com/in/beno%c3%aet-barthe-23786852" TargetMode="External"/><Relationship  Id="rId11926" Type="http://schemas.openxmlformats.org/officeDocument/2006/relationships/hyperlink" Target="http://www.barthe.com" TargetMode="External"/><Relationship  Id="rId11927" Type="http://schemas.openxmlformats.org/officeDocument/2006/relationships/hyperlink" Target="http://www.linkedin.com/in/henri-luc-mougel-7aaa28a5" TargetMode="External"/><Relationship  Id="rId11928" Type="http://schemas.openxmlformats.org/officeDocument/2006/relationships/hyperlink" Target="http://www.methodes.com" TargetMode="External"/><Relationship  Id="rId11929" Type="http://schemas.openxmlformats.org/officeDocument/2006/relationships/hyperlink" Target="http://www.linkedin.com/in/antoine-martin-3b4bb5129" TargetMode="External"/><Relationship  Id="rId1193" Type="http://schemas.openxmlformats.org/officeDocument/2006/relationships/hyperlink" Target="http://www.groupe-terresdefrance.com" TargetMode="External"/><Relationship  Id="rId11930" Type="http://schemas.openxmlformats.org/officeDocument/2006/relationships/hyperlink" Target="http://www.ets-houlle.fr" TargetMode="External"/><Relationship  Id="rId11931" Type="http://schemas.openxmlformats.org/officeDocument/2006/relationships/hyperlink" Target="http://www.linkedin.com/in/lilian-ren%c3%a9-53bb9b191" TargetMode="External"/><Relationship  Id="rId11932" Type="http://schemas.openxmlformats.org/officeDocument/2006/relationships/hyperlink" Target="http://www.servigaz-sarl.com" TargetMode="External"/><Relationship  Id="rId11933" Type="http://schemas.openxmlformats.org/officeDocument/2006/relationships/hyperlink" Target="http://www.linkedin.com/in/ramazan-matayli-294b47168" TargetMode="External"/><Relationship  Id="rId11934" Type="http://schemas.openxmlformats.org/officeDocument/2006/relationships/hyperlink" Target="http://www.cieletanche.fr" TargetMode="External"/><Relationship  Id="rId11935" Type="http://schemas.openxmlformats.org/officeDocument/2006/relationships/hyperlink" Target="http://www.linkedin.com/in/pascal-desanti-968837199" TargetMode="External"/><Relationship  Id="rId11936" Type="http://schemas.openxmlformats.org/officeDocument/2006/relationships/hyperlink" Target="http://www.planete-menuiserie-montauban.fr" TargetMode="External"/><Relationship  Id="rId11937" Type="http://schemas.openxmlformats.org/officeDocument/2006/relationships/hyperlink" Target="http://www.linkedin.com/in/jp-souhait-88a4b7122" TargetMode="External"/><Relationship  Id="rId11938" Type="http://schemas.openxmlformats.org/officeDocument/2006/relationships/hyperlink" Target="http://www.123modules.fr" TargetMode="External"/><Relationship  Id="rId11939" Type="http://schemas.openxmlformats.org/officeDocument/2006/relationships/hyperlink" Target="http://www.linkedin.com/in/bonet-yannick" TargetMode="External"/><Relationship  Id="rId1194" Type="http://schemas.openxmlformats.org/officeDocument/2006/relationships/hyperlink" Target="http://www.linkedin.com/in/elodie-macquet" TargetMode="External"/><Relationship  Id="rId11940" Type="http://schemas.openxmlformats.org/officeDocument/2006/relationships/hyperlink" Target="http://www.ipebat.com" TargetMode="External"/><Relationship  Id="rId11941" Type="http://schemas.openxmlformats.org/officeDocument/2006/relationships/hyperlink" Target="http://www.linkedin.com/in/maxime-pannunzio-177597bb" TargetMode="External"/><Relationship  Id="rId11942" Type="http://schemas.openxmlformats.org/officeDocument/2006/relationships/hyperlink" Target="http://www.alienor-vini.fr" TargetMode="External"/><Relationship  Id="rId11943" Type="http://schemas.openxmlformats.org/officeDocument/2006/relationships/hyperlink" Target="http://www.linkedin.com/in/christophe-guillaume-36922b173" TargetMode="External"/><Relationship  Id="rId11944" Type="http://schemas.openxmlformats.org/officeDocument/2006/relationships/hyperlink" Target="http://www.utpm.fr" TargetMode="External"/><Relationship  Id="rId11945" Type="http://schemas.openxmlformats.org/officeDocument/2006/relationships/hyperlink" Target="http://www.linkedin.com/in/charlene-c-360731a" TargetMode="External"/><Relationship  Id="rId11946" Type="http://schemas.openxmlformats.org/officeDocument/2006/relationships/hyperlink" Target="http://www.bespok.co" TargetMode="External"/><Relationship  Id="rId11947" Type="http://schemas.openxmlformats.org/officeDocument/2006/relationships/hyperlink" Target="http://www.linkedin.com/in/sylvain-martin" TargetMode="External"/><Relationship  Id="rId11948" Type="http://schemas.openxmlformats.org/officeDocument/2006/relationships/hyperlink" Target="http://www.activ-travaux.com" TargetMode="External"/><Relationship  Id="rId11949" Type="http://schemas.openxmlformats.org/officeDocument/2006/relationships/hyperlink" Target="http://www.linkedin.com/in/guillaume-fichet-%f0%9f%aa%84-236636135" TargetMode="External"/><Relationship  Id="rId1195" Type="http://schemas.openxmlformats.org/officeDocument/2006/relationships/hyperlink" Target="http://www.pokebar.fr" TargetMode="External"/><Relationship  Id="rId11950" Type="http://schemas.openxmlformats.org/officeDocument/2006/relationships/hyperlink" Target="http://www.nant-artisans.com" TargetMode="External"/><Relationship  Id="rId11951" Type="http://schemas.openxmlformats.org/officeDocument/2006/relationships/hyperlink" Target="http://www.linkedin.com/in/yann-dagault-10b05668" TargetMode="External"/><Relationship  Id="rId11952" Type="http://schemas.openxmlformats.org/officeDocument/2006/relationships/hyperlink" Target="http://www.icofluides.fr" TargetMode="External"/><Relationship  Id="rId11953" Type="http://schemas.openxmlformats.org/officeDocument/2006/relationships/hyperlink" Target="http://www.linkedin.com/in/thomas-pinault-08676312" TargetMode="External"/><Relationship  Id="rId11954" Type="http://schemas.openxmlformats.org/officeDocument/2006/relationships/hyperlink" Target="http://www.ecce-paris.com" TargetMode="External"/><Relationship  Id="rId11955" Type="http://schemas.openxmlformats.org/officeDocument/2006/relationships/hyperlink" Target="http://www.linkedin.com/in/muriel-dumery-750749152" TargetMode="External"/><Relationship  Id="rId11956" Type="http://schemas.openxmlformats.org/officeDocument/2006/relationships/hyperlink" Target="http://www.sefra.pro" TargetMode="External"/><Relationship  Id="rId11957" Type="http://schemas.openxmlformats.org/officeDocument/2006/relationships/hyperlink" Target="http://www.linkedin.com/in/frederic-guichard-99562813" TargetMode="External"/><Relationship  Id="rId11958" Type="http://schemas.openxmlformats.org/officeDocument/2006/relationships/hyperlink" Target="http://www.telelec.fr" TargetMode="External"/><Relationship  Id="rId11959" Type="http://schemas.openxmlformats.org/officeDocument/2006/relationships/hyperlink" Target="http://www.linkedin.com/in/rihab-jerbi-altaroad" TargetMode="External"/><Relationship  Id="rId1196" Type="http://schemas.openxmlformats.org/officeDocument/2006/relationships/hyperlink" Target="http://www.linkedin.com/in/gr%c3%a9goire-babinet-72a67360" TargetMode="External"/><Relationship  Id="rId11960" Type="http://schemas.openxmlformats.org/officeDocument/2006/relationships/hyperlink" Target="http://www.altaroad.com" TargetMode="External"/><Relationship  Id="rId11961" Type="http://schemas.openxmlformats.org/officeDocument/2006/relationships/hyperlink" Target="http://www.linkedin.com/in/bereng%c3%a8re-lebental-7219b97" TargetMode="External"/><Relationship  Id="rId11962" Type="http://schemas.openxmlformats.org/officeDocument/2006/relationships/hyperlink" Target="http://www.linkedin.com/in/ahmed-akaaboun-9a586082" TargetMode="External"/><Relationship  Id="rId11963" Type="http://schemas.openxmlformats.org/officeDocument/2006/relationships/hyperlink" Target="http://www.accesbtp.fr" TargetMode="External"/><Relationship  Id="rId11964" Type="http://schemas.openxmlformats.org/officeDocument/2006/relationships/hyperlink" Target="http://www.linkedin.com/in/jean-christophe-homsy-a0a21185" TargetMode="External"/><Relationship  Id="rId11965" Type="http://schemas.openxmlformats.org/officeDocument/2006/relationships/hyperlink" Target="http://www.tecton.fr" TargetMode="External"/><Relationship  Id="rId11966" Type="http://schemas.openxmlformats.org/officeDocument/2006/relationships/hyperlink" Target="http://www.linkedin.com/in/groupevalentin" TargetMode="External"/><Relationship  Id="rId11967" Type="http://schemas.openxmlformats.org/officeDocument/2006/relationships/hyperlink" Target="http://www.valentin-construction.fr" TargetMode="External"/><Relationship  Id="rId11968" Type="http://schemas.openxmlformats.org/officeDocument/2006/relationships/hyperlink" Target="http://www.linkedin.com/in/maxime-kornacker" TargetMode="External"/><Relationship  Id="rId11969" Type="http://schemas.openxmlformats.org/officeDocument/2006/relationships/hyperlink" Target="http://www.mader-sa.fr" TargetMode="External"/><Relationship  Id="rId1197" Type="http://schemas.openxmlformats.org/officeDocument/2006/relationships/hyperlink" Target="http://www.monsieur-lezinc.com" TargetMode="External"/><Relationship  Id="rId11970" Type="http://schemas.openxmlformats.org/officeDocument/2006/relationships/hyperlink" Target="http://www.linkedin.com/in/alexandre-menard-b1b871156" TargetMode="External"/><Relationship  Id="rId11971" Type="http://schemas.openxmlformats.org/officeDocument/2006/relationships/hyperlink" Target="http://www.pprv.fr" TargetMode="External"/><Relationship  Id="rId11972" Type="http://schemas.openxmlformats.org/officeDocument/2006/relationships/hyperlink" Target="http://www.linkedin.com/in/eddy-c%c3%a9cilie-2ab78170" TargetMode="External"/><Relationship  Id="rId11973" Type="http://schemas.openxmlformats.org/officeDocument/2006/relationships/hyperlink" Target="http://www.elfimm.com" TargetMode="External"/><Relationship  Id="rId11974" Type="http://schemas.openxmlformats.org/officeDocument/2006/relationships/hyperlink" Target="http://www.linkedin.com/in/jonathan-arnal-32a638130" TargetMode="External"/><Relationship  Id="rId11975" Type="http://schemas.openxmlformats.org/officeDocument/2006/relationships/hyperlink" Target="http://www.suisseblick24.net" TargetMode="External"/><Relationship  Id="rId11976" Type="http://schemas.openxmlformats.org/officeDocument/2006/relationships/hyperlink" Target="http://www.linkedin.com/in/gilles-abikanlou-7545012" TargetMode="External"/><Relationship  Id="rId11977" Type="http://schemas.openxmlformats.org/officeDocument/2006/relationships/hyperlink" Target="http://www.aetmgroup.fr" TargetMode="External"/><Relationship  Id="rId11978" Type="http://schemas.openxmlformats.org/officeDocument/2006/relationships/hyperlink" Target="http://www.linkedin.com/in/stephane-rothblum-b971a6a" TargetMode="External"/><Relationship  Id="rId11979" Type="http://schemas.openxmlformats.org/officeDocument/2006/relationships/hyperlink" Target="http://www.master-solutions.fr" TargetMode="External"/><Relationship  Id="rId1198" Type="http://schemas.openxmlformats.org/officeDocument/2006/relationships/hyperlink" Target="http://www.linkedin.com/in/cedric-valton" TargetMode="External"/><Relationship  Id="rId11980" Type="http://schemas.openxmlformats.org/officeDocument/2006/relationships/hyperlink" Target="http://www.linkedin.com/in/christophe-jaffry-43329712b" TargetMode="External"/><Relationship  Id="rId11981" Type="http://schemas.openxmlformats.org/officeDocument/2006/relationships/hyperlink" Target="http://www.emos.fr" TargetMode="External"/><Relationship  Id="rId11982" Type="http://schemas.openxmlformats.org/officeDocument/2006/relationships/hyperlink" Target="http://www.linkedin.com/in/mousseaujulien" TargetMode="External"/><Relationship  Id="rId11983" Type="http://schemas.openxmlformats.org/officeDocument/2006/relationships/hyperlink" Target="http://www.tracktor-saas.fr" TargetMode="External"/><Relationship  Id="rId11984" Type="http://schemas.openxmlformats.org/officeDocument/2006/relationships/hyperlink" Target="http://www.linkedin.com/in/julien-schoch-83963512a" TargetMode="External"/><Relationship  Id="rId11985" Type="http://schemas.openxmlformats.org/officeDocument/2006/relationships/hyperlink" Target="http://www.fmsgroupe.fr" TargetMode="External"/><Relationship  Id="rId11986" Type="http://schemas.openxmlformats.org/officeDocument/2006/relationships/hyperlink" Target="http://www.linkedin.com/in/robbin-rodas-827589228" TargetMode="External"/><Relationship  Id="rId11987" Type="http://schemas.openxmlformats.org/officeDocument/2006/relationships/hyperlink" Target="http://www.aidf.pro" TargetMode="External"/><Relationship  Id="rId11988" Type="http://schemas.openxmlformats.org/officeDocument/2006/relationships/hyperlink" Target="http://www.linkedin.com/in/geoffroy-kuhn-29946526" TargetMode="External"/><Relationship  Id="rId11989" Type="http://schemas.openxmlformats.org/officeDocument/2006/relationships/hyperlink" Target="http://www.abaque-s.fr" TargetMode="External"/><Relationship  Id="rId1199" Type="http://schemas.openxmlformats.org/officeDocument/2006/relationships/hyperlink" Target="http://www.almucantar.fr" TargetMode="External"/><Relationship  Id="rId11990" Type="http://schemas.openxmlformats.org/officeDocument/2006/relationships/hyperlink" Target="http://www.linkedin.com/in/julien-rigaud-72132ba8" TargetMode="External"/><Relationship  Id="rId11991" Type="http://schemas.openxmlformats.org/officeDocument/2006/relationships/hyperlink" Target="http://www.pierrenoel.fr" TargetMode="External"/><Relationship  Id="rId11992" Type="http://schemas.openxmlformats.org/officeDocument/2006/relationships/hyperlink" Target="http://www.linkedin.com/in/beno%c3%aet-moncel-8a3915201" TargetMode="External"/><Relationship  Id="rId11993" Type="http://schemas.openxmlformats.org/officeDocument/2006/relationships/hyperlink" Target="http://www.liotard-tp.com" TargetMode="External"/><Relationship  Id="rId11994" Type="http://schemas.openxmlformats.org/officeDocument/2006/relationships/hyperlink" Target="http://www.linkedin.com/in/veysel-acar-185b96207" TargetMode="External"/><Relationship  Id="rId11995" Type="http://schemas.openxmlformats.org/officeDocument/2006/relationships/hyperlink" Target="http://www.sybat.fr" TargetMode="External"/><Relationship  Id="rId11996" Type="http://schemas.openxmlformats.org/officeDocument/2006/relationships/hyperlink" Target="http://www.linkedin.com/in/jean-yves-gonidec-99949320a" TargetMode="External"/><Relationship  Id="rId11997" Type="http://schemas.openxmlformats.org/officeDocument/2006/relationships/hyperlink" Target="http://www.camus-bardec.com" TargetMode="External"/><Relationship  Id="rId11998" Type="http://schemas.openxmlformats.org/officeDocument/2006/relationships/hyperlink" Target="http://www.linkedin.com/in/franck-petit-stifor" TargetMode="External"/><Relationship  Id="rId11999" Type="http://schemas.openxmlformats.org/officeDocument/2006/relationships/hyperlink" Target="http://www.stifor.fr" TargetMode="External"/><Relationship  Id="rId12" Type="http://schemas.openxmlformats.org/officeDocument/2006/relationships/hyperlink" Target="http://www.octans-paris.com" TargetMode="External"/><Relationship  Id="rId120" Type="http://schemas.openxmlformats.org/officeDocument/2006/relationships/hyperlink" Target="http://www.linkedin.com/in/f%c3%a9riel-ferrad-bbb18897" TargetMode="External"/><Relationship  Id="rId1200" Type="http://schemas.openxmlformats.org/officeDocument/2006/relationships/hyperlink" Target="http://www.linkedin.com/in/edouard-lameloise-64082564" TargetMode="External"/><Relationship  Id="rId12000" Type="http://schemas.openxmlformats.org/officeDocument/2006/relationships/hyperlink" Target="http://www.linkedin.com/in/yves-lozachmeur-9a37a1" TargetMode="External"/><Relationship  Id="rId12001" Type="http://schemas.openxmlformats.org/officeDocument/2006/relationships/hyperlink" Target="http://www.lign-o.fr" TargetMode="External"/><Relationship  Id="rId12002" Type="http://schemas.openxmlformats.org/officeDocument/2006/relationships/hyperlink" Target="http://www.linkedin.com/in/fr%c3%a9d%c3%a9ric-grasser-517a67116" TargetMode="External"/><Relationship  Id="rId12003" Type="http://schemas.openxmlformats.org/officeDocument/2006/relationships/hyperlink" Target="http://www.a4services.com" TargetMode="External"/><Relationship  Id="rId12004" Type="http://schemas.openxmlformats.org/officeDocument/2006/relationships/hyperlink" Target="http://www.linkedin.com/in/romain-germain-2385ba159" TargetMode="External"/><Relationship  Id="rId12005" Type="http://schemas.openxmlformats.org/officeDocument/2006/relationships/hyperlink" Target="http://www.jokopadel.com" TargetMode="External"/><Relationship  Id="rId12006" Type="http://schemas.openxmlformats.org/officeDocument/2006/relationships/hyperlink" Target="http://www.linkedin.com/in/jean-luc-linise-146740133" TargetMode="External"/><Relationship  Id="rId12007" Type="http://schemas.openxmlformats.org/officeDocument/2006/relationships/hyperlink" Target="http://www.fuitesprodetection.fr" TargetMode="External"/><Relationship  Id="rId12008" Type="http://schemas.openxmlformats.org/officeDocument/2006/relationships/hyperlink" Target="http://www.linkedin.com/in/jean-marc-besnier" TargetMode="External"/><Relationship  Id="rId12009" Type="http://schemas.openxmlformats.org/officeDocument/2006/relationships/hyperlink" Target="http://www.groupement-lma.fr" TargetMode="External"/><Relationship  Id="rId1201" Type="http://schemas.openxmlformats.org/officeDocument/2006/relationships/hyperlink" Target="http://www.helea.fr" TargetMode="External"/><Relationship  Id="rId12010" Type="http://schemas.openxmlformats.org/officeDocument/2006/relationships/hyperlink" Target="http://www.linkedin.com/in/vincent-horrenberger-9a1421179" TargetMode="External"/><Relationship  Id="rId12011" Type="http://schemas.openxmlformats.org/officeDocument/2006/relationships/hyperlink" Target="http://www.horrenberger.com" TargetMode="External"/><Relationship  Id="rId12012" Type="http://schemas.openxmlformats.org/officeDocument/2006/relationships/hyperlink" Target="http://www.linkedin.com/in/angelo-gallo-355908125" TargetMode="External"/><Relationship  Id="rId12013" Type="http://schemas.openxmlformats.org/officeDocument/2006/relationships/hyperlink" Target="http://www.willynaessens.fr" TargetMode="External"/><Relationship  Id="rId12014" Type="http://schemas.openxmlformats.org/officeDocument/2006/relationships/hyperlink" Target="http://www.linkedin.com/in/daktera" TargetMode="External"/><Relationship  Id="rId12015" Type="http://schemas.openxmlformats.org/officeDocument/2006/relationships/hyperlink" Target="http://www.soilcloud.tech" TargetMode="External"/><Relationship  Id="rId12016" Type="http://schemas.openxmlformats.org/officeDocument/2006/relationships/hyperlink" Target="http://www.linkedin.com/in/maisonsbatilordgpedroalves" TargetMode="External"/><Relationship  Id="rId12017" Type="http://schemas.openxmlformats.org/officeDocument/2006/relationships/hyperlink" Target="http://www.batilor.com" TargetMode="External"/><Relationship  Id="rId12018" Type="http://schemas.openxmlformats.org/officeDocument/2006/relationships/hyperlink" Target="http://www.linkedin.com/in/alex-varailhon-21509b136" TargetMode="External"/><Relationship  Id="rId12019" Type="http://schemas.openxmlformats.org/officeDocument/2006/relationships/hyperlink" Target="http://www.ilinkup.fr" TargetMode="External"/><Relationship  Id="rId1202" Type="http://schemas.openxmlformats.org/officeDocument/2006/relationships/hyperlink" Target="http://www.linkedin.com/in/carinebaubriau" TargetMode="External"/><Relationship  Id="rId12020" Type="http://schemas.openxmlformats.org/officeDocument/2006/relationships/hyperlink" Target="http://www.linkedin.com/in/mourad-tounsi-7a2977262" TargetMode="External"/><Relationship  Id="rId12021" Type="http://schemas.openxmlformats.org/officeDocument/2006/relationships/hyperlink" Target="http://www.estb.org.eg" TargetMode="External"/><Relationship  Id="rId12022" Type="http://schemas.openxmlformats.org/officeDocument/2006/relationships/hyperlink" Target="http://www.linkedin.com/in/sebastien-chanel-340112" TargetMode="External"/><Relationship  Id="rId12023" Type="http://schemas.openxmlformats.org/officeDocument/2006/relationships/hyperlink" Target="http://www.linkedin.com/in/jenny-guillon-dudrat-98029817b" TargetMode="External"/><Relationship  Id="rId12024" Type="http://schemas.openxmlformats.org/officeDocument/2006/relationships/hyperlink" Target="http://www.linkedin.com/in/fr%c3%a9d%c3%a9ric-jeault-29117a64" TargetMode="External"/><Relationship  Id="rId12025" Type="http://schemas.openxmlformats.org/officeDocument/2006/relationships/hyperlink" Target="http://www.reseau-fja.fr" TargetMode="External"/><Relationship  Id="rId12026" Type="http://schemas.openxmlformats.org/officeDocument/2006/relationships/hyperlink" Target="http://monchauffagiste.com" TargetMode="External"/><Relationship  Id="rId12027" Type="http://schemas.openxmlformats.org/officeDocument/2006/relationships/hyperlink" Target="http://www.linkedin.com/in/maxime-boulanger-98780321" TargetMode="External"/><Relationship  Id="rId12028" Type="http://schemas.openxmlformats.org/officeDocument/2006/relationships/hyperlink" Target="http://www.monchauffagiste.com" TargetMode="External"/><Relationship  Id="rId12029" Type="http://schemas.openxmlformats.org/officeDocument/2006/relationships/hyperlink" Target="http://www.linkedin.com/in/marco-cordeiro-9633454b" TargetMode="External"/><Relationship  Id="rId1203" Type="http://schemas.openxmlformats.org/officeDocument/2006/relationships/hyperlink" Target="http://www.linkedin.com/in/pol-rascalou-bb912260" TargetMode="External"/><Relationship  Id="rId12030" Type="http://schemas.openxmlformats.org/officeDocument/2006/relationships/hyperlink" Target="http://www.santana-batiment.fr" TargetMode="External"/><Relationship  Id="rId12031" Type="http://schemas.openxmlformats.org/officeDocument/2006/relationships/hyperlink" Target="http://www.linkedin.com/in/christophe-lisandre-08a6a765" TargetMode="External"/><Relationship  Id="rId12032" Type="http://schemas.openxmlformats.org/officeDocument/2006/relationships/hyperlink" Target="http://www.lisandre.fr" TargetMode="External"/><Relationship  Id="rId12033" Type="http://schemas.openxmlformats.org/officeDocument/2006/relationships/hyperlink" Target="http://www.linkedin.com/in/olivier-hussenot-654373119" TargetMode="External"/><Relationship  Id="rId12034" Type="http://schemas.openxmlformats.org/officeDocument/2006/relationships/hyperlink" Target="http://www.rousselpeinture.fr" TargetMode="External"/><Relationship  Id="rId12035" Type="http://schemas.openxmlformats.org/officeDocument/2006/relationships/hyperlink" Target="http://www.linkedin.com/in/sa%c3%a2d-kadiri-a7b827116" TargetMode="External"/><Relationship  Id="rId12036" Type="http://schemas.openxmlformats.org/officeDocument/2006/relationships/hyperlink" Target="http://www.kasq.fr" TargetMode="External"/><Relationship  Id="rId12037" Type="http://schemas.openxmlformats.org/officeDocument/2006/relationships/hyperlink" Target="http://www.linkedin.com/in/thomas-carlier-6a07a4142" TargetMode="External"/><Relationship  Id="rId12038" Type="http://schemas.openxmlformats.org/officeDocument/2006/relationships/hyperlink" Target="http://www.stio60.fr" TargetMode="External"/><Relationship  Id="rId12039" Type="http://schemas.openxmlformats.org/officeDocument/2006/relationships/hyperlink" Target="http://www.linkedin.com/in/tdlinkedin" TargetMode="External"/><Relationship  Id="rId1204" Type="http://schemas.openxmlformats.org/officeDocument/2006/relationships/hyperlink" Target="http://www.fonscolombe.com" TargetMode="External"/><Relationship  Id="rId12040" Type="http://schemas.openxmlformats.org/officeDocument/2006/relationships/hyperlink" Target="http://www.noussommesnu.fr" TargetMode="External"/><Relationship  Id="rId12041" Type="http://schemas.openxmlformats.org/officeDocument/2006/relationships/hyperlink" Target="http://www.linkedin.com/in/thierry-amzallag-36450753" TargetMode="External"/><Relationship  Id="rId12042" Type="http://schemas.openxmlformats.org/officeDocument/2006/relationships/hyperlink" Target="http://www.institut-ophtalmique.fr" TargetMode="External"/><Relationship  Id="rId12043" Type="http://schemas.openxmlformats.org/officeDocument/2006/relationships/hyperlink" Target="http://www.linkedin.com/in/fran%c3%a7ois-xavier-crazover-89506511" TargetMode="External"/><Relationship  Id="rId12044" Type="http://schemas.openxmlformats.org/officeDocument/2006/relationships/hyperlink" Target="http://www.eurolec2000.fr" TargetMode="External"/><Relationship  Id="rId12045" Type="http://schemas.openxmlformats.org/officeDocument/2006/relationships/hyperlink" Target="http://www.linkedin.com/in/vincent-maggio-0b5484204" TargetMode="External"/><Relationship  Id="rId12046" Type="http://schemas.openxmlformats.org/officeDocument/2006/relationships/hyperlink" Target="http://www.deal-eco.fr" TargetMode="External"/><Relationship  Id="rId12047" Type="http://schemas.openxmlformats.org/officeDocument/2006/relationships/hyperlink" Target="http://www.linkedin.com/in/j%c3%a9rome-guind%c3%a9-a4835065" TargetMode="External"/><Relationship  Id="rId12048" Type="http://schemas.openxmlformats.org/officeDocument/2006/relationships/hyperlink" Target="http://www.guinde.com" TargetMode="External"/><Relationship  Id="rId12049" Type="http://schemas.openxmlformats.org/officeDocument/2006/relationships/hyperlink" Target="http://www.linkedin.com/in/jean-baboin-4158b648" TargetMode="External"/><Relationship  Id="rId1205" Type="http://schemas.openxmlformats.org/officeDocument/2006/relationships/hyperlink" Target="http://www.linkedin.com/in/micha%c3%abl-pasquet-018a2a3" TargetMode="External"/><Relationship  Id="rId12050" Type="http://schemas.openxmlformats.org/officeDocument/2006/relationships/hyperlink" Target="http://www.abcis.fr" TargetMode="External"/><Relationship  Id="rId12051" Type="http://schemas.openxmlformats.org/officeDocument/2006/relationships/hyperlink" Target="http://www.linkedin.com/in/christine-lequertier-14b2a276" TargetMode="External"/><Relationship  Id="rId12052" Type="http://schemas.openxmlformats.org/officeDocument/2006/relationships/hyperlink" Target="http://www.linkedin.com/in/patrick-doreau-843a677a" TargetMode="External"/><Relationship  Id="rId12053" Type="http://schemas.openxmlformats.org/officeDocument/2006/relationships/hyperlink" Target="http://www.pax-ing.fr" TargetMode="External"/><Relationship  Id="rId12054" Type="http://schemas.openxmlformats.org/officeDocument/2006/relationships/hyperlink" Target="http://www.linkedin.com/in/patrice-quilloux-99ba1983" TargetMode="External"/><Relationship  Id="rId12055" Type="http://schemas.openxmlformats.org/officeDocument/2006/relationships/hyperlink" Target="http://www.routesetchantiersmodernes.com" TargetMode="External"/><Relationship  Id="rId12056" Type="http://schemas.openxmlformats.org/officeDocument/2006/relationships/hyperlink" Target="http://www.linkedin.com/in/alain-schmoll-a0289a59" TargetMode="External"/><Relationship  Id="rId12057" Type="http://schemas.openxmlformats.org/officeDocument/2006/relationships/hyperlink" Target="http://www.eliez.fr" TargetMode="External"/><Relationship  Id="rId12058" Type="http://schemas.openxmlformats.org/officeDocument/2006/relationships/hyperlink" Target="http://www.linkedin.com/in/romain-revel-62071496" TargetMode="External"/><Relationship  Id="rId12059" Type="http://schemas.openxmlformats.org/officeDocument/2006/relationships/hyperlink" Target="http://www.brbatiment.fr" TargetMode="External"/><Relationship  Id="rId1206" Type="http://schemas.openxmlformats.org/officeDocument/2006/relationships/hyperlink" Target="http://www.hotel-basecamplodge.com" TargetMode="External"/><Relationship  Id="rId12060" Type="http://schemas.openxmlformats.org/officeDocument/2006/relationships/hyperlink" Target="http://www.linkedin.com/in/erwan-croixmarie-96938755" TargetMode="External"/><Relationship  Id="rId12061" Type="http://schemas.openxmlformats.org/officeDocument/2006/relationships/hyperlink" Target="http://www.groupecroixmarie.com" TargetMode="External"/><Relationship  Id="rId12062" Type="http://schemas.openxmlformats.org/officeDocument/2006/relationships/hyperlink" Target="http://www.linkedin.com/in/guy-leblon-91b02682" TargetMode="External"/><Relationship  Id="rId12063" Type="http://schemas.openxmlformats.org/officeDocument/2006/relationships/hyperlink" Target="http://www.stratiforme.fr" TargetMode="External"/><Relationship  Id="rId12064" Type="http://schemas.openxmlformats.org/officeDocument/2006/relationships/hyperlink" Target="http://www.linkedin.com/in/vincent-cordonnier-50062842" TargetMode="External"/><Relationship  Id="rId12065" Type="http://schemas.openxmlformats.org/officeDocument/2006/relationships/hyperlink" Target="http://www.pilgrim-db.com" TargetMode="External"/><Relationship  Id="rId12066" Type="http://schemas.openxmlformats.org/officeDocument/2006/relationships/hyperlink" Target="http://www.linkedin.com/in/emmanuel-livadiotti-50261b41" TargetMode="External"/><Relationship  Id="rId12067" Type="http://schemas.openxmlformats.org/officeDocument/2006/relationships/hyperlink" Target="http://www.map3.net" TargetMode="External"/><Relationship  Id="rId12068" Type="http://schemas.openxmlformats.org/officeDocument/2006/relationships/hyperlink" Target="http://www.linkedin.com/in/julien-chatauret-431826175" TargetMode="External"/><Relationship  Id="rId12069" Type="http://schemas.openxmlformats.org/officeDocument/2006/relationships/hyperlink" Target="http://www.chatauret-tp.com" TargetMode="External"/><Relationship  Id="rId1207" Type="http://schemas.openxmlformats.org/officeDocument/2006/relationships/hyperlink" Target="http://www.linkedin.com/in/arnauld-baert-2b5585aa" TargetMode="External"/><Relationship  Id="rId12070" Type="http://schemas.openxmlformats.org/officeDocument/2006/relationships/hyperlink" Target="http://www.linkedin.com/in/alain-barbier-12891542" TargetMode="External"/><Relationship  Id="rId12071" Type="http://schemas.openxmlformats.org/officeDocument/2006/relationships/hyperlink" Target="http://www.youse-dev.com" TargetMode="External"/><Relationship  Id="rId12072" Type="http://schemas.openxmlformats.org/officeDocument/2006/relationships/hyperlink" Target="http://www.linkedin.com/in/mathieu-paradas-arroyo-482b912b" TargetMode="External"/><Relationship  Id="rId12073" Type="http://schemas.openxmlformats.org/officeDocument/2006/relationships/hyperlink" Target="http://www.r-use.fr" TargetMode="External"/><Relationship  Id="rId12074" Type="http://schemas.openxmlformats.org/officeDocument/2006/relationships/hyperlink" Target="http://www.linkedin.com/in/anne-lozachmeur-13783b" TargetMode="External"/><Relationship  Id="rId12075" Type="http://schemas.openxmlformats.org/officeDocument/2006/relationships/hyperlink" Target="http://www.linkedin.com/in/val%c3%a9rie-bertholon-99484690" TargetMode="External"/><Relationship  Id="rId12076" Type="http://schemas.openxmlformats.org/officeDocument/2006/relationships/hyperlink" Target="http://www.agi-isolation.com" TargetMode="External"/><Relationship  Id="rId12077" Type="http://schemas.openxmlformats.org/officeDocument/2006/relationships/hyperlink" Target="http://www.linkedin.com/in/cindy-krembser-1671679b" TargetMode="External"/><Relationship  Id="rId12078" Type="http://schemas.openxmlformats.org/officeDocument/2006/relationships/hyperlink" Target="http://www.acp-immo.fr" TargetMode="External"/><Relationship  Id="rId12079" Type="http://schemas.openxmlformats.org/officeDocument/2006/relationships/hyperlink" Target="http://www.linkedin.com/in/romain-joncour-a5387967" TargetMode="External"/><Relationship  Id="rId1208" Type="http://schemas.openxmlformats.org/officeDocument/2006/relationships/hyperlink" Target="http://www.chateaudegermigney.com" TargetMode="External"/><Relationship  Id="rId12080" Type="http://schemas.openxmlformats.org/officeDocument/2006/relationships/hyperlink" Target="http://www.rjoncour.com" TargetMode="External"/><Relationship  Id="rId12081" Type="http://schemas.openxmlformats.org/officeDocument/2006/relationships/hyperlink" Target="http://www.linkedin.com/in/thibaud-santantonio-336537142" TargetMode="External"/><Relationship  Id="rId12082" Type="http://schemas.openxmlformats.org/officeDocument/2006/relationships/hyperlink" Target="http://www.voxoa.fr" TargetMode="External"/><Relationship  Id="rId12083" Type="http://schemas.openxmlformats.org/officeDocument/2006/relationships/hyperlink" Target="http://www.linkedin.com/in/karine-stoops-323b331a" TargetMode="External"/><Relationship  Id="rId12084" Type="http://schemas.openxmlformats.org/officeDocument/2006/relationships/hyperlink" Target="http://www.groupe-stoops.fr" TargetMode="External"/><Relationship  Id="rId12085" Type="http://schemas.openxmlformats.org/officeDocument/2006/relationships/hyperlink" Target="http://www.linkedin.com/in/sabrina-antoniazzi-" TargetMode="External"/><Relationship  Id="rId12086" Type="http://schemas.openxmlformats.org/officeDocument/2006/relationships/hyperlink" Target="http://www.phd-deco.com" TargetMode="External"/><Relationship  Id="rId12087" Type="http://schemas.openxmlformats.org/officeDocument/2006/relationships/hyperlink" Target="http://www.linkedin.com/in/salim-ouchikh-39015a155" TargetMode="External"/><Relationship  Id="rId12088" Type="http://schemas.openxmlformats.org/officeDocument/2006/relationships/hyperlink" Target="http://www.soingenierie.com" TargetMode="External"/><Relationship  Id="rId12089" Type="http://schemas.openxmlformats.org/officeDocument/2006/relationships/hyperlink" Target="http://www.linkedin.com/in/aymeric-meunier-52ba3b1" TargetMode="External"/><Relationship  Id="rId1209" Type="http://schemas.openxmlformats.org/officeDocument/2006/relationships/hyperlink" Target="http://www.linkedin.com/in/charlesgalbois" TargetMode="External"/><Relationship  Id="rId12090" Type="http://schemas.openxmlformats.org/officeDocument/2006/relationships/hyperlink" Target="http://www.linkedin.com/in/david-guibreteau-78b8977a" TargetMode="External"/><Relationship  Id="rId12091" Type="http://schemas.openxmlformats.org/officeDocument/2006/relationships/hyperlink" Target="http://www.linkedin.com/in/alexandre-virlogeux-57a15437" TargetMode="External"/><Relationship  Id="rId12092" Type="http://schemas.openxmlformats.org/officeDocument/2006/relationships/hyperlink" Target="http://www.ischebeckfrance.fr" TargetMode="External"/><Relationship  Id="rId12093" Type="http://schemas.openxmlformats.org/officeDocument/2006/relationships/hyperlink" Target="http://www.linkedin.com/in/lucille-grandcolas-1122a6206" TargetMode="External"/><Relationship  Id="rId12094" Type="http://schemas.openxmlformats.org/officeDocument/2006/relationships/hyperlink" Target="http://www.tyo.work" TargetMode="External"/><Relationship  Id="rId12095" Type="http://schemas.openxmlformats.org/officeDocument/2006/relationships/hyperlink" Target="http://www.linkedin.com/in/luc-spielmann-6391aa231" TargetMode="External"/><Relationship  Id="rId12096" Type="http://schemas.openxmlformats.org/officeDocument/2006/relationships/hyperlink" Target="http://www.bigmat-spielmann.com" TargetMode="External"/><Relationship  Id="rId12097" Type="http://schemas.openxmlformats.org/officeDocument/2006/relationships/hyperlink" Target="http://www.linkedin.com/in/philippe-bellante-652303a9" TargetMode="External"/><Relationship  Id="rId12098" Type="http://schemas.openxmlformats.org/officeDocument/2006/relationships/hyperlink" Target="http://www.merceron.com" TargetMode="External"/><Relationship  Id="rId12099" Type="http://schemas.openxmlformats.org/officeDocument/2006/relationships/hyperlink" Target="http://www.linkedin.com/in/christophe-mas-343b13105" TargetMode="External"/><Relationship  Id="rId121" Type="http://schemas.openxmlformats.org/officeDocument/2006/relationships/hyperlink" Target="http://www.gimmyfood.com" TargetMode="External"/><Relationship  Id="rId1210" Type="http://schemas.openxmlformats.org/officeDocument/2006/relationships/hyperlink" Target="http://www.welcomehotel.com" TargetMode="External"/><Relationship  Id="rId12100" Type="http://schemas.openxmlformats.org/officeDocument/2006/relationships/hyperlink" Target="http://www.epc-travaux.fr" TargetMode="External"/><Relationship  Id="rId12101" Type="http://schemas.openxmlformats.org/officeDocument/2006/relationships/hyperlink" Target="http://www.linkedin.com/in/jean-christophe-palmieri-04299a144" TargetMode="External"/><Relationship  Id="rId12102" Type="http://schemas.openxmlformats.org/officeDocument/2006/relationships/hyperlink" Target="http://www.socodip.com" TargetMode="External"/><Relationship  Id="rId12103" Type="http://schemas.openxmlformats.org/officeDocument/2006/relationships/hyperlink" Target="http://www.linkedin.com/in/youssef-khouman-155556106" TargetMode="External"/><Relationship  Id="rId12104" Type="http://schemas.openxmlformats.org/officeDocument/2006/relationships/hyperlink" Target="http://www.dwelling.be" TargetMode="External"/><Relationship  Id="rId12105" Type="http://schemas.openxmlformats.org/officeDocument/2006/relationships/hyperlink" Target="http://www.linkedin.com/in/hamo-cecen-a018ba170" TargetMode="External"/><Relationship  Id="rId12106" Type="http://schemas.openxmlformats.org/officeDocument/2006/relationships/hyperlink" Target="http://www.archi-bat.fr" TargetMode="External"/><Relationship  Id="rId12107" Type="http://schemas.openxmlformats.org/officeDocument/2006/relationships/hyperlink" Target="http://www.linkedin.com/in/quentin-capelle-b45453184" TargetMode="External"/><Relationship  Id="rId12108" Type="http://schemas.openxmlformats.org/officeDocument/2006/relationships/hyperlink" Target="http://www.charpente-thouarsaise.fr" TargetMode="External"/><Relationship  Id="rId12109" Type="http://schemas.openxmlformats.org/officeDocument/2006/relationships/hyperlink" Target="http://www.linkedin.com/in/pascal-martin-7008102a6" TargetMode="External"/><Relationship  Id="rId1211" Type="http://schemas.openxmlformats.org/officeDocument/2006/relationships/hyperlink" Target="http://www.linkedin.com/in/mohamed-el-mouaffak-990309157" TargetMode="External"/><Relationship  Id="rId12110" Type="http://schemas.openxmlformats.org/officeDocument/2006/relationships/hyperlink" Target="http://www.alprofer.fr" TargetMode="External"/><Relationship  Id="rId12111" Type="http://schemas.openxmlformats.org/officeDocument/2006/relationships/hyperlink" Target="http://www.linkedin.com/in/thierry-chevalier-209423167" TargetMode="External"/><Relationship  Id="rId12112" Type="http://schemas.openxmlformats.org/officeDocument/2006/relationships/hyperlink" Target="http://www.rmc-equipements.fr" TargetMode="External"/><Relationship  Id="rId12113" Type="http://schemas.openxmlformats.org/officeDocument/2006/relationships/hyperlink" Target="http://www.linkedin.com/in/ga%c3%abtan-peschet-436992225" TargetMode="External"/><Relationship  Id="rId12114" Type="http://schemas.openxmlformats.org/officeDocument/2006/relationships/hyperlink" Target="http://www.haretdeco.fr" TargetMode="External"/><Relationship  Id="rId12115" Type="http://schemas.openxmlformats.org/officeDocument/2006/relationships/hyperlink" Target="http://www.linkedin.com/in/aur%c3%a9lien-grenier-0b8323a2" TargetMode="External"/><Relationship  Id="rId12116" Type="http://schemas.openxmlformats.org/officeDocument/2006/relationships/hyperlink" Target="http://www.altia-constructions.fr" TargetMode="External"/><Relationship  Id="rId12117" Type="http://schemas.openxmlformats.org/officeDocument/2006/relationships/hyperlink" Target="http://www.linkedin.com/in/ambroise-brunel-6b29b032" TargetMode="External"/><Relationship  Id="rId12118" Type="http://schemas.openxmlformats.org/officeDocument/2006/relationships/hyperlink" Target="http://www.reseauchantier.fr" TargetMode="External"/><Relationship  Id="rId12119" Type="http://schemas.openxmlformats.org/officeDocument/2006/relationships/hyperlink" Target="http://www.linkedin.com/in/riza-ciftci-42641baa" TargetMode="External"/><Relationship  Id="rId1212" Type="http://schemas.openxmlformats.org/officeDocument/2006/relationships/hyperlink" Target="http://www.ventrus.fr" TargetMode="External"/><Relationship  Id="rId12120" Type="http://schemas.openxmlformats.org/officeDocument/2006/relationships/hyperlink" Target="http://www.cilg-construction.fr" TargetMode="External"/><Relationship  Id="rId12121" Type="http://schemas.openxmlformats.org/officeDocument/2006/relationships/hyperlink" Target="http://www.linkedin.com/in/paola-berrino-3b823892" TargetMode="External"/><Relationship  Id="rId12122" Type="http://schemas.openxmlformats.org/officeDocument/2006/relationships/hyperlink" Target="http://www.linkedin.com/in/patrick-sangiardi-72004122b" TargetMode="External"/><Relationship  Id="rId12123" Type="http://schemas.openxmlformats.org/officeDocument/2006/relationships/hyperlink" Target="http://www.grouptech9.fr" TargetMode="External"/><Relationship  Id="rId12124" Type="http://schemas.openxmlformats.org/officeDocument/2006/relationships/hyperlink" Target="http://www.linkedin.com/in/antoinesaillon" TargetMode="External"/><Relationship  Id="rId12125" Type="http://schemas.openxmlformats.org/officeDocument/2006/relationships/hyperlink" Target="http://www.rpimenuiserie.com" TargetMode="External"/><Relationship  Id="rId12126" Type="http://schemas.openxmlformats.org/officeDocument/2006/relationships/hyperlink" Target="http://www.linkedin.com/in/g%c3%a9r%c3%b4me-blanc-86925928" TargetMode="External"/><Relationship  Id="rId12127" Type="http://schemas.openxmlformats.org/officeDocument/2006/relationships/hyperlink" Target="http://www.groupe-tpb.fr" TargetMode="External"/><Relationship  Id="rId12128" Type="http://schemas.openxmlformats.org/officeDocument/2006/relationships/hyperlink" Target="http://www.linkedin.com/in/cengiz-donmez-b55996166" TargetMode="External"/><Relationship  Id="rId12129" Type="http://schemas.openxmlformats.org/officeDocument/2006/relationships/hyperlink" Target="http://www.linkedin.com/in/philippe-seixo-144b05195" TargetMode="External"/><Relationship  Id="rId1213" Type="http://schemas.openxmlformats.org/officeDocument/2006/relationships/hyperlink" Target="http://www.linkedin.com/in/christophe-delaune-50b423107" TargetMode="External"/><Relationship  Id="rId12130" Type="http://schemas.openxmlformats.org/officeDocument/2006/relationships/hyperlink" Target="http://www.seixo-habitat.fr" TargetMode="External"/><Relationship  Id="rId12131" Type="http://schemas.openxmlformats.org/officeDocument/2006/relationships/hyperlink" Target="http://www.linkedin.com/in/idirasa" TargetMode="External"/><Relationship  Id="rId12132" Type="http://schemas.openxmlformats.org/officeDocument/2006/relationships/hyperlink" Target="http://www.linkedin.com/in/nicolas-petreaux-5643516" TargetMode="External"/><Relationship  Id="rId12133" Type="http://schemas.openxmlformats.org/officeDocument/2006/relationships/hyperlink" Target="http://www.tebior.com" TargetMode="External"/><Relationship  Id="rId12134" Type="http://schemas.openxmlformats.org/officeDocument/2006/relationships/hyperlink" Target="http://www.linkedin.com/in/maxime-chaumont-5b3a47176" TargetMode="External"/><Relationship  Id="rId12135" Type="http://schemas.openxmlformats.org/officeDocument/2006/relationships/hyperlink" Target="http://www.linkedin.com/in/patricemathiot" TargetMode="External"/><Relationship  Id="rId12136" Type="http://schemas.openxmlformats.org/officeDocument/2006/relationships/hyperlink" Target="http://www.tambe.fr" TargetMode="External"/><Relationship  Id="rId12137" Type="http://schemas.openxmlformats.org/officeDocument/2006/relationships/hyperlink" Target="http://www.linkedin.com/in/antoine-motte-73158272" TargetMode="External"/><Relationship  Id="rId12138" Type="http://schemas.openxmlformats.org/officeDocument/2006/relationships/hyperlink" Target="http://www.linkedin.com/in/eric-rotteleur-54487a17" TargetMode="External"/><Relationship  Id="rId12139" Type="http://schemas.openxmlformats.org/officeDocument/2006/relationships/hyperlink" Target="http://www.briand-industries.fr" TargetMode="External"/><Relationship  Id="rId1214" Type="http://schemas.openxmlformats.org/officeDocument/2006/relationships/hyperlink" Target="http://www.domaine-dablon.com" TargetMode="External"/><Relationship  Id="rId12140" Type="http://schemas.openxmlformats.org/officeDocument/2006/relationships/hyperlink" Target="http://www.linkedin.com/in/r%c3%a9mi-chassagne-bb806966" TargetMode="External"/><Relationship  Id="rId12141" Type="http://schemas.openxmlformats.org/officeDocument/2006/relationships/hyperlink" Target="http://www.linkedin.com/in/tony-bernardo-55a58398" TargetMode="External"/><Relationship  Id="rId12142" Type="http://schemas.openxmlformats.org/officeDocument/2006/relationships/hyperlink" Target="http://www.ocellis-energies.fr" TargetMode="External"/><Relationship  Id="rId12143" Type="http://schemas.openxmlformats.org/officeDocument/2006/relationships/hyperlink" Target="http://www.linkedin.com/in/laura-genest-947a0631" TargetMode="External"/><Relationship  Id="rId12144" Type="http://schemas.openxmlformats.org/officeDocument/2006/relationships/hyperlink" Target="http://www.roulliaud.fr" TargetMode="External"/><Relationship  Id="rId12145" Type="http://schemas.openxmlformats.org/officeDocument/2006/relationships/hyperlink" Target="http://www.linkedin.com/in/st%c3%a9phane-distinguin-a0b09744" TargetMode="External"/><Relationship  Id="rId12146" Type="http://schemas.openxmlformats.org/officeDocument/2006/relationships/hyperlink" Target="http://www.semiper.fr" TargetMode="External"/><Relationship  Id="rId12147" Type="http://schemas.openxmlformats.org/officeDocument/2006/relationships/hyperlink" Target="http://www.linkedin.com/in/thierry-palvadeau-37642170" TargetMode="External"/><Relationship  Id="rId12148" Type="http://schemas.openxmlformats.org/officeDocument/2006/relationships/hyperlink" Target="http://www.novam-ingenierie.com" TargetMode="External"/><Relationship  Id="rId12149" Type="http://schemas.openxmlformats.org/officeDocument/2006/relationships/hyperlink" Target="http://www.linkedin.com/in/mustafa-akyuz-bb48b3100" TargetMode="External"/><Relationship  Id="rId1215" Type="http://schemas.openxmlformats.org/officeDocument/2006/relationships/hyperlink" Target="http://www.linkedin.com/in/j%c3%a9r%c3%a9mie-cormier-3a8a6882" TargetMode="External"/><Relationship  Id="rId12150" Type="http://schemas.openxmlformats.org/officeDocument/2006/relationships/hyperlink" Target="http://www.deobat.com" TargetMode="External"/><Relationship  Id="rId12151" Type="http://schemas.openxmlformats.org/officeDocument/2006/relationships/hyperlink" Target="http://www.linkedin.com/in/kamal-moukdir-05b501179" TargetMode="External"/><Relationship  Id="rId12152" Type="http://schemas.openxmlformats.org/officeDocument/2006/relationships/hyperlink" Target="http://www.nouvelere-corp.fr" TargetMode="External"/><Relationship  Id="rId12153" Type="http://schemas.openxmlformats.org/officeDocument/2006/relationships/hyperlink" Target="http://www.linkedin.com/in/camille-delanghe-497448135" TargetMode="External"/><Relationship  Id="rId12154" Type="http://schemas.openxmlformats.org/officeDocument/2006/relationships/hyperlink" Target="http://www.linkedin.com/in/firat-kisaer-89402285" TargetMode="External"/><Relationship  Id="rId12155" Type="http://schemas.openxmlformats.org/officeDocument/2006/relationships/hyperlink" Target="http://www.realsol.fr" TargetMode="External"/><Relationship  Id="rId12156" Type="http://schemas.openxmlformats.org/officeDocument/2006/relationships/hyperlink" Target="http://www.linkedin.com/in/emilie-beaurepaire-09a929261" TargetMode="External"/><Relationship  Id="rId12157" Type="http://schemas.openxmlformats.org/officeDocument/2006/relationships/hyperlink" Target="http://www.linkedin.com/in/xaviermenuet" TargetMode="External"/><Relationship  Id="rId12158" Type="http://schemas.openxmlformats.org/officeDocument/2006/relationships/hyperlink" Target="http://www.fadem.net" TargetMode="External"/><Relationship  Id="rId12159" Type="http://schemas.openxmlformats.org/officeDocument/2006/relationships/hyperlink" Target="http://www.linkedin.com/in/r%c3%a9my-monnier-402b121b" TargetMode="External"/><Relationship  Id="rId1216" Type="http://schemas.openxmlformats.org/officeDocument/2006/relationships/hyperlink" Target="http://www.linkedin.com/in/alexis-melikov-428a2b233" TargetMode="External"/><Relationship  Id="rId12160" Type="http://schemas.openxmlformats.org/officeDocument/2006/relationships/hyperlink" Target="http://www.laube.fr" TargetMode="External"/><Relationship  Id="rId12161" Type="http://schemas.openxmlformats.org/officeDocument/2006/relationships/hyperlink" Target="http://www.linkedin.com/in/pierre-thevenin-33a0b4132" TargetMode="External"/><Relationship  Id="rId12162" Type="http://schemas.openxmlformats.org/officeDocument/2006/relationships/hyperlink" Target="http://www.viviany.fr" TargetMode="External"/><Relationship  Id="rId12163" Type="http://schemas.openxmlformats.org/officeDocument/2006/relationships/hyperlink" Target="http://www.linkedin.com/in/philippe-lejeune-4423b3166" TargetMode="External"/><Relationship  Id="rId12164" Type="http://schemas.openxmlformats.org/officeDocument/2006/relationships/hyperlink" Target="http://www.batisoldallage.com" TargetMode="External"/><Relationship  Id="rId12165" Type="http://schemas.openxmlformats.org/officeDocument/2006/relationships/hyperlink" Target="http://www.linkedin.com/in/christophe-stumpf-b7916a1b1" TargetMode="External"/><Relationship  Id="rId12166" Type="http://schemas.openxmlformats.org/officeDocument/2006/relationships/hyperlink" Target="http://www.haslerfenster.ch" TargetMode="External"/><Relationship  Id="rId12167" Type="http://schemas.openxmlformats.org/officeDocument/2006/relationships/hyperlink" Target="http://www.linkedin.com/in/jean-christophe-faurie-059388123" TargetMode="External"/><Relationship  Id="rId12168" Type="http://schemas.openxmlformats.org/officeDocument/2006/relationships/hyperlink" Target="http://www.floriot.fr" TargetMode="External"/><Relationship  Id="rId12169" Type="http://schemas.openxmlformats.org/officeDocument/2006/relationships/hyperlink" Target="http://www.linkedin.com/in/philippe-brandolini-8b5babb" TargetMode="External"/><Relationship  Id="rId1217" Type="http://schemas.openxmlformats.org/officeDocument/2006/relationships/hyperlink" Target="http://www.linkedin.com/in/simon-louvard" TargetMode="External"/><Relationship  Id="rId12170" Type="http://schemas.openxmlformats.org/officeDocument/2006/relationships/hyperlink" Target="http://www.menuiserie-fenetres-loire-rhone.fr" TargetMode="External"/><Relationship  Id="rId12171" Type="http://schemas.openxmlformats.org/officeDocument/2006/relationships/hyperlink" Target="http://www.linkedin.com/in/matthieu-salem-544246205" TargetMode="External"/><Relationship  Id="rId12172" Type="http://schemas.openxmlformats.org/officeDocument/2006/relationships/hyperlink" Target="http://www.delecroix-stanczyk.com" TargetMode="External"/><Relationship  Id="rId12173" Type="http://schemas.openxmlformats.org/officeDocument/2006/relationships/hyperlink" Target="http://www.linkedin.com/in/paul-chiappore-43b46b83" TargetMode="External"/><Relationship  Id="rId12174" Type="http://schemas.openxmlformats.org/officeDocument/2006/relationships/hyperlink" Target="http://www.igesa.com.pe" TargetMode="External"/><Relationship  Id="rId12175" Type="http://schemas.openxmlformats.org/officeDocument/2006/relationships/hyperlink" Target="http://www.linkedin.com/in/ad%c3%a8le-marteau-1679ba183" TargetMode="External"/><Relationship  Id="rId12176" Type="http://schemas.openxmlformats.org/officeDocument/2006/relationships/hyperlink" Target="http://www.gautier-entreprise.fr" TargetMode="External"/><Relationship  Id="rId12177" Type="http://schemas.openxmlformats.org/officeDocument/2006/relationships/hyperlink" Target="http://www.linkedin.com/in/victor-ollier-9a8869110" TargetMode="External"/><Relationship  Id="rId12178" Type="http://schemas.openxmlformats.org/officeDocument/2006/relationships/hyperlink" Target="http://www.amourdedieu.fr" TargetMode="External"/><Relationship  Id="rId12179" Type="http://schemas.openxmlformats.org/officeDocument/2006/relationships/hyperlink" Target="http://www.linkedin.com/in/laurent-allouis-95aaa9127" TargetMode="External"/><Relationship  Id="rId1218" Type="http://schemas.openxmlformats.org/officeDocument/2006/relationships/hyperlink" Target="http://www.lodg-ing.com" TargetMode="External"/><Relationship  Id="rId12180" Type="http://schemas.openxmlformats.org/officeDocument/2006/relationships/hyperlink" Target="http://www.allouis-faceintec.com" TargetMode="External"/><Relationship  Id="rId12181" Type="http://schemas.openxmlformats.org/officeDocument/2006/relationships/hyperlink" Target="http://www.linkedin.com/in/vincent-barbier-aab42753" TargetMode="External"/><Relationship  Id="rId12182" Type="http://schemas.openxmlformats.org/officeDocument/2006/relationships/hyperlink" Target="http://www.mtc-ii.com" TargetMode="External"/><Relationship  Id="rId12183" Type="http://schemas.openxmlformats.org/officeDocument/2006/relationships/hyperlink" Target="http://www.linkedin.com/in/pierre-charpentier-3b8440169" TargetMode="External"/><Relationship  Id="rId12184" Type="http://schemas.openxmlformats.org/officeDocument/2006/relationships/hyperlink" Target="http://www.linkedin.com/in/j%c3%a9r%c3%b4me-bouclier-b5574b22b" TargetMode="External"/><Relationship  Id="rId12185" Type="http://schemas.openxmlformats.org/officeDocument/2006/relationships/hyperlink" Target="http://www.habitat-environnement-services.fr" TargetMode="External"/><Relationship  Id="rId12186" Type="http://schemas.openxmlformats.org/officeDocument/2006/relationships/hyperlink" Target="http://www.linkedin.com/in/france-colson-50b6b91ba" TargetMode="External"/><Relationship  Id="rId12187" Type="http://schemas.openxmlformats.org/officeDocument/2006/relationships/hyperlink" Target="http://www.betadam.fr" TargetMode="External"/><Relationship  Id="rId12188" Type="http://schemas.openxmlformats.org/officeDocument/2006/relationships/hyperlink" Target="http://www.linkedin.com/in/xavier-renaud-5b4822185" TargetMode="External"/><Relationship  Id="rId12189" Type="http://schemas.openxmlformats.org/officeDocument/2006/relationships/hyperlink" Target="http://www.renaud-duby.fr" TargetMode="External"/><Relationship  Id="rId1219" Type="http://schemas.openxmlformats.org/officeDocument/2006/relationships/hyperlink" Target="http://www.linkedin.com/in/laura-isabella-noujaim-947248109" TargetMode="External"/><Relationship  Id="rId12190" Type="http://schemas.openxmlformats.org/officeDocument/2006/relationships/hyperlink" Target="http://www.linkedin.com/in/c%c3%a9dric-lachaumette-9439887b" TargetMode="External"/><Relationship  Id="rId12191" Type="http://schemas.openxmlformats.org/officeDocument/2006/relationships/hyperlink" Target="http://www.lachaumettechaput.fr" TargetMode="External"/><Relationship  Id="rId12192" Type="http://schemas.openxmlformats.org/officeDocument/2006/relationships/hyperlink" Target="http://www.linkedin.com/in/damien-porcheron-aa9b8720a" TargetMode="External"/><Relationship  Id="rId12193" Type="http://schemas.openxmlformats.org/officeDocument/2006/relationships/hyperlink" Target="http://www.porcheron.com" TargetMode="External"/><Relationship  Id="rId12194" Type="http://schemas.openxmlformats.org/officeDocument/2006/relationships/hyperlink" Target="http://www.linkedin.com/in/kudlug-deger-8aab7032" TargetMode="External"/><Relationship  Id="rId12195" Type="http://schemas.openxmlformats.org/officeDocument/2006/relationships/hyperlink" Target="http://www.dggroup.fr" TargetMode="External"/><Relationship  Id="rId12196" Type="http://schemas.openxmlformats.org/officeDocument/2006/relationships/hyperlink" Target="http://www.linkedin.com/in/adeline-garnier-24a6292bb" TargetMode="External"/><Relationship  Id="rId12197" Type="http://schemas.openxmlformats.org/officeDocument/2006/relationships/hyperlink" Target="http://www.miroiterie-schultz.fr" TargetMode="External"/><Relationship  Id="rId12198" Type="http://schemas.openxmlformats.org/officeDocument/2006/relationships/hyperlink" Target="http://www.linkedin.com/in/ludovic-fabre-501ab3170" TargetMode="External"/><Relationship  Id="rId12199" Type="http://schemas.openxmlformats.org/officeDocument/2006/relationships/hyperlink" Target="http://www.creabois-agencement.fr" TargetMode="External"/><Relationship  Id="rId122" Type="http://schemas.openxmlformats.org/officeDocument/2006/relationships/hyperlink" Target="http://www.linkedin.com/in/gr%c3%a9gory-pourrin-86bb856b" TargetMode="External"/><Relationship  Id="rId1220" Type="http://schemas.openxmlformats.org/officeDocument/2006/relationships/hyperlink" Target="http://www.petiteforet.com" TargetMode="External"/><Relationship  Id="rId12200" Type="http://schemas.openxmlformats.org/officeDocument/2006/relationships/hyperlink" Target="http://www.linkedin.com/in/sylvain-bogeat" TargetMode="External"/><Relationship  Id="rId12201" Type="http://schemas.openxmlformats.org/officeDocument/2006/relationships/hyperlink" Target="http://www.vestack.com" TargetMode="External"/><Relationship  Id="rId12202" Type="http://schemas.openxmlformats.org/officeDocument/2006/relationships/hyperlink" Target="http://www.linkedin.com/in/quentin-minvielle-9918b34a" TargetMode="External"/><Relationship  Id="rId12203" Type="http://schemas.openxmlformats.org/officeDocument/2006/relationships/hyperlink" Target="http://www.kaliti.fr" TargetMode="External"/><Relationship  Id="rId12204" Type="http://schemas.openxmlformats.org/officeDocument/2006/relationships/hyperlink" Target="http://www.linkedin.com/in/jan-ducouret" TargetMode="External"/><Relationship  Id="rId12205" Type="http://schemas.openxmlformats.org/officeDocument/2006/relationships/hyperlink" Target="http://www.energiequelle.fr" TargetMode="External"/><Relationship  Id="rId12206" Type="http://schemas.openxmlformats.org/officeDocument/2006/relationships/hyperlink" Target="http://www.linkedin.com/in/pierre-vial-33abaa79" TargetMode="External"/><Relationship  Id="rId12207" Type="http://schemas.openxmlformats.org/officeDocument/2006/relationships/hyperlink" Target="http://www.vial-climatique.com" TargetMode="External"/><Relationship  Id="rId12208" Type="http://schemas.openxmlformats.org/officeDocument/2006/relationships/hyperlink" Target="http://www.linkedin.com/in/bertrand-jacquelot-bb60674a" TargetMode="External"/><Relationship  Id="rId12209" Type="http://schemas.openxmlformats.org/officeDocument/2006/relationships/hyperlink" Target="http://www.projim.com" TargetMode="External"/><Relationship  Id="rId1221" Type="http://schemas.openxmlformats.org/officeDocument/2006/relationships/hyperlink" Target="http://www.linkedin.com/in/mariek-anselme" TargetMode="External"/><Relationship  Id="rId12210" Type="http://schemas.openxmlformats.org/officeDocument/2006/relationships/hyperlink" Target="http://www.linkedin.com/in/chailloux-xavier-14b1176a" TargetMode="External"/><Relationship  Id="rId12211" Type="http://schemas.openxmlformats.org/officeDocument/2006/relationships/hyperlink" Target="http://www.atlantic-modulaire.fr" TargetMode="External"/><Relationship  Id="rId12212" Type="http://schemas.openxmlformats.org/officeDocument/2006/relationships/hyperlink" Target="http://www.linkedin.com/in/alain-guillen-154a29" TargetMode="External"/><Relationship  Id="rId12213" Type="http://schemas.openxmlformats.org/officeDocument/2006/relationships/hyperlink" Target="http://www.xtreee.com" TargetMode="External"/><Relationship  Id="rId12214" Type="http://schemas.openxmlformats.org/officeDocument/2006/relationships/hyperlink" Target="http://www.linkedin.com/in/thomas-gheselle" TargetMode="External"/><Relationship  Id="rId12215" Type="http://schemas.openxmlformats.org/officeDocument/2006/relationships/hyperlink" Target="http://www.sunelis.com" TargetMode="External"/><Relationship  Id="rId12216" Type="http://schemas.openxmlformats.org/officeDocument/2006/relationships/hyperlink" Target="http://www.linkedin.com/in/ludovic-eveno-84216713b" TargetMode="External"/><Relationship  Id="rId12217" Type="http://schemas.openxmlformats.org/officeDocument/2006/relationships/hyperlink" Target="http://www.linkedin.com/in/ludovic-debelfort-9b3856108" TargetMode="External"/><Relationship  Id="rId12218" Type="http://schemas.openxmlformats.org/officeDocument/2006/relationships/hyperlink" Target="http://www.life-ingenierie.com" TargetMode="External"/><Relationship  Id="rId12219" Type="http://schemas.openxmlformats.org/officeDocument/2006/relationships/hyperlink" Target="http://www.linkedin.com/in/eric-thiebaut-5a90525a" TargetMode="External"/><Relationship  Id="rId1222" Type="http://schemas.openxmlformats.org/officeDocument/2006/relationships/hyperlink" Target="http://www.amaselections.com" TargetMode="External"/><Relationship  Id="rId12220" Type="http://schemas.openxmlformats.org/officeDocument/2006/relationships/hyperlink" Target="http://www.soreba.fr" TargetMode="External"/><Relationship  Id="rId12221" Type="http://schemas.openxmlformats.org/officeDocument/2006/relationships/hyperlink" Target="http://www.linkedin.com/in/simon-lembeye-443512a1" TargetMode="External"/><Relationship  Id="rId12222" Type="http://schemas.openxmlformats.org/officeDocument/2006/relationships/hyperlink" Target="http://www.teploenergies.com" TargetMode="External"/><Relationship  Id="rId12223" Type="http://schemas.openxmlformats.org/officeDocument/2006/relationships/hyperlink" Target="http://www.linkedin.com/in/mathieu-pichon-61496b17" TargetMode="External"/><Relationship  Id="rId12224" Type="http://schemas.openxmlformats.org/officeDocument/2006/relationships/hyperlink" Target="http://www.sylneo.com" TargetMode="External"/><Relationship  Id="rId12225" Type="http://schemas.openxmlformats.org/officeDocument/2006/relationships/hyperlink" Target="http://www.linkedin.com/in/christophe-lorant-81b5211" TargetMode="External"/><Relationship  Id="rId12226" Type="http://schemas.openxmlformats.org/officeDocument/2006/relationships/hyperlink" Target="http://www.lbm.paris" TargetMode="External"/><Relationship  Id="rId12227" Type="http://schemas.openxmlformats.org/officeDocument/2006/relationships/hyperlink" Target="http://www.linkedin.com/in/courteix-alexandre-33760083" TargetMode="External"/><Relationship  Id="rId12228" Type="http://schemas.openxmlformats.org/officeDocument/2006/relationships/hyperlink" Target="http://www.bosgiraud.fr" TargetMode="External"/><Relationship  Id="rId12229" Type="http://schemas.openxmlformats.org/officeDocument/2006/relationships/hyperlink" Target="http://www.linkedin.com/in/francis-baumann-35a611108" TargetMode="External"/><Relationship  Id="rId1223" Type="http://schemas.openxmlformats.org/officeDocument/2006/relationships/hyperlink" Target="http://www.linkedin.com/in/piotr-kacki-3b803543" TargetMode="External"/><Relationship  Id="rId12230" Type="http://schemas.openxmlformats.org/officeDocument/2006/relationships/hyperlink" Target="http://www.atelier-agencement.fr" TargetMode="External"/><Relationship  Id="rId12231" Type="http://schemas.openxmlformats.org/officeDocument/2006/relationships/hyperlink" Target="http://www.linkedin.com/in/laurent-gallay-idelecplus" TargetMode="External"/><Relationship  Id="rId12232" Type="http://schemas.openxmlformats.org/officeDocument/2006/relationships/hyperlink" Target="http://www.idelecplus.com" TargetMode="External"/><Relationship  Id="rId12233" Type="http://schemas.openxmlformats.org/officeDocument/2006/relationships/hyperlink" Target="http://www.linkedin.com/in/florent-noiray-22037b1" TargetMode="External"/><Relationship  Id="rId12234" Type="http://schemas.openxmlformats.org/officeDocument/2006/relationships/hyperlink" Target="http://www.spadagroup.fr" TargetMode="External"/><Relationship  Id="rId12235" Type="http://schemas.openxmlformats.org/officeDocument/2006/relationships/hyperlink" Target="http://www.linkedin.com/in/pierre-trancart-91a79340" TargetMode="External"/><Relationship  Id="rId12236" Type="http://schemas.openxmlformats.org/officeDocument/2006/relationships/hyperlink" Target="http://www.groupe-ig.com" TargetMode="External"/><Relationship  Id="rId12237" Type="http://schemas.openxmlformats.org/officeDocument/2006/relationships/hyperlink" Target="http://www.linkedin.com/in/erik-ledorguet-48836483" TargetMode="External"/><Relationship  Id="rId12238" Type="http://schemas.openxmlformats.org/officeDocument/2006/relationships/hyperlink" Target="http://www.linkedin.com/in/romuald-bellon-6158514a" TargetMode="External"/><Relationship  Id="rId12239" Type="http://schemas.openxmlformats.org/officeDocument/2006/relationships/hyperlink" Target="http://www.lor-eco.fr" TargetMode="External"/><Relationship  Id="rId1224" Type="http://schemas.openxmlformats.org/officeDocument/2006/relationships/hyperlink" Target="http://www.bonjour-residences.co.uk" TargetMode="External"/><Relationship  Id="rId12240" Type="http://schemas.openxmlformats.org/officeDocument/2006/relationships/hyperlink" Target="http://www.linkedin.com/in/antoine-bisbrouck-81425bb3" TargetMode="External"/><Relationship  Id="rId12241" Type="http://schemas.openxmlformats.org/officeDocument/2006/relationships/hyperlink" Target="http://www.linkedin.com/in/bryanpagnusatt" TargetMode="External"/><Relationship  Id="rId12242" Type="http://schemas.openxmlformats.org/officeDocument/2006/relationships/hyperlink" Target="http://www.qualitech-groupe.com" TargetMode="External"/><Relationship  Id="rId12243" Type="http://schemas.openxmlformats.org/officeDocument/2006/relationships/hyperlink" Target="http://www.linkedin.com/in/matthieu-leroy-70132637" TargetMode="External"/><Relationship  Id="rId12244" Type="http://schemas.openxmlformats.org/officeDocument/2006/relationships/hyperlink" Target="http://www.phasequatre.com" TargetMode="External"/><Relationship  Id="rId12245" Type="http://schemas.openxmlformats.org/officeDocument/2006/relationships/hyperlink" Target="http://www.linkedin.com/in/didier-roussel-49387520b" TargetMode="External"/><Relationship  Id="rId12246" Type="http://schemas.openxmlformats.org/officeDocument/2006/relationships/hyperlink" Target="http://www.trtp-paca.fr" TargetMode="External"/><Relationship  Id="rId12247" Type="http://schemas.openxmlformats.org/officeDocument/2006/relationships/hyperlink" Target="http://www.linkedin.com/in/estevan-cyril-68371196" TargetMode="External"/><Relationship  Id="rId12248" Type="http://schemas.openxmlformats.org/officeDocument/2006/relationships/hyperlink" Target="http://www.equipements-ouvrages-art.fr" TargetMode="External"/><Relationship  Id="rId12249" Type="http://schemas.openxmlformats.org/officeDocument/2006/relationships/hyperlink" Target="http://www.linkedin.com/in/carole-robert-165b4541" TargetMode="External"/><Relationship  Id="rId1225" Type="http://schemas.openxmlformats.org/officeDocument/2006/relationships/hyperlink" Target="http://www.linkedin.com/in/marie-debie-hec" TargetMode="External"/><Relationship  Id="rId12250" Type="http://schemas.openxmlformats.org/officeDocument/2006/relationships/hyperlink" Target="http://www.clr-consulting.fr" TargetMode="External"/><Relationship  Id="rId12251" Type="http://schemas.openxmlformats.org/officeDocument/2006/relationships/hyperlink" Target="http://www.linkedin.com/in/xavier-boudain-ab43698a" TargetMode="External"/><Relationship  Id="rId12252" Type="http://schemas.openxmlformats.org/officeDocument/2006/relationships/hyperlink" Target="http://www.be-semi.com" TargetMode="External"/><Relationship  Id="rId12253" Type="http://schemas.openxmlformats.org/officeDocument/2006/relationships/hyperlink" Target="http://www.linkedin.com/in/laurent-richard-a259899b" TargetMode="External"/><Relationship  Id="rId12254" Type="http://schemas.openxmlformats.org/officeDocument/2006/relationships/hyperlink" Target="http://www.tpsm-tp.fr" TargetMode="External"/><Relationship  Id="rId12255" Type="http://schemas.openxmlformats.org/officeDocument/2006/relationships/hyperlink" Target="http://www.linkedin.com/in/faussot-didier-460484113" TargetMode="External"/><Relationship  Id="rId12256" Type="http://schemas.openxmlformats.org/officeDocument/2006/relationships/hyperlink" Target="http://www.linkedin.com/in/nicolas-touron-9b1643251" TargetMode="External"/><Relationship  Id="rId12257" Type="http://schemas.openxmlformats.org/officeDocument/2006/relationships/hyperlink" Target="http://www.nemesia-amenagement.fr" TargetMode="External"/><Relationship  Id="rId12258" Type="http://schemas.openxmlformats.org/officeDocument/2006/relationships/hyperlink" Target="http://www.linkedin.com/in/th%c3%a9o-saffray-a568aa165" TargetMode="External"/><Relationship  Id="rId12259" Type="http://schemas.openxmlformats.org/officeDocument/2006/relationships/hyperlink" Target="http://www.h2cnco.fr" TargetMode="External"/><Relationship  Id="rId1226" Type="http://schemas.openxmlformats.org/officeDocument/2006/relationships/hyperlink" Target="http://www.tranchegroupe.com" TargetMode="External"/><Relationship  Id="rId12260" Type="http://schemas.openxmlformats.org/officeDocument/2006/relationships/hyperlink" Target="http://www.linkedin.com/in/pierre-nacio-4958b4111" TargetMode="External"/><Relationship  Id="rId12261" Type="http://schemas.openxmlformats.org/officeDocument/2006/relationships/hyperlink" Target="http://www.linkedin.com/in/nicolas-guillen-2211a275" TargetMode="External"/><Relationship  Id="rId12262" Type="http://schemas.openxmlformats.org/officeDocument/2006/relationships/hyperlink" Target="http://www.avr-ing.fr" TargetMode="External"/><Relationship  Id="rId12263" Type="http://schemas.openxmlformats.org/officeDocument/2006/relationships/hyperlink" Target="http://www.linkedin.com/in/vincent-boitel-417b9a11" TargetMode="External"/><Relationship  Id="rId12264" Type="http://schemas.openxmlformats.org/officeDocument/2006/relationships/hyperlink" Target="http://www.boiteletfils.fr" TargetMode="External"/><Relationship  Id="rId12265" Type="http://schemas.openxmlformats.org/officeDocument/2006/relationships/hyperlink" Target="http://www.linkedin.com/in/xavier-bonnet-149a08116" TargetMode="External"/><Relationship  Id="rId12266" Type="http://schemas.openxmlformats.org/officeDocument/2006/relationships/hyperlink" Target="http://www.labocaine.com" TargetMode="External"/><Relationship  Id="rId12267" Type="http://schemas.openxmlformats.org/officeDocument/2006/relationships/hyperlink" Target="http://www.linkedin.com/in/eric-de-morais-53061811" TargetMode="External"/><Relationship  Id="rId12268" Type="http://schemas.openxmlformats.org/officeDocument/2006/relationships/hyperlink" Target="http://www.sarthou-menuiseries.fr" TargetMode="External"/><Relationship  Id="rId12269" Type="http://schemas.openxmlformats.org/officeDocument/2006/relationships/hyperlink" Target="http://www.linkedin.com/in/nathalie-planchais" TargetMode="External"/><Relationship  Id="rId1227" Type="http://schemas.openxmlformats.org/officeDocument/2006/relationships/hyperlink" Target="http://www.linkedin.com/in/blancharddignac" TargetMode="External"/><Relationship  Id="rId12270" Type="http://schemas.openxmlformats.org/officeDocument/2006/relationships/hyperlink" Target="http://www.deschamps-sa.com" TargetMode="External"/><Relationship  Id="rId12271" Type="http://schemas.openxmlformats.org/officeDocument/2006/relationships/hyperlink" Target="http://www.linkedin.com/in/hugues-echasseriau-6a266545" TargetMode="External"/><Relationship  Id="rId12272" Type="http://schemas.openxmlformats.org/officeDocument/2006/relationships/hyperlink" Target="http://www.steelgo.fr" TargetMode="External"/><Relationship  Id="rId12273" Type="http://schemas.openxmlformats.org/officeDocument/2006/relationships/hyperlink" Target="http://www.linkedin.com/in/alexis-roques-3a695a32" TargetMode="External"/><Relationship  Id="rId12274" Type="http://schemas.openxmlformats.org/officeDocument/2006/relationships/hyperlink" Target="http://www.rougieretfils.fr" TargetMode="External"/><Relationship  Id="rId12275" Type="http://schemas.openxmlformats.org/officeDocument/2006/relationships/hyperlink" Target="http://www.linkedin.com/in/julien-saubesty-873b11b4" TargetMode="External"/><Relationship  Id="rId12276" Type="http://schemas.openxmlformats.org/officeDocument/2006/relationships/hyperlink" Target="http://www.home-constructions.fr" TargetMode="External"/><Relationship  Id="rId12277" Type="http://schemas.openxmlformats.org/officeDocument/2006/relationships/hyperlink" Target="http://www.linkedin.com/in/sylvain-goncalves-21a030101" TargetMode="External"/><Relationship  Id="rId12278" Type="http://schemas.openxmlformats.org/officeDocument/2006/relationships/hyperlink" Target="http://www.groupe-remove.com" TargetMode="External"/><Relationship  Id="rId12279" Type="http://schemas.openxmlformats.org/officeDocument/2006/relationships/hyperlink" Target="http://www.linkedin.com/in/nicolas-legendre-8496151a" TargetMode="External"/><Relationship  Id="rId1228" Type="http://schemas.openxmlformats.org/officeDocument/2006/relationships/hyperlink" Target="http://www.lesmaquereaux.com" TargetMode="External"/><Relationship  Id="rId12280" Type="http://schemas.openxmlformats.org/officeDocument/2006/relationships/hyperlink" Target="http://www.lacompagniedestoits.com" TargetMode="External"/><Relationship  Id="rId12281" Type="http://schemas.openxmlformats.org/officeDocument/2006/relationships/hyperlink" Target="http://www.linkedin.com/in/gilles-colombel-80ba0575" TargetMode="External"/><Relationship  Id="rId12282" Type="http://schemas.openxmlformats.org/officeDocument/2006/relationships/hyperlink" Target="http://www.cogelec.net" TargetMode="External"/><Relationship  Id="rId12283" Type="http://schemas.openxmlformats.org/officeDocument/2006/relationships/hyperlink" Target="http://www.linkedin.com/in/c%c3%a9dric-gauthier-610914219" TargetMode="External"/><Relationship  Id="rId12284" Type="http://schemas.openxmlformats.org/officeDocument/2006/relationships/hyperlink" Target="http://www.benoit-guyot.fr" TargetMode="External"/><Relationship  Id="rId12285" Type="http://schemas.openxmlformats.org/officeDocument/2006/relationships/hyperlink" Target="http://www.linkedin.com/in/jeanlucfirmin" TargetMode="External"/><Relationship  Id="rId12286" Type="http://schemas.openxmlformats.org/officeDocument/2006/relationships/hyperlink" Target="http://www.sharemat.fr" TargetMode="External"/><Relationship  Id="rId12287" Type="http://schemas.openxmlformats.org/officeDocument/2006/relationships/hyperlink" Target="http://www.linkedin.com/in/christian-vertadier-511b31a4" TargetMode="External"/><Relationship  Id="rId12288" Type="http://schemas.openxmlformats.org/officeDocument/2006/relationships/hyperlink" Target="http://www.cabrol.fr" TargetMode="External"/><Relationship  Id="rId12289" Type="http://schemas.openxmlformats.org/officeDocument/2006/relationships/hyperlink" Target="http://www.linkedin.com/in/ozdogan-yilmaz-b168a3120" TargetMode="External"/><Relationship  Id="rId1229" Type="http://schemas.openxmlformats.org/officeDocument/2006/relationships/hyperlink" Target="http://www.linkedin.com/in/mehdy-boukersi-959297151" TargetMode="External"/><Relationship  Id="rId12290" Type="http://schemas.openxmlformats.org/officeDocument/2006/relationships/hyperlink" Target="http://www.ezel.fr" TargetMode="External"/><Relationship  Id="rId12291" Type="http://schemas.openxmlformats.org/officeDocument/2006/relationships/hyperlink" Target="http://www.linkedin.com/in/moayad-harb" TargetMode="External"/><Relationship  Id="rId12292" Type="http://schemas.openxmlformats.org/officeDocument/2006/relationships/hyperlink" Target="http://www.afaco.fr" TargetMode="External"/><Relationship  Id="rId12293" Type="http://schemas.openxmlformats.org/officeDocument/2006/relationships/hyperlink" Target="http://www.linkedin.com/in/christianlecloux63" TargetMode="External"/><Relationship  Id="rId12294" Type="http://schemas.openxmlformats.org/officeDocument/2006/relationships/hyperlink" Target="http://www.nivet.fr" TargetMode="External"/><Relationship  Id="rId12295" Type="http://schemas.openxmlformats.org/officeDocument/2006/relationships/hyperlink" Target="http://www.linkedin.com/in/nicolas-maitre-34133ba5" TargetMode="External"/><Relationship  Id="rId12296" Type="http://schemas.openxmlformats.org/officeDocument/2006/relationships/hyperlink" Target="http://www.sombat.fr" TargetMode="External"/><Relationship  Id="rId12297" Type="http://schemas.openxmlformats.org/officeDocument/2006/relationships/hyperlink" Target="http://www.linkedin.com/in/sarah-westerfeld-913295215" TargetMode="External"/><Relationship  Id="rId12298" Type="http://schemas.openxmlformats.org/officeDocument/2006/relationships/hyperlink" Target="http://www.bellastock.com" TargetMode="External"/><Relationship  Id="rId12299" Type="http://schemas.openxmlformats.org/officeDocument/2006/relationships/hyperlink" Target="http://www.linkedin.com/in/ghyslainwattrelos" TargetMode="External"/><Relationship  Id="rId123" Type="http://schemas.openxmlformats.org/officeDocument/2006/relationships/hyperlink" Target="http://www.paris-inn.com" TargetMode="External"/><Relationship  Id="rId1230" Type="http://schemas.openxmlformats.org/officeDocument/2006/relationships/hyperlink" Target="http://www.linkedin.com/in/nordine-bara-300340204" TargetMode="External"/><Relationship  Id="rId12300" Type="http://schemas.openxmlformats.org/officeDocument/2006/relationships/hyperlink" Target="http://www.greenmade.fr" TargetMode="External"/><Relationship  Id="rId12301" Type="http://schemas.openxmlformats.org/officeDocument/2006/relationships/hyperlink" Target="http://www.linkedin.com/in/pierre-parisot-7b46bb8" TargetMode="External"/><Relationship  Id="rId12302" Type="http://schemas.openxmlformats.org/officeDocument/2006/relationships/hyperlink" Target="http://www.apogea-sol.fr" TargetMode="External"/><Relationship  Id="rId12303" Type="http://schemas.openxmlformats.org/officeDocument/2006/relationships/hyperlink" Target="http://www.linkedin.com/in/pierre-emmanuel-lagrange-7219338b" TargetMode="External"/><Relationship  Id="rId12304" Type="http://schemas.openxmlformats.org/officeDocument/2006/relationships/hyperlink" Target="http://www.carre-creation.com" TargetMode="External"/><Relationship  Id="rId12305" Type="http://schemas.openxmlformats.org/officeDocument/2006/relationships/hyperlink" Target="http://www.linkedin.com/in/jean-marc-bonnamain-b113bbb9" TargetMode="External"/><Relationship  Id="rId12306" Type="http://schemas.openxmlformats.org/officeDocument/2006/relationships/hyperlink" Target="http://www.groupe-bonnefoy.fr" TargetMode="External"/><Relationship  Id="rId12307" Type="http://schemas.openxmlformats.org/officeDocument/2006/relationships/hyperlink" Target="http://www.linkedin.com/in/nicolas-richaud-114a99a6" TargetMode="External"/><Relationship  Id="rId12308" Type="http://schemas.openxmlformats.org/officeDocument/2006/relationships/hyperlink" Target="http://www.linkedin.com/in/thomas-michaud-ba3a02b5" TargetMode="External"/><Relationship  Id="rId12309" Type="http://schemas.openxmlformats.org/officeDocument/2006/relationships/hyperlink" Target="http://www.bfc-promotion-habitat.fr" TargetMode="External"/><Relationship  Id="rId1231" Type="http://schemas.openxmlformats.org/officeDocument/2006/relationships/hyperlink" Target="http://www.linkedin.com/in/cvalla" TargetMode="External"/><Relationship  Id="rId12310" Type="http://schemas.openxmlformats.org/officeDocument/2006/relationships/hyperlink" Target="http://www.linkedin.com/in/philippe-louet" TargetMode="External"/><Relationship  Id="rId12311" Type="http://schemas.openxmlformats.org/officeDocument/2006/relationships/hyperlink" Target="http://www.blard.fr" TargetMode="External"/><Relationship  Id="rId12312" Type="http://schemas.openxmlformats.org/officeDocument/2006/relationships/hyperlink" Target="http://www.linkedin.com/in/boris-gleyen-b2565445" TargetMode="External"/><Relationship  Id="rId12313" Type="http://schemas.openxmlformats.org/officeDocument/2006/relationships/hyperlink" Target="http://www.groupe-bardon.com" TargetMode="External"/><Relationship  Id="rId12314" Type="http://schemas.openxmlformats.org/officeDocument/2006/relationships/hyperlink" Target="http://www.linkedin.com/in/julien-petrel-a4992b26" TargetMode="External"/><Relationship  Id="rId12315" Type="http://schemas.openxmlformats.org/officeDocument/2006/relationships/hyperlink" Target="http://www.habiteum.com" TargetMode="External"/><Relationship  Id="rId12316" Type="http://schemas.openxmlformats.org/officeDocument/2006/relationships/hyperlink" Target="http://www.linkedin.com/in/julien-ruccione-1a76a8202" TargetMode="External"/><Relationship  Id="rId12317" Type="http://schemas.openxmlformats.org/officeDocument/2006/relationships/hyperlink" Target="http://www.ectb.fr" TargetMode="External"/><Relationship  Id="rId12318" Type="http://schemas.openxmlformats.org/officeDocument/2006/relationships/hyperlink" Target="http://www.linkedin.com/in/hamid-chtouane-7521b37" TargetMode="External"/><Relationship  Id="rId12319" Type="http://schemas.openxmlformats.org/officeDocument/2006/relationships/hyperlink" Target="http://www.ahlde.eu" TargetMode="External"/><Relationship  Id="rId1232" Type="http://schemas.openxmlformats.org/officeDocument/2006/relationships/hyperlink" Target="http://www.edit-nantes.fr" TargetMode="External"/><Relationship  Id="rId12320" Type="http://schemas.openxmlformats.org/officeDocument/2006/relationships/hyperlink" Target="http://www.linkedin.com/in/jonathan-febra-05768b84" TargetMode="External"/><Relationship  Id="rId12321" Type="http://schemas.openxmlformats.org/officeDocument/2006/relationships/hyperlink" Target="http://www.g2j-elec.fr" TargetMode="External"/><Relationship  Id="rId12322" Type="http://schemas.openxmlformats.org/officeDocument/2006/relationships/hyperlink" Target="http://www.linkedin.com/in/philippe-boulay-directeur-g%c3%a9n%c3%a9ral-32291215" TargetMode="External"/><Relationship  Id="rId12323" Type="http://schemas.openxmlformats.org/officeDocument/2006/relationships/hyperlink" Target="http://www.peinteco.com" TargetMode="External"/><Relationship  Id="rId12324" Type="http://schemas.openxmlformats.org/officeDocument/2006/relationships/hyperlink" Target="http://permismaison.fr" TargetMode="External"/><Relationship  Id="rId12325" Type="http://schemas.openxmlformats.org/officeDocument/2006/relationships/hyperlink" Target="http://www.linkedin.com/in/samuel-jacob-permis-maison" TargetMode="External"/><Relationship  Id="rId12326" Type="http://schemas.openxmlformats.org/officeDocument/2006/relationships/hyperlink" Target="http://www.permismaison.fr" TargetMode="External"/><Relationship  Id="rId12327" Type="http://schemas.openxmlformats.org/officeDocument/2006/relationships/hyperlink" Target="http://www.linkedin.com/in/julien-rodrigues-020aa820" TargetMode="External"/><Relationship  Id="rId12328" Type="http://schemas.openxmlformats.org/officeDocument/2006/relationships/hyperlink" Target="http://www.j4r.fr" TargetMode="External"/><Relationship  Id="rId12329" Type="http://schemas.openxmlformats.org/officeDocument/2006/relationships/hyperlink" Target="http://www.linkedin.com/in/david-thorel-452b3bb7" TargetMode="External"/><Relationship  Id="rId1233" Type="http://schemas.openxmlformats.org/officeDocument/2006/relationships/hyperlink" Target="http://www.linkedin.com/in/valentin-vernice-018284106" TargetMode="External"/><Relationship  Id="rId12330" Type="http://schemas.openxmlformats.org/officeDocument/2006/relationships/hyperlink" Target="http://www.fenetresetverandas.fr" TargetMode="External"/><Relationship  Id="rId12331" Type="http://schemas.openxmlformats.org/officeDocument/2006/relationships/hyperlink" Target="http://www.linkedin.com/in/nicolas-bourrasset-5a14321a4" TargetMode="External"/><Relationship  Id="rId12332" Type="http://schemas.openxmlformats.org/officeDocument/2006/relationships/hyperlink" Target="http://www.bbati.com" TargetMode="External"/><Relationship  Id="rId12333" Type="http://schemas.openxmlformats.org/officeDocument/2006/relationships/hyperlink" Target="http://www.linkedin.com/in/aymeric-chanteloup-41720032" TargetMode="External"/><Relationship  Id="rId12334" Type="http://schemas.openxmlformats.org/officeDocument/2006/relationships/hyperlink" Target="http://www.ambee.fr" TargetMode="External"/><Relationship  Id="rId12335" Type="http://schemas.openxmlformats.org/officeDocument/2006/relationships/hyperlink" Target="http://www.linkedin.com/in/nicolas-petitfour-9498554a" TargetMode="External"/><Relationship  Id="rId12336" Type="http://schemas.openxmlformats.org/officeDocument/2006/relationships/hyperlink" Target="http://www.peintre-toulouse.com" TargetMode="External"/><Relationship  Id="rId12337" Type="http://schemas.openxmlformats.org/officeDocument/2006/relationships/hyperlink" Target="http://www.linkedin.com/in/valerie-cavel" TargetMode="External"/><Relationship  Id="rId12338" Type="http://schemas.openxmlformats.org/officeDocument/2006/relationships/hyperlink" Target="http://www.delaval.fr" TargetMode="External"/><Relationship  Id="rId12339" Type="http://schemas.openxmlformats.org/officeDocument/2006/relationships/hyperlink" Target="http://www.linkedin.com/in/s%c3%a9bastien-picard-75405474" TargetMode="External"/><Relationship  Id="rId1234" Type="http://schemas.openxmlformats.org/officeDocument/2006/relationships/hyperlink" Target="http://www.ciboulette-dijon.fr" TargetMode="External"/><Relationship  Id="rId12340" Type="http://schemas.openxmlformats.org/officeDocument/2006/relationships/hyperlink" Target="http://www.idec-grandsud.com" TargetMode="External"/><Relationship  Id="rId12341" Type="http://schemas.openxmlformats.org/officeDocument/2006/relationships/hyperlink" Target="http://www.linkedin.com/in/arthur-duvoid-66b1381ba" TargetMode="External"/><Relationship  Id="rId12342" Type="http://schemas.openxmlformats.org/officeDocument/2006/relationships/hyperlink" Target="http://www.ingegroup.fr" TargetMode="External"/><Relationship  Id="rId12343" Type="http://schemas.openxmlformats.org/officeDocument/2006/relationships/hyperlink" Target="http://www.linkedin.com/in/edouard-chambon-7b113b72" TargetMode="External"/><Relationship  Id="rId12344" Type="http://schemas.openxmlformats.org/officeDocument/2006/relationships/hyperlink" Target="http://www.groupe-lang.com" TargetMode="External"/><Relationship  Id="rId12345" Type="http://schemas.openxmlformats.org/officeDocument/2006/relationships/hyperlink" Target="http://www.linkedin.com/in/matthieurobert" TargetMode="External"/><Relationship  Id="rId12346" Type="http://schemas.openxmlformats.org/officeDocument/2006/relationships/hyperlink" Target="http://www.arro-ingenierie.fr" TargetMode="External"/><Relationship  Id="rId12347" Type="http://schemas.openxmlformats.org/officeDocument/2006/relationships/hyperlink" Target="http://www.linkedin.com/in/marouane-jalal-%f0%9f%8c%9f-b80a42135" TargetMode="External"/><Relationship  Id="rId12348" Type="http://schemas.openxmlformats.org/officeDocument/2006/relationships/hyperlink" Target="http://www.m2c-amenagement.fr" TargetMode="External"/><Relationship  Id="rId12349" Type="http://schemas.openxmlformats.org/officeDocument/2006/relationships/hyperlink" Target="http://www.linkedin.com/in/cedric-daniel-twiza" TargetMode="External"/><Relationship  Id="rId1235" Type="http://schemas.openxmlformats.org/officeDocument/2006/relationships/hyperlink" Target="http://www.linkedin.com/in/parisouk-vong-8216b622" TargetMode="External"/><Relationship  Id="rId12350" Type="http://schemas.openxmlformats.org/officeDocument/2006/relationships/hyperlink" Target="http://www.twiza.org" TargetMode="External"/><Relationship  Id="rId12351" Type="http://schemas.openxmlformats.org/officeDocument/2006/relationships/hyperlink" Target="http://www.linkedin.com/in/serge-marrant-1950bb160" TargetMode="External"/><Relationship  Id="rId12352" Type="http://schemas.openxmlformats.org/officeDocument/2006/relationships/hyperlink" Target="http://www.groupe-bam.fr" TargetMode="External"/><Relationship  Id="rId12353" Type="http://schemas.openxmlformats.org/officeDocument/2006/relationships/hyperlink" Target="http://www.linkedin.com/in/cyrille-couder-1a27447a" TargetMode="External"/><Relationship  Id="rId12354" Type="http://schemas.openxmlformats.org/officeDocument/2006/relationships/hyperlink" Target="http://www.mgbr.fr" TargetMode="External"/><Relationship  Id="rId12355" Type="http://schemas.openxmlformats.org/officeDocument/2006/relationships/hyperlink" Target="http://www.linkedin.com/in/anne-sophie-moroni" TargetMode="External"/><Relationship  Id="rId12356" Type="http://schemas.openxmlformats.org/officeDocument/2006/relationships/hyperlink" Target="http://www.moroni.fr" TargetMode="External"/><Relationship  Id="rId12357" Type="http://schemas.openxmlformats.org/officeDocument/2006/relationships/hyperlink" Target="http://www.linkedin.com/in/gildas-martienne-23746a70" TargetMode="External"/><Relationship  Id="rId12358" Type="http://schemas.openxmlformats.org/officeDocument/2006/relationships/hyperlink" Target="http://www.lazard-sa.com" TargetMode="External"/><Relationship  Id="rId12359" Type="http://schemas.openxmlformats.org/officeDocument/2006/relationships/hyperlink" Target="http://www.linkedin.com/in/mehdi-riachi-b1436835" TargetMode="External"/><Relationship  Id="rId1236" Type="http://schemas.openxmlformats.org/officeDocument/2006/relationships/hyperlink" Target="http://www.thai-at-home.com" TargetMode="External"/><Relationship  Id="rId12360" Type="http://schemas.openxmlformats.org/officeDocument/2006/relationships/hyperlink" Target="http://www.baiedesomme-habitat.fr" TargetMode="External"/><Relationship  Id="rId12361" Type="http://schemas.openxmlformats.org/officeDocument/2006/relationships/hyperlink" Target="http://www.linkedin.com/in/guillaume-cassin-a3b23488" TargetMode="External"/><Relationship  Id="rId12362" Type="http://schemas.openxmlformats.org/officeDocument/2006/relationships/hyperlink" Target="http://www.tridyme.com" TargetMode="External"/><Relationship  Id="rId12363" Type="http://schemas.openxmlformats.org/officeDocument/2006/relationships/hyperlink" Target="http://www.linkedin.com/in/pierre-hugand-248a67136" TargetMode="External"/><Relationship  Id="rId12364" Type="http://schemas.openxmlformats.org/officeDocument/2006/relationships/hyperlink" Target="http://www.fusion-cm.com" TargetMode="External"/><Relationship  Id="rId12365" Type="http://schemas.openxmlformats.org/officeDocument/2006/relationships/hyperlink" Target="http://www.linkedin.com/in/soraya-haffaf-332bb2220" TargetMode="External"/><Relationship  Id="rId12366" Type="http://schemas.openxmlformats.org/officeDocument/2006/relationships/hyperlink" Target="http://www.linkedin.com/in/fabien-thauvin-398888a4" TargetMode="External"/><Relationship  Id="rId12367" Type="http://schemas.openxmlformats.org/officeDocument/2006/relationships/hyperlink" Target="http://www.maisons-vigery.com" TargetMode="External"/><Relationship  Id="rId12368" Type="http://schemas.openxmlformats.org/officeDocument/2006/relationships/hyperlink" Target="http://www.linkedin.com/in/didier-comble-tangente-phi3282" TargetMode="External"/><Relationship  Id="rId12369" Type="http://schemas.openxmlformats.org/officeDocument/2006/relationships/hyperlink" Target="http://www.couvertureslopez.fr" TargetMode="External"/><Relationship  Id="rId1237" Type="http://schemas.openxmlformats.org/officeDocument/2006/relationships/hyperlink" Target="http://www.linkedin.com/in/antoine-bonfort-8a22684b" TargetMode="External"/><Relationship  Id="rId12370" Type="http://schemas.openxmlformats.org/officeDocument/2006/relationships/hyperlink" Target="http://www.linkedin.com/in/abinoham-pantel-175b3ab1" TargetMode="External"/><Relationship  Id="rId12371" Type="http://schemas.openxmlformats.org/officeDocument/2006/relationships/hyperlink" Target="http://www.armorgard.fr" TargetMode="External"/><Relationship  Id="rId12372" Type="http://schemas.openxmlformats.org/officeDocument/2006/relationships/hyperlink" Target="http://www.linkedin.com/in/pierre-sallenave-60494a78" TargetMode="External"/><Relationship  Id="rId12373" Type="http://schemas.openxmlformats.org/officeDocument/2006/relationships/hyperlink" Target="http://www.cni44.com" TargetMode="External"/><Relationship  Id="rId12374" Type="http://schemas.openxmlformats.org/officeDocument/2006/relationships/hyperlink" Target="http://www.linkedin.com/in/anthony-delpech-212319135" TargetMode="External"/><Relationship  Id="rId12375" Type="http://schemas.openxmlformats.org/officeDocument/2006/relationships/hyperlink" Target="http://www.demeuresdoccitanie.fr" TargetMode="External"/><Relationship  Id="rId12376" Type="http://schemas.openxmlformats.org/officeDocument/2006/relationships/hyperlink" Target="http://www.linkedin.com/in/st%c3%a9phane-delaplace-8a4b763b" TargetMode="External"/><Relationship  Id="rId12377" Type="http://schemas.openxmlformats.org/officeDocument/2006/relationships/hyperlink" Target="http://www.negri-france.fr" TargetMode="External"/><Relationship  Id="rId12378" Type="http://schemas.openxmlformats.org/officeDocument/2006/relationships/hyperlink" Target="http://www.linkedin.com/in/nicolas-rabuel" TargetMode="External"/><Relationship  Id="rId12379" Type="http://schemas.openxmlformats.org/officeDocument/2006/relationships/hyperlink" Target="http://www.ielo.coop" TargetMode="External"/><Relationship  Id="rId1238" Type="http://schemas.openxmlformats.org/officeDocument/2006/relationships/hyperlink" Target="http://www.thefoodgang.fr" TargetMode="External"/><Relationship  Id="rId12380" Type="http://schemas.openxmlformats.org/officeDocument/2006/relationships/hyperlink" Target="http://www.linkedin.com/in/st%c3%a9phane-gombert-95689a41" TargetMode="External"/><Relationship  Id="rId12381" Type="http://schemas.openxmlformats.org/officeDocument/2006/relationships/hyperlink" Target="http://www.groupevernat.com" TargetMode="External"/><Relationship  Id="rId12382" Type="http://schemas.openxmlformats.org/officeDocument/2006/relationships/hyperlink" Target="http://www.linkedin.com/in/fabian-refour-1089b4166" TargetMode="External"/><Relationship  Id="rId12383" Type="http://schemas.openxmlformats.org/officeDocument/2006/relationships/hyperlink" Target="http://www.bernasconi-tp.com" TargetMode="External"/><Relationship  Id="rId12384" Type="http://schemas.openxmlformats.org/officeDocument/2006/relationships/hyperlink" Target="http://www.linkedin.com/in/tony-mendes-b39a8154" TargetMode="External"/><Relationship  Id="rId12385" Type="http://schemas.openxmlformats.org/officeDocument/2006/relationships/hyperlink" Target="http://www.resolutionfrance.com" TargetMode="External"/><Relationship  Id="rId12386" Type="http://schemas.openxmlformats.org/officeDocument/2006/relationships/hyperlink" Target="http://www.linkedin.com/in/peiuko-pourqui%c3%a9-74b42723" TargetMode="External"/><Relationship  Id="rId12387" Type="http://schemas.openxmlformats.org/officeDocument/2006/relationships/hyperlink" Target="http://www.arkeo-system.com" TargetMode="External"/><Relationship  Id="rId12388" Type="http://schemas.openxmlformats.org/officeDocument/2006/relationships/hyperlink" Target="http://www.linkedin.com/in/s%c3%a9bastien-rigot-61096922a" TargetMode="External"/><Relationship  Id="rId12389" Type="http://schemas.openxmlformats.org/officeDocument/2006/relationships/hyperlink" Target="http://www.linkedin.com/in/damien-cardoso-a54599177" TargetMode="External"/><Relationship  Id="rId1239" Type="http://schemas.openxmlformats.org/officeDocument/2006/relationships/hyperlink" Target="http://www.linkedin.com/in/gr%c3%a9goire-le-solleuz-328bb1108" TargetMode="External"/><Relationship  Id="rId12390" Type="http://schemas.openxmlformats.org/officeDocument/2006/relationships/hyperlink" Target="http://www.bat-isol.fr" TargetMode="External"/><Relationship  Id="rId12391" Type="http://schemas.openxmlformats.org/officeDocument/2006/relationships/hyperlink" Target="http://www.linkedin.com/in/benjamin-lapointe-a0617952" TargetMode="External"/><Relationship  Id="rId12392" Type="http://schemas.openxmlformats.org/officeDocument/2006/relationships/hyperlink" Target="http://www.impacttomorrow.fr" TargetMode="External"/><Relationship  Id="rId12393" Type="http://schemas.openxmlformats.org/officeDocument/2006/relationships/hyperlink" Target="http://www.linkedin.com/in/thomas-thevenot-mrics-a1777039" TargetMode="External"/><Relationship  Id="rId12394" Type="http://schemas.openxmlformats.org/officeDocument/2006/relationships/hyperlink" Target="http://www.neuronconsultancy.com" TargetMode="External"/><Relationship  Id="rId12395" Type="http://schemas.openxmlformats.org/officeDocument/2006/relationships/hyperlink" Target="http://www.linkedin.com/in/pierre-tissot-270a77117" TargetMode="External"/><Relationship  Id="rId12396" Type="http://schemas.openxmlformats.org/officeDocument/2006/relationships/hyperlink" Target="http://www.linkedin.com/in/arnaud-crapart-333622b3" TargetMode="External"/><Relationship  Id="rId12397" Type="http://schemas.openxmlformats.org/officeDocument/2006/relationships/hyperlink" Target="http://www.groupe-wiame.com" TargetMode="External"/><Relationship  Id="rId12398" Type="http://schemas.openxmlformats.org/officeDocument/2006/relationships/hyperlink" Target="http://www.linkedin.com/in/mickael-hardy-450515175" TargetMode="External"/><Relationship  Id="rId12399" Type="http://schemas.openxmlformats.org/officeDocument/2006/relationships/hyperlink" Target="http://www.guillhardconfort.fr" TargetMode="External"/><Relationship  Id="rId124" Type="http://schemas.openxmlformats.org/officeDocument/2006/relationships/hyperlink" Target="http://www.linkedin.com/in/jostmatthieu" TargetMode="External"/><Relationship  Id="rId1240" Type="http://schemas.openxmlformats.org/officeDocument/2006/relationships/hyperlink" Target="http://www.hotelmarielle.com" TargetMode="External"/><Relationship  Id="rId12400" Type="http://schemas.openxmlformats.org/officeDocument/2006/relationships/hyperlink" Target="http://www.linkedin.com/in/dtinmazian" TargetMode="External"/><Relationship  Id="rId12401" Type="http://schemas.openxmlformats.org/officeDocument/2006/relationships/hyperlink" Target="http://www.bleu-electricite-solutions.com" TargetMode="External"/><Relationship  Id="rId12402" Type="http://schemas.openxmlformats.org/officeDocument/2006/relationships/hyperlink" Target="http://www.linkedin.com/in/antoine-b-30079a86" TargetMode="External"/><Relationship  Id="rId12403" Type="http://schemas.openxmlformats.org/officeDocument/2006/relationships/hyperlink" Target="http://www.sodetri.fr" TargetMode="External"/><Relationship  Id="rId12404" Type="http://schemas.openxmlformats.org/officeDocument/2006/relationships/hyperlink" Target="http://www.linkedin.com/in/stanislas-de-br%c3%a9on-a6447ba6" TargetMode="External"/><Relationship  Id="rId12405" Type="http://schemas.openxmlformats.org/officeDocument/2006/relationships/hyperlink" Target="http://www.linkedin.com/in/morgan-prevost-77baa4202" TargetMode="External"/><Relationship  Id="rId12406" Type="http://schemas.openxmlformats.org/officeDocument/2006/relationships/hyperlink" Target="http://www.ets-peuch.fr" TargetMode="External"/><Relationship  Id="rId12407" Type="http://schemas.openxmlformats.org/officeDocument/2006/relationships/hyperlink" Target="http://www.linkedin.com/in/sylvain-dulbecco-2519a098" TargetMode="External"/><Relationship  Id="rId12408" Type="http://schemas.openxmlformats.org/officeDocument/2006/relationships/hyperlink" Target="http://www.ionyx-industrie.fr" TargetMode="External"/><Relationship  Id="rId12409" Type="http://schemas.openxmlformats.org/officeDocument/2006/relationships/hyperlink" Target="http://www.linkedin.com/in/jean-passini-421a5129" TargetMode="External"/><Relationship  Id="rId1241" Type="http://schemas.openxmlformats.org/officeDocument/2006/relationships/hyperlink" Target="http://www.linkedin.com/in/romain-gowhari-98808911" TargetMode="External"/><Relationship  Id="rId12410" Type="http://schemas.openxmlformats.org/officeDocument/2006/relationships/hyperlink" Target="http://www.sna.fr" TargetMode="External"/><Relationship  Id="rId12411" Type="http://schemas.openxmlformats.org/officeDocument/2006/relationships/hyperlink" Target="http://www.linkedin.com/in/gilles-weibel-7582a080" TargetMode="External"/><Relationship  Id="rId12412" Type="http://schemas.openxmlformats.org/officeDocument/2006/relationships/hyperlink" Target="http://www.deco-peint.com" TargetMode="External"/><Relationship  Id="rId12413" Type="http://schemas.openxmlformats.org/officeDocument/2006/relationships/hyperlink" Target="http://www.linkedin.com/in/david-guinet-61089b64" TargetMode="External"/><Relationship  Id="rId12414" Type="http://schemas.openxmlformats.org/officeDocument/2006/relationships/hyperlink" Target="http://www.tecta-ing.com" TargetMode="External"/><Relationship  Id="rId12415" Type="http://schemas.openxmlformats.org/officeDocument/2006/relationships/hyperlink" Target="http://www.linkedin.com/in/philippe-delatronchette-31063725b" TargetMode="External"/><Relationship  Id="rId12416" Type="http://schemas.openxmlformats.org/officeDocument/2006/relationships/hyperlink" Target="http://www.linkedin.com/in/brice-millet-0a100665" TargetMode="External"/><Relationship  Id="rId12417" Type="http://schemas.openxmlformats.org/officeDocument/2006/relationships/hyperlink" Target="http://www.lavillapornicaise.fr" TargetMode="External"/><Relationship  Id="rId12418" Type="http://schemas.openxmlformats.org/officeDocument/2006/relationships/hyperlink" Target="http://www.linkedin.com/in/j%c3%a9r%c3%b4me-torsiello-990332157" TargetMode="External"/><Relationship  Id="rId12419" Type="http://schemas.openxmlformats.org/officeDocument/2006/relationships/hyperlink" Target="http://www.socam-sme.fr" TargetMode="External"/><Relationship  Id="rId1242" Type="http://schemas.openxmlformats.org/officeDocument/2006/relationships/hyperlink" Target="http://www.linkedin.com/in/htiberi" TargetMode="External"/><Relationship  Id="rId12420" Type="http://schemas.openxmlformats.org/officeDocument/2006/relationships/hyperlink" Target="http://www.linkedin.com/in/yves-angermuller-ab695310" TargetMode="External"/><Relationship  Id="rId12421" Type="http://schemas.openxmlformats.org/officeDocument/2006/relationships/hyperlink" Target="http://www.angermuller.com" TargetMode="External"/><Relationship  Id="rId12422" Type="http://schemas.openxmlformats.org/officeDocument/2006/relationships/hyperlink" Target="http://www.linkedin.com/in/r%c3%a9mi-penillault-13651438" TargetMode="External"/><Relationship  Id="rId12423" Type="http://schemas.openxmlformats.org/officeDocument/2006/relationships/hyperlink" Target="http://www.les-charpentiers-de-paris.fr" TargetMode="External"/><Relationship  Id="rId12424" Type="http://schemas.openxmlformats.org/officeDocument/2006/relationships/hyperlink" Target="http://www.linkedin.com/in/claude-pernin-8bb256133" TargetMode="External"/><Relationship  Id="rId12425" Type="http://schemas.openxmlformats.org/officeDocument/2006/relationships/hyperlink" Target="http://www.landaise-menuiserie.fr" TargetMode="External"/><Relationship  Id="rId12426" Type="http://schemas.openxmlformats.org/officeDocument/2006/relationships/hyperlink" Target="http://www.linkedin.com/in/damiendubeaurepaire" TargetMode="External"/><Relationship  Id="rId12427" Type="http://schemas.openxmlformats.org/officeDocument/2006/relationships/hyperlink" Target="http://www.terrassesetbois.fr" TargetMode="External"/><Relationship  Id="rId12428" Type="http://schemas.openxmlformats.org/officeDocument/2006/relationships/hyperlink" Target="http://www.linkedin.com/in/alexis-baraut-371566a6" TargetMode="External"/><Relationship  Id="rId12429" Type="http://schemas.openxmlformats.org/officeDocument/2006/relationships/hyperlink" Target="http://www.ateliercox.fr" TargetMode="External"/><Relationship  Id="rId1243" Type="http://schemas.openxmlformats.org/officeDocument/2006/relationships/hyperlink" Target="http://www.pley-hotel.com" TargetMode="External"/><Relationship  Id="rId12430" Type="http://schemas.openxmlformats.org/officeDocument/2006/relationships/hyperlink" Target="http://www.linkedin.com/in/th%c3%a9o-moussion-65ab7511b" TargetMode="External"/><Relationship  Id="rId12431" Type="http://schemas.openxmlformats.org/officeDocument/2006/relationships/hyperlink" Target="http://www.armen-initiative.fr" TargetMode="External"/><Relationship  Id="rId12432" Type="http://schemas.openxmlformats.org/officeDocument/2006/relationships/hyperlink" Target="http://www.linkedin.com/in/david-touchard-19785a141" TargetMode="External"/><Relationship  Id="rId12433" Type="http://schemas.openxmlformats.org/officeDocument/2006/relationships/hyperlink" Target="http://www.alpha-service.co.uk" TargetMode="External"/><Relationship  Id="rId12434" Type="http://schemas.openxmlformats.org/officeDocument/2006/relationships/hyperlink" Target="http://www.linkedin.com/in/val%c3%a9rie-gulyas-a5a52b78" TargetMode="External"/><Relationship  Id="rId12435" Type="http://schemas.openxmlformats.org/officeDocument/2006/relationships/hyperlink" Target="http://www.groupe-serilec.fr" TargetMode="External"/><Relationship  Id="rId12436" Type="http://schemas.openxmlformats.org/officeDocument/2006/relationships/hyperlink" Target="http://www.linkedin.com/in/gilles-laguet-11814240" TargetMode="External"/><Relationship  Id="rId12437" Type="http://schemas.openxmlformats.org/officeDocument/2006/relationships/hyperlink" Target="http://www.ferbecketfumitherm.com" TargetMode="External"/><Relationship  Id="rId12438" Type="http://schemas.openxmlformats.org/officeDocument/2006/relationships/hyperlink" Target="http://www.linkedin.com/in/mazlum-alagoz-62a069171" TargetMode="External"/><Relationship  Id="rId12439" Type="http://schemas.openxmlformats.org/officeDocument/2006/relationships/hyperlink" Target="http://www.hmravalement.fr" TargetMode="External"/><Relationship  Id="rId1244" Type="http://schemas.openxmlformats.org/officeDocument/2006/relationships/hyperlink" Target="http://www.linkedin.com/in/nicolas-piazza-37520aa1" TargetMode="External"/><Relationship  Id="rId12440" Type="http://schemas.openxmlformats.org/officeDocument/2006/relationships/hyperlink" Target="http://www.linkedin.com/in/eric-bernard-brunel-3b3a6419b" TargetMode="External"/><Relationship  Id="rId12441" Type="http://schemas.openxmlformats.org/officeDocument/2006/relationships/hyperlink" Target="http://www.vepres.fr" TargetMode="External"/><Relationship  Id="rId12442" Type="http://schemas.openxmlformats.org/officeDocument/2006/relationships/hyperlink" Target="http://www.linkedin.com/in/m%c3%a9lina-lucas-7a5684211" TargetMode="External"/><Relationship  Id="rId12443" Type="http://schemas.openxmlformats.org/officeDocument/2006/relationships/hyperlink" Target="http://www.linkedin.com/in/sophie-chaperon-75873968" TargetMode="External"/><Relationship  Id="rId12444" Type="http://schemas.openxmlformats.org/officeDocument/2006/relationships/hyperlink" Target="http://www.imper-etancheite.fr" TargetMode="External"/><Relationship  Id="rId12445" Type="http://schemas.openxmlformats.org/officeDocument/2006/relationships/hyperlink" Target="http://www.linkedin.com/in/sylvain-gauvrit-54065743" TargetMode="External"/><Relationship  Id="rId12446" Type="http://schemas.openxmlformats.org/officeDocument/2006/relationships/hyperlink" Target="http://www.saint-eloi.eu" TargetMode="External"/><Relationship  Id="rId12447" Type="http://schemas.openxmlformats.org/officeDocument/2006/relationships/hyperlink" Target="http://www.linkedin.com/in/jonathan-moreno-30704a1ab" TargetMode="External"/><Relationship  Id="rId12448" Type="http://schemas.openxmlformats.org/officeDocument/2006/relationships/hyperlink" Target="http://www.modelar.fr" TargetMode="External"/><Relationship  Id="rId12449" Type="http://schemas.openxmlformats.org/officeDocument/2006/relationships/hyperlink" Target="http://www.linkedin.com/in/jacques-gouff%c3%a9-49a252294" TargetMode="External"/><Relationship  Id="rId1245" Type="http://schemas.openxmlformats.org/officeDocument/2006/relationships/hyperlink" Target="http://www.legrandhotel-letouquet.com" TargetMode="External"/><Relationship  Id="rId12450" Type="http://schemas.openxmlformats.org/officeDocument/2006/relationships/hyperlink" Target="http://www.cenovia.fr" TargetMode="External"/><Relationship  Id="rId12451" Type="http://schemas.openxmlformats.org/officeDocument/2006/relationships/hyperlink" Target="http://www.linkedin.com/in/lionel-marlet-3a758b108" TargetMode="External"/><Relationship  Id="rId12452" Type="http://schemas.openxmlformats.org/officeDocument/2006/relationships/hyperlink" Target="http://www.acrobat-btp.fr" TargetMode="External"/><Relationship  Id="rId12453" Type="http://schemas.openxmlformats.org/officeDocument/2006/relationships/hyperlink" Target="http://www.linkedin.com/in/paulbolardi" TargetMode="External"/><Relationship  Id="rId12454" Type="http://schemas.openxmlformats.org/officeDocument/2006/relationships/hyperlink" Target="http://www.buildingdemain.com" TargetMode="External"/><Relationship  Id="rId12455" Type="http://schemas.openxmlformats.org/officeDocument/2006/relationships/hyperlink" Target="http://www.linkedin.com/in/gregoire-marrant-461110141" TargetMode="External"/><Relationship  Id="rId12456" Type="http://schemas.openxmlformats.org/officeDocument/2006/relationships/hyperlink" Target="http://www.maisonsoxygene.com" TargetMode="External"/><Relationship  Id="rId12457" Type="http://schemas.openxmlformats.org/officeDocument/2006/relationships/hyperlink" Target="http://www.linkedin.com/in/adrien-guillet-a53728140" TargetMode="External"/><Relationship  Id="rId12458" Type="http://schemas.openxmlformats.org/officeDocument/2006/relationships/hyperlink" Target="http://www.location-tp-vendee.com" TargetMode="External"/><Relationship  Id="rId12459" Type="http://schemas.openxmlformats.org/officeDocument/2006/relationships/hyperlink" Target="http://www.linkedin.com/in/philippe-de-loitiere-626499b1" TargetMode="External"/><Relationship  Id="rId1246" Type="http://schemas.openxmlformats.org/officeDocument/2006/relationships/hyperlink" Target="http://www.linkedin.com/in/edouardchamprenault" TargetMode="External"/><Relationship  Id="rId12460" Type="http://schemas.openxmlformats.org/officeDocument/2006/relationships/hyperlink" Target="http://www.suityourwall.com" TargetMode="External"/><Relationship  Id="rId12461" Type="http://schemas.openxmlformats.org/officeDocument/2006/relationships/hyperlink" Target="http://www.linkedin.com/in/antoine-de-la-gournerie-64556b38" TargetMode="External"/><Relationship  Id="rId12462" Type="http://schemas.openxmlformats.org/officeDocument/2006/relationships/hyperlink" Target="http://www.linkedin.com/in/dominique-urbain-667a19119" TargetMode="External"/><Relationship  Id="rId12463" Type="http://schemas.openxmlformats.org/officeDocument/2006/relationships/hyperlink" Target="http://www.cohesens.net" TargetMode="External"/><Relationship  Id="rId12464" Type="http://schemas.openxmlformats.org/officeDocument/2006/relationships/hyperlink" Target="http://www.linkedin.com/in/olivier-riscala-5452612" TargetMode="External"/><Relationship  Id="rId12465" Type="http://schemas.openxmlformats.org/officeDocument/2006/relationships/hyperlink" Target="http://www.ecoxia.fr" TargetMode="External"/><Relationship  Id="rId12466" Type="http://schemas.openxmlformats.org/officeDocument/2006/relationships/hyperlink" Target="http://www.linkedin.com/in/thomas-jarjanette-089a8a130" TargetMode="External"/><Relationship  Id="rId12467" Type="http://schemas.openxmlformats.org/officeDocument/2006/relationships/hyperlink" Target="http://www.securelec-france.fr" TargetMode="External"/><Relationship  Id="rId12468" Type="http://schemas.openxmlformats.org/officeDocument/2006/relationships/hyperlink" Target="http://www.linkedin.com/in/ck-kartesien" TargetMode="External"/><Relationship  Id="rId12469" Type="http://schemas.openxmlformats.org/officeDocument/2006/relationships/hyperlink" Target="http://www.kartesien.fr" TargetMode="External"/><Relationship  Id="rId1247" Type="http://schemas.openxmlformats.org/officeDocument/2006/relationships/hyperlink" Target="http://www.chateau-boisniard.com" TargetMode="External"/><Relationship  Id="rId12470" Type="http://schemas.openxmlformats.org/officeDocument/2006/relationships/hyperlink" Target="http://www.linkedin.com/in/raphael-llobregat-4359bb" TargetMode="External"/><Relationship  Id="rId12471" Type="http://schemas.openxmlformats.org/officeDocument/2006/relationships/hyperlink" Target="http://www.continentalbitumen.com" TargetMode="External"/><Relationship  Id="rId12472" Type="http://schemas.openxmlformats.org/officeDocument/2006/relationships/hyperlink" Target="http://www.linkedin.com/in/pierric-pottier-715b4425" TargetMode="External"/><Relationship  Id="rId12473" Type="http://schemas.openxmlformats.org/officeDocument/2006/relationships/hyperlink" Target="http://www.metiista.com" TargetMode="External"/><Relationship  Id="rId12474" Type="http://schemas.openxmlformats.org/officeDocument/2006/relationships/hyperlink" Target="http://www.linkedin.com/in/alain-dousse-1a2a0b279" TargetMode="External"/><Relationship  Id="rId12475" Type="http://schemas.openxmlformats.org/officeDocument/2006/relationships/hyperlink" Target="http://www.provencale-aluminium.com" TargetMode="External"/><Relationship  Id="rId12476" Type="http://schemas.openxmlformats.org/officeDocument/2006/relationships/hyperlink" Target="http://www.linkedin.com/in/gilles-fiacre-693176a2" TargetMode="External"/><Relationship  Id="rId12477" Type="http://schemas.openxmlformats.org/officeDocument/2006/relationships/hyperlink" Target="http://www.atebat.fr" TargetMode="External"/><Relationship  Id="rId12478" Type="http://schemas.openxmlformats.org/officeDocument/2006/relationships/hyperlink" Target="http://www.linkedin.com/in/jean-christophe-brochard-5500a543" TargetMode="External"/><Relationship  Id="rId12479" Type="http://schemas.openxmlformats.org/officeDocument/2006/relationships/hyperlink" Target="http://www.gesys-ing.com" TargetMode="External"/><Relationship  Id="rId1248" Type="http://schemas.openxmlformats.org/officeDocument/2006/relationships/hyperlink" Target="http://www.linkedin.com/in/hsuanhsuanchang" TargetMode="External"/><Relationship  Id="rId12480" Type="http://schemas.openxmlformats.org/officeDocument/2006/relationships/hyperlink" Target="http://www.linkedin.com/in/hugo-chiecchio-618992133" TargetMode="External"/><Relationship  Id="rId12481" Type="http://schemas.openxmlformats.org/officeDocument/2006/relationships/hyperlink" Target="http://www.linkedin.com/in/thierry-soula-6450b2111" TargetMode="External"/><Relationship  Id="rId12482" Type="http://schemas.openxmlformats.org/officeDocument/2006/relationships/hyperlink" Target="http://www.totalcable.fr" TargetMode="External"/><Relationship  Id="rId12483" Type="http://schemas.openxmlformats.org/officeDocument/2006/relationships/hyperlink" Target="http://www.linkedin.com/in/alexis-duthoit-786686b9" TargetMode="External"/><Relationship  Id="rId12484" Type="http://schemas.openxmlformats.org/officeDocument/2006/relationships/hyperlink" Target="http://www.donato-construction.fr" TargetMode="External"/><Relationship  Id="rId12485" Type="http://schemas.openxmlformats.org/officeDocument/2006/relationships/hyperlink" Target="http://www.linkedin.com/in/alexis-devaux-425754aa" TargetMode="External"/><Relationship  Id="rId12486" Type="http://schemas.openxmlformats.org/officeDocument/2006/relationships/hyperlink" Target="http://www.linkedin.com/in/fran%c3%a7ois-yilmaz-85722b232" TargetMode="External"/><Relationship  Id="rId12487" Type="http://schemas.openxmlformats.org/officeDocument/2006/relationships/hyperlink" Target="http://www.linkedin.com/in/thoulouzevictor" TargetMode="External"/><Relationship  Id="rId12488" Type="http://schemas.openxmlformats.org/officeDocument/2006/relationships/hyperlink" Target="http://www.archionline.com" TargetMode="External"/><Relationship  Id="rId12489" Type="http://schemas.openxmlformats.org/officeDocument/2006/relationships/hyperlink" Target="http://www.linkedin.com/in/aymeric-septvant-69b8a0b2" TargetMode="External"/><Relationship  Id="rId1249" Type="http://schemas.openxmlformats.org/officeDocument/2006/relationships/hyperlink" Target="http://www.fusionflavorshospitalitygroup.com" TargetMode="External"/><Relationship  Id="rId12490" Type="http://schemas.openxmlformats.org/officeDocument/2006/relationships/hyperlink" Target="http://www.linkedin.com/in/luc-guillon-53898a14" TargetMode="External"/><Relationship  Id="rId12491" Type="http://schemas.openxmlformats.org/officeDocument/2006/relationships/hyperlink" Target="http://www.sommatool.com" TargetMode="External"/><Relationship  Id="rId12492" Type="http://schemas.openxmlformats.org/officeDocument/2006/relationships/hyperlink" Target="http://www.linkedin.com/in/r%c3%a9gis-guind%c3%a9-65104314b" TargetMode="External"/><Relationship  Id="rId12493" Type="http://schemas.openxmlformats.org/officeDocument/2006/relationships/hyperlink" Target="http://www.linkedin.com/in/didier-marot-2b808770" TargetMode="External"/><Relationship  Id="rId12494" Type="http://schemas.openxmlformats.org/officeDocument/2006/relationships/hyperlink" Target="http://www.linkedin.com/in/damien-lecomte-86573372" TargetMode="External"/><Relationship  Id="rId12495" Type="http://schemas.openxmlformats.org/officeDocument/2006/relationships/hyperlink" Target="http://www.one-way.fr" TargetMode="External"/><Relationship  Id="rId12496" Type="http://schemas.openxmlformats.org/officeDocument/2006/relationships/hyperlink" Target="http://www.linkedin.com/in/s%c3%a9bastien-midou-02996b77" TargetMode="External"/><Relationship  Id="rId12497" Type="http://schemas.openxmlformats.org/officeDocument/2006/relationships/hyperlink" Target="http://www.linkedin.com/in/fr%c3%a9d%c3%a9ric-dubois-585353b6" TargetMode="External"/><Relationship  Id="rId12498" Type="http://schemas.openxmlformats.org/officeDocument/2006/relationships/hyperlink" Target="http://www.idsb.com" TargetMode="External"/><Relationship  Id="rId12499" Type="http://schemas.openxmlformats.org/officeDocument/2006/relationships/hyperlink" Target="http://www.linkedin.com/in/fr%c3%a9d%c3%a9rique-di%c3%a9laine" TargetMode="External"/><Relationship  Id="rId125" Type="http://schemas.openxmlformats.org/officeDocument/2006/relationships/hyperlink" Target="http://www.misterbandb.com" TargetMode="External"/><Relationship  Id="rId1250" Type="http://schemas.openxmlformats.org/officeDocument/2006/relationships/hyperlink" Target="http://www.linkedin.com/in/alexandre-fedoroff-730a5677" TargetMode="External"/><Relationship  Id="rId12500" Type="http://schemas.openxmlformats.org/officeDocument/2006/relationships/hyperlink" Target="http://www.cergypontoise-amenagement.fr" TargetMode="External"/><Relationship  Id="rId12501" Type="http://schemas.openxmlformats.org/officeDocument/2006/relationships/hyperlink" Target="http://www.linkedin.com/in/david-mallard-25166774" TargetMode="External"/><Relationship  Id="rId12502" Type="http://schemas.openxmlformats.org/officeDocument/2006/relationships/hyperlink" Target="http://www.linkedin.com/in/duncan-stuart-b2382425b" TargetMode="External"/><Relationship  Id="rId12503" Type="http://schemas.openxmlformats.org/officeDocument/2006/relationships/hyperlink" Target="http://www.skibby.co" TargetMode="External"/><Relationship  Id="rId12504" Type="http://schemas.openxmlformats.org/officeDocument/2006/relationships/hyperlink" Target="http://www.linkedin.com/in/ronan-guitton-b4626385" TargetMode="External"/><Relationship  Id="rId12505" Type="http://schemas.openxmlformats.org/officeDocument/2006/relationships/hyperlink" Target="http://www.guittonsa.fr" TargetMode="External"/><Relationship  Id="rId12506" Type="http://schemas.openxmlformats.org/officeDocument/2006/relationships/hyperlink" Target="http://www.linkedin.com/in/julie-neveu-1798306b" TargetMode="External"/><Relationship  Id="rId12507" Type="http://schemas.openxmlformats.org/officeDocument/2006/relationships/hyperlink" Target="http://www.se2n-neveu.fr" TargetMode="External"/><Relationship  Id="rId12508" Type="http://schemas.openxmlformats.org/officeDocument/2006/relationships/hyperlink" Target="http://www.linkedin.com/in/aviel-cohen-a90b8a33" TargetMode="External"/><Relationship  Id="rId12509" Type="http://schemas.openxmlformats.org/officeDocument/2006/relationships/hyperlink" Target="http://www.econegoce.com" TargetMode="External"/><Relationship  Id="rId1251" Type="http://schemas.openxmlformats.org/officeDocument/2006/relationships/hyperlink" Target="http://www.residis.fr" TargetMode="External"/><Relationship  Id="rId12510" Type="http://schemas.openxmlformats.org/officeDocument/2006/relationships/hyperlink" Target="http://www.linkedin.com/in/david-taglioni-1427694a" TargetMode="External"/><Relationship  Id="rId12511" Type="http://schemas.openxmlformats.org/officeDocument/2006/relationships/hyperlink" Target="http://www.nge-immobilier.fr" TargetMode="External"/><Relationship  Id="rId12512" Type="http://schemas.openxmlformats.org/officeDocument/2006/relationships/hyperlink" Target="http://www.linkedin.com/in/ahmed-ziane-4a01bb186" TargetMode="External"/><Relationship  Id="rId12513" Type="http://schemas.openxmlformats.org/officeDocument/2006/relationships/hyperlink" Target="http://www.chanelrenovation.fr" TargetMode="External"/><Relationship  Id="rId12514" Type="http://schemas.openxmlformats.org/officeDocument/2006/relationships/hyperlink" Target="http://www.linkedin.com/in/charley-ferra-80356b87" TargetMode="External"/><Relationship  Id="rId12515" Type="http://schemas.openxmlformats.org/officeDocument/2006/relationships/hyperlink" Target="http://www.linkedin.com/in/emmanuel-daurat-b23417163" TargetMode="External"/><Relationship  Id="rId12516" Type="http://schemas.openxmlformats.org/officeDocument/2006/relationships/hyperlink" Target="http://www.entrepriseap2r.fr" TargetMode="External"/><Relationship  Id="rId12517" Type="http://schemas.openxmlformats.org/officeDocument/2006/relationships/hyperlink" Target="http://www.linkedin.com/in/patrick-alizon-b858a81a8" TargetMode="External"/><Relationship  Id="rId12518" Type="http://schemas.openxmlformats.org/officeDocument/2006/relationships/hyperlink" Target="http://www.axys-be.fr" TargetMode="External"/><Relationship  Id="rId12519" Type="http://schemas.openxmlformats.org/officeDocument/2006/relationships/hyperlink" Target="http://www.linkedin.com/in/jason-tsivatou-03a632146" TargetMode="External"/><Relationship  Id="rId1252" Type="http://schemas.openxmlformats.org/officeDocument/2006/relationships/hyperlink" Target="http://www.linkedin.com/in/chlo%c3%a9-gauthier-38588288" TargetMode="External"/><Relationship  Id="rId12520" Type="http://schemas.openxmlformats.org/officeDocument/2006/relationships/hyperlink" Target="http://www.c2tmi.fr" TargetMode="External"/><Relationship  Id="rId12521" Type="http://schemas.openxmlformats.org/officeDocument/2006/relationships/hyperlink" Target="http://www.linkedin.com/in/paulo-martinho-93984b187" TargetMode="External"/><Relationship  Id="rId12522" Type="http://schemas.openxmlformats.org/officeDocument/2006/relationships/hyperlink" Target="http://www.piscinesdugain.com" TargetMode="External"/><Relationship  Id="rId12523" Type="http://schemas.openxmlformats.org/officeDocument/2006/relationships/hyperlink" Target="http://www.linkedin.com/in/apojemo" TargetMode="External"/><Relationship  Id="rId12524" Type="http://schemas.openxmlformats.org/officeDocument/2006/relationships/hyperlink" Target="http://www.medaj.fr" TargetMode="External"/><Relationship  Id="rId12525" Type="http://schemas.openxmlformats.org/officeDocument/2006/relationships/hyperlink" Target="http://www.linkedin.com/in/jean-christophe-boutt%c3%a9-b7163aa8" TargetMode="External"/><Relationship  Id="rId12526" Type="http://schemas.openxmlformats.org/officeDocument/2006/relationships/hyperlink" Target="http://www.tpboutte.fr" TargetMode="External"/><Relationship  Id="rId12527" Type="http://schemas.openxmlformats.org/officeDocument/2006/relationships/hyperlink" Target="http://www.linkedin.com/in/jose-ros-66708710b" TargetMode="External"/><Relationship  Id="rId12528" Type="http://schemas.openxmlformats.org/officeDocument/2006/relationships/hyperlink" Target="http://www.asbwilbot.fr" TargetMode="External"/><Relationship  Id="rId12529" Type="http://schemas.openxmlformats.org/officeDocument/2006/relationships/hyperlink" Target="http://www.linkedin.com/in/pascal-thomas-a50168131" TargetMode="External"/><Relationship  Id="rId1253" Type="http://schemas.openxmlformats.org/officeDocument/2006/relationships/hyperlink" Target="http://www.toke.eu" TargetMode="External"/><Relationship  Id="rId12530" Type="http://schemas.openxmlformats.org/officeDocument/2006/relationships/hyperlink" Target="http://www.pennequin.fr" TargetMode="External"/><Relationship  Id="rId12531" Type="http://schemas.openxmlformats.org/officeDocument/2006/relationships/hyperlink" Target="http://www.linkedin.com/in/olaf-adamec-4a35681a0" TargetMode="External"/><Relationship  Id="rId12532" Type="http://schemas.openxmlformats.org/officeDocument/2006/relationships/hyperlink" Target="http://www.altiosa.com" TargetMode="External"/><Relationship  Id="rId12533" Type="http://schemas.openxmlformats.org/officeDocument/2006/relationships/hyperlink" Target="http://www.linkedin.com/in/mezzouji-mohamed-0b4727ba" TargetMode="External"/><Relationship  Id="rId12534" Type="http://schemas.openxmlformats.org/officeDocument/2006/relationships/hyperlink" Target="http://www.pas-ascenseurs.com" TargetMode="External"/><Relationship  Id="rId12535" Type="http://schemas.openxmlformats.org/officeDocument/2006/relationships/hyperlink" Target="http://www.linkedin.com/in/jeremy-pierre-b01b32100" TargetMode="External"/><Relationship  Id="rId12536" Type="http://schemas.openxmlformats.org/officeDocument/2006/relationships/hyperlink" Target="http://www.solid.paris" TargetMode="External"/><Relationship  Id="rId12537" Type="http://schemas.openxmlformats.org/officeDocument/2006/relationships/hyperlink" Target="http://www.linkedin.com/in/philippe-lopes-3b309b63" TargetMode="External"/><Relationship  Id="rId12538" Type="http://schemas.openxmlformats.org/officeDocument/2006/relationships/hyperlink" Target="http://www.ozice.fr" TargetMode="External"/><Relationship  Id="rId12539" Type="http://schemas.openxmlformats.org/officeDocument/2006/relationships/hyperlink" Target="http://www.linkedin.com/in/pascal-beghin-141b2431" TargetMode="External"/><Relationship  Id="rId1254" Type="http://schemas.openxmlformats.org/officeDocument/2006/relationships/hyperlink" Target="http://www.linkedin.com/in/chefsandflo-florent-branchu" TargetMode="External"/><Relationship  Id="rId12540" Type="http://schemas.openxmlformats.org/officeDocument/2006/relationships/hyperlink" Target="http://www.groupe-cw.fr" TargetMode="External"/><Relationship  Id="rId12541" Type="http://schemas.openxmlformats.org/officeDocument/2006/relationships/hyperlink" Target="http://www.linkedin.com/in/ewa-verpillot-13760879" TargetMode="External"/><Relationship  Id="rId12542" Type="http://schemas.openxmlformats.org/officeDocument/2006/relationships/hyperlink" Target="http://www.capallest.com" TargetMode="External"/><Relationship  Id="rId12543" Type="http://schemas.openxmlformats.org/officeDocument/2006/relationships/hyperlink" Target="http://www.linkedin.com/in/bertrand-arrue-95b1aa154" TargetMode="External"/><Relationship  Id="rId12544" Type="http://schemas.openxmlformats.org/officeDocument/2006/relationships/hyperlink" Target="http://www.darrieumerlou.fr" TargetMode="External"/><Relationship  Id="rId12545" Type="http://schemas.openxmlformats.org/officeDocument/2006/relationships/hyperlink" Target="http://www.linkedin.com/in/maxime-herbreteau-97974311a" TargetMode="External"/><Relationship  Id="rId12546" Type="http://schemas.openxmlformats.org/officeDocument/2006/relationships/hyperlink" Target="http://www.groupeascia.fr" TargetMode="External"/><Relationship  Id="rId12547" Type="http://schemas.openxmlformats.org/officeDocument/2006/relationships/hyperlink" Target="http://www.linkedin.com/in/g%c3%a9rald-lendormi-59b4b2121" TargetMode="External"/><Relationship  Id="rId12548" Type="http://schemas.openxmlformats.org/officeDocument/2006/relationships/hyperlink" Target="http://www.bief.fr" TargetMode="External"/><Relationship  Id="rId12549" Type="http://schemas.openxmlformats.org/officeDocument/2006/relationships/hyperlink" Target="http://www.linkedin.com/in/meric-sukru-97511798" TargetMode="External"/><Relationship  Id="rId1255" Type="http://schemas.openxmlformats.org/officeDocument/2006/relationships/hyperlink" Target="http://www.chefsandflo.com" TargetMode="External"/><Relationship  Id="rId12550" Type="http://schemas.openxmlformats.org/officeDocument/2006/relationships/hyperlink" Target="http://www.cireme.com" TargetMode="External"/><Relationship  Id="rId12551" Type="http://schemas.openxmlformats.org/officeDocument/2006/relationships/hyperlink" Target="http://www.linkedin.com/in/jean-gilles-fevre-526164298" TargetMode="External"/><Relationship  Id="rId12552" Type="http://schemas.openxmlformats.org/officeDocument/2006/relationships/hyperlink" Target="http://www.linkedin.com/in/bd-aditdn" TargetMode="External"/><Relationship  Id="rId12553" Type="http://schemas.openxmlformats.org/officeDocument/2006/relationships/hyperlink" Target="http://www.averroes-solutions.com" TargetMode="External"/><Relationship  Id="rId12554" Type="http://schemas.openxmlformats.org/officeDocument/2006/relationships/hyperlink" Target="http://www.linkedin.com/in/matthieu-rou%c3%a9" TargetMode="External"/><Relationship  Id="rId12555" Type="http://schemas.openxmlformats.org/officeDocument/2006/relationships/hyperlink" Target="http://www.adeimmo.fr" TargetMode="External"/><Relationship  Id="rId12556" Type="http://schemas.openxmlformats.org/officeDocument/2006/relationships/hyperlink" Target="http://www.linkedin.com/in/mathildeverdru" TargetMode="External"/><Relationship  Id="rId12557" Type="http://schemas.openxmlformats.org/officeDocument/2006/relationships/hyperlink" Target="http://www.eurisol.fr" TargetMode="External"/><Relationship  Id="rId12558" Type="http://schemas.openxmlformats.org/officeDocument/2006/relationships/hyperlink" Target="http://www.linkedin.com/in/manuel-soares-9351ba55" TargetMode="External"/><Relationship  Id="rId12559" Type="http://schemas.openxmlformats.org/officeDocument/2006/relationships/hyperlink" Target="http://www.real-marbre.com" TargetMode="External"/><Relationship  Id="rId1256" Type="http://schemas.openxmlformats.org/officeDocument/2006/relationships/hyperlink" Target="http://www.linkedin.com/in/lioneltressens" TargetMode="External"/><Relationship  Id="rId12560" Type="http://schemas.openxmlformats.org/officeDocument/2006/relationships/hyperlink" Target="http://www.linkedin.com/in/bertrand-cheval-224a4612" TargetMode="External"/><Relationship  Id="rId12561" Type="http://schemas.openxmlformats.org/officeDocument/2006/relationships/hyperlink" Target="http://www.2tce.com" TargetMode="External"/><Relationship  Id="rId12562" Type="http://schemas.openxmlformats.org/officeDocument/2006/relationships/hyperlink" Target="http://www.linkedin.com/in/anne-sophie-favraud-ab373a11a" TargetMode="External"/><Relationship  Id="rId12563" Type="http://schemas.openxmlformats.org/officeDocument/2006/relationships/hyperlink" Target="http://www.escaliers-rem.com" TargetMode="External"/><Relationship  Id="rId12564" Type="http://schemas.openxmlformats.org/officeDocument/2006/relationships/hyperlink" Target="http://www.linkedin.com/in/eric-gonot-78820976" TargetMode="External"/><Relationship  Id="rId12565" Type="http://schemas.openxmlformats.org/officeDocument/2006/relationships/hyperlink" Target="http://www.neovia-tp.fr" TargetMode="External"/><Relationship  Id="rId12566" Type="http://schemas.openxmlformats.org/officeDocument/2006/relationships/hyperlink" Target="http://www.linkedin.com/in/laurent-covelli-702679a8" TargetMode="External"/><Relationship  Id="rId12567" Type="http://schemas.openxmlformats.org/officeDocument/2006/relationships/hyperlink" Target="http://www.ecirformation.fr" TargetMode="External"/><Relationship  Id="rId12568" Type="http://schemas.openxmlformats.org/officeDocument/2006/relationships/hyperlink" Target="http://www.linkedin.com/in/olivier-l%c3%a9n%c3%a9-45481345" TargetMode="External"/><Relationship  Id="rId12569" Type="http://schemas.openxmlformats.org/officeDocument/2006/relationships/hyperlink" Target="http://www.guigues.fr" TargetMode="External"/><Relationship  Id="rId1257" Type="http://schemas.openxmlformats.org/officeDocument/2006/relationships/hyperlink" Target="http://www.linkedin.com/in/keren-afriat-5855833b" TargetMode="External"/><Relationship  Id="rId12570" Type="http://schemas.openxmlformats.org/officeDocument/2006/relationships/hyperlink" Target="http://www.linkedin.com/in/damien-odin-32589292" TargetMode="External"/><Relationship  Id="rId12571" Type="http://schemas.openxmlformats.org/officeDocument/2006/relationships/hyperlink" Target="http://www.linkedin.com/in/fran%c3%a7ois-lazard-a2304792" TargetMode="External"/><Relationship  Id="rId12572" Type="http://schemas.openxmlformats.org/officeDocument/2006/relationships/hyperlink" Target="http://www.linkedin.com/in/patrice-malher-651496219" TargetMode="External"/><Relationship  Id="rId12573" Type="http://schemas.openxmlformats.org/officeDocument/2006/relationships/hyperlink" Target="http://www.jousselin-construction.com" TargetMode="External"/><Relationship  Id="rId12574" Type="http://schemas.openxmlformats.org/officeDocument/2006/relationships/hyperlink" Target="http://www.linkedin.com/in/olivier-luczak-643459116" TargetMode="External"/><Relationship  Id="rId12575" Type="http://schemas.openxmlformats.org/officeDocument/2006/relationships/hyperlink" Target="http://www.hexa-ingenierie.com" TargetMode="External"/><Relationship  Id="rId12576" Type="http://schemas.openxmlformats.org/officeDocument/2006/relationships/hyperlink" Target="http://www.linkedin.com/in/pierre-noiray-b68ba642" TargetMode="External"/><Relationship  Id="rId12577" Type="http://schemas.openxmlformats.org/officeDocument/2006/relationships/hyperlink" Target="http://www.linkedin.com/in/ga%c3%abl-bassaglia-44112644" TargetMode="External"/><Relationship  Id="rId12578" Type="http://schemas.openxmlformats.org/officeDocument/2006/relationships/hyperlink" Target="http://www.homyos.fr" TargetMode="External"/><Relationship  Id="rId12579" Type="http://schemas.openxmlformats.org/officeDocument/2006/relationships/hyperlink" Target="http://www.linkedin.com/in/aniskarim" TargetMode="External"/><Relationship  Id="rId1258" Type="http://schemas.openxmlformats.org/officeDocument/2006/relationships/hyperlink" Target="http://www.levantine.paris" TargetMode="External"/><Relationship  Id="rId12580" Type="http://schemas.openxmlformats.org/officeDocument/2006/relationships/hyperlink" Target="http://www.onespacetechnologies.com" TargetMode="External"/><Relationship  Id="rId12581" Type="http://schemas.openxmlformats.org/officeDocument/2006/relationships/hyperlink" Target="http://www.linkedin.com/in/damien-pommellet-3b465319b" TargetMode="External"/><Relationship  Id="rId12582" Type="http://schemas.openxmlformats.org/officeDocument/2006/relationships/hyperlink" Target="http://www.monideal-artisans.fr" TargetMode="External"/><Relationship  Id="rId12583" Type="http://schemas.openxmlformats.org/officeDocument/2006/relationships/hyperlink" Target="http://www.linkedin.com/in/aurorebarthel" TargetMode="External"/><Relationship  Id="rId12584" Type="http://schemas.openxmlformats.org/officeDocument/2006/relationships/hyperlink" Target="http://www.linkedin.com/in/r%c3%a9gis-polisset-a0a61748" TargetMode="External"/><Relationship  Id="rId12585" Type="http://schemas.openxmlformats.org/officeDocument/2006/relationships/hyperlink" Target="http://www.visori-prevention.fr" TargetMode="External"/><Relationship  Id="rId12586" Type="http://schemas.openxmlformats.org/officeDocument/2006/relationships/hyperlink" Target="http://www.linkedin.com/in/laurence-dupuis-6964729a" TargetMode="External"/><Relationship  Id="rId12587" Type="http://schemas.openxmlformats.org/officeDocument/2006/relationships/hyperlink" Target="http://www.gauthier-sa.fr" TargetMode="External"/><Relationship  Id="rId12588" Type="http://schemas.openxmlformats.org/officeDocument/2006/relationships/hyperlink" Target="http://www.linkedin.com/in/william-bon-3051b410a" TargetMode="External"/><Relationship  Id="rId12589" Type="http://schemas.openxmlformats.org/officeDocument/2006/relationships/hyperlink" Target="http://www.dinobat.com" TargetMode="External"/><Relationship  Id="rId1259" Type="http://schemas.openxmlformats.org/officeDocument/2006/relationships/hyperlink" Target="http://www.linkedin.com/in/emilie-teisseire-b8b46b4b" TargetMode="External"/><Relationship  Id="rId12590" Type="http://schemas.openxmlformats.org/officeDocument/2006/relationships/hyperlink" Target="http://www.linkedin.com/in/christophe-varache-416854131" TargetMode="External"/><Relationship  Id="rId12591" Type="http://schemas.openxmlformats.org/officeDocument/2006/relationships/hyperlink" Target="http://www.soflux.fr" TargetMode="External"/><Relationship  Id="rId12592" Type="http://schemas.openxmlformats.org/officeDocument/2006/relationships/hyperlink" Target="http://www.linkedin.com/in/bruno-esteves-9109b368" TargetMode="External"/><Relationship  Id="rId12593" Type="http://schemas.openxmlformats.org/officeDocument/2006/relationships/hyperlink" Target="http://www.bestconsultants.com.au" TargetMode="External"/><Relationship  Id="rId12594" Type="http://schemas.openxmlformats.org/officeDocument/2006/relationships/hyperlink" Target="http://www.linkedin.com/in/thomas-tran%c3%a7on-5a7b81171" TargetMode="External"/><Relationship  Id="rId12595" Type="http://schemas.openxmlformats.org/officeDocument/2006/relationships/hyperlink" Target="http://www.niu-ingenierie-construction.fr" TargetMode="External"/><Relationship  Id="rId12596" Type="http://schemas.openxmlformats.org/officeDocument/2006/relationships/hyperlink" Target="http://www.linkedin.com/in/r%c3%a9gis-buzon-533602156" TargetMode="External"/><Relationship  Id="rId12597" Type="http://schemas.openxmlformats.org/officeDocument/2006/relationships/hyperlink" Target="http://www.proxiso.com" TargetMode="External"/><Relationship  Id="rId12598" Type="http://schemas.openxmlformats.org/officeDocument/2006/relationships/hyperlink" Target="http://www.linkedin.com/in/fatih-gundogdu-587262232" TargetMode="External"/><Relationship  Id="rId12599" Type="http://schemas.openxmlformats.org/officeDocument/2006/relationships/hyperlink" Target="http://www.sg-batiment.com" TargetMode="External"/><Relationship  Id="rId126" Type="http://schemas.openxmlformats.org/officeDocument/2006/relationships/hyperlink" Target="http://www.linkedin.com/in/colin-marteau-b916b3131" TargetMode="External"/><Relationship  Id="rId1260" Type="http://schemas.openxmlformats.org/officeDocument/2006/relationships/hyperlink" Target="http://www.linkedin.com/in/gilles-dufour-lkd" TargetMode="External"/><Relationship  Id="rId12600" Type="http://schemas.openxmlformats.org/officeDocument/2006/relationships/hyperlink" Target="http://www.linkedin.com/in/jean-marie-barthelemy-b2780644" TargetMode="External"/><Relationship  Id="rId12601" Type="http://schemas.openxmlformats.org/officeDocument/2006/relationships/hyperlink" Target="http://www.stimtechnibat.com" TargetMode="External"/><Relationship  Id="rId12602" Type="http://schemas.openxmlformats.org/officeDocument/2006/relationships/hyperlink" Target="http://www.linkedin.com/in/beno%c3%aet-julien-37534454" TargetMode="External"/><Relationship  Id="rId12603" Type="http://schemas.openxmlformats.org/officeDocument/2006/relationships/hyperlink" Target="http://www.sudestprevention.com" TargetMode="External"/><Relationship  Id="rId12604" Type="http://schemas.openxmlformats.org/officeDocument/2006/relationships/hyperlink" Target="http://www.linkedin.com/in/vincent-no%c3%abl-072830164" TargetMode="External"/><Relationship  Id="rId12605" Type="http://schemas.openxmlformats.org/officeDocument/2006/relationships/hyperlink" Target="http://www.cybel-extension.com" TargetMode="External"/><Relationship  Id="rId12606" Type="http://schemas.openxmlformats.org/officeDocument/2006/relationships/hyperlink" Target="http://www.linkedin.com/in/martin-mirarchi-ex-fosroc-france-2b295217" TargetMode="External"/><Relationship  Id="rId12607" Type="http://schemas.openxmlformats.org/officeDocument/2006/relationships/hyperlink" Target="http://www.himfloor.com" TargetMode="External"/><Relationship  Id="rId12608" Type="http://schemas.openxmlformats.org/officeDocument/2006/relationships/hyperlink" Target="http://www.linkedin.com/in/christophe-bonnefoy-a4626111b" TargetMode="External"/><Relationship  Id="rId12609" Type="http://schemas.openxmlformats.org/officeDocument/2006/relationships/hyperlink" Target="http://www.linkedin.com/in/fr%c3%a9d%c3%a9ric-beaudin-b36714222" TargetMode="External"/><Relationship  Id="rId1261" Type="http://schemas.openxmlformats.org/officeDocument/2006/relationships/hyperlink" Target="http://www.offandaway.fr" TargetMode="External"/><Relationship  Id="rId12610" Type="http://schemas.openxmlformats.org/officeDocument/2006/relationships/hyperlink" Target="http://www.vivian.fr" TargetMode="External"/><Relationship  Id="rId12611" Type="http://schemas.openxmlformats.org/officeDocument/2006/relationships/hyperlink" Target="http://www.linkedin.com/in/jose-da-costa-502a81117" TargetMode="External"/><Relationship  Id="rId12612" Type="http://schemas.openxmlformats.org/officeDocument/2006/relationships/hyperlink" Target="http://www.spi-stonemix.fr" TargetMode="External"/><Relationship  Id="rId12613" Type="http://schemas.openxmlformats.org/officeDocument/2006/relationships/hyperlink" Target="http://www.linkedin.com/in/arnaud-becquart-03b1965" TargetMode="External"/><Relationship  Id="rId12614" Type="http://schemas.openxmlformats.org/officeDocument/2006/relationships/hyperlink" Target="http://www.goarro.com" TargetMode="External"/><Relationship  Id="rId12615" Type="http://schemas.openxmlformats.org/officeDocument/2006/relationships/hyperlink" Target="http://www.linkedin.com/in/beno%c3%aet-chavet-680283126" TargetMode="External"/><Relationship  Id="rId12616" Type="http://schemas.openxmlformats.org/officeDocument/2006/relationships/hyperlink" Target="http://www.pr-industrie.com" TargetMode="External"/><Relationship  Id="rId12617" Type="http://schemas.openxmlformats.org/officeDocument/2006/relationships/hyperlink" Target="http://www.linkedin.com/in/stephane-kanovitch" TargetMode="External"/><Relationship  Id="rId12618" Type="http://schemas.openxmlformats.org/officeDocument/2006/relationships/hyperlink" Target="http://www.kertios.com" TargetMode="External"/><Relationship  Id="rId12619" Type="http://schemas.openxmlformats.org/officeDocument/2006/relationships/hyperlink" Target="http://www.linkedin.com/in/jimmy-turi-%f0%9f%8f%a1-b050b3156" TargetMode="External"/><Relationship  Id="rId1262" Type="http://schemas.openxmlformats.org/officeDocument/2006/relationships/hyperlink" Target="http://www.linkedin.com/in/alexandra-bui-01073868" TargetMode="External"/><Relationship  Id="rId12620" Type="http://schemas.openxmlformats.org/officeDocument/2006/relationships/hyperlink" Target="http://www.liaisons-habitat.fr" TargetMode="External"/><Relationship  Id="rId12621" Type="http://schemas.openxmlformats.org/officeDocument/2006/relationships/hyperlink" Target="http://www.linkedin.com/in/j%c3%a9r%c3%a9my-colas-aba220b6" TargetMode="External"/><Relationship  Id="rId12622" Type="http://schemas.openxmlformats.org/officeDocument/2006/relationships/hyperlink" Target="http://www.opnr.fr" TargetMode="External"/><Relationship  Id="rId12623" Type="http://schemas.openxmlformats.org/officeDocument/2006/relationships/hyperlink" Target="http://www.linkedin.com/in/tom-martinot" TargetMode="External"/><Relationship  Id="rId12624" Type="http://schemas.openxmlformats.org/officeDocument/2006/relationships/hyperlink" Target="http://www.renovtaloc.fr" TargetMode="External"/><Relationship  Id="rId12625" Type="http://schemas.openxmlformats.org/officeDocument/2006/relationships/hyperlink" Target="http://www.linkedin.com/in/jean-christophe-belloc-90a27a60" TargetMode="External"/><Relationship  Id="rId12626" Type="http://schemas.openxmlformats.org/officeDocument/2006/relationships/hyperlink" Target="http://www.innoviadev.com" TargetMode="External"/><Relationship  Id="rId12627" Type="http://schemas.openxmlformats.org/officeDocument/2006/relationships/hyperlink" Target="http://www.linkedin.com/in/gerard-yaiche-a63279197" TargetMode="External"/><Relationship  Id="rId12628" Type="http://schemas.openxmlformats.org/officeDocument/2006/relationships/hyperlink" Target="http://www.gyrardgroupe.com" TargetMode="External"/><Relationship  Id="rId12629" Type="http://schemas.openxmlformats.org/officeDocument/2006/relationships/hyperlink" Target="http://www.linkedin.com/in/nicolas-jamet-0775b88" TargetMode="External"/><Relationship  Id="rId1263" Type="http://schemas.openxmlformats.org/officeDocument/2006/relationships/hyperlink" Target="http://www.linkedin.com/in/henry-simpson-13190539" TargetMode="External"/><Relationship  Id="rId12630" Type="http://schemas.openxmlformats.org/officeDocument/2006/relationships/hyperlink" Target="http://www.expert-bois.fr" TargetMode="External"/><Relationship  Id="rId12631" Type="http://schemas.openxmlformats.org/officeDocument/2006/relationships/hyperlink" Target="http://www.linkedin.com/in/pascal-boulanger-082b40212" TargetMode="External"/><Relationship  Id="rId12632" Type="http://schemas.openxmlformats.org/officeDocument/2006/relationships/hyperlink" Target="http://www.fpifrance.fr" TargetMode="External"/><Relationship  Id="rId12633" Type="http://schemas.openxmlformats.org/officeDocument/2006/relationships/hyperlink" Target="http://www.linkedin.com/in/christophe-ray-07754163" TargetMode="External"/><Relationship  Id="rId12634" Type="http://schemas.openxmlformats.org/officeDocument/2006/relationships/hyperlink" Target="http://www.amolia.fr" TargetMode="External"/><Relationship  Id="rId12635" Type="http://schemas.openxmlformats.org/officeDocument/2006/relationships/hyperlink" Target="http://www.linkedin.com/in/thomas-missemer-3b3a67ab" TargetMode="External"/><Relationship  Id="rId12636" Type="http://schemas.openxmlformats.org/officeDocument/2006/relationships/hyperlink" Target="http://www.maisonsbrand.fr" TargetMode="External"/><Relationship  Id="rId12637" Type="http://schemas.openxmlformats.org/officeDocument/2006/relationships/hyperlink" Target="http://www.linkedin.com/in/fran%c3%a7ois-xavier-rousseau-99536190" TargetMode="External"/><Relationship  Id="rId12638" Type="http://schemas.openxmlformats.org/officeDocument/2006/relationships/hyperlink" Target="http://www.linkedin.com/in/ronan-rayssiguier-242695b4" TargetMode="External"/><Relationship  Id="rId12639" Type="http://schemas.openxmlformats.org/officeDocument/2006/relationships/hyperlink" Target="http://www.bpmetal.fr" TargetMode="External"/><Relationship  Id="rId1264" Type="http://schemas.openxmlformats.org/officeDocument/2006/relationships/hyperlink" Target="http://www.sohomahotels.com" TargetMode="External"/><Relationship  Id="rId12640" Type="http://schemas.openxmlformats.org/officeDocument/2006/relationships/hyperlink" Target="http://www.linkedin.com/in/pierre-esselinck-3ab265b" TargetMode="External"/><Relationship  Id="rId12641" Type="http://schemas.openxmlformats.org/officeDocument/2006/relationships/hyperlink" Target="http://www.assemblage.net" TargetMode="External"/><Relationship  Id="rId12642" Type="http://schemas.openxmlformats.org/officeDocument/2006/relationships/hyperlink" Target="http://www.linkedin.com/in/dominique-corvez-9694325" TargetMode="External"/><Relationship  Id="rId12643" Type="http://schemas.openxmlformats.org/officeDocument/2006/relationships/hyperlink" Target="http://www.linkedin.com/in/micha%c3%abl-alletru-a50145b2" TargetMode="External"/><Relationship  Id="rId12644" Type="http://schemas.openxmlformats.org/officeDocument/2006/relationships/hyperlink" Target="http://www.linkedin.com/in/eric-coppi-901ba91a1" TargetMode="External"/><Relationship  Id="rId12645" Type="http://schemas.openxmlformats.org/officeDocument/2006/relationships/hyperlink" Target="http://www.parenge.fr" TargetMode="External"/><Relationship  Id="rId12646" Type="http://schemas.openxmlformats.org/officeDocument/2006/relationships/hyperlink" Target="http://www.linkedin.com/in/laurent-jacob-67227b43" TargetMode="External"/><Relationship  Id="rId12647" Type="http://schemas.openxmlformats.org/officeDocument/2006/relationships/hyperlink" Target="http://www.ouestetanche.com" TargetMode="External"/><Relationship  Id="rId12648" Type="http://schemas.openxmlformats.org/officeDocument/2006/relationships/hyperlink" Target="http://www.linkedin.com/in/k%c3%a9vin-frayssinhes-garcia-51465b6b" TargetMode="External"/><Relationship  Id="rId12649" Type="http://schemas.openxmlformats.org/officeDocument/2006/relationships/hyperlink" Target="http://www.extend.fr" TargetMode="External"/><Relationship  Id="rId1265" Type="http://schemas.openxmlformats.org/officeDocument/2006/relationships/hyperlink" Target="http://www.linkedin.com/in/eric-may-corp" TargetMode="External"/><Relationship  Id="rId12650" Type="http://schemas.openxmlformats.org/officeDocument/2006/relationships/hyperlink" Target="http://www.linkedin.com/in/philipluah" TargetMode="External"/><Relationship  Id="rId12651" Type="http://schemas.openxmlformats.org/officeDocument/2006/relationships/hyperlink" Target="http://www.xprojectsconstruction.com" TargetMode="External"/><Relationship  Id="rId12652" Type="http://schemas.openxmlformats.org/officeDocument/2006/relationships/hyperlink" Target="http://www.linkedin.com/in/ilyas-ouchani-52520b86" TargetMode="External"/><Relationship  Id="rId12653" Type="http://schemas.openxmlformats.org/officeDocument/2006/relationships/hyperlink" Target="http://www.helix-btp.fr" TargetMode="External"/><Relationship  Id="rId12654" Type="http://schemas.openxmlformats.org/officeDocument/2006/relationships/hyperlink" Target="http://www.linkedin.com/in/st%c3%a9phane-dalis-63525815b" TargetMode="External"/><Relationship  Id="rId12655" Type="http://schemas.openxmlformats.org/officeDocument/2006/relationships/hyperlink" Target="http://www.alticity.eu" TargetMode="External"/><Relationship  Id="rId12656" Type="http://schemas.openxmlformats.org/officeDocument/2006/relationships/hyperlink" Target="http://www.linkedin.com/in/luc-flye-sainte-marie-eneos" TargetMode="External"/><Relationship  Id="rId12657" Type="http://schemas.openxmlformats.org/officeDocument/2006/relationships/hyperlink" Target="http://www.eneos.pro" TargetMode="External"/><Relationship  Id="rId12658" Type="http://schemas.openxmlformats.org/officeDocument/2006/relationships/hyperlink" Target="http://www.linkedin.com/in/guillaume-collet-15063a106" TargetMode="External"/><Relationship  Id="rId12659" Type="http://schemas.openxmlformats.org/officeDocument/2006/relationships/hyperlink" Target="http://www.cat-ingenierie.fr" TargetMode="External"/><Relationship  Id="rId1266" Type="http://schemas.openxmlformats.org/officeDocument/2006/relationships/hyperlink" Target="http://lesbarres.com" TargetMode="External"/><Relationship  Id="rId12660" Type="http://schemas.openxmlformats.org/officeDocument/2006/relationships/hyperlink" Target="http://www.linkedin.com/in/michel-kuehn-435367122" TargetMode="External"/><Relationship  Id="rId12661" Type="http://schemas.openxmlformats.org/officeDocument/2006/relationships/hyperlink" Target="http://www.bluepad.fr" TargetMode="External"/><Relationship  Id="rId12662" Type="http://schemas.openxmlformats.org/officeDocument/2006/relationships/hyperlink" Target="http://www.linkedin.com/in/samuel-minot-18a260155" TargetMode="External"/><Relationship  Id="rId12663" Type="http://schemas.openxmlformats.org/officeDocument/2006/relationships/hyperlink" Target="http://www.groupeminot.fr" TargetMode="External"/><Relationship  Id="rId12664" Type="http://schemas.openxmlformats.org/officeDocument/2006/relationships/hyperlink" Target="http://www.linkedin.com/in/s%c3%a9bastien-lapendry-03499b36" TargetMode="External"/><Relationship  Id="rId12665" Type="http://schemas.openxmlformats.org/officeDocument/2006/relationships/hyperlink" Target="http://www.linkedin.com/in/herve-demulier-459a3860" TargetMode="External"/><Relationship  Id="rId12666" Type="http://schemas.openxmlformats.org/officeDocument/2006/relationships/hyperlink" Target="http://www.amoex-conseils.fr" TargetMode="External"/><Relationship  Id="rId12667" Type="http://schemas.openxmlformats.org/officeDocument/2006/relationships/hyperlink" Target="http://www.linkedin.com/in/pierre-yves-williot-a48658194" TargetMode="External"/><Relationship  Id="rId12668" Type="http://schemas.openxmlformats.org/officeDocument/2006/relationships/hyperlink" Target="http://www.daney.fr" TargetMode="External"/><Relationship  Id="rId12669" Type="http://schemas.openxmlformats.org/officeDocument/2006/relationships/hyperlink" Target="http://www.linkedin.com/in/colas-cellier-794b9b25" TargetMode="External"/><Relationship  Id="rId1267" Type="http://schemas.openxmlformats.org/officeDocument/2006/relationships/hyperlink" Target="http://www.linkedin.com/in/nicolas-perus-61358522" TargetMode="External"/><Relationship  Id="rId12670" Type="http://schemas.openxmlformats.org/officeDocument/2006/relationships/hyperlink" Target="http://www.avoltisrenovation.com" TargetMode="External"/><Relationship  Id="rId12671" Type="http://schemas.openxmlformats.org/officeDocument/2006/relationships/hyperlink" Target="http://www.linkedin.com/in/christophe-labussiere-a855b272" TargetMode="External"/><Relationship  Id="rId12672" Type="http://schemas.openxmlformats.org/officeDocument/2006/relationships/hyperlink" Target="http://www.mecoworks.com" TargetMode="External"/><Relationship  Id="rId12673" Type="http://schemas.openxmlformats.org/officeDocument/2006/relationships/hyperlink" Target="http://www.linkedin.com/in/cyril-lioret-927198a5" TargetMode="External"/><Relationship  Id="rId12674" Type="http://schemas.openxmlformats.org/officeDocument/2006/relationships/hyperlink" Target="http://www.geceha.com" TargetMode="External"/><Relationship  Id="rId12675" Type="http://schemas.openxmlformats.org/officeDocument/2006/relationships/hyperlink" Target="http://www.linkedin.com/in/olivier-ghezzi-b73689210" TargetMode="External"/><Relationship  Id="rId12676" Type="http://schemas.openxmlformats.org/officeDocument/2006/relationships/hyperlink" Target="http://www.ghezzimenuiserie.fr" TargetMode="External"/><Relationship  Id="rId12677" Type="http://schemas.openxmlformats.org/officeDocument/2006/relationships/hyperlink" Target="http://www.linkedin.com/in/digisecur" TargetMode="External"/><Relationship  Id="rId12678" Type="http://schemas.openxmlformats.org/officeDocument/2006/relationships/hyperlink" Target="http://www.digisecur.de" TargetMode="External"/><Relationship  Id="rId12679" Type="http://schemas.openxmlformats.org/officeDocument/2006/relationships/hyperlink" Target="http://www.linkedin.com/in/maurice-bruno-85929846" TargetMode="External"/><Relationship  Id="rId1268" Type="http://schemas.openxmlformats.org/officeDocument/2006/relationships/hyperlink" Target="http://www.lesbarres.com" TargetMode="External"/><Relationship  Id="rId12680" Type="http://schemas.openxmlformats.org/officeDocument/2006/relationships/hyperlink" Target="http://www.gardenpool-piscineintoscana.com" TargetMode="External"/><Relationship  Id="rId12681" Type="http://schemas.openxmlformats.org/officeDocument/2006/relationships/hyperlink" Target="http://www.linkedin.com/in/francesco-lovison-24133230" TargetMode="External"/><Relationship  Id="rId12682" Type="http://schemas.openxmlformats.org/officeDocument/2006/relationships/hyperlink" Target="http://www.omniaworks.it" TargetMode="External"/><Relationship  Id="rId12683" Type="http://schemas.openxmlformats.org/officeDocument/2006/relationships/hyperlink" Target="http://www.linkedin.com/in/oguz-karadag-78617716b" TargetMode="External"/><Relationship  Id="rId12684" Type="http://schemas.openxmlformats.org/officeDocument/2006/relationships/hyperlink" Target="http://www.batige.fr" TargetMode="External"/><Relationship  Id="rId12685" Type="http://schemas.openxmlformats.org/officeDocument/2006/relationships/hyperlink" Target="http://www.linkedin.com/in/paul-pigeau-bab1331ba" TargetMode="External"/><Relationship  Id="rId12686" Type="http://schemas.openxmlformats.org/officeDocument/2006/relationships/hyperlink" Target="http://www.be-origine.com" TargetMode="External"/><Relationship  Id="rId12687" Type="http://schemas.openxmlformats.org/officeDocument/2006/relationships/hyperlink" Target="http://www.linkedin.com/in/pierre-elsen-6557b41b9" TargetMode="External"/><Relationship  Id="rId12688" Type="http://schemas.openxmlformats.org/officeDocument/2006/relationships/hyperlink" Target="http://www.multideck.fr" TargetMode="External"/><Relationship  Id="rId12689" Type="http://schemas.openxmlformats.org/officeDocument/2006/relationships/hyperlink" Target="http://www.linkedin.com/in/andrew-puddu-5112461a6" TargetMode="External"/><Relationship  Id="rId1269" Type="http://schemas.openxmlformats.org/officeDocument/2006/relationships/hyperlink" Target="http://www.linkedin.com/in/leo-bradbury-2a457222" TargetMode="External"/><Relationship  Id="rId12690" Type="http://schemas.openxmlformats.org/officeDocument/2006/relationships/hyperlink" Target="http://www.ekwipt.fr" TargetMode="External"/><Relationship  Id="rId12691" Type="http://schemas.openxmlformats.org/officeDocument/2006/relationships/hyperlink" Target="http://www.linkedin.com/in/sylvain-girard-103b65a2" TargetMode="External"/><Relationship  Id="rId12692" Type="http://schemas.openxmlformats.org/officeDocument/2006/relationships/hyperlink" Target="http://www.edmi-elec.fr" TargetMode="External"/><Relationship  Id="rId12693" Type="http://schemas.openxmlformats.org/officeDocument/2006/relationships/hyperlink" Target="http://www.linkedin.com/in/patrice-acquier-76175095" TargetMode="External"/><Relationship  Id="rId12694" Type="http://schemas.openxmlformats.org/officeDocument/2006/relationships/hyperlink" Target="http://www.semdas.fr" TargetMode="External"/><Relationship  Id="rId12695" Type="http://schemas.openxmlformats.org/officeDocument/2006/relationships/hyperlink" Target="http://www.linkedin.com/in/jordan-bion-731637144" TargetMode="External"/><Relationship  Id="rId12696" Type="http://schemas.openxmlformats.org/officeDocument/2006/relationships/hyperlink" Target="http://www.tgeg-electricite.com" TargetMode="External"/><Relationship  Id="rId12697" Type="http://schemas.openxmlformats.org/officeDocument/2006/relationships/hyperlink" Target="http://www.linkedin.com/in/jean-christophe-pierron-07203b31" TargetMode="External"/><Relationship  Id="rId12698" Type="http://schemas.openxmlformats.org/officeDocument/2006/relationships/hyperlink" Target="http://www.linkedin.com/in/katell-commaret-a9a11087" TargetMode="External"/><Relationship  Id="rId12699" Type="http://schemas.openxmlformats.org/officeDocument/2006/relationships/hyperlink" Target="http://www.mericom.archi" TargetMode="External"/><Relationship  Id="rId127" Type="http://schemas.openxmlformats.org/officeDocument/2006/relationships/hyperlink" Target="http://www.heqtor.fr" TargetMode="External"/><Relationship  Id="rId1270" Type="http://schemas.openxmlformats.org/officeDocument/2006/relationships/hyperlink" Target="http://www.bistro-burger.fr" TargetMode="External"/><Relationship  Id="rId12700" Type="http://schemas.openxmlformats.org/officeDocument/2006/relationships/hyperlink" Target="http://www.linkedin.com/in/michael-hanoy-567a503" TargetMode="External"/><Relationship  Id="rId12701" Type="http://schemas.openxmlformats.org/officeDocument/2006/relationships/hyperlink" Target="http://www.enera.fr" TargetMode="External"/><Relationship  Id="rId12702" Type="http://schemas.openxmlformats.org/officeDocument/2006/relationships/hyperlink" Target="http://www.linkedin.com/in/jerome-mathieu-39932a25" TargetMode="External"/><Relationship  Id="rId12703" Type="http://schemas.openxmlformats.org/officeDocument/2006/relationships/hyperlink" Target="http://www.s2t.fr" TargetMode="External"/><Relationship  Id="rId12704" Type="http://schemas.openxmlformats.org/officeDocument/2006/relationships/hyperlink" Target="http://www.linkedin.com/in/yann-decremps-9876aa1a2" TargetMode="External"/><Relationship  Id="rId12705" Type="http://schemas.openxmlformats.org/officeDocument/2006/relationships/hyperlink" Target="http://www.decremps-btp.fr" TargetMode="External"/><Relationship  Id="rId12706" Type="http://schemas.openxmlformats.org/officeDocument/2006/relationships/hyperlink" Target="http://www.linkedin.com/in/anastasio-j%c3%a9r%c3%b4me-052450b3" TargetMode="External"/><Relationship  Id="rId12707" Type="http://schemas.openxmlformats.org/officeDocument/2006/relationships/hyperlink" Target="http://www.snrb.fr" TargetMode="External"/><Relationship  Id="rId12708" Type="http://schemas.openxmlformats.org/officeDocument/2006/relationships/hyperlink" Target="http://www.linkedin.com/in/musa-meric-9357a2217" TargetMode="External"/><Relationship  Id="rId12709" Type="http://schemas.openxmlformats.org/officeDocument/2006/relationships/hyperlink" Target="http://www.speedechafaudages.com" TargetMode="External"/><Relationship  Id="rId1271" Type="http://schemas.openxmlformats.org/officeDocument/2006/relationships/hyperlink" Target="http://www.linkedin.com/in/patrick-eymann" TargetMode="External"/><Relationship  Id="rId12710" Type="http://schemas.openxmlformats.org/officeDocument/2006/relationships/hyperlink" Target="http://www.linkedin.com/in/damien-gallard-0b372a100" TargetMode="External"/><Relationship  Id="rId12711" Type="http://schemas.openxmlformats.org/officeDocument/2006/relationships/hyperlink" Target="http://www.linkedin.com/in/virgile-brochard-693968106" TargetMode="External"/><Relationship  Id="rId12712" Type="http://schemas.openxmlformats.org/officeDocument/2006/relationships/hyperlink" Target="http://www.iph-bet.fr" TargetMode="External"/><Relationship  Id="rId12713" Type="http://schemas.openxmlformats.org/officeDocument/2006/relationships/hyperlink" Target="http://www.linkedin.com/in/antoine-tixier-b6bb8b40" TargetMode="External"/><Relationship  Id="rId12714" Type="http://schemas.openxmlformats.org/officeDocument/2006/relationships/hyperlink" Target="http://www.safetyfunction.com" TargetMode="External"/><Relationship  Id="rId12715" Type="http://schemas.openxmlformats.org/officeDocument/2006/relationships/hyperlink" Target="http://www.linkedin.com/in/yannick-beaud-068177bb" TargetMode="External"/><Relationship  Id="rId12716" Type="http://schemas.openxmlformats.org/officeDocument/2006/relationships/hyperlink" Target="http://www.2rt-etancheite.fr" TargetMode="External"/><Relationship  Id="rId12717" Type="http://schemas.openxmlformats.org/officeDocument/2006/relationships/hyperlink" Target="http://www.linkedin.com/in/vivien-heim-260582144" TargetMode="External"/><Relationship  Id="rId12718" Type="http://schemas.openxmlformats.org/officeDocument/2006/relationships/hyperlink" Target="http://www.modulo-protect.fr" TargetMode="External"/><Relationship  Id="rId12719" Type="http://schemas.openxmlformats.org/officeDocument/2006/relationships/hyperlink" Target="http://www.linkedin.com/in/mathieu-chaplain" TargetMode="External"/><Relationship  Id="rId1272" Type="http://schemas.openxmlformats.org/officeDocument/2006/relationships/hyperlink" Target="http://www.showplacehq.com" TargetMode="External"/><Relationship  Id="rId12720" Type="http://schemas.openxmlformats.org/officeDocument/2006/relationships/hyperlink" Target="http://www.facildata.com" TargetMode="External"/><Relationship  Id="rId12721" Type="http://schemas.openxmlformats.org/officeDocument/2006/relationships/hyperlink" Target="http://www.linkedin.com/in/antoine-salvaggio-49232b61" TargetMode="External"/><Relationship  Id="rId12722" Type="http://schemas.openxmlformats.org/officeDocument/2006/relationships/hyperlink" Target="http://www.maisonsclaire.com" TargetMode="External"/><Relationship  Id="rId12723" Type="http://schemas.openxmlformats.org/officeDocument/2006/relationships/hyperlink" Target="http://www.linkedin.com/in/guilhem-maury" TargetMode="External"/><Relationship  Id="rId12724" Type="http://schemas.openxmlformats.org/officeDocument/2006/relationships/hyperlink" Target="http://www.plomberiepavan.fr" TargetMode="External"/><Relationship  Id="rId12725" Type="http://schemas.openxmlformats.org/officeDocument/2006/relationships/hyperlink" Target="http://www.linkedin.com/in/audrey-cazeaux-47ba93a6" TargetMode="External"/><Relationship  Id="rId12726" Type="http://schemas.openxmlformats.org/officeDocument/2006/relationships/hyperlink" Target="http://www.eovest.fr" TargetMode="External"/><Relationship  Id="rId12727" Type="http://schemas.openxmlformats.org/officeDocument/2006/relationships/hyperlink" Target="http://www.linkedin.com/in/thibault-costet-1bb7b7b2" TargetMode="External"/><Relationship  Id="rId12728" Type="http://schemas.openxmlformats.org/officeDocument/2006/relationships/hyperlink" Target="http://www.keops-ingenierie.com" TargetMode="External"/><Relationship  Id="rId12729" Type="http://schemas.openxmlformats.org/officeDocument/2006/relationships/hyperlink" Target="http://www.linkedin.com/in/j%c3%a9r%c3%a9my-plotton-102082163" TargetMode="External"/><Relationship  Id="rId1273" Type="http://schemas.openxmlformats.org/officeDocument/2006/relationships/hyperlink" Target="http://www.linkedin.com/in/rudy-atlani-51613426b" TargetMode="External"/><Relationship  Id="rId12730" Type="http://schemas.openxmlformats.org/officeDocument/2006/relationships/hyperlink" Target="http://www.sermeca.fr" TargetMode="External"/><Relationship  Id="rId12731" Type="http://schemas.openxmlformats.org/officeDocument/2006/relationships/hyperlink" Target="http://www.linkedin.com/in/j%c3%a9r%c3%a9my-benoist-97b91b135" TargetMode="External"/><Relationship  Id="rId12732" Type="http://schemas.openxmlformats.org/officeDocument/2006/relationships/hyperlink" Target="http://www.slh-habitat.fr" TargetMode="External"/><Relationship  Id="rId12733" Type="http://schemas.openxmlformats.org/officeDocument/2006/relationships/hyperlink" Target="http://www.linkedin.com/in/joseph-perreton-bb504519b" TargetMode="External"/><Relationship  Id="rId12734" Type="http://schemas.openxmlformats.org/officeDocument/2006/relationships/hyperlink" Target="http://www.capmetropole.fr" TargetMode="External"/><Relationship  Id="rId12735" Type="http://schemas.openxmlformats.org/officeDocument/2006/relationships/hyperlink" Target="http://www.linkedin.com/in/laura-piantoni-b8000012a" TargetMode="External"/><Relationship  Id="rId12736" Type="http://schemas.openxmlformats.org/officeDocument/2006/relationships/hyperlink" Target="http://www.cosepi-france-btp.fr" TargetMode="External"/><Relationship  Id="rId12737" Type="http://schemas.openxmlformats.org/officeDocument/2006/relationships/hyperlink" Target="http://www.linkedin.com/in/mohamed-badaoui-0139a5113" TargetMode="External"/><Relationship  Id="rId12738" Type="http://schemas.openxmlformats.org/officeDocument/2006/relationships/hyperlink" Target="http://www.azuralusarl.com" TargetMode="External"/><Relationship  Id="rId12739" Type="http://schemas.openxmlformats.org/officeDocument/2006/relationships/hyperlink" Target="http://www.linkedin.com/in/gilles-moutarlier-2392baa8" TargetMode="External"/><Relationship  Id="rId1274" Type="http://schemas.openxmlformats.org/officeDocument/2006/relationships/hyperlink" Target="http://www.urbanflatinparis.com" TargetMode="External"/><Relationship  Id="rId12740" Type="http://schemas.openxmlformats.org/officeDocument/2006/relationships/hyperlink" Target="http://www.sys-et-com.fr" TargetMode="External"/><Relationship  Id="rId12741" Type="http://schemas.openxmlformats.org/officeDocument/2006/relationships/hyperlink" Target="http://www.linkedin.com/in/chaouki-salame-808b5665" TargetMode="External"/><Relationship  Id="rId12742" Type="http://schemas.openxmlformats.org/officeDocument/2006/relationships/hyperlink" Target="http://www.7concept.fr" TargetMode="External"/><Relationship  Id="rId12743" Type="http://schemas.openxmlformats.org/officeDocument/2006/relationships/hyperlink" Target="http://www.linkedin.com/in/jc-pratt-delzenne-5687646b" TargetMode="External"/><Relationship  Id="rId12744" Type="http://schemas.openxmlformats.org/officeDocument/2006/relationships/hyperlink" Target="http://www.builda.se" TargetMode="External"/><Relationship  Id="rId12745" Type="http://schemas.openxmlformats.org/officeDocument/2006/relationships/hyperlink" Target="http://www.linkedin.com/in/laurent-cayron-140382a0" TargetMode="External"/><Relationship  Id="rId12746" Type="http://schemas.openxmlformats.org/officeDocument/2006/relationships/hyperlink" Target="http://www.seelavabrealain.com" TargetMode="External"/><Relationship  Id="rId12747" Type="http://schemas.openxmlformats.org/officeDocument/2006/relationships/hyperlink" Target="http://www.linkedin.com/in/beatrice-puyperoux" TargetMode="External"/><Relationship  Id="rId12748" Type="http://schemas.openxmlformats.org/officeDocument/2006/relationships/hyperlink" Target="http://www.cflc.fr" TargetMode="External"/><Relationship  Id="rId12749" Type="http://schemas.openxmlformats.org/officeDocument/2006/relationships/hyperlink" Target="http://www.linkedin.com/in/florian-ciciarelli-3b2712125" TargetMode="External"/><Relationship  Id="rId1275" Type="http://schemas.openxmlformats.org/officeDocument/2006/relationships/hyperlink" Target="http://www.linkedin.com/in/jeff-macquet-6b615194" TargetMode="External"/><Relationship  Id="rId12750" Type="http://schemas.openxmlformats.org/officeDocument/2006/relationships/hyperlink" Target="http://www.ciciarelli.com" TargetMode="External"/><Relationship  Id="rId12751" Type="http://schemas.openxmlformats.org/officeDocument/2006/relationships/hyperlink" Target="http://www.linkedin.com/in/itfactor" TargetMode="External"/><Relationship  Id="rId12752" Type="http://schemas.openxmlformats.org/officeDocument/2006/relationships/hyperlink" Target="http://www.bee-cycle.fr" TargetMode="External"/><Relationship  Id="rId12753" Type="http://schemas.openxmlformats.org/officeDocument/2006/relationships/hyperlink" Target="http://www.linkedin.com/in/jerome-iltis-8a146199" TargetMode="External"/><Relationship  Id="rId12754" Type="http://schemas.openxmlformats.org/officeDocument/2006/relationships/hyperlink" Target="http://www.stephaneberger.com" TargetMode="External"/><Relationship  Id="rId12755" Type="http://schemas.openxmlformats.org/officeDocument/2006/relationships/hyperlink" Target="http://www.linkedin.com/in/antoine-bacholle-b5b48522" TargetMode="External"/><Relationship  Id="rId12756" Type="http://schemas.openxmlformats.org/officeDocument/2006/relationships/hyperlink" Target="http://www.officesante.com" TargetMode="External"/><Relationship  Id="rId12757" Type="http://schemas.openxmlformats.org/officeDocument/2006/relationships/hyperlink" Target="http://www.linkedin.com/in/r%c3%a9mi-andrieu-2641055b" TargetMode="External"/><Relationship  Id="rId12758" Type="http://schemas.openxmlformats.org/officeDocument/2006/relationships/hyperlink" Target="http://www.sicep.fr" TargetMode="External"/><Relationship  Id="rId12759" Type="http://schemas.openxmlformats.org/officeDocument/2006/relationships/hyperlink" Target="http://www.linkedin.com/in/emmanuel-beucher-b2250a23a" TargetMode="External"/><Relationship  Id="rId1276" Type="http://schemas.openxmlformats.org/officeDocument/2006/relationships/hyperlink" Target="http://www.369degres.com" TargetMode="External"/><Relationship  Id="rId12760" Type="http://schemas.openxmlformats.org/officeDocument/2006/relationships/hyperlink" Target="http://www.lemaire-tricotel.fr" TargetMode="External"/><Relationship  Id="rId12761" Type="http://schemas.openxmlformats.org/officeDocument/2006/relationships/hyperlink" Target="http://www.linkedin.com/in/luc-rock-72781729a" TargetMode="External"/><Relationship  Id="rId12762" Type="http://schemas.openxmlformats.org/officeDocument/2006/relationships/hyperlink" Target="http://www.linkedin.com/in/bect-g%c3%a9rard-gerard-7a4899107" TargetMode="External"/><Relationship  Id="rId12763" Type="http://schemas.openxmlformats.org/officeDocument/2006/relationships/hyperlink" Target="http://www.bect-sas.fr" TargetMode="External"/><Relationship  Id="rId12764" Type="http://schemas.openxmlformats.org/officeDocument/2006/relationships/hyperlink" Target="http://www.linkedin.com/in/jos%c3%a9-porto-395977112" TargetMode="External"/><Relationship  Id="rId12765" Type="http://schemas.openxmlformats.org/officeDocument/2006/relationships/hyperlink" Target="http://www.cpetoile.com" TargetMode="External"/><Relationship  Id="rId12766" Type="http://schemas.openxmlformats.org/officeDocument/2006/relationships/hyperlink" Target="http://www.linkedin.com/in/olivier-rio-339b99169" TargetMode="External"/><Relationship  Id="rId12767" Type="http://schemas.openxmlformats.org/officeDocument/2006/relationships/hyperlink" Target="http://www.alisa-depollution.com" TargetMode="External"/><Relationship  Id="rId12768" Type="http://schemas.openxmlformats.org/officeDocument/2006/relationships/hyperlink" Target="http://www.linkedin.com/in/%c3%a9ric-blandin" TargetMode="External"/><Relationship  Id="rId12769" Type="http://schemas.openxmlformats.org/officeDocument/2006/relationships/hyperlink" Target="http://www.designconstructions.com" TargetMode="External"/><Relationship  Id="rId1277" Type="http://schemas.openxmlformats.org/officeDocument/2006/relationships/hyperlink" Target="http://www.linkedin.com/in/samuel-rieux-28996a72" TargetMode="External"/><Relationship  Id="rId12770" Type="http://schemas.openxmlformats.org/officeDocument/2006/relationships/hyperlink" Target="http://www.linkedin.com/in/laurent-mahaut-35404519" TargetMode="External"/><Relationship  Id="rId12771" Type="http://schemas.openxmlformats.org/officeDocument/2006/relationships/hyperlink" Target="http://www.stylique.eu" TargetMode="External"/><Relationship  Id="rId12772" Type="http://schemas.openxmlformats.org/officeDocument/2006/relationships/hyperlink" Target="http://www.linkedin.com/in/david-fitoussi" TargetMode="External"/><Relationship  Id="rId12773" Type="http://schemas.openxmlformats.org/officeDocument/2006/relationships/hyperlink" Target="http://www.openbox-codb.com" TargetMode="External"/><Relationship  Id="rId12774" Type="http://schemas.openxmlformats.org/officeDocument/2006/relationships/hyperlink" Target="http://www.linkedin.com/in/pierre-leveillet-a365b227" TargetMode="External"/><Relationship  Id="rId12775" Type="http://schemas.openxmlformats.org/officeDocument/2006/relationships/hyperlink" Target="http://www.moderlab.com" TargetMode="External"/><Relationship  Id="rId12776" Type="http://schemas.openxmlformats.org/officeDocument/2006/relationships/hyperlink" Target="http://www.linkedin.com/in/gr%c3%a9gory-stahl-8423921a0" TargetMode="External"/><Relationship  Id="rId12777" Type="http://schemas.openxmlformats.org/officeDocument/2006/relationships/hyperlink" Target="http://www.g2a-electricite.fr" TargetMode="External"/><Relationship  Id="rId12778" Type="http://schemas.openxmlformats.org/officeDocument/2006/relationships/hyperlink" Target="http://www.linkedin.com/in/gilles-bertrand-1074ab136" TargetMode="External"/><Relationship  Id="rId12779" Type="http://schemas.openxmlformats.org/officeDocument/2006/relationships/hyperlink" Target="http://www.vincent-isolation.fr" TargetMode="External"/><Relationship  Id="rId1278" Type="http://schemas.openxmlformats.org/officeDocument/2006/relationships/hyperlink" Target="http://www.driverandbutler.com" TargetMode="External"/><Relationship  Id="rId12780" Type="http://schemas.openxmlformats.org/officeDocument/2006/relationships/hyperlink" Target="http://www.linkedin.com/in/julien-blanchard-a2232980" TargetMode="External"/><Relationship  Id="rId12781" Type="http://schemas.openxmlformats.org/officeDocument/2006/relationships/hyperlink" Target="http://www.argilus.fr" TargetMode="External"/><Relationship  Id="rId12782" Type="http://schemas.openxmlformats.org/officeDocument/2006/relationships/hyperlink" Target="http://www.linkedin.com/in/cyrille-guiton-113785a4" TargetMode="External"/><Relationship  Id="rId12783" Type="http://schemas.openxmlformats.org/officeDocument/2006/relationships/hyperlink" Target="http://www.groupe-guiton.fr" TargetMode="External"/><Relationship  Id="rId12784" Type="http://schemas.openxmlformats.org/officeDocument/2006/relationships/hyperlink" Target="http://www.linkedin.com/in/stephane-guivarc-h-3bb1a753" TargetMode="External"/><Relationship  Id="rId12785" Type="http://schemas.openxmlformats.org/officeDocument/2006/relationships/hyperlink" Target="http://www.linkedin.com/in/thierry-guillot-64b07587" TargetMode="External"/><Relationship  Id="rId12786" Type="http://schemas.openxmlformats.org/officeDocument/2006/relationships/hyperlink" Target="http://www.linkedin.com/in/%c3%bcmit-delikaya-21470a7a" TargetMode="External"/><Relationship  Id="rId12787" Type="http://schemas.openxmlformats.org/officeDocument/2006/relationships/hyperlink" Target="http://www.rocsas.fr" TargetMode="External"/><Relationship  Id="rId12788" Type="http://schemas.openxmlformats.org/officeDocument/2006/relationships/hyperlink" Target="http://www.linkedin.com/in/denis-bertin-7b164820b" TargetMode="External"/><Relationship  Id="rId12789" Type="http://schemas.openxmlformats.org/officeDocument/2006/relationships/hyperlink" Target="http://www.iba-nantes.fr" TargetMode="External"/><Relationship  Id="rId1279" Type="http://schemas.openxmlformats.org/officeDocument/2006/relationships/hyperlink" Target="http://www.linkedin.com/in/st%c3%a9fanne-giraudet-97760a5a" TargetMode="External"/><Relationship  Id="rId12790" Type="http://schemas.openxmlformats.org/officeDocument/2006/relationships/hyperlink" Target="http://www.linkedin.com/in/youcef-ghit-a89a9a1b" TargetMode="External"/><Relationship  Id="rId12791" Type="http://schemas.openxmlformats.org/officeDocument/2006/relationships/hyperlink" Target="http://www.atlas-geotechnique.fr" TargetMode="External"/><Relationship  Id="rId12792" Type="http://schemas.openxmlformats.org/officeDocument/2006/relationships/hyperlink" Target="http://www.linkedin.com/in/c%c3%a9dric-simonin-a17b81a3" TargetMode="External"/><Relationship  Id="rId12793" Type="http://schemas.openxmlformats.org/officeDocument/2006/relationships/hyperlink" Target="http://www.trianon-residences.fr" TargetMode="External"/><Relationship  Id="rId12794" Type="http://schemas.openxmlformats.org/officeDocument/2006/relationships/hyperlink" Target="http://www.linkedin.com/in/lionel-hugues-76399973" TargetMode="External"/><Relationship  Id="rId12795" Type="http://schemas.openxmlformats.org/officeDocument/2006/relationships/hyperlink" Target="http://www.hugues-construction.fr" TargetMode="External"/><Relationship  Id="rId12796" Type="http://schemas.openxmlformats.org/officeDocument/2006/relationships/hyperlink" Target="http://www.linkedin.com/in/azzeddine-dellani-b0182954" TargetMode="External"/><Relationship  Id="rId12797" Type="http://schemas.openxmlformats.org/officeDocument/2006/relationships/hyperlink" Target="http://www.ecomac-construction.fr" TargetMode="External"/><Relationship  Id="rId12798" Type="http://schemas.openxmlformats.org/officeDocument/2006/relationships/hyperlink" Target="http://www.linkedin.com/in/manuel-verrier-b3ba4322" TargetMode="External"/><Relationship  Id="rId12799" Type="http://schemas.openxmlformats.org/officeDocument/2006/relationships/hyperlink" Target="http://www.linkedin.com/in/joseph-inguanta-b92525116" TargetMode="External"/><Relationship  Id="rId128" Type="http://schemas.openxmlformats.org/officeDocument/2006/relationships/hyperlink" Target="http://www.linkedin.com/in/j%c3%a9r%c3%a9my-fortin-7861281b" TargetMode="External"/><Relationship  Id="rId1280" Type="http://schemas.openxmlformats.org/officeDocument/2006/relationships/hyperlink" Target="http://www.hotels-emeraude.com" TargetMode="External"/><Relationship  Id="rId12800" Type="http://schemas.openxmlformats.org/officeDocument/2006/relationships/hyperlink" Target="http://www.artdecopiscine.fr" TargetMode="External"/><Relationship  Id="rId12801" Type="http://schemas.openxmlformats.org/officeDocument/2006/relationships/hyperlink" Target="http://www.linkedin.com/in/alain-de-temmerman" TargetMode="External"/><Relationship  Id="rId12802" Type="http://schemas.openxmlformats.org/officeDocument/2006/relationships/hyperlink" Target="http://www.a-b-a.fr" TargetMode="External"/><Relationship  Id="rId12803" Type="http://schemas.openxmlformats.org/officeDocument/2006/relationships/hyperlink" Target="http://www.linkedin.com/in/lbaudry" TargetMode="External"/><Relationship  Id="rId12804" Type="http://schemas.openxmlformats.org/officeDocument/2006/relationships/hyperlink" Target="http://www.sarlcarre.fr" TargetMode="External"/><Relationship  Id="rId12805" Type="http://schemas.openxmlformats.org/officeDocument/2006/relationships/hyperlink" Target="http://www.linkedin.com/in/cihat-ciftci-60b5a0145" TargetMode="External"/><Relationship  Id="rId12806" Type="http://schemas.openxmlformats.org/officeDocument/2006/relationships/hyperlink" Target="http://www.tci-batiment.fr" TargetMode="External"/><Relationship  Id="rId12807" Type="http://schemas.openxmlformats.org/officeDocument/2006/relationships/hyperlink" Target="http://www.linkedin.com/in/mathieu-clemenceau-88b97560" TargetMode="External"/><Relationship  Id="rId12808" Type="http://schemas.openxmlformats.org/officeDocument/2006/relationships/hyperlink" Target="http://www.geoexperts.fr" TargetMode="External"/><Relationship  Id="rId12809" Type="http://schemas.openxmlformats.org/officeDocument/2006/relationships/hyperlink" Target="http://www.linkedin.com/in/aur%c3%a9lien-collin-61780912a" TargetMode="External"/><Relationship  Id="rId1281" Type="http://schemas.openxmlformats.org/officeDocument/2006/relationships/hyperlink" Target="http://www.linkedin.com/in/sephoranahon" TargetMode="External"/><Relationship  Id="rId12810" Type="http://schemas.openxmlformats.org/officeDocument/2006/relationships/hyperlink" Target="http://www.c4c-etudes-expertises.fr" TargetMode="External"/><Relationship  Id="rId12811" Type="http://schemas.openxmlformats.org/officeDocument/2006/relationships/hyperlink" Target="http://www.linkedin.com/in/claire-foucaut-b03825239" TargetMode="External"/><Relationship  Id="rId12812" Type="http://schemas.openxmlformats.org/officeDocument/2006/relationships/hyperlink" Target="http://www.linkedin.com/in/olivier-dupont-60a4901a" TargetMode="External"/><Relationship  Id="rId12813" Type="http://schemas.openxmlformats.org/officeDocument/2006/relationships/hyperlink" Target="http://www.thp.fr" TargetMode="External"/><Relationship  Id="rId12814" Type="http://schemas.openxmlformats.org/officeDocument/2006/relationships/hyperlink" Target="http://www.linkedin.com/in/grenard" TargetMode="External"/><Relationship  Id="rId12815" Type="http://schemas.openxmlformats.org/officeDocument/2006/relationships/hyperlink" Target="http://www.b-c-r.fr" TargetMode="External"/><Relationship  Id="rId12816" Type="http://schemas.openxmlformats.org/officeDocument/2006/relationships/hyperlink" Target="http://www.linkedin.com/in/avantagessecurite" TargetMode="External"/><Relationship  Id="rId12817" Type="http://schemas.openxmlformats.org/officeDocument/2006/relationships/hyperlink" Target="http://www.systemedecontroledacces.com" TargetMode="External"/><Relationship  Id="rId12818" Type="http://schemas.openxmlformats.org/officeDocument/2006/relationships/hyperlink" Target="http://www.linkedin.com/in/david-quisserne-a0449719" TargetMode="External"/><Relationship  Id="rId12819" Type="http://schemas.openxmlformats.org/officeDocument/2006/relationships/hyperlink" Target="http://www.linkedin.com/in/dethanguillaume" TargetMode="External"/><Relationship  Id="rId1282" Type="http://schemas.openxmlformats.org/officeDocument/2006/relationships/hyperlink" Target="http://www.linkedin.com/in/olivier-dard%c3%a9-633990108" TargetMode="External"/><Relationship  Id="rId12820" Type="http://schemas.openxmlformats.org/officeDocument/2006/relationships/hyperlink" Target="http://www.inex.fr" TargetMode="External"/><Relationship  Id="rId12821" Type="http://schemas.openxmlformats.org/officeDocument/2006/relationships/hyperlink" Target="http://www.linkedin.com/in/eliott-dupuis-21219337" TargetMode="External"/><Relationship  Id="rId12822" Type="http://schemas.openxmlformats.org/officeDocument/2006/relationships/hyperlink" Target="http://www.linkedin.com/in/radufe-david-41b90b188" TargetMode="External"/><Relationship  Id="rId12823" Type="http://schemas.openxmlformats.org/officeDocument/2006/relationships/hyperlink" Target="http://www.menuiseriesnicolas.fr" TargetMode="External"/><Relationship  Id="rId12824" Type="http://schemas.openxmlformats.org/officeDocument/2006/relationships/hyperlink" Target="http://www.linkedin.com/in/benjamin-laurent-3bb6a773" TargetMode="External"/><Relationship  Id="rId12825" Type="http://schemas.openxmlformats.org/officeDocument/2006/relationships/hyperlink" Target="http://www.groupebml.fr" TargetMode="External"/><Relationship  Id="rId12826" Type="http://schemas.openxmlformats.org/officeDocument/2006/relationships/hyperlink" Target="http://www.linkedin.com/in/saqib-arshad-157251193" TargetMode="External"/><Relationship  Id="rId12827" Type="http://schemas.openxmlformats.org/officeDocument/2006/relationships/hyperlink" Target="http://www.gte-elec.fr" TargetMode="External"/><Relationship  Id="rId12828" Type="http://schemas.openxmlformats.org/officeDocument/2006/relationships/hyperlink" Target="http://www.linkedin.com/in/val%c3%a9rie-fiastre-9628a7210" TargetMode="External"/><Relationship  Id="rId12829" Type="http://schemas.openxmlformats.org/officeDocument/2006/relationships/hyperlink" Target="http://www.groupebir.fr" TargetMode="External"/><Relationship  Id="rId1283" Type="http://schemas.openxmlformats.org/officeDocument/2006/relationships/hyperlink" Target="http://www.somewheretomeet.fr" TargetMode="External"/><Relationship  Id="rId12830" Type="http://schemas.openxmlformats.org/officeDocument/2006/relationships/hyperlink" Target="http://www.linkedin.com/in/olivier-bidaux-5a1793100" TargetMode="External"/><Relationship  Id="rId12831" Type="http://schemas.openxmlformats.org/officeDocument/2006/relationships/hyperlink" Target="http://www.mabi.fr" TargetMode="External"/><Relationship  Id="rId12832" Type="http://schemas.openxmlformats.org/officeDocument/2006/relationships/hyperlink" Target="http://www.linkedin.com/in/sylvain-huvier-356b2b9a" TargetMode="External"/><Relationship  Id="rId12833" Type="http://schemas.openxmlformats.org/officeDocument/2006/relationships/hyperlink" Target="http://www.tso-reali.fr" TargetMode="External"/><Relationship  Id="rId12834" Type="http://schemas.openxmlformats.org/officeDocument/2006/relationships/hyperlink" Target="http://www.linkedin.com/in/mario-vaz-alves-5b065b111" TargetMode="External"/><Relationship  Id="rId12835" Type="http://schemas.openxmlformats.org/officeDocument/2006/relationships/hyperlink" Target="http://www.euromib.fr" TargetMode="External"/><Relationship  Id="rId12836" Type="http://schemas.openxmlformats.org/officeDocument/2006/relationships/hyperlink" Target="http://www.linkedin.com/in/laurent-cordani-8401271ba" TargetMode="External"/><Relationship  Id="rId12837" Type="http://schemas.openxmlformats.org/officeDocument/2006/relationships/hyperlink" Target="http://www.rhp-combles.com" TargetMode="External"/><Relationship  Id="rId12838" Type="http://schemas.openxmlformats.org/officeDocument/2006/relationships/hyperlink" Target="http://www.linkedin.com/in/sebastien-moulin-53806914a" TargetMode="External"/><Relationship  Id="rId12839" Type="http://schemas.openxmlformats.org/officeDocument/2006/relationships/hyperlink" Target="http://www.fregonese.fr" TargetMode="External"/><Relationship  Id="rId1284" Type="http://schemas.openxmlformats.org/officeDocument/2006/relationships/hyperlink" Target="http://www.linkedin.com/in/matthieu-tissot-28a70b47" TargetMode="External"/><Relationship  Id="rId12840" Type="http://schemas.openxmlformats.org/officeDocument/2006/relationships/hyperlink" Target="http://www.linkedin.com/in/stephane-pau-35562795" TargetMode="External"/><Relationship  Id="rId12841" Type="http://schemas.openxmlformats.org/officeDocument/2006/relationships/hyperlink" Target="http://www.ca-rf.com" TargetMode="External"/><Relationship  Id="rId12842" Type="http://schemas.openxmlformats.org/officeDocument/2006/relationships/hyperlink" Target="http://www.linkedin.com/in/bertrand-rigaud-696b94b0" TargetMode="External"/><Relationship  Id="rId12843" Type="http://schemas.openxmlformats.org/officeDocument/2006/relationships/hyperlink" Target="http://www.renobat-paca.com" TargetMode="External"/><Relationship  Id="rId12844" Type="http://schemas.openxmlformats.org/officeDocument/2006/relationships/hyperlink" Target="http://www.linkedin.com/in/christophe-ollivier-079a2814b" TargetMode="External"/><Relationship  Id="rId12845" Type="http://schemas.openxmlformats.org/officeDocument/2006/relationships/hyperlink" Target="http://www.linkedin.com/in/benjaminzeig" TargetMode="External"/><Relationship  Id="rId12846" Type="http://schemas.openxmlformats.org/officeDocument/2006/relationships/hyperlink" Target="http://www.immolib.fr" TargetMode="External"/><Relationship  Id="rId12847" Type="http://schemas.openxmlformats.org/officeDocument/2006/relationships/hyperlink" Target="http://www.linkedin.com/in/augustin-l-helgoualc-h-b7981383" TargetMode="External"/><Relationship  Id="rId12848" Type="http://schemas.openxmlformats.org/officeDocument/2006/relationships/hyperlink" Target="http://www.vestallia.com" TargetMode="External"/><Relationship  Id="rId12849" Type="http://schemas.openxmlformats.org/officeDocument/2006/relationships/hyperlink" Target="http://www.linkedin.com/in/baptiste-bain-918618146" TargetMode="External"/><Relationship  Id="rId1285" Type="http://schemas.openxmlformats.org/officeDocument/2006/relationships/hyperlink" Target="http://www.liife.fr" TargetMode="External"/><Relationship  Id="rId12850" Type="http://schemas.openxmlformats.org/officeDocument/2006/relationships/hyperlink" Target="http://www.appr91.com" TargetMode="External"/><Relationship  Id="rId12851" Type="http://schemas.openxmlformats.org/officeDocument/2006/relationships/hyperlink" Target="http://www.linkedin.com/in/patrick-seixas-2387b69a" TargetMode="External"/><Relationship  Id="rId12852" Type="http://schemas.openxmlformats.org/officeDocument/2006/relationships/hyperlink" Target="http://www.qfort.fr" TargetMode="External"/><Relationship  Id="rId12853" Type="http://schemas.openxmlformats.org/officeDocument/2006/relationships/hyperlink" Target="http://www.linkedin.com/in/ingrid-ferro-0476a7a2" TargetMode="External"/><Relationship  Id="rId12854" Type="http://schemas.openxmlformats.org/officeDocument/2006/relationships/hyperlink" Target="http://www.ferro-ingenierie.fr" TargetMode="External"/><Relationship  Id="rId12855" Type="http://schemas.openxmlformats.org/officeDocument/2006/relationships/hyperlink" Target="http://www.linkedin.com/in/remy-brossard-85997651" TargetMode="External"/><Relationship  Id="rId12856" Type="http://schemas.openxmlformats.org/officeDocument/2006/relationships/hyperlink" Target="http://www.geotechnique-sas.com" TargetMode="External"/><Relationship  Id="rId12857" Type="http://schemas.openxmlformats.org/officeDocument/2006/relationships/hyperlink" Target="http://www.linkedin.com/in/maxence-grollier-a56972105" TargetMode="External"/><Relationship  Id="rId12858" Type="http://schemas.openxmlformats.org/officeDocument/2006/relationships/hyperlink" Target="http://www.icf-sarl.com" TargetMode="External"/><Relationship  Id="rId12859" Type="http://schemas.openxmlformats.org/officeDocument/2006/relationships/hyperlink" Target="http://www.linkedin.com/in/hhazim" TargetMode="External"/><Relationship  Id="rId1286" Type="http://schemas.openxmlformats.org/officeDocument/2006/relationships/hyperlink" Target="http://www.linkedin.com/in/david-bokobza-8ba14a146" TargetMode="External"/><Relationship  Id="rId12860" Type="http://schemas.openxmlformats.org/officeDocument/2006/relationships/hyperlink" Target="http://www.allobuild.fr" TargetMode="External"/><Relationship  Id="rId12861" Type="http://schemas.openxmlformats.org/officeDocument/2006/relationships/hyperlink" Target="http://www.linkedin.com/in/sylvain-knefel-984b0410a" TargetMode="External"/><Relationship  Id="rId12862" Type="http://schemas.openxmlformats.org/officeDocument/2006/relationships/hyperlink" Target="http://www.cote-ouverture.fr" TargetMode="External"/><Relationship  Id="rId12863" Type="http://schemas.openxmlformats.org/officeDocument/2006/relationships/hyperlink" Target="http://www.linkedin.com/in/mame-kankou-traore" TargetMode="External"/><Relationship  Id="rId12864" Type="http://schemas.openxmlformats.org/officeDocument/2006/relationships/hyperlink" Target="http://www.batiboom.com" TargetMode="External"/><Relationship  Id="rId12865" Type="http://schemas.openxmlformats.org/officeDocument/2006/relationships/hyperlink" Target="http://www.linkedin.com/in/aurore-bertolani-1a61b924" TargetMode="External"/><Relationship  Id="rId12866" Type="http://schemas.openxmlformats.org/officeDocument/2006/relationships/hyperlink" Target="http://www.bertolani.fr" TargetMode="External"/><Relationship  Id="rId12867" Type="http://schemas.openxmlformats.org/officeDocument/2006/relationships/hyperlink" Target="http://www.linkedin.com/in/r%c3%a9my-s%c3%a9n%c3%a9gas-00973444" TargetMode="External"/><Relationship  Id="rId12868" Type="http://schemas.openxmlformats.org/officeDocument/2006/relationships/hyperlink" Target="http://www.lafaix.com" TargetMode="External"/><Relationship  Id="rId12869" Type="http://schemas.openxmlformats.org/officeDocument/2006/relationships/hyperlink" Target="http://www.linkedin.com/in/david-hoffmann-337aa486" TargetMode="External"/><Relationship  Id="rId1287" Type="http://schemas.openxmlformats.org/officeDocument/2006/relationships/hyperlink" Target="http://www.come-paris.fr" TargetMode="External"/><Relationship  Id="rId12870" Type="http://schemas.openxmlformats.org/officeDocument/2006/relationships/hyperlink" Target="http://www.ciments-hoffmann.fr" TargetMode="External"/><Relationship  Id="rId12871" Type="http://schemas.openxmlformats.org/officeDocument/2006/relationships/hyperlink" Target="http://www.linkedin.com/in/guillaume-queyras-b7208858" TargetMode="External"/><Relationship  Id="rId12872" Type="http://schemas.openxmlformats.org/officeDocument/2006/relationships/hyperlink" Target="http://www.linkedin.com/in/bruno-collet-0aa18519b" TargetMode="External"/><Relationship  Id="rId12873" Type="http://schemas.openxmlformats.org/officeDocument/2006/relationships/hyperlink" Target="http://www.adeclim.fr" TargetMode="External"/><Relationship  Id="rId12874" Type="http://schemas.openxmlformats.org/officeDocument/2006/relationships/hyperlink" Target="http://www.linkedin.com/in/nicolas-ricart-19153714" TargetMode="External"/><Relationship  Id="rId12875" Type="http://schemas.openxmlformats.org/officeDocument/2006/relationships/hyperlink" Target="http://www.batiwebgroup.com" TargetMode="External"/><Relationship  Id="rId12876" Type="http://schemas.openxmlformats.org/officeDocument/2006/relationships/hyperlink" Target="http://www.linkedin.com/in/jacques-fantou-271492151" TargetMode="External"/><Relationship  Id="rId12877" Type="http://schemas.openxmlformats.org/officeDocument/2006/relationships/hyperlink" Target="http://www.cana-ouest.fr" TargetMode="External"/><Relationship  Id="rId12878" Type="http://schemas.openxmlformats.org/officeDocument/2006/relationships/hyperlink" Target="http://www.linkedin.com/in/patrice-jelsch-57b62257" TargetMode="External"/><Relationship  Id="rId12879" Type="http://schemas.openxmlformats.org/officeDocument/2006/relationships/hyperlink" Target="http://www.linkedin.com/in/jacqueline-lestingi-a6b008164" TargetMode="External"/><Relationship  Id="rId1288" Type="http://schemas.openxmlformats.org/officeDocument/2006/relationships/hyperlink" Target="http://www.linkedin.com/in/julien-bouaziz-03636ab1" TargetMode="External"/><Relationship  Id="rId12880" Type="http://schemas.openxmlformats.org/officeDocument/2006/relationships/hyperlink" Target="http://www.blanc-carrare.com" TargetMode="External"/><Relationship  Id="rId12881" Type="http://schemas.openxmlformats.org/officeDocument/2006/relationships/hyperlink" Target="http://www.linkedin.com/in/aliz%c3%a9e-charrier-b576b7131" TargetMode="External"/><Relationship  Id="rId12882" Type="http://schemas.openxmlformats.org/officeDocument/2006/relationships/hyperlink" Target="http://www.boisboreal.fr" TargetMode="External"/><Relationship  Id="rId12883" Type="http://schemas.openxmlformats.org/officeDocument/2006/relationships/hyperlink" Target="http://www.linkedin.com/in/c%c3%a9cile-bello" TargetMode="External"/><Relationship  Id="rId12884" Type="http://schemas.openxmlformats.org/officeDocument/2006/relationships/hyperlink" Target="http://www.alter-native.site" TargetMode="External"/><Relationship  Id="rId12885" Type="http://schemas.openxmlformats.org/officeDocument/2006/relationships/hyperlink" Target="http://www.linkedin.com/in/johann-heitzler-730a9223b" TargetMode="External"/><Relationship  Id="rId12886" Type="http://schemas.openxmlformats.org/officeDocument/2006/relationships/hyperlink" Target="http://www.altitud-eam.com" TargetMode="External"/><Relationship  Id="rId12887" Type="http://schemas.openxmlformats.org/officeDocument/2006/relationships/hyperlink" Target="http://www.linkedin.com/in/%c3%a9ric-nardot-6277b147" TargetMode="External"/><Relationship  Id="rId12888" Type="http://schemas.openxmlformats.org/officeDocument/2006/relationships/hyperlink" Target="http://www.groupecii.fr" TargetMode="External"/><Relationship  Id="rId12889" Type="http://schemas.openxmlformats.org/officeDocument/2006/relationships/hyperlink" Target="http://www.linkedin.com/in/mathieu-sarciat-6453a2197" TargetMode="External"/><Relationship  Id="rId1289" Type="http://schemas.openxmlformats.org/officeDocument/2006/relationships/hyperlink" Target="http://www.dalmata.co" TargetMode="External"/><Relationship  Id="rId12890" Type="http://schemas.openxmlformats.org/officeDocument/2006/relationships/hyperlink" Target="http://www.eco-chauffage-aquitaine.fr" TargetMode="External"/><Relationship  Id="rId12891" Type="http://schemas.openxmlformats.org/officeDocument/2006/relationships/hyperlink" Target="http://www.linkedin.com/in/lionel-morenval-ba266722" TargetMode="External"/><Relationship  Id="rId12892" Type="http://schemas.openxmlformats.org/officeDocument/2006/relationships/hyperlink" Target="http://www.muance.com" TargetMode="External"/><Relationship  Id="rId12893" Type="http://schemas.openxmlformats.org/officeDocument/2006/relationships/hyperlink" Target="http://www.linkedin.com/in/antoine-courdeau-b7627b85" TargetMode="External"/><Relationship  Id="rId12894" Type="http://schemas.openxmlformats.org/officeDocument/2006/relationships/hyperlink" Target="http://www.rehas.fr" TargetMode="External"/><Relationship  Id="rId12895" Type="http://schemas.openxmlformats.org/officeDocument/2006/relationships/hyperlink" Target="http://www.linkedin.com/in/norbert-cheminot-a69578112" TargetMode="External"/><Relationship  Id="rId12896" Type="http://schemas.openxmlformats.org/officeDocument/2006/relationships/hyperlink" Target="http://www.linkedin.com/in/herv%c3%a9-demouy-135656105" TargetMode="External"/><Relationship  Id="rId12897" Type="http://schemas.openxmlformats.org/officeDocument/2006/relationships/hyperlink" Target="http://www.demouy.fr" TargetMode="External"/><Relationship  Id="rId12898" Type="http://schemas.openxmlformats.org/officeDocument/2006/relationships/hyperlink" Target="http://www.linkedin.com/in/benjamin-aulagnier-183598122" TargetMode="External"/><Relationship  Id="rId12899" Type="http://schemas.openxmlformats.org/officeDocument/2006/relationships/hyperlink" Target="http://www.socobat-43.fr" TargetMode="External"/><Relationship  Id="rId129" Type="http://schemas.openxmlformats.org/officeDocument/2006/relationships/hyperlink" Target="http://www.weekome.fr" TargetMode="External"/><Relationship  Id="rId1290" Type="http://schemas.openxmlformats.org/officeDocument/2006/relationships/hyperlink" Target="http://www.linkedin.com/in/romain-jouhaud-bb71678b" TargetMode="External"/><Relationship  Id="rId12900" Type="http://schemas.openxmlformats.org/officeDocument/2006/relationships/hyperlink" Target="http://www.linkedin.com/in/christophe-aubague-5b6979131" TargetMode="External"/><Relationship  Id="rId12901" Type="http://schemas.openxmlformats.org/officeDocument/2006/relationships/hyperlink" Target="http://www.cte-sa.com" TargetMode="External"/><Relationship  Id="rId12902" Type="http://schemas.openxmlformats.org/officeDocument/2006/relationships/hyperlink" Target="http://www.linkedin.com/in/olivier-palaisi-98a35410b" TargetMode="External"/><Relationship  Id="rId12903" Type="http://schemas.openxmlformats.org/officeDocument/2006/relationships/hyperlink" Target="http://www.grisa.fr" TargetMode="External"/><Relationship  Id="rId12904" Type="http://schemas.openxmlformats.org/officeDocument/2006/relationships/hyperlink" Target="http://www.linkedin.com/in/laura-antoine-298a79203" TargetMode="External"/><Relationship  Id="rId12905" Type="http://schemas.openxmlformats.org/officeDocument/2006/relationships/hyperlink" Target="http://www.antoine-echafaudages.fr" TargetMode="External"/><Relationship  Id="rId12906" Type="http://schemas.openxmlformats.org/officeDocument/2006/relationships/hyperlink" Target="http://www.linkedin.com/in/thomas-cartel-ba0b3963" TargetMode="External"/><Relationship  Id="rId12907" Type="http://schemas.openxmlformats.org/officeDocument/2006/relationships/hyperlink" Target="http://www.linkedin.com/in/armeton" TargetMode="External"/><Relationship  Id="rId12908" Type="http://schemas.openxmlformats.org/officeDocument/2006/relationships/hyperlink" Target="http://www.armeton.fr" TargetMode="External"/><Relationship  Id="rId12909" Type="http://schemas.openxmlformats.org/officeDocument/2006/relationships/hyperlink" Target="http://www.linkedin.com/in/mullerdamien" TargetMode="External"/><Relationship  Id="rId1291" Type="http://schemas.openxmlformats.org/officeDocument/2006/relationships/hyperlink" Target="http://www.4roues-sous-1parapluie.com" TargetMode="External"/><Relationship  Id="rId12910" Type="http://schemas.openxmlformats.org/officeDocument/2006/relationships/hyperlink" Target="http://www.sweelco.com" TargetMode="External"/><Relationship  Id="rId12911" Type="http://schemas.openxmlformats.org/officeDocument/2006/relationships/hyperlink" Target="http://www.linkedin.com/in/karim-meslem-14b546128" TargetMode="External"/><Relationship  Id="rId12912" Type="http://schemas.openxmlformats.org/officeDocument/2006/relationships/hyperlink" Target="http://www.global-industrie.fr" TargetMode="External"/><Relationship  Id="rId12913" Type="http://schemas.openxmlformats.org/officeDocument/2006/relationships/hyperlink" Target="http://www.linkedin.com/in/zaara-aziz-486b88131" TargetMode="External"/><Relationship  Id="rId12914" Type="http://schemas.openxmlformats.org/officeDocument/2006/relationships/hyperlink" Target="http://www.bimtobuild.fr" TargetMode="External"/><Relationship  Id="rId12915" Type="http://schemas.openxmlformats.org/officeDocument/2006/relationships/hyperlink" Target="http://www.linkedin.com/in/laurent-germain-230052110" TargetMode="External"/><Relationship  Id="rId12916" Type="http://schemas.openxmlformats.org/officeDocument/2006/relationships/hyperlink" Target="http://www.crri2000.fr" TargetMode="External"/><Relationship  Id="rId12917" Type="http://schemas.openxmlformats.org/officeDocument/2006/relationships/hyperlink" Target="http://www.linkedin.com/in/olivier-sladky-184b5744" TargetMode="External"/><Relationship  Id="rId12918" Type="http://schemas.openxmlformats.org/officeDocument/2006/relationships/hyperlink" Target="http://www.linkedin.com/in/gaetanpelissier" TargetMode="External"/><Relationship  Id="rId12919" Type="http://schemas.openxmlformats.org/officeDocument/2006/relationships/hyperlink" Target="http://www.cclot.fr" TargetMode="External"/><Relationship  Id="rId1292" Type="http://schemas.openxmlformats.org/officeDocument/2006/relationships/hyperlink" Target="http://www.linkedin.com/in/olivia-schorestene-74950442" TargetMode="External"/><Relationship  Id="rId12920" Type="http://schemas.openxmlformats.org/officeDocument/2006/relationships/hyperlink" Target="http://www.linkedin.com/in/alexandre-rei-b69a65a1" TargetMode="External"/><Relationship  Id="rId12921" Type="http://schemas.openxmlformats.org/officeDocument/2006/relationships/hyperlink" Target="http://www.cplbois.fr" TargetMode="External"/><Relationship  Id="rId12922" Type="http://schemas.openxmlformats.org/officeDocument/2006/relationships/hyperlink" Target="http://www.linkedin.com/in/christophe-ruegg-364798107" TargetMode="External"/><Relationship  Id="rId12923" Type="http://schemas.openxmlformats.org/officeDocument/2006/relationships/hyperlink" Target="http://www.climelec.fr" TargetMode="External"/><Relationship  Id="rId12924" Type="http://schemas.openxmlformats.org/officeDocument/2006/relationships/hyperlink" Target="http://www.linkedin.com/in/christophe-latapie-97a72399" TargetMode="External"/><Relationship  Id="rId12925" Type="http://schemas.openxmlformats.org/officeDocument/2006/relationships/hyperlink" Target="http://www.arbonia-climate.com" TargetMode="External"/><Relationship  Id="rId12926" Type="http://schemas.openxmlformats.org/officeDocument/2006/relationships/hyperlink" Target="http://www.linkedin.com/in/didier-bruyas-1082b3142" TargetMode="External"/><Relationship  Id="rId12927" Type="http://schemas.openxmlformats.org/officeDocument/2006/relationships/hyperlink" Target="http://www.opus2b.fr" TargetMode="External"/><Relationship  Id="rId12928" Type="http://schemas.openxmlformats.org/officeDocument/2006/relationships/hyperlink" Target="http://www.linkedin.com/in/mehdi-benjemia-063860" TargetMode="External"/><Relationship  Id="rId12929" Type="http://schemas.openxmlformats.org/officeDocument/2006/relationships/hyperlink" Target="http://www.marinka.com" TargetMode="External"/><Relationship  Id="rId1293" Type="http://schemas.openxmlformats.org/officeDocument/2006/relationships/hyperlink" Target="http://www.lemazette.com" TargetMode="External"/><Relationship  Id="rId12930" Type="http://schemas.openxmlformats.org/officeDocument/2006/relationships/hyperlink" Target="http://www.linkedin.com/in/vishav-kumar-b7b851200" TargetMode="External"/><Relationship  Id="rId12931" Type="http://schemas.openxmlformats.org/officeDocument/2006/relationships/hyperlink" Target="http://www.anvig.fr" TargetMode="External"/><Relationship  Id="rId12932" Type="http://schemas.openxmlformats.org/officeDocument/2006/relationships/hyperlink" Target="http://www.linkedin.com/in/hamza-zenati-5a3516196" TargetMode="External"/><Relationship  Id="rId12933" Type="http://schemas.openxmlformats.org/officeDocument/2006/relationships/hyperlink" Target="http://www.superplombelec.fr" TargetMode="External"/><Relationship  Id="rId12934" Type="http://schemas.openxmlformats.org/officeDocument/2006/relationships/hyperlink" Target="http://www.linkedin.com/in/bruno-ferreira-34638a16b" TargetMode="External"/><Relationship  Id="rId12935" Type="http://schemas.openxmlformats.org/officeDocument/2006/relationships/hyperlink" Target="http://www.acb-var.com" TargetMode="External"/><Relationship  Id="rId12936" Type="http://schemas.openxmlformats.org/officeDocument/2006/relationships/hyperlink" Target="http://www.linkedin.com/in/patrick-brandizi-70a03252" TargetMode="External"/><Relationship  Id="rId12937" Type="http://schemas.openxmlformats.org/officeDocument/2006/relationships/hyperlink" Target="http://www.linkedin.com/in/damien-rosin-6174975b" TargetMode="External"/><Relationship  Id="rId12938" Type="http://schemas.openxmlformats.org/officeDocument/2006/relationships/hyperlink" Target="http://www.rosin-ent.com" TargetMode="External"/><Relationship  Id="rId12939" Type="http://schemas.openxmlformats.org/officeDocument/2006/relationships/hyperlink" Target="http://www.linkedin.com/in/murat-kurt-7a070049" TargetMode="External"/><Relationship  Id="rId1294" Type="http://schemas.openxmlformats.org/officeDocument/2006/relationships/hyperlink" Target="http://www.linkedin.com/in/alexandre-majercsik-153b8b20" TargetMode="External"/><Relationship  Id="rId12940" Type="http://schemas.openxmlformats.org/officeDocument/2006/relationships/hyperlink" Target="http://www.linkedin.com/in/quentin-laurent-887974183" TargetMode="External"/><Relationship  Id="rId12941" Type="http://schemas.openxmlformats.org/officeDocument/2006/relationships/hyperlink" Target="http://www.alliance-ts.fr" TargetMode="External"/><Relationship  Id="rId12942" Type="http://schemas.openxmlformats.org/officeDocument/2006/relationships/hyperlink" Target="http://www.linkedin.com/in/desgrousilliers-christophe-b23732117" TargetMode="External"/><Relationship  Id="rId12943" Type="http://schemas.openxmlformats.org/officeDocument/2006/relationships/hyperlink" Target="http://www.boulet-batiment.fr" TargetMode="External"/><Relationship  Id="rId12944" Type="http://schemas.openxmlformats.org/officeDocument/2006/relationships/hyperlink" Target="http://www.linkedin.com/in/thibaultsaintmartin" TargetMode="External"/><Relationship  Id="rId12945" Type="http://schemas.openxmlformats.org/officeDocument/2006/relationships/hyperlink" Target="http://www.agencecoupdecoeur.fr" TargetMode="External"/><Relationship  Id="rId12946" Type="http://schemas.openxmlformats.org/officeDocument/2006/relationships/hyperlink" Target="http://www.linkedin.com/in/eric-annezer-a92749148" TargetMode="External"/><Relationship  Id="rId12947" Type="http://schemas.openxmlformats.org/officeDocument/2006/relationships/hyperlink" Target="http://www.netbox-containers.fr" TargetMode="External"/><Relationship  Id="rId12948" Type="http://schemas.openxmlformats.org/officeDocument/2006/relationships/hyperlink" Target="http://www.linkedin.com/in/marc-penot-31b199105" TargetMode="External"/><Relationship  Id="rId12949" Type="http://schemas.openxmlformats.org/officeDocument/2006/relationships/hyperlink" Target="http://www.rscp.fr" TargetMode="External"/><Relationship  Id="rId1295" Type="http://schemas.openxmlformats.org/officeDocument/2006/relationships/hyperlink" Target="http://www.abbaye-premontres.com" TargetMode="External"/><Relationship  Id="rId12950" Type="http://schemas.openxmlformats.org/officeDocument/2006/relationships/hyperlink" Target="http://www.linkedin.com/in/florent-rio-8069b219" TargetMode="External"/><Relationship  Id="rId12951" Type="http://schemas.openxmlformats.org/officeDocument/2006/relationships/hyperlink" Target="http://www.sammob-sbi.com" TargetMode="External"/><Relationship  Id="rId12952" Type="http://schemas.openxmlformats.org/officeDocument/2006/relationships/hyperlink" Target="http://www.linkedin.com/in/kevin-drouin-0a2b0a1b8" TargetMode="External"/><Relationship  Id="rId12953" Type="http://schemas.openxmlformats.org/officeDocument/2006/relationships/hyperlink" Target="http://www.constructions-robert-brouca.fr" TargetMode="External"/><Relationship  Id="rId12954" Type="http://schemas.openxmlformats.org/officeDocument/2006/relationships/hyperlink" Target="http://www.linkedin.com/in/heleneszulc" TargetMode="External"/><Relationship  Id="rId12955" Type="http://schemas.openxmlformats.org/officeDocument/2006/relationships/hyperlink" Target="http://www.techsub.com" TargetMode="External"/><Relationship  Id="rId12956" Type="http://schemas.openxmlformats.org/officeDocument/2006/relationships/hyperlink" Target="http://www.linkedin.com/in/guillaume-charpentier-032000104" TargetMode="External"/><Relationship  Id="rId12957" Type="http://schemas.openxmlformats.org/officeDocument/2006/relationships/hyperlink" Target="http://www.charpentier-sas.com" TargetMode="External"/><Relationship  Id="rId12958" Type="http://schemas.openxmlformats.org/officeDocument/2006/relationships/hyperlink" Target="http://www.linkedin.com/in/stephane-victor-94875219" TargetMode="External"/><Relationship  Id="rId12959" Type="http://schemas.openxmlformats.org/officeDocument/2006/relationships/hyperlink" Target="http://www.menuiseriedevilloise.fr" TargetMode="External"/><Relationship  Id="rId1296" Type="http://schemas.openxmlformats.org/officeDocument/2006/relationships/hyperlink" Target="http://www.linkedin.com/in/tom-abbar-9729a2105" TargetMode="External"/><Relationship  Id="rId12960" Type="http://schemas.openxmlformats.org/officeDocument/2006/relationships/hyperlink" Target="http://www.linkedin.com/in/yann-robin-547262109" TargetMode="External"/><Relationship  Id="rId12961" Type="http://schemas.openxmlformats.org/officeDocument/2006/relationships/hyperlink" Target="http://www.linkedin.com/in/david-sorin-b96571117" TargetMode="External"/><Relationship  Id="rId12962" Type="http://schemas.openxmlformats.org/officeDocument/2006/relationships/hyperlink" Target="http://www.linkedin.com/in/aur%c3%a9lien-furet-489aa8b9" TargetMode="External"/><Relationship  Id="rId12963" Type="http://schemas.openxmlformats.org/officeDocument/2006/relationships/hyperlink" Target="http://www.mobius-reemploi.fr" TargetMode="External"/><Relationship  Id="rId12964" Type="http://schemas.openxmlformats.org/officeDocument/2006/relationships/hyperlink" Target="http://www.linkedin.com/in/anne-laure-lebranchu-b5131b177" TargetMode="External"/><Relationship  Id="rId12965" Type="http://schemas.openxmlformats.org/officeDocument/2006/relationships/hyperlink" Target="http://www.myconcept.bzh" TargetMode="External"/><Relationship  Id="rId12966" Type="http://schemas.openxmlformats.org/officeDocument/2006/relationships/hyperlink" Target="http://www.linkedin.com/in/ronan-carl%c3%a9-62879aa2" TargetMode="External"/><Relationship  Id="rId12967" Type="http://schemas.openxmlformats.org/officeDocument/2006/relationships/hyperlink" Target="http://www.bsrbtp.com" TargetMode="External"/><Relationship  Id="rId12968" Type="http://schemas.openxmlformats.org/officeDocument/2006/relationships/hyperlink" Target="http://www.linkedin.com/in/vincent-morael-70a93525" TargetMode="External"/><Relationship  Id="rId12969" Type="http://schemas.openxmlformats.org/officeDocument/2006/relationships/hyperlink" Target="http://www.associationleanconstruction.fr" TargetMode="External"/><Relationship  Id="rId1297" Type="http://schemas.openxmlformats.org/officeDocument/2006/relationships/hyperlink" Target="http://www.linkedin.com/in/colombe-guellerin-29634529" TargetMode="External"/><Relationship  Id="rId12970" Type="http://schemas.openxmlformats.org/officeDocument/2006/relationships/hyperlink" Target="http://www.linkedin.com/in/valentinboyer" TargetMode="External"/><Relationship  Id="rId12971" Type="http://schemas.openxmlformats.org/officeDocument/2006/relationships/hyperlink" Target="http://www.luxurylittlehome.com" TargetMode="External"/><Relationship  Id="rId12972" Type="http://schemas.openxmlformats.org/officeDocument/2006/relationships/hyperlink" Target="http://www.linkedin.com/in/marcofitoussi" TargetMode="External"/><Relationship  Id="rId12973" Type="http://schemas.openxmlformats.org/officeDocument/2006/relationships/hyperlink" Target="http://www.fmipro.fr" TargetMode="External"/><Relationship  Id="rId12974" Type="http://schemas.openxmlformats.org/officeDocument/2006/relationships/hyperlink" Target="http://www.linkedin.com/in/thomas-berod-38497340" TargetMode="External"/><Relationship  Id="rId12975" Type="http://schemas.openxmlformats.org/officeDocument/2006/relationships/hyperlink" Target="http://www.linkedin.com/in/thierry-fretigne-a8a247120" TargetMode="External"/><Relationship  Id="rId12976" Type="http://schemas.openxmlformats.org/officeDocument/2006/relationships/hyperlink" Target="http://www.c2t-strasbourg.fr" TargetMode="External"/><Relationship  Id="rId12977" Type="http://schemas.openxmlformats.org/officeDocument/2006/relationships/hyperlink" Target="http://www.linkedin.com/in/etienne-aucerne-8a0988a7" TargetMode="External"/><Relationship  Id="rId12978" Type="http://schemas.openxmlformats.org/officeDocument/2006/relationships/hyperlink" Target="http://www.nova-tec.fr" TargetMode="External"/><Relationship  Id="rId12979" Type="http://schemas.openxmlformats.org/officeDocument/2006/relationships/hyperlink" Target="http://www.linkedin.com/in/yves-dumont-b4768517" TargetMode="External"/><Relationship  Id="rId1298" Type="http://schemas.openxmlformats.org/officeDocument/2006/relationships/hyperlink" Target="http://www.linkedin.com/in/domitille-vilain-753b62ab" TargetMode="External"/><Relationship  Id="rId12980" Type="http://schemas.openxmlformats.org/officeDocument/2006/relationships/hyperlink" Target="http://www.gassim.net" TargetMode="External"/><Relationship  Id="rId12981" Type="http://schemas.openxmlformats.org/officeDocument/2006/relationships/hyperlink" Target="http://www.linkedin.com/in/marc-abitbol-876a36a9" TargetMode="External"/><Relationship  Id="rId12982" Type="http://schemas.openxmlformats.org/officeDocument/2006/relationships/hyperlink" Target="http://www.axho-groupe.com" TargetMode="External"/><Relationship  Id="rId12983" Type="http://schemas.openxmlformats.org/officeDocument/2006/relationships/hyperlink" Target="http://www.linkedin.com/in/julien-boutinaud-a8526b149" TargetMode="External"/><Relationship  Id="rId12984" Type="http://schemas.openxmlformats.org/officeDocument/2006/relationships/hyperlink" Target="http://www.linkedin.com/in/lo%c3%afc-s%c3%a9vin-7825b1113" TargetMode="External"/><Relationship  Id="rId12985" Type="http://schemas.openxmlformats.org/officeDocument/2006/relationships/hyperlink" Target="http://www.linkedin.com/in/st%c3%a9phanie-paly-24050164" TargetMode="External"/><Relationship  Id="rId12986" Type="http://schemas.openxmlformats.org/officeDocument/2006/relationships/hyperlink" Target="http://www.plateaucirculaire.fr" TargetMode="External"/><Relationship  Id="rId12987" Type="http://schemas.openxmlformats.org/officeDocument/2006/relationships/hyperlink" Target="http://www.linkedin.com/in/benjamin-tekin-3a386510b" TargetMode="External"/><Relationship  Id="rId12988" Type="http://schemas.openxmlformats.org/officeDocument/2006/relationships/hyperlink" Target="http://www.prosetancheite.fr" TargetMode="External"/><Relationship  Id="rId12989" Type="http://schemas.openxmlformats.org/officeDocument/2006/relationships/hyperlink" Target="http://www.linkedin.com/in/hussnan-riaz-1697b8b8" TargetMode="External"/><Relationship  Id="rId1299" Type="http://schemas.openxmlformats.org/officeDocument/2006/relationships/hyperlink" Target="http://www.linkedin.com/in/stephane-wenz-charrier-04b5b457" TargetMode="External"/><Relationship  Id="rId12990" Type="http://schemas.openxmlformats.org/officeDocument/2006/relationships/hyperlink" Target="http://www.hrgondal.com" TargetMode="External"/><Relationship  Id="rId12991" Type="http://schemas.openxmlformats.org/officeDocument/2006/relationships/hyperlink" Target="http://www.linkedin.com/in/laurent-condomines-29a474130" TargetMode="External"/><Relationship  Id="rId12992" Type="http://schemas.openxmlformats.org/officeDocument/2006/relationships/hyperlink" Target="http://www.groupe-chevreul.fr" TargetMode="External"/><Relationship  Id="rId12993" Type="http://schemas.openxmlformats.org/officeDocument/2006/relationships/hyperlink" Target="http://www.linkedin.com/in/chadi-ayoub-9b3923167" TargetMode="External"/><Relationship  Id="rId12994" Type="http://schemas.openxmlformats.org/officeDocument/2006/relationships/hyperlink" Target="http://www.secc-ingenierie.fr" TargetMode="External"/><Relationship  Id="rId12995" Type="http://schemas.openxmlformats.org/officeDocument/2006/relationships/hyperlink" Target="http://www.linkedin.com/in/xavier-hary-4821a623" TargetMode="External"/><Relationship  Id="rId12996" Type="http://schemas.openxmlformats.org/officeDocument/2006/relationships/hyperlink" Target="http://www.norba.ch" TargetMode="External"/><Relationship  Id="rId12997" Type="http://schemas.openxmlformats.org/officeDocument/2006/relationships/hyperlink" Target="http://www.linkedin.com/in/robin-grand-752b78a8" TargetMode="External"/><Relationship  Id="rId12998" Type="http://schemas.openxmlformats.org/officeDocument/2006/relationships/hyperlink" Target="http://www.grand-construction.fr" TargetMode="External"/><Relationship  Id="rId12999" Type="http://schemas.openxmlformats.org/officeDocument/2006/relationships/hyperlink" Target="http://www.linkedin.com/in/mattyfitoussi" TargetMode="External"/><Relationship  Id="rId13" Type="http://schemas.openxmlformats.org/officeDocument/2006/relationships/hyperlink" Target="http://www.linkedin.com/in/laurent-pezareix-50a3a98b" TargetMode="External"/><Relationship  Id="rId130" Type="http://schemas.openxmlformats.org/officeDocument/2006/relationships/hyperlink" Target="http://www.linkedin.com/in/baptiste-collignon-77b326110" TargetMode="External"/><Relationship  Id="rId1300" Type="http://schemas.openxmlformats.org/officeDocument/2006/relationships/hyperlink" Target="http://www.restaurant-moulin-ponceau.fr" TargetMode="External"/><Relationship  Id="rId13000" Type="http://schemas.openxmlformats.org/officeDocument/2006/relationships/hyperlink" Target="http://www.linkedin.com/in/didier-reffet-a7b6a01" TargetMode="External"/><Relationship  Id="rId13001" Type="http://schemas.openxmlformats.org/officeDocument/2006/relationships/hyperlink" Target="http://www.bridault-solutions.com" TargetMode="External"/><Relationship  Id="rId13002" Type="http://schemas.openxmlformats.org/officeDocument/2006/relationships/hyperlink" Target="http://www.linkedin.com/in/philippe-ginet-7056a8138" TargetMode="External"/><Relationship  Id="rId13003" Type="http://schemas.openxmlformats.org/officeDocument/2006/relationships/hyperlink" Target="http://www.linkedin.com/in/anthony-melchilsen-04433a1b4" TargetMode="External"/><Relationship  Id="rId13004" Type="http://schemas.openxmlformats.org/officeDocument/2006/relationships/hyperlink" Target="http://www.antomatic.fr" TargetMode="External"/><Relationship  Id="rId13005" Type="http://schemas.openxmlformats.org/officeDocument/2006/relationships/hyperlink" Target="http://www.linkedin.com/in/rapha%c3%abl-a-8726689a" TargetMode="External"/><Relationship  Id="rId13006" Type="http://schemas.openxmlformats.org/officeDocument/2006/relationships/hyperlink" Target="http://www.emmac.fr" TargetMode="External"/><Relationship  Id="rId13007" Type="http://schemas.openxmlformats.org/officeDocument/2006/relationships/hyperlink" Target="http://www.linkedin.com/in/3cs-mep-guerin-cl%c3%a9ment" TargetMode="External"/><Relationship  Id="rId13008" Type="http://schemas.openxmlformats.org/officeDocument/2006/relationships/hyperlink" Target="http://www.3cs.fr" TargetMode="External"/><Relationship  Id="rId13009" Type="http://schemas.openxmlformats.org/officeDocument/2006/relationships/hyperlink" Target="http://www.linkedin.com/in/virginie-st%c3%a9landre-408865163" TargetMode="External"/><Relationship  Id="rId1301" Type="http://schemas.openxmlformats.org/officeDocument/2006/relationships/hyperlink" Target="http://www.linkedin.com/in/marc-gilbert-91598a66" TargetMode="External"/><Relationship  Id="rId13010" Type="http://schemas.openxmlformats.org/officeDocument/2006/relationships/hyperlink" Target="http://www.bcm.fr" TargetMode="External"/><Relationship  Id="rId13011" Type="http://schemas.openxmlformats.org/officeDocument/2006/relationships/hyperlink" Target="http://www.linkedin.com/in/thomas-bataillard-653ba791" TargetMode="External"/><Relationship  Id="rId13012" Type="http://schemas.openxmlformats.org/officeDocument/2006/relationships/hyperlink" Target="http://www.rouge-noir-aea.com" TargetMode="External"/><Relationship  Id="rId13013" Type="http://schemas.openxmlformats.org/officeDocument/2006/relationships/hyperlink" Target="http://www.linkedin.com/in/xavier-richard-17ab99172" TargetMode="External"/><Relationship  Id="rId13014" Type="http://schemas.openxmlformats.org/officeDocument/2006/relationships/hyperlink" Target="http://www.desamiantage-ad2l.com" TargetMode="External"/><Relationship  Id="rId13015" Type="http://schemas.openxmlformats.org/officeDocument/2006/relationships/hyperlink" Target="http://www.linkedin.com/in/laurent-mario-00a07187" TargetMode="External"/><Relationship  Id="rId13016" Type="http://schemas.openxmlformats.org/officeDocument/2006/relationships/hyperlink" Target="http://www.valtinee.fr" TargetMode="External"/><Relationship  Id="rId13017" Type="http://schemas.openxmlformats.org/officeDocument/2006/relationships/hyperlink" Target="http://www.linkedin.com/in/ziad-youssef-30892894" TargetMode="External"/><Relationship  Id="rId13018" Type="http://schemas.openxmlformats.org/officeDocument/2006/relationships/hyperlink" Target="http://www.azelec.be" TargetMode="External"/><Relationship  Id="rId13019" Type="http://schemas.openxmlformats.org/officeDocument/2006/relationships/hyperlink" Target="http://www.linkedin.com/in/thierry-albert-22986b78" TargetMode="External"/><Relationship  Id="rId1302" Type="http://schemas.openxmlformats.org/officeDocument/2006/relationships/hyperlink" Target="http://www.homytlv.com" TargetMode="External"/><Relationship  Id="rId13020" Type="http://schemas.openxmlformats.org/officeDocument/2006/relationships/hyperlink" Target="http://www.beam3.fr" TargetMode="External"/><Relationship  Id="rId13021" Type="http://schemas.openxmlformats.org/officeDocument/2006/relationships/hyperlink" Target="http://www.linkedin.com/in/xavier-lannuzel-86534a101" TargetMode="External"/><Relationship  Id="rId13022" Type="http://schemas.openxmlformats.org/officeDocument/2006/relationships/hyperlink" Target="http://www.noba-btp.fr" TargetMode="External"/><Relationship  Id="rId13023" Type="http://schemas.openxmlformats.org/officeDocument/2006/relationships/hyperlink" Target="http://www.linkedin.com/in/alban-de-peyrelongue-42556867" TargetMode="External"/><Relationship  Id="rId13024" Type="http://schemas.openxmlformats.org/officeDocument/2006/relationships/hyperlink" Target="http://www.orvea.io" TargetMode="External"/><Relationship  Id="rId13025" Type="http://schemas.openxmlformats.org/officeDocument/2006/relationships/hyperlink" Target="http://www.linkedin.com/in/arnaud-martin-sharemat" TargetMode="External"/><Relationship  Id="rId13026" Type="http://schemas.openxmlformats.org/officeDocument/2006/relationships/hyperlink" Target="http://www.linkedin.com/in/pierre-leroy-4920329a" TargetMode="External"/><Relationship  Id="rId13027" Type="http://schemas.openxmlformats.org/officeDocument/2006/relationships/hyperlink" Target="http://www.frenchproptech.fr" TargetMode="External"/><Relationship  Id="rId13028" Type="http://schemas.openxmlformats.org/officeDocument/2006/relationships/hyperlink" Target="http://www.linkedin.com/in/laurent-fournier-6031b644" TargetMode="External"/><Relationship  Id="rId13029" Type="http://schemas.openxmlformats.org/officeDocument/2006/relationships/hyperlink" Target="http://www.hernandez-decors.fr" TargetMode="External"/><Relationship  Id="rId1303" Type="http://schemas.openxmlformats.org/officeDocument/2006/relationships/hyperlink" Target="http://www.linkedin.com/in/clement-mengus-64ba2693" TargetMode="External"/><Relationship  Id="rId13030" Type="http://schemas.openxmlformats.org/officeDocument/2006/relationships/hyperlink" Target="http://www.linkedin.com/in/michel-conil" TargetMode="External"/><Relationship  Id="rId13031" Type="http://schemas.openxmlformats.org/officeDocument/2006/relationships/hyperlink" Target="http://www.leroux-ouestproduction.fr" TargetMode="External"/><Relationship  Id="rId13032" Type="http://schemas.openxmlformats.org/officeDocument/2006/relationships/hyperlink" Target="http://www.linkedin.com/in/romain-quencez-645b1310a" TargetMode="External"/><Relationship  Id="rId13033" Type="http://schemas.openxmlformats.org/officeDocument/2006/relationships/hyperlink" Target="http://www.advalidem.com" TargetMode="External"/><Relationship  Id="rId13034" Type="http://schemas.openxmlformats.org/officeDocument/2006/relationships/hyperlink" Target="http://www.linkedin.com/in/jacques-dupuis-b146b649" TargetMode="External"/><Relationship  Id="rId13035" Type="http://schemas.openxmlformats.org/officeDocument/2006/relationships/hyperlink" Target="http://www.linkedin.com/in/jeanpierrecaurier" TargetMode="External"/><Relationship  Id="rId13036" Type="http://schemas.openxmlformats.org/officeDocument/2006/relationships/hyperlink" Target="http://www.skaping.com" TargetMode="External"/><Relationship  Id="rId13037" Type="http://schemas.openxmlformats.org/officeDocument/2006/relationships/hyperlink" Target="http://www.linkedin.com/in/herv%c3%a9-plouzennec-a0026a115" TargetMode="External"/><Relationship  Id="rId13038" Type="http://schemas.openxmlformats.org/officeDocument/2006/relationships/hyperlink" Target="http://www.linkedin.com/in/florian-dupont-468b9730" TargetMode="External"/><Relationship  Id="rId13039" Type="http://schemas.openxmlformats.org/officeDocument/2006/relationships/hyperlink" Target="http://www.zefco.fr" TargetMode="External"/><Relationship  Id="rId1304" Type="http://schemas.openxmlformats.org/officeDocument/2006/relationships/hyperlink" Target="http://www.villagecastigno.com" TargetMode="External"/><Relationship  Id="rId13040" Type="http://schemas.openxmlformats.org/officeDocument/2006/relationships/hyperlink" Target="http://www.linkedin.com/in/mathieu-gateau-04a8a481" TargetMode="External"/><Relationship  Id="rId13041" Type="http://schemas.openxmlformats.org/officeDocument/2006/relationships/hyperlink" Target="http://www.m2i-ingenierie.com" TargetMode="External"/><Relationship  Id="rId13042" Type="http://schemas.openxmlformats.org/officeDocument/2006/relationships/hyperlink" Target="http://www.linkedin.com/in/guillaume-urbany-2b9667b2" TargetMode="External"/><Relationship  Id="rId13043" Type="http://schemas.openxmlformats.org/officeDocument/2006/relationships/hyperlink" Target="http://www.groupekube.fr" TargetMode="External"/><Relationship  Id="rId13044" Type="http://schemas.openxmlformats.org/officeDocument/2006/relationships/hyperlink" Target="http://www.linkedin.com/in/st%c3%a9phane-rayssac-768172a7" TargetMode="External"/><Relationship  Id="rId13045" Type="http://schemas.openxmlformats.org/officeDocument/2006/relationships/hyperlink" Target="http://www.andrieuconstruction.fr" TargetMode="External"/><Relationship  Id="rId13046" Type="http://schemas.openxmlformats.org/officeDocument/2006/relationships/hyperlink" Target="http://www.linkedin.com/in/sofia-tribillac-579122201" TargetMode="External"/><Relationship  Id="rId13047" Type="http://schemas.openxmlformats.org/officeDocument/2006/relationships/hyperlink" Target="http://www.espacio-groupe.fr" TargetMode="External"/><Relationship  Id="rId13048" Type="http://schemas.openxmlformats.org/officeDocument/2006/relationships/hyperlink" Target="http://www.linkedin.com/in/mathias-stoker-1b7520140" TargetMode="External"/><Relationship  Id="rId13049" Type="http://schemas.openxmlformats.org/officeDocument/2006/relationships/hyperlink" Target="http://www.stoker.fr" TargetMode="External"/><Relationship  Id="rId1305" Type="http://schemas.openxmlformats.org/officeDocument/2006/relationships/hyperlink" Target="http://www.linkedin.com/in/henri-delamarre-9720a753" TargetMode="External"/><Relationship  Id="rId13050" Type="http://schemas.openxmlformats.org/officeDocument/2006/relationships/hyperlink" Target="http://www.linkedin.com/in/marc-billet-838516133" TargetMode="External"/><Relationship  Id="rId13051" Type="http://schemas.openxmlformats.org/officeDocument/2006/relationships/hyperlink" Target="http://www.korusweb.com" TargetMode="External"/><Relationship  Id="rId13052" Type="http://schemas.openxmlformats.org/officeDocument/2006/relationships/hyperlink" Target="http://www.linkedin.com/in/christian-rohrbach-9aa78472" TargetMode="External"/><Relationship  Id="rId13053" Type="http://schemas.openxmlformats.org/officeDocument/2006/relationships/hyperlink" Target="http://www.artxbat.fr" TargetMode="External"/><Relationship  Id="rId13054" Type="http://schemas.openxmlformats.org/officeDocument/2006/relationships/hyperlink" Target="http://www.linkedin.com/in/mathieu-nouvier-796a8783" TargetMode="External"/><Relationship  Id="rId13055" Type="http://schemas.openxmlformats.org/officeDocument/2006/relationships/hyperlink" Target="http://www.2sw.eu" TargetMode="External"/><Relationship  Id="rId13056" Type="http://schemas.openxmlformats.org/officeDocument/2006/relationships/hyperlink" Target="http://www.linkedin.com/in/thierry-martin-b321b86a" TargetMode="External"/><Relationship  Id="rId13057" Type="http://schemas.openxmlformats.org/officeDocument/2006/relationships/hyperlink" Target="http://www.stct.fr" TargetMode="External"/><Relationship  Id="rId13058" Type="http://schemas.openxmlformats.org/officeDocument/2006/relationships/hyperlink" Target="http://www.linkedin.com/in/pierre-pastorello-aab8232b" TargetMode="External"/><Relationship  Id="rId13059" Type="http://schemas.openxmlformats.org/officeDocument/2006/relationships/hyperlink" Target="http://www.idec-hautestechnologies.com" TargetMode="External"/><Relationship  Id="rId1306" Type="http://schemas.openxmlformats.org/officeDocument/2006/relationships/hyperlink" Target="http://www.les-hotels-kermibien.fr" TargetMode="External"/><Relationship  Id="rId13060" Type="http://schemas.openxmlformats.org/officeDocument/2006/relationships/hyperlink" Target="http://www.linkedin.com/in/am%c3%a9lie-prieur-897131109" TargetMode="External"/><Relationship  Id="rId13061" Type="http://schemas.openxmlformats.org/officeDocument/2006/relationships/hyperlink" Target="http://www.volume-international.fr" TargetMode="External"/><Relationship  Id="rId13062" Type="http://schemas.openxmlformats.org/officeDocument/2006/relationships/hyperlink" Target="http://www.linkedin.com/in/s%c3%a9bastien-pajot-b5660129" TargetMode="External"/><Relationship  Id="rId13063" Type="http://schemas.openxmlformats.org/officeDocument/2006/relationships/hyperlink" Target="http://www.pajot.com" TargetMode="External"/><Relationship  Id="rId13064" Type="http://schemas.openxmlformats.org/officeDocument/2006/relationships/hyperlink" Target="http://www.linkedin.com/in/djamel-boudifa-b09277104" TargetMode="External"/><Relationship  Id="rId13065" Type="http://schemas.openxmlformats.org/officeDocument/2006/relationships/hyperlink" Target="http://www.bimingenierie.fr" TargetMode="External"/><Relationship  Id="rId13066" Type="http://schemas.openxmlformats.org/officeDocument/2006/relationships/hyperlink" Target="http://www.linkedin.com/in/karim-djermani-306a0a20b" TargetMode="External"/><Relationship  Id="rId13067" Type="http://schemas.openxmlformats.org/officeDocument/2006/relationships/hyperlink" Target="http://www.linkedin.com/in/yann-nino-marine-376288213" TargetMode="External"/><Relationship  Id="rId13068" Type="http://schemas.openxmlformats.org/officeDocument/2006/relationships/hyperlink" Target="http://www.jp-facilities.com" TargetMode="External"/><Relationship  Id="rId13069" Type="http://schemas.openxmlformats.org/officeDocument/2006/relationships/hyperlink" Target="http://www.linkedin.com/in/arnaud-murger-928779b3" TargetMode="External"/><Relationship  Id="rId1307" Type="http://schemas.openxmlformats.org/officeDocument/2006/relationships/hyperlink" Target="http://www.linkedin.com/in/jean-luc-chomat-a2442132" TargetMode="External"/><Relationship  Id="rId13070" Type="http://schemas.openxmlformats.org/officeDocument/2006/relationships/hyperlink" Target="http://www.lemaison.es" TargetMode="External"/><Relationship  Id="rId13071" Type="http://schemas.openxmlformats.org/officeDocument/2006/relationships/hyperlink" Target="http://www.linkedin.com/in/hafid-rahmani-90166b203" TargetMode="External"/><Relationship  Id="rId13072" Type="http://schemas.openxmlformats.org/officeDocument/2006/relationships/hyperlink" Target="http://www.linkedin.com/in/romaincassagneres" TargetMode="External"/><Relationship  Id="rId13073" Type="http://schemas.openxmlformats.org/officeDocument/2006/relationships/hyperlink" Target="http://www.forages-du-nord-ouest.fr" TargetMode="External"/><Relationship  Id="rId13074" Type="http://schemas.openxmlformats.org/officeDocument/2006/relationships/hyperlink" Target="http://www.linkedin.com/in/radouane-nassim-a58b1835" TargetMode="External"/><Relationship  Id="rId13075" Type="http://schemas.openxmlformats.org/officeDocument/2006/relationships/hyperlink" Target="http://www.linkedin.com/in/anthony-conte-a058b5250" TargetMode="External"/><Relationship  Id="rId13076" Type="http://schemas.openxmlformats.org/officeDocument/2006/relationships/hyperlink" Target="http://www.manehome.fr" TargetMode="External"/><Relationship  Id="rId13077" Type="http://schemas.openxmlformats.org/officeDocument/2006/relationships/hyperlink" Target="http://www.linkedin.com/in/etienne-balan-a1060193" TargetMode="External"/><Relationship  Id="rId13078" Type="http://schemas.openxmlformats.org/officeDocument/2006/relationships/hyperlink" Target="http://www.linkedin.com/in/philippe-simon-44692850" TargetMode="External"/><Relationship  Id="rId13079" Type="http://schemas.openxmlformats.org/officeDocument/2006/relationships/hyperlink" Target="http://www.spic-btp.fr" TargetMode="External"/><Relationship  Id="rId1308" Type="http://schemas.openxmlformats.org/officeDocument/2006/relationships/hyperlink" Target="http://www.relais-christine.com" TargetMode="External"/><Relationship  Id="rId13080" Type="http://schemas.openxmlformats.org/officeDocument/2006/relationships/hyperlink" Target="http://www.linkedin.com/in/fr%c3%a9d%c3%a9ric-gerente-26b042b1" TargetMode="External"/><Relationship  Id="rId13081" Type="http://schemas.openxmlformats.org/officeDocument/2006/relationships/hyperlink" Target="http://www.asterbtp.com" TargetMode="External"/><Relationship  Id="rId13082" Type="http://schemas.openxmlformats.org/officeDocument/2006/relationships/hyperlink" Target="http://www.linkedin.com/in/elvin-pagiras-95902738" TargetMode="External"/><Relationship  Id="rId13083" Type="http://schemas.openxmlformats.org/officeDocument/2006/relationships/hyperlink" Target="http://www.modulor.ca" TargetMode="External"/><Relationship  Id="rId13084" Type="http://schemas.openxmlformats.org/officeDocument/2006/relationships/hyperlink" Target="http://www.linkedin.com/in/fr%c3%a9d%c3%a9ric-rivory-7162a279" TargetMode="External"/><Relationship  Id="rId13085" Type="http://schemas.openxmlformats.org/officeDocument/2006/relationships/hyperlink" Target="http://www.neocitypromotion.fr" TargetMode="External"/><Relationship  Id="rId13086" Type="http://schemas.openxmlformats.org/officeDocument/2006/relationships/hyperlink" Target="http://www.linkedin.com/in/eric-rohel-501552b6" TargetMode="External"/><Relationship  Id="rId13087" Type="http://schemas.openxmlformats.org/officeDocument/2006/relationships/hyperlink" Target="http://www.insercoequipos.com" TargetMode="External"/><Relationship  Id="rId13088" Type="http://schemas.openxmlformats.org/officeDocument/2006/relationships/hyperlink" Target="http://www.linkedin.com/in/claude-giudice-400784a4" TargetMode="External"/><Relationship  Id="rId13089" Type="http://schemas.openxmlformats.org/officeDocument/2006/relationships/hyperlink" Target="http://www.rolaix.com" TargetMode="External"/><Relationship  Id="rId1309" Type="http://schemas.openxmlformats.org/officeDocument/2006/relationships/hyperlink" Target="http://www.linkedin.com/in/jean-marie-heger-6a86181a8" TargetMode="External"/><Relationship  Id="rId13090" Type="http://schemas.openxmlformats.org/officeDocument/2006/relationships/hyperlink" Target="http://www.linkedin.com/in/donatien-piffard-bb955086" TargetMode="External"/><Relationship  Id="rId13091" Type="http://schemas.openxmlformats.org/officeDocument/2006/relationships/hyperlink" Target="http://www.linkedin.com/in/laurent-ignacchiti-53070349" TargetMode="External"/><Relationship  Id="rId13092" Type="http://schemas.openxmlformats.org/officeDocument/2006/relationships/hyperlink" Target="http://www.seric-cloture.com" TargetMode="External"/><Relationship  Id="rId13093" Type="http://schemas.openxmlformats.org/officeDocument/2006/relationships/hyperlink" Target="http://www.linkedin.com/in/petrughjuvanni-torre-78454144" TargetMode="External"/><Relationship  Id="rId13094" Type="http://schemas.openxmlformats.org/officeDocument/2006/relationships/hyperlink" Target="http://www.terraco.fr" TargetMode="External"/><Relationship  Id="rId13095" Type="http://schemas.openxmlformats.org/officeDocument/2006/relationships/hyperlink" Target="http://www.linkedin.com/in/thomas-george-591759137" TargetMode="External"/><Relationship  Id="rId13096" Type="http://schemas.openxmlformats.org/officeDocument/2006/relationships/hyperlink" Target="http://www.chevaliernord.com" TargetMode="External"/><Relationship  Id="rId13097" Type="http://schemas.openxmlformats.org/officeDocument/2006/relationships/hyperlink" Target="http://www.linkedin.com/in/ismail-tahtaci-53a23368" TargetMode="External"/><Relationship  Id="rId13098" Type="http://schemas.openxmlformats.org/officeDocument/2006/relationships/hyperlink" Target="http://www.buildandconnect.eu" TargetMode="External"/><Relationship  Id="rId13099" Type="http://schemas.openxmlformats.org/officeDocument/2006/relationships/hyperlink" Target="http://www.linkedin.com/in/renaudmartellon" TargetMode="External"/><Relationship  Id="rId131" Type="http://schemas.openxmlformats.org/officeDocument/2006/relationships/hyperlink" Target="http://www.lacasernechanzy.com" TargetMode="External"/><Relationship  Id="rId1310" Type="http://schemas.openxmlformats.org/officeDocument/2006/relationships/hyperlink" Target="http://www.camping-le-calagogo.fr" TargetMode="External"/><Relationship  Id="rId13100" Type="http://schemas.openxmlformats.org/officeDocument/2006/relationships/hyperlink" Target="http://www.espemtl.com" TargetMode="External"/><Relationship  Id="rId13101" Type="http://schemas.openxmlformats.org/officeDocument/2006/relationships/hyperlink" Target="http://www.linkedin.com/in/laurent-deruelle-7a53865" TargetMode="External"/><Relationship  Id="rId13102" Type="http://schemas.openxmlformats.org/officeDocument/2006/relationships/hyperlink" Target="http://www.bddrp.com" TargetMode="External"/><Relationship  Id="rId13103" Type="http://schemas.openxmlformats.org/officeDocument/2006/relationships/hyperlink" Target="http://www.linkedin.com/in/julien-chevalard-230330a8" TargetMode="External"/><Relationship  Id="rId13104" Type="http://schemas.openxmlformats.org/officeDocument/2006/relationships/hyperlink" Target="http://www.cleas-protection.fr" TargetMode="External"/><Relationship  Id="rId13105" Type="http://schemas.openxmlformats.org/officeDocument/2006/relationships/hyperlink" Target="http://www.linkedin.com/in/jildaz-adeux-a137a0a2" TargetMode="External"/><Relationship  Id="rId13106" Type="http://schemas.openxmlformats.org/officeDocument/2006/relationships/hyperlink" Target="http://www.cv-clim.fr" TargetMode="External"/><Relationship  Id="rId13107" Type="http://schemas.openxmlformats.org/officeDocument/2006/relationships/hyperlink" Target="http://www.linkedin.com/in/roberto-pires-5523a3a7" TargetMode="External"/><Relationship  Id="rId13108" Type="http://schemas.openxmlformats.org/officeDocument/2006/relationships/hyperlink" Target="http://www.urbel.fr" TargetMode="External"/><Relationship  Id="rId13109" Type="http://schemas.openxmlformats.org/officeDocument/2006/relationships/hyperlink" Target="http://www.linkedin.com/in/fr%c3%a9d%c3%a9ric-badier-47531017a" TargetMode="External"/><Relationship  Id="rId1311" Type="http://schemas.openxmlformats.org/officeDocument/2006/relationships/hyperlink" Target="http://www.linkedin.com/in/delphinejeanson" TargetMode="External"/><Relationship  Id="rId13110" Type="http://schemas.openxmlformats.org/officeDocument/2006/relationships/hyperlink" Target="http://www.toutfaire.pro" TargetMode="External"/><Relationship  Id="rId13111" Type="http://schemas.openxmlformats.org/officeDocument/2006/relationships/hyperlink" Target="http://www.linkedin.com/in/thomas-guillou-15539418b" TargetMode="External"/><Relationship  Id="rId13112" Type="http://schemas.openxmlformats.org/officeDocument/2006/relationships/hyperlink" Target="http://www.chabrie-isolation.fr" TargetMode="External"/><Relationship  Id="rId13113" Type="http://schemas.openxmlformats.org/officeDocument/2006/relationships/hyperlink" Target="http://www.linkedin.com/in/matthieu-juillet-44b972146" TargetMode="External"/><Relationship  Id="rId13114" Type="http://schemas.openxmlformats.org/officeDocument/2006/relationships/hyperlink" Target="http://www.chaninbtp.fr" TargetMode="External"/><Relationship  Id="rId13115" Type="http://schemas.openxmlformats.org/officeDocument/2006/relationships/hyperlink" Target="http://www.linkedin.com/in/laurent-messac-400277103" TargetMode="External"/><Relationship  Id="rId13116" Type="http://schemas.openxmlformats.org/officeDocument/2006/relationships/hyperlink" Target="http://www.tradiart-construction.fr" TargetMode="External"/><Relationship  Id="rId13117" Type="http://schemas.openxmlformats.org/officeDocument/2006/relationships/hyperlink" Target="http://www.linkedin.com/in/yannick-de-carvalho-0368301bb" TargetMode="External"/><Relationship  Id="rId13118" Type="http://schemas.openxmlformats.org/officeDocument/2006/relationships/hyperlink" Target="http://www.stgc.fr" TargetMode="External"/><Relationship  Id="rId13119" Type="http://schemas.openxmlformats.org/officeDocument/2006/relationships/hyperlink" Target="http://www.linkedin.com/in/quentin-wagner-45266b1aa" TargetMode="External"/><Relationship  Id="rId1312" Type="http://schemas.openxmlformats.org/officeDocument/2006/relationships/hyperlink" Target="http://www.lokora.fr" TargetMode="External"/><Relationship  Id="rId13120" Type="http://schemas.openxmlformats.org/officeDocument/2006/relationships/hyperlink" Target="http://www.linkedin.com/in/mounir-akif-2a415143" TargetMode="External"/><Relationship  Id="rId13121" Type="http://schemas.openxmlformats.org/officeDocument/2006/relationships/hyperlink" Target="http://www.linkedin.com/in/maxence-top-8b2a7426" TargetMode="External"/><Relationship  Id="rId13122" Type="http://schemas.openxmlformats.org/officeDocument/2006/relationships/hyperlink" Target="http://www.topvandooren.net" TargetMode="External"/><Relationship  Id="rId13123" Type="http://schemas.openxmlformats.org/officeDocument/2006/relationships/hyperlink" Target="http://www.linkedin.com/in/yvesguillaume" TargetMode="External"/><Relationship  Id="rId13124" Type="http://schemas.openxmlformats.org/officeDocument/2006/relationships/hyperlink" Target="http://www.atmetallerie.fr" TargetMode="External"/><Relationship  Id="rId13125" Type="http://schemas.openxmlformats.org/officeDocument/2006/relationships/hyperlink" Target="http://www.linkedin.com/in/abdel-boussalla" TargetMode="External"/><Relationship  Id="rId13126" Type="http://schemas.openxmlformats.org/officeDocument/2006/relationships/hyperlink" Target="http://www.linkedin.com/in/christophe-pascal-8b70a2164" TargetMode="External"/><Relationship  Id="rId13127" Type="http://schemas.openxmlformats.org/officeDocument/2006/relationships/hyperlink" Target="http://www.spapiscines.com" TargetMode="External"/><Relationship  Id="rId13128" Type="http://schemas.openxmlformats.org/officeDocument/2006/relationships/hyperlink" Target="http://www.linkedin.com/in/michael-audoux-366a0b87" TargetMode="External"/><Relationship  Id="rId13129" Type="http://schemas.openxmlformats.org/officeDocument/2006/relationships/hyperlink" Target="http://www.aurora-ingenierie.com" TargetMode="External"/><Relationship  Id="rId1313" Type="http://schemas.openxmlformats.org/officeDocument/2006/relationships/hyperlink" Target="http://www.linkedin.com/in/g%c3%a9raldine-mostachfi-537b7b" TargetMode="External"/><Relationship  Id="rId13130" Type="http://schemas.openxmlformats.org/officeDocument/2006/relationships/hyperlink" Target="http://www.linkedin.com/in/mbpassion" TargetMode="External"/><Relationship  Id="rId13131" Type="http://schemas.openxmlformats.org/officeDocument/2006/relationships/hyperlink" Target="http://www.mb-passion.com" TargetMode="External"/><Relationship  Id="rId13132" Type="http://schemas.openxmlformats.org/officeDocument/2006/relationships/hyperlink" Target="http://www.linkedin.com/in/didier-boyer-815478126" TargetMode="External"/><Relationship  Id="rId13133" Type="http://schemas.openxmlformats.org/officeDocument/2006/relationships/hyperlink" Target="http://www.amhpbcreations.com" TargetMode="External"/><Relationship  Id="rId13134" Type="http://schemas.openxmlformats.org/officeDocument/2006/relationships/hyperlink" Target="http://www.linkedin.com/in/h%c3%a9l%c3%a8ne-robin-54b868163" TargetMode="External"/><Relationship  Id="rId13135" Type="http://schemas.openxmlformats.org/officeDocument/2006/relationships/hyperlink" Target="http://www.linkedin.com/in/tahir-arshad-57735a13a" TargetMode="External"/><Relationship  Id="rId13136" Type="http://schemas.openxmlformats.org/officeDocument/2006/relationships/hyperlink" Target="http://www.demeuresparisiennes.net" TargetMode="External"/><Relationship  Id="rId13137" Type="http://schemas.openxmlformats.org/officeDocument/2006/relationships/hyperlink" Target="http://www.linkedin.com/in/abou-dia-409588241" TargetMode="External"/><Relationship  Id="rId13138" Type="http://schemas.openxmlformats.org/officeDocument/2006/relationships/hyperlink" Target="http://www.diarbosa.com" TargetMode="External"/><Relationship  Id="rId13139" Type="http://schemas.openxmlformats.org/officeDocument/2006/relationships/hyperlink" Target="http://www.linkedin.com/in/christophe-sutter" TargetMode="External"/><Relationship  Id="rId1314" Type="http://schemas.openxmlformats.org/officeDocument/2006/relationships/hyperlink" Target="http://www.chateaugassies.com" TargetMode="External"/><Relationship  Id="rId13140" Type="http://schemas.openxmlformats.org/officeDocument/2006/relationships/hyperlink" Target="http://www.rea-habitat.fr" TargetMode="External"/><Relationship  Id="rId13141" Type="http://schemas.openxmlformats.org/officeDocument/2006/relationships/hyperlink" Target="http://www.linkedin.com/in/victor-liot-80216a100" TargetMode="External"/><Relationship  Id="rId13142" Type="http://schemas.openxmlformats.org/officeDocument/2006/relationships/hyperlink" Target="http://www.launet.fr" TargetMode="External"/><Relationship  Id="rId13143" Type="http://schemas.openxmlformats.org/officeDocument/2006/relationships/hyperlink" Target="http://www.linkedin.com/in/bertrand-montariol-bbb898a6" TargetMode="External"/><Relationship  Id="rId13144" Type="http://schemas.openxmlformats.org/officeDocument/2006/relationships/hyperlink" Target="http://www.wpcode.fr" TargetMode="External"/><Relationship  Id="rId13145" Type="http://schemas.openxmlformats.org/officeDocument/2006/relationships/hyperlink" Target="http://www.linkedin.com/in/h%c3%a9l%c3%a8ne-gohier-341241234" TargetMode="External"/><Relationship  Id="rId13146" Type="http://schemas.openxmlformats.org/officeDocument/2006/relationships/hyperlink" Target="http://www.isopanel.fr" TargetMode="External"/><Relationship  Id="rId13147" Type="http://schemas.openxmlformats.org/officeDocument/2006/relationships/hyperlink" Target="http://www.linkedin.com/in/rapha%c3%abl-bernard-a9b74683" TargetMode="External"/><Relationship  Id="rId13148" Type="http://schemas.openxmlformats.org/officeDocument/2006/relationships/hyperlink" Target="http://www.terrasses-a-vivre.fr" TargetMode="External"/><Relationship  Id="rId13149" Type="http://schemas.openxmlformats.org/officeDocument/2006/relationships/hyperlink" Target="http://www.linkedin.com/in/juliendelalande" TargetMode="External"/><Relationship  Id="rId1315" Type="http://schemas.openxmlformats.org/officeDocument/2006/relationships/hyperlink" Target="http://www.linkedin.com/in/cyril-vauterin-59161a68" TargetMode="External"/><Relationship  Id="rId13150" Type="http://schemas.openxmlformats.org/officeDocument/2006/relationships/hyperlink" Target="http://www.groupe-eto.com" TargetMode="External"/><Relationship  Id="rId13151" Type="http://schemas.openxmlformats.org/officeDocument/2006/relationships/hyperlink" Target="http://www.linkedin.com/in/zoran-dordevic-09791b212" TargetMode="External"/><Relationship  Id="rId13152" Type="http://schemas.openxmlformats.org/officeDocument/2006/relationships/hyperlink" Target="http://www.sg-btp.fr" TargetMode="External"/><Relationship  Id="rId13153" Type="http://schemas.openxmlformats.org/officeDocument/2006/relationships/hyperlink" Target="http://www.linkedin.com/in/mathieu-joimel-2297aa131" TargetMode="External"/><Relationship  Id="rId13154" Type="http://schemas.openxmlformats.org/officeDocument/2006/relationships/hyperlink" Target="http://www.geo2concept.fr" TargetMode="External"/><Relationship  Id="rId13155" Type="http://schemas.openxmlformats.org/officeDocument/2006/relationships/hyperlink" Target="http://www.linkedin.com/in/fabien-nau-184877183" TargetMode="External"/><Relationship  Id="rId13156" Type="http://schemas.openxmlformats.org/officeDocument/2006/relationships/hyperlink" Target="http://www.motec-ingenierie.fr" TargetMode="External"/><Relationship  Id="rId13157" Type="http://schemas.openxmlformats.org/officeDocument/2006/relationships/hyperlink" Target="http://www.linkedin.com/in/jamel-berhil-923291111" TargetMode="External"/><Relationship  Id="rId13158" Type="http://schemas.openxmlformats.org/officeDocument/2006/relationships/hyperlink" Target="http://www.ccl-lab.fr" TargetMode="External"/><Relationship  Id="rId13159" Type="http://schemas.openxmlformats.org/officeDocument/2006/relationships/hyperlink" Target="http://www.linkedin.com/in/bruno-souchal-3a883475" TargetMode="External"/><Relationship  Id="rId1316" Type="http://schemas.openxmlformats.org/officeDocument/2006/relationships/hyperlink" Target="http://www.monument-cafe.com" TargetMode="External"/><Relationship  Id="rId13160" Type="http://schemas.openxmlformats.org/officeDocument/2006/relationships/hyperlink" Target="http://www.contant.fr" TargetMode="External"/><Relationship  Id="rId13161" Type="http://schemas.openxmlformats.org/officeDocument/2006/relationships/hyperlink" Target="http://www.linkedin.com/in/philippe-delfosse-047487a2" TargetMode="External"/><Relationship  Id="rId13162" Type="http://schemas.openxmlformats.org/officeDocument/2006/relationships/hyperlink" Target="http://www.menuiserie-vuillermet.com" TargetMode="External"/><Relationship  Id="rId13163" Type="http://schemas.openxmlformats.org/officeDocument/2006/relationships/hyperlink" Target="http://www.linkedin.com/in/raphael-garnier-aaa23592" TargetMode="External"/><Relationship  Id="rId13164" Type="http://schemas.openxmlformats.org/officeDocument/2006/relationships/hyperlink" Target="http://www.sanipac.fr" TargetMode="External"/><Relationship  Id="rId13165" Type="http://schemas.openxmlformats.org/officeDocument/2006/relationships/hyperlink" Target="http://www.linkedin.com/in/gilles-blanchard" TargetMode="External"/><Relationship  Id="rId13166" Type="http://schemas.openxmlformats.org/officeDocument/2006/relationships/hyperlink" Target="http://www.linkedin.com/in/paul-constantinides-3208794" TargetMode="External"/><Relationship  Id="rId13167" Type="http://schemas.openxmlformats.org/officeDocument/2006/relationships/hyperlink" Target="http://www.atplus.fr" TargetMode="External"/><Relationship  Id="rId13168" Type="http://schemas.openxmlformats.org/officeDocument/2006/relationships/hyperlink" Target="http://www.linkedin.com/in/joachim-duminil-a6360a55" TargetMode="External"/><Relationship  Id="rId13169" Type="http://schemas.openxmlformats.org/officeDocument/2006/relationships/hyperlink" Target="http://www.gcbtp.fr" TargetMode="External"/><Relationship  Id="rId1317" Type="http://schemas.openxmlformats.org/officeDocument/2006/relationships/hyperlink" Target="http://www.linkedin.com/in/victor-basquin-a2671058" TargetMode="External"/><Relationship  Id="rId13170" Type="http://schemas.openxmlformats.org/officeDocument/2006/relationships/hyperlink" Target="http://www.linkedin.com/in/ghislaine-d-hondt-191401aa" TargetMode="External"/><Relationship  Id="rId13171" Type="http://schemas.openxmlformats.org/officeDocument/2006/relationships/hyperlink" Target="http://www.idf-constructiondurable.fr" TargetMode="External"/><Relationship  Id="rId13172" Type="http://schemas.openxmlformats.org/officeDocument/2006/relationships/hyperlink" Target="http://www.linkedin.com/in/david-soret-a4770961" TargetMode="External"/><Relationship  Id="rId13173" Type="http://schemas.openxmlformats.org/officeDocument/2006/relationships/hyperlink" Target="http://www.linkedin.com/in/mathieu-faravellon-920087290" TargetMode="External"/><Relationship  Id="rId13174" Type="http://schemas.openxmlformats.org/officeDocument/2006/relationships/hyperlink" Target="http://www.toutenvert.com" TargetMode="External"/><Relationship  Id="rId13175" Type="http://schemas.openxmlformats.org/officeDocument/2006/relationships/hyperlink" Target="http://www.linkedin.com/in/frenois-gilles-363ba8a6" TargetMode="External"/><Relationship  Id="rId13176" Type="http://schemas.openxmlformats.org/officeDocument/2006/relationships/hyperlink" Target="http://www.vetisol.fr" TargetMode="External"/><Relationship  Id="rId13177" Type="http://schemas.openxmlformats.org/officeDocument/2006/relationships/hyperlink" Target="http://www.linkedin.com/in/christophe-martz-09b76330" TargetMode="External"/><Relationship  Id="rId13178" Type="http://schemas.openxmlformats.org/officeDocument/2006/relationships/hyperlink" Target="http://www.solsolution.com" TargetMode="External"/><Relationship  Id="rId13179" Type="http://schemas.openxmlformats.org/officeDocument/2006/relationships/hyperlink" Target="http://www.linkedin.com/in/rapha%c3%abl-auddino-6128691a9" TargetMode="External"/><Relationship  Id="rId1318" Type="http://schemas.openxmlformats.org/officeDocument/2006/relationships/hyperlink" Target="http://www.mondrianhotels.com" TargetMode="External"/><Relationship  Id="rId13180" Type="http://schemas.openxmlformats.org/officeDocument/2006/relationships/hyperlink" Target="http://www.linkedin.com/in/taha-aladine-425a01103" TargetMode="External"/><Relationship  Id="rId13181" Type="http://schemas.openxmlformats.org/officeDocument/2006/relationships/hyperlink" Target="http://www.linkedin.com/in/thibault-foucault-0278abb8" TargetMode="External"/><Relationship  Id="rId13182" Type="http://schemas.openxmlformats.org/officeDocument/2006/relationships/hyperlink" Target="http://www.ram.fr" TargetMode="External"/><Relationship  Id="rId13183" Type="http://schemas.openxmlformats.org/officeDocument/2006/relationships/hyperlink" Target="http://www.linkedin.com/in/hugo-broche-39378b174" TargetMode="External"/><Relationship  Id="rId13184" Type="http://schemas.openxmlformats.org/officeDocument/2006/relationships/hyperlink" Target="http://www.constructionsavoyarde.fr" TargetMode="External"/><Relationship  Id="rId13185" Type="http://schemas.openxmlformats.org/officeDocument/2006/relationships/hyperlink" Target="http://www.linkedin.com/in/oc%c3%a9ane-leroux-98abb81a8" TargetMode="External"/><Relationship  Id="rId13186" Type="http://schemas.openxmlformats.org/officeDocument/2006/relationships/hyperlink" Target="http://www.lbsdemolition.fr" TargetMode="External"/><Relationship  Id="rId13187" Type="http://schemas.openxmlformats.org/officeDocument/2006/relationships/hyperlink" Target="http://www.linkedin.com/in/mario-bisceglia" TargetMode="External"/><Relationship  Id="rId13188" Type="http://schemas.openxmlformats.org/officeDocument/2006/relationships/hyperlink" Target="http://www.sicefrance.fr" TargetMode="External"/><Relationship  Id="rId13189" Type="http://schemas.openxmlformats.org/officeDocument/2006/relationships/hyperlink" Target="http://www.linkedin.com/in/yves-vacaresse-3aa09791" TargetMode="External"/><Relationship  Id="rId1319" Type="http://schemas.openxmlformats.org/officeDocument/2006/relationships/hyperlink" Target="http://www.linkedin.com/in/rochdi-mkhinini-3529254" TargetMode="External"/><Relationship  Id="rId13190" Type="http://schemas.openxmlformats.org/officeDocument/2006/relationships/hyperlink" Target="http://www.ecib-pv.fr" TargetMode="External"/><Relationship  Id="rId13191" Type="http://schemas.openxmlformats.org/officeDocument/2006/relationships/hyperlink" Target="http://www.linkedin.com/in/nicolas-hernandez-3b726636" TargetMode="External"/><Relationship  Id="rId13192" Type="http://schemas.openxmlformats.org/officeDocument/2006/relationships/hyperlink" Target="http://www.herkrug.fr" TargetMode="External"/><Relationship  Id="rId13193" Type="http://schemas.openxmlformats.org/officeDocument/2006/relationships/hyperlink" Target="http://www.linkedin.com/in/david-tisseyre-845477117" TargetMode="External"/><Relationship  Id="rId13194" Type="http://schemas.openxmlformats.org/officeDocument/2006/relationships/hyperlink" Target="http://www.beck-et-cie.com" TargetMode="External"/><Relationship  Id="rId13195" Type="http://schemas.openxmlformats.org/officeDocument/2006/relationships/hyperlink" Target="http://www.linkedin.com/in/yann-moncenix-a8078816b" TargetMode="External"/><Relationship  Id="rId13196" Type="http://schemas.openxmlformats.org/officeDocument/2006/relationships/hyperlink" Target="http://www.neocen.fr" TargetMode="External"/><Relationship  Id="rId13197" Type="http://schemas.openxmlformats.org/officeDocument/2006/relationships/hyperlink" Target="http://www.linkedin.com/in/stephane-salvo-b64722130" TargetMode="External"/><Relationship  Id="rId13198" Type="http://schemas.openxmlformats.org/officeDocument/2006/relationships/hyperlink" Target="http://www.icm13.fr" TargetMode="External"/><Relationship  Id="rId13199" Type="http://schemas.openxmlformats.org/officeDocument/2006/relationships/hyperlink" Target="http://www.linkedin.com/in/fran%c3%a7ois-legendre-l2a" TargetMode="External"/><Relationship  Id="rId132" Type="http://schemas.openxmlformats.org/officeDocument/2006/relationships/hyperlink" Target="http://www.linkedin.com/in/victor-muraille" TargetMode="External"/><Relationship  Id="rId1320" Type="http://schemas.openxmlformats.org/officeDocument/2006/relationships/hyperlink" Target="http://www.brendyscafe.com" TargetMode="External"/><Relationship  Id="rId13200" Type="http://schemas.openxmlformats.org/officeDocument/2006/relationships/hyperlink" Target="http://www.l2a-agencement.com" TargetMode="External"/><Relationship  Id="rId13201" Type="http://schemas.openxmlformats.org/officeDocument/2006/relationships/hyperlink" Target="http://www.linkedin.com/in/michael-trezentos-7a0302b6" TargetMode="External"/><Relationship  Id="rId13202" Type="http://schemas.openxmlformats.org/officeDocument/2006/relationships/hyperlink" Target="http://www.batinovconcept.fr" TargetMode="External"/><Relationship  Id="rId13203" Type="http://schemas.openxmlformats.org/officeDocument/2006/relationships/hyperlink" Target="http://www.linkedin.com/in/gildas-even-0b57a745" TargetMode="External"/><Relationship  Id="rId13204" Type="http://schemas.openxmlformats.org/officeDocument/2006/relationships/hyperlink" Target="http://www.soleo.io" TargetMode="External"/><Relationship  Id="rId13205" Type="http://schemas.openxmlformats.org/officeDocument/2006/relationships/hyperlink" Target="http://www.linkedin.com/in/philippe-marchay-9626b5" TargetMode="External"/><Relationship  Id="rId13206" Type="http://schemas.openxmlformats.org/officeDocument/2006/relationships/hyperlink" Target="http://www.phaselec.com" TargetMode="External"/><Relationship  Id="rId13207" Type="http://schemas.openxmlformats.org/officeDocument/2006/relationships/hyperlink" Target="http://www.linkedin.com/in/patrick-prouaix-253573131" TargetMode="External"/><Relationship  Id="rId13208" Type="http://schemas.openxmlformats.org/officeDocument/2006/relationships/hyperlink" Target="http://www.couseransconstruction.fr" TargetMode="External"/><Relationship  Id="rId13209" Type="http://schemas.openxmlformats.org/officeDocument/2006/relationships/hyperlink" Target="http://www.linkedin.com/in/patricelandolt" TargetMode="External"/><Relationship  Id="rId1321" Type="http://schemas.openxmlformats.org/officeDocument/2006/relationships/hyperlink" Target="http://www.linkedin.com/in/keryan-taouki-ba6057282" TargetMode="External"/><Relationship  Id="rId13210" Type="http://schemas.openxmlformats.org/officeDocument/2006/relationships/hyperlink" Target="http://www.drillheat.com" TargetMode="External"/><Relationship  Id="rId13211" Type="http://schemas.openxmlformats.org/officeDocument/2006/relationships/hyperlink" Target="http://www.linkedin.com/in/robin-saillard-b24190139" TargetMode="External"/><Relationship  Id="rId13212" Type="http://schemas.openxmlformats.org/officeDocument/2006/relationships/hyperlink" Target="http://www.tp-saillard.fr" TargetMode="External"/><Relationship  Id="rId13213" Type="http://schemas.openxmlformats.org/officeDocument/2006/relationships/hyperlink" Target="http://www.linkedin.com/in/etienne-morelle-3475459b" TargetMode="External"/><Relationship  Id="rId13214" Type="http://schemas.openxmlformats.org/officeDocument/2006/relationships/hyperlink" Target="http://www.sodep.net" TargetMode="External"/><Relationship  Id="rId13215" Type="http://schemas.openxmlformats.org/officeDocument/2006/relationships/hyperlink" Target="http://www.linkedin.com/in/patrick-asimus-bbaba112" TargetMode="External"/><Relationship  Id="rId13216" Type="http://schemas.openxmlformats.org/officeDocument/2006/relationships/hyperlink" Target="http://www.solosar.fr" TargetMode="External"/><Relationship  Id="rId13217" Type="http://schemas.openxmlformats.org/officeDocument/2006/relationships/hyperlink" Target="http://www.linkedin.com/in/lo%c3%afc-cadet-91921469" TargetMode="External"/><Relationship  Id="rId13218" Type="http://schemas.openxmlformats.org/officeDocument/2006/relationships/hyperlink" Target="http://www.loma-ing.fr" TargetMode="External"/><Relationship  Id="rId13219" Type="http://schemas.openxmlformats.org/officeDocument/2006/relationships/hyperlink" Target="http://www.linkedin.com/in/lo%c3%afc-varnajot-7494801a3" TargetMode="External"/><Relationship  Id="rId1322" Type="http://schemas.openxmlformats.org/officeDocument/2006/relationships/hyperlink" Target="http://www.linkedin.com/in/adrien-bisiaux-94197b5a" TargetMode="External"/><Relationship  Id="rId13220" Type="http://schemas.openxmlformats.org/officeDocument/2006/relationships/hyperlink" Target="http://www.harmonieconcept.com" TargetMode="External"/><Relationship  Id="rId13221" Type="http://schemas.openxmlformats.org/officeDocument/2006/relationships/hyperlink" Target="http://www.linkedin.com/in/samir-bouaziz-a4320a27b" TargetMode="External"/><Relationship  Id="rId13222" Type="http://schemas.openxmlformats.org/officeDocument/2006/relationships/hyperlink" Target="http://www.versant-groupe.com" TargetMode="External"/><Relationship  Id="rId13223" Type="http://schemas.openxmlformats.org/officeDocument/2006/relationships/hyperlink" Target="http://www.linkedin.com/in/pr%c3%a9vost-fr%c3%a9d%c3%a9ric-ba6953109" TargetMode="External"/><Relationship  Id="rId13224" Type="http://schemas.openxmlformats.org/officeDocument/2006/relationships/hyperlink" Target="http://www.linkedin.com/in/beno%c3%aet-flageul-3385a3a6" TargetMode="External"/><Relationship  Id="rId13225" Type="http://schemas.openxmlformats.org/officeDocument/2006/relationships/hyperlink" Target="http://www.caom-batiment.fr" TargetMode="External"/><Relationship  Id="rId13226" Type="http://schemas.openxmlformats.org/officeDocument/2006/relationships/hyperlink" Target="http://www.linkedin.com/in/arnaud-carayon-48669769" TargetMode="External"/><Relationship  Id="rId13227" Type="http://schemas.openxmlformats.org/officeDocument/2006/relationships/hyperlink" Target="http://www.carayon.com" TargetMode="External"/><Relationship  Id="rId13228" Type="http://schemas.openxmlformats.org/officeDocument/2006/relationships/hyperlink" Target="http://www.linkedin.com/in/jacques-suchet-9547a3b4" TargetMode="External"/><Relationship  Id="rId13229" Type="http://schemas.openxmlformats.org/officeDocument/2006/relationships/hyperlink" Target="http://www.suchet.eu" TargetMode="External"/><Relationship  Id="rId1323" Type="http://schemas.openxmlformats.org/officeDocument/2006/relationships/hyperlink" Target="http://www.linkedin.com/in/amine-haddadi-87274664" TargetMode="External"/><Relationship  Id="rId13230" Type="http://schemas.openxmlformats.org/officeDocument/2006/relationships/hyperlink" Target="http://www.linkedin.com/in/erdal-atas-a35b18100" TargetMode="External"/><Relationship  Id="rId13231" Type="http://schemas.openxmlformats.org/officeDocument/2006/relationships/hyperlink" Target="http://www.euro-bat.com" TargetMode="External"/><Relationship  Id="rId13232" Type="http://schemas.openxmlformats.org/officeDocument/2006/relationships/hyperlink" Target="http://www.linkedin.com/in/jean-depreux-b3214321" TargetMode="External"/><Relationship  Id="rId13233" Type="http://schemas.openxmlformats.org/officeDocument/2006/relationships/hyperlink" Target="http://www.depreux-construction.com" TargetMode="External"/><Relationship  Id="rId13234" Type="http://schemas.openxmlformats.org/officeDocument/2006/relationships/hyperlink" Target="http://www.linkedin.com/in/jonathan-leroy-8b857b16" TargetMode="External"/><Relationship  Id="rId13235" Type="http://schemas.openxmlformats.org/officeDocument/2006/relationships/hyperlink" Target="http://www.jlandp.com" TargetMode="External"/><Relationship  Id="rId13236" Type="http://schemas.openxmlformats.org/officeDocument/2006/relationships/hyperlink" Target="http://www.linkedin.com/in/micka%c3%abl-guillet-65894b210" TargetMode="External"/><Relationship  Id="rId13237" Type="http://schemas.openxmlformats.org/officeDocument/2006/relationships/hyperlink" Target="http://www.linkedin.com/in/nicolas-glaux-a3a8b533" TargetMode="External"/><Relationship  Id="rId13238" Type="http://schemas.openxmlformats.org/officeDocument/2006/relationships/hyperlink" Target="http://www.hejfrance.com" TargetMode="External"/><Relationship  Id="rId13239" Type="http://schemas.openxmlformats.org/officeDocument/2006/relationships/hyperlink" Target="http://www.linkedin.com/in/francky-pellerin-5a4051320" TargetMode="External"/><Relationship  Id="rId1324" Type="http://schemas.openxmlformats.org/officeDocument/2006/relationships/hyperlink" Target="http://www.bartapp.club" TargetMode="External"/><Relationship  Id="rId13240" Type="http://schemas.openxmlformats.org/officeDocument/2006/relationships/hyperlink" Target="http://www.lre.fr" TargetMode="External"/><Relationship  Id="rId13241" Type="http://schemas.openxmlformats.org/officeDocument/2006/relationships/hyperlink" Target="http://www.linkedin.com/in/samuel-babin-225070234" TargetMode="External"/><Relationship  Id="rId13242" Type="http://schemas.openxmlformats.org/officeDocument/2006/relationships/hyperlink" Target="http://www.you-charpentebois.fr" TargetMode="External"/><Relationship  Id="rId13243" Type="http://schemas.openxmlformats.org/officeDocument/2006/relationships/hyperlink" Target="http://www.linkedin.com/in/matthieu-petitqueux-3454ab113" TargetMode="External"/><Relationship  Id="rId13244" Type="http://schemas.openxmlformats.org/officeDocument/2006/relationships/hyperlink" Target="http://www.skyinlab.fr" TargetMode="External"/><Relationship  Id="rId13245" Type="http://schemas.openxmlformats.org/officeDocument/2006/relationships/hyperlink" Target="http://www.linkedin.com/in/yann-berjonneau-582541101" TargetMode="External"/><Relationship  Id="rId13246" Type="http://schemas.openxmlformats.org/officeDocument/2006/relationships/hyperlink" Target="http://www.accesplus.fr" TargetMode="External"/><Relationship  Id="rId13247" Type="http://schemas.openxmlformats.org/officeDocument/2006/relationships/hyperlink" Target="http://www.linkedin.com/in/turle-samuel-7000955b" TargetMode="External"/><Relationship  Id="rId13248" Type="http://schemas.openxmlformats.org/officeDocument/2006/relationships/hyperlink" Target="http://www.apc-ingenierie.com" TargetMode="External"/><Relationship  Id="rId13249" Type="http://schemas.openxmlformats.org/officeDocument/2006/relationships/hyperlink" Target="http://www.linkedin.com/in/ali-okut-762b19155" TargetMode="External"/><Relationship  Id="rId1325" Type="http://schemas.openxmlformats.org/officeDocument/2006/relationships/hyperlink" Target="http://www.linkedin.com/in/louis-de-menthi%c3%a8re-32620451" TargetMode="External"/><Relationship  Id="rId13250" Type="http://schemas.openxmlformats.org/officeDocument/2006/relationships/hyperlink" Target="http://www.123chezmoi.com" TargetMode="External"/><Relationship  Id="rId13251" Type="http://schemas.openxmlformats.org/officeDocument/2006/relationships/hyperlink" Target="http://rencontreunarchi.com" TargetMode="External"/><Relationship  Id="rId13252" Type="http://schemas.openxmlformats.org/officeDocument/2006/relationships/hyperlink" Target="http://www.linkedin.com/in/benjamin-lazimi-99369a26" TargetMode="External"/><Relationship  Id="rId13253" Type="http://schemas.openxmlformats.org/officeDocument/2006/relationships/hyperlink" Target="http://www.rencontreunarchi.com" TargetMode="External"/><Relationship  Id="rId13254" Type="http://schemas.openxmlformats.org/officeDocument/2006/relationships/hyperlink" Target="http://www.linkedin.com/in/francois-peyron-63156a21" TargetMode="External"/><Relationship  Id="rId13255" Type="http://schemas.openxmlformats.org/officeDocument/2006/relationships/hyperlink" Target="http://www.linkedin.com/in/thierry-poudevigne-182a3382" TargetMode="External"/><Relationship  Id="rId13256" Type="http://schemas.openxmlformats.org/officeDocument/2006/relationships/hyperlink" Target="http://www.imeca-reel.com" TargetMode="External"/><Relationship  Id="rId13257" Type="http://schemas.openxmlformats.org/officeDocument/2006/relationships/hyperlink" Target="http://www.linkedin.com/in/sebastien-guermeur-7a82a247" TargetMode="External"/><Relationship  Id="rId13258" Type="http://schemas.openxmlformats.org/officeDocument/2006/relationships/hyperlink" Target="http://www.qualiconfort.com" TargetMode="External"/><Relationship  Id="rId13259" Type="http://schemas.openxmlformats.org/officeDocument/2006/relationships/hyperlink" Target="http://www.linkedin.com/in/nicolas-gibon-859ab240" TargetMode="External"/><Relationship  Id="rId1326" Type="http://schemas.openxmlformats.org/officeDocument/2006/relationships/hyperlink" Target="http://www.fuguhospitality.com" TargetMode="External"/><Relationship  Id="rId13260" Type="http://schemas.openxmlformats.org/officeDocument/2006/relationships/hyperlink" Target="http://www.crbat-ing.com" TargetMode="External"/><Relationship  Id="rId13261" Type="http://schemas.openxmlformats.org/officeDocument/2006/relationships/hyperlink" Target="http://www.linkedin.com/in/philippe-roux-37a3943a" TargetMode="External"/><Relationship  Id="rId13262" Type="http://schemas.openxmlformats.org/officeDocument/2006/relationships/hyperlink" Target="http://www.domopad.com" TargetMode="External"/><Relationship  Id="rId13263" Type="http://schemas.openxmlformats.org/officeDocument/2006/relationships/hyperlink" Target="http://www.linkedin.com/in/alexis-moreau-2283129a" TargetMode="External"/><Relationship  Id="rId13264" Type="http://schemas.openxmlformats.org/officeDocument/2006/relationships/hyperlink" Target="http://www.modeling2building.fr" TargetMode="External"/><Relationship  Id="rId13265" Type="http://schemas.openxmlformats.org/officeDocument/2006/relationships/hyperlink" Target="http://www.linkedin.com/in/nicolas-chappaz-61127a14" TargetMode="External"/><Relationship  Id="rId13266" Type="http://schemas.openxmlformats.org/officeDocument/2006/relationships/hyperlink" Target="http://www.favresas.com" TargetMode="External"/><Relationship  Id="rId13267" Type="http://schemas.openxmlformats.org/officeDocument/2006/relationships/hyperlink" Target="http://www.linkedin.com/in/philippe-kozmin-5192b091" TargetMode="External"/><Relationship  Id="rId13268" Type="http://schemas.openxmlformats.org/officeDocument/2006/relationships/hyperlink" Target="http://www.setec-gli.fr" TargetMode="External"/><Relationship  Id="rId13269" Type="http://schemas.openxmlformats.org/officeDocument/2006/relationships/hyperlink" Target="http://www.linkedin.com/in/mohamed-mehdaoui-339506137" TargetMode="External"/><Relationship  Id="rId1327" Type="http://schemas.openxmlformats.org/officeDocument/2006/relationships/hyperlink" Target="http://www.linkedin.com/in/berta-canovas" TargetMode="External"/><Relationship  Id="rId13270" Type="http://schemas.openxmlformats.org/officeDocument/2006/relationships/hyperlink" Target="http://www.fge-idf.fr" TargetMode="External"/><Relationship  Id="rId13271" Type="http://schemas.openxmlformats.org/officeDocument/2006/relationships/hyperlink" Target="http://www.linkedin.com/in/andrea-rusu-905540197" TargetMode="External"/><Relationship  Id="rId13272" Type="http://schemas.openxmlformats.org/officeDocument/2006/relationships/hyperlink" Target="http://www.rusu.fr" TargetMode="External"/><Relationship  Id="rId13273" Type="http://schemas.openxmlformats.org/officeDocument/2006/relationships/hyperlink" Target="http://www.linkedin.com/in/abdallah-heus-413024122" TargetMode="External"/><Relationship  Id="rId13274" Type="http://schemas.openxmlformats.org/officeDocument/2006/relationships/hyperlink" Target="http://www.empeering.fr" TargetMode="External"/><Relationship  Id="rId13275" Type="http://schemas.openxmlformats.org/officeDocument/2006/relationships/hyperlink" Target="http://www.linkedin.com/in/vincent-santamaria-10a9954b" TargetMode="External"/><Relationship  Id="rId13276" Type="http://schemas.openxmlformats.org/officeDocument/2006/relationships/hyperlink" Target="http://www.er2c.fr" TargetMode="External"/><Relationship  Id="rId13277" Type="http://schemas.openxmlformats.org/officeDocument/2006/relationships/hyperlink" Target="http://www.linkedin.com/in/jonathan-jeanne-04a6bbb4" TargetMode="External"/><Relationship  Id="rId13278" Type="http://schemas.openxmlformats.org/officeDocument/2006/relationships/hyperlink" Target="http://www.linkedin.com/in/mathieu-avner-eni-865820209" TargetMode="External"/><Relationship  Id="rId13279" Type="http://schemas.openxmlformats.org/officeDocument/2006/relationships/hyperlink" Target="http://www.fecamp-services.com" TargetMode="External"/><Relationship  Id="rId1328" Type="http://schemas.openxmlformats.org/officeDocument/2006/relationships/hyperlink" Target="http://www.aidoresto.com" TargetMode="External"/><Relationship  Id="rId13280" Type="http://schemas.openxmlformats.org/officeDocument/2006/relationships/hyperlink" Target="http://www.linkedin.com/in/raynard-christian-37a48434" TargetMode="External"/><Relationship  Id="rId13281" Type="http://schemas.openxmlformats.org/officeDocument/2006/relationships/hyperlink" Target="http://www.exa-ecs.com" TargetMode="External"/><Relationship  Id="rId13282" Type="http://schemas.openxmlformats.org/officeDocument/2006/relationships/hyperlink" Target="http://www.linkedin.com/in/jean-baptiste-pl%c3%a9nard" TargetMode="External"/><Relationship  Id="rId13283" Type="http://schemas.openxmlformats.org/officeDocument/2006/relationships/hyperlink" Target="http://www.isovoo.com" TargetMode="External"/><Relationship  Id="rId13284" Type="http://schemas.openxmlformats.org/officeDocument/2006/relationships/hyperlink" Target="http://www.linkedin.com/in/benoit-foskolos-39ab8bb3" TargetMode="External"/><Relationship  Id="rId13285" Type="http://schemas.openxmlformats.org/officeDocument/2006/relationships/hyperlink" Target="http://www.isere-entretien.fr" TargetMode="External"/><Relationship  Id="rId13286" Type="http://schemas.openxmlformats.org/officeDocument/2006/relationships/hyperlink" Target="http://www.linkedin.com/in/thibault-dubrulle" TargetMode="External"/><Relationship  Id="rId13287" Type="http://schemas.openxmlformats.org/officeDocument/2006/relationships/hyperlink" Target="http://www.dubrulle-faignot-tp.fr" TargetMode="External"/><Relationship  Id="rId13288" Type="http://schemas.openxmlformats.org/officeDocument/2006/relationships/hyperlink" Target="http://www.linkedin.com/in/mathieu-follet-6a0833127" TargetMode="External"/><Relationship  Id="rId13289" Type="http://schemas.openxmlformats.org/officeDocument/2006/relationships/hyperlink" Target="http://www.bftb.fr" TargetMode="External"/><Relationship  Id="rId1329" Type="http://schemas.openxmlformats.org/officeDocument/2006/relationships/hyperlink" Target="http://www.linkedin.com/in/ancaonuta" TargetMode="External"/><Relationship  Id="rId13290" Type="http://schemas.openxmlformats.org/officeDocument/2006/relationships/hyperlink" Target="http://www.linkedin.com/in/florent-payen-850a7722" TargetMode="External"/><Relationship  Id="rId13291" Type="http://schemas.openxmlformats.org/officeDocument/2006/relationships/hyperlink" Target="http://www.entreprise-peix.fr" TargetMode="External"/><Relationship  Id="rId13292" Type="http://schemas.openxmlformats.org/officeDocument/2006/relationships/hyperlink" Target="http://www.linkedin.com/in/etienne-grimault-b00ba0285" TargetMode="External"/><Relationship  Id="rId13293" Type="http://schemas.openxmlformats.org/officeDocument/2006/relationships/hyperlink" Target="http://www.geplast.fr" TargetMode="External"/><Relationship  Id="rId13294" Type="http://schemas.openxmlformats.org/officeDocument/2006/relationships/hyperlink" Target="http://www.linkedin.com/in/romain-gay-654590256" TargetMode="External"/><Relationship  Id="rId13295" Type="http://schemas.openxmlformats.org/officeDocument/2006/relationships/hyperlink" Target="http://www.edgar-den.fr" TargetMode="External"/><Relationship  Id="rId13296" Type="http://schemas.openxmlformats.org/officeDocument/2006/relationships/hyperlink" Target="http://www.linkedin.com/in/b%c3%a9atrice-juliac-54b311133" TargetMode="External"/><Relationship  Id="rId13297" Type="http://schemas.openxmlformats.org/officeDocument/2006/relationships/hyperlink" Target="http://www.sos-vitrine.fr" TargetMode="External"/><Relationship  Id="rId13298" Type="http://schemas.openxmlformats.org/officeDocument/2006/relationships/hyperlink" Target="http://www.linkedin.com/in/richard-gallois-a911396a" TargetMode="External"/><Relationship  Id="rId13299" Type="http://schemas.openxmlformats.org/officeDocument/2006/relationships/hyperlink" Target="http://www.gama-renovation.com" TargetMode="External"/><Relationship  Id="rId133" Type="http://schemas.openxmlformats.org/officeDocument/2006/relationships/hyperlink" Target="http://www.thefrenchbastards.fr" TargetMode="External"/><Relationship  Id="rId1330" Type="http://schemas.openxmlformats.org/officeDocument/2006/relationships/hyperlink" Target="http://www.stayorli.com" TargetMode="External"/><Relationship  Id="rId13300" Type="http://schemas.openxmlformats.org/officeDocument/2006/relationships/hyperlink" Target="http://www.linkedin.com/in/eric-le-dreo-7111ab74" TargetMode="External"/><Relationship  Id="rId13301" Type="http://schemas.openxmlformats.org/officeDocument/2006/relationships/hyperlink" Target="http://www.linkedin.com/in/frederic-hinderze-4198428b" TargetMode="External"/><Relationship  Id="rId13302" Type="http://schemas.openxmlformats.org/officeDocument/2006/relationships/hyperlink" Target="http://www.harmonie.fr" TargetMode="External"/><Relationship  Id="rId13303" Type="http://schemas.openxmlformats.org/officeDocument/2006/relationships/hyperlink" Target="http://www.linkedin.com/in/fr%c3%a9d%c3%a9ric-tertrais-45173b17" TargetMode="External"/><Relationship  Id="rId13304" Type="http://schemas.openxmlformats.org/officeDocument/2006/relationships/hyperlink" Target="http://www.linkedin.com/in/pascal-coppens-4725b759" TargetMode="External"/><Relationship  Id="rId13305" Type="http://schemas.openxmlformats.org/officeDocument/2006/relationships/hyperlink" Target="http://www.groupe-omnium.net" TargetMode="External"/><Relationship  Id="rId13306" Type="http://schemas.openxmlformats.org/officeDocument/2006/relationships/hyperlink" Target="http://www.linkedin.com/in/pierre-cherpin-a34044185" TargetMode="External"/><Relationship  Id="rId13307" Type="http://schemas.openxmlformats.org/officeDocument/2006/relationships/hyperlink" Target="http://www.gdr-cherpin.fr" TargetMode="External"/><Relationship  Id="rId13308" Type="http://schemas.openxmlformats.org/officeDocument/2006/relationships/hyperlink" Target="http://www.linkedin.com/in/yann-mounier-2346a654" TargetMode="External"/><Relationship  Id="rId13309" Type="http://schemas.openxmlformats.org/officeDocument/2006/relationships/hyperlink" Target="http://www.2mo.tech" TargetMode="External"/><Relationship  Id="rId1331" Type="http://schemas.openxmlformats.org/officeDocument/2006/relationships/hyperlink" Target="http://www.linkedin.com/in/joachim-cohen-10719a6b" TargetMode="External"/><Relationship  Id="rId13310" Type="http://schemas.openxmlformats.org/officeDocument/2006/relationships/hyperlink" Target="http://www.linkedin.com/in/sophie-galichet-657b4611a" TargetMode="External"/><Relationship  Id="rId13311" Type="http://schemas.openxmlformats.org/officeDocument/2006/relationships/hyperlink" Target="http://www.ati-isolation.com" TargetMode="External"/><Relationship  Id="rId13312" Type="http://schemas.openxmlformats.org/officeDocument/2006/relationships/hyperlink" Target="http://www.linkedin.com/in/yann-marot-82097360" TargetMode="External"/><Relationship  Id="rId13313" Type="http://schemas.openxmlformats.org/officeDocument/2006/relationships/hyperlink" Target="http://www.cetab.fr" TargetMode="External"/><Relationship  Id="rId13314" Type="http://schemas.openxmlformats.org/officeDocument/2006/relationships/hyperlink" Target="http://www.linkedin.com/in/naji-salam%c3%a9-bb536110a" TargetMode="External"/><Relationship  Id="rId13315" Type="http://schemas.openxmlformats.org/officeDocument/2006/relationships/hyperlink" Target="http://www.incet.fr" TargetMode="External"/><Relationship  Id="rId13316" Type="http://schemas.openxmlformats.org/officeDocument/2006/relationships/hyperlink" Target="http://www.linkedin.com/in/lionel-rodas-03b589228" TargetMode="External"/><Relationship  Id="rId13317" Type="http://schemas.openxmlformats.org/officeDocument/2006/relationships/hyperlink" Target="http://www.linkedin.com/in/vincent-roches-30743795" TargetMode="External"/><Relationship  Id="rId13318" Type="http://schemas.openxmlformats.org/officeDocument/2006/relationships/hyperlink" Target="http://www.spebi.fr" TargetMode="External"/><Relationship  Id="rId13319" Type="http://schemas.openxmlformats.org/officeDocument/2006/relationships/hyperlink" Target="http://www.linkedin.com/in/franck-legout-9a268ab5" TargetMode="External"/><Relationship  Id="rId1332" Type="http://schemas.openxmlformats.org/officeDocument/2006/relationships/hyperlink" Target="http://www.linkedin.com/in/laurent-caraux-6688378a" TargetMode="External"/><Relationship  Id="rId13320" Type="http://schemas.openxmlformats.org/officeDocument/2006/relationships/hyperlink" Target="http://www.linkedin.com/in/julien-jousseau-764b31192" TargetMode="External"/><Relationship  Id="rId13321" Type="http://schemas.openxmlformats.org/officeDocument/2006/relationships/hyperlink" Target="http://www.bonnepioche-mo.com" TargetMode="External"/><Relationship  Id="rId13322" Type="http://schemas.openxmlformats.org/officeDocument/2006/relationships/hyperlink" Target="http://www.linkedin.com/in/bastien-gadenne-4b86a5133" TargetMode="External"/><Relationship  Id="rId13323" Type="http://schemas.openxmlformats.org/officeDocument/2006/relationships/hyperlink" Target="http://www.moduleo-container.com" TargetMode="External"/><Relationship  Id="rId13324" Type="http://schemas.openxmlformats.org/officeDocument/2006/relationships/hyperlink" Target="http://www.linkedin.com/in/joyce-malo-69218489" TargetMode="External"/><Relationship  Id="rId13325" Type="http://schemas.openxmlformats.org/officeDocument/2006/relationships/hyperlink" Target="http://www.sharp-ingenierie.fr" TargetMode="External"/><Relationship  Id="rId13326" Type="http://schemas.openxmlformats.org/officeDocument/2006/relationships/hyperlink" Target="http://www.linkedin.com/in/nicolasbouisson" TargetMode="External"/><Relationship  Id="rId13327" Type="http://schemas.openxmlformats.org/officeDocument/2006/relationships/hyperlink" Target="http://www.forallstudio.com" TargetMode="External"/><Relationship  Id="rId13328" Type="http://schemas.openxmlformats.org/officeDocument/2006/relationships/hyperlink" Target="http://www.linkedin.com/in/jean-jacques-gaboriau-b4157192" TargetMode="External"/><Relationship  Id="rId13329" Type="http://schemas.openxmlformats.org/officeDocument/2006/relationships/hyperlink" Target="http://www.enersteel.fr" TargetMode="External"/><Relationship  Id="rId1333" Type="http://schemas.openxmlformats.org/officeDocument/2006/relationships/hyperlink" Target="http://www.elrancho.fr" TargetMode="External"/><Relationship  Id="rId13330" Type="http://schemas.openxmlformats.org/officeDocument/2006/relationships/hyperlink" Target="http://www.linkedin.com/in/maxime-bonnevie-b81353b2" TargetMode="External"/><Relationship  Id="rId13331" Type="http://schemas.openxmlformats.org/officeDocument/2006/relationships/hyperlink" Target="http://www.lesgrandsateliers.org" TargetMode="External"/><Relationship  Id="rId13332" Type="http://schemas.openxmlformats.org/officeDocument/2006/relationships/hyperlink" Target="http://www.linkedin.com/in/gerald-loctin-7952b8178" TargetMode="External"/><Relationship  Id="rId13333" Type="http://schemas.openxmlformats.org/officeDocument/2006/relationships/hyperlink" Target="http://www.crclyon.com" TargetMode="External"/><Relationship  Id="rId13334" Type="http://schemas.openxmlformats.org/officeDocument/2006/relationships/hyperlink" Target="http://www.linkedin.com/in/isabelle-boyrie-9b913a146" TargetMode="External"/><Relationship  Id="rId13335" Type="http://schemas.openxmlformats.org/officeDocument/2006/relationships/hyperlink" Target="http://www.linkedin.com/in/st%c3%a9phanie-bardotto-345450202" TargetMode="External"/><Relationship  Id="rId13336" Type="http://schemas.openxmlformats.org/officeDocument/2006/relationships/hyperlink" Target="http://www.isolations-rauschmaier.fr" TargetMode="External"/><Relationship  Id="rId13337" Type="http://schemas.openxmlformats.org/officeDocument/2006/relationships/hyperlink" Target="http://www.linkedin.com/in/morgan-adeneuer-a75592151" TargetMode="External"/><Relationship  Id="rId13338" Type="http://schemas.openxmlformats.org/officeDocument/2006/relationships/hyperlink" Target="http://www.eosgie.fr" TargetMode="External"/><Relationship  Id="rId13339" Type="http://schemas.openxmlformats.org/officeDocument/2006/relationships/hyperlink" Target="http://www.linkedin.com/in/jo%c3%abl-goossens-3704a1130" TargetMode="External"/><Relationship  Id="rId1334" Type="http://schemas.openxmlformats.org/officeDocument/2006/relationships/hyperlink" Target="http://www.linkedin.com/in/malo-allain-4b9b8b173" TargetMode="External"/><Relationship  Id="rId13340" Type="http://schemas.openxmlformats.org/officeDocument/2006/relationships/hyperlink" Target="http://www.lpb33.fr" TargetMode="External"/><Relationship  Id="rId13341" Type="http://schemas.openxmlformats.org/officeDocument/2006/relationships/hyperlink" Target="http://www.linkedin.com/in/florian-anchisi-434598182" TargetMode="External"/><Relationship  Id="rId13342" Type="http://schemas.openxmlformats.org/officeDocument/2006/relationships/hyperlink" Target="http://www.cevoha.fr" TargetMode="External"/><Relationship  Id="rId13343" Type="http://schemas.openxmlformats.org/officeDocument/2006/relationships/hyperlink" Target="http://www.linkedin.com/in/antonio-fernandes-994b21217" TargetMode="External"/><Relationship  Id="rId13344" Type="http://schemas.openxmlformats.org/officeDocument/2006/relationships/hyperlink" Target="http://www.agbrenovation37.fr" TargetMode="External"/><Relationship  Id="rId13345" Type="http://schemas.openxmlformats.org/officeDocument/2006/relationships/hyperlink" Target="http://www.linkedin.com/in/nicolas-joseph-b5a2aa273" TargetMode="External"/><Relationship  Id="rId13346" Type="http://schemas.openxmlformats.org/officeDocument/2006/relationships/hyperlink" Target="http://www.joseph-pro.com" TargetMode="External"/><Relationship  Id="rId13347" Type="http://schemas.openxmlformats.org/officeDocument/2006/relationships/hyperlink" Target="http://www.linkedin.com/in/pierre-rougeulle-913b00a6" TargetMode="External"/><Relationship  Id="rId13348" Type="http://schemas.openxmlformats.org/officeDocument/2006/relationships/hyperlink" Target="http://www.linkedin.com/in/fadi-sawan-160b9b1a" TargetMode="External"/><Relationship  Id="rId13349" Type="http://schemas.openxmlformats.org/officeDocument/2006/relationships/hyperlink" Target="http://www.linkedin.com/in/damien-laforge-22010310" TargetMode="External"/><Relationship  Id="rId1335" Type="http://schemas.openxmlformats.org/officeDocument/2006/relationships/hyperlink" Target="http://www.lacaleche.cc" TargetMode="External"/><Relationship  Id="rId13350" Type="http://schemas.openxmlformats.org/officeDocument/2006/relationships/hyperlink" Target="http://www.ovatis.fr" TargetMode="External"/><Relationship  Id="rId13351" Type="http://schemas.openxmlformats.org/officeDocument/2006/relationships/hyperlink" Target="http://www.linkedin.com/in/thomas-souchon-81742913" TargetMode="External"/><Relationship  Id="rId13352" Type="http://schemas.openxmlformats.org/officeDocument/2006/relationships/hyperlink" Target="http://www.vpgreen.fr" TargetMode="External"/><Relationship  Id="rId13353" Type="http://schemas.openxmlformats.org/officeDocument/2006/relationships/hyperlink" Target="http://www.linkedin.com/in/sophie-martinez-63b6b32a" TargetMode="External"/><Relationship  Id="rId13354" Type="http://schemas.openxmlformats.org/officeDocument/2006/relationships/hyperlink" Target="http://www.sefat.fr" TargetMode="External"/><Relationship  Id="rId13355" Type="http://schemas.openxmlformats.org/officeDocument/2006/relationships/hyperlink" Target="http://www.linkedin.com/in/richard-bry-83669868" TargetMode="External"/><Relationship  Id="rId13356" Type="http://schemas.openxmlformats.org/officeDocument/2006/relationships/hyperlink" Target="http://www.linkedin.com/in/romain-degano-3629303a" TargetMode="External"/><Relationship  Id="rId13357" Type="http://schemas.openxmlformats.org/officeDocument/2006/relationships/hyperlink" Target="http://www.bet-soraetec.fr" TargetMode="External"/><Relationship  Id="rId13358" Type="http://schemas.openxmlformats.org/officeDocument/2006/relationships/hyperlink" Target="http://www.linkedin.com/in/romuald-hernandez-b68003135" TargetMode="External"/><Relationship  Id="rId13359" Type="http://schemas.openxmlformats.org/officeDocument/2006/relationships/hyperlink" Target="http://www.linkedin.com/in/fran%c3%a7ois-alcan-49a70414a" TargetMode="External"/><Relationship  Id="rId1336" Type="http://schemas.openxmlformats.org/officeDocument/2006/relationships/hyperlink" Target="http://www.linkedin.com/in/ste%cc%81phane-pruneyrac-93022b137" TargetMode="External"/><Relationship  Id="rId13360" Type="http://schemas.openxmlformats.org/officeDocument/2006/relationships/hyperlink" Target="http://www.secop.fr" TargetMode="External"/><Relationship  Id="rId13361" Type="http://schemas.openxmlformats.org/officeDocument/2006/relationships/hyperlink" Target="http://www.linkedin.com/in/marjorie-ferreira-a5113031" TargetMode="External"/><Relationship  Id="rId13362" Type="http://schemas.openxmlformats.org/officeDocument/2006/relationships/hyperlink" Target="http://www.ferreira-batiment.fr" TargetMode="External"/><Relationship  Id="rId13363" Type="http://schemas.openxmlformats.org/officeDocument/2006/relationships/hyperlink" Target="http://www.linkedin.com/in/st%c3%a9phane-lucy-b6b1a713b" TargetMode="External"/><Relationship  Id="rId13364" Type="http://schemas.openxmlformats.org/officeDocument/2006/relationships/hyperlink" Target="http://www.jeanlucy.com" TargetMode="External"/><Relationship  Id="rId13365" Type="http://schemas.openxmlformats.org/officeDocument/2006/relationships/hyperlink" Target="http://www.linkedin.com/in/benoit-ruseff-4aa922a6" TargetMode="External"/><Relationship  Id="rId13366" Type="http://schemas.openxmlformats.org/officeDocument/2006/relationships/hyperlink" Target="http://www.seemo.fr" TargetMode="External"/><Relationship  Id="rId13367" Type="http://schemas.openxmlformats.org/officeDocument/2006/relationships/hyperlink" Target="http://www.linkedin.com/in/benoit-khouane-2ab2227b" TargetMode="External"/><Relationship  Id="rId13368" Type="http://schemas.openxmlformats.org/officeDocument/2006/relationships/hyperlink" Target="http://www.gf3m.fr" TargetMode="External"/><Relationship  Id="rId13369" Type="http://schemas.openxmlformats.org/officeDocument/2006/relationships/hyperlink" Target="http://www.linkedin.com/in/silv%c3%a9rio-antunes-49551a119" TargetMode="External"/><Relationship  Id="rId1337" Type="http://schemas.openxmlformats.org/officeDocument/2006/relationships/hyperlink" Target="http://www.linkedin.com/in/pierre-bournais-74975026" TargetMode="External"/><Relationship  Id="rId13370" Type="http://schemas.openxmlformats.org/officeDocument/2006/relationships/hyperlink" Target="http://www.4spbp.fr" TargetMode="External"/><Relationship  Id="rId13371" Type="http://schemas.openxmlformats.org/officeDocument/2006/relationships/hyperlink" Target="http://www.linkedin.com/in/jean-luc-mention-ba895452" TargetMode="External"/><Relationship  Id="rId13372" Type="http://schemas.openxmlformats.org/officeDocument/2006/relationships/hyperlink" Target="http://www.emi-genieclimatique.fr" TargetMode="External"/><Relationship  Id="rId13373" Type="http://schemas.openxmlformats.org/officeDocument/2006/relationships/hyperlink" Target="http://www.linkedin.com/in/fabrice-heroult-154309159" TargetMode="External"/><Relationship  Id="rId13374" Type="http://schemas.openxmlformats.org/officeDocument/2006/relationships/hyperlink" Target="http://www.heroult.fr" TargetMode="External"/><Relationship  Id="rId13375" Type="http://schemas.openxmlformats.org/officeDocument/2006/relationships/hyperlink" Target="http://www.linkedin.com/in/kevin-caprini-38508a20a" TargetMode="External"/><Relationship  Id="rId13376" Type="http://schemas.openxmlformats.org/officeDocument/2006/relationships/hyperlink" Target="http://www.caprinipellerin.com" TargetMode="External"/><Relationship  Id="rId13377" Type="http://schemas.openxmlformats.org/officeDocument/2006/relationships/hyperlink" Target="http://www.linkedin.com/in/am%c3%a9d%c3%a9e-daille-5ba632b3" TargetMode="External"/><Relationship  Id="rId13378" Type="http://schemas.openxmlformats.org/officeDocument/2006/relationships/hyperlink" Target="http://www.lpb-sa.com" TargetMode="External"/><Relationship  Id="rId13379" Type="http://schemas.openxmlformats.org/officeDocument/2006/relationships/hyperlink" Target="http://www.linkedin.com/in/christophe-besson-513b28111" TargetMode="External"/><Relationship  Id="rId1338" Type="http://schemas.openxmlformats.org/officeDocument/2006/relationships/hyperlink" Target="http://www.linkedin.com/in/marie-enaud-9905a64a" TargetMode="External"/><Relationship  Id="rId13380" Type="http://schemas.openxmlformats.org/officeDocument/2006/relationships/hyperlink" Target="http://www.cybstores.com" TargetMode="External"/><Relationship  Id="rId13381" Type="http://schemas.openxmlformats.org/officeDocument/2006/relationships/hyperlink" Target="http://www.linkedin.com/in/bernard-berruee-9a645634" TargetMode="External"/><Relationship  Id="rId13382" Type="http://schemas.openxmlformats.org/officeDocument/2006/relationships/hyperlink" Target="http://www.linkedin.com/in/alexander-martin-9a31596" TargetMode="External"/><Relationship  Id="rId13383" Type="http://schemas.openxmlformats.org/officeDocument/2006/relationships/hyperlink" Target="http://www.linkedin.com/in/r%c3%a9my-gaude-723b56210" TargetMode="External"/><Relationship  Id="rId13384" Type="http://schemas.openxmlformats.org/officeDocument/2006/relationships/hyperlink" Target="http://www.linkedin.com/in/st%c3%a9phane-garcia-a0b459175" TargetMode="External"/><Relationship  Id="rId13385" Type="http://schemas.openxmlformats.org/officeDocument/2006/relationships/hyperlink" Target="http://www.renov-toulouse.fr" TargetMode="External"/><Relationship  Id="rId13386" Type="http://schemas.openxmlformats.org/officeDocument/2006/relationships/hyperlink" Target="http://www.linkedin.com/in/nicolas-g-b4431878" TargetMode="External"/><Relationship  Id="rId13387" Type="http://schemas.openxmlformats.org/officeDocument/2006/relationships/hyperlink" Target="http://www.geaymenuiserie.fr" TargetMode="External"/><Relationship  Id="rId13388" Type="http://schemas.openxmlformats.org/officeDocument/2006/relationships/hyperlink" Target="http://www.linkedin.com/in/patrick-lecointre-56a03985" TargetMode="External"/><Relationship  Id="rId13389" Type="http://schemas.openxmlformats.org/officeDocument/2006/relationships/hyperlink" Target="http://www.linkedin.com/in/fabien-hainault-1b4a95154" TargetMode="External"/><Relationship  Id="rId1339" Type="http://schemas.openxmlformats.org/officeDocument/2006/relationships/hyperlink" Target="http://www.linkedin.com/in/charles-capoul" TargetMode="External"/><Relationship  Id="rId13390" Type="http://schemas.openxmlformats.org/officeDocument/2006/relationships/hyperlink" Target="http://www.linkedin.com/in/silvere-faucon-3053b4214" TargetMode="External"/><Relationship  Id="rId13391" Type="http://schemas.openxmlformats.org/officeDocument/2006/relationships/hyperlink" Target="http://www.heracles-robotics.com" TargetMode="External"/><Relationship  Id="rId13392" Type="http://schemas.openxmlformats.org/officeDocument/2006/relationships/hyperlink" Target="http://www.linkedin.com/in/lionel-medina-4b502149" TargetMode="External"/><Relationship  Id="rId13393" Type="http://schemas.openxmlformats.org/officeDocument/2006/relationships/hyperlink" Target="http://www.groupe-ifh.com" TargetMode="External"/><Relationship  Id="rId13394" Type="http://schemas.openxmlformats.org/officeDocument/2006/relationships/hyperlink" Target="http://www.linkedin.com/in/ramazan-atas-479265116" TargetMode="External"/><Relationship  Id="rId13395" Type="http://schemas.openxmlformats.org/officeDocument/2006/relationships/hyperlink" Target="http://www.euroterre.fr" TargetMode="External"/><Relationship  Id="rId13396" Type="http://schemas.openxmlformats.org/officeDocument/2006/relationships/hyperlink" Target="http://www.linkedin.com/in/r%c3%a9mi-becherel-a467a8a6" TargetMode="External"/><Relationship  Id="rId13397" Type="http://schemas.openxmlformats.org/officeDocument/2006/relationships/hyperlink" Target="http://www.nidperche.com" TargetMode="External"/><Relationship  Id="rId13398" Type="http://schemas.openxmlformats.org/officeDocument/2006/relationships/hyperlink" Target="http://www.linkedin.com/in/richard-aubry-38102b63" TargetMode="External"/><Relationship  Id="rId13399" Type="http://schemas.openxmlformats.org/officeDocument/2006/relationships/hyperlink" Target="http://www.dmasite.com" TargetMode="External"/><Relationship  Id="rId134" Type="http://schemas.openxmlformats.org/officeDocument/2006/relationships/hyperlink" Target="http://www.linkedin.com/in/didier-oudin-ba506748" TargetMode="External"/><Relationship  Id="rId1340" Type="http://schemas.openxmlformats.org/officeDocument/2006/relationships/hyperlink" Target="http://www.linkedin.com/in/gr%c3%a9goire-revers%c3%a9-570549171" TargetMode="External"/><Relationship  Id="rId13400" Type="http://schemas.openxmlformats.org/officeDocument/2006/relationships/hyperlink" Target="http://www.linkedin.com/in/philippe-logel-3535a190" TargetMode="External"/><Relationship  Id="rId13401" Type="http://schemas.openxmlformats.org/officeDocument/2006/relationships/hyperlink" Target="http://www.renovio-invest.com" TargetMode="External"/><Relationship  Id="rId13402" Type="http://schemas.openxmlformats.org/officeDocument/2006/relationships/hyperlink" Target="http://www.linkedin.com/in/julie-frieden-ba557076" TargetMode="External"/><Relationship  Id="rId13403" Type="http://schemas.openxmlformats.org/officeDocument/2006/relationships/hyperlink" Target="http://www.losbergerdeboer.com" TargetMode="External"/><Relationship  Id="rId13404" Type="http://schemas.openxmlformats.org/officeDocument/2006/relationships/hyperlink" Target="http://www.linkedin.com/in/laurent-barres-03bb92120" TargetMode="External"/><Relationship  Id="rId13405" Type="http://schemas.openxmlformats.org/officeDocument/2006/relationships/hyperlink" Target="http://www.occifluid.fr" TargetMode="External"/><Relationship  Id="rId13406" Type="http://schemas.openxmlformats.org/officeDocument/2006/relationships/hyperlink" Target="http://www.linkedin.com/in/j%c3%a9r%c3%b4me-malet-28335b126" TargetMode="External"/><Relationship  Id="rId13407" Type="http://schemas.openxmlformats.org/officeDocument/2006/relationships/hyperlink" Target="http://www.gerconstructeur.fr" TargetMode="External"/><Relationship  Id="rId13408" Type="http://schemas.openxmlformats.org/officeDocument/2006/relationships/hyperlink" Target="http://www.linkedin.com/in/mahmut-cakir-2ba629155" TargetMode="External"/><Relationship  Id="rId13409" Type="http://schemas.openxmlformats.org/officeDocument/2006/relationships/hyperlink" Target="http://www.linkedin.com/in/antonio-vaz-alves-008373264" TargetMode="External"/><Relationship  Id="rId1341" Type="http://schemas.openxmlformats.org/officeDocument/2006/relationships/hyperlink" Target="http://www.dose.paris" TargetMode="External"/><Relationship  Id="rId13410" Type="http://schemas.openxmlformats.org/officeDocument/2006/relationships/hyperlink" Target="http://www.linkedin.com/in/philippe-manach-4366b429" TargetMode="External"/><Relationship  Id="rId13411" Type="http://schemas.openxmlformats.org/officeDocument/2006/relationships/hyperlink" Target="http://www.amg-fechoz.com" TargetMode="External"/><Relationship  Id="rId13412" Type="http://schemas.openxmlformats.org/officeDocument/2006/relationships/hyperlink" Target="http://www.linkedin.com/in/olivier-fargetas-60ba3613a" TargetMode="External"/><Relationship  Id="rId13413" Type="http://schemas.openxmlformats.org/officeDocument/2006/relationships/hyperlink" Target="http://www.patiemichel.com" TargetMode="External"/><Relationship  Id="rId13414" Type="http://schemas.openxmlformats.org/officeDocument/2006/relationships/hyperlink" Target="http://www.linkedin.com/in/gr%c3%a9gory-chalamel-9091001a2" TargetMode="External"/><Relationship  Id="rId13415" Type="http://schemas.openxmlformats.org/officeDocument/2006/relationships/hyperlink" Target="http://www.viricel.fr" TargetMode="External"/><Relationship  Id="rId13416" Type="http://schemas.openxmlformats.org/officeDocument/2006/relationships/hyperlink" Target="http://www.linkedin.com/in/lauralopezochando" TargetMode="External"/><Relationship  Id="rId13417" Type="http://schemas.openxmlformats.org/officeDocument/2006/relationships/hyperlink" Target="http://www.grupotesela.com" TargetMode="External"/><Relationship  Id="rId13418" Type="http://schemas.openxmlformats.org/officeDocument/2006/relationships/hyperlink" Target="http://www.linkedin.com/in/clement-mignet-2a585a226" TargetMode="External"/><Relationship  Id="rId13419" Type="http://schemas.openxmlformats.org/officeDocument/2006/relationships/hyperlink" Target="http://www.set.fr" TargetMode="External"/><Relationship  Id="rId1342" Type="http://schemas.openxmlformats.org/officeDocument/2006/relationships/hyperlink" Target="http://www.linkedin.com/in/yann-margetyal-24805063" TargetMode="External"/><Relationship  Id="rId13420" Type="http://schemas.openxmlformats.org/officeDocument/2006/relationships/hyperlink" Target="http://www.linkedin.com/in/julian-dorobantu-66884374" TargetMode="External"/><Relationship  Id="rId13421" Type="http://schemas.openxmlformats.org/officeDocument/2006/relationships/hyperlink" Target="http://www.baw.be" TargetMode="External"/><Relationship  Id="rId13422" Type="http://schemas.openxmlformats.org/officeDocument/2006/relationships/hyperlink" Target="http://www.linkedin.com/in/brice-sevin-a921a6147" TargetMode="External"/><Relationship  Id="rId13423" Type="http://schemas.openxmlformats.org/officeDocument/2006/relationships/hyperlink" Target="http://www.linkedin.com/in/emmanuel-robert-04796958" TargetMode="External"/><Relationship  Id="rId13424" Type="http://schemas.openxmlformats.org/officeDocument/2006/relationships/hyperlink" Target="http://www.bluerium.com" TargetMode="External"/><Relationship  Id="rId13425" Type="http://schemas.openxmlformats.org/officeDocument/2006/relationships/hyperlink" Target="http://www.linkedin.com/in/alexandre-barraud-6ab978105" TargetMode="External"/><Relationship  Id="rId13426" Type="http://schemas.openxmlformats.org/officeDocument/2006/relationships/hyperlink" Target="http://www.42csi.fr" TargetMode="External"/><Relationship  Id="rId13427" Type="http://schemas.openxmlformats.org/officeDocument/2006/relationships/hyperlink" Target="http://www.linkedin.com/in/philippe-din%c3%a9-89842641" TargetMode="External"/><Relationship  Id="rId13428" Type="http://schemas.openxmlformats.org/officeDocument/2006/relationships/hyperlink" Target="http://www.enid.fr" TargetMode="External"/><Relationship  Id="rId13429" Type="http://schemas.openxmlformats.org/officeDocument/2006/relationships/hyperlink" Target="http://www.linkedin.com/in/alexandre-blacteau-81854614a" TargetMode="External"/><Relationship  Id="rId1343" Type="http://schemas.openxmlformats.org/officeDocument/2006/relationships/hyperlink" Target="http://www.lacachette-lesarcs.com" TargetMode="External"/><Relationship  Id="rId13430" Type="http://schemas.openxmlformats.org/officeDocument/2006/relationships/hyperlink" Target="http://www.voltige-services.com" TargetMode="External"/><Relationship  Id="rId13431" Type="http://schemas.openxmlformats.org/officeDocument/2006/relationships/hyperlink" Target="http://www.linkedin.com/in/lo%c3%afc-lagoutte-95635279" TargetMode="External"/><Relationship  Id="rId13432" Type="http://schemas.openxmlformats.org/officeDocument/2006/relationships/hyperlink" Target="http://www.partena-sas.com" TargetMode="External"/><Relationship  Id="rId13433" Type="http://schemas.openxmlformats.org/officeDocument/2006/relationships/hyperlink" Target="http://www.linkedin.com/in/olgarigaud" TargetMode="External"/><Relationship  Id="rId13434" Type="http://schemas.openxmlformats.org/officeDocument/2006/relationships/hyperlink" Target="http://www.royal-group.fr" TargetMode="External"/><Relationship  Id="rId13435" Type="http://schemas.openxmlformats.org/officeDocument/2006/relationships/hyperlink" Target="http://www.linkedin.com/in/maurice-chekroun" TargetMode="External"/><Relationship  Id="rId13436" Type="http://schemas.openxmlformats.org/officeDocument/2006/relationships/hyperlink" Target="http://www.elyor-group.com" TargetMode="External"/><Relationship  Id="rId13437" Type="http://schemas.openxmlformats.org/officeDocument/2006/relationships/hyperlink" Target="http://www.linkedin.com/in/sandra-devaud-87559627b" TargetMode="External"/><Relationship  Id="rId13438" Type="http://schemas.openxmlformats.org/officeDocument/2006/relationships/hyperlink" Target="http://www.essonne-amenagement.fr" TargetMode="External"/><Relationship  Id="rId13439" Type="http://schemas.openxmlformats.org/officeDocument/2006/relationships/hyperlink" Target="http://www.linkedin.com/in/salim-djebbar-2004aa24" TargetMode="External"/><Relationship  Id="rId1344" Type="http://schemas.openxmlformats.org/officeDocument/2006/relationships/hyperlink" Target="http://www.linkedin.com/in/laurence-boucard-377b31162" TargetMode="External"/><Relationship  Id="rId13440" Type="http://schemas.openxmlformats.org/officeDocument/2006/relationships/hyperlink" Target="http://www.deveugle.com" TargetMode="External"/><Relationship  Id="rId13441" Type="http://schemas.openxmlformats.org/officeDocument/2006/relationships/hyperlink" Target="http://www.linkedin.com/in/anne-sophie-gentreau-6119a594" TargetMode="External"/><Relationship  Id="rId13442" Type="http://schemas.openxmlformats.org/officeDocument/2006/relationships/hyperlink" Target="http://www.cso-brest.com" TargetMode="External"/><Relationship  Id="rId13443" Type="http://schemas.openxmlformats.org/officeDocument/2006/relationships/hyperlink" Target="http://www.linkedin.com/in/alexandre-tahar-44b71234" TargetMode="External"/><Relationship  Id="rId13444" Type="http://schemas.openxmlformats.org/officeDocument/2006/relationships/hyperlink" Target="http://www.ecovair.net" TargetMode="External"/><Relationship  Id="rId13445" Type="http://schemas.openxmlformats.org/officeDocument/2006/relationships/hyperlink" Target="http://www.linkedin.com/in/eddy-renaud-a737b4198" TargetMode="External"/><Relationship  Id="rId13446" Type="http://schemas.openxmlformats.org/officeDocument/2006/relationships/hyperlink" Target="http://www.maisonbleue.fr" TargetMode="External"/><Relationship  Id="rId13447" Type="http://schemas.openxmlformats.org/officeDocument/2006/relationships/hyperlink" Target="http://www.linkedin.com/in/benoit-petit-978122b1" TargetMode="External"/><Relationship  Id="rId13448" Type="http://schemas.openxmlformats.org/officeDocument/2006/relationships/hyperlink" Target="http://www.nortecbet.com" TargetMode="External"/><Relationship  Id="rId13449" Type="http://schemas.openxmlformats.org/officeDocument/2006/relationships/hyperlink" Target="http://www.linkedin.com/in/laurent-galle-53b254" TargetMode="External"/><Relationship  Id="rId1345" Type="http://schemas.openxmlformats.org/officeDocument/2006/relationships/hyperlink" Target="http://www.hotelbordeauxcentre.com" TargetMode="External"/><Relationship  Id="rId13450" Type="http://schemas.openxmlformats.org/officeDocument/2006/relationships/hyperlink" Target="http://www.groupenoblet.com" TargetMode="External"/><Relationship  Id="rId13451" Type="http://schemas.openxmlformats.org/officeDocument/2006/relationships/hyperlink" Target="http://www.linkedin.com/in/olivier-burbaud-763253134" TargetMode="External"/><Relationship  Id="rId13452" Type="http://schemas.openxmlformats.org/officeDocument/2006/relationships/hyperlink" Target="http://www.bbe-sas.com" TargetMode="External"/><Relationship  Id="rId13453" Type="http://schemas.openxmlformats.org/officeDocument/2006/relationships/hyperlink" Target="http://www.linkedin.com/in/eric-desmoulin-6aa68286" TargetMode="External"/><Relationship  Id="rId13454" Type="http://schemas.openxmlformats.org/officeDocument/2006/relationships/hyperlink" Target="http://www.sngisas.com" TargetMode="External"/><Relationship  Id="rId13455" Type="http://schemas.openxmlformats.org/officeDocument/2006/relationships/hyperlink" Target="http://www.linkedin.com/in/patrick-fitoussi-85b22a57" TargetMode="External"/><Relationship  Id="rId13456" Type="http://schemas.openxmlformats.org/officeDocument/2006/relationships/hyperlink" Target="http://www.linkedin.com/in/olivier-cramoisan-867064107" TargetMode="External"/><Relationship  Id="rId13457" Type="http://schemas.openxmlformats.org/officeDocument/2006/relationships/hyperlink" Target="http://www.carrillo-carrelage.com" TargetMode="External"/><Relationship  Id="rId13458" Type="http://schemas.openxmlformats.org/officeDocument/2006/relationships/hyperlink" Target="http://www.linkedin.com/in/marius-hamelot-698442124" TargetMode="External"/><Relationship  Id="rId13459" Type="http://schemas.openxmlformats.org/officeDocument/2006/relationships/hyperlink" Target="http://www.le-pave.com" TargetMode="External"/><Relationship  Id="rId1346" Type="http://schemas.openxmlformats.org/officeDocument/2006/relationships/hyperlink" Target="http://www.linkedin.com/in/catherine-parinaud-5abb8835" TargetMode="External"/><Relationship  Id="rId13460" Type="http://schemas.openxmlformats.org/officeDocument/2006/relationships/hyperlink" Target="http://www.linkedin.com/in/marc-fasiolo-564760" TargetMode="External"/><Relationship  Id="rId13461" Type="http://schemas.openxmlformats.org/officeDocument/2006/relationships/hyperlink" Target="http://www.linkedin.com/in/olivierdanan" TargetMode="External"/><Relationship  Id="rId13462" Type="http://schemas.openxmlformats.org/officeDocument/2006/relationships/hyperlink" Target="http://www.citizensid.com" TargetMode="External"/><Relationship  Id="rId13463" Type="http://schemas.openxmlformats.org/officeDocument/2006/relationships/hyperlink" Target="http://www.linkedin.com/in/jerome-luckert-963b2086" TargetMode="External"/><Relationship  Id="rId13464" Type="http://schemas.openxmlformats.org/officeDocument/2006/relationships/hyperlink" Target="http://www.michelsas.com" TargetMode="External"/><Relationship  Id="rId13465" Type="http://schemas.openxmlformats.org/officeDocument/2006/relationships/hyperlink" Target="http://www.linkedin.com/in/h%c3%a9l%c3%a8ne-dass%c3%a9" TargetMode="External"/><Relationship  Id="rId13466" Type="http://schemas.openxmlformats.org/officeDocument/2006/relationships/hyperlink" Target="http://www.esolia.fr" TargetMode="External"/><Relationship  Id="rId13467" Type="http://schemas.openxmlformats.org/officeDocument/2006/relationships/hyperlink" Target="http://www.linkedin.com/in/gr%c3%a9goire-saurel-b5b62b92" TargetMode="External"/><Relationship  Id="rId13468" Type="http://schemas.openxmlformats.org/officeDocument/2006/relationships/hyperlink" Target="http://www.linkedin.com/in/fabienvanhecke" TargetMode="External"/><Relationship  Id="rId13469" Type="http://schemas.openxmlformats.org/officeDocument/2006/relationships/hyperlink" Target="http://www.lewoodgang.com" TargetMode="External"/><Relationship  Id="rId1347" Type="http://schemas.openxmlformats.org/officeDocument/2006/relationships/hyperlink" Target="http://www.bordeaux-hotel.com" TargetMode="External"/><Relationship  Id="rId13470" Type="http://schemas.openxmlformats.org/officeDocument/2006/relationships/hyperlink" Target="http://www.linkedin.com/in/samuel-franchini-353a60139" TargetMode="External"/><Relationship  Id="rId13471" Type="http://schemas.openxmlformats.org/officeDocument/2006/relationships/hyperlink" Target="http://www.pharmabois.com" TargetMode="External"/><Relationship  Id="rId13472" Type="http://schemas.openxmlformats.org/officeDocument/2006/relationships/hyperlink" Target="http://www.linkedin.com/in/llavocat" TargetMode="External"/><Relationship  Id="rId13473" Type="http://schemas.openxmlformats.org/officeDocument/2006/relationships/hyperlink" Target="http://www.quinceconstruction.fr" TargetMode="External"/><Relationship  Id="rId13474" Type="http://schemas.openxmlformats.org/officeDocument/2006/relationships/hyperlink" Target="http://www.linkedin.com/in/benoit-faucherand-b5a2871" TargetMode="External"/><Relationship  Id="rId13475" Type="http://schemas.openxmlformats.org/officeDocument/2006/relationships/hyperlink" Target="http://www.arching.com" TargetMode="External"/><Relationship  Id="rId13476" Type="http://schemas.openxmlformats.org/officeDocument/2006/relationships/hyperlink" Target="http://www.linkedin.com/in/benoit-libaud-1a6a54a2" TargetMode="External"/><Relationship  Id="rId13477" Type="http://schemas.openxmlformats.org/officeDocument/2006/relationships/hyperlink" Target="http://www.linkedin.com/in/thomas-mention-538917a5" TargetMode="External"/><Relationship  Id="rId13478" Type="http://schemas.openxmlformats.org/officeDocument/2006/relationships/hyperlink" Target="http://www.linkedin.com/in/gauthier-herran-79233310b" TargetMode="External"/><Relationship  Id="rId13479" Type="http://schemas.openxmlformats.org/officeDocument/2006/relationships/hyperlink" Target="http://www.energy-menuiseries.com" TargetMode="External"/><Relationship  Id="rId1348" Type="http://schemas.openxmlformats.org/officeDocument/2006/relationships/hyperlink" Target="http://www.linkedin.com/in/marie-prido-2282833b" TargetMode="External"/><Relationship  Id="rId13480" Type="http://schemas.openxmlformats.org/officeDocument/2006/relationships/hyperlink" Target="http://www.linkedin.com/in/bertrand-leurquin-36a812155" TargetMode="External"/><Relationship  Id="rId13481" Type="http://schemas.openxmlformats.org/officeDocument/2006/relationships/hyperlink" Target="http://www.linkedin.com/in/mathieu-duchamp-63079b1b7" TargetMode="External"/><Relationship  Id="rId13482" Type="http://schemas.openxmlformats.org/officeDocument/2006/relationships/hyperlink" Target="http://www.linkedin.com/in/cedric-lefeuvre-3479141a1" TargetMode="External"/><Relationship  Id="rId13483" Type="http://schemas.openxmlformats.org/officeDocument/2006/relationships/hyperlink" Target="http://www.sascrd.com" TargetMode="External"/><Relationship  Id="rId13484" Type="http://schemas.openxmlformats.org/officeDocument/2006/relationships/hyperlink" Target="http://www.linkedin.com/in/boris-voeltzel" TargetMode="External"/><Relationship  Id="rId13485" Type="http://schemas.openxmlformats.org/officeDocument/2006/relationships/hyperlink" Target="http://www.linkedin.com/in/ergand-jacques-8297b159" TargetMode="External"/><Relationship  Id="rId13486" Type="http://schemas.openxmlformats.org/officeDocument/2006/relationships/hyperlink" Target="http://www.jei.fr" TargetMode="External"/><Relationship  Id="rId13487" Type="http://schemas.openxmlformats.org/officeDocument/2006/relationships/hyperlink" Target="http://www.linkedin.com/in/olivier-maury-96150755" TargetMode="External"/><Relationship  Id="rId13488" Type="http://schemas.openxmlformats.org/officeDocument/2006/relationships/hyperlink" Target="http://www.linkedin.com/in/jeremy-bigotte-9755ba201" TargetMode="External"/><Relationship  Id="rId13489" Type="http://schemas.openxmlformats.org/officeDocument/2006/relationships/hyperlink" Target="http://www.menuisiersdurhone.fr" TargetMode="External"/><Relationship  Id="rId1349" Type="http://schemas.openxmlformats.org/officeDocument/2006/relationships/hyperlink" Target="http://www.linkedin.com/in/ilannakam" TargetMode="External"/><Relationship  Id="rId13490" Type="http://schemas.openxmlformats.org/officeDocument/2006/relationships/hyperlink" Target="http://www.linkedin.com/in/omer-gurcan-b05752223" TargetMode="External"/><Relationship  Id="rId13491" Type="http://schemas.openxmlformats.org/officeDocument/2006/relationships/hyperlink" Target="http://www.brghabitat.fr" TargetMode="External"/><Relationship  Id="rId13492" Type="http://schemas.openxmlformats.org/officeDocument/2006/relationships/hyperlink" Target="http://www.linkedin.com/in/inan-ozgur-7745a8164" TargetMode="External"/><Relationship  Id="rId13493" Type="http://schemas.openxmlformats.org/officeDocument/2006/relationships/hyperlink" Target="http://www.elrp-peinture.fr" TargetMode="External"/><Relationship  Id="rId13494" Type="http://schemas.openxmlformats.org/officeDocument/2006/relationships/hyperlink" Target="http://www.linkedin.com/in/steve-a%c3%afello-336233112" TargetMode="External"/><Relationship  Id="rId13495" Type="http://schemas.openxmlformats.org/officeDocument/2006/relationships/hyperlink" Target="http://www.auzeo-habitat.com" TargetMode="External"/><Relationship  Id="rId13496" Type="http://schemas.openxmlformats.org/officeDocument/2006/relationships/hyperlink" Target="http://www.linkedin.com/in/j%c3%a9r%c3%b4me-lozac-h-23151a14a" TargetMode="External"/><Relationship  Id="rId13497" Type="http://schemas.openxmlformats.org/officeDocument/2006/relationships/hyperlink" Target="http://www.technichauffage.fr" TargetMode="External"/><Relationship  Id="rId13498" Type="http://schemas.openxmlformats.org/officeDocument/2006/relationships/hyperlink" Target="http://www.linkedin.com/in/patrice-bergeron-3a706571" TargetMode="External"/><Relationship  Id="rId13499" Type="http://schemas.openxmlformats.org/officeDocument/2006/relationships/hyperlink" Target="http://www.sas-bim.fr" TargetMode="External"/><Relationship  Id="rId135" Type="http://schemas.openxmlformats.org/officeDocument/2006/relationships/hyperlink" Target="http://www.groupe-arom.com" TargetMode="External"/><Relationship  Id="rId1350" Type="http://schemas.openxmlformats.org/officeDocument/2006/relationships/hyperlink" Target="http://www.what-the-foc.fr" TargetMode="External"/><Relationship  Id="rId13500" Type="http://schemas.openxmlformats.org/officeDocument/2006/relationships/hyperlink" Target="http://www.linkedin.com/in/r%c3%a9mi-carbonero-aa571596" TargetMode="External"/><Relationship  Id="rId13501" Type="http://schemas.openxmlformats.org/officeDocument/2006/relationships/hyperlink" Target="http://www.carbonero.fr" TargetMode="External"/><Relationship  Id="rId13502" Type="http://schemas.openxmlformats.org/officeDocument/2006/relationships/hyperlink" Target="http://www.linkedin.com/in/johann-menet-460512105" TargetMode="External"/><Relationship  Id="rId13503" Type="http://schemas.openxmlformats.org/officeDocument/2006/relationships/hyperlink" Target="http://www.tp-plus.fr" TargetMode="External"/><Relationship  Id="rId13504" Type="http://schemas.openxmlformats.org/officeDocument/2006/relationships/hyperlink" Target="http://www.linkedin.com/in/virginie-blaison-695239185" TargetMode="External"/><Relationship  Id="rId13505" Type="http://schemas.openxmlformats.org/officeDocument/2006/relationships/hyperlink" Target="http://www.linkedin.com/in/regis-binet-a5b897106" TargetMode="External"/><Relationship  Id="rId13506" Type="http://schemas.openxmlformats.org/officeDocument/2006/relationships/hyperlink" Target="http://www.linkedin.com/in/clement-gomme-5a7157a0" TargetMode="External"/><Relationship  Id="rId13507" Type="http://schemas.openxmlformats.org/officeDocument/2006/relationships/hyperlink" Target="http://www.homagil.fr" TargetMode="External"/><Relationship  Id="rId13508" Type="http://schemas.openxmlformats.org/officeDocument/2006/relationships/hyperlink" Target="http://www.linkedin.com/in/philippe-reynaud-transparence-conformit%c3%a9-l%c3%a9gale" TargetMode="External"/><Relationship  Id="rId13509" Type="http://schemas.openxmlformats.org/officeDocument/2006/relationships/hyperlink" Target="http://www.transparence.dk" TargetMode="External"/><Relationship  Id="rId1351" Type="http://schemas.openxmlformats.org/officeDocument/2006/relationships/hyperlink" Target="http://www.linkedin.com/in/marie-ange-cardi-47176810a" TargetMode="External"/><Relationship  Id="rId13510" Type="http://schemas.openxmlformats.org/officeDocument/2006/relationships/hyperlink" Target="http://www.linkedin.com/in/louis-cabaud-19a1127" TargetMode="External"/><Relationship  Id="rId13511" Type="http://schemas.openxmlformats.org/officeDocument/2006/relationships/hyperlink" Target="http://www.getcoolroof.com" TargetMode="External"/><Relationship  Id="rId13512" Type="http://schemas.openxmlformats.org/officeDocument/2006/relationships/hyperlink" Target="http://www.linkedin.com/in/nicolasguinebretiere" TargetMode="External"/><Relationship  Id="rId13513" Type="http://schemas.openxmlformats.org/officeDocument/2006/relationships/hyperlink" Target="http://www.linkedin.com/in/mehdi-b-37094a1b" TargetMode="External"/><Relationship  Id="rId13514" Type="http://schemas.openxmlformats.org/officeDocument/2006/relationships/hyperlink" Target="http://www.sinfonic.fr" TargetMode="External"/><Relationship  Id="rId13515" Type="http://schemas.openxmlformats.org/officeDocument/2006/relationships/hyperlink" Target="http://www.linkedin.com/in/bafti-nerguti-15a964193" TargetMode="External"/><Relationship  Id="rId13516" Type="http://schemas.openxmlformats.org/officeDocument/2006/relationships/hyperlink" Target="http://www.mep-energie.com" TargetMode="External"/><Relationship  Id="rId13517" Type="http://schemas.openxmlformats.org/officeDocument/2006/relationships/hyperlink" Target="http://www.linkedin.com/in/juliendurieux" TargetMode="External"/><Relationship  Id="rId13518" Type="http://schemas.openxmlformats.org/officeDocument/2006/relationships/hyperlink" Target="http://www.frasil.fr" TargetMode="External"/><Relationship  Id="rId13519" Type="http://schemas.openxmlformats.org/officeDocument/2006/relationships/hyperlink" Target="http://www.linkedin.com/in/gillescaminade" TargetMode="External"/><Relationship  Id="rId1352" Type="http://schemas.openxmlformats.org/officeDocument/2006/relationships/hyperlink" Target="http://www.hoteldoncesar.com" TargetMode="External"/><Relationship  Id="rId13520" Type="http://schemas.openxmlformats.org/officeDocument/2006/relationships/hyperlink" Target="http://www.linkedin.com/in/jean-pierre-brunet-254137a6" TargetMode="External"/><Relationship  Id="rId13521" Type="http://schemas.openxmlformats.org/officeDocument/2006/relationships/hyperlink" Target="http://www.groupebrunet.com" TargetMode="External"/><Relationship  Id="rId13522" Type="http://schemas.openxmlformats.org/officeDocument/2006/relationships/hyperlink" Target="http://www.linkedin.com/in/richard-perez-35b02bb5" TargetMode="External"/><Relationship  Id="rId13523" Type="http://schemas.openxmlformats.org/officeDocument/2006/relationships/hyperlink" Target="http://www.richard-construction.fr" TargetMode="External"/><Relationship  Id="rId13524" Type="http://schemas.openxmlformats.org/officeDocument/2006/relationships/hyperlink" Target="http://www.linkedin.com/in/olivier-gaussail-172226137" TargetMode="External"/><Relationship  Id="rId13525" Type="http://schemas.openxmlformats.org/officeDocument/2006/relationships/hyperlink" Target="http://www.linkedin.com/in/salah-khafi-39b278234" TargetMode="External"/><Relationship  Id="rId13526" Type="http://schemas.openxmlformats.org/officeDocument/2006/relationships/hyperlink" Target="http://www.groupe-eliene.com" TargetMode="External"/><Relationship  Id="rId13527" Type="http://schemas.openxmlformats.org/officeDocument/2006/relationships/hyperlink" Target="http://www.linkedin.com/in/gerardturetta" TargetMode="External"/><Relationship  Id="rId13528" Type="http://schemas.openxmlformats.org/officeDocument/2006/relationships/hyperlink" Target="http://www.cmdlyon.com" TargetMode="External"/><Relationship  Id="rId13529" Type="http://schemas.openxmlformats.org/officeDocument/2006/relationships/hyperlink" Target="http://www.linkedin.com/in/frederic-lartigue-b4527b106" TargetMode="External"/><Relationship  Id="rId1353" Type="http://schemas.openxmlformats.org/officeDocument/2006/relationships/hyperlink" Target="http://www.linkedin.com/in/gian-luca-bertilaccio" TargetMode="External"/><Relationship  Id="rId13530" Type="http://schemas.openxmlformats.org/officeDocument/2006/relationships/hyperlink" Target="http://www.groupelartigue.com" TargetMode="External"/><Relationship  Id="rId13531" Type="http://schemas.openxmlformats.org/officeDocument/2006/relationships/hyperlink" Target="http://www.linkedin.com/in/franck-mortier-2375128b" TargetMode="External"/><Relationship  Id="rId13532" Type="http://schemas.openxmlformats.org/officeDocument/2006/relationships/hyperlink" Target="http://www.linkedin.com/in/anna-konrat-74b56956" TargetMode="External"/><Relationship  Id="rId13533" Type="http://schemas.openxmlformats.org/officeDocument/2006/relationships/hyperlink" Target="http://www.exhibitionstand.construction" TargetMode="External"/><Relationship  Id="rId13534" Type="http://schemas.openxmlformats.org/officeDocument/2006/relationships/hyperlink" Target="http://www.linkedin.com/in/ga%c3%a9tan-joie-066725195" TargetMode="External"/><Relationship  Id="rId13535" Type="http://schemas.openxmlformats.org/officeDocument/2006/relationships/hyperlink" Target="http://www.menuiseriejoie.com" TargetMode="External"/><Relationship  Id="rId13536" Type="http://schemas.openxmlformats.org/officeDocument/2006/relationships/hyperlink" Target="http://www.linkedin.com/in/huguessartre" TargetMode="External"/><Relationship  Id="rId13537" Type="http://schemas.openxmlformats.org/officeDocument/2006/relationships/hyperlink" Target="http://www.linkedin.com/in/herv%c3%a9-noyon-11896b41" TargetMode="External"/><Relationship  Id="rId13538" Type="http://schemas.openxmlformats.org/officeDocument/2006/relationships/hyperlink" Target="http://www.domolandes.fr" TargetMode="External"/><Relationship  Id="rId13539" Type="http://schemas.openxmlformats.org/officeDocument/2006/relationships/hyperlink" Target="http://www.linkedin.com/in/lars-herbillon" TargetMode="External"/><Relationship  Id="rId1354" Type="http://schemas.openxmlformats.org/officeDocument/2006/relationships/hyperlink" Target="http://www.casadelmar.fr" TargetMode="External"/><Relationship  Id="rId13540" Type="http://schemas.openxmlformats.org/officeDocument/2006/relationships/hyperlink" Target="http://www.hoummi.com" TargetMode="External"/><Relationship  Id="rId13541" Type="http://schemas.openxmlformats.org/officeDocument/2006/relationships/hyperlink" Target="http://www.linkedin.com/in/gilbert-navarro" TargetMode="External"/><Relationship  Id="rId13542" Type="http://schemas.openxmlformats.org/officeDocument/2006/relationships/hyperlink" Target="http://www.therm-sanit.com" TargetMode="External"/><Relationship  Id="rId13543" Type="http://schemas.openxmlformats.org/officeDocument/2006/relationships/hyperlink" Target="http://www.linkedin.com/in/paulinebellec" TargetMode="External"/><Relationship  Id="rId13544" Type="http://schemas.openxmlformats.org/officeDocument/2006/relationships/hyperlink" Target="http://www.coat-ing.eu" TargetMode="External"/><Relationship  Id="rId13545" Type="http://schemas.openxmlformats.org/officeDocument/2006/relationships/hyperlink" Target="http://www.linkedin.com/in/mathieu-dumas-05874784" TargetMode="External"/><Relationship  Id="rId13546" Type="http://schemas.openxmlformats.org/officeDocument/2006/relationships/hyperlink" Target="http://www.groupe-crespy.fr" TargetMode="External"/><Relationship  Id="rId13547" Type="http://schemas.openxmlformats.org/officeDocument/2006/relationships/hyperlink" Target="http://www.linkedin.com/in/delphine-garcia-brian%c3%a7on-3b881248" TargetMode="External"/><Relationship  Id="rId13548" Type="http://schemas.openxmlformats.org/officeDocument/2006/relationships/hyperlink" Target="http://www.g2i.fr" TargetMode="External"/><Relationship  Id="rId13549" Type="http://schemas.openxmlformats.org/officeDocument/2006/relationships/hyperlink" Target="http://www.linkedin.com/in/s%c3%a9bastien-fernandes-979438b0" TargetMode="External"/><Relationship  Id="rId1355" Type="http://schemas.openxmlformats.org/officeDocument/2006/relationships/hyperlink" Target="http://www.linkedin.com/in/olivier-barbazza-67745891" TargetMode="External"/><Relationship  Id="rId13550" Type="http://schemas.openxmlformats.org/officeDocument/2006/relationships/hyperlink" Target="http://www.fernandesinox.com" TargetMode="External"/><Relationship  Id="rId13551" Type="http://schemas.openxmlformats.org/officeDocument/2006/relationships/hyperlink" Target="http://www.linkedin.com/in/st%c3%a9phanie-cayet-233a56138" TargetMode="External"/><Relationship  Id="rId13552" Type="http://schemas.openxmlformats.org/officeDocument/2006/relationships/hyperlink" Target="http://www.batinor.fr" TargetMode="External"/><Relationship  Id="rId13553" Type="http://schemas.openxmlformats.org/officeDocument/2006/relationships/hyperlink" Target="http://www.linkedin.com/in/tony-texandier-39b353110" TargetMode="External"/><Relationship  Id="rId13554" Type="http://schemas.openxmlformats.org/officeDocument/2006/relationships/hyperlink" Target="http://www.elaii.fr" TargetMode="External"/><Relationship  Id="rId13555" Type="http://schemas.openxmlformats.org/officeDocument/2006/relationships/hyperlink" Target="http://www.linkedin.com/in/christophe-ceccaldi-b07320135" TargetMode="External"/><Relationship  Id="rId13556" Type="http://schemas.openxmlformats.org/officeDocument/2006/relationships/hyperlink" Target="http://www.cemexa.eu" TargetMode="External"/><Relationship  Id="rId13557" Type="http://schemas.openxmlformats.org/officeDocument/2006/relationships/hyperlink" Target="http://www.linkedin.com/in/cl%c3%a9ment-parisset-a28a95112" TargetMode="External"/><Relationship  Id="rId13558" Type="http://schemas.openxmlformats.org/officeDocument/2006/relationships/hyperlink" Target="http://www.novactory.eu" TargetMode="External"/><Relationship  Id="rId13559" Type="http://schemas.openxmlformats.org/officeDocument/2006/relationships/hyperlink" Target="http://www.linkedin.com/in/florent-gallia-9b412867" TargetMode="External"/><Relationship  Id="rId1356" Type="http://schemas.openxmlformats.org/officeDocument/2006/relationships/hyperlink" Target="http://www.com-advisor.com" TargetMode="External"/><Relationship  Id="rId13560" Type="http://schemas.openxmlformats.org/officeDocument/2006/relationships/hyperlink" Target="http://www.gallia-btp.fr" TargetMode="External"/><Relationship  Id="rId13561" Type="http://schemas.openxmlformats.org/officeDocument/2006/relationships/hyperlink" Target="http://www.linkedin.com/in/patrice-rouzier-0623bb205" TargetMode="External"/><Relationship  Id="rId13562" Type="http://schemas.openxmlformats.org/officeDocument/2006/relationships/hyperlink" Target="http://www.linkedin.com/in/jean-charles-lebeau-34a34aa5" TargetMode="External"/><Relationship  Id="rId13563" Type="http://schemas.openxmlformats.org/officeDocument/2006/relationships/hyperlink" Target="http://www.linkedin.com/in/denis-aumis-846a67137" TargetMode="External"/><Relationship  Id="rId13564" Type="http://schemas.openxmlformats.org/officeDocument/2006/relationships/hyperlink" Target="http://www.localteams.io" TargetMode="External"/><Relationship  Id="rId13565" Type="http://schemas.openxmlformats.org/officeDocument/2006/relationships/hyperlink" Target="http://www.linkedin.com/in/herv%c3%a9bacqui%c3%a9" TargetMode="External"/><Relationship  Id="rId13566" Type="http://schemas.openxmlformats.org/officeDocument/2006/relationships/hyperlink" Target="http://www.srbi.fr" TargetMode="External"/><Relationship  Id="rId13567" Type="http://schemas.openxmlformats.org/officeDocument/2006/relationships/hyperlink" Target="http://www.linkedin.com/in/jeremy-attard-a628721a5" TargetMode="External"/><Relationship  Id="rId13568" Type="http://schemas.openxmlformats.org/officeDocument/2006/relationships/hyperlink" Target="http://www.linkedin.com/in/thibaut-latour-4084981" TargetMode="External"/><Relationship  Id="rId13569" Type="http://schemas.openxmlformats.org/officeDocument/2006/relationships/hyperlink" Target="http://www.agconcept.org" TargetMode="External"/><Relationship  Id="rId1357" Type="http://schemas.openxmlformats.org/officeDocument/2006/relationships/hyperlink" Target="http://www.linkedin.com/in/c%c3%a9line-falco-86913b5" TargetMode="External"/><Relationship  Id="rId13570" Type="http://schemas.openxmlformats.org/officeDocument/2006/relationships/hyperlink" Target="http://www.linkedin.com/in/vincent-jaume-84213443" TargetMode="External"/><Relationship  Id="rId13571" Type="http://schemas.openxmlformats.org/officeDocument/2006/relationships/hyperlink" Target="http://www.cemfluid.fr" TargetMode="External"/><Relationship  Id="rId13572" Type="http://schemas.openxmlformats.org/officeDocument/2006/relationships/hyperlink" Target="http://www.linkedin.com/in/nicolas-tilquin-33524563" TargetMode="External"/><Relationship  Id="rId13573" Type="http://schemas.openxmlformats.org/officeDocument/2006/relationships/hyperlink" Target="http://www.linkedin.com/in/rapha%c3%able-lehman-b87557a5" TargetMode="External"/><Relationship  Id="rId13574" Type="http://schemas.openxmlformats.org/officeDocument/2006/relationships/hyperlink" Target="http://www.linkedin.com/in/lo%c3%afc-mazieres-7575aa7b" TargetMode="External"/><Relationship  Id="rId13575" Type="http://schemas.openxmlformats.org/officeDocument/2006/relationships/hyperlink" Target="http://www.rouzes.com" TargetMode="External"/><Relationship  Id="rId13576" Type="http://schemas.openxmlformats.org/officeDocument/2006/relationships/hyperlink" Target="http://www.linkedin.com/in/michel-benard-b218ab15a" TargetMode="External"/><Relationship  Id="rId13577" Type="http://schemas.openxmlformats.org/officeDocument/2006/relationships/hyperlink" Target="http://www.linkedin.com/in/franck-thiebaut-george-07452114a" TargetMode="External"/><Relationship  Id="rId13578" Type="http://schemas.openxmlformats.org/officeDocument/2006/relationships/hyperlink" Target="http://www.linkedin.com/in/bernard-mariet-a9239640" TargetMode="External"/><Relationship  Id="rId13579" Type="http://schemas.openxmlformats.org/officeDocument/2006/relationships/hyperlink" Target="http://www.geprif.fr" TargetMode="External"/><Relationship  Id="rId1358" Type="http://schemas.openxmlformats.org/officeDocument/2006/relationships/hyperlink" Target="http://www.paris-inn-group.com" TargetMode="External"/><Relationship  Id="rId13580" Type="http://schemas.openxmlformats.org/officeDocument/2006/relationships/hyperlink" Target="http://www.linkedin.com/in/marc-birling-7b84a9121" TargetMode="External"/><Relationship  Id="rId13581" Type="http://schemas.openxmlformats.org/officeDocument/2006/relationships/hyperlink" Target="http://www.cbagroupe.fr" TargetMode="External"/><Relationship  Id="rId13582" Type="http://schemas.openxmlformats.org/officeDocument/2006/relationships/hyperlink" Target="http://www.linkedin.com/in/alain-pan%c3%a9-074b3586" TargetMode="External"/><Relationship  Id="rId13583" Type="http://schemas.openxmlformats.org/officeDocument/2006/relationships/hyperlink" Target="http://www.synthesart.fr" TargetMode="External"/><Relationship  Id="rId13584" Type="http://schemas.openxmlformats.org/officeDocument/2006/relationships/hyperlink" Target="http://www.linkedin.com/in/romain-gras-46240730" TargetMode="External"/><Relationship  Id="rId13585" Type="http://schemas.openxmlformats.org/officeDocument/2006/relationships/hyperlink" Target="http://www.linkedin.com/in/francois-duval-247731188" TargetMode="External"/><Relationship  Id="rId13586" Type="http://schemas.openxmlformats.org/officeDocument/2006/relationships/hyperlink" Target="http://www.maisons-du-val.fr" TargetMode="External"/><Relationship  Id="rId13587" Type="http://schemas.openxmlformats.org/officeDocument/2006/relationships/hyperlink" Target="http://www.linkedin.com/in/maksym-nikolayev-67572b74" TargetMode="External"/><Relationship  Id="rId13588" Type="http://schemas.openxmlformats.org/officeDocument/2006/relationships/hyperlink" Target="http://www.linkedin.com/in/alexandre-dufeutrelle-150b60165" TargetMode="External"/><Relationship  Id="rId13589" Type="http://schemas.openxmlformats.org/officeDocument/2006/relationships/hyperlink" Target="http://www.linkedin.com/in/herv%c3%a9-bechet-059ab2ba" TargetMode="External"/><Relationship  Id="rId1359" Type="http://schemas.openxmlformats.org/officeDocument/2006/relationships/hyperlink" Target="http://www.linkedin.com/in/vincent-vallee-6771526" TargetMode="External"/><Relationship  Id="rId13590" Type="http://schemas.openxmlformats.org/officeDocument/2006/relationships/hyperlink" Target="http://www.groupe-jardin.com" TargetMode="External"/><Relationship  Id="rId13591" Type="http://schemas.openxmlformats.org/officeDocument/2006/relationships/hyperlink" Target="http://www.linkedin.com/in/nicolas-courtin-60a8811" TargetMode="External"/><Relationship  Id="rId13592" Type="http://schemas.openxmlformats.org/officeDocument/2006/relationships/hyperlink" Target="http://www.cocreata.fr" TargetMode="External"/><Relationship  Id="rId13593" Type="http://schemas.openxmlformats.org/officeDocument/2006/relationships/hyperlink" Target="http://www.linkedin.com/in/didier-ast-1a657952" TargetMode="External"/><Relationship  Id="rId13594" Type="http://schemas.openxmlformats.org/officeDocument/2006/relationships/hyperlink" Target="http://www.vicat.fr" TargetMode="External"/><Relationship  Id="rId13595" Type="http://schemas.openxmlformats.org/officeDocument/2006/relationships/hyperlink" Target="http://www.linkedin.com/in/pierre-charles-dohm-b09a19101" TargetMode="External"/><Relationship  Id="rId13596" Type="http://schemas.openxmlformats.org/officeDocument/2006/relationships/hyperlink" Target="http://www.setea.fr" TargetMode="External"/><Relationship  Id="rId13597" Type="http://schemas.openxmlformats.org/officeDocument/2006/relationships/hyperlink" Target="http://www.linkedin.com/in/jean-christophe-rupp-85787224" TargetMode="External"/><Relationship  Id="rId13598" Type="http://schemas.openxmlformats.org/officeDocument/2006/relationships/hyperlink" Target="http://www.rezoprocess.fr" TargetMode="External"/><Relationship  Id="rId13599" Type="http://schemas.openxmlformats.org/officeDocument/2006/relationships/hyperlink" Target="http://www.linkedin.com/in/gilles-margerit-88905435" TargetMode="External"/><Relationship  Id="rId136" Type="http://schemas.openxmlformats.org/officeDocument/2006/relationships/hyperlink" Target="http://www.linkedin.com/in/louisjacquot" TargetMode="External"/><Relationship  Id="rId1360" Type="http://schemas.openxmlformats.org/officeDocument/2006/relationships/hyperlink" Target="http://www.bensdelights.fr" TargetMode="External"/><Relationship  Id="rId13600" Type="http://schemas.openxmlformats.org/officeDocument/2006/relationships/hyperlink" Target="http://www.sgdm-construction.com" TargetMode="External"/><Relationship  Id="rId13601" Type="http://schemas.openxmlformats.org/officeDocument/2006/relationships/hyperlink" Target="http://www.linkedin.com/in/c%c3%a9dric-pollin-30a12518" TargetMode="External"/><Relationship  Id="rId13602" Type="http://schemas.openxmlformats.org/officeDocument/2006/relationships/hyperlink" Target="http://www.vareo.fr" TargetMode="External"/><Relationship  Id="rId13603" Type="http://schemas.openxmlformats.org/officeDocument/2006/relationships/hyperlink" Target="http://www.linkedin.com/in/joseph-lo-iacono-8510b994" TargetMode="External"/><Relationship  Id="rId13604" Type="http://schemas.openxmlformats.org/officeDocument/2006/relationships/hyperlink" Target="http://www.compagnons-du-barroux.fr" TargetMode="External"/><Relationship  Id="rId13605" Type="http://schemas.openxmlformats.org/officeDocument/2006/relationships/hyperlink" Target="http://www.linkedin.com/in/lionel-streicher-36a5229b" TargetMode="External"/><Relationship  Id="rId13606" Type="http://schemas.openxmlformats.org/officeDocument/2006/relationships/hyperlink" Target="http://www.ks-amenagement.fr" TargetMode="External"/><Relationship  Id="rId13607" Type="http://schemas.openxmlformats.org/officeDocument/2006/relationships/hyperlink" Target="http://www.linkedin.com/in/edouardmoreaufr" TargetMode="External"/><Relationship  Id="rId13608" Type="http://schemas.openxmlformats.org/officeDocument/2006/relationships/hyperlink" Target="http://www.gea-bassin.com" TargetMode="External"/><Relationship  Id="rId13609" Type="http://schemas.openxmlformats.org/officeDocument/2006/relationships/hyperlink" Target="http://www.linkedin.com/in/richard-marnas" TargetMode="External"/><Relationship  Id="rId1361" Type="http://schemas.openxmlformats.org/officeDocument/2006/relationships/hyperlink" Target="http://www.linkedin.com/in/adrien-guillaume-56653b11" TargetMode="External"/><Relationship  Id="rId13610" Type="http://schemas.openxmlformats.org/officeDocument/2006/relationships/hyperlink" Target="http://www.agos-sas.com" TargetMode="External"/><Relationship  Id="rId13611" Type="http://schemas.openxmlformats.org/officeDocument/2006/relationships/hyperlink" Target="http://www.linkedin.com/in/jacques-clere-0269857b" TargetMode="External"/><Relationship  Id="rId13612" Type="http://schemas.openxmlformats.org/officeDocument/2006/relationships/hyperlink" Target="http://www.armory.bzh" TargetMode="External"/><Relationship  Id="rId13613" Type="http://schemas.openxmlformats.org/officeDocument/2006/relationships/hyperlink" Target="http://www.linkedin.com/in/romain-sigaut-680410150" TargetMode="External"/><Relationship  Id="rId13614" Type="http://schemas.openxmlformats.org/officeDocument/2006/relationships/hyperlink" Target="http://www.tecamver.fr" TargetMode="External"/><Relationship  Id="rId13615" Type="http://schemas.openxmlformats.org/officeDocument/2006/relationships/hyperlink" Target="http://www.linkedin.com/in/franck-hervochon-64b9904b" TargetMode="External"/><Relationship  Id="rId13616" Type="http://schemas.openxmlformats.org/officeDocument/2006/relationships/hyperlink" Target="http://www.bipa.fr" TargetMode="External"/><Relationship  Id="rId13617" Type="http://schemas.openxmlformats.org/officeDocument/2006/relationships/hyperlink" Target="http://www.linkedin.com/in/david-morlier-309909198" TargetMode="External"/><Relationship  Id="rId13618" Type="http://schemas.openxmlformats.org/officeDocument/2006/relationships/hyperlink" Target="http://www.www-bouchard-construction.fr" TargetMode="External"/><Relationship  Id="rId13619" Type="http://schemas.openxmlformats.org/officeDocument/2006/relationships/hyperlink" Target="http://www.linkedin.com/in/martin-amicel-6b344a208" TargetMode="External"/><Relationship  Id="rId1362" Type="http://schemas.openxmlformats.org/officeDocument/2006/relationships/hyperlink" Target="http://www.hospitali-t.eu" TargetMode="External"/><Relationship  Id="rId13620" Type="http://schemas.openxmlformats.org/officeDocument/2006/relationships/hyperlink" Target="http://www.hamon-molard.fr" TargetMode="External"/><Relationship  Id="rId13621" Type="http://schemas.openxmlformats.org/officeDocument/2006/relationships/hyperlink" Target="http://www.linkedin.com/in/franck-kanos-987105256" TargetMode="External"/><Relationship  Id="rId13622" Type="http://schemas.openxmlformats.org/officeDocument/2006/relationships/hyperlink" Target="http://www.kanos.fr" TargetMode="External"/><Relationship  Id="rId13623" Type="http://schemas.openxmlformats.org/officeDocument/2006/relationships/hyperlink" Target="http://www.linkedin.com/in/morad-guechi-81ba74284" TargetMode="External"/><Relationship  Id="rId13624" Type="http://schemas.openxmlformats.org/officeDocument/2006/relationships/hyperlink" Target="http://www.linkedin.com/in/alexandre-gojkovic-811486b4" TargetMode="External"/><Relationship  Id="rId13625" Type="http://schemas.openxmlformats.org/officeDocument/2006/relationships/hyperlink" Target="http://www.linkedin.com/in/j%c3%a9r%c3%b4me-cazaban-821a15164" TargetMode="External"/><Relationship  Id="rId13626" Type="http://schemas.openxmlformats.org/officeDocument/2006/relationships/hyperlink" Target="http://www.desneux-tp.fr" TargetMode="External"/><Relationship  Id="rId13627" Type="http://schemas.openxmlformats.org/officeDocument/2006/relationships/hyperlink" Target="http://www.linkedin.com/in/pascal-giambino-63836618b" TargetMode="External"/><Relationship  Id="rId13628" Type="http://schemas.openxmlformats.org/officeDocument/2006/relationships/hyperlink" Target="http://www.linkedin.com/in/arnaud-pina-5a95b8124" TargetMode="External"/><Relationship  Id="rId13629" Type="http://schemas.openxmlformats.org/officeDocument/2006/relationships/hyperlink" Target="http://www.parouteau.fr" TargetMode="External"/><Relationship  Id="rId1363" Type="http://schemas.openxmlformats.org/officeDocument/2006/relationships/hyperlink" Target="http://www.linkedin.com/in/mathieu-pastorini-80501a19a" TargetMode="External"/><Relationship  Id="rId13630" Type="http://schemas.openxmlformats.org/officeDocument/2006/relationships/hyperlink" Target="http://www.linkedin.com/in/alain-serre-86169a207" TargetMode="External"/><Relationship  Id="rId13631" Type="http://schemas.openxmlformats.org/officeDocument/2006/relationships/hyperlink" Target="http://www.sud-renovation.fr" TargetMode="External"/><Relationship  Id="rId13632" Type="http://schemas.openxmlformats.org/officeDocument/2006/relationships/hyperlink" Target="http://www.linkedin.com/in/bernard-napoleone-61076956" TargetMode="External"/><Relationship  Id="rId13633" Type="http://schemas.openxmlformats.org/officeDocument/2006/relationships/hyperlink" Target="http://www.facades-sud-ouest.fr" TargetMode="External"/><Relationship  Id="rId13634" Type="http://schemas.openxmlformats.org/officeDocument/2006/relationships/hyperlink" Target="http://www.linkedin.com/in/manuel-fernandes-b916a2a8" TargetMode="External"/><Relationship  Id="rId13635" Type="http://schemas.openxmlformats.org/officeDocument/2006/relationships/hyperlink" Target="http://www.techniresine.fr" TargetMode="External"/><Relationship  Id="rId13636" Type="http://schemas.openxmlformats.org/officeDocument/2006/relationships/hyperlink" Target="http://www.linkedin.com/in/pierre-sahuc-1140a384" TargetMode="External"/><Relationship  Id="rId13637" Type="http://schemas.openxmlformats.org/officeDocument/2006/relationships/hyperlink" Target="http://www.groupesmb.fr" TargetMode="External"/><Relationship  Id="rId13638" Type="http://schemas.openxmlformats.org/officeDocument/2006/relationships/hyperlink" Target="http://www.linkedin.com/in/mr-fantina-thierry-66982b111" TargetMode="External"/><Relationship  Id="rId13639" Type="http://schemas.openxmlformats.org/officeDocument/2006/relationships/hyperlink" Target="http://www.silos-gillouaye.com" TargetMode="External"/><Relationship  Id="rId1364" Type="http://schemas.openxmlformats.org/officeDocument/2006/relationships/hyperlink" Target="http://www.groupesatori.com" TargetMode="External"/><Relationship  Id="rId13640" Type="http://schemas.openxmlformats.org/officeDocument/2006/relationships/hyperlink" Target="http://www.linkedin.com/in/stephane-portier-133732112" TargetMode="External"/><Relationship  Id="rId13641" Type="http://schemas.openxmlformats.org/officeDocument/2006/relationships/hyperlink" Target="http://www.smbipromotion.fr" TargetMode="External"/><Relationship  Id="rId13642" Type="http://schemas.openxmlformats.org/officeDocument/2006/relationships/hyperlink" Target="http://www.linkedin.com/in/fr%c3%a9d%c3%a9ric-lapellegerie-02b13263" TargetMode="External"/><Relationship  Id="rId13643" Type="http://schemas.openxmlformats.org/officeDocument/2006/relationships/hyperlink" Target="http://www.stella.group" TargetMode="External"/><Relationship  Id="rId13644" Type="http://schemas.openxmlformats.org/officeDocument/2006/relationships/hyperlink" Target="http://www.linkedin.com/in/neb-radovanovic-5862aa37" TargetMode="External"/><Relationship  Id="rId13645" Type="http://schemas.openxmlformats.org/officeDocument/2006/relationships/hyperlink" Target="http://www.n-e-b.fr" TargetMode="External"/><Relationship  Id="rId13646" Type="http://schemas.openxmlformats.org/officeDocument/2006/relationships/hyperlink" Target="http://www.linkedin.com/in/g%c3%b6khan-toprakkala-29598594" TargetMode="External"/><Relationship  Id="rId13647" Type="http://schemas.openxmlformats.org/officeDocument/2006/relationships/hyperlink" Target="http://www.lte-construction.fr" TargetMode="External"/><Relationship  Id="rId13648" Type="http://schemas.openxmlformats.org/officeDocument/2006/relationships/hyperlink" Target="http://www.linkedin.com/in/thomas-donati-3aa4b124" TargetMode="External"/><Relationship  Id="rId13649" Type="http://schemas.openxmlformats.org/officeDocument/2006/relationships/hyperlink" Target="http://www.steuer.group" TargetMode="External"/><Relationship  Id="rId1365" Type="http://schemas.openxmlformats.org/officeDocument/2006/relationships/hyperlink" Target="http://www.linkedin.com/in/patrick-el-khoury-0b05443b" TargetMode="External"/><Relationship  Id="rId13650" Type="http://schemas.openxmlformats.org/officeDocument/2006/relationships/hyperlink" Target="http://www.linkedin.com/in/bastien-lissague-0a0898113" TargetMode="External"/><Relationship  Id="rId13651" Type="http://schemas.openxmlformats.org/officeDocument/2006/relationships/hyperlink" Target="http://www.biom64.fr" TargetMode="External"/><Relationship  Id="rId13652" Type="http://schemas.openxmlformats.org/officeDocument/2006/relationships/hyperlink" Target="http://www.linkedin.com/in/gr%c3%a9gory-tiquet-b77174140" TargetMode="External"/><Relationship  Id="rId13653" Type="http://schemas.openxmlformats.org/officeDocument/2006/relationships/hyperlink" Target="http://www.tiquet.fr" TargetMode="External"/><Relationship  Id="rId13654" Type="http://schemas.openxmlformats.org/officeDocument/2006/relationships/hyperlink" Target="http://www.linkedin.com/in/jacques-yves-fraignac-2b57755" TargetMode="External"/><Relationship  Id="rId13655" Type="http://schemas.openxmlformats.org/officeDocument/2006/relationships/hyperlink" Target="http://www.fougeres-joseph.com" TargetMode="External"/><Relationship  Id="rId13656" Type="http://schemas.openxmlformats.org/officeDocument/2006/relationships/hyperlink" Target="http://www.linkedin.com/in/emmanuel-valenti-323b4238" TargetMode="External"/><Relationship  Id="rId13657" Type="http://schemas.openxmlformats.org/officeDocument/2006/relationships/hyperlink" Target="http://www.linkedin.com/in/matthieu-thomas-9390b6150" TargetMode="External"/><Relationship  Id="rId13658" Type="http://schemas.openxmlformats.org/officeDocument/2006/relationships/hyperlink" Target="http://www.ec-be.fr" TargetMode="External"/><Relationship  Id="rId13659" Type="http://schemas.openxmlformats.org/officeDocument/2006/relationships/hyperlink" Target="http://www.linkedin.com/in/ludwig-valliemin-745a00a8" TargetMode="External"/><Relationship  Id="rId1366" Type="http://schemas.openxmlformats.org/officeDocument/2006/relationships/hyperlink" Target="http://www.malaboom.com" TargetMode="External"/><Relationship  Id="rId13660" Type="http://schemas.openxmlformats.org/officeDocument/2006/relationships/hyperlink" Target="http://www.boutillet.fr" TargetMode="External"/><Relationship  Id="rId13661" Type="http://schemas.openxmlformats.org/officeDocument/2006/relationships/hyperlink" Target="http://www.linkedin.com/in/r%c3%a9gis-darrieumerlou-304b2861" TargetMode="External"/><Relationship  Id="rId13662" Type="http://schemas.openxmlformats.org/officeDocument/2006/relationships/hyperlink" Target="http://www.linkedin.com/in/pascal-tessier-a25391119" TargetMode="External"/><Relationship  Id="rId13663" Type="http://schemas.openxmlformats.org/officeDocument/2006/relationships/hyperlink" Target="http://www.bgcv-recrute.fr" TargetMode="External"/><Relationship  Id="rId13664" Type="http://schemas.openxmlformats.org/officeDocument/2006/relationships/hyperlink" Target="http://www.linkedin.com/in/thomasdelahaye" TargetMode="External"/><Relationship  Id="rId13665" Type="http://schemas.openxmlformats.org/officeDocument/2006/relationships/hyperlink" Target="http://www.bati85.com" TargetMode="External"/><Relationship  Id="rId13666" Type="http://schemas.openxmlformats.org/officeDocument/2006/relationships/hyperlink" Target="http://www.linkedin.com/in/olivier-labbe-capdc" TargetMode="External"/><Relationship  Id="rId13667" Type="http://schemas.openxmlformats.org/officeDocument/2006/relationships/hyperlink" Target="http://www.cap-dc.com" TargetMode="External"/><Relationship  Id="rId13668" Type="http://schemas.openxmlformats.org/officeDocument/2006/relationships/hyperlink" Target="http://www.linkedin.com/in/aly-adham-a2175385" TargetMode="External"/><Relationship  Id="rId13669" Type="http://schemas.openxmlformats.org/officeDocument/2006/relationships/hyperlink" Target="http://www.isosign.fr" TargetMode="External"/><Relationship  Id="rId1367" Type="http://schemas.openxmlformats.org/officeDocument/2006/relationships/hyperlink" Target="http://www.linkedin.com/in/ziyadbachalany" TargetMode="External"/><Relationship  Id="rId13670" Type="http://schemas.openxmlformats.org/officeDocument/2006/relationships/hyperlink" Target="http://www.linkedin.com/in/olivier-nougaret-48497349" TargetMode="External"/><Relationship  Id="rId13671" Type="http://schemas.openxmlformats.org/officeDocument/2006/relationships/hyperlink" Target="http://www.jpscontrole.biz" TargetMode="External"/><Relationship  Id="rId13672" Type="http://schemas.openxmlformats.org/officeDocument/2006/relationships/hyperlink" Target="http://www.linkedin.com/in/jean-claude-penin-25229b25" TargetMode="External"/><Relationship  Id="rId13673" Type="http://schemas.openxmlformats.org/officeDocument/2006/relationships/hyperlink" Target="http://www.citec-portesautomatiques.fr" TargetMode="External"/><Relationship  Id="rId13674" Type="http://schemas.openxmlformats.org/officeDocument/2006/relationships/hyperlink" Target="http://www.linkedin.com/in/david-bosch-88a679111" TargetMode="External"/><Relationship  Id="rId13675" Type="http://schemas.openxmlformats.org/officeDocument/2006/relationships/hyperlink" Target="http://www.sdcc.fr" TargetMode="External"/><Relationship  Id="rId13676" Type="http://schemas.openxmlformats.org/officeDocument/2006/relationships/hyperlink" Target="http://www.linkedin.com/in/fabrice-bardol-a674b3132" TargetMode="External"/><Relationship  Id="rId13677" Type="http://schemas.openxmlformats.org/officeDocument/2006/relationships/hyperlink" Target="http://www.gcdh.fr" TargetMode="External"/><Relationship  Id="rId13678" Type="http://schemas.openxmlformats.org/officeDocument/2006/relationships/hyperlink" Target="http://www.linkedin.com/in/evy-symoen-a820aa7" TargetMode="External"/><Relationship  Id="rId13679" Type="http://schemas.openxmlformats.org/officeDocument/2006/relationships/hyperlink" Target="http://www.traconord.fr" TargetMode="External"/><Relationship  Id="rId1368" Type="http://schemas.openxmlformats.org/officeDocument/2006/relationships/hyperlink" Target="http://www.libshop.fr" TargetMode="External"/><Relationship  Id="rId13680" Type="http://schemas.openxmlformats.org/officeDocument/2006/relationships/hyperlink" Target="http://www.linkedin.com/in/ivana-frassanito" TargetMode="External"/><Relationship  Id="rId13681" Type="http://schemas.openxmlformats.org/officeDocument/2006/relationships/hyperlink" Target="http://www.untitledcompany.fr" TargetMode="External"/><Relationship  Id="rId13682" Type="http://schemas.openxmlformats.org/officeDocument/2006/relationships/hyperlink" Target="http://www.linkedin.com/in/st%c3%a9phanie-bouisset" TargetMode="External"/><Relationship  Id="rId13683" Type="http://schemas.openxmlformats.org/officeDocument/2006/relationships/hyperlink" Target="http://www.arkal.fr" TargetMode="External"/><Relationship  Id="rId13684" Type="http://schemas.openxmlformats.org/officeDocument/2006/relationships/hyperlink" Target="http://www.linkedin.com/in/xavier-delforge-8b929096" TargetMode="External"/><Relationship  Id="rId13685" Type="http://schemas.openxmlformats.org/officeDocument/2006/relationships/hyperlink" Target="http://www.nuuk-group.com" TargetMode="External"/><Relationship  Id="rId13686" Type="http://schemas.openxmlformats.org/officeDocument/2006/relationships/hyperlink" Target="http://www.linkedin.com/in/pierre-mussel-2653947b" TargetMode="External"/><Relationship  Id="rId13687" Type="http://schemas.openxmlformats.org/officeDocument/2006/relationships/hyperlink" Target="http://www.carniel-sonaplast.fr" TargetMode="External"/><Relationship  Id="rId13688" Type="http://schemas.openxmlformats.org/officeDocument/2006/relationships/hyperlink" Target="http://www.linkedin.com/in/musa-isik-429a35125" TargetMode="External"/><Relationship  Id="rId13689" Type="http://schemas.openxmlformats.org/officeDocument/2006/relationships/hyperlink" Target="http://www.2mconstruction.fr" TargetMode="External"/><Relationship  Id="rId1369" Type="http://schemas.openxmlformats.org/officeDocument/2006/relationships/hyperlink" Target="http://www.linkedin.com/in/boris-crey-175aa18" TargetMode="External"/><Relationship  Id="rId13690" Type="http://schemas.openxmlformats.org/officeDocument/2006/relationships/hyperlink" Target="http://www.linkedin.com/in/benjamin-berger-2a0679b6" TargetMode="External"/><Relationship  Id="rId13691" Type="http://schemas.openxmlformats.org/officeDocument/2006/relationships/hyperlink" Target="http://www.linkedin.com/in/emmanuel-chambreuil-48a790161" TargetMode="External"/><Relationship  Id="rId13692" Type="http://schemas.openxmlformats.org/officeDocument/2006/relationships/hyperlink" Target="http://www.groupe-metalpe.com" TargetMode="External"/><Relationship  Id="rId13693" Type="http://schemas.openxmlformats.org/officeDocument/2006/relationships/hyperlink" Target="http://www.linkedin.com/in/constancedebatz" TargetMode="External"/><Relationship  Id="rId13694" Type="http://schemas.openxmlformats.org/officeDocument/2006/relationships/hyperlink" Target="http://www.mbacity.com" TargetMode="External"/><Relationship  Id="rId13695" Type="http://schemas.openxmlformats.org/officeDocument/2006/relationships/hyperlink" Target="http://www.linkedin.com/in/marc-laplace-497285b5" TargetMode="External"/><Relationship  Id="rId13696" Type="http://schemas.openxmlformats.org/officeDocument/2006/relationships/hyperlink" Target="http://www.linkedin.com/in/eric-buffin-212868173" TargetMode="External"/><Relationship  Id="rId13697" Type="http://schemas.openxmlformats.org/officeDocument/2006/relationships/hyperlink" Target="http://www.linkedin.com/in/stephansavarese" TargetMode="External"/><Relationship  Id="rId13698" Type="http://schemas.openxmlformats.org/officeDocument/2006/relationships/hyperlink" Target="http://www.linkedin.com/in/denis-pelissier-328971131" TargetMode="External"/><Relationship  Id="rId13699" Type="http://schemas.openxmlformats.org/officeDocument/2006/relationships/hyperlink" Target="http://www.linkedin.com/in/herv%c3%a9-gaillard-340b7419" TargetMode="External"/><Relationship  Id="rId137" Type="http://schemas.openxmlformats.org/officeDocument/2006/relationships/hyperlink" Target="http://www.lescuistotsmigrateurs.com" TargetMode="External"/><Relationship  Id="rId1370" Type="http://schemas.openxmlformats.org/officeDocument/2006/relationships/hyperlink" Target="http://www.linkedin.com/in/pierre-yves-mercury-b197363b" TargetMode="External"/><Relationship  Id="rId13700" Type="http://schemas.openxmlformats.org/officeDocument/2006/relationships/hyperlink" Target="http://www.eppygroup.fr" TargetMode="External"/><Relationship  Id="rId13701" Type="http://schemas.openxmlformats.org/officeDocument/2006/relationships/hyperlink" Target="http://www.linkedin.com/in/jean-marc-kornacker-59a277109" TargetMode="External"/><Relationship  Id="rId13702" Type="http://schemas.openxmlformats.org/officeDocument/2006/relationships/hyperlink" Target="http://www.linkedin.com/in/benjamin-thiriot-41ba35113" TargetMode="External"/><Relationship  Id="rId13703" Type="http://schemas.openxmlformats.org/officeDocument/2006/relationships/hyperlink" Target="http://www.saintrochbtp.fr" TargetMode="External"/><Relationship  Id="rId13704" Type="http://schemas.openxmlformats.org/officeDocument/2006/relationships/hyperlink" Target="http://www.linkedin.com/in/eliahou-sadoun-26b0a048" TargetMode="External"/><Relationship  Id="rId13705" Type="http://schemas.openxmlformats.org/officeDocument/2006/relationships/hyperlink" Target="http://www.linkedin.com/in/florent-royet-6682231b0" TargetMode="External"/><Relationship  Id="rId13706" Type="http://schemas.openxmlformats.org/officeDocument/2006/relationships/hyperlink" Target="http://www.maconnerie-royet.fr" TargetMode="External"/><Relationship  Id="rId13707" Type="http://schemas.openxmlformats.org/officeDocument/2006/relationships/hyperlink" Target="http://www.linkedin.com/in/farid-belhouchat-63ab7148" TargetMode="External"/><Relationship  Id="rId13708" Type="http://schemas.openxmlformats.org/officeDocument/2006/relationships/hyperlink" Target="http://www.ede-ingenierie.com" TargetMode="External"/><Relationship  Id="rId13709" Type="http://schemas.openxmlformats.org/officeDocument/2006/relationships/hyperlink" Target="http://www.linkedin.com/in/melvyn-bonhomme-7540bb72" TargetMode="External"/><Relationship  Id="rId1371" Type="http://schemas.openxmlformats.org/officeDocument/2006/relationships/hyperlink" Target="http://www.kyosushi.com" TargetMode="External"/><Relationship  Id="rId13710" Type="http://schemas.openxmlformats.org/officeDocument/2006/relationships/hyperlink" Target="http://www.bonhomme-groupe.com" TargetMode="External"/><Relationship  Id="rId13711" Type="http://schemas.openxmlformats.org/officeDocument/2006/relationships/hyperlink" Target="http://www.linkedin.com/in/anthony-fr%c3%a9nois-034312123" TargetMode="External"/><Relationship  Id="rId13712" Type="http://schemas.openxmlformats.org/officeDocument/2006/relationships/hyperlink" Target="http://www.linkedin.com/in/serhat-karatas-aba52911b" TargetMode="External"/><Relationship  Id="rId13713" Type="http://schemas.openxmlformats.org/officeDocument/2006/relationships/hyperlink" Target="http://www.ravalsa.fr" TargetMode="External"/><Relationship  Id="rId13714" Type="http://schemas.openxmlformats.org/officeDocument/2006/relationships/hyperlink" Target="http://www.linkedin.com/in/ingrid-th%c3%a9bert" TargetMode="External"/><Relationship  Id="rId13715" Type="http://schemas.openxmlformats.org/officeDocument/2006/relationships/hyperlink" Target="http://www.gebconstruction.fr" TargetMode="External"/><Relationship  Id="rId13716" Type="http://schemas.openxmlformats.org/officeDocument/2006/relationships/hyperlink" Target="http://www.linkedin.com/in/marion-court-222a8719" TargetMode="External"/><Relationship  Id="rId13717" Type="http://schemas.openxmlformats.org/officeDocument/2006/relationships/hyperlink" Target="http://www.ctpcoffrage.com" TargetMode="External"/><Relationship  Id="rId13718" Type="http://schemas.openxmlformats.org/officeDocument/2006/relationships/hyperlink" Target="http://www.linkedin.com/in/patrick-sauvinet-440a6181" TargetMode="External"/><Relationship  Id="rId13719" Type="http://schemas.openxmlformats.org/officeDocument/2006/relationships/hyperlink" Target="http://www.linkedin.com/in/michael-duvivier-5b4b76166" TargetMode="External"/><Relationship  Id="rId1372" Type="http://schemas.openxmlformats.org/officeDocument/2006/relationships/hyperlink" Target="http://www.linkedin.com/in/serge-duriavig-1b6a7057" TargetMode="External"/><Relationship  Id="rId13720" Type="http://schemas.openxmlformats.org/officeDocument/2006/relationships/hyperlink" Target="http://www.linkedin.com/in/val%c3%a9rie-desveaux-52729418" TargetMode="External"/><Relationship  Id="rId13721" Type="http://schemas.openxmlformats.org/officeDocument/2006/relationships/hyperlink" Target="http://www.atlantic-sols.fr" TargetMode="External"/><Relationship  Id="rId13722" Type="http://schemas.openxmlformats.org/officeDocument/2006/relationships/hyperlink" Target="http://www.linkedin.com/in/j%c3%a9r%c3%b4me-papet-b4232163" TargetMode="External"/><Relationship  Id="rId13723" Type="http://schemas.openxmlformats.org/officeDocument/2006/relationships/hyperlink" Target="http://www.menuiseriepapet.com" TargetMode="External"/><Relationship  Id="rId13724" Type="http://schemas.openxmlformats.org/officeDocument/2006/relationships/hyperlink" Target="http://www.linkedin.com/in/fabien-bouvet-28b9a5293" TargetMode="External"/><Relationship  Id="rId13725" Type="http://schemas.openxmlformats.org/officeDocument/2006/relationships/hyperlink" Target="http://www.pvcalu-creation.fr" TargetMode="External"/><Relationship  Id="rId13726" Type="http://schemas.openxmlformats.org/officeDocument/2006/relationships/hyperlink" Target="http://www.linkedin.com/in/erwan-bihel-166020a7" TargetMode="External"/><Relationship  Id="rId13727" Type="http://schemas.openxmlformats.org/officeDocument/2006/relationships/hyperlink" Target="http://www.linkedin.com/in/mathias-boutier-34b2625a" TargetMode="External"/><Relationship  Id="rId13728" Type="http://schemas.openxmlformats.org/officeDocument/2006/relationships/hyperlink" Target="http://www.aglo.ai" TargetMode="External"/><Relationship  Id="rId13729" Type="http://schemas.openxmlformats.org/officeDocument/2006/relationships/hyperlink" Target="http://www.linkedin.com/in/gualbert-ongolo-699857110" TargetMode="External"/><Relationship  Id="rId1373" Type="http://schemas.openxmlformats.org/officeDocument/2006/relationships/hyperlink" Target="http://www.lasource.store" TargetMode="External"/><Relationship  Id="rId13730" Type="http://schemas.openxmlformats.org/officeDocument/2006/relationships/hyperlink" Target="http://www.safechaf.com" TargetMode="External"/><Relationship  Id="rId13731" Type="http://schemas.openxmlformats.org/officeDocument/2006/relationships/hyperlink" Target="http://www.linkedin.com/in/gaine-staff-flocage-coupe-feu" TargetMode="External"/><Relationship  Id="rId13732" Type="http://schemas.openxmlformats.org/officeDocument/2006/relationships/hyperlink" Target="http://www.extha.fr" TargetMode="External"/><Relationship  Id="rId13733" Type="http://schemas.openxmlformats.org/officeDocument/2006/relationships/hyperlink" Target="http://www.linkedin.com/in/nicolas-dissernio" TargetMode="External"/><Relationship  Id="rId13734" Type="http://schemas.openxmlformats.org/officeDocument/2006/relationships/hyperlink" Target="http://www.captainsolar.fr" TargetMode="External"/><Relationship  Id="rId13735" Type="http://schemas.openxmlformats.org/officeDocument/2006/relationships/hyperlink" Target="http://www.linkedin.com/in/cyrilpoinsot44" TargetMode="External"/><Relationship  Id="rId13736" Type="http://schemas.openxmlformats.org/officeDocument/2006/relationships/hyperlink" Target="http://www.serrurerie-lemaitre-nantes.fr" TargetMode="External"/><Relationship  Id="rId13737" Type="http://schemas.openxmlformats.org/officeDocument/2006/relationships/hyperlink" Target="http://www.linkedin.com/in/jean-philippe-chateigner-340b16129" TargetMode="External"/><Relationship  Id="rId13738" Type="http://schemas.openxmlformats.org/officeDocument/2006/relationships/hyperlink" Target="http://www.atlas-promotion.com" TargetMode="External"/><Relationship  Id="rId13739" Type="http://schemas.openxmlformats.org/officeDocument/2006/relationships/hyperlink" Target="http://www.linkedin.com/in/herv%c3%a9-pel%c3%a9-00951aa7" TargetMode="External"/><Relationship  Id="rId1374" Type="http://schemas.openxmlformats.org/officeDocument/2006/relationships/hyperlink" Target="http://www.linkedin.com/in/martin-hurst-b411663" TargetMode="External"/><Relationship  Id="rId13740" Type="http://schemas.openxmlformats.org/officeDocument/2006/relationships/hyperlink" Target="http://www.vitel.fr" TargetMode="External"/><Relationship  Id="rId13741" Type="http://schemas.openxmlformats.org/officeDocument/2006/relationships/hyperlink" Target="http://www.linkedin.com/in/fr%c3%a9d%c3%a9ric-marny-81623873" TargetMode="External"/><Relationship  Id="rId13742" Type="http://schemas.openxmlformats.org/officeDocument/2006/relationships/hyperlink" Target="http://www.avb-innovations.fr" TargetMode="External"/><Relationship  Id="rId13743" Type="http://schemas.openxmlformats.org/officeDocument/2006/relationships/hyperlink" Target="http://www.linkedin.com/in/arnaud-slezak-518b24b2" TargetMode="External"/><Relationship  Id="rId13744" Type="http://schemas.openxmlformats.org/officeDocument/2006/relationships/hyperlink" Target="http://www.linkedin.com/in/clement-de-kergorlay-ba927a37" TargetMode="External"/><Relationship  Id="rId13745" Type="http://schemas.openxmlformats.org/officeDocument/2006/relationships/hyperlink" Target="http://www.linkedin.com/in/david-naccache-a25a989a" TargetMode="External"/><Relationship  Id="rId13746" Type="http://schemas.openxmlformats.org/officeDocument/2006/relationships/hyperlink" Target="http://www.groupeverlaine.com" TargetMode="External"/><Relationship  Id="rId13747" Type="http://schemas.openxmlformats.org/officeDocument/2006/relationships/hyperlink" Target="http://www.linkedin.com/in/olivier-flatres-96265162" TargetMode="External"/><Relationship  Id="rId13748" Type="http://schemas.openxmlformats.org/officeDocument/2006/relationships/hyperlink" Target="http://www.lamotte-maisons-individuelles.fr" TargetMode="External"/><Relationship  Id="rId13749" Type="http://schemas.openxmlformats.org/officeDocument/2006/relationships/hyperlink" Target="http://www.linkedin.com/in/cl%c3%a9ment-giudicelli-19ab78b4" TargetMode="External"/><Relationship  Id="rId1375" Type="http://schemas.openxmlformats.org/officeDocument/2006/relationships/hyperlink" Target="http://www.linkedin.com/in/jean-laherrere" TargetMode="External"/><Relationship  Id="rId13750" Type="http://schemas.openxmlformats.org/officeDocument/2006/relationships/hyperlink" Target="http://www.greennest.fr" TargetMode="External"/><Relationship  Id="rId13751" Type="http://schemas.openxmlformats.org/officeDocument/2006/relationships/hyperlink" Target="http://www.linkedin.com/in/renaud-erpeldinger-1480ba18" TargetMode="External"/><Relationship  Id="rId13752" Type="http://schemas.openxmlformats.org/officeDocument/2006/relationships/hyperlink" Target="http://www.hydro-therm.fr" TargetMode="External"/><Relationship  Id="rId13753" Type="http://schemas.openxmlformats.org/officeDocument/2006/relationships/hyperlink" Target="http://www.linkedin.com/in/fr%c3%a9d%c3%a9ric-joffre-55238699" TargetMode="External"/><Relationship  Id="rId13754" Type="http://schemas.openxmlformats.org/officeDocument/2006/relationships/hyperlink" Target="http://www.tecsol-antilles-guyane.fr" TargetMode="External"/><Relationship  Id="rId13755" Type="http://schemas.openxmlformats.org/officeDocument/2006/relationships/hyperlink" Target="http://www.linkedin.com/in/alexandredufrenne" TargetMode="External"/><Relationship  Id="rId13756" Type="http://schemas.openxmlformats.org/officeDocument/2006/relationships/hyperlink" Target="http://www.regoods.eco" TargetMode="External"/><Relationship  Id="rId13757" Type="http://schemas.openxmlformats.org/officeDocument/2006/relationships/hyperlink" Target="http://www.linkedin.com/in/kelly-boukobza-962263a5" TargetMode="External"/><Relationship  Id="rId13758" Type="http://schemas.openxmlformats.org/officeDocument/2006/relationships/hyperlink" Target="http://www.kyarchitecture.fr" TargetMode="External"/><Relationship  Id="rId13759" Type="http://schemas.openxmlformats.org/officeDocument/2006/relationships/hyperlink" Target="http://www.linkedin.com/in/juliette-dos-santos-1482578b" TargetMode="External"/><Relationship  Id="rId1376" Type="http://schemas.openxmlformats.org/officeDocument/2006/relationships/hyperlink" Target="http://www.rmd-technologies.com" TargetMode="External"/><Relationship  Id="rId13760" Type="http://schemas.openxmlformats.org/officeDocument/2006/relationships/hyperlink" Target="http://www.groupedsa.fr" TargetMode="External"/><Relationship  Id="rId13761" Type="http://schemas.openxmlformats.org/officeDocument/2006/relationships/hyperlink" Target="http://www.linkedin.com/in/gabriel-perard" TargetMode="External"/><Relationship  Id="rId13762" Type="http://schemas.openxmlformats.org/officeDocument/2006/relationships/hyperlink" Target="http://www.shm-metal.com" TargetMode="External"/><Relationship  Id="rId13763" Type="http://schemas.openxmlformats.org/officeDocument/2006/relationships/hyperlink" Target="http://www.linkedin.com/in/arnaud-biwer-27b95187" TargetMode="External"/><Relationship  Id="rId13764" Type="http://schemas.openxmlformats.org/officeDocument/2006/relationships/hyperlink" Target="http://www.caty-peinture.fr" TargetMode="External"/><Relationship  Id="rId13765" Type="http://schemas.openxmlformats.org/officeDocument/2006/relationships/hyperlink" Target="http://www.linkedin.com/in/rami-younes-27b590141" TargetMode="External"/><Relationship  Id="rId13766" Type="http://schemas.openxmlformats.org/officeDocument/2006/relationships/hyperlink" Target="http://www.heris-construction.fr" TargetMode="External"/><Relationship  Id="rId13767" Type="http://schemas.openxmlformats.org/officeDocument/2006/relationships/hyperlink" Target="http://www.linkedin.com/in/sylvie-monai-1432a6180" TargetMode="External"/><Relationship  Id="rId13768" Type="http://schemas.openxmlformats.org/officeDocument/2006/relationships/hyperlink" Target="http://www.novimo.eu" TargetMode="External"/><Relationship  Id="rId13769" Type="http://schemas.openxmlformats.org/officeDocument/2006/relationships/hyperlink" Target="http://www.linkedin.com/in/cyril-peauger-baab0165" TargetMode="External"/><Relationship  Id="rId1377" Type="http://schemas.openxmlformats.org/officeDocument/2006/relationships/hyperlink" Target="http://www.linkedin.com/in/anselme-blayney-9a0bb210" TargetMode="External"/><Relationship  Id="rId13770" Type="http://schemas.openxmlformats.org/officeDocument/2006/relationships/hyperlink" Target="http://www.feralu.fr" TargetMode="External"/><Relationship  Id="rId13771" Type="http://schemas.openxmlformats.org/officeDocument/2006/relationships/hyperlink" Target="http://www.linkedin.com/in/alain-bizet-79b67b2a3" TargetMode="External"/><Relationship  Id="rId13772" Type="http://schemas.openxmlformats.org/officeDocument/2006/relationships/hyperlink" Target="http://www.f-elec.eu" TargetMode="External"/><Relationship  Id="rId13773" Type="http://schemas.openxmlformats.org/officeDocument/2006/relationships/hyperlink" Target="http://www.linkedin.com/in/senay-yavuz-a38b86169" TargetMode="External"/><Relationship  Id="rId13774" Type="http://schemas.openxmlformats.org/officeDocument/2006/relationships/hyperlink" Target="http://www.azmetal.fr" TargetMode="External"/><Relationship  Id="rId13775" Type="http://schemas.openxmlformats.org/officeDocument/2006/relationships/hyperlink" Target="http://www.linkedin.com/in/philippe-dreyfus-958a7a7a" TargetMode="External"/><Relationship  Id="rId13776" Type="http://schemas.openxmlformats.org/officeDocument/2006/relationships/hyperlink" Target="http://www.linkedin.com/in/st%c3%a9phane-jolibois-845192161" TargetMode="External"/><Relationship  Id="rId13777" Type="http://schemas.openxmlformats.org/officeDocument/2006/relationships/hyperlink" Target="http://www.cabaxial.com" TargetMode="External"/><Relationship  Id="rId13778" Type="http://schemas.openxmlformats.org/officeDocument/2006/relationships/hyperlink" Target="http://www.linkedin.com/in/olivier-rosat-981368131" TargetMode="External"/><Relationship  Id="rId13779" Type="http://schemas.openxmlformats.org/officeDocument/2006/relationships/hyperlink" Target="http://www.linkedin.com/in/alain-nouhaud-552a59206" TargetMode="External"/><Relationship  Id="rId1378" Type="http://schemas.openxmlformats.org/officeDocument/2006/relationships/hyperlink" Target="http://www.linkedin.com/in/laure-mantelier-87a0798a" TargetMode="External"/><Relationship  Id="rId13780" Type="http://schemas.openxmlformats.org/officeDocument/2006/relationships/hyperlink" Target="http://www.simpra.fr" TargetMode="External"/><Relationship  Id="rId13781" Type="http://schemas.openxmlformats.org/officeDocument/2006/relationships/hyperlink" Target="http://www.linkedin.com/in/julien-molina-524159235" TargetMode="External"/><Relationship  Id="rId13782" Type="http://schemas.openxmlformats.org/officeDocument/2006/relationships/hyperlink" Target="http://www.amdenergies.fr" TargetMode="External"/><Relationship  Id="rId13783" Type="http://schemas.openxmlformats.org/officeDocument/2006/relationships/hyperlink" Target="http://www.linkedin.com/in/patricia-nako" TargetMode="External"/><Relationship  Id="rId13784" Type="http://schemas.openxmlformats.org/officeDocument/2006/relationships/hyperlink" Target="http://www.linkedin.com/in/adil-tber-72509b1b" TargetMode="External"/><Relationship  Id="rId13785" Type="http://schemas.openxmlformats.org/officeDocument/2006/relationships/hyperlink" Target="http://www.linkedin.com/in/mathieu-barachet-54421040" TargetMode="External"/><Relationship  Id="rId13786" Type="http://schemas.openxmlformats.org/officeDocument/2006/relationships/hyperlink" Target="http://www.ernova.fr" TargetMode="External"/><Relationship  Id="rId13787" Type="http://schemas.openxmlformats.org/officeDocument/2006/relationships/hyperlink" Target="http://www.linkedin.com/in/david-beaussaert" TargetMode="External"/><Relationship  Id="rId13788" Type="http://schemas.openxmlformats.org/officeDocument/2006/relationships/hyperlink" Target="http://www.langleroi.fr" TargetMode="External"/><Relationship  Id="rId13789" Type="http://schemas.openxmlformats.org/officeDocument/2006/relationships/hyperlink" Target="http://www.linkedin.com/in/stephane-malins-27012715b" TargetMode="External"/><Relationship  Id="rId1379" Type="http://schemas.openxmlformats.org/officeDocument/2006/relationships/hyperlink" Target="http://www.lmh-chalets.com" TargetMode="External"/><Relationship  Id="rId13790" Type="http://schemas.openxmlformats.org/officeDocument/2006/relationships/hyperlink" Target="http://www.dumont-clean.com" TargetMode="External"/><Relationship  Id="rId13791" Type="http://schemas.openxmlformats.org/officeDocument/2006/relationships/hyperlink" Target="http://www.linkedin.com/in/lionel-rodier-7a024969" TargetMode="External"/><Relationship  Id="rId13792" Type="http://schemas.openxmlformats.org/officeDocument/2006/relationships/hyperlink" Target="http://www.ipolit.net" TargetMode="External"/><Relationship  Id="rId13793" Type="http://schemas.openxmlformats.org/officeDocument/2006/relationships/hyperlink" Target="http://www.linkedin.com/in/freddy-ruault-a87220a9" TargetMode="External"/><Relationship  Id="rId13794" Type="http://schemas.openxmlformats.org/officeDocument/2006/relationships/hyperlink" Target="http://www.tourneuxsarl.fr" TargetMode="External"/><Relationship  Id="rId13795" Type="http://schemas.openxmlformats.org/officeDocument/2006/relationships/hyperlink" Target="http://www.linkedin.com/in/olivier-bertrand-2a069786" TargetMode="External"/><Relationship  Id="rId13796" Type="http://schemas.openxmlformats.org/officeDocument/2006/relationships/hyperlink" Target="http://www.qualiclim.com" TargetMode="External"/><Relationship  Id="rId13797" Type="http://schemas.openxmlformats.org/officeDocument/2006/relationships/hyperlink" Target="http://www.linkedin.com/in/vincent-melot-059328155" TargetMode="External"/><Relationship  Id="rId13798" Type="http://schemas.openxmlformats.org/officeDocument/2006/relationships/hyperlink" Target="http://www.piscines-et-traditions.fr" TargetMode="External"/><Relationship  Id="rId13799" Type="http://schemas.openxmlformats.org/officeDocument/2006/relationships/hyperlink" Target="http://www.linkedin.com/in/dominique-dias-ba2253208" TargetMode="External"/><Relationship  Id="rId138" Type="http://schemas.openxmlformats.org/officeDocument/2006/relationships/hyperlink" Target="http://www.linkedin.com/in/jordan-errigo-316b31113" TargetMode="External"/><Relationship  Id="rId1380" Type="http://schemas.openxmlformats.org/officeDocument/2006/relationships/hyperlink" Target="http://www.linkedin.com/in/simon-octobre-932925217" TargetMode="External"/><Relationship  Id="rId13800" Type="http://schemas.openxmlformats.org/officeDocument/2006/relationships/hyperlink" Target="http://www.urbalterre.fr" TargetMode="External"/><Relationship  Id="rId13801" Type="http://schemas.openxmlformats.org/officeDocument/2006/relationships/hyperlink" Target="http://www.linkedin.com/in/olivier-berger-41b2b51ba" TargetMode="External"/><Relationship  Id="rId13802" Type="http://schemas.openxmlformats.org/officeDocument/2006/relationships/hyperlink" Target="http://www.wood-impact.com" TargetMode="External"/><Relationship  Id="rId13803" Type="http://schemas.openxmlformats.org/officeDocument/2006/relationships/hyperlink" Target="http://www.linkedin.com/in/baris-gokce-0ab519180" TargetMode="External"/><Relationship  Id="rId13804" Type="http://schemas.openxmlformats.org/officeDocument/2006/relationships/hyperlink" Target="http://www.gsp-prefa.com" TargetMode="External"/><Relationship  Id="rId13805" Type="http://schemas.openxmlformats.org/officeDocument/2006/relationships/hyperlink" Target="http://www.linkedin.com/in/tancr%c3%a8de-hubert-993a9810" TargetMode="External"/><Relationship  Id="rId13806" Type="http://schemas.openxmlformats.org/officeDocument/2006/relationships/hyperlink" Target="http://www.linkedin.com/in/francis-rodrigues-6a211322a" TargetMode="External"/><Relationship  Id="rId13807" Type="http://schemas.openxmlformats.org/officeDocument/2006/relationships/hyperlink" Target="http://www.entaro.fr" TargetMode="External"/><Relationship  Id="rId13808" Type="http://schemas.openxmlformats.org/officeDocument/2006/relationships/hyperlink" Target="http://www.linkedin.com/in/stephane-guirao-240160106" TargetMode="External"/><Relationship  Id="rId13809" Type="http://schemas.openxmlformats.org/officeDocument/2006/relationships/hyperlink" Target="http://www.linkedin.com/in/mickael-piacitelli-231555123" TargetMode="External"/><Relationship  Id="rId1381" Type="http://schemas.openxmlformats.org/officeDocument/2006/relationships/hyperlink" Target="http://www.lepetitcambodge.fr" TargetMode="External"/><Relationship  Id="rId13810" Type="http://schemas.openxmlformats.org/officeDocument/2006/relationships/hyperlink" Target="http://www.mphabitat.fr" TargetMode="External"/><Relationship  Id="rId13811" Type="http://schemas.openxmlformats.org/officeDocument/2006/relationships/hyperlink" Target="http://www.linkedin.com/in/foued-bahri-298822109" TargetMode="External"/><Relationship  Id="rId13812" Type="http://schemas.openxmlformats.org/officeDocument/2006/relationships/hyperlink" Target="http://www.coprim.net" TargetMode="External"/><Relationship  Id="rId13813" Type="http://schemas.openxmlformats.org/officeDocument/2006/relationships/hyperlink" Target="http://www.linkedin.com/in/sauvage-johan-0a6118183" TargetMode="External"/><Relationship  Id="rId13814" Type="http://schemas.openxmlformats.org/officeDocument/2006/relationships/hyperlink" Target="http://www.sev-energie.fr" TargetMode="External"/><Relationship  Id="rId13815" Type="http://schemas.openxmlformats.org/officeDocument/2006/relationships/hyperlink" Target="http://www.linkedin.com/in/carlos-cambra-918448242" TargetMode="External"/><Relationship  Id="rId13816" Type="http://schemas.openxmlformats.org/officeDocument/2006/relationships/hyperlink" Target="http://www.cambra-industrie.com" TargetMode="External"/><Relationship  Id="rId13817" Type="http://schemas.openxmlformats.org/officeDocument/2006/relationships/hyperlink" Target="http://www.linkedin.com/in/st%c3%a9phane-davy-919749228" TargetMode="External"/><Relationship  Id="rId13818" Type="http://schemas.openxmlformats.org/officeDocument/2006/relationships/hyperlink" Target="http://www.teco.fr" TargetMode="External"/><Relationship  Id="rId13819" Type="http://schemas.openxmlformats.org/officeDocument/2006/relationships/hyperlink" Target="http://www.linkedin.com/in/yohann-botrel-63851a118" TargetMode="External"/><Relationship  Id="rId1382" Type="http://schemas.openxmlformats.org/officeDocument/2006/relationships/hyperlink" Target="http://www.linkedin.com/in/ramy-bouabid-b0b28610b" TargetMode="External"/><Relationship  Id="rId13820" Type="http://schemas.openxmlformats.org/officeDocument/2006/relationships/hyperlink" Target="http://www.sas-botrel.com" TargetMode="External"/><Relationship  Id="rId13821" Type="http://schemas.openxmlformats.org/officeDocument/2006/relationships/hyperlink" Target="http://www.linkedin.com/in/sebastien-vossier-9aa808153" TargetMode="External"/><Relationship  Id="rId13822" Type="http://schemas.openxmlformats.org/officeDocument/2006/relationships/hyperlink" Target="http://www.edrelec.fr" TargetMode="External"/><Relationship  Id="rId13823" Type="http://schemas.openxmlformats.org/officeDocument/2006/relationships/hyperlink" Target="http://www.linkedin.com/in/pascal-roy-6b161b184" TargetMode="External"/><Relationship  Id="rId13824" Type="http://schemas.openxmlformats.org/officeDocument/2006/relationships/hyperlink" Target="http://www.bativaloire.com" TargetMode="External"/><Relationship  Id="rId13825" Type="http://schemas.openxmlformats.org/officeDocument/2006/relationships/hyperlink" Target="http://www.linkedin.com/in/bayram-olcer-743b16228" TargetMode="External"/><Relationship  Id="rId13826" Type="http://schemas.openxmlformats.org/officeDocument/2006/relationships/hyperlink" Target="http://www.abt-prim.fr" TargetMode="External"/><Relationship  Id="rId13827" Type="http://schemas.openxmlformats.org/officeDocument/2006/relationships/hyperlink" Target="http://www.linkedin.com/in/francois-pillet-465693235" TargetMode="External"/><Relationship  Id="rId13828" Type="http://schemas.openxmlformats.org/officeDocument/2006/relationships/hyperlink" Target="http://www.clairdebaie.fr" TargetMode="External"/><Relationship  Id="rId13829" Type="http://schemas.openxmlformats.org/officeDocument/2006/relationships/hyperlink" Target="http://www.linkedin.com/in/yann-roller-9976ba43" TargetMode="External"/><Relationship  Id="rId1383" Type="http://schemas.openxmlformats.org/officeDocument/2006/relationships/hyperlink" Target="http://www.obrigadorodizio.com" TargetMode="External"/><Relationship  Id="rId13830" Type="http://schemas.openxmlformats.org/officeDocument/2006/relationships/hyperlink" Target="http://www.alliance-controle-batiment.com" TargetMode="External"/><Relationship  Id="rId13831" Type="http://schemas.openxmlformats.org/officeDocument/2006/relationships/hyperlink" Target="http://www.linkedin.com/in/recep-yildirim-a02b29128" TargetMode="External"/><Relationship  Id="rId13832" Type="http://schemas.openxmlformats.org/officeDocument/2006/relationships/hyperlink" Target="http://www.flb.fr" TargetMode="External"/><Relationship  Id="rId13833" Type="http://schemas.openxmlformats.org/officeDocument/2006/relationships/hyperlink" Target="http://www.linkedin.com/in/remi-agrain-509656111" TargetMode="External"/><Relationship  Id="rId13834" Type="http://schemas.openxmlformats.org/officeDocument/2006/relationships/hyperlink" Target="http://www.neoabita.fr" TargetMode="External"/><Relationship  Id="rId13835" Type="http://schemas.openxmlformats.org/officeDocument/2006/relationships/hyperlink" Target="http://www.linkedin.com/in/marc-macioce-0204a5192" TargetMode="External"/><Relationship  Id="rId13836" Type="http://schemas.openxmlformats.org/officeDocument/2006/relationships/hyperlink" Target="http://www.comalec.fr" TargetMode="External"/><Relationship  Id="rId13837" Type="http://schemas.openxmlformats.org/officeDocument/2006/relationships/hyperlink" Target="http://www.linkedin.com/in/florian-mialhe-79261a183" TargetMode="External"/><Relationship  Id="rId13838" Type="http://schemas.openxmlformats.org/officeDocument/2006/relationships/hyperlink" Target="http://www.exagon-habitat.fr" TargetMode="External"/><Relationship  Id="rId13839" Type="http://schemas.openxmlformats.org/officeDocument/2006/relationships/hyperlink" Target="http://www.linkedin.com/in/bruno-lemaitre-07478b138" TargetMode="External"/><Relationship  Id="rId1384" Type="http://schemas.openxmlformats.org/officeDocument/2006/relationships/hyperlink" Target="http://www.linkedin.com/in/henry-giral-a88510121" TargetMode="External"/><Relationship  Id="rId13840" Type="http://schemas.openxmlformats.org/officeDocument/2006/relationships/hyperlink" Target="http://www.linkedin.com/in/st%c3%a9phane-crescitz-b2ba38188" TargetMode="External"/><Relationship  Id="rId13841" Type="http://schemas.openxmlformats.org/officeDocument/2006/relationships/hyperlink" Target="http://www.crescitz.com" TargetMode="External"/><Relationship  Id="rId13842" Type="http://schemas.openxmlformats.org/officeDocument/2006/relationships/hyperlink" Target="http://www.linkedin.com/in/cedric-dumange-12879b157" TargetMode="External"/><Relationship  Id="rId13843" Type="http://schemas.openxmlformats.org/officeDocument/2006/relationships/hyperlink" Target="http://www.dumangeagencement.com" TargetMode="External"/><Relationship  Id="rId13844" Type="http://schemas.openxmlformats.org/officeDocument/2006/relationships/hyperlink" Target="http://www.linkedin.com/in/laurent-velin-6955b4160" TargetMode="External"/><Relationship  Id="rId13845" Type="http://schemas.openxmlformats.org/officeDocument/2006/relationships/hyperlink" Target="http://www.acciome08.fr" TargetMode="External"/><Relationship  Id="rId13846" Type="http://schemas.openxmlformats.org/officeDocument/2006/relationships/hyperlink" Target="http://www.linkedin.com/in/fran%c3%a7ois-bomel-5ba567188" TargetMode="External"/><Relationship  Id="rId13847" Type="http://schemas.openxmlformats.org/officeDocument/2006/relationships/hyperlink" Target="http://www.soredal.com" TargetMode="External"/><Relationship  Id="rId13848" Type="http://schemas.openxmlformats.org/officeDocument/2006/relationships/hyperlink" Target="http://www.linkedin.com/in/cedricthouraud" TargetMode="External"/><Relationship  Id="rId13849" Type="http://schemas.openxmlformats.org/officeDocument/2006/relationships/hyperlink" Target="http://www.hdms33.fr" TargetMode="External"/><Relationship  Id="rId1385" Type="http://schemas.openxmlformats.org/officeDocument/2006/relationships/hyperlink" Target="http://www.qualiteandco.com" TargetMode="External"/><Relationship  Id="rId13850" Type="http://schemas.openxmlformats.org/officeDocument/2006/relationships/hyperlink" Target="http://www.linkedin.com/in/ramzi-antar-a80513193" TargetMode="External"/><Relationship  Id="rId13851" Type="http://schemas.openxmlformats.org/officeDocument/2006/relationships/hyperlink" Target="http://www.linkedin.com/in/kevin-joos-42611a17a" TargetMode="External"/><Relationship  Id="rId13852" Type="http://schemas.openxmlformats.org/officeDocument/2006/relationships/hyperlink" Target="http://www.3dnord.fr" TargetMode="External"/><Relationship  Id="rId13853" Type="http://schemas.openxmlformats.org/officeDocument/2006/relationships/hyperlink" Target="http://www.linkedin.com/in/yann-yvonnou-8b4b717b" TargetMode="External"/><Relationship  Id="rId13854" Type="http://schemas.openxmlformats.org/officeDocument/2006/relationships/hyperlink" Target="http://www.groupesebaco.com" TargetMode="External"/><Relationship  Id="rId13855" Type="http://schemas.openxmlformats.org/officeDocument/2006/relationships/hyperlink" Target="http://www.linkedin.com/in/eric-clarenc-08a014148" TargetMode="External"/><Relationship  Id="rId13856" Type="http://schemas.openxmlformats.org/officeDocument/2006/relationships/hyperlink" Target="http://www.linkedin.com/in/raphael-dahan-4b1a20282" TargetMode="External"/><Relationship  Id="rId13857" Type="http://schemas.openxmlformats.org/officeDocument/2006/relationships/hyperlink" Target="http://www.soleilvertdefrance.fr" TargetMode="External"/><Relationship  Id="rId13858" Type="http://schemas.openxmlformats.org/officeDocument/2006/relationships/hyperlink" Target="http://www.linkedin.com/in/jude-duhen-964bb713" TargetMode="External"/><Relationship  Id="rId13859" Type="http://schemas.openxmlformats.org/officeDocument/2006/relationships/hyperlink" Target="http://www.labomat.net" TargetMode="External"/><Relationship  Id="rId1386" Type="http://schemas.openxmlformats.org/officeDocument/2006/relationships/hyperlink" Target="http://www.linkedin.com/in/r%c3%a9mi-boglio-%f0%9f%8f%9d%ef%b8%8f-966276208" TargetMode="External"/><Relationship  Id="rId13860" Type="http://schemas.openxmlformats.org/officeDocument/2006/relationships/hyperlink" Target="http://www.linkedin.com/in/jean-christophe-fretel-06547618" TargetMode="External"/><Relationship  Id="rId13861" Type="http://schemas.openxmlformats.org/officeDocument/2006/relationships/hyperlink" Target="http://www.smcb.fr" TargetMode="External"/><Relationship  Id="rId13862" Type="http://schemas.openxmlformats.org/officeDocument/2006/relationships/hyperlink" Target="http://www.linkedin.com/in/patrice-cannet-4b8b71101" TargetMode="External"/><Relationship  Id="rId13863" Type="http://schemas.openxmlformats.org/officeDocument/2006/relationships/hyperlink" Target="http://www.cinfora.fr" TargetMode="External"/><Relationship  Id="rId13864" Type="http://schemas.openxmlformats.org/officeDocument/2006/relationships/hyperlink" Target="http://www.linkedin.com/in/pierrick-chemin-915a9b110" TargetMode="External"/><Relationship  Id="rId13865" Type="http://schemas.openxmlformats.org/officeDocument/2006/relationships/hyperlink" Target="http://www.linkedin.com/in/emmanuel-rivet" TargetMode="External"/><Relationship  Id="rId13866" Type="http://schemas.openxmlformats.org/officeDocument/2006/relationships/hyperlink" Target="http://www.rivet-creation.com" TargetMode="External"/><Relationship  Id="rId13867" Type="http://schemas.openxmlformats.org/officeDocument/2006/relationships/hyperlink" Target="http://www.linkedin.com/in/gilles-henry-4a10b088" TargetMode="External"/><Relationship  Id="rId13868" Type="http://schemas.openxmlformats.org/officeDocument/2006/relationships/hyperlink" Target="http://www.serrurerie-martel.fr" TargetMode="External"/><Relationship  Id="rId13869" Type="http://schemas.openxmlformats.org/officeDocument/2006/relationships/hyperlink" Target="http://www.linkedin.com/in/mathieu-repec-359475a9" TargetMode="External"/><Relationship  Id="rId1387" Type="http://schemas.openxmlformats.org/officeDocument/2006/relationships/hyperlink" Target="http://www.bohebon.fr" TargetMode="External"/><Relationship  Id="rId13870" Type="http://schemas.openxmlformats.org/officeDocument/2006/relationships/hyperlink" Target="http://www.ent-rconstruction.fr" TargetMode="External"/><Relationship  Id="rId13871" Type="http://schemas.openxmlformats.org/officeDocument/2006/relationships/hyperlink" Target="http://www.linkedin.com/in/pierre-bichot-61a84813b" TargetMode="External"/><Relationship  Id="rId13872" Type="http://schemas.openxmlformats.org/officeDocument/2006/relationships/hyperlink" Target="http://www.arka-home.fr" TargetMode="External"/><Relationship  Id="rId13873" Type="http://schemas.openxmlformats.org/officeDocument/2006/relationships/hyperlink" Target="http://www.linkedin.com/in/gr%c3%a9goire-arthuis-28b74a53" TargetMode="External"/><Relationship  Id="rId13874" Type="http://schemas.openxmlformats.org/officeDocument/2006/relationships/hyperlink" Target="http://www.linkedin.com/in/seckou-jatta-506295123" TargetMode="External"/><Relationship  Id="rId13875" Type="http://schemas.openxmlformats.org/officeDocument/2006/relationships/hyperlink" Target="http://www.3ssafety.it" TargetMode="External"/><Relationship  Id="rId13876" Type="http://schemas.openxmlformats.org/officeDocument/2006/relationships/hyperlink" Target="http://www.linkedin.com/in/franck-hammerlin-7b348a83" TargetMode="External"/><Relationship  Id="rId13877" Type="http://schemas.openxmlformats.org/officeDocument/2006/relationships/hyperlink" Target="http://www.pyretherm.com" TargetMode="External"/><Relationship  Id="rId13878" Type="http://schemas.openxmlformats.org/officeDocument/2006/relationships/hyperlink" Target="http://www.linkedin.com/in/claude-marin-0a5b56210" TargetMode="External"/><Relationship  Id="rId13879" Type="http://schemas.openxmlformats.org/officeDocument/2006/relationships/hyperlink" Target="http://www.linkedin.com/in/manuel-rotszyld-41394b1a" TargetMode="External"/><Relationship  Id="rId1388" Type="http://schemas.openxmlformats.org/officeDocument/2006/relationships/hyperlink" Target="http://www.linkedin.com/in/thomas-br%c3%a9mard-48827666" TargetMode="External"/><Relationship  Id="rId13880" Type="http://schemas.openxmlformats.org/officeDocument/2006/relationships/hyperlink" Target="http://www.domani.fr" TargetMode="External"/><Relationship  Id="rId13881" Type="http://schemas.openxmlformats.org/officeDocument/2006/relationships/hyperlink" Target="http://www.linkedin.com/in/c%c3%a9line-roos-6a16b743" TargetMode="External"/><Relationship  Id="rId13882" Type="http://schemas.openxmlformats.org/officeDocument/2006/relationships/hyperlink" Target="http://www.scop-les2rives.eu" TargetMode="External"/><Relationship  Id="rId13883" Type="http://schemas.openxmlformats.org/officeDocument/2006/relationships/hyperlink" Target="http://www.linkedin.com/in/charles-vallet-5a2154124" TargetMode="External"/><Relationship  Id="rId13884" Type="http://schemas.openxmlformats.org/officeDocument/2006/relationships/hyperlink" Target="http://www.malbrelconservation.fr" TargetMode="External"/><Relationship  Id="rId13885" Type="http://schemas.openxmlformats.org/officeDocument/2006/relationships/hyperlink" Target="http://www.linkedin.com/in/loicdesch" TargetMode="External"/><Relationship  Id="rId13886" Type="http://schemas.openxmlformats.org/officeDocument/2006/relationships/hyperlink" Target="http://www.nord-chauffage-services.fr" TargetMode="External"/><Relationship  Id="rId13887" Type="http://schemas.openxmlformats.org/officeDocument/2006/relationships/hyperlink" Target="http://www.linkedin.com/in/didier-soul%c3%a9-dupuy-7071a45b" TargetMode="External"/><Relationship  Id="rId13888" Type="http://schemas.openxmlformats.org/officeDocument/2006/relationships/hyperlink" Target="http://www.jsd-groupe.com" TargetMode="External"/><Relationship  Id="rId13889" Type="http://schemas.openxmlformats.org/officeDocument/2006/relationships/hyperlink" Target="http://www.linkedin.com/in/ketty-bikelel-6705aa133" TargetMode="External"/><Relationship  Id="rId1389" Type="http://schemas.openxmlformats.org/officeDocument/2006/relationships/hyperlink" Target="http://www.linkedin.com/in/celine-moliere-853967b6" TargetMode="External"/><Relationship  Id="rId13890" Type="http://schemas.openxmlformats.org/officeDocument/2006/relationships/hyperlink" Target="http://www.brconsult.com" TargetMode="External"/><Relationship  Id="rId13891" Type="http://schemas.openxmlformats.org/officeDocument/2006/relationships/hyperlink" Target="http://www.linkedin.com/in/frank-leseur-29714168" TargetMode="External"/><Relationship  Id="rId13892" Type="http://schemas.openxmlformats.org/officeDocument/2006/relationships/hyperlink" Target="http://www.mdo.com.fr" TargetMode="External"/><Relationship  Id="rId13893" Type="http://schemas.openxmlformats.org/officeDocument/2006/relationships/hyperlink" Target="http://www.linkedin.com/in/maxime-gailliard-094ab61b9" TargetMode="External"/><Relationship  Id="rId13894" Type="http://schemas.openxmlformats.org/officeDocument/2006/relationships/hyperlink" Target="http://www.mrmenuiserie.fr" TargetMode="External"/><Relationship  Id="rId13895" Type="http://schemas.openxmlformats.org/officeDocument/2006/relationships/hyperlink" Target="http://www.linkedin.com/in/arthur-antona-640990163" TargetMode="External"/><Relationship  Id="rId13896" Type="http://schemas.openxmlformats.org/officeDocument/2006/relationships/hyperlink" Target="http://www.antona-et-cofi.fr" TargetMode="External"/><Relationship  Id="rId13897" Type="http://schemas.openxmlformats.org/officeDocument/2006/relationships/hyperlink" Target="http://www.linkedin.com/in/julien-vicente-8b2746106" TargetMode="External"/><Relationship  Id="rId13898" Type="http://schemas.openxmlformats.org/officeDocument/2006/relationships/hyperlink" Target="http://www.linkedin.com/in/guillaume-bredy-900199202" TargetMode="External"/><Relationship  Id="rId13899" Type="http://schemas.openxmlformats.org/officeDocument/2006/relationships/hyperlink" Target="http://www.bredy-agencement.fr" TargetMode="External"/><Relationship  Id="rId139" Type="http://schemas.openxmlformats.org/officeDocument/2006/relationships/hyperlink" Target="http://www.quantobastanc.com" TargetMode="External"/><Relationship  Id="rId1390" Type="http://schemas.openxmlformats.org/officeDocument/2006/relationships/hyperlink" Target="http://www.linkedin.com/in/juliette-fontaine-66928a8b" TargetMode="External"/><Relationship  Id="rId13900" Type="http://schemas.openxmlformats.org/officeDocument/2006/relationships/hyperlink" Target="http://www.linkedin.com/in/clart%c3%a9-milan-creche-ecole-sant%c3%a9-architecte-travaux" TargetMode="External"/><Relationship  Id="rId13901" Type="http://schemas.openxmlformats.org/officeDocument/2006/relationships/hyperlink" Target="http://www.faciligroupe.fr" TargetMode="External"/><Relationship  Id="rId13902" Type="http://schemas.openxmlformats.org/officeDocument/2006/relationships/hyperlink" Target="http://www.linkedin.com/in/lionel-mangier-685bbb2bb" TargetMode="External"/><Relationship  Id="rId13903" Type="http://schemas.openxmlformats.org/officeDocument/2006/relationships/hyperlink" Target="http://www.mouchet-construction.fr" TargetMode="External"/><Relationship  Id="rId13904" Type="http://schemas.openxmlformats.org/officeDocument/2006/relationships/hyperlink" Target="http://www.linkedin.com/in/thibault-richard-57829638" TargetMode="External"/><Relationship  Id="rId13905" Type="http://schemas.openxmlformats.org/officeDocument/2006/relationships/hyperlink" Target="http://www.avenir-metal.com" TargetMode="External"/><Relationship  Id="rId13906" Type="http://schemas.openxmlformats.org/officeDocument/2006/relationships/hyperlink" Target="http://www.linkedin.com/in/olivier-laurent-2b094059" TargetMode="External"/><Relationship  Id="rId13907" Type="http://schemas.openxmlformats.org/officeDocument/2006/relationships/hyperlink" Target="http://www.demeuresrhonealpes.com" TargetMode="External"/><Relationship  Id="rId13908" Type="http://schemas.openxmlformats.org/officeDocument/2006/relationships/hyperlink" Target="http://www.linkedin.com/in/matthieu-gobert-8aa51b174" TargetMode="External"/><Relationship  Id="rId13909" Type="http://schemas.openxmlformats.org/officeDocument/2006/relationships/hyperlink" Target="http://www.diebolt-tp.fr" TargetMode="External"/><Relationship  Id="rId1391" Type="http://schemas.openxmlformats.org/officeDocument/2006/relationships/hyperlink" Target="http://www.kerjuliette.fr" TargetMode="External"/><Relationship  Id="rId13910" Type="http://schemas.openxmlformats.org/officeDocument/2006/relationships/hyperlink" Target="http://www.linkedin.com/in/tommy-cicerale-30ab15178" TargetMode="External"/><Relationship  Id="rId13911" Type="http://schemas.openxmlformats.org/officeDocument/2006/relationships/hyperlink" Target="http://www.ave-deco.fr" TargetMode="External"/><Relationship  Id="rId13912" Type="http://schemas.openxmlformats.org/officeDocument/2006/relationships/hyperlink" Target="http://www.linkedin.com/in/s%c3%a9bastien-lagreze-62897a176" TargetMode="External"/><Relationship  Id="rId13913" Type="http://schemas.openxmlformats.org/officeDocument/2006/relationships/hyperlink" Target="http://www.lagreze-batiment.com" TargetMode="External"/><Relationship  Id="rId13914" Type="http://schemas.openxmlformats.org/officeDocument/2006/relationships/hyperlink" Target="http://www.linkedin.com/in/thomas-chardin-32218016a" TargetMode="External"/><Relationship  Id="rId13915" Type="http://schemas.openxmlformats.org/officeDocument/2006/relationships/hyperlink" Target="http://www.unelo.fr" TargetMode="External"/><Relationship  Id="rId13916" Type="http://schemas.openxmlformats.org/officeDocument/2006/relationships/hyperlink" Target="http://www.linkedin.com/in/christian-piquet-a97456151" TargetMode="External"/><Relationship  Id="rId13917" Type="http://schemas.openxmlformats.org/officeDocument/2006/relationships/hyperlink" Target="http://www.cplbois.com" TargetMode="External"/><Relationship  Id="rId13918" Type="http://schemas.openxmlformats.org/officeDocument/2006/relationships/hyperlink" Target="http://www.linkedin.com/in/hugues-bouffard-367210142" TargetMode="External"/><Relationship  Id="rId13919" Type="http://schemas.openxmlformats.org/officeDocument/2006/relationships/hyperlink" Target="http://www.bouffard-amenagement.com" TargetMode="External"/><Relationship  Id="rId1392" Type="http://schemas.openxmlformats.org/officeDocument/2006/relationships/hyperlink" Target="http://www.linkedin.com/in/dylanohana" TargetMode="External"/><Relationship  Id="rId13920" Type="http://schemas.openxmlformats.org/officeDocument/2006/relationships/hyperlink" Target="http://www.linkedin.com/in/maxime-dreux-304a88307" TargetMode="External"/><Relationship  Id="rId13921" Type="http://schemas.openxmlformats.org/officeDocument/2006/relationships/hyperlink" Target="http://www.snbabin.fr" TargetMode="External"/><Relationship  Id="rId13922" Type="http://schemas.openxmlformats.org/officeDocument/2006/relationships/hyperlink" Target="http://www.linkedin.com/in/jean-paul-rousseau-2696b23" TargetMode="External"/><Relationship  Id="rId13923" Type="http://schemas.openxmlformats.org/officeDocument/2006/relationships/hyperlink" Target="http://www.linkedin.com/in/thierry-fleurance-a4281591" TargetMode="External"/><Relationship  Id="rId13924" Type="http://schemas.openxmlformats.org/officeDocument/2006/relationships/hyperlink" Target="http://www.albedo-hqe.com" TargetMode="External"/><Relationship  Id="rId13925" Type="http://schemas.openxmlformats.org/officeDocument/2006/relationships/hyperlink" Target="http://www.linkedin.com/in/gr%c3%a9gory-stoops-098b9aa9" TargetMode="External"/><Relationship  Id="rId13926" Type="http://schemas.openxmlformats.org/officeDocument/2006/relationships/hyperlink" Target="http://www.linkedin.com/in/anthony-zakine-a99974212" TargetMode="External"/><Relationship  Id="rId13927" Type="http://schemas.openxmlformats.org/officeDocument/2006/relationships/hyperlink" Target="http://www.groupe-apb.fr" TargetMode="External"/><Relationship  Id="rId13928" Type="http://schemas.openxmlformats.org/officeDocument/2006/relationships/hyperlink" Target="http://www.linkedin.com/in/sebastien-chiarot-00679722b" TargetMode="External"/><Relationship  Id="rId13929" Type="http://schemas.openxmlformats.org/officeDocument/2006/relationships/hyperlink" Target="http://www.absoenergies.fr" TargetMode="External"/><Relationship  Id="rId1393" Type="http://schemas.openxmlformats.org/officeDocument/2006/relationships/hyperlink" Target="http://www.homesuitehome.fr" TargetMode="External"/><Relationship  Id="rId13930" Type="http://schemas.openxmlformats.org/officeDocument/2006/relationships/hyperlink" Target="http://www.linkedin.com/in/pascal-julliot-a285a5237" TargetMode="External"/><Relationship  Id="rId13931" Type="http://schemas.openxmlformats.org/officeDocument/2006/relationships/hyperlink" Target="http://www.champagne-tp.fr" TargetMode="External"/><Relationship  Id="rId13932" Type="http://schemas.openxmlformats.org/officeDocument/2006/relationships/hyperlink" Target="http://www.linkedin.com/in/fr%c3%a9d%c3%a9ric-barbusse-6568519a" TargetMode="External"/><Relationship  Id="rId13933" Type="http://schemas.openxmlformats.org/officeDocument/2006/relationships/hyperlink" Target="http://www.monsieurstore.com" TargetMode="External"/><Relationship  Id="rId13934" Type="http://schemas.openxmlformats.org/officeDocument/2006/relationships/hyperlink" Target="http://www.linkedin.com/in/philippe-brunet-70aa6794" TargetMode="External"/><Relationship  Id="rId13935" Type="http://schemas.openxmlformats.org/officeDocument/2006/relationships/hyperlink" Target="http://www.brunet-agencement.pro" TargetMode="External"/><Relationship  Id="rId13936" Type="http://schemas.openxmlformats.org/officeDocument/2006/relationships/hyperlink" Target="http://www.linkedin.com/in/antony-maruejouls-925105117" TargetMode="External"/><Relationship  Id="rId13937" Type="http://schemas.openxmlformats.org/officeDocument/2006/relationships/hyperlink" Target="http://www.legagneur-associes.fr" TargetMode="External"/><Relationship  Id="rId13938" Type="http://schemas.openxmlformats.org/officeDocument/2006/relationships/hyperlink" Target="http://www.linkedin.com/in/kamel-benalla-3a2425221" TargetMode="External"/><Relationship  Id="rId13939" Type="http://schemas.openxmlformats.org/officeDocument/2006/relationships/hyperlink" Target="http://www.hbengineering.fr" TargetMode="External"/><Relationship  Id="rId1394" Type="http://schemas.openxmlformats.org/officeDocument/2006/relationships/hyperlink" Target="http://www.linkedin.com/in/alvina-renghen-76026a247" TargetMode="External"/><Relationship  Id="rId13940" Type="http://schemas.openxmlformats.org/officeDocument/2006/relationships/hyperlink" Target="http://www.linkedin.com/in/max-clairet-a157aa1b8" TargetMode="External"/><Relationship  Id="rId13941" Type="http://schemas.openxmlformats.org/officeDocument/2006/relationships/hyperlink" Target="http://www.linkedin.com/in/r%c3%a9gis-roy" TargetMode="External"/><Relationship  Id="rId13942" Type="http://schemas.openxmlformats.org/officeDocument/2006/relationships/hyperlink" Target="http://www.roy-travaux.fr" TargetMode="External"/><Relationship  Id="rId13943" Type="http://schemas.openxmlformats.org/officeDocument/2006/relationships/hyperlink" Target="http://www.linkedin.com/in/antonin-burlat-409b17204" TargetMode="External"/><Relationship  Id="rId13944" Type="http://schemas.openxmlformats.org/officeDocument/2006/relationships/hyperlink" Target="http://www.legendre-lureau.com" TargetMode="External"/><Relationship  Id="rId13945" Type="http://schemas.openxmlformats.org/officeDocument/2006/relationships/hyperlink" Target="http://www.linkedin.com/in/philippe-khalifat-b4b27b42" TargetMode="External"/><Relationship  Id="rId13946" Type="http://schemas.openxmlformats.org/officeDocument/2006/relationships/hyperlink" Target="http://www.baniti.fr" TargetMode="External"/><Relationship  Id="rId13947" Type="http://schemas.openxmlformats.org/officeDocument/2006/relationships/hyperlink" Target="http://www.linkedin.com/in/jean-claude-fernandes-561b88a4" TargetMode="External"/><Relationship  Id="rId13948" Type="http://schemas.openxmlformats.org/officeDocument/2006/relationships/hyperlink" Target="http://www.nicolardot.fr" TargetMode="External"/><Relationship  Id="rId13949" Type="http://schemas.openxmlformats.org/officeDocument/2006/relationships/hyperlink" Target="http://www.linkedin.com/in/jean-harribey-490853150" TargetMode="External"/><Relationship  Id="rId1395" Type="http://schemas.openxmlformats.org/officeDocument/2006/relationships/hyperlink" Target="http://www.bollynan.com" TargetMode="External"/><Relationship  Id="rId13950" Type="http://schemas.openxmlformats.org/officeDocument/2006/relationships/hyperlink" Target="http://www.harribeyconstructions.fr" TargetMode="External"/><Relationship  Id="rId13951" Type="http://schemas.openxmlformats.org/officeDocument/2006/relationships/hyperlink" Target="http://www.linkedin.com/in/christophe-pasteur-1a341084" TargetMode="External"/><Relationship  Id="rId13952" Type="http://schemas.openxmlformats.org/officeDocument/2006/relationships/hyperlink" Target="http://www.pasteurtp.fr" TargetMode="External"/><Relationship  Id="rId13953" Type="http://schemas.openxmlformats.org/officeDocument/2006/relationships/hyperlink" Target="http://www.linkedin.com/in/virasack-sananikone-986372121" TargetMode="External"/><Relationship  Id="rId13954" Type="http://schemas.openxmlformats.org/officeDocument/2006/relationships/hyperlink" Target="http://www.actium-groupe.com" TargetMode="External"/><Relationship  Id="rId13955" Type="http://schemas.openxmlformats.org/officeDocument/2006/relationships/hyperlink" Target="http://www.linkedin.com/in/benoitchailloux" TargetMode="External"/><Relationship  Id="rId13956" Type="http://schemas.openxmlformats.org/officeDocument/2006/relationships/hyperlink" Target="http://www.gvingenierie.fr" TargetMode="External"/><Relationship  Id="rId13957" Type="http://schemas.openxmlformats.org/officeDocument/2006/relationships/hyperlink" Target="http://www.linkedin.com/in/christophe-palette-245a5881" TargetMode="External"/><Relationship  Id="rId13958" Type="http://schemas.openxmlformats.org/officeDocument/2006/relationships/hyperlink" Target="http://www.fouqueron.com" TargetMode="External"/><Relationship  Id="rId13959" Type="http://schemas.openxmlformats.org/officeDocument/2006/relationships/hyperlink" Target="http://www.linkedin.com/in/florent-briand-06478180" TargetMode="External"/><Relationship  Id="rId1396" Type="http://schemas.openxmlformats.org/officeDocument/2006/relationships/hyperlink" Target="http://www.linkedin.com/in/pauline-larrouy-4241516b" TargetMode="External"/><Relationship  Id="rId13960" Type="http://schemas.openxmlformats.org/officeDocument/2006/relationships/hyperlink" Target="http://www.betis.fr" TargetMode="External"/><Relationship  Id="rId13961" Type="http://schemas.openxmlformats.org/officeDocument/2006/relationships/hyperlink" Target="http://www.linkedin.com/in/ervan-clauzier-26a392173" TargetMode="External"/><Relationship  Id="rId13962" Type="http://schemas.openxmlformats.org/officeDocument/2006/relationships/hyperlink" Target="http://www.ateliermenuisea.fr" TargetMode="External"/><Relationship  Id="rId13963" Type="http://schemas.openxmlformats.org/officeDocument/2006/relationships/hyperlink" Target="http://www.linkedin.com/in/guillaume-germain-4b5b7913" TargetMode="External"/><Relationship  Id="rId13964" Type="http://schemas.openxmlformats.org/officeDocument/2006/relationships/hyperlink" Target="http://www.altitech.fr" TargetMode="External"/><Relationship  Id="rId13965" Type="http://schemas.openxmlformats.org/officeDocument/2006/relationships/hyperlink" Target="http://www.linkedin.com/in/francois-canaud-ab454b73" TargetMode="External"/><Relationship  Id="rId13966" Type="http://schemas.openxmlformats.org/officeDocument/2006/relationships/hyperlink" Target="http://www.richelieu-renovation.com" TargetMode="External"/><Relationship  Id="rId13967" Type="http://schemas.openxmlformats.org/officeDocument/2006/relationships/hyperlink" Target="http://www.linkedin.com/in/st%c3%a9phane-romain-a608a6b2" TargetMode="External"/><Relationship  Id="rId13968" Type="http://schemas.openxmlformats.org/officeDocument/2006/relationships/hyperlink" Target="http://www.si21.fr" TargetMode="External"/><Relationship  Id="rId13969" Type="http://schemas.openxmlformats.org/officeDocument/2006/relationships/hyperlink" Target="http://www.linkedin.com/in/sylvie-bernard-55a276144" TargetMode="External"/><Relationship  Id="rId1397" Type="http://schemas.openxmlformats.org/officeDocument/2006/relationships/hyperlink" Target="http://www.hotel-le-six.com" TargetMode="External"/><Relationship  Id="rId13970" Type="http://schemas.openxmlformats.org/officeDocument/2006/relationships/hyperlink" Target="http://www.emaplast.fr" TargetMode="External"/><Relationship  Id="rId13971" Type="http://schemas.openxmlformats.org/officeDocument/2006/relationships/hyperlink" Target="http://www.linkedin.com/in/patrice-georges-4195b710a" TargetMode="External"/><Relationship  Id="rId13972" Type="http://schemas.openxmlformats.org/officeDocument/2006/relationships/hyperlink" Target="http://www.linkedin.com/in/antoine-de-vaumas-baa77a2b" TargetMode="External"/><Relationship  Id="rId13973" Type="http://schemas.openxmlformats.org/officeDocument/2006/relationships/hyperlink" Target="http://www.kermarec.fr" TargetMode="External"/><Relationship  Id="rId13974" Type="http://schemas.openxmlformats.org/officeDocument/2006/relationships/hyperlink" Target="http://www.linkedin.com/in/frederic-cazeaux-903a11153" TargetMode="External"/><Relationship  Id="rId13975" Type="http://schemas.openxmlformats.org/officeDocument/2006/relationships/hyperlink" Target="http://www.linkedin.com/in/marc-roques-6b2428a7" TargetMode="External"/><Relationship  Id="rId13976" Type="http://schemas.openxmlformats.org/officeDocument/2006/relationships/hyperlink" Target="http://www.carotp.fr" TargetMode="External"/><Relationship  Id="rId13977" Type="http://schemas.openxmlformats.org/officeDocument/2006/relationships/hyperlink" Target="http://www.linkedin.com/in/alexis-delaunay-b99540137" TargetMode="External"/><Relationship  Id="rId13978" Type="http://schemas.openxmlformats.org/officeDocument/2006/relationships/hyperlink" Target="http://www.alliance-echafaudages.fr" TargetMode="External"/><Relationship  Id="rId13979" Type="http://schemas.openxmlformats.org/officeDocument/2006/relationships/hyperlink" Target="http://www.linkedin.com/in/laurent-astier-9105088a" TargetMode="External"/><Relationship  Id="rId1398" Type="http://schemas.openxmlformats.org/officeDocument/2006/relationships/hyperlink" Target="http://www.linkedin.com/in/benjamin-reverdy-517b4460" TargetMode="External"/><Relationship  Id="rId13980" Type="http://schemas.openxmlformats.org/officeDocument/2006/relationships/hyperlink" Target="http://www.brondani.fr" TargetMode="External"/><Relationship  Id="rId13981" Type="http://schemas.openxmlformats.org/officeDocument/2006/relationships/hyperlink" Target="http://www.linkedin.com/in/st%c3%a9phane-vinel-74aa405b" TargetMode="External"/><Relationship  Id="rId13982" Type="http://schemas.openxmlformats.org/officeDocument/2006/relationships/hyperlink" Target="http://www.nancy-construction.com" TargetMode="External"/><Relationship  Id="rId13983" Type="http://schemas.openxmlformats.org/officeDocument/2006/relationships/hyperlink" Target="http://www.linkedin.com/in/nicolas-perroux-96280753" TargetMode="External"/><Relationship  Id="rId13984" Type="http://schemas.openxmlformats.org/officeDocument/2006/relationships/hyperlink" Target="http://www.grossetjanin.com" TargetMode="External"/><Relationship  Id="rId13985" Type="http://schemas.openxmlformats.org/officeDocument/2006/relationships/hyperlink" Target="http://www.linkedin.com/in/anthonyperrierkayousoft" TargetMode="External"/><Relationship  Id="rId13986" Type="http://schemas.openxmlformats.org/officeDocument/2006/relationships/hyperlink" Target="http://www.kayousoft.fr" TargetMode="External"/><Relationship  Id="rId13987" Type="http://schemas.openxmlformats.org/officeDocument/2006/relationships/hyperlink" Target="http://www.linkedin.com/in/bruno-vincendeau-81baaa111" TargetMode="External"/><Relationship  Id="rId13988" Type="http://schemas.openxmlformats.org/officeDocument/2006/relationships/hyperlink" Target="http://www.seralu.com" TargetMode="External"/><Relationship  Id="rId13989" Type="http://schemas.openxmlformats.org/officeDocument/2006/relationships/hyperlink" Target="http://www.linkedin.com/in/christophe-raux-2110ba121" TargetMode="External"/><Relationship  Id="rId1399" Type="http://schemas.openxmlformats.org/officeDocument/2006/relationships/hyperlink" Target="http://www.cyc3.fr" TargetMode="External"/><Relationship  Id="rId13990" Type="http://schemas.openxmlformats.org/officeDocument/2006/relationships/hyperlink" Target="http://www.electraux.com" TargetMode="External"/><Relationship  Id="rId13991" Type="http://schemas.openxmlformats.org/officeDocument/2006/relationships/hyperlink" Target="http://www.linkedin.com/in/candy-rejasse-031a71112" TargetMode="External"/><Relationship  Id="rId13992" Type="http://schemas.openxmlformats.org/officeDocument/2006/relationships/hyperlink" Target="http://www.maisons-jb.fr" TargetMode="External"/><Relationship  Id="rId13993" Type="http://schemas.openxmlformats.org/officeDocument/2006/relationships/hyperlink" Target="http://www.linkedin.com/in/fr%c3%a9d%c3%a9ric-pereira-7674b7119" TargetMode="External"/><Relationship  Id="rId13994" Type="http://schemas.openxmlformats.org/officeDocument/2006/relationships/hyperlink" Target="http://www.menuiserie-le-cedre.com" TargetMode="External"/><Relationship  Id="rId13995" Type="http://schemas.openxmlformats.org/officeDocument/2006/relationships/hyperlink" Target="http://www.linkedin.com/in/m-hamed-aissa-78168612b" TargetMode="External"/><Relationship  Id="rId13996" Type="http://schemas.openxmlformats.org/officeDocument/2006/relationships/hyperlink" Target="http://www.a2lhabitat.fr" TargetMode="External"/><Relationship  Id="rId13997" Type="http://schemas.openxmlformats.org/officeDocument/2006/relationships/hyperlink" Target="http://www.linkedin.com/in/jean-fran%c3%a7ois-quivrin-69322b57" TargetMode="External"/><Relationship  Id="rId13998" Type="http://schemas.openxmlformats.org/officeDocument/2006/relationships/hyperlink" Target="http://www.movveo.fr" TargetMode="External"/><Relationship  Id="rId13999" Type="http://schemas.openxmlformats.org/officeDocument/2006/relationships/hyperlink" Target="http://www.linkedin.com/in/olivier-breuil-a7a60a129" TargetMode="External"/><Relationship  Id="rId14" Type="http://schemas.openxmlformats.org/officeDocument/2006/relationships/hyperlink" Target="http://www.goguetteetcompagnie.fr" TargetMode="External"/><Relationship  Id="rId140" Type="http://schemas.openxmlformats.org/officeDocument/2006/relationships/hyperlink" Target="http://www.linkedin.com/in/camillegoze" TargetMode="External"/><Relationship  Id="rId1400" Type="http://schemas.openxmlformats.org/officeDocument/2006/relationships/hyperlink" Target="http://www.linkedin.com/in/lucie-villebrun-4907101a" TargetMode="External"/><Relationship  Id="rId14000" Type="http://schemas.openxmlformats.org/officeDocument/2006/relationships/hyperlink" Target="http://www.horizoncr.fr" TargetMode="External"/><Relationship  Id="rId14001" Type="http://schemas.openxmlformats.org/officeDocument/2006/relationships/hyperlink" Target="http://www.linkedin.com/in/nicolas-spagnuolo-44b193155" TargetMode="External"/><Relationship  Id="rId14002" Type="http://schemas.openxmlformats.org/officeDocument/2006/relationships/hyperlink" Target="http://www.sp-toiture.com" TargetMode="External"/><Relationship  Id="rId14003" Type="http://schemas.openxmlformats.org/officeDocument/2006/relationships/hyperlink" Target="http://www.linkedin.com/in/nicolas-pothelet-4710791b1" TargetMode="External"/><Relationship  Id="rId14004" Type="http://schemas.openxmlformats.org/officeDocument/2006/relationships/hyperlink" Target="http://www.saspothelet.fr" TargetMode="External"/><Relationship  Id="rId14005" Type="http://schemas.openxmlformats.org/officeDocument/2006/relationships/hyperlink" Target="http://www.linkedin.com/in/david-benguigui-81150288" TargetMode="External"/><Relationship  Id="rId14006" Type="http://schemas.openxmlformats.org/officeDocument/2006/relationships/hyperlink" Target="http://www.kapea-ke.org" TargetMode="External"/><Relationship  Id="rId14007" Type="http://schemas.openxmlformats.org/officeDocument/2006/relationships/hyperlink" Target="http://www.linkedin.com/in/alexandre-sion-09754a18" TargetMode="External"/><Relationship  Id="rId14008" Type="http://schemas.openxmlformats.org/officeDocument/2006/relationships/hyperlink" Target="http://www.artirenov-renovation-travaux-49.fr" TargetMode="External"/><Relationship  Id="rId14009" Type="http://schemas.openxmlformats.org/officeDocument/2006/relationships/hyperlink" Target="http://www.linkedin.com/in/roland-griset-13a43958" TargetMode="External"/><Relationship  Id="rId1401" Type="http://schemas.openxmlformats.org/officeDocument/2006/relationships/hyperlink" Target="http://www.leyule.fr" TargetMode="External"/><Relationship  Id="rId14010" Type="http://schemas.openxmlformats.org/officeDocument/2006/relationships/hyperlink" Target="http://www.griset-materiel.fr" TargetMode="External"/><Relationship  Id="rId14011" Type="http://schemas.openxmlformats.org/officeDocument/2006/relationships/hyperlink" Target="http://www.linkedin.com/in/edouard-bringand-b3126433" TargetMode="External"/><Relationship  Id="rId14012" Type="http://schemas.openxmlformats.org/officeDocument/2006/relationships/hyperlink" Target="http://www.axiom-developpement.com" TargetMode="External"/><Relationship  Id="rId14013" Type="http://schemas.openxmlformats.org/officeDocument/2006/relationships/hyperlink" Target="http://www.linkedin.com/in/martineau-damien-509787b0" TargetMode="External"/><Relationship  Id="rId14014" Type="http://schemas.openxmlformats.org/officeDocument/2006/relationships/hyperlink" Target="http://www.la-compagnie-du-logement.fr" TargetMode="External"/><Relationship  Id="rId14015" Type="http://schemas.openxmlformats.org/officeDocument/2006/relationships/hyperlink" Target="http://www.linkedin.com/in/florian-colomar-91a76894" TargetMode="External"/><Relationship  Id="rId14016" Type="http://schemas.openxmlformats.org/officeDocument/2006/relationships/hyperlink" Target="http://www.arteix-ingenierie.com" TargetMode="External"/><Relationship  Id="rId14017" Type="http://schemas.openxmlformats.org/officeDocument/2006/relationships/hyperlink" Target="http://www.linkedin.com/in/delphine-paillardin-74b23615b" TargetMode="External"/><Relationship  Id="rId14018" Type="http://schemas.openxmlformats.org/officeDocument/2006/relationships/hyperlink" Target="http://www.oph-saintdizier.fr" TargetMode="External"/><Relationship  Id="rId14019" Type="http://schemas.openxmlformats.org/officeDocument/2006/relationships/hyperlink" Target="http://www.linkedin.com/in/serdar-aksan-719baab2" TargetMode="External"/><Relationship  Id="rId1402" Type="http://schemas.openxmlformats.org/officeDocument/2006/relationships/hyperlink" Target="http://www.linkedin.com/in/adrien-bois-14290a139" TargetMode="External"/><Relationship  Id="rId14020" Type="http://schemas.openxmlformats.org/officeDocument/2006/relationships/hyperlink" Target="http://www.groupe-prestibat.com" TargetMode="External"/><Relationship  Id="rId14021" Type="http://schemas.openxmlformats.org/officeDocument/2006/relationships/hyperlink" Target="http://www.linkedin.com/in/thomas-leonate-453b08221" TargetMode="External"/><Relationship  Id="rId14022" Type="http://schemas.openxmlformats.org/officeDocument/2006/relationships/hyperlink" Target="http://www.antway.fr" TargetMode="External"/><Relationship  Id="rId14023" Type="http://schemas.openxmlformats.org/officeDocument/2006/relationships/hyperlink" Target="http://www.linkedin.com/in/alain-gakumba-06b0915a" TargetMode="External"/><Relationship  Id="rId14024" Type="http://schemas.openxmlformats.org/officeDocument/2006/relationships/hyperlink" Target="http://www.bexconsult.fr" TargetMode="External"/><Relationship  Id="rId14025" Type="http://schemas.openxmlformats.org/officeDocument/2006/relationships/hyperlink" Target="http://www.linkedin.com/in/julienhomo" TargetMode="External"/><Relationship  Id="rId14026" Type="http://schemas.openxmlformats.org/officeDocument/2006/relationships/hyperlink" Target="http://www.fermetalu.com" TargetMode="External"/><Relationship  Id="rId14027" Type="http://schemas.openxmlformats.org/officeDocument/2006/relationships/hyperlink" Target="http://www.linkedin.com/in/sebastien-c-340112" TargetMode="External"/><Relationship  Id="rId14028" Type="http://schemas.openxmlformats.org/officeDocument/2006/relationships/hyperlink" Target="http://www.walden-solutions.fr" TargetMode="External"/><Relationship  Id="rId14029" Type="http://schemas.openxmlformats.org/officeDocument/2006/relationships/hyperlink" Target="http://www.linkedin.com/in/antoine-amieux-42b46a103" TargetMode="External"/><Relationship  Id="rId1403" Type="http://schemas.openxmlformats.org/officeDocument/2006/relationships/hyperlink" Target="http://www.linkedin.com/in/ludrick-lacroix-6a6200b3" TargetMode="External"/><Relationship  Id="rId14030" Type="http://schemas.openxmlformats.org/officeDocument/2006/relationships/hyperlink" Target="http://www.exedix.fr" TargetMode="External"/><Relationship  Id="rId14031" Type="http://schemas.openxmlformats.org/officeDocument/2006/relationships/hyperlink" Target="http://www.linkedin.com/in/arnaud-gouva-25b68914b" TargetMode="External"/><Relationship  Id="rId14032" Type="http://schemas.openxmlformats.org/officeDocument/2006/relationships/hyperlink" Target="http://www.fraisageservices.fr" TargetMode="External"/><Relationship  Id="rId14033" Type="http://schemas.openxmlformats.org/officeDocument/2006/relationships/hyperlink" Target="http://www.linkedin.com/in/fabien-thalmann-61a86188" TargetMode="External"/><Relationship  Id="rId14034" Type="http://schemas.openxmlformats.org/officeDocument/2006/relationships/hyperlink" Target="http://www.menuiserie-thalmann.com" TargetMode="External"/><Relationship  Id="rId14035" Type="http://schemas.openxmlformats.org/officeDocument/2006/relationships/hyperlink" Target="http://www.linkedin.com/in/giancarlo-basile-hospitality" TargetMode="External"/><Relationship  Id="rId14036" Type="http://schemas.openxmlformats.org/officeDocument/2006/relationships/hyperlink" Target="http://www.linkedin.com/in/jean-mathieu-limerat-51b42a6a" TargetMode="External"/><Relationship  Id="rId14037" Type="http://schemas.openxmlformats.org/officeDocument/2006/relationships/hyperlink" Target="http://www.creabois.fr" TargetMode="External"/><Relationship  Id="rId14038" Type="http://schemas.openxmlformats.org/officeDocument/2006/relationships/hyperlink" Target="http://www.linkedin.com/in/samuel-chermette-54007470" TargetMode="External"/><Relationship  Id="rId14039" Type="http://schemas.openxmlformats.org/officeDocument/2006/relationships/hyperlink" Target="http://www.lesmetronormes.fr" TargetMode="External"/><Relationship  Id="rId1404" Type="http://schemas.openxmlformats.org/officeDocument/2006/relationships/hyperlink" Target="http://www.lecluse.paris" TargetMode="External"/><Relationship  Id="rId14040" Type="http://schemas.openxmlformats.org/officeDocument/2006/relationships/hyperlink" Target="http://www.linkedin.com/in/aur%c3%a9lien-revol-5159b710b" TargetMode="External"/><Relationship  Id="rId14041" Type="http://schemas.openxmlformats.org/officeDocument/2006/relationships/hyperlink" Target="http://www.roche-et-cie.fr" TargetMode="External"/><Relationship  Id="rId14042" Type="http://schemas.openxmlformats.org/officeDocument/2006/relationships/hyperlink" Target="http://www.linkedin.com/in/damien-tujague-a34b0219a" TargetMode="External"/><Relationship  Id="rId14043" Type="http://schemas.openxmlformats.org/officeDocument/2006/relationships/hyperlink" Target="http://www.eda-france.fr" TargetMode="External"/><Relationship  Id="rId14044" Type="http://schemas.openxmlformats.org/officeDocument/2006/relationships/hyperlink" Target="http://www.linkedin.com/in/alban-elshani-734a06a0" TargetMode="External"/><Relationship  Id="rId14045" Type="http://schemas.openxmlformats.org/officeDocument/2006/relationships/hyperlink" Target="http://www.neoler.com" TargetMode="External"/><Relationship  Id="rId14046" Type="http://schemas.openxmlformats.org/officeDocument/2006/relationships/hyperlink" Target="http://www.linkedin.com/in/andr%c3%a9-herry-3842b7285" TargetMode="External"/><Relationship  Id="rId14047" Type="http://schemas.openxmlformats.org/officeDocument/2006/relationships/hyperlink" Target="http://www.oxymontage.com" TargetMode="External"/><Relationship  Id="rId14048" Type="http://schemas.openxmlformats.org/officeDocument/2006/relationships/hyperlink" Target="http://www.linkedin.com/in/zlatko-kristic-38652943" TargetMode="External"/><Relationship  Id="rId14049" Type="http://schemas.openxmlformats.org/officeDocument/2006/relationships/hyperlink" Target="http://www.amdf.fr" TargetMode="External"/><Relationship  Id="rId1405" Type="http://schemas.openxmlformats.org/officeDocument/2006/relationships/hyperlink" Target="http://www.linkedin.com/in/jean-vauvy-05565089" TargetMode="External"/><Relationship  Id="rId14050" Type="http://schemas.openxmlformats.org/officeDocument/2006/relationships/hyperlink" Target="http://www.linkedin.com/in/arnaud-renard-65156125a" TargetMode="External"/><Relationship  Id="rId14051" Type="http://schemas.openxmlformats.org/officeDocument/2006/relationships/hyperlink" Target="http://www.bonnardel.fr" TargetMode="External"/><Relationship  Id="rId14052" Type="http://schemas.openxmlformats.org/officeDocument/2006/relationships/hyperlink" Target="http://www.linkedin.com/in/alexis-meurillon-92bb31a0" TargetMode="External"/><Relationship  Id="rId14053" Type="http://schemas.openxmlformats.org/officeDocument/2006/relationships/hyperlink" Target="http://www.nys.fr" TargetMode="External"/><Relationship  Id="rId14054" Type="http://schemas.openxmlformats.org/officeDocument/2006/relationships/hyperlink" Target="http://www.linkedin.com/in/julien-heurtebize-77191ab0" TargetMode="External"/><Relationship  Id="rId14055" Type="http://schemas.openxmlformats.org/officeDocument/2006/relationships/hyperlink" Target="http://www.befaceb.fr" TargetMode="External"/><Relationship  Id="rId14056" Type="http://schemas.openxmlformats.org/officeDocument/2006/relationships/hyperlink" Target="http://www.linkedin.com/in/frederic-chalmin-6429548" TargetMode="External"/><Relationship  Id="rId14057" Type="http://schemas.openxmlformats.org/officeDocument/2006/relationships/hyperlink" Target="http://www.pactsnz.fr" TargetMode="External"/><Relationship  Id="rId14058" Type="http://schemas.openxmlformats.org/officeDocument/2006/relationships/hyperlink" Target="http://www.linkedin.com/in/romain-cardineau-1b79873a" TargetMode="External"/><Relationship  Id="rId14059" Type="http://schemas.openxmlformats.org/officeDocument/2006/relationships/hyperlink" Target="http://www.betdiese.fr" TargetMode="External"/><Relationship  Id="rId1406" Type="http://schemas.openxmlformats.org/officeDocument/2006/relationships/hyperlink" Target="http://www.vauvy.fr" TargetMode="External"/><Relationship  Id="rId14060" Type="http://schemas.openxmlformats.org/officeDocument/2006/relationships/hyperlink" Target="http://www.linkedin.com/in/flucklinger-j%c3%a9rome-1199b8105" TargetMode="External"/><Relationship  Id="rId14061" Type="http://schemas.openxmlformats.org/officeDocument/2006/relationships/hyperlink" Target="http://www.flucklinger.com" TargetMode="External"/><Relationship  Id="rId14062" Type="http://schemas.openxmlformats.org/officeDocument/2006/relationships/hyperlink" Target="http://www.linkedin.com/in/bryan-spitz-06593a19a" TargetMode="External"/><Relationship  Id="rId14063" Type="http://schemas.openxmlformats.org/officeDocument/2006/relationships/hyperlink" Target="http://www.abbs-habitat.fr" TargetMode="External"/><Relationship  Id="rId14064" Type="http://schemas.openxmlformats.org/officeDocument/2006/relationships/hyperlink" Target="http://www.linkedin.com/in/romain-jouan-700b03182" TargetMode="External"/><Relationship  Id="rId14065" Type="http://schemas.openxmlformats.org/officeDocument/2006/relationships/hyperlink" Target="http://www.linkedin.com/in/edouard-poisson-079b47171" TargetMode="External"/><Relationship  Id="rId14066" Type="http://schemas.openxmlformats.org/officeDocument/2006/relationships/hyperlink" Target="http://www.rolandopoisson.fr" TargetMode="External"/><Relationship  Id="rId14067" Type="http://schemas.openxmlformats.org/officeDocument/2006/relationships/hyperlink" Target="http://www.linkedin.com/in/patxi-elichiry" TargetMode="External"/><Relationship  Id="rId14068" Type="http://schemas.openxmlformats.org/officeDocument/2006/relationships/hyperlink" Target="http://www.pelatis.fr" TargetMode="External"/><Relationship  Id="rId14069" Type="http://schemas.openxmlformats.org/officeDocument/2006/relationships/hyperlink" Target="http://www.linkedin.com/in/patrice-mazza-5256391a3" TargetMode="External"/><Relationship  Id="rId1407" Type="http://schemas.openxmlformats.org/officeDocument/2006/relationships/hyperlink" Target="http://www.linkedin.com/in/gwenaelle-leveque-055901b1" TargetMode="External"/><Relationship  Id="rId14070" Type="http://schemas.openxmlformats.org/officeDocument/2006/relationships/hyperlink" Target="http://www.maisonszenith.com" TargetMode="External"/><Relationship  Id="rId14071" Type="http://schemas.openxmlformats.org/officeDocument/2006/relationships/hyperlink" Target="http://www.linkedin.com/in/jonathan-partouche-865711216" TargetMode="External"/><Relationship  Id="rId14072" Type="http://schemas.openxmlformats.org/officeDocument/2006/relationships/hyperlink" Target="http://www.bsh-france.fr" TargetMode="External"/><Relationship  Id="rId14073" Type="http://schemas.openxmlformats.org/officeDocument/2006/relationships/hyperlink" Target="http://www.linkedin.com/in/jefmarshall" TargetMode="External"/><Relationship  Id="rId14074" Type="http://schemas.openxmlformats.org/officeDocument/2006/relationships/hyperlink" Target="http://www.cjc-consulting.fr" TargetMode="External"/><Relationship  Id="rId14075" Type="http://schemas.openxmlformats.org/officeDocument/2006/relationships/hyperlink" Target="http://www.linkedin.com/in/bastien-galibert-183ab4101" TargetMode="External"/><Relationship  Id="rId14076" Type="http://schemas.openxmlformats.org/officeDocument/2006/relationships/hyperlink" Target="http://www.atb-agencement.com" TargetMode="External"/><Relationship  Id="rId14077" Type="http://schemas.openxmlformats.org/officeDocument/2006/relationships/hyperlink" Target="http://www.linkedin.com/in/stephane-paillat-47204b181" TargetMode="External"/><Relationship  Id="rId14078" Type="http://schemas.openxmlformats.org/officeDocument/2006/relationships/hyperlink" Target="http://www.barbarittexier.fr" TargetMode="External"/><Relationship  Id="rId14079" Type="http://schemas.openxmlformats.org/officeDocument/2006/relationships/hyperlink" Target="http://www.linkedin.com/in/antoine-paemelaere" TargetMode="External"/><Relationship  Id="rId1408" Type="http://schemas.openxmlformats.org/officeDocument/2006/relationships/hyperlink" Target="http://www.domainedecice.com" TargetMode="External"/><Relationship  Id="rId14080" Type="http://schemas.openxmlformats.org/officeDocument/2006/relationships/hyperlink" Target="http://www.yalink.fr" TargetMode="External"/><Relationship  Id="rId14081" Type="http://schemas.openxmlformats.org/officeDocument/2006/relationships/hyperlink" Target="http://www.linkedin.com/in/benjamin-guy-11418913b" TargetMode="External"/><Relationship  Id="rId14082" Type="http://schemas.openxmlformats.org/officeDocument/2006/relationships/hyperlink" Target="http://www.subclic.com" TargetMode="External"/><Relationship  Id="rId14083" Type="http://schemas.openxmlformats.org/officeDocument/2006/relationships/hyperlink" Target="http://www.linkedin.com/in/st%c3%a9phanie-riffet-637007a5" TargetMode="External"/><Relationship  Id="rId14084" Type="http://schemas.openxmlformats.org/officeDocument/2006/relationships/hyperlink" Target="http://www.rgabet.com" TargetMode="External"/><Relationship  Id="rId14085" Type="http://schemas.openxmlformats.org/officeDocument/2006/relationships/hyperlink" Target="http://www.linkedin.com/in/cedric-guerin-880594a5" TargetMode="External"/><Relationship  Id="rId14086" Type="http://schemas.openxmlformats.org/officeDocument/2006/relationships/hyperlink" Target="http://www.spac95.net" TargetMode="External"/><Relationship  Id="rId14087" Type="http://schemas.openxmlformats.org/officeDocument/2006/relationships/hyperlink" Target="http://www.linkedin.com/in/eric-hartweg-33544793" TargetMode="External"/><Relationship  Id="rId14088" Type="http://schemas.openxmlformats.org/officeDocument/2006/relationships/hyperlink" Target="http://www.spldeuxrives.eu" TargetMode="External"/><Relationship  Id="rId14089" Type="http://schemas.openxmlformats.org/officeDocument/2006/relationships/hyperlink" Target="http://www.linkedin.com/in/vincentpepin" TargetMode="External"/><Relationship  Id="rId1409" Type="http://schemas.openxmlformats.org/officeDocument/2006/relationships/hyperlink" Target="http://www.linkedin.com/in/laurette-lapeine-14001819a" TargetMode="External"/><Relationship  Id="rId14090" Type="http://schemas.openxmlformats.org/officeDocument/2006/relationships/hyperlink" Target="http://www.linkedin.com/in/lo%c3%afc-fiquet-a7907581" TargetMode="External"/><Relationship  Id="rId14091" Type="http://schemas.openxmlformats.org/officeDocument/2006/relationships/hyperlink" Target="http://www.deltarealisation.com" TargetMode="External"/><Relationship  Id="rId14092" Type="http://schemas.openxmlformats.org/officeDocument/2006/relationships/hyperlink" Target="http://www.linkedin.com/in/arnaud-laurent-a98b33b5" TargetMode="External"/><Relationship  Id="rId14093" Type="http://schemas.openxmlformats.org/officeDocument/2006/relationships/hyperlink" Target="http://www.sudetec.fr" TargetMode="External"/><Relationship  Id="rId14094" Type="http://schemas.openxmlformats.org/officeDocument/2006/relationships/hyperlink" Target="http://www.linkedin.com/in/aude-delaunay-2868bb69" TargetMode="External"/><Relationship  Id="rId14095" Type="http://schemas.openxmlformats.org/officeDocument/2006/relationships/hyperlink" Target="http://www.maisons-rennaises.fr" TargetMode="External"/><Relationship  Id="rId14096" Type="http://schemas.openxmlformats.org/officeDocument/2006/relationships/hyperlink" Target="http://www.linkedin.com/in/davidlecuiller" TargetMode="External"/><Relationship  Id="rId14097" Type="http://schemas.openxmlformats.org/officeDocument/2006/relationships/hyperlink" Target="http://www.arkegreen.com" TargetMode="External"/><Relationship  Id="rId14098" Type="http://schemas.openxmlformats.org/officeDocument/2006/relationships/hyperlink" Target="http://www.linkedin.com/in/marco-pereira-8b8b01283" TargetMode="External"/><Relationship  Id="rId14099" Type="http://schemas.openxmlformats.org/officeDocument/2006/relationships/hyperlink" Target="http://www.weldsenergy.fr" TargetMode="External"/><Relationship  Id="rId141" Type="http://schemas.openxmlformats.org/officeDocument/2006/relationships/hyperlink" Target="http://www.bomayeclub.com" TargetMode="External"/><Relationship  Id="rId1410" Type="http://schemas.openxmlformats.org/officeDocument/2006/relationships/hyperlink" Target="http://www.horizon-resort.com" TargetMode="External"/><Relationship  Id="rId14100" Type="http://schemas.openxmlformats.org/officeDocument/2006/relationships/hyperlink" Target="http://www.linkedin.com/in/edouard-p%c3%a9ri%c3%a9-6b811171" TargetMode="External"/><Relationship  Id="rId14101" Type="http://schemas.openxmlformats.org/officeDocument/2006/relationships/hyperlink" Target="http://www.bativrd.com" TargetMode="External"/><Relationship  Id="rId14102" Type="http://schemas.openxmlformats.org/officeDocument/2006/relationships/hyperlink" Target="http://www.linkedin.com/in/philip-garbutt-27234931" TargetMode="External"/><Relationship  Id="rId14103" Type="http://schemas.openxmlformats.org/officeDocument/2006/relationships/hyperlink" Target="http://www.db-structures.com" TargetMode="External"/><Relationship  Id="rId14104" Type="http://schemas.openxmlformats.org/officeDocument/2006/relationships/hyperlink" Target="http://www.linkedin.com/in/laurentmontegut" TargetMode="External"/><Relationship  Id="rId14105" Type="http://schemas.openxmlformats.org/officeDocument/2006/relationships/hyperlink" Target="http://www.360sc.io" TargetMode="External"/><Relationship  Id="rId14106" Type="http://schemas.openxmlformats.org/officeDocument/2006/relationships/hyperlink" Target="http://www.linkedin.com/in/jeromepinart" TargetMode="External"/><Relationship  Id="rId14107" Type="http://schemas.openxmlformats.org/officeDocument/2006/relationships/hyperlink" Target="http://www.chaignard.fr" TargetMode="External"/><Relationship  Id="rId14108" Type="http://schemas.openxmlformats.org/officeDocument/2006/relationships/hyperlink" Target="http://www.linkedin.com/in/mario-chifor-28590517b" TargetMode="External"/><Relationship  Id="rId14109" Type="http://schemas.openxmlformats.org/officeDocument/2006/relationships/hyperlink" Target="http://www.krtgroupe.fr" TargetMode="External"/><Relationship  Id="rId1411" Type="http://schemas.openxmlformats.org/officeDocument/2006/relationships/hyperlink" Target="http://www.linkedin.com/in/christophe-exposito-0a58981b5" TargetMode="External"/><Relationship  Id="rId14110" Type="http://schemas.openxmlformats.org/officeDocument/2006/relationships/hyperlink" Target="http://www.linkedin.com/in/cyril-carboni-58070a4" TargetMode="External"/><Relationship  Id="rId14111" Type="http://schemas.openxmlformats.org/officeDocument/2006/relationships/hyperlink" Target="http://www.armatures.fr" TargetMode="External"/><Relationship  Id="rId14112" Type="http://schemas.openxmlformats.org/officeDocument/2006/relationships/hyperlink" Target="http://www.linkedin.com/in/genevi%c3%a8ve-marais-2b7383b5" TargetMode="External"/><Relationship  Id="rId14113" Type="http://schemas.openxmlformats.org/officeDocument/2006/relationships/hyperlink" Target="http://www.aquatech-innovation.com" TargetMode="External"/><Relationship  Id="rId14114" Type="http://schemas.openxmlformats.org/officeDocument/2006/relationships/hyperlink" Target="http://www.linkedin.com/in/olivier-dixneuf-32ab77a8" TargetMode="External"/><Relationship  Id="rId14115" Type="http://schemas.openxmlformats.org/officeDocument/2006/relationships/hyperlink" Target="http://www.renoval-abris-piscine.com" TargetMode="External"/><Relationship  Id="rId14116" Type="http://schemas.openxmlformats.org/officeDocument/2006/relationships/hyperlink" Target="http://www.linkedin.com/in/r%c3%a9mi-peiller-64a592151" TargetMode="External"/><Relationship  Id="rId14117" Type="http://schemas.openxmlformats.org/officeDocument/2006/relationships/hyperlink" Target="http://www.groupe-despretz.fr" TargetMode="External"/><Relationship  Id="rId14118" Type="http://schemas.openxmlformats.org/officeDocument/2006/relationships/hyperlink" Target="http://www.linkedin.com/in/brice-campo-67917a180" TargetMode="External"/><Relationship  Id="rId14119" Type="http://schemas.openxmlformats.org/officeDocument/2006/relationships/hyperlink" Target="http://www.so-ca-bat.fr" TargetMode="External"/><Relationship  Id="rId1412" Type="http://schemas.openxmlformats.org/officeDocument/2006/relationships/hyperlink" Target="http://www.cordial-restaurant.com" TargetMode="External"/><Relationship  Id="rId14120" Type="http://schemas.openxmlformats.org/officeDocument/2006/relationships/hyperlink" Target="http://www.linkedin.com/in/pierre-jorda-159096198" TargetMode="External"/><Relationship  Id="rId14121" Type="http://schemas.openxmlformats.org/officeDocument/2006/relationships/hyperlink" Target="http://www.artdecor78.com" TargetMode="External"/><Relationship  Id="rId14122" Type="http://schemas.openxmlformats.org/officeDocument/2006/relationships/hyperlink" Target="http://www.linkedin.com/in/alain-schwartz-a059b2129" TargetMode="External"/><Relationship  Id="rId14123" Type="http://schemas.openxmlformats.org/officeDocument/2006/relationships/hyperlink" Target="http://www.batiment-service.fr" TargetMode="External"/><Relationship  Id="rId14124" Type="http://schemas.openxmlformats.org/officeDocument/2006/relationships/hyperlink" Target="http://www.linkedin.com/in/st%c3%a9phane-gauthier-b506961bb" TargetMode="External"/><Relationship  Id="rId14125" Type="http://schemas.openxmlformats.org/officeDocument/2006/relationships/hyperlink" Target="http://www.aebelectricite.com" TargetMode="External"/><Relationship  Id="rId14126" Type="http://schemas.openxmlformats.org/officeDocument/2006/relationships/hyperlink" Target="http://www.linkedin.com/in/karim-allali-010256103" TargetMode="External"/><Relationship  Id="rId14127" Type="http://schemas.openxmlformats.org/officeDocument/2006/relationships/hyperlink" Target="http://www.kalia-menuiserie.fr" TargetMode="External"/><Relationship  Id="rId14128" Type="http://schemas.openxmlformats.org/officeDocument/2006/relationships/hyperlink" Target="http://www.linkedin.com/in/eric-meffre-b56880125" TargetMode="External"/><Relationship  Id="rId14129" Type="http://schemas.openxmlformats.org/officeDocument/2006/relationships/hyperlink" Target="http://www.sas-teyssier.com" TargetMode="External"/><Relationship  Id="rId1413" Type="http://schemas.openxmlformats.org/officeDocument/2006/relationships/hyperlink" Target="http://www.linkedin.com/in/gr%c3%a9goire-de-scorbiac-b1a67084" TargetMode="External"/><Relationship  Id="rId14130" Type="http://schemas.openxmlformats.org/officeDocument/2006/relationships/hyperlink" Target="http://www.linkedin.com/in/vincent-capitaine-72a153124" TargetMode="External"/><Relationship  Id="rId14131" Type="http://schemas.openxmlformats.org/officeDocument/2006/relationships/hyperlink" Target="http://www.cappel.fr" TargetMode="External"/><Relationship  Id="rId14132" Type="http://schemas.openxmlformats.org/officeDocument/2006/relationships/hyperlink" Target="http://www.linkedin.com/in/jonathan-chemlali-1403201b7" TargetMode="External"/><Relationship  Id="rId14133" Type="http://schemas.openxmlformats.org/officeDocument/2006/relationships/hyperlink" Target="http://www.acrpatrimoine.fr" TargetMode="External"/><Relationship  Id="rId14134" Type="http://schemas.openxmlformats.org/officeDocument/2006/relationships/hyperlink" Target="http://www.linkedin.com/in/pierre-marie-maho-0a8553b7" TargetMode="External"/><Relationship  Id="rId14135" Type="http://schemas.openxmlformats.org/officeDocument/2006/relationships/hyperlink" Target="http://www.maho.fr" TargetMode="External"/><Relationship  Id="rId14136" Type="http://schemas.openxmlformats.org/officeDocument/2006/relationships/hyperlink" Target="http://www.linkedin.com/in/alexis-chassain-b1782286" TargetMode="External"/><Relationship  Id="rId14137" Type="http://schemas.openxmlformats.org/officeDocument/2006/relationships/hyperlink" Target="http://www.groupe-aleatec.com" TargetMode="External"/><Relationship  Id="rId14138" Type="http://schemas.openxmlformats.org/officeDocument/2006/relationships/hyperlink" Target="http://www.linkedin.com/in/julien-garnier-11860356" TargetMode="External"/><Relationship  Id="rId14139" Type="http://schemas.openxmlformats.org/officeDocument/2006/relationships/hyperlink" Target="http://www.cardonnel.fr" TargetMode="External"/><Relationship  Id="rId1414" Type="http://schemas.openxmlformats.org/officeDocument/2006/relationships/hyperlink" Target="http://www.canard-street.fr" TargetMode="External"/><Relationship  Id="rId14140" Type="http://schemas.openxmlformats.org/officeDocument/2006/relationships/hyperlink" Target="http://www.linkedin.com/in/antoine-russail-7bb47048" TargetMode="External"/><Relationship  Id="rId14141" Type="http://schemas.openxmlformats.org/officeDocument/2006/relationships/hyperlink" Target="http://www.reuxtravaux.fr" TargetMode="External"/><Relationship  Id="rId14142" Type="http://schemas.openxmlformats.org/officeDocument/2006/relationships/hyperlink" Target="http://www.linkedin.com/in/erwann-belleguic-7614ab140" TargetMode="External"/><Relationship  Id="rId14143" Type="http://schemas.openxmlformats.org/officeDocument/2006/relationships/hyperlink" Target="http://www.ceme.pro" TargetMode="External"/><Relationship  Id="rId14144" Type="http://schemas.openxmlformats.org/officeDocument/2006/relationships/hyperlink" Target="http://www.linkedin.com/in/mathieu-gitzhofer-2ab699a4" TargetMode="External"/><Relationship  Id="rId14145" Type="http://schemas.openxmlformats.org/officeDocument/2006/relationships/hyperlink" Target="http://www.eurogranulats.fr" TargetMode="External"/><Relationship  Id="rId14146" Type="http://schemas.openxmlformats.org/officeDocument/2006/relationships/hyperlink" Target="http://www.linkedin.com/in/c%c3%a9dric-marin-08b312243" TargetMode="External"/><Relationship  Id="rId14147" Type="http://schemas.openxmlformats.org/officeDocument/2006/relationships/hyperlink" Target="http://www.mfmg.fr" TargetMode="External"/><Relationship  Id="rId14148" Type="http://schemas.openxmlformats.org/officeDocument/2006/relationships/hyperlink" Target="http://www.linkedin.com/in/alexandre-specklin-373736b3" TargetMode="External"/><Relationship  Id="rId14149" Type="http://schemas.openxmlformats.org/officeDocument/2006/relationships/hyperlink" Target="http://www.arcades-solutions.fr" TargetMode="External"/><Relationship  Id="rId1415" Type="http://schemas.openxmlformats.org/officeDocument/2006/relationships/hyperlink" Target="http://www.linkedin.com/in/vincent-giraud-52004719" TargetMode="External"/><Relationship  Id="rId14150" Type="http://schemas.openxmlformats.org/officeDocument/2006/relationships/hyperlink" Target="http://www.linkedin.com/in/laurence-druon-24b059159" TargetMode="External"/><Relationship  Id="rId14151" Type="http://schemas.openxmlformats.org/officeDocument/2006/relationships/hyperlink" Target="http://www.lowcalbat.fr" TargetMode="External"/><Relationship  Id="rId14152" Type="http://schemas.openxmlformats.org/officeDocument/2006/relationships/hyperlink" Target="http://www.linkedin.com/in/mohamed-labalu-labbane-67b7a3124" TargetMode="External"/><Relationship  Id="rId14153" Type="http://schemas.openxmlformats.org/officeDocument/2006/relationships/hyperlink" Target="http://www.labalu.com" TargetMode="External"/><Relationship  Id="rId14154" Type="http://schemas.openxmlformats.org/officeDocument/2006/relationships/hyperlink" Target="http://www.linkedin.com/in/samir-belarouci-ab9930155" TargetMode="External"/><Relationship  Id="rId14155" Type="http://schemas.openxmlformats.org/officeDocument/2006/relationships/hyperlink" Target="http://www.batexpert.fr" TargetMode="External"/><Relationship  Id="rId14156" Type="http://schemas.openxmlformats.org/officeDocument/2006/relationships/hyperlink" Target="http://www.linkedin.com/in/tolgay-yildiz-highcube" TargetMode="External"/><Relationship  Id="rId14157" Type="http://schemas.openxmlformats.org/officeDocument/2006/relationships/hyperlink" Target="http://www.highcube.fr" TargetMode="External"/><Relationship  Id="rId14158" Type="http://schemas.openxmlformats.org/officeDocument/2006/relationships/hyperlink" Target="http://www.linkedin.com/in/laurent-baffy-662a072" TargetMode="External"/><Relationship  Id="rId14159" Type="http://schemas.openxmlformats.org/officeDocument/2006/relationships/hyperlink" Target="http://www.baffy.fr" TargetMode="External"/><Relationship  Id="rId1416" Type="http://schemas.openxmlformats.org/officeDocument/2006/relationships/hyperlink" Target="http://www.vpi-agency.com" TargetMode="External"/><Relationship  Id="rId14160" Type="http://schemas.openxmlformats.org/officeDocument/2006/relationships/hyperlink" Target="http://www.linkedin.com/in/olivier-gr%c3%bcn-752746158" TargetMode="External"/><Relationship  Id="rId14161" Type="http://schemas.openxmlformats.org/officeDocument/2006/relationships/hyperlink" Target="http://www.davidsa.fr" TargetMode="External"/><Relationship  Id="rId14162" Type="http://schemas.openxmlformats.org/officeDocument/2006/relationships/hyperlink" Target="http://www.linkedin.com/in/st%c3%a9phanie-commandeur-07474161" TargetMode="External"/><Relationship  Id="rId14163" Type="http://schemas.openxmlformats.org/officeDocument/2006/relationships/hyperlink" Target="http://www.normandie-drainage.com" TargetMode="External"/><Relationship  Id="rId14164" Type="http://schemas.openxmlformats.org/officeDocument/2006/relationships/hyperlink" Target="http://www.linkedin.com/in/r%c3%a9my-toulouse-609762148" TargetMode="External"/><Relationship  Id="rId14165" Type="http://schemas.openxmlformats.org/officeDocument/2006/relationships/hyperlink" Target="http://www.brun-ceccotti-med.fr" TargetMode="External"/><Relationship  Id="rId14166" Type="http://schemas.openxmlformats.org/officeDocument/2006/relationships/hyperlink" Target="http://www.linkedin.com/in/didier-kuss-b774032b" TargetMode="External"/><Relationship  Id="rId14167" Type="http://schemas.openxmlformats.org/officeDocument/2006/relationships/hyperlink" Target="http://www.r3s-france.fr" TargetMode="External"/><Relationship  Id="rId14168" Type="http://schemas.openxmlformats.org/officeDocument/2006/relationships/hyperlink" Target="http://www.linkedin.com/in/olivier-schmitt-3aa8b512a" TargetMode="External"/><Relationship  Id="rId14169" Type="http://schemas.openxmlformats.org/officeDocument/2006/relationships/hyperlink" Target="http://www.sotralentz-construction.com" TargetMode="External"/><Relationship  Id="rId1417" Type="http://schemas.openxmlformats.org/officeDocument/2006/relationships/hyperlink" Target="http://www.linkedin.com/in/gregory-boegly-b47436174" TargetMode="External"/><Relationship  Id="rId14170" Type="http://schemas.openxmlformats.org/officeDocument/2006/relationships/hyperlink" Target="http://www.linkedin.com/in/romain-serby-067469201" TargetMode="External"/><Relationship  Id="rId14171" Type="http://schemas.openxmlformats.org/officeDocument/2006/relationships/hyperlink" Target="http://www.groupe-engo.com" TargetMode="External"/><Relationship  Id="rId14172" Type="http://schemas.openxmlformats.org/officeDocument/2006/relationships/hyperlink" Target="http://www.linkedin.com/in/petru-stefancu-537707167" TargetMode="External"/><Relationship  Id="rId14173" Type="http://schemas.openxmlformats.org/officeDocument/2006/relationships/hyperlink" Target="http://www.cmbb.eu" TargetMode="External"/><Relationship  Id="rId14174" Type="http://schemas.openxmlformats.org/officeDocument/2006/relationships/hyperlink" Target="http://www.linkedin.com/in/noyelle-emmanuel-44711914b" TargetMode="External"/><Relationship  Id="rId14175" Type="http://schemas.openxmlformats.org/officeDocument/2006/relationships/hyperlink" Target="http://www.apluselec.fr" TargetMode="External"/><Relationship  Id="rId14176" Type="http://schemas.openxmlformats.org/officeDocument/2006/relationships/hyperlink" Target="http://www.linkedin.com/in/st%c3%a9phane-roldo-041396114" TargetMode="External"/><Relationship  Id="rId14177" Type="http://schemas.openxmlformats.org/officeDocument/2006/relationships/hyperlink" Target="http://www.atpv.fr" TargetMode="External"/><Relationship  Id="rId14178" Type="http://schemas.openxmlformats.org/officeDocument/2006/relationships/hyperlink" Target="http://www.linkedin.com/in/gaby-tayoun-3729432" TargetMode="External"/><Relationship  Id="rId14179" Type="http://schemas.openxmlformats.org/officeDocument/2006/relationships/hyperlink" Target="http://www.mfpglobal.com" TargetMode="External"/><Relationship  Id="rId1418" Type="http://schemas.openxmlformats.org/officeDocument/2006/relationships/hyperlink" Target="http://www.le-caribeen.fr" TargetMode="External"/><Relationship  Id="rId14180" Type="http://schemas.openxmlformats.org/officeDocument/2006/relationships/hyperlink" Target="http://www.linkedin.com/in/franck-chabrier-16a86832" TargetMode="External"/><Relationship  Id="rId14181" Type="http://schemas.openxmlformats.org/officeDocument/2006/relationships/hyperlink" Target="http://www.totemm.fr" TargetMode="External"/><Relationship  Id="rId14182" Type="http://schemas.openxmlformats.org/officeDocument/2006/relationships/hyperlink" Target="http://www.linkedin.com/in/ludovic-llopis-834595141" TargetMode="External"/><Relationship  Id="rId14183" Type="http://schemas.openxmlformats.org/officeDocument/2006/relationships/hyperlink" Target="http://www.groupe-brassier.com" TargetMode="External"/><Relationship  Id="rId14184" Type="http://schemas.openxmlformats.org/officeDocument/2006/relationships/hyperlink" Target="http://www.linkedin.com/in/maxime-blondel-rouen" TargetMode="External"/><Relationship  Id="rId14185" Type="http://schemas.openxmlformats.org/officeDocument/2006/relationships/hyperlink" Target="http://www.ac2f-normandie.fr" TargetMode="External"/><Relationship  Id="rId14186" Type="http://schemas.openxmlformats.org/officeDocument/2006/relationships/hyperlink" Target="http://www.linkedin.com/in/atilah-cacan-4650749a" TargetMode="External"/><Relationship  Id="rId14187" Type="http://schemas.openxmlformats.org/officeDocument/2006/relationships/hyperlink" Target="http://www.crpravalement.fr" TargetMode="External"/><Relationship  Id="rId14188" Type="http://schemas.openxmlformats.org/officeDocument/2006/relationships/hyperlink" Target="http://www.linkedin.com/in/alexandre-valente-2690a1150" TargetMode="External"/><Relationship  Id="rId14189" Type="http://schemas.openxmlformats.org/officeDocument/2006/relationships/hyperlink" Target="http://www.valente-construction.fr" TargetMode="External"/><Relationship  Id="rId1419" Type="http://schemas.openxmlformats.org/officeDocument/2006/relationships/hyperlink" Target="http://www.linkedin.com/in/tgibausset" TargetMode="External"/><Relationship  Id="rId14190" Type="http://schemas.openxmlformats.org/officeDocument/2006/relationships/hyperlink" Target="http://www.linkedin.com/in/nicolas-capuano-8b9629130" TargetMode="External"/><Relationship  Id="rId14191" Type="http://schemas.openxmlformats.org/officeDocument/2006/relationships/hyperlink" Target="http://www.loireclimchauffage.fr" TargetMode="External"/><Relationship  Id="rId14192" Type="http://schemas.openxmlformats.org/officeDocument/2006/relationships/hyperlink" Target="http://www.linkedin.com/in/jennyfer-carreau-01ab947a" TargetMode="External"/><Relationship  Id="rId14193" Type="http://schemas.openxmlformats.org/officeDocument/2006/relationships/hyperlink" Target="http://www.useco.fr" TargetMode="External"/><Relationship  Id="rId14194" Type="http://schemas.openxmlformats.org/officeDocument/2006/relationships/hyperlink" Target="http://www.linkedin.com/in/fr%c3%a9d%c3%a9ric-lecat-a8b278224" TargetMode="External"/><Relationship  Id="rId14195" Type="http://schemas.openxmlformats.org/officeDocument/2006/relationships/hyperlink" Target="http://www.maisonsortelli.fr" TargetMode="External"/><Relationship  Id="rId14196" Type="http://schemas.openxmlformats.org/officeDocument/2006/relationships/hyperlink" Target="http://www.linkedin.com/in/yannick-mary-68718911" TargetMode="External"/><Relationship  Id="rId14197" Type="http://schemas.openxmlformats.org/officeDocument/2006/relationships/hyperlink" Target="http://www.yodamaster.fr" TargetMode="External"/><Relationship  Id="rId14198" Type="http://schemas.openxmlformats.org/officeDocument/2006/relationships/hyperlink" Target="http://www.linkedin.com/in/florent-avenas-893b47193" TargetMode="External"/><Relationship  Id="rId14199" Type="http://schemas.openxmlformats.org/officeDocument/2006/relationships/hyperlink" Target="http://www.sapec-ra.com" TargetMode="External"/><Relationship  Id="rId142" Type="http://schemas.openxmlformats.org/officeDocument/2006/relationships/hyperlink" Target="http://www.linkedin.com/in/damien-porthault-511321152" TargetMode="External"/><Relationship  Id="rId1420" Type="http://schemas.openxmlformats.org/officeDocument/2006/relationships/hyperlink" Target="http://www.quotelo.io" TargetMode="External"/><Relationship  Id="rId14200" Type="http://schemas.openxmlformats.org/officeDocument/2006/relationships/hyperlink" Target="http://www.linkedin.com/in/didier-namy-30a0b1205" TargetMode="External"/><Relationship  Id="rId14201" Type="http://schemas.openxmlformats.org/officeDocument/2006/relationships/hyperlink" Target="http://www.hild.fr" TargetMode="External"/><Relationship  Id="rId14202" Type="http://schemas.openxmlformats.org/officeDocument/2006/relationships/hyperlink" Target="http://www.linkedin.com/in/julien-cormerais-13b1b682" TargetMode="External"/><Relationship  Id="rId14203" Type="http://schemas.openxmlformats.org/officeDocument/2006/relationships/hyperlink" Target="http://www.cmbs.fr" TargetMode="External"/><Relationship  Id="rId14204" Type="http://schemas.openxmlformats.org/officeDocument/2006/relationships/hyperlink" Target="http://www.linkedin.com/in/ludovic-schwartz-29b27519a" TargetMode="External"/><Relationship  Id="rId14205" Type="http://schemas.openxmlformats.org/officeDocument/2006/relationships/hyperlink" Target="http://www.mitek.fr" TargetMode="External"/><Relationship  Id="rId14206" Type="http://schemas.openxmlformats.org/officeDocument/2006/relationships/hyperlink" Target="http://www.linkedin.com/in/stephane-lheriau-a6a73543" TargetMode="External"/><Relationship  Id="rId14207" Type="http://schemas.openxmlformats.org/officeDocument/2006/relationships/hyperlink" Target="http://www.asterm.com" TargetMode="External"/><Relationship  Id="rId14208" Type="http://schemas.openxmlformats.org/officeDocument/2006/relationships/hyperlink" Target="http://www.linkedin.com/in/laurent-mazieres-66a453115" TargetMode="External"/><Relationship  Id="rId14209" Type="http://schemas.openxmlformats.org/officeDocument/2006/relationships/hyperlink" Target="http://www.sodeter.net" TargetMode="External"/><Relationship  Id="rId1421" Type="http://schemas.openxmlformats.org/officeDocument/2006/relationships/hyperlink" Target="http://www.linkedin.com/in/bertrand-hesnard-27569a34" TargetMode="External"/><Relationship  Id="rId14210" Type="http://schemas.openxmlformats.org/officeDocument/2006/relationships/hyperlink" Target="http://www.linkedin.com/in/gildas-guilloux" TargetMode="External"/><Relationship  Id="rId14211" Type="http://schemas.openxmlformats.org/officeDocument/2006/relationships/hyperlink" Target="http://www.rainea.fr" TargetMode="External"/><Relationship  Id="rId14212" Type="http://schemas.openxmlformats.org/officeDocument/2006/relationships/hyperlink" Target="http://www.linkedin.com/in/nicolas-guilbert-0b77a368" TargetMode="External"/><Relationship  Id="rId14213" Type="http://schemas.openxmlformats.org/officeDocument/2006/relationships/hyperlink" Target="http://www.alcadclim.com" TargetMode="External"/><Relationship  Id="rId14214" Type="http://schemas.openxmlformats.org/officeDocument/2006/relationships/hyperlink" Target="http://www.linkedin.com/in/bruno-martin-43b8a2113" TargetMode="External"/><Relationship  Id="rId14215" Type="http://schemas.openxmlformats.org/officeDocument/2006/relationships/hyperlink" Target="http://www.demathieu-bard-maintenance.fr" TargetMode="External"/><Relationship  Id="rId14216" Type="http://schemas.openxmlformats.org/officeDocument/2006/relationships/hyperlink" Target="http://www.linkedin.com/in/laurent-petitjean-12190b175" TargetMode="External"/><Relationship  Id="rId14217" Type="http://schemas.openxmlformats.org/officeDocument/2006/relationships/hyperlink" Target="http://www.elypso.fr" TargetMode="External"/><Relationship  Id="rId14218" Type="http://schemas.openxmlformats.org/officeDocument/2006/relationships/hyperlink" Target="http://www.linkedin.com/in/yannick-stasia-696b23b7" TargetMode="External"/><Relationship  Id="rId14219" Type="http://schemas.openxmlformats.org/officeDocument/2006/relationships/hyperlink" Target="http://www.faconeo.com" TargetMode="External"/><Relationship  Id="rId1422" Type="http://schemas.openxmlformats.org/officeDocument/2006/relationships/hyperlink" Target="http://www.groupe-kolibri.com" TargetMode="External"/><Relationship  Id="rId14220" Type="http://schemas.openxmlformats.org/officeDocument/2006/relationships/hyperlink" Target="http://www.linkedin.com/in/nicolas-bouchez-3a565813a" TargetMode="External"/><Relationship  Id="rId14221" Type="http://schemas.openxmlformats.org/officeDocument/2006/relationships/hyperlink" Target="http://www.rallie-elec.fr" TargetMode="External"/><Relationship  Id="rId14222" Type="http://schemas.openxmlformats.org/officeDocument/2006/relationships/hyperlink" Target="http://www.linkedin.com/in/baptiste-borniambuc-1b3697108" TargetMode="External"/><Relationship  Id="rId14223" Type="http://schemas.openxmlformats.org/officeDocument/2006/relationships/hyperlink" Target="http://www.somedec-materiaux.fr" TargetMode="External"/><Relationship  Id="rId14224" Type="http://schemas.openxmlformats.org/officeDocument/2006/relationships/hyperlink" Target="http://www.linkedin.com/in/marc-liziard-025625a4" TargetMode="External"/><Relationship  Id="rId14225" Type="http://schemas.openxmlformats.org/officeDocument/2006/relationships/hyperlink" Target="http://www.liziard.fr" TargetMode="External"/><Relationship  Id="rId14226" Type="http://schemas.openxmlformats.org/officeDocument/2006/relationships/hyperlink" Target="http://www.linkedin.com/in/adrien-botineau-62141818a" TargetMode="External"/><Relationship  Id="rId14227" Type="http://schemas.openxmlformats.org/officeDocument/2006/relationships/hyperlink" Target="http://www.latieulebtp.com" TargetMode="External"/><Relationship  Id="rId14228" Type="http://schemas.openxmlformats.org/officeDocument/2006/relationships/hyperlink" Target="http://www.linkedin.com/in/j%c3%a9r%c3%b4me-verzegnassi-341295132" TargetMode="External"/><Relationship  Id="rId14229" Type="http://schemas.openxmlformats.org/officeDocument/2006/relationships/hyperlink" Target="http://www.atelierjv.com.au" TargetMode="External"/><Relationship  Id="rId1423" Type="http://schemas.openxmlformats.org/officeDocument/2006/relationships/hyperlink" Target="http://www.linkedin.com/in/riad-boucetta-8b204589" TargetMode="External"/><Relationship  Id="rId14230" Type="http://schemas.openxmlformats.org/officeDocument/2006/relationships/hyperlink" Target="http://www.linkedin.com/in/mesut-koc-8069871a0" TargetMode="External"/><Relationship  Id="rId14231" Type="http://schemas.openxmlformats.org/officeDocument/2006/relationships/hyperlink" Target="http://www.mls-construction.fr" TargetMode="External"/><Relationship  Id="rId14232" Type="http://schemas.openxmlformats.org/officeDocument/2006/relationships/hyperlink" Target="http://www.linkedin.com/in/johann-couton-9277a6155" TargetMode="External"/><Relationship  Id="rId14233" Type="http://schemas.openxmlformats.org/officeDocument/2006/relationships/hyperlink" Target="http://www.voisin-constructions.fr" TargetMode="External"/><Relationship  Id="rId14234" Type="http://schemas.openxmlformats.org/officeDocument/2006/relationships/hyperlink" Target="http://www.linkedin.com/in/hamid-ferhat-922000138" TargetMode="External"/><Relationship  Id="rId14235" Type="http://schemas.openxmlformats.org/officeDocument/2006/relationships/hyperlink" Target="http://www.baticelgroupe.com" TargetMode="External"/><Relationship  Id="rId14236" Type="http://schemas.openxmlformats.org/officeDocument/2006/relationships/hyperlink" Target="http://www.linkedin.com/in/joachim-wenger-8a22b411a" TargetMode="External"/><Relationship  Id="rId14237" Type="http://schemas.openxmlformats.org/officeDocument/2006/relationships/hyperlink" Target="http://www.procontain.fr" TargetMode="External"/><Relationship  Id="rId14238" Type="http://schemas.openxmlformats.org/officeDocument/2006/relationships/hyperlink" Target="http://www.linkedin.com/in/denis-renevot-6a4981159" TargetMode="External"/><Relationship  Id="rId14239" Type="http://schemas.openxmlformats.org/officeDocument/2006/relationships/hyperlink" Target="http://www.labastere33-technal.fr" TargetMode="External"/><Relationship  Id="rId1424" Type="http://schemas.openxmlformats.org/officeDocument/2006/relationships/hyperlink" Target="http://www.jadehospitalitygroup.com" TargetMode="External"/><Relationship  Id="rId14240" Type="http://schemas.openxmlformats.org/officeDocument/2006/relationships/hyperlink" Target="http://www.linkedin.com/in/jacques-burette-pommay-1799b41b0" TargetMode="External"/><Relationship  Id="rId14241" Type="http://schemas.openxmlformats.org/officeDocument/2006/relationships/hyperlink" Target="http://www.lenaud.com" TargetMode="External"/><Relationship  Id="rId14242" Type="http://schemas.openxmlformats.org/officeDocument/2006/relationships/hyperlink" Target="http://www.linkedin.com/in/laurent-morlot-0b24a910a" TargetMode="External"/><Relationship  Id="rId14243" Type="http://schemas.openxmlformats.org/officeDocument/2006/relationships/hyperlink" Target="http://www.morlotgroup.com" TargetMode="External"/><Relationship  Id="rId14244" Type="http://schemas.openxmlformats.org/officeDocument/2006/relationships/hyperlink" Target="http://www.linkedin.com/in/pascal-tremblais-9810a0181" TargetMode="External"/><Relationship  Id="rId14245" Type="http://schemas.openxmlformats.org/officeDocument/2006/relationships/hyperlink" Target="http://www.tremblais.fr" TargetMode="External"/><Relationship  Id="rId14246" Type="http://schemas.openxmlformats.org/officeDocument/2006/relationships/hyperlink" Target="http://www.linkedin.com/in/damien-fillion-926a17178" TargetMode="External"/><Relationship  Id="rId14247" Type="http://schemas.openxmlformats.org/officeDocument/2006/relationships/hyperlink" Target="http://www.groupe-df2g.fr" TargetMode="External"/><Relationship  Id="rId14248" Type="http://schemas.openxmlformats.org/officeDocument/2006/relationships/hyperlink" Target="http://www.linkedin.com/in/mathilde-luthi-618196143" TargetMode="External"/><Relationship  Id="rId14249" Type="http://schemas.openxmlformats.org/officeDocument/2006/relationships/hyperlink" Target="http://www.mbs-services.fr" TargetMode="External"/><Relationship  Id="rId1425" Type="http://schemas.openxmlformats.org/officeDocument/2006/relationships/hyperlink" Target="http://www.linkedin.com/in/sophie-peyres-b8904a32" TargetMode="External"/><Relationship  Id="rId14250" Type="http://schemas.openxmlformats.org/officeDocument/2006/relationships/hyperlink" Target="http://www.linkedin.com/in/marion-malandain-51488712b" TargetMode="External"/><Relationship  Id="rId14251" Type="http://schemas.openxmlformats.org/officeDocument/2006/relationships/hyperlink" Target="http://www.optimiz-construction.fr" TargetMode="External"/><Relationship  Id="rId14252" Type="http://schemas.openxmlformats.org/officeDocument/2006/relationships/hyperlink" Target="http://www.linkedin.com/in/samuel-medjoub-b188b251" TargetMode="External"/><Relationship  Id="rId14253" Type="http://schemas.openxmlformats.org/officeDocument/2006/relationships/hyperlink" Target="http://www.zacha.fr" TargetMode="External"/><Relationship  Id="rId14254" Type="http://schemas.openxmlformats.org/officeDocument/2006/relationships/hyperlink" Target="http://www.linkedin.com/in/mathieusudres" TargetMode="External"/><Relationship  Id="rId14255" Type="http://schemas.openxmlformats.org/officeDocument/2006/relationships/hyperlink" Target="http://www.tikoam.com" TargetMode="External"/><Relationship  Id="rId14256" Type="http://schemas.openxmlformats.org/officeDocument/2006/relationships/hyperlink" Target="http://www.linkedin.com/in/philippe-melet-a9759551" TargetMode="External"/><Relationship  Id="rId14257" Type="http://schemas.openxmlformats.org/officeDocument/2006/relationships/hyperlink" Target="http://www.m2-solution.fr" TargetMode="External"/><Relationship  Id="rId14258" Type="http://schemas.openxmlformats.org/officeDocument/2006/relationships/hyperlink" Target="http://www.linkedin.com/in/richard-ludovic-848ab9149" TargetMode="External"/><Relationship  Id="rId14259" Type="http://schemas.openxmlformats.org/officeDocument/2006/relationships/hyperlink" Target="http://www.symbieautech.fr" TargetMode="External"/><Relationship  Id="rId1426" Type="http://schemas.openxmlformats.org/officeDocument/2006/relationships/hyperlink" Target="http://www.evihob.com" TargetMode="External"/><Relationship  Id="rId14260" Type="http://schemas.openxmlformats.org/officeDocument/2006/relationships/hyperlink" Target="http://www.linkedin.com/in/marc-dumas-4a141960" TargetMode="External"/><Relationship  Id="rId14261" Type="http://schemas.openxmlformats.org/officeDocument/2006/relationships/hyperlink" Target="http://www.thivent-sas.com" TargetMode="External"/><Relationship  Id="rId14262" Type="http://schemas.openxmlformats.org/officeDocument/2006/relationships/hyperlink" Target="http://www.linkedin.com/in/olivier-van-houtte-9a492077" TargetMode="External"/><Relationship  Id="rId14263" Type="http://schemas.openxmlformats.org/officeDocument/2006/relationships/hyperlink" Target="http://www.fctp.fr" TargetMode="External"/><Relationship  Id="rId14264" Type="http://schemas.openxmlformats.org/officeDocument/2006/relationships/hyperlink" Target="http://www.linkedin.com/in/s%c3%a9bastien-jouan-8704982" TargetMode="External"/><Relationship  Id="rId14265" Type="http://schemas.openxmlformats.org/officeDocument/2006/relationships/hyperlink" Target="http://www.studiojouan.com" TargetMode="External"/><Relationship  Id="rId14266" Type="http://schemas.openxmlformats.org/officeDocument/2006/relationships/hyperlink" Target="http://www.linkedin.com/in/st%c3%a9phane-bielecki-92607837" TargetMode="External"/><Relationship  Id="rId14267" Type="http://schemas.openxmlformats.org/officeDocument/2006/relationships/hyperlink" Target="http://www.sbf-groupe.fr" TargetMode="External"/><Relationship  Id="rId14268" Type="http://schemas.openxmlformats.org/officeDocument/2006/relationships/hyperlink" Target="http://www.linkedin.com/in/axel-bouteiller-6b993919a" TargetMode="External"/><Relationship  Id="rId14269" Type="http://schemas.openxmlformats.org/officeDocument/2006/relationships/hyperlink" Target="http://www.linkedin.com/in/andy-raspail-39454615a" TargetMode="External"/><Relationship  Id="rId1427" Type="http://schemas.openxmlformats.org/officeDocument/2006/relationships/hyperlink" Target="http://www.linkedin.com/in/christophe-lucarelli-38a85957" TargetMode="External"/><Relationship  Id="rId14270" Type="http://schemas.openxmlformats.org/officeDocument/2006/relationships/hyperlink" Target="http://www.rd-construction.com" TargetMode="External"/><Relationship  Id="rId14271" Type="http://schemas.openxmlformats.org/officeDocument/2006/relationships/hyperlink" Target="http://www.linkedin.com/in/flucklinger-patrick-897a0855" TargetMode="External"/><Relationship  Id="rId14272" Type="http://schemas.openxmlformats.org/officeDocument/2006/relationships/hyperlink" Target="http://www.linkedin.com/in/marc-drieux-5721a" TargetMode="External"/><Relationship  Id="rId14273" Type="http://schemas.openxmlformats.org/officeDocument/2006/relationships/hyperlink" Target="http://www.pierrite.fr" TargetMode="External"/><Relationship  Id="rId14274" Type="http://schemas.openxmlformats.org/officeDocument/2006/relationships/hyperlink" Target="http://www.linkedin.com/in/hugues-arancio-29922a7b" TargetMode="External"/><Relationship  Id="rId14275" Type="http://schemas.openxmlformats.org/officeDocument/2006/relationships/hyperlink" Target="http://www.linkedin.com/in/chaffin-andre-80745413" TargetMode="External"/><Relationship  Id="rId14276" Type="http://schemas.openxmlformats.org/officeDocument/2006/relationships/hyperlink" Target="http://www.akera.fr" TargetMode="External"/><Relationship  Id="rId14277" Type="http://schemas.openxmlformats.org/officeDocument/2006/relationships/hyperlink" Target="http://www.linkedin.com/in/maryse-acquaviva-086aa5a3" TargetMode="External"/><Relationship  Id="rId14278" Type="http://schemas.openxmlformats.org/officeDocument/2006/relationships/hyperlink" Target="http://www.aedes-expertise.fr" TargetMode="External"/><Relationship  Id="rId14279" Type="http://schemas.openxmlformats.org/officeDocument/2006/relationships/hyperlink" Target="http://www.linkedin.com/in/ismail-polat-97a920257" TargetMode="External"/><Relationship  Id="rId1428" Type="http://schemas.openxmlformats.org/officeDocument/2006/relationships/hyperlink" Target="http://www.luxurycleaningservices.fr" TargetMode="External"/><Relationship  Id="rId14280" Type="http://schemas.openxmlformats.org/officeDocument/2006/relationships/hyperlink" Target="http://www.collin-etancheite.fr" TargetMode="External"/><Relationship  Id="rId14281" Type="http://schemas.openxmlformats.org/officeDocument/2006/relationships/hyperlink" Target="http://www.linkedin.com/in/antoine-carrette-b89086198" TargetMode="External"/><Relationship  Id="rId14282" Type="http://schemas.openxmlformats.org/officeDocument/2006/relationships/hyperlink" Target="http://www.cuppens.fr" TargetMode="External"/><Relationship  Id="rId14283" Type="http://schemas.openxmlformats.org/officeDocument/2006/relationships/hyperlink" Target="http://www.linkedin.com/in/marc-perin-b833a9198" TargetMode="External"/><Relationship  Id="rId14284" Type="http://schemas.openxmlformats.org/officeDocument/2006/relationships/hyperlink" Target="http://www.france-sols.fr" TargetMode="External"/><Relationship  Id="rId14285" Type="http://schemas.openxmlformats.org/officeDocument/2006/relationships/hyperlink" Target="http://www.linkedin.com/in/romain-paverne-7307002a6" TargetMode="External"/><Relationship  Id="rId14286" Type="http://schemas.openxmlformats.org/officeDocument/2006/relationships/hyperlink" Target="http://www.g2t.fr" TargetMode="External"/><Relationship  Id="rId14287" Type="http://schemas.openxmlformats.org/officeDocument/2006/relationships/hyperlink" Target="http://www.linkedin.com/in/ludovic-pauget-6b2740b2" TargetMode="External"/><Relationship  Id="rId14288" Type="http://schemas.openxmlformats.org/officeDocument/2006/relationships/hyperlink" Target="http://www.sotrapp-tp.fr" TargetMode="External"/><Relationship  Id="rId14289" Type="http://schemas.openxmlformats.org/officeDocument/2006/relationships/hyperlink" Target="http://www.linkedin.com/in/lucas-merceron-2961b0b9" TargetMode="External"/><Relationship  Id="rId1429" Type="http://schemas.openxmlformats.org/officeDocument/2006/relationships/hyperlink" Target="http://www.linkedin.com/in/ahlame-buisard-9a101815" TargetMode="External"/><Relationship  Id="rId14290" Type="http://schemas.openxmlformats.org/officeDocument/2006/relationships/hyperlink" Target="http://www.idmat.eu" TargetMode="External"/><Relationship  Id="rId14291" Type="http://schemas.openxmlformats.org/officeDocument/2006/relationships/hyperlink" Target="http://www.linkedin.com/in/jean-lemmens-857a1b92" TargetMode="External"/><Relationship  Id="rId14292" Type="http://schemas.openxmlformats.org/officeDocument/2006/relationships/hyperlink" Target="http://www.compassi-prefa.com" TargetMode="External"/><Relationship  Id="rId14293" Type="http://schemas.openxmlformats.org/officeDocument/2006/relationships/hyperlink" Target="http://www.linkedin.com/in/jacinte-ferreira-727ab31ab" TargetMode="External"/><Relationship  Id="rId14294" Type="http://schemas.openxmlformats.org/officeDocument/2006/relationships/hyperlink" Target="http://www.groupetpf.com" TargetMode="External"/><Relationship  Id="rId14295" Type="http://schemas.openxmlformats.org/officeDocument/2006/relationships/hyperlink" Target="http://www.linkedin.com/in/fr%c3%a9d%c3%a9ric-m%c3%a9chiane-b334b691" TargetMode="External"/><Relationship  Id="rId14296" Type="http://schemas.openxmlformats.org/officeDocument/2006/relationships/hyperlink" Target="http://www.cf-services.com" TargetMode="External"/><Relationship  Id="rId14297" Type="http://schemas.openxmlformats.org/officeDocument/2006/relationships/hyperlink" Target="http://www.linkedin.com/in/redouane-benalia-0b562253" TargetMode="External"/><Relationship  Id="rId14298" Type="http://schemas.openxmlformats.org/officeDocument/2006/relationships/hyperlink" Target="http://www.homfen.fr" TargetMode="External"/><Relationship  Id="rId14299" Type="http://schemas.openxmlformats.org/officeDocument/2006/relationships/hyperlink" Target="http://www.linkedin.com/in/christophe-lajuzan-938a40b1" TargetMode="External"/><Relationship  Id="rId143" Type="http://schemas.openxmlformats.org/officeDocument/2006/relationships/hyperlink" Target="http://www.filon.org" TargetMode="External"/><Relationship  Id="rId1430" Type="http://schemas.openxmlformats.org/officeDocument/2006/relationships/hyperlink" Target="http://www.bernard-loiseau.com" TargetMode="External"/><Relationship  Id="rId14300" Type="http://schemas.openxmlformats.org/officeDocument/2006/relationships/hyperlink" Target="http://www.ucb-bat.fr" TargetMode="External"/><Relationship  Id="rId14301" Type="http://schemas.openxmlformats.org/officeDocument/2006/relationships/hyperlink" Target="http://www.linkedin.com/in/corinne-folickmann-389aa2b0" TargetMode="External"/><Relationship  Id="rId14302" Type="http://schemas.openxmlformats.org/officeDocument/2006/relationships/hyperlink" Target="http://www.arok.fr" TargetMode="External"/><Relationship  Id="rId14303" Type="http://schemas.openxmlformats.org/officeDocument/2006/relationships/hyperlink" Target="http://www.linkedin.com/in/amjad-khan-1b197320b" TargetMode="External"/><Relationship  Id="rId14304" Type="http://schemas.openxmlformats.org/officeDocument/2006/relationships/hyperlink" Target="http://www.epic-france.com" TargetMode="External"/><Relationship  Id="rId14305" Type="http://schemas.openxmlformats.org/officeDocument/2006/relationships/hyperlink" Target="http://www.linkedin.com/in/f%c3%a9lix-mathis-a4703999" TargetMode="External"/><Relationship  Id="rId14306" Type="http://schemas.openxmlformats.org/officeDocument/2006/relationships/hyperlink" Target="http://www.smi-construction.fr" TargetMode="External"/><Relationship  Id="rId14307" Type="http://schemas.openxmlformats.org/officeDocument/2006/relationships/hyperlink" Target="http://www.linkedin.com/in/maxime-asselin-6b1244150" TargetMode="External"/><Relationship  Id="rId14308" Type="http://schemas.openxmlformats.org/officeDocument/2006/relationships/hyperlink" Target="http://www.ab-geometre.com" TargetMode="External"/><Relationship  Id="rId14309" Type="http://schemas.openxmlformats.org/officeDocument/2006/relationships/hyperlink" Target="http://www.linkedin.com/in/jad-abdelnour-5849b3a3" TargetMode="External"/><Relationship  Id="rId1431" Type="http://schemas.openxmlformats.org/officeDocument/2006/relationships/hyperlink" Target="http://www.linkedin.com/in/ramzi-saade-66818868" TargetMode="External"/><Relationship  Id="rId14310" Type="http://schemas.openxmlformats.org/officeDocument/2006/relationships/hyperlink" Target="http://www.bimcubes.com" TargetMode="External"/><Relationship  Id="rId14311" Type="http://schemas.openxmlformats.org/officeDocument/2006/relationships/hyperlink" Target="http://www.linkedin.com/in/r%c3%a9mi-decoene-1a94a710" TargetMode="External"/><Relationship  Id="rId14312" Type="http://schemas.openxmlformats.org/officeDocument/2006/relationships/hyperlink" Target="http://www.insitu-a.fr" TargetMode="External"/><Relationship  Id="rId14313" Type="http://schemas.openxmlformats.org/officeDocument/2006/relationships/hyperlink" Target="http://www.linkedin.com/in/aline-ibolya-duval-9298a55b" TargetMode="External"/><Relationship  Id="rId14314" Type="http://schemas.openxmlformats.org/officeDocument/2006/relationships/hyperlink" Target="http://www.petitetfils.com" TargetMode="External"/><Relationship  Id="rId14315" Type="http://schemas.openxmlformats.org/officeDocument/2006/relationships/hyperlink" Target="http://www.linkedin.com/in/j%c3%a9r%c3%b4me-gastaldi-172ab7121" TargetMode="External"/><Relationship  Id="rId14316" Type="http://schemas.openxmlformats.org/officeDocument/2006/relationships/hyperlink" Target="http://www.lesparcs-amenageur.com" TargetMode="External"/><Relationship  Id="rId14317" Type="http://schemas.openxmlformats.org/officeDocument/2006/relationships/hyperlink" Target="http://www.linkedin.com/in/serge-miranda-805a06b1" TargetMode="External"/><Relationship  Id="rId14318" Type="http://schemas.openxmlformats.org/officeDocument/2006/relationships/hyperlink" Target="http://www.sfp-isobat.fr" TargetMode="External"/><Relationship  Id="rId14319" Type="http://schemas.openxmlformats.org/officeDocument/2006/relationships/hyperlink" Target="http://www.linkedin.com/in/marco-duarte-28a8b4100" TargetMode="External"/><Relationship  Id="rId1432" Type="http://schemas.openxmlformats.org/officeDocument/2006/relationships/hyperlink" Target="http://www.aticaparis.com" TargetMode="External"/><Relationship  Id="rId14320" Type="http://schemas.openxmlformats.org/officeDocument/2006/relationships/hyperlink" Target="http://www.duarte-baker.com" TargetMode="External"/><Relationship  Id="rId14321" Type="http://schemas.openxmlformats.org/officeDocument/2006/relationships/hyperlink" Target="http://www.linkedin.com/in/maliklamkadam" TargetMode="External"/><Relationship  Id="rId14322" Type="http://schemas.openxmlformats.org/officeDocument/2006/relationships/hyperlink" Target="http://www.mv2.fr" TargetMode="External"/><Relationship  Id="rId14323" Type="http://schemas.openxmlformats.org/officeDocument/2006/relationships/hyperlink" Target="http://prefabricationbois.com" TargetMode="External"/><Relationship  Id="rId14324" Type="http://schemas.openxmlformats.org/officeDocument/2006/relationships/hyperlink" Target="http://www.linkedin.com/in/william-delaby" TargetMode="External"/><Relationship  Id="rId14325" Type="http://schemas.openxmlformats.org/officeDocument/2006/relationships/hyperlink" Target="http://www.prefabricationbois.com" TargetMode="External"/><Relationship  Id="rId14326" Type="http://schemas.openxmlformats.org/officeDocument/2006/relationships/hyperlink" Target="http://www.linkedin.com/in/patrick-fontaine-b01999281" TargetMode="External"/><Relationship  Id="rId14327" Type="http://schemas.openxmlformats.org/officeDocument/2006/relationships/hyperlink" Target="http://www.linkedin.com/in/romain-gaillard-dubois-5211b034" TargetMode="External"/><Relationship  Id="rId14328" Type="http://schemas.openxmlformats.org/officeDocument/2006/relationships/hyperlink" Target="http://www.hexagonepm.fr" TargetMode="External"/><Relationship  Id="rId14329" Type="http://schemas.openxmlformats.org/officeDocument/2006/relationships/hyperlink" Target="http://www.linkedin.com/in/thibaudbrossard" TargetMode="External"/><Relationship  Id="rId1433" Type="http://schemas.openxmlformats.org/officeDocument/2006/relationships/hyperlink" Target="http://www.linkedin.com/in/marietreppoz" TargetMode="External"/><Relationship  Id="rId14330" Type="http://schemas.openxmlformats.org/officeDocument/2006/relationships/hyperlink" Target="http://www.reniew.fr" TargetMode="External"/><Relationship  Id="rId14331" Type="http://schemas.openxmlformats.org/officeDocument/2006/relationships/hyperlink" Target="http://www.linkedin.com/in/laurentguyondg" TargetMode="External"/><Relationship  Id="rId14332" Type="http://schemas.openxmlformats.org/officeDocument/2006/relationships/hyperlink" Target="http://www.barconniere.com" TargetMode="External"/><Relationship  Id="rId14333" Type="http://schemas.openxmlformats.org/officeDocument/2006/relationships/hyperlink" Target="http://www.linkedin.com/in/jean-pierre-qu%c3%a9ru-09568950" TargetMode="External"/><Relationship  Id="rId14334" Type="http://schemas.openxmlformats.org/officeDocument/2006/relationships/hyperlink" Target="http://www.linkedin.com/in/lionel-matias-868a12169" TargetMode="External"/><Relationship  Id="rId14335" Type="http://schemas.openxmlformats.org/officeDocument/2006/relationships/hyperlink" Target="http://www.proximetal.fr" TargetMode="External"/><Relationship  Id="rId14336" Type="http://schemas.openxmlformats.org/officeDocument/2006/relationships/hyperlink" Target="http://www.linkedin.com/in/gilles-cabridain-267618299" TargetMode="External"/><Relationship  Id="rId14337" Type="http://schemas.openxmlformats.org/officeDocument/2006/relationships/hyperlink" Target="http://www.homeconcept.fr" TargetMode="External"/><Relationship  Id="rId14338" Type="http://schemas.openxmlformats.org/officeDocument/2006/relationships/hyperlink" Target="http://www.linkedin.com/in/anthony-teixeira-b02174206" TargetMode="External"/><Relationship  Id="rId14339" Type="http://schemas.openxmlformats.org/officeDocument/2006/relationships/hyperlink" Target="http://www.climatika77.com" TargetMode="External"/><Relationship  Id="rId1434" Type="http://schemas.openxmlformats.org/officeDocument/2006/relationships/hyperlink" Target="http://www.homanie.com" TargetMode="External"/><Relationship  Id="rId14340" Type="http://schemas.openxmlformats.org/officeDocument/2006/relationships/hyperlink" Target="http://www.linkedin.com/in/olivier-cau-835393224" TargetMode="External"/><Relationship  Id="rId14341" Type="http://schemas.openxmlformats.org/officeDocument/2006/relationships/hyperlink" Target="http://www.climatsystems.fr" TargetMode="External"/><Relationship  Id="rId14342" Type="http://schemas.openxmlformats.org/officeDocument/2006/relationships/hyperlink" Target="http://www.linkedin.com/in/fran%c3%a7ois-lefebvre-b3251a44" TargetMode="External"/><Relationship  Id="rId14343" Type="http://schemas.openxmlformats.org/officeDocument/2006/relationships/hyperlink" Target="http://www.preventec.fr" TargetMode="External"/><Relationship  Id="rId14344" Type="http://schemas.openxmlformats.org/officeDocument/2006/relationships/hyperlink" Target="http://www.linkedin.com/in/ronan-h%c3%a9leux-355811145" TargetMode="External"/><Relationship  Id="rId14345" Type="http://schemas.openxmlformats.org/officeDocument/2006/relationships/hyperlink" Target="http://www.i2c-ingenierie.fr" TargetMode="External"/><Relationship  Id="rId14346" Type="http://schemas.openxmlformats.org/officeDocument/2006/relationships/hyperlink" Target="http://www.linkedin.com/in/alex-jousse" TargetMode="External"/><Relationship  Id="rId14347" Type="http://schemas.openxmlformats.org/officeDocument/2006/relationships/hyperlink" Target="http://www.linkedin.com/in/ludovic-guibert-b750829b" TargetMode="External"/><Relationship  Id="rId14348" Type="http://schemas.openxmlformats.org/officeDocument/2006/relationships/hyperlink" Target="http://www.maisons-oceane-habitat.com" TargetMode="External"/><Relationship  Id="rId14349" Type="http://schemas.openxmlformats.org/officeDocument/2006/relationships/hyperlink" Target="http://www.linkedin.com/in/thierry-ollivier-a64330208" TargetMode="External"/><Relationship  Id="rId1435" Type="http://schemas.openxmlformats.org/officeDocument/2006/relationships/hyperlink" Target="http://www.linkedin.com/in/amara-amaouz" TargetMode="External"/><Relationship  Id="rId14350" Type="http://schemas.openxmlformats.org/officeDocument/2006/relationships/hyperlink" Target="http://www.lda-environnement.com" TargetMode="External"/><Relationship  Id="rId14351" Type="http://schemas.openxmlformats.org/officeDocument/2006/relationships/hyperlink" Target="http://www.linkedin.com/in/didier-guillement-428039228" TargetMode="External"/><Relationship  Id="rId14352" Type="http://schemas.openxmlformats.org/officeDocument/2006/relationships/hyperlink" Target="http://www.juignet-sas.com" TargetMode="External"/><Relationship  Id="rId14353" Type="http://schemas.openxmlformats.org/officeDocument/2006/relationships/hyperlink" Target="http://www.linkedin.com/in/aur%c3%a9lien-garnier-47283b164" TargetMode="External"/><Relationship  Id="rId14354" Type="http://schemas.openxmlformats.org/officeDocument/2006/relationships/hyperlink" Target="http://www.sce28.fr" TargetMode="External"/><Relationship  Id="rId14355" Type="http://schemas.openxmlformats.org/officeDocument/2006/relationships/hyperlink" Target="http://www.linkedin.com/in/loic-de-tonquedec-66625a68" TargetMode="External"/><Relationship  Id="rId14356" Type="http://schemas.openxmlformats.org/officeDocument/2006/relationships/hyperlink" Target="http://www.unionthermique.fr" TargetMode="External"/><Relationship  Id="rId14357" Type="http://schemas.openxmlformats.org/officeDocument/2006/relationships/hyperlink" Target="http://www.linkedin.com/in/g%c3%a9raud-marcenat-19591419" TargetMode="External"/><Relationship  Id="rId14358" Type="http://schemas.openxmlformats.org/officeDocument/2006/relationships/hyperlink" Target="http://www.logelis.com" TargetMode="External"/><Relationship  Id="rId14359" Type="http://schemas.openxmlformats.org/officeDocument/2006/relationships/hyperlink" Target="http://www.linkedin.com/in/nicolas-balle-7a469770" TargetMode="External"/><Relationship  Id="rId1436" Type="http://schemas.openxmlformats.org/officeDocument/2006/relationships/hyperlink" Target="http://www.namlatic.com" TargetMode="External"/><Relationship  Id="rId14360" Type="http://schemas.openxmlformats.org/officeDocument/2006/relationships/hyperlink" Target="http://www.orikia-promotion.com" TargetMode="External"/><Relationship  Id="rId14361" Type="http://schemas.openxmlformats.org/officeDocument/2006/relationships/hyperlink" Target="http://www.linkedin.com/in/nicolas-kyriasis-a3366b42" TargetMode="External"/><Relationship  Id="rId14362" Type="http://schemas.openxmlformats.org/officeDocument/2006/relationships/hyperlink" Target="http://www.leray-menuiserie.fr" TargetMode="External"/><Relationship  Id="rId14363" Type="http://schemas.openxmlformats.org/officeDocument/2006/relationships/hyperlink" Target="http://www.linkedin.com/in/bertrand-bourdin-50609b155" TargetMode="External"/><Relationship  Id="rId14364" Type="http://schemas.openxmlformats.org/officeDocument/2006/relationships/hyperlink" Target="http://www.creagc.com" TargetMode="External"/><Relationship  Id="rId14365" Type="http://schemas.openxmlformats.org/officeDocument/2006/relationships/hyperlink" Target="http://www.linkedin.com/in/aymeric-delsarte-1b336199" TargetMode="External"/><Relationship  Id="rId14366" Type="http://schemas.openxmlformats.org/officeDocument/2006/relationships/hyperlink" Target="http://www.boisdellys.com" TargetMode="External"/><Relationship  Id="rId14367" Type="http://schemas.openxmlformats.org/officeDocument/2006/relationships/hyperlink" Target="http://www.linkedin.com/in/damien-lettieri-a46603134" TargetMode="External"/><Relationship  Id="rId14368" Type="http://schemas.openxmlformats.org/officeDocument/2006/relationships/hyperlink" Target="http://www.couvrest.fr" TargetMode="External"/><Relationship  Id="rId14369" Type="http://schemas.openxmlformats.org/officeDocument/2006/relationships/hyperlink" Target="http://www.linkedin.com/in/vincent-l-33614b125" TargetMode="External"/><Relationship  Id="rId1437" Type="http://schemas.openxmlformats.org/officeDocument/2006/relationships/hyperlink" Target="http://www.linkedin.com/in/jedurand" TargetMode="External"/><Relationship  Id="rId14370" Type="http://schemas.openxmlformats.org/officeDocument/2006/relationships/hyperlink" Target="http://www.instagram.com" TargetMode="External"/><Relationship  Id="rId14371" Type="http://schemas.openxmlformats.org/officeDocument/2006/relationships/hyperlink" Target="http://www.linkedin.com/in/eric-perro-1aa27a100" TargetMode="External"/><Relationship  Id="rId14372" Type="http://schemas.openxmlformats.org/officeDocument/2006/relationships/hyperlink" Target="http://www.ereoenergies.fr" TargetMode="External"/><Relationship  Id="rId14373" Type="http://schemas.openxmlformats.org/officeDocument/2006/relationships/hyperlink" Target="http://www.linkedin.com/in/jean-marc-martin-75a75b132" TargetMode="External"/><Relationship  Id="rId14374" Type="http://schemas.openxmlformats.org/officeDocument/2006/relationships/hyperlink" Target="http://www.arsenal-fluides.fr" TargetMode="External"/><Relationship  Id="rId14375" Type="http://schemas.openxmlformats.org/officeDocument/2006/relationships/hyperlink" Target="http://www.linkedin.com/in/frederic-romeyer-0677a686" TargetMode="External"/><Relationship  Id="rId14376" Type="http://schemas.openxmlformats.org/officeDocument/2006/relationships/hyperlink" Target="http://www.sacma.fr" TargetMode="External"/><Relationship  Id="rId14377" Type="http://schemas.openxmlformats.org/officeDocument/2006/relationships/hyperlink" Target="http://www.linkedin.com/in/fr%c3%a9d%c3%a9ric-vion-0496b37a" TargetMode="External"/><Relationship  Id="rId14378" Type="http://schemas.openxmlformats.org/officeDocument/2006/relationships/hyperlink" Target="http://www.linkedin.com/in/herv%c3%a9-tressel-1b5a1293" TargetMode="External"/><Relationship  Id="rId14379" Type="http://schemas.openxmlformats.org/officeDocument/2006/relationships/hyperlink" Target="http://www.dourmap.com" TargetMode="External"/><Relationship  Id="rId1438" Type="http://schemas.openxmlformats.org/officeDocument/2006/relationships/hyperlink" Target="http://www.1villas.com" TargetMode="External"/><Relationship  Id="rId14380" Type="http://schemas.openxmlformats.org/officeDocument/2006/relationships/hyperlink" Target="http://www.linkedin.com/in/melanie-castel-197a22196" TargetMode="External"/><Relationship  Id="rId14381" Type="http://schemas.openxmlformats.org/officeDocument/2006/relationships/hyperlink" Target="http://www.ryfebureaudetudes.com" TargetMode="External"/><Relationship  Id="rId14382" Type="http://schemas.openxmlformats.org/officeDocument/2006/relationships/hyperlink" Target="http://www.linkedin.com/in/rachid-khadiri-2716b034" TargetMode="External"/><Relationship  Id="rId14383" Type="http://schemas.openxmlformats.org/officeDocument/2006/relationships/hyperlink" Target="http://www.acie-ing.fr" TargetMode="External"/><Relationship  Id="rId14384" Type="http://schemas.openxmlformats.org/officeDocument/2006/relationships/hyperlink" Target="http://www.linkedin.com/in/luc-pichard-05baab182" TargetMode="External"/><Relationship  Id="rId14385" Type="http://schemas.openxmlformats.org/officeDocument/2006/relationships/hyperlink" Target="http://www.vaubangc.fr" TargetMode="External"/><Relationship  Id="rId14386" Type="http://schemas.openxmlformats.org/officeDocument/2006/relationships/hyperlink" Target="http://www.linkedin.com/in/sylvain-dailly-bb700049" TargetMode="External"/><Relationship  Id="rId14387" Type="http://schemas.openxmlformats.org/officeDocument/2006/relationships/hyperlink" Target="http://www.archimed-ge.com" TargetMode="External"/><Relationship  Id="rId14388" Type="http://schemas.openxmlformats.org/officeDocument/2006/relationships/hyperlink" Target="http://www.linkedin.com/in/olivier-michot-a6473ab" TargetMode="External"/><Relationship  Id="rId14389" Type="http://schemas.openxmlformats.org/officeDocument/2006/relationships/hyperlink" Target="http://www.imetis.fr" TargetMode="External"/><Relationship  Id="rId1439" Type="http://schemas.openxmlformats.org/officeDocument/2006/relationships/hyperlink" Target="http://www.linkedin.com/in/s%c3%a9bastien-roussellet-8aa6567" TargetMode="External"/><Relationship  Id="rId14390" Type="http://schemas.openxmlformats.org/officeDocument/2006/relationships/hyperlink" Target="http://www.linkedin.com/in/arthur-l-houtellier-97a2b950" TargetMode="External"/><Relationship  Id="rId14391" Type="http://schemas.openxmlformats.org/officeDocument/2006/relationships/hyperlink" Target="http://www.snrentreprise.com" TargetMode="External"/><Relationship  Id="rId14392" Type="http://schemas.openxmlformats.org/officeDocument/2006/relationships/hyperlink" Target="http://www.linkedin.com/in/s%c3%a9bastien-pr%c3%a9vost-1b8663182" TargetMode="External"/><Relationship  Id="rId14393" Type="http://schemas.openxmlformats.org/officeDocument/2006/relationships/hyperlink" Target="http://www.psigroupe.com" TargetMode="External"/><Relationship  Id="rId14394" Type="http://schemas.openxmlformats.org/officeDocument/2006/relationships/hyperlink" Target="http://www.linkedin.com/in/gregory-cloet" TargetMode="External"/><Relationship  Id="rId14395" Type="http://schemas.openxmlformats.org/officeDocument/2006/relationships/hyperlink" Target="http://www.linkedin.com/in/jean-paul-lehuede-46a587259" TargetMode="External"/><Relationship  Id="rId14396" Type="http://schemas.openxmlformats.org/officeDocument/2006/relationships/hyperlink" Target="http://www.bst-sa.fr" TargetMode="External"/><Relationship  Id="rId14397" Type="http://schemas.openxmlformats.org/officeDocument/2006/relationships/hyperlink" Target="http://www.linkedin.com/in/philippe-mattern-5750406a" TargetMode="External"/><Relationship  Id="rId14398" Type="http://schemas.openxmlformats.org/officeDocument/2006/relationships/hyperlink" Target="http://www.bcinoxeo.com" TargetMode="External"/><Relationship  Id="rId14399" Type="http://schemas.openxmlformats.org/officeDocument/2006/relationships/hyperlink" Target="http://www.linkedin.com/in/jerome-laurent-36252b90" TargetMode="External"/><Relationship  Id="rId144" Type="http://schemas.openxmlformats.org/officeDocument/2006/relationships/hyperlink" Target="http://www.linkedin.com/in/rolf-bertschi-6056345" TargetMode="External"/><Relationship  Id="rId1440" Type="http://schemas.openxmlformats.org/officeDocument/2006/relationships/hyperlink" Target="http://www.resonance.golf" TargetMode="External"/><Relationship  Id="rId14400" Type="http://schemas.openxmlformats.org/officeDocument/2006/relationships/hyperlink" Target="http://www.amocer-group.com" TargetMode="External"/><Relationship  Id="rId14401" Type="http://schemas.openxmlformats.org/officeDocument/2006/relationships/hyperlink" Target="http://www.linkedin.com/in/benoit-negrello-a44a41180" TargetMode="External"/><Relationship  Id="rId14402" Type="http://schemas.openxmlformats.org/officeDocument/2006/relationships/hyperlink" Target="http://www.bet-ics.fr" TargetMode="External"/><Relationship  Id="rId14403" Type="http://schemas.openxmlformats.org/officeDocument/2006/relationships/hyperlink" Target="http://www.linkedin.com/in/karine-robine-b19452115" TargetMode="External"/><Relationship  Id="rId14404" Type="http://schemas.openxmlformats.org/officeDocument/2006/relationships/hyperlink" Target="http://www.ascrobine.com" TargetMode="External"/><Relationship  Id="rId14405" Type="http://schemas.openxmlformats.org/officeDocument/2006/relationships/hyperlink" Target="http://www.linkedin.com/in/rhatim" TargetMode="External"/><Relationship  Id="rId14406" Type="http://schemas.openxmlformats.org/officeDocument/2006/relationships/hyperlink" Target="http://www.sopump.io" TargetMode="External"/><Relationship  Id="rId14407" Type="http://schemas.openxmlformats.org/officeDocument/2006/relationships/hyperlink" Target="http://www.linkedin.com/in/arnaud-garnier-750457aa" TargetMode="External"/><Relationship  Id="rId14408" Type="http://schemas.openxmlformats.org/officeDocument/2006/relationships/hyperlink" Target="http://www.agdi-demolition.fr" TargetMode="External"/><Relationship  Id="rId14409" Type="http://schemas.openxmlformats.org/officeDocument/2006/relationships/hyperlink" Target="http://www.linkedin.com/in/mathieu-hirschner-88468b1a0" TargetMode="External"/><Relationship  Id="rId1441" Type="http://schemas.openxmlformats.org/officeDocument/2006/relationships/hyperlink" Target="http://www.linkedin.com/in/oukaci-nassim-1201ab198" TargetMode="External"/><Relationship  Id="rId14410" Type="http://schemas.openxmlformats.org/officeDocument/2006/relationships/hyperlink" Target="http://www.hirschner.fr" TargetMode="External"/><Relationship  Id="rId14411" Type="http://schemas.openxmlformats.org/officeDocument/2006/relationships/hyperlink" Target="http://www.linkedin.com/in/wissam-marroun-17b366132" TargetMode="External"/><Relationship  Id="rId14412" Type="http://schemas.openxmlformats.org/officeDocument/2006/relationships/hyperlink" Target="http://www.sos-bet.com" TargetMode="External"/><Relationship  Id="rId14413" Type="http://schemas.openxmlformats.org/officeDocument/2006/relationships/hyperlink" Target="http://www.linkedin.com/in/patrickpalie" TargetMode="External"/><Relationship  Id="rId14414" Type="http://schemas.openxmlformats.org/officeDocument/2006/relationships/hyperlink" Target="http://www.santrac.fr" TargetMode="External"/><Relationship  Id="rId14415" Type="http://schemas.openxmlformats.org/officeDocument/2006/relationships/hyperlink" Target="http://www.linkedin.com/in/st%c3%a9phane-di-tommaso-8b1aa9152" TargetMode="External"/><Relationship  Id="rId14416" Type="http://schemas.openxmlformats.org/officeDocument/2006/relationships/hyperlink" Target="http://www.maisonsatrium.fr" TargetMode="External"/><Relationship  Id="rId14417" Type="http://schemas.openxmlformats.org/officeDocument/2006/relationships/hyperlink" Target="http://www.linkedin.com/in/highsixmax" TargetMode="External"/><Relationship  Id="rId14418" Type="http://schemas.openxmlformats.org/officeDocument/2006/relationships/hyperlink" Target="http://www.highsix.fr" TargetMode="External"/><Relationship  Id="rId14419" Type="http://schemas.openxmlformats.org/officeDocument/2006/relationships/hyperlink" Target="http://www.linkedin.com/in/marco-ferrarin-30a304132" TargetMode="External"/><Relationship  Id="rId1442" Type="http://schemas.openxmlformats.org/officeDocument/2006/relationships/hyperlink" Target="http://www.honest-inn.com" TargetMode="External"/><Relationship  Id="rId14420" Type="http://schemas.openxmlformats.org/officeDocument/2006/relationships/hyperlink" Target="http://www.eurisol.net" TargetMode="External"/><Relationship  Id="rId14421" Type="http://schemas.openxmlformats.org/officeDocument/2006/relationships/hyperlink" Target="http://www.linkedin.com/in/nicolas-horneck-a26915173" TargetMode="External"/><Relationship  Id="rId14422" Type="http://schemas.openxmlformats.org/officeDocument/2006/relationships/hyperlink" Target="http://www.ravier78.fr" TargetMode="External"/><Relationship  Id="rId14423" Type="http://schemas.openxmlformats.org/officeDocument/2006/relationships/hyperlink" Target="http://www.linkedin.com/in/laurent-guyon-4522b947" TargetMode="External"/><Relationship  Id="rId14424" Type="http://schemas.openxmlformats.org/officeDocument/2006/relationships/hyperlink" Target="http://www.groupepages.fr" TargetMode="External"/><Relationship  Id="rId14425" Type="http://schemas.openxmlformats.org/officeDocument/2006/relationships/hyperlink" Target="http://www.linkedin.com/in/luc-pons-4a3a57206" TargetMode="External"/><Relationship  Id="rId14426" Type="http://schemas.openxmlformats.org/officeDocument/2006/relationships/hyperlink" Target="http://www.pons-menuiseries.com" TargetMode="External"/><Relationship  Id="rId14427" Type="http://schemas.openxmlformats.org/officeDocument/2006/relationships/hyperlink" Target="http://www.linkedin.com/in/david-dos-santos-72a3bb1a4" TargetMode="External"/><Relationship  Id="rId14428" Type="http://schemas.openxmlformats.org/officeDocument/2006/relationships/hyperlink" Target="http://www.solatp.fr" TargetMode="External"/><Relationship  Id="rId14429" Type="http://schemas.openxmlformats.org/officeDocument/2006/relationships/hyperlink" Target="http://www.linkedin.com/in/victoria-ferreira-7693b21b3" TargetMode="External"/><Relationship  Id="rId1443" Type="http://schemas.openxmlformats.org/officeDocument/2006/relationships/hyperlink" Target="http://www.linkedin.com/in/fran%c3%a7ois-desbordes-686704244" TargetMode="External"/><Relationship  Id="rId14430" Type="http://schemas.openxmlformats.org/officeDocument/2006/relationships/hyperlink" Target="http://www.linkedin.com/in/marie-odile-cabridain-61a48620b" TargetMode="External"/><Relationship  Id="rId14431" Type="http://schemas.openxmlformats.org/officeDocument/2006/relationships/hyperlink" Target="http://www.linkedin.com/in/mohamed-hamaoui-307784127" TargetMode="External"/><Relationship  Id="rId14432" Type="http://schemas.openxmlformats.org/officeDocument/2006/relationships/hyperlink" Target="http://www.asso-reavie.fr" TargetMode="External"/><Relationship  Id="rId14433" Type="http://schemas.openxmlformats.org/officeDocument/2006/relationships/hyperlink" Target="http://www.linkedin.com/in/christophe-cormier-1b393b40" TargetMode="External"/><Relationship  Id="rId14434" Type="http://schemas.openxmlformats.org/officeDocument/2006/relationships/hyperlink" Target="http://www.clairon.glass" TargetMode="External"/><Relationship  Id="rId14435" Type="http://schemas.openxmlformats.org/officeDocument/2006/relationships/hyperlink" Target="http://www.linkedin.com/in/cedric-lobligeois-152315199" TargetMode="External"/><Relationship  Id="rId14436" Type="http://schemas.openxmlformats.org/officeDocument/2006/relationships/hyperlink" Target="http://www.groupe-lobligeois.com" TargetMode="External"/><Relationship  Id="rId14437" Type="http://schemas.openxmlformats.org/officeDocument/2006/relationships/hyperlink" Target="http://www.linkedin.com/in/amauryhonore" TargetMode="External"/><Relationship  Id="rId14438" Type="http://schemas.openxmlformats.org/officeDocument/2006/relationships/hyperlink" Target="http://www.linkedin.com/in/xavier-richard-1333782" TargetMode="External"/><Relationship  Id="rId14439" Type="http://schemas.openxmlformats.org/officeDocument/2006/relationships/hyperlink" Target="http://www.spacing.pro" TargetMode="External"/><Relationship  Id="rId1444" Type="http://schemas.openxmlformats.org/officeDocument/2006/relationships/hyperlink" Target="http://www.fgculinaire.fr" TargetMode="External"/><Relationship  Id="rId14440" Type="http://schemas.openxmlformats.org/officeDocument/2006/relationships/hyperlink" Target="http://www.linkedin.com/in/mathieu-corbie-183451179" TargetMode="External"/><Relationship  Id="rId14441" Type="http://schemas.openxmlformats.org/officeDocument/2006/relationships/hyperlink" Target="http://www.sitm77.fr" TargetMode="External"/><Relationship  Id="rId14442" Type="http://schemas.openxmlformats.org/officeDocument/2006/relationships/hyperlink" Target="http://www.linkedin.com/in/benjamin-aragones-6b80a319a" TargetMode="External"/><Relationship  Id="rId14443" Type="http://schemas.openxmlformats.org/officeDocument/2006/relationships/hyperlink" Target="http://www.samrenovation.fr" TargetMode="External"/><Relationship  Id="rId14444" Type="http://schemas.openxmlformats.org/officeDocument/2006/relationships/hyperlink" Target="http://www.linkedin.com/in/julien-serraille-397a5411a" TargetMode="External"/><Relationship  Id="rId14445" Type="http://schemas.openxmlformats.org/officeDocument/2006/relationships/hyperlink" Target="http://www.ets-serraille.fr" TargetMode="External"/><Relationship  Id="rId14446" Type="http://schemas.openxmlformats.org/officeDocument/2006/relationships/hyperlink" Target="http://www.linkedin.com/in/micha-nikolic-0b6a937a" TargetMode="External"/><Relationship  Id="rId14447" Type="http://schemas.openxmlformats.org/officeDocument/2006/relationships/hyperlink" Target="http://www.fic-veolia.com" TargetMode="External"/><Relationship  Id="rId14448" Type="http://schemas.openxmlformats.org/officeDocument/2006/relationships/hyperlink" Target="http://www.linkedin.com/in/guillaume-leborgne" TargetMode="External"/><Relationship  Id="rId14449" Type="http://schemas.openxmlformats.org/officeDocument/2006/relationships/hyperlink" Target="http://www.maf-atlantique.fr" TargetMode="External"/><Relationship  Id="rId1445" Type="http://schemas.openxmlformats.org/officeDocument/2006/relationships/hyperlink" Target="http://www.linkedin.com/in/amaury-rostagnat" TargetMode="External"/><Relationship  Id="rId14450" Type="http://schemas.openxmlformats.org/officeDocument/2006/relationships/hyperlink" Target="http://www.linkedin.com/in/celal-karabay-b7809a19" TargetMode="External"/><Relationship  Id="rId14451" Type="http://schemas.openxmlformats.org/officeDocument/2006/relationships/hyperlink" Target="http://www.ideaconstruction.com" TargetMode="External"/><Relationship  Id="rId14452" Type="http://schemas.openxmlformats.org/officeDocument/2006/relationships/hyperlink" Target="http://www.linkedin.com/in/manuel-monteiro-78ba331a5" TargetMode="External"/><Relationship  Id="rId14453" Type="http://schemas.openxmlformats.org/officeDocument/2006/relationships/hyperlink" Target="http://www.maisons-eglantine.fr" TargetMode="External"/><Relationship  Id="rId14454" Type="http://schemas.openxmlformats.org/officeDocument/2006/relationships/hyperlink" Target="http://www.linkedin.com/in/philippe-bouis-a3194362" TargetMode="External"/><Relationship  Id="rId14455" Type="http://schemas.openxmlformats.org/officeDocument/2006/relationships/hyperlink" Target="http://www.cortep.fr" TargetMode="External"/><Relationship  Id="rId14456" Type="http://schemas.openxmlformats.org/officeDocument/2006/relationships/hyperlink" Target="http://www.linkedin.com/in/fran%c3%a7ois-soula-a85131b3" TargetMode="External"/><Relationship  Id="rId14457" Type="http://schemas.openxmlformats.org/officeDocument/2006/relationships/hyperlink" Target="http://www.linkedin.com/in/mohsen-ayadi-665aa9101" TargetMode="External"/><Relationship  Id="rId14458" Type="http://schemas.openxmlformats.org/officeDocument/2006/relationships/hyperlink" Target="http://www.harkedb.com" TargetMode="External"/><Relationship  Id="rId14459" Type="http://schemas.openxmlformats.org/officeDocument/2006/relationships/hyperlink" Target="http://www.linkedin.com/in/thierry-ja-laurent" TargetMode="External"/><Relationship  Id="rId1446" Type="http://schemas.openxmlformats.org/officeDocument/2006/relationships/hyperlink" Target="http://www.beauvallon.com" TargetMode="External"/><Relationship  Id="rId14460" Type="http://schemas.openxmlformats.org/officeDocument/2006/relationships/hyperlink" Target="http://www.adets.fr" TargetMode="External"/><Relationship  Id="rId14461" Type="http://schemas.openxmlformats.org/officeDocument/2006/relationships/hyperlink" Target="http://www.linkedin.com/in/maxime-camara-141017121" TargetMode="External"/><Relationship  Id="rId14462" Type="http://schemas.openxmlformats.org/officeDocument/2006/relationships/hyperlink" Target="http://www.inemaa.fr" TargetMode="External"/><Relationship  Id="rId14463" Type="http://schemas.openxmlformats.org/officeDocument/2006/relationships/hyperlink" Target="http://www.linkedin.com/in/franck-cornaton-94a51816" TargetMode="External"/><Relationship  Id="rId14464" Type="http://schemas.openxmlformats.org/officeDocument/2006/relationships/hyperlink" Target="http://www.abac-ingenierie.fr" TargetMode="External"/><Relationship  Id="rId14465" Type="http://schemas.openxmlformats.org/officeDocument/2006/relationships/hyperlink" Target="http://www.linkedin.com/in/sauveur-bucchieri-b58a17a9" TargetMode="External"/><Relationship  Id="rId14466" Type="http://schemas.openxmlformats.org/officeDocument/2006/relationships/hyperlink" Target="http://www.marion-isolation.fr" TargetMode="External"/><Relationship  Id="rId14467" Type="http://schemas.openxmlformats.org/officeDocument/2006/relationships/hyperlink" Target="http://www.linkedin.com/in/johan-olivier-81058888" TargetMode="External"/><Relationship  Id="rId14468" Type="http://schemas.openxmlformats.org/officeDocument/2006/relationships/hyperlink" Target="http://www.fabriplast-fenetre-veranda.fr" TargetMode="External"/><Relationship  Id="rId14469" Type="http://schemas.openxmlformats.org/officeDocument/2006/relationships/hyperlink" Target="http://www.linkedin.com/in/christine-gout-99080114b" TargetMode="External"/><Relationship  Id="rId1447" Type="http://schemas.openxmlformats.org/officeDocument/2006/relationships/hyperlink" Target="http://www.linkedin.com/in/benjamin-petiton-a54936a8" TargetMode="External"/><Relationship  Id="rId14470" Type="http://schemas.openxmlformats.org/officeDocument/2006/relationships/hyperlink" Target="http://www.pegeon-fils.com" TargetMode="External"/><Relationship  Id="rId14471" Type="http://schemas.openxmlformats.org/officeDocument/2006/relationships/hyperlink" Target="http://www.linkedin.com/in/arthur-cordelier-baa1a2168" TargetMode="External"/><Relationship  Id="rId14472" Type="http://schemas.openxmlformats.org/officeDocument/2006/relationships/hyperlink" Target="http://www.wallup.fr" TargetMode="External"/><Relationship  Id="rId14473" Type="http://schemas.openxmlformats.org/officeDocument/2006/relationships/hyperlink" Target="http://www.linkedin.com/in/maxime-garnier-42617413b" TargetMode="External"/><Relationship  Id="rId14474" Type="http://schemas.openxmlformats.org/officeDocument/2006/relationships/hyperlink" Target="http://www.linkedin.com/in/gilles-vettier-827462204" TargetMode="External"/><Relationship  Id="rId14475" Type="http://schemas.openxmlformats.org/officeDocument/2006/relationships/hyperlink" Target="http://www.wax-beton.com" TargetMode="External"/><Relationship  Id="rId14476" Type="http://schemas.openxmlformats.org/officeDocument/2006/relationships/hyperlink" Target="http://www.linkedin.com/in/richard-deslis-a35047121" TargetMode="External"/><Relationship  Id="rId14477" Type="http://schemas.openxmlformats.org/officeDocument/2006/relationships/hyperlink" Target="http://www.roger-marteau.fr" TargetMode="External"/><Relationship  Id="rId14478" Type="http://schemas.openxmlformats.org/officeDocument/2006/relationships/hyperlink" Target="http://www.linkedin.com/in/guillaume-jarlot-15120a25" TargetMode="External"/><Relationship  Id="rId14479" Type="http://schemas.openxmlformats.org/officeDocument/2006/relationships/hyperlink" Target="http://www.nooco.com" TargetMode="External"/><Relationship  Id="rId1448" Type="http://schemas.openxmlformats.org/officeDocument/2006/relationships/hyperlink" Target="http://www.hotel-la-piscine.com" TargetMode="External"/><Relationship  Id="rId14480" Type="http://schemas.openxmlformats.org/officeDocument/2006/relationships/hyperlink" Target="http://www.linkedin.com/in/j%c3%a9r%c3%a9my-lamberet-3342a1175" TargetMode="External"/><Relationship  Id="rId14481" Type="http://schemas.openxmlformats.org/officeDocument/2006/relationships/hyperlink" Target="http://www.containerland.fr" TargetMode="External"/><Relationship  Id="rId14482" Type="http://schemas.openxmlformats.org/officeDocument/2006/relationships/hyperlink" Target="http://www.linkedin.com/in/bruno-van-elslande" TargetMode="External"/><Relationship  Id="rId14483" Type="http://schemas.openxmlformats.org/officeDocument/2006/relationships/hyperlink" Target="http://www.factset.com" TargetMode="External"/><Relationship  Id="rId14484" Type="http://schemas.openxmlformats.org/officeDocument/2006/relationships/hyperlink" Target="http://www.linkedin.com/in/luis-afonso-23802a295" TargetMode="External"/><Relationship  Id="rId14485" Type="http://schemas.openxmlformats.org/officeDocument/2006/relationships/hyperlink" Target="http://www.afonsosas.com" TargetMode="External"/><Relationship  Id="rId14486" Type="http://schemas.openxmlformats.org/officeDocument/2006/relationships/hyperlink" Target="http://www.linkedin.com/in/thomas-spehner-34a845133" TargetMode="External"/><Relationship  Id="rId14487" Type="http://schemas.openxmlformats.org/officeDocument/2006/relationships/hyperlink" Target="http://www.spehner.fr" TargetMode="External"/><Relationship  Id="rId14488" Type="http://schemas.openxmlformats.org/officeDocument/2006/relationships/hyperlink" Target="http://www.linkedin.com/in/thierry-guignard-b880a122a" TargetMode="External"/><Relationship  Id="rId14489" Type="http://schemas.openxmlformats.org/officeDocument/2006/relationships/hyperlink" Target="http://www.lachauxpaysage.com" TargetMode="External"/><Relationship  Id="rId1449" Type="http://schemas.openxmlformats.org/officeDocument/2006/relationships/hyperlink" Target="http://www.linkedin.com/in/marc-scognamiglio-67300715" TargetMode="External"/><Relationship  Id="rId14490" Type="http://schemas.openxmlformats.org/officeDocument/2006/relationships/hyperlink" Target="http://www.linkedin.com/in/thierry-cegielka-bb8851299" TargetMode="External"/><Relationship  Id="rId14491" Type="http://schemas.openxmlformats.org/officeDocument/2006/relationships/hyperlink" Target="http://www.lestoituresdelest.fr" TargetMode="External"/><Relationship  Id="rId14492" Type="http://schemas.openxmlformats.org/officeDocument/2006/relationships/hyperlink" Target="http://www.linkedin.com/in/olivierbrunot" TargetMode="External"/><Relationship  Id="rId14493" Type="http://schemas.openxmlformats.org/officeDocument/2006/relationships/hyperlink" Target="http://www.directique.com" TargetMode="External"/><Relationship  Id="rId14494" Type="http://schemas.openxmlformats.org/officeDocument/2006/relationships/hyperlink" Target="http://www.linkedin.com/in/jimmy-hantz-b0279551" TargetMode="External"/><Relationship  Id="rId14495" Type="http://schemas.openxmlformats.org/officeDocument/2006/relationships/hyperlink" Target="http://www.dext-habitat.fr" TargetMode="External"/><Relationship  Id="rId14496" Type="http://schemas.openxmlformats.org/officeDocument/2006/relationships/hyperlink" Target="http://www.linkedin.com/in/arnaud-midavaine-6941b8152" TargetMode="External"/><Relationship  Id="rId14497" Type="http://schemas.openxmlformats.org/officeDocument/2006/relationships/hyperlink" Target="http://www.groupe-midavaine.com" TargetMode="External"/><Relationship  Id="rId14498" Type="http://schemas.openxmlformats.org/officeDocument/2006/relationships/hyperlink" Target="http://www.linkedin.com/in/listone-lutonadio-29935658" TargetMode="External"/><Relationship  Id="rId14499" Type="http://schemas.openxmlformats.org/officeDocument/2006/relationships/hyperlink" Target="http://www.linkedin.com/in/sylvain-lecoeur-164219246" TargetMode="External"/><Relationship  Id="rId145" Type="http://schemas.openxmlformats.org/officeDocument/2006/relationships/hyperlink" Target="http://www.chateaudemontcaud.com" TargetMode="External"/><Relationship  Id="rId1450" Type="http://schemas.openxmlformats.org/officeDocument/2006/relationships/hyperlink" Target="http://www.legrandbe.com" TargetMode="External"/><Relationship  Id="rId14500" Type="http://schemas.openxmlformats.org/officeDocument/2006/relationships/hyperlink" Target="http://www.fenetres-de-picardie.fr" TargetMode="External"/><Relationship  Id="rId14501" Type="http://schemas.openxmlformats.org/officeDocument/2006/relationships/hyperlink" Target="http://www.linkedin.com/in/flavien-r%c3%a9mi-432109b1" TargetMode="External"/><Relationship  Id="rId14502" Type="http://schemas.openxmlformats.org/officeDocument/2006/relationships/hyperlink" Target="http://www.spras.fr" TargetMode="External"/><Relationship  Id="rId14503" Type="http://schemas.openxmlformats.org/officeDocument/2006/relationships/hyperlink" Target="http://www.linkedin.com/in/alain-bejean-1771023a" TargetMode="External"/><Relationship  Id="rId14504" Type="http://schemas.openxmlformats.org/officeDocument/2006/relationships/hyperlink" Target="http://www.th-groupe.com" TargetMode="External"/><Relationship  Id="rId14505" Type="http://schemas.openxmlformats.org/officeDocument/2006/relationships/hyperlink" Target="http://www.linkedin.com/in/philippe-ray%c3%a9-42575711" TargetMode="External"/><Relationship  Id="rId14506" Type="http://schemas.openxmlformats.org/officeDocument/2006/relationships/hyperlink" Target="http://www.linkedin.com/in/pascal-favrat-8a4406a7" TargetMode="External"/><Relationship  Id="rId14507" Type="http://schemas.openxmlformats.org/officeDocument/2006/relationships/hyperlink" Target="http://www.favrat-ossature-bois.fr" TargetMode="External"/><Relationship  Id="rId14508" Type="http://schemas.openxmlformats.org/officeDocument/2006/relationships/hyperlink" Target="http://www.linkedin.com/in/yunus-ozdemir-4680a0103" TargetMode="External"/><Relationship  Id="rId14509" Type="http://schemas.openxmlformats.org/officeDocument/2006/relationships/hyperlink" Target="http://www.linkedin.com/in/olivier-fabre-77220029" TargetMode="External"/><Relationship  Id="rId1451" Type="http://schemas.openxmlformats.org/officeDocument/2006/relationships/hyperlink" Target="http://www.linkedin.com/in/jordan-rosner-2576b373" TargetMode="External"/><Relationship  Id="rId14510" Type="http://schemas.openxmlformats.org/officeDocument/2006/relationships/hyperlink" Target="http://www.ossature-production.com" TargetMode="External"/><Relationship  Id="rId14511" Type="http://schemas.openxmlformats.org/officeDocument/2006/relationships/hyperlink" Target="http://www.linkedin.com/in/thomas-plankeele" TargetMode="External"/><Relationship  Id="rId14512" Type="http://schemas.openxmlformats.org/officeDocument/2006/relationships/hyperlink" Target="http://www.jinkau.com" TargetMode="External"/><Relationship  Id="rId14513" Type="http://schemas.openxmlformats.org/officeDocument/2006/relationships/hyperlink" Target="http://www.linkedin.com/in/s%c3%a9bastien-gevaert-069589124" TargetMode="External"/><Relationship  Id="rId14514" Type="http://schemas.openxmlformats.org/officeDocument/2006/relationships/hyperlink" Target="http://www.techpli.eu" TargetMode="External"/><Relationship  Id="rId14515" Type="http://schemas.openxmlformats.org/officeDocument/2006/relationships/hyperlink" Target="http://www.linkedin.com/in/sas-boulanger-0325209b" TargetMode="External"/><Relationship  Id="rId14516" Type="http://schemas.openxmlformats.org/officeDocument/2006/relationships/hyperlink" Target="http://www.boulanger-sa.com" TargetMode="External"/><Relationship  Id="rId14517" Type="http://schemas.openxmlformats.org/officeDocument/2006/relationships/hyperlink" Target="http://www.linkedin.com/in/david-hubert-163b8585" TargetMode="External"/><Relationship  Id="rId14518" Type="http://schemas.openxmlformats.org/officeDocument/2006/relationships/hyperlink" Target="http://www.linkedin.com/in/samuel-renaudin-56973b40" TargetMode="External"/><Relationship  Id="rId14519" Type="http://schemas.openxmlformats.org/officeDocument/2006/relationships/hyperlink" Target="http://www.linkedin.com/in/david-decelle-794b181a5" TargetMode="External"/><Relationship  Id="rId1452" Type="http://schemas.openxmlformats.org/officeDocument/2006/relationships/hyperlink" Target="http://www.peppeparis.fr" TargetMode="External"/><Relationship  Id="rId14520" Type="http://schemas.openxmlformats.org/officeDocument/2006/relationships/hyperlink" Target="http://www.uniscop.com" TargetMode="External"/><Relationship  Id="rId14521" Type="http://schemas.openxmlformats.org/officeDocument/2006/relationships/hyperlink" Target="http://www.linkedin.com/in/julien-vuillot-5b0611a2" TargetMode="External"/><Relationship  Id="rId14522" Type="http://schemas.openxmlformats.org/officeDocument/2006/relationships/hyperlink" Target="http://www.facades-france-renovation.fr" TargetMode="External"/><Relationship  Id="rId14523" Type="http://schemas.openxmlformats.org/officeDocument/2006/relationships/hyperlink" Target="http://www.linkedin.com/in/ren%c3%a9-katz-63406a39" TargetMode="External"/><Relationship  Id="rId14524" Type="http://schemas.openxmlformats.org/officeDocument/2006/relationships/hyperlink" Target="http://www.martek.co.uk" TargetMode="External"/><Relationship  Id="rId14525" Type="http://schemas.openxmlformats.org/officeDocument/2006/relationships/hyperlink" Target="http://www.linkedin.com/in/frederick-becel-9b1620112" TargetMode="External"/><Relationship  Id="rId14526" Type="http://schemas.openxmlformats.org/officeDocument/2006/relationships/hyperlink" Target="http://www.ateliertourtoulou.com" TargetMode="External"/><Relationship  Id="rId14527" Type="http://schemas.openxmlformats.org/officeDocument/2006/relationships/hyperlink" Target="http://www.linkedin.com/in/daniel-julia-a6982a57" TargetMode="External"/><Relationship  Id="rId14528" Type="http://schemas.openxmlformats.org/officeDocument/2006/relationships/hyperlink" Target="http://www.tecsound.fr" TargetMode="External"/><Relationship  Id="rId14529" Type="http://schemas.openxmlformats.org/officeDocument/2006/relationships/hyperlink" Target="http://www.linkedin.com/in/christian-bressan-9700b662" TargetMode="External"/><Relationship  Id="rId1453" Type="http://schemas.openxmlformats.org/officeDocument/2006/relationships/hyperlink" Target="http://www.linkedin.com/in/thierry-gardinier-6964662a9" TargetMode="External"/><Relationship  Id="rId14530" Type="http://schemas.openxmlformats.org/officeDocument/2006/relationships/hyperlink" Target="http://www.raoulcorre.com" TargetMode="External"/><Relationship  Id="rId14531" Type="http://schemas.openxmlformats.org/officeDocument/2006/relationships/hyperlink" Target="http://www.linkedin.com/in/lionel-prioux-099a65125" TargetMode="External"/><Relationship  Id="rId14532" Type="http://schemas.openxmlformats.org/officeDocument/2006/relationships/hyperlink" Target="http://www.astonbatiment.fr" TargetMode="External"/><Relationship  Id="rId14533" Type="http://schemas.openxmlformats.org/officeDocument/2006/relationships/hyperlink" Target="http://www.linkedin.com/in/fannechere" TargetMode="External"/><Relationship  Id="rId14534" Type="http://schemas.openxmlformats.org/officeDocument/2006/relationships/hyperlink" Target="http://www.bbc-bois.com" TargetMode="External"/><Relationship  Id="rId14535" Type="http://schemas.openxmlformats.org/officeDocument/2006/relationships/hyperlink" Target="http://www.linkedin.com/in/david-megevand-37049043" TargetMode="External"/><Relationship  Id="rId14536" Type="http://schemas.openxmlformats.org/officeDocument/2006/relationships/hyperlink" Target="http://www.groppi.fr" TargetMode="External"/><Relationship  Id="rId14537" Type="http://schemas.openxmlformats.org/officeDocument/2006/relationships/hyperlink" Target="http://www.linkedin.com/in/arifcecen" TargetMode="External"/><Relationship  Id="rId14538" Type="http://schemas.openxmlformats.org/officeDocument/2006/relationships/hyperlink" Target="http://www.rcebat.com" TargetMode="External"/><Relationship  Id="rId14539" Type="http://schemas.openxmlformats.org/officeDocument/2006/relationships/hyperlink" Target="http://www.linkedin.com/in/guillaume-renouard-50564542" TargetMode="External"/><Relationship  Id="rId1454" Type="http://schemas.openxmlformats.org/officeDocument/2006/relationships/hyperlink" Target="http://www.gardinier.com" TargetMode="External"/><Relationship  Id="rId14540" Type="http://schemas.openxmlformats.org/officeDocument/2006/relationships/hyperlink" Target="http://www.ren-ingenierie.com" TargetMode="External"/><Relationship  Id="rId14541" Type="http://schemas.openxmlformats.org/officeDocument/2006/relationships/hyperlink" Target="http://www.linkedin.com/in/folly-koussawo" TargetMode="External"/><Relationship  Id="rId14542" Type="http://schemas.openxmlformats.org/officeDocument/2006/relationships/hyperlink" Target="http://www.trianon-homes.com" TargetMode="External"/><Relationship  Id="rId14543" Type="http://schemas.openxmlformats.org/officeDocument/2006/relationships/hyperlink" Target="http://www.linkedin.com/in/thomas-grenouilleau-72b772201" TargetMode="External"/><Relationship  Id="rId14544" Type="http://schemas.openxmlformats.org/officeDocument/2006/relationships/hyperlink" Target="http://www.erb-batiment.fr" TargetMode="External"/><Relationship  Id="rId14545" Type="http://schemas.openxmlformats.org/officeDocument/2006/relationships/hyperlink" Target="http://www.linkedin.com/in/bertrand-reynaud-48b66a71" TargetMode="External"/><Relationship  Id="rId14546" Type="http://schemas.openxmlformats.org/officeDocument/2006/relationships/hyperlink" Target="http://www.ilotpiscines.fr" TargetMode="External"/><Relationship  Id="rId14547" Type="http://schemas.openxmlformats.org/officeDocument/2006/relationships/hyperlink" Target="http://www.linkedin.com/in/jean-philippe-loth-423b12111" TargetMode="External"/><Relationship  Id="rId14548" Type="http://schemas.openxmlformats.org/officeDocument/2006/relationships/hyperlink" Target="http://www.flocarem.com" TargetMode="External"/><Relationship  Id="rId14549" Type="http://schemas.openxmlformats.org/officeDocument/2006/relationships/hyperlink" Target="http://www.linkedin.com/in/alexandre-prudent-0703715a" TargetMode="External"/><Relationship  Id="rId1455" Type="http://schemas.openxmlformats.org/officeDocument/2006/relationships/hyperlink" Target="http://www.linkedin.com/in/gilles-larrive-6729741" TargetMode="External"/><Relationship  Id="rId14550" Type="http://schemas.openxmlformats.org/officeDocument/2006/relationships/hyperlink" Target="http://www.recma.fr" TargetMode="External"/><Relationship  Id="rId14551" Type="http://schemas.openxmlformats.org/officeDocument/2006/relationships/hyperlink" Target="http://www.linkedin.com/in/laurent-neveu-78646b3" TargetMode="External"/><Relationship  Id="rId14552" Type="http://schemas.openxmlformats.org/officeDocument/2006/relationships/hyperlink" Target="http://www.reseau-afl.fr" TargetMode="External"/><Relationship  Id="rId14553" Type="http://schemas.openxmlformats.org/officeDocument/2006/relationships/hyperlink" Target="http://www.linkedin.com/in/abdellah-ait-said-b96b94" TargetMode="External"/><Relationship  Id="rId14554" Type="http://schemas.openxmlformats.org/officeDocument/2006/relationships/hyperlink" Target="http://www.linkedin.com/in/eric-borney-92769139" TargetMode="External"/><Relationship  Id="rId14555" Type="http://schemas.openxmlformats.org/officeDocument/2006/relationships/hyperlink" Target="http://www.unlogementdanslorne.fr" TargetMode="External"/><Relationship  Id="rId14556" Type="http://schemas.openxmlformats.org/officeDocument/2006/relationships/hyperlink" Target="http://www.linkedin.com/in/guillaume-mary-518136180" TargetMode="External"/><Relationship  Id="rId14557" Type="http://schemas.openxmlformats.org/officeDocument/2006/relationships/hyperlink" Target="http://www.domeus-constructions.fr" TargetMode="External"/><Relationship  Id="rId14558" Type="http://schemas.openxmlformats.org/officeDocument/2006/relationships/hyperlink" Target="http://www.linkedin.com/in/benoit-pierre-6934b79a" TargetMode="External"/><Relationship  Id="rId14559" Type="http://schemas.openxmlformats.org/officeDocument/2006/relationships/hyperlink" Target="http://www.acmes33.fr" TargetMode="External"/><Relationship  Id="rId1456" Type="http://schemas.openxmlformats.org/officeDocument/2006/relationships/hyperlink" Target="http://www.castellet-hospitality.com" TargetMode="External"/><Relationship  Id="rId14560" Type="http://schemas.openxmlformats.org/officeDocument/2006/relationships/hyperlink" Target="http://www.linkedin.com/in/luc-muller-2822b8172" TargetMode="External"/><Relationship  Id="rId14561" Type="http://schemas.openxmlformats.org/officeDocument/2006/relationships/hyperlink" Target="http://www.mf-drone.com" TargetMode="External"/><Relationship  Id="rId14562" Type="http://schemas.openxmlformats.org/officeDocument/2006/relationships/hyperlink" Target="http://www.linkedin.com/in/eric-alleau-441805a7" TargetMode="External"/><Relationship  Id="rId14563" Type="http://schemas.openxmlformats.org/officeDocument/2006/relationships/hyperlink" Target="http://www.linkedin.com/in/didier-gosmand-661aa625" TargetMode="External"/><Relationship  Id="rId14564" Type="http://schemas.openxmlformats.org/officeDocument/2006/relationships/hyperlink" Target="http://www.groupe-eddifis.fr" TargetMode="External"/><Relationship  Id="rId14565" Type="http://schemas.openxmlformats.org/officeDocument/2006/relationships/hyperlink" Target="http://www.linkedin.com/in/vincent-gerard-95099793" TargetMode="External"/><Relationship  Id="rId14566" Type="http://schemas.openxmlformats.org/officeDocument/2006/relationships/hyperlink" Target="http://www.g2v.fr" TargetMode="External"/><Relationship  Id="rId14567" Type="http://schemas.openxmlformats.org/officeDocument/2006/relationships/hyperlink" Target="http://www.linkedin.com/in/denis-blanc-3297473b" TargetMode="External"/><Relationship  Id="rId14568" Type="http://schemas.openxmlformats.org/officeDocument/2006/relationships/hyperlink" Target="http://www.decobat-entreprises.com" TargetMode="External"/><Relationship  Id="rId14569" Type="http://schemas.openxmlformats.org/officeDocument/2006/relationships/hyperlink" Target="http://www.linkedin.com/in/walter-pageot-3242605b" TargetMode="External"/><Relationship  Id="rId1457" Type="http://schemas.openxmlformats.org/officeDocument/2006/relationships/hyperlink" Target="http://www.linkedin.com/in/olivier-claret-0378b57" TargetMode="External"/><Relationship  Id="rId14570" Type="http://schemas.openxmlformats.org/officeDocument/2006/relationships/hyperlink" Target="http://www.torq-em.com" TargetMode="External"/><Relationship  Id="rId14571" Type="http://schemas.openxmlformats.org/officeDocument/2006/relationships/hyperlink" Target="http://www.linkedin.com/in/hadjiabdelfattah" TargetMode="External"/><Relationship  Id="rId14572" Type="http://schemas.openxmlformats.org/officeDocument/2006/relationships/hyperlink" Target="http://www.eathventum.com" TargetMode="External"/><Relationship  Id="rId14573" Type="http://schemas.openxmlformats.org/officeDocument/2006/relationships/hyperlink" Target="http://www.linkedin.com/in/manuelhennequin-entrepreneur-impact" TargetMode="External"/><Relationship  Id="rId14574" Type="http://schemas.openxmlformats.org/officeDocument/2006/relationships/hyperlink" Target="http://www.stugan-house.com" TargetMode="External"/><Relationship  Id="rId14575" Type="http://schemas.openxmlformats.org/officeDocument/2006/relationships/hyperlink" Target="http://www.linkedin.com/in/vdesgrippes" TargetMode="External"/><Relationship  Id="rId14576" Type="http://schemas.openxmlformats.org/officeDocument/2006/relationships/hyperlink" Target="http://www.zeom.fr" TargetMode="External"/><Relationship  Id="rId14577" Type="http://schemas.openxmlformats.org/officeDocument/2006/relationships/hyperlink" Target="http://www.linkedin.com/in/ugo-sagnard-17697516" TargetMode="External"/><Relationship  Id="rId14578" Type="http://schemas.openxmlformats.org/officeDocument/2006/relationships/hyperlink" Target="http://www.culturehabitat.com" TargetMode="External"/><Relationship  Id="rId14579" Type="http://schemas.openxmlformats.org/officeDocument/2006/relationships/hyperlink" Target="http://www.linkedin.com/in/benjamin-rizzon-765a26225" TargetMode="External"/><Relationship  Id="rId1458" Type="http://schemas.openxmlformats.org/officeDocument/2006/relationships/hyperlink" Target="http://www.h8-collection.com" TargetMode="External"/><Relationship  Id="rId14580" Type="http://schemas.openxmlformats.org/officeDocument/2006/relationships/hyperlink" Target="http://www.maisonsclauderizzon-lorraine.fr" TargetMode="External"/><Relationship  Id="rId14581" Type="http://schemas.openxmlformats.org/officeDocument/2006/relationships/hyperlink" Target="http://www.linkedin.com/in/simone-grismondi-36431b1a" TargetMode="External"/><Relationship  Id="rId14582" Type="http://schemas.openxmlformats.org/officeDocument/2006/relationships/hyperlink" Target="http://www.semmlogging.com" TargetMode="External"/><Relationship  Id="rId14583" Type="http://schemas.openxmlformats.org/officeDocument/2006/relationships/hyperlink" Target="http://www.linkedin.com/in/laurent-soriano-594996106" TargetMode="External"/><Relationship  Id="rId14584" Type="http://schemas.openxmlformats.org/officeDocument/2006/relationships/hyperlink" Target="http://www.cv3e.fr" TargetMode="External"/><Relationship  Id="rId14585" Type="http://schemas.openxmlformats.org/officeDocument/2006/relationships/hyperlink" Target="http://www.linkedin.com/in/nicolas-toral-2094551b8" TargetMode="External"/><Relationship  Id="rId14586" Type="http://schemas.openxmlformats.org/officeDocument/2006/relationships/hyperlink" Target="http://www.maisonsdenfrance-sudpyrenees.fr" TargetMode="External"/><Relationship  Id="rId14587" Type="http://schemas.openxmlformats.org/officeDocument/2006/relationships/hyperlink" Target="http://www.linkedin.com/in/nicolas-berthon-56458464" TargetMode="External"/><Relationship  Id="rId14588" Type="http://schemas.openxmlformats.org/officeDocument/2006/relationships/hyperlink" Target="http://www.advivo.fr" TargetMode="External"/><Relationship  Id="rId14589" Type="http://schemas.openxmlformats.org/officeDocument/2006/relationships/hyperlink" Target="http://www.linkedin.com/in/maroin-hamra-33710ba8" TargetMode="External"/><Relationship  Id="rId1459" Type="http://schemas.openxmlformats.org/officeDocument/2006/relationships/hyperlink" Target="http://www.linkedin.com/in/pascal-donat-1148a127" TargetMode="External"/><Relationship  Id="rId14590" Type="http://schemas.openxmlformats.org/officeDocument/2006/relationships/hyperlink" Target="http://www.mh-ingenierie.fr" TargetMode="External"/><Relationship  Id="rId14591" Type="http://schemas.openxmlformats.org/officeDocument/2006/relationships/hyperlink" Target="http://www.linkedin.com/in/michel-landrin-403a94a7" TargetMode="External"/><Relationship  Id="rId14592" Type="http://schemas.openxmlformats.org/officeDocument/2006/relationships/hyperlink" Target="http://www.anaclos.com" TargetMode="External"/><Relationship  Id="rId14593" Type="http://schemas.openxmlformats.org/officeDocument/2006/relationships/hyperlink" Target="http://www.linkedin.com/in/olivier-gauthier-mrics-63386210" TargetMode="External"/><Relationship  Id="rId14594" Type="http://schemas.openxmlformats.org/officeDocument/2006/relationships/hyperlink" Target="http://www.realsense.fr" TargetMode="External"/><Relationship  Id="rId14595" Type="http://schemas.openxmlformats.org/officeDocument/2006/relationships/hyperlink" Target="http://www.linkedin.com/in/christophe-camuset-537121137" TargetMode="External"/><Relationship  Id="rId14596" Type="http://schemas.openxmlformats.org/officeDocument/2006/relationships/hyperlink" Target="http://www.ilcree.com" TargetMode="External"/><Relationship  Id="rId14597" Type="http://schemas.openxmlformats.org/officeDocument/2006/relationships/hyperlink" Target="http://www.linkedin.com/in/mapair-sarl-6172b422a" TargetMode="External"/><Relationship  Id="rId14598" Type="http://schemas.openxmlformats.org/officeDocument/2006/relationships/hyperlink" Target="http://www.mapair.fr" TargetMode="External"/><Relationship  Id="rId14599" Type="http://schemas.openxmlformats.org/officeDocument/2006/relationships/hyperlink" Target="http://www.linkedin.com/in/olivier-bruchet-a4b1335a" TargetMode="External"/><Relationship  Id="rId146" Type="http://schemas.openxmlformats.org/officeDocument/2006/relationships/hyperlink" Target="http://www.linkedin.com/in/st%c3%a9phane-ustaritz-hospitality" TargetMode="External"/><Relationship  Id="rId1460" Type="http://schemas.openxmlformats.org/officeDocument/2006/relationships/hyperlink" Target="http://www.valotel.com" TargetMode="External"/><Relationship  Id="rId14600" Type="http://schemas.openxmlformats.org/officeDocument/2006/relationships/hyperlink" Target="http://www.groupe-secre.com" TargetMode="External"/><Relationship  Id="rId14601" Type="http://schemas.openxmlformats.org/officeDocument/2006/relationships/hyperlink" Target="http://www.linkedin.com/in/r%c3%a9mi-morb%c3%a9-362692131" TargetMode="External"/><Relationship  Id="rId14602" Type="http://schemas.openxmlformats.org/officeDocument/2006/relationships/hyperlink" Target="http://www.prodotec.fr" TargetMode="External"/><Relationship  Id="rId14603" Type="http://schemas.openxmlformats.org/officeDocument/2006/relationships/hyperlink" Target="http://www.linkedin.com/in/hassan-tebbal-b40890114" TargetMode="External"/><Relationship  Id="rId14604" Type="http://schemas.openxmlformats.org/officeDocument/2006/relationships/hyperlink" Target="http://www.webuildup.io" TargetMode="External"/><Relationship  Id="rId14605" Type="http://schemas.openxmlformats.org/officeDocument/2006/relationships/hyperlink" Target="http://www.linkedin.com/in/sim%c3%a3o-marinho-62b9231b2" TargetMode="External"/><Relationship  Id="rId14606" Type="http://schemas.openxmlformats.org/officeDocument/2006/relationships/hyperlink" Target="http://www.nascer-do-sol.com" TargetMode="External"/><Relationship  Id="rId14607" Type="http://schemas.openxmlformats.org/officeDocument/2006/relationships/hyperlink" Target="http://www.linkedin.com/in/patrick-beauvillain-036ab814b" TargetMode="External"/><Relationship  Id="rId14608" Type="http://schemas.openxmlformats.org/officeDocument/2006/relationships/hyperlink" Target="http://www.sqb-batiment.fr" TargetMode="External"/><Relationship  Id="rId14609" Type="http://schemas.openxmlformats.org/officeDocument/2006/relationships/hyperlink" Target="http://www.linkedin.com/in/jordan-andrade-01b098255" TargetMode="External"/><Relationship  Id="rId1461" Type="http://schemas.openxmlformats.org/officeDocument/2006/relationships/hyperlink" Target="http://www.linkedin.com/in/patrick-cordier" TargetMode="External"/><Relationship  Id="rId14610" Type="http://schemas.openxmlformats.org/officeDocument/2006/relationships/hyperlink" Target="http://www.renovationdupatrimoine-bat.com" TargetMode="External"/><Relationship  Id="rId14611" Type="http://schemas.openxmlformats.org/officeDocument/2006/relationships/hyperlink" Target="http://www.linkedin.com/in/gino-scarna-00916499" TargetMode="External"/><Relationship  Id="rId14612" Type="http://schemas.openxmlformats.org/officeDocument/2006/relationships/hyperlink" Target="http://www.groupe-solidum.fr" TargetMode="External"/><Relationship  Id="rId14613" Type="http://schemas.openxmlformats.org/officeDocument/2006/relationships/hyperlink" Target="http://www.linkedin.com/in/stephane-troussard-0b047048" TargetMode="External"/><Relationship  Id="rId14614" Type="http://schemas.openxmlformats.org/officeDocument/2006/relationships/hyperlink" Target="http://www.sfbeton.eu" TargetMode="External"/><Relationship  Id="rId14615" Type="http://schemas.openxmlformats.org/officeDocument/2006/relationships/hyperlink" Target="http://www.linkedin.com/in/matthieu-chahine-president" TargetMode="External"/><Relationship  Id="rId14616" Type="http://schemas.openxmlformats.org/officeDocument/2006/relationships/hyperlink" Target="http://www.solarcom-enr.com" TargetMode="External"/><Relationship  Id="rId14617" Type="http://schemas.openxmlformats.org/officeDocument/2006/relationships/hyperlink" Target="http://www.linkedin.com/in/benoit-pelletier-97b199212" TargetMode="External"/><Relationship  Id="rId14618" Type="http://schemas.openxmlformats.org/officeDocument/2006/relationships/hyperlink" Target="http://www.db-centre.com" TargetMode="External"/><Relationship  Id="rId14619" Type="http://schemas.openxmlformats.org/officeDocument/2006/relationships/hyperlink" Target="http://www.linkedin.com/in/sebastien-paccard-212b30a9" TargetMode="External"/><Relationship  Id="rId1462" Type="http://schemas.openxmlformats.org/officeDocument/2006/relationships/hyperlink" Target="http://www.wiicmenu.com" TargetMode="External"/><Relationship  Id="rId14620" Type="http://schemas.openxmlformats.org/officeDocument/2006/relationships/hyperlink" Target="http://www.sademo.com" TargetMode="External"/><Relationship  Id="rId14621" Type="http://schemas.openxmlformats.org/officeDocument/2006/relationships/hyperlink" Target="http://www.linkedin.com/in/jean-philippe-jacquier-049906bb" TargetMode="External"/><Relationship  Id="rId14622" Type="http://schemas.openxmlformats.org/officeDocument/2006/relationships/hyperlink" Target="http://www.sylvametal.com" TargetMode="External"/><Relationship  Id="rId14623" Type="http://schemas.openxmlformats.org/officeDocument/2006/relationships/hyperlink" Target="http://www.linkedin.com/in/denis-lelievre" TargetMode="External"/><Relationship  Id="rId14624" Type="http://schemas.openxmlformats.org/officeDocument/2006/relationships/hyperlink" Target="http://www.ideal-tiny.fr" TargetMode="External"/><Relationship  Id="rId14625" Type="http://schemas.openxmlformats.org/officeDocument/2006/relationships/hyperlink" Target="http://www.linkedin.com/in/luis-dantas-13b29696" TargetMode="External"/><Relationship  Id="rId14626" Type="http://schemas.openxmlformats.org/officeDocument/2006/relationships/hyperlink" Target="http://www.fluid-inox.fr" TargetMode="External"/><Relationship  Id="rId14627" Type="http://schemas.openxmlformats.org/officeDocument/2006/relationships/hyperlink" Target="http://www.linkedin.com/in/albizati-alain-8ba01684" TargetMode="External"/><Relationship  Id="rId14628" Type="http://schemas.openxmlformats.org/officeDocument/2006/relationships/hyperlink" Target="http://www.albizzati.fr" TargetMode="External"/><Relationship  Id="rId14629" Type="http://schemas.openxmlformats.org/officeDocument/2006/relationships/hyperlink" Target="http://www.linkedin.com/in/xavier-imoleon-4a4b498a" TargetMode="External"/><Relationship  Id="rId1463" Type="http://schemas.openxmlformats.org/officeDocument/2006/relationships/hyperlink" Target="http://www.linkedin.com/in/kevin-d-700855103" TargetMode="External"/><Relationship  Id="rId14630" Type="http://schemas.openxmlformats.org/officeDocument/2006/relationships/hyperlink" Target="http://www.hitecfrance.com" TargetMode="External"/><Relationship  Id="rId14631" Type="http://schemas.openxmlformats.org/officeDocument/2006/relationships/hyperlink" Target="http://www.linkedin.com/in/nicolas-florentz-4bb802155" TargetMode="External"/><Relationship  Id="rId14632" Type="http://schemas.openxmlformats.org/officeDocument/2006/relationships/hyperlink" Target="http://www.linkedin.com/in/david-seignat-9615b1161" TargetMode="External"/><Relationship  Id="rId14633" Type="http://schemas.openxmlformats.org/officeDocument/2006/relationships/hyperlink" Target="http://www.araujoseignat.fr" TargetMode="External"/><Relationship  Id="rId14634" Type="http://schemas.openxmlformats.org/officeDocument/2006/relationships/hyperlink" Target="http://www.linkedin.com/in/cyril-dormy-0b0400aa" TargetMode="External"/><Relationship  Id="rId14635" Type="http://schemas.openxmlformats.org/officeDocument/2006/relationships/hyperlink" Target="http://www.francebatiment.com" TargetMode="External"/><Relationship  Id="rId14636" Type="http://schemas.openxmlformats.org/officeDocument/2006/relationships/hyperlink" Target="http://www.linkedin.com/in/damien-clara-84059623" TargetMode="External"/><Relationship  Id="rId14637" Type="http://schemas.openxmlformats.org/officeDocument/2006/relationships/hyperlink" Target="http://www.linkedin.com/in/marie-gouttenoire-263759106" TargetMode="External"/><Relationship  Id="rId14638" Type="http://schemas.openxmlformats.org/officeDocument/2006/relationships/hyperlink" Target="http://www.chezmoidemain.com" TargetMode="External"/><Relationship  Id="rId14639" Type="http://schemas.openxmlformats.org/officeDocument/2006/relationships/hyperlink" Target="http://www.linkedin.com/in/karine-jugla-b30b95117" TargetMode="External"/><Relationship  Id="rId1464" Type="http://schemas.openxmlformats.org/officeDocument/2006/relationships/hyperlink" Target="http://www.zejourney.com" TargetMode="External"/><Relationship  Id="rId14640" Type="http://schemas.openxmlformats.org/officeDocument/2006/relationships/hyperlink" Target="http://www.charpentes-ventura.fr" TargetMode="External"/><Relationship  Id="rId14641" Type="http://schemas.openxmlformats.org/officeDocument/2006/relationships/hyperlink" Target="http://www.linkedin.com/in/yvesmace" TargetMode="External"/><Relationship  Id="rId14642" Type="http://schemas.openxmlformats.org/officeDocument/2006/relationships/hyperlink" Target="http://www.linkedin.com/in/nancy-carrere-5a45165a" TargetMode="External"/><Relationship  Id="rId14643" Type="http://schemas.openxmlformats.org/officeDocument/2006/relationships/hyperlink" Target="http://www.serclim.fr" TargetMode="External"/><Relationship  Id="rId14644" Type="http://schemas.openxmlformats.org/officeDocument/2006/relationships/hyperlink" Target="http://www.linkedin.com/in/fran%c3%a7ois-pelago-6b658a10a" TargetMode="External"/><Relationship  Id="rId14645" Type="http://schemas.openxmlformats.org/officeDocument/2006/relationships/hyperlink" Target="http://www.linkedin.com/in/fiona-ballone-scarna-a1b17a113" TargetMode="External"/><Relationship  Id="rId14646" Type="http://schemas.openxmlformats.org/officeDocument/2006/relationships/hyperlink" Target="http://www.linkedin.com/in/dominique-auger-235735152" TargetMode="External"/><Relationship  Id="rId14647" Type="http://schemas.openxmlformats.org/officeDocument/2006/relationships/hyperlink" Target="http://www.aecco-consulting.com" TargetMode="External"/><Relationship  Id="rId14648" Type="http://schemas.openxmlformats.org/officeDocument/2006/relationships/hyperlink" Target="http://www.linkedin.com/in/freddy-van-ingen-548435155" TargetMode="External"/><Relationship  Id="rId14649" Type="http://schemas.openxmlformats.org/officeDocument/2006/relationships/hyperlink" Target="http://www.vaningen-forages.fr" TargetMode="External"/><Relationship  Id="rId1465" Type="http://schemas.openxmlformats.org/officeDocument/2006/relationships/hyperlink" Target="http://www.linkedin.com/in/eugenie-verdaguer-a951bb24a" TargetMode="External"/><Relationship  Id="rId14650" Type="http://schemas.openxmlformats.org/officeDocument/2006/relationships/hyperlink" Target="http://www.linkedin.com/in/damien-marechal-6774a1160" TargetMode="External"/><Relationship  Id="rId14651" Type="http://schemas.openxmlformats.org/officeDocument/2006/relationships/hyperlink" Target="http://www.treuil.fr" TargetMode="External"/><Relationship  Id="rId14652" Type="http://schemas.openxmlformats.org/officeDocument/2006/relationships/hyperlink" Target="http://www.linkedin.com/in/christophe-guyot-39145a42" TargetMode="External"/><Relationship  Id="rId14653" Type="http://schemas.openxmlformats.org/officeDocument/2006/relationships/hyperlink" Target="http://www.enerscience.fr" TargetMode="External"/><Relationship  Id="rId14654" Type="http://schemas.openxmlformats.org/officeDocument/2006/relationships/hyperlink" Target="http://www.linkedin.com/in/activachats" TargetMode="External"/><Relationship  Id="rId14655" Type="http://schemas.openxmlformats.org/officeDocument/2006/relationships/hyperlink" Target="http://www.patfoort.com" TargetMode="External"/><Relationship  Id="rId14656" Type="http://schemas.openxmlformats.org/officeDocument/2006/relationships/hyperlink" Target="http://www.linkedin.com/in/julian-bizet-7686b7124" TargetMode="External"/><Relationship  Id="rId14657" Type="http://schemas.openxmlformats.org/officeDocument/2006/relationships/hyperlink" Target="http://www.cobalto-sas.fr" TargetMode="External"/><Relationship  Id="rId14658" Type="http://schemas.openxmlformats.org/officeDocument/2006/relationships/hyperlink" Target="http://www.linkedin.com/in/david-cadet-21b5b9b6" TargetMode="External"/><Relationship  Id="rId14659" Type="http://schemas.openxmlformats.org/officeDocument/2006/relationships/hyperlink" Target="http://www.linkedin.com/in/bertrand-madamour-ba107021" TargetMode="External"/><Relationship  Id="rId1466" Type="http://schemas.openxmlformats.org/officeDocument/2006/relationships/hyperlink" Target="http://www.campingamfora.com" TargetMode="External"/><Relationship  Id="rId14660" Type="http://schemas.openxmlformats.org/officeDocument/2006/relationships/hyperlink" Target="http://www.pb-constructions.fr" TargetMode="External"/><Relationship  Id="rId14661" Type="http://schemas.openxmlformats.org/officeDocument/2006/relationships/hyperlink" Target="http://www.linkedin.com/in/alexandre-revel-7a8753108" TargetMode="External"/><Relationship  Id="rId14662" Type="http://schemas.openxmlformats.org/officeDocument/2006/relationships/hyperlink" Target="http://www.onlytoit.fr" TargetMode="External"/><Relationship  Id="rId14663" Type="http://schemas.openxmlformats.org/officeDocument/2006/relationships/hyperlink" Target="http://www.linkedin.com/in/rapha%c3%abl-vial-0a316117b" TargetMode="External"/><Relationship  Id="rId14664" Type="http://schemas.openxmlformats.org/officeDocument/2006/relationships/hyperlink" Target="http://www.cgem.fr" TargetMode="External"/><Relationship  Id="rId14665" Type="http://schemas.openxmlformats.org/officeDocument/2006/relationships/hyperlink" Target="http://www.linkedin.com/in/tom-dellavalle-b9755516a" TargetMode="External"/><Relationship  Id="rId14666" Type="http://schemas.openxmlformats.org/officeDocument/2006/relationships/hyperlink" Target="http://www.groupe-bodeze.fr" TargetMode="External"/><Relationship  Id="rId14667" Type="http://schemas.openxmlformats.org/officeDocument/2006/relationships/hyperlink" Target="http://www.linkedin.com/in/adongoun-gilles-43b7446b" TargetMode="External"/><Relationship  Id="rId14668" Type="http://schemas.openxmlformats.org/officeDocument/2006/relationships/hyperlink" Target="http://www.gad-renov.fr" TargetMode="External"/><Relationship  Id="rId14669" Type="http://schemas.openxmlformats.org/officeDocument/2006/relationships/hyperlink" Target="http://www.linkedin.com/in/jorge-sousa-9579a693" TargetMode="External"/><Relationship  Id="rId1467" Type="http://schemas.openxmlformats.org/officeDocument/2006/relationships/hyperlink" Target="http://www.linkedin.com/in/stephane-lau-a4a94211" TargetMode="External"/><Relationship  Id="rId14670" Type="http://schemas.openxmlformats.org/officeDocument/2006/relationships/hyperlink" Target="http://www.amicitia-immobilier.fr" TargetMode="External"/><Relationship  Id="rId14671" Type="http://schemas.openxmlformats.org/officeDocument/2006/relationships/hyperlink" Target="http://www.linkedin.com/in/antoine-franc-36940015b" TargetMode="External"/><Relationship  Id="rId14672" Type="http://schemas.openxmlformats.org/officeDocument/2006/relationships/hyperlink" Target="http://www.aquitaineceramique.fr" TargetMode="External"/><Relationship  Id="rId14673" Type="http://schemas.openxmlformats.org/officeDocument/2006/relationships/hyperlink" Target="http://www.linkedin.com/in/jacques-manzoni-5770a934" TargetMode="External"/><Relationship  Id="rId14674" Type="http://schemas.openxmlformats.org/officeDocument/2006/relationships/hyperlink" Target="http://www.fib.org" TargetMode="External"/><Relationship  Id="rId14675" Type="http://schemas.openxmlformats.org/officeDocument/2006/relationships/hyperlink" Target="http://www.linkedin.com/in/taner-ucler-28a175124" TargetMode="External"/><Relationship  Id="rId14676" Type="http://schemas.openxmlformats.org/officeDocument/2006/relationships/hyperlink" Target="http://www.cbr-architecture.fr" TargetMode="External"/><Relationship  Id="rId14677" Type="http://schemas.openxmlformats.org/officeDocument/2006/relationships/hyperlink" Target="http://www.linkedin.com/in/r%c3%a9my-chazallet-499531269" TargetMode="External"/><Relationship  Id="rId14678" Type="http://schemas.openxmlformats.org/officeDocument/2006/relationships/hyperlink" Target="http://www.secobois.fr" TargetMode="External"/><Relationship  Id="rId14679" Type="http://schemas.openxmlformats.org/officeDocument/2006/relationships/hyperlink" Target="http://www.linkedin.com/in/didier-airieau" TargetMode="External"/><Relationship  Id="rId1468" Type="http://schemas.openxmlformats.org/officeDocument/2006/relationships/hyperlink" Target="http://www.venghour.com" TargetMode="External"/><Relationship  Id="rId14680" Type="http://schemas.openxmlformats.org/officeDocument/2006/relationships/hyperlink" Target="http://www.groupe-charpentier.fr" TargetMode="External"/><Relationship  Id="rId14681" Type="http://schemas.openxmlformats.org/officeDocument/2006/relationships/hyperlink" Target="http://www.linkedin.com/in/julian-dulatier-20a31b214" TargetMode="External"/><Relationship  Id="rId14682" Type="http://schemas.openxmlformats.org/officeDocument/2006/relationships/hyperlink" Target="http://www.peintre-decorateur-rennes.fr" TargetMode="External"/><Relationship  Id="rId14683" Type="http://schemas.openxmlformats.org/officeDocument/2006/relationships/hyperlink" Target="http://www.linkedin.com/in/gilles-gaudefroy-bb290316" TargetMode="External"/><Relationship  Id="rId14684" Type="http://schemas.openxmlformats.org/officeDocument/2006/relationships/hyperlink" Target="http://www.linkedin.com/in/parfait-nounagnon-43186265" TargetMode="External"/><Relationship  Id="rId14685" Type="http://schemas.openxmlformats.org/officeDocument/2006/relationships/hyperlink" Target="http://www.elef-ingenierie.fr" TargetMode="External"/><Relationship  Id="rId14686" Type="http://schemas.openxmlformats.org/officeDocument/2006/relationships/hyperlink" Target="http://www.linkedin.com/in/alexis-joly-erct-construction" TargetMode="External"/><Relationship  Id="rId14687" Type="http://schemas.openxmlformats.org/officeDocument/2006/relationships/hyperlink" Target="http://www.erct-construction.com" TargetMode="External"/><Relationship  Id="rId14688" Type="http://schemas.openxmlformats.org/officeDocument/2006/relationships/hyperlink" Target="http://www.linkedin.com/in/romain-vanpevenage-80260630" TargetMode="External"/><Relationship  Id="rId14689" Type="http://schemas.openxmlformats.org/officeDocument/2006/relationships/hyperlink" Target="http://www.paveco.eu" TargetMode="External"/><Relationship  Id="rId1469" Type="http://schemas.openxmlformats.org/officeDocument/2006/relationships/hyperlink" Target="http://www.linkedin.com/in/s%c3%a9bastien-gesnin-b3852bb6" TargetMode="External"/><Relationship  Id="rId14690" Type="http://schemas.openxmlformats.org/officeDocument/2006/relationships/hyperlink" Target="http://www.linkedin.com/in/pierre-pipo-14174751" TargetMode="External"/><Relationship  Id="rId14691" Type="http://schemas.openxmlformats.org/officeDocument/2006/relationships/hyperlink" Target="http://www.dasse.com" TargetMode="External"/><Relationship  Id="rId14692" Type="http://schemas.openxmlformats.org/officeDocument/2006/relationships/hyperlink" Target="http://www.linkedin.com/in/necmettin-atici-08258687" TargetMode="External"/><Relationship  Id="rId14693" Type="http://schemas.openxmlformats.org/officeDocument/2006/relationships/hyperlink" Target="http://www.linkedin.com/in/jean-michel-brault-127728293" TargetMode="External"/><Relationship  Id="rId14694" Type="http://schemas.openxmlformats.org/officeDocument/2006/relationships/hyperlink" Target="http://www.brault-metallerie.com" TargetMode="External"/><Relationship  Id="rId14695" Type="http://schemas.openxmlformats.org/officeDocument/2006/relationships/hyperlink" Target="http://www.linkedin.com/in/fr%c3%a9d%c3%a9ric-turmet-ba5b81b5" TargetMode="External"/><Relationship  Id="rId14696" Type="http://schemas.openxmlformats.org/officeDocument/2006/relationships/hyperlink" Target="http://www.fondouest.com" TargetMode="External"/><Relationship  Id="rId14697" Type="http://schemas.openxmlformats.org/officeDocument/2006/relationships/hyperlink" Target="http://www.linkedin.com/in/jeanmicheldurocher" TargetMode="External"/><Relationship  Id="rId14698" Type="http://schemas.openxmlformats.org/officeDocument/2006/relationships/hyperlink" Target="http://www.timetonic.com" TargetMode="External"/><Relationship  Id="rId14699" Type="http://schemas.openxmlformats.org/officeDocument/2006/relationships/hyperlink" Target="http://www.linkedin.com/in/laurent-cayet-2a99b0" TargetMode="External"/><Relationship  Id="rId147" Type="http://schemas.openxmlformats.org/officeDocument/2006/relationships/hyperlink" Target="http://www.nessence-group.fr" TargetMode="External"/><Relationship  Id="rId1470" Type="http://schemas.openxmlformats.org/officeDocument/2006/relationships/hyperlink" Target="http://www.hotelrochechouart.com" TargetMode="External"/><Relationship  Id="rId14700" Type="http://schemas.openxmlformats.org/officeDocument/2006/relationships/hyperlink" Target="http://www.imxgroupllc.com" TargetMode="External"/><Relationship  Id="rId14701" Type="http://schemas.openxmlformats.org/officeDocument/2006/relationships/hyperlink" Target="http://www.linkedin.com/in/xavier-masselin-03ba90a" TargetMode="External"/><Relationship  Id="rId14702" Type="http://schemas.openxmlformats.org/officeDocument/2006/relationships/hyperlink" Target="http://www.tchoulfian.fr" TargetMode="External"/><Relationship  Id="rId14703" Type="http://schemas.openxmlformats.org/officeDocument/2006/relationships/hyperlink" Target="http://www.linkedin.com/in/ahmet-catak-0b987111a" TargetMode="External"/><Relationship  Id="rId14704" Type="http://schemas.openxmlformats.org/officeDocument/2006/relationships/hyperlink" Target="http://www.linkedin.com/in/st%c3%a9phane-thomas-889b96101" TargetMode="External"/><Relationship  Id="rId14705" Type="http://schemas.openxmlformats.org/officeDocument/2006/relationships/hyperlink" Target="http://www.rapidbeton.fr" TargetMode="External"/><Relationship  Id="rId14706" Type="http://schemas.openxmlformats.org/officeDocument/2006/relationships/hyperlink" Target="http://www.linkedin.com/in/bavetta-alexis-1340bba6" TargetMode="External"/><Relationship  Id="rId14707" Type="http://schemas.openxmlformats.org/officeDocument/2006/relationships/hyperlink" Target="http://www.bavetta.fr" TargetMode="External"/><Relationship  Id="rId14708" Type="http://schemas.openxmlformats.org/officeDocument/2006/relationships/hyperlink" Target="http://www.linkedin.com/in/baptiste-david-1698171a2" TargetMode="External"/><Relationship  Id="rId14709" Type="http://schemas.openxmlformats.org/officeDocument/2006/relationships/hyperlink" Target="http://www.constructions-erdre.fr" TargetMode="External"/><Relationship  Id="rId1471" Type="http://schemas.openxmlformats.org/officeDocument/2006/relationships/hyperlink" Target="http://www.linkedin.com/in/etienne-doctobre-941120ba" TargetMode="External"/><Relationship  Id="rId14710" Type="http://schemas.openxmlformats.org/officeDocument/2006/relationships/hyperlink" Target="http://www.linkedin.com/in/quentin-millet-93158250" TargetMode="External"/><Relationship  Id="rId14711" Type="http://schemas.openxmlformats.org/officeDocument/2006/relationships/hyperlink" Target="http://www.linkedin.com/in/mohamed-krichen-62356149" TargetMode="External"/><Relationship  Id="rId14712" Type="http://schemas.openxmlformats.org/officeDocument/2006/relationships/hyperlink" Target="http://www.patrimoine-et-renovation.fr" TargetMode="External"/><Relationship  Id="rId14713" Type="http://schemas.openxmlformats.org/officeDocument/2006/relationships/hyperlink" Target="http://www.linkedin.com/in/muhammed-kavak-0042b3164" TargetMode="External"/><Relationship  Id="rId14714" Type="http://schemas.openxmlformats.org/officeDocument/2006/relationships/hyperlink" Target="http://www.kavakgroupe.com" TargetMode="External"/><Relationship  Id="rId14715" Type="http://schemas.openxmlformats.org/officeDocument/2006/relationships/hyperlink" Target="http://www.linkedin.com/in/francois-blondeau-1537ba69" TargetMode="External"/><Relationship  Id="rId14716" Type="http://schemas.openxmlformats.org/officeDocument/2006/relationships/hyperlink" Target="http://www.brbconstruction.fr" TargetMode="External"/><Relationship  Id="rId14717" Type="http://schemas.openxmlformats.org/officeDocument/2006/relationships/hyperlink" Target="http://www.linkedin.com/in/franck-simon-4a6303155" TargetMode="External"/><Relationship  Id="rId14718" Type="http://schemas.openxmlformats.org/officeDocument/2006/relationships/hyperlink" Target="http://www.simon4g.fr" TargetMode="External"/><Relationship  Id="rId14719" Type="http://schemas.openxmlformats.org/officeDocument/2006/relationships/hyperlink" Target="http://www.linkedin.com/in/pascal-nkwane-morice-38258454" TargetMode="External"/><Relationship  Id="rId1472" Type="http://schemas.openxmlformats.org/officeDocument/2006/relationships/hyperlink" Target="http://www.54cocktailsbar.fr" TargetMode="External"/><Relationship  Id="rId14720" Type="http://schemas.openxmlformats.org/officeDocument/2006/relationships/hyperlink" Target="http://www.youngcm.fr" TargetMode="External"/><Relationship  Id="rId14721" Type="http://schemas.openxmlformats.org/officeDocument/2006/relationships/hyperlink" Target="http://www.linkedin.com/in/gilles-boussac-055b3251" TargetMode="External"/><Relationship  Id="rId14722" Type="http://schemas.openxmlformats.org/officeDocument/2006/relationships/hyperlink" Target="http://www.parquetsbriatte.fr" TargetMode="External"/><Relationship  Id="rId14723" Type="http://schemas.openxmlformats.org/officeDocument/2006/relationships/hyperlink" Target="http://www.linkedin.com/in/primiano-sdeo-7224461b4" TargetMode="External"/><Relationship  Id="rId14724" Type="http://schemas.openxmlformats.org/officeDocument/2006/relationships/hyperlink" Target="http://www.spb-elec.com" TargetMode="External"/><Relationship  Id="rId14725" Type="http://schemas.openxmlformats.org/officeDocument/2006/relationships/hyperlink" Target="http://www.linkedin.com/in/yann-parigot-a673121a" TargetMode="External"/><Relationship  Id="rId14726" Type="http://schemas.openxmlformats.org/officeDocument/2006/relationships/hyperlink" Target="http://www.tsm-france.com" TargetMode="External"/><Relationship  Id="rId14727" Type="http://schemas.openxmlformats.org/officeDocument/2006/relationships/hyperlink" Target="http://www.linkedin.com/in/daniel-yasar-a3128b8b" TargetMode="External"/><Relationship  Id="rId14728" Type="http://schemas.openxmlformats.org/officeDocument/2006/relationships/hyperlink" Target="http://www.alric.net" TargetMode="External"/><Relationship  Id="rId14729" Type="http://schemas.openxmlformats.org/officeDocument/2006/relationships/hyperlink" Target="http://chefdechantier.fr" TargetMode="External"/><Relationship  Id="rId1473" Type="http://schemas.openxmlformats.org/officeDocument/2006/relationships/hyperlink" Target="http://www.linkedin.com/in/pierre-masseran-0941b244" TargetMode="External"/><Relationship  Id="rId14730" Type="http://schemas.openxmlformats.org/officeDocument/2006/relationships/hyperlink" Target="http://www.linkedin.com/in/charles-henry-delbart-9ba39594" TargetMode="External"/><Relationship  Id="rId14731" Type="http://schemas.openxmlformats.org/officeDocument/2006/relationships/hyperlink" Target="http://www.chefdechantier.fr" TargetMode="External"/><Relationship  Id="rId14732" Type="http://schemas.openxmlformats.org/officeDocument/2006/relationships/hyperlink" Target="http://www.linkedin.com/in/hassan-bitach-b1a64745" TargetMode="External"/><Relationship  Id="rId14733" Type="http://schemas.openxmlformats.org/officeDocument/2006/relationships/hyperlink" Target="http://www.sas-chapelec.com" TargetMode="External"/><Relationship  Id="rId14734" Type="http://schemas.openxmlformats.org/officeDocument/2006/relationships/hyperlink" Target="http://www.linkedin.com/in/didier-airieau-4bb525136" TargetMode="External"/><Relationship  Id="rId14735" Type="http://schemas.openxmlformats.org/officeDocument/2006/relationships/hyperlink" Target="http://www.atlanroute.fr" TargetMode="External"/><Relationship  Id="rId14736" Type="http://schemas.openxmlformats.org/officeDocument/2006/relationships/hyperlink" Target="http://www.linkedin.com/in/benjamin-guillet-872a104b" TargetMode="External"/><Relationship  Id="rId14737" Type="http://schemas.openxmlformats.org/officeDocument/2006/relationships/hyperlink" Target="http://www.lgmco.fr" TargetMode="External"/><Relationship  Id="rId14738" Type="http://schemas.openxmlformats.org/officeDocument/2006/relationships/hyperlink" Target="http://www.linkedin.com/in/christophe-vanhalwyn-3134a1243" TargetMode="External"/><Relationship  Id="rId14739" Type="http://schemas.openxmlformats.org/officeDocument/2006/relationships/hyperlink" Target="http://www.eauairsysteme.com" TargetMode="External"/><Relationship  Id="rId1474" Type="http://schemas.openxmlformats.org/officeDocument/2006/relationships/hyperlink" Target="http://www.le-mont-saint-michel.com" TargetMode="External"/><Relationship  Id="rId14740" Type="http://schemas.openxmlformats.org/officeDocument/2006/relationships/hyperlink" Target="http://www.linkedin.com/in/alain-montourcy-b7614a135" TargetMode="External"/><Relationship  Id="rId14741" Type="http://schemas.openxmlformats.org/officeDocument/2006/relationships/hyperlink" Target="http://www.bangui-groupe.fr" TargetMode="External"/><Relationship  Id="rId14742" Type="http://schemas.openxmlformats.org/officeDocument/2006/relationships/hyperlink" Target="http://www.linkedin.com/in/gilles-boennec-0b6995b2" TargetMode="External"/><Relationship  Id="rId14743" Type="http://schemas.openxmlformats.org/officeDocument/2006/relationships/hyperlink" Target="http://www.smb-agencement.fr" TargetMode="External"/><Relationship  Id="rId14744" Type="http://schemas.openxmlformats.org/officeDocument/2006/relationships/hyperlink" Target="http://www.linkedin.com/in/rollandmelet" TargetMode="External"/><Relationship  Id="rId14745" Type="http://schemas.openxmlformats.org/officeDocument/2006/relationships/hyperlink" Target="http://www.linkedin.com/in/r%c3%a9my-capo-4b1aa156" TargetMode="External"/><Relationship  Id="rId14746" Type="http://schemas.openxmlformats.org/officeDocument/2006/relationships/hyperlink" Target="http://www.egsa.fr" TargetMode="External"/><Relationship  Id="rId14747" Type="http://schemas.openxmlformats.org/officeDocument/2006/relationships/hyperlink" Target="http://www.linkedin.com/in/olivier-coutand-94581b27" TargetMode="External"/><Relationship  Id="rId14748" Type="http://schemas.openxmlformats.org/officeDocument/2006/relationships/hyperlink" Target="http://www.pool-and-co.fr" TargetMode="External"/><Relationship  Id="rId14749" Type="http://schemas.openxmlformats.org/officeDocument/2006/relationships/hyperlink" Target="http://www.linkedin.com/in/anthony-pisani-2888a827" TargetMode="External"/><Relationship  Id="rId1475" Type="http://schemas.openxmlformats.org/officeDocument/2006/relationships/hyperlink" Target="http://www.linkedin.com/in/bertrand-jallerat-52400417" TargetMode="External"/><Relationship  Id="rId14750" Type="http://schemas.openxmlformats.org/officeDocument/2006/relationships/hyperlink" Target="http://www.framatec.fr" TargetMode="External"/><Relationship  Id="rId14751" Type="http://schemas.openxmlformats.org/officeDocument/2006/relationships/hyperlink" Target="http://www.linkedin.com/in/rapha%c3%abl-picq-bb2993166" TargetMode="External"/><Relationship  Id="rId14752" Type="http://schemas.openxmlformats.org/officeDocument/2006/relationships/hyperlink" Target="http://www.france-renov.gouv.fr" TargetMode="External"/><Relationship  Id="rId14753" Type="http://schemas.openxmlformats.org/officeDocument/2006/relationships/hyperlink" Target="http://www.linkedin.com/in/jerome-bois-a5981b114" TargetMode="External"/><Relationship  Id="rId14754" Type="http://schemas.openxmlformats.org/officeDocument/2006/relationships/hyperlink" Target="http://www.linkedin.com/in/alain-goujon-363313a6" TargetMode="External"/><Relationship  Id="rId14755" Type="http://schemas.openxmlformats.org/officeDocument/2006/relationships/hyperlink" Target="http://www.cecfa.fr" TargetMode="External"/><Relationship  Id="rId14756" Type="http://schemas.openxmlformats.org/officeDocument/2006/relationships/hyperlink" Target="http://www.linkedin.com/in/romain-auzet-768163103" TargetMode="External"/><Relationship  Id="rId14757" Type="http://schemas.openxmlformats.org/officeDocument/2006/relationships/hyperlink" Target="http://www.clim-mag.fr" TargetMode="External"/><Relationship  Id="rId14758" Type="http://schemas.openxmlformats.org/officeDocument/2006/relationships/hyperlink" Target="http://www.linkedin.com/in/cyril-courbu-61b242156" TargetMode="External"/><Relationship  Id="rId14759" Type="http://schemas.openxmlformats.org/officeDocument/2006/relationships/hyperlink" Target="http://www.rtso.fr" TargetMode="External"/><Relationship  Id="rId1476" Type="http://schemas.openxmlformats.org/officeDocument/2006/relationships/hyperlink" Target="http://www.grand-monarque.com" TargetMode="External"/><Relationship  Id="rId14760" Type="http://schemas.openxmlformats.org/officeDocument/2006/relationships/hyperlink" Target="http://www.linkedin.com/in/fr%c3%a9d%c3%a9ric-aydin-84bb3091" TargetMode="External"/><Relationship  Id="rId14761" Type="http://schemas.openxmlformats.org/officeDocument/2006/relationships/hyperlink" Target="http://www.renostyles.com" TargetMode="External"/><Relationship  Id="rId14762" Type="http://schemas.openxmlformats.org/officeDocument/2006/relationships/hyperlink" Target="http://www.linkedin.com/in/mickael-meyer-0b528715" TargetMode="External"/><Relationship  Id="rId14763" Type="http://schemas.openxmlformats.org/officeDocument/2006/relationships/hyperlink" Target="http://www.mecametalprocess.com" TargetMode="External"/><Relationship  Id="rId14764" Type="http://schemas.openxmlformats.org/officeDocument/2006/relationships/hyperlink" Target="http://www.linkedin.com/in/guillaume-sochon-56213996" TargetMode="External"/><Relationship  Id="rId14765" Type="http://schemas.openxmlformats.org/officeDocument/2006/relationships/hyperlink" Target="http://www.kpla.fr" TargetMode="External"/><Relationship  Id="rId14766" Type="http://schemas.openxmlformats.org/officeDocument/2006/relationships/hyperlink" Target="http://www.linkedin.com/in/st%c3%a9phanie-b-015909159" TargetMode="External"/><Relationship  Id="rId14767" Type="http://schemas.openxmlformats.org/officeDocument/2006/relationships/hyperlink" Target="http://www.la-sirolaise.com" TargetMode="External"/><Relationship  Id="rId14768" Type="http://schemas.openxmlformats.org/officeDocument/2006/relationships/hyperlink" Target="http://www.linkedin.com/in/philippe-debort-2ba48991" TargetMode="External"/><Relationship  Id="rId14769" Type="http://schemas.openxmlformats.org/officeDocument/2006/relationships/hyperlink" Target="http://www.linkedin.com/in/basile-rodriguez-35032511b" TargetMode="External"/><Relationship  Id="rId1477" Type="http://schemas.openxmlformats.org/officeDocument/2006/relationships/hyperlink" Target="http://www.linkedin.com/in/juliensitbon" TargetMode="External"/><Relationship  Id="rId14770" Type="http://schemas.openxmlformats.org/officeDocument/2006/relationships/hyperlink" Target="http://www.energis-engineering.com" TargetMode="External"/><Relationship  Id="rId14771" Type="http://schemas.openxmlformats.org/officeDocument/2006/relationships/hyperlink" Target="http://www.linkedin.com/in/st%c3%a9phanie-bonel-85b8071a" TargetMode="External"/><Relationship  Id="rId14772" Type="http://schemas.openxmlformats.org/officeDocument/2006/relationships/hyperlink" Target="http://www.sogimac.fr" TargetMode="External"/><Relationship  Id="rId14773" Type="http://schemas.openxmlformats.org/officeDocument/2006/relationships/hyperlink" Target="http://www.linkedin.com/in/jos%c3%a9-manuel-ramirez-11045856" TargetMode="External"/><Relationship  Id="rId14774" Type="http://schemas.openxmlformats.org/officeDocument/2006/relationships/hyperlink" Target="http://www.scb-exteriorsdesign.com" TargetMode="External"/><Relationship  Id="rId14775" Type="http://schemas.openxmlformats.org/officeDocument/2006/relationships/hyperlink" Target="http://www.linkedin.com/in/avelisgroup" TargetMode="External"/><Relationship  Id="rId14776" Type="http://schemas.openxmlformats.org/officeDocument/2006/relationships/hyperlink" Target="http://www.avelis.com" TargetMode="External"/><Relationship  Id="rId14777" Type="http://schemas.openxmlformats.org/officeDocument/2006/relationships/hyperlink" Target="http://www.linkedin.com/in/didier-jacquier-4a3a54140" TargetMode="External"/><Relationship  Id="rId14778" Type="http://schemas.openxmlformats.org/officeDocument/2006/relationships/hyperlink" Target="http://www.bj-partenaires.com" TargetMode="External"/><Relationship  Id="rId14779" Type="http://schemas.openxmlformats.org/officeDocument/2006/relationships/hyperlink" Target="http://www.linkedin.com/in/ludovic-duval-6a651bb7" TargetMode="External"/><Relationship  Id="rId1478" Type="http://schemas.openxmlformats.org/officeDocument/2006/relationships/hyperlink" Target="http://www.miammiamm.com" TargetMode="External"/><Relationship  Id="rId14780" Type="http://schemas.openxmlformats.org/officeDocument/2006/relationships/hyperlink" Target="http://www.linkedin.com/in/thibautpierret" TargetMode="External"/><Relationship  Id="rId14781" Type="http://schemas.openxmlformats.org/officeDocument/2006/relationships/hyperlink" Target="http://www.thermo-alpaga.com" TargetMode="External"/><Relationship  Id="rId14782" Type="http://schemas.openxmlformats.org/officeDocument/2006/relationships/hyperlink" Target="http://www.linkedin.com/in/christophe-perrin-b7578911b" TargetMode="External"/><Relationship  Id="rId14783" Type="http://schemas.openxmlformats.org/officeDocument/2006/relationships/hyperlink" Target="http://www.linkedin.com/in/jean-marc-tarrit-47205ab6" TargetMode="External"/><Relationship  Id="rId14784" Type="http://schemas.openxmlformats.org/officeDocument/2006/relationships/hyperlink" Target="http://www.linkedin.com/in/corinne-scarna-bb5134b2" TargetMode="External"/><Relationship  Id="rId14785" Type="http://schemas.openxmlformats.org/officeDocument/2006/relationships/hyperlink" Target="http://www.linkedin.com/in/xavier-babikian-66864724a" TargetMode="External"/><Relationship  Id="rId14786" Type="http://schemas.openxmlformats.org/officeDocument/2006/relationships/hyperlink" Target="http://www.canupi.fr" TargetMode="External"/><Relationship  Id="rId14787" Type="http://schemas.openxmlformats.org/officeDocument/2006/relationships/hyperlink" Target="http://www.linkedin.com/in/pedro-temprano-b9250087" TargetMode="External"/><Relationship  Id="rId14788" Type="http://schemas.openxmlformats.org/officeDocument/2006/relationships/hyperlink" Target="http://www.linkedin.com/in/gael-caron-energie-bois-environnement-construction" TargetMode="External"/><Relationship  Id="rId14789" Type="http://schemas.openxmlformats.org/officeDocument/2006/relationships/hyperlink" Target="http://www.linkedin.com/in/christian-larrouy-b9532295" TargetMode="External"/><Relationship  Id="rId1479" Type="http://schemas.openxmlformats.org/officeDocument/2006/relationships/hyperlink" Target="http://www.linkedin.com/in/pena-charles" TargetMode="External"/><Relationship  Id="rId14790" Type="http://schemas.openxmlformats.org/officeDocument/2006/relationships/hyperlink" Target="http://www.pyrenees-charpentes.fr" TargetMode="External"/><Relationship  Id="rId14791" Type="http://schemas.openxmlformats.org/officeDocument/2006/relationships/hyperlink" Target="http://www.linkedin.com/in/julien-harrault-7744b2124" TargetMode="External"/><Relationship  Id="rId14792" Type="http://schemas.openxmlformats.org/officeDocument/2006/relationships/hyperlink" Target="http://www.harrault.com" TargetMode="External"/><Relationship  Id="rId14793" Type="http://schemas.openxmlformats.org/officeDocument/2006/relationships/hyperlink" Target="http://www.linkedin.com/in/fabrice-choloux" TargetMode="External"/><Relationship  Id="rId14794" Type="http://schemas.openxmlformats.org/officeDocument/2006/relationships/hyperlink" Target="http://www.mca-menuiserie.fr" TargetMode="External"/><Relationship  Id="rId14795" Type="http://schemas.openxmlformats.org/officeDocument/2006/relationships/hyperlink" Target="http://www.linkedin.com/in/nicolas-casado-b51469141" TargetMode="External"/><Relationship  Id="rId14796" Type="http://schemas.openxmlformats.org/officeDocument/2006/relationships/hyperlink" Target="http://www.casado-en-ligne.fr" TargetMode="External"/><Relationship  Id="rId14797" Type="http://schemas.openxmlformats.org/officeDocument/2006/relationships/hyperlink" Target="http://www.linkedin.com/in/richard-gely-339563262" TargetMode="External"/><Relationship  Id="rId14798" Type="http://schemas.openxmlformats.org/officeDocument/2006/relationships/hyperlink" Target="http://www.benetiere.fr" TargetMode="External"/><Relationship  Id="rId14799" Type="http://schemas.openxmlformats.org/officeDocument/2006/relationships/hyperlink" Target="http://www.linkedin.com/in/julienflechard" TargetMode="External"/><Relationship  Id="rId148" Type="http://schemas.openxmlformats.org/officeDocument/2006/relationships/hyperlink" Target="http://www.linkedin.com/in/benoit-comyn-8a51141b" TargetMode="External"/><Relationship  Id="rId1480" Type="http://schemas.openxmlformats.org/officeDocument/2006/relationships/hyperlink" Target="http://www.linkedin.com/in/michel-halimi-b569401b" TargetMode="External"/><Relationship  Id="rId14800" Type="http://schemas.openxmlformats.org/officeDocument/2006/relationships/hyperlink" Target="http://www.bloctobuild.com" TargetMode="External"/><Relationship  Id="rId14801" Type="http://schemas.openxmlformats.org/officeDocument/2006/relationships/hyperlink" Target="http://www.linkedin.com/in/sonia-pertusa-7b04681" TargetMode="External"/><Relationship  Id="rId14802" Type="http://schemas.openxmlformats.org/officeDocument/2006/relationships/hyperlink" Target="http://www.adora-renovation.fr" TargetMode="External"/><Relationship  Id="rId14803" Type="http://schemas.openxmlformats.org/officeDocument/2006/relationships/hyperlink" Target="http://www.linkedin.com/in/ludovic-medjdoubi-66465ab7" TargetMode="External"/><Relationship  Id="rId14804" Type="http://schemas.openxmlformats.org/officeDocument/2006/relationships/hyperlink" Target="http://www.dc2m-incendie.com" TargetMode="External"/><Relationship  Id="rId14805" Type="http://schemas.openxmlformats.org/officeDocument/2006/relationships/hyperlink" Target="http://www.linkedin.com/in/christophe-careglio-a40980211" TargetMode="External"/><Relationship  Id="rId14806" Type="http://schemas.openxmlformats.org/officeDocument/2006/relationships/hyperlink" Target="http://www.labastere.fr" TargetMode="External"/><Relationship  Id="rId14807" Type="http://schemas.openxmlformats.org/officeDocument/2006/relationships/hyperlink" Target="http://www.linkedin.com/in/abdelrhani-ej-jennane-13203872" TargetMode="External"/><Relationship  Id="rId14808" Type="http://schemas.openxmlformats.org/officeDocument/2006/relationships/hyperlink" Target="http://www.graficart.ro.it" TargetMode="External"/><Relationship  Id="rId14809" Type="http://schemas.openxmlformats.org/officeDocument/2006/relationships/hyperlink" Target="http://www.linkedin.com/in/claire-marinet-ab01a71b3" TargetMode="External"/><Relationship  Id="rId1481" Type="http://schemas.openxmlformats.org/officeDocument/2006/relationships/hyperlink" Target="http://www.mandohospitality.com" TargetMode="External"/><Relationship  Id="rId14810" Type="http://schemas.openxmlformats.org/officeDocument/2006/relationships/hyperlink" Target="http://www.cotejardin69.com" TargetMode="External"/><Relationship  Id="rId14811" Type="http://schemas.openxmlformats.org/officeDocument/2006/relationships/hyperlink" Target="http://www.linkedin.com/in/olivier-holtzscherer-380864a8" TargetMode="External"/><Relationship  Id="rId14812" Type="http://schemas.openxmlformats.org/officeDocument/2006/relationships/hyperlink" Target="http://www.chanuhd.com" TargetMode="External"/><Relationship  Id="rId14813" Type="http://schemas.openxmlformats.org/officeDocument/2006/relationships/hyperlink" Target="http://www.linkedin.com/in/alexis-duthoit-363869182" TargetMode="External"/><Relationship  Id="rId14814" Type="http://schemas.openxmlformats.org/officeDocument/2006/relationships/hyperlink" Target="http://www.linkedin.com/in/boris-voeltzel-672418" TargetMode="External"/><Relationship  Id="rId14815" Type="http://schemas.openxmlformats.org/officeDocument/2006/relationships/hyperlink" Target="http://www.linkedin.com/in/c%c3%a9dric-guichard-48748619b" TargetMode="External"/><Relationship  Id="rId14816" Type="http://schemas.openxmlformats.org/officeDocument/2006/relationships/hyperlink" Target="http://www.linkedin.com/in/c%c3%a9dric-thouraud-99ab09178" TargetMode="External"/><Relationship  Id="rId14817" Type="http://schemas.openxmlformats.org/officeDocument/2006/relationships/hyperlink" Target="http://www.linkedin.com/in/christophe-labussiere-014b46b" TargetMode="External"/><Relationship  Id="rId14818" Type="http://schemas.openxmlformats.org/officeDocument/2006/relationships/hyperlink" Target="http://www.tec2e-electricite-cvc-plomberie.fr" TargetMode="External"/><Relationship  Id="rId14819" Type="http://schemas.openxmlformats.org/officeDocument/2006/relationships/hyperlink" Target="http://www.linkedin.com/in/christophe-stumpf-57a9ba12b" TargetMode="External"/><Relationship  Id="rId1482" Type="http://schemas.openxmlformats.org/officeDocument/2006/relationships/hyperlink" Target="http://www.linkedin.com/in/guillaume-clerc-41989447" TargetMode="External"/><Relationship  Id="rId14820" Type="http://schemas.openxmlformats.org/officeDocument/2006/relationships/hyperlink" Target="http://www.linkedin.com/in/fran%c3%a7ois-legendre-159a23148" TargetMode="External"/><Relationship  Id="rId14821" Type="http://schemas.openxmlformats.org/officeDocument/2006/relationships/hyperlink" Target="http://www.linkedin.com/in/jamel-berhil-5ab778222" TargetMode="External"/><Relationship  Id="rId14822" Type="http://schemas.openxmlformats.org/officeDocument/2006/relationships/hyperlink" Target="http://www.linkedin.com/in/jean-baptiste-pl%c3%a9nard-a31183b2" TargetMode="External"/><Relationship  Id="rId14823" Type="http://schemas.openxmlformats.org/officeDocument/2006/relationships/hyperlink" Target="http://www.groupe-bardec.com" TargetMode="External"/><Relationship  Id="rId14824" Type="http://schemas.openxmlformats.org/officeDocument/2006/relationships/hyperlink" Target="http://www.linkedin.com/in/jean-pierre-truchot-7b9695b1" TargetMode="External"/><Relationship  Id="rId14825" Type="http://schemas.openxmlformats.org/officeDocument/2006/relationships/hyperlink" Target="http://www.ingedec.com" TargetMode="External"/><Relationship  Id="rId14826" Type="http://schemas.openxmlformats.org/officeDocument/2006/relationships/hyperlink" Target="http://www.linkedin.com/in/julien-le-guen-33a167226" TargetMode="External"/><Relationship  Id="rId14827" Type="http://schemas.openxmlformats.org/officeDocument/2006/relationships/hyperlink" Target="http://www.renoouest.fr" TargetMode="External"/><Relationship  Id="rId14828" Type="http://schemas.openxmlformats.org/officeDocument/2006/relationships/hyperlink" Target="http://www.linkedin.com/in/laurent-siclier-38796090" TargetMode="External"/><Relationship  Id="rId14829" Type="http://schemas.openxmlformats.org/officeDocument/2006/relationships/hyperlink" Target="http://www.adebat.fr" TargetMode="External"/><Relationship  Id="rId1483" Type="http://schemas.openxmlformats.org/officeDocument/2006/relationships/hyperlink" Target="http://www.linkedin.com/in/emmanuelle-rome-277510133" TargetMode="External"/><Relationship  Id="rId14830" Type="http://schemas.openxmlformats.org/officeDocument/2006/relationships/hyperlink" Target="http://www.linkedin.com/in/najib-el-mrabet-69591817a" TargetMode="External"/><Relationship  Id="rId14831" Type="http://schemas.openxmlformats.org/officeDocument/2006/relationships/hyperlink" Target="http://www.mieuxrenover.com" TargetMode="External"/><Relationship  Id="rId14832" Type="http://schemas.openxmlformats.org/officeDocument/2006/relationships/hyperlink" Target="http://www.linkedin.com/in/nicolas-se-10a84156" TargetMode="External"/><Relationship  Id="rId14833" Type="http://schemas.openxmlformats.org/officeDocument/2006/relationships/hyperlink" Target="http://www.novecology.fr" TargetMode="External"/><Relationship  Id="rId14834" Type="http://schemas.openxmlformats.org/officeDocument/2006/relationships/hyperlink" Target="http://www.linkedin.com/in/philippe-khalifat-98649a72" TargetMode="External"/><Relationship  Id="rId14835" Type="http://schemas.openxmlformats.org/officeDocument/2006/relationships/hyperlink" Target="http://www.linkedin.com/in/ringo-azevedo-59b666106" TargetMode="External"/><Relationship  Id="rId14836" Type="http://schemas.openxmlformats.org/officeDocument/2006/relationships/hyperlink" Target="http://www.linkedin.com/in/r%c3%a9gis-roy-86653bb5" TargetMode="External"/><Relationship  Id="rId14837" Type="http://schemas.openxmlformats.org/officeDocument/2006/relationships/hyperlink" Target="http://www.linkedin.com/in/sebastien-frouin-a2530148" TargetMode="External"/><Relationship  Id="rId14838" Type="http://schemas.openxmlformats.org/officeDocument/2006/relationships/hyperlink" Target="http://www.myral.com" TargetMode="External"/><Relationship  Id="rId14839" Type="http://schemas.openxmlformats.org/officeDocument/2006/relationships/hyperlink" Target="http://www.emaplast.com.tr" TargetMode="External"/><Relationship  Id="rId1484" Type="http://schemas.openxmlformats.org/officeDocument/2006/relationships/hyperlink" Target="http://www.linkedin.com/in/maxime-wucher-473a116b" TargetMode="External"/><Relationship  Id="rId14840" Type="http://schemas.openxmlformats.org/officeDocument/2006/relationships/hyperlink" Target="http://www.linkedin.com/in/pedro-temprano-baaa2a219" TargetMode="External"/><Relationship  Id="rId14841" Type="http://schemas.openxmlformats.org/officeDocument/2006/relationships/hyperlink" Target="http://www.linkedin.com/in/yana-matchuk-a526b717" TargetMode="External"/><Relationship  Id="rId14842" Type="http://schemas.openxmlformats.org/officeDocument/2006/relationships/hyperlink" Target="http://www.proficircle.com" TargetMode="External"/><Relationship  Id="rId14843" Type="http://schemas.openxmlformats.org/officeDocument/2006/relationships/hyperlink" Target="http://www.ipe-sas.com" TargetMode="External"/><Relationship  Id="rId14844" Type="http://schemas.openxmlformats.org/officeDocument/2006/relationships/hyperlink" Target="http://www.linkedin.com/in/antoine-monnerie-82299754" TargetMode="External"/><Relationship  Id="rId14845" Type="http://schemas.openxmlformats.org/officeDocument/2006/relationships/hyperlink" Target="https://territoires-rennes.fr" TargetMode="External"/><Relationship  Id="rId14846" Type="http://schemas.openxmlformats.org/officeDocument/2006/relationships/hyperlink" Target="http://www.linkedin.com/in/c%c3%a9line-clapisson-0458ab12b" TargetMode="External"/><Relationship  Id="rId14847" Type="http://schemas.openxmlformats.org/officeDocument/2006/relationships/hyperlink" Target="https://elegia-groupe.fr" TargetMode="External"/><Relationship  Id="rId14848" Type="http://schemas.openxmlformats.org/officeDocument/2006/relationships/hyperlink" Target="http://www.linkedin.com/in/didier-beautemps-948b4131" TargetMode="External"/><Relationship  Id="rId14849" Type="http://schemas.openxmlformats.org/officeDocument/2006/relationships/hyperlink" Target="https://ateliercos.com" TargetMode="External"/><Relationship  Id="rId1485" Type="http://schemas.openxmlformats.org/officeDocument/2006/relationships/hyperlink" Target="http://www.leparchotel.fr" TargetMode="External"/><Relationship  Id="rId14850" Type="http://schemas.openxmlformats.org/officeDocument/2006/relationships/hyperlink" Target="http://www.linkedin.com/in/giuseppe-lo-monaco-641389204" TargetMode="External"/><Relationship  Id="rId14851" Type="http://schemas.openxmlformats.org/officeDocument/2006/relationships/hyperlink" Target="https://villerenouvelee.fr" TargetMode="External"/><Relationship  Id="rId14852" Type="http://schemas.openxmlformats.org/officeDocument/2006/relationships/hyperlink" Target="http://www.linkedin.com/in/gildas-maguer-93b81816" TargetMode="External"/><Relationship  Id="rId14853" Type="http://schemas.openxmlformats.org/officeDocument/2006/relationships/hyperlink" Target="https://semplaine.fr" TargetMode="External"/><Relationship  Id="rId14854" Type="http://schemas.openxmlformats.org/officeDocument/2006/relationships/hyperlink" Target="http://www.linkedin.com/in/guillaume-dieuset-bb272343" TargetMode="External"/><Relationship  Id="rId14855" Type="http://schemas.openxmlformats.org/officeDocument/2006/relationships/hyperlink" Target="https://sembreizh.fr" TargetMode="External"/><Relationship  Id="rId14856" Type="http://schemas.openxmlformats.org/officeDocument/2006/relationships/hyperlink" Target="http://www.linkedin.com/in/keith-heywood-7a391178" TargetMode="External"/><Relationship  Id="rId14857" Type="http://schemas.openxmlformats.org/officeDocument/2006/relationships/hyperlink" Target="https://allure.eu.com" TargetMode="External"/><Relationship  Id="rId14858" Type="http://schemas.openxmlformats.org/officeDocument/2006/relationships/hyperlink" Target="http://www.linkedin.com/in/pascalreydon" TargetMode="External"/><Relationship  Id="rId14859" Type="http://schemas.openxmlformats.org/officeDocument/2006/relationships/hyperlink" Target="http://www.linkedin.com/in/raphael-catonnet-95b70787" TargetMode="External"/><Relationship  Id="rId1486" Type="http://schemas.openxmlformats.org/officeDocument/2006/relationships/hyperlink" Target="http://www.linkedin.com/in/advanderw" TargetMode="External"/><Relationship  Id="rId14860" Type="http://schemas.openxmlformats.org/officeDocument/2006/relationships/hyperlink" Target="https://oppidea.fr" TargetMode="External"/><Relationship  Id="rId14861" Type="http://schemas.openxmlformats.org/officeDocument/2006/relationships/hyperlink" Target="http://www.linkedin.com/in/teddy-teissonni%c3%a8re-670526195" TargetMode="External"/><Relationship  Id="rId14862" Type="http://schemas.openxmlformats.org/officeDocument/2006/relationships/hyperlink" Target="http://www.linkedin.com/in/bernard-voisin-902188111" TargetMode="External"/><Relationship  Id="rId14863" Type="http://schemas.openxmlformats.org/officeDocument/2006/relationships/hyperlink" Target="https://neolife.fr" TargetMode="External"/><Relationship  Id="rId14864" Type="http://schemas.openxmlformats.org/officeDocument/2006/relationships/hyperlink" Target="http://www.linkedin.com/in/cedric-gotteland-96519a246" TargetMode="External"/><Relationship  Id="rId14865" Type="http://schemas.openxmlformats.org/officeDocument/2006/relationships/hyperlink" Target="https://ceccon-btp.fr" TargetMode="External"/><Relationship  Id="rId14866" Type="http://schemas.openxmlformats.org/officeDocument/2006/relationships/hyperlink" Target="http://www.linkedin.com/in/joseph-chanliaud-7395b0164" TargetMode="External"/><Relationship  Id="rId14867" Type="http://schemas.openxmlformats.org/officeDocument/2006/relationships/hyperlink" Target="https://ribiere.eu" TargetMode="External"/><Relationship  Id="rId14868" Type="http://schemas.openxmlformats.org/officeDocument/2006/relationships/hyperlink" Target="http://www.linkedin.com/in/arthurbrac" TargetMode="External"/><Relationship  Id="rId14869" Type="http://schemas.openxmlformats.org/officeDocument/2006/relationships/hyperlink" Target="https://renovation-doremi.com" TargetMode="External"/><Relationship  Id="rId1487" Type="http://schemas.openxmlformats.org/officeDocument/2006/relationships/hyperlink" Target="http://www.lesenfantsdehors.fr" TargetMode="External"/><Relationship  Id="rId14870" Type="http://schemas.openxmlformats.org/officeDocument/2006/relationships/hyperlink" Target="http://www.linkedin.com/in/alexandre-ferri%c3%a9-30b952173" TargetMode="External"/><Relationship  Id="rId14871" Type="http://schemas.openxmlformats.org/officeDocument/2006/relationships/hyperlink" Target="https://fayat-fondations.com" TargetMode="External"/><Relationship  Id="rId14872" Type="http://schemas.openxmlformats.org/officeDocument/2006/relationships/hyperlink" Target="http://www.linkedin.com/in/arnaud-pingat" TargetMode="External"/><Relationship  Id="rId14873" Type="http://schemas.openxmlformats.org/officeDocument/2006/relationships/hyperlink" Target="https://groupe-pingat.fr" TargetMode="External"/><Relationship  Id="rId14874" Type="http://schemas.openxmlformats.org/officeDocument/2006/relationships/hyperlink" Target="http://www.linkedin.com/in/alain-rawas-951a1ab8" TargetMode="External"/><Relationship  Id="rId14875" Type="http://schemas.openxmlformats.org/officeDocument/2006/relationships/hyperlink" Target="https://ecoba-ads.com" TargetMode="External"/><Relationship  Id="rId14876" Type="http://schemas.openxmlformats.org/officeDocument/2006/relationships/hyperlink" Target="http://www.linkedin.com/in/antoine-rocco-98a35421" TargetMode="External"/><Relationship  Id="rId14877" Type="http://schemas.openxmlformats.org/officeDocument/2006/relationships/hyperlink" Target="https://cabre.fr" TargetMode="External"/><Relationship  Id="rId14878" Type="http://schemas.openxmlformats.org/officeDocument/2006/relationships/hyperlink" Target="http://www.linkedin.com/in/aurore-sionneau-2691a888" TargetMode="External"/><Relationship  Id="rId14879" Type="http://schemas.openxmlformats.org/officeDocument/2006/relationships/hyperlink" Target="https://groupe-sionneau.fr" TargetMode="External"/><Relationship  Id="rId1488" Type="http://schemas.openxmlformats.org/officeDocument/2006/relationships/hyperlink" Target="http://www.linkedin.com/in/alexis-poirson-984a70131" TargetMode="External"/><Relationship  Id="rId14880" Type="http://schemas.openxmlformats.org/officeDocument/2006/relationships/hyperlink" Target="http://www.linkedin.com/in/aur%c3%a9lie-vicens-0a2027200" TargetMode="External"/><Relationship  Id="rId14881" Type="http://schemas.openxmlformats.org/officeDocument/2006/relationships/hyperlink" Target="https://groupe-hdv.fr" TargetMode="External"/><Relationship  Id="rId14882" Type="http://schemas.openxmlformats.org/officeDocument/2006/relationships/hyperlink" Target="http://www.linkedin.com/in/aur%c3%a9lien-basin-035400a0" TargetMode="External"/><Relationship  Id="rId14883" Type="http://schemas.openxmlformats.org/officeDocument/2006/relationships/hyperlink" Target="https://axess-solutions.eu" TargetMode="External"/><Relationship  Id="rId14884" Type="http://schemas.openxmlformats.org/officeDocument/2006/relationships/hyperlink" Target="http://www.linkedin.com/in/arthur-cousseau-60730395" TargetMode="External"/><Relationship  Id="rId14885" Type="http://schemas.openxmlformats.org/officeDocument/2006/relationships/hyperlink" Target="https://ab2pro.com" TargetMode="External"/><Relationship  Id="rId14886" Type="http://schemas.openxmlformats.org/officeDocument/2006/relationships/hyperlink" Target="http://www.linkedin.com/in/ahmed-dayb-06491a88" TargetMode="External"/><Relationship  Id="rId14887" Type="http://schemas.openxmlformats.org/officeDocument/2006/relationships/hyperlink" Target="https://batibig.com" TargetMode="External"/><Relationship  Id="rId14888" Type="http://schemas.openxmlformats.org/officeDocument/2006/relationships/hyperlink" Target="http://www.linkedin.com/in/annie-garnier-ab0303105" TargetMode="External"/><Relationship  Id="rId14889" Type="http://schemas.openxmlformats.org/officeDocument/2006/relationships/hyperlink" Target="https://soriba.fr" TargetMode="External"/><Relationship  Id="rId1489" Type="http://schemas.openxmlformats.org/officeDocument/2006/relationships/hyperlink" Target="http://www.liquidtransport.com" TargetMode="External"/><Relationship  Id="rId14890" Type="http://schemas.openxmlformats.org/officeDocument/2006/relationships/hyperlink" Target="http://www.linkedin.com/in/antoine-lucas-749104194" TargetMode="External"/><Relationship  Id="rId14891" Type="http://schemas.openxmlformats.org/officeDocument/2006/relationships/hyperlink" Target="https://entreprisechanson.fr" TargetMode="External"/><Relationship  Id="rId14892" Type="http://schemas.openxmlformats.org/officeDocument/2006/relationships/hyperlink" Target="http://www.linkedin.com/in/alain-epp-576358a5" TargetMode="External"/><Relationship  Id="rId14893" Type="http://schemas.openxmlformats.org/officeDocument/2006/relationships/hyperlink" Target="https://lindera.fr" TargetMode="External"/><Relationship  Id="rId14894" Type="http://schemas.openxmlformats.org/officeDocument/2006/relationships/hyperlink" Target="http://www.linkedin.com/in/andr%c3%a9-lefevre-654517ab" TargetMode="External"/><Relationship  Id="rId14895" Type="http://schemas.openxmlformats.org/officeDocument/2006/relationships/hyperlink" Target="https://cruard-charpente.com" TargetMode="External"/><Relationship  Id="rId14896" Type="http://schemas.openxmlformats.org/officeDocument/2006/relationships/hyperlink" Target="http://www.linkedin.com/in/alexandre-moos-3963082b" TargetMode="External"/><Relationship  Id="rId14897" Type="http://schemas.openxmlformats.org/officeDocument/2006/relationships/hyperlink" Target="https://groupemoos.fr" TargetMode="External"/><Relationship  Id="rId14898" Type="http://schemas.openxmlformats.org/officeDocument/2006/relationships/hyperlink" Target="http://www.linkedin.com/in/alexandre-person-7341b6102" TargetMode="External"/><Relationship  Id="rId14899" Type="http://schemas.openxmlformats.org/officeDocument/2006/relationships/hyperlink" Target="https://e2m-groupe.fr" TargetMode="External"/><Relationship  Id="rId149" Type="http://schemas.openxmlformats.org/officeDocument/2006/relationships/hyperlink" Target="http://www.madeho.fr" TargetMode="External"/><Relationship  Id="rId1490" Type="http://schemas.openxmlformats.org/officeDocument/2006/relationships/hyperlink" Target="http://www.linkedin.com/in/%c3%a9milie-dugontier-8359584" TargetMode="External"/><Relationship  Id="rId14900" Type="http://schemas.openxmlformats.org/officeDocument/2006/relationships/hyperlink" Target="http://www.linkedin.com/in/alexandre-abeudje-49b66018b" TargetMode="External"/><Relationship  Id="rId14901" Type="http://schemas.openxmlformats.org/officeDocument/2006/relationships/hyperlink" Target="https://acem.live" TargetMode="External"/><Relationship  Id="rId14902" Type="http://schemas.openxmlformats.org/officeDocument/2006/relationships/hyperlink" Target="http://www.linkedin.com/in/alexandre-debain-520763140" TargetMode="External"/><Relationship  Id="rId14903" Type="http://schemas.openxmlformats.org/officeDocument/2006/relationships/hyperlink" Target="https://monconcepthabitation.com" TargetMode="External"/><Relationship  Id="rId14904" Type="http://schemas.openxmlformats.org/officeDocument/2006/relationships/hyperlink" Target="http://www.linkedin.com/in/lartigue-alexis-479a9b35" TargetMode="External"/><Relationship  Id="rId14905" Type="http://schemas.openxmlformats.org/officeDocument/2006/relationships/hyperlink" Target="https://iming.fr" TargetMode="External"/><Relationship  Id="rId14906" Type="http://schemas.openxmlformats.org/officeDocument/2006/relationships/hyperlink" Target="http://www.linkedin.com/in/amaury-omn%c3%a8s-93b96320" TargetMode="External"/><Relationship  Id="rId14907" Type="http://schemas.openxmlformats.org/officeDocument/2006/relationships/hyperlink" Target="https://hirschisolation.fr" TargetMode="External"/><Relationship  Id="rId14908" Type="http://schemas.openxmlformats.org/officeDocument/2006/relationships/hyperlink" Target="http://www.linkedin.com/in/jean-jacques-thenery-9894259" TargetMode="External"/><Relationship  Id="rId14909" Type="http://schemas.openxmlformats.org/officeDocument/2006/relationships/hyperlink" Target="https://gardendesignlandscaping.com" TargetMode="External"/><Relationship  Id="rId1491" Type="http://schemas.openxmlformats.org/officeDocument/2006/relationships/hyperlink" Target="about:blank" TargetMode="External"/><Relationship  Id="rId14910" Type="http://schemas.openxmlformats.org/officeDocument/2006/relationships/hyperlink" Target="http://www.linkedin.com/in/andrea-paoletti-65367010b" TargetMode="External"/><Relationship  Id="rId14911" Type="http://schemas.openxmlformats.org/officeDocument/2006/relationships/hyperlink" Target="https://guinier1823.com" TargetMode="External"/><Relationship  Id="rId14912" Type="http://schemas.openxmlformats.org/officeDocument/2006/relationships/hyperlink" Target="http://www.linkedin.com/in/antoine-noyel-a6a52a114" TargetMode="External"/><Relationship  Id="rId14913" Type="http://schemas.openxmlformats.org/officeDocument/2006/relationships/hyperlink" Target="https://lenoirmetallerie.fr" TargetMode="External"/><Relationship  Id="rId14914" Type="http://schemas.openxmlformats.org/officeDocument/2006/relationships/hyperlink" Target="http://www.linkedin.com/in/anthony-giallo-b3130b152" TargetMode="External"/><Relationship  Id="rId14915" Type="http://schemas.openxmlformats.org/officeDocument/2006/relationships/hyperlink" Target="https://eitp.fr" TargetMode="External"/><Relationship  Id="rId14916" Type="http://schemas.openxmlformats.org/officeDocument/2006/relationships/hyperlink" Target="http://www.linkedin.com/in/cerisier-antoine-b2610b82" TargetMode="External"/><Relationship  Id="rId14917" Type="http://schemas.openxmlformats.org/officeDocument/2006/relationships/hyperlink" Target="https://ubat.fr" TargetMode="External"/><Relationship  Id="rId14918" Type="http://schemas.openxmlformats.org/officeDocument/2006/relationships/hyperlink" Target="http://www.linkedin.com/in/arnaud-ladu-974089ba" TargetMode="External"/><Relationship  Id="rId14919" Type="http://schemas.openxmlformats.org/officeDocument/2006/relationships/hyperlink" Target="https://maison-natilia.fr" TargetMode="External"/><Relationship  Id="rId1492" Type="http://schemas.openxmlformats.org/officeDocument/2006/relationships/hyperlink" Target="http://www.linkedin.com/in/david-tordeux-451277252" TargetMode="External"/><Relationship  Id="rId14920" Type="http://schemas.openxmlformats.org/officeDocument/2006/relationships/hyperlink" Target="http://www.linkedin.com/in/aymeric-poutiers-104490202" TargetMode="External"/><Relationship  Id="rId14921" Type="http://schemas.openxmlformats.org/officeDocument/2006/relationships/hyperlink" Target="https://perfhome.com" TargetMode="External"/><Relationship  Id="rId14922" Type="http://schemas.openxmlformats.org/officeDocument/2006/relationships/hyperlink" Target="http://www.linkedin.com/in/brianbouzidi" TargetMode="External"/><Relationship  Id="rId14923" Type="http://schemas.openxmlformats.org/officeDocument/2006/relationships/hyperlink" Target="https://scie-cablage.com" TargetMode="External"/><Relationship  Id="rId14924" Type="http://schemas.openxmlformats.org/officeDocument/2006/relationships/hyperlink" Target="http://www.linkedin.com/in/bruno-rossignol-203038151" TargetMode="External"/><Relationship  Id="rId14925" Type="http://schemas.openxmlformats.org/officeDocument/2006/relationships/hyperlink" Target="https://marc-electricite.fr" TargetMode="External"/><Relationship  Id="rId14926" Type="http://schemas.openxmlformats.org/officeDocument/2006/relationships/hyperlink" Target="http://www.linkedin.com/in/baptiste-balzeau-64481938" TargetMode="External"/><Relationship  Id="rId14927" Type="http://schemas.openxmlformats.org/officeDocument/2006/relationships/hyperlink" Target="https://ilao.fr" TargetMode="External"/><Relationship  Id="rId14928" Type="http://schemas.openxmlformats.org/officeDocument/2006/relationships/hyperlink" Target="http://www.linkedin.com/in/alvaro-barredo-de-valenzuela-514183152" TargetMode="External"/><Relationship  Id="rId14929" Type="http://schemas.openxmlformats.org/officeDocument/2006/relationships/hyperlink" Target="https://darver.fr" TargetMode="External"/><Relationship  Id="rId1493" Type="http://schemas.openxmlformats.org/officeDocument/2006/relationships/hyperlink" Target="http://www.kara.bzh" TargetMode="External"/><Relationship  Id="rId14930" Type="http://schemas.openxmlformats.org/officeDocument/2006/relationships/hyperlink" Target="http://www.linkedin.com/in/bastienmonteils" TargetMode="External"/><Relationship  Id="rId14931" Type="http://schemas.openxmlformats.org/officeDocument/2006/relationships/hyperlink" Target="http://www.linkedin.com/in/bertrand-bodin-8a101516a" TargetMode="External"/><Relationship  Id="rId14932" Type="http://schemas.openxmlformats.org/officeDocument/2006/relationships/hyperlink" Target="https://baudet-sa.com" TargetMode="External"/><Relationship  Id="rId14933" Type="http://schemas.openxmlformats.org/officeDocument/2006/relationships/hyperlink" Target="http://www.linkedin.com/in/bertrand-boitelle-64b639170" TargetMode="External"/><Relationship  Id="rId14934" Type="http://schemas.openxmlformats.org/officeDocument/2006/relationships/hyperlink" Target="https://serupa.fr" TargetMode="External"/><Relationship  Id="rId14935" Type="http://schemas.openxmlformats.org/officeDocument/2006/relationships/hyperlink" Target="http://www.linkedin.com/in/benoit-drouin-08186a10b" TargetMode="External"/><Relationship  Id="rId14936" Type="http://schemas.openxmlformats.org/officeDocument/2006/relationships/hyperlink" Target="https://asselin.fr" TargetMode="External"/><Relationship  Id="rId14937" Type="http://schemas.openxmlformats.org/officeDocument/2006/relationships/hyperlink" Target="http://www.linkedin.com/in/benoit-cattin-martel-99203123" TargetMode="External"/><Relationship  Id="rId14938" Type="http://schemas.openxmlformats.org/officeDocument/2006/relationships/hyperlink" Target="https://sateba.fr" TargetMode="External"/><Relationship  Id="rId14939" Type="http://schemas.openxmlformats.org/officeDocument/2006/relationships/hyperlink" Target="http://www.linkedin.com/in/beno%c3%aet-lebobe-0abb43137" TargetMode="External"/><Relationship  Id="rId1494" Type="http://schemas.openxmlformats.org/officeDocument/2006/relationships/hyperlink" Target="http://www.linkedin.com/in/fr%c3%a9d%c3%a9ric-blanc-82929312" TargetMode="External"/><Relationship  Id="rId14940" Type="http://schemas.openxmlformats.org/officeDocument/2006/relationships/hyperlink" Target="https://natibox.fr" TargetMode="External"/><Relationship  Id="rId14941" Type="http://schemas.openxmlformats.org/officeDocument/2006/relationships/hyperlink" Target="http://www.linkedin.com/in/bernard-lisbonne-7b640475" TargetMode="External"/><Relationship  Id="rId14942" Type="http://schemas.openxmlformats.org/officeDocument/2006/relationships/hyperlink" Target="http://www.linkedin.com/in/jacques-biron-54826692" TargetMode="External"/><Relationship  Id="rId14943" Type="http://schemas.openxmlformats.org/officeDocument/2006/relationships/hyperlink" Target="https://abg-climatique.fr" TargetMode="External"/><Relationship  Id="rId14944" Type="http://schemas.openxmlformats.org/officeDocument/2006/relationships/hyperlink" Target="http://www.linkedin.com/in/benjamin-moreau-44880a8" TargetMode="External"/><Relationship  Id="rId14945" Type="http://schemas.openxmlformats.org/officeDocument/2006/relationships/hyperlink" Target="https://entreprise-coreva.fr" TargetMode="External"/><Relationship  Id="rId14946" Type="http://schemas.openxmlformats.org/officeDocument/2006/relationships/hyperlink" Target="http://www.linkedin.com/in/micha%c3%abl-boyer-67621883" TargetMode="External"/><Relationship  Id="rId14947" Type="http://schemas.openxmlformats.org/officeDocument/2006/relationships/hyperlink" Target="https://cmf-structures.com" TargetMode="External"/><Relationship  Id="rId14948" Type="http://schemas.openxmlformats.org/officeDocument/2006/relationships/hyperlink" Target="http://www.linkedin.com/in/brian-soufir" TargetMode="External"/><Relationship  Id="rId14949" Type="http://schemas.openxmlformats.org/officeDocument/2006/relationships/hyperlink" Target="https://groupe-apb.fr" TargetMode="External"/><Relationship  Id="rId1495" Type="http://schemas.openxmlformats.org/officeDocument/2006/relationships/hyperlink" Target="http://www.lesbistrotspasparisiens.com" TargetMode="External"/><Relationship  Id="rId14950" Type="http://schemas.openxmlformats.org/officeDocument/2006/relationships/hyperlink" Target="http://www.linkedin.com/in/cyril-camuzet-54b182108" TargetMode="External"/><Relationship  Id="rId14951" Type="http://schemas.openxmlformats.org/officeDocument/2006/relationships/hyperlink" Target="https://activ-travaux.com" TargetMode="External"/><Relationship  Id="rId14952" Type="http://schemas.openxmlformats.org/officeDocument/2006/relationships/hyperlink" Target="http://www.linkedin.com/in/christian-gahinet-561a1873" TargetMode="External"/><Relationship  Id="rId14953" Type="http://schemas.openxmlformats.org/officeDocument/2006/relationships/hyperlink" Target="http://www.linkedin.com/in/christian-gain-5b37b3226" TargetMode="External"/><Relationship  Id="rId14954" Type="http://schemas.openxmlformats.org/officeDocument/2006/relationships/hyperlink" Target="http://www.linkedin.com/in/christophe-gell%c3%a9-7a636b27" TargetMode="External"/><Relationship  Id="rId14955" Type="http://schemas.openxmlformats.org/officeDocument/2006/relationships/hyperlink" Target="https://reponse.fr" TargetMode="External"/><Relationship  Id="rId14956" Type="http://schemas.openxmlformats.org/officeDocument/2006/relationships/hyperlink" Target="http://www.linkedin.com/in/christophe-lac-b1b64223a" TargetMode="External"/><Relationship  Id="rId14957" Type="http://schemas.openxmlformats.org/officeDocument/2006/relationships/hyperlink" Target="https://groupe-betom.fr" TargetMode="External"/><Relationship  Id="rId14958" Type="http://schemas.openxmlformats.org/officeDocument/2006/relationships/hyperlink" Target="http://www.linkedin.com/in/christophe-mehats-6a0391123" TargetMode="External"/><Relationship  Id="rId14959" Type="http://schemas.openxmlformats.org/officeDocument/2006/relationships/hyperlink" Target="https://alkar.fr" TargetMode="External"/><Relationship  Id="rId1496" Type="http://schemas.openxmlformats.org/officeDocument/2006/relationships/hyperlink" Target="http://www.linkedin.com/in/julien-lefeuvre-09653523" TargetMode="External"/><Relationship  Id="rId14960" Type="http://schemas.openxmlformats.org/officeDocument/2006/relationships/hyperlink" Target="http://www.linkedin.com/in/christophe-ploux-8b615317" TargetMode="External"/><Relationship  Id="rId14961" Type="http://schemas.openxmlformats.org/officeDocument/2006/relationships/hyperlink" Target="https://highwayresource.co.uk" TargetMode="External"/><Relationship  Id="rId14962" Type="http://schemas.openxmlformats.org/officeDocument/2006/relationships/hyperlink" Target="http://www.linkedin.com/in/charles-bignon-67685152" TargetMode="External"/><Relationship  Id="rId14963" Type="http://schemas.openxmlformats.org/officeDocument/2006/relationships/hyperlink" Target="http://www.linkedin.com/in/catherine-aubert-32a50b203" TargetMode="External"/><Relationship  Id="rId14964" Type="http://schemas.openxmlformats.org/officeDocument/2006/relationships/hyperlink" Target="https://synerciel.fr" TargetMode="External"/><Relationship  Id="rId14965" Type="http://schemas.openxmlformats.org/officeDocument/2006/relationships/hyperlink" Target="http://www.linkedin.com/in/christian-balanche-290ba5202" TargetMode="External"/><Relationship  Id="rId14966" Type="http://schemas.openxmlformats.org/officeDocument/2006/relationships/hyperlink" Target="https://simonin.com" TargetMode="External"/><Relationship  Id="rId14967" Type="http://schemas.openxmlformats.org/officeDocument/2006/relationships/hyperlink" Target="http://www.linkedin.com/in/cl%c3%a9ment-blanc-838071112" TargetMode="External"/><Relationship  Id="rId14968" Type="http://schemas.openxmlformats.org/officeDocument/2006/relationships/hyperlink" Target="https://capremib.com" TargetMode="External"/><Relationship  Id="rId14969" Type="http://schemas.openxmlformats.org/officeDocument/2006/relationships/hyperlink" Target="http://www.linkedin.com/in/christophe-desmettre-6a3833bb" TargetMode="External"/><Relationship  Id="rId1497" Type="http://schemas.openxmlformats.org/officeDocument/2006/relationships/hyperlink" Target="http://www.popotes.fr" TargetMode="External"/><Relationship  Id="rId14970" Type="http://schemas.openxmlformats.org/officeDocument/2006/relationships/hyperlink" Target="https://demex.com.au" TargetMode="External"/><Relationship  Id="rId14971" Type="http://schemas.openxmlformats.org/officeDocument/2006/relationships/hyperlink" Target="http://www.linkedin.com/in/c%c3%a9dric-petiteau-108236b6" TargetMode="External"/><Relationship  Id="rId14972" Type="http://schemas.openxmlformats.org/officeDocument/2006/relationships/hyperlink" Target="https://petiteau-energies.fr" TargetMode="External"/><Relationship  Id="rId14973" Type="http://schemas.openxmlformats.org/officeDocument/2006/relationships/hyperlink" Target="http://www.linkedin.com/in/olivier-francois-a0042157" TargetMode="External"/><Relationship  Id="rId14974" Type="http://schemas.openxmlformats.org/officeDocument/2006/relationships/hyperlink" Target="https://cecm.com.mx" TargetMode="External"/><Relationship  Id="rId14975" Type="http://schemas.openxmlformats.org/officeDocument/2006/relationships/hyperlink" Target="http://www.linkedin.com/in/charles-marcerou-7a0448107" TargetMode="External"/><Relationship  Id="rId14976" Type="http://schemas.openxmlformats.org/officeDocument/2006/relationships/hyperlink" Target="https://mrcconstruction.com" TargetMode="External"/><Relationship  Id="rId14977" Type="http://schemas.openxmlformats.org/officeDocument/2006/relationships/hyperlink" Target="http://www.linkedin.com/in/charles-debains-9489998" TargetMode="External"/><Relationship  Id="rId14978" Type="http://schemas.openxmlformats.org/officeDocument/2006/relationships/hyperlink" Target="https://monsieurpeinture.com" TargetMode="External"/><Relationship  Id="rId14979" Type="http://schemas.openxmlformats.org/officeDocument/2006/relationships/hyperlink" Target="http://www.linkedin.com/in/christophe-duveau-9ab467185" TargetMode="External"/><Relationship  Id="rId1498" Type="http://schemas.openxmlformats.org/officeDocument/2006/relationships/hyperlink" Target="http://www.linkedin.com/in/alexandre-g-5881871b0" TargetMode="External"/><Relationship  Id="rId14980" Type="http://schemas.openxmlformats.org/officeDocument/2006/relationships/hyperlink" Target="https://fprs.fr" TargetMode="External"/><Relationship  Id="rId14981" Type="http://schemas.openxmlformats.org/officeDocument/2006/relationships/hyperlink" Target="http://www.linkedin.com/in/christophe-nicoletta-b7974b39" TargetMode="External"/><Relationship  Id="rId14982" Type="http://schemas.openxmlformats.org/officeDocument/2006/relationships/hyperlink" Target="https://nicoletta.fr" TargetMode="External"/><Relationship  Id="rId14983" Type="http://schemas.openxmlformats.org/officeDocument/2006/relationships/hyperlink" Target="http://www.linkedin.com/in/christophe-poss%c3%a9m%c3%a9-303246a1" TargetMode="External"/><Relationship  Id="rId14984" Type="http://schemas.openxmlformats.org/officeDocument/2006/relationships/hyperlink" Target="https://lebatimentassocie.fr" TargetMode="External"/><Relationship  Id="rId14985" Type="http://schemas.openxmlformats.org/officeDocument/2006/relationships/hyperlink" Target="http://www.linkedin.com/in/cyril-marillier-8927a9302" TargetMode="External"/><Relationship  Id="rId14986" Type="http://schemas.openxmlformats.org/officeDocument/2006/relationships/hyperlink" Target="https://sotrelec.fr" TargetMode="External"/><Relationship  Id="rId14987" Type="http://schemas.openxmlformats.org/officeDocument/2006/relationships/hyperlink" Target="http://www.linkedin.com/in/daniel-brunet-5b9b946b" TargetMode="External"/><Relationship  Id="rId14988" Type="http://schemas.openxmlformats.org/officeDocument/2006/relationships/hyperlink" Target="https://genere.fr" TargetMode="External"/><Relationship  Id="rId14989" Type="http://schemas.openxmlformats.org/officeDocument/2006/relationships/hyperlink" Target="http://www.linkedin.com/in/dominique-vivien-3a9ab411b" TargetMode="External"/><Relationship  Id="rId1499" Type="http://schemas.openxmlformats.org/officeDocument/2006/relationships/hyperlink" Target="http://www.smilydream.com" TargetMode="External"/><Relationship  Id="rId14990" Type="http://schemas.openxmlformats.org/officeDocument/2006/relationships/hyperlink" Target="https://be-vivien.fr" TargetMode="External"/><Relationship  Id="rId14991" Type="http://schemas.openxmlformats.org/officeDocument/2006/relationships/hyperlink" Target="http://www.linkedin.com/in/cerutti-daniel-30843a7b" TargetMode="External"/><Relationship  Id="rId14992" Type="http://schemas.openxmlformats.org/officeDocument/2006/relationships/hyperlink" Target="https://wigfrance.fr" TargetMode="External"/><Relationship  Id="rId14993" Type="http://schemas.openxmlformats.org/officeDocument/2006/relationships/hyperlink" Target="http://www.linkedin.com/in/daniel-lardeux-15425410b" TargetMode="External"/><Relationship  Id="rId14994" Type="http://schemas.openxmlformats.org/officeDocument/2006/relationships/hyperlink" Target="https://cha-constructions.com" TargetMode="External"/><Relationship  Id="rId14995" Type="http://schemas.openxmlformats.org/officeDocument/2006/relationships/hyperlink" Target="http://www.linkedin.com/in/david-bruzzese-657a0369" TargetMode="External"/><Relationship  Id="rId14996" Type="http://schemas.openxmlformats.org/officeDocument/2006/relationships/hyperlink" Target="https://r2m-economiste.com" TargetMode="External"/><Relationship  Id="rId14997" Type="http://schemas.openxmlformats.org/officeDocument/2006/relationships/hyperlink" Target="http://www.linkedin.com/in/denis-charrier-092a9088" TargetMode="External"/><Relationship  Id="rId14998" Type="http://schemas.openxmlformats.org/officeDocument/2006/relationships/hyperlink" Target="http://www.linkedin.com/in/didier-clemot-62014746" TargetMode="External"/><Relationship  Id="rId14999" Type="http://schemas.openxmlformats.org/officeDocument/2006/relationships/hyperlink" Target="https://maisonscreation.com" TargetMode="External"/><Relationship  Id="rId15" Type="http://schemas.openxmlformats.org/officeDocument/2006/relationships/hyperlink" Target="http://www.linkedin.com/in/st%c3%a9phanie-boutet-fajol-35a38516" TargetMode="External"/><Relationship  Id="rId150" Type="http://schemas.openxmlformats.org/officeDocument/2006/relationships/hyperlink" Target="http://www.linkedin.com/in/riviere-andrea" TargetMode="External"/><Relationship  Id="rId1500" Type="http://schemas.openxmlformats.org/officeDocument/2006/relationships/hyperlink" Target="http://www.linkedin.com/in/tatiana-halimi-4b1b1630" TargetMode="External"/><Relationship  Id="rId15000" Type="http://schemas.openxmlformats.org/officeDocument/2006/relationships/hyperlink" Target="http://www.linkedin.com/in/delphine-valentin-7749124a" TargetMode="External"/><Relationship  Id="rId15001" Type="http://schemas.openxmlformats.org/officeDocument/2006/relationships/hyperlink" Target="https://idfhabitat.fr" TargetMode="External"/><Relationship  Id="rId15002" Type="http://schemas.openxmlformats.org/officeDocument/2006/relationships/hyperlink" Target="http://www.linkedin.com/in/david-empereur-692b48b2" TargetMode="External"/><Relationship  Id="rId15003" Type="http://schemas.openxmlformats.org/officeDocument/2006/relationships/hyperlink" Target="https://rogerdelattre.com" TargetMode="External"/><Relationship  Id="rId15004" Type="http://schemas.openxmlformats.org/officeDocument/2006/relationships/hyperlink" Target="http://www.linkedin.com/in/denis-wolf-b1010a143" TargetMode="External"/><Relationship  Id="rId15005" Type="http://schemas.openxmlformats.org/officeDocument/2006/relationships/hyperlink" Target="https://federaly.fr" TargetMode="External"/><Relationship  Id="rId15006" Type="http://schemas.openxmlformats.org/officeDocument/2006/relationships/hyperlink" Target="http://www.linkedin.com/in/denis-guinard-aab893140" TargetMode="External"/><Relationship  Id="rId15007" Type="http://schemas.openxmlformats.org/officeDocument/2006/relationships/hyperlink" Target="https://copac.fr" TargetMode="External"/><Relationship  Id="rId15008" Type="http://schemas.openxmlformats.org/officeDocument/2006/relationships/hyperlink" Target="http://www.linkedin.com/in/didier-chatriot-84351ab7" TargetMode="External"/><Relationship  Id="rId15009" Type="http://schemas.openxmlformats.org/officeDocument/2006/relationships/hyperlink" Target="https://3ia.fr" TargetMode="External"/><Relationship  Id="rId1501" Type="http://schemas.openxmlformats.org/officeDocument/2006/relationships/hyperlink" Target="http://www.linkedin.com/in/ocguilland" TargetMode="External"/><Relationship  Id="rId15010" Type="http://schemas.openxmlformats.org/officeDocument/2006/relationships/hyperlink" Target="http://www.linkedin.com/in/dimitri-cegarra-39662a182" TargetMode="External"/><Relationship  Id="rId15011" Type="http://schemas.openxmlformats.org/officeDocument/2006/relationships/hyperlink" Target="http://www.linkedin.com/in/dimitri-claisse-57053ab7" TargetMode="External"/><Relationship  Id="rId15012" Type="http://schemas.openxmlformats.org/officeDocument/2006/relationships/hyperlink" Target="https://clmtp.fr" TargetMode="External"/><Relationship  Id="rId15013" Type="http://schemas.openxmlformats.org/officeDocument/2006/relationships/hyperlink" Target="http://www.linkedin.com/in/didier-planchais-750168a2" TargetMode="External"/><Relationship  Id="rId15014" Type="http://schemas.openxmlformats.org/officeDocument/2006/relationships/hyperlink" Target="https://planchais.fr" TargetMode="External"/><Relationship  Id="rId15015" Type="http://schemas.openxmlformats.org/officeDocument/2006/relationships/hyperlink" Target="http://www.linkedin.com/in/didier-meggiolaro-4817954b" TargetMode="External"/><Relationship  Id="rId15016" Type="http://schemas.openxmlformats.org/officeDocument/2006/relationships/hyperlink" Target="https://big-france.com" TargetMode="External"/><Relationship  Id="rId15017" Type="http://schemas.openxmlformats.org/officeDocument/2006/relationships/hyperlink" Target="http://www.linkedin.com/in/dominique-laurence-5a83163a" TargetMode="External"/><Relationship  Id="rId15018" Type="http://schemas.openxmlformats.org/officeDocument/2006/relationships/hyperlink" Target="https://mateloc.com" TargetMode="External"/><Relationship  Id="rId15019" Type="http://schemas.openxmlformats.org/officeDocument/2006/relationships/hyperlink" Target="http://www.linkedin.com/in/dorgeret-isabelle-b5379734" TargetMode="External"/><Relationship  Id="rId1502" Type="http://schemas.openxmlformats.org/officeDocument/2006/relationships/hyperlink" Target="http://www.huitresamelie.com" TargetMode="External"/><Relationship  Id="rId15020" Type="http://schemas.openxmlformats.org/officeDocument/2006/relationships/hyperlink" Target="https://ctmnc.fr" TargetMode="External"/><Relationship  Id="rId15021" Type="http://schemas.openxmlformats.org/officeDocument/2006/relationships/hyperlink" Target="http://www.linkedin.com/in/damien-roustin-8193111b" TargetMode="External"/><Relationship  Id="rId15022" Type="http://schemas.openxmlformats.org/officeDocument/2006/relationships/hyperlink" Target="https://elite.fr" TargetMode="External"/><Relationship  Id="rId15023" Type="http://schemas.openxmlformats.org/officeDocument/2006/relationships/hyperlink" Target="http://www.linkedin.com/in/alban-dunod-30929814" TargetMode="External"/><Relationship  Id="rId15024" Type="http://schemas.openxmlformats.org/officeDocument/2006/relationships/hyperlink" Target="https://stibat.fr" TargetMode="External"/><Relationship  Id="rId15025" Type="http://schemas.openxmlformats.org/officeDocument/2006/relationships/hyperlink" Target="http://www.linkedin.com/in/olivier-dupont-5b882610" TargetMode="External"/><Relationship  Id="rId15026" Type="http://schemas.openxmlformats.org/officeDocument/2006/relationships/hyperlink" Target="http://www.linkedin.com/in/david-haubertin" TargetMode="External"/><Relationship  Id="rId15027" Type="http://schemas.openxmlformats.org/officeDocument/2006/relationships/hyperlink" Target="https://energie-cote-sud.com" TargetMode="External"/><Relationship  Id="rId15028" Type="http://schemas.openxmlformats.org/officeDocument/2006/relationships/hyperlink" Target="http://www.linkedin.com/in/etienne-lafond-0b332486" TargetMode="External"/><Relationship  Id="rId15029" Type="http://schemas.openxmlformats.org/officeDocument/2006/relationships/hyperlink" Target="https://sopreco.org" TargetMode="External"/><Relationship  Id="rId1503" Type="http://schemas.openxmlformats.org/officeDocument/2006/relationships/hyperlink" Target="http://www.linkedin.com/in/alexandre-de-vanssay-06936467" TargetMode="External"/><Relationship  Id="rId15030" Type="http://schemas.openxmlformats.org/officeDocument/2006/relationships/hyperlink" Target="http://www.linkedin.com/in/eric-martin-5b0733166" TargetMode="External"/><Relationship  Id="rId15031" Type="http://schemas.openxmlformats.org/officeDocument/2006/relationships/hyperlink" Target="https://sygmatel.fr" TargetMode="External"/><Relationship  Id="rId15032" Type="http://schemas.openxmlformats.org/officeDocument/2006/relationships/hyperlink" Target="http://www.linkedin.com/in/edouard-bonnin-lca-construction-bois" TargetMode="External"/><Relationship  Id="rId15033" Type="http://schemas.openxmlformats.org/officeDocument/2006/relationships/hyperlink" Target="https://lca-construction.fr" TargetMode="External"/><Relationship  Id="rId15034" Type="http://schemas.openxmlformats.org/officeDocument/2006/relationships/hyperlink" Target="http://www.linkedin.com/in/dangremont-erik-7327b614" TargetMode="External"/><Relationship  Id="rId15035" Type="http://schemas.openxmlformats.org/officeDocument/2006/relationships/hyperlink" Target="https://scetec.fr" TargetMode="External"/><Relationship  Id="rId15036" Type="http://schemas.openxmlformats.org/officeDocument/2006/relationships/hyperlink" Target="http://www.linkedin.com/in/eric-du-ch%c3%a9-03277571" TargetMode="External"/><Relationship  Id="rId15037" Type="http://schemas.openxmlformats.org/officeDocument/2006/relationships/hyperlink" Target="https://crea-design.fr" TargetMode="External"/><Relationship  Id="rId15038" Type="http://schemas.openxmlformats.org/officeDocument/2006/relationships/hyperlink" Target="http://www.linkedin.com/in/emmanuel-hemon-35020786" TargetMode="External"/><Relationship  Id="rId15039" Type="http://schemas.openxmlformats.org/officeDocument/2006/relationships/hyperlink" Target="http://www.linkedin.com/in/emmanuel-veit-1b4ab973" TargetMode="External"/><Relationship  Id="rId1504" Type="http://schemas.openxmlformats.org/officeDocument/2006/relationships/hyperlink" Target="http://www.le17-45.fr" TargetMode="External"/><Relationship  Id="rId15040" Type="http://schemas.openxmlformats.org/officeDocument/2006/relationships/hyperlink" Target="https://veit.fr" TargetMode="External"/><Relationship  Id="rId15041" Type="http://schemas.openxmlformats.org/officeDocument/2006/relationships/hyperlink" Target="http://www.linkedin.com/in/emmanuel-petit-le-brun-33611b278" TargetMode="External"/><Relationship  Id="rId15042" Type="http://schemas.openxmlformats.org/officeDocument/2006/relationships/hyperlink" Target="https://segic-ingenierie.fr" TargetMode="External"/><Relationship  Id="rId15043" Type="http://schemas.openxmlformats.org/officeDocument/2006/relationships/hyperlink" Target="http://www.linkedin.com/in/eric-piroud-3393655a" TargetMode="External"/><Relationship  Id="rId15044" Type="http://schemas.openxmlformats.org/officeDocument/2006/relationships/hyperlink" Target="https://francioli.fr" TargetMode="External"/><Relationship  Id="rId15045" Type="http://schemas.openxmlformats.org/officeDocument/2006/relationships/hyperlink" Target="http://www.linkedin.com/in/eric-frisoni-857934ba" TargetMode="External"/><Relationship  Id="rId15046" Type="http://schemas.openxmlformats.org/officeDocument/2006/relationships/hyperlink" Target="https://ctio.fr" TargetMode="External"/><Relationship  Id="rId15047" Type="http://schemas.openxmlformats.org/officeDocument/2006/relationships/hyperlink" Target="http://www.linkedin.com/in/edouardsauer" TargetMode="External"/><Relationship  Id="rId15048" Type="http://schemas.openxmlformats.org/officeDocument/2006/relationships/hyperlink" Target="https://ksgroupe.fr" TargetMode="External"/><Relationship  Id="rId15049" Type="http://schemas.openxmlformats.org/officeDocument/2006/relationships/hyperlink" Target="http://www.linkedin.com/in/etienne-pascreau-7ba0a9a1" TargetMode="External"/><Relationship  Id="rId1505" Type="http://schemas.openxmlformats.org/officeDocument/2006/relationships/hyperlink" Target="http://www.linkedin.com/in/sarah-chailan-32188720" TargetMode="External"/><Relationship  Id="rId15050" Type="http://schemas.openxmlformats.org/officeDocument/2006/relationships/hyperlink" Target="https://ouvrard-batiment.com" TargetMode="External"/><Relationship  Id="rId15051" Type="http://schemas.openxmlformats.org/officeDocument/2006/relationships/hyperlink" Target="http://www.linkedin.com/in/%c3%a9tienne-pistr%c3%a9-95215735" TargetMode="External"/><Relationship  Id="rId15052" Type="http://schemas.openxmlformats.org/officeDocument/2006/relationships/hyperlink" Target="https://embase.fr" TargetMode="External"/><Relationship  Id="rId15053" Type="http://schemas.openxmlformats.org/officeDocument/2006/relationships/hyperlink" Target="http://www.linkedin.com/in/franck-bailly-20b25b80" TargetMode="External"/><Relationship  Id="rId15054" Type="http://schemas.openxmlformats.org/officeDocument/2006/relationships/hyperlink" Target="http://www.linkedin.com/in/franck-meunier-20050619" TargetMode="External"/><Relationship  Id="rId15055" Type="http://schemas.openxmlformats.org/officeDocument/2006/relationships/hyperlink" Target="https://egdc.eu" TargetMode="External"/><Relationship  Id="rId15056" Type="http://schemas.openxmlformats.org/officeDocument/2006/relationships/hyperlink" Target="http://www.linkedin.com/in/fabien-menu-placeo" TargetMode="External"/><Relationship  Id="rId15057" Type="http://schemas.openxmlformats.org/officeDocument/2006/relationships/hyperlink" Target="https://placeo.eu" TargetMode="External"/><Relationship  Id="rId15058" Type="http://schemas.openxmlformats.org/officeDocument/2006/relationships/hyperlink" Target="http://www.linkedin.com/in/fabrice-lesage-36380b27" TargetMode="External"/><Relationship  Id="rId15059" Type="http://schemas.openxmlformats.org/officeDocument/2006/relationships/hyperlink" Target="http://www.linkedin.com/in/franck-favre-33a99618" TargetMode="External"/><Relationship  Id="rId1506" Type="http://schemas.openxmlformats.org/officeDocument/2006/relationships/hyperlink" Target="http://www.bastide-moustiers.com" TargetMode="External"/><Relationship  Id="rId15060" Type="http://schemas.openxmlformats.org/officeDocument/2006/relationships/hyperlink" Target="https://arkedia.fr" TargetMode="External"/><Relationship  Id="rId15061" Type="http://schemas.openxmlformats.org/officeDocument/2006/relationships/hyperlink" Target="http://www.linkedin.com/in/fr%c3%a9d%c3%a9ric-gressent-2a1a8775" TargetMode="External"/><Relationship  Id="rId15062" Type="http://schemas.openxmlformats.org/officeDocument/2006/relationships/hyperlink" Target="https://mpofenetres.com" TargetMode="External"/><Relationship  Id="rId15063" Type="http://schemas.openxmlformats.org/officeDocument/2006/relationships/hyperlink" Target="http://www.linkedin.com/in/champain-franck-32425793" TargetMode="External"/><Relationship  Id="rId15064" Type="http://schemas.openxmlformats.org/officeDocument/2006/relationships/hyperlink" Target="https://mtechbuild.fr" TargetMode="External"/><Relationship  Id="rId15065" Type="http://schemas.openxmlformats.org/officeDocument/2006/relationships/hyperlink" Target="http://www.linkedin.com/in/franck-fournols-9a174798" TargetMode="External"/><Relationship  Id="rId15066" Type="http://schemas.openxmlformats.org/officeDocument/2006/relationships/hyperlink" Target="https://france-rabotage.fr" TargetMode="External"/><Relationship  Id="rId15067" Type="http://schemas.openxmlformats.org/officeDocument/2006/relationships/hyperlink" Target="http://www.linkedin.com/in/franck-gillier-77436183" TargetMode="External"/><Relationship  Id="rId15068" Type="http://schemas.openxmlformats.org/officeDocument/2006/relationships/hyperlink" Target="https://elo-energie.com" TargetMode="External"/><Relationship  Id="rId15069" Type="http://schemas.openxmlformats.org/officeDocument/2006/relationships/hyperlink" Target="http://www.linkedin.com/in/fhagnere" TargetMode="External"/><Relationship  Id="rId1507" Type="http://schemas.openxmlformats.org/officeDocument/2006/relationships/hyperlink" Target="http://www.linkedin.com/in/claude-chopard-lallier-0a4b4a27" TargetMode="External"/><Relationship  Id="rId15070" Type="http://schemas.openxmlformats.org/officeDocument/2006/relationships/hyperlink" Target="https://bois-loisirs-creations.com" TargetMode="External"/><Relationship  Id="rId15071" Type="http://schemas.openxmlformats.org/officeDocument/2006/relationships/hyperlink" Target="http://www.linkedin.com/in/fran%c3%a7ois-ladu-aabb3a97" TargetMode="External"/><Relationship  Id="rId15072" Type="http://schemas.openxmlformats.org/officeDocument/2006/relationships/hyperlink" Target="http://www.linkedin.com/in/francoisrosen" TargetMode="External"/><Relationship  Id="rId15073" Type="http://schemas.openxmlformats.org/officeDocument/2006/relationships/hyperlink" Target="https://gamma-industries.com" TargetMode="External"/><Relationship  Id="rId15074" Type="http://schemas.openxmlformats.org/officeDocument/2006/relationships/hyperlink" Target="http://www.linkedin.com/in/fran%c3%a7ois-welker-70769a133" TargetMode="External"/><Relationship  Id="rId15075" Type="http://schemas.openxmlformats.org/officeDocument/2006/relationships/hyperlink" Target="https://stihle-freres.fr" TargetMode="External"/><Relationship  Id="rId15076" Type="http://schemas.openxmlformats.org/officeDocument/2006/relationships/hyperlink" Target="http://www.linkedin.com/in/fredchara" TargetMode="External"/><Relationship  Id="rId15077" Type="http://schemas.openxmlformats.org/officeDocument/2006/relationships/hyperlink" Target="https://monopanel.com" TargetMode="External"/><Relationship  Id="rId15078" Type="http://schemas.openxmlformats.org/officeDocument/2006/relationships/hyperlink" Target="http://www.linkedin.com/in/fr%c3%a9d%c3%a9ric-renaudin-41224089" TargetMode="External"/><Relationship  Id="rId15079" Type="http://schemas.openxmlformats.org/officeDocument/2006/relationships/hyperlink" Target="https://cirtec.fr" TargetMode="External"/><Relationship  Id="rId1508" Type="http://schemas.openxmlformats.org/officeDocument/2006/relationships/hyperlink" Target="http://www.homerental.fr" TargetMode="External"/><Relationship  Id="rId15080" Type="http://schemas.openxmlformats.org/officeDocument/2006/relationships/hyperlink" Target="http://www.linkedin.com/in/francois-tessier-b8405268" TargetMode="External"/><Relationship  Id="rId15081" Type="http://schemas.openxmlformats.org/officeDocument/2006/relationships/hyperlink" Target="https://samibois.com" TargetMode="External"/><Relationship  Id="rId15082" Type="http://schemas.openxmlformats.org/officeDocument/2006/relationships/hyperlink" Target="http://www.linkedin.com/in/fabrice-veront-89174918a" TargetMode="External"/><Relationship  Id="rId15083" Type="http://schemas.openxmlformats.org/officeDocument/2006/relationships/hyperlink" Target="https://picard-serrures.com" TargetMode="External"/><Relationship  Id="rId15084" Type="http://schemas.openxmlformats.org/officeDocument/2006/relationships/hyperlink" Target="http://www.linkedin.com/in/glen-boqueho-b53ab7105" TargetMode="External"/><Relationship  Id="rId15085" Type="http://schemas.openxmlformats.org/officeDocument/2006/relationships/hyperlink" Target="http://www.linkedin.com/in/guillaume-gabillet-a6b94295" TargetMode="External"/><Relationship  Id="rId15086" Type="http://schemas.openxmlformats.org/officeDocument/2006/relationships/hyperlink" Target="http://www.linkedin.com/in/gilles-lourenco-45ba16102" TargetMode="External"/><Relationship  Id="rId15087" Type="http://schemas.openxmlformats.org/officeDocument/2006/relationships/hyperlink" Target="https://sateb.net" TargetMode="External"/><Relationship  Id="rId15088" Type="http://schemas.openxmlformats.org/officeDocument/2006/relationships/hyperlink" Target="http://www.linkedin.com/in/pierre-gatimel" TargetMode="External"/><Relationship  Id="rId15089" Type="http://schemas.openxmlformats.org/officeDocument/2006/relationships/hyperlink" Target="https://groupe-gb.fr" TargetMode="External"/><Relationship  Id="rId1509" Type="http://schemas.openxmlformats.org/officeDocument/2006/relationships/hyperlink" Target="http://www.linkedin.com/in/walid-maalouf-16098b24" TargetMode="External"/><Relationship  Id="rId15090" Type="http://schemas.openxmlformats.org/officeDocument/2006/relationships/hyperlink" Target="http://www.linkedin.com/in/gregoire-cordonnier-770a48b9" TargetMode="External"/><Relationship  Id="rId15091" Type="http://schemas.openxmlformats.org/officeDocument/2006/relationships/hyperlink" Target="https://lacompagniedestoits.com" TargetMode="External"/><Relationship  Id="rId15092" Type="http://schemas.openxmlformats.org/officeDocument/2006/relationships/hyperlink" Target="http://www.linkedin.com/in/georges-mention-2b9b40107" TargetMode="External"/><Relationship  Id="rId15093" Type="http://schemas.openxmlformats.org/officeDocument/2006/relationships/hyperlink" Target="https://alupic.com" TargetMode="External"/><Relationship  Id="rId15094" Type="http://schemas.openxmlformats.org/officeDocument/2006/relationships/hyperlink" Target="http://www.linkedin.com/in/g%c3%a9rard-allouche-5168b4117" TargetMode="External"/><Relationship  Id="rId15095" Type="http://schemas.openxmlformats.org/officeDocument/2006/relationships/hyperlink" Target="https://vipplus.com" TargetMode="External"/><Relationship  Id="rId15096" Type="http://schemas.openxmlformats.org/officeDocument/2006/relationships/hyperlink" Target="http://www.linkedin.com/in/guillaumeguerin-" TargetMode="External"/><Relationship  Id="rId15097" Type="http://schemas.openxmlformats.org/officeDocument/2006/relationships/hyperlink" Target="http://www.linkedin.com/in/guillaume-lafont-00932b80" TargetMode="External"/><Relationship  Id="rId15098" Type="http://schemas.openxmlformats.org/officeDocument/2006/relationships/hyperlink" Target="https://vizcab.io" TargetMode="External"/><Relationship  Id="rId15099" Type="http://schemas.openxmlformats.org/officeDocument/2006/relationships/hyperlink" Target="http://www.linkedin.com/in/gregory-lect-ba526531" TargetMode="External"/><Relationship  Id="rId151" Type="http://schemas.openxmlformats.org/officeDocument/2006/relationships/hyperlink" Target="http://www.diamond-rock.fr" TargetMode="External"/><Relationship  Id="rId1510" Type="http://schemas.openxmlformats.org/officeDocument/2006/relationships/hyperlink" Target="http://www.heatcuisine.com" TargetMode="External"/><Relationship  Id="rId15100" Type="http://schemas.openxmlformats.org/officeDocument/2006/relationships/hyperlink" Target="https://atixis.com" TargetMode="External"/><Relationship  Id="rId15101" Type="http://schemas.openxmlformats.org/officeDocument/2006/relationships/hyperlink" Target="http://www.linkedin.com/in/gr%c3%a9gory-sierra-b0207793" TargetMode="External"/><Relationship  Id="rId15102" Type="http://schemas.openxmlformats.org/officeDocument/2006/relationships/hyperlink" Target="https://ingegroup.fr" TargetMode="External"/><Relationship  Id="rId15103" Type="http://schemas.openxmlformats.org/officeDocument/2006/relationships/hyperlink" Target="http://www.linkedin.com/in/gwena%c3%abl-le-viol-996771141" TargetMode="External"/><Relationship  Id="rId15104" Type="http://schemas.openxmlformats.org/officeDocument/2006/relationships/hyperlink" Target="https://lenouy.com" TargetMode="External"/><Relationship  Id="rId15105" Type="http://schemas.openxmlformats.org/officeDocument/2006/relationships/hyperlink" Target="http://www.linkedin.com/in/herv%c3%a9-blandin-33829411" TargetMode="External"/><Relationship  Id="rId15106" Type="http://schemas.openxmlformats.org/officeDocument/2006/relationships/hyperlink" Target="http://www.linkedin.com/in/herv%c3%a9-picard-aa067a67" TargetMode="External"/><Relationship  Id="rId15107" Type="http://schemas.openxmlformats.org/officeDocument/2006/relationships/hyperlink" Target="http://www.linkedin.com/in/hadrien-tellier-2983b633" TargetMode="External"/><Relationship  Id="rId15108" Type="http://schemas.openxmlformats.org/officeDocument/2006/relationships/hyperlink" Target="http://www.linkedin.com/in/hugues-vanel-905b57189" TargetMode="External"/><Relationship  Id="rId15109" Type="http://schemas.openxmlformats.org/officeDocument/2006/relationships/hyperlink" Target="https://www-bouchard-construction.fr" TargetMode="External"/><Relationship  Id="rId1511" Type="http://schemas.openxmlformats.org/officeDocument/2006/relationships/hyperlink" Target="http://www.linkedin.com/in/rabih-frangieh-24895368" TargetMode="External"/><Relationship  Id="rId15110" Type="http://schemas.openxmlformats.org/officeDocument/2006/relationships/hyperlink" Target="http://www.linkedin.com/in/james-favier-5885b010" TargetMode="External"/><Relationship  Id="rId15111" Type="http://schemas.openxmlformats.org/officeDocument/2006/relationships/hyperlink" Target="https://idec-agro.com" TargetMode="External"/><Relationship  Id="rId15112" Type="http://schemas.openxmlformats.org/officeDocument/2006/relationships/hyperlink" Target="http://www.linkedin.com/in/j%c3%a9r%c3%b4me-fayard-6348ab184" TargetMode="External"/><Relationship  Id="rId15113" Type="http://schemas.openxmlformats.org/officeDocument/2006/relationships/hyperlink" Target="https://comptoirdesrevetements.com" TargetMode="External"/><Relationship  Id="rId15114" Type="http://schemas.openxmlformats.org/officeDocument/2006/relationships/hyperlink" Target="http://www.linkedin.com/in/josselin-jourdan-31340619" TargetMode="External"/><Relationship  Id="rId15115" Type="http://schemas.openxmlformats.org/officeDocument/2006/relationships/hyperlink" Target="https://qualitat.fr" TargetMode="External"/><Relationship  Id="rId15116" Type="http://schemas.openxmlformats.org/officeDocument/2006/relationships/hyperlink" Target="http://www.linkedin.com/in/jacques-vigier-86888a93" TargetMode="External"/><Relationship  Id="rId15117" Type="http://schemas.openxmlformats.org/officeDocument/2006/relationships/hyperlink" Target="https://pitel.fr" TargetMode="External"/><Relationship  Id="rId15118" Type="http://schemas.openxmlformats.org/officeDocument/2006/relationships/hyperlink" Target="http://www.linkedin.com/in/julien-bost-0a851586" TargetMode="External"/><Relationship  Id="rId15119" Type="http://schemas.openxmlformats.org/officeDocument/2006/relationships/hyperlink" Target="https://bost-ing.com" TargetMode="External"/><Relationship  Id="rId1512" Type="http://schemas.openxmlformats.org/officeDocument/2006/relationships/hyperlink" Target="http://www.sawarestaurant.com" TargetMode="External"/><Relationship  Id="rId15120" Type="http://schemas.openxmlformats.org/officeDocument/2006/relationships/hyperlink" Target="http://www.linkedin.com/in/jean-christophe-toussaint-10a263145" TargetMode="External"/><Relationship  Id="rId15121" Type="http://schemas.openxmlformats.org/officeDocument/2006/relationships/hyperlink" Target="https://giffard.fr" TargetMode="External"/><Relationship  Id="rId15122" Type="http://schemas.openxmlformats.org/officeDocument/2006/relationships/hyperlink" Target="http://www.linkedin.com/in/jean-fran%c3%a7ois-pr%c3%a9vot-ba9a535b" TargetMode="External"/><Relationship  Id="rId15123" Type="http://schemas.openxmlformats.org/officeDocument/2006/relationships/hyperlink" Target="https://slci-groupe.com" TargetMode="External"/><Relationship  Id="rId15124" Type="http://schemas.openxmlformats.org/officeDocument/2006/relationships/hyperlink" Target="http://www.linkedin.com/in/jean-paul-bourdon-385bb834" TargetMode="External"/><Relationship  Id="rId15125" Type="http://schemas.openxmlformats.org/officeDocument/2006/relationships/hyperlink" Target="https://cotexa-afrique.com" TargetMode="External"/><Relationship  Id="rId15126" Type="http://schemas.openxmlformats.org/officeDocument/2006/relationships/hyperlink" Target="http://www.linkedin.com/in/j%c3%a9r%c3%b4me-chevalier-745667171" TargetMode="External"/><Relationship  Id="rId15127" Type="http://schemas.openxmlformats.org/officeDocument/2006/relationships/hyperlink" Target="http://www.linkedin.com/in/j%c3%a9r%c3%b4me-gay-11638482" TargetMode="External"/><Relationship  Id="rId15128" Type="http://schemas.openxmlformats.org/officeDocument/2006/relationships/hyperlink" Target="https://groupe-comelec.com" TargetMode="External"/><Relationship  Id="rId15129" Type="http://schemas.openxmlformats.org/officeDocument/2006/relationships/hyperlink" Target="http://www.linkedin.com/in/jean-fran%c3%a7ois-maison-2574b236" TargetMode="External"/><Relationship  Id="rId1513" Type="http://schemas.openxmlformats.org/officeDocument/2006/relationships/hyperlink" Target="http://www.linkedin.com/in/edmay" TargetMode="External"/><Relationship  Id="rId15130" Type="http://schemas.openxmlformats.org/officeDocument/2006/relationships/hyperlink" Target="http://www.linkedin.com/in/jean-michel-amare-23321614a" TargetMode="External"/><Relationship  Id="rId15131" Type="http://schemas.openxmlformats.org/officeDocument/2006/relationships/hyperlink" Target="https://atawey.com" TargetMode="External"/><Relationship  Id="rId15132" Type="http://schemas.openxmlformats.org/officeDocument/2006/relationships/hyperlink" Target="http://www.linkedin.com/in/jerome-maynadier-57633615" TargetMode="External"/><Relationship  Id="rId15133" Type="http://schemas.openxmlformats.org/officeDocument/2006/relationships/hyperlink" Target="http://www.linkedin.com/in/joel-charton-3b198766" TargetMode="External"/><Relationship  Id="rId15134" Type="http://schemas.openxmlformats.org/officeDocument/2006/relationships/hyperlink" Target="https://guinot-tp.com" TargetMode="External"/><Relationship  Id="rId15135" Type="http://schemas.openxmlformats.org/officeDocument/2006/relationships/hyperlink" Target="http://www.linkedin.com/in/jo%c3%abl-rouzier-968034104" TargetMode="External"/><Relationship  Id="rId15136" Type="http://schemas.openxmlformats.org/officeDocument/2006/relationships/hyperlink" Target="https://soc.fr" TargetMode="External"/><Relationship  Id="rId15137" Type="http://schemas.openxmlformats.org/officeDocument/2006/relationships/hyperlink" Target="http://www.linkedin.com/in/jos%c3%a9-gertrude-b75895b2" TargetMode="External"/><Relationship  Id="rId15138" Type="http://schemas.openxmlformats.org/officeDocument/2006/relationships/hyperlink" Target="https://ibconstruction.dz" TargetMode="External"/><Relationship  Id="rId15139" Type="http://schemas.openxmlformats.org/officeDocument/2006/relationships/hyperlink" Target="http://www.linkedin.com/in/jean-paul-kaplanski-9839b6267" TargetMode="External"/><Relationship  Id="rId1514" Type="http://schemas.openxmlformats.org/officeDocument/2006/relationships/hyperlink" Target="http://www.hiddenandfound.com" TargetMode="External"/><Relationship  Id="rId15140" Type="http://schemas.openxmlformats.org/officeDocument/2006/relationships/hyperlink" Target="https://soleam.net" TargetMode="External"/><Relationship  Id="rId15141" Type="http://schemas.openxmlformats.org/officeDocument/2006/relationships/hyperlink" Target="http://www.linkedin.com/in/julien-schelcher-29810869" TargetMode="External"/><Relationship  Id="rId15142" Type="http://schemas.openxmlformats.org/officeDocument/2006/relationships/hyperlink" Target="https://rhin-climatisation.fr" TargetMode="External"/><Relationship  Id="rId15143" Type="http://schemas.openxmlformats.org/officeDocument/2006/relationships/hyperlink" Target="http://www.linkedin.com/in/laurent-benoit-iliade" TargetMode="External"/><Relationship  Id="rId15144" Type="http://schemas.openxmlformats.org/officeDocument/2006/relationships/hyperlink" Target="https://iliade-ingenierie.com" TargetMode="External"/><Relationship  Id="rId15145" Type="http://schemas.openxmlformats.org/officeDocument/2006/relationships/hyperlink" Target="http://www.linkedin.com/in/laurent-demange-23624115b" TargetMode="External"/><Relationship  Id="rId15146" Type="http://schemas.openxmlformats.org/officeDocument/2006/relationships/hyperlink" Target="https://groupe-galopin.com" TargetMode="External"/><Relationship  Id="rId15147" Type="http://schemas.openxmlformats.org/officeDocument/2006/relationships/hyperlink" Target="http://www.linkedin.com/in/laurent-gasiglia-a367b27" TargetMode="External"/><Relationship  Id="rId15148" Type="http://schemas.openxmlformats.org/officeDocument/2006/relationships/hyperlink" Target="https://poralu.com" TargetMode="External"/><Relationship  Id="rId15149" Type="http://schemas.openxmlformats.org/officeDocument/2006/relationships/hyperlink" Target="http://www.linkedin.com/in/lionel-macor-26a3b98a" TargetMode="External"/><Relationship  Id="rId1515" Type="http://schemas.openxmlformats.org/officeDocument/2006/relationships/hyperlink" Target="http://www.linkedin.com/in/quentin-duhomez-67a15aa0" TargetMode="External"/><Relationship  Id="rId15150" Type="http://schemas.openxmlformats.org/officeDocument/2006/relationships/hyperlink" Target="http://www.linkedin.com/in/lionel-morice-7079592a" TargetMode="External"/><Relationship  Id="rId15151" Type="http://schemas.openxmlformats.org/officeDocument/2006/relationships/hyperlink" Target="http://www.linkedin.com/in/laura-poupin-8a19a6209" TargetMode="External"/><Relationship  Id="rId15152" Type="http://schemas.openxmlformats.org/officeDocument/2006/relationships/hyperlink" Target="https://poupin.com" TargetMode="External"/><Relationship  Id="rId15153" Type="http://schemas.openxmlformats.org/officeDocument/2006/relationships/hyperlink" Target="http://www.linkedin.com/in/laurent-sahuquet-64971161" TargetMode="External"/><Relationship  Id="rId15154" Type="http://schemas.openxmlformats.org/officeDocument/2006/relationships/hyperlink" Target="https://egcs.fr" TargetMode="External"/><Relationship  Id="rId15155" Type="http://schemas.openxmlformats.org/officeDocument/2006/relationships/hyperlink" Target="http://www.linkedin.com/in/laurent-collet-79070064" TargetMode="External"/><Relationship  Id="rId15156" Type="http://schemas.openxmlformats.org/officeDocument/2006/relationships/hyperlink" Target="https://arac-occitanie.fr" TargetMode="External"/><Relationship  Id="rId15157" Type="http://schemas.openxmlformats.org/officeDocument/2006/relationships/hyperlink" Target="http://www.linkedin.com/in/laurent-jacotin-b29458195" TargetMode="External"/><Relationship  Id="rId15158" Type="http://schemas.openxmlformats.org/officeDocument/2006/relationships/hyperlink" Target="http://www.linkedin.com/in/laurent-aicardi-00515b69" TargetMode="External"/><Relationship  Id="rId15159" Type="http://schemas.openxmlformats.org/officeDocument/2006/relationships/hyperlink" Target="https://aitecelec.fr" TargetMode="External"/><Relationship  Id="rId1516" Type="http://schemas.openxmlformats.org/officeDocument/2006/relationships/hyperlink" Target="http://www.pirates-paradise.fr" TargetMode="External"/><Relationship  Id="rId15160" Type="http://schemas.openxmlformats.org/officeDocument/2006/relationships/hyperlink" Target="http://www.linkedin.com/in/ludovic-boetsch-1a2310146" TargetMode="External"/><Relationship  Id="rId15161" Type="http://schemas.openxmlformats.org/officeDocument/2006/relationships/hyperlink" Target="https://alquier.fr" TargetMode="External"/><Relationship  Id="rId15162" Type="http://schemas.openxmlformats.org/officeDocument/2006/relationships/hyperlink" Target="http://www.linkedin.com/in/lionel-cachau-b68a20157" TargetMode="External"/><Relationship  Id="rId15163" Type="http://schemas.openxmlformats.org/officeDocument/2006/relationships/hyperlink" Target="https://villas-club.fr" TargetMode="External"/><Relationship  Id="rId15164" Type="http://schemas.openxmlformats.org/officeDocument/2006/relationships/hyperlink" Target="http://www.linkedin.com/in/lewis-maricel-8a799a266" TargetMode="External"/><Relationship  Id="rId15165" Type="http://schemas.openxmlformats.org/officeDocument/2006/relationships/hyperlink" Target="http://www.linkedin.com/in/lo%c3%afck-jacobi-9b014395" TargetMode="External"/><Relationship  Id="rId15166" Type="http://schemas.openxmlformats.org/officeDocument/2006/relationships/hyperlink" Target="http://www.linkedin.com/in/louis-deveugle-762288b2" TargetMode="External"/><Relationship  Id="rId15167" Type="http://schemas.openxmlformats.org/officeDocument/2006/relationships/hyperlink" Target="https://deveugle.com" TargetMode="External"/><Relationship  Id="rId15168" Type="http://schemas.openxmlformats.org/officeDocument/2006/relationships/hyperlink" Target="http://www.linkedin.com/in/laurent-rou%c3%a9-54b0128b" TargetMode="External"/><Relationship  Id="rId15169" Type="http://schemas.openxmlformats.org/officeDocument/2006/relationships/hyperlink" Target="http://www.linkedin.com/in/lucasbosc" TargetMode="External"/><Relationship  Id="rId1517" Type="http://schemas.openxmlformats.org/officeDocument/2006/relationships/hyperlink" Target="http://www.linkedin.com/in/fabien-gougaud-9222a62b" TargetMode="External"/><Relationship  Id="rId15170" Type="http://schemas.openxmlformats.org/officeDocument/2006/relationships/hyperlink" Target="https://scob-maisonsbois.com" TargetMode="External"/><Relationship  Id="rId15171" Type="http://schemas.openxmlformats.org/officeDocument/2006/relationships/hyperlink" Target="http://www.linkedin.com/in/matthieu-eteve" TargetMode="External"/><Relationship  Id="rId15172" Type="http://schemas.openxmlformats.org/officeDocument/2006/relationships/hyperlink" Target="https://mce.fr" TargetMode="External"/><Relationship  Id="rId15173" Type="http://schemas.openxmlformats.org/officeDocument/2006/relationships/hyperlink" Target="http://www.linkedin.com/in/michel-santos-642899b2" TargetMode="External"/><Relationship  Id="rId15174" Type="http://schemas.openxmlformats.org/officeDocument/2006/relationships/hyperlink" Target="https://cide-elec.fr" TargetMode="External"/><Relationship  Id="rId15175" Type="http://schemas.openxmlformats.org/officeDocument/2006/relationships/hyperlink" Target="http://www.linkedin.com/in/maryl%c3%a8ne-baron-5780888a" TargetMode="External"/><Relationship  Id="rId15176" Type="http://schemas.openxmlformats.org/officeDocument/2006/relationships/hyperlink" Target="https://ei-tem.com" TargetMode="External"/><Relationship  Id="rId15177" Type="http://schemas.openxmlformats.org/officeDocument/2006/relationships/hyperlink" Target="http://www.linkedin.com/in/mathieu-blanc-4a4b1845" TargetMode="External"/><Relationship  Id="rId15178" Type="http://schemas.openxmlformats.org/officeDocument/2006/relationships/hyperlink" Target="https://hasap.fr" TargetMode="External"/><Relationship  Id="rId15179" Type="http://schemas.openxmlformats.org/officeDocument/2006/relationships/hyperlink" Target="http://www.linkedin.com/in/mika%c3%abl-fardin-3696a999" TargetMode="External"/><Relationship  Id="rId1518" Type="http://schemas.openxmlformats.org/officeDocument/2006/relationships/hyperlink" Target="http://www.kamokamo.com" TargetMode="External"/><Relationship  Id="rId15180" Type="http://schemas.openxmlformats.org/officeDocument/2006/relationships/hyperlink" Target="https://mastore.fr" TargetMode="External"/><Relationship  Id="rId15181" Type="http://schemas.openxmlformats.org/officeDocument/2006/relationships/hyperlink" Target="http://www.linkedin.com/in/marc-guegan-3a9455186" TargetMode="External"/><Relationship  Id="rId15182" Type="http://schemas.openxmlformats.org/officeDocument/2006/relationships/hyperlink" Target="https://lbge.fr" TargetMode="External"/><Relationship  Id="rId15183" Type="http://schemas.openxmlformats.org/officeDocument/2006/relationships/hyperlink" Target="http://www.linkedin.com/in/micka%c3%abl-cavanna-13b10787" TargetMode="External"/><Relationship  Id="rId15184" Type="http://schemas.openxmlformats.org/officeDocument/2006/relationships/hyperlink" Target="https://sntpp.fr" TargetMode="External"/><Relationship  Id="rId15185" Type="http://schemas.openxmlformats.org/officeDocument/2006/relationships/hyperlink" Target="http://www.linkedin.com/in/matthieu-leon-477aa01a3" TargetMode="External"/><Relationship  Id="rId15186" Type="http://schemas.openxmlformats.org/officeDocument/2006/relationships/hyperlink" Target="https://kerleroux.com" TargetMode="External"/><Relationship  Id="rId15187" Type="http://schemas.openxmlformats.org/officeDocument/2006/relationships/hyperlink" Target="http://www.linkedin.com/in/murat-altuntas" TargetMode="External"/><Relationship  Id="rId15188" Type="http://schemas.openxmlformats.org/officeDocument/2006/relationships/hyperlink" Target="https://md-construction.fr" TargetMode="External"/><Relationship  Id="rId15189" Type="http://schemas.openxmlformats.org/officeDocument/2006/relationships/hyperlink" Target="http://www.linkedin.com/in/nicolas-dasse-84955713" TargetMode="External"/><Relationship  Id="rId1519" Type="http://schemas.openxmlformats.org/officeDocument/2006/relationships/hyperlink" Target="http://www.linkedin.com/in/tsampite" TargetMode="External"/><Relationship  Id="rId15190" Type="http://schemas.openxmlformats.org/officeDocument/2006/relationships/hyperlink" Target="https://mateos-elec.fr" TargetMode="External"/><Relationship  Id="rId15191" Type="http://schemas.openxmlformats.org/officeDocument/2006/relationships/hyperlink" Target="http://www.linkedin.com/in/nicolas-pallavera-9a5853b1" TargetMode="External"/><Relationship  Id="rId15192" Type="http://schemas.openxmlformats.org/officeDocument/2006/relationships/hyperlink" Target="https://viater.fr" TargetMode="External"/><Relationship  Id="rId15193" Type="http://schemas.openxmlformats.org/officeDocument/2006/relationships/hyperlink" Target="http://www.linkedin.com/in/nathalie-pitra-18a96a195" TargetMode="External"/><Relationship  Id="rId15194" Type="http://schemas.openxmlformats.org/officeDocument/2006/relationships/hyperlink" Target="https://eccs.fr" TargetMode="External"/><Relationship  Id="rId15195" Type="http://schemas.openxmlformats.org/officeDocument/2006/relationships/hyperlink" Target="http://www.linkedin.com/in/nicolas-reynaud-21332a76" TargetMode="External"/><Relationship  Id="rId15196" Type="http://schemas.openxmlformats.org/officeDocument/2006/relationships/hyperlink" Target="https://isosign.fr" TargetMode="External"/><Relationship  Id="rId15197" Type="http://schemas.openxmlformats.org/officeDocument/2006/relationships/hyperlink" Target="http://www.linkedin.com/in/nicolas-trompille-49ab90144" TargetMode="External"/><Relationship  Id="rId15198" Type="http://schemas.openxmlformats.org/officeDocument/2006/relationships/hyperlink" Target="http://www.linkedin.com/in/nicolas-besson-283446115" TargetMode="External"/><Relationship  Id="rId15199" Type="http://schemas.openxmlformats.org/officeDocument/2006/relationships/hyperlink" Target="https://aneo-energie.fr" TargetMode="External"/><Relationship  Id="rId152" Type="http://schemas.openxmlformats.org/officeDocument/2006/relationships/hyperlink" Target="http://www.linkedin.com/in/aur%c3%a9lia-gonthier-717682162" TargetMode="External"/><Relationship  Id="rId1520" Type="http://schemas.openxmlformats.org/officeDocument/2006/relationships/hyperlink" Target="http://www.yvala.com" TargetMode="External"/><Relationship  Id="rId15200" Type="http://schemas.openxmlformats.org/officeDocument/2006/relationships/hyperlink" Target="http://www.linkedin.com/in/nicolas-dumortier-841a3113a" TargetMode="External"/><Relationship  Id="rId15201" Type="http://schemas.openxmlformats.org/officeDocument/2006/relationships/hyperlink" Target="https://qovans.com" TargetMode="External"/><Relationship  Id="rId15202" Type="http://schemas.openxmlformats.org/officeDocument/2006/relationships/hyperlink" Target="http://www.linkedin.com/in/nicolas-g%c3%a9lisse-453702b7" TargetMode="External"/><Relationship  Id="rId15203" Type="http://schemas.openxmlformats.org/officeDocument/2006/relationships/hyperlink" Target="https://uif-travaux.fr" TargetMode="External"/><Relationship  Id="rId15204" Type="http://schemas.openxmlformats.org/officeDocument/2006/relationships/hyperlink" Target="http://www.linkedin.com/in/nicolas-prats-b470a55" TargetMode="External"/><Relationship  Id="rId15205" Type="http://schemas.openxmlformats.org/officeDocument/2006/relationships/hyperlink" Target="http://www.linkedin.com/in/nicolas-leroy-62a79146" TargetMode="External"/><Relationship  Id="rId15206" Type="http://schemas.openxmlformats.org/officeDocument/2006/relationships/hyperlink" Target="https://roof.ch" TargetMode="External"/><Relationship  Id="rId15207" Type="http://schemas.openxmlformats.org/officeDocument/2006/relationships/hyperlink" Target="http://www.linkedin.com/in/nicolas-rivi%c3%a8re-a10b541b7" TargetMode="External"/><Relationship  Id="rId15208" Type="http://schemas.openxmlformats.org/officeDocument/2006/relationships/hyperlink" Target="https://rpfrance.fr" TargetMode="External"/><Relationship  Id="rId15209" Type="http://schemas.openxmlformats.org/officeDocument/2006/relationships/hyperlink" Target="http://www.linkedin.com/in/pervier-noella-510b08161" TargetMode="External"/><Relationship  Id="rId1521" Type="http://schemas.openxmlformats.org/officeDocument/2006/relationships/hyperlink" Target="http://www.linkedin.com/in/erwan-mouton-distributeur-de-produits-d-accueil-d-h%c3%b4tellerie-500se83a15293" TargetMode="External"/><Relationship  Id="rId15210" Type="http://schemas.openxmlformats.org/officeDocument/2006/relationships/hyperlink" Target="https://defi-fermetures.fr" TargetMode="External"/><Relationship  Id="rId15211" Type="http://schemas.openxmlformats.org/officeDocument/2006/relationships/hyperlink" Target="http://www.linkedin.com/in/olivier-gaudard-25211759" TargetMode="External"/><Relationship  Id="rId15212" Type="http://schemas.openxmlformats.org/officeDocument/2006/relationships/hyperlink" Target="https://b27.fr" TargetMode="External"/><Relationship  Id="rId15213" Type="http://schemas.openxmlformats.org/officeDocument/2006/relationships/hyperlink" Target="http://www.linkedin.com/in/olivier-perrin-0ab173b0" TargetMode="External"/><Relationship  Id="rId15214" Type="http://schemas.openxmlformats.org/officeDocument/2006/relationships/hyperlink" Target="https://francestyle.fr" TargetMode="External"/><Relationship  Id="rId15215" Type="http://schemas.openxmlformats.org/officeDocument/2006/relationships/hyperlink" Target="http://www.linkedin.com/in/obrenet" TargetMode="External"/><Relationship  Id="rId15216" Type="http://schemas.openxmlformats.org/officeDocument/2006/relationships/hyperlink" Target="http://www.linkedin.com/in/olivier-chanas-expert-toits-professionnels" TargetMode="External"/><Relationship  Id="rId15217" Type="http://schemas.openxmlformats.org/officeDocument/2006/relationships/hyperlink" Target="http://www.linkedin.com/in/olivierlangloissfacbeton" TargetMode="External"/><Relationship  Id="rId15218" Type="http://schemas.openxmlformats.org/officeDocument/2006/relationships/hyperlink" Target="http://www.linkedin.com/in/olivier-budin" TargetMode="External"/><Relationship  Id="rId15219" Type="http://schemas.openxmlformats.org/officeDocument/2006/relationships/hyperlink" Target="https://ipelec.com" TargetMode="External"/><Relationship  Id="rId1522" Type="http://schemas.openxmlformats.org/officeDocument/2006/relationships/hyperlink" Target="http://www.ot-cc.com" TargetMode="External"/><Relationship  Id="rId15220" Type="http://schemas.openxmlformats.org/officeDocument/2006/relationships/hyperlink" Target="http://www.linkedin.com/in/olivier-schaal-71a16192" TargetMode="External"/><Relationship  Id="rId15221" Type="http://schemas.openxmlformats.org/officeDocument/2006/relationships/hyperlink" Target="https://vd-industry.eu" TargetMode="External"/><Relationship  Id="rId15222" Type="http://schemas.openxmlformats.org/officeDocument/2006/relationships/hyperlink" Target="http://www.linkedin.com/in/olivier-guermonprez-21411b1a7" TargetMode="External"/><Relationship  Id="rId15223" Type="http://schemas.openxmlformats.org/officeDocument/2006/relationships/hyperlink" Target="https://guermonprez.com" TargetMode="External"/><Relationship  Id="rId15224" Type="http://schemas.openxmlformats.org/officeDocument/2006/relationships/hyperlink" Target="http://www.linkedin.com/in/olivier-dautriat-a0321676" TargetMode="External"/><Relationship  Id="rId15225" Type="http://schemas.openxmlformats.org/officeDocument/2006/relationships/hyperlink" Target="https://tdisystems.co.uk" TargetMode="External"/><Relationship  Id="rId15226" Type="http://schemas.openxmlformats.org/officeDocument/2006/relationships/hyperlink" Target="http://www.linkedin.com/in/olivier-tommasini-023a2814a" TargetMode="External"/><Relationship  Id="rId15227" Type="http://schemas.openxmlformats.org/officeDocument/2006/relationships/hyperlink" Target="https://groupe-tommasini.com" TargetMode="External"/><Relationship  Id="rId15228" Type="http://schemas.openxmlformats.org/officeDocument/2006/relationships/hyperlink" Target="http://www.linkedin.com/in/olivier-vernassa-b8141871" TargetMode="External"/><Relationship  Id="rId15229" Type="http://schemas.openxmlformats.org/officeDocument/2006/relationships/hyperlink" Target="https://vernassa.fr" TargetMode="External"/><Relationship  Id="rId1523" Type="http://schemas.openxmlformats.org/officeDocument/2006/relationships/hyperlink" Target="http://www.linkedin.com/in/geoffroy-schmitt-gully-a0209483" TargetMode="External"/><Relationship  Id="rId15230" Type="http://schemas.openxmlformats.org/officeDocument/2006/relationships/hyperlink" Target="http://www.linkedin.com/in/pierre-chabertier-84237846" TargetMode="External"/><Relationship  Id="rId15231" Type="http://schemas.openxmlformats.org/officeDocument/2006/relationships/hyperlink" Target="http://www.linkedin.com/in/pierre-chadoin-46164a84" TargetMode="External"/><Relationship  Id="rId15232" Type="http://schemas.openxmlformats.org/officeDocument/2006/relationships/hyperlink" Target="https://rampa-tp.com" TargetMode="External"/><Relationship  Id="rId15233" Type="http://schemas.openxmlformats.org/officeDocument/2006/relationships/hyperlink" Target="http://www.linkedin.com/in/pierrick-lotiquet-a90b94129" TargetMode="External"/><Relationship  Id="rId15234" Type="http://schemas.openxmlformats.org/officeDocument/2006/relationships/hyperlink" Target="https://zub.fr" TargetMode="External"/><Relationship  Id="rId15235" Type="http://schemas.openxmlformats.org/officeDocument/2006/relationships/hyperlink" Target="http://www.linkedin.com/in/patrick-mauny-168686131" TargetMode="External"/><Relationship  Id="rId15236" Type="http://schemas.openxmlformats.org/officeDocument/2006/relationships/hyperlink" Target="http://www.linkedin.com/in/pierre-refloch-946257103" TargetMode="External"/><Relationship  Id="rId15237" Type="http://schemas.openxmlformats.org/officeDocument/2006/relationships/hyperlink" Target="http://www.linkedin.com/in/pascal-yaicle-5a5787186" TargetMode="External"/><Relationship  Id="rId15238" Type="http://schemas.openxmlformats.org/officeDocument/2006/relationships/hyperlink" Target="https://fouchard.de" TargetMode="External"/><Relationship  Id="rId15239" Type="http://schemas.openxmlformats.org/officeDocument/2006/relationships/hyperlink" Target="http://www.linkedin.com/in/pascal-lafont-a325b740" TargetMode="External"/><Relationship  Id="rId1524" Type="http://schemas.openxmlformats.org/officeDocument/2006/relationships/hyperlink" Target="http://www.hotel-rohan.com" TargetMode="External"/><Relationship  Id="rId15240" Type="http://schemas.openxmlformats.org/officeDocument/2006/relationships/hyperlink" Target="https://cadelec.com.au" TargetMode="External"/><Relationship  Id="rId15241" Type="http://schemas.openxmlformats.org/officeDocument/2006/relationships/hyperlink" Target="http://www.linkedin.com/in/pascal-seguin-88400410" TargetMode="External"/><Relationship  Id="rId15242" Type="http://schemas.openxmlformats.org/officeDocument/2006/relationships/hyperlink" Target="https://samedia.com" TargetMode="External"/><Relationship  Id="rId15243" Type="http://schemas.openxmlformats.org/officeDocument/2006/relationships/hyperlink" Target="http://www.linkedin.com/in/patrick-lescos-a67189152" TargetMode="External"/><Relationship  Id="rId15244" Type="http://schemas.openxmlformats.org/officeDocument/2006/relationships/hyperlink" Target="https://troisel.com" TargetMode="External"/><Relationship  Id="rId15245" Type="http://schemas.openxmlformats.org/officeDocument/2006/relationships/hyperlink" Target="http://www.linkedin.com/in/patrick-pineau-6a9b06244" TargetMode="External"/><Relationship  Id="rId15246" Type="http://schemas.openxmlformats.org/officeDocument/2006/relationships/hyperlink" Target="https://pineau-energie.fr" TargetMode="External"/><Relationship  Id="rId15247" Type="http://schemas.openxmlformats.org/officeDocument/2006/relationships/hyperlink" Target="http://www.linkedin.com/in/paul-rampa-38395216" TargetMode="External"/><Relationship  Id="rId15248" Type="http://schemas.openxmlformats.org/officeDocument/2006/relationships/hyperlink" Target="http://www.linkedin.com/in/philippe-aymard-b9558176" TargetMode="External"/><Relationship  Id="rId15249" Type="http://schemas.openxmlformats.org/officeDocument/2006/relationships/hyperlink" Target="https://detect-reseaux.fr" TargetMode="External"/><Relationship  Id="rId1525" Type="http://schemas.openxmlformats.org/officeDocument/2006/relationships/hyperlink" Target="http://www.linkedin.com/in/k%c3%a9vin-pilet-desjardins-63495361" TargetMode="External"/><Relationship  Id="rId15250" Type="http://schemas.openxmlformats.org/officeDocument/2006/relationships/hyperlink" Target="http://www.linkedin.com/in/philippe-bourdot-356aa77b" TargetMode="External"/><Relationship  Id="rId15251" Type="http://schemas.openxmlformats.org/officeDocument/2006/relationships/hyperlink" Target="http://www.linkedin.com/in/paul-edouard-morin-28a90a167" TargetMode="External"/><Relationship  Id="rId15252" Type="http://schemas.openxmlformats.org/officeDocument/2006/relationships/hyperlink" Target="https://morin-groupe.fr" TargetMode="External"/><Relationship  Id="rId15253" Type="http://schemas.openxmlformats.org/officeDocument/2006/relationships/hyperlink" Target="http://www.linkedin.com/in/pgeorgel" TargetMode="External"/><Relationship  Id="rId15254" Type="http://schemas.openxmlformats.org/officeDocument/2006/relationships/hyperlink" Target="https://ecovegetal.com" TargetMode="External"/><Relationship  Id="rId15255" Type="http://schemas.openxmlformats.org/officeDocument/2006/relationships/hyperlink" Target="http://www.linkedin.com/in/philippe-calland-46359850" TargetMode="External"/><Relationship  Id="rId15256" Type="http://schemas.openxmlformats.org/officeDocument/2006/relationships/hyperlink" Target="https://plasteurop.fr" TargetMode="External"/><Relationship  Id="rId15257" Type="http://schemas.openxmlformats.org/officeDocument/2006/relationships/hyperlink" Target="http://www.linkedin.com/in/philippe-clement-a653b7120" TargetMode="External"/><Relationship  Id="rId15258" Type="http://schemas.openxmlformats.org/officeDocument/2006/relationships/hyperlink" Target="http://www.linkedin.com/in/philippe-le-du-57b238161" TargetMode="External"/><Relationship  Id="rId15259" Type="http://schemas.openxmlformats.org/officeDocument/2006/relationships/hyperlink" Target="https://groupeledu.com" TargetMode="External"/><Relationship  Id="rId1526" Type="http://schemas.openxmlformats.org/officeDocument/2006/relationships/hyperlink" Target="http://www.workpackers.co" TargetMode="External"/><Relationship  Id="rId15260" Type="http://schemas.openxmlformats.org/officeDocument/2006/relationships/hyperlink" Target="http://www.linkedin.com/in/million-philippe-737472a6" TargetMode="External"/><Relationship  Id="rId15261" Type="http://schemas.openxmlformats.org/officeDocument/2006/relationships/hyperlink" Target="https://everest-isolation.fr" TargetMode="External"/><Relationship  Id="rId15262" Type="http://schemas.openxmlformats.org/officeDocument/2006/relationships/hyperlink" Target="http://www.linkedin.com/in/pibonnet" TargetMode="External"/><Relationship  Id="rId15263" Type="http://schemas.openxmlformats.org/officeDocument/2006/relationships/hyperlink" Target="http://www.linkedin.com/in/pierre-deremaux-14719234" TargetMode="External"/><Relationship  Id="rId15264" Type="http://schemas.openxmlformats.org/officeDocument/2006/relationships/hyperlink" Target="https://btpcfa-pdl.com" TargetMode="External"/><Relationship  Id="rId15265" Type="http://schemas.openxmlformats.org/officeDocument/2006/relationships/hyperlink" Target="http://www.linkedin.com/in/pierre-jean-bonnefond-61395141" TargetMode="External"/><Relationship  Id="rId15266" Type="http://schemas.openxmlformats.org/officeDocument/2006/relationships/hyperlink" Target="http://www.linkedin.com/in/pierre-paul-bernardi-2534281b9" TargetMode="External"/><Relationship  Id="rId15267" Type="http://schemas.openxmlformats.org/officeDocument/2006/relationships/hyperlink" Target="https://garelli.fr" TargetMode="External"/><Relationship  Id="rId15268" Type="http://schemas.openxmlformats.org/officeDocument/2006/relationships/hyperlink" Target="http://www.linkedin.com/in/pascal-pervier-4a2448135" TargetMode="External"/><Relationship  Id="rId15269" Type="http://schemas.openxmlformats.org/officeDocument/2006/relationships/hyperlink" Target="http://www.linkedin.com/in/quentin-cl%c3%a9ment-de-colombi%c3%a8res-9695ba17" TargetMode="External"/><Relationship  Id="rId1527" Type="http://schemas.openxmlformats.org/officeDocument/2006/relationships/hyperlink" Target="http://www.linkedin.com/in/josephineayvadian" TargetMode="External"/><Relationship  Id="rId15270" Type="http://schemas.openxmlformats.org/officeDocument/2006/relationships/hyperlink" Target="http://www.linkedin.com/in/ren%c3%a9-braja-5a254a63" TargetMode="External"/><Relationship  Id="rId15271" Type="http://schemas.openxmlformats.org/officeDocument/2006/relationships/hyperlink" Target="https://brajavesigne.fr" TargetMode="External"/><Relationship  Id="rId15272" Type="http://schemas.openxmlformats.org/officeDocument/2006/relationships/hyperlink" Target="http://www.linkedin.com/in/richard-degombert-3001458b" TargetMode="External"/><Relationship  Id="rId15273" Type="http://schemas.openxmlformats.org/officeDocument/2006/relationships/hyperlink" Target="https://viviany.fr" TargetMode="External"/><Relationship  Id="rId15274" Type="http://schemas.openxmlformats.org/officeDocument/2006/relationships/hyperlink" Target="http://www.linkedin.com/in/robin-ribiollet-53074ba9" TargetMode="External"/><Relationship  Id="rId15275" Type="http://schemas.openxmlformats.org/officeDocument/2006/relationships/hyperlink" Target="https://duretelec.fr" TargetMode="External"/><Relationship  Id="rId15276" Type="http://schemas.openxmlformats.org/officeDocument/2006/relationships/hyperlink" Target="http://www.linkedin.com/in/rachid-yaou-434307141" TargetMode="External"/><Relationship  Id="rId15277" Type="http://schemas.openxmlformats.org/officeDocument/2006/relationships/hyperlink" Target="https://stis.fr" TargetMode="External"/><Relationship  Id="rId15278" Type="http://schemas.openxmlformats.org/officeDocument/2006/relationships/hyperlink" Target="http://www.linkedin.com/in/evariste-rapha%c3%abl-30bb56183" TargetMode="External"/><Relationship  Id="rId15279" Type="http://schemas.openxmlformats.org/officeDocument/2006/relationships/hyperlink" Target="http://www.linkedin.com/in/raphael-lam%c3%a9-1a876467" TargetMode="External"/><Relationship  Id="rId1528" Type="http://schemas.openxmlformats.org/officeDocument/2006/relationships/hyperlink" Target="http://www.ytso-rm.com" TargetMode="External"/><Relationship  Id="rId15280" Type="http://schemas.openxmlformats.org/officeDocument/2006/relationships/hyperlink" Target="https://vegetalid.fr" TargetMode="External"/><Relationship  Id="rId15281" Type="http://schemas.openxmlformats.org/officeDocument/2006/relationships/hyperlink" Target="http://www.linkedin.com/in/renaud-chanceaulme-09676233" TargetMode="External"/><Relationship  Id="rId15282" Type="http://schemas.openxmlformats.org/officeDocument/2006/relationships/hyperlink" Target="https://bmf-conseil.fr" TargetMode="External"/><Relationship  Id="rId15283" Type="http://schemas.openxmlformats.org/officeDocument/2006/relationships/hyperlink" Target="http://www.linkedin.com/in/ren%c3%a9-bikelel-417425a3" TargetMode="External"/><Relationship  Id="rId15284" Type="http://schemas.openxmlformats.org/officeDocument/2006/relationships/hyperlink" Target="https://brconsult.com" TargetMode="External"/><Relationship  Id="rId15285" Type="http://schemas.openxmlformats.org/officeDocument/2006/relationships/hyperlink" Target="http://www.linkedin.com/in/romain-lecarpentier-2a3903217" TargetMode="External"/><Relationship  Id="rId15286" Type="http://schemas.openxmlformats.org/officeDocument/2006/relationships/hyperlink" Target="http://www.linkedin.com/in/ronan-olivin-ba846436" TargetMode="External"/><Relationship  Id="rId15287" Type="http://schemas.openxmlformats.org/officeDocument/2006/relationships/hyperlink" Target="https://aquaclimservice.fr" TargetMode="External"/><Relationship  Id="rId15288" Type="http://schemas.openxmlformats.org/officeDocument/2006/relationships/hyperlink" Target="http://www.linkedin.com/in/richard-sauer-72a586131" TargetMode="External"/><Relationship  Id="rId15289" Type="http://schemas.openxmlformats.org/officeDocument/2006/relationships/hyperlink" Target="http://www.linkedin.com/in/sylvain-ageneau-b37b14158" TargetMode="External"/><Relationship  Id="rId1529" Type="http://schemas.openxmlformats.org/officeDocument/2006/relationships/hyperlink" Target="http://www.linkedin.com/in/pauline-mey-7951b14a" TargetMode="External"/><Relationship  Id="rId15290" Type="http://schemas.openxmlformats.org/officeDocument/2006/relationships/hyperlink" Target="https://ana-ingenierie.fr" TargetMode="External"/><Relationship  Id="rId15291" Type="http://schemas.openxmlformats.org/officeDocument/2006/relationships/hyperlink" Target="http://www.linkedin.com/in/sebastien-allouche-73aa9b109" TargetMode="External"/><Relationship  Id="rId15292" Type="http://schemas.openxmlformats.org/officeDocument/2006/relationships/hyperlink" Target="http://www.linkedin.com/in/samuel-aubron-89a6127b" TargetMode="External"/><Relationship  Id="rId15293" Type="http://schemas.openxmlformats.org/officeDocument/2006/relationships/hyperlink" Target="http://www.linkedin.com/in/sbousquet" TargetMode="External"/><Relationship  Id="rId15294" Type="http://schemas.openxmlformats.org/officeDocument/2006/relationships/hyperlink" Target="http://www.linkedin.com/in/sylvain-foni-81566174" TargetMode="External"/><Relationship  Id="rId15295" Type="http://schemas.openxmlformats.org/officeDocument/2006/relationships/hyperlink" Target="https://satri.mc" TargetMode="External"/><Relationship  Id="rId15296" Type="http://schemas.openxmlformats.org/officeDocument/2006/relationships/hyperlink" Target="http://www.linkedin.com/in/stephane-lebreton-7392761b" TargetMode="External"/><Relationship  Id="rId15297" Type="http://schemas.openxmlformats.org/officeDocument/2006/relationships/hyperlink" Target="https://i2d-conseils.fr" TargetMode="External"/><Relationship  Id="rId15298" Type="http://schemas.openxmlformats.org/officeDocument/2006/relationships/hyperlink" Target="http://www.linkedin.com/in/serge-melchiorre-ba5b7232" TargetMode="External"/><Relationship  Id="rId15299" Type="http://schemas.openxmlformats.org/officeDocument/2006/relationships/hyperlink" Target="https://maisons-mca.com" TargetMode="External"/><Relationship  Id="rId153" Type="http://schemas.openxmlformats.org/officeDocument/2006/relationships/hyperlink" Target="http://www.strasbourgthegarden.com" TargetMode="External"/><Relationship  Id="rId1530" Type="http://schemas.openxmlformats.org/officeDocument/2006/relationships/hyperlink" Target="http://www.beaumhostel.com" TargetMode="External"/><Relationship  Id="rId15300" Type="http://schemas.openxmlformats.org/officeDocument/2006/relationships/hyperlink" Target="http://www.linkedin.com/in/samuel-ravanas-44183b27" TargetMode="External"/><Relationship  Id="rId15301" Type="http://schemas.openxmlformats.org/officeDocument/2006/relationships/hyperlink" Target="https://groupe-omnium.net" TargetMode="External"/><Relationship  Id="rId15302" Type="http://schemas.openxmlformats.org/officeDocument/2006/relationships/hyperlink" Target="http://www.linkedin.com/in/s%c3%a9bastien-gerard-54368b91" TargetMode="External"/><Relationship  Id="rId15303" Type="http://schemas.openxmlformats.org/officeDocument/2006/relationships/hyperlink" Target="http://www.linkedin.com/in/sebastien-lematte-86782877" TargetMode="External"/><Relationship  Id="rId15304" Type="http://schemas.openxmlformats.org/officeDocument/2006/relationships/hyperlink" Target="https://moduo.fr" TargetMode="External"/><Relationship  Id="rId15305" Type="http://schemas.openxmlformats.org/officeDocument/2006/relationships/hyperlink" Target="http://www.linkedin.com/in/stephanegarniersoriba" TargetMode="External"/><Relationship  Id="rId15306" Type="http://schemas.openxmlformats.org/officeDocument/2006/relationships/hyperlink" Target="http://www.linkedin.com/in/sebastienkrajinovic" TargetMode="External"/><Relationship  Id="rId15307" Type="http://schemas.openxmlformats.org/officeDocument/2006/relationships/hyperlink" Target="https://jarnias.fr" TargetMode="External"/><Relationship  Id="rId15308" Type="http://schemas.openxmlformats.org/officeDocument/2006/relationships/hyperlink" Target="http://www.linkedin.com/in/sylvain-leloutre-626365bb" TargetMode="External"/><Relationship  Id="rId15309" Type="http://schemas.openxmlformats.org/officeDocument/2006/relationships/hyperlink" Target="https://sotrav.com" TargetMode="External"/><Relationship  Id="rId1531" Type="http://schemas.openxmlformats.org/officeDocument/2006/relationships/hyperlink" Target="http://www.linkedin.com/in/simon-dufour-emmanuel" TargetMode="External"/><Relationship  Id="rId15310" Type="http://schemas.openxmlformats.org/officeDocument/2006/relationships/hyperlink" Target="http://www.linkedin.com/in/fran%c3%a7ois-maniquet-21398730" TargetMode="External"/><Relationship  Id="rId15311" Type="http://schemas.openxmlformats.org/officeDocument/2006/relationships/hyperlink" Target="https://jeremysavel-photographe.com" TargetMode="External"/><Relationship  Id="rId15312" Type="http://schemas.openxmlformats.org/officeDocument/2006/relationships/hyperlink" Target="http://www.linkedin.com/in/sophie-dupont-aa8335a9" TargetMode="External"/><Relationship  Id="rId15313" Type="http://schemas.openxmlformats.org/officeDocument/2006/relationships/hyperlink" Target="http://www.linkedin.com/in/samuel-porchel-6875654a" TargetMode="External"/><Relationship  Id="rId15314" Type="http://schemas.openxmlformats.org/officeDocument/2006/relationships/hyperlink" Target="http://www.linkedin.com/in/stephanegai" TargetMode="External"/><Relationship  Id="rId15315" Type="http://schemas.openxmlformats.org/officeDocument/2006/relationships/hyperlink" Target="https://mayers-buildtech.com" TargetMode="External"/><Relationship  Id="rId15316" Type="http://schemas.openxmlformats.org/officeDocument/2006/relationships/hyperlink" Target="http://www.linkedin.com/in/st%c3%a9phane-fran%c3%a7ois-51b82a114" TargetMode="External"/><Relationship  Id="rId15317" Type="http://schemas.openxmlformats.org/officeDocument/2006/relationships/hyperlink" Target="https://afsplomberiecvc.fr" TargetMode="External"/><Relationship  Id="rId15318" Type="http://schemas.openxmlformats.org/officeDocument/2006/relationships/hyperlink" Target="http://www.linkedin.com/in/stephane-neveu-2a803a113" TargetMode="External"/><Relationship  Id="rId15319" Type="http://schemas.openxmlformats.org/officeDocument/2006/relationships/hyperlink" Target="https://entreprise-neveu.com" TargetMode="External"/><Relationship  Id="rId1532" Type="http://schemas.openxmlformats.org/officeDocument/2006/relationships/hyperlink" Target="http://www.bame.fr" TargetMode="External"/><Relationship  Id="rId15320" Type="http://schemas.openxmlformats.org/officeDocument/2006/relationships/hyperlink" Target="http://www.linkedin.com/in/tiago-bastos-b567152b2" TargetMode="External"/><Relationship  Id="rId15321" Type="http://schemas.openxmlformats.org/officeDocument/2006/relationships/hyperlink" Target="https://acielouvert.com" TargetMode="External"/><Relationship  Id="rId15322" Type="http://schemas.openxmlformats.org/officeDocument/2006/relationships/hyperlink" Target="http://www.linkedin.com/in/thomas-charmasson-38a111bb" TargetMode="External"/><Relationship  Id="rId15323" Type="http://schemas.openxmlformats.org/officeDocument/2006/relationships/hyperlink" Target="https://gipen.fr" TargetMode="External"/><Relationship  Id="rId15324" Type="http://schemas.openxmlformats.org/officeDocument/2006/relationships/hyperlink" Target="http://www.linkedin.com/in/paillet-thierry-039b2356" TargetMode="External"/><Relationship  Id="rId15325" Type="http://schemas.openxmlformats.org/officeDocument/2006/relationships/hyperlink" Target="https://fontanel-groupe.fr" TargetMode="External"/><Relationship  Id="rId15326" Type="http://schemas.openxmlformats.org/officeDocument/2006/relationships/hyperlink" Target="http://www.linkedin.com/in/thierry-boissier-301b96" TargetMode="External"/><Relationship  Id="rId15327" Type="http://schemas.openxmlformats.org/officeDocument/2006/relationships/hyperlink" Target="https://maisonsclairlogis.fr" TargetMode="External"/><Relationship  Id="rId15328" Type="http://schemas.openxmlformats.org/officeDocument/2006/relationships/hyperlink" Target="http://www.linkedin.com/in/tony-grandm%c3%a9nil" TargetMode="External"/><Relationship  Id="rId15329" Type="http://schemas.openxmlformats.org/officeDocument/2006/relationships/hyperlink" Target="http://www.linkedin.com/in/thibaut-lambert-1a5544111" TargetMode="External"/><Relationship  Id="rId1533" Type="http://schemas.openxmlformats.org/officeDocument/2006/relationships/hyperlink" Target="http://www.linkedin.com/in/laurephil-girardon-191102125" TargetMode="External"/><Relationship  Id="rId15330" Type="http://schemas.openxmlformats.org/officeDocument/2006/relationships/hyperlink" Target="http://www.linkedin.com/in/thierry-bouchard-448b535a" TargetMode="External"/><Relationship  Id="rId15331" Type="http://schemas.openxmlformats.org/officeDocument/2006/relationships/hyperlink" Target="http://www.linkedin.com/in/thierry-schmitt-b18457b0" TargetMode="External"/><Relationship  Id="rId15332" Type="http://schemas.openxmlformats.org/officeDocument/2006/relationships/hyperlink" Target="https://serue.com" TargetMode="External"/><Relationship  Id="rId15333" Type="http://schemas.openxmlformats.org/officeDocument/2006/relationships/hyperlink" Target="http://www.linkedin.com/in/thierry-paget-915b541b7" TargetMode="External"/><Relationship  Id="rId15334" Type="http://schemas.openxmlformats.org/officeDocument/2006/relationships/hyperlink" Target="http://www.linkedin.com/in/thomas-charton-5a997b16" TargetMode="External"/><Relationship  Id="rId15335" Type="http://schemas.openxmlformats.org/officeDocument/2006/relationships/hyperlink" Target="https://altempo.com" TargetMode="External"/><Relationship  Id="rId15336" Type="http://schemas.openxmlformats.org/officeDocument/2006/relationships/hyperlink" Target="http://www.linkedin.com/in/thomas-page-4a5724112" TargetMode="External"/><Relationship  Id="rId15337" Type="http://schemas.openxmlformats.org/officeDocument/2006/relationships/hyperlink" Target="https://isoface.fr" TargetMode="External"/><Relationship  Id="rId15338" Type="http://schemas.openxmlformats.org/officeDocument/2006/relationships/hyperlink" Target="http://www.linkedin.com/in/tony-marques-1a997a129" TargetMode="External"/><Relationship  Id="rId15339" Type="http://schemas.openxmlformats.org/officeDocument/2006/relationships/hyperlink" Target="https://pi-install.com" TargetMode="External"/><Relationship  Id="rId1534" Type="http://schemas.openxmlformats.org/officeDocument/2006/relationships/hyperlink" Target="http://www.domaine-de-clairefontaine.fr" TargetMode="External"/><Relationship  Id="rId15340" Type="http://schemas.openxmlformats.org/officeDocument/2006/relationships/hyperlink" Target="http://www.linkedin.com/in/thibault-peyrichou-05382890" TargetMode="External"/><Relationship  Id="rId15341" Type="http://schemas.openxmlformats.org/officeDocument/2006/relationships/hyperlink" Target="http://www.linkedin.com/in/thibaud-spinella-489594127" TargetMode="External"/><Relationship  Id="rId15342" Type="http://schemas.openxmlformats.org/officeDocument/2006/relationships/hyperlink" Target="https://tsconstruction.fr" TargetMode="External"/><Relationship  Id="rId15343" Type="http://schemas.openxmlformats.org/officeDocument/2006/relationships/hyperlink" Target="http://www.linkedin.com/in/thierry-vignal-a8825923b" TargetMode="External"/><Relationship  Id="rId15344" Type="http://schemas.openxmlformats.org/officeDocument/2006/relationships/hyperlink" Target="https://sopcz.com" TargetMode="External"/><Relationship  Id="rId15345" Type="http://schemas.openxmlformats.org/officeDocument/2006/relationships/hyperlink" Target="http://www.linkedin.com/in/vincent-bouland-a04b052a4" TargetMode="External"/><Relationship  Id="rId15346" Type="http://schemas.openxmlformats.org/officeDocument/2006/relationships/hyperlink" Target="http://www.linkedin.com/in/legrandvin" TargetMode="External"/><Relationship  Id="rId15347" Type="http://schemas.openxmlformats.org/officeDocument/2006/relationships/hyperlink" Target="http://www.linkedin.com/in/vincent-zavaglia-401a63ab" TargetMode="External"/><Relationship  Id="rId15348" Type="http://schemas.openxmlformats.org/officeDocument/2006/relationships/hyperlink" Target="https://ain-carrelages.com" TargetMode="External"/><Relationship  Id="rId15349" Type="http://schemas.openxmlformats.org/officeDocument/2006/relationships/hyperlink" Target="http://www.linkedin.com/in/val%c3%a9rie-chazelle-90129ba3" TargetMode="External"/><Relationship  Id="rId1535" Type="http://schemas.openxmlformats.org/officeDocument/2006/relationships/hyperlink" Target="http://www.linkedin.com/in/samir-patel-852b40237" TargetMode="External"/><Relationship  Id="rId15350" Type="http://schemas.openxmlformats.org/officeDocument/2006/relationships/hyperlink" Target="https://groupe-chazelle.fr" TargetMode="External"/><Relationship  Id="rId15351" Type="http://schemas.openxmlformats.org/officeDocument/2006/relationships/hyperlink" Target="http://www.linkedin.com/in/victor-boutelier" TargetMode="External"/><Relationship  Id="rId15352" Type="http://schemas.openxmlformats.org/officeDocument/2006/relationships/hyperlink" Target="http://www.linkedin.com/in/vincent-danilo-018339104" TargetMode="External"/><Relationship  Id="rId15353" Type="http://schemas.openxmlformats.org/officeDocument/2006/relationships/hyperlink" Target="https://essemes-services.com" TargetMode="External"/><Relationship  Id="rId15354" Type="http://schemas.openxmlformats.org/officeDocument/2006/relationships/hyperlink" Target="http://www.linkedin.com/in/vincent-justeau-1aa650196" TargetMode="External"/><Relationship  Id="rId15355" Type="http://schemas.openxmlformats.org/officeDocument/2006/relationships/hyperlink" Target="https://justeau49.fr" TargetMode="External"/><Relationship  Id="rId15356" Type="http://schemas.openxmlformats.org/officeDocument/2006/relationships/hyperlink" Target="http://www.linkedin.com/in/vincent-olagne" TargetMode="External"/><Relationship  Id="rId15357" Type="http://schemas.openxmlformats.org/officeDocument/2006/relationships/hyperlink" Target="https://sabeko.fr" TargetMode="External"/><Relationship  Id="rId15358" Type="http://schemas.openxmlformats.org/officeDocument/2006/relationships/hyperlink" Target="http://www.linkedin.com/in/virginie-thollon-bayeul-8855766b" TargetMode="External"/><Relationship  Id="rId15359" Type="http://schemas.openxmlformats.org/officeDocument/2006/relationships/hyperlink" Target="http://www.linkedin.com/in/val%c3%a9rie-sarkissian-1aa30149" TargetMode="External"/><Relationship  Id="rId1536" Type="http://schemas.openxmlformats.org/officeDocument/2006/relationships/hyperlink" Target="http://www.3vhotels.com" TargetMode="External"/><Relationship  Id="rId15360" Type="http://schemas.openxmlformats.org/officeDocument/2006/relationships/hyperlink" Target="https://villasprisme.fr" TargetMode="External"/><Relationship  Id="rId15361" Type="http://schemas.openxmlformats.org/officeDocument/2006/relationships/hyperlink" Target="http://www.linkedin.com/in/william-batut-13b003204" TargetMode="External"/><Relationship  Id="rId15362" Type="http://schemas.openxmlformats.org/officeDocument/2006/relationships/hyperlink" Target="https://arnholdt.fr" TargetMode="External"/><Relationship  Id="rId15363" Type="http://schemas.openxmlformats.org/officeDocument/2006/relationships/hyperlink" Target="http://www.linkedin.com/in/xavier-lebot-14183367" TargetMode="External"/><Relationship  Id="rId15364" Type="http://schemas.openxmlformats.org/officeDocument/2006/relationships/hyperlink" Target="https://macoretz.fr" TargetMode="External"/><Relationship  Id="rId15365" Type="http://schemas.openxmlformats.org/officeDocument/2006/relationships/hyperlink" Target="http://www.linkedin.com/in/xavier-beaudru-6b554484" TargetMode="External"/><Relationship  Id="rId15366" Type="http://schemas.openxmlformats.org/officeDocument/2006/relationships/hyperlink" Target="https://maisons-bmc.fr" TargetMode="External"/><Relationship  Id="rId15367" Type="http://schemas.openxmlformats.org/officeDocument/2006/relationships/hyperlink" Target="http://www.linkedin.com/in/xavier-moriceau-18932b41" TargetMode="External"/><Relationship  Id="rId15368" Type="http://schemas.openxmlformats.org/officeDocument/2006/relationships/hyperlink" Target="https://cotec-ing.com" TargetMode="External"/><Relationship  Id="rId15369" Type="http://schemas.openxmlformats.org/officeDocument/2006/relationships/hyperlink" Target="http://www.linkedin.com/in/linkedinrodriguezxavier" TargetMode="External"/><Relationship  Id="rId1537" Type="http://schemas.openxmlformats.org/officeDocument/2006/relationships/hyperlink" Target="http://www.linkedin.com/in/pierre-yves-le-gal-89b4a810" TargetMode="External"/><Relationship  Id="rId15370" Type="http://schemas.openxmlformats.org/officeDocument/2006/relationships/hyperlink" Target="http://www.linkedin.com/in/yannick-puisset-b8595528b" TargetMode="External"/><Relationship  Id="rId15371" Type="http://schemas.openxmlformats.org/officeDocument/2006/relationships/hyperlink" Target="https://coopetbat.fr" TargetMode="External"/><Relationship  Id="rId15372" Type="http://schemas.openxmlformats.org/officeDocument/2006/relationships/hyperlink" Target="http://www.linkedin.com/in/yannick-fieujean-53707aa7" TargetMode="External"/><Relationship  Id="rId15373" Type="http://schemas.openxmlformats.org/officeDocument/2006/relationships/hyperlink" Target="https://socafl.com" TargetMode="External"/><Relationship  Id="rId15374" Type="http://schemas.openxmlformats.org/officeDocument/2006/relationships/hyperlink" Target="http://www.linkedin.com/in/yannick-bocquet-54392246" TargetMode="External"/><Relationship  Id="rId15375" Type="http://schemas.openxmlformats.org/officeDocument/2006/relationships/hyperlink" Target="https://softica.fr" TargetMode="External"/><Relationship  Id="rId15376" Type="http://schemas.openxmlformats.org/officeDocument/2006/relationships/hyperlink" Target="http://www.linkedin.com/in/yohan-lepretre-969759129" TargetMode="External"/><Relationship  Id="rId15377" Type="http://schemas.openxmlformats.org/officeDocument/2006/relationships/hyperlink" Target="https://snpr.bzh" TargetMode="External"/><Relationship  Id="rId15378" Type="http://schemas.openxmlformats.org/officeDocument/2006/relationships/hyperlink" Target="http://www.linkedin.com/in/louis-christophe-moissonnier-a30b8041" TargetMode="External"/><Relationship  Id="rId15379" Type="http://schemas.openxmlformats.org/officeDocument/2006/relationships/hyperlink" Target="https://b-p.fr" TargetMode="External"/><Relationship  Id="rId1538" Type="http://schemas.openxmlformats.org/officeDocument/2006/relationships/hyperlink" Target="http://www.demain-nantes.com" TargetMode="External"/><Relationship  Id="rId15380" Type="http://schemas.openxmlformats.org/officeDocument/2006/relationships/hyperlink" Target="http://www.linkedin.com/in/alan-zeitoun-6963ab84" TargetMode="External"/><Relationship  Id="rId15381" Type="http://schemas.openxmlformats.org/officeDocument/2006/relationships/hyperlink" Target="https://blue-group.com" TargetMode="External"/><Relationship  Id="rId15382" Type="http://schemas.openxmlformats.org/officeDocument/2006/relationships/hyperlink" Target="http://www.linkedin.com/in/r%c3%a9gis-murat-437242a0" TargetMode="External"/><Relationship  Id="rId15383" Type="http://schemas.openxmlformats.org/officeDocument/2006/relationships/hyperlink" Target="https://inveho.eu" TargetMode="External"/><Relationship  Id="rId15384" Type="http://schemas.openxmlformats.org/officeDocument/2006/relationships/hyperlink" Target="http://www.linkedin.com/in/andrew-pratt-10a9781b5" TargetMode="External"/><Relationship  Id="rId15385" Type="http://schemas.openxmlformats.org/officeDocument/2006/relationships/hyperlink" Target="https://luxurybyblue.com" TargetMode="External"/><Relationship  Id="rId15386" Type="http://schemas.openxmlformats.org/officeDocument/2006/relationships/hyperlink" Target="http://www.linkedin.com/in/ariane-bouleau-a000b176" TargetMode="External"/><Relationship  Id="rId15387" Type="http://schemas.openxmlformats.org/officeDocument/2006/relationships/hyperlink" Target="https://pariseine.fr" TargetMode="External"/><Relationship  Id="rId15388" Type="http://schemas.openxmlformats.org/officeDocument/2006/relationships/hyperlink" Target="http://www.linkedin.com/in/aurore-bonnot-a34b7580" TargetMode="External"/><Relationship  Id="rId15389" Type="http://schemas.openxmlformats.org/officeDocument/2006/relationships/hyperlink" Target="https://office-agglo-larochelle.fr" TargetMode="External"/><Relationship  Id="rId1539" Type="http://schemas.openxmlformats.org/officeDocument/2006/relationships/hyperlink" Target="http://www.linkedin.com/in/adam-demarle-5a5153122" TargetMode="External"/><Relationship  Id="rId15390" Type="http://schemas.openxmlformats.org/officeDocument/2006/relationships/hyperlink" Target="http://www.linkedin.com/in/benoit-poinas-75052929" TargetMode="External"/><Relationship  Id="rId15391" Type="http://schemas.openxmlformats.org/officeDocument/2006/relationships/hyperlink" Target="https://patriarca.fr" TargetMode="External"/><Relationship  Id="rId15392" Type="http://schemas.openxmlformats.org/officeDocument/2006/relationships/hyperlink" Target="http://www.linkedin.com/in/fouzia-mekki-boufagher-3802796a" TargetMode="External"/><Relationship  Id="rId15393" Type="http://schemas.openxmlformats.org/officeDocument/2006/relationships/hyperlink" Target="https://seminor.fr" TargetMode="External"/><Relationship  Id="rId15394" Type="http://schemas.openxmlformats.org/officeDocument/2006/relationships/hyperlink" Target="http://www.linkedin.com/in/christophe-bouscaud-345a33167" TargetMode="External"/><Relationship  Id="rId15395" Type="http://schemas.openxmlformats.org/officeDocument/2006/relationships/hyperlink" Target="https://orne-habitat.com" TargetMode="External"/><Relationship  Id="rId15396" Type="http://schemas.openxmlformats.org/officeDocument/2006/relationships/hyperlink" Target="http://www.linkedin.com/in/celine-moreau-b7387a118" TargetMode="External"/><Relationship  Id="rId15397" Type="http://schemas.openxmlformats.org/officeDocument/2006/relationships/hyperlink" Target="https://limogeshabitat.fr" TargetMode="External"/><Relationship  Id="rId15398" Type="http://schemas.openxmlformats.org/officeDocument/2006/relationships/hyperlink" Target="http://www.linkedin.com/in/cyril-raffier-aa638a12b" TargetMode="External"/><Relationship  Id="rId15399" Type="http://schemas.openxmlformats.org/officeDocument/2006/relationships/hyperlink" Target="https://mancelle-habitation.fr" TargetMode="External"/><Relationship  Id="rId154" Type="http://schemas.openxmlformats.org/officeDocument/2006/relationships/hyperlink" Target="http://www.linkedin.com/in/adrien-rozand-10b17b132" TargetMode="External"/><Relationship  Id="rId1540" Type="http://schemas.openxmlformats.org/officeDocument/2006/relationships/hyperlink" Target="http://www.jadorehospitality.com" TargetMode="External"/><Relationship  Id="rId15400" Type="http://schemas.openxmlformats.org/officeDocument/2006/relationships/hyperlink" Target="http://www.linkedin.com/in/farouk-benzeghiba-26a243204" TargetMode="External"/><Relationship  Id="rId15401" Type="http://schemas.openxmlformats.org/officeDocument/2006/relationships/hyperlink" Target="https://aprcgroup.fr" TargetMode="External"/><Relationship  Id="rId15402" Type="http://schemas.openxmlformats.org/officeDocument/2006/relationships/hyperlink" Target="http://www.linkedin.com/in/fr%c3%a9d%c3%a9ric-leclerc-5232b16b" TargetMode="External"/><Relationship  Id="rId15403" Type="http://schemas.openxmlformats.org/officeDocument/2006/relationships/hyperlink" Target="http://www.linkedin.com/in/guillaumebrioist" TargetMode="External"/><Relationship  Id="rId15404" Type="http://schemas.openxmlformats.org/officeDocument/2006/relationships/hyperlink" Target="http://www.linkedin.com/in/guillaume-couturier-4a38531b6" TargetMode="External"/><Relationship  Id="rId15405" Type="http://schemas.openxmlformats.org/officeDocument/2006/relationships/hyperlink" Target="https://hha.fr" TargetMode="External"/><Relationship  Id="rId15406" Type="http://schemas.openxmlformats.org/officeDocument/2006/relationships/hyperlink" Target="http://www.linkedin.com/in/jean-fran%c3%a7ois-devillers-a1311266" TargetMode="External"/><Relationship  Id="rId15407" Type="http://schemas.openxmlformats.org/officeDocument/2006/relationships/hyperlink" Target="https://habitatdunord.fr" TargetMode="External"/><Relationship  Id="rId15408" Type="http://schemas.openxmlformats.org/officeDocument/2006/relationships/hyperlink" Target="http://www.linkedin.com/in/julien-narayanin-859b1a3b" TargetMode="External"/><Relationship  Id="rId15409" Type="http://schemas.openxmlformats.org/officeDocument/2006/relationships/hyperlink" Target="https://groupeverrecchia.com" TargetMode="External"/><Relationship  Id="rId1541" Type="http://schemas.openxmlformats.org/officeDocument/2006/relationships/hyperlink" Target="http://www.linkedin.com/in/victoria-cohen-15b060120" TargetMode="External"/><Relationship  Id="rId15410" Type="http://schemas.openxmlformats.org/officeDocument/2006/relationships/hyperlink" Target="http://www.linkedin.com/in/julievinsonpetit" TargetMode="External"/><Relationship  Id="rId15411" Type="http://schemas.openxmlformats.org/officeDocument/2006/relationships/hyperlink" Target="https://sinteo.fr" TargetMode="External"/><Relationship  Id="rId15412" Type="http://schemas.openxmlformats.org/officeDocument/2006/relationships/hyperlink" Target="http://www.linkedin.com/in/joffray-vallat-830468195" TargetMode="External"/><Relationship  Id="rId15413" Type="http://schemas.openxmlformats.org/officeDocument/2006/relationships/hyperlink" Target="https://vallat-immobilier.com" TargetMode="External"/><Relationship  Id="rId15414" Type="http://schemas.openxmlformats.org/officeDocument/2006/relationships/hyperlink" Target="http://www.linkedin.com/in/karine-arens-12384689" TargetMode="External"/><Relationship  Id="rId15415" Type="http://schemas.openxmlformats.org/officeDocument/2006/relationships/hyperlink" Target="http://www.linkedin.com/in/lucile-cantet-shema" TargetMode="External"/><Relationship  Id="rId15416" Type="http://schemas.openxmlformats.org/officeDocument/2006/relationships/hyperlink" Target="https://shema.fr" TargetMode="External"/><Relationship  Id="rId15417" Type="http://schemas.openxmlformats.org/officeDocument/2006/relationships/hyperlink" Target="http://www.linkedin.com/in/marilyn-bourquin-1974a8114" TargetMode="External"/><Relationship  Id="rId15418" Type="http://schemas.openxmlformats.org/officeDocument/2006/relationships/hyperlink" Target="https://emeraude-habitation.fr" TargetMode="External"/><Relationship  Id="rId15419" Type="http://schemas.openxmlformats.org/officeDocument/2006/relationships/hyperlink" Target="http://www.linkedin.com/in/marc-lelievre-a863377a" TargetMode="External"/><Relationship  Id="rId1542" Type="http://schemas.openxmlformats.org/officeDocument/2006/relationships/hyperlink" Target="http://www.confiserie-ballanger.fr" TargetMode="External"/><Relationship  Id="rId15420" Type="http://schemas.openxmlformats.org/officeDocument/2006/relationships/hyperlink" Target="https://bsb-lesfoyers.com" TargetMode="External"/><Relationship  Id="rId15421" Type="http://schemas.openxmlformats.org/officeDocument/2006/relationships/hyperlink" Target="http://www.linkedin.com/in/marc-verrecchia-20611594" TargetMode="External"/><Relationship  Id="rId15422" Type="http://schemas.openxmlformats.org/officeDocument/2006/relationships/hyperlink" Target="http://www.linkedin.com/in/nicolas-antonini-91006b27" TargetMode="External"/><Relationship  Id="rId15423" Type="http://schemas.openxmlformats.org/officeDocument/2006/relationships/hyperlink" Target="http://www.linkedin.com/in/olivier-faura-abb41028" TargetMode="External"/><Relationship  Id="rId15424" Type="http://schemas.openxmlformats.org/officeDocument/2006/relationships/hyperlink" Target="http://www.linkedin.com/in/patrick-leroux-157970137" TargetMode="External"/><Relationship  Id="rId15425" Type="http://schemas.openxmlformats.org/officeDocument/2006/relationships/hyperlink" Target="https://mayenne-habitat.fr" TargetMode="External"/><Relationship  Id="rId15426" Type="http://schemas.openxmlformats.org/officeDocument/2006/relationships/hyperlink" Target="http://www.linkedin.com/in/stephane-aulert-86755b55" TargetMode="External"/><Relationship  Id="rId15427" Type="http://schemas.openxmlformats.org/officeDocument/2006/relationships/hyperlink" Target="https://unlogementdanslorne.fr" TargetMode="External"/><Relationship  Id="rId15428" Type="http://schemas.openxmlformats.org/officeDocument/2006/relationships/hyperlink" Target="http://www.linkedin.com/in/st%c3%a9phanie-pereira-a5979925" TargetMode="External"/><Relationship  Id="rId15429" Type="http://schemas.openxmlformats.org/officeDocument/2006/relationships/hyperlink" Target="http://www.linkedin.com/in/stephane-ruisi-411305b1" TargetMode="External"/><Relationship  Id="rId1543" Type="http://schemas.openxmlformats.org/officeDocument/2006/relationships/hyperlink" Target="http://www.linkedin.com/in/eliane-yun-wang-8a0971150" TargetMode="External"/><Relationship  Id="rId15430" Type="http://schemas.openxmlformats.org/officeDocument/2006/relationships/hyperlink" Target="https://1894-immo.com" TargetMode="External"/><Relationship  Id="rId15431" Type="http://schemas.openxmlformats.org/officeDocument/2006/relationships/hyperlink" Target="http://www.linkedin.com/in/thierrymerat" TargetMode="External"/><Relationship  Id="rId15432" Type="http://schemas.openxmlformats.org/officeDocument/2006/relationships/hyperlink" Target="https://bourg-habitat.com" TargetMode="External"/><Relationship  Id="rId15433" Type="http://schemas.openxmlformats.org/officeDocument/2006/relationships/hyperlink" Target="http://www.linkedin.com/in/virginie-buffey-6b60b9136" TargetMode="External"/><Relationship  Id="rId15434" Type="http://schemas.openxmlformats.org/officeDocument/2006/relationships/hyperlink" Target="https://rouenhabitat.fr" TargetMode="External"/><Relationship  Id="rId15435" Type="http://schemas.openxmlformats.org/officeDocument/2006/relationships/hyperlink" Target="http://www.linkedin.com/in/arthurbenhamou" TargetMode="External"/><Relationship  Id="rId15436" Type="http://schemas.openxmlformats.org/officeDocument/2006/relationships/hyperlink" Target="https://groupeverlaine.com" TargetMode="External"/><Relationship  Id="rId15437" Type="http://schemas.openxmlformats.org/officeDocument/2006/relationships/hyperlink" Target="http://www.linkedin.com/in/florence-delettre-154a773" TargetMode="External"/><Relationship  Id="rId15438" Type="http://schemas.openxmlformats.org/officeDocument/2006/relationships/hyperlink" Target="https://promotelec-services.com" TargetMode="External"/><Relationship  Id="rId15439" Type="http://schemas.openxmlformats.org/officeDocument/2006/relationships/hyperlink" Target="http://www.linkedin.com/in/j%c3%a9r%c3%a9mie-bigo-674b3b121" TargetMode="External"/><Relationship  Id="rId1544" Type="http://schemas.openxmlformats.org/officeDocument/2006/relationships/hyperlink" Target="http://www.linkedin.com/in/rault-didier" TargetMode="External"/><Relationship  Id="rId15440" Type="http://schemas.openxmlformats.org/officeDocument/2006/relationships/hyperlink" Target="https://mychauffage.com" TargetMode="External"/><Relationship  Id="rId1545" Type="http://schemas.openxmlformats.org/officeDocument/2006/relationships/hyperlink" Target="http://www.lespenates.co" TargetMode="External"/><Relationship  Id="rId1546" Type="http://schemas.openxmlformats.org/officeDocument/2006/relationships/hyperlink" Target="http://www.linkedin.com/in/j%c3%a9r%c3%b4me-labat-291226231" TargetMode="External"/><Relationship  Id="rId1547" Type="http://schemas.openxmlformats.org/officeDocument/2006/relationships/hyperlink" Target="http://www.hotel-calarossa.com" TargetMode="External"/><Relationship  Id="rId1548" Type="http://schemas.openxmlformats.org/officeDocument/2006/relationships/hyperlink" Target="http://www.linkedin.com/in/nathalie-grynbaum" TargetMode="External"/><Relationship  Id="rId1549" Type="http://schemas.openxmlformats.org/officeDocument/2006/relationships/hyperlink" Target="http://www.mihotel.fr" TargetMode="External"/><Relationship  Id="rId155" Type="http://schemas.openxmlformats.org/officeDocument/2006/relationships/hyperlink" Target="http://www.miam-family.com" TargetMode="External"/><Relationship  Id="rId1550" Type="http://schemas.openxmlformats.org/officeDocument/2006/relationships/hyperlink" Target="http://www.linkedin.com/in/eidis-wejset-biehler-7046bb43" TargetMode="External"/><Relationship  Id="rId1551" Type="http://schemas.openxmlformats.org/officeDocument/2006/relationships/hyperlink" Target="http://www.folace.life" TargetMode="External"/><Relationship  Id="rId1552" Type="http://schemas.openxmlformats.org/officeDocument/2006/relationships/hyperlink" Target="http://www.linkedin.com/in/ars%c3%a8ne-lambrecht-10197515b" TargetMode="External"/><Relationship  Id="rId1553" Type="http://schemas.openxmlformats.org/officeDocument/2006/relationships/hyperlink" Target="http://www.chateau-chapeau-cornu.fr" TargetMode="External"/><Relationship  Id="rId1554" Type="http://schemas.openxmlformats.org/officeDocument/2006/relationships/hyperlink" Target="http://www.linkedin.com/in/gregoirebasset" TargetMode="External"/><Relationship  Id="rId1555" Type="http://schemas.openxmlformats.org/officeDocument/2006/relationships/hyperlink" Target="http://www.tastit.app" TargetMode="External"/><Relationship  Id="rId1556" Type="http://schemas.openxmlformats.org/officeDocument/2006/relationships/hyperlink" Target="http://www.linkedin.com/in/stephanie-marquez-boucetla-37419720" TargetMode="External"/><Relationship  Id="rId1557" Type="http://schemas.openxmlformats.org/officeDocument/2006/relationships/hyperlink" Target="http://www.linkedin.com/in/thomas-lelieur-abab0677" TargetMode="External"/><Relationship  Id="rId1558" Type="http://schemas.openxmlformats.org/officeDocument/2006/relationships/hyperlink" Target="http://www.hotelsdelille.com" TargetMode="External"/><Relationship  Id="rId1559" Type="http://schemas.openxmlformats.org/officeDocument/2006/relationships/hyperlink" Target="http://www.linkedin.com/in/b%c3%a9rang%c3%a8re-loiseau-12b95763" TargetMode="External"/><Relationship  Id="rId156" Type="http://schemas.openxmlformats.org/officeDocument/2006/relationships/hyperlink" Target="http://www.linkedin.com/in/j%c3%a9r%c3%b4me-schibler-45670795" TargetMode="External"/><Relationship  Id="rId1560" Type="http://schemas.openxmlformats.org/officeDocument/2006/relationships/hyperlink" Target="http://www.linkedin.com/in/morgan-grangier" TargetMode="External"/><Relationship  Id="rId1561" Type="http://schemas.openxmlformats.org/officeDocument/2006/relationships/hyperlink" Target="http://www.holidee.fr" TargetMode="External"/><Relationship  Id="rId1562" Type="http://schemas.openxmlformats.org/officeDocument/2006/relationships/hyperlink" Target="http://www.linkedin.com/in/christophe-wielgosik-00173a75" TargetMode="External"/><Relationship  Id="rId1563" Type="http://schemas.openxmlformats.org/officeDocument/2006/relationships/hyperlink" Target="http://www.briqueteriechampagne.com" TargetMode="External"/><Relationship  Id="rId1564" Type="http://schemas.openxmlformats.org/officeDocument/2006/relationships/hyperlink" Target="http://www.linkedin.com/in/nicolas-drouault-180b7540" TargetMode="External"/><Relationship  Id="rId1565" Type="http://schemas.openxmlformats.org/officeDocument/2006/relationships/hyperlink" Target="http://www.linkedin.com/in/mikael-jover-48b091126" TargetMode="External"/><Relationship  Id="rId1566" Type="http://schemas.openxmlformats.org/officeDocument/2006/relationships/hyperlink" Target="http://www.linkedin.com/in/thomas-julliard-126ab313a" TargetMode="External"/><Relationship  Id="rId1567" Type="http://schemas.openxmlformats.org/officeDocument/2006/relationships/hyperlink" Target="http://www.hostellerielafarandole.com" TargetMode="External"/><Relationship  Id="rId1568" Type="http://schemas.openxmlformats.org/officeDocument/2006/relationships/hyperlink" Target="http://www.linkedin.com/in/greg-barreteau-150298121" TargetMode="External"/><Relationship  Id="rId1569" Type="http://schemas.openxmlformats.org/officeDocument/2006/relationships/hyperlink" Target="http://www.linkedin.com/in/sandra-chevret-4813212b" TargetMode="External"/><Relationship  Id="rId157" Type="http://schemas.openxmlformats.org/officeDocument/2006/relationships/hyperlink" Target="http://www.atypio.com" TargetMode="External"/><Relationship  Id="rId1570" Type="http://schemas.openxmlformats.org/officeDocument/2006/relationships/hyperlink" Target="http://www.sandycamps.com" TargetMode="External"/><Relationship  Id="rId1571" Type="http://schemas.openxmlformats.org/officeDocument/2006/relationships/hyperlink" Target="http://www.linkedin.com/in/vincent-lemaitre-91417718" TargetMode="External"/><Relationship  Id="rId1572" Type="http://schemas.openxmlformats.org/officeDocument/2006/relationships/hyperlink" Target="http://www.placedesoliviers.fr" TargetMode="External"/><Relationship  Id="rId1573" Type="http://schemas.openxmlformats.org/officeDocument/2006/relationships/hyperlink" Target="http://www.linkedin.com/in/alexandre-condette-2150548a" TargetMode="External"/><Relationship  Id="rId1574" Type="http://schemas.openxmlformats.org/officeDocument/2006/relationships/hyperlink" Target="http://www.renaissancerepublique.com" TargetMode="External"/><Relationship  Id="rId1575" Type="http://schemas.openxmlformats.org/officeDocument/2006/relationships/hyperlink" Target="http://www.linkedin.com/in/coppimickael" TargetMode="External"/><Relationship  Id="rId1576" Type="http://schemas.openxmlformats.org/officeDocument/2006/relationships/hyperlink" Target="http://www.igloohome.fr" TargetMode="External"/><Relationship  Id="rId1577" Type="http://schemas.openxmlformats.org/officeDocument/2006/relationships/hyperlink" Target="http://www.linkedin.com/in/eric-dujourd-hui-a2999ba3" TargetMode="External"/><Relationship  Id="rId1578" Type="http://schemas.openxmlformats.org/officeDocument/2006/relationships/hyperlink" Target="http://www.holding-rd-finance.fr" TargetMode="External"/><Relationship  Id="rId1579" Type="http://schemas.openxmlformats.org/officeDocument/2006/relationships/hyperlink" Target="http://www.linkedin.com/in/marcelle-yazbeck-16665812b" TargetMode="External"/><Relationship  Id="rId158" Type="http://schemas.openxmlformats.org/officeDocument/2006/relationships/hyperlink" Target="http://www.linkedin.com/in/arnaud-lahana-56925046" TargetMode="External"/><Relationship  Id="rId1580" Type="http://schemas.openxmlformats.org/officeDocument/2006/relationships/hyperlink" Target="http://www.bellile.com" TargetMode="External"/><Relationship  Id="rId1581" Type="http://schemas.openxmlformats.org/officeDocument/2006/relationships/hyperlink" Target="http://www.linkedin.com/in/muriel-marcilhacy-giraud-60bb1812" TargetMode="External"/><Relationship  Id="rId1582" Type="http://schemas.openxmlformats.org/officeDocument/2006/relationships/hyperlink" Target="http://www.bleecker.co.uk" TargetMode="External"/><Relationship  Id="rId1583" Type="http://schemas.openxmlformats.org/officeDocument/2006/relationships/hyperlink" Target="http://www.linkedin.com/in/alessandrabragoli" TargetMode="External"/><Relationship  Id="rId1584" Type="http://schemas.openxmlformats.org/officeDocument/2006/relationships/hyperlink" Target="http://www.castille.com" TargetMode="External"/><Relationship  Id="rId1585" Type="http://schemas.openxmlformats.org/officeDocument/2006/relationships/hyperlink" Target="http://www.linkedin.com/in/quentin-bouche-b8990720" TargetMode="External"/><Relationship  Id="rId1586" Type="http://schemas.openxmlformats.org/officeDocument/2006/relationships/hyperlink" Target="http://www.luwii.com" TargetMode="External"/><Relationship  Id="rId1587" Type="http://schemas.openxmlformats.org/officeDocument/2006/relationships/hyperlink" Target="http://www.linkedin.com/in/aurelien-armagnac-96051b129" TargetMode="External"/><Relationship  Id="rId1588" Type="http://schemas.openxmlformats.org/officeDocument/2006/relationships/hyperlink" Target="http://www.frenchtheory.com" TargetMode="External"/><Relationship  Id="rId1589" Type="http://schemas.openxmlformats.org/officeDocument/2006/relationships/hyperlink" Target="http://www.linkedin.com/in/pierre-marcolin-2176774b" TargetMode="External"/><Relationship  Id="rId159" Type="http://schemas.openxmlformats.org/officeDocument/2006/relationships/hyperlink" Target="http://www.mykeypers.com" TargetMode="External"/><Relationship  Id="rId1590" Type="http://schemas.openxmlformats.org/officeDocument/2006/relationships/hyperlink" Target="http://www.bloomer-annecy.com" TargetMode="External"/><Relationship  Id="rId1591" Type="http://schemas.openxmlformats.org/officeDocument/2006/relationships/hyperlink" Target="http://www.linkedin.com/in/adsava" TargetMode="External"/><Relationship  Id="rId1592" Type="http://schemas.openxmlformats.org/officeDocument/2006/relationships/hyperlink" Target="http://www.empanadasclub.com" TargetMode="External"/><Relationship  Id="rId1593" Type="http://schemas.openxmlformats.org/officeDocument/2006/relationships/hyperlink" Target="http://www.linkedin.com/in/jerome-mazurier-54a3b06b" TargetMode="External"/><Relationship  Id="rId1594" Type="http://schemas.openxmlformats.org/officeDocument/2006/relationships/hyperlink" Target="http://www.lamaisondubassin.com" TargetMode="External"/><Relationship  Id="rId1595" Type="http://schemas.openxmlformats.org/officeDocument/2006/relationships/hyperlink" Target="http://www.linkedin.com/in/cl%c3%a9mence-rigaux-18860388" TargetMode="External"/><Relationship  Id="rId1596" Type="http://schemas.openxmlformats.org/officeDocument/2006/relationships/hyperlink" Target="http://www.zaino-ristorante.com" TargetMode="External"/><Relationship  Id="rId1597" Type="http://schemas.openxmlformats.org/officeDocument/2006/relationships/hyperlink" Target="http://www.linkedin.com/in/guillaume-s%c3%a9vellec-07491719" TargetMode="External"/><Relationship  Id="rId1598" Type="http://schemas.openxmlformats.org/officeDocument/2006/relationships/hyperlink" Target="http://www.chateaufage.com" TargetMode="External"/><Relationship  Id="rId1599" Type="http://schemas.openxmlformats.org/officeDocument/2006/relationships/hyperlink" Target="http://www.linkedin.com/in/maxim-halimi-632883126" TargetMode="External"/><Relationship  Id="rId16" Type="http://schemas.openxmlformats.org/officeDocument/2006/relationships/hyperlink" Target="http://www.sacrebleu-paris.com" TargetMode="External"/><Relationship  Id="rId160" Type="http://schemas.openxmlformats.org/officeDocument/2006/relationships/hyperlink" Target="http://www.linkedin.com/in/franck-wittig-9a6698187" TargetMode="External"/><Relationship  Id="rId1600" Type="http://schemas.openxmlformats.org/officeDocument/2006/relationships/hyperlink" Target="http://www.linkedin.com/in/guy-courtois-97790b212" TargetMode="External"/><Relationship  Id="rId1601" Type="http://schemas.openxmlformats.org/officeDocument/2006/relationships/hyperlink" Target="http://www.cogethers.com" TargetMode="External"/><Relationship  Id="rId1602" Type="http://schemas.openxmlformats.org/officeDocument/2006/relationships/hyperlink" Target="http://www.linkedin.com/in/gwenn-hamon-6a004bb2" TargetMode="External"/><Relationship  Id="rId1603" Type="http://schemas.openxmlformats.org/officeDocument/2006/relationships/hyperlink" Target="http://www.mamiefada.com" TargetMode="External"/><Relationship  Id="rId1604" Type="http://schemas.openxmlformats.org/officeDocument/2006/relationships/hyperlink" Target="http://www.linkedin.com/in/thierry-bouchard-061b841b" TargetMode="External"/><Relationship  Id="rId1605" Type="http://schemas.openxmlformats.org/officeDocument/2006/relationships/hyperlink" Target="http://www.cielavillage.fr" TargetMode="External"/><Relationship  Id="rId1606" Type="http://schemas.openxmlformats.org/officeDocument/2006/relationships/hyperlink" Target="http://www.linkedin.com/in/jonathangarciatravel" TargetMode="External"/><Relationship  Id="rId1607" Type="http://schemas.openxmlformats.org/officeDocument/2006/relationships/hyperlink" Target="http://www.linkedin.com/in/tiana-armagnac-4a67ab1ba" TargetMode="External"/><Relationship  Id="rId1608" Type="http://schemas.openxmlformats.org/officeDocument/2006/relationships/hyperlink" Target="http://www.linkedin.com/in/lise-maurial-5b48a221" TargetMode="External"/><Relationship  Id="rId1609" Type="http://schemas.openxmlformats.org/officeDocument/2006/relationships/hyperlink" Target="http://www.estivel.com" TargetMode="External"/><Relationship  Id="rId161" Type="http://schemas.openxmlformats.org/officeDocument/2006/relationships/hyperlink" Target="http://www.rotisol.com" TargetMode="External"/><Relationship  Id="rId1610" Type="http://schemas.openxmlformats.org/officeDocument/2006/relationships/hyperlink" Target="http://www.linkedin.com/in/antoine-dh%c3%a9nin-b285a4b4" TargetMode="External"/><Relationship  Id="rId1611" Type="http://schemas.openxmlformats.org/officeDocument/2006/relationships/hyperlink" Target="http://www.groupe-baho.fr" TargetMode="External"/><Relationship  Id="rId1612" Type="http://schemas.openxmlformats.org/officeDocument/2006/relationships/hyperlink" Target="http://www.linkedin.com/in/lucy-violin-7b486986" TargetMode="External"/><Relationship  Id="rId1613" Type="http://schemas.openxmlformats.org/officeDocument/2006/relationships/hyperlink" Target="http://www.myconciergeriebylv.com" TargetMode="External"/><Relationship  Id="rId1614" Type="http://schemas.openxmlformats.org/officeDocument/2006/relationships/hyperlink" Target="http://www.linkedin.com/in/kelly-goehler-34203735" TargetMode="External"/><Relationship  Id="rId1615" Type="http://schemas.openxmlformats.org/officeDocument/2006/relationships/hyperlink" Target="http://www.la-belugue.com" TargetMode="External"/><Relationship  Id="rId1616" Type="http://schemas.openxmlformats.org/officeDocument/2006/relationships/hyperlink" Target="http://www.linkedin.com/in/laurentcalippe" TargetMode="External"/><Relationship  Id="rId1617" Type="http://schemas.openxmlformats.org/officeDocument/2006/relationships/hyperlink" Target="http://www.camping-bretagne-atlantique.com" TargetMode="External"/><Relationship  Id="rId1618" Type="http://schemas.openxmlformats.org/officeDocument/2006/relationships/hyperlink" Target="http://www.linkedin.com/in/ariane-delmas-6a14935" TargetMode="External"/><Relationship  Id="rId1619" Type="http://schemas.openxmlformats.org/officeDocument/2006/relationships/hyperlink" Target="http://www.marmitesvolantes.fr" TargetMode="External"/><Relationship  Id="rId162" Type="http://schemas.openxmlformats.org/officeDocument/2006/relationships/hyperlink" Target="http://www.linkedin.com/in/thomas-garmier-8471a1a4" TargetMode="External"/><Relationship  Id="rId1620" Type="http://schemas.openxmlformats.org/officeDocument/2006/relationships/hyperlink" Target="http://www.linkedin.com/in/guillaumemeaud" TargetMode="External"/><Relationship  Id="rId1621" Type="http://schemas.openxmlformats.org/officeDocument/2006/relationships/hyperlink" Target="http://www.linkedin.com/in/alban-d-orsetti-174b76145" TargetMode="External"/><Relationship  Id="rId1622" Type="http://schemas.openxmlformats.org/officeDocument/2006/relationships/hyperlink" Target="http://www.linkedin.com/in/beno%c3%aet-piante-95906286" TargetMode="External"/><Relationship  Id="rId1623" Type="http://schemas.openxmlformats.org/officeDocument/2006/relationships/hyperlink" Target="http://www.bonaloi.com" TargetMode="External"/><Relationship  Id="rId1624" Type="http://schemas.openxmlformats.org/officeDocument/2006/relationships/hyperlink" Target="http://www.linkedin.com/in/xavier-chacun-67b7b3195" TargetMode="External"/><Relationship  Id="rId1625" Type="http://schemas.openxmlformats.org/officeDocument/2006/relationships/hyperlink" Target="http://www.arzelmanagement.com" TargetMode="External"/><Relationship  Id="rId1626" Type="http://schemas.openxmlformats.org/officeDocument/2006/relationships/hyperlink" Target="http://www.linkedin.com/in/katiadimova" TargetMode="External"/><Relationship  Id="rId1627" Type="http://schemas.openxmlformats.org/officeDocument/2006/relationships/hyperlink" Target="http://www.chateaucoliving.com" TargetMode="External"/><Relationship  Id="rId1628" Type="http://schemas.openxmlformats.org/officeDocument/2006/relationships/hyperlink" Target="http://www.linkedin.com/in/fanny-garret-22943a37" TargetMode="External"/><Relationship  Id="rId1629" Type="http://schemas.openxmlformats.org/officeDocument/2006/relationships/hyperlink" Target="http://www.roncemay.com" TargetMode="External"/><Relationship  Id="rId163" Type="http://schemas.openxmlformats.org/officeDocument/2006/relationships/hyperlink" Target="http://www.the-great-hospitality.com" TargetMode="External"/><Relationship  Id="rId1630" Type="http://schemas.openxmlformats.org/officeDocument/2006/relationships/hyperlink" Target="http://www.linkedin.com/in/olivier-raveyre-971ab513" TargetMode="External"/><Relationship  Id="rId1631" Type="http://schemas.openxmlformats.org/officeDocument/2006/relationships/hyperlink" Target="http://www.residencepinede.com" TargetMode="External"/><Relationship  Id="rId1632" Type="http://schemas.openxmlformats.org/officeDocument/2006/relationships/hyperlink" Target="http://www.linkedin.com/in/valentin-pragassam-92782013a" TargetMode="External"/><Relationship  Id="rId1633" Type="http://schemas.openxmlformats.org/officeDocument/2006/relationships/hyperlink" Target="http://www.oazi.fr" TargetMode="External"/><Relationship  Id="rId1634" Type="http://schemas.openxmlformats.org/officeDocument/2006/relationships/hyperlink" Target="http://www.linkedin.com/in/c%c3%a9line-aubert-671307a4" TargetMode="External"/><Relationship  Id="rId1635" Type="http://schemas.openxmlformats.org/officeDocument/2006/relationships/hyperlink" Target="http://www.blanchisserie-bsc.fr" TargetMode="External"/><Relationship  Id="rId1636" Type="http://schemas.openxmlformats.org/officeDocument/2006/relationships/hyperlink" Target="http://www.linkedin.com/in/jcfournier" TargetMode="External"/><Relationship  Id="rId1637" Type="http://schemas.openxmlformats.org/officeDocument/2006/relationships/hyperlink" Target="http://www.bustronome.com" TargetMode="External"/><Relationship  Id="rId1638" Type="http://schemas.openxmlformats.org/officeDocument/2006/relationships/hyperlink" Target="http://www.linkedin.com/in/jeremy-coste-1b3889190" TargetMode="External"/><Relationship  Id="rId1639" Type="http://schemas.openxmlformats.org/officeDocument/2006/relationships/hyperlink" Target="http://www.bvcgroup.co.uk" TargetMode="External"/><Relationship  Id="rId164" Type="http://schemas.openxmlformats.org/officeDocument/2006/relationships/hyperlink" Target="http://www.linkedin.com/in/maxime-desjardin-3648441b3" TargetMode="External"/><Relationship  Id="rId1640" Type="http://schemas.openxmlformats.org/officeDocument/2006/relationships/hyperlink" Target="http://www.linkedin.com/in/guillaume-fayard-89174728" TargetMode="External"/><Relationship  Id="rId1641" Type="http://schemas.openxmlformats.org/officeDocument/2006/relationships/hyperlink" Target="http://www.prismellc.com" TargetMode="External"/><Relationship  Id="rId1642" Type="http://schemas.openxmlformats.org/officeDocument/2006/relationships/hyperlink" Target="http://www.linkedin.com/in/sophie-desmazieres" TargetMode="External"/><Relationship  Id="rId1643" Type="http://schemas.openxmlformats.org/officeDocument/2006/relationships/hyperlink" Target="http://www.linkedin.com/in/pierre-cluizel-1432b72b" TargetMode="External"/><Relationship  Id="rId1644" Type="http://schemas.openxmlformats.org/officeDocument/2006/relationships/hyperlink" Target="http://www.udap.online" TargetMode="External"/><Relationship  Id="rId1645" Type="http://schemas.openxmlformats.org/officeDocument/2006/relationships/hyperlink" Target="http://www.linkedin.com/in/christophe-claudel-86877" TargetMode="External"/><Relationship  Id="rId1646" Type="http://schemas.openxmlformats.org/officeDocument/2006/relationships/hyperlink" Target="http://www.linkedin.com/in/aurore-chevry-moreau-b9b886112" TargetMode="External"/><Relationship  Id="rId1647" Type="http://schemas.openxmlformats.org/officeDocument/2006/relationships/hyperlink" Target="http://www.c2-hotel.com" TargetMode="External"/><Relationship  Id="rId1648" Type="http://schemas.openxmlformats.org/officeDocument/2006/relationships/hyperlink" Target="http://www.linkedin.com/in/marc-perry-232677127" TargetMode="External"/><Relationship  Id="rId1649" Type="http://schemas.openxmlformats.org/officeDocument/2006/relationships/hyperlink" Target="http://www.ohvincoeur.fr" TargetMode="External"/><Relationship  Id="rId165" Type="http://schemas.openxmlformats.org/officeDocument/2006/relationships/hyperlink" Target="http://www.lekiosque.family" TargetMode="External"/><Relationship  Id="rId1650" Type="http://schemas.openxmlformats.org/officeDocument/2006/relationships/hyperlink" Target="http://www.linkedin.com/in/suresh-mojito-78a7451b4" TargetMode="External"/><Relationship  Id="rId1651" Type="http://schemas.openxmlformats.org/officeDocument/2006/relationships/hyperlink" Target="http://www.cubacompagnie.com" TargetMode="External"/><Relationship  Id="rId1652" Type="http://schemas.openxmlformats.org/officeDocument/2006/relationships/hyperlink" Target="http://arownd.me" TargetMode="External"/><Relationship  Id="rId1653" Type="http://schemas.openxmlformats.org/officeDocument/2006/relationships/hyperlink" Target="http://www.linkedin.com/in/stan-udovitch-749345187" TargetMode="External"/><Relationship  Id="rId1654" Type="http://schemas.openxmlformats.org/officeDocument/2006/relationships/hyperlink" Target="http://www.justay.fr" TargetMode="External"/><Relationship  Id="rId1655" Type="http://schemas.openxmlformats.org/officeDocument/2006/relationships/hyperlink" Target="http://www.linkedin.com/in/evgeny-shpak-89424a19b" TargetMode="External"/><Relationship  Id="rId1656" Type="http://schemas.openxmlformats.org/officeDocument/2006/relationships/hyperlink" Target="http://www.starling-burgers.com" TargetMode="External"/><Relationship  Id="rId1657" Type="http://schemas.openxmlformats.org/officeDocument/2006/relationships/hyperlink" Target="http://www.linkedin.com/in/jallerat-nathalie-12541168" TargetMode="External"/><Relationship  Id="rId1658" Type="http://schemas.openxmlformats.org/officeDocument/2006/relationships/hyperlink" Target="http://www.linkedin.com/in/sabine-masse-23070526" TargetMode="External"/><Relationship  Id="rId1659" Type="http://schemas.openxmlformats.org/officeDocument/2006/relationships/hyperlink" Target="http://www.maison-masse.com" TargetMode="External"/><Relationship  Id="rId166" Type="http://schemas.openxmlformats.org/officeDocument/2006/relationships/hyperlink" Target="http://www.linkedin.com/in/olivia-zarka-882488141" TargetMode="External"/><Relationship  Id="rId1660" Type="http://schemas.openxmlformats.org/officeDocument/2006/relationships/hyperlink" Target="http://www.linkedin.com/in/tobias-chaix-80b9382a8" TargetMode="External"/><Relationship  Id="rId1661" Type="http://schemas.openxmlformats.org/officeDocument/2006/relationships/hyperlink" Target="http://www.indiegroup.fr" TargetMode="External"/><Relationship  Id="rId1662" Type="http://schemas.openxmlformats.org/officeDocument/2006/relationships/hyperlink" Target="http://www.linkedin.com/in/alain-sabatier-208a172a" TargetMode="External"/><Relationship  Id="rId1663" Type="http://schemas.openxmlformats.org/officeDocument/2006/relationships/hyperlink" Target="http://www.les3lieux.com" TargetMode="External"/><Relationship  Id="rId1664" Type="http://schemas.openxmlformats.org/officeDocument/2006/relationships/hyperlink" Target="http://www.linkedin.com/in/isabelle-yung-lafargue-134985" TargetMode="External"/><Relationship  Id="rId1665" Type="http://schemas.openxmlformats.org/officeDocument/2006/relationships/hyperlink" Target="http://www.hankrestaurant.com" TargetMode="External"/><Relationship  Id="rId1666" Type="http://schemas.openxmlformats.org/officeDocument/2006/relationships/hyperlink" Target="http://www.linkedin.com/in/louis-pr%c3%a9zelin-32913bb3" TargetMode="External"/><Relationship  Id="rId1667" Type="http://schemas.openxmlformats.org/officeDocument/2006/relationships/hyperlink" Target="http://www.frerestoque.fr" TargetMode="External"/><Relationship  Id="rId1668" Type="http://schemas.openxmlformats.org/officeDocument/2006/relationships/hyperlink" Target="http://www.linkedin.com/in/lydia-desbois-41188a170" TargetMode="External"/><Relationship  Id="rId1669" Type="http://schemas.openxmlformats.org/officeDocument/2006/relationships/hyperlink" Target="http://www.empreinte-hotel.com" TargetMode="External"/><Relationship  Id="rId167" Type="http://schemas.openxmlformats.org/officeDocument/2006/relationships/hyperlink" Target="http://www.mymaisoninparis.com" TargetMode="External"/><Relationship  Id="rId1670" Type="http://schemas.openxmlformats.org/officeDocument/2006/relationships/hyperlink" Target="http://www.linkedin.com/in/s%c3%a9bastien-bras-54043324b" TargetMode="External"/><Relationship  Id="rId1671" Type="http://schemas.openxmlformats.org/officeDocument/2006/relationships/hyperlink" Target="http://www.bras.fr" TargetMode="External"/><Relationship  Id="rId1672" Type="http://schemas.openxmlformats.org/officeDocument/2006/relationships/hyperlink" Target="http://www.linkedin.com/in/webbretagne" TargetMode="External"/><Relationship  Id="rId1673" Type="http://schemas.openxmlformats.org/officeDocument/2006/relationships/hyperlink" Target="http://www.digitalchr.fr" TargetMode="External"/><Relationship  Id="rId1674" Type="http://schemas.openxmlformats.org/officeDocument/2006/relationships/hyperlink" Target="http://www.linkedin.com/in/arnaud-lacoste-%f0%9f%90%8a-5b521a121" TargetMode="External"/><Relationship  Id="rId1675" Type="http://schemas.openxmlformats.org/officeDocument/2006/relationships/hyperlink" Target="http://www.linkedin.com/in/charles-r%c3%a9tif-546288272" TargetMode="External"/><Relationship  Id="rId1676" Type="http://schemas.openxmlformats.org/officeDocument/2006/relationships/hyperlink" Target="http://www.wavefoody.com" TargetMode="External"/><Relationship  Id="rId1677" Type="http://schemas.openxmlformats.org/officeDocument/2006/relationships/hyperlink" Target="http://www.linkedin.com/in/pascal-martin-0b1439174" TargetMode="External"/><Relationship  Id="rId1678" Type="http://schemas.openxmlformats.org/officeDocument/2006/relationships/hyperlink" Target="http://www.linkedin.com/in/laurence-gad-b991a1226" TargetMode="External"/><Relationship  Id="rId1679" Type="http://schemas.openxmlformats.org/officeDocument/2006/relationships/hyperlink" Target="http://www.seritel.pt" TargetMode="External"/><Relationship  Id="rId168" Type="http://schemas.openxmlformats.org/officeDocument/2006/relationships/hyperlink" Target="http://www.linkedin.com/in/quentin-pandelle-6b6976b4" TargetMode="External"/><Relationship  Id="rId1680" Type="http://schemas.openxmlformats.org/officeDocument/2006/relationships/hyperlink" Target="http://www.linkedin.com/in/j%c3%a9r%c3%b4me-piroulas-b92426111" TargetMode="External"/><Relationship  Id="rId1681" Type="http://schemas.openxmlformats.org/officeDocument/2006/relationships/hyperlink" Target="http://www.hotel-la-clef-des-chateaux.fr" TargetMode="External"/><Relationship  Id="rId1682" Type="http://schemas.openxmlformats.org/officeDocument/2006/relationships/hyperlink" Target="http://www.linkedin.com/in/nathaniel-auda-06a75b10" TargetMode="External"/><Relationship  Id="rId1683" Type="http://schemas.openxmlformats.org/officeDocument/2006/relationships/hyperlink" Target="http://www.grandmabehrendt.com" TargetMode="External"/><Relationship  Id="rId1684" Type="http://schemas.openxmlformats.org/officeDocument/2006/relationships/hyperlink" Target="http://www.linkedin.com/in/olivier-mouton-88682882" TargetMode="External"/><Relationship  Id="rId1685" Type="http://schemas.openxmlformats.org/officeDocument/2006/relationships/hyperlink" Target="https://vinom.fr" TargetMode="External"/><Relationship  Id="rId1686" Type="http://schemas.openxmlformats.org/officeDocument/2006/relationships/hyperlink" Target="http://www.linkedin.com/in/borisleduc" TargetMode="External"/><Relationship  Id="rId1687" Type="http://schemas.openxmlformats.org/officeDocument/2006/relationships/hyperlink" Target="https://kellydeli.com" TargetMode="External"/><Relationship  Id="rId1688" Type="http://schemas.openxmlformats.org/officeDocument/2006/relationships/hyperlink" Target="http://www.linkedin.com/in/oliver-schneider14071977" TargetMode="External"/><Relationship  Id="rId1689" Type="http://schemas.openxmlformats.org/officeDocument/2006/relationships/hyperlink" Target="https://continentalserves.com" TargetMode="External"/><Relationship  Id="rId169" Type="http://schemas.openxmlformats.org/officeDocument/2006/relationships/hyperlink" Target="http://www.fuso.net" TargetMode="External"/><Relationship  Id="rId1690" Type="http://schemas.openxmlformats.org/officeDocument/2006/relationships/hyperlink" Target="http://www.linkedin.com/in/didier-juvin-556011a3" TargetMode="External"/><Relationship  Id="rId1691" Type="http://schemas.openxmlformats.org/officeDocument/2006/relationships/hyperlink" Target="https://mdcv.fr" TargetMode="External"/><Relationship  Id="rId1692" Type="http://schemas.openxmlformats.org/officeDocument/2006/relationships/hyperlink" Target="http://www.linkedin.com/in/fr%c3%a9d%c3%a9ric-chazeau-66055912a" TargetMode="External"/><Relationship  Id="rId1693" Type="http://schemas.openxmlformats.org/officeDocument/2006/relationships/hyperlink" Target="https://compagniedesdesserts.com" TargetMode="External"/><Relationship  Id="rId1694" Type="http://schemas.openxmlformats.org/officeDocument/2006/relationships/hyperlink" Target="http://www.linkedin.com/in/sylvain-bertrand-b65a2b82" TargetMode="External"/><Relationship  Id="rId1695" Type="http://schemas.openxmlformats.org/officeDocument/2006/relationships/hyperlink" Target="http://www.linkedin.com/in/alexi-faure-283436135" TargetMode="External"/><Relationship  Id="rId1696" Type="http://schemas.openxmlformats.org/officeDocument/2006/relationships/hyperlink" Target="https://inbed.fr" TargetMode="External"/><Relationship  Id="rId1697" Type="http://schemas.openxmlformats.org/officeDocument/2006/relationships/hyperlink" Target="http://www.linkedin.com/in/charleslebaud" TargetMode="External"/><Relationship  Id="rId1698" Type="http://schemas.openxmlformats.org/officeDocument/2006/relationships/hyperlink" Target="https://naeco.bzh" TargetMode="External"/><Relationship  Id="rId1699" Type="http://schemas.openxmlformats.org/officeDocument/2006/relationships/hyperlink" Target="http://www.linkedin.com/in/christophe-cervera-4ba05439" TargetMode="External"/><Relationship  Id="rId17" Type="http://schemas.openxmlformats.org/officeDocument/2006/relationships/hyperlink" Target="http://www.linkedin.com/in/antoine-fesson-14456b23" TargetMode="External"/><Relationship  Id="rId170" Type="http://schemas.openxmlformats.org/officeDocument/2006/relationships/hyperlink" Target="http://www.linkedin.com/in/line-diquattro-%f0%9f%8c%8d-94559524" TargetMode="External"/><Relationship  Id="rId1700" Type="http://schemas.openxmlformats.org/officeDocument/2006/relationships/hyperlink" Target="https://saintjames-hotel.fr" TargetMode="External"/><Relationship  Id="rId1701" Type="http://schemas.openxmlformats.org/officeDocument/2006/relationships/hyperlink" Target="http://www.linkedin.com/in/cl%c3%a9ment-joubert-111a33148" TargetMode="External"/><Relationship  Id="rId1702" Type="http://schemas.openxmlformats.org/officeDocument/2006/relationships/hyperlink" Target="https://carrehotels.com" TargetMode="External"/><Relationship  Id="rId1703" Type="http://schemas.openxmlformats.org/officeDocument/2006/relationships/hyperlink" Target="http://www.linkedin.com/in/david-robin-9116a011" TargetMode="External"/><Relationship  Id="rId1704" Type="http://schemas.openxmlformats.org/officeDocument/2006/relationships/hyperlink" Target="https://agencewebcom.com" TargetMode="External"/><Relationship  Id="rId1705" Type="http://schemas.openxmlformats.org/officeDocument/2006/relationships/hyperlink" Target="http://www.linkedin.com/in/camille-chevillard-%f0%9f%8f%a8-80571940" TargetMode="External"/><Relationship  Id="rId1706" Type="http://schemas.openxmlformats.org/officeDocument/2006/relationships/hyperlink" Target="https://lespalaisdutrocadero.fr" TargetMode="External"/><Relationship  Id="rId1707" Type="http://schemas.openxmlformats.org/officeDocument/2006/relationships/hyperlink" Target="http://www.linkedin.com/in/elena-tharaud-2596b21a3" TargetMode="External"/><Relationship  Id="rId1708" Type="http://schemas.openxmlformats.org/officeDocument/2006/relationships/hyperlink" Target="https://bestwestern-richelieu-limoges.com" TargetMode="External"/><Relationship  Id="rId1709" Type="http://schemas.openxmlformats.org/officeDocument/2006/relationships/hyperlink" Target="http://www.linkedin.com/in/eric-pingat-propertyandhospitality" TargetMode="External"/><Relationship  Id="rId171" Type="http://schemas.openxmlformats.org/officeDocument/2006/relationships/hyperlink" Target="http://www.cis-lyon.com" TargetMode="External"/><Relationship  Id="rId1710" Type="http://schemas.openxmlformats.org/officeDocument/2006/relationships/hyperlink" Target="https://lacasernechanzy.com" TargetMode="External"/><Relationship  Id="rId1711" Type="http://schemas.openxmlformats.org/officeDocument/2006/relationships/hyperlink" Target="http://www.linkedin.com/in/eric-reveillere-3b648712a" TargetMode="External"/><Relationship  Id="rId1712" Type="http://schemas.openxmlformats.org/officeDocument/2006/relationships/hyperlink" Target="https://europacamp.com" TargetMode="External"/><Relationship  Id="rId1713" Type="http://schemas.openxmlformats.org/officeDocument/2006/relationships/hyperlink" Target="http://www.linkedin.com/in/fran%c3%a7ois-griveau-3a43b6169" TargetMode="External"/><Relationship  Id="rId1714" Type="http://schemas.openxmlformats.org/officeDocument/2006/relationships/hyperlink" Target="https://jardinsdelanjou.fr" TargetMode="External"/><Relationship  Id="rId1715" Type="http://schemas.openxmlformats.org/officeDocument/2006/relationships/hyperlink" Target="http://www.linkedin.com/in/justine-giove-9a8a3227" TargetMode="External"/><Relationship  Id="rId1716" Type="http://schemas.openxmlformats.org/officeDocument/2006/relationships/hyperlink" Target="https://ajustconseil.com" TargetMode="External"/><Relationship  Id="rId1717" Type="http://schemas.openxmlformats.org/officeDocument/2006/relationships/hyperlink" Target="http://www.linkedin.com/in/magalionline" TargetMode="External"/><Relationship  Id="rId1718" Type="http://schemas.openxmlformats.org/officeDocument/2006/relationships/hyperlink" Target="https://bedycasa.com" TargetMode="External"/><Relationship  Id="rId1719" Type="http://schemas.openxmlformats.org/officeDocument/2006/relationships/hyperlink" Target="http://www.linkedin.com/in/maxime-lefebvre-8b1673b2" TargetMode="External"/><Relationship  Id="rId172" Type="http://schemas.openxmlformats.org/officeDocument/2006/relationships/hyperlink" Target="http://www.linkedin.com/in/matthieu-mancel-jegat-619b4b1a1" TargetMode="External"/><Relationship  Id="rId1720" Type="http://schemas.openxmlformats.org/officeDocument/2006/relationships/hyperlink" Target="https://quintessia.fr" TargetMode="External"/><Relationship  Id="rId1721" Type="http://schemas.openxmlformats.org/officeDocument/2006/relationships/hyperlink" Target="http://www.linkedin.com/in/maxime-meunier-72a91a1ba" TargetMode="External"/><Relationship  Id="rId1722" Type="http://schemas.openxmlformats.org/officeDocument/2006/relationships/hyperlink" Target="http://www.linkedin.com/in/marilyne-nunge-614629a4" TargetMode="External"/><Relationship  Id="rId1723" Type="http://schemas.openxmlformats.org/officeDocument/2006/relationships/hyperlink" Target="https://7hotel.fr" TargetMode="External"/><Relationship  Id="rId1724" Type="http://schemas.openxmlformats.org/officeDocument/2006/relationships/hyperlink" Target="http://www.linkedin.com/in/omaisonnasse" TargetMode="External"/><Relationship  Id="rId1725" Type="http://schemas.openxmlformats.org/officeDocument/2006/relationships/hyperlink" Target="https://groupe-hotelo.com" TargetMode="External"/><Relationship  Id="rId1726" Type="http://schemas.openxmlformats.org/officeDocument/2006/relationships/hyperlink" Target="http://www.linkedin.com/in/olivier-walti-4192a1ba" TargetMode="External"/><Relationship  Id="rId1727" Type="http://schemas.openxmlformats.org/officeDocument/2006/relationships/hyperlink" Target="https://hotel-marotte.com" TargetMode="External"/><Relationship  Id="rId1728" Type="http://schemas.openxmlformats.org/officeDocument/2006/relationships/hyperlink" Target="http://www.linkedin.com/in/patrick-vinuales-a13a89105" TargetMode="External"/><Relationship  Id="rId1729" Type="http://schemas.openxmlformats.org/officeDocument/2006/relationships/hyperlink" Target="https://hotelsvinuales.com" TargetMode="External"/><Relationship  Id="rId173" Type="http://schemas.openxmlformats.org/officeDocument/2006/relationships/hyperlink" Target="http://www.le-roof.com" TargetMode="External"/><Relationship  Id="rId1730" Type="http://schemas.openxmlformats.org/officeDocument/2006/relationships/hyperlink" Target="http://www.linkedin.com/in/romain-dauzet-3b200424b" TargetMode="External"/><Relationship  Id="rId1731" Type="http://schemas.openxmlformats.org/officeDocument/2006/relationships/hyperlink" Target="https://hotel-max.fr" TargetMode="External"/><Relationship  Id="rId1732" Type="http://schemas.openxmlformats.org/officeDocument/2006/relationships/hyperlink" Target="http://www.linkedin.com/in/boulenger-valerie-b7aaa1147" TargetMode="External"/><Relationship  Id="rId1733" Type="http://schemas.openxmlformats.org/officeDocument/2006/relationships/hyperlink" Target="https://hotellesbarmes.com" TargetMode="External"/><Relationship  Id="rId1734" Type="http://schemas.openxmlformats.org/officeDocument/2006/relationships/hyperlink" Target="http://www.linkedin.com/in/frederickgers" TargetMode="External"/><Relationship  Id="rId1735" Type="http://schemas.openxmlformats.org/officeDocument/2006/relationships/hyperlink" Target="https://campings-paradis.com" TargetMode="External"/><Relationship  Id="rId1736" Type="http://schemas.openxmlformats.org/officeDocument/2006/relationships/hyperlink" Target="http://www.linkedin.com/in/adrienne-giraud-6555aa6a" TargetMode="External"/><Relationship  Id="rId1737" Type="http://schemas.openxmlformats.org/officeDocument/2006/relationships/hyperlink" Target="https://tribehotels.com" TargetMode="External"/><Relationship  Id="rId1738" Type="http://schemas.openxmlformats.org/officeDocument/2006/relationships/hyperlink" Target="http://www.linkedin.com/in/anthonyhamet" TargetMode="External"/><Relationship  Id="rId1739" Type="http://schemas.openxmlformats.org/officeDocument/2006/relationships/hyperlink" Target="https://evokcollection.com" TargetMode="External"/><Relationship  Id="rId174" Type="http://schemas.openxmlformats.org/officeDocument/2006/relationships/hyperlink" Target="http://www.linkedin.com/in/c%c3%a9dric-janvier-69013a68" TargetMode="External"/><Relationship  Id="rId1740" Type="http://schemas.openxmlformats.org/officeDocument/2006/relationships/hyperlink" Target="http://www.linkedin.com/in/anthony-houette-24272433" TargetMode="External"/><Relationship  Id="rId1741" Type="http://schemas.openxmlformats.org/officeDocument/2006/relationships/hyperlink" Target="https://chaismonnethotel.com" TargetMode="External"/><Relationship  Id="rId1742" Type="http://schemas.openxmlformats.org/officeDocument/2006/relationships/hyperlink" Target="http://www.linkedin.com/in/alexandra-libes-382157100" TargetMode="External"/><Relationship  Id="rId1743" Type="http://schemas.openxmlformats.org/officeDocument/2006/relationships/hyperlink" Target="http://www.bwh.com" TargetMode="External"/><Relationship  Id="rId1744" Type="http://schemas.openxmlformats.org/officeDocument/2006/relationships/hyperlink" Target="http://www.linkedin.com/in/alicehoffmanncordon" TargetMode="External"/><Relationship  Id="rId1745" Type="http://schemas.openxmlformats.org/officeDocument/2006/relationships/hyperlink" Target="https://entegraps.com" TargetMode="External"/><Relationship  Id="rId1746" Type="http://schemas.openxmlformats.org/officeDocument/2006/relationships/hyperlink" Target="http://www.linkedin.com/in/andreea-moisuc-67674436" TargetMode="External"/><Relationship  Id="rId1747" Type="http://schemas.openxmlformats.org/officeDocument/2006/relationships/hyperlink" Target="https://assas-hotels.com" TargetMode="External"/><Relationship  Id="rId1748" Type="http://schemas.openxmlformats.org/officeDocument/2006/relationships/hyperlink" Target="https://hotel-fauchon-paris.fr" TargetMode="External"/><Relationship  Id="rId1749" Type="http://schemas.openxmlformats.org/officeDocument/2006/relationships/hyperlink" Target="http://www.linkedin.com/in/anne-jousse-86736014" TargetMode="External"/><Relationship  Id="rId175" Type="http://schemas.openxmlformats.org/officeDocument/2006/relationships/hyperlink" Target="http://www.hotel-de-seze.com" TargetMode="External"/><Relationship  Id="rId1750" Type="http://schemas.openxmlformats.org/officeDocument/2006/relationships/hyperlink" Target="https://bsignaturehotels.com" TargetMode="External"/><Relationship  Id="rId1751" Type="http://schemas.openxmlformats.org/officeDocument/2006/relationships/hyperlink" Target="http://www.linkedin.com/in/antoine-m-03029046" TargetMode="External"/><Relationship  Id="rId1752" Type="http://schemas.openxmlformats.org/officeDocument/2006/relationships/hyperlink" Target="https://lafoliedoucehotels.com" TargetMode="External"/><Relationship  Id="rId1753" Type="http://schemas.openxmlformats.org/officeDocument/2006/relationships/hyperlink" Target="http://www.linkedin.com/in/antoine-valtat-6a84a29b" TargetMode="External"/><Relationship  Id="rId1754" Type="http://schemas.openxmlformats.org/officeDocument/2006/relationships/hyperlink" Target="https://greengo.voyage" TargetMode="External"/><Relationship  Id="rId1755" Type="http://schemas.openxmlformats.org/officeDocument/2006/relationships/hyperlink" Target="http://www.linkedin.com/in/arnaudvalary" TargetMode="External"/><Relationship  Id="rId1756" Type="http://schemas.openxmlformats.org/officeDocument/2006/relationships/hyperlink" Target="https://lescrayeres.com" TargetMode="External"/><Relationship  Id="rId1757" Type="http://schemas.openxmlformats.org/officeDocument/2006/relationships/hyperlink" Target="http://www.linkedin.com/in/arnaud-viotte" TargetMode="External"/><Relationship  Id="rId1758" Type="http://schemas.openxmlformats.org/officeDocument/2006/relationships/hyperlink" Target="https://etincelles.com" TargetMode="External"/><Relationship  Id="rId1759" Type="http://schemas.openxmlformats.org/officeDocument/2006/relationships/hyperlink" Target="http://www.linkedin.com/in/aurore-franquin-5126579" TargetMode="External"/><Relationship  Id="rId176" Type="http://schemas.openxmlformats.org/officeDocument/2006/relationships/hyperlink" Target="http://www.linkedin.com/in/alexis-camps-474358139" TargetMode="External"/><Relationship  Id="rId1760" Type="http://schemas.openxmlformats.org/officeDocument/2006/relationships/hyperlink" Target="https://toohotel.com" TargetMode="External"/><Relationship  Id="rId1761" Type="http://schemas.openxmlformats.org/officeDocument/2006/relationships/hyperlink" Target="http://www.linkedin.com/in/aziz-temimi-9135681a" TargetMode="External"/><Relationship  Id="rId1762" Type="http://schemas.openxmlformats.org/officeDocument/2006/relationships/hyperlink" Target="https://maisonmere.co" TargetMode="External"/><Relationship  Id="rId1763" Type="http://schemas.openxmlformats.org/officeDocument/2006/relationships/hyperlink" Target="http://www.linkedin.com/in/baptiste-dedeler-111351a7" TargetMode="External"/><Relationship  Id="rId1764" Type="http://schemas.openxmlformats.org/officeDocument/2006/relationships/hyperlink" Target="https://bestwestern.fr" TargetMode="External"/><Relationship  Id="rId1765" Type="http://schemas.openxmlformats.org/officeDocument/2006/relationships/hyperlink" Target="http://www.linkedin.com/in/brice-delclos-41412431" TargetMode="External"/><Relationship  Id="rId1766" Type="http://schemas.openxmlformats.org/officeDocument/2006/relationships/hyperlink" Target="https://hoteldeparis-sainttropez.com" TargetMode="External"/><Relationship  Id="rId1767" Type="http://schemas.openxmlformats.org/officeDocument/2006/relationships/hyperlink" Target="http://www.linkedin.com/in/beatrice-schopflin-868a5684" TargetMode="External"/><Relationship  Id="rId1768" Type="http://schemas.openxmlformats.org/officeDocument/2006/relationships/hyperlink" Target="https://sofitel-paris-lefaubourg.com" TargetMode="External"/><Relationship  Id="rId1769" Type="http://schemas.openxmlformats.org/officeDocument/2006/relationships/hyperlink" Target="http://www.linkedin.com/in/bruno-mercadal-b421ab1" TargetMode="External"/><Relationship  Id="rId177" Type="http://schemas.openxmlformats.org/officeDocument/2006/relationships/hyperlink" Target="http://www.maryscoffeeshop.fr" TargetMode="External"/><Relationship  Id="rId1770" Type="http://schemas.openxmlformats.org/officeDocument/2006/relationships/hyperlink" Target="https://royal-riviera.com" TargetMode="External"/><Relationship  Id="rId1771" Type="http://schemas.openxmlformats.org/officeDocument/2006/relationships/hyperlink" Target="http://www.linkedin.com/in/christophe-delmoy-11343168" TargetMode="External"/><Relationship  Id="rId1772" Type="http://schemas.openxmlformats.org/officeDocument/2006/relationships/hyperlink" Target="https://grape-hospitality.com" TargetMode="External"/><Relationship  Id="rId1773" Type="http://schemas.openxmlformats.org/officeDocument/2006/relationships/hyperlink" Target="http://www.linkedin.com/in/catherine-duvot-cohen-451b5422" TargetMode="External"/><Relationship  Id="rId1774" Type="http://schemas.openxmlformats.org/officeDocument/2006/relationships/hyperlink" Target="https://inwood-hotels.com" TargetMode="External"/><Relationship  Id="rId1775" Type="http://schemas.openxmlformats.org/officeDocument/2006/relationships/hyperlink" Target="http://www.linkedin.com/in/c%c3%a9cile-massias-a3b32021" TargetMode="External"/><Relationship  Id="rId1776" Type="http://schemas.openxmlformats.org/officeDocument/2006/relationships/hyperlink" Target="https://mobhotel.com" TargetMode="External"/><Relationship  Id="rId1777" Type="http://schemas.openxmlformats.org/officeDocument/2006/relationships/hyperlink" Target="http://www.linkedin.com/in/celia-gumbau-serra-9200ab279" TargetMode="External"/><Relationship  Id="rId1778" Type="http://schemas.openxmlformats.org/officeDocument/2006/relationships/hyperlink" Target="https://nikkibeach.com" TargetMode="External"/><Relationship  Id="rId1779" Type="http://schemas.openxmlformats.org/officeDocument/2006/relationships/hyperlink" Target="http://www.linkedin.com/in/c%c3%a9line-miecaze-69451026" TargetMode="External"/><Relationship  Id="rId178" Type="http://schemas.openxmlformats.org/officeDocument/2006/relationships/hyperlink" Target="http://www.linkedin.com/in/c%c3%b4me-pierquet-193a58140" TargetMode="External"/><Relationship  Id="rId1780" Type="http://schemas.openxmlformats.org/officeDocument/2006/relationships/hyperlink" Target="https://millesime-collection.com" TargetMode="External"/><Relationship  Id="rId1781" Type="http://schemas.openxmlformats.org/officeDocument/2006/relationships/hyperlink" Target="http://www.linkedin.com/in/charles-edouard-girard-3093a025" TargetMode="External"/><Relationship  Id="rId1782" Type="http://schemas.openxmlformats.org/officeDocument/2006/relationships/hyperlink" Target="https://homeexchange.com" TargetMode="External"/><Relationship  Id="rId1783" Type="http://schemas.openxmlformats.org/officeDocument/2006/relationships/hyperlink" Target="https://welcomehotel.com" TargetMode="External"/><Relationship  Id="rId1784" Type="http://schemas.openxmlformats.org/officeDocument/2006/relationships/hyperlink" Target="http://www.linkedin.com/in/christian-cordier-03778073" TargetMode="External"/><Relationship  Id="rId1785" Type="http://schemas.openxmlformats.org/officeDocument/2006/relationships/hyperlink" Target="https://odesia-vacances.com" TargetMode="External"/><Relationship  Id="rId1786" Type="http://schemas.openxmlformats.org/officeDocument/2006/relationships/hyperlink" Target="http://www.linkedin.com/in/christophe-pomarede-7b273b68" TargetMode="External"/><Relationship  Id="rId1787" Type="http://schemas.openxmlformats.org/officeDocument/2006/relationships/hyperlink" Target="https://accor.com" TargetMode="External"/><Relationship  Id="rId1788" Type="http://schemas.openxmlformats.org/officeDocument/2006/relationships/hyperlink" Target="http://www.linkedin.com/in/clementrenault" TargetMode="External"/><Relationship  Id="rId1789" Type="http://schemas.openxmlformats.org/officeDocument/2006/relationships/hyperlink" Target="https://guest-house.co" TargetMode="External"/><Relationship  Id="rId179" Type="http://schemas.openxmlformats.org/officeDocument/2006/relationships/hyperlink" Target="http://www.lechalonge.com" TargetMode="External"/><Relationship  Id="rId1790" Type="http://schemas.openxmlformats.org/officeDocument/2006/relationships/hyperlink" Target="http://www.linkedin.com/in/david-sierra-673087169" TargetMode="External"/><Relationship  Id="rId1791" Type="http://schemas.openxmlformats.org/officeDocument/2006/relationships/hyperlink" Target="https://terroubi.com" TargetMode="External"/><Relationship  Id="rId1792" Type="http://schemas.openxmlformats.org/officeDocument/2006/relationships/hyperlink" Target="http://www.linkedin.com/in/damien-duval-155a9a33" TargetMode="External"/><Relationship  Id="rId1793" Type="http://schemas.openxmlformats.org/officeDocument/2006/relationships/hyperlink" Target="https://capfrance-vacances.com" TargetMode="External"/><Relationship  Id="rId1794" Type="http://schemas.openxmlformats.org/officeDocument/2006/relationships/hyperlink" Target="http://www.linkedin.com/in/david-bynau-313683b7" TargetMode="External"/><Relationship  Id="rId1795" Type="http://schemas.openxmlformats.org/officeDocument/2006/relationships/hyperlink" Target="http://dayuse.com" TargetMode="External"/><Relationship  Id="rId1796" Type="http://schemas.openxmlformats.org/officeDocument/2006/relationships/hyperlink" Target="http://www.linkedin.com/in/david-leb%c3%a9e-88530a8a" TargetMode="External"/><Relationship  Id="rId1797" Type="http://schemas.openxmlformats.org/officeDocument/2006/relationships/hyperlink" Target="https://dayuse.com" TargetMode="External"/><Relationship  Id="rId1798" Type="http://schemas.openxmlformats.org/officeDocument/2006/relationships/hyperlink" Target="http://www.linkedin.com/in/santa-canarelli-640a0816a" TargetMode="External"/><Relationship  Id="rId1799" Type="http://schemas.openxmlformats.org/officeDocument/2006/relationships/hyperlink" Target="https://murtoli.com" TargetMode="External"/><Relationship  Id="rId18" Type="http://schemas.openxmlformats.org/officeDocument/2006/relationships/hyperlink" Target="http://www.parenthese-tinyhouse.fr" TargetMode="External"/><Relationship  Id="rId180" Type="http://schemas.openxmlformats.org/officeDocument/2006/relationships/hyperlink" Target="http://www.linkedin.com/in/alexis-quemin" TargetMode="External"/><Relationship  Id="rId1800" Type="http://schemas.openxmlformats.org/officeDocument/2006/relationships/hyperlink" Target="http://www.linkedin.com/in/sylvie-dubreuil-98501116a" TargetMode="External"/><Relationship  Id="rId1801" Type="http://schemas.openxmlformats.org/officeDocument/2006/relationships/hyperlink" Target="https://hotel-coteouest.com" TargetMode="External"/><Relationship  Id="rId1802" Type="http://schemas.openxmlformats.org/officeDocument/2006/relationships/hyperlink" Target="http://www.linkedin.com/in/emmanuel-blanchemanche-7242749" TargetMode="External"/><Relationship  Id="rId1803" Type="http://schemas.openxmlformats.org/officeDocument/2006/relationships/hyperlink" Target="https://roches-blanches-cassis.com" TargetMode="External"/><Relationship  Id="rId1804" Type="http://schemas.openxmlformats.org/officeDocument/2006/relationships/hyperlink" Target="http://www.linkedin.com/in/eric-giorgi-1686a0139" TargetMode="External"/><Relationship  Id="rId1805" Type="http://schemas.openxmlformats.org/officeDocument/2006/relationships/hyperlink" Target="https://arteloge.com" TargetMode="External"/><Relationship  Id="rId1806" Type="http://schemas.openxmlformats.org/officeDocument/2006/relationships/hyperlink" Target="http://www.linkedin.com/in/emmanuel-grelaud-7557b51" TargetMode="External"/><Relationship  Id="rId1807" Type="http://schemas.openxmlformats.org/officeDocument/2006/relationships/hyperlink" Target="https://easilys.com" TargetMode="External"/><Relationship  Id="rId1808" Type="http://schemas.openxmlformats.org/officeDocument/2006/relationships/hyperlink" Target="http://www.linkedin.com/in/emilie-lemarchand-pichard-1a507b82" TargetMode="External"/><Relationship  Id="rId1809" Type="http://schemas.openxmlformats.org/officeDocument/2006/relationships/hyperlink" Target="https://naoshotel.com" TargetMode="External"/><Relationship  Id="rId181" Type="http://schemas.openxmlformats.org/officeDocument/2006/relationships/hyperlink" Target="http://www.eatcala.com" TargetMode="External"/><Relationship  Id="rId1810" Type="http://schemas.openxmlformats.org/officeDocument/2006/relationships/hyperlink" Target="http://www.linkedin.com/in/emmanuelarnaud" TargetMode="External"/><Relationship  Id="rId1811" Type="http://schemas.openxmlformats.org/officeDocument/2006/relationships/hyperlink" Target="http://www.linkedin.com/in/eric-lapierre-16032016" TargetMode="External"/><Relationship  Id="rId1812" Type="http://schemas.openxmlformats.org/officeDocument/2006/relationships/hyperlink" Target="https://vinci-immobilier-institutionnel.com" TargetMode="External"/><Relationship  Id="rId1813" Type="http://schemas.openxmlformats.org/officeDocument/2006/relationships/hyperlink" Target="https://atypio.com" TargetMode="External"/><Relationship  Id="rId1814" Type="http://schemas.openxmlformats.org/officeDocument/2006/relationships/hyperlink" Target="http://www.linkedin.com/in/caudard-fabrice-a118961b1" TargetMode="External"/><Relationship  Id="rId1815" Type="http://schemas.openxmlformats.org/officeDocument/2006/relationships/hyperlink" Target="https://brithotel.fr" TargetMode="External"/><Relationship  Id="rId1816" Type="http://schemas.openxmlformats.org/officeDocument/2006/relationships/hyperlink" Target="http://www.linkedin.com/in/francois-tixier-lacaze" TargetMode="External"/><Relationship  Id="rId1817" Type="http://schemas.openxmlformats.org/officeDocument/2006/relationships/hyperlink" Target="https://maisonspariente.com" TargetMode="External"/><Relationship  Id="rId1818" Type="http://schemas.openxmlformats.org/officeDocument/2006/relationships/hyperlink" Target="http://www.linkedin.com/in/fabrice-perdoncini-03320740" TargetMode="External"/><Relationship  Id="rId1819" Type="http://schemas.openxmlformats.org/officeDocument/2006/relationships/hyperlink" Target="https://gekko-group.com" TargetMode="External"/><Relationship  Id="rId182" Type="http://schemas.openxmlformats.org/officeDocument/2006/relationships/hyperlink" Target="http://www.linkedin.com/in/benjamin-jean-14143852" TargetMode="External"/><Relationship  Id="rId1820" Type="http://schemas.openxmlformats.org/officeDocument/2006/relationships/hyperlink" Target="http://www.linkedin.com/in/f%c3%a9lix-m%c3%a9zi%c3%a8re-72212187" TargetMode="External"/><Relationship  Id="rId1821" Type="http://schemas.openxmlformats.org/officeDocument/2006/relationships/hyperlink" Target="http://www.linkedin.com/in/florencegandon" TargetMode="External"/><Relationship  Id="rId1822" Type="http://schemas.openxmlformats.org/officeDocument/2006/relationships/hyperlink" Target="https://groupe-sogepar-hotels.com" TargetMode="External"/><Relationship  Id="rId1823" Type="http://schemas.openxmlformats.org/officeDocument/2006/relationships/hyperlink" Target="http://www.linkedin.com/in/fadi-khater-85169083" TargetMode="External"/><Relationship  Id="rId1824" Type="http://schemas.openxmlformats.org/officeDocument/2006/relationships/hyperlink" Target="https://accelis.fr" TargetMode="External"/><Relationship  Id="rId1825" Type="http://schemas.openxmlformats.org/officeDocument/2006/relationships/hyperlink" Target="http://www.linkedin.com/in/franck-poncey-71706329" TargetMode="External"/><Relationship  Id="rId1826" Type="http://schemas.openxmlformats.org/officeDocument/2006/relationships/hyperlink" Target="https://sofitel-paris-baltimore.com" TargetMode="External"/><Relationship  Id="rId1827" Type="http://schemas.openxmlformats.org/officeDocument/2006/relationships/hyperlink" Target="http://www.linkedin.com/in/ghislaineblampey" TargetMode="External"/><Relationship  Id="rId1828" Type="http://schemas.openxmlformats.org/officeDocument/2006/relationships/hyperlink" Target="https://hotel-imperial-palace.com" TargetMode="External"/><Relationship  Id="rId1829" Type="http://schemas.openxmlformats.org/officeDocument/2006/relationships/hyperlink" Target="http://www.linkedin.com/in/georges-christos-352b8311b" TargetMode="External"/><Relationship  Id="rId183" Type="http://schemas.openxmlformats.org/officeDocument/2006/relationships/hyperlink" Target="http://www.theroster.fr" TargetMode="External"/><Relationship  Id="rId1830" Type="http://schemas.openxmlformats.org/officeDocument/2006/relationships/hyperlink" Target="http://www.linkedin.com/in/gilda-perez-alvarado-7b5a05" TargetMode="External"/><Relationship  Id="rId1831" Type="http://schemas.openxmlformats.org/officeDocument/2006/relationships/hyperlink" Target="https://orient-express.com" TargetMode="External"/><Relationship  Id="rId1832" Type="http://schemas.openxmlformats.org/officeDocument/2006/relationships/hyperlink" Target="http://www.linkedin.com/in/laurence-giordano-lovera-64933aa" TargetMode="External"/><Relationship  Id="rId1833" Type="http://schemas.openxmlformats.org/officeDocument/2006/relationships/hyperlink" Target="https://fiveseashotel.com" TargetMode="External"/><Relationship  Id="rId1834" Type="http://schemas.openxmlformats.org/officeDocument/2006/relationships/hyperlink" Target="http://www.linkedin.com/in/guy-gerault-5ba762a0" TargetMode="External"/><Relationship  Id="rId1835" Type="http://schemas.openxmlformats.org/officeDocument/2006/relationships/hyperlink" Target="https://sohomahotels.com" TargetMode="External"/><Relationship  Id="rId1836" Type="http://schemas.openxmlformats.org/officeDocument/2006/relationships/hyperlink" Target="http://www.linkedin.com/in/hgauthier" TargetMode="External"/><Relationship  Id="rId1837" Type="http://schemas.openxmlformats.org/officeDocument/2006/relationships/hyperlink" Target="https://honotel.com" TargetMode="External"/><Relationship  Id="rId1838" Type="http://schemas.openxmlformats.org/officeDocument/2006/relationships/hyperlink" Target="http://www.linkedin.com/in/hortense-o-byrne-4a9b5282" TargetMode="External"/><Relationship  Id="rId1839" Type="http://schemas.openxmlformats.org/officeDocument/2006/relationships/hyperlink" Target="https://okkohotels.com" TargetMode="External"/><Relationship  Id="rId184" Type="http://schemas.openxmlformats.org/officeDocument/2006/relationships/hyperlink" Target="http://www.linkedin.com/in/antoinemonnier" TargetMode="External"/><Relationship  Id="rId1840" Type="http://schemas.openxmlformats.org/officeDocument/2006/relationships/hyperlink" Target="http://www.linkedin.com/in/huguesgodard" TargetMode="External"/><Relationship  Id="rId1841" Type="http://schemas.openxmlformats.org/officeDocument/2006/relationships/hyperlink" Target="https://astotel.com" TargetMode="External"/><Relationship  Id="rId1842" Type="http://schemas.openxmlformats.org/officeDocument/2006/relationships/hyperlink" Target="http://www.linkedin.com/in/jerome-revuelta-a2235b26" TargetMode="External"/><Relationship  Id="rId1843" Type="http://schemas.openxmlformats.org/officeDocument/2006/relationships/hyperlink" Target="https://lek2collections.com" TargetMode="External"/><Relationship  Id="rId1844" Type="http://schemas.openxmlformats.org/officeDocument/2006/relationships/hyperlink" Target="http://www.linkedin.com/in/jean-andr%c3%a9-charial-944596147" TargetMode="External"/><Relationship  Id="rId1845" Type="http://schemas.openxmlformats.org/officeDocument/2006/relationships/hyperlink" Target="https://baumaniere.com" TargetMode="External"/><Relationship  Id="rId1846" Type="http://schemas.openxmlformats.org/officeDocument/2006/relationships/hyperlink" Target="http://www.linkedin.com/in/jacob-bensaid-a334b224a" TargetMode="External"/><Relationship  Id="rId1847" Type="http://schemas.openxmlformats.org/officeDocument/2006/relationships/hyperlink" Target="https://popinns.com" TargetMode="External"/><Relationship  Id="rId1848" Type="http://schemas.openxmlformats.org/officeDocument/2006/relationships/hyperlink" Target="http://www.linkedin.com/in/j%c3%a9r%c3%b4megirelli" TargetMode="External"/><Relationship  Id="rId1849" Type="http://schemas.openxmlformats.org/officeDocument/2006/relationships/hyperlink" Target="http://www.linkedin.com/in/jerome-tourbier-8691356" TargetMode="External"/><Relationship  Id="rId185" Type="http://schemas.openxmlformats.org/officeDocument/2006/relationships/hyperlink" Target="http://www.hubrise.com" TargetMode="External"/><Relationship  Id="rId1850" Type="http://schemas.openxmlformats.org/officeDocument/2006/relationships/hyperlink" Target="https://sources-hotels.com" TargetMode="External"/><Relationship  Id="rId1851" Type="http://schemas.openxmlformats.org/officeDocument/2006/relationships/hyperlink" Target="http://www.linkedin.com/in/jean-michel-dalmasso" TargetMode="External"/><Relationship  Id="rId1852" Type="http://schemas.openxmlformats.org/officeDocument/2006/relationships/hyperlink" Target="https://dalmatahospitality.com" TargetMode="External"/><Relationship  Id="rId1853" Type="http://schemas.openxmlformats.org/officeDocument/2006/relationships/hyperlink" Target="http://www.linkedin.com/in/jean-michel-thibault-a9948720" TargetMode="External"/><Relationship  Id="rId1854" Type="http://schemas.openxmlformats.org/officeDocument/2006/relationships/hyperlink" Target="https://hir-letouquet.com" TargetMode="External"/><Relationship  Id="rId1855" Type="http://schemas.openxmlformats.org/officeDocument/2006/relationships/hyperlink" Target="http://www.linkedin.com/in/jean-pascal-picollet-001ba857" TargetMode="External"/><Relationship  Id="rId1856" Type="http://schemas.openxmlformats.org/officeDocument/2006/relationships/hyperlink" Target="https://domainedeverchant.com" TargetMode="External"/><Relationship  Id="rId1857" Type="http://schemas.openxmlformats.org/officeDocument/2006/relationships/hyperlink" Target="http://www.linkedin.com/in/jacques-picon-26a8392b" TargetMode="External"/><Relationship  Id="rId1858" Type="http://schemas.openxmlformats.org/officeDocument/2006/relationships/hyperlink" Target="http://www.linkedin.com/in/julien-louvel-5015883a" TargetMode="External"/><Relationship  Id="rId1859" Type="http://schemas.openxmlformats.org/officeDocument/2006/relationships/hyperlink" Target="https://goelia.com" TargetMode="External"/><Relationship  Id="rId186" Type="http://schemas.openxmlformats.org/officeDocument/2006/relationships/hyperlink" Target="http://www.linkedin.com/in/julien-gantheret-a9574820" TargetMode="External"/><Relationship  Id="rId1860" Type="http://schemas.openxmlformats.org/officeDocument/2006/relationships/hyperlink" Target="http://www.linkedin.com/in/armstrong-santana-5b22347b" TargetMode="External"/><Relationship  Id="rId1861" Type="http://schemas.openxmlformats.org/officeDocument/2006/relationships/hyperlink" Target="https://wink-hotels.com" TargetMode="External"/><Relationship  Id="rId1862" Type="http://schemas.openxmlformats.org/officeDocument/2006/relationships/hyperlink" Target="http://www.linkedin.com/in/karimmalak2" TargetMode="External"/><Relationship  Id="rId1863" Type="http://schemas.openxmlformats.org/officeDocument/2006/relationships/hyperlink" Target="https://easyhotel.com" TargetMode="External"/><Relationship  Id="rId1864" Type="http://schemas.openxmlformats.org/officeDocument/2006/relationships/hyperlink" Target="http://www.linkedin.com/in/kevin-machefert-come-join-the-family-%f0%9f%9a%80-3790005a" TargetMode="External"/><Relationship  Id="rId1865" Type="http://schemas.openxmlformats.org/officeDocument/2006/relationships/hyperlink" Target="https://machefert.com" TargetMode="External"/><Relationship  Id="rId1866" Type="http://schemas.openxmlformats.org/officeDocument/2006/relationships/hyperlink" Target="http://www.linkedin.com/in/khalil-khater-0495ba16b" TargetMode="External"/><Relationship  Id="rId1867" Type="http://schemas.openxmlformats.org/officeDocument/2006/relationships/hyperlink" Target="http://www.linkedin.com/in/karine-morot-gaudry-3b31055" TargetMode="External"/><Relationship  Id="rId1868" Type="http://schemas.openxmlformats.org/officeDocument/2006/relationships/hyperlink" Target="https://logishotels.com" TargetMode="External"/><Relationship  Id="rId1869" Type="http://schemas.openxmlformats.org/officeDocument/2006/relationships/hyperlink" Target="http://www.linkedin.com/in/karen-serfaty-51316425" TargetMode="External"/><Relationship  Id="rId187" Type="http://schemas.openxmlformats.org/officeDocument/2006/relationships/hyperlink" Target="http://www.gallika.fr" TargetMode="External"/><Relationship  Id="rId1870" Type="http://schemas.openxmlformats.org/officeDocument/2006/relationships/hyperlink" Target="https://foodhoteltech.com" TargetMode="External"/><Relationship  Id="rId1871" Type="http://schemas.openxmlformats.org/officeDocument/2006/relationships/hyperlink" Target="http://www.linkedin.com/in/soleilhavoup" TargetMode="External"/><Relationship  Id="rId1872" Type="http://schemas.openxmlformats.org/officeDocument/2006/relationships/hyperlink" Target="https://hotel-lancaster.com" TargetMode="External"/><Relationship  Id="rId1873" Type="http://schemas.openxmlformats.org/officeDocument/2006/relationships/hyperlink" Target="http://www.linkedin.com/in/luca-mendola-36620528" TargetMode="External"/><Relationship  Id="rId1874" Type="http://schemas.openxmlformats.org/officeDocument/2006/relationships/hyperlink" Target="http://www.linkedin.com/in/laurence-picano-149638b1" TargetMode="External"/><Relationship  Id="rId1875" Type="http://schemas.openxmlformats.org/officeDocument/2006/relationships/hyperlink" Target="http://www.linkedin.com/in/laurent-driole-214266a0" TargetMode="External"/><Relationship  Id="rId1876" Type="http://schemas.openxmlformats.org/officeDocument/2006/relationships/hyperlink" Target="https://lilybeachmaldives.com" TargetMode="External"/><Relationship  Id="rId1877" Type="http://schemas.openxmlformats.org/officeDocument/2006/relationships/hyperlink" Target="http://www.linkedin.com/in/laurent-laporte-bb66bb12a" TargetMode="External"/><Relationship  Id="rId1878" Type="http://schemas.openxmlformats.org/officeDocument/2006/relationships/hyperlink" Target="https://groupelamerepoulard.com" TargetMode="External"/><Relationship  Id="rId1879" Type="http://schemas.openxmlformats.org/officeDocument/2006/relationships/hyperlink" Target="http://www.linkedin.com/in/lo%c3%afc-giroud-76555480" TargetMode="External"/><Relationship  Id="rId188" Type="http://schemas.openxmlformats.org/officeDocument/2006/relationships/hyperlink" Target="http://www.linkedin.com/in/rudy-cohen-paris" TargetMode="External"/><Relationship  Id="rId1880" Type="http://schemas.openxmlformats.org/officeDocument/2006/relationships/hyperlink" Target="http://www.linkedin.com/in/linda-hazi-26014819" TargetMode="External"/><Relationship  Id="rId1881" Type="http://schemas.openxmlformats.org/officeDocument/2006/relationships/hyperlink" Target="https://domainesdefontenille.com" TargetMode="External"/><Relationship  Id="rId1882" Type="http://schemas.openxmlformats.org/officeDocument/2006/relationships/hyperlink" Target="http://www.linkedin.com/in/laure-pertusier-mignot-0777a131" TargetMode="External"/><Relationship  Id="rId1883" Type="http://schemas.openxmlformats.org/officeDocument/2006/relationships/hyperlink" Target="https://saint-james-paris.com" TargetMode="External"/><Relationship  Id="rId1884" Type="http://schemas.openxmlformats.org/officeDocument/2006/relationships/hyperlink" Target="http://www.linkedin.com/in/michel-amision-6346941b7" TargetMode="External"/><Relationship  Id="rId1885" Type="http://schemas.openxmlformats.org/officeDocument/2006/relationships/hyperlink" Target="https://fagorprofessional.com" TargetMode="External"/><Relationship  Id="rId1886" Type="http://schemas.openxmlformats.org/officeDocument/2006/relationships/hyperlink" Target="http://www.linkedin.com/in/mathieu-baiardi-9784206" TargetMode="External"/><Relationship  Id="rId1887" Type="http://schemas.openxmlformats.org/officeDocument/2006/relationships/hyperlink" Target="https://alpazurhotels.com" TargetMode="External"/><Relationship  Id="rId1888" Type="http://schemas.openxmlformats.org/officeDocument/2006/relationships/hyperlink" Target="https://sunelia.com" TargetMode="External"/><Relationship  Id="rId1889" Type="http://schemas.openxmlformats.org/officeDocument/2006/relationships/hyperlink" Target="https://etangs-corot.com" TargetMode="External"/><Relationship  Id="rId189" Type="http://schemas.openxmlformats.org/officeDocument/2006/relationships/hyperlink" Target="http://www.parisnb.fr" TargetMode="External"/><Relationship  Id="rId1890" Type="http://schemas.openxmlformats.org/officeDocument/2006/relationships/hyperlink" Target="http://www.linkedin.com/in/marion-boudy-80b31640" TargetMode="External"/><Relationship  Id="rId1891" Type="http://schemas.openxmlformats.org/officeDocument/2006/relationships/hyperlink" Target="http://www.linkedin.com/in/mathieu-dugast-837b7b33" TargetMode="External"/><Relationship  Id="rId1892" Type="http://schemas.openxmlformats.org/officeDocument/2006/relationships/hyperlink" Target="https://staycation.co" TargetMode="External"/><Relationship  Id="rId1893" Type="http://schemas.openxmlformats.org/officeDocument/2006/relationships/hyperlink" Target="http://www.linkedin.com/in/mathieuravard" TargetMode="External"/><Relationship  Id="rId1894" Type="http://schemas.openxmlformats.org/officeDocument/2006/relationships/hyperlink" Target="http://www.linkedin.com/in/matthieu-evrard-08339148" TargetMode="External"/><Relationship  Id="rId1895" Type="http://schemas.openxmlformats.org/officeDocument/2006/relationships/hyperlink" Target="https://hotlsreinvnted.com" TargetMode="External"/><Relationship  Id="rId1896" Type="http://schemas.openxmlformats.org/officeDocument/2006/relationships/hyperlink" Target="http://www.linkedin.com/in/mich%c3%a8le-cholley-53295652" TargetMode="External"/><Relationship  Id="rId1897" Type="http://schemas.openxmlformats.org/officeDocument/2006/relationships/hyperlink" Target="https://groupegm.com" TargetMode="External"/><Relationship  Id="rId1898" Type="http://schemas.openxmlformats.org/officeDocument/2006/relationships/hyperlink" Target="http://www.linkedin.com/in/maximenavarre" TargetMode="External"/><Relationship  Id="rId1899" Type="http://schemas.openxmlformats.org/officeDocument/2006/relationships/hyperlink" Target="https://slvj.es" TargetMode="External"/><Relationship  Id="rId19" Type="http://schemas.openxmlformats.org/officeDocument/2006/relationships/hyperlink" Target="http://www.linkedin.com/in/caroline-foucaud-2070a494" TargetMode="External"/><Relationship  Id="rId190" Type="http://schemas.openxmlformats.org/officeDocument/2006/relationships/hyperlink" Target="http://www.linkedin.com/in/didier-touboul-4203a936" TargetMode="External"/><Relationship  Id="rId1900" Type="http://schemas.openxmlformats.org/officeDocument/2006/relationships/hyperlink" Target="http://www.linkedin.com/in/na%c3%abl-mansor-b7788b57" TargetMode="External"/><Relationship  Id="rId1901" Type="http://schemas.openxmlformats.org/officeDocument/2006/relationships/hyperlink" Target="http://www.linkedin.com/in/nathalie-dupont-1586b567" TargetMode="External"/><Relationship  Id="rId1902" Type="http://schemas.openxmlformats.org/officeDocument/2006/relationships/hyperlink" Target="https://groupecentaurus.com" TargetMode="External"/><Relationship  Id="rId1903" Type="http://schemas.openxmlformats.org/officeDocument/2006/relationships/hyperlink" Target="http://www.linkedin.com/in/nicolas-chatillon-a801a568" TargetMode="External"/><Relationship  Id="rId1904" Type="http://schemas.openxmlformats.org/officeDocument/2006/relationships/hyperlink" Target="http://www.linkedin.com/in/nicolas-gachet-5236985b" TargetMode="External"/><Relationship  Id="rId1905" Type="http://schemas.openxmlformats.org/officeDocument/2006/relationships/hyperlink" Target="https://sources-caudalie.com" TargetMode="External"/><Relationship  Id="rId1906" Type="http://schemas.openxmlformats.org/officeDocument/2006/relationships/hyperlink" Target="http://www.linkedin.com/in/nicolas-saltiel-59a56227a" TargetMode="External"/><Relationship  Id="rId1907" Type="http://schemas.openxmlformats.org/officeDocument/2006/relationships/hyperlink" Target="https://adresseshotels.com" TargetMode="External"/><Relationship  Id="rId1908" Type="http://schemas.openxmlformats.org/officeDocument/2006/relationships/hyperlink" Target="https://groupe-pvg.fr" TargetMode="External"/><Relationship  Id="rId1909" Type="http://schemas.openxmlformats.org/officeDocument/2006/relationships/hyperlink" Target="http://www.linkedin.com/in/ocohn" TargetMode="External"/><Relationship  Id="rId191" Type="http://schemas.openxmlformats.org/officeDocument/2006/relationships/hyperlink" Target="http://www.pepperico.fr" TargetMode="External"/><Relationship  Id="rId1910" Type="http://schemas.openxmlformats.org/officeDocument/2006/relationships/hyperlink" Target="http://www.linkedin.com/in/olivier-passot-a511b924" TargetMode="External"/><Relationship  Id="rId1911" Type="http://schemas.openxmlformats.org/officeDocument/2006/relationships/hyperlink" Target="https://revol1768.com" TargetMode="External"/><Relationship  Id="rId1912" Type="http://schemas.openxmlformats.org/officeDocument/2006/relationships/hyperlink" Target="http://www.linkedin.com/in/olivier-heinkele-5587ab106" TargetMode="External"/><Relationship  Id="rId1913" Type="http://schemas.openxmlformats.org/officeDocument/2006/relationships/hyperlink" Target="https://nanteshotel.com" TargetMode="External"/><Relationship  Id="rId1914" Type="http://schemas.openxmlformats.org/officeDocument/2006/relationships/hyperlink" Target="http://www.linkedin.com/in/oliviermartin2" TargetMode="External"/><Relationship  Id="rId1915" Type="http://schemas.openxmlformats.org/officeDocument/2006/relationships/hyperlink" Target="https://stairway-management.com" TargetMode="External"/><Relationship  Id="rId1916" Type="http://schemas.openxmlformats.org/officeDocument/2006/relationships/hyperlink" Target="http://www.linkedin.com/in/philippe-naudon-6b9284156" TargetMode="External"/><Relationship  Id="rId1917" Type="http://schemas.openxmlformats.org/officeDocument/2006/relationships/hyperlink" Target="http://www.linkedin.com/in/pascal-agostini-3739331a1" TargetMode="External"/><Relationship  Id="rId1918" Type="http://schemas.openxmlformats.org/officeDocument/2006/relationships/hyperlink" Target="https://manotel.com" TargetMode="External"/><Relationship  Id="rId1919" Type="http://schemas.openxmlformats.org/officeDocument/2006/relationships/hyperlink" Target="http://www.linkedin.com/in/pascal-lemarchand-a7328997" TargetMode="External"/><Relationship  Id="rId192" Type="http://schemas.openxmlformats.org/officeDocument/2006/relationships/hyperlink" Target="http://www.linkedin.com/in/eric-petrotto-12297317" TargetMode="External"/><Relationship  Id="rId1920" Type="http://schemas.openxmlformats.org/officeDocument/2006/relationships/hyperlink" Target="http://www.linkedin.com/in/patrice-o-80a6593a" TargetMode="External"/><Relationship  Id="rId1921" Type="http://schemas.openxmlformats.org/officeDocument/2006/relationships/hyperlink" Target="https://vacances-ulvf.com" TargetMode="External"/><Relationship  Id="rId1922" Type="http://schemas.openxmlformats.org/officeDocument/2006/relationships/hyperlink" Target="http://www.linkedin.com/in/philippe-brisset-b3095721" TargetMode="External"/><Relationship  Id="rId1923" Type="http://schemas.openxmlformats.org/officeDocument/2006/relationships/hyperlink" Target="https://eatx.com" TargetMode="External"/><Relationship  Id="rId1924" Type="http://schemas.openxmlformats.org/officeDocument/2006/relationships/hyperlink" Target="http://www.linkedin.com/in/philippe-marguet-46127844" TargetMode="External"/><Relationship  Id="rId1925" Type="http://schemas.openxmlformats.org/officeDocument/2006/relationships/hyperlink" Target="https://theoriginalshotels.com" TargetMode="External"/><Relationship  Id="rId1926" Type="http://schemas.openxmlformats.org/officeDocument/2006/relationships/hyperlink" Target="http://www.linkedin.com/in/philippe-vaurs-3a107537" TargetMode="External"/><Relationship  Id="rId1927" Type="http://schemas.openxmlformats.org/officeDocument/2006/relationships/hyperlink" Target="https://elegancia-hotels.com" TargetMode="External"/><Relationship  Id="rId1928" Type="http://schemas.openxmlformats.org/officeDocument/2006/relationships/hyperlink" Target="http://www.linkedin.com/in/philippe-monnin-1154a0187" TargetMode="External"/><Relationship  Id="rId1929" Type="http://schemas.openxmlformats.org/officeDocument/2006/relationships/hyperlink" Target="http://www.linkedin.com/in/patrick-luis-921b7b1b7" TargetMode="External"/><Relationship  Id="rId193" Type="http://schemas.openxmlformats.org/officeDocument/2006/relationships/hyperlink" Target="http://www.lafabuleusecantine.fr" TargetMode="External"/><Relationship  Id="rId1930" Type="http://schemas.openxmlformats.org/officeDocument/2006/relationships/hyperlink" Target="http://www.linkedin.com/in/romain-bellet-545b488" TargetMode="External"/><Relationship  Id="rId1931" Type="http://schemas.openxmlformats.org/officeDocument/2006/relationships/hyperlink" Target="https://wehost.fr" TargetMode="External"/><Relationship  Id="rId1932" Type="http://schemas.openxmlformats.org/officeDocument/2006/relationships/hyperlink" Target="http://www.linkedin.com/in/romainlucas" TargetMode="External"/><Relationship  Id="rId1933" Type="http://schemas.openxmlformats.org/officeDocument/2006/relationships/hyperlink" Target="https://marvilla-parks.com" TargetMode="External"/><Relationship  Id="rId1934" Type="http://schemas.openxmlformats.org/officeDocument/2006/relationships/hyperlink" Target="http://www.linkedin.com/in/romaric-blanvillain-9423aa4" TargetMode="External"/><Relationship  Id="rId1935" Type="http://schemas.openxmlformats.org/officeDocument/2006/relationships/hyperlink" Target="https://maison-albar-hotels.com" TargetMode="External"/><Relationship  Id="rId1936" Type="http://schemas.openxmlformats.org/officeDocument/2006/relationships/hyperlink" Target="http://www.linkedin.com/in/romee-de-goriainoff-a3b51739" TargetMode="External"/><Relationship  Id="rId1937" Type="http://schemas.openxmlformats.org/officeDocument/2006/relationships/hyperlink" Target="https://experimentalgroup.com" TargetMode="External"/><Relationship  Id="rId1938" Type="http://schemas.openxmlformats.org/officeDocument/2006/relationships/hyperlink" Target="http://www.linkedin.com/in/romain-trollet-03150b171" TargetMode="External"/><Relationship  Id="rId1939" Type="http://schemas.openxmlformats.org/officeDocument/2006/relationships/hyperlink" Target="http://www.linkedin.com/in/sergio-tosati-31672331" TargetMode="External"/><Relationship  Id="rId194" Type="http://schemas.openxmlformats.org/officeDocument/2006/relationships/hyperlink" Target="http://www.linkedin.com/in/bertrand-gasnier" TargetMode="External"/><Relationship  Id="rId1940" Type="http://schemas.openxmlformats.org/officeDocument/2006/relationships/hyperlink" Target="https://miramar-lacigale.com" TargetMode="External"/><Relationship  Id="rId1941" Type="http://schemas.openxmlformats.org/officeDocument/2006/relationships/hyperlink" Target="http://www.linkedin.com/in/sebastien-caquelard-67a1a9b0" TargetMode="External"/><Relationship  Id="rId1942" Type="http://schemas.openxmlformats.org/officeDocument/2006/relationships/hyperlink" Target="https://evianresort.com" TargetMode="External"/><Relationship  Id="rId1943" Type="http://schemas.openxmlformats.org/officeDocument/2006/relationships/hyperlink" Target="http://www.linkedin.com/in/serge-cachan-700a6516b" TargetMode="External"/><Relationship  Id="rId1944" Type="http://schemas.openxmlformats.org/officeDocument/2006/relationships/hyperlink" Target="http://www.linkedin.com/in/solenne-ojea-devys-8ab00525" TargetMode="External"/><Relationship  Id="rId1945" Type="http://schemas.openxmlformats.org/officeDocument/2006/relationships/hyperlink" Target="http://www.linkedin.com/in/sonia-timsiline-51a11a3" TargetMode="External"/><Relationship  Id="rId1946" Type="http://schemas.openxmlformats.org/officeDocument/2006/relationships/hyperlink" Target="https://maisondelanoparis.com" TargetMode="External"/><Relationship  Id="rId1947" Type="http://schemas.openxmlformats.org/officeDocument/2006/relationships/hyperlink" Target="http://www.linkedin.com/in/stephane-barrand" TargetMode="External"/><Relationship  Id="rId1948" Type="http://schemas.openxmlformats.org/officeDocument/2006/relationships/hyperlink" Target="http://www.linkedin.com/in/st%c3%a9phane-duc-13840988" TargetMode="External"/><Relationship  Id="rId1949" Type="http://schemas.openxmlformats.org/officeDocument/2006/relationships/hyperlink" Target="https://huttopia.com" TargetMode="External"/><Relationship  Id="rId195" Type="http://schemas.openxmlformats.org/officeDocument/2006/relationships/hyperlink" Target="http://www.cestmondonuts.fr" TargetMode="External"/><Relationship  Id="rId1950" Type="http://schemas.openxmlformats.org/officeDocument/2006/relationships/hyperlink" Target="http://www.linkedin.com/in/st%c3%a9phane-gerbet-0380a983" TargetMode="External"/><Relationship  Id="rId1951" Type="http://schemas.openxmlformats.org/officeDocument/2006/relationships/hyperlink" Target="https://sofitel-golfe-d-ajaccio-thalassa-sea-spa.com" TargetMode="External"/><Relationship  Id="rId1952" Type="http://schemas.openxmlformats.org/officeDocument/2006/relationships/hyperlink" Target="http://www.linkedin.com/in/stephane-morvan-dubois-a532685" TargetMode="External"/><Relationship  Id="rId1953" Type="http://schemas.openxmlformats.org/officeDocument/2006/relationships/hyperlink" Target="http://www.linkedin.com/in/stevevaile" TargetMode="External"/><Relationship  Id="rId1954" Type="http://schemas.openxmlformats.org/officeDocument/2006/relationships/hyperlink" Target="https://madmonkeyhostels.com" TargetMode="External"/><Relationship  Id="rId1955" Type="http://schemas.openxmlformats.org/officeDocument/2006/relationships/hyperlink" Target="http://www.linkedin.com/in/thierry-poirot-92354a113" TargetMode="External"/><Relationship  Id="rId1956" Type="http://schemas.openxmlformats.org/officeDocument/2006/relationships/hyperlink" Target="https://les-sablons.com" TargetMode="External"/><Relationship  Id="rId1957" Type="http://schemas.openxmlformats.org/officeDocument/2006/relationships/hyperlink" Target="http://www.linkedin.com/in/th%c3%a9r%c3%a8se-blay-17a0143b" TargetMode="External"/><Relationship  Id="rId1958" Type="http://schemas.openxmlformats.org/officeDocument/2006/relationships/hyperlink" Target="http://www.linkedin.com/in/tdesaintmartin" TargetMode="External"/><Relationship  Id="rId1959" Type="http://schemas.openxmlformats.org/officeDocument/2006/relationships/hyperlink" Target="http://www.linkedin.com/in/thibault-suberbere-305817196" TargetMode="External"/><Relationship  Id="rId196" Type="http://schemas.openxmlformats.org/officeDocument/2006/relationships/hyperlink" Target="http://www.linkedin.com/in/aziz-karym-398392175" TargetMode="External"/><Relationship  Id="rId1960" Type="http://schemas.openxmlformats.org/officeDocument/2006/relationships/hyperlink" Target="https://fairmont.com" TargetMode="External"/><Relationship  Id="rId1961" Type="http://schemas.openxmlformats.org/officeDocument/2006/relationships/hyperlink" Target="http://www.linkedin.com/in/timoth%c3%a9e-hainguerlot-80752032" TargetMode="External"/><Relationship  Id="rId1962" Type="http://schemas.openxmlformats.org/officeDocument/2006/relationships/hyperlink" Target="http://www.linkedin.com/in/tiphaine-lacombe-b4523228" TargetMode="External"/><Relationship  Id="rId1963" Type="http://schemas.openxmlformats.org/officeDocument/2006/relationships/hyperlink" Target="https://serenohotels.com" TargetMode="External"/><Relationship  Id="rId1964" Type="http://schemas.openxmlformats.org/officeDocument/2006/relationships/hyperlink" Target="http://www.linkedin.com/in/vincent-dutertre-7b963753" TargetMode="External"/><Relationship  Id="rId1965" Type="http://schemas.openxmlformats.org/officeDocument/2006/relationships/hyperlink" Target="https://automobileclubdefrance.fr" TargetMode="External"/><Relationship  Id="rId1966" Type="http://schemas.openxmlformats.org/officeDocument/2006/relationships/hyperlink" Target="http://www.linkedin.com/in/victor-fioux-972051aa" TargetMode="External"/><Relationship  Id="rId1967" Type="http://schemas.openxmlformats.org/officeDocument/2006/relationships/hyperlink" Target="http://www.linkedin.com/in/yannick-gavelle-724373" TargetMode="External"/><Relationship  Id="rId1968" Type="http://schemas.openxmlformats.org/officeDocument/2006/relationships/hyperlink" Target="https://hotelspreference.com" TargetMode="External"/><Relationship  Id="rId1969" Type="http://schemas.openxmlformats.org/officeDocument/2006/relationships/hyperlink" Target="http://www.linkedin.com/in/yann-odile-02401a60" TargetMode="External"/><Relationship  Id="rId197" Type="http://schemas.openxmlformats.org/officeDocument/2006/relationships/hyperlink" Target="http://www.linkedin.com/in/julien-morel-0a713227" TargetMode="External"/><Relationship  Id="rId1970" Type="http://schemas.openxmlformats.org/officeDocument/2006/relationships/hyperlink" Target="http://www.linkedin.com/in/arnaud-charier-144932a2" TargetMode="External"/><Relationship  Id="rId1971" Type="http://schemas.openxmlformats.org/officeDocument/2006/relationships/hyperlink" Target="https://balthazar.family" TargetMode="External"/><Relationship  Id="rId1972" Type="http://schemas.openxmlformats.org/officeDocument/2006/relationships/hyperlink" Target="http://www.linkedin.com/in/brice-durand-62958690" TargetMode="External"/><Relationship  Id="rId1973" Type="http://schemas.openxmlformats.org/officeDocument/2006/relationships/hyperlink" Target="https://artegopizza.com" TargetMode="External"/><Relationship  Id="rId1974" Type="http://schemas.openxmlformats.org/officeDocument/2006/relationships/hyperlink" Target="http://www.linkedin.com/in/carl-delaporte-02b3b419" TargetMode="External"/><Relationship  Id="rId1975" Type="http://schemas.openxmlformats.org/officeDocument/2006/relationships/hyperlink" Target="https://leferronnierdanslesnuages.fr" TargetMode="External"/><Relationship  Id="rId1976" Type="http://schemas.openxmlformats.org/officeDocument/2006/relationships/hyperlink" Target="http://www.linkedin.com/in/david-pignon-b59155209" TargetMode="External"/><Relationship  Id="rId1977" Type="http://schemas.openxmlformats.org/officeDocument/2006/relationships/hyperlink" Target="https://pizzatradition.fr" TargetMode="External"/><Relationship  Id="rId1978" Type="http://schemas.openxmlformats.org/officeDocument/2006/relationships/hyperlink" Target="http://www.linkedin.com/in/fran%c3%a7ois-rocher-9878781bb" TargetMode="External"/><Relationship  Id="rId1979" Type="http://schemas.openxmlformats.org/officeDocument/2006/relationships/hyperlink" Target="https://izee.bzh" TargetMode="External"/><Relationship  Id="rId198" Type="http://schemas.openxmlformats.org/officeDocument/2006/relationships/hyperlink" Target="http://www.linkedin.com/in/adrien-boissaye-92a12250" TargetMode="External"/><Relationship  Id="rId1980" Type="http://schemas.openxmlformats.org/officeDocument/2006/relationships/hyperlink" Target="http://www.linkedin.com/in/hugo-delarche-a021aa77" TargetMode="External"/><Relationship  Id="rId1981" Type="http://schemas.openxmlformats.org/officeDocument/2006/relationships/hyperlink" Target="https://composeparis.fr" TargetMode="External"/><Relationship  Id="rId1982" Type="http://schemas.openxmlformats.org/officeDocument/2006/relationships/hyperlink" Target="http://www.linkedin.com/in/j%c3%a9r%c3%a9my-qu%c3%a9lin-8a764230" TargetMode="External"/><Relationship  Id="rId1983" Type="http://schemas.openxmlformats.org/officeDocument/2006/relationships/hyperlink" Target="https://spectr-group.fr" TargetMode="External"/><Relationship  Id="rId1984" Type="http://schemas.openxmlformats.org/officeDocument/2006/relationships/hyperlink" Target="http://www.linkedin.com/in/julien-hivernet-b3a979137" TargetMode="External"/><Relationship  Id="rId1985" Type="http://schemas.openxmlformats.org/officeDocument/2006/relationships/hyperlink" Target="https://cegetel.net" TargetMode="External"/><Relationship  Id="rId1986" Type="http://schemas.openxmlformats.org/officeDocument/2006/relationships/hyperlink" Target="http://www.linkedin.com/in/laurentjpoirier" TargetMode="External"/><Relationship  Id="rId1987" Type="http://schemas.openxmlformats.org/officeDocument/2006/relationships/hyperlink" Target="https://labarbade.fr" TargetMode="External"/><Relationship  Id="rId1988" Type="http://schemas.openxmlformats.org/officeDocument/2006/relationships/hyperlink" Target="http://www.linkedin.com/in/marika-poirier-34031976" TargetMode="External"/><Relationship  Id="rId1989" Type="http://schemas.openxmlformats.org/officeDocument/2006/relationships/hyperlink" Target="https://japyonnais.fr" TargetMode="External"/><Relationship  Id="rId199" Type="http://schemas.openxmlformats.org/officeDocument/2006/relationships/hyperlink" Target="http://www.leperchoir.fr" TargetMode="External"/><Relationship  Id="rId1990" Type="http://schemas.openxmlformats.org/officeDocument/2006/relationships/hyperlink" Target="http://www.linkedin.com/in/florence-nedellec-21691672" TargetMode="External"/><Relationship  Id="rId1991" Type="http://schemas.openxmlformats.org/officeDocument/2006/relationships/hyperlink" Target="https://emiliescookies.com" TargetMode="External"/><Relationship  Id="rId1992" Type="http://schemas.openxmlformats.org/officeDocument/2006/relationships/hyperlink" Target="http://www.linkedin.com/in/mb-thionville-78a07b10b" TargetMode="External"/><Relationship  Id="rId1993" Type="http://schemas.openxmlformats.org/officeDocument/2006/relationships/hyperlink" Target="https://lesmoulinsbleus.com" TargetMode="External"/><Relationship  Id="rId1994" Type="http://schemas.openxmlformats.org/officeDocument/2006/relationships/hyperlink" Target="http://www.linkedin.com/in/william-rollet-270209125" TargetMode="External"/><Relationship  Id="rId1995" Type="http://schemas.openxmlformats.org/officeDocument/2006/relationships/hyperlink" Target="https://agapes-consulting.fr" TargetMode="External"/><Relationship  Id="rId1996" Type="http://schemas.openxmlformats.org/officeDocument/2006/relationships/hyperlink" Target="https://yeeels.com" TargetMode="External"/><Relationship  Id="rId1997" Type="http://schemas.openxmlformats.org/officeDocument/2006/relationships/hyperlink" Target="https://delicity.com" TargetMode="External"/><Relationship  Id="rId1998" Type="http://schemas.openxmlformats.org/officeDocument/2006/relationships/hyperlink" Target="https://eatcala.com" TargetMode="External"/><Relationship  Id="rId1999" Type="http://schemas.openxmlformats.org/officeDocument/2006/relationships/hyperlink" Target="http://www.linkedin.com/in/aliz%c3%a9e-bouvier-ba4066b8" TargetMode="External"/><Relationship  Id="rId2" Type="http://schemas.openxmlformats.org/officeDocument/2006/relationships/hyperlink" Target="http://www.rochebois.comm" TargetMode="External"/><Relationship  Id="rId20" Type="http://schemas.openxmlformats.org/officeDocument/2006/relationships/hyperlink" Target="http://www.olela.fr" TargetMode="External"/><Relationship  Id="rId200" Type="http://schemas.openxmlformats.org/officeDocument/2006/relationships/hyperlink" Target="http://www.linkedin.com/in/gr%c3%a9goire-aubron-7a43092" TargetMode="External"/><Relationship  Id="rId2000" Type="http://schemas.openxmlformats.org/officeDocument/2006/relationships/hyperlink" Target="https://cojean.fr" TargetMode="External"/><Relationship  Id="rId2001" Type="http://schemas.openxmlformats.org/officeDocument/2006/relationships/hyperlink" Target="http://www.linkedin.com/in/antoine-nayet-14a6773" TargetMode="External"/><Relationship  Id="rId2002" Type="http://schemas.openxmlformats.org/officeDocument/2006/relationships/hyperlink" Target="https://lecomptoirdumalt.fr" TargetMode="External"/><Relationship  Id="rId2003" Type="http://schemas.openxmlformats.org/officeDocument/2006/relationships/hyperlink" Target="http://www.linkedin.com/in/anna%c3%afg-ferrand-501309129" TargetMode="External"/><Relationship  Id="rId2004" Type="http://schemas.openxmlformats.org/officeDocument/2006/relationships/hyperlink" Target="https://ephemerarestaurant.com" TargetMode="External"/><Relationship  Id="rId2005" Type="http://schemas.openxmlformats.org/officeDocument/2006/relationships/hyperlink" Target="http://www.linkedin.com/in/anne-faure-8080615b" TargetMode="External"/><Relationship  Id="rId2006" Type="http://schemas.openxmlformats.org/officeDocument/2006/relationships/hyperlink" Target="https://lf.fr" TargetMode="External"/><Relationship  Id="rId2007" Type="http://schemas.openxmlformats.org/officeDocument/2006/relationships/hyperlink" Target="http://www.linkedin.com/in/audrey-ghattas-4a850b121" TargetMode="External"/><Relationship  Id="rId2008" Type="http://schemas.openxmlformats.org/officeDocument/2006/relationships/hyperlink" Target="https://qualiteandco.com" TargetMode="External"/><Relationship  Id="rId2009" Type="http://schemas.openxmlformats.org/officeDocument/2006/relationships/hyperlink" Target="http://www.linkedin.com/in/benoit-leroy-43b71449" TargetMode="External"/><Relationship  Id="rId201" Type="http://schemas.openxmlformats.org/officeDocument/2006/relationships/hyperlink" Target="http://www.jardindesdouars.com" TargetMode="External"/><Relationship  Id="rId2010" Type="http://schemas.openxmlformats.org/officeDocument/2006/relationships/hyperlink" Target="https://nachos.fr" TargetMode="External"/><Relationship  Id="rId2011" Type="http://schemas.openxmlformats.org/officeDocument/2006/relationships/hyperlink" Target="http://www.linkedin.com/in/benoit-germaneau-4a20bb1a8" TargetMode="External"/><Relationship  Id="rId2012" Type="http://schemas.openxmlformats.org/officeDocument/2006/relationships/hyperlink" Target="https://santosha.cool" TargetMode="External"/><Relationship  Id="rId2013" Type="http://schemas.openxmlformats.org/officeDocument/2006/relationships/hyperlink" Target="http://www.linkedin.com/in/benjamin-guedj-375a1231" TargetMode="External"/><Relationship  Id="rId2014" Type="http://schemas.openxmlformats.org/officeDocument/2006/relationships/hyperlink" Target="https://yanncouvreur.com" TargetMode="External"/><Relationship  Id="rId2015" Type="http://schemas.openxmlformats.org/officeDocument/2006/relationships/hyperlink" Target="http://www.linkedin.com/in/brice-dervaux-245705" TargetMode="External"/><Relationship  Id="rId2016" Type="http://schemas.openxmlformats.org/officeDocument/2006/relationships/hyperlink" Target="https://mylittlewarung.com" TargetMode="External"/><Relationship  Id="rId2017" Type="http://schemas.openxmlformats.org/officeDocument/2006/relationships/hyperlink" Target="http://www.linkedin.com/in/c%c3%a9line-chung-551a9a2b" TargetMode="External"/><Relationship  Id="rId2018" Type="http://schemas.openxmlformats.org/officeDocument/2006/relationships/hyperlink" Target="https://baofamily.co" TargetMode="External"/><Relationship  Id="rId2019" Type="http://schemas.openxmlformats.org/officeDocument/2006/relationships/hyperlink" Target="http://www.linkedin.com/in/chanael-lenoir-23530819" TargetMode="External"/><Relationship  Id="rId202" Type="http://schemas.openxmlformats.org/officeDocument/2006/relationships/hyperlink" Target="http://www.linkedin.com/in/achille-landron-7a7577117" TargetMode="External"/><Relationship  Id="rId2020" Type="http://schemas.openxmlformats.org/officeDocument/2006/relationships/hyperlink" Target="https://danslenoir.com" TargetMode="External"/><Relationship  Id="rId2021" Type="http://schemas.openxmlformats.org/officeDocument/2006/relationships/hyperlink" Target="http://www.linkedin.com/in/charles-ganem-19661448" TargetMode="External"/><Relationship  Id="rId2022" Type="http://schemas.openxmlformats.org/officeDocument/2006/relationships/hyperlink" Target="https://dumboparis.com" TargetMode="External"/><Relationship  Id="rId2023" Type="http://schemas.openxmlformats.org/officeDocument/2006/relationships/hyperlink" Target="http://www.linkedin.com/in/charles-perez-28108b94" TargetMode="External"/><Relationship  Id="rId2024" Type="http://schemas.openxmlformats.org/officeDocument/2006/relationships/hyperlink" Target="https://lanouvellegarde.com" TargetMode="External"/><Relationship  Id="rId2025" Type="http://schemas.openxmlformats.org/officeDocument/2006/relationships/hyperlink" Target="http://www.linkedin.com/in/cl%c3%a9ment-gauthier-35842443" TargetMode="External"/><Relationship  Id="rId2026" Type="http://schemas.openxmlformats.org/officeDocument/2006/relationships/hyperlink" Target="https://mister-garden.com" TargetMode="External"/><Relationship  Id="rId2027" Type="http://schemas.openxmlformats.org/officeDocument/2006/relationships/hyperlink" Target="http://www.linkedin.com/in/meyerclaude" TargetMode="External"/><Relationship  Id="rId2028" Type="http://schemas.openxmlformats.org/officeDocument/2006/relationships/hyperlink" Target="https://mrs.fr" TargetMode="External"/><Relationship  Id="rId2029" Type="http://schemas.openxmlformats.org/officeDocument/2006/relationships/hyperlink" Target="http://www.linkedin.com/in/denis-daubignard-b2b3096a" TargetMode="External"/><Relationship  Id="rId203" Type="http://schemas.openxmlformats.org/officeDocument/2006/relationships/hyperlink" Target="http://www.nu-lille.fr" TargetMode="External"/><Relationship  Id="rId2030" Type="http://schemas.openxmlformats.org/officeDocument/2006/relationships/hyperlink" Target="https://la-scaleta.fr" TargetMode="External"/><Relationship  Id="rId2031" Type="http://schemas.openxmlformats.org/officeDocument/2006/relationships/hyperlink" Target="http://www.linkedin.com/in/damien-chevillot-388ba9155" TargetMode="External"/><Relationship  Id="rId2032" Type="http://schemas.openxmlformats.org/officeDocument/2006/relationships/hyperlink" Target="https://tetedoie.com" TargetMode="External"/><Relationship  Id="rId2033" Type="http://schemas.openxmlformats.org/officeDocument/2006/relationships/hyperlink" Target="http://www.linkedin.com/in/david-bettan-93a95047" TargetMode="External"/><Relationship  Id="rId2034" Type="http://schemas.openxmlformats.org/officeDocument/2006/relationships/hyperlink" Target="https://beaumarly.com" TargetMode="External"/><Relationship  Id="rId2035" Type="http://schemas.openxmlformats.org/officeDocument/2006/relationships/hyperlink" Target="http://www.linkedin.com/in/didier-roche-47592929" TargetMode="External"/><Relationship  Id="rId2036" Type="http://schemas.openxmlformats.org/officeDocument/2006/relationships/hyperlink" Target="http://www.linkedin.com/in/selim-jaouadi-6b4910ab" TargetMode="External"/><Relationship  Id="rId2037" Type="http://schemas.openxmlformats.org/officeDocument/2006/relationships/hyperlink" Target="https://newschooltacos.fr" TargetMode="External"/><Relationship  Id="rId2038" Type="http://schemas.openxmlformats.org/officeDocument/2006/relationships/hyperlink" Target="http://www.linkedin.com/in/dominique-mathieu-855a5971" TargetMode="External"/><Relationship  Id="rId2039" Type="http://schemas.openxmlformats.org/officeDocument/2006/relationships/hyperlink" Target="https://sodelconcepts.com" TargetMode="External"/><Relationship  Id="rId204" Type="http://schemas.openxmlformats.org/officeDocument/2006/relationships/hyperlink" Target="http://www.linkedin.com/in/cyndie-berenguier-885a287a" TargetMode="External"/><Relationship  Id="rId2040" Type="http://schemas.openxmlformats.org/officeDocument/2006/relationships/hyperlink" Target="http://www.linkedin.com/in/edgarbaudin" TargetMode="External"/><Relationship  Id="rId2041" Type="http://schemas.openxmlformats.org/officeDocument/2006/relationships/hyperlink" Target="https://labri-marseille.fr" TargetMode="External"/><Relationship  Id="rId2042" Type="http://schemas.openxmlformats.org/officeDocument/2006/relationships/hyperlink" Target="http://www.linkedin.com/in/edouard-de-broglie-50b3321" TargetMode="External"/><Relationship  Id="rId2043" Type="http://schemas.openxmlformats.org/officeDocument/2006/relationships/hyperlink" Target="https://la-brigade.fr" TargetMode="External"/><Relationship  Id="rId2044" Type="http://schemas.openxmlformats.org/officeDocument/2006/relationships/hyperlink" Target="http://www.linkedin.com/in/emmanuel-chalandon-b7081920" TargetMode="External"/><Relationship  Id="rId2045" Type="http://schemas.openxmlformats.org/officeDocument/2006/relationships/hyperlink" Target="https://boracay.gr" TargetMode="External"/><Relationship  Id="rId2046" Type="http://schemas.openxmlformats.org/officeDocument/2006/relationships/hyperlink" Target="http://www.linkedin.com/in/emmanuel-tedesco-37342168" TargetMode="External"/><Relationship  Id="rId2047" Type="http://schemas.openxmlformats.org/officeDocument/2006/relationships/hyperlink" Target="https://yogurtfactory.fr" TargetMode="External"/><Relationship  Id="rId2048" Type="http://schemas.openxmlformats.org/officeDocument/2006/relationships/hyperlink" Target="http://www.linkedin.com/in/eric-nivoix-799a05" TargetMode="External"/><Relationship  Id="rId2049" Type="http://schemas.openxmlformats.org/officeDocument/2006/relationships/hyperlink" Target="https://foodomarket.com" TargetMode="External"/><Relationship  Id="rId205" Type="http://schemas.openxmlformats.org/officeDocument/2006/relationships/hyperlink" Target="http://www.hotelnorman.com" TargetMode="External"/><Relationship  Id="rId2050" Type="http://schemas.openxmlformats.org/officeDocument/2006/relationships/hyperlink" Target="http://www.linkedin.com/in/erik-gay-b2127121" TargetMode="External"/><Relationship  Id="rId2051" Type="http://schemas.openxmlformats.org/officeDocument/2006/relationships/hyperlink" Target="https://flams.fr" TargetMode="External"/><Relationship  Id="rId2052" Type="http://schemas.openxmlformats.org/officeDocument/2006/relationships/hyperlink" Target="http://www.linkedin.com/in/erwan-rouxel-6b610713" TargetMode="External"/><Relationship  Id="rId2053" Type="http://schemas.openxmlformats.org/officeDocument/2006/relationships/hyperlink" Target="https://signorizza.com" TargetMode="External"/><Relationship  Id="rId2054" Type="http://schemas.openxmlformats.org/officeDocument/2006/relationships/hyperlink" Target="http://www.linkedin.com/in/fabien-neel-269a2729" TargetMode="External"/><Relationship  Id="rId2055" Type="http://schemas.openxmlformats.org/officeDocument/2006/relationships/hyperlink" Target="http://www.linkedin.com/in/fabrice-fruoco" TargetMode="External"/><Relationship  Id="rId2056" Type="http://schemas.openxmlformats.org/officeDocument/2006/relationships/hyperlink" Target="https://basilic-and-co.com" TargetMode="External"/><Relationship  Id="rId2057" Type="http://schemas.openxmlformats.org/officeDocument/2006/relationships/hyperlink" Target="http://www.linkedin.com/in/firat-akarsu-1b7177153" TargetMode="External"/><Relationship  Id="rId2058" Type="http://schemas.openxmlformats.org/officeDocument/2006/relationships/hyperlink" Target="https://berliner-do.com" TargetMode="External"/><Relationship  Id="rId2059" Type="http://schemas.openxmlformats.org/officeDocument/2006/relationships/hyperlink" Target="http://www.linkedin.com/in/florence-martin07130" TargetMode="External"/><Relationship  Id="rId206" Type="http://schemas.openxmlformats.org/officeDocument/2006/relationships/hyperlink" Target="http://www.linkedin.com/in/pascal-l-59b44219" TargetMode="External"/><Relationship  Id="rId2060" Type="http://schemas.openxmlformats.org/officeDocument/2006/relationships/hyperlink" Target="https://picgroupinc.com" TargetMode="External"/><Relationship  Id="rId2061" Type="http://schemas.openxmlformats.org/officeDocument/2006/relationships/hyperlink" Target="http://www.linkedin.com/in/florent-baconnet-09b8071a5" TargetMode="External"/><Relationship  Id="rId2062" Type="http://schemas.openxmlformats.org/officeDocument/2006/relationships/hyperlink" Target="https://pizzacosy.fr" TargetMode="External"/><Relationship  Id="rId2063" Type="http://schemas.openxmlformats.org/officeDocument/2006/relationships/hyperlink" Target="http://www.linkedin.com/in/fran%c3%a7ois-martinez-017b4823" TargetMode="External"/><Relationship  Id="rId2064" Type="http://schemas.openxmlformats.org/officeDocument/2006/relationships/hyperlink" Target="http://www.linkedin.com/in/francois-beaudoin-page-49ba18115" TargetMode="External"/><Relationship  Id="rId2065" Type="http://schemas.openxmlformats.org/officeDocument/2006/relationships/hyperlink" Target="https://freshburritos.fr" TargetMode="External"/><Relationship  Id="rId2066" Type="http://schemas.openxmlformats.org/officeDocument/2006/relationships/hyperlink" Target="https://groupefhb.fr" TargetMode="External"/><Relationship  Id="rId2067" Type="http://schemas.openxmlformats.org/officeDocument/2006/relationships/hyperlink" Target="http://www.linkedin.com/in/anthony-mazzone-46a207177" TargetMode="External"/><Relationship  Id="rId2068" Type="http://schemas.openxmlformats.org/officeDocument/2006/relationships/hyperlink" Target="http://www.linkedin.com/in/gilles-abecassis-7634b5114" TargetMode="External"/><Relationship  Id="rId2069" Type="http://schemas.openxmlformats.org/officeDocument/2006/relationships/hyperlink" Target="https://bagelstein.com" TargetMode="External"/><Relationship  Id="rId207" Type="http://schemas.openxmlformats.org/officeDocument/2006/relationships/hyperlink" Target="http://www.domainedebarive.com" TargetMode="External"/><Relationship  Id="rId2070" Type="http://schemas.openxmlformats.org/officeDocument/2006/relationships/hyperlink" Target="http://www.linkedin.com/in/gr%c3%a9goire-leclercq-587645192" TargetMode="External"/><Relationship  Id="rId2071" Type="http://schemas.openxmlformats.org/officeDocument/2006/relationships/hyperlink" Target="https://taobento.fr" TargetMode="External"/><Relationship  Id="rId2072" Type="http://schemas.openxmlformats.org/officeDocument/2006/relationships/hyperlink" Target="http://www.linkedin.com/in/greg-marchand-601a172b3" TargetMode="External"/><Relationship  Id="rId2073" Type="http://schemas.openxmlformats.org/officeDocument/2006/relationships/hyperlink" Target="https://frenchie-restaurant.com" TargetMode="External"/><Relationship  Id="rId2074" Type="http://schemas.openxmlformats.org/officeDocument/2006/relationships/hyperlink" Target="http://www.linkedin.com/in/guillaume-lecointre-b896a913" TargetMode="External"/><Relationship  Id="rId2075" Type="http://schemas.openxmlformats.org/officeDocument/2006/relationships/hyperlink" Target="https://lecointreparis.com" TargetMode="External"/><Relationship  Id="rId2076" Type="http://schemas.openxmlformats.org/officeDocument/2006/relationships/hyperlink" Target="http://www.linkedin.com/in/guillaumenatas" TargetMode="External"/><Relationship  Id="rId2077" Type="http://schemas.openxmlformats.org/officeDocument/2006/relationships/hyperlink" Target="https://poutine.fr" TargetMode="External"/><Relationship  Id="rId2078" Type="http://schemas.openxmlformats.org/officeDocument/2006/relationships/hyperlink" Target="http://www.linkedin.com/in/guillaume-galloy-4b35709" TargetMode="External"/><Relationship  Id="rId2079" Type="http://schemas.openxmlformats.org/officeDocument/2006/relationships/hyperlink" Target="https://noma.dk" TargetMode="External"/><Relationship  Id="rId208" Type="http://schemas.openxmlformats.org/officeDocument/2006/relationships/hyperlink" Target="http://www.linkedin.com/in/alain-rozand-31021a262" TargetMode="External"/><Relationship  Id="rId2080" Type="http://schemas.openxmlformats.org/officeDocument/2006/relationships/hyperlink" Target="http://www.linkedin.com/in/hugo-cassaro-59890237" TargetMode="External"/><Relationship  Id="rId2081" Type="http://schemas.openxmlformats.org/officeDocument/2006/relationships/hyperlink" Target="http://www.linkedin.com/in/herve-sawko-7470b515" TargetMode="External"/><Relationship  Id="rId2082" Type="http://schemas.openxmlformats.org/officeDocument/2006/relationships/hyperlink" Target="https://wildandthemoon.fr" TargetMode="External"/><Relationship  Id="rId2083" Type="http://schemas.openxmlformats.org/officeDocument/2006/relationships/hyperlink" Target="http://www.linkedin.com/in/hubert-dessaint-24a2375" TargetMode="External"/><Relationship  Id="rId2084" Type="http://schemas.openxmlformats.org/officeDocument/2006/relationships/hyperlink" Target="http://www.linkedin.com/in/jade-frommer-788aa9130" TargetMode="External"/><Relationship  Id="rId2085" Type="http://schemas.openxmlformats.org/officeDocument/2006/relationships/hyperlink" Target="http://www.linkedin.com/in/jean-louis-flipo-a85a05128" TargetMode="External"/><Relationship  Id="rId2086" Type="http://schemas.openxmlformats.org/officeDocument/2006/relationships/hyperlink" Target="http://www.linkedin.com/in/julienperret" TargetMode="External"/><Relationship  Id="rId2087" Type="http://schemas.openxmlformats.org/officeDocument/2006/relationships/hyperlink" Target="https://bchef.fr" TargetMode="External"/><Relationship  Id="rId2088" Type="http://schemas.openxmlformats.org/officeDocument/2006/relationships/hyperlink" Target="http://www.linkedin.com/in/julien-sibellas-34137248" TargetMode="External"/><Relationship  Id="rId2089" Type="http://schemas.openxmlformats.org/officeDocument/2006/relationships/hyperlink" Target="http://www.linkedin.com/in/jordan-zeitoun-284816ba" TargetMode="External"/><Relationship  Id="rId209" Type="http://schemas.openxmlformats.org/officeDocument/2006/relationships/hyperlink" Target="http://www.linkedin.com/in/eric-dayan-2b7b3512b" TargetMode="External"/><Relationship  Id="rId2090" Type="http://schemas.openxmlformats.org/officeDocument/2006/relationships/hyperlink" Target="http://www.linkedin.com/in/karim-dardouri-01579570" TargetMode="External"/><Relationship  Id="rId2091" Type="http://schemas.openxmlformats.org/officeDocument/2006/relationships/hyperlink" Target="https://letacosdelyon.com" TargetMode="External"/><Relationship  Id="rId2092" Type="http://schemas.openxmlformats.org/officeDocument/2006/relationships/hyperlink" Target="http://www.linkedin.com/in/jean-michel-ramel-57392a170" TargetMode="External"/><Relationship  Id="rId2093" Type="http://schemas.openxmlformats.org/officeDocument/2006/relationships/hyperlink" Target="https://lestavernes.com" TargetMode="External"/><Relationship  Id="rId2094" Type="http://schemas.openxmlformats.org/officeDocument/2006/relationships/hyperlink" Target="http://www.linkedin.com/in/laurent-lacombe-6577a7105" TargetMode="External"/><Relationship  Id="rId2095" Type="http://schemas.openxmlformats.org/officeDocument/2006/relationships/hyperlink" Target="http://www.linkedin.com/in/louis-o-neill-b7043255" TargetMode="External"/><Relationship  Id="rId2096" Type="http://schemas.openxmlformats.org/officeDocument/2006/relationships/hyperlink" Target="http://www.linkedin.com/in/mathieu-bucher-041bb561" TargetMode="External"/><Relationship  Id="rId2097" Type="http://schemas.openxmlformats.org/officeDocument/2006/relationships/hyperlink" Target="https://river-cafe.com" TargetMode="External"/><Relationship  Id="rId2098" Type="http://schemas.openxmlformats.org/officeDocument/2006/relationships/hyperlink" Target="http://www.linkedin.com/in/margauxaymoznowak" TargetMode="External"/><Relationship  Id="rId2099" Type="http://schemas.openxmlformats.org/officeDocument/2006/relationships/hyperlink" Target="https://lafoliedouce.com" TargetMode="External"/><Relationship  Id="rId21" Type="http://schemas.openxmlformats.org/officeDocument/2006/relationships/hyperlink" Target="http://www.linkedin.com/in/nicolas-demoro-b5b019ba" TargetMode="External"/><Relationship  Id="rId210" Type="http://schemas.openxmlformats.org/officeDocument/2006/relationships/hyperlink" Target="http://www.highstay.com" TargetMode="External"/><Relationship  Id="rId2100" Type="http://schemas.openxmlformats.org/officeDocument/2006/relationships/hyperlink" Target="https://bds-restaurant.com" TargetMode="External"/><Relationship  Id="rId2101" Type="http://schemas.openxmlformats.org/officeDocument/2006/relationships/hyperlink" Target="http://www.linkedin.com/in/marine-pugnat-7110595b" TargetMode="External"/><Relationship  Id="rId2102" Type="http://schemas.openxmlformats.org/officeDocument/2006/relationships/hyperlink" Target="http://www.linkedin.com/in/marion-flipo-836b5922" TargetMode="External"/><Relationship  Id="rId2103" Type="http://schemas.openxmlformats.org/officeDocument/2006/relationships/hyperlink" Target="http://www.linkedin.com/in/marvens-francois-110a9193" TargetMode="External"/><Relationship  Id="rId2104" Type="http://schemas.openxmlformats.org/officeDocument/2006/relationships/hyperlink" Target="https://pbpouletbraise.fr" TargetMode="External"/><Relationship  Id="rId2105" Type="http://schemas.openxmlformats.org/officeDocument/2006/relationships/hyperlink" Target="https://dlcs.fr" TargetMode="External"/><Relationship  Id="rId2106" Type="http://schemas.openxmlformats.org/officeDocument/2006/relationships/hyperlink" Target="http://www.linkedin.com/in/matthieu-boivent-a4451517" TargetMode="External"/><Relationship  Id="rId2107" Type="http://schemas.openxmlformats.org/officeDocument/2006/relationships/hyperlink" Target="http://www.linkedin.com/in/maxence-lellouche-92ab2837" TargetMode="External"/><Relationship  Id="rId2108" Type="http://schemas.openxmlformats.org/officeDocument/2006/relationships/hyperlink" Target="https://it-trattoria.com" TargetMode="External"/><Relationship  Id="rId2109" Type="http://schemas.openxmlformats.org/officeDocument/2006/relationships/hyperlink" Target="http://www.linkedin.com/in/minhductruong" TargetMode="External"/><Relationship  Id="rId211" Type="http://schemas.openxmlformats.org/officeDocument/2006/relationships/hyperlink" Target="http://www.linkedin.com/in/s%c3%a9bastien-marques-4913148b" TargetMode="External"/><Relationship  Id="rId2110" Type="http://schemas.openxmlformats.org/officeDocument/2006/relationships/hyperlink" Target="https://woko.fr" TargetMode="External"/><Relationship  Id="rId2111" Type="http://schemas.openxmlformats.org/officeDocument/2006/relationships/hyperlink" Target="http://www.linkedin.com/in/mehdi-mousserati-03781712a" TargetMode="External"/><Relationship  Id="rId2112" Type="http://schemas.openxmlformats.org/officeDocument/2006/relationships/hyperlink" Target="https://leclubcafe.com" TargetMode="External"/><Relationship  Id="rId2113" Type="http://schemas.openxmlformats.org/officeDocument/2006/relationships/hyperlink" Target="https://crepetouch.com" TargetMode="External"/><Relationship  Id="rId2114" Type="http://schemas.openxmlformats.org/officeDocument/2006/relationships/hyperlink" Target="http://www.linkedin.com/in/nico-zurek-b6647865" TargetMode="External"/><Relationship  Id="rId2115" Type="http://schemas.openxmlformats.org/officeDocument/2006/relationships/hyperlink" Target="https://franchise-lapizzadenico.com" TargetMode="External"/><Relationship  Id="rId2116" Type="http://schemas.openxmlformats.org/officeDocument/2006/relationships/hyperlink" Target="http://www.linkedin.com/in/nicolas-demic-8a8b3a4b" TargetMode="External"/><Relationship  Id="rId2117" Type="http://schemas.openxmlformats.org/officeDocument/2006/relationships/hyperlink" Target="http://www.linkedin.com/in/nicolas-ribaud-5462a75a" TargetMode="External"/><Relationship  Id="rId2118" Type="http://schemas.openxmlformats.org/officeDocument/2006/relationships/hyperlink" Target="https://eatssushi.com" TargetMode="External"/><Relationship  Id="rId2119" Type="http://schemas.openxmlformats.org/officeDocument/2006/relationships/hyperlink" Target="http://www.linkedin.com/in/olivier-breillat-ba970456" TargetMode="External"/><Relationship  Id="rId212" Type="http://schemas.openxmlformats.org/officeDocument/2006/relationships/hyperlink" Target="http://www.annettek.fr" TargetMode="External"/><Relationship  Id="rId2120" Type="http://schemas.openxmlformats.org/officeDocument/2006/relationships/hyperlink" Target="http://www.linkedin.com/in/olivier-rego-03064658" TargetMode="External"/><Relationship  Id="rId2121" Type="http://schemas.openxmlformats.org/officeDocument/2006/relationships/hyperlink" Target="https://popeyesfrance.fr" TargetMode="External"/><Relationship  Id="rId2122" Type="http://schemas.openxmlformats.org/officeDocument/2006/relationships/hyperlink" Target="http://www.linkedin.com/in/ouriel-hodara-83714721" TargetMode="External"/><Relationship  Id="rId2123" Type="http://schemas.openxmlformats.org/officeDocument/2006/relationships/hyperlink" Target="http://www.linkedin.com/in/patrick-soula-5bb33baa" TargetMode="External"/><Relationship  Id="rId2124" Type="http://schemas.openxmlformats.org/officeDocument/2006/relationships/hyperlink" Target="https://tommys-cafe.com" TargetMode="External"/><Relationship  Id="rId2125" Type="http://schemas.openxmlformats.org/officeDocument/2006/relationships/hyperlink" Target="http://www.linkedin.com/in/pauline-monot-4a0a854" TargetMode="External"/><Relationship  Id="rId2126" Type="http://schemas.openxmlformats.org/officeDocument/2006/relationships/hyperlink" Target="http://www.linkedin.com/in/pierre-auvray-2707b3105" TargetMode="External"/><Relationship  Id="rId2127" Type="http://schemas.openxmlformats.org/officeDocument/2006/relationships/hyperlink" Target="https://maisons-bocuse.com" TargetMode="External"/><Relationship  Id="rId2128" Type="http://schemas.openxmlformats.org/officeDocument/2006/relationships/hyperlink" Target="http://www.linkedin.com/in/philippe-soille-95112611b" TargetMode="External"/><Relationship  Id="rId2129" Type="http://schemas.openxmlformats.org/officeDocument/2006/relationships/hyperlink" Target="https://grouperiembecker.com" TargetMode="External"/><Relationship  Id="rId213" Type="http://schemas.openxmlformats.org/officeDocument/2006/relationships/hyperlink" Target="http://www.linkedin.com/in/kevin-favergeaud-52276b155" TargetMode="External"/><Relationship  Id="rId2130" Type="http://schemas.openxmlformats.org/officeDocument/2006/relationships/hyperlink" Target="http://www.linkedin.com/in/rachid-ez-za%c3%afdi-25355511" TargetMode="External"/><Relationship  Id="rId2131" Type="http://schemas.openxmlformats.org/officeDocument/2006/relationships/hyperlink" Target="https://bagelcornerbistro.com" TargetMode="External"/><Relationship  Id="rId2132" Type="http://schemas.openxmlformats.org/officeDocument/2006/relationships/hyperlink" Target="http://www.linkedin.com/in/kamel-boulhadid-0a3903104" TargetMode="External"/><Relationship  Id="rId2133" Type="http://schemas.openxmlformats.org/officeDocument/2006/relationships/hyperlink" Target="https://groupebk.com" TargetMode="External"/><Relationship  Id="rId2134" Type="http://schemas.openxmlformats.org/officeDocument/2006/relationships/hyperlink" Target="https://labonbonniere.eu" TargetMode="External"/><Relationship  Id="rId2135" Type="http://schemas.openxmlformats.org/officeDocument/2006/relationships/hyperlink" Target="http://www.linkedin.com/in/r%c3%a9mi-sauget-764b81331" TargetMode="External"/><Relationship  Id="rId2136" Type="http://schemas.openxmlformats.org/officeDocument/2006/relationships/hyperlink" Target="http://www.linkedin.com/in/mathieu-petre-807541167" TargetMode="External"/><Relationship  Id="rId2137" Type="http://schemas.openxmlformats.org/officeDocument/2006/relationships/hyperlink" Target="http://www.linkedin.com/in/riadh-kayel-9737a1158" TargetMode="External"/><Relationship  Id="rId2138" Type="http://schemas.openxmlformats.org/officeDocument/2006/relationships/hyperlink" Target="http://www.linkedin.com/in/roberto-avallone-4532971b9" TargetMode="External"/><Relationship  Id="rId2139" Type="http://schemas.openxmlformats.org/officeDocument/2006/relationships/hyperlink" Target="http://www.linkedin.com/in/dardouri-salah-610287bb" TargetMode="External"/><Relationship  Id="rId214" Type="http://schemas.openxmlformats.org/officeDocument/2006/relationships/hyperlink" Target="http://www.delicity.com" TargetMode="External"/><Relationship  Id="rId2140" Type="http://schemas.openxmlformats.org/officeDocument/2006/relationships/hyperlink" Target="http://www.linkedin.com/in/salim-rezzag-698332211" TargetMode="External"/><Relationship  Id="rId2141" Type="http://schemas.openxmlformats.org/officeDocument/2006/relationships/hyperlink" Target="https://g-ladalle.com" TargetMode="External"/><Relationship  Id="rId2142" Type="http://schemas.openxmlformats.org/officeDocument/2006/relationships/hyperlink" Target="http://www.linkedin.com/in/sandrine-rouxel-landrin-b244a6161" TargetMode="External"/><Relationship  Id="rId2143" Type="http://schemas.openxmlformats.org/officeDocument/2006/relationships/hyperlink" Target="http://www.linkedin.com/in/sarah-piazza-nakam-55506b86" TargetMode="External"/><Relationship  Id="rId2144" Type="http://schemas.openxmlformats.org/officeDocument/2006/relationships/hyperlink" Target="https://saftakitchen.com" TargetMode="External"/><Relationship  Id="rId2145" Type="http://schemas.openxmlformats.org/officeDocument/2006/relationships/hyperlink" Target="http://www.linkedin.com/in/serguei-dutko-488133bb" TargetMode="External"/><Relationship  Id="rId2146" Type="http://schemas.openxmlformats.org/officeDocument/2006/relationships/hyperlink" Target="https://breizhcafe.com" TargetMode="External"/><Relationship  Id="rId2147" Type="http://schemas.openxmlformats.org/officeDocument/2006/relationships/hyperlink" Target="http://www.linkedin.com/in/sylvain-girot-74a4b666" TargetMode="External"/><Relationship  Id="rId2148" Type="http://schemas.openxmlformats.org/officeDocument/2006/relationships/hyperlink" Target="http://www.linkedin.com/in/scott-montillet-9649b760" TargetMode="External"/><Relationship  Id="rId2149" Type="http://schemas.openxmlformats.org/officeDocument/2006/relationships/hyperlink" Target="https://earlofsandwichusa.com" TargetMode="External"/><Relationship  Id="rId215" Type="http://schemas.openxmlformats.org/officeDocument/2006/relationships/hyperlink" Target="http://www.linkedin.com/in/yaech-darcissac-068a6ab5" TargetMode="External"/><Relationship  Id="rId2150" Type="http://schemas.openxmlformats.org/officeDocument/2006/relationships/hyperlink" Target="http://www.linkedin.com/in/toufic-guechi" TargetMode="External"/><Relationship  Id="rId2151" Type="http://schemas.openxmlformats.org/officeDocument/2006/relationships/hyperlink" Target="https://chickenstreet.fr" TargetMode="External"/><Relationship  Id="rId2152" Type="http://schemas.openxmlformats.org/officeDocument/2006/relationships/hyperlink" Target="http://www.linkedin.com/in/thierry-costes-9b3946186" TargetMode="External"/><Relationship  Id="rId2153" Type="http://schemas.openxmlformats.org/officeDocument/2006/relationships/hyperlink" Target="http://www.linkedin.com/in/teddy-gillot-06178a2a" TargetMode="External"/><Relationship  Id="rId2154" Type="http://schemas.openxmlformats.org/officeDocument/2006/relationships/hyperlink" Target="https://yannick-alleno.com" TargetMode="External"/><Relationship  Id="rId2155" Type="http://schemas.openxmlformats.org/officeDocument/2006/relationships/hyperlink" Target="http://www.linkedin.com/in/thibaultamat" TargetMode="External"/><Relationship  Id="rId2156" Type="http://schemas.openxmlformats.org/officeDocument/2006/relationships/hyperlink" Target="https://foud.com" TargetMode="External"/><Relationship  Id="rId2157" Type="http://schemas.openxmlformats.org/officeDocument/2006/relationships/hyperlink" Target="http://www.linkedin.com/in/thibaut-piedelievre-bab16b24a" TargetMode="External"/><Relationship  Id="rId2158" Type="http://schemas.openxmlformats.org/officeDocument/2006/relationships/hyperlink" Target="http://www.linkedin.com/in/thierry-gaudry-313a8a127" TargetMode="External"/><Relationship  Id="rId2159" Type="http://schemas.openxmlformats.org/officeDocument/2006/relationships/hyperlink" Target="http://www.linkedin.com/in/thierry-landron-a3bb95b6" TargetMode="External"/><Relationship  Id="rId216" Type="http://schemas.openxmlformats.org/officeDocument/2006/relationships/hyperlink" Target="http://www.tellmehow.fr" TargetMode="External"/><Relationship  Id="rId2160" Type="http://schemas.openxmlformats.org/officeDocument/2006/relationships/hyperlink" Target="https://meert.fr" TargetMode="External"/><Relationship  Id="rId2161" Type="http://schemas.openxmlformats.org/officeDocument/2006/relationships/hyperlink" Target="http://www.linkedin.com/in/thierry-veil-8460549" TargetMode="External"/><Relationship  Id="rId2162" Type="http://schemas.openxmlformats.org/officeDocument/2006/relationships/hyperlink" Target="http://www.linkedin.com/in/thierry-bourdoncle-14451820b" TargetMode="External"/><Relationship  Id="rId2163" Type="http://schemas.openxmlformats.org/officeDocument/2006/relationships/hyperlink" Target="https://groupebourdoncle.com" TargetMode="External"/><Relationship  Id="rId2164" Type="http://schemas.openxmlformats.org/officeDocument/2006/relationships/hyperlink" Target="http://www.linkedin.com/in/thierry-sfez-64547675" TargetMode="External"/><Relationship  Id="rId2165" Type="http://schemas.openxmlformats.org/officeDocument/2006/relationships/hyperlink" Target="https://spontinimilano.com" TargetMode="External"/><Relationship  Id="rId2166" Type="http://schemas.openxmlformats.org/officeDocument/2006/relationships/hyperlink" Target="http://www.linkedin.com/in/thomas-pluchart-92907b152" TargetMode="External"/><Relationship  Id="rId2167" Type="http://schemas.openxmlformats.org/officeDocument/2006/relationships/hyperlink" Target="http://www.linkedin.com/in/tom-thiellet-697b235b" TargetMode="External"/><Relationship  Id="rId2168" Type="http://schemas.openxmlformats.org/officeDocument/2006/relationships/hyperlink" Target="https://lemoulin.fr" TargetMode="External"/><Relationship  Id="rId2169" Type="http://schemas.openxmlformats.org/officeDocument/2006/relationships/hyperlink" Target="http://www.linkedin.com/in/val%c3%a9rianne-laulh%c3%a9-4913a7211" TargetMode="External"/><Relationship  Id="rId217" Type="http://schemas.openxmlformats.org/officeDocument/2006/relationships/hyperlink" Target="http://www.linkedin.com/in/rankin" TargetMode="External"/><Relationship  Id="rId2170" Type="http://schemas.openxmlformats.org/officeDocument/2006/relationships/hyperlink" Target="http://www.linkedin.com/in/vincent-fr%c3%a9haut-441bb2242" TargetMode="External"/><Relationship  Id="rId2171" Type="http://schemas.openxmlformats.org/officeDocument/2006/relationships/hyperlink" Target="https://hollysdiner.fr" TargetMode="External"/><Relationship  Id="rId2172" Type="http://schemas.openxmlformats.org/officeDocument/2006/relationships/hyperlink" Target="http://www.linkedin.com/in/victor-dubillot-014b338b" TargetMode="External"/><Relationship  Id="rId2173" Type="http://schemas.openxmlformats.org/officeDocument/2006/relationships/hyperlink" Target="http://www.linkedin.com/in/vincent-gibouin-b3b1a6b2" TargetMode="External"/><Relationship  Id="rId2174" Type="http://schemas.openxmlformats.org/officeDocument/2006/relationships/hyperlink" Target="http://www.linkedin.com/in/xavierzeitoun" TargetMode="External"/><Relationship  Id="rId2175" Type="http://schemas.openxmlformats.org/officeDocument/2006/relationships/hyperlink" Target="https://zenchef.com" TargetMode="External"/><Relationship  Id="rId2176" Type="http://schemas.openxmlformats.org/officeDocument/2006/relationships/hyperlink" Target="http://www.linkedin.com/in/yannick-branchereau" TargetMode="External"/><Relationship  Id="rId2177" Type="http://schemas.openxmlformats.org/officeDocument/2006/relationships/hyperlink" Target="https://tourdargent.com" TargetMode="External"/><Relationship  Id="rId2178" Type="http://schemas.openxmlformats.org/officeDocument/2006/relationships/hyperlink" Target="http://www.linkedin.com/in/yannick-rigaud-4754b697" TargetMode="External"/><Relationship  Id="rId2179" Type="http://schemas.openxmlformats.org/officeDocument/2006/relationships/hyperlink" Target="http://www.linkedin.com/in/yohann-aicardi-b49690b7" TargetMode="External"/><Relationship  Id="rId218" Type="http://schemas.openxmlformats.org/officeDocument/2006/relationships/hyperlink" Target="http://www.flavorsofparis.com" TargetMode="External"/><Relationship  Id="rId2180" Type="http://schemas.openxmlformats.org/officeDocument/2006/relationships/hyperlink" Target="http://www.linkedin.com/in/yves-hecker-%f0%9f%87%ba%f0%9f%87%a6-446024a9" TargetMode="External"/><Relationship  Id="rId2181" Type="http://schemas.openxmlformats.org/officeDocument/2006/relationships/hyperlink" Target="https://lesburgersdepapa.fr" TargetMode="External"/><Relationship  Id="rId2182" Type="http://schemas.openxmlformats.org/officeDocument/2006/relationships/hyperlink" Target="http://www.linkedin.com/in/benjamin-kahn-92b66185" TargetMode="External"/><Relationship  Id="rId2183" Type="http://schemas.openxmlformats.org/officeDocument/2006/relationships/hyperlink" Target="http://www.dinostays.com" TargetMode="External"/><Relationship  Id="rId2184" Type="http://schemas.openxmlformats.org/officeDocument/2006/relationships/hyperlink" Target="http://www.linkedin.com/in/benoit-greindl-9b91075" TargetMode="External"/><Relationship  Id="rId2185" Type="http://schemas.openxmlformats.org/officeDocument/2006/relationships/hyperlink" Target="http://www.montagne-alternative.com" TargetMode="External"/><Relationship  Id="rId2186" Type="http://schemas.openxmlformats.org/officeDocument/2006/relationships/hyperlink" Target="http://www.linkedin.com/in/aurores" TargetMode="External"/><Relationship  Id="rId2187" Type="http://schemas.openxmlformats.org/officeDocument/2006/relationships/hyperlink" Target="http://www.homeexchange.com/" TargetMode="External"/><Relationship  Id="rId2188" Type="http://schemas.openxmlformats.org/officeDocument/2006/relationships/hyperlink" Target="http://www.maisonmere.co/" TargetMode="External"/><Relationship  Id="rId2189" Type="http://schemas.openxmlformats.org/officeDocument/2006/relationships/hyperlink" Target="http://www.linkedin.com/in/barbarasteinert" TargetMode="External"/><Relationship  Id="rId219" Type="http://schemas.openxmlformats.org/officeDocument/2006/relationships/hyperlink" Target="http://www.linkedin.com/in/lisa-grant-46b10a10" TargetMode="External"/><Relationship  Id="rId2190" Type="http://schemas.openxmlformats.org/officeDocument/2006/relationships/hyperlink" Target="http://www.dayuse.com" TargetMode="External"/><Relationship  Id="rId2191" Type="http://schemas.openxmlformats.org/officeDocument/2006/relationships/hyperlink" Target="http://www.linkedin.com/in/antoniarusinov" TargetMode="External"/><Relationship  Id="rId2192" Type="http://schemas.openxmlformats.org/officeDocument/2006/relationships/hyperlink" Target="http://www.localflavourstours.com" TargetMode="External"/><Relationship  Id="rId2193" Type="http://schemas.openxmlformats.org/officeDocument/2006/relationships/hyperlink" Target="http://www.etincelles.com" TargetMode="External"/><Relationship  Id="rId2194" Type="http://schemas.openxmlformats.org/officeDocument/2006/relationships/hyperlink" Target="http://www.linkedin.com/in/aldin-%e2%80%9edino%e2%80%9c-m%c3%bcri-1b95901a0" TargetMode="External"/><Relationship  Id="rId2195" Type="http://schemas.openxmlformats.org/officeDocument/2006/relationships/hyperlink" Target="http://www.bauraulac.ch" TargetMode="External"/><Relationship  Id="rId2196" Type="http://schemas.openxmlformats.org/officeDocument/2006/relationships/hyperlink" Target="http://www.linkedin.com/in/aboubakr-hennou-5093048b" TargetMode="External"/><Relationship  Id="rId2197" Type="http://schemas.openxmlformats.org/officeDocument/2006/relationships/hyperlink" Target="http://www.ihg.com" TargetMode="External"/><Relationship  Id="rId2198" Type="http://schemas.openxmlformats.org/officeDocument/2006/relationships/hyperlink" Target="http://www.linkedin.com/in/adrian-affentranger-17837b40" TargetMode="External"/><Relationship  Id="rId2199" Type="http://schemas.openxmlformats.org/officeDocument/2006/relationships/hyperlink" Target="http://www.diwisa.com" TargetMode="External"/><Relationship  Id="rId22" Type="http://schemas.openxmlformats.org/officeDocument/2006/relationships/hyperlink" Target="http://www.lunicco.fr" TargetMode="External"/><Relationship  Id="rId220" Type="http://schemas.openxmlformats.org/officeDocument/2006/relationships/hyperlink" Target="http://www.blackolivecollection.com" TargetMode="External"/><Relationship  Id="rId2200" Type="http://schemas.openxmlformats.org/officeDocument/2006/relationships/hyperlink" Target="http://www.linkedin.com/in/adrievreeke" TargetMode="External"/><Relationship  Id="rId2201" Type="http://schemas.openxmlformats.org/officeDocument/2006/relationships/hyperlink" Target="http://www.capsule-services.com" TargetMode="External"/><Relationship  Id="rId2202" Type="http://schemas.openxmlformats.org/officeDocument/2006/relationships/hyperlink" Target="http://www.linkedin.com/in/awidmer1" TargetMode="External"/><Relationship  Id="rId2203" Type="http://schemas.openxmlformats.org/officeDocument/2006/relationships/hyperlink" Target="http://www.westhive.com" TargetMode="External"/><Relationship  Id="rId2204" Type="http://schemas.openxmlformats.org/officeDocument/2006/relationships/hyperlink" Target="http://www.linkedin.com/in/anjagraf" TargetMode="External"/><Relationship  Id="rId2205" Type="http://schemas.openxmlformats.org/officeDocument/2006/relationships/hyperlink" Target="http://www.visionapartments.com" TargetMode="External"/><Relationship  Id="rId2206" Type="http://schemas.openxmlformats.org/officeDocument/2006/relationships/hyperlink" Target="http://www.linkedin.com/in/clausbornholt" TargetMode="External"/><Relationship  Id="rId2207" Type="http://schemas.openxmlformats.org/officeDocument/2006/relationships/hyperlink" Target="http://www.guest-house.co" TargetMode="External"/><Relationship  Id="rId2208" Type="http://schemas.openxmlformats.org/officeDocument/2006/relationships/hyperlink" Target="http://www.linkedin.com/in/julie-t-892b50136" TargetMode="External"/><Relationship  Id="rId2209" Type="http://schemas.openxmlformats.org/officeDocument/2006/relationships/hyperlink" Target="http://www.hotelacanthe.com" TargetMode="External"/><Relationship  Id="rId221" Type="http://schemas.openxmlformats.org/officeDocument/2006/relationships/hyperlink" Target="http://www.linkedin.com/in/timothy-olson-b814017" TargetMode="External"/><Relationship  Id="rId2210" Type="http://schemas.openxmlformats.org/officeDocument/2006/relationships/hyperlink" Target="http://www.linkedin.com/in/charles-segond-64060210" TargetMode="External"/><Relationship  Id="rId2211" Type="http://schemas.openxmlformats.org/officeDocument/2006/relationships/hyperlink" Target="http://www.maybourneriviera.com" TargetMode="External"/><Relationship  Id="rId2212" Type="http://schemas.openxmlformats.org/officeDocument/2006/relationships/hyperlink" Target="http://www.linkedin.com/in/emilien-sommier" TargetMode="External"/><Relationship  Id="rId2213" Type="http://schemas.openxmlformats.org/officeDocument/2006/relationships/hyperlink" Target="http://www.definitelydifferent.com" TargetMode="External"/><Relationship  Id="rId2214" Type="http://schemas.openxmlformats.org/officeDocument/2006/relationships/hyperlink" Target="http://www.homeexchange.com" TargetMode="External"/><Relationship  Id="rId2215" Type="http://schemas.openxmlformats.org/officeDocument/2006/relationships/hyperlink" Target="http://www.linkedin.com/in/alex-laukenmann-a13200a9" TargetMode="External"/><Relationship  Id="rId2216" Type="http://schemas.openxmlformats.org/officeDocument/2006/relationships/hyperlink" Target="http://www.sv-hotel.ch" TargetMode="External"/><Relationship  Id="rId2217" Type="http://schemas.openxmlformats.org/officeDocument/2006/relationships/hyperlink" Target="http://www.linkedin.com/in/eugenie-croizat-372b131" TargetMode="External"/><Relationship  Id="rId2218" Type="http://schemas.openxmlformats.org/officeDocument/2006/relationships/hyperlink" Target="http://www.groupegm.com" TargetMode="External"/><Relationship  Id="rId2219" Type="http://schemas.openxmlformats.org/officeDocument/2006/relationships/hyperlink" Target="http://www.linkedin.com/in/eugenielemiere" TargetMode="External"/><Relationship  Id="rId222" Type="http://schemas.openxmlformats.org/officeDocument/2006/relationships/hyperlink" Target="http://www.thebordeauxconcierge.com" TargetMode="External"/><Relationship  Id="rId2220" Type="http://schemas.openxmlformats.org/officeDocument/2006/relationships/hyperlink" Target="http://www.maisonmere.co" TargetMode="External"/><Relationship  Id="rId2221" Type="http://schemas.openxmlformats.org/officeDocument/2006/relationships/hyperlink" Target="http://www.linkedin.com/in/everhaggiag" TargetMode="External"/><Relationship  Id="rId2222" Type="http://schemas.openxmlformats.org/officeDocument/2006/relationships/hyperlink" Target="http://www.laclegroup.com" TargetMode="External"/><Relationship  Id="rId2223" Type="http://schemas.openxmlformats.org/officeDocument/2006/relationships/hyperlink" Target="http://www.linkedin.com/in/frederic-jaudin-0a688" TargetMode="External"/><Relationship  Id="rId2224" Type="http://schemas.openxmlformats.org/officeDocument/2006/relationships/hyperlink" Target="http://www.yellohvillage.fr" TargetMode="External"/><Relationship  Id="rId2225" Type="http://schemas.openxmlformats.org/officeDocument/2006/relationships/hyperlink" Target="http://www.linkedin.com/in/daniel-f-lauber-62aa6b74" TargetMode="External"/><Relationship  Id="rId2226" Type="http://schemas.openxmlformats.org/officeDocument/2006/relationships/hyperlink" Target="http://www.cervo.swiss" TargetMode="External"/><Relationship  Id="rId2227" Type="http://schemas.openxmlformats.org/officeDocument/2006/relationships/hyperlink" Target="http://www.linkedin.com/in/dave-brewitt-192182156" TargetMode="External"/><Relationship  Id="rId2228" Type="http://schemas.openxmlformats.org/officeDocument/2006/relationships/hyperlink" Target="http://www.hopestreethotel.co.uk" TargetMode="External"/><Relationship  Id="rId2229" Type="http://schemas.openxmlformats.org/officeDocument/2006/relationships/hyperlink" Target="http://www.linkedin.com/in/david-weiermair-14916a65" TargetMode="External"/><Relationship  Id="rId223" Type="http://schemas.openxmlformats.org/officeDocument/2006/relationships/hyperlink" Target="http://www.linkedin.com/in/hodsonjames" TargetMode="External"/><Relationship  Id="rId2230" Type="http://schemas.openxmlformats.org/officeDocument/2006/relationships/hyperlink" Target="http://www.swissholidaypark.ch" TargetMode="External"/><Relationship  Id="rId2231" Type="http://schemas.openxmlformats.org/officeDocument/2006/relationships/hyperlink" Target="http://www.linkedin.com/in/maxime-bedere-ba3333102" TargetMode="External"/><Relationship  Id="rId2232" Type="http://schemas.openxmlformats.org/officeDocument/2006/relationships/hyperlink" Target="http://www.67pallmall.com" TargetMode="External"/><Relationship  Id="rId2233" Type="http://schemas.openxmlformats.org/officeDocument/2006/relationships/hyperlink" Target="http://www.linkedin.com/in/lesaulnier-maxime-105b8621" TargetMode="External"/><Relationship  Id="rId2234" Type="http://schemas.openxmlformats.org/officeDocument/2006/relationships/hyperlink" Target="http://www.gogaille.fr" TargetMode="External"/><Relationship  Id="rId2235" Type="http://schemas.openxmlformats.org/officeDocument/2006/relationships/hyperlink" Target="http://www.linkedin.com/in/mayline-auguste-virginie-07201914b" TargetMode="External"/><Relationship  Id="rId2236" Type="http://schemas.openxmlformats.org/officeDocument/2006/relationships/hyperlink" Target="http://www.linkedin.com/in/orazio-noto-8b0a316" TargetMode="External"/><Relationship  Id="rId2237" Type="http://schemas.openxmlformats.org/officeDocument/2006/relationships/hyperlink" Target="http://www.orfea.fr" TargetMode="External"/><Relationship  Id="rId2238" Type="http://schemas.openxmlformats.org/officeDocument/2006/relationships/hyperlink" Target="http://www.linkedin.com/in/philipp-kopf-02a017163" TargetMode="External"/><Relationship  Id="rId2239" Type="http://schemas.openxmlformats.org/officeDocument/2006/relationships/hyperlink" Target="http://www.linkedin.com/in/francoismare" TargetMode="External"/><Relationship  Id="rId224" Type="http://schemas.openxmlformats.org/officeDocument/2006/relationships/hyperlink" Target="http://www.go-montgenevre.com" TargetMode="External"/><Relationship  Id="rId2240" Type="http://schemas.openxmlformats.org/officeDocument/2006/relationships/hyperlink" Target="http://www.onefinestay.com" TargetMode="External"/><Relationship  Id="rId2241" Type="http://schemas.openxmlformats.org/officeDocument/2006/relationships/hyperlink" Target="http://www.linkedin.com/in/francois-mary-77923753" TargetMode="External"/><Relationship  Id="rId2242" Type="http://schemas.openxmlformats.org/officeDocument/2006/relationships/hyperlink" Target="http://www.naoshotel.com" TargetMode="External"/><Relationship  Id="rId2243" Type="http://schemas.openxmlformats.org/officeDocument/2006/relationships/hyperlink" Target="http://www.linkedin.com/in/francoisraballand" TargetMode="External"/><Relationship  Id="rId2244" Type="http://schemas.openxmlformats.org/officeDocument/2006/relationships/hyperlink" Target="http://www.hotelspreference.com" TargetMode="External"/><Relationship  Id="rId2245" Type="http://schemas.openxmlformats.org/officeDocument/2006/relationships/hyperlink" Target="http://www.linkedin.com/in/julie-gutmann-2427164b" TargetMode="External"/><Relationship  Id="rId2246" Type="http://schemas.openxmlformats.org/officeDocument/2006/relationships/hyperlink" Target="http://www.linkedin.com/in/julie-joubert-968852148" TargetMode="External"/><Relationship  Id="rId2247" Type="http://schemas.openxmlformats.org/officeDocument/2006/relationships/hyperlink" Target="http://www.gekko-group.com" TargetMode="External"/><Relationship  Id="rId2248" Type="http://schemas.openxmlformats.org/officeDocument/2006/relationships/hyperlink" Target="http://www.linkedin.com/in/juliette-frise-pinault-95814413b" TargetMode="External"/><Relationship  Id="rId2249" Type="http://schemas.openxmlformats.org/officeDocument/2006/relationships/hyperlink" Target="http://www.loscar.com" TargetMode="External"/><Relationship  Id="rId225" Type="http://schemas.openxmlformats.org/officeDocument/2006/relationships/hyperlink" Target="http://www.linkedin.com/in/damien-romera" TargetMode="External"/><Relationship  Id="rId2250" Type="http://schemas.openxmlformats.org/officeDocument/2006/relationships/hyperlink" Target="http://www.dalmatahospitality.com" TargetMode="External"/><Relationship  Id="rId2251" Type="http://schemas.openxmlformats.org/officeDocument/2006/relationships/hyperlink" Target="http://www.staycation.co" TargetMode="External"/><Relationship  Id="rId2252" Type="http://schemas.openxmlformats.org/officeDocument/2006/relationships/hyperlink" Target="http://www.linkedin.com/in/matt%c3%a9o-roy-b674421b8" TargetMode="External"/><Relationship  Id="rId2253" Type="http://schemas.openxmlformats.org/officeDocument/2006/relationships/hyperlink" Target="http://www.linkedin.com/in/gregoire-schwebig" TargetMode="External"/><Relationship  Id="rId2254" Type="http://schemas.openxmlformats.org/officeDocument/2006/relationships/hyperlink" Target="http://www.africaworks.co" TargetMode="External"/><Relationship  Id="rId2255" Type="http://schemas.openxmlformats.org/officeDocument/2006/relationships/hyperlink" Target="http://www.linkedin.com/in/guillaumefontana" TargetMode="External"/><Relationship  Id="rId2256" Type="http://schemas.openxmlformats.org/officeDocument/2006/relationships/hyperlink" Target="http://www.linkedin.com/in/romain-fenninger-7459b738" TargetMode="External"/><Relationship  Id="rId2257" Type="http://schemas.openxmlformats.org/officeDocument/2006/relationships/hyperlink" Target="http://www.linkedin.com/in/urs-langenegger-ab703a39" TargetMode="External"/><Relationship  Id="rId2258" Type="http://schemas.openxmlformats.org/officeDocument/2006/relationships/hyperlink" Target="http://www.hvll.ch" TargetMode="External"/><Relationship  Id="rId2259" Type="http://schemas.openxmlformats.org/officeDocument/2006/relationships/hyperlink" Target="http://www.linkedin.com/in/chlo%c3%a9-tournadre-39951224" TargetMode="External"/><Relationship  Id="rId226" Type="http://schemas.openxmlformats.org/officeDocument/2006/relationships/hyperlink" Target="http://www.sacrearmand.com" TargetMode="External"/><Relationship  Id="rId2260" Type="http://schemas.openxmlformats.org/officeDocument/2006/relationships/hyperlink" Target="http://www.groupecentaurus.com" TargetMode="External"/><Relationship  Id="rId2261" Type="http://schemas.openxmlformats.org/officeDocument/2006/relationships/hyperlink" Target="http://www.linkedin.com/in/christian-frei-59b70818" TargetMode="External"/><Relationship  Id="rId2262" Type="http://schemas.openxmlformats.org/officeDocument/2006/relationships/hyperlink" Target="http://www.meili-selection.ch" TargetMode="External"/><Relationship  Id="rId2263" Type="http://schemas.openxmlformats.org/officeDocument/2006/relationships/hyperlink" Target="http://www.linkedin.com/in/rolf-lang-a04a168" TargetMode="External"/><Relationship  Id="rId2264" Type="http://schemas.openxmlformats.org/officeDocument/2006/relationships/hyperlink" Target="http://www.wehost.fr" TargetMode="External"/><Relationship  Id="rId2265" Type="http://schemas.openxmlformats.org/officeDocument/2006/relationships/hyperlink" Target="http://www.linkedin.com/in/romain-piacentino-abb4a315a" TargetMode="External"/><Relationship  Id="rId2266" Type="http://schemas.openxmlformats.org/officeDocument/2006/relationships/hyperlink" Target="http://www.couventdesminimes-hotelspa.com" TargetMode="External"/><Relationship  Id="rId2267" Type="http://schemas.openxmlformats.org/officeDocument/2006/relationships/hyperlink" Target="http://www.linkedin.com/in/julesthijssen" TargetMode="External"/><Relationship  Id="rId2268" Type="http://schemas.openxmlformats.org/officeDocument/2006/relationships/hyperlink" Target="http://www.sofitel-le-scribe-paris-opera.com" TargetMode="External"/><Relationship  Id="rId2269" Type="http://schemas.openxmlformats.org/officeDocument/2006/relationships/hyperlink" Target="http://www.linkedin.com/in/dakshin-bhasker-a0872315a" TargetMode="External"/><Relationship  Id="rId227" Type="http://schemas.openxmlformats.org/officeDocument/2006/relationships/hyperlink" Target="http://www.linkedin.com/in/kevin-andr%c3%a9-63560b49" TargetMode="External"/><Relationship  Id="rId2270" Type="http://schemas.openxmlformats.org/officeDocument/2006/relationships/hyperlink" Target="http://www.tsgresorts.in" TargetMode="External"/><Relationship  Id="rId2271" Type="http://schemas.openxmlformats.org/officeDocument/2006/relationships/hyperlink" Target="http://www.linkedin.com/in/alexia-oudin-corre%e2%9c%a8-11299416" TargetMode="External"/><Relationship  Id="rId2272" Type="http://schemas.openxmlformats.org/officeDocument/2006/relationships/hyperlink" Target="http://www.linkedin.com/in/patrick-bircher-107364127" TargetMode="External"/><Relationship  Id="rId2273" Type="http://schemas.openxmlformats.org/officeDocument/2006/relationships/hyperlink" Target="http://www.dieci.ch" TargetMode="External"/><Relationship  Id="rId2274" Type="http://schemas.openxmlformats.org/officeDocument/2006/relationships/hyperlink" Target="http://www.linkedin.com/in/patrickzanello" TargetMode="External"/><Relationship  Id="rId2275" Type="http://schemas.openxmlformats.org/officeDocument/2006/relationships/hyperlink" Target="http://www.boas-swiss-hotels.ch" TargetMode="External"/><Relationship  Id="rId2276" Type="http://schemas.openxmlformats.org/officeDocument/2006/relationships/hyperlink" Target="http://www.linkedin.com/in/lukas-fritschi" TargetMode="External"/><Relationship  Id="rId2277" Type="http://schemas.openxmlformats.org/officeDocument/2006/relationships/hyperlink" Target="http://www.b-smarts.net" TargetMode="External"/><Relationship  Id="rId2278" Type="http://schemas.openxmlformats.org/officeDocument/2006/relationships/hyperlink" Target="http://www.groupe-sogepar-hotels.com" TargetMode="External"/><Relationship  Id="rId2279" Type="http://schemas.openxmlformats.org/officeDocument/2006/relationships/hyperlink" Target="http://www.lesdomainesdefontenille.com" TargetMode="External"/><Relationship  Id="rId228" Type="http://schemas.openxmlformats.org/officeDocument/2006/relationships/hyperlink" Target="http://www.kawaa.co" TargetMode="External"/><Relationship  Id="rId2280" Type="http://schemas.openxmlformats.org/officeDocument/2006/relationships/hyperlink" Target="http://www.linkedin.com/in/florent-thor-130bb425" TargetMode="External"/><Relationship  Id="rId2281" Type="http://schemas.openxmlformats.org/officeDocument/2006/relationships/hyperlink" Target="http://www.lilly.com" TargetMode="External"/><Relationship  Id="rId2282" Type="http://schemas.openxmlformats.org/officeDocument/2006/relationships/hyperlink" Target="http://www.linkedin.com/in/d%c3%a9borah-horovitz-43309b43" TargetMode="External"/><Relationship  Id="rId2283" Type="http://schemas.openxmlformats.org/officeDocument/2006/relationships/hyperlink" Target="http://www.withlove-hospitality.com" TargetMode="External"/><Relationship  Id="rId2284" Type="http://schemas.openxmlformats.org/officeDocument/2006/relationships/hyperlink" Target="http://www.linkedin.com/in/manuela-schwingshackl-a8614733" TargetMode="External"/><Relationship  Id="rId2285" Type="http://schemas.openxmlformats.org/officeDocument/2006/relationships/hyperlink" Target="http://www.pulseresorts.com" TargetMode="External"/><Relationship  Id="rId2286" Type="http://schemas.openxmlformats.org/officeDocument/2006/relationships/hyperlink" Target="http://www.linkedin.com/in/marcel-wohlgemuth-56365b141" TargetMode="External"/><Relationship  Id="rId2287" Type="http://schemas.openxmlformats.org/officeDocument/2006/relationships/hyperlink" Target="http://www.a-chesa.ch" TargetMode="External"/><Relationship  Id="rId2288" Type="http://schemas.openxmlformats.org/officeDocument/2006/relationships/hyperlink" Target="http://www.linkedin.com/in/margaux-lind%c3%a9-7a730850" TargetMode="External"/><Relationship  Id="rId2289" Type="http://schemas.openxmlformats.org/officeDocument/2006/relationships/hyperlink" Target="http://www.elegancia-hotels.com" TargetMode="External"/><Relationship  Id="rId229" Type="http://schemas.openxmlformats.org/officeDocument/2006/relationships/hyperlink" Target="http://www.linkedin.com/in/florent-parnot-a8526544" TargetMode="External"/><Relationship  Id="rId2290" Type="http://schemas.openxmlformats.org/officeDocument/2006/relationships/hyperlink" Target="http://www.linkedin.com/in/christoph-wondraczek-1a2a5a4a" TargetMode="External"/><Relationship  Id="rId2291" Type="http://schemas.openxmlformats.org/officeDocument/2006/relationships/hyperlink" Target="http://www.thehamlet.com" TargetMode="External"/><Relationship  Id="rId2292" Type="http://schemas.openxmlformats.org/officeDocument/2006/relationships/hyperlink" Target="http://www.linkedin.com/in/christophe-thomas-5ab2a25" TargetMode="External"/><Relationship  Id="rId2293" Type="http://schemas.openxmlformats.org/officeDocument/2006/relationships/hyperlink" Target="http://www.aethos.com" TargetMode="External"/><Relationship  Id="rId2294" Type="http://schemas.openxmlformats.org/officeDocument/2006/relationships/hyperlink" Target="http://www.entegraps.com" TargetMode="External"/><Relationship  Id="rId2295" Type="http://schemas.openxmlformats.org/officeDocument/2006/relationships/hyperlink" Target="http://www.linkedin.com/in/domenic-zembrod-305497247" TargetMode="External"/><Relationship  Id="rId2296" Type="http://schemas.openxmlformats.org/officeDocument/2006/relationships/hyperlink" Target="http://www.fred-tschanz.ch" TargetMode="External"/><Relationship  Id="rId2297" Type="http://schemas.openxmlformats.org/officeDocument/2006/relationships/hyperlink" Target="http://www.linkedin.com/in/hansj%c3%bcrg-nagy-b6317048" TargetMode="External"/><Relationship  Id="rId2298" Type="http://schemas.openxmlformats.org/officeDocument/2006/relationships/hyperlink" Target="http://www.linkedin.com/in/henriroelings" TargetMode="External"/><Relationship  Id="rId2299" Type="http://schemas.openxmlformats.org/officeDocument/2006/relationships/hyperlink" Target="http://www.hospitalitynet.org" TargetMode="External"/><Relationship  Id="rId23" Type="http://schemas.openxmlformats.org/officeDocument/2006/relationships/hyperlink" Target="http://www.linkedin.com/in/raphael-roques-98151231" TargetMode="External"/><Relationship  Id="rId230" Type="http://schemas.openxmlformats.org/officeDocument/2006/relationships/hyperlink" Target="http://www.seagreen-campings.com" TargetMode="External"/><Relationship  Id="rId2300" Type="http://schemas.openxmlformats.org/officeDocument/2006/relationships/hyperlink" Target="http://www.linkedin.com/in/herve-mahler-a507aab8" TargetMode="External"/><Relationship  Id="rId2301" Type="http://schemas.openxmlformats.org/officeDocument/2006/relationships/hyperlink" Target="http://www.lestroisrois.com" TargetMode="External"/><Relationship  Id="rId2302" Type="http://schemas.openxmlformats.org/officeDocument/2006/relationships/hyperlink" Target="http://www.linkedin.com/in/gunterweilguni" TargetMode="External"/><Relationship  Id="rId2303" Type="http://schemas.openxmlformats.org/officeDocument/2006/relationships/hyperlink" Target="http://www.huusgstaad.com" TargetMode="External"/><Relationship  Id="rId2304" Type="http://schemas.openxmlformats.org/officeDocument/2006/relationships/hyperlink" Target="http://www.linkedin.com/in/daniel-weist-7405a51a5" TargetMode="External"/><Relationship  Id="rId2305" Type="http://schemas.openxmlformats.org/officeDocument/2006/relationships/hyperlink" Target="http://www.widderhotel.ch" TargetMode="External"/><Relationship  Id="rId2306" Type="http://schemas.openxmlformats.org/officeDocument/2006/relationships/hyperlink" Target="http://www.linkedin.com/in/xavier-collange" TargetMode="External"/><Relationship  Id="rId2307" Type="http://schemas.openxmlformats.org/officeDocument/2006/relationships/hyperlink" Target="http://www.var.ch" TargetMode="External"/><Relationship  Id="rId2308" Type="http://schemas.openxmlformats.org/officeDocument/2006/relationships/hyperlink" Target="http://www.linkedin.com/in/nils-cassignol-3a74635a" TargetMode="External"/><Relationship  Id="rId2309" Type="http://schemas.openxmlformats.org/officeDocument/2006/relationships/hyperlink" Target="http://www.gracestmoritz.ch" TargetMode="External"/><Relationship  Id="rId231" Type="http://schemas.openxmlformats.org/officeDocument/2006/relationships/hyperlink" Target="http://www.linkedin.com/in/mathieu-dacheville-2a968777" TargetMode="External"/><Relationship  Id="rId2310" Type="http://schemas.openxmlformats.org/officeDocument/2006/relationships/hyperlink" Target="http://www.linkedin.com/in/nils-frey-78b449135" TargetMode="External"/><Relationship  Id="rId2311" Type="http://schemas.openxmlformats.org/officeDocument/2006/relationships/hyperlink" Target="http://www.thecircleconventioncentre.ch" TargetMode="External"/><Relationship  Id="rId2312" Type="http://schemas.openxmlformats.org/officeDocument/2006/relationships/hyperlink" Target="http://www.linkedin.com/in/stefan-donner-889837123" TargetMode="External"/><Relationship  Id="rId2313" Type="http://schemas.openxmlformats.org/officeDocument/2006/relationships/hyperlink" Target="http://www.harrys-home.com" TargetMode="External"/><Relationship  Id="rId2314" Type="http://schemas.openxmlformats.org/officeDocument/2006/relationships/hyperlink" Target="http://www.linkedin.com/in/stephane-marcel-9734b05" TargetMode="External"/><Relationship  Id="rId2315" Type="http://schemas.openxmlformats.org/officeDocument/2006/relationships/hyperlink" Target="http://www.linkedin.com/in/charlie-cardinal" TargetMode="External"/><Relationship  Id="rId2316" Type="http://schemas.openxmlformats.org/officeDocument/2006/relationships/hyperlink" Target="http://www.yonabeach.com" TargetMode="External"/><Relationship  Id="rId2317" Type="http://schemas.openxmlformats.org/officeDocument/2006/relationships/hyperlink" Target="http://www.linkedin.com/in/chiara-mirante-" TargetMode="External"/><Relationship  Id="rId2318" Type="http://schemas.openxmlformats.org/officeDocument/2006/relationships/hyperlink" Target="http://www.villa-saxe-eiffel.com" TargetMode="External"/><Relationship  Id="rId2319" Type="http://schemas.openxmlformats.org/officeDocument/2006/relationships/hyperlink" Target="http://www.alpazurhotels.com" TargetMode="External"/><Relationship  Id="rId232" Type="http://schemas.openxmlformats.org/officeDocument/2006/relationships/hyperlink" Target="http://www.yoomyfoodgroup.com" TargetMode="External"/><Relationship  Id="rId2320" Type="http://schemas.openxmlformats.org/officeDocument/2006/relationships/hyperlink" Target="http://www.bedycasa.com" TargetMode="External"/><Relationship  Id="rId2321" Type="http://schemas.openxmlformats.org/officeDocument/2006/relationships/hyperlink" Target="http://www.linkedin.com/in/manon-delseray-06b890143" TargetMode="External"/><Relationship  Id="rId2322" Type="http://schemas.openxmlformats.org/officeDocument/2006/relationships/hyperlink" Target="http://www.linkedin.com/in/wiebke-kuhlmei-4741387b" TargetMode="External"/><Relationship  Id="rId2323" Type="http://schemas.openxmlformats.org/officeDocument/2006/relationships/hyperlink" Target="http://www.candrian.com" TargetMode="External"/><Relationship  Id="rId2324" Type="http://schemas.openxmlformats.org/officeDocument/2006/relationships/hyperlink" Target="http://www.linkedin.com/in/rainer-m-willa" TargetMode="External"/><Relationship  Id="rId2325" Type="http://schemas.openxmlformats.org/officeDocument/2006/relationships/hyperlink" Target="http://www.hotelpartner.com" TargetMode="External"/><Relationship  Id="rId2326" Type="http://schemas.openxmlformats.org/officeDocument/2006/relationships/hyperlink" Target="http://www.linkedin.com/in/raphael-pedroncelli-39181656" TargetMode="External"/><Relationship  Id="rId2327" Type="http://schemas.openxmlformats.org/officeDocument/2006/relationships/hyperlink" Target="http://www.storchen.ch" TargetMode="External"/><Relationship  Id="rId2328" Type="http://schemas.openxmlformats.org/officeDocument/2006/relationships/hyperlink" Target="http://www.linkedin.com/in/fabian-m%c3%bcller-a13288168" TargetMode="External"/><Relationship  Id="rId2329" Type="http://schemas.openxmlformats.org/officeDocument/2006/relationships/hyperlink" Target="http://www.linkedin.com/in/fabianschnyder" TargetMode="External"/><Relationship  Id="rId233" Type="http://schemas.openxmlformats.org/officeDocument/2006/relationships/hyperlink" Target="http://www.linkedin.com/in/ludovic-flipo-40a77748" TargetMode="External"/><Relationship  Id="rId2330" Type="http://schemas.openxmlformats.org/officeDocument/2006/relationships/hyperlink" Target="http://www.linkedin.com/in/fabian-fohrer" TargetMode="External"/><Relationship  Id="rId2331" Type="http://schemas.openxmlformats.org/officeDocument/2006/relationships/hyperlink" Target="http://www.linkedin.com/in/fabrice-carre-bb537b" TargetMode="External"/><Relationship  Id="rId2332" Type="http://schemas.openxmlformats.org/officeDocument/2006/relationships/hyperlink" Target="http://www.linkedin.com/in/florent-diedler-23b855105" TargetMode="External"/><Relationship  Id="rId2333" Type="http://schemas.openxmlformats.org/officeDocument/2006/relationships/hyperlink" Target="http://www.linkedin.com/in/florian-schrempel-76b14120" TargetMode="External"/><Relationship  Id="rId2334" Type="http://schemas.openxmlformats.org/officeDocument/2006/relationships/hyperlink" Target="http://www.linkedin.com/in/sabrina-wernert-3a560366" TargetMode="External"/><Relationship  Id="rId2335" Type="http://schemas.openxmlformats.org/officeDocument/2006/relationships/hyperlink" Target="http://www.marriott.com" TargetMode="External"/><Relationship  Id="rId2336" Type="http://schemas.openxmlformats.org/officeDocument/2006/relationships/hyperlink" Target="http://www.linkedin.com/in/miriampenarroja" TargetMode="External"/><Relationship  Id="rId2337" Type="http://schemas.openxmlformats.org/officeDocument/2006/relationships/hyperlink" Target="http://www.marugal.com" TargetMode="External"/><Relationship  Id="rId2338" Type="http://schemas.openxmlformats.org/officeDocument/2006/relationships/hyperlink" Target="http://www.linkedin.com/in/lucietrolonge" TargetMode="External"/><Relationship  Id="rId2339" Type="http://schemas.openxmlformats.org/officeDocument/2006/relationships/hyperlink" Target="http://www.linkedin.com/in/lydie-touzet-0b2696118" TargetMode="External"/><Relationship  Id="rId234" Type="http://schemas.openxmlformats.org/officeDocument/2006/relationships/hyperlink" Target="http://www.auxenfantsterribles.fr" TargetMode="External"/><Relationship  Id="rId2340" Type="http://schemas.openxmlformats.org/officeDocument/2006/relationships/hyperlink" Target="http://www.linkedin.com/in/katharina-kramer-9a514a116" TargetMode="External"/><Relationship  Id="rId2341" Type="http://schemas.openxmlformats.org/officeDocument/2006/relationships/hyperlink" Target="http://www.platzl.de" TargetMode="External"/><Relationship  Id="rId2342" Type="http://schemas.openxmlformats.org/officeDocument/2006/relationships/hyperlink" Target="http://www.linkedin.com/in/kei-nagata-32b009b5" TargetMode="External"/><Relationship  Id="rId2343" Type="http://schemas.openxmlformats.org/officeDocument/2006/relationships/hyperlink" Target="http://www.linkedin.com/in/kaspar-eisenhut-81237a87" TargetMode="External"/><Relationship  Id="rId2344" Type="http://schemas.openxmlformats.org/officeDocument/2006/relationships/hyperlink" Target="http://www.machefert.com" TargetMode="External"/><Relationship  Id="rId2345" Type="http://schemas.openxmlformats.org/officeDocument/2006/relationships/hyperlink" Target="http://www.linkedin.com/in/melodie-flanagan-salama" TargetMode="External"/><Relationship  Id="rId2346" Type="http://schemas.openxmlformats.org/officeDocument/2006/relationships/hyperlink" Target="http://www.victoriapalace.com" TargetMode="External"/><Relationship  Id="rId2347" Type="http://schemas.openxmlformats.org/officeDocument/2006/relationships/hyperlink" Target="http://www.linkedin.com/in/nacermechri" TargetMode="External"/><Relationship  Id="rId2348" Type="http://schemas.openxmlformats.org/officeDocument/2006/relationships/hyperlink" Target="http://www.wimco.com" TargetMode="External"/><Relationship  Id="rId2349" Type="http://schemas.openxmlformats.org/officeDocument/2006/relationships/hyperlink" Target="http://www.linkedin.com/in/gilliand-nathaniel-4b803b23" TargetMode="External"/><Relationship  Id="rId235" Type="http://schemas.openxmlformats.org/officeDocument/2006/relationships/hyperlink" Target="http://www.linkedin.com/in/cosminremetea" TargetMode="External"/><Relationship  Id="rId2350" Type="http://schemas.openxmlformats.org/officeDocument/2006/relationships/hyperlink" Target="http://www.revol1768.com" TargetMode="External"/><Relationship  Id="rId2351" Type="http://schemas.openxmlformats.org/officeDocument/2006/relationships/hyperlink" Target="http://www.easilys.com" TargetMode="External"/><Relationship  Id="rId2352" Type="http://schemas.openxmlformats.org/officeDocument/2006/relationships/hyperlink" Target="http://www.linkedin.com/in/rapha%c3%abl-mancuso-78421820" TargetMode="External"/><Relationship  Id="rId2353" Type="http://schemas.openxmlformats.org/officeDocument/2006/relationships/hyperlink" Target="http://www.linkedin.com/in/robertrecupero" TargetMode="External"/><Relationship  Id="rId2354" Type="http://schemas.openxmlformats.org/officeDocument/2006/relationships/hyperlink" Target="http://www.moomenti.com" TargetMode="External"/><Relationship  Id="rId2355" Type="http://schemas.openxmlformats.org/officeDocument/2006/relationships/hyperlink" Target="http://www.linkedin.com/in/robertoboscolo" TargetMode="External"/><Relationship  Id="rId2356" Type="http://schemas.openxmlformats.org/officeDocument/2006/relationships/hyperlink" Target="http://www.boscolocollection.com" TargetMode="External"/><Relationship  Id="rId2357" Type="http://schemas.openxmlformats.org/officeDocument/2006/relationships/hyperlink" Target="http://www.linkedin.com/in/robin-biondi-02921a85" TargetMode="External"/><Relationship  Id="rId2358" Type="http://schemas.openxmlformats.org/officeDocument/2006/relationships/hyperlink" Target="http://www.linkedin.com/in/seraina-lauber-951a4785" TargetMode="External"/><Relationship  Id="rId2359" Type="http://schemas.openxmlformats.org/officeDocument/2006/relationships/hyperlink" Target="http://www.honotel.fr" TargetMode="External"/><Relationship  Id="rId236" Type="http://schemas.openxmlformats.org/officeDocument/2006/relationships/hyperlink" Target="http://www.wediscover.it" TargetMode="External"/><Relationship  Id="rId2360" Type="http://schemas.openxmlformats.org/officeDocument/2006/relationships/hyperlink" Target="http://www.linkedin.com/in/nicole-braendle-766a2587" TargetMode="External"/><Relationship  Id="rId2361" Type="http://schemas.openxmlformats.org/officeDocument/2006/relationships/hyperlink" Target="http://www.hotelleriesuisse.ch" TargetMode="External"/><Relationship  Id="rId2362" Type="http://schemas.openxmlformats.org/officeDocument/2006/relationships/hyperlink" Target="http://www.linkedin.com/in/brunorambaldi" TargetMode="External"/><Relationship  Id="rId2363" Type="http://schemas.openxmlformats.org/officeDocument/2006/relationships/hyperlink" Target="http://www.linkedin.com/in/benedict-schempf-81a1bb187" TargetMode="External"/><Relationship  Id="rId2364" Type="http://schemas.openxmlformats.org/officeDocument/2006/relationships/hyperlink" Target="http://www.badruttspalace.com" TargetMode="External"/><Relationship  Id="rId2365" Type="http://schemas.openxmlformats.org/officeDocument/2006/relationships/hyperlink" Target="http://www.stairway-management.com" TargetMode="External"/><Relationship  Id="rId2366" Type="http://schemas.openxmlformats.org/officeDocument/2006/relationships/hyperlink" Target="http://www.accelis.fr" TargetMode="External"/><Relationship  Id="rId2367" Type="http://schemas.openxmlformats.org/officeDocument/2006/relationships/hyperlink" Target="http://www.foodhoteltech.com" TargetMode="External"/><Relationship  Id="rId2368" Type="http://schemas.openxmlformats.org/officeDocument/2006/relationships/hyperlink" Target="http://www.linkedin.com/in/lucas-johansson-071b6a1" TargetMode="External"/><Relationship  Id="rId2369" Type="http://schemas.openxmlformats.org/officeDocument/2006/relationships/hyperlink" Target="http://www.ihamanagement.com" TargetMode="External"/><Relationship  Id="rId237" Type="http://schemas.openxmlformats.org/officeDocument/2006/relationships/hyperlink" Target="http://www.linkedin.com/in/nathalie-volle-6691784b" TargetMode="External"/><Relationship  Id="rId2370" Type="http://schemas.openxmlformats.org/officeDocument/2006/relationships/hyperlink" Target="http://www.linkedin.com/in/lorenzaalessie" TargetMode="External"/><Relationship  Id="rId2371" Type="http://schemas.openxmlformats.org/officeDocument/2006/relationships/hyperlink" Target="http://www.alessiehc.com" TargetMode="External"/><Relationship  Id="rId2372" Type="http://schemas.openxmlformats.org/officeDocument/2006/relationships/hyperlink" Target="http://www.linkedin.com/in/thomas-unger-18312b75" TargetMode="External"/><Relationship  Id="rId2373" Type="http://schemas.openxmlformats.org/officeDocument/2006/relationships/hyperlink" Target="http://www.youthhostel.ch" TargetMode="External"/><Relationship  Id="rId2374" Type="http://schemas.openxmlformats.org/officeDocument/2006/relationships/hyperlink" Target="http://www.linkedin.com/in/jeremy-atlan-a4a96317" TargetMode="External"/><Relationship  Id="rId2375" Type="http://schemas.openxmlformats.org/officeDocument/2006/relationships/hyperlink" Target="http://www.duve.com" TargetMode="External"/><Relationship  Id="rId2376" Type="http://schemas.openxmlformats.org/officeDocument/2006/relationships/hyperlink" Target="http://www.linkedin.com/in/markoradin" TargetMode="External"/><Relationship  Id="rId2377" Type="http://schemas.openxmlformats.org/officeDocument/2006/relationships/hyperlink" Target="http://www.lemeridienetoile.com" TargetMode="External"/><Relationship  Id="rId2378" Type="http://schemas.openxmlformats.org/officeDocument/2006/relationships/hyperlink" Target="http://www.linkedin.com/in/markus-feller" TargetMode="External"/><Relationship  Id="rId2379" Type="http://schemas.openxmlformats.org/officeDocument/2006/relationships/hyperlink" Target="http://www.likemagic.tech" TargetMode="External"/><Relationship  Id="rId238" Type="http://schemas.openxmlformats.org/officeDocument/2006/relationships/hyperlink" Target="http://www.serjac.com" TargetMode="External"/><Relationship  Id="rId2380" Type="http://schemas.openxmlformats.org/officeDocument/2006/relationships/hyperlink" Target="http://www.linkedin.com/in/johnyvesleglise" TargetMode="External"/><Relationship  Id="rId2381" Type="http://schemas.openxmlformats.org/officeDocument/2006/relationships/hyperlink" Target="http://www.sandoz-hotels.ch" TargetMode="External"/><Relationship  Id="rId2382" Type="http://schemas.openxmlformats.org/officeDocument/2006/relationships/hyperlink" Target="http://www.linkedin.com/in/erwangaio" TargetMode="External"/><Relationship  Id="rId2383" Type="http://schemas.openxmlformats.org/officeDocument/2006/relationships/hyperlink" Target="http://www.royalsavoylausanne.com" TargetMode="External"/><Relationship  Id="rId2384" Type="http://schemas.openxmlformats.org/officeDocument/2006/relationships/hyperlink" Target="http://www.linkedin.com/in/estelleberniere" TargetMode="External"/><Relationship  Id="rId2385" Type="http://schemas.openxmlformats.org/officeDocument/2006/relationships/hyperlink" Target="http://www.inuicollection.com" TargetMode="External"/><Relationship  Id="rId2386" Type="http://schemas.openxmlformats.org/officeDocument/2006/relationships/hyperlink" Target="http://www.linkedin.com/in/sebastien-jacques-4001a111" TargetMode="External"/><Relationship  Id="rId2387" Type="http://schemas.openxmlformats.org/officeDocument/2006/relationships/hyperlink" Target="http://www.linkedin.com/in/paulohssimoes" TargetMode="External"/><Relationship  Id="rId2388" Type="http://schemas.openxmlformats.org/officeDocument/2006/relationships/hyperlink" Target="http://www.tsubahotel.com" TargetMode="External"/><Relationship  Id="rId2389" Type="http://schemas.openxmlformats.org/officeDocument/2006/relationships/hyperlink" Target="http://www.linkedin.com/in/peter-schiffhauer-ba9883174" TargetMode="External"/><Relationship  Id="rId239" Type="http://schemas.openxmlformats.org/officeDocument/2006/relationships/hyperlink" Target="http://www.linkedin.com/in/romuald-tahari-8597a369" TargetMode="External"/><Relationship  Id="rId2390" Type="http://schemas.openxmlformats.org/officeDocument/2006/relationships/hyperlink" Target="http://www.linkedin.com/in/philip-hehlgans-514845137" TargetMode="External"/><Relationship  Id="rId2391" Type="http://schemas.openxmlformats.org/officeDocument/2006/relationships/hyperlink" Target="http://www.lareserve-zurich.com" TargetMode="External"/><Relationship  Id="rId2392" Type="http://schemas.openxmlformats.org/officeDocument/2006/relationships/hyperlink" Target="http://www.linkedin.com/in/isabel-maiwald-43754b140" TargetMode="External"/><Relationship  Id="rId2393" Type="http://schemas.openxmlformats.org/officeDocument/2006/relationships/hyperlink" Target="http://www.dolderhotelag.com" TargetMode="External"/><Relationship  Id="rId2394" Type="http://schemas.openxmlformats.org/officeDocument/2006/relationships/hyperlink" Target="http://www.linkedin.com/in/isabel-niklaus-26902439" TargetMode="External"/><Relationship  Id="rId2395" Type="http://schemas.openxmlformats.org/officeDocument/2006/relationships/hyperlink" Target="http://www.kursaal-bern.ch" TargetMode="External"/><Relationship  Id="rId2396" Type="http://schemas.openxmlformats.org/officeDocument/2006/relationships/hyperlink" Target="http://www.linkedin.com/in/iscliff-leb%c3%a9e-74b5333b" TargetMode="External"/><Relationship  Id="rId2397" Type="http://schemas.openxmlformats.org/officeDocument/2006/relationships/hyperlink" Target="http://www.linkedin.com/in/claudio-bieri-40aab091" TargetMode="External"/><Relationship  Id="rId2398" Type="http://schemas.openxmlformats.org/officeDocument/2006/relationships/hyperlink" Target="http://www.nachos.fr" TargetMode="External"/><Relationship  Id="rId2399" Type="http://schemas.openxmlformats.org/officeDocument/2006/relationships/hyperlink" Target="http://www.linkedin.com/in/aurore-l%c3%a9py-80095565" TargetMode="External"/><Relationship  Id="rId24" Type="http://schemas.openxmlformats.org/officeDocument/2006/relationships/hyperlink" Target="http://www.foodlab-france.com" TargetMode="External"/><Relationship  Id="rId240" Type="http://schemas.openxmlformats.org/officeDocument/2006/relationships/hyperlink" Target="http://www.fiap.paris" TargetMode="External"/><Relationship  Id="rId2400" Type="http://schemas.openxmlformats.org/officeDocument/2006/relationships/hyperlink" Target="http://www.danslenoir.com" TargetMode="External"/><Relationship  Id="rId2401" Type="http://schemas.openxmlformats.org/officeDocument/2006/relationships/hyperlink" Target="http://www.linkedin.com/in/ambrogiocalcaterra" TargetMode="External"/><Relationship  Id="rId2402" Type="http://schemas.openxmlformats.org/officeDocument/2006/relationships/hyperlink" Target="http://www.rosettabakery.com" TargetMode="External"/><Relationship  Id="rId2403" Type="http://schemas.openxmlformats.org/officeDocument/2006/relationships/hyperlink" Target="http://www.linkedin.com/in/angelo-giordano-07066772" TargetMode="External"/><Relationship  Id="rId2404" Type="http://schemas.openxmlformats.org/officeDocument/2006/relationships/hyperlink" Target="http://www.mrs.fr" TargetMode="External"/><Relationship  Id="rId2405" Type="http://schemas.openxmlformats.org/officeDocument/2006/relationships/hyperlink" Target="http://www.linkedin.com/in/alessandropreda" TargetMode="External"/><Relationship  Id="rId2406" Type="http://schemas.openxmlformats.org/officeDocument/2006/relationships/hyperlink" Target="http://www.qsrp.com" TargetMode="External"/><Relationship  Id="rId2407" Type="http://schemas.openxmlformats.org/officeDocument/2006/relationships/hyperlink" Target="http://www.linkedin.com/in/eugeniemaithe" TargetMode="External"/><Relationship  Id="rId2408" Type="http://schemas.openxmlformats.org/officeDocument/2006/relationships/hyperlink" Target="http://www.frogpubs.com" TargetMode="External"/><Relationship  Id="rId2409" Type="http://schemas.openxmlformats.org/officeDocument/2006/relationships/hyperlink" Target="http://www.linkedin.com/in/david-benayoun-935b53" TargetMode="External"/><Relationship  Id="rId241" Type="http://schemas.openxmlformats.org/officeDocument/2006/relationships/hyperlink" Target="http://www.linkedin.com/in/lauremenes" TargetMode="External"/><Relationship  Id="rId2410" Type="http://schemas.openxmlformats.org/officeDocument/2006/relationships/hyperlink" Target="http://www.hilofood.com" TargetMode="External"/><Relationship  Id="rId2411" Type="http://schemas.openxmlformats.org/officeDocument/2006/relationships/hyperlink" Target="http://www.foodomarket.com" TargetMode="External"/><Relationship  Id="rId2412" Type="http://schemas.openxmlformats.org/officeDocument/2006/relationships/hyperlink" Target="http://www.popeyesfrance.fr" TargetMode="External"/><Relationship  Id="rId2413" Type="http://schemas.openxmlformats.org/officeDocument/2006/relationships/hyperlink" Target="http://www.yogurtfactory.fr" TargetMode="External"/><Relationship  Id="rId2414" Type="http://schemas.openxmlformats.org/officeDocument/2006/relationships/hyperlink" Target="http://www.linkedin.com/in/youssef-saadaoui-7a759b28b" TargetMode="External"/><Relationship  Id="rId2415" Type="http://schemas.openxmlformats.org/officeDocument/2006/relationships/hyperlink" Target="http://www.bnwburger.com" TargetMode="External"/><Relationship  Id="rId2416" Type="http://schemas.openxmlformats.org/officeDocument/2006/relationships/hyperlink" Target="http://www.linkedin.com/in/zacharie-tachi-52206889" TargetMode="External"/><Relationship  Id="rId2417" Type="http://schemas.openxmlformats.org/officeDocument/2006/relationships/hyperlink" Target="http://www.tibits.ch" TargetMode="External"/><Relationship  Id="rId2418" Type="http://schemas.openxmlformats.org/officeDocument/2006/relationships/hyperlink" Target="http://www.linkedin.com/in/jules-delpla-5a388682" TargetMode="External"/><Relationship  Id="rId2419" Type="http://schemas.openxmlformats.org/officeDocument/2006/relationships/hyperlink" Target="http://www.bchef.fr" TargetMode="External"/><Relationship  Id="rId242" Type="http://schemas.openxmlformats.org/officeDocument/2006/relationships/hyperlink" Target="http://www.le-garden.com" TargetMode="External"/><Relationship  Id="rId2420" Type="http://schemas.openxmlformats.org/officeDocument/2006/relationships/hyperlink" Target="http://www.linkedin.com/in/mathieu-fouchard-b9398256" TargetMode="External"/><Relationship  Id="rId2421" Type="http://schemas.openxmlformats.org/officeDocument/2006/relationships/hyperlink" Target="http://www.bkch.ch" TargetMode="External"/><Relationship  Id="rId2422" Type="http://schemas.openxmlformats.org/officeDocument/2006/relationships/hyperlink" Target="http://www.linkedin.com/in/guillaume-michaud-444114b7" TargetMode="External"/><Relationship  Id="rId2423" Type="http://schemas.openxmlformats.org/officeDocument/2006/relationships/hyperlink" Target="http://www.linkedin.com/in/raphy-fathi-96199aa8" TargetMode="External"/><Relationship  Id="rId2424" Type="http://schemas.openxmlformats.org/officeDocument/2006/relationships/hyperlink" Target="http://www.melrosekitchen.ch" TargetMode="External"/><Relationship  Id="rId2425" Type="http://schemas.openxmlformats.org/officeDocument/2006/relationships/hyperlink" Target="http://www.linkedin.com/in/riazmamode" TargetMode="External"/><Relationship  Id="rId2426" Type="http://schemas.openxmlformats.org/officeDocument/2006/relationships/hyperlink" Target="http://www.lepainquotidien.fr" TargetMode="External"/><Relationship  Id="rId2427" Type="http://schemas.openxmlformats.org/officeDocument/2006/relationships/hyperlink" Target="http://www.linkedin.com/in/timoth%c3%a9e-t-0a915816" TargetMode="External"/><Relationship  Id="rId2428" Type="http://schemas.openxmlformats.org/officeDocument/2006/relationships/hyperlink" Target="http://www.berliner-do.com" TargetMode="External"/><Relationship  Id="rId2429" Type="http://schemas.openxmlformats.org/officeDocument/2006/relationships/hyperlink" Target="http://www.linkedin.com/in/vincent-colin-902638b7" TargetMode="External"/><Relationship  Id="rId243" Type="http://schemas.openxmlformats.org/officeDocument/2006/relationships/hyperlink" Target="http://www.linkedin.com/in/juliechanut" TargetMode="External"/><Relationship  Id="rId2430" Type="http://schemas.openxmlformats.org/officeDocument/2006/relationships/hyperlink" Target="http://www.linasparis.com" TargetMode="External"/><Relationship  Id="rId2431" Type="http://schemas.openxmlformats.org/officeDocument/2006/relationships/hyperlink" Target="http://www.linkedin.com/in/chris-daou-72492884" TargetMode="External"/><Relationship  Id="rId2432" Type="http://schemas.openxmlformats.org/officeDocument/2006/relationships/hyperlink" Target="http://www.linkedin.com/in/quentinporcel" TargetMode="External"/><Relationship  Id="rId2433" Type="http://schemas.openxmlformats.org/officeDocument/2006/relationships/hyperlink" Target="http://www.grouperestoleil.com" TargetMode="External"/><Relationship  Id="rId2434" Type="http://schemas.openxmlformats.org/officeDocument/2006/relationships/hyperlink" Target="http://www.linkedin.com/in/johan-jakobsson-25565741" TargetMode="External"/><Relationship  Id="rId2435" Type="http://schemas.openxmlformats.org/officeDocument/2006/relationships/hyperlink" Target="http://www.greengorillacafe.com" TargetMode="External"/><Relationship  Id="rId2436" Type="http://schemas.openxmlformats.org/officeDocument/2006/relationships/hyperlink" Target="http://www.linkedin.com/in/johannes-reinisch-235926223" TargetMode="External"/><Relationship  Id="rId2437" Type="http://schemas.openxmlformats.org/officeDocument/2006/relationships/hyperlink" Target="http://www.kramergastronomie.ch" TargetMode="External"/><Relationship  Id="rId2438" Type="http://schemas.openxmlformats.org/officeDocument/2006/relationships/hyperlink" Target="http://www.linkedin.com/in/damien-weineis-54aba7b9" TargetMode="External"/><Relationship  Id="rId2439" Type="http://schemas.openxmlformats.org/officeDocument/2006/relationships/hyperlink" Target="http://www.factoryandco.com" TargetMode="External"/><Relationship  Id="rId244" Type="http://schemas.openxmlformats.org/officeDocument/2006/relationships/hyperlink" Target="http://www.leslodgessaintevictoire.com" TargetMode="External"/><Relationship  Id="rId2440" Type="http://schemas.openxmlformats.org/officeDocument/2006/relationships/hyperlink" Target="http://www.linkedin.com/in/dankaeslin" TargetMode="External"/><Relationship  Id="rId2441" Type="http://schemas.openxmlformats.org/officeDocument/2006/relationships/hyperlink" Target="http://www.linkedin.com/in/daniel-levy-23a8b6153" TargetMode="External"/><Relationship  Id="rId2442" Type="http://schemas.openxmlformats.org/officeDocument/2006/relationships/hyperlink" Target="http://www.sushizen.ch" TargetMode="External"/><Relationship  Id="rId2443" Type="http://schemas.openxmlformats.org/officeDocument/2006/relationships/hyperlink" Target="http://www.linkedin.com/in/titouan-viala-7a281a14b" TargetMode="External"/><Relationship  Id="rId2444" Type="http://schemas.openxmlformats.org/officeDocument/2006/relationships/hyperlink" Target="http://www.monbleu.fr" TargetMode="External"/><Relationship  Id="rId2445" Type="http://schemas.openxmlformats.org/officeDocument/2006/relationships/hyperlink" Target="http://www.linkedin.com/in/audrey-fougeras-53903591" TargetMode="External"/><Relationship  Id="rId2446" Type="http://schemas.openxmlformats.org/officeDocument/2006/relationships/hyperlink" Target="http://www.yannick-alleno.com" TargetMode="External"/><Relationship  Id="rId2447" Type="http://schemas.openxmlformats.org/officeDocument/2006/relationships/hyperlink" Target="http://www.linkedin.com/in/stefano-fresch-web-design" TargetMode="External"/><Relationship  Id="rId2448" Type="http://schemas.openxmlformats.org/officeDocument/2006/relationships/hyperlink" Target="http://www.linkedin.com/in/stephan-geiger-463555125" TargetMode="External"/><Relationship  Id="rId2449" Type="http://schemas.openxmlformats.org/officeDocument/2006/relationships/hyperlink" Target="http://www.linkedin.com/in/st%c3%a9phane-bellon-b299197" TargetMode="External"/><Relationship  Id="rId245" Type="http://schemas.openxmlformats.org/officeDocument/2006/relationships/hyperlink" Target="http://www.linkedin.com/in/meng-sear-taing-46608b147" TargetMode="External"/><Relationship  Id="rId2450" Type="http://schemas.openxmlformats.org/officeDocument/2006/relationships/hyperlink" Target="http://www.studionomie.com" TargetMode="External"/><Relationship  Id="rId2451" Type="http://schemas.openxmlformats.org/officeDocument/2006/relationships/hyperlink" Target="http://www.linkedin.com/in/charlotte-mitaut-85086b66" TargetMode="External"/><Relationship  Id="rId2452" Type="http://schemas.openxmlformats.org/officeDocument/2006/relationships/hyperlink" Target="http://www.frenchie-restaurant.com" TargetMode="External"/><Relationship  Id="rId2453" Type="http://schemas.openxmlformats.org/officeDocument/2006/relationships/hyperlink" Target="http://www.linkedin.com/in/chiara-roques-naggar-43590814" TargetMode="External"/><Relationship  Id="rId2454" Type="http://schemas.openxmlformats.org/officeDocument/2006/relationships/hyperlink" Target="http://www.eluapoke.ch" TargetMode="External"/><Relationship  Id="rId2455" Type="http://schemas.openxmlformats.org/officeDocument/2006/relationships/hyperlink" Target="http://www.taobento.com" TargetMode="External"/><Relationship  Id="rId2456" Type="http://schemas.openxmlformats.org/officeDocument/2006/relationships/hyperlink" Target="http://www.linkedin.com/in/steve-richard-02016049" TargetMode="External"/><Relationship  Id="rId2457" Type="http://schemas.openxmlformats.org/officeDocument/2006/relationships/hyperlink" Target="http://www.holycow.ch" TargetMode="External"/><Relationship  Id="rId2458" Type="http://schemas.openxmlformats.org/officeDocument/2006/relationships/hyperlink" Target="http://www.linkedin.com/in/fanny-alzieu-60002722b" TargetMode="External"/><Relationship  Id="rId2459" Type="http://schemas.openxmlformats.org/officeDocument/2006/relationships/hyperlink" Target="http://www.g-ladalle.com" TargetMode="External"/><Relationship  Id="rId246" Type="http://schemas.openxmlformats.org/officeDocument/2006/relationships/hyperlink" Target="http://www.lamaisondudonut.fr" TargetMode="External"/><Relationship  Id="rId2460" Type="http://schemas.openxmlformats.org/officeDocument/2006/relationships/hyperlink" Target="http://www.baofamily.co" TargetMode="External"/><Relationship  Id="rId2461" Type="http://schemas.openxmlformats.org/officeDocument/2006/relationships/hyperlink" Target="http://www.linkedin.com/in/luigi-maria-santini-696aaa4b" TargetMode="External"/><Relationship  Id="rId2462" Type="http://schemas.openxmlformats.org/officeDocument/2006/relationships/hyperlink" Target="http://www.doppiomalto.co.uk" TargetMode="External"/><Relationship  Id="rId2463" Type="http://schemas.openxmlformats.org/officeDocument/2006/relationships/hyperlink" Target="http://www.linkedin.com/in/kevin-festin-51aa3996" TargetMode="External"/><Relationship  Id="rId2464" Type="http://schemas.openxmlformats.org/officeDocument/2006/relationships/hyperlink" Target="http://www.freshburritos.com" TargetMode="External"/><Relationship  Id="rId2465" Type="http://schemas.openxmlformats.org/officeDocument/2006/relationships/hyperlink" Target="http://www.linkedin.com/in/thibaud-giovannetti-b41950ba" TargetMode="External"/><Relationship  Id="rId2466" Type="http://schemas.openxmlformats.org/officeDocument/2006/relationships/hyperlink" Target="http://www.clubcafe.fr" TargetMode="External"/><Relationship  Id="rId2467" Type="http://schemas.openxmlformats.org/officeDocument/2006/relationships/hyperlink" Target="http://www.linkedin.com/in/nicolas-pichon-008aa7a2" TargetMode="External"/><Relationship  Id="rId2468" Type="http://schemas.openxmlformats.org/officeDocument/2006/relationships/hyperlink" Target="http://www.linkedin.com/in/olivierrebattet" TargetMode="External"/><Relationship  Id="rId2469" Type="http://schemas.openxmlformats.org/officeDocument/2006/relationships/hyperlink" Target="http://www.mylittlewarung.com" TargetMode="External"/><Relationship  Id="rId247" Type="http://schemas.openxmlformats.org/officeDocument/2006/relationships/hyperlink" Target="http://www.linkedin.com/in/florian-bitker" TargetMode="External"/><Relationship  Id="rId2470" Type="http://schemas.openxmlformats.org/officeDocument/2006/relationships/hyperlink" Target="http://www.linkedin.com/in/oliviersibuet" TargetMode="External"/><Relationship  Id="rId2471" Type="http://schemas.openxmlformats.org/officeDocument/2006/relationships/hyperlink" Target="http://www.fetchef.com" TargetMode="External"/><Relationship  Id="rId2472" Type="http://schemas.openxmlformats.org/officeDocument/2006/relationships/hyperlink" Target="http://www.linkedin.com/in/richard-williams-404880283" TargetMode="External"/><Relationship  Id="rId2473" Type="http://schemas.openxmlformats.org/officeDocument/2006/relationships/hyperlink" Target="http://www.wildandthemoon.fr" TargetMode="External"/><Relationship  Id="rId2474" Type="http://schemas.openxmlformats.org/officeDocument/2006/relationships/hyperlink" Target="http://www.linkedin.com/in/hugo-vitorio-27a68b19b" TargetMode="External"/><Relationship  Id="rId2475" Type="http://schemas.openxmlformats.org/officeDocument/2006/relationships/hyperlink" Target="http://www.linkedin.com/in/yannick-besnard-5001b2157" TargetMode="External"/><Relationship  Id="rId2476" Type="http://schemas.openxmlformats.org/officeDocument/2006/relationships/hyperlink" Target="http://www.grouperiembecker.com" TargetMode="External"/><Relationship  Id="rId2477" Type="http://schemas.openxmlformats.org/officeDocument/2006/relationships/hyperlink" Target="http://www.yanncouvreur.com" TargetMode="External"/><Relationship  Id="rId2478" Type="http://schemas.openxmlformats.org/officeDocument/2006/relationships/hyperlink" Target="http://www.foud.com" TargetMode="External"/><Relationship  Id="rId2479" Type="http://schemas.openxmlformats.org/officeDocument/2006/relationships/hyperlink" Target="http://www.bagelstein.com" TargetMode="External"/><Relationship  Id="rId248" Type="http://schemas.openxmlformats.org/officeDocument/2006/relationships/hyperlink" Target="http://www.drawinghouse.com" TargetMode="External"/><Relationship  Id="rId2480" Type="http://schemas.openxmlformats.org/officeDocument/2006/relationships/hyperlink" Target="http://www.groupebourdoncle.com" TargetMode="External"/><Relationship  Id="rId2481" Type="http://schemas.openxmlformats.org/officeDocument/2006/relationships/hyperlink" Target="http://www.spontinimilano.com" TargetMode="External"/><Relationship  Id="rId2482" Type="http://schemas.openxmlformats.org/officeDocument/2006/relationships/hyperlink" Target="http://www.linkedin.com/in/jeanne-lapotre" TargetMode="External"/><Relationship  Id="rId2483" Type="http://schemas.openxmlformats.org/officeDocument/2006/relationships/hyperlink" Target="http://www.linkedin.com/in/jeremy-stoss-8356081b" TargetMode="External"/><Relationship  Id="rId2484" Type="http://schemas.openxmlformats.org/officeDocument/2006/relationships/hyperlink" Target="http://www.spectr-group.fr" TargetMode="External"/><Relationship  Id="rId2485" Type="http://schemas.openxmlformats.org/officeDocument/2006/relationships/hyperlink" Target="http://www.linkedin.com/in/mark-brownell" TargetMode="External"/><Relationship  Id="rId2486" Type="http://schemas.openxmlformats.org/officeDocument/2006/relationships/hyperlink" Target="http://www.eat-me.ch" TargetMode="External"/><Relationship  Id="rId2487" Type="http://schemas.openxmlformats.org/officeDocument/2006/relationships/hyperlink" Target="http://www.ephemera-group.com" TargetMode="External"/><Relationship  Id="rId2488" Type="http://schemas.openxmlformats.org/officeDocument/2006/relationships/hyperlink" Target="http://www.linkedin.com/in/sebastien-millier-2123a3a9" TargetMode="External"/><Relationship  Id="rId2489" Type="http://schemas.openxmlformats.org/officeDocument/2006/relationships/hyperlink" Target="http://www.musiam-paris.com" TargetMode="External"/><Relationship  Id="rId249" Type="http://schemas.openxmlformats.org/officeDocument/2006/relationships/hyperlink" Target="http://www.linkedin.com/in/arnaud-stomboli-a8195129" TargetMode="External"/><Relationship  Id="rId2490" Type="http://schemas.openxmlformats.org/officeDocument/2006/relationships/hyperlink" Target="http://www.linkedin.com/in/marion-menet-buchsenschutz-19820b67" TargetMode="External"/><Relationship  Id="rId2491" Type="http://schemas.openxmlformats.org/officeDocument/2006/relationships/hyperlink" Target="http://www.agapes.fr" TargetMode="External"/><Relationship  Id="rId2492" Type="http://schemas.openxmlformats.org/officeDocument/2006/relationships/hyperlink" Target="http://www.linkedin.com/in/anja-fehr-5844a277" TargetMode="External"/><Relationship  Id="rId2493" Type="http://schemas.openxmlformats.org/officeDocument/2006/relationships/hyperlink" Target="http://www.vito.ch" TargetMode="External"/><Relationship  Id="rId2494" Type="http://schemas.openxmlformats.org/officeDocument/2006/relationships/hyperlink" Target="http://www.linkedin.com/in/illya-abegg-46a90534" TargetMode="External"/><Relationship  Id="rId2495" Type="http://schemas.openxmlformats.org/officeDocument/2006/relationships/hyperlink" Target="http://www.powermeals.ch" TargetMode="External"/><Relationship  Id="rId2496" Type="http://schemas.openxmlformats.org/officeDocument/2006/relationships/hyperlink" Target="http://www.linkedin.com/in/isabel-acland-13537b12a" TargetMode="External"/><Relationship  Id="rId2497" Type="http://schemas.openxmlformats.org/officeDocument/2006/relationships/hyperlink" Target="http://agence-jaam.fr" TargetMode="External"/><Relationship  Id="rId2498" Type="http://schemas.openxmlformats.org/officeDocument/2006/relationships/hyperlink" Target="http://www.linkedin.com/company/agence-jaam" TargetMode="External"/><Relationship  Id="rId2499" Type="http://schemas.openxmlformats.org/officeDocument/2006/relationships/hyperlink" Target="https://twitter.com/agencejaam" TargetMode="External"/><Relationship  Id="rId25" Type="http://schemas.openxmlformats.org/officeDocument/2006/relationships/hyperlink" Target="http://www.linkedin.com/in/suzuka-hotokebuchi-1809094a" TargetMode="External"/><Relationship  Id="rId250" Type="http://schemas.openxmlformats.org/officeDocument/2006/relationships/hyperlink" Target="http://www.ternelia-grandsmassifs.com" TargetMode="External"/><Relationship  Id="rId2500" Type="http://schemas.openxmlformats.org/officeDocument/2006/relationships/hyperlink" Target="http://www.linkedin.com/in/arnauld-champremier-trigano-2167a567" TargetMode="External"/><Relationship  Id="rId2501" Type="http://schemas.openxmlformats.org/officeDocument/2006/relationships/hyperlink" Target="http://aldene.fr" TargetMode="External"/><Relationship  Id="rId2502" Type="http://schemas.openxmlformats.org/officeDocument/2006/relationships/hyperlink" Target="http://www.linkedin.com/company/aldene-sa" TargetMode="External"/><Relationship  Id="rId2503" Type="http://schemas.openxmlformats.org/officeDocument/2006/relationships/hyperlink" Target="http://www.linkedin.com/in/alain-coissard" TargetMode="External"/><Relationship  Id="rId2504" Type="http://schemas.openxmlformats.org/officeDocument/2006/relationships/hyperlink" Target="http://open6.fr" TargetMode="External"/><Relationship  Id="rId2505" Type="http://schemas.openxmlformats.org/officeDocument/2006/relationships/hyperlink" Target="http://www.linkedin.com/company/opensys-telecom" TargetMode="External"/><Relationship  Id="rId2506" Type="http://schemas.openxmlformats.org/officeDocument/2006/relationships/hyperlink" Target="http://www.linkedin.com/in/aniss-ghouali-9a0443a2" TargetMode="External"/><Relationship  Id="rId2507" Type="http://schemas.openxmlformats.org/officeDocument/2006/relationships/hyperlink" Target="http://infinityco.fr" TargetMode="External"/><Relationship  Id="rId2508" Type="http://schemas.openxmlformats.org/officeDocument/2006/relationships/hyperlink" Target="http://www.linkedin.com/company/infinitycofr" TargetMode="External"/><Relationship  Id="rId2509" Type="http://schemas.openxmlformats.org/officeDocument/2006/relationships/hyperlink" Target="http://www.linkedin.com/in/aur%c3%a9lien-girard-b220b2176" TargetMode="External"/><Relationship  Id="rId251" Type="http://schemas.openxmlformats.org/officeDocument/2006/relationships/hyperlink" Target="http://www.linkedin.com/in/lakhdar-laouar-b53aaa95" TargetMode="External"/><Relationship  Id="rId2510" Type="http://schemas.openxmlformats.org/officeDocument/2006/relationships/hyperlink" Target="http://umanngroup.com" TargetMode="External"/><Relationship  Id="rId2511" Type="http://schemas.openxmlformats.org/officeDocument/2006/relationships/hyperlink" Target="http://www.linkedin.com/company/umann" TargetMode="External"/><Relationship  Id="rId2512" Type="http://schemas.openxmlformats.org/officeDocument/2006/relationships/hyperlink" Target="http://www.linkedin.com/in/annickhercend" TargetMode="External"/><Relationship  Id="rId2513" Type="http://schemas.openxmlformats.org/officeDocument/2006/relationships/hyperlink" Target="http://placetob.fr" TargetMode="External"/><Relationship  Id="rId2514" Type="http://schemas.openxmlformats.org/officeDocument/2006/relationships/hyperlink" Target="http://www.linkedin.com/company/place-to-b-p2b" TargetMode="External"/><Relationship  Id="rId2515" Type="http://schemas.openxmlformats.org/officeDocument/2006/relationships/hyperlink" Target="https://www.facebook.com/placetobfrance" TargetMode="External"/><Relationship  Id="rId2516" Type="http://schemas.openxmlformats.org/officeDocument/2006/relationships/hyperlink" Target="http://www.linkedin.com/in/anne-sophie-huard" TargetMode="External"/><Relationship  Id="rId2517" Type="http://schemas.openxmlformats.org/officeDocument/2006/relationships/hyperlink" Target="http://juliencorp.fr" TargetMode="External"/><Relationship  Id="rId2518" Type="http://schemas.openxmlformats.org/officeDocument/2006/relationships/hyperlink" Target="http://www.linkedin.com/company/julien-corporate" TargetMode="External"/><Relationship  Id="rId2519" Type="http://schemas.openxmlformats.org/officeDocument/2006/relationships/hyperlink" Target="http://www.linkedin.com/in/audrey-jeanne" TargetMode="External"/><Relationship  Id="rId252" Type="http://schemas.openxmlformats.org/officeDocument/2006/relationships/hyperlink" Target="http://www.hoteledenparis.com" TargetMode="External"/><Relationship  Id="rId2520" Type="http://schemas.openxmlformats.org/officeDocument/2006/relationships/hyperlink" Target="http://bcm.fr" TargetMode="External"/><Relationship  Id="rId2521" Type="http://schemas.openxmlformats.org/officeDocument/2006/relationships/hyperlink" Target="http://www.linkedin.com/company/bcm-b%c3%a2timents-constructions-modulaires-" TargetMode="External"/><Relationship  Id="rId2522" Type="http://schemas.openxmlformats.org/officeDocument/2006/relationships/hyperlink" Target="http://www.linkedin.com/in/andr%c3%a9-mercier%f0%9f%8f%83%e2%80%8d%e2%99%82%ef%b8%8f-8ab635163" TargetMode="External"/><Relationship  Id="rId2523" Type="http://schemas.openxmlformats.org/officeDocument/2006/relationships/hyperlink" Target="http://asystom.com" TargetMode="External"/><Relationship  Id="rId2524" Type="http://schemas.openxmlformats.org/officeDocument/2006/relationships/hyperlink" Target="http://www.linkedin.com/company/asystom" TargetMode="External"/><Relationship  Id="rId2525" Type="http://schemas.openxmlformats.org/officeDocument/2006/relationships/hyperlink" Target="https://twitter.com/asystom" TargetMode="External"/><Relationship  Id="rId2526" Type="http://schemas.openxmlformats.org/officeDocument/2006/relationships/hyperlink" Target="http://www.linkedin.com/in/andr%c3%a9-naccache-5745161" TargetMode="External"/><Relationship  Id="rId2527" Type="http://schemas.openxmlformats.org/officeDocument/2006/relationships/hyperlink" Target="http://goron-assi.fr" TargetMode="External"/><Relationship  Id="rId2528" Type="http://schemas.openxmlformats.org/officeDocument/2006/relationships/hyperlink" Target="http://www.linkedin.com/company/goron-assi" TargetMode="External"/><Relationship  Id="rId2529" Type="http://schemas.openxmlformats.org/officeDocument/2006/relationships/hyperlink" Target="http://www.linkedin.com/in/antoine-neaumet-91ab6264" TargetMode="External"/><Relationship  Id="rId253" Type="http://schemas.openxmlformats.org/officeDocument/2006/relationships/hyperlink" Target="http://www.linkedin.com/in/laurent-guarrera-aa9278236" TargetMode="External"/><Relationship  Id="rId2530" Type="http://schemas.openxmlformats.org/officeDocument/2006/relationships/hyperlink" Target="http://ubik-ingenierie.com" TargetMode="External"/><Relationship  Id="rId2531" Type="http://schemas.openxmlformats.org/officeDocument/2006/relationships/hyperlink" Target="http://www.linkedin.com/company/ubik-ingenierie" TargetMode="External"/><Relationship  Id="rId2532" Type="http://schemas.openxmlformats.org/officeDocument/2006/relationships/hyperlink" Target="https://twitter.com/ubikingenierie" TargetMode="External"/><Relationship  Id="rId2533" Type="http://schemas.openxmlformats.org/officeDocument/2006/relationships/hyperlink" Target="https://www.facebook.com/UBIK-INGENIERIE-1935243470055721/" TargetMode="External"/><Relationship  Id="rId2534" Type="http://schemas.openxmlformats.org/officeDocument/2006/relationships/hyperlink" Target="http://www.linkedin.com/in/amandine-plets-02996b11" TargetMode="External"/><Relationship  Id="rId2535" Type="http://schemas.openxmlformats.org/officeDocument/2006/relationships/hyperlink" Target="http://cynoia.com" TargetMode="External"/><Relationship  Id="rId2536" Type="http://schemas.openxmlformats.org/officeDocument/2006/relationships/hyperlink" Target="http://www.linkedin.com/company/cynoia" TargetMode="External"/><Relationship  Id="rId2537" Type="http://schemas.openxmlformats.org/officeDocument/2006/relationships/hyperlink" Target="https://twitter.com/cynoia" TargetMode="External"/><Relationship  Id="rId2538" Type="http://schemas.openxmlformats.org/officeDocument/2006/relationships/hyperlink" Target="https://www.facebook.com/cynoia" TargetMode="External"/><Relationship  Id="rId2539" Type="http://schemas.openxmlformats.org/officeDocument/2006/relationships/hyperlink" Target="http://www.linkedin.com/in/ayoub-rabeh" TargetMode="External"/><Relationship  Id="rId254" Type="http://schemas.openxmlformats.org/officeDocument/2006/relationships/hyperlink" Target="http://www.labonbonniere.eu" TargetMode="External"/><Relationship  Id="rId2540" Type="http://schemas.openxmlformats.org/officeDocument/2006/relationships/hyperlink" Target="http://digimium.com" TargetMode="External"/><Relationship  Id="rId2541" Type="http://schemas.openxmlformats.org/officeDocument/2006/relationships/hyperlink" Target="http://www.linkedin.com/company/digimium" TargetMode="External"/><Relationship  Id="rId2542" Type="http://schemas.openxmlformats.org/officeDocument/2006/relationships/hyperlink" Target="http://www.linkedin.com/in/abderraouf-remili-65319632" TargetMode="External"/><Relationship  Id="rId2543" Type="http://schemas.openxmlformats.org/officeDocument/2006/relationships/hyperlink" Target="http://poweriti.com" TargetMode="External"/><Relationship  Id="rId2544" Type="http://schemas.openxmlformats.org/officeDocument/2006/relationships/hyperlink" Target="http://www.linkedin.com/company/power-iti" TargetMode="External"/><Relationship  Id="rId2545" Type="http://schemas.openxmlformats.org/officeDocument/2006/relationships/hyperlink" Target="https://www.facebook.com/POWERitiAvignon/" TargetMode="External"/><Relationship  Id="rId2546" Type="http://schemas.openxmlformats.org/officeDocument/2006/relationships/hyperlink" Target="http://www.linkedin.com/in/antoine-stamati-b8274740" TargetMode="External"/><Relationship  Id="rId2547" Type="http://schemas.openxmlformats.org/officeDocument/2006/relationships/hyperlink" Target="http://healabs.fr" TargetMode="External"/><Relationship  Id="rId2548" Type="http://schemas.openxmlformats.org/officeDocument/2006/relationships/hyperlink" Target="http://www.linkedin.com/company/healabs" TargetMode="External"/><Relationship  Id="rId2549" Type="http://schemas.openxmlformats.org/officeDocument/2006/relationships/hyperlink" Target="http://www.linkedin.com/in/arnaultthouret" TargetMode="External"/><Relationship  Id="rId255" Type="http://schemas.openxmlformats.org/officeDocument/2006/relationships/hyperlink" Target="http://www.linkedin.com/in/didier-lefresne-780b0581" TargetMode="External"/><Relationship  Id="rId2550" Type="http://schemas.openxmlformats.org/officeDocument/2006/relationships/hyperlink" Target="http://pharma-soft.fr" TargetMode="External"/><Relationship  Id="rId2551" Type="http://schemas.openxmlformats.org/officeDocument/2006/relationships/hyperlink" Target="http://www.linkedin.com/company/pharmasoft-sas" TargetMode="External"/><Relationship  Id="rId2552" Type="http://schemas.openxmlformats.org/officeDocument/2006/relationships/hyperlink" Target="http://www.linkedin.com/in/alain-vanzella-7178aba0" TargetMode="External"/><Relationship  Id="rId2553" Type="http://schemas.openxmlformats.org/officeDocument/2006/relationships/hyperlink" Target="http://www.linkedin.com/company/polypus" TargetMode="External"/><Relationship  Id="rId2554" Type="http://schemas.openxmlformats.org/officeDocument/2006/relationships/hyperlink" Target="http://www.linkedin.com/in/arnaud-blanchard-" TargetMode="External"/><Relationship  Id="rId2555" Type="http://schemas.openxmlformats.org/officeDocument/2006/relationships/hyperlink" Target="http://agencenova.com" TargetMode="External"/><Relationship  Id="rId2556" Type="http://schemas.openxmlformats.org/officeDocument/2006/relationships/hyperlink" Target="http://www.linkedin.com/company/agence-nova" TargetMode="External"/><Relationship  Id="rId2557" Type="http://schemas.openxmlformats.org/officeDocument/2006/relationships/hyperlink" Target="https://twitter.com/agencedecomnova" TargetMode="External"/><Relationship  Id="rId2558" Type="http://schemas.openxmlformats.org/officeDocument/2006/relationships/hyperlink" Target="https://facebook.com/agencedecomnova" TargetMode="External"/><Relationship  Id="rId2559" Type="http://schemas.openxmlformats.org/officeDocument/2006/relationships/hyperlink" Target="http://www.linkedin.com/in/abriand" TargetMode="External"/><Relationship  Id="rId256" Type="http://schemas.openxmlformats.org/officeDocument/2006/relationships/hyperlink" Target="http://www.chateauroux-airport.com" TargetMode="External"/><Relationship  Id="rId2560" Type="http://schemas.openxmlformats.org/officeDocument/2006/relationships/hyperlink" Target="http://ampc73.fr" TargetMode="External"/><Relationship  Id="rId2561" Type="http://schemas.openxmlformats.org/officeDocument/2006/relationships/hyperlink" Target="http://www.linkedin.com/company/ampc73" TargetMode="External"/><Relationship  Id="rId2562" Type="http://schemas.openxmlformats.org/officeDocument/2006/relationships/hyperlink" Target="http://www.linkedin.com/in/antonio-campagna-1a287b143" TargetMode="External"/><Relationship  Id="rId2563" Type="http://schemas.openxmlformats.org/officeDocument/2006/relationships/hyperlink" Target="http://ideaenvironnement.com" TargetMode="External"/><Relationship  Id="rId2564" Type="http://schemas.openxmlformats.org/officeDocument/2006/relationships/hyperlink" Target="http://www.linkedin.com/company/idea-environnement" TargetMode="External"/><Relationship  Id="rId2565" Type="http://schemas.openxmlformats.org/officeDocument/2006/relationships/hyperlink" Target="http://www.linkedin.com/in/ange-deniel-carmel-aa06b68a" TargetMode="External"/><Relationship  Id="rId2566" Type="http://schemas.openxmlformats.org/officeDocument/2006/relationships/hyperlink" Target="http://custup.com" TargetMode="External"/><Relationship  Id="rId2567" Type="http://schemas.openxmlformats.org/officeDocument/2006/relationships/hyperlink" Target="http://www.linkedin.com/company/custup" TargetMode="External"/><Relationship  Id="rId2568" Type="http://schemas.openxmlformats.org/officeDocument/2006/relationships/hyperlink" Target="https://www.facebook.com/custupCRM" TargetMode="External"/><Relationship  Id="rId2569" Type="http://schemas.openxmlformats.org/officeDocument/2006/relationships/hyperlink" Target="http://www.linkedin.com/in/antoinecoubray" TargetMode="External"/><Relationship  Id="rId257" Type="http://schemas.openxmlformats.org/officeDocument/2006/relationships/hyperlink" Target="http://www.linkedin.com/in/maxencedussart" TargetMode="External"/><Relationship  Id="rId2570" Type="http://schemas.openxmlformats.org/officeDocument/2006/relationships/hyperlink" Target="http://dhm-tech.fr" TargetMode="External"/><Relationship  Id="rId2571" Type="http://schemas.openxmlformats.org/officeDocument/2006/relationships/hyperlink" Target="http://www.linkedin.com/company/dhm-tech" TargetMode="External"/><Relationship  Id="rId2572" Type="http://schemas.openxmlformats.org/officeDocument/2006/relationships/hyperlink" Target="http://www.linkedin.com/in/aniss-dahmane-6936abb2" TargetMode="External"/><Relationship  Id="rId2573" Type="http://schemas.openxmlformats.org/officeDocument/2006/relationships/hyperlink" Target="http://bredhill.com" TargetMode="External"/><Relationship  Id="rId2574" Type="http://schemas.openxmlformats.org/officeDocument/2006/relationships/hyperlink" Target="http://www.linkedin.com/company/bredhill-consulting" TargetMode="External"/><Relationship  Id="rId2575" Type="http://schemas.openxmlformats.org/officeDocument/2006/relationships/hyperlink" Target="http://www.linkedin.com/in/antoine-de-bellescize-3407493" TargetMode="External"/><Relationship  Id="rId2576" Type="http://schemas.openxmlformats.org/officeDocument/2006/relationships/hyperlink" Target="http://rihet.com" TargetMode="External"/><Relationship  Id="rId2577" Type="http://schemas.openxmlformats.org/officeDocument/2006/relationships/hyperlink" Target="http://www.linkedin.com/company/sas-rihet" TargetMode="External"/><Relationship  Id="rId2578" Type="http://schemas.openxmlformats.org/officeDocument/2006/relationships/hyperlink" Target="https://www.facebook.com/sasrihet/" TargetMode="External"/><Relationship  Id="rId2579" Type="http://schemas.openxmlformats.org/officeDocument/2006/relationships/hyperlink" Target="http://www.linkedin.com/in/adriencaro" TargetMode="External"/><Relationship  Id="rId258" Type="http://schemas.openxmlformats.org/officeDocument/2006/relationships/hyperlink" Target="http://www.leitmotiv.fr" TargetMode="External"/><Relationship  Id="rId2580" Type="http://schemas.openxmlformats.org/officeDocument/2006/relationships/hyperlink" Target="http://www.linkedin.com/company/shodo-nantes" TargetMode="External"/><Relationship  Id="rId2581" Type="http://schemas.openxmlformats.org/officeDocument/2006/relationships/hyperlink" Target="http://www.linkedin.com/in/adriencruchon" TargetMode="External"/><Relationship  Id="rId2582" Type="http://schemas.openxmlformats.org/officeDocument/2006/relationships/hyperlink" Target="http://carretta.fr" TargetMode="External"/><Relationship  Id="rId2583" Type="http://schemas.openxmlformats.org/officeDocument/2006/relationships/hyperlink" Target="http://www.linkedin.com/company/carrettabatiment" TargetMode="External"/><Relationship  Id="rId2584" Type="http://schemas.openxmlformats.org/officeDocument/2006/relationships/hyperlink" Target="http://www.linkedin.com/in/adrien-carretta-7896801b9" TargetMode="External"/><Relationship  Id="rId2585" Type="http://schemas.openxmlformats.org/officeDocument/2006/relationships/hyperlink" Target="http://opstim.fr" TargetMode="External"/><Relationship  Id="rId2586" Type="http://schemas.openxmlformats.org/officeDocument/2006/relationships/hyperlink" Target="http://www.linkedin.com/company/opstim-france" TargetMode="External"/><Relationship  Id="rId2587" Type="http://schemas.openxmlformats.org/officeDocument/2006/relationships/hyperlink" Target="http://www.linkedin.com/in/arnaud-dumas-3321b9a7" TargetMode="External"/><Relationship  Id="rId2588" Type="http://schemas.openxmlformats.org/officeDocument/2006/relationships/hyperlink" Target="http://attitude-si.com" TargetMode="External"/><Relationship  Id="rId2589" Type="http://schemas.openxmlformats.org/officeDocument/2006/relationships/hyperlink" Target="http://www.linkedin.com/company/attitude-si" TargetMode="External"/><Relationship  Id="rId259" Type="http://schemas.openxmlformats.org/officeDocument/2006/relationships/hyperlink" Target="http://www.linkedin.com/in/youssefoudahman" TargetMode="External"/><Relationship  Id="rId2590" Type="http://schemas.openxmlformats.org/officeDocument/2006/relationships/hyperlink" Target="https://www.facebook.com/attitude.si.solutions.informatiques" TargetMode="External"/><Relationship  Id="rId2591" Type="http://schemas.openxmlformats.org/officeDocument/2006/relationships/hyperlink" Target="http://www.linkedin.com/in/alain-tissedre-342434172" TargetMode="External"/><Relationship  Id="rId2592" Type="http://schemas.openxmlformats.org/officeDocument/2006/relationships/hyperlink" Target="http://www.linkedin.com/company/pierre-berge-et-associes" TargetMode="External"/><Relationship  Id="rId2593" Type="http://schemas.openxmlformats.org/officeDocument/2006/relationships/hyperlink" Target="http://www.linkedin.com/in/alexandre-landre-651875a6" TargetMode="External"/><Relationship  Id="rId2594" Type="http://schemas.openxmlformats.org/officeDocument/2006/relationships/hyperlink" Target="http://tradibat-normandie.fr" TargetMode="External"/><Relationship  Id="rId2595" Type="http://schemas.openxmlformats.org/officeDocument/2006/relationships/hyperlink" Target="http://www.linkedin.com/company/tradibat14" TargetMode="External"/><Relationship  Id="rId2596" Type="http://schemas.openxmlformats.org/officeDocument/2006/relationships/hyperlink" Target="https://twitter.com/mtradibat" TargetMode="External"/><Relationship  Id="rId2597" Type="http://schemas.openxmlformats.org/officeDocument/2006/relationships/hyperlink" Target="https://www.facebook.com/maisonstradibat" TargetMode="External"/><Relationship  Id="rId2598" Type="http://schemas.openxmlformats.org/officeDocument/2006/relationships/hyperlink" Target="http://www.linkedin.com/in/albin-charles-0635156a" TargetMode="External"/><Relationship  Id="rId2599" Type="http://schemas.openxmlformats.org/officeDocument/2006/relationships/hyperlink" Target="http://gembaware.com" TargetMode="External"/><Relationship  Id="rId26" Type="http://schemas.openxmlformats.org/officeDocument/2006/relationships/hyperlink" Target="http://www.tartelettes.fr" TargetMode="External"/><Relationship  Id="rId260" Type="http://schemas.openxmlformats.org/officeDocument/2006/relationships/hyperlink" Target="http://www.meetmymama.com" TargetMode="External"/><Relationship  Id="rId2600" Type="http://schemas.openxmlformats.org/officeDocument/2006/relationships/hyperlink" Target="http://www.linkedin.com/company/gembaware" TargetMode="External"/><Relationship  Id="rId2601" Type="http://schemas.openxmlformats.org/officeDocument/2006/relationships/hyperlink" Target="http://www.linkedin.com/in/albin-giraud-2a452b" TargetMode="External"/><Relationship  Id="rId2602" Type="http://schemas.openxmlformats.org/officeDocument/2006/relationships/hyperlink" Target="http://acsantis.com" TargetMode="External"/><Relationship  Id="rId2603" Type="http://schemas.openxmlformats.org/officeDocument/2006/relationships/hyperlink" Target="http://www.linkedin.com/company/acsantis" TargetMode="External"/><Relationship  Id="rId2604" Type="http://schemas.openxmlformats.org/officeDocument/2006/relationships/hyperlink" Target="https://twitter.com/cabacsantis" TargetMode="External"/><Relationship  Id="rId2605" Type="http://schemas.openxmlformats.org/officeDocument/2006/relationships/hyperlink" Target="http://www.linkedin.com/in/alec-guiral-3981342b2" TargetMode="External"/><Relationship  Id="rId2606" Type="http://schemas.openxmlformats.org/officeDocument/2006/relationships/hyperlink" Target="http://bewizyu.com" TargetMode="External"/><Relationship  Id="rId2607" Type="http://schemas.openxmlformats.org/officeDocument/2006/relationships/hyperlink" Target="http://www.linkedin.com/company/bewizyu" TargetMode="External"/><Relationship  Id="rId2608" Type="http://schemas.openxmlformats.org/officeDocument/2006/relationships/hyperlink" Target="https://twitter.com/BEWIZYU" TargetMode="External"/><Relationship  Id="rId2609" Type="http://schemas.openxmlformats.org/officeDocument/2006/relationships/hyperlink" Target="http://www.linkedin.com/in/antoineleforestier" TargetMode="External"/><Relationship  Id="rId261" Type="http://schemas.openxmlformats.org/officeDocument/2006/relationships/hyperlink" Target="http://www.linkedin.com/in/caroline-piel-9817135" TargetMode="External"/><Relationship  Id="rId2610" Type="http://schemas.openxmlformats.org/officeDocument/2006/relationships/hyperlink" Target="http://kp2i.com" TargetMode="External"/><Relationship  Id="rId2611" Type="http://schemas.openxmlformats.org/officeDocument/2006/relationships/hyperlink" Target="http://www.linkedin.com/company/kp2i" TargetMode="External"/><Relationship  Id="rId2612" Type="http://schemas.openxmlformats.org/officeDocument/2006/relationships/hyperlink" Target="http://www.linkedin.com/in/arnaud-lenotte-09a10119" TargetMode="External"/><Relationship  Id="rId2613" Type="http://schemas.openxmlformats.org/officeDocument/2006/relationships/hyperlink" Target="http://alsatis-services.com" TargetMode="External"/><Relationship  Id="rId2614" Type="http://schemas.openxmlformats.org/officeDocument/2006/relationships/hyperlink" Target="http://www.linkedin.com/company/alsatis-services" TargetMode="External"/><Relationship  Id="rId2615" Type="http://schemas.openxmlformats.org/officeDocument/2006/relationships/hyperlink" Target="http://www.linkedin.com/in/alexandre-poncini" TargetMode="External"/><Relationship  Id="rId2616" Type="http://schemas.openxmlformats.org/officeDocument/2006/relationships/hyperlink" Target="http://proplace.co" TargetMode="External"/><Relationship  Id="rId2617" Type="http://schemas.openxmlformats.org/officeDocument/2006/relationships/hyperlink" Target="http://www.linkedin.com/company/proplaceco" TargetMode="External"/><Relationship  Id="rId2618" Type="http://schemas.openxmlformats.org/officeDocument/2006/relationships/hyperlink" Target="http://www.linkedin.com/in/alexandre-guillaume-833366201" TargetMode="External"/><Relationship  Id="rId2619" Type="http://schemas.openxmlformats.org/officeDocument/2006/relationships/hyperlink" Target="http://pharow.com" TargetMode="External"/><Relationship  Id="rId262" Type="http://schemas.openxmlformats.org/officeDocument/2006/relationships/hyperlink" Target="http://www.hotelsenville.com" TargetMode="External"/><Relationship  Id="rId2620" Type="http://schemas.openxmlformats.org/officeDocument/2006/relationships/hyperlink" Target="http://www.linkedin.com/company/pharow" TargetMode="External"/><Relationship  Id="rId2621" Type="http://schemas.openxmlformats.org/officeDocument/2006/relationships/hyperlink" Target="http://www.linkedin.com/in/alexismartel" TargetMode="External"/><Relationship  Id="rId2622" Type="http://schemas.openxmlformats.org/officeDocument/2006/relationships/hyperlink" Target="http://trust-it.fr" TargetMode="External"/><Relationship  Id="rId2623" Type="http://schemas.openxmlformats.org/officeDocument/2006/relationships/hyperlink" Target="http://www.linkedin.com/company/trustitg%c3%a9n%c3%a9rateurdeconfiance" TargetMode="External"/><Relationship  Id="rId2624" Type="http://schemas.openxmlformats.org/officeDocument/2006/relationships/hyperlink" Target="https://twitter.com/Trust_IT_GDC" TargetMode="External"/><Relationship  Id="rId2625" Type="http://schemas.openxmlformats.org/officeDocument/2006/relationships/hyperlink" Target="https://www.facebook.com/trustitgenerateurdeconfiance" TargetMode="External"/><Relationship  Id="rId2626" Type="http://schemas.openxmlformats.org/officeDocument/2006/relationships/hyperlink" Target="http://www.linkedin.com/in/ali-sidhoum-630672b3" TargetMode="External"/><Relationship  Id="rId2627" Type="http://schemas.openxmlformats.org/officeDocument/2006/relationships/hyperlink" Target="http://verticalexpense.com" TargetMode="External"/><Relationship  Id="rId2628" Type="http://schemas.openxmlformats.org/officeDocument/2006/relationships/hyperlink" Target="http://www.linkedin.com/company/verticalexpense" TargetMode="External"/><Relationship  Id="rId2629" Type="http://schemas.openxmlformats.org/officeDocument/2006/relationships/hyperlink" Target="http://www.linkedin.com/in/alice-rouquette-roblin-4217164" TargetMode="External"/><Relationship  Id="rId263" Type="http://schemas.openxmlformats.org/officeDocument/2006/relationships/hyperlink" Target="http://www.linkedin.com/in/cl%c3%a9mence-rousseau-dumarcet-742a883" TargetMode="External"/><Relationship  Id="rId2630" Type="http://schemas.openxmlformats.org/officeDocument/2006/relationships/hyperlink" Target="http://omydoo.fr" TargetMode="External"/><Relationship  Id="rId2631" Type="http://schemas.openxmlformats.org/officeDocument/2006/relationships/hyperlink" Target="http://www.linkedin.com/company/omydoo" TargetMode="External"/><Relationship  Id="rId2632" Type="http://schemas.openxmlformats.org/officeDocument/2006/relationships/hyperlink" Target="https://www.facebook.com/omydoo" TargetMode="External"/><Relationship  Id="rId2633" Type="http://schemas.openxmlformats.org/officeDocument/2006/relationships/hyperlink" Target="http://www.linkedin.com/in/alison-dubuisson-44249258" TargetMode="External"/><Relationship  Id="rId2634" Type="http://schemas.openxmlformats.org/officeDocument/2006/relationships/hyperlink" Target="http://univrstudio.com" TargetMode="External"/><Relationship  Id="rId2635" Type="http://schemas.openxmlformats.org/officeDocument/2006/relationships/hyperlink" Target="http://www.linkedin.com/company/univr-studio" TargetMode="External"/><Relationship  Id="rId2636" Type="http://schemas.openxmlformats.org/officeDocument/2006/relationships/hyperlink" Target="https://twitter.com/UniVRstudio" TargetMode="External"/><Relationship  Id="rId2637" Type="http://schemas.openxmlformats.org/officeDocument/2006/relationships/hyperlink" Target="https://www.facebook.com/univrstudio360" TargetMode="External"/><Relationship  Id="rId2638" Type="http://schemas.openxmlformats.org/officeDocument/2006/relationships/hyperlink" Target="http://www.linkedin.com/in/alissonfoucault" TargetMode="External"/><Relationship  Id="rId2639" Type="http://schemas.openxmlformats.org/officeDocument/2006/relationships/hyperlink" Target="http://random-coffee.com" TargetMode="External"/><Relationship  Id="rId264" Type="http://schemas.openxmlformats.org/officeDocument/2006/relationships/hyperlink" Target="http://www.nutchel.be" TargetMode="External"/><Relationship  Id="rId2640" Type="http://schemas.openxmlformats.org/officeDocument/2006/relationships/hyperlink" Target="http://www.linkedin.com/company/randomcoffee" TargetMode="External"/><Relationship  Id="rId2641" Type="http://schemas.openxmlformats.org/officeDocument/2006/relationships/hyperlink" Target="https://twitter.com/randomcoffeeapp" TargetMode="External"/><Relationship  Id="rId2642" Type="http://schemas.openxmlformats.org/officeDocument/2006/relationships/hyperlink" Target="https://www.facebook.com/randomcoffeeapp/" TargetMode="External"/><Relationship  Id="rId2643" Type="http://schemas.openxmlformats.org/officeDocument/2006/relationships/hyperlink" Target="http://www.linkedin.com/in/alizeemeissonnier" TargetMode="External"/><Relationship  Id="rId2644" Type="http://schemas.openxmlformats.org/officeDocument/2006/relationships/hyperlink" Target="http://metalgear.xyz" TargetMode="External"/><Relationship  Id="rId2645" Type="http://schemas.openxmlformats.org/officeDocument/2006/relationships/hyperlink" Target="http://www.linkedin.com/company/metalgearhq" TargetMode="External"/><Relationship  Id="rId2646" Type="http://schemas.openxmlformats.org/officeDocument/2006/relationships/hyperlink" Target="http://www.linkedin.com/in/alois-jobard" TargetMode="External"/><Relationship  Id="rId2647" Type="http://schemas.openxmlformats.org/officeDocument/2006/relationships/hyperlink" Target="http://otherwayaround.co" TargetMode="External"/><Relationship  Id="rId2648" Type="http://schemas.openxmlformats.org/officeDocument/2006/relationships/hyperlink" Target="http://www.linkedin.com/company/otherwayaround" TargetMode="External"/><Relationship  Id="rId2649" Type="http://schemas.openxmlformats.org/officeDocument/2006/relationships/hyperlink" Target="http://www.linkedin.com/in/alptug-ika" TargetMode="External"/><Relationship  Id="rId265" Type="http://schemas.openxmlformats.org/officeDocument/2006/relationships/hyperlink" Target="http://www.linkedin.com/in/shaiek" TargetMode="External"/><Relationship  Id="rId2650" Type="http://schemas.openxmlformats.org/officeDocument/2006/relationships/hyperlink" Target="http://astorm-group.com" TargetMode="External"/><Relationship  Id="rId2651" Type="http://schemas.openxmlformats.org/officeDocument/2006/relationships/hyperlink" Target="http://www.linkedin.com/company/groupe-astorm" TargetMode="External"/><Relationship  Id="rId2652" Type="http://schemas.openxmlformats.org/officeDocument/2006/relationships/hyperlink" Target="http://www.linkedin.com/in/amine-zaafrane-4ba90634" TargetMode="External"/><Relationship  Id="rId2653" Type="http://schemas.openxmlformats.org/officeDocument/2006/relationships/hyperlink" Target="http://leslanguesdumonde.com" TargetMode="External"/><Relationship  Id="rId2654" Type="http://schemas.openxmlformats.org/officeDocument/2006/relationships/hyperlink" Target="http://www.linkedin.com/company/les-langues-du-monde" TargetMode="External"/><Relationship  Id="rId2655" Type="http://schemas.openxmlformats.org/officeDocument/2006/relationships/hyperlink" Target="http://www.linkedin.com/in/anaescobedo" TargetMode="External"/><Relationship  Id="rId2656" Type="http://schemas.openxmlformats.org/officeDocument/2006/relationships/hyperlink" Target="http://hands.fr" TargetMode="External"/><Relationship  Id="rId2657" Type="http://schemas.openxmlformats.org/officeDocument/2006/relationships/hyperlink" Target="http://www.linkedin.com/company/handsgroup" TargetMode="External"/><Relationship  Id="rId2658" Type="http://schemas.openxmlformats.org/officeDocument/2006/relationships/hyperlink" Target="http://www.linkedin.com/in/ana%c3%ablle-escurat-60243446" TargetMode="External"/><Relationship  Id="rId2659" Type="http://schemas.openxmlformats.org/officeDocument/2006/relationships/hyperlink" Target="http://midgard-ai.com" TargetMode="External"/><Relationship  Id="rId266" Type="http://schemas.openxmlformats.org/officeDocument/2006/relationships/hyperlink" Target="http://www.sunlocation.com" TargetMode="External"/><Relationship  Id="rId2660" Type="http://schemas.openxmlformats.org/officeDocument/2006/relationships/hyperlink" Target="http://www.linkedin.com/company/midgard-ai" TargetMode="External"/><Relationship  Id="rId2661" Type="http://schemas.openxmlformats.org/officeDocument/2006/relationships/hyperlink" Target="http://www.linkedin.com/in/anne-sophie-cadre-7abbb3b4" TargetMode="External"/><Relationship  Id="rId2662" Type="http://schemas.openxmlformats.org/officeDocument/2006/relationships/hyperlink" Target="http://enaxion.fr" TargetMode="External"/><Relationship  Id="rId2663" Type="http://schemas.openxmlformats.org/officeDocument/2006/relationships/hyperlink" Target="http://www.linkedin.com/company/enaxion" TargetMode="External"/><Relationship  Id="rId2664" Type="http://schemas.openxmlformats.org/officeDocument/2006/relationships/hyperlink" Target="http://www.linkedin.com/in/anne-dranssart-94640a8" TargetMode="External"/><Relationship  Id="rId2665" Type="http://schemas.openxmlformats.org/officeDocument/2006/relationships/hyperlink" Target="http://alp-sa.fr" TargetMode="External"/><Relationship  Id="rId2666" Type="http://schemas.openxmlformats.org/officeDocument/2006/relationships/hyperlink" Target="http://www.linkedin.com/company/alp-sas" TargetMode="External"/><Relationship  Id="rId2667" Type="http://schemas.openxmlformats.org/officeDocument/2006/relationships/hyperlink" Target="http://www.linkedin.com/in/anne-lauvergeon" TargetMode="External"/><Relationship  Id="rId2668" Type="http://schemas.openxmlformats.org/officeDocument/2006/relationships/hyperlink" Target="http://testify.fr" TargetMode="External"/><Relationship  Id="rId2669" Type="http://schemas.openxmlformats.org/officeDocument/2006/relationships/hyperlink" Target="http://www.linkedin.com/company/testify-lyon" TargetMode="External"/><Relationship  Id="rId267" Type="http://schemas.openxmlformats.org/officeDocument/2006/relationships/hyperlink" Target="http://www.linkedin.com/in/norman-kolton-64232226" TargetMode="External"/><Relationship  Id="rId2670" Type="http://schemas.openxmlformats.org/officeDocument/2006/relationships/hyperlink" Target="http://www.linkedin.com/in/anthony-bourgin-29ab4b122" TargetMode="External"/><Relationship  Id="rId2671" Type="http://schemas.openxmlformats.org/officeDocument/2006/relationships/hyperlink" Target="http://x-gil.fr" TargetMode="External"/><Relationship  Id="rId2672" Type="http://schemas.openxmlformats.org/officeDocument/2006/relationships/hyperlink" Target="http://www.linkedin.com/company/xgil" TargetMode="External"/><Relationship  Id="rId2673" Type="http://schemas.openxmlformats.org/officeDocument/2006/relationships/hyperlink" Target="http://www.linkedin.com/in/anthony-dall-agnola" TargetMode="External"/><Relationship  Id="rId2674" Type="http://schemas.openxmlformats.org/officeDocument/2006/relationships/hyperlink" Target="http://ibea.fr" TargetMode="External"/><Relationship  Id="rId2675" Type="http://schemas.openxmlformats.org/officeDocument/2006/relationships/hyperlink" Target="http://www.linkedin.com/company/ibea-france-panneaux-sandwich-isolation-thermique-et-accessoires" TargetMode="External"/><Relationship  Id="rId2676" Type="http://schemas.openxmlformats.org/officeDocument/2006/relationships/hyperlink" Target="http://www.linkedin.com/in/anthony-seaumaire-528659aa" TargetMode="External"/><Relationship  Id="rId2677" Type="http://schemas.openxmlformats.org/officeDocument/2006/relationships/hyperlink" Target="http://abexperience.fr" TargetMode="External"/><Relationship  Id="rId2678" Type="http://schemas.openxmlformats.org/officeDocument/2006/relationships/hyperlink" Target="http://www.linkedin.com/company/ab-experience" TargetMode="External"/><Relationship  Id="rId2679" Type="http://schemas.openxmlformats.org/officeDocument/2006/relationships/hyperlink" Target="https://twitter.com/abxpofficiel" TargetMode="External"/><Relationship  Id="rId268" Type="http://schemas.openxmlformats.org/officeDocument/2006/relationships/hyperlink" Target="http://www.streetbangkok.fr" TargetMode="External"/><Relationship  Id="rId2680" Type="http://schemas.openxmlformats.org/officeDocument/2006/relationships/hyperlink" Target="https://www.facebook.com/abexperience/" TargetMode="External"/><Relationship  Id="rId2681" Type="http://schemas.openxmlformats.org/officeDocument/2006/relationships/hyperlink" Target="http://www.linkedin.com/in/antoine-beaufort-6904b82" TargetMode="External"/><Relationship  Id="rId2682" Type="http://schemas.openxmlformats.org/officeDocument/2006/relationships/hyperlink" Target="http://ponant-technologies.com" TargetMode="External"/><Relationship  Id="rId2683" Type="http://schemas.openxmlformats.org/officeDocument/2006/relationships/hyperlink" Target="http://www.linkedin.com/company/ponant-technologies" TargetMode="External"/><Relationship  Id="rId2684" Type="http://schemas.openxmlformats.org/officeDocument/2006/relationships/hyperlink" Target="http://www.linkedin.com/in/antoinedessales" TargetMode="External"/><Relationship  Id="rId2685" Type="http://schemas.openxmlformats.org/officeDocument/2006/relationships/hyperlink" Target="http://quintetconseil.fr" TargetMode="External"/><Relationship  Id="rId2686" Type="http://schemas.openxmlformats.org/officeDocument/2006/relationships/hyperlink" Target="http://www.linkedin.com/company/quintet-conseil" TargetMode="External"/><Relationship  Id="rId2687" Type="http://schemas.openxmlformats.org/officeDocument/2006/relationships/hyperlink" Target="http://www.linkedin.com/in/antoine-foucher-a870461b9" TargetMode="External"/><Relationship  Id="rId2688" Type="http://schemas.openxmlformats.org/officeDocument/2006/relationships/hyperlink" Target="http://agence-copernic.fr" TargetMode="External"/><Relationship  Id="rId2689" Type="http://schemas.openxmlformats.org/officeDocument/2006/relationships/hyperlink" Target="http://www.linkedin.com/company/agence-copernic" TargetMode="External"/><Relationship  Id="rId269" Type="http://schemas.openxmlformats.org/officeDocument/2006/relationships/hyperlink" Target="http://www.linkedin.com/in/yassine-abied" TargetMode="External"/><Relationship  Id="rId2690" Type="http://schemas.openxmlformats.org/officeDocument/2006/relationships/hyperlink" Target="http://www.linkedin.com/in/antoine-copernic" TargetMode="External"/><Relationship  Id="rId2691" Type="http://schemas.openxmlformats.org/officeDocument/2006/relationships/hyperlink" Target="http://costa-maconnerie.com" TargetMode="External"/><Relationship  Id="rId2692" Type="http://schemas.openxmlformats.org/officeDocument/2006/relationships/hyperlink" Target="http://www.linkedin.com/company/costa-maconnerie" TargetMode="External"/><Relationship  Id="rId2693" Type="http://schemas.openxmlformats.org/officeDocument/2006/relationships/hyperlink" Target="http://www.linkedin.com/in/antoine-potin-33a1b310b" TargetMode="External"/><Relationship  Id="rId2694" Type="http://schemas.openxmlformats.org/officeDocument/2006/relationships/hyperlink" Target="http://koena.net" TargetMode="External"/><Relationship  Id="rId2695" Type="http://schemas.openxmlformats.org/officeDocument/2006/relationships/hyperlink" Target="http://www.linkedin.com/school/koena" TargetMode="External"/><Relationship  Id="rId2696" Type="http://schemas.openxmlformats.org/officeDocument/2006/relationships/hyperlink" Target="https://twitter.com/koenafr" TargetMode="External"/><Relationship  Id="rId2697" Type="http://schemas.openxmlformats.org/officeDocument/2006/relationships/hyperlink" Target="http://www.linkedin.com/in/armonyaltinier" TargetMode="External"/><Relationship  Id="rId2698" Type="http://schemas.openxmlformats.org/officeDocument/2006/relationships/hyperlink" Target="http://pole-excellence-cyber.org" TargetMode="External"/><Relationship  Id="rId2699" Type="http://schemas.openxmlformats.org/officeDocument/2006/relationships/hyperlink" Target="http://www.linkedin.com/company/pole-excellence-cyber" TargetMode="External"/><Relationship  Id="rId27" Type="http://schemas.openxmlformats.org/officeDocument/2006/relationships/hyperlink" Target="http://www.linkedin.com/in/tom-couture-5a7458108" TargetMode="External"/><Relationship  Id="rId270" Type="http://schemas.openxmlformats.org/officeDocument/2006/relationships/hyperlink" Target="http://www.carnium.fr" TargetMode="External"/><Relationship  Id="rId2700" Type="http://schemas.openxmlformats.org/officeDocument/2006/relationships/hyperlink" Target="http://www.linkedin.com/in/arnaudctr" TargetMode="External"/><Relationship  Id="rId2701" Type="http://schemas.openxmlformats.org/officeDocument/2006/relationships/hyperlink" Target="http://reseaulution.fr" TargetMode="External"/><Relationship  Id="rId2702" Type="http://schemas.openxmlformats.org/officeDocument/2006/relationships/hyperlink" Target="http://www.linkedin.com/company/reseaulution" TargetMode="External"/><Relationship  Id="rId2703" Type="http://schemas.openxmlformats.org/officeDocument/2006/relationships/hyperlink" Target="http://www.linkedin.com/in/arnaud-lopez-55049689" TargetMode="External"/><Relationship  Id="rId2704" Type="http://schemas.openxmlformats.org/officeDocument/2006/relationships/hyperlink" Target="http://jubea.fr" TargetMode="External"/><Relationship  Id="rId2705" Type="http://schemas.openxmlformats.org/officeDocument/2006/relationships/hyperlink" Target="http://www.linkedin.com/company/jubeamajor" TargetMode="External"/><Relationship  Id="rId2706" Type="http://schemas.openxmlformats.org/officeDocument/2006/relationships/hyperlink" Target="http://www.linkedin.com/in/arnaudmarchand34430" TargetMode="External"/><Relationship  Id="rId2707" Type="http://schemas.openxmlformats.org/officeDocument/2006/relationships/hyperlink" Target="http://waigeo.fr" TargetMode="External"/><Relationship  Id="rId2708" Type="http://schemas.openxmlformats.org/officeDocument/2006/relationships/hyperlink" Target="http://www.linkedin.com/company/waig%c3%a9o" TargetMode="External"/><Relationship  Id="rId2709" Type="http://schemas.openxmlformats.org/officeDocument/2006/relationships/hyperlink" Target="https://www.facebook.com/GroupeWaigeo/" TargetMode="External"/><Relationship  Id="rId271" Type="http://schemas.openxmlformats.org/officeDocument/2006/relationships/hyperlink" Target="http://www.linkedin.com/in/pierremiramont" TargetMode="External"/><Relationship  Id="rId2710" Type="http://schemas.openxmlformats.org/officeDocument/2006/relationships/hyperlink" Target="http://www.linkedin.com/in/arnaud-montewis-22138158" TargetMode="External"/><Relationship  Id="rId2711" Type="http://schemas.openxmlformats.org/officeDocument/2006/relationships/hyperlink" Target="http://taroko.fr" TargetMode="External"/><Relationship  Id="rId2712" Type="http://schemas.openxmlformats.org/officeDocument/2006/relationships/hyperlink" Target="http://www.linkedin.com/company/taroko-strategy" TargetMode="External"/><Relationship  Id="rId2713" Type="http://schemas.openxmlformats.org/officeDocument/2006/relationships/hyperlink" Target="http://www.linkedin.com/in/arthurjouve" TargetMode="External"/><Relationship  Id="rId2714" Type="http://schemas.openxmlformats.org/officeDocument/2006/relationships/hyperlink" Target="http://sidekicks.cc" TargetMode="External"/><Relationship  Id="rId2715" Type="http://schemas.openxmlformats.org/officeDocument/2006/relationships/hyperlink" Target="http://www.linkedin.com/company/sidekicks-cc" TargetMode="External"/><Relationship  Id="rId2716" Type="http://schemas.openxmlformats.org/officeDocument/2006/relationships/hyperlink" Target="https://twitter.com/boulangerarthur" TargetMode="External"/><Relationship  Id="rId2717" Type="http://schemas.openxmlformats.org/officeDocument/2006/relationships/hyperlink" Target="http://www.linkedin.com/in/boulangerarthur" TargetMode="External"/><Relationship  Id="rId2718" Type="http://schemas.openxmlformats.org/officeDocument/2006/relationships/hyperlink" Target="http://tetra-info.com" TargetMode="External"/><Relationship  Id="rId2719" Type="http://schemas.openxmlformats.org/officeDocument/2006/relationships/hyperlink" Target="http://www.linkedin.com/company/tetra-informatique" TargetMode="External"/><Relationship  Id="rId272" Type="http://schemas.openxmlformats.org/officeDocument/2006/relationships/hyperlink" Target="http://www.banoi.fr" TargetMode="External"/><Relationship  Id="rId2720" Type="http://schemas.openxmlformats.org/officeDocument/2006/relationships/hyperlink" Target="https://twitter.com/tetra_info" TargetMode="External"/><Relationship  Id="rId2721" Type="http://schemas.openxmlformats.org/officeDocument/2006/relationships/hyperlink" Target="https://www.facebook.com/tetrainformatique/" TargetMode="External"/><Relationship  Id="rId2722" Type="http://schemas.openxmlformats.org/officeDocument/2006/relationships/hyperlink" Target="http://www.linkedin.com/in/alain-savary-b16309b0" TargetMode="External"/><Relationship  Id="rId2723" Type="http://schemas.openxmlformats.org/officeDocument/2006/relationships/hyperlink" Target="http://www.linkedin.com/company/e%c2%b7nov-construction" TargetMode="External"/><Relationship  Id="rId2724" Type="http://schemas.openxmlformats.org/officeDocument/2006/relationships/hyperlink" Target="http://www.linkedin.com/in/bruno-aubert-9398bbb2" TargetMode="External"/><Relationship  Id="rId2725" Type="http://schemas.openxmlformats.org/officeDocument/2006/relationships/hyperlink" Target="http://powerflow.fr" TargetMode="External"/><Relationship  Id="rId2726" Type="http://schemas.openxmlformats.org/officeDocument/2006/relationships/hyperlink" Target="http://www.linkedin.com/company/powerflow-paris" TargetMode="External"/><Relationship  Id="rId2727" Type="http://schemas.openxmlformats.org/officeDocument/2006/relationships/hyperlink" Target="http://www.linkedin.com/in/audreyhicke" TargetMode="External"/><Relationship  Id="rId2728" Type="http://schemas.openxmlformats.org/officeDocument/2006/relationships/hyperlink" Target="http://ultralaborans.org" TargetMode="External"/><Relationship  Id="rId2729" Type="http://schemas.openxmlformats.org/officeDocument/2006/relationships/hyperlink" Target="http://www.linkedin.com/company/ultralaborans" TargetMode="External"/><Relationship  Id="rId273" Type="http://schemas.openxmlformats.org/officeDocument/2006/relationships/hyperlink" Target="http://www.linkedin.com/in/jan-van-grinsven-82214420" TargetMode="External"/><Relationship  Id="rId2730" Type="http://schemas.openxmlformats.org/officeDocument/2006/relationships/hyperlink" Target="http://www.linkedin.com/in/aur%c3%a9lie-deudon-b30b3235" TargetMode="External"/><Relationship  Id="rId2731" Type="http://schemas.openxmlformats.org/officeDocument/2006/relationships/hyperlink" Target="http://www.linkedin.com/company/chut-mag" TargetMode="External"/><Relationship  Id="rId2732" Type="http://schemas.openxmlformats.org/officeDocument/2006/relationships/hyperlink" Target="https://twitter.com/Chut_magazine" TargetMode="External"/><Relationship  Id="rId2733" Type="http://schemas.openxmlformats.org/officeDocument/2006/relationships/hyperlink" Target="https://www.facebook.com/ChutMagazine/" TargetMode="External"/><Relationship  Id="rId2734" Type="http://schemas.openxmlformats.org/officeDocument/2006/relationships/hyperlink" Target="http://www.linkedin.com/in/aurore-bisicchia-12b7875" TargetMode="External"/><Relationship  Id="rId2735" Type="http://schemas.openxmlformats.org/officeDocument/2006/relationships/hyperlink" Target="http://promessens.fr" TargetMode="External"/><Relationship  Id="rId2736" Type="http://schemas.openxmlformats.org/officeDocument/2006/relationships/hyperlink" Target="http://www.linkedin.com/company/promessens" TargetMode="External"/><Relationship  Id="rId2737" Type="http://schemas.openxmlformats.org/officeDocument/2006/relationships/hyperlink" Target="http://www.linkedin.com/in/agnesviallet" TargetMode="External"/><Relationship  Id="rId2738" Type="http://schemas.openxmlformats.org/officeDocument/2006/relationships/hyperlink" Target="http://tech-advising.com" TargetMode="External"/><Relationship  Id="rId2739" Type="http://schemas.openxmlformats.org/officeDocument/2006/relationships/hyperlink" Target="http://www.linkedin.com/company/tech-advising" TargetMode="External"/><Relationship  Id="rId274" Type="http://schemas.openxmlformats.org/officeDocument/2006/relationships/hyperlink" Target="http://www.lesmerles.com" TargetMode="External"/><Relationship  Id="rId2740" Type="http://schemas.openxmlformats.org/officeDocument/2006/relationships/hyperlink" Target="http://www.linkedin.com/in/aviel-goldenberg" TargetMode="External"/><Relationship  Id="rId2741" Type="http://schemas.openxmlformats.org/officeDocument/2006/relationships/hyperlink" Target="http://girold.com" TargetMode="External"/><Relationship  Id="rId2742" Type="http://schemas.openxmlformats.org/officeDocument/2006/relationships/hyperlink" Target="http://www.linkedin.com/company/girold-construction-bois" TargetMode="External"/><Relationship  Id="rId2743" Type="http://schemas.openxmlformats.org/officeDocument/2006/relationships/hyperlink" Target="http://www.linkedin.com/in/aymeric-paget-839b0a95" TargetMode="External"/><Relationship  Id="rId2744" Type="http://schemas.openxmlformats.org/officeDocument/2006/relationships/hyperlink" Target="http://www.linkedin.com/company/bessat-electricit%c3%a9" TargetMode="External"/><Relationship  Id="rId2745" Type="http://schemas.openxmlformats.org/officeDocument/2006/relationships/hyperlink" Target="http://www.linkedin.com/in/benoit-bessat-806aa6b0" TargetMode="External"/><Relationship  Id="rId2746" Type="http://schemas.openxmlformats.org/officeDocument/2006/relationships/hyperlink" Target="http://delamplevrd.fr" TargetMode="External"/><Relationship  Id="rId2747" Type="http://schemas.openxmlformats.org/officeDocument/2006/relationships/hyperlink" Target="http://www.linkedin.com/company/delample-vrd" TargetMode="External"/><Relationship  Id="rId2748" Type="http://schemas.openxmlformats.org/officeDocument/2006/relationships/hyperlink" Target="http://www.linkedin.com/in/benjamin-delample-1298a1210" TargetMode="External"/><Relationship  Id="rId2749" Type="http://schemas.openxmlformats.org/officeDocument/2006/relationships/hyperlink" Target="http://sooit.fr" TargetMode="External"/><Relationship  Id="rId275" Type="http://schemas.openxmlformats.org/officeDocument/2006/relationships/hyperlink" Target="http://www.linkedin.com/in/eric-viriot-4a70b5101" TargetMode="External"/><Relationship  Id="rId2750" Type="http://schemas.openxmlformats.org/officeDocument/2006/relationships/hyperlink" Target="http://www.linkedin.com/company/sooit" TargetMode="External"/><Relationship  Id="rId2751" Type="http://schemas.openxmlformats.org/officeDocument/2006/relationships/hyperlink" Target="http://www.linkedin.com/in/babacar-diop-0a4a43184" TargetMode="External"/><Relationship  Id="rId2752" Type="http://schemas.openxmlformats.org/officeDocument/2006/relationships/hyperlink" Target="http://tunisiancloud.com" TargetMode="External"/><Relationship  Id="rId2753" Type="http://schemas.openxmlformats.org/officeDocument/2006/relationships/hyperlink" Target="http://www.linkedin.com/company/tunisian-cloud" TargetMode="External"/><Relationship  Id="rId2754" Type="http://schemas.openxmlformats.org/officeDocument/2006/relationships/hyperlink" Target="https://twitter.com/TunisianTc" TargetMode="External"/><Relationship  Id="rId2755" Type="http://schemas.openxmlformats.org/officeDocument/2006/relationships/hyperlink" Target="http://www.linkedin.com/in/bassemlamouchi" TargetMode="External"/><Relationship  Id="rId2756" Type="http://schemas.openxmlformats.org/officeDocument/2006/relationships/hyperlink" Target="http://cisepz.fr" TargetMode="External"/><Relationship  Id="rId2757" Type="http://schemas.openxmlformats.org/officeDocument/2006/relationships/hyperlink" Target="http://www.linkedin.com/company/cisepz" TargetMode="External"/><Relationship  Id="rId2758" Type="http://schemas.openxmlformats.org/officeDocument/2006/relationships/hyperlink" Target="https://www.facebook.com/profile.php" TargetMode="External"/><Relationship  Id="rId2759" Type="http://schemas.openxmlformats.org/officeDocument/2006/relationships/hyperlink" Target="http://www.linkedin.com/in/benoit-macabeo-998b60100" TargetMode="External"/><Relationship  Id="rId276" Type="http://schemas.openxmlformats.org/officeDocument/2006/relationships/hyperlink" Target="http://www.koawa-vacances.com" TargetMode="External"/><Relationship  Id="rId2760" Type="http://schemas.openxmlformats.org/officeDocument/2006/relationships/hyperlink" Target="http://explorys.fr" TargetMode="External"/><Relationship  Id="rId2761" Type="http://schemas.openxmlformats.org/officeDocument/2006/relationships/hyperlink" Target="http://www.linkedin.com/company/explorys-incubateur" TargetMode="External"/><Relationship  Id="rId2762" Type="http://schemas.openxmlformats.org/officeDocument/2006/relationships/hyperlink" Target="https://twitter.com/explorys" TargetMode="External"/><Relationship  Id="rId2763" Type="http://schemas.openxmlformats.org/officeDocument/2006/relationships/hyperlink" Target="http://www.linkedin.com/in/brice-pouteil-noble-24557792" TargetMode="External"/><Relationship  Id="rId2764" Type="http://schemas.openxmlformats.org/officeDocument/2006/relationships/hyperlink" Target="http://hpdia.com" TargetMode="External"/><Relationship  Id="rId2765" Type="http://schemas.openxmlformats.org/officeDocument/2006/relationships/hyperlink" Target="http://www.linkedin.com/company/hpdia" TargetMode="External"/><Relationship  Id="rId2766" Type="http://schemas.openxmlformats.org/officeDocument/2006/relationships/hyperlink" Target="http://www.linkedin.com/in/baptiste-artur-620037185" TargetMode="External"/><Relationship  Id="rId2767" Type="http://schemas.openxmlformats.org/officeDocument/2006/relationships/hyperlink" Target="http://junior-mines-provence.fr" TargetMode="External"/><Relationship  Id="rId2768" Type="http://schemas.openxmlformats.org/officeDocument/2006/relationships/hyperlink" Target="http://www.linkedin.com/company/junior-mines-provence" TargetMode="External"/><Relationship  Id="rId2769" Type="http://schemas.openxmlformats.org/officeDocument/2006/relationships/hyperlink" Target="http://www.linkedin.com/in/baptiste-mondion" TargetMode="External"/><Relationship  Id="rId277" Type="http://schemas.openxmlformats.org/officeDocument/2006/relationships/hyperlink" Target="http://www.linkedin.com/in/christophe-jl-delaitre-1388a02" TargetMode="External"/><Relationship  Id="rId2770" Type="http://schemas.openxmlformats.org/officeDocument/2006/relationships/hyperlink" Target="http://worklib.io" TargetMode="External"/><Relationship  Id="rId2771" Type="http://schemas.openxmlformats.org/officeDocument/2006/relationships/hyperlink" Target="http://www.linkedin.com/company/worklib-io" TargetMode="External"/><Relationship  Id="rId2772" Type="http://schemas.openxmlformats.org/officeDocument/2006/relationships/hyperlink" Target="https://twitter.com/bapbroughton" TargetMode="External"/><Relationship  Id="rId2773" Type="http://schemas.openxmlformats.org/officeDocument/2006/relationships/hyperlink" Target="http://www.linkedin.com/in/baptistebroughton" TargetMode="External"/><Relationship  Id="rId2774" Type="http://schemas.openxmlformats.org/officeDocument/2006/relationships/hyperlink" Target="http://serynis.fr" TargetMode="External"/><Relationship  Id="rId2775" Type="http://schemas.openxmlformats.org/officeDocument/2006/relationships/hyperlink" Target="http://www.linkedin.com/company/serynis-textiles-techniques" TargetMode="External"/><Relationship  Id="rId2776" Type="http://schemas.openxmlformats.org/officeDocument/2006/relationships/hyperlink" Target="http://www.linkedin.com/in/serynis" TargetMode="External"/><Relationship  Id="rId2777" Type="http://schemas.openxmlformats.org/officeDocument/2006/relationships/hyperlink" Target="http://bdconsulting.fr" TargetMode="External"/><Relationship  Id="rId2778" Type="http://schemas.openxmlformats.org/officeDocument/2006/relationships/hyperlink" Target="http://www.linkedin.com/company/bd-consulting" TargetMode="External"/><Relationship  Id="rId2779" Type="http://schemas.openxmlformats.org/officeDocument/2006/relationships/hyperlink" Target="http://www.linkedin.com/in/bertrand-decultot-98260622" TargetMode="External"/><Relationship  Id="rId278" Type="http://schemas.openxmlformats.org/officeDocument/2006/relationships/hyperlink" Target="http://www.bonterraresort.com" TargetMode="External"/><Relationship  Id="rId2780" Type="http://schemas.openxmlformats.org/officeDocument/2006/relationships/hyperlink" Target="http://auphys.com" TargetMode="External"/><Relationship  Id="rId2781" Type="http://schemas.openxmlformats.org/officeDocument/2006/relationships/hyperlink" Target="http://www.linkedin.com/company/auphys-technologie" TargetMode="External"/><Relationship  Id="rId2782" Type="http://schemas.openxmlformats.org/officeDocument/2006/relationships/hyperlink" Target="http://www.linkedin.com/in/laurent-benchetrit-87068198" TargetMode="External"/><Relationship  Id="rId2783" Type="http://schemas.openxmlformats.org/officeDocument/2006/relationships/hyperlink" Target="http://www.linkedin.com/company/cgbi" TargetMode="External"/><Relationship  Id="rId2784" Type="http://schemas.openxmlformats.org/officeDocument/2006/relationships/hyperlink" Target="http://www.linkedin.com/in/benjamin-camerino-55a8b9117" TargetMode="External"/><Relationship  Id="rId2785" Type="http://schemas.openxmlformats.org/officeDocument/2006/relationships/hyperlink" Target="http://eoris.fr" TargetMode="External"/><Relationship  Id="rId2786" Type="http://schemas.openxmlformats.org/officeDocument/2006/relationships/hyperlink" Target="http://www.linkedin.com/company/eoris" TargetMode="External"/><Relationship  Id="rId2787" Type="http://schemas.openxmlformats.org/officeDocument/2006/relationships/hyperlink" Target="http://www.linkedin.com/in/benjamin-guerlot" TargetMode="External"/><Relationship  Id="rId2788" Type="http://schemas.openxmlformats.org/officeDocument/2006/relationships/hyperlink" Target="http://sporeo.fr" TargetMode="External"/><Relationship  Id="rId2789" Type="http://schemas.openxmlformats.org/officeDocument/2006/relationships/hyperlink" Target="http://www.linkedin.com/company/sporeo1" TargetMode="External"/><Relationship  Id="rId279" Type="http://schemas.openxmlformats.org/officeDocument/2006/relationships/hyperlink" Target="http://www.linkedin.com/in/franck-david-691795136" TargetMode="External"/><Relationship  Id="rId2790" Type="http://schemas.openxmlformats.org/officeDocument/2006/relationships/hyperlink" Target="http://www.linkedin.com/in/benjamin-richez-b089a419" TargetMode="External"/><Relationship  Id="rId2791" Type="http://schemas.openxmlformats.org/officeDocument/2006/relationships/hyperlink" Target="http://gcube-conseil.com" TargetMode="External"/><Relationship  Id="rId2792" Type="http://schemas.openxmlformats.org/officeDocument/2006/relationships/hyperlink" Target="http://www.linkedin.com/company/gcube-conseil" TargetMode="External"/><Relationship  Id="rId2793" Type="http://schemas.openxmlformats.org/officeDocument/2006/relationships/hyperlink" Target="http://www.linkedin.com/in/benjamin-seulin-37bb278a" TargetMode="External"/><Relationship  Id="rId2794" Type="http://schemas.openxmlformats.org/officeDocument/2006/relationships/hyperlink" Target="http://breuilbatiment.com" TargetMode="External"/><Relationship  Id="rId2795" Type="http://schemas.openxmlformats.org/officeDocument/2006/relationships/hyperlink" Target="http://www.linkedin.com/company/sa-breuil-et-cie" TargetMode="External"/><Relationship  Id="rId2796" Type="http://schemas.openxmlformats.org/officeDocument/2006/relationships/hyperlink" Target="http://www.linkedin.com/in/benjamin-breuil-175596b8" TargetMode="External"/><Relationship  Id="rId2797" Type="http://schemas.openxmlformats.org/officeDocument/2006/relationships/hyperlink" Target="http://kwantic.fr" TargetMode="External"/><Relationship  Id="rId2798" Type="http://schemas.openxmlformats.org/officeDocument/2006/relationships/hyperlink" Target="http://www.linkedin.com/company/kwantic" TargetMode="External"/><Relationship  Id="rId2799" Type="http://schemas.openxmlformats.org/officeDocument/2006/relationships/hyperlink" Target="http://www.linkedin.com/in/benjamin-queroy" TargetMode="External"/><Relationship  Id="rId28" Type="http://schemas.openxmlformats.org/officeDocument/2006/relationships/hyperlink" Target="http://www.theory-restaurant.fr" TargetMode="External"/><Relationship  Id="rId280" Type="http://schemas.openxmlformats.org/officeDocument/2006/relationships/hyperlink" Target="http://www.pocketcamp.fr" TargetMode="External"/><Relationship  Id="rId2800" Type="http://schemas.openxmlformats.org/officeDocument/2006/relationships/hyperlink" Target="http://bomzai.fr" TargetMode="External"/><Relationship  Id="rId2801" Type="http://schemas.openxmlformats.org/officeDocument/2006/relationships/hyperlink" Target="http://www.linkedin.com/company/bomzai" TargetMode="External"/><Relationship  Id="rId2802" Type="http://schemas.openxmlformats.org/officeDocument/2006/relationships/hyperlink" Target="https://twitter.com/bomzaiofficiel" TargetMode="External"/><Relationship  Id="rId2803" Type="http://schemas.openxmlformats.org/officeDocument/2006/relationships/hyperlink" Target="https://www.facebook.com/Bomzai-101147832093047" TargetMode="External"/><Relationship  Id="rId2804" Type="http://schemas.openxmlformats.org/officeDocument/2006/relationships/hyperlink" Target="http://www.linkedin.com/in/benoit-gandon-298730164" TargetMode="External"/><Relationship  Id="rId2805" Type="http://schemas.openxmlformats.org/officeDocument/2006/relationships/hyperlink" Target="http://uni5-technologies.com" TargetMode="External"/><Relationship  Id="rId2806" Type="http://schemas.openxmlformats.org/officeDocument/2006/relationships/hyperlink" Target="http://www.linkedin.com/company/uni5-technologies" TargetMode="External"/><Relationship  Id="rId2807" Type="http://schemas.openxmlformats.org/officeDocument/2006/relationships/hyperlink" Target="https://www.facebook.com/Uni5.Technologies/" TargetMode="External"/><Relationship  Id="rId2808" Type="http://schemas.openxmlformats.org/officeDocument/2006/relationships/hyperlink" Target="http://www.linkedin.com/in/imad-bensisaid-725378197" TargetMode="External"/><Relationship  Id="rId2809" Type="http://schemas.openxmlformats.org/officeDocument/2006/relationships/hyperlink" Target="http://abis-cloison.com" TargetMode="External"/><Relationship  Id="rId281" Type="http://schemas.openxmlformats.org/officeDocument/2006/relationships/hyperlink" Target="http://www.linkedin.com/in/charlie-lesellier-1b2a3767" TargetMode="External"/><Relationship  Id="rId2810" Type="http://schemas.openxmlformats.org/officeDocument/2006/relationships/hyperlink" Target="http://www.linkedin.com/company/abis-au-dela-de-l-amenagement" TargetMode="External"/><Relationship  Id="rId2811" Type="http://schemas.openxmlformats.org/officeDocument/2006/relationships/hyperlink" Target="http://www.linkedin.com/in/joachim-bernab%c3%a9-12244486" TargetMode="External"/><Relationship  Id="rId2812" Type="http://schemas.openxmlformats.org/officeDocument/2006/relationships/hyperlink" Target="http://briero.fr" TargetMode="External"/><Relationship  Id="rId2813" Type="http://schemas.openxmlformats.org/officeDocument/2006/relationships/hyperlink" Target="http://www.linkedin.com/company/briero" TargetMode="External"/><Relationship  Id="rId2814" Type="http://schemas.openxmlformats.org/officeDocument/2006/relationships/hyperlink" Target="http://www.linkedin.com/in/bertrand-briero-15454219a" TargetMode="External"/><Relationship  Id="rId2815" Type="http://schemas.openxmlformats.org/officeDocument/2006/relationships/hyperlink" Target="http://circle-strategy.com" TargetMode="External"/><Relationship  Id="rId2816" Type="http://schemas.openxmlformats.org/officeDocument/2006/relationships/hyperlink" Target="http://www.linkedin.com/company/circle-strategy" TargetMode="External"/><Relationship  Id="rId2817" Type="http://schemas.openxmlformats.org/officeDocument/2006/relationships/hyperlink" Target="http://www.linkedin.com/in/bertrandgrau" TargetMode="External"/><Relationship  Id="rId2818" Type="http://schemas.openxmlformats.org/officeDocument/2006/relationships/hyperlink" Target="http://spl-agate.com" TargetMode="External"/><Relationship  Id="rId2819" Type="http://schemas.openxmlformats.org/officeDocument/2006/relationships/hyperlink" Target="http://www.linkedin.com/company/spl-agate" TargetMode="External"/><Relationship  Id="rId282" Type="http://schemas.openxmlformats.org/officeDocument/2006/relationships/hyperlink" Target="http://www.rousseaulesellier.com" TargetMode="External"/><Relationship  Id="rId2820" Type="http://schemas.openxmlformats.org/officeDocument/2006/relationships/hyperlink" Target="http://www.linkedin.com/in/pelain-bertrand-00762715" TargetMode="External"/><Relationship  Id="rId2821" Type="http://schemas.openxmlformats.org/officeDocument/2006/relationships/hyperlink" Target="http://dc-pilot.com" TargetMode="External"/><Relationship  Id="rId2822" Type="http://schemas.openxmlformats.org/officeDocument/2006/relationships/hyperlink" Target="http://www.linkedin.com/company/dc-pilot-france" TargetMode="External"/><Relationship  Id="rId2823" Type="http://schemas.openxmlformats.org/officeDocument/2006/relationships/hyperlink" Target="https://twitter.com/DCpilot_france" TargetMode="External"/><Relationship  Id="rId2824" Type="http://schemas.openxmlformats.org/officeDocument/2006/relationships/hyperlink" Target="https://www.facebook.com/dcpilotfrance" TargetMode="External"/><Relationship  Id="rId2825" Type="http://schemas.openxmlformats.org/officeDocument/2006/relationships/hyperlink" Target="http://www.linkedin.com/in/bertrand-soviche-819a77b7" TargetMode="External"/><Relationship  Id="rId2826" Type="http://schemas.openxmlformats.org/officeDocument/2006/relationships/hyperlink" Target="http://mountain-path.com" TargetMode="External"/><Relationship  Id="rId2827" Type="http://schemas.openxmlformats.org/officeDocument/2006/relationships/hyperlink" Target="http://www.linkedin.com/company/mountain-path" TargetMode="External"/><Relationship  Id="rId2828" Type="http://schemas.openxmlformats.org/officeDocument/2006/relationships/hyperlink" Target="https://twitter.com/mountainpathuk" TargetMode="External"/><Relationship  Id="rId2829" Type="http://schemas.openxmlformats.org/officeDocument/2006/relationships/hyperlink" Target="https://www.facebook.com/learnfromaltitude/" TargetMode="External"/><Relationship  Id="rId283" Type="http://schemas.openxmlformats.org/officeDocument/2006/relationships/hyperlink" Target="http://www.linkedin.com/in/antoine-rateau-90b642135" TargetMode="External"/><Relationship  Id="rId2830" Type="http://schemas.openxmlformats.org/officeDocument/2006/relationships/hyperlink" Target="http://www.linkedin.com/in/blaise-agresti-51684748" TargetMode="External"/><Relationship  Id="rId2831" Type="http://schemas.openxmlformats.org/officeDocument/2006/relationships/hyperlink" Target="http://1630conseil.com" TargetMode="External"/><Relationship  Id="rId2832" Type="http://schemas.openxmlformats.org/officeDocument/2006/relationships/hyperlink" Target="http://www.linkedin.com/company/1630-conseil" TargetMode="External"/><Relationship  Id="rId2833" Type="http://schemas.openxmlformats.org/officeDocument/2006/relationships/hyperlink" Target="http://www.linkedin.com/in/bertrand-moineau-9551555" TargetMode="External"/><Relationship  Id="rId2834" Type="http://schemas.openxmlformats.org/officeDocument/2006/relationships/hyperlink" Target="http://primo1d.com" TargetMode="External"/><Relationship  Id="rId2835" Type="http://schemas.openxmlformats.org/officeDocument/2006/relationships/hyperlink" Target="http://www.linkedin.com/company/primo1d" TargetMode="External"/><Relationship  Id="rId2836" Type="http://schemas.openxmlformats.org/officeDocument/2006/relationships/hyperlink" Target="https://twitter.com/Primo1DSAS" TargetMode="External"/><Relationship  Id="rId2837" Type="http://schemas.openxmlformats.org/officeDocument/2006/relationships/hyperlink" Target="http://www.linkedin.com/in/borisvigaud" TargetMode="External"/><Relationship  Id="rId2838" Type="http://schemas.openxmlformats.org/officeDocument/2006/relationships/hyperlink" Target="http://acesoftware.fr" TargetMode="External"/><Relationship  Id="rId2839" Type="http://schemas.openxmlformats.org/officeDocument/2006/relationships/hyperlink" Target="http://www.linkedin.com/company/ace-software" TargetMode="External"/><Relationship  Id="rId284" Type="http://schemas.openxmlformats.org/officeDocument/2006/relationships/hyperlink" Target="http://www.excellenceriviera.com" TargetMode="External"/><Relationship  Id="rId2840" Type="http://schemas.openxmlformats.org/officeDocument/2006/relationships/hyperlink" Target="http://www.linkedin.com/in/brice-roux-98a251a5" TargetMode="External"/><Relationship  Id="rId2841" Type="http://schemas.openxmlformats.org/officeDocument/2006/relationships/hyperlink" Target="http://admbrodu.fr" TargetMode="External"/><Relationship  Id="rId2842" Type="http://schemas.openxmlformats.org/officeDocument/2006/relationships/hyperlink" Target="http://www.linkedin.com/company/adm-brodu" TargetMode="External"/><Relationship  Id="rId2843" Type="http://schemas.openxmlformats.org/officeDocument/2006/relationships/hyperlink" Target="http://www.linkedin.com/in/bertrand-brodu-08616117a" TargetMode="External"/><Relationship  Id="rId2844" Type="http://schemas.openxmlformats.org/officeDocument/2006/relationships/hyperlink" Target="http://www.linkedin.com/company/persistent-systems-france" TargetMode="External"/><Relationship  Id="rId2845" Type="http://schemas.openxmlformats.org/officeDocument/2006/relationships/hyperlink" Target="http://www.linkedin.com/in/brunoorsier" TargetMode="External"/><Relationship  Id="rId2846" Type="http://schemas.openxmlformats.org/officeDocument/2006/relationships/hyperlink" Target="http://bilp.fr" TargetMode="External"/><Relationship  Id="rId2847" Type="http://schemas.openxmlformats.org/officeDocument/2006/relationships/hyperlink" Target="http://www.linkedin.com/company/bilp" TargetMode="External"/><Relationship  Id="rId2848" Type="http://schemas.openxmlformats.org/officeDocument/2006/relationships/hyperlink" Target="http://www.linkedin.com/in/bruno-caillard-bb22a7166" TargetMode="External"/><Relationship  Id="rId2849" Type="http://schemas.openxmlformats.org/officeDocument/2006/relationships/hyperlink" Target="http://jsa-groupe.com" TargetMode="External"/><Relationship  Id="rId285" Type="http://schemas.openxmlformats.org/officeDocument/2006/relationships/hyperlink" Target="http://www.linkedin.com/in/camille-delamar-1668731b" TargetMode="External"/><Relationship  Id="rId2850" Type="http://schemas.openxmlformats.org/officeDocument/2006/relationships/hyperlink" Target="http://www.linkedin.com/company/jsa-groupe" TargetMode="External"/><Relationship  Id="rId2851" Type="http://schemas.openxmlformats.org/officeDocument/2006/relationships/hyperlink" Target="http://www.linkedin.com/in/bsauvage07" TargetMode="External"/><Relationship  Id="rId2852" Type="http://schemas.openxmlformats.org/officeDocument/2006/relationships/hyperlink" Target="http://creagift.fr" TargetMode="External"/><Relationship  Id="rId2853" Type="http://schemas.openxmlformats.org/officeDocument/2006/relationships/hyperlink" Target="http://www.linkedin.com/company/creagift-nantes" TargetMode="External"/><Relationship  Id="rId2854" Type="http://schemas.openxmlformats.org/officeDocument/2006/relationships/hyperlink" Target="https://www.facebook.com/CreagiftNantes" TargetMode="External"/><Relationship  Id="rId2855" Type="http://schemas.openxmlformats.org/officeDocument/2006/relationships/hyperlink" Target="http://www.linkedin.com/in/benjamin-sebire-315595113" TargetMode="External"/><Relationship  Id="rId2856" Type="http://schemas.openxmlformats.org/officeDocument/2006/relationships/hyperlink" Target="http://neoedge.fr" TargetMode="External"/><Relationship  Id="rId2857" Type="http://schemas.openxmlformats.org/officeDocument/2006/relationships/hyperlink" Target="http://www.linkedin.com/company/neoedge-ipstar" TargetMode="External"/><Relationship  Id="rId2858" Type="http://schemas.openxmlformats.org/officeDocument/2006/relationships/hyperlink" Target="https://twitter.com/NeoEdgeFR" TargetMode="External"/><Relationship  Id="rId2859" Type="http://schemas.openxmlformats.org/officeDocument/2006/relationships/hyperlink" Target="http://www.linkedin.com/in/baptiste-thellier-45771947" TargetMode="External"/><Relationship  Id="rId286" Type="http://schemas.openxmlformats.org/officeDocument/2006/relationships/hyperlink" Target="http://www.ecotable.fr" TargetMode="External"/><Relationship  Id="rId2860" Type="http://schemas.openxmlformats.org/officeDocument/2006/relationships/hyperlink" Target="http://axys-be.fr" TargetMode="External"/><Relationship  Id="rId2861" Type="http://schemas.openxmlformats.org/officeDocument/2006/relationships/hyperlink" Target="http://www.linkedin.com/company/axys-etudes-techniques-fluides" TargetMode="External"/><Relationship  Id="rId2862" Type="http://schemas.openxmlformats.org/officeDocument/2006/relationships/hyperlink" Target="http://www.linkedin.com/in/charlotte-adanero-3b26a712" TargetMode="External"/><Relationship  Id="rId2863" Type="http://schemas.openxmlformats.org/officeDocument/2006/relationships/hyperlink" Target="http://delta-prefa.com" TargetMode="External"/><Relationship  Id="rId2864" Type="http://schemas.openxmlformats.org/officeDocument/2006/relationships/hyperlink" Target="http://www.linkedin.com/company/delta-pr%c3%a9fabrication07" TargetMode="External"/><Relationship  Id="rId2865" Type="http://schemas.openxmlformats.org/officeDocument/2006/relationships/hyperlink" Target="http://www.linkedin.com/in/cl%c3%a9ment-audet-9b52261a" TargetMode="External"/><Relationship  Id="rId2866" Type="http://schemas.openxmlformats.org/officeDocument/2006/relationships/hyperlink" Target="http://bsrv-groupe.fr" TargetMode="External"/><Relationship  Id="rId2867" Type="http://schemas.openxmlformats.org/officeDocument/2006/relationships/hyperlink" Target="http://www.linkedin.com/company/bsrv-groupe" TargetMode="External"/><Relationship  Id="rId2868" Type="http://schemas.openxmlformats.org/officeDocument/2006/relationships/hyperlink" Target="http://www.linkedin.com/in/celinebally" TargetMode="External"/><Relationship  Id="rId2869" Type="http://schemas.openxmlformats.org/officeDocument/2006/relationships/hyperlink" Target="http://sepale.com" TargetMode="External"/><Relationship  Id="rId287" Type="http://schemas.openxmlformats.org/officeDocument/2006/relationships/hyperlink" Target="http://www.linkedin.com/in/julienmeunier75" TargetMode="External"/><Relationship  Id="rId2870" Type="http://schemas.openxmlformats.org/officeDocument/2006/relationships/hyperlink" Target="http://www.linkedin.com/company/sepale-enr" TargetMode="External"/><Relationship  Id="rId2871" Type="http://schemas.openxmlformats.org/officeDocument/2006/relationships/hyperlink" Target="http://www.linkedin.com/in/christophe-bret-20a01713" TargetMode="External"/><Relationship  Id="rId2872" Type="http://schemas.openxmlformats.org/officeDocument/2006/relationships/hyperlink" Target="http://promatec.fr" TargetMode="External"/><Relationship  Id="rId2873" Type="http://schemas.openxmlformats.org/officeDocument/2006/relationships/hyperlink" Target="http://www.linkedin.com/company/promatec-group" TargetMode="External"/><Relationship  Id="rId2874" Type="http://schemas.openxmlformats.org/officeDocument/2006/relationships/hyperlink" Target="https://www.facebook.com/promatecgroup" TargetMode="External"/><Relationship  Id="rId2875" Type="http://schemas.openxmlformats.org/officeDocument/2006/relationships/hyperlink" Target="http://www.linkedin.com/in/charlescantineau" TargetMode="External"/><Relationship  Id="rId2876" Type="http://schemas.openxmlformats.org/officeDocument/2006/relationships/hyperlink" Target="http://reseauxservicespro.fr" TargetMode="External"/><Relationship  Id="rId2877" Type="http://schemas.openxmlformats.org/officeDocument/2006/relationships/hyperlink" Target="http://www.linkedin.com/company/r%c3%a9seaux-service-pro" TargetMode="External"/><Relationship  Id="rId2878" Type="http://schemas.openxmlformats.org/officeDocument/2006/relationships/hyperlink" Target="http://www.linkedin.com/in/christophe-canu-a3859b89" TargetMode="External"/><Relationship  Id="rId2879" Type="http://schemas.openxmlformats.org/officeDocument/2006/relationships/hyperlink" Target="http://megara.fr" TargetMode="External"/><Relationship  Id="rId288" Type="http://schemas.openxmlformats.org/officeDocument/2006/relationships/hyperlink" Target="http://www.artichef.fr" TargetMode="External"/><Relationship  Id="rId2880" Type="http://schemas.openxmlformats.org/officeDocument/2006/relationships/hyperlink" Target="http://www.linkedin.com/company/berceau-magique" TargetMode="External"/><Relationship  Id="rId2881" Type="http://schemas.openxmlformats.org/officeDocument/2006/relationships/hyperlink" Target="http://www.linkedin.com/in/charlotte-gaillard-dubost" TargetMode="External"/><Relationship  Id="rId2882" Type="http://schemas.openxmlformats.org/officeDocument/2006/relationships/hyperlink" Target="http://groupesebi.com" TargetMode="External"/><Relationship  Id="rId2883" Type="http://schemas.openxmlformats.org/officeDocument/2006/relationships/hyperlink" Target="http://www.linkedin.com/company/sebi-normandie-equipement-cvfc" TargetMode="External"/><Relationship  Id="rId2884" Type="http://schemas.openxmlformats.org/officeDocument/2006/relationships/hyperlink" Target="https://www.facebook.com/Groupe-SEBI-106772887869400" TargetMode="External"/><Relationship  Id="rId2885" Type="http://schemas.openxmlformats.org/officeDocument/2006/relationships/hyperlink" Target="http://www.linkedin.com/in/c%c3%a9dric-fabreguettes-78b959125" TargetMode="External"/><Relationship  Id="rId2886" Type="http://schemas.openxmlformats.org/officeDocument/2006/relationships/hyperlink" Target="http://vepres.fr" TargetMode="External"/><Relationship  Id="rId2887" Type="http://schemas.openxmlformats.org/officeDocument/2006/relationships/hyperlink" Target="http://www.linkedin.com/company/v%c3%aapres" TargetMode="External"/><Relationship  Id="rId2888" Type="http://schemas.openxmlformats.org/officeDocument/2006/relationships/hyperlink" Target="http://www.linkedin.com/in/c%c3%a9dric-mercier-3b009585" TargetMode="External"/><Relationship  Id="rId2889" Type="http://schemas.openxmlformats.org/officeDocument/2006/relationships/hyperlink" Target="http://groupecapinfo.fr" TargetMode="External"/><Relationship  Id="rId289" Type="http://schemas.openxmlformats.org/officeDocument/2006/relationships/hyperlink" Target="http://www.linkedin.com/in/marco-morreale-274479164" TargetMode="External"/><Relationship  Id="rId2890" Type="http://schemas.openxmlformats.org/officeDocument/2006/relationships/hyperlink" Target="http://www.linkedin.com/company/groupe-cap-info" TargetMode="External"/><Relationship  Id="rId2891" Type="http://schemas.openxmlformats.org/officeDocument/2006/relationships/hyperlink" Target="https://www.facebook.com/groupecapinfo" TargetMode="External"/><Relationship  Id="rId2892" Type="http://schemas.openxmlformats.org/officeDocument/2006/relationships/hyperlink" Target="http://www.linkedin.com/in/c%c3%a9dric-moncoqut-93167978" TargetMode="External"/><Relationship  Id="rId2893" Type="http://schemas.openxmlformats.org/officeDocument/2006/relationships/hyperlink" Target="http://isocrate.com" TargetMode="External"/><Relationship  Id="rId2894" Type="http://schemas.openxmlformats.org/officeDocument/2006/relationships/hyperlink" Target="http://www.linkedin.com/company/isocrate-ing%c3%a9nierie-second-oeuvre-conception-r%c3%a9novation-am%c3%a9nagements-techniques-environnement-" TargetMode="External"/><Relationship  Id="rId2895" Type="http://schemas.openxmlformats.org/officeDocument/2006/relationships/hyperlink" Target="http://www.linkedin.com/in/christophe-mulvet-3b786288" TargetMode="External"/><Relationship  Id="rId2896" Type="http://schemas.openxmlformats.org/officeDocument/2006/relationships/hyperlink" Target="http://www.linkedin.com/company/nord-de-france-expertise-automobile" TargetMode="External"/><Relationship  Id="rId2897" Type="http://schemas.openxmlformats.org/officeDocument/2006/relationships/hyperlink" Target="http://www.linkedin.com/in/christophe-p%c3%a9ron-67a30a11a" TargetMode="External"/><Relationship  Id="rId2898" Type="http://schemas.openxmlformats.org/officeDocument/2006/relationships/hyperlink" Target="http://atdr.fr" TargetMode="External"/><Relationship  Id="rId2899" Type="http://schemas.openxmlformats.org/officeDocument/2006/relationships/hyperlink" Target="http://www.linkedin.com/company/atdr-ing-nierie" TargetMode="External"/><Relationship  Id="rId29" Type="http://schemas.openxmlformats.org/officeDocument/2006/relationships/hyperlink" Target="http://www.linkedin.com/in/nasser-baka-006b31200" TargetMode="External"/><Relationship  Id="rId290" Type="http://schemas.openxmlformats.org/officeDocument/2006/relationships/hyperlink" Target="http://www.antoniomarcopizzeria.com" TargetMode="External"/><Relationship  Id="rId2900" Type="http://schemas.openxmlformats.org/officeDocument/2006/relationships/hyperlink" Target="http://www.linkedin.com/in/christophe-roussel-4218a027" TargetMode="External"/><Relationship  Id="rId2901" Type="http://schemas.openxmlformats.org/officeDocument/2006/relationships/hyperlink" Target="http://www.linkedin.com/company/groupe-bardec" TargetMode="External"/><Relationship  Id="rId2902" Type="http://schemas.openxmlformats.org/officeDocument/2006/relationships/hyperlink" Target="http://www.linkedin.com/in/camille-barbosa-49b260133" TargetMode="External"/><Relationship  Id="rId2903" Type="http://schemas.openxmlformats.org/officeDocument/2006/relationships/hyperlink" Target="http://agencenile.com" TargetMode="External"/><Relationship  Id="rId2904" Type="http://schemas.openxmlformats.org/officeDocument/2006/relationships/hyperlink" Target="http://www.linkedin.com/company/nile-agence" TargetMode="External"/><Relationship  Id="rId2905" Type="http://schemas.openxmlformats.org/officeDocument/2006/relationships/hyperlink" Target="https://twitter.com/Nile_agence" TargetMode="External"/><Relationship  Id="rId2906" Type="http://schemas.openxmlformats.org/officeDocument/2006/relationships/hyperlink" Target="https://www.facebook.com/agencenile" TargetMode="External"/><Relationship  Id="rId2907" Type="http://schemas.openxmlformats.org/officeDocument/2006/relationships/hyperlink" Target="http://www.linkedin.com/in/camillefolliot" TargetMode="External"/><Relationship  Id="rId2908" Type="http://schemas.openxmlformats.org/officeDocument/2006/relationships/hyperlink" Target="http://dero.fr" TargetMode="External"/><Relationship  Id="rId2909" Type="http://schemas.openxmlformats.org/officeDocument/2006/relationships/hyperlink" Target="http://www.linkedin.com/company/dero" TargetMode="External"/><Relationship  Id="rId291" Type="http://schemas.openxmlformats.org/officeDocument/2006/relationships/hyperlink" Target="http://www.linkedin.com/in/fr%c3%a9d%c3%a9ric-veyrier-23b80ab" TargetMode="External"/><Relationship  Id="rId2910" Type="http://schemas.openxmlformats.org/officeDocument/2006/relationships/hyperlink" Target="http://www.linkedin.com/in/camillecolbus" TargetMode="External"/><Relationship  Id="rId2911" Type="http://schemas.openxmlformats.org/officeDocument/2006/relationships/hyperlink" Target="http://little-wing.fr" TargetMode="External"/><Relationship  Id="rId2912" Type="http://schemas.openxmlformats.org/officeDocument/2006/relationships/hyperlink" Target="http://www.linkedin.com/company/littlewing" TargetMode="External"/><Relationship  Id="rId2913" Type="http://schemas.openxmlformats.org/officeDocument/2006/relationships/hyperlink" Target="http://www.linkedin.com/in/camille-godeau-0137828" TargetMode="External"/><Relationship  Id="rId2914" Type="http://schemas.openxmlformats.org/officeDocument/2006/relationships/hyperlink" Target="http://metamorphose-groupe.com" TargetMode="External"/><Relationship  Id="rId2915" Type="http://schemas.openxmlformats.org/officeDocument/2006/relationships/hyperlink" Target="http://www.linkedin.com/company/metamorphosegroupe" TargetMode="External"/><Relationship  Id="rId2916" Type="http://schemas.openxmlformats.org/officeDocument/2006/relationships/hyperlink" Target="http://www.linkedin.com/in/carine-brunet-b27b4b48" TargetMode="External"/><Relationship  Id="rId2917" Type="http://schemas.openxmlformats.org/officeDocument/2006/relationships/hyperlink" Target="http://atlays.com" TargetMode="External"/><Relationship  Id="rId2918" Type="http://schemas.openxmlformats.org/officeDocument/2006/relationships/hyperlink" Target="http://www.linkedin.com/company/atlays" TargetMode="External"/><Relationship  Id="rId2919" Type="http://schemas.openxmlformats.org/officeDocument/2006/relationships/hyperlink" Target="http://www.linkedin.com/in/carine-matane-55aa05bb" TargetMode="External"/><Relationship  Id="rId292" Type="http://schemas.openxmlformats.org/officeDocument/2006/relationships/hyperlink" Target="http://www.villa-duflot.com" TargetMode="External"/><Relationship  Id="rId2920" Type="http://schemas.openxmlformats.org/officeDocument/2006/relationships/hyperlink" Target="http://agence-s.fr" TargetMode="External"/><Relationship  Id="rId2921" Type="http://schemas.openxmlformats.org/officeDocument/2006/relationships/hyperlink" Target="http://www.linkedin.com/company/agence-s" TargetMode="External"/><Relationship  Id="rId2922" Type="http://schemas.openxmlformats.org/officeDocument/2006/relationships/hyperlink" Target="http://www.linkedin.com/in/caroline-boutet-7269ab3a" TargetMode="External"/><Relationship  Id="rId2923" Type="http://schemas.openxmlformats.org/officeDocument/2006/relationships/hyperlink" Target="http://jesuisavelo.com" TargetMode="External"/><Relationship  Id="rId2924" Type="http://schemas.openxmlformats.org/officeDocument/2006/relationships/hyperlink" Target="http://www.linkedin.com/company/je-suis-a-velo" TargetMode="External"/><Relationship  Id="rId2925" Type="http://schemas.openxmlformats.org/officeDocument/2006/relationships/hyperlink" Target="https://www.facebook.com/jesuisaveloblog/" TargetMode="External"/><Relationship  Id="rId2926" Type="http://schemas.openxmlformats.org/officeDocument/2006/relationships/hyperlink" Target="http://www.linkedin.com/in/caroline-labroue-900b66182" TargetMode="External"/><Relationship  Id="rId2927" Type="http://schemas.openxmlformats.org/officeDocument/2006/relationships/hyperlink" Target="http://set.fr" TargetMode="External"/><Relationship  Id="rId2928" Type="http://schemas.openxmlformats.org/officeDocument/2006/relationships/hyperlink" Target="http://www.linkedin.com/company/la-set" TargetMode="External"/><Relationship  Id="rId2929" Type="http://schemas.openxmlformats.org/officeDocument/2006/relationships/hyperlink" Target="http://www.linkedin.com/in/isabelle-carron-a0783913b" TargetMode="External"/><Relationship  Id="rId293" Type="http://schemas.openxmlformats.org/officeDocument/2006/relationships/hyperlink" Target="http://www.linkedin.com/in/elisabethcervetti" TargetMode="External"/><Relationship  Id="rId2930" Type="http://schemas.openxmlformats.org/officeDocument/2006/relationships/hyperlink" Target="http://reseau-homesec.fr" TargetMode="External"/><Relationship  Id="rId2931" Type="http://schemas.openxmlformats.org/officeDocument/2006/relationships/hyperlink" Target="http://www.linkedin.com/company/reseauhomesec" TargetMode="External"/><Relationship  Id="rId2932" Type="http://schemas.openxmlformats.org/officeDocument/2006/relationships/hyperlink" Target="https://www.facebook.com/Homesechumidite" TargetMode="External"/><Relationship  Id="rId2933" Type="http://schemas.openxmlformats.org/officeDocument/2006/relationships/hyperlink" Target="http://www.linkedin.com/in/pascal-casale-a23721242" TargetMode="External"/><Relationship  Id="rId2934" Type="http://schemas.openxmlformats.org/officeDocument/2006/relationships/hyperlink" Target="http://episteme.fr" TargetMode="External"/><Relationship  Id="rId2935" Type="http://schemas.openxmlformats.org/officeDocument/2006/relationships/hyperlink" Target="http://www.linkedin.com/company/epist%c3%a8me" TargetMode="External"/><Relationship  Id="rId2936" Type="http://schemas.openxmlformats.org/officeDocument/2006/relationships/hyperlink" Target="http://www.linkedin.com/in/catherine-ledru-7819515b" TargetMode="External"/><Relationship  Id="rId2937" Type="http://schemas.openxmlformats.org/officeDocument/2006/relationships/hyperlink" Target="http://inaubi.fr" TargetMode="External"/><Relationship  Id="rId2938" Type="http://schemas.openxmlformats.org/officeDocument/2006/relationships/hyperlink" Target="http://www.linkedin.com/company/inaubi" TargetMode="External"/><Relationship  Id="rId2939" Type="http://schemas.openxmlformats.org/officeDocument/2006/relationships/hyperlink" Target="https://twitter.com/Inaubi_fr" TargetMode="External"/><Relationship  Id="rId294" Type="http://schemas.openxmlformats.org/officeDocument/2006/relationships/hyperlink" Target="http://www.emilieandthecoolkids.com" TargetMode="External"/><Relationship  Id="rId2940" Type="http://schemas.openxmlformats.org/officeDocument/2006/relationships/hyperlink" Target="https://www.facebook.com/people/Inaubi/100077764636438/" TargetMode="External"/><Relationship  Id="rId2941" Type="http://schemas.openxmlformats.org/officeDocument/2006/relationships/hyperlink" Target="http://www.linkedin.com/in/catherine-lherbier-4417898" TargetMode="External"/><Relationship  Id="rId2942" Type="http://schemas.openxmlformats.org/officeDocument/2006/relationships/hyperlink" Target="http://backplan.fr" TargetMode="External"/><Relationship  Id="rId2943" Type="http://schemas.openxmlformats.org/officeDocument/2006/relationships/hyperlink" Target="http://www.linkedin.com/company/backplan" TargetMode="External"/><Relationship  Id="rId2944" Type="http://schemas.openxmlformats.org/officeDocument/2006/relationships/hyperlink" Target="http://www.linkedin.com/in/jfcausse" TargetMode="External"/><Relationship  Id="rId2945" Type="http://schemas.openxmlformats.org/officeDocument/2006/relationships/hyperlink" Target="http://atlante.fr" TargetMode="External"/><Relationship  Id="rId2946" Type="http://schemas.openxmlformats.org/officeDocument/2006/relationships/hyperlink" Target="http://www.linkedin.com/company/atlante-&amp;-cie" TargetMode="External"/><Relationship  Id="rId2947" Type="http://schemas.openxmlformats.org/officeDocument/2006/relationships/hyperlink" Target="https://twitter.com/atlantecie" TargetMode="External"/><Relationship  Id="rId2948" Type="http://schemas.openxmlformats.org/officeDocument/2006/relationships/hyperlink" Target="http://www.linkedin.com/in/celinechanez" TargetMode="External"/><Relationship  Id="rId2949" Type="http://schemas.openxmlformats.org/officeDocument/2006/relationships/hyperlink" Target="http://coreoz.com" TargetMode="External"/><Relationship  Id="rId295" Type="http://schemas.openxmlformats.org/officeDocument/2006/relationships/hyperlink" Target="http://www.linkedin.com/in/philippe-cannatella-10487b224" TargetMode="External"/><Relationship  Id="rId2950" Type="http://schemas.openxmlformats.org/officeDocument/2006/relationships/hyperlink" Target="http://www.linkedin.com/company/coreoz" TargetMode="External"/><Relationship  Id="rId2951" Type="http://schemas.openxmlformats.org/officeDocument/2006/relationships/hyperlink" Target="http://www.linkedin.com/in/c%c3%a9dric-de-vregille-69896860" TargetMode="External"/><Relationship  Id="rId2952" Type="http://schemas.openxmlformats.org/officeDocument/2006/relationships/hyperlink" Target="http://shouka-chamonix.fr" TargetMode="External"/><Relationship  Id="rId2953" Type="http://schemas.openxmlformats.org/officeDocument/2006/relationships/hyperlink" Target="http://www.linkedin.com/company/le-shouk%c3%a2-torrefacteur-d-altitude" TargetMode="External"/><Relationship  Id="rId2954" Type="http://schemas.openxmlformats.org/officeDocument/2006/relationships/hyperlink" Target="https://www.facebook.com/shoukachamonix" TargetMode="External"/><Relationship  Id="rId2955" Type="http://schemas.openxmlformats.org/officeDocument/2006/relationships/hyperlink" Target="http://www.linkedin.com/in/christian-duperrier" TargetMode="External"/><Relationship  Id="rId2956" Type="http://schemas.openxmlformats.org/officeDocument/2006/relationships/hyperlink" Target="http://energitec.fr" TargetMode="External"/><Relationship  Id="rId2957" Type="http://schemas.openxmlformats.org/officeDocument/2006/relationships/hyperlink" Target="http://www.linkedin.com/company/energitec83" TargetMode="External"/><Relationship  Id="rId2958" Type="http://schemas.openxmlformats.org/officeDocument/2006/relationships/hyperlink" Target="http://www.linkedin.com/in/cedric-ghigou-313b3781" TargetMode="External"/><Relationship  Id="rId2959" Type="http://schemas.openxmlformats.org/officeDocument/2006/relationships/hyperlink" Target="http://line-technologies.com" TargetMode="External"/><Relationship  Id="rId296" Type="http://schemas.openxmlformats.org/officeDocument/2006/relationships/hyperlink" Target="http://www.gustofamily.com" TargetMode="External"/><Relationship  Id="rId2960" Type="http://schemas.openxmlformats.org/officeDocument/2006/relationships/hyperlink" Target="http://www.linkedin.com/company/line-technologies" TargetMode="External"/><Relationship  Id="rId2961" Type="http://schemas.openxmlformats.org/officeDocument/2006/relationships/hyperlink" Target="http://www.linkedin.com/in/cedric-michel-20b910b" TargetMode="External"/><Relationship  Id="rId2962" Type="http://schemas.openxmlformats.org/officeDocument/2006/relationships/hyperlink" Target="http://acses.io" TargetMode="External"/><Relationship  Id="rId2963" Type="http://schemas.openxmlformats.org/officeDocument/2006/relationships/hyperlink" Target="http://www.linkedin.com/company/acses-casiers-connect%c3%a9s" TargetMode="External"/><Relationship  Id="rId2964" Type="http://schemas.openxmlformats.org/officeDocument/2006/relationships/hyperlink" Target="https://www.facebook.com/people/ACSES-casiers-connect%C3%A9s/100090635491930/" TargetMode="External"/><Relationship  Id="rId2965" Type="http://schemas.openxmlformats.org/officeDocument/2006/relationships/hyperlink" Target="http://www.linkedin.com/in/c%c3%a9dric-schwartzenberger" TargetMode="External"/><Relationship  Id="rId2966" Type="http://schemas.openxmlformats.org/officeDocument/2006/relationships/hyperlink" Target="http://gemstar-brands.com" TargetMode="External"/><Relationship  Id="rId2967" Type="http://schemas.openxmlformats.org/officeDocument/2006/relationships/hyperlink" Target="http://www.linkedin.com/company/gemstar-brands" TargetMode="External"/><Relationship  Id="rId2968" Type="http://schemas.openxmlformats.org/officeDocument/2006/relationships/hyperlink" Target="http://www.linkedin.com/in/c%c3%a9dric-s-ab245932" TargetMode="External"/><Relationship  Id="rId2969" Type="http://schemas.openxmlformats.org/officeDocument/2006/relationships/hyperlink" Target="http://gestuelsante.fr" TargetMode="External"/><Relationship  Id="rId297" Type="http://schemas.openxmlformats.org/officeDocument/2006/relationships/hyperlink" Target="http://www.linkedin.com/in/olivierbena" TargetMode="External"/><Relationship  Id="rId2970" Type="http://schemas.openxmlformats.org/officeDocument/2006/relationships/hyperlink" Target="http://www.linkedin.com/company/gestuelsante" TargetMode="External"/><Relationship  Id="rId2971" Type="http://schemas.openxmlformats.org/officeDocument/2006/relationships/hyperlink" Target="https://www.facebook.com/gestuelsante.fr" TargetMode="External"/><Relationship  Id="rId2972" Type="http://schemas.openxmlformats.org/officeDocument/2006/relationships/hyperlink" Target="http://www.linkedin.com/in/c%c3%a9dric-golfier-dirigeant-gestuel%e2%80%99sant%c3%a9-36490311b" TargetMode="External"/><Relationship  Id="rId2973" Type="http://schemas.openxmlformats.org/officeDocument/2006/relationships/hyperlink" Target="http://we-and.fr" TargetMode="External"/><Relationship  Id="rId2974" Type="http://schemas.openxmlformats.org/officeDocument/2006/relationships/hyperlink" Target="http://www.linkedin.com/company/groupe-we-and" TargetMode="External"/><Relationship  Id="rId2975" Type="http://schemas.openxmlformats.org/officeDocument/2006/relationships/hyperlink" Target="http://www.linkedin.com/in/celine-simon-b5157a61" TargetMode="External"/><Relationship  Id="rId2976" Type="http://schemas.openxmlformats.org/officeDocument/2006/relationships/hyperlink" Target="http://nostalgift.com" TargetMode="External"/><Relationship  Id="rId2977" Type="http://schemas.openxmlformats.org/officeDocument/2006/relationships/hyperlink" Target="http://www.linkedin.com/company/nostalgift" TargetMode="External"/><Relationship  Id="rId2978" Type="http://schemas.openxmlformats.org/officeDocument/2006/relationships/hyperlink" Target="https://twitter.com/nostalgift" TargetMode="External"/><Relationship  Id="rId2979" Type="http://schemas.openxmlformats.org/officeDocument/2006/relationships/hyperlink" Target="https://www.facebook.com/nostalgift" TargetMode="External"/><Relationship  Id="rId298" Type="http://schemas.openxmlformats.org/officeDocument/2006/relationships/hyperlink" Target="http://www.previthal.com" TargetMode="External"/><Relationship  Id="rId2980" Type="http://schemas.openxmlformats.org/officeDocument/2006/relationships/hyperlink" Target="http://www.linkedin.com/in/celine-bellanger-gomes-5287622" TargetMode="External"/><Relationship  Id="rId2981" Type="http://schemas.openxmlformats.org/officeDocument/2006/relationships/hyperlink" Target="http://vakom.fr" TargetMode="External"/><Relationship  Id="rId2982" Type="http://schemas.openxmlformats.org/officeDocument/2006/relationships/hyperlink" Target="http://www.linkedin.com/company/vakom" TargetMode="External"/><Relationship  Id="rId2983" Type="http://schemas.openxmlformats.org/officeDocument/2006/relationships/hyperlink" Target="https://www.facebook.com/Vakomlesensdelhumain" TargetMode="External"/><Relationship  Id="rId2984" Type="http://schemas.openxmlformats.org/officeDocument/2006/relationships/hyperlink" Target="http://www.linkedin.com/in/cecile-furno-vakomacastres" TargetMode="External"/><Relationship  Id="rId2985" Type="http://schemas.openxmlformats.org/officeDocument/2006/relationships/hyperlink" Target="http://daucalis.com" TargetMode="External"/><Relationship  Id="rId2986" Type="http://schemas.openxmlformats.org/officeDocument/2006/relationships/hyperlink" Target="http://www.linkedin.com/company/daucalis" TargetMode="External"/><Relationship  Id="rId2987" Type="http://schemas.openxmlformats.org/officeDocument/2006/relationships/hyperlink" Target="http://www.linkedin.com/in/christophe-gaboriau-99552359" TargetMode="External"/><Relationship  Id="rId2988" Type="http://schemas.openxmlformats.org/officeDocument/2006/relationships/hyperlink" Target="http://correlium.com" TargetMode="External"/><Relationship  Id="rId2989" Type="http://schemas.openxmlformats.org/officeDocument/2006/relationships/hyperlink" Target="http://www.linkedin.com/company/correlium" TargetMode="External"/><Relationship  Id="rId299" Type="http://schemas.openxmlformats.org/officeDocument/2006/relationships/hyperlink" Target="http://www.linkedin.com/in/julienroutil" TargetMode="External"/><Relationship  Id="rId2990" Type="http://schemas.openxmlformats.org/officeDocument/2006/relationships/hyperlink" Target="http://www.linkedin.com/in/christophe-guillermard-41a9491a" TargetMode="External"/><Relationship  Id="rId2991" Type="http://schemas.openxmlformats.org/officeDocument/2006/relationships/hyperlink" Target="http://safebear.ai" TargetMode="External"/><Relationship  Id="rId2992" Type="http://schemas.openxmlformats.org/officeDocument/2006/relationships/hyperlink" Target="http://www.linkedin.com/company/safebearapp" TargetMode="External"/><Relationship  Id="rId2993" Type="http://schemas.openxmlformats.org/officeDocument/2006/relationships/hyperlink" Target="http://www.linkedin.com/in/christian-guillon-a4616b13" TargetMode="External"/><Relationship  Id="rId2994" Type="http://schemas.openxmlformats.org/officeDocument/2006/relationships/hyperlink" Target="http://theseedcrew.com" TargetMode="External"/><Relationship  Id="rId2995" Type="http://schemas.openxmlformats.org/officeDocument/2006/relationships/hyperlink" Target="http://www.linkedin.com/company/theseedcrew" TargetMode="External"/><Relationship  Id="rId2996" Type="http://schemas.openxmlformats.org/officeDocument/2006/relationships/hyperlink" Target="http://www.linkedin.com/in/chabane-hadji-1b0b80140" TargetMode="External"/><Relationship  Id="rId2997" Type="http://schemas.openxmlformats.org/officeDocument/2006/relationships/hyperlink" Target="http://alsad.fr" TargetMode="External"/><Relationship  Id="rId2998" Type="http://schemas.openxmlformats.org/officeDocument/2006/relationships/hyperlink" Target="http://www.linkedin.com/company/alsad" TargetMode="External"/><Relationship  Id="rId2999" Type="http://schemas.openxmlformats.org/officeDocument/2006/relationships/hyperlink" Target="http://www.linkedin.com/in/chafik-hamdi-473110b1" TargetMode="External"/><Relationship  Id="rId3" Type="http://schemas.openxmlformats.org/officeDocument/2006/relationships/hyperlink" Target="http://www.linkedin.com/in/arthur-gambard-6b642632" TargetMode="External"/><Relationship  Id="rId30" Type="http://schemas.openxmlformats.org/officeDocument/2006/relationships/hyperlink" Target="http://www.911dc.com" TargetMode="External"/><Relationship  Id="rId300" Type="http://schemas.openxmlformats.org/officeDocument/2006/relationships/hyperlink" Target="http://www.slohostels.com" TargetMode="External"/><Relationship  Id="rId3000" Type="http://schemas.openxmlformats.org/officeDocument/2006/relationships/hyperlink" Target="http://perform-industrie.com" TargetMode="External"/><Relationship  Id="rId3001" Type="http://schemas.openxmlformats.org/officeDocument/2006/relationships/hyperlink" Target="http://www.linkedin.com/company/perform-industrie" TargetMode="External"/><Relationship  Id="rId3002" Type="http://schemas.openxmlformats.org/officeDocument/2006/relationships/hyperlink" Target="https://www.facebook.com/performindustrie/" TargetMode="External"/><Relationship  Id="rId3003" Type="http://schemas.openxmlformats.org/officeDocument/2006/relationships/hyperlink" Target="http://www.linkedin.com/in/charles-fazilleau-8407ba129" TargetMode="External"/><Relationship  Id="rId3004" Type="http://schemas.openxmlformats.org/officeDocument/2006/relationships/hyperlink" Target="http://harribeyconstructions.fr" TargetMode="External"/><Relationship  Id="rId3005" Type="http://schemas.openxmlformats.org/officeDocument/2006/relationships/hyperlink" Target="http://www.linkedin.com/company/harribeyconstructions" TargetMode="External"/><Relationship  Id="rId3006" Type="http://schemas.openxmlformats.org/officeDocument/2006/relationships/hyperlink" Target="http://www.linkedin.com/in/charles-harribey-b32078121" TargetMode="External"/><Relationship  Id="rId3007" Type="http://schemas.openxmlformats.org/officeDocument/2006/relationships/hyperlink" Target="http://c2tmi.fr" TargetMode="External"/><Relationship  Id="rId3008" Type="http://schemas.openxmlformats.org/officeDocument/2006/relationships/hyperlink" Target="http://www.linkedin.com/company/c2tmi" TargetMode="External"/><Relationship  Id="rId3009" Type="http://schemas.openxmlformats.org/officeDocument/2006/relationships/hyperlink" Target="http://www.linkedin.com/in/christian-tsivatou-62a33ba5" TargetMode="External"/><Relationship  Id="rId301" Type="http://schemas.openxmlformats.org/officeDocument/2006/relationships/hyperlink" Target="http://www.linkedin.com/in/salahtaoufik" TargetMode="External"/><Relationship  Id="rId3010" Type="http://schemas.openxmlformats.org/officeDocument/2006/relationships/hyperlink" Target="http://isi-s.fr" TargetMode="External"/><Relationship  Id="rId3011" Type="http://schemas.openxmlformats.org/officeDocument/2006/relationships/hyperlink" Target="http://www.linkedin.com/company/isis-solutions-avocats" TargetMode="External"/><Relationship  Id="rId3012" Type="http://schemas.openxmlformats.org/officeDocument/2006/relationships/hyperlink" Target="http://www.linkedin.com/in/christophe-chauvet34" TargetMode="External"/><Relationship  Id="rId3013" Type="http://schemas.openxmlformats.org/officeDocument/2006/relationships/hyperlink" Target="http://phenisys.com" TargetMode="External"/><Relationship  Id="rId3014" Type="http://schemas.openxmlformats.org/officeDocument/2006/relationships/hyperlink" Target="http://www.linkedin.com/company/phenisys" TargetMode="External"/><Relationship  Id="rId3015" Type="http://schemas.openxmlformats.org/officeDocument/2006/relationships/hyperlink" Target="http://www.linkedin.com/in/netillard" TargetMode="External"/><Relationship  Id="rId3016" Type="http://schemas.openxmlformats.org/officeDocument/2006/relationships/hyperlink" Target="http://alfa-safety.fr" TargetMode="External"/><Relationship  Id="rId3017" Type="http://schemas.openxmlformats.org/officeDocument/2006/relationships/hyperlink" Target="http://www.linkedin.com/company/alfa-safety" TargetMode="External"/><Relationship  Id="rId3018" Type="http://schemas.openxmlformats.org/officeDocument/2006/relationships/hyperlink" Target="http://www.linkedin.com/in/christophe-le-jeune-2610a76" TargetMode="External"/><Relationship  Id="rId3019" Type="http://schemas.openxmlformats.org/officeDocument/2006/relationships/hyperlink" Target="http://olacommunication.fr" TargetMode="External"/><Relationship  Id="rId302" Type="http://schemas.openxmlformats.org/officeDocument/2006/relationships/hyperlink" Target="http://www.alysiris.com" TargetMode="External"/><Relationship  Id="rId3020" Type="http://schemas.openxmlformats.org/officeDocument/2006/relationships/hyperlink" Target="http://www.linkedin.com/company/ola-communication" TargetMode="External"/><Relationship  Id="rId3021" Type="http://schemas.openxmlformats.org/officeDocument/2006/relationships/hyperlink" Target="http://www.linkedin.com/in/schepensclaire" TargetMode="External"/><Relationship  Id="rId3022" Type="http://schemas.openxmlformats.org/officeDocument/2006/relationships/hyperlink" Target="http://interface-conseils.com" TargetMode="External"/><Relationship  Id="rId3023" Type="http://schemas.openxmlformats.org/officeDocument/2006/relationships/hyperlink" Target="http://www.linkedin.com/company/inter-face" TargetMode="External"/><Relationship  Id="rId3024" Type="http://schemas.openxmlformats.org/officeDocument/2006/relationships/hyperlink" Target="http://www.linkedin.com/in/clarisse-calloud" TargetMode="External"/><Relationship  Id="rId3025" Type="http://schemas.openxmlformats.org/officeDocument/2006/relationships/hyperlink" Target="http://lyde-conseil.com" TargetMode="External"/><Relationship  Id="rId3026" Type="http://schemas.openxmlformats.org/officeDocument/2006/relationships/hyperlink" Target="http://www.linkedin.com/company/lyde-conseil" TargetMode="External"/><Relationship  Id="rId3027" Type="http://schemas.openxmlformats.org/officeDocument/2006/relationships/hyperlink" Target="http://www.linkedin.com/in/cl%c3%a9ment-bouchet-84673135" TargetMode="External"/><Relationship  Id="rId3028" Type="http://schemas.openxmlformats.org/officeDocument/2006/relationships/hyperlink" Target="http://sofida-france.com" TargetMode="External"/><Relationship  Id="rId3029" Type="http://schemas.openxmlformats.org/officeDocument/2006/relationships/hyperlink" Target="http://www.linkedin.com/company/sofida" TargetMode="External"/><Relationship  Id="rId303" Type="http://schemas.openxmlformats.org/officeDocument/2006/relationships/hyperlink" Target="http://www.linkedin.com/in/cedric-mincato" TargetMode="External"/><Relationship  Id="rId3030" Type="http://schemas.openxmlformats.org/officeDocument/2006/relationships/hyperlink" Target="http://www.linkedin.com/in/clement-sellier-b1694290" TargetMode="External"/><Relationship  Id="rId3031" Type="http://schemas.openxmlformats.org/officeDocument/2006/relationships/hyperlink" Target="http://iasagora.com" TargetMode="External"/><Relationship  Id="rId3032" Type="http://schemas.openxmlformats.org/officeDocument/2006/relationships/hyperlink" Target="http://www.linkedin.com/company/iasagora" TargetMode="External"/><Relationship  Id="rId3033" Type="http://schemas.openxmlformats.org/officeDocument/2006/relationships/hyperlink" Target="http://www.linkedin.com/in/clotilde-lacambre" TargetMode="External"/><Relationship  Id="rId3034" Type="http://schemas.openxmlformats.org/officeDocument/2006/relationships/hyperlink" Target="http://www.linkedin.com/company/mazetteart" TargetMode="External"/><Relationship  Id="rId3035" Type="http://schemas.openxmlformats.org/officeDocument/2006/relationships/hyperlink" Target="http://www.linkedin.com/in/clotilde-bernier-b7bb23141" TargetMode="External"/><Relationship  Id="rId3036" Type="http://schemas.openxmlformats.org/officeDocument/2006/relationships/hyperlink" Target="http://tec2e-electricite-cvc-plomberie.fr" TargetMode="External"/><Relationship  Id="rId3037" Type="http://schemas.openxmlformats.org/officeDocument/2006/relationships/hyperlink" Target="http://www.linkedin.com/company/tec2e" TargetMode="External"/><Relationship  Id="rId3038" Type="http://schemas.openxmlformats.org/officeDocument/2006/relationships/hyperlink" Target="http://www.linkedin.com/in/christophe-morin-8382b4268" TargetMode="External"/><Relationship  Id="rId3039" Type="http://schemas.openxmlformats.org/officeDocument/2006/relationships/hyperlink" Target="http://altheo.com" TargetMode="External"/><Relationship  Id="rId304" Type="http://schemas.openxmlformats.org/officeDocument/2006/relationships/hyperlink" Target="http://www.vegeman.fr" TargetMode="External"/><Relationship  Id="rId3040" Type="http://schemas.openxmlformats.org/officeDocument/2006/relationships/hyperlink" Target="http://www.linkedin.com/company/altheo" TargetMode="External"/><Relationship  Id="rId3041" Type="http://schemas.openxmlformats.org/officeDocument/2006/relationships/hyperlink" Target="https://twitter.com/Altheo_France" TargetMode="External"/><Relationship  Id="rId3042" Type="http://schemas.openxmlformats.org/officeDocument/2006/relationships/hyperlink" Target="https://www.facebook.com/Altheo-209567742520674/" TargetMode="External"/><Relationship  Id="rId3043" Type="http://schemas.openxmlformats.org/officeDocument/2006/relationships/hyperlink" Target="http://www.linkedin.com/in/martine-story-dr-a476a41" TargetMode="External"/><Relationship  Id="rId3044" Type="http://schemas.openxmlformats.org/officeDocument/2006/relationships/hyperlink" Target="http://idkom.fr" TargetMode="External"/><Relationship  Id="rId3045" Type="http://schemas.openxmlformats.org/officeDocument/2006/relationships/hyperlink" Target="http://www.linkedin.com/company/agenceidkom" TargetMode="External"/><Relationship  Id="rId3046" Type="http://schemas.openxmlformats.org/officeDocument/2006/relationships/hyperlink" Target="https://www.facebook.com/idkom.agence" TargetMode="External"/><Relationship  Id="rId3047" Type="http://schemas.openxmlformats.org/officeDocument/2006/relationships/hyperlink" Target="http://www.linkedin.com/in/christophe-bracchini-a0a5a821" TargetMode="External"/><Relationship  Id="rId3048" Type="http://schemas.openxmlformats.org/officeDocument/2006/relationships/hyperlink" Target="http://lacoop-conseil.fr" TargetMode="External"/><Relationship  Id="rId3049" Type="http://schemas.openxmlformats.org/officeDocument/2006/relationships/hyperlink" Target="http://www.linkedin.com/company/la-coop-conseil" TargetMode="External"/><Relationship  Id="rId305" Type="http://schemas.openxmlformats.org/officeDocument/2006/relationships/hyperlink" Target="http://www.linkedin.com/in/adel-bourkia-00729952" TargetMode="External"/><Relationship  Id="rId3050" Type="http://schemas.openxmlformats.org/officeDocument/2006/relationships/hyperlink" Target="http://www.linkedin.com/in/corinne-santoni-591b14111" TargetMode="External"/><Relationship  Id="rId3051" Type="http://schemas.openxmlformats.org/officeDocument/2006/relationships/hyperlink" Target="http://packitoo.com" TargetMode="External"/><Relationship  Id="rId3052" Type="http://schemas.openxmlformats.org/officeDocument/2006/relationships/hyperlink" Target="http://www.linkedin.com/company/packitoo" TargetMode="External"/><Relationship  Id="rId3053" Type="http://schemas.openxmlformats.org/officeDocument/2006/relationships/hyperlink" Target="http://www.linkedin.com/in/corinne-loustalet-60628796" TargetMode="External"/><Relationship  Id="rId3054" Type="http://schemas.openxmlformats.org/officeDocument/2006/relationships/hyperlink" Target="http://codelutin.com" TargetMode="External"/><Relationship  Id="rId3055" Type="http://schemas.openxmlformats.org/officeDocument/2006/relationships/hyperlink" Target="http://www.linkedin.com/company/code-lutin" TargetMode="External"/><Relationship  Id="rId3056" Type="http://schemas.openxmlformats.org/officeDocument/2006/relationships/hyperlink" Target="http://www.linkedin.com/in/jean-couteau-81581410" TargetMode="External"/><Relationship  Id="rId3057" Type="http://schemas.openxmlformats.org/officeDocument/2006/relationships/hyperlink" Target="http://electronie.fr" TargetMode="External"/><Relationship  Id="rId3058" Type="http://schemas.openxmlformats.org/officeDocument/2006/relationships/hyperlink" Target="http://www.linkedin.com/company/electronie" TargetMode="External"/><Relationship  Id="rId3059" Type="http://schemas.openxmlformats.org/officeDocument/2006/relationships/hyperlink" Target="http://www.linkedin.com/in/charles-pallanca-8516361" TargetMode="External"/><Relationship  Id="rId306" Type="http://schemas.openxmlformats.org/officeDocument/2006/relationships/hyperlink" Target="http://www.vendome.miami" TargetMode="External"/><Relationship  Id="rId3060" Type="http://schemas.openxmlformats.org/officeDocument/2006/relationships/hyperlink" Target="http://darwindata.io" TargetMode="External"/><Relationship  Id="rId3061" Type="http://schemas.openxmlformats.org/officeDocument/2006/relationships/hyperlink" Target="http://www.linkedin.com/company/darwin-data" TargetMode="External"/><Relationship  Id="rId3062" Type="http://schemas.openxmlformats.org/officeDocument/2006/relationships/hyperlink" Target="http://www.linkedin.com/in/cyprien-halle" TargetMode="External"/><Relationship  Id="rId3063" Type="http://schemas.openxmlformats.org/officeDocument/2006/relationships/hyperlink" Target="http://clarisys.fr" TargetMode="External"/><Relationship  Id="rId3064" Type="http://schemas.openxmlformats.org/officeDocument/2006/relationships/hyperlink" Target="http://www.linkedin.com/company/clarisys-sas" TargetMode="External"/><Relationship  Id="rId3065" Type="http://schemas.openxmlformats.org/officeDocument/2006/relationships/hyperlink" Target="http://www.linkedin.com/in/cyril-bazin-4556777" TargetMode="External"/><Relationship  Id="rId3066" Type="http://schemas.openxmlformats.org/officeDocument/2006/relationships/hyperlink" Target="http://1843.fr" TargetMode="External"/><Relationship  Id="rId3067" Type="http://schemas.openxmlformats.org/officeDocument/2006/relationships/hyperlink" Target="http://www.linkedin.com/company/1843fr" TargetMode="External"/><Relationship  Id="rId3068" Type="http://schemas.openxmlformats.org/officeDocument/2006/relationships/hyperlink" Target="http://www.linkedin.com/in/cyril-haller1843" TargetMode="External"/><Relationship  Id="rId3069" Type="http://schemas.openxmlformats.org/officeDocument/2006/relationships/hyperlink" Target="http://stellar.tc" TargetMode="External"/><Relationship  Id="rId307" Type="http://schemas.openxmlformats.org/officeDocument/2006/relationships/hyperlink" Target="http://www.linkedin.com/in/fatimata-niang-86117384" TargetMode="External"/><Relationship  Id="rId3070" Type="http://schemas.openxmlformats.org/officeDocument/2006/relationships/hyperlink" Target="http://www.linkedin.com/company/stellartc" TargetMode="External"/><Relationship  Id="rId3071" Type="http://schemas.openxmlformats.org/officeDocument/2006/relationships/hyperlink" Target="http://www.linkedin.com/in/cyril-texier-b3a69810" TargetMode="External"/><Relationship  Id="rId3072" Type="http://schemas.openxmlformats.org/officeDocument/2006/relationships/hyperlink" Target="http://komin.io" TargetMode="External"/><Relationship  Id="rId3073" Type="http://schemas.openxmlformats.org/officeDocument/2006/relationships/hyperlink" Target="http://www.linkedin.com/company/komin-io" TargetMode="External"/><Relationship  Id="rId3074" Type="http://schemas.openxmlformats.org/officeDocument/2006/relationships/hyperlink" Target="https://twitter.com/komin_io" TargetMode="External"/><Relationship  Id="rId3075" Type="http://schemas.openxmlformats.org/officeDocument/2006/relationships/hyperlink" Target="http://www.linkedin.com/in/cyrille-pailleret-6a8b411b" TargetMode="External"/><Relationship  Id="rId3076" Type="http://schemas.openxmlformats.org/officeDocument/2006/relationships/hyperlink" Target="http://cacv.com" TargetMode="External"/><Relationship  Id="rId3077" Type="http://schemas.openxmlformats.org/officeDocument/2006/relationships/hyperlink" Target="http://www.linkedin.com/company/cacv" TargetMode="External"/><Relationship  Id="rId3078" Type="http://schemas.openxmlformats.org/officeDocument/2006/relationships/hyperlink" Target="http://www.linkedin.com/in/dominique-chaudoreille-cacv-391743a" TargetMode="External"/><Relationship  Id="rId3079" Type="http://schemas.openxmlformats.org/officeDocument/2006/relationships/hyperlink" Target="http://cybel-extension.com" TargetMode="External"/><Relationship  Id="rId308" Type="http://schemas.openxmlformats.org/officeDocument/2006/relationships/hyperlink" Target="http://www.black-spoon.fr" TargetMode="External"/><Relationship  Id="rId3080" Type="http://schemas.openxmlformats.org/officeDocument/2006/relationships/hyperlink" Target="http://www.linkedin.com/company/cybel-extension-national" TargetMode="External"/><Relationship  Id="rId3081" Type="http://schemas.openxmlformats.org/officeDocument/2006/relationships/hyperlink" Target="http://www.linkedin.com/in/didier-fontaine-3b646073" TargetMode="External"/><Relationship  Id="rId3082" Type="http://schemas.openxmlformats.org/officeDocument/2006/relationships/hyperlink" Target="http://aliatem-consulting.com" TargetMode="External"/><Relationship  Id="rId3083" Type="http://schemas.openxmlformats.org/officeDocument/2006/relationships/hyperlink" Target="http://www.linkedin.com/company/aliatem" TargetMode="External"/><Relationship  Id="rId3084" Type="http://schemas.openxmlformats.org/officeDocument/2006/relationships/hyperlink" Target="http://www.linkedin.com/in/david-ricanet-013b4811" TargetMode="External"/><Relationship  Id="rId3085" Type="http://schemas.openxmlformats.org/officeDocument/2006/relationships/hyperlink" Target="http://idcapt.com" TargetMode="External"/><Relationship  Id="rId3086" Type="http://schemas.openxmlformats.org/officeDocument/2006/relationships/hyperlink" Target="http://www.linkedin.com/company/idcapt" TargetMode="External"/><Relationship  Id="rId3087" Type="http://schemas.openxmlformats.org/officeDocument/2006/relationships/hyperlink" Target="https://twitter.com/IDcapt_ES" TargetMode="External"/><Relationship  Id="rId3088" Type="http://schemas.openxmlformats.org/officeDocument/2006/relationships/hyperlink" Target="http://www.linkedin.com/in/didier-serradell-39530216" TargetMode="External"/><Relationship  Id="rId3089" Type="http://schemas.openxmlformats.org/officeDocument/2006/relationships/hyperlink" Target="http://www.linkedin.com/company/siana" TargetMode="External"/><Relationship  Id="rId309" Type="http://schemas.openxmlformats.org/officeDocument/2006/relationships/hyperlink" Target="http://www.linkedin.com/in/mathieu-castel-a5239782" TargetMode="External"/><Relationship  Id="rId3090" Type="http://schemas.openxmlformats.org/officeDocument/2006/relationships/hyperlink" Target="https://twitter.com/lesarbresmorts" TargetMode="External"/><Relationship  Id="rId3091" Type="http://schemas.openxmlformats.org/officeDocument/2006/relationships/hyperlink" Target="http://www.linkedin.com/in/damien-buty-11823239" TargetMode="External"/><Relationship  Id="rId3092" Type="http://schemas.openxmlformats.org/officeDocument/2006/relationships/hyperlink" Target="http://reconomia.fr" TargetMode="External"/><Relationship  Id="rId3093" Type="http://schemas.openxmlformats.org/officeDocument/2006/relationships/hyperlink" Target="http://www.linkedin.com/company/reconomia" TargetMode="External"/><Relationship  Id="rId3094" Type="http://schemas.openxmlformats.org/officeDocument/2006/relationships/hyperlink" Target="http://www.linkedin.com/in/danielbroche" TargetMode="External"/><Relationship  Id="rId3095" Type="http://schemas.openxmlformats.org/officeDocument/2006/relationships/hyperlink" Target="http://prospactive.com" TargetMode="External"/><Relationship  Id="rId3096" Type="http://schemas.openxmlformats.org/officeDocument/2006/relationships/hyperlink" Target="http://www.linkedin.com/company/prospactive" TargetMode="External"/><Relationship  Id="rId3097" Type="http://schemas.openxmlformats.org/officeDocument/2006/relationships/hyperlink" Target="http://www.linkedin.com/in/daniel-pereira-a3bb5642" TargetMode="External"/><Relationship  Id="rId3098" Type="http://schemas.openxmlformats.org/officeDocument/2006/relationships/hyperlink" Target="http://actionbetoncoupe.com" TargetMode="External"/><Relationship  Id="rId3099" Type="http://schemas.openxmlformats.org/officeDocument/2006/relationships/hyperlink" Target="http://www.linkedin.com/company/action-beton-coupe" TargetMode="External"/><Relationship  Id="rId31" Type="http://schemas.openxmlformats.org/officeDocument/2006/relationships/hyperlink" Target="http://www.linkedin.com/in/negrikatia" TargetMode="External"/><Relationship  Id="rId310" Type="http://schemas.openxmlformats.org/officeDocument/2006/relationships/hyperlink" Target="http://www.pilohotels.com" TargetMode="External"/><Relationship  Id="rId3100" Type="http://schemas.openxmlformats.org/officeDocument/2006/relationships/hyperlink" Target="https://www.facebook.com/actionbetoncoupe" TargetMode="External"/><Relationship  Id="rId3101" Type="http://schemas.openxmlformats.org/officeDocument/2006/relationships/hyperlink" Target="http://www.linkedin.com/in/daniel-varillon-1282a615" TargetMode="External"/><Relationship  Id="rId3102" Type="http://schemas.openxmlformats.org/officeDocument/2006/relationships/hyperlink" Target="http://atlantic-environnement.fr" TargetMode="External"/><Relationship  Id="rId3103" Type="http://schemas.openxmlformats.org/officeDocument/2006/relationships/hyperlink" Target="http://www.linkedin.com/company/atlantic-environnement" TargetMode="External"/><Relationship  Id="rId3104" Type="http://schemas.openxmlformats.org/officeDocument/2006/relationships/hyperlink" Target="http://www.linkedin.com/in/david-boudaud-562b2130" TargetMode="External"/><Relationship  Id="rId3105" Type="http://schemas.openxmlformats.org/officeDocument/2006/relationships/hyperlink" Target="http://climate-innov.com" TargetMode="External"/><Relationship  Id="rId3106" Type="http://schemas.openxmlformats.org/officeDocument/2006/relationships/hyperlink" Target="http://www.linkedin.com/company/climate-innov" TargetMode="External"/><Relationship  Id="rId3107" Type="http://schemas.openxmlformats.org/officeDocument/2006/relationships/hyperlink" Target="http://www.linkedin.com/in/david-clares-b16606152" TargetMode="External"/><Relationship  Id="rId3108" Type="http://schemas.openxmlformats.org/officeDocument/2006/relationships/hyperlink" Target="http://lex-persona.com" TargetMode="External"/><Relationship  Id="rId3109" Type="http://schemas.openxmlformats.org/officeDocument/2006/relationships/hyperlink" Target="http://www.linkedin.com/company/lex-persona" TargetMode="External"/><Relationship  Id="rId311" Type="http://schemas.openxmlformats.org/officeDocument/2006/relationships/hyperlink" Target="http://www.linkedin.com/in/nicolas-gallmann-18b39495" TargetMode="External"/><Relationship  Id="rId3110" Type="http://schemas.openxmlformats.org/officeDocument/2006/relationships/hyperlink" Target="https://twitter.com/lexpersona" TargetMode="External"/><Relationship  Id="rId3111" Type="http://schemas.openxmlformats.org/officeDocument/2006/relationships/hyperlink" Target="https://facebook.com/pages/Lex-Persona/581179861908225" TargetMode="External"/><Relationship  Id="rId3112" Type="http://schemas.openxmlformats.org/officeDocument/2006/relationships/hyperlink" Target="http://www.linkedin.com/in/david-coridun-66735334" TargetMode="External"/><Relationship  Id="rId3113" Type="http://schemas.openxmlformats.org/officeDocument/2006/relationships/hyperlink" Target="http://evometrologie.com" TargetMode="External"/><Relationship  Id="rId3114" Type="http://schemas.openxmlformats.org/officeDocument/2006/relationships/hyperlink" Target="http://www.linkedin.com/company/evo-m%c3%a9trologie" TargetMode="External"/><Relationship  Id="rId3115" Type="http://schemas.openxmlformats.org/officeDocument/2006/relationships/hyperlink" Target="https://www.facebook.com/people/EVO-m%C3%A9trologie/100075845067703/" TargetMode="External"/><Relationship  Id="rId3116" Type="http://schemas.openxmlformats.org/officeDocument/2006/relationships/hyperlink" Target="http://www.linkedin.com/in/david-delannoy-87a6501ba" TargetMode="External"/><Relationship  Id="rId3117" Type="http://schemas.openxmlformats.org/officeDocument/2006/relationships/hyperlink" Target="http://armtek.fr" TargetMode="External"/><Relationship  Id="rId3118" Type="http://schemas.openxmlformats.org/officeDocument/2006/relationships/hyperlink" Target="http://www.linkedin.com/company/armtek-france" TargetMode="External"/><Relationship  Id="rId3119" Type="http://schemas.openxmlformats.org/officeDocument/2006/relationships/hyperlink" Target="http://www.linkedin.com/in/david-desjardins-a157143" TargetMode="External"/><Relationship  Id="rId312" Type="http://schemas.openxmlformats.org/officeDocument/2006/relationships/hyperlink" Target="http://www.mohom.com" TargetMode="External"/><Relationship  Id="rId3120" Type="http://schemas.openxmlformats.org/officeDocument/2006/relationships/hyperlink" Target="http://proactifcallcenter.com" TargetMode="External"/><Relationship  Id="rId3121" Type="http://schemas.openxmlformats.org/officeDocument/2006/relationships/hyperlink" Target="http://www.linkedin.com/company/proactif-call-center" TargetMode="External"/><Relationship  Id="rId3122" Type="http://schemas.openxmlformats.org/officeDocument/2006/relationships/hyperlink" Target="http://www.linkedin.com/in/davidfoure" TargetMode="External"/><Relationship  Id="rId3123" Type="http://schemas.openxmlformats.org/officeDocument/2006/relationships/hyperlink" Target="http://styleo.fr" TargetMode="External"/><Relationship  Id="rId3124" Type="http://schemas.openxmlformats.org/officeDocument/2006/relationships/hyperlink" Target="http://www.linkedin.com/company/styleo" TargetMode="External"/><Relationship  Id="rId3125" Type="http://schemas.openxmlformats.org/officeDocument/2006/relationships/hyperlink" Target="https://facebook.com/styleo" TargetMode="External"/><Relationship  Id="rId3126" Type="http://schemas.openxmlformats.org/officeDocument/2006/relationships/hyperlink" Target="http://www.linkedin.com/in/david-guillen-8a81033" TargetMode="External"/><Relationship  Id="rId3127" Type="http://schemas.openxmlformats.org/officeDocument/2006/relationships/hyperlink" Target="http://mti86.com" TargetMode="External"/><Relationship  Id="rId3128" Type="http://schemas.openxmlformats.org/officeDocument/2006/relationships/hyperlink" Target="http://www.linkedin.com/company/mti86" TargetMode="External"/><Relationship  Id="rId3129" Type="http://schemas.openxmlformats.org/officeDocument/2006/relationships/hyperlink" Target="http://www.linkedin.com/in/david-de-larauze-7a520757" TargetMode="External"/><Relationship  Id="rId313" Type="http://schemas.openxmlformats.org/officeDocument/2006/relationships/hyperlink" Target="http://www.linkedin.com/in/thomas-battistini-b65801178" TargetMode="External"/><Relationship  Id="rId3130" Type="http://schemas.openxmlformats.org/officeDocument/2006/relationships/hyperlink" Target="http://smilewanted.com" TargetMode="External"/><Relationship  Id="rId3131" Type="http://schemas.openxmlformats.org/officeDocument/2006/relationships/hyperlink" Target="http://www.linkedin.com/company/smile-wanted" TargetMode="External"/><Relationship  Id="rId3132" Type="http://schemas.openxmlformats.org/officeDocument/2006/relationships/hyperlink" Target="http://www.linkedin.com/in/david-calleri-84591a8a" TargetMode="External"/><Relationship  Id="rId3133" Type="http://schemas.openxmlformats.org/officeDocument/2006/relationships/hyperlink" Target="http://charpente-merlot.fr" TargetMode="External"/><Relationship  Id="rId3134" Type="http://schemas.openxmlformats.org/officeDocument/2006/relationships/hyperlink" Target="http://www.linkedin.com/company/sas-merlot" TargetMode="External"/><Relationship  Id="rId3135" Type="http://schemas.openxmlformats.org/officeDocument/2006/relationships/hyperlink" Target="https://www.facebook.com/Merlot-SAS-1452582684968568/" TargetMode="External"/><Relationship  Id="rId3136" Type="http://schemas.openxmlformats.org/officeDocument/2006/relationships/hyperlink" Target="http://www.linkedin.com/in/david-soulas-4b476b190" TargetMode="External"/><Relationship  Id="rId3137" Type="http://schemas.openxmlformats.org/officeDocument/2006/relationships/hyperlink" Target="http://avenirdirigeant.com" TargetMode="External"/><Relationship  Id="rId3138" Type="http://schemas.openxmlformats.org/officeDocument/2006/relationships/hyperlink" Target="http://www.linkedin.com/company/avenir-dirigeant" TargetMode="External"/><Relationship  Id="rId3139" Type="http://schemas.openxmlformats.org/officeDocument/2006/relationships/hyperlink" Target="https://twitter.com/ADirigeant" TargetMode="External"/><Relationship  Id="rId314" Type="http://schemas.openxmlformats.org/officeDocument/2006/relationships/hyperlink" Target="http://www.thecryingtiger.fr" TargetMode="External"/><Relationship  Id="rId3140" Type="http://schemas.openxmlformats.org/officeDocument/2006/relationships/hyperlink" Target="https://facebook.com/pages/Avenir-Dirigeant/694097350685246" TargetMode="External"/><Relationship  Id="rId3141" Type="http://schemas.openxmlformats.org/officeDocument/2006/relationships/hyperlink" Target="http://www.linkedin.com/in/denisboutte" TargetMode="External"/><Relationship  Id="rId3142" Type="http://schemas.openxmlformats.org/officeDocument/2006/relationships/hyperlink" Target="http://baron-sas.fr" TargetMode="External"/><Relationship  Id="rId3143" Type="http://schemas.openxmlformats.org/officeDocument/2006/relationships/hyperlink" Target="http://www.linkedin.com/company/baron-sas" TargetMode="External"/><Relationship  Id="rId3144" Type="http://schemas.openxmlformats.org/officeDocument/2006/relationships/hyperlink" Target="http://www.linkedin.com/in/david-baron-830472105" TargetMode="External"/><Relationship  Id="rId3145" Type="http://schemas.openxmlformats.org/officeDocument/2006/relationships/hyperlink" Target="http://www.linkedin.com/in/delphine-battesti-a4431887" TargetMode="External"/><Relationship  Id="rId3146" Type="http://schemas.openxmlformats.org/officeDocument/2006/relationships/hyperlink" Target="http://wondercrush.fr" TargetMode="External"/><Relationship  Id="rId3147" Type="http://schemas.openxmlformats.org/officeDocument/2006/relationships/hyperlink" Target="http://www.linkedin.com/company/wondercrush" TargetMode="External"/><Relationship  Id="rId3148" Type="http://schemas.openxmlformats.org/officeDocument/2006/relationships/hyperlink" Target="http://www.linkedin.com/in/delphine-leloup-wondercrush-44307468" TargetMode="External"/><Relationship  Id="rId3149" Type="http://schemas.openxmlformats.org/officeDocument/2006/relationships/hyperlink" Target="http://lamaisonplisson.com" TargetMode="External"/><Relationship  Id="rId315" Type="http://schemas.openxmlformats.org/officeDocument/2006/relationships/hyperlink" Target="http://www.linkedin.com/in/franck-mingot-ceo-gyros" TargetMode="External"/><Relationship  Id="rId3150" Type="http://schemas.openxmlformats.org/officeDocument/2006/relationships/hyperlink" Target="http://www.linkedin.com/company/la-maison-plisson" TargetMode="External"/><Relationship  Id="rId3151" Type="http://schemas.openxmlformats.org/officeDocument/2006/relationships/hyperlink" Target="http://www.linkedin.com/in/delphine-plisson-2713b17b" TargetMode="External"/><Relationship  Id="rId3152" Type="http://schemas.openxmlformats.org/officeDocument/2006/relationships/hyperlink" Target="http://tempeos.com" TargetMode="External"/><Relationship  Id="rId3153" Type="http://schemas.openxmlformats.org/officeDocument/2006/relationships/hyperlink" Target="http://www.linkedin.com/company/tempeos" TargetMode="External"/><Relationship  Id="rId3154" Type="http://schemas.openxmlformats.org/officeDocument/2006/relationships/hyperlink" Target="http://www.linkedin.com/in/delphine-riss" TargetMode="External"/><Relationship  Id="rId3155" Type="http://schemas.openxmlformats.org/officeDocument/2006/relationships/hyperlink" Target="http://www.linkedin.com/company/agro-alimentaire-conseil" TargetMode="External"/><Relationship  Id="rId3156" Type="http://schemas.openxmlformats.org/officeDocument/2006/relationships/hyperlink" Target="http://www.linkedin.com/in/denis-bornua-30576624" TargetMode="External"/><Relationship  Id="rId3157" Type="http://schemas.openxmlformats.org/officeDocument/2006/relationships/hyperlink" Target="http://elips-solution.fr" TargetMode="External"/><Relationship  Id="rId3158" Type="http://schemas.openxmlformats.org/officeDocument/2006/relationships/hyperlink" Target="http://www.linkedin.com/company/%c3%a9lips-solution" TargetMode="External"/><Relationship  Id="rId3159" Type="http://schemas.openxmlformats.org/officeDocument/2006/relationships/hyperlink" Target="http://www.linkedin.com/in/denis-escudier-5ba7ba2a" TargetMode="External"/><Relationship  Id="rId316" Type="http://schemas.openxmlformats.org/officeDocument/2006/relationships/hyperlink" Target="http://www.mongyros.com" TargetMode="External"/><Relationship  Id="rId3160" Type="http://schemas.openxmlformats.org/officeDocument/2006/relationships/hyperlink" Target="http://os-consultech.fr" TargetMode="External"/><Relationship  Id="rId3161" Type="http://schemas.openxmlformats.org/officeDocument/2006/relationships/hyperlink" Target="http://www.linkedin.com/company/os-consultech" TargetMode="External"/><Relationship  Id="rId3162" Type="http://schemas.openxmlformats.org/officeDocument/2006/relationships/hyperlink" Target="http://www.linkedin.com/in/damien-fornier-92885061" TargetMode="External"/><Relationship  Id="rId3163" Type="http://schemas.openxmlformats.org/officeDocument/2006/relationships/hyperlink" Target="http://www.linkedin.com/in/davidhostetter" TargetMode="External"/><Relationship  Id="rId3164" Type="http://schemas.openxmlformats.org/officeDocument/2006/relationships/hyperlink" Target="http://primeanalytics.fr" TargetMode="External"/><Relationship  Id="rId3165" Type="http://schemas.openxmlformats.org/officeDocument/2006/relationships/hyperlink" Target="http://www.linkedin.com/company/primeanalytics" TargetMode="External"/><Relationship  Id="rId3166" Type="http://schemas.openxmlformats.org/officeDocument/2006/relationships/hyperlink" Target="https://www.facebook.com/primeanalytics.fr/" TargetMode="External"/><Relationship  Id="rId3167" Type="http://schemas.openxmlformats.org/officeDocument/2006/relationships/hyperlink" Target="http://www.linkedin.com/in/didiercarre" TargetMode="External"/><Relationship  Id="rId3168" Type="http://schemas.openxmlformats.org/officeDocument/2006/relationships/hyperlink" Target="http://pierrenoel.fr" TargetMode="External"/><Relationship  Id="rId3169" Type="http://schemas.openxmlformats.org/officeDocument/2006/relationships/hyperlink" Target="http://www.linkedin.com/company/pierrenoel1844" TargetMode="External"/><Relationship  Id="rId317" Type="http://schemas.openxmlformats.org/officeDocument/2006/relationships/hyperlink" Target="http://www.linkedin.com/in/olivier-bossanne-b01b8b5a" TargetMode="External"/><Relationship  Id="rId3170" Type="http://schemas.openxmlformats.org/officeDocument/2006/relationships/hyperlink" Target="http://www.linkedin.com/in/didier-durand-7948b148" TargetMode="External"/><Relationship  Id="rId3171" Type="http://schemas.openxmlformats.org/officeDocument/2006/relationships/hyperlink" Target="http://www.linkedin.com/company/groupemen" TargetMode="External"/><Relationship  Id="rId3172" Type="http://schemas.openxmlformats.org/officeDocument/2006/relationships/hyperlink" Target="http://www.linkedin.com/in/didier-garcia-0b4b4091" TargetMode="External"/><Relationship  Id="rId3173" Type="http://schemas.openxmlformats.org/officeDocument/2006/relationships/hyperlink" Target="http://chrymelie.fr" TargetMode="External"/><Relationship  Id="rId3174" Type="http://schemas.openxmlformats.org/officeDocument/2006/relationships/hyperlink" Target="http://www.linkedin.com/company/chrymelie" TargetMode="External"/><Relationship  Id="rId3175" Type="http://schemas.openxmlformats.org/officeDocument/2006/relationships/hyperlink" Target="https://www.facebook.com/Chrymelie/" TargetMode="External"/><Relationship  Id="rId3176" Type="http://schemas.openxmlformats.org/officeDocument/2006/relationships/hyperlink" Target="http://www.linkedin.com/in/didierguarisco" TargetMode="External"/><Relationship  Id="rId3177" Type="http://schemas.openxmlformats.org/officeDocument/2006/relationships/hyperlink" Target="http://junior-imt-nord-europe.fr" TargetMode="External"/><Relationship  Id="rId3178" Type="http://schemas.openxmlformats.org/officeDocument/2006/relationships/hyperlink" Target="http://www.linkedin.com/company/junior-imt-nord-europe" TargetMode="External"/><Relationship  Id="rId3179" Type="http://schemas.openxmlformats.org/officeDocument/2006/relationships/hyperlink" Target="https://www.facebook.com/Junior.IMT.Nord.Europe/" TargetMode="External"/><Relationship  Id="rId318" Type="http://schemas.openxmlformats.org/officeDocument/2006/relationships/hyperlink" Target="http://www.hekipia.com" TargetMode="External"/><Relationship  Id="rId3180" Type="http://schemas.openxmlformats.org/officeDocument/2006/relationships/hyperlink" Target="http://www.linkedin.com/in/dijane-schmitt" TargetMode="External"/><Relationship  Id="rId3181" Type="http://schemas.openxmlformats.org/officeDocument/2006/relationships/hyperlink" Target="http://zaniersa.fr" TargetMode="External"/><Relationship  Id="rId3182" Type="http://schemas.openxmlformats.org/officeDocument/2006/relationships/hyperlink" Target="http://www.linkedin.com/company/zanier-sa" TargetMode="External"/><Relationship  Id="rId3183" Type="http://schemas.openxmlformats.org/officeDocument/2006/relationships/hyperlink" Target="http://www.linkedin.com/in/dimitri-zanier-45280443" TargetMode="External"/><Relationship  Id="rId3184" Type="http://schemas.openxmlformats.org/officeDocument/2006/relationships/hyperlink" Target="http://wemoms.fr" TargetMode="External"/><Relationship  Id="rId3185" Type="http://schemas.openxmlformats.org/officeDocument/2006/relationships/hyperlink" Target="http://www.linkedin.com/company/wemoms" TargetMode="External"/><Relationship  Id="rId3186" Type="http://schemas.openxmlformats.org/officeDocument/2006/relationships/hyperlink" Target="https://twitter.com/wemomsapp" TargetMode="External"/><Relationship  Id="rId3187" Type="http://schemas.openxmlformats.org/officeDocument/2006/relationships/hyperlink" Target="https://www.facebook.com/pages/WeMoms/664608920276970?sk=info" TargetMode="External"/><Relationship  Id="rId3188" Type="http://schemas.openxmlformats.org/officeDocument/2006/relationships/hyperlink" Target="http://www.linkedin.com/in/dino-jaegle-a3258923" TargetMode="External"/><Relationship  Id="rId3189" Type="http://schemas.openxmlformats.org/officeDocument/2006/relationships/hyperlink" Target="http://trfretail.com" TargetMode="External"/><Relationship  Id="rId319" Type="http://schemas.openxmlformats.org/officeDocument/2006/relationships/hyperlink" Target="http://www.linkedin.com/in/david-letellier-84665084" TargetMode="External"/><Relationship  Id="rId3190" Type="http://schemas.openxmlformats.org/officeDocument/2006/relationships/hyperlink" Target="http://www.linkedin.com/company/trf-retail" TargetMode="External"/><Relationship  Id="rId3191" Type="http://schemas.openxmlformats.org/officeDocument/2006/relationships/hyperlink" Target="https://twitter.com/TRFRETAIL" TargetMode="External"/><Relationship  Id="rId3192" Type="http://schemas.openxmlformats.org/officeDocument/2006/relationships/hyperlink" Target="https://facebook.com/pages/TRF-Retail/226445844037276" TargetMode="External"/><Relationship  Id="rId3193" Type="http://schemas.openxmlformats.org/officeDocument/2006/relationships/hyperlink" Target="http://www.linkedin.com/in/dominique-chambas-5ab57a4" TargetMode="External"/><Relationship  Id="rId3194" Type="http://schemas.openxmlformats.org/officeDocument/2006/relationships/hyperlink" Target="http://mixity.co" TargetMode="External"/><Relationship  Id="rId3195" Type="http://schemas.openxmlformats.org/officeDocument/2006/relationships/hyperlink" Target="http://www.linkedin.com/company/mixity-co" TargetMode="External"/><Relationship  Id="rId3196" Type="http://schemas.openxmlformats.org/officeDocument/2006/relationships/hyperlink" Target="https://twitter.com/Mixity_co" TargetMode="External"/><Relationship  Id="rId3197" Type="http://schemas.openxmlformats.org/officeDocument/2006/relationships/hyperlink" Target="https://www.facebook.com/Mixity.co/" TargetMode="External"/><Relationship  Id="rId3198" Type="http://schemas.openxmlformats.org/officeDocument/2006/relationships/hyperlink" Target="http://www.linkedin.com/in/dominique-crochu-21929517" TargetMode="External"/><Relationship  Id="rId3199" Type="http://schemas.openxmlformats.org/officeDocument/2006/relationships/hyperlink" Target="http://aquasys.fr" TargetMode="External"/><Relationship  Id="rId32" Type="http://schemas.openxmlformats.org/officeDocument/2006/relationships/hyperlink" Target="http://www.eurochef.fr" TargetMode="External"/><Relationship  Id="rId320" Type="http://schemas.openxmlformats.org/officeDocument/2006/relationships/hyperlink" Target="http://www.slow-village.fr" TargetMode="External"/><Relationship  Id="rId3200" Type="http://schemas.openxmlformats.org/officeDocument/2006/relationships/hyperlink" Target="http://www.linkedin.com/company/aquasys-france" TargetMode="External"/><Relationship  Id="rId3201" Type="http://schemas.openxmlformats.org/officeDocument/2006/relationships/hyperlink" Target="https://twitter.com/myAquasys" TargetMode="External"/><Relationship  Id="rId3202" Type="http://schemas.openxmlformats.org/officeDocument/2006/relationships/hyperlink" Target="https://www.facebook.com/MyAquasys/" TargetMode="External"/><Relationship  Id="rId3203" Type="http://schemas.openxmlformats.org/officeDocument/2006/relationships/hyperlink" Target="http://www.linkedin.com/in/theriez-dominique" TargetMode="External"/><Relationship  Id="rId3204" Type="http://schemas.openxmlformats.org/officeDocument/2006/relationships/hyperlink" Target="http://farinez-vous.com" TargetMode="External"/><Relationship  Id="rId3205" Type="http://schemas.openxmlformats.org/officeDocument/2006/relationships/hyperlink" Target="http://www.linkedin.com/company/farinezvous" TargetMode="External"/><Relationship  Id="rId3206" Type="http://schemas.openxmlformats.org/officeDocument/2006/relationships/hyperlink" Target="http://www.linkedin.com/in/domitille-flichy-98740877" TargetMode="External"/><Relationship  Id="rId3207" Type="http://schemas.openxmlformats.org/officeDocument/2006/relationships/hyperlink" Target="http://goodbuy-media.fr" TargetMode="External"/><Relationship  Id="rId3208" Type="http://schemas.openxmlformats.org/officeDocument/2006/relationships/hyperlink" Target="http://www.linkedin.com/company/good-buy-media" TargetMode="External"/><Relationship  Id="rId3209" Type="http://schemas.openxmlformats.org/officeDocument/2006/relationships/hyperlink" Target="https://www.facebook.com/goodbuymedia35" TargetMode="External"/><Relationship  Id="rId321" Type="http://schemas.openxmlformats.org/officeDocument/2006/relationships/hyperlink" Target="http://www.linkedin.com/in/sebprunier" TargetMode="External"/><Relationship  Id="rId3210" Type="http://schemas.openxmlformats.org/officeDocument/2006/relationships/hyperlink" Target="http://www.linkedin.com/in/dorismadingou" TargetMode="External"/><Relationship  Id="rId3211" Type="http://schemas.openxmlformats.org/officeDocument/2006/relationships/hyperlink" Target="http://cdr-construction.fr" TargetMode="External"/><Relationship  Id="rId3212" Type="http://schemas.openxmlformats.org/officeDocument/2006/relationships/hyperlink" Target="http://www.linkedin.com/company/cdr-construction-fr" TargetMode="External"/><Relationship  Id="rId3213" Type="http://schemas.openxmlformats.org/officeDocument/2006/relationships/hyperlink" Target="http://www.linkedin.com/in/delphine-orthuon" TargetMode="External"/><Relationship  Id="rId3214" Type="http://schemas.openxmlformats.org/officeDocument/2006/relationships/hyperlink" Target="http://lamediosphere.fr" TargetMode="External"/><Relationship  Id="rId3215" Type="http://schemas.openxmlformats.org/officeDocument/2006/relationships/hyperlink" Target="http://www.linkedin.com/company/la-mediosphere" TargetMode="External"/><Relationship  Id="rId3216" Type="http://schemas.openxmlformats.org/officeDocument/2006/relationships/hyperlink" Target="http://www.linkedin.com/in/etienne-coupe-ingenieur-fluides" TargetMode="External"/><Relationship  Id="rId3217" Type="http://schemas.openxmlformats.org/officeDocument/2006/relationships/hyperlink" Target="http://globalp.fr" TargetMode="External"/><Relationship  Id="rId3218" Type="http://schemas.openxmlformats.org/officeDocument/2006/relationships/hyperlink" Target="http://www.linkedin.com/company/globalpcontractantgeneral" TargetMode="External"/><Relationship  Id="rId3219" Type="http://schemas.openxmlformats.org/officeDocument/2006/relationships/hyperlink" Target="http://www.linkedin.com/in/eric-faramond-495450153" TargetMode="External"/><Relationship  Id="rId322" Type="http://schemas.openxmlformats.org/officeDocument/2006/relationships/hyperlink" Target="http://www.linkedin.com/in/david-banet-98a91a57" TargetMode="External"/><Relationship  Id="rId3220" Type="http://schemas.openxmlformats.org/officeDocument/2006/relationships/hyperlink" Target="http://eixa.fr" TargetMode="External"/><Relationship  Id="rId3221" Type="http://schemas.openxmlformats.org/officeDocument/2006/relationships/hyperlink" Target="http://www.linkedin.com/company/eixa" TargetMode="External"/><Relationship  Id="rId3222" Type="http://schemas.openxmlformats.org/officeDocument/2006/relationships/hyperlink" Target="http://www.linkedin.com/in/emmanuel-galichon-6355b316" TargetMode="External"/><Relationship  Id="rId3223" Type="http://schemas.openxmlformats.org/officeDocument/2006/relationships/hyperlink" Target="http://anikit.fr" TargetMode="External"/><Relationship  Id="rId3224" Type="http://schemas.openxmlformats.org/officeDocument/2006/relationships/hyperlink" Target="http://www.linkedin.com/company/logikap" TargetMode="External"/><Relationship  Id="rId3225" Type="http://schemas.openxmlformats.org/officeDocument/2006/relationships/hyperlink" Target="http://www.linkedin.com/in/emmanuel-garcia-60716973" TargetMode="External"/><Relationship  Id="rId3226" Type="http://schemas.openxmlformats.org/officeDocument/2006/relationships/hyperlink" Target="http://kadys.fr" TargetMode="External"/><Relationship  Id="rId3227" Type="http://schemas.openxmlformats.org/officeDocument/2006/relationships/hyperlink" Target="http://www.linkedin.com/company/kadys" TargetMode="External"/><Relationship  Id="rId3228" Type="http://schemas.openxmlformats.org/officeDocument/2006/relationships/hyperlink" Target="http://www.linkedin.com/in/emilie-geyer-51334a106" TargetMode="External"/><Relationship  Id="rId3229" Type="http://schemas.openxmlformats.org/officeDocument/2006/relationships/hyperlink" Target="http://moncelec.fr" TargetMode="External"/><Relationship  Id="rId323" Type="http://schemas.openxmlformats.org/officeDocument/2006/relationships/hyperlink" Target="http://www.dscafe.fr" TargetMode="External"/><Relationship  Id="rId3230" Type="http://schemas.openxmlformats.org/officeDocument/2006/relationships/hyperlink" Target="http://www.linkedin.com/company/moncelec-automatismes" TargetMode="External"/><Relationship  Id="rId3231" Type="http://schemas.openxmlformats.org/officeDocument/2006/relationships/hyperlink" Target="http://www.linkedin.com/in/%c3%a9ric-leroux-75893b82" TargetMode="External"/><Relationship  Id="rId3232" Type="http://schemas.openxmlformats.org/officeDocument/2006/relationships/hyperlink" Target="http://moderlab.com" TargetMode="External"/><Relationship  Id="rId3233" Type="http://schemas.openxmlformats.org/officeDocument/2006/relationships/hyperlink" Target="http://www.linkedin.com/company/moderlab" TargetMode="External"/><Relationship  Id="rId3234" Type="http://schemas.openxmlformats.org/officeDocument/2006/relationships/hyperlink" Target="https://m.facebook.com/people/Moderlab/100064062880524/" TargetMode="External"/><Relationship  Id="rId3235" Type="http://schemas.openxmlformats.org/officeDocument/2006/relationships/hyperlink" Target="http://www.linkedin.com/in/elsa-maji-55873393" TargetMode="External"/><Relationship  Id="rId3236" Type="http://schemas.openxmlformats.org/officeDocument/2006/relationships/hyperlink" Target="http://nova-construction.fr" TargetMode="External"/><Relationship  Id="rId3237" Type="http://schemas.openxmlformats.org/officeDocument/2006/relationships/hyperlink" Target="http://www.linkedin.com/company/nova-construction-lescar" TargetMode="External"/><Relationship  Id="rId3238" Type="http://schemas.openxmlformats.org/officeDocument/2006/relationships/hyperlink" Target="http://www.linkedin.com/in/eric-pellerin-891a4460" TargetMode="External"/><Relationship  Id="rId3239" Type="http://schemas.openxmlformats.org/officeDocument/2006/relationships/hyperlink" Target="http://apsys.fr" TargetMode="External"/><Relationship  Id="rId324" Type="http://schemas.openxmlformats.org/officeDocument/2006/relationships/hyperlink" Target="http://www.linkedin.com/in/bastien-peccoux-a2514273" TargetMode="External"/><Relationship  Id="rId3240" Type="http://schemas.openxmlformats.org/officeDocument/2006/relationships/hyperlink" Target="http://www.linkedin.com/company/apsys-apsys" TargetMode="External"/><Relationship  Id="rId3241" Type="http://schemas.openxmlformats.org/officeDocument/2006/relationships/hyperlink" Target="https://twitter.com/APSYS_BP" TargetMode="External"/><Relationship  Id="rId3242" Type="http://schemas.openxmlformats.org/officeDocument/2006/relationships/hyperlink" Target="http://www.linkedin.com/in/emmanuel-petit-473268b2" TargetMode="External"/><Relationship  Id="rId3243" Type="http://schemas.openxmlformats.org/officeDocument/2006/relationships/hyperlink" Target="http://assetsman.com" TargetMode="External"/><Relationship  Id="rId3244" Type="http://schemas.openxmlformats.org/officeDocument/2006/relationships/hyperlink" Target="http://www.linkedin.com/company/assetsman" TargetMode="External"/><Relationship  Id="rId3245" Type="http://schemas.openxmlformats.org/officeDocument/2006/relationships/hyperlink" Target="https://www.facebook.com/assetsman/" TargetMode="External"/><Relationship  Id="rId3246" Type="http://schemas.openxmlformats.org/officeDocument/2006/relationships/hyperlink" Target="http://www.linkedin.com/in/edmea-adell-9039881a" TargetMode="External"/><Relationship  Id="rId3247" Type="http://schemas.openxmlformats.org/officeDocument/2006/relationships/hyperlink" Target="http://black-oak.fr" TargetMode="External"/><Relationship  Id="rId3248" Type="http://schemas.openxmlformats.org/officeDocument/2006/relationships/hyperlink" Target="http://www.linkedin.com/company/blackoak" TargetMode="External"/><Relationship  Id="rId3249" Type="http://schemas.openxmlformats.org/officeDocument/2006/relationships/hyperlink" Target="http://www.linkedin.com/in/erick-belijar-7831a32" TargetMode="External"/><Relationship  Id="rId325" Type="http://schemas.openxmlformats.org/officeDocument/2006/relationships/hyperlink" Target="http://www.tandoor-club.com" TargetMode="External"/><Relationship  Id="rId3250" Type="http://schemas.openxmlformats.org/officeDocument/2006/relationships/hyperlink" Target="http://cristel.com" TargetMode="External"/><Relationship  Id="rId3251" Type="http://schemas.openxmlformats.org/officeDocument/2006/relationships/hyperlink" Target="http://www.linkedin.com/company/cristel-france" TargetMode="External"/><Relationship  Id="rId3252" Type="http://schemas.openxmlformats.org/officeDocument/2006/relationships/hyperlink" Target="https://twitter.com/cristelfrance" TargetMode="External"/><Relationship  Id="rId3253" Type="http://schemas.openxmlformats.org/officeDocument/2006/relationships/hyperlink" Target="https://www.facebook.com/cristelusa" TargetMode="External"/><Relationship  Id="rId3254" Type="http://schemas.openxmlformats.org/officeDocument/2006/relationships/hyperlink" Target="http://www.linkedin.com/in/emmanuel-brugger-bb479a" TargetMode="External"/><Relationship  Id="rId3255" Type="http://schemas.openxmlformats.org/officeDocument/2006/relationships/hyperlink" Target="http://www.linkedin.com/company/rossel-advertising-france" TargetMode="External"/><Relationship  Id="rId3256" Type="http://schemas.openxmlformats.org/officeDocument/2006/relationships/hyperlink" Target="http://www.linkedin.com/in/emilie-cohen-28927818" TargetMode="External"/><Relationship  Id="rId3257" Type="http://schemas.openxmlformats.org/officeDocument/2006/relationships/hyperlink" Target="http://ccl-construction.fr" TargetMode="External"/><Relationship  Id="rId3258" Type="http://schemas.openxmlformats.org/officeDocument/2006/relationships/hyperlink" Target="http://www.linkedin.com/company/cclconstruction" TargetMode="External"/><Relationship  Id="rId3259" Type="http://schemas.openxmlformats.org/officeDocument/2006/relationships/hyperlink" Target="http://www.linkedin.com/in/%c3%a9ric-dubost-55144a5b" TargetMode="External"/><Relationship  Id="rId326" Type="http://schemas.openxmlformats.org/officeDocument/2006/relationships/hyperlink" Target="http://www.linkedin.com/in/maryline-bernard-castel-a1501915" TargetMode="External"/><Relationship  Id="rId3260" Type="http://schemas.openxmlformats.org/officeDocument/2006/relationships/hyperlink" Target="http://www.linkedin.com/company/ikimo9" TargetMode="External"/><Relationship  Id="rId3261" Type="http://schemas.openxmlformats.org/officeDocument/2006/relationships/hyperlink" Target="http://www.linkedin.com/in/elisabethjulienikimo9" TargetMode="External"/><Relationship  Id="rId3262" Type="http://schemas.openxmlformats.org/officeDocument/2006/relationships/hyperlink" Target="http://gstag.com" TargetMode="External"/><Relationship  Id="rId3263" Type="http://schemas.openxmlformats.org/officeDocument/2006/relationships/hyperlink" Target="http://www.linkedin.com/company/gstag" TargetMode="External"/><Relationship  Id="rId3264" Type="http://schemas.openxmlformats.org/officeDocument/2006/relationships/hyperlink" Target="https://twitter.com/gs_tag1" TargetMode="External"/><Relationship  Id="rId3265" Type="http://schemas.openxmlformats.org/officeDocument/2006/relationships/hyperlink" Target="http://www.linkedin.com/in/eric-jouve-1a53751" TargetMode="External"/><Relationship  Id="rId3266" Type="http://schemas.openxmlformats.org/officeDocument/2006/relationships/hyperlink" Target="http://ynit.fr" TargetMode="External"/><Relationship  Id="rId3267" Type="http://schemas.openxmlformats.org/officeDocument/2006/relationships/hyperlink" Target="http://www.linkedin.com/company/ynov-it-groupe" TargetMode="External"/><Relationship  Id="rId3268" Type="http://schemas.openxmlformats.org/officeDocument/2006/relationships/hyperlink" Target="http://www.linkedin.com/in/emilienkrauserxerox" TargetMode="External"/><Relationship  Id="rId3269" Type="http://schemas.openxmlformats.org/officeDocument/2006/relationships/hyperlink" Target="http://peregrine.ai" TargetMode="External"/><Relationship  Id="rId327" Type="http://schemas.openxmlformats.org/officeDocument/2006/relationships/hyperlink" Target="http://www.chezmarieclt.com" TargetMode="External"/><Relationship  Id="rId3270" Type="http://schemas.openxmlformats.org/officeDocument/2006/relationships/hyperlink" Target="http://www.linkedin.com/company/peregrine-ai" TargetMode="External"/><Relationship  Id="rId3271" Type="http://schemas.openxmlformats.org/officeDocument/2006/relationships/hyperlink" Target="http://www.linkedin.com/in/elif-dinc" TargetMode="External"/><Relationship  Id="rId3272" Type="http://schemas.openxmlformats.org/officeDocument/2006/relationships/hyperlink" Target="http://theraxel.fr" TargetMode="External"/><Relationship  Id="rId3273" Type="http://schemas.openxmlformats.org/officeDocument/2006/relationships/hyperlink" Target="http://www.linkedin.com/company/theraxel-point-forty-five" TargetMode="External"/><Relationship  Id="rId3274" Type="http://schemas.openxmlformats.org/officeDocument/2006/relationships/hyperlink" Target="http://www.linkedin.com/in/elodie-pastre-b7796593" TargetMode="External"/><Relationship  Id="rId3275" Type="http://schemas.openxmlformats.org/officeDocument/2006/relationships/hyperlink" Target="http://spirit-advisors.com" TargetMode="External"/><Relationship  Id="rId3276" Type="http://schemas.openxmlformats.org/officeDocument/2006/relationships/hyperlink" Target="http://www.linkedin.com/company/spiritadvisors" TargetMode="External"/><Relationship  Id="rId3277" Type="http://schemas.openxmlformats.org/officeDocument/2006/relationships/hyperlink" Target="http://www.linkedin.com/in/elodie-schocron-7995213" TargetMode="External"/><Relationship  Id="rId3278" Type="http://schemas.openxmlformats.org/officeDocument/2006/relationships/hyperlink" Target="http://fivo.fr" TargetMode="External"/><Relationship  Id="rId3279" Type="http://schemas.openxmlformats.org/officeDocument/2006/relationships/hyperlink" Target="http://www.linkedin.com/company/fivosecuriteincendie" TargetMode="External"/><Relationship  Id="rId328" Type="http://schemas.openxmlformats.org/officeDocument/2006/relationships/hyperlink" Target="http://www.linkedin.com/in/olivier-vernet-79bb9411" TargetMode="External"/><Relationship  Id="rId3280" Type="http://schemas.openxmlformats.org/officeDocument/2006/relationships/hyperlink" Target="https://www.facebook.com/Fivosecuriteincendie/" TargetMode="External"/><Relationship  Id="rId3281" Type="http://schemas.openxmlformats.org/officeDocument/2006/relationships/hyperlink" Target="http://www.linkedin.com/in/emmanuel-mignot-45474a3" TargetMode="External"/><Relationship  Id="rId3282" Type="http://schemas.openxmlformats.org/officeDocument/2006/relationships/hyperlink" Target="http://datapilot.fr" TargetMode="External"/><Relationship  Id="rId3283" Type="http://schemas.openxmlformats.org/officeDocument/2006/relationships/hyperlink" Target="http://www.linkedin.com/company/datapilot-fr" TargetMode="External"/><Relationship  Id="rId3284" Type="http://schemas.openxmlformats.org/officeDocument/2006/relationships/hyperlink" Target="http://www.linkedin.com/in/emilien-granger-10854b106" TargetMode="External"/><Relationship  Id="rId3285" Type="http://schemas.openxmlformats.org/officeDocument/2006/relationships/hyperlink" Target="http://atpr.fr" TargetMode="External"/><Relationship  Id="rId3286" Type="http://schemas.openxmlformats.org/officeDocument/2006/relationships/hyperlink" Target="http://www.linkedin.com/company/atpr" TargetMode="External"/><Relationship  Id="rId3287" Type="http://schemas.openxmlformats.org/officeDocument/2006/relationships/hyperlink" Target="http://www.linkedin.com/in/emmanuel-mas-ba345390" TargetMode="External"/><Relationship  Id="rId3288" Type="http://schemas.openxmlformats.org/officeDocument/2006/relationships/hyperlink" Target="http://techno-point.com" TargetMode="External"/><Relationship  Id="rId3289" Type="http://schemas.openxmlformats.org/officeDocument/2006/relationships/hyperlink" Target="http://www.linkedin.com/company/technopoint" TargetMode="External"/><Relationship  Id="rId329" Type="http://schemas.openxmlformats.org/officeDocument/2006/relationships/hyperlink" Target="http://www.hotelpigonnet.com" TargetMode="External"/><Relationship  Id="rId3290" Type="http://schemas.openxmlformats.org/officeDocument/2006/relationships/hyperlink" Target="http://www.linkedin.com/in/emmanuel-richard-ba87411" TargetMode="External"/><Relationship  Id="rId3291" Type="http://schemas.openxmlformats.org/officeDocument/2006/relationships/hyperlink" Target="http://www.linkedin.com/company/la-maison-d&apos;alfred" TargetMode="External"/><Relationship  Id="rId3292" Type="http://schemas.openxmlformats.org/officeDocument/2006/relationships/hyperlink" Target="https://twitter.com/ezecchini" TargetMode="External"/><Relationship  Id="rId3293" Type="http://schemas.openxmlformats.org/officeDocument/2006/relationships/hyperlink" Target="http://www.linkedin.com/in/emmanuelzecchini" TargetMode="External"/><Relationship  Id="rId3294" Type="http://schemas.openxmlformats.org/officeDocument/2006/relationships/hyperlink" Target="http://www.linkedin.com/company/pl%c3%a9iades" TargetMode="External"/><Relationship  Id="rId3295" Type="http://schemas.openxmlformats.org/officeDocument/2006/relationships/hyperlink" Target="http://www.linkedin.com/in/emmanuelle-jehanno-8035763" TargetMode="External"/><Relationship  Id="rId3296" Type="http://schemas.openxmlformats.org/officeDocument/2006/relationships/hyperlink" Target="http://inentech.fr" TargetMode="External"/><Relationship  Id="rId3297" Type="http://schemas.openxmlformats.org/officeDocument/2006/relationships/hyperlink" Target="http://www.linkedin.com/company/inentech" TargetMode="External"/><Relationship  Id="rId3298" Type="http://schemas.openxmlformats.org/officeDocument/2006/relationships/hyperlink" Target="http://www.linkedin.com/in/eric-carpentier-33462411" TargetMode="External"/><Relationship  Id="rId3299" Type="http://schemas.openxmlformats.org/officeDocument/2006/relationships/hyperlink" Target="http://nuabee.fr" TargetMode="External"/><Relationship  Id="rId33" Type="http://schemas.openxmlformats.org/officeDocument/2006/relationships/hyperlink" Target="http://www.linkedin.com/in/sara-brami-7352a217" TargetMode="External"/><Relationship  Id="rId330" Type="http://schemas.openxmlformats.org/officeDocument/2006/relationships/hyperlink" Target="http://www.linkedin.com/in/matthieu-barreau-53449554" TargetMode="External"/><Relationship  Id="rId3300" Type="http://schemas.openxmlformats.org/officeDocument/2006/relationships/hyperlink" Target="http://www.linkedin.com/company/nuabee" TargetMode="External"/><Relationship  Id="rId3301" Type="http://schemas.openxmlformats.org/officeDocument/2006/relationships/hyperlink" Target="http://www.linkedin.com/in/deronzier" TargetMode="External"/><Relationship  Id="rId3302" Type="http://schemas.openxmlformats.org/officeDocument/2006/relationships/hyperlink" Target="http://mobileo-telecom.fr" TargetMode="External"/><Relationship  Id="rId3303" Type="http://schemas.openxmlformats.org/officeDocument/2006/relationships/hyperlink" Target="http://www.linkedin.com/company/mobileo-telecom" TargetMode="External"/><Relationship  Id="rId3304" Type="http://schemas.openxmlformats.org/officeDocument/2006/relationships/hyperlink" Target="http://www.linkedin.com/in/eric-kffanto-042b843b" TargetMode="External"/><Relationship  Id="rId3305" Type="http://schemas.openxmlformats.org/officeDocument/2006/relationships/hyperlink" Target="http://www.linkedin.com/in/eric-martin-85813a6" TargetMode="External"/><Relationship  Id="rId3306" Type="http://schemas.openxmlformats.org/officeDocument/2006/relationships/hyperlink" Target="http://leclere.fr" TargetMode="External"/><Relationship  Id="rId3307" Type="http://schemas.openxmlformats.org/officeDocument/2006/relationships/hyperlink" Target="http://www.linkedin.com/company/leclere-sas" TargetMode="External"/><Relationship  Id="rId3308" Type="http://schemas.openxmlformats.org/officeDocument/2006/relationships/hyperlink" Target="https://www.facebook.com/leclere26/" TargetMode="External"/><Relationship  Id="rId3309" Type="http://schemas.openxmlformats.org/officeDocument/2006/relationships/hyperlink" Target="http://www.linkedin.com/in/eric-perret-65b889146" TargetMode="External"/><Relationship  Id="rId331" Type="http://schemas.openxmlformats.org/officeDocument/2006/relationships/hyperlink" Target="http://www.hotels-paris-rive-gauche.com" TargetMode="External"/><Relationship  Id="rId3310" Type="http://schemas.openxmlformats.org/officeDocument/2006/relationships/hyperlink" Target="http://drdata.io" TargetMode="External"/><Relationship  Id="rId3311" Type="http://schemas.openxmlformats.org/officeDocument/2006/relationships/hyperlink" Target="http://www.linkedin.com/company/drdata-sas" TargetMode="External"/><Relationship  Id="rId3312" Type="http://schemas.openxmlformats.org/officeDocument/2006/relationships/hyperlink" Target="http://www.linkedin.com/in/eric-tanneau-631883b7" TargetMode="External"/><Relationship  Id="rId3313" Type="http://schemas.openxmlformats.org/officeDocument/2006/relationships/hyperlink" Target="http://bimer.fr" TargetMode="External"/><Relationship  Id="rId3314" Type="http://schemas.openxmlformats.org/officeDocument/2006/relationships/hyperlink" Target="http://www.linkedin.com/company/bimer-services" TargetMode="External"/><Relationship  Id="rId3315" Type="http://schemas.openxmlformats.org/officeDocument/2006/relationships/hyperlink" Target="http://www.linkedin.com/in/ericmatifas" TargetMode="External"/><Relationship  Id="rId3316" Type="http://schemas.openxmlformats.org/officeDocument/2006/relationships/hyperlink" Target="http://digitizme.io" TargetMode="External"/><Relationship  Id="rId3317" Type="http://schemas.openxmlformats.org/officeDocument/2006/relationships/hyperlink" Target="http://www.linkedin.com/company/digitizme" TargetMode="External"/><Relationship  Id="rId3318" Type="http://schemas.openxmlformats.org/officeDocument/2006/relationships/hyperlink" Target="http://www.linkedin.com/in/chaixeric01" TargetMode="External"/><Relationship  Id="rId3319" Type="http://schemas.openxmlformats.org/officeDocument/2006/relationships/hyperlink" Target="http://tabfrance.fr" TargetMode="External"/><Relationship  Id="rId332" Type="http://schemas.openxmlformats.org/officeDocument/2006/relationships/hyperlink" Target="http://www.linkedin.com/in/yoann-gaudin-98b1b51b4" TargetMode="External"/><Relationship  Id="rId3320" Type="http://schemas.openxmlformats.org/officeDocument/2006/relationships/hyperlink" Target="http://www.linkedin.com/company/tabboardsentrepeneurs" TargetMode="External"/><Relationship  Id="rId3321" Type="http://schemas.openxmlformats.org/officeDocument/2006/relationships/hyperlink" Target="http://www.linkedin.com/in/eric-labruyere-3384a321" TargetMode="External"/><Relationship  Id="rId3322" Type="http://schemas.openxmlformats.org/officeDocument/2006/relationships/hyperlink" Target="http://groupe-innov.fr" TargetMode="External"/><Relationship  Id="rId3323" Type="http://schemas.openxmlformats.org/officeDocument/2006/relationships/hyperlink" Target="http://www.linkedin.com/company/groupe-innov" TargetMode="External"/><Relationship  Id="rId3324" Type="http://schemas.openxmlformats.org/officeDocument/2006/relationships/hyperlink" Target="http://www.linkedin.com/in/elie-sebban-028599127" TargetMode="External"/><Relationship  Id="rId3325" Type="http://schemas.openxmlformats.org/officeDocument/2006/relationships/hyperlink" Target="http://eutech.fr" TargetMode="External"/><Relationship  Id="rId3326" Type="http://schemas.openxmlformats.org/officeDocument/2006/relationships/hyperlink" Target="http://www.linkedin.com/company/eutech" TargetMode="External"/><Relationship  Id="rId3327" Type="http://schemas.openxmlformats.org/officeDocument/2006/relationships/hyperlink" Target="http://www.linkedin.com/in/ernesto-soares-2371423" TargetMode="External"/><Relationship  Id="rId3328" Type="http://schemas.openxmlformats.org/officeDocument/2006/relationships/hyperlink" Target="http://regata.fr" TargetMode="External"/><Relationship  Id="rId3329" Type="http://schemas.openxmlformats.org/officeDocument/2006/relationships/hyperlink" Target="http://www.linkedin.com/company/regatafrance" TargetMode="External"/><Relationship  Id="rId333" Type="http://schemas.openxmlformats.org/officeDocument/2006/relationships/hyperlink" Target="http://www.faubourg.fr" TargetMode="External"/><Relationship  Id="rId3330" Type="http://schemas.openxmlformats.org/officeDocument/2006/relationships/hyperlink" Target="https://www.facebook.com/Regata.officiel" TargetMode="External"/><Relationship  Id="rId3331" Type="http://schemas.openxmlformats.org/officeDocument/2006/relationships/hyperlink" Target="http://www.linkedin.com/in/etienne-le-priol-4913228a" TargetMode="External"/><Relationship  Id="rId3332" Type="http://schemas.openxmlformats.org/officeDocument/2006/relationships/hyperlink" Target="http://www.linkedin.com/in/loirp" TargetMode="External"/><Relationship  Id="rId3333" Type="http://schemas.openxmlformats.org/officeDocument/2006/relationships/hyperlink" Target="http://www.linkedin.com/company/wearesupercolor" TargetMode="External"/><Relationship  Id="rId3334" Type="http://schemas.openxmlformats.org/officeDocument/2006/relationships/hyperlink" Target="https://www.twitter.com/wearesupercolor" TargetMode="External"/><Relationship  Id="rId3335" Type="http://schemas.openxmlformats.org/officeDocument/2006/relationships/hyperlink" Target="https://www.facebook.com/supercolor.cool" TargetMode="External"/><Relationship  Id="rId3336" Type="http://schemas.openxmlformats.org/officeDocument/2006/relationships/hyperlink" Target="http://www.linkedin.com/in/etiennedumas" TargetMode="External"/><Relationship  Id="rId3337" Type="http://schemas.openxmlformats.org/officeDocument/2006/relationships/hyperlink" Target="http://groupe-freecom.fr" TargetMode="External"/><Relationship  Id="rId3338" Type="http://schemas.openxmlformats.org/officeDocument/2006/relationships/hyperlink" Target="http://www.linkedin.com/company/groupe-freecom" TargetMode="External"/><Relationship  Id="rId3339" Type="http://schemas.openxmlformats.org/officeDocument/2006/relationships/hyperlink" Target="https://www.facebook.com/groupe.freecom/" TargetMode="External"/><Relationship  Id="rId334" Type="http://schemas.openxmlformats.org/officeDocument/2006/relationships/hyperlink" Target="http://www.linkedin.com/in/kais-aissa-200ab887" TargetMode="External"/><Relationship  Id="rId3340" Type="http://schemas.openxmlformats.org/officeDocument/2006/relationships/hyperlink" Target="http://www.linkedin.com/in/fran%c3%a7ois-benard-73748ab4" TargetMode="External"/><Relationship  Id="rId3341" Type="http://schemas.openxmlformats.org/officeDocument/2006/relationships/hyperlink" Target="http://alpha-cim.com" TargetMode="External"/><Relationship  Id="rId3342" Type="http://schemas.openxmlformats.org/officeDocument/2006/relationships/hyperlink" Target="http://www.linkedin.com/company/alpha-cim" TargetMode="External"/><Relationship  Id="rId3343" Type="http://schemas.openxmlformats.org/officeDocument/2006/relationships/hyperlink" Target="http://www.linkedin.com/in/francoise-boucarut-82418871" TargetMode="External"/><Relationship  Id="rId3344" Type="http://schemas.openxmlformats.org/officeDocument/2006/relationships/hyperlink" Target="http://nivalis-conseil.fr" TargetMode="External"/><Relationship  Id="rId3345" Type="http://schemas.openxmlformats.org/officeDocument/2006/relationships/hyperlink" Target="http://www.linkedin.com/company/nivalis-conseil" TargetMode="External"/><Relationship  Id="rId3346" Type="http://schemas.openxmlformats.org/officeDocument/2006/relationships/hyperlink" Target="http://facebook.com/NivalisC" TargetMode="External"/><Relationship  Id="rId3347" Type="http://schemas.openxmlformats.org/officeDocument/2006/relationships/hyperlink" Target="http://www.linkedin.com/in/fabienne-ciron-852199104" TargetMode="External"/><Relationship  Id="rId3348" Type="http://schemas.openxmlformats.org/officeDocument/2006/relationships/hyperlink" Target="http://itelia.fr" TargetMode="External"/><Relationship  Id="rId3349" Type="http://schemas.openxmlformats.org/officeDocument/2006/relationships/hyperlink" Target="http://www.linkedin.com/company/iteliat-l-com" TargetMode="External"/><Relationship  Id="rId335" Type="http://schemas.openxmlformats.org/officeDocument/2006/relationships/hyperlink" Target="http://www.burger-world.fr" TargetMode="External"/><Relationship  Id="rId3350" Type="http://schemas.openxmlformats.org/officeDocument/2006/relationships/hyperlink" Target="https://www.facebook.com/Iteliatelecom/" TargetMode="External"/><Relationship  Id="rId3351" Type="http://schemas.openxmlformats.org/officeDocument/2006/relationships/hyperlink" Target="http://www.linkedin.com/in/fabien-duffes-01367a105" TargetMode="External"/><Relationship  Id="rId3352" Type="http://schemas.openxmlformats.org/officeDocument/2006/relationships/hyperlink" Target="http://best-telecom.fr" TargetMode="External"/><Relationship  Id="rId3353" Type="http://schemas.openxmlformats.org/officeDocument/2006/relationships/hyperlink" Target="http://www.linkedin.com/company/best-telecom-reseaux" TargetMode="External"/><Relationship  Id="rId3354" Type="http://schemas.openxmlformats.org/officeDocument/2006/relationships/hyperlink" Target="http://www.linkedin.com/in/fredericfouche" TargetMode="External"/><Relationship  Id="rId3355" Type="http://schemas.openxmlformats.org/officeDocument/2006/relationships/hyperlink" Target="http://geometre-expert-paris.fr" TargetMode="External"/><Relationship  Id="rId3356" Type="http://schemas.openxmlformats.org/officeDocument/2006/relationships/hyperlink" Target="http://www.linkedin.com/company/ge3d---g%c3%a9om%c3%a8tres-experts-associ%c3%a9s" TargetMode="External"/><Relationship  Id="rId3357" Type="http://schemas.openxmlformats.org/officeDocument/2006/relationships/hyperlink" Target="http://www.linkedin.com/in/florian-herv%c3%a9-a389a742" TargetMode="External"/><Relationship  Id="rId3358" Type="http://schemas.openxmlformats.org/officeDocument/2006/relationships/hyperlink" Target="http://www.linkedin.com/company/stellagroup1" TargetMode="External"/><Relationship  Id="rId3359" Type="http://schemas.openxmlformats.org/officeDocument/2006/relationships/hyperlink" Target="http://www.linkedin.com/in/frank-sch%c3%a4dlich-b0051314b" TargetMode="External"/><Relationship  Id="rId336" Type="http://schemas.openxmlformats.org/officeDocument/2006/relationships/hyperlink" Target="http://www.linkedin.com/in/c%c3%a9sar-lassarat-4b34311a" TargetMode="External"/><Relationship  Id="rId3360" Type="http://schemas.openxmlformats.org/officeDocument/2006/relationships/hyperlink" Target="http://www.linkedin.com/company/isitecc" TargetMode="External"/><Relationship  Id="rId3361" Type="http://schemas.openxmlformats.org/officeDocument/2006/relationships/hyperlink" Target="http://www.linkedin.com/in/florent-tonson-527b5854" TargetMode="External"/><Relationship  Id="rId3362" Type="http://schemas.openxmlformats.org/officeDocument/2006/relationships/hyperlink" Target="http://hanabi-consulting.com" TargetMode="External"/><Relationship  Id="rId3363" Type="http://schemas.openxmlformats.org/officeDocument/2006/relationships/hyperlink" Target="http://www.linkedin.com/company/we-are-hanabi" TargetMode="External"/><Relationship  Id="rId3364" Type="http://schemas.openxmlformats.org/officeDocument/2006/relationships/hyperlink" Target="http://www.linkedin.com/in/fabien-donadey-4a4b4a3b" TargetMode="External"/><Relationship  Id="rId3365" Type="http://schemas.openxmlformats.org/officeDocument/2006/relationships/hyperlink" Target="http://phoenix-fleetexpert.com" TargetMode="External"/><Relationship  Id="rId3366" Type="http://schemas.openxmlformats.org/officeDocument/2006/relationships/hyperlink" Target="http://www.linkedin.com/company/phoenixdeveloppement" TargetMode="External"/><Relationship  Id="rId3367" Type="http://schemas.openxmlformats.org/officeDocument/2006/relationships/hyperlink" Target="http://www.linkedin.com/in/fabien-goussault-29551191" TargetMode="External"/><Relationship  Id="rId3368" Type="http://schemas.openxmlformats.org/officeDocument/2006/relationships/hyperlink" Target="http://qonex.fr" TargetMode="External"/><Relationship  Id="rId3369" Type="http://schemas.openxmlformats.org/officeDocument/2006/relationships/hyperlink" Target="http://www.linkedin.com/company/qonexgroup" TargetMode="External"/><Relationship  Id="rId337" Type="http://schemas.openxmlformats.org/officeDocument/2006/relationships/hyperlink" Target="http://www.wdlhotels.com" TargetMode="External"/><Relationship  Id="rId3370" Type="http://schemas.openxmlformats.org/officeDocument/2006/relationships/hyperlink" Target="http://www.linkedin.com/in/fabien-henaff" TargetMode="External"/><Relationship  Id="rId3371" Type="http://schemas.openxmlformats.org/officeDocument/2006/relationships/hyperlink" Target="http://vision-si.com" TargetMode="External"/><Relationship  Id="rId3372" Type="http://schemas.openxmlformats.org/officeDocument/2006/relationships/hyperlink" Target="http://www.linkedin.com/company/visionsi" TargetMode="External"/><Relationship  Id="rId3373" Type="http://schemas.openxmlformats.org/officeDocument/2006/relationships/hyperlink" Target="http://www.linkedin.com/in/fabien-girault-visionsi" TargetMode="External"/><Relationship  Id="rId3374" Type="http://schemas.openxmlformats.org/officeDocument/2006/relationships/hyperlink" Target="http://ecom-cs.com" TargetMode="External"/><Relationship  Id="rId3375" Type="http://schemas.openxmlformats.org/officeDocument/2006/relationships/hyperlink" Target="http://www.linkedin.com/company/ecom-cs" TargetMode="External"/><Relationship  Id="rId3376" Type="http://schemas.openxmlformats.org/officeDocument/2006/relationships/hyperlink" Target="http://www.linkedin.com/in/fabrice-poiraud-lambert-04a2a9" TargetMode="External"/><Relationship  Id="rId3377" Type="http://schemas.openxmlformats.org/officeDocument/2006/relationships/hyperlink" Target="http://valocime.fr" TargetMode="External"/><Relationship  Id="rId3378" Type="http://schemas.openxmlformats.org/officeDocument/2006/relationships/hyperlink" Target="http://www.linkedin.com/company/valoc%c3%aeme" TargetMode="External"/><Relationship  Id="rId3379" Type="http://schemas.openxmlformats.org/officeDocument/2006/relationships/hyperlink" Target="http://www.linkedin.com/in/fboyer" TargetMode="External"/><Relationship  Id="rId338" Type="http://schemas.openxmlformats.org/officeDocument/2006/relationships/hyperlink" Target="http://www.linkedin.com/in/joelferaud" TargetMode="External"/><Relationship  Id="rId3380" Type="http://schemas.openxmlformats.org/officeDocument/2006/relationships/hyperlink" Target="http://sprid.fr" TargetMode="External"/><Relationship  Id="rId3381" Type="http://schemas.openxmlformats.org/officeDocument/2006/relationships/hyperlink" Target="http://www.linkedin.com/company/sprid-peinture" TargetMode="External"/><Relationship  Id="rId3382" Type="http://schemas.openxmlformats.org/officeDocument/2006/relationships/hyperlink" Target="http://www.linkedin.com/in/fr%c3%a9d%c3%a9ric-duchenne-3713906b" TargetMode="External"/><Relationship  Id="rId3383" Type="http://schemas.openxmlformats.org/officeDocument/2006/relationships/hyperlink" Target="http://regate.fr" TargetMode="External"/><Relationship  Id="rId3384" Type="http://schemas.openxmlformats.org/officeDocument/2006/relationships/hyperlink" Target="http://www.linkedin.com/company/regate-coop%c3%a9ratives-d-entrepreneurs" TargetMode="External"/><Relationship  Id="rId3385" Type="http://schemas.openxmlformats.org/officeDocument/2006/relationships/hyperlink" Target="https://www.facebook.com/CaeRegateRegabat" TargetMode="External"/><Relationship  Id="rId3386" Type="http://schemas.openxmlformats.org/officeDocument/2006/relationships/hyperlink" Target="http://www.linkedin.com/in/felicie-domene-0a569682" TargetMode="External"/><Relationship  Id="rId3387" Type="http://schemas.openxmlformats.org/officeDocument/2006/relationships/hyperlink" Target="http://www.linkedin.com/company/pod-consulting-paris" TargetMode="External"/><Relationship  Id="rId3388" Type="http://schemas.openxmlformats.org/officeDocument/2006/relationships/hyperlink" Target="http://www.linkedin.com/in/fabienne-elliott-99233ab9" TargetMode="External"/><Relationship  Id="rId3389" Type="http://schemas.openxmlformats.org/officeDocument/2006/relationships/hyperlink" Target="http://concorde-associes.fr" TargetMode="External"/><Relationship  Id="rId339" Type="http://schemas.openxmlformats.org/officeDocument/2006/relationships/hyperlink" Target="http://www.tonneau-gourmand.fr" TargetMode="External"/><Relationship  Id="rId3390" Type="http://schemas.openxmlformats.org/officeDocument/2006/relationships/hyperlink" Target="http://www.linkedin.com/company/concorde-associes" TargetMode="External"/><Relationship  Id="rId3391" Type="http://schemas.openxmlformats.org/officeDocument/2006/relationships/hyperlink" Target="http://www.linkedin.com/in/fr%c3%a9d%c3%a9ric-francois-30ba4812" TargetMode="External"/><Relationship  Id="rId3392" Type="http://schemas.openxmlformats.org/officeDocument/2006/relationships/hyperlink" Target="http://champagnerepro.fr" TargetMode="External"/><Relationship  Id="rId3393" Type="http://schemas.openxmlformats.org/officeDocument/2006/relationships/hyperlink" Target="http://www.linkedin.com/company/digitaliance51350" TargetMode="External"/><Relationship  Id="rId3394" Type="http://schemas.openxmlformats.org/officeDocument/2006/relationships/hyperlink" Target="http://www.linkedin.com/in/fran%c3%a7ois-gardebled-28a65b10" TargetMode="External"/><Relationship  Id="rId3395" Type="http://schemas.openxmlformats.org/officeDocument/2006/relationships/hyperlink" Target="http://neotess.fr" TargetMode="External"/><Relationship  Id="rId3396" Type="http://schemas.openxmlformats.org/officeDocument/2006/relationships/hyperlink" Target="http://www.linkedin.com/company/neotess" TargetMode="External"/><Relationship  Id="rId3397" Type="http://schemas.openxmlformats.org/officeDocument/2006/relationships/hyperlink" Target="https://twitter.com/neotess" TargetMode="External"/><Relationship  Id="rId3398" Type="http://schemas.openxmlformats.org/officeDocument/2006/relationships/hyperlink" Target="https://fr-fr.facebook.com/NeotessAffichageDynamique/" TargetMode="External"/><Relationship  Id="rId3399" Type="http://schemas.openxmlformats.org/officeDocument/2006/relationships/hyperlink" Target="http://www.linkedin.com/in/franckgotte" TargetMode="External"/><Relationship  Id="rId34" Type="http://schemas.openxmlformats.org/officeDocument/2006/relationships/hyperlink" Target="http://www.orea-management.com" TargetMode="External"/><Relationship  Id="rId340" Type="http://schemas.openxmlformats.org/officeDocument/2006/relationships/hyperlink" Target="http://www.linkedin.com/in/paul-peillex-26b637293" TargetMode="External"/><Relationship  Id="rId3400" Type="http://schemas.openxmlformats.org/officeDocument/2006/relationships/hyperlink" Target="http://www.linkedin.com/company/telesure" TargetMode="External"/><Relationship  Id="rId3401" Type="http://schemas.openxmlformats.org/officeDocument/2006/relationships/hyperlink" Target="http://www.linkedin.com/in/franck-lebled-telesure-7ab248158" TargetMode="External"/><Relationship  Id="rId3402" Type="http://schemas.openxmlformats.org/officeDocument/2006/relationships/hyperlink" Target="http://icdint.fr" TargetMode="External"/><Relationship  Id="rId3403" Type="http://schemas.openxmlformats.org/officeDocument/2006/relationships/hyperlink" Target="http://www.linkedin.com/company/icd-international-icdsc" TargetMode="External"/><Relationship  Id="rId3404" Type="http://schemas.openxmlformats.org/officeDocument/2006/relationships/hyperlink" Target="http://www.linkedin.com/in/florence-naudin-7044ba21" TargetMode="External"/><Relationship  Id="rId3405" Type="http://schemas.openxmlformats.org/officeDocument/2006/relationships/hyperlink" Target="http://enence.fr" TargetMode="External"/><Relationship  Id="rId3406" Type="http://schemas.openxmlformats.org/officeDocument/2006/relationships/hyperlink" Target="http://www.linkedin.com/company/enence-ingenierie-industrie-travaux-recrutement-achats-hse-petrole-gaz-oil-tuyauterie-supervision" TargetMode="External"/><Relationship  Id="rId3407" Type="http://schemas.openxmlformats.org/officeDocument/2006/relationships/hyperlink" Target="https://twitter.com/EnenceIndustrie" TargetMode="External"/><Relationship  Id="rId3408" Type="http://schemas.openxmlformats.org/officeDocument/2006/relationships/hyperlink" Target="http://www.linkedin.com/in/florence-dibon" TargetMode="External"/><Relationship  Id="rId3409" Type="http://schemas.openxmlformats.org/officeDocument/2006/relationships/hyperlink" Target="http://izhak.fr" TargetMode="External"/><Relationship  Id="rId341" Type="http://schemas.openxmlformats.org/officeDocument/2006/relationships/hyperlink" Target="http://www.my-wok.com" TargetMode="External"/><Relationship  Id="rId3410" Type="http://schemas.openxmlformats.org/officeDocument/2006/relationships/hyperlink" Target="http://www.linkedin.com/company/izhak" TargetMode="External"/><Relationship  Id="rId3411" Type="http://schemas.openxmlformats.org/officeDocument/2006/relationships/hyperlink" Target="https://twitter.com/izhak_agency" TargetMode="External"/><Relationship  Id="rId3412" Type="http://schemas.openxmlformats.org/officeDocument/2006/relationships/hyperlink" Target="https://www.facebook.com/izhakagency" TargetMode="External"/><Relationship  Id="rId3413" Type="http://schemas.openxmlformats.org/officeDocument/2006/relationships/hyperlink" Target="http://www.linkedin.com/in/florence-lickel-a285a732" TargetMode="External"/><Relationship  Id="rId3414" Type="http://schemas.openxmlformats.org/officeDocument/2006/relationships/hyperlink" Target="http://www.linkedin.com/company/lunabeestudio" TargetMode="External"/><Relationship  Id="rId3415" Type="http://schemas.openxmlformats.org/officeDocument/2006/relationships/hyperlink" Target="https://twitter.com/lunabeeStudio" TargetMode="External"/><Relationship  Id="rId3416" Type="http://schemas.openxmlformats.org/officeDocument/2006/relationships/hyperlink" Target="https://www.facebook.com/lunabeeStudio" TargetMode="External"/><Relationship  Id="rId3417" Type="http://schemas.openxmlformats.org/officeDocument/2006/relationships/hyperlink" Target="http://www.linkedin.com/in/florian-n-gbala-7b8b18154" TargetMode="External"/><Relationship  Id="rId3418" Type="http://schemas.openxmlformats.org/officeDocument/2006/relationships/hyperlink" Target="http://hozzeo.com" TargetMode="External"/><Relationship  Id="rId3419" Type="http://schemas.openxmlformats.org/officeDocument/2006/relationships/hyperlink" Target="http://www.linkedin.com/company/hozzeo-group" TargetMode="External"/><Relationship  Id="rId342" Type="http://schemas.openxmlformats.org/officeDocument/2006/relationships/hyperlink" Target="http://www.linkedin.com/in/fanny-dubus-5ab993240" TargetMode="External"/><Relationship  Id="rId3420" Type="http://schemas.openxmlformats.org/officeDocument/2006/relationships/hyperlink" Target="http://www.linkedin.com/in/florian-ondel-17a24911b" TargetMode="External"/><Relationship  Id="rId3421" Type="http://schemas.openxmlformats.org/officeDocument/2006/relationships/hyperlink" Target="http://astridsen.com" TargetMode="External"/><Relationship  Id="rId3422" Type="http://schemas.openxmlformats.org/officeDocument/2006/relationships/hyperlink" Target="http://www.linkedin.com/company/astridsen" TargetMode="External"/><Relationship  Id="rId3423" Type="http://schemas.openxmlformats.org/officeDocument/2006/relationships/hyperlink" Target="http://www.linkedin.com/in/florian-poilbout-2a394663" TargetMode="External"/><Relationship  Id="rId3424" Type="http://schemas.openxmlformats.org/officeDocument/2006/relationships/hyperlink" Target="http://cti-sa.fr" TargetMode="External"/><Relationship  Id="rId3425" Type="http://schemas.openxmlformats.org/officeDocument/2006/relationships/hyperlink" Target="http://www.linkedin.com/company/cti-chaulnes-textiles-industries-" TargetMode="External"/><Relationship  Id="rId3426" Type="http://schemas.openxmlformats.org/officeDocument/2006/relationships/hyperlink" Target="https://www.facebook.com/omydreamfr/" TargetMode="External"/><Relationship  Id="rId3427" Type="http://schemas.openxmlformats.org/officeDocument/2006/relationships/hyperlink" Target="http://www.linkedin.com/in/fabienne-motteroz-0088352a" TargetMode="External"/><Relationship  Id="rId3428" Type="http://schemas.openxmlformats.org/officeDocument/2006/relationships/hyperlink" Target="http://tecodata.fr" TargetMode="External"/><Relationship  Id="rId3429" Type="http://schemas.openxmlformats.org/officeDocument/2006/relationships/hyperlink" Target="http://www.linkedin.com/company/tecodata" TargetMode="External"/><Relationship  Id="rId343" Type="http://schemas.openxmlformats.org/officeDocument/2006/relationships/hyperlink" Target="http://www.restaurant-made.com" TargetMode="External"/><Relationship  Id="rId3430" Type="http://schemas.openxmlformats.org/officeDocument/2006/relationships/hyperlink" Target="http://www.linkedin.com/in/faouzi-mourali-8b51956a" TargetMode="External"/><Relationship  Id="rId3431" Type="http://schemas.openxmlformats.org/officeDocument/2006/relationships/hyperlink" Target="http://ygl-consulting.com" TargetMode="External"/><Relationship  Id="rId3432" Type="http://schemas.openxmlformats.org/officeDocument/2006/relationships/hyperlink" Target="http://www.linkedin.com/company/ygl-consulting" TargetMode="External"/><Relationship  Id="rId3433" Type="http://schemas.openxmlformats.org/officeDocument/2006/relationships/hyperlink" Target="https://twitter.com/yglconsulting" TargetMode="External"/><Relationship  Id="rId3434" Type="http://schemas.openxmlformats.org/officeDocument/2006/relationships/hyperlink" Target="https://www.facebook.com/yglconsulting" TargetMode="External"/><Relationship  Id="rId3435" Type="http://schemas.openxmlformats.org/officeDocument/2006/relationships/hyperlink" Target="http://www.linkedin.com/in/franck-zana" TargetMode="External"/><Relationship  Id="rId3436" Type="http://schemas.openxmlformats.org/officeDocument/2006/relationships/hyperlink" Target="http://market-office.com" TargetMode="External"/><Relationship  Id="rId3437" Type="http://schemas.openxmlformats.org/officeDocument/2006/relationships/hyperlink" Target="http://www.linkedin.com/company/marketoffice" TargetMode="External"/><Relationship  Id="rId3438" Type="http://schemas.openxmlformats.org/officeDocument/2006/relationships/hyperlink" Target="https://facebook.com/market.office.fr" TargetMode="External"/><Relationship  Id="rId3439" Type="http://schemas.openxmlformats.org/officeDocument/2006/relationships/hyperlink" Target="http://www.linkedin.com/in/franck-agier-30a550b5" TargetMode="External"/><Relationship  Id="rId344" Type="http://schemas.openxmlformats.org/officeDocument/2006/relationships/hyperlink" Target="http://www.linkedin.com/in/ludivine-royannez" TargetMode="External"/><Relationship  Id="rId3440" Type="http://schemas.openxmlformats.org/officeDocument/2006/relationships/hyperlink" Target="http://moove-si.com" TargetMode="External"/><Relationship  Id="rId3441" Type="http://schemas.openxmlformats.org/officeDocument/2006/relationships/hyperlink" Target="http://www.linkedin.com/company/moove-si" TargetMode="External"/><Relationship  Id="rId3442" Type="http://schemas.openxmlformats.org/officeDocument/2006/relationships/hyperlink" Target="http://www.linkedin.com/in/franckritter" TargetMode="External"/><Relationship  Id="rId3443" Type="http://schemas.openxmlformats.org/officeDocument/2006/relationships/hyperlink" Target="http://cira-technologie.com" TargetMode="External"/><Relationship  Id="rId3444" Type="http://schemas.openxmlformats.org/officeDocument/2006/relationships/hyperlink" Target="http://www.linkedin.com/company/cira-technologie" TargetMode="External"/><Relationship  Id="rId3445" Type="http://schemas.openxmlformats.org/officeDocument/2006/relationships/hyperlink" Target="http://www.linkedin.com/in/franckrivet" TargetMode="External"/><Relationship  Id="rId3446" Type="http://schemas.openxmlformats.org/officeDocument/2006/relationships/hyperlink" Target="http://overlap-factory.com" TargetMode="External"/><Relationship  Id="rId3447" Type="http://schemas.openxmlformats.org/officeDocument/2006/relationships/hyperlink" Target="http://www.linkedin.com/company/theoverlapfactory" TargetMode="External"/><Relationship  Id="rId3448" Type="http://schemas.openxmlformats.org/officeDocument/2006/relationships/hyperlink" Target="http://www.linkedin.com/in/fran%c3%a7ois-xavier-goemaere-538aa2a1" TargetMode="External"/><Relationship  Id="rId3449" Type="http://schemas.openxmlformats.org/officeDocument/2006/relationships/hyperlink" Target="http://ducatillon.com" TargetMode="External"/><Relationship  Id="rId345" Type="http://schemas.openxmlformats.org/officeDocument/2006/relationships/hyperlink" Target="http://www.equilibres-cafe.fr" TargetMode="External"/><Relationship  Id="rId3450" Type="http://schemas.openxmlformats.org/officeDocument/2006/relationships/hyperlink" Target="http://www.linkedin.com/company/ducatillon" TargetMode="External"/><Relationship  Id="rId3451" Type="http://schemas.openxmlformats.org/officeDocument/2006/relationships/hyperlink" Target="https://fr-fr.facebook.com/pages/Etablissements-Ducatillon/148480065182964" TargetMode="External"/><Relationship  Id="rId3452" Type="http://schemas.openxmlformats.org/officeDocument/2006/relationships/hyperlink" Target="http://www.linkedin.com/in/fmichalski" TargetMode="External"/><Relationship  Id="rId3453" Type="http://schemas.openxmlformats.org/officeDocument/2006/relationships/hyperlink" Target="http://modalbgroup.com" TargetMode="External"/><Relationship  Id="rId3454" Type="http://schemas.openxmlformats.org/officeDocument/2006/relationships/hyperlink" Target="http://www.linkedin.com/company/modalb" TargetMode="External"/><Relationship  Id="rId3455" Type="http://schemas.openxmlformats.org/officeDocument/2006/relationships/hyperlink" Target="https://twitter.com/_modalb" TargetMode="External"/><Relationship  Id="rId3456" Type="http://schemas.openxmlformats.org/officeDocument/2006/relationships/hyperlink" Target="http://www.linkedin.com/in/fran%c3%a7ois-michel-225318172" TargetMode="External"/><Relationship  Id="rId3457" Type="http://schemas.openxmlformats.org/officeDocument/2006/relationships/hyperlink" Target="http://getalead.co" TargetMode="External"/><Relationship  Id="rId3458" Type="http://schemas.openxmlformats.org/officeDocument/2006/relationships/hyperlink" Target="http://www.linkedin.com/company/getalead" TargetMode="External"/><Relationship  Id="rId3459" Type="http://schemas.openxmlformats.org/officeDocument/2006/relationships/hyperlink" Target="http://www.linkedin.com/in/francois-alonge-33048245" TargetMode="External"/><Relationship  Id="rId346" Type="http://schemas.openxmlformats.org/officeDocument/2006/relationships/hyperlink" Target="http://www.linkedin.com/in/benjaminattal" TargetMode="External"/><Relationship  Id="rId3460" Type="http://schemas.openxmlformats.org/officeDocument/2006/relationships/hyperlink" Target="http://tamtam.ai" TargetMode="External"/><Relationship  Id="rId3461" Type="http://schemas.openxmlformats.org/officeDocument/2006/relationships/hyperlink" Target="http://www.linkedin.com/company/tamtam-ai" TargetMode="External"/><Relationship  Id="rId3462" Type="http://schemas.openxmlformats.org/officeDocument/2006/relationships/hyperlink" Target="http://www.linkedin.com/in/francoismisslin" TargetMode="External"/><Relationship  Id="rId3463" Type="http://schemas.openxmlformats.org/officeDocument/2006/relationships/hyperlink" Target="http://vpfrance.fr" TargetMode="External"/><Relationship  Id="rId3464" Type="http://schemas.openxmlformats.org/officeDocument/2006/relationships/hyperlink" Target="http://www.linkedin.com/company/vp-cie" TargetMode="External"/><Relationship  Id="rId3465" Type="http://schemas.openxmlformats.org/officeDocument/2006/relationships/hyperlink" Target="https://www.facebook.com/VPFrance.Gard" TargetMode="External"/><Relationship  Id="rId3466" Type="http://schemas.openxmlformats.org/officeDocument/2006/relationships/hyperlink" Target="http://www.linkedin.com/in/fred-rouvin-7b411070" TargetMode="External"/><Relationship  Id="rId3467" Type="http://schemas.openxmlformats.org/officeDocument/2006/relationships/hyperlink" Target="http://enovea.net" TargetMode="External"/><Relationship  Id="rId3468" Type="http://schemas.openxmlformats.org/officeDocument/2006/relationships/hyperlink" Target="http://www.linkedin.com/company/enovea" TargetMode="External"/><Relationship  Id="rId3469" Type="http://schemas.openxmlformats.org/officeDocument/2006/relationships/hyperlink" Target="http://www.linkedin.com/in/frederic-darbel-43033125" TargetMode="External"/><Relationship  Id="rId347" Type="http://schemas.openxmlformats.org/officeDocument/2006/relationships/hyperlink" Target="http://www.frankshotdog.fr" TargetMode="External"/><Relationship  Id="rId3470" Type="http://schemas.openxmlformats.org/officeDocument/2006/relationships/hyperlink" Target="http://origalys.com" TargetMode="External"/><Relationship  Id="rId3471" Type="http://schemas.openxmlformats.org/officeDocument/2006/relationships/hyperlink" Target="http://www.linkedin.com/company/origalys-electrochem-sas" TargetMode="External"/><Relationship  Id="rId3472" Type="http://schemas.openxmlformats.org/officeDocument/2006/relationships/hyperlink" Target="https://twitter.com/origalys" TargetMode="External"/><Relationship  Id="rId3473" Type="http://schemas.openxmlformats.org/officeDocument/2006/relationships/hyperlink" Target="https://www.facebook.com/OrigaLys.ElectroChem.SAS/" TargetMode="External"/><Relationship  Id="rId3474" Type="http://schemas.openxmlformats.org/officeDocument/2006/relationships/hyperlink" Target="http://www.linkedin.com/in/fr%c3%a9d%c3%a9ric-dussaut-b1029250" TargetMode="External"/><Relationship  Id="rId3475" Type="http://schemas.openxmlformats.org/officeDocument/2006/relationships/hyperlink" Target="http://viragegroup.com" TargetMode="External"/><Relationship  Id="rId3476" Type="http://schemas.openxmlformats.org/officeDocument/2006/relationships/hyperlink" Target="http://www.linkedin.com/company/virage-group" TargetMode="External"/><Relationship  Id="rId3477" Type="http://schemas.openxmlformats.org/officeDocument/2006/relationships/hyperlink" Target="https://twitter.com/viragegroup" TargetMode="External"/><Relationship  Id="rId3478" Type="http://schemas.openxmlformats.org/officeDocument/2006/relationships/hyperlink" Target="https://facebook.com/pages/Virage-Group/399990920106100" TargetMode="External"/><Relationship  Id="rId3479" Type="http://schemas.openxmlformats.org/officeDocument/2006/relationships/hyperlink" Target="http://www.linkedin.com/in/frederic-monomakhoff-211b721a" TargetMode="External"/><Relationship  Id="rId348" Type="http://schemas.openxmlformats.org/officeDocument/2006/relationships/hyperlink" Target="http://www.linkedin.com/in/helenete" TargetMode="External"/><Relationship  Id="rId3480" Type="http://schemas.openxmlformats.org/officeDocument/2006/relationships/hyperlink" Target="http://aoc.fr" TargetMode="External"/><Relationship  Id="rId3481" Type="http://schemas.openxmlformats.org/officeDocument/2006/relationships/hyperlink" Target="http://www.linkedin.com/company/allovercloud" TargetMode="External"/><Relationship  Id="rId3482" Type="http://schemas.openxmlformats.org/officeDocument/2006/relationships/hyperlink" Target="http://www.linkedin.com/in/frederic-papleux-434861" TargetMode="External"/><Relationship  Id="rId3483" Type="http://schemas.openxmlformats.org/officeDocument/2006/relationships/hyperlink" Target="http://quadrinov.com" TargetMode="External"/><Relationship  Id="rId3484" Type="http://schemas.openxmlformats.org/officeDocument/2006/relationships/hyperlink" Target="http://www.linkedin.com/company/quadrinov" TargetMode="External"/><Relationship  Id="rId3485" Type="http://schemas.openxmlformats.org/officeDocument/2006/relationships/hyperlink" Target="http://www.linkedin.com/in/fr%c3%a9d%c3%a9ric-pichaud-842425a0" TargetMode="External"/><Relationship  Id="rId3486" Type="http://schemas.openxmlformats.org/officeDocument/2006/relationships/hyperlink" Target="http://prodigyus.fr" TargetMode="External"/><Relationship  Id="rId3487" Type="http://schemas.openxmlformats.org/officeDocument/2006/relationships/hyperlink" Target="http://www.linkedin.com/company/prodigyus" TargetMode="External"/><Relationship  Id="rId3488" Type="http://schemas.openxmlformats.org/officeDocument/2006/relationships/hyperlink" Target="http://www.linkedin.com/in/fr%c3%a9d%c3%a9ric-remoleux-041900128" TargetMode="External"/><Relationship  Id="rId3489" Type="http://schemas.openxmlformats.org/officeDocument/2006/relationships/hyperlink" Target="http://lumens-box.com" TargetMode="External"/><Relationship  Id="rId349" Type="http://schemas.openxmlformats.org/officeDocument/2006/relationships/hyperlink" Target="http://www.groundtogrow.fr" TargetMode="External"/><Relationship  Id="rId3490" Type="http://schemas.openxmlformats.org/officeDocument/2006/relationships/hyperlink" Target="http://www.linkedin.com/company/lumens-box" TargetMode="External"/><Relationship  Id="rId3491" Type="http://schemas.openxmlformats.org/officeDocument/2006/relationships/hyperlink" Target="http://www.linkedin.com/in/fr%c3%a9d%c3%a9ric-terranova-06930931" TargetMode="External"/><Relationship  Id="rId3492" Type="http://schemas.openxmlformats.org/officeDocument/2006/relationships/hyperlink" Target="http://impulsionconsulting.com" TargetMode="External"/><Relationship  Id="rId3493" Type="http://schemas.openxmlformats.org/officeDocument/2006/relationships/hyperlink" Target="http://www.linkedin.com/company/impulsion-consulting" TargetMode="External"/><Relationship  Id="rId3494" Type="http://schemas.openxmlformats.org/officeDocument/2006/relationships/hyperlink" Target="http://www.linkedin.com/in/fr%c3%a9d%c3%a9ric-vandewalle-47464341" TargetMode="External"/><Relationship  Id="rId3495" Type="http://schemas.openxmlformats.org/officeDocument/2006/relationships/hyperlink" Target="http://bothier.fr" TargetMode="External"/><Relationship  Id="rId3496" Type="http://schemas.openxmlformats.org/officeDocument/2006/relationships/hyperlink" Target="http://www.linkedin.com/company/bothier" TargetMode="External"/><Relationship  Id="rId3497" Type="http://schemas.openxmlformats.org/officeDocument/2006/relationships/hyperlink" Target="https://www.facebook.com/bothiersarl/" TargetMode="External"/><Relationship  Id="rId3498" Type="http://schemas.openxmlformats.org/officeDocument/2006/relationships/hyperlink" Target="http://www.linkedin.com/in/fr%c3%a9d%c3%a9ric-bothier-55656b112" TargetMode="External"/><Relationship  Id="rId3499" Type="http://schemas.openxmlformats.org/officeDocument/2006/relationships/hyperlink" Target="http://hedimag.com" TargetMode="External"/><Relationship  Id="rId35" Type="http://schemas.openxmlformats.org/officeDocument/2006/relationships/hyperlink" Target="http://www.linkedin.com/in/maxime-de-biasio-77045763" TargetMode="External"/><Relationship  Id="rId350" Type="http://schemas.openxmlformats.org/officeDocument/2006/relationships/hyperlink" Target="http://www.linkedin.com/in/lee-sen-23480659" TargetMode="External"/><Relationship  Id="rId3500" Type="http://schemas.openxmlformats.org/officeDocument/2006/relationships/hyperlink" Target="http://www.linkedin.com/company/hedimag" TargetMode="External"/><Relationship  Id="rId3501" Type="http://schemas.openxmlformats.org/officeDocument/2006/relationships/hyperlink" Target="http://www.linkedin.com/in/fr%c3%a9d%c3%a9ric-coppin-5b4a16170" TargetMode="External"/><Relationship  Id="rId3502" Type="http://schemas.openxmlformats.org/officeDocument/2006/relationships/hyperlink" Target="http://jumbomana.com" TargetMode="External"/><Relationship  Id="rId3503" Type="http://schemas.openxmlformats.org/officeDocument/2006/relationships/hyperlink" Target="http://www.linkedin.com/company/jumbo-mana" TargetMode="External"/><Relationship  Id="rId3504" Type="http://schemas.openxmlformats.org/officeDocument/2006/relationships/hyperlink" Target="http://www.linkedin.com/in/fredericrose" TargetMode="External"/><Relationship  Id="rId3505" Type="http://schemas.openxmlformats.org/officeDocument/2006/relationships/hyperlink" Target="http://d-codes.fr" TargetMode="External"/><Relationship  Id="rId3506" Type="http://schemas.openxmlformats.org/officeDocument/2006/relationships/hyperlink" Target="http://www.linkedin.com/company/d-codes" TargetMode="External"/><Relationship  Id="rId3507" Type="http://schemas.openxmlformats.org/officeDocument/2006/relationships/hyperlink" Target="http://www.linkedin.com/in/fr%c3%a9d%c3%a9rique-agnes-22891113" TargetMode="External"/><Relationship  Id="rId3508" Type="http://schemas.openxmlformats.org/officeDocument/2006/relationships/hyperlink" Target="http://planisphereinfo.com" TargetMode="External"/><Relationship  Id="rId3509" Type="http://schemas.openxmlformats.org/officeDocument/2006/relationships/hyperlink" Target="http://www.linkedin.com/company/planisph%c3%a8reinfo" TargetMode="External"/><Relationship  Id="rId351" Type="http://schemas.openxmlformats.org/officeDocument/2006/relationships/hyperlink" Target="http://www.linkedin.com/in/baptiste-valin-691900189" TargetMode="External"/><Relationship  Id="rId3510" Type="http://schemas.openxmlformats.org/officeDocument/2006/relationships/hyperlink" Target="https://twitter.com/planisphereinfo" TargetMode="External"/><Relationship  Id="rId3511" Type="http://schemas.openxmlformats.org/officeDocument/2006/relationships/hyperlink" Target="http://www.linkedin.com/in/fred-licata-1799b981" TargetMode="External"/><Relationship  Id="rId3512" Type="http://schemas.openxmlformats.org/officeDocument/2006/relationships/hyperlink" Target="http://alobees.com" TargetMode="External"/><Relationship  Id="rId3513" Type="http://schemas.openxmlformats.org/officeDocument/2006/relationships/hyperlink" Target="http://www.linkedin.com/company/alobees" TargetMode="External"/><Relationship  Id="rId3514" Type="http://schemas.openxmlformats.org/officeDocument/2006/relationships/hyperlink" Target="https://twitter.com/alobees" TargetMode="External"/><Relationship  Id="rId3515" Type="http://schemas.openxmlformats.org/officeDocument/2006/relationships/hyperlink" Target="https://www.facebook.com/alobees" TargetMode="External"/><Relationship  Id="rId3516" Type="http://schemas.openxmlformats.org/officeDocument/2006/relationships/hyperlink" Target="http://www.linkedin.com/in/franck-sousa-339048193" TargetMode="External"/><Relationship  Id="rId3517" Type="http://schemas.openxmlformats.org/officeDocument/2006/relationships/hyperlink" Target="http://eb16.com" TargetMode="External"/><Relationship  Id="rId3518" Type="http://schemas.openxmlformats.org/officeDocument/2006/relationships/hyperlink" Target="http://www.linkedin.com/company/espace-bureau-16" TargetMode="External"/><Relationship  Id="rId3519" Type="http://schemas.openxmlformats.org/officeDocument/2006/relationships/hyperlink" Target="http://www.linkedin.com/in/fr%c3%a9d%c3%a9ric-thomas-425b03176" TargetMode="External"/><Relationship  Id="rId352" Type="http://schemas.openxmlformats.org/officeDocument/2006/relationships/hyperlink" Target="http://www.becchi.fr" TargetMode="External"/><Relationship  Id="rId3520" Type="http://schemas.openxmlformats.org/officeDocument/2006/relationships/hyperlink" Target="http://vldparis.fr" TargetMode="External"/><Relationship  Id="rId3521" Type="http://schemas.openxmlformats.org/officeDocument/2006/relationships/hyperlink" Target="http://www.linkedin.com/company/vld-paris" TargetMode="External"/><Relationship  Id="rId3522" Type="http://schemas.openxmlformats.org/officeDocument/2006/relationships/hyperlink" Target="http://www.linkedin.com/in/fran%c3%a7ois-wema%c3%abre-43815386" TargetMode="External"/><Relationship  Id="rId3523" Type="http://schemas.openxmlformats.org/officeDocument/2006/relationships/hyperlink" Target="http://arcade.fr" TargetMode="External"/><Relationship  Id="rId3524" Type="http://schemas.openxmlformats.org/officeDocument/2006/relationships/hyperlink" Target="http://www.linkedin.com/company/arcade-informatique" TargetMode="External"/><Relationship  Id="rId3525" Type="http://schemas.openxmlformats.org/officeDocument/2006/relationships/hyperlink" Target="https://www.facebook.com/Arcade.Logiciels/" TargetMode="External"/><Relationship  Id="rId3526" Type="http://schemas.openxmlformats.org/officeDocument/2006/relationships/hyperlink" Target="http://www.linkedin.com/in/guillaume-cordel-39784410b" TargetMode="External"/><Relationship  Id="rId3527" Type="http://schemas.openxmlformats.org/officeDocument/2006/relationships/hyperlink" Target="http://sgame.fr" TargetMode="External"/><Relationship  Id="rId3528" Type="http://schemas.openxmlformats.org/officeDocument/2006/relationships/hyperlink" Target="http://www.linkedin.com/company/sgame" TargetMode="External"/><Relationship  Id="rId3529" Type="http://schemas.openxmlformats.org/officeDocument/2006/relationships/hyperlink" Target="http://www.linkedin.com/in/guillaumette-lecante-111589b4" TargetMode="External"/><Relationship  Id="rId353" Type="http://schemas.openxmlformats.org/officeDocument/2006/relationships/hyperlink" Target="http://www.linkedin.com/in/gabriel-herzhaft-1b8562153" TargetMode="External"/><Relationship  Id="rId3530" Type="http://schemas.openxmlformats.org/officeDocument/2006/relationships/hyperlink" Target="http://septentrionale.fr" TargetMode="External"/><Relationship  Id="rId3531" Type="http://schemas.openxmlformats.org/officeDocument/2006/relationships/hyperlink" Target="http://www.linkedin.com/company/entreprise-septentrionale-construction" TargetMode="External"/><Relationship  Id="rId3532" Type="http://schemas.openxmlformats.org/officeDocument/2006/relationships/hyperlink" Target="http://www.linkedin.com/in/guillaume-pimbert-353348151" TargetMode="External"/><Relationship  Id="rId3533" Type="http://schemas.openxmlformats.org/officeDocument/2006/relationships/hyperlink" Target="http://koncept-komet.fr" TargetMode="External"/><Relationship  Id="rId3534" Type="http://schemas.openxmlformats.org/officeDocument/2006/relationships/hyperlink" Target="http://www.linkedin.com/company/konceptkomet" TargetMode="External"/><Relationship  Id="rId3535" Type="http://schemas.openxmlformats.org/officeDocument/2006/relationships/hyperlink" Target="http://www.linkedin.com/in/g%c3%a9rard-pucheux-9426a3b5" TargetMode="External"/><Relationship  Id="rId3536" Type="http://schemas.openxmlformats.org/officeDocument/2006/relationships/hyperlink" Target="http://4aout.fr" TargetMode="External"/><Relationship  Id="rId3537" Type="http://schemas.openxmlformats.org/officeDocument/2006/relationships/hyperlink" Target="http://www.linkedin.com/company/4-ao%c3%bbt" TargetMode="External"/><Relationship  Id="rId3538" Type="http://schemas.openxmlformats.org/officeDocument/2006/relationships/hyperlink" Target="https://www.facebook.com/4aout" TargetMode="External"/><Relationship  Id="rId3539" Type="http://schemas.openxmlformats.org/officeDocument/2006/relationships/hyperlink" Target="http://www.linkedin.com/in/ga%c3%ablle-abensour-076a417a" TargetMode="External"/><Relationship  Id="rId354" Type="http://schemas.openxmlformats.org/officeDocument/2006/relationships/hyperlink" Target="http://www.linkedin.com/in/olivier-chini-a6836185" TargetMode="External"/><Relationship  Id="rId3540" Type="http://schemas.openxmlformats.org/officeDocument/2006/relationships/hyperlink" Target="http://groupe-smart.fr" TargetMode="External"/><Relationship  Id="rId3541" Type="http://schemas.openxmlformats.org/officeDocument/2006/relationships/hyperlink" Target="http://www.linkedin.com/company/groupesmart" TargetMode="External"/><Relationship  Id="rId3542" Type="http://schemas.openxmlformats.org/officeDocument/2006/relationships/hyperlink" Target="http://www.linkedin.com/in/gabin-chaussegros-3776aa102" TargetMode="External"/><Relationship  Id="rId3543" Type="http://schemas.openxmlformats.org/officeDocument/2006/relationships/hyperlink" Target="http://sairen.io" TargetMode="External"/><Relationship  Id="rId3544" Type="http://schemas.openxmlformats.org/officeDocument/2006/relationships/hyperlink" Target="http://www.linkedin.com/company/sairen-io" TargetMode="External"/><Relationship  Id="rId3545" Type="http://schemas.openxmlformats.org/officeDocument/2006/relationships/hyperlink" Target="http://www.linkedin.com/in/gabriel-cohen-a00153201" TargetMode="External"/><Relationship  Id="rId3546" Type="http://schemas.openxmlformats.org/officeDocument/2006/relationships/hyperlink" Target="http://margueriteetcie.com" TargetMode="External"/><Relationship  Id="rId3547" Type="http://schemas.openxmlformats.org/officeDocument/2006/relationships/hyperlink" Target="http://www.linkedin.com/company/marguerite-cie" TargetMode="External"/><Relationship  Id="rId3548" Type="http://schemas.openxmlformats.org/officeDocument/2006/relationships/hyperlink" Target="https://twitter.com/margueriteetcie" TargetMode="External"/><Relationship  Id="rId3549" Type="http://schemas.openxmlformats.org/officeDocument/2006/relationships/hyperlink" Target="https://www.facebook.com/margueriteetcompagnie" TargetMode="External"/><Relationship  Id="rId355" Type="http://schemas.openxmlformats.org/officeDocument/2006/relationships/hyperlink" Target="http://www.lesnicois.com" TargetMode="External"/><Relationship  Id="rId3550" Type="http://schemas.openxmlformats.org/officeDocument/2006/relationships/hyperlink" Target="http://www.linkedin.com/in/gaele-le-noane" TargetMode="External"/><Relationship  Id="rId3551" Type="http://schemas.openxmlformats.org/officeDocument/2006/relationships/hyperlink" Target="http://adeliom.com" TargetMode="External"/><Relationship  Id="rId3552" Type="http://schemas.openxmlformats.org/officeDocument/2006/relationships/hyperlink" Target="http://www.linkedin.com/company/adeliom" TargetMode="External"/><Relationship  Id="rId3553" Type="http://schemas.openxmlformats.org/officeDocument/2006/relationships/hyperlink" Target="https://twitter.com/AdeliomAgency" TargetMode="External"/><Relationship  Id="rId3554" Type="http://schemas.openxmlformats.org/officeDocument/2006/relationships/hyperlink" Target="https://www.facebook.com/agenceadeliom" TargetMode="External"/><Relationship  Id="rId3555" Type="http://schemas.openxmlformats.org/officeDocument/2006/relationships/hyperlink" Target="http://www.linkedin.com/in/gaelle-fontaine-aix" TargetMode="External"/><Relationship  Id="rId3556" Type="http://schemas.openxmlformats.org/officeDocument/2006/relationships/hyperlink" Target="http://oriol.fr" TargetMode="External"/><Relationship  Id="rId3557" Type="http://schemas.openxmlformats.org/officeDocument/2006/relationships/hyperlink" Target="http://www.linkedin.com/company/oriol-chauffage-climatisation-plomberie" TargetMode="External"/><Relationship  Id="rId3558" Type="http://schemas.openxmlformats.org/officeDocument/2006/relationships/hyperlink" Target="http://www.linkedin.com/in/ga%c3%abtan-roubin-3bb683147" TargetMode="External"/><Relationship  Id="rId3559" Type="http://schemas.openxmlformats.org/officeDocument/2006/relationships/hyperlink" Target="http://groupe-energies.fr" TargetMode="External"/><Relationship  Id="rId356" Type="http://schemas.openxmlformats.org/officeDocument/2006/relationships/hyperlink" Target="http://booking-better.com" TargetMode="External"/><Relationship  Id="rId3560" Type="http://schemas.openxmlformats.org/officeDocument/2006/relationships/hyperlink" Target="http://www.linkedin.com/company/groupeenergies" TargetMode="External"/><Relationship  Id="rId3561" Type="http://schemas.openxmlformats.org/officeDocument/2006/relationships/hyperlink" Target="http://www.linkedin.com/in/ganael-cros-a18787125" TargetMode="External"/><Relationship  Id="rId3562" Type="http://schemas.openxmlformats.org/officeDocument/2006/relationships/hyperlink" Target="http://lianeo.fr" TargetMode="External"/><Relationship  Id="rId3563" Type="http://schemas.openxmlformats.org/officeDocument/2006/relationships/hyperlink" Target="http://www.linkedin.com/company/lianeo" TargetMode="External"/><Relationship  Id="rId3564" Type="http://schemas.openxmlformats.org/officeDocument/2006/relationships/hyperlink" Target="http://www.linkedin.com/in/gchone" TargetMode="External"/><Relationship  Id="rId3565" Type="http://schemas.openxmlformats.org/officeDocument/2006/relationships/hyperlink" Target="http://aletiq.com" TargetMode="External"/><Relationship  Id="rId3566" Type="http://schemas.openxmlformats.org/officeDocument/2006/relationships/hyperlink" Target="http://www.linkedin.com/company/aletiq" TargetMode="External"/><Relationship  Id="rId3567" Type="http://schemas.openxmlformats.org/officeDocument/2006/relationships/hyperlink" Target="http://www.linkedin.com/in/geoffrey-ricard-131363107" TargetMode="External"/><Relationship  Id="rId3568" Type="http://schemas.openxmlformats.org/officeDocument/2006/relationships/hyperlink" Target="http://arjuna.fr" TargetMode="External"/><Relationship  Id="rId3569" Type="http://schemas.openxmlformats.org/officeDocument/2006/relationships/hyperlink" Target="http://www.linkedin.com/company/arjuna" TargetMode="External"/><Relationship  Id="rId357" Type="http://schemas.openxmlformats.org/officeDocument/2006/relationships/hyperlink" Target="http://www.linkedin.com/in/jeanfrancoismaes" TargetMode="External"/><Relationship  Id="rId3570" Type="http://schemas.openxmlformats.org/officeDocument/2006/relationships/hyperlink" Target="http://www.linkedin.com/in/georges-laederich-a59a5a15" TargetMode="External"/><Relationship  Id="rId3571" Type="http://schemas.openxmlformats.org/officeDocument/2006/relationships/hyperlink" Target="http://ubikap.com" TargetMode="External"/><Relationship  Id="rId3572" Type="http://schemas.openxmlformats.org/officeDocument/2006/relationships/hyperlink" Target="http://www.linkedin.com/company/ubikap" TargetMode="External"/><Relationship  Id="rId3573" Type="http://schemas.openxmlformats.org/officeDocument/2006/relationships/hyperlink" Target="http://www.linkedin.com/in/g%c3%a9raldine-garbit-361a602b" TargetMode="External"/><Relationship  Id="rId3574" Type="http://schemas.openxmlformats.org/officeDocument/2006/relationships/hyperlink" Target="http://cap-manager.com" TargetMode="External"/><Relationship  Id="rId3575" Type="http://schemas.openxmlformats.org/officeDocument/2006/relationships/hyperlink" Target="http://www.linkedin.com/company/cap-manager" TargetMode="External"/><Relationship  Id="rId3576" Type="http://schemas.openxmlformats.org/officeDocument/2006/relationships/hyperlink" Target="https://www.facebook.com/capmanager" TargetMode="External"/><Relationship  Id="rId3577" Type="http://schemas.openxmlformats.org/officeDocument/2006/relationships/hyperlink" Target="http://www.linkedin.com/in/gerard-enggasser" TargetMode="External"/><Relationship  Id="rId3578" Type="http://schemas.openxmlformats.org/officeDocument/2006/relationships/hyperlink" Target="http://tabsters.fr" TargetMode="External"/><Relationship  Id="rId3579" Type="http://schemas.openxmlformats.org/officeDocument/2006/relationships/hyperlink" Target="http://www.linkedin.com/company/tabsters" TargetMode="External"/><Relationship  Id="rId358" Type="http://schemas.openxmlformats.org/officeDocument/2006/relationships/hyperlink" Target="http://www.booking-better.com" TargetMode="External"/><Relationship  Id="rId3580" Type="http://schemas.openxmlformats.org/officeDocument/2006/relationships/hyperlink" Target="http://www.linkedin.com/in/germain-mathieu-1971668" TargetMode="External"/><Relationship  Id="rId3581" Type="http://schemas.openxmlformats.org/officeDocument/2006/relationships/hyperlink" Target="http://sprint-je.com" TargetMode="External"/><Relationship  Id="rId3582" Type="http://schemas.openxmlformats.org/officeDocument/2006/relationships/hyperlink" Target="http://www.linkedin.com/company/sprint-je" TargetMode="External"/><Relationship  Id="rId3583" Type="http://schemas.openxmlformats.org/officeDocument/2006/relationships/hyperlink" Target="https://www.facebook.com/sprint.je" TargetMode="External"/><Relationship  Id="rId3584" Type="http://schemas.openxmlformats.org/officeDocument/2006/relationships/hyperlink" Target="http://www.linkedin.com/in/gatien-grellet-679931282" TargetMode="External"/><Relationship  Id="rId3585" Type="http://schemas.openxmlformats.org/officeDocument/2006/relationships/hyperlink" Target="http://lacentrale-eco.com" TargetMode="External"/><Relationship  Id="rId3586" Type="http://schemas.openxmlformats.org/officeDocument/2006/relationships/hyperlink" Target="http://www.linkedin.com/company/lacentrale-eco" TargetMode="External"/><Relationship  Id="rId3587" Type="http://schemas.openxmlformats.org/officeDocument/2006/relationships/hyperlink" Target="https://www.facebook.com/lacentraleeco69" TargetMode="External"/><Relationship  Id="rId3588" Type="http://schemas.openxmlformats.org/officeDocument/2006/relationships/hyperlink" Target="http://www.linkedin.com/in/guillaume-guerbette-1a8286a" TargetMode="External"/><Relationship  Id="rId3589" Type="http://schemas.openxmlformats.org/officeDocument/2006/relationships/hyperlink" Target="http://groupe-maestra.com" TargetMode="External"/><Relationship  Id="rId359" Type="http://schemas.openxmlformats.org/officeDocument/2006/relationships/hyperlink" Target="http://www.linkedin.com/in/amaury-de-veyrac-11a1a5159" TargetMode="External"/><Relationship  Id="rId3590" Type="http://schemas.openxmlformats.org/officeDocument/2006/relationships/hyperlink" Target="http://www.linkedin.com/company/groupe-maestra" TargetMode="External"/><Relationship  Id="rId3591" Type="http://schemas.openxmlformats.org/officeDocument/2006/relationships/hyperlink" Target="http://www.linkedin.com/in/gilles-mayaud-603a7b17" TargetMode="External"/><Relationship  Id="rId3592" Type="http://schemas.openxmlformats.org/officeDocument/2006/relationships/hyperlink" Target="http://retourdeplage.fr" TargetMode="External"/><Relationship  Id="rId3593" Type="http://schemas.openxmlformats.org/officeDocument/2006/relationships/hyperlink" Target="http://www.linkedin.com/company/retourdeplage" TargetMode="External"/><Relationship  Id="rId3594" Type="http://schemas.openxmlformats.org/officeDocument/2006/relationships/hyperlink" Target="https://www.facebook.com/RetourDePlage/" TargetMode="External"/><Relationship  Id="rId3595" Type="http://schemas.openxmlformats.org/officeDocument/2006/relationships/hyperlink" Target="http://www.linkedin.com/in/gilles-renouf-b29bb71a" TargetMode="External"/><Relationship  Id="rId3596" Type="http://schemas.openxmlformats.org/officeDocument/2006/relationships/hyperlink" Target="http://laboutiquedufeu.com" TargetMode="External"/><Relationship  Id="rId3597" Type="http://schemas.openxmlformats.org/officeDocument/2006/relationships/hyperlink" Target="http://www.linkedin.com/company/la-boutique-du-feu" TargetMode="External"/><Relationship  Id="rId3598" Type="http://schemas.openxmlformats.org/officeDocument/2006/relationships/hyperlink" Target="http://www.linkedin.com/in/gilles-deschamps" TargetMode="External"/><Relationship  Id="rId3599" Type="http://schemas.openxmlformats.org/officeDocument/2006/relationships/hyperlink" Target="http://grk-ic.com" TargetMode="External"/><Relationship  Id="rId36" Type="http://schemas.openxmlformats.org/officeDocument/2006/relationships/hyperlink" Target="http://www.hotelalex.fr" TargetMode="External"/><Relationship  Id="rId360" Type="http://schemas.openxmlformats.org/officeDocument/2006/relationships/hyperlink" Target="http://www.stoquemarket.com" TargetMode="External"/><Relationship  Id="rId3600" Type="http://schemas.openxmlformats.org/officeDocument/2006/relationships/hyperlink" Target="http://www.linkedin.com/company/grk-ic" TargetMode="External"/><Relationship  Id="rId3601" Type="http://schemas.openxmlformats.org/officeDocument/2006/relationships/hyperlink" Target="http://www.linkedin.com/in/gregoirekopp" TargetMode="External"/><Relationship  Id="rId3602" Type="http://schemas.openxmlformats.org/officeDocument/2006/relationships/hyperlink" Target="http://tecb.fr" TargetMode="External"/><Relationship  Id="rId3603" Type="http://schemas.openxmlformats.org/officeDocument/2006/relationships/hyperlink" Target="http://www.linkedin.com/company/tec-b" TargetMode="External"/><Relationship  Id="rId3604" Type="http://schemas.openxmlformats.org/officeDocument/2006/relationships/hyperlink" Target="https://facebook.com/pages/TECB/174331239273686" TargetMode="External"/><Relationship  Id="rId3605" Type="http://schemas.openxmlformats.org/officeDocument/2006/relationships/hyperlink" Target="http://www.linkedin.com/in/guillaume-lefranc-3671971a2" TargetMode="External"/><Relationship  Id="rId3606" Type="http://schemas.openxmlformats.org/officeDocument/2006/relationships/hyperlink" Target="http://melistechnology.com" TargetMode="External"/><Relationship  Id="rId3607" Type="http://schemas.openxmlformats.org/officeDocument/2006/relationships/hyperlink" Target="http://www.linkedin.com/company/melis-technology" TargetMode="External"/><Relationship  Id="rId3608" Type="http://schemas.openxmlformats.org/officeDocument/2006/relationships/hyperlink" Target="https://twitter.com/meliscms" TargetMode="External"/><Relationship  Id="rId3609" Type="http://schemas.openxmlformats.org/officeDocument/2006/relationships/hyperlink" Target="https://facebook.com/melistechnology" TargetMode="External"/><Relationship  Id="rId361" Type="http://schemas.openxmlformats.org/officeDocument/2006/relationships/hyperlink" Target="http://www.linkedin.com/in/fousseyni-djikine-a483b552" TargetMode="External"/><Relationship  Id="rId3610" Type="http://schemas.openxmlformats.org/officeDocument/2006/relationships/hyperlink" Target="http://www.linkedin.com/in/gr%c3%a9goire-lembo-23479b2b" TargetMode="External"/><Relationship  Id="rId3611" Type="http://schemas.openxmlformats.org/officeDocument/2006/relationships/hyperlink" Target="http://glinche-automobiles.com" TargetMode="External"/><Relationship  Id="rId3612" Type="http://schemas.openxmlformats.org/officeDocument/2006/relationships/hyperlink" Target="http://www.linkedin.com/company/glinche-automobiles" TargetMode="External"/><Relationship  Id="rId3613" Type="http://schemas.openxmlformats.org/officeDocument/2006/relationships/hyperlink" Target="http://www.linkedin.com/in/herv%c3%a9-glinche-061628200" TargetMode="External"/><Relationship  Id="rId3614" Type="http://schemas.openxmlformats.org/officeDocument/2006/relationships/hyperlink" Target="http://adquat.com" TargetMode="External"/><Relationship  Id="rId3615" Type="http://schemas.openxmlformats.org/officeDocument/2006/relationships/hyperlink" Target="http://www.linkedin.com/company/adquat" TargetMode="External"/><Relationship  Id="rId3616" Type="http://schemas.openxmlformats.org/officeDocument/2006/relationships/hyperlink" Target="https://www.facebook.com/adquatsolutions" TargetMode="External"/><Relationship  Id="rId3617" Type="http://schemas.openxmlformats.org/officeDocument/2006/relationships/hyperlink" Target="http://www.linkedin.com/in/gilles-milan-72268712" TargetMode="External"/><Relationship  Id="rId3618" Type="http://schemas.openxmlformats.org/officeDocument/2006/relationships/hyperlink" Target="http://karma-partners.com" TargetMode="External"/><Relationship  Id="rId3619" Type="http://schemas.openxmlformats.org/officeDocument/2006/relationships/hyperlink" Target="http://www.linkedin.com/company/karma-partners" TargetMode="External"/><Relationship  Id="rId362" Type="http://schemas.openxmlformats.org/officeDocument/2006/relationships/hyperlink" Target="http://www.bmkparis.com" TargetMode="External"/><Relationship  Id="rId3620" Type="http://schemas.openxmlformats.org/officeDocument/2006/relationships/hyperlink" Target="http://www.linkedin.com/in/guy-maurer-40570a1b" TargetMode="External"/><Relationship  Id="rId3621" Type="http://schemas.openxmlformats.org/officeDocument/2006/relationships/hyperlink" Target="http://air-cloud.fr" TargetMode="External"/><Relationship  Id="rId3622" Type="http://schemas.openxmlformats.org/officeDocument/2006/relationships/hyperlink" Target="http://www.linkedin.com/company/air-cloud-fr" TargetMode="External"/><Relationship  Id="rId3623" Type="http://schemas.openxmlformats.org/officeDocument/2006/relationships/hyperlink" Target="http://www.linkedin.com/in/gautier-moroge-6b20481a1" TargetMode="External"/><Relationship  Id="rId3624" Type="http://schemas.openxmlformats.org/officeDocument/2006/relationships/hyperlink" Target="http://cap-consulting.fr" TargetMode="External"/><Relationship  Id="rId3625" Type="http://schemas.openxmlformats.org/officeDocument/2006/relationships/hyperlink" Target="http://www.linkedin.com/company/cap-consultingconseil" TargetMode="External"/><Relationship  Id="rId3626" Type="http://schemas.openxmlformats.org/officeDocument/2006/relationships/hyperlink" Target="https://www.facebook.com/CAP-Consulting-1678528372418015/" TargetMode="External"/><Relationship  Id="rId3627" Type="http://schemas.openxmlformats.org/officeDocument/2006/relationships/hyperlink" Target="http://www.linkedin.com/in/gilles-passot-98859829" TargetMode="External"/><Relationship  Id="rId3628" Type="http://schemas.openxmlformats.org/officeDocument/2006/relationships/hyperlink" Target="http://snsolutions.fr" TargetMode="External"/><Relationship  Id="rId3629" Type="http://schemas.openxmlformats.org/officeDocument/2006/relationships/hyperlink" Target="http://www.linkedin.com/company/sns-gs" TargetMode="External"/><Relationship  Id="rId363" Type="http://schemas.openxmlformats.org/officeDocument/2006/relationships/hyperlink" Target="http://www.linkedin.com/in/pierre-volckman-delabesse-2669121" TargetMode="External"/><Relationship  Id="rId3630" Type="http://schemas.openxmlformats.org/officeDocument/2006/relationships/hyperlink" Target="https://twitter.com/DEV_SNSOLUTIONS" TargetMode="External"/><Relationship  Id="rId3631" Type="http://schemas.openxmlformats.org/officeDocument/2006/relationships/hyperlink" Target="https://www.facebook.com/snsolutions13/" TargetMode="External"/><Relationship  Id="rId3632" Type="http://schemas.openxmlformats.org/officeDocument/2006/relationships/hyperlink" Target="http://www.linkedin.com/in/guillaume-prieto-sns" TargetMode="External"/><Relationship  Id="rId3633" Type="http://schemas.openxmlformats.org/officeDocument/2006/relationships/hyperlink" Target="http://thebigwhale.io" TargetMode="External"/><Relationship  Id="rId3634" Type="http://schemas.openxmlformats.org/officeDocument/2006/relationships/hyperlink" Target="http://www.linkedin.com/company/the-big-whale" TargetMode="External"/><Relationship  Id="rId3635" Type="http://schemas.openxmlformats.org/officeDocument/2006/relationships/hyperlink" Target="http://www.linkedin.com/in/gregoryraymondjournaliste" TargetMode="External"/><Relationship  Id="rId3636" Type="http://schemas.openxmlformats.org/officeDocument/2006/relationships/hyperlink" Target="http://expressluck.hu" TargetMode="External"/><Relationship  Id="rId3637" Type="http://schemas.openxmlformats.org/officeDocument/2006/relationships/hyperlink" Target="http://www.linkedin.com/company/express-luck-europe-electric-ltd" TargetMode="External"/><Relationship  Id="rId3638" Type="http://schemas.openxmlformats.org/officeDocument/2006/relationships/hyperlink" Target="http://www.linkedin.com/in/gregorylegait" TargetMode="External"/><Relationship  Id="rId3639" Type="http://schemas.openxmlformats.org/officeDocument/2006/relationships/hyperlink" Target="http://rich-id.fr" TargetMode="External"/><Relationship  Id="rId364" Type="http://schemas.openxmlformats.org/officeDocument/2006/relationships/hyperlink" Target="http://www.experience-crm.fr" TargetMode="External"/><Relationship  Id="rId3640" Type="http://schemas.openxmlformats.org/officeDocument/2006/relationships/hyperlink" Target="http://www.linkedin.com/company/richid" TargetMode="External"/><Relationship  Id="rId3641" Type="http://schemas.openxmlformats.org/officeDocument/2006/relationships/hyperlink" Target="http://www.linkedin.com/in/gr%c3%a9gory-maquenhen-3b60826" TargetMode="External"/><Relationship  Id="rId3642" Type="http://schemas.openxmlformats.org/officeDocument/2006/relationships/hyperlink" Target="http://solone-engineering.com" TargetMode="External"/><Relationship  Id="rId3643" Type="http://schemas.openxmlformats.org/officeDocument/2006/relationships/hyperlink" Target="http://www.linkedin.com/company/solone-engineering-solutions" TargetMode="External"/><Relationship  Id="rId3644" Type="http://schemas.openxmlformats.org/officeDocument/2006/relationships/hyperlink" Target="http://www.linkedin.com/in/ga%c3%ablle-soltysiak-5358aa2" TargetMode="External"/><Relationship  Id="rId3645" Type="http://schemas.openxmlformats.org/officeDocument/2006/relationships/hyperlink" Target="http://junior-aei.com" TargetMode="External"/><Relationship  Id="rId3646" Type="http://schemas.openxmlformats.org/officeDocument/2006/relationships/hyperlink" Target="http://www.linkedin.com/company/aquitaine-electronique-informatique" TargetMode="External"/><Relationship  Id="rId3647" Type="http://schemas.openxmlformats.org/officeDocument/2006/relationships/hyperlink" Target="http://www.linkedin.com/in/guilhem-studer-2b576528b" TargetMode="External"/><Relationship  Id="rId3648" Type="http://schemas.openxmlformats.org/officeDocument/2006/relationships/hyperlink" Target="http://eurisol.fr" TargetMode="External"/><Relationship  Id="rId3649" Type="http://schemas.openxmlformats.org/officeDocument/2006/relationships/hyperlink" Target="http://www.linkedin.com/company/eurisol-constructions-frigorifiques" TargetMode="External"/><Relationship  Id="rId365" Type="http://schemas.openxmlformats.org/officeDocument/2006/relationships/hyperlink" Target="http://www.linkedin.com/in/andr%c3%a9a-cohen-74689a61" TargetMode="External"/><Relationship  Id="rId3650" Type="http://schemas.openxmlformats.org/officeDocument/2006/relationships/hyperlink" Target="http://www.linkedin.com/in/guillaume-balloy-390451135" TargetMode="External"/><Relationship  Id="rId3651" Type="http://schemas.openxmlformats.org/officeDocument/2006/relationships/hyperlink" Target="http://www.linkedin.com/in/guillaume-barbosa-3069236b" TargetMode="External"/><Relationship  Id="rId3652" Type="http://schemas.openxmlformats.org/officeDocument/2006/relationships/hyperlink" Target="http://bprsecurity.fr" TargetMode="External"/><Relationship  Id="rId3653" Type="http://schemas.openxmlformats.org/officeDocument/2006/relationships/hyperlink" Target="http://www.linkedin.com/company/bpr-security" TargetMode="External"/><Relationship  Id="rId3654" Type="http://schemas.openxmlformats.org/officeDocument/2006/relationships/hyperlink" Target="http://www.linkedin.com/in/guillaume-collard-a0304b3a" TargetMode="External"/><Relationship  Id="rId3655" Type="http://schemas.openxmlformats.org/officeDocument/2006/relationships/hyperlink" Target="http://inov-team.fr" TargetMode="External"/><Relationship  Id="rId3656" Type="http://schemas.openxmlformats.org/officeDocument/2006/relationships/hyperlink" Target="http://www.linkedin.com/company/inov-team" TargetMode="External"/><Relationship  Id="rId3657" Type="http://schemas.openxmlformats.org/officeDocument/2006/relationships/hyperlink" Target="http://www.linkedin.com/in/guillaume-floyrac-7524303b" TargetMode="External"/><Relationship  Id="rId3658" Type="http://schemas.openxmlformats.org/officeDocument/2006/relationships/hyperlink" Target="http://www.linkedin.com/in/guillaume-lannoy" TargetMode="External"/><Relationship  Id="rId3659" Type="http://schemas.openxmlformats.org/officeDocument/2006/relationships/hyperlink" Target="http://communicationqualite.fr" TargetMode="External"/><Relationship  Id="rId366" Type="http://schemas.openxmlformats.org/officeDocument/2006/relationships/hyperlink" Target="http://www.thegatecollection.com" TargetMode="External"/><Relationship  Id="rId3660" Type="http://schemas.openxmlformats.org/officeDocument/2006/relationships/hyperlink" Target="http://www.linkedin.com/company/communication-qualit%c3%a9" TargetMode="External"/><Relationship  Id="rId3661" Type="http://schemas.openxmlformats.org/officeDocument/2006/relationships/hyperlink" Target="http://www.linkedin.com/in/guillaumepaternot" TargetMode="External"/><Relationship  Id="rId3662" Type="http://schemas.openxmlformats.org/officeDocument/2006/relationships/hyperlink" Target="http://www.linkedin.com/company/babbar-tech" TargetMode="External"/><Relationship  Id="rId3663" Type="http://schemas.openxmlformats.org/officeDocument/2006/relationships/hyperlink" Target="https://twitter.com/babbartech" TargetMode="External"/><Relationship  Id="rId3664" Type="http://schemas.openxmlformats.org/officeDocument/2006/relationships/hyperlink" Target="http://www.linkedin.com/in/gpeyronnet" TargetMode="External"/><Relationship  Id="rId3665" Type="http://schemas.openxmlformats.org/officeDocument/2006/relationships/hyperlink" Target="http://amhappy.fr" TargetMode="External"/><Relationship  Id="rId3666" Type="http://schemas.openxmlformats.org/officeDocument/2006/relationships/hyperlink" Target="http://www.linkedin.com/company/amhappy" TargetMode="External"/><Relationship  Id="rId3667" Type="http://schemas.openxmlformats.org/officeDocument/2006/relationships/hyperlink" Target="https://www.facebook.com/amhappy.fr" TargetMode="External"/><Relationship  Id="rId3668" Type="http://schemas.openxmlformats.org/officeDocument/2006/relationships/hyperlink" Target="http://www.linkedin.com/in/guillaume-hugon" TargetMode="External"/><Relationship  Id="rId3669" Type="http://schemas.openxmlformats.org/officeDocument/2006/relationships/hyperlink" Target="http://capeoni.fr" TargetMode="External"/><Relationship  Id="rId367" Type="http://schemas.openxmlformats.org/officeDocument/2006/relationships/hyperlink" Target="http://www.linkedin.com/in/misterbooking-pms-2306711aa" TargetMode="External"/><Relationship  Id="rId3670" Type="http://schemas.openxmlformats.org/officeDocument/2006/relationships/hyperlink" Target="http://www.linkedin.com/company/capeoni" TargetMode="External"/><Relationship  Id="rId3671" Type="http://schemas.openxmlformats.org/officeDocument/2006/relationships/hyperlink" Target="http://www.linkedin.com/in/guillaume-ogloza-26076110a" TargetMode="External"/><Relationship  Id="rId3672" Type="http://schemas.openxmlformats.org/officeDocument/2006/relationships/hyperlink" Target="http://fcinq.com" TargetMode="External"/><Relationship  Id="rId3673" Type="http://schemas.openxmlformats.org/officeDocument/2006/relationships/hyperlink" Target="http://www.linkedin.com/company/fcinq" TargetMode="External"/><Relationship  Id="rId3674" Type="http://schemas.openxmlformats.org/officeDocument/2006/relationships/hyperlink" Target="https://twitter.com/fcinqagency" TargetMode="External"/><Relationship  Id="rId3675" Type="http://schemas.openxmlformats.org/officeDocument/2006/relationships/hyperlink" Target="https://www.facebook.com/fcinqagency" TargetMode="External"/><Relationship  Id="rId3676" Type="http://schemas.openxmlformats.org/officeDocument/2006/relationships/hyperlink" Target="http://www.linkedin.com/in/guillaume-le-m%c3%a9e-52529a29" TargetMode="External"/><Relationship  Id="rId3677" Type="http://schemas.openxmlformats.org/officeDocument/2006/relationships/hyperlink" Target="http://hypergrowthpartners.com" TargetMode="External"/><Relationship  Id="rId3678" Type="http://schemas.openxmlformats.org/officeDocument/2006/relationships/hyperlink" Target="http://www.linkedin.com/company/hypergrowth-partners" TargetMode="External"/><Relationship  Id="rId3679" Type="http://schemas.openxmlformats.org/officeDocument/2006/relationships/hyperlink" Target="https://twitter.com/HypergrowthP" TargetMode="External"/><Relationship  Id="rId368" Type="http://schemas.openxmlformats.org/officeDocument/2006/relationships/hyperlink" Target="http://www.misterbooking.net" TargetMode="External"/><Relationship  Id="rId3680" Type="http://schemas.openxmlformats.org/officeDocument/2006/relationships/hyperlink" Target="https://twitter.com/guillaumecabane" TargetMode="External"/><Relationship  Id="rId3681" Type="http://schemas.openxmlformats.org/officeDocument/2006/relationships/hyperlink" Target="http://www.linkedin.com/in/cabane" TargetMode="External"/><Relationship  Id="rId3682" Type="http://schemas.openxmlformats.org/officeDocument/2006/relationships/hyperlink" Target="http://www.linkedin.com/company/koban-crm" TargetMode="External"/><Relationship  Id="rId3683" Type="http://schemas.openxmlformats.org/officeDocument/2006/relationships/hyperlink" Target="http://www.linkedin.com/in/guillaume-lecanu" TargetMode="External"/><Relationship  Id="rId3684" Type="http://schemas.openxmlformats.org/officeDocument/2006/relationships/hyperlink" Target="http://nuances-impression.fr" TargetMode="External"/><Relationship  Id="rId3685" Type="http://schemas.openxmlformats.org/officeDocument/2006/relationships/hyperlink" Target="http://www.linkedin.com/company/nuancesimpression" TargetMode="External"/><Relationship  Id="rId3686" Type="http://schemas.openxmlformats.org/officeDocument/2006/relationships/hyperlink" Target="http://www.linkedin.com/in/guillaume-trias-12990b138" TargetMode="External"/><Relationship  Id="rId3687" Type="http://schemas.openxmlformats.org/officeDocument/2006/relationships/hyperlink" Target="http://www.linkedin.com/in/guillaume-audren-regata" TargetMode="External"/><Relationship  Id="rId3688" Type="http://schemas.openxmlformats.org/officeDocument/2006/relationships/hyperlink" Target="http://altivec.fr" TargetMode="External"/><Relationship  Id="rId3689" Type="http://schemas.openxmlformats.org/officeDocument/2006/relationships/hyperlink" Target="http://www.linkedin.com/company/altivec" TargetMode="External"/><Relationship  Id="rId369" Type="http://schemas.openxmlformats.org/officeDocument/2006/relationships/hyperlink" Target="http://www.linkedin.com/in/mariepesenti" TargetMode="External"/><Relationship  Id="rId3690" Type="http://schemas.openxmlformats.org/officeDocument/2006/relationships/hyperlink" Target="https://www.twitter.com/WixStudio" TargetMode="External"/><Relationship  Id="rId3691" Type="http://schemas.openxmlformats.org/officeDocument/2006/relationships/hyperlink" Target="https://www.facebook.com/WixStudio" TargetMode="External"/><Relationship  Id="rId3692" Type="http://schemas.openxmlformats.org/officeDocument/2006/relationships/hyperlink" Target="http://www.linkedin.com/in/guy-chevallier-chantepie-03064a9b" TargetMode="External"/><Relationship  Id="rId3693" Type="http://schemas.openxmlformats.org/officeDocument/2006/relationships/hyperlink" Target="http://getwelcom.com" TargetMode="External"/><Relationship  Id="rId3694" Type="http://schemas.openxmlformats.org/officeDocument/2006/relationships/hyperlink" Target="http://www.linkedin.com/company/getwelcom" TargetMode="External"/><Relationship  Id="rId3695" Type="http://schemas.openxmlformats.org/officeDocument/2006/relationships/hyperlink" Target="http://www.linkedin.com/in/hadrien-reaud-862576109" TargetMode="External"/><Relationship  Id="rId3696" Type="http://schemas.openxmlformats.org/officeDocument/2006/relationships/hyperlink" Target="http://poleaquanova.fr" TargetMode="External"/><Relationship  Id="rId3697" Type="http://schemas.openxmlformats.org/officeDocument/2006/relationships/hyperlink" Target="http://www.linkedin.com/company/poleaquanova" TargetMode="External"/><Relationship  Id="rId3698" Type="http://schemas.openxmlformats.org/officeDocument/2006/relationships/hyperlink" Target="http://www.linkedin.com/in/herv%c3%a9-gaboriau-741833134" TargetMode="External"/><Relationship  Id="rId3699" Type="http://schemas.openxmlformats.org/officeDocument/2006/relationships/hyperlink" Target="http://asco-ascenseurs.fr" TargetMode="External"/><Relationship  Id="rId37" Type="http://schemas.openxmlformats.org/officeDocument/2006/relationships/hyperlink" Target="http://www.linkedin.com/in/victor-lecolier-b50288111" TargetMode="External"/><Relationship  Id="rId370" Type="http://schemas.openxmlformats.org/officeDocument/2006/relationships/hyperlink" Target="http://www.minimistan.org" TargetMode="External"/><Relationship  Id="rId3700" Type="http://schemas.openxmlformats.org/officeDocument/2006/relationships/hyperlink" Target="http://www.linkedin.com/company/asco-ascenseurs" TargetMode="External"/><Relationship  Id="rId3701" Type="http://schemas.openxmlformats.org/officeDocument/2006/relationships/hyperlink" Target="http://www.linkedin.com/in/herv%c3%a9-kervaon-b5b35060" TargetMode="External"/><Relationship  Id="rId3702" Type="http://schemas.openxmlformats.org/officeDocument/2006/relationships/hyperlink" Target="http://ambois.com" TargetMode="External"/><Relationship  Id="rId3703" Type="http://schemas.openxmlformats.org/officeDocument/2006/relationships/hyperlink" Target="http://www.linkedin.com/company/ambois" TargetMode="External"/><Relationship  Id="rId3704" Type="http://schemas.openxmlformats.org/officeDocument/2006/relationships/hyperlink" Target="http://www.linkedin.com/in/hubert-leriche-3b666a34" TargetMode="External"/><Relationship  Id="rId3705" Type="http://schemas.openxmlformats.org/officeDocument/2006/relationships/hyperlink" Target="http://ksi-partners.com" TargetMode="External"/><Relationship  Id="rId3706" Type="http://schemas.openxmlformats.org/officeDocument/2006/relationships/hyperlink" Target="http://www.linkedin.com/company/ksi-partners" TargetMode="External"/><Relationship  Id="rId3707" Type="http://schemas.openxmlformats.org/officeDocument/2006/relationships/hyperlink" Target="http://www.linkedin.com/in/hubertcastellan" TargetMode="External"/><Relationship  Id="rId3708" Type="http://schemas.openxmlformats.org/officeDocument/2006/relationships/hyperlink" Target="http://vipros.fr" TargetMode="External"/><Relationship  Id="rId3709" Type="http://schemas.openxmlformats.org/officeDocument/2006/relationships/hyperlink" Target="http://www.linkedin.com/company/vipros" TargetMode="External"/><Relationship  Id="rId371" Type="http://schemas.openxmlformats.org/officeDocument/2006/relationships/hyperlink" Target="http://www.linkedin.com/in/bastien-coinon-87ab9266" TargetMode="External"/><Relationship  Id="rId3710" Type="http://schemas.openxmlformats.org/officeDocument/2006/relationships/hyperlink" Target="http://www.linkedin.com/in/hugues-lecomte-382615121" TargetMode="External"/><Relationship  Id="rId3711" Type="http://schemas.openxmlformats.org/officeDocument/2006/relationships/hyperlink" Target="http://itguard.fr" TargetMode="External"/><Relationship  Id="rId3712" Type="http://schemas.openxmlformats.org/officeDocument/2006/relationships/hyperlink" Target="http://www.linkedin.com/company/sas-itguard" TargetMode="External"/><Relationship  Id="rId3713" Type="http://schemas.openxmlformats.org/officeDocument/2006/relationships/hyperlink" Target="http://www.linkedin.com/in/hugues-bonnefont-1a7b94b3" TargetMode="External"/><Relationship  Id="rId3714" Type="http://schemas.openxmlformats.org/officeDocument/2006/relationships/hyperlink" Target="http://spellz.ai" TargetMode="External"/><Relationship  Id="rId3715" Type="http://schemas.openxmlformats.org/officeDocument/2006/relationships/hyperlink" Target="http://www.linkedin.com/company/spellz" TargetMode="External"/><Relationship  Id="rId3716" Type="http://schemas.openxmlformats.org/officeDocument/2006/relationships/hyperlink" Target="http://www.linkedin.com/in/ilyessghir" TargetMode="External"/><Relationship  Id="rId3717" Type="http://schemas.openxmlformats.org/officeDocument/2006/relationships/hyperlink" Target="http://www.linkedin.com/company/rhis-solutions" TargetMode="External"/><Relationship  Id="rId3718" Type="http://schemas.openxmlformats.org/officeDocument/2006/relationships/hyperlink" Target="http://www.linkedin.com/in/in%c3%a8s-souissi-805298a9" TargetMode="External"/><Relationship  Id="rId3719" Type="http://schemas.openxmlformats.org/officeDocument/2006/relationships/hyperlink" Target="http://www.linkedin.com/in/ingrid-osselin" TargetMode="External"/><Relationship  Id="rId372" Type="http://schemas.openxmlformats.org/officeDocument/2006/relationships/hyperlink" Target="http://www.linkedin.com/in/vixgras" TargetMode="External"/><Relationship  Id="rId3720" Type="http://schemas.openxmlformats.org/officeDocument/2006/relationships/hyperlink" Target="http://archerydata.com" TargetMode="External"/><Relationship  Id="rId3721" Type="http://schemas.openxmlformats.org/officeDocument/2006/relationships/hyperlink" Target="http://www.linkedin.com/company/archery-data-analytics" TargetMode="External"/><Relationship  Id="rId3722" Type="http://schemas.openxmlformats.org/officeDocument/2006/relationships/hyperlink" Target="http://www.linkedin.com/in/julienbrean" TargetMode="External"/><Relationship  Id="rId3723" Type="http://schemas.openxmlformats.org/officeDocument/2006/relationships/hyperlink" Target="http://ets-lavrut.com" TargetMode="External"/><Relationship  Id="rId3724" Type="http://schemas.openxmlformats.org/officeDocument/2006/relationships/hyperlink" Target="http://www.linkedin.com/company/ets-lavrut" TargetMode="External"/><Relationship  Id="rId3725" Type="http://schemas.openxmlformats.org/officeDocument/2006/relationships/hyperlink" Target="http://www.linkedin.com/in/jerome-elmalek-a1158a11" TargetMode="External"/><Relationship  Id="rId3726" Type="http://schemas.openxmlformats.org/officeDocument/2006/relationships/hyperlink" Target="http://avantagebusiness.fr" TargetMode="External"/><Relationship  Id="rId3727" Type="http://schemas.openxmlformats.org/officeDocument/2006/relationships/hyperlink" Target="http://www.linkedin.com/company/avantage-business" TargetMode="External"/><Relationship  Id="rId3728" Type="http://schemas.openxmlformats.org/officeDocument/2006/relationships/hyperlink" Target="http://www.linkedin.com/in/jacques-hamel-25673548" TargetMode="External"/><Relationship  Id="rId3729" Type="http://schemas.openxmlformats.org/officeDocument/2006/relationships/hyperlink" Target="http://amourdedieu.fr" TargetMode="External"/><Relationship  Id="rId373" Type="http://schemas.openxmlformats.org/officeDocument/2006/relationships/hyperlink" Target="http://www.lesjardiniers.org" TargetMode="External"/><Relationship  Id="rId3730" Type="http://schemas.openxmlformats.org/officeDocument/2006/relationships/hyperlink" Target="http://www.linkedin.com/company/amourdedieu" TargetMode="External"/><Relationship  Id="rId3731" Type="http://schemas.openxmlformats.org/officeDocument/2006/relationships/hyperlink" Target="http://www.linkedin.com/in/julien-ollier-4022775b" TargetMode="External"/><Relationship  Id="rId3732" Type="http://schemas.openxmlformats.org/officeDocument/2006/relationships/hyperlink" Target="http://skilz.io" TargetMode="External"/><Relationship  Id="rId3733" Type="http://schemas.openxmlformats.org/officeDocument/2006/relationships/hyperlink" Target="http://www.linkedin.com/company/skilz-io" TargetMode="External"/><Relationship  Id="rId3734" Type="http://schemas.openxmlformats.org/officeDocument/2006/relationships/hyperlink" Target="http://www.linkedin.com/in/julespedretti" TargetMode="External"/><Relationship  Id="rId3735" Type="http://schemas.openxmlformats.org/officeDocument/2006/relationships/hyperlink" Target="http://innovation-fluides.com" TargetMode="External"/><Relationship  Id="rId3736" Type="http://schemas.openxmlformats.org/officeDocument/2006/relationships/hyperlink" Target="http://www.linkedin.com/company/innovation-fluides" TargetMode="External"/><Relationship  Id="rId3737" Type="http://schemas.openxmlformats.org/officeDocument/2006/relationships/hyperlink" Target="http://www.linkedin.com/in/j%c3%a9r%c3%a9my-requier-bb742370" TargetMode="External"/><Relationship  Id="rId3738" Type="http://schemas.openxmlformats.org/officeDocument/2006/relationships/hyperlink" Target="http://koders.fr" TargetMode="External"/><Relationship  Id="rId3739" Type="http://schemas.openxmlformats.org/officeDocument/2006/relationships/hyperlink" Target="http://www.linkedin.com/company/kodersfr" TargetMode="External"/><Relationship  Id="rId374" Type="http://schemas.openxmlformats.org/officeDocument/2006/relationships/hyperlink" Target="http://www.linkedin.com/in/arnaud-capelle-4971559a" TargetMode="External"/><Relationship  Id="rId3740" Type="http://schemas.openxmlformats.org/officeDocument/2006/relationships/hyperlink" Target="https://www.facebook.com/bestkoders" TargetMode="External"/><Relationship  Id="rId3741" Type="http://schemas.openxmlformats.org/officeDocument/2006/relationships/hyperlink" Target="https://twitter.com/capptureads" TargetMode="External"/><Relationship  Id="rId3742" Type="http://schemas.openxmlformats.org/officeDocument/2006/relationships/hyperlink" Target="http://www.linkedin.com/in/jstaub" TargetMode="External"/><Relationship  Id="rId3743" Type="http://schemas.openxmlformats.org/officeDocument/2006/relationships/hyperlink" Target="http://olysta-it.fr" TargetMode="External"/><Relationship  Id="rId3744" Type="http://schemas.openxmlformats.org/officeDocument/2006/relationships/hyperlink" Target="http://www.linkedin.com/company/olysta" TargetMode="External"/><Relationship  Id="rId3745" Type="http://schemas.openxmlformats.org/officeDocument/2006/relationships/hyperlink" Target="http://www.linkedin.com/in/jonathan-verand-a54b1b108" TargetMode="External"/><Relationship  Id="rId3746" Type="http://schemas.openxmlformats.org/officeDocument/2006/relationships/hyperlink" Target="http://meta2e.com" TargetMode="External"/><Relationship  Id="rId3747" Type="http://schemas.openxmlformats.org/officeDocument/2006/relationships/hyperlink" Target="http://www.linkedin.com/company/meta-2e" TargetMode="External"/><Relationship  Id="rId3748" Type="http://schemas.openxmlformats.org/officeDocument/2006/relationships/hyperlink" Target="https://twitter.com/meta2e" TargetMode="External"/><Relationship  Id="rId3749" Type="http://schemas.openxmlformats.org/officeDocument/2006/relationships/hyperlink" Target="http://www.linkedin.com/in/j%c3%a9r%c3%b4me-viollet-117011a5" TargetMode="External"/><Relationship  Id="rId375" Type="http://schemas.openxmlformats.org/officeDocument/2006/relationships/hyperlink" Target="http://www.tonton-michel.fr" TargetMode="External"/><Relationship  Id="rId3750" Type="http://schemas.openxmlformats.org/officeDocument/2006/relationships/hyperlink" Target="http://www.linkedin.com/company/l-atelier-maison" TargetMode="External"/><Relationship  Id="rId3751" Type="http://schemas.openxmlformats.org/officeDocument/2006/relationships/hyperlink" Target="http://www.linkedin.com/in/jacques-berger-734a701" TargetMode="External"/><Relationship  Id="rId3752" Type="http://schemas.openxmlformats.org/officeDocument/2006/relationships/hyperlink" Target="http://procall-telecom.fr" TargetMode="External"/><Relationship  Id="rId3753" Type="http://schemas.openxmlformats.org/officeDocument/2006/relationships/hyperlink" Target="http://www.linkedin.com/company/procall-distributeur-sfr" TargetMode="External"/><Relationship  Id="rId3754" Type="http://schemas.openxmlformats.org/officeDocument/2006/relationships/hyperlink" Target="http://www.linkedin.com/in/james-theis-dirigeant-investisseur-acteur-local-paca" TargetMode="External"/><Relationship  Id="rId3755" Type="http://schemas.openxmlformats.org/officeDocument/2006/relationships/hyperlink" Target="http://njpartners.fr" TargetMode="External"/><Relationship  Id="rId3756" Type="http://schemas.openxmlformats.org/officeDocument/2006/relationships/hyperlink" Target="http://www.linkedin.com/company/njpartners" TargetMode="External"/><Relationship  Id="rId3757" Type="http://schemas.openxmlformats.org/officeDocument/2006/relationships/hyperlink" Target="http://www.linkedin.com/in/jeremy-bensimon-848567226" TargetMode="External"/><Relationship  Id="rId3758" Type="http://schemas.openxmlformats.org/officeDocument/2006/relationships/hyperlink" Target="http://www.linkedin.com/in/jean-christophe-manent-5978075" TargetMode="External"/><Relationship  Id="rId3759" Type="http://schemas.openxmlformats.org/officeDocument/2006/relationships/hyperlink" Target="http://xotis.com" TargetMode="External"/><Relationship  Id="rId376" Type="http://schemas.openxmlformats.org/officeDocument/2006/relationships/hyperlink" Target="http://www.linkedin.com/in/cofounder-wegogreenr" TargetMode="External"/><Relationship  Id="rId3760" Type="http://schemas.openxmlformats.org/officeDocument/2006/relationships/hyperlink" Target="http://www.linkedin.com/company/xotis" TargetMode="External"/><Relationship  Id="rId3761" Type="http://schemas.openxmlformats.org/officeDocument/2006/relationships/hyperlink" Target="https://twitter.com/xotis" TargetMode="External"/><Relationship  Id="rId3762" Type="http://schemas.openxmlformats.org/officeDocument/2006/relationships/hyperlink" Target="https://www.facebook.com/xotis/" TargetMode="External"/><Relationship  Id="rId3763" Type="http://schemas.openxmlformats.org/officeDocument/2006/relationships/hyperlink" Target="http://www.linkedin.com/in/julien-dumont-548a5388" TargetMode="External"/><Relationship  Id="rId3764" Type="http://schemas.openxmlformats.org/officeDocument/2006/relationships/hyperlink" Target="http://jems-group.com" TargetMode="External"/><Relationship  Id="rId3765" Type="http://schemas.openxmlformats.org/officeDocument/2006/relationships/hyperlink" Target="http://www.linkedin.com/company/jems-group" TargetMode="External"/><Relationship  Id="rId3766" Type="http://schemas.openxmlformats.org/officeDocument/2006/relationships/hyperlink" Target="https://twitter.com/jemsgroup" TargetMode="External"/><Relationship  Id="rId3767" Type="http://schemas.openxmlformats.org/officeDocument/2006/relationships/hyperlink" Target="https://facebook.com/JEMSpartners" TargetMode="External"/><Relationship  Id="rId3768" Type="http://schemas.openxmlformats.org/officeDocument/2006/relationships/hyperlink" Target="http://www.linkedin.com/in/j%c3%a9r%c3%a9mie-delpey-199a0828" TargetMode="External"/><Relationship  Id="rId3769" Type="http://schemas.openxmlformats.org/officeDocument/2006/relationships/hyperlink" Target="http://sinfin.fr" TargetMode="External"/><Relationship  Id="rId377" Type="http://schemas.openxmlformats.org/officeDocument/2006/relationships/hyperlink" Target="http://www.wegogreenr.com" TargetMode="External"/><Relationship  Id="rId3770" Type="http://schemas.openxmlformats.org/officeDocument/2006/relationships/hyperlink" Target="http://www.linkedin.com/company/sinfin-platform" TargetMode="External"/><Relationship  Id="rId3771" Type="http://schemas.openxmlformats.org/officeDocument/2006/relationships/hyperlink" Target="https://facebook.com/sinfinagency" TargetMode="External"/><Relationship  Id="rId3772" Type="http://schemas.openxmlformats.org/officeDocument/2006/relationships/hyperlink" Target="http://www.linkedin.com/in/jeremy-domingo-" TargetMode="External"/><Relationship  Id="rId3773" Type="http://schemas.openxmlformats.org/officeDocument/2006/relationships/hyperlink" Target="http://b-harmonist.com" TargetMode="External"/><Relationship  Id="rId3774" Type="http://schemas.openxmlformats.org/officeDocument/2006/relationships/hyperlink" Target="http://www.linkedin.com/company/businessharmonist" TargetMode="External"/><Relationship  Id="rId3775" Type="http://schemas.openxmlformats.org/officeDocument/2006/relationships/hyperlink" Target="https://twitter.com/BHarmonist" TargetMode="External"/><Relationship  Id="rId3776" Type="http://schemas.openxmlformats.org/officeDocument/2006/relationships/hyperlink" Target="https://facebook.com/businessharmonists" TargetMode="External"/><Relationship  Id="rId3777" Type="http://schemas.openxmlformats.org/officeDocument/2006/relationships/hyperlink" Target="http://www.linkedin.com/in/jdsulpice" TargetMode="External"/><Relationship  Id="rId3778" Type="http://schemas.openxmlformats.org/officeDocument/2006/relationships/hyperlink" Target="http://adriver.co" TargetMode="External"/><Relationship  Id="rId3779" Type="http://schemas.openxmlformats.org/officeDocument/2006/relationships/hyperlink" Target="http://www.linkedin.com/company/adriverco" TargetMode="External"/><Relationship  Id="rId378" Type="http://schemas.openxmlformats.org/officeDocument/2006/relationships/hyperlink" Target="http://www.linkedin.com/in/maxime-bertrand-8b9653a3" TargetMode="External"/><Relationship  Id="rId3780" Type="http://schemas.openxmlformats.org/officeDocument/2006/relationships/hyperlink" Target="http://www.linkedin.com/in/jean-fran%c3%a7ois-curtil-ab3519a5" TargetMode="External"/><Relationship  Id="rId3781" Type="http://schemas.openxmlformats.org/officeDocument/2006/relationships/hyperlink" Target="http://www.linkedin.com/company/o-&amp;-b-consulting" TargetMode="External"/><Relationship  Id="rId3782" Type="http://schemas.openxmlformats.org/officeDocument/2006/relationships/hyperlink" Target="https://www.facebook.com/Obconsulting19/" TargetMode="External"/><Relationship  Id="rId3783" Type="http://schemas.openxmlformats.org/officeDocument/2006/relationships/hyperlink" Target="http://www.linkedin.com/in/jean-fran%c3%a7ois-gourion-8a113716" TargetMode="External"/><Relationship  Id="rId3784" Type="http://schemas.openxmlformats.org/officeDocument/2006/relationships/hyperlink" Target="http://fullenrich.com" TargetMode="External"/><Relationship  Id="rId3785" Type="http://schemas.openxmlformats.org/officeDocument/2006/relationships/hyperlink" Target="http://www.linkedin.com/company/fullenrich" TargetMode="External"/><Relationship  Id="rId3786" Type="http://schemas.openxmlformats.org/officeDocument/2006/relationships/hyperlink" Target="http://www.linkedin.com/in/jean-luc-manceron-8912b795" TargetMode="External"/><Relationship  Id="rId3787" Type="http://schemas.openxmlformats.org/officeDocument/2006/relationships/hyperlink" Target="http://axis-electronique.com" TargetMode="External"/><Relationship  Id="rId3788" Type="http://schemas.openxmlformats.org/officeDocument/2006/relationships/hyperlink" Target="http://www.linkedin.com/company/sarl-axis-electronique" TargetMode="External"/><Relationship  Id="rId3789" Type="http://schemas.openxmlformats.org/officeDocument/2006/relationships/hyperlink" Target="http://www.linkedin.com/in/jean-noel-grimault-5ba950106" TargetMode="External"/><Relationship  Id="rId379" Type="http://schemas.openxmlformats.org/officeDocument/2006/relationships/hyperlink" Target="http://www.presquile.info" TargetMode="External"/><Relationship  Id="rId3790" Type="http://schemas.openxmlformats.org/officeDocument/2006/relationships/hyperlink" Target="http://coperbee.fr" TargetMode="External"/><Relationship  Id="rId3791" Type="http://schemas.openxmlformats.org/officeDocument/2006/relationships/hyperlink" Target="http://www.linkedin.com/company/coperbee" TargetMode="External"/><Relationship  Id="rId3792" Type="http://schemas.openxmlformats.org/officeDocument/2006/relationships/hyperlink" Target="https://www.facebook.com/CoperBee" TargetMode="External"/><Relationship  Id="rId3793" Type="http://schemas.openxmlformats.org/officeDocument/2006/relationships/hyperlink" Target="http://www.linkedin.com/in/jean-barret-castan-3a46877b" TargetMode="External"/><Relationship  Id="rId3794" Type="http://schemas.openxmlformats.org/officeDocument/2006/relationships/hyperlink" Target="http://www.linkedin.com/company/adaptivsystems" TargetMode="External"/><Relationship  Id="rId3795" Type="http://schemas.openxmlformats.org/officeDocument/2006/relationships/hyperlink" Target="https://www.twitter.com/adaptivsystems" TargetMode="External"/><Relationship  Id="rId3796" Type="http://schemas.openxmlformats.org/officeDocument/2006/relationships/hyperlink" Target="https://www.facebook.com/adaptivsystems" TargetMode="External"/><Relationship  Id="rId3797" Type="http://schemas.openxmlformats.org/officeDocument/2006/relationships/hyperlink" Target="http://www.linkedin.com/in/jean-baptiste-lucas-75723334" TargetMode="External"/><Relationship  Id="rId3798" Type="http://schemas.openxmlformats.org/officeDocument/2006/relationships/hyperlink" Target="http://dna-trust.com" TargetMode="External"/><Relationship  Id="rId3799" Type="http://schemas.openxmlformats.org/officeDocument/2006/relationships/hyperlink" Target="http://www.linkedin.com/company/d-a-trust" TargetMode="External"/><Relationship  Id="rId38" Type="http://schemas.openxmlformats.org/officeDocument/2006/relationships/hyperlink" Target="http://www.lazysuzy.fr" TargetMode="External"/><Relationship  Id="rId380" Type="http://schemas.openxmlformats.org/officeDocument/2006/relationships/hyperlink" Target="http://www.linkedin.com/in/adamspielman" TargetMode="External"/><Relationship  Id="rId3800" Type="http://schemas.openxmlformats.org/officeDocument/2006/relationships/hyperlink" Target="http://www.linkedin.com/in/j%c3%a9r%c3%a9my-dubourg-574a9021" TargetMode="External"/><Relationship  Id="rId3801" Type="http://schemas.openxmlformats.org/officeDocument/2006/relationships/hyperlink" Target="http://r4innov.com" TargetMode="External"/><Relationship  Id="rId3802" Type="http://schemas.openxmlformats.org/officeDocument/2006/relationships/hyperlink" Target="http://www.linkedin.com/company/r4innov" TargetMode="External"/><Relationship  Id="rId3803" Type="http://schemas.openxmlformats.org/officeDocument/2006/relationships/hyperlink" Target="http://www.linkedin.com/in/jeremy-ohayon-0b35ba15" TargetMode="External"/><Relationship  Id="rId3804" Type="http://schemas.openxmlformats.org/officeDocument/2006/relationships/hyperlink" Target="http://expert-activ.com" TargetMode="External"/><Relationship  Id="rId3805" Type="http://schemas.openxmlformats.org/officeDocument/2006/relationships/hyperlink" Target="http://www.linkedin.com/company/expert-activ-le-r-seau-national-des-consultants-sp-cialis-s-en-d-veloppement-commercial" TargetMode="External"/><Relationship  Id="rId3806" Type="http://schemas.openxmlformats.org/officeDocument/2006/relationships/hyperlink" Target="https://twitter.com/expertactiv1" TargetMode="External"/><Relationship  Id="rId3807" Type="http://schemas.openxmlformats.org/officeDocument/2006/relationships/hyperlink" Target="https://facebook.com/expertactiv" TargetMode="External"/><Relationship  Id="rId3808" Type="http://schemas.openxmlformats.org/officeDocument/2006/relationships/hyperlink" Target="http://www.linkedin.com/in/j%c3%a9r%c3%b4me-froment-meurice-9576325b" TargetMode="External"/><Relationship  Id="rId3809" Type="http://schemas.openxmlformats.org/officeDocument/2006/relationships/hyperlink" Target="http://kapito-consulting.com" TargetMode="External"/><Relationship  Id="rId381" Type="http://schemas.openxmlformats.org/officeDocument/2006/relationships/hyperlink" Target="http://www.pamelabar.com" TargetMode="External"/><Relationship  Id="rId3810" Type="http://schemas.openxmlformats.org/officeDocument/2006/relationships/hyperlink" Target="http://www.linkedin.com/company/kapitoconsulting" TargetMode="External"/><Relationship  Id="rId3811" Type="http://schemas.openxmlformats.org/officeDocument/2006/relationships/hyperlink" Target="https://twitter.com/Kapito_C" TargetMode="External"/><Relationship  Id="rId3812" Type="http://schemas.openxmlformats.org/officeDocument/2006/relationships/hyperlink" Target="http://www.linkedin.com/in/j%c3%a9r%c3%b4me-pechenard-0185a2a" TargetMode="External"/><Relationship  Id="rId3813" Type="http://schemas.openxmlformats.org/officeDocument/2006/relationships/hyperlink" Target="http://banquiz.fr" TargetMode="External"/><Relationship  Id="rId3814" Type="http://schemas.openxmlformats.org/officeDocument/2006/relationships/hyperlink" Target="http://www.linkedin.com/company/maison-banquiz" TargetMode="External"/><Relationship  Id="rId3815" Type="http://schemas.openxmlformats.org/officeDocument/2006/relationships/hyperlink" Target="http://www.linkedin.com/in/j%c3%a9r%c3%b4me-fourest-32483b" TargetMode="External"/><Relationship  Id="rId3816" Type="http://schemas.openxmlformats.org/officeDocument/2006/relationships/hyperlink" Target="http://fisa.fr" TargetMode="External"/><Relationship  Id="rId3817" Type="http://schemas.openxmlformats.org/officeDocument/2006/relationships/hyperlink" Target="http://www.linkedin.com/company/fauconnet-ingenierie-sa" TargetMode="External"/><Relationship  Id="rId3818" Type="http://schemas.openxmlformats.org/officeDocument/2006/relationships/hyperlink" Target="https://twitter.com/Fisa_News" TargetMode="External"/><Relationship  Id="rId3819" Type="http://schemas.openxmlformats.org/officeDocument/2006/relationships/hyperlink" Target="https://www.facebook.com/pages/Fauconnet-Ing%C3%A9nierie-SA/1707044375989370" TargetMode="External"/><Relationship  Id="rId382" Type="http://schemas.openxmlformats.org/officeDocument/2006/relationships/hyperlink" Target="http://www.linkedin.com/in/bertrand-van-hauw-8037053b" TargetMode="External"/><Relationship  Id="rId3820" Type="http://schemas.openxmlformats.org/officeDocument/2006/relationships/hyperlink" Target="http://www.linkedin.com/in/j%c3%a9r%c3%b4me-fauconnet-09369a83" TargetMode="External"/><Relationship  Id="rId3821" Type="http://schemas.openxmlformats.org/officeDocument/2006/relationships/hyperlink" Target="http://montigroupe95.fr" TargetMode="External"/><Relationship  Id="rId3822" Type="http://schemas.openxmlformats.org/officeDocument/2006/relationships/hyperlink" Target="http://www.linkedin.com/company/monti-groupe" TargetMode="External"/><Relationship  Id="rId3823" Type="http://schemas.openxmlformats.org/officeDocument/2006/relationships/hyperlink" Target="https://www.facebook.com/montigroupe95/" TargetMode="External"/><Relationship  Id="rId3824" Type="http://schemas.openxmlformats.org/officeDocument/2006/relationships/hyperlink" Target="http://www.linkedin.com/in/jessica-monti-b655b779" TargetMode="External"/><Relationship  Id="rId3825" Type="http://schemas.openxmlformats.org/officeDocument/2006/relationships/hyperlink" Target="http://projim.com" TargetMode="External"/><Relationship  Id="rId3826" Type="http://schemas.openxmlformats.org/officeDocument/2006/relationships/hyperlink" Target="http://www.linkedin.com/company/projim" TargetMode="External"/><Relationship  Id="rId3827" Type="http://schemas.openxmlformats.org/officeDocument/2006/relationships/hyperlink" Target="http://www.linkedin.com/in/jessica-kauffmann-613199334" TargetMode="External"/><Relationship  Id="rId3828" Type="http://schemas.openxmlformats.org/officeDocument/2006/relationships/hyperlink" Target="http://metalperformances.com" TargetMode="External"/><Relationship  Id="rId3829" Type="http://schemas.openxmlformats.org/officeDocument/2006/relationships/hyperlink" Target="http://www.linkedin.com/company/m%c3%a9tal-performances" TargetMode="External"/><Relationship  Id="rId383" Type="http://schemas.openxmlformats.org/officeDocument/2006/relationships/hyperlink" Target="http://www.diana-dea-lodge.re" TargetMode="External"/><Relationship  Id="rId3830" Type="http://schemas.openxmlformats.org/officeDocument/2006/relationships/hyperlink" Target="http://www.linkedin.com/in/jimmy-fauchoux-29965826" TargetMode="External"/><Relationship  Id="rId3831" Type="http://schemas.openxmlformats.org/officeDocument/2006/relationships/hyperlink" Target="http://optimistik.com" TargetMode="External"/><Relationship  Id="rId3832" Type="http://schemas.openxmlformats.org/officeDocument/2006/relationships/hyperlink" Target="http://www.linkedin.com/company/optimistik" TargetMode="External"/><Relationship  Id="rId3833" Type="http://schemas.openxmlformats.org/officeDocument/2006/relationships/hyperlink" Target="http://www.linkedin.com/in/jfhenon" TargetMode="External"/><Relationship  Id="rId3834" Type="http://schemas.openxmlformats.org/officeDocument/2006/relationships/hyperlink" Target="http://viadirect.com" TargetMode="External"/><Relationship  Id="rId3835" Type="http://schemas.openxmlformats.org/officeDocument/2006/relationships/hyperlink" Target="http://www.linkedin.com/company/viadirectiledesmedias" TargetMode="External"/><Relationship  Id="rId3836" Type="http://schemas.openxmlformats.org/officeDocument/2006/relationships/hyperlink" Target="http://www.linkedin.com/in/j%c3%a9r%c3%b4me-h%c3%a9rard-b544b61" TargetMode="External"/><Relationship  Id="rId3837" Type="http://schemas.openxmlformats.org/officeDocument/2006/relationships/hyperlink" Target="http://alliance-economie.fr" TargetMode="External"/><Relationship  Id="rId3838" Type="http://schemas.openxmlformats.org/officeDocument/2006/relationships/hyperlink" Target="http://www.linkedin.com/company/allianceeconomie" TargetMode="External"/><Relationship  Id="rId3839" Type="http://schemas.openxmlformats.org/officeDocument/2006/relationships/hyperlink" Target="http://www.linkedin.com/in/jihane-nabih-b79b36140" TargetMode="External"/><Relationship  Id="rId384" Type="http://schemas.openxmlformats.org/officeDocument/2006/relationships/hyperlink" Target="http://www.linkedin.com/in/olivier-fernandez-a9bb2539" TargetMode="External"/><Relationship  Id="rId3840" Type="http://schemas.openxmlformats.org/officeDocument/2006/relationships/hyperlink" Target="http://certifopac.fr" TargetMode="External"/><Relationship  Id="rId3841" Type="http://schemas.openxmlformats.org/officeDocument/2006/relationships/hyperlink" Target="http://www.linkedin.com/company/certifopac" TargetMode="External"/><Relationship  Id="rId3842" Type="http://schemas.openxmlformats.org/officeDocument/2006/relationships/hyperlink" Target="http://www.linkedin.com/in/jimmymotc" TargetMode="External"/><Relationship  Id="rId3843" Type="http://schemas.openxmlformats.org/officeDocument/2006/relationships/hyperlink" Target="http://iteka.fr" TargetMode="External"/><Relationship  Id="rId3844" Type="http://schemas.openxmlformats.org/officeDocument/2006/relationships/hyperlink" Target="http://www.linkedin.com/company/sasiteka" TargetMode="External"/><Relationship  Id="rId3845" Type="http://schemas.openxmlformats.org/officeDocument/2006/relationships/hyperlink" Target="http://www.linkedin.com/in/james-morelle-32659510a" TargetMode="External"/><Relationship  Id="rId3846" Type="http://schemas.openxmlformats.org/officeDocument/2006/relationships/hyperlink" Target="http://twin.so" TargetMode="External"/><Relationship  Id="rId3847" Type="http://schemas.openxmlformats.org/officeDocument/2006/relationships/hyperlink" Target="http://www.linkedin.com/company/twinso" TargetMode="External"/><Relationship  Id="rId3848" Type="http://schemas.openxmlformats.org/officeDocument/2006/relationships/hyperlink" Target="http://www.linkedin.com/in/joao-a-justi" TargetMode="External"/><Relationship  Id="rId3849" Type="http://schemas.openxmlformats.org/officeDocument/2006/relationships/hyperlink" Target="http://youday.fr" TargetMode="External"/><Relationship  Id="rId385" Type="http://schemas.openxmlformats.org/officeDocument/2006/relationships/hyperlink" Target="http://www.legrandmazarin.com" TargetMode="External"/><Relationship  Id="rId3850" Type="http://schemas.openxmlformats.org/officeDocument/2006/relationships/hyperlink" Target="http://www.linkedin.com/company/youday-crm" TargetMode="External"/><Relationship  Id="rId3851" Type="http://schemas.openxmlformats.org/officeDocument/2006/relationships/hyperlink" Target="http://www.linkedin.com/in/jo%c3%abl-nomerange-781a6837" TargetMode="External"/><Relationship  Id="rId3852" Type="http://schemas.openxmlformats.org/officeDocument/2006/relationships/hyperlink" Target="http://andre-renovation.com" TargetMode="External"/><Relationship  Id="rId3853" Type="http://schemas.openxmlformats.org/officeDocument/2006/relationships/hyperlink" Target="http://www.linkedin.com/company/andre-anthony-sarl" TargetMode="External"/><Relationship  Id="rId3854" Type="http://schemas.openxmlformats.org/officeDocument/2006/relationships/hyperlink" Target="http://www.linkedin.com/in/joffrey-verdiere-91b9b6127" TargetMode="External"/><Relationship  Id="rId3855" Type="http://schemas.openxmlformats.org/officeDocument/2006/relationships/hyperlink" Target="http://cogifor.com" TargetMode="External"/><Relationship  Id="rId3856" Type="http://schemas.openxmlformats.org/officeDocument/2006/relationships/hyperlink" Target="http://www.linkedin.com/company/cogifor-com" TargetMode="External"/><Relationship  Id="rId3857" Type="http://schemas.openxmlformats.org/officeDocument/2006/relationships/hyperlink" Target="http://www.linkedin.com/in/johann-braud-858aba87" TargetMode="External"/><Relationship  Id="rId3858" Type="http://schemas.openxmlformats.org/officeDocument/2006/relationships/hyperlink" Target="http://jhhapplications.com" TargetMode="External"/><Relationship  Id="rId3859" Type="http://schemas.openxmlformats.org/officeDocument/2006/relationships/hyperlink" Target="http://www.linkedin.com/company/jhhapplications" TargetMode="External"/><Relationship  Id="rId386" Type="http://schemas.openxmlformats.org/officeDocument/2006/relationships/hyperlink" Target="http://www.linkedin.com/in/emmanuel-beuvelet-609476143" TargetMode="External"/><Relationship  Id="rId3860" Type="http://schemas.openxmlformats.org/officeDocument/2006/relationships/hyperlink" Target="http://www.linkedin.com/in/jonathan-bernardie-72b6b386" TargetMode="External"/><Relationship  Id="rId3861" Type="http://schemas.openxmlformats.org/officeDocument/2006/relationships/hyperlink" Target="http://www.linkedin.com/company/temporis-loire-sud" TargetMode="External"/><Relationship  Id="rId3862" Type="http://schemas.openxmlformats.org/officeDocument/2006/relationships/hyperlink" Target="http://www.linkedin.com/in/jonathan-rizand-0517a9136" TargetMode="External"/><Relationship  Id="rId3863" Type="http://schemas.openxmlformats.org/officeDocument/2006/relationships/hyperlink" Target="http://toutateam.fr" TargetMode="External"/><Relationship  Id="rId3864" Type="http://schemas.openxmlformats.org/officeDocument/2006/relationships/hyperlink" Target="http://www.linkedin.com/company/toutateam" TargetMode="External"/><Relationship  Id="rId3865" Type="http://schemas.openxmlformats.org/officeDocument/2006/relationships/hyperlink" Target="http://www.linkedin.com/in/jonathan-le-bigot-894049a8" TargetMode="External"/><Relationship  Id="rId3866" Type="http://schemas.openxmlformats.org/officeDocument/2006/relationships/hyperlink" Target="http://slash-consulting.fr" TargetMode="External"/><Relationship  Id="rId3867" Type="http://schemas.openxmlformats.org/officeDocument/2006/relationships/hyperlink" Target="http://www.linkedin.com/company/slash-consulting-france" TargetMode="External"/><Relationship  Id="rId3868" Type="http://schemas.openxmlformats.org/officeDocument/2006/relationships/hyperlink" Target="http://www.linkedin.com/in/joris-thomas-92b320133" TargetMode="External"/><Relationship  Id="rId3869" Type="http://schemas.openxmlformats.org/officeDocument/2006/relationships/hyperlink" Target="http://saalz.com" TargetMode="External"/><Relationship  Id="rId387" Type="http://schemas.openxmlformats.org/officeDocument/2006/relationships/hyperlink" Target="http://www.abbaye-celle.com" TargetMode="External"/><Relationship  Id="rId3870" Type="http://schemas.openxmlformats.org/officeDocument/2006/relationships/hyperlink" Target="http://www.linkedin.com/company/saalz" TargetMode="External"/><Relationship  Id="rId3871" Type="http://schemas.openxmlformats.org/officeDocument/2006/relationships/hyperlink" Target="http://www.linkedin.com/in/jorisdubouloz" TargetMode="External"/><Relationship  Id="rId3872" Type="http://schemas.openxmlformats.org/officeDocument/2006/relationships/hyperlink" Target="http://celia-creation.fr" TargetMode="External"/><Relationship  Id="rId3873" Type="http://schemas.openxmlformats.org/officeDocument/2006/relationships/hyperlink" Target="http://www.linkedin.com/company/celia-creation" TargetMode="External"/><Relationship  Id="rId3874" Type="http://schemas.openxmlformats.org/officeDocument/2006/relationships/hyperlink" Target="https://www.facebook.com/maisonceliacreation" TargetMode="External"/><Relationship  Id="rId3875" Type="http://schemas.openxmlformats.org/officeDocument/2006/relationships/hyperlink" Target="http://www.linkedin.com/in/jos%c3%a9-longo-95a616b1" TargetMode="External"/><Relationship  Id="rId3876" Type="http://schemas.openxmlformats.org/officeDocument/2006/relationships/hyperlink" Target="http://quicktalk.com" TargetMode="External"/><Relationship  Id="rId3877" Type="http://schemas.openxmlformats.org/officeDocument/2006/relationships/hyperlink" Target="http://www.linkedin.com/company/quicktalkapp" TargetMode="External"/><Relationship  Id="rId3878" Type="http://schemas.openxmlformats.org/officeDocument/2006/relationships/hyperlink" Target="http://www.linkedin.com/in/joseph-cochrane-b6677630" TargetMode="External"/><Relationship  Id="rId3879" Type="http://schemas.openxmlformats.org/officeDocument/2006/relationships/hyperlink" Target="http://statera-corp.com" TargetMode="External"/><Relationship  Id="rId388" Type="http://schemas.openxmlformats.org/officeDocument/2006/relationships/hyperlink" Target="http://www.linkedin.com/in/anne-leroy-2019" TargetMode="External"/><Relationship  Id="rId3880" Type="http://schemas.openxmlformats.org/officeDocument/2006/relationships/hyperlink" Target="http://www.linkedin.com/company/statera-corp" TargetMode="External"/><Relationship  Id="rId3881" Type="http://schemas.openxmlformats.org/officeDocument/2006/relationships/hyperlink" Target="http://www.linkedin.com/in/josselin-fouquet-a88358bb" TargetMode="External"/><Relationship  Id="rId3882" Type="http://schemas.openxmlformats.org/officeDocument/2006/relationships/hyperlink" Target="http://gotel.fr" TargetMode="External"/><Relationship  Id="rId3883" Type="http://schemas.openxmlformats.org/officeDocument/2006/relationships/hyperlink" Target="http://www.linkedin.com/company/gotel-r%c3%a9seaux" TargetMode="External"/><Relationship  Id="rId3884" Type="http://schemas.openxmlformats.org/officeDocument/2006/relationships/hyperlink" Target="http://www.linkedin.com/in/julien-preynat-66933158" TargetMode="External"/><Relationship  Id="rId3885" Type="http://schemas.openxmlformats.org/officeDocument/2006/relationships/hyperlink" Target="http://maisons-terre-doc.fr" TargetMode="External"/><Relationship  Id="rId3886" Type="http://schemas.openxmlformats.org/officeDocument/2006/relationships/hyperlink" Target="http://www.linkedin.com/company/maisons-terre-doc" TargetMode="External"/><Relationship  Id="rId3887" Type="http://schemas.openxmlformats.org/officeDocument/2006/relationships/hyperlink" Target="http://www.linkedin.com/in/julien-torrecillas-46117b152" TargetMode="External"/><Relationship  Id="rId3888" Type="http://schemas.openxmlformats.org/officeDocument/2006/relationships/hyperlink" Target="http://frame-advisory.com" TargetMode="External"/><Relationship  Id="rId3889" Type="http://schemas.openxmlformats.org/officeDocument/2006/relationships/hyperlink" Target="http://www.linkedin.com/company/frame-advisory" TargetMode="External"/><Relationship  Id="rId389" Type="http://schemas.openxmlformats.org/officeDocument/2006/relationships/hyperlink" Target="http://www.lajavanaise.com" TargetMode="External"/><Relationship  Id="rId3890" Type="http://schemas.openxmlformats.org/officeDocument/2006/relationships/hyperlink" Target="http://www.linkedin.com/in/jules-castanet-4173a991" TargetMode="External"/><Relationship  Id="rId3891" Type="http://schemas.openxmlformats.org/officeDocument/2006/relationships/hyperlink" Target="http://epicerielideal.com" TargetMode="External"/><Relationship  Id="rId3892" Type="http://schemas.openxmlformats.org/officeDocument/2006/relationships/hyperlink" Target="http://www.linkedin.com/company/epicerie-l-ideal" TargetMode="External"/><Relationship  Id="rId3893" Type="http://schemas.openxmlformats.org/officeDocument/2006/relationships/hyperlink" Target="http://www.linkedin.com/in/julia-sammut-1a560336" TargetMode="External"/><Relationship  Id="rId3894" Type="http://schemas.openxmlformats.org/officeDocument/2006/relationships/hyperlink" Target="http://coven-france.fr" TargetMode="External"/><Relationship  Id="rId3895" Type="http://schemas.openxmlformats.org/officeDocument/2006/relationships/hyperlink" Target="http://www.linkedin.com/company/coven" TargetMode="External"/><Relationship  Id="rId3896" Type="http://schemas.openxmlformats.org/officeDocument/2006/relationships/hyperlink" Target="https://twitter.com/CovenFrance" TargetMode="External"/><Relationship  Id="rId3897" Type="http://schemas.openxmlformats.org/officeDocument/2006/relationships/hyperlink" Target="https://www.facebook.com/Coven-France-405090950051439/" TargetMode="External"/><Relationship  Id="rId3898" Type="http://schemas.openxmlformats.org/officeDocument/2006/relationships/hyperlink" Target="http://www.linkedin.com/in/julie-cutillas-201b53a" TargetMode="External"/><Relationship  Id="rId3899" Type="http://schemas.openxmlformats.org/officeDocument/2006/relationships/hyperlink" Target="http://uni-vision.fr" TargetMode="External"/><Relationship  Id="rId39" Type="http://schemas.openxmlformats.org/officeDocument/2006/relationships/hyperlink" Target="http://www.linkedin.com/in/medericmenard" TargetMode="External"/><Relationship  Id="rId390" Type="http://schemas.openxmlformats.org/officeDocument/2006/relationships/hyperlink" Target="http://www.linkedin.com/in/emilien-jaltier-7a3bb013" TargetMode="External"/><Relationship  Id="rId3900" Type="http://schemas.openxmlformats.org/officeDocument/2006/relationships/hyperlink" Target="http://www.linkedin.com/company/uni-vision" TargetMode="External"/><Relationship  Id="rId3901" Type="http://schemas.openxmlformats.org/officeDocument/2006/relationships/hyperlink" Target="https://www.facebook.com/univisionfrance" TargetMode="External"/><Relationship  Id="rId3902" Type="http://schemas.openxmlformats.org/officeDocument/2006/relationships/hyperlink" Target="http://www.linkedin.com/in/julien-daviau-94b95733" TargetMode="External"/><Relationship  Id="rId3903" Type="http://schemas.openxmlformats.org/officeDocument/2006/relationships/hyperlink" Target="http://carmen-conseil.fr" TargetMode="External"/><Relationship  Id="rId3904" Type="http://schemas.openxmlformats.org/officeDocument/2006/relationships/hyperlink" Target="http://www.linkedin.com/company/carmen-conseil" TargetMode="External"/><Relationship  Id="rId3905" Type="http://schemas.openxmlformats.org/officeDocument/2006/relationships/hyperlink" Target="http://www.linkedin.com/in/julien-dufossez-1ba74b45" TargetMode="External"/><Relationship  Id="rId3906" Type="http://schemas.openxmlformats.org/officeDocument/2006/relationships/hyperlink" Target="http://beesap.fr" TargetMode="External"/><Relationship  Id="rId3907" Type="http://schemas.openxmlformats.org/officeDocument/2006/relationships/hyperlink" Target="http://www.linkedin.com/company/beesap" TargetMode="External"/><Relationship  Id="rId3908" Type="http://schemas.openxmlformats.org/officeDocument/2006/relationships/hyperlink" Target="http://www.linkedin.com/in/julien-latoures-70003a15" TargetMode="External"/><Relationship  Id="rId3909" Type="http://schemas.openxmlformats.org/officeDocument/2006/relationships/hyperlink" Target="http://lumiscaphe.com" TargetMode="External"/><Relationship  Id="rId391" Type="http://schemas.openxmlformats.org/officeDocument/2006/relationships/hyperlink" Target="http://www.linkedin.com/in/thierry-acquitter-9176a1187" TargetMode="External"/><Relationship  Id="rId3910" Type="http://schemas.openxmlformats.org/officeDocument/2006/relationships/hyperlink" Target="http://www.linkedin.com/company/lumiscaphe" TargetMode="External"/><Relationship  Id="rId3911" Type="http://schemas.openxmlformats.org/officeDocument/2006/relationships/hyperlink" Target="https://twitter.com/lumiscaphe" TargetMode="External"/><Relationship  Id="rId3912" Type="http://schemas.openxmlformats.org/officeDocument/2006/relationships/hyperlink" Target="http://www.linkedin.com/in/jlunardelli" TargetMode="External"/><Relationship  Id="rId3913" Type="http://schemas.openxmlformats.org/officeDocument/2006/relationships/hyperlink" Target="http://mrit.fr" TargetMode="External"/><Relationship  Id="rId3914" Type="http://schemas.openxmlformats.org/officeDocument/2006/relationships/hyperlink" Target="http://www.linkedin.com/company/mrit-france" TargetMode="External"/><Relationship  Id="rId3915" Type="http://schemas.openxmlformats.org/officeDocument/2006/relationships/hyperlink" Target="http://www.linkedin.com/in/julien-morinay-89907061" TargetMode="External"/><Relationship  Id="rId3916" Type="http://schemas.openxmlformats.org/officeDocument/2006/relationships/hyperlink" Target="http://calumino.com" TargetMode="External"/><Relationship  Id="rId3917" Type="http://schemas.openxmlformats.org/officeDocument/2006/relationships/hyperlink" Target="http://www.linkedin.com/company/calumino" TargetMode="External"/><Relationship  Id="rId3918" Type="http://schemas.openxmlformats.org/officeDocument/2006/relationships/hyperlink" Target="https://facebook.com/calumino" TargetMode="External"/><Relationship  Id="rId3919" Type="http://schemas.openxmlformats.org/officeDocument/2006/relationships/hyperlink" Target="http://www.linkedin.com/in/julientournadre" TargetMode="External"/><Relationship  Id="rId392" Type="http://schemas.openxmlformats.org/officeDocument/2006/relationships/hyperlink" Target="http://www.bigoudenmakers.com" TargetMode="External"/><Relationship  Id="rId3920" Type="http://schemas.openxmlformats.org/officeDocument/2006/relationships/hyperlink" Target="http://fanprime.io" TargetMode="External"/><Relationship  Id="rId3921" Type="http://schemas.openxmlformats.org/officeDocument/2006/relationships/hyperlink" Target="http://www.linkedin.com/company/fanprime" TargetMode="External"/><Relationship  Id="rId3922" Type="http://schemas.openxmlformats.org/officeDocument/2006/relationships/hyperlink" Target="https://twitter.com/FanprimeH2o" TargetMode="External"/><Relationship  Id="rId3923" Type="http://schemas.openxmlformats.org/officeDocument/2006/relationships/hyperlink" Target="http://www.linkedin.com/in/julien-raoust-55b19216" TargetMode="External"/><Relationship  Id="rId3924" Type="http://schemas.openxmlformats.org/officeDocument/2006/relationships/hyperlink" Target="http://guermonprez.com" TargetMode="External"/><Relationship  Id="rId3925" Type="http://schemas.openxmlformats.org/officeDocument/2006/relationships/hyperlink" Target="http://www.linkedin.com/company/guermonprez-stores-&amp;-fermetures" TargetMode="External"/><Relationship  Id="rId3926" Type="http://schemas.openxmlformats.org/officeDocument/2006/relationships/hyperlink" Target="https://www.facebook.com/Guermonprez-Stores-et-Fermetures-109099841679288" TargetMode="External"/><Relationship  Id="rId3927" Type="http://schemas.openxmlformats.org/officeDocument/2006/relationships/hyperlink" Target="http://www.linkedin.com/in/julien-guermonprez-468ba6170" TargetMode="External"/><Relationship  Id="rId3928" Type="http://schemas.openxmlformats.org/officeDocument/2006/relationships/hyperlink" Target="http://renoouest.fr" TargetMode="External"/><Relationship  Id="rId3929" Type="http://schemas.openxmlformats.org/officeDocument/2006/relationships/hyperlink" Target="http://www.linkedin.com/company/renoouest" TargetMode="External"/><Relationship  Id="rId393" Type="http://schemas.openxmlformats.org/officeDocument/2006/relationships/hyperlink" Target="http://www.linkedin.com/in/luc-sananes-65924436" TargetMode="External"/><Relationship  Id="rId3930" Type="http://schemas.openxmlformats.org/officeDocument/2006/relationships/hyperlink" Target="http://www.linkedin.com/in/julien-leguen" TargetMode="External"/><Relationship  Id="rId3931" Type="http://schemas.openxmlformats.org/officeDocument/2006/relationships/hyperlink" Target="http://sociacom.fr" TargetMode="External"/><Relationship  Id="rId3932" Type="http://schemas.openxmlformats.org/officeDocument/2006/relationships/hyperlink" Target="http://www.linkedin.com/company/sociacom-fr" TargetMode="External"/><Relationship  Id="rId3933" Type="http://schemas.openxmlformats.org/officeDocument/2006/relationships/hyperlink" Target="https://www.facebook.com/Sociacom-1438515963075470/" TargetMode="External"/><Relationship  Id="rId3934" Type="http://schemas.openxmlformats.org/officeDocument/2006/relationships/hyperlink" Target="http://www.linkedin.com/in/julien-bonneau-8b30b74" TargetMode="External"/><Relationship  Id="rId3935" Type="http://schemas.openxmlformats.org/officeDocument/2006/relationships/hyperlink" Target="http://semawe.fr" TargetMode="External"/><Relationship  Id="rId3936" Type="http://schemas.openxmlformats.org/officeDocument/2006/relationships/hyperlink" Target="http://www.linkedin.com/company/semawe" TargetMode="External"/><Relationship  Id="rId3937" Type="http://schemas.openxmlformats.org/officeDocument/2006/relationships/hyperlink" Target="http://www.linkedin.com/in/juliettebunerie" TargetMode="External"/><Relationship  Id="rId3938" Type="http://schemas.openxmlformats.org/officeDocument/2006/relationships/hyperlink" Target="http://abelya-partners.com" TargetMode="External"/><Relationship  Id="rId3939" Type="http://schemas.openxmlformats.org/officeDocument/2006/relationships/hyperlink" Target="http://www.linkedin.com/company/abelya-partners" TargetMode="External"/><Relationship  Id="rId394" Type="http://schemas.openxmlformats.org/officeDocument/2006/relationships/hyperlink" Target="http://www.linkedin.com/in/patrick-henriroux-a162a795" TargetMode="External"/><Relationship  Id="rId3940" Type="http://schemas.openxmlformats.org/officeDocument/2006/relationships/hyperlink" Target="http://www.linkedin.com/in/kevin-allain-7174b5a" TargetMode="External"/><Relationship  Id="rId3941" Type="http://schemas.openxmlformats.org/officeDocument/2006/relationships/hyperlink" Target="http://2concert.fr" TargetMode="External"/><Relationship  Id="rId3942" Type="http://schemas.openxmlformats.org/officeDocument/2006/relationships/hyperlink" Target="http://www.linkedin.com/company/2concert" TargetMode="External"/><Relationship  Id="rId3943" Type="http://schemas.openxmlformats.org/officeDocument/2006/relationships/hyperlink" Target="http://www.linkedin.com/in/kasia-czora" TargetMode="External"/><Relationship  Id="rId3944" Type="http://schemas.openxmlformats.org/officeDocument/2006/relationships/hyperlink" Target="http://profilculture.com" TargetMode="External"/><Relationship  Id="rId3945" Type="http://schemas.openxmlformats.org/officeDocument/2006/relationships/hyperlink" Target="http://www.linkedin.com/company/profilculture-conseil" TargetMode="External"/><Relationship  Id="rId3946" Type="http://schemas.openxmlformats.org/officeDocument/2006/relationships/hyperlink" Target="http://www.linkedin.com/in/karim-fadlallah-cfa" TargetMode="External"/><Relationship  Id="rId3947" Type="http://schemas.openxmlformats.org/officeDocument/2006/relationships/hyperlink" Target="http://3s2i.fr" TargetMode="External"/><Relationship  Id="rId3948" Type="http://schemas.openxmlformats.org/officeDocument/2006/relationships/hyperlink" Target="http://www.linkedin.com/company/3s2i" TargetMode="External"/><Relationship  Id="rId3949" Type="http://schemas.openxmlformats.org/officeDocument/2006/relationships/hyperlink" Target="http://www.linkedin.com/in/karim-agrebi-4b040791" TargetMode="External"/><Relationship  Id="rId395" Type="http://schemas.openxmlformats.org/officeDocument/2006/relationships/hyperlink" Target="http://www.lapyramide.com" TargetMode="External"/><Relationship  Id="rId3950" Type="http://schemas.openxmlformats.org/officeDocument/2006/relationships/hyperlink" Target="http://flowlity.com" TargetMode="External"/><Relationship  Id="rId3951" Type="http://schemas.openxmlformats.org/officeDocument/2006/relationships/hyperlink" Target="http://www.linkedin.com/company/flowlity" TargetMode="External"/><Relationship  Id="rId3952" Type="http://schemas.openxmlformats.org/officeDocument/2006/relationships/hyperlink" Target="https://twitter.com/flowlity" TargetMode="External"/><Relationship  Id="rId3953" Type="http://schemas.openxmlformats.org/officeDocument/2006/relationships/hyperlink" Target="http://www.linkedin.com/in/karim-b-03233b54" TargetMode="External"/><Relationship  Id="rId3954" Type="http://schemas.openxmlformats.org/officeDocument/2006/relationships/hyperlink" Target="http://www.linkedin.com/company/mercateam-france" TargetMode="External"/><Relationship  Id="rId3955" Type="http://schemas.openxmlformats.org/officeDocument/2006/relationships/hyperlink" Target="http://www.linkedin.com/in/k%c3%a9vin-rouviere-3b34b94a" TargetMode="External"/><Relationship  Id="rId3956" Type="http://schemas.openxmlformats.org/officeDocument/2006/relationships/hyperlink" Target="http://qualibooth.com" TargetMode="External"/><Relationship  Id="rId3957" Type="http://schemas.openxmlformats.org/officeDocument/2006/relationships/hyperlink" Target="http://www.linkedin.com/company/qualibooth" TargetMode="External"/><Relationship  Id="rId3958" Type="http://schemas.openxmlformats.org/officeDocument/2006/relationships/hyperlink" Target="http://www.linkedin.com/in/kkralick" TargetMode="External"/><Relationship  Id="rId3959" Type="http://schemas.openxmlformats.org/officeDocument/2006/relationships/hyperlink" Target="http://ambiancestp.fr" TargetMode="External"/><Relationship  Id="rId396" Type="http://schemas.openxmlformats.org/officeDocument/2006/relationships/hyperlink" Target="http://www.linkedin.com/in/mehdi-sehaqui-006622189" TargetMode="External"/><Relationship  Id="rId3960" Type="http://schemas.openxmlformats.org/officeDocument/2006/relationships/hyperlink" Target="http://www.linkedin.com/company/ambiances-tp" TargetMode="External"/><Relationship  Id="rId3961" Type="http://schemas.openxmlformats.org/officeDocument/2006/relationships/hyperlink" Target="https://www.facebook.com/Ambiances-Tp-822857611136957" TargetMode="External"/><Relationship  Id="rId3962" Type="http://schemas.openxmlformats.org/officeDocument/2006/relationships/hyperlink" Target="http://www.linkedin.com/in/kamel-ledraa-3345a370" TargetMode="External"/><Relationship  Id="rId3963" Type="http://schemas.openxmlformats.org/officeDocument/2006/relationships/hyperlink" Target="http://moksa.ai" TargetMode="External"/><Relationship  Id="rId3964" Type="http://schemas.openxmlformats.org/officeDocument/2006/relationships/hyperlink" Target="http://www.linkedin.com/company/moksa-ai" TargetMode="External"/><Relationship  Id="rId3965" Type="http://schemas.openxmlformats.org/officeDocument/2006/relationships/hyperlink" Target="https://twitter.com/MoksaAi" TargetMode="External"/><Relationship  Id="rId3966" Type="http://schemas.openxmlformats.org/officeDocument/2006/relationships/hyperlink" Target="https://www.facebook.com/mokSa2021/" TargetMode="External"/><Relationship  Id="rId3967" Type="http://schemas.openxmlformats.org/officeDocument/2006/relationships/hyperlink" Target="http://www.linkedin.com/in/kranthimottu" TargetMode="External"/><Relationship  Id="rId3968" Type="http://schemas.openxmlformats.org/officeDocument/2006/relationships/hyperlink" Target="http://abarnou.fr" TargetMode="External"/><Relationship  Id="rId3969" Type="http://schemas.openxmlformats.org/officeDocument/2006/relationships/hyperlink" Target="http://www.linkedin.com/company/abarnou" TargetMode="External"/><Relationship  Id="rId397" Type="http://schemas.openxmlformats.org/officeDocument/2006/relationships/hyperlink" Target="http://www.minutup.com" TargetMode="External"/><Relationship  Id="rId3970" Type="http://schemas.openxmlformats.org/officeDocument/2006/relationships/hyperlink" Target="https://twitter.com/Abarnou76" TargetMode="External"/><Relationship  Id="rId3971" Type="http://schemas.openxmlformats.org/officeDocument/2006/relationships/hyperlink" Target="http://www.linkedin.com/in/ludivine-abarnou-hurel" TargetMode="External"/><Relationship  Id="rId3972" Type="http://schemas.openxmlformats.org/officeDocument/2006/relationships/hyperlink" Target="http://lamaisonfrancaise.com" TargetMode="External"/><Relationship  Id="rId3973" Type="http://schemas.openxmlformats.org/officeDocument/2006/relationships/hyperlink" Target="http://www.linkedin.com/company/lamaisonfrancaise" TargetMode="External"/><Relationship  Id="rId3974" Type="http://schemas.openxmlformats.org/officeDocument/2006/relationships/hyperlink" Target="http://www.linkedin.com/in/leilaerdmann" TargetMode="External"/><Relationship  Id="rId3975" Type="http://schemas.openxmlformats.org/officeDocument/2006/relationships/hyperlink" Target="http://kleva.fr" TargetMode="External"/><Relationship  Id="rId3976" Type="http://schemas.openxmlformats.org/officeDocument/2006/relationships/hyperlink" Target="http://www.linkedin.com/company/klevatoulouse" TargetMode="External"/><Relationship  Id="rId3977" Type="http://schemas.openxmlformats.org/officeDocument/2006/relationships/hyperlink" Target="http://www.linkedin.com/in/laurentgargaud" TargetMode="External"/><Relationship  Id="rId3978" Type="http://schemas.openxmlformats.org/officeDocument/2006/relationships/hyperlink" Target="http://eforia.co" TargetMode="External"/><Relationship  Id="rId3979" Type="http://schemas.openxmlformats.org/officeDocument/2006/relationships/hyperlink" Target="http://www.linkedin.com/company/eforia-digital" TargetMode="External"/><Relationship  Id="rId398" Type="http://schemas.openxmlformats.org/officeDocument/2006/relationships/hyperlink" Target="http://www.linkedin.com/in/kevin-sicsic-32687764" TargetMode="External"/><Relationship  Id="rId3980" Type="http://schemas.openxmlformats.org/officeDocument/2006/relationships/hyperlink" Target="http://www.linkedin.com/in/laurent-gaussin-835012118" TargetMode="External"/><Relationship  Id="rId3981" Type="http://schemas.openxmlformats.org/officeDocument/2006/relationships/hyperlink" Target="http://centres-gestion-stress.com" TargetMode="External"/><Relationship  Id="rId3982" Type="http://schemas.openxmlformats.org/officeDocument/2006/relationships/hyperlink" Target="http://www.linkedin.com/company/reseau-des-centres-de-gestion-du-stress" TargetMode="External"/><Relationship  Id="rId3983" Type="http://schemas.openxmlformats.org/officeDocument/2006/relationships/hyperlink" Target="http://www.linkedin.com/in/laurence-mialaret" TargetMode="External"/><Relationship  Id="rId3984" Type="http://schemas.openxmlformats.org/officeDocument/2006/relationships/hyperlink" Target="http://lswork.fr" TargetMode="External"/><Relationship  Id="rId3985" Type="http://schemas.openxmlformats.org/officeDocument/2006/relationships/hyperlink" Target="http://www.linkedin.com/company/ls-work" TargetMode="External"/><Relationship  Id="rId3986" Type="http://schemas.openxmlformats.org/officeDocument/2006/relationships/hyperlink" Target="http://www.linkedin.com/in/lotfi-saada-4b064710b" TargetMode="External"/><Relationship  Id="rId3987" Type="http://schemas.openxmlformats.org/officeDocument/2006/relationships/hyperlink" Target="http://kemtec-ingenierie.fr" TargetMode="External"/><Relationship  Id="rId3988" Type="http://schemas.openxmlformats.org/officeDocument/2006/relationships/hyperlink" Target="http://www.linkedin.com/company/kemtec" TargetMode="External"/><Relationship  Id="rId3989" Type="http://schemas.openxmlformats.org/officeDocument/2006/relationships/hyperlink" Target="http://www.linkedin.com/in/ltourneur" TargetMode="External"/><Relationship  Id="rId399" Type="http://schemas.openxmlformats.org/officeDocument/2006/relationships/hyperlink" Target="http://www.gaijinramenlab.com" TargetMode="External"/><Relationship  Id="rId3990" Type="http://schemas.openxmlformats.org/officeDocument/2006/relationships/hyperlink" Target="http://centrebretonhabitat.com" TargetMode="External"/><Relationship  Id="rId3991" Type="http://schemas.openxmlformats.org/officeDocument/2006/relationships/hyperlink" Target="http://www.linkedin.com/company/centre-breton-de-l&apos;habitat" TargetMode="External"/><Relationship  Id="rId3992" Type="http://schemas.openxmlformats.org/officeDocument/2006/relationships/hyperlink" Target="http://www.linkedin.com/in/loicvaillant" TargetMode="External"/><Relationship  Id="rId3993" Type="http://schemas.openxmlformats.org/officeDocument/2006/relationships/hyperlink" Target="http://radian.fr" TargetMode="External"/><Relationship  Id="rId3994" Type="http://schemas.openxmlformats.org/officeDocument/2006/relationships/hyperlink" Target="http://www.linkedin.com/company/radian-sa" TargetMode="External"/><Relationship  Id="rId3995" Type="http://schemas.openxmlformats.org/officeDocument/2006/relationships/hyperlink" Target="http://www.linkedin.com/in/ludovic-voltz-761b3920" TargetMode="External"/><Relationship  Id="rId3996" Type="http://schemas.openxmlformats.org/officeDocument/2006/relationships/hyperlink" Target="http://galeriedowntown.com" TargetMode="External"/><Relationship  Id="rId3997" Type="http://schemas.openxmlformats.org/officeDocument/2006/relationships/hyperlink" Target="http://www.linkedin.com/company/galerie-downtown---fran%c3%a7ois-laffanour" TargetMode="External"/><Relationship  Id="rId3998" Type="http://schemas.openxmlformats.org/officeDocument/2006/relationships/hyperlink" Target="http://www.linkedin.com/in/fran%c3%a7ois-laffanour-bb289115" TargetMode="External"/><Relationship  Id="rId3999" Type="http://schemas.openxmlformats.org/officeDocument/2006/relationships/hyperlink" Target="http://atelierpras.com" TargetMode="External"/><Relationship  Id="rId4" Type="http://schemas.openxmlformats.org/officeDocument/2006/relationships/hyperlink" Target="http://www.mozzaandco.it" TargetMode="External"/><Relationship  Id="rId40" Type="http://schemas.openxmlformats.org/officeDocument/2006/relationships/hyperlink" Target="http://www.creperieparisbreizh.fr" TargetMode="External"/><Relationship  Id="rId400" Type="http://schemas.openxmlformats.org/officeDocument/2006/relationships/hyperlink" Target="http://www.linkedin.com/in/simon-deleplanque-203ab146" TargetMode="External"/><Relationship  Id="rId4000" Type="http://schemas.openxmlformats.org/officeDocument/2006/relationships/hyperlink" Target="http://www.linkedin.com/company/atelier-pras" TargetMode="External"/><Relationship  Id="rId4001" Type="http://schemas.openxmlformats.org/officeDocument/2006/relationships/hyperlink" Target="https://facebook.com/people/Atelier-Pras/100076331841750/?_rdr" TargetMode="External"/><Relationship  Id="rId4002" Type="http://schemas.openxmlformats.org/officeDocument/2006/relationships/hyperlink" Target="http://www.linkedin.com/in/marc-de-laubier-0241b56a" TargetMode="External"/><Relationship  Id="rId4003" Type="http://schemas.openxmlformats.org/officeDocument/2006/relationships/hyperlink" Target="http://2lpconsulting.com" TargetMode="External"/><Relationship  Id="rId4004" Type="http://schemas.openxmlformats.org/officeDocument/2006/relationships/hyperlink" Target="http://www.linkedin.com/company/2lp-consulting" TargetMode="External"/><Relationship  Id="rId4005" Type="http://schemas.openxmlformats.org/officeDocument/2006/relationships/hyperlink" Target="http://www.linkedin.com/in/laura-loumingou-9567b331" TargetMode="External"/><Relationship  Id="rId4006" Type="http://schemas.openxmlformats.org/officeDocument/2006/relationships/hyperlink" Target="http://www.linkedin.com/company/umeo-consulting" TargetMode="External"/><Relationship  Id="rId4007" Type="http://schemas.openxmlformats.org/officeDocument/2006/relationships/hyperlink" Target="http://www.linkedin.com/in/laure-vincent-8131b5a5" TargetMode="External"/><Relationship  Id="rId4008" Type="http://schemas.openxmlformats.org/officeDocument/2006/relationships/hyperlink" Target="http://synergee.com" TargetMode="External"/><Relationship  Id="rId4009" Type="http://schemas.openxmlformats.org/officeDocument/2006/relationships/hyperlink" Target="http://www.linkedin.com/company/synergee" TargetMode="External"/><Relationship  Id="rId401" Type="http://schemas.openxmlformats.org/officeDocument/2006/relationships/hyperlink" Target="http://www.chezgaston-glaces-gaufres.com" TargetMode="External"/><Relationship  Id="rId4010" Type="http://schemas.openxmlformats.org/officeDocument/2006/relationships/hyperlink" Target="https://twitter.com/SynergeeFrance" TargetMode="External"/><Relationship  Id="rId4011" Type="http://schemas.openxmlformats.org/officeDocument/2006/relationships/hyperlink" Target="https://www.facebook.com/Synergee-163893756997197/" TargetMode="External"/><Relationship  Id="rId4012" Type="http://schemas.openxmlformats.org/officeDocument/2006/relationships/hyperlink" Target="https://twitter.com/dubernais" TargetMode="External"/><Relationship  Id="rId4013" Type="http://schemas.openxmlformats.org/officeDocument/2006/relationships/hyperlink" Target="http://www.linkedin.com/in/laurentdubernais" TargetMode="External"/><Relationship  Id="rId4014" Type="http://schemas.openxmlformats.org/officeDocument/2006/relationships/hyperlink" Target="http://ceribois.com" TargetMode="External"/><Relationship  Id="rId4015" Type="http://schemas.openxmlformats.org/officeDocument/2006/relationships/hyperlink" Target="http://www.linkedin.com/company/ceribois" TargetMode="External"/><Relationship  Id="rId4016" Type="http://schemas.openxmlformats.org/officeDocument/2006/relationships/hyperlink" Target="http://www.linkedin.com/in/laurent-fabregue-288706164" TargetMode="External"/><Relationship  Id="rId4017" Type="http://schemas.openxmlformats.org/officeDocument/2006/relationships/hyperlink" Target="http://www.linkedin.com/company/eco-valorisation" TargetMode="External"/><Relationship  Id="rId4018" Type="http://schemas.openxmlformats.org/officeDocument/2006/relationships/hyperlink" Target="http://www.linkedin.com/in/laurent-laye-67b247185" TargetMode="External"/><Relationship  Id="rId4019" Type="http://schemas.openxmlformats.org/officeDocument/2006/relationships/hyperlink" Target="http://leuville.com" TargetMode="External"/><Relationship  Id="rId402" Type="http://schemas.openxmlformats.org/officeDocument/2006/relationships/hyperlink" Target="http://www.linkedin.com/in/franck-meunier-76a074114" TargetMode="External"/><Relationship  Id="rId4020" Type="http://schemas.openxmlformats.org/officeDocument/2006/relationships/hyperlink" Target="http://www.linkedin.com/company/leuville-objects" TargetMode="External"/><Relationship  Id="rId4021" Type="http://schemas.openxmlformats.org/officeDocument/2006/relationships/hyperlink" Target="https://www.facebook.com/LeuvilleObjects" TargetMode="External"/><Relationship  Id="rId4022" Type="http://schemas.openxmlformats.org/officeDocument/2006/relationships/hyperlink" Target="http://www.linkedin.com/in/laurent-nel-b861a04" TargetMode="External"/><Relationship  Id="rId4023" Type="http://schemas.openxmlformats.org/officeDocument/2006/relationships/hyperlink" Target="http://www.linkedin.com/company/maelstr%c3%b6m-group" TargetMode="External"/><Relationship  Id="rId4024" Type="http://schemas.openxmlformats.org/officeDocument/2006/relationships/hyperlink" Target="https://fr-fr.facebook.com/maelstrom.group/" TargetMode="External"/><Relationship  Id="rId4025" Type="http://schemas.openxmlformats.org/officeDocument/2006/relationships/hyperlink" Target="http://www.linkedin.com/in/laurent-puyjalinet-0544b7a3" TargetMode="External"/><Relationship  Id="rId4026" Type="http://schemas.openxmlformats.org/officeDocument/2006/relationships/hyperlink" Target="http://bloomppm.com" TargetMode="External"/><Relationship  Id="rId4027" Type="http://schemas.openxmlformats.org/officeDocument/2006/relationships/hyperlink" Target="http://www.linkedin.com/company/bloomppm" TargetMode="External"/><Relationship  Id="rId4028" Type="http://schemas.openxmlformats.org/officeDocument/2006/relationships/hyperlink" Target="http://www.linkedin.com/in/laurent-sallerin-568a6922" TargetMode="External"/><Relationship  Id="rId4029" Type="http://schemas.openxmlformats.org/officeDocument/2006/relationships/hyperlink" Target="http://concret.fr" TargetMode="External"/><Relationship  Id="rId403" Type="http://schemas.openxmlformats.org/officeDocument/2006/relationships/hyperlink" Target="http://www.faktory.fr" TargetMode="External"/><Relationship  Id="rId4030" Type="http://schemas.openxmlformats.org/officeDocument/2006/relationships/hyperlink" Target="http://www.linkedin.com/company/concret-bordeaux" TargetMode="External"/><Relationship  Id="rId4031" Type="http://schemas.openxmlformats.org/officeDocument/2006/relationships/hyperlink" Target="http://www.linkedin.com/in/laurent-seguin-71629b166" TargetMode="External"/><Relationship  Id="rId4032" Type="http://schemas.openxmlformats.org/officeDocument/2006/relationships/hyperlink" Target="http://capiconsult.com" TargetMode="External"/><Relationship  Id="rId4033" Type="http://schemas.openxmlformats.org/officeDocument/2006/relationships/hyperlink" Target="http://www.linkedin.com/company/capiconsult" TargetMode="External"/><Relationship  Id="rId4034" Type="http://schemas.openxmlformats.org/officeDocument/2006/relationships/hyperlink" Target="https://www.facebook.com/CapiConsult/" TargetMode="External"/><Relationship  Id="rId4035" Type="http://schemas.openxmlformats.org/officeDocument/2006/relationships/hyperlink" Target="http://www.linkedin.com/in/laurentsouchaud" TargetMode="External"/><Relationship  Id="rId4036" Type="http://schemas.openxmlformats.org/officeDocument/2006/relationships/hyperlink" Target="http://air-formation.com" TargetMode="External"/><Relationship  Id="rId4037" Type="http://schemas.openxmlformats.org/officeDocument/2006/relationships/hyperlink" Target="http://www.linkedin.com/company/air-formation" TargetMode="External"/><Relationship  Id="rId4038" Type="http://schemas.openxmlformats.org/officeDocument/2006/relationships/hyperlink" Target="https://twitter.com/air_formation" TargetMode="External"/><Relationship  Id="rId4039" Type="http://schemas.openxmlformats.org/officeDocument/2006/relationships/hyperlink" Target="https://facebook.com/pages/Air-Formation/349647481875487" TargetMode="External"/><Relationship  Id="rId404" Type="http://schemas.openxmlformats.org/officeDocument/2006/relationships/hyperlink" Target="http://www.linkedin.com/in/vanessa-scoffier-b53b48164" TargetMode="External"/><Relationship  Id="rId4040" Type="http://schemas.openxmlformats.org/officeDocument/2006/relationships/hyperlink" Target="http://www.linkedin.com/in/laurent-vallier-3017b083" TargetMode="External"/><Relationship  Id="rId4041" Type="http://schemas.openxmlformats.org/officeDocument/2006/relationships/hyperlink" Target="http://www.linkedin.com/company/clarity-consulting-fr" TargetMode="External"/><Relationship  Id="rId4042" Type="http://schemas.openxmlformats.org/officeDocument/2006/relationships/hyperlink" Target="http://www.linkedin.com/in/laurenth" TargetMode="External"/><Relationship  Id="rId4043" Type="http://schemas.openxmlformats.org/officeDocument/2006/relationships/hyperlink" Target="http://lizee.com" TargetMode="External"/><Relationship  Id="rId4044" Type="http://schemas.openxmlformats.org/officeDocument/2006/relationships/hyperlink" Target="http://www.linkedin.com/company/lizee" TargetMode="External"/><Relationship  Id="rId4045" Type="http://schemas.openxmlformats.org/officeDocument/2006/relationships/hyperlink" Target="https://www.facebook.com/lizeesas" TargetMode="External"/><Relationship  Id="rId4046" Type="http://schemas.openxmlformats.org/officeDocument/2006/relationships/hyperlink" Target="http://www.linkedin.com/in/laurent-liz%c3%a9e-b5908a13a" TargetMode="External"/><Relationship  Id="rId4047" Type="http://schemas.openxmlformats.org/officeDocument/2006/relationships/hyperlink" Target="http://ttc-testing.com" TargetMode="External"/><Relationship  Id="rId4048" Type="http://schemas.openxmlformats.org/officeDocument/2006/relationships/hyperlink" Target="http://www.linkedin.com/company/ttc-testing" TargetMode="External"/><Relationship  Id="rId4049" Type="http://schemas.openxmlformats.org/officeDocument/2006/relationships/hyperlink" Target="http://www.linkedin.com/in/laurent-abid-2147a7" TargetMode="External"/><Relationship  Id="rId405" Type="http://schemas.openxmlformats.org/officeDocument/2006/relationships/hyperlink" Target="http://www.hotelhenriette.com" TargetMode="External"/><Relationship  Id="rId4050" Type="http://schemas.openxmlformats.org/officeDocument/2006/relationships/hyperlink" Target="http://wakemeup.fr" TargetMode="External"/><Relationship  Id="rId4051" Type="http://schemas.openxmlformats.org/officeDocument/2006/relationships/hyperlink" Target="http://www.linkedin.com/company/wake-me-up" TargetMode="External"/><Relationship  Id="rId4052" Type="http://schemas.openxmlformats.org/officeDocument/2006/relationships/hyperlink" Target="https://twitter.com/agence_wakemeup" TargetMode="External"/><Relationship  Id="rId4053" Type="http://schemas.openxmlformats.org/officeDocument/2006/relationships/hyperlink" Target="https://facebook.com/wakemeupparis" TargetMode="External"/><Relationship  Id="rId4054" Type="http://schemas.openxmlformats.org/officeDocument/2006/relationships/hyperlink" Target="http://www.linkedin.com/in/laurentketz" TargetMode="External"/><Relationship  Id="rId4055" Type="http://schemas.openxmlformats.org/officeDocument/2006/relationships/hyperlink" Target="http://glaz-ocean.fr" TargetMode="External"/><Relationship  Id="rId4056" Type="http://schemas.openxmlformats.org/officeDocument/2006/relationships/hyperlink" Target="http://www.linkedin.com/company/glazoceanglaz-ocean" TargetMode="External"/><Relationship  Id="rId4057" Type="http://schemas.openxmlformats.org/officeDocument/2006/relationships/hyperlink" Target="https://www.facebook.com/glazocean29" TargetMode="External"/><Relationship  Id="rId4058" Type="http://schemas.openxmlformats.org/officeDocument/2006/relationships/hyperlink" Target="http://www.linkedin.com/in/laurianne-le-cossec-11308911" TargetMode="External"/><Relationship  Id="rId4059" Type="http://schemas.openxmlformats.org/officeDocument/2006/relationships/hyperlink" Target="http://benett-portage.com" TargetMode="External"/><Relationship  Id="rId406" Type="http://schemas.openxmlformats.org/officeDocument/2006/relationships/hyperlink" Target="http://www.linkedin.com/in/caroline-mons-b9225948" TargetMode="External"/><Relationship  Id="rId4060" Type="http://schemas.openxmlformats.org/officeDocument/2006/relationships/hyperlink" Target="http://www.linkedin.com/company/benett-portage" TargetMode="External"/><Relationship  Id="rId4061" Type="http://schemas.openxmlformats.org/officeDocument/2006/relationships/hyperlink" Target="https://twitter.com/benett_portage" TargetMode="External"/><Relationship  Id="rId4062" Type="http://schemas.openxmlformats.org/officeDocument/2006/relationships/hyperlink" Target="https://www.facebook.com/Benett.Portage/" TargetMode="External"/><Relationship  Id="rId4063" Type="http://schemas.openxmlformats.org/officeDocument/2006/relationships/hyperlink" Target="http://www.linkedin.com/in/laurent-benharroch-portage-salarial" TargetMode="External"/><Relationship  Id="rId4064" Type="http://schemas.openxmlformats.org/officeDocument/2006/relationships/hyperlink" Target="http://bmpb.fr" TargetMode="External"/><Relationship  Id="rId4065" Type="http://schemas.openxmlformats.org/officeDocument/2006/relationships/hyperlink" Target="http://www.linkedin.com/company/bmpb-france" TargetMode="External"/><Relationship  Id="rId4066" Type="http://schemas.openxmlformats.org/officeDocument/2006/relationships/hyperlink" Target="http://www.linkedin.com/in/laurentcaimant" TargetMode="External"/><Relationship  Id="rId4067" Type="http://schemas.openxmlformats.org/officeDocument/2006/relationships/hyperlink" Target="http://egalitealapage.fr" TargetMode="External"/><Relationship  Id="rId4068" Type="http://schemas.openxmlformats.org/officeDocument/2006/relationships/hyperlink" Target="http://www.linkedin.com/company/egalitealapage" TargetMode="External"/><Relationship  Id="rId4069" Type="http://schemas.openxmlformats.org/officeDocument/2006/relationships/hyperlink" Target="http://www.linkedin.com/in/leabages" TargetMode="External"/><Relationship  Id="rId407" Type="http://schemas.openxmlformats.org/officeDocument/2006/relationships/hyperlink" Target="http://www.sunnset.fr" TargetMode="External"/><Relationship  Id="rId4070" Type="http://schemas.openxmlformats.org/officeDocument/2006/relationships/hyperlink" Target="http://copleni.fr" TargetMode="External"/><Relationship  Id="rId4071" Type="http://schemas.openxmlformats.org/officeDocument/2006/relationships/hyperlink" Target="http://www.linkedin.com/company/copleni" TargetMode="External"/><Relationship  Id="rId4072" Type="http://schemas.openxmlformats.org/officeDocument/2006/relationships/hyperlink" Target="http://www.linkedin.com/in/l%c3%a9a-mispoulet" TargetMode="External"/><Relationship  Id="rId4073" Type="http://schemas.openxmlformats.org/officeDocument/2006/relationships/hyperlink" Target="http://kairios.fr" TargetMode="External"/><Relationship  Id="rId4074" Type="http://schemas.openxmlformats.org/officeDocument/2006/relationships/hyperlink" Target="http://www.linkedin.com/company/kairios-les-compagnons-du-numerique" TargetMode="External"/><Relationship  Id="rId4075" Type="http://schemas.openxmlformats.org/officeDocument/2006/relationships/hyperlink" Target="http://www.linkedin.com/in/l%c3%a9o-lianos-65674040" TargetMode="External"/><Relationship  Id="rId4076" Type="http://schemas.openxmlformats.org/officeDocument/2006/relationships/hyperlink" Target="http://inotekk.com" TargetMode="External"/><Relationship  Id="rId4077" Type="http://schemas.openxmlformats.org/officeDocument/2006/relationships/hyperlink" Target="http://www.linkedin.com/company/inotekk" TargetMode="External"/><Relationship  Id="rId4078" Type="http://schemas.openxmlformats.org/officeDocument/2006/relationships/hyperlink" Target="http://www.linkedin.com/in/l%c3%a9o-marques-bba09246" TargetMode="External"/><Relationship  Id="rId4079" Type="http://schemas.openxmlformats.org/officeDocument/2006/relationships/hyperlink" Target="http://nomiks.io" TargetMode="External"/><Relationship  Id="rId408" Type="http://schemas.openxmlformats.org/officeDocument/2006/relationships/hyperlink" Target="http://www.linkedin.com/in/maximechauvin" TargetMode="External"/><Relationship  Id="rId4080" Type="http://schemas.openxmlformats.org/officeDocument/2006/relationships/hyperlink" Target="http://www.linkedin.com/company/nomiks7" TargetMode="External"/><Relationship  Id="rId4081" Type="http://schemas.openxmlformats.org/officeDocument/2006/relationships/hyperlink" Target="http://www.linkedin.com/in/leodelion" TargetMode="External"/><Relationship  Id="rId4082" Type="http://schemas.openxmlformats.org/officeDocument/2006/relationships/hyperlink" Target="http://roche-et-cie.fr" TargetMode="External"/><Relationship  Id="rId4083" Type="http://schemas.openxmlformats.org/officeDocument/2006/relationships/hyperlink" Target="http://www.linkedin.com/company/roche-et-cie" TargetMode="External"/><Relationship  Id="rId4084" Type="http://schemas.openxmlformats.org/officeDocument/2006/relationships/hyperlink" Target="http://www.linkedin.com/in/lucas-garin-762540212" TargetMode="External"/><Relationship  Id="rId4085" Type="http://schemas.openxmlformats.org/officeDocument/2006/relationships/hyperlink" Target="http://diamartconsulting.fr" TargetMode="External"/><Relationship  Id="rId4086" Type="http://schemas.openxmlformats.org/officeDocument/2006/relationships/hyperlink" Target="http://www.linkedin.com/company/diamart-consulting" TargetMode="External"/><Relationship  Id="rId4087" Type="http://schemas.openxmlformats.org/officeDocument/2006/relationships/hyperlink" Target="https://twitter.com/DiamartGroup" TargetMode="External"/><Relationship  Id="rId4088" Type="http://schemas.openxmlformats.org/officeDocument/2006/relationships/hyperlink" Target="http://www.linkedin.com/in/ludovic-lanoue-de-suremain-4140891b" TargetMode="External"/><Relationship  Id="rId4089" Type="http://schemas.openxmlformats.org/officeDocument/2006/relationships/hyperlink" Target="http://asbadrums.com" TargetMode="External"/><Relationship  Id="rId409" Type="http://schemas.openxmlformats.org/officeDocument/2006/relationships/hyperlink" Target="http://www.doublevieparis.com" TargetMode="External"/><Relationship  Id="rId4090" Type="http://schemas.openxmlformats.org/officeDocument/2006/relationships/hyperlink" Target="http://www.linkedin.com/company/asba-drums" TargetMode="External"/><Relationship  Id="rId4091" Type="http://schemas.openxmlformats.org/officeDocument/2006/relationships/hyperlink" Target="http://www.linkedin.com/in/l%c3%a9o-loisy-82807aa5" TargetMode="External"/><Relationship  Id="rId4092" Type="http://schemas.openxmlformats.org/officeDocument/2006/relationships/hyperlink" Target="http://priism.fr" TargetMode="External"/><Relationship  Id="rId4093" Type="http://schemas.openxmlformats.org/officeDocument/2006/relationships/hyperlink" Target="http://www.linkedin.com/company/priism" TargetMode="External"/><Relationship  Id="rId4094" Type="http://schemas.openxmlformats.org/officeDocument/2006/relationships/hyperlink" Target="https://twitter.com/Priism4" TargetMode="External"/><Relationship  Id="rId4095" Type="http://schemas.openxmlformats.org/officeDocument/2006/relationships/hyperlink" Target="https://www.facebook.com/PriismSA/" TargetMode="External"/><Relationship  Id="rId4096" Type="http://schemas.openxmlformats.org/officeDocument/2006/relationships/hyperlink" Target="http://www.linkedin.com/in/laurentmollon" TargetMode="External"/><Relationship  Id="rId4097" Type="http://schemas.openxmlformats.org/officeDocument/2006/relationships/hyperlink" Target="http://techcare-it.com" TargetMode="External"/><Relationship  Id="rId4098" Type="http://schemas.openxmlformats.org/officeDocument/2006/relationships/hyperlink" Target="http://www.linkedin.com/company/techcareitservices" TargetMode="External"/><Relationship  Id="rId4099" Type="http://schemas.openxmlformats.org/officeDocument/2006/relationships/hyperlink" Target="https://www.facebook.com/techcareitservices/" TargetMode="External"/><Relationship  Id="rId41" Type="http://schemas.openxmlformats.org/officeDocument/2006/relationships/hyperlink" Target="http://www.linkedin.com/in/perrinecarrier" TargetMode="External"/><Relationship  Id="rId410" Type="http://schemas.openxmlformats.org/officeDocument/2006/relationships/hyperlink" Target="http://www.linkedin.com/in/antonio-morreale-370641138" TargetMode="External"/><Relationship  Id="rId4100" Type="http://schemas.openxmlformats.org/officeDocument/2006/relationships/hyperlink" Target="http://www.linkedin.com/in/lo%c3%afc-mabire-02a282a" TargetMode="External"/><Relationship  Id="rId4101" Type="http://schemas.openxmlformats.org/officeDocument/2006/relationships/hyperlink" Target="http://ux-key.com" TargetMode="External"/><Relationship  Id="rId4102" Type="http://schemas.openxmlformats.org/officeDocument/2006/relationships/hyperlink" Target="http://www.linkedin.com/company/ux-key" TargetMode="External"/><Relationship  Id="rId4103" Type="http://schemas.openxmlformats.org/officeDocument/2006/relationships/hyperlink" Target="http://www.linkedin.com/in/lo%c3%afc-cueroni-4146b5124" TargetMode="External"/><Relationship  Id="rId4104" Type="http://schemas.openxmlformats.org/officeDocument/2006/relationships/hyperlink" Target="http://bii-group.com" TargetMode="External"/><Relationship  Id="rId4105" Type="http://schemas.openxmlformats.org/officeDocument/2006/relationships/hyperlink" Target="http://www.linkedin.com/company/biigroupsarl" TargetMode="External"/><Relationship  Id="rId4106" Type="http://schemas.openxmlformats.org/officeDocument/2006/relationships/hyperlink" Target="http://www.linkedin.com/in/lo%c3%afc-deleke-4a629512a" TargetMode="External"/><Relationship  Id="rId4107" Type="http://schemas.openxmlformats.org/officeDocument/2006/relationships/hyperlink" Target="http://ar2c.fr" TargetMode="External"/><Relationship  Id="rId4108" Type="http://schemas.openxmlformats.org/officeDocument/2006/relationships/hyperlink" Target="http://www.linkedin.com/company/ar2cgtc" TargetMode="External"/><Relationship  Id="rId4109" Type="http://schemas.openxmlformats.org/officeDocument/2006/relationships/hyperlink" Target="http://www.linkedin.com/in/loicpapon63" TargetMode="External"/><Relationship  Id="rId411" Type="http://schemas.openxmlformats.org/officeDocument/2006/relationships/hyperlink" Target="http://www.linkedin.com/in/ava-maisani-casanova-aab6368b" TargetMode="External"/><Relationship  Id="rId4110" Type="http://schemas.openxmlformats.org/officeDocument/2006/relationships/hyperlink" Target="http://omneo-solutions.com" TargetMode="External"/><Relationship  Id="rId4111" Type="http://schemas.openxmlformats.org/officeDocument/2006/relationships/hyperlink" Target="http://www.linkedin.com/company/omneo-solutions" TargetMode="External"/><Relationship  Id="rId4112" Type="http://schemas.openxmlformats.org/officeDocument/2006/relationships/hyperlink" Target="http://www.linkedin.com/in/lo%c3%afc-lebez-3a092844" TargetMode="External"/><Relationship  Id="rId4113" Type="http://schemas.openxmlformats.org/officeDocument/2006/relationships/hyperlink" Target="http://ilove-events.com" TargetMode="External"/><Relationship  Id="rId4114" Type="http://schemas.openxmlformats.org/officeDocument/2006/relationships/hyperlink" Target="http://www.linkedin.com/company/agence-i-love-events" TargetMode="External"/><Relationship  Id="rId4115" Type="http://schemas.openxmlformats.org/officeDocument/2006/relationships/hyperlink" Target="http://www.linkedin.com/in/lola-leviant-a8001662" TargetMode="External"/><Relationship  Id="rId4116" Type="http://schemas.openxmlformats.org/officeDocument/2006/relationships/hyperlink" Target="http://crisotech.com" TargetMode="External"/><Relationship  Id="rId4117" Type="http://schemas.openxmlformats.org/officeDocument/2006/relationships/hyperlink" Target="http://www.linkedin.com/company/crisotech" TargetMode="External"/><Relationship  Id="rId4118" Type="http://schemas.openxmlformats.org/officeDocument/2006/relationships/hyperlink" Target="http://www.linkedin.com/in/louisbernardcrisotech" TargetMode="External"/><Relationship  Id="rId4119" Type="http://schemas.openxmlformats.org/officeDocument/2006/relationships/hyperlink" Target="http://dcom-solutions.fr" TargetMode="External"/><Relationship  Id="rId412" Type="http://schemas.openxmlformats.org/officeDocument/2006/relationships/hyperlink" Target="http://www.pereetfish.com" TargetMode="External"/><Relationship  Id="rId4120" Type="http://schemas.openxmlformats.org/officeDocument/2006/relationships/hyperlink" Target="http://www.linkedin.com/company/dcom-solutions" TargetMode="External"/><Relationship  Id="rId4121" Type="http://schemas.openxmlformats.org/officeDocument/2006/relationships/hyperlink" Target="http://www.linkedin.com/in/lprudhomme" TargetMode="External"/><Relationship  Id="rId4122" Type="http://schemas.openxmlformats.org/officeDocument/2006/relationships/hyperlink" Target="http://www.linkedin.com/company/les-constructions-du-belon" TargetMode="External"/><Relationship  Id="rId4123" Type="http://schemas.openxmlformats.org/officeDocument/2006/relationships/hyperlink" Target="https://twitter.com/lcdbelon" TargetMode="External"/><Relationship  Id="rId4124" Type="http://schemas.openxmlformats.org/officeDocument/2006/relationships/hyperlink" Target="https://facebook.com/pages/Constructions-du-Belon/1018209471528883" TargetMode="External"/><Relationship  Id="rId4125" Type="http://schemas.openxmlformats.org/officeDocument/2006/relationships/hyperlink" Target="http://www.linkedin.com/in/laurent-stratten-007b31114" TargetMode="External"/><Relationship  Id="rId4126" Type="http://schemas.openxmlformats.org/officeDocument/2006/relationships/hyperlink" Target="http://feedmax.io" TargetMode="External"/><Relationship  Id="rId4127" Type="http://schemas.openxmlformats.org/officeDocument/2006/relationships/hyperlink" Target="http://www.linkedin.com/company/feedmax-io" TargetMode="External"/><Relationship  Id="rId4128" Type="http://schemas.openxmlformats.org/officeDocument/2006/relationships/hyperlink" Target="http://www.linkedin.com/in/luis-manuel-taborda-059a1227" TargetMode="External"/><Relationship  Id="rId4129" Type="http://schemas.openxmlformats.org/officeDocument/2006/relationships/hyperlink" Target="http://www.linkedin.com/company/toutfairecotedazur" TargetMode="External"/><Relationship  Id="rId413" Type="http://schemas.openxmlformats.org/officeDocument/2006/relationships/hyperlink" Target="http://www.linkedin.com/in/charles-vdbroek" TargetMode="External"/><Relationship  Id="rId4130" Type="http://schemas.openxmlformats.org/officeDocument/2006/relationships/hyperlink" Target="http://www.linkedin.com/in/marc-avena-686342125" TargetMode="External"/><Relationship  Id="rId4131" Type="http://schemas.openxmlformats.org/officeDocument/2006/relationships/hyperlink" Target="http://sngisas.com" TargetMode="External"/><Relationship  Id="rId4132" Type="http://schemas.openxmlformats.org/officeDocument/2006/relationships/hyperlink" Target="http://www.linkedin.com/company/soci%c3%a9t%c3%a9-nouvelle-guillarme-industrie" TargetMode="External"/><Relationship  Id="rId4133" Type="http://schemas.openxmlformats.org/officeDocument/2006/relationships/hyperlink" Target="http://www.linkedin.com/in/mathieu-darmon-a136a097" TargetMode="External"/><Relationship  Id="rId4134" Type="http://schemas.openxmlformats.org/officeDocument/2006/relationships/hyperlink" Target="http://clubsantepremium.com" TargetMode="External"/><Relationship  Id="rId4135" Type="http://schemas.openxmlformats.org/officeDocument/2006/relationships/hyperlink" Target="http://www.linkedin.com/company/club-sant%c3%a9-premium" TargetMode="External"/><Relationship  Id="rId4136" Type="http://schemas.openxmlformats.org/officeDocument/2006/relationships/hyperlink" Target="http://www.linkedin.com/in/maxime-farahi-282401b9" TargetMode="External"/><Relationship  Id="rId4137" Type="http://schemas.openxmlformats.org/officeDocument/2006/relationships/hyperlink" Target="http://zeroptical.com" TargetMode="External"/><Relationship  Id="rId4138" Type="http://schemas.openxmlformats.org/officeDocument/2006/relationships/hyperlink" Target="http://www.linkedin.com/company/zeroptical-groupe" TargetMode="External"/><Relationship  Id="rId4139" Type="http://schemas.openxmlformats.org/officeDocument/2006/relationships/hyperlink" Target="https://www.facebook.com/Zeroptical/" TargetMode="External"/><Relationship  Id="rId414" Type="http://schemas.openxmlformats.org/officeDocument/2006/relationships/hyperlink" Target="http://www.blendhamburger.com" TargetMode="External"/><Relationship  Id="rId4140" Type="http://schemas.openxmlformats.org/officeDocument/2006/relationships/hyperlink" Target="http://www.linkedin.com/in/marc-lemaire-6b21701a0" TargetMode="External"/><Relationship  Id="rId4141" Type="http://schemas.openxmlformats.org/officeDocument/2006/relationships/hyperlink" Target="http://www.linkedin.com/in/ma%c3%aflysmancion" TargetMode="External"/><Relationship  Id="rId4142" Type="http://schemas.openxmlformats.org/officeDocument/2006/relationships/hyperlink" Target="http://janusfrance.fr" TargetMode="External"/><Relationship  Id="rId4143" Type="http://schemas.openxmlformats.org/officeDocument/2006/relationships/hyperlink" Target="http://www.linkedin.com/company/janus-france" TargetMode="External"/><Relationship  Id="rId4144" Type="http://schemas.openxmlformats.org/officeDocument/2006/relationships/hyperlink" Target="https://twitter.com/JanusGroupe" TargetMode="External"/><Relationship  Id="rId4145" Type="http://schemas.openxmlformats.org/officeDocument/2006/relationships/hyperlink" Target="https://www.facebook.com/janus.france/" TargetMode="External"/><Relationship  Id="rId4146" Type="http://schemas.openxmlformats.org/officeDocument/2006/relationships/hyperlink" Target="http://www.linkedin.com/in/michelmeunier" TargetMode="External"/><Relationship  Id="rId4147" Type="http://schemas.openxmlformats.org/officeDocument/2006/relationships/hyperlink" Target="http://cabinetcapcession.com" TargetMode="External"/><Relationship  Id="rId4148" Type="http://schemas.openxmlformats.org/officeDocument/2006/relationships/hyperlink" Target="http://www.linkedin.com/company/cap-cession-france" TargetMode="External"/><Relationship  Id="rId4149" Type="http://schemas.openxmlformats.org/officeDocument/2006/relationships/hyperlink" Target="http://www.linkedin.com/in/mgx-mgd" TargetMode="External"/><Relationship  Id="rId415" Type="http://schemas.openxmlformats.org/officeDocument/2006/relationships/hyperlink" Target="http://www.linkedin.com/in/natalianiznik" TargetMode="External"/><Relationship  Id="rId4150" Type="http://schemas.openxmlformats.org/officeDocument/2006/relationships/hyperlink" Target="http://axe-ing.fr" TargetMode="External"/><Relationship  Id="rId4151" Type="http://schemas.openxmlformats.org/officeDocument/2006/relationships/hyperlink" Target="http://www.linkedin.com/company/axe-ing" TargetMode="External"/><Relationship  Id="rId4152" Type="http://schemas.openxmlformats.org/officeDocument/2006/relationships/hyperlink" Target="http://www.linkedin.com/in/mehdi-ouenzar-3763b746" TargetMode="External"/><Relationship  Id="rId4153" Type="http://schemas.openxmlformats.org/officeDocument/2006/relationships/hyperlink" Target="http://rosenberg-vendome.com" TargetMode="External"/><Relationship  Id="rId4154" Type="http://schemas.openxmlformats.org/officeDocument/2006/relationships/hyperlink" Target="http://www.linkedin.com/company/ecofit-etri" TargetMode="External"/><Relationship  Id="rId4155" Type="http://schemas.openxmlformats.org/officeDocument/2006/relationships/hyperlink" Target="https://www.facebook.com/ecofitetri" TargetMode="External"/><Relationship  Id="rId4156" Type="http://schemas.openxmlformats.org/officeDocument/2006/relationships/hyperlink" Target="http://www.linkedin.com/in/marc-sitarz-290416aa" TargetMode="External"/><Relationship  Id="rId4157" Type="http://schemas.openxmlformats.org/officeDocument/2006/relationships/hyperlink" Target="http://axe-international.com" TargetMode="External"/><Relationship  Id="rId4158" Type="http://schemas.openxmlformats.org/officeDocument/2006/relationships/hyperlink" Target="http://www.linkedin.com/company/axeinternational" TargetMode="External"/><Relationship  Id="rId4159" Type="http://schemas.openxmlformats.org/officeDocument/2006/relationships/hyperlink" Target="https://www.facebook.com/axe.inter/" TargetMode="External"/><Relationship  Id="rId416" Type="http://schemas.openxmlformats.org/officeDocument/2006/relationships/hyperlink" Target="http://www.whitesandvillas.com" TargetMode="External"/><Relationship  Id="rId4160" Type="http://schemas.openxmlformats.org/officeDocument/2006/relationships/hyperlink" Target="http://www.linkedin.com/in/marc-sodic-2874b740" TargetMode="External"/><Relationship  Id="rId4161" Type="http://schemas.openxmlformats.org/officeDocument/2006/relationships/hyperlink" Target="http://bw-idem.fr" TargetMode="External"/><Relationship  Id="rId4162" Type="http://schemas.openxmlformats.org/officeDocument/2006/relationships/hyperlink" Target="http://www.linkedin.com/company/bw-idem" TargetMode="External"/><Relationship  Id="rId4163" Type="http://schemas.openxmlformats.org/officeDocument/2006/relationships/hyperlink" Target="http://www.linkedin.com/in/micka%c3%abl-wozniak-991a24108" TargetMode="External"/><Relationship  Id="rId4164" Type="http://schemas.openxmlformats.org/officeDocument/2006/relationships/hyperlink" Target="http://insepti.com" TargetMode="External"/><Relationship  Id="rId4165" Type="http://schemas.openxmlformats.org/officeDocument/2006/relationships/hyperlink" Target="http://www.linkedin.com/company/insepti" TargetMode="External"/><Relationship  Id="rId4166" Type="http://schemas.openxmlformats.org/officeDocument/2006/relationships/hyperlink" Target="https://twitter.com/InseptiOfficiel" TargetMode="External"/><Relationship  Id="rId4167" Type="http://schemas.openxmlformats.org/officeDocument/2006/relationships/hyperlink" Target="http://www.linkedin.com/in/mohamedabouri" TargetMode="External"/><Relationship  Id="rId4168" Type="http://schemas.openxmlformats.org/officeDocument/2006/relationships/hyperlink" Target="http://royal-service.fr" TargetMode="External"/><Relationship  Id="rId4169" Type="http://schemas.openxmlformats.org/officeDocument/2006/relationships/hyperlink" Target="http://www.linkedin.com/company/royalservicers" TargetMode="External"/><Relationship  Id="rId417" Type="http://schemas.openxmlformats.org/officeDocument/2006/relationships/hyperlink" Target="http://www.linkedin.com/in/paul-bessoles-62a24a263" TargetMode="External"/><Relationship  Id="rId4170" Type="http://schemas.openxmlformats.org/officeDocument/2006/relationships/hyperlink" Target="https://www.facebook.com/Royal-Service-104622531852880" TargetMode="External"/><Relationship  Id="rId4171" Type="http://schemas.openxmlformats.org/officeDocument/2006/relationships/hyperlink" Target="http://www.linkedin.com/in/magali-l-her-a5086a47" TargetMode="External"/><Relationship  Id="rId4172" Type="http://schemas.openxmlformats.org/officeDocument/2006/relationships/hyperlink" Target="http://creofrance.fr" TargetMode="External"/><Relationship  Id="rId4173" Type="http://schemas.openxmlformats.org/officeDocument/2006/relationships/hyperlink" Target="http://www.linkedin.com/company/creo-france" TargetMode="External"/><Relationship  Id="rId4174" Type="http://schemas.openxmlformats.org/officeDocument/2006/relationships/hyperlink" Target="http://www.linkedin.com/in/magda-kuziara-3a55973b" TargetMode="External"/><Relationship  Id="rId4175" Type="http://schemas.openxmlformats.org/officeDocument/2006/relationships/hyperlink" Target="http://www.linkedin.com/company/qpq-international" TargetMode="External"/><Relationship  Id="rId4176" Type="http://schemas.openxmlformats.org/officeDocument/2006/relationships/hyperlink" Target="http://www.linkedin.com/in/magnus-magnusson-69b0327" TargetMode="External"/><Relationship  Id="rId4177" Type="http://schemas.openxmlformats.org/officeDocument/2006/relationships/hyperlink" Target="http://guidap.com" TargetMode="External"/><Relationship  Id="rId4178" Type="http://schemas.openxmlformats.org/officeDocument/2006/relationships/hyperlink" Target="http://www.linkedin.com/company/guidap" TargetMode="External"/><Relationship  Id="rId4179" Type="http://schemas.openxmlformats.org/officeDocument/2006/relationships/hyperlink" Target="https://www.facebook.com/guidapfrance" TargetMode="External"/><Relationship  Id="rId418" Type="http://schemas.openxmlformats.org/officeDocument/2006/relationships/hyperlink" Target="http://www.campingledauphin.com" TargetMode="External"/><Relationship  Id="rId4180" Type="http://schemas.openxmlformats.org/officeDocument/2006/relationships/hyperlink" Target="http://www.linkedin.com/in/manu-cousi-75598770" TargetMode="External"/><Relationship  Id="rId4181" Type="http://schemas.openxmlformats.org/officeDocument/2006/relationships/hyperlink" Target="http://tuleap.org" TargetMode="External"/><Relationship  Id="rId4182" Type="http://schemas.openxmlformats.org/officeDocument/2006/relationships/hyperlink" Target="http://www.linkedin.com/company/tuleap" TargetMode="External"/><Relationship  Id="rId4183" Type="http://schemas.openxmlformats.org/officeDocument/2006/relationships/hyperlink" Target="https://twitter.com/TuleapOpenALM" TargetMode="External"/><Relationship  Id="rId4184" Type="http://schemas.openxmlformats.org/officeDocument/2006/relationships/hyperlink" Target="http://www.linkedin.com/in/manuel-vacelet-3715806" TargetMode="External"/><Relationship  Id="rId4185" Type="http://schemas.openxmlformats.org/officeDocument/2006/relationships/hyperlink" Target="http://veriqloud.com" TargetMode="External"/><Relationship  Id="rId4186" Type="http://schemas.openxmlformats.org/officeDocument/2006/relationships/hyperlink" Target="http://www.linkedin.com/company/veriqloud" TargetMode="External"/><Relationship  Id="rId4187" Type="http://schemas.openxmlformats.org/officeDocument/2006/relationships/hyperlink" Target="http://www.linkedin.com/in/kapmarc" TargetMode="External"/><Relationship  Id="rId4188" Type="http://schemas.openxmlformats.org/officeDocument/2006/relationships/hyperlink" Target="http://netensia.fr" TargetMode="External"/><Relationship  Id="rId4189" Type="http://schemas.openxmlformats.org/officeDocument/2006/relationships/hyperlink" Target="http://www.linkedin.com/company/netensia" TargetMode="External"/><Relationship  Id="rId419" Type="http://schemas.openxmlformats.org/officeDocument/2006/relationships/hyperlink" Target="http://www.linkedin.com/in/antoine-arvis-61724815" TargetMode="External"/><Relationship  Id="rId4190" Type="http://schemas.openxmlformats.org/officeDocument/2006/relationships/hyperlink" Target="https://twitter.com/netensia" TargetMode="External"/><Relationship  Id="rId4191" Type="http://schemas.openxmlformats.org/officeDocument/2006/relationships/hyperlink" Target="https://www.facebook.com/Netensia" TargetMode="External"/><Relationship  Id="rId4192" Type="http://schemas.openxmlformats.org/officeDocument/2006/relationships/hyperlink" Target="http://www.linkedin.com/in/marc-plunian-bb3a3928" TargetMode="External"/><Relationship  Id="rId4193" Type="http://schemas.openxmlformats.org/officeDocument/2006/relationships/hyperlink" Target="http://extend-bc.com" TargetMode="External"/><Relationship  Id="rId4194" Type="http://schemas.openxmlformats.org/officeDocument/2006/relationships/hyperlink" Target="http://www.linkedin.com/company/extend-business-consulting" TargetMode="External"/><Relationship  Id="rId4195" Type="http://schemas.openxmlformats.org/officeDocument/2006/relationships/hyperlink" Target="https://www.facebook.com/extendbusinessconsulting/" TargetMode="External"/><Relationship  Id="rId4196" Type="http://schemas.openxmlformats.org/officeDocument/2006/relationships/hyperlink" Target="http://www.linkedin.com/in/marcsoubeyran" TargetMode="External"/><Relationship  Id="rId4197" Type="http://schemas.openxmlformats.org/officeDocument/2006/relationships/hyperlink" Target="http://abil-it.fr" TargetMode="External"/><Relationship  Id="rId4198" Type="http://schemas.openxmlformats.org/officeDocument/2006/relationships/hyperlink" Target="http://www.linkedin.com/company/abil-it" TargetMode="External"/><Relationship  Id="rId4199" Type="http://schemas.openxmlformats.org/officeDocument/2006/relationships/hyperlink" Target="http://www.linkedin.com/in/marctcherdakoff" TargetMode="External"/><Relationship  Id="rId42" Type="http://schemas.openxmlformats.org/officeDocument/2006/relationships/hyperlink" Target="http://www.hameaualbert.fr" TargetMode="External"/><Relationship  Id="rId420" Type="http://schemas.openxmlformats.org/officeDocument/2006/relationships/hyperlink" Target="http://www.linkedin.com/in/coralie-legrand-79659719" TargetMode="External"/><Relationship  Id="rId4200" Type="http://schemas.openxmlformats.org/officeDocument/2006/relationships/hyperlink" Target="http://sogilis.com" TargetMode="External"/><Relationship  Id="rId4201" Type="http://schemas.openxmlformats.org/officeDocument/2006/relationships/hyperlink" Target="http://www.linkedin.com/company/sogilis" TargetMode="External"/><Relationship  Id="rId4202" Type="http://schemas.openxmlformats.org/officeDocument/2006/relationships/hyperlink" Target="https://twitter.com/uxshadow" TargetMode="External"/><Relationship  Id="rId4203" Type="http://schemas.openxmlformats.org/officeDocument/2006/relationships/hyperlink" Target="https://facebook.com/pages/Sogilis/166648736770329" TargetMode="External"/><Relationship  Id="rId4204" Type="http://schemas.openxmlformats.org/officeDocument/2006/relationships/hyperlink" Target="http://www.linkedin.com/in/marc-derbey-baa812" TargetMode="External"/><Relationship  Id="rId4205" Type="http://schemas.openxmlformats.org/officeDocument/2006/relationships/hyperlink" Target="http://gradius-remanufacturing.com" TargetMode="External"/><Relationship  Id="rId4206" Type="http://schemas.openxmlformats.org/officeDocument/2006/relationships/hyperlink" Target="http://www.linkedin.com/company/gradius-remanufacturing" TargetMode="External"/><Relationship  Id="rId4207" Type="http://schemas.openxmlformats.org/officeDocument/2006/relationships/hyperlink" Target="https://www.facebook.com/gradius.remanufacturing/" TargetMode="External"/><Relationship  Id="rId4208" Type="http://schemas.openxmlformats.org/officeDocument/2006/relationships/hyperlink" Target="http://www.linkedin.com/in/mpfanner" TargetMode="External"/><Relationship  Id="rId4209" Type="http://schemas.openxmlformats.org/officeDocument/2006/relationships/hyperlink" Target="http://resocom.com" TargetMode="External"/><Relationship  Id="rId421" Type="http://schemas.openxmlformats.org/officeDocument/2006/relationships/hyperlink" Target="http://www.hotelroyalmadeleine.com" TargetMode="External"/><Relationship  Id="rId4210" Type="http://schemas.openxmlformats.org/officeDocument/2006/relationships/hyperlink" Target="http://www.linkedin.com/company/resocom" TargetMode="External"/><Relationship  Id="rId4211" Type="http://schemas.openxmlformats.org/officeDocument/2006/relationships/hyperlink" Target="https://www.facebook.com/Resocom75/" TargetMode="External"/><Relationship  Id="rId4212" Type="http://schemas.openxmlformats.org/officeDocument/2006/relationships/hyperlink" Target="http://www.linkedin.com/in/marie-azevedo-23494362" TargetMode="External"/><Relationship  Id="rId4213" Type="http://schemas.openxmlformats.org/officeDocument/2006/relationships/hyperlink" Target="http://makeo.fr" TargetMode="External"/><Relationship  Id="rId4214" Type="http://schemas.openxmlformats.org/officeDocument/2006/relationships/hyperlink" Target="http://www.linkedin.com/company/makeo-agence-web" TargetMode="External"/><Relationship  Id="rId4215" Type="http://schemas.openxmlformats.org/officeDocument/2006/relationships/hyperlink" Target="http://www.linkedin.com/in/marie-jollit" TargetMode="External"/><Relationship  Id="rId4216" Type="http://schemas.openxmlformats.org/officeDocument/2006/relationships/hyperlink" Target="http://apya.fr" TargetMode="External"/><Relationship  Id="rId4217" Type="http://schemas.openxmlformats.org/officeDocument/2006/relationships/hyperlink" Target="http://www.linkedin.com/company/apya-consulting" TargetMode="External"/><Relationship  Id="rId4218" Type="http://schemas.openxmlformats.org/officeDocument/2006/relationships/hyperlink" Target="http://www.linkedin.com/in/marie-kulinski-%f0%9f%8e%af-420372111" TargetMode="External"/><Relationship  Id="rId4219" Type="http://schemas.openxmlformats.org/officeDocument/2006/relationships/hyperlink" Target="http://axess-dvpt.com" TargetMode="External"/><Relationship  Id="rId422" Type="http://schemas.openxmlformats.org/officeDocument/2006/relationships/hyperlink" Target="http://www.linkedin.com/in/samuel-huitric-4451493a" TargetMode="External"/><Relationship  Id="rId4220" Type="http://schemas.openxmlformats.org/officeDocument/2006/relationships/hyperlink" Target="http://www.linkedin.com/company/axess-developpement-europe" TargetMode="External"/><Relationship  Id="rId4221" Type="http://schemas.openxmlformats.org/officeDocument/2006/relationships/hyperlink" Target="http://www.linkedin.com/in/marie-rapin-67808a4a" TargetMode="External"/><Relationship  Id="rId4222" Type="http://schemas.openxmlformats.org/officeDocument/2006/relationships/hyperlink" Target="http://ezacae.com" TargetMode="External"/><Relationship  Id="rId4223" Type="http://schemas.openxmlformats.org/officeDocument/2006/relationships/hyperlink" Target="http://www.linkedin.com/company/ezacae" TargetMode="External"/><Relationship  Id="rId4224" Type="http://schemas.openxmlformats.org/officeDocument/2006/relationships/hyperlink" Target="http://www.linkedin.com/in/marie-lewin-530020138" TargetMode="External"/><Relationship  Id="rId4225" Type="http://schemas.openxmlformats.org/officeDocument/2006/relationships/hyperlink" Target="http://cube.fr" TargetMode="External"/><Relationship  Id="rId4226" Type="http://schemas.openxmlformats.org/officeDocument/2006/relationships/hyperlink" Target="http://www.linkedin.com/company/agence-cube" TargetMode="External"/><Relationship  Id="rId4227" Type="http://schemas.openxmlformats.org/officeDocument/2006/relationships/hyperlink" Target="http://www.linkedin.com/in/marie-ghael-samb" TargetMode="External"/><Relationship  Id="rId4228" Type="http://schemas.openxmlformats.org/officeDocument/2006/relationships/hyperlink" Target="http://francementor.com" TargetMode="External"/><Relationship  Id="rId4229" Type="http://schemas.openxmlformats.org/officeDocument/2006/relationships/hyperlink" Target="http://www.linkedin.com/company/france-mentor---institut-fran%c3%a7ais-du-mentorat" TargetMode="External"/><Relationship  Id="rId423" Type="http://schemas.openxmlformats.org/officeDocument/2006/relationships/hyperlink" Target="http://www.sain-nantes.com" TargetMode="External"/><Relationship  Id="rId4230" Type="http://schemas.openxmlformats.org/officeDocument/2006/relationships/hyperlink" Target="http://www.linkedin.com/in/marie-jos%c3%a8phe-baud-9837225" TargetMode="External"/><Relationship  Id="rId4231" Type="http://schemas.openxmlformats.org/officeDocument/2006/relationships/hyperlink" Target="http://wiregate.io" TargetMode="External"/><Relationship  Id="rId4232" Type="http://schemas.openxmlformats.org/officeDocument/2006/relationships/hyperlink" Target="http://www.linkedin.com/company/wiregate" TargetMode="External"/><Relationship  Id="rId4233" Type="http://schemas.openxmlformats.org/officeDocument/2006/relationships/hyperlink" Target="https://twitter.com/wiregate" TargetMode="External"/><Relationship  Id="rId4234" Type="http://schemas.openxmlformats.org/officeDocument/2006/relationships/hyperlink" Target="https://www.facebook.com/wiregate" TargetMode="External"/><Relationship  Id="rId4235" Type="http://schemas.openxmlformats.org/officeDocument/2006/relationships/hyperlink" Target="http://www.linkedin.com/in/marina-sokolova-60ab62b9" TargetMode="External"/><Relationship  Id="rId4236" Type="http://schemas.openxmlformats.org/officeDocument/2006/relationships/hyperlink" Target="http://boxnservices.fr" TargetMode="External"/><Relationship  Id="rId4237" Type="http://schemas.openxmlformats.org/officeDocument/2006/relationships/hyperlink" Target="http://www.linkedin.com/company/boxnservices" TargetMode="External"/><Relationship  Id="rId4238" Type="http://schemas.openxmlformats.org/officeDocument/2006/relationships/hyperlink" Target="http://www.linkedin.com/in/mariontesson" TargetMode="External"/><Relationship  Id="rId4239" Type="http://schemas.openxmlformats.org/officeDocument/2006/relationships/hyperlink" Target="http://aumbiosync.com" TargetMode="External"/><Relationship  Id="rId424" Type="http://schemas.openxmlformats.org/officeDocument/2006/relationships/hyperlink" Target="http://www.linkedin.com/in/kevin-caradeuc-on-recrute-495a7667" TargetMode="External"/><Relationship  Id="rId4240" Type="http://schemas.openxmlformats.org/officeDocument/2006/relationships/hyperlink" Target="http://www.linkedin.com/company/aumbiosync" TargetMode="External"/><Relationship  Id="rId4241" Type="http://schemas.openxmlformats.org/officeDocument/2006/relationships/hyperlink" Target="http://www.linkedin.com/in/martialboulesteix" TargetMode="External"/><Relationship  Id="rId4242" Type="http://schemas.openxmlformats.org/officeDocument/2006/relationships/hyperlink" Target="http://ecoinpack.com" TargetMode="External"/><Relationship  Id="rId4243" Type="http://schemas.openxmlformats.org/officeDocument/2006/relationships/hyperlink" Target="http://www.linkedin.com/company/eco-in-pack" TargetMode="External"/><Relationship  Id="rId4244" Type="http://schemas.openxmlformats.org/officeDocument/2006/relationships/hyperlink" Target="http://www.linkedin.com/in/martin-calmettes-a84438bb" TargetMode="External"/><Relationship  Id="rId4245" Type="http://schemas.openxmlformats.org/officeDocument/2006/relationships/hyperlink" Target="http://citevive.com" TargetMode="External"/><Relationship  Id="rId4246" Type="http://schemas.openxmlformats.org/officeDocument/2006/relationships/hyperlink" Target="http://www.linkedin.com/company/citevive" TargetMode="External"/><Relationship  Id="rId4247" Type="http://schemas.openxmlformats.org/officeDocument/2006/relationships/hyperlink" Target="http://www.linkedin.com/in/martinserralta" TargetMode="External"/><Relationship  Id="rId4248" Type="http://schemas.openxmlformats.org/officeDocument/2006/relationships/hyperlink" Target="http://glanceable.io" TargetMode="External"/><Relationship  Id="rId4249" Type="http://schemas.openxmlformats.org/officeDocument/2006/relationships/hyperlink" Target="http://www.linkedin.com/company/glanceable" TargetMode="External"/><Relationship  Id="rId425" Type="http://schemas.openxmlformats.org/officeDocument/2006/relationships/hyperlink" Target="http://www.brasseriesalamode.com" TargetMode="External"/><Relationship  Id="rId4250" Type="http://schemas.openxmlformats.org/officeDocument/2006/relationships/hyperlink" Target="http://www.linkedin.com/in/martin-mihelich-3b422486" TargetMode="External"/><Relationship  Id="rId4251" Type="http://schemas.openxmlformats.org/officeDocument/2006/relationships/hyperlink" Target="http://solpedinn.com" TargetMode="External"/><Relationship  Id="rId4252" Type="http://schemas.openxmlformats.org/officeDocument/2006/relationships/hyperlink" Target="http://www.linkedin.com/company/solpedinn" TargetMode="External"/><Relationship  Id="rId4253" Type="http://schemas.openxmlformats.org/officeDocument/2006/relationships/hyperlink" Target="http://www.linkedin.com/in/martin-aubard-43455897" TargetMode="External"/><Relationship  Id="rId4254" Type="http://schemas.openxmlformats.org/officeDocument/2006/relationships/hyperlink" Target="http://bihannic.fr" TargetMode="External"/><Relationship  Id="rId4255" Type="http://schemas.openxmlformats.org/officeDocument/2006/relationships/hyperlink" Target="http://www.linkedin.com/company/bihannic-sas" TargetMode="External"/><Relationship  Id="rId4256" Type="http://schemas.openxmlformats.org/officeDocument/2006/relationships/hyperlink" Target="http://www.linkedin.com/in/mathieu-bouvier" TargetMode="External"/><Relationship  Id="rId4257" Type="http://schemas.openxmlformats.org/officeDocument/2006/relationships/hyperlink" Target="http://ieva-partners.com" TargetMode="External"/><Relationship  Id="rId4258" Type="http://schemas.openxmlformats.org/officeDocument/2006/relationships/hyperlink" Target="http://www.linkedin.com/company/ieva-partners" TargetMode="External"/><Relationship  Id="rId4259" Type="http://schemas.openxmlformats.org/officeDocument/2006/relationships/hyperlink" Target="http://www.linkedin.com/in/mathieu-freville-407699" TargetMode="External"/><Relationship  Id="rId426" Type="http://schemas.openxmlformats.org/officeDocument/2006/relationships/hyperlink" Target="http://www.linkedin.com/in/antoine-barat-a67766260" TargetMode="External"/><Relationship  Id="rId4260" Type="http://schemas.openxmlformats.org/officeDocument/2006/relationships/hyperlink" Target="http://lm2-group.com" TargetMode="External"/><Relationship  Id="rId4261" Type="http://schemas.openxmlformats.org/officeDocument/2006/relationships/hyperlink" Target="http://www.linkedin.com/company/lm2-group" TargetMode="External"/><Relationship  Id="rId4262" Type="http://schemas.openxmlformats.org/officeDocument/2006/relationships/hyperlink" Target="https://twitter.com/LM2_Group" TargetMode="External"/><Relationship  Id="rId4263" Type="http://schemas.openxmlformats.org/officeDocument/2006/relationships/hyperlink" Target="https://www.facebook.com/pages/LM2-Group/654881457887439" TargetMode="External"/><Relationship  Id="rId4264" Type="http://schemas.openxmlformats.org/officeDocument/2006/relationships/hyperlink" Target="http://www.linkedin.com/in/mathieu-lesme-b11b9727" TargetMode="External"/><Relationship  Id="rId4265" Type="http://schemas.openxmlformats.org/officeDocument/2006/relationships/hyperlink" Target="http://homeys.fr" TargetMode="External"/><Relationship  Id="rId4266" Type="http://schemas.openxmlformats.org/officeDocument/2006/relationships/hyperlink" Target="http://www.linkedin.com/company/homeys" TargetMode="External"/><Relationship  Id="rId4267" Type="http://schemas.openxmlformats.org/officeDocument/2006/relationships/hyperlink" Target="https://twitter.com/homeysio" TargetMode="External"/><Relationship  Id="rId4268" Type="http://schemas.openxmlformats.org/officeDocument/2006/relationships/hyperlink" Target="http://www.linkedin.com/in/mathieu-anderhalt-96728796" TargetMode="External"/><Relationship  Id="rId4269" Type="http://schemas.openxmlformats.org/officeDocument/2006/relationships/hyperlink" Target="http://logicieldrsante.com" TargetMode="External"/><Relationship  Id="rId427" Type="http://schemas.openxmlformats.org/officeDocument/2006/relationships/hyperlink" Target="http://www.eatsalad.com" TargetMode="External"/><Relationship  Id="rId4270" Type="http://schemas.openxmlformats.org/officeDocument/2006/relationships/hyperlink" Target="http://www.linkedin.com/company/dr-sant%c3%a9" TargetMode="External"/><Relationship  Id="rId4271" Type="http://schemas.openxmlformats.org/officeDocument/2006/relationships/hyperlink" Target="https://www.facebook.com/Calimaps/" TargetMode="External"/><Relationship  Id="rId4272" Type="http://schemas.openxmlformats.org/officeDocument/2006/relationships/hyperlink" Target="http://www.linkedin.com/in/matthieu-scotti" TargetMode="External"/><Relationship  Id="rId4273" Type="http://schemas.openxmlformats.org/officeDocument/2006/relationships/hyperlink" Target="http://mello-matelas.fr" TargetMode="External"/><Relationship  Id="rId4274" Type="http://schemas.openxmlformats.org/officeDocument/2006/relationships/hyperlink" Target="http://www.linkedin.com/company/mello-matelas" TargetMode="External"/><Relationship  Id="rId4275" Type="http://schemas.openxmlformats.org/officeDocument/2006/relationships/hyperlink" Target="http://www.linkedin.com/in/matthieu-witkowski-5062625" TargetMode="External"/><Relationship  Id="rId4276" Type="http://schemas.openxmlformats.org/officeDocument/2006/relationships/hyperlink" Target="http://placeshaker.fr" TargetMode="External"/><Relationship  Id="rId4277" Type="http://schemas.openxmlformats.org/officeDocument/2006/relationships/hyperlink" Target="http://www.linkedin.com/company/placeshaker" TargetMode="External"/><Relationship  Id="rId4278" Type="http://schemas.openxmlformats.org/officeDocument/2006/relationships/hyperlink" Target="http://www.linkedin.com/in/matthieustefani" TargetMode="External"/><Relationship  Id="rId4279" Type="http://schemas.openxmlformats.org/officeDocument/2006/relationships/hyperlink" Target="http://e-novacorp.com" TargetMode="External"/><Relationship  Id="rId428" Type="http://schemas.openxmlformats.org/officeDocument/2006/relationships/hyperlink" Target="http://www.linkedin.com/in/clarisse-thiry-50910613" TargetMode="External"/><Relationship  Id="rId4280" Type="http://schemas.openxmlformats.org/officeDocument/2006/relationships/hyperlink" Target="http://www.linkedin.com/company/e-novacorp" TargetMode="External"/><Relationship  Id="rId4281" Type="http://schemas.openxmlformats.org/officeDocument/2006/relationships/hyperlink" Target="http://www.linkedin.com/in/maxence-debuire-3443982b9" TargetMode="External"/><Relationship  Id="rId4282" Type="http://schemas.openxmlformats.org/officeDocument/2006/relationships/hyperlink" Target="http://atm-consulting.fr" TargetMode="External"/><Relationship  Id="rId4283" Type="http://schemas.openxmlformats.org/officeDocument/2006/relationships/hyperlink" Target="http://www.linkedin.com/company/atm-consulting-valence" TargetMode="External"/><Relationship  Id="rId4284" Type="http://schemas.openxmlformats.org/officeDocument/2006/relationships/hyperlink" Target="http://www.linkedin.com/in/maximekohlhaas" TargetMode="External"/><Relationship  Id="rId4285" Type="http://schemas.openxmlformats.org/officeDocument/2006/relationships/hyperlink" Target="http://ibc-dialog.fr" TargetMode="External"/><Relationship  Id="rId4286" Type="http://schemas.openxmlformats.org/officeDocument/2006/relationships/hyperlink" Target="http://www.linkedin.com/company/ibc-dialog" TargetMode="External"/><Relationship  Id="rId4287" Type="http://schemas.openxmlformats.org/officeDocument/2006/relationships/hyperlink" Target="http://www.linkedin.com/in/maxime-lienart-a2165830" TargetMode="External"/><Relationship  Id="rId4288" Type="http://schemas.openxmlformats.org/officeDocument/2006/relationships/hyperlink" Target="http://forlabs.fr" TargetMode="External"/><Relationship  Id="rId4289" Type="http://schemas.openxmlformats.org/officeDocument/2006/relationships/hyperlink" Target="http://www.linkedin.com/company/forlabs" TargetMode="External"/><Relationship  Id="rId429" Type="http://schemas.openxmlformats.org/officeDocument/2006/relationships/hyperlink" Target="http://www.marriot.com" TargetMode="External"/><Relationship  Id="rId4290" Type="http://schemas.openxmlformats.org/officeDocument/2006/relationships/hyperlink" Target="http://www.linkedin.com/in/maxime-meyer-99088664" TargetMode="External"/><Relationship  Id="rId4291" Type="http://schemas.openxmlformats.org/officeDocument/2006/relationships/hyperlink" Target="http://petitscommerces.fr" TargetMode="External"/><Relationship  Id="rId4292" Type="http://schemas.openxmlformats.org/officeDocument/2006/relationships/hyperlink" Target="http://www.linkedin.com/company/petitscommerces" TargetMode="External"/><Relationship  Id="rId4293" Type="http://schemas.openxmlformats.org/officeDocument/2006/relationships/hyperlink" Target="http://twitter.com/PetitsComs" TargetMode="External"/><Relationship  Id="rId4294" Type="http://schemas.openxmlformats.org/officeDocument/2006/relationships/hyperlink" Target="http://facebook.com/petitscommerces.fr/" TargetMode="External"/><Relationship  Id="rId4295" Type="http://schemas.openxmlformats.org/officeDocument/2006/relationships/hyperlink" Target="http://www.linkedin.com/in/maxime-bedon-6a7634153" TargetMode="External"/><Relationship  Id="rId4296" Type="http://schemas.openxmlformats.org/officeDocument/2006/relationships/hyperlink" Target="http://protextyl.com" TargetMode="External"/><Relationship  Id="rId4297" Type="http://schemas.openxmlformats.org/officeDocument/2006/relationships/hyperlink" Target="http://www.linkedin.com/company/meydes-protextyl" TargetMode="External"/><Relationship  Id="rId4298" Type="http://schemas.openxmlformats.org/officeDocument/2006/relationships/hyperlink" Target="https://www.facebook.com/Protextyl" TargetMode="External"/><Relationship  Id="rId4299" Type="http://schemas.openxmlformats.org/officeDocument/2006/relationships/hyperlink" Target="http://www.linkedin.com/in/maxime-deslandes-6b9167138" TargetMode="External"/><Relationship  Id="rId43" Type="http://schemas.openxmlformats.org/officeDocument/2006/relationships/hyperlink" Target="http://www.linkedin.com/in/matthieu-dulhoste-b0250138" TargetMode="External"/><Relationship  Id="rId430" Type="http://schemas.openxmlformats.org/officeDocument/2006/relationships/hyperlink" Target="http://www.linkedin.com/in/vincent-avila-a63a4a39" TargetMode="External"/><Relationship  Id="rId4300" Type="http://schemas.openxmlformats.org/officeDocument/2006/relationships/hyperlink" Target="http://mbpromotion.com" TargetMode="External"/><Relationship  Id="rId4301" Type="http://schemas.openxmlformats.org/officeDocument/2006/relationships/hyperlink" Target="http://www.linkedin.com/company/mb-promotion" TargetMode="External"/><Relationship  Id="rId4302" Type="http://schemas.openxmlformats.org/officeDocument/2006/relationships/hyperlink" Target="https://www.facebook.com/mbpromotionnl" TargetMode="External"/><Relationship  Id="rId4303" Type="http://schemas.openxmlformats.org/officeDocument/2006/relationships/hyperlink" Target="http://www.linkedin.com/in/marc-bernadi-%f0%9f%8e%97%f0%9f%87%ba%f0%9f%87%a6-44873164" TargetMode="External"/><Relationship  Id="rId4304" Type="http://schemas.openxmlformats.org/officeDocument/2006/relationships/hyperlink" Target="http://mnagroupe.com" TargetMode="External"/><Relationship  Id="rId4305" Type="http://schemas.openxmlformats.org/officeDocument/2006/relationships/hyperlink" Target="http://www.linkedin.com/company/mare-nostrum-advising-groupe" TargetMode="External"/><Relationship  Id="rId4306" Type="http://schemas.openxmlformats.org/officeDocument/2006/relationships/hyperlink" Target="http://www.linkedin.com/in/mathieu-beaucourt-96502021" TargetMode="External"/><Relationship  Id="rId4307" Type="http://schemas.openxmlformats.org/officeDocument/2006/relationships/hyperlink" Target="http://www.linkedin.com/company/diginove-sas" TargetMode="External"/><Relationship  Id="rId4308" Type="http://schemas.openxmlformats.org/officeDocument/2006/relationships/hyperlink" Target="http://www.linkedin.com/in/michel-b%c3%a9net-%f0%9f%8c%8d%f0%9f%9b%b0%ef%b8%8f-b58a1995" TargetMode="External"/><Relationship  Id="rId4309" Type="http://schemas.openxmlformats.org/officeDocument/2006/relationships/hyperlink" Target="http://beemotechnologie.com" TargetMode="External"/><Relationship  Id="rId431" Type="http://schemas.openxmlformats.org/officeDocument/2006/relationships/hyperlink" Target="http://www.hpvahotels.com" TargetMode="External"/><Relationship  Id="rId4310" Type="http://schemas.openxmlformats.org/officeDocument/2006/relationships/hyperlink" Target="http://www.linkedin.com/company/beemo-technologie" TargetMode="External"/><Relationship  Id="rId4311" Type="http://schemas.openxmlformats.org/officeDocument/2006/relationships/hyperlink" Target="https://twitter.com/BeemoTech" TargetMode="External"/><Relationship  Id="rId4312" Type="http://schemas.openxmlformats.org/officeDocument/2006/relationships/hyperlink" Target="https://www.facebook.com/BeemoTechno" TargetMode="External"/><Relationship  Id="rId4313" Type="http://schemas.openxmlformats.org/officeDocument/2006/relationships/hyperlink" Target="http://www.linkedin.com/in/melaniebiberianbeemo" TargetMode="External"/><Relationship  Id="rId4314" Type="http://schemas.openxmlformats.org/officeDocument/2006/relationships/hyperlink" Target="http://docks-du-bureau.fr" TargetMode="External"/><Relationship  Id="rId4315" Type="http://schemas.openxmlformats.org/officeDocument/2006/relationships/hyperlink" Target="http://www.linkedin.com/company/groupe-aux-docks-du-bureau-buro-espace" TargetMode="External"/><Relationship  Id="rId4316" Type="http://schemas.openxmlformats.org/officeDocument/2006/relationships/hyperlink" Target="https://www.facebook.com/addb.bea/" TargetMode="External"/><Relationship  Id="rId4317" Type="http://schemas.openxmlformats.org/officeDocument/2006/relationships/hyperlink" Target="http://www.linkedin.com/in/michel-bousquet-151553177" TargetMode="External"/><Relationship  Id="rId4318" Type="http://schemas.openxmlformats.org/officeDocument/2006/relationships/hyperlink" Target="http://finopsys.fr" TargetMode="External"/><Relationship  Id="rId4319" Type="http://schemas.openxmlformats.org/officeDocument/2006/relationships/hyperlink" Target="http://www.linkedin.com/company/finopsys-solutions-gestion" TargetMode="External"/><Relationship  Id="rId432" Type="http://schemas.openxmlformats.org/officeDocument/2006/relationships/hyperlink" Target="http://www.linkedin.com/in/geoffrey-boehm-01652311b" TargetMode="External"/><Relationship  Id="rId4320" Type="http://schemas.openxmlformats.org/officeDocument/2006/relationships/hyperlink" Target="https://twitter.com/finopsysfrance" TargetMode="External"/><Relationship  Id="rId4321" Type="http://schemas.openxmlformats.org/officeDocument/2006/relationships/hyperlink" Target="https://facebook.com/finopsys.rh" TargetMode="External"/><Relationship  Id="rId4322" Type="http://schemas.openxmlformats.org/officeDocument/2006/relationships/hyperlink" Target="http://www.linkedin.com/in/manuelcambra" TargetMode="External"/><Relationship  Id="rId4323" Type="http://schemas.openxmlformats.org/officeDocument/2006/relationships/hyperlink" Target="http://data-links.fr" TargetMode="External"/><Relationship  Id="rId4324" Type="http://schemas.openxmlformats.org/officeDocument/2006/relationships/hyperlink" Target="http://www.linkedin.com/company/groupe-data-links" TargetMode="External"/><Relationship  Id="rId4325" Type="http://schemas.openxmlformats.org/officeDocument/2006/relationships/hyperlink" Target="https://www.facebook.com/Data-Links-290218068576897/" TargetMode="External"/><Relationship  Id="rId4326" Type="http://schemas.openxmlformats.org/officeDocument/2006/relationships/hyperlink" Target="http://www.linkedin.com/in/micha%c3%abl-choukroun-8107b79a" TargetMode="External"/><Relationship  Id="rId4327" Type="http://schemas.openxmlformats.org/officeDocument/2006/relationships/hyperlink" Target="http://aufiges.fr" TargetMode="External"/><Relationship  Id="rId4328" Type="http://schemas.openxmlformats.org/officeDocument/2006/relationships/hyperlink" Target="http://www.linkedin.com/company/aufiges" TargetMode="External"/><Relationship  Id="rId4329" Type="http://schemas.openxmlformats.org/officeDocument/2006/relationships/hyperlink" Target="http://www.linkedin.com/in/marc-daveau-91846331" TargetMode="External"/><Relationship  Id="rId433" Type="http://schemas.openxmlformats.org/officeDocument/2006/relationships/hyperlink" Target="http://www.hotelvertigonimes.fr" TargetMode="External"/><Relationship  Id="rId4330" Type="http://schemas.openxmlformats.org/officeDocument/2006/relationships/hyperlink" Target="http://groupearj.fr" TargetMode="External"/><Relationship  Id="rId4331" Type="http://schemas.openxmlformats.org/officeDocument/2006/relationships/hyperlink" Target="http://www.linkedin.com/company/groupearj" TargetMode="External"/><Relationship  Id="rId4332" Type="http://schemas.openxmlformats.org/officeDocument/2006/relationships/hyperlink" Target="https://www.facebook.com/groupearj/" TargetMode="External"/><Relationship  Id="rId4333" Type="http://schemas.openxmlformats.org/officeDocument/2006/relationships/hyperlink" Target="http://www.linkedin.com/in/morgan-djorno-52936010a" TargetMode="External"/><Relationship  Id="rId4334" Type="http://schemas.openxmlformats.org/officeDocument/2006/relationships/hyperlink" Target="http://andex.fr" TargetMode="External"/><Relationship  Id="rId4335" Type="http://schemas.openxmlformats.org/officeDocument/2006/relationships/hyperlink" Target="http://www.linkedin.com/company/andex-international" TargetMode="External"/><Relationship  Id="rId4336" Type="http://schemas.openxmlformats.org/officeDocument/2006/relationships/hyperlink" Target="http://www.linkedin.com/in/mehdi-bahri-25558aaa" TargetMode="External"/><Relationship  Id="rId4337" Type="http://schemas.openxmlformats.org/officeDocument/2006/relationships/hyperlink" Target="http://www.linkedin.com/in/meyer-goldenstein" TargetMode="External"/><Relationship  Id="rId4338" Type="http://schemas.openxmlformats.org/officeDocument/2006/relationships/hyperlink" Target="http://tryba-energy.com" TargetMode="External"/><Relationship  Id="rId4339" Type="http://schemas.openxmlformats.org/officeDocument/2006/relationships/hyperlink" Target="http://www.linkedin.com/company/tryba-energy" TargetMode="External"/><Relationship  Id="rId434" Type="http://schemas.openxmlformats.org/officeDocument/2006/relationships/hyperlink" Target="http://www.linkedin.com/in/gr%c3%a9goire-benoit-37b638a6" TargetMode="External"/><Relationship  Id="rId4340" Type="http://schemas.openxmlformats.org/officeDocument/2006/relationships/hyperlink" Target="http://www.linkedin.com/in/mathieu-foerderer-98b367119" TargetMode="External"/><Relationship  Id="rId4341" Type="http://schemas.openxmlformats.org/officeDocument/2006/relationships/hyperlink" Target="http://www.linkedin.com/in/maud-gubler-98710a60" TargetMode="External"/><Relationship  Id="rId4342" Type="http://schemas.openxmlformats.org/officeDocument/2006/relationships/hyperlink" Target="http://quick-off.com" TargetMode="External"/><Relationship  Id="rId4343" Type="http://schemas.openxmlformats.org/officeDocument/2006/relationships/hyperlink" Target="http://www.linkedin.com/company/quickoff" TargetMode="External"/><Relationship  Id="rId4344" Type="http://schemas.openxmlformats.org/officeDocument/2006/relationships/hyperlink" Target="https://www.facebook.com/quick.offf" TargetMode="External"/><Relationship  Id="rId4345" Type="http://schemas.openxmlformats.org/officeDocument/2006/relationships/hyperlink" Target="http://www.linkedin.com/in/mberthoix" TargetMode="External"/><Relationship  Id="rId4346" Type="http://schemas.openxmlformats.org/officeDocument/2006/relationships/hyperlink" Target="http://wikane.com" TargetMode="External"/><Relationship  Id="rId4347" Type="http://schemas.openxmlformats.org/officeDocument/2006/relationships/hyperlink" Target="http://www.linkedin.com/company/wikane" TargetMode="External"/><Relationship  Id="rId4348" Type="http://schemas.openxmlformats.org/officeDocument/2006/relationships/hyperlink" Target="http://www.linkedin.com/in/michelpradille" TargetMode="External"/><Relationship  Id="rId4349" Type="http://schemas.openxmlformats.org/officeDocument/2006/relationships/hyperlink" Target="http://ose-engineering.fr" TargetMode="External"/><Relationship  Id="rId435" Type="http://schemas.openxmlformats.org/officeDocument/2006/relationships/hyperlink" Target="http://www.edgarsuites.com" TargetMode="External"/><Relationship  Id="rId4350" Type="http://schemas.openxmlformats.org/officeDocument/2006/relationships/hyperlink" Target="http://www.linkedin.com/company/ose-engineering" TargetMode="External"/><Relationship  Id="rId4351" Type="http://schemas.openxmlformats.org/officeDocument/2006/relationships/hyperlink" Target="http://www.linkedin.com/in/mikael-volut-b205a091" TargetMode="External"/><Relationship  Id="rId4352" Type="http://schemas.openxmlformats.org/officeDocument/2006/relationships/hyperlink" Target="http://mericsas.fr" TargetMode="External"/><Relationship  Id="rId4353" Type="http://schemas.openxmlformats.org/officeDocument/2006/relationships/hyperlink" Target="http://www.linkedin.com/company/mericsas" TargetMode="External"/><Relationship  Id="rId4354" Type="http://schemas.openxmlformats.org/officeDocument/2006/relationships/hyperlink" Target="http://www.linkedin.com/in/mikayil-meric-6698a958" TargetMode="External"/><Relationship  Id="rId4355" Type="http://schemas.openxmlformats.org/officeDocument/2006/relationships/hyperlink" Target="http://tech-innove.com" TargetMode="External"/><Relationship  Id="rId4356" Type="http://schemas.openxmlformats.org/officeDocument/2006/relationships/hyperlink" Target="http://www.linkedin.com/company/tech-innove" TargetMode="External"/><Relationship  Id="rId4357" Type="http://schemas.openxmlformats.org/officeDocument/2006/relationships/hyperlink" Target="https://twitter.com/Tech_Innove" TargetMode="External"/><Relationship  Id="rId4358" Type="http://schemas.openxmlformats.org/officeDocument/2006/relationships/hyperlink" Target="https://www.facebook.com/techinnove/" TargetMode="External"/><Relationship  Id="rId4359" Type="http://schemas.openxmlformats.org/officeDocument/2006/relationships/hyperlink" Target="http://www.linkedin.com/in/marc-jeune" TargetMode="External"/><Relationship  Id="rId436" Type="http://schemas.openxmlformats.org/officeDocument/2006/relationships/hyperlink" Target="http://www.linkedin.com/in/antonio-mauz-76a361139" TargetMode="External"/><Relationship  Id="rId4360" Type="http://schemas.openxmlformats.org/officeDocument/2006/relationships/hyperlink" Target="http://antana.fr" TargetMode="External"/><Relationship  Id="rId4361" Type="http://schemas.openxmlformats.org/officeDocument/2006/relationships/hyperlink" Target="http://www.linkedin.com/company/antana-france" TargetMode="External"/><Relationship  Id="rId4362" Type="http://schemas.openxmlformats.org/officeDocument/2006/relationships/hyperlink" Target="https://twitter.com/ANTANA_France" TargetMode="External"/><Relationship  Id="rId4363" Type="http://schemas.openxmlformats.org/officeDocument/2006/relationships/hyperlink" Target="https://www.facebook.com/ste.antana" TargetMode="External"/><Relationship  Id="rId4364" Type="http://schemas.openxmlformats.org/officeDocument/2006/relationships/hyperlink" Target="http://www.linkedin.com/in/marion-laget-a5519626" TargetMode="External"/><Relationship  Id="rId4365" Type="http://schemas.openxmlformats.org/officeDocument/2006/relationships/hyperlink" Target="http://fastor.com" TargetMode="External"/><Relationship  Id="rId4366" Type="http://schemas.openxmlformats.org/officeDocument/2006/relationships/hyperlink" Target="http://www.linkedin.com/company/fastor-gie" TargetMode="External"/><Relationship  Id="rId4367" Type="http://schemas.openxmlformats.org/officeDocument/2006/relationships/hyperlink" Target="http://www.linkedin.com/in/%f0%9f%8f%9dmichel-lory-a6720054" TargetMode="External"/><Relationship  Id="rId4368" Type="http://schemas.openxmlformats.org/officeDocument/2006/relationships/hyperlink" Target="http://tds-technologies.net" TargetMode="External"/><Relationship  Id="rId4369" Type="http://schemas.openxmlformats.org/officeDocument/2006/relationships/hyperlink" Target="http://www.linkedin.com/company/tds-gtech" TargetMode="External"/><Relationship  Id="rId437" Type="http://schemas.openxmlformats.org/officeDocument/2006/relationships/hyperlink" Target="http://www.chateaudepondres.com" TargetMode="External"/><Relationship  Id="rId4370" Type="http://schemas.openxmlformats.org/officeDocument/2006/relationships/hyperlink" Target="http://www.linkedin.com/in/mohamed-tliba-5658364" TargetMode="External"/><Relationship  Id="rId4371" Type="http://schemas.openxmlformats.org/officeDocument/2006/relationships/hyperlink" Target="http://vialcom.fr" TargetMode="External"/><Relationship  Id="rId4372" Type="http://schemas.openxmlformats.org/officeDocument/2006/relationships/hyperlink" Target="http://www.linkedin.com/company/vialcom" TargetMode="External"/><Relationship  Id="rId4373" Type="http://schemas.openxmlformats.org/officeDocument/2006/relationships/hyperlink" Target="http://www.linkedin.com/in/mohamed-ben-abdallah-4280b2116" TargetMode="External"/><Relationship  Id="rId4374" Type="http://schemas.openxmlformats.org/officeDocument/2006/relationships/hyperlink" Target="http://maisonsmag.fr" TargetMode="External"/><Relationship  Id="rId4375" Type="http://schemas.openxmlformats.org/officeDocument/2006/relationships/hyperlink" Target="http://www.linkedin.com/company/maisons-mag" TargetMode="External"/><Relationship  Id="rId4376" Type="http://schemas.openxmlformats.org/officeDocument/2006/relationships/hyperlink" Target="https://www.facebook.com/Maisonsmag/" TargetMode="External"/><Relationship  Id="rId4377" Type="http://schemas.openxmlformats.org/officeDocument/2006/relationships/hyperlink" Target="http://www.linkedin.com/in/morgan-roux-524565117" TargetMode="External"/><Relationship  Id="rId4378" Type="http://schemas.openxmlformats.org/officeDocument/2006/relationships/hyperlink" Target="http://groupe-ig.com" TargetMode="External"/><Relationship  Id="rId4379" Type="http://schemas.openxmlformats.org/officeDocument/2006/relationships/hyperlink" Target="http://www.linkedin.com/company/groupe-d-ing%c3%a9nierie" TargetMode="External"/><Relationship  Id="rId438" Type="http://schemas.openxmlformats.org/officeDocument/2006/relationships/hyperlink" Target="http://www.linkedin.com/in/ouissem-zahou-638bb5187" TargetMode="External"/><Relationship  Id="rId4380" Type="http://schemas.openxmlformats.org/officeDocument/2006/relationships/hyperlink" Target="http://www.linkedin.com/in/morik%c3%a9-sow-17344969" TargetMode="External"/><Relationship  Id="rId4381" Type="http://schemas.openxmlformats.org/officeDocument/2006/relationships/hyperlink" Target="http://widip.fr" TargetMode="External"/><Relationship  Id="rId4382" Type="http://schemas.openxmlformats.org/officeDocument/2006/relationships/hyperlink" Target="http://www.linkedin.com/company/widip-sas" TargetMode="External"/><Relationship  Id="rId4383" Type="http://schemas.openxmlformats.org/officeDocument/2006/relationships/hyperlink" Target="https://www.facebook.com/widipcloud/" TargetMode="External"/><Relationship  Id="rId4384" Type="http://schemas.openxmlformats.org/officeDocument/2006/relationships/hyperlink" Target="http://www.linkedin.com/in/marc-perotto-621b8a277" TargetMode="External"/><Relationship  Id="rId4385" Type="http://schemas.openxmlformats.org/officeDocument/2006/relationships/hyperlink" Target="http://cqs-experts.fr" TargetMode="External"/><Relationship  Id="rId4386" Type="http://schemas.openxmlformats.org/officeDocument/2006/relationships/hyperlink" Target="http://www.linkedin.com/company/cqs-experts" TargetMode="External"/><Relationship  Id="rId4387" Type="http://schemas.openxmlformats.org/officeDocument/2006/relationships/hyperlink" Target="http://www.linkedin.com/in/marl%c3%a8ne-renaud-95689657" TargetMode="External"/><Relationship  Id="rId4388" Type="http://schemas.openxmlformats.org/officeDocument/2006/relationships/hyperlink" Target="http://novances-it.com" TargetMode="External"/><Relationship  Id="rId4389" Type="http://schemas.openxmlformats.org/officeDocument/2006/relationships/hyperlink" Target="http://www.linkedin.com/company/novances-it" TargetMode="External"/><Relationship  Id="rId439" Type="http://schemas.openxmlformats.org/officeDocument/2006/relationships/hyperlink" Target="http://www.ninasushi.com" TargetMode="External"/><Relationship  Id="rId4390" Type="http://schemas.openxmlformats.org/officeDocument/2006/relationships/hyperlink" Target="https://twitter.com/QodeInteractive" TargetMode="External"/><Relationship  Id="rId4391" Type="http://schemas.openxmlformats.org/officeDocument/2006/relationships/hyperlink" Target="http://www.linkedin.com/in/michael-royer-44430378" TargetMode="External"/><Relationship  Id="rId4392" Type="http://schemas.openxmlformats.org/officeDocument/2006/relationships/hyperlink" Target="http://mslevage.com" TargetMode="External"/><Relationship  Id="rId4393" Type="http://schemas.openxmlformats.org/officeDocument/2006/relationships/hyperlink" Target="http://www.linkedin.com/company/groupe-schubel" TargetMode="External"/><Relationship  Id="rId4394" Type="http://schemas.openxmlformats.org/officeDocument/2006/relationships/hyperlink" Target="http://www.linkedin.com/in/marc-schubel-01b8b817a" TargetMode="External"/><Relationship  Id="rId4395" Type="http://schemas.openxmlformats.org/officeDocument/2006/relationships/hyperlink" Target="http://tnt-telecom.com" TargetMode="External"/><Relationship  Id="rId4396" Type="http://schemas.openxmlformats.org/officeDocument/2006/relationships/hyperlink" Target="http://www.linkedin.com/company/telephonie-nouvelle-et-terminaux" TargetMode="External"/><Relationship  Id="rId4397" Type="http://schemas.openxmlformats.org/officeDocument/2006/relationships/hyperlink" Target="https://www.facebook.com/swattelecom/" TargetMode="External"/><Relationship  Id="rId4398" Type="http://schemas.openxmlformats.org/officeDocument/2006/relationships/hyperlink" Target="http://www.linkedin.com/in/christian-munini-9a05928b" TargetMode="External"/><Relationship  Id="rId4399" Type="http://schemas.openxmlformats.org/officeDocument/2006/relationships/hyperlink" Target="http://ocamlpro.com" TargetMode="External"/><Relationship  Id="rId44" Type="http://schemas.openxmlformats.org/officeDocument/2006/relationships/hyperlink" Target="http://www.hotelsaintevictoire.com" TargetMode="External"/><Relationship  Id="rId440" Type="http://schemas.openxmlformats.org/officeDocument/2006/relationships/hyperlink" Target="http://www.linkedin.com/in/th%c3%a9odore-gilbert-2b5904104" TargetMode="External"/><Relationship  Id="rId4400" Type="http://schemas.openxmlformats.org/officeDocument/2006/relationships/hyperlink" Target="http://www.linkedin.com/company/ocamlpro" TargetMode="External"/><Relationship  Id="rId4401" Type="http://schemas.openxmlformats.org/officeDocument/2006/relationships/hyperlink" Target="https://twitter.com/ocamlpro" TargetMode="External"/><Relationship  Id="rId4402" Type="http://schemas.openxmlformats.org/officeDocument/2006/relationships/hyperlink" Target="https://facebook.com/ocamlpro" TargetMode="External"/><Relationship  Id="rId4403" Type="http://schemas.openxmlformats.org/officeDocument/2006/relationships/hyperlink" Target="http://www.linkedin.com/in/mshanseifan" TargetMode="External"/><Relationship  Id="rId4404" Type="http://schemas.openxmlformats.org/officeDocument/2006/relationships/hyperlink" Target="http://comindesk.fr" TargetMode="External"/><Relationship  Id="rId4405" Type="http://schemas.openxmlformats.org/officeDocument/2006/relationships/hyperlink" Target="http://www.linkedin.com/company/comin-desk" TargetMode="External"/><Relationship  Id="rId4406" Type="http://schemas.openxmlformats.org/officeDocument/2006/relationships/hyperlink" Target="http://www.linkedin.com/in/marc-vidal-comin-desk" TargetMode="External"/><Relationship  Id="rId4407" Type="http://schemas.openxmlformats.org/officeDocument/2006/relationships/hyperlink" Target="http://georgeault.fr" TargetMode="External"/><Relationship  Id="rId4408" Type="http://schemas.openxmlformats.org/officeDocument/2006/relationships/hyperlink" Target="http://www.linkedin.com/company/georgeault-constructions-industrielles" TargetMode="External"/><Relationship  Id="rId4409" Type="http://schemas.openxmlformats.org/officeDocument/2006/relationships/hyperlink" Target="http://www.linkedin.com/in/nicolas-binois-75281628" TargetMode="External"/><Relationship  Id="rId441" Type="http://schemas.openxmlformats.org/officeDocument/2006/relationships/hyperlink" Target="http://www.quailiberte.fr" TargetMode="External"/><Relationship  Id="rId4410" Type="http://schemas.openxmlformats.org/officeDocument/2006/relationships/hyperlink" Target="http://trust-id.fr" TargetMode="External"/><Relationship  Id="rId4411" Type="http://schemas.openxmlformats.org/officeDocument/2006/relationships/hyperlink" Target="http://www.linkedin.com/company/trust-id" TargetMode="External"/><Relationship  Id="rId4412" Type="http://schemas.openxmlformats.org/officeDocument/2006/relationships/hyperlink" Target="https://twitter.com/Trust__ID" TargetMode="External"/><Relationship  Id="rId4413" Type="http://schemas.openxmlformats.org/officeDocument/2006/relationships/hyperlink" Target="http://www.linkedin.com/in/nadege-bourgault-71b562184" TargetMode="External"/><Relationship  Id="rId4414" Type="http://schemas.openxmlformats.org/officeDocument/2006/relationships/hyperlink" Target="http://panicentre.com" TargetMode="External"/><Relationship  Id="rId4415" Type="http://schemas.openxmlformats.org/officeDocument/2006/relationships/hyperlink" Target="http://www.linkedin.com/company/panicentre" TargetMode="External"/><Relationship  Id="rId4416" Type="http://schemas.openxmlformats.org/officeDocument/2006/relationships/hyperlink" Target="https://www.facebook.com/panicentre/" TargetMode="External"/><Relationship  Id="rId4417" Type="http://schemas.openxmlformats.org/officeDocument/2006/relationships/hyperlink" Target="http://www.linkedin.com/in/nicolas-garcia-9532a7b1" TargetMode="External"/><Relationship  Id="rId4418" Type="http://schemas.openxmlformats.org/officeDocument/2006/relationships/hyperlink" Target="http://izaktech.com" TargetMode="External"/><Relationship  Id="rId4419" Type="http://schemas.openxmlformats.org/officeDocument/2006/relationships/hyperlink" Target="http://www.linkedin.com/company/izaktech" TargetMode="External"/><Relationship  Id="rId442" Type="http://schemas.openxmlformats.org/officeDocument/2006/relationships/hyperlink" Target="http://www.linkedin.com/in/marie-girard-239b24236" TargetMode="External"/><Relationship  Id="rId4420" Type="http://schemas.openxmlformats.org/officeDocument/2006/relationships/hyperlink" Target="http://www.linkedin.com/in/nabil-toumi-637a8665" TargetMode="External"/><Relationship  Id="rId4421" Type="http://schemas.openxmlformats.org/officeDocument/2006/relationships/hyperlink" Target="http://tpbflooring.fr" TargetMode="External"/><Relationship  Id="rId4422" Type="http://schemas.openxmlformats.org/officeDocument/2006/relationships/hyperlink" Target="http://www.linkedin.com/company/tpbflooring" TargetMode="External"/><Relationship  Id="rId4423" Type="http://schemas.openxmlformats.org/officeDocument/2006/relationships/hyperlink" Target="http://www.linkedin.com/in/nicolas-werth-1b1624137" TargetMode="External"/><Relationship  Id="rId4424" Type="http://schemas.openxmlformats.org/officeDocument/2006/relationships/hyperlink" Target="http://www.linkedin.com/company/framboise-consulting" TargetMode="External"/><Relationship  Id="rId4425" Type="http://schemas.openxmlformats.org/officeDocument/2006/relationships/hyperlink" Target="http://www.linkedin.com/in/nabil-gharbi-149a3623b" TargetMode="External"/><Relationship  Id="rId4426" Type="http://schemas.openxmlformats.org/officeDocument/2006/relationships/hyperlink" Target="http://safari-technologies.com" TargetMode="External"/><Relationship  Id="rId4427" Type="http://schemas.openxmlformats.org/officeDocument/2006/relationships/hyperlink" Target="http://www.linkedin.com/company/safari-technologies" TargetMode="External"/><Relationship  Id="rId4428" Type="http://schemas.openxmlformats.org/officeDocument/2006/relationships/hyperlink" Target="http://www.linkedin.com/in/acherchour" TargetMode="External"/><Relationship  Id="rId4429" Type="http://schemas.openxmlformats.org/officeDocument/2006/relationships/hyperlink" Target="http://klc-construction.fr" TargetMode="External"/><Relationship  Id="rId443" Type="http://schemas.openxmlformats.org/officeDocument/2006/relationships/hyperlink" Target="http://www.groupesphb.fr" TargetMode="External"/><Relationship  Id="rId4430" Type="http://schemas.openxmlformats.org/officeDocument/2006/relationships/hyperlink" Target="http://www.linkedin.com/company/klcconstruction" TargetMode="External"/><Relationship  Id="rId4431" Type="http://schemas.openxmlformats.org/officeDocument/2006/relationships/hyperlink" Target="http://www.linkedin.com/in/nassim-kilic-967832121" TargetMode="External"/><Relationship  Id="rId4432" Type="http://schemas.openxmlformats.org/officeDocument/2006/relationships/hyperlink" Target="http://cepelec.com" TargetMode="External"/><Relationship  Id="rId4433" Type="http://schemas.openxmlformats.org/officeDocument/2006/relationships/hyperlink" Target="http://www.linkedin.com/company/cepelec" TargetMode="External"/><Relationship  Id="rId4434" Type="http://schemas.openxmlformats.org/officeDocument/2006/relationships/hyperlink" Target="https://facebook.com/cepelec" TargetMode="External"/><Relationship  Id="rId4435" Type="http://schemas.openxmlformats.org/officeDocument/2006/relationships/hyperlink" Target="http://www.linkedin.com/in/nathalie-soriano-9b4992134" TargetMode="External"/><Relationship  Id="rId4436" Type="http://schemas.openxmlformats.org/officeDocument/2006/relationships/hyperlink" Target="http://1000tyservices.fr" TargetMode="External"/><Relationship  Id="rId4437" Type="http://schemas.openxmlformats.org/officeDocument/2006/relationships/hyperlink" Target="http://www.linkedin.com/company/1000-ty" TargetMode="External"/><Relationship  Id="rId4438" Type="http://schemas.openxmlformats.org/officeDocument/2006/relationships/hyperlink" Target="https://twitter.com/1000TyServices" TargetMode="External"/><Relationship  Id="rId4439" Type="http://schemas.openxmlformats.org/officeDocument/2006/relationships/hyperlink" Target="https://www.facebook.com/Menuiserie-1000-Ty-Services-118055621562171/" TargetMode="External"/><Relationship  Id="rId444" Type="http://schemas.openxmlformats.org/officeDocument/2006/relationships/hyperlink" Target="http://www.linkedin.com/in/fathi-hadj-henni-b4aa1b77" TargetMode="External"/><Relationship  Id="rId4440" Type="http://schemas.openxmlformats.org/officeDocument/2006/relationships/hyperlink" Target="http://www.linkedin.com/in/nathan-corgne-b2ab9610b" TargetMode="External"/><Relationship  Id="rId4441" Type="http://schemas.openxmlformats.org/officeDocument/2006/relationships/hyperlink" Target="http://grof.io" TargetMode="External"/><Relationship  Id="rId4442" Type="http://schemas.openxmlformats.org/officeDocument/2006/relationships/hyperlink" Target="http://www.linkedin.com/company/grof" TargetMode="External"/><Relationship  Id="rId4443" Type="http://schemas.openxmlformats.org/officeDocument/2006/relationships/hyperlink" Target="http://www.linkedin.com/in/nathan-layet" TargetMode="External"/><Relationship  Id="rId4444" Type="http://schemas.openxmlformats.org/officeDocument/2006/relationships/hyperlink" Target="http://mobius-reemploi.fr" TargetMode="External"/><Relationship  Id="rId4445" Type="http://schemas.openxmlformats.org/officeDocument/2006/relationships/hyperlink" Target="http://www.linkedin.com/company/mobiusreemploi" TargetMode="External"/><Relationship  Id="rId4446" Type="http://schemas.openxmlformats.org/officeDocument/2006/relationships/hyperlink" Target="https://www.facebook.com/mobiusreemploiconstruction/" TargetMode="External"/><Relationship  Id="rId4447" Type="http://schemas.openxmlformats.org/officeDocument/2006/relationships/hyperlink" Target="http://www.linkedin.com/in/no%c3%a9-basch-4b839136" TargetMode="External"/><Relationship  Id="rId4448" Type="http://schemas.openxmlformats.org/officeDocument/2006/relationships/hyperlink" Target="http://phedon-consult.com" TargetMode="External"/><Relationship  Id="rId4449" Type="http://schemas.openxmlformats.org/officeDocument/2006/relationships/hyperlink" Target="http://www.linkedin.com/company/phedon" TargetMode="External"/><Relationship  Id="rId445" Type="http://schemas.openxmlformats.org/officeDocument/2006/relationships/hyperlink" Target="http://www.rosaparks.fr" TargetMode="External"/><Relationship  Id="rId4450" Type="http://schemas.openxmlformats.org/officeDocument/2006/relationships/hyperlink" Target="https://www.facebook.com/Phedon" TargetMode="External"/><Relationship  Id="rId4451" Type="http://schemas.openxmlformats.org/officeDocument/2006/relationships/hyperlink" Target="http://www.linkedin.com/in/nelly-margotton-8a166827" TargetMode="External"/><Relationship  Id="rId4452" Type="http://schemas.openxmlformats.org/officeDocument/2006/relationships/hyperlink" Target="http://dnt-versailles.fr" TargetMode="External"/><Relationship  Id="rId4453" Type="http://schemas.openxmlformats.org/officeDocument/2006/relationships/hyperlink" Target="http://www.linkedin.com/company/dnt-versailles" TargetMode="External"/><Relationship  Id="rId4454" Type="http://schemas.openxmlformats.org/officeDocument/2006/relationships/hyperlink" Target="http://www.linkedin.com/in/nelson-dantas-b04025b8" TargetMode="External"/><Relationship  Id="rId4455" Type="http://schemas.openxmlformats.org/officeDocument/2006/relationships/hyperlink" Target="http://kokan.fr" TargetMode="External"/><Relationship  Id="rId4456" Type="http://schemas.openxmlformats.org/officeDocument/2006/relationships/hyperlink" Target="http://www.linkedin.com/company/k%c5%8dkan" TargetMode="External"/><Relationship  Id="rId4457" Type="http://schemas.openxmlformats.org/officeDocument/2006/relationships/hyperlink" Target="https://twitter.com/KoKanFr" TargetMode="External"/><Relationship  Id="rId4458" Type="http://schemas.openxmlformats.org/officeDocument/2006/relationships/hyperlink" Target="http://www.linkedin.com/in/nelson-dufoss%c3%a9" TargetMode="External"/><Relationship  Id="rId4459" Type="http://schemas.openxmlformats.org/officeDocument/2006/relationships/hyperlink" Target="http://ags-cloud.fr" TargetMode="External"/><Relationship  Id="rId446" Type="http://schemas.openxmlformats.org/officeDocument/2006/relationships/hyperlink" Target="http://www.linkedin.com/in/yoniaidan" TargetMode="External"/><Relationship  Id="rId4460" Type="http://schemas.openxmlformats.org/officeDocument/2006/relationships/hyperlink" Target="http://www.linkedin.com/company/ags-cloud" TargetMode="External"/><Relationship  Id="rId4461" Type="http://schemas.openxmlformats.org/officeDocument/2006/relationships/hyperlink" Target="https://twitter.com/AGSCloud" TargetMode="External"/><Relationship  Id="rId4462" Type="http://schemas.openxmlformats.org/officeDocument/2006/relationships/hyperlink" Target="https://www.facebook.com/AGSCloud" TargetMode="External"/><Relationship  Id="rId4463" Type="http://schemas.openxmlformats.org/officeDocument/2006/relationships/hyperlink" Target="http://www.linkedin.com/in/nicolas-gomar-153129b6" TargetMode="External"/><Relationship  Id="rId4464" Type="http://schemas.openxmlformats.org/officeDocument/2006/relationships/hyperlink" Target="http://operametrix.fr" TargetMode="External"/><Relationship  Id="rId4465" Type="http://schemas.openxmlformats.org/officeDocument/2006/relationships/hyperlink" Target="http://www.linkedin.com/company/operametrix" TargetMode="External"/><Relationship  Id="rId4466" Type="http://schemas.openxmlformats.org/officeDocument/2006/relationships/hyperlink" Target="http://www.linkedin.com/in/nicolas-gonzalez-365baaa3" TargetMode="External"/><Relationship  Id="rId4467" Type="http://schemas.openxmlformats.org/officeDocument/2006/relationships/hyperlink" Target="http://smartpainting.fr" TargetMode="External"/><Relationship  Id="rId4468" Type="http://schemas.openxmlformats.org/officeDocument/2006/relationships/hyperlink" Target="http://www.linkedin.com/company/smart-painting" TargetMode="External"/><Relationship  Id="rId4469" Type="http://schemas.openxmlformats.org/officeDocument/2006/relationships/hyperlink" Target="http://www.linkedin.com/in/nicolas-andre-a93261185" TargetMode="External"/><Relationship  Id="rId447" Type="http://schemas.openxmlformats.org/officeDocument/2006/relationships/hyperlink" Target="http://www.maisonsparticulieres.com" TargetMode="External"/><Relationship  Id="rId4470" Type="http://schemas.openxmlformats.org/officeDocument/2006/relationships/hyperlink" Target="http://sireos.fr" TargetMode="External"/><Relationship  Id="rId4471" Type="http://schemas.openxmlformats.org/officeDocument/2006/relationships/hyperlink" Target="http://www.linkedin.com/company/sireos" TargetMode="External"/><Relationship  Id="rId4472" Type="http://schemas.openxmlformats.org/officeDocument/2006/relationships/hyperlink" Target="http://www.linkedin.com/in/nicolas-beret-519a6ab7" TargetMode="External"/><Relationship  Id="rId4473" Type="http://schemas.openxmlformats.org/officeDocument/2006/relationships/hyperlink" Target="http://ruedustore.fr" TargetMode="External"/><Relationship  Id="rId4474" Type="http://schemas.openxmlformats.org/officeDocument/2006/relationships/hyperlink" Target="http://www.linkedin.com/company/rue-du-store" TargetMode="External"/><Relationship  Id="rId4475" Type="http://schemas.openxmlformats.org/officeDocument/2006/relationships/hyperlink" Target="https://www.facebook.com/ruedustore" TargetMode="External"/><Relationship  Id="rId4476" Type="http://schemas.openxmlformats.org/officeDocument/2006/relationships/hyperlink" Target="http://www.linkedin.com/in/nicolas-decoster-ruedustore" TargetMode="External"/><Relationship  Id="rId4477" Type="http://schemas.openxmlformats.org/officeDocument/2006/relationships/hyperlink" Target="http://qsn-cyber.fr" TargetMode="External"/><Relationship  Id="rId4478" Type="http://schemas.openxmlformats.org/officeDocument/2006/relationships/hyperlink" Target="http://www.linkedin.com/company/qorum-securnum" TargetMode="External"/><Relationship  Id="rId4479" Type="http://schemas.openxmlformats.org/officeDocument/2006/relationships/hyperlink" Target="http://www.linkedin.com/in/nicolas-f-47689774" TargetMode="External"/><Relationship  Id="rId448" Type="http://schemas.openxmlformats.org/officeDocument/2006/relationships/hyperlink" Target="http://www.linkedin.com/in/caroline-gentien-718b8519" TargetMode="External"/><Relationship  Id="rId4480" Type="http://schemas.openxmlformats.org/officeDocument/2006/relationships/hyperlink" Target="http://groupe-essenciel.fr" TargetMode="External"/><Relationship  Id="rId4481" Type="http://schemas.openxmlformats.org/officeDocument/2006/relationships/hyperlink" Target="http://www.linkedin.com/company/groupe-essenciel" TargetMode="External"/><Relationship  Id="rId4482" Type="http://schemas.openxmlformats.org/officeDocument/2006/relationships/hyperlink" Target="http://www.linkedin.com/in/nicolas-guilloux-2a2464a2" TargetMode="External"/><Relationship  Id="rId4483" Type="http://schemas.openxmlformats.org/officeDocument/2006/relationships/hyperlink" Target="http://www.linkedin.com/in/nicolas-leonhardt-29b329112" TargetMode="External"/><Relationship  Id="rId4484" Type="http://schemas.openxmlformats.org/officeDocument/2006/relationships/hyperlink" Target="http://makinov.fr" TargetMode="External"/><Relationship  Id="rId4485" Type="http://schemas.openxmlformats.org/officeDocument/2006/relationships/hyperlink" Target="http://www.linkedin.com/company/makin&apos;ov" TargetMode="External"/><Relationship  Id="rId4486" Type="http://schemas.openxmlformats.org/officeDocument/2006/relationships/hyperlink" Target="http://www.linkedin.com/in/nicolas-miravette" TargetMode="External"/><Relationship  Id="rId4487" Type="http://schemas.openxmlformats.org/officeDocument/2006/relationships/hyperlink" Target="http://streammind.com" TargetMode="External"/><Relationship  Id="rId4488" Type="http://schemas.openxmlformats.org/officeDocument/2006/relationships/hyperlink" Target="http://www.linkedin.com/company/streammind" TargetMode="External"/><Relationship  Id="rId4489" Type="http://schemas.openxmlformats.org/officeDocument/2006/relationships/hyperlink" Target="https://twitter.com/Stream_Mind" TargetMode="External"/><Relationship  Id="rId449" Type="http://schemas.openxmlformats.org/officeDocument/2006/relationships/hyperlink" Target="http://www.simone.paris" TargetMode="External"/><Relationship  Id="rId4490" Type="http://schemas.openxmlformats.org/officeDocument/2006/relationships/hyperlink" Target="https://www.facebook.com/StreamMind-106327380809423" TargetMode="External"/><Relationship  Id="rId4491" Type="http://schemas.openxmlformats.org/officeDocument/2006/relationships/hyperlink" Target="http://www.linkedin.com/in/nicolas-muhadri-2bb5b8" TargetMode="External"/><Relationship  Id="rId4492" Type="http://schemas.openxmlformats.org/officeDocument/2006/relationships/hyperlink" Target="http://keybossgroup.com" TargetMode="External"/><Relationship  Id="rId4493" Type="http://schemas.openxmlformats.org/officeDocument/2006/relationships/hyperlink" Target="http://www.linkedin.com/company/keyboss-group" TargetMode="External"/><Relationship  Id="rId4494" Type="http://schemas.openxmlformats.org/officeDocument/2006/relationships/hyperlink" Target="http://www.linkedin.com/in/nicolas-ouazan-19649910" TargetMode="External"/><Relationship  Id="rId4495" Type="http://schemas.openxmlformats.org/officeDocument/2006/relationships/hyperlink" Target="http://www.linkedin.com/company/ceteamfr" TargetMode="External"/><Relationship  Id="rId4496" Type="http://schemas.openxmlformats.org/officeDocument/2006/relationships/hyperlink" Target="http://www.linkedin.com/in/nicolas-rouchon-ceteam" TargetMode="External"/><Relationship  Id="rId4497" Type="http://schemas.openxmlformats.org/officeDocument/2006/relationships/hyperlink" Target="http://www.linkedin.com/in/roussel-nicolas-direction-commerciale-externalisee-loir-et-cher-sarthe" TargetMode="External"/><Relationship  Id="rId4498" Type="http://schemas.openxmlformats.org/officeDocument/2006/relationships/hyperlink" Target="http://eurostudio.fr" TargetMode="External"/><Relationship  Id="rId4499" Type="http://schemas.openxmlformats.org/officeDocument/2006/relationships/hyperlink" Target="http://www.linkedin.com/company/eurostudio-infographie" TargetMode="External"/><Relationship  Id="rId45" Type="http://schemas.openxmlformats.org/officeDocument/2006/relationships/hyperlink" Target="http://www.linkedin.com/in/serge-peccatte-b8274031" TargetMode="External"/><Relationship  Id="rId450" Type="http://schemas.openxmlformats.org/officeDocument/2006/relationships/hyperlink" Target="http://www.linkedin.com/in/lise-vieillescazes-4819382b" TargetMode="External"/><Relationship  Id="rId4500" Type="http://schemas.openxmlformats.org/officeDocument/2006/relationships/hyperlink" Target="https://twitter.com/Eurostudio_fr" TargetMode="External"/><Relationship  Id="rId4501" Type="http://schemas.openxmlformats.org/officeDocument/2006/relationships/hyperlink" Target="https://www.facebook.com/eurostudioinfographie/" TargetMode="External"/><Relationship  Id="rId4502" Type="http://schemas.openxmlformats.org/officeDocument/2006/relationships/hyperlink" Target="http://www.linkedin.com/in/nicolas-vallet-a94b2112b" TargetMode="External"/><Relationship  Id="rId4503" Type="http://schemas.openxmlformats.org/officeDocument/2006/relationships/hyperlink" Target="http://pwa-assurance.fr" TargetMode="External"/><Relationship  Id="rId4504" Type="http://schemas.openxmlformats.org/officeDocument/2006/relationships/hyperlink" Target="http://www.linkedin.com/company/pwa-assurance" TargetMode="External"/><Relationship  Id="rId4505" Type="http://schemas.openxmlformats.org/officeDocument/2006/relationships/hyperlink" Target="http://www.linkedin.com/in/nicolas-winter-2a036bb" TargetMode="External"/><Relationship  Id="rId4506" Type="http://schemas.openxmlformats.org/officeDocument/2006/relationships/hyperlink" Target="http://actusite.fr" TargetMode="External"/><Relationship  Id="rId4507" Type="http://schemas.openxmlformats.org/officeDocument/2006/relationships/hyperlink" Target="http://www.linkedin.com/company/actusite" TargetMode="External"/><Relationship  Id="rId4508" Type="http://schemas.openxmlformats.org/officeDocument/2006/relationships/hyperlink" Target="https://twitter.com/Actusite" TargetMode="External"/><Relationship  Id="rId4509" Type="http://schemas.openxmlformats.org/officeDocument/2006/relationships/hyperlink" Target="https://facebook.com/Actusite" TargetMode="External"/><Relationship  Id="rId451" Type="http://schemas.openxmlformats.org/officeDocument/2006/relationships/hyperlink" Target="http://www.ungoutdenature.fr" TargetMode="External"/><Relationship  Id="rId4510" Type="http://schemas.openxmlformats.org/officeDocument/2006/relationships/hyperlink" Target="http://www.linkedin.com/in/nicolasdepoix" TargetMode="External"/><Relationship  Id="rId4511" Type="http://schemas.openxmlformats.org/officeDocument/2006/relationships/hyperlink" Target="http://beau-comme-un-camion.fr" TargetMode="External"/><Relationship  Id="rId4512" Type="http://schemas.openxmlformats.org/officeDocument/2006/relationships/hyperlink" Target="http://www.linkedin.com/company/beaucommeuncamion" TargetMode="External"/><Relationship  Id="rId4513" Type="http://schemas.openxmlformats.org/officeDocument/2006/relationships/hyperlink" Target="https://www.facebook.com/Beau-Comme-un-Camion-101632651326970/" TargetMode="External"/><Relationship  Id="rId4514" Type="http://schemas.openxmlformats.org/officeDocument/2006/relationships/hyperlink" Target="http://www.linkedin.com/in/nicolas-faelli-ba3b6b19b" TargetMode="External"/><Relationship  Id="rId4515" Type="http://schemas.openxmlformats.org/officeDocument/2006/relationships/hyperlink" Target="http://logis-conseil.fr" TargetMode="External"/><Relationship  Id="rId4516" Type="http://schemas.openxmlformats.org/officeDocument/2006/relationships/hyperlink" Target="http://www.linkedin.com/company/logis-conseil-groupe" TargetMode="External"/><Relationship  Id="rId4517" Type="http://schemas.openxmlformats.org/officeDocument/2006/relationships/hyperlink" Target="https://www.facebook.com/logisconseil/" TargetMode="External"/><Relationship  Id="rId4518" Type="http://schemas.openxmlformats.org/officeDocument/2006/relationships/hyperlink" Target="http://www.linkedin.com/in/nicolas-ecanvil-493845138" TargetMode="External"/><Relationship  Id="rId4519" Type="http://schemas.openxmlformats.org/officeDocument/2006/relationships/hyperlink" Target="http://lws.fr" TargetMode="External"/><Relationship  Id="rId452" Type="http://schemas.openxmlformats.org/officeDocument/2006/relationships/hyperlink" Target="http://www.linkedin.com/in/clement-land%c3%a8s-74b44058" TargetMode="External"/><Relationship  Id="rId4520" Type="http://schemas.openxmlformats.org/officeDocument/2006/relationships/hyperlink" Target="http://www.linkedin.com/company/lws---ligne-web-services" TargetMode="External"/><Relationship  Id="rId4521" Type="http://schemas.openxmlformats.org/officeDocument/2006/relationships/hyperlink" Target="https://twitter.com/Lwshosting" TargetMode="External"/><Relationship  Id="rId4522" Type="http://schemas.openxmlformats.org/officeDocument/2006/relationships/hyperlink" Target="https://www.facebook.com/lws.fr" TargetMode="External"/><Relationship  Id="rId4523" Type="http://schemas.openxmlformats.org/officeDocument/2006/relationships/hyperlink" Target="http://www.linkedin.com/in/nicolas-depredurand-518776b7" TargetMode="External"/><Relationship  Id="rId4524" Type="http://schemas.openxmlformats.org/officeDocument/2006/relationships/hyperlink" Target="http://toolapp.fr" TargetMode="External"/><Relationship  Id="rId4525" Type="http://schemas.openxmlformats.org/officeDocument/2006/relationships/hyperlink" Target="http://www.linkedin.com/company/toolapp" TargetMode="External"/><Relationship  Id="rId4526" Type="http://schemas.openxmlformats.org/officeDocument/2006/relationships/hyperlink" Target="http://www.linkedin.com/in/nicolas-goupil-67173419" TargetMode="External"/><Relationship  Id="rId4527" Type="http://schemas.openxmlformats.org/officeDocument/2006/relationships/hyperlink" Target="http://litnational.com" TargetMode="External"/><Relationship  Id="rId4528" Type="http://schemas.openxmlformats.org/officeDocument/2006/relationships/hyperlink" Target="http://www.linkedin.com/company/le-lit-national" TargetMode="External"/><Relationship  Id="rId4529" Type="http://schemas.openxmlformats.org/officeDocument/2006/relationships/hyperlink" Target="http://www.linkedin.com/in/nicolas-l%c3%a9vy-93b1353a" TargetMode="External"/><Relationship  Id="rId453" Type="http://schemas.openxmlformats.org/officeDocument/2006/relationships/hyperlink" Target="http://www.linkedin.com/in/juliettecerdan" TargetMode="External"/><Relationship  Id="rId4530" Type="http://schemas.openxmlformats.org/officeDocument/2006/relationships/hyperlink" Target="http://www.linkedin.com/company/apik-odoo" TargetMode="External"/><Relationship  Id="rId4531" Type="http://schemas.openxmlformats.org/officeDocument/2006/relationships/hyperlink" Target="https://www.facebook.com/apikgroup/" TargetMode="External"/><Relationship  Id="rId4532" Type="http://schemas.openxmlformats.org/officeDocument/2006/relationships/hyperlink" Target="http://www.linkedin.com/in/nicolas-meslin-015b0432" TargetMode="External"/><Relationship  Id="rId4533" Type="http://schemas.openxmlformats.org/officeDocument/2006/relationships/hyperlink" Target="http://usabilis.com" TargetMode="External"/><Relationship  Id="rId4534" Type="http://schemas.openxmlformats.org/officeDocument/2006/relationships/hyperlink" Target="http://www.linkedin.com/company/usabilis" TargetMode="External"/><Relationship  Id="rId4535" Type="http://schemas.openxmlformats.org/officeDocument/2006/relationships/hyperlink" Target="https://twitter.com/usabilis" TargetMode="External"/><Relationship  Id="rId4536" Type="http://schemas.openxmlformats.org/officeDocument/2006/relationships/hyperlink" Target="https://www.facebook.com/usabilisofficiel/" TargetMode="External"/><Relationship  Id="rId4537" Type="http://schemas.openxmlformats.org/officeDocument/2006/relationships/hyperlink" Target="http://www.linkedin.com/in/nogier" TargetMode="External"/><Relationship  Id="rId4538" Type="http://schemas.openxmlformats.org/officeDocument/2006/relationships/hyperlink" Target="http://www.linkedin.com/in/nethanel-ouaki-4164941b3" TargetMode="External"/><Relationship  Id="rId4539" Type="http://schemas.openxmlformats.org/officeDocument/2006/relationships/hyperlink" Target="http://piazza-coffrages.fr" TargetMode="External"/><Relationship  Id="rId454" Type="http://schemas.openxmlformats.org/officeDocument/2006/relationships/hyperlink" Target="http://www.linkedin.com/in/sreejith-govindankutty" TargetMode="External"/><Relationship  Id="rId4540" Type="http://schemas.openxmlformats.org/officeDocument/2006/relationships/hyperlink" Target="http://www.linkedin.com/company/piazza-coffrages1" TargetMode="External"/><Relationship  Id="rId4541" Type="http://schemas.openxmlformats.org/officeDocument/2006/relationships/hyperlink" Target="https://www.facebook.com/piazza.coffrages" TargetMode="External"/><Relationship  Id="rId4542" Type="http://schemas.openxmlformats.org/officeDocument/2006/relationships/hyperlink" Target="http://www.linkedin.com/in/nicolas-poriche-55993035" TargetMode="External"/><Relationship  Id="rId4543" Type="http://schemas.openxmlformats.org/officeDocument/2006/relationships/hyperlink" Target="http://optalor.com" TargetMode="External"/><Relationship  Id="rId4544" Type="http://schemas.openxmlformats.org/officeDocument/2006/relationships/hyperlink" Target="http://www.linkedin.com/company/optalor" TargetMode="External"/><Relationship  Id="rId4545" Type="http://schemas.openxmlformats.org/officeDocument/2006/relationships/hyperlink" Target="http://www.linkedin.com/in/olivier-clerc-386077b0" TargetMode="External"/><Relationship  Id="rId4546" Type="http://schemas.openxmlformats.org/officeDocument/2006/relationships/hyperlink" Target="http://www.linkedin.com/company/eyes-up" TargetMode="External"/><Relationship  Id="rId4547" Type="http://schemas.openxmlformats.org/officeDocument/2006/relationships/hyperlink" Target="http://www.linkedin.com/in/olivier-fatrez-a1aa1867" TargetMode="External"/><Relationship  Id="rId4548" Type="http://schemas.openxmlformats.org/officeDocument/2006/relationships/hyperlink" Target="http://www.linkedin.com/company/coordef" TargetMode="External"/><Relationship  Id="rId4549" Type="http://schemas.openxmlformats.org/officeDocument/2006/relationships/hyperlink" Target="http://www.linkedin.com/in/olivier-duval-79b5179b" TargetMode="External"/><Relationship  Id="rId455" Type="http://schemas.openxmlformats.org/officeDocument/2006/relationships/hyperlink" Target="http://www.selfroadiez.com" TargetMode="External"/><Relationship  Id="rId4550" Type="http://schemas.openxmlformats.org/officeDocument/2006/relationships/hyperlink" Target="http://e-nergy.com" TargetMode="External"/><Relationship  Id="rId4551" Type="http://schemas.openxmlformats.org/officeDocument/2006/relationships/hyperlink" Target="http://www.linkedin.com/company/e-nergy" TargetMode="External"/><Relationship  Id="rId4552" Type="http://schemas.openxmlformats.org/officeDocument/2006/relationships/hyperlink" Target="http://www.linkedin.com/in/olivier-garnier-5b77b9ab" TargetMode="External"/><Relationship  Id="rId4553" Type="http://schemas.openxmlformats.org/officeDocument/2006/relationships/hyperlink" Target="http://www.linkedin.com/in/olivier-laurent-568993104" TargetMode="External"/><Relationship  Id="rId4554" Type="http://schemas.openxmlformats.org/officeDocument/2006/relationships/hyperlink" Target="http://www.linkedin.com/company/printsys" TargetMode="External"/><Relationship  Id="rId4555" Type="http://schemas.openxmlformats.org/officeDocument/2006/relationships/hyperlink" Target="http://www.linkedin.com/in/olivier-lemoine-86724bb8" TargetMode="External"/><Relationship  Id="rId4556" Type="http://schemas.openxmlformats.org/officeDocument/2006/relationships/hyperlink" Target="http://prosim.net" TargetMode="External"/><Relationship  Id="rId4557" Type="http://schemas.openxmlformats.org/officeDocument/2006/relationships/hyperlink" Target="http://www.linkedin.com/company/chemical-process-simulation-software-fives-prosim" TargetMode="External"/><Relationship  Id="rId4558" Type="http://schemas.openxmlformats.org/officeDocument/2006/relationships/hyperlink" Target="https://twitter.com/fivesgroup" TargetMode="External"/><Relationship  Id="rId4559" Type="http://schemas.openxmlformats.org/officeDocument/2006/relationships/hyperlink" Target="http://www.linkedin.com/in/olivier-baudouin-05a09213" TargetMode="External"/><Relationship  Id="rId456" Type="http://schemas.openxmlformats.org/officeDocument/2006/relationships/hyperlink" Target="http://www.linkedin.com/in/philippe-blanchot-a8821499" TargetMode="External"/><Relationship  Id="rId4560" Type="http://schemas.openxmlformats.org/officeDocument/2006/relationships/hyperlink" Target="http://accomplir.fr" TargetMode="External"/><Relationship  Id="rId4561" Type="http://schemas.openxmlformats.org/officeDocument/2006/relationships/hyperlink" Target="http://www.linkedin.com/company/accomplir-conseil-et-formation" TargetMode="External"/><Relationship  Id="rId4562" Type="http://schemas.openxmlformats.org/officeDocument/2006/relationships/hyperlink" Target="http://www.linkedin.com/in/olivier-gaboury-86654013" TargetMode="External"/><Relationship  Id="rId4563" Type="http://schemas.openxmlformats.org/officeDocument/2006/relationships/hyperlink" Target="http://circularity.fr" TargetMode="External"/><Relationship  Id="rId4564" Type="http://schemas.openxmlformats.org/officeDocument/2006/relationships/hyperlink" Target="http://www.linkedin.com/company/circularity-fr" TargetMode="External"/><Relationship  Id="rId4565" Type="http://schemas.openxmlformats.org/officeDocument/2006/relationships/hyperlink" Target="http://www.linkedin.com/in/olivier-pujo-46242633" TargetMode="External"/><Relationship  Id="rId4566" Type="http://schemas.openxmlformats.org/officeDocument/2006/relationships/hyperlink" Target="http://fmsgroupe.fr" TargetMode="External"/><Relationship  Id="rId4567" Type="http://schemas.openxmlformats.org/officeDocument/2006/relationships/hyperlink" Target="http://www.linkedin.com/company/fms-distribution" TargetMode="External"/><Relationship  Id="rId4568" Type="http://schemas.openxmlformats.org/officeDocument/2006/relationships/hyperlink" Target="http://www.linkedin.com/in/olivier-schoch-45223b81" TargetMode="External"/><Relationship  Id="rId4569" Type="http://schemas.openxmlformats.org/officeDocument/2006/relationships/hyperlink" Target="http://boulle.fr" TargetMode="External"/><Relationship  Id="rId457" Type="http://schemas.openxmlformats.org/officeDocument/2006/relationships/hyperlink" Target="http://www.linkedin.com/in/jens-bicking-293b684" TargetMode="External"/><Relationship  Id="rId4570" Type="http://schemas.openxmlformats.org/officeDocument/2006/relationships/hyperlink" Target="http://www.linkedin.com/company/boulle-construction" TargetMode="External"/><Relationship  Id="rId4571" Type="http://schemas.openxmlformats.org/officeDocument/2006/relationships/hyperlink" Target="https://www.facebook.com/groupeboulle/" TargetMode="External"/><Relationship  Id="rId4572" Type="http://schemas.openxmlformats.org/officeDocument/2006/relationships/hyperlink" Target="http://www.linkedin.com/in/olivier-kinder-a8b69612b" TargetMode="External"/><Relationship  Id="rId4573" Type="http://schemas.openxmlformats.org/officeDocument/2006/relationships/hyperlink" Target="http://dc2scale.fr" TargetMode="External"/><Relationship  Id="rId4574" Type="http://schemas.openxmlformats.org/officeDocument/2006/relationships/hyperlink" Target="http://www.linkedin.com/company/dc2scale" TargetMode="External"/><Relationship  Id="rId4575" Type="http://schemas.openxmlformats.org/officeDocument/2006/relationships/hyperlink" Target="http://www.linkedin.com/in/olivier-mis-7b88b968" TargetMode="External"/><Relationship  Id="rId4576" Type="http://schemas.openxmlformats.org/officeDocument/2006/relationships/hyperlink" Target="http://wizya.fr" TargetMode="External"/><Relationship  Id="rId4577" Type="http://schemas.openxmlformats.org/officeDocument/2006/relationships/hyperlink" Target="http://www.linkedin.com/company/wizya-consulting" TargetMode="External"/><Relationship  Id="rId4578" Type="http://schemas.openxmlformats.org/officeDocument/2006/relationships/hyperlink" Target="http://www.linkedin.com/in/omar-berrada-r-06559614" TargetMode="External"/><Relationship  Id="rId4579" Type="http://schemas.openxmlformats.org/officeDocument/2006/relationships/hyperlink" Target="http://sequence-info.fr" TargetMode="External"/><Relationship  Id="rId458" Type="http://schemas.openxmlformats.org/officeDocument/2006/relationships/hyperlink" Target="http://www.elatosresort.gr" TargetMode="External"/><Relationship  Id="rId4580" Type="http://schemas.openxmlformats.org/officeDocument/2006/relationships/hyperlink" Target="http://www.linkedin.com/company/sequence-informatique" TargetMode="External"/><Relationship  Id="rId4581" Type="http://schemas.openxmlformats.org/officeDocument/2006/relationships/hyperlink" Target="http://www.linkedin.com/in/olivier-marty-0703744b" TargetMode="External"/><Relationship  Id="rId4582" Type="http://schemas.openxmlformats.org/officeDocument/2006/relationships/hyperlink" Target="http://reboot-conseil.com" TargetMode="External"/><Relationship  Id="rId4583" Type="http://schemas.openxmlformats.org/officeDocument/2006/relationships/hyperlink" Target="http://www.linkedin.com/company/reboot-conseil" TargetMode="External"/><Relationship  Id="rId4584" Type="http://schemas.openxmlformats.org/officeDocument/2006/relationships/hyperlink" Target="http://www.linkedin.com/in/oriane-bischwiller-118a70108" TargetMode="External"/><Relationship  Id="rId4585" Type="http://schemas.openxmlformats.org/officeDocument/2006/relationships/hyperlink" Target="http://eureka-attractivite.fr" TargetMode="External"/><Relationship  Id="rId4586" Type="http://schemas.openxmlformats.org/officeDocument/2006/relationships/hyperlink" Target="http://www.linkedin.com/company/eureka-attractivite" TargetMode="External"/><Relationship  Id="rId4587" Type="http://schemas.openxmlformats.org/officeDocument/2006/relationships/hyperlink" Target="https://twitter.com/EurekaNormandie" TargetMode="External"/><Relationship  Id="rId4588" Type="http://schemas.openxmlformats.org/officeDocument/2006/relationships/hyperlink" Target="https://www.facebook.com/eureka.attractivite/" TargetMode="External"/><Relationship  Id="rId4589" Type="http://schemas.openxmlformats.org/officeDocument/2006/relationships/hyperlink" Target="http://www.linkedin.com/in/orlane-jauregui-a1a54b7a" TargetMode="External"/><Relationship  Id="rId459" Type="http://schemas.openxmlformats.org/officeDocument/2006/relationships/hyperlink" Target="http://www.linkedin.com/in/arnaud-ryckebush-3b890a14" TargetMode="External"/><Relationship  Id="rId4590" Type="http://schemas.openxmlformats.org/officeDocument/2006/relationships/hyperlink" Target="http://steerlab.ai" TargetMode="External"/><Relationship  Id="rId4591" Type="http://schemas.openxmlformats.org/officeDocument/2006/relationships/hyperlink" Target="http://www.linkedin.com/company/steerlab" TargetMode="External"/><Relationship  Id="rId4592" Type="http://schemas.openxmlformats.org/officeDocument/2006/relationships/hyperlink" Target="http://www.linkedin.com/in/hamzaouiothmane" TargetMode="External"/><Relationship  Id="rId4593" Type="http://schemas.openxmlformats.org/officeDocument/2006/relationships/hyperlink" Target="http://scob-maisonsbois.com" TargetMode="External"/><Relationship  Id="rId4594" Type="http://schemas.openxmlformats.org/officeDocument/2006/relationships/hyperlink" Target="http://www.linkedin.com/company/scob-maisonsbois" TargetMode="External"/><Relationship  Id="rId4595" Type="http://schemas.openxmlformats.org/officeDocument/2006/relationships/hyperlink" Target="http://www.linkedin.com/in/olivier-tomine-38857993" TargetMode="External"/><Relationship  Id="rId4596" Type="http://schemas.openxmlformats.org/officeDocument/2006/relationships/hyperlink" Target="http://novapage.fr" TargetMode="External"/><Relationship  Id="rId4597" Type="http://schemas.openxmlformats.org/officeDocument/2006/relationships/hyperlink" Target="http://www.linkedin.com/company/novapage" TargetMode="External"/><Relationship  Id="rId4598" Type="http://schemas.openxmlformats.org/officeDocument/2006/relationships/hyperlink" Target="http://www.linkedin.com/in/philippe-gorse-2b8a0120" TargetMode="External"/><Relationship  Id="rId4599" Type="http://schemas.openxmlformats.org/officeDocument/2006/relationships/hyperlink" Target="http://micreau.fr" TargetMode="External"/><Relationship  Id="rId46" Type="http://schemas.openxmlformats.org/officeDocument/2006/relationships/hyperlink" Target="http://www.hotelsenat.com" TargetMode="External"/><Relationship  Id="rId460" Type="http://schemas.openxmlformats.org/officeDocument/2006/relationships/hyperlink" Target="http://www.linkedin.com/in/tony-viet-phong-phan-83a15214" TargetMode="External"/><Relationship  Id="rId4600" Type="http://schemas.openxmlformats.org/officeDocument/2006/relationships/hyperlink" Target="http://www.linkedin.com/company/micr&apos;eau" TargetMode="External"/><Relationship  Id="rId4601" Type="http://schemas.openxmlformats.org/officeDocument/2006/relationships/hyperlink" Target="http://www.linkedin.com/in/pascal-guasp-63062610a" TargetMode="External"/><Relationship  Id="rId4602" Type="http://schemas.openxmlformats.org/officeDocument/2006/relationships/hyperlink" Target="http://ffie.fr" TargetMode="External"/><Relationship  Id="rId4603" Type="http://schemas.openxmlformats.org/officeDocument/2006/relationships/hyperlink" Target="http://www.linkedin.com/company/ffieffie" TargetMode="External"/><Relationship  Id="rId4604" Type="http://schemas.openxmlformats.org/officeDocument/2006/relationships/hyperlink" Target="http://www.linkedin.com/in/pascal-toggenburger-50655754" TargetMode="External"/><Relationship  Id="rId4605" Type="http://schemas.openxmlformats.org/officeDocument/2006/relationships/hyperlink" Target="http://adaliance.com" TargetMode="External"/><Relationship  Id="rId4606" Type="http://schemas.openxmlformats.org/officeDocument/2006/relationships/hyperlink" Target="http://www.linkedin.com/company/adaliance" TargetMode="External"/><Relationship  Id="rId4607" Type="http://schemas.openxmlformats.org/officeDocument/2006/relationships/hyperlink" Target="https://twitter.com/Adaliance" TargetMode="External"/><Relationship  Id="rId4608" Type="http://schemas.openxmlformats.org/officeDocument/2006/relationships/hyperlink" Target="http://www.linkedin.com/in/brunopanhard" TargetMode="External"/><Relationship  Id="rId4609" Type="http://schemas.openxmlformats.org/officeDocument/2006/relationships/hyperlink" Target="http://exens-ing.com" TargetMode="External"/><Relationship  Id="rId461" Type="http://schemas.openxmlformats.org/officeDocument/2006/relationships/hyperlink" Target="http://www.obobun.fr" TargetMode="External"/><Relationship  Id="rId4610" Type="http://schemas.openxmlformats.org/officeDocument/2006/relationships/hyperlink" Target="http://www.linkedin.com/company/exens-ing-nierie" TargetMode="External"/><Relationship  Id="rId4611" Type="http://schemas.openxmlformats.org/officeDocument/2006/relationships/hyperlink" Target="http://www.linkedin.com/in/pascal-panek-81157121" TargetMode="External"/><Relationship  Id="rId4612" Type="http://schemas.openxmlformats.org/officeDocument/2006/relationships/hyperlink" Target="http://aucae.com" TargetMode="External"/><Relationship  Id="rId4613" Type="http://schemas.openxmlformats.org/officeDocument/2006/relationships/hyperlink" Target="http://www.linkedin.com/company/aucae-sas" TargetMode="External"/><Relationship  Id="rId4614" Type="http://schemas.openxmlformats.org/officeDocument/2006/relationships/hyperlink" Target="https://twitter.com/AUCAE1" TargetMode="External"/><Relationship  Id="rId4615" Type="http://schemas.openxmlformats.org/officeDocument/2006/relationships/hyperlink" Target="http://www.linkedin.com/in/pascaleperez" TargetMode="External"/><Relationship  Id="rId4616" Type="http://schemas.openxmlformats.org/officeDocument/2006/relationships/hyperlink" Target="http://horizons-group.com" TargetMode="External"/><Relationship  Id="rId4617" Type="http://schemas.openxmlformats.org/officeDocument/2006/relationships/hyperlink" Target="http://www.linkedin.com/company/horizons-group-it" TargetMode="External"/><Relationship  Id="rId4618" Type="http://schemas.openxmlformats.org/officeDocument/2006/relationships/hyperlink" Target="https://twitter.com/HORIZONSGROUP_" TargetMode="External"/><Relationship  Id="rId4619" Type="http://schemas.openxmlformats.org/officeDocument/2006/relationships/hyperlink" Target="http://www.linkedin.com/in/patrice-lecomte-9a58b2ba" TargetMode="External"/><Relationship  Id="rId462" Type="http://schemas.openxmlformats.org/officeDocument/2006/relationships/hyperlink" Target="http://www.linkedin.com/in/herv%c3%a9-van-twembeke-a5a46527" TargetMode="External"/><Relationship  Id="rId4620" Type="http://schemas.openxmlformats.org/officeDocument/2006/relationships/hyperlink" Target="http://tco.fr" TargetMode="External"/><Relationship  Id="rId4621" Type="http://schemas.openxmlformats.org/officeDocument/2006/relationships/hyperlink" Target="http://www.linkedin.com/company/tco-organisation" TargetMode="External"/><Relationship  Id="rId4622" Type="http://schemas.openxmlformats.org/officeDocument/2006/relationships/hyperlink" Target="https://www.facebook.com/tco.organisation/" TargetMode="External"/><Relationship  Id="rId4623" Type="http://schemas.openxmlformats.org/officeDocument/2006/relationships/hyperlink" Target="http://www.linkedin.com/in/patricia-vareilles-820a6510" TargetMode="External"/><Relationship  Id="rId4624" Type="http://schemas.openxmlformats.org/officeDocument/2006/relationships/hyperlink" Target="http://pertimm.com" TargetMode="External"/><Relationship  Id="rId4625" Type="http://schemas.openxmlformats.org/officeDocument/2006/relationships/hyperlink" Target="http://www.linkedin.com/company/pertimm" TargetMode="External"/><Relationship  Id="rId4626" Type="http://schemas.openxmlformats.org/officeDocument/2006/relationships/hyperlink" Target="https://twitter.com/pertimm" TargetMode="External"/><Relationship  Id="rId4627" Type="http://schemas.openxmlformats.org/officeDocument/2006/relationships/hyperlink" Target="http://www.linkedin.com/in/patrick-constant-588664" TargetMode="External"/><Relationship  Id="rId4628" Type="http://schemas.openxmlformats.org/officeDocument/2006/relationships/hyperlink" Target="http://robbemd.fr" TargetMode="External"/><Relationship  Id="rId4629" Type="http://schemas.openxmlformats.org/officeDocument/2006/relationships/hyperlink" Target="http://www.linkedin.com/company/robbe-menuiserie-et-domotique" TargetMode="External"/><Relationship  Id="rId463" Type="http://schemas.openxmlformats.org/officeDocument/2006/relationships/hyperlink" Target="http://www.california-resort.com" TargetMode="External"/><Relationship  Id="rId4630" Type="http://schemas.openxmlformats.org/officeDocument/2006/relationships/hyperlink" Target="http://www.linkedin.com/in/patrick-delahay-351699108" TargetMode="External"/><Relationship  Id="rId4631" Type="http://schemas.openxmlformats.org/officeDocument/2006/relationships/hyperlink" Target="http://afcb.fr" TargetMode="External"/><Relationship  Id="rId4632" Type="http://schemas.openxmlformats.org/officeDocument/2006/relationships/hyperlink" Target="http://www.linkedin.com/company/afcb" TargetMode="External"/><Relationship  Id="rId4633" Type="http://schemas.openxmlformats.org/officeDocument/2006/relationships/hyperlink" Target="https://twitter.com/AFCBAMENAGEMENT" TargetMode="External"/><Relationship  Id="rId4634" Type="http://schemas.openxmlformats.org/officeDocument/2006/relationships/hyperlink" Target="https://www.facebook.com/AMENAGEMENTFCB/" TargetMode="External"/><Relationship  Id="rId4635" Type="http://schemas.openxmlformats.org/officeDocument/2006/relationships/hyperlink" Target="http://www.linkedin.com/in/patrick-gar%c3%a7on-93a1aa9a" TargetMode="External"/><Relationship  Id="rId4636" Type="http://schemas.openxmlformats.org/officeDocument/2006/relationships/hyperlink" Target="http://mcm-mobilier.com" TargetMode="External"/><Relationship  Id="rId4637" Type="http://schemas.openxmlformats.org/officeDocument/2006/relationships/hyperlink" Target="http://www.linkedin.com/company/mcm-manufacture-confection-de-mobilier" TargetMode="External"/><Relationship  Id="rId4638" Type="http://schemas.openxmlformats.org/officeDocument/2006/relationships/hyperlink" Target="http://www.linkedin.com/in/patrick-grataloup-229b1151" TargetMode="External"/><Relationship  Id="rId4639" Type="http://schemas.openxmlformats.org/officeDocument/2006/relationships/hyperlink" Target="http://galaed.com" TargetMode="External"/><Relationship  Id="rId464" Type="http://schemas.openxmlformats.org/officeDocument/2006/relationships/hyperlink" Target="http://www.linkedin.com/in/etienne-faguer-036524180" TargetMode="External"/><Relationship  Id="rId4640" Type="http://schemas.openxmlformats.org/officeDocument/2006/relationships/hyperlink" Target="http://www.linkedin.com/company/galaed" TargetMode="External"/><Relationship  Id="rId4641" Type="http://schemas.openxmlformats.org/officeDocument/2006/relationships/hyperlink" Target="http://www.linkedin.com/in/patrick-thinet-6a99a510" TargetMode="External"/><Relationship  Id="rId4642" Type="http://schemas.openxmlformats.org/officeDocument/2006/relationships/hyperlink" Target="http://begt.fr" TargetMode="External"/><Relationship  Id="rId4643" Type="http://schemas.openxmlformats.org/officeDocument/2006/relationships/hyperlink" Target="http://www.linkedin.com/company/begt" TargetMode="External"/><Relationship  Id="rId4644" Type="http://schemas.openxmlformats.org/officeDocument/2006/relationships/hyperlink" Target="http://www.linkedin.com/in/paul-bellon-35b490133" TargetMode="External"/><Relationship  Id="rId4645" Type="http://schemas.openxmlformats.org/officeDocument/2006/relationships/hyperlink" Target="http://sereem.com" TargetMode="External"/><Relationship  Id="rId4646" Type="http://schemas.openxmlformats.org/officeDocument/2006/relationships/hyperlink" Target="http://www.linkedin.com/company/societe-d&apos;etudes-et-de-realisations-d&apos;ensembles-electro-mecaniques---s.e.r.e.e.m." TargetMode="External"/><Relationship  Id="rId4647" Type="http://schemas.openxmlformats.org/officeDocument/2006/relationships/hyperlink" Target="http://www.linkedin.com/in/paul-bourdarios-a6461024" TargetMode="External"/><Relationship  Id="rId4648" Type="http://schemas.openxmlformats.org/officeDocument/2006/relationships/hyperlink" Target="http://lapala.io" TargetMode="External"/><Relationship  Id="rId4649" Type="http://schemas.openxmlformats.org/officeDocument/2006/relationships/hyperlink" Target="http://www.linkedin.com/company/lapala" TargetMode="External"/><Relationship  Id="rId465" Type="http://schemas.openxmlformats.org/officeDocument/2006/relationships/hyperlink" Target="http://www.linkedin.com/in/christophe-laporte-a3786a7" TargetMode="External"/><Relationship  Id="rId4650" Type="http://schemas.openxmlformats.org/officeDocument/2006/relationships/hyperlink" Target="https://twitter.com/lapala_io" TargetMode="External"/><Relationship  Id="rId4651" Type="http://schemas.openxmlformats.org/officeDocument/2006/relationships/hyperlink" Target="http://www.linkedin.com/in/paul-schwebius" TargetMode="External"/><Relationship  Id="rId4652" Type="http://schemas.openxmlformats.org/officeDocument/2006/relationships/hyperlink" Target="http://voltasoftware.com" TargetMode="External"/><Relationship  Id="rId4653" Type="http://schemas.openxmlformats.org/officeDocument/2006/relationships/hyperlink" Target="http://www.linkedin.com/company/volta-software" TargetMode="External"/><Relationship  Id="rId4654" Type="http://schemas.openxmlformats.org/officeDocument/2006/relationships/hyperlink" Target="http://www.linkedin.com/in/paul-guillemin-194a1557" TargetMode="External"/><Relationship  Id="rId4655" Type="http://schemas.openxmlformats.org/officeDocument/2006/relationships/hyperlink" Target="http://delaval.fr" TargetMode="External"/><Relationship  Id="rId4656" Type="http://schemas.openxmlformats.org/officeDocument/2006/relationships/hyperlink" Target="http://www.linkedin.com/company/delavalgroupe" TargetMode="External"/><Relationship  Id="rId4657" Type="http://schemas.openxmlformats.org/officeDocument/2006/relationships/hyperlink" Target="http://www.linkedin.com/in/pauline-hubert-4b4979129" TargetMode="External"/><Relationship  Id="rId4658" Type="http://schemas.openxmlformats.org/officeDocument/2006/relationships/hyperlink" Target="http://weodeo.com" TargetMode="External"/><Relationship  Id="rId4659" Type="http://schemas.openxmlformats.org/officeDocument/2006/relationships/hyperlink" Target="http://www.linkedin.com/company/weodeo" TargetMode="External"/><Relationship  Id="rId466" Type="http://schemas.openxmlformats.org/officeDocument/2006/relationships/hyperlink" Target="http://www.composeparis.fr" TargetMode="External"/><Relationship  Id="rId4660" Type="http://schemas.openxmlformats.org/officeDocument/2006/relationships/hyperlink" Target="http://www.linkedin.com/in/philippeaymonod" TargetMode="External"/><Relationship  Id="rId4661" Type="http://schemas.openxmlformats.org/officeDocument/2006/relationships/hyperlink" Target="http://www.linkedin.com/in/pierre-blequit-99bb55122" TargetMode="External"/><Relationship  Id="rId4662" Type="http://schemas.openxmlformats.org/officeDocument/2006/relationships/hyperlink" Target="http://partnertalent.fr" TargetMode="External"/><Relationship  Id="rId4663" Type="http://schemas.openxmlformats.org/officeDocument/2006/relationships/hyperlink" Target="http://www.linkedin.com/company/partner-talent" TargetMode="External"/><Relationship  Id="rId4664" Type="http://schemas.openxmlformats.org/officeDocument/2006/relationships/hyperlink" Target="https://twitter.com/awoopt" TargetMode="External"/><Relationship  Id="rId4665" Type="http://schemas.openxmlformats.org/officeDocument/2006/relationships/hyperlink" Target="http://www.linkedin.com/in/patrick-delbar-3b6a2357" TargetMode="External"/><Relationship  Id="rId4666" Type="http://schemas.openxmlformats.org/officeDocument/2006/relationships/hyperlink" Target="http://oz-alu.com" TargetMode="External"/><Relationship  Id="rId4667" Type="http://schemas.openxmlformats.org/officeDocument/2006/relationships/hyperlink" Target="http://www.linkedin.com/company/oz-alu" TargetMode="External"/><Relationship  Id="rId4668" Type="http://schemas.openxmlformats.org/officeDocument/2006/relationships/hyperlink" Target="http://www.linkedin.com/in/christophe-p%c3%a9court-370243a2" TargetMode="External"/><Relationship  Id="rId4669" Type="http://schemas.openxmlformats.org/officeDocument/2006/relationships/hyperlink" Target="http://sammob-sbi.com" TargetMode="External"/><Relationship  Id="rId467" Type="http://schemas.openxmlformats.org/officeDocument/2006/relationships/hyperlink" Target="http://www.linkedin.com/in/yassine-khelifi-63b57447" TargetMode="External"/><Relationship  Id="rId4670" Type="http://schemas.openxmlformats.org/officeDocument/2006/relationships/hyperlink" Target="http://www.linkedin.com/company/sbi-murs-mobiles-acoustique" TargetMode="External"/><Relationship  Id="rId4671" Type="http://schemas.openxmlformats.org/officeDocument/2006/relationships/hyperlink" Target="https://www.facebook.com/SBIMursMobiles" TargetMode="External"/><Relationship  Id="rId4672" Type="http://schemas.openxmlformats.org/officeDocument/2006/relationships/hyperlink" Target="http://www.linkedin.com/in/laurent-petit-a5b156115" TargetMode="External"/><Relationship  Id="rId4673" Type="http://schemas.openxmlformats.org/officeDocument/2006/relationships/hyperlink" Target="http://www.linkedin.com/in/philippe-artur-0aa505209" TargetMode="External"/><Relationship  Id="rId4674" Type="http://schemas.openxmlformats.org/officeDocument/2006/relationships/hyperlink" Target="http://covateam.com" TargetMode="External"/><Relationship  Id="rId4675" Type="http://schemas.openxmlformats.org/officeDocument/2006/relationships/hyperlink" Target="http://www.linkedin.com/company/societecovateam" TargetMode="External"/><Relationship  Id="rId4676" Type="http://schemas.openxmlformats.org/officeDocument/2006/relationships/hyperlink" Target="http://www.linkedin.com/in/philippe-dujardin-15671b" TargetMode="External"/><Relationship  Id="rId4677" Type="http://schemas.openxmlformats.org/officeDocument/2006/relationships/hyperlink" Target="http://tentelemed.com" TargetMode="External"/><Relationship  Id="rId4678" Type="http://schemas.openxmlformats.org/officeDocument/2006/relationships/hyperlink" Target="http://www.linkedin.com/company/telemedicine-technologies" TargetMode="External"/><Relationship  Id="rId4679" Type="http://schemas.openxmlformats.org/officeDocument/2006/relationships/hyperlink" Target="https://twitter.com/ctma_scout" TargetMode="External"/><Relationship  Id="rId468" Type="http://schemas.openxmlformats.org/officeDocument/2006/relationships/hyperlink" Target="http://www.theranch.fr" TargetMode="External"/><Relationship  Id="rId4680" Type="http://schemas.openxmlformats.org/officeDocument/2006/relationships/hyperlink" Target="https://facebook.com/ctma-clinical-trials-mobile-application-1696522860630635" TargetMode="External"/><Relationship  Id="rId4681" Type="http://schemas.openxmlformats.org/officeDocument/2006/relationships/hyperlink" Target="http://www.linkedin.com/in/philippeharan" TargetMode="External"/><Relationship  Id="rId4682" Type="http://schemas.openxmlformats.org/officeDocument/2006/relationships/hyperlink" Target="http://www.linkedin.com/company/toptech-france" TargetMode="External"/><Relationship  Id="rId4683" Type="http://schemas.openxmlformats.org/officeDocument/2006/relationships/hyperlink" Target="http://www.linkedin.com/in/philippe-lame" TargetMode="External"/><Relationship  Id="rId4684" Type="http://schemas.openxmlformats.org/officeDocument/2006/relationships/hyperlink" Target="http://www.linkedin.com/company/e-volve-academy" TargetMode="External"/><Relationship  Id="rId4685" Type="http://schemas.openxmlformats.org/officeDocument/2006/relationships/hyperlink" Target="http://www.linkedin.com/in/philippeleclercqevolve" TargetMode="External"/><Relationship  Id="rId4686" Type="http://schemas.openxmlformats.org/officeDocument/2006/relationships/hyperlink" Target="http://everest-isolation.fr" TargetMode="External"/><Relationship  Id="rId4687" Type="http://schemas.openxmlformats.org/officeDocument/2006/relationships/hyperlink" Target="http://www.linkedin.com/company/everest-isolation" TargetMode="External"/><Relationship  Id="rId4688" Type="http://schemas.openxmlformats.org/officeDocument/2006/relationships/hyperlink" Target="https://www.facebook.com/everestisolation/" TargetMode="External"/><Relationship  Id="rId4689" Type="http://schemas.openxmlformats.org/officeDocument/2006/relationships/hyperlink" Target="http://www.linkedin.com/in/philippe-million-167a059a" TargetMode="External"/><Relationship  Id="rId469" Type="http://schemas.openxmlformats.org/officeDocument/2006/relationships/hyperlink" Target="http://www.linkedin.com/in/nicolas-cascales-%f0%9f%87%ab%f0%9f%87%b7-575b14196" TargetMode="External"/><Relationship  Id="rId4690" Type="http://schemas.openxmlformats.org/officeDocument/2006/relationships/hyperlink" Target="http://wattohm.fr" TargetMode="External"/><Relationship  Id="rId4691" Type="http://schemas.openxmlformats.org/officeDocument/2006/relationships/hyperlink" Target="http://www.linkedin.com/company/wattohmequipement" TargetMode="External"/><Relationship  Id="rId4692" Type="http://schemas.openxmlformats.org/officeDocument/2006/relationships/hyperlink" Target="http://www.linkedin.com/in/%c3%a9ric-piegay-871ab137" TargetMode="External"/><Relationship  Id="rId4693" Type="http://schemas.openxmlformats.org/officeDocument/2006/relationships/hyperlink" Target="http://www.linkedin.com/in/pierre-antoinersl" TargetMode="External"/><Relationship  Id="rId4694" Type="http://schemas.openxmlformats.org/officeDocument/2006/relationships/hyperlink" Target="http://agrisight.fr" TargetMode="External"/><Relationship  Id="rId4695" Type="http://schemas.openxmlformats.org/officeDocument/2006/relationships/hyperlink" Target="http://www.linkedin.com/company/agrisight" TargetMode="External"/><Relationship  Id="rId4696" Type="http://schemas.openxmlformats.org/officeDocument/2006/relationships/hyperlink" Target="http://www.linkedin.com/in/pierre-boucher-800050ba" TargetMode="External"/><Relationship  Id="rId4697" Type="http://schemas.openxmlformats.org/officeDocument/2006/relationships/hyperlink" Target="http://geniedeslieux.com" TargetMode="External"/><Relationship  Id="rId4698" Type="http://schemas.openxmlformats.org/officeDocument/2006/relationships/hyperlink" Target="http://www.linkedin.com/company/genie-des-lieux" TargetMode="External"/><Relationship  Id="rId4699" Type="http://schemas.openxmlformats.org/officeDocument/2006/relationships/hyperlink" Target="https://twitter.com/GeniedesLieux" TargetMode="External"/><Relationship  Id="rId47" Type="http://schemas.openxmlformats.org/officeDocument/2006/relationships/hyperlink" Target="http://www.linkedin.com/in/christophe-flambert-a176027" TargetMode="External"/><Relationship  Id="rId470" Type="http://schemas.openxmlformats.org/officeDocument/2006/relationships/hyperlink" Target="http://www.yaoz.com" TargetMode="External"/><Relationship  Id="rId4700" Type="http://schemas.openxmlformats.org/officeDocument/2006/relationships/hyperlink" Target="http://www.linkedin.com/in/pierre-bouchet-30983111" TargetMode="External"/><Relationship  Id="rId4701" Type="http://schemas.openxmlformats.org/officeDocument/2006/relationships/hyperlink" Target="http://ingenium.fr" TargetMode="External"/><Relationship  Id="rId4702" Type="http://schemas.openxmlformats.org/officeDocument/2006/relationships/hyperlink" Target="http://www.linkedin.com/company/ingenium-animalis" TargetMode="External"/><Relationship  Id="rId4703" Type="http://schemas.openxmlformats.org/officeDocument/2006/relationships/hyperlink" Target="http://www.linkedin.com/in/pierre-buisson-8387aa36" TargetMode="External"/><Relationship  Id="rId4704" Type="http://schemas.openxmlformats.org/officeDocument/2006/relationships/hyperlink" Target="http://www.linkedin.com/in/pierre-schaller63" TargetMode="External"/><Relationship  Id="rId4705" Type="http://schemas.openxmlformats.org/officeDocument/2006/relationships/hyperlink" Target="http://www.linkedin.com/in/pierre-toinon-946767140" TargetMode="External"/><Relationship  Id="rId4706" Type="http://schemas.openxmlformats.org/officeDocument/2006/relationships/hyperlink" Target="http://eglise.in" TargetMode="External"/><Relationship  Id="rId4707" Type="http://schemas.openxmlformats.org/officeDocument/2006/relationships/hyperlink" Target="http://www.linkedin.com/company/eglise-et-innovation-numerique" TargetMode="External"/><Relationship  Id="rId4708" Type="http://schemas.openxmlformats.org/officeDocument/2006/relationships/hyperlink" Target="https://www.facebook.com/pitchmychurch/" TargetMode="External"/><Relationship  Id="rId4709" Type="http://schemas.openxmlformats.org/officeDocument/2006/relationships/hyperlink" Target="http://www.linkedin.com/in/macquere" TargetMode="External"/><Relationship  Id="rId471" Type="http://schemas.openxmlformats.org/officeDocument/2006/relationships/hyperlink" Target="http://www.linkedin.com/in/ludovic-le-baud" TargetMode="External"/><Relationship  Id="rId4710" Type="http://schemas.openxmlformats.org/officeDocument/2006/relationships/hyperlink" Target="http://bypauline.fr" TargetMode="External"/><Relationship  Id="rId4711" Type="http://schemas.openxmlformats.org/officeDocument/2006/relationships/hyperlink" Target="http://www.linkedin.com/company/by-pauline" TargetMode="External"/><Relationship  Id="rId4712" Type="http://schemas.openxmlformats.org/officeDocument/2006/relationships/hyperlink" Target="https://twitter.com/ByPauline_" TargetMode="External"/><Relationship  Id="rId4713" Type="http://schemas.openxmlformats.org/officeDocument/2006/relationships/hyperlink" Target="https://www.facebook.com/lereseaubyPauline/" TargetMode="External"/><Relationship  Id="rId4714" Type="http://schemas.openxmlformats.org/officeDocument/2006/relationships/hyperlink" Target="http://www.linkedin.com/in/pauline-levasseur" TargetMode="External"/><Relationship  Id="rId4715" Type="http://schemas.openxmlformats.org/officeDocument/2006/relationships/hyperlink" Target="http://smsmanagement.fr" TargetMode="External"/><Relationship  Id="rId4716" Type="http://schemas.openxmlformats.org/officeDocument/2006/relationships/hyperlink" Target="http://www.linkedin.com/company/smsmanagement" TargetMode="External"/><Relationship  Id="rId4717" Type="http://schemas.openxmlformats.org/officeDocument/2006/relationships/hyperlink" Target="http://www.linkedin.com/in/philippe-moussy-6523921b" TargetMode="External"/><Relationship  Id="rId4718" Type="http://schemas.openxmlformats.org/officeDocument/2006/relationships/hyperlink" Target="http://apsecurity.fr" TargetMode="External"/><Relationship  Id="rId4719" Type="http://schemas.openxmlformats.org/officeDocument/2006/relationships/hyperlink" Target="http://www.linkedin.com/company/apsecurity" TargetMode="External"/><Relationship  Id="rId472" Type="http://schemas.openxmlformats.org/officeDocument/2006/relationships/hyperlink" Target="http://www.leroch-hotel.com" TargetMode="External"/><Relationship  Id="rId4720" Type="http://schemas.openxmlformats.org/officeDocument/2006/relationships/hyperlink" Target="http://www.linkedin.com/in/arnaud-poncelet-36b05145" TargetMode="External"/><Relationship  Id="rId4721" Type="http://schemas.openxmlformats.org/officeDocument/2006/relationships/hyperlink" Target="http://data-newroad.com" TargetMode="External"/><Relationship  Id="rId4722" Type="http://schemas.openxmlformats.org/officeDocument/2006/relationships/hyperlink" Target="http://www.linkedin.com/company/data-new-road" TargetMode="External"/><Relationship  Id="rId4723" Type="http://schemas.openxmlformats.org/officeDocument/2006/relationships/hyperlink" Target="http://www.linkedin.com/in/pascal-philip-93b55ba4" TargetMode="External"/><Relationship  Id="rId4724" Type="http://schemas.openxmlformats.org/officeDocument/2006/relationships/hyperlink" Target="http://www.linkedin.com/in/priscilla-saunier-6b969167" TargetMode="External"/><Relationship  Id="rId4725" Type="http://schemas.openxmlformats.org/officeDocument/2006/relationships/hyperlink" Target="http://finopia.fr" TargetMode="External"/><Relationship  Id="rId4726" Type="http://schemas.openxmlformats.org/officeDocument/2006/relationships/hyperlink" Target="http://www.linkedin.com/company/finopiareunion" TargetMode="External"/><Relationship  Id="rId4727" Type="http://schemas.openxmlformats.org/officeDocument/2006/relationships/hyperlink" Target="http://www.linkedin.com/in/sandjivy-philippe-finopia" TargetMode="External"/><Relationship  Id="rId4728" Type="http://schemas.openxmlformats.org/officeDocument/2006/relationships/hyperlink" Target="http://autonomii.fr" TargetMode="External"/><Relationship  Id="rId4729" Type="http://schemas.openxmlformats.org/officeDocument/2006/relationships/hyperlink" Target="http://www.linkedin.com/company/autonomii" TargetMode="External"/><Relationship  Id="rId473" Type="http://schemas.openxmlformats.org/officeDocument/2006/relationships/hyperlink" Target="http://www.linkedin.com/in/samantha-bailly-a59b2018" TargetMode="External"/><Relationship  Id="rId4730" Type="http://schemas.openxmlformats.org/officeDocument/2006/relationships/hyperlink" Target="http://www.linkedin.com/in/pauline-schmutz-13b5b219" TargetMode="External"/><Relationship  Id="rId4731" Type="http://schemas.openxmlformats.org/officeDocument/2006/relationships/hyperlink" Target="http://lopticienquibouge.fr" TargetMode="External"/><Relationship  Id="rId4732" Type="http://schemas.openxmlformats.org/officeDocument/2006/relationships/hyperlink" Target="http://www.linkedin.com/company/l-opticien-qui-bouge" TargetMode="External"/><Relationship  Id="rId4733" Type="http://schemas.openxmlformats.org/officeDocument/2006/relationships/hyperlink" Target="https://www.facebook.com/LOpticienQuiBouge/" TargetMode="External"/><Relationship  Id="rId4734" Type="http://schemas.openxmlformats.org/officeDocument/2006/relationships/hyperlink" Target="http://www.linkedin.com/in/pierretisseau" TargetMode="External"/><Relationship  Id="rId4735" Type="http://schemas.openxmlformats.org/officeDocument/2006/relationships/hyperlink" Target="http://oblige.fr" TargetMode="External"/><Relationship  Id="rId4736" Type="http://schemas.openxmlformats.org/officeDocument/2006/relationships/hyperlink" Target="http://www.linkedin.com/company/oblige-ai" TargetMode="External"/><Relationship  Id="rId4737" Type="http://schemas.openxmlformats.org/officeDocument/2006/relationships/hyperlink" Target="https://twitter.com/Oblige_ai" TargetMode="External"/><Relationship  Id="rId4738" Type="http://schemas.openxmlformats.org/officeDocument/2006/relationships/hyperlink" Target="http://www.linkedin.com/in/quentinlagier" TargetMode="External"/><Relationship  Id="rId4739" Type="http://schemas.openxmlformats.org/officeDocument/2006/relationships/hyperlink" Target="http://ideel.io" TargetMode="External"/><Relationship  Id="rId474" Type="http://schemas.openxmlformats.org/officeDocument/2006/relationships/hyperlink" Target="http://www.linkedin.com/in/sabrina-viley-197023104" TargetMode="External"/><Relationship  Id="rId4740" Type="http://schemas.openxmlformats.org/officeDocument/2006/relationships/hyperlink" Target="http://www.linkedin.com/company/ideel-abo" TargetMode="External"/><Relationship  Id="rId4741" Type="http://schemas.openxmlformats.org/officeDocument/2006/relationships/hyperlink" Target="https://twitter.com/ideel_abo" TargetMode="External"/><Relationship  Id="rId4742" Type="http://schemas.openxmlformats.org/officeDocument/2006/relationships/hyperlink" Target="https://www.facebook.com/ideel.abo/" TargetMode="External"/><Relationship  Id="rId4743" Type="http://schemas.openxmlformats.org/officeDocument/2006/relationships/hyperlink" Target="http://www.linkedin.com/in/quentin-musson-87586483" TargetMode="External"/><Relationship  Id="rId4744" Type="http://schemas.openxmlformats.org/officeDocument/2006/relationships/hyperlink" Target="http://digitalfactorytelecom.fr" TargetMode="External"/><Relationship  Id="rId4745" Type="http://schemas.openxmlformats.org/officeDocument/2006/relationships/hyperlink" Target="http://www.linkedin.com/company/digital-factory-telecom" TargetMode="External"/><Relationship  Id="rId4746" Type="http://schemas.openxmlformats.org/officeDocument/2006/relationships/hyperlink" Target="https://twitter.com/Telecom_Dft" TargetMode="External"/><Relationship  Id="rId4747" Type="http://schemas.openxmlformats.org/officeDocument/2006/relationships/hyperlink" Target="https://www.facebook.com/Digital-Factory-Telecom-101986712282966" TargetMode="External"/><Relationship  Id="rId4748" Type="http://schemas.openxmlformats.org/officeDocument/2006/relationships/hyperlink" Target="http://www.linkedin.com/in/romain-martin-309a67120" TargetMode="External"/><Relationship  Id="rId4749" Type="http://schemas.openxmlformats.org/officeDocument/2006/relationships/hyperlink" Target="http://22emesiecle.com" TargetMode="External"/><Relationship  Id="rId475" Type="http://schemas.openxmlformats.org/officeDocument/2006/relationships/hyperlink" Target="http://www.lechateaudelatour.fr" TargetMode="External"/><Relationship  Id="rId4750" Type="http://schemas.openxmlformats.org/officeDocument/2006/relationships/hyperlink" Target="http://www.linkedin.com/company/22eme-siecle" TargetMode="External"/><Relationship  Id="rId4751" Type="http://schemas.openxmlformats.org/officeDocument/2006/relationships/hyperlink" Target="http://www.linkedin.com/in/raphaelbosch" TargetMode="External"/><Relationship  Id="rId4752" Type="http://schemas.openxmlformats.org/officeDocument/2006/relationships/hyperlink" Target="http://baback.co" TargetMode="External"/><Relationship  Id="rId4753" Type="http://schemas.openxmlformats.org/officeDocument/2006/relationships/hyperlink" Target="http://www.linkedin.com/company/baback" TargetMode="External"/><Relationship  Id="rId4754" Type="http://schemas.openxmlformats.org/officeDocument/2006/relationships/hyperlink" Target="http://www.linkedin.com/in/r-touati" TargetMode="External"/><Relationship  Id="rId4755" Type="http://schemas.openxmlformats.org/officeDocument/2006/relationships/hyperlink" Target="http://maison-raphael.com" TargetMode="External"/><Relationship  Id="rId4756" Type="http://schemas.openxmlformats.org/officeDocument/2006/relationships/hyperlink" Target="http://www.linkedin.com/company/maisonraphael" TargetMode="External"/><Relationship  Id="rId4757" Type="http://schemas.openxmlformats.org/officeDocument/2006/relationships/hyperlink" Target="http://www.linkedin.com/in/rapha%c3%abl-hassenforder-87417812a" TargetMode="External"/><Relationship  Id="rId4758" Type="http://schemas.openxmlformats.org/officeDocument/2006/relationships/hyperlink" Target="http://cristal.je" TargetMode="External"/><Relationship  Id="rId4759" Type="http://schemas.openxmlformats.org/officeDocument/2006/relationships/hyperlink" Target="http://www.linkedin.com/company/association-cristal" TargetMode="External"/><Relationship  Id="rId476" Type="http://schemas.openxmlformats.org/officeDocument/2006/relationships/hyperlink" Target="http://www.linkedin.com/in/wenxuwang" TargetMode="External"/><Relationship  Id="rId4760" Type="http://schemas.openxmlformats.org/officeDocument/2006/relationships/hyperlink" Target="https://twitter.com/cristalasso" TargetMode="External"/><Relationship  Id="rId4761" Type="http://schemas.openxmlformats.org/officeDocument/2006/relationships/hyperlink" Target="https://www.facebook.com/assoCristal/" TargetMode="External"/><Relationship  Id="rId4762" Type="http://schemas.openxmlformats.org/officeDocument/2006/relationships/hyperlink" Target="http://www.linkedin.com/in/rayan-drissi-1b66421b3" TargetMode="External"/><Relationship  Id="rId4763" Type="http://schemas.openxmlformats.org/officeDocument/2006/relationships/hyperlink" Target="http://fibrealpha.fr" TargetMode="External"/><Relationship  Id="rId4764" Type="http://schemas.openxmlformats.org/officeDocument/2006/relationships/hyperlink" Target="http://www.linkedin.com/company/fibre-alpha" TargetMode="External"/><Relationship  Id="rId4765" Type="http://schemas.openxmlformats.org/officeDocument/2006/relationships/hyperlink" Target="http://www.linkedin.com/in/djamel-reddaf-435672195" TargetMode="External"/><Relationship  Id="rId4766" Type="http://schemas.openxmlformats.org/officeDocument/2006/relationships/hyperlink" Target="http://tec3h.fr" TargetMode="External"/><Relationship  Id="rId4767" Type="http://schemas.openxmlformats.org/officeDocument/2006/relationships/hyperlink" Target="http://www.linkedin.com/company/tec3h" TargetMode="External"/><Relationship  Id="rId4768" Type="http://schemas.openxmlformats.org/officeDocument/2006/relationships/hyperlink" Target="https://twitter.com/tec3_h" TargetMode="External"/><Relationship  Id="rId4769" Type="http://schemas.openxmlformats.org/officeDocument/2006/relationships/hyperlink" Target="https://www.facebook.com/tec3h/" TargetMode="External"/><Relationship  Id="rId477" Type="http://schemas.openxmlformats.org/officeDocument/2006/relationships/hyperlink" Target="http://www.ponpon.cafe" TargetMode="External"/><Relationship  Id="rId4770" Type="http://schemas.openxmlformats.org/officeDocument/2006/relationships/hyperlink" Target="http://www.linkedin.com/in/r%c3%a9gis-tranquille-b48bba119" TargetMode="External"/><Relationship  Id="rId4771" Type="http://schemas.openxmlformats.org/officeDocument/2006/relationships/hyperlink" Target="http://nextmove.fr" TargetMode="External"/><Relationship  Id="rId4772" Type="http://schemas.openxmlformats.org/officeDocument/2006/relationships/hyperlink" Target="http://www.linkedin.com/company/nextmovecluster" TargetMode="External"/><Relationship  Id="rId4773" Type="http://schemas.openxmlformats.org/officeDocument/2006/relationships/hyperlink" Target="http://www.linkedin.com/in/r%c3%a9mi-bastien-a68b8650" TargetMode="External"/><Relationship  Id="rId4774" Type="http://schemas.openxmlformats.org/officeDocument/2006/relationships/hyperlink" Target="http://turnk.co" TargetMode="External"/><Relationship  Id="rId4775" Type="http://schemas.openxmlformats.org/officeDocument/2006/relationships/hyperlink" Target="http://www.linkedin.com/company/turnk" TargetMode="External"/><Relationship  Id="rId4776" Type="http://schemas.openxmlformats.org/officeDocument/2006/relationships/hyperlink" Target="http://www.linkedin.com/in/remi-woronkiewicz-pro" TargetMode="External"/><Relationship  Id="rId4777" Type="http://schemas.openxmlformats.org/officeDocument/2006/relationships/hyperlink" Target="http://i3konnect.com" TargetMode="External"/><Relationship  Id="rId4778" Type="http://schemas.openxmlformats.org/officeDocument/2006/relationships/hyperlink" Target="http://www.linkedin.com/company/i3konnect" TargetMode="External"/><Relationship  Id="rId4779" Type="http://schemas.openxmlformats.org/officeDocument/2006/relationships/hyperlink" Target="http://www.linkedin.com/in/renaud-chatelier-24401276" TargetMode="External"/><Relationship  Id="rId478" Type="http://schemas.openxmlformats.org/officeDocument/2006/relationships/hyperlink" Target="http://www.linkedin.com/in/mehdi-rais" TargetMode="External"/><Relationship  Id="rId4780" Type="http://schemas.openxmlformats.org/officeDocument/2006/relationships/hyperlink" Target="http://everdata.fr" TargetMode="External"/><Relationship  Id="rId4781" Type="http://schemas.openxmlformats.org/officeDocument/2006/relationships/hyperlink" Target="http://www.linkedin.com/company/everdata" TargetMode="External"/><Relationship  Id="rId4782" Type="http://schemas.openxmlformats.org/officeDocument/2006/relationships/hyperlink" Target="http://www.linkedin.com/in/cybersecurit%c3%a9" TargetMode="External"/><Relationship  Id="rId4783" Type="http://schemas.openxmlformats.org/officeDocument/2006/relationships/hyperlink" Target="http://talenco.com" TargetMode="External"/><Relationship  Id="rId4784" Type="http://schemas.openxmlformats.org/officeDocument/2006/relationships/hyperlink" Target="http://www.linkedin.com/company/talenco-formations" TargetMode="External"/><Relationship  Id="rId4785" Type="http://schemas.openxmlformats.org/officeDocument/2006/relationships/hyperlink" Target="https://twitter.com/talenco" TargetMode="External"/><Relationship  Id="rId4786" Type="http://schemas.openxmlformats.org/officeDocument/2006/relationships/hyperlink" Target="https://www.facebook.com/Talenco/" TargetMode="External"/><Relationship  Id="rId4787" Type="http://schemas.openxmlformats.org/officeDocument/2006/relationships/hyperlink" Target="http://www.linkedin.com/in/raphaelkattan" TargetMode="External"/><Relationship  Id="rId4788" Type="http://schemas.openxmlformats.org/officeDocument/2006/relationships/hyperlink" Target="http://evogest.fr" TargetMode="External"/><Relationship  Id="rId4789" Type="http://schemas.openxmlformats.org/officeDocument/2006/relationships/hyperlink" Target="http://www.linkedin.com/company/evogest" TargetMode="External"/><Relationship  Id="rId479" Type="http://schemas.openxmlformats.org/officeDocument/2006/relationships/hyperlink" Target="http://www.saturdayzapp.com" TargetMode="External"/><Relationship  Id="rId4790" Type="http://schemas.openxmlformats.org/officeDocument/2006/relationships/hyperlink" Target="https://www.facebook.com/evogest.logest/" TargetMode="External"/><Relationship  Id="rId4791" Type="http://schemas.openxmlformats.org/officeDocument/2006/relationships/hyperlink" Target="http://www.linkedin.com/in/r%c3%a9gis-loutzek-1b8264115" TargetMode="External"/><Relationship  Id="rId4792" Type="http://schemas.openxmlformats.org/officeDocument/2006/relationships/hyperlink" Target="http://placeme.io" TargetMode="External"/><Relationship  Id="rId4793" Type="http://schemas.openxmlformats.org/officeDocument/2006/relationships/hyperlink" Target="http://www.linkedin.com/company/placeme-sas" TargetMode="External"/><Relationship  Id="rId4794" Type="http://schemas.openxmlformats.org/officeDocument/2006/relationships/hyperlink" Target="https://twitter.com/PlaceMe_io" TargetMode="External"/><Relationship  Id="rId4795" Type="http://schemas.openxmlformats.org/officeDocument/2006/relationships/hyperlink" Target="https://www.facebook.com/placeme.io/" TargetMode="External"/><Relationship  Id="rId4796" Type="http://schemas.openxmlformats.org/officeDocument/2006/relationships/hyperlink" Target="http://www.linkedin.com/in/robincoma" TargetMode="External"/><Relationship  Id="rId4797" Type="http://schemas.openxmlformats.org/officeDocument/2006/relationships/hyperlink" Target="http://aprex-solutions.com" TargetMode="External"/><Relationship  Id="rId4798" Type="http://schemas.openxmlformats.org/officeDocument/2006/relationships/hyperlink" Target="http://www.linkedin.com/company/aprex-solutions" TargetMode="External"/><Relationship  Id="rId4799" Type="http://schemas.openxmlformats.org/officeDocument/2006/relationships/hyperlink" Target="http://www.linkedin.com/in/romain-baude-41bb9bab" TargetMode="External"/><Relationship  Id="rId48" Type="http://schemas.openxmlformats.org/officeDocument/2006/relationships/hyperlink" Target="http://www.hhp-hotels.fr" TargetMode="External"/><Relationship  Id="rId480" Type="http://schemas.openxmlformats.org/officeDocument/2006/relationships/hyperlink" Target="http://www.linkedin.com/in/bertrand-mallet-731985150" TargetMode="External"/><Relationship  Id="rId4800" Type="http://schemas.openxmlformats.org/officeDocument/2006/relationships/hyperlink" Target="http://mpm-ing.com" TargetMode="External"/><Relationship  Id="rId4801" Type="http://schemas.openxmlformats.org/officeDocument/2006/relationships/hyperlink" Target="http://www.linkedin.com/company/mpm-my-project-manager" TargetMode="External"/><Relationship  Id="rId4802" Type="http://schemas.openxmlformats.org/officeDocument/2006/relationships/hyperlink" Target="http://www.linkedin.com/in/romain-decoopman-892460186" TargetMode="External"/><Relationship  Id="rId4803" Type="http://schemas.openxmlformats.org/officeDocument/2006/relationships/hyperlink" Target="http://kiviak-technologies.com" TargetMode="External"/><Relationship  Id="rId4804" Type="http://schemas.openxmlformats.org/officeDocument/2006/relationships/hyperlink" Target="http://www.linkedin.com/company/kiviak-technologies" TargetMode="External"/><Relationship  Id="rId4805" Type="http://schemas.openxmlformats.org/officeDocument/2006/relationships/hyperlink" Target="http://www.linkedin.com/in/romain-giannetti-01b74995" TargetMode="External"/><Relationship  Id="rId4806" Type="http://schemas.openxmlformats.org/officeDocument/2006/relationships/hyperlink" Target="http://www.linkedin.com/company/izigroup20" TargetMode="External"/><Relationship  Id="rId4807" Type="http://schemas.openxmlformats.org/officeDocument/2006/relationships/hyperlink" Target="http://www.linkedin.com/in/romain-lasseur" TargetMode="External"/><Relationship  Id="rId4808" Type="http://schemas.openxmlformats.org/officeDocument/2006/relationships/hyperlink" Target="http://capture-solutions.fr" TargetMode="External"/><Relationship  Id="rId4809" Type="http://schemas.openxmlformats.org/officeDocument/2006/relationships/hyperlink" Target="http://www.linkedin.com/company/capture-solution123" TargetMode="External"/><Relationship  Id="rId481" Type="http://schemas.openxmlformats.org/officeDocument/2006/relationships/hyperlink" Target="http://www.jackthecockerel.com" TargetMode="External"/><Relationship  Id="rId4810" Type="http://schemas.openxmlformats.org/officeDocument/2006/relationships/hyperlink" Target="http://www.linkedin.com/in/romain-sommero-19b09756" TargetMode="External"/><Relationship  Id="rId4811" Type="http://schemas.openxmlformats.org/officeDocument/2006/relationships/hyperlink" Target="http://tremplin-numerique.org" TargetMode="External"/><Relationship  Id="rId4812" Type="http://schemas.openxmlformats.org/officeDocument/2006/relationships/hyperlink" Target="http://www.linkedin.com/company/tremplinumerique" TargetMode="External"/><Relationship  Id="rId4813" Type="http://schemas.openxmlformats.org/officeDocument/2006/relationships/hyperlink" Target="http://www.linkedin.com/in/romain-rafecas-8aa805103" TargetMode="External"/><Relationship  Id="rId4814" Type="http://schemas.openxmlformats.org/officeDocument/2006/relationships/hyperlink" Target="http://timicmac.fr" TargetMode="External"/><Relationship  Id="rId4815" Type="http://schemas.openxmlformats.org/officeDocument/2006/relationships/hyperlink" Target="http://www.linkedin.com/company/timicmac-vide-grenier-permanent-du-pays-de-morlaix" TargetMode="External"/><Relationship  Id="rId4816" Type="http://schemas.openxmlformats.org/officeDocument/2006/relationships/hyperlink" Target="https://www.facebook.com/timicmac" TargetMode="External"/><Relationship  Id="rId4817" Type="http://schemas.openxmlformats.org/officeDocument/2006/relationships/hyperlink" Target="http://www.linkedin.com/in/ronan-pouliquen-75910951" TargetMode="External"/><Relationship  Id="rId4818" Type="http://schemas.openxmlformats.org/officeDocument/2006/relationships/hyperlink" Target="http://deltacad.fr" TargetMode="External"/><Relationship  Id="rId4819" Type="http://schemas.openxmlformats.org/officeDocument/2006/relationships/hyperlink" Target="http://www.linkedin.com/company/deltacad" TargetMode="External"/><Relationship  Id="rId482" Type="http://schemas.openxmlformats.org/officeDocument/2006/relationships/hyperlink" Target="http://www.linkedin.com/in/vincent-roques-2845ba48" TargetMode="External"/><Relationship  Id="rId4820" Type="http://schemas.openxmlformats.org/officeDocument/2006/relationships/hyperlink" Target="http://www.linkedin.com/in/harvey-rowson" TargetMode="External"/><Relationship  Id="rId4821" Type="http://schemas.openxmlformats.org/officeDocument/2006/relationships/hyperlink" Target="http://lemon-interactive.fr" TargetMode="External"/><Relationship  Id="rId4822" Type="http://schemas.openxmlformats.org/officeDocument/2006/relationships/hyperlink" Target="http://www.linkedin.com/company/lemon-interactive-lille-paris" TargetMode="External"/><Relationship  Id="rId4823" Type="http://schemas.openxmlformats.org/officeDocument/2006/relationships/hyperlink" Target="https://twitter.com/agencelemon" TargetMode="External"/><Relationship  Id="rId4824" Type="http://schemas.openxmlformats.org/officeDocument/2006/relationships/hyperlink" Target="https://facebook.com/agence.lemon.interactive" TargetMode="External"/><Relationship  Id="rId4825" Type="http://schemas.openxmlformats.org/officeDocument/2006/relationships/hyperlink" Target="http://www.linkedin.com/in/rapha%c3%abl-robil-1686113" TargetMode="External"/><Relationship  Id="rId4826" Type="http://schemas.openxmlformats.org/officeDocument/2006/relationships/hyperlink" Target="http://scaning.fr" TargetMode="External"/><Relationship  Id="rId4827" Type="http://schemas.openxmlformats.org/officeDocument/2006/relationships/hyperlink" Target="http://www.linkedin.com/company/scaning" TargetMode="External"/><Relationship  Id="rId4828" Type="http://schemas.openxmlformats.org/officeDocument/2006/relationships/hyperlink" Target="http://www.linkedin.com/in/sylvie-aveillan-a4b7027" TargetMode="External"/><Relationship  Id="rId4829" Type="http://schemas.openxmlformats.org/officeDocument/2006/relationships/hyperlink" Target="http://hamel-ge.com" TargetMode="External"/><Relationship  Id="rId483" Type="http://schemas.openxmlformats.org/officeDocument/2006/relationships/hyperlink" Target="http://www.lefloris.com" TargetMode="External"/><Relationship  Id="rId4830" Type="http://schemas.openxmlformats.org/officeDocument/2006/relationships/hyperlink" Target="http://www.linkedin.com/company/hamel-ge" TargetMode="External"/><Relationship  Id="rId4831" Type="http://schemas.openxmlformats.org/officeDocument/2006/relationships/hyperlink" Target="http://www.linkedin.com/in/stephane-averty-geometre" TargetMode="External"/><Relationship  Id="rId4832" Type="http://schemas.openxmlformats.org/officeDocument/2006/relationships/hyperlink" Target="http://geoboxtelematics.com" TargetMode="External"/><Relationship  Id="rId4833" Type="http://schemas.openxmlformats.org/officeDocument/2006/relationships/hyperlink" Target="http://www.linkedin.com/company/geoboxtelematics" TargetMode="External"/><Relationship  Id="rId4834" Type="http://schemas.openxmlformats.org/officeDocument/2006/relationships/hyperlink" Target="http://www.linkedin.com/in/souhailbakhti" TargetMode="External"/><Relationship  Id="rId4835" Type="http://schemas.openxmlformats.org/officeDocument/2006/relationships/hyperlink" Target="http://phenix-partner.fr" TargetMode="External"/><Relationship  Id="rId4836" Type="http://schemas.openxmlformats.org/officeDocument/2006/relationships/hyperlink" Target="http://www.linkedin.com/company/phenix-partner" TargetMode="External"/><Relationship  Id="rId4837" Type="http://schemas.openxmlformats.org/officeDocument/2006/relationships/hyperlink" Target="http://www.linkedin.com/in/said-benamrouche-90741510b" TargetMode="External"/><Relationship  Id="rId4838" Type="http://schemas.openxmlformats.org/officeDocument/2006/relationships/hyperlink" Target="http://cohesens.net" TargetMode="External"/><Relationship  Id="rId4839" Type="http://schemas.openxmlformats.org/officeDocument/2006/relationships/hyperlink" Target="http://www.linkedin.com/company/coh%c3%a9sens" TargetMode="External"/><Relationship  Id="rId484" Type="http://schemas.openxmlformats.org/officeDocument/2006/relationships/hyperlink" Target="http://www.linkedin.com/in/thomas-baly-20733418" TargetMode="External"/><Relationship  Id="rId4840" Type="http://schemas.openxmlformats.org/officeDocument/2006/relationships/hyperlink" Target="http://www.linkedin.com/in/simon-bliard-0627ab212" TargetMode="External"/><Relationship  Id="rId4841" Type="http://schemas.openxmlformats.org/officeDocument/2006/relationships/hyperlink" Target="http://tci-treuil.fr" TargetMode="External"/><Relationship  Id="rId4842" Type="http://schemas.openxmlformats.org/officeDocument/2006/relationships/hyperlink" Target="http://www.linkedin.com/company/treuil-construction-ingenierie" TargetMode="External"/><Relationship  Id="rId4843" Type="http://schemas.openxmlformats.org/officeDocument/2006/relationships/hyperlink" Target="https://twitter.com/ThemerexThemes" TargetMode="External"/><Relationship  Id="rId4844" Type="http://schemas.openxmlformats.org/officeDocument/2006/relationships/hyperlink" Target="http://www.linkedin.com/in/sebastien-cav%c3%a9-2a734390" TargetMode="External"/><Relationship  Id="rId4845" Type="http://schemas.openxmlformats.org/officeDocument/2006/relationships/hyperlink" Target="http://specinov.fr" TargetMode="External"/><Relationship  Id="rId4846" Type="http://schemas.openxmlformats.org/officeDocument/2006/relationships/hyperlink" Target="http://www.linkedin.com/company/sp%c3%a9cinov" TargetMode="External"/><Relationship  Id="rId4847" Type="http://schemas.openxmlformats.org/officeDocument/2006/relationships/hyperlink" Target="http://www.linkedin.com/in/sebastienchaslin" TargetMode="External"/><Relationship  Id="rId4848" Type="http://schemas.openxmlformats.org/officeDocument/2006/relationships/hyperlink" Target="http://acb-groupe.fr" TargetMode="External"/><Relationship  Id="rId4849" Type="http://schemas.openxmlformats.org/officeDocument/2006/relationships/hyperlink" Target="http://www.linkedin.com/company/groupe-acb-concessionnaire-xerox" TargetMode="External"/><Relationship  Id="rId485" Type="http://schemas.openxmlformats.org/officeDocument/2006/relationships/hyperlink" Target="http://www.dianacollection.com" TargetMode="External"/><Relationship  Id="rId4850" Type="http://schemas.openxmlformats.org/officeDocument/2006/relationships/hyperlink" Target="https://facebook.com/groupacb" TargetMode="External"/><Relationship  Id="rId4851" Type="http://schemas.openxmlformats.org/officeDocument/2006/relationships/hyperlink" Target="http://www.linkedin.com/in/st%c3%a9phane-d%c3%a9robert-a7699047" TargetMode="External"/><Relationship  Id="rId4852" Type="http://schemas.openxmlformats.org/officeDocument/2006/relationships/hyperlink" Target="http://gindro.com" TargetMode="External"/><Relationship  Id="rId4853" Type="http://schemas.openxmlformats.org/officeDocument/2006/relationships/hyperlink" Target="http://www.linkedin.com/company/gindro-sas" TargetMode="External"/><Relationship  Id="rId4854" Type="http://schemas.openxmlformats.org/officeDocument/2006/relationships/hyperlink" Target="http://www.linkedin.com/in/sebastien-gindro-63a41077" TargetMode="External"/><Relationship  Id="rId4855" Type="http://schemas.openxmlformats.org/officeDocument/2006/relationships/hyperlink" Target="http://www.linkedin.com/in/stephane-navarro-tab" TargetMode="External"/><Relationship  Id="rId4856" Type="http://schemas.openxmlformats.org/officeDocument/2006/relationships/hyperlink" Target="http://www.linkedin.com/in/stephane-perrin-60ab5013" TargetMode="External"/><Relationship  Id="rId4857" Type="http://schemas.openxmlformats.org/officeDocument/2006/relationships/hyperlink" Target="http://ad-and-co.fr" TargetMode="External"/><Relationship  Id="rId4858" Type="http://schemas.openxmlformats.org/officeDocument/2006/relationships/hyperlink" Target="http://www.linkedin.com/company/ad-and-co" TargetMode="External"/><Relationship  Id="rId4859" Type="http://schemas.openxmlformats.org/officeDocument/2006/relationships/hyperlink" Target="https://twitter.com/ad_and_co" TargetMode="External"/><Relationship  Id="rId486" Type="http://schemas.openxmlformats.org/officeDocument/2006/relationships/hyperlink" Target="http://www.linkedin.com/in/brice-tirvert-b99653116" TargetMode="External"/><Relationship  Id="rId4860" Type="http://schemas.openxmlformats.org/officeDocument/2006/relationships/hyperlink" Target="https://www.facebook.com/adandcoFrance/" TargetMode="External"/><Relationship  Id="rId4861" Type="http://schemas.openxmlformats.org/officeDocument/2006/relationships/hyperlink" Target="http://www.linkedin.com/in/sylvie-traquini-quang" TargetMode="External"/><Relationship  Id="rId4862" Type="http://schemas.openxmlformats.org/officeDocument/2006/relationships/hyperlink" Target="http://noveha.fr" TargetMode="External"/><Relationship  Id="rId4863" Type="http://schemas.openxmlformats.org/officeDocument/2006/relationships/hyperlink" Target="http://www.linkedin.com/company/noveha85" TargetMode="External"/><Relationship  Id="rId4864" Type="http://schemas.openxmlformats.org/officeDocument/2006/relationships/hyperlink" Target="http://www.linkedin.com/in/samuel-richard-432a7310b" TargetMode="External"/><Relationship  Id="rId4865" Type="http://schemas.openxmlformats.org/officeDocument/2006/relationships/hyperlink" Target="http://lestoreparisien.fr" TargetMode="External"/><Relationship  Id="rId4866" Type="http://schemas.openxmlformats.org/officeDocument/2006/relationships/hyperlink" Target="http://www.linkedin.com/company/lestoreparisien" TargetMode="External"/><Relationship  Id="rId4867" Type="http://schemas.openxmlformats.org/officeDocument/2006/relationships/hyperlink" Target="http://www.linkedin.com/in/s%c3%a9bastien-sallaz-1856b42b" TargetMode="External"/><Relationship  Id="rId4868" Type="http://schemas.openxmlformats.org/officeDocument/2006/relationships/hyperlink" Target="http://action-btp.fr" TargetMode="External"/><Relationship  Id="rId4869" Type="http://schemas.openxmlformats.org/officeDocument/2006/relationships/hyperlink" Target="http://www.linkedin.com/company/action-btp-travaux-publics" TargetMode="External"/><Relationship  Id="rId487" Type="http://schemas.openxmlformats.org/officeDocument/2006/relationships/hyperlink" Target="http://www.grouperomanee.com" TargetMode="External"/><Relationship  Id="rId4870" Type="http://schemas.openxmlformats.org/officeDocument/2006/relationships/hyperlink" Target="http://www.linkedin.com/in/umit-sever-630423a7" TargetMode="External"/><Relationship  Id="rId4871" Type="http://schemas.openxmlformats.org/officeDocument/2006/relationships/hyperlink" Target="http://stibureautique.com" TargetMode="External"/><Relationship  Id="rId4872" Type="http://schemas.openxmlformats.org/officeDocument/2006/relationships/hyperlink" Target="http://www.linkedin.com/company/sti-bureautique" TargetMode="External"/><Relationship  Id="rId4873" Type="http://schemas.openxmlformats.org/officeDocument/2006/relationships/hyperlink" Target="http://www.linkedin.com/in/%f0%9f%94%b5-st%c3%a9fan-werschner-7658a94b" TargetMode="External"/><Relationship  Id="rId4874" Type="http://schemas.openxmlformats.org/officeDocument/2006/relationships/hyperlink" Target="http://procal.fr" TargetMode="External"/><Relationship  Id="rId4875" Type="http://schemas.openxmlformats.org/officeDocument/2006/relationships/hyperlink" Target="http://www.linkedin.com/company/procal" TargetMode="External"/><Relationship  Id="rId4876" Type="http://schemas.openxmlformats.org/officeDocument/2006/relationships/hyperlink" Target="http://www.linkedin.com/in/sa%c3%afd-benmedjahed-a78a685b" TargetMode="External"/><Relationship  Id="rId4877" Type="http://schemas.openxmlformats.org/officeDocument/2006/relationships/hyperlink" Target="http://rocapine.com" TargetMode="External"/><Relationship  Id="rId4878" Type="http://schemas.openxmlformats.org/officeDocument/2006/relationships/hyperlink" Target="http://www.linkedin.com/company/rocapinecompany" TargetMode="External"/><Relationship  Id="rId4879" Type="http://schemas.openxmlformats.org/officeDocument/2006/relationships/hyperlink" Target="http://www.linkedin.com/in/sammy-teillet-30b97963" TargetMode="External"/><Relationship  Id="rId488" Type="http://schemas.openxmlformats.org/officeDocument/2006/relationships/hyperlink" Target="http://www.linkedin.com/in/nathalie-pouzeaud-273b9744" TargetMode="External"/><Relationship  Id="rId4880" Type="http://schemas.openxmlformats.org/officeDocument/2006/relationships/hyperlink" Target="http://daniel-mouton.com" TargetMode="External"/><Relationship  Id="rId4881" Type="http://schemas.openxmlformats.org/officeDocument/2006/relationships/hyperlink" Target="http://www.linkedin.com/company/daniel-mouton" TargetMode="External"/><Relationship  Id="rId4882" Type="http://schemas.openxmlformats.org/officeDocument/2006/relationships/hyperlink" Target="https://www.facebook.com/DanielMoutonAudiVW/" TargetMode="External"/><Relationship  Id="rId4883" Type="http://schemas.openxmlformats.org/officeDocument/2006/relationships/hyperlink" Target="http://www.linkedin.com/in/samuelmouton" TargetMode="External"/><Relationship  Id="rId4884" Type="http://schemas.openxmlformats.org/officeDocument/2006/relationships/hyperlink" Target="http://oeba.fr" TargetMode="External"/><Relationship  Id="rId4885" Type="http://schemas.openxmlformats.org/officeDocument/2006/relationships/hyperlink" Target="http://www.linkedin.com/company/oebaescalier" TargetMode="External"/><Relationship  Id="rId4886" Type="http://schemas.openxmlformats.org/officeDocument/2006/relationships/hyperlink" Target="https://twitter.com/Oebaescalier" TargetMode="External"/><Relationship  Id="rId4887" Type="http://schemas.openxmlformats.org/officeDocument/2006/relationships/hyperlink" Target="https://www.facebook.com/oebaescalier/" TargetMode="External"/><Relationship  Id="rId4888" Type="http://schemas.openxmlformats.org/officeDocument/2006/relationships/hyperlink" Target="http://www.linkedin.com/in/samuel-poisson-6a1b02176" TargetMode="External"/><Relationship  Id="rId4889" Type="http://schemas.openxmlformats.org/officeDocument/2006/relationships/hyperlink" Target="http://wemet.fr" TargetMode="External"/><Relationship  Id="rId489" Type="http://schemas.openxmlformats.org/officeDocument/2006/relationships/hyperlink" Target="http://www.hotel-inn.fr" TargetMode="External"/><Relationship  Id="rId4890" Type="http://schemas.openxmlformats.org/officeDocument/2006/relationships/hyperlink" Target="http://www.linkedin.com/company/wemet" TargetMode="External"/><Relationship  Id="rId4891" Type="http://schemas.openxmlformats.org/officeDocument/2006/relationships/hyperlink" Target="https://twitter.com/WEMET_off" TargetMode="External"/><Relationship  Id="rId4892" Type="http://schemas.openxmlformats.org/officeDocument/2006/relationships/hyperlink" Target="https://www.facebook.com/wemet.card/" TargetMode="External"/><Relationship  Id="rId4893" Type="http://schemas.openxmlformats.org/officeDocument/2006/relationships/hyperlink" Target="http://www.linkedin.com/in/samuel-dassa" TargetMode="External"/><Relationship  Id="rId4894" Type="http://schemas.openxmlformats.org/officeDocument/2006/relationships/hyperlink" Target="http://adobisgroup.fr" TargetMode="External"/><Relationship  Id="rId4895" Type="http://schemas.openxmlformats.org/officeDocument/2006/relationships/hyperlink" Target="http://www.linkedin.com/company/adobis-group" TargetMode="External"/><Relationship  Id="rId4896" Type="http://schemas.openxmlformats.org/officeDocument/2006/relationships/hyperlink" Target="https://twitter.com/adobisgroup" TargetMode="External"/><Relationship  Id="rId4897" Type="http://schemas.openxmlformats.org/officeDocument/2006/relationships/hyperlink" Target="http://www.linkedin.com/in/sandra-mathieu-3528206a" TargetMode="External"/><Relationship  Id="rId4898" Type="http://schemas.openxmlformats.org/officeDocument/2006/relationships/hyperlink" Target="http://www.linkedin.com/in/sandrine-ballion-210980159" TargetMode="External"/><Relationship  Id="rId4899" Type="http://schemas.openxmlformats.org/officeDocument/2006/relationships/hyperlink" Target="http://www.linkedin.com/in/sandrine-huckert" TargetMode="External"/><Relationship  Id="rId49" Type="http://schemas.openxmlformats.org/officeDocument/2006/relationships/hyperlink" Target="http://www.linkedin.com/in/caroline-dubilly-2049391" TargetMode="External"/><Relationship  Id="rId490" Type="http://schemas.openxmlformats.org/officeDocument/2006/relationships/hyperlink" Target="http://www.linkedin.com/in/tristan-clemen%c3%a7on-7486b165" TargetMode="External"/><Relationship  Id="rId4900" Type="http://schemas.openxmlformats.org/officeDocument/2006/relationships/hyperlink" Target="http://ipset.fr" TargetMode="External"/><Relationship  Id="rId4901" Type="http://schemas.openxmlformats.org/officeDocument/2006/relationships/hyperlink" Target="http://www.linkedin.com/company/ipset" TargetMode="External"/><Relationship  Id="rId4902" Type="http://schemas.openxmlformats.org/officeDocument/2006/relationships/hyperlink" Target="http://www.linkedin.com/in/sandrine-nazzi-aa22a7146" TargetMode="External"/><Relationship  Id="rId4903" Type="http://schemas.openxmlformats.org/officeDocument/2006/relationships/hyperlink" Target="http://forwards.co" TargetMode="External"/><Relationship  Id="rId4904" Type="http://schemas.openxmlformats.org/officeDocument/2006/relationships/hyperlink" Target="http://www.linkedin.com/company/forwards-advisory" TargetMode="External"/><Relationship  Id="rId4905" Type="http://schemas.openxmlformats.org/officeDocument/2006/relationships/hyperlink" Target="http://www.linkedin.com/in/sarah-ichir" TargetMode="External"/><Relationship  Id="rId4906" Type="http://schemas.openxmlformats.org/officeDocument/2006/relationships/hyperlink" Target="http://www.linkedin.com/in/sylvain-champolivier-a68051153" TargetMode="External"/><Relationship  Id="rId4907" Type="http://schemas.openxmlformats.org/officeDocument/2006/relationships/hyperlink" Target="http://ipercom.com" TargetMode="External"/><Relationship  Id="rId4908" Type="http://schemas.openxmlformats.org/officeDocument/2006/relationships/hyperlink" Target="http://www.linkedin.com/company/pigma-communications" TargetMode="External"/><Relationship  Id="rId4909" Type="http://schemas.openxmlformats.org/officeDocument/2006/relationships/hyperlink" Target="http://www.linkedin.com/in/stephane-degouve-4b56b534" TargetMode="External"/><Relationship  Id="rId491" Type="http://schemas.openxmlformats.org/officeDocument/2006/relationships/hyperlink" Target="http://www.la-brigade.fr" TargetMode="External"/><Relationship  Id="rId4910" Type="http://schemas.openxmlformats.org/officeDocument/2006/relationships/hyperlink" Target="http://www.linkedin.com/in/sophie-delemazure-10a91782" TargetMode="External"/><Relationship  Id="rId4911" Type="http://schemas.openxmlformats.org/officeDocument/2006/relationships/hyperlink" Target="http://2s-computing.fr" TargetMode="External"/><Relationship  Id="rId4912" Type="http://schemas.openxmlformats.org/officeDocument/2006/relationships/hyperlink" Target="http://www.linkedin.com/company/2s-computing" TargetMode="External"/><Relationship  Id="rId4913" Type="http://schemas.openxmlformats.org/officeDocument/2006/relationships/hyperlink" Target="https://twitter.com/2scomputing" TargetMode="External"/><Relationship  Id="rId4914" Type="http://schemas.openxmlformats.org/officeDocument/2006/relationships/hyperlink" Target="https://www.facebook.com/2SCOMPUTING/" TargetMode="External"/><Relationship  Id="rId4915" Type="http://schemas.openxmlformats.org/officeDocument/2006/relationships/hyperlink" Target="http://www.linkedin.com/in/s%c3%a9bastien-pascal-1425807" TargetMode="External"/><Relationship  Id="rId4916" Type="http://schemas.openxmlformats.org/officeDocument/2006/relationships/hyperlink" Target="http://p-b-s.fr" TargetMode="External"/><Relationship  Id="rId4917" Type="http://schemas.openxmlformats.org/officeDocument/2006/relationships/hyperlink" Target="http://www.linkedin.com/company/pbs-construction-r%c3%a9habilitation" TargetMode="External"/><Relationship  Id="rId4918" Type="http://schemas.openxmlformats.org/officeDocument/2006/relationships/hyperlink" Target="http://www.linkedin.com/in/s%c3%a9bastien-raucy-0aa3258b" TargetMode="External"/><Relationship  Id="rId4919" Type="http://schemas.openxmlformats.org/officeDocument/2006/relationships/hyperlink" Target="http://optera.fr" TargetMode="External"/><Relationship  Id="rId492" Type="http://schemas.openxmlformats.org/officeDocument/2006/relationships/hyperlink" Target="http://www.linkedin.com/in/thomas-bouvier-028592113" TargetMode="External"/><Relationship  Id="rId4920" Type="http://schemas.openxmlformats.org/officeDocument/2006/relationships/hyperlink" Target="http://www.linkedin.com/company/opteraenergy" TargetMode="External"/><Relationship  Id="rId4921" Type="http://schemas.openxmlformats.org/officeDocument/2006/relationships/hyperlink" Target="http://www.linkedin.com/in/s%c3%a9bastien-thiry-9353b226" TargetMode="External"/><Relationship  Id="rId4922" Type="http://schemas.openxmlformats.org/officeDocument/2006/relationships/hyperlink" Target="http://cloud-iam.com" TargetMode="External"/><Relationship  Id="rId4923" Type="http://schemas.openxmlformats.org/officeDocument/2006/relationships/hyperlink" Target="http://www.linkedin.com/company/cloudiam" TargetMode="External"/><Relationship  Id="rId4924" Type="http://schemas.openxmlformats.org/officeDocument/2006/relationships/hyperlink" Target="https://twitter.com/cloud_iam_com" TargetMode="External"/><Relationship  Id="rId4925" Type="http://schemas.openxmlformats.org/officeDocument/2006/relationships/hyperlink" Target="http://www.linkedin.com/in/s%c3%a9bastien-brousse-2a916ba2" TargetMode="External"/><Relationship  Id="rId4926" Type="http://schemas.openxmlformats.org/officeDocument/2006/relationships/hyperlink" Target="http://www.linkedin.com/company/ezio-app" TargetMode="External"/><Relationship  Id="rId4927" Type="http://schemas.openxmlformats.org/officeDocument/2006/relationships/hyperlink" Target="https://www.facebook.com/EzioApp/" TargetMode="External"/><Relationship  Id="rId4928" Type="http://schemas.openxmlformats.org/officeDocument/2006/relationships/hyperlink" Target="http://www.linkedin.com/in/sebvray" TargetMode="External"/><Relationship  Id="rId4929" Type="http://schemas.openxmlformats.org/officeDocument/2006/relationships/hyperlink" Target="http://harmonyhome-construction.com" TargetMode="External"/><Relationship  Id="rId493" Type="http://schemas.openxmlformats.org/officeDocument/2006/relationships/hyperlink" Target="http://www.tiptoque.com" TargetMode="External"/><Relationship  Id="rId4930" Type="http://schemas.openxmlformats.org/officeDocument/2006/relationships/hyperlink" Target="http://www.linkedin.com/company/harmonyhome-construction" TargetMode="External"/><Relationship  Id="rId4931" Type="http://schemas.openxmlformats.org/officeDocument/2006/relationships/hyperlink" Target="http://www.linkedin.com/in/s%c3%a9bastien-kuzbik-8a1499158" TargetMode="External"/><Relationship  Id="rId4932" Type="http://schemas.openxmlformats.org/officeDocument/2006/relationships/hyperlink" Target="http://horezo.fr" TargetMode="External"/><Relationship  Id="rId4933" Type="http://schemas.openxmlformats.org/officeDocument/2006/relationships/hyperlink" Target="http://www.linkedin.com/company/horezo" TargetMode="External"/><Relationship  Id="rId4934" Type="http://schemas.openxmlformats.org/officeDocument/2006/relationships/hyperlink" Target="http://www.linkedin.com/in/sebastienserra" TargetMode="External"/><Relationship  Id="rId4935" Type="http://schemas.openxmlformats.org/officeDocument/2006/relationships/hyperlink" Target="http://vu-du-web.com" TargetMode="External"/><Relationship  Id="rId4936" Type="http://schemas.openxmlformats.org/officeDocument/2006/relationships/hyperlink" Target="http://www.linkedin.com/company/vu-du-web" TargetMode="External"/><Relationship  Id="rId4937" Type="http://schemas.openxmlformats.org/officeDocument/2006/relationships/hyperlink" Target="https://twitter.com/vuduweb" TargetMode="External"/><Relationship  Id="rId4938" Type="http://schemas.openxmlformats.org/officeDocument/2006/relationships/hyperlink" Target="https://www.facebook.com/vuduweb.seo" TargetMode="External"/><Relationship  Id="rId4939" Type="http://schemas.openxmlformats.org/officeDocument/2006/relationships/hyperlink" Target="http://www.linkedin.com/in/arnaudvdw" TargetMode="External"/><Relationship  Id="rId494" Type="http://schemas.openxmlformats.org/officeDocument/2006/relationships/hyperlink" Target="http://www.linkedin.com/in/philippe-hertzberg-4492b71" TargetMode="External"/><Relationship  Id="rId4940" Type="http://schemas.openxmlformats.org/officeDocument/2006/relationships/hyperlink" Target="http://diadao.fr" TargetMode="External"/><Relationship  Id="rId4941" Type="http://schemas.openxmlformats.org/officeDocument/2006/relationships/hyperlink" Target="http://www.linkedin.com/company/diadao" TargetMode="External"/><Relationship  Id="rId4942" Type="http://schemas.openxmlformats.org/officeDocument/2006/relationships/hyperlink" Target="https://www.facebook.com/Diadao" TargetMode="External"/><Relationship  Id="rId4943" Type="http://schemas.openxmlformats.org/officeDocument/2006/relationships/hyperlink" Target="http://www.linkedin.com/in/serge-bija-a6bab514" TargetMode="External"/><Relationship  Id="rId4944" Type="http://schemas.openxmlformats.org/officeDocument/2006/relationships/hyperlink" Target="http://jbs-coaching.com" TargetMode="External"/><Relationship  Id="rId4945" Type="http://schemas.openxmlformats.org/officeDocument/2006/relationships/hyperlink" Target="http://www.linkedin.com/school/jbs-ecole-de-coaching" TargetMode="External"/><Relationship  Id="rId4946" Type="http://schemas.openxmlformats.org/officeDocument/2006/relationships/hyperlink" Target="https://twitter.com/EcoleJBS" TargetMode="External"/><Relationship  Id="rId4947" Type="http://schemas.openxmlformats.org/officeDocument/2006/relationships/hyperlink" Target="http://www.linkedin.com/in/serge-eskenazi-16b5442a" TargetMode="External"/><Relationship  Id="rId4948" Type="http://schemas.openxmlformats.org/officeDocument/2006/relationships/hyperlink" Target="http://immaterra.com" TargetMode="External"/><Relationship  Id="rId4949" Type="http://schemas.openxmlformats.org/officeDocument/2006/relationships/hyperlink" Target="http://www.linkedin.com/company/immaterra" TargetMode="External"/><Relationship  Id="rId495" Type="http://schemas.openxmlformats.org/officeDocument/2006/relationships/hyperlink" Target="http://www.secretjourneys.travel" TargetMode="External"/><Relationship  Id="rId4950" Type="http://schemas.openxmlformats.org/officeDocument/2006/relationships/hyperlink" Target="http://www.linkedin.com/in/severinecachod" TargetMode="External"/><Relationship  Id="rId4951" Type="http://schemas.openxmlformats.org/officeDocument/2006/relationships/hyperlink" Target="http://hypenotice.com" TargetMode="External"/><Relationship  Id="rId4952" Type="http://schemas.openxmlformats.org/officeDocument/2006/relationships/hyperlink" Target="http://www.linkedin.com/company/hype-notice" TargetMode="External"/><Relationship  Id="rId4953" Type="http://schemas.openxmlformats.org/officeDocument/2006/relationships/hyperlink" Target="http://www.linkedin.com/in/s%c3%a9bastien-abdelhamid-godelu-0250149b" TargetMode="External"/><Relationship  Id="rId4954" Type="http://schemas.openxmlformats.org/officeDocument/2006/relationships/hyperlink" Target="http://altitude-26.fr" TargetMode="External"/><Relationship  Id="rId4955" Type="http://schemas.openxmlformats.org/officeDocument/2006/relationships/hyperlink" Target="http://www.linkedin.com/company/altitude-26" TargetMode="External"/><Relationship  Id="rId4956" Type="http://schemas.openxmlformats.org/officeDocument/2006/relationships/hyperlink" Target="https://www.facebook.com/altitude26/" TargetMode="External"/><Relationship  Id="rId4957" Type="http://schemas.openxmlformats.org/officeDocument/2006/relationships/hyperlink" Target="http://www.linkedin.com/in/s%c3%a9bastien-guigour%c3%a8s-ba8221204" TargetMode="External"/><Relationship  Id="rId4958" Type="http://schemas.openxmlformats.org/officeDocument/2006/relationships/hyperlink" Target="http://henko-consulting.com" TargetMode="External"/><Relationship  Id="rId4959" Type="http://schemas.openxmlformats.org/officeDocument/2006/relationships/hyperlink" Target="http://www.linkedin.com/company/henkoconsulting" TargetMode="External"/><Relationship  Id="rId496" Type="http://schemas.openxmlformats.org/officeDocument/2006/relationships/hyperlink" Target="http://www.linkedin.com/in/pascallanguillon" TargetMode="External"/><Relationship  Id="rId4960" Type="http://schemas.openxmlformats.org/officeDocument/2006/relationships/hyperlink" Target="http://www.linkedin.com/in/sidney-tapiero-2ba7291" TargetMode="External"/><Relationship  Id="rId4961" Type="http://schemas.openxmlformats.org/officeDocument/2006/relationships/hyperlink" Target="http://kleidi.fr" TargetMode="External"/><Relationship  Id="rId4962" Type="http://schemas.openxmlformats.org/officeDocument/2006/relationships/hyperlink" Target="http://www.linkedin.com/company/saskleidi" TargetMode="External"/><Relationship  Id="rId4963" Type="http://schemas.openxmlformats.org/officeDocument/2006/relationships/hyperlink" Target="http://www.linkedin.com/in/simon-tabourier-1877022b" TargetMode="External"/><Relationship  Id="rId4964" Type="http://schemas.openxmlformats.org/officeDocument/2006/relationships/hyperlink" Target="http://www.linkedin.com/in/simon-rodriguez-35133b3b" TargetMode="External"/><Relationship  Id="rId4965" Type="http://schemas.openxmlformats.org/officeDocument/2006/relationships/hyperlink" Target="http://digitalisim.fr" TargetMode="External"/><Relationship  Id="rId4966" Type="http://schemas.openxmlformats.org/officeDocument/2006/relationships/hyperlink" Target="http://www.linkedin.com/company/digitalisim" TargetMode="External"/><Relationship  Id="rId4967" Type="http://schemas.openxmlformats.org/officeDocument/2006/relationships/hyperlink" Target="http://www.linkedin.com/in/simon-fenerol-3460a899" TargetMode="External"/><Relationship  Id="rId4968" Type="http://schemas.openxmlformats.org/officeDocument/2006/relationships/hyperlink" Target="http://waybox.fr" TargetMode="External"/><Relationship  Id="rId4969" Type="http://schemas.openxmlformats.org/officeDocument/2006/relationships/hyperlink" Target="http://www.linkedin.com/company/waybox" TargetMode="External"/><Relationship  Id="rId497" Type="http://schemas.openxmlformats.org/officeDocument/2006/relationships/hyperlink" Target="http://www.luxewellnessclub.com" TargetMode="External"/><Relationship  Id="rId4970" Type="http://schemas.openxmlformats.org/officeDocument/2006/relationships/hyperlink" Target="http://www.linkedin.com/in/simon-blommaert-3bab351b" TargetMode="External"/><Relationship  Id="rId4971" Type="http://schemas.openxmlformats.org/officeDocument/2006/relationships/hyperlink" Target="http://invictasoftware.com" TargetMode="External"/><Relationship  Id="rId4972" Type="http://schemas.openxmlformats.org/officeDocument/2006/relationships/hyperlink" Target="http://www.linkedin.com/company/invicta-software" TargetMode="External"/><Relationship  Id="rId4973" Type="http://schemas.openxmlformats.org/officeDocument/2006/relationships/hyperlink" Target="https://twitter.com/invictasoftware" TargetMode="External"/><Relationship  Id="rId4974" Type="http://schemas.openxmlformats.org/officeDocument/2006/relationships/hyperlink" Target="https://www.facebook.com/Invictasoftware" TargetMode="External"/><Relationship  Id="rId4975" Type="http://schemas.openxmlformats.org/officeDocument/2006/relationships/hyperlink" Target="http://www.linkedin.com/in/sabahmalikkhan" TargetMode="External"/><Relationship  Id="rId4976" Type="http://schemas.openxmlformats.org/officeDocument/2006/relationships/hyperlink" Target="http://www.linkedin.com/in/sylvainmilleret" TargetMode="External"/><Relationship  Id="rId4977" Type="http://schemas.openxmlformats.org/officeDocument/2006/relationships/hyperlink" Target="http://hatmada-group.com" TargetMode="External"/><Relationship  Id="rId4978" Type="http://schemas.openxmlformats.org/officeDocument/2006/relationships/hyperlink" Target="http://www.linkedin.com/company/hatmada-group" TargetMode="External"/><Relationship  Id="rId4979" Type="http://schemas.openxmlformats.org/officeDocument/2006/relationships/hyperlink" Target="http://www.linkedin.com/in/simon-nabet-85379182" TargetMode="External"/><Relationship  Id="rId498" Type="http://schemas.openxmlformats.org/officeDocument/2006/relationships/hyperlink" Target="http://www.linkedin.com/in/philippe-guimard-e-axess" TargetMode="External"/><Relationship  Id="rId4980" Type="http://schemas.openxmlformats.org/officeDocument/2006/relationships/hyperlink" Target="http://www.linkedin.com/company/endog%c3%a8ne" TargetMode="External"/><Relationship  Id="rId4981" Type="http://schemas.openxmlformats.org/officeDocument/2006/relationships/hyperlink" Target="http://www.linkedin.com/in/sofiane-seghier-878b5482" TargetMode="External"/><Relationship  Id="rId4982" Type="http://schemas.openxmlformats.org/officeDocument/2006/relationships/hyperlink" Target="http://corma.io" TargetMode="External"/><Relationship  Id="rId4983" Type="http://schemas.openxmlformats.org/officeDocument/2006/relationships/hyperlink" Target="http://www.linkedin.com/company/getcorma" TargetMode="External"/><Relationship  Id="rId4984" Type="http://schemas.openxmlformats.org/officeDocument/2006/relationships/hyperlink" Target="https://twitter.com/HeloiseRozes" TargetMode="External"/><Relationship  Id="rId4985" Type="http://schemas.openxmlformats.org/officeDocument/2006/relationships/hyperlink" Target="http://www.linkedin.com/in/solal-moati" TargetMode="External"/><Relationship  Id="rId4986" Type="http://schemas.openxmlformats.org/officeDocument/2006/relationships/hyperlink" Target="http://dare-done.com" TargetMode="External"/><Relationship  Id="rId4987" Type="http://schemas.openxmlformats.org/officeDocument/2006/relationships/hyperlink" Target="http://www.linkedin.com/company/dare-done" TargetMode="External"/><Relationship  Id="rId4988" Type="http://schemas.openxmlformats.org/officeDocument/2006/relationships/hyperlink" Target="http://www.linkedin.com/in/soniacisse" TargetMode="External"/><Relationship  Id="rId4989" Type="http://schemas.openxmlformats.org/officeDocument/2006/relationships/hyperlink" Target="http://ozeo-consulting.fr" TargetMode="External"/><Relationship  Id="rId499" Type="http://schemas.openxmlformats.org/officeDocument/2006/relationships/hyperlink" Target="http://www.e-axess.com" TargetMode="External"/><Relationship  Id="rId4990" Type="http://schemas.openxmlformats.org/officeDocument/2006/relationships/hyperlink" Target="http://www.linkedin.com/company/ozeo-consulting" TargetMode="External"/><Relationship  Id="rId4991" Type="http://schemas.openxmlformats.org/officeDocument/2006/relationships/hyperlink" Target="http://www.linkedin.com/in/%f0%9f%91%a9%e2%80%8d%f0%9f%9a%80-sophie-desmedt-48241a3b" TargetMode="External"/><Relationship  Id="rId4992" Type="http://schemas.openxmlformats.org/officeDocument/2006/relationships/hyperlink" Target="http://tempoandco.com" TargetMode="External"/><Relationship  Id="rId4993" Type="http://schemas.openxmlformats.org/officeDocument/2006/relationships/hyperlink" Target="http://www.linkedin.com/company/tempoandco" TargetMode="External"/><Relationship  Id="rId4994" Type="http://schemas.openxmlformats.org/officeDocument/2006/relationships/hyperlink" Target="http://www.linkedin.com/in/rozet-sophie-9ab3866" TargetMode="External"/><Relationship  Id="rId4995" Type="http://schemas.openxmlformats.org/officeDocument/2006/relationships/hyperlink" Target="http://gematique.com" TargetMode="External"/><Relationship  Id="rId4996" Type="http://schemas.openxmlformats.org/officeDocument/2006/relationships/hyperlink" Target="http://www.linkedin.com/company/gematique" TargetMode="External"/><Relationship  Id="rId4997" Type="http://schemas.openxmlformats.org/officeDocument/2006/relationships/hyperlink" Target="http://www.linkedin.com/in/st%c3%a9phane-pedeloup-03433971" TargetMode="External"/><Relationship  Id="rId4998" Type="http://schemas.openxmlformats.org/officeDocument/2006/relationships/hyperlink" Target="http://avm-integration.com" TargetMode="External"/><Relationship  Id="rId4999" Type="http://schemas.openxmlformats.org/officeDocument/2006/relationships/hyperlink" Target="http://www.linkedin.com/company/avm-integration" TargetMode="External"/><Relationship  Id="rId5" Type="http://schemas.openxmlformats.org/officeDocument/2006/relationships/hyperlink" Target="http://www.linkedin.com/in/petitvip" TargetMode="External"/><Relationship  Id="rId50" Type="http://schemas.openxmlformats.org/officeDocument/2006/relationships/hyperlink" Target="http://www.miamandco.com" TargetMode="External"/><Relationship  Id="rId500" Type="http://schemas.openxmlformats.org/officeDocument/2006/relationships/hyperlink" Target="http://www.linkedin.com/in/julia-chican-3335743" TargetMode="External"/><Relationship  Id="rId5000" Type="http://schemas.openxmlformats.org/officeDocument/2006/relationships/hyperlink" Target="http://www.linkedin.com/in/st%c3%a9phane-petitjean-3bb50559" TargetMode="External"/><Relationship  Id="rId5001" Type="http://schemas.openxmlformats.org/officeDocument/2006/relationships/hyperlink" Target="http://frisbee-profiling.fr" TargetMode="External"/><Relationship  Id="rId5002" Type="http://schemas.openxmlformats.org/officeDocument/2006/relationships/hyperlink" Target="http://www.linkedin.com/company/frisbee-profiling" TargetMode="External"/><Relationship  Id="rId5003" Type="http://schemas.openxmlformats.org/officeDocument/2006/relationships/hyperlink" Target="https://twitter.com/FrisbeeProfil" TargetMode="External"/><Relationship  Id="rId5004" Type="http://schemas.openxmlformats.org/officeDocument/2006/relationships/hyperlink" Target="https://www.facebook.com/FrisbeeProfiling/" TargetMode="External"/><Relationship  Id="rId5005" Type="http://schemas.openxmlformats.org/officeDocument/2006/relationships/hyperlink" Target="http://www.linkedin.com/in/sandrinericard" TargetMode="External"/><Relationship  Id="rId5006" Type="http://schemas.openxmlformats.org/officeDocument/2006/relationships/hyperlink" Target="http://hyg-up.com" TargetMode="External"/><Relationship  Id="rId5007" Type="http://schemas.openxmlformats.org/officeDocument/2006/relationships/hyperlink" Target="http://www.linkedin.com/company/hyg-up" TargetMode="External"/><Relationship  Id="rId5008" Type="http://schemas.openxmlformats.org/officeDocument/2006/relationships/hyperlink" Target="https://twitter.com/hyg_up" TargetMode="External"/><Relationship  Id="rId5009" Type="http://schemas.openxmlformats.org/officeDocument/2006/relationships/hyperlink" Target="https://www.facebook.com/hygup/" TargetMode="External"/><Relationship  Id="rId501" Type="http://schemas.openxmlformats.org/officeDocument/2006/relationships/hyperlink" Target="http://www.maslow-restaurants.com" TargetMode="External"/><Relationship  Id="rId5010" Type="http://schemas.openxmlformats.org/officeDocument/2006/relationships/hyperlink" Target="http://www.linkedin.com/in/s%c3%a9bastien-romefort-15a1192" TargetMode="External"/><Relationship  Id="rId5011" Type="http://schemas.openxmlformats.org/officeDocument/2006/relationships/hyperlink" Target="http://sphere-telecom.com" TargetMode="External"/><Relationship  Id="rId5012" Type="http://schemas.openxmlformats.org/officeDocument/2006/relationships/hyperlink" Target="http://www.linkedin.com/company/sph%c3%a8re-telecom" TargetMode="External"/><Relationship  Id="rId5013" Type="http://schemas.openxmlformats.org/officeDocument/2006/relationships/hyperlink" Target="https://twitter.com/sphere_telecom" TargetMode="External"/><Relationship  Id="rId5014" Type="http://schemas.openxmlformats.org/officeDocument/2006/relationships/hyperlink" Target="https://fr-fr.facebook.com/sphere.telecom/" TargetMode="External"/><Relationship  Id="rId5015" Type="http://schemas.openxmlformats.org/officeDocument/2006/relationships/hyperlink" Target="http://www.linkedin.com/in/steeve-waymel" TargetMode="External"/><Relationship  Id="rId5016" Type="http://schemas.openxmlformats.org/officeDocument/2006/relationships/hyperlink" Target="http://www.linkedin.com/in/st%c3%a9phane-bauduin-0842368a" TargetMode="External"/><Relationship  Id="rId5017" Type="http://schemas.openxmlformats.org/officeDocument/2006/relationships/hyperlink" Target="http://smc-cit.com" TargetMode="External"/><Relationship  Id="rId5018" Type="http://schemas.openxmlformats.org/officeDocument/2006/relationships/hyperlink" Target="http://www.linkedin.com/company/smc-consulting-it" TargetMode="External"/><Relationship  Id="rId5019" Type="http://schemas.openxmlformats.org/officeDocument/2006/relationships/hyperlink" Target="https://twitter.com/SMCConsultingIT" TargetMode="External"/><Relationship  Id="rId502" Type="http://schemas.openxmlformats.org/officeDocument/2006/relationships/hyperlink" Target="http://www.linkedin.com/in/damien-cassart-b4788b18" TargetMode="External"/><Relationship  Id="rId5020" Type="http://schemas.openxmlformats.org/officeDocument/2006/relationships/hyperlink" Target="http://www.linkedin.com/in/stephanemarioni" TargetMode="External"/><Relationship  Id="rId5021" Type="http://schemas.openxmlformats.org/officeDocument/2006/relationships/hyperlink" Target="http://moneythor.com" TargetMode="External"/><Relationship  Id="rId5022" Type="http://schemas.openxmlformats.org/officeDocument/2006/relationships/hyperlink" Target="http://www.linkedin.com/company/moneythor" TargetMode="External"/><Relationship  Id="rId5023" Type="http://schemas.openxmlformats.org/officeDocument/2006/relationships/hyperlink" Target="https://twitter.com/moneythor" TargetMode="External"/><Relationship  Id="rId5024" Type="http://schemas.openxmlformats.org/officeDocument/2006/relationships/hyperlink" Target="https://www.facebook.com/moneythorhq" TargetMode="External"/><Relationship  Id="rId5025" Type="http://schemas.openxmlformats.org/officeDocument/2006/relationships/hyperlink" Target="http://www.linkedin.com/in/stephanenouy" TargetMode="External"/><Relationship  Id="rId5026" Type="http://schemas.openxmlformats.org/officeDocument/2006/relationships/hyperlink" Target="http://maisonpernet.com" TargetMode="External"/><Relationship  Id="rId5027" Type="http://schemas.openxmlformats.org/officeDocument/2006/relationships/hyperlink" Target="http://www.linkedin.com/company/maison-pernet" TargetMode="External"/><Relationship  Id="rId5028" Type="http://schemas.openxmlformats.org/officeDocument/2006/relationships/hyperlink" Target="https://www.facebook.com/groupepernet/" TargetMode="External"/><Relationship  Id="rId5029" Type="http://schemas.openxmlformats.org/officeDocument/2006/relationships/hyperlink" Target="http://www.linkedin.com/in/st%c3%a9phane-pernet-33b3b419b" TargetMode="External"/><Relationship  Id="rId503" Type="http://schemas.openxmlformats.org/officeDocument/2006/relationships/hyperlink" Target="http://www.yummyandguiltfree.com" TargetMode="External"/><Relationship  Id="rId5030" Type="http://schemas.openxmlformats.org/officeDocument/2006/relationships/hyperlink" Target="http://optesys.fr" TargetMode="External"/><Relationship  Id="rId5031" Type="http://schemas.openxmlformats.org/officeDocument/2006/relationships/hyperlink" Target="http://www.linkedin.com/company/optesys-conseil" TargetMode="External"/><Relationship  Id="rId5032" Type="http://schemas.openxmlformats.org/officeDocument/2006/relationships/hyperlink" Target="http://www.linkedin.com/in/st%c3%a9phane-vrignaud-71513429" TargetMode="External"/><Relationship  Id="rId5033" Type="http://schemas.openxmlformats.org/officeDocument/2006/relationships/hyperlink" Target="http://cids-grossiste-cbd.com" TargetMode="External"/><Relationship  Id="rId5034" Type="http://schemas.openxmlformats.org/officeDocument/2006/relationships/hyperlink" Target="http://www.linkedin.com/company/cids-france" TargetMode="External"/><Relationship  Id="rId5035" Type="http://schemas.openxmlformats.org/officeDocument/2006/relationships/hyperlink" Target="http://www.linkedin.com/in/stephane-paoletti-615105234" TargetMode="External"/><Relationship  Id="rId5036" Type="http://schemas.openxmlformats.org/officeDocument/2006/relationships/hyperlink" Target="http://hojiventures.com" TargetMode="External"/><Relationship  Id="rId5037" Type="http://schemas.openxmlformats.org/officeDocument/2006/relationships/hyperlink" Target="http://www.linkedin.com/company/hojiventures" TargetMode="External"/><Relationship  Id="rId5038" Type="http://schemas.openxmlformats.org/officeDocument/2006/relationships/hyperlink" Target="http://www.linkedin.com/in/stephane-folliet-a281534" TargetMode="External"/><Relationship  Id="rId5039" Type="http://schemas.openxmlformats.org/officeDocument/2006/relationships/hyperlink" Target="http://sn2o.fr" TargetMode="External"/><Relationship  Id="rId504" Type="http://schemas.openxmlformats.org/officeDocument/2006/relationships/hyperlink" Target="http://www.linkedin.com/in/olivier-moyse-723baa9" TargetMode="External"/><Relationship  Id="rId5040" Type="http://schemas.openxmlformats.org/officeDocument/2006/relationships/hyperlink" Target="http://www.linkedin.com/company/sn2o" TargetMode="External"/><Relationship  Id="rId5041" Type="http://schemas.openxmlformats.org/officeDocument/2006/relationships/hyperlink" Target="https://www.facebook.com/sn2o.fr" TargetMode="External"/><Relationship  Id="rId5042" Type="http://schemas.openxmlformats.org/officeDocument/2006/relationships/hyperlink" Target="http://www.linkedin.com/in/steve-orsonneau-45995b108" TargetMode="External"/><Relationship  Id="rId5043" Type="http://schemas.openxmlformats.org/officeDocument/2006/relationships/hyperlink" Target="http://dryftme.com" TargetMode="External"/><Relationship  Id="rId5044" Type="http://schemas.openxmlformats.org/officeDocument/2006/relationships/hyperlink" Target="http://www.linkedin.com/company/dryftme" TargetMode="External"/><Relationship  Id="rId5045" Type="http://schemas.openxmlformats.org/officeDocument/2006/relationships/hyperlink" Target="http://www.linkedin.com/in/steven-tannous-407152196" TargetMode="External"/><Relationship  Id="rId5046" Type="http://schemas.openxmlformats.org/officeDocument/2006/relationships/hyperlink" Target="http://myral.com" TargetMode="External"/><Relationship  Id="rId5047" Type="http://schemas.openxmlformats.org/officeDocument/2006/relationships/hyperlink" Target="http://www.linkedin.com/company/myral" TargetMode="External"/><Relationship  Id="rId5048" Type="http://schemas.openxmlformats.org/officeDocument/2006/relationships/hyperlink" Target="http://www.linkedin.com/in/sylvain-bonnot-myral" TargetMode="External"/><Relationship  Id="rId5049" Type="http://schemas.openxmlformats.org/officeDocument/2006/relationships/hyperlink" Target="http://www.linkedin.com/company/recyclivre-com" TargetMode="External"/><Relationship  Id="rId505" Type="http://schemas.openxmlformats.org/officeDocument/2006/relationships/hyperlink" Target="http://www.orizonliving.com" TargetMode="External"/><Relationship  Id="rId5050" Type="http://schemas.openxmlformats.org/officeDocument/2006/relationships/hyperlink" Target="http://www.linkedin.com/in/sylvain-joly" TargetMode="External"/><Relationship  Id="rId5051" Type="http://schemas.openxmlformats.org/officeDocument/2006/relationships/hyperlink" Target="http://addon.fr" TargetMode="External"/><Relationship  Id="rId5052" Type="http://schemas.openxmlformats.org/officeDocument/2006/relationships/hyperlink" Target="http://www.linkedin.com/company/add-on-consulting" TargetMode="External"/><Relationship  Id="rId5053" Type="http://schemas.openxmlformats.org/officeDocument/2006/relationships/hyperlink" Target="https://www.facebook.com/AddOnConsultingFrance/" TargetMode="External"/><Relationship  Id="rId5054" Type="http://schemas.openxmlformats.org/officeDocument/2006/relationships/hyperlink" Target="http://www.linkedin.com/in/sylvain-le-chatton-b2867a14" TargetMode="External"/><Relationship  Id="rId5055" Type="http://schemas.openxmlformats.org/officeDocument/2006/relationships/hyperlink" Target="http://triple-d.fr" TargetMode="External"/><Relationship  Id="rId5056" Type="http://schemas.openxmlformats.org/officeDocument/2006/relationships/hyperlink" Target="http://www.linkedin.com/company/triple-d" TargetMode="External"/><Relationship  Id="rId5057" Type="http://schemas.openxmlformats.org/officeDocument/2006/relationships/hyperlink" Target="https://www.facebook.com/tripledfr" TargetMode="External"/><Relationship  Id="rId5058" Type="http://schemas.openxmlformats.org/officeDocument/2006/relationships/hyperlink" Target="http://www.linkedin.com/in/sylvain-denis-09226b69" TargetMode="External"/><Relationship  Id="rId5059" Type="http://schemas.openxmlformats.org/officeDocument/2006/relationships/hyperlink" Target="http://funepro.fr" TargetMode="External"/><Relationship  Id="rId506" Type="http://schemas.openxmlformats.org/officeDocument/2006/relationships/hyperlink" Target="http://www.linkedin.com/in/maria-niakate-b670bb94" TargetMode="External"/><Relationship  Id="rId5060" Type="http://schemas.openxmlformats.org/officeDocument/2006/relationships/hyperlink" Target="http://www.linkedin.com/company/funepro" TargetMode="External"/><Relationship  Id="rId5061" Type="http://schemas.openxmlformats.org/officeDocument/2006/relationships/hyperlink" Target="http://www.linkedin.com/in/sylvestre-olgiati-%f0%9f%8d%83-a6590a80" TargetMode="External"/><Relationship  Id="rId5062" Type="http://schemas.openxmlformats.org/officeDocument/2006/relationships/hyperlink" Target="http://www.linkedin.com/company/moveinmed" TargetMode="External"/><Relationship  Id="rId5063" Type="http://schemas.openxmlformats.org/officeDocument/2006/relationships/hyperlink" Target="http://www.linkedin.com/in/sylvie-boichot-104929100" TargetMode="External"/><Relationship  Id="rId5064" Type="http://schemas.openxmlformats.org/officeDocument/2006/relationships/hyperlink" Target="http://altam.fr" TargetMode="External"/><Relationship  Id="rId5065" Type="http://schemas.openxmlformats.org/officeDocument/2006/relationships/hyperlink" Target="http://www.linkedin.com/company/groupealtam" TargetMode="External"/><Relationship  Id="rId5066" Type="http://schemas.openxmlformats.org/officeDocument/2006/relationships/hyperlink" Target="https://facebook.com/caduc.sarl" TargetMode="External"/><Relationship  Id="rId5067" Type="http://schemas.openxmlformats.org/officeDocument/2006/relationships/hyperlink" Target="http://www.linkedin.com/in/sylvie-etancelin-ab544753" TargetMode="External"/><Relationship  Id="rId5068" Type="http://schemas.openxmlformats.org/officeDocument/2006/relationships/hyperlink" Target="http://eclipse-diffusion.fr" TargetMode="External"/><Relationship  Id="rId5069" Type="http://schemas.openxmlformats.org/officeDocument/2006/relationships/hyperlink" Target="http://www.linkedin.com/company/eclipse-diffusion" TargetMode="External"/><Relationship  Id="rId507" Type="http://schemas.openxmlformats.org/officeDocument/2006/relationships/hyperlink" Target="http://www.wingsandchill.fr" TargetMode="External"/><Relationship  Id="rId5070" Type="http://schemas.openxmlformats.org/officeDocument/2006/relationships/hyperlink" Target="http://www.linkedin.com/in/thierry-bloch-05817073" TargetMode="External"/><Relationship  Id="rId5071" Type="http://schemas.openxmlformats.org/officeDocument/2006/relationships/hyperlink" Target="http://performances-lba.fr" TargetMode="External"/><Relationship  Id="rId5072" Type="http://schemas.openxmlformats.org/officeDocument/2006/relationships/hyperlink" Target="http://www.linkedin.com/company/performances-lba" TargetMode="External"/><Relationship  Id="rId5073" Type="http://schemas.openxmlformats.org/officeDocument/2006/relationships/hyperlink" Target="https://www.facebook.com/PerformancesLBa" TargetMode="External"/><Relationship  Id="rId5074" Type="http://schemas.openxmlformats.org/officeDocument/2006/relationships/hyperlink" Target="http://www.linkedin.com/in/thierry-leroux" TargetMode="External"/><Relationship  Id="rId5075" Type="http://schemas.openxmlformats.org/officeDocument/2006/relationships/hyperlink" Target="http://allure-automobile.com" TargetMode="External"/><Relationship  Id="rId5076" Type="http://schemas.openxmlformats.org/officeDocument/2006/relationships/hyperlink" Target="http://www.linkedin.com/company/allureauto" TargetMode="External"/><Relationship  Id="rId5077" Type="http://schemas.openxmlformats.org/officeDocument/2006/relationships/hyperlink" Target="http://www.linkedin.com/in/thomas-tuncq-26798690" TargetMode="External"/><Relationship  Id="rId5078" Type="http://schemas.openxmlformats.org/officeDocument/2006/relationships/hyperlink" Target="http://jeece.fr" TargetMode="External"/><Relationship  Id="rId5079" Type="http://schemas.openxmlformats.org/officeDocument/2006/relationships/hyperlink" Target="http://www.linkedin.com/company/jeece" TargetMode="External"/><Relationship  Id="rId508" Type="http://schemas.openxmlformats.org/officeDocument/2006/relationships/hyperlink" Target="http://www.linkedin.com/in/maxence-moscodier-1a865832" TargetMode="External"/><Relationship  Id="rId5080" Type="http://schemas.openxmlformats.org/officeDocument/2006/relationships/hyperlink" Target="https://twitter.com/JuniorJEECE" TargetMode="External"/><Relationship  Id="rId5081" Type="http://schemas.openxmlformats.org/officeDocument/2006/relationships/hyperlink" Target="https://facebook.com/JEECE.JE" TargetMode="External"/><Relationship  Id="rId5082" Type="http://schemas.openxmlformats.org/officeDocument/2006/relationships/hyperlink" Target="http://www.linkedin.com/in/th%c3%a9o-lindemans" TargetMode="External"/><Relationship  Id="rId5083" Type="http://schemas.openxmlformats.org/officeDocument/2006/relationships/hyperlink" Target="http://bloomflow.com" TargetMode="External"/><Relationship  Id="rId5084" Type="http://schemas.openxmlformats.org/officeDocument/2006/relationships/hyperlink" Target="http://www.linkedin.com/company/bloomflow" TargetMode="External"/><Relationship  Id="rId5085" Type="http://schemas.openxmlformats.org/officeDocument/2006/relationships/hyperlink" Target="http://www.linkedin.com/in/thibaultviort" TargetMode="External"/><Relationship  Id="rId5086" Type="http://schemas.openxmlformats.org/officeDocument/2006/relationships/hyperlink" Target="http://inch.fr" TargetMode="External"/><Relationship  Id="rId5087" Type="http://schemas.openxmlformats.org/officeDocument/2006/relationships/hyperlink" Target="http://www.linkedin.com/company/inch" TargetMode="External"/><Relationship  Id="rId5088" Type="http://schemas.openxmlformats.org/officeDocument/2006/relationships/hyperlink" Target="https://twitter.com/inchsider/" TargetMode="External"/><Relationship  Id="rId5089" Type="http://schemas.openxmlformats.org/officeDocument/2006/relationships/hyperlink" Target="https://www.facebook.com/inchsider/" TargetMode="External"/><Relationship  Id="rId509" Type="http://schemas.openxmlformats.org/officeDocument/2006/relationships/hyperlink" Target="http://www.brutus-creperies.com" TargetMode="External"/><Relationship  Id="rId5090" Type="http://schemas.openxmlformats.org/officeDocument/2006/relationships/hyperlink" Target="http://www.linkedin.com/in/thibautfavre" TargetMode="External"/><Relationship  Id="rId5091" Type="http://schemas.openxmlformats.org/officeDocument/2006/relationships/hyperlink" Target="http://vditelecom.fr" TargetMode="External"/><Relationship  Id="rId5092" Type="http://schemas.openxmlformats.org/officeDocument/2006/relationships/hyperlink" Target="http://www.linkedin.com/company/vdi-telecom" TargetMode="External"/><Relationship  Id="rId5093" Type="http://schemas.openxmlformats.org/officeDocument/2006/relationships/hyperlink" Target="http://www.linkedin.com/in/thierry-brejon-b26b32147" TargetMode="External"/><Relationship  Id="rId5094" Type="http://schemas.openxmlformats.org/officeDocument/2006/relationships/hyperlink" Target="http://msc-caen.fr" TargetMode="External"/><Relationship  Id="rId5095" Type="http://schemas.openxmlformats.org/officeDocument/2006/relationships/hyperlink" Target="http://www.linkedin.com/company/msc-construction-metallique" TargetMode="External"/><Relationship  Id="rId5096" Type="http://schemas.openxmlformats.org/officeDocument/2006/relationships/hyperlink" Target="http://www.linkedin.com/in/thierry-cudelou-559a37a2" TargetMode="External"/><Relationship  Id="rId5097" Type="http://schemas.openxmlformats.org/officeDocument/2006/relationships/hyperlink" Target="http://illinks.fr" TargetMode="External"/><Relationship  Id="rId5098" Type="http://schemas.openxmlformats.org/officeDocument/2006/relationships/hyperlink" Target="http://www.linkedin.com/company/illinks-ged-designer" TargetMode="External"/><Relationship  Id="rId5099" Type="http://schemas.openxmlformats.org/officeDocument/2006/relationships/hyperlink" Target="http://www.linkedin.com/in/thierry-kock-7340b560" TargetMode="External"/><Relationship  Id="rId51" Type="http://schemas.openxmlformats.org/officeDocument/2006/relationships/hyperlink" Target="http://www.linkedin.com/in/antoine-divine-a86a19175" TargetMode="External"/><Relationship  Id="rId510" Type="http://schemas.openxmlformats.org/officeDocument/2006/relationships/hyperlink" Target="http://www.linkedin.com/in/younes-chaboz" TargetMode="External"/><Relationship  Id="rId5100" Type="http://schemas.openxmlformats.org/officeDocument/2006/relationships/hyperlink" Target="http://www.linkedin.com/in/thierry-montard-47ab1210a" TargetMode="External"/><Relationship  Id="rId5101" Type="http://schemas.openxmlformats.org/officeDocument/2006/relationships/hyperlink" Target="http://ageris-consulting.com" TargetMode="External"/><Relationship  Id="rId5102" Type="http://schemas.openxmlformats.org/officeDocument/2006/relationships/hyperlink" Target="http://www.linkedin.com/company/ageris-consulting" TargetMode="External"/><Relationship  Id="rId5103" Type="http://schemas.openxmlformats.org/officeDocument/2006/relationships/hyperlink" Target="https://www.twitter.com/group_ageris" TargetMode="External"/><Relationship  Id="rId5104" Type="http://schemas.openxmlformats.org/officeDocument/2006/relationships/hyperlink" Target="https://facebook.com/agerisgroup" TargetMode="External"/><Relationship  Id="rId5105" Type="http://schemas.openxmlformats.org/officeDocument/2006/relationships/hyperlink" Target="http://www.linkedin.com/in/thierry-ramard-30745b" TargetMode="External"/><Relationship  Id="rId5106" Type="http://schemas.openxmlformats.org/officeDocument/2006/relationships/hyperlink" Target="http://www.linkedin.com/in/thomascarpaye" TargetMode="External"/><Relationship  Id="rId5107" Type="http://schemas.openxmlformats.org/officeDocument/2006/relationships/hyperlink" Target="http://cube-renovations.fr" TargetMode="External"/><Relationship  Id="rId5108" Type="http://schemas.openxmlformats.org/officeDocument/2006/relationships/hyperlink" Target="http://www.linkedin.com/company/cube-renovations" TargetMode="External"/><Relationship  Id="rId5109" Type="http://schemas.openxmlformats.org/officeDocument/2006/relationships/hyperlink" Target="http://www.linkedin.com/in/thomaschabrol" TargetMode="External"/><Relationship  Id="rId511" Type="http://schemas.openxmlformats.org/officeDocument/2006/relationships/hyperlink" Target="http://www.crispysoul.fr" TargetMode="External"/><Relationship  Id="rId5110" Type="http://schemas.openxmlformats.org/officeDocument/2006/relationships/hyperlink" Target="http://s-grignolo.net" TargetMode="External"/><Relationship  Id="rId5111" Type="http://schemas.openxmlformats.org/officeDocument/2006/relationships/hyperlink" Target="http://www.linkedin.com/company/s-grignolo" TargetMode="External"/><Relationship  Id="rId5112" Type="http://schemas.openxmlformats.org/officeDocument/2006/relationships/hyperlink" Target="https://www.facebook.com/people/Soci%C3%A9t%C3%A9-Grignolo/100064100077145/" TargetMode="External"/><Relationship  Id="rId5113" Type="http://schemas.openxmlformats.org/officeDocument/2006/relationships/hyperlink" Target="http://www.linkedin.com/in/thomas-delacour-7912bb40" TargetMode="External"/><Relationship  Id="rId5114" Type="http://schemas.openxmlformats.org/officeDocument/2006/relationships/hyperlink" Target="http://ingely.fr" TargetMode="External"/><Relationship  Id="rId5115" Type="http://schemas.openxmlformats.org/officeDocument/2006/relationships/hyperlink" Target="http://www.linkedin.com/company/fbsi" TargetMode="External"/><Relationship  Id="rId5116" Type="http://schemas.openxmlformats.org/officeDocument/2006/relationships/hyperlink" Target="http://www.linkedin.com/in/thomas-dion-b2aa06b8" TargetMode="External"/><Relationship  Id="rId5117" Type="http://schemas.openxmlformats.org/officeDocument/2006/relationships/hyperlink" Target="http://suricats-consulting.com" TargetMode="External"/><Relationship  Id="rId5118" Type="http://schemas.openxmlformats.org/officeDocument/2006/relationships/hyperlink" Target="http://www.linkedin.com/company/suricats-consulting" TargetMode="External"/><Relationship  Id="rId5119" Type="http://schemas.openxmlformats.org/officeDocument/2006/relationships/hyperlink" Target="https://twitter.com/SuricatsTeam" TargetMode="External"/><Relationship  Id="rId512" Type="http://schemas.openxmlformats.org/officeDocument/2006/relationships/hyperlink" Target="http://www.linkedin.com/in/louis-solanet-0918b323" TargetMode="External"/><Relationship  Id="rId5120" Type="http://schemas.openxmlformats.org/officeDocument/2006/relationships/hyperlink" Target="http://www.linkedin.com/in/thomasklein-paris" TargetMode="External"/><Relationship  Id="rId5121" Type="http://schemas.openxmlformats.org/officeDocument/2006/relationships/hyperlink" Target="http://www.linkedin.com/in/thomas-obadia-%f0%9f%94%b5-a6b94395" TargetMode="External"/><Relationship  Id="rId5122" Type="http://schemas.openxmlformats.org/officeDocument/2006/relationships/hyperlink" Target="http://tfm-marketing.com" TargetMode="External"/><Relationship  Id="rId5123" Type="http://schemas.openxmlformats.org/officeDocument/2006/relationships/hyperlink" Target="http://www.linkedin.com/company/tfm-marketing" TargetMode="External"/><Relationship  Id="rId5124" Type="http://schemas.openxmlformats.org/officeDocument/2006/relationships/hyperlink" Target="http://www.linkedin.com/in/thomas-tinard-3894291aa" TargetMode="External"/><Relationship  Id="rId5125" Type="http://schemas.openxmlformats.org/officeDocument/2006/relationships/hyperlink" Target="http://ns2b.fr" TargetMode="External"/><Relationship  Id="rId5126" Type="http://schemas.openxmlformats.org/officeDocument/2006/relationships/hyperlink" Target="http://www.linkedin.com/company/ns2business" TargetMode="External"/><Relationship  Id="rId5127" Type="http://schemas.openxmlformats.org/officeDocument/2006/relationships/hyperlink" Target="https://facebook.com/ns2business" TargetMode="External"/><Relationship  Id="rId5128" Type="http://schemas.openxmlformats.org/officeDocument/2006/relationships/hyperlink" Target="http://www.linkedin.com/in/thomas-white-b13a5571" TargetMode="External"/><Relationship  Id="rId5129" Type="http://schemas.openxmlformats.org/officeDocument/2006/relationships/hyperlink" Target="http://lacantinedestalents.fr" TargetMode="External"/><Relationship  Id="rId513" Type="http://schemas.openxmlformats.org/officeDocument/2006/relationships/hyperlink" Target="http://www.orsohotels.com" TargetMode="External"/><Relationship  Id="rId5130" Type="http://schemas.openxmlformats.org/officeDocument/2006/relationships/hyperlink" Target="http://www.linkedin.com/company/la-cantine-des-talents" TargetMode="External"/><Relationship  Id="rId5131" Type="http://schemas.openxmlformats.org/officeDocument/2006/relationships/hyperlink" Target="http://www.linkedin.com/in/thomas-valentin-%f0%9f%94%b5-410ab374" TargetMode="External"/><Relationship  Id="rId5132" Type="http://schemas.openxmlformats.org/officeDocument/2006/relationships/hyperlink" Target="http://localease.fr" TargetMode="External"/><Relationship  Id="rId5133" Type="http://schemas.openxmlformats.org/officeDocument/2006/relationships/hyperlink" Target="http://www.linkedin.com/company/localease" TargetMode="External"/><Relationship  Id="rId5134" Type="http://schemas.openxmlformats.org/officeDocument/2006/relationships/hyperlink" Target="https://twitter.com/LocaLease_" TargetMode="External"/><Relationship  Id="rId5135" Type="http://schemas.openxmlformats.org/officeDocument/2006/relationships/hyperlink" Target="https://www.facebook.com/courtierlocalease" TargetMode="External"/><Relationship  Id="rId5136" Type="http://schemas.openxmlformats.org/officeDocument/2006/relationships/hyperlink" Target="http://www.linkedin.com/in/thomas-jacsont-59332b110" TargetMode="External"/><Relationship  Id="rId5137" Type="http://schemas.openxmlformats.org/officeDocument/2006/relationships/hyperlink" Target="http://bonnesmanieres.net" TargetMode="External"/><Relationship  Id="rId5138" Type="http://schemas.openxmlformats.org/officeDocument/2006/relationships/hyperlink" Target="http://www.linkedin.com/company/bonnes-mani%c3%a8res" TargetMode="External"/><Relationship  Id="rId5139" Type="http://schemas.openxmlformats.org/officeDocument/2006/relationships/hyperlink" Target="http://www.linkedin.com/in/tiffanyoliverphotographieslyonetbeaujolais" TargetMode="External"/><Relationship  Id="rId514" Type="http://schemas.openxmlformats.org/officeDocument/2006/relationships/hyperlink" Target="http://www.linkedin.com/in/ahmet-ogras-74a95824" TargetMode="External"/><Relationship  Id="rId5140" Type="http://schemas.openxmlformats.org/officeDocument/2006/relationships/hyperlink" Target="http://athome-solution.fr" TargetMode="External"/><Relationship  Id="rId5141" Type="http://schemas.openxmlformats.org/officeDocument/2006/relationships/hyperlink" Target="http://www.linkedin.com/company/athome-solution" TargetMode="External"/><Relationship  Id="rId5142" Type="http://schemas.openxmlformats.org/officeDocument/2006/relationships/hyperlink" Target="http://www.linkedin.com/in/tiphaine-bichot" TargetMode="External"/><Relationship  Id="rId5143" Type="http://schemas.openxmlformats.org/officeDocument/2006/relationships/hyperlink" Target="http://tkorp.com" TargetMode="External"/><Relationship  Id="rId5144" Type="http://schemas.openxmlformats.org/officeDocument/2006/relationships/hyperlink" Target="http://www.linkedin.com/company/tkorp" TargetMode="External"/><Relationship  Id="rId5145" Type="http://schemas.openxmlformats.org/officeDocument/2006/relationships/hyperlink" Target="http://www.linkedin.com/in/thibault-kerouanton-9236a183" TargetMode="External"/><Relationship  Id="rId5146" Type="http://schemas.openxmlformats.org/officeDocument/2006/relationships/hyperlink" Target="http://toitureparisienne.com" TargetMode="External"/><Relationship  Id="rId5147" Type="http://schemas.openxmlformats.org/officeDocument/2006/relationships/hyperlink" Target="http://www.linkedin.com/company/toiture-parisienne" TargetMode="External"/><Relationship  Id="rId5148" Type="http://schemas.openxmlformats.org/officeDocument/2006/relationships/hyperlink" Target="https://twitter.com/Toiture_paris" TargetMode="External"/><Relationship  Id="rId5149" Type="http://schemas.openxmlformats.org/officeDocument/2006/relationships/hyperlink" Target="https://www.facebook.com/Toiture-Parisienne-213415145874557/" TargetMode="External"/><Relationship  Id="rId515" Type="http://schemas.openxmlformats.org/officeDocument/2006/relationships/hyperlink" Target="http://www.resatravel.com" TargetMode="External"/><Relationship  Id="rId5150" Type="http://schemas.openxmlformats.org/officeDocument/2006/relationships/hyperlink" Target="http://www.linkedin.com/in/thomas-lesne-a541502a9" TargetMode="External"/><Relationship  Id="rId5151" Type="http://schemas.openxmlformats.org/officeDocument/2006/relationships/hyperlink" Target="http://newslot.fr" TargetMode="External"/><Relationship  Id="rId5152" Type="http://schemas.openxmlformats.org/officeDocument/2006/relationships/hyperlink" Target="http://www.linkedin.com/company/newslot" TargetMode="External"/><Relationship  Id="rId5153" Type="http://schemas.openxmlformats.org/officeDocument/2006/relationships/hyperlink" Target="http://www.linkedin.com/in/tomasdsd" TargetMode="External"/><Relationship  Id="rId5154" Type="http://schemas.openxmlformats.org/officeDocument/2006/relationships/hyperlink" Target="http://bleu122.com" TargetMode="External"/><Relationship  Id="rId5155" Type="http://schemas.openxmlformats.org/officeDocument/2006/relationships/hyperlink" Target="http://www.linkedin.com/company/bleu122" TargetMode="External"/><Relationship  Id="rId5156" Type="http://schemas.openxmlformats.org/officeDocument/2006/relationships/hyperlink" Target="https://twitter.com/Bleu_122" TargetMode="External"/><Relationship  Id="rId5157" Type="http://schemas.openxmlformats.org/officeDocument/2006/relationships/hyperlink" Target="https://facebook.com/bleu122" TargetMode="External"/><Relationship  Id="rId5158" Type="http://schemas.openxmlformats.org/officeDocument/2006/relationships/hyperlink" Target="http://www.linkedin.com/in/tony-leloup-78217766" TargetMode="External"/><Relationship  Id="rId5159" Type="http://schemas.openxmlformats.org/officeDocument/2006/relationships/hyperlink" Target="http://bimingenierie.fr" TargetMode="External"/><Relationship  Id="rId516" Type="http://schemas.openxmlformats.org/officeDocument/2006/relationships/hyperlink" Target="http://www.linkedin.com/in/pierre-louis-vignot-97277160" TargetMode="External"/><Relationship  Id="rId5160" Type="http://schemas.openxmlformats.org/officeDocument/2006/relationships/hyperlink" Target="http://www.linkedin.com/company/bim-ingenenierie" TargetMode="External"/><Relationship  Id="rId5161" Type="http://schemas.openxmlformats.org/officeDocument/2006/relationships/hyperlink" Target="http://www.linkedin.com/in/toufik-belbouab-12326044" TargetMode="External"/><Relationship  Id="rId5162" Type="http://schemas.openxmlformats.org/officeDocument/2006/relationships/hyperlink" Target="http://bonhomme-metallerie.com" TargetMode="External"/><Relationship  Id="rId5163" Type="http://schemas.openxmlformats.org/officeDocument/2006/relationships/hyperlink" Target="http://www.linkedin.com/company/bonhommemetallerie" TargetMode="External"/><Relationship  Id="rId5164" Type="http://schemas.openxmlformats.org/officeDocument/2006/relationships/hyperlink" Target="http://www.linkedin.com/in/martin-tranchard-63b064b0" TargetMode="External"/><Relationship  Id="rId5165" Type="http://schemas.openxmlformats.org/officeDocument/2006/relationships/hyperlink" Target="http://cena-ingenierie.fr" TargetMode="External"/><Relationship  Id="rId5166" Type="http://schemas.openxmlformats.org/officeDocument/2006/relationships/hyperlink" Target="http://www.linkedin.com/company/cena-ingenierie" TargetMode="External"/><Relationship  Id="rId5167" Type="http://schemas.openxmlformats.org/officeDocument/2006/relationships/hyperlink" Target="http://www.linkedin.com/in/laurent-truguet" TargetMode="External"/><Relationship  Id="rId5168" Type="http://schemas.openxmlformats.org/officeDocument/2006/relationships/hyperlink" Target="http://www.linkedin.com/in/thomas-savary-06172a68" TargetMode="External"/><Relationship  Id="rId5169" Type="http://schemas.openxmlformats.org/officeDocument/2006/relationships/hyperlink" Target="http://norgatec.com" TargetMode="External"/><Relationship  Id="rId517" Type="http://schemas.openxmlformats.org/officeDocument/2006/relationships/hyperlink" Target="http://www.domainedecrecy.com" TargetMode="External"/><Relationship  Id="rId5170" Type="http://schemas.openxmlformats.org/officeDocument/2006/relationships/hyperlink" Target="http://www.linkedin.com/company/norgatec-consulting" TargetMode="External"/><Relationship  Id="rId5171" Type="http://schemas.openxmlformats.org/officeDocument/2006/relationships/hyperlink" Target="http://www.linkedin.com/in/thibaut-verraest-3bb65b32" TargetMode="External"/><Relationship  Id="rId5172" Type="http://schemas.openxmlformats.org/officeDocument/2006/relationships/hyperlink" Target="http://firecell.io" TargetMode="External"/><Relationship  Id="rId5173" Type="http://schemas.openxmlformats.org/officeDocument/2006/relationships/hyperlink" Target="http://www.linkedin.com/company/firecell" TargetMode="External"/><Relationship  Id="rId5174" Type="http://schemas.openxmlformats.org/officeDocument/2006/relationships/hyperlink" Target="https://twitter.com/firecellP5G" TargetMode="External"/><Relationship  Id="rId5175" Type="http://schemas.openxmlformats.org/officeDocument/2006/relationships/hyperlink" Target="https://www.facebook.com/firecell5g" TargetMode="External"/><Relationship  Id="rId5176" Type="http://schemas.openxmlformats.org/officeDocument/2006/relationships/hyperlink" Target="http://www.linkedin.com/in/ullasaari" TargetMode="External"/><Relationship  Id="rId5177" Type="http://schemas.openxmlformats.org/officeDocument/2006/relationships/hyperlink" Target="http://proxima-it.fr" TargetMode="External"/><Relationship  Id="rId5178" Type="http://schemas.openxmlformats.org/officeDocument/2006/relationships/hyperlink" Target="http://www.linkedin.com/company/proxima-it" TargetMode="External"/><Relationship  Id="rId5179" Type="http://schemas.openxmlformats.org/officeDocument/2006/relationships/hyperlink" Target="http://www.linkedin.com/in/valentin-rose-8570a9189" TargetMode="External"/><Relationship  Id="rId518" Type="http://schemas.openxmlformats.org/officeDocument/2006/relationships/hyperlink" Target="http://www.linkedin.com/in/rejane-narbonnet-47280152" TargetMode="External"/><Relationship  Id="rId5180" Type="http://schemas.openxmlformats.org/officeDocument/2006/relationships/hyperlink" Target="http://corexalys.com" TargetMode="External"/><Relationship  Id="rId5181" Type="http://schemas.openxmlformats.org/officeDocument/2006/relationships/hyperlink" Target="http://www.linkedin.com/company/corexalys-worldwide" TargetMode="External"/><Relationship  Id="rId5182" Type="http://schemas.openxmlformats.org/officeDocument/2006/relationships/hyperlink" Target="http://www.linkedin.com/in/val%c3%a9ry-emmanuel-gosserez-76086165" TargetMode="External"/><Relationship  Id="rId5183" Type="http://schemas.openxmlformats.org/officeDocument/2006/relationships/hyperlink" Target="http://weareminds.com" TargetMode="External"/><Relationship  Id="rId5184" Type="http://schemas.openxmlformats.org/officeDocument/2006/relationships/hyperlink" Target="http://www.linkedin.com/company/we-are-minds" TargetMode="External"/><Relationship  Id="rId5185" Type="http://schemas.openxmlformats.org/officeDocument/2006/relationships/hyperlink" Target="https://www.facebook.com/we.are.minds.agency" TargetMode="External"/><Relationship  Id="rId5186" Type="http://schemas.openxmlformats.org/officeDocument/2006/relationships/hyperlink" Target="http://www.linkedin.com/in/venissia-pierre-57730473" TargetMode="External"/><Relationship  Id="rId5187" Type="http://schemas.openxmlformats.org/officeDocument/2006/relationships/hyperlink" Target="http://nomattitude.com" TargetMode="External"/><Relationship  Id="rId5188" Type="http://schemas.openxmlformats.org/officeDocument/2006/relationships/hyperlink" Target="http://www.linkedin.com/company/nomattitude" TargetMode="External"/><Relationship  Id="rId5189" Type="http://schemas.openxmlformats.org/officeDocument/2006/relationships/hyperlink" Target="http://www.linkedin.com/in/val%c3%a9ry-gomes-35a36a5" TargetMode="External"/><Relationship  Id="rId519" Type="http://schemas.openxmlformats.org/officeDocument/2006/relationships/hyperlink" Target="http://www.lafrenchlatitude.com" TargetMode="External"/><Relationship  Id="rId5190" Type="http://schemas.openxmlformats.org/officeDocument/2006/relationships/hyperlink" Target="http://www.linkedin.com/company/csbschool" TargetMode="External"/><Relationship  Id="rId5191" Type="http://schemas.openxmlformats.org/officeDocument/2006/relationships/hyperlink" Target="http://www.linkedin.com/in/vianneywattinne" TargetMode="External"/><Relationship  Id="rId5192" Type="http://schemas.openxmlformats.org/officeDocument/2006/relationships/hyperlink" Target="http://geniusloci.fr" TargetMode="External"/><Relationship  Id="rId5193" Type="http://schemas.openxmlformats.org/officeDocument/2006/relationships/hyperlink" Target="http://www.linkedin.com/company/g%c3%a9nius-loci" TargetMode="External"/><Relationship  Id="rId5194" Type="http://schemas.openxmlformats.org/officeDocument/2006/relationships/hyperlink" Target="https://www.facebook.com/lespritdubatiment" TargetMode="External"/><Relationship  Id="rId5195" Type="http://schemas.openxmlformats.org/officeDocument/2006/relationships/hyperlink" Target="http://www.linkedin.com/in/vianney-daunay-3aa222135" TargetMode="External"/><Relationship  Id="rId5196" Type="http://schemas.openxmlformats.org/officeDocument/2006/relationships/hyperlink" Target="http://samaconsulting.co.uk" TargetMode="External"/><Relationship  Id="rId5197" Type="http://schemas.openxmlformats.org/officeDocument/2006/relationships/hyperlink" Target="http://www.linkedin.com/company/sama-consutling" TargetMode="External"/><Relationship  Id="rId5198" Type="http://schemas.openxmlformats.org/officeDocument/2006/relationships/hyperlink" Target="http://www.linkedin.com/in/vicki-moritz-henry-30740b59" TargetMode="External"/><Relationship  Id="rId5199" Type="http://schemas.openxmlformats.org/officeDocument/2006/relationships/hyperlink" Target="http://thewatchdog.io" TargetMode="External"/><Relationship  Id="rId52" Type="http://schemas.openxmlformats.org/officeDocument/2006/relationships/hyperlink" Target="http://www.les-filous.fr" TargetMode="External"/><Relationship  Id="rId520" Type="http://schemas.openxmlformats.org/officeDocument/2006/relationships/hyperlink" Target="http://www.linkedin.com/in/quentin-jouanneau-courville" TargetMode="External"/><Relationship  Id="rId5200" Type="http://schemas.openxmlformats.org/officeDocument/2006/relationships/hyperlink" Target="http://www.linkedin.com/company/the-watch-dog" TargetMode="External"/><Relationship  Id="rId5201" Type="http://schemas.openxmlformats.org/officeDocument/2006/relationships/hyperlink" Target="http://www.linkedin.com/in/victorpoilane" TargetMode="External"/><Relationship  Id="rId5202" Type="http://schemas.openxmlformats.org/officeDocument/2006/relationships/hyperlink" Target="http://lmcs-balma.com" TargetMode="External"/><Relationship  Id="rId5203" Type="http://schemas.openxmlformats.org/officeDocument/2006/relationships/hyperlink" Target="http://www.linkedin.com/company/l.m.c.s.---la-maison-du-carrelage-et-sanitaire-balma" TargetMode="External"/><Relationship  Id="rId5204" Type="http://schemas.openxmlformats.org/officeDocument/2006/relationships/hyperlink" Target="https://www.facebook.com/lmcsbalma/" TargetMode="External"/><Relationship  Id="rId5205" Type="http://schemas.openxmlformats.org/officeDocument/2006/relationships/hyperlink" Target="http://www.linkedin.com/in/vincent-arnoldo-b52762202" TargetMode="External"/><Relationship  Id="rId5206" Type="http://schemas.openxmlformats.org/officeDocument/2006/relationships/hyperlink" Target="http://www.linkedin.com/in/vincent-cristallini-54828b179" TargetMode="External"/><Relationship  Id="rId5207" Type="http://schemas.openxmlformats.org/officeDocument/2006/relationships/hyperlink" Target="http://ks2.fr" TargetMode="External"/><Relationship  Id="rId5208" Type="http://schemas.openxmlformats.org/officeDocument/2006/relationships/hyperlink" Target="http://www.linkedin.com/company/ks2" TargetMode="External"/><Relationship  Id="rId5209" Type="http://schemas.openxmlformats.org/officeDocument/2006/relationships/hyperlink" Target="http://www.linkedin.com/in/vincentderec" TargetMode="External"/><Relationship  Id="rId521" Type="http://schemas.openxmlformats.org/officeDocument/2006/relationships/hyperlink" Target="http://www.hotelespritdazur.com" TargetMode="External"/><Relationship  Id="rId5210" Type="http://schemas.openxmlformats.org/officeDocument/2006/relationships/hyperlink" Target="http://berga.fr" TargetMode="External"/><Relationship  Id="rId5211" Type="http://schemas.openxmlformats.org/officeDocument/2006/relationships/hyperlink" Target="http://www.linkedin.com/company/berga-bet-fluides" TargetMode="External"/><Relationship  Id="rId5212" Type="http://schemas.openxmlformats.org/officeDocument/2006/relationships/hyperlink" Target="http://www.linkedin.com/in/vincent-moulin-b5a1a2142" TargetMode="External"/><Relationship  Id="rId5213" Type="http://schemas.openxmlformats.org/officeDocument/2006/relationships/hyperlink" Target="http://awinsi.com" TargetMode="External"/><Relationship  Id="rId5214" Type="http://schemas.openxmlformats.org/officeDocument/2006/relationships/hyperlink" Target="http://www.linkedin.com/company/awinsi" TargetMode="External"/><Relationship  Id="rId5215" Type="http://schemas.openxmlformats.org/officeDocument/2006/relationships/hyperlink" Target="https://twitter.com/AwinsiConseil" TargetMode="External"/><Relationship  Id="rId5216" Type="http://schemas.openxmlformats.org/officeDocument/2006/relationships/hyperlink" Target="https://facebook.com/pages/Awinsi/145453078986954" TargetMode="External"/><Relationship  Id="rId5217" Type="http://schemas.openxmlformats.org/officeDocument/2006/relationships/hyperlink" Target="http://www.linkedin.com/in/vincentpeyrache" TargetMode="External"/><Relationship  Id="rId5218" Type="http://schemas.openxmlformats.org/officeDocument/2006/relationships/hyperlink" Target="http://normaclo.com" TargetMode="External"/><Relationship  Id="rId5219" Type="http://schemas.openxmlformats.org/officeDocument/2006/relationships/hyperlink" Target="http://www.linkedin.com/company/bosmy-normaclo" TargetMode="External"/><Relationship  Id="rId522" Type="http://schemas.openxmlformats.org/officeDocument/2006/relationships/hyperlink" Target="http://www.linkedin.com/in/maxime-lallement-01b812b3" TargetMode="External"/><Relationship  Id="rId5220" Type="http://schemas.openxmlformats.org/officeDocument/2006/relationships/hyperlink" Target="https://www.facebook.com/collections.normaclo" TargetMode="External"/><Relationship  Id="rId5221" Type="http://schemas.openxmlformats.org/officeDocument/2006/relationships/hyperlink" Target="http://www.linkedin.com/in/vincent-sionni%c3%a8re-71712445" TargetMode="External"/><Relationship  Id="rId5222" Type="http://schemas.openxmlformats.org/officeDocument/2006/relationships/hyperlink" Target="http://www.linkedin.com/in/vincent-chauvin" TargetMode="External"/><Relationship  Id="rId5223" Type="http://schemas.openxmlformats.org/officeDocument/2006/relationships/hyperlink" Target="http://va-telecom.fr" TargetMode="External"/><Relationship  Id="rId5224" Type="http://schemas.openxmlformats.org/officeDocument/2006/relationships/hyperlink" Target="http://www.linkedin.com/company/va-t%c3%a9l%c3%a9com" TargetMode="External"/><Relationship  Id="rId5225" Type="http://schemas.openxmlformats.org/officeDocument/2006/relationships/hyperlink" Target="http://www.linkedin.com/in/vincent-pinel-420a93a7" TargetMode="External"/><Relationship  Id="rId5226" Type="http://schemas.openxmlformats.org/officeDocument/2006/relationships/hyperlink" Target="http://creactuel.com" TargetMode="External"/><Relationship  Id="rId5227" Type="http://schemas.openxmlformats.org/officeDocument/2006/relationships/hyperlink" Target="http://www.linkedin.com/company/cre-atuel" TargetMode="External"/><Relationship  Id="rId5228" Type="http://schemas.openxmlformats.org/officeDocument/2006/relationships/hyperlink" Target="https://www.facebook.com/groupecreactuel/" TargetMode="External"/><Relationship  Id="rId5229" Type="http://schemas.openxmlformats.org/officeDocument/2006/relationships/hyperlink" Target="http://www.linkedin.com/in/vincent-leblay-829156106" TargetMode="External"/><Relationship  Id="rId523" Type="http://schemas.openxmlformats.org/officeDocument/2006/relationships/hyperlink" Target="http://www.linkedin.com/in/guillaumemultrier" TargetMode="External"/><Relationship  Id="rId5230" Type="http://schemas.openxmlformats.org/officeDocument/2006/relationships/hyperlink" Target="http://www.linkedin.com/company/ekipea" TargetMode="External"/><Relationship  Id="rId5231" Type="http://schemas.openxmlformats.org/officeDocument/2006/relationships/hyperlink" Target="http://www.linkedin.com/in/virginie-colin-aa3679131" TargetMode="External"/><Relationship  Id="rId5232" Type="http://schemas.openxmlformats.org/officeDocument/2006/relationships/hyperlink" Target="http://agroqual.com" TargetMode="External"/><Relationship  Id="rId5233" Type="http://schemas.openxmlformats.org/officeDocument/2006/relationships/hyperlink" Target="http://www.linkedin.com/company/sarl-agroqual" TargetMode="External"/><Relationship  Id="rId5234" Type="http://schemas.openxmlformats.org/officeDocument/2006/relationships/hyperlink" Target="http://www.linkedin.com/in/virginie-grandin-064bb6123" TargetMode="External"/><Relationship  Id="rId5235" Type="http://schemas.openxmlformats.org/officeDocument/2006/relationships/hyperlink" Target="http://lcom-agence.com" TargetMode="External"/><Relationship  Id="rId5236" Type="http://schemas.openxmlformats.org/officeDocument/2006/relationships/hyperlink" Target="http://www.linkedin.com/company/lcom" TargetMode="External"/><Relationship  Id="rId5237" Type="http://schemas.openxmlformats.org/officeDocument/2006/relationships/hyperlink" Target="https://www.facebook.com/LcomAgence/" TargetMode="External"/><Relationship  Id="rId5238" Type="http://schemas.openxmlformats.org/officeDocument/2006/relationships/hyperlink" Target="http://www.linkedin.com/in/virginie-robert-bb2b032a" TargetMode="External"/><Relationship  Id="rId5239" Type="http://schemas.openxmlformats.org/officeDocument/2006/relationships/hyperlink" Target="http://infotem.fr" TargetMode="External"/><Relationship  Id="rId524" Type="http://schemas.openxmlformats.org/officeDocument/2006/relationships/hyperlink" Target="http://www.beyondplaces.com" TargetMode="External"/><Relationship  Id="rId5240" Type="http://schemas.openxmlformats.org/officeDocument/2006/relationships/hyperlink" Target="http://www.linkedin.com/company/infotemsas" TargetMode="External"/><Relationship  Id="rId5241" Type="http://schemas.openxmlformats.org/officeDocument/2006/relationships/hyperlink" Target="http://www.linkedin.com/in/vivien-grand-b4672617b" TargetMode="External"/><Relationship  Id="rId5242" Type="http://schemas.openxmlformats.org/officeDocument/2006/relationships/hyperlink" Target="http://lfaid.fr" TargetMode="External"/><Relationship  Id="rId5243" Type="http://schemas.openxmlformats.org/officeDocument/2006/relationships/hyperlink" Target="http://www.linkedin.com/company/la-fabrik-%c3%a0-id" TargetMode="External"/><Relationship  Id="rId5244" Type="http://schemas.openxmlformats.org/officeDocument/2006/relationships/hyperlink" Target="http://www.linkedin.com/in/vivien-limacher-a83b5a11b" TargetMode="External"/><Relationship  Id="rId5245" Type="http://schemas.openxmlformats.org/officeDocument/2006/relationships/hyperlink" Target="http://kadolis.com" TargetMode="External"/><Relationship  Id="rId5246" Type="http://schemas.openxmlformats.org/officeDocument/2006/relationships/hyperlink" Target="http://www.linkedin.com/company/kadolis" TargetMode="External"/><Relationship  Id="rId5247" Type="http://schemas.openxmlformats.org/officeDocument/2006/relationships/hyperlink" Target="https://twitter.com/Kadolis1" TargetMode="External"/><Relationship  Id="rId5248" Type="http://schemas.openxmlformats.org/officeDocument/2006/relationships/hyperlink" Target="https://www.facebook.com/Kadolisenglish" TargetMode="External"/><Relationship  Id="rId5249" Type="http://schemas.openxmlformats.org/officeDocument/2006/relationships/hyperlink" Target="http://www.linkedin.com/in/vladimir-swistunow-85269754" TargetMode="External"/><Relationship  Id="rId525" Type="http://schemas.openxmlformats.org/officeDocument/2006/relationships/hyperlink" Target="http://www.linkedin.com/in/joannecarter" TargetMode="External"/><Relationship  Id="rId5250" Type="http://schemas.openxmlformats.org/officeDocument/2006/relationships/hyperlink" Target="http://derbez.fr" TargetMode="External"/><Relationship  Id="rId5251" Type="http://schemas.openxmlformats.org/officeDocument/2006/relationships/hyperlink" Target="http://www.linkedin.com/company/ets-derbez" TargetMode="External"/><Relationship  Id="rId5252" Type="http://schemas.openxmlformats.org/officeDocument/2006/relationships/hyperlink" Target="http://www.linkedin.com/in/mignotvincent" TargetMode="External"/><Relationship  Id="rId5253" Type="http://schemas.openxmlformats.org/officeDocument/2006/relationships/hyperlink" Target="http://bouquineriedusart.com" TargetMode="External"/><Relationship  Id="rId5254" Type="http://schemas.openxmlformats.org/officeDocument/2006/relationships/hyperlink" Target="http://www.linkedin.com/company/la-bouquinerie-du-sart" TargetMode="External"/><Relationship  Id="rId5255" Type="http://schemas.openxmlformats.org/officeDocument/2006/relationships/hyperlink" Target="https://twitter.com/bouquinerie59" TargetMode="External"/><Relationship  Id="rId5256" Type="http://schemas.openxmlformats.org/officeDocument/2006/relationships/hyperlink" Target="https://www.facebook.com/bouquineriedusart" TargetMode="External"/><Relationship  Id="rId5257" Type="http://schemas.openxmlformats.org/officeDocument/2006/relationships/hyperlink" Target="http://www.linkedin.com/in/vianneypoissonnier" TargetMode="External"/><Relationship  Id="rId5258" Type="http://schemas.openxmlformats.org/officeDocument/2006/relationships/hyperlink" Target="http://nefture.com" TargetMode="External"/><Relationship  Id="rId5259" Type="http://schemas.openxmlformats.org/officeDocument/2006/relationships/hyperlink" Target="http://www.linkedin.com/company/nefture" TargetMode="External"/><Relationship  Id="rId526" Type="http://schemas.openxmlformats.org/officeDocument/2006/relationships/hyperlink" Target="http://www.truefoodies.com" TargetMode="External"/><Relationship  Id="rId5260" Type="http://schemas.openxmlformats.org/officeDocument/2006/relationships/hyperlink" Target="http://www.linkedin.com/in/wafae-kerchi-b33562145" TargetMode="External"/><Relationship  Id="rId5261" Type="http://schemas.openxmlformats.org/officeDocument/2006/relationships/hyperlink" Target="http://kouka.io" TargetMode="External"/><Relationship  Id="rId5262" Type="http://schemas.openxmlformats.org/officeDocument/2006/relationships/hyperlink" Target="http://www.linkedin.com/company/kouka-consulting" TargetMode="External"/><Relationship  Id="rId5263" Type="http://schemas.openxmlformats.org/officeDocument/2006/relationships/hyperlink" Target="http://www.linkedin.com/in/walid-ammar-5428812b" TargetMode="External"/><Relationship  Id="rId5264" Type="http://schemas.openxmlformats.org/officeDocument/2006/relationships/hyperlink" Target="http://netconceptalsace.fr" TargetMode="External"/><Relationship  Id="rId5265" Type="http://schemas.openxmlformats.org/officeDocument/2006/relationships/hyperlink" Target="http://www.linkedin.com/company/net-concept-alsace" TargetMode="External"/><Relationship  Id="rId5266" Type="http://schemas.openxmlformats.org/officeDocument/2006/relationships/hyperlink" Target="http://www.linkedin.com/in/walter-mendes" TargetMode="External"/><Relationship  Id="rId5267" Type="http://schemas.openxmlformats.org/officeDocument/2006/relationships/hyperlink" Target="http://phacetlabs.com" TargetMode="External"/><Relationship  Id="rId5268" Type="http://schemas.openxmlformats.org/officeDocument/2006/relationships/hyperlink" Target="http://www.linkedin.com/company/phacetlabs" TargetMode="External"/><Relationship  Id="rId5269" Type="http://schemas.openxmlformats.org/officeDocument/2006/relationships/hyperlink" Target="http://www.linkedin.com/in/williampambrun" TargetMode="External"/><Relationship  Id="rId527" Type="http://schemas.openxmlformats.org/officeDocument/2006/relationships/hyperlink" Target="http://www.linkedin.com/in/julien-abourmad-23141195" TargetMode="External"/><Relationship  Id="rId5270" Type="http://schemas.openxmlformats.org/officeDocument/2006/relationships/hyperlink" Target="http://getduo.co" TargetMode="External"/><Relationship  Id="rId5271" Type="http://schemas.openxmlformats.org/officeDocument/2006/relationships/hyperlink" Target="http://www.linkedin.com/company/getduo" TargetMode="External"/><Relationship  Id="rId5272" Type="http://schemas.openxmlformats.org/officeDocument/2006/relationships/hyperlink" Target="http://www.linkedin.com/in/xavier-dersy" TargetMode="External"/><Relationship  Id="rId5273" Type="http://schemas.openxmlformats.org/officeDocument/2006/relationships/hyperlink" Target="http://komugi.io" TargetMode="External"/><Relationship  Id="rId5274" Type="http://schemas.openxmlformats.org/officeDocument/2006/relationships/hyperlink" Target="http://www.linkedin.com/company/komugi" TargetMode="External"/><Relationship  Id="rId5275" Type="http://schemas.openxmlformats.org/officeDocument/2006/relationships/hyperlink" Target="http://www.linkedin.com/in/xavier-feltin" TargetMode="External"/><Relationship  Id="rId5276" Type="http://schemas.openxmlformats.org/officeDocument/2006/relationships/hyperlink" Target="http://leanco.fr" TargetMode="External"/><Relationship  Id="rId5277" Type="http://schemas.openxmlformats.org/officeDocument/2006/relationships/hyperlink" Target="http://www.linkedin.com/company/leancofrance" TargetMode="External"/><Relationship  Id="rId5278" Type="http://schemas.openxmlformats.org/officeDocument/2006/relationships/hyperlink" Target="http://www.linkedin.com/in/xavier-motsch-09197510b" TargetMode="External"/><Relationship  Id="rId5279" Type="http://schemas.openxmlformats.org/officeDocument/2006/relationships/hyperlink" Target="http://sogev.fr" TargetMode="External"/><Relationship  Id="rId528" Type="http://schemas.openxmlformats.org/officeDocument/2006/relationships/hyperlink" Target="http://www.linkedin.com/in/rime-robert-488ab9156" TargetMode="External"/><Relationship  Id="rId5280" Type="http://schemas.openxmlformats.org/officeDocument/2006/relationships/hyperlink" Target="http://www.linkedin.com/company/sogev" TargetMode="External"/><Relationship  Id="rId5281" Type="http://schemas.openxmlformats.org/officeDocument/2006/relationships/hyperlink" Target="http://www.linkedin.com/in/yveen-k-95a7a0b1" TargetMode="External"/><Relationship  Id="rId5282" Type="http://schemas.openxmlformats.org/officeDocument/2006/relationships/hyperlink" Target="http://amg-it.fr" TargetMode="External"/><Relationship  Id="rId5283" Type="http://schemas.openxmlformats.org/officeDocument/2006/relationships/hyperlink" Target="http://www.linkedin.com/company/amg-it" TargetMode="External"/><Relationship  Id="rId5284" Type="http://schemas.openxmlformats.org/officeDocument/2006/relationships/hyperlink" Target="http://www.linkedin.com/in/yann-garlantezec-ba167b66" TargetMode="External"/><Relationship  Id="rId5285" Type="http://schemas.openxmlformats.org/officeDocument/2006/relationships/hyperlink" Target="http://www.linkedin.com/in/yannmastin" TargetMode="External"/><Relationship  Id="rId5286" Type="http://schemas.openxmlformats.org/officeDocument/2006/relationships/hyperlink" Target="http://cicadom.fr" TargetMode="External"/><Relationship  Id="rId5287" Type="http://schemas.openxmlformats.org/officeDocument/2006/relationships/hyperlink" Target="http://www.linkedin.com/company/cicadom" TargetMode="External"/><Relationship  Id="rId5288" Type="http://schemas.openxmlformats.org/officeDocument/2006/relationships/hyperlink" Target="http://www.linkedin.com/in/yohan-caruso-59890589" TargetMode="External"/><Relationship  Id="rId5289" Type="http://schemas.openxmlformats.org/officeDocument/2006/relationships/hyperlink" Target="http://onlytoit.fr" TargetMode="External"/><Relationship  Id="rId529" Type="http://schemas.openxmlformats.org/officeDocument/2006/relationships/hyperlink" Target="http://www.folo.me" TargetMode="External"/><Relationship  Id="rId5290" Type="http://schemas.openxmlformats.org/officeDocument/2006/relationships/hyperlink" Target="http://www.linkedin.com/company/onlytoit" TargetMode="External"/><Relationship  Id="rId5291" Type="http://schemas.openxmlformats.org/officeDocument/2006/relationships/hyperlink" Target="http://www.linkedin.com/in/yoann-cros" TargetMode="External"/><Relationship  Id="rId5292" Type="http://schemas.openxmlformats.org/officeDocument/2006/relationships/hyperlink" Target="http://augusteetferdinand.com" TargetMode="External"/><Relationship  Id="rId5293" Type="http://schemas.openxmlformats.org/officeDocument/2006/relationships/hyperlink" Target="http://www.linkedin.com/company/auguste-et-ferdinand" TargetMode="External"/><Relationship  Id="rId5294" Type="http://schemas.openxmlformats.org/officeDocument/2006/relationships/hyperlink" Target="https://www.facebook.com/augusteetferdinand" TargetMode="External"/><Relationship  Id="rId5295" Type="http://schemas.openxmlformats.org/officeDocument/2006/relationships/hyperlink" Target="http://www.linkedin.com/in/yoann-duriez-6052a3114" TargetMode="External"/><Relationship  Id="rId5296" Type="http://schemas.openxmlformats.org/officeDocument/2006/relationships/hyperlink" Target="http://triskell-consulting.com" TargetMode="External"/><Relationship  Id="rId5297" Type="http://schemas.openxmlformats.org/officeDocument/2006/relationships/hyperlink" Target="http://www.linkedin.com/company/triskell-consulting" TargetMode="External"/><Relationship  Id="rId5298" Type="http://schemas.openxmlformats.org/officeDocument/2006/relationships/hyperlink" Target="http://www.linkedin.com/in/yannmalnoe" TargetMode="External"/><Relationship  Id="rId5299" Type="http://schemas.openxmlformats.org/officeDocument/2006/relationships/hyperlink" Target="http://cogis.com" TargetMode="External"/><Relationship  Id="rId53" Type="http://schemas.openxmlformats.org/officeDocument/2006/relationships/hyperlink" Target="http://www.linkedin.com/in/cl%c3%a9ment-rigot" TargetMode="External"/><Relationship  Id="rId530" Type="http://schemas.openxmlformats.org/officeDocument/2006/relationships/hyperlink" Target="http://www.linkedin.com/in/benjamin-wundermann-8457b723" TargetMode="External"/><Relationship  Id="rId5300" Type="http://schemas.openxmlformats.org/officeDocument/2006/relationships/hyperlink" Target="http://www.linkedin.com/company/cogis-networks-sa" TargetMode="External"/><Relationship  Id="rId5301" Type="http://schemas.openxmlformats.org/officeDocument/2006/relationships/hyperlink" Target="https://twitter.com/cogisnetworks" TargetMode="External"/><Relationship  Id="rId5302" Type="http://schemas.openxmlformats.org/officeDocument/2006/relationships/hyperlink" Target="http://www.linkedin.com/in/yoel-hasson-353706aa" TargetMode="External"/><Relationship  Id="rId5303" Type="http://schemas.openxmlformats.org/officeDocument/2006/relationships/hyperlink" Target="http://redstrings.io" TargetMode="External"/><Relationship  Id="rId5304" Type="http://schemas.openxmlformats.org/officeDocument/2006/relationships/hyperlink" Target="http://www.linkedin.com/company/redstrings" TargetMode="External"/><Relationship  Id="rId5305" Type="http://schemas.openxmlformats.org/officeDocument/2006/relationships/hyperlink" Target="http://www.linkedin.com/in/yogev-sarel-7471b550" TargetMode="External"/><Relationship  Id="rId5306" Type="http://schemas.openxmlformats.org/officeDocument/2006/relationships/hyperlink" Target="http://paybystep.com" TargetMode="External"/><Relationship  Id="rId5307" Type="http://schemas.openxmlformats.org/officeDocument/2006/relationships/hyperlink" Target="http://www.linkedin.com/company/paybystep" TargetMode="External"/><Relationship  Id="rId5308" Type="http://schemas.openxmlformats.org/officeDocument/2006/relationships/hyperlink" Target="http://www.linkedin.com/in/yvcpbs" TargetMode="External"/><Relationship  Id="rId5309" Type="http://schemas.openxmlformats.org/officeDocument/2006/relationships/hyperlink" Target="http://www.linkedin.com/in/yves-pinaroli-a973a112b" TargetMode="External"/><Relationship  Id="rId531" Type="http://schemas.openxmlformats.org/officeDocument/2006/relationships/hyperlink" Target="http://www.gustavehospitality.com" TargetMode="External"/><Relationship  Id="rId5310" Type="http://schemas.openxmlformats.org/officeDocument/2006/relationships/hyperlink" Target="http://proneo-certification.fr" TargetMode="External"/><Relationship  Id="rId5311" Type="http://schemas.openxmlformats.org/officeDocument/2006/relationships/hyperlink" Target="http://www.linkedin.com/company/proneo-certification" TargetMode="External"/><Relationship  Id="rId5312" Type="http://schemas.openxmlformats.org/officeDocument/2006/relationships/hyperlink" Target="https://www.facebook.com/ProneoCertification" TargetMode="External"/><Relationship  Id="rId5313" Type="http://schemas.openxmlformats.org/officeDocument/2006/relationships/hyperlink" Target="http://www.linkedin.com/in/yvespariot" TargetMode="External"/><Relationship  Id="rId5314" Type="http://schemas.openxmlformats.org/officeDocument/2006/relationships/hyperlink" Target="http://cabinet-ace.fr" TargetMode="External"/><Relationship  Id="rId5315" Type="http://schemas.openxmlformats.org/officeDocument/2006/relationships/hyperlink" Target="http://www.linkedin.com/company/cabinet-ace" TargetMode="External"/><Relationship  Id="rId5316" Type="http://schemas.openxmlformats.org/officeDocument/2006/relationships/hyperlink" Target="https://www.facebook.com/Cabinet.ACE.Angers" TargetMode="External"/><Relationship  Id="rId5317" Type="http://schemas.openxmlformats.org/officeDocument/2006/relationships/hyperlink" Target="http://www.linkedin.com/in/yvesprunier" TargetMode="External"/><Relationship  Id="rId5318" Type="http://schemas.openxmlformats.org/officeDocument/2006/relationships/hyperlink" Target="http://www.linkedin.com/in/antoine-fernandes-117958222" TargetMode="External"/><Relationship  Id="rId5319" Type="http://schemas.openxmlformats.org/officeDocument/2006/relationships/hyperlink" Target="http://www.icnjuniorconseil.com" TargetMode="External"/><Relationship  Id="rId532" Type="http://schemas.openxmlformats.org/officeDocument/2006/relationships/hyperlink" Target="http://www.linkedin.com/in/marc-descendre-1736583a" TargetMode="External"/><Relationship  Id="rId5320" Type="http://schemas.openxmlformats.org/officeDocument/2006/relationships/hyperlink" Target="http://www.linkedin.com/in/nicolas-ayrald-44404952" TargetMode="External"/><Relationship  Id="rId5321" Type="http://schemas.openxmlformats.org/officeDocument/2006/relationships/hyperlink" Target="http://www.daybyday-shop.com" TargetMode="External"/><Relationship  Id="rId5322" Type="http://schemas.openxmlformats.org/officeDocument/2006/relationships/hyperlink" Target="http://www.linkedin.com/in/lionel-panaiva-2b351a63" TargetMode="External"/><Relationship  Id="rId5323" Type="http://schemas.openxmlformats.org/officeDocument/2006/relationships/hyperlink" Target="http://www.polymex.fr" TargetMode="External"/><Relationship  Id="rId5324" Type="http://schemas.openxmlformats.org/officeDocument/2006/relationships/hyperlink" Target="http://www.linkedin.com/in/ang%c3%a9lique-marot-9523b1150" TargetMode="External"/><Relationship  Id="rId5325" Type="http://schemas.openxmlformats.org/officeDocument/2006/relationships/hyperlink" Target="http://www.tempsdavance.com" TargetMode="External"/><Relationship  Id="rId5326" Type="http://schemas.openxmlformats.org/officeDocument/2006/relationships/hyperlink" Target="http://www.linkedin.com/in/ramzi-ben-kahla-73a2823b" TargetMode="External"/><Relationship  Id="rId5327" Type="http://schemas.openxmlformats.org/officeDocument/2006/relationships/hyperlink" Target="http://www.newage-consulting.fr" TargetMode="External"/><Relationship  Id="rId5328" Type="http://schemas.openxmlformats.org/officeDocument/2006/relationships/hyperlink" Target="http://www.linkedin.com/in/olivier-vilain-799269147" TargetMode="External"/><Relationship  Id="rId5329" Type="http://schemas.openxmlformats.org/officeDocument/2006/relationships/hyperlink" Target="http://www.innokin.fr" TargetMode="External"/><Relationship  Id="rId533" Type="http://schemas.openxmlformats.org/officeDocument/2006/relationships/hyperlink" Target="http://www.foodandcook.fr" TargetMode="External"/><Relationship  Id="rId5330" Type="http://schemas.openxmlformats.org/officeDocument/2006/relationships/hyperlink" Target="http://www.linkedin.com/in/anniegrenier1" TargetMode="External"/><Relationship  Id="rId5331" Type="http://schemas.openxmlformats.org/officeDocument/2006/relationships/hyperlink" Target="http://www.overspeed.fr" TargetMode="External"/><Relationship  Id="rId5332" Type="http://schemas.openxmlformats.org/officeDocument/2006/relationships/hyperlink" Target="http://www.linkedin.com/in/erwan-l%c3%a9aut%c3%a9-38925627" TargetMode="External"/><Relationship  Id="rId5333" Type="http://schemas.openxmlformats.org/officeDocument/2006/relationships/hyperlink" Target="http://www.gedivote.fr" TargetMode="External"/><Relationship  Id="rId5334" Type="http://schemas.openxmlformats.org/officeDocument/2006/relationships/hyperlink" Target="http://www.linkedin.com/in/richard-albert-199b8b2a9" TargetMode="External"/><Relationship  Id="rId5335" Type="http://schemas.openxmlformats.org/officeDocument/2006/relationships/hyperlink" Target="http://www.moulindesaffaires.fr" TargetMode="External"/><Relationship  Id="rId5336" Type="http://schemas.openxmlformats.org/officeDocument/2006/relationships/hyperlink" Target="http://www.linkedin.com/in/alexandre-parlant-ba2306166" TargetMode="External"/><Relationship  Id="rId5337" Type="http://schemas.openxmlformats.org/officeDocument/2006/relationships/hyperlink" Target="http://www.enence.fr" TargetMode="External"/><Relationship  Id="rId5338" Type="http://schemas.openxmlformats.org/officeDocument/2006/relationships/hyperlink" Target="http://www.linkedin.com/in/patrick-alliany-7390471bb" TargetMode="External"/><Relationship  Id="rId5339" Type="http://schemas.openxmlformats.org/officeDocument/2006/relationships/hyperlink" Target="http://www.abcliv.fr" TargetMode="External"/><Relationship  Id="rId534" Type="http://schemas.openxmlformats.org/officeDocument/2006/relationships/hyperlink" Target="http://www.linkedin.com/in/niall-carroll-ccm-3b803663" TargetMode="External"/><Relationship  Id="rId5340" Type="http://schemas.openxmlformats.org/officeDocument/2006/relationships/hyperlink" Target="http://www.linkedin.com/in/sergio-montoya-a7b5bb1" TargetMode="External"/><Relationship  Id="rId5341" Type="http://schemas.openxmlformats.org/officeDocument/2006/relationships/hyperlink" Target="http://www.smart-copilot.com" TargetMode="External"/><Relationship  Id="rId5342" Type="http://schemas.openxmlformats.org/officeDocument/2006/relationships/hyperlink" Target="http://www.linkedin.com/in/fabrice-koszyk" TargetMode="External"/><Relationship  Id="rId5343" Type="http://schemas.openxmlformats.org/officeDocument/2006/relationships/hyperlink" Target="http://www.serenicity.fr" TargetMode="External"/><Relationship  Id="rId5344" Type="http://schemas.openxmlformats.org/officeDocument/2006/relationships/hyperlink" Target="http://www.linkedin.com/in/catherine-meddahi-72559017" TargetMode="External"/><Relationship  Id="rId5345" Type="http://schemas.openxmlformats.org/officeDocument/2006/relationships/hyperlink" Target="http://www.agence-influences.com" TargetMode="External"/><Relationship  Id="rId5346" Type="http://schemas.openxmlformats.org/officeDocument/2006/relationships/hyperlink" Target="http://www.linkedin.com/in/g%c3%a9rard-zambon-46ab9b64" TargetMode="External"/><Relationship  Id="rId5347" Type="http://schemas.openxmlformats.org/officeDocument/2006/relationships/hyperlink" Target="http://www.serlabo.fr" TargetMode="External"/><Relationship  Id="rId5348" Type="http://schemas.openxmlformats.org/officeDocument/2006/relationships/hyperlink" Target="http://www.linkedin.com/in/j%c3%a9r%c3%b4me-burgaud-08447035" TargetMode="External"/><Relationship  Id="rId5349" Type="http://schemas.openxmlformats.org/officeDocument/2006/relationships/hyperlink" Target="http://www.cerealog.fr" TargetMode="External"/><Relationship  Id="rId535" Type="http://schemas.openxmlformats.org/officeDocument/2006/relationships/hyperlink" Target="http://www.the-condor.com" TargetMode="External"/><Relationship  Id="rId5350" Type="http://schemas.openxmlformats.org/officeDocument/2006/relationships/hyperlink" Target="http://www.linkedin.com/in/antoine-kuhnast-%f0%9f%8c%b1-0599a4159" TargetMode="External"/><Relationship  Id="rId5351" Type="http://schemas.openxmlformats.org/officeDocument/2006/relationships/hyperlink" Target="http://www.safehear.fr" TargetMode="External"/><Relationship  Id="rId5352" Type="http://schemas.openxmlformats.org/officeDocument/2006/relationships/hyperlink" Target="http://www.linkedin.com/in/olivierlaury" TargetMode="External"/><Relationship  Id="rId5353" Type="http://schemas.openxmlformats.org/officeDocument/2006/relationships/hyperlink" Target="http://www.supergeek.fr" TargetMode="External"/><Relationship  Id="rId5354" Type="http://schemas.openxmlformats.org/officeDocument/2006/relationships/hyperlink" Target="http://www.linkedin.com/in/st%c3%a9phane-cochu-239702bb" TargetMode="External"/><Relationship  Id="rId5355" Type="http://schemas.openxmlformats.org/officeDocument/2006/relationships/hyperlink" Target="http://www.globalconcept.fr" TargetMode="External"/><Relationship  Id="rId5356" Type="http://schemas.openxmlformats.org/officeDocument/2006/relationships/hyperlink" Target="http://www.linkedin.com/in/jtisne" TargetMode="External"/><Relationship  Id="rId5357" Type="http://schemas.openxmlformats.org/officeDocument/2006/relationships/hyperlink" Target="http://www.theseedcrew.com" TargetMode="External"/><Relationship  Id="rId5358" Type="http://schemas.openxmlformats.org/officeDocument/2006/relationships/hyperlink" Target="http://www.linkedin.com/in/ludovic-bonhumeau-35651412" TargetMode="External"/><Relationship  Id="rId5359" Type="http://schemas.openxmlformats.org/officeDocument/2006/relationships/hyperlink" Target="http://www.id3i.fr" TargetMode="External"/><Relationship  Id="rId536" Type="http://schemas.openxmlformats.org/officeDocument/2006/relationships/hyperlink" Target="http://www.linkedin.com/in/j%c3%a9rome-sutra-a5873548" TargetMode="External"/><Relationship  Id="rId5360" Type="http://schemas.openxmlformats.org/officeDocument/2006/relationships/hyperlink" Target="http://www.linkedin.com/in/sonia-lucas-4b924786" TargetMode="External"/><Relationship  Id="rId5361" Type="http://schemas.openxmlformats.org/officeDocument/2006/relationships/hyperlink" Target="http://www.image-worldwide.com" TargetMode="External"/><Relationship  Id="rId5362" Type="http://schemas.openxmlformats.org/officeDocument/2006/relationships/hyperlink" Target="http://www.linkedin.com/in/bertrand-dullin-114b504b" TargetMode="External"/><Relationship  Id="rId5363" Type="http://schemas.openxmlformats.org/officeDocument/2006/relationships/hyperlink" Target="http://www.a2l.net" TargetMode="External"/><Relationship  Id="rId5364" Type="http://schemas.openxmlformats.org/officeDocument/2006/relationships/hyperlink" Target="http://www.linkedin.com/in/sacha-tabarly-03561218" TargetMode="External"/><Relationship  Id="rId5365" Type="http://schemas.openxmlformats.org/officeDocument/2006/relationships/hyperlink" Target="http://www.avconceptproducts.com" TargetMode="External"/><Relationship  Id="rId5366" Type="http://schemas.openxmlformats.org/officeDocument/2006/relationships/hyperlink" Target="http://www.linkedin.com/in/laura-salmeron-a8a555232" TargetMode="External"/><Relationship  Id="rId5367" Type="http://schemas.openxmlformats.org/officeDocument/2006/relationships/hyperlink" Target="http://www.jpr-distribution.com" TargetMode="External"/><Relationship  Id="rId5368" Type="http://schemas.openxmlformats.org/officeDocument/2006/relationships/hyperlink" Target="http://www.linkedin.com/in/pierre-emmanuel-spay-8a079bb8" TargetMode="External"/><Relationship  Id="rId5369" Type="http://schemas.openxmlformats.org/officeDocument/2006/relationships/hyperlink" Target="http://www.x-gil.fr" TargetMode="External"/><Relationship  Id="rId537" Type="http://schemas.openxmlformats.org/officeDocument/2006/relationships/hyperlink" Target="http://www.theruckhotel.com" TargetMode="External"/><Relationship  Id="rId5370" Type="http://schemas.openxmlformats.org/officeDocument/2006/relationships/hyperlink" Target="http://www.linkedin.com/in/emmanuel-campagne-simon-4b481527" TargetMode="External"/><Relationship  Id="rId5371" Type="http://schemas.openxmlformats.org/officeDocument/2006/relationships/hyperlink" Target="http://www.loupi-lighting.fr" TargetMode="External"/><Relationship  Id="rId5372" Type="http://schemas.openxmlformats.org/officeDocument/2006/relationships/hyperlink" Target="http://www.linkedin.com/in/nassreddine-riahi" TargetMode="External"/><Relationship  Id="rId5373" Type="http://schemas.openxmlformats.org/officeDocument/2006/relationships/hyperlink" Target="http://www.cynoia.com" TargetMode="External"/><Relationship  Id="rId5374" Type="http://schemas.openxmlformats.org/officeDocument/2006/relationships/hyperlink" Target="http://www.linkedin.com/in/matthieu-fournier-le-ray-741b5961" TargetMode="External"/><Relationship  Id="rId5375" Type="http://schemas.openxmlformats.org/officeDocument/2006/relationships/hyperlink" Target="http://www.altermes.fr" TargetMode="External"/><Relationship  Id="rId5376" Type="http://schemas.openxmlformats.org/officeDocument/2006/relationships/hyperlink" Target="http://www.linkedin.com/in/florianmoulin" TargetMode="External"/><Relationship  Id="rId5377" Type="http://schemas.openxmlformats.org/officeDocument/2006/relationships/hyperlink" Target="http://www.property-filter.co.uk" TargetMode="External"/><Relationship  Id="rId5378" Type="http://schemas.openxmlformats.org/officeDocument/2006/relationships/hyperlink" Target="http://www.linkedin.com/in/olivier-michaud-4a1b2719" TargetMode="External"/><Relationship  Id="rId5379" Type="http://schemas.openxmlformats.org/officeDocument/2006/relationships/hyperlink" Target="http://www.we-do-it-better.fr" TargetMode="External"/><Relationship  Id="rId538" Type="http://schemas.openxmlformats.org/officeDocument/2006/relationships/hyperlink" Target="http://www.linkedin.com/in/jeremie-moles-292324162" TargetMode="External"/><Relationship  Id="rId5380" Type="http://schemas.openxmlformats.org/officeDocument/2006/relationships/hyperlink" Target="http://www.linkedin.com/in/jdauton" TargetMode="External"/><Relationship  Id="rId5381" Type="http://schemas.openxmlformats.org/officeDocument/2006/relationships/hyperlink" Target="http://www.kaizzen.fr" TargetMode="External"/><Relationship  Id="rId5382" Type="http://schemas.openxmlformats.org/officeDocument/2006/relationships/hyperlink" Target="http://www.linkedin.com/in/charlesfoucque" TargetMode="External"/><Relationship  Id="rId5383" Type="http://schemas.openxmlformats.org/officeDocument/2006/relationships/hyperlink" Target="http://www.seqino.com" TargetMode="External"/><Relationship  Id="rId5384" Type="http://schemas.openxmlformats.org/officeDocument/2006/relationships/hyperlink" Target="http://www.linkedin.com/in/valentine-lorenzi-7aa012135" TargetMode="External"/><Relationship  Id="rId5385" Type="http://schemas.openxmlformats.org/officeDocument/2006/relationships/hyperlink" Target="http://www.tds-technologies.net" TargetMode="External"/><Relationship  Id="rId5386" Type="http://schemas.openxmlformats.org/officeDocument/2006/relationships/hyperlink" Target="http://www.linkedin.com/in/alexandradutto" TargetMode="External"/><Relationship  Id="rId5387" Type="http://schemas.openxmlformats.org/officeDocument/2006/relationships/hyperlink" Target="http://www.blurizon.io" TargetMode="External"/><Relationship  Id="rId5388" Type="http://schemas.openxmlformats.org/officeDocument/2006/relationships/hyperlink" Target="http://www.linkedin.com/in/vincent-maladi%c3%a8re-13aa3014b" TargetMode="External"/><Relationship  Id="rId5389" Type="http://schemas.openxmlformats.org/officeDocument/2006/relationships/hyperlink" Target="http://www.probabl.ai" TargetMode="External"/><Relationship  Id="rId539" Type="http://schemas.openxmlformats.org/officeDocument/2006/relationships/hyperlink" Target="http://www.cantine-gamelle.fr" TargetMode="External"/><Relationship  Id="rId5390" Type="http://schemas.openxmlformats.org/officeDocument/2006/relationships/hyperlink" Target="http://www.linkedin.com/in/erwan-georges-a70305117" TargetMode="External"/><Relationship  Id="rId5391" Type="http://schemas.openxmlformats.org/officeDocument/2006/relationships/hyperlink" Target="http://www.major5.fr" TargetMode="External"/><Relationship  Id="rId5392" Type="http://schemas.openxmlformats.org/officeDocument/2006/relationships/hyperlink" Target="http://www.linkedin.com/in/jean-charles-flores-8aa852137" TargetMode="External"/><Relationship  Id="rId5393" Type="http://schemas.openxmlformats.org/officeDocument/2006/relationships/hyperlink" Target="http://www.flexoo.de" TargetMode="External"/><Relationship  Id="rId5394" Type="http://schemas.openxmlformats.org/officeDocument/2006/relationships/hyperlink" Target="http://www.linkedin.com/in/cadefontenay" TargetMode="External"/><Relationship  Id="rId5395" Type="http://schemas.openxmlformats.org/officeDocument/2006/relationships/hyperlink" Target="http://www.sunnikan.net" TargetMode="External"/><Relationship  Id="rId5396" Type="http://schemas.openxmlformats.org/officeDocument/2006/relationships/hyperlink" Target="http://www.linkedin.com/in/charles-de-pirey-77456247" TargetMode="External"/><Relationship  Id="rId5397" Type="http://schemas.openxmlformats.org/officeDocument/2006/relationships/hyperlink" Target="http://www.cad42.com" TargetMode="External"/><Relationship  Id="rId5398" Type="http://schemas.openxmlformats.org/officeDocument/2006/relationships/hyperlink" Target="http://www.linkedin.com/in/davidmarti75" TargetMode="External"/><Relationship  Id="rId5399" Type="http://schemas.openxmlformats.org/officeDocument/2006/relationships/hyperlink" Target="http://www.unknowns.fr" TargetMode="External"/><Relationship  Id="rId54" Type="http://schemas.openxmlformats.org/officeDocument/2006/relationships/hyperlink" Target="http://www.monsieurmouette.fr" TargetMode="External"/><Relationship  Id="rId540" Type="http://schemas.openxmlformats.org/officeDocument/2006/relationships/hyperlink" Target="http://www.linkedin.com/in/olivierbeguier" TargetMode="External"/><Relationship  Id="rId5400" Type="http://schemas.openxmlformats.org/officeDocument/2006/relationships/hyperlink" Target="http://www.linkedin.com/in/benjamin-hautin" TargetMode="External"/><Relationship  Id="rId5401" Type="http://schemas.openxmlformats.org/officeDocument/2006/relationships/hyperlink" Target="http://www.elevenact.com" TargetMode="External"/><Relationship  Id="rId5402" Type="http://schemas.openxmlformats.org/officeDocument/2006/relationships/hyperlink" Target="http://www.linkedin.com/in/lucchaissac" TargetMode="External"/><Relationship  Id="rId5403" Type="http://schemas.openxmlformats.org/officeDocument/2006/relationships/hyperlink" Target="http://www.dock.us" TargetMode="External"/><Relationship  Id="rId5404" Type="http://schemas.openxmlformats.org/officeDocument/2006/relationships/hyperlink" Target="http://www.linkedin.com/in/rodolphemarcel" TargetMode="External"/><Relationship  Id="rId5405" Type="http://schemas.openxmlformats.org/officeDocument/2006/relationships/hyperlink" Target="http://www.feelandclic.com" TargetMode="External"/><Relationship  Id="rId5406" Type="http://schemas.openxmlformats.org/officeDocument/2006/relationships/hyperlink" Target="http://www.linkedin.com/in/leonard-cox-1a1b9a21" TargetMode="External"/><Relationship  Id="rId5407" Type="http://schemas.openxmlformats.org/officeDocument/2006/relationships/hyperlink" Target="http://www.tidyuptech.com" TargetMode="External"/><Relationship  Id="rId5408" Type="http://schemas.openxmlformats.org/officeDocument/2006/relationships/hyperlink" Target="http://www.linkedin.com/in/thomas-corpetti-68468313a" TargetMode="External"/><Relationship  Id="rId5409" Type="http://schemas.openxmlformats.org/officeDocument/2006/relationships/hyperlink" Target="http://www.kermap.com" TargetMode="External"/><Relationship  Id="rId541" Type="http://schemas.openxmlformats.org/officeDocument/2006/relationships/hyperlink" Target="http://www.linkedin.com/in/myriam-sabet-3769a46" TargetMode="External"/><Relationship  Id="rId5410" Type="http://schemas.openxmlformats.org/officeDocument/2006/relationships/hyperlink" Target="http://www.linkedin.com/in/julien-chomarat-04633318" TargetMode="External"/><Relationship  Id="rId5411" Type="http://schemas.openxmlformats.org/officeDocument/2006/relationships/hyperlink" Target="http://www.linoa.com" TargetMode="External"/><Relationship  Id="rId5412" Type="http://schemas.openxmlformats.org/officeDocument/2006/relationships/hyperlink" Target="http://www.linkedin.com/in/valentinvergnes" TargetMode="External"/><Relationship  Id="rId5413" Type="http://schemas.openxmlformats.org/officeDocument/2006/relationships/hyperlink" Target="http://www.valala-shop.fr" TargetMode="External"/><Relationship  Id="rId5414" Type="http://schemas.openxmlformats.org/officeDocument/2006/relationships/hyperlink" Target="http://www.linkedin.com/in/mahdiazizi" TargetMode="External"/><Relationship  Id="rId5415" Type="http://schemas.openxmlformats.org/officeDocument/2006/relationships/hyperlink" Target="http://www.xrm-cs.com" TargetMode="External"/><Relationship  Id="rId5416" Type="http://schemas.openxmlformats.org/officeDocument/2006/relationships/hyperlink" Target="http://www.linkedin.com/in/martintissier" TargetMode="External"/><Relationship  Id="rId5417" Type="http://schemas.openxmlformats.org/officeDocument/2006/relationships/hyperlink" Target="http://www.urbangaming.fr" TargetMode="External"/><Relationship  Id="rId5418" Type="http://schemas.openxmlformats.org/officeDocument/2006/relationships/hyperlink" Target="http://www.linkedin.com/in/mika%c3%abl-d%c3%a9s%c3%a9cures-ab5aa2177" TargetMode="External"/><Relationship  Id="rId5419" Type="http://schemas.openxmlformats.org/officeDocument/2006/relationships/hyperlink" Target="http://www.aprex-solutions.com" TargetMode="External"/><Relationship  Id="rId542" Type="http://schemas.openxmlformats.org/officeDocument/2006/relationships/hyperlink" Target="http://www.maisonaleph.com" TargetMode="External"/><Relationship  Id="rId5420" Type="http://schemas.openxmlformats.org/officeDocument/2006/relationships/hyperlink" Target="http://www.linkedin.com/in/manan-mehta-41425b101" TargetMode="External"/><Relationship  Id="rId5421" Type="http://schemas.openxmlformats.org/officeDocument/2006/relationships/hyperlink" Target="http://www.marketincrew.com" TargetMode="External"/><Relationship  Id="rId5422" Type="http://schemas.openxmlformats.org/officeDocument/2006/relationships/hyperlink" Target="http://www.linkedin.com/in/jerome-verdiell-39250a10" TargetMode="External"/><Relationship  Id="rId5423" Type="http://schemas.openxmlformats.org/officeDocument/2006/relationships/hyperlink" Target="http://www.abcsr-performance.com" TargetMode="External"/><Relationship  Id="rId5424" Type="http://schemas.openxmlformats.org/officeDocument/2006/relationships/hyperlink" Target="http://www.linkedin.com/in/liz-stanley-phd-4670336" TargetMode="External"/><Relationship  Id="rId5425" Type="http://schemas.openxmlformats.org/officeDocument/2006/relationships/hyperlink" Target="http://www.execpipeline.com" TargetMode="External"/><Relationship  Id="rId5426" Type="http://schemas.openxmlformats.org/officeDocument/2006/relationships/hyperlink" Target="http://alfred-eyes.ai/" TargetMode="External"/><Relationship  Id="rId5427" Type="http://schemas.openxmlformats.org/officeDocument/2006/relationships/hyperlink" Target="http://www.linkedin.com/in/raphael-berdugo" TargetMode="External"/><Relationship  Id="rId5428" Type="http://schemas.openxmlformats.org/officeDocument/2006/relationships/hyperlink" Target="http://www.alfred-eyes.ai" TargetMode="External"/><Relationship  Id="rId5429" Type="http://schemas.openxmlformats.org/officeDocument/2006/relationships/hyperlink" Target="http://www.linkedin.com/in/christophe-chenilyer-03137235" TargetMode="External"/><Relationship  Id="rId543" Type="http://schemas.openxmlformats.org/officeDocument/2006/relationships/hyperlink" Target="http://www.linkedin.com/in/lemmy-brou-b21b8035" TargetMode="External"/><Relationship  Id="rId5430" Type="http://schemas.openxmlformats.org/officeDocument/2006/relationships/hyperlink" Target="http://www.tcat.media" TargetMode="External"/><Relationship  Id="rId5431" Type="http://schemas.openxmlformats.org/officeDocument/2006/relationships/hyperlink" Target="http://www.linkedin.com/in/maxime-chatelain-84551290" TargetMode="External"/><Relationship  Id="rId5432" Type="http://schemas.openxmlformats.org/officeDocument/2006/relationships/hyperlink" Target="http://www.rubix-consulting.com" TargetMode="External"/><Relationship  Id="rId5433" Type="http://schemas.openxmlformats.org/officeDocument/2006/relationships/hyperlink" Target="http://www.linkedin.com/in/mathieu-schmitt-31035519" TargetMode="External"/><Relationship  Id="rId5434" Type="http://schemas.openxmlformats.org/officeDocument/2006/relationships/hyperlink" Target="http://www.setics.com" TargetMode="External"/><Relationship  Id="rId5435" Type="http://schemas.openxmlformats.org/officeDocument/2006/relationships/hyperlink" Target="http://www.linkedin.com/in/alimouhoub" TargetMode="External"/><Relationship  Id="rId5436" Type="http://schemas.openxmlformats.org/officeDocument/2006/relationships/hyperlink" Target="http://www.yacast.fr" TargetMode="External"/><Relationship  Id="rId5437" Type="http://schemas.openxmlformats.org/officeDocument/2006/relationships/hyperlink" Target="http://www.linkedin.com/in/julien-antoine-192a851a" TargetMode="External"/><Relationship  Id="rId5438" Type="http://schemas.openxmlformats.org/officeDocument/2006/relationships/hyperlink" Target="http://www.6netic.fr" TargetMode="External"/><Relationship  Id="rId5439" Type="http://schemas.openxmlformats.org/officeDocument/2006/relationships/hyperlink" Target="http://www.linkedin.com/in/eric-allard-80960343" TargetMode="External"/><Relationship  Id="rId544" Type="http://schemas.openxmlformats.org/officeDocument/2006/relationships/hyperlink" Target="http://www.cafeterroir.fr" TargetMode="External"/><Relationship  Id="rId5440" Type="http://schemas.openxmlformats.org/officeDocument/2006/relationships/hyperlink" Target="http://www.intoo.fr" TargetMode="External"/><Relationship  Id="rId5441" Type="http://schemas.openxmlformats.org/officeDocument/2006/relationships/hyperlink" Target="http://www.linkedin.com/in/khaldonevans" TargetMode="External"/><Relationship  Id="rId5442" Type="http://schemas.openxmlformats.org/officeDocument/2006/relationships/hyperlink" Target="http://www.ochy.io" TargetMode="External"/><Relationship  Id="rId5443" Type="http://schemas.openxmlformats.org/officeDocument/2006/relationships/hyperlink" Target="http://www.linkedin.com/in/amine-el-moutaouakil-53423224" TargetMode="External"/><Relationship  Id="rId5444" Type="http://schemas.openxmlformats.org/officeDocument/2006/relationships/hyperlink" Target="http://www.phainoconsulting.com" TargetMode="External"/><Relationship  Id="rId5445" Type="http://schemas.openxmlformats.org/officeDocument/2006/relationships/hyperlink" Target="http://www.linkedin.com/in/thibaud-amelot" TargetMode="External"/><Relationship  Id="rId5446" Type="http://schemas.openxmlformats.org/officeDocument/2006/relationships/hyperlink" Target="http://www.sportsantedomicile.fr" TargetMode="External"/><Relationship  Id="rId5447" Type="http://schemas.openxmlformats.org/officeDocument/2006/relationships/hyperlink" Target="http://www.linkedin.com/in/saadi-o-68b51251" TargetMode="External"/><Relationship  Id="rId5448" Type="http://schemas.openxmlformats.org/officeDocument/2006/relationships/hyperlink" Target="http://www.skillwise.fr" TargetMode="External"/><Relationship  Id="rId5449" Type="http://schemas.openxmlformats.org/officeDocument/2006/relationships/hyperlink" Target="http://www.linkedin.com/in/logan-barre" TargetMode="External"/><Relationship  Id="rId545" Type="http://schemas.openxmlformats.org/officeDocument/2006/relationships/hyperlink" Target="http://www.linkedin.com/in/pierre-durand-364b1341" TargetMode="External"/><Relationship  Id="rId5450" Type="http://schemas.openxmlformats.org/officeDocument/2006/relationships/hyperlink" Target="http://www.socialcut.agency" TargetMode="External"/><Relationship  Id="rId5451" Type="http://schemas.openxmlformats.org/officeDocument/2006/relationships/hyperlink" Target="http://www.linkedin.com/in/quentinhamard" TargetMode="External"/><Relationship  Id="rId5452" Type="http://schemas.openxmlformats.org/officeDocument/2006/relationships/hyperlink" Target="http://www.octoperf.com" TargetMode="External"/><Relationship  Id="rId5453" Type="http://schemas.openxmlformats.org/officeDocument/2006/relationships/hyperlink" Target="http://www.linkedin.com/in/robertogruppo" TargetMode="External"/><Relationship  Id="rId5454" Type="http://schemas.openxmlformats.org/officeDocument/2006/relationships/hyperlink" Target="http://www.telesio.fr" TargetMode="External"/><Relationship  Id="rId5455" Type="http://schemas.openxmlformats.org/officeDocument/2006/relationships/hyperlink" Target="http://www.linkedin.com/in/antoine-botte-60556682" TargetMode="External"/><Relationship  Id="rId5456" Type="http://schemas.openxmlformats.org/officeDocument/2006/relationships/hyperlink" Target="http://www.nucleon-security.com" TargetMode="External"/><Relationship  Id="rId5457" Type="http://schemas.openxmlformats.org/officeDocument/2006/relationships/hyperlink" Target="http://www.linkedin.com/in/luc-nempont-5397907" TargetMode="External"/><Relationship  Id="rId5458" Type="http://schemas.openxmlformats.org/officeDocument/2006/relationships/hyperlink" Target="http://www.altsis.fr" TargetMode="External"/><Relationship  Id="rId5459" Type="http://schemas.openxmlformats.org/officeDocument/2006/relationships/hyperlink" Target="http://www.linkedin.com/in/fran%c3%a7ois-pedone-219aa6" TargetMode="External"/><Relationship  Id="rId546" Type="http://schemas.openxmlformats.org/officeDocument/2006/relationships/hyperlink" Target="http://www.linkedin.com/in/raphael-aziza-688772132" TargetMode="External"/><Relationship  Id="rId5460" Type="http://schemas.openxmlformats.org/officeDocument/2006/relationships/hyperlink" Target="http://www.trajectives.com" TargetMode="External"/><Relationship  Id="rId5461" Type="http://schemas.openxmlformats.org/officeDocument/2006/relationships/hyperlink" Target="http://www.linkedin.com/in/david-thirache-4b87a126" TargetMode="External"/><Relationship  Id="rId5462" Type="http://schemas.openxmlformats.org/officeDocument/2006/relationships/hyperlink" Target="http://www.weekera.fr" TargetMode="External"/><Relationship  Id="rId5463" Type="http://schemas.openxmlformats.org/officeDocument/2006/relationships/hyperlink" Target="http://www.linkedin.com/in/benjamin-brial" TargetMode="External"/><Relationship  Id="rId5464" Type="http://schemas.openxmlformats.org/officeDocument/2006/relationships/hyperlink" Target="http://www.cycloid.io" TargetMode="External"/><Relationship  Id="rId5465" Type="http://schemas.openxmlformats.org/officeDocument/2006/relationships/hyperlink" Target="http://www.linkedin.com/in/st%c3%a9phane-garreau-1334648b" TargetMode="External"/><Relationship  Id="rId5466" Type="http://schemas.openxmlformats.org/officeDocument/2006/relationships/hyperlink" Target="http://www.scs-sentinel.com" TargetMode="External"/><Relationship  Id="rId5467" Type="http://schemas.openxmlformats.org/officeDocument/2006/relationships/hyperlink" Target="http://www.linkedin.com/in/b%c3%a9atrice-frederic-b7349b175" TargetMode="External"/><Relationship  Id="rId5468" Type="http://schemas.openxmlformats.org/officeDocument/2006/relationships/hyperlink" Target="http://www.techlineit.fr" TargetMode="External"/><Relationship  Id="rId5469" Type="http://schemas.openxmlformats.org/officeDocument/2006/relationships/hyperlink" Target="http://www.linkedin.com/in/florianvannier" TargetMode="External"/><Relationship  Id="rId547" Type="http://schemas.openxmlformats.org/officeDocument/2006/relationships/hyperlink" Target="http://www.deliverectdirect.com" TargetMode="External"/><Relationship  Id="rId5470" Type="http://schemas.openxmlformats.org/officeDocument/2006/relationships/hyperlink" Target="http://www.seif-consult.com" TargetMode="External"/><Relationship  Id="rId5471" Type="http://schemas.openxmlformats.org/officeDocument/2006/relationships/hyperlink" Target="http://www.linkedin.com/in/jeanhouzedelaulnoit" TargetMode="External"/><Relationship  Id="rId5472" Type="http://schemas.openxmlformats.org/officeDocument/2006/relationships/hyperlink" Target="http://www.limestreams.com" TargetMode="External"/><Relationship  Id="rId5473" Type="http://schemas.openxmlformats.org/officeDocument/2006/relationships/hyperlink" Target="http://www.linkedin.com/in/st%c3%a9phanie-faubet-567b60b7" TargetMode="External"/><Relationship  Id="rId5474" Type="http://schemas.openxmlformats.org/officeDocument/2006/relationships/hyperlink" Target="http://www.hexawin.fr" TargetMode="External"/><Relationship  Id="rId5475" Type="http://schemas.openxmlformats.org/officeDocument/2006/relationships/hyperlink" Target="http://www.linkedin.com/in/riadh-daoud-42923819" TargetMode="External"/><Relationship  Id="rId5476" Type="http://schemas.openxmlformats.org/officeDocument/2006/relationships/hyperlink" Target="http://www.avanguard.fr" TargetMode="External"/><Relationship  Id="rId5477" Type="http://schemas.openxmlformats.org/officeDocument/2006/relationships/hyperlink" Target="http://www.linkedin.com/in/gary-aymant-02554360" TargetMode="External"/><Relationship  Id="rId5478" Type="http://schemas.openxmlformats.org/officeDocument/2006/relationships/hyperlink" Target="http://www.techops.fr" TargetMode="External"/><Relationship  Id="rId5479" Type="http://schemas.openxmlformats.org/officeDocument/2006/relationships/hyperlink" Target="http://www.linkedin.com/in/david-smykowski-10859629" TargetMode="External"/><Relationship  Id="rId548" Type="http://schemas.openxmlformats.org/officeDocument/2006/relationships/hyperlink" Target="http://www.linkedin.com/in/fatima-niakate-730437236" TargetMode="External"/><Relationship  Id="rId5480" Type="http://schemas.openxmlformats.org/officeDocument/2006/relationships/hyperlink" Target="http://www.wizzinvest.com" TargetMode="External"/><Relationship  Id="rId5481" Type="http://schemas.openxmlformats.org/officeDocument/2006/relationships/hyperlink" Target="http://www.linkedin.com/in/philippe-benady-0a8792215" TargetMode="External"/><Relationship  Id="rId5482" Type="http://schemas.openxmlformats.org/officeDocument/2006/relationships/hyperlink" Target="http://www.scents.be" TargetMode="External"/><Relationship  Id="rId5483" Type="http://schemas.openxmlformats.org/officeDocument/2006/relationships/hyperlink" Target="http://www.linkedin.com/in/christophe-olivier-190174b1" TargetMode="External"/><Relationship  Id="rId5484" Type="http://schemas.openxmlformats.org/officeDocument/2006/relationships/hyperlink" Target="http://www.prod-eo.com" TargetMode="External"/><Relationship  Id="rId5485" Type="http://schemas.openxmlformats.org/officeDocument/2006/relationships/hyperlink" Target="http://www.linkedin.com/in/stephane-ruck-718b2495" TargetMode="External"/><Relationship  Id="rId5486" Type="http://schemas.openxmlformats.org/officeDocument/2006/relationships/hyperlink" Target="http://www.raimond.fr" TargetMode="External"/><Relationship  Id="rId5487" Type="http://schemas.openxmlformats.org/officeDocument/2006/relationships/hyperlink" Target="http://www.linkedin.com/in/ludivine-philippon" TargetMode="External"/><Relationship  Id="rId5488" Type="http://schemas.openxmlformats.org/officeDocument/2006/relationships/hyperlink" Target="http://www.seance-publique.com" TargetMode="External"/><Relationship  Id="rId5489" Type="http://schemas.openxmlformats.org/officeDocument/2006/relationships/hyperlink" Target="http://www.linkedin.com/in/cdubois" TargetMode="External"/><Relationship  Id="rId549" Type="http://schemas.openxmlformats.org/officeDocument/2006/relationships/hyperlink" Target="http://www.linkedin.com/in/caroline-brossard-3131681a" TargetMode="External"/><Relationship  Id="rId5490" Type="http://schemas.openxmlformats.org/officeDocument/2006/relationships/hyperlink" Target="http://www.66origin.com" TargetMode="External"/><Relationship  Id="rId5491" Type="http://schemas.openxmlformats.org/officeDocument/2006/relationships/hyperlink" Target="http://www.linkedin.com/in/sebastienberland" TargetMode="External"/><Relationship  Id="rId5492" Type="http://schemas.openxmlformats.org/officeDocument/2006/relationships/hyperlink" Target="http://www.tsxcare.fr" TargetMode="External"/><Relationship  Id="rId5493" Type="http://schemas.openxmlformats.org/officeDocument/2006/relationships/hyperlink" Target="http://www.linkedin.com/in/le-hub-toulouse" TargetMode="External"/><Relationship  Id="rId5494" Type="http://schemas.openxmlformats.org/officeDocument/2006/relationships/hyperlink" Target="http://www.rbmg.consulting" TargetMode="External"/><Relationship  Id="rId5495" Type="http://schemas.openxmlformats.org/officeDocument/2006/relationships/hyperlink" Target="http://www.linkedin.com/in/martin-huberlant-60224317" TargetMode="External"/><Relationship  Id="rId5496" Type="http://schemas.openxmlformats.org/officeDocument/2006/relationships/hyperlink" Target="http://www.instaply.com" TargetMode="External"/><Relationship  Id="rId5497" Type="http://schemas.openxmlformats.org/officeDocument/2006/relationships/hyperlink" Target="http://www.linkedin.com/in/alexey-popovich-739b3538" TargetMode="External"/><Relationship  Id="rId5498" Type="http://schemas.openxmlformats.org/officeDocument/2006/relationships/hyperlink" Target="http://www.relogate.me" TargetMode="External"/><Relationship  Id="rId5499" Type="http://schemas.openxmlformats.org/officeDocument/2006/relationships/hyperlink" Target="http://www.linkedin.com/in/renaud-mpassy-mktt" TargetMode="External"/><Relationship  Id="rId55" Type="http://schemas.openxmlformats.org/officeDocument/2006/relationships/hyperlink" Target="http://cozycozy.com" TargetMode="External"/><Relationship  Id="rId550" Type="http://schemas.openxmlformats.org/officeDocument/2006/relationships/hyperlink" Target="http://www.christophercoutanceau.com" TargetMode="External"/><Relationship  Id="rId5500" Type="http://schemas.openxmlformats.org/officeDocument/2006/relationships/hyperlink" Target="http://www.mktendoswebsite.com" TargetMode="External"/><Relationship  Id="rId5501" Type="http://schemas.openxmlformats.org/officeDocument/2006/relationships/hyperlink" Target="http://www.linkedin.com/in/hayder-marzouk" TargetMode="External"/><Relationship  Id="rId5502" Type="http://schemas.openxmlformats.org/officeDocument/2006/relationships/hyperlink" Target="http://www.talentech.fr" TargetMode="External"/><Relationship  Id="rId5503" Type="http://schemas.openxmlformats.org/officeDocument/2006/relationships/hyperlink" Target="http://www.linkedin.com/in/c%c3%a9dric-sylvestre-ba5a0012" TargetMode="External"/><Relationship  Id="rId5504" Type="http://schemas.openxmlformats.org/officeDocument/2006/relationships/hyperlink" Target="http://www.olvid.io" TargetMode="External"/><Relationship  Id="rId5505" Type="http://schemas.openxmlformats.org/officeDocument/2006/relationships/hyperlink" Target="http://www.linkedin.com/in/brijsri" TargetMode="External"/><Relationship  Id="rId5506" Type="http://schemas.openxmlformats.org/officeDocument/2006/relationships/hyperlink" Target="http://www.nijta.com" TargetMode="External"/><Relationship  Id="rId5507" Type="http://schemas.openxmlformats.org/officeDocument/2006/relationships/hyperlink" Target="http://www.linkedin.com/in/christophebernardgnb" TargetMode="External"/><Relationship  Id="rId5508" Type="http://schemas.openxmlformats.org/officeDocument/2006/relationships/hyperlink" Target="http://www.id4us.fr" TargetMode="External"/><Relationship  Id="rId5509" Type="http://schemas.openxmlformats.org/officeDocument/2006/relationships/hyperlink" Target="http://www.linkedin.com/in/lazare-rossillon" TargetMode="External"/><Relationship  Id="rId551" Type="http://schemas.openxmlformats.org/officeDocument/2006/relationships/hyperlink" Target="http://www.linkedin.com/in/laurentkalala" TargetMode="External"/><Relationship  Id="rId5510" Type="http://schemas.openxmlformats.org/officeDocument/2006/relationships/hyperlink" Target="http://www.hellospoke.com.au" TargetMode="External"/><Relationship  Id="rId5511" Type="http://schemas.openxmlformats.org/officeDocument/2006/relationships/hyperlink" Target="http://www.linkedin.com/in/henriburlat" TargetMode="External"/><Relationship  Id="rId5512" Type="http://schemas.openxmlformats.org/officeDocument/2006/relationships/hyperlink" Target="http://www.galago.fr" TargetMode="External"/><Relationship  Id="rId5513" Type="http://schemas.openxmlformats.org/officeDocument/2006/relationships/hyperlink" Target="http://www.linkedin.com/in/reda-chehbi-a1b1322ba" TargetMode="External"/><Relationship  Id="rId5514" Type="http://schemas.openxmlformats.org/officeDocument/2006/relationships/hyperlink" Target="http://www.ugcfactory.io" TargetMode="External"/><Relationship  Id="rId5515" Type="http://schemas.openxmlformats.org/officeDocument/2006/relationships/hyperlink" Target="http://www.linkedin.com/in/sebastienfiquemont" TargetMode="External"/><Relationship  Id="rId5516" Type="http://schemas.openxmlformats.org/officeDocument/2006/relationships/hyperlink" Target="http://www.cameros.fr" TargetMode="External"/><Relationship  Id="rId5517" Type="http://schemas.openxmlformats.org/officeDocument/2006/relationships/hyperlink" Target="http://www.linkedin.com/in/aymeric-kremer-3b1b0559" TargetMode="External"/><Relationship  Id="rId5518" Type="http://schemas.openxmlformats.org/officeDocument/2006/relationships/hyperlink" Target="http://www.openfire.fr" TargetMode="External"/><Relationship  Id="rId5519" Type="http://schemas.openxmlformats.org/officeDocument/2006/relationships/hyperlink" Target="http://www.linkedin.com/in/benoit-mas-65602848" TargetMode="External"/><Relationship  Id="rId552" Type="http://schemas.openxmlformats.org/officeDocument/2006/relationships/hyperlink" Target="http://www.linkedin.com/in/anne-isabelle-barberet-20143911b" TargetMode="External"/><Relationship  Id="rId5520" Type="http://schemas.openxmlformats.org/officeDocument/2006/relationships/hyperlink" Target="http://www.pragmatic-solution.com" TargetMode="External"/><Relationship  Id="rId5521" Type="http://schemas.openxmlformats.org/officeDocument/2006/relationships/hyperlink" Target="http://www.linkedin.com/in/eddie-lemaitre-8348a525" TargetMode="External"/><Relationship  Id="rId5522" Type="http://schemas.openxmlformats.org/officeDocument/2006/relationships/hyperlink" Target="http://www.abpost.fr" TargetMode="External"/><Relationship  Id="rId5523" Type="http://schemas.openxmlformats.org/officeDocument/2006/relationships/hyperlink" Target="http://www.linkedin.com/in/r%c3%a9mi-b%c3%a8ges-37056760" TargetMode="External"/><Relationship  Id="rId5524" Type="http://schemas.openxmlformats.org/officeDocument/2006/relationships/hyperlink" Target="http://www.bonx.tech" TargetMode="External"/><Relationship  Id="rId5525" Type="http://schemas.openxmlformats.org/officeDocument/2006/relationships/hyperlink" Target="http://www.linkedin.com/in/cl%c3%a9ment-lefebvre-5819487" TargetMode="External"/><Relationship  Id="rId5526" Type="http://schemas.openxmlformats.org/officeDocument/2006/relationships/hyperlink" Target="http://www.thuria.com" TargetMode="External"/><Relationship  Id="rId5527" Type="http://schemas.openxmlformats.org/officeDocument/2006/relationships/hyperlink" Target="http://www.linkedin.com/in/cyril-osmani" TargetMode="External"/><Relationship  Id="rId5528" Type="http://schemas.openxmlformats.org/officeDocument/2006/relationships/hyperlink" Target="http://www.cfitech.fr" TargetMode="External"/><Relationship  Id="rId5529" Type="http://schemas.openxmlformats.org/officeDocument/2006/relationships/hyperlink" Target="http://www.linkedin.com/in/somayehbagherbeygi" TargetMode="External"/><Relationship  Id="rId553" Type="http://schemas.openxmlformats.org/officeDocument/2006/relationships/hyperlink" Target="http://www.la-mainaz.com" TargetMode="External"/><Relationship  Id="rId5530" Type="http://schemas.openxmlformats.org/officeDocument/2006/relationships/hyperlink" Target="http://www.presentid.com" TargetMode="External"/><Relationship  Id="rId5531" Type="http://schemas.openxmlformats.org/officeDocument/2006/relationships/hyperlink" Target="http://www.linkedin.com/in/bastienrizza" TargetMode="External"/><Relationship  Id="rId5532" Type="http://schemas.openxmlformats.org/officeDocument/2006/relationships/hyperlink" Target="http://www.blackfox-partners.com" TargetMode="External"/><Relationship  Id="rId5533" Type="http://schemas.openxmlformats.org/officeDocument/2006/relationships/hyperlink" Target="http://www.linkedin.com/in/gregorythibord" TargetMode="External"/><Relationship  Id="rId5534" Type="http://schemas.openxmlformats.org/officeDocument/2006/relationships/hyperlink" Target="http://www.icilundi.fr" TargetMode="External"/><Relationship  Id="rId5535" Type="http://schemas.openxmlformats.org/officeDocument/2006/relationships/hyperlink" Target="http://www.linkedin.com/in/yassine-abbes-03651a101" TargetMode="External"/><Relationship  Id="rId5536" Type="http://schemas.openxmlformats.org/officeDocument/2006/relationships/hyperlink" Target="http://www.vayetek.com" TargetMode="External"/><Relationship  Id="rId5537" Type="http://schemas.openxmlformats.org/officeDocument/2006/relationships/hyperlink" Target="http://www.linkedin.com/in/magali-elhage" TargetMode="External"/><Relationship  Id="rId5538" Type="http://schemas.openxmlformats.org/officeDocument/2006/relationships/hyperlink" Target="http://www.iteractii.net" TargetMode="External"/><Relationship  Id="rId5539" Type="http://schemas.openxmlformats.org/officeDocument/2006/relationships/hyperlink" Target="http://www.linkedin.com/in/olivier-masotta-ba4a95103" TargetMode="External"/><Relationship  Id="rId554" Type="http://schemas.openxmlformats.org/officeDocument/2006/relationships/hyperlink" Target="http://www.linkedin.com/in/ga%c3%ablle-davenel-76ba43196" TargetMode="External"/><Relationship  Id="rId5540" Type="http://schemas.openxmlformats.org/officeDocument/2006/relationships/hyperlink" Target="http://www.suricate.pm" TargetMode="External"/><Relationship  Id="rId5541" Type="http://schemas.openxmlformats.org/officeDocument/2006/relationships/hyperlink" Target="http://www.linkedin.com/in/eric-bleunven-008319ba" TargetMode="External"/><Relationship  Id="rId5542" Type="http://schemas.openxmlformats.org/officeDocument/2006/relationships/hyperlink" Target="http://www.manitoba.fr" TargetMode="External"/><Relationship  Id="rId5543" Type="http://schemas.openxmlformats.org/officeDocument/2006/relationships/hyperlink" Target="http://www.linkedin.com/in/nathaniel-debache" TargetMode="External"/><Relationship  Id="rId5544" Type="http://schemas.openxmlformats.org/officeDocument/2006/relationships/hyperlink" Target="http://www.rungalileo.io" TargetMode="External"/><Relationship  Id="rId5545" Type="http://schemas.openxmlformats.org/officeDocument/2006/relationships/hyperlink" Target="http://www.linkedin.com/in/mina-el-kharij-91276819" TargetMode="External"/><Relationship  Id="rId5546" Type="http://schemas.openxmlformats.org/officeDocument/2006/relationships/hyperlink" Target="http://www.1glink.com" TargetMode="External"/><Relationship  Id="rId5547" Type="http://schemas.openxmlformats.org/officeDocument/2006/relationships/hyperlink" Target="http://www.linkedin.com/in/jonaydlang" TargetMode="External"/><Relationship  Id="rId5548" Type="http://schemas.openxmlformats.org/officeDocument/2006/relationships/hyperlink" Target="http://www.2gezer.fr" TargetMode="External"/><Relationship  Id="rId5549" Type="http://schemas.openxmlformats.org/officeDocument/2006/relationships/hyperlink" Target="http://www.linkedin.com/in/yacine-belarbi" TargetMode="External"/><Relationship  Id="rId555" Type="http://schemas.openxmlformats.org/officeDocument/2006/relationships/hyperlink" Target="http://www.agh-hospitality.com" TargetMode="External"/><Relationship  Id="rId5550" Type="http://schemas.openxmlformats.org/officeDocument/2006/relationships/hyperlink" Target="http://www.lyko.tech" TargetMode="External"/><Relationship  Id="rId5551" Type="http://schemas.openxmlformats.org/officeDocument/2006/relationships/hyperlink" Target="http://www.linkedin.com/in/fa%c3%af%c3%a7al-belhouari-44842716" TargetMode="External"/><Relationship  Id="rId5552" Type="http://schemas.openxmlformats.org/officeDocument/2006/relationships/hyperlink" Target="http://www.welld.fr" TargetMode="External"/><Relationship  Id="rId5553" Type="http://schemas.openxmlformats.org/officeDocument/2006/relationships/hyperlink" Target="http://www.linkedin.com/in/arnaud-eymery-b88a071a1" TargetMode="External"/><Relationship  Id="rId5554" Type="http://schemas.openxmlformats.org/officeDocument/2006/relationships/hyperlink" Target="http://www.degest-expert-cse-ssct.com" TargetMode="External"/><Relationship  Id="rId5555" Type="http://schemas.openxmlformats.org/officeDocument/2006/relationships/hyperlink" Target="http://www.linkedin.com/in/didier-b%c3%a9net-104853" TargetMode="External"/><Relationship  Id="rId5556" Type="http://schemas.openxmlformats.org/officeDocument/2006/relationships/hyperlink" Target="http://www.algosecure.fr" TargetMode="External"/><Relationship  Id="rId5557" Type="http://schemas.openxmlformats.org/officeDocument/2006/relationships/hyperlink" Target="http://www.linkedin.com/in/olivier-zoccheddu-97816789" TargetMode="External"/><Relationship  Id="rId5558" Type="http://schemas.openxmlformats.org/officeDocument/2006/relationships/hyperlink" Target="http://www.gl-concept.fr" TargetMode="External"/><Relationship  Id="rId5559" Type="http://schemas.openxmlformats.org/officeDocument/2006/relationships/hyperlink" Target="http://www.linkedin.com/in/faycal-bousmaha" TargetMode="External"/><Relationship  Id="rId556" Type="http://schemas.openxmlformats.org/officeDocument/2006/relationships/hyperlink" Target="http://www.linkedin.com/in/bastien-deschamps-50616a104" TargetMode="External"/><Relationship  Id="rId5560" Type="http://schemas.openxmlformats.org/officeDocument/2006/relationships/hyperlink" Target="http://www.ideel.io" TargetMode="External"/><Relationship  Id="rId5561" Type="http://schemas.openxmlformats.org/officeDocument/2006/relationships/hyperlink" Target="http://www.linkedin.com/in/siebmanb" TargetMode="External"/><Relationship  Id="rId5562" Type="http://schemas.openxmlformats.org/officeDocument/2006/relationships/hyperlink" Target="http://www.ido-clarity.com" TargetMode="External"/><Relationship  Id="rId5563" Type="http://schemas.openxmlformats.org/officeDocument/2006/relationships/hyperlink" Target="http://www.linkedin.com/in/jean-paul-heng" TargetMode="External"/><Relationship  Id="rId5564" Type="http://schemas.openxmlformats.org/officeDocument/2006/relationships/hyperlink" Target="http://www.uni5-technologies.com" TargetMode="External"/><Relationship  Id="rId5565" Type="http://schemas.openxmlformats.org/officeDocument/2006/relationships/hyperlink" Target="http://www.linkedin.com/in/michel-gironde-490412" TargetMode="External"/><Relationship  Id="rId5566" Type="http://schemas.openxmlformats.org/officeDocument/2006/relationships/hyperlink" Target="http://www.krialys.fr" TargetMode="External"/><Relationship  Id="rId5567" Type="http://schemas.openxmlformats.org/officeDocument/2006/relationships/hyperlink" Target="http://www.linkedin.com/in/stephaneblard" TargetMode="External"/><Relationship  Id="rId5568" Type="http://schemas.openxmlformats.org/officeDocument/2006/relationships/hyperlink" Target="http://www.valuequest-consulting.com" TargetMode="External"/><Relationship  Id="rId5569" Type="http://schemas.openxmlformats.org/officeDocument/2006/relationships/hyperlink" Target="http://www.linkedin.com/in/joel-pobeda-3b895589" TargetMode="External"/><Relationship  Id="rId557" Type="http://schemas.openxmlformats.org/officeDocument/2006/relationships/hyperlink" Target="http://www.leboutiquehotelscollection.com" TargetMode="External"/><Relationship  Id="rId5570" Type="http://schemas.openxmlformats.org/officeDocument/2006/relationships/hyperlink" Target="http://www.lecentre.io" TargetMode="External"/><Relationship  Id="rId5571" Type="http://schemas.openxmlformats.org/officeDocument/2006/relationships/hyperlink" Target="http://www.linkedin.com/in/ericly1" TargetMode="External"/><Relationship  Id="rId5572" Type="http://schemas.openxmlformats.org/officeDocument/2006/relationships/hyperlink" Target="http://www.merci-app.com" TargetMode="External"/><Relationship  Id="rId5573" Type="http://schemas.openxmlformats.org/officeDocument/2006/relationships/hyperlink" Target="http://www.linkedin.com/in/marc-p%c3%a9ri%c3%a9-a877349" TargetMode="External"/><Relationship  Id="rId5574" Type="http://schemas.openxmlformats.org/officeDocument/2006/relationships/hyperlink" Target="http://www.tabfrance.fr" TargetMode="External"/><Relationship  Id="rId5575" Type="http://schemas.openxmlformats.org/officeDocument/2006/relationships/hyperlink" Target="http://www.linkedin.com/in/jean-philippe-n-74a5a5ab" TargetMode="External"/><Relationship  Id="rId5576" Type="http://schemas.openxmlformats.org/officeDocument/2006/relationships/hyperlink" Target="http://www.redstone-solution.com" TargetMode="External"/><Relationship  Id="rId5577" Type="http://schemas.openxmlformats.org/officeDocument/2006/relationships/hyperlink" Target="http://www.linkedin.com/in/gregoryfresnais" TargetMode="External"/><Relationship  Id="rId5578" Type="http://schemas.openxmlformats.org/officeDocument/2006/relationships/hyperlink" Target="http://www.cybertestsystems.com" TargetMode="External"/><Relationship  Id="rId5579" Type="http://schemas.openxmlformats.org/officeDocument/2006/relationships/hyperlink" Target="http://www.linkedin.com/in/allison-josepha-b7a456b4" TargetMode="External"/><Relationship  Id="rId558" Type="http://schemas.openxmlformats.org/officeDocument/2006/relationships/hyperlink" Target="http://www.linkedin.com/in/tom-jullien-162b15178" TargetMode="External"/><Relationship  Id="rId5580" Type="http://schemas.openxmlformats.org/officeDocument/2006/relationships/hyperlink" Target="http://www.serieously.com" TargetMode="External"/><Relationship  Id="rId5581" Type="http://schemas.openxmlformats.org/officeDocument/2006/relationships/hyperlink" Target="http://www.linkedin.com/in/comepinchart" TargetMode="External"/><Relationship  Id="rId5582" Type="http://schemas.openxmlformats.org/officeDocument/2006/relationships/hyperlink" Target="http://www.zbre.io" TargetMode="External"/><Relationship  Id="rId5583" Type="http://schemas.openxmlformats.org/officeDocument/2006/relationships/hyperlink" Target="http://www.linkedin.com/in/alexandre-boudonne-6233141" TargetMode="External"/><Relationship  Id="rId5584" Type="http://schemas.openxmlformats.org/officeDocument/2006/relationships/hyperlink" Target="http://www.greencityzen.fr" TargetMode="External"/><Relationship  Id="rId5585" Type="http://schemas.openxmlformats.org/officeDocument/2006/relationships/hyperlink" Target="http://www.linkedin.com/in/hugo-le-houarner-b0796831" TargetMode="External"/><Relationship  Id="rId5586" Type="http://schemas.openxmlformats.org/officeDocument/2006/relationships/hyperlink" Target="http://www.sealk.com" TargetMode="External"/><Relationship  Id="rId5587" Type="http://schemas.openxmlformats.org/officeDocument/2006/relationships/hyperlink" Target="http://www.linkedin.com/in/mathilde-casasola-3046a8204" TargetMode="External"/><Relationship  Id="rId5588" Type="http://schemas.openxmlformats.org/officeDocument/2006/relationships/hyperlink" Target="http://www.verdikt.io" TargetMode="External"/><Relationship  Id="rId5589" Type="http://schemas.openxmlformats.org/officeDocument/2006/relationships/hyperlink" Target="http://www.linkedin.com/in/arnaudzilliox" TargetMode="External"/><Relationship  Id="rId559" Type="http://schemas.openxmlformats.org/officeDocument/2006/relationships/hyperlink" Target="http://www.institutpaulbocuse.com" TargetMode="External"/><Relationship  Id="rId5590" Type="http://schemas.openxmlformats.org/officeDocument/2006/relationships/hyperlink" Target="http://www.witik.io" TargetMode="External"/><Relationship  Id="rId5591" Type="http://schemas.openxmlformats.org/officeDocument/2006/relationships/hyperlink" Target="http://www.linkedin.com/in/hugobertacchini" TargetMode="External"/><Relationship  Id="rId5592" Type="http://schemas.openxmlformats.org/officeDocument/2006/relationships/hyperlink" Target="http://www.cogx.fr" TargetMode="External"/><Relationship  Id="rId5593" Type="http://schemas.openxmlformats.org/officeDocument/2006/relationships/hyperlink" Target="http://www.linkedin.com/in/paul-trevillot-0195483" TargetMode="External"/><Relationship  Id="rId5594" Type="http://schemas.openxmlformats.org/officeDocument/2006/relationships/hyperlink" Target="http://www.wemanity.com" TargetMode="External"/><Relationship  Id="rId5595" Type="http://schemas.openxmlformats.org/officeDocument/2006/relationships/hyperlink" Target="http://www.linkedin.com/in/arthur-manier-pop-france-pandacola-objetrama" TargetMode="External"/><Relationship  Id="rId5596" Type="http://schemas.openxmlformats.org/officeDocument/2006/relationships/hyperlink" Target="http://www.objetrama.fr" TargetMode="External"/><Relationship  Id="rId5597" Type="http://schemas.openxmlformats.org/officeDocument/2006/relationships/hyperlink" Target="http://www.linkedin.com/in/julien-sac-2862b32" TargetMode="External"/><Relationship  Id="rId5598" Type="http://schemas.openxmlformats.org/officeDocument/2006/relationships/hyperlink" Target="http://www.key-mind.fr" TargetMode="External"/><Relationship  Id="rId5599" Type="http://schemas.openxmlformats.org/officeDocument/2006/relationships/hyperlink" Target="http://www.linkedin.com/in/j%c3%a9r%c3%b4me-carpe-a0852915b" TargetMode="External"/><Relationship  Id="rId56" Type="http://schemas.openxmlformats.org/officeDocument/2006/relationships/hyperlink" Target="http://www.linkedin.com/in/romain-claudel-61211018" TargetMode="External"/><Relationship  Id="rId560" Type="http://schemas.openxmlformats.org/officeDocument/2006/relationships/hyperlink" Target="http://www.linkedin.com/in/alexis-motte-2a9299" TargetMode="External"/><Relationship  Id="rId5600" Type="http://schemas.openxmlformats.org/officeDocument/2006/relationships/hyperlink" Target="http://www.reor.fr" TargetMode="External"/><Relationship  Id="rId5601" Type="http://schemas.openxmlformats.org/officeDocument/2006/relationships/hyperlink" Target="http://www.linkedin.com/in/thierry-sauvaget-4b28697" TargetMode="External"/><Relationship  Id="rId5602" Type="http://schemas.openxmlformats.org/officeDocument/2006/relationships/hyperlink" Target="http://www.ava-ux.com" TargetMode="External"/><Relationship  Id="rId5603" Type="http://schemas.openxmlformats.org/officeDocument/2006/relationships/hyperlink" Target="http://www.linkedin.com/in/pierrick-legrand-b2a6b716" TargetMode="External"/><Relationship  Id="rId5604" Type="http://schemas.openxmlformats.org/officeDocument/2006/relationships/hyperlink" Target="http://www.getrollee.com" TargetMode="External"/><Relationship  Id="rId5605" Type="http://schemas.openxmlformats.org/officeDocument/2006/relationships/hyperlink" Target="http://www.linkedin.com/in/guy-alain-germon-55b0b314" TargetMode="External"/><Relationship  Id="rId5606" Type="http://schemas.openxmlformats.org/officeDocument/2006/relationships/hyperlink" Target="http://www.cafom.com" TargetMode="External"/><Relationship  Id="rId5607" Type="http://schemas.openxmlformats.org/officeDocument/2006/relationships/hyperlink" Target="http://www.linkedin.com/in/philippe-alibert-a33a7310" TargetMode="External"/><Relationship  Id="rId5608" Type="http://schemas.openxmlformats.org/officeDocument/2006/relationships/hyperlink" Target="http://www.louss.fr" TargetMode="External"/><Relationship  Id="rId5609" Type="http://schemas.openxmlformats.org/officeDocument/2006/relationships/hyperlink" Target="http://www.linkedin.com/in/karimleger" TargetMode="External"/><Relationship  Id="rId561" Type="http://schemas.openxmlformats.org/officeDocument/2006/relationships/hyperlink" Target="http://www.linkedin.com/in/maxime-schelstraete-8895381a3" TargetMode="External"/><Relationship  Id="rId5610" Type="http://schemas.openxmlformats.org/officeDocument/2006/relationships/hyperlink" Target="http://www.klac-paris.fr" TargetMode="External"/><Relationship  Id="rId5611" Type="http://schemas.openxmlformats.org/officeDocument/2006/relationships/hyperlink" Target="http://www.linkedin.com/in/beno%c3%aet-thibert-913523b7" TargetMode="External"/><Relationship  Id="rId5612" Type="http://schemas.openxmlformats.org/officeDocument/2006/relationships/hyperlink" Target="http://www.inforgestion.fr" TargetMode="External"/><Relationship  Id="rId5613" Type="http://schemas.openxmlformats.org/officeDocument/2006/relationships/hyperlink" Target="http://www.linkedin.com/in/charles-benichou-546971195" TargetMode="External"/><Relationship  Id="rId5614" Type="http://schemas.openxmlformats.org/officeDocument/2006/relationships/hyperlink" Target="http://www.korineolivier.com" TargetMode="External"/><Relationship  Id="rId5615" Type="http://schemas.openxmlformats.org/officeDocument/2006/relationships/hyperlink" Target="http://www.linkedin.com/in/etienne-mainini-82959094" TargetMode="External"/><Relationship  Id="rId5616" Type="http://schemas.openxmlformats.org/officeDocument/2006/relationships/hyperlink" Target="http://www.mainini.fr" TargetMode="External"/><Relationship  Id="rId5617" Type="http://schemas.openxmlformats.org/officeDocument/2006/relationships/hyperlink" Target="http://www.linkedin.com/in/gr%c3%a9goire-guibal-b673661" TargetMode="External"/><Relationship  Id="rId5618" Type="http://schemas.openxmlformats.org/officeDocument/2006/relationships/hyperlink" Target="http://www.cantoriel.fr" TargetMode="External"/><Relationship  Id="rId5619" Type="http://schemas.openxmlformats.org/officeDocument/2006/relationships/hyperlink" Target="http://www.linkedin.com/in/valentine-lambert-581b7012" TargetMode="External"/><Relationship  Id="rId562" Type="http://schemas.openxmlformats.org/officeDocument/2006/relationships/hyperlink" Target="http://www.linkedin.com/in/madelyn-byrne-7837ba38" TargetMode="External"/><Relationship  Id="rId5620" Type="http://schemas.openxmlformats.org/officeDocument/2006/relationships/hyperlink" Target="http://www.agaphone.com" TargetMode="External"/><Relationship  Id="rId5621" Type="http://schemas.openxmlformats.org/officeDocument/2006/relationships/hyperlink" Target="http://www.linkedin.com/in/arnaud-anchelergue-3aab80b1" TargetMode="External"/><Relationship  Id="rId5622" Type="http://schemas.openxmlformats.org/officeDocument/2006/relationships/hyperlink" Target="http://www.multicam-systems.com" TargetMode="External"/><Relationship  Id="rId5623" Type="http://schemas.openxmlformats.org/officeDocument/2006/relationships/hyperlink" Target="http://www.linkedin.com/in/hubertplessis" TargetMode="External"/><Relationship  Id="rId5624" Type="http://schemas.openxmlformats.org/officeDocument/2006/relationships/hyperlink" Target="http://www.piter.at" TargetMode="External"/><Relationship  Id="rId5625" Type="http://schemas.openxmlformats.org/officeDocument/2006/relationships/hyperlink" Target="http://www.linkedin.com/in/meras" TargetMode="External"/><Relationship  Id="rId5626" Type="http://schemas.openxmlformats.org/officeDocument/2006/relationships/hyperlink" Target="http://www.dojo.group" TargetMode="External"/><Relationship  Id="rId5627" Type="http://schemas.openxmlformats.org/officeDocument/2006/relationships/hyperlink" Target="http://www.linkedin.com/in/foucauldbrice" TargetMode="External"/><Relationship  Id="rId5628" Type="http://schemas.openxmlformats.org/officeDocument/2006/relationships/hyperlink" Target="http://www.click2buy.com" TargetMode="External"/><Relationship  Id="rId5629" Type="http://schemas.openxmlformats.org/officeDocument/2006/relationships/hyperlink" Target="http://www.linkedin.com/in/maximemeregnani" TargetMode="External"/><Relationship  Id="rId563" Type="http://schemas.openxmlformats.org/officeDocument/2006/relationships/hyperlink" Target="http://www.parisperfect.com" TargetMode="External"/><Relationship  Id="rId5630" Type="http://schemas.openxmlformats.org/officeDocument/2006/relationships/hyperlink" Target="http://www.tshoko.com" TargetMode="External"/><Relationship  Id="rId5631" Type="http://schemas.openxmlformats.org/officeDocument/2006/relationships/hyperlink" Target="http://www.linkedin.com/in/daniel-alves-dalla-corte" TargetMode="External"/><Relationship  Id="rId5632" Type="http://schemas.openxmlformats.org/officeDocument/2006/relationships/hyperlink" Target="http://www.sphere-energy.eu" TargetMode="External"/><Relationship  Id="rId5633" Type="http://schemas.openxmlformats.org/officeDocument/2006/relationships/hyperlink" Target="http://www.linkedin.com/in/lionelguiral" TargetMode="External"/><Relationship  Id="rId5634" Type="http://schemas.openxmlformats.org/officeDocument/2006/relationships/hyperlink" Target="http://www.g-communication.fr" TargetMode="External"/><Relationship  Id="rId5635" Type="http://schemas.openxmlformats.org/officeDocument/2006/relationships/hyperlink" Target="http://www.linkedin.com/in/jacky-verguet-256ab987" TargetMode="External"/><Relationship  Id="rId5636" Type="http://schemas.openxmlformats.org/officeDocument/2006/relationships/hyperlink" Target="http://www.arobas-technologies.com" TargetMode="External"/><Relationship  Id="rId5637" Type="http://schemas.openxmlformats.org/officeDocument/2006/relationships/hyperlink" Target="http://www.linkedin.com/in/louis-camelot-bb91a217" TargetMode="External"/><Relationship  Id="rId5638" Type="http://schemas.openxmlformats.org/officeDocument/2006/relationships/hyperlink" Target="http://www.hallesmodernes.fr" TargetMode="External"/><Relationship  Id="rId5639" Type="http://schemas.openxmlformats.org/officeDocument/2006/relationships/hyperlink" Target="http://www.linkedin.com/in/stephaneseguier" TargetMode="External"/><Relationship  Id="rId564" Type="http://schemas.openxmlformats.org/officeDocument/2006/relationships/hyperlink" Target="http://www.linkedin.com/in/mpollet" TargetMode="External"/><Relationship  Id="rId5640" Type="http://schemas.openxmlformats.org/officeDocument/2006/relationships/hyperlink" Target="http://www.codex-international.com" TargetMode="External"/><Relationship  Id="rId5641" Type="http://schemas.openxmlformats.org/officeDocument/2006/relationships/hyperlink" Target="http://www.linkedin.com/in/patrick-zagel-3936a5204" TargetMode="External"/><Relationship  Id="rId5642" Type="http://schemas.openxmlformats.org/officeDocument/2006/relationships/hyperlink" Target="http://www.reseau-entreprendre.org" TargetMode="External"/><Relationship  Id="rId5643" Type="http://schemas.openxmlformats.org/officeDocument/2006/relationships/hyperlink" Target="http://www.linkedin.com/in/nathalie-vayer" TargetMode="External"/><Relationship  Id="rId5644" Type="http://schemas.openxmlformats.org/officeDocument/2006/relationships/hyperlink" Target="http://www.alliancefroidcuisine.fr" TargetMode="External"/><Relationship  Id="rId5645" Type="http://schemas.openxmlformats.org/officeDocument/2006/relationships/hyperlink" Target="http://www.linkedin.com/in/etienne-fonteix-2b405011a" TargetMode="External"/><Relationship  Id="rId5646" Type="http://schemas.openxmlformats.org/officeDocument/2006/relationships/hyperlink" Target="http://www.proxima-it.fr" TargetMode="External"/><Relationship  Id="rId5647" Type="http://schemas.openxmlformats.org/officeDocument/2006/relationships/hyperlink" Target="http://www.linkedin.com/in/nicolas-barthez-21070530" TargetMode="External"/><Relationship  Id="rId5648" Type="http://schemas.openxmlformats.org/officeDocument/2006/relationships/hyperlink" Target="http://www.forcedexperts.com" TargetMode="External"/><Relationship  Id="rId5649" Type="http://schemas.openxmlformats.org/officeDocument/2006/relationships/hyperlink" Target="http://www.linkedin.com/in/st%c3%a9phane-monory-8545161" TargetMode="External"/><Relationship  Id="rId565" Type="http://schemas.openxmlformats.org/officeDocument/2006/relationships/hyperlink" Target="http://www.loungeup.com" TargetMode="External"/><Relationship  Id="rId5650" Type="http://schemas.openxmlformats.org/officeDocument/2006/relationships/hyperlink" Target="http://www.karbone.eu" TargetMode="External"/><Relationship  Id="rId5651" Type="http://schemas.openxmlformats.org/officeDocument/2006/relationships/hyperlink" Target="http://www.linkedin.com/in/paul-druesne-a711583" TargetMode="External"/><Relationship  Id="rId5652" Type="http://schemas.openxmlformats.org/officeDocument/2006/relationships/hyperlink" Target="http://www.steps-transition.com" TargetMode="External"/><Relationship  Id="rId5653" Type="http://schemas.openxmlformats.org/officeDocument/2006/relationships/hyperlink" Target="http://www.linkedin.com/in/benoit-brechon-16483a37" TargetMode="External"/><Relationship  Id="rId5654" Type="http://schemas.openxmlformats.org/officeDocument/2006/relationships/hyperlink" Target="http://www.rosace-fibre.fr" TargetMode="External"/><Relationship  Id="rId5655" Type="http://schemas.openxmlformats.org/officeDocument/2006/relationships/hyperlink" Target="http://www.linkedin.com/in/pierrejollivet" TargetMode="External"/><Relationship  Id="rId5656" Type="http://schemas.openxmlformats.org/officeDocument/2006/relationships/hyperlink" Target="http://www.thebosonproject.com" TargetMode="External"/><Relationship  Id="rId5657" Type="http://schemas.openxmlformats.org/officeDocument/2006/relationships/hyperlink" Target="http://www.linkedin.com/in/dcuoq" TargetMode="External"/><Relationship  Id="rId5658" Type="http://schemas.openxmlformats.org/officeDocument/2006/relationships/hyperlink" Target="http://www.innowide.fr" TargetMode="External"/><Relationship  Id="rId5659" Type="http://schemas.openxmlformats.org/officeDocument/2006/relationships/hyperlink" Target="http://www.linkedin.com/in/mauricezembra" TargetMode="External"/><Relationship  Id="rId566" Type="http://schemas.openxmlformats.org/officeDocument/2006/relationships/hyperlink" Target="http://www.linkedin.com/in/jean-baptiste-perez-castillo-493ab930" TargetMode="External"/><Relationship  Id="rId5660" Type="http://schemas.openxmlformats.org/officeDocument/2006/relationships/hyperlink" Target="http://www.vertical-m2m.com" TargetMode="External"/><Relationship  Id="rId5661" Type="http://schemas.openxmlformats.org/officeDocument/2006/relationships/hyperlink" Target="http://www.linkedin.com/in/eric-zouari-87122b3" TargetMode="External"/><Relationship  Id="rId5662" Type="http://schemas.openxmlformats.org/officeDocument/2006/relationships/hyperlink" Target="http://www.touchflows.com" TargetMode="External"/><Relationship  Id="rId5663" Type="http://schemas.openxmlformats.org/officeDocument/2006/relationships/hyperlink" Target="http://www.linkedin.com/in/manon-correale-20b992178" TargetMode="External"/><Relationship  Id="rId5664" Type="http://schemas.openxmlformats.org/officeDocument/2006/relationships/hyperlink" Target="http://www.e-idols.com" TargetMode="External"/><Relationship  Id="rId5665" Type="http://schemas.openxmlformats.org/officeDocument/2006/relationships/hyperlink" Target="http://www.linkedin.com/in/minashe-selvam-05b50555" TargetMode="External"/><Relationship  Id="rId5666" Type="http://schemas.openxmlformats.org/officeDocument/2006/relationships/hyperlink" Target="http://www.cantoo.fr" TargetMode="External"/><Relationship  Id="rId5667" Type="http://schemas.openxmlformats.org/officeDocument/2006/relationships/hyperlink" Target="http://www.linkedin.com/in/liz-oxhorn-a6a4692" TargetMode="External"/><Relationship  Id="rId5668" Type="http://schemas.openxmlformats.org/officeDocument/2006/relationships/hyperlink" Target="http://www.sonnetai.com" TargetMode="External"/><Relationship  Id="rId5669" Type="http://schemas.openxmlformats.org/officeDocument/2006/relationships/hyperlink" Target="http://www.linkedin.com/in/arnaud-boucheron-31642a64" TargetMode="External"/><Relationship  Id="rId567" Type="http://schemas.openxmlformats.org/officeDocument/2006/relationships/hyperlink" Target="http://www.pedzouille.fr" TargetMode="External"/><Relationship  Id="rId5670" Type="http://schemas.openxmlformats.org/officeDocument/2006/relationships/hyperlink" Target="http://www.julesai.com" TargetMode="External"/><Relationship  Id="rId5671" Type="http://schemas.openxmlformats.org/officeDocument/2006/relationships/hyperlink" Target="http://www.linkedin.com/in/carole-pourchet-33275799" TargetMode="External"/><Relationship  Id="rId5672" Type="http://schemas.openxmlformats.org/officeDocument/2006/relationships/hyperlink" Target="http://www.majorian.fr" TargetMode="External"/><Relationship  Id="rId5673" Type="http://schemas.openxmlformats.org/officeDocument/2006/relationships/hyperlink" Target="http://www.linkedin.com/in/el-hadj-m-diop" TargetMode="External"/><Relationship  Id="rId5674" Type="http://schemas.openxmlformats.org/officeDocument/2006/relationships/hyperlink" Target="http://www.akassaa.com" TargetMode="External"/><Relationship  Id="rId5675" Type="http://schemas.openxmlformats.org/officeDocument/2006/relationships/hyperlink" Target="http://chaindesk.ai/" TargetMode="External"/><Relationship  Id="rId5676" Type="http://schemas.openxmlformats.org/officeDocument/2006/relationships/hyperlink" Target="http://www.linkedin.com/in/georges-petrov-a45765a8" TargetMode="External"/><Relationship  Id="rId5677" Type="http://schemas.openxmlformats.org/officeDocument/2006/relationships/hyperlink" Target="http://www.chaindesk.ai" TargetMode="External"/><Relationship  Id="rId5678" Type="http://schemas.openxmlformats.org/officeDocument/2006/relationships/hyperlink" Target="http://www.linkedin.com/in/philippe-auther-7a48aa1" TargetMode="External"/><Relationship  Id="rId5679" Type="http://schemas.openxmlformats.org/officeDocument/2006/relationships/hyperlink" Target="http://www.howard-partners.com" TargetMode="External"/><Relationship  Id="rId568" Type="http://schemas.openxmlformats.org/officeDocument/2006/relationships/hyperlink" Target="http://www.linkedin.com/in/edouard-daehn-569666b" TargetMode="External"/><Relationship  Id="rId5680" Type="http://schemas.openxmlformats.org/officeDocument/2006/relationships/hyperlink" Target="http://www.linkedin.com/in/alexandrebillardubibene" TargetMode="External"/><Relationship  Id="rId5681" Type="http://schemas.openxmlformats.org/officeDocument/2006/relationships/hyperlink" Target="http://www.ubi-bene.fr" TargetMode="External"/><Relationship  Id="rId5682" Type="http://schemas.openxmlformats.org/officeDocument/2006/relationships/hyperlink" Target="http://www.linkedin.com/in/magaliquentelreme" TargetMode="External"/><Relationship  Id="rId5683" Type="http://schemas.openxmlformats.org/officeDocument/2006/relationships/hyperlink" Target="http://www.optidigital.com" TargetMode="External"/><Relationship  Id="rId5684" Type="http://schemas.openxmlformats.org/officeDocument/2006/relationships/hyperlink" Target="http://www.linkedin.com/in/louis-leblanc" TargetMode="External"/><Relationship  Id="rId5685" Type="http://schemas.openxmlformats.org/officeDocument/2006/relationships/hyperlink" Target="http://www.anaba.fr" TargetMode="External"/><Relationship  Id="rId5686" Type="http://schemas.openxmlformats.org/officeDocument/2006/relationships/hyperlink" Target="http://www.linkedin.com/in/emmanuel-lavergne" TargetMode="External"/><Relationship  Id="rId5687" Type="http://schemas.openxmlformats.org/officeDocument/2006/relationships/hyperlink" Target="http://www.co-devenir.com" TargetMode="External"/><Relationship  Id="rId5688" Type="http://schemas.openxmlformats.org/officeDocument/2006/relationships/hyperlink" Target="http://www.linkedin.com/in/s%c3%a9bastien-dai-821466121" TargetMode="External"/><Relationship  Id="rId5689" Type="http://schemas.openxmlformats.org/officeDocument/2006/relationships/hyperlink" Target="http://www.a26-digital.com" TargetMode="External"/><Relationship  Id="rId569" Type="http://schemas.openxmlformats.org/officeDocument/2006/relationships/hyperlink" Target="http://www.lebarnhotel.com" TargetMode="External"/><Relationship  Id="rId5690" Type="http://schemas.openxmlformats.org/officeDocument/2006/relationships/hyperlink" Target="http://www.linkedin.com/in/st%c3%a9phane-le-brun-69146257" TargetMode="External"/><Relationship  Id="rId5691" Type="http://schemas.openxmlformats.org/officeDocument/2006/relationships/hyperlink" Target="http://www.tenderfacts.ai" TargetMode="External"/><Relationship  Id="rId5692" Type="http://schemas.openxmlformats.org/officeDocument/2006/relationships/hyperlink" Target="http://www.linkedin.com/in/yannboisseau" TargetMode="External"/><Relationship  Id="rId5693" Type="http://schemas.openxmlformats.org/officeDocument/2006/relationships/hyperlink" Target="http://www.teelt.io" TargetMode="External"/><Relationship  Id="rId5694" Type="http://schemas.openxmlformats.org/officeDocument/2006/relationships/hyperlink" Target="http://www.linkedin.com/in/matthieu-larrere-b79b97a1" TargetMode="External"/><Relationship  Id="rId5695" Type="http://schemas.openxmlformats.org/officeDocument/2006/relationships/hyperlink" Target="http://www.electronie.fr" TargetMode="External"/><Relationship  Id="rId5696" Type="http://schemas.openxmlformats.org/officeDocument/2006/relationships/hyperlink" Target="http://www.linkedin.com/in/dan-khelif-1377a5159" TargetMode="External"/><Relationship  Id="rId5697" Type="http://schemas.openxmlformats.org/officeDocument/2006/relationships/hyperlink" Target="http://www.bsd.co.ke" TargetMode="External"/><Relationship  Id="rId5698" Type="http://schemas.openxmlformats.org/officeDocument/2006/relationships/hyperlink" Target="http://www.linkedin.com/in/theodorec" TargetMode="External"/><Relationship  Id="rId5699" Type="http://schemas.openxmlformats.org/officeDocument/2006/relationships/hyperlink" Target="http://www.thecrossproduct.com" TargetMode="External"/><Relationship  Id="rId57" Type="http://schemas.openxmlformats.org/officeDocument/2006/relationships/hyperlink" Target="http://www.cozycozy.com" TargetMode="External"/><Relationship  Id="rId570" Type="http://schemas.openxmlformats.org/officeDocument/2006/relationships/hyperlink" Target="http://www.linkedin.com/in/aurelien-jemma-10285b" TargetMode="External"/><Relationship  Id="rId5700" Type="http://schemas.openxmlformats.org/officeDocument/2006/relationships/hyperlink" Target="http://www.linkedin.com/in/stephane-desplanques" TargetMode="External"/><Relationship  Id="rId5701" Type="http://schemas.openxmlformats.org/officeDocument/2006/relationships/hyperlink" Target="http://www.actimac.fr" TargetMode="External"/><Relationship  Id="rId5702" Type="http://schemas.openxmlformats.org/officeDocument/2006/relationships/hyperlink" Target="http://www.linkedin.com/in/j%c3%a9r%c3%a9my-gu%c3%a9ry-32449357" TargetMode="External"/><Relationship  Id="rId5703" Type="http://schemas.openxmlformats.org/officeDocument/2006/relationships/hyperlink" Target="http://www.bulwarkstudios.com" TargetMode="External"/><Relationship  Id="rId5704" Type="http://schemas.openxmlformats.org/officeDocument/2006/relationships/hyperlink" Target="http://www.linkedin.com/in/jean-pierre-lopez-40b13855" TargetMode="External"/><Relationship  Id="rId5705" Type="http://schemas.openxmlformats.org/officeDocument/2006/relationships/hyperlink" Target="http://www.tertia.fr" TargetMode="External"/><Relationship  Id="rId5706" Type="http://schemas.openxmlformats.org/officeDocument/2006/relationships/hyperlink" Target="http://www.linkedin.com/in/gilles-granier-9771988" TargetMode="External"/><Relationship  Id="rId5707" Type="http://schemas.openxmlformats.org/officeDocument/2006/relationships/hyperlink" Target="http://www.silverteam.fr" TargetMode="External"/><Relationship  Id="rId5708" Type="http://schemas.openxmlformats.org/officeDocument/2006/relationships/hyperlink" Target="http://www.linkedin.com/in/gregory-bocquenet" TargetMode="External"/><Relationship  Id="rId5709" Type="http://schemas.openxmlformats.org/officeDocument/2006/relationships/hyperlink" Target="http://www.shopmyinfluence.com" TargetMode="External"/><Relationship  Id="rId571" Type="http://schemas.openxmlformats.org/officeDocument/2006/relationships/hyperlink" Target="http://www.likibu.com" TargetMode="External"/><Relationship  Id="rId5710" Type="http://schemas.openxmlformats.org/officeDocument/2006/relationships/hyperlink" Target="http://www.linkedin.com/in/jonathan-l-275a6a41" TargetMode="External"/><Relationship  Id="rId5711" Type="http://schemas.openxmlformats.org/officeDocument/2006/relationships/hyperlink" Target="http://www.samsys.fr" TargetMode="External"/><Relationship  Id="rId5712" Type="http://schemas.openxmlformats.org/officeDocument/2006/relationships/hyperlink" Target="http://www.linkedin.com/in/valentin-joos-495513" TargetMode="External"/><Relationship  Id="rId5713" Type="http://schemas.openxmlformats.org/officeDocument/2006/relationships/hyperlink" Target="http://www.joosnabhan.com" TargetMode="External"/><Relationship  Id="rId5714" Type="http://schemas.openxmlformats.org/officeDocument/2006/relationships/hyperlink" Target="http://www.linkedin.com/in/christophe-meunier-92357023" TargetMode="External"/><Relationship  Id="rId5715" Type="http://schemas.openxmlformats.org/officeDocument/2006/relationships/hyperlink" Target="http://www.humanim.eu" TargetMode="External"/><Relationship  Id="rId5716" Type="http://schemas.openxmlformats.org/officeDocument/2006/relationships/hyperlink" Target="http://www.linkedin.com/in/marioncamborde" TargetMode="External"/><Relationship  Id="rId5717" Type="http://schemas.openxmlformats.org/officeDocument/2006/relationships/hyperlink" Target="http://www.inblocks.io" TargetMode="External"/><Relationship  Id="rId5718" Type="http://schemas.openxmlformats.org/officeDocument/2006/relationships/hyperlink" Target="http://www.linkedin.com/in/thibaut-lejeune" TargetMode="External"/><Relationship  Id="rId5719" Type="http://schemas.openxmlformats.org/officeDocument/2006/relationships/hyperlink" Target="http://www.ikighia.com" TargetMode="External"/><Relationship  Id="rId572" Type="http://schemas.openxmlformats.org/officeDocument/2006/relationships/hyperlink" Target="http://www.linkedin.com/in/davidesseryk" TargetMode="External"/><Relationship  Id="rId5720" Type="http://schemas.openxmlformats.org/officeDocument/2006/relationships/hyperlink" Target="http://www.linkedin.com/in/incredulecraps" TargetMode="External"/><Relationship  Id="rId5721" Type="http://schemas.openxmlformats.org/officeDocument/2006/relationships/hyperlink" Target="http://www.erium.fr" TargetMode="External"/><Relationship  Id="rId5722" Type="http://schemas.openxmlformats.org/officeDocument/2006/relationships/hyperlink" Target="http://www.linkedin.com/in/st%c3%a9phane-lips-1a2a508a" TargetMode="External"/><Relationship  Id="rId5723" Type="http://schemas.openxmlformats.org/officeDocument/2006/relationships/hyperlink" Target="http://www.caeli-energie.com" TargetMode="External"/><Relationship  Id="rId5724" Type="http://schemas.openxmlformats.org/officeDocument/2006/relationships/hyperlink" Target="http://www.linkedin.com/in/thomasrepolt" TargetMode="External"/><Relationship  Id="rId5725" Type="http://schemas.openxmlformats.org/officeDocument/2006/relationships/hyperlink" Target="http://www.simplicite.fr" TargetMode="External"/><Relationship  Id="rId5726" Type="http://schemas.openxmlformats.org/officeDocument/2006/relationships/hyperlink" Target="http://www.linkedin.com/in/vincent-montlahuc-8465574" TargetMode="External"/><Relationship  Id="rId5727" Type="http://schemas.openxmlformats.org/officeDocument/2006/relationships/hyperlink" Target="http://www.eslnetwork.com" TargetMode="External"/><Relationship  Id="rId5728" Type="http://schemas.openxmlformats.org/officeDocument/2006/relationships/hyperlink" Target="http://www.linkedin.com/in/serge-kouyoumjian-1591a32" TargetMode="External"/><Relationship  Id="rId5729" Type="http://schemas.openxmlformats.org/officeDocument/2006/relationships/hyperlink" Target="http://www.ito33.com" TargetMode="External"/><Relationship  Id="rId573" Type="http://schemas.openxmlformats.org/officeDocument/2006/relationships/hyperlink" Target="http://www.hdchospitality.com" TargetMode="External"/><Relationship  Id="rId5730" Type="http://schemas.openxmlformats.org/officeDocument/2006/relationships/hyperlink" Target="http://www.linkedin.com/in/pyotr-petechinski-973b2a1b2" TargetMode="External"/><Relationship  Id="rId5731" Type="http://schemas.openxmlformats.org/officeDocument/2006/relationships/hyperlink" Target="http://www.plus-games.com" TargetMode="External"/><Relationship  Id="rId5732" Type="http://schemas.openxmlformats.org/officeDocument/2006/relationships/hyperlink" Target="http://www.linkedin.com/in/pierre-francisco-7636b197" TargetMode="External"/><Relationship  Id="rId5733" Type="http://schemas.openxmlformats.org/officeDocument/2006/relationships/hyperlink" Target="http://www.doctibike.com" TargetMode="External"/><Relationship  Id="rId5734" Type="http://schemas.openxmlformats.org/officeDocument/2006/relationships/hyperlink" Target="http://www.linkedin.com/in/alexandra-breyne" TargetMode="External"/><Relationship  Id="rId5735" Type="http://schemas.openxmlformats.org/officeDocument/2006/relationships/hyperlink" Target="http://www.motcomptedouble.fr" TargetMode="External"/><Relationship  Id="rId5736" Type="http://schemas.openxmlformats.org/officeDocument/2006/relationships/hyperlink" Target="http://www.linkedin.com/in/fabien-r%c3%a9mond-6b820286" TargetMode="External"/><Relationship  Id="rId5737" Type="http://schemas.openxmlformats.org/officeDocument/2006/relationships/hyperlink" Target="http://www.happy-unity.com" TargetMode="External"/><Relationship  Id="rId5738" Type="http://schemas.openxmlformats.org/officeDocument/2006/relationships/hyperlink" Target="http://www.linkedin.com/in/christophe-villel%c3%a9gier-940870101" TargetMode="External"/><Relationship  Id="rId5739" Type="http://schemas.openxmlformats.org/officeDocument/2006/relationships/hyperlink" Target="http://www.lovingroup.com" TargetMode="External"/><Relationship  Id="rId574" Type="http://schemas.openxmlformats.org/officeDocument/2006/relationships/hyperlink" Target="http://www.linkedin.com/in/karol-lor-12292649" TargetMode="External"/><Relationship  Id="rId5740" Type="http://schemas.openxmlformats.org/officeDocument/2006/relationships/hyperlink" Target="http://www.linkedin.com/in/johan-galliand-b3ab9b29" TargetMode="External"/><Relationship  Id="rId5741" Type="http://schemas.openxmlformats.org/officeDocument/2006/relationships/hyperlink" Target="http://www.acb-groupe.fr" TargetMode="External"/><Relationship  Id="rId5742" Type="http://schemas.openxmlformats.org/officeDocument/2006/relationships/hyperlink" Target="http://www.linkedin.com/in/pascal-leclerc-695140183" TargetMode="External"/><Relationship  Id="rId5743" Type="http://schemas.openxmlformats.org/officeDocument/2006/relationships/hyperlink" Target="http://www.florevie.fr" TargetMode="External"/><Relationship  Id="rId5744" Type="http://schemas.openxmlformats.org/officeDocument/2006/relationships/hyperlink" Target="http://www.linkedin.com/in/charles-dujardin-14948a59" TargetMode="External"/><Relationship  Id="rId5745" Type="http://schemas.openxmlformats.org/officeDocument/2006/relationships/hyperlink" Target="http://www.campionsales.com" TargetMode="External"/><Relationship  Id="rId5746" Type="http://schemas.openxmlformats.org/officeDocument/2006/relationships/hyperlink" Target="http://www.linkedin.com/in/jean-christophe-grousset-39b5a49b" TargetMode="External"/><Relationship  Id="rId5747" Type="http://schemas.openxmlformats.org/officeDocument/2006/relationships/hyperlink" Target="http://www.mepi-france.com" TargetMode="External"/><Relationship  Id="rId5748" Type="http://schemas.openxmlformats.org/officeDocument/2006/relationships/hyperlink" Target="http://www.linkedin.com/in/arthurguelton" TargetMode="External"/><Relationship  Id="rId5749" Type="http://schemas.openxmlformats.org/officeDocument/2006/relationships/hyperlink" Target="http://www.findnorder.com" TargetMode="External"/><Relationship  Id="rId575" Type="http://schemas.openxmlformats.org/officeDocument/2006/relationships/hyperlink" Target="http://www.klimbuphotels.com" TargetMode="External"/><Relationship  Id="rId5750" Type="http://schemas.openxmlformats.org/officeDocument/2006/relationships/hyperlink" Target="http://www.linkedin.com/in/jean-baptiste-laval-467b68112" TargetMode="External"/><Relationship  Id="rId5751" Type="http://schemas.openxmlformats.org/officeDocument/2006/relationships/hyperlink" Target="http://www.enso-groupe.fr" TargetMode="External"/><Relationship  Id="rId5752" Type="http://schemas.openxmlformats.org/officeDocument/2006/relationships/hyperlink" Target="http://www.linkedin.com/in/reza-kaviani-85485342" TargetMode="External"/><Relationship  Id="rId5753" Type="http://schemas.openxmlformats.org/officeDocument/2006/relationships/hyperlink" Target="http://www.opsyre.com" TargetMode="External"/><Relationship  Id="rId5754" Type="http://schemas.openxmlformats.org/officeDocument/2006/relationships/hyperlink" Target="http://www.linkedin.com/in/rodolphe-lanctuit-72850b39" TargetMode="External"/><Relationship  Id="rId5755" Type="http://schemas.openxmlformats.org/officeDocument/2006/relationships/hyperlink" Target="http://www.lanteas.com" TargetMode="External"/><Relationship  Id="rId5756" Type="http://schemas.openxmlformats.org/officeDocument/2006/relationships/hyperlink" Target="http://www.linkedin.com/in/etienne-knapp-839b0a1a3" TargetMode="External"/><Relationship  Id="rId5757" Type="http://schemas.openxmlformats.org/officeDocument/2006/relationships/hyperlink" Target="http://www.bolminprofils.fr" TargetMode="External"/><Relationship  Id="rId5758" Type="http://schemas.openxmlformats.org/officeDocument/2006/relationships/hyperlink" Target="http://www.linkedin.com/in/oguerin" TargetMode="External"/><Relationship  Id="rId5759" Type="http://schemas.openxmlformats.org/officeDocument/2006/relationships/hyperlink" Target="http://www.artik-consulting.com" TargetMode="External"/><Relationship  Id="rId576" Type="http://schemas.openxmlformats.org/officeDocument/2006/relationships/hyperlink" Target="http://www.linkedin.com/in/nicolas-gaudin-500a6352" TargetMode="External"/><Relationship  Id="rId5760" Type="http://schemas.openxmlformats.org/officeDocument/2006/relationships/hyperlink" Target="http://www.linkedin.com/in/felipe-tebar-villar-a33132a4" TargetMode="External"/><Relationship  Id="rId5761" Type="http://schemas.openxmlformats.org/officeDocument/2006/relationships/hyperlink" Target="http://www.exceenis.com" TargetMode="External"/><Relationship  Id="rId5762" Type="http://schemas.openxmlformats.org/officeDocument/2006/relationships/hyperlink" Target="http://www.linkedin.com/in/tom-trn" TargetMode="External"/><Relationship  Id="rId5763" Type="http://schemas.openxmlformats.org/officeDocument/2006/relationships/hyperlink" Target="http://www.nelson-mobility.com" TargetMode="External"/><Relationship  Id="rId5764" Type="http://schemas.openxmlformats.org/officeDocument/2006/relationships/hyperlink" Target="http://www.linkedin.com/in/augustin-doisy" TargetMode="External"/><Relationship  Id="rId5765" Type="http://schemas.openxmlformats.org/officeDocument/2006/relationships/hyperlink" Target="http://www.europe-etudes.com" TargetMode="External"/><Relationship  Id="rId5766" Type="http://schemas.openxmlformats.org/officeDocument/2006/relationships/hyperlink" Target="http://www.linkedin.com/in/jeff-sebrechts" TargetMode="External"/><Relationship  Id="rId5767" Type="http://schemas.openxmlformats.org/officeDocument/2006/relationships/hyperlink" Target="http://www.numix.fr" TargetMode="External"/><Relationship  Id="rId5768" Type="http://schemas.openxmlformats.org/officeDocument/2006/relationships/hyperlink" Target="http://www.linkedin.com/in/massonnat" TargetMode="External"/><Relationship  Id="rId5769" Type="http://schemas.openxmlformats.org/officeDocument/2006/relationships/hyperlink" Target="http://www.horrea.fr" TargetMode="External"/><Relationship  Id="rId577" Type="http://schemas.openxmlformats.org/officeDocument/2006/relationships/hyperlink" Target="http://www.poutinebros.com" TargetMode="External"/><Relationship  Id="rId5770" Type="http://schemas.openxmlformats.org/officeDocument/2006/relationships/hyperlink" Target="http://www.linkedin.com/in/coralie-faesch-04728a207" TargetMode="External"/><Relationship  Id="rId5771" Type="http://schemas.openxmlformats.org/officeDocument/2006/relationships/hyperlink" Target="http://www.equipage-agency.com" TargetMode="External"/><Relationship  Id="rId5772" Type="http://schemas.openxmlformats.org/officeDocument/2006/relationships/hyperlink" Target="http://www.linkedin.com/in/adel-arab-2269a3170" TargetMode="External"/><Relationship  Id="rId5773" Type="http://schemas.openxmlformats.org/officeDocument/2006/relationships/hyperlink" Target="http://www.ivacom.fr" TargetMode="External"/><Relationship  Id="rId5774" Type="http://schemas.openxmlformats.org/officeDocument/2006/relationships/hyperlink" Target="http://www.linkedin.com/in/damien-lemaire-6a54918" TargetMode="External"/><Relationship  Id="rId5775" Type="http://schemas.openxmlformats.org/officeDocument/2006/relationships/hyperlink" Target="http://www.dreamit-astek.fr" TargetMode="External"/><Relationship  Id="rId5776" Type="http://schemas.openxmlformats.org/officeDocument/2006/relationships/hyperlink" Target="http://www.linkedin.com/in/thelacker" TargetMode="External"/><Relationship  Id="rId5777" Type="http://schemas.openxmlformats.org/officeDocument/2006/relationships/hyperlink" Target="http://www.rda.team" TargetMode="External"/><Relationship  Id="rId5778" Type="http://schemas.openxmlformats.org/officeDocument/2006/relationships/hyperlink" Target="http://www.linkedin.com/in/beatrice-barokhel-68b63792" TargetMode="External"/><Relationship  Id="rId5779" Type="http://schemas.openxmlformats.org/officeDocument/2006/relationships/hyperlink" Target="http://www.proconect.fr" TargetMode="External"/><Relationship  Id="rId578" Type="http://schemas.openxmlformats.org/officeDocument/2006/relationships/hyperlink" Target="http://www.linkedin.com/in/maxime-benoit-edgarsuites" TargetMode="External"/><Relationship  Id="rId5780" Type="http://schemas.openxmlformats.org/officeDocument/2006/relationships/hyperlink" Target="http://www.linkedin.com/in/gyj-803900b3" TargetMode="External"/><Relationship  Id="rId5781" Type="http://schemas.openxmlformats.org/officeDocument/2006/relationships/hyperlink" Target="http://www.training-you.fr" TargetMode="External"/><Relationship  Id="rId5782" Type="http://schemas.openxmlformats.org/officeDocument/2006/relationships/hyperlink" Target="http://www.linkedin.com/in/damien-pucheu-5a17a7142" TargetMode="External"/><Relationship  Id="rId5783" Type="http://schemas.openxmlformats.org/officeDocument/2006/relationships/hyperlink" Target="http://www.exordelabs.com" TargetMode="External"/><Relationship  Id="rId5784" Type="http://schemas.openxmlformats.org/officeDocument/2006/relationships/hyperlink" Target="http://www.linkedin.com/in/lajos-benyo-6348a733" TargetMode="External"/><Relationship  Id="rId5785" Type="http://schemas.openxmlformats.org/officeDocument/2006/relationships/hyperlink" Target="http://www.abelya-partners.com" TargetMode="External"/><Relationship  Id="rId5786" Type="http://schemas.openxmlformats.org/officeDocument/2006/relationships/hyperlink" Target="http://www.linkedin.com/in/christian-georges-336131153" TargetMode="External"/><Relationship  Id="rId5787" Type="http://schemas.openxmlformats.org/officeDocument/2006/relationships/hyperlink" Target="http://www.zemper.fr" TargetMode="External"/><Relationship  Id="rId5788" Type="http://schemas.openxmlformats.org/officeDocument/2006/relationships/hyperlink" Target="http://www.linkedin.com/in/odile-davreux-50525482" TargetMode="External"/><Relationship  Id="rId5789" Type="http://schemas.openxmlformats.org/officeDocument/2006/relationships/hyperlink" Target="http://www.resecum.com" TargetMode="External"/><Relationship  Id="rId579" Type="http://schemas.openxmlformats.org/officeDocument/2006/relationships/hyperlink" Target="http://www.linkedin.com/in/jacques-henri-strubel-8651a483" TargetMode="External"/><Relationship  Id="rId5790" Type="http://schemas.openxmlformats.org/officeDocument/2006/relationships/hyperlink" Target="http://www.linkedin.com/in/teresacolombi" TargetMode="External"/><Relationship  Id="rId5791" Type="http://schemas.openxmlformats.org/officeDocument/2006/relationships/hyperlink" Target="http://www.ludotic.com" TargetMode="External"/><Relationship  Id="rId5792" Type="http://schemas.openxmlformats.org/officeDocument/2006/relationships/hyperlink" Target="http://www.linkedin.com/in/cedricborderie" TargetMode="External"/><Relationship  Id="rId5793" Type="http://schemas.openxmlformats.org/officeDocument/2006/relationships/hyperlink" Target="http://www.senso.ai" TargetMode="External"/><Relationship  Id="rId5794" Type="http://schemas.openxmlformats.org/officeDocument/2006/relationships/hyperlink" Target="http://www.linkedin.com/in/laurent-cohen-40485935" TargetMode="External"/><Relationship  Id="rId5795" Type="http://schemas.openxmlformats.org/officeDocument/2006/relationships/hyperlink" Target="http://www.spider-vo.com" TargetMode="External"/><Relationship  Id="rId5796" Type="http://schemas.openxmlformats.org/officeDocument/2006/relationships/hyperlink" Target="http://www.linkedin.com/in/christian-rouchouse" TargetMode="External"/><Relationship  Id="rId5797" Type="http://schemas.openxmlformats.org/officeDocument/2006/relationships/hyperlink" Target="http://www.arco.be" TargetMode="External"/><Relationship  Id="rId5798" Type="http://schemas.openxmlformats.org/officeDocument/2006/relationships/hyperlink" Target="http://www.linkedin.com/in/nathalie-francois-54919227" TargetMode="External"/><Relationship  Id="rId5799" Type="http://schemas.openxmlformats.org/officeDocument/2006/relationships/hyperlink" Target="http://www.myspeaker.fr" TargetMode="External"/><Relationship  Id="rId58" Type="http://schemas.openxmlformats.org/officeDocument/2006/relationships/hyperlink" Target="http://www.linkedin.com/in/bassel-zebib-bb3724157" TargetMode="External"/><Relationship  Id="rId580" Type="http://schemas.openxmlformats.org/officeDocument/2006/relationships/hyperlink" Target="http://www.lalsacien.com" TargetMode="External"/><Relationship  Id="rId5800" Type="http://schemas.openxmlformats.org/officeDocument/2006/relationships/hyperlink" Target="http://www.linkedin.com/in/pierremeesemaecker" TargetMode="External"/><Relationship  Id="rId5801" Type="http://schemas.openxmlformats.org/officeDocument/2006/relationships/hyperlink" Target="http://www.capnor.store" TargetMode="External"/><Relationship  Id="rId5802" Type="http://schemas.openxmlformats.org/officeDocument/2006/relationships/hyperlink" Target="http://www.linkedin.com/in/liloye-molin-32266628" TargetMode="External"/><Relationship  Id="rId5803" Type="http://schemas.openxmlformats.org/officeDocument/2006/relationships/hyperlink" Target="http://www.stratos.club" TargetMode="External"/><Relationship  Id="rId5804" Type="http://schemas.openxmlformats.org/officeDocument/2006/relationships/hyperlink" Target="http://www.linkedin.com/in/jeremygoillot" TargetMode="External"/><Relationship  Id="rId5805" Type="http://schemas.openxmlformats.org/officeDocument/2006/relationships/hyperlink" Target="http://www.themobilefirstcompany.com" TargetMode="External"/><Relationship  Id="rId5806" Type="http://schemas.openxmlformats.org/officeDocument/2006/relationships/hyperlink" Target="http://www.linkedin.com/in/julienguiral" TargetMode="External"/><Relationship  Id="rId5807" Type="http://schemas.openxmlformats.org/officeDocument/2006/relationships/hyperlink" Target="http://monkeypatch.io/" TargetMode="External"/><Relationship  Id="rId5808" Type="http://schemas.openxmlformats.org/officeDocument/2006/relationships/hyperlink" Target="http://www.linkedin.com/in/matcaylet" TargetMode="External"/><Relationship  Id="rId5809" Type="http://schemas.openxmlformats.org/officeDocument/2006/relationships/hyperlink" Target="http://www.monkeypatch.io" TargetMode="External"/><Relationship  Id="rId581" Type="http://schemas.openxmlformats.org/officeDocument/2006/relationships/hyperlink" Target="http://www.linkedin.com/in/aaruchumian" TargetMode="External"/><Relationship  Id="rId5810" Type="http://schemas.openxmlformats.org/officeDocument/2006/relationships/hyperlink" Target="http://www.linkedin.com/in/laurent-mascot-9b275459" TargetMode="External"/><Relationship  Id="rId5811" Type="http://schemas.openxmlformats.org/officeDocument/2006/relationships/hyperlink" Target="http://www.point11.fr" TargetMode="External"/><Relationship  Id="rId5812" Type="http://schemas.openxmlformats.org/officeDocument/2006/relationships/hyperlink" Target="http://www.linkedin.com/in/thomas-radvanyi" TargetMode="External"/><Relationship  Id="rId5813" Type="http://schemas.openxmlformats.org/officeDocument/2006/relationships/hyperlink" Target="http://www.do-pharma.fr" TargetMode="External"/><Relationship  Id="rId5814" Type="http://schemas.openxmlformats.org/officeDocument/2006/relationships/hyperlink" Target="http://www.linkedin.com/in/fabien-monteiro-bb94b5130" TargetMode="External"/><Relationship  Id="rId5815" Type="http://schemas.openxmlformats.org/officeDocument/2006/relationships/hyperlink" Target="http://www.ekost.fr" TargetMode="External"/><Relationship  Id="rId5816" Type="http://schemas.openxmlformats.org/officeDocument/2006/relationships/hyperlink" Target="http://www.linkedin.com/in/fran%c3%a7ois-forest-47046412a" TargetMode="External"/><Relationship  Id="rId5817" Type="http://schemas.openxmlformats.org/officeDocument/2006/relationships/hyperlink" Target="http://www.feedier.com" TargetMode="External"/><Relationship  Id="rId5818" Type="http://schemas.openxmlformats.org/officeDocument/2006/relationships/hyperlink" Target="http://www.linkedin.com/in/alexandremengual" TargetMode="External"/><Relationship  Id="rId5819" Type="http://schemas.openxmlformats.org/officeDocument/2006/relationships/hyperlink" Target="http://www.withinsales.com" TargetMode="External"/><Relationship  Id="rId582" Type="http://schemas.openxmlformats.org/officeDocument/2006/relationships/hyperlink" Target="http://www.linkedin.com/in/celine-meslin-568138172" TargetMode="External"/><Relationship  Id="rId5820" Type="http://schemas.openxmlformats.org/officeDocument/2006/relationships/hyperlink" Target="http://www.linkedin.com/in/nicolaszago" TargetMode="External"/><Relationship  Id="rId5821" Type="http://schemas.openxmlformats.org/officeDocument/2006/relationships/hyperlink" Target="http://www.hoppr.com.au" TargetMode="External"/><Relationship  Id="rId5822" Type="http://schemas.openxmlformats.org/officeDocument/2006/relationships/hyperlink" Target="http://www.linkedin.com/in/voelcker-delphine-893b868" TargetMode="External"/><Relationship  Id="rId5823" Type="http://schemas.openxmlformats.org/officeDocument/2006/relationships/hyperlink" Target="http://www.numerize.com" TargetMode="External"/><Relationship  Id="rId5824" Type="http://schemas.openxmlformats.org/officeDocument/2006/relationships/hyperlink" Target="http://www.linkedin.com/in/matthieuhaubensack-lysint" TargetMode="External"/><Relationship  Id="rId5825" Type="http://schemas.openxmlformats.org/officeDocument/2006/relationships/hyperlink" Target="http://www.lysint.eu" TargetMode="External"/><Relationship  Id="rId5826" Type="http://schemas.openxmlformats.org/officeDocument/2006/relationships/hyperlink" Target="http://www.linkedin.com/in/clairenouet" TargetMode="External"/><Relationship  Id="rId5827" Type="http://schemas.openxmlformats.org/officeDocument/2006/relationships/hyperlink" Target="http://www.pathway.com" TargetMode="External"/><Relationship  Id="rId5828" Type="http://schemas.openxmlformats.org/officeDocument/2006/relationships/hyperlink" Target="http://www.linkedin.com/in/philippe-bruneaut-4bb992150" TargetMode="External"/><Relationship  Id="rId5829" Type="http://schemas.openxmlformats.org/officeDocument/2006/relationships/hyperlink" Target="http://www.axonesys.com" TargetMode="External"/><Relationship  Id="rId583" Type="http://schemas.openxmlformats.org/officeDocument/2006/relationships/hyperlink" Target="http://www.vicartem.fr" TargetMode="External"/><Relationship  Id="rId5830" Type="http://schemas.openxmlformats.org/officeDocument/2006/relationships/hyperlink" Target="http://www.linkedin.com/in/eliott-sarrey" TargetMode="External"/><Relationship  Id="rId5831" Type="http://schemas.openxmlformats.org/officeDocument/2006/relationships/hyperlink" Target="http://www.arago.com" TargetMode="External"/><Relationship  Id="rId5832" Type="http://schemas.openxmlformats.org/officeDocument/2006/relationships/hyperlink" Target="http://www.linkedin.com/in/nicolas-huet-490669a7" TargetMode="External"/><Relationship  Id="rId5833" Type="http://schemas.openxmlformats.org/officeDocument/2006/relationships/hyperlink" Target="http://www.huet-location.fr" TargetMode="External"/><Relationship  Id="rId5834" Type="http://schemas.openxmlformats.org/officeDocument/2006/relationships/hyperlink" Target="http://www.linkedin.com/in/karim-jrad-b398a428" TargetMode="External"/><Relationship  Id="rId5835" Type="http://schemas.openxmlformats.org/officeDocument/2006/relationships/hyperlink" Target="http://www.phenix-electronique.fr" TargetMode="External"/><Relationship  Id="rId5836" Type="http://schemas.openxmlformats.org/officeDocument/2006/relationships/hyperlink" Target="http://www.linkedin.com/in/pierre-yao-22272273" TargetMode="External"/><Relationship  Id="rId5837" Type="http://schemas.openxmlformats.org/officeDocument/2006/relationships/hyperlink" Target="http://www.hygiesolution.com" TargetMode="External"/><Relationship  Id="rId5838" Type="http://schemas.openxmlformats.org/officeDocument/2006/relationships/hyperlink" Target="http://www.linkedin.com/in/karimghalem" TargetMode="External"/><Relationship  Id="rId5839" Type="http://schemas.openxmlformats.org/officeDocument/2006/relationships/hyperlink" Target="http://www.weedoit.digital" TargetMode="External"/><Relationship  Id="rId584" Type="http://schemas.openxmlformats.org/officeDocument/2006/relationships/hyperlink" Target="http://www.linkedin.com/in/elodie-pi%c3%a8ge-135a7a26" TargetMode="External"/><Relationship  Id="rId5840" Type="http://schemas.openxmlformats.org/officeDocument/2006/relationships/hyperlink" Target="http://www.linkedin.com/in/maximedellerie" TargetMode="External"/><Relationship  Id="rId5841" Type="http://schemas.openxmlformats.org/officeDocument/2006/relationships/hyperlink" Target="http://www.spaycial.com" TargetMode="External"/><Relationship  Id="rId5842" Type="http://schemas.openxmlformats.org/officeDocument/2006/relationships/hyperlink" Target="http://www.linkedin.com/in/laurent-bessy-73a2683" TargetMode="External"/><Relationship  Id="rId5843" Type="http://schemas.openxmlformats.org/officeDocument/2006/relationships/hyperlink" Target="http://www.kpa6t.fr" TargetMode="External"/><Relationship  Id="rId5844" Type="http://schemas.openxmlformats.org/officeDocument/2006/relationships/hyperlink" Target="http://www.linkedin.com/in/tianaraza" TargetMode="External"/><Relationship  Id="rId5845" Type="http://schemas.openxmlformats.org/officeDocument/2006/relationships/hyperlink" Target="http://www.eshard.com" TargetMode="External"/><Relationship  Id="rId5846" Type="http://schemas.openxmlformats.org/officeDocument/2006/relationships/hyperlink" Target="http://www.linkedin.com/in/alain-druelles-11a7291b9" TargetMode="External"/><Relationship  Id="rId5847" Type="http://schemas.openxmlformats.org/officeDocument/2006/relationships/hyperlink" Target="http://www.quintetconseil.fr" TargetMode="External"/><Relationship  Id="rId5848" Type="http://schemas.openxmlformats.org/officeDocument/2006/relationships/hyperlink" Target="http://www.linkedin.com/in/thierry-jadot-93962520" TargetMode="External"/><Relationship  Id="rId5849" Type="http://schemas.openxmlformats.org/officeDocument/2006/relationships/hyperlink" Target="http://www.latourmediagroup.co" TargetMode="External"/><Relationship  Id="rId585" Type="http://schemas.openxmlformats.org/officeDocument/2006/relationships/hyperlink" Target="http://www.xn--jeanfranoispiege-jpb.com" TargetMode="External"/><Relationship  Id="rId5850" Type="http://schemas.openxmlformats.org/officeDocument/2006/relationships/hyperlink" Target="http://www.linkedin.com/in/laetitia-routaboul-4338775a" TargetMode="External"/><Relationship  Id="rId5851" Type="http://schemas.openxmlformats.org/officeDocument/2006/relationships/hyperlink" Target="http://www.link-consulting.fr" TargetMode="External"/><Relationship  Id="rId5852" Type="http://schemas.openxmlformats.org/officeDocument/2006/relationships/hyperlink" Target="http://www.linkedin.com/in/florent-chardron-237a92232" TargetMode="External"/><Relationship  Id="rId5853" Type="http://schemas.openxmlformats.org/officeDocument/2006/relationships/hyperlink" Target="http://www.spreadfamily.fr" TargetMode="External"/><Relationship  Id="rId5854" Type="http://schemas.openxmlformats.org/officeDocument/2006/relationships/hyperlink" Target="http://www.linkedin.com/in/ismael-vukovic-7b520554" TargetMode="External"/><Relationship  Id="rId5855" Type="http://schemas.openxmlformats.org/officeDocument/2006/relationships/hyperlink" Target="http://www.lerallyeducoeur.com" TargetMode="External"/><Relationship  Id="rId5856" Type="http://schemas.openxmlformats.org/officeDocument/2006/relationships/hyperlink" Target="http://www.linkedin.com/in/rachid-belaziz-0a393431" TargetMode="External"/><Relationship  Id="rId5857" Type="http://schemas.openxmlformats.org/officeDocument/2006/relationships/hyperlink" Target="http://www.linkedin.com/in/nicolas-fournil-1273384" TargetMode="External"/><Relationship  Id="rId5858" Type="http://schemas.openxmlformats.org/officeDocument/2006/relationships/hyperlink" Target="http://www.eho.link" TargetMode="External"/><Relationship  Id="rId5859" Type="http://schemas.openxmlformats.org/officeDocument/2006/relationships/hyperlink" Target="http://www.linkedin.com/in/xavier-pellet" TargetMode="External"/><Relationship  Id="rId586" Type="http://schemas.openxmlformats.org/officeDocument/2006/relationships/hyperlink" Target="http://www.linkedin.com/in/benjamin-robic-17088232" TargetMode="External"/><Relationship  Id="rId5860" Type="http://schemas.openxmlformats.org/officeDocument/2006/relationships/hyperlink" Target="http://www.behring-waters.com" TargetMode="External"/><Relationship  Id="rId5861" Type="http://schemas.openxmlformats.org/officeDocument/2006/relationships/hyperlink" Target="http://www.linkedin.com/in/emmanuel-billac-393a10179" TargetMode="External"/><Relationship  Id="rId5862" Type="http://schemas.openxmlformats.org/officeDocument/2006/relationships/hyperlink" Target="http://www.capmonetique.com" TargetMode="External"/><Relationship  Id="rId5863" Type="http://schemas.openxmlformats.org/officeDocument/2006/relationships/hyperlink" Target="http://www.linkedin.com/in/haythem-hammami-06129466" TargetMode="External"/><Relationship  Id="rId5864" Type="http://schemas.openxmlformats.org/officeDocument/2006/relationships/hyperlink" Target="http://www.emerya.fr" TargetMode="External"/><Relationship  Id="rId5865" Type="http://schemas.openxmlformats.org/officeDocument/2006/relationships/hyperlink" Target="http://www.linkedin.com/in/marthe-cadart-58a44189" TargetMode="External"/><Relationship  Id="rId5866" Type="http://schemas.openxmlformats.org/officeDocument/2006/relationships/hyperlink" Target="http://www.idoya.fr" TargetMode="External"/><Relationship  Id="rId5867" Type="http://schemas.openxmlformats.org/officeDocument/2006/relationships/hyperlink" Target="http://www.linkedin.com/in/xavier-paour-170b22" TargetMode="External"/><Relationship  Id="rId5868" Type="http://schemas.openxmlformats.org/officeDocument/2006/relationships/hyperlink" Target="http://www.it-logiq.com" TargetMode="External"/><Relationship  Id="rId5869" Type="http://schemas.openxmlformats.org/officeDocument/2006/relationships/hyperlink" Target="http://www.linkedin.com/in/othmane-chafchaouni-952bb2b1" TargetMode="External"/><Relationship  Id="rId587" Type="http://schemas.openxmlformats.org/officeDocument/2006/relationships/hyperlink" Target="http://www.grand-barrail.com" TargetMode="External"/><Relationship  Id="rId5870" Type="http://schemas.openxmlformats.org/officeDocument/2006/relationships/hyperlink" Target="http://www.techsogroup.com" TargetMode="External"/><Relationship  Id="rId5871" Type="http://schemas.openxmlformats.org/officeDocument/2006/relationships/hyperlink" Target="http://www.linkedin.com/in/nizar-said-0b630795" TargetMode="External"/><Relationship  Id="rId5872" Type="http://schemas.openxmlformats.org/officeDocument/2006/relationships/hyperlink" Target="http://www.groupelan.com" TargetMode="External"/><Relationship  Id="rId5873" Type="http://schemas.openxmlformats.org/officeDocument/2006/relationships/hyperlink" Target="http://www.linkedin.com/in/yasoilly" TargetMode="External"/><Relationship  Id="rId5874" Type="http://schemas.openxmlformats.org/officeDocument/2006/relationships/hyperlink" Target="http://www.linkedin.com/in/fabienne-duclos-612928167" TargetMode="External"/><Relationship  Id="rId5875" Type="http://schemas.openxmlformats.org/officeDocument/2006/relationships/hyperlink" Target="http://www.arteva.fr" TargetMode="External"/><Relationship  Id="rId5876" Type="http://schemas.openxmlformats.org/officeDocument/2006/relationships/hyperlink" Target="http://www.linkedin.com/in/rubenfiszel" TargetMode="External"/><Relationship  Id="rId5877" Type="http://schemas.openxmlformats.org/officeDocument/2006/relationships/hyperlink" Target="http://www.windmill.dev" TargetMode="External"/><Relationship  Id="rId5878" Type="http://schemas.openxmlformats.org/officeDocument/2006/relationships/hyperlink" Target="http://www.linkedin.com/in/nathan-bramli" TargetMode="External"/><Relationship  Id="rId5879" Type="http://schemas.openxmlformats.org/officeDocument/2006/relationships/hyperlink" Target="http://www.cyna-it.fr" TargetMode="External"/><Relationship  Id="rId588" Type="http://schemas.openxmlformats.org/officeDocument/2006/relationships/hyperlink" Target="http://www.linkedin.com/in/jean-chrysostome-dumont" TargetMode="External"/><Relationship  Id="rId5880" Type="http://schemas.openxmlformats.org/officeDocument/2006/relationships/hyperlink" Target="http://www.linkedin.com/in/pchastellan" TargetMode="External"/><Relationship  Id="rId5881" Type="http://schemas.openxmlformats.org/officeDocument/2006/relationships/hyperlink" Target="http://www.itda.fr" TargetMode="External"/><Relationship  Id="rId5882" Type="http://schemas.openxmlformats.org/officeDocument/2006/relationships/hyperlink" Target="http://www.linkedin.com/in/noreddine-derkaoui-9b80316" TargetMode="External"/><Relationship  Id="rId5883" Type="http://schemas.openxmlformats.org/officeDocument/2006/relationships/hyperlink" Target="http://www.aristeedata.fr" TargetMode="External"/><Relationship  Id="rId5884" Type="http://schemas.openxmlformats.org/officeDocument/2006/relationships/hyperlink" Target="http://www.linkedin.com/in/tom-callaghan-6468991" TargetMode="External"/><Relationship  Id="rId5885" Type="http://schemas.openxmlformats.org/officeDocument/2006/relationships/hyperlink" Target="http://www.c-risk.com" TargetMode="External"/><Relationship  Id="rId5886" Type="http://schemas.openxmlformats.org/officeDocument/2006/relationships/hyperlink" Target="http://www.linkedin.com/in/tarek-enard-65a809228" TargetMode="External"/><Relationship  Id="rId5887" Type="http://schemas.openxmlformats.org/officeDocument/2006/relationships/hyperlink" Target="http://www.fibre2000.com" TargetMode="External"/><Relationship  Id="rId5888" Type="http://schemas.openxmlformats.org/officeDocument/2006/relationships/hyperlink" Target="http://www.linkedin.com/in/gr%c3%a9gory-journ%c3%a9-babb015" TargetMode="External"/><Relationship  Id="rId5889" Type="http://schemas.openxmlformats.org/officeDocument/2006/relationships/hyperlink" Target="http://www.nurgo-software.com" TargetMode="External"/><Relationship  Id="rId589" Type="http://schemas.openxmlformats.org/officeDocument/2006/relationships/hyperlink" Target="http://www.lescaleroyale.fr" TargetMode="External"/><Relationship  Id="rId5890" Type="http://schemas.openxmlformats.org/officeDocument/2006/relationships/hyperlink" Target="http://www.linkedin.com/in/cyrilhullin" TargetMode="External"/><Relationship  Id="rId5891" Type="http://schemas.openxmlformats.org/officeDocument/2006/relationships/hyperlink" Target="http://www.airnity.com" TargetMode="External"/><Relationship  Id="rId5892" Type="http://schemas.openxmlformats.org/officeDocument/2006/relationships/hyperlink" Target="http://www.linkedin.com/in/olivier-touta-54716213" TargetMode="External"/><Relationship  Id="rId5893" Type="http://schemas.openxmlformats.org/officeDocument/2006/relationships/hyperlink" Target="http://www.data-mindset.fr" TargetMode="External"/><Relationship  Id="rId5894" Type="http://schemas.openxmlformats.org/officeDocument/2006/relationships/hyperlink" Target="http://www.linkedin.com/in/fabio-munaretto-b739462b" TargetMode="External"/><Relationship  Id="rId5895" Type="http://schemas.openxmlformats.org/officeDocument/2006/relationships/hyperlink" Target="http://www.kocliko.co" TargetMode="External"/><Relationship  Id="rId5896" Type="http://schemas.openxmlformats.org/officeDocument/2006/relationships/hyperlink" Target="http://www.linkedin.com/in/richard-liria" TargetMode="External"/><Relationship  Id="rId5897" Type="http://schemas.openxmlformats.org/officeDocument/2006/relationships/hyperlink" Target="http://www.viaaduc.com" TargetMode="External"/><Relationship  Id="rId5898" Type="http://schemas.openxmlformats.org/officeDocument/2006/relationships/hyperlink" Target="http://www.linkedin.com/in/yann-kasay" TargetMode="External"/><Relationship  Id="rId5899" Type="http://schemas.openxmlformats.org/officeDocument/2006/relationships/hyperlink" Target="http://www.jirogasy.com" TargetMode="External"/><Relationship  Id="rId59" Type="http://schemas.openxmlformats.org/officeDocument/2006/relationships/hyperlink" Target="http://www.mezzencore.fr" TargetMode="External"/><Relationship  Id="rId590" Type="http://schemas.openxmlformats.org/officeDocument/2006/relationships/hyperlink" Target="http://www.linkedin.com/in/julietteplailly" TargetMode="External"/><Relationship  Id="rId5900" Type="http://schemas.openxmlformats.org/officeDocument/2006/relationships/hyperlink" Target="http://www.linkedin.com/in/christophe-sam%c3%a9-1606b52b" TargetMode="External"/><Relationship  Id="rId5901" Type="http://schemas.openxmlformats.org/officeDocument/2006/relationships/hyperlink" Target="http://www.in-off.fr" TargetMode="External"/><Relationship  Id="rId5902" Type="http://schemas.openxmlformats.org/officeDocument/2006/relationships/hyperlink" Target="http://www.linkedin.com/in/matthieu-langenfeld" TargetMode="External"/><Relationship  Id="rId5903" Type="http://schemas.openxmlformats.org/officeDocument/2006/relationships/hyperlink" Target="http://www.ipanema-consulting.com" TargetMode="External"/><Relationship  Id="rId5904" Type="http://schemas.openxmlformats.org/officeDocument/2006/relationships/hyperlink" Target="http://www.linkedin.com/in/luca-fixy" TargetMode="External"/><Relationship  Id="rId5905" Type="http://schemas.openxmlformats.org/officeDocument/2006/relationships/hyperlink" Target="http://www.soclecollections.com" TargetMode="External"/><Relationship  Id="rId5906" Type="http://schemas.openxmlformats.org/officeDocument/2006/relationships/hyperlink" Target="http://www.linkedin.com/in/jean-michel-pascal-364a081" TargetMode="External"/><Relationship  Id="rId5907" Type="http://schemas.openxmlformats.org/officeDocument/2006/relationships/hyperlink" Target="http://www.opal-consulting.fr" TargetMode="External"/><Relationship  Id="rId5908" Type="http://schemas.openxmlformats.org/officeDocument/2006/relationships/hyperlink" Target="http://www.linkedin.com/in/bertrand-mary-24568680" TargetMode="External"/><Relationship  Id="rId5909" Type="http://schemas.openxmlformats.org/officeDocument/2006/relationships/hyperlink" Target="http://www.edifia.fr" TargetMode="External"/><Relationship  Id="rId591" Type="http://schemas.openxmlformats.org/officeDocument/2006/relationships/hyperlink" Target="http://www.lesdamestraiteur.fr" TargetMode="External"/><Relationship  Id="rId5910" Type="http://schemas.openxmlformats.org/officeDocument/2006/relationships/hyperlink" Target="http://www.linkedin.com/in/imad-mrani-alaoui-ab422145" TargetMode="External"/><Relationship  Id="rId5911" Type="http://schemas.openxmlformats.org/officeDocument/2006/relationships/hyperlink" Target="http://www.iacom.fr" TargetMode="External"/><Relationship  Id="rId5912" Type="http://schemas.openxmlformats.org/officeDocument/2006/relationships/hyperlink" Target="http://www.linkedin.com/in/vickhayford" TargetMode="External"/><Relationship  Id="rId5913" Type="http://schemas.openxmlformats.org/officeDocument/2006/relationships/hyperlink" Target="http://www.changeonsdallure.fr" TargetMode="External"/><Relationship  Id="rId5914" Type="http://schemas.openxmlformats.org/officeDocument/2006/relationships/hyperlink" Target="http://www.linkedin.com/in/amuntadas" TargetMode="External"/><Relationship  Id="rId5915" Type="http://schemas.openxmlformats.org/officeDocument/2006/relationships/hyperlink" Target="http://www.digitalsalamander.com" TargetMode="External"/><Relationship  Id="rId5916" Type="http://schemas.openxmlformats.org/officeDocument/2006/relationships/hyperlink" Target="http://www.linkedin.com/in/xaviertellier" TargetMode="External"/><Relationship  Id="rId5917" Type="http://schemas.openxmlformats.org/officeDocument/2006/relationships/hyperlink" Target="http://www.perfectogroupe.fr" TargetMode="External"/><Relationship  Id="rId5918" Type="http://schemas.openxmlformats.org/officeDocument/2006/relationships/hyperlink" Target="http://www.linkedin.com/in/guillaumemonteux" TargetMode="External"/><Relationship  Id="rId5919" Type="http://schemas.openxmlformats.org/officeDocument/2006/relationships/hyperlink" Target="http://www.gadsme.com" TargetMode="External"/><Relationship  Id="rId592" Type="http://schemas.openxmlformats.org/officeDocument/2006/relationships/hyperlink" Target="http://www.linkedin.com/in/joris-bauchais-a3a1b391" TargetMode="External"/><Relationship  Id="rId5920" Type="http://schemas.openxmlformats.org/officeDocument/2006/relationships/hyperlink" Target="http://www.linkedin.com/in/olivier-tremeau-01886185" TargetMode="External"/><Relationship  Id="rId5921" Type="http://schemas.openxmlformats.org/officeDocument/2006/relationships/hyperlink" Target="http://www.peinta.com" TargetMode="External"/><Relationship  Id="rId5922" Type="http://schemas.openxmlformats.org/officeDocument/2006/relationships/hyperlink" Target="http://www.linkedin.com/in/pierregirardier" TargetMode="External"/><Relationship  Id="rId5923" Type="http://schemas.openxmlformats.org/officeDocument/2006/relationships/hyperlink" Target="http://www.aidimpact.com" TargetMode="External"/><Relationship  Id="rId5924" Type="http://schemas.openxmlformats.org/officeDocument/2006/relationships/hyperlink" Target="http://www.linkedin.com/in/h%c3%a9l%c3%a8ne-hamadi-03901b5" TargetMode="External"/><Relationship  Id="rId5925" Type="http://schemas.openxmlformats.org/officeDocument/2006/relationships/hyperlink" Target="http://www.agence-bradford.com" TargetMode="External"/><Relationship  Id="rId5926" Type="http://schemas.openxmlformats.org/officeDocument/2006/relationships/hyperlink" Target="http://www.linkedin.com/in/richard-bessis-726a151" TargetMode="External"/><Relationship  Id="rId5927" Type="http://schemas.openxmlformats.org/officeDocument/2006/relationships/hyperlink" Target="http://www.myprm.com" TargetMode="External"/><Relationship  Id="rId5928" Type="http://schemas.openxmlformats.org/officeDocument/2006/relationships/hyperlink" Target="http://www.linkedin.com/in/florent-daniel-377b13bb" TargetMode="External"/><Relationship  Id="rId5929" Type="http://schemas.openxmlformats.org/officeDocument/2006/relationships/hyperlink" Target="http://www.elsylog.com" TargetMode="External"/><Relationship  Id="rId593" Type="http://schemas.openxmlformats.org/officeDocument/2006/relationships/hyperlink" Target="http://www.le-prose.fr" TargetMode="External"/><Relationship  Id="rId5930" Type="http://schemas.openxmlformats.org/officeDocument/2006/relationships/hyperlink" Target="http://www.linkedin.com/in/arnaud-mailloc-0050421a8" TargetMode="External"/><Relationship  Id="rId5931" Type="http://schemas.openxmlformats.org/officeDocument/2006/relationships/hyperlink" Target="http://www.mastertechnologie.fr" TargetMode="External"/><Relationship  Id="rId5932" Type="http://schemas.openxmlformats.org/officeDocument/2006/relationships/hyperlink" Target="http://www.linkedin.com/in/mikaelbes" TargetMode="External"/><Relationship  Id="rId5933" Type="http://schemas.openxmlformats.org/officeDocument/2006/relationships/hyperlink" Target="http://www.doohit.fr" TargetMode="External"/><Relationship  Id="rId5934" Type="http://schemas.openxmlformats.org/officeDocument/2006/relationships/hyperlink" Target="http://www.linkedin.com/in/serge-mariani-1aa4a121b" TargetMode="External"/><Relationship  Id="rId5935" Type="http://schemas.openxmlformats.org/officeDocument/2006/relationships/hyperlink" Target="http://www.erica.fr" TargetMode="External"/><Relationship  Id="rId5936" Type="http://schemas.openxmlformats.org/officeDocument/2006/relationships/hyperlink" Target="http://www.linkedin.com/in/ransu" TargetMode="External"/><Relationship  Id="rId5937" Type="http://schemas.openxmlformats.org/officeDocument/2006/relationships/hyperlink" Target="http://www.tokenbuilder.ai" TargetMode="External"/><Relationship  Id="rId5938" Type="http://schemas.openxmlformats.org/officeDocument/2006/relationships/hyperlink" Target="http://www.linkedin.com/in/fredrobert" TargetMode="External"/><Relationship  Id="rId5939" Type="http://schemas.openxmlformats.org/officeDocument/2006/relationships/hyperlink" Target="http://www.flag.finance" TargetMode="External"/><Relationship  Id="rId594" Type="http://schemas.openxmlformats.org/officeDocument/2006/relationships/hyperlink" Target="http://www.linkedin.com/in/thibaut-fauconnier-0040aba7" TargetMode="External"/><Relationship  Id="rId5940" Type="http://schemas.openxmlformats.org/officeDocument/2006/relationships/hyperlink" Target="http://www.linkedin.com/in/soufian-maat%c3%a9-786b01a4" TargetMode="External"/><Relationship  Id="rId5941" Type="http://schemas.openxmlformats.org/officeDocument/2006/relationships/hyperlink" Target="http://www.oversoc.com" TargetMode="External"/><Relationship  Id="rId5942" Type="http://schemas.openxmlformats.org/officeDocument/2006/relationships/hyperlink" Target="http://www.linkedin.com/in/camille-wanty-1422863a" TargetMode="External"/><Relationship  Id="rId5943" Type="http://schemas.openxmlformats.org/officeDocument/2006/relationships/hyperlink" Target="http://www.bevolta.com" TargetMode="External"/><Relationship  Id="rId5944" Type="http://schemas.openxmlformats.org/officeDocument/2006/relationships/hyperlink" Target="http://www.linkedin.com/in/xavier-teil-b192694" TargetMode="External"/><Relationship  Id="rId5945" Type="http://schemas.openxmlformats.org/officeDocument/2006/relationships/hyperlink" Target="http://www.twise.fr" TargetMode="External"/><Relationship  Id="rId5946" Type="http://schemas.openxmlformats.org/officeDocument/2006/relationships/hyperlink" Target="http://www.linkedin.com/in/%e2%96%ab%ef%b8%8fdavy-douhine%e2%96%ab%ef%b8%8f-6a041b13" TargetMode="External"/><Relationship  Id="rId5947" Type="http://schemas.openxmlformats.org/officeDocument/2006/relationships/hyperlink" Target="http://www.randorisec.fr" TargetMode="External"/><Relationship  Id="rId5948" Type="http://schemas.openxmlformats.org/officeDocument/2006/relationships/hyperlink" Target="http://www.linkedin.com/in/philippe-brunet-53571a1a" TargetMode="External"/><Relationship  Id="rId5949" Type="http://schemas.openxmlformats.org/officeDocument/2006/relationships/hyperlink" Target="http://www.altimax.com" TargetMode="External"/><Relationship  Id="rId595" Type="http://schemas.openxmlformats.org/officeDocument/2006/relationships/hyperlink" Target="http://www.hotel-spa-fairway.com" TargetMode="External"/><Relationship  Id="rId5950" Type="http://schemas.openxmlformats.org/officeDocument/2006/relationships/hyperlink" Target="http://www.linkedin.com/in/pemontabrun" TargetMode="External"/><Relationship  Id="rId5951" Type="http://schemas.openxmlformats.org/officeDocument/2006/relationships/hyperlink" Target="http://www.greenscope.io" TargetMode="External"/><Relationship  Id="rId5952" Type="http://schemas.openxmlformats.org/officeDocument/2006/relationships/hyperlink" Target="http://www.linkedin.com/in/damien-thiaudiere-25042272" TargetMode="External"/><Relationship  Id="rId5953" Type="http://schemas.openxmlformats.org/officeDocument/2006/relationships/hyperlink" Target="http://www.eparts.fr" TargetMode="External"/><Relationship  Id="rId5954" Type="http://schemas.openxmlformats.org/officeDocument/2006/relationships/hyperlink" Target="http://www.linkedin.com/in/philippecouge" TargetMode="External"/><Relationship  Id="rId5955" Type="http://schemas.openxmlformats.org/officeDocument/2006/relationships/hyperlink" Target="http://www.mediaclinic.fr" TargetMode="External"/><Relationship  Id="rId5956" Type="http://schemas.openxmlformats.org/officeDocument/2006/relationships/hyperlink" Target="http://www.linkedin.com/in/renaudmussetta" TargetMode="External"/><Relationship  Id="rId5957" Type="http://schemas.openxmlformats.org/officeDocument/2006/relationships/hyperlink" Target="http://www.medicaleducationcorpus.com" TargetMode="External"/><Relationship  Id="rId5958" Type="http://schemas.openxmlformats.org/officeDocument/2006/relationships/hyperlink" Target="http://www.linkedin.com/in/anselin" TargetMode="External"/><Relationship  Id="rId5959" Type="http://schemas.openxmlformats.org/officeDocument/2006/relationships/hyperlink" Target="http://www.flyingcarscollective.com" TargetMode="External"/><Relationship  Id="rId596" Type="http://schemas.openxmlformats.org/officeDocument/2006/relationships/hyperlink" Target="http://www.linkedin.com/in/antoine-born-53261795" TargetMode="External"/><Relationship  Id="rId5960" Type="http://schemas.openxmlformats.org/officeDocument/2006/relationships/hyperlink" Target="http://www.linkedin.com/in/rudy-assal-08a0a416" TargetMode="External"/><Relationship  Id="rId5961" Type="http://schemas.openxmlformats.org/officeDocument/2006/relationships/hyperlink" Target="http://www.waslight.fr" TargetMode="External"/><Relationship  Id="rId5962" Type="http://schemas.openxmlformats.org/officeDocument/2006/relationships/hyperlink" Target="http://www.linkedin.com/in/patrick-gomez-699746257" TargetMode="External"/><Relationship  Id="rId5963" Type="http://schemas.openxmlformats.org/officeDocument/2006/relationships/hyperlink" Target="http://www.phone-partners.fr" TargetMode="External"/><Relationship  Id="rId5964" Type="http://schemas.openxmlformats.org/officeDocument/2006/relationships/hyperlink" Target="http://www.linkedin.com/in/sam-hassar-b9331784" TargetMode="External"/><Relationship  Id="rId5965" Type="http://schemas.openxmlformats.org/officeDocument/2006/relationships/hyperlink" Target="http://www.random-coffee.com" TargetMode="External"/><Relationship  Id="rId5966" Type="http://schemas.openxmlformats.org/officeDocument/2006/relationships/hyperlink" Target="http://www.linkedin.com/in/sophiegomme" TargetMode="External"/><Relationship  Id="rId5967" Type="http://schemas.openxmlformats.org/officeDocument/2006/relationships/hyperlink" Target="http://www.sogocom.fr" TargetMode="External"/><Relationship  Id="rId5968" Type="http://schemas.openxmlformats.org/officeDocument/2006/relationships/hyperlink" Target="http://www.linkedin.com/in/jean-baptiste-clouard-4208b125" TargetMode="External"/><Relationship  Id="rId5969" Type="http://schemas.openxmlformats.org/officeDocument/2006/relationships/hyperlink" Target="http://www.flowlity.com" TargetMode="External"/><Relationship  Id="rId597" Type="http://schemas.openxmlformats.org/officeDocument/2006/relationships/hyperlink" Target="http://www.hotelclichy.com" TargetMode="External"/><Relationship  Id="rId5970" Type="http://schemas.openxmlformats.org/officeDocument/2006/relationships/hyperlink" Target="http://www.linkedin.com/in/nicolas-chapis-104624" TargetMode="External"/><Relationship  Id="rId5971" Type="http://schemas.openxmlformats.org/officeDocument/2006/relationships/hyperlink" Target="http://www.valthena.com" TargetMode="External"/><Relationship  Id="rId5972" Type="http://schemas.openxmlformats.org/officeDocument/2006/relationships/hyperlink" Target="http://www.linkedin.com/in/andy-mpondo-black-a44184115" TargetMode="External"/><Relationship  Id="rId5973" Type="http://schemas.openxmlformats.org/officeDocument/2006/relationships/hyperlink" Target="http://www.usejimo.com" TargetMode="External"/><Relationship  Id="rId5974" Type="http://schemas.openxmlformats.org/officeDocument/2006/relationships/hyperlink" Target="http://www.linkedin.com/in/nicolas-ferrand-b04ab040" TargetMode="External"/><Relationship  Id="rId5975" Type="http://schemas.openxmlformats.org/officeDocument/2006/relationships/hyperlink" Target="http://www.activit.fr" TargetMode="External"/><Relationship  Id="rId5976" Type="http://schemas.openxmlformats.org/officeDocument/2006/relationships/hyperlink" Target="http://www.linkedin.com/in/gabriel-cirio-2636b0193" TargetMode="External"/><Relationship  Id="rId5977" Type="http://schemas.openxmlformats.org/officeDocument/2006/relationships/hyperlink" Target="http://www.seddi.com" TargetMode="External"/><Relationship  Id="rId5978" Type="http://schemas.openxmlformats.org/officeDocument/2006/relationships/hyperlink" Target="http://www.linkedin.com/in/fabrice-sely-16a32317a" TargetMode="External"/><Relationship  Id="rId5979" Type="http://schemas.openxmlformats.org/officeDocument/2006/relationships/hyperlink" Target="http://www.escobe.com" TargetMode="External"/><Relationship  Id="rId598" Type="http://schemas.openxmlformats.org/officeDocument/2006/relationships/hyperlink" Target="http://www.linkedin.com/in/margot-kielt-5ab589a3" TargetMode="External"/><Relationship  Id="rId5980" Type="http://schemas.openxmlformats.org/officeDocument/2006/relationships/hyperlink" Target="http://www.linkedin.com/in/cindy-spaziani-51546918" TargetMode="External"/><Relationship  Id="rId5981" Type="http://schemas.openxmlformats.org/officeDocument/2006/relationships/hyperlink" Target="http://www.mycoach.pro" TargetMode="External"/><Relationship  Id="rId5982" Type="http://schemas.openxmlformats.org/officeDocument/2006/relationships/hyperlink" Target="http://www.linkedin.com/in/aur%c3%a9lien-l%c3%a9v%c3%aaque-3633606a" TargetMode="External"/><Relationship  Id="rId5983" Type="http://schemas.openxmlformats.org/officeDocument/2006/relationships/hyperlink" Target="http://www.virtuallyz.com" TargetMode="External"/><Relationship  Id="rId5984" Type="http://schemas.openxmlformats.org/officeDocument/2006/relationships/hyperlink" Target="http://www.linkedin.com/in/jacques-pons-b88b91128" TargetMode="External"/><Relationship  Id="rId5985" Type="http://schemas.openxmlformats.org/officeDocument/2006/relationships/hyperlink" Target="http://www.adinvestnetwork.com" TargetMode="External"/><Relationship  Id="rId5986" Type="http://schemas.openxmlformats.org/officeDocument/2006/relationships/hyperlink" Target="http://www.linkedin.com/in/maxime-bonin-23b15a40" TargetMode="External"/><Relationship  Id="rId5987" Type="http://schemas.openxmlformats.org/officeDocument/2006/relationships/hyperlink" Target="http://www.vialife.fr" TargetMode="External"/><Relationship  Id="rId5988" Type="http://schemas.openxmlformats.org/officeDocument/2006/relationships/hyperlink" Target="http://www.linkedin.com/in/aymeric-chevallier-9826294b" TargetMode="External"/><Relationship  Id="rId5989" Type="http://schemas.openxmlformats.org/officeDocument/2006/relationships/hyperlink" Target="http://www.evolioconsulting.fr" TargetMode="External"/><Relationship  Id="rId599" Type="http://schemas.openxmlformats.org/officeDocument/2006/relationships/hyperlink" Target="http://www.hotel-leswann.com" TargetMode="External"/><Relationship  Id="rId5990" Type="http://schemas.openxmlformats.org/officeDocument/2006/relationships/hyperlink" Target="http://www.linkedin.com/in/adrienprioul" TargetMode="External"/><Relationship  Id="rId5991" Type="http://schemas.openxmlformats.org/officeDocument/2006/relationships/hyperlink" Target="http://www.xp.immo" TargetMode="External"/><Relationship  Id="rId5992" Type="http://schemas.openxmlformats.org/officeDocument/2006/relationships/hyperlink" Target="http://www.linkedin.com/in/barbedienne" TargetMode="External"/><Relationship  Id="rId5993" Type="http://schemas.openxmlformats.org/officeDocument/2006/relationships/hyperlink" Target="http://www.whaller.com" TargetMode="External"/><Relationship  Id="rId5994" Type="http://schemas.openxmlformats.org/officeDocument/2006/relationships/hyperlink" Target="http://www.linkedin.com/in/pierre-laporte-b10809176" TargetMode="External"/><Relationship  Id="rId5995" Type="http://schemas.openxmlformats.org/officeDocument/2006/relationships/hyperlink" Target="http://www.pierre-laporte.com" TargetMode="External"/><Relationship  Id="rId5996" Type="http://schemas.openxmlformats.org/officeDocument/2006/relationships/hyperlink" Target="http://www.linkedin.com/in/antoine-rabin-724917114" TargetMode="External"/><Relationship  Id="rId5997" Type="http://schemas.openxmlformats.org/officeDocument/2006/relationships/hyperlink" Target="http://www.dood.com" TargetMode="External"/><Relationship  Id="rId5998" Type="http://schemas.openxmlformats.org/officeDocument/2006/relationships/hyperlink" Target="http://www.linkedin.com/in/pierrick-barraud-a2014921" TargetMode="External"/><Relationship  Id="rId5999" Type="http://schemas.openxmlformats.org/officeDocument/2006/relationships/hyperlink" Target="http://www.cads-up.com" TargetMode="External"/><Relationship  Id="rId6" Type="http://schemas.openxmlformats.org/officeDocument/2006/relationships/hyperlink" Target="http://www.petitvip.com" TargetMode="External"/><Relationship  Id="rId60" Type="http://schemas.openxmlformats.org/officeDocument/2006/relationships/hyperlink" Target="http://www.linkedin.com/in/angelocalabrese" TargetMode="External"/><Relationship  Id="rId600" Type="http://schemas.openxmlformats.org/officeDocument/2006/relationships/hyperlink" Target="http://www.linkedin.com/in/florence-poli" TargetMode="External"/><Relationship  Id="rId6000" Type="http://schemas.openxmlformats.org/officeDocument/2006/relationships/hyperlink" Target="http://www.linkedin.com/in/pascal-goin-267441132" TargetMode="External"/><Relationship  Id="rId6001" Type="http://schemas.openxmlformats.org/officeDocument/2006/relationships/hyperlink" Target="http://www.campus-numerique-montereau.fr" TargetMode="External"/><Relationship  Id="rId6002" Type="http://schemas.openxmlformats.org/officeDocument/2006/relationships/hyperlink" Target="http://www.linkedin.com/in/bmflach" TargetMode="External"/><Relationship  Id="rId6003" Type="http://schemas.openxmlformats.org/officeDocument/2006/relationships/hyperlink" Target="http://www.ksaar.com" TargetMode="External"/><Relationship  Id="rId6004" Type="http://schemas.openxmlformats.org/officeDocument/2006/relationships/hyperlink" Target="http://www.linkedin.com/in/gauthier-pourchet-702094155" TargetMode="External"/><Relationship  Id="rId6005" Type="http://schemas.openxmlformats.org/officeDocument/2006/relationships/hyperlink" Target="http://www.atelierbouvier.com" TargetMode="External"/><Relationship  Id="rId6006" Type="http://schemas.openxmlformats.org/officeDocument/2006/relationships/hyperlink" Target="http://www.linkedin.com/in/cfolleau" TargetMode="External"/><Relationship  Id="rId6007" Type="http://schemas.openxmlformats.org/officeDocument/2006/relationships/hyperlink" Target="http://www.satodev.com" TargetMode="External"/><Relationship  Id="rId6008" Type="http://schemas.openxmlformats.org/officeDocument/2006/relationships/hyperlink" Target="http://www.linkedin.com/in/vburgevin" TargetMode="External"/><Relationship  Id="rId6009" Type="http://schemas.openxmlformats.org/officeDocument/2006/relationships/hyperlink" Target="http://www.overlap-factory.com" TargetMode="External"/><Relationship  Id="rId601" Type="http://schemas.openxmlformats.org/officeDocument/2006/relationships/hyperlink" Target="http://www.hoteldesers-paris.com" TargetMode="External"/><Relationship  Id="rId6010" Type="http://schemas.openxmlformats.org/officeDocument/2006/relationships/hyperlink" Target="http://www.linkedin.com/in/graphissime" TargetMode="External"/><Relationship  Id="rId6011" Type="http://schemas.openxmlformats.org/officeDocument/2006/relationships/hyperlink" Target="http://www.so-linked.com" TargetMode="External"/><Relationship  Id="rId6012" Type="http://schemas.openxmlformats.org/officeDocument/2006/relationships/hyperlink" Target="http://www.linkedin.com/in/rachelbonne" TargetMode="External"/><Relationship  Id="rId6013" Type="http://schemas.openxmlformats.org/officeDocument/2006/relationships/hyperlink" Target="http://www.vrconseil.com" TargetMode="External"/><Relationship  Id="rId6014" Type="http://schemas.openxmlformats.org/officeDocument/2006/relationships/hyperlink" Target="http://www.linkedin.com/in/paul-riberolle-037b4b173" TargetMode="External"/><Relationship  Id="rId6015" Type="http://schemas.openxmlformats.org/officeDocument/2006/relationships/hyperlink" Target="http://www.metalyde.com" TargetMode="External"/><Relationship  Id="rId6016" Type="http://schemas.openxmlformats.org/officeDocument/2006/relationships/hyperlink" Target="http://www.linkedin.com/in/th%c3%a9o-lion-25108812a" TargetMode="External"/><Relationship  Id="rId6017" Type="http://schemas.openxmlformats.org/officeDocument/2006/relationships/hyperlink" Target="http://www.coudac.com" TargetMode="External"/><Relationship  Id="rId6018" Type="http://schemas.openxmlformats.org/officeDocument/2006/relationships/hyperlink" Target="http://www.linkedin.com/in/bernard-fontaine-7a20442b" TargetMode="External"/><Relationship  Id="rId6019" Type="http://schemas.openxmlformats.org/officeDocument/2006/relationships/hyperlink" Target="http://www.interconsult.fr" TargetMode="External"/><Relationship  Id="rId602" Type="http://schemas.openxmlformats.org/officeDocument/2006/relationships/hyperlink" Target="http://parigi.it" TargetMode="External"/><Relationship  Id="rId6020" Type="http://schemas.openxmlformats.org/officeDocument/2006/relationships/hyperlink" Target="http://www.linkedin.com/in/jean-fr%c3%a9d%c3%a9ric-schmitt-07446837" TargetMode="External"/><Relationship  Id="rId6021" Type="http://schemas.openxmlformats.org/officeDocument/2006/relationships/hyperlink" Target="http://www.evol.energy" TargetMode="External"/><Relationship  Id="rId6022" Type="http://schemas.openxmlformats.org/officeDocument/2006/relationships/hyperlink" Target="http://www.linkedin.com/in/paul-menanteau-5307b8109" TargetMode="External"/><Relationship  Id="rId6023" Type="http://schemas.openxmlformats.org/officeDocument/2006/relationships/hyperlink" Target="http://www.getwelcom.com" TargetMode="External"/><Relationship  Id="rId6024" Type="http://schemas.openxmlformats.org/officeDocument/2006/relationships/hyperlink" Target="http://www.linkedin.com/in/grangerdimitri" TargetMode="External"/><Relationship  Id="rId6025" Type="http://schemas.openxmlformats.org/officeDocument/2006/relationships/hyperlink" Target="http://www.thebigwhale.io" TargetMode="External"/><Relationship  Id="rId6026" Type="http://schemas.openxmlformats.org/officeDocument/2006/relationships/hyperlink" Target="http://www.linkedin.com/in/thomas-lautr%c3%a9dou-b19b7597" TargetMode="External"/><Relationship  Id="rId6027" Type="http://schemas.openxmlformats.org/officeDocument/2006/relationships/hyperlink" Target="http://www.theroom.vip" TargetMode="External"/><Relationship  Id="rId6028" Type="http://schemas.openxmlformats.org/officeDocument/2006/relationships/hyperlink" Target="http://www.linkedin.com/in/armen-taghakian" TargetMode="External"/><Relationship  Id="rId6029" Type="http://schemas.openxmlformats.org/officeDocument/2006/relationships/hyperlink" Target="http://www.compozit.fr" TargetMode="External"/><Relationship  Id="rId603" Type="http://schemas.openxmlformats.org/officeDocument/2006/relationships/hyperlink" Target="http://www.linkedin.com/in/olga-d-auria-6a04532a" TargetMode="External"/><Relationship  Id="rId6030" Type="http://schemas.openxmlformats.org/officeDocument/2006/relationships/hyperlink" Target="http://www.linkedin.com/in/jouni-viinikka-4471ba" TargetMode="External"/><Relationship  Id="rId6031" Type="http://schemas.openxmlformats.org/officeDocument/2006/relationships/hyperlink" Target="http://www.6cure.com" TargetMode="External"/><Relationship  Id="rId6032" Type="http://schemas.openxmlformats.org/officeDocument/2006/relationships/hyperlink" Target="http://www.linkedin.com/in/laurent-mullon-98b33815" TargetMode="External"/><Relationship  Id="rId6033" Type="http://schemas.openxmlformats.org/officeDocument/2006/relationships/hyperlink" Target="http://www.creazurpro.com" TargetMode="External"/><Relationship  Id="rId6034" Type="http://schemas.openxmlformats.org/officeDocument/2006/relationships/hyperlink" Target="http://www.linkedin.com/in/s%c3%a9bastien-henrot" TargetMode="External"/><Relationship  Id="rId6035" Type="http://schemas.openxmlformats.org/officeDocument/2006/relationships/hyperlink" Target="http://www.otaree.com" TargetMode="External"/><Relationship  Id="rId6036" Type="http://schemas.openxmlformats.org/officeDocument/2006/relationships/hyperlink" Target="http://www.linkedin.com/in/sylvain-secondy" TargetMode="External"/><Relationship  Id="rId6037" Type="http://schemas.openxmlformats.org/officeDocument/2006/relationships/hyperlink" Target="http://www.bipsoin.fr" TargetMode="External"/><Relationship  Id="rId6038" Type="http://schemas.openxmlformats.org/officeDocument/2006/relationships/hyperlink" Target="http://www.linkedin.com/in/eric-sillegue-132808" TargetMode="External"/><Relationship  Id="rId6039" Type="http://schemas.openxmlformats.org/officeDocument/2006/relationships/hyperlink" Target="http://www.gentleit.fr" TargetMode="External"/><Relationship  Id="rId604" Type="http://schemas.openxmlformats.org/officeDocument/2006/relationships/hyperlink" Target="http://www.parigi.it" TargetMode="External"/><Relationship  Id="rId6040" Type="http://schemas.openxmlformats.org/officeDocument/2006/relationships/hyperlink" Target="http://www.linkedin.com/in/loryanne-taste-43b659b5" TargetMode="External"/><Relationship  Id="rId6041" Type="http://schemas.openxmlformats.org/officeDocument/2006/relationships/hyperlink" Target="http://www.primeig.com.br" TargetMode="External"/><Relationship  Id="rId6042" Type="http://schemas.openxmlformats.org/officeDocument/2006/relationships/hyperlink" Target="http://www.linkedin.com/in/lucas-bucci-476165115" TargetMode="External"/><Relationship  Id="rId6043" Type="http://schemas.openxmlformats.org/officeDocument/2006/relationships/hyperlink" Target="http://www.linkedin.com/in/ny-hakanto-ratrema-jiejrozierj" TargetMode="External"/><Relationship  Id="rId6044" Type="http://schemas.openxmlformats.org/officeDocument/2006/relationships/hyperlink" Target="http://www.ichtus-it.com" TargetMode="External"/><Relationship  Id="rId6045" Type="http://schemas.openxmlformats.org/officeDocument/2006/relationships/hyperlink" Target="http://www.linkedin.com/in/yannick-kohn-38323b4a" TargetMode="External"/><Relationship  Id="rId6046" Type="http://schemas.openxmlformats.org/officeDocument/2006/relationships/hyperlink" Target="http://www.modulo-pi.com" TargetMode="External"/><Relationship  Id="rId6047" Type="http://schemas.openxmlformats.org/officeDocument/2006/relationships/hyperlink" Target="http://www.linkedin.com/in/thomasrayrat" TargetMode="External"/><Relationship  Id="rId6048" Type="http://schemas.openxmlformats.org/officeDocument/2006/relationships/hyperlink" Target="http://www.profileo.com" TargetMode="External"/><Relationship  Id="rId6049" Type="http://schemas.openxmlformats.org/officeDocument/2006/relationships/hyperlink" Target="http://www.linkedin.com/in/thibault-richard-788a7714" TargetMode="External"/><Relationship  Id="rId605" Type="http://schemas.openxmlformats.org/officeDocument/2006/relationships/hyperlink" Target="http://www.linkedin.com/in/paul-m-955112204" TargetMode="External"/><Relationship  Id="rId6050" Type="http://schemas.openxmlformats.org/officeDocument/2006/relationships/hyperlink" Target="http://www.arjuna.fr" TargetMode="External"/><Relationship  Id="rId6051" Type="http://schemas.openxmlformats.org/officeDocument/2006/relationships/hyperlink" Target="http://www.linkedin.com/in/alainleonhard-covline" TargetMode="External"/><Relationship  Id="rId6052" Type="http://schemas.openxmlformats.org/officeDocument/2006/relationships/hyperlink" Target="http://www.covline.com" TargetMode="External"/><Relationship  Id="rId6053" Type="http://schemas.openxmlformats.org/officeDocument/2006/relationships/hyperlink" Target="http://www.linkedin.com/in/david-aicardi" TargetMode="External"/><Relationship  Id="rId6054" Type="http://schemas.openxmlformats.org/officeDocument/2006/relationships/hyperlink" Target="http://www.epicnpoc.com" TargetMode="External"/><Relationship  Id="rId6055" Type="http://schemas.openxmlformats.org/officeDocument/2006/relationships/hyperlink" Target="http://www.linkedin.com/in/philibarr" TargetMode="External"/><Relationship  Id="rId6056" Type="http://schemas.openxmlformats.org/officeDocument/2006/relationships/hyperlink" Target="http://www.b-ready.team" TargetMode="External"/><Relationship  Id="rId6057" Type="http://schemas.openxmlformats.org/officeDocument/2006/relationships/hyperlink" Target="http://www.linkedin.com/in/christophe-orceau-1a8a866" TargetMode="External"/><Relationship  Id="rId6058" Type="http://schemas.openxmlformats.org/officeDocument/2006/relationships/hyperlink" Target="http://www.kurrant.com" TargetMode="External"/><Relationship  Id="rId6059" Type="http://schemas.openxmlformats.org/officeDocument/2006/relationships/hyperlink" Target="http://www.linkedin.com/in/patrick-garnier-4b031617" TargetMode="External"/><Relationship  Id="rId606" Type="http://schemas.openxmlformats.org/officeDocument/2006/relationships/hyperlink" Target="http://www.burgerbreton.com" TargetMode="External"/><Relationship  Id="rId6060" Type="http://schemas.openxmlformats.org/officeDocument/2006/relationships/hyperlink" Target="http://www.pgsoftware.fr" TargetMode="External"/><Relationship  Id="rId6061" Type="http://schemas.openxmlformats.org/officeDocument/2006/relationships/hyperlink" Target="http://www.linkedin.com/in/bdaullmassart" TargetMode="External"/><Relationship  Id="rId6062" Type="http://schemas.openxmlformats.org/officeDocument/2006/relationships/hyperlink" Target="http://www.values-associates.com" TargetMode="External"/><Relationship  Id="rId6063" Type="http://schemas.openxmlformats.org/officeDocument/2006/relationships/hyperlink" Target="http://www.linkedin.com/in/youssef-khnissi-6077815" TargetMode="External"/><Relationship  Id="rId6064" Type="http://schemas.openxmlformats.org/officeDocument/2006/relationships/hyperlink" Target="http://www.futurnet.fr" TargetMode="External"/><Relationship  Id="rId6065" Type="http://schemas.openxmlformats.org/officeDocument/2006/relationships/hyperlink" Target="http://www.linkedin.com/in/antoinegodet" TargetMode="External"/><Relationship  Id="rId6066" Type="http://schemas.openxmlformats.org/officeDocument/2006/relationships/hyperlink" Target="http://www.conviviance.fr" TargetMode="External"/><Relationship  Id="rId6067" Type="http://schemas.openxmlformats.org/officeDocument/2006/relationships/hyperlink" Target="http://www.linkedin.com/in/johan-barri-3659391a8" TargetMode="External"/><Relationship  Id="rId6068" Type="http://schemas.openxmlformats.org/officeDocument/2006/relationships/hyperlink" Target="http://www.jarvi.tech" TargetMode="External"/><Relationship  Id="rId6069" Type="http://schemas.openxmlformats.org/officeDocument/2006/relationships/hyperlink" Target="http://www.linkedin.com/in/gillesmoyse" TargetMode="External"/><Relationship  Id="rId607" Type="http://schemas.openxmlformats.org/officeDocument/2006/relationships/hyperlink" Target="http://www.linkedin.com/in/hugogallou" TargetMode="External"/><Relationship  Id="rId6070" Type="http://schemas.openxmlformats.org/officeDocument/2006/relationships/hyperlink" Target="http://www.recital.ai" TargetMode="External"/><Relationship  Id="rId6071" Type="http://schemas.openxmlformats.org/officeDocument/2006/relationships/hyperlink" Target="http://www.linkedin.com/in/boris-coriol-5639b215" TargetMode="External"/><Relationship  Id="rId6072" Type="http://schemas.openxmlformats.org/officeDocument/2006/relationships/hyperlink" Target="http://www.linkedin.com/in/patric-simo-3163aa15" TargetMode="External"/><Relationship  Id="rId6073" Type="http://schemas.openxmlformats.org/officeDocument/2006/relationships/hyperlink" Target="http://www.kion.co.za" TargetMode="External"/><Relationship  Id="rId6074" Type="http://schemas.openxmlformats.org/officeDocument/2006/relationships/hyperlink" Target="http://www.linkedin.com/in/fr%c3%a9d%c3%a9ric-duchadeuil-1241a229" TargetMode="External"/><Relationship  Id="rId6075" Type="http://schemas.openxmlformats.org/officeDocument/2006/relationships/hyperlink" Target="http://www.auvray-boracay.fr" TargetMode="External"/><Relationship  Id="rId6076" Type="http://schemas.openxmlformats.org/officeDocument/2006/relationships/hyperlink" Target="http://www.linkedin.com/in/mohamed-marouene-3a253211" TargetMode="External"/><Relationship  Id="rId6077" Type="http://schemas.openxmlformats.org/officeDocument/2006/relationships/hyperlink" Target="http://www.sowhen.fr" TargetMode="External"/><Relationship  Id="rId6078" Type="http://schemas.openxmlformats.org/officeDocument/2006/relationships/hyperlink" Target="http://www.linkedin.com/in/romain-dura-b1367547" TargetMode="External"/><Relationship  Id="rId6079" Type="http://schemas.openxmlformats.org/officeDocument/2006/relationships/hyperlink" Target="http://www.aleop.ca" TargetMode="External"/><Relationship  Id="rId608" Type="http://schemas.openxmlformats.org/officeDocument/2006/relationships/hyperlink" Target="http://www.lrdparis.com" TargetMode="External"/><Relationship  Id="rId6080" Type="http://schemas.openxmlformats.org/officeDocument/2006/relationships/hyperlink" Target="http://www.linkedin.com/in/nicolas-mer-18605550" TargetMode="External"/><Relationship  Id="rId6081" Type="http://schemas.openxmlformats.org/officeDocument/2006/relationships/hyperlink" Target="http://www.aatiko.fr" TargetMode="External"/><Relationship  Id="rId6082" Type="http://schemas.openxmlformats.org/officeDocument/2006/relationships/hyperlink" Target="http://www.linkedin.com/in/nicolas-rossini-28995371" TargetMode="External"/><Relationship  Id="rId6083" Type="http://schemas.openxmlformats.org/officeDocument/2006/relationships/hyperlink" Target="http://www.linkedin.com/in/michele-elias-56b496187" TargetMode="External"/><Relationship  Id="rId6084" Type="http://schemas.openxmlformats.org/officeDocument/2006/relationships/hyperlink" Target="http://www.espacemedical93.fr" TargetMode="External"/><Relationship  Id="rId6085" Type="http://schemas.openxmlformats.org/officeDocument/2006/relationships/hyperlink" Target="http://www.linkedin.com/in/nouha-khila-169b83b5" TargetMode="External"/><Relationship  Id="rId6086" Type="http://schemas.openxmlformats.org/officeDocument/2006/relationships/hyperlink" Target="http://www.data-tricks.com" TargetMode="External"/><Relationship  Id="rId6087" Type="http://schemas.openxmlformats.org/officeDocument/2006/relationships/hyperlink" Target="http://www.linkedin.com/in/loicdelagiraudiere" TargetMode="External"/><Relationship  Id="rId6088" Type="http://schemas.openxmlformats.org/officeDocument/2006/relationships/hyperlink" Target="http://www.datama.io" TargetMode="External"/><Relationship  Id="rId6089" Type="http://schemas.openxmlformats.org/officeDocument/2006/relationships/hyperlink" Target="http://www.linkedin.com/in/delphinelau" TargetMode="External"/><Relationship  Id="rId609" Type="http://schemas.openxmlformats.org/officeDocument/2006/relationships/hyperlink" Target="http://www.linkedin.com/in/pierre-menini-b36a9a135" TargetMode="External"/><Relationship  Id="rId6090" Type="http://schemas.openxmlformats.org/officeDocument/2006/relationships/hyperlink" Target="http://www.stooly.fr" TargetMode="External"/><Relationship  Id="rId6091" Type="http://schemas.openxmlformats.org/officeDocument/2006/relationships/hyperlink" Target="http://www.linkedin.com/in/menad-lamini-a5209896" TargetMode="External"/><Relationship  Id="rId6092" Type="http://schemas.openxmlformats.org/officeDocument/2006/relationships/hyperlink" Target="http://www.arcanes.info" TargetMode="External"/><Relationship  Id="rId6093" Type="http://schemas.openxmlformats.org/officeDocument/2006/relationships/hyperlink" Target="http://www.linkedin.com/in/patricehoumault" TargetMode="External"/><Relationship  Id="rId6094" Type="http://schemas.openxmlformats.org/officeDocument/2006/relationships/hyperlink" Target="http://www.houmault.com" TargetMode="External"/><Relationship  Id="rId6095" Type="http://schemas.openxmlformats.org/officeDocument/2006/relationships/hyperlink" Target="http://www.linkedin.com/in/alexandre-paque" TargetMode="External"/><Relationship  Id="rId6096" Type="http://schemas.openxmlformats.org/officeDocument/2006/relationships/hyperlink" Target="http://www.koralplay.com" TargetMode="External"/><Relationship  Id="rId6097" Type="http://schemas.openxmlformats.org/officeDocument/2006/relationships/hyperlink" Target="http://www.linkedin.com/in/matthieurivain" TargetMode="External"/><Relationship  Id="rId6098" Type="http://schemas.openxmlformats.org/officeDocument/2006/relationships/hyperlink" Target="http://www.cryptoexperts.com" TargetMode="External"/><Relationship  Id="rId6099" Type="http://schemas.openxmlformats.org/officeDocument/2006/relationships/hyperlink" Target="http://www.linkedin.com/in/export-com-58a281111" TargetMode="External"/><Relationship  Id="rId61" Type="http://schemas.openxmlformats.org/officeDocument/2006/relationships/hyperlink" Target="http://www.amici.paris" TargetMode="External"/><Relationship  Id="rId610" Type="http://schemas.openxmlformats.org/officeDocument/2006/relationships/hyperlink" Target="http://www.linkedin.com/in/william-rousseau-477909" TargetMode="External"/><Relationship  Id="rId6100" Type="http://schemas.openxmlformats.org/officeDocument/2006/relationships/hyperlink" Target="http://www.loxos.com" TargetMode="External"/><Relationship  Id="rId6101" Type="http://schemas.openxmlformats.org/officeDocument/2006/relationships/hyperlink" Target="http://www.linkedin.com/in/sandrine-ricardo" TargetMode="External"/><Relationship  Id="rId6102" Type="http://schemas.openxmlformats.org/officeDocument/2006/relationships/hyperlink" Target="http://www.pathtech.fr" TargetMode="External"/><Relationship  Id="rId6103" Type="http://schemas.openxmlformats.org/officeDocument/2006/relationships/hyperlink" Target="http://www.linkedin.com/in/raphael-batko" TargetMode="External"/><Relationship  Id="rId6104" Type="http://schemas.openxmlformats.org/officeDocument/2006/relationships/hyperlink" Target="http://www.doyield.com" TargetMode="External"/><Relationship  Id="rId6105" Type="http://schemas.openxmlformats.org/officeDocument/2006/relationships/hyperlink" Target="http://www.linkedin.com/in/julien-loison-5b85ab173" TargetMode="External"/><Relationship  Id="rId6106" Type="http://schemas.openxmlformats.org/officeDocument/2006/relationships/hyperlink" Target="http://www.techcrea.fr" TargetMode="External"/><Relationship  Id="rId6107" Type="http://schemas.openxmlformats.org/officeDocument/2006/relationships/hyperlink" Target="http://www.linkedin.com/in/amandine-deslandes-marseille" TargetMode="External"/><Relationship  Id="rId6108" Type="http://schemas.openxmlformats.org/officeDocument/2006/relationships/hyperlink" Target="http://www.marsail.com" TargetMode="External"/><Relationship  Id="rId6109" Type="http://schemas.openxmlformats.org/officeDocument/2006/relationships/hyperlink" Target="http://www.linkedin.com/in/denis-chaumartin-aba2021" TargetMode="External"/><Relationship  Id="rId611" Type="http://schemas.openxmlformats.org/officeDocument/2006/relationships/hyperlink" Target="http://www.garenne-saint-germain.com" TargetMode="External"/><Relationship  Id="rId6110" Type="http://schemas.openxmlformats.org/officeDocument/2006/relationships/hyperlink" Target="http://www.isotrop.fr" TargetMode="External"/><Relationship  Id="rId6111" Type="http://schemas.openxmlformats.org/officeDocument/2006/relationships/hyperlink" Target="http://www.linkedin.com/in/cedricdeserpos" TargetMode="External"/><Relationship  Id="rId6112" Type="http://schemas.openxmlformats.org/officeDocument/2006/relationships/hyperlink" Target="http://www.novasecur.com" TargetMode="External"/><Relationship  Id="rId6113" Type="http://schemas.openxmlformats.org/officeDocument/2006/relationships/hyperlink" Target="http://www.linkedin.com/in/olivier-boidin-4230361" TargetMode="External"/><Relationship  Id="rId6114" Type="http://schemas.openxmlformats.org/officeDocument/2006/relationships/hyperlink" Target="http://www.myem.fr" TargetMode="External"/><Relationship  Id="rId6115" Type="http://schemas.openxmlformats.org/officeDocument/2006/relationships/hyperlink" Target="http://www.linkedin.com/in/ana-micoud-1b95741" TargetMode="External"/><Relationship  Id="rId6116" Type="http://schemas.openxmlformats.org/officeDocument/2006/relationships/hyperlink" Target="http://www.thewizards.me" TargetMode="External"/><Relationship  Id="rId6117" Type="http://schemas.openxmlformats.org/officeDocument/2006/relationships/hyperlink" Target="http://www.linkedin.com/in/lou-anne-boehm-b34785a3" TargetMode="External"/><Relationship  Id="rId6118" Type="http://schemas.openxmlformats.org/officeDocument/2006/relationships/hyperlink" Target="http://www.maase.fr" TargetMode="External"/><Relationship  Id="rId6119" Type="http://schemas.openxmlformats.org/officeDocument/2006/relationships/hyperlink" Target="http://www.linkedin.com/in/sebastiendelacrose" TargetMode="External"/><Relationship  Id="rId612" Type="http://schemas.openxmlformats.org/officeDocument/2006/relationships/hyperlink" Target="http://www.linkedin.com/in/xavier-o-quin-755606" TargetMode="External"/><Relationship  Id="rId6120" Type="http://schemas.openxmlformats.org/officeDocument/2006/relationships/hyperlink" Target="http://www.sharemundo.com" TargetMode="External"/><Relationship  Id="rId6121" Type="http://schemas.openxmlformats.org/officeDocument/2006/relationships/hyperlink" Target="http://www.linkedin.com/in/helenetilly" TargetMode="External"/><Relationship  Id="rId6122" Type="http://schemas.openxmlformats.org/officeDocument/2006/relationships/hyperlink" Target="http://www.agencebikibiki.com" TargetMode="External"/><Relationship  Id="rId6123" Type="http://schemas.openxmlformats.org/officeDocument/2006/relationships/hyperlink" Target="http://www.linkedin.com/in/jonathanhoryn" TargetMode="External"/><Relationship  Id="rId6124" Type="http://schemas.openxmlformats.org/officeDocument/2006/relationships/hyperlink" Target="http://www.younicorns.io" TargetMode="External"/><Relationship  Id="rId6125" Type="http://schemas.openxmlformats.org/officeDocument/2006/relationships/hyperlink" Target="http://www.linkedin.com/in/philippe-leblanche-9a2ba657" TargetMode="External"/><Relationship  Id="rId6126" Type="http://schemas.openxmlformats.org/officeDocument/2006/relationships/hyperlink" Target="http://www.audelor.com" TargetMode="External"/><Relationship  Id="rId6127" Type="http://schemas.openxmlformats.org/officeDocument/2006/relationships/hyperlink" Target="http://www.linkedin.com/in/francois-d%c3%a9trez-26714b17" TargetMode="External"/><Relationship  Id="rId6128" Type="http://schemas.openxmlformats.org/officeDocument/2006/relationships/hyperlink" Target="http://www.hacanthe.com" TargetMode="External"/><Relationship  Id="rId6129" Type="http://schemas.openxmlformats.org/officeDocument/2006/relationships/hyperlink" Target="http://www.linkedin.com/in/christophe-aslanian-b933881aa" TargetMode="External"/><Relationship  Id="rId613" Type="http://schemas.openxmlformats.org/officeDocument/2006/relationships/hyperlink" Target="http://www.linkedin.com/in/frederic-berthy-52635b14" TargetMode="External"/><Relationship  Id="rId6130" Type="http://schemas.openxmlformats.org/officeDocument/2006/relationships/hyperlink" Target="http://www.phiseo.fr" TargetMode="External"/><Relationship  Id="rId6131" Type="http://schemas.openxmlformats.org/officeDocument/2006/relationships/hyperlink" Target="http://www.linkedin.com/in/hazem-hamrouni-390ab5158" TargetMode="External"/><Relationship  Id="rId6132" Type="http://schemas.openxmlformats.org/officeDocument/2006/relationships/hyperlink" Target="http://www.hi-interns.com" TargetMode="External"/><Relationship  Id="rId6133" Type="http://schemas.openxmlformats.org/officeDocument/2006/relationships/hyperlink" Target="http://www.linkedin.com/in/val%c3%a9rie-hameau-b4b666a" TargetMode="External"/><Relationship  Id="rId6134" Type="http://schemas.openxmlformats.org/officeDocument/2006/relationships/hyperlink" Target="http://www.dixxit.fr" TargetMode="External"/><Relationship  Id="rId6135" Type="http://schemas.openxmlformats.org/officeDocument/2006/relationships/hyperlink" Target="http://www.linkedin.com/in/florian-lizee-252a1b145" TargetMode="External"/><Relationship  Id="rId6136" Type="http://schemas.openxmlformats.org/officeDocument/2006/relationships/hyperlink" Target="http://www.servimac.fr" TargetMode="External"/><Relationship  Id="rId6137" Type="http://schemas.openxmlformats.org/officeDocument/2006/relationships/hyperlink" Target="http://www.linkedin.com/in/beatrice-chasle-3b75ab4" TargetMode="External"/><Relationship  Id="rId6138" Type="http://schemas.openxmlformats.org/officeDocument/2006/relationships/hyperlink" Target="http://www.systemgie.fr" TargetMode="External"/><Relationship  Id="rId6139" Type="http://schemas.openxmlformats.org/officeDocument/2006/relationships/hyperlink" Target="http://www.linkedin.com/in/martinlaval" TargetMode="External"/><Relationship  Id="rId614" Type="http://schemas.openxmlformats.org/officeDocument/2006/relationships/hyperlink" Target="http://www.odette-paris.com" TargetMode="External"/><Relationship  Id="rId6140" Type="http://schemas.openxmlformats.org/officeDocument/2006/relationships/hyperlink" Target="http://www.data-vibes.com" TargetMode="External"/><Relationship  Id="rId6141" Type="http://schemas.openxmlformats.org/officeDocument/2006/relationships/hyperlink" Target="http://www.linkedin.com/in/mebsout" TargetMode="External"/><Relationship  Id="rId6142" Type="http://schemas.openxmlformats.org/officeDocument/2006/relationships/hyperlink" Target="http://www.functori.com" TargetMode="External"/><Relationship  Id="rId6143" Type="http://schemas.openxmlformats.org/officeDocument/2006/relationships/hyperlink" Target="http://www.linkedin.com/in/riaexpert" TargetMode="External"/><Relationship  Id="rId6144" Type="http://schemas.openxmlformats.org/officeDocument/2006/relationships/hyperlink" Target="http://www.numericway.net" TargetMode="External"/><Relationship  Id="rId6145" Type="http://schemas.openxmlformats.org/officeDocument/2006/relationships/hyperlink" Target="http://www.linkedin.com/in/nicolas-paquet-0423253" TargetMode="External"/><Relationship  Id="rId6146" Type="http://schemas.openxmlformats.org/officeDocument/2006/relationships/hyperlink" Target="http://www.haxoneo.com" TargetMode="External"/><Relationship  Id="rId6147" Type="http://schemas.openxmlformats.org/officeDocument/2006/relationships/hyperlink" Target="http://www.linkedin.com/in/dr-caroline-atlani-01682713" TargetMode="External"/><Relationship  Id="rId6148" Type="http://schemas.openxmlformats.org/officeDocument/2006/relationships/hyperlink" Target="http://www.diampark.io" TargetMode="External"/><Relationship  Id="rId6149" Type="http://schemas.openxmlformats.org/officeDocument/2006/relationships/hyperlink" Target="http://www.linkedin.com/in/celso-de-azevedo-ph-d-57a2367" TargetMode="External"/><Relationship  Id="rId615" Type="http://schemas.openxmlformats.org/officeDocument/2006/relationships/hyperlink" Target="http://www.linkedin.com/in/marie-giordano-34a948102" TargetMode="External"/><Relationship  Id="rId6150" Type="http://schemas.openxmlformats.org/officeDocument/2006/relationships/hyperlink" Target="http://www.assetsman.com" TargetMode="External"/><Relationship  Id="rId6151" Type="http://schemas.openxmlformats.org/officeDocument/2006/relationships/hyperlink" Target="http://www.linkedin.com/in/albanroquigny" TargetMode="External"/><Relationship  Id="rId6152" Type="http://schemas.openxmlformats.org/officeDocument/2006/relationships/hyperlink" Target="http://www.bcc-conseil.com" TargetMode="External"/><Relationship  Id="rId6153" Type="http://schemas.openxmlformats.org/officeDocument/2006/relationships/hyperlink" Target="http://www.linkedin.com/in/jeanbaptistelendrin-executive-coach-ceo-comex-codir-dirigeant-transition" TargetMode="External"/><Relationship  Id="rId6154" Type="http://schemas.openxmlformats.org/officeDocument/2006/relationships/hyperlink" Target="http://www.issho-partners.com" TargetMode="External"/><Relationship  Id="rId6155" Type="http://schemas.openxmlformats.org/officeDocument/2006/relationships/hyperlink" Target="http://www.linkedin.com/in/fr%c3%a9d%c3%a9ric-guilleux-7b3555199" TargetMode="External"/><Relationship  Id="rId6156" Type="http://schemas.openxmlformats.org/officeDocument/2006/relationships/hyperlink" Target="http://www.ze-box.io" TargetMode="External"/><Relationship  Id="rId6157" Type="http://schemas.openxmlformats.org/officeDocument/2006/relationships/hyperlink" Target="http://www.linkedin.com/in/r%c3%a9mi-guyot-81036170" TargetMode="External"/><Relationship  Id="rId6158" Type="http://schemas.openxmlformats.org/officeDocument/2006/relationships/hyperlink" Target="http://www.cidi.fr" TargetMode="External"/><Relationship  Id="rId6159" Type="http://schemas.openxmlformats.org/officeDocument/2006/relationships/hyperlink" Target="http://www.linkedin.com/in/rodolphe-pennanec-64024b" TargetMode="External"/><Relationship  Id="rId616" Type="http://schemas.openxmlformats.org/officeDocument/2006/relationships/hyperlink" Target="http://www.linkedin.com/in/hugues-bouchard-59051517" TargetMode="External"/><Relationship  Id="rId6160" Type="http://schemas.openxmlformats.org/officeDocument/2006/relationships/hyperlink" Target="http://www.sedere.com" TargetMode="External"/><Relationship  Id="rId6161" Type="http://schemas.openxmlformats.org/officeDocument/2006/relationships/hyperlink" Target="http://www.linkedin.com/in/houssemabidi" TargetMode="External"/><Relationship  Id="rId6162" Type="http://schemas.openxmlformats.org/officeDocument/2006/relationships/hyperlink" Target="http://www.crafteam.io" TargetMode="External"/><Relationship  Id="rId6163" Type="http://schemas.openxmlformats.org/officeDocument/2006/relationships/hyperlink" Target="http://www.linkedin.com/in/olivier-marc-040905141" TargetMode="External"/><Relationship  Id="rId6164" Type="http://schemas.openxmlformats.org/officeDocument/2006/relationships/hyperlink" Target="http://www.virtualys.fr" TargetMode="External"/><Relationship  Id="rId6165" Type="http://schemas.openxmlformats.org/officeDocument/2006/relationships/hyperlink" Target="http://www.linkedin.com/in/laurent-giolitti-a7474b7a" TargetMode="External"/><Relationship  Id="rId6166" Type="http://schemas.openxmlformats.org/officeDocument/2006/relationships/hyperlink" Target="http://www.airtelis.com" TargetMode="External"/><Relationship  Id="rId6167" Type="http://schemas.openxmlformats.org/officeDocument/2006/relationships/hyperlink" Target="http://www.linkedin.com/in/lorenzi" TargetMode="External"/><Relationship  Id="rId6168" Type="http://schemas.openxmlformats.org/officeDocument/2006/relationships/hyperlink" Target="http://www.scyllage.com" TargetMode="External"/><Relationship  Id="rId6169" Type="http://schemas.openxmlformats.org/officeDocument/2006/relationships/hyperlink" Target="http://www.linkedin.com/in/adrien-du-repaire-7b2a9094" TargetMode="External"/><Relationship  Id="rId617" Type="http://schemas.openxmlformats.org/officeDocument/2006/relationships/hyperlink" Target="http://www.burger-fries.com" TargetMode="External"/><Relationship  Id="rId6170" Type="http://schemas.openxmlformats.org/officeDocument/2006/relationships/hyperlink" Target="http://www.danim.com" TargetMode="External"/><Relationship  Id="rId6171" Type="http://schemas.openxmlformats.org/officeDocument/2006/relationships/hyperlink" Target="http://www.linkedin.com/in/fperruchot" TargetMode="External"/><Relationship  Id="rId6172" Type="http://schemas.openxmlformats.org/officeDocument/2006/relationships/hyperlink" Target="http://www.quobly.io" TargetMode="External"/><Relationship  Id="rId6173" Type="http://schemas.openxmlformats.org/officeDocument/2006/relationships/hyperlink" Target="http://www.linkedin.com/in/randy-ralijaona-108195106" TargetMode="External"/><Relationship  Id="rId6174" Type="http://schemas.openxmlformats.org/officeDocument/2006/relationships/hyperlink" Target="http://www.aloen.ai" TargetMode="External"/><Relationship  Id="rId6175" Type="http://schemas.openxmlformats.org/officeDocument/2006/relationships/hyperlink" Target="http://www.linkedin.com/in/fran%c3%a7ois-largeteau-b5b5a4261" TargetMode="External"/><Relationship  Id="rId6176" Type="http://schemas.openxmlformats.org/officeDocument/2006/relationships/hyperlink" Target="http://www.freya-games.com" TargetMode="External"/><Relationship  Id="rId6177" Type="http://schemas.openxmlformats.org/officeDocument/2006/relationships/hyperlink" Target="http://www.linkedin.com/in/barbazanges" TargetMode="External"/><Relationship  Id="rId6178" Type="http://schemas.openxmlformats.org/officeDocument/2006/relationships/hyperlink" Target="http://www.senar.io" TargetMode="External"/><Relationship  Id="rId6179" Type="http://schemas.openxmlformats.org/officeDocument/2006/relationships/hyperlink" Target="http://www.linkedin.com/in/eric-jeanroy-855644b0" TargetMode="External"/><Relationship  Id="rId618" Type="http://schemas.openxmlformats.org/officeDocument/2006/relationships/hyperlink" Target="http://www.linkedin.com/in/sophiejourno" TargetMode="External"/><Relationship  Id="rId6180" Type="http://schemas.openxmlformats.org/officeDocument/2006/relationships/hyperlink" Target="http://www.groupe-anagra.com" TargetMode="External"/><Relationship  Id="rId6181" Type="http://schemas.openxmlformats.org/officeDocument/2006/relationships/hyperlink" Target="http://www.linkedin.com/in/gu%c3%a9nol%c3%a9-bras-9b21b410a" TargetMode="External"/><Relationship  Id="rId6182" Type="http://schemas.openxmlformats.org/officeDocument/2006/relationships/hyperlink" Target="http://www.adaxis.eu" TargetMode="External"/><Relationship  Id="rId6183" Type="http://schemas.openxmlformats.org/officeDocument/2006/relationships/hyperlink" Target="http://www.linkedin.com/in/pierre-olivier-bouvry-25b38586" TargetMode="External"/><Relationship  Id="rId6184" Type="http://schemas.openxmlformats.org/officeDocument/2006/relationships/hyperlink" Target="http://www.ecoinpack.com" TargetMode="External"/><Relationship  Id="rId6185" Type="http://schemas.openxmlformats.org/officeDocument/2006/relationships/hyperlink" Target="http://www.linkedin.com/in/didier-belet-b56b05138" TargetMode="External"/><Relationship  Id="rId6186" Type="http://schemas.openxmlformats.org/officeDocument/2006/relationships/hyperlink" Target="http://www.euromedia.fr" TargetMode="External"/><Relationship  Id="rId6187" Type="http://schemas.openxmlformats.org/officeDocument/2006/relationships/hyperlink" Target="http://www.linkedin.com/in/valentinchaput" TargetMode="External"/><Relationship  Id="rId6188" Type="http://schemas.openxmlformats.org/officeDocument/2006/relationships/hyperlink" Target="http://www.opensourcepolitics.eu" TargetMode="External"/><Relationship  Id="rId6189" Type="http://schemas.openxmlformats.org/officeDocument/2006/relationships/hyperlink" Target="http://www.linkedin.com/in/pierrepignault" TargetMode="External"/><Relationship  Id="rId619" Type="http://schemas.openxmlformats.org/officeDocument/2006/relationships/hyperlink" Target="http://www.privededessert.com" TargetMode="External"/><Relationship  Id="rId6190" Type="http://schemas.openxmlformats.org/officeDocument/2006/relationships/hyperlink" Target="http://www.mailsoar.com" TargetMode="External"/><Relationship  Id="rId6191" Type="http://schemas.openxmlformats.org/officeDocument/2006/relationships/hyperlink" Target="http://www.linkedin.com/in/khaled-dassouki-b9175213" TargetMode="External"/><Relationship  Id="rId6192" Type="http://schemas.openxmlformats.org/officeDocument/2006/relationships/hyperlink" Target="http://www.ubilityai.com" TargetMode="External"/><Relationship  Id="rId6193" Type="http://schemas.openxmlformats.org/officeDocument/2006/relationships/hyperlink" Target="http://www.linkedin.com/in/pierre-bruneval-32a0aa56" TargetMode="External"/><Relationship  Id="rId6194" Type="http://schemas.openxmlformats.org/officeDocument/2006/relationships/hyperlink" Target="http://www.fullops.io" TargetMode="External"/><Relationship  Id="rId6195" Type="http://schemas.openxmlformats.org/officeDocument/2006/relationships/hyperlink" Target="http://www.linkedin.com/in/ferrer-jeremy" TargetMode="External"/><Relationship  Id="rId6196" Type="http://schemas.openxmlformats.org/officeDocument/2006/relationships/hyperlink" Target="http://www.buymadeeasy.com" TargetMode="External"/><Relationship  Id="rId6197" Type="http://schemas.openxmlformats.org/officeDocument/2006/relationships/hyperlink" Target="http://www.linkedin.com/in/philippe-rousselet-4933531" TargetMode="External"/><Relationship  Id="rId6198" Type="http://schemas.openxmlformats.org/officeDocument/2006/relationships/hyperlink" Target="http://www.otipass.com" TargetMode="External"/><Relationship  Id="rId6199" Type="http://schemas.openxmlformats.org/officeDocument/2006/relationships/hyperlink" Target="http://www.linkedin.com/in/christophe-florio-b1526b5a" TargetMode="External"/><Relationship  Id="rId62" Type="http://schemas.openxmlformats.org/officeDocument/2006/relationships/hyperlink" Target="http://www.linkedin.com/in/richard-perdriel" TargetMode="External"/><Relationship  Id="rId620" Type="http://schemas.openxmlformats.org/officeDocument/2006/relationships/hyperlink" Target="http://www.linkedin.com/in/thomas-jamet-a14853" TargetMode="External"/><Relationship  Id="rId6200" Type="http://schemas.openxmlformats.org/officeDocument/2006/relationships/hyperlink" Target="http://www.neoaxess.com" TargetMode="External"/><Relationship  Id="rId6201" Type="http://schemas.openxmlformats.org/officeDocument/2006/relationships/hyperlink" Target="http://www.linkedin.com/in/gilles-delaporte-5a8401" TargetMode="External"/><Relationship  Id="rId6202" Type="http://schemas.openxmlformats.org/officeDocument/2006/relationships/hyperlink" Target="http://www.elzeard.co" TargetMode="External"/><Relationship  Id="rId6203" Type="http://schemas.openxmlformats.org/officeDocument/2006/relationships/hyperlink" Target="http://www.linkedin.com/in/marie-bellocq-87343b119" TargetMode="External"/><Relationship  Id="rId6204" Type="http://schemas.openxmlformats.org/officeDocument/2006/relationships/hyperlink" Target="http://www.share-it.io" TargetMode="External"/><Relationship  Id="rId6205" Type="http://schemas.openxmlformats.org/officeDocument/2006/relationships/hyperlink" Target="http://www.linkedin.com/in/fabien-guilleux" TargetMode="External"/><Relationship  Id="rId6206" Type="http://schemas.openxmlformats.org/officeDocument/2006/relationships/hyperlink" Target="http://www.wedig.fr" TargetMode="External"/><Relationship  Id="rId6207" Type="http://schemas.openxmlformats.org/officeDocument/2006/relationships/hyperlink" Target="http://www.linkedin.com/in/olivier-bessin-17b70a61" TargetMode="External"/><Relationship  Id="rId6208" Type="http://schemas.openxmlformats.org/officeDocument/2006/relationships/hyperlink" Target="http://www.adi-logements.fr" TargetMode="External"/><Relationship  Id="rId6209" Type="http://schemas.openxmlformats.org/officeDocument/2006/relationships/hyperlink" Target="http://www.linkedin.com/in/guilhem-menard-%f0%9f%99%86%f0%9f%8f%bb%e2%80%8d%e2%99%82%ef%b8%8f-a702326b" TargetMode="External"/><Relationship  Id="rId621" Type="http://schemas.openxmlformats.org/officeDocument/2006/relationships/hyperlink" Target="http://www.linkedin.com/in/florent-piard-aaa00217" TargetMode="External"/><Relationship  Id="rId6210" Type="http://schemas.openxmlformats.org/officeDocument/2006/relationships/hyperlink" Target="http://www.linkedin.com/in/thierry-durieux-3561546" TargetMode="External"/><Relationship  Id="rId6211" Type="http://schemas.openxmlformats.org/officeDocument/2006/relationships/hyperlink" Target="http://www.equadex.net" TargetMode="External"/><Relationship  Id="rId6212" Type="http://schemas.openxmlformats.org/officeDocument/2006/relationships/hyperlink" Target="http://www.linkedin.com/in/jaouad-benichou-9191b91b" TargetMode="External"/><Relationship  Id="rId6213" Type="http://schemas.openxmlformats.org/officeDocument/2006/relationships/hyperlink" Target="http://www.keiken-digital.com" TargetMode="External"/><Relationship  Id="rId6214" Type="http://schemas.openxmlformats.org/officeDocument/2006/relationships/hyperlink" Target="http://www.linkedin.com/in/zafer-kara-supanotch" TargetMode="External"/><Relationship  Id="rId6215" Type="http://schemas.openxmlformats.org/officeDocument/2006/relationships/hyperlink" Target="http://www.supanotch.com" TargetMode="External"/><Relationship  Id="rId6216" Type="http://schemas.openxmlformats.org/officeDocument/2006/relationships/hyperlink" Target="http://www.linkedin.com/in/jeremy-tellaa" TargetMode="External"/><Relationship  Id="rId6217" Type="http://schemas.openxmlformats.org/officeDocument/2006/relationships/hyperlink" Target="http://www.metalgear.xyz" TargetMode="External"/><Relationship  Id="rId6218" Type="http://schemas.openxmlformats.org/officeDocument/2006/relationships/hyperlink" Target="http://www.linkedin.com/in/quentin-vernet-9a7263137" TargetMode="External"/><Relationship  Id="rId6219" Type="http://schemas.openxmlformats.org/officeDocument/2006/relationships/hyperlink" Target="http://www.objectif7.fr" TargetMode="External"/><Relationship  Id="rId622" Type="http://schemas.openxmlformats.org/officeDocument/2006/relationships/hyperlink" Target="http://www.lesresistants.fr" TargetMode="External"/><Relationship  Id="rId6220" Type="http://schemas.openxmlformats.org/officeDocument/2006/relationships/hyperlink" Target="http://www.linkedin.com/in/luukdejonge" TargetMode="External"/><Relationship  Id="rId6221" Type="http://schemas.openxmlformats.org/officeDocument/2006/relationships/hyperlink" Target="http://www.getcontrast.io" TargetMode="External"/><Relationship  Id="rId6222" Type="http://schemas.openxmlformats.org/officeDocument/2006/relationships/hyperlink" Target="http://www.linkedin.com/in/nathalie-tomas-534b9a21" TargetMode="External"/><Relationship  Id="rId6223" Type="http://schemas.openxmlformats.org/officeDocument/2006/relationships/hyperlink" Target="http://www.purplereality.fr" TargetMode="External"/><Relationship  Id="rId6224" Type="http://schemas.openxmlformats.org/officeDocument/2006/relationships/hyperlink" Target="http://www.linkedin.com/in/jn-martin" TargetMode="External"/><Relationship  Id="rId6225" Type="http://schemas.openxmlformats.org/officeDocument/2006/relationships/hyperlink" Target="http://www.mentalworks.fr" TargetMode="External"/><Relationship  Id="rId6226" Type="http://schemas.openxmlformats.org/officeDocument/2006/relationships/hyperlink" Target="http://www.linkedin.com/in/avinash-sondhi-b9a16737" TargetMode="External"/><Relationship  Id="rId6227" Type="http://schemas.openxmlformats.org/officeDocument/2006/relationships/hyperlink" Target="http://www.jobsonsight.org" TargetMode="External"/><Relationship  Id="rId6228" Type="http://schemas.openxmlformats.org/officeDocument/2006/relationships/hyperlink" Target="http://www.linkedin.com/in/vianney-martin-9818b71" TargetMode="External"/><Relationship  Id="rId6229" Type="http://schemas.openxmlformats.org/officeDocument/2006/relationships/hyperlink" Target="http://www.asitix.fr" TargetMode="External"/><Relationship  Id="rId623" Type="http://schemas.openxmlformats.org/officeDocument/2006/relationships/hyperlink" Target="http://www.linkedin.com/in/marine-balmont-5b3a2274" TargetMode="External"/><Relationship  Id="rId6230" Type="http://schemas.openxmlformats.org/officeDocument/2006/relationships/hyperlink" Target="http://www.linkedin.com/in/consultant-seo-sea" TargetMode="External"/><Relationship  Id="rId6231" Type="http://schemas.openxmlformats.org/officeDocument/2006/relationships/hyperlink" Target="http://www.mentormarketing.fr" TargetMode="External"/><Relationship  Id="rId6232" Type="http://schemas.openxmlformats.org/officeDocument/2006/relationships/hyperlink" Target="http://www.linkedin.com/in/benjamin-parmentier-6905b844" TargetMode="External"/><Relationship  Id="rId6233" Type="http://schemas.openxmlformats.org/officeDocument/2006/relationships/hyperlink" Target="http://www.inokufu.com" TargetMode="External"/><Relationship  Id="rId6234" Type="http://schemas.openxmlformats.org/officeDocument/2006/relationships/hyperlink" Target="http://www.linkedin.com/in/jerometoucheboeuf" TargetMode="External"/><Relationship  Id="rId6235" Type="http://schemas.openxmlformats.org/officeDocument/2006/relationships/hyperlink" Target="http://www.linkedin.com/in/olivier-lowczyk-76710848" TargetMode="External"/><Relationship  Id="rId6236" Type="http://schemas.openxmlformats.org/officeDocument/2006/relationships/hyperlink" Target="http://www.autonomii.fr" TargetMode="External"/><Relationship  Id="rId6237" Type="http://schemas.openxmlformats.org/officeDocument/2006/relationships/hyperlink" Target="http://societeinfo.com/" TargetMode="External"/><Relationship  Id="rId6238" Type="http://schemas.openxmlformats.org/officeDocument/2006/relationships/hyperlink" Target="http://www.linkedin.com/in/antoine-onnen-4376242" TargetMode="External"/><Relationship  Id="rId6239" Type="http://schemas.openxmlformats.org/officeDocument/2006/relationships/hyperlink" Target="http://www.societeinfo.com" TargetMode="External"/><Relationship  Id="rId624" Type="http://schemas.openxmlformats.org/officeDocument/2006/relationships/hyperlink" Target="http://www.yeuz-slicecoffee.com" TargetMode="External"/><Relationship  Id="rId6240" Type="http://schemas.openxmlformats.org/officeDocument/2006/relationships/hyperlink" Target="http://www.linkedin.com/in/gr%c3%a9gori-jambert-89654b26" TargetMode="External"/><Relationship  Id="rId6241" Type="http://schemas.openxmlformats.org/officeDocument/2006/relationships/hyperlink" Target="http://www.beteam.fr" TargetMode="External"/><Relationship  Id="rId6242" Type="http://schemas.openxmlformats.org/officeDocument/2006/relationships/hyperlink" Target="http://www.linkedin.com/in/julie-marschner-94906832" TargetMode="External"/><Relationship  Id="rId6243" Type="http://schemas.openxmlformats.org/officeDocument/2006/relationships/hyperlink" Target="http://www.lovell-consulting.com" TargetMode="External"/><Relationship  Id="rId6244" Type="http://schemas.openxmlformats.org/officeDocument/2006/relationships/hyperlink" Target="http://www.linkedin.com/in/erwan-le-saux" TargetMode="External"/><Relationship  Id="rId6245" Type="http://schemas.openxmlformats.org/officeDocument/2006/relationships/hyperlink" Target="http://www.atouts-handicap.com" TargetMode="External"/><Relationship  Id="rId6246" Type="http://schemas.openxmlformats.org/officeDocument/2006/relationships/hyperlink" Target="http://www.linkedin.com/in/octave-locqueville-a01395203" TargetMode="External"/><Relationship  Id="rId6247" Type="http://schemas.openxmlformats.org/officeDocument/2006/relationships/hyperlink" Target="http://www.linkedin.com/in/xavier-maillot-2b02a848" TargetMode="External"/><Relationship  Id="rId6248" Type="http://schemas.openxmlformats.org/officeDocument/2006/relationships/hyperlink" Target="http://www.aa-partners.com" TargetMode="External"/><Relationship  Id="rId6249" Type="http://schemas.openxmlformats.org/officeDocument/2006/relationships/hyperlink" Target="http://www.linkedin.com/in/antoine-dutranois-3575212b" TargetMode="External"/><Relationship  Id="rId625" Type="http://schemas.openxmlformats.org/officeDocument/2006/relationships/hyperlink" Target="http://www.linkedin.com/in/soufiane-lakhfif" TargetMode="External"/><Relationship  Id="rId6250" Type="http://schemas.openxmlformats.org/officeDocument/2006/relationships/hyperlink" Target="http://www.abil-it.fr" TargetMode="External"/><Relationship  Id="rId6251" Type="http://schemas.openxmlformats.org/officeDocument/2006/relationships/hyperlink" Target="http://www.linkedin.com/in/alexis-renou-85a93329b" TargetMode="External"/><Relationship  Id="rId6252" Type="http://schemas.openxmlformats.org/officeDocument/2006/relationships/hyperlink" Target="http://www.infocob-solutions.com" TargetMode="External"/><Relationship  Id="rId6253" Type="http://schemas.openxmlformats.org/officeDocument/2006/relationships/hyperlink" Target="http://www.linkedin.com/in/fr%c3%a9d%c3%a9ric-gilliard-75282048" TargetMode="External"/><Relationship  Id="rId6254" Type="http://schemas.openxmlformats.org/officeDocument/2006/relationships/hyperlink" Target="http://www.zucchetti.fr" TargetMode="External"/><Relationship  Id="rId6255" Type="http://schemas.openxmlformats.org/officeDocument/2006/relationships/hyperlink" Target="http://www.linkedin.com/in/benoitjeanvoine" TargetMode="External"/><Relationship  Id="rId6256" Type="http://schemas.openxmlformats.org/officeDocument/2006/relationships/hyperlink" Target="http://www.linkedin.com/in/bahimeslem" TargetMode="External"/><Relationship  Id="rId6257" Type="http://schemas.openxmlformats.org/officeDocument/2006/relationships/hyperlink" Target="http://www.rcdevs.com" TargetMode="External"/><Relationship  Id="rId6258" Type="http://schemas.openxmlformats.org/officeDocument/2006/relationships/hyperlink" Target="http://www.linkedin.com/in/sylvainlebon" TargetMode="External"/><Relationship  Id="rId6259" Type="http://schemas.openxmlformats.org/officeDocument/2006/relationships/hyperlink" Target="http://www.startinblox.com" TargetMode="External"/><Relationship  Id="rId626" Type="http://schemas.openxmlformats.org/officeDocument/2006/relationships/hyperlink" Target="http://www.utelys.fr" TargetMode="External"/><Relationship  Id="rId6260" Type="http://schemas.openxmlformats.org/officeDocument/2006/relationships/hyperlink" Target="http://www.linkedin.com/in/r%c3%a9mi-maillard-4a12a648" TargetMode="External"/><Relationship  Id="rId6261" Type="http://schemas.openxmlformats.org/officeDocument/2006/relationships/hyperlink" Target="http://www.iconet.fr" TargetMode="External"/><Relationship  Id="rId6262" Type="http://schemas.openxmlformats.org/officeDocument/2006/relationships/hyperlink" Target="http://www.linkedin.com/in/mariondarnet" TargetMode="External"/><Relationship  Id="rId6263" Type="http://schemas.openxmlformats.org/officeDocument/2006/relationships/hyperlink" Target="http://www.pachamama.pm" TargetMode="External"/><Relationship  Id="rId6264" Type="http://schemas.openxmlformats.org/officeDocument/2006/relationships/hyperlink" Target="http://search-factory.fr/" TargetMode="External"/><Relationship  Id="rId6265" Type="http://schemas.openxmlformats.org/officeDocument/2006/relationships/hyperlink" Target="http://www.linkedin.com/in/quentin-pareyn-111a3548" TargetMode="External"/><Relationship  Id="rId6266" Type="http://schemas.openxmlformats.org/officeDocument/2006/relationships/hyperlink" Target="http://www.search-factory.fr" TargetMode="External"/><Relationship  Id="rId6267" Type="http://schemas.openxmlformats.org/officeDocument/2006/relationships/hyperlink" Target="http://www.linkedin.com/in/benjamin-beaudouin-44214b14" TargetMode="External"/><Relationship  Id="rId6268" Type="http://schemas.openxmlformats.org/officeDocument/2006/relationships/hyperlink" Target="http://www.my-kiwi.fr" TargetMode="External"/><Relationship  Id="rId6269" Type="http://schemas.openxmlformats.org/officeDocument/2006/relationships/hyperlink" Target="http://www.linkedin.com/in/mehdi-khouchoua-11812461" TargetMode="External"/><Relationship  Id="rId627" Type="http://schemas.openxmlformats.org/officeDocument/2006/relationships/hyperlink" Target="http://www.linkedin.com/in/omnichannelspecialist" TargetMode="External"/><Relationship  Id="rId6270" Type="http://schemas.openxmlformats.org/officeDocument/2006/relationships/hyperlink" Target="http://www.unit-consulting.fr" TargetMode="External"/><Relationship  Id="rId6271" Type="http://schemas.openxmlformats.org/officeDocument/2006/relationships/hyperlink" Target="http://www.linkedin.com/in/arnaud-lejeune-909409" TargetMode="External"/><Relationship  Id="rId6272" Type="http://schemas.openxmlformats.org/officeDocument/2006/relationships/hyperlink" Target="http://www.docoon.com" TargetMode="External"/><Relationship  Id="rId6273" Type="http://schemas.openxmlformats.org/officeDocument/2006/relationships/hyperlink" Target="http://www.linkedin.com/in/emmanuel-audige-77029a1" TargetMode="External"/><Relationship  Id="rId6274" Type="http://schemas.openxmlformats.org/officeDocument/2006/relationships/hyperlink" Target="http://www.stop.fr" TargetMode="External"/><Relationship  Id="rId6275" Type="http://schemas.openxmlformats.org/officeDocument/2006/relationships/hyperlink" Target="http://www.linkedin.com/in/eric-ginoux-9236a2" TargetMode="External"/><Relationship  Id="rId6276" Type="http://schemas.openxmlformats.org/officeDocument/2006/relationships/hyperlink" Target="http://www.lifeandsoft.com" TargetMode="External"/><Relationship  Id="rId6277" Type="http://schemas.openxmlformats.org/officeDocument/2006/relationships/hyperlink" Target="http://www.linkedin.com/in/julientrombini" TargetMode="External"/><Relationship  Id="rId6278" Type="http://schemas.openxmlformats.org/officeDocument/2006/relationships/hyperlink" Target="http://www.two-i.com" TargetMode="External"/><Relationship  Id="rId6279" Type="http://schemas.openxmlformats.org/officeDocument/2006/relationships/hyperlink" Target="http://www.linkedin.com/in/yannlequinio" TargetMode="External"/><Relationship  Id="rId628" Type="http://schemas.openxmlformats.org/officeDocument/2006/relationships/hyperlink" Target="http://www.linkedin.com/in/clotilde-gilbert-a698a393" TargetMode="External"/><Relationship  Id="rId6280" Type="http://schemas.openxmlformats.org/officeDocument/2006/relationships/hyperlink" Target="http://www.touch-sell.com" TargetMode="External"/><Relationship  Id="rId6281" Type="http://schemas.openxmlformats.org/officeDocument/2006/relationships/hyperlink" Target="http://www.linkedin.com/in/marinchampenois" TargetMode="External"/><Relationship  Id="rId6282" Type="http://schemas.openxmlformats.org/officeDocument/2006/relationships/hyperlink" Target="http://www.upandcharge.com" TargetMode="External"/><Relationship  Id="rId6283" Type="http://schemas.openxmlformats.org/officeDocument/2006/relationships/hyperlink" Target="http://www.linkedin.com/in/gary-nataf-93600a25" TargetMode="External"/><Relationship  Id="rId6284" Type="http://schemas.openxmlformats.org/officeDocument/2006/relationships/hyperlink" Target="http://www.ngsec.ru" TargetMode="External"/><Relationship  Id="rId6285" Type="http://schemas.openxmlformats.org/officeDocument/2006/relationships/hyperlink" Target="http://www.linkedin.com/in/jean-michel-l-4084aa133" TargetMode="External"/><Relationship  Id="rId6286" Type="http://schemas.openxmlformats.org/officeDocument/2006/relationships/hyperlink" Target="http://www.grandir-nature.com" TargetMode="External"/><Relationship  Id="rId6287" Type="http://schemas.openxmlformats.org/officeDocument/2006/relationships/hyperlink" Target="http://www.linkedin.com/in/dalila-watts-3067452b" TargetMode="External"/><Relationship  Id="rId6288" Type="http://schemas.openxmlformats.org/officeDocument/2006/relationships/hyperlink" Target="http://www.echoline.fr" TargetMode="External"/><Relationship  Id="rId6289" Type="http://schemas.openxmlformats.org/officeDocument/2006/relationships/hyperlink" Target="http://www.linkedin.com/in/amaury-celier-72601424" TargetMode="External"/><Relationship  Id="rId629" Type="http://schemas.openxmlformats.org/officeDocument/2006/relationships/hyperlink" Target="http://www.linkedin.com/in/tonton-gaudrey-6555b512b" TargetMode="External"/><Relationship  Id="rId6290" Type="http://schemas.openxmlformats.org/officeDocument/2006/relationships/hyperlink" Target="http://www.sidekicks.cc" TargetMode="External"/><Relationship  Id="rId6291" Type="http://schemas.openxmlformats.org/officeDocument/2006/relationships/hyperlink" Target="http://www.linkedin.com/in/gwenaelle-lafrance-766027137" TargetMode="External"/><Relationship  Id="rId6292" Type="http://schemas.openxmlformats.org/officeDocument/2006/relationships/hyperlink" Target="http://www.scapartois.fr" TargetMode="External"/><Relationship  Id="rId6293" Type="http://schemas.openxmlformats.org/officeDocument/2006/relationships/hyperlink" Target="http://www.linkedin.com/in/maxime-sendorek-336830b5" TargetMode="External"/><Relationship  Id="rId6294" Type="http://schemas.openxmlformats.org/officeDocument/2006/relationships/hyperlink" Target="http://www.batvoice.com" TargetMode="External"/><Relationship  Id="rId6295" Type="http://schemas.openxmlformats.org/officeDocument/2006/relationships/hyperlink" Target="http://www.linkedin.com/in/matthieu-corcin-79574938" TargetMode="External"/><Relationship  Id="rId6296" Type="http://schemas.openxmlformats.org/officeDocument/2006/relationships/hyperlink" Target="http://www.goodsesame.com" TargetMode="External"/><Relationship  Id="rId6297" Type="http://schemas.openxmlformats.org/officeDocument/2006/relationships/hyperlink" Target="http://www.linkedin.com/in/marina-rouill%c3%a9-242272142" TargetMode="External"/><Relationship  Id="rId6298" Type="http://schemas.openxmlformats.org/officeDocument/2006/relationships/hyperlink" Target="http://www.onwi.fr" TargetMode="External"/><Relationship  Id="rId6299" Type="http://schemas.openxmlformats.org/officeDocument/2006/relationships/hyperlink" Target="http://www.linkedin.com/in/hmrawat" TargetMode="External"/><Relationship  Id="rId63" Type="http://schemas.openxmlformats.org/officeDocument/2006/relationships/hyperlink" Target="http://www.richardshotdog.com" TargetMode="External"/><Relationship  Id="rId630" Type="http://schemas.openxmlformats.org/officeDocument/2006/relationships/hyperlink" Target="http://www.lestontonsafro.fr" TargetMode="External"/><Relationship  Id="rId6300" Type="http://schemas.openxmlformats.org/officeDocument/2006/relationships/hyperlink" Target="http://www.mylingo.io" TargetMode="External"/><Relationship  Id="rId6301" Type="http://schemas.openxmlformats.org/officeDocument/2006/relationships/hyperlink" Target="http://www.linkedin.com/in/kevinserou" TargetMode="External"/><Relationship  Id="rId6302" Type="http://schemas.openxmlformats.org/officeDocument/2006/relationships/hyperlink" Target="http://www.defit.com" TargetMode="External"/><Relationship  Id="rId6303" Type="http://schemas.openxmlformats.org/officeDocument/2006/relationships/hyperlink" Target="http://www.linkedin.com/in/aminebeyaoui" TargetMode="External"/><Relationship  Id="rId6304" Type="http://schemas.openxmlformats.org/officeDocument/2006/relationships/hyperlink" Target="http://www.netwarx.com" TargetMode="External"/><Relationship  Id="rId6305" Type="http://schemas.openxmlformats.org/officeDocument/2006/relationships/hyperlink" Target="http://www.linkedin.com/in/sylvain-gillant-a19616283" TargetMode="External"/><Relationship  Id="rId6306" Type="http://schemas.openxmlformats.org/officeDocument/2006/relationships/hyperlink" Target="http://www.equipeur.fr" TargetMode="External"/><Relationship  Id="rId6307" Type="http://schemas.openxmlformats.org/officeDocument/2006/relationships/hyperlink" Target="http://www.linkedin.com/in/bruno-baillarguet" TargetMode="External"/><Relationship  Id="rId6308" Type="http://schemas.openxmlformats.org/officeDocument/2006/relationships/hyperlink" Target="http://www.vignobles-et-chateaux.com" TargetMode="External"/><Relationship  Id="rId6309" Type="http://schemas.openxmlformats.org/officeDocument/2006/relationships/hyperlink" Target="http://www.linkedin.com/in/adesbats" TargetMode="External"/><Relationship  Id="rId631" Type="http://schemas.openxmlformats.org/officeDocument/2006/relationships/hyperlink" Target="http://www.linkedin.com/in/mike-delfieu-083634aa" TargetMode="External"/><Relationship  Id="rId6310" Type="http://schemas.openxmlformats.org/officeDocument/2006/relationships/hyperlink" Target="http://www.ressources-et-changement.com" TargetMode="External"/><Relationship  Id="rId6311" Type="http://schemas.openxmlformats.org/officeDocument/2006/relationships/hyperlink" Target="http://www.linkedin.com/in/aline-corda-0b7198238" TargetMode="External"/><Relationship  Id="rId6312" Type="http://schemas.openxmlformats.org/officeDocument/2006/relationships/hyperlink" Target="http://www.linkedin.com/in/marc-morin-0a44b1a" TargetMode="External"/><Relationship  Id="rId6313" Type="http://schemas.openxmlformats.org/officeDocument/2006/relationships/hyperlink" Target="http://www.conexsante.com" TargetMode="External"/><Relationship  Id="rId6314" Type="http://schemas.openxmlformats.org/officeDocument/2006/relationships/hyperlink" Target="http://www.linkedin.com/in/mike-bouccara-6a731a61" TargetMode="External"/><Relationship  Id="rId6315" Type="http://schemas.openxmlformats.org/officeDocument/2006/relationships/hyperlink" Target="http://www.sauvage111.com" TargetMode="External"/><Relationship  Id="rId6316" Type="http://schemas.openxmlformats.org/officeDocument/2006/relationships/hyperlink" Target="http://tiilt.io/" TargetMode="External"/><Relationship  Id="rId6317" Type="http://schemas.openxmlformats.org/officeDocument/2006/relationships/hyperlink" Target="http://www.linkedin.com/in/lou-chardin-tiilt" TargetMode="External"/><Relationship  Id="rId6318" Type="http://schemas.openxmlformats.org/officeDocument/2006/relationships/hyperlink" Target="http://www.tiilt.io" TargetMode="External"/><Relationship  Id="rId6319" Type="http://schemas.openxmlformats.org/officeDocument/2006/relationships/hyperlink" Target="http://www.linkedin.com/in/catherine-deverdun-17959b244" TargetMode="External"/><Relationship  Id="rId632" Type="http://schemas.openxmlformats.org/officeDocument/2006/relationships/hyperlink" Target="http://www.lesdelicesdupetitbois.fr" TargetMode="External"/><Relationship  Id="rId6320" Type="http://schemas.openxmlformats.org/officeDocument/2006/relationships/hyperlink" Target="http://www.x-log.fr" TargetMode="External"/><Relationship  Id="rId6321" Type="http://schemas.openxmlformats.org/officeDocument/2006/relationships/hyperlink" Target="http://www.linkedin.com/in/fr%c3%a9d%c3%a9ric-liotard-31678910" TargetMode="External"/><Relationship  Id="rId6322" Type="http://schemas.openxmlformats.org/officeDocument/2006/relationships/hyperlink" Target="http://www.groupeactive.com" TargetMode="External"/><Relationship  Id="rId6323" Type="http://schemas.openxmlformats.org/officeDocument/2006/relationships/hyperlink" Target="http://www.linkedin.com/in/noyan-bilge-316a0780" TargetMode="External"/><Relationship  Id="rId6324" Type="http://schemas.openxmlformats.org/officeDocument/2006/relationships/hyperlink" Target="http://www.klartai.com" TargetMode="External"/><Relationship  Id="rId6325" Type="http://schemas.openxmlformats.org/officeDocument/2006/relationships/hyperlink" Target="http://www.linkedin.com/in/jean-claude-herry-83470a11" TargetMode="External"/><Relationship  Id="rId6326" Type="http://schemas.openxmlformats.org/officeDocument/2006/relationships/hyperlink" Target="http://www.ipama.fr" TargetMode="External"/><Relationship  Id="rId6327" Type="http://schemas.openxmlformats.org/officeDocument/2006/relationships/hyperlink" Target="http://www.linkedin.com/in/dbrachet" TargetMode="External"/><Relationship  Id="rId6328" Type="http://schemas.openxmlformats.org/officeDocument/2006/relationships/hyperlink" Target="http://www.citylinx.com" TargetMode="External"/><Relationship  Id="rId6329" Type="http://schemas.openxmlformats.org/officeDocument/2006/relationships/hyperlink" Target="http://www.linkedin.com/in/michaelnakam" TargetMode="External"/><Relationship  Id="rId633" Type="http://schemas.openxmlformats.org/officeDocument/2006/relationships/hyperlink" Target="http://www.linkedin.com/in/guyboulo" TargetMode="External"/><Relationship  Id="rId6330" Type="http://schemas.openxmlformats.org/officeDocument/2006/relationships/hyperlink" Target="http://www.linkedin.com/in/giani-navette" TargetMode="External"/><Relationship  Id="rId6331" Type="http://schemas.openxmlformats.org/officeDocument/2006/relationships/hyperlink" Target="http://www.logia-inc.com" TargetMode="External"/><Relationship  Id="rId6332" Type="http://schemas.openxmlformats.org/officeDocument/2006/relationships/hyperlink" Target="http://www.linkedin.com/in/dominique-girard-007590152" TargetMode="External"/><Relationship  Id="rId6333" Type="http://schemas.openxmlformats.org/officeDocument/2006/relationships/hyperlink" Target="http://www.adee.fr" TargetMode="External"/><Relationship  Id="rId6334" Type="http://schemas.openxmlformats.org/officeDocument/2006/relationships/hyperlink" Target="http://www.linkedin.com/in/dominique-bigot-6b82058" TargetMode="External"/><Relationship  Id="rId6335" Type="http://schemas.openxmlformats.org/officeDocument/2006/relationships/hyperlink" Target="http://www.abonite.fr" TargetMode="External"/><Relationship  Id="rId6336" Type="http://schemas.openxmlformats.org/officeDocument/2006/relationships/hyperlink" Target="http://www.linkedin.com/in/anne-dominique-aug%c3%a8s-vagnard-581a3a7b" TargetMode="External"/><Relationship  Id="rId6337" Type="http://schemas.openxmlformats.org/officeDocument/2006/relationships/hyperlink" Target="http://www.angie.bg" TargetMode="External"/><Relationship  Id="rId6338" Type="http://schemas.openxmlformats.org/officeDocument/2006/relationships/hyperlink" Target="http://www.linkedin.com/in/francoisraynaud" TargetMode="External"/><Relationship  Id="rId6339" Type="http://schemas.openxmlformats.org/officeDocument/2006/relationships/hyperlink" Target="http://www.loxada.com" TargetMode="External"/><Relationship  Id="rId634" Type="http://schemas.openxmlformats.org/officeDocument/2006/relationships/hyperlink" Target="http://www.oussa-nou-dor.com" TargetMode="External"/><Relationship  Id="rId6340" Type="http://schemas.openxmlformats.org/officeDocument/2006/relationships/hyperlink" Target="http://www.linkedin.com/in/jasmine-derancourt-06966a138" TargetMode="External"/><Relationship  Id="rId6341" Type="http://schemas.openxmlformats.org/officeDocument/2006/relationships/hyperlink" Target="http://www.derancourt.com" TargetMode="External"/><Relationship  Id="rId6342" Type="http://schemas.openxmlformats.org/officeDocument/2006/relationships/hyperlink" Target="http://www.linkedin.com/in/sylviecombe" TargetMode="External"/><Relationship  Id="rId6343" Type="http://schemas.openxmlformats.org/officeDocument/2006/relationships/hyperlink" Target="http://www.albacombee.com" TargetMode="External"/><Relationship  Id="rId6344" Type="http://schemas.openxmlformats.org/officeDocument/2006/relationships/hyperlink" Target="http://www.linkedin.com/in/gilles-prigent-b74a10" TargetMode="External"/><Relationship  Id="rId6345" Type="http://schemas.openxmlformats.org/officeDocument/2006/relationships/hyperlink" Target="http://www.storyjungle.io" TargetMode="External"/><Relationship  Id="rId6346" Type="http://schemas.openxmlformats.org/officeDocument/2006/relationships/hyperlink" Target="http://www.linkedin.com/in/thaler-alexis-834747" TargetMode="External"/><Relationship  Id="rId6347" Type="http://schemas.openxmlformats.org/officeDocument/2006/relationships/hyperlink" Target="http://www.scdm.de" TargetMode="External"/><Relationship  Id="rId6348" Type="http://schemas.openxmlformats.org/officeDocument/2006/relationships/hyperlink" Target="http://www.linkedin.com/in/brigitte-vaudolon-0355501" TargetMode="External"/><Relationship  Id="rId6349" Type="http://schemas.openxmlformats.org/officeDocument/2006/relationships/hyperlink" Target="http://www.pulso-europe.eu" TargetMode="External"/><Relationship  Id="rId635" Type="http://schemas.openxmlformats.org/officeDocument/2006/relationships/hyperlink" Target="http://www.linkedin.com/in/lionel-vinciguerra-42013572" TargetMode="External"/><Relationship  Id="rId6350" Type="http://schemas.openxmlformats.org/officeDocument/2006/relationships/hyperlink" Target="http://www.linkedin.com/in/dominiquesussot" TargetMode="External"/><Relationship  Id="rId6351" Type="http://schemas.openxmlformats.org/officeDocument/2006/relationships/hyperlink" Target="http://www.ixxo.fr" TargetMode="External"/><Relationship  Id="rId6352" Type="http://schemas.openxmlformats.org/officeDocument/2006/relationships/hyperlink" Target="http://www.linkedin.com/in/julien-marinier-9b0068b5" TargetMode="External"/><Relationship  Id="rId6353" Type="http://schemas.openxmlformats.org/officeDocument/2006/relationships/hyperlink" Target="http://www.celaneo.com" TargetMode="External"/><Relationship  Id="rId6354" Type="http://schemas.openxmlformats.org/officeDocument/2006/relationships/hyperlink" Target="http://www.linkedin.com/in/s%c3%a9bastien-robinet-5b19882" TargetMode="External"/><Relationship  Id="rId6355" Type="http://schemas.openxmlformats.org/officeDocument/2006/relationships/hyperlink" Target="http://www.pharmaflix.fr" TargetMode="External"/><Relationship  Id="rId6356" Type="http://schemas.openxmlformats.org/officeDocument/2006/relationships/hyperlink" Target="http://www.linkedin.com/in/julie-bensard-3b909516" TargetMode="External"/><Relationship  Id="rId6357" Type="http://schemas.openxmlformats.org/officeDocument/2006/relationships/hyperlink" Target="http://www.mumandthegang.com" TargetMode="External"/><Relationship  Id="rId6358" Type="http://schemas.openxmlformats.org/officeDocument/2006/relationships/hyperlink" Target="http://www.linkedin.com/in/c%c3%a9cilia-bloyet-68a39050" TargetMode="External"/><Relationship  Id="rId6359" Type="http://schemas.openxmlformats.org/officeDocument/2006/relationships/hyperlink" Target="http://www.eb-formation.com" TargetMode="External"/><Relationship  Id="rId636" Type="http://schemas.openxmlformats.org/officeDocument/2006/relationships/hyperlink" Target="http://www.lv-rivieraspa.fr" TargetMode="External"/><Relationship  Id="rId6360" Type="http://schemas.openxmlformats.org/officeDocument/2006/relationships/hyperlink" Target="http://www.linkedin.com/in/pierre-gelin-084088163" TargetMode="External"/><Relationship  Id="rId6361" Type="http://schemas.openxmlformats.org/officeDocument/2006/relationships/hyperlink" Target="http://www.intoo-habitat.com" TargetMode="External"/><Relationship  Id="rId6362" Type="http://schemas.openxmlformats.org/officeDocument/2006/relationships/hyperlink" Target="http://www.linkedin.com/in/thomaszambon" TargetMode="External"/><Relationship  Id="rId6363" Type="http://schemas.openxmlformats.org/officeDocument/2006/relationships/hyperlink" Target="http://www.mentorgoal.com" TargetMode="External"/><Relationship  Id="rId6364" Type="http://schemas.openxmlformats.org/officeDocument/2006/relationships/hyperlink" Target="http://www.linkedin.com/in/yann-laporte-a35610124" TargetMode="External"/><Relationship  Id="rId6365" Type="http://schemas.openxmlformats.org/officeDocument/2006/relationships/hyperlink" Target="http://www.activops.fr" TargetMode="External"/><Relationship  Id="rId6366" Type="http://schemas.openxmlformats.org/officeDocument/2006/relationships/hyperlink" Target="http://www.linkedin.com/in/christian-raoul-6434a14" TargetMode="External"/><Relationship  Id="rId6367" Type="http://schemas.openxmlformats.org/officeDocument/2006/relationships/hyperlink" Target="http://www.wiseorga.com" TargetMode="External"/><Relationship  Id="rId6368" Type="http://schemas.openxmlformats.org/officeDocument/2006/relationships/hyperlink" Target="http://www.linkedin.com/in/sylvie-deneu-8161a772" TargetMode="External"/><Relationship  Id="rId6369" Type="http://schemas.openxmlformats.org/officeDocument/2006/relationships/hyperlink" Target="http://www.cosma-experts.fr" TargetMode="External"/><Relationship  Id="rId637" Type="http://schemas.openxmlformats.org/officeDocument/2006/relationships/hyperlink" Target="http://www.linkedin.com/in/loicsalaun" TargetMode="External"/><Relationship  Id="rId6370" Type="http://schemas.openxmlformats.org/officeDocument/2006/relationships/hyperlink" Target="http://www.linkedin.com/in/lucneoseb" TargetMode="External"/><Relationship  Id="rId6371" Type="http://schemas.openxmlformats.org/officeDocument/2006/relationships/hyperlink" Target="http://www.gimbalcube.com" TargetMode="External"/><Relationship  Id="rId6372" Type="http://schemas.openxmlformats.org/officeDocument/2006/relationships/hyperlink" Target="http://www.linkedin.com/in/elise-chevallard-45a7b3129" TargetMode="External"/><Relationship  Id="rId6373" Type="http://schemas.openxmlformats.org/officeDocument/2006/relationships/hyperlink" Target="http://www.iridesense.tech" TargetMode="External"/><Relationship  Id="rId6374" Type="http://schemas.openxmlformats.org/officeDocument/2006/relationships/hyperlink" Target="http://www.linkedin.com/in/christopheroux1" TargetMode="External"/><Relationship  Id="rId6375" Type="http://schemas.openxmlformats.org/officeDocument/2006/relationships/hyperlink" Target="http://www.artify.fr" TargetMode="External"/><Relationship  Id="rId6376" Type="http://schemas.openxmlformats.org/officeDocument/2006/relationships/hyperlink" Target="http://www.linkedin.com/in/arnaud-dasprez-3a949a" TargetMode="External"/><Relationship  Id="rId6377" Type="http://schemas.openxmlformats.org/officeDocument/2006/relationships/hyperlink" Target="http://www.hexagroup.com" TargetMode="External"/><Relationship  Id="rId6378" Type="http://schemas.openxmlformats.org/officeDocument/2006/relationships/hyperlink" Target="http://www.linkedin.com/in/laurent-dalibon-631669aa" TargetMode="External"/><Relationship  Id="rId6379" Type="http://schemas.openxmlformats.org/officeDocument/2006/relationships/hyperlink" Target="http://www.cortexia.ch" TargetMode="External"/><Relationship  Id="rId638" Type="http://schemas.openxmlformats.org/officeDocument/2006/relationships/hyperlink" Target="http://www.alfredhotels.com" TargetMode="External"/><Relationship  Id="rId6380" Type="http://schemas.openxmlformats.org/officeDocument/2006/relationships/hyperlink" Target="http://www.linkedin.com/in/xavier-hartout-7b87a911" TargetMode="External"/><Relationship  Id="rId6381" Type="http://schemas.openxmlformats.org/officeDocument/2006/relationships/hyperlink" Target="http://www.beresilientgroup.com" TargetMode="External"/><Relationship  Id="rId6382" Type="http://schemas.openxmlformats.org/officeDocument/2006/relationships/hyperlink" Target="http://www.linkedin.com/in/jcragons" TargetMode="External"/><Relationship  Id="rId6383" Type="http://schemas.openxmlformats.org/officeDocument/2006/relationships/hyperlink" Target="http://www.beesapps.com" TargetMode="External"/><Relationship  Id="rId6384" Type="http://schemas.openxmlformats.org/officeDocument/2006/relationships/hyperlink" Target="http://www.linkedin.com/in/sofien-ben-brahim-52448b5a" TargetMode="External"/><Relationship  Id="rId6385" Type="http://schemas.openxmlformats.org/officeDocument/2006/relationships/hyperlink" Target="http://www.unite.consulting" TargetMode="External"/><Relationship  Id="rId6386" Type="http://schemas.openxmlformats.org/officeDocument/2006/relationships/hyperlink" Target="http://www.linkedin.com/in/matthieu-sibony-18661855" TargetMode="External"/><Relationship  Id="rId6387" Type="http://schemas.openxmlformats.org/officeDocument/2006/relationships/hyperlink" Target="http://www.schmooze.fr" TargetMode="External"/><Relationship  Id="rId6388" Type="http://schemas.openxmlformats.org/officeDocument/2006/relationships/hyperlink" Target="http://www.linkedin.com/in/eric-ben-sussan" TargetMode="External"/><Relationship  Id="rId6389" Type="http://schemas.openxmlformats.org/officeDocument/2006/relationships/hyperlink" Target="http://www.ekomind.fr" TargetMode="External"/><Relationship  Id="rId639" Type="http://schemas.openxmlformats.org/officeDocument/2006/relationships/hyperlink" Target="http://www.linkedin.com/in/louis-metzger-gelato" TargetMode="External"/><Relationship  Id="rId6390" Type="http://schemas.openxmlformats.org/officeDocument/2006/relationships/hyperlink" Target="http://www.linkedin.com/in/francois-sforza-907224" TargetMode="External"/><Relationship  Id="rId6391" Type="http://schemas.openxmlformats.org/officeDocument/2006/relationships/hyperlink" Target="http://www.api-k.com" TargetMode="External"/><Relationship  Id="rId6392" Type="http://schemas.openxmlformats.org/officeDocument/2006/relationships/hyperlink" Target="http://www.linkedin.com/in/yankel-elgrably-16159646" TargetMode="External"/><Relationship  Id="rId6393" Type="http://schemas.openxmlformats.org/officeDocument/2006/relationships/hyperlink" Target="http://www.first-conseil.com" TargetMode="External"/><Relationship  Id="rId6394" Type="http://schemas.openxmlformats.org/officeDocument/2006/relationships/hyperlink" Target="http://www.linkedin.com/in/christophe-prigent-89a5452" TargetMode="External"/><Relationship  Id="rId6395" Type="http://schemas.openxmlformats.org/officeDocument/2006/relationships/hyperlink" Target="http://www.mondeca.com" TargetMode="External"/><Relationship  Id="rId6396" Type="http://schemas.openxmlformats.org/officeDocument/2006/relationships/hyperlink" Target="http://www.linkedin.com/in/sylvain-generali-4653878b" TargetMode="External"/><Relationship  Id="rId6397" Type="http://schemas.openxmlformats.org/officeDocument/2006/relationships/hyperlink" Target="http://www.otsi.fr" TargetMode="External"/><Relationship  Id="rId6398" Type="http://schemas.openxmlformats.org/officeDocument/2006/relationships/hyperlink" Target="http://www.linkedin.com/in/corentinlebris" TargetMode="External"/><Relationship  Id="rId6399" Type="http://schemas.openxmlformats.org/officeDocument/2006/relationships/hyperlink" Target="http://www.hupla.co" TargetMode="External"/><Relationship  Id="rId64" Type="http://schemas.openxmlformats.org/officeDocument/2006/relationships/hyperlink" Target="http://www.linkedin.com/in/assia-ali-44747619" TargetMode="External"/><Relationship  Id="rId640" Type="http://schemas.openxmlformats.org/officeDocument/2006/relationships/hyperlink" Target="http://www.creme.fr" TargetMode="External"/><Relationship  Id="rId6400" Type="http://schemas.openxmlformats.org/officeDocument/2006/relationships/hyperlink" Target="http://metav.rs" TargetMode="External"/><Relationship  Id="rId6401" Type="http://schemas.openxmlformats.org/officeDocument/2006/relationships/hyperlink" Target="http://www.linkedin.com/in/j%c3%a9r%c3%a9mie-salvucci-321679225" TargetMode="External"/><Relationship  Id="rId6402" Type="http://schemas.openxmlformats.org/officeDocument/2006/relationships/hyperlink" Target="http://www.power.xyz" TargetMode="External"/><Relationship  Id="rId6403" Type="http://schemas.openxmlformats.org/officeDocument/2006/relationships/hyperlink" Target="http://www.linkedin.com/in/laurenelopesbrunel" TargetMode="External"/><Relationship  Id="rId6404" Type="http://schemas.openxmlformats.org/officeDocument/2006/relationships/hyperlink" Target="http://www.revinax.net" TargetMode="External"/><Relationship  Id="rId6405" Type="http://schemas.openxmlformats.org/officeDocument/2006/relationships/hyperlink" Target="http://www.linkedin.com/in/clement-platteau-b967aa26" TargetMode="External"/><Relationship  Id="rId6406" Type="http://schemas.openxmlformats.org/officeDocument/2006/relationships/hyperlink" Target="http://www.agence-pickers.fr" TargetMode="External"/><Relationship  Id="rId6407" Type="http://schemas.openxmlformats.org/officeDocument/2006/relationships/hyperlink" Target="http://www.linkedin.com/in/dominique-segard-a02156312" TargetMode="External"/><Relationship  Id="rId6408" Type="http://schemas.openxmlformats.org/officeDocument/2006/relationships/hyperlink" Target="http://www.akoris.finance" TargetMode="External"/><Relationship  Id="rId6409" Type="http://schemas.openxmlformats.org/officeDocument/2006/relationships/hyperlink" Target="http://www.linkedin.com/in/fyinglebert" TargetMode="External"/><Relationship  Id="rId641" Type="http://schemas.openxmlformats.org/officeDocument/2006/relationships/hyperlink" Target="http://www.linkedin.com/in/rudy-orsoni-31627780" TargetMode="External"/><Relationship  Id="rId6410" Type="http://schemas.openxmlformats.org/officeDocument/2006/relationships/hyperlink" Target="http://www.eye2scan.com" TargetMode="External"/><Relationship  Id="rId6411" Type="http://schemas.openxmlformats.org/officeDocument/2006/relationships/hyperlink" Target="http://www.linkedin.com/in/henvino-diffo-47aa0439" TargetMode="External"/><Relationship  Id="rId6412" Type="http://schemas.openxmlformats.org/officeDocument/2006/relationships/hyperlink" Target="http://www.codezys.com" TargetMode="External"/><Relationship  Id="rId6413" Type="http://schemas.openxmlformats.org/officeDocument/2006/relationships/hyperlink" Target="http://www.linkedin.com/in/l%c3%a9o-dupouy" TargetMode="External"/><Relationship  Id="rId6414" Type="http://schemas.openxmlformats.org/officeDocument/2006/relationships/hyperlink" Target="http://www.knock-knock.fr" TargetMode="External"/><Relationship  Id="rId6415" Type="http://schemas.openxmlformats.org/officeDocument/2006/relationships/hyperlink" Target="http://www.linkedin.com/in/guillaume-lepelletier-50311533" TargetMode="External"/><Relationship  Id="rId6416" Type="http://schemas.openxmlformats.org/officeDocument/2006/relationships/hyperlink" Target="http://www.kheoos.com" TargetMode="External"/><Relationship  Id="rId6417" Type="http://schemas.openxmlformats.org/officeDocument/2006/relationships/hyperlink" Target="http://www.linkedin.com/in/romain-guillaume-503b6926" TargetMode="External"/><Relationship  Id="rId6418" Type="http://schemas.openxmlformats.org/officeDocument/2006/relationships/hyperlink" Target="http://www.sinequanon.fr" TargetMode="External"/><Relationship  Id="rId6419" Type="http://schemas.openxmlformats.org/officeDocument/2006/relationships/hyperlink" Target="http://www.linkedin.com/in/mdrissi" TargetMode="External"/><Relationship  Id="rId642" Type="http://schemas.openxmlformats.org/officeDocument/2006/relationships/hyperlink" Target="http://www.anaoplage.fr" TargetMode="External"/><Relationship  Id="rId6420" Type="http://schemas.openxmlformats.org/officeDocument/2006/relationships/hyperlink" Target="http://www.bridgr.co" TargetMode="External"/><Relationship  Id="rId6421" Type="http://schemas.openxmlformats.org/officeDocument/2006/relationships/hyperlink" Target="http://www.linkedin.com/in/benoit-fournier-a7599519" TargetMode="External"/><Relationship  Id="rId6422" Type="http://schemas.openxmlformats.org/officeDocument/2006/relationships/hyperlink" Target="http://www.ceresys.com" TargetMode="External"/><Relationship  Id="rId6423" Type="http://schemas.openxmlformats.org/officeDocument/2006/relationships/hyperlink" Target="http://www.linkedin.com/in/tdelacourt" TargetMode="External"/><Relationship  Id="rId6424" Type="http://schemas.openxmlformats.org/officeDocument/2006/relationships/hyperlink" Target="http://www.alter-si.fr" TargetMode="External"/><Relationship  Id="rId6425" Type="http://schemas.openxmlformats.org/officeDocument/2006/relationships/hyperlink" Target="http://www.linkedin.com/in/eisokant" TargetMode="External"/><Relationship  Id="rId6426" Type="http://schemas.openxmlformats.org/officeDocument/2006/relationships/hyperlink" Target="http://www.poolside.ai" TargetMode="External"/><Relationship  Id="rId6427" Type="http://schemas.openxmlformats.org/officeDocument/2006/relationships/hyperlink" Target="http://www.linkedin.com/in/laurent-thomas-lts" TargetMode="External"/><Relationship  Id="rId6428" Type="http://schemas.openxmlformats.org/officeDocument/2006/relationships/hyperlink" Target="http://www.qwanteos.com" TargetMode="External"/><Relationship  Id="rId6429" Type="http://schemas.openxmlformats.org/officeDocument/2006/relationships/hyperlink" Target="http://www.linkedin.com/in/romainvillechenon" TargetMode="External"/><Relationship  Id="rId643" Type="http://schemas.openxmlformats.org/officeDocument/2006/relationships/hyperlink" Target="http://www.linkedin.com/in/philippe-grosjean-3210ab43" TargetMode="External"/><Relationship  Id="rId6430" Type="http://schemas.openxmlformats.org/officeDocument/2006/relationships/hyperlink" Target="http://www.kicklox.com" TargetMode="External"/><Relationship  Id="rId6431" Type="http://schemas.openxmlformats.org/officeDocument/2006/relationships/hyperlink" Target="http://www.linkedin.com/in/bilal-brahim" TargetMode="External"/><Relationship  Id="rId6432" Type="http://schemas.openxmlformats.org/officeDocument/2006/relationships/hyperlink" Target="http://www.algofame.org" TargetMode="External"/><Relationship  Id="rId6433" Type="http://schemas.openxmlformats.org/officeDocument/2006/relationships/hyperlink" Target="http://www.linkedin.com/in/isabellefaivre" TargetMode="External"/><Relationship  Id="rId6434" Type="http://schemas.openxmlformats.org/officeDocument/2006/relationships/hyperlink" Target="http://www.scj.com" TargetMode="External"/><Relationship  Id="rId6435" Type="http://schemas.openxmlformats.org/officeDocument/2006/relationships/hyperlink" Target="http://www.linkedin.com/in/kooltux" TargetMode="External"/><Relationship  Id="rId6436" Type="http://schemas.openxmlformats.org/officeDocument/2006/relationships/hyperlink" Target="http://www.iot.bzh" TargetMode="External"/><Relationship  Id="rId6437" Type="http://schemas.openxmlformats.org/officeDocument/2006/relationships/hyperlink" Target="http://www.linkedin.com/in/nathandichen" TargetMode="External"/><Relationship  Id="rId6438" Type="http://schemas.openxmlformats.org/officeDocument/2006/relationships/hyperlink" Target="http://www.biolevate.com" TargetMode="External"/><Relationship  Id="rId6439" Type="http://schemas.openxmlformats.org/officeDocument/2006/relationships/hyperlink" Target="http://www.linkedin.com/in/marclorenzi" TargetMode="External"/><Relationship  Id="rId644" Type="http://schemas.openxmlformats.org/officeDocument/2006/relationships/hyperlink" Target="http://www.smily.com" TargetMode="External"/><Relationship  Id="rId6440" Type="http://schemas.openxmlformats.org/officeDocument/2006/relationships/hyperlink" Target="http://www.opalesystems.com" TargetMode="External"/><Relationship  Id="rId6441" Type="http://schemas.openxmlformats.org/officeDocument/2006/relationships/hyperlink" Target="http://www.linkedin.com/in/jacques-besnard" TargetMode="External"/><Relationship  Id="rId6442" Type="http://schemas.openxmlformats.org/officeDocument/2006/relationships/hyperlink" Target="http://www.bluefinch-esbd.com" TargetMode="External"/><Relationship  Id="rId6443" Type="http://schemas.openxmlformats.org/officeDocument/2006/relationships/hyperlink" Target="http://www.linkedin.com/in/payal-shriyan-vohra-26532b230" TargetMode="External"/><Relationship  Id="rId6444" Type="http://schemas.openxmlformats.org/officeDocument/2006/relationships/hyperlink" Target="http://www.ramco.tg" TargetMode="External"/><Relationship  Id="rId6445" Type="http://schemas.openxmlformats.org/officeDocument/2006/relationships/hyperlink" Target="http://www.linkedin.com/in/olivier-mardi-3b59a139" TargetMode="External"/><Relationship  Id="rId6446" Type="http://schemas.openxmlformats.org/officeDocument/2006/relationships/hyperlink" Target="http://www.linkedin.com/in/florian-petit-creative-people" TargetMode="External"/><Relationship  Id="rId6447" Type="http://schemas.openxmlformats.org/officeDocument/2006/relationships/hyperlink" Target="http://www.ddruid.io" TargetMode="External"/><Relationship  Id="rId6448" Type="http://schemas.openxmlformats.org/officeDocument/2006/relationships/hyperlink" Target="http://www.linkedin.com/in/nianta-diarra-11950611" TargetMode="External"/><Relationship  Id="rId6449" Type="http://schemas.openxmlformats.org/officeDocument/2006/relationships/hyperlink" Target="http://www.allin-consulting.com" TargetMode="External"/><Relationship  Id="rId645" Type="http://schemas.openxmlformats.org/officeDocument/2006/relationships/hyperlink" Target="http://www.linkedin.com/in/romain-taieb-b540001b6" TargetMode="External"/><Relationship  Id="rId6450" Type="http://schemas.openxmlformats.org/officeDocument/2006/relationships/hyperlink" Target="http://www.linkedin.com/in/nicolasbroux" TargetMode="External"/><Relationship  Id="rId6451" Type="http://schemas.openxmlformats.org/officeDocument/2006/relationships/hyperlink" Target="http://www.agaetis.fr" TargetMode="External"/><Relationship  Id="rId6452" Type="http://schemas.openxmlformats.org/officeDocument/2006/relationships/hyperlink" Target="http://www.linkedin.com/in/j%c3%a9r%c3%a9mie-bertrand-08918389" TargetMode="External"/><Relationship  Id="rId6453" Type="http://schemas.openxmlformats.org/officeDocument/2006/relationships/hyperlink" Target="http://www.p3-energysolutions.com" TargetMode="External"/><Relationship  Id="rId6454" Type="http://schemas.openxmlformats.org/officeDocument/2006/relationships/hyperlink" Target="http://www.linkedin.com/in/thomas-binetruy-0419b845" TargetMode="External"/><Relationship  Id="rId6455" Type="http://schemas.openxmlformats.org/officeDocument/2006/relationships/hyperlink" Target="http://www.pyratzlabs.com" TargetMode="External"/><Relationship  Id="rId6456" Type="http://schemas.openxmlformats.org/officeDocument/2006/relationships/hyperlink" Target="http://www.linkedin.com/in/alexandre-tacchini-2a402485" TargetMode="External"/><Relationship  Id="rId6457" Type="http://schemas.openxmlformats.org/officeDocument/2006/relationships/hyperlink" Target="http://www.nfinitylabs.co" TargetMode="External"/><Relationship  Id="rId6458" Type="http://schemas.openxmlformats.org/officeDocument/2006/relationships/hyperlink" Target="http://www.linkedin.com/in/denis-assi%c3%a9-203298136" TargetMode="External"/><Relationship  Id="rId6459" Type="http://schemas.openxmlformats.org/officeDocument/2006/relationships/hyperlink" Target="http://www.sendoc.fr" TargetMode="External"/><Relationship  Id="rId646" Type="http://schemas.openxmlformats.org/officeDocument/2006/relationships/hyperlink" Target="http://www.dokidoki-handroll.com" TargetMode="External"/><Relationship  Id="rId6460" Type="http://schemas.openxmlformats.org/officeDocument/2006/relationships/hyperlink" Target="http://www.linkedin.com/in/alexandre-zeller-a2224" TargetMode="External"/><Relationship  Id="rId6461" Type="http://schemas.openxmlformats.org/officeDocument/2006/relationships/hyperlink" Target="http://www.clirisgroup.com" TargetMode="External"/><Relationship  Id="rId6462" Type="http://schemas.openxmlformats.org/officeDocument/2006/relationships/hyperlink" Target="http://www.linkedin.com/in/yannlegaouyat" TargetMode="External"/><Relationship  Id="rId6463" Type="http://schemas.openxmlformats.org/officeDocument/2006/relationships/hyperlink" Target="http://www.o-communication.com" TargetMode="External"/><Relationship  Id="rId6464" Type="http://schemas.openxmlformats.org/officeDocument/2006/relationships/hyperlink" Target="http://www.linkedin.com/in/didier-maurice-peroumal-909bb6" TargetMode="External"/><Relationship  Id="rId6465" Type="http://schemas.openxmlformats.org/officeDocument/2006/relationships/hyperlink" Target="http://www.teamx.fr" TargetMode="External"/><Relationship  Id="rId6466" Type="http://schemas.openxmlformats.org/officeDocument/2006/relationships/hyperlink" Target="http://www.linkedin.com/in/maxence-deglaine-b69aab10b" TargetMode="External"/><Relationship  Id="rId6467" Type="http://schemas.openxmlformats.org/officeDocument/2006/relationships/hyperlink" Target="http://www.swappy.fr" TargetMode="External"/><Relationship  Id="rId6468" Type="http://schemas.openxmlformats.org/officeDocument/2006/relationships/hyperlink" Target="http://www.linkedin.com/in/daniel-vela-checa-3652b9126" TargetMode="External"/><Relationship  Id="rId6469" Type="http://schemas.openxmlformats.org/officeDocument/2006/relationships/hyperlink" Target="http://www.digitecpharma.fr" TargetMode="External"/><Relationship  Id="rId647" Type="http://schemas.openxmlformats.org/officeDocument/2006/relationships/hyperlink" Target="http://www.linkedin.com/in/abdoulaye-djikine-47147164" TargetMode="External"/><Relationship  Id="rId6470" Type="http://schemas.openxmlformats.org/officeDocument/2006/relationships/hyperlink" Target="http://www.linkedin.com/in/louis-victor-de-franssu-44b94814" TargetMode="External"/><Relationship  Id="rId6471" Type="http://schemas.openxmlformats.org/officeDocument/2006/relationships/hyperlink" Target="http://www.tremau.com" TargetMode="External"/><Relationship  Id="rId6472" Type="http://schemas.openxmlformats.org/officeDocument/2006/relationships/hyperlink" Target="http://www.linkedin.com/in/mathilde-jacquemin-655956bb" TargetMode="External"/><Relationship  Id="rId6473" Type="http://schemas.openxmlformats.org/officeDocument/2006/relationships/hyperlink" Target="http://www.adring.fr" TargetMode="External"/><Relationship  Id="rId6474" Type="http://schemas.openxmlformats.org/officeDocument/2006/relationships/hyperlink" Target="http://www.linkedin.com/in/romain-le-groumellec-b9902a8" TargetMode="External"/><Relationship  Id="rId6475" Type="http://schemas.openxmlformats.org/officeDocument/2006/relationships/hyperlink" Target="http://www.maps-system.com" TargetMode="External"/><Relationship  Id="rId6476" Type="http://schemas.openxmlformats.org/officeDocument/2006/relationships/hyperlink" Target="http://www.linkedin.com/in/etienne-de-beauvill%c3%a9-3871125" TargetMode="External"/><Relationship  Id="rId6477" Type="http://schemas.openxmlformats.org/officeDocument/2006/relationships/hyperlink" Target="http://www.finasens.com" TargetMode="External"/><Relationship  Id="rId6478" Type="http://schemas.openxmlformats.org/officeDocument/2006/relationships/hyperlink" Target="http://www.linkedin.com/in/jonathan-foureur" TargetMode="External"/><Relationship  Id="rId6479" Type="http://schemas.openxmlformats.org/officeDocument/2006/relationships/hyperlink" Target="http://www.justai.co" TargetMode="External"/><Relationship  Id="rId648" Type="http://schemas.openxmlformats.org/officeDocument/2006/relationships/hyperlink" Target="http://www.linkedin.com/in/lo%c3%afc-p%c3%a9rou-85076b137" TargetMode="External"/><Relationship  Id="rId6480" Type="http://schemas.openxmlformats.org/officeDocument/2006/relationships/hyperlink" Target="http://www.linkedin.com/in/laurentmengual" TargetMode="External"/><Relationship  Id="rId6481" Type="http://schemas.openxmlformats.org/officeDocument/2006/relationships/hyperlink" Target="http://www.prodecys.com" TargetMode="External"/><Relationship  Id="rId6482" Type="http://schemas.openxmlformats.org/officeDocument/2006/relationships/hyperlink" Target="http://hyppies.com/" TargetMode="External"/><Relationship  Id="rId6483" Type="http://schemas.openxmlformats.org/officeDocument/2006/relationships/hyperlink" Target="http://www.linkedin.com/in/jremeur" TargetMode="External"/><Relationship  Id="rId6484" Type="http://schemas.openxmlformats.org/officeDocument/2006/relationships/hyperlink" Target="http://www.hyppies.com" TargetMode="External"/><Relationship  Id="rId6485" Type="http://schemas.openxmlformats.org/officeDocument/2006/relationships/hyperlink" Target="http://www.linkedin.com/in/odranlagoute" TargetMode="External"/><Relationship  Id="rId6486" Type="http://schemas.openxmlformats.org/officeDocument/2006/relationships/hyperlink" Target="http://www.milestone-advisory.fr" TargetMode="External"/><Relationship  Id="rId6487" Type="http://schemas.openxmlformats.org/officeDocument/2006/relationships/hyperlink" Target="http://www.linkedin.com/in/julien-pau-807504174" TargetMode="External"/><Relationship  Id="rId6488" Type="http://schemas.openxmlformats.org/officeDocument/2006/relationships/hyperlink" Target="http://www.ardelec-energie.fr" TargetMode="External"/><Relationship  Id="rId6489" Type="http://schemas.openxmlformats.org/officeDocument/2006/relationships/hyperlink" Target="http://www.linkedin.com/in/lo%c3%afc-roinel-194046aa" TargetMode="External"/><Relationship  Id="rId649" Type="http://schemas.openxmlformats.org/officeDocument/2006/relationships/hyperlink" Target="http://www.manoirdelaregate.com" TargetMode="External"/><Relationship  Id="rId6490" Type="http://schemas.openxmlformats.org/officeDocument/2006/relationships/hyperlink" Target="http://www.philae-technologies.fr" TargetMode="External"/><Relationship  Id="rId6491" Type="http://schemas.openxmlformats.org/officeDocument/2006/relationships/hyperlink" Target="http://www.linkedin.com/in/sophie-feret-36166247" TargetMode="External"/><Relationship  Id="rId6492" Type="http://schemas.openxmlformats.org/officeDocument/2006/relationships/hyperlink" Target="http://www.blackwinch.eu" TargetMode="External"/><Relationship  Id="rId6493" Type="http://schemas.openxmlformats.org/officeDocument/2006/relationships/hyperlink" Target="http://www.linkedin.com/in/julien-dreveton-73a1b965" TargetMode="External"/><Relationship  Id="rId6494" Type="http://schemas.openxmlformats.org/officeDocument/2006/relationships/hyperlink" Target="http://www.neofin.co.uk" TargetMode="External"/><Relationship  Id="rId6495" Type="http://schemas.openxmlformats.org/officeDocument/2006/relationships/hyperlink" Target="http://www.linkedin.com/in/william-graesel-b42b8519" TargetMode="External"/><Relationship  Id="rId6496" Type="http://schemas.openxmlformats.org/officeDocument/2006/relationships/hyperlink" Target="http://www.inflightsales.com" TargetMode="External"/><Relationship  Id="rId6497" Type="http://schemas.openxmlformats.org/officeDocument/2006/relationships/hyperlink" Target="http://www.linkedin.com/in/murat-dogan-53706644" TargetMode="External"/><Relationship  Id="rId6498" Type="http://schemas.openxmlformats.org/officeDocument/2006/relationships/hyperlink" Target="http://www.kesk.eu" TargetMode="External"/><Relationship  Id="rId6499" Type="http://schemas.openxmlformats.org/officeDocument/2006/relationships/hyperlink" Target="http://www.linkedin.com/in/nicolas-soum" TargetMode="External"/><Relationship  Id="rId65" Type="http://schemas.openxmlformats.org/officeDocument/2006/relationships/hyperlink" Target="http://www.yemma-yummy.com" TargetMode="External"/><Relationship  Id="rId650" Type="http://schemas.openxmlformats.org/officeDocument/2006/relationships/hyperlink" Target="http://www.linkedin.com/in/david-abehsera-831835106" TargetMode="External"/><Relationship  Id="rId6500" Type="http://schemas.openxmlformats.org/officeDocument/2006/relationships/hyperlink" Target="http://www.kabaun.com" TargetMode="External"/><Relationship  Id="rId6501" Type="http://schemas.openxmlformats.org/officeDocument/2006/relationships/hyperlink" Target="http://www.linkedin.com/in/cyril-voidey-984a2596" TargetMode="External"/><Relationship  Id="rId6502" Type="http://schemas.openxmlformats.org/officeDocument/2006/relationships/hyperlink" Target="http://www.wudo.io" TargetMode="External"/><Relationship  Id="rId6503" Type="http://schemas.openxmlformats.org/officeDocument/2006/relationships/hyperlink" Target="http://www.linkedin.com/in/amineazizi" TargetMode="External"/><Relationship  Id="rId6504" Type="http://schemas.openxmlformats.org/officeDocument/2006/relationships/hyperlink" Target="http://www.skaalab.com" TargetMode="External"/><Relationship  Id="rId6505" Type="http://schemas.openxmlformats.org/officeDocument/2006/relationships/hyperlink" Target="http://www.linkedin.com/in/celine-distel-698a5417a" TargetMode="External"/><Relationship  Id="rId6506" Type="http://schemas.openxmlformats.org/officeDocument/2006/relationships/hyperlink" Target="http://www.distel.fr" TargetMode="External"/><Relationship  Id="rId6507" Type="http://schemas.openxmlformats.org/officeDocument/2006/relationships/hyperlink" Target="http://www.linkedin.com/in/s%c3%a9bastien-bencherqui-001b881b" TargetMode="External"/><Relationship  Id="rId6508" Type="http://schemas.openxmlformats.org/officeDocument/2006/relationships/hyperlink" Target="http://www.linkedin.com/in/noel-thomas-fondateur-ateneos-conseil" TargetMode="External"/><Relationship  Id="rId6509" Type="http://schemas.openxmlformats.org/officeDocument/2006/relationships/hyperlink" Target="http://www.ateneos.fr" TargetMode="External"/><Relationship  Id="rId651" Type="http://schemas.openxmlformats.org/officeDocument/2006/relationships/hyperlink" Target="http://www.linkedin.com/in/sylviane-sanz-3a939a85" TargetMode="External"/><Relationship  Id="rId6510" Type="http://schemas.openxmlformats.org/officeDocument/2006/relationships/hyperlink" Target="http://www.linkedin.com/in/giancarlo-basile-6853448" TargetMode="External"/><Relationship  Id="rId6511" Type="http://schemas.openxmlformats.org/officeDocument/2006/relationships/hyperlink" Target="http://www.hpm-fr.com" TargetMode="External"/><Relationship  Id="rId6512" Type="http://schemas.openxmlformats.org/officeDocument/2006/relationships/hyperlink" Target="http://www.linkedin.com/in/jean-yves-bois-28463036" TargetMode="External"/><Relationship  Id="rId6513" Type="http://schemas.openxmlformats.org/officeDocument/2006/relationships/hyperlink" Target="http://www.agilicom.fr" TargetMode="External"/><Relationship  Id="rId6514" Type="http://schemas.openxmlformats.org/officeDocument/2006/relationships/hyperlink" Target="http://www.linkedin.com/in/xavierjacomet" TargetMode="External"/><Relationship  Id="rId6515" Type="http://schemas.openxmlformats.org/officeDocument/2006/relationships/hyperlink" Target="http://www.procadres.com" TargetMode="External"/><Relationship  Id="rId6516" Type="http://schemas.openxmlformats.org/officeDocument/2006/relationships/hyperlink" Target="http://www.linkedin.com/in/toinon-georget-680100315" TargetMode="External"/><Relationship  Id="rId6517" Type="http://schemas.openxmlformats.org/officeDocument/2006/relationships/hyperlink" Target="http://www.waapi.fr" TargetMode="External"/><Relationship  Id="rId6518" Type="http://schemas.openxmlformats.org/officeDocument/2006/relationships/hyperlink" Target="http://www.linkedin.com/in/st%c3%a9phane-dautel-b7b54469" TargetMode="External"/><Relationship  Id="rId6519" Type="http://schemas.openxmlformats.org/officeDocument/2006/relationships/hyperlink" Target="http://www.darwin-x.com" TargetMode="External"/><Relationship  Id="rId652" Type="http://schemas.openxmlformats.org/officeDocument/2006/relationships/hyperlink" Target="http://www.linkedin.com/in/herv%c3%a9-cabantous-3ab49aa6" TargetMode="External"/><Relationship  Id="rId6520" Type="http://schemas.openxmlformats.org/officeDocument/2006/relationships/hyperlink" Target="http://www.linkedin.com/in/sylvain-joly-34a52a15" TargetMode="External"/><Relationship  Id="rId6521" Type="http://schemas.openxmlformats.org/officeDocument/2006/relationships/hyperlink" Target="http://www.digimobee.fr" TargetMode="External"/><Relationship  Id="rId6522" Type="http://schemas.openxmlformats.org/officeDocument/2006/relationships/hyperlink" Target="http://www.linkedin.com/in/cyrillelebeaupin" TargetMode="External"/><Relationship  Id="rId6523" Type="http://schemas.openxmlformats.org/officeDocument/2006/relationships/hyperlink" Target="http://www.noop.fr" TargetMode="External"/><Relationship  Id="rId6524" Type="http://schemas.openxmlformats.org/officeDocument/2006/relationships/hyperlink" Target="http://www.linkedin.com/in/mohamed-benni-a6b264143" TargetMode="External"/><Relationship  Id="rId6525" Type="http://schemas.openxmlformats.org/officeDocument/2006/relationships/hyperlink" Target="http://www.comrungis.com" TargetMode="External"/><Relationship  Id="rId6526" Type="http://schemas.openxmlformats.org/officeDocument/2006/relationships/hyperlink" Target="http://www.linkedin.com/in/augustinpluchet" TargetMode="External"/><Relationship  Id="rId6527" Type="http://schemas.openxmlformats.org/officeDocument/2006/relationships/hyperlink" Target="http://www.reboundcg.com" TargetMode="External"/><Relationship  Id="rId6528" Type="http://schemas.openxmlformats.org/officeDocument/2006/relationships/hyperlink" Target="http://www.linkedin.com/in/pierre-peyret" TargetMode="External"/><Relationship  Id="rId6529" Type="http://schemas.openxmlformats.org/officeDocument/2006/relationships/hyperlink" Target="http://www.comitatus.fr" TargetMode="External"/><Relationship  Id="rId653" Type="http://schemas.openxmlformats.org/officeDocument/2006/relationships/hyperlink" Target="http://www.hcazur.com" TargetMode="External"/><Relationship  Id="rId6530" Type="http://schemas.openxmlformats.org/officeDocument/2006/relationships/hyperlink" Target="http://www.linkedin.com/in/martin-ottenwaelter" TargetMode="External"/><Relationship  Id="rId6531" Type="http://schemas.openxmlformats.org/officeDocument/2006/relationships/hyperlink" Target="http://www.superg.fr" TargetMode="External"/><Relationship  Id="rId6532" Type="http://schemas.openxmlformats.org/officeDocument/2006/relationships/hyperlink" Target="http://www.linkedin.com/in/alexarousseau" TargetMode="External"/><Relationship  Id="rId6533" Type="http://schemas.openxmlformats.org/officeDocument/2006/relationships/hyperlink" Target="http://www.veilleformation.com" TargetMode="External"/><Relationship  Id="rId6534" Type="http://schemas.openxmlformats.org/officeDocument/2006/relationships/hyperlink" Target="http://www.linkedin.com/in/christian-bestron-875a33152" TargetMode="External"/><Relationship  Id="rId6535" Type="http://schemas.openxmlformats.org/officeDocument/2006/relationships/hyperlink" Target="http://www.insmatel.fr" TargetMode="External"/><Relationship  Id="rId6536" Type="http://schemas.openxmlformats.org/officeDocument/2006/relationships/hyperlink" Target="http://www.linkedin.com/in/mathieustricker" TargetMode="External"/><Relationship  Id="rId6537" Type="http://schemas.openxmlformats.org/officeDocument/2006/relationships/hyperlink" Target="http://www.koweepark.com" TargetMode="External"/><Relationship  Id="rId6538" Type="http://schemas.openxmlformats.org/officeDocument/2006/relationships/hyperlink" Target="http://www.linkedin.com/in/pascal-messemacre-7046b0b6" TargetMode="External"/><Relationship  Id="rId6539" Type="http://schemas.openxmlformats.org/officeDocument/2006/relationships/hyperlink" Target="http://www.ozego.fr" TargetMode="External"/><Relationship  Id="rId654" Type="http://schemas.openxmlformats.org/officeDocument/2006/relationships/hyperlink" Target="http://www.linkedin.com/in/tarek-belkahia-174b2266" TargetMode="External"/><Relationship  Id="rId6540" Type="http://schemas.openxmlformats.org/officeDocument/2006/relationships/hyperlink" Target="http://www.linkedin.com/in/nathalie-gard-54b5a117" TargetMode="External"/><Relationship  Id="rId6541" Type="http://schemas.openxmlformats.org/officeDocument/2006/relationships/hyperlink" Target="http://www.corolle.com" TargetMode="External"/><Relationship  Id="rId6542" Type="http://schemas.openxmlformats.org/officeDocument/2006/relationships/hyperlink" Target="http://www.linkedin.com/in/guillaumebesse" TargetMode="External"/><Relationship  Id="rId6543" Type="http://schemas.openxmlformats.org/officeDocument/2006/relationships/hyperlink" Target="http://www.incwo.com" TargetMode="External"/><Relationship  Id="rId6544" Type="http://schemas.openxmlformats.org/officeDocument/2006/relationships/hyperlink" Target="http://www.linkedin.com/in/morandicarlo" TargetMode="External"/><Relationship  Id="rId6545" Type="http://schemas.openxmlformats.org/officeDocument/2006/relationships/hyperlink" Target="http://www.callbell.eu" TargetMode="External"/><Relationship  Id="rId6546" Type="http://schemas.openxmlformats.org/officeDocument/2006/relationships/hyperlink" Target="http://www.linkedin.com/in/franck-cendra-ba81a497" TargetMode="External"/><Relationship  Id="rId6547" Type="http://schemas.openxmlformats.org/officeDocument/2006/relationships/hyperlink" Target="http://www.solunova.fr" TargetMode="External"/><Relationship  Id="rId6548" Type="http://schemas.openxmlformats.org/officeDocument/2006/relationships/hyperlink" Target="http://www.linkedin.com/in/cyrilgubler" TargetMode="External"/><Relationship  Id="rId6549" Type="http://schemas.openxmlformats.org/officeDocument/2006/relationships/hyperlink" Target="http://www.awbs-target.com" TargetMode="External"/><Relationship  Id="rId655" Type="http://schemas.openxmlformats.org/officeDocument/2006/relationships/hyperlink" Target="http://www.cohozee.com" TargetMode="External"/><Relationship  Id="rId6550" Type="http://schemas.openxmlformats.org/officeDocument/2006/relationships/hyperlink" Target="http://www.linkedin.com/in/rodolphe-zellitch-4a4ba22" TargetMode="External"/><Relationship  Id="rId6551" Type="http://schemas.openxmlformats.org/officeDocument/2006/relationships/hyperlink" Target="http://www.rzco.net" TargetMode="External"/><Relationship  Id="rId6552" Type="http://schemas.openxmlformats.org/officeDocument/2006/relationships/hyperlink" Target="http://www.linkedin.com/in/behzad-kazemzadegan-4503301a" TargetMode="External"/><Relationship  Id="rId6553" Type="http://schemas.openxmlformats.org/officeDocument/2006/relationships/hyperlink" Target="http://www.bestprhactice.com" TargetMode="External"/><Relationship  Id="rId6554" Type="http://schemas.openxmlformats.org/officeDocument/2006/relationships/hyperlink" Target="http://www.linkedin.com/in/xavier-dargegen-4a777235" TargetMode="External"/><Relationship  Id="rId6555" Type="http://schemas.openxmlformats.org/officeDocument/2006/relationships/hyperlink" Target="http://www.fem-techno.com" TargetMode="External"/><Relationship  Id="rId6556" Type="http://schemas.openxmlformats.org/officeDocument/2006/relationships/hyperlink" Target="http://www.linkedin.com/in/benjamin-recurt-635216a7" TargetMode="External"/><Relationship  Id="rId6557" Type="http://schemas.openxmlformats.org/officeDocument/2006/relationships/hyperlink" Target="http://www.powerconseils.fr" TargetMode="External"/><Relationship  Id="rId6558" Type="http://schemas.openxmlformats.org/officeDocument/2006/relationships/hyperlink" Target="http://www.linkedin.com/in/julienmarsaud" TargetMode="External"/><Relationship  Id="rId6559" Type="http://schemas.openxmlformats.org/officeDocument/2006/relationships/hyperlink" Target="http://www.maitricks.com" TargetMode="External"/><Relationship  Id="rId656" Type="http://schemas.openxmlformats.org/officeDocument/2006/relationships/hyperlink" Target="http://www.linkedin.com/in/slonjon" TargetMode="External"/><Relationship  Id="rId6560" Type="http://schemas.openxmlformats.org/officeDocument/2006/relationships/hyperlink" Target="http://www.linkedin.com/in/bastian-boutier-513423100" TargetMode="External"/><Relationship  Id="rId6561" Type="http://schemas.openxmlformats.org/officeDocument/2006/relationships/hyperlink" Target="http://www.atelsys.com" TargetMode="External"/><Relationship  Id="rId6562" Type="http://schemas.openxmlformats.org/officeDocument/2006/relationships/hyperlink" Target="http://www.linkedin.com/in/a8ee03510b9c7ccbac616a043eb29f74a619d43501c0d06281d9980d9b4c0853b9fcb6aa1078f774f94c7c" TargetMode="External"/><Relationship  Id="rId6563" Type="http://schemas.openxmlformats.org/officeDocument/2006/relationships/hyperlink" Target="http://www.soteria-lab.fr" TargetMode="External"/><Relationship  Id="rId6564" Type="http://schemas.openxmlformats.org/officeDocument/2006/relationships/hyperlink" Target="http://www.linkedin.com/in/alain-bidaud-a932271" TargetMode="External"/><Relationship  Id="rId6565" Type="http://schemas.openxmlformats.org/officeDocument/2006/relationships/hyperlink" Target="http://www.criann.fr" TargetMode="External"/><Relationship  Id="rId6566" Type="http://schemas.openxmlformats.org/officeDocument/2006/relationships/hyperlink" Target="http://www.linkedin.com/in/elie-ayache-11aa104" TargetMode="External"/><Relationship  Id="rId6567" Type="http://schemas.openxmlformats.org/officeDocument/2006/relationships/hyperlink" Target="http://www.linkedin.com/in/brice-augras" TargetMode="External"/><Relationship  Id="rId6568" Type="http://schemas.openxmlformats.org/officeDocument/2006/relationships/hyperlink" Target="http://www.bzhunt.fr" TargetMode="External"/><Relationship  Id="rId6569" Type="http://schemas.openxmlformats.org/officeDocument/2006/relationships/hyperlink" Target="http://www.linkedin.com/in/matthieu-mercusot" TargetMode="External"/><Relationship  Id="rId657" Type="http://schemas.openxmlformats.org/officeDocument/2006/relationships/hyperlink" Target="http://www.levalgaudry.com" TargetMode="External"/><Relationship  Id="rId6570" Type="http://schemas.openxmlformats.org/officeDocument/2006/relationships/hyperlink" Target="http://rokodo.io/" TargetMode="External"/><Relationship  Id="rId6571" Type="http://schemas.openxmlformats.org/officeDocument/2006/relationships/hyperlink" Target="http://www.linkedin.com/in/minh-tuan-nguyen-26a9393" TargetMode="External"/><Relationship  Id="rId6572" Type="http://schemas.openxmlformats.org/officeDocument/2006/relationships/hyperlink" Target="http://www.rokodo.io" TargetMode="External"/><Relationship  Id="rId6573" Type="http://schemas.openxmlformats.org/officeDocument/2006/relationships/hyperlink" Target="http://www.linkedin.com/in/antoine-thomas-55ab0826" TargetMode="External"/><Relationship  Id="rId6574" Type="http://schemas.openxmlformats.org/officeDocument/2006/relationships/hyperlink" Target="http://www.eno.network" TargetMode="External"/><Relationship  Id="rId6575" Type="http://schemas.openxmlformats.org/officeDocument/2006/relationships/hyperlink" Target="http://www.linkedin.com/in/stephane-domingues-4321962b2" TargetMode="External"/><Relationship  Id="rId6576" Type="http://schemas.openxmlformats.org/officeDocument/2006/relationships/hyperlink" Target="http://www.taroko.fr" TargetMode="External"/><Relationship  Id="rId6577" Type="http://schemas.openxmlformats.org/officeDocument/2006/relationships/hyperlink" Target="http://www.linkedin.com/in/nicolas-sur-75b28969" TargetMode="External"/><Relationship  Id="rId6578" Type="http://schemas.openxmlformats.org/officeDocument/2006/relationships/hyperlink" Target="http://www.tryba-energy.com" TargetMode="External"/><Relationship  Id="rId6579" Type="http://schemas.openxmlformats.org/officeDocument/2006/relationships/hyperlink" Target="http://www.linkedin.com/in/nicholas-vincent-b706a9b" TargetMode="External"/><Relationship  Id="rId658" Type="http://schemas.openxmlformats.org/officeDocument/2006/relationships/hyperlink" Target="http://www.linkedin.com/in/laura-cambiaghi-641b075" TargetMode="External"/><Relationship  Id="rId6580" Type="http://schemas.openxmlformats.org/officeDocument/2006/relationships/hyperlink" Target="http://www.mojovida.fr" TargetMode="External"/><Relationship  Id="rId6581" Type="http://schemas.openxmlformats.org/officeDocument/2006/relationships/hyperlink" Target="http://www.linkedin.com/in/timothee-dunglas" TargetMode="External"/><Relationship  Id="rId6582" Type="http://schemas.openxmlformats.org/officeDocument/2006/relationships/hyperlink" Target="http://www.finovox.com" TargetMode="External"/><Relationship  Id="rId6583" Type="http://schemas.openxmlformats.org/officeDocument/2006/relationships/hyperlink" Target="http://www.linkedin.com/in/ludofleury" TargetMode="External"/><Relationship  Id="rId6584" Type="http://schemas.openxmlformats.org/officeDocument/2006/relationships/hyperlink" Target="http://www.cloud-iam.com" TargetMode="External"/><Relationship  Id="rId6585" Type="http://schemas.openxmlformats.org/officeDocument/2006/relationships/hyperlink" Target="http://www.linkedin.com/in/albanguyot" TargetMode="External"/><Relationship  Id="rId6586" Type="http://schemas.openxmlformats.org/officeDocument/2006/relationships/hyperlink" Target="http://www.entreprisedufutur.com" TargetMode="External"/><Relationship  Id="rId6587" Type="http://schemas.openxmlformats.org/officeDocument/2006/relationships/hyperlink" Target="http://www.linkedin.com/in/mo%c3%afse-akbaraly" TargetMode="External"/><Relationship  Id="rId6588" Type="http://schemas.openxmlformats.org/officeDocument/2006/relationships/hyperlink" Target="http://www.docaxess.com" TargetMode="External"/><Relationship  Id="rId6589" Type="http://schemas.openxmlformats.org/officeDocument/2006/relationships/hyperlink" Target="http://www.linkedin.com/in/youssef-hannad-bb9b1811" TargetMode="External"/><Relationship  Id="rId659" Type="http://schemas.openxmlformats.org/officeDocument/2006/relationships/hyperlink" Target="http://www.lcdistinctive.com" TargetMode="External"/><Relationship  Id="rId6590" Type="http://schemas.openxmlformats.org/officeDocument/2006/relationships/hyperlink" Target="http://www.dmtechnology.fr" TargetMode="External"/><Relationship  Id="rId6591" Type="http://schemas.openxmlformats.org/officeDocument/2006/relationships/hyperlink" Target="http://www.linkedin.com/in/kevinbuzaglo" TargetMode="External"/><Relationship  Id="rId6592" Type="http://schemas.openxmlformats.org/officeDocument/2006/relationships/hyperlink" Target="http://www.deeploy.fr" TargetMode="External"/><Relationship  Id="rId6593" Type="http://schemas.openxmlformats.org/officeDocument/2006/relationships/hyperlink" Target="http://www.linkedin.com/in/jad-nassar-28423ba4" TargetMode="External"/><Relationship  Id="rId6594" Type="http://schemas.openxmlformats.org/officeDocument/2006/relationships/hyperlink" Target="http://www.upscale-hub.com" TargetMode="External"/><Relationship  Id="rId6595" Type="http://schemas.openxmlformats.org/officeDocument/2006/relationships/hyperlink" Target="http://www.linkedin.com/in/anass-khobzi-b7914514b" TargetMode="External"/><Relationship  Id="rId6596" Type="http://schemas.openxmlformats.org/officeDocument/2006/relationships/hyperlink" Target="http://www.cali-intelligences.com" TargetMode="External"/><Relationship  Id="rId6597" Type="http://schemas.openxmlformats.org/officeDocument/2006/relationships/hyperlink" Target="http://www.linkedin.com/in/viravanh-somvang-a10804105" TargetMode="External"/><Relationship  Id="rId6598" Type="http://schemas.openxmlformats.org/officeDocument/2006/relationships/hyperlink" Target="http://www.welbees.com" TargetMode="External"/><Relationship  Id="rId6599" Type="http://schemas.openxmlformats.org/officeDocument/2006/relationships/hyperlink" Target="http://www.linkedin.com/in/jean-cl%c3%a9ment-swistowski-099560196" TargetMode="External"/><Relationship  Id="rId66" Type="http://schemas.openxmlformats.org/officeDocument/2006/relationships/hyperlink" Target="http://www.linkedin.com/in/sophie-letard-75bba57a" TargetMode="External"/><Relationship  Id="rId660" Type="http://schemas.openxmlformats.org/officeDocument/2006/relationships/hyperlink" Target="http://www.linkedin.com/in/joseph-paris-06681a10" TargetMode="External"/><Relationship  Id="rId6600" Type="http://schemas.openxmlformats.org/officeDocument/2006/relationships/hyperlink" Target="http://www.pcemobile.fr" TargetMode="External"/><Relationship  Id="rId6601" Type="http://schemas.openxmlformats.org/officeDocument/2006/relationships/hyperlink" Target="http://www.linkedin.com/in/laurent-chabaud-049994161" TargetMode="External"/><Relationship  Id="rId6602" Type="http://schemas.openxmlformats.org/officeDocument/2006/relationships/hyperlink" Target="http://www.splm-semexval.com" TargetMode="External"/><Relationship  Id="rId6603" Type="http://schemas.openxmlformats.org/officeDocument/2006/relationships/hyperlink" Target="http://www.linkedin.com/in/laurent-vasset-cx-transformation" TargetMode="External"/><Relationship  Id="rId6604" Type="http://schemas.openxmlformats.org/officeDocument/2006/relationships/hyperlink" Target="http://www.viitamine.com" TargetMode="External"/><Relationship  Id="rId6605" Type="http://schemas.openxmlformats.org/officeDocument/2006/relationships/hyperlink" Target="http://www.linkedin.com/in/olivier-girardot-b8715210" TargetMode="External"/><Relationship  Id="rId6606" Type="http://schemas.openxmlformats.org/officeDocument/2006/relationships/hyperlink" Target="http://www.terresrouges.com" TargetMode="External"/><Relationship  Id="rId6607" Type="http://schemas.openxmlformats.org/officeDocument/2006/relationships/hyperlink" Target="http://www.linkedin.com/in/paul-lepicard-9772639" TargetMode="External"/><Relationship  Id="rId6608" Type="http://schemas.openxmlformats.org/officeDocument/2006/relationships/hyperlink" Target="http://www.conseil3d.com" TargetMode="External"/><Relationship  Id="rId6609" Type="http://schemas.openxmlformats.org/officeDocument/2006/relationships/hyperlink" Target="http://www.linkedin.com/in/morgan-brebant-5310864a" TargetMode="External"/><Relationship  Id="rId661" Type="http://schemas.openxmlformats.org/officeDocument/2006/relationships/hyperlink" Target="http://www.ouilink.fr" TargetMode="External"/><Relationship  Id="rId6610" Type="http://schemas.openxmlformats.org/officeDocument/2006/relationships/hyperlink" Target="http://www.e-xteq.com" TargetMode="External"/><Relationship  Id="rId6611" Type="http://schemas.openxmlformats.org/officeDocument/2006/relationships/hyperlink" Target="http://www.linkedin.com/in/olivier-richalot-7b011215" TargetMode="External"/><Relationship  Id="rId6612" Type="http://schemas.openxmlformats.org/officeDocument/2006/relationships/hyperlink" Target="http://www.brentome.com" TargetMode="External"/><Relationship  Id="rId6613" Type="http://schemas.openxmlformats.org/officeDocument/2006/relationships/hyperlink" Target="http://www.linkedin.com/in/thierry-bruel-187475112" TargetMode="External"/><Relationship  Id="rId6614" Type="http://schemas.openxmlformats.org/officeDocument/2006/relationships/hyperlink" Target="http://www.es-tete.com" TargetMode="External"/><Relationship  Id="rId6615" Type="http://schemas.openxmlformats.org/officeDocument/2006/relationships/hyperlink" Target="http://www.linkedin.com/in/lefloch-fabrice-01bb404" TargetMode="External"/><Relationship  Id="rId6616" Type="http://schemas.openxmlformats.org/officeDocument/2006/relationships/hyperlink" Target="http://www.payps.fr" TargetMode="External"/><Relationship  Id="rId6617" Type="http://schemas.openxmlformats.org/officeDocument/2006/relationships/hyperlink" Target="http://www.linkedin.com/in/olivierrafal" TargetMode="External"/><Relationship  Id="rId6618" Type="http://schemas.openxmlformats.org/officeDocument/2006/relationships/hyperlink" Target="http://www.wenvision.com" TargetMode="External"/><Relationship  Id="rId6619" Type="http://schemas.openxmlformats.org/officeDocument/2006/relationships/hyperlink" Target="http://www.linkedin.com/in/quentin-monroux-283991131" TargetMode="External"/><Relationship  Id="rId662" Type="http://schemas.openxmlformats.org/officeDocument/2006/relationships/hyperlink" Target="http://www.linkedin.com/in/ignace-vantorre" TargetMode="External"/><Relationship  Id="rId6620" Type="http://schemas.openxmlformats.org/officeDocument/2006/relationships/hyperlink" Target="http://www.statera-corp.com" TargetMode="External"/><Relationship  Id="rId6621" Type="http://schemas.openxmlformats.org/officeDocument/2006/relationships/hyperlink" Target="http://www.linkedin.com/in/pascal-lemaitre-8a3400171" TargetMode="External"/><Relationship  Id="rId6622" Type="http://schemas.openxmlformats.org/officeDocument/2006/relationships/hyperlink" Target="http://www.infodex.mc" TargetMode="External"/><Relationship  Id="rId6623" Type="http://schemas.openxmlformats.org/officeDocument/2006/relationships/hyperlink" Target="http://www.linkedin.com/in/celinechauveau" TargetMode="External"/><Relationship  Id="rId6624" Type="http://schemas.openxmlformats.org/officeDocument/2006/relationships/hyperlink" Target="http://www.ecosysgroup.com" TargetMode="External"/><Relationship  Id="rId6625" Type="http://schemas.openxmlformats.org/officeDocument/2006/relationships/hyperlink" Target="http://www.linkedin.com/in/magali-triano-64967018" TargetMode="External"/><Relationship  Id="rId6626" Type="http://schemas.openxmlformats.org/officeDocument/2006/relationships/hyperlink" Target="http://www.bleu-tomate.fr" TargetMode="External"/><Relationship  Id="rId6627" Type="http://schemas.openxmlformats.org/officeDocument/2006/relationships/hyperlink" Target="http://www.linkedin.com/in/rami-iguerwane" TargetMode="External"/><Relationship  Id="rId6628" Type="http://schemas.openxmlformats.org/officeDocument/2006/relationships/hyperlink" Target="http://www.steerlab.ai" TargetMode="External"/><Relationship  Id="rId6629" Type="http://schemas.openxmlformats.org/officeDocument/2006/relationships/hyperlink" Target="http://www.linkedin.com/in/adrien-caupin-5097a1170" TargetMode="External"/><Relationship  Id="rId663" Type="http://schemas.openxmlformats.org/officeDocument/2006/relationships/hyperlink" Target="http://www.otoctone.com" TargetMode="External"/><Relationship  Id="rId6630" Type="http://schemas.openxmlformats.org/officeDocument/2006/relationships/hyperlink" Target="http://www.sleeq.fr" TargetMode="External"/><Relationship  Id="rId6631" Type="http://schemas.openxmlformats.org/officeDocument/2006/relationships/hyperlink" Target="http://www.linkedin.com/in/jeanlaurentijpmassocies" TargetMode="External"/><Relationship  Id="rId6632" Type="http://schemas.openxmlformats.org/officeDocument/2006/relationships/hyperlink" Target="http://www.jpm-partner.com" TargetMode="External"/><Relationship  Id="rId6633" Type="http://schemas.openxmlformats.org/officeDocument/2006/relationships/hyperlink" Target="http://www.linkedin.com/in/stephane-douchet-a209211" TargetMode="External"/><Relationship  Id="rId6634" Type="http://schemas.openxmlformats.org/officeDocument/2006/relationships/hyperlink" Target="http://www.linkedin.com/in/stephane-dellier-27a8a05" TargetMode="External"/><Relationship  Id="rId6635" Type="http://schemas.openxmlformats.org/officeDocument/2006/relationships/hyperlink" Target="http://www.wupatec.com" TargetMode="External"/><Relationship  Id="rId6636" Type="http://schemas.openxmlformats.org/officeDocument/2006/relationships/hyperlink" Target="http://www.linkedin.com/in/eric-bolo-141a244a" TargetMode="External"/><Relationship  Id="rId6637" Type="http://schemas.openxmlformats.org/officeDocument/2006/relationships/hyperlink" Target="http://www.linkedin.com/in/ludovicdeschamps" TargetMode="External"/><Relationship  Id="rId6638" Type="http://schemas.openxmlformats.org/officeDocument/2006/relationships/hyperlink" Target="http://www.aquastar-consulting.com" TargetMode="External"/><Relationship  Id="rId6639" Type="http://schemas.openxmlformats.org/officeDocument/2006/relationships/hyperlink" Target="http://www.linkedin.com/in/jeff-tealer-8a451b99" TargetMode="External"/><Relationship  Id="rId664" Type="http://schemas.openxmlformats.org/officeDocument/2006/relationships/hyperlink" Target="http://www.linkedin.com/in/st%c3%a9phane-manigold-a91000162" TargetMode="External"/><Relationship  Id="rId6640" Type="http://schemas.openxmlformats.org/officeDocument/2006/relationships/hyperlink" Target="http://www.tealer.fr" TargetMode="External"/><Relationship  Id="rId6641" Type="http://schemas.openxmlformats.org/officeDocument/2006/relationships/hyperlink" Target="http://www.linkedin.com/in/philippe-long%c3%a8re-b124491" TargetMode="External"/><Relationship  Id="rId6642" Type="http://schemas.openxmlformats.org/officeDocument/2006/relationships/hyperlink" Target="http://www.cryptense.com" TargetMode="External"/><Relationship  Id="rId6643" Type="http://schemas.openxmlformats.org/officeDocument/2006/relationships/hyperlink" Target="http://www.linkedin.com/in/antonin-roussel-0642b9200" TargetMode="External"/><Relationship  Id="rId6644" Type="http://schemas.openxmlformats.org/officeDocument/2006/relationships/hyperlink" Target="http://www.iaelilleconsulting.fr" TargetMode="External"/><Relationship  Id="rId6645" Type="http://schemas.openxmlformats.org/officeDocument/2006/relationships/hyperlink" Target="http://www.linkedin.com/in/pierre-rocherie-99aa6213b" TargetMode="External"/><Relationship  Id="rId6646" Type="http://schemas.openxmlformats.org/officeDocument/2006/relationships/hyperlink" Target="http://www.bye-buy-car.com" TargetMode="External"/><Relationship  Id="rId6647" Type="http://schemas.openxmlformats.org/officeDocument/2006/relationships/hyperlink" Target="http://www.linkedin.com/in/ludovic-saffroy-954a7313" TargetMode="External"/><Relationship  Id="rId6648" Type="http://schemas.openxmlformats.org/officeDocument/2006/relationships/hyperlink" Target="http://www.studio9p.com" TargetMode="External"/><Relationship  Id="rId6649" Type="http://schemas.openxmlformats.org/officeDocument/2006/relationships/hyperlink" Target="http://www.linkedin.com/in/val%c3%a8re-tanche-5b70a9139" TargetMode="External"/><Relationship  Id="rId665" Type="http://schemas.openxmlformats.org/officeDocument/2006/relationships/hyperlink" Target="http://www.groupeeclore.paris" TargetMode="External"/><Relationship  Id="rId6650" Type="http://schemas.openxmlformats.org/officeDocument/2006/relationships/hyperlink" Target="http://www.augusteetferdinand.com" TargetMode="External"/><Relationship  Id="rId6651" Type="http://schemas.openxmlformats.org/officeDocument/2006/relationships/hyperlink" Target="http://www.linkedin.com/in/stephanepuchois" TargetMode="External"/><Relationship  Id="rId6652" Type="http://schemas.openxmlformats.org/officeDocument/2006/relationships/hyperlink" Target="http://www.thepersuaders.fr" TargetMode="External"/><Relationship  Id="rId6653" Type="http://schemas.openxmlformats.org/officeDocument/2006/relationships/hyperlink" Target="http://www.linkedin.com/in/hassan-aouisse-9995352" TargetMode="External"/><Relationship  Id="rId6654" Type="http://schemas.openxmlformats.org/officeDocument/2006/relationships/hyperlink" Target="http://www.stellar.tc" TargetMode="External"/><Relationship  Id="rId6655" Type="http://schemas.openxmlformats.org/officeDocument/2006/relationships/hyperlink" Target="http://www.linkedin.com/in/virginie-corbeaux-3b3129bb" TargetMode="External"/><Relationship  Id="rId6656" Type="http://schemas.openxmlformats.org/officeDocument/2006/relationships/hyperlink" Target="http://www.marquedigitale.fr" TargetMode="External"/><Relationship  Id="rId6657" Type="http://schemas.openxmlformats.org/officeDocument/2006/relationships/hyperlink" Target="http://www.linkedin.com/in/mathieu-moretau-454b8962" TargetMode="External"/><Relationship  Id="rId6658" Type="http://schemas.openxmlformats.org/officeDocument/2006/relationships/hyperlink" Target="http://www.sc-form.com" TargetMode="External"/><Relationship  Id="rId6659" Type="http://schemas.openxmlformats.org/officeDocument/2006/relationships/hyperlink" Target="http://www.linkedin.com/in/alextil" TargetMode="External"/><Relationship  Id="rId666" Type="http://schemas.openxmlformats.org/officeDocument/2006/relationships/hyperlink" Target="http://www.linkedin.com/in/pierreborris" TargetMode="External"/><Relationship  Id="rId6660" Type="http://schemas.openxmlformats.org/officeDocument/2006/relationships/hyperlink" Target="http://www.laguild.io" TargetMode="External"/><Relationship  Id="rId6661" Type="http://schemas.openxmlformats.org/officeDocument/2006/relationships/hyperlink" Target="http://www.linkedin.com/in/mllejuliearnaud" TargetMode="External"/><Relationship  Id="rId6662" Type="http://schemas.openxmlformats.org/officeDocument/2006/relationships/hyperlink" Target="http://www.la-bise.fr" TargetMode="External"/><Relationship  Id="rId6663" Type="http://schemas.openxmlformats.org/officeDocument/2006/relationships/hyperlink" Target="http://www.linkedin.com/in/christophe-lepoittevin-ld-telecoms-ld-solution-235b763a" TargetMode="External"/><Relationship  Id="rId6664" Type="http://schemas.openxmlformats.org/officeDocument/2006/relationships/hyperlink" Target="http://www.ldtelecoms.com" TargetMode="External"/><Relationship  Id="rId6665" Type="http://schemas.openxmlformats.org/officeDocument/2006/relationships/hyperlink" Target="http://www.linkedin.com/in/monetvincent" TargetMode="External"/><Relationship  Id="rId6666" Type="http://schemas.openxmlformats.org/officeDocument/2006/relationships/hyperlink" Target="http://www.dacker.co" TargetMode="External"/><Relationship  Id="rId6667" Type="http://schemas.openxmlformats.org/officeDocument/2006/relationships/hyperlink" Target="http://www.linkedin.com/in/jlengrais" TargetMode="External"/><Relationship  Id="rId6668" Type="http://schemas.openxmlformats.org/officeDocument/2006/relationships/hyperlink" Target="http://www.preste.ai" TargetMode="External"/><Relationship  Id="rId6669" Type="http://schemas.openxmlformats.org/officeDocument/2006/relationships/hyperlink" Target="http://www.linkedin.com/in/rageevan-thanabalan-b8223514" TargetMode="External"/><Relationship  Id="rId667" Type="http://schemas.openxmlformats.org/officeDocument/2006/relationships/hyperlink" Target="http://www.premiere-loge.com" TargetMode="External"/><Relationship  Id="rId6670" Type="http://schemas.openxmlformats.org/officeDocument/2006/relationships/hyperlink" Target="http://www.becycure.com" TargetMode="External"/><Relationship  Id="rId6671" Type="http://schemas.openxmlformats.org/officeDocument/2006/relationships/hyperlink" Target="http://www.linkedin.com/in/dan-bouzaglou-922b681b6" TargetMode="External"/><Relationship  Id="rId6672" Type="http://schemas.openxmlformats.org/officeDocument/2006/relationships/hyperlink" Target="http://www.techmarketing.biz" TargetMode="External"/><Relationship  Id="rId6673" Type="http://schemas.openxmlformats.org/officeDocument/2006/relationships/hyperlink" Target="http://www.linkedin.com/in/pierre-sigrist" TargetMode="External"/><Relationship  Id="rId6674" Type="http://schemas.openxmlformats.org/officeDocument/2006/relationships/hyperlink" Target="http://www.linkedin.com/in/anas-labriti-407283168" TargetMode="External"/><Relationship  Id="rId6675" Type="http://schemas.openxmlformats.org/officeDocument/2006/relationships/hyperlink" Target="http://www.abalsia.com" TargetMode="External"/><Relationship  Id="rId6676" Type="http://schemas.openxmlformats.org/officeDocument/2006/relationships/hyperlink" Target="http://www.linkedin.com/in/olivierpegeon" TargetMode="External"/><Relationship  Id="rId6677" Type="http://schemas.openxmlformats.org/officeDocument/2006/relationships/hyperlink" Target="http://www.qbit-soft.com" TargetMode="External"/><Relationship  Id="rId6678" Type="http://schemas.openxmlformats.org/officeDocument/2006/relationships/hyperlink" Target="http://www.linkedin.com/in/pauline-le-clere-46ba935" TargetMode="External"/><Relationship  Id="rId6679" Type="http://schemas.openxmlformats.org/officeDocument/2006/relationships/hyperlink" Target="http://www.perlesdhistoire.fr" TargetMode="External"/><Relationship  Id="rId668" Type="http://schemas.openxmlformats.org/officeDocument/2006/relationships/hyperlink" Target="http://www.linkedin.com/in/harold-vernon-162a2146" TargetMode="External"/><Relationship  Id="rId6680" Type="http://schemas.openxmlformats.org/officeDocument/2006/relationships/hyperlink" Target="http://www.linkedin.com/in/jorisrenaud" TargetMode="External"/><Relationship  Id="rId6681" Type="http://schemas.openxmlformats.org/officeDocument/2006/relationships/hyperlink" Target="http://www.magma.app" TargetMode="External"/><Relationship  Id="rId6682" Type="http://schemas.openxmlformats.org/officeDocument/2006/relationships/hyperlink" Target="http://www.linkedin.com/in/akram-el-fadil-401b2799" TargetMode="External"/><Relationship  Id="rId6683" Type="http://schemas.openxmlformats.org/officeDocument/2006/relationships/hyperlink" Target="http://www.reetain.com" TargetMode="External"/><Relationship  Id="rId6684" Type="http://schemas.openxmlformats.org/officeDocument/2006/relationships/hyperlink" Target="http://www.linkedin.com/in/josselinlebail" TargetMode="External"/><Relationship  Id="rId6685" Type="http://schemas.openxmlformats.org/officeDocument/2006/relationships/hyperlink" Target="http://www.edda.co" TargetMode="External"/><Relationship  Id="rId6686" Type="http://schemas.openxmlformats.org/officeDocument/2006/relationships/hyperlink" Target="http://www.linkedin.com/in/pierre-falez-2777b9176" TargetMode="External"/><Relationship  Id="rId6687" Type="http://schemas.openxmlformats.org/officeDocument/2006/relationships/hyperlink" Target="http://www.whispeak.io" TargetMode="External"/><Relationship  Id="rId6688" Type="http://schemas.openxmlformats.org/officeDocument/2006/relationships/hyperlink" Target="http://www.linkedin.com/in/joel-belafa-98139635" TargetMode="External"/><Relationship  Id="rId6689" Type="http://schemas.openxmlformats.org/officeDocument/2006/relationships/hyperlink" Target="http://www.linkedin.com/in/oussama-lessis-b8a02481" TargetMode="External"/><Relationship  Id="rId669" Type="http://schemas.openxmlformats.org/officeDocument/2006/relationships/hyperlink" Target="http://www.repaires.com" TargetMode="External"/><Relationship  Id="rId6690" Type="http://schemas.openxmlformats.org/officeDocument/2006/relationships/hyperlink" Target="http://www.pwnandpatch.com" TargetMode="External"/><Relationship  Id="rId6691" Type="http://schemas.openxmlformats.org/officeDocument/2006/relationships/hyperlink" Target="http://www.linkedin.com/in/laurenfryermuse" TargetMode="External"/><Relationship  Id="rId6692" Type="http://schemas.openxmlformats.org/officeDocument/2006/relationships/hyperlink" Target="http://www.musetheagency.com" TargetMode="External"/><Relationship  Id="rId6693" Type="http://schemas.openxmlformats.org/officeDocument/2006/relationships/hyperlink" Target="http://www.linkedin.com/in/arthur-magne-2b81aa81" TargetMode="External"/><Relationship  Id="rId6694" Type="http://schemas.openxmlformats.org/officeDocument/2006/relationships/hyperlink" Target="http://www.packmind.com" TargetMode="External"/><Relationship  Id="rId6695" Type="http://schemas.openxmlformats.org/officeDocument/2006/relationships/hyperlink" Target="http://www.linkedin.com/in/bernardocabrera" TargetMode="External"/><Relationship  Id="rId6696" Type="http://schemas.openxmlformats.org/officeDocument/2006/relationships/hyperlink" Target="http://www.seckiot.fr" TargetMode="External"/><Relationship  Id="rId6697" Type="http://schemas.openxmlformats.org/officeDocument/2006/relationships/hyperlink" Target="http://www.linkedin.com/in/emmanuelmonnereau" TargetMode="External"/><Relationship  Id="rId6698" Type="http://schemas.openxmlformats.org/officeDocument/2006/relationships/hyperlink" Target="http://www.linkedin.com/in/abdellah-el-asry-0a3478" TargetMode="External"/><Relationship  Id="rId6699" Type="http://schemas.openxmlformats.org/officeDocument/2006/relationships/hyperlink" Target="http://www.snr-partners.com" TargetMode="External"/><Relationship  Id="rId67" Type="http://schemas.openxmlformats.org/officeDocument/2006/relationships/hyperlink" Target="http://www.effyciens-consulting.com" TargetMode="External"/><Relationship  Id="rId670" Type="http://schemas.openxmlformats.org/officeDocument/2006/relationships/hyperlink" Target="http://www.linkedin.com/in/mich%c3%a8le-gehlen-6a2b05186" TargetMode="External"/><Relationship  Id="rId6700" Type="http://schemas.openxmlformats.org/officeDocument/2006/relationships/hyperlink" Target="http://www.linkedin.com/in/veerpal-s-7a97188b" TargetMode="External"/><Relationship  Id="rId6701" Type="http://schemas.openxmlformats.org/officeDocument/2006/relationships/hyperlink" Target="http://www.vakeconsulting.com" TargetMode="External"/><Relationship  Id="rId6702" Type="http://schemas.openxmlformats.org/officeDocument/2006/relationships/hyperlink" Target="http://www.linkedin.com/in/bertrand-lefort-indelec" TargetMode="External"/><Relationship  Id="rId6703" Type="http://schemas.openxmlformats.org/officeDocument/2006/relationships/hyperlink" Target="http://www.indelecmobility.fr" TargetMode="External"/><Relationship  Id="rId6704" Type="http://schemas.openxmlformats.org/officeDocument/2006/relationships/hyperlink" Target="http://nocrm.io/" TargetMode="External"/><Relationship  Id="rId6705" Type="http://schemas.openxmlformats.org/officeDocument/2006/relationships/hyperlink" Target="http://www.linkedin.com/in/guvenurganci" TargetMode="External"/><Relationship  Id="rId6706" Type="http://schemas.openxmlformats.org/officeDocument/2006/relationships/hyperlink" Target="http://www.nocrm.io" TargetMode="External"/><Relationship  Id="rId6707" Type="http://schemas.openxmlformats.org/officeDocument/2006/relationships/hyperlink" Target="http://www.linkedin.com/in/c%c3%a9dric-fournet-244a5b230" TargetMode="External"/><Relationship  Id="rId6708" Type="http://schemas.openxmlformats.org/officeDocument/2006/relationships/hyperlink" Target="http://www.scintelle.fr" TargetMode="External"/><Relationship  Id="rId6709" Type="http://schemas.openxmlformats.org/officeDocument/2006/relationships/hyperlink" Target="http://www.linkedin.com/in/j%c3%a9r%c3%b4me-de-saint-chamas-61441538" TargetMode="External"/><Relationship  Id="rId671" Type="http://schemas.openxmlformats.org/officeDocument/2006/relationships/hyperlink" Target="http://www.gelvar.com" TargetMode="External"/><Relationship  Id="rId6710" Type="http://schemas.openxmlformats.org/officeDocument/2006/relationships/hyperlink" Target="http://www.linkedin.com/in/ath%c3%a9na-lemonnier-204baaa3" TargetMode="External"/><Relationship  Id="rId6711" Type="http://schemas.openxmlformats.org/officeDocument/2006/relationships/hyperlink" Target="http://www.prestinfo-services.com" TargetMode="External"/><Relationship  Id="rId6712" Type="http://schemas.openxmlformats.org/officeDocument/2006/relationships/hyperlink" Target="http://www.linkedin.com/in/julien-trucy-4a4a9a4" TargetMode="External"/><Relationship  Id="rId6713" Type="http://schemas.openxmlformats.org/officeDocument/2006/relationships/hyperlink" Target="http://www.legitbee.com" TargetMode="External"/><Relationship  Id="rId6714" Type="http://schemas.openxmlformats.org/officeDocument/2006/relationships/hyperlink" Target="http://www.linkedin.com/in/s%c3%a9bastien-bouzit-b6284765" TargetMode="External"/><Relationship  Id="rId6715" Type="http://schemas.openxmlformats.org/officeDocument/2006/relationships/hyperlink" Target="http://www.rougevert.fr" TargetMode="External"/><Relationship  Id="rId6716" Type="http://schemas.openxmlformats.org/officeDocument/2006/relationships/hyperlink" Target="http://www.linkedin.com/in/st%c3%a9phane-dolhin-a2496511b" TargetMode="External"/><Relationship  Id="rId6717" Type="http://schemas.openxmlformats.org/officeDocument/2006/relationships/hyperlink" Target="http://www.linkedin.com/in/gisele-journo" TargetMode="External"/><Relationship  Id="rId6718" Type="http://schemas.openxmlformats.org/officeDocument/2006/relationships/hyperlink" Target="http://www.gisele-paris.fr" TargetMode="External"/><Relationship  Id="rId6719" Type="http://schemas.openxmlformats.org/officeDocument/2006/relationships/hyperlink" Target="http://www.linkedin.com/in/thomas-de-la-villej%c3%a9gu-8a631494" TargetMode="External"/><Relationship  Id="rId672" Type="http://schemas.openxmlformats.org/officeDocument/2006/relationships/hyperlink" Target="http://www.linkedin.com/in/valerienomain" TargetMode="External"/><Relationship  Id="rId6720" Type="http://schemas.openxmlformats.org/officeDocument/2006/relationships/hyperlink" Target="http://www.daze-mgmt.com" TargetMode="External"/><Relationship  Id="rId6721" Type="http://schemas.openxmlformats.org/officeDocument/2006/relationships/hyperlink" Target="http://www.linkedin.com/in/melinda-dubreucq-008170138" TargetMode="External"/><Relationship  Id="rId6722" Type="http://schemas.openxmlformats.org/officeDocument/2006/relationships/hyperlink" Target="http://www.peftrust.com" TargetMode="External"/><Relationship  Id="rId6723" Type="http://schemas.openxmlformats.org/officeDocument/2006/relationships/hyperlink" Target="http://www.linkedin.com/in/kjego" TargetMode="External"/><Relationship  Id="rId6724" Type="http://schemas.openxmlformats.org/officeDocument/2006/relationships/hyperlink" Target="http://www.phonerbusiness.com" TargetMode="External"/><Relationship  Id="rId6725" Type="http://schemas.openxmlformats.org/officeDocument/2006/relationships/hyperlink" Target="http://www.linkedin.com/in/dragoumis" TargetMode="External"/><Relationship  Id="rId6726" Type="http://schemas.openxmlformats.org/officeDocument/2006/relationships/hyperlink" Target="http://www.quarks-safety.com" TargetMode="External"/><Relationship  Id="rId6727" Type="http://schemas.openxmlformats.org/officeDocument/2006/relationships/hyperlink" Target="http://www.linkedin.com/in/nicolas-cardon" TargetMode="External"/><Relationship  Id="rId6728" Type="http://schemas.openxmlformats.org/officeDocument/2006/relationships/hyperlink" Target="http://www.wemoov.fr" TargetMode="External"/><Relationship  Id="rId6729" Type="http://schemas.openxmlformats.org/officeDocument/2006/relationships/hyperlink" Target="http://www.linkedin.com/in/benoit-perrin" TargetMode="External"/><Relationship  Id="rId673" Type="http://schemas.openxmlformats.org/officeDocument/2006/relationships/hyperlink" Target="http://www.unniiq.com" TargetMode="External"/><Relationship  Id="rId6730" Type="http://schemas.openxmlformats.org/officeDocument/2006/relationships/hyperlink" Target="http://www.linkedin.com/in/meziane-aberkane-a08a4a152" TargetMode="External"/><Relationship  Id="rId6731" Type="http://schemas.openxmlformats.org/officeDocument/2006/relationships/hyperlink" Target="http://www.remelec.com" TargetMode="External"/><Relationship  Id="rId6732" Type="http://schemas.openxmlformats.org/officeDocument/2006/relationships/hyperlink" Target="http://www.linkedin.com/in/arnaud-fouquet-inovi" TargetMode="External"/><Relationship  Id="rId6733" Type="http://schemas.openxmlformats.org/officeDocument/2006/relationships/hyperlink" Target="http://www.inovi.fr" TargetMode="External"/><Relationship  Id="rId6734" Type="http://schemas.openxmlformats.org/officeDocument/2006/relationships/hyperlink" Target="http://www.linkedin.com/in/salwaharif" TargetMode="External"/><Relationship  Id="rId6735" Type="http://schemas.openxmlformats.org/officeDocument/2006/relationships/hyperlink" Target="http://www.issroad.com" TargetMode="External"/><Relationship  Id="rId6736" Type="http://schemas.openxmlformats.org/officeDocument/2006/relationships/hyperlink" Target="http://www.linkedin.com/in/clara-morel-53564683" TargetMode="External"/><Relationship  Id="rId6737" Type="http://schemas.openxmlformats.org/officeDocument/2006/relationships/hyperlink" Target="http://www.locomotiv.com" TargetMode="External"/><Relationship  Id="rId6738" Type="http://schemas.openxmlformats.org/officeDocument/2006/relationships/hyperlink" Target="http://www.linkedin.com/in/charles-caumartin-a932594b" TargetMode="External"/><Relationship  Id="rId6739" Type="http://schemas.openxmlformats.org/officeDocument/2006/relationships/hyperlink" Target="http://www.tramscan-connect.fr" TargetMode="External"/><Relationship  Id="rId674" Type="http://schemas.openxmlformats.org/officeDocument/2006/relationships/hyperlink" Target="http://www.linkedin.com/in/yann-potet-9510081" TargetMode="External"/><Relationship  Id="rId6740" Type="http://schemas.openxmlformats.org/officeDocument/2006/relationships/hyperlink" Target="http://www.linkedin.com/in/philipperapin1" TargetMode="External"/><Relationship  Id="rId6741" Type="http://schemas.openxmlformats.org/officeDocument/2006/relationships/hyperlink" Target="http://www.urbanradar.io" TargetMode="External"/><Relationship  Id="rId6742" Type="http://schemas.openxmlformats.org/officeDocument/2006/relationships/hyperlink" Target="http://www.linkedin.com/in/charles-besse-6399ab118" TargetMode="External"/><Relationship  Id="rId6743" Type="http://schemas.openxmlformats.org/officeDocument/2006/relationships/hyperlink" Target="http://www.cnsi-sd.fr" TargetMode="External"/><Relationship  Id="rId6744" Type="http://schemas.openxmlformats.org/officeDocument/2006/relationships/hyperlink" Target="http://www.linkedin.com/in/gr%c3%a9goire-chantegrel-192bba71" TargetMode="External"/><Relationship  Id="rId6745" Type="http://schemas.openxmlformats.org/officeDocument/2006/relationships/hyperlink" Target="http://www.edusign.com" TargetMode="External"/><Relationship  Id="rId6746" Type="http://schemas.openxmlformats.org/officeDocument/2006/relationships/hyperlink" Target="http://www.linkedin.com/in/serge-motton-889793" TargetMode="External"/><Relationship  Id="rId6747" Type="http://schemas.openxmlformats.org/officeDocument/2006/relationships/hyperlink" Target="http://www.changeable.fr" TargetMode="External"/><Relationship  Id="rId6748" Type="http://schemas.openxmlformats.org/officeDocument/2006/relationships/hyperlink" Target="http://www.linkedin.com/in/c%c3%a9dric-benoteau-a2580620" TargetMode="External"/><Relationship  Id="rId6749" Type="http://schemas.openxmlformats.org/officeDocument/2006/relationships/hyperlink" Target="http://www.oleasterconsulting.com" TargetMode="External"/><Relationship  Id="rId675" Type="http://schemas.openxmlformats.org/officeDocument/2006/relationships/hyperlink" Target="http://www.saintjames-bouliac.com" TargetMode="External"/><Relationship  Id="rId6750" Type="http://schemas.openxmlformats.org/officeDocument/2006/relationships/hyperlink" Target="http://www.linkedin.com/in/jeoffrey-rambinintsoa-b004694" TargetMode="External"/><Relationship  Id="rId6751" Type="http://schemas.openxmlformats.org/officeDocument/2006/relationships/hyperlink" Target="http://www.pyxis-support.com" TargetMode="External"/><Relationship  Id="rId6752" Type="http://schemas.openxmlformats.org/officeDocument/2006/relationships/hyperlink" Target="http://www.linkedin.com/in/cameronphilbert" TargetMode="External"/><Relationship  Id="rId6753" Type="http://schemas.openxmlformats.org/officeDocument/2006/relationships/hyperlink" Target="http://www.digitalgrowthinc.com" TargetMode="External"/><Relationship  Id="rId6754" Type="http://schemas.openxmlformats.org/officeDocument/2006/relationships/hyperlink" Target="http://www.linkedin.com/in/laurent-delbecq-92200610" TargetMode="External"/><Relationship  Id="rId6755" Type="http://schemas.openxmlformats.org/officeDocument/2006/relationships/hyperlink" Target="http://www.socialwire.com" TargetMode="External"/><Relationship  Id="rId6756" Type="http://schemas.openxmlformats.org/officeDocument/2006/relationships/hyperlink" Target="http://www.linkedin.com/in/c%c3%a9line-pulido-54126313" TargetMode="External"/><Relationship  Id="rId6757" Type="http://schemas.openxmlformats.org/officeDocument/2006/relationships/hyperlink" Target="http://www.la-phratrie.fr" TargetMode="External"/><Relationship  Id="rId6758" Type="http://schemas.openxmlformats.org/officeDocument/2006/relationships/hyperlink" Target="http://www.linkedin.com/in/eric-lamire-41823394" TargetMode="External"/><Relationship  Id="rId6759" Type="http://schemas.openxmlformats.org/officeDocument/2006/relationships/hyperlink" Target="http://www.norsud35.fr" TargetMode="External"/><Relationship  Id="rId676" Type="http://schemas.openxmlformats.org/officeDocument/2006/relationships/hyperlink" Target="http://www.linkedin.com/in/peterschutte1" TargetMode="External"/><Relationship  Id="rId6760" Type="http://schemas.openxmlformats.org/officeDocument/2006/relationships/hyperlink" Target="http://www.linkedin.com/in/stucki" TargetMode="External"/><Relationship  Id="rId6761" Type="http://schemas.openxmlformats.org/officeDocument/2006/relationships/hyperlink" Target="http://www.spyrit.net" TargetMode="External"/><Relationship  Id="rId6762" Type="http://schemas.openxmlformats.org/officeDocument/2006/relationships/hyperlink" Target="http://www.linkedin.com/in/rdmdp" TargetMode="External"/><Relationship  Id="rId6763" Type="http://schemas.openxmlformats.org/officeDocument/2006/relationships/hyperlink" Target="http://www.grandir.fr" TargetMode="External"/><Relationship  Id="rId6764" Type="http://schemas.openxmlformats.org/officeDocument/2006/relationships/hyperlink" Target="http://www.linkedin.com/in/serge-masson-20552850" TargetMode="External"/><Relationship  Id="rId6765" Type="http://schemas.openxmlformats.org/officeDocument/2006/relationships/hyperlink" Target="http://www.comminter.com" TargetMode="External"/><Relationship  Id="rId6766" Type="http://schemas.openxmlformats.org/officeDocument/2006/relationships/hyperlink" Target="http://www.linkedin.com/in/cyrille-lamant-0024a31b6" TargetMode="External"/><Relationship  Id="rId6767" Type="http://schemas.openxmlformats.org/officeDocument/2006/relationships/hyperlink" Target="http://www.gs-topo.com" TargetMode="External"/><Relationship  Id="rId6768" Type="http://schemas.openxmlformats.org/officeDocument/2006/relationships/hyperlink" Target="http://www.linkedin.com/in/amadoudiop" TargetMode="External"/><Relationship  Id="rId6769" Type="http://schemas.openxmlformats.org/officeDocument/2006/relationships/hyperlink" Target="http://www.mns-consulting.com" TargetMode="External"/><Relationship  Id="rId677" Type="http://schemas.openxmlformats.org/officeDocument/2006/relationships/hyperlink" Target="http://www.valvignes.com" TargetMode="External"/><Relationship  Id="rId6770" Type="http://schemas.openxmlformats.org/officeDocument/2006/relationships/hyperlink" Target="http://www.linkedin.com/in/steven-cohen-a94514245" TargetMode="External"/><Relationship  Id="rId6771" Type="http://schemas.openxmlformats.org/officeDocument/2006/relationships/hyperlink" Target="http://www.lielcom.fr" TargetMode="External"/><Relationship  Id="rId6772" Type="http://schemas.openxmlformats.org/officeDocument/2006/relationships/hyperlink" Target="http://www.linkedin.com/in/arnaudhego" TargetMode="External"/><Relationship  Id="rId6773" Type="http://schemas.openxmlformats.org/officeDocument/2006/relationships/hyperlink" Target="http://www.adikts.io" TargetMode="External"/><Relationship  Id="rId6774" Type="http://schemas.openxmlformats.org/officeDocument/2006/relationships/hyperlink" Target="http://www.linkedin.com/in/raphael-larreur-1288791a" TargetMode="External"/><Relationship  Id="rId6775" Type="http://schemas.openxmlformats.org/officeDocument/2006/relationships/hyperlink" Target="http://www.maex-invent.com" TargetMode="External"/><Relationship  Id="rId6776" Type="http://schemas.openxmlformats.org/officeDocument/2006/relationships/hyperlink" Target="http://www.linkedin.com/in/sylvain-ioan-55666b4" TargetMode="External"/><Relationship  Id="rId6777" Type="http://schemas.openxmlformats.org/officeDocument/2006/relationships/hyperlink" Target="http://www.rich-id.fr" TargetMode="External"/><Relationship  Id="rId6778" Type="http://schemas.openxmlformats.org/officeDocument/2006/relationships/hyperlink" Target="http://www.linkedin.com/in/durandenis" TargetMode="External"/><Relationship  Id="rId6779" Type="http://schemas.openxmlformats.org/officeDocument/2006/relationships/hyperlink" Target="http://www.cyberone.bg" TargetMode="External"/><Relationship  Id="rId678" Type="http://schemas.openxmlformats.org/officeDocument/2006/relationships/hyperlink" Target="http://www.linkedin.com/in/gildas-menard-894999143" TargetMode="External"/><Relationship  Id="rId6780" Type="http://schemas.openxmlformats.org/officeDocument/2006/relationships/hyperlink" Target="http://www.linkedin.com/in/alicia-garcia-a1185b5a" TargetMode="External"/><Relationship  Id="rId6781" Type="http://schemas.openxmlformats.org/officeDocument/2006/relationships/hyperlink" Target="http://www.realprint.com.mx" TargetMode="External"/><Relationship  Id="rId6782" Type="http://schemas.openxmlformats.org/officeDocument/2006/relationships/hyperlink" Target="http://www.linkedin.com/in/philippe-bessec-0a8b4041" TargetMode="External"/><Relationship  Id="rId6783" Type="http://schemas.openxmlformats.org/officeDocument/2006/relationships/hyperlink" Target="http://www.bessec-chaussures.com" TargetMode="External"/><Relationship  Id="rId6784" Type="http://schemas.openxmlformats.org/officeDocument/2006/relationships/hyperlink" Target="http://www.linkedin.com/in/laurent-gilbert-84329947" TargetMode="External"/><Relationship  Id="rId6785" Type="http://schemas.openxmlformats.org/officeDocument/2006/relationships/hyperlink" Target="http://www.lamedefond.com" TargetMode="External"/><Relationship  Id="rId6786" Type="http://schemas.openxmlformats.org/officeDocument/2006/relationships/hyperlink" Target="http://www.linkedin.com/in/quentin-rondepierre-77467699" TargetMode="External"/><Relationship  Id="rId6787" Type="http://schemas.openxmlformats.org/officeDocument/2006/relationships/hyperlink" Target="http://www.hubup.fr" TargetMode="External"/><Relationship  Id="rId6788" Type="http://schemas.openxmlformats.org/officeDocument/2006/relationships/hyperlink" Target="http://www.linkedin.com/in/michael-lalande-648a0993" TargetMode="External"/><Relationship  Id="rId6789" Type="http://schemas.openxmlformats.org/officeDocument/2006/relationships/hyperlink" Target="http://www.idealys.fr" TargetMode="External"/><Relationship  Id="rId679" Type="http://schemas.openxmlformats.org/officeDocument/2006/relationships/hyperlink" Target="http://www.hotelroiarthur.com" TargetMode="External"/><Relationship  Id="rId6790" Type="http://schemas.openxmlformats.org/officeDocument/2006/relationships/hyperlink" Target="http://www.linkedin.com/in/erwanbaynaud" TargetMode="External"/><Relationship  Id="rId6791" Type="http://schemas.openxmlformats.org/officeDocument/2006/relationships/hyperlink" Target="http://www.alobees.com" TargetMode="External"/><Relationship  Id="rId6792" Type="http://schemas.openxmlformats.org/officeDocument/2006/relationships/hyperlink" Target="http://www.linkedin.com/in/laurent-marguet1" TargetMode="External"/><Relationship  Id="rId6793" Type="http://schemas.openxmlformats.org/officeDocument/2006/relationships/hyperlink" Target="http://www.spark-merch.com" TargetMode="External"/><Relationship  Id="rId6794" Type="http://schemas.openxmlformats.org/officeDocument/2006/relationships/hyperlink" Target="http://www.linkedin.com/in/loicpiot" TargetMode="External"/><Relationship  Id="rId6795" Type="http://schemas.openxmlformats.org/officeDocument/2006/relationships/hyperlink" Target="http://www.alpa-accessoires.com" TargetMode="External"/><Relationship  Id="rId6796" Type="http://schemas.openxmlformats.org/officeDocument/2006/relationships/hyperlink" Target="http://www.linkedin.com/in/aur%c3%a9lien-cram-a44b8632" TargetMode="External"/><Relationship  Id="rId6797" Type="http://schemas.openxmlformats.org/officeDocument/2006/relationships/hyperlink" Target="http://www.horel.com" TargetMode="External"/><Relationship  Id="rId6798" Type="http://schemas.openxmlformats.org/officeDocument/2006/relationships/hyperlink" Target="http://www.linkedin.com/in/fr%c3%a9d%c3%a9ric-corolleur-a5a241b6" TargetMode="External"/><Relationship  Id="rId6799" Type="http://schemas.openxmlformats.org/officeDocument/2006/relationships/hyperlink" Target="http://www.matosbtp.com" TargetMode="External"/><Relationship  Id="rId68" Type="http://schemas.openxmlformats.org/officeDocument/2006/relationships/hyperlink" Target="http://www.linkedin.com/in/antoine-de-corson-4b129240" TargetMode="External"/><Relationship  Id="rId680" Type="http://schemas.openxmlformats.org/officeDocument/2006/relationships/hyperlink" Target="http://www.linkedin.com/in/marc-leveau-591b00221" TargetMode="External"/><Relationship  Id="rId6800" Type="http://schemas.openxmlformats.org/officeDocument/2006/relationships/hyperlink" Target="http://www.linkedin.com/in/mathias-chaumon-82027429" TargetMode="External"/><Relationship  Id="rId6801" Type="http://schemas.openxmlformats.org/officeDocument/2006/relationships/hyperlink" Target="http://www.ted.consulting" TargetMode="External"/><Relationship  Id="rId6802" Type="http://schemas.openxmlformats.org/officeDocument/2006/relationships/hyperlink" Target="http://www.linkedin.com/in/st%c3%a9phanie-barto-31982573" TargetMode="External"/><Relationship  Id="rId6803" Type="http://schemas.openxmlformats.org/officeDocument/2006/relationships/hyperlink" Target="http://www.toovalu.com" TargetMode="External"/><Relationship  Id="rId6804" Type="http://schemas.openxmlformats.org/officeDocument/2006/relationships/hyperlink" Target="http://www.linkedin.com/in/omarbenaicha" TargetMode="External"/><Relationship  Id="rId6805" Type="http://schemas.openxmlformats.org/officeDocument/2006/relationships/hyperlink" Target="http://www.certi-trust.com" TargetMode="External"/><Relationship  Id="rId6806" Type="http://schemas.openxmlformats.org/officeDocument/2006/relationships/hyperlink" Target="http://www.linkedin.com/in/romaindegrange" TargetMode="External"/><Relationship  Id="rId6807" Type="http://schemas.openxmlformats.org/officeDocument/2006/relationships/hyperlink" Target="http://www.agence-nats.com" TargetMode="External"/><Relationship  Id="rId6808" Type="http://schemas.openxmlformats.org/officeDocument/2006/relationships/hyperlink" Target="http://www.linkedin.com/in/gregoiretienne" TargetMode="External"/><Relationship  Id="rId6809" Type="http://schemas.openxmlformats.org/officeDocument/2006/relationships/hyperlink" Target="http://www.linkedin.com/in/mouilleseaux" TargetMode="External"/><Relationship  Id="rId681" Type="http://schemas.openxmlformats.org/officeDocument/2006/relationships/hyperlink" Target="http://www.kubehotel-saint-tropez.com" TargetMode="External"/><Relationship  Id="rId6810" Type="http://schemas.openxmlformats.org/officeDocument/2006/relationships/hyperlink" Target="http://www.digimium.com" TargetMode="External"/><Relationship  Id="rId6811" Type="http://schemas.openxmlformats.org/officeDocument/2006/relationships/hyperlink" Target="http://www.linkedin.com/in/jean-marie-jeunehomme" TargetMode="External"/><Relationship  Id="rId6812" Type="http://schemas.openxmlformats.org/officeDocument/2006/relationships/hyperlink" Target="http://www.linkedin.com/in/arbault" TargetMode="External"/><Relationship  Id="rId6813" Type="http://schemas.openxmlformats.org/officeDocument/2006/relationships/hyperlink" Target="http://www.davi.ai" TargetMode="External"/><Relationship  Id="rId6814" Type="http://schemas.openxmlformats.org/officeDocument/2006/relationships/hyperlink" Target="http://www.linkedin.com/in/christophe-vallee-7227683b" TargetMode="External"/><Relationship  Id="rId6815" Type="http://schemas.openxmlformats.org/officeDocument/2006/relationships/hyperlink" Target="http://www.auvisys.fr" TargetMode="External"/><Relationship  Id="rId6816" Type="http://schemas.openxmlformats.org/officeDocument/2006/relationships/hyperlink" Target="http://www.linkedin.com/in/damiengendrin" TargetMode="External"/><Relationship  Id="rId6817" Type="http://schemas.openxmlformats.org/officeDocument/2006/relationships/hyperlink" Target="http://www.agence-modo.fr" TargetMode="External"/><Relationship  Id="rId6818" Type="http://schemas.openxmlformats.org/officeDocument/2006/relationships/hyperlink" Target="http://www.linkedin.com/in/anny-naim-99848aa" TargetMode="External"/><Relationship  Id="rId6819" Type="http://schemas.openxmlformats.org/officeDocument/2006/relationships/hyperlink" Target="http://www.groupe-ingena.com" TargetMode="External"/><Relationship  Id="rId682" Type="http://schemas.openxmlformats.org/officeDocument/2006/relationships/hyperlink" Target="http://www.linkedin.com/in/olivier-pollet-villard-8584ab158" TargetMode="External"/><Relationship  Id="rId6820" Type="http://schemas.openxmlformats.org/officeDocument/2006/relationships/hyperlink" Target="http://www.linkedin.com/in/bernard-godfrain-15a662b3" TargetMode="External"/><Relationship  Id="rId6821" Type="http://schemas.openxmlformats.org/officeDocument/2006/relationships/hyperlink" Target="http://www.logimatique.com" TargetMode="External"/><Relationship  Id="rId6822" Type="http://schemas.openxmlformats.org/officeDocument/2006/relationships/hyperlink" Target="http://www.linkedin.com/in/andreaspagnolo" TargetMode="External"/><Relationship  Id="rId6823" Type="http://schemas.openxmlformats.org/officeDocument/2006/relationships/hyperlink" Target="http://www.faubourg54.com" TargetMode="External"/><Relationship  Id="rId6824" Type="http://schemas.openxmlformats.org/officeDocument/2006/relationships/hyperlink" Target="http://www.linkedin.com/in/myloh-cuki" TargetMode="External"/><Relationship  Id="rId6825" Type="http://schemas.openxmlformats.org/officeDocument/2006/relationships/hyperlink" Target="http://www.ludotech.co" TargetMode="External"/><Relationship  Id="rId6826" Type="http://schemas.openxmlformats.org/officeDocument/2006/relationships/hyperlink" Target="http://www.linkedin.com/in/marc-r-b5728547" TargetMode="External"/><Relationship  Id="rId6827" Type="http://schemas.openxmlformats.org/officeDocument/2006/relationships/hyperlink" Target="http://www.owlint.fr" TargetMode="External"/><Relationship  Id="rId6828" Type="http://schemas.openxmlformats.org/officeDocument/2006/relationships/hyperlink" Target="http://www.linkedin.com/in/bernot-etienne-b6076b95" TargetMode="External"/><Relationship  Id="rId6829" Type="http://schemas.openxmlformats.org/officeDocument/2006/relationships/hyperlink" Target="http://www.a4.fr" TargetMode="External"/><Relationship  Id="rId683" Type="http://schemas.openxmlformats.org/officeDocument/2006/relationships/hyperlink" Target="http://www.groupe-pvg.fr" TargetMode="External"/><Relationship  Id="rId6830" Type="http://schemas.openxmlformats.org/officeDocument/2006/relationships/hyperlink" Target="http://www.linkedin.com/in/philippe-miellet-9287b212a" TargetMode="External"/><Relationship  Id="rId6831" Type="http://schemas.openxmlformats.org/officeDocument/2006/relationships/hyperlink" Target="http://www.edater.fr" TargetMode="External"/><Relationship  Id="rId6832" Type="http://schemas.openxmlformats.org/officeDocument/2006/relationships/hyperlink" Target="http://www.linkedin.com/in/nicolas-pelc%c3%a9-138008108" TargetMode="External"/><Relationship  Id="rId6833" Type="http://schemas.openxmlformats.org/officeDocument/2006/relationships/hyperlink" Target="http://www.linkedin.com/in/aurore-bardon" TargetMode="External"/><Relationship  Id="rId6834" Type="http://schemas.openxmlformats.org/officeDocument/2006/relationships/hyperlink" Target="http://www.esglabsociety.com" TargetMode="External"/><Relationship  Id="rId6835" Type="http://schemas.openxmlformats.org/officeDocument/2006/relationships/hyperlink" Target="http://www.linkedin.com/in/catherinelhuillier" TargetMode="External"/><Relationship  Id="rId6836" Type="http://schemas.openxmlformats.org/officeDocument/2006/relationships/hyperlink" Target="http://www.qualios.com" TargetMode="External"/><Relationship  Id="rId6837" Type="http://schemas.openxmlformats.org/officeDocument/2006/relationships/hyperlink" Target="http://www.linkedin.com/in/fr%c3%a9d%c3%a9ric-suant-calimed-sant%c3%a9" TargetMode="External"/><Relationship  Id="rId6838" Type="http://schemas.openxmlformats.org/officeDocument/2006/relationships/hyperlink" Target="http://www.calimed-sante.fr" TargetMode="External"/><Relationship  Id="rId6839" Type="http://schemas.openxmlformats.org/officeDocument/2006/relationships/hyperlink" Target="http://www.linkedin.com/in/guillaume-guerin-74660a18" TargetMode="External"/><Relationship  Id="rId684" Type="http://schemas.openxmlformats.org/officeDocument/2006/relationships/hyperlink" Target="http://www.linkedin.com/in/guillaume-sodano-75b411267" TargetMode="External"/><Relationship  Id="rId6840" Type="http://schemas.openxmlformats.org/officeDocument/2006/relationships/hyperlink" Target="http://www.agelec.fr" TargetMode="External"/><Relationship  Id="rId6841" Type="http://schemas.openxmlformats.org/officeDocument/2006/relationships/hyperlink" Target="http://www.linkedin.com/in/robin-lucas-a6720074" TargetMode="External"/><Relationship  Id="rId6842" Type="http://schemas.openxmlformats.org/officeDocument/2006/relationships/hyperlink" Target="http://www.agencegust.com" TargetMode="External"/><Relationship  Id="rId6843" Type="http://schemas.openxmlformats.org/officeDocument/2006/relationships/hyperlink" Target="http://www.linkedin.com/in/adrien-lenglart-17386a36" TargetMode="External"/><Relationship  Id="rId6844" Type="http://schemas.openxmlformats.org/officeDocument/2006/relationships/hyperlink" Target="http://www.lenglart.com" TargetMode="External"/><Relationship  Id="rId6845" Type="http://schemas.openxmlformats.org/officeDocument/2006/relationships/hyperlink" Target="http://www.linkedin.com/in/bruno-adnet-94620a85" TargetMode="External"/><Relationship  Id="rId6846" Type="http://schemas.openxmlformats.org/officeDocument/2006/relationships/hyperlink" Target="http://www.mercureinternationalgroup.com" TargetMode="External"/><Relationship  Id="rId6847" Type="http://schemas.openxmlformats.org/officeDocument/2006/relationships/hyperlink" Target="http://www.linkedin.com/in/kevin-rigouste-25539712b" TargetMode="External"/><Relationship  Id="rId6848" Type="http://schemas.openxmlformats.org/officeDocument/2006/relationships/hyperlink" Target="http://www.anikit.fr" TargetMode="External"/><Relationship  Id="rId6849" Type="http://schemas.openxmlformats.org/officeDocument/2006/relationships/hyperlink" Target="http://www.linkedin.com/in/ilan-abbou-81481a1b8" TargetMode="External"/><Relationship  Id="rId685" Type="http://schemas.openxmlformats.org/officeDocument/2006/relationships/hyperlink" Target="http://www.hotelandrelatin.fr" TargetMode="External"/><Relationship  Id="rId6850" Type="http://schemas.openxmlformats.org/officeDocument/2006/relationships/hyperlink" Target="http://www.liko-energy.com" TargetMode="External"/><Relationship  Id="rId6851" Type="http://schemas.openxmlformats.org/officeDocument/2006/relationships/hyperlink" Target="http://www.linkedin.com/in/moneyjulie" TargetMode="External"/><Relationship  Id="rId6852" Type="http://schemas.openxmlformats.org/officeDocument/2006/relationships/hyperlink" Target="http://www.pajotmoney.com" TargetMode="External"/><Relationship  Id="rId6853" Type="http://schemas.openxmlformats.org/officeDocument/2006/relationships/hyperlink" Target="http://www.linkedin.com/in/atmaniak" TargetMode="External"/><Relationship  Id="rId6854" Type="http://schemas.openxmlformats.org/officeDocument/2006/relationships/hyperlink" Target="http://www.nuajik.io" TargetMode="External"/><Relationship  Id="rId6855" Type="http://schemas.openxmlformats.org/officeDocument/2006/relationships/hyperlink" Target="http://www.linkedin.com/in/bertrand-mazuir-96b70627" TargetMode="External"/><Relationship  Id="rId6856" Type="http://schemas.openxmlformats.org/officeDocument/2006/relationships/hyperlink" Target="http://www.mydsomanager.com" TargetMode="External"/><Relationship  Id="rId6857" Type="http://schemas.openxmlformats.org/officeDocument/2006/relationships/hyperlink" Target="http://www.linkedin.com/in/philippe-deschamps-a4a306124" TargetMode="External"/><Relationship  Id="rId6858" Type="http://schemas.openxmlformats.org/officeDocument/2006/relationships/hyperlink" Target="http://www.convergencemedia.us" TargetMode="External"/><Relationship  Id="rId6859" Type="http://schemas.openxmlformats.org/officeDocument/2006/relationships/hyperlink" Target="http://www.linkedin.com/in/archibald-pesic-10b22b1b8" TargetMode="External"/><Relationship  Id="rId686" Type="http://schemas.openxmlformats.org/officeDocument/2006/relationships/hyperlink" Target="http://www.linkedin.com/in/eric-pechaudral-22082213b" TargetMode="External"/><Relationship  Id="rId6860" Type="http://schemas.openxmlformats.org/officeDocument/2006/relationships/hyperlink" Target="http://www.hylight.aero" TargetMode="External"/><Relationship  Id="rId6861" Type="http://schemas.openxmlformats.org/officeDocument/2006/relationships/hyperlink" Target="http://www.linkedin.com/in/talal-al-habal-6826116" TargetMode="External"/><Relationship  Id="rId6862" Type="http://schemas.openxmlformats.org/officeDocument/2006/relationships/hyperlink" Target="http://www.proresources-tech.com" TargetMode="External"/><Relationship  Id="rId6863" Type="http://schemas.openxmlformats.org/officeDocument/2006/relationships/hyperlink" Target="http://www.linkedin.com/in/xavier-paquin" TargetMode="External"/><Relationship  Id="rId6864" Type="http://schemas.openxmlformats.org/officeDocument/2006/relationships/hyperlink" Target="http://www.kamae.fr" TargetMode="External"/><Relationship  Id="rId6865" Type="http://schemas.openxmlformats.org/officeDocument/2006/relationships/hyperlink" Target="http://www.linkedin.com/in/villardhelene" TargetMode="External"/><Relationship  Id="rId6866" Type="http://schemas.openxmlformats.org/officeDocument/2006/relationships/hyperlink" Target="http://www.linkedin.com/in/francoisdrounau" TargetMode="External"/><Relationship  Id="rId6867" Type="http://schemas.openxmlformats.org/officeDocument/2006/relationships/hyperlink" Target="http://www.linkedin.com/in/pascale-huyghe-doyere-19882ba1" TargetMode="External"/><Relationship  Id="rId6868" Type="http://schemas.openxmlformats.org/officeDocument/2006/relationships/hyperlink" Target="http://www.normandie-amenagement.com" TargetMode="External"/><Relationship  Id="rId6869" Type="http://schemas.openxmlformats.org/officeDocument/2006/relationships/hyperlink" Target="http://www.linkedin.com/in/charl%c3%a8ne-colloca-51a3686" TargetMode="External"/><Relationship  Id="rId687" Type="http://schemas.openxmlformats.org/officeDocument/2006/relationships/hyperlink" Target="http://www.overfull.fr" TargetMode="External"/><Relationship  Id="rId6870" Type="http://schemas.openxmlformats.org/officeDocument/2006/relationships/hyperlink" Target="http://www.bronx.fr" TargetMode="External"/><Relationship  Id="rId6871" Type="http://schemas.openxmlformats.org/officeDocument/2006/relationships/hyperlink" Target="http://www.linkedin.com/in/jonathanfiorin" TargetMode="External"/><Relationship  Id="rId6872" Type="http://schemas.openxmlformats.org/officeDocument/2006/relationships/hyperlink" Target="http://www.linkedin.com/in/alexandreterrien" TargetMode="External"/><Relationship  Id="rId6873" Type="http://schemas.openxmlformats.org/officeDocument/2006/relationships/hyperlink" Target="http://www.parable.work" TargetMode="External"/><Relationship  Id="rId6874" Type="http://schemas.openxmlformats.org/officeDocument/2006/relationships/hyperlink" Target="http://www.linkedin.com/in/georges-gener-46770aa1" TargetMode="External"/><Relationship  Id="rId6875" Type="http://schemas.openxmlformats.org/officeDocument/2006/relationships/hyperlink" Target="http://www.eleet-ev.com" TargetMode="External"/><Relationship  Id="rId6876" Type="http://schemas.openxmlformats.org/officeDocument/2006/relationships/hyperlink" Target="http://www.linkedin.com/in/vincent-redrado-dng-1948272b" TargetMode="External"/><Relationship  Id="rId6877" Type="http://schemas.openxmlformats.org/officeDocument/2006/relationships/hyperlink" Target="http://www.digitalnativegroup.com" TargetMode="External"/><Relationship  Id="rId6878" Type="http://schemas.openxmlformats.org/officeDocument/2006/relationships/hyperlink" Target="http://www.linkedin.com/in/dylan-lombard-055445133" TargetMode="External"/><Relationship  Id="rId6879" Type="http://schemas.openxmlformats.org/officeDocument/2006/relationships/hyperlink" Target="http://www.linkedin.com/in/david-biscaycacu-381a3688" TargetMode="External"/><Relationship  Id="rId688" Type="http://schemas.openxmlformats.org/officeDocument/2006/relationships/hyperlink" Target="http://www.linkedin.com/in/capucine-frerejean-071aa31a" TargetMode="External"/><Relationship  Id="rId6880" Type="http://schemas.openxmlformats.org/officeDocument/2006/relationships/hyperlink" Target="http://www.girel.fr" TargetMode="External"/><Relationship  Id="rId6881" Type="http://schemas.openxmlformats.org/officeDocument/2006/relationships/hyperlink" Target="http://www.linkedin.com/in/amandine-castaneda-32987085" TargetMode="External"/><Relationship  Id="rId6882" Type="http://schemas.openxmlformats.org/officeDocument/2006/relationships/hyperlink" Target="http://www.tdo85.fr" TargetMode="External"/><Relationship  Id="rId6883" Type="http://schemas.openxmlformats.org/officeDocument/2006/relationships/hyperlink" Target="http://www.linkedin.com/in/fran%c3%a7ois-b-02b44a7a" TargetMode="External"/><Relationship  Id="rId6884" Type="http://schemas.openxmlformats.org/officeDocument/2006/relationships/hyperlink" Target="http://www.apmj.fr" TargetMode="External"/><Relationship  Id="rId6885" Type="http://schemas.openxmlformats.org/officeDocument/2006/relationships/hyperlink" Target="http://www.linkedin.com/in/yannhourdel" TargetMode="External"/><Relationship  Id="rId6886" Type="http://schemas.openxmlformats.org/officeDocument/2006/relationships/hyperlink" Target="http://www.enginn.ai" TargetMode="External"/><Relationship  Id="rId6887" Type="http://schemas.openxmlformats.org/officeDocument/2006/relationships/hyperlink" Target="http://www.linkedin.com/in/ericgoy" TargetMode="External"/><Relationship  Id="rId6888" Type="http://schemas.openxmlformats.org/officeDocument/2006/relationships/hyperlink" Target="http://www.aprile.fr" TargetMode="External"/><Relationship  Id="rId6889" Type="http://schemas.openxmlformats.org/officeDocument/2006/relationships/hyperlink" Target="http://www.linkedin.com/in/hicham-khallouki" TargetMode="External"/><Relationship  Id="rId689" Type="http://schemas.openxmlformats.org/officeDocument/2006/relationships/hyperlink" Target="http://www.thecalisisters.com" TargetMode="External"/><Relationship  Id="rId6890" Type="http://schemas.openxmlformats.org/officeDocument/2006/relationships/hyperlink" Target="http://www.hcm-cp.com" TargetMode="External"/><Relationship  Id="rId6891" Type="http://schemas.openxmlformats.org/officeDocument/2006/relationships/hyperlink" Target="http://www.linkedin.com/in/andre-luquet-a74542104" TargetMode="External"/><Relationship  Id="rId6892" Type="http://schemas.openxmlformats.org/officeDocument/2006/relationships/hyperlink" Target="http://www.noahams.com" TargetMode="External"/><Relationship  Id="rId6893" Type="http://schemas.openxmlformats.org/officeDocument/2006/relationships/hyperlink" Target="http://www.linkedin.com/in/stephanie-bizouerne-19b0281" TargetMode="External"/><Relationship  Id="rId6894" Type="http://schemas.openxmlformats.org/officeDocument/2006/relationships/hyperlink" Target="http://www.linkedin.com/in/briquetl" TargetMode="External"/><Relationship  Id="rId6895" Type="http://schemas.openxmlformats.org/officeDocument/2006/relationships/hyperlink" Target="http://www.speedmedia.fr" TargetMode="External"/><Relationship  Id="rId6896" Type="http://schemas.openxmlformats.org/officeDocument/2006/relationships/hyperlink" Target="http://www.linkedin.com/in/noam-azoulay-ab39391ab" TargetMode="External"/><Relationship  Id="rId6897" Type="http://schemas.openxmlformats.org/officeDocument/2006/relationships/hyperlink" Target="http://www.abn-standing.fr" TargetMode="External"/><Relationship  Id="rId6898" Type="http://schemas.openxmlformats.org/officeDocument/2006/relationships/hyperlink" Target="http://www.linkedin.com/in/decidento" TargetMode="External"/><Relationship  Id="rId6899" Type="http://schemas.openxmlformats.org/officeDocument/2006/relationships/hyperlink" Target="http://www.decidento.com" TargetMode="External"/><Relationship  Id="rId69" Type="http://schemas.openxmlformats.org/officeDocument/2006/relationships/hyperlink" Target="http://www.backyou.io" TargetMode="External"/><Relationship  Id="rId690" Type="http://schemas.openxmlformats.org/officeDocument/2006/relationships/hyperlink" Target="http://www.linkedin.com/in/simijohnsoncurt" TargetMode="External"/><Relationship  Id="rId6900" Type="http://schemas.openxmlformats.org/officeDocument/2006/relationships/hyperlink" Target="http://www.linkedin.com/in/guillaume-de-benedetti" TargetMode="External"/><Relationship  Id="rId6901" Type="http://schemas.openxmlformats.org/officeDocument/2006/relationships/hyperlink" Target="http://www.agence-ep.com" TargetMode="External"/><Relationship  Id="rId6902" Type="http://schemas.openxmlformats.org/officeDocument/2006/relationships/hyperlink" Target="http://www.linkedin.com/in/damienodet" TargetMode="External"/><Relationship  Id="rId6903" Type="http://schemas.openxmlformats.org/officeDocument/2006/relationships/hyperlink" Target="http://www.neoviaretraite.fr" TargetMode="External"/><Relationship  Id="rId6904" Type="http://schemas.openxmlformats.org/officeDocument/2006/relationships/hyperlink" Target="http://www.linkedin.com/in/terence-ndongala-37911088" TargetMode="External"/><Relationship  Id="rId6905" Type="http://schemas.openxmlformats.org/officeDocument/2006/relationships/hyperlink" Target="http://www.astrastellar.com" TargetMode="External"/><Relationship  Id="rId6906" Type="http://schemas.openxmlformats.org/officeDocument/2006/relationships/hyperlink" Target="http://www.linkedin.com/in/leny-turmel-32042b89" TargetMode="External"/><Relationship  Id="rId6907" Type="http://schemas.openxmlformats.org/officeDocument/2006/relationships/hyperlink" Target="http://www.spix-industry.com" TargetMode="External"/><Relationship  Id="rId6908" Type="http://schemas.openxmlformats.org/officeDocument/2006/relationships/hyperlink" Target="http://www.linkedin.com/in/kennybertonazzi" TargetMode="External"/><Relationship  Id="rId6909" Type="http://schemas.openxmlformats.org/officeDocument/2006/relationships/hyperlink" Target="http://www.step.eco" TargetMode="External"/><Relationship  Id="rId691" Type="http://schemas.openxmlformats.org/officeDocument/2006/relationships/hyperlink" Target="http://www.mimplayandexplore.com" TargetMode="External"/><Relationship  Id="rId6910" Type="http://schemas.openxmlformats.org/officeDocument/2006/relationships/hyperlink" Target="http://www.linkedin.com/in/chiefdigitalofficer" TargetMode="External"/><Relationship  Id="rId6911" Type="http://schemas.openxmlformats.org/officeDocument/2006/relationships/hyperlink" Target="http://www.meetlescousins.com" TargetMode="External"/><Relationship  Id="rId6912" Type="http://schemas.openxmlformats.org/officeDocument/2006/relationships/hyperlink" Target="http://www.linkedin.com/in/christian-foubet-780366195" TargetMode="External"/><Relationship  Id="rId6913" Type="http://schemas.openxmlformats.org/officeDocument/2006/relationships/hyperlink" Target="http://www.neo-gi.com" TargetMode="External"/><Relationship  Id="rId6914" Type="http://schemas.openxmlformats.org/officeDocument/2006/relationships/hyperlink" Target="http://www.linkedin.com/in/alexguego" TargetMode="External"/><Relationship  Id="rId6915" Type="http://schemas.openxmlformats.org/officeDocument/2006/relationships/hyperlink" Target="http://www.happy-hire.com" TargetMode="External"/><Relationship  Id="rId6916" Type="http://schemas.openxmlformats.org/officeDocument/2006/relationships/hyperlink" Target="http://www.linkedin.com/in/romain-chabalier-1183b985" TargetMode="External"/><Relationship  Id="rId6917" Type="http://schemas.openxmlformats.org/officeDocument/2006/relationships/hyperlink" Target="http://www.altimer.fr" TargetMode="External"/><Relationship  Id="rId6918" Type="http://schemas.openxmlformats.org/officeDocument/2006/relationships/hyperlink" Target="http://www.linkedin.com/in/tyler-s-clark" TargetMode="External"/><Relationship  Id="rId6919" Type="http://schemas.openxmlformats.org/officeDocument/2006/relationships/hyperlink" Target="http://www.dreamfirms.com" TargetMode="External"/><Relationship  Id="rId692" Type="http://schemas.openxmlformats.org/officeDocument/2006/relationships/hyperlink" Target="http://www.linkedin.com/in/jennifer-cayla" TargetMode="External"/><Relationship  Id="rId6920" Type="http://schemas.openxmlformats.org/officeDocument/2006/relationships/hyperlink" Target="http://www.linkedin.com/in/vaninaberger" TargetMode="External"/><Relationship  Id="rId6921" Type="http://schemas.openxmlformats.org/officeDocument/2006/relationships/hyperlink" Target="http://www.inriastartupstudio.fr" TargetMode="External"/><Relationship  Id="rId6922" Type="http://schemas.openxmlformats.org/officeDocument/2006/relationships/hyperlink" Target="http://www.linkedin.com/in/regis-decoret-55734513" TargetMode="External"/><Relationship  Id="rId6923" Type="http://schemas.openxmlformats.org/officeDocument/2006/relationships/hyperlink" Target="http://www.syneria.eu" TargetMode="External"/><Relationship  Id="rId6924" Type="http://schemas.openxmlformats.org/officeDocument/2006/relationships/hyperlink" Target="http://www.linkedin.com/in/elies-hamzaoui" TargetMode="External"/><Relationship  Id="rId6925" Type="http://schemas.openxmlformats.org/officeDocument/2006/relationships/hyperlink" Target="http://www.obh-mobility.com" TargetMode="External"/><Relationship  Id="rId6926" Type="http://schemas.openxmlformats.org/officeDocument/2006/relationships/hyperlink" Target="http://www.linkedin.com/in/thierrybuisson" TargetMode="External"/><Relationship  Id="rId6927" Type="http://schemas.openxmlformats.org/officeDocument/2006/relationships/hyperlink" Target="http://www.1516.fr" TargetMode="External"/><Relationship  Id="rId6928" Type="http://schemas.openxmlformats.org/officeDocument/2006/relationships/hyperlink" Target="http://www.linkedin.com/in/aubry-d-andoque-de-s%c3%a9ri%c3%a8ge-434253108" TargetMode="External"/><Relationship  Id="rId6929" Type="http://schemas.openxmlformats.org/officeDocument/2006/relationships/hyperlink" Target="http://www.pimster.app" TargetMode="External"/><Relationship  Id="rId693" Type="http://schemas.openxmlformats.org/officeDocument/2006/relationships/hyperlink" Target="http://www.linkedin.com/in/clarence-grosdidier-77b59258" TargetMode="External"/><Relationship  Id="rId6930" Type="http://schemas.openxmlformats.org/officeDocument/2006/relationships/hyperlink" Target="http://www.linkedin.com/in/thomas-haim-04392b170" TargetMode="External"/><Relationship  Id="rId6931" Type="http://schemas.openxmlformats.org/officeDocument/2006/relationships/hyperlink" Target="http://www.fullwhere.com" TargetMode="External"/><Relationship  Id="rId6932" Type="http://schemas.openxmlformats.org/officeDocument/2006/relationships/hyperlink" Target="http://www.linkedin.com/in/dallavalled" TargetMode="External"/><Relationship  Id="rId6933" Type="http://schemas.openxmlformats.org/officeDocument/2006/relationships/hyperlink" Target="http://www.ekfrance.fr" TargetMode="External"/><Relationship  Id="rId6934" Type="http://schemas.openxmlformats.org/officeDocument/2006/relationships/hyperlink" Target="http://www.linkedin.com/in/stephen-zana-3a6b2915" TargetMode="External"/><Relationship  Id="rId6935" Type="http://schemas.openxmlformats.org/officeDocument/2006/relationships/hyperlink" Target="http://www.boxia.co" TargetMode="External"/><Relationship  Id="rId6936" Type="http://schemas.openxmlformats.org/officeDocument/2006/relationships/hyperlink" Target="http://www.linkedin.com/in/mathieulemonnier" TargetMode="External"/><Relationship  Id="rId6937" Type="http://schemas.openxmlformats.org/officeDocument/2006/relationships/hyperlink" Target="http://www.kmblabs.com" TargetMode="External"/><Relationship  Id="rId6938" Type="http://schemas.openxmlformats.org/officeDocument/2006/relationships/hyperlink" Target="http://www.linkedin.com/in/eric-hermantin-41b8b295" TargetMode="External"/><Relationship  Id="rId6939" Type="http://schemas.openxmlformats.org/officeDocument/2006/relationships/hyperlink" Target="http://www.blbassocies.com" TargetMode="External"/><Relationship  Id="rId694" Type="http://schemas.openxmlformats.org/officeDocument/2006/relationships/hyperlink" Target="http://www.linkedin.com/in/julie-de-chaumont-bb8b83133" TargetMode="External"/><Relationship  Id="rId6940" Type="http://schemas.openxmlformats.org/officeDocument/2006/relationships/hyperlink" Target="http://www.linkedin.com/in/xavier-llorens-4a328519" TargetMode="External"/><Relationship  Id="rId6941" Type="http://schemas.openxmlformats.org/officeDocument/2006/relationships/hyperlink" Target="http://www.be-infotech.fr" TargetMode="External"/><Relationship  Id="rId6942" Type="http://schemas.openxmlformats.org/officeDocument/2006/relationships/hyperlink" Target="http://www.linkedin.com/in/vincent-weber-0781a8" TargetMode="External"/><Relationship  Id="rId6943" Type="http://schemas.openxmlformats.org/officeDocument/2006/relationships/hyperlink" Target="http://www.inneance.fr" TargetMode="External"/><Relationship  Id="rId6944" Type="http://schemas.openxmlformats.org/officeDocument/2006/relationships/hyperlink" Target="http://www.linkedin.com/in/emmanuel-buxtorf-9a435128" TargetMode="External"/><Relationship  Id="rId6945" Type="http://schemas.openxmlformats.org/officeDocument/2006/relationships/hyperlink" Target="http://www.linkedin.com/in/michel-verhasselt-7a39747" TargetMode="External"/><Relationship  Id="rId6946" Type="http://schemas.openxmlformats.org/officeDocument/2006/relationships/hyperlink" Target="http://www.healthonephysician.com" TargetMode="External"/><Relationship  Id="rId6947" Type="http://schemas.openxmlformats.org/officeDocument/2006/relationships/hyperlink" Target="http://www.linkedin.com/in/sivan-deray-6bb7733" TargetMode="External"/><Relationship  Id="rId6948" Type="http://schemas.openxmlformats.org/officeDocument/2006/relationships/hyperlink" Target="http://www.dbm-partners.com" TargetMode="External"/><Relationship  Id="rId6949" Type="http://schemas.openxmlformats.org/officeDocument/2006/relationships/hyperlink" Target="http://www.linkedin.com/in/guillaumechampredonde" TargetMode="External"/><Relationship  Id="rId695" Type="http://schemas.openxmlformats.org/officeDocument/2006/relationships/hyperlink" Target="http://www.teisseireconsulting.com" TargetMode="External"/><Relationship  Id="rId6950" Type="http://schemas.openxmlformats.org/officeDocument/2006/relationships/hyperlink" Target="http://www.wyll.io" TargetMode="External"/><Relationship  Id="rId6951" Type="http://schemas.openxmlformats.org/officeDocument/2006/relationships/hyperlink" Target="http://www.linkedin.com/in/vincent-anselmo" TargetMode="External"/><Relationship  Id="rId6952" Type="http://schemas.openxmlformats.org/officeDocument/2006/relationships/hyperlink" Target="http://www.encaps.io" TargetMode="External"/><Relationship  Id="rId6953" Type="http://schemas.openxmlformats.org/officeDocument/2006/relationships/hyperlink" Target="http://www.linkedin.com/in/bertrand-therouin-orkis" TargetMode="External"/><Relationship  Id="rId6954" Type="http://schemas.openxmlformats.org/officeDocument/2006/relationships/hyperlink" Target="http://www.orkis.com" TargetMode="External"/><Relationship  Id="rId6955" Type="http://schemas.openxmlformats.org/officeDocument/2006/relationships/hyperlink" Target="http://www.linkedin.com/in/ahcene-ouguenoune-43094584" TargetMode="External"/><Relationship  Id="rId6956" Type="http://schemas.openxmlformats.org/officeDocument/2006/relationships/hyperlink" Target="http://www.adbi.fr" TargetMode="External"/><Relationship  Id="rId6957" Type="http://schemas.openxmlformats.org/officeDocument/2006/relationships/hyperlink" Target="http://www.linkedin.com/in/fr%c3%a9d%c3%a9ric-le-corre-5a604683" TargetMode="External"/><Relationship  Id="rId6958" Type="http://schemas.openxmlformats.org/officeDocument/2006/relationships/hyperlink" Target="http://www.cervval.com" TargetMode="External"/><Relationship  Id="rId6959" Type="http://schemas.openxmlformats.org/officeDocument/2006/relationships/hyperlink" Target="http://www.linkedin.com/in/nicolas-favand-b9a77971" TargetMode="External"/><Relationship  Id="rId696" Type="http://schemas.openxmlformats.org/officeDocument/2006/relationships/hyperlink" Target="http://www.linkedin.com/in/otto-nijdam-942bb9a9" TargetMode="External"/><Relationship  Id="rId6960" Type="http://schemas.openxmlformats.org/officeDocument/2006/relationships/hyperlink" Target="http://www.agorabox.fr" TargetMode="External"/><Relationship  Id="rId6961" Type="http://schemas.openxmlformats.org/officeDocument/2006/relationships/hyperlink" Target="http://www.linkedin.com/in/thomas-hocine-59215b206" TargetMode="External"/><Relationship  Id="rId6962" Type="http://schemas.openxmlformats.org/officeDocument/2006/relationships/hyperlink" Target="http://www.green-cube.fr" TargetMode="External"/><Relationship  Id="rId6963" Type="http://schemas.openxmlformats.org/officeDocument/2006/relationships/hyperlink" Target="http://www.linkedin.com/in/ilanlumbroso" TargetMode="External"/><Relationship  Id="rId6964" Type="http://schemas.openxmlformats.org/officeDocument/2006/relationships/hyperlink" Target="http://www.hurryman.fr" TargetMode="External"/><Relationship  Id="rId6965" Type="http://schemas.openxmlformats.org/officeDocument/2006/relationships/hyperlink" Target="http://www.linkedin.com/in/xthevenet" TargetMode="External"/><Relationship  Id="rId6966" Type="http://schemas.openxmlformats.org/officeDocument/2006/relationships/hyperlink" Target="http://www.cyrias.com" TargetMode="External"/><Relationship  Id="rId6967" Type="http://schemas.openxmlformats.org/officeDocument/2006/relationships/hyperlink" Target="http://www.linkedin.com/in/fabrice-clerc-b078b09" TargetMode="External"/><Relationship  Id="rId6968" Type="http://schemas.openxmlformats.org/officeDocument/2006/relationships/hyperlink" Target="http://www.linkedin.com/in/marc-noel-8544b2a" TargetMode="External"/><Relationship  Id="rId6969" Type="http://schemas.openxmlformats.org/officeDocument/2006/relationships/hyperlink" Target="http://www.data-driven-hr.fr" TargetMode="External"/><Relationship  Id="rId697" Type="http://schemas.openxmlformats.org/officeDocument/2006/relationships/hyperlink" Target="http://www.choukran.fr" TargetMode="External"/><Relationship  Id="rId6970" Type="http://schemas.openxmlformats.org/officeDocument/2006/relationships/hyperlink" Target="http://www.linkedin.com/in/julien-coffi-91042098" TargetMode="External"/><Relationship  Id="rId6971" Type="http://schemas.openxmlformats.org/officeDocument/2006/relationships/hyperlink" Target="http://www.magie-noire.fr" TargetMode="External"/><Relationship  Id="rId6972" Type="http://schemas.openxmlformats.org/officeDocument/2006/relationships/hyperlink" Target="http://www.linkedin.com/in/houssem-jemli-926153225" TargetMode="External"/><Relationship  Id="rId6973" Type="http://schemas.openxmlformats.org/officeDocument/2006/relationships/hyperlink" Target="http://www.aourlegacy.com" TargetMode="External"/><Relationship  Id="rId6974" Type="http://schemas.openxmlformats.org/officeDocument/2006/relationships/hyperlink" Target="http://www.linkedin.com/in/hadrien-de-la-tour-9a71b274" TargetMode="External"/><Relationship  Id="rId6975" Type="http://schemas.openxmlformats.org/officeDocument/2006/relationships/hyperlink" Target="http://www.linkedin.com/in/noureddine-boukerker-691829a" TargetMode="External"/><Relationship  Id="rId6976" Type="http://schemas.openxmlformats.org/officeDocument/2006/relationships/hyperlink" Target="http://www.wikey.com.cn" TargetMode="External"/><Relationship  Id="rId6977" Type="http://schemas.openxmlformats.org/officeDocument/2006/relationships/hyperlink" Target="http://www.linkedin.com/in/bernard-egreteau-ab418a22a" TargetMode="External"/><Relationship  Id="rId6978" Type="http://schemas.openxmlformats.org/officeDocument/2006/relationships/hyperlink" Target="http://www.creav.com" TargetMode="External"/><Relationship  Id="rId6979" Type="http://schemas.openxmlformats.org/officeDocument/2006/relationships/hyperlink" Target="http://www.linkedin.com/in/nicolas-moreau-908b42243" TargetMode="External"/><Relationship  Id="rId698" Type="http://schemas.openxmlformats.org/officeDocument/2006/relationships/hyperlink" Target="http://www.linkedin.com/in/lukecolomb" TargetMode="External"/><Relationship  Id="rId6980" Type="http://schemas.openxmlformats.org/officeDocument/2006/relationships/hyperlink" Target="http://www.menuiseriemoreau.fr" TargetMode="External"/><Relationship  Id="rId6981" Type="http://schemas.openxmlformats.org/officeDocument/2006/relationships/hyperlink" Target="http://www.linkedin.com/in/aur%c3%a9lie-touboul-%e2%ad%90-5153a423" TargetMode="External"/><Relationship  Id="rId6982" Type="http://schemas.openxmlformats.org/officeDocument/2006/relationships/hyperlink" Target="http://www.molecule-science.com" TargetMode="External"/><Relationship  Id="rId6983" Type="http://schemas.openxmlformats.org/officeDocument/2006/relationships/hyperlink" Target="http://www.linkedin.com/in/yves-pinaud-4847b81" TargetMode="External"/><Relationship  Id="rId6984" Type="http://schemas.openxmlformats.org/officeDocument/2006/relationships/hyperlink" Target="http://www.ideeconsultants.fr" TargetMode="External"/><Relationship  Id="rId6985" Type="http://schemas.openxmlformats.org/officeDocument/2006/relationships/hyperlink" Target="http://www.linkedin.com/in/boris-carbonneill-39686a2" TargetMode="External"/><Relationship  Id="rId6986" Type="http://schemas.openxmlformats.org/officeDocument/2006/relationships/hyperlink" Target="http://www.c6.eu" TargetMode="External"/><Relationship  Id="rId6987" Type="http://schemas.openxmlformats.org/officeDocument/2006/relationships/hyperlink" Target="http://www.linkedin.com/in/florentthurin" TargetMode="External"/><Relationship  Id="rId6988" Type="http://schemas.openxmlformats.org/officeDocument/2006/relationships/hyperlink" Target="http://www.stendhal.ai" TargetMode="External"/><Relationship  Id="rId6989" Type="http://schemas.openxmlformats.org/officeDocument/2006/relationships/hyperlink" Target="http://www.linkedin.com/in/vanessaboyer" TargetMode="External"/><Relationship  Id="rId699" Type="http://schemas.openxmlformats.org/officeDocument/2006/relationships/hyperlink" Target="http://www.bedboat.fr" TargetMode="External"/><Relationship  Id="rId6990" Type="http://schemas.openxmlformats.org/officeDocument/2006/relationships/hyperlink" Target="http://www.linkedin.com/in/paul-henri-pillet" TargetMode="External"/><Relationship  Id="rId6991" Type="http://schemas.openxmlformats.org/officeDocument/2006/relationships/hyperlink" Target="http://www.gatling.io" TargetMode="External"/><Relationship  Id="rId6992" Type="http://schemas.openxmlformats.org/officeDocument/2006/relationships/hyperlink" Target="http://www.linkedin.com/in/matthias-houllier" TargetMode="External"/><Relationship  Id="rId6993" Type="http://schemas.openxmlformats.org/officeDocument/2006/relationships/hyperlink" Target="http://www.wintics.com" TargetMode="External"/><Relationship  Id="rId6994" Type="http://schemas.openxmlformats.org/officeDocument/2006/relationships/hyperlink" Target="http://www.linkedin.com/in/christophe-melquiond-44604815" TargetMode="External"/><Relationship  Id="rId6995" Type="http://schemas.openxmlformats.org/officeDocument/2006/relationships/hyperlink" Target="http://www.linkedin.com/in/maxime-guedou-47b1a01a3" TargetMode="External"/><Relationship  Id="rId6996" Type="http://schemas.openxmlformats.org/officeDocument/2006/relationships/hyperlink" Target="http://www.pepin.vin" TargetMode="External"/><Relationship  Id="rId6997" Type="http://schemas.openxmlformats.org/officeDocument/2006/relationships/hyperlink" Target="http://www.linkedin.com/in/anne-marie-haute" TargetMode="External"/><Relationship  Id="rId6998" Type="http://schemas.openxmlformats.org/officeDocument/2006/relationships/hyperlink" Target="http://www.pilgrim-technology.com" TargetMode="External"/><Relationship  Id="rId6999" Type="http://schemas.openxmlformats.org/officeDocument/2006/relationships/hyperlink" Target="http://www.linkedin.com/in/garyabitan" TargetMode="External"/><Relationship  Id="rId7" Type="http://schemas.openxmlformats.org/officeDocument/2006/relationships/hyperlink" Target="http://www.linkedin.com/in/valentin-bauer-a8041220a" TargetMode="External"/><Relationship  Id="rId70" Type="http://schemas.openxmlformats.org/officeDocument/2006/relationships/hyperlink" Target="http://www.linkedin.com/in/john-keating-03b68013" TargetMode="External"/><Relationship  Id="rId700" Type="http://schemas.openxmlformats.org/officeDocument/2006/relationships/hyperlink" Target="http://www.linkedin.com/in/arnaud-morandi-73a672161" TargetMode="External"/><Relationship  Id="rId7000" Type="http://schemas.openxmlformats.org/officeDocument/2006/relationships/hyperlink" Target="http://www.smilewanted.com" TargetMode="External"/><Relationship  Id="rId7001" Type="http://schemas.openxmlformats.org/officeDocument/2006/relationships/hyperlink" Target="http://www.linkedin.com/in/jean-charles-houeix-consultantd%c3%a9veloppementstrat%c3%a9gie" TargetMode="External"/><Relationship  Id="rId7002" Type="http://schemas.openxmlformats.org/officeDocument/2006/relationships/hyperlink" Target="http://www.cycling.fr" TargetMode="External"/><Relationship  Id="rId7003" Type="http://schemas.openxmlformats.org/officeDocument/2006/relationships/hyperlink" Target="http://www.linkedin.com/in/malika-kechich" TargetMode="External"/><Relationship  Id="rId7004" Type="http://schemas.openxmlformats.org/officeDocument/2006/relationships/hyperlink" Target="http://www.activo-consulting.com" TargetMode="External"/><Relationship  Id="rId7005" Type="http://schemas.openxmlformats.org/officeDocument/2006/relationships/hyperlink" Target="http://e-testing.fr/" TargetMode="External"/><Relationship  Id="rId7006" Type="http://schemas.openxmlformats.org/officeDocument/2006/relationships/hyperlink" Target="http://www.linkedin.com/in/maud-sarfati-5b077969" TargetMode="External"/><Relationship  Id="rId7007" Type="http://schemas.openxmlformats.org/officeDocument/2006/relationships/hyperlink" Target="http://www.e-testing.fr" TargetMode="External"/><Relationship  Id="rId7008" Type="http://schemas.openxmlformats.org/officeDocument/2006/relationships/hyperlink" Target="http://www.linkedin.com/in/pfillion" TargetMode="External"/><Relationship  Id="rId7009" Type="http://schemas.openxmlformats.org/officeDocument/2006/relationships/hyperlink" Target="http://www.youtell.re" TargetMode="External"/><Relationship  Id="rId701" Type="http://schemas.openxmlformats.org/officeDocument/2006/relationships/hyperlink" Target="http://www.hotel-fauchon-paris.fr" TargetMode="External"/><Relationship  Id="rId7010" Type="http://schemas.openxmlformats.org/officeDocument/2006/relationships/hyperlink" Target="http://www.linkedin.com/in/yannickhenry" TargetMode="External"/><Relationship  Id="rId7011" Type="http://schemas.openxmlformats.org/officeDocument/2006/relationships/hyperlink" Target="http://www.lesjules.com" TargetMode="External"/><Relationship  Id="rId7012" Type="http://schemas.openxmlformats.org/officeDocument/2006/relationships/hyperlink" Target="http://www.linkedin.com/in/marieleblancdupont" TargetMode="External"/><Relationship  Id="rId7013" Type="http://schemas.openxmlformats.org/officeDocument/2006/relationships/hyperlink" Target="http://www.aveapartners.com" TargetMode="External"/><Relationship  Id="rId7014" Type="http://schemas.openxmlformats.org/officeDocument/2006/relationships/hyperlink" Target="http://www.linkedin.com/in/anthony-renaud-a8462869" TargetMode="External"/><Relationship  Id="rId7015" Type="http://schemas.openxmlformats.org/officeDocument/2006/relationships/hyperlink" Target="http://www.smib44.com" TargetMode="External"/><Relationship  Id="rId7016" Type="http://schemas.openxmlformats.org/officeDocument/2006/relationships/hyperlink" Target="http://www.linkedin.com/in/arnaud-acarie-61b23b5" TargetMode="External"/><Relationship  Id="rId7017" Type="http://schemas.openxmlformats.org/officeDocument/2006/relationships/hyperlink" Target="http://www.belacom.fr" TargetMode="External"/><Relationship  Id="rId7018" Type="http://schemas.openxmlformats.org/officeDocument/2006/relationships/hyperlink" Target="http://www.linkedin.com/in/julienmonzo" TargetMode="External"/><Relationship  Id="rId7019" Type="http://schemas.openxmlformats.org/officeDocument/2006/relationships/hyperlink" Target="http://www.un1ty.one" TargetMode="External"/><Relationship  Id="rId702" Type="http://schemas.openxmlformats.org/officeDocument/2006/relationships/hyperlink" Target="http://www.linkedin.com/in/thomas-arneodo-b5886541" TargetMode="External"/><Relationship  Id="rId7020" Type="http://schemas.openxmlformats.org/officeDocument/2006/relationships/hyperlink" Target="http://www.linkedin.com/in/erwan-adjutor-ba7655168" TargetMode="External"/><Relationship  Id="rId7021" Type="http://schemas.openxmlformats.org/officeDocument/2006/relationships/hyperlink" Target="http://www.fasfox.com" TargetMode="External"/><Relationship  Id="rId7022" Type="http://schemas.openxmlformats.org/officeDocument/2006/relationships/hyperlink" Target="http://www.linkedin.com/in/yoan-issartel-15269084" TargetMode="External"/><Relationship  Id="rId7023" Type="http://schemas.openxmlformats.org/officeDocument/2006/relationships/hyperlink" Target="http://www.elysium-security.com" TargetMode="External"/><Relationship  Id="rId7024" Type="http://schemas.openxmlformats.org/officeDocument/2006/relationships/hyperlink" Target="http://www.linkedin.com/in/eddy-mollet-5281bb21" TargetMode="External"/><Relationship  Id="rId7025" Type="http://schemas.openxmlformats.org/officeDocument/2006/relationships/hyperlink" Target="http://www.caveo-consulting.fr" TargetMode="External"/><Relationship  Id="rId7026" Type="http://schemas.openxmlformats.org/officeDocument/2006/relationships/hyperlink" Target="http://www.linkedin.com/in/alexandre-paschutine" TargetMode="External"/><Relationship  Id="rId7027" Type="http://schemas.openxmlformats.org/officeDocument/2006/relationships/hyperlink" Target="http://www.linkedin.com/in/mathieu-colin-29428918" TargetMode="External"/><Relationship  Id="rId7028" Type="http://schemas.openxmlformats.org/officeDocument/2006/relationships/hyperlink" Target="http://www.linkedin.com/in/christophe-biez-80009063" TargetMode="External"/><Relationship  Id="rId7029" Type="http://schemas.openxmlformats.org/officeDocument/2006/relationships/hyperlink" Target="http://www.latitude-cartagene.com" TargetMode="External"/><Relationship  Id="rId703" Type="http://schemas.openxmlformats.org/officeDocument/2006/relationships/hyperlink" Target="http://www.arneodo.group" TargetMode="External"/><Relationship  Id="rId7030" Type="http://schemas.openxmlformats.org/officeDocument/2006/relationships/hyperlink" Target="http://www.linkedin.com/in/marclohertheinnovationloop" TargetMode="External"/><Relationship  Id="rId7031" Type="http://schemas.openxmlformats.org/officeDocument/2006/relationships/hyperlink" Target="http://www.theinnovationloop.eu" TargetMode="External"/><Relationship  Id="rId7032" Type="http://schemas.openxmlformats.org/officeDocument/2006/relationships/hyperlink" Target="http://www.linkedin.com/in/vincent-barbier-2a776494" TargetMode="External"/><Relationship  Id="rId7033" Type="http://schemas.openxmlformats.org/officeDocument/2006/relationships/hyperlink" Target="http://www.digital-paca.fr" TargetMode="External"/><Relationship  Id="rId7034" Type="http://schemas.openxmlformats.org/officeDocument/2006/relationships/hyperlink" Target="http://www.linkedin.com/in/arnaud-bour-0337326b" TargetMode="External"/><Relationship  Id="rId7035" Type="http://schemas.openxmlformats.org/officeDocument/2006/relationships/hyperlink" Target="http://www.ephoto.fr" TargetMode="External"/><Relationship  Id="rId7036" Type="http://schemas.openxmlformats.org/officeDocument/2006/relationships/hyperlink" Target="http://www.linkedin.com/in/yann-echeverria-1a0b515b" TargetMode="External"/><Relationship  Id="rId7037" Type="http://schemas.openxmlformats.org/officeDocument/2006/relationships/hyperlink" Target="http://www.elqano.com" TargetMode="External"/><Relationship  Id="rId7038" Type="http://schemas.openxmlformats.org/officeDocument/2006/relationships/hyperlink" Target="http://www.linkedin.com/in/adadoun" TargetMode="External"/><Relationship  Id="rId7039" Type="http://schemas.openxmlformats.org/officeDocument/2006/relationships/hyperlink" Target="http://www.the-independents.com" TargetMode="External"/><Relationship  Id="rId704" Type="http://schemas.openxmlformats.org/officeDocument/2006/relationships/hyperlink" Target="http://www.linkedin.com/in/niels-koetsier-533b0634" TargetMode="External"/><Relationship  Id="rId7040" Type="http://schemas.openxmlformats.org/officeDocument/2006/relationships/hyperlink" Target="http://www.linkedin.com/in/laurent-combalbert-8967243" TargetMode="External"/><Relationship  Id="rId7041" Type="http://schemas.openxmlformats.org/officeDocument/2006/relationships/hyperlink" Target="http://www.thetrustedagency.com" TargetMode="External"/><Relationship  Id="rId7042" Type="http://schemas.openxmlformats.org/officeDocument/2006/relationships/hyperlink" Target="http://www.linkedin.com/in/hassen-boumaraf-99b70115" TargetMode="External"/><Relationship  Id="rId7043" Type="http://schemas.openxmlformats.org/officeDocument/2006/relationships/hyperlink" Target="http://www.labbs.io" TargetMode="External"/><Relationship  Id="rId7044" Type="http://schemas.openxmlformats.org/officeDocument/2006/relationships/hyperlink" Target="http://www.linkedin.com/in/nicolas-muller-" TargetMode="External"/><Relationship  Id="rId7045" Type="http://schemas.openxmlformats.org/officeDocument/2006/relationships/hyperlink" Target="http://www.linkedin.com/in/hugo-frering-1b754955" TargetMode="External"/><Relationship  Id="rId7046" Type="http://schemas.openxmlformats.org/officeDocument/2006/relationships/hyperlink" Target="http://www.linkedin.com/in/yann-rigo-20a813" TargetMode="External"/><Relationship  Id="rId7047" Type="http://schemas.openxmlformats.org/officeDocument/2006/relationships/hyperlink" Target="http://www.panodyssey.com" TargetMode="External"/><Relationship  Id="rId7048" Type="http://schemas.openxmlformats.org/officeDocument/2006/relationships/hyperlink" Target="http://www.linkedin.com/in/juliengallois" TargetMode="External"/><Relationship  Id="rId7049" Type="http://schemas.openxmlformats.org/officeDocument/2006/relationships/hyperlink" Target="http://www.lowit.fr" TargetMode="External"/><Relationship  Id="rId705" Type="http://schemas.openxmlformats.org/officeDocument/2006/relationships/hyperlink" Target="http://www.vigiers.com" TargetMode="External"/><Relationship  Id="rId7050" Type="http://schemas.openxmlformats.org/officeDocument/2006/relationships/hyperlink" Target="http://www.linkedin.com/in/j%c3%a9r%c3%a9my-delvarre-94b90447" TargetMode="External"/><Relationship  Id="rId7051" Type="http://schemas.openxmlformats.org/officeDocument/2006/relationships/hyperlink" Target="http://www.wesyn.fr" TargetMode="External"/><Relationship  Id="rId7052" Type="http://schemas.openxmlformats.org/officeDocument/2006/relationships/hyperlink" Target="http://www.linkedin.com/in/kerim-benzarti-99a06993" TargetMode="External"/><Relationship  Id="rId7053" Type="http://schemas.openxmlformats.org/officeDocument/2006/relationships/hyperlink" Target="http://www.bits.com.tn" TargetMode="External"/><Relationship  Id="rId7054" Type="http://schemas.openxmlformats.org/officeDocument/2006/relationships/hyperlink" Target="http://www.linkedin.com/in/julien-censier-670988223" TargetMode="External"/><Relationship  Id="rId7055" Type="http://schemas.openxmlformats.org/officeDocument/2006/relationships/hyperlink" Target="http://www.censier-publicinex.fr" TargetMode="External"/><Relationship  Id="rId7056" Type="http://schemas.openxmlformats.org/officeDocument/2006/relationships/hyperlink" Target="http://www.linkedin.com/in/laurent-de-rozario-a9284388" TargetMode="External"/><Relationship  Id="rId7057" Type="http://schemas.openxmlformats.org/officeDocument/2006/relationships/hyperlink" Target="http://www.synktory.com" TargetMode="External"/><Relationship  Id="rId7058" Type="http://schemas.openxmlformats.org/officeDocument/2006/relationships/hyperlink" Target="http://www.linkedin.com/in/victor-bauer-a2238b118" TargetMode="External"/><Relationship  Id="rId7059" Type="http://schemas.openxmlformats.org/officeDocument/2006/relationships/hyperlink" Target="http://www.moove-si.com" TargetMode="External"/><Relationship  Id="rId706" Type="http://schemas.openxmlformats.org/officeDocument/2006/relationships/hyperlink" Target="http://www.linkedin.com/in/micka%c3%abl-lipari-745802b8" TargetMode="External"/><Relationship  Id="rId7060" Type="http://schemas.openxmlformats.org/officeDocument/2006/relationships/hyperlink" Target="http://www.linkedin.com/in/jeremie-collin-de-l-hortet" TargetMode="External"/><Relationship  Id="rId7061" Type="http://schemas.openxmlformats.org/officeDocument/2006/relationships/hyperlink" Target="http://www.synfac.com" TargetMode="External"/><Relationship  Id="rId7062" Type="http://schemas.openxmlformats.org/officeDocument/2006/relationships/hyperlink" Target="http://www.linkedin.com/in/pascal-becache-528b6" TargetMode="External"/><Relationship  Id="rId7063" Type="http://schemas.openxmlformats.org/officeDocument/2006/relationships/hyperlink" Target="http://www.digitalpharmalab.com" TargetMode="External"/><Relationship  Id="rId7064" Type="http://schemas.openxmlformats.org/officeDocument/2006/relationships/hyperlink" Target="http://www.linkedin.com/in/marouanncheikh" TargetMode="External"/><Relationship  Id="rId7065" Type="http://schemas.openxmlformats.org/officeDocument/2006/relationships/hyperlink" Target="http://www.linkedin.com/in/florian-bombard-781b2b47" TargetMode="External"/><Relationship  Id="rId7066" Type="http://schemas.openxmlformats.org/officeDocument/2006/relationships/hyperlink" Target="http://www.v6protect.io" TargetMode="External"/><Relationship  Id="rId7067" Type="http://schemas.openxmlformats.org/officeDocument/2006/relationships/hyperlink" Target="http://www.linkedin.com/in/alain-prestat-94070112" TargetMode="External"/><Relationship  Id="rId7068" Type="http://schemas.openxmlformats.org/officeDocument/2006/relationships/hyperlink" Target="http://www.progress-associes.com" TargetMode="External"/><Relationship  Id="rId7069" Type="http://schemas.openxmlformats.org/officeDocument/2006/relationships/hyperlink" Target="http://www.linkedin.com/in/sandro-dupuy-5508a0b2" TargetMode="External"/><Relationship  Id="rId707" Type="http://schemas.openxmlformats.org/officeDocument/2006/relationships/hyperlink" Target="http://www.crepetouch.com" TargetMode="External"/><Relationship  Id="rId7070" Type="http://schemas.openxmlformats.org/officeDocument/2006/relationships/hyperlink" Target="http://www.hymatom.com" TargetMode="External"/><Relationship  Id="rId7071" Type="http://schemas.openxmlformats.org/officeDocument/2006/relationships/hyperlink" Target="http://www.linkedin.com/in/estelleboyer" TargetMode="External"/><Relationship  Id="rId7072" Type="http://schemas.openxmlformats.org/officeDocument/2006/relationships/hyperlink" Target="http://www.linkedin.com/in/laurent-janolin" TargetMode="External"/><Relationship  Id="rId7073" Type="http://schemas.openxmlformats.org/officeDocument/2006/relationships/hyperlink" Target="http://www.live-session.fr" TargetMode="External"/><Relationship  Id="rId7074" Type="http://schemas.openxmlformats.org/officeDocument/2006/relationships/hyperlink" Target="http://www.linkedin.com/in/renaud-constant-b804b414" TargetMode="External"/><Relationship  Id="rId7075" Type="http://schemas.openxmlformats.org/officeDocument/2006/relationships/hyperlink" Target="http://www.3c-e.com" TargetMode="External"/><Relationship  Id="rId7076" Type="http://schemas.openxmlformats.org/officeDocument/2006/relationships/hyperlink" Target="http://www.linkedin.com/in/aline-rutily-510882" TargetMode="External"/><Relationship  Id="rId7077" Type="http://schemas.openxmlformats.org/officeDocument/2006/relationships/hyperlink" Target="http://www.linkedin.com/in/patrick-leconte-87987b5" TargetMode="External"/><Relationship  Id="rId7078" Type="http://schemas.openxmlformats.org/officeDocument/2006/relationships/hyperlink" Target="http://www.ttisuccessinsights.fr" TargetMode="External"/><Relationship  Id="rId7079" Type="http://schemas.openxmlformats.org/officeDocument/2006/relationships/hyperlink" Target="http://www.linkedin.com/in/gr%c3%a9gory-schertz-257896b1" TargetMode="External"/><Relationship  Id="rId708" Type="http://schemas.openxmlformats.org/officeDocument/2006/relationships/hyperlink" Target="http://www.linkedin.com/in/archam-babayan-66595415b" TargetMode="External"/><Relationship  Id="rId7080" Type="http://schemas.openxmlformats.org/officeDocument/2006/relationships/hyperlink" Target="http://www.groupe-schertz.com" TargetMode="External"/><Relationship  Id="rId7081" Type="http://schemas.openxmlformats.org/officeDocument/2006/relationships/hyperlink" Target="http://www.linkedin.com/in/konstantinsemenen" TargetMode="External"/><Relationship  Id="rId7082" Type="http://schemas.openxmlformats.org/officeDocument/2006/relationships/hyperlink" Target="http://www.managed-code.com" TargetMode="External"/><Relationship  Id="rId7083" Type="http://schemas.openxmlformats.org/officeDocument/2006/relationships/hyperlink" Target="http://www.linkedin.com/in/anselmedewavrin" TargetMode="External"/><Relationship  Id="rId7084" Type="http://schemas.openxmlformats.org/officeDocument/2006/relationships/hyperlink" Target="http://www.apizr.io" TargetMode="External"/><Relationship  Id="rId7085" Type="http://schemas.openxmlformats.org/officeDocument/2006/relationships/hyperlink" Target="http://www.linkedin.com/in/patrick-badoil-54a26ab2" TargetMode="External"/><Relationship  Id="rId7086" Type="http://schemas.openxmlformats.org/officeDocument/2006/relationships/hyperlink" Target="http://www.azh.com" TargetMode="External"/><Relationship  Id="rId7087" Type="http://schemas.openxmlformats.org/officeDocument/2006/relationships/hyperlink" Target="http://www.linkedin.com/in/st%c3%a9phane-beaumont-8bab4449" TargetMode="External"/><Relationship  Id="rId7088" Type="http://schemas.openxmlformats.org/officeDocument/2006/relationships/hyperlink" Target="http://www.mercerine.com" TargetMode="External"/><Relationship  Id="rId7089" Type="http://schemas.openxmlformats.org/officeDocument/2006/relationships/hyperlink" Target="http://www.linkedin.com/in/ana%c3%afs-helie-beugin-4186831b" TargetMode="External"/><Relationship  Id="rId709" Type="http://schemas.openxmlformats.org/officeDocument/2006/relationships/hyperlink" Target="http://www.restaurantsyoj.fr" TargetMode="External"/><Relationship  Id="rId7090" Type="http://schemas.openxmlformats.org/officeDocument/2006/relationships/hyperlink" Target="http://www.tech-talents.fr" TargetMode="External"/><Relationship  Id="rId7091" Type="http://schemas.openxmlformats.org/officeDocument/2006/relationships/hyperlink" Target="http://www.linkedin.com/in/pierre-carru" TargetMode="External"/><Relationship  Id="rId7092" Type="http://schemas.openxmlformats.org/officeDocument/2006/relationships/hyperlink" Target="http://www.nothing2install.com" TargetMode="External"/><Relationship  Id="rId7093" Type="http://schemas.openxmlformats.org/officeDocument/2006/relationships/hyperlink" Target="http://www.linkedin.com/in/laurent-gonnet-09b033262" TargetMode="External"/><Relationship  Id="rId7094" Type="http://schemas.openxmlformats.org/officeDocument/2006/relationships/hyperlink" Target="http://www.aujardindesplantes.com" TargetMode="External"/><Relationship  Id="rId7095" Type="http://schemas.openxmlformats.org/officeDocument/2006/relationships/hyperlink" Target="http://www.linkedin.com/in/alexandre-ibanez-90736117" TargetMode="External"/><Relationship  Id="rId7096" Type="http://schemas.openxmlformats.org/officeDocument/2006/relationships/hyperlink" Target="http://www.vr-connection.com" TargetMode="External"/><Relationship  Id="rId7097" Type="http://schemas.openxmlformats.org/officeDocument/2006/relationships/hyperlink" Target="http://www.linkedin.com/in/ilona-boniwell-phd-617978a" TargetMode="External"/><Relationship  Id="rId7098" Type="http://schemas.openxmlformats.org/officeDocument/2006/relationships/hyperlink" Target="http://www.positran.fr" TargetMode="External"/><Relationship  Id="rId7099" Type="http://schemas.openxmlformats.org/officeDocument/2006/relationships/hyperlink" Target="http://www.linkedin.com/in/babinard" TargetMode="External"/><Relationship  Id="rId71" Type="http://schemas.openxmlformats.org/officeDocument/2006/relationships/hyperlink" Target="http://www.lesbordesestate.com" TargetMode="External"/><Relationship  Id="rId710" Type="http://schemas.openxmlformats.org/officeDocument/2006/relationships/hyperlink" Target="http://www.linkedin.com/in/chef-damien-552857161" TargetMode="External"/><Relationship  Id="rId7100" Type="http://schemas.openxmlformats.org/officeDocument/2006/relationships/hyperlink" Target="http://www.lamaisonnoire.fr" TargetMode="External"/><Relationship  Id="rId7101" Type="http://schemas.openxmlformats.org/officeDocument/2006/relationships/hyperlink" Target="http://www.linkedin.com/in/christine-papin-b98738aa" TargetMode="External"/><Relationship  Id="rId7102" Type="http://schemas.openxmlformats.org/officeDocument/2006/relationships/hyperlink" Target="http://www.tridenstechnology.com" TargetMode="External"/><Relationship  Id="rId7103" Type="http://schemas.openxmlformats.org/officeDocument/2006/relationships/hyperlink" Target="http://www.linkedin.com/in/ingridberthe" TargetMode="External"/><Relationship  Id="rId7104" Type="http://schemas.openxmlformats.org/officeDocument/2006/relationships/hyperlink" Target="http://www.agencebside.fr" TargetMode="External"/><Relationship  Id="rId7105" Type="http://schemas.openxmlformats.org/officeDocument/2006/relationships/hyperlink" Target="http://www.linkedin.com/in/jonathandietsche" TargetMode="External"/><Relationship  Id="rId7106" Type="http://schemas.openxmlformats.org/officeDocument/2006/relationships/hyperlink" Target="http://www.linkedin.com/in/j%c3%a9r%c3%b4me-alepsa-054a8992" TargetMode="External"/><Relationship  Id="rId7107" Type="http://schemas.openxmlformats.org/officeDocument/2006/relationships/hyperlink" Target="http://www.opsynet.fr" TargetMode="External"/><Relationship  Id="rId7108" Type="http://schemas.openxmlformats.org/officeDocument/2006/relationships/hyperlink" Target="http://www.linkedin.com/in/mounia-khoufache-579b1242" TargetMode="External"/><Relationship  Id="rId7109" Type="http://schemas.openxmlformats.org/officeDocument/2006/relationships/hyperlink" Target="http://www.imaginepartners.com" TargetMode="External"/><Relationship  Id="rId711" Type="http://schemas.openxmlformats.org/officeDocument/2006/relationships/hyperlink" Target="http://www.necense.fr" TargetMode="External"/><Relationship  Id="rId7110" Type="http://schemas.openxmlformats.org/officeDocument/2006/relationships/hyperlink" Target="http://www.linkedin.com/in/dorian-novelli-2ba33a183" TargetMode="External"/><Relationship  Id="rId7111" Type="http://schemas.openxmlformats.org/officeDocument/2006/relationships/hyperlink" Target="http://www.novelli.com" TargetMode="External"/><Relationship  Id="rId7112" Type="http://schemas.openxmlformats.org/officeDocument/2006/relationships/hyperlink" Target="http://www.linkedin.com/in/manuel-cottret-67b98b77" TargetMode="External"/><Relationship  Id="rId7113" Type="http://schemas.openxmlformats.org/officeDocument/2006/relationships/hyperlink" Target="http://www.ems-securite.com" TargetMode="External"/><Relationship  Id="rId7114" Type="http://schemas.openxmlformats.org/officeDocument/2006/relationships/hyperlink" Target="http://www.linkedin.com/in/sonia-zarowsky-175a603" TargetMode="External"/><Relationship  Id="rId7115" Type="http://schemas.openxmlformats.org/officeDocument/2006/relationships/hyperlink" Target="http://www.teeps.co" TargetMode="External"/><Relationship  Id="rId7116" Type="http://schemas.openxmlformats.org/officeDocument/2006/relationships/hyperlink" Target="http://www.linkedin.com/in/etienne-l%c3%a9v%c3%aaque-97932b14a" TargetMode="External"/><Relationship  Id="rId7117" Type="http://schemas.openxmlformats.org/officeDocument/2006/relationships/hyperlink" Target="http://www.dsflow.io" TargetMode="External"/><Relationship  Id="rId7118" Type="http://schemas.openxmlformats.org/officeDocument/2006/relationships/hyperlink" Target="http://www.linkedin.com/in/giersch" TargetMode="External"/><Relationship  Id="rId7119" Type="http://schemas.openxmlformats.org/officeDocument/2006/relationships/hyperlink" Target="http://www.tutteo.com" TargetMode="External"/><Relationship  Id="rId712" Type="http://schemas.openxmlformats.org/officeDocument/2006/relationships/hyperlink" Target="http://www.linkedin.com/in/lolita-lavieville-7ba27888" TargetMode="External"/><Relationship  Id="rId7120" Type="http://schemas.openxmlformats.org/officeDocument/2006/relationships/hyperlink" Target="http://www.linkedin.com/in/andr%c3%a9-zuber-0624762ab" TargetMode="External"/><Relationship  Id="rId7121" Type="http://schemas.openxmlformats.org/officeDocument/2006/relationships/hyperlink" Target="http://www.sse-groupe.fr" TargetMode="External"/><Relationship  Id="rId7122" Type="http://schemas.openxmlformats.org/officeDocument/2006/relationships/hyperlink" Target="http://www.linkedin.com/in/obrunet" TargetMode="External"/><Relationship  Id="rId7123" Type="http://schemas.openxmlformats.org/officeDocument/2006/relationships/hyperlink" Target="http://www.toutsurmesfinances.com" TargetMode="External"/><Relationship  Id="rId7124" Type="http://schemas.openxmlformats.org/officeDocument/2006/relationships/hyperlink" Target="http://www.linkedin.com/in/fabrice-horgues-a0969261" TargetMode="External"/><Relationship  Id="rId7125" Type="http://schemas.openxmlformats.org/officeDocument/2006/relationships/hyperlink" Target="http://www.spi-informatique.fr" TargetMode="External"/><Relationship  Id="rId7126" Type="http://schemas.openxmlformats.org/officeDocument/2006/relationships/hyperlink" Target="http://www.linkedin.com/in/st%c3%a9phane-carton-a3842879" TargetMode="External"/><Relationship  Id="rId7127" Type="http://schemas.openxmlformats.org/officeDocument/2006/relationships/hyperlink" Target="http://www.axigate-france.fr" TargetMode="External"/><Relationship  Id="rId7128" Type="http://schemas.openxmlformats.org/officeDocument/2006/relationships/hyperlink" Target="http://www.linkedin.com/in/vuitton-christophe-covline" TargetMode="External"/><Relationship  Id="rId7129" Type="http://schemas.openxmlformats.org/officeDocument/2006/relationships/hyperlink" Target="http://www.linkedin.com/in/hanh-thy-fernandez-76ba023b" TargetMode="External"/><Relationship  Id="rId713" Type="http://schemas.openxmlformats.org/officeDocument/2006/relationships/hyperlink" Target="http://www.lawilderie.com" TargetMode="External"/><Relationship  Id="rId7130" Type="http://schemas.openxmlformats.org/officeDocument/2006/relationships/hyperlink" Target="http://www.birdieagency.co" TargetMode="External"/><Relationship  Id="rId7131" Type="http://schemas.openxmlformats.org/officeDocument/2006/relationships/hyperlink" Target="http://www.linkedin.com/in/jercolani" TargetMode="External"/><Relationship  Id="rId7132" Type="http://schemas.openxmlformats.org/officeDocument/2006/relationships/hyperlink" Target="http://www.maarch.com" TargetMode="External"/><Relationship  Id="rId7133" Type="http://schemas.openxmlformats.org/officeDocument/2006/relationships/hyperlink" Target="http://www.linkedin.com/in/alexbouchet" TargetMode="External"/><Relationship  Id="rId7134" Type="http://schemas.openxmlformats.org/officeDocument/2006/relationships/hyperlink" Target="http://www.clarte-lab.fr" TargetMode="External"/><Relationship  Id="rId7135" Type="http://schemas.openxmlformats.org/officeDocument/2006/relationships/hyperlink" Target="http://www.linkedin.com/in/borisrino" TargetMode="External"/><Relationship  Id="rId7136" Type="http://schemas.openxmlformats.org/officeDocument/2006/relationships/hyperlink" Target="http://www.dealforward.com" TargetMode="External"/><Relationship  Id="rId7137" Type="http://schemas.openxmlformats.org/officeDocument/2006/relationships/hyperlink" Target="http://www.linkedin.com/in/christopheforet" TargetMode="External"/><Relationship  Id="rId7138" Type="http://schemas.openxmlformats.org/officeDocument/2006/relationships/hyperlink" Target="http://www.linkedin.com/in/badre-s-b06396115" TargetMode="External"/><Relationship  Id="rId7139" Type="http://schemas.openxmlformats.org/officeDocument/2006/relationships/hyperlink" Target="http://www.ginko-conseil.com" TargetMode="External"/><Relationship  Id="rId714" Type="http://schemas.openxmlformats.org/officeDocument/2006/relationships/hyperlink" Target="http://www.linkedin.com/in/gregory-coutanceau" TargetMode="External"/><Relationship  Id="rId7140" Type="http://schemas.openxmlformats.org/officeDocument/2006/relationships/hyperlink" Target="http://www.linkedin.com/in/lo%c3%afc-pennel-30610529" TargetMode="External"/><Relationship  Id="rId7141" Type="http://schemas.openxmlformats.org/officeDocument/2006/relationships/hyperlink" Target="http://www.agence-holi.com" TargetMode="External"/><Relationship  Id="rId7142" Type="http://schemas.openxmlformats.org/officeDocument/2006/relationships/hyperlink" Target="http://www.linkedin.com/in/nikolai-david-fomm-978174135" TargetMode="External"/><Relationship  Id="rId7143" Type="http://schemas.openxmlformats.org/officeDocument/2006/relationships/hyperlink" Target="http://www.corma.io" TargetMode="External"/><Relationship  Id="rId7144" Type="http://schemas.openxmlformats.org/officeDocument/2006/relationships/hyperlink" Target="http://www.linkedin.com/in/arnaud-ravat-ab385aab" TargetMode="External"/><Relationship  Id="rId7145" Type="http://schemas.openxmlformats.org/officeDocument/2006/relationships/hyperlink" Target="http://www.linkedin.com/in/christophe-vasseur-2504752b" TargetMode="External"/><Relationship  Id="rId7146" Type="http://schemas.openxmlformats.org/officeDocument/2006/relationships/hyperlink" Target="http://www.mobenrooster.com" TargetMode="External"/><Relationship  Id="rId7147" Type="http://schemas.openxmlformats.org/officeDocument/2006/relationships/hyperlink" Target="http://www.linkedin.com/in/fran%c3%a7ois-michalowski-b3088710b" TargetMode="External"/><Relationship  Id="rId7148" Type="http://schemas.openxmlformats.org/officeDocument/2006/relationships/hyperlink" Target="http://www.ohris.fr" TargetMode="External"/><Relationship  Id="rId7149" Type="http://schemas.openxmlformats.org/officeDocument/2006/relationships/hyperlink" Target="http://www.linkedin.com/in/anthonykallassy" TargetMode="External"/><Relationship  Id="rId715" Type="http://schemas.openxmlformats.org/officeDocument/2006/relationships/hyperlink" Target="http://www.gregorycoutanceau.com" TargetMode="External"/><Relationship  Id="rId7150" Type="http://schemas.openxmlformats.org/officeDocument/2006/relationships/hyperlink" Target="http://www.cloudambiance.com" TargetMode="External"/><Relationship  Id="rId7151" Type="http://schemas.openxmlformats.org/officeDocument/2006/relationships/hyperlink" Target="http://www.linkedin.com/in/nicolas-colsch-608ab626" TargetMode="External"/><Relationship  Id="rId7152" Type="http://schemas.openxmlformats.org/officeDocument/2006/relationships/hyperlink" Target="http://www.2b.agency" TargetMode="External"/><Relationship  Id="rId7153" Type="http://schemas.openxmlformats.org/officeDocument/2006/relationships/hyperlink" Target="http://www.linkedin.com/in/clercaurelie" TargetMode="External"/><Relationship  Id="rId7154" Type="http://schemas.openxmlformats.org/officeDocument/2006/relationships/hyperlink" Target="http://www.cygo-entrepreneurs.com" TargetMode="External"/><Relationship  Id="rId7155" Type="http://schemas.openxmlformats.org/officeDocument/2006/relationships/hyperlink" Target="http://www.linkedin.com/in/allaa-siam-415123b5" TargetMode="External"/><Relationship  Id="rId7156" Type="http://schemas.openxmlformats.org/officeDocument/2006/relationships/hyperlink" Target="http://www.srci.fr" TargetMode="External"/><Relationship  Id="rId7157" Type="http://schemas.openxmlformats.org/officeDocument/2006/relationships/hyperlink" Target="http://www.linkedin.com/in/eric-rossi-2b3950252" TargetMode="External"/><Relationship  Id="rId7158" Type="http://schemas.openxmlformats.org/officeDocument/2006/relationships/hyperlink" Target="http://www.loditech.sn" TargetMode="External"/><Relationship  Id="rId7159" Type="http://schemas.openxmlformats.org/officeDocument/2006/relationships/hyperlink" Target="http://www.linkedin.com/in/stephane-heulin-8893151" TargetMode="External"/><Relationship  Id="rId716" Type="http://schemas.openxmlformats.org/officeDocument/2006/relationships/hyperlink" Target="http://www.linkedin.com/in/matthieu-babinet-19ba887a" TargetMode="External"/><Relationship  Id="rId7160" Type="http://schemas.openxmlformats.org/officeDocument/2006/relationships/hyperlink" Target="http://www.eiefrance.com" TargetMode="External"/><Relationship  Id="rId7161" Type="http://schemas.openxmlformats.org/officeDocument/2006/relationships/hyperlink" Target="http://www.linkedin.com/in/patrick-di-renzo-0a684418" TargetMode="External"/><Relationship  Id="rId7162" Type="http://schemas.openxmlformats.org/officeDocument/2006/relationships/hyperlink" Target="http://www.reseau-teria.com" TargetMode="External"/><Relationship  Id="rId7163" Type="http://schemas.openxmlformats.org/officeDocument/2006/relationships/hyperlink" Target="http://monkeypatch.io" TargetMode="External"/><Relationship  Id="rId7164" Type="http://schemas.openxmlformats.org/officeDocument/2006/relationships/hyperlink" Target="http://www.linkedin.com/in/vinasemmanuel" TargetMode="External"/><Relationship  Id="rId7165" Type="http://schemas.openxmlformats.org/officeDocument/2006/relationships/hyperlink" Target="http://www.linkedin.com/in/isabelle-tharaud-6a71bb26" TargetMode="External"/><Relationship  Id="rId7166" Type="http://schemas.openxmlformats.org/officeDocument/2006/relationships/hyperlink" Target="http://www.doc-up.fr" TargetMode="External"/><Relationship  Id="rId7167" Type="http://schemas.openxmlformats.org/officeDocument/2006/relationships/hyperlink" Target="http://www.linkedin.com/in/%c3%a9ric-luquas-9581b1227" TargetMode="External"/><Relationship  Id="rId7168" Type="http://schemas.openxmlformats.org/officeDocument/2006/relationships/hyperlink" Target="http://www.leroux-brochard.fr" TargetMode="External"/><Relationship  Id="rId7169" Type="http://schemas.openxmlformats.org/officeDocument/2006/relationships/hyperlink" Target="http://www.linkedin.com/in/paulessig" TargetMode="External"/><Relationship  Id="rId717" Type="http://schemas.openxmlformats.org/officeDocument/2006/relationships/hyperlink" Target="http://www.picto.paris" TargetMode="External"/><Relationship  Id="rId7170" Type="http://schemas.openxmlformats.org/officeDocument/2006/relationships/hyperlink" Target="http://www.moten-tech.com" TargetMode="External"/><Relationship  Id="rId7171" Type="http://schemas.openxmlformats.org/officeDocument/2006/relationships/hyperlink" Target="http://www.linkedin.com/in/dupont-frederic" TargetMode="External"/><Relationship  Id="rId7172" Type="http://schemas.openxmlformats.org/officeDocument/2006/relationships/hyperlink" Target="http://www.ashtone.io" TargetMode="External"/><Relationship  Id="rId7173" Type="http://schemas.openxmlformats.org/officeDocument/2006/relationships/hyperlink" Target="http://www.linkedin.com/in/fabiengandon" TargetMode="External"/><Relationship  Id="rId7174" Type="http://schemas.openxmlformats.org/officeDocument/2006/relationships/hyperlink" Target="http://www.linkedin.com/in/christophe-chatendeau-232bab70" TargetMode="External"/><Relationship  Id="rId7175" Type="http://schemas.openxmlformats.org/officeDocument/2006/relationships/hyperlink" Target="http://www.acgvservices.fr" TargetMode="External"/><Relationship  Id="rId7176" Type="http://schemas.openxmlformats.org/officeDocument/2006/relationships/hyperlink" Target="http://www.linkedin.com/in/pierre-jean-liardou-2737475b" TargetMode="External"/><Relationship  Id="rId7177" Type="http://schemas.openxmlformats.org/officeDocument/2006/relationships/hyperlink" Target="http://www.brightloop.fr" TargetMode="External"/><Relationship  Id="rId7178" Type="http://schemas.openxmlformats.org/officeDocument/2006/relationships/hyperlink" Target="http://www.linkedin.com/in/bertrand-roussel-22732727" TargetMode="External"/><Relationship  Id="rId7179" Type="http://schemas.openxmlformats.org/officeDocument/2006/relationships/hyperlink" Target="http://www.comac-france.com" TargetMode="External"/><Relationship  Id="rId718" Type="http://schemas.openxmlformats.org/officeDocument/2006/relationships/hyperlink" Target="http://www.linkedin.com/in/diane-saveuse-57746430" TargetMode="External"/><Relationship  Id="rId7180" Type="http://schemas.openxmlformats.org/officeDocument/2006/relationships/hyperlink" Target="http://www.linkedin.com/in/pascal-fresnay-69b4b636" TargetMode="External"/><Relationship  Id="rId7181" Type="http://schemas.openxmlformats.org/officeDocument/2006/relationships/hyperlink" Target="http://www.excense.fr" TargetMode="External"/><Relationship  Id="rId7182" Type="http://schemas.openxmlformats.org/officeDocument/2006/relationships/hyperlink" Target="http://www.linkedin.com/in/maxime-landais-b9787744" TargetMode="External"/><Relationship  Id="rId7183" Type="http://schemas.openxmlformats.org/officeDocument/2006/relationships/hyperlink" Target="http://www.linkedin.com/in/gillesalbouy" TargetMode="External"/><Relationship  Id="rId7184" Type="http://schemas.openxmlformats.org/officeDocument/2006/relationships/hyperlink" Target="http://www.e-volve.fr" TargetMode="External"/><Relationship  Id="rId7185" Type="http://schemas.openxmlformats.org/officeDocument/2006/relationships/hyperlink" Target="http://www.linkedin.com/in/olivier-roussel-7699b25" TargetMode="External"/><Relationship  Id="rId7186" Type="http://schemas.openxmlformats.org/officeDocument/2006/relationships/hyperlink" Target="http://www.log.consulting" TargetMode="External"/><Relationship  Id="rId7187" Type="http://schemas.openxmlformats.org/officeDocument/2006/relationships/hyperlink" Target="http://www.linkedin.com/in/sylvainherve" TargetMode="External"/><Relationship  Id="rId7188" Type="http://schemas.openxmlformats.org/officeDocument/2006/relationships/hyperlink" Target="http://www.awe.fr" TargetMode="External"/><Relationship  Id="rId7189" Type="http://schemas.openxmlformats.org/officeDocument/2006/relationships/hyperlink" Target="http://www.linkedin.com/in/louissimonfaure" TargetMode="External"/><Relationship  Id="rId719" Type="http://schemas.openxmlformats.org/officeDocument/2006/relationships/hyperlink" Target="http://www.villacosy.com" TargetMode="External"/><Relationship  Id="rId7190" Type="http://schemas.openxmlformats.org/officeDocument/2006/relationships/hyperlink" Target="http://www.leaderia.com" TargetMode="External"/><Relationship  Id="rId7191" Type="http://schemas.openxmlformats.org/officeDocument/2006/relationships/hyperlink" Target="http://www.linkedin.com/in/sylvain-divo-54b36986" TargetMode="External"/><Relationship  Id="rId7192" Type="http://schemas.openxmlformats.org/officeDocument/2006/relationships/hyperlink" Target="http://www.mobilites-demain.com" TargetMode="External"/><Relationship  Id="rId7193" Type="http://schemas.openxmlformats.org/officeDocument/2006/relationships/hyperlink" Target="http://www.linkedin.com/in/calvez-pignot-alice-0bbb492" TargetMode="External"/><Relationship  Id="rId7194" Type="http://schemas.openxmlformats.org/officeDocument/2006/relationships/hyperlink" Target="http://www.ocode.fr" TargetMode="External"/><Relationship  Id="rId7195" Type="http://schemas.openxmlformats.org/officeDocument/2006/relationships/hyperlink" Target="http://www.linkedin.com/in/laurent-tordjman-03479134" TargetMode="External"/><Relationship  Id="rId7196" Type="http://schemas.openxmlformats.org/officeDocument/2006/relationships/hyperlink" Target="http://www.linkedin.com/in/gaelduvalprofile" TargetMode="External"/><Relationship  Id="rId7197" Type="http://schemas.openxmlformats.org/officeDocument/2006/relationships/hyperlink" Target="http://www.murena.com" TargetMode="External"/><Relationship  Id="rId7198" Type="http://schemas.openxmlformats.org/officeDocument/2006/relationships/hyperlink" Target="http://www.linkedin.com/in/jbogp" TargetMode="External"/><Relationship  Id="rId7199" Type="http://schemas.openxmlformats.org/officeDocument/2006/relationships/hyperlink" Target="http://www.greenbids.ai" TargetMode="External"/><Relationship  Id="rId72" Type="http://schemas.openxmlformats.org/officeDocument/2006/relationships/hyperlink" Target="http://www.linkedin.com/in/sebastienemonet" TargetMode="External"/><Relationship  Id="rId720" Type="http://schemas.openxmlformats.org/officeDocument/2006/relationships/hyperlink" Target="http://www.linkedin.com/in/charly-tourrette-8b359b19" TargetMode="External"/><Relationship  Id="rId7200" Type="http://schemas.openxmlformats.org/officeDocument/2006/relationships/hyperlink" Target="http://www.linkedin.com/in/elodie-biagiotti-walk-26628511" TargetMode="External"/><Relationship  Id="rId7201" Type="http://schemas.openxmlformats.org/officeDocument/2006/relationships/hyperlink" Target="http://www.thesocialrepublic.fr" TargetMode="External"/><Relationship  Id="rId7202" Type="http://schemas.openxmlformats.org/officeDocument/2006/relationships/hyperlink" Target="http://www.linkedin.com/in/louis-reynes-42925ab4" TargetMode="External"/><Relationship  Id="rId7203" Type="http://schemas.openxmlformats.org/officeDocument/2006/relationships/hyperlink" Target="http://www.sippro.fr" TargetMode="External"/><Relationship  Id="rId7204" Type="http://schemas.openxmlformats.org/officeDocument/2006/relationships/hyperlink" Target="http://www.linkedin.com/in/sebastienricci" TargetMode="External"/><Relationship  Id="rId7205" Type="http://schemas.openxmlformats.org/officeDocument/2006/relationships/hyperlink" Target="http://www.mob-energy.com" TargetMode="External"/><Relationship  Id="rId7206" Type="http://schemas.openxmlformats.org/officeDocument/2006/relationships/hyperlink" Target="http://www.linkedin.com/in/sanjeev-francis-xavier-3212a718a" TargetMode="External"/><Relationship  Id="rId7207" Type="http://schemas.openxmlformats.org/officeDocument/2006/relationships/hyperlink" Target="http://www.nesstechnologies.fr" TargetMode="External"/><Relationship  Id="rId7208" Type="http://schemas.openxmlformats.org/officeDocument/2006/relationships/hyperlink" Target="http://www.linkedin.com/in/jean-christophe-laporte-b81b646" TargetMode="External"/><Relationship  Id="rId7209" Type="http://schemas.openxmlformats.org/officeDocument/2006/relationships/hyperlink" Target="http://www.kemp.es" TargetMode="External"/><Relationship  Id="rId721" Type="http://schemas.openxmlformats.org/officeDocument/2006/relationships/hyperlink" Target="http://www.le-clos-saint-martin.com" TargetMode="External"/><Relationship  Id="rId7210" Type="http://schemas.openxmlformats.org/officeDocument/2006/relationships/hyperlink" Target="http://www.linkedin.com/in/eric-sele-0a2307" TargetMode="External"/><Relationship  Id="rId7211" Type="http://schemas.openxmlformats.org/officeDocument/2006/relationships/hyperlink" Target="http://www.wisper.io" TargetMode="External"/><Relationship  Id="rId7212" Type="http://schemas.openxmlformats.org/officeDocument/2006/relationships/hyperlink" Target="http://www.linkedin.com/in/christophegrangeon" TargetMode="External"/><Relationship  Id="rId7213" Type="http://schemas.openxmlformats.org/officeDocument/2006/relationships/hyperlink" Target="http://www.usercube.com" TargetMode="External"/><Relationship  Id="rId7214" Type="http://schemas.openxmlformats.org/officeDocument/2006/relationships/hyperlink" Target="http://www.linkedin.com/in/jean-fran%c3%a7ois-boutin-44983b1a3" TargetMode="External"/><Relationship  Id="rId7215" Type="http://schemas.openxmlformats.org/officeDocument/2006/relationships/hyperlink" Target="http://www.digitalvision.lu" TargetMode="External"/><Relationship  Id="rId7216" Type="http://schemas.openxmlformats.org/officeDocument/2006/relationships/hyperlink" Target="http://www.linkedin.com/in/guillaumedupont1" TargetMode="External"/><Relationship  Id="rId7217" Type="http://schemas.openxmlformats.org/officeDocument/2006/relationships/hyperlink" Target="http://www.louis-dupont.com" TargetMode="External"/><Relationship  Id="rId7218" Type="http://schemas.openxmlformats.org/officeDocument/2006/relationships/hyperlink" Target="http://www.linkedin.com/in/cyril-de-charentenay-16761731" TargetMode="External"/><Relationship  Id="rId7219" Type="http://schemas.openxmlformats.org/officeDocument/2006/relationships/hyperlink" Target="http://www.nude.eu" TargetMode="External"/><Relationship  Id="rId722" Type="http://schemas.openxmlformats.org/officeDocument/2006/relationships/hyperlink" Target="http://www.linkedin.com/in/juan-arbelaez-356a191a0" TargetMode="External"/><Relationship  Id="rId7220" Type="http://schemas.openxmlformats.org/officeDocument/2006/relationships/hyperlink" Target="http://www.linkedin.com/in/virginie-vovard" TargetMode="External"/><Relationship  Id="rId7221" Type="http://schemas.openxmlformats.org/officeDocument/2006/relationships/hyperlink" Target="http://www.smartevo.ai" TargetMode="External"/><Relationship  Id="rId7222" Type="http://schemas.openxmlformats.org/officeDocument/2006/relationships/hyperlink" Target="http://www.linkedin.com/in/maximilien-barb%c3%a9-179a83a8" TargetMode="External"/><Relationship  Id="rId7223" Type="http://schemas.openxmlformats.org/officeDocument/2006/relationships/hyperlink" Target="http://www.asterconsulting.fr" TargetMode="External"/><Relationship  Id="rId7224" Type="http://schemas.openxmlformats.org/officeDocument/2006/relationships/hyperlink" Target="http://www.linkedin.com/in/jerome-legrain-7780a11" TargetMode="External"/><Relationship  Id="rId7225" Type="http://schemas.openxmlformats.org/officeDocument/2006/relationships/hyperlink" Target="http://www.novem-consulting.com" TargetMode="External"/><Relationship  Id="rId7226" Type="http://schemas.openxmlformats.org/officeDocument/2006/relationships/hyperlink" Target="http://www.linkedin.com/in/karim-benzaghou" TargetMode="External"/><Relationship  Id="rId7227" Type="http://schemas.openxmlformats.org/officeDocument/2006/relationships/hyperlink" Target="http://www.askware.com" TargetMode="External"/><Relationship  Id="rId7228" Type="http://schemas.openxmlformats.org/officeDocument/2006/relationships/hyperlink" Target="http://www.linkedin.com/in/christian-montillaud-56302446" TargetMode="External"/><Relationship  Id="rId7229" Type="http://schemas.openxmlformats.org/officeDocument/2006/relationships/hyperlink" Target="http://www.quartz-insight.com" TargetMode="External"/><Relationship  Id="rId723" Type="http://schemas.openxmlformats.org/officeDocument/2006/relationships/hyperlink" Target="http://www.yayarestaurant.com" TargetMode="External"/><Relationship  Id="rId7230" Type="http://schemas.openxmlformats.org/officeDocument/2006/relationships/hyperlink" Target="http://www.linkedin.com/in/quentindecre" TargetMode="External"/><Relationship  Id="rId7231" Type="http://schemas.openxmlformats.org/officeDocument/2006/relationships/hyperlink" Target="http://www.linkedin.com/in/franck-wibaux-a4750795" TargetMode="External"/><Relationship  Id="rId7232" Type="http://schemas.openxmlformats.org/officeDocument/2006/relationships/hyperlink" Target="http://www.qualidata.fr" TargetMode="External"/><Relationship  Id="rId7233" Type="http://schemas.openxmlformats.org/officeDocument/2006/relationships/hyperlink" Target="http://www.linkedin.com/in/fredoblaze" TargetMode="External"/><Relationship  Id="rId7234" Type="http://schemas.openxmlformats.org/officeDocument/2006/relationships/hyperlink" Target="http://www.reseaulocal.com" TargetMode="External"/><Relationship  Id="rId7235" Type="http://schemas.openxmlformats.org/officeDocument/2006/relationships/hyperlink" Target="http://www.linkedin.com/in/st%c3%a9phane-chardes" TargetMode="External"/><Relationship  Id="rId7236" Type="http://schemas.openxmlformats.org/officeDocument/2006/relationships/hyperlink" Target="http://www.kemtec-ingenierie.fr" TargetMode="External"/><Relationship  Id="rId7237" Type="http://schemas.openxmlformats.org/officeDocument/2006/relationships/hyperlink" Target="http://www.linkedin.com/in/mehdibellatig" TargetMode="External"/><Relationship  Id="rId7238" Type="http://schemas.openxmlformats.org/officeDocument/2006/relationships/hyperlink" Target="http://www.franceverif.fr" TargetMode="External"/><Relationship  Id="rId7239" Type="http://schemas.openxmlformats.org/officeDocument/2006/relationships/hyperlink" Target="http://www.linkedin.com/in/adrien-tudesq-880b9326" TargetMode="External"/><Relationship  Id="rId724" Type="http://schemas.openxmlformats.org/officeDocument/2006/relationships/hyperlink" Target="http://www.linkedin.com/in/st%c3%a9phanie-briday-989514201" TargetMode="External"/><Relationship  Id="rId7240" Type="http://schemas.openxmlformats.org/officeDocument/2006/relationships/hyperlink" Target="http://www.magmatechnology.io" TargetMode="External"/><Relationship  Id="rId7241" Type="http://schemas.openxmlformats.org/officeDocument/2006/relationships/hyperlink" Target="http://www.linkedin.com/in/gwendal-mouchard-lyde" TargetMode="External"/><Relationship  Id="rId7242" Type="http://schemas.openxmlformats.org/officeDocument/2006/relationships/hyperlink" Target="http://www.lyde-conseil.com" TargetMode="External"/><Relationship  Id="rId7243" Type="http://schemas.openxmlformats.org/officeDocument/2006/relationships/hyperlink" Target="http://www.linkedin.com/in/alexis-hernot-58a1a6" TargetMode="External"/><Relationship  Id="rId7244" Type="http://schemas.openxmlformats.org/officeDocument/2006/relationships/hyperlink" Target="http://www.calmedica.com" TargetMode="External"/><Relationship  Id="rId7245" Type="http://schemas.openxmlformats.org/officeDocument/2006/relationships/hyperlink" Target="http://www.linkedin.com/in/gtostivint" TargetMode="External"/><Relationship  Id="rId7246" Type="http://schemas.openxmlformats.org/officeDocument/2006/relationships/hyperlink" Target="http://amalia.io/" TargetMode="External"/><Relationship  Id="rId7247" Type="http://schemas.openxmlformats.org/officeDocument/2006/relationships/hyperlink" Target="http://www.linkedin.com/in/boisseson" TargetMode="External"/><Relationship  Id="rId7248" Type="http://schemas.openxmlformats.org/officeDocument/2006/relationships/hyperlink" Target="http://www.amalia.io" TargetMode="External"/><Relationship  Id="rId7249" Type="http://schemas.openxmlformats.org/officeDocument/2006/relationships/hyperlink" Target="http://www.linkedin.com/in/st%c3%a9phan-r%c3%a9gnier-a89173108" TargetMode="External"/><Relationship  Id="rId725" Type="http://schemas.openxmlformats.org/officeDocument/2006/relationships/hyperlink" Target="http://www.neaclub.com" TargetMode="External"/><Relationship  Id="rId7250" Type="http://schemas.openxmlformats.org/officeDocument/2006/relationships/hyperlink" Target="http://www.nuterms.com" TargetMode="External"/><Relationship  Id="rId7251" Type="http://schemas.openxmlformats.org/officeDocument/2006/relationships/hyperlink" Target="http://www.linkedin.com/in/pawe%c5%82-wojnar-89b4a7101" TargetMode="External"/><Relationship  Id="rId7252" Type="http://schemas.openxmlformats.org/officeDocument/2006/relationships/hyperlink" Target="http://www.infotel-software.eu" TargetMode="External"/><Relationship  Id="rId7253" Type="http://schemas.openxmlformats.org/officeDocument/2006/relationships/hyperlink" Target="http://www.linkedin.com/in/guillaume-debuiselle-2837a267" TargetMode="External"/><Relationship  Id="rId7254" Type="http://schemas.openxmlformats.org/officeDocument/2006/relationships/hyperlink" Target="http://www.linkedin.com/in/marcwolff" TargetMode="External"/><Relationship  Id="rId7255" Type="http://schemas.openxmlformats.org/officeDocument/2006/relationships/hyperlink" Target="http://www.stratow.com" TargetMode="External"/><Relationship  Id="rId7256" Type="http://schemas.openxmlformats.org/officeDocument/2006/relationships/hyperlink" Target="http://www.linkedin.com/in/j%c3%a9r%c3%b4me-chappe-a47ab83" TargetMode="External"/><Relationship  Id="rId7257" Type="http://schemas.openxmlformats.org/officeDocument/2006/relationships/hyperlink" Target="http://www.thegreenbow.com" TargetMode="External"/><Relationship  Id="rId7258" Type="http://schemas.openxmlformats.org/officeDocument/2006/relationships/hyperlink" Target="http://www.linkedin.com/in/sami-poirier-a8057948" TargetMode="External"/><Relationship  Id="rId7259" Type="http://schemas.openxmlformats.org/officeDocument/2006/relationships/hyperlink" Target="http://www.josh-digital.com" TargetMode="External"/><Relationship  Id="rId726" Type="http://schemas.openxmlformats.org/officeDocument/2006/relationships/hyperlink" Target="http://www.linkedin.com/in/mirko-varriale-899b5874" TargetMode="External"/><Relationship  Id="rId7260" Type="http://schemas.openxmlformats.org/officeDocument/2006/relationships/hyperlink" Target="http://www.linkedin.com/in/luc-coiffier-54785812" TargetMode="External"/><Relationship  Id="rId7261" Type="http://schemas.openxmlformats.org/officeDocument/2006/relationships/hyperlink" Target="http://www.asterop.com" TargetMode="External"/><Relationship  Id="rId7262" Type="http://schemas.openxmlformats.org/officeDocument/2006/relationships/hyperlink" Target="http://www.linkedin.com/in/christophe-robin-bb0017104" TargetMode="External"/><Relationship  Id="rId7263" Type="http://schemas.openxmlformats.org/officeDocument/2006/relationships/hyperlink" Target="http://www.lasoderec.com" TargetMode="External"/><Relationship  Id="rId7264" Type="http://schemas.openxmlformats.org/officeDocument/2006/relationships/hyperlink" Target="http://www.linkedin.com/in/j%c3%a9r%c3%b4me-piquot" TargetMode="External"/><Relationship  Id="rId7265" Type="http://schemas.openxmlformats.org/officeDocument/2006/relationships/hyperlink" Target="http://www.fiveforty-group.com" TargetMode="External"/><Relationship  Id="rId7266" Type="http://schemas.openxmlformats.org/officeDocument/2006/relationships/hyperlink" Target="http://www.linkedin.com/in/michaelfriess" TargetMode="External"/><Relationship  Id="rId7267" Type="http://schemas.openxmlformats.org/officeDocument/2006/relationships/hyperlink" Target="http://www.jumbomana.com" TargetMode="External"/><Relationship  Id="rId7268" Type="http://schemas.openxmlformats.org/officeDocument/2006/relationships/hyperlink" Target="http://www.linkedin.com/in/johann-rochias-7b944a148" TargetMode="External"/><Relationship  Id="rId7269" Type="http://schemas.openxmlformats.org/officeDocument/2006/relationships/hyperlink" Target="http://www.goitschelsport.com" TargetMode="External"/><Relationship  Id="rId727" Type="http://schemas.openxmlformats.org/officeDocument/2006/relationships/hyperlink" Target="http://www.hi-pessac.com" TargetMode="External"/><Relationship  Id="rId7270" Type="http://schemas.openxmlformats.org/officeDocument/2006/relationships/hyperlink" Target="http://www.linkedin.com/in/stephane-moreau-architect" TargetMode="External"/><Relationship  Id="rId7271" Type="http://schemas.openxmlformats.org/officeDocument/2006/relationships/hyperlink" Target="http://www.manae.io" TargetMode="External"/><Relationship  Id="rId7272" Type="http://schemas.openxmlformats.org/officeDocument/2006/relationships/hyperlink" Target="http://www.linkedin.com/in/slimane-rahmani-240a3830" TargetMode="External"/><Relationship  Id="rId7273" Type="http://schemas.openxmlformats.org/officeDocument/2006/relationships/hyperlink" Target="http://www.linkedin.com/in/lionel-verdeaux-5b922913" TargetMode="External"/><Relationship  Id="rId7274" Type="http://schemas.openxmlformats.org/officeDocument/2006/relationships/hyperlink" Target="http://www.partelio.fr" TargetMode="External"/><Relationship  Id="rId7275" Type="http://schemas.openxmlformats.org/officeDocument/2006/relationships/hyperlink" Target="http://www.linkedin.com/in/eric-greven-b936558b" TargetMode="External"/><Relationship  Id="rId7276" Type="http://schemas.openxmlformats.org/officeDocument/2006/relationships/hyperlink" Target="http://www.aet.fr" TargetMode="External"/><Relationship  Id="rId7277" Type="http://schemas.openxmlformats.org/officeDocument/2006/relationships/hyperlink" Target="http://www.linkedin.com/in/antoine-cochou-06629312b" TargetMode="External"/><Relationship  Id="rId7278" Type="http://schemas.openxmlformats.org/officeDocument/2006/relationships/hyperlink" Target="http://www.larucheavelos.fr" TargetMode="External"/><Relationship  Id="rId7279" Type="http://schemas.openxmlformats.org/officeDocument/2006/relationships/hyperlink" Target="http://www.linkedin.com/in/gauthier-schweitzer-3b354b3a" TargetMode="External"/><Relationship  Id="rId728" Type="http://schemas.openxmlformats.org/officeDocument/2006/relationships/hyperlink" Target="http://www.linkedin.com/in/antoninduarte" TargetMode="External"/><Relationship  Id="rId7280" Type="http://schemas.openxmlformats.org/officeDocument/2006/relationships/hyperlink" Target="http://www.sahar.fr" TargetMode="External"/><Relationship  Id="rId7281" Type="http://schemas.openxmlformats.org/officeDocument/2006/relationships/hyperlink" Target="http://www.linkedin.com/in/arnaud-giuliani-0b2b73b" TargetMode="External"/><Relationship  Id="rId7282" Type="http://schemas.openxmlformats.org/officeDocument/2006/relationships/hyperlink" Target="http://www.kotzilla.io" TargetMode="External"/><Relationship  Id="rId7283" Type="http://schemas.openxmlformats.org/officeDocument/2006/relationships/hyperlink" Target="http://www.linkedin.com/in/mikiane" TargetMode="External"/><Relationship  Id="rId7284" Type="http://schemas.openxmlformats.org/officeDocument/2006/relationships/hyperlink" Target="http://www.brightness.fr" TargetMode="External"/><Relationship  Id="rId7285" Type="http://schemas.openxmlformats.org/officeDocument/2006/relationships/hyperlink" Target="http://www.linkedin.com/in/bertrand-oudin-68633222" TargetMode="External"/><Relationship  Id="rId7286" Type="http://schemas.openxmlformats.org/officeDocument/2006/relationships/hyperlink" Target="http://www.ceresco.fr" TargetMode="External"/><Relationship  Id="rId7287" Type="http://schemas.openxmlformats.org/officeDocument/2006/relationships/hyperlink" Target="http://www.linkedin.com/in/raphaelalessandrini" TargetMode="External"/><Relationship  Id="rId7288" Type="http://schemas.openxmlformats.org/officeDocument/2006/relationships/hyperlink" Target="http://www.celestal.fr" TargetMode="External"/><Relationship  Id="rId7289" Type="http://schemas.openxmlformats.org/officeDocument/2006/relationships/hyperlink" Target="http://www.linkedin.com/in/florentpadie" TargetMode="External"/><Relationship  Id="rId729" Type="http://schemas.openxmlformats.org/officeDocument/2006/relationships/hyperlink" Target="http://www.suiteoresidencesservices.com" TargetMode="External"/><Relationship  Id="rId7290" Type="http://schemas.openxmlformats.org/officeDocument/2006/relationships/hyperlink" Target="http://www.intersa.fr" TargetMode="External"/><Relationship  Id="rId7291" Type="http://schemas.openxmlformats.org/officeDocument/2006/relationships/hyperlink" Target="http://www.linkedin.com/in/alice-memang-934299127" TargetMode="External"/><Relationship  Id="rId7292" Type="http://schemas.openxmlformats.org/officeDocument/2006/relationships/hyperlink" Target="http://www.delfox.net" TargetMode="External"/><Relationship  Id="rId7293" Type="http://schemas.openxmlformats.org/officeDocument/2006/relationships/hyperlink" Target="http://www.linkedin.com/in/laurent-moch%c3%a9-1860b080" TargetMode="External"/><Relationship  Id="rId7294" Type="http://schemas.openxmlformats.org/officeDocument/2006/relationships/hyperlink" Target="http://www.edenkia.com" TargetMode="External"/><Relationship  Id="rId7295" Type="http://schemas.openxmlformats.org/officeDocument/2006/relationships/hyperlink" Target="http://www.linkedin.com/in/said-khayat-34511819" TargetMode="External"/><Relationship  Id="rId7296" Type="http://schemas.openxmlformats.org/officeDocument/2006/relationships/hyperlink" Target="http://www.geoloc-systems.com" TargetMode="External"/><Relationship  Id="rId7297" Type="http://schemas.openxmlformats.org/officeDocument/2006/relationships/hyperlink" Target="http://www.linkedin.com/in/julienpitet" TargetMode="External"/><Relationship  Id="rId7298" Type="http://schemas.openxmlformats.org/officeDocument/2006/relationships/hyperlink" Target="http://www.pagepublique.com" TargetMode="External"/><Relationship  Id="rId7299" Type="http://schemas.openxmlformats.org/officeDocument/2006/relationships/hyperlink" Target="http://www.linkedin.com/in/kirill-zheleznov-559257ab" TargetMode="External"/><Relationship  Id="rId73" Type="http://schemas.openxmlformats.org/officeDocument/2006/relationships/hyperlink" Target="http://www.enjoyandstay.com" TargetMode="External"/><Relationship  Id="rId730" Type="http://schemas.openxmlformats.org/officeDocument/2006/relationships/hyperlink" Target="http://www.linkedin.com/in/camille-clar-79163a30" TargetMode="External"/><Relationship  Id="rId7300" Type="http://schemas.openxmlformats.org/officeDocument/2006/relationships/hyperlink" Target="http://www.enty.io" TargetMode="External"/><Relationship  Id="rId7301" Type="http://schemas.openxmlformats.org/officeDocument/2006/relationships/hyperlink" Target="http://www.linkedin.com/in/christian-piveteau-73a790234" TargetMode="External"/><Relationship  Id="rId7302" Type="http://schemas.openxmlformats.org/officeDocument/2006/relationships/hyperlink" Target="http://www.piveteau-agri.fr" TargetMode="External"/><Relationship  Id="rId7303" Type="http://schemas.openxmlformats.org/officeDocument/2006/relationships/hyperlink" Target="http://www.linkedin.com/in/valeriebossard" TargetMode="External"/><Relationship  Id="rId7304" Type="http://schemas.openxmlformats.org/officeDocument/2006/relationships/hyperlink" Target="http://www.changeandcare.com" TargetMode="External"/><Relationship  Id="rId7305" Type="http://schemas.openxmlformats.org/officeDocument/2006/relationships/hyperlink" Target="http://www.linkedin.com/in/alexandre-delhomme-0346592" TargetMode="External"/><Relationship  Id="rId7306" Type="http://schemas.openxmlformats.org/officeDocument/2006/relationships/hyperlink" Target="http://www.5team.fr" TargetMode="External"/><Relationship  Id="rId7307" Type="http://schemas.openxmlformats.org/officeDocument/2006/relationships/hyperlink" Target="http://www.linkedin.com/in/perrine-chapot-2a808270" TargetMode="External"/><Relationship  Id="rId7308" Type="http://schemas.openxmlformats.org/officeDocument/2006/relationships/hyperlink" Target="http://www.linkedin.com/in/delphine-lesueur-839873149" TargetMode="External"/><Relationship  Id="rId7309" Type="http://schemas.openxmlformats.org/officeDocument/2006/relationships/hyperlink" Target="http://www.beefirst.fr" TargetMode="External"/><Relationship  Id="rId731" Type="http://schemas.openxmlformats.org/officeDocument/2006/relationships/hyperlink" Target="http://www.chouettes-hostel.com" TargetMode="External"/><Relationship  Id="rId7310" Type="http://schemas.openxmlformats.org/officeDocument/2006/relationships/hyperlink" Target="http://www.linkedin.com/in/richard-alleaume-2863a2156" TargetMode="External"/><Relationship  Id="rId7311" Type="http://schemas.openxmlformats.org/officeDocument/2006/relationships/hyperlink" Target="http://www.groupedecharenton.fr" TargetMode="External"/><Relationship  Id="rId7312" Type="http://schemas.openxmlformats.org/officeDocument/2006/relationships/hyperlink" Target="http://www.linkedin.com/in/arnaud-laurenson-38754726" TargetMode="External"/><Relationship  Id="rId7313" Type="http://schemas.openxmlformats.org/officeDocument/2006/relationships/hyperlink" Target="http://www.initiative-crm.com" TargetMode="External"/><Relationship  Id="rId7314" Type="http://schemas.openxmlformats.org/officeDocument/2006/relationships/hyperlink" Target="http://www.linkedin.com/in/amurtha-asokumar-a5595a116" TargetMode="External"/><Relationship  Id="rId7315" Type="http://schemas.openxmlformats.org/officeDocument/2006/relationships/hyperlink" Target="http://www.asokumar.com" TargetMode="External"/><Relationship  Id="rId7316" Type="http://schemas.openxmlformats.org/officeDocument/2006/relationships/hyperlink" Target="http://www.linkedin.com/in/alexandre-grais-07b74926" TargetMode="External"/><Relationship  Id="rId7317" Type="http://schemas.openxmlformats.org/officeDocument/2006/relationships/hyperlink" Target="http://www.kapptivate.com" TargetMode="External"/><Relationship  Id="rId7318" Type="http://schemas.openxmlformats.org/officeDocument/2006/relationships/hyperlink" Target="http://www.linkedin.com/in/laurence-backe-a966704b" TargetMode="External"/><Relationship  Id="rId7319" Type="http://schemas.openxmlformats.org/officeDocument/2006/relationships/hyperlink" Target="http://www.heuritech.com" TargetMode="External"/><Relationship  Id="rId732" Type="http://schemas.openxmlformats.org/officeDocument/2006/relationships/hyperlink" Target="http://www.linkedin.com/in/eric-geoffroy-394b6012a" TargetMode="External"/><Relationship  Id="rId7320" Type="http://schemas.openxmlformats.org/officeDocument/2006/relationships/hyperlink" Target="http://www.linkedin.com/in/jgrasswill" TargetMode="External"/><Relationship  Id="rId7321" Type="http://schemas.openxmlformats.org/officeDocument/2006/relationships/hyperlink" Target="http://www.adeliom.com" TargetMode="External"/><Relationship  Id="rId7322" Type="http://schemas.openxmlformats.org/officeDocument/2006/relationships/hyperlink" Target="http://www.linkedin.com/in/thierry-schmitt-3143a045" TargetMode="External"/><Relationship  Id="rId7323" Type="http://schemas.openxmlformats.org/officeDocument/2006/relationships/hyperlink" Target="http://www.apsynet.fr" TargetMode="External"/><Relationship  Id="rId7324" Type="http://schemas.openxmlformats.org/officeDocument/2006/relationships/hyperlink" Target="http://www.linkedin.com/in/cyrilcourtonne" TargetMode="External"/><Relationship  Id="rId7325" Type="http://schemas.openxmlformats.org/officeDocument/2006/relationships/hyperlink" Target="http://www.teambox.fr" TargetMode="External"/><Relationship  Id="rId7326" Type="http://schemas.openxmlformats.org/officeDocument/2006/relationships/hyperlink" Target="http://www.linkedin.com/in/st%c3%a9phane-leymarie-81421b60" TargetMode="External"/><Relationship  Id="rId7327" Type="http://schemas.openxmlformats.org/officeDocument/2006/relationships/hyperlink" Target="http://www.asape.fr" TargetMode="External"/><Relationship  Id="rId7328" Type="http://schemas.openxmlformats.org/officeDocument/2006/relationships/hyperlink" Target="http://www.linkedin.com/in/christophe-legrenzi-acadys" TargetMode="External"/><Relationship  Id="rId7329" Type="http://schemas.openxmlformats.org/officeDocument/2006/relationships/hyperlink" Target="http://www.acadys.com" TargetMode="External"/><Relationship  Id="rId733" Type="http://schemas.openxmlformats.org/officeDocument/2006/relationships/hyperlink" Target="http://www.aupianodeschefs.com" TargetMode="External"/><Relationship  Id="rId7330" Type="http://schemas.openxmlformats.org/officeDocument/2006/relationships/hyperlink" Target="http://www.linkedin.com/in/oliviergenest" TargetMode="External"/><Relationship  Id="rId7331" Type="http://schemas.openxmlformats.org/officeDocument/2006/relationships/hyperlink" Target="http://www.trialog.com" TargetMode="External"/><Relationship  Id="rId7332" Type="http://schemas.openxmlformats.org/officeDocument/2006/relationships/hyperlink" Target="http://www.linkedin.com/in/j%c3%a9r%c3%a9mie-joly-blazon-du-sabla-b26475160" TargetMode="External"/><Relationship  Id="rId7333" Type="http://schemas.openxmlformats.org/officeDocument/2006/relationships/hyperlink" Target="http://www.vapotech.fr" TargetMode="External"/><Relationship  Id="rId7334" Type="http://schemas.openxmlformats.org/officeDocument/2006/relationships/hyperlink" Target="http://www.linkedin.com/in/carl-hernandez-629115161" TargetMode="External"/><Relationship  Id="rId7335" Type="http://schemas.openxmlformats.org/officeDocument/2006/relationships/hyperlink" Target="http://www.avantdecliquer.com" TargetMode="External"/><Relationship  Id="rId7336" Type="http://schemas.openxmlformats.org/officeDocument/2006/relationships/hyperlink" Target="http://www.linkedin.com/in/paul-metzger-413529293" TargetMode="External"/><Relationship  Id="rId7337" Type="http://schemas.openxmlformats.org/officeDocument/2006/relationships/hyperlink" Target="http://www.gemstore.fr" TargetMode="External"/><Relationship  Id="rId7338" Type="http://schemas.openxmlformats.org/officeDocument/2006/relationships/hyperlink" Target="http://www.linkedin.com/in/hamza-benkaid-b3b76083" TargetMode="External"/><Relationship  Id="rId7339" Type="http://schemas.openxmlformats.org/officeDocument/2006/relationships/hyperlink" Target="http://www.hbdconsulting.fr" TargetMode="External"/><Relationship  Id="rId734" Type="http://schemas.openxmlformats.org/officeDocument/2006/relationships/hyperlink" Target="http://www.linkedin.com/in/frederique-jules-a56b9330" TargetMode="External"/><Relationship  Id="rId7340" Type="http://schemas.openxmlformats.org/officeDocument/2006/relationships/hyperlink" Target="http://www.linkedin.com/in/fr%c3%a9d%c3%a9ric-foucaud-32470061" TargetMode="External"/><Relationship  Id="rId7341" Type="http://schemas.openxmlformats.org/officeDocument/2006/relationships/hyperlink" Target="http://www.fyzea.fr" TargetMode="External"/><Relationship  Id="rId7342" Type="http://schemas.openxmlformats.org/officeDocument/2006/relationships/hyperlink" Target="http://www.linkedin.com/in/j%c3%a9r%c3%a9my-delouis-543136275" TargetMode="External"/><Relationship  Id="rId7343" Type="http://schemas.openxmlformats.org/officeDocument/2006/relationships/hyperlink" Target="http://www.steel-group.fr" TargetMode="External"/><Relationship  Id="rId7344" Type="http://schemas.openxmlformats.org/officeDocument/2006/relationships/hyperlink" Target="http://www.linkedin.com/in/j%c3%a9r%c3%a9my-c%c3%b4me-2bb7335b" TargetMode="External"/><Relationship  Id="rId7345" Type="http://schemas.openxmlformats.org/officeDocument/2006/relationships/hyperlink" Target="http://www.altodis.fr" TargetMode="External"/><Relationship  Id="rId7346" Type="http://schemas.openxmlformats.org/officeDocument/2006/relationships/hyperlink" Target="http://www.linkedin.com/in/christophetuffier" TargetMode="External"/><Relationship  Id="rId7347" Type="http://schemas.openxmlformats.org/officeDocument/2006/relationships/hyperlink" Target="http://www.comusystems.com" TargetMode="External"/><Relationship  Id="rId7348" Type="http://schemas.openxmlformats.org/officeDocument/2006/relationships/hyperlink" Target="http://www.linkedin.com/in/alexandregirydeloison" TargetMode="External"/><Relationship  Id="rId7349" Type="http://schemas.openxmlformats.org/officeDocument/2006/relationships/hyperlink" Target="http://www.grow-ps.com" TargetMode="External"/><Relationship  Id="rId735" Type="http://schemas.openxmlformats.org/officeDocument/2006/relationships/hyperlink" Target="http://www.noglu.fr" TargetMode="External"/><Relationship  Id="rId7350" Type="http://schemas.openxmlformats.org/officeDocument/2006/relationships/hyperlink" Target="http://www.linkedin.com/in/gillesmareau" TargetMode="External"/><Relationship  Id="rId7351" Type="http://schemas.openxmlformats.org/officeDocument/2006/relationships/hyperlink" Target="http://www.linkedin.com/in/maximelebastard" TargetMode="External"/><Relationship  Id="rId7352" Type="http://schemas.openxmlformats.org/officeDocument/2006/relationships/hyperlink" Target="http://www.casap.com" TargetMode="External"/><Relationship  Id="rId7353" Type="http://schemas.openxmlformats.org/officeDocument/2006/relationships/hyperlink" Target="http://www.linkedin.com/in/sebastien-reverdy-betoobe-mobilehub" TargetMode="External"/><Relationship  Id="rId7354" Type="http://schemas.openxmlformats.org/officeDocument/2006/relationships/hyperlink" Target="http://www.betoobe.fr" TargetMode="External"/><Relationship  Id="rId7355" Type="http://schemas.openxmlformats.org/officeDocument/2006/relationships/hyperlink" Target="http://www.linkedin.com/in/manuel-fontanier-8a393668" TargetMode="External"/><Relationship  Id="rId7356" Type="http://schemas.openxmlformats.org/officeDocument/2006/relationships/hyperlink" Target="http://www.linkedin.com/in/jessicamichen" TargetMode="External"/><Relationship  Id="rId7357" Type="http://schemas.openxmlformats.org/officeDocument/2006/relationships/hyperlink" Target="http://www.grasp.gg" TargetMode="External"/><Relationship  Id="rId7358" Type="http://schemas.openxmlformats.org/officeDocument/2006/relationships/hyperlink" Target="http://www.linkedin.com/in/yanis-kerfa-305aa139" TargetMode="External"/><Relationship  Id="rId7359" Type="http://schemas.openxmlformats.org/officeDocument/2006/relationships/hyperlink" Target="http://www.sweepin.fr" TargetMode="External"/><Relationship  Id="rId736" Type="http://schemas.openxmlformats.org/officeDocument/2006/relationships/hyperlink" Target="http://www.linkedin.com/in/jean-rolland-587093110" TargetMode="External"/><Relationship  Id="rId7360" Type="http://schemas.openxmlformats.org/officeDocument/2006/relationships/hyperlink" Target="http://www.linkedin.com/in/enzo-albaglie-0a1bab206" TargetMode="External"/><Relationship  Id="rId7361" Type="http://schemas.openxmlformats.org/officeDocument/2006/relationships/hyperlink" Target="http://www.premium-energies.fr" TargetMode="External"/><Relationship  Id="rId7362" Type="http://schemas.openxmlformats.org/officeDocument/2006/relationships/hyperlink" Target="http://www.linkedin.com/in/evangelos-moschos-6842ab1b8" TargetMode="External"/><Relationship  Id="rId7363" Type="http://schemas.openxmlformats.org/officeDocument/2006/relationships/hyperlink" Target="http://www.amphitrite.fr" TargetMode="External"/><Relationship  Id="rId7364" Type="http://schemas.openxmlformats.org/officeDocument/2006/relationships/hyperlink" Target="http://www.linkedin.com/in/fauveauarmel" TargetMode="External"/><Relationship  Id="rId7365" Type="http://schemas.openxmlformats.org/officeDocument/2006/relationships/hyperlink" Target="http://www.globalis-ms.com" TargetMode="External"/><Relationship  Id="rId7366" Type="http://schemas.openxmlformats.org/officeDocument/2006/relationships/hyperlink" Target="http://www.linkedin.com/in/isabelle-grosmaitre-changemaker" TargetMode="External"/><Relationship  Id="rId7367" Type="http://schemas.openxmlformats.org/officeDocument/2006/relationships/hyperlink" Target="http://www.goodnessandco.one" TargetMode="External"/><Relationship  Id="rId7368" Type="http://schemas.openxmlformats.org/officeDocument/2006/relationships/hyperlink" Target="http://www.linkedin.com/in/hocine-boukezioua" TargetMode="External"/><Relationship  Id="rId7369" Type="http://schemas.openxmlformats.org/officeDocument/2006/relationships/hyperlink" Target="http://www.ulink.co.za" TargetMode="External"/><Relationship  Id="rId737" Type="http://schemas.openxmlformats.org/officeDocument/2006/relationships/hyperlink" Target="http://www.dimshome.fr" TargetMode="External"/><Relationship  Id="rId7370" Type="http://schemas.openxmlformats.org/officeDocument/2006/relationships/hyperlink" Target="http://www.linkedin.com/in/ghazi-haouet-83172628" TargetMode="External"/><Relationship  Id="rId7371" Type="http://schemas.openxmlformats.org/officeDocument/2006/relationships/hyperlink" Target="http://www.neapsys.com" TargetMode="External"/><Relationship  Id="rId7372" Type="http://schemas.openxmlformats.org/officeDocument/2006/relationships/hyperlink" Target="http://www.linkedin.com/in/emmanuel-dubs-42524818" TargetMode="External"/><Relationship  Id="rId7373" Type="http://schemas.openxmlformats.org/officeDocument/2006/relationships/hyperlink" Target="http://www.zwilling.fr" TargetMode="External"/><Relationship  Id="rId7374" Type="http://schemas.openxmlformats.org/officeDocument/2006/relationships/hyperlink" Target="http://www.linkedin.com/in/pascal-pizelle-1808a085" TargetMode="External"/><Relationship  Id="rId7375" Type="http://schemas.openxmlformats.org/officeDocument/2006/relationships/hyperlink" Target="http://www.ixiade.com" TargetMode="External"/><Relationship  Id="rId7376" Type="http://schemas.openxmlformats.org/officeDocument/2006/relationships/hyperlink" Target="http://www.linkedin.com/in/williampottier" TargetMode="External"/><Relationship  Id="rId7377" Type="http://schemas.openxmlformats.org/officeDocument/2006/relationships/hyperlink" Target="http://www.digway.fr" TargetMode="External"/><Relationship  Id="rId7378" Type="http://schemas.openxmlformats.org/officeDocument/2006/relationships/hyperlink" Target="http://www.linkedin.com/in/arthur-allain-dupr%c3%a9" TargetMode="External"/><Relationship  Id="rId7379" Type="http://schemas.openxmlformats.org/officeDocument/2006/relationships/hyperlink" Target="http://www.scalizer.fr" TargetMode="External"/><Relationship  Id="rId738" Type="http://schemas.openxmlformats.org/officeDocument/2006/relationships/hyperlink" Target="http://www.linkedin.com/in/benjaminschafier" TargetMode="External"/><Relationship  Id="rId7380" Type="http://schemas.openxmlformats.org/officeDocument/2006/relationships/hyperlink" Target="http://www.linkedin.com/in/tamarabrisk" TargetMode="External"/><Relationship  Id="rId7381" Type="http://schemas.openxmlformats.org/officeDocument/2006/relationships/hyperlink" Target="http://www.mokkispace.com" TargetMode="External"/><Relationship  Id="rId7382" Type="http://schemas.openxmlformats.org/officeDocument/2006/relationships/hyperlink" Target="http://www.linkedin.com/in/adrien-menoret-42006510" TargetMode="External"/><Relationship  Id="rId7383" Type="http://schemas.openxmlformats.org/officeDocument/2006/relationships/hyperlink" Target="http://www.netkin.fr" TargetMode="External"/><Relationship  Id="rId7384" Type="http://schemas.openxmlformats.org/officeDocument/2006/relationships/hyperlink" Target="http://www.linkedin.com/in/marine-laurent-sju" TargetMode="External"/><Relationship  Id="rId7385" Type="http://schemas.openxmlformats.org/officeDocument/2006/relationships/hyperlink" Target="http://www.linkedin.com/in/michael-bourgois-a1100895" TargetMode="External"/><Relationship  Id="rId7386" Type="http://schemas.openxmlformats.org/officeDocument/2006/relationships/hyperlink" Target="http://www.extern-it.fr" TargetMode="External"/><Relationship  Id="rId7387" Type="http://schemas.openxmlformats.org/officeDocument/2006/relationships/hyperlink" Target="http://www.linkedin.com/in/paul-cappuccio-48791b148" TargetMode="External"/><Relationship  Id="rId7388" Type="http://schemas.openxmlformats.org/officeDocument/2006/relationships/hyperlink" Target="http://www.waro.io" TargetMode="External"/><Relationship  Id="rId7389" Type="http://schemas.openxmlformats.org/officeDocument/2006/relationships/hyperlink" Target="http://www.linkedin.com/in/nathalie-ridard-5b381b11" TargetMode="External"/><Relationship  Id="rId739" Type="http://schemas.openxmlformats.org/officeDocument/2006/relationships/hyperlink" Target="http://www.revolugo.com" TargetMode="External"/><Relationship  Id="rId7390" Type="http://schemas.openxmlformats.org/officeDocument/2006/relationships/hyperlink" Target="http://www.ephelide.net" TargetMode="External"/><Relationship  Id="rId7391" Type="http://schemas.openxmlformats.org/officeDocument/2006/relationships/hyperlink" Target="http://stand-prive.com/" TargetMode="External"/><Relationship  Id="rId7392" Type="http://schemas.openxmlformats.org/officeDocument/2006/relationships/hyperlink" Target="http://www.linkedin.com/in/alex-wang-5866344b" TargetMode="External"/><Relationship  Id="rId7393" Type="http://schemas.openxmlformats.org/officeDocument/2006/relationships/hyperlink" Target="http://www.inspee.com" TargetMode="External"/><Relationship  Id="rId7394" Type="http://schemas.openxmlformats.org/officeDocument/2006/relationships/hyperlink" Target="http://www.linkedin.com/in/mathiasnirman" TargetMode="External"/><Relationship  Id="rId7395" Type="http://schemas.openxmlformats.org/officeDocument/2006/relationships/hyperlink" Target="http://www.chefcab.fr" TargetMode="External"/><Relationship  Id="rId7396" Type="http://schemas.openxmlformats.org/officeDocument/2006/relationships/hyperlink" Target="http://www.linkedin.com/in/fabrice-reboullet" TargetMode="External"/><Relationship  Id="rId7397" Type="http://schemas.openxmlformats.org/officeDocument/2006/relationships/hyperlink" Target="http://www.graphito-prevention.fr" TargetMode="External"/><Relationship  Id="rId7398" Type="http://schemas.openxmlformats.org/officeDocument/2006/relationships/hyperlink" Target="http://www.linkedin.com/in/henri-jonckheere-5527901" TargetMode="External"/><Relationship  Id="rId7399" Type="http://schemas.openxmlformats.org/officeDocument/2006/relationships/hyperlink" Target="http://www.atracore.com" TargetMode="External"/><Relationship  Id="rId74" Type="http://schemas.openxmlformats.org/officeDocument/2006/relationships/hyperlink" Target="http://www.linkedin.com/in/olivier-weiss-919202187" TargetMode="External"/><Relationship  Id="rId740" Type="http://schemas.openxmlformats.org/officeDocument/2006/relationships/hyperlink" Target="http://www.linkedin.com/in/james-shi-59308b121" TargetMode="External"/><Relationship  Id="rId7400" Type="http://schemas.openxmlformats.org/officeDocument/2006/relationships/hyperlink" Target="http://www.linkedin.com/in/anthonypinet" TargetMode="External"/><Relationship  Id="rId7401" Type="http://schemas.openxmlformats.org/officeDocument/2006/relationships/hyperlink" Target="http://www.wisebuilding.fr" TargetMode="External"/><Relationship  Id="rId7402" Type="http://schemas.openxmlformats.org/officeDocument/2006/relationships/hyperlink" Target="http://www.linkedin.com/in/alexandrecopper" TargetMode="External"/><Relationship  Id="rId7403" Type="http://schemas.openxmlformats.org/officeDocument/2006/relationships/hyperlink" Target="http://www.ta-da.io" TargetMode="External"/><Relationship  Id="rId7404" Type="http://schemas.openxmlformats.org/officeDocument/2006/relationships/hyperlink" Target="http://www.linkedin.com/in/charlie-clarck-13038585" TargetMode="External"/><Relationship  Id="rId7405" Type="http://schemas.openxmlformats.org/officeDocument/2006/relationships/hyperlink" Target="http://www.whistcom.com" TargetMode="External"/><Relationship  Id="rId7406" Type="http://schemas.openxmlformats.org/officeDocument/2006/relationships/hyperlink" Target="http://www.linkedin.com/in/michelpaillet" TargetMode="External"/><Relationship  Id="rId7407" Type="http://schemas.openxmlformats.org/officeDocument/2006/relationships/hyperlink" Target="http://www.cognitive-companions.com" TargetMode="External"/><Relationship  Id="rId7408" Type="http://schemas.openxmlformats.org/officeDocument/2006/relationships/hyperlink" Target="http://www.linkedin.com/in/romain-luron-a40261a1" TargetMode="External"/><Relationship  Id="rId7409" Type="http://schemas.openxmlformats.org/officeDocument/2006/relationships/hyperlink" Target="http://www.scoplab.com" TargetMode="External"/><Relationship  Id="rId741" Type="http://schemas.openxmlformats.org/officeDocument/2006/relationships/hyperlink" Target="http://www.yatairamen.fr" TargetMode="External"/><Relationship  Id="rId7410" Type="http://schemas.openxmlformats.org/officeDocument/2006/relationships/hyperlink" Target="http://www.linkedin.com/in/cyrilparienti" TargetMode="External"/><Relationship  Id="rId7411" Type="http://schemas.openxmlformats.org/officeDocument/2006/relationships/hyperlink" Target="http://www.sitagri.com" TargetMode="External"/><Relationship  Id="rId7412" Type="http://schemas.openxmlformats.org/officeDocument/2006/relationships/hyperlink" Target="http://www.linkedin.com/in/bruno-maso-21381042" TargetMode="External"/><Relationship  Id="rId7413" Type="http://schemas.openxmlformats.org/officeDocument/2006/relationships/hyperlink" Target="http://www.delta-first.com" TargetMode="External"/><Relationship  Id="rId7414" Type="http://schemas.openxmlformats.org/officeDocument/2006/relationships/hyperlink" Target="http://www.linkedin.com/in/julien-charles-sevenshapes-lean-supplychain-training-formation-seriousgame-7shapes" TargetMode="External"/><Relationship  Id="rId7415" Type="http://schemas.openxmlformats.org/officeDocument/2006/relationships/hyperlink" Target="http://www.7-shapes.com" TargetMode="External"/><Relationship  Id="rId7416" Type="http://schemas.openxmlformats.org/officeDocument/2006/relationships/hyperlink" Target="http://www.linkedin.com/in/rapha%c3%abl-garcia-brotons-35284950" TargetMode="External"/><Relationship  Id="rId7417" Type="http://schemas.openxmlformats.org/officeDocument/2006/relationships/hyperlink" Target="http://www.linkedin.com/in/fatihazelmat" TargetMode="External"/><Relationship  Id="rId7418" Type="http://schemas.openxmlformats.org/officeDocument/2006/relationships/hyperlink" Target="http://www.ornidex.com" TargetMode="External"/><Relationship  Id="rId7419" Type="http://schemas.openxmlformats.org/officeDocument/2006/relationships/hyperlink" Target="http://www.linkedin.com/in/laurent-estival-62495a127" TargetMode="External"/><Relationship  Id="rId742" Type="http://schemas.openxmlformats.org/officeDocument/2006/relationships/hyperlink" Target="http://www.linkedin.com/in/nicolas-barboni-046355a0" TargetMode="External"/><Relationship  Id="rId7420" Type="http://schemas.openxmlformats.org/officeDocument/2006/relationships/hyperlink" Target="http://www.antibia.com" TargetMode="External"/><Relationship  Id="rId7421" Type="http://schemas.openxmlformats.org/officeDocument/2006/relationships/hyperlink" Target="http://www.linkedin.com/in/alain-chabanne-6815531a" TargetMode="External"/><Relationship  Id="rId7422" Type="http://schemas.openxmlformats.org/officeDocument/2006/relationships/hyperlink" Target="http://www.sharpstone.fr" TargetMode="External"/><Relationship  Id="rId7423" Type="http://schemas.openxmlformats.org/officeDocument/2006/relationships/hyperlink" Target="http://www.linkedin.com/in/gonzague-gru-32a3a446" TargetMode="External"/><Relationship  Id="rId7424" Type="http://schemas.openxmlformats.org/officeDocument/2006/relationships/hyperlink" Target="http://www.uzaje.com" TargetMode="External"/><Relationship  Id="rId7425" Type="http://schemas.openxmlformats.org/officeDocument/2006/relationships/hyperlink" Target="http://www.linkedin.com/in/sebastiendelorme" TargetMode="External"/><Relationship  Id="rId7426" Type="http://schemas.openxmlformats.org/officeDocument/2006/relationships/hyperlink" Target="http://www.ideance.net" TargetMode="External"/><Relationship  Id="rId7427" Type="http://schemas.openxmlformats.org/officeDocument/2006/relationships/hyperlink" Target="http://www.linkedin.com/in/anthony-tchakerian-085721bb" TargetMode="External"/><Relationship  Id="rId7428" Type="http://schemas.openxmlformats.org/officeDocument/2006/relationships/hyperlink" Target="http://www.sesterce.com" TargetMode="External"/><Relationship  Id="rId7429" Type="http://schemas.openxmlformats.org/officeDocument/2006/relationships/hyperlink" Target="http://www.linkedin.com/in/olivier-pretre-51651759" TargetMode="External"/><Relationship  Id="rId743" Type="http://schemas.openxmlformats.org/officeDocument/2006/relationships/hyperlink" Target="http://www.linkedin.com/in/nbarraille" TargetMode="External"/><Relationship  Id="rId7430" Type="http://schemas.openxmlformats.org/officeDocument/2006/relationships/hyperlink" Target="http://www.agence-neno.com" TargetMode="External"/><Relationship  Id="rId7431" Type="http://schemas.openxmlformats.org/officeDocument/2006/relationships/hyperlink" Target="http://www.linkedin.com/in/olivier-rosat-48171a183" TargetMode="External"/><Relationship  Id="rId7432" Type="http://schemas.openxmlformats.org/officeDocument/2006/relationships/hyperlink" Target="http://www.habitat70.fr" TargetMode="External"/><Relationship  Id="rId7433" Type="http://schemas.openxmlformats.org/officeDocument/2006/relationships/hyperlink" Target="http://www.linkedin.com/in/dominique-igier-8322a3203" TargetMode="External"/><Relationship  Id="rId7434" Type="http://schemas.openxmlformats.org/officeDocument/2006/relationships/hyperlink" Target="http://www.linkedin.com/in/gillesribeaucourt" TargetMode="External"/><Relationship  Id="rId7435" Type="http://schemas.openxmlformats.org/officeDocument/2006/relationships/hyperlink" Target="http://www.muvraline.com" TargetMode="External"/><Relationship  Id="rId7436" Type="http://schemas.openxmlformats.org/officeDocument/2006/relationships/hyperlink" Target="http://www.linkedin.com/in/francesca-morichelli" TargetMode="External"/><Relationship  Id="rId7437" Type="http://schemas.openxmlformats.org/officeDocument/2006/relationships/hyperlink" Target="http://www.linkedin.com/in/gilles-torrillon" TargetMode="External"/><Relationship  Id="rId7438" Type="http://schemas.openxmlformats.org/officeDocument/2006/relationships/hyperlink" Target="http://www.onliz.fr" TargetMode="External"/><Relationship  Id="rId7439" Type="http://schemas.openxmlformats.org/officeDocument/2006/relationships/hyperlink" Target="http://software.com/" TargetMode="External"/><Relationship  Id="rId744" Type="http://schemas.openxmlformats.org/officeDocument/2006/relationships/hyperlink" Target="http://www.thecohort.com" TargetMode="External"/><Relationship  Id="rId7440" Type="http://schemas.openxmlformats.org/officeDocument/2006/relationships/hyperlink" Target="http://www.linkedin.com/in/xavier-lenormand-81b787178" TargetMode="External"/><Relationship  Id="rId7441" Type="http://schemas.openxmlformats.org/officeDocument/2006/relationships/hyperlink" Target="http://www.software.com" TargetMode="External"/><Relationship  Id="rId7442" Type="http://schemas.openxmlformats.org/officeDocument/2006/relationships/hyperlink" Target="http://www.linkedin.com/in/philippe-gabriel-84b88a2" TargetMode="External"/><Relationship  Id="rId7443" Type="http://schemas.openxmlformats.org/officeDocument/2006/relationships/hyperlink" Target="http://www.peritis.fr" TargetMode="External"/><Relationship  Id="rId7444" Type="http://schemas.openxmlformats.org/officeDocument/2006/relationships/hyperlink" Target="http://www.linkedin.com/in/laurent-charles-tuleap" TargetMode="External"/><Relationship  Id="rId7445" Type="http://schemas.openxmlformats.org/officeDocument/2006/relationships/hyperlink" Target="http://www.tuleap.org" TargetMode="External"/><Relationship  Id="rId7446" Type="http://schemas.openxmlformats.org/officeDocument/2006/relationships/hyperlink" Target="http://www.linkedin.com/in/samirmohamedhassani" TargetMode="External"/><Relationship  Id="rId7447" Type="http://schemas.openxmlformats.org/officeDocument/2006/relationships/hyperlink" Target="http://www.tartib.co" TargetMode="External"/><Relationship  Id="rId7448" Type="http://schemas.openxmlformats.org/officeDocument/2006/relationships/hyperlink" Target="http://www.linkedin.com/in/remy-febvre-49968a2" TargetMode="External"/><Relationship  Id="rId7449" Type="http://schemas.openxmlformats.org/officeDocument/2006/relationships/hyperlink" Target="http://www.moduldatacenter.com" TargetMode="External"/><Relationship  Id="rId745" Type="http://schemas.openxmlformats.org/officeDocument/2006/relationships/hyperlink" Target="http://www.linkedin.com/in/franck-malinowski-496714142" TargetMode="External"/><Relationship  Id="rId7450" Type="http://schemas.openxmlformats.org/officeDocument/2006/relationships/hyperlink" Target="http://www.linkedin.com/in/pascal-vi%c3%a9not-10757919" TargetMode="External"/><Relationship  Id="rId7451" Type="http://schemas.openxmlformats.org/officeDocument/2006/relationships/hyperlink" Target="http://www.associes-gouvernance.com" TargetMode="External"/><Relationship  Id="rId7452" Type="http://schemas.openxmlformats.org/officeDocument/2006/relationships/hyperlink" Target="http://www.linkedin.com/in/samuel-gervaise-3b540857" TargetMode="External"/><Relationship  Id="rId7453" Type="http://schemas.openxmlformats.org/officeDocument/2006/relationships/hyperlink" Target="http://www.cebios.fr" TargetMode="External"/><Relationship  Id="rId7454" Type="http://schemas.openxmlformats.org/officeDocument/2006/relationships/hyperlink" Target="http://www.linkedin.com/in/ximizu" TargetMode="External"/><Relationship  Id="rId7455" Type="http://schemas.openxmlformats.org/officeDocument/2006/relationships/hyperlink" Target="http://www.cloudspirit.fr" TargetMode="External"/><Relationship  Id="rId7456" Type="http://schemas.openxmlformats.org/officeDocument/2006/relationships/hyperlink" Target="http://www.linkedin.com/in/sarvenozgullu" TargetMode="External"/><Relationship  Id="rId7457" Type="http://schemas.openxmlformats.org/officeDocument/2006/relationships/hyperlink" Target="http://www.lesclefsdechezmoi.fr" TargetMode="External"/><Relationship  Id="rId7458" Type="http://schemas.openxmlformats.org/officeDocument/2006/relationships/hyperlink" Target="http://www.linkedin.com/in/itoumbou-raoul-59288aa" TargetMode="External"/><Relationship  Id="rId7459" Type="http://schemas.openxmlformats.org/officeDocument/2006/relationships/hyperlink" Target="http://www.sprint-pay.com" TargetMode="External"/><Relationship  Id="rId746" Type="http://schemas.openxmlformats.org/officeDocument/2006/relationships/hyperlink" Target="http://www.franchise-delineo.fr" TargetMode="External"/><Relationship  Id="rId7460" Type="http://schemas.openxmlformats.org/officeDocument/2006/relationships/hyperlink" Target="http://www.linkedin.com/in/cl%c3%a9ment-r%c3%a9thor%c3%a9-a928a933" TargetMode="External"/><Relationship  Id="rId7461" Type="http://schemas.openxmlformats.org/officeDocument/2006/relationships/hyperlink" Target="http://www.yanomami.fr" TargetMode="External"/><Relationship  Id="rId7462" Type="http://schemas.openxmlformats.org/officeDocument/2006/relationships/hyperlink" Target="http://www.linkedin.com/in/paulo-marques-677528184" TargetMode="External"/><Relationship  Id="rId7463" Type="http://schemas.openxmlformats.org/officeDocument/2006/relationships/hyperlink" Target="http://www.alesia-peinture.fr" TargetMode="External"/><Relationship  Id="rId7464" Type="http://schemas.openxmlformats.org/officeDocument/2006/relationships/hyperlink" Target="http://www.linkedin.com/in/patrick-filoux-073a90224" TargetMode="External"/><Relationship  Id="rId7465" Type="http://schemas.openxmlformats.org/officeDocument/2006/relationships/hyperlink" Target="http://www.villelec.com" TargetMode="External"/><Relationship  Id="rId7466" Type="http://schemas.openxmlformats.org/officeDocument/2006/relationships/hyperlink" Target="http://www.linkedin.com/in/jennifer-perrot-gautier-5746221b4" TargetMode="External"/><Relationship  Id="rId7467" Type="http://schemas.openxmlformats.org/officeDocument/2006/relationships/hyperlink" Target="http://www.contactys.fr" TargetMode="External"/><Relationship  Id="rId7468" Type="http://schemas.openxmlformats.org/officeDocument/2006/relationships/hyperlink" Target="http://www.linkedin.com/in/massin" TargetMode="External"/><Relationship  Id="rId7469" Type="http://schemas.openxmlformats.org/officeDocument/2006/relationships/hyperlink" Target="http://www.geoptis.com" TargetMode="External"/><Relationship  Id="rId747" Type="http://schemas.openxmlformats.org/officeDocument/2006/relationships/hyperlink" Target="http://www.linkedin.com/in/carole-catsuris-3b04a4187" TargetMode="External"/><Relationship  Id="rId7470" Type="http://schemas.openxmlformats.org/officeDocument/2006/relationships/hyperlink" Target="http://www.linkedin.com/in/charles-giunta-09916748" TargetMode="External"/><Relationship  Id="rId7471" Type="http://schemas.openxmlformats.org/officeDocument/2006/relationships/hyperlink" Target="http://www.immalliance.fr" TargetMode="External"/><Relationship  Id="rId7472" Type="http://schemas.openxmlformats.org/officeDocument/2006/relationships/hyperlink" Target="http://www.linkedin.com/in/gillesmorain" TargetMode="External"/><Relationship  Id="rId7473" Type="http://schemas.openxmlformats.org/officeDocument/2006/relationships/hyperlink" Target="http://www.masae-analytics.com" TargetMode="External"/><Relationship  Id="rId7474" Type="http://schemas.openxmlformats.org/officeDocument/2006/relationships/hyperlink" Target="http://www.linkedin.com/in/thibaut-pruvost-b6ba3a1" TargetMode="External"/><Relationship  Id="rId7475" Type="http://schemas.openxmlformats.org/officeDocument/2006/relationships/hyperlink" Target="http://www.absystech.fr" TargetMode="External"/><Relationship  Id="rId7476" Type="http://schemas.openxmlformats.org/officeDocument/2006/relationships/hyperlink" Target="http://www.linkedin.com/in/hlevrault" TargetMode="External"/><Relationship  Id="rId7477" Type="http://schemas.openxmlformats.org/officeDocument/2006/relationships/hyperlink" Target="http://www.linkedin.com/in/pierre-bardot-6847875" TargetMode="External"/><Relationship  Id="rId7478" Type="http://schemas.openxmlformats.org/officeDocument/2006/relationships/hyperlink" Target="http://www.saveur-expresso.com" TargetMode="External"/><Relationship  Id="rId7479" Type="http://schemas.openxmlformats.org/officeDocument/2006/relationships/hyperlink" Target="http://www.linkedin.com/in/jfsantacreu" TargetMode="External"/><Relationship  Id="rId748" Type="http://schemas.openxmlformats.org/officeDocument/2006/relationships/hyperlink" Target="http://www.thestewardesscorner.com" TargetMode="External"/><Relationship  Id="rId7480" Type="http://schemas.openxmlformats.org/officeDocument/2006/relationships/hyperlink" Target="http://www.ndodigital.com" TargetMode="External"/><Relationship  Id="rId7481" Type="http://schemas.openxmlformats.org/officeDocument/2006/relationships/hyperlink" Target="http://www.linkedin.com/in/mouna-viprey-36847469" TargetMode="External"/><Relationship  Id="rId7482" Type="http://schemas.openxmlformats.org/officeDocument/2006/relationships/hyperlink" Target="http://www.impactconfiance.fr" TargetMode="External"/><Relationship  Id="rId7483" Type="http://schemas.openxmlformats.org/officeDocument/2006/relationships/hyperlink" Target="http://www.linkedin.com/in/vincentrouxconsulting" TargetMode="External"/><Relationship  Id="rId7484" Type="http://schemas.openxmlformats.org/officeDocument/2006/relationships/hyperlink" Target="http://www.vincentrouxconsulting.fr" TargetMode="External"/><Relationship  Id="rId7485" Type="http://schemas.openxmlformats.org/officeDocument/2006/relationships/hyperlink" Target="http://www.linkedin.com/in/laurent-arnould-81437710" TargetMode="External"/><Relationship  Id="rId7486" Type="http://schemas.openxmlformats.org/officeDocument/2006/relationships/hyperlink" Target="http://www.emergence.co.nz" TargetMode="External"/><Relationship  Id="rId7487" Type="http://schemas.openxmlformats.org/officeDocument/2006/relationships/hyperlink" Target="http://www.linkedin.com/in/h%c3%a9l%c3%a8ne-baumann-50236116" TargetMode="External"/><Relationship  Id="rId7488" Type="http://schemas.openxmlformats.org/officeDocument/2006/relationships/hyperlink" Target="http://www.mediacreation.fr" TargetMode="External"/><Relationship  Id="rId7489" Type="http://schemas.openxmlformats.org/officeDocument/2006/relationships/hyperlink" Target="http://www.linkedin.com/in/paulfourcans" TargetMode="External"/><Relationship  Id="rId749" Type="http://schemas.openxmlformats.org/officeDocument/2006/relationships/hyperlink" Target="http://www.linkedin.com/in/fran%c3%a7ois-dubrule-43837" TargetMode="External"/><Relationship  Id="rId7490" Type="http://schemas.openxmlformats.org/officeDocument/2006/relationships/hyperlink" Target="http://www.gyfti.fr" TargetMode="External"/><Relationship  Id="rId7491" Type="http://schemas.openxmlformats.org/officeDocument/2006/relationships/hyperlink" Target="http://www.linkedin.com/in/pascaline-larose-a91a5a2a" TargetMode="External"/><Relationship  Id="rId7492" Type="http://schemas.openxmlformats.org/officeDocument/2006/relationships/hyperlink" Target="http://www.ideme.fr" TargetMode="External"/><Relationship  Id="rId7493" Type="http://schemas.openxmlformats.org/officeDocument/2006/relationships/hyperlink" Target="http://www.linkedin.com/in/philippe-leroy-88813418" TargetMode="External"/><Relationship  Id="rId7494" Type="http://schemas.openxmlformats.org/officeDocument/2006/relationships/hyperlink" Target="http://www.bisom.fr" TargetMode="External"/><Relationship  Id="rId7495" Type="http://schemas.openxmlformats.org/officeDocument/2006/relationships/hyperlink" Target="http://www.linkedin.com/in/romain-badier-6118ba33" TargetMode="External"/><Relationship  Id="rId7496" Type="http://schemas.openxmlformats.org/officeDocument/2006/relationships/hyperlink" Target="http://www.connecting-sell.com" TargetMode="External"/><Relationship  Id="rId7497" Type="http://schemas.openxmlformats.org/officeDocument/2006/relationships/hyperlink" Target="http://www.linkedin.com/in/sasha-bouloudnine-51908286" TargetMode="External"/><Relationship  Id="rId7498" Type="http://schemas.openxmlformats.org/officeDocument/2006/relationships/hyperlink" Target="http://www.lobstr.io" TargetMode="External"/><Relationship  Id="rId7499" Type="http://schemas.openxmlformats.org/officeDocument/2006/relationships/hyperlink" Target="http://www.linkedin.com/in/philippe-dargent-a60b1a36" TargetMode="External"/><Relationship  Id="rId75" Type="http://schemas.openxmlformats.org/officeDocument/2006/relationships/hyperlink" Target="http://www.mongoo.fr" TargetMode="External"/><Relationship  Id="rId750" Type="http://schemas.openxmlformats.org/officeDocument/2006/relationships/hyperlink" Target="http://www.valuestate.fr" TargetMode="External"/><Relationship  Id="rId7500" Type="http://schemas.openxmlformats.org/officeDocument/2006/relationships/hyperlink" Target="http://www.alcom-tech.com" TargetMode="External"/><Relationship  Id="rId7501" Type="http://schemas.openxmlformats.org/officeDocument/2006/relationships/hyperlink" Target="http://www.linkedin.com/in/hugues-adrian-23493117b" TargetMode="External"/><Relationship  Id="rId7502" Type="http://schemas.openxmlformats.org/officeDocument/2006/relationships/hyperlink" Target="http://www.spsti81.fr" TargetMode="External"/><Relationship  Id="rId7503" Type="http://schemas.openxmlformats.org/officeDocument/2006/relationships/hyperlink" Target="http://www.linkedin.com/in/julien-marie" TargetMode="External"/><Relationship  Id="rId7504" Type="http://schemas.openxmlformats.org/officeDocument/2006/relationships/hyperlink" Target="http://www.ob-do.com" TargetMode="External"/><Relationship  Id="rId7505" Type="http://schemas.openxmlformats.org/officeDocument/2006/relationships/hyperlink" Target="http://www.linkedin.com/in/franck-veyrat-b3273a75" TargetMode="External"/><Relationship  Id="rId7506" Type="http://schemas.openxmlformats.org/officeDocument/2006/relationships/hyperlink" Target="http://www.valcom.fr" TargetMode="External"/><Relationship  Id="rId7507" Type="http://schemas.openxmlformats.org/officeDocument/2006/relationships/hyperlink" Target="http://www.linkedin.com/in/mathieu-goumain-b221926" TargetMode="External"/><Relationship  Id="rId7508" Type="http://schemas.openxmlformats.org/officeDocument/2006/relationships/hyperlink" Target="http://www.tbwa-adelphi.com" TargetMode="External"/><Relationship  Id="rId7509" Type="http://schemas.openxmlformats.org/officeDocument/2006/relationships/hyperlink" Target="http://www.linkedin.com/in/benoit-despres-a7ba923" TargetMode="External"/><Relationship  Id="rId751" Type="http://schemas.openxmlformats.org/officeDocument/2006/relationships/hyperlink" Target="http://www.linkedin.com/in/guillaume-andre-9796bb8a" TargetMode="External"/><Relationship  Id="rId7510" Type="http://schemas.openxmlformats.org/officeDocument/2006/relationships/hyperlink" Target="http://www.sayse.fr" TargetMode="External"/><Relationship  Id="rId7511" Type="http://schemas.openxmlformats.org/officeDocument/2006/relationships/hyperlink" Target="http://www.linkedin.com/in/jeremydulout" TargetMode="External"/><Relationship  Id="rId7512" Type="http://schemas.openxmlformats.org/officeDocument/2006/relationships/hyperlink" Target="http://www.batconnect.fr" TargetMode="External"/><Relationship  Id="rId7513" Type="http://schemas.openxmlformats.org/officeDocument/2006/relationships/hyperlink" Target="http://www.linkedin.com/in/david-moreau-18565b1" TargetMode="External"/><Relationship  Id="rId7514" Type="http://schemas.openxmlformats.org/officeDocument/2006/relationships/hyperlink" Target="http://www.tekneum.fr" TargetMode="External"/><Relationship  Id="rId7515" Type="http://schemas.openxmlformats.org/officeDocument/2006/relationships/hyperlink" Target="http://www.linkedin.com/in/albertoburon" TargetMode="External"/><Relationship  Id="rId7516" Type="http://schemas.openxmlformats.org/officeDocument/2006/relationships/hyperlink" Target="http://www.nricher.io" TargetMode="External"/><Relationship  Id="rId7517" Type="http://schemas.openxmlformats.org/officeDocument/2006/relationships/hyperlink" Target="http://www.linkedin.com/in/marine-fauvel-30a21195" TargetMode="External"/><Relationship  Id="rId7518" Type="http://schemas.openxmlformats.org/officeDocument/2006/relationships/hyperlink" Target="http://www.cadden.fr" TargetMode="External"/><Relationship  Id="rId7519" Type="http://schemas.openxmlformats.org/officeDocument/2006/relationships/hyperlink" Target="http://www.linkedin.com/in/mathieu-mosquet-b5937452" TargetMode="External"/><Relationship  Id="rId752" Type="http://schemas.openxmlformats.org/officeDocument/2006/relationships/hyperlink" Target="http://www.caravanile.com" TargetMode="External"/><Relationship  Id="rId7520" Type="http://schemas.openxmlformats.org/officeDocument/2006/relationships/hyperlink" Target="http://www.staffea.com" TargetMode="External"/><Relationship  Id="rId7521" Type="http://schemas.openxmlformats.org/officeDocument/2006/relationships/hyperlink" Target="http://www.linkedin.com/in/philippe-leberre" TargetMode="External"/><Relationship  Id="rId7522" Type="http://schemas.openxmlformats.org/officeDocument/2006/relationships/hyperlink" Target="http://www.cartelmatic.com" TargetMode="External"/><Relationship  Id="rId7523" Type="http://schemas.openxmlformats.org/officeDocument/2006/relationships/hyperlink" Target="http://www.linkedin.com/in/catherine-jaffrennou-03294262" TargetMode="External"/><Relationship  Id="rId7524" Type="http://schemas.openxmlformats.org/officeDocument/2006/relationships/hyperlink" Target="http://www.up.coop" TargetMode="External"/><Relationship  Id="rId7525" Type="http://schemas.openxmlformats.org/officeDocument/2006/relationships/hyperlink" Target="http://www.linkedin.com/in/adrien-sasportes-17557a95" TargetMode="External"/><Relationship  Id="rId7526" Type="http://schemas.openxmlformats.org/officeDocument/2006/relationships/hyperlink" Target="http://www.allobrain.com" TargetMode="External"/><Relationship  Id="rId7527" Type="http://schemas.openxmlformats.org/officeDocument/2006/relationships/hyperlink" Target="http://www.linkedin.com/in/francois-gazagnes" TargetMode="External"/><Relationship  Id="rId7528" Type="http://schemas.openxmlformats.org/officeDocument/2006/relationships/hyperlink" Target="http://www.manganelli.com" TargetMode="External"/><Relationship  Id="rId7529" Type="http://schemas.openxmlformats.org/officeDocument/2006/relationships/hyperlink" Target="http://www.linkedin.com/in/carole-n-80a33558" TargetMode="External"/><Relationship  Id="rId753" Type="http://schemas.openxmlformats.org/officeDocument/2006/relationships/hyperlink" Target="http://www.linkedin.com/in/marc-canavaggia-650249173" TargetMode="External"/><Relationship  Id="rId7530" Type="http://schemas.openxmlformats.org/officeDocument/2006/relationships/hyperlink" Target="http://www.heverett.com" TargetMode="External"/><Relationship  Id="rId7531" Type="http://schemas.openxmlformats.org/officeDocument/2006/relationships/hyperlink" Target="http://www.linkedin.com/in/anne-defrance-03758350" TargetMode="External"/><Relationship  Id="rId7532" Type="http://schemas.openxmlformats.org/officeDocument/2006/relationships/hyperlink" Target="http://www.linkedin.com/in/edouardepaud" TargetMode="External"/><Relationship  Id="rId7533" Type="http://schemas.openxmlformats.org/officeDocument/2006/relationships/hyperlink" Target="http://www.tamtam.ai" TargetMode="External"/><Relationship  Id="rId7534" Type="http://schemas.openxmlformats.org/officeDocument/2006/relationships/hyperlink" Target="http://www.linkedin.com/in/fconstanty" TargetMode="External"/><Relationship  Id="rId7535" Type="http://schemas.openxmlformats.org/officeDocument/2006/relationships/hyperlink" Target="http://www.hr-itconsulting.com" TargetMode="External"/><Relationship  Id="rId7536" Type="http://schemas.openxmlformats.org/officeDocument/2006/relationships/hyperlink" Target="http://www.linkedin.com/in/aymen-khelifi-phd-a82a19b4" TargetMode="External"/><Relationship  Id="rId7537" Type="http://schemas.openxmlformats.org/officeDocument/2006/relationships/hyperlink" Target="http://www.dataforethic.com" TargetMode="External"/><Relationship  Id="rId7538" Type="http://schemas.openxmlformats.org/officeDocument/2006/relationships/hyperlink" Target="http://www.linkedin.com/in/montoyamichael" TargetMode="External"/><Relationship  Id="rId7539" Type="http://schemas.openxmlformats.org/officeDocument/2006/relationships/hyperlink" Target="http://www.linkedin.com/in/%f0%9f%8c%90-c%c3%a9dric-alarcon-%f0%9f%8c%90-053a6345" TargetMode="External"/><Relationship  Id="rId754" Type="http://schemas.openxmlformats.org/officeDocument/2006/relationships/hyperlink" Target="http://www.sunelia.com" TargetMode="External"/><Relationship  Id="rId7540" Type="http://schemas.openxmlformats.org/officeDocument/2006/relationships/hyperlink" Target="http://www.linkedin.com/in/jean-patrick-debarge-b3445319" TargetMode="External"/><Relationship  Id="rId7541" Type="http://schemas.openxmlformats.org/officeDocument/2006/relationships/hyperlink" Target="http://www.itsm-factory.com" TargetMode="External"/><Relationship  Id="rId7542" Type="http://schemas.openxmlformats.org/officeDocument/2006/relationships/hyperlink" Target="http://www.linkedin.com/in/eric-teboul-4b960110" TargetMode="External"/><Relationship  Id="rId7543" Type="http://schemas.openxmlformats.org/officeDocument/2006/relationships/hyperlink" Target="http://www.adding.fr" TargetMode="External"/><Relationship  Id="rId7544" Type="http://schemas.openxmlformats.org/officeDocument/2006/relationships/hyperlink" Target="http://www.linkedin.com/in/l%c3%a9o-delion-273a43160" TargetMode="External"/><Relationship  Id="rId7545" Type="http://schemas.openxmlformats.org/officeDocument/2006/relationships/hyperlink" Target="http://www.nomiks.io" TargetMode="External"/><Relationship  Id="rId7546" Type="http://schemas.openxmlformats.org/officeDocument/2006/relationships/hyperlink" Target="http://www.linkedin.com/in/cecile-roche-4398a2" TargetMode="External"/><Relationship  Id="rId7547" Type="http://schemas.openxmlformats.org/officeDocument/2006/relationships/hyperlink" Target="http://www.leansenseipartners.com" TargetMode="External"/><Relationship  Id="rId7548" Type="http://schemas.openxmlformats.org/officeDocument/2006/relationships/hyperlink" Target="http://www.linkedin.com/in/cornets" TargetMode="External"/><Relationship  Id="rId7549" Type="http://schemas.openxmlformats.org/officeDocument/2006/relationships/hyperlink" Target="http://www.esprit-padel-shop.com" TargetMode="External"/><Relationship  Id="rId755" Type="http://schemas.openxmlformats.org/officeDocument/2006/relationships/hyperlink" Target="http://www.linkedin.com/in/geoffroy-marticou" TargetMode="External"/><Relationship  Id="rId7550" Type="http://schemas.openxmlformats.org/officeDocument/2006/relationships/hyperlink" Target="http://www.linkedin.com/in/rapha%c3%abl-bloch-23244b132" TargetMode="External"/><Relationship  Id="rId7551" Type="http://schemas.openxmlformats.org/officeDocument/2006/relationships/hyperlink" Target="http://www.linkedin.com/in/arnaud-alphand-635ba220a" TargetMode="External"/><Relationship  Id="rId7552" Type="http://schemas.openxmlformats.org/officeDocument/2006/relationships/hyperlink" Target="http://www.calasys.fr" TargetMode="External"/><Relationship  Id="rId7553" Type="http://schemas.openxmlformats.org/officeDocument/2006/relationships/hyperlink" Target="http://www.linkedin.com/in/s%c3%a9verine-jankowski-781571204" TargetMode="External"/><Relationship  Id="rId7554" Type="http://schemas.openxmlformats.org/officeDocument/2006/relationships/hyperlink" Target="http://www.leades.fr" TargetMode="External"/><Relationship  Id="rId7555" Type="http://schemas.openxmlformats.org/officeDocument/2006/relationships/hyperlink" Target="http://www.linkedin.com/in/samypesse" TargetMode="External"/><Relationship  Id="rId7556" Type="http://schemas.openxmlformats.org/officeDocument/2006/relationships/hyperlink" Target="http://www.gitbook.com" TargetMode="External"/><Relationship  Id="rId7557" Type="http://schemas.openxmlformats.org/officeDocument/2006/relationships/hyperlink" Target="http://www.linkedin.com/in/xavier-belliard-791112137" TargetMode="External"/><Relationship  Id="rId7558" Type="http://schemas.openxmlformats.org/officeDocument/2006/relationships/hyperlink" Target="http://www.socamont.com" TargetMode="External"/><Relationship  Id="rId7559" Type="http://schemas.openxmlformats.org/officeDocument/2006/relationships/hyperlink" Target="http://www.linkedin.com/in/thierryway-strategiemedia-offline-online" TargetMode="External"/><Relationship  Id="rId756" Type="http://schemas.openxmlformats.org/officeDocument/2006/relationships/hyperlink" Target="http://www.grand-scene.com" TargetMode="External"/><Relationship  Id="rId7560" Type="http://schemas.openxmlformats.org/officeDocument/2006/relationships/hyperlink" Target="http://www.agencetrema.com" TargetMode="External"/><Relationship  Id="rId7561" Type="http://schemas.openxmlformats.org/officeDocument/2006/relationships/hyperlink" Target="http://www.linkedin.com/in/didier-neyrat" TargetMode="External"/><Relationship  Id="rId7562" Type="http://schemas.openxmlformats.org/officeDocument/2006/relationships/hyperlink" Target="http://www.gaiana-group.com" TargetMode="External"/><Relationship  Id="rId7563" Type="http://schemas.openxmlformats.org/officeDocument/2006/relationships/hyperlink" Target="http://www.linkedin.com/in/nelson-djibril-foulani-349793150" TargetMode="External"/><Relationship  Id="rId7564" Type="http://schemas.openxmlformats.org/officeDocument/2006/relationships/hyperlink" Target="http://www.stackitgroup.com" TargetMode="External"/><Relationship  Id="rId7565" Type="http://schemas.openxmlformats.org/officeDocument/2006/relationships/hyperlink" Target="http://www.linkedin.com/in/tranchier" TargetMode="External"/><Relationship  Id="rId7566" Type="http://schemas.openxmlformats.org/officeDocument/2006/relationships/hyperlink" Target="http://www.linkedin.com/in/stephane-guichard-0a1684168" TargetMode="External"/><Relationship  Id="rId7567" Type="http://schemas.openxmlformats.org/officeDocument/2006/relationships/hyperlink" Target="http://www.liquidarom-distribution.fr" TargetMode="External"/><Relationship  Id="rId7568" Type="http://schemas.openxmlformats.org/officeDocument/2006/relationships/hyperlink" Target="http://www.linkedin.com/in/yannick-ponvianne-10562329" TargetMode="External"/><Relationship  Id="rId7569" Type="http://schemas.openxmlformats.org/officeDocument/2006/relationships/hyperlink" Target="http://www.healtis.com" TargetMode="External"/><Relationship  Id="rId757" Type="http://schemas.openxmlformats.org/officeDocument/2006/relationships/hyperlink" Target="http://www.linkedin.com/in/mathieugenty" TargetMode="External"/><Relationship  Id="rId7570" Type="http://schemas.openxmlformats.org/officeDocument/2006/relationships/hyperlink" Target="http://www.linkedin.com/in/julie-carr-audibert-088486153" TargetMode="External"/><Relationship  Id="rId7571" Type="http://schemas.openxmlformats.org/officeDocument/2006/relationships/hyperlink" Target="http://www.maisonjulien-tulle.com" TargetMode="External"/><Relationship  Id="rId7572" Type="http://schemas.openxmlformats.org/officeDocument/2006/relationships/hyperlink" Target="http://www.linkedin.com/in/louis-silvestre-7ba0b524" TargetMode="External"/><Relationship  Id="rId7573" Type="http://schemas.openxmlformats.org/officeDocument/2006/relationships/hyperlink" Target="http://www.cicommunication.com" TargetMode="External"/><Relationship  Id="rId7574" Type="http://schemas.openxmlformats.org/officeDocument/2006/relationships/hyperlink" Target="http://www.linkedin.com/in/vincent-durbec-2578b5b9" TargetMode="External"/><Relationship  Id="rId7575" Type="http://schemas.openxmlformats.org/officeDocument/2006/relationships/hyperlink" Target="http://www.1pactelittoral.fr" TargetMode="External"/><Relationship  Id="rId7576" Type="http://schemas.openxmlformats.org/officeDocument/2006/relationships/hyperlink" Target="http://www.linkedin.com/in/canberra-menthonnex" TargetMode="External"/><Relationship  Id="rId7577" Type="http://schemas.openxmlformats.org/officeDocument/2006/relationships/hyperlink" Target="http://www.cede.store" TargetMode="External"/><Relationship  Id="rId7578" Type="http://schemas.openxmlformats.org/officeDocument/2006/relationships/hyperlink" Target="http://www.linkedin.com/in/vincent-laroque-07953325" TargetMode="External"/><Relationship  Id="rId7579" Type="http://schemas.openxmlformats.org/officeDocument/2006/relationships/hyperlink" Target="http://www.seml-routedeslasers.fr" TargetMode="External"/><Relationship  Id="rId758" Type="http://schemas.openxmlformats.org/officeDocument/2006/relationships/hyperlink" Target="http://www.linkedin.com/in/pierrebarnier" TargetMode="External"/><Relationship  Id="rId7580" Type="http://schemas.openxmlformats.org/officeDocument/2006/relationships/hyperlink" Target="http://www.linkedin.com/in/sandrine-barriere-7772b4159" TargetMode="External"/><Relationship  Id="rId7581" Type="http://schemas.openxmlformats.org/officeDocument/2006/relationships/hyperlink" Target="http://www.appuy-createurs.fr" TargetMode="External"/><Relationship  Id="rId7582" Type="http://schemas.openxmlformats.org/officeDocument/2006/relationships/hyperlink" Target="http://www.linkedin.com/in/nathalie-simmenauer-5735391a" TargetMode="External"/><Relationship  Id="rId7583" Type="http://schemas.openxmlformats.org/officeDocument/2006/relationships/hyperlink" Target="http://www.kpam.fr" TargetMode="External"/><Relationship  Id="rId7584" Type="http://schemas.openxmlformats.org/officeDocument/2006/relationships/hyperlink" Target="http://www.linkedin.com/in/sebastienjousse" TargetMode="External"/><Relationship  Id="rId7585" Type="http://schemas.openxmlformats.org/officeDocument/2006/relationships/hyperlink" Target="http://www.linkedin.com/in/jonathan-damis-66a6742a" TargetMode="External"/><Relationship  Id="rId7586" Type="http://schemas.openxmlformats.org/officeDocument/2006/relationships/hyperlink" Target="http://www.maprochaineauto.com" TargetMode="External"/><Relationship  Id="rId7587" Type="http://schemas.openxmlformats.org/officeDocument/2006/relationships/hyperlink" Target="http://www.linkedin.com/in/pierre-murat-dogan" TargetMode="External"/><Relationship  Id="rId7588" Type="http://schemas.openxmlformats.org/officeDocument/2006/relationships/hyperlink" Target="http://www.linkedin.com/in/francois-veron-128b3291" TargetMode="External"/><Relationship  Id="rId7589" Type="http://schemas.openxmlformats.org/officeDocument/2006/relationships/hyperlink" Target="http://www.schmit-tradition.fr" TargetMode="External"/><Relationship  Id="rId759" Type="http://schemas.openxmlformats.org/officeDocument/2006/relationships/hyperlink" Target="http://www.famileat.fr" TargetMode="External"/><Relationship  Id="rId7590" Type="http://schemas.openxmlformats.org/officeDocument/2006/relationships/hyperlink" Target="http://www.linkedin.com/in/elie-gharios-38592b16" TargetMode="External"/><Relationship  Id="rId7591" Type="http://schemas.openxmlformats.org/officeDocument/2006/relationships/hyperlink" Target="http://www.klareo.com" TargetMode="External"/><Relationship  Id="rId7592" Type="http://schemas.openxmlformats.org/officeDocument/2006/relationships/hyperlink" Target="http://www.linkedin.com/in/baigneres" TargetMode="External"/><Relationship  Id="rId7593" Type="http://schemas.openxmlformats.org/officeDocument/2006/relationships/hyperlink" Target="http://www.linkedin.com/in/pierre-alexis-le-borgne-279894121" TargetMode="External"/><Relationship  Id="rId7594" Type="http://schemas.openxmlformats.org/officeDocument/2006/relationships/hyperlink" Target="http://www.videtics.com" TargetMode="External"/><Relationship  Id="rId7595" Type="http://schemas.openxmlformats.org/officeDocument/2006/relationships/hyperlink" Target="http://www.linkedin.com/in/vincent-tostain-4ab905114" TargetMode="External"/><Relationship  Id="rId7596" Type="http://schemas.openxmlformats.org/officeDocument/2006/relationships/hyperlink" Target="http://www.ats.re" TargetMode="External"/><Relationship  Id="rId7597" Type="http://schemas.openxmlformats.org/officeDocument/2006/relationships/hyperlink" Target="http://www.linkedin.com/in/didier-vitale-6679b058" TargetMode="External"/><Relationship  Id="rId7598" Type="http://schemas.openxmlformats.org/officeDocument/2006/relationships/hyperlink" Target="http://www.inentech.fr" TargetMode="External"/><Relationship  Id="rId7599" Type="http://schemas.openxmlformats.org/officeDocument/2006/relationships/hyperlink" Target="http://www.linkedin.com/in/nellydubout" TargetMode="External"/><Relationship  Id="rId76" Type="http://schemas.openxmlformats.org/officeDocument/2006/relationships/hyperlink" Target="http://www.linkedin.com/in/raffaele-targusi-b9a06186" TargetMode="External"/><Relationship  Id="rId760" Type="http://schemas.openxmlformats.org/officeDocument/2006/relationships/hyperlink" Target="http://www.linkedin.com/in/brandon-chardin-product-manager" TargetMode="External"/><Relationship  Id="rId7600" Type="http://schemas.openxmlformats.org/officeDocument/2006/relationships/hyperlink" Target="http://www.birdscoaching.com" TargetMode="External"/><Relationship  Id="rId7601" Type="http://schemas.openxmlformats.org/officeDocument/2006/relationships/hyperlink" Target="http://www.linkedin.com/in/betsy-parayil-pezard-887b4619" TargetMode="External"/><Relationship  Id="rId7602" Type="http://schemas.openxmlformats.org/officeDocument/2006/relationships/hyperlink" Target="http://www.connectionleadership.com" TargetMode="External"/><Relationship  Id="rId7603" Type="http://schemas.openxmlformats.org/officeDocument/2006/relationships/hyperlink" Target="http://www.linkedin.com/in/audrey-granjard-0647471" TargetMode="External"/><Relationship  Id="rId7604" Type="http://schemas.openxmlformats.org/officeDocument/2006/relationships/hyperlink" Target="http://www.linkedin.com/in/didierfredenucci" TargetMode="External"/><Relationship  Id="rId7605" Type="http://schemas.openxmlformats.org/officeDocument/2006/relationships/hyperlink" Target="http://www.alphalyr.fr" TargetMode="External"/><Relationship  Id="rId7606" Type="http://schemas.openxmlformats.org/officeDocument/2006/relationships/hyperlink" Target="http://www.linkedin.com/in/betsy-parayil" TargetMode="External"/><Relationship  Id="rId7607" Type="http://schemas.openxmlformats.org/officeDocument/2006/relationships/hyperlink" Target="http://www.linkedin.com/in/quentin-riche-0ba4703a" TargetMode="External"/><Relationship  Id="rId7608" Type="http://schemas.openxmlformats.org/officeDocument/2006/relationships/hyperlink" Target="http://www.linkedin.com/in/jean-fran%c3%a7ois-bouin-industrial-and-environnemental-performances" TargetMode="External"/><Relationship  Id="rId7609" Type="http://schemas.openxmlformats.org/officeDocument/2006/relationships/hyperlink" Target="http://www.diagrams-technologies.com" TargetMode="External"/><Relationship  Id="rId761" Type="http://schemas.openxmlformats.org/officeDocument/2006/relationships/hyperlink" Target="http://www.tempete-paris.fr" TargetMode="External"/><Relationship  Id="rId7610" Type="http://schemas.openxmlformats.org/officeDocument/2006/relationships/hyperlink" Target="http://www.linkedin.com/in/olivier-becker-87406239" TargetMode="External"/><Relationship  Id="rId7611" Type="http://schemas.openxmlformats.org/officeDocument/2006/relationships/hyperlink" Target="http://www.techfirm-is.fr" TargetMode="External"/><Relationship  Id="rId7612" Type="http://schemas.openxmlformats.org/officeDocument/2006/relationships/hyperlink" Target="http://www.linkedin.com/in/christian-constantin-0164594" TargetMode="External"/><Relationship  Id="rId7613" Type="http://schemas.openxmlformats.org/officeDocument/2006/relationships/hyperlink" Target="http://www.b2digit.com" TargetMode="External"/><Relationship  Id="rId7614" Type="http://schemas.openxmlformats.org/officeDocument/2006/relationships/hyperlink" Target="http://www.linkedin.com/in/stephan-belin-a841671a3" TargetMode="External"/><Relationship  Id="rId7615" Type="http://schemas.openxmlformats.org/officeDocument/2006/relationships/hyperlink" Target="http://www.batteries-prod.fr" TargetMode="External"/><Relationship  Id="rId7616" Type="http://schemas.openxmlformats.org/officeDocument/2006/relationships/hyperlink" Target="http://www.linkedin.com/in/dominique-brunaud-a2072923" TargetMode="External"/><Relationship  Id="rId7617" Type="http://schemas.openxmlformats.org/officeDocument/2006/relationships/hyperlink" Target="http://www.sedri.fr" TargetMode="External"/><Relationship  Id="rId7618" Type="http://schemas.openxmlformats.org/officeDocument/2006/relationships/hyperlink" Target="http://www.linkedin.com/in/guillaumevignon" TargetMode="External"/><Relationship  Id="rId7619" Type="http://schemas.openxmlformats.org/officeDocument/2006/relationships/hyperlink" Target="http://www.vimex.fr" TargetMode="External"/><Relationship  Id="rId762" Type="http://schemas.openxmlformats.org/officeDocument/2006/relationships/hyperlink" Target="http://www.linkedin.com/in/laura-fr%c3%a9nois-1aa803aa" TargetMode="External"/><Relationship  Id="rId7620" Type="http://schemas.openxmlformats.org/officeDocument/2006/relationships/hyperlink" Target="http://www.linkedin.com/in/joel-bardel-6371a7215" TargetMode="External"/><Relationship  Id="rId7621" Type="http://schemas.openxmlformats.org/officeDocument/2006/relationships/hyperlink" Target="http://www.flandres-analyses.com" TargetMode="External"/><Relationship  Id="rId7622" Type="http://schemas.openxmlformats.org/officeDocument/2006/relationships/hyperlink" Target="http://www.linkedin.com/in/jdandrieux" TargetMode="External"/><Relationship  Id="rId7623" Type="http://schemas.openxmlformats.org/officeDocument/2006/relationships/hyperlink" Target="http://www.linkedin.com/in/laurentcollin" TargetMode="External"/><Relationship  Id="rId7624" Type="http://schemas.openxmlformats.org/officeDocument/2006/relationships/hyperlink" Target="http://www.altezza.fr" TargetMode="External"/><Relationship  Id="rId7625" Type="http://schemas.openxmlformats.org/officeDocument/2006/relationships/hyperlink" Target="http://www.linkedin.com/in/david-buchman-15b5714" TargetMode="External"/><Relationship  Id="rId7626" Type="http://schemas.openxmlformats.org/officeDocument/2006/relationships/hyperlink" Target="http://www.infass.com" TargetMode="External"/><Relationship  Id="rId7627" Type="http://schemas.openxmlformats.org/officeDocument/2006/relationships/hyperlink" Target="http://www.linkedin.com/in/louisarnaudcatoire" TargetMode="External"/><Relationship  Id="rId7628" Type="http://schemas.openxmlformats.org/officeDocument/2006/relationships/hyperlink" Target="http://www.itefficience.com" TargetMode="External"/><Relationship  Id="rId7629" Type="http://schemas.openxmlformats.org/officeDocument/2006/relationships/hyperlink" Target="http://www.linkedin.com/in/david-savary-0317b199" TargetMode="External"/><Relationship  Id="rId763" Type="http://schemas.openxmlformats.org/officeDocument/2006/relationships/hyperlink" Target="http://www.groupefrenois.com" TargetMode="External"/><Relationship  Id="rId7630" Type="http://schemas.openxmlformats.org/officeDocument/2006/relationships/hyperlink" Target="http://www.in-genium.fr" TargetMode="External"/><Relationship  Id="rId7631" Type="http://schemas.openxmlformats.org/officeDocument/2006/relationships/hyperlink" Target="http://www.linkedin.com/in/kbakoume" TargetMode="External"/><Relationship  Id="rId7632" Type="http://schemas.openxmlformats.org/officeDocument/2006/relationships/hyperlink" Target="http://www.clustdoc.com" TargetMode="External"/><Relationship  Id="rId7633" Type="http://schemas.openxmlformats.org/officeDocument/2006/relationships/hyperlink" Target="http://www.linkedin.com/in/sophie-caillaud-8baa28117" TargetMode="External"/><Relationship  Id="rId7634" Type="http://schemas.openxmlformats.org/officeDocument/2006/relationships/hyperlink" Target="http://www.bpap.com" TargetMode="External"/><Relationship  Id="rId7635" Type="http://schemas.openxmlformats.org/officeDocument/2006/relationships/hyperlink" Target="http://www.linkedin.com/in/martin-bazin-52814664" TargetMode="External"/><Relationship  Id="rId7636" Type="http://schemas.openxmlformats.org/officeDocument/2006/relationships/hyperlink" Target="http://www.sablegroupe.com" TargetMode="External"/><Relationship  Id="rId7637" Type="http://schemas.openxmlformats.org/officeDocument/2006/relationships/hyperlink" Target="http://kanonik.fr/" TargetMode="External"/><Relationship  Id="rId7638" Type="http://schemas.openxmlformats.org/officeDocument/2006/relationships/hyperlink" Target="http://www.linkedin.com/in/guillaume-hedon-2b54ab42" TargetMode="External"/><Relationship  Id="rId7639" Type="http://schemas.openxmlformats.org/officeDocument/2006/relationships/hyperlink" Target="http://www.kanonik.fr" TargetMode="External"/><Relationship  Id="rId764" Type="http://schemas.openxmlformats.org/officeDocument/2006/relationships/hyperlink" Target="http://www.linkedin.com/in/eva-capizzi-0b124738" TargetMode="External"/><Relationship  Id="rId7640" Type="http://schemas.openxmlformats.org/officeDocument/2006/relationships/hyperlink" Target="http://www.linkedin.com/in/tremintincedric" TargetMode="External"/><Relationship  Id="rId7641" Type="http://schemas.openxmlformats.org/officeDocument/2006/relationships/hyperlink" Target="http://www.conseiletorganisation.com" TargetMode="External"/><Relationship  Id="rId7642" Type="http://schemas.openxmlformats.org/officeDocument/2006/relationships/hyperlink" Target="http://www.linkedin.com/in/pascalprovo" TargetMode="External"/><Relationship  Id="rId7643" Type="http://schemas.openxmlformats.org/officeDocument/2006/relationships/hyperlink" Target="http://www.alea-prevention.com" TargetMode="External"/><Relationship  Id="rId7644" Type="http://schemas.openxmlformats.org/officeDocument/2006/relationships/hyperlink" Target="http://www.linkedin.com/in/thibaudmory" TargetMode="External"/><Relationship  Id="rId7645" Type="http://schemas.openxmlformats.org/officeDocument/2006/relationships/hyperlink" Target="http://www.trybu.io" TargetMode="External"/><Relationship  Id="rId7646" Type="http://schemas.openxmlformats.org/officeDocument/2006/relationships/hyperlink" Target="http://www.linkedin.com/in/fpaulus" TargetMode="External"/><Relationship  Id="rId7647" Type="http://schemas.openxmlformats.org/officeDocument/2006/relationships/hyperlink" Target="http://www.lestr.app" TargetMode="External"/><Relationship  Id="rId7648" Type="http://schemas.openxmlformats.org/officeDocument/2006/relationships/hyperlink" Target="http://www.linkedin.com/in/frederic-velay" TargetMode="External"/><Relationship  Id="rId7649" Type="http://schemas.openxmlformats.org/officeDocument/2006/relationships/hyperlink" Target="http://www.adec-sas.com" TargetMode="External"/><Relationship  Id="rId765" Type="http://schemas.openxmlformats.org/officeDocument/2006/relationships/hyperlink" Target="http://www.chambery-hotel.fr" TargetMode="External"/><Relationship  Id="rId7650" Type="http://schemas.openxmlformats.org/officeDocument/2006/relationships/hyperlink" Target="http://www.linkedin.com/in/maximevarinard" TargetMode="External"/><Relationship  Id="rId7651" Type="http://schemas.openxmlformats.org/officeDocument/2006/relationships/hyperlink" Target="http://www.vaisonet.com" TargetMode="External"/><Relationship  Id="rId7652" Type="http://schemas.openxmlformats.org/officeDocument/2006/relationships/hyperlink" Target="http://www.linkedin.com/in/julien-tassel-ekost" TargetMode="External"/><Relationship  Id="rId7653" Type="http://schemas.openxmlformats.org/officeDocument/2006/relationships/hyperlink" Target="http://www.linkedin.com/in/maximilian-vigier-a32209a3" TargetMode="External"/><Relationship  Id="rId7654" Type="http://schemas.openxmlformats.org/officeDocument/2006/relationships/hyperlink" Target="http://www.skeatapp.com" TargetMode="External"/><Relationship  Id="rId7655" Type="http://schemas.openxmlformats.org/officeDocument/2006/relationships/hyperlink" Target="http://www.linkedin.com/in/r%c3%a9my-falaize-8a92b750" TargetMode="External"/><Relationship  Id="rId7656" Type="http://schemas.openxmlformats.org/officeDocument/2006/relationships/hyperlink" Target="http://www.resosign.fr" TargetMode="External"/><Relationship  Id="rId7657" Type="http://schemas.openxmlformats.org/officeDocument/2006/relationships/hyperlink" Target="http://www.linkedin.com/in/philippe-bouchard-b72301105" TargetMode="External"/><Relationship  Id="rId7658" Type="http://schemas.openxmlformats.org/officeDocument/2006/relationships/hyperlink" Target="http://www.callwin.fr" TargetMode="External"/><Relationship  Id="rId7659" Type="http://schemas.openxmlformats.org/officeDocument/2006/relationships/hyperlink" Target="http://www.linkedin.com/in/cbozman" TargetMode="External"/><Relationship  Id="rId766" Type="http://schemas.openxmlformats.org/officeDocument/2006/relationships/hyperlink" Target="http://www.linkedin.com/in/jean-louis-descoins-52a59a25" TargetMode="External"/><Relationship  Id="rId7660" Type="http://schemas.openxmlformats.org/officeDocument/2006/relationships/hyperlink" Target="http://www.linkedin.com/in/romain-grellety-849525140" TargetMode="External"/><Relationship  Id="rId7661" Type="http://schemas.openxmlformats.org/officeDocument/2006/relationships/hyperlink" Target="http://www.rlginformatique.com" TargetMode="External"/><Relationship  Id="rId7662" Type="http://schemas.openxmlformats.org/officeDocument/2006/relationships/hyperlink" Target="http://www.linkedin.com/in/bastien-rambaud-839337107" TargetMode="External"/><Relationship  Id="rId7663" Type="http://schemas.openxmlformats.org/officeDocument/2006/relationships/hyperlink" Target="http://www.vesto.fr" TargetMode="External"/><Relationship  Id="rId7664" Type="http://schemas.openxmlformats.org/officeDocument/2006/relationships/hyperlink" Target="http://www.linkedin.com/in/v%c3%a9ronique-giachin-a361b4a0" TargetMode="External"/><Relationship  Id="rId7665" Type="http://schemas.openxmlformats.org/officeDocument/2006/relationships/hyperlink" Target="http://www.emis-aero.fr" TargetMode="External"/><Relationship  Id="rId7666" Type="http://schemas.openxmlformats.org/officeDocument/2006/relationships/hyperlink" Target="http://www.linkedin.com/in/mathieudesve" TargetMode="External"/><Relationship  Id="rId7667" Type="http://schemas.openxmlformats.org/officeDocument/2006/relationships/hyperlink" Target="http://www.olyzon.tv" TargetMode="External"/><Relationship  Id="rId7668" Type="http://schemas.openxmlformats.org/officeDocument/2006/relationships/hyperlink" Target="http://www.linkedin.com/in/charline-blanche-53158567" TargetMode="External"/><Relationship  Id="rId7669" Type="http://schemas.openxmlformats.org/officeDocument/2006/relationships/hyperlink" Target="http://www.pbc-agence.com" TargetMode="External"/><Relationship  Id="rId767" Type="http://schemas.openxmlformats.org/officeDocument/2006/relationships/hyperlink" Target="http://www.chateaulesoliviersdesalettes.com" TargetMode="External"/><Relationship  Id="rId7670" Type="http://schemas.openxmlformats.org/officeDocument/2006/relationships/hyperlink" Target="http://www.linkedin.com/in/alexandrekarako" TargetMode="External"/><Relationship  Id="rId7671" Type="http://schemas.openxmlformats.org/officeDocument/2006/relationships/hyperlink" Target="http://www.linkedin.com/in/thomas-liccioni-81125525" TargetMode="External"/><Relationship  Id="rId7672" Type="http://schemas.openxmlformats.org/officeDocument/2006/relationships/hyperlink" Target="http://www.mistralcoolers.com" TargetMode="External"/><Relationship  Id="rId7673" Type="http://schemas.openxmlformats.org/officeDocument/2006/relationships/hyperlink" Target="http://www.linkedin.com/in/fran%c3%a7ois-warcollier-9a984220" TargetMode="External"/><Relationship  Id="rId7674" Type="http://schemas.openxmlformats.org/officeDocument/2006/relationships/hyperlink" Target="http://www.infocert.org" TargetMode="External"/><Relationship  Id="rId7675" Type="http://schemas.openxmlformats.org/officeDocument/2006/relationships/hyperlink" Target="http://www.linkedin.com/in/yoann-boileau-8a007a94" TargetMode="External"/><Relationship  Id="rId7676" Type="http://schemas.openxmlformats.org/officeDocument/2006/relationships/hyperlink" Target="http://www.axelgestion.com" TargetMode="External"/><Relationship  Id="rId7677" Type="http://schemas.openxmlformats.org/officeDocument/2006/relationships/hyperlink" Target="http://www.linkedin.com/in/williamlux" TargetMode="External"/><Relationship  Id="rId7678" Type="http://schemas.openxmlformats.org/officeDocument/2006/relationships/hyperlink" Target="http://www.mylux.app" TargetMode="External"/><Relationship  Id="rId7679" Type="http://schemas.openxmlformats.org/officeDocument/2006/relationships/hyperlink" Target="http://www.linkedin.com/in/keoma-laguna" TargetMode="External"/><Relationship  Id="rId768" Type="http://schemas.openxmlformats.org/officeDocument/2006/relationships/hyperlink" Target="http://www.linkedin.com/in/michael-pouyer-8a3267158" TargetMode="External"/><Relationship  Id="rId7680" Type="http://schemas.openxmlformats.org/officeDocument/2006/relationships/hyperlink" Target="http://www.wefalco.com" TargetMode="External"/><Relationship  Id="rId7681" Type="http://schemas.openxmlformats.org/officeDocument/2006/relationships/hyperlink" Target="http://www.linkedin.com/in/jean-dominique-tanguy" TargetMode="External"/><Relationship  Id="rId7682" Type="http://schemas.openxmlformats.org/officeDocument/2006/relationships/hyperlink" Target="http://www.atoo-energie.com" TargetMode="External"/><Relationship  Id="rId7683" Type="http://schemas.openxmlformats.org/officeDocument/2006/relationships/hyperlink" Target="http://www.linkedin.com/in/antoine-coelho-9708b444" TargetMode="External"/><Relationship  Id="rId7684" Type="http://schemas.openxmlformats.org/officeDocument/2006/relationships/hyperlink" Target="http://www.icm-services.fr" TargetMode="External"/><Relationship  Id="rId7685" Type="http://schemas.openxmlformats.org/officeDocument/2006/relationships/hyperlink" Target="http://www.linkedin.com/in/thierry-sarda-4a3044b1" TargetMode="External"/><Relationship  Id="rId7686" Type="http://schemas.openxmlformats.org/officeDocument/2006/relationships/hyperlink" Target="http://www.preapharm.com" TargetMode="External"/><Relationship  Id="rId7687" Type="http://schemas.openxmlformats.org/officeDocument/2006/relationships/hyperlink" Target="http://www.linkedin.com/in/marc-thonon-479911168" TargetMode="External"/><Relationship  Id="rId7688" Type="http://schemas.openxmlformats.org/officeDocument/2006/relationships/hyperlink" Target="http://www.okan3d.com" TargetMode="External"/><Relationship  Id="rId7689" Type="http://schemas.openxmlformats.org/officeDocument/2006/relationships/hyperlink" Target="http://www.linkedin.com/in/coralie-triadou-2212132" TargetMode="External"/><Relationship  Id="rId769" Type="http://schemas.openxmlformats.org/officeDocument/2006/relationships/hyperlink" Target="http://www.padam-hotel.com" TargetMode="External"/><Relationship  Id="rId7690" Type="http://schemas.openxmlformats.org/officeDocument/2006/relationships/hyperlink" Target="http://www.cit.io" TargetMode="External"/><Relationship  Id="rId7691" Type="http://schemas.openxmlformats.org/officeDocument/2006/relationships/hyperlink" Target="http://www.linkedin.com/in/charles-everaere" TargetMode="External"/><Relationship  Id="rId7692" Type="http://schemas.openxmlformats.org/officeDocument/2006/relationships/hyperlink" Target="http://www.iesegconseil.com" TargetMode="External"/><Relationship  Id="rId7693" Type="http://schemas.openxmlformats.org/officeDocument/2006/relationships/hyperlink" Target="http://www.linkedin.com/in/thibaut-pollina-a1693627" TargetMode="External"/><Relationship  Id="rId7694" Type="http://schemas.openxmlformats.org/officeDocument/2006/relationships/hyperlink" Target="http://www.fairscope.com" TargetMode="External"/><Relationship  Id="rId7695" Type="http://schemas.openxmlformats.org/officeDocument/2006/relationships/hyperlink" Target="http://www.linkedin.com/in/edouard-simeon-33270553" TargetMode="External"/><Relationship  Id="rId7696" Type="http://schemas.openxmlformats.org/officeDocument/2006/relationships/hyperlink" Target="http://www.capfor.mu" TargetMode="External"/><Relationship  Id="rId7697" Type="http://schemas.openxmlformats.org/officeDocument/2006/relationships/hyperlink" Target="http://www.linkedin.com/in/fabricewacogne" TargetMode="External"/><Relationship  Id="rId7698" Type="http://schemas.openxmlformats.org/officeDocument/2006/relationships/hyperlink" Target="http://www.prosystel.com" TargetMode="External"/><Relationship  Id="rId7699" Type="http://schemas.openxmlformats.org/officeDocument/2006/relationships/hyperlink" Target="http://www.linkedin.com/in/pierre-pereira-a738775a" TargetMode="External"/><Relationship  Id="rId77" Type="http://schemas.openxmlformats.org/officeDocument/2006/relationships/hyperlink" Target="http://www.bigfornogroup.com" TargetMode="External"/><Relationship  Id="rId770" Type="http://schemas.openxmlformats.org/officeDocument/2006/relationships/hyperlink" Target="http://www.linkedin.com/in/loic-brasseur-47142663" TargetMode="External"/><Relationship  Id="rId7700" Type="http://schemas.openxmlformats.org/officeDocument/2006/relationships/hyperlink" Target="http://www.le-central-technique.com" TargetMode="External"/><Relationship  Id="rId7701" Type="http://schemas.openxmlformats.org/officeDocument/2006/relationships/hyperlink" Target="http://www.linkedin.com/in/gilles-noyon-2b0ba625" TargetMode="External"/><Relationship  Id="rId7702" Type="http://schemas.openxmlformats.org/officeDocument/2006/relationships/hyperlink" Target="http://www.nci.fr" TargetMode="External"/><Relationship  Id="rId7703" Type="http://schemas.openxmlformats.org/officeDocument/2006/relationships/hyperlink" Target="http://www.linkedin.com/in/alexandreragaleux-chatbot" TargetMode="External"/><Relationship  Id="rId7704" Type="http://schemas.openxmlformats.org/officeDocument/2006/relationships/hyperlink" Target="http://www.linkedin.com/in/paponfrancois" TargetMode="External"/><Relationship  Id="rId7705" Type="http://schemas.openxmlformats.org/officeDocument/2006/relationships/hyperlink" Target="http://www.yupiik.com" TargetMode="External"/><Relationship  Id="rId7706" Type="http://schemas.openxmlformats.org/officeDocument/2006/relationships/hyperlink" Target="http://www.linkedin.com/in/laurent-jager-aa20071" TargetMode="External"/><Relationship  Id="rId7707" Type="http://schemas.openxmlformats.org/officeDocument/2006/relationships/hyperlink" Target="http://www.leancure.com" TargetMode="External"/><Relationship  Id="rId7708" Type="http://schemas.openxmlformats.org/officeDocument/2006/relationships/hyperlink" Target="http://www.linkedin.com/in/thomas-vergnaud-927b2013" TargetMode="External"/><Relationship  Id="rId7709" Type="http://schemas.openxmlformats.org/officeDocument/2006/relationships/hyperlink" Target="http://www.mood-conseil.fr" TargetMode="External"/><Relationship  Id="rId771" Type="http://schemas.openxmlformats.org/officeDocument/2006/relationships/hyperlink" Target="http://www.kerhospitality.com" TargetMode="External"/><Relationship  Id="rId7710" Type="http://schemas.openxmlformats.org/officeDocument/2006/relationships/hyperlink" Target="http://www.linkedin.com/in/vincent-betrancourt-3a8a8a98" TargetMode="External"/><Relationship  Id="rId7711" Type="http://schemas.openxmlformats.org/officeDocument/2006/relationships/hyperlink" Target="http://www.incubate-conseil.com" TargetMode="External"/><Relationship  Id="rId7712" Type="http://schemas.openxmlformats.org/officeDocument/2006/relationships/hyperlink" Target="http://www.linkedin.com/in/damien-catala-15125b11b" TargetMode="External"/><Relationship  Id="rId7713" Type="http://schemas.openxmlformats.org/officeDocument/2006/relationships/hyperlink" Target="http://www.uska.fr" TargetMode="External"/><Relationship  Id="rId7714" Type="http://schemas.openxmlformats.org/officeDocument/2006/relationships/hyperlink" Target="http://www.linkedin.com/in/evelyne-martin-2204bb170" TargetMode="External"/><Relationship  Id="rId7715" Type="http://schemas.openxmlformats.org/officeDocument/2006/relationships/hyperlink" Target="http://www.2befficient.fr" TargetMode="External"/><Relationship  Id="rId7716" Type="http://schemas.openxmlformats.org/officeDocument/2006/relationships/hyperlink" Target="http://www.linkedin.com/in/louispasquier" TargetMode="External"/><Relationship  Id="rId7717" Type="http://schemas.openxmlformats.org/officeDocument/2006/relationships/hyperlink" Target="http://www.avest.fr" TargetMode="External"/><Relationship  Id="rId7718" Type="http://schemas.openxmlformats.org/officeDocument/2006/relationships/hyperlink" Target="http://crawlo.com/" TargetMode="External"/><Relationship  Id="rId7719" Type="http://schemas.openxmlformats.org/officeDocument/2006/relationships/hyperlink" Target="http://www.linkedin.com/in/mehdi-boudou-srifi-bb677172" TargetMode="External"/><Relationship  Id="rId772" Type="http://schemas.openxmlformats.org/officeDocument/2006/relationships/hyperlink" Target="http://www.linkedin.com/in/patrice-croq-a7924a306" TargetMode="External"/><Relationship  Id="rId7720" Type="http://schemas.openxmlformats.org/officeDocument/2006/relationships/hyperlink" Target="http://www.crawlo.com" TargetMode="External"/><Relationship  Id="rId7721" Type="http://schemas.openxmlformats.org/officeDocument/2006/relationships/hyperlink" Target="http://www.linkedin.com/in/jacques-grimont" TargetMode="External"/><Relationship  Id="rId7722" Type="http://schemas.openxmlformats.org/officeDocument/2006/relationships/hyperlink" Target="http://www.yoti-shop.fr" TargetMode="External"/><Relationship  Id="rId7723" Type="http://schemas.openxmlformats.org/officeDocument/2006/relationships/hyperlink" Target="http://www.linkedin.com/in/candicefrancois" TargetMode="External"/><Relationship  Id="rId7724" Type="http://schemas.openxmlformats.org/officeDocument/2006/relationships/hyperlink" Target="http://www.igonogo.io" TargetMode="External"/><Relationship  Id="rId7725" Type="http://schemas.openxmlformats.org/officeDocument/2006/relationships/hyperlink" Target="http://www.linkedin.com/in/adish-kattel-971626149" TargetMode="External"/><Relationship  Id="rId7726" Type="http://schemas.openxmlformats.org/officeDocument/2006/relationships/hyperlink" Target="http://www.hyteno.com" TargetMode="External"/><Relationship  Id="rId7727" Type="http://schemas.openxmlformats.org/officeDocument/2006/relationships/hyperlink" Target="http://www.linkedin.com/in/j%c3%a9r%c3%b4me-theveny-624b5177" TargetMode="External"/><Relationship  Id="rId7728" Type="http://schemas.openxmlformats.org/officeDocument/2006/relationships/hyperlink" Target="http://www.labonnegraine.org" TargetMode="External"/><Relationship  Id="rId7729" Type="http://schemas.openxmlformats.org/officeDocument/2006/relationships/hyperlink" Target="http://www.linkedin.com/in/alvaro-alonso-ruiz-125b833" TargetMode="External"/><Relationship  Id="rId773" Type="http://schemas.openxmlformats.org/officeDocument/2006/relationships/hyperlink" Target="http://www.groupe-epikur.com" TargetMode="External"/><Relationship  Id="rId7730" Type="http://schemas.openxmlformats.org/officeDocument/2006/relationships/hyperlink" Target="http://www.leanspace.io" TargetMode="External"/><Relationship  Id="rId7731" Type="http://schemas.openxmlformats.org/officeDocument/2006/relationships/hyperlink" Target="http://www.linkedin.com/in/paul-p%c3%a9reti%c3%a9-a9979192" TargetMode="External"/><Relationship  Id="rId7732" Type="http://schemas.openxmlformats.org/officeDocument/2006/relationships/hyperlink" Target="http://www.getadok.com" TargetMode="External"/><Relationship  Id="rId7733" Type="http://schemas.openxmlformats.org/officeDocument/2006/relationships/hyperlink" Target="http://www.linkedin.com/in/alexandre-algoedt-7566ab38" TargetMode="External"/><Relationship  Id="rId7734" Type="http://schemas.openxmlformats.org/officeDocument/2006/relationships/hyperlink" Target="http://www.orika.fr" TargetMode="External"/><Relationship  Id="rId7735" Type="http://schemas.openxmlformats.org/officeDocument/2006/relationships/hyperlink" Target="http://www.linkedin.com/in/dominiquemary" TargetMode="External"/><Relationship  Id="rId7736" Type="http://schemas.openxmlformats.org/officeDocument/2006/relationships/hyperlink" Target="http://www.linkedin.com/in/joeltamtchoun" TargetMode="External"/><Relationship  Id="rId7737" Type="http://schemas.openxmlformats.org/officeDocument/2006/relationships/hyperlink" Target="http://www.rockettalents.com" TargetMode="External"/><Relationship  Id="rId7738" Type="http://schemas.openxmlformats.org/officeDocument/2006/relationships/hyperlink" Target="http://www.linkedin.com/in/mickael-nadjar-aa7b4a" TargetMode="External"/><Relationship  Id="rId7739" Type="http://schemas.openxmlformats.org/officeDocument/2006/relationships/hyperlink" Target="http://www.costockage.fr" TargetMode="External"/><Relationship  Id="rId774" Type="http://schemas.openxmlformats.org/officeDocument/2006/relationships/hyperlink" Target="http://www.linkedin.com/in/romain-agundez-a160281b" TargetMode="External"/><Relationship  Id="rId7740" Type="http://schemas.openxmlformats.org/officeDocument/2006/relationships/hyperlink" Target="http://www.linkedin.com/in/jean-christophe-legros-9930561" TargetMode="External"/><Relationship  Id="rId7741" Type="http://schemas.openxmlformats.org/officeDocument/2006/relationships/hyperlink" Target="http://www.opase.com" TargetMode="External"/><Relationship  Id="rId7742" Type="http://schemas.openxmlformats.org/officeDocument/2006/relationships/hyperlink" Target="http://www.linkedin.com/in/vanwalj" TargetMode="External"/><Relationship  Id="rId7743" Type="http://schemas.openxmlformats.org/officeDocument/2006/relationships/hyperlink" Target="http://www.easop.com" TargetMode="External"/><Relationship  Id="rId7744" Type="http://schemas.openxmlformats.org/officeDocument/2006/relationships/hyperlink" Target="http://www.linkedin.com/in/st%c3%a9phan-rickauer-2a2a19229" TargetMode="External"/><Relationship  Id="rId7745" Type="http://schemas.openxmlformats.org/officeDocument/2006/relationships/hyperlink" Target="http://www.groupeconexys.fr" TargetMode="External"/><Relationship  Id="rId7746" Type="http://schemas.openxmlformats.org/officeDocument/2006/relationships/hyperlink" Target="http://www.linkedin.com/in/aziz-fatehi-21b071251" TargetMode="External"/><Relationship  Id="rId7747" Type="http://schemas.openxmlformats.org/officeDocument/2006/relationships/hyperlink" Target="http://www.aira.fr" TargetMode="External"/><Relationship  Id="rId7748" Type="http://schemas.openxmlformats.org/officeDocument/2006/relationships/hyperlink" Target="http://www.linkedin.com/in/maguettat" TargetMode="External"/><Relationship  Id="rId7749" Type="http://schemas.openxmlformats.org/officeDocument/2006/relationships/hyperlink" Target="http://www.securas.fr" TargetMode="External"/><Relationship  Id="rId775" Type="http://schemas.openxmlformats.org/officeDocument/2006/relationships/hyperlink" Target="http://www.linkedin.com/in/guillaume-pons-513a36177" TargetMode="External"/><Relationship  Id="rId7750" Type="http://schemas.openxmlformats.org/officeDocument/2006/relationships/hyperlink" Target="http://www.linkedin.com/in/jordan-chemouhoum" TargetMode="External"/><Relationship  Id="rId7751" Type="http://schemas.openxmlformats.org/officeDocument/2006/relationships/hyperlink" Target="http://www.noticia.ai" TargetMode="External"/><Relationship  Id="rId7752" Type="http://schemas.openxmlformats.org/officeDocument/2006/relationships/hyperlink" Target="http://www.linkedin.com/in/julien-neyrial-57074435" TargetMode="External"/><Relationship  Id="rId7753" Type="http://schemas.openxmlformats.org/officeDocument/2006/relationships/hyperlink" Target="http://www.neyrial.com" TargetMode="External"/><Relationship  Id="rId7754" Type="http://schemas.openxmlformats.org/officeDocument/2006/relationships/hyperlink" Target="http://www.linkedin.com/in/emmanuel-brisset-166a151" TargetMode="External"/><Relationship  Id="rId7755" Type="http://schemas.openxmlformats.org/officeDocument/2006/relationships/hyperlink" Target="http://www.qualiparc.net" TargetMode="External"/><Relationship  Id="rId7756" Type="http://schemas.openxmlformats.org/officeDocument/2006/relationships/hyperlink" Target="http://www.linkedin.com/in/pierre-yves-tual-a70515129" TargetMode="External"/><Relationship  Id="rId7757" Type="http://schemas.openxmlformats.org/officeDocument/2006/relationships/hyperlink" Target="http://www.jobpass.com" TargetMode="External"/><Relationship  Id="rId7758" Type="http://schemas.openxmlformats.org/officeDocument/2006/relationships/hyperlink" Target="http://www.linkedin.com/in/th%c3%a9o-bonnell-741633a6" TargetMode="External"/><Relationship  Id="rId7759" Type="http://schemas.openxmlformats.org/officeDocument/2006/relationships/hyperlink" Target="http://www.takeoffxp.com" TargetMode="External"/><Relationship  Id="rId776" Type="http://schemas.openxmlformats.org/officeDocument/2006/relationships/hyperlink" Target="http://www.nkisushi.com" TargetMode="External"/><Relationship  Id="rId7760" Type="http://schemas.openxmlformats.org/officeDocument/2006/relationships/hyperlink" Target="http://www.linkedin.com/in/robin-delage-0b6755106" TargetMode="External"/><Relationship  Id="rId7761" Type="http://schemas.openxmlformats.org/officeDocument/2006/relationships/hyperlink" Target="http://www.greenspark.fr" TargetMode="External"/><Relationship  Id="rId7762" Type="http://schemas.openxmlformats.org/officeDocument/2006/relationships/hyperlink" Target="http://www.linkedin.com/in/patrick-ventuzelo" TargetMode="External"/><Relationship  Id="rId7763" Type="http://schemas.openxmlformats.org/officeDocument/2006/relationships/hyperlink" Target="http://www.fuzzinglabs.com" TargetMode="External"/><Relationship  Id="rId7764" Type="http://schemas.openxmlformats.org/officeDocument/2006/relationships/hyperlink" Target="http://www.linkedin.com/in/wassim-amri-74a53011" TargetMode="External"/><Relationship  Id="rId7765" Type="http://schemas.openxmlformats.org/officeDocument/2006/relationships/hyperlink" Target="http://www.kosmostechnologies.io" TargetMode="External"/><Relationship  Id="rId7766" Type="http://schemas.openxmlformats.org/officeDocument/2006/relationships/hyperlink" Target="http://www.linkedin.com/in/vincent-hage-600878125" TargetMode="External"/><Relationship  Id="rId7767" Type="http://schemas.openxmlformats.org/officeDocument/2006/relationships/hyperlink" Target="http://www.auxel.com" TargetMode="External"/><Relationship  Id="rId7768" Type="http://schemas.openxmlformats.org/officeDocument/2006/relationships/hyperlink" Target="http://www.linkedin.com/in/issam-oudrhiri-1b07a19b" TargetMode="External"/><Relationship  Id="rId7769" Type="http://schemas.openxmlformats.org/officeDocument/2006/relationships/hyperlink" Target="http://www.oditgouvernance.com" TargetMode="External"/><Relationship  Id="rId777" Type="http://schemas.openxmlformats.org/officeDocument/2006/relationships/hyperlink" Target="http://www.linkedin.com/in/herve-lafont-8586b76" TargetMode="External"/><Relationship  Id="rId7770" Type="http://schemas.openxmlformats.org/officeDocument/2006/relationships/hyperlink" Target="http://www.linkedin.com/in/olivierhamelle" TargetMode="External"/><Relationship  Id="rId7771" Type="http://schemas.openxmlformats.org/officeDocument/2006/relationships/hyperlink" Target="http://www.opensquare.eu" TargetMode="External"/><Relationship  Id="rId7772" Type="http://schemas.openxmlformats.org/officeDocument/2006/relationships/hyperlink" Target="http://www.linkedin.com/in/bruno-dabilly-a1ba9440" TargetMode="External"/><Relationship  Id="rId7773" Type="http://schemas.openxmlformats.org/officeDocument/2006/relationships/hyperlink" Target="http://www.railwai.com" TargetMode="External"/><Relationship  Id="rId7774" Type="http://schemas.openxmlformats.org/officeDocument/2006/relationships/hyperlink" Target="http://www.linkedin.com/in/amedeepotier" TargetMode="External"/><Relationship  Id="rId7775" Type="http://schemas.openxmlformats.org/officeDocument/2006/relationships/hyperlink" Target="http://www.konverso.ai" TargetMode="External"/><Relationship  Id="rId7776" Type="http://schemas.openxmlformats.org/officeDocument/2006/relationships/hyperlink" Target="http://www.linkedin.com/in/adriensalamon" TargetMode="External"/><Relationship  Id="rId7777" Type="http://schemas.openxmlformats.org/officeDocument/2006/relationships/hyperlink" Target="http://www.panopli.co" TargetMode="External"/><Relationship  Id="rId7778" Type="http://schemas.openxmlformats.org/officeDocument/2006/relationships/hyperlink" Target="http://www.linkedin.com/in/matthieu-kolb-492272124" TargetMode="External"/><Relationship  Id="rId7779" Type="http://schemas.openxmlformats.org/officeDocument/2006/relationships/hyperlink" Target="http://www.ttm-environnement.fr" TargetMode="External"/><Relationship  Id="rId778" Type="http://schemas.openxmlformats.org/officeDocument/2006/relationships/hyperlink" Target="http://www.parceltinyhouse.com" TargetMode="External"/><Relationship  Id="rId7780" Type="http://schemas.openxmlformats.org/officeDocument/2006/relationships/hyperlink" Target="http://www.linkedin.com/in/antoine-lambert-439a76164" TargetMode="External"/><Relationship  Id="rId7781" Type="http://schemas.openxmlformats.org/officeDocument/2006/relationships/hyperlink" Target="http://www.districall.com" TargetMode="External"/><Relationship  Id="rId7782" Type="http://schemas.openxmlformats.org/officeDocument/2006/relationships/hyperlink" Target="http://www.linkedin.com/in/francois-dousset" TargetMode="External"/><Relationship  Id="rId7783" Type="http://schemas.openxmlformats.org/officeDocument/2006/relationships/hyperlink" Target="http://www.we-and.fr" TargetMode="External"/><Relationship  Id="rId7784" Type="http://schemas.openxmlformats.org/officeDocument/2006/relationships/hyperlink" Target="http://www.linkedin.com/in/nicolas-lorne-72434060" TargetMode="External"/><Relationship  Id="rId7785" Type="http://schemas.openxmlformats.org/officeDocument/2006/relationships/hyperlink" Target="http://www.altavia-instore.com" TargetMode="External"/><Relationship  Id="rId7786" Type="http://schemas.openxmlformats.org/officeDocument/2006/relationships/hyperlink" Target="http://www.linkedin.com/in/sylvain-reydellet-54b36986" TargetMode="External"/><Relationship  Id="rId7787" Type="http://schemas.openxmlformats.org/officeDocument/2006/relationships/hyperlink" Target="http://www.linkedin.com/in/andrecapurro-orkis" TargetMode="External"/><Relationship  Id="rId7788" Type="http://schemas.openxmlformats.org/officeDocument/2006/relationships/hyperlink" Target="http://www.linkedin.com/in/samuel-bouey-007614a4" TargetMode="External"/><Relationship  Id="rId7789" Type="http://schemas.openxmlformats.org/officeDocument/2006/relationships/hyperlink" Target="http://www.insitaction.com" TargetMode="External"/><Relationship  Id="rId779" Type="http://schemas.openxmlformats.org/officeDocument/2006/relationships/hyperlink" Target="http://www.linkedin.com/in/cretelhugues" TargetMode="External"/><Relationship  Id="rId7790" Type="http://schemas.openxmlformats.org/officeDocument/2006/relationships/hyperlink" Target="http://www.linkedin.com/in/pascallannoo" TargetMode="External"/><Relationship  Id="rId7791" Type="http://schemas.openxmlformats.org/officeDocument/2006/relationships/hyperlink" Target="http://www.relatia.fr" TargetMode="External"/><Relationship  Id="rId7792" Type="http://schemas.openxmlformats.org/officeDocument/2006/relationships/hyperlink" Target="http://www.linkedin.com/in/edmond-michel-60862347" TargetMode="External"/><Relationship  Id="rId7793" Type="http://schemas.openxmlformats.org/officeDocument/2006/relationships/hyperlink" Target="http://www.ticket-com.com" TargetMode="External"/><Relationship  Id="rId7794" Type="http://schemas.openxmlformats.org/officeDocument/2006/relationships/hyperlink" Target="http://www.linkedin.com/in/charlotte-boisson-44b12422" TargetMode="External"/><Relationship  Id="rId7795" Type="http://schemas.openxmlformats.org/officeDocument/2006/relationships/hyperlink" Target="http://www.luckytime.fr" TargetMode="External"/><Relationship  Id="rId7796" Type="http://schemas.openxmlformats.org/officeDocument/2006/relationships/hyperlink" Target="http://www.linkedin.com/in/frederic-sirugue-9b961942" TargetMode="External"/><Relationship  Id="rId7797" Type="http://schemas.openxmlformats.org/officeDocument/2006/relationships/hyperlink" Target="http://www.ibsi.fr" TargetMode="External"/><Relationship  Id="rId7798" Type="http://schemas.openxmlformats.org/officeDocument/2006/relationships/hyperlink" Target="http://www.linkedin.com/in/aur%c3%a9lie-sitbon-toledano-235723202" TargetMode="External"/><Relationship  Id="rId7799" Type="http://schemas.openxmlformats.org/officeDocument/2006/relationships/hyperlink" Target="http://www.decorasol.fr" TargetMode="External"/><Relationship  Id="rId78" Type="http://schemas.openxmlformats.org/officeDocument/2006/relationships/hyperlink" Target="http://www.linkedin.com/in/emericberthet" TargetMode="External"/><Relationship  Id="rId780" Type="http://schemas.openxmlformats.org/officeDocument/2006/relationships/hyperlink" Target="http://www.hejmo-hostel.com" TargetMode="External"/><Relationship  Id="rId7800" Type="http://schemas.openxmlformats.org/officeDocument/2006/relationships/hyperlink" Target="http://www.linkedin.com/in/pierre-wang-898aa55" TargetMode="External"/><Relationship  Id="rId7801" Type="http://schemas.openxmlformats.org/officeDocument/2006/relationships/hyperlink" Target="http://www.easyoptima.com" TargetMode="External"/><Relationship  Id="rId7802" Type="http://schemas.openxmlformats.org/officeDocument/2006/relationships/hyperlink" Target="http://www.linkedin.com/in/guillaumehoffmann" TargetMode="External"/><Relationship  Id="rId7803" Type="http://schemas.openxmlformats.org/officeDocument/2006/relationships/hyperlink" Target="http://www.inovages.com" TargetMode="External"/><Relationship  Id="rId7804" Type="http://schemas.openxmlformats.org/officeDocument/2006/relationships/hyperlink" Target="http://www.linkedin.com/in/marc-edel-8a1164a2" TargetMode="External"/><Relationship  Id="rId7805" Type="http://schemas.openxmlformats.org/officeDocument/2006/relationships/hyperlink" Target="http://www.cuisinesagensia.fr" TargetMode="External"/><Relationship  Id="rId7806" Type="http://schemas.openxmlformats.org/officeDocument/2006/relationships/hyperlink" Target="http://www.linkedin.com/in/thereselemarchand" TargetMode="External"/><Relationship  Id="rId7807" Type="http://schemas.openxmlformats.org/officeDocument/2006/relationships/hyperlink" Target="http://www.mainpaces.com" TargetMode="External"/><Relationship  Id="rId7808" Type="http://schemas.openxmlformats.org/officeDocument/2006/relationships/hyperlink" Target="http://www.linkedin.com/in/patrick-dassaud-80902628" TargetMode="External"/><Relationship  Id="rId7809" Type="http://schemas.openxmlformats.org/officeDocument/2006/relationships/hyperlink" Target="http://www.delawareconsulting.com.au" TargetMode="External"/><Relationship  Id="rId781" Type="http://schemas.openxmlformats.org/officeDocument/2006/relationships/hyperlink" Target="http://www.linkedin.com/in/steffen-fox-a7aa98221" TargetMode="External"/><Relationship  Id="rId7810" Type="http://schemas.openxmlformats.org/officeDocument/2006/relationships/hyperlink" Target="http://innocraft.co/" TargetMode="External"/><Relationship  Id="rId7811" Type="http://schemas.openxmlformats.org/officeDocument/2006/relationships/hyperlink" Target="http://www.linkedin.com/in/edouard-lovett-3b987391" TargetMode="External"/><Relationship  Id="rId7812" Type="http://schemas.openxmlformats.org/officeDocument/2006/relationships/hyperlink" Target="http://www.innocraft.co" TargetMode="External"/><Relationship  Id="rId7813" Type="http://schemas.openxmlformats.org/officeDocument/2006/relationships/hyperlink" Target="http://www.linkedin.com/in/franck-crunelle-3055911a1" TargetMode="External"/><Relationship  Id="rId7814" Type="http://schemas.openxmlformats.org/officeDocument/2006/relationships/hyperlink" Target="http://www.lja-bureautique.fr" TargetMode="External"/><Relationship  Id="rId7815" Type="http://schemas.openxmlformats.org/officeDocument/2006/relationships/hyperlink" Target="http://www.linkedin.com/in/bezombes" TargetMode="External"/><Relationship  Id="rId7816" Type="http://schemas.openxmlformats.org/officeDocument/2006/relationships/hyperlink" Target="http://www.reciproque.com" TargetMode="External"/><Relationship  Id="rId7817" Type="http://schemas.openxmlformats.org/officeDocument/2006/relationships/hyperlink" Target="http://www.linkedin.com/in/christophe-delangue-42b13810" TargetMode="External"/><Relationship  Id="rId7818" Type="http://schemas.openxmlformats.org/officeDocument/2006/relationships/hyperlink" Target="http://www.oriumfrance.com" TargetMode="External"/><Relationship  Id="rId7819" Type="http://schemas.openxmlformats.org/officeDocument/2006/relationships/hyperlink" Target="http://www.linkedin.com/in/jean-claude-douthe-b616b7124" TargetMode="External"/><Relationship  Id="rId782" Type="http://schemas.openxmlformats.org/officeDocument/2006/relationships/hyperlink" Target="http://www.knsa-hospitality.com" TargetMode="External"/><Relationship  Id="rId7820" Type="http://schemas.openxmlformats.org/officeDocument/2006/relationships/hyperlink" Target="http://www.valessentia.com" TargetMode="External"/><Relationship  Id="rId7821" Type="http://schemas.openxmlformats.org/officeDocument/2006/relationships/hyperlink" Target="http://www.linkedin.com/in/christophe-darfeuille-12992215" TargetMode="External"/><Relationship  Id="rId7822" Type="http://schemas.openxmlformats.org/officeDocument/2006/relationships/hyperlink" Target="http://www.openhost-network.com" TargetMode="External"/><Relationship  Id="rId7823" Type="http://schemas.openxmlformats.org/officeDocument/2006/relationships/hyperlink" Target="http://www.linkedin.com/in/cyriaque-rios-400a0219" TargetMode="External"/><Relationship  Id="rId7824" Type="http://schemas.openxmlformats.org/officeDocument/2006/relationships/hyperlink" Target="http://www.resolving.com" TargetMode="External"/><Relationship  Id="rId7825" Type="http://schemas.openxmlformats.org/officeDocument/2006/relationships/hyperlink" Target="http://www.linkedin.com/in/olivier-croix-chene-de-vie" TargetMode="External"/><Relationship  Id="rId7826" Type="http://schemas.openxmlformats.org/officeDocument/2006/relationships/hyperlink" Target="http://www.ambiances-flammes.fr" TargetMode="External"/><Relationship  Id="rId7827" Type="http://schemas.openxmlformats.org/officeDocument/2006/relationships/hyperlink" Target="http://www.linkedin.com/in/julien-duchadeau" TargetMode="External"/><Relationship  Id="rId7828" Type="http://schemas.openxmlformats.org/officeDocument/2006/relationships/hyperlink" Target="http://www.five9s.fr" TargetMode="External"/><Relationship  Id="rId7829" Type="http://schemas.openxmlformats.org/officeDocument/2006/relationships/hyperlink" Target="http://www.linkedin.com/in/patricia-koubbachian-53856a57" TargetMode="External"/><Relationship  Id="rId783" Type="http://schemas.openxmlformats.org/officeDocument/2006/relationships/hyperlink" Target="http://www.linkedin.com/in/hugo-becq-140675192" TargetMode="External"/><Relationship  Id="rId7830" Type="http://schemas.openxmlformats.org/officeDocument/2006/relationships/hyperlink" Target="http://www.hectorsaxeparis.com" TargetMode="External"/><Relationship  Id="rId7831" Type="http://schemas.openxmlformats.org/officeDocument/2006/relationships/hyperlink" Target="http://www.linkedin.com/in/francoismoerman" TargetMode="External"/><Relationship  Id="rId7832" Type="http://schemas.openxmlformats.org/officeDocument/2006/relationships/hyperlink" Target="http://www.x-rator.com" TargetMode="External"/><Relationship  Id="rId7833" Type="http://schemas.openxmlformats.org/officeDocument/2006/relationships/hyperlink" Target="http://www.linkedin.com/in/pascal-lucas-731341146" TargetMode="External"/><Relationship  Id="rId7834" Type="http://schemas.openxmlformats.org/officeDocument/2006/relationships/hyperlink" Target="http://www.groupesebi.com" TargetMode="External"/><Relationship  Id="rId7835" Type="http://schemas.openxmlformats.org/officeDocument/2006/relationships/hyperlink" Target="http://www.linkedin.com/in/laetitia-sartoris-2462aa75" TargetMode="External"/><Relationship  Id="rId7836" Type="http://schemas.openxmlformats.org/officeDocument/2006/relationships/hyperlink" Target="http://www.linkupfactory.com" TargetMode="External"/><Relationship  Id="rId7837" Type="http://schemas.openxmlformats.org/officeDocument/2006/relationships/hyperlink" Target="http://www.linkedin.com/in/eric-nod%c3%a9-langlois-213945" TargetMode="External"/><Relationship  Id="rId7838" Type="http://schemas.openxmlformats.org/officeDocument/2006/relationships/hyperlink" Target="http://www.mbvsi.fr" TargetMode="External"/><Relationship  Id="rId7839" Type="http://schemas.openxmlformats.org/officeDocument/2006/relationships/hyperlink" Target="http://www.linkedin.com/in/gaspard-hauet-712587112" TargetMode="External"/><Relationship  Id="rId784" Type="http://schemas.openxmlformats.org/officeDocument/2006/relationships/hyperlink" Target="http://www.yamfood.fr" TargetMode="External"/><Relationship  Id="rId7840" Type="http://schemas.openxmlformats.org/officeDocument/2006/relationships/hyperlink" Target="http://www.milowaco.com" TargetMode="External"/><Relationship  Id="rId7841" Type="http://schemas.openxmlformats.org/officeDocument/2006/relationships/hyperlink" Target="http://www.linkedin.com/in/jean-marc-legagneur-99b324143" TargetMode="External"/><Relationship  Id="rId7842" Type="http://schemas.openxmlformats.org/officeDocument/2006/relationships/hyperlink" Target="http://www.atalia.fr" TargetMode="External"/><Relationship  Id="rId7843" Type="http://schemas.openxmlformats.org/officeDocument/2006/relationships/hyperlink" Target="http://www.linkedin.com/in/andr%c3%a9-luquet-8a528a210" TargetMode="External"/><Relationship  Id="rId7844" Type="http://schemas.openxmlformats.org/officeDocument/2006/relationships/hyperlink" Target="http://www.jl-systems.info" TargetMode="External"/><Relationship  Id="rId7845" Type="http://schemas.openxmlformats.org/officeDocument/2006/relationships/hyperlink" Target="http://www.linkedin.com/in/pierre-daru-62b62743" TargetMode="External"/><Relationship  Id="rId7846" Type="http://schemas.openxmlformats.org/officeDocument/2006/relationships/hyperlink" Target="http://www.hpsas.com" TargetMode="External"/><Relationship  Id="rId7847" Type="http://schemas.openxmlformats.org/officeDocument/2006/relationships/hyperlink" Target="http://www.linkedin.com/in/anne-rousset-arnaudas-67b0901a8" TargetMode="External"/><Relationship  Id="rId7848" Type="http://schemas.openxmlformats.org/officeDocument/2006/relationships/hyperlink" Target="http://www.apar.fr" TargetMode="External"/><Relationship  Id="rId7849" Type="http://schemas.openxmlformats.org/officeDocument/2006/relationships/hyperlink" Target="http://www.linkedin.com/in/axel-ruf-142452116" TargetMode="External"/><Relationship  Id="rId785" Type="http://schemas.openxmlformats.org/officeDocument/2006/relationships/hyperlink" Target="http://www.linkedin.com/in/xavierblanchot" TargetMode="External"/><Relationship  Id="rId7850" Type="http://schemas.openxmlformats.org/officeDocument/2006/relationships/hyperlink" Target="http://www.uvex-heckel.fr" TargetMode="External"/><Relationship  Id="rId7851" Type="http://schemas.openxmlformats.org/officeDocument/2006/relationships/hyperlink" Target="http://www.linkedin.com/in/david-lawton-923a9015" TargetMode="External"/><Relationship  Id="rId7852" Type="http://schemas.openxmlformats.org/officeDocument/2006/relationships/hyperlink" Target="http://www.wi-ne.net" TargetMode="External"/><Relationship  Id="rId7853" Type="http://schemas.openxmlformats.org/officeDocument/2006/relationships/hyperlink" Target="http://www.linkedin.com/in/eric-simeoni-b994a81" TargetMode="External"/><Relationship  Id="rId7854" Type="http://schemas.openxmlformats.org/officeDocument/2006/relationships/hyperlink" Target="http://www.kwarto.fr" TargetMode="External"/><Relationship  Id="rId7855" Type="http://schemas.openxmlformats.org/officeDocument/2006/relationships/hyperlink" Target="http://www.linkedin.com/in/jean-baptiste-drechsler-05a773140" TargetMode="External"/><Relationship  Id="rId7856" Type="http://schemas.openxmlformats.org/officeDocument/2006/relationships/hyperlink" Target="http://www.linkedin.com/in/thierry-beaujean-44a4573a" TargetMode="External"/><Relationship  Id="rId7857" Type="http://schemas.openxmlformats.org/officeDocument/2006/relationships/hyperlink" Target="http://www.troisetplus.fr" TargetMode="External"/><Relationship  Id="rId7858" Type="http://schemas.openxmlformats.org/officeDocument/2006/relationships/hyperlink" Target="http://www.linkedin.com/in/damienraymond" TargetMode="External"/><Relationship  Id="rId7859" Type="http://schemas.openxmlformats.org/officeDocument/2006/relationships/hyperlink" Target="http://www.sharpvision.fr" TargetMode="External"/><Relationship  Id="rId786" Type="http://schemas.openxmlformats.org/officeDocument/2006/relationships/hyperlink" Target="http://www.hotel-lalouisiane.com" TargetMode="External"/><Relationship  Id="rId7860" Type="http://schemas.openxmlformats.org/officeDocument/2006/relationships/hyperlink" Target="http://www.linkedin.com/in/yanni-djeridi" TargetMode="External"/><Relationship  Id="rId7861" Type="http://schemas.openxmlformats.org/officeDocument/2006/relationships/hyperlink" Target="http://www.dattak.io" TargetMode="External"/><Relationship  Id="rId7862" Type="http://schemas.openxmlformats.org/officeDocument/2006/relationships/hyperlink" Target="http://www.linkedin.com/in/marc-houpert-b96b6b90" TargetMode="External"/><Relationship  Id="rId7863" Type="http://schemas.openxmlformats.org/officeDocument/2006/relationships/hyperlink" Target="http://www.mhconseil.fr" TargetMode="External"/><Relationship  Id="rId7864" Type="http://schemas.openxmlformats.org/officeDocument/2006/relationships/hyperlink" Target="http://www.linkedin.com/in/jacques-clavelou-b401ba86" TargetMode="External"/><Relationship  Id="rId7865" Type="http://schemas.openxmlformats.org/officeDocument/2006/relationships/hyperlink" Target="http://www.synomega.com" TargetMode="External"/><Relationship  Id="rId7866" Type="http://schemas.openxmlformats.org/officeDocument/2006/relationships/hyperlink" Target="http://www.linkedin.com/in/nabil-bennacer-8895126a" TargetMode="External"/><Relationship  Id="rId7867" Type="http://schemas.openxmlformats.org/officeDocument/2006/relationships/hyperlink" Target="http://www.octodet.com" TargetMode="External"/><Relationship  Id="rId7868" Type="http://schemas.openxmlformats.org/officeDocument/2006/relationships/hyperlink" Target="http://www.linkedin.com/in/azzag-zaoui-464a1528" TargetMode="External"/><Relationship  Id="rId7869" Type="http://schemas.openxmlformats.org/officeDocument/2006/relationships/hyperlink" Target="http://www.sinotech-ci.com" TargetMode="External"/><Relationship  Id="rId787" Type="http://schemas.openxmlformats.org/officeDocument/2006/relationships/hyperlink" Target="http://www.linkedin.com/in/jpbraun" TargetMode="External"/><Relationship  Id="rId7870" Type="http://schemas.openxmlformats.org/officeDocument/2006/relationships/hyperlink" Target="http://www.linkedin.com/in/%f0%9f%94%93%e2%80%88bruno-keith-15925b9a" TargetMode="External"/><Relationship  Id="rId7871" Type="http://schemas.openxmlformats.org/officeDocument/2006/relationships/hyperlink" Target="http://www.dfsec.com" TargetMode="External"/><Relationship  Id="rId7872" Type="http://schemas.openxmlformats.org/officeDocument/2006/relationships/hyperlink" Target="http://www.linkedin.com/in/fran%c3%a7ois-quillerier-09261569" TargetMode="External"/><Relationship  Id="rId7873" Type="http://schemas.openxmlformats.org/officeDocument/2006/relationships/hyperlink" Target="http://www.infoexpress.com" TargetMode="External"/><Relationship  Id="rId7874" Type="http://schemas.openxmlformats.org/officeDocument/2006/relationships/hyperlink" Target="http://www.linkedin.com/in/jeandecampredon" TargetMode="External"/><Relationship  Id="rId7875" Type="http://schemas.openxmlformats.org/officeDocument/2006/relationships/hyperlink" Target="http://www.linkedin.com/in/duchetsuchauxarthur" TargetMode="External"/><Relationship  Id="rId7876" Type="http://schemas.openxmlformats.org/officeDocument/2006/relationships/hyperlink" Target="http://www.linkedin.com/in/olivier-perroquin-240424" TargetMode="External"/><Relationship  Id="rId7877" Type="http://schemas.openxmlformats.org/officeDocument/2006/relationships/hyperlink" Target="http://www.boardofcyber.io" TargetMode="External"/><Relationship  Id="rId7878" Type="http://schemas.openxmlformats.org/officeDocument/2006/relationships/hyperlink" Target="http://www.linkedin.com/in/jean-gabriel-chev%c3%a9-34684b4" TargetMode="External"/><Relationship  Id="rId7879" Type="http://schemas.openxmlformats.org/officeDocument/2006/relationships/hyperlink" Target="http://www.telitem.com" TargetMode="External"/><Relationship  Id="rId788" Type="http://schemas.openxmlformats.org/officeDocument/2006/relationships/hyperlink" Target="http://www.wearereys.com" TargetMode="External"/><Relationship  Id="rId7880" Type="http://schemas.openxmlformats.org/officeDocument/2006/relationships/hyperlink" Target="http://www.linkedin.com/in/salahbenhadj" TargetMode="External"/><Relationship  Id="rId7881" Type="http://schemas.openxmlformats.org/officeDocument/2006/relationships/hyperlink" Target="http://www.linkedin.com/in/clairekemp" TargetMode="External"/><Relationship  Id="rId7882" Type="http://schemas.openxmlformats.org/officeDocument/2006/relationships/hyperlink" Target="http://www.it-gnosis.eu" TargetMode="External"/><Relationship  Id="rId7883" Type="http://schemas.openxmlformats.org/officeDocument/2006/relationships/hyperlink" Target="http://www.linkedin.com/in/olivierandoh" TargetMode="External"/><Relationship  Id="rId7884" Type="http://schemas.openxmlformats.org/officeDocument/2006/relationships/hyperlink" Target="http://www.skillx.fr" TargetMode="External"/><Relationship  Id="rId7885" Type="http://schemas.openxmlformats.org/officeDocument/2006/relationships/hyperlink" Target="http://www.linkedin.com/in/jeromevillain" TargetMode="External"/><Relationship  Id="rId7886" Type="http://schemas.openxmlformats.org/officeDocument/2006/relationships/hyperlink" Target="http://www.mailspec.com" TargetMode="External"/><Relationship  Id="rId7887" Type="http://schemas.openxmlformats.org/officeDocument/2006/relationships/hyperlink" Target="http://www.linkedin.com/in/davidlegeay" TargetMode="External"/><Relationship  Id="rId7888" Type="http://schemas.openxmlformats.org/officeDocument/2006/relationships/hyperlink" Target="http://www.sylink.fr" TargetMode="External"/><Relationship  Id="rId7889" Type="http://schemas.openxmlformats.org/officeDocument/2006/relationships/hyperlink" Target="http://www.linkedin.com/in/s%c3%a9bastien-f-2b495392" TargetMode="External"/><Relationship  Id="rId789" Type="http://schemas.openxmlformats.org/officeDocument/2006/relationships/hyperlink" Target="http://www.linkedin.com/in/quan-bai-26bb2536" TargetMode="External"/><Relationship  Id="rId7890" Type="http://schemas.openxmlformats.org/officeDocument/2006/relationships/hyperlink" Target="http://www.cryptonit.fr" TargetMode="External"/><Relationship  Id="rId7891" Type="http://schemas.openxmlformats.org/officeDocument/2006/relationships/hyperlink" Target="http://www.linkedin.com/in/morgan-lebrument-085803123" TargetMode="External"/><Relationship  Id="rId7892" Type="http://schemas.openxmlformats.org/officeDocument/2006/relationships/hyperlink" Target="http://www.novances-it.com" TargetMode="External"/><Relationship  Id="rId7893" Type="http://schemas.openxmlformats.org/officeDocument/2006/relationships/hyperlink" Target="http://www.linkedin.com/in/baptiste-polve" TargetMode="External"/><Relationship  Id="rId7894" Type="http://schemas.openxmlformats.org/officeDocument/2006/relationships/hyperlink" Target="http://www.snowpack.eu" TargetMode="External"/><Relationship  Id="rId7895" Type="http://schemas.openxmlformats.org/officeDocument/2006/relationships/hyperlink" Target="http://www.linkedin.com/in/etienne-martinet-1525b628" TargetMode="External"/><Relationship  Id="rId7896" Type="http://schemas.openxmlformats.org/officeDocument/2006/relationships/hyperlink" Target="http://www.axicomsecurity.com" TargetMode="External"/><Relationship  Id="rId7897" Type="http://schemas.openxmlformats.org/officeDocument/2006/relationships/hyperlink" Target="http://www.linkedin.com/in/thomas-mar%c3%a9chal-948331107" TargetMode="External"/><Relationship  Id="rId7898" Type="http://schemas.openxmlformats.org/officeDocument/2006/relationships/hyperlink" Target="http://www.defants.com" TargetMode="External"/><Relationship  Id="rId7899" Type="http://schemas.openxmlformats.org/officeDocument/2006/relationships/hyperlink" Target="http://www.linkedin.com/in/xavier-molteni-b063321" TargetMode="External"/><Relationship  Id="rId79" Type="http://schemas.openxmlformats.org/officeDocument/2006/relationships/hyperlink" Target="http://www.artisancrepier.com" TargetMode="External"/><Relationship  Id="rId790" Type="http://schemas.openxmlformats.org/officeDocument/2006/relationships/hyperlink" Target="http://www.panasia.fr" TargetMode="External"/><Relationship  Id="rId7900" Type="http://schemas.openxmlformats.org/officeDocument/2006/relationships/hyperlink" Target="http://www.basom-consulting.com" TargetMode="External"/><Relationship  Id="rId7901" Type="http://schemas.openxmlformats.org/officeDocument/2006/relationships/hyperlink" Target="http://www.linkedin.com/in/hatchi-alain-20b88892" TargetMode="External"/><Relationship  Id="rId7902" Type="http://schemas.openxmlformats.org/officeDocument/2006/relationships/hyperlink" Target="http://www.aips-informatique.fr" TargetMode="External"/><Relationship  Id="rId7903" Type="http://schemas.openxmlformats.org/officeDocument/2006/relationships/hyperlink" Target="http://www.linkedin.com/in/emmanueldeloget" TargetMode="External"/><Relationship  Id="rId7904" Type="http://schemas.openxmlformats.org/officeDocument/2006/relationships/hyperlink" Target="http://www.linkedin.com/in/thierry-leblond-3b968269" TargetMode="External"/><Relationship  Id="rId7905" Type="http://schemas.openxmlformats.org/officeDocument/2006/relationships/hyperlink" Target="http://www.parsec.cloud" TargetMode="External"/><Relationship  Id="rId7906" Type="http://schemas.openxmlformats.org/officeDocument/2006/relationships/hyperlink" Target="http://www.linkedin.com/in/mickael-dahan-45069a82" TargetMode="External"/><Relationship  Id="rId7907" Type="http://schemas.openxmlformats.org/officeDocument/2006/relationships/hyperlink" Target="http://www.onecomputer.fr" TargetMode="External"/><Relationship  Id="rId7908" Type="http://schemas.openxmlformats.org/officeDocument/2006/relationships/hyperlink" Target="http://www.linkedin.com/in/makcyom" TargetMode="External"/><Relationship  Id="rId7909" Type="http://schemas.openxmlformats.org/officeDocument/2006/relationships/hyperlink" Target="http://www.hackcyom.com" TargetMode="External"/><Relationship  Id="rId791" Type="http://schemas.openxmlformats.org/officeDocument/2006/relationships/hyperlink" Target="http://www.linkedin.com/in/edouard-katz-98145451" TargetMode="External"/><Relationship  Id="rId7910" Type="http://schemas.openxmlformats.org/officeDocument/2006/relationships/hyperlink" Target="http://www.linkedin.com/in/julian-intronati-8b7078b1" TargetMode="External"/><Relationship  Id="rId7911" Type="http://schemas.openxmlformats.org/officeDocument/2006/relationships/hyperlink" Target="http://www.linkedin.com/in/cl%c3%a9ment-joliot-a97b727a" TargetMode="External"/><Relationship  Id="rId7912" Type="http://schemas.openxmlformats.org/officeDocument/2006/relationships/hyperlink" Target="http://www.linkedin.com/in/samuelpaullatremoliere" TargetMode="External"/><Relationship  Id="rId7913" Type="http://schemas.openxmlformats.org/officeDocument/2006/relationships/hyperlink" Target="http://www.prizm-security.com" TargetMode="External"/><Relationship  Id="rId7914" Type="http://schemas.openxmlformats.org/officeDocument/2006/relationships/hyperlink" Target="http://www.linkedin.com/in/mehdi-sabeg-34babab0" TargetMode="External"/><Relationship  Id="rId7915" Type="http://schemas.openxmlformats.org/officeDocument/2006/relationships/hyperlink" Target="http://www.raveltech.io" TargetMode="External"/><Relationship  Id="rId7916" Type="http://schemas.openxmlformats.org/officeDocument/2006/relationships/hyperlink" Target="http://www.linkedin.com/in/alexandre-derbal-24801362" TargetMode="External"/><Relationship  Id="rId7917" Type="http://schemas.openxmlformats.org/officeDocument/2006/relationships/hyperlink" Target="http://www.cyberwatch.fr" TargetMode="External"/><Relationship  Id="rId7918" Type="http://schemas.openxmlformats.org/officeDocument/2006/relationships/hyperlink" Target="http://www.linkedin.com/in/val%c3%a9rie-liegeard" TargetMode="External"/><Relationship  Id="rId7919" Type="http://schemas.openxmlformats.org/officeDocument/2006/relationships/hyperlink" Target="http://www.alezpc.com" TargetMode="External"/><Relationship  Id="rId792" Type="http://schemas.openxmlformats.org/officeDocument/2006/relationships/hyperlink" Target="http://www.linkedin.com/in/gabriel-charrin-30a9b464" TargetMode="External"/><Relationship  Id="rId7920" Type="http://schemas.openxmlformats.org/officeDocument/2006/relationships/hyperlink" Target="http://www.linkedin.com/in/richard-turco-ab83b4112" TargetMode="External"/><Relationship  Id="rId7921" Type="http://schemas.openxmlformats.org/officeDocument/2006/relationships/hyperlink" Target="http://www.innerspacevr.com" TargetMode="External"/><Relationship  Id="rId7922" Type="http://schemas.openxmlformats.org/officeDocument/2006/relationships/hyperlink" Target="http://www.linkedin.com/in/balthazarauxietre" TargetMode="External"/><Relationship  Id="rId7923" Type="http://schemas.openxmlformats.org/officeDocument/2006/relationships/hyperlink" Target="http://www.linkedin.com/in/vincent-no%c3%abl-838a804" TargetMode="External"/><Relationship  Id="rId7924" Type="http://schemas.openxmlformats.org/officeDocument/2006/relationships/hyperlink" Target="http://www.altshift.fr" TargetMode="External"/><Relationship  Id="rId7925" Type="http://schemas.openxmlformats.org/officeDocument/2006/relationships/hyperlink" Target="http://www.linkedin.com/in/beno%c3%aet-ducrest-%f0%9f%94%9c-gamescom-5a431a14" TargetMode="External"/><Relationship  Id="rId7926" Type="http://schemas.openxmlformats.org/officeDocument/2006/relationships/hyperlink" Target="http://www.millionvictories.com" TargetMode="External"/><Relationship  Id="rId7927" Type="http://schemas.openxmlformats.org/officeDocument/2006/relationships/hyperlink" Target="http://www.linkedin.com/in/p-bourdon" TargetMode="External"/><Relationship  Id="rId7928" Type="http://schemas.openxmlformats.org/officeDocument/2006/relationships/hyperlink" Target="http://www.rapsodie.co" TargetMode="External"/><Relationship  Id="rId7929" Type="http://schemas.openxmlformats.org/officeDocument/2006/relationships/hyperlink" Target="http://www.linkedin.com/in/hadriendesrotours" TargetMode="External"/><Relationship  Id="rId793" Type="http://schemas.openxmlformats.org/officeDocument/2006/relationships/hyperlink" Target="http://www.lesbrasses.fr" TargetMode="External"/><Relationship  Id="rId7930" Type="http://schemas.openxmlformats.org/officeDocument/2006/relationships/hyperlink" Target="http://www.iscoolentertainment.com" TargetMode="External"/><Relationship  Id="rId7931" Type="http://schemas.openxmlformats.org/officeDocument/2006/relationships/hyperlink" Target="http://www.linkedin.com/in/st%c3%a9phane-millet-51627041" TargetMode="External"/><Relationship  Id="rId7932" Type="http://schemas.openxmlformats.org/officeDocument/2006/relationships/hyperlink" Target="http://www.demooz.com" TargetMode="External"/><Relationship  Id="rId7933" Type="http://schemas.openxmlformats.org/officeDocument/2006/relationships/hyperlink" Target="http://www.linkedin.com/in/bruno-coupechoux" TargetMode="External"/><Relationship  Id="rId7934" Type="http://schemas.openxmlformats.org/officeDocument/2006/relationships/hyperlink" Target="http://www.transtechnik.fr" TargetMode="External"/><Relationship  Id="rId7935" Type="http://schemas.openxmlformats.org/officeDocument/2006/relationships/hyperlink" Target="http://www.linkedin.com/in/pierrerouanet" TargetMode="External"/><Relationship  Id="rId7936" Type="http://schemas.openxmlformats.org/officeDocument/2006/relationships/hyperlink" Target="http://www.pollen-robotics.com" TargetMode="External"/><Relationship  Id="rId7937" Type="http://schemas.openxmlformats.org/officeDocument/2006/relationships/hyperlink" Target="http://www.linkedin.com/in/jean-pierre-gilles-3b4041275" TargetMode="External"/><Relationship  Id="rId7938" Type="http://schemas.openxmlformats.org/officeDocument/2006/relationships/hyperlink" Target="http://www.procaly.com" TargetMode="External"/><Relationship  Id="rId7939" Type="http://schemas.openxmlformats.org/officeDocument/2006/relationships/hyperlink" Target="http://www.linkedin.com/in/olivier-guille-4b316535" TargetMode="External"/><Relationship  Id="rId794" Type="http://schemas.openxmlformats.org/officeDocument/2006/relationships/hyperlink" Target="http://www.linkedin.com/in/pierre-yves-heitz-a6a081137" TargetMode="External"/><Relationship  Id="rId7940" Type="http://schemas.openxmlformats.org/officeDocument/2006/relationships/hyperlink" Target="http://www.linkedin.com/in/francisco-soares-26732a208" TargetMode="External"/><Relationship  Id="rId7941" Type="http://schemas.openxmlformats.org/officeDocument/2006/relationships/hyperlink" Target="http://www.prestocab.fr" TargetMode="External"/><Relationship  Id="rId7942" Type="http://schemas.openxmlformats.org/officeDocument/2006/relationships/hyperlink" Target="http://www.linkedin.com/in/jean-sebastien-moulet-549b0030" TargetMode="External"/><Relationship  Id="rId7943" Type="http://schemas.openxmlformats.org/officeDocument/2006/relationships/hyperlink" Target="http://www.wormsensing.com" TargetMode="External"/><Relationship  Id="rId7944" Type="http://schemas.openxmlformats.org/officeDocument/2006/relationships/hyperlink" Target="http://www.linkedin.com/in/aurore-derancourt-6472432a8" TargetMode="External"/><Relationship  Id="rId7945" Type="http://schemas.openxmlformats.org/officeDocument/2006/relationships/hyperlink" Target="http://www.linkedin.com/in/cyril-jeandel-53783b57" TargetMode="External"/><Relationship  Id="rId7946" Type="http://schemas.openxmlformats.org/officeDocument/2006/relationships/hyperlink" Target="http://www.electro-pjp.com" TargetMode="External"/><Relationship  Id="rId7947" Type="http://schemas.openxmlformats.org/officeDocument/2006/relationships/hyperlink" Target="http://www.linkedin.com/in/reynald-reynald-7b1b5b131" TargetMode="External"/><Relationship  Id="rId7948" Type="http://schemas.openxmlformats.org/officeDocument/2006/relationships/hyperlink" Target="http://www.fontesdeparis.fr" TargetMode="External"/><Relationship  Id="rId7949" Type="http://schemas.openxmlformats.org/officeDocument/2006/relationships/hyperlink" Target="http://www.linkedin.com/in/herv%c3%a9-sonneville-185b7324" TargetMode="External"/><Relationship  Id="rId795" Type="http://schemas.openxmlformats.org/officeDocument/2006/relationships/hyperlink" Target="http://www.lepotagervoyageur.fr" TargetMode="External"/><Relationship  Id="rId7950" Type="http://schemas.openxmlformats.org/officeDocument/2006/relationships/hyperlink" Target="http://www.groupe-atomelec.com" TargetMode="External"/><Relationship  Id="rId7951" Type="http://schemas.openxmlformats.org/officeDocument/2006/relationships/hyperlink" Target="http://www.linkedin.com/in/fabien-larese-81b485b1" TargetMode="External"/><Relationship  Id="rId7952" Type="http://schemas.openxmlformats.org/officeDocument/2006/relationships/hyperlink" Target="http://www.jstmaintenance.com" TargetMode="External"/><Relationship  Id="rId7953" Type="http://schemas.openxmlformats.org/officeDocument/2006/relationships/hyperlink" Target="http://www.linkedin.com/in/guillaume-chazalet-68171528" TargetMode="External"/><Relationship  Id="rId7954" Type="http://schemas.openxmlformats.org/officeDocument/2006/relationships/hyperlink" Target="http://www.kemiwatt.com" TargetMode="External"/><Relationship  Id="rId7955" Type="http://schemas.openxmlformats.org/officeDocument/2006/relationships/hyperlink" Target="http://www.linkedin.com/in/augustin-couette-446505122" TargetMode="External"/><Relationship  Id="rId7956" Type="http://schemas.openxmlformats.org/officeDocument/2006/relationships/hyperlink" Target="http://www.labellenergie.fr" TargetMode="External"/><Relationship  Id="rId7957" Type="http://schemas.openxmlformats.org/officeDocument/2006/relationships/hyperlink" Target="http://www.linkedin.com/in/alain-pontille" TargetMode="External"/><Relationship  Id="rId7958" Type="http://schemas.openxmlformats.org/officeDocument/2006/relationships/hyperlink" Target="http://www.catspowerdesign.fr" TargetMode="External"/><Relationship  Id="rId7959" Type="http://schemas.openxmlformats.org/officeDocument/2006/relationships/hyperlink" Target="http://www.linkedin.com/in/yoann-pioc-a68462104" TargetMode="External"/><Relationship  Id="rId796" Type="http://schemas.openxmlformats.org/officeDocument/2006/relationships/hyperlink" Target="http://www.linkedin.com/in/loubnaksibi" TargetMode="External"/><Relationship  Id="rId7960" Type="http://schemas.openxmlformats.org/officeDocument/2006/relationships/hyperlink" Target="http://www.jaunestudio.fr" TargetMode="External"/><Relationship  Id="rId7961" Type="http://schemas.openxmlformats.org/officeDocument/2006/relationships/hyperlink" Target="http://www.linkedin.com/in/alain-arcamone-b6064323b" TargetMode="External"/><Relationship  Id="rId7962" Type="http://schemas.openxmlformats.org/officeDocument/2006/relationships/hyperlink" Target="http://www.targetti.com" TargetMode="External"/><Relationship  Id="rId7963" Type="http://schemas.openxmlformats.org/officeDocument/2006/relationships/hyperlink" Target="http://www.linkedin.com/in/emmanuel-saunier-987902a5" TargetMode="External"/><Relationship  Id="rId7964" Type="http://schemas.openxmlformats.org/officeDocument/2006/relationships/hyperlink" Target="http://www.dauphelec.com" TargetMode="External"/><Relationship  Id="rId7965" Type="http://schemas.openxmlformats.org/officeDocument/2006/relationships/hyperlink" Target="http://www.linkedin.com/in/sebastien-gissien-7a50b372" TargetMode="External"/><Relationship  Id="rId7966" Type="http://schemas.openxmlformats.org/officeDocument/2006/relationships/hyperlink" Target="http://www.maxongroup.fr" TargetMode="External"/><Relationship  Id="rId7967" Type="http://schemas.openxmlformats.org/officeDocument/2006/relationships/hyperlink" Target="http://www.linkedin.com/in/fabrice-molines-924a071a1" TargetMode="External"/><Relationship  Id="rId7968" Type="http://schemas.openxmlformats.org/officeDocument/2006/relationships/hyperlink" Target="http://www.efer.com" TargetMode="External"/><Relationship  Id="rId7969" Type="http://schemas.openxmlformats.org/officeDocument/2006/relationships/hyperlink" Target="http://www.linkedin.com/in/maxime-roy-9b891512a" TargetMode="External"/><Relationship  Id="rId797" Type="http://schemas.openxmlformats.org/officeDocument/2006/relationships/hyperlink" Target="http://www.linkedin.com/in/majed-mansour-216b841b" TargetMode="External"/><Relationship  Id="rId7970" Type="http://schemas.openxmlformats.org/officeDocument/2006/relationships/hyperlink" Target="http://www.linkedin.com/in/gil-chicheportiche-a1462a222" TargetMode="External"/><Relationship  Id="rId7971" Type="http://schemas.openxmlformats.org/officeDocument/2006/relationships/hyperlink" Target="http://www.linkedin.com/in/ludovic-paccalin-201312113" TargetMode="External"/><Relationship  Id="rId7972" Type="http://schemas.openxmlformats.org/officeDocument/2006/relationships/hyperlink" Target="http://www.greenled.fr" TargetMode="External"/><Relationship  Id="rId7973" Type="http://schemas.openxmlformats.org/officeDocument/2006/relationships/hyperlink" Target="http://www.linkedin.com/in/marc-balussaud-4ab47965" TargetMode="External"/><Relationship  Id="rId7974" Type="http://schemas.openxmlformats.org/officeDocument/2006/relationships/hyperlink" Target="http://www.bse-electronic.com" TargetMode="External"/><Relationship  Id="rId7975" Type="http://schemas.openxmlformats.org/officeDocument/2006/relationships/hyperlink" Target="http://www.linkedin.com/in/felisberto-martins-192481231" TargetMode="External"/><Relationship  Id="rId7976" Type="http://schemas.openxmlformats.org/officeDocument/2006/relationships/hyperlink" Target="http://www.wk-industries.fr" TargetMode="External"/><Relationship  Id="rId7977" Type="http://schemas.openxmlformats.org/officeDocument/2006/relationships/hyperlink" Target="http://www.linkedin.com/in/c%c3%b4me-georges-picot-1a9527" TargetMode="External"/><Relationship  Id="rId7978" Type="http://schemas.openxmlformats.org/officeDocument/2006/relationships/hyperlink" Target="http://www.tda-lefebure.com" TargetMode="External"/><Relationship  Id="rId7979" Type="http://schemas.openxmlformats.org/officeDocument/2006/relationships/hyperlink" Target="http://www.linkedin.com/in/norbert-rozand-5834a0252" TargetMode="External"/><Relationship  Id="rId798" Type="http://schemas.openxmlformats.org/officeDocument/2006/relationships/hyperlink" Target="http://www.junkgroup.fr" TargetMode="External"/><Relationship  Id="rId7980" Type="http://schemas.openxmlformats.org/officeDocument/2006/relationships/hyperlink" Target="http://www.atec-electronique.fr" TargetMode="External"/><Relationship  Id="rId7981" Type="http://schemas.openxmlformats.org/officeDocument/2006/relationships/hyperlink" Target="http://www.linkedin.com/in/pascal-javouret-b3492962" TargetMode="External"/><Relationship  Id="rId7982" Type="http://schemas.openxmlformats.org/officeDocument/2006/relationships/hyperlink" Target="http://www.hytem.net" TargetMode="External"/><Relationship  Id="rId7983" Type="http://schemas.openxmlformats.org/officeDocument/2006/relationships/hyperlink" Target="http://www.linkedin.com/in/johann-cussey-940b65160" TargetMode="External"/><Relationship  Id="rId7984" Type="http://schemas.openxmlformats.org/officeDocument/2006/relationships/hyperlink" Target="http://www.aureatechnology.com" TargetMode="External"/><Relationship  Id="rId7985" Type="http://schemas.openxmlformats.org/officeDocument/2006/relationships/hyperlink" Target="http://www.linkedin.com/in/michel-contenot-10298321" TargetMode="External"/><Relationship  Id="rId7986" Type="http://schemas.openxmlformats.org/officeDocument/2006/relationships/hyperlink" Target="http://www.linkedin.com/in/paul-levy-b6316090" TargetMode="External"/><Relationship  Id="rId7987" Type="http://schemas.openxmlformats.org/officeDocument/2006/relationships/hyperlink" Target="http://www.vossloh-villeurbanne.com" TargetMode="External"/><Relationship  Id="rId7988" Type="http://schemas.openxmlformats.org/officeDocument/2006/relationships/hyperlink" Target="http://www.linkedin.com/in/aloys-ouvrard-b364bb83" TargetMode="External"/><Relationship  Id="rId7989" Type="http://schemas.openxmlformats.org/officeDocument/2006/relationships/hyperlink" Target="http://www.linkedin.com/in/nathan-mauran-8b85981a" TargetMode="External"/><Relationship  Id="rId799" Type="http://schemas.openxmlformats.org/officeDocument/2006/relationships/hyperlink" Target="http://www.linkedin.com/in/floriane-novoli-867a31170" TargetMode="External"/><Relationship  Id="rId7990" Type="http://schemas.openxmlformats.org/officeDocument/2006/relationships/hyperlink" Target="http://www.linkedin.com/in/jean-marc-castro-81215528" TargetMode="External"/><Relationship  Id="rId7991" Type="http://schemas.openxmlformats.org/officeDocument/2006/relationships/hyperlink" Target="http://www.technix-hv.com" TargetMode="External"/><Relationship  Id="rId7992" Type="http://schemas.openxmlformats.org/officeDocument/2006/relationships/hyperlink" Target="http://www.linkedin.com/in/philippe-piganeau-s-industries-64b0b76" TargetMode="External"/><Relationship  Id="rId7993" Type="http://schemas.openxmlformats.org/officeDocument/2006/relationships/hyperlink" Target="http://www.s-industries.fr" TargetMode="External"/><Relationship  Id="rId7994" Type="http://schemas.openxmlformats.org/officeDocument/2006/relationships/hyperlink" Target="http://www.linkedin.com/in/cyril-ginet-4736a8144" TargetMode="External"/><Relationship  Id="rId7995" Type="http://schemas.openxmlformats.org/officeDocument/2006/relationships/hyperlink" Target="http://www.acs-alpes.com" TargetMode="External"/><Relationship  Id="rId7996" Type="http://schemas.openxmlformats.org/officeDocument/2006/relationships/hyperlink" Target="http://www.linkedin.com/in/rapha%c3%abl-martin-4373aa4" TargetMode="External"/><Relationship  Id="rId7997" Type="http://schemas.openxmlformats.org/officeDocument/2006/relationships/hyperlink" Target="http://www.eurofeedback.com" TargetMode="External"/><Relationship  Id="rId7998" Type="http://schemas.openxmlformats.org/officeDocument/2006/relationships/hyperlink" Target="http://www.linkedin.com/in/gullino-patrice-379a29119" TargetMode="External"/><Relationship  Id="rId7999" Type="http://schemas.openxmlformats.org/officeDocument/2006/relationships/hyperlink" Target="http://www.europelec.fr" TargetMode="External"/><Relationship  Id="rId8" Type="http://schemas.openxmlformats.org/officeDocument/2006/relationships/hyperlink" Target="http://www.triplettapizza.com" TargetMode="External"/><Relationship  Id="rId80" Type="http://schemas.openxmlformats.org/officeDocument/2006/relationships/hyperlink" Target="http://www.linkedin.com/in/guillaume-souloumiac-579b7468" TargetMode="External"/><Relationship  Id="rId800" Type="http://schemas.openxmlformats.org/officeDocument/2006/relationships/hyperlink" Target="http://www.thedhomes.com" TargetMode="External"/><Relationship  Id="rId8000" Type="http://schemas.openxmlformats.org/officeDocument/2006/relationships/hyperlink" Target="http://www.linkedin.com/in/franck-lopez-b20418152" TargetMode="External"/><Relationship  Id="rId8001" Type="http://schemas.openxmlformats.org/officeDocument/2006/relationships/hyperlink" Target="http://www.earsonics.com" TargetMode="External"/><Relationship  Id="rId8002" Type="http://schemas.openxmlformats.org/officeDocument/2006/relationships/hyperlink" Target="http://www.linkedin.com/in/anthony-plais" TargetMode="External"/><Relationship  Id="rId8003" Type="http://schemas.openxmlformats.org/officeDocument/2006/relationships/hyperlink" Target="http://www.linkedin.com/in/micka%c3%abl-robert-04929368" TargetMode="External"/><Relationship  Id="rId8004" Type="http://schemas.openxmlformats.org/officeDocument/2006/relationships/hyperlink" Target="http://www.novum-tech.fr" TargetMode="External"/><Relationship  Id="rId8005" Type="http://schemas.openxmlformats.org/officeDocument/2006/relationships/hyperlink" Target="http://www.linkedin.com/in/emmanueldebraize" TargetMode="External"/><Relationship  Id="rId8006" Type="http://schemas.openxmlformats.org/officeDocument/2006/relationships/hyperlink" Target="http://www.srati.com" TargetMode="External"/><Relationship  Id="rId8007" Type="http://schemas.openxmlformats.org/officeDocument/2006/relationships/hyperlink" Target="http://www.linkedin.com/in/jean-marc-alexandre-16964b5" TargetMode="External"/><Relationship  Id="rId8008" Type="http://schemas.openxmlformats.org/officeDocument/2006/relationships/hyperlink" Target="http://www.sportquantum.com" TargetMode="External"/><Relationship  Id="rId8009" Type="http://schemas.openxmlformats.org/officeDocument/2006/relationships/hyperlink" Target="http://www.linkedin.com/in/hubert-rodier-187913a5" TargetMode="External"/><Relationship  Id="rId801" Type="http://schemas.openxmlformats.org/officeDocument/2006/relationships/hyperlink" Target="http://www.linkedin.com/in/fran%c3%a7ois-varnet-9b843322" TargetMode="External"/><Relationship  Id="rId8010" Type="http://schemas.openxmlformats.org/officeDocument/2006/relationships/hyperlink" Target="http://www.linkedin.com/in/pierreantoinegay" TargetMode="External"/><Relationship  Id="rId8011" Type="http://schemas.openxmlformats.org/officeDocument/2006/relationships/hyperlink" Target="http://www.linkedin.com/in/hugues-de-chaumont-5392b586" TargetMode="External"/><Relationship  Id="rId8012" Type="http://schemas.openxmlformats.org/officeDocument/2006/relationships/hyperlink" Target="http://www.gosense.com" TargetMode="External"/><Relationship  Id="rId8013" Type="http://schemas.openxmlformats.org/officeDocument/2006/relationships/hyperlink" Target="http://www.linkedin.com/in/frank-donasoldi-96b834255" TargetMode="External"/><Relationship  Id="rId8014" Type="http://schemas.openxmlformats.org/officeDocument/2006/relationships/hyperlink" Target="http://www.mgfrance.fr" TargetMode="External"/><Relationship  Id="rId8015" Type="http://schemas.openxmlformats.org/officeDocument/2006/relationships/hyperlink" Target="http://www.linkedin.com/in/fbirot" TargetMode="External"/><Relationship  Id="rId8016" Type="http://schemas.openxmlformats.org/officeDocument/2006/relationships/hyperlink" Target="http://www.linkedin.com/in/guy-lecurieux-lafayette-b05b56" TargetMode="External"/><Relationship  Id="rId8017" Type="http://schemas.openxmlformats.org/officeDocument/2006/relationships/hyperlink" Target="http://www.linkedin.com/in/laurent-dague-b0521b60" TargetMode="External"/><Relationship  Id="rId8018" Type="http://schemas.openxmlformats.org/officeDocument/2006/relationships/hyperlink" Target="http://www.noxant.com" TargetMode="External"/><Relationship  Id="rId8019" Type="http://schemas.openxmlformats.org/officeDocument/2006/relationships/hyperlink" Target="http://www.linkedin.com/in/pascal-leulier-125ab7198" TargetMode="External"/><Relationship  Id="rId802" Type="http://schemas.openxmlformats.org/officeDocument/2006/relationships/hyperlink" Target="http://www.domainedesuzel.com" TargetMode="External"/><Relationship  Id="rId8020" Type="http://schemas.openxmlformats.org/officeDocument/2006/relationships/hyperlink" Target="http://www.safireng.com" TargetMode="External"/><Relationship  Id="rId8021" Type="http://schemas.openxmlformats.org/officeDocument/2006/relationships/hyperlink" Target="http://www.linkedin.com/in/guillaume-derancourt-b05865225" TargetMode="External"/><Relationship  Id="rId8022" Type="http://schemas.openxmlformats.org/officeDocument/2006/relationships/hyperlink" Target="http://www.linkedin.com/in/alexandre-serrano-7b71996a" TargetMode="External"/><Relationship  Id="rId8023" Type="http://schemas.openxmlformats.org/officeDocument/2006/relationships/hyperlink" Target="http://www.infralec.com" TargetMode="External"/><Relationship  Id="rId8024" Type="http://schemas.openxmlformats.org/officeDocument/2006/relationships/hyperlink" Target="http://www.linkedin.com/in/simon-morin-12b73961" TargetMode="External"/><Relationship  Id="rId8025" Type="http://schemas.openxmlformats.org/officeDocument/2006/relationships/hyperlink" Target="http://www.linkedin.com/in/alexandre-aractingi-b74aa616a" TargetMode="External"/><Relationship  Id="rId8026" Type="http://schemas.openxmlformats.org/officeDocument/2006/relationships/hyperlink" Target="http://www.roger-dubois.fr" TargetMode="External"/><Relationship  Id="rId8027" Type="http://schemas.openxmlformats.org/officeDocument/2006/relationships/hyperlink" Target="http://www.linkedin.com/in/thierry-moutet-9323a22b" TargetMode="External"/><Relationship  Id="rId8028" Type="http://schemas.openxmlformats.org/officeDocument/2006/relationships/hyperlink" Target="http://www.accelerateme.co" TargetMode="External"/><Relationship  Id="rId8029" Type="http://schemas.openxmlformats.org/officeDocument/2006/relationships/hyperlink" Target="http://www.linkedin.com/in/mathys-dubois-43a728263" TargetMode="External"/><Relationship  Id="rId803" Type="http://schemas.openxmlformats.org/officeDocument/2006/relationships/hyperlink" Target="http://www.linkedin.com/in/julien-bovina-5a2b25107" TargetMode="External"/><Relationship  Id="rId8030" Type="http://schemas.openxmlformats.org/officeDocument/2006/relationships/hyperlink" Target="http://www.ouest-insa.fr" TargetMode="External"/><Relationship  Id="rId8031" Type="http://schemas.openxmlformats.org/officeDocument/2006/relationships/hyperlink" Target="http://www.linkedin.com/in/xavier-domecq-21b42" TargetMode="External"/><Relationship  Id="rId8032" Type="http://schemas.openxmlformats.org/officeDocument/2006/relationships/hyperlink" Target="http://www.id-logism.com" TargetMode="External"/><Relationship  Id="rId8033" Type="http://schemas.openxmlformats.org/officeDocument/2006/relationships/hyperlink" Target="http://www.linkedin.com/in/rafik-m-54155115" TargetMode="External"/><Relationship  Id="rId8034" Type="http://schemas.openxmlformats.org/officeDocument/2006/relationships/hyperlink" Target="http://www.linkedin.com/in/marie-fran%c3%a7oise-redon-thomas-8277855b" TargetMode="External"/><Relationship  Id="rId8035" Type="http://schemas.openxmlformats.org/officeDocument/2006/relationships/hyperlink" Target="http://www.conversens.fr" TargetMode="External"/><Relationship  Id="rId8036" Type="http://schemas.openxmlformats.org/officeDocument/2006/relationships/hyperlink" Target="http://www.linkedin.com/in/myriam-seroux-bernard-87250561" TargetMode="External"/><Relationship  Id="rId8037" Type="http://schemas.openxmlformats.org/officeDocument/2006/relationships/hyperlink" Target="http://www.linkedin.com/in/florent-martens-52a30116" TargetMode="External"/><Relationship  Id="rId8038" Type="http://schemas.openxmlformats.org/officeDocument/2006/relationships/hyperlink" Target="http://www.linkedin.com/in/johnmadzela" TargetMode="External"/><Relationship  Id="rId8039" Type="http://schemas.openxmlformats.org/officeDocument/2006/relationships/hyperlink" Target="http://www.codinf.fr" TargetMode="External"/><Relationship  Id="rId804" Type="http://schemas.openxmlformats.org/officeDocument/2006/relationships/hyperlink" Target="http://www.strategie-hotel.com" TargetMode="External"/><Relationship  Id="rId8040" Type="http://schemas.openxmlformats.org/officeDocument/2006/relationships/hyperlink" Target="http://www.linkedin.com/in/patrick-bezard-falgas-7aa68762" TargetMode="External"/><Relationship  Id="rId8041" Type="http://schemas.openxmlformats.org/officeDocument/2006/relationships/hyperlink" Target="http://www.geofoncier.fr" TargetMode="External"/><Relationship  Id="rId8042" Type="http://schemas.openxmlformats.org/officeDocument/2006/relationships/hyperlink" Target="http://superindep.fr" TargetMode="External"/><Relationship  Id="rId8043" Type="http://schemas.openxmlformats.org/officeDocument/2006/relationships/hyperlink" Target="http://www.linkedin.com/in/clementbouillier" TargetMode="External"/><Relationship  Id="rId8044" Type="http://schemas.openxmlformats.org/officeDocument/2006/relationships/hyperlink" Target="http://www.superindep.fr" TargetMode="External"/><Relationship  Id="rId8045" Type="http://schemas.openxmlformats.org/officeDocument/2006/relationships/hyperlink" Target="http://www.linkedin.com/in/alix-papeloux-b7847a83" TargetMode="External"/><Relationship  Id="rId8046" Type="http://schemas.openxmlformats.org/officeDocument/2006/relationships/hyperlink" Target="http://www.ooti.co" TargetMode="External"/><Relationship  Id="rId8047" Type="http://schemas.openxmlformats.org/officeDocument/2006/relationships/hyperlink" Target="http://www.linkedin.com/in/philippine-leccia-471224108" TargetMode="External"/><Relationship  Id="rId8048" Type="http://schemas.openxmlformats.org/officeDocument/2006/relationships/hyperlink" Target="http://www.myway.technology" TargetMode="External"/><Relationship  Id="rId8049" Type="http://schemas.openxmlformats.org/officeDocument/2006/relationships/hyperlink" Target="http://www.linkedin.com/in/j%c3%a9r%c3%a9my-rochot-6482762b" TargetMode="External"/><Relationship  Id="rId805" Type="http://schemas.openxmlformats.org/officeDocument/2006/relationships/hyperlink" Target="http://www.linkedin.com/in/mohamed-sayed-56952663" TargetMode="External"/><Relationship  Id="rId8050" Type="http://schemas.openxmlformats.org/officeDocument/2006/relationships/hyperlink" Target="http://www.tanitlab.ai" TargetMode="External"/><Relationship  Id="rId8051" Type="http://schemas.openxmlformats.org/officeDocument/2006/relationships/hyperlink" Target="http://www.linkedin.com/in/mariya-vasyuk-94b35a77" TargetMode="External"/><Relationship  Id="rId8052" Type="http://schemas.openxmlformats.org/officeDocument/2006/relationships/hyperlink" Target="http://www.colibrity.com" TargetMode="External"/><Relationship  Id="rId8053" Type="http://schemas.openxmlformats.org/officeDocument/2006/relationships/hyperlink" Target="http://www.linkedin.com/in/xavierhurst" TargetMode="External"/><Relationship  Id="rId8054" Type="http://schemas.openxmlformats.org/officeDocument/2006/relationships/hyperlink" Target="http://www.elixir.health" TargetMode="External"/><Relationship  Id="rId8055" Type="http://schemas.openxmlformats.org/officeDocument/2006/relationships/hyperlink" Target="http://www.linkedin.com/in/sebastienvercruysse" TargetMode="External"/><Relationship  Id="rId8056" Type="http://schemas.openxmlformats.org/officeDocument/2006/relationships/hyperlink" Target="http://www.xdinnovation.eu" TargetMode="External"/><Relationship  Id="rId8057" Type="http://schemas.openxmlformats.org/officeDocument/2006/relationships/hyperlink" Target="http://www.linkedin.com/in/aur%c3%a9lie-martin-58570866" TargetMode="External"/><Relationship  Id="rId8058" Type="http://schemas.openxmlformats.org/officeDocument/2006/relationships/hyperlink" Target="http://www.optacare.fr" TargetMode="External"/><Relationship  Id="rId8059" Type="http://schemas.openxmlformats.org/officeDocument/2006/relationships/hyperlink" Target="http://www.linkedin.com/in/panospetropoulos" TargetMode="External"/><Relationship  Id="rId806" Type="http://schemas.openxmlformats.org/officeDocument/2006/relationships/hyperlink" Target="http://www.hotelbrady.com" TargetMode="External"/><Relationship  Id="rId8060" Type="http://schemas.openxmlformats.org/officeDocument/2006/relationships/hyperlink" Target="http://www.sparkplan.ai" TargetMode="External"/><Relationship  Id="rId8061" Type="http://schemas.openxmlformats.org/officeDocument/2006/relationships/hyperlink" Target="http://www.linkedin.com/in/b%c3%a9n%c3%a9dicte-tilloy-a46a9b45" TargetMode="External"/><Relationship  Id="rId8062" Type="http://schemas.openxmlformats.org/officeDocument/2006/relationships/hyperlink" Target="http://www.askforthemoon.com" TargetMode="External"/><Relationship  Id="rId8063" Type="http://schemas.openxmlformats.org/officeDocument/2006/relationships/hyperlink" Target="http://www.linkedin.com/in/ameliebranchat" TargetMode="External"/><Relationship  Id="rId8064" Type="http://schemas.openxmlformats.org/officeDocument/2006/relationships/hyperlink" Target="http://www.zol.fr" TargetMode="External"/><Relationship  Id="rId8065" Type="http://schemas.openxmlformats.org/officeDocument/2006/relationships/hyperlink" Target="http://www.linkedin.com/in/proceau" TargetMode="External"/><Relationship  Id="rId8066" Type="http://schemas.openxmlformats.org/officeDocument/2006/relationships/hyperlink" Target="http://www.netexplorer.fr" TargetMode="External"/><Relationship  Id="rId8067" Type="http://schemas.openxmlformats.org/officeDocument/2006/relationships/hyperlink" Target="http://www.linkedin.com/in/adrienhugon" TargetMode="External"/><Relationship  Id="rId8068" Type="http://schemas.openxmlformats.org/officeDocument/2006/relationships/hyperlink" Target="http://www.linkedin.com/in/mike-douieb" TargetMode="External"/><Relationship  Id="rId8069" Type="http://schemas.openxmlformats.org/officeDocument/2006/relationships/hyperlink" Target="http://www.sudogroup.fr" TargetMode="External"/><Relationship  Id="rId807" Type="http://schemas.openxmlformats.org/officeDocument/2006/relationships/hyperlink" Target="http://www.linkedin.com/in/xavier-girard-71b753255" TargetMode="External"/><Relationship  Id="rId8070" Type="http://schemas.openxmlformats.org/officeDocument/2006/relationships/hyperlink" Target="http://www.linkedin.com/in/thomas-lemaitre-squirrel-606b9543" TargetMode="External"/><Relationship  Id="rId8071" Type="http://schemas.openxmlformats.org/officeDocument/2006/relationships/hyperlink" Target="http://www.squirrel.fr" TargetMode="External"/><Relationship  Id="rId8072" Type="http://schemas.openxmlformats.org/officeDocument/2006/relationships/hyperlink" Target="http://www.linkedin.com/in/jean-christophe-le-got-91582764" TargetMode="External"/><Relationship  Id="rId8073" Type="http://schemas.openxmlformats.org/officeDocument/2006/relationships/hyperlink" Target="http://www.taix.fr" TargetMode="External"/><Relationship  Id="rId8074" Type="http://schemas.openxmlformats.org/officeDocument/2006/relationships/hyperlink" Target="http://www.linkedin.com/in/anas-laaroussi-2150621ba" TargetMode="External"/><Relationship  Id="rId8075" Type="http://schemas.openxmlformats.org/officeDocument/2006/relationships/hyperlink" Target="http://www.linkedin.com/in/simonrochwerg" TargetMode="External"/><Relationship  Id="rId8076" Type="http://schemas.openxmlformats.org/officeDocument/2006/relationships/hyperlink" Target="http://www.linkedin.com/in/mchikhaoui" TargetMode="External"/><Relationship  Id="rId8077" Type="http://schemas.openxmlformats.org/officeDocument/2006/relationships/hyperlink" Target="http://www.octoplus.tech" TargetMode="External"/><Relationship  Id="rId8078" Type="http://schemas.openxmlformats.org/officeDocument/2006/relationships/hyperlink" Target="http://www.linkedin.com/in/ionel-pop-2148308a" TargetMode="External"/><Relationship  Id="rId8079" Type="http://schemas.openxmlformats.org/officeDocument/2006/relationships/hyperlink" Target="http://www.foxstream.fr" TargetMode="External"/><Relationship  Id="rId808" Type="http://schemas.openxmlformats.org/officeDocument/2006/relationships/hyperlink" Target="http://www.linkedin.com/in/marc-rousseau-65b35b18" TargetMode="External"/><Relationship  Id="rId8080" Type="http://schemas.openxmlformats.org/officeDocument/2006/relationships/hyperlink" Target="http://www.linkedin.com/in/julien-bou-abboud-683319188" TargetMode="External"/><Relationship  Id="rId8081" Type="http://schemas.openxmlformats.org/officeDocument/2006/relationships/hyperlink" Target="http://www.linkedin.com/in/elianakuo" TargetMode="External"/><Relationship  Id="rId8082" Type="http://schemas.openxmlformats.org/officeDocument/2006/relationships/hyperlink" Target="http://www.spin.fashion" TargetMode="External"/><Relationship  Id="rId8083" Type="http://schemas.openxmlformats.org/officeDocument/2006/relationships/hyperlink" Target="http://www.linkedin.com/in/axelle-oran-74741058" TargetMode="External"/><Relationship  Id="rId8084" Type="http://schemas.openxmlformats.org/officeDocument/2006/relationships/hyperlink" Target="http://www.wineriz.com" TargetMode="External"/><Relationship  Id="rId8085" Type="http://schemas.openxmlformats.org/officeDocument/2006/relationships/hyperlink" Target="http://www.linkedin.com/in/pascal-modin-642585131" TargetMode="External"/><Relationship  Id="rId8086" Type="http://schemas.openxmlformats.org/officeDocument/2006/relationships/hyperlink" Target="http://www.helix-developpement.com" TargetMode="External"/><Relationship  Id="rId8087" Type="http://schemas.openxmlformats.org/officeDocument/2006/relationships/hyperlink" Target="http://www.linkedin.com/in/festrade" TargetMode="External"/><Relationship  Id="rId8088" Type="http://schemas.openxmlformats.org/officeDocument/2006/relationships/hyperlink" Target="http://www.ekilog.fr" TargetMode="External"/><Relationship  Id="rId8089" Type="http://schemas.openxmlformats.org/officeDocument/2006/relationships/hyperlink" Target="http://www.linkedin.com/in/st%c3%a9phane-roig-9756248b" TargetMode="External"/><Relationship  Id="rId809" Type="http://schemas.openxmlformats.org/officeDocument/2006/relationships/hyperlink" Target="http://www.luxurydreamhotels.com" TargetMode="External"/><Relationship  Id="rId8090" Type="http://schemas.openxmlformats.org/officeDocument/2006/relationships/hyperlink" Target="http://www.partnerconsultancyservices.com" TargetMode="External"/><Relationship  Id="rId8091" Type="http://schemas.openxmlformats.org/officeDocument/2006/relationships/hyperlink" Target="http://www.linkedin.com/in/jerome-colardelle-aa037520" TargetMode="External"/><Relationship  Id="rId8092" Type="http://schemas.openxmlformats.org/officeDocument/2006/relationships/hyperlink" Target="http://www.wellcoms.eu" TargetMode="External"/><Relationship  Id="rId8093" Type="http://schemas.openxmlformats.org/officeDocument/2006/relationships/hyperlink" Target="http://www.linkedin.com/in/fran%c3%a7ois-ballaguy-40b82640" TargetMode="External"/><Relationship  Id="rId8094" Type="http://schemas.openxmlformats.org/officeDocument/2006/relationships/hyperlink" Target="http://www.corus.fr" TargetMode="External"/><Relationship  Id="rId8095" Type="http://schemas.openxmlformats.org/officeDocument/2006/relationships/hyperlink" Target="http://www.linkedin.com/in/matthieu-dibaji-4b1a1a158" TargetMode="External"/><Relationship  Id="rId8096" Type="http://schemas.openxmlformats.org/officeDocument/2006/relationships/hyperlink" Target="http://www.linkedin.com/in/moussab-djerrab-0685b161" TargetMode="External"/><Relationship  Id="rId8097" Type="http://schemas.openxmlformats.org/officeDocument/2006/relationships/hyperlink" Target="http://www.fentech.ai" TargetMode="External"/><Relationship  Id="rId8098" Type="http://schemas.openxmlformats.org/officeDocument/2006/relationships/hyperlink" Target="http://www.linkedin.com/in/gilles-cantain-83733919" TargetMode="External"/><Relationship  Id="rId8099" Type="http://schemas.openxmlformats.org/officeDocument/2006/relationships/hyperlink" Target="http://www.sight.consulting" TargetMode="External"/><Relationship  Id="rId81" Type="http://schemas.openxmlformats.org/officeDocument/2006/relationships/hyperlink" Target="http://www.lafrichegourmande.com" TargetMode="External"/><Relationship  Id="rId810" Type="http://schemas.openxmlformats.org/officeDocument/2006/relationships/hyperlink" Target="http://www.linkedin.com/in/julien-kiefer-4ba4535" TargetMode="External"/><Relationship  Id="rId8100" Type="http://schemas.openxmlformats.org/officeDocument/2006/relationships/hyperlink" Target="http://www.linkedin.com/in/guillaume-racine" TargetMode="External"/><Relationship  Id="rId8101" Type="http://schemas.openxmlformats.org/officeDocument/2006/relationships/hyperlink" Target="http://www.lexi.fr" TargetMode="External"/><Relationship  Id="rId8102" Type="http://schemas.openxmlformats.org/officeDocument/2006/relationships/hyperlink" Target="http://www.linkedin.com/in/cristof-thomas" TargetMode="External"/><Relationship  Id="rId8103" Type="http://schemas.openxmlformats.org/officeDocument/2006/relationships/hyperlink" Target="http://www.magnisfy.com" TargetMode="External"/><Relationship  Id="rId8104" Type="http://schemas.openxmlformats.org/officeDocument/2006/relationships/hyperlink" Target="http://www.linkedin.com/in/samuel-sciascia-5b6882311" TargetMode="External"/><Relationship  Id="rId8105" Type="http://schemas.openxmlformats.org/officeDocument/2006/relationships/hyperlink" Target="http://www.prismo.io" TargetMode="External"/><Relationship  Id="rId8106" Type="http://schemas.openxmlformats.org/officeDocument/2006/relationships/hyperlink" Target="http://www.linkedin.com/in/gregory-louf-18086110" TargetMode="External"/><Relationship  Id="rId8107" Type="http://schemas.openxmlformats.org/officeDocument/2006/relationships/hyperlink" Target="http://www.eona.com" TargetMode="External"/><Relationship  Id="rId8108" Type="http://schemas.openxmlformats.org/officeDocument/2006/relationships/hyperlink" Target="http://www.linkedin.com/in/antoine-castel" TargetMode="External"/><Relationship  Id="rId8109" Type="http://schemas.openxmlformats.org/officeDocument/2006/relationships/hyperlink" Target="http://www.metaengine.gg" TargetMode="External"/><Relationship  Id="rId811" Type="http://schemas.openxmlformats.org/officeDocument/2006/relationships/hyperlink" Target="http://www.gintohotels.com" TargetMode="External"/><Relationship  Id="rId8110" Type="http://schemas.openxmlformats.org/officeDocument/2006/relationships/hyperlink" Target="http://www.linkedin.com/in/herv%c3%a9-gourdikian-0612a7231" TargetMode="External"/><Relationship  Id="rId8111" Type="http://schemas.openxmlformats.org/officeDocument/2006/relationships/hyperlink" Target="http://www.matchtune.com" TargetMode="External"/><Relationship  Id="rId8112" Type="http://schemas.openxmlformats.org/officeDocument/2006/relationships/hyperlink" Target="http://www.linkedin.com/in/egranoux" TargetMode="External"/><Relationship  Id="rId8113" Type="http://schemas.openxmlformats.org/officeDocument/2006/relationships/hyperlink" Target="http://www.linkedin.com/in/joseph-a-82b9bab" TargetMode="External"/><Relationship  Id="rId8114" Type="http://schemas.openxmlformats.org/officeDocument/2006/relationships/hyperlink" Target="http://www.payflows.io" TargetMode="External"/><Relationship  Id="rId8115" Type="http://schemas.openxmlformats.org/officeDocument/2006/relationships/hyperlink" Target="http://www.linkedin.com/in/denis-heitz-1809348" TargetMode="External"/><Relationship  Id="rId8116" Type="http://schemas.openxmlformats.org/officeDocument/2006/relationships/hyperlink" Target="http://www.hearables3d.com" TargetMode="External"/><Relationship  Id="rId8117" Type="http://schemas.openxmlformats.org/officeDocument/2006/relationships/hyperlink" Target="http://www.linkedin.com/in/zismaili" TargetMode="External"/><Relationship  Id="rId8118" Type="http://schemas.openxmlformats.org/officeDocument/2006/relationships/hyperlink" Target="http://www.brightcape.co" TargetMode="External"/><Relationship  Id="rId8119" Type="http://schemas.openxmlformats.org/officeDocument/2006/relationships/hyperlink" Target="http://www.linkedin.com/in/jsotogaviard" TargetMode="External"/><Relationship  Id="rId812" Type="http://schemas.openxmlformats.org/officeDocument/2006/relationships/hyperlink" Target="http://www.linkedin.com/in/anthony-renaud-74b750160" TargetMode="External"/><Relationship  Id="rId8120" Type="http://schemas.openxmlformats.org/officeDocument/2006/relationships/hyperlink" Target="http://www.gladia.io" TargetMode="External"/><Relationship  Id="rId8121" Type="http://schemas.openxmlformats.org/officeDocument/2006/relationships/hyperlink" Target="http://www.linkedin.com/in/fabrice-lamare-30b8508" TargetMode="External"/><Relationship  Id="rId8122" Type="http://schemas.openxmlformats.org/officeDocument/2006/relationships/hyperlink" Target="http://www.applidev.fr" TargetMode="External"/><Relationship  Id="rId8123" Type="http://schemas.openxmlformats.org/officeDocument/2006/relationships/hyperlink" Target="http://www.linkedin.com/in/patrickdesot" TargetMode="External"/><Relationship  Id="rId8124" Type="http://schemas.openxmlformats.org/officeDocument/2006/relationships/hyperlink" Target="http://www.wraptor.fr" TargetMode="External"/><Relationship  Id="rId8125" Type="http://schemas.openxmlformats.org/officeDocument/2006/relationships/hyperlink" Target="http://www.linkedin.com/in/zeine-mahbouby-52302619" TargetMode="External"/><Relationship  Id="rId8126" Type="http://schemas.openxmlformats.org/officeDocument/2006/relationships/hyperlink" Target="http://www.richatt.com" TargetMode="External"/><Relationship  Id="rId8127" Type="http://schemas.openxmlformats.org/officeDocument/2006/relationships/hyperlink" Target="http://www.linkedin.com/in/xuoan" TargetMode="External"/><Relationship  Id="rId8128" Type="http://schemas.openxmlformats.org/officeDocument/2006/relationships/hyperlink" Target="http://www.lareclame.fr" TargetMode="External"/><Relationship  Id="rId8129" Type="http://schemas.openxmlformats.org/officeDocument/2006/relationships/hyperlink" Target="http://www.linkedin.com/in/yanis-kerdjana-b332b2b1" TargetMode="External"/><Relationship  Id="rId813" Type="http://schemas.openxmlformats.org/officeDocument/2006/relationships/hyperlink" Target="http://www.staays.com" TargetMode="External"/><Relationship  Id="rId8130" Type="http://schemas.openxmlformats.org/officeDocument/2006/relationships/hyperlink" Target="http://www.ideta.io" TargetMode="External"/><Relationship  Id="rId8131" Type="http://schemas.openxmlformats.org/officeDocument/2006/relationships/hyperlink" Target="http://www.linkedin.com/in/gwenael-fourr%c3%a9-812b73104" TargetMode="External"/><Relationship  Id="rId8132" Type="http://schemas.openxmlformats.org/officeDocument/2006/relationships/hyperlink" Target="http://www.reemo.io" TargetMode="External"/><Relationship  Id="rId8133" Type="http://schemas.openxmlformats.org/officeDocument/2006/relationships/hyperlink" Target="http://www.linkedin.com/in/francoislumeau" TargetMode="External"/><Relationship  Id="rId8134" Type="http://schemas.openxmlformats.org/officeDocument/2006/relationships/hyperlink" Target="http://www.hargos.fr" TargetMode="External"/><Relationship  Id="rId8135" Type="http://schemas.openxmlformats.org/officeDocument/2006/relationships/hyperlink" Target="http://www.linkedin.com/in/alexandre-luternauer-29631061" TargetMode="External"/><Relationship  Id="rId8136" Type="http://schemas.openxmlformats.org/officeDocument/2006/relationships/hyperlink" Target="http://www.trackap.com" TargetMode="External"/><Relationship  Id="rId8137" Type="http://schemas.openxmlformats.org/officeDocument/2006/relationships/hyperlink" Target="http://www.linkedin.com/in/julien-mirval-0a186b129" TargetMode="External"/><Relationship  Id="rId8138" Type="http://schemas.openxmlformats.org/officeDocument/2006/relationships/hyperlink" Target="http://www.ezymob.fr" TargetMode="External"/><Relationship  Id="rId8139" Type="http://schemas.openxmlformats.org/officeDocument/2006/relationships/hyperlink" Target="http://www.linkedin.com/in/celine-ha-9a25961" TargetMode="External"/><Relationship  Id="rId814" Type="http://schemas.openxmlformats.org/officeDocument/2006/relationships/hyperlink" Target="http://www.linkedin.com/in/marc-noblet-3b859936" TargetMode="External"/><Relationship  Id="rId8140" Type="http://schemas.openxmlformats.org/officeDocument/2006/relationships/hyperlink" Target="http://www.xlstat.com" TargetMode="External"/><Relationship  Id="rId8141" Type="http://schemas.openxmlformats.org/officeDocument/2006/relationships/hyperlink" Target="http://www.linkedin.com/in/sylvain-dubuisson-4186b228" TargetMode="External"/><Relationship  Id="rId8142" Type="http://schemas.openxmlformats.org/officeDocument/2006/relationships/hyperlink" Target="http://www.omydoo.fr" TargetMode="External"/><Relationship  Id="rId8143" Type="http://schemas.openxmlformats.org/officeDocument/2006/relationships/hyperlink" Target="http://www.linkedin.com/in/ludovic-fagot-4b5aa5" TargetMode="External"/><Relationship  Id="rId8144" Type="http://schemas.openxmlformats.org/officeDocument/2006/relationships/hyperlink" Target="http://www.dunseulgeste.fr" TargetMode="External"/><Relationship  Id="rId8145" Type="http://schemas.openxmlformats.org/officeDocument/2006/relationships/hyperlink" Target="http://www.linkedin.com/in/antoine-mestdagh-51a302105" TargetMode="External"/><Relationship  Id="rId8146" Type="http://schemas.openxmlformats.org/officeDocument/2006/relationships/hyperlink" Target="http://www.far-it.com" TargetMode="External"/><Relationship  Id="rId8147" Type="http://schemas.openxmlformats.org/officeDocument/2006/relationships/hyperlink" Target="http://www.linkedin.com/in/anthony-trefouel" TargetMode="External"/><Relationship  Id="rId8148" Type="http://schemas.openxmlformats.org/officeDocument/2006/relationships/hyperlink" Target="http://www.works-agency.fr" TargetMode="External"/><Relationship  Id="rId8149" Type="http://schemas.openxmlformats.org/officeDocument/2006/relationships/hyperlink" Target="http://lili.ai" TargetMode="External"/><Relationship  Id="rId815" Type="http://schemas.openxmlformats.org/officeDocument/2006/relationships/hyperlink" Target="http://www.creperiedelancienneposte.com" TargetMode="External"/><Relationship  Id="rId8150" Type="http://schemas.openxmlformats.org/officeDocument/2006/relationships/hyperlink" Target="http://www.linkedin.com/in/milietaingatliliai" TargetMode="External"/><Relationship  Id="rId8151" Type="http://schemas.openxmlformats.org/officeDocument/2006/relationships/hyperlink" Target="http://www.lili.ai" TargetMode="External"/><Relationship  Id="rId8152" Type="http://schemas.openxmlformats.org/officeDocument/2006/relationships/hyperlink" Target="http://www.linkedin.com/in/guillaume-loth-demay-1612501" TargetMode="External"/><Relationship  Id="rId8153" Type="http://schemas.openxmlformats.org/officeDocument/2006/relationships/hyperlink" Target="http://www.letreco.fr" TargetMode="External"/><Relationship  Id="rId8154" Type="http://schemas.openxmlformats.org/officeDocument/2006/relationships/hyperlink" Target="http://www.linkedin.com/in/--thomas" TargetMode="External"/><Relationship  Id="rId8155" Type="http://schemas.openxmlformats.org/officeDocument/2006/relationships/hyperlink" Target="http://www.loyoly.io" TargetMode="External"/><Relationship  Id="rId8156" Type="http://schemas.openxmlformats.org/officeDocument/2006/relationships/hyperlink" Target="http://www.linkedin.com/in/yunus-g%c3%bcrlek-625b931a1" TargetMode="External"/><Relationship  Id="rId8157" Type="http://schemas.openxmlformats.org/officeDocument/2006/relationships/hyperlink" Target="http://www.node101.io" TargetMode="External"/><Relationship  Id="rId8158" Type="http://schemas.openxmlformats.org/officeDocument/2006/relationships/hyperlink" Target="http://www.linkedin.com/in/s%c3%a9bastien-manteau-a9945b117" TargetMode="External"/><Relationship  Id="rId8159" Type="http://schemas.openxmlformats.org/officeDocument/2006/relationships/hyperlink" Target="http://www.ackomas.com" TargetMode="External"/><Relationship  Id="rId816" Type="http://schemas.openxmlformats.org/officeDocument/2006/relationships/hyperlink" Target="http://www.linkedin.com/in/karl-o-hanlon-34022a2" TargetMode="External"/><Relationship  Id="rId8160" Type="http://schemas.openxmlformats.org/officeDocument/2006/relationships/hyperlink" Target="http://www.linkedin.com/in/julien-cotteaux-b9187345" TargetMode="External"/><Relationship  Id="rId8161" Type="http://schemas.openxmlformats.org/officeDocument/2006/relationships/hyperlink" Target="http://www.archireport.com" TargetMode="External"/><Relationship  Id="rId8162" Type="http://schemas.openxmlformats.org/officeDocument/2006/relationships/hyperlink" Target="http://www.linkedin.com/in/roux-benjamin-918bb1a5" TargetMode="External"/><Relationship  Id="rId8163" Type="http://schemas.openxmlformats.org/officeDocument/2006/relationships/hyperlink" Target="http://www.eurailscout-france.fr" TargetMode="External"/><Relationship  Id="rId8164" Type="http://schemas.openxmlformats.org/officeDocument/2006/relationships/hyperlink" Target="http://www.linkedin.com/in/laurent-giraud-1a4b1631" TargetMode="External"/><Relationship  Id="rId8165" Type="http://schemas.openxmlformats.org/officeDocument/2006/relationships/hyperlink" Target="http://www.itamsys.com" TargetMode="External"/><Relationship  Id="rId8166" Type="http://schemas.openxmlformats.org/officeDocument/2006/relationships/hyperlink" Target="http://www.linkedin.com/in/hugues-peytavin" TargetMode="External"/><Relationship  Id="rId8167" Type="http://schemas.openxmlformats.org/officeDocument/2006/relationships/hyperlink" Target="http://www.openium.fr" TargetMode="External"/><Relationship  Id="rId8168" Type="http://schemas.openxmlformats.org/officeDocument/2006/relationships/hyperlink" Target="http://www.linkedin.com/in/%c2%a9%ef%b8%8flucas-leschave-23081917a" TargetMode="External"/><Relationship  Id="rId8169" Type="http://schemas.openxmlformats.org/officeDocument/2006/relationships/hyperlink" Target="http://www.ijo.tech" TargetMode="External"/><Relationship  Id="rId817" Type="http://schemas.openxmlformats.org/officeDocument/2006/relationships/hyperlink" Target="http://www.domainedemeure.com" TargetMode="External"/><Relationship  Id="rId8170" Type="http://schemas.openxmlformats.org/officeDocument/2006/relationships/hyperlink" Target="http://www.linkedin.com/in/bruno-freudensprung-b93831" TargetMode="External"/><Relationship  Id="rId8171" Type="http://schemas.openxmlformats.org/officeDocument/2006/relationships/hyperlink" Target="http://www.kairntech.com" TargetMode="External"/><Relationship  Id="rId8172" Type="http://schemas.openxmlformats.org/officeDocument/2006/relationships/hyperlink" Target="http://www.linkedin.com/in/huard-fred-a3210b93" TargetMode="External"/><Relationship  Id="rId8173" Type="http://schemas.openxmlformats.org/officeDocument/2006/relationships/hyperlink" Target="http://www.huard.fr" TargetMode="External"/><Relationship  Id="rId8174" Type="http://schemas.openxmlformats.org/officeDocument/2006/relationships/hyperlink" Target="http://www.linkedin.com/in/mahdigolzarnia" TargetMode="External"/><Relationship  Id="rId8175" Type="http://schemas.openxmlformats.org/officeDocument/2006/relationships/hyperlink" Target="http://www.linkedin.com/in/bertrand-stelandre-4878859" TargetMode="External"/><Relationship  Id="rId8176" Type="http://schemas.openxmlformats.org/officeDocument/2006/relationships/hyperlink" Target="http://www.linkedin.com/in/gauthierhenroz" TargetMode="External"/><Relationship  Id="rId8177" Type="http://schemas.openxmlformats.org/officeDocument/2006/relationships/hyperlink" Target="http://www.chift.eu" TargetMode="External"/><Relationship  Id="rId8178" Type="http://schemas.openxmlformats.org/officeDocument/2006/relationships/hyperlink" Target="http://www.linkedin.com/in/catherine-guibert-78bb0187" TargetMode="External"/><Relationship  Id="rId8179" Type="http://schemas.openxmlformats.org/officeDocument/2006/relationships/hyperlink" Target="http://www.linkedin.com/in/eric-franceries-ab99b873" TargetMode="External"/><Relationship  Id="rId818" Type="http://schemas.openxmlformats.org/officeDocument/2006/relationships/hyperlink" Target="http://www.linkedin.com/in/theophileberlioz" TargetMode="External"/><Relationship  Id="rId8180" Type="http://schemas.openxmlformats.org/officeDocument/2006/relationships/hyperlink" Target="http://www.gertrude.fr" TargetMode="External"/><Relationship  Id="rId8181" Type="http://schemas.openxmlformats.org/officeDocument/2006/relationships/hyperlink" Target="http://www.linkedin.com/in/adel-nasraoui-6506a62" TargetMode="External"/><Relationship  Id="rId8182" Type="http://schemas.openxmlformats.org/officeDocument/2006/relationships/hyperlink" Target="http://www.healthcaresynergy.com" TargetMode="External"/><Relationship  Id="rId8183" Type="http://schemas.openxmlformats.org/officeDocument/2006/relationships/hyperlink" Target="http://www.linkedin.com/in/laurent-conrad-bruat-8042775" TargetMode="External"/><Relationship  Id="rId8184" Type="http://schemas.openxmlformats.org/officeDocument/2006/relationships/hyperlink" Target="http://www.logipren.com" TargetMode="External"/><Relationship  Id="rId8185" Type="http://schemas.openxmlformats.org/officeDocument/2006/relationships/hyperlink" Target="http://www.linkedin.com/in/andr%c3%a9-joly-0aa3131b" TargetMode="External"/><Relationship  Id="rId8186" Type="http://schemas.openxmlformats.org/officeDocument/2006/relationships/hyperlink" Target="http://www.linkedin.com/in/thomas-girod-501a5119" TargetMode="External"/><Relationship  Id="rId8187" Type="http://schemas.openxmlformats.org/officeDocument/2006/relationships/hyperlink" Target="http://www.linkedin.com/in/hichem-dahmani-60a6725a" TargetMode="External"/><Relationship  Id="rId8188" Type="http://schemas.openxmlformats.org/officeDocument/2006/relationships/hyperlink" Target="http://www.linkedin.com/in/st%c3%a9phan-jeanneau-2923b152" TargetMode="External"/><Relationship  Id="rId8189" Type="http://schemas.openxmlformats.org/officeDocument/2006/relationships/hyperlink" Target="http://www.adobisgroup.com" TargetMode="External"/><Relationship  Id="rId819" Type="http://schemas.openxmlformats.org/officeDocument/2006/relationships/hyperlink" Target="http://www.linkedin.com/in/mailystorterat" TargetMode="External"/><Relationship  Id="rId8190" Type="http://schemas.openxmlformats.org/officeDocument/2006/relationships/hyperlink" Target="http://www.linkedin.com/in/bruno-rochet-821093154" TargetMode="External"/><Relationship  Id="rId8191" Type="http://schemas.openxmlformats.org/officeDocument/2006/relationships/hyperlink" Target="http://www.cis-consulting.com" TargetMode="External"/><Relationship  Id="rId8192" Type="http://schemas.openxmlformats.org/officeDocument/2006/relationships/hyperlink" Target="http://www.linkedin.com/in/thomasjeandet" TargetMode="External"/><Relationship  Id="rId8193" Type="http://schemas.openxmlformats.org/officeDocument/2006/relationships/hyperlink" Target="http://www.linkedin.com/in/clementwalter" TargetMode="External"/><Relationship  Id="rId8194" Type="http://schemas.openxmlformats.org/officeDocument/2006/relationships/hyperlink" Target="http://www.kakarot.org" TargetMode="External"/><Relationship  Id="rId8195" Type="http://schemas.openxmlformats.org/officeDocument/2006/relationships/hyperlink" Target="http://www.linkedin.com/in/cyril-nardon-%e2%96%aa%ef%b8%8fartdesignstory-%c2%ae-fanarzone-%c2%ae-004a3182" TargetMode="External"/><Relationship  Id="rId8196" Type="http://schemas.openxmlformats.org/officeDocument/2006/relationships/hyperlink" Target="http://www.artdesignstory.fr" TargetMode="External"/><Relationship  Id="rId8197" Type="http://schemas.openxmlformats.org/officeDocument/2006/relationships/hyperlink" Target="http://www.linkedin.com/in/nicolasgirodet" TargetMode="External"/><Relationship  Id="rId8198" Type="http://schemas.openxmlformats.org/officeDocument/2006/relationships/hyperlink" Target="http://www.codebusters.fr" TargetMode="External"/><Relationship  Id="rId8199" Type="http://schemas.openxmlformats.org/officeDocument/2006/relationships/hyperlink" Target="http://www.linkedin.com/in/james-shephard-45358580" TargetMode="External"/><Relationship  Id="rId82" Type="http://schemas.openxmlformats.org/officeDocument/2006/relationships/hyperlink" Target="http://www.linkedin.com/in/lucie-bichelberger-19b5b428" TargetMode="External"/><Relationship  Id="rId820" Type="http://schemas.openxmlformats.org/officeDocument/2006/relationships/hyperlink" Target="http://www.bigsistervegan.com" TargetMode="External"/><Relationship  Id="rId8200" Type="http://schemas.openxmlformats.org/officeDocument/2006/relationships/hyperlink" Target="http://www.nulia.com" TargetMode="External"/><Relationship  Id="rId8201" Type="http://schemas.openxmlformats.org/officeDocument/2006/relationships/hyperlink" Target="http://www.linkedin.com/in/hugo-flusin-9b2339a8" TargetMode="External"/><Relationship  Id="rId8202" Type="http://schemas.openxmlformats.org/officeDocument/2006/relationships/hyperlink" Target="http://www.wink-lab.com" TargetMode="External"/><Relationship  Id="rId8203" Type="http://schemas.openxmlformats.org/officeDocument/2006/relationships/hyperlink" Target="http://www.linkedin.com/in/jonathan-grinal-07933a73" TargetMode="External"/><Relationship  Id="rId8204" Type="http://schemas.openxmlformats.org/officeDocument/2006/relationships/hyperlink" Target="http://www.jdconseil.co" TargetMode="External"/><Relationship  Id="rId8205" Type="http://schemas.openxmlformats.org/officeDocument/2006/relationships/hyperlink" Target="http://www.linkedin.com/in/ulric-aymard-52a9bb100" TargetMode="External"/><Relationship  Id="rId8206" Type="http://schemas.openxmlformats.org/officeDocument/2006/relationships/hyperlink" Target="http://www.cilea.fr" TargetMode="External"/><Relationship  Id="rId8207" Type="http://schemas.openxmlformats.org/officeDocument/2006/relationships/hyperlink" Target="http://www.linkedin.com/in/davidbourgeois" TargetMode="External"/><Relationship  Id="rId8208" Type="http://schemas.openxmlformats.org/officeDocument/2006/relationships/hyperlink" Target="http://www.limseo.eu" TargetMode="External"/><Relationship  Id="rId8209" Type="http://schemas.openxmlformats.org/officeDocument/2006/relationships/hyperlink" Target="http://www.linkedin.com/in/rubenscetbon" TargetMode="External"/><Relationship  Id="rId821" Type="http://schemas.openxmlformats.org/officeDocument/2006/relationships/hyperlink" Target="http://www.linkedin.com/in/olivier-cantaut-a43a2093" TargetMode="External"/><Relationship  Id="rId8210" Type="http://schemas.openxmlformats.org/officeDocument/2006/relationships/hyperlink" Target="http://www.optimicdn.com" TargetMode="External"/><Relationship  Id="rId8211" Type="http://schemas.openxmlformats.org/officeDocument/2006/relationships/hyperlink" Target="http://www.linkedin.com/in/ludovic-ledieu-199b1b75" TargetMode="External"/><Relationship  Id="rId8212" Type="http://schemas.openxmlformats.org/officeDocument/2006/relationships/hyperlink" Target="http://www.linkedin.com/in/brunohamy" TargetMode="External"/><Relationship  Id="rId8213" Type="http://schemas.openxmlformats.org/officeDocument/2006/relationships/hyperlink" Target="http://www.datakeen.co" TargetMode="External"/><Relationship  Id="rId8214" Type="http://schemas.openxmlformats.org/officeDocument/2006/relationships/hyperlink" Target="http://www.linkedin.com/in/franckdedieuleveult" TargetMode="External"/><Relationship  Id="rId8215" Type="http://schemas.openxmlformats.org/officeDocument/2006/relationships/hyperlink" Target="http://www.homelinks.eu" TargetMode="External"/><Relationship  Id="rId8216" Type="http://schemas.openxmlformats.org/officeDocument/2006/relationships/hyperlink" Target="http://www.linkedin.com/in/vincent-grattery-811ba115" TargetMode="External"/><Relationship  Id="rId8217" Type="http://schemas.openxmlformats.org/officeDocument/2006/relationships/hyperlink" Target="http://www.edifitek.fr" TargetMode="External"/><Relationship  Id="rId8218" Type="http://schemas.openxmlformats.org/officeDocument/2006/relationships/hyperlink" Target="http://www.linkedin.com/in/adam-koussay-b06004138" TargetMode="External"/><Relationship  Id="rId8219" Type="http://schemas.openxmlformats.org/officeDocument/2006/relationships/hyperlink" Target="http://www.kaf.com.mx" TargetMode="External"/><Relationship  Id="rId822" Type="http://schemas.openxmlformats.org/officeDocument/2006/relationships/hyperlink" Target="http://www.gastronomicom.fr" TargetMode="External"/><Relationship  Id="rId8220" Type="http://schemas.openxmlformats.org/officeDocument/2006/relationships/hyperlink" Target="http://www.linkedin.com/in/blouinpaul" TargetMode="External"/><Relationship  Id="rId8221" Type="http://schemas.openxmlformats.org/officeDocument/2006/relationships/hyperlink" Target="http://www.locomotive.eu" TargetMode="External"/><Relationship  Id="rId8222" Type="http://schemas.openxmlformats.org/officeDocument/2006/relationships/hyperlink" Target="http://www.linkedin.com/in/oriane-sossah" TargetMode="External"/><Relationship  Id="rId8223" Type="http://schemas.openxmlformats.org/officeDocument/2006/relationships/hyperlink" Target="http://www.concilium.digital" TargetMode="External"/><Relationship  Id="rId8224" Type="http://schemas.openxmlformats.org/officeDocument/2006/relationships/hyperlink" Target="http://www.linkedin.com/in/david-m%c3%a9tais-889771" TargetMode="External"/><Relationship  Id="rId8225" Type="http://schemas.openxmlformats.org/officeDocument/2006/relationships/hyperlink" Target="http://www.optixt.fr" TargetMode="External"/><Relationship  Id="rId8226" Type="http://schemas.openxmlformats.org/officeDocument/2006/relationships/hyperlink" Target="http://www.linkedin.com/in/eytan-hattem-ccxp-02780b2a" TargetMode="External"/><Relationship  Id="rId8227" Type="http://schemas.openxmlformats.org/officeDocument/2006/relationships/hyperlink" Target="http://www.cemantica.com" TargetMode="External"/><Relationship  Id="rId8228" Type="http://schemas.openxmlformats.org/officeDocument/2006/relationships/hyperlink" Target="http://www.linkedin.com/in/reda-el-ganzri-a10659104" TargetMode="External"/><Relationship  Id="rId8229" Type="http://schemas.openxmlformats.org/officeDocument/2006/relationships/hyperlink" Target="http://www.devcorp.fr" TargetMode="External"/><Relationship  Id="rId823" Type="http://schemas.openxmlformats.org/officeDocument/2006/relationships/hyperlink" Target="http://www.linkedin.com/in/gail-boisclair-7b25704" TargetMode="External"/><Relationship  Id="rId8230" Type="http://schemas.openxmlformats.org/officeDocument/2006/relationships/hyperlink" Target="http://www.linkedin.com/in/mansour-ndao-mentorgoal" TargetMode="External"/><Relationship  Id="rId8231" Type="http://schemas.openxmlformats.org/officeDocument/2006/relationships/hyperlink" Target="http://www.linkedin.com/in/virginie-bonutto-129b451b9" TargetMode="External"/><Relationship  Id="rId8232" Type="http://schemas.openxmlformats.org/officeDocument/2006/relationships/hyperlink" Target="http://www.pubfrancois.fr" TargetMode="External"/><Relationship  Id="rId8233" Type="http://schemas.openxmlformats.org/officeDocument/2006/relationships/hyperlink" Target="http://www.linkedin.com/in/gary-jehan" TargetMode="External"/><Relationship  Id="rId8234" Type="http://schemas.openxmlformats.org/officeDocument/2006/relationships/hyperlink" Target="http://www.viasay.io" TargetMode="External"/><Relationship  Id="rId8235" Type="http://schemas.openxmlformats.org/officeDocument/2006/relationships/hyperlink" Target="http://www.linkedin.com/in/rapha%c3%abl-neves-248429165" TargetMode="External"/><Relationship  Id="rId8236" Type="http://schemas.openxmlformats.org/officeDocument/2006/relationships/hyperlink" Target="http://www.talo.eco" TargetMode="External"/><Relationship  Id="rId8237" Type="http://schemas.openxmlformats.org/officeDocument/2006/relationships/hyperlink" Target="http://www.linkedin.com/in/fiona-roch-205b7896" TargetMode="External"/><Relationship  Id="rId8238" Type="http://schemas.openxmlformats.org/officeDocument/2006/relationships/hyperlink" Target="http://www.filabs.dev" TargetMode="External"/><Relationship  Id="rId8239" Type="http://schemas.openxmlformats.org/officeDocument/2006/relationships/hyperlink" Target="http://www.linkedin.com/in/hedi-zouari-880b4318" TargetMode="External"/><Relationship  Id="rId824" Type="http://schemas.openxmlformats.org/officeDocument/2006/relationships/hyperlink" Target="http://www.scalerentals.show" TargetMode="External"/><Relationship  Id="rId8240" Type="http://schemas.openxmlformats.org/officeDocument/2006/relationships/hyperlink" Target="http://www.data-era.co" TargetMode="External"/><Relationship  Id="rId8241" Type="http://schemas.openxmlformats.org/officeDocument/2006/relationships/hyperlink" Target="http://www.linkedin.com/in/capurro-andr%c3%a9-259666b" TargetMode="External"/><Relationship  Id="rId8242" Type="http://schemas.openxmlformats.org/officeDocument/2006/relationships/hyperlink" Target="http://www.linkedin.com/in/elyeshellara" TargetMode="External"/><Relationship  Id="rId8243" Type="http://schemas.openxmlformats.org/officeDocument/2006/relationships/hyperlink" Target="http://www.elyosdigital.com" TargetMode="External"/><Relationship  Id="rId8244" Type="http://schemas.openxmlformats.org/officeDocument/2006/relationships/hyperlink" Target="http://www.linkedin.com/in/tania-kefs-42662047" TargetMode="External"/><Relationship  Id="rId8245" Type="http://schemas.openxmlformats.org/officeDocument/2006/relationships/hyperlink" Target="http://www.jurnee.io" TargetMode="External"/><Relationship  Id="rId8246" Type="http://schemas.openxmlformats.org/officeDocument/2006/relationships/hyperlink" Target="http://www.linkedin.com/in/pascal-bonneton" TargetMode="External"/><Relationship  Id="rId8247" Type="http://schemas.openxmlformats.org/officeDocument/2006/relationships/hyperlink" Target="http://www.naelan.com" TargetMode="External"/><Relationship  Id="rId8248" Type="http://schemas.openxmlformats.org/officeDocument/2006/relationships/hyperlink" Target="http://www.linkedin.com/in/julie-albaret-9776a73" TargetMode="External"/><Relationship  Id="rId8249" Type="http://schemas.openxmlformats.org/officeDocument/2006/relationships/hyperlink" Target="http://www.neolians.com" TargetMode="External"/><Relationship  Id="rId825" Type="http://schemas.openxmlformats.org/officeDocument/2006/relationships/hyperlink" Target="http://www.linkedin.com/in/nicolas-billaud-59964b6" TargetMode="External"/><Relationship  Id="rId8250" Type="http://schemas.openxmlformats.org/officeDocument/2006/relationships/hyperlink" Target="http://www.linkedin.com/in/armand-h-diffo-47aa0439" TargetMode="External"/><Relationship  Id="rId8251" Type="http://schemas.openxmlformats.org/officeDocument/2006/relationships/hyperlink" Target="http://www.linkedin.com/in/s%c3%a9bastien-dugu%c3%a9-40440a125" TargetMode="External"/><Relationship  Id="rId8252" Type="http://schemas.openxmlformats.org/officeDocument/2006/relationships/hyperlink" Target="http://www.tamplo.com" TargetMode="External"/><Relationship  Id="rId8253" Type="http://schemas.openxmlformats.org/officeDocument/2006/relationships/hyperlink" Target="http://www.linkedin.com/in/kevin-roy-genki" TargetMode="External"/><Relationship  Id="rId8254" Type="http://schemas.openxmlformats.org/officeDocument/2006/relationships/hyperlink" Target="http://www.genki-seo.com" TargetMode="External"/><Relationship  Id="rId8255" Type="http://schemas.openxmlformats.org/officeDocument/2006/relationships/hyperlink" Target="http://www.linkedin.com/in/ronniegarcia" TargetMode="External"/><Relationship  Id="rId8256" Type="http://schemas.openxmlformats.org/officeDocument/2006/relationships/hyperlink" Target="http://www.ovea.com" TargetMode="External"/><Relationship  Id="rId8257" Type="http://schemas.openxmlformats.org/officeDocument/2006/relationships/hyperlink" Target="http://www.linkedin.com/in/jean-baptiste-dubuisson-3a42151" TargetMode="External"/><Relationship  Id="rId8258" Type="http://schemas.openxmlformats.org/officeDocument/2006/relationships/hyperlink" Target="http://www.xperis.fr" TargetMode="External"/><Relationship  Id="rId8259" Type="http://schemas.openxmlformats.org/officeDocument/2006/relationships/hyperlink" Target="http://www.linkedin.com/in/jean-pierre-voropaieff-024aa083" TargetMode="External"/><Relationship  Id="rId826" Type="http://schemas.openxmlformats.org/officeDocument/2006/relationships/hyperlink" Target="http://www.linkedin.com/in/davide-pappalardo-35321a112" TargetMode="External"/><Relationship  Id="rId8260" Type="http://schemas.openxmlformats.org/officeDocument/2006/relationships/hyperlink" Target="http://www.a-grid.com" TargetMode="External"/><Relationship  Id="rId8261" Type="http://schemas.openxmlformats.org/officeDocument/2006/relationships/hyperlink" Target="http://www.linkedin.com/in/arnaud-molina-809a455" TargetMode="External"/><Relationship  Id="rId8262" Type="http://schemas.openxmlformats.org/officeDocument/2006/relationships/hyperlink" Target="http://www.linkedin.com/in/payman-ziai-9317157a" TargetMode="External"/><Relationship  Id="rId8263" Type="http://schemas.openxmlformats.org/officeDocument/2006/relationships/hyperlink" Target="http://www.linkedin.com/in/dominik-goldschmidt-1b16a950" TargetMode="External"/><Relationship  Id="rId8264" Type="http://schemas.openxmlformats.org/officeDocument/2006/relationships/hyperlink" Target="http://www.keleo.fr" TargetMode="External"/><Relationship  Id="rId8265" Type="http://schemas.openxmlformats.org/officeDocument/2006/relationships/hyperlink" Target="http://www.linkedin.com/in/mohamed-salah-bouassida-6a437132" TargetMode="External"/><Relationship  Id="rId8266" Type="http://schemas.openxmlformats.org/officeDocument/2006/relationships/hyperlink" Target="http://www.luxantinnovation.com" TargetMode="External"/><Relationship  Id="rId8267" Type="http://schemas.openxmlformats.org/officeDocument/2006/relationships/hyperlink" Target="http://www.linkedin.com/in/ludovicducros" TargetMode="External"/><Relationship  Id="rId8268" Type="http://schemas.openxmlformats.org/officeDocument/2006/relationships/hyperlink" Target="http://www.incom-sa.fr" TargetMode="External"/><Relationship  Id="rId8269" Type="http://schemas.openxmlformats.org/officeDocument/2006/relationships/hyperlink" Target="http://www.linkedin.com/in/bricelelouvetel" TargetMode="External"/><Relationship  Id="rId827" Type="http://schemas.openxmlformats.org/officeDocument/2006/relationships/hyperlink" Target="http://www.camurria.fr" TargetMode="External"/><Relationship  Id="rId8270" Type="http://schemas.openxmlformats.org/officeDocument/2006/relationships/hyperlink" Target="http://www.atchik.com" TargetMode="External"/><Relationship  Id="rId8271" Type="http://schemas.openxmlformats.org/officeDocument/2006/relationships/hyperlink" Target="http://www.linkedin.com/in/sophieperceval" TargetMode="External"/><Relationship  Id="rId8272" Type="http://schemas.openxmlformats.org/officeDocument/2006/relationships/hyperlink" Target="http://www.wondeur.ai" TargetMode="External"/><Relationship  Id="rId8273" Type="http://schemas.openxmlformats.org/officeDocument/2006/relationships/hyperlink" Target="http://www.linkedin.com/in/giorgio-rivero-5925328" TargetMode="External"/><Relationship  Id="rId8274" Type="http://schemas.openxmlformats.org/officeDocument/2006/relationships/hyperlink" Target="http://www.rubyx.io" TargetMode="External"/><Relationship  Id="rId8275" Type="http://schemas.openxmlformats.org/officeDocument/2006/relationships/hyperlink" Target="http://www.linkedin.com/in/donato-bello-b2b891a" TargetMode="External"/><Relationship  Id="rId8276" Type="http://schemas.openxmlformats.org/officeDocument/2006/relationships/hyperlink" Target="http://www.vatilab.com" TargetMode="External"/><Relationship  Id="rId8277" Type="http://schemas.openxmlformats.org/officeDocument/2006/relationships/hyperlink" Target="http://www.linkedin.com/in/gdominici" TargetMode="External"/><Relationship  Id="rId8278" Type="http://schemas.openxmlformats.org/officeDocument/2006/relationships/hyperlink" Target="http://www.linkedin.com/in/laurentrouvet" TargetMode="External"/><Relationship  Id="rId8279" Type="http://schemas.openxmlformats.org/officeDocument/2006/relationships/hyperlink" Target="http://www.fillndrive.com" TargetMode="External"/><Relationship  Id="rId828" Type="http://schemas.openxmlformats.org/officeDocument/2006/relationships/hyperlink" Target="http://www.linkedin.com/in/abaka" TargetMode="External"/><Relationship  Id="rId8280" Type="http://schemas.openxmlformats.org/officeDocument/2006/relationships/hyperlink" Target="http://www.linkedin.com/in/youssef-bou-issa-52345121" TargetMode="External"/><Relationship  Id="rId8281" Type="http://schemas.openxmlformats.org/officeDocument/2006/relationships/hyperlink" Target="http://www.linkedin.com/in/jean-francois-baillette-9644371" TargetMode="External"/><Relationship  Id="rId8282" Type="http://schemas.openxmlformats.org/officeDocument/2006/relationships/hyperlink" Target="http://www.qsn-cyber.fr" TargetMode="External"/><Relationship  Id="rId8283" Type="http://schemas.openxmlformats.org/officeDocument/2006/relationships/hyperlink" Target="http://www.linkedin.com/in/faraggi" TargetMode="External"/><Relationship  Id="rId8284" Type="http://schemas.openxmlformats.org/officeDocument/2006/relationships/hyperlink" Target="http://www.alphaday.com" TargetMode="External"/><Relationship  Id="rId8285" Type="http://schemas.openxmlformats.org/officeDocument/2006/relationships/hyperlink" Target="http://www.linkedin.com/in/simon-prunayre-7b059286" TargetMode="External"/><Relationship  Id="rId8286" Type="http://schemas.openxmlformats.org/officeDocument/2006/relationships/hyperlink" Target="http://www.neofugu.com" TargetMode="External"/><Relationship  Id="rId8287" Type="http://schemas.openxmlformats.org/officeDocument/2006/relationships/hyperlink" Target="http://www.linkedin.com/in/gilles-pouzenc-a42086a" TargetMode="External"/><Relationship  Id="rId8288" Type="http://schemas.openxmlformats.org/officeDocument/2006/relationships/hyperlink" Target="http://www.linkedin.com/in/laurent-le-jariel" TargetMode="External"/><Relationship  Id="rId8289" Type="http://schemas.openxmlformats.org/officeDocument/2006/relationships/hyperlink" Target="http://www.fjtechlab.mu" TargetMode="External"/><Relationship  Id="rId829" Type="http://schemas.openxmlformats.org/officeDocument/2006/relationships/hyperlink" Target="http://www.linkedin.com/in/nicolaszimmermann" TargetMode="External"/><Relationship  Id="rId8290" Type="http://schemas.openxmlformats.org/officeDocument/2006/relationships/hyperlink" Target="http://www.linkedin.com/in/vincent-farion-36b4421" TargetMode="External"/><Relationship  Id="rId8291" Type="http://schemas.openxmlformats.org/officeDocument/2006/relationships/hyperlink" Target="http://www.linkedin.com/in/didier-fornetti-895a52101" TargetMode="External"/><Relationship  Id="rId8292" Type="http://schemas.openxmlformats.org/officeDocument/2006/relationships/hyperlink" Target="http://www.saas-office.com" TargetMode="External"/><Relationship  Id="rId8293" Type="http://schemas.openxmlformats.org/officeDocument/2006/relationships/hyperlink" Target="http://www.linkedin.com/in/morgan-caron-12b558100" TargetMode="External"/><Relationship  Id="rId8294" Type="http://schemas.openxmlformats.org/officeDocument/2006/relationships/hyperlink" Target="http://www.quanticfactory.io" TargetMode="External"/><Relationship  Id="rId8295" Type="http://schemas.openxmlformats.org/officeDocument/2006/relationships/hyperlink" Target="http://www.linkedin.com/in/geoffrey-lajri-88879367" TargetMode="External"/><Relationship  Id="rId8296" Type="http://schemas.openxmlformats.org/officeDocument/2006/relationships/hyperlink" Target="http://www.gopadma.com" TargetMode="External"/><Relationship  Id="rId8297" Type="http://schemas.openxmlformats.org/officeDocument/2006/relationships/hyperlink" Target="http://praxy.ai" TargetMode="External"/><Relationship  Id="rId8298" Type="http://schemas.openxmlformats.org/officeDocument/2006/relationships/hyperlink" Target="http://www.linkedin.com/in/maximecavrois" TargetMode="External"/><Relationship  Id="rId8299" Type="http://schemas.openxmlformats.org/officeDocument/2006/relationships/hyperlink" Target="http://www.praxysante.fr" TargetMode="External"/><Relationship  Id="rId83" Type="http://schemas.openxmlformats.org/officeDocument/2006/relationships/hyperlink" Target="http://www.petitcomite.fr" TargetMode="External"/><Relationship  Id="rId830" Type="http://schemas.openxmlformats.org/officeDocument/2006/relationships/hyperlink" Target="http://www.exclusivelyyours-paris.com" TargetMode="External"/><Relationship  Id="rId8300" Type="http://schemas.openxmlformats.org/officeDocument/2006/relationships/hyperlink" Target="http://www.linkedin.com/in/emmanuelaires" TargetMode="External"/><Relationship  Id="rId8301" Type="http://schemas.openxmlformats.org/officeDocument/2006/relationships/hyperlink" Target="http://www.invent-app.com" TargetMode="External"/><Relationship  Id="rId8302" Type="http://schemas.openxmlformats.org/officeDocument/2006/relationships/hyperlink" Target="http://www.linkedin.com/in/pierre-maret-63967b1a7" TargetMode="External"/><Relationship  Id="rId8303" Type="http://schemas.openxmlformats.org/officeDocument/2006/relationships/hyperlink" Target="http://www.the-qa-company.com" TargetMode="External"/><Relationship  Id="rId8304" Type="http://schemas.openxmlformats.org/officeDocument/2006/relationships/hyperlink" Target="http://www.linkedin.com/in/pierre-courtiol-443003135" TargetMode="External"/><Relationship  Id="rId8305" Type="http://schemas.openxmlformats.org/officeDocument/2006/relationships/hyperlink" Target="http://www.comand.ai" TargetMode="External"/><Relationship  Id="rId8306" Type="http://schemas.openxmlformats.org/officeDocument/2006/relationships/hyperlink" Target="http://www.linkedin.com/in/aymen-mechria-0889391b3" TargetMode="External"/><Relationship  Id="rId8307" Type="http://schemas.openxmlformats.org/officeDocument/2006/relationships/hyperlink" Target="http://www.morinaco.com" TargetMode="External"/><Relationship  Id="rId8308" Type="http://schemas.openxmlformats.org/officeDocument/2006/relationships/hyperlink" Target="http://www.linkedin.com/in/romain-bovyn-89785a73" TargetMode="External"/><Relationship  Id="rId8309" Type="http://schemas.openxmlformats.org/officeDocument/2006/relationships/hyperlink" Target="http://www.conjecto.com" TargetMode="External"/><Relationship  Id="rId831" Type="http://schemas.openxmlformats.org/officeDocument/2006/relationships/hyperlink" Target="http://www.linkedin.com/in/laurent-coplet-b90603" TargetMode="External"/><Relationship  Id="rId8310" Type="http://schemas.openxmlformats.org/officeDocument/2006/relationships/hyperlink" Target="http://www.linkedin.com/in/alexis-paulet-183a4838" TargetMode="External"/><Relationship  Id="rId8311" Type="http://schemas.openxmlformats.org/officeDocument/2006/relationships/hyperlink" Target="http://www.3vfinance.com" TargetMode="External"/><Relationship  Id="rId8312" Type="http://schemas.openxmlformats.org/officeDocument/2006/relationships/hyperlink" Target="http://www.linkedin.com/in/ossadvocate" TargetMode="External"/><Relationship  Id="rId8313" Type="http://schemas.openxmlformats.org/officeDocument/2006/relationships/hyperlink" Target="http://www.loxodata.com" TargetMode="External"/><Relationship  Id="rId8314" Type="http://schemas.openxmlformats.org/officeDocument/2006/relationships/hyperlink" Target="http://www.linkedin.com/in/bricechapignac" TargetMode="External"/><Relationship  Id="rId8315" Type="http://schemas.openxmlformats.org/officeDocument/2006/relationships/hyperlink" Target="http://www.squadeasy.com" TargetMode="External"/><Relationship  Id="rId8316" Type="http://schemas.openxmlformats.org/officeDocument/2006/relationships/hyperlink" Target="http://www.linkedin.com/in/stephaniebironauxodynamics" TargetMode="External"/><Relationship  Id="rId8317" Type="http://schemas.openxmlformats.org/officeDocument/2006/relationships/hyperlink" Target="http://www.auxodynamics.fr" TargetMode="External"/><Relationship  Id="rId8318" Type="http://schemas.openxmlformats.org/officeDocument/2006/relationships/hyperlink" Target="http://www.linkedin.com/in/l%c3%a9o-poitout-12945765" TargetMode="External"/><Relationship  Id="rId8319" Type="http://schemas.openxmlformats.org/officeDocument/2006/relationships/hyperlink" Target="http://www.resalib.fr" TargetMode="External"/><Relationship  Id="rId832" Type="http://schemas.openxmlformats.org/officeDocument/2006/relationships/hyperlink" Target="http://www.tripltrip.com" TargetMode="External"/><Relationship  Id="rId8320" Type="http://schemas.openxmlformats.org/officeDocument/2006/relationships/hyperlink" Target="http://www.linkedin.com/in/stephaneassuid" TargetMode="External"/><Relationship  Id="rId8321" Type="http://schemas.openxmlformats.org/officeDocument/2006/relationships/hyperlink" Target="http://www.one-prepaid.com" TargetMode="External"/><Relationship  Id="rId8322" Type="http://schemas.openxmlformats.org/officeDocument/2006/relationships/hyperlink" Target="http://www.linkedin.com/in/beno%c3%aet-thouvenin-0321771b" TargetMode="External"/><Relationship  Id="rId8323" Type="http://schemas.openxmlformats.org/officeDocument/2006/relationships/hyperlink" Target="http://www.skidata.com" TargetMode="External"/><Relationship  Id="rId8324" Type="http://schemas.openxmlformats.org/officeDocument/2006/relationships/hyperlink" Target="http://www.linkedin.com/in/maitreconfiseur" TargetMode="External"/><Relationship  Id="rId8325" Type="http://schemas.openxmlformats.org/officeDocument/2006/relationships/hyperlink" Target="http://www.macaron.ai" TargetMode="External"/><Relationship  Id="rId8326" Type="http://schemas.openxmlformats.org/officeDocument/2006/relationships/hyperlink" Target="http://www.linkedin.com/in/ejulian" TargetMode="External"/><Relationship  Id="rId8327" Type="http://schemas.openxmlformats.org/officeDocument/2006/relationships/hyperlink" Target="http://www.finelog-biseum.com" TargetMode="External"/><Relationship  Id="rId8328" Type="http://schemas.openxmlformats.org/officeDocument/2006/relationships/hyperlink" Target="http://www.linkedin.com/in/cl%c3%a9ment-devaux-839167107" TargetMode="External"/><Relationship  Id="rId8329" Type="http://schemas.openxmlformats.org/officeDocument/2006/relationships/hyperlink" Target="http://www.balsamiq.com" TargetMode="External"/><Relationship  Id="rId833" Type="http://schemas.openxmlformats.org/officeDocument/2006/relationships/hyperlink" Target="http://www.linkedin.com/in/pierre-renauld-5a177295" TargetMode="External"/><Relationship  Id="rId8330" Type="http://schemas.openxmlformats.org/officeDocument/2006/relationships/hyperlink" Target="http://www.linkedin.com/in/plj" TargetMode="External"/><Relationship  Id="rId8331" Type="http://schemas.openxmlformats.org/officeDocument/2006/relationships/hyperlink" Target="http://www.seira-formation.fr" TargetMode="External"/><Relationship  Id="rId8332" Type="http://schemas.openxmlformats.org/officeDocument/2006/relationships/hyperlink" Target="http://www.linkedin.com/in/christophe-buret-89603490" TargetMode="External"/><Relationship  Id="rId8333" Type="http://schemas.openxmlformats.org/officeDocument/2006/relationships/hyperlink" Target="http://www.starton.com" TargetMode="External"/><Relationship  Id="rId8334" Type="http://schemas.openxmlformats.org/officeDocument/2006/relationships/hyperlink" Target="http://www.linkedin.com/in/fabien-gavory-30181065" TargetMode="External"/><Relationship  Id="rId8335" Type="http://schemas.openxmlformats.org/officeDocument/2006/relationships/hyperlink" Target="http://www.neuronalys.ai" TargetMode="External"/><Relationship  Id="rId8336" Type="http://schemas.openxmlformats.org/officeDocument/2006/relationships/hyperlink" Target="http://www.linkedin.com/in/leviviana" TargetMode="External"/><Relationship  Id="rId8337" Type="http://schemas.openxmlformats.org/officeDocument/2006/relationships/hyperlink" Target="http://www.linkedin.com/in/erwan-corre-15859310a" TargetMode="External"/><Relationship  Id="rId8338" Type="http://schemas.openxmlformats.org/officeDocument/2006/relationships/hyperlink" Target="http://www.miraitech.fr" TargetMode="External"/><Relationship  Id="rId8339" Type="http://schemas.openxmlformats.org/officeDocument/2006/relationships/hyperlink" Target="http://www.linkedin.com/in/aguerra-expert-ia-powerplatform" TargetMode="External"/><Relationship  Id="rId834" Type="http://schemas.openxmlformats.org/officeDocument/2006/relationships/hyperlink" Target="http://www.228litres.fr" TargetMode="External"/><Relationship  Id="rId8340" Type="http://schemas.openxmlformats.org/officeDocument/2006/relationships/hyperlink" Target="http://www.kalify.fr" TargetMode="External"/><Relationship  Id="rId8341" Type="http://schemas.openxmlformats.org/officeDocument/2006/relationships/hyperlink" Target="http://www.linkedin.com/in/j%c3%a9r%c3%a9mie-fraudeau-b0495882" TargetMode="External"/><Relationship  Id="rId8342" Type="http://schemas.openxmlformats.org/officeDocument/2006/relationships/hyperlink" Target="http://www.aletiq.com" TargetMode="External"/><Relationship  Id="rId8343" Type="http://schemas.openxmlformats.org/officeDocument/2006/relationships/hyperlink" Target="http://www.linkedin.com/in/odin-d-esg-data-africa" TargetMode="External"/><Relationship  Id="rId8344" Type="http://schemas.openxmlformats.org/officeDocument/2006/relationships/hyperlink" Target="http://www.toumai-voice-analytics.com" TargetMode="External"/><Relationship  Id="rId8345" Type="http://schemas.openxmlformats.org/officeDocument/2006/relationships/hyperlink" Target="http://www.linkedin.com/in/brucepacome" TargetMode="External"/><Relationship  Id="rId8346" Type="http://schemas.openxmlformats.org/officeDocument/2006/relationships/hyperlink" Target="http://www.panoptes-fr.com" TargetMode="External"/><Relationship  Id="rId8347" Type="http://schemas.openxmlformats.org/officeDocument/2006/relationships/hyperlink" Target="http://www.linkedin.com/in/gilles-seghaier" TargetMode="External"/><Relationship  Id="rId8348" Type="http://schemas.openxmlformats.org/officeDocument/2006/relationships/hyperlink" Target="http://www.astran.io" TargetMode="External"/><Relationship  Id="rId8349" Type="http://schemas.openxmlformats.org/officeDocument/2006/relationships/hyperlink" Target="http://www.linkedin.com/in/jordan-anisset-472972164" TargetMode="External"/><Relationship  Id="rId835" Type="http://schemas.openxmlformats.org/officeDocument/2006/relationships/hyperlink" Target="http://www.linkedin.com/in/pierregrimaldi" TargetMode="External"/><Relationship  Id="rId8350" Type="http://schemas.openxmlformats.org/officeDocument/2006/relationships/hyperlink" Target="http://www.majoby.fr" TargetMode="External"/><Relationship  Id="rId8351" Type="http://schemas.openxmlformats.org/officeDocument/2006/relationships/hyperlink" Target="http://www.linkedin.com/in/alex-dc" TargetMode="External"/><Relationship  Id="rId8352" Type="http://schemas.openxmlformats.org/officeDocument/2006/relationships/hyperlink" Target="http://www.linkedin.com/in/daniel-luedemann-178ba233" TargetMode="External"/><Relationship  Id="rId8353" Type="http://schemas.openxmlformats.org/officeDocument/2006/relationships/hyperlink" Target="http://www.teractys.fr" TargetMode="External"/><Relationship  Id="rId8354" Type="http://schemas.openxmlformats.org/officeDocument/2006/relationships/hyperlink" Target="http://www.linkedin.com/in/mourad-aissou-75709722" TargetMode="External"/><Relationship  Id="rId8355" Type="http://schemas.openxmlformats.org/officeDocument/2006/relationships/hyperlink" Target="http://www.zsoft-consulting.com" TargetMode="External"/><Relationship  Id="rId8356" Type="http://schemas.openxmlformats.org/officeDocument/2006/relationships/hyperlink" Target="http://www.linkedin.com/in/franck-avenel-05978b1" TargetMode="External"/><Relationship  Id="rId8357" Type="http://schemas.openxmlformats.org/officeDocument/2006/relationships/hyperlink" Target="http://www.data-observer.com" TargetMode="External"/><Relationship  Id="rId8358" Type="http://schemas.openxmlformats.org/officeDocument/2006/relationships/hyperlink" Target="http://www.linkedin.com/in/%c3%a7%c4%b1nar-foto-6b850031" TargetMode="External"/><Relationship  Id="rId8359" Type="http://schemas.openxmlformats.org/officeDocument/2006/relationships/hyperlink" Target="http://www.frank.com.tr" TargetMode="External"/><Relationship  Id="rId836" Type="http://schemas.openxmlformats.org/officeDocument/2006/relationships/hyperlink" Target="http://www.comdeshotels.fr" TargetMode="External"/><Relationship  Id="rId8360" Type="http://schemas.openxmlformats.org/officeDocument/2006/relationships/hyperlink" Target="http://www.linkedin.com/in/hicham-el-mansouri-7644667" TargetMode="External"/><Relationship  Id="rId8361" Type="http://schemas.openxmlformats.org/officeDocument/2006/relationships/hyperlink" Target="http://www.gridmate.io" TargetMode="External"/><Relationship  Id="rId8362" Type="http://schemas.openxmlformats.org/officeDocument/2006/relationships/hyperlink" Target="http://www.linkedin.com/in/pauloudiz" TargetMode="External"/><Relationship  Id="rId8363" Type="http://schemas.openxmlformats.org/officeDocument/2006/relationships/hyperlink" Target="http://www.twyce.fr" TargetMode="External"/><Relationship  Id="rId8364" Type="http://schemas.openxmlformats.org/officeDocument/2006/relationships/hyperlink" Target="http://www.linkedin.com/in/eric-barth%c3%a9l%c3%a9my-viaxoft" TargetMode="External"/><Relationship  Id="rId8365" Type="http://schemas.openxmlformats.org/officeDocument/2006/relationships/hyperlink" Target="http://www.viaxoft.com" TargetMode="External"/><Relationship  Id="rId8366" Type="http://schemas.openxmlformats.org/officeDocument/2006/relationships/hyperlink" Target="http://www.linkedin.com/in/boudis" TargetMode="External"/><Relationship  Id="rId8367" Type="http://schemas.openxmlformats.org/officeDocument/2006/relationships/hyperlink" Target="http://www.kolabs.fr" TargetMode="External"/><Relationship  Id="rId8368" Type="http://schemas.openxmlformats.org/officeDocument/2006/relationships/hyperlink" Target="http://www.linkedin.com/in/guillaume-karcher-9357001" TargetMode="External"/><Relationship  Id="rId8369" Type="http://schemas.openxmlformats.org/officeDocument/2006/relationships/hyperlink" Target="http://www.linkedin.com/in/h%c3%a9l%c3%a8ne-maniquant-a78b3a106" TargetMode="External"/><Relationship  Id="rId837" Type="http://schemas.openxmlformats.org/officeDocument/2006/relationships/hyperlink" Target="http://www.linkedin.com/in/pierre-yves-le-bouder-8028012" TargetMode="External"/><Relationship  Id="rId8370" Type="http://schemas.openxmlformats.org/officeDocument/2006/relationships/hyperlink" Target="http://www.escapegameenligne.com" TargetMode="External"/><Relationship  Id="rId8371" Type="http://schemas.openxmlformats.org/officeDocument/2006/relationships/hyperlink" Target="http://www.linkedin.com/in/jphuon" TargetMode="External"/><Relationship  Id="rId8372" Type="http://schemas.openxmlformats.org/officeDocument/2006/relationships/hyperlink" Target="http://www.linkedin.com/in/yahyajarraya" TargetMode="External"/><Relationship  Id="rId8373" Type="http://schemas.openxmlformats.org/officeDocument/2006/relationships/hyperlink" Target="http://www.linkedin.com/in/christophegorand" TargetMode="External"/><Relationship  Id="rId8374" Type="http://schemas.openxmlformats.org/officeDocument/2006/relationships/hyperlink" Target="http://www.maya-consulting.com" TargetMode="External"/><Relationship  Id="rId8375" Type="http://schemas.openxmlformats.org/officeDocument/2006/relationships/hyperlink" Target="http://www.linkedin.com/in/christophe-cressend-4660224" TargetMode="External"/><Relationship  Id="rId8376" Type="http://schemas.openxmlformats.org/officeDocument/2006/relationships/hyperlink" Target="http://www.agilitest.com" TargetMode="External"/><Relationship  Id="rId8377" Type="http://schemas.openxmlformats.org/officeDocument/2006/relationships/hyperlink" Target="http://www.linkedin.com/in/matthieu-barbillat-27a89513" TargetMode="External"/><Relationship  Id="rId8378" Type="http://schemas.openxmlformats.org/officeDocument/2006/relationships/hyperlink" Target="http://www.gathering-tools.com" TargetMode="External"/><Relationship  Id="rId8379" Type="http://schemas.openxmlformats.org/officeDocument/2006/relationships/hyperlink" Target="http://www.linkedin.com/in/florian-lemaire-jetdev" TargetMode="External"/><Relationship  Id="rId838" Type="http://schemas.openxmlformats.org/officeDocument/2006/relationships/hyperlink" Target="http://www.linkedin.com/in/sophie-dumas-a169a81a5" TargetMode="External"/><Relationship  Id="rId8380" Type="http://schemas.openxmlformats.org/officeDocument/2006/relationships/hyperlink" Target="http://www.jetdev.fr" TargetMode="External"/><Relationship  Id="rId8381" Type="http://schemas.openxmlformats.org/officeDocument/2006/relationships/hyperlink" Target="http://www.linkedin.com/in/ronan-gourlay-9013a7114" TargetMode="External"/><Relationship  Id="rId8382" Type="http://schemas.openxmlformats.org/officeDocument/2006/relationships/hyperlink" Target="http://www.imagina.com" TargetMode="External"/><Relationship  Id="rId8383" Type="http://schemas.openxmlformats.org/officeDocument/2006/relationships/hyperlink" Target="http://www.linkedin.com/in/paul-santini" TargetMode="External"/><Relationship  Id="rId8384" Type="http://schemas.openxmlformats.org/officeDocument/2006/relationships/hyperlink" Target="http://www.delpha.io" TargetMode="External"/><Relationship  Id="rId8385" Type="http://schemas.openxmlformats.org/officeDocument/2006/relationships/hyperlink" Target="http://www.linkedin.com/in/mark-sheehan-904a2431" TargetMode="External"/><Relationship  Id="rId8386" Type="http://schemas.openxmlformats.org/officeDocument/2006/relationships/hyperlink" Target="http://www.linkedin.com/in/khalid-cha%c3%afb-48b429165" TargetMode="External"/><Relationship  Id="rId8387" Type="http://schemas.openxmlformats.org/officeDocument/2006/relationships/hyperlink" Target="http://www.linkedin.com/in/olivier-vaugrenard-3332a7" TargetMode="External"/><Relationship  Id="rId8388" Type="http://schemas.openxmlformats.org/officeDocument/2006/relationships/hyperlink" Target="http://www.netmetrix-france.fr" TargetMode="External"/><Relationship  Id="rId8389" Type="http://schemas.openxmlformats.org/officeDocument/2006/relationships/hyperlink" Target="http://www.linkedin.com/in/adrien-jelic-5a0a0914" TargetMode="External"/><Relationship  Id="rId839" Type="http://schemas.openxmlformats.org/officeDocument/2006/relationships/hyperlink" Target="http://www.lacdes3vallees.fr" TargetMode="External"/><Relationship  Id="rId8390" Type="http://schemas.openxmlformats.org/officeDocument/2006/relationships/hyperlink" Target="http://www.agenium.com" TargetMode="External"/><Relationship  Id="rId8391" Type="http://schemas.openxmlformats.org/officeDocument/2006/relationships/hyperlink" Target="http://www.linkedin.com/in/rihab-l-085182164" TargetMode="External"/><Relationship  Id="rId8392" Type="http://schemas.openxmlformats.org/officeDocument/2006/relationships/hyperlink" Target="http://www.asendia.ai" TargetMode="External"/><Relationship  Id="rId8393" Type="http://schemas.openxmlformats.org/officeDocument/2006/relationships/hyperlink" Target="http://www.linkedin.com/in/guillaume-m" TargetMode="External"/><Relationship  Id="rId8394" Type="http://schemas.openxmlformats.org/officeDocument/2006/relationships/hyperlink" Target="http://www.leasi.io" TargetMode="External"/><Relationship  Id="rId8395" Type="http://schemas.openxmlformats.org/officeDocument/2006/relationships/hyperlink" Target="http://www.linkedin.com/in/st%c3%a9phane-penlae-69790383" TargetMode="External"/><Relationship  Id="rId8396" Type="http://schemas.openxmlformats.org/officeDocument/2006/relationships/hyperlink" Target="http://www.viasatconnect.fr" TargetMode="External"/><Relationship  Id="rId8397" Type="http://schemas.openxmlformats.org/officeDocument/2006/relationships/hyperlink" Target="http://www.linkedin.com/in/lise-pimard" TargetMode="External"/><Relationship  Id="rId8398" Type="http://schemas.openxmlformats.org/officeDocument/2006/relationships/hyperlink" Target="http://www.agrume.fr" TargetMode="External"/><Relationship  Id="rId8399" Type="http://schemas.openxmlformats.org/officeDocument/2006/relationships/hyperlink" Target="http://www.linkedin.com/in/hbakri" TargetMode="External"/><Relationship  Id="rId84" Type="http://schemas.openxmlformats.org/officeDocument/2006/relationships/hyperlink" Target="http://www.linkedin.com/in/ath%c3%a9na%c3%afs-hersi-50549a72" TargetMode="External"/><Relationship  Id="rId840" Type="http://schemas.openxmlformats.org/officeDocument/2006/relationships/hyperlink" Target="http://www.linkedin.com/in/csanmiguel64" TargetMode="External"/><Relationship  Id="rId8400" Type="http://schemas.openxmlformats.org/officeDocument/2006/relationships/hyperlink" Target="http://www.picsellia.com" TargetMode="External"/><Relationship  Id="rId8401" Type="http://schemas.openxmlformats.org/officeDocument/2006/relationships/hyperlink" Target="http://www.linkedin.com/in/julien-vollmar-4a033984" TargetMode="External"/><Relationship  Id="rId8402" Type="http://schemas.openxmlformats.org/officeDocument/2006/relationships/hyperlink" Target="http://www.meedz.io" TargetMode="External"/><Relationship  Id="rId8403" Type="http://schemas.openxmlformats.org/officeDocument/2006/relationships/hyperlink" Target="http://www.linkedin.com/in/nbodrefaux" TargetMode="External"/><Relationship  Id="rId8404" Type="http://schemas.openxmlformats.org/officeDocument/2006/relationships/hyperlink" Target="http://www.lyance.com" TargetMode="External"/><Relationship  Id="rId8405" Type="http://schemas.openxmlformats.org/officeDocument/2006/relationships/hyperlink" Target="http://www.linkedin.com/in/eligny" TargetMode="External"/><Relationship  Id="rId8406" Type="http://schemas.openxmlformats.org/officeDocument/2006/relationships/hyperlink" Target="http://www.letxbe.ai" TargetMode="External"/><Relationship  Id="rId8407" Type="http://schemas.openxmlformats.org/officeDocument/2006/relationships/hyperlink" Target="http://www.linkedin.com/in/romain-noel-79b1784" TargetMode="External"/><Relationship  Id="rId8408" Type="http://schemas.openxmlformats.org/officeDocument/2006/relationships/hyperlink" Target="http://www.henley.fr" TargetMode="External"/><Relationship  Id="rId8409" Type="http://schemas.openxmlformats.org/officeDocument/2006/relationships/hyperlink" Target="http://www.linkedin.com/in/nico-bel-742a351" TargetMode="External"/><Relationship  Id="rId841" Type="http://schemas.openxmlformats.org/officeDocument/2006/relationships/hyperlink" Target="http://www.kingmarcel.fr" TargetMode="External"/><Relationship  Id="rId8410" Type="http://schemas.openxmlformats.org/officeDocument/2006/relationships/hyperlink" Target="http://www.piwwop.com" TargetMode="External"/><Relationship  Id="rId8411" Type="http://schemas.openxmlformats.org/officeDocument/2006/relationships/hyperlink" Target="http://www.linkedin.com/in/c%c3%a9dric-gaury-147a5845" TargetMode="External"/><Relationship  Id="rId8412" Type="http://schemas.openxmlformats.org/officeDocument/2006/relationships/hyperlink" Target="http://www.metapolis.fr" TargetMode="External"/><Relationship  Id="rId8413" Type="http://schemas.openxmlformats.org/officeDocument/2006/relationships/hyperlink" Target="http://www.linkedin.com/in/vincent-berlioz-a1b2607" TargetMode="External"/><Relationship  Id="rId8414" Type="http://schemas.openxmlformats.org/officeDocument/2006/relationships/hyperlink" Target="http://www.manzalab.com" TargetMode="External"/><Relationship  Id="rId8415" Type="http://schemas.openxmlformats.org/officeDocument/2006/relationships/hyperlink" Target="http://www.linkedin.com/in/saad-dakdouki-36b9b360" TargetMode="External"/><Relationship  Id="rId8416" Type="http://schemas.openxmlformats.org/officeDocument/2006/relationships/hyperlink" Target="http://www.everwise.fr" TargetMode="External"/><Relationship  Id="rId8417" Type="http://schemas.openxmlformats.org/officeDocument/2006/relationships/hyperlink" Target="http://www.linkedin.com/in/louissondeck" TargetMode="External"/><Relationship  Id="rId8418" Type="http://schemas.openxmlformats.org/officeDocument/2006/relationships/hyperlink" Target="http://www.cleveridentity.fr" TargetMode="External"/><Relationship  Id="rId8419" Type="http://schemas.openxmlformats.org/officeDocument/2006/relationships/hyperlink" Target="http://www.linkedin.com/in/dcoignet" TargetMode="External"/><Relationship  Id="rId842" Type="http://schemas.openxmlformats.org/officeDocument/2006/relationships/hyperlink" Target="http://www.linkedin.com/in/boris-fabre-08162825" TargetMode="External"/><Relationship  Id="rId8420" Type="http://schemas.openxmlformats.org/officeDocument/2006/relationships/hyperlink" Target="http://www.dg4sales.com" TargetMode="External"/><Relationship  Id="rId8421" Type="http://schemas.openxmlformats.org/officeDocument/2006/relationships/hyperlink" Target="http://www.linkedin.com/in/marina-reeva-07432a24" TargetMode="External"/><Relationship  Id="rId8422" Type="http://schemas.openxmlformats.org/officeDocument/2006/relationships/hyperlink" Target="http://www.wizya.fr" TargetMode="External"/><Relationship  Id="rId8423" Type="http://schemas.openxmlformats.org/officeDocument/2006/relationships/hyperlink" Target="http://www.linkedin.com/in/alexandre-royet-794441135" TargetMode="External"/><Relationship  Id="rId8424" Type="http://schemas.openxmlformats.org/officeDocument/2006/relationships/hyperlink" Target="http://www.logipro.com" TargetMode="External"/><Relationship  Id="rId8425" Type="http://schemas.openxmlformats.org/officeDocument/2006/relationships/hyperlink" Target="http://www.linkedin.com/in/kalyx" TargetMode="External"/><Relationship  Id="rId8426" Type="http://schemas.openxmlformats.org/officeDocument/2006/relationships/hyperlink" Target="http://www.united-vr.com" TargetMode="External"/><Relationship  Id="rId8427" Type="http://schemas.openxmlformats.org/officeDocument/2006/relationships/hyperlink" Target="http://www.linkedin.com/in/gaspard-bashala" TargetMode="External"/><Relationship  Id="rId8428" Type="http://schemas.openxmlformats.org/officeDocument/2006/relationships/hyperlink" Target="http://www.flexstartit.com" TargetMode="External"/><Relationship  Id="rId8429" Type="http://schemas.openxmlformats.org/officeDocument/2006/relationships/hyperlink" Target="http://www.linkedin.com/in/philippe-petesch" TargetMode="External"/><Relationship  Id="rId843" Type="http://schemas.openxmlformats.org/officeDocument/2006/relationships/hyperlink" Target="http://www.ensuite.fr" TargetMode="External"/><Relationship  Id="rId8430" Type="http://schemas.openxmlformats.org/officeDocument/2006/relationships/hyperlink" Target="http://www.dephilmain.com" TargetMode="External"/><Relationship  Id="rId8431" Type="http://schemas.openxmlformats.org/officeDocument/2006/relationships/hyperlink" Target="http://www.linkedin.com/in/romaintrevisiol" TargetMode="External"/><Relationship  Id="rId8432" Type="http://schemas.openxmlformats.org/officeDocument/2006/relationships/hyperlink" Target="http://www.neoteem.fr" TargetMode="External"/><Relationship  Id="rId8433" Type="http://schemas.openxmlformats.org/officeDocument/2006/relationships/hyperlink" Target="http://www.linkedin.com/in/mohamed-djerrab-9a4944167" TargetMode="External"/><Relationship  Id="rId8434" Type="http://schemas.openxmlformats.org/officeDocument/2006/relationships/hyperlink" Target="http://www.linkedin.com/in/g%c3%a9rald-pereira-10464056" TargetMode="External"/><Relationship  Id="rId8435" Type="http://schemas.openxmlformats.org/officeDocument/2006/relationships/hyperlink" Target="http://www.linkedin.com/in/marcperivier" TargetMode="External"/><Relationship  Id="rId8436" Type="http://schemas.openxmlformats.org/officeDocument/2006/relationships/hyperlink" Target="http://www.bridgentech.com" TargetMode="External"/><Relationship  Id="rId8437" Type="http://schemas.openxmlformats.org/officeDocument/2006/relationships/hyperlink" Target="http://www.linkedin.com/in/hugo-mauchamp" TargetMode="External"/><Relationship  Id="rId8438" Type="http://schemas.openxmlformats.org/officeDocument/2006/relationships/hyperlink" Target="http://www.huddleclub.co" TargetMode="External"/><Relationship  Id="rId8439" Type="http://schemas.openxmlformats.org/officeDocument/2006/relationships/hyperlink" Target="http://www.linkedin.com/in/nathaniel-heymann-6599256b" TargetMode="External"/><Relationship  Id="rId844" Type="http://schemas.openxmlformats.org/officeDocument/2006/relationships/hyperlink" Target="http://www.linkedin.com/in/chrystelle-marin-b10503207" TargetMode="External"/><Relationship  Id="rId8440" Type="http://schemas.openxmlformats.org/officeDocument/2006/relationships/hyperlink" Target="http://www.cywyc.fr" TargetMode="External"/><Relationship  Id="rId8441" Type="http://schemas.openxmlformats.org/officeDocument/2006/relationships/hyperlink" Target="http://www.linkedin.com/in/oscalabre" TargetMode="External"/><Relationship  Id="rId8442" Type="http://schemas.openxmlformats.org/officeDocument/2006/relationships/hyperlink" Target="http://www.vigilens.com" TargetMode="External"/><Relationship  Id="rId8443" Type="http://schemas.openxmlformats.org/officeDocument/2006/relationships/hyperlink" Target="http://www.linkedin.com/in/cosmin-molea-18925083" TargetMode="External"/><Relationship  Id="rId8444" Type="http://schemas.openxmlformats.org/officeDocument/2006/relationships/hyperlink" Target="http://www.docugenerate.com" TargetMode="External"/><Relationship  Id="rId8445" Type="http://schemas.openxmlformats.org/officeDocument/2006/relationships/hyperlink" Target="http://www.linkedin.com/in/r%c3%a9mi-ferrier-a659372b" TargetMode="External"/><Relationship  Id="rId8446" Type="http://schemas.openxmlformats.org/officeDocument/2006/relationships/hyperlink" Target="http://www.webxy.com" TargetMode="External"/><Relationship  Id="rId8447" Type="http://schemas.openxmlformats.org/officeDocument/2006/relationships/hyperlink" Target="http://www.linkedin.com/in/virginie-cremer" TargetMode="External"/><Relationship  Id="rId8448" Type="http://schemas.openxmlformats.org/officeDocument/2006/relationships/hyperlink" Target="http://www.altam.fr" TargetMode="External"/><Relationship  Id="rId8449" Type="http://schemas.openxmlformats.org/officeDocument/2006/relationships/hyperlink" Target="http://www.linkedin.com/in/gerardtoko" TargetMode="External"/><Relationship  Id="rId845" Type="http://schemas.openxmlformats.org/officeDocument/2006/relationships/hyperlink" Target="http://www.kokoko.fr" TargetMode="External"/><Relationship  Id="rId8450" Type="http://schemas.openxmlformats.org/officeDocument/2006/relationships/hyperlink" Target="http://www.dataleon.ai" TargetMode="External"/><Relationship  Id="rId8451" Type="http://schemas.openxmlformats.org/officeDocument/2006/relationships/hyperlink" Target="http://www.linkedin.com/in/anthony-burille" TargetMode="External"/><Relationship  Id="rId8452" Type="http://schemas.openxmlformats.org/officeDocument/2006/relationships/hyperlink" Target="http://www.straton-plc.com" TargetMode="External"/><Relationship  Id="rId8453" Type="http://schemas.openxmlformats.org/officeDocument/2006/relationships/hyperlink" Target="http://www.linkedin.com/in/david-philip-labedays-511b642" TargetMode="External"/><Relationship  Id="rId8454" Type="http://schemas.openxmlformats.org/officeDocument/2006/relationships/hyperlink" Target="http://www.adesoft.com" TargetMode="External"/><Relationship  Id="rId8455" Type="http://schemas.openxmlformats.org/officeDocument/2006/relationships/hyperlink" Target="http://www.linkedin.com/in/vkgafarov" TargetMode="External"/><Relationship  Id="rId8456" Type="http://schemas.openxmlformats.org/officeDocument/2006/relationships/hyperlink" Target="http://www.linkedin.com/in/halim-mahdi-331b6434" TargetMode="External"/><Relationship  Id="rId8457" Type="http://schemas.openxmlformats.org/officeDocument/2006/relationships/hyperlink" Target="http://www.innov-bs.com" TargetMode="External"/><Relationship  Id="rId8458" Type="http://schemas.openxmlformats.org/officeDocument/2006/relationships/hyperlink" Target="http://www.linkedin.com/in/faycalmadani" TargetMode="External"/><Relationship  Id="rId8459" Type="http://schemas.openxmlformats.org/officeDocument/2006/relationships/hyperlink" Target="http://www.linkedin.com/in/fabio-mastroianni-2490b9150" TargetMode="External"/><Relationship  Id="rId846" Type="http://schemas.openxmlformats.org/officeDocument/2006/relationships/hyperlink" Target="http://www.linkedin.com/in/laurent-lamacchia-862baa161" TargetMode="External"/><Relationship  Id="rId8460" Type="http://schemas.openxmlformats.org/officeDocument/2006/relationships/hyperlink" Target="http://www.agyre.com" TargetMode="External"/><Relationship  Id="rId8461" Type="http://schemas.openxmlformats.org/officeDocument/2006/relationships/hyperlink" Target="http://www.linkedin.com/in/mohamad-traore" TargetMode="External"/><Relationship  Id="rId8462" Type="http://schemas.openxmlformats.org/officeDocument/2006/relationships/hyperlink" Target="http://www.ascitgroup.com" TargetMode="External"/><Relationship  Id="rId8463" Type="http://schemas.openxmlformats.org/officeDocument/2006/relationships/hyperlink" Target="http://www.linkedin.com/in/edouard-vaudour" TargetMode="External"/><Relationship  Id="rId8464" Type="http://schemas.openxmlformats.org/officeDocument/2006/relationships/hyperlink" Target="http://www.candide.com" TargetMode="External"/><Relationship  Id="rId8465" Type="http://schemas.openxmlformats.org/officeDocument/2006/relationships/hyperlink" Target="http://www.linkedin.com/in/pierre-liobard" TargetMode="External"/><Relationship  Id="rId8466" Type="http://schemas.openxmlformats.org/officeDocument/2006/relationships/hyperlink" Target="http://www.timeskipper.fr" TargetMode="External"/><Relationship  Id="rId8467" Type="http://schemas.openxmlformats.org/officeDocument/2006/relationships/hyperlink" Target="http://www.linkedin.com/in/thierrystiegler" TargetMode="External"/><Relationship  Id="rId8468" Type="http://schemas.openxmlformats.org/officeDocument/2006/relationships/hyperlink" Target="http://www.agoracalyce.com" TargetMode="External"/><Relationship  Id="rId8469" Type="http://schemas.openxmlformats.org/officeDocument/2006/relationships/hyperlink" Target="http://www.linkedin.com/in/hilaire-noubissi-phd-68335188" TargetMode="External"/><Relationship  Id="rId847" Type="http://schemas.openxmlformats.org/officeDocument/2006/relationships/hyperlink" Target="http://www.linkedin.com/in/julien-marin-b147b7194" TargetMode="External"/><Relationship  Id="rId8470" Type="http://schemas.openxmlformats.org/officeDocument/2006/relationships/hyperlink" Target="http://www.rhopen-consulting.eu" TargetMode="External"/><Relationship  Id="rId8471" Type="http://schemas.openxmlformats.org/officeDocument/2006/relationships/hyperlink" Target="http://www.linkedin.com/in/pierrecanard" TargetMode="External"/><Relationship  Id="rId8472" Type="http://schemas.openxmlformats.org/officeDocument/2006/relationships/hyperlink" Target="http://www.getnao.io" TargetMode="External"/><Relationship  Id="rId8473" Type="http://schemas.openxmlformats.org/officeDocument/2006/relationships/hyperlink" Target="http://www.linkedin.com/in/benoit-fazilleau-solusquare" TargetMode="External"/><Relationship  Id="rId8474" Type="http://schemas.openxmlformats.org/officeDocument/2006/relationships/hyperlink" Target="http://www.solusquare.com" TargetMode="External"/><Relationship  Id="rId8475" Type="http://schemas.openxmlformats.org/officeDocument/2006/relationships/hyperlink" Target="http://www.linkedin.com/in/vincent-petitcolin-2469696" TargetMode="External"/><Relationship  Id="rId8476" Type="http://schemas.openxmlformats.org/officeDocument/2006/relationships/hyperlink" Target="http://www.vehizen.com" TargetMode="External"/><Relationship  Id="rId8477" Type="http://schemas.openxmlformats.org/officeDocument/2006/relationships/hyperlink" Target="http://www.linkedin.com/in/florence-vialars-35b94a296" TargetMode="External"/><Relationship  Id="rId8478" Type="http://schemas.openxmlformats.org/officeDocument/2006/relationships/hyperlink" Target="http://www.atoutmajeurconcept.fr" TargetMode="External"/><Relationship  Id="rId8479" Type="http://schemas.openxmlformats.org/officeDocument/2006/relationships/hyperlink" Target="http://www.linkedin.com/in/marcwibaux" TargetMode="External"/><Relationship  Id="rId848" Type="http://schemas.openxmlformats.org/officeDocument/2006/relationships/hyperlink" Target="http://www.ecrinplage.com" TargetMode="External"/><Relationship  Id="rId8480" Type="http://schemas.openxmlformats.org/officeDocument/2006/relationships/hyperlink" Target="http://www.newsgene.com" TargetMode="External"/><Relationship  Id="rId8481" Type="http://schemas.openxmlformats.org/officeDocument/2006/relationships/hyperlink" Target="http://www.linkedin.com/in/denis-wavrant-29224224" TargetMode="External"/><Relationship  Id="rId8482" Type="http://schemas.openxmlformats.org/officeDocument/2006/relationships/hyperlink" Target="http://www.agence-lafab.fr" TargetMode="External"/><Relationship  Id="rId8483" Type="http://schemas.openxmlformats.org/officeDocument/2006/relationships/hyperlink" Target="http://www.linkedin.com/in/nicolas-sabatier-prediko" TargetMode="External"/><Relationship  Id="rId8484" Type="http://schemas.openxmlformats.org/officeDocument/2006/relationships/hyperlink" Target="http://www.prediko.io" TargetMode="External"/><Relationship  Id="rId8485" Type="http://schemas.openxmlformats.org/officeDocument/2006/relationships/hyperlink" Target="http://www.linkedin.com/in/grelisabeth" TargetMode="External"/><Relationship  Id="rId8486" Type="http://schemas.openxmlformats.org/officeDocument/2006/relationships/hyperlink" Target="http://www.pickmeup.fr" TargetMode="External"/><Relationship  Id="rId8487" Type="http://schemas.openxmlformats.org/officeDocument/2006/relationships/hyperlink" Target="http://tchek.ai" TargetMode="External"/><Relationship  Id="rId8488" Type="http://schemas.openxmlformats.org/officeDocument/2006/relationships/hyperlink" Target="http://www.linkedin.com/in/leachevry" TargetMode="External"/><Relationship  Id="rId8489" Type="http://schemas.openxmlformats.org/officeDocument/2006/relationships/hyperlink" Target="http://www.tchek.ai" TargetMode="External"/><Relationship  Id="rId849" Type="http://schemas.openxmlformats.org/officeDocument/2006/relationships/hyperlink" Target="http://www.linkedin.com/in/pierre-guerlou-692525140" TargetMode="External"/><Relationship  Id="rId8490" Type="http://schemas.openxmlformats.org/officeDocument/2006/relationships/hyperlink" Target="http://www.linkedin.com/in/jean-chenebault-a348ab9" TargetMode="External"/><Relationship  Id="rId8491" Type="http://schemas.openxmlformats.org/officeDocument/2006/relationships/hyperlink" Target="http://www.polestar.eu" TargetMode="External"/><Relationship  Id="rId8492" Type="http://schemas.openxmlformats.org/officeDocument/2006/relationships/hyperlink" Target="http://www.linkedin.com/in/thierry-despinoy-95219690" TargetMode="External"/><Relationship  Id="rId8493" Type="http://schemas.openxmlformats.org/officeDocument/2006/relationships/hyperlink" Target="http://www.docteursmart.fr" TargetMode="External"/><Relationship  Id="rId8494" Type="http://schemas.openxmlformats.org/officeDocument/2006/relationships/hyperlink" Target="http://skillmapper.ai" TargetMode="External"/><Relationship  Id="rId8495" Type="http://schemas.openxmlformats.org/officeDocument/2006/relationships/hyperlink" Target="http://www.linkedin.com/in/victor-sanchezch" TargetMode="External"/><Relationship  Id="rId8496" Type="http://schemas.openxmlformats.org/officeDocument/2006/relationships/hyperlink" Target="http://www.skillmapper.ai" TargetMode="External"/><Relationship  Id="rId8497" Type="http://schemas.openxmlformats.org/officeDocument/2006/relationships/hyperlink" Target="http://www.linkedin.com/in/frnrbt" TargetMode="External"/><Relationship  Id="rId8498" Type="http://schemas.openxmlformats.org/officeDocument/2006/relationships/hyperlink" Target="http://www.ondorse.co" TargetMode="External"/><Relationship  Id="rId8499" Type="http://schemas.openxmlformats.org/officeDocument/2006/relationships/hyperlink" Target="http://belive.ai" TargetMode="External"/><Relationship  Id="rId85" Type="http://schemas.openxmlformats.org/officeDocument/2006/relationships/hyperlink" Target="http://www.kestufai.fr" TargetMode="External"/><Relationship  Id="rId850" Type="http://schemas.openxmlformats.org/officeDocument/2006/relationships/hyperlink" Target="http://www.bds-restaurant.com" TargetMode="External"/><Relationship  Id="rId8500" Type="http://schemas.openxmlformats.org/officeDocument/2006/relationships/hyperlink" Target="http://www.linkedin.com/in/david-borakovic-63859670" TargetMode="External"/><Relationship  Id="rId8501" Type="http://schemas.openxmlformats.org/officeDocument/2006/relationships/hyperlink" Target="http://www.belive.ai" TargetMode="External"/><Relationship  Id="rId8502" Type="http://schemas.openxmlformats.org/officeDocument/2006/relationships/hyperlink" Target="http://www.linkedin.com/in/matthieu-barral" TargetMode="External"/><Relationship  Id="rId8503" Type="http://schemas.openxmlformats.org/officeDocument/2006/relationships/hyperlink" Target="http://www.linkedin.com/in/nicolas-zantour-2ab72aba" TargetMode="External"/><Relationship  Id="rId8504" Type="http://schemas.openxmlformats.org/officeDocument/2006/relationships/hyperlink" Target="http://www.dishop.co" TargetMode="External"/><Relationship  Id="rId8505" Type="http://schemas.openxmlformats.org/officeDocument/2006/relationships/hyperlink" Target="http://www.linkedin.com/in/gaelbonnardot" TargetMode="External"/><Relationship  Id="rId8506" Type="http://schemas.openxmlformats.org/officeDocument/2006/relationships/hyperlink" Target="http://www.linkedin.com/in/richard-broadbridge" TargetMode="External"/><Relationship  Id="rId8507" Type="http://schemas.openxmlformats.org/officeDocument/2006/relationships/hyperlink" Target="http://www.4dviews.com" TargetMode="External"/><Relationship  Id="rId8508" Type="http://schemas.openxmlformats.org/officeDocument/2006/relationships/hyperlink" Target="http://www.linkedin.com/in/mitchell-hall-0571456" TargetMode="External"/><Relationship  Id="rId8509" Type="http://schemas.openxmlformats.org/officeDocument/2006/relationships/hyperlink" Target="http://www.impacti.solutions" TargetMode="External"/><Relationship  Id="rId851" Type="http://schemas.openxmlformats.org/officeDocument/2006/relationships/hyperlink" Target="http://www.linkedin.com/in/louise-lardeyret-168a72135" TargetMode="External"/><Relationship  Id="rId8510" Type="http://schemas.openxmlformats.org/officeDocument/2006/relationships/hyperlink" Target="http://www.linkedin.com/in/nicolas-sebille-67a6011a" TargetMode="External"/><Relationship  Id="rId8511" Type="http://schemas.openxmlformats.org/officeDocument/2006/relationships/hyperlink" Target="http://www.e-labor.fr" TargetMode="External"/><Relationship  Id="rId8512" Type="http://schemas.openxmlformats.org/officeDocument/2006/relationships/hyperlink" Target="http://www.linkedin.com/in/violaine-iglesias-6a0a903" TargetMode="External"/><Relationship  Id="rId8513" Type="http://schemas.openxmlformats.org/officeDocument/2006/relationships/hyperlink" Target="http://www.cadmore.media" TargetMode="External"/><Relationship  Id="rId8514" Type="http://schemas.openxmlformats.org/officeDocument/2006/relationships/hyperlink" Target="http://www.linkedin.com/in/charles-degrassat-7688226a" TargetMode="External"/><Relationship  Id="rId8515" Type="http://schemas.openxmlformats.org/officeDocument/2006/relationships/hyperlink" Target="http://www.macartevacances.fr" TargetMode="External"/><Relationship  Id="rId8516" Type="http://schemas.openxmlformats.org/officeDocument/2006/relationships/hyperlink" Target="http://www.linkedin.com/in/jean-philippe-lesot-6633204" TargetMode="External"/><Relationship  Id="rId8517" Type="http://schemas.openxmlformats.org/officeDocument/2006/relationships/hyperlink" Target="http://www.oxygenit.io" TargetMode="External"/><Relationship  Id="rId8518" Type="http://schemas.openxmlformats.org/officeDocument/2006/relationships/hyperlink" Target="http://www.linkedin.com/in/sophie-ghilini-23b4389a" TargetMode="External"/><Relationship  Id="rId8519" Type="http://schemas.openxmlformats.org/officeDocument/2006/relationships/hyperlink" Target="http://www.alit.cloud" TargetMode="External"/><Relationship  Id="rId852" Type="http://schemas.openxmlformats.org/officeDocument/2006/relationships/hyperlink" Target="http://www.lequilibriste-lyon.fr" TargetMode="External"/><Relationship  Id="rId8520" Type="http://schemas.openxmlformats.org/officeDocument/2006/relationships/hyperlink" Target="http://www.linkedin.com/in/lamine-hadj-arab-3b390264" TargetMode="External"/><Relationship  Id="rId8521" Type="http://schemas.openxmlformats.org/officeDocument/2006/relationships/hyperlink" Target="http://www.linkedin.com/in/fr%c3%a9d%c3%a9ric-maurizot-048388b1" TargetMode="External"/><Relationship  Id="rId8522" Type="http://schemas.openxmlformats.org/officeDocument/2006/relationships/hyperlink" Target="http://www.atgp.net" TargetMode="External"/><Relationship  Id="rId8523" Type="http://schemas.openxmlformats.org/officeDocument/2006/relationships/hyperlink" Target="http://www.linkedin.com/in/giovanni-f-treccani-8143bb166" TargetMode="External"/><Relationship  Id="rId8524" Type="http://schemas.openxmlformats.org/officeDocument/2006/relationships/hyperlink" Target="http://www.amps-llc.com" TargetMode="External"/><Relationship  Id="rId8525" Type="http://schemas.openxmlformats.org/officeDocument/2006/relationships/hyperlink" Target="http://www.linkedin.com/in/ioana-sacqu%c3%a9p%c3%a9e-5b6137269" TargetMode="External"/><Relationship  Id="rId8526" Type="http://schemas.openxmlformats.org/officeDocument/2006/relationships/hyperlink" Target="http://www.jc-utt.fr" TargetMode="External"/><Relationship  Id="rId8527" Type="http://schemas.openxmlformats.org/officeDocument/2006/relationships/hyperlink" Target="http://www.linkedin.com/in/yblazart" TargetMode="External"/><Relationship  Id="rId8528" Type="http://schemas.openxmlformats.org/officeDocument/2006/relationships/hyperlink" Target="http://www.bytecodetechnologies.in" TargetMode="External"/><Relationship  Id="rId8529" Type="http://schemas.openxmlformats.org/officeDocument/2006/relationships/hyperlink" Target="http://www.linkedin.com/in/antoine-fournier-76257b4" TargetMode="External"/><Relationship  Id="rId853" Type="http://schemas.openxmlformats.org/officeDocument/2006/relationships/hyperlink" Target="http://www.linkedin.com/in/gwendoline-p%c3%a9durand-a5103150" TargetMode="External"/><Relationship  Id="rId8530" Type="http://schemas.openxmlformats.org/officeDocument/2006/relationships/hyperlink" Target="http://www.thesee-datacenter.com" TargetMode="External"/><Relationship  Id="rId8531" Type="http://schemas.openxmlformats.org/officeDocument/2006/relationships/hyperlink" Target="http://www.linkedin.com/in/cl%c3%a9ment-goyheneche-a7907838" TargetMode="External"/><Relationship  Id="rId8532" Type="http://schemas.openxmlformats.org/officeDocument/2006/relationships/hyperlink" Target="http://www.recruiter.house" TargetMode="External"/><Relationship  Id="rId8533" Type="http://schemas.openxmlformats.org/officeDocument/2006/relationships/hyperlink" Target="http://www.linkedin.com/in/sebastien-babouot-ba70b9139" TargetMode="External"/><Relationship  Id="rId8534" Type="http://schemas.openxmlformats.org/officeDocument/2006/relationships/hyperlink" Target="http://www.alphalaser.fr" TargetMode="External"/><Relationship  Id="rId8535" Type="http://schemas.openxmlformats.org/officeDocument/2006/relationships/hyperlink" Target="http://www.linkedin.com/in/cyril-moulin" TargetMode="External"/><Relationship  Id="rId8536" Type="http://schemas.openxmlformats.org/officeDocument/2006/relationships/hyperlink" Target="http://www.linkedin.com/in/florianchaux" TargetMode="External"/><Relationship  Id="rId8537" Type="http://schemas.openxmlformats.org/officeDocument/2006/relationships/hyperlink" Target="http://www.grimp.io" TargetMode="External"/><Relationship  Id="rId8538" Type="http://schemas.openxmlformats.org/officeDocument/2006/relationships/hyperlink" Target="http://www.linkedin.com/in/romain-raillot-36a580a6" TargetMode="External"/><Relationship  Id="rId8539" Type="http://schemas.openxmlformats.org/officeDocument/2006/relationships/hyperlink" Target="http://www.redlab.io" TargetMode="External"/><Relationship  Id="rId854" Type="http://schemas.openxmlformats.org/officeDocument/2006/relationships/hyperlink" Target="http://www.hoteletperformance.com" TargetMode="External"/><Relationship  Id="rId8540" Type="http://schemas.openxmlformats.org/officeDocument/2006/relationships/hyperlink" Target="http://www.linkedin.com/in/christophe-bezault-14092658" TargetMode="External"/><Relationship  Id="rId8541" Type="http://schemas.openxmlformats.org/officeDocument/2006/relationships/hyperlink" Target="http://www.atelier-av.net" TargetMode="External"/><Relationship  Id="rId8542" Type="http://schemas.openxmlformats.org/officeDocument/2006/relationships/hyperlink" Target="http://www.linkedin.com/in/faical-tahiri" TargetMode="External"/><Relationship  Id="rId8543" Type="http://schemas.openxmlformats.org/officeDocument/2006/relationships/hyperlink" Target="http://www.openbpo.com" TargetMode="External"/><Relationship  Id="rId8544" Type="http://schemas.openxmlformats.org/officeDocument/2006/relationships/hyperlink" Target="http://www.linkedin.com/in/yosrajarraya" TargetMode="External"/><Relationship  Id="rId8545" Type="http://schemas.openxmlformats.org/officeDocument/2006/relationships/hyperlink" Target="http://www.linkedin.com/in/romain-wilson-27899932" TargetMode="External"/><Relationship  Id="rId8546" Type="http://schemas.openxmlformats.org/officeDocument/2006/relationships/hyperlink" Target="http://www.rweb.fr" TargetMode="External"/><Relationship  Id="rId8547" Type="http://schemas.openxmlformats.org/officeDocument/2006/relationships/hyperlink" Target="http://www.linkedin.com/in/guillaume-becourt-398169b" TargetMode="External"/><Relationship  Id="rId8548" Type="http://schemas.openxmlformats.org/officeDocument/2006/relationships/hyperlink" Target="http://www.linkedin.com/in/geoffreypotoczny" TargetMode="External"/><Relationship  Id="rId8549" Type="http://schemas.openxmlformats.org/officeDocument/2006/relationships/hyperlink" Target="http://www.valuein.fr" TargetMode="External"/><Relationship  Id="rId855" Type="http://schemas.openxmlformats.org/officeDocument/2006/relationships/hyperlink" Target="http://www.linkedin.com/in/lucien-schmitt-26393522b" TargetMode="External"/><Relationship  Id="rId8550" Type="http://schemas.openxmlformats.org/officeDocument/2006/relationships/hyperlink" Target="http://www.linkedin.com/in/akselgungor" TargetMode="External"/><Relationship  Id="rId8551" Type="http://schemas.openxmlformats.org/officeDocument/2006/relationships/hyperlink" Target="http://www.acclaim.agency" TargetMode="External"/><Relationship  Id="rId8552" Type="http://schemas.openxmlformats.org/officeDocument/2006/relationships/hyperlink" Target="http://www.linkedin.com/in/damien-meurisse-b122114" TargetMode="External"/><Relationship  Id="rId8553" Type="http://schemas.openxmlformats.org/officeDocument/2006/relationships/hyperlink" Target="http://www.veesual.ai" TargetMode="External"/><Relationship  Id="rId8554" Type="http://schemas.openxmlformats.org/officeDocument/2006/relationships/hyperlink" Target="http://www.linkedin.com/in/lmperez" TargetMode="External"/><Relationship  Id="rId8555" Type="http://schemas.openxmlformats.org/officeDocument/2006/relationships/hyperlink" Target="http://www.linkedin.com/in/devylder-hugues-0128372" TargetMode="External"/><Relationship  Id="rId8556" Type="http://schemas.openxmlformats.org/officeDocument/2006/relationships/hyperlink" Target="http://www.fulldatamanagement.com" TargetMode="External"/><Relationship  Id="rId8557" Type="http://schemas.openxmlformats.org/officeDocument/2006/relationships/hyperlink" Target="http://scrubchart.ai" TargetMode="External"/><Relationship  Id="rId8558" Type="http://schemas.openxmlformats.org/officeDocument/2006/relationships/hyperlink" Target="http://www.linkedin.com/in/ricardodealdama" TargetMode="External"/><Relationship  Id="rId8559" Type="http://schemas.openxmlformats.org/officeDocument/2006/relationships/hyperlink" Target="http://www.scrubchart.ai" TargetMode="External"/><Relationship  Id="rId856" Type="http://schemas.openxmlformats.org/officeDocument/2006/relationships/hyperlink" Target="http://www.suzette-creperie-urbaine.fr" TargetMode="External"/><Relationship  Id="rId8560" Type="http://schemas.openxmlformats.org/officeDocument/2006/relationships/hyperlink" Target="http://www.linkedin.com/in/antonfert" TargetMode="External"/><Relationship  Id="rId8561" Type="http://schemas.openxmlformats.org/officeDocument/2006/relationships/hyperlink" Target="http://humanitics.ai" TargetMode="External"/><Relationship  Id="rId8562" Type="http://schemas.openxmlformats.org/officeDocument/2006/relationships/hyperlink" Target="http://www.linkedin.com/in/ayoub-ennassiri" TargetMode="External"/><Relationship  Id="rId8563" Type="http://schemas.openxmlformats.org/officeDocument/2006/relationships/hyperlink" Target="http://www.humanitics.ai" TargetMode="External"/><Relationship  Id="rId8564" Type="http://schemas.openxmlformats.org/officeDocument/2006/relationships/hyperlink" Target="http://www.linkedin.com/in/skanderguarbaa" TargetMode="External"/><Relationship  Id="rId8565" Type="http://schemas.openxmlformats.org/officeDocument/2006/relationships/hyperlink" Target="http://www.latech.io" TargetMode="External"/><Relationship  Id="rId8566" Type="http://schemas.openxmlformats.org/officeDocument/2006/relationships/hyperlink" Target="http://www.linkedin.com/in/yannis-kolodziej-a6b9a710a" TargetMode="External"/><Relationship  Id="rId8567" Type="http://schemas.openxmlformats.org/officeDocument/2006/relationships/hyperlink" Target="http://www.visionairy.io" TargetMode="External"/><Relationship  Id="rId8568" Type="http://schemas.openxmlformats.org/officeDocument/2006/relationships/hyperlink" Target="http://www.linkedin.com/in/antonichumillas" TargetMode="External"/><Relationship  Id="rId8569" Type="http://schemas.openxmlformats.org/officeDocument/2006/relationships/hyperlink" Target="http://www.accountinsight.ai" TargetMode="External"/><Relationship  Id="rId857" Type="http://schemas.openxmlformats.org/officeDocument/2006/relationships/hyperlink" Target="http://www.linkedin.com/in/philippe-lapidus-a535455" TargetMode="External"/><Relationship  Id="rId8570" Type="http://schemas.openxmlformats.org/officeDocument/2006/relationships/hyperlink" Target="http://www.linkedin.com/in/duhamel-damien" TargetMode="External"/><Relationship  Id="rId8571" Type="http://schemas.openxmlformats.org/officeDocument/2006/relationships/hyperlink" Target="http://www.linkedin.com/in/j%c3%a9r%c3%a9mie-llonch-934614a7" TargetMode="External"/><Relationship  Id="rId8572" Type="http://schemas.openxmlformats.org/officeDocument/2006/relationships/hyperlink" Target="http://www.micromedia-int.com" TargetMode="External"/><Relationship  Id="rId8573" Type="http://schemas.openxmlformats.org/officeDocument/2006/relationships/hyperlink" Target="http://www.linkedin.com/in/maxime-capraro-2986b965" TargetMode="External"/><Relationship  Id="rId8574" Type="http://schemas.openxmlformats.org/officeDocument/2006/relationships/hyperlink" Target="http://www.linkedin.com/in/meyer-ayache-72586b64" TargetMode="External"/><Relationship  Id="rId8575" Type="http://schemas.openxmlformats.org/officeDocument/2006/relationships/hyperlink" Target="http://www.digitalnolimit.com" TargetMode="External"/><Relationship  Id="rId8576" Type="http://schemas.openxmlformats.org/officeDocument/2006/relationships/hyperlink" Target="http://www.linkedin.com/in/eric-vorger-0076a4b4" TargetMode="External"/><Relationship  Id="rId8577" Type="http://schemas.openxmlformats.org/officeDocument/2006/relationships/hyperlink" Target="http://www.linkedin.com/in/thomas-randolph-a6373aa3" TargetMode="External"/><Relationship  Id="rId8578" Type="http://schemas.openxmlformats.org/officeDocument/2006/relationships/hyperlink" Target="http://www.fredo.fr" TargetMode="External"/><Relationship  Id="rId8579" Type="http://schemas.openxmlformats.org/officeDocument/2006/relationships/hyperlink" Target="http://www.linkedin.com/in/romain-ouabdelkader" TargetMode="External"/><Relationship  Id="rId858" Type="http://schemas.openxmlformats.org/officeDocument/2006/relationships/hyperlink" Target="http://www.mercijerome.com" TargetMode="External"/><Relationship  Id="rId8580" Type="http://schemas.openxmlformats.org/officeDocument/2006/relationships/hyperlink" Target="http://www.spot-wallet.com" TargetMode="External"/><Relationship  Id="rId8581" Type="http://schemas.openxmlformats.org/officeDocument/2006/relationships/hyperlink" Target="http://www.linkedin.com/in/pierre-andr%c3%a9-florat-9b6b6b1a" TargetMode="External"/><Relationship  Id="rId8582" Type="http://schemas.openxmlformats.org/officeDocument/2006/relationships/hyperlink" Target="http://www.fast-docaposte.fr" TargetMode="External"/><Relationship  Id="rId8583" Type="http://schemas.openxmlformats.org/officeDocument/2006/relationships/hyperlink" Target="http://www.linkedin.com/in/v%c3%a9ronique-dugoujon-25117321" TargetMode="External"/><Relationship  Id="rId8584" Type="http://schemas.openxmlformats.org/officeDocument/2006/relationships/hyperlink" Target="http://www.interludesante.com" TargetMode="External"/><Relationship  Id="rId8585" Type="http://schemas.openxmlformats.org/officeDocument/2006/relationships/hyperlink" Target="http://www.linkedin.com/in/guillaumepitel" TargetMode="External"/><Relationship  Id="rId8586" Type="http://schemas.openxmlformats.org/officeDocument/2006/relationships/hyperlink" Target="http://www.babbar.tech" TargetMode="External"/><Relationship  Id="rId8587" Type="http://schemas.openxmlformats.org/officeDocument/2006/relationships/hyperlink" Target="http://www.linkedin.com/in/damien-comte-6a512049" TargetMode="External"/><Relationship  Id="rId8588" Type="http://schemas.openxmlformats.org/officeDocument/2006/relationships/hyperlink" Target="http://www.koki-software.com" TargetMode="External"/><Relationship  Id="rId8589" Type="http://schemas.openxmlformats.org/officeDocument/2006/relationships/hyperlink" Target="http://www.linkedin.com/in/anthony-delaire-854a28103" TargetMode="External"/><Relationship  Id="rId859" Type="http://schemas.openxmlformats.org/officeDocument/2006/relationships/hyperlink" Target="http://www.linkedin.com/in/ugotruxler" TargetMode="External"/><Relationship  Id="rId8590" Type="http://schemas.openxmlformats.org/officeDocument/2006/relationships/hyperlink" Target="http://www.ingely.fr" TargetMode="External"/><Relationship  Id="rId8591" Type="http://schemas.openxmlformats.org/officeDocument/2006/relationships/hyperlink" Target="http://www.linkedin.com/in/gillesdebuchy" TargetMode="External"/><Relationship  Id="rId8592" Type="http://schemas.openxmlformats.org/officeDocument/2006/relationships/hyperlink" Target="http://www.get-moba.com" TargetMode="External"/><Relationship  Id="rId8593" Type="http://schemas.openxmlformats.org/officeDocument/2006/relationships/hyperlink" Target="http://www.linkedin.com/in/thomasothax" TargetMode="External"/><Relationship  Id="rId8594" Type="http://schemas.openxmlformats.org/officeDocument/2006/relationships/hyperlink" Target="http://www.packitoo.com" TargetMode="External"/><Relationship  Id="rId8595" Type="http://schemas.openxmlformats.org/officeDocument/2006/relationships/hyperlink" Target="http://www.linkedin.com/in/sebastienfavre" TargetMode="External"/><Relationship  Id="rId8596" Type="http://schemas.openxmlformats.org/officeDocument/2006/relationships/hyperlink" Target="http://www.optic-performance.com" TargetMode="External"/><Relationship  Id="rId8597" Type="http://schemas.openxmlformats.org/officeDocument/2006/relationships/hyperlink" Target="http://www.linkedin.com/in/marc-espieux-20320875" TargetMode="External"/><Relationship  Id="rId8598" Type="http://schemas.openxmlformats.org/officeDocument/2006/relationships/hyperlink" Target="http://www.riskcare.eu" TargetMode="External"/><Relationship  Id="rId8599" Type="http://schemas.openxmlformats.org/officeDocument/2006/relationships/hyperlink" Target="http://immersiv.io" TargetMode="External"/><Relationship  Id="rId86" Type="http://schemas.openxmlformats.org/officeDocument/2006/relationships/hyperlink" Target="http://www.linkedin.com/in/severine-moire-53239596" TargetMode="External"/><Relationship  Id="rId860" Type="http://schemas.openxmlformats.org/officeDocument/2006/relationships/hyperlink" Target="http://www.heiko-poke.com" TargetMode="External"/><Relationship  Id="rId8600" Type="http://schemas.openxmlformats.org/officeDocument/2006/relationships/hyperlink" Target="http://www.linkedin.com/in/steguerin" TargetMode="External"/><Relationship  Id="rId8601" Type="http://schemas.openxmlformats.org/officeDocument/2006/relationships/hyperlink" Target="http://www.immersiv.io" TargetMode="External"/><Relationship  Id="rId8602" Type="http://schemas.openxmlformats.org/officeDocument/2006/relationships/hyperlink" Target="http://www.linkedin.com/in/paul-fawcett" TargetMode="External"/><Relationship  Id="rId8603" Type="http://schemas.openxmlformats.org/officeDocument/2006/relationships/hyperlink" Target="http://www.sitebox.io" TargetMode="External"/><Relationship  Id="rId8604" Type="http://schemas.openxmlformats.org/officeDocument/2006/relationships/hyperlink" Target="http://www.linkedin.com/in/th%c3%a9au-c-25aa6917" TargetMode="External"/><Relationship  Id="rId8605" Type="http://schemas.openxmlformats.org/officeDocument/2006/relationships/hyperlink" Target="http://www.nexen.partners" TargetMode="External"/><Relationship  Id="rId8606" Type="http://schemas.openxmlformats.org/officeDocument/2006/relationships/hyperlink" Target="http://www.linkedin.com/in/t-ardouin" TargetMode="External"/><Relationship  Id="rId8607" Type="http://schemas.openxmlformats.org/officeDocument/2006/relationships/hyperlink" Target="http://www.bylaw.fr" TargetMode="External"/><Relationship  Id="rId8608" Type="http://schemas.openxmlformats.org/officeDocument/2006/relationships/hyperlink" Target="http://www.linkedin.com/in/jean-marc-sepio" TargetMode="External"/><Relationship  Id="rId8609" Type="http://schemas.openxmlformats.org/officeDocument/2006/relationships/hyperlink" Target="http://www.aucae.com" TargetMode="External"/><Relationship  Id="rId861" Type="http://schemas.openxmlformats.org/officeDocument/2006/relationships/hyperlink" Target="http://www.linkedin.com/in/emmanuel-gunther-46359883" TargetMode="External"/><Relationship  Id="rId8610" Type="http://schemas.openxmlformats.org/officeDocument/2006/relationships/hyperlink" Target="http://cynapps.ai" TargetMode="External"/><Relationship  Id="rId8611" Type="http://schemas.openxmlformats.org/officeDocument/2006/relationships/hyperlink" Target="http://www.linkedin.com/in/colin-bernet-85a24592" TargetMode="External"/><Relationship  Id="rId8612" Type="http://schemas.openxmlformats.org/officeDocument/2006/relationships/hyperlink" Target="http://www.araiko.ai" TargetMode="External"/><Relationship  Id="rId8613" Type="http://schemas.openxmlformats.org/officeDocument/2006/relationships/hyperlink" Target="http://www.linkedin.com/in/dominique-dieulle" TargetMode="External"/><Relationship  Id="rId8614" Type="http://schemas.openxmlformats.org/officeDocument/2006/relationships/hyperlink" Target="http://www.linkedin.com/in/lecomtealexis" TargetMode="External"/><Relationship  Id="rId8615" Type="http://schemas.openxmlformats.org/officeDocument/2006/relationships/hyperlink" Target="http://www.go-sidely.com" TargetMode="External"/><Relationship  Id="rId8616" Type="http://schemas.openxmlformats.org/officeDocument/2006/relationships/hyperlink" Target="http://www.linkedin.com/in/christophe-renaudineau-78a10613a" TargetMode="External"/><Relationship  Id="rId8617" Type="http://schemas.openxmlformats.org/officeDocument/2006/relationships/hyperlink" Target="http://www.linkedin.com/in/andr%c3%a9-manoukian-a5209981" TargetMode="External"/><Relationship  Id="rId8618" Type="http://schemas.openxmlformats.org/officeDocument/2006/relationships/hyperlink" Target="http://genba.fr" TargetMode="External"/><Relationship  Id="rId8619" Type="http://schemas.openxmlformats.org/officeDocument/2006/relationships/hyperlink" Target="http://www.linkedin.com/in/dorian-genba" TargetMode="External"/><Relationship  Id="rId862" Type="http://schemas.openxmlformats.org/officeDocument/2006/relationships/hyperlink" Target="http://www.linkedin.com/in/vincentbaverel" TargetMode="External"/><Relationship  Id="rId8620" Type="http://schemas.openxmlformats.org/officeDocument/2006/relationships/hyperlink" Target="http://www.genba.fr" TargetMode="External"/><Relationship  Id="rId8621" Type="http://schemas.openxmlformats.org/officeDocument/2006/relationships/hyperlink" Target="http://www.linkedin.com/in/bruno-menteaux-30491539" TargetMode="External"/><Relationship  Id="rId8622" Type="http://schemas.openxmlformats.org/officeDocument/2006/relationships/hyperlink" Target="http://www.adeiz.com" TargetMode="External"/><Relationship  Id="rId8623" Type="http://schemas.openxmlformats.org/officeDocument/2006/relationships/hyperlink" Target="http://www.linkedin.com/in/mehdi-lebel-74956625" TargetMode="External"/><Relationship  Id="rId8624" Type="http://schemas.openxmlformats.org/officeDocument/2006/relationships/hyperlink" Target="http://www.bloomays.com" TargetMode="External"/><Relationship  Id="rId8625" Type="http://schemas.openxmlformats.org/officeDocument/2006/relationships/hyperlink" Target="http://www.linkedin.com/in/edouardgattegno" TargetMode="External"/><Relationship  Id="rId8626" Type="http://schemas.openxmlformats.org/officeDocument/2006/relationships/hyperlink" Target="http://www.datavectis.fr" TargetMode="External"/><Relationship  Id="rId8627" Type="http://schemas.openxmlformats.org/officeDocument/2006/relationships/hyperlink" Target="http://www.linkedin.com/in/camille-maldjian-5a3329180" TargetMode="External"/><Relationship  Id="rId8628" Type="http://schemas.openxmlformats.org/officeDocument/2006/relationships/hyperlink" Target="http://www.linkedin.com/in/florent-gundermann-bb33169b" TargetMode="External"/><Relationship  Id="rId8629" Type="http://schemas.openxmlformats.org/officeDocument/2006/relationships/hyperlink" Target="http://www.digilor.fr" TargetMode="External"/><Relationship  Id="rId863" Type="http://schemas.openxmlformats.org/officeDocument/2006/relationships/hyperlink" Target="http://www.let-it-bib.fr" TargetMode="External"/><Relationship  Id="rId8630" Type="http://schemas.openxmlformats.org/officeDocument/2006/relationships/hyperlink" Target="http://www.linkedin.com/in/st%c3%a9phane-louis-48a96227" TargetMode="External"/><Relationship  Id="rId8631" Type="http://schemas.openxmlformats.org/officeDocument/2006/relationships/hyperlink" Target="http://www.impaakt.fr" TargetMode="External"/><Relationship  Id="rId8632" Type="http://schemas.openxmlformats.org/officeDocument/2006/relationships/hyperlink" Target="http://www.linkedin.com/in/anna-malashkina-255188244" TargetMode="External"/><Relationship  Id="rId8633" Type="http://schemas.openxmlformats.org/officeDocument/2006/relationships/hyperlink" Target="http://www.wiregate.io" TargetMode="External"/><Relationship  Id="rId8634" Type="http://schemas.openxmlformats.org/officeDocument/2006/relationships/hyperlink" Target="http://www.linkedin.com/in/alexandre-segura-b7261820" TargetMode="External"/><Relationship  Id="rId8635" Type="http://schemas.openxmlformats.org/officeDocument/2006/relationships/hyperlink" Target="http://www.coopcycle.org" TargetMode="External"/><Relationship  Id="rId8636" Type="http://schemas.openxmlformats.org/officeDocument/2006/relationships/hyperlink" Target="http://www.linkedin.com/in/pierredavy" TargetMode="External"/><Relationship  Id="rId8637" Type="http://schemas.openxmlformats.org/officeDocument/2006/relationships/hyperlink" Target="http://www.batis.io" TargetMode="External"/><Relationship  Id="rId8638" Type="http://schemas.openxmlformats.org/officeDocument/2006/relationships/hyperlink" Target="http://www.linkedin.com/in/herv%c3%a9-convert-7148ab141" TargetMode="External"/><Relationship  Id="rId8639" Type="http://schemas.openxmlformats.org/officeDocument/2006/relationships/hyperlink" Target="http://www.aqua-consulting.fr" TargetMode="External"/><Relationship  Id="rId864" Type="http://schemas.openxmlformats.org/officeDocument/2006/relationships/hyperlink" Target="http://www.linkedin.com/in/tony-awcock-461139" TargetMode="External"/><Relationship  Id="rId8640" Type="http://schemas.openxmlformats.org/officeDocument/2006/relationships/hyperlink" Target="http://www.linkedin.com/in/guillaumerodriguezfr" TargetMode="External"/><Relationship  Id="rId8641" Type="http://schemas.openxmlformats.org/officeDocument/2006/relationships/hyperlink" Target="http://www.opendecide.com" TargetMode="External"/><Relationship  Id="rId8642" Type="http://schemas.openxmlformats.org/officeDocument/2006/relationships/hyperlink" Target="http://www.linkedin.com/in/jeremiebordier" TargetMode="External"/><Relationship  Id="rId8643" Type="http://schemas.openxmlformats.org/officeDocument/2006/relationships/hyperlink" Target="http://www.xhr.fr" TargetMode="External"/><Relationship  Id="rId8644" Type="http://schemas.openxmlformats.org/officeDocument/2006/relationships/hyperlink" Target="http://www.linkedin.com/in/emilie-p%c3%a9rigois-373924a3" TargetMode="External"/><Relationship  Id="rId8645" Type="http://schemas.openxmlformats.org/officeDocument/2006/relationships/hyperlink" Target="http://www.hubicus.com" TargetMode="External"/><Relationship  Id="rId8646" Type="http://schemas.openxmlformats.org/officeDocument/2006/relationships/hyperlink" Target="http://www.linkedin.com/in/jeremysculfort" TargetMode="External"/><Relationship  Id="rId8647" Type="http://schemas.openxmlformats.org/officeDocument/2006/relationships/hyperlink" Target="http://www.linkedin.com/in/yann-fourre-a823b18" TargetMode="External"/><Relationship  Id="rId8648" Type="http://schemas.openxmlformats.org/officeDocument/2006/relationships/hyperlink" Target="http://www.linkedin.com/in/charles-goddet-6004ab152" TargetMode="External"/><Relationship  Id="rId8649" Type="http://schemas.openxmlformats.org/officeDocument/2006/relationships/hyperlink" Target="http://www.idsfrance.com" TargetMode="External"/><Relationship  Id="rId865" Type="http://schemas.openxmlformats.org/officeDocument/2006/relationships/hyperlink" Target="http://www.magicalcafe.ch" TargetMode="External"/><Relationship  Id="rId8650" Type="http://schemas.openxmlformats.org/officeDocument/2006/relationships/hyperlink" Target="http://www.linkedin.com/in/emma-pariente-91705114b" TargetMode="External"/><Relationship  Id="rId8651" Type="http://schemas.openxmlformats.org/officeDocument/2006/relationships/hyperlink" Target="http://www.aisisters.ai" TargetMode="External"/><Relationship  Id="rId8652" Type="http://schemas.openxmlformats.org/officeDocument/2006/relationships/hyperlink" Target="http://www.linkedin.com/in/adrien-aboudaram-819bb81b2" TargetMode="External"/><Relationship  Id="rId8653" Type="http://schemas.openxmlformats.org/officeDocument/2006/relationships/hyperlink" Target="http://www.linkedin.com/in/cecile-darche-giorgi-7b9a351" TargetMode="External"/><Relationship  Id="rId8654" Type="http://schemas.openxmlformats.org/officeDocument/2006/relationships/hyperlink" Target="http://www.premiumconsulting.fr" TargetMode="External"/><Relationship  Id="rId8655" Type="http://schemas.openxmlformats.org/officeDocument/2006/relationships/hyperlink" Target="http://www.linkedin.com/in/baptiste-bellon-48b006103" TargetMode="External"/><Relationship  Id="rId8656" Type="http://schemas.openxmlformats.org/officeDocument/2006/relationships/hyperlink" Target="http://www.groupe-bellon.fr" TargetMode="External"/><Relationship  Id="rId8657" Type="http://schemas.openxmlformats.org/officeDocument/2006/relationships/hyperlink" Target="http://www.linkedin.com/in/hubert-maupas-822906210" TargetMode="External"/><Relationship  Id="rId8658" Type="http://schemas.openxmlformats.org/officeDocument/2006/relationships/hyperlink" Target="http://www.mext.app" TargetMode="External"/><Relationship  Id="rId8659" Type="http://schemas.openxmlformats.org/officeDocument/2006/relationships/hyperlink" Target="http://www.linkedin.com/in/sylvain-massip-535a9a4" TargetMode="External"/><Relationship  Id="rId866" Type="http://schemas.openxmlformats.org/officeDocument/2006/relationships/hyperlink" Target="http://www.linkedin.com/in/nicolasmakowski" TargetMode="External"/><Relationship  Id="rId8660" Type="http://schemas.openxmlformats.org/officeDocument/2006/relationships/hyperlink" Target="http://www.opscidia.com" TargetMode="External"/><Relationship  Id="rId8661" Type="http://schemas.openxmlformats.org/officeDocument/2006/relationships/hyperlink" Target="http://www.linkedin.com/in/yassine-bentoto-885b9b31" TargetMode="External"/><Relationship  Id="rId8662" Type="http://schemas.openxmlformats.org/officeDocument/2006/relationships/hyperlink" Target="http://www.digitalpole.fr" TargetMode="External"/><Relationship  Id="rId8663" Type="http://schemas.openxmlformats.org/officeDocument/2006/relationships/hyperlink" Target="http://www.linkedin.com/in/maxime-levillain-3798a44b" TargetMode="External"/><Relationship  Id="rId8664" Type="http://schemas.openxmlformats.org/officeDocument/2006/relationships/hyperlink" Target="http://www.linkedin.com/in/sharongreene-trends" TargetMode="External"/><Relationship  Id="rId8665" Type="http://schemas.openxmlformats.org/officeDocument/2006/relationships/hyperlink" Target="http://www.alicelabs.io" TargetMode="External"/><Relationship  Id="rId8666" Type="http://schemas.openxmlformats.org/officeDocument/2006/relationships/hyperlink" Target="http://www.linkedin.com/in/jean-thomas-rouzin-9b7983" TargetMode="External"/><Relationship  Id="rId8667" Type="http://schemas.openxmlformats.org/officeDocument/2006/relationships/hyperlink" Target="http://www.woosmap.com" TargetMode="External"/><Relationship  Id="rId8668" Type="http://schemas.openxmlformats.org/officeDocument/2006/relationships/hyperlink" Target="http://www.linkedin.com/in/erwan-le-gall-9559aa54" TargetMode="External"/><Relationship  Id="rId8669" Type="http://schemas.openxmlformats.org/officeDocument/2006/relationships/hyperlink" Target="http://www.linkedin.com/in/frederic-buisson-2bb0099" TargetMode="External"/><Relationship  Id="rId867" Type="http://schemas.openxmlformats.org/officeDocument/2006/relationships/hyperlink" Target="http://www.linkedin.com/in/laetitialeclerre" TargetMode="External"/><Relationship  Id="rId8670" Type="http://schemas.openxmlformats.org/officeDocument/2006/relationships/hyperlink" Target="http://www.stadline.com" TargetMode="External"/><Relationship  Id="rId8671" Type="http://schemas.openxmlformats.org/officeDocument/2006/relationships/hyperlink" Target="http://www.linkedin.com/in/guillaumecruz" TargetMode="External"/><Relationship  Id="rId8672" Type="http://schemas.openxmlformats.org/officeDocument/2006/relationships/hyperlink" Target="http://www.zeliq.com" TargetMode="External"/><Relationship  Id="rId8673" Type="http://schemas.openxmlformats.org/officeDocument/2006/relationships/hyperlink" Target="http://www.linkedin.com/in/hugo-lafayette-3b13a0b" TargetMode="External"/><Relationship  Id="rId8674" Type="http://schemas.openxmlformats.org/officeDocument/2006/relationships/hyperlink" Target="http://www.linkedin.com/in/marie-helene-kasperski-9a56982" TargetMode="External"/><Relationship  Id="rId8675" Type="http://schemas.openxmlformats.org/officeDocument/2006/relationships/hyperlink" Target="http://www.clahrisnoveum.com" TargetMode="External"/><Relationship  Id="rId8676" Type="http://schemas.openxmlformats.org/officeDocument/2006/relationships/hyperlink" Target="http://www.linkedin.com/in/thibault-deschamps" TargetMode="External"/><Relationship  Id="rId8677" Type="http://schemas.openxmlformats.org/officeDocument/2006/relationships/hyperlink" Target="http://www.linkedin.com/in/stemmelin-marc-6b4754b4" TargetMode="External"/><Relationship  Id="rId8678" Type="http://schemas.openxmlformats.org/officeDocument/2006/relationships/hyperlink" Target="http://www.exa.fr" TargetMode="External"/><Relationship  Id="rId8679" Type="http://schemas.openxmlformats.org/officeDocument/2006/relationships/hyperlink" Target="http://www.linkedin.com/in/ahmed-becha-62552971" TargetMode="External"/><Relationship  Id="rId868" Type="http://schemas.openxmlformats.org/officeDocument/2006/relationships/hyperlink" Target="http://www.auraecocoon.com" TargetMode="External"/><Relationship  Id="rId8680" Type="http://schemas.openxmlformats.org/officeDocument/2006/relationships/hyperlink" Target="http://www.five-consulting.com" TargetMode="External"/><Relationship  Id="rId8681" Type="http://schemas.openxmlformats.org/officeDocument/2006/relationships/hyperlink" Target="http://www.linkedin.com/in/natasha-engelric" TargetMode="External"/><Relationship  Id="rId8682" Type="http://schemas.openxmlformats.org/officeDocument/2006/relationships/hyperlink" Target="http://www.weloop.ai" TargetMode="External"/><Relationship  Id="rId8683" Type="http://schemas.openxmlformats.org/officeDocument/2006/relationships/hyperlink" Target="http://www.linkedin.com/in/bruno-breton-191b8324" TargetMode="External"/><Relationship  Id="rId8684" Type="http://schemas.openxmlformats.org/officeDocument/2006/relationships/hyperlink" Target="http://www.bloomsocialanalytics.com" TargetMode="External"/><Relationship  Id="rId8685" Type="http://schemas.openxmlformats.org/officeDocument/2006/relationships/hyperlink" Target="http://www.linkedin.com/in/jean-louis-mangani-75292b88" TargetMode="External"/><Relationship  Id="rId8686" Type="http://schemas.openxmlformats.org/officeDocument/2006/relationships/hyperlink" Target="http://www.linkedin.com/in/frederic-delattre-45a34a53" TargetMode="External"/><Relationship  Id="rId8687" Type="http://schemas.openxmlformats.org/officeDocument/2006/relationships/hyperlink" Target="http://www.atdr.fr" TargetMode="External"/><Relationship  Id="rId8688" Type="http://schemas.openxmlformats.org/officeDocument/2006/relationships/hyperlink" Target="http://www.linkedin.com/in/boubacardiallo" TargetMode="External"/><Relationship  Id="rId8689" Type="http://schemas.openxmlformats.org/officeDocument/2006/relationships/hyperlink" Target="http://www.jamaa.co" TargetMode="External"/><Relationship  Id="rId869" Type="http://schemas.openxmlformats.org/officeDocument/2006/relationships/hyperlink" Target="http://www.linkedin.com/in/camille-personnat-0191a278" TargetMode="External"/><Relationship  Id="rId8690" Type="http://schemas.openxmlformats.org/officeDocument/2006/relationships/hyperlink" Target="http://www.linkedin.com/in/severine-maruejouls-64b6a1303" TargetMode="External"/><Relationship  Id="rId8691" Type="http://schemas.openxmlformats.org/officeDocument/2006/relationships/hyperlink" Target="http://www.technic-soft.fr" TargetMode="External"/><Relationship  Id="rId8692" Type="http://schemas.openxmlformats.org/officeDocument/2006/relationships/hyperlink" Target="http://www.linkedin.com/in/tobias-holler-myway-technology" TargetMode="External"/><Relationship  Id="rId8693" Type="http://schemas.openxmlformats.org/officeDocument/2006/relationships/hyperlink" Target="http://www.linkedin.com/in/jandelobkowicz" TargetMode="External"/><Relationship  Id="rId8694" Type="http://schemas.openxmlformats.org/officeDocument/2006/relationships/hyperlink" Target="http://www.skipr.co" TargetMode="External"/><Relationship  Id="rId8695" Type="http://schemas.openxmlformats.org/officeDocument/2006/relationships/hyperlink" Target="http://www.linkedin.com/in/benoit-mariton" TargetMode="External"/><Relationship  Id="rId8696" Type="http://schemas.openxmlformats.org/officeDocument/2006/relationships/hyperlink" Target="http://www.ikimo.eu" TargetMode="External"/><Relationship  Id="rId8697" Type="http://schemas.openxmlformats.org/officeDocument/2006/relationships/hyperlink" Target="http://www.linkedin.com/in/clement-bourdon" TargetMode="External"/><Relationship  Id="rId8698" Type="http://schemas.openxmlformats.org/officeDocument/2006/relationships/hyperlink" Target="http://www.webloom.fr" TargetMode="External"/><Relationship  Id="rId8699" Type="http://schemas.openxmlformats.org/officeDocument/2006/relationships/hyperlink" Target="http://www.linkedin.com/in/sebastien-fremon" TargetMode="External"/><Relationship  Id="rId87" Type="http://schemas.openxmlformats.org/officeDocument/2006/relationships/hyperlink" Target="http://www.accor.com" TargetMode="External"/><Relationship  Id="rId870" Type="http://schemas.openxmlformats.org/officeDocument/2006/relationships/hyperlink" Target="http://www.theoasishouse.fr" TargetMode="External"/><Relationship  Id="rId8700" Type="http://schemas.openxmlformats.org/officeDocument/2006/relationships/hyperlink" Target="http://www.cosmic-data.io" TargetMode="External"/><Relationship  Id="rId8701" Type="http://schemas.openxmlformats.org/officeDocument/2006/relationships/hyperlink" Target="http://www.linkedin.com/in/alexandredupeu" TargetMode="External"/><Relationship  Id="rId8702" Type="http://schemas.openxmlformats.org/officeDocument/2006/relationships/hyperlink" Target="http://www.oiko.eu" TargetMode="External"/><Relationship  Id="rId8703" Type="http://schemas.openxmlformats.org/officeDocument/2006/relationships/hyperlink" Target="http://www.linkedin.com/in/raphael-maurice-9969b88" TargetMode="External"/><Relationship  Id="rId8704" Type="http://schemas.openxmlformats.org/officeDocument/2006/relationships/hyperlink" Target="http://www.celeris.fr" TargetMode="External"/><Relationship  Id="rId8705" Type="http://schemas.openxmlformats.org/officeDocument/2006/relationships/hyperlink" Target="http://www.linkedin.com/in/matthiasbourg" TargetMode="External"/><Relationship  Id="rId8706" Type="http://schemas.openxmlformats.org/officeDocument/2006/relationships/hyperlink" Target="http://www.sline.io" TargetMode="External"/><Relationship  Id="rId8707" Type="http://schemas.openxmlformats.org/officeDocument/2006/relationships/hyperlink" Target="http://www.linkedin.com/in/paulcacheux" TargetMode="External"/><Relationship  Id="rId8708" Type="http://schemas.openxmlformats.org/officeDocument/2006/relationships/hyperlink" Target="http://www.urbilog.com" TargetMode="External"/><Relationship  Id="rId8709" Type="http://schemas.openxmlformats.org/officeDocument/2006/relationships/hyperlink" Target="http://www.linkedin.com/in/patrice-wang-60a6226" TargetMode="External"/><Relationship  Id="rId871" Type="http://schemas.openxmlformats.org/officeDocument/2006/relationships/hyperlink" Target="http://www.linkedin.com/in/jimmy-maitre-22643aa0" TargetMode="External"/><Relationship  Id="rId8710" Type="http://schemas.openxmlformats.org/officeDocument/2006/relationships/hyperlink" Target="http://www.linkedin.com/in/vincent-trely-a136144" TargetMode="External"/><Relationship  Id="rId8711" Type="http://schemas.openxmlformats.org/officeDocument/2006/relationships/hyperlink" Target="http://www.apssis.com" TargetMode="External"/><Relationship  Id="rId8712" Type="http://schemas.openxmlformats.org/officeDocument/2006/relationships/hyperlink" Target="http://www.linkedin.com/in/quentin-de-lambert" TargetMode="External"/><Relationship  Id="rId8713" Type="http://schemas.openxmlformats.org/officeDocument/2006/relationships/hyperlink" Target="http://www.rzilient.club" TargetMode="External"/><Relationship  Id="rId8714" Type="http://schemas.openxmlformats.org/officeDocument/2006/relationships/hyperlink" Target="http://www.linkedin.com/in/jm-scohy" TargetMode="External"/><Relationship  Id="rId8715" Type="http://schemas.openxmlformats.org/officeDocument/2006/relationships/hyperlink" Target="http://www.actualsystemes.com" TargetMode="External"/><Relationship  Id="rId8716" Type="http://schemas.openxmlformats.org/officeDocument/2006/relationships/hyperlink" Target="http://www.linkedin.com/in/boris-cadu-8a2581168" TargetMode="External"/><Relationship  Id="rId8717" Type="http://schemas.openxmlformats.org/officeDocument/2006/relationships/hyperlink" Target="http://www.stelr.fr" TargetMode="External"/><Relationship  Id="rId8718" Type="http://schemas.openxmlformats.org/officeDocument/2006/relationships/hyperlink" Target="http://www.linkedin.com/in/hugues-destruel-34b33774" TargetMode="External"/><Relationship  Id="rId8719" Type="http://schemas.openxmlformats.org/officeDocument/2006/relationships/hyperlink" Target="http://www.videosynergie.com" TargetMode="External"/><Relationship  Id="rId872" Type="http://schemas.openxmlformats.org/officeDocument/2006/relationships/hyperlink" Target="http://www.popote-minute.fr" TargetMode="External"/><Relationship  Id="rId8720" Type="http://schemas.openxmlformats.org/officeDocument/2006/relationships/hyperlink" Target="http://www.linkedin.com/in/xlesage" TargetMode="External"/><Relationship  Id="rId8721" Type="http://schemas.openxmlformats.org/officeDocument/2006/relationships/hyperlink" Target="http://www.digitalgarden.fr" TargetMode="External"/><Relationship  Id="rId8722" Type="http://schemas.openxmlformats.org/officeDocument/2006/relationships/hyperlink" Target="http://www.linkedin.com/in/cyrille-pondaven-866359146" TargetMode="External"/><Relationship  Id="rId8723" Type="http://schemas.openxmlformats.org/officeDocument/2006/relationships/hyperlink" Target="http://www.cadwork.ca" TargetMode="External"/><Relationship  Id="rId8724" Type="http://schemas.openxmlformats.org/officeDocument/2006/relationships/hyperlink" Target="http://www.linkedin.com/in/kosowski" TargetMode="External"/><Relationship  Id="rId8725" Type="http://schemas.openxmlformats.org/officeDocument/2006/relationships/hyperlink" Target="http://www.linkedin.com/in/florence-amardeilh-1466781" TargetMode="External"/><Relationship  Id="rId8726" Type="http://schemas.openxmlformats.org/officeDocument/2006/relationships/hyperlink" Target="http://www.linkedin.com/in/rochefort-frederic-575b326a" TargetMode="External"/><Relationship  Id="rId8727" Type="http://schemas.openxmlformats.org/officeDocument/2006/relationships/hyperlink" Target="http://www.infoelsa.com" TargetMode="External"/><Relationship  Id="rId8728" Type="http://schemas.openxmlformats.org/officeDocument/2006/relationships/hyperlink" Target="http://www.linkedin.com/in/cl%c3%a9ment-belgrand-23211866" TargetMode="External"/><Relationship  Id="rId8729" Type="http://schemas.openxmlformats.org/officeDocument/2006/relationships/hyperlink" Target="http://www.vicinity-group.fr" TargetMode="External"/><Relationship  Id="rId873" Type="http://schemas.openxmlformats.org/officeDocument/2006/relationships/hyperlink" Target="http://www.linkedin.com/in/razid-radjabaly-898b39168" TargetMode="External"/><Relationship  Id="rId8730" Type="http://schemas.openxmlformats.org/officeDocument/2006/relationships/hyperlink" Target="http://www.linkedin.com/in/benjaminclay" TargetMode="External"/><Relationship  Id="rId8731" Type="http://schemas.openxmlformats.org/officeDocument/2006/relationships/hyperlink" Target="http://www.jolicode.com" TargetMode="External"/><Relationship  Id="rId8732" Type="http://schemas.openxmlformats.org/officeDocument/2006/relationships/hyperlink" Target="http://www.linkedin.com/in/olivier-dantan-800a7236" TargetMode="External"/><Relationship  Id="rId8733" Type="http://schemas.openxmlformats.org/officeDocument/2006/relationships/hyperlink" Target="http://www.linkedin.com/in/firas-mkaouar-7267aa9" TargetMode="External"/><Relationship  Id="rId8734" Type="http://schemas.openxmlformats.org/officeDocument/2006/relationships/hyperlink" Target="http://www.creativas.io" TargetMode="External"/><Relationship  Id="rId8735" Type="http://schemas.openxmlformats.org/officeDocument/2006/relationships/hyperlink" Target="http://www.linkedin.com/in/pasqualepuzio" TargetMode="External"/><Relationship  Id="rId8736" Type="http://schemas.openxmlformats.org/officeDocument/2006/relationships/hyperlink" Target="http://www.fantamaster.it" TargetMode="External"/><Relationship  Id="rId8737" Type="http://schemas.openxmlformats.org/officeDocument/2006/relationships/hyperlink" Target="http://www.linkedin.com/in/thibault-corby-43b88458" TargetMode="External"/><Relationship  Id="rId8738" Type="http://schemas.openxmlformats.org/officeDocument/2006/relationships/hyperlink" Target="http://www.linkedin.com/in/mario-zannou-b1592766" TargetMode="External"/><Relationship  Id="rId8739" Type="http://schemas.openxmlformats.org/officeDocument/2006/relationships/hyperlink" Target="http://www.uptimise.io" TargetMode="External"/><Relationship  Id="rId874" Type="http://schemas.openxmlformats.org/officeDocument/2006/relationships/hyperlink" Target="http://www.lechill.fr" TargetMode="External"/><Relationship  Id="rId8740" Type="http://schemas.openxmlformats.org/officeDocument/2006/relationships/hyperlink" Target="http://www.linkedin.com/in/sophie-voisin-2296241b" TargetMode="External"/><Relationship  Id="rId8741" Type="http://schemas.openxmlformats.org/officeDocument/2006/relationships/hyperlink" Target="http://www.linkedin.com/in/michel-richard-021995174" TargetMode="External"/><Relationship  Id="rId8742" Type="http://schemas.openxmlformats.org/officeDocument/2006/relationships/hyperlink" Target="http://www.linkedin.com/in/meryem-lebbar-890aa7161" TargetMode="External"/><Relationship  Id="rId8743" Type="http://schemas.openxmlformats.org/officeDocument/2006/relationships/hyperlink" Target="http://www.weepo.fr" TargetMode="External"/><Relationship  Id="rId8744" Type="http://schemas.openxmlformats.org/officeDocument/2006/relationships/hyperlink" Target="http://www.linkedin.com/in/lo%c3%afc-cliquot-584249aa" TargetMode="External"/><Relationship  Id="rId8745" Type="http://schemas.openxmlformats.org/officeDocument/2006/relationships/hyperlink" Target="http://www.alpha3.fr" TargetMode="External"/><Relationship  Id="rId8746" Type="http://schemas.openxmlformats.org/officeDocument/2006/relationships/hyperlink" Target="http://www.linkedin.com/in/cazenagu" TargetMode="External"/><Relationship  Id="rId8747" Type="http://schemas.openxmlformats.org/officeDocument/2006/relationships/hyperlink" Target="http://www.linkedin.com/in/nelly-duchaussoy-091586230" TargetMode="External"/><Relationship  Id="rId8748" Type="http://schemas.openxmlformats.org/officeDocument/2006/relationships/hyperlink" Target="http://www.fleetenergies.io" TargetMode="External"/><Relationship  Id="rId8749" Type="http://schemas.openxmlformats.org/officeDocument/2006/relationships/hyperlink" Target="http://www.linkedin.com/in/anthony-romano-14397542" TargetMode="External"/><Relationship  Id="rId875" Type="http://schemas.openxmlformats.org/officeDocument/2006/relationships/hyperlink" Target="http://www.linkedin.com/in/marc-fischer-b34b2435" TargetMode="External"/><Relationship  Id="rId8750" Type="http://schemas.openxmlformats.org/officeDocument/2006/relationships/hyperlink" Target="http://www.vocads.com" TargetMode="External"/><Relationship  Id="rId8751" Type="http://schemas.openxmlformats.org/officeDocument/2006/relationships/hyperlink" Target="http://www.linkedin.com/in/marc-pavageau-15715016" TargetMode="External"/><Relationship  Id="rId8752" Type="http://schemas.openxmlformats.org/officeDocument/2006/relationships/hyperlink" Target="http://www.lifelines-li.eu" TargetMode="External"/><Relationship  Id="rId8753" Type="http://schemas.openxmlformats.org/officeDocument/2006/relationships/hyperlink" Target="http://www.linkedin.com/in/thibault-rossi-599b6a115" TargetMode="External"/><Relationship  Id="rId8754" Type="http://schemas.openxmlformats.org/officeDocument/2006/relationships/hyperlink" Target="http://www.qivia.fr" TargetMode="External"/><Relationship  Id="rId8755" Type="http://schemas.openxmlformats.org/officeDocument/2006/relationships/hyperlink" Target="http://www.linkedin.com/in/margot-corr%c3%a9ard-51838157" TargetMode="External"/><Relationship  Id="rId8756" Type="http://schemas.openxmlformats.org/officeDocument/2006/relationships/hyperlink" Target="http://www.linkedin.com/in/nicolas-servage-253871b" TargetMode="External"/><Relationship  Id="rId8757" Type="http://schemas.openxmlformats.org/officeDocument/2006/relationships/hyperlink" Target="http://www.orsenna.fr" TargetMode="External"/><Relationship  Id="rId8758" Type="http://schemas.openxmlformats.org/officeDocument/2006/relationships/hyperlink" Target="http://www.linkedin.com/in/mohammed-belghiti-593a9449" TargetMode="External"/><Relationship  Id="rId8759" Type="http://schemas.openxmlformats.org/officeDocument/2006/relationships/hyperlink" Target="http://www.crealo.app" TargetMode="External"/><Relationship  Id="rId876" Type="http://schemas.openxmlformats.org/officeDocument/2006/relationships/hyperlink" Target="http://www.domaine-castille.fr" TargetMode="External"/><Relationship  Id="rId8760" Type="http://schemas.openxmlformats.org/officeDocument/2006/relationships/hyperlink" Target="http://www.linkedin.com/in/marc-louis-philippe-5b927b96" TargetMode="External"/><Relationship  Id="rId8761" Type="http://schemas.openxmlformats.org/officeDocument/2006/relationships/hyperlink" Target="http://www.linkedin.com/in/nicolas-guillerez-7378292b" TargetMode="External"/><Relationship  Id="rId8762" Type="http://schemas.openxmlformats.org/officeDocument/2006/relationships/hyperlink" Target="http://www.linkedin.com/in/cathelineau-eric-b5589698" TargetMode="External"/><Relationship  Id="rId8763" Type="http://schemas.openxmlformats.org/officeDocument/2006/relationships/hyperlink" Target="http://www.intech.fr" TargetMode="External"/><Relationship  Id="rId8764" Type="http://schemas.openxmlformats.org/officeDocument/2006/relationships/hyperlink" Target="http://www.linkedin.com/in/magali-coindeau-6358b251" TargetMode="External"/><Relationship  Id="rId8765" Type="http://schemas.openxmlformats.org/officeDocument/2006/relationships/hyperlink" Target="http://www.linkedin.com/in/pierrevidal" TargetMode="External"/><Relationship  Id="rId8766" Type="http://schemas.openxmlformats.org/officeDocument/2006/relationships/hyperlink" Target="http://www.e-3s.com" TargetMode="External"/><Relationship  Id="rId8767" Type="http://schemas.openxmlformats.org/officeDocument/2006/relationships/hyperlink" Target="http://www.linkedin.com/in/c%c3%a9dric-leblanc-87385824" TargetMode="External"/><Relationship  Id="rId8768" Type="http://schemas.openxmlformats.org/officeDocument/2006/relationships/hyperlink" Target="http://www.latout.app" TargetMode="External"/><Relationship  Id="rId8769" Type="http://schemas.openxmlformats.org/officeDocument/2006/relationships/hyperlink" Target="http://www.linkedin.com/in/romain-legros-3b384111b" TargetMode="External"/><Relationship  Id="rId877" Type="http://schemas.openxmlformats.org/officeDocument/2006/relationships/hyperlink" Target="http://www.linkedin.com/in/arnaud-gast%c3%a9-55946828" TargetMode="External"/><Relationship  Id="rId8770" Type="http://schemas.openxmlformats.org/officeDocument/2006/relationships/hyperlink" Target="http://www.geoflex.xyz" TargetMode="External"/><Relationship  Id="rId8771" Type="http://schemas.openxmlformats.org/officeDocument/2006/relationships/hyperlink" Target="http://www.linkedin.com/in/redsun7" TargetMode="External"/><Relationship  Id="rId8772" Type="http://schemas.openxmlformats.org/officeDocument/2006/relationships/hyperlink" Target="http://www.linkedin.com/in/erwan-pelmoine" TargetMode="External"/><Relationship  Id="rId8773" Type="http://schemas.openxmlformats.org/officeDocument/2006/relationships/hyperlink" Target="http://www.flowdigitalstudio.com" TargetMode="External"/><Relationship  Id="rId8774" Type="http://schemas.openxmlformats.org/officeDocument/2006/relationships/hyperlink" Target="http://www.linkedin.com/in/j%c3%a9r%c3%b4me-baldini-5a88a438" TargetMode="External"/><Relationship  Id="rId8775" Type="http://schemas.openxmlformats.org/officeDocument/2006/relationships/hyperlink" Target="http://www.dazzm.com" TargetMode="External"/><Relationship  Id="rId8776" Type="http://schemas.openxmlformats.org/officeDocument/2006/relationships/hyperlink" Target="http://www.linkedin.com/in/vincent-toussaint-8a85567" TargetMode="External"/><Relationship  Id="rId8777" Type="http://schemas.openxmlformats.org/officeDocument/2006/relationships/hyperlink" Target="http://www.media-immo.fr" TargetMode="External"/><Relationship  Id="rId8778" Type="http://schemas.openxmlformats.org/officeDocument/2006/relationships/hyperlink" Target="http://www.linkedin.com/in/joris-pustoc-h-a934688b" TargetMode="External"/><Relationship  Id="rId8779" Type="http://schemas.openxmlformats.org/officeDocument/2006/relationships/hyperlink" Target="http://www.itinov.fr" TargetMode="External"/><Relationship  Id="rId878" Type="http://schemas.openxmlformats.org/officeDocument/2006/relationships/hyperlink" Target="http://www.linkedin.com/in/gchantzios" TargetMode="External"/><Relationship  Id="rId8780" Type="http://schemas.openxmlformats.org/officeDocument/2006/relationships/hyperlink" Target="http://www.linkedin.com/in/alain-maissa-77b51462" TargetMode="External"/><Relationship  Id="rId8781" Type="http://schemas.openxmlformats.org/officeDocument/2006/relationships/hyperlink" Target="http://www.sigec.fr" TargetMode="External"/><Relationship  Id="rId8782" Type="http://schemas.openxmlformats.org/officeDocument/2006/relationships/hyperlink" Target="http://www.linkedin.com/in/gregory-gille" TargetMode="External"/><Relationship  Id="rId8783" Type="http://schemas.openxmlformats.org/officeDocument/2006/relationships/hyperlink" Target="http://www.hyvilo.eu" TargetMode="External"/><Relationship  Id="rId8784" Type="http://schemas.openxmlformats.org/officeDocument/2006/relationships/hyperlink" Target="http://www.linkedin.com/in/sylviane-toporkoff-2bb51a7" TargetMode="External"/><Relationship  Id="rId8785" Type="http://schemas.openxmlformats.org/officeDocument/2006/relationships/hyperlink" Target="http://www.items.fr" TargetMode="External"/><Relationship  Id="rId8786" Type="http://schemas.openxmlformats.org/officeDocument/2006/relationships/hyperlink" Target="http://www.linkedin.com/in/tgranie" TargetMode="External"/><Relationship  Id="rId8787" Type="http://schemas.openxmlformats.org/officeDocument/2006/relationships/hyperlink" Target="http://www.linkedin.com/in/thomas-carri%c3%a9-8a615957" TargetMode="External"/><Relationship  Id="rId8788" Type="http://schemas.openxmlformats.org/officeDocument/2006/relationships/hyperlink" Target="http://www.linkedin.com/in/ga%c3%a9tan-de-lassus-516b9a188" TargetMode="External"/><Relationship  Id="rId8789" Type="http://schemas.openxmlformats.org/officeDocument/2006/relationships/hyperlink" Target="http://www.getprimo.com" TargetMode="External"/><Relationship  Id="rId879" Type="http://schemas.openxmlformats.org/officeDocument/2006/relationships/hyperlink" Target="http://www.eleni-group.com" TargetMode="External"/><Relationship  Id="rId8790" Type="http://schemas.openxmlformats.org/officeDocument/2006/relationships/hyperlink" Target="http://www.linkedin.com/in/philippe-breslavtzev-b423a4a3" TargetMode="External"/><Relationship  Id="rId8791" Type="http://schemas.openxmlformats.org/officeDocument/2006/relationships/hyperlink" Target="http://www.linkedin.com/in/am%c3%a8le-lamrous-5b387150" TargetMode="External"/><Relationship  Id="rId8792" Type="http://schemas.openxmlformats.org/officeDocument/2006/relationships/hyperlink" Target="http://www.neobuy.fr" TargetMode="External"/><Relationship  Id="rId8793" Type="http://schemas.openxmlformats.org/officeDocument/2006/relationships/hyperlink" Target="http://www.linkedin.com/in/philippe-blanc-8056b516" TargetMode="External"/><Relationship  Id="rId8794" Type="http://schemas.openxmlformats.org/officeDocument/2006/relationships/hyperlink" Target="http://www.unique.paris" TargetMode="External"/><Relationship  Id="rId8795" Type="http://schemas.openxmlformats.org/officeDocument/2006/relationships/hyperlink" Target="http://www.linkedin.com/in/cyril-caritey-6652661" TargetMode="External"/><Relationship  Id="rId8796" Type="http://schemas.openxmlformats.org/officeDocument/2006/relationships/hyperlink" Target="http://www.akawan.com" TargetMode="External"/><Relationship  Id="rId8797" Type="http://schemas.openxmlformats.org/officeDocument/2006/relationships/hyperlink" Target="http://www.linkedin.com/in/bertrand-gerbaud-morla%c3%abs-58114618" TargetMode="External"/><Relationship  Id="rId8798" Type="http://schemas.openxmlformats.org/officeDocument/2006/relationships/hyperlink" Target="http://www.boaton.fr" TargetMode="External"/><Relationship  Id="rId8799" Type="http://schemas.openxmlformats.org/officeDocument/2006/relationships/hyperlink" Target="http://www.linkedin.com/in/thomas-blondeau-73670976" TargetMode="External"/><Relationship  Id="rId88" Type="http://schemas.openxmlformats.org/officeDocument/2006/relationships/hyperlink" Target="http://www.linkedin.com/in/vanessa-bourguignon-47025125" TargetMode="External"/><Relationship  Id="rId880" Type="http://schemas.openxmlformats.org/officeDocument/2006/relationships/hyperlink" Target="http://www.linkedin.com/in/victor-zandvliet" TargetMode="External"/><Relationship  Id="rId8800" Type="http://schemas.openxmlformats.org/officeDocument/2006/relationships/hyperlink" Target="http://www.klaxo.fr" TargetMode="External"/><Relationship  Id="rId8801" Type="http://schemas.openxmlformats.org/officeDocument/2006/relationships/hyperlink" Target="http://www.linkedin.com/in/joseph-azar" TargetMode="External"/><Relationship  Id="rId8802" Type="http://schemas.openxmlformats.org/officeDocument/2006/relationships/hyperlink" Target="http://www.tilkal.com" TargetMode="External"/><Relationship  Id="rId8803" Type="http://schemas.openxmlformats.org/officeDocument/2006/relationships/hyperlink" Target="http://impakt.io" TargetMode="External"/><Relationship  Id="rId8804" Type="http://schemas.openxmlformats.org/officeDocument/2006/relationships/hyperlink" Target="http://www.linkedin.com/in/baptistedif" TargetMode="External"/><Relationship  Id="rId8805" Type="http://schemas.openxmlformats.org/officeDocument/2006/relationships/hyperlink" Target="http://www.ekyo.app" TargetMode="External"/><Relationship  Id="rId8806" Type="http://schemas.openxmlformats.org/officeDocument/2006/relationships/hyperlink" Target="http://golem.ai" TargetMode="External"/><Relationship  Id="rId8807" Type="http://schemas.openxmlformats.org/officeDocument/2006/relationships/hyperlink" Target="http://www.linkedin.com/in/guillaume-navarre" TargetMode="External"/><Relationship  Id="rId8808" Type="http://schemas.openxmlformats.org/officeDocument/2006/relationships/hyperlink" Target="http://www.golem.ai" TargetMode="External"/><Relationship  Id="rId8809" Type="http://schemas.openxmlformats.org/officeDocument/2006/relationships/hyperlink" Target="http://www.linkedin.com/in/antonin-l-ecolier-4b71783b" TargetMode="External"/><Relationship  Id="rId881" Type="http://schemas.openxmlformats.org/officeDocument/2006/relationships/hyperlink" Target="http://www.leboisderosoy.com" TargetMode="External"/><Relationship  Id="rId8810" Type="http://schemas.openxmlformats.org/officeDocument/2006/relationships/hyperlink" Target="http://www.bewizyu.com" TargetMode="External"/><Relationship  Id="rId8811" Type="http://schemas.openxmlformats.org/officeDocument/2006/relationships/hyperlink" Target="http://www.linkedin.com/in/edgarroussille" TargetMode="External"/><Relationship  Id="rId8812" Type="http://schemas.openxmlformats.org/officeDocument/2006/relationships/hyperlink" Target="http://www.trustfolio.co" TargetMode="External"/><Relationship  Id="rId8813" Type="http://schemas.openxmlformats.org/officeDocument/2006/relationships/hyperlink" Target="http://www.linkedin.com/in/jeremy-tomasi-007a39a2" TargetMode="External"/><Relationship  Id="rId8814" Type="http://schemas.openxmlformats.org/officeDocument/2006/relationships/hyperlink" Target="http://www.linkedin.com/in/philippe-mihelic-8a0ab52" TargetMode="External"/><Relationship  Id="rId8815" Type="http://schemas.openxmlformats.org/officeDocument/2006/relationships/hyperlink" Target="http://www.linkedin.com/in/baptiste-crespy-879304a5" TargetMode="External"/><Relationship  Id="rId8816" Type="http://schemas.openxmlformats.org/officeDocument/2006/relationships/hyperlink" Target="http://www.fxhash.xyz" TargetMode="External"/><Relationship  Id="rId8817" Type="http://schemas.openxmlformats.org/officeDocument/2006/relationships/hyperlink" Target="http://www.linkedin.com/in/lo%c3%afc-delporte-b3b7331" TargetMode="External"/><Relationship  Id="rId8818" Type="http://schemas.openxmlformats.org/officeDocument/2006/relationships/hyperlink" Target="http://www.torken.com" TargetMode="External"/><Relationship  Id="rId8819" Type="http://schemas.openxmlformats.org/officeDocument/2006/relationships/hyperlink" Target="http://www.linkedin.com/in/thomas-sohet-5291a868" TargetMode="External"/><Relationship  Id="rId882" Type="http://schemas.openxmlformats.org/officeDocument/2006/relationships/hyperlink" Target="http://www.linkedin.com/in/margaux-montel-gravier-36073698" TargetMode="External"/><Relationship  Id="rId8820" Type="http://schemas.openxmlformats.org/officeDocument/2006/relationships/hyperlink" Target="http://www.kiosk.so" TargetMode="External"/><Relationship  Id="rId8821" Type="http://schemas.openxmlformats.org/officeDocument/2006/relationships/hyperlink" Target="http://www.linkedin.com/in/aldebaranbermell" TargetMode="External"/><Relationship  Id="rId8822" Type="http://schemas.openxmlformats.org/officeDocument/2006/relationships/hyperlink" Target="http://www.emendu.com" TargetMode="External"/><Relationship  Id="rId8823" Type="http://schemas.openxmlformats.org/officeDocument/2006/relationships/hyperlink" Target="http://www.linkedin.com/in/raphaeljuli" TargetMode="External"/><Relationship  Id="rId8824" Type="http://schemas.openxmlformats.org/officeDocument/2006/relationships/hyperlink" Target="http://www.salamandre.tm.fr" TargetMode="External"/><Relationship  Id="rId8825" Type="http://schemas.openxmlformats.org/officeDocument/2006/relationships/hyperlink" Target="http://www.linkedin.com/in/pablo-veyrat-5a6a84130" TargetMode="External"/><Relationship  Id="rId8826" Type="http://schemas.openxmlformats.org/officeDocument/2006/relationships/hyperlink" Target="http://www.angle.money" TargetMode="External"/><Relationship  Id="rId8827" Type="http://schemas.openxmlformats.org/officeDocument/2006/relationships/hyperlink" Target="http://www.linkedin.com/in/alain-nabet-b3873428" TargetMode="External"/><Relationship  Id="rId8828" Type="http://schemas.openxmlformats.org/officeDocument/2006/relationships/hyperlink" Target="http://www.deloren.fr" TargetMode="External"/><Relationship  Id="rId8829" Type="http://schemas.openxmlformats.org/officeDocument/2006/relationships/hyperlink" Target="http://www.linkedin.com/in/sebastien-amet-215b732" TargetMode="External"/><Relationship  Id="rId883" Type="http://schemas.openxmlformats.org/officeDocument/2006/relationships/hyperlink" Target="http://www.lafoliedouce.net" TargetMode="External"/><Relationship  Id="rId8830" Type="http://schemas.openxmlformats.org/officeDocument/2006/relationships/hyperlink" Target="http://www.amaltheafs.com" TargetMode="External"/><Relationship  Id="rId8831" Type="http://schemas.openxmlformats.org/officeDocument/2006/relationships/hyperlink" Target="http://www.linkedin.com/in/nicolas-bertin-47556b94" TargetMode="External"/><Relationship  Id="rId8832" Type="http://schemas.openxmlformats.org/officeDocument/2006/relationships/hyperlink" Target="http://www.opti-marche.com" TargetMode="External"/><Relationship  Id="rId8833" Type="http://schemas.openxmlformats.org/officeDocument/2006/relationships/hyperlink" Target="http://www.linkedin.com/in/manufacturing40" TargetMode="External"/><Relationship  Id="rId8834" Type="http://schemas.openxmlformats.org/officeDocument/2006/relationships/hyperlink" Target="http://www.linkedin.com/in/waruna-delacroix-752baa114" TargetMode="External"/><Relationship  Id="rId8835" Type="http://schemas.openxmlformats.org/officeDocument/2006/relationships/hyperlink" Target="http://www.itbubbly.com" TargetMode="External"/><Relationship  Id="rId8836" Type="http://schemas.openxmlformats.org/officeDocument/2006/relationships/hyperlink" Target="http://www.linkedin.com/in/alexandreattia" TargetMode="External"/><Relationship  Id="rId8837" Type="http://schemas.openxmlformats.org/officeDocument/2006/relationships/hyperlink" Target="http://www.redsol.fr" TargetMode="External"/><Relationship  Id="rId8838" Type="http://schemas.openxmlformats.org/officeDocument/2006/relationships/hyperlink" Target="http://www.linkedin.com/in/mikaelamzallag" TargetMode="External"/><Relationship  Id="rId8839" Type="http://schemas.openxmlformats.org/officeDocument/2006/relationships/hyperlink" Target="http://www.pixys.com" TargetMode="External"/><Relationship  Id="rId884" Type="http://schemas.openxmlformats.org/officeDocument/2006/relationships/hyperlink" Target="http://www.linkedin.com/in/yves-marie-guguen-86707857" TargetMode="External"/><Relationship  Id="rId8840" Type="http://schemas.openxmlformats.org/officeDocument/2006/relationships/hyperlink" Target="http://www.linkedin.com/in/pierre-grenier-442763a0" TargetMode="External"/><Relationship  Id="rId8841" Type="http://schemas.openxmlformats.org/officeDocument/2006/relationships/hyperlink" Target="http://www.trivec.fr" TargetMode="External"/><Relationship  Id="rId8842" Type="http://schemas.openxmlformats.org/officeDocument/2006/relationships/hyperlink" Target="http://www.linkedin.com/in/jean-denizet-126a01105" TargetMode="External"/><Relationship  Id="rId8843" Type="http://schemas.openxmlformats.org/officeDocument/2006/relationships/hyperlink" Target="http://www.atout-ports.com" TargetMode="External"/><Relationship  Id="rId8844" Type="http://schemas.openxmlformats.org/officeDocument/2006/relationships/hyperlink" Target="http://www.linkedin.com/in/reda-bona-b1365715a" TargetMode="External"/><Relationship  Id="rId8845" Type="http://schemas.openxmlformats.org/officeDocument/2006/relationships/hyperlink" Target="http://www.jalditech.com" TargetMode="External"/><Relationship  Id="rId8846" Type="http://schemas.openxmlformats.org/officeDocument/2006/relationships/hyperlink" Target="http://www.linkedin.com/in/gauthier-durand-delbecque-892a04" TargetMode="External"/><Relationship  Id="rId8847" Type="http://schemas.openxmlformats.org/officeDocument/2006/relationships/hyperlink" Target="http://www.maxxing.com" TargetMode="External"/><Relationship  Id="rId8848" Type="http://schemas.openxmlformats.org/officeDocument/2006/relationships/hyperlink" Target="http://www.linkedin.com/in/antoine-poliakov-836a7025" TargetMode="External"/><Relationship  Id="rId8849" Type="http://schemas.openxmlformats.org/officeDocument/2006/relationships/hyperlink" Target="http://www.data4job.com" TargetMode="External"/><Relationship  Id="rId885" Type="http://schemas.openxmlformats.org/officeDocument/2006/relationships/hyperlink" Target="http://www.lesmanoirstourgeville.com" TargetMode="External"/><Relationship  Id="rId8850" Type="http://schemas.openxmlformats.org/officeDocument/2006/relationships/hyperlink" Target="http://www.linkedin.com/in/tabone" TargetMode="External"/><Relationship  Id="rId8851" Type="http://schemas.openxmlformats.org/officeDocument/2006/relationships/hyperlink" Target="http://www.ripplemotion.fr" TargetMode="External"/><Relationship  Id="rId8852" Type="http://schemas.openxmlformats.org/officeDocument/2006/relationships/hyperlink" Target="http://www.linkedin.com/in/khalid-taoufik" TargetMode="External"/><Relationship  Id="rId8853" Type="http://schemas.openxmlformats.org/officeDocument/2006/relationships/hyperlink" Target="http://www.crm-pixel.com" TargetMode="External"/><Relationship  Id="rId8854" Type="http://schemas.openxmlformats.org/officeDocument/2006/relationships/hyperlink" Target="http://www.linkedin.com/in/ilankoskas" TargetMode="External"/><Relationship  Id="rId8855" Type="http://schemas.openxmlformats.org/officeDocument/2006/relationships/hyperlink" Target="http://www.kiute.com" TargetMode="External"/><Relationship  Id="rId8856" Type="http://schemas.openxmlformats.org/officeDocument/2006/relationships/hyperlink" Target="http://www.linkedin.com/in/stulenkov" TargetMode="External"/><Relationship  Id="rId8857" Type="http://schemas.openxmlformats.org/officeDocument/2006/relationships/hyperlink" Target="http://www.projectforce.ru" TargetMode="External"/><Relationship  Id="rId8858" Type="http://schemas.openxmlformats.org/officeDocument/2006/relationships/hyperlink" Target="http://www.linkedin.com/in/djamelzahal" TargetMode="External"/><Relationship  Id="rId8859" Type="http://schemas.openxmlformats.org/officeDocument/2006/relationships/hyperlink" Target="http://www.aventique.paris" TargetMode="External"/><Relationship  Id="rId886" Type="http://schemas.openxmlformats.org/officeDocument/2006/relationships/hyperlink" Target="http://www.linkedin.com/in/philippe-etchebest-365994143" TargetMode="External"/><Relationship  Id="rId8860" Type="http://schemas.openxmlformats.org/officeDocument/2006/relationships/hyperlink" Target="http://www.linkedin.com/in/val%c3%a9rie-atlani-542b0252" TargetMode="External"/><Relationship  Id="rId8861" Type="http://schemas.openxmlformats.org/officeDocument/2006/relationships/hyperlink" Target="http://www.hexadone.fr" TargetMode="External"/><Relationship  Id="rId8862" Type="http://schemas.openxmlformats.org/officeDocument/2006/relationships/hyperlink" Target="http://www.linkedin.com/in/anne-desvignes-a36b5b228" TargetMode="External"/><Relationship  Id="rId8863" Type="http://schemas.openxmlformats.org/officeDocument/2006/relationships/hyperlink" Target="http://www.provexi.fr" TargetMode="External"/><Relationship  Id="rId8864" Type="http://schemas.openxmlformats.org/officeDocument/2006/relationships/hyperlink" Target="http://www.linkedin.com/in/corentinporet" TargetMode="External"/><Relationship  Id="rId8865" Type="http://schemas.openxmlformats.org/officeDocument/2006/relationships/hyperlink" Target="http://www.linkedin.com/in/alexandre-renaudin-9b00a45b" TargetMode="External"/><Relationship  Id="rId8866" Type="http://schemas.openxmlformats.org/officeDocument/2006/relationships/hyperlink" Target="http://www.atakama-technologies.com" TargetMode="External"/><Relationship  Id="rId8867" Type="http://schemas.openxmlformats.org/officeDocument/2006/relationships/hyperlink" Target="http://www.linkedin.com/in/carolina-lavatelli-2084b04b" TargetMode="External"/><Relationship  Id="rId8868" Type="http://schemas.openxmlformats.org/officeDocument/2006/relationships/hyperlink" Target="http://www.internetoftrust.com" TargetMode="External"/><Relationship  Id="rId8869" Type="http://schemas.openxmlformats.org/officeDocument/2006/relationships/hyperlink" Target="http://www.linkedin.com/in/petitedouard" TargetMode="External"/><Relationship  Id="rId887" Type="http://schemas.openxmlformats.org/officeDocument/2006/relationships/hyperlink" Target="http://www.philippe-etchebest.com" TargetMode="External"/><Relationship  Id="rId8870" Type="http://schemas.openxmlformats.org/officeDocument/2006/relationships/hyperlink" Target="http://www.linkedin.com/in/arnaud-thoumyre-b44435a4" TargetMode="External"/><Relationship  Id="rId8871" Type="http://schemas.openxmlformats.org/officeDocument/2006/relationships/hyperlink" Target="http://www.taskinfo.fr" TargetMode="External"/><Relationship  Id="rId8872" Type="http://schemas.openxmlformats.org/officeDocument/2006/relationships/hyperlink" Target="http://www.linkedin.com/in/samirbouhassoun" TargetMode="External"/><Relationship  Id="rId8873" Type="http://schemas.openxmlformats.org/officeDocument/2006/relationships/hyperlink" Target="http://brief.me" TargetMode="External"/><Relationship  Id="rId8874" Type="http://schemas.openxmlformats.org/officeDocument/2006/relationships/hyperlink" Target="http://www.linkedin.com/in/damiencirotteau" TargetMode="External"/><Relationship  Id="rId8875" Type="http://schemas.openxmlformats.org/officeDocument/2006/relationships/hyperlink" Target="http://www.brief.me" TargetMode="External"/><Relationship  Id="rId8876" Type="http://schemas.openxmlformats.org/officeDocument/2006/relationships/hyperlink" Target="http://www.linkedin.com/in/benoitdupuy" TargetMode="External"/><Relationship  Id="rId8877" Type="http://schemas.openxmlformats.org/officeDocument/2006/relationships/hyperlink" Target="http://www.ab6.fr" TargetMode="External"/><Relationship  Id="rId8878" Type="http://schemas.openxmlformats.org/officeDocument/2006/relationships/hyperlink" Target="http://www.linkedin.com/in/maurice-cohen-22761a15" TargetMode="External"/><Relationship  Id="rId8879" Type="http://schemas.openxmlformats.org/officeDocument/2006/relationships/hyperlink" Target="http://www.groupenetworks.fr" TargetMode="External"/><Relationship  Id="rId888" Type="http://schemas.openxmlformats.org/officeDocument/2006/relationships/hyperlink" Target="http://www.linkedin.com/in/romain-coue-745b9822" TargetMode="External"/><Relationship  Id="rId8880" Type="http://schemas.openxmlformats.org/officeDocument/2006/relationships/hyperlink" Target="http://www.linkedin.com/in/louis-chevant" TargetMode="External"/><Relationship  Id="rId8881" Type="http://schemas.openxmlformats.org/officeDocument/2006/relationships/hyperlink" Target="http://www.smartkeyword.io" TargetMode="External"/><Relationship  Id="rId8882" Type="http://schemas.openxmlformats.org/officeDocument/2006/relationships/hyperlink" Target="http://www.linkedin.com/in/alexandre-weber-0008416" TargetMode="External"/><Relationship  Id="rId8883" Type="http://schemas.openxmlformats.org/officeDocument/2006/relationships/hyperlink" Target="http://www.aware-portage.com" TargetMode="External"/><Relationship  Id="rId8884" Type="http://schemas.openxmlformats.org/officeDocument/2006/relationships/hyperlink" Target="http://www.linkedin.com/in/clunven" TargetMode="External"/><Relationship  Id="rId8885" Type="http://schemas.openxmlformats.org/officeDocument/2006/relationships/hyperlink" Target="http://www.goodbards.com" TargetMode="External"/><Relationship  Id="rId8886" Type="http://schemas.openxmlformats.org/officeDocument/2006/relationships/hyperlink" Target="http://www.linkedin.com/in/fabrice-mundina-b93bb11b" TargetMode="External"/><Relationship  Id="rId8887" Type="http://schemas.openxmlformats.org/officeDocument/2006/relationships/hyperlink" Target="http://www.mb3m.fr" TargetMode="External"/><Relationship  Id="rId8888" Type="http://schemas.openxmlformats.org/officeDocument/2006/relationships/hyperlink" Target="http://www.linkedin.com/in/rmaunier" TargetMode="External"/><Relationship  Id="rId8889" Type="http://schemas.openxmlformats.org/officeDocument/2006/relationships/hyperlink" Target="http://www.opsmill.com" TargetMode="External"/><Relationship  Id="rId889" Type="http://schemas.openxmlformats.org/officeDocument/2006/relationships/hyperlink" Target="http://www.justejuste.com" TargetMode="External"/><Relationship  Id="rId8890" Type="http://schemas.openxmlformats.org/officeDocument/2006/relationships/hyperlink" Target="http://www.linkedin.com/in/thierry-delacroix-bb984417" TargetMode="External"/><Relationship  Id="rId8891" Type="http://schemas.openxmlformats.org/officeDocument/2006/relationships/hyperlink" Target="http://www.prologism.fr" TargetMode="External"/><Relationship  Id="rId8892" Type="http://schemas.openxmlformats.org/officeDocument/2006/relationships/hyperlink" Target="http://www.linkedin.com/in/amayaud" TargetMode="External"/><Relationship  Id="rId8893" Type="http://schemas.openxmlformats.org/officeDocument/2006/relationships/hyperlink" Target="http://www.keyneo.com" TargetMode="External"/><Relationship  Id="rId8894" Type="http://schemas.openxmlformats.org/officeDocument/2006/relationships/hyperlink" Target="http://www.linkedin.com/in/killian-vermersch" TargetMode="External"/><Relationship  Id="rId8895" Type="http://schemas.openxmlformats.org/officeDocument/2006/relationships/hyperlink" Target="http://www.linkedin.com/in/houssem-hamza-44731ab" TargetMode="External"/><Relationship  Id="rId8896" Type="http://schemas.openxmlformats.org/officeDocument/2006/relationships/hyperlink" Target="http://www.linkedin.com/in/charles-malinverni-14751345" TargetMode="External"/><Relationship  Id="rId8897" Type="http://schemas.openxmlformats.org/officeDocument/2006/relationships/hyperlink" Target="http://www.linkedin.com/in/nejma-belkhdim" TargetMode="External"/><Relationship  Id="rId8898" Type="http://schemas.openxmlformats.org/officeDocument/2006/relationships/hyperlink" Target="http://www.nolej.io" TargetMode="External"/><Relationship  Id="rId8899" Type="http://schemas.openxmlformats.org/officeDocument/2006/relationships/hyperlink" Target="http://allex.ai" TargetMode="External"/><Relationship  Id="rId89" Type="http://schemas.openxmlformats.org/officeDocument/2006/relationships/hyperlink" Target="http://www.hotelbdesign.fr" TargetMode="External"/><Relationship  Id="rId890" Type="http://schemas.openxmlformats.org/officeDocument/2006/relationships/hyperlink" Target="http://www.linkedin.com/in/fr%c3%a9d%c3%a9ric-cervantes-12ba7b199" TargetMode="External"/><Relationship  Id="rId8900" Type="http://schemas.openxmlformats.org/officeDocument/2006/relationships/hyperlink" Target="http://www.linkedin.com/in/eduard-scholl-63b187245" TargetMode="External"/><Relationship  Id="rId8901" Type="http://schemas.openxmlformats.org/officeDocument/2006/relationships/hyperlink" Target="http://www.allex.ai" TargetMode="External"/><Relationship  Id="rId8902" Type="http://schemas.openxmlformats.org/officeDocument/2006/relationships/hyperlink" Target="http://www.linkedin.com/in/ibantouchet" TargetMode="External"/><Relationship  Id="rId8903" Type="http://schemas.openxmlformats.org/officeDocument/2006/relationships/hyperlink" Target="http://www.incremys.com" TargetMode="External"/><Relationship  Id="rId8904" Type="http://schemas.openxmlformats.org/officeDocument/2006/relationships/hyperlink" Target="http://www.linkedin.com/in/maxime-paillot-%e2%98%81%ef%b8%8f%f0%9f%87%ab%f0%9f%87%b7-908b5284" TargetMode="External"/><Relationship  Id="rId8905" Type="http://schemas.openxmlformats.org/officeDocument/2006/relationships/hyperlink" Target="http://www.castle-it.fr" TargetMode="External"/><Relationship  Id="rId8906" Type="http://schemas.openxmlformats.org/officeDocument/2006/relationships/hyperlink" Target="http://www.linkedin.com/in/thomasbresse" TargetMode="External"/><Relationship  Id="rId8907" Type="http://schemas.openxmlformats.org/officeDocument/2006/relationships/hyperlink" Target="http://www.bemsp.fr" TargetMode="External"/><Relationship  Id="rId8908" Type="http://schemas.openxmlformats.org/officeDocument/2006/relationships/hyperlink" Target="http://www.linkedin.com/in/jlanniaux" TargetMode="External"/><Relationship  Id="rId8909" Type="http://schemas.openxmlformats.org/officeDocument/2006/relationships/hyperlink" Target="http://www.linkedin.com/in/robert-renaudin-aaa738" TargetMode="External"/><Relationship  Id="rId891" Type="http://schemas.openxmlformats.org/officeDocument/2006/relationships/hyperlink" Target="http://www.lapetitemaison-cannes.com" TargetMode="External"/><Relationship  Id="rId8910" Type="http://schemas.openxmlformats.org/officeDocument/2006/relationships/hyperlink" Target="http://www.linkedin.com/in/jean-pioch-b9b16599" TargetMode="External"/><Relationship  Id="rId8911" Type="http://schemas.openxmlformats.org/officeDocument/2006/relationships/hyperlink" Target="http://www.patechnologies.co.uk" TargetMode="External"/><Relationship  Id="rId8912" Type="http://schemas.openxmlformats.org/officeDocument/2006/relationships/hyperlink" Target="http://www.linkedin.com/in/lebeauquentin" TargetMode="External"/><Relationship  Id="rId8913" Type="http://schemas.openxmlformats.org/officeDocument/2006/relationships/hyperlink" Target="http://www.tokywoky.com" TargetMode="External"/><Relationship  Id="rId8914" Type="http://schemas.openxmlformats.org/officeDocument/2006/relationships/hyperlink" Target="http://www.linkedin.com/in/louis-dercle" TargetMode="External"/><Relationship  Id="rId8915" Type="http://schemas.openxmlformats.org/officeDocument/2006/relationships/hyperlink" Target="http://www.quiz-coach.com" TargetMode="External"/><Relationship  Id="rId8916" Type="http://schemas.openxmlformats.org/officeDocument/2006/relationships/hyperlink" Target="http://www.linkedin.com/in/zemourdaaissaoui" TargetMode="External"/><Relationship  Id="rId8917" Type="http://schemas.openxmlformats.org/officeDocument/2006/relationships/hyperlink" Target="http://www.nanea.app" TargetMode="External"/><Relationship  Id="rId8918" Type="http://schemas.openxmlformats.org/officeDocument/2006/relationships/hyperlink" Target="http://www.linkedin.com/in/olivier-riquet-9a18b83" TargetMode="External"/><Relationship  Id="rId8919" Type="http://schemas.openxmlformats.org/officeDocument/2006/relationships/hyperlink" Target="http://www.globalpos.fr" TargetMode="External"/><Relationship  Id="rId892" Type="http://schemas.openxmlformats.org/officeDocument/2006/relationships/hyperlink" Target="http://www.linkedin.com/in/boris-fontimpe-35881019b" TargetMode="External"/><Relationship  Id="rId8920" Type="http://schemas.openxmlformats.org/officeDocument/2006/relationships/hyperlink" Target="http://www.linkedin.com/in/joris-hart" TargetMode="External"/><Relationship  Id="rId8921" Type="http://schemas.openxmlformats.org/officeDocument/2006/relationships/hyperlink" Target="http://www.ati4group.com" TargetMode="External"/><Relationship  Id="rId8922" Type="http://schemas.openxmlformats.org/officeDocument/2006/relationships/hyperlink" Target="http://www.linkedin.com/in/edmondespanel" TargetMode="External"/><Relationship  Id="rId8923" Type="http://schemas.openxmlformats.org/officeDocument/2006/relationships/hyperlink" Target="http://www.linkedin.com/in/geoffroy-fouquier-93291b4" TargetMode="External"/><Relationship  Id="rId8924" Type="http://schemas.openxmlformats.org/officeDocument/2006/relationships/hyperlink" Target="http://www.linkedin.com/in/pametivier" TargetMode="External"/><Relationship  Id="rId8925" Type="http://schemas.openxmlformats.org/officeDocument/2006/relationships/hyperlink" Target="http://www.securcles.com" TargetMode="External"/><Relationship  Id="rId8926" Type="http://schemas.openxmlformats.org/officeDocument/2006/relationships/hyperlink" Target="http://www.linkedin.com/in/xavier-zakoian" TargetMode="External"/><Relationship  Id="rId8927" Type="http://schemas.openxmlformats.org/officeDocument/2006/relationships/hyperlink" Target="http://www.linkedin.com/in/ahmed-ettarrouzi" TargetMode="External"/><Relationship  Id="rId8928" Type="http://schemas.openxmlformats.org/officeDocument/2006/relationships/hyperlink" Target="http://www.oneskill.fr" TargetMode="External"/><Relationship  Id="rId8929" Type="http://schemas.openxmlformats.org/officeDocument/2006/relationships/hyperlink" Target="http://www.linkedin.com/in/anne-f-a1247944" TargetMode="External"/><Relationship  Id="rId893" Type="http://schemas.openxmlformats.org/officeDocument/2006/relationships/hyperlink" Target="http://www.linkedin.com/in/f-farneti-5b8498246" TargetMode="External"/><Relationship  Id="rId8930" Type="http://schemas.openxmlformats.org/officeDocument/2006/relationships/hyperlink" Target="http://www.do-science.com" TargetMode="External"/><Relationship  Id="rId8931" Type="http://schemas.openxmlformats.org/officeDocument/2006/relationships/hyperlink" Target="http://www.linkedin.com/in/philippeduhamel" TargetMode="External"/><Relationship  Id="rId8932" Type="http://schemas.openxmlformats.org/officeDocument/2006/relationships/hyperlink" Target="http://www.spellz.ai" TargetMode="External"/><Relationship  Id="rId8933" Type="http://schemas.openxmlformats.org/officeDocument/2006/relationships/hyperlink" Target="http://www.linkedin.com/in/matthieu-bluison" TargetMode="External"/><Relationship  Id="rId8934" Type="http://schemas.openxmlformats.org/officeDocument/2006/relationships/hyperlink" Target="http://www.ketrium.com" TargetMode="External"/><Relationship  Id="rId8935" Type="http://schemas.openxmlformats.org/officeDocument/2006/relationships/hyperlink" Target="http://www.linkedin.com/in/michael-laporte-89ba5037" TargetMode="External"/><Relationship  Id="rId8936" Type="http://schemas.openxmlformats.org/officeDocument/2006/relationships/hyperlink" Target="http://www.linkedin.com/in/thomas-feltrin-15ba6b91" TargetMode="External"/><Relationship  Id="rId8937" Type="http://schemas.openxmlformats.org/officeDocument/2006/relationships/hyperlink" Target="http://www.beeldi.com" TargetMode="External"/><Relationship  Id="rId8938" Type="http://schemas.openxmlformats.org/officeDocument/2006/relationships/hyperlink" Target="http://www.linkedin.com/in/jean-jacques-chevreuil-59033a124" TargetMode="External"/><Relationship  Id="rId8939" Type="http://schemas.openxmlformats.org/officeDocument/2006/relationships/hyperlink" Target="http://www.igtprivilege.fr" TargetMode="External"/><Relationship  Id="rId894" Type="http://schemas.openxmlformats.org/officeDocument/2006/relationships/hyperlink" Target="http://www.linkedin.com/in/oscar-comtet-4043071ba" TargetMode="External"/><Relationship  Id="rId8940" Type="http://schemas.openxmlformats.org/officeDocument/2006/relationships/hyperlink" Target="http://www.linkedin.com/in/martindutreil" TargetMode="External"/><Relationship  Id="rId8941" Type="http://schemas.openxmlformats.org/officeDocument/2006/relationships/hyperlink" Target="http://www.lexico-consulting.com" TargetMode="External"/><Relationship  Id="rId8942" Type="http://schemas.openxmlformats.org/officeDocument/2006/relationships/hyperlink" Target="http://www.linkedin.com/in/julien-boucher-conseil" TargetMode="External"/><Relationship  Id="rId8943" Type="http://schemas.openxmlformats.org/officeDocument/2006/relationships/hyperlink" Target="http://www.gingerminds.fr" TargetMode="External"/><Relationship  Id="rId8944" Type="http://schemas.openxmlformats.org/officeDocument/2006/relationships/hyperlink" Target="http://www.linkedin.com/in/gabriel-begazo" TargetMode="External"/><Relationship  Id="rId8945" Type="http://schemas.openxmlformats.org/officeDocument/2006/relationships/hyperlink" Target="http://www.linkedin.com/in/fr%c3%a9d%c3%a9ric-pacotte-70b2581b" TargetMode="External"/><Relationship  Id="rId8946" Type="http://schemas.openxmlformats.org/officeDocument/2006/relationships/hyperlink" Target="http://www.monkeyfactory.fr" TargetMode="External"/><Relationship  Id="rId8947" Type="http://schemas.openxmlformats.org/officeDocument/2006/relationships/hyperlink" Target="http://www.linkedin.com/in/eric-bucci-00bbb0" TargetMode="External"/><Relationship  Id="rId8948" Type="http://schemas.openxmlformats.org/officeDocument/2006/relationships/hyperlink" Target="http://www.linkedin.com/in/richard-dauphin-a5961674" TargetMode="External"/><Relationship  Id="rId8949" Type="http://schemas.openxmlformats.org/officeDocument/2006/relationships/hyperlink" Target="http://www.riss-consulting.com" TargetMode="External"/><Relationship  Id="rId895" Type="http://schemas.openxmlformats.org/officeDocument/2006/relationships/hyperlink" Target="http://www.hotelparticulier.com" TargetMode="External"/><Relationship  Id="rId8950" Type="http://schemas.openxmlformats.org/officeDocument/2006/relationships/hyperlink" Target="http://www.linkedin.com/in/coulonsebastien" TargetMode="External"/><Relationship  Id="rId8951" Type="http://schemas.openxmlformats.org/officeDocument/2006/relationships/hyperlink" Target="http://www.spinalcom.com" TargetMode="External"/><Relationship  Id="rId8952" Type="http://schemas.openxmlformats.org/officeDocument/2006/relationships/hyperlink" Target="http://www.linkedin.com/in/ljuggery" TargetMode="External"/><Relationship  Id="rId8953" Type="http://schemas.openxmlformats.org/officeDocument/2006/relationships/hyperlink" Target="http://www.traxxs.net" TargetMode="External"/><Relationship  Id="rId8954" Type="http://schemas.openxmlformats.org/officeDocument/2006/relationships/hyperlink" Target="http://www.linkedin.com/in/louis-delort-975b42b1" TargetMode="External"/><Relationship  Id="rId8955" Type="http://schemas.openxmlformats.org/officeDocument/2006/relationships/hyperlink" Target="http://www.linkedin.com/in/lmyoux" TargetMode="External"/><Relationship  Id="rId8956" Type="http://schemas.openxmlformats.org/officeDocument/2006/relationships/hyperlink" Target="http://www.linkedin.com/in/nathalie-plantevin" TargetMode="External"/><Relationship  Id="rId8957" Type="http://schemas.openxmlformats.org/officeDocument/2006/relationships/hyperlink" Target="http://www.kwiper.fr" TargetMode="External"/><Relationship  Id="rId8958" Type="http://schemas.openxmlformats.org/officeDocument/2006/relationships/hyperlink" Target="http://www.linkedin.com/in/jonathan-tamene-21749a5b" TargetMode="External"/><Relationship  Id="rId8959" Type="http://schemas.openxmlformats.org/officeDocument/2006/relationships/hyperlink" Target="http://www.backlight.fr" TargetMode="External"/><Relationship  Id="rId896" Type="http://schemas.openxmlformats.org/officeDocument/2006/relationships/hyperlink" Target="http://www.linkedin.com/in/elisagirard" TargetMode="External"/><Relationship  Id="rId8960" Type="http://schemas.openxmlformats.org/officeDocument/2006/relationships/hyperlink" Target="http://www.linkedin.com/in/audeon" TargetMode="External"/><Relationship  Id="rId8961" Type="http://schemas.openxmlformats.org/officeDocument/2006/relationships/hyperlink" Target="http://www.effinnov.com" TargetMode="External"/><Relationship  Id="rId8962" Type="http://schemas.openxmlformats.org/officeDocument/2006/relationships/hyperlink" Target="http://www.linkedin.com/in/quentin-de-madre-45541094" TargetMode="External"/><Relationship  Id="rId8963" Type="http://schemas.openxmlformats.org/officeDocument/2006/relationships/hyperlink" Target="http://www.kidola.club" TargetMode="External"/><Relationship  Id="rId8964" Type="http://schemas.openxmlformats.org/officeDocument/2006/relationships/hyperlink" Target="http://www.linkedin.com/in/samuel-almeida-a2b53631" TargetMode="External"/><Relationship  Id="rId8965" Type="http://schemas.openxmlformats.org/officeDocument/2006/relationships/hyperlink" Target="http://www.skill-partner.com" TargetMode="External"/><Relationship  Id="rId8966" Type="http://schemas.openxmlformats.org/officeDocument/2006/relationships/hyperlink" Target="http://www.linkedin.com/in/philippe-porral-31633814a" TargetMode="External"/><Relationship  Id="rId8967" Type="http://schemas.openxmlformats.org/officeDocument/2006/relationships/hyperlink" Target="http://www.linkedin.com/in/arthur-amon-b5b296200" TargetMode="External"/><Relationship  Id="rId8968" Type="http://schemas.openxmlformats.org/officeDocument/2006/relationships/hyperlink" Target="http://www.boleromusic.com" TargetMode="External"/><Relationship  Id="rId8969" Type="http://schemas.openxmlformats.org/officeDocument/2006/relationships/hyperlink" Target="http://www.linkedin.com/in/paula-wateau-9b937563" TargetMode="External"/><Relationship  Id="rId897" Type="http://schemas.openxmlformats.org/officeDocument/2006/relationships/hyperlink" Target="http://www.malonehotels.com" TargetMode="External"/><Relationship  Id="rId8970" Type="http://schemas.openxmlformats.org/officeDocument/2006/relationships/hyperlink" Target="http://www.labr.com" TargetMode="External"/><Relationship  Id="rId8971" Type="http://schemas.openxmlformats.org/officeDocument/2006/relationships/hyperlink" Target="http://www.linkedin.com/in/alain-crevet-9b22931" TargetMode="External"/><Relationship  Id="rId8972" Type="http://schemas.openxmlformats.org/officeDocument/2006/relationships/hyperlink" Target="http://www.st-dupont.com" TargetMode="External"/><Relationship  Id="rId8973" Type="http://schemas.openxmlformats.org/officeDocument/2006/relationships/hyperlink" Target="http://www.linkedin.com/in/pierre-mailland-rosset-242221187" TargetMode="External"/><Relationship  Id="rId8974" Type="http://schemas.openxmlformats.org/officeDocument/2006/relationships/hyperlink" Target="http://www.teramat.fr" TargetMode="External"/><Relationship  Id="rId8975" Type="http://schemas.openxmlformats.org/officeDocument/2006/relationships/hyperlink" Target="http://www.linkedin.com/in/philippe-boucher-b0b308" TargetMode="External"/><Relationship  Id="rId8976" Type="http://schemas.openxmlformats.org/officeDocument/2006/relationships/hyperlink" Target="http://www.invalio.com" TargetMode="External"/><Relationship  Id="rId8977" Type="http://schemas.openxmlformats.org/officeDocument/2006/relationships/hyperlink" Target="http://www.linkedin.com/in/philippe-barreau-5706a83a" TargetMode="External"/><Relationship  Id="rId8978" Type="http://schemas.openxmlformats.org/officeDocument/2006/relationships/hyperlink" Target="http://www.maggy.team" TargetMode="External"/><Relationship  Id="rId8979" Type="http://schemas.openxmlformats.org/officeDocument/2006/relationships/hyperlink" Target="http://www.linkedin.com/in/dimitri-tcherniak-a6a80755" TargetMode="External"/><Relationship  Id="rId898" Type="http://schemas.openxmlformats.org/officeDocument/2006/relationships/hyperlink" Target="http://www.linkedin.com/in/lindatrin" TargetMode="External"/><Relationship  Id="rId8980" Type="http://schemas.openxmlformats.org/officeDocument/2006/relationships/hyperlink" Target="http://www.linkedin.com/in/mzamolo" TargetMode="External"/><Relationship  Id="rId8981" Type="http://schemas.openxmlformats.org/officeDocument/2006/relationships/hyperlink" Target="http://www.ae-consulting.fr" TargetMode="External"/><Relationship  Id="rId8982" Type="http://schemas.openxmlformats.org/officeDocument/2006/relationships/hyperlink" Target="http://www.linkedin.com/in/jypelicier" TargetMode="External"/><Relationship  Id="rId8983" Type="http://schemas.openxmlformats.org/officeDocument/2006/relationships/hyperlink" Target="http://www.inovafi.com" TargetMode="External"/><Relationship  Id="rId8984" Type="http://schemas.openxmlformats.org/officeDocument/2006/relationships/hyperlink" Target="http://www.linkedin.com/in/yohannberthe" TargetMode="External"/><Relationship  Id="rId8985" Type="http://schemas.openxmlformats.org/officeDocument/2006/relationships/hyperlink" Target="http://www.drive-innov.com" TargetMode="External"/><Relationship  Id="rId8986" Type="http://schemas.openxmlformats.org/officeDocument/2006/relationships/hyperlink" Target="http://www.linkedin.com/in/antoine-houtekier-53206445" TargetMode="External"/><Relationship  Id="rId8987" Type="http://schemas.openxmlformats.org/officeDocument/2006/relationships/hyperlink" Target="http://www.norgatec.com" TargetMode="External"/><Relationship  Id="rId8988" Type="http://schemas.openxmlformats.org/officeDocument/2006/relationships/hyperlink" Target="http://www.linkedin.com/in/deniz-endam" TargetMode="External"/><Relationship  Id="rId8989" Type="http://schemas.openxmlformats.org/officeDocument/2006/relationships/hyperlink" Target="http://www.dougeinternational.com" TargetMode="External"/><Relationship  Id="rId899" Type="http://schemas.openxmlformats.org/officeDocument/2006/relationships/hyperlink" Target="http://www.avocateria.fr" TargetMode="External"/><Relationship  Id="rId8990" Type="http://schemas.openxmlformats.org/officeDocument/2006/relationships/hyperlink" Target="http://www.linkedin.com/in/claire-dellatolas" TargetMode="External"/><Relationship  Id="rId8991" Type="http://schemas.openxmlformats.org/officeDocument/2006/relationships/hyperlink" Target="http://www.ostaragroup.fr" TargetMode="External"/><Relationship  Id="rId8992" Type="http://schemas.openxmlformats.org/officeDocument/2006/relationships/hyperlink" Target="http://www.linkedin.com/in/c%c3%a9sar-esteve-alphadial" TargetMode="External"/><Relationship  Id="rId8993" Type="http://schemas.openxmlformats.org/officeDocument/2006/relationships/hyperlink" Target="http://www.alphadial.fr" TargetMode="External"/><Relationship  Id="rId8994" Type="http://schemas.openxmlformats.org/officeDocument/2006/relationships/hyperlink" Target="http://www.linkedin.com/in/nora-mahdid-2a5810130" TargetMode="External"/><Relationship  Id="rId8995" Type="http://schemas.openxmlformats.org/officeDocument/2006/relationships/hyperlink" Target="http://www.ask-group.fr" TargetMode="External"/><Relationship  Id="rId8996" Type="http://schemas.openxmlformats.org/officeDocument/2006/relationships/hyperlink" Target="http://www.linkedin.com/in/peter-beseda-187604" TargetMode="External"/><Relationship  Id="rId8997" Type="http://schemas.openxmlformats.org/officeDocument/2006/relationships/hyperlink" Target="http://www.automationbot.eu" TargetMode="External"/><Relationship  Id="rId8998" Type="http://schemas.openxmlformats.org/officeDocument/2006/relationships/hyperlink" Target="http://www.linkedin.com/in/anne-tessier-ch%c3%aanebeau-%f0%9f%9a%80-519bba64" TargetMode="External"/><Relationship  Id="rId8999" Type="http://schemas.openxmlformats.org/officeDocument/2006/relationships/hyperlink" Target="http://www.highflyers.agency" TargetMode="External"/><Relationship  Id="rId9" Type="http://schemas.openxmlformats.org/officeDocument/2006/relationships/hyperlink" Target="http://www.linkedin.com/in/romeoverdier" TargetMode="External"/><Relationship  Id="rId90" Type="http://schemas.openxmlformats.org/officeDocument/2006/relationships/hyperlink" Target="http://www.linkedin.com/in/peggy-gast%c3%a9-14373a75" TargetMode="External"/><Relationship  Id="rId900" Type="http://schemas.openxmlformats.org/officeDocument/2006/relationships/hyperlink" Target="http://www.linkedin.com/in/francois-palluis-tilkee" TargetMode="External"/><Relationship  Id="rId9000" Type="http://schemas.openxmlformats.org/officeDocument/2006/relationships/hyperlink" Target="http://www.linkedin.com/in/tony-hamzaoui-87a0ab6a" TargetMode="External"/><Relationship  Id="rId9001" Type="http://schemas.openxmlformats.org/officeDocument/2006/relationships/hyperlink" Target="http://www.thecercle.fr" TargetMode="External"/><Relationship  Id="rId9002" Type="http://schemas.openxmlformats.org/officeDocument/2006/relationships/hyperlink" Target="http://www.linkedin.com/in/virginie-pingenot-499ba3130" TargetMode="External"/><Relationship  Id="rId9003" Type="http://schemas.openxmlformats.org/officeDocument/2006/relationships/hyperlink" Target="http://www.stratae.fr" TargetMode="External"/><Relationship  Id="rId9004" Type="http://schemas.openxmlformats.org/officeDocument/2006/relationships/hyperlink" Target="http://www.linkedin.com/in/pierre-etchanchu-bbab521" TargetMode="External"/><Relationship  Id="rId9005" Type="http://schemas.openxmlformats.org/officeDocument/2006/relationships/hyperlink" Target="http://www.wizin.fr" TargetMode="External"/><Relationship  Id="rId9006" Type="http://schemas.openxmlformats.org/officeDocument/2006/relationships/hyperlink" Target="http://www.linkedin.com/in/alain-priso-b88b3b7" TargetMode="External"/><Relationship  Id="rId9007" Type="http://schemas.openxmlformats.org/officeDocument/2006/relationships/hyperlink" Target="http://www.finovup.fr" TargetMode="External"/><Relationship  Id="rId9008" Type="http://schemas.openxmlformats.org/officeDocument/2006/relationships/hyperlink" Target="http://www.linkedin.com/in/moumniprofil" TargetMode="External"/><Relationship  Id="rId9009" Type="http://schemas.openxmlformats.org/officeDocument/2006/relationships/hyperlink" Target="http://www.energiesdev.fr" TargetMode="External"/><Relationship  Id="rId901" Type="http://schemas.openxmlformats.org/officeDocument/2006/relationships/hyperlink" Target="http://www.venandi-sauvage.fr" TargetMode="External"/><Relationship  Id="rId9010" Type="http://schemas.openxmlformats.org/officeDocument/2006/relationships/hyperlink" Target="http://www.linkedin.com/in/micha%c3%abl-carr%c3%a9-0920b82" TargetMode="External"/><Relationship  Id="rId9011" Type="http://schemas.openxmlformats.org/officeDocument/2006/relationships/hyperlink" Target="http://www.linkedin.com/in/ffort" TargetMode="External"/><Relationship  Id="rId9012" Type="http://schemas.openxmlformats.org/officeDocument/2006/relationships/hyperlink" Target="http://www.rist-groupe.fr" TargetMode="External"/><Relationship  Id="rId9013" Type="http://schemas.openxmlformats.org/officeDocument/2006/relationships/hyperlink" Target="http://www.linkedin.com/in/samuel-simon-04a08597" TargetMode="External"/><Relationship  Id="rId9014" Type="http://schemas.openxmlformats.org/officeDocument/2006/relationships/hyperlink" Target="http://www.imdm.group" TargetMode="External"/><Relationship  Id="rId9015" Type="http://schemas.openxmlformats.org/officeDocument/2006/relationships/hyperlink" Target="http://www.linkedin.com/in/thierry-hamilius" TargetMode="External"/><Relationship  Id="rId9016" Type="http://schemas.openxmlformats.org/officeDocument/2006/relationships/hyperlink" Target="http://www.moreno-consulting.fr" TargetMode="External"/><Relationship  Id="rId9017" Type="http://schemas.openxmlformats.org/officeDocument/2006/relationships/hyperlink" Target="http://www.linkedin.com/in/floriane-de-saint-pierre-42ab561b1" TargetMode="External"/><Relationship  Id="rId9018" Type="http://schemas.openxmlformats.org/officeDocument/2006/relationships/hyperlink" Target="http://www.fspsa.com" TargetMode="External"/><Relationship  Id="rId9019" Type="http://schemas.openxmlformats.org/officeDocument/2006/relationships/hyperlink" Target="http://www.linkedin.com/in/anne-marie-fontaine-8aab1912" TargetMode="External"/><Relationship  Id="rId902" Type="http://schemas.openxmlformats.org/officeDocument/2006/relationships/hyperlink" Target="http://www.linkedin.com/in/thibauttaittinger" TargetMode="External"/><Relationship  Id="rId9020" Type="http://schemas.openxmlformats.org/officeDocument/2006/relationships/hyperlink" Target="http://www.imaginationsfertiles.fr" TargetMode="External"/><Relationship  Id="rId9021" Type="http://schemas.openxmlformats.org/officeDocument/2006/relationships/hyperlink" Target="http://www.linkedin.com/in/vincent-guilloux-56b73712" TargetMode="External"/><Relationship  Id="rId9022" Type="http://schemas.openxmlformats.org/officeDocument/2006/relationships/hyperlink" Target="http://www.solutions-productives.com" TargetMode="External"/><Relationship  Id="rId9023" Type="http://schemas.openxmlformats.org/officeDocument/2006/relationships/hyperlink" Target="http://www.linkedin.com/in/geoffroy-joly-35648428" TargetMode="External"/><Relationship  Id="rId9024" Type="http://schemas.openxmlformats.org/officeDocument/2006/relationships/hyperlink" Target="http://www.youxta.fr" TargetMode="External"/><Relationship  Id="rId9025" Type="http://schemas.openxmlformats.org/officeDocument/2006/relationships/hyperlink" Target="http://www.linkedin.com/in/dimitri-boennec-e-commerce" TargetMode="External"/><Relationship  Id="rId9026" Type="http://schemas.openxmlformats.org/officeDocument/2006/relationships/hyperlink" Target="http://www.collectif-excalibur.fr" TargetMode="External"/><Relationship  Id="rId9027" Type="http://schemas.openxmlformats.org/officeDocument/2006/relationships/hyperlink" Target="http://www.linkedin.com/in/arantxa-balson-8a85933" TargetMode="External"/><Relationship  Id="rId9028" Type="http://schemas.openxmlformats.org/officeDocument/2006/relationships/hyperlink" Target="http://www.in4impact.com" TargetMode="External"/><Relationship  Id="rId9029" Type="http://schemas.openxmlformats.org/officeDocument/2006/relationships/hyperlink" Target="http://www.linkedin.com/in/bertrand-husson-6b609819" TargetMode="External"/><Relationship  Id="rId903" Type="http://schemas.openxmlformats.org/officeDocument/2006/relationships/hyperlink" Target="http://www.puzl.com" TargetMode="External"/><Relationship  Id="rId9030" Type="http://schemas.openxmlformats.org/officeDocument/2006/relationships/hyperlink" Target="http://www.mappsy.com" TargetMode="External"/><Relationship  Id="rId9031" Type="http://schemas.openxmlformats.org/officeDocument/2006/relationships/hyperlink" Target="http://www.linkedin.com/in/joan-lelong-022792200" TargetMode="External"/><Relationship  Id="rId9032" Type="http://schemas.openxmlformats.org/officeDocument/2006/relationships/hyperlink" Target="http://www.quellecreche.fr" TargetMode="External"/><Relationship  Id="rId9033" Type="http://schemas.openxmlformats.org/officeDocument/2006/relationships/hyperlink" Target="http://www.linkedin.com/in/benjamin-dargaud" TargetMode="External"/><Relationship  Id="rId9034" Type="http://schemas.openxmlformats.org/officeDocument/2006/relationships/hyperlink" Target="http://www.co-efficienceconseil.com" TargetMode="External"/><Relationship  Id="rId9035" Type="http://schemas.openxmlformats.org/officeDocument/2006/relationships/hyperlink" Target="http://www.linkedin.com/in/jeanfox" TargetMode="External"/><Relationship  Id="rId9036" Type="http://schemas.openxmlformats.org/officeDocument/2006/relationships/hyperlink" Target="http://www.altermakers.com" TargetMode="External"/><Relationship  Id="rId9037" Type="http://schemas.openxmlformats.org/officeDocument/2006/relationships/hyperlink" Target="http://www.linkedin.com/in/guy-le-p%c3%a9chon-0b72a9" TargetMode="External"/><Relationship  Id="rId9038" Type="http://schemas.openxmlformats.org/officeDocument/2006/relationships/hyperlink" Target="http://www.g-et-s.com" TargetMode="External"/><Relationship  Id="rId9039" Type="http://schemas.openxmlformats.org/officeDocument/2006/relationships/hyperlink" Target="http://www.linkedin.com/in/jean-jacques-cado-a472311b" TargetMode="External"/><Relationship  Id="rId904" Type="http://schemas.openxmlformats.org/officeDocument/2006/relationships/hyperlink" Target="http://www.linkedin.com/in/olivier-derycke" TargetMode="External"/><Relationship  Id="rId9040" Type="http://schemas.openxmlformats.org/officeDocument/2006/relationships/hyperlink" Target="http://www.ithylo.com" TargetMode="External"/><Relationship  Id="rId9041" Type="http://schemas.openxmlformats.org/officeDocument/2006/relationships/hyperlink" Target="http://www.linkedin.com/in/sandrine-bouvet" TargetMode="External"/><Relationship  Id="rId9042" Type="http://schemas.openxmlformats.org/officeDocument/2006/relationships/hyperlink" Target="http://www.thevision.biz" TargetMode="External"/><Relationship  Id="rId9043" Type="http://schemas.openxmlformats.org/officeDocument/2006/relationships/hyperlink" Target="http://www.linkedin.com/in/dafonlinefdermagne" TargetMode="External"/><Relationship  Id="rId9044" Type="http://schemas.openxmlformats.org/officeDocument/2006/relationships/hyperlink" Target="http://www.daf-online.com" TargetMode="External"/><Relationship  Id="rId9045" Type="http://schemas.openxmlformats.org/officeDocument/2006/relationships/hyperlink" Target="http://www.linkedin.com/in/yvanwibaux" TargetMode="External"/><Relationship  Id="rId9046" Type="http://schemas.openxmlformats.org/officeDocument/2006/relationships/hyperlink" Target="http://www.linkedin.com/in/marieneigepinton" TargetMode="External"/><Relationship  Id="rId9047" Type="http://schemas.openxmlformats.org/officeDocument/2006/relationships/hyperlink" Target="http://www.performanceondemand.fr" TargetMode="External"/><Relationship  Id="rId9048" Type="http://schemas.openxmlformats.org/officeDocument/2006/relationships/hyperlink" Target="http://www.linkedin.com/in/layticia-audibert-gandee" TargetMode="External"/><Relationship  Id="rId9049" Type="http://schemas.openxmlformats.org/officeDocument/2006/relationships/hyperlink" Target="http://www.gandee.net" TargetMode="External"/><Relationship  Id="rId905" Type="http://schemas.openxmlformats.org/officeDocument/2006/relationships/hyperlink" Target="http://www.setoninvest.com" TargetMode="External"/><Relationship  Id="rId9050" Type="http://schemas.openxmlformats.org/officeDocument/2006/relationships/hyperlink" Target="http://www.linkedin.com/in/mohammed-bennani-6432375a" TargetMode="External"/><Relationship  Id="rId9051" Type="http://schemas.openxmlformats.org/officeDocument/2006/relationships/hyperlink" Target="http://www.qualees.com" TargetMode="External"/><Relationship  Id="rId9052" Type="http://schemas.openxmlformats.org/officeDocument/2006/relationships/hyperlink" Target="http://www.linkedin.com/in/christophe-hermitan-synpeak-qvt-sport-sante" TargetMode="External"/><Relationship  Id="rId9053" Type="http://schemas.openxmlformats.org/officeDocument/2006/relationships/hyperlink" Target="http://www.synpeak.com" TargetMode="External"/><Relationship  Id="rId9054" Type="http://schemas.openxmlformats.org/officeDocument/2006/relationships/hyperlink" Target="http://www.linkedin.com/in/rayan-hasnaoui" TargetMode="External"/><Relationship  Id="rId9055" Type="http://schemas.openxmlformats.org/officeDocument/2006/relationships/hyperlink" Target="http://www.newco-partners.com" TargetMode="External"/><Relationship  Id="rId9056" Type="http://schemas.openxmlformats.org/officeDocument/2006/relationships/hyperlink" Target="http://www.linkedin.com/in/karinelecomterse" TargetMode="External"/><Relationship  Id="rId9057" Type="http://schemas.openxmlformats.org/officeDocument/2006/relationships/hyperlink" Target="http://www.amaltheeconsulting.com" TargetMode="External"/><Relationship  Id="rId9058" Type="http://schemas.openxmlformats.org/officeDocument/2006/relationships/hyperlink" Target="http://www.linkedin.com/in/louis-sentis-b9241a88" TargetMode="External"/><Relationship  Id="rId9059" Type="http://schemas.openxmlformats.org/officeDocument/2006/relationships/hyperlink" Target="http://www.linkedin.com/in/p%c3%a9lagie-bardel-4b96a478" TargetMode="External"/><Relationship  Id="rId906" Type="http://schemas.openxmlformats.org/officeDocument/2006/relationships/hyperlink" Target="http://www.linkedin.com/in/eloicourcoux" TargetMode="External"/><Relationship  Id="rId9060" Type="http://schemas.openxmlformats.org/officeDocument/2006/relationships/hyperlink" Target="http://www.linkedin.com/in/laurent-rioublanc-b91aa83" TargetMode="External"/><Relationship  Id="rId9061" Type="http://schemas.openxmlformats.org/officeDocument/2006/relationships/hyperlink" Target="http://www.linkedin.com/in/cedrick-bonin-25189210a" TargetMode="External"/><Relationship  Id="rId9062" Type="http://schemas.openxmlformats.org/officeDocument/2006/relationships/hyperlink" Target="http://www.cdconseils.net" TargetMode="External"/><Relationship  Id="rId9063" Type="http://schemas.openxmlformats.org/officeDocument/2006/relationships/hyperlink" Target="http://www.linkedin.com/in/jerome-pierart-4749603" TargetMode="External"/><Relationship  Id="rId9064" Type="http://schemas.openxmlformats.org/officeDocument/2006/relationships/hyperlink" Target="http://www.agence-shake.fr" TargetMode="External"/><Relationship  Id="rId9065" Type="http://schemas.openxmlformats.org/officeDocument/2006/relationships/hyperlink" Target="http://www.linkedin.com/in/lucie-aubeaux-782b97b9" TargetMode="External"/><Relationship  Id="rId9066" Type="http://schemas.openxmlformats.org/officeDocument/2006/relationships/hyperlink" Target="http://www.afalula.com" TargetMode="External"/><Relationship  Id="rId9067" Type="http://schemas.openxmlformats.org/officeDocument/2006/relationships/hyperlink" Target="http://www.linkedin.com/in/annesophieicard" TargetMode="External"/><Relationship  Id="rId9068" Type="http://schemas.openxmlformats.org/officeDocument/2006/relationships/hyperlink" Target="http://www.athome-ecosysteme.fr" TargetMode="External"/><Relationship  Id="rId9069" Type="http://schemas.openxmlformats.org/officeDocument/2006/relationships/hyperlink" Target="http://www.linkedin.com/in/nicolas-pinglot" TargetMode="External"/><Relationship  Id="rId907" Type="http://schemas.openxmlformats.org/officeDocument/2006/relationships/hyperlink" Target="http://www.boostable.eu" TargetMode="External"/><Relationship  Id="rId9070" Type="http://schemas.openxmlformats.org/officeDocument/2006/relationships/hyperlink" Target="http://www.spirit-advisors.com" TargetMode="External"/><Relationship  Id="rId9071" Type="http://schemas.openxmlformats.org/officeDocument/2006/relationships/hyperlink" Target="http://www.linkedin.com/in/emmanuelmas" TargetMode="External"/><Relationship  Id="rId9072" Type="http://schemas.openxmlformats.org/officeDocument/2006/relationships/hyperlink" Target="http://www.laboetiepartners.com" TargetMode="External"/><Relationship  Id="rId9073" Type="http://schemas.openxmlformats.org/officeDocument/2006/relationships/hyperlink" Target="http://www.linkedin.com/in/rapha%c3%abl-robert-2b9a036b" TargetMode="External"/><Relationship  Id="rId9074" Type="http://schemas.openxmlformats.org/officeDocument/2006/relationships/hyperlink" Target="http://www.noveha.fr" TargetMode="External"/><Relationship  Id="rId9075" Type="http://schemas.openxmlformats.org/officeDocument/2006/relationships/hyperlink" Target="http://www.linkedin.com/in/emiliecalame" TargetMode="External"/><Relationship  Id="rId9076" Type="http://schemas.openxmlformats.org/officeDocument/2006/relationships/hyperlink" Target="http://www.calame.fr" TargetMode="External"/><Relationship  Id="rId9077" Type="http://schemas.openxmlformats.org/officeDocument/2006/relationships/hyperlink" Target="http://www.linkedin.com/in/patricia-lamarre-borelli-ba9b11111" TargetMode="External"/><Relationship  Id="rId9078" Type="http://schemas.openxmlformats.org/officeDocument/2006/relationships/hyperlink" Target="http://www.linkedin.com/in/bertrand-weckel-a834b712" TargetMode="External"/><Relationship  Id="rId9079" Type="http://schemas.openxmlformats.org/officeDocument/2006/relationships/hyperlink" Target="http://www.atrisc.com" TargetMode="External"/><Relationship  Id="rId908" Type="http://schemas.openxmlformats.org/officeDocument/2006/relationships/hyperlink" Target="http://www.linkedin.com/in/abokobsa" TargetMode="External"/><Relationship  Id="rId9080" Type="http://schemas.openxmlformats.org/officeDocument/2006/relationships/hyperlink" Target="http://www.linkedin.com/in/vincentgrison0kalaneconsulting" TargetMode="External"/><Relationship  Id="rId9081" Type="http://schemas.openxmlformats.org/officeDocument/2006/relationships/hyperlink" Target="http://www.kalane-consulting.com" TargetMode="External"/><Relationship  Id="rId9082" Type="http://schemas.openxmlformats.org/officeDocument/2006/relationships/hyperlink" Target="http://www.linkedin.com/in/fran%c3%a7ois-daniel-migeon-07325b62" TargetMode="External"/><Relationship  Id="rId9083" Type="http://schemas.openxmlformats.org/officeDocument/2006/relationships/hyperlink" Target="http://www.thomas-more-partners.com" TargetMode="External"/><Relationship  Id="rId9084" Type="http://schemas.openxmlformats.org/officeDocument/2006/relationships/hyperlink" Target="http://www.linkedin.com/in/lynda-stien-7187937" TargetMode="External"/><Relationship  Id="rId9085" Type="http://schemas.openxmlformats.org/officeDocument/2006/relationships/hyperlink" Target="http://www.linmanetassocies.fr" TargetMode="External"/><Relationship  Id="rId9086" Type="http://schemas.openxmlformats.org/officeDocument/2006/relationships/hyperlink" Target="http://www.linkedin.com/in/julien-foufelle-9b4081154" TargetMode="External"/><Relationship  Id="rId9087" Type="http://schemas.openxmlformats.org/officeDocument/2006/relationships/hyperlink" Target="http://www.kayac-consulting.com" TargetMode="External"/><Relationship  Id="rId9088" Type="http://schemas.openxmlformats.org/officeDocument/2006/relationships/hyperlink" Target="http://www.linkedin.com/in/alexiskryceve" TargetMode="External"/><Relationship  Id="rId9089" Type="http://schemas.openxmlformats.org/officeDocument/2006/relationships/hyperlink" Target="http://www.haatch.fr" TargetMode="External"/><Relationship  Id="rId909" Type="http://schemas.openxmlformats.org/officeDocument/2006/relationships/hyperlink" Target="http://www.piedaterre.fr" TargetMode="External"/><Relationship  Id="rId9090" Type="http://schemas.openxmlformats.org/officeDocument/2006/relationships/hyperlink" Target="http://www.linkedin.com/in/soizic-huet-58b6582b" TargetMode="External"/><Relationship  Id="rId9091" Type="http://schemas.openxmlformats.org/officeDocument/2006/relationships/hyperlink" Target="http://www.la-cousine.fr" TargetMode="External"/><Relationship  Id="rId9092" Type="http://schemas.openxmlformats.org/officeDocument/2006/relationships/hyperlink" Target="http://www.linkedin.com/in/charlespingree" TargetMode="External"/><Relationship  Id="rId9093" Type="http://schemas.openxmlformats.org/officeDocument/2006/relationships/hyperlink" Target="http://www.sticky-e.com" TargetMode="External"/><Relationship  Id="rId9094" Type="http://schemas.openxmlformats.org/officeDocument/2006/relationships/hyperlink" Target="http://www.linkedin.com/in/sohaib-zafar-2a0326170" TargetMode="External"/><Relationship  Id="rId9095" Type="http://schemas.openxmlformats.org/officeDocument/2006/relationships/hyperlink" Target="http://www.bizgrowconsultants.com" TargetMode="External"/><Relationship  Id="rId9096" Type="http://schemas.openxmlformats.org/officeDocument/2006/relationships/hyperlink" Target="http://www.linkedin.com/in/charbel-roukoss-5623a560" TargetMode="External"/><Relationship  Id="rId9097" Type="http://schemas.openxmlformats.org/officeDocument/2006/relationships/hyperlink" Target="http://www.tescan-analytics.com" TargetMode="External"/><Relationship  Id="rId9098" Type="http://schemas.openxmlformats.org/officeDocument/2006/relationships/hyperlink" Target="http://www.linkedin.com/in/el%c3%a9onore-digne-6a30a597" TargetMode="External"/><Relationship  Id="rId9099" Type="http://schemas.openxmlformats.org/officeDocument/2006/relationships/hyperlink" Target="http://www.france-certification.com" TargetMode="External"/><Relationship  Id="rId91" Type="http://schemas.openxmlformats.org/officeDocument/2006/relationships/hyperlink" Target="http://www.coolangatta-group.com" TargetMode="External"/><Relationship  Id="rId910" Type="http://schemas.openxmlformats.org/officeDocument/2006/relationships/hyperlink" Target="http://www.linkedin.com/in/clairewillsdiquet" TargetMode="External"/><Relationship  Id="rId9100" Type="http://schemas.openxmlformats.org/officeDocument/2006/relationships/hyperlink" Target="http://www.linkedin.com/in/igor-quezel-perron-1964491" TargetMode="External"/><Relationship  Id="rId9101" Type="http://schemas.openxmlformats.org/officeDocument/2006/relationships/hyperlink" Target="http://www.kintpartners.com" TargetMode="External"/><Relationship  Id="rId9102" Type="http://schemas.openxmlformats.org/officeDocument/2006/relationships/hyperlink" Target="http://www.linkedin.com/in/yann-leblond-7b63b8a4" TargetMode="External"/><Relationship  Id="rId9103" Type="http://schemas.openxmlformats.org/officeDocument/2006/relationships/hyperlink" Target="http://www.e-nergy.com" TargetMode="External"/><Relationship  Id="rId9104" Type="http://schemas.openxmlformats.org/officeDocument/2006/relationships/hyperlink" Target="http://www.linkedin.com/in/cyril-aub%c3%a9ry-5b1b97a" TargetMode="External"/><Relationship  Id="rId9105" Type="http://schemas.openxmlformats.org/officeDocument/2006/relationships/hyperlink" Target="http://www.cxp.fr" TargetMode="External"/><Relationship  Id="rId9106" Type="http://schemas.openxmlformats.org/officeDocument/2006/relationships/hyperlink" Target="http://www.linkedin.com/in/sabrina-bouadis-798584209" TargetMode="External"/><Relationship  Id="rId9107" Type="http://schemas.openxmlformats.org/officeDocument/2006/relationships/hyperlink" Target="http://www.arra-engineering.com" TargetMode="External"/><Relationship  Id="rId9108" Type="http://schemas.openxmlformats.org/officeDocument/2006/relationships/hyperlink" Target="http://www.linkedin.com/in/vanessa-vierling-b973311" TargetMode="External"/><Relationship  Id="rId9109" Type="http://schemas.openxmlformats.org/officeDocument/2006/relationships/hyperlink" Target="http://www.spring-lab.com" TargetMode="External"/><Relationship  Id="rId911" Type="http://schemas.openxmlformats.org/officeDocument/2006/relationships/hyperlink" Target="http://www.gonnegirls.farm" TargetMode="External"/><Relationship  Id="rId9110" Type="http://schemas.openxmlformats.org/officeDocument/2006/relationships/hyperlink" Target="http://www.linkedin.com/in/pierre-alfonsi-5493b0" TargetMode="External"/><Relationship  Id="rId9111" Type="http://schemas.openxmlformats.org/officeDocument/2006/relationships/hyperlink" Target="http://www.benkei.eu" TargetMode="External"/><Relationship  Id="rId9112" Type="http://schemas.openxmlformats.org/officeDocument/2006/relationships/hyperlink" Target="http://www.linkedin.com/in/meunier-pierrick" TargetMode="External"/><Relationship  Id="rId9113" Type="http://schemas.openxmlformats.org/officeDocument/2006/relationships/hyperlink" Target="http://www.getalead.co" TargetMode="External"/><Relationship  Id="rId9114" Type="http://schemas.openxmlformats.org/officeDocument/2006/relationships/hyperlink" Target="http://www.linkedin.com/in/rapha%c3%abl-mestanza-4031379" TargetMode="External"/><Relationship  Id="rId9115" Type="http://schemas.openxmlformats.org/officeDocument/2006/relationships/hyperlink" Target="http://www.intpact.com" TargetMode="External"/><Relationship  Id="rId9116" Type="http://schemas.openxmlformats.org/officeDocument/2006/relationships/hyperlink" Target="http://www.linkedin.com/in/gr%c3%a9gory-combes-ab545b106" TargetMode="External"/><Relationship  Id="rId9117" Type="http://schemas.openxmlformats.org/officeDocument/2006/relationships/hyperlink" Target="http://www.indivsible.fr" TargetMode="External"/><Relationship  Id="rId9118" Type="http://schemas.openxmlformats.org/officeDocument/2006/relationships/hyperlink" Target="http://www.linkedin.com/in/louis-armand-dubost-99431161" TargetMode="External"/><Relationship  Id="rId9119" Type="http://schemas.openxmlformats.org/officeDocument/2006/relationships/hyperlink" Target="http://www.goodone.fr" TargetMode="External"/><Relationship  Id="rId912" Type="http://schemas.openxmlformats.org/officeDocument/2006/relationships/hyperlink" Target="http://www.linkedin.com/in/iandecaix" TargetMode="External"/><Relationship  Id="rId9120" Type="http://schemas.openxmlformats.org/officeDocument/2006/relationships/hyperlink" Target="http://www.linkedin.com/in/marie-bastien-47a251150" TargetMode="External"/><Relationship  Id="rId9121" Type="http://schemas.openxmlformats.org/officeDocument/2006/relationships/hyperlink" Target="http://www.astrakhan.consulting" TargetMode="External"/><Relationship  Id="rId9122" Type="http://schemas.openxmlformats.org/officeDocument/2006/relationships/hyperlink" Target="http://www.linkedin.com/in/claude-bonnoure-4430312aa" TargetMode="External"/><Relationship  Id="rId9123" Type="http://schemas.openxmlformats.org/officeDocument/2006/relationships/hyperlink" Target="http://www.linkedin.com/in/fabrice-ros-79a3588" TargetMode="External"/><Relationship  Id="rId9124" Type="http://schemas.openxmlformats.org/officeDocument/2006/relationships/hyperlink" Target="http://www.rr-consulting.aero" TargetMode="External"/><Relationship  Id="rId9125" Type="http://schemas.openxmlformats.org/officeDocument/2006/relationships/hyperlink" Target="http://www.linkedin.com/in/alain-dutto-6b82a7166" TargetMode="External"/><Relationship  Id="rId9126" Type="http://schemas.openxmlformats.org/officeDocument/2006/relationships/hyperlink" Target="http://www.gse.ca" TargetMode="External"/><Relationship  Id="rId9127" Type="http://schemas.openxmlformats.org/officeDocument/2006/relationships/hyperlink" Target="http://www.linkedin.com/in/patrick-mathieu-4199895" TargetMode="External"/><Relationship  Id="rId9128" Type="http://schemas.openxmlformats.org/officeDocument/2006/relationships/hyperlink" Target="http://www.patrickmathieu.net" TargetMode="External"/><Relationship  Id="rId9129" Type="http://schemas.openxmlformats.org/officeDocument/2006/relationships/hyperlink" Target="http://www.linkedin.com/in/nathalie-vaillant-10287653" TargetMode="External"/><Relationship  Id="rId913" Type="http://schemas.openxmlformats.org/officeDocument/2006/relationships/hyperlink" Target="http://www.thehotelsagency.com" TargetMode="External"/><Relationship  Id="rId9130" Type="http://schemas.openxmlformats.org/officeDocument/2006/relationships/hyperlink" Target="http://www.teresamonroe.com" TargetMode="External"/><Relationship  Id="rId9131" Type="http://schemas.openxmlformats.org/officeDocument/2006/relationships/hyperlink" Target="http://www.linkedin.com/in/laurentglaenzer" TargetMode="External"/><Relationship  Id="rId9132" Type="http://schemas.openxmlformats.org/officeDocument/2006/relationships/hyperlink" Target="http://www.lemon-operations.com" TargetMode="External"/><Relationship  Id="rId9133" Type="http://schemas.openxmlformats.org/officeDocument/2006/relationships/hyperlink" Target="http://www.linkedin.com/in/davidgateau" TargetMode="External"/><Relationship  Id="rId9134" Type="http://schemas.openxmlformats.org/officeDocument/2006/relationships/hyperlink" Target="http://www.datsit-conseil.com" TargetMode="External"/><Relationship  Id="rId9135" Type="http://schemas.openxmlformats.org/officeDocument/2006/relationships/hyperlink" Target="http://www.linkedin.com/in/gr%c3%a9goire-bastide-%f0%9f%92%a1-69215149" TargetMode="External"/><Relationship  Id="rId9136" Type="http://schemas.openxmlformats.org/officeDocument/2006/relationships/hyperlink" Target="http://www.escalecreation.com" TargetMode="External"/><Relationship  Id="rId9137" Type="http://schemas.openxmlformats.org/officeDocument/2006/relationships/hyperlink" Target="http://www.linkedin.com/in/gillesriou" TargetMode="External"/><Relationship  Id="rId9138" Type="http://schemas.openxmlformats.org/officeDocument/2006/relationships/hyperlink" Target="http://www.egidio.eu" TargetMode="External"/><Relationship  Id="rId9139" Type="http://schemas.openxmlformats.org/officeDocument/2006/relationships/hyperlink" Target="http://www.linkedin.com/in/fr%c3%a9d%c3%a9ric-barbier" TargetMode="External"/><Relationship  Id="rId914" Type="http://schemas.openxmlformats.org/officeDocument/2006/relationships/hyperlink" Target="http://www.linkedin.com/in/edouard-hausseguy-53099b5a" TargetMode="External"/><Relationship  Id="rId9140" Type="http://schemas.openxmlformats.org/officeDocument/2006/relationships/hyperlink" Target="http://www.linkedin.com/in/bgrange" TargetMode="External"/><Relationship  Id="rId9141" Type="http://schemas.openxmlformats.org/officeDocument/2006/relationships/hyperlink" Target="http://www.mascaret.eu" TargetMode="External"/><Relationship  Id="rId9142" Type="http://schemas.openxmlformats.org/officeDocument/2006/relationships/hyperlink" Target="http://www.linkedin.com/in/georgesdruon" TargetMode="External"/><Relationship  Id="rId9143" Type="http://schemas.openxmlformats.org/officeDocument/2006/relationships/hyperlink" Target="http://www.lecndc.com" TargetMode="External"/><Relationship  Id="rId9144" Type="http://schemas.openxmlformats.org/officeDocument/2006/relationships/hyperlink" Target="http://www.linkedin.com/in/thierrymagin" TargetMode="External"/><Relationship  Id="rId9145" Type="http://schemas.openxmlformats.org/officeDocument/2006/relationships/hyperlink" Target="http://www.mcr-consultants.com" TargetMode="External"/><Relationship  Id="rId9146" Type="http://schemas.openxmlformats.org/officeDocument/2006/relationships/hyperlink" Target="http://www.linkedin.com/in/karen-jouve-5b67b791" TargetMode="External"/><Relationship  Id="rId9147" Type="http://schemas.openxmlformats.org/officeDocument/2006/relationships/hyperlink" Target="http://www.doors3.io" TargetMode="External"/><Relationship  Id="rId9148" Type="http://schemas.openxmlformats.org/officeDocument/2006/relationships/hyperlink" Target="http://www.linkedin.com/in/laurenthausermann" TargetMode="External"/><Relationship  Id="rId9149" Type="http://schemas.openxmlformats.org/officeDocument/2006/relationships/hyperlink" Target="http://www.linkedin.com/in/baptiste-baurens-88223b132" TargetMode="External"/><Relationship  Id="rId915" Type="http://schemas.openxmlformats.org/officeDocument/2006/relationships/hyperlink" Target="http://www.gruppomimo.com" TargetMode="External"/><Relationship  Id="rId9150" Type="http://schemas.openxmlformats.org/officeDocument/2006/relationships/hyperlink" Target="http://www.setbysetec.com" TargetMode="External"/><Relationship  Id="rId9151" Type="http://schemas.openxmlformats.org/officeDocument/2006/relationships/hyperlink" Target="http://www.linkedin.com/in/lionel-marmol-832733b0" TargetMode="External"/><Relationship  Id="rId9152" Type="http://schemas.openxmlformats.org/officeDocument/2006/relationships/hyperlink" Target="http://www.cohesion-inter.com" TargetMode="External"/><Relationship  Id="rId9153" Type="http://schemas.openxmlformats.org/officeDocument/2006/relationships/hyperlink" Target="http://www.linkedin.com/in/gabriel-levy-8a8803166" TargetMode="External"/><Relationship  Id="rId9154" Type="http://schemas.openxmlformats.org/officeDocument/2006/relationships/hyperlink" Target="http://www.linkedin.com/in/nicolasmalo" TargetMode="External"/><Relationship  Id="rId9155" Type="http://schemas.openxmlformats.org/officeDocument/2006/relationships/hyperlink" Target="http://www.optimalways.com" TargetMode="External"/><Relationship  Id="rId9156" Type="http://schemas.openxmlformats.org/officeDocument/2006/relationships/hyperlink" Target="http://www.linkedin.com/in/florian-feuillard-85719726" TargetMode="External"/><Relationship  Id="rId9157" Type="http://schemas.openxmlformats.org/officeDocument/2006/relationships/hyperlink" Target="http://www.linkedin.com/in/rodolphe-chauvet-a4b7b9b3" TargetMode="External"/><Relationship  Id="rId9158" Type="http://schemas.openxmlformats.org/officeDocument/2006/relationships/hyperlink" Target="http://www.appteformaconseil.fr" TargetMode="External"/><Relationship  Id="rId9159" Type="http://schemas.openxmlformats.org/officeDocument/2006/relationships/hyperlink" Target="http://www.linkedin.com/in/raphaelbarbate" TargetMode="External"/><Relationship  Id="rId916" Type="http://schemas.openxmlformats.org/officeDocument/2006/relationships/hyperlink" Target="http://www.linkedin.com/in/wael-zebib-06031312" TargetMode="External"/><Relationship  Id="rId9160" Type="http://schemas.openxmlformats.org/officeDocument/2006/relationships/hyperlink" Target="http://www.sirenergies.com" TargetMode="External"/><Relationship  Id="rId9161" Type="http://schemas.openxmlformats.org/officeDocument/2006/relationships/hyperlink" Target="http://www.linkedin.com/in/renaud-dalencon" TargetMode="External"/><Relationship  Id="rId9162" Type="http://schemas.openxmlformats.org/officeDocument/2006/relationships/hyperlink" Target="http://www.felpsgroup.fr" TargetMode="External"/><Relationship  Id="rId9163" Type="http://schemas.openxmlformats.org/officeDocument/2006/relationships/hyperlink" Target="http://www.linkedin.com/in/olivier-laurain-4a910067" TargetMode="External"/><Relationship  Id="rId9164" Type="http://schemas.openxmlformats.org/officeDocument/2006/relationships/hyperlink" Target="http://www.handiconseils.com" TargetMode="External"/><Relationship  Id="rId9165" Type="http://schemas.openxmlformats.org/officeDocument/2006/relationships/hyperlink" Target="http://www.linkedin.com/in/igor-vourey-737ab62" TargetMode="External"/><Relationship  Id="rId9166" Type="http://schemas.openxmlformats.org/officeDocument/2006/relationships/hyperlink" Target="http://www.forwards.co" TargetMode="External"/><Relationship  Id="rId9167" Type="http://schemas.openxmlformats.org/officeDocument/2006/relationships/hyperlink" Target="http://www.linkedin.com/in/directeur-communication-formation-enseignant-arnaud-deglaire" TargetMode="External"/><Relationship  Id="rId9168" Type="http://schemas.openxmlformats.org/officeDocument/2006/relationships/hyperlink" Target="http://www.initial-expertise.fr" TargetMode="External"/><Relationship  Id="rId9169" Type="http://schemas.openxmlformats.org/officeDocument/2006/relationships/hyperlink" Target="http://www.linkedin.com/in/mathieumutter" TargetMode="External"/><Relationship  Id="rId917" Type="http://schemas.openxmlformats.org/officeDocument/2006/relationships/hyperlink" Target="http://www.linkedin.com/in/marion-roullet-%f0%9f%8c%b3-669357107" TargetMode="External"/><Relationship  Id="rId9170" Type="http://schemas.openxmlformats.org/officeDocument/2006/relationships/hyperlink" Target="http://www.euro-symbiose.fr" TargetMode="External"/><Relationship  Id="rId9171" Type="http://schemas.openxmlformats.org/officeDocument/2006/relationships/hyperlink" Target="http://www.linkedin.com/in/thierry-houette-92896352" TargetMode="External"/><Relationship  Id="rId9172" Type="http://schemas.openxmlformats.org/officeDocument/2006/relationships/hyperlink" Target="http://www.groupe-prorisk.com" TargetMode="External"/><Relationship  Id="rId9173" Type="http://schemas.openxmlformats.org/officeDocument/2006/relationships/hyperlink" Target="http://www.linkedin.com/in/masinissa-hassouna-a341871b0" TargetMode="External"/><Relationship  Id="rId9174" Type="http://schemas.openxmlformats.org/officeDocument/2006/relationships/hyperlink" Target="http://www.ma-solution-energie.fr" TargetMode="External"/><Relationship  Id="rId9175" Type="http://schemas.openxmlformats.org/officeDocument/2006/relationships/hyperlink" Target="http://www.linkedin.com/in/morgan-taldir-788a9848" TargetMode="External"/><Relationship  Id="rId9176" Type="http://schemas.openxmlformats.org/officeDocument/2006/relationships/hyperlink" Target="http://www.agence-is.fr" TargetMode="External"/><Relationship  Id="rId9177" Type="http://schemas.openxmlformats.org/officeDocument/2006/relationships/hyperlink" Target="http://www.linkedin.com/in/fabien-esnoult" TargetMode="External"/><Relationship  Id="rId9178" Type="http://schemas.openxmlformats.org/officeDocument/2006/relationships/hyperlink" Target="http://www.sprint-project.com" TargetMode="External"/><Relationship  Id="rId9179" Type="http://schemas.openxmlformats.org/officeDocument/2006/relationships/hyperlink" Target="http://www.linkedin.com/in/myriam-albertini-b2751318" TargetMode="External"/><Relationship  Id="rId918" Type="http://schemas.openxmlformats.org/officeDocument/2006/relationships/hyperlink" Target="http://www.out-work.fr" TargetMode="External"/><Relationship  Id="rId9180" Type="http://schemas.openxmlformats.org/officeDocument/2006/relationships/hyperlink" Target="http://www.a-lunisson.org" TargetMode="External"/><Relationship  Id="rId9181" Type="http://schemas.openxmlformats.org/officeDocument/2006/relationships/hyperlink" Target="http://www.linkedin.com/in/mon-cyril" TargetMode="External"/><Relationship  Id="rId9182" Type="http://schemas.openxmlformats.org/officeDocument/2006/relationships/hyperlink" Target="http://www.ferchaud.net" TargetMode="External"/><Relationship  Id="rId9183" Type="http://schemas.openxmlformats.org/officeDocument/2006/relationships/hyperlink" Target="http://www.linkedin.com/in/nidhal-chouk-b025b727" TargetMode="External"/><Relationship  Id="rId9184" Type="http://schemas.openxmlformats.org/officeDocument/2006/relationships/hyperlink" Target="http://www.actinuance.com" TargetMode="External"/><Relationship  Id="rId9185" Type="http://schemas.openxmlformats.org/officeDocument/2006/relationships/hyperlink" Target="http://www.linkedin.com/in/florence-taillepied-282124110" TargetMode="External"/><Relationship  Id="rId9186" Type="http://schemas.openxmlformats.org/officeDocument/2006/relationships/hyperlink" Target="http://www.adico.fr" TargetMode="External"/><Relationship  Id="rId9187" Type="http://schemas.openxmlformats.org/officeDocument/2006/relationships/hyperlink" Target="http://www.linkedin.com/in/tanguy-bressand-8929156" TargetMode="External"/><Relationship  Id="rId9188" Type="http://schemas.openxmlformats.org/officeDocument/2006/relationships/hyperlink" Target="http://www.line-technologies.com" TargetMode="External"/><Relationship  Id="rId9189" Type="http://schemas.openxmlformats.org/officeDocument/2006/relationships/hyperlink" Target="http://www.linkedin.com/in/philippe-darantiere-145a993" TargetMode="External"/><Relationship  Id="rId919" Type="http://schemas.openxmlformats.org/officeDocument/2006/relationships/hyperlink" Target="http://www.linkedin.com/in/houssine-h" TargetMode="External"/><Relationship  Id="rId9190" Type="http://schemas.openxmlformats.org/officeDocument/2006/relationships/hyperlink" Target="http://www.reseuro.com" TargetMode="External"/><Relationship  Id="rId9191" Type="http://schemas.openxmlformats.org/officeDocument/2006/relationships/hyperlink" Target="http://www.linkedin.com/in/mathias-monribot-34b80329" TargetMode="External"/><Relationship  Id="rId9192" Type="http://schemas.openxmlformats.org/officeDocument/2006/relationships/hyperlink" Target="http://www.petitpoucet.fr" TargetMode="External"/><Relationship  Id="rId9193" Type="http://schemas.openxmlformats.org/officeDocument/2006/relationships/hyperlink" Target="http://www.linkedin.com/in/david-vergognan-aa66792" TargetMode="External"/><Relationship  Id="rId9194" Type="http://schemas.openxmlformats.org/officeDocument/2006/relationships/hyperlink" Target="http://www.clemenceconsulting.fr" TargetMode="External"/><Relationship  Id="rId9195" Type="http://schemas.openxmlformats.org/officeDocument/2006/relationships/hyperlink" Target="http://www.linkedin.com/in/marion-lapr%c3%a9e-a433878" TargetMode="External"/><Relationship  Id="rId9196" Type="http://schemas.openxmlformats.org/officeDocument/2006/relationships/hyperlink" Target="http://www.maobi-innovation.com" TargetMode="External"/><Relationship  Id="rId9197" Type="http://schemas.openxmlformats.org/officeDocument/2006/relationships/hyperlink" Target="http://www.linkedin.com/in/pascalnury" TargetMode="External"/><Relationship  Id="rId9198" Type="http://schemas.openxmlformats.org/officeDocument/2006/relationships/hyperlink" Target="http://www.acritec.fr" TargetMode="External"/><Relationship  Id="rId9199" Type="http://schemas.openxmlformats.org/officeDocument/2006/relationships/hyperlink" Target="http://www.linkedin.com/in/julie-enjolras-boehrer-748a40164" TargetMode="External"/><Relationship  Id="rId92" Type="http://schemas.openxmlformats.org/officeDocument/2006/relationships/hyperlink" Target="http://www.linkedin.com/in/jules-brenier-006890b8" TargetMode="External"/><Relationship  Id="rId920" Type="http://schemas.openxmlformats.org/officeDocument/2006/relationships/hyperlink" Target="http://www.linkedin.com/in/gfilly" TargetMode="External"/><Relationship  Id="rId9200" Type="http://schemas.openxmlformats.org/officeDocument/2006/relationships/hyperlink" Target="http://www.infinity-energies.com" TargetMode="External"/><Relationship  Id="rId9201" Type="http://schemas.openxmlformats.org/officeDocument/2006/relationships/hyperlink" Target="http://www.linkedin.com/in/vincent-cast%c3%a9ras-a4b9113" TargetMode="External"/><Relationship  Id="rId9202" Type="http://schemas.openxmlformats.org/officeDocument/2006/relationships/hyperlink" Target="http://www.nexialist.fr" TargetMode="External"/><Relationship  Id="rId9203" Type="http://schemas.openxmlformats.org/officeDocument/2006/relationships/hyperlink" Target="http://www.linkedin.com/in/laurent-chr%c3%a9tien-8275926" TargetMode="External"/><Relationship  Id="rId9204" Type="http://schemas.openxmlformats.org/officeDocument/2006/relationships/hyperlink" Target="http://www.komodal.co" TargetMode="External"/><Relationship  Id="rId9205" Type="http://schemas.openxmlformats.org/officeDocument/2006/relationships/hyperlink" Target="http://www.linkedin.com/in/damien-g-b91478" TargetMode="External"/><Relationship  Id="rId9206" Type="http://schemas.openxmlformats.org/officeDocument/2006/relationships/hyperlink" Target="http://www.brettevilleconsulting.com" TargetMode="External"/><Relationship  Id="rId9207" Type="http://schemas.openxmlformats.org/officeDocument/2006/relationships/hyperlink" Target="http://www.linkedin.com/in/olivier-martin-96b4241b4" TargetMode="External"/><Relationship  Id="rId9208" Type="http://schemas.openxmlformats.org/officeDocument/2006/relationships/hyperlink" Target="http://www.atepservices.com" TargetMode="External"/><Relationship  Id="rId9209" Type="http://schemas.openxmlformats.org/officeDocument/2006/relationships/hyperlink" Target="http://www.linkedin.com/in/fran%c3%a7ois-carlotti-8665b244" TargetMode="External"/><Relationship  Id="rId921" Type="http://schemas.openxmlformats.org/officeDocument/2006/relationships/hyperlink" Target="http://www.gftravelconsulting.com" TargetMode="External"/><Relationship  Id="rId9210" Type="http://schemas.openxmlformats.org/officeDocument/2006/relationships/hyperlink" Target="http://www.linkedin.com/in/j%c3%a9r%c3%b4me-estival-1b93571a" TargetMode="External"/><Relationship  Id="rId9211" Type="http://schemas.openxmlformats.org/officeDocument/2006/relationships/hyperlink" Target="http://www.alierys.com" TargetMode="External"/><Relationship  Id="rId9212" Type="http://schemas.openxmlformats.org/officeDocument/2006/relationships/hyperlink" Target="http://www.linkedin.com/in/michael-haye-54b74311a" TargetMode="External"/><Relationship  Id="rId9213" Type="http://schemas.openxmlformats.org/officeDocument/2006/relationships/hyperlink" Target="http://www.aestera.fr" TargetMode="External"/><Relationship  Id="rId9214" Type="http://schemas.openxmlformats.org/officeDocument/2006/relationships/hyperlink" Target="http://www.linkedin.com/in/dieudonn%c3%a9-de-laubier" TargetMode="External"/><Relationship  Id="rId9215" Type="http://schemas.openxmlformats.org/officeDocument/2006/relationships/hyperlink" Target="http://www.albus-conseil.com" TargetMode="External"/><Relationship  Id="rId9216" Type="http://schemas.openxmlformats.org/officeDocument/2006/relationships/hyperlink" Target="http://www.linkedin.com/in/carole-noens-80a33558" TargetMode="External"/><Relationship  Id="rId9217" Type="http://schemas.openxmlformats.org/officeDocument/2006/relationships/hyperlink" Target="http://www.linkedin.com/in/fran%c3%a7ois-drouin-414154156" TargetMode="External"/><Relationship  Id="rId9218" Type="http://schemas.openxmlformats.org/officeDocument/2006/relationships/hyperlink" Target="http://www.etifinance.eu" TargetMode="External"/><Relationship  Id="rId9219" Type="http://schemas.openxmlformats.org/officeDocument/2006/relationships/hyperlink" Target="http://www.linkedin.com/in/julien-fournier-94738073" TargetMode="External"/><Relationship  Id="rId922" Type="http://schemas.openxmlformats.org/officeDocument/2006/relationships/hyperlink" Target="http://www.linkedin.com/in/celia-cornu-4159572" TargetMode="External"/><Relationship  Id="rId9220" Type="http://schemas.openxmlformats.org/officeDocument/2006/relationships/hyperlink" Target="http://www.weforge.fr" TargetMode="External"/><Relationship  Id="rId9221" Type="http://schemas.openxmlformats.org/officeDocument/2006/relationships/hyperlink" Target="http://www.linkedin.com/in/thomassagnier" TargetMode="External"/><Relationship  Id="rId9222" Type="http://schemas.openxmlformats.org/officeDocument/2006/relationships/hyperlink" Target="http://www.wow-barcelona.com" TargetMode="External"/><Relationship  Id="rId9223" Type="http://schemas.openxmlformats.org/officeDocument/2006/relationships/hyperlink" Target="http://www.linkedin.com/in/prof-dr-katharina-janus-b391321" TargetMode="External"/><Relationship  Id="rId9224" Type="http://schemas.openxmlformats.org/officeDocument/2006/relationships/hyperlink" Target="http://www.enjoystrategy.com" TargetMode="External"/><Relationship  Id="rId9225" Type="http://schemas.openxmlformats.org/officeDocument/2006/relationships/hyperlink" Target="http://www.linkedin.com/in/christophe-hayot-a70755178" TargetMode="External"/><Relationship  Id="rId9226" Type="http://schemas.openxmlformats.org/officeDocument/2006/relationships/hyperlink" Target="http://www.rexia.fr" TargetMode="External"/><Relationship  Id="rId9227" Type="http://schemas.openxmlformats.org/officeDocument/2006/relationships/hyperlink" Target="http://www.linkedin.com/in/jflengelle" TargetMode="External"/><Relationship  Id="rId9228" Type="http://schemas.openxmlformats.org/officeDocument/2006/relationships/hyperlink" Target="http://www.bt2i.com" TargetMode="External"/><Relationship  Id="rId9229" Type="http://schemas.openxmlformats.org/officeDocument/2006/relationships/hyperlink" Target="http://www.linkedin.com/in/quitterie-bourrut-lacouture-75714354" TargetMode="External"/><Relationship  Id="rId923" Type="http://schemas.openxmlformats.org/officeDocument/2006/relationships/hyperlink" Target="http://www.cie-bagatelle.com" TargetMode="External"/><Relationship  Id="rId9230" Type="http://schemas.openxmlformats.org/officeDocument/2006/relationships/hyperlink" Target="http://www.linkedin.com/in/gerard-pinna-1622a5b8" TargetMode="External"/><Relationship  Id="rId9231" Type="http://schemas.openxmlformats.org/officeDocument/2006/relationships/hyperlink" Target="http://www.bgpconseil.fr" TargetMode="External"/><Relationship  Id="rId9232" Type="http://schemas.openxmlformats.org/officeDocument/2006/relationships/hyperlink" Target="http://www.linkedin.com/in/%f0%9f%94%b9camille-raymond-79052651" TargetMode="External"/><Relationship  Id="rId9233" Type="http://schemas.openxmlformats.org/officeDocument/2006/relationships/hyperlink" Target="http://www.linkedin.com/in/jean-beno%c3%aet-colomb-70043690" TargetMode="External"/><Relationship  Id="rId9234" Type="http://schemas.openxmlformats.org/officeDocument/2006/relationships/hyperlink" Target="http://www.linkedin.com/in/pierre-philippe-tchamo-6b131737" TargetMode="External"/><Relationship  Id="rId9235" Type="http://schemas.openxmlformats.org/officeDocument/2006/relationships/hyperlink" Target="http://www.sunshine.mx" TargetMode="External"/><Relationship  Id="rId9236" Type="http://schemas.openxmlformats.org/officeDocument/2006/relationships/hyperlink" Target="http://www.linkedin.com/in/pedro-rebelo-13804b254" TargetMode="External"/><Relationship  Id="rId9237" Type="http://schemas.openxmlformats.org/officeDocument/2006/relationships/hyperlink" Target="http://www.ingecal.cat" TargetMode="External"/><Relationship  Id="rId9238" Type="http://schemas.openxmlformats.org/officeDocument/2006/relationships/hyperlink" Target="http://www.linkedin.com/in/elodie-arnaud-53671025" TargetMode="External"/><Relationship  Id="rId9239" Type="http://schemas.openxmlformats.org/officeDocument/2006/relationships/hyperlink" Target="http://www.earnst.fr" TargetMode="External"/><Relationship  Id="rId924" Type="http://schemas.openxmlformats.org/officeDocument/2006/relationships/hyperlink" Target="http://www.linkedin.com/in/sophie-guegan-b783773" TargetMode="External"/><Relationship  Id="rId9240" Type="http://schemas.openxmlformats.org/officeDocument/2006/relationships/hyperlink" Target="http://www.linkedin.com/in/briois" TargetMode="External"/><Relationship  Id="rId9241" Type="http://schemas.openxmlformats.org/officeDocument/2006/relationships/hyperlink" Target="http://www.acsantis.com" TargetMode="External"/><Relationship  Id="rId9242" Type="http://schemas.openxmlformats.org/officeDocument/2006/relationships/hyperlink" Target="http://www.linkedin.com/in/nicolas-houdant-0189b2a2" TargetMode="External"/><Relationship  Id="rId9243" Type="http://schemas.openxmlformats.org/officeDocument/2006/relationships/hyperlink" Target="http://www.linkedin.com/in/arnaud-bocquillon-52aba6151" TargetMode="External"/><Relationship  Id="rId9244" Type="http://schemas.openxmlformats.org/officeDocument/2006/relationships/hyperlink" Target="http://www.cimes-hub.com" TargetMode="External"/><Relationship  Id="rId9245" Type="http://schemas.openxmlformats.org/officeDocument/2006/relationships/hyperlink" Target="http://www.linkedin.com/in/jules-belamy" TargetMode="External"/><Relationship  Id="rId9246" Type="http://schemas.openxmlformats.org/officeDocument/2006/relationships/hyperlink" Target="http://www.dreamline.studio" TargetMode="External"/><Relationship  Id="rId9247" Type="http://schemas.openxmlformats.org/officeDocument/2006/relationships/hyperlink" Target="http://www.linkedin.com/in/marinajarniat" TargetMode="External"/><Relationship  Id="rId9248" Type="http://schemas.openxmlformats.org/officeDocument/2006/relationships/hyperlink" Target="http://www.crusoe.es" TargetMode="External"/><Relationship  Id="rId9249" Type="http://schemas.openxmlformats.org/officeDocument/2006/relationships/hyperlink" Target="http://www.linkedin.com/in/emmanuel-joussemet-ba52bb14" TargetMode="External"/><Relationship  Id="rId925" Type="http://schemas.openxmlformats.org/officeDocument/2006/relationships/hyperlink" Target="http://www.hotels-fhi.com" TargetMode="External"/><Relationship  Id="rId9250" Type="http://schemas.openxmlformats.org/officeDocument/2006/relationships/hyperlink" Target="http://www.nepsio.fr" TargetMode="External"/><Relationship  Id="rId9251" Type="http://schemas.openxmlformats.org/officeDocument/2006/relationships/hyperlink" Target="http://www.linkedin.com/in/vivien-michaud-a33a161a5" TargetMode="External"/><Relationship  Id="rId9252" Type="http://schemas.openxmlformats.org/officeDocument/2006/relationships/hyperlink" Target="http://www.creasub.fr" TargetMode="External"/><Relationship  Id="rId9253" Type="http://schemas.openxmlformats.org/officeDocument/2006/relationships/hyperlink" Target="http://www.linkedin.com/in/florian-bec-9a590765" TargetMode="External"/><Relationship  Id="rId9254" Type="http://schemas.openxmlformats.org/officeDocument/2006/relationships/hyperlink" Target="http://www.keolux.fr" TargetMode="External"/><Relationship  Id="rId9255" Type="http://schemas.openxmlformats.org/officeDocument/2006/relationships/hyperlink" Target="http://www.linkedin.com/in/m%c3%a9lanie-dauny-478080ba" TargetMode="External"/><Relationship  Id="rId9256" Type="http://schemas.openxmlformats.org/officeDocument/2006/relationships/hyperlink" Target="http://www.sentiles.fr" TargetMode="External"/><Relationship  Id="rId9257" Type="http://schemas.openxmlformats.org/officeDocument/2006/relationships/hyperlink" Target="http://www.linkedin.com/in/georges-martin--" TargetMode="External"/><Relationship  Id="rId9258" Type="http://schemas.openxmlformats.org/officeDocument/2006/relationships/hyperlink" Target="http://www.linkedin.com/in/thierry-pedeloup-701b067" TargetMode="External"/><Relationship  Id="rId9259" Type="http://schemas.openxmlformats.org/officeDocument/2006/relationships/hyperlink" Target="http://www.btassocies.com" TargetMode="External"/><Relationship  Id="rId926" Type="http://schemas.openxmlformats.org/officeDocument/2006/relationships/hyperlink" Target="http://www.linkedin.com/in/thomassechet" TargetMode="External"/><Relationship  Id="rId9260" Type="http://schemas.openxmlformats.org/officeDocument/2006/relationships/hyperlink" Target="http://www.linkedin.com/in/maximilien-de-longevialle-11b1a384" TargetMode="External"/><Relationship  Id="rId9261" Type="http://schemas.openxmlformats.org/officeDocument/2006/relationships/hyperlink" Target="http://www.campus-consulting.fr" TargetMode="External"/><Relationship  Id="rId9262" Type="http://schemas.openxmlformats.org/officeDocument/2006/relationships/hyperlink" Target="http://www.linkedin.com/in/nawalhamitouche" TargetMode="External"/><Relationship  Id="rId9263" Type="http://schemas.openxmlformats.org/officeDocument/2006/relationships/hyperlink" Target="http://www.linkedin.com/in/alainpatchong" TargetMode="External"/><Relationship  Id="rId9264" Type="http://schemas.openxmlformats.org/officeDocument/2006/relationships/hyperlink" Target="http://www.dillygence.com" TargetMode="External"/><Relationship  Id="rId9265" Type="http://schemas.openxmlformats.org/officeDocument/2006/relationships/hyperlink" Target="http://www.linkedin.com/in/pierre-louis-roussel-63870922" TargetMode="External"/><Relationship  Id="rId9266" Type="http://schemas.openxmlformats.org/officeDocument/2006/relationships/hyperlink" Target="http://www.linkedin.com/in/emmanuelgasparini" TargetMode="External"/><Relationship  Id="rId9267" Type="http://schemas.openxmlformats.org/officeDocument/2006/relationships/hyperlink" Target="http://www.reactive-executive.com" TargetMode="External"/><Relationship  Id="rId9268" Type="http://schemas.openxmlformats.org/officeDocument/2006/relationships/hyperlink" Target="http://www.linkedin.com/in/thibaultvignes" TargetMode="External"/><Relationship  Id="rId9269" Type="http://schemas.openxmlformats.org/officeDocument/2006/relationships/hyperlink" Target="http://www.linkedin.com/in/fabien-dieu-18321874" TargetMode="External"/><Relationship  Id="rId927" Type="http://schemas.openxmlformats.org/officeDocument/2006/relationships/hyperlink" Target="http://www.legeneralhotel.com" TargetMode="External"/><Relationship  Id="rId9270" Type="http://schemas.openxmlformats.org/officeDocument/2006/relationships/hyperlink" Target="http://www.linkedin.com/in/lealasne" TargetMode="External"/><Relationship  Id="rId9271" Type="http://schemas.openxmlformats.org/officeDocument/2006/relationships/hyperlink" Target="http://www.gaz-elec-moinscher.fr" TargetMode="External"/><Relationship  Id="rId9272" Type="http://schemas.openxmlformats.org/officeDocument/2006/relationships/hyperlink" Target="http://www.linkedin.com/in/davut-kara-ing%c3%a9nieur-affaires-it" TargetMode="External"/><Relationship  Id="rId9273" Type="http://schemas.openxmlformats.org/officeDocument/2006/relationships/hyperlink" Target="http://www.linkedin.com/in/nicolas-thuillier-1872b62a" TargetMode="External"/><Relationship  Id="rId9274" Type="http://schemas.openxmlformats.org/officeDocument/2006/relationships/hyperlink" Target="http://www.5aconsulting.fr" TargetMode="External"/><Relationship  Id="rId9275" Type="http://schemas.openxmlformats.org/officeDocument/2006/relationships/hyperlink" Target="http://www.linkedin.com/in/guillaume-moret-bailly" TargetMode="External"/><Relationship  Id="rId9276" Type="http://schemas.openxmlformats.org/officeDocument/2006/relationships/hyperlink" Target="http://www.linkedin.com/in/victorcoeur" TargetMode="External"/><Relationship  Id="rId9277" Type="http://schemas.openxmlformats.org/officeDocument/2006/relationships/hyperlink" Target="http://www.soqo.fr" TargetMode="External"/><Relationship  Id="rId9278" Type="http://schemas.openxmlformats.org/officeDocument/2006/relationships/hyperlink" Target="http://www.linkedin.com/in/alexisgodinot" TargetMode="External"/><Relationship  Id="rId9279" Type="http://schemas.openxmlformats.org/officeDocument/2006/relationships/hyperlink" Target="http://www.entreprises-engagees.fr" TargetMode="External"/><Relationship  Id="rId928" Type="http://schemas.openxmlformats.org/officeDocument/2006/relationships/hyperlink" Target="http://www.linkedin.com/in/imaad-ali-26604142" TargetMode="External"/><Relationship  Id="rId9280" Type="http://schemas.openxmlformats.org/officeDocument/2006/relationships/hyperlink" Target="http://www.linkedin.com/in/vguibert" TargetMode="External"/><Relationship  Id="rId9281" Type="http://schemas.openxmlformats.org/officeDocument/2006/relationships/hyperlink" Target="http://www.acde-conseil.com" TargetMode="External"/><Relationship  Id="rId9282" Type="http://schemas.openxmlformats.org/officeDocument/2006/relationships/hyperlink" Target="http://www.linkedin.com/in/alain-drevon-a6115976" TargetMode="External"/><Relationship  Id="rId9283" Type="http://schemas.openxmlformats.org/officeDocument/2006/relationships/hyperlink" Target="http://www.hidro.fr" TargetMode="External"/><Relationship  Id="rId9284" Type="http://schemas.openxmlformats.org/officeDocument/2006/relationships/hyperlink" Target="http://www.linkedin.com/in/camille-blaya-a4bb1b119" TargetMode="External"/><Relationship  Id="rId9285" Type="http://schemas.openxmlformats.org/officeDocument/2006/relationships/hyperlink" Target="http://www.wise-rh.com" TargetMode="External"/><Relationship  Id="rId9286" Type="http://schemas.openxmlformats.org/officeDocument/2006/relationships/hyperlink" Target="http://www.linkedin.com/in/eric-girardet-b5a477177" TargetMode="External"/><Relationship  Id="rId9287" Type="http://schemas.openxmlformats.org/officeDocument/2006/relationships/hyperlink" Target="http://www.placetob.fr" TargetMode="External"/><Relationship  Id="rId9288" Type="http://schemas.openxmlformats.org/officeDocument/2006/relationships/hyperlink" Target="http://www.linkedin.com/in/david-staquet-83a7123" TargetMode="External"/><Relationship  Id="rId9289" Type="http://schemas.openxmlformats.org/officeDocument/2006/relationships/hyperlink" Target="http://www.am-fi.com" TargetMode="External"/><Relationship  Id="rId929" Type="http://schemas.openxmlformats.org/officeDocument/2006/relationships/hyperlink" Target="http://www.linkedin.com/in/aserizer" TargetMode="External"/><Relationship  Id="rId9290" Type="http://schemas.openxmlformats.org/officeDocument/2006/relationships/hyperlink" Target="http://www.linkedin.com/in/damien-delevall%c3%a9e-a387393a" TargetMode="External"/><Relationship  Id="rId9291" Type="http://schemas.openxmlformats.org/officeDocument/2006/relationships/hyperlink" Target="http://www.linkedin.com/in/aur%c3%a9lien-tourret-b081261b" TargetMode="External"/><Relationship  Id="rId9292" Type="http://schemas.openxmlformats.org/officeDocument/2006/relationships/hyperlink" Target="http://www.caneva.fr" TargetMode="External"/><Relationship  Id="rId9293" Type="http://schemas.openxmlformats.org/officeDocument/2006/relationships/hyperlink" Target="http://www.linkedin.com/in/elisa-durand-b39017254" TargetMode="External"/><Relationship  Id="rId9294" Type="http://schemas.openxmlformats.org/officeDocument/2006/relationships/hyperlink" Target="http://www.market-med.com" TargetMode="External"/><Relationship  Id="rId9295" Type="http://schemas.openxmlformats.org/officeDocument/2006/relationships/hyperlink" Target="http://www.linkedin.com/in/victor-blard-154844209" TargetMode="External"/><Relationship  Id="rId9296" Type="http://schemas.openxmlformats.org/officeDocument/2006/relationships/hyperlink" Target="http://www.edhecje.com" TargetMode="External"/><Relationship  Id="rId9297" Type="http://schemas.openxmlformats.org/officeDocument/2006/relationships/hyperlink" Target="http://www.linkedin.com/in/c%c3%a9dric-basti%c3%a9-0b8281b7" TargetMode="External"/><Relationship  Id="rId9298" Type="http://schemas.openxmlformats.org/officeDocument/2006/relationships/hyperlink" Target="http://www.evasion-communication.com" TargetMode="External"/><Relationship  Id="rId9299" Type="http://schemas.openxmlformats.org/officeDocument/2006/relationships/hyperlink" Target="http://www.linkedin.com/in/maxime-cochard" TargetMode="External"/><Relationship  Id="rId93" Type="http://schemas.openxmlformats.org/officeDocument/2006/relationships/hyperlink" Target="http://www.lemirage-hotel.com" TargetMode="External"/><Relationship  Id="rId930" Type="http://schemas.openxmlformats.org/officeDocument/2006/relationships/hyperlink" Target="http://www.tigermilkrestaurants.com" TargetMode="External"/><Relationship  Id="rId9300" Type="http://schemas.openxmlformats.org/officeDocument/2006/relationships/hyperlink" Target="http://www.e-novate.fr" TargetMode="External"/><Relationship  Id="rId9301" Type="http://schemas.openxmlformats.org/officeDocument/2006/relationships/hyperlink" Target="http://www.linkedin.com/in/paul-prieto-4802141a" TargetMode="External"/><Relationship  Id="rId9302" Type="http://schemas.openxmlformats.org/officeDocument/2006/relationships/hyperlink" Target="http://www.pubadresseroutage.com" TargetMode="External"/><Relationship  Id="rId9303" Type="http://schemas.openxmlformats.org/officeDocument/2006/relationships/hyperlink" Target="http://www.linkedin.com/in/elsa-salmon-7b78a193" TargetMode="External"/><Relationship  Id="rId9304" Type="http://schemas.openxmlformats.org/officeDocument/2006/relationships/hyperlink" Target="http://www.odiens.com" TargetMode="External"/><Relationship  Id="rId9305" Type="http://schemas.openxmlformats.org/officeDocument/2006/relationships/hyperlink" Target="http://www.linkedin.com/in/henrideberny" TargetMode="External"/><Relationship  Id="rId9306" Type="http://schemas.openxmlformats.org/officeDocument/2006/relationships/hyperlink" Target="http://www.prezman.fr" TargetMode="External"/><Relationship  Id="rId9307" Type="http://schemas.openxmlformats.org/officeDocument/2006/relationships/hyperlink" Target="http://www.linkedin.com/in/jean-luc-chetrit-a566aa5" TargetMode="External"/><Relationship  Id="rId9308" Type="http://schemas.openxmlformats.org/officeDocument/2006/relationships/hyperlink" Target="http://www.uniondesmarques.fr" TargetMode="External"/><Relationship  Id="rId9309" Type="http://schemas.openxmlformats.org/officeDocument/2006/relationships/hyperlink" Target="http://www.linkedin.com/in/alexis-dubosc-7266653a" TargetMode="External"/><Relationship  Id="rId931" Type="http://schemas.openxmlformats.org/officeDocument/2006/relationships/hyperlink" Target="http://www.linkedin.com/in/juliette-vigand-fossorier-ba212595" TargetMode="External"/><Relationship  Id="rId9310" Type="http://schemas.openxmlformats.org/officeDocument/2006/relationships/hyperlink" Target="http://www.bdsa-lagence.com" TargetMode="External"/><Relationship  Id="rId9311" Type="http://schemas.openxmlformats.org/officeDocument/2006/relationships/hyperlink" Target="http://www.linkedin.com/in/jchristophebard" TargetMode="External"/><Relationship  Id="rId9312" Type="http://schemas.openxmlformats.org/officeDocument/2006/relationships/hyperlink" Target="http://www.linkedin.com/in/thomas-rougier-7a87a2136" TargetMode="External"/><Relationship  Id="rId9313" Type="http://schemas.openxmlformats.org/officeDocument/2006/relationships/hyperlink" Target="http://www.marquisecontents.com" TargetMode="External"/><Relationship  Id="rId9314" Type="http://schemas.openxmlformats.org/officeDocument/2006/relationships/hyperlink" Target="http://www.linkedin.com/in/eric-jourdan-22071123" TargetMode="External"/><Relationship  Id="rId9315" Type="http://schemas.openxmlformats.org/officeDocument/2006/relationships/hyperlink" Target="http://www.mediavision.fr" TargetMode="External"/><Relationship  Id="rId9316" Type="http://schemas.openxmlformats.org/officeDocument/2006/relationships/hyperlink" Target="http://www.linkedin.com/in/marc-ben-chemoul-327a71" TargetMode="External"/><Relationship  Id="rId9317" Type="http://schemas.openxmlformats.org/officeDocument/2006/relationships/hyperlink" Target="http://www.agence-copernic.fr" TargetMode="External"/><Relationship  Id="rId9318" Type="http://schemas.openxmlformats.org/officeDocument/2006/relationships/hyperlink" Target="http://www.linkedin.com/in/natha%c3%abl-duboc-29b2bb6" TargetMode="External"/><Relationship  Id="rId9319" Type="http://schemas.openxmlformats.org/officeDocument/2006/relationships/hyperlink" Target="http://www.gyro.paris" TargetMode="External"/><Relationship  Id="rId932" Type="http://schemas.openxmlformats.org/officeDocument/2006/relationships/hyperlink" Target="http://www.linkedin.com/in/kristin-frederick-ab70a4181" TargetMode="External"/><Relationship  Id="rId9320" Type="http://schemas.openxmlformats.org/officeDocument/2006/relationships/hyperlink" Target="http://www.linkedin.com/in/matthieu-lods-2777a41a6" TargetMode="External"/><Relationship  Id="rId9321" Type="http://schemas.openxmlformats.org/officeDocument/2006/relationships/hyperlink" Target="http://www.4aout.fr" TargetMode="External"/><Relationship  Id="rId9322" Type="http://schemas.openxmlformats.org/officeDocument/2006/relationships/hyperlink" Target="http://www.linkedin.com/in/romain-jost-1900b038" TargetMode="External"/><Relationship  Id="rId9323" Type="http://schemas.openxmlformats.org/officeDocument/2006/relationships/hyperlink" Target="http://www.newscreen.fr" TargetMode="External"/><Relationship  Id="rId9324" Type="http://schemas.openxmlformats.org/officeDocument/2006/relationships/hyperlink" Target="http://www.linkedin.com/in/david-lansmann-82942b30" TargetMode="External"/><Relationship  Id="rId9325" Type="http://schemas.openxmlformats.org/officeDocument/2006/relationships/hyperlink" Target="http://www.cadactuel.com" TargetMode="External"/><Relationship  Id="rId9326" Type="http://schemas.openxmlformats.org/officeDocument/2006/relationships/hyperlink" Target="http://www.linkedin.com/in/marine-goutal-43558321" TargetMode="External"/><Relationship  Id="rId9327" Type="http://schemas.openxmlformats.org/officeDocument/2006/relationships/hyperlink" Target="http://www.boomerangtx.com" TargetMode="External"/><Relationship  Id="rId9328" Type="http://schemas.openxmlformats.org/officeDocument/2006/relationships/hyperlink" Target="http://www.linkedin.com/in/charly-moriceau-1a699958" TargetMode="External"/><Relationship  Id="rId9329" Type="http://schemas.openxmlformats.org/officeDocument/2006/relationships/hyperlink" Target="http://www.agencebrioche.fr" TargetMode="External"/><Relationship  Id="rId933" Type="http://schemas.openxmlformats.org/officeDocument/2006/relationships/hyperlink" Target="http://www.lecamionquifume.com" TargetMode="External"/><Relationship  Id="rId9330" Type="http://schemas.openxmlformats.org/officeDocument/2006/relationships/hyperlink" Target="http://www.linkedin.com/in/nicolas-westerloppe-26a748158" TargetMode="External"/><Relationship  Id="rId9331" Type="http://schemas.openxmlformats.org/officeDocument/2006/relationships/hyperlink" Target="http://www.pause-com.fr" TargetMode="External"/><Relationship  Id="rId9332" Type="http://schemas.openxmlformats.org/officeDocument/2006/relationships/hyperlink" Target="http://www.linkedin.com/in/remychapot" TargetMode="External"/><Relationship  Id="rId9333" Type="http://schemas.openxmlformats.org/officeDocument/2006/relationships/hyperlink" Target="http://www.thenode.gg" TargetMode="External"/><Relationship  Id="rId9334" Type="http://schemas.openxmlformats.org/officeDocument/2006/relationships/hyperlink" Target="http://www.linkedin.com/in/laurent-thivel-4666b896" TargetMode="External"/><Relationship  Id="rId9335" Type="http://schemas.openxmlformats.org/officeDocument/2006/relationships/hyperlink" Target="http://www.publimat.fr" TargetMode="External"/><Relationship  Id="rId9336" Type="http://schemas.openxmlformats.org/officeDocument/2006/relationships/hyperlink" Target="http://www.linkedin.com/in/denis-bonzom" TargetMode="External"/><Relationship  Id="rId9337" Type="http://schemas.openxmlformats.org/officeDocument/2006/relationships/hyperlink" Target="http://www.inconito.fr" TargetMode="External"/><Relationship  Id="rId9338" Type="http://schemas.openxmlformats.org/officeDocument/2006/relationships/hyperlink" Target="http://www.linkedin.com/in/theophile-monnier" TargetMode="External"/><Relationship  Id="rId9339" Type="http://schemas.openxmlformats.org/officeDocument/2006/relationships/hyperlink" Target="http://www.laprovence-medias.com" TargetMode="External"/><Relationship  Id="rId934" Type="http://schemas.openxmlformats.org/officeDocument/2006/relationships/hyperlink" Target="http://www.linkedin.com/in/habib-hadj-henni-76a35428" TargetMode="External"/><Relationship  Id="rId9340" Type="http://schemas.openxmlformats.org/officeDocument/2006/relationships/hyperlink" Target="http://www.linkedin.com/in/remi-sommers-61978a1" TargetMode="External"/><Relationship  Id="rId9341" Type="http://schemas.openxmlformats.org/officeDocument/2006/relationships/hyperlink" Target="http://www.premium-se.fr" TargetMode="External"/><Relationship  Id="rId9342" Type="http://schemas.openxmlformats.org/officeDocument/2006/relationships/hyperlink" Target="http://www.linkedin.com/in/jbcollet" TargetMode="External"/><Relationship  Id="rId9343" Type="http://schemas.openxmlformats.org/officeDocument/2006/relationships/hyperlink" Target="http://www.avomark.fr" TargetMode="External"/><Relationship  Id="rId9344" Type="http://schemas.openxmlformats.org/officeDocument/2006/relationships/hyperlink" Target="http://www.linkedin.com/in/jules-dasseux-bb4310112" TargetMode="External"/><Relationship  Id="rId9345" Type="http://schemas.openxmlformats.org/officeDocument/2006/relationships/hyperlink" Target="http://www.chutonvousecoute.com" TargetMode="External"/><Relationship  Id="rId9346" Type="http://schemas.openxmlformats.org/officeDocument/2006/relationships/hyperlink" Target="http://www.linkedin.com/in/fr%c3%a9d%c3%a9ric-delporte-2b762810" TargetMode="External"/><Relationship  Id="rId9347" Type="http://schemas.openxmlformats.org/officeDocument/2006/relationships/hyperlink" Target="http://www.agence-spoutnik.com" TargetMode="External"/><Relationship  Id="rId9348" Type="http://schemas.openxmlformats.org/officeDocument/2006/relationships/hyperlink" Target="http://www.linkedin.com/in/magali-florens-907a6a74" TargetMode="External"/><Relationship  Id="rId9349" Type="http://schemas.openxmlformats.org/officeDocument/2006/relationships/hyperlink" Target="http://www.udecam.fr" TargetMode="External"/><Relationship  Id="rId935" Type="http://schemas.openxmlformats.org/officeDocument/2006/relationships/hyperlink" Target="http://www.linkedin.com/in/ferdinand-eberl%c3%a9-835563116" TargetMode="External"/><Relationship  Id="rId9350" Type="http://schemas.openxmlformats.org/officeDocument/2006/relationships/hyperlink" Target="http://www.linkedin.com/in/olivier-duc-71ab16103" TargetMode="External"/><Relationship  Id="rId9351" Type="http://schemas.openxmlformats.org/officeDocument/2006/relationships/hyperlink" Target="http://www.m-2a.fr" TargetMode="External"/><Relationship  Id="rId9352" Type="http://schemas.openxmlformats.org/officeDocument/2006/relationships/hyperlink" Target="http://www.linkedin.com/in/kilian-poulin-0b9437131" TargetMode="External"/><Relationship  Id="rId9353" Type="http://schemas.openxmlformats.org/officeDocument/2006/relationships/hyperlink" Target="http://www.markcopy.ai" TargetMode="External"/><Relationship  Id="rId9354" Type="http://schemas.openxmlformats.org/officeDocument/2006/relationships/hyperlink" Target="http://www.linkedin.com/in/olivier-got-889459ab" TargetMode="External"/><Relationship  Id="rId9355" Type="http://schemas.openxmlformats.org/officeDocument/2006/relationships/hyperlink" Target="http://www.graphipub20.com" TargetMode="External"/><Relationship  Id="rId9356" Type="http://schemas.openxmlformats.org/officeDocument/2006/relationships/hyperlink" Target="http://www.linkedin.com/in/christophe-baures-94772b53" TargetMode="External"/><Relationship  Id="rId9357" Type="http://schemas.openxmlformats.org/officeDocument/2006/relationships/hyperlink" Target="http://www.sep-publicite.com" TargetMode="External"/><Relationship  Id="rId9358" Type="http://schemas.openxmlformats.org/officeDocument/2006/relationships/hyperlink" Target="http://www.linkedin.com/in/laura-raymond-baba0b32" TargetMode="External"/><Relationship  Id="rId9359" Type="http://schemas.openxmlformats.org/officeDocument/2006/relationships/hyperlink" Target="http://www.gangsteres.com" TargetMode="External"/><Relationship  Id="rId936" Type="http://schemas.openxmlformats.org/officeDocument/2006/relationships/hyperlink" Target="http://www.bonnetable.eu" TargetMode="External"/><Relationship  Id="rId9360" Type="http://schemas.openxmlformats.org/officeDocument/2006/relationships/hyperlink" Target="http://www.linkedin.com/in/s%c3%a9bastien-froment" TargetMode="External"/><Relationship  Id="rId9361" Type="http://schemas.openxmlformats.org/officeDocument/2006/relationships/hyperlink" Target="http://www.slapdigital.fr" TargetMode="External"/><Relationship  Id="rId9362" Type="http://schemas.openxmlformats.org/officeDocument/2006/relationships/hyperlink" Target="http://www.linkedin.com/in/b%c3%a9atrice-vien-70097b" TargetMode="External"/><Relationship  Id="rId9363" Type="http://schemas.openxmlformats.org/officeDocument/2006/relationships/hyperlink" Target="http://www.wandsparis.com" TargetMode="External"/><Relationship  Id="rId9364" Type="http://schemas.openxmlformats.org/officeDocument/2006/relationships/hyperlink" Target="http://www.linkedin.com/in/lonylombard" TargetMode="External"/><Relationship  Id="rId9365" Type="http://schemas.openxmlformats.org/officeDocument/2006/relationships/hyperlink" Target="http://www.linkedin.com/in/jonathan-cail" TargetMode="External"/><Relationship  Id="rId9366" Type="http://schemas.openxmlformats.org/officeDocument/2006/relationships/hyperlink" Target="http://www.adpremier.fr" TargetMode="External"/><Relationship  Id="rId9367" Type="http://schemas.openxmlformats.org/officeDocument/2006/relationships/hyperlink" Target="http://www.linkedin.com/in/tissotthomas" TargetMode="External"/><Relationship  Id="rId9368" Type="http://schemas.openxmlformats.org/officeDocument/2006/relationships/hyperlink" Target="http://www.tire-fesses.fr" TargetMode="External"/><Relationship  Id="rId9369" Type="http://schemas.openxmlformats.org/officeDocument/2006/relationships/hyperlink" Target="http://www.linkedin.com/in/maxime-soulas-b545585" TargetMode="External"/><Relationship  Id="rId937" Type="http://schemas.openxmlformats.org/officeDocument/2006/relationships/hyperlink" Target="http://www.linkedin.com/in/alex-bril-6b2530178" TargetMode="External"/><Relationship  Id="rId9370" Type="http://schemas.openxmlformats.org/officeDocument/2006/relationships/hyperlink" Target="http://www.design-duval.com" TargetMode="External"/><Relationship  Id="rId9371" Type="http://schemas.openxmlformats.org/officeDocument/2006/relationships/hyperlink" Target="http://www.linkedin.com/in/pierrepages" TargetMode="External"/><Relationship  Id="rId9372" Type="http://schemas.openxmlformats.org/officeDocument/2006/relationships/hyperlink" Target="http://www.sensorys.com" TargetMode="External"/><Relationship  Id="rId9373" Type="http://schemas.openxmlformats.org/officeDocument/2006/relationships/hyperlink" Target="http://www.linkedin.com/in/laurent-barr%c3%a8s-994295bb" TargetMode="External"/><Relationship  Id="rId9374" Type="http://schemas.openxmlformats.org/officeDocument/2006/relationships/hyperlink" Target="http://www.lbmedia.fr" TargetMode="External"/><Relationship  Id="rId9375" Type="http://schemas.openxmlformats.org/officeDocument/2006/relationships/hyperlink" Target="http://www.linkedin.com/in/remi-bleuvif" TargetMode="External"/><Relationship  Id="rId9376" Type="http://schemas.openxmlformats.org/officeDocument/2006/relationships/hyperlink" Target="http://www.bleuvif.com" TargetMode="External"/><Relationship  Id="rId9377" Type="http://schemas.openxmlformats.org/officeDocument/2006/relationships/hyperlink" Target="http://www.linkedin.com/in/yanardag-mikael-16203a102" TargetMode="External"/><Relationship  Id="rId9378" Type="http://schemas.openxmlformats.org/officeDocument/2006/relationships/hyperlink" Target="http://www.my-production.fr" TargetMode="External"/><Relationship  Id="rId9379" Type="http://schemas.openxmlformats.org/officeDocument/2006/relationships/hyperlink" Target="http://www.linkedin.com/in/flore-audine-2877a688" TargetMode="External"/><Relationship  Id="rId938" Type="http://schemas.openxmlformats.org/officeDocument/2006/relationships/hyperlink" Target="http://www.yeeels.com" TargetMode="External"/><Relationship  Id="rId9380" Type="http://schemas.openxmlformats.org/officeDocument/2006/relationships/hyperlink" Target="http://www.agencetribu.com" TargetMode="External"/><Relationship  Id="rId9381" Type="http://schemas.openxmlformats.org/officeDocument/2006/relationships/hyperlink" Target="http://www.linkedin.com/in/marving-d-310144245" TargetMode="External"/><Relationship  Id="rId9382" Type="http://schemas.openxmlformats.org/officeDocument/2006/relationships/hyperlink" Target="http://www.monsieurdarmon.com" TargetMode="External"/><Relationship  Id="rId9383" Type="http://schemas.openxmlformats.org/officeDocument/2006/relationships/hyperlink" Target="http://www.linkedin.com/in/xaviergourlin" TargetMode="External"/><Relationship  Id="rId9384" Type="http://schemas.openxmlformats.org/officeDocument/2006/relationships/hyperlink" Target="http://www.go2digital.hr" TargetMode="External"/><Relationship  Id="rId9385" Type="http://schemas.openxmlformats.org/officeDocument/2006/relationships/hyperlink" Target="http://www.linkedin.com/in/jonathan-lacoste-76ba11b5" TargetMode="External"/><Relationship  Id="rId9386" Type="http://schemas.openxmlformats.org/officeDocument/2006/relationships/hyperlink" Target="http://www.agencebastille.com" TargetMode="External"/><Relationship  Id="rId9387" Type="http://schemas.openxmlformats.org/officeDocument/2006/relationships/hyperlink" Target="http://www.linkedin.com/in/nathan-elmaleh" TargetMode="External"/><Relationship  Id="rId9388" Type="http://schemas.openxmlformats.org/officeDocument/2006/relationships/hyperlink" Target="http://www.neads.io" TargetMode="External"/><Relationship  Id="rId9389" Type="http://schemas.openxmlformats.org/officeDocument/2006/relationships/hyperlink" Target="http://www.linkedin.com/in/sarah-crispin-488a692a" TargetMode="External"/><Relationship  Id="rId939" Type="http://schemas.openxmlformats.org/officeDocument/2006/relationships/hyperlink" Target="http://www.linkedin.com/in/ylan-richard-229b08145" TargetMode="External"/><Relationship  Id="rId9390" Type="http://schemas.openxmlformats.org/officeDocument/2006/relationships/hyperlink" Target="http://www.base-sud.com" TargetMode="External"/><Relationship  Id="rId9391" Type="http://schemas.openxmlformats.org/officeDocument/2006/relationships/hyperlink" Target="http://www.linkedin.com/in/andr%c3%a9-ponceblanc-712266b4" TargetMode="External"/><Relationship  Id="rId9392" Type="http://schemas.openxmlformats.org/officeDocument/2006/relationships/hyperlink" Target="http://www.ponceblanc-ech.com" TargetMode="External"/><Relationship  Id="rId9393" Type="http://schemas.openxmlformats.org/officeDocument/2006/relationships/hyperlink" Target="http://www.linkedin.com/in/antoine-blanchard-65608b50" TargetMode="External"/><Relationship  Id="rId9394" Type="http://schemas.openxmlformats.org/officeDocument/2006/relationships/hyperlink" Target="http://www.linkedin.com/in/pierre-olivier-cap%c3%a9ran-3073a85b" TargetMode="External"/><Relationship  Id="rId9395" Type="http://schemas.openxmlformats.org/officeDocument/2006/relationships/hyperlink" Target="http://www.sharing.agency" TargetMode="External"/><Relationship  Id="rId9396" Type="http://schemas.openxmlformats.org/officeDocument/2006/relationships/hyperlink" Target="http://www.linkedin.com/in/chlo%c3%a9-falaize" TargetMode="External"/><Relationship  Id="rId9397" Type="http://schemas.openxmlformats.org/officeDocument/2006/relationships/hyperlink" Target="http://www.linkedin.com/in/emmanuelleburel" TargetMode="External"/><Relationship  Id="rId9398" Type="http://schemas.openxmlformats.org/officeDocument/2006/relationships/hyperlink" Target="http://www.agence-bbird.fr" TargetMode="External"/><Relationship  Id="rId9399" Type="http://schemas.openxmlformats.org/officeDocument/2006/relationships/hyperlink" Target="http://www.linkedin.com/in/philippe-arnoult-821a38128" TargetMode="External"/><Relationship  Id="rId94" Type="http://schemas.openxmlformats.org/officeDocument/2006/relationships/hyperlink" Target="http://www.linkedin.com/in/eva-bringu%c3%a9-b70b38247" TargetMode="External"/><Relationship  Id="rId940" Type="http://schemas.openxmlformats.org/officeDocument/2006/relationships/hyperlink" Target="http://www.linkedin.com/in/todd-hartwell-0b6735" TargetMode="External"/><Relationship  Id="rId9400" Type="http://schemas.openxmlformats.org/officeDocument/2006/relationships/hyperlink" Target="http://www.rc2c.fr" TargetMode="External"/><Relationship  Id="rId9401" Type="http://schemas.openxmlformats.org/officeDocument/2006/relationships/hyperlink" Target="http://www.linkedin.com/in/marie-huet-b1648989" TargetMode="External"/><Relationship  Id="rId9402" Type="http://schemas.openxmlformats.org/officeDocument/2006/relationships/hyperlink" Target="http://www.atelier-asap.com" TargetMode="External"/><Relationship  Id="rId9403" Type="http://schemas.openxmlformats.org/officeDocument/2006/relationships/hyperlink" Target="http://www.linkedin.com/in/bricegazeau" TargetMode="External"/><Relationship  Id="rId9404" Type="http://schemas.openxmlformats.org/officeDocument/2006/relationships/hyperlink" Target="http://www.klarsen.com" TargetMode="External"/><Relationship  Id="rId9405" Type="http://schemas.openxmlformats.org/officeDocument/2006/relationships/hyperlink" Target="http://www.linkedin.com/in/ludovic-batard" TargetMode="External"/><Relationship  Id="rId9406" Type="http://schemas.openxmlformats.org/officeDocument/2006/relationships/hyperlink" Target="http://www.brasdroitdesdirigeants.com" TargetMode="External"/><Relationship  Id="rId9407" Type="http://schemas.openxmlformats.org/officeDocument/2006/relationships/hyperlink" Target="http://www.linkedin.com/in/arlette-berliocchi-518b3b11" TargetMode="External"/><Relationship  Id="rId9408" Type="http://schemas.openxmlformats.org/officeDocument/2006/relationships/hyperlink" Target="http://www.opaline.fr" TargetMode="External"/><Relationship  Id="rId9409" Type="http://schemas.openxmlformats.org/officeDocument/2006/relationships/hyperlink" Target="http://www.linkedin.com/in/olivierlevigne" TargetMode="External"/><Relationship  Id="rId941" Type="http://schemas.openxmlformats.org/officeDocument/2006/relationships/hyperlink" Target="http://www.fortheloveoffood.paris" TargetMode="External"/><Relationship  Id="rId9410" Type="http://schemas.openxmlformats.org/officeDocument/2006/relationships/hyperlink" Target="http://www.sowink.fr" TargetMode="External"/><Relationship  Id="rId9411" Type="http://schemas.openxmlformats.org/officeDocument/2006/relationships/hyperlink" Target="http://www.linkedin.com/in/davidvarnier" TargetMode="External"/><Relationship  Id="rId9412" Type="http://schemas.openxmlformats.org/officeDocument/2006/relationships/hyperlink" Target="http://www.auditoire-shopper.com" TargetMode="External"/><Relationship  Id="rId9413" Type="http://schemas.openxmlformats.org/officeDocument/2006/relationships/hyperlink" Target="http://www.linkedin.com/in/nicolasperdrix" TargetMode="External"/><Relationship  Id="rId9414" Type="http://schemas.openxmlformats.org/officeDocument/2006/relationships/hyperlink" Target="http://www.sidiese.com" TargetMode="External"/><Relationship  Id="rId9415" Type="http://schemas.openxmlformats.org/officeDocument/2006/relationships/hyperlink" Target="http://www.linkedin.com/in/dimitrinicolas" TargetMode="External"/><Relationship  Id="rId9416" Type="http://schemas.openxmlformats.org/officeDocument/2006/relationships/hyperlink" Target="http://www.ooeo.fr" TargetMode="External"/><Relationship  Id="rId9417" Type="http://schemas.openxmlformats.org/officeDocument/2006/relationships/hyperlink" Target="http://www.linkedin.com/in/toufichawly" TargetMode="External"/><Relationship  Id="rId9418" Type="http://schemas.openxmlformats.org/officeDocument/2006/relationships/hyperlink" Target="http://www.feronialab.com" TargetMode="External"/><Relationship  Id="rId9419" Type="http://schemas.openxmlformats.org/officeDocument/2006/relationships/hyperlink" Target="http://www.linkedin.com/in/benjamin-le-souchu-8281335b" TargetMode="External"/><Relationship  Id="rId942" Type="http://schemas.openxmlformats.org/officeDocument/2006/relationships/hyperlink" Target="http://www.linkedin.com/in/emmanuel-de-la-b%c3%a9doy%c3%a8re-5a631a47" TargetMode="External"/><Relationship  Id="rId9420" Type="http://schemas.openxmlformats.org/officeDocument/2006/relationships/hyperlink" Target="http://www.trendsagency.com" TargetMode="External"/><Relationship  Id="rId9421" Type="http://schemas.openxmlformats.org/officeDocument/2006/relationships/hyperlink" Target="http://www.linkedin.com/in/-nicolas-aubert" TargetMode="External"/><Relationship  Id="rId9422" Type="http://schemas.openxmlformats.org/officeDocument/2006/relationships/hyperlink" Target="http://www.nineteengroupe.fr" TargetMode="External"/><Relationship  Id="rId9423" Type="http://schemas.openxmlformats.org/officeDocument/2006/relationships/hyperlink" Target="http://www.linkedin.com/in/s%c3%a9bastien-hache-2635242a2" TargetMode="External"/><Relationship  Id="rId9424" Type="http://schemas.openxmlformats.org/officeDocument/2006/relationships/hyperlink" Target="http://www.htag-telecom.fr" TargetMode="External"/><Relationship  Id="rId9425" Type="http://schemas.openxmlformats.org/officeDocument/2006/relationships/hyperlink" Target="http://perfmaker.com" TargetMode="External"/><Relationship  Id="rId9426" Type="http://schemas.openxmlformats.org/officeDocument/2006/relationships/hyperlink" Target="http://www.linkedin.com/in/joseromana" TargetMode="External"/><Relationship  Id="rId9427" Type="http://schemas.openxmlformats.org/officeDocument/2006/relationships/hyperlink" Target="http://www.perfmaker.com" TargetMode="External"/><Relationship  Id="rId9428" Type="http://schemas.openxmlformats.org/officeDocument/2006/relationships/hyperlink" Target="http://www.linkedin.com/in/poussineauamine" TargetMode="External"/><Relationship  Id="rId9429" Type="http://schemas.openxmlformats.org/officeDocument/2006/relationships/hyperlink" Target="http://www.feedastic.com" TargetMode="External"/><Relationship  Id="rId943" Type="http://schemas.openxmlformats.org/officeDocument/2006/relationships/hyperlink" Target="http://www.coucoocabanes.com" TargetMode="External"/><Relationship  Id="rId9430" Type="http://schemas.openxmlformats.org/officeDocument/2006/relationships/hyperlink" Target="http://www.linkedin.com/in/marionbarthes" TargetMode="External"/><Relationship  Id="rId9431" Type="http://schemas.openxmlformats.org/officeDocument/2006/relationships/hyperlink" Target="http://www.agencekozy.com" TargetMode="External"/><Relationship  Id="rId9432" Type="http://schemas.openxmlformats.org/officeDocument/2006/relationships/hyperlink" Target="http://www.linkedin.com/in/jonathanluck" TargetMode="External"/><Relationship  Id="rId9433" Type="http://schemas.openxmlformats.org/officeDocument/2006/relationships/hyperlink" Target="http://www.press-agrum.com" TargetMode="External"/><Relationship  Id="rId9434" Type="http://schemas.openxmlformats.org/officeDocument/2006/relationships/hyperlink" Target="http://www.linkedin.com/in/camille-trombini" TargetMode="External"/><Relationship  Id="rId9435" Type="http://schemas.openxmlformats.org/officeDocument/2006/relationships/hyperlink" Target="http://www.appaso-auditgratuit.fr" TargetMode="External"/><Relationship  Id="rId9436" Type="http://schemas.openxmlformats.org/officeDocument/2006/relationships/hyperlink" Target="http://www.linkedin.com/in/marie-pierre-dor%c3%a9-6240b811" TargetMode="External"/><Relationship  Id="rId9437" Type="http://schemas.openxmlformats.org/officeDocument/2006/relationships/hyperlink" Target="http://www.enpersonnevirtual.com" TargetMode="External"/><Relationship  Id="rId9438" Type="http://schemas.openxmlformats.org/officeDocument/2006/relationships/hyperlink" Target="http://www.linkedin.com/in/severinebavon" TargetMode="External"/><Relationship  Id="rId9439" Type="http://schemas.openxmlformats.org/officeDocument/2006/relationships/hyperlink" Target="http://www.acracy.co" TargetMode="External"/><Relationship  Id="rId944" Type="http://schemas.openxmlformats.org/officeDocument/2006/relationships/hyperlink" Target="http://www.linkedin.com/in/anouare-boularouah-b679a258" TargetMode="External"/><Relationship  Id="rId9440" Type="http://schemas.openxmlformats.org/officeDocument/2006/relationships/hyperlink" Target="http://www.linkedin.com/in/ana%c3%afs-girod-77b79330" TargetMode="External"/><Relationship  Id="rId9441" Type="http://schemas.openxmlformats.org/officeDocument/2006/relationships/hyperlink" Target="http://www.gramica-africa.com" TargetMode="External"/><Relationship  Id="rId9442" Type="http://schemas.openxmlformats.org/officeDocument/2006/relationships/hyperlink" Target="http://www.linkedin.com/in/sarah-farhi-805ba7a" TargetMode="External"/><Relationship  Id="rId9443" Type="http://schemas.openxmlformats.org/officeDocument/2006/relationships/hyperlink" Target="http://www.bebrandon.fr" TargetMode="External"/><Relationship  Id="rId9444" Type="http://schemas.openxmlformats.org/officeDocument/2006/relationships/hyperlink" Target="http://www.linkedin.com/in/thierry-jouannet-97114564" TargetMode="External"/><Relationship  Id="rId9445" Type="http://schemas.openxmlformats.org/officeDocument/2006/relationships/hyperlink" Target="http://www.cithea.com" TargetMode="External"/><Relationship  Id="rId9446" Type="http://schemas.openxmlformats.org/officeDocument/2006/relationships/hyperlink" Target="http://www.linkedin.com/in/charles-roussaux-793892b" TargetMode="External"/><Relationship  Id="rId9447" Type="http://schemas.openxmlformats.org/officeDocument/2006/relationships/hyperlink" Target="http://www.hearts-science.com" TargetMode="External"/><Relationship  Id="rId9448" Type="http://schemas.openxmlformats.org/officeDocument/2006/relationships/hyperlink" Target="http://www.linkedin.com/in/florent-vie-34368b147" TargetMode="External"/><Relationship  Id="rId9449" Type="http://schemas.openxmlformats.org/officeDocument/2006/relationships/hyperlink" Target="http://www.groupe-unicom.fr" TargetMode="External"/><Relationship  Id="rId945" Type="http://schemas.openxmlformats.org/officeDocument/2006/relationships/hyperlink" Target="http://www.laplacedescanailles.com" TargetMode="External"/><Relationship  Id="rId9450" Type="http://schemas.openxmlformats.org/officeDocument/2006/relationships/hyperlink" Target="http://www.linkedin.com/in/habib-guissouma-501a389" TargetMode="External"/><Relationship  Id="rId9451" Type="http://schemas.openxmlformats.org/officeDocument/2006/relationships/hyperlink" Target="http://www.guide-pub.com" TargetMode="External"/><Relationship  Id="rId9452" Type="http://schemas.openxmlformats.org/officeDocument/2006/relationships/hyperlink" Target="http://www.linkedin.com/in/gilles-ganne-343a3622" TargetMode="External"/><Relationship  Id="rId9453" Type="http://schemas.openxmlformats.org/officeDocument/2006/relationships/hyperlink" Target="http://www.cfi-technologies.fr" TargetMode="External"/><Relationship  Id="rId9454" Type="http://schemas.openxmlformats.org/officeDocument/2006/relationships/hyperlink" Target="http://www.linkedin.com/in/pascal-charlier-311779a9" TargetMode="External"/><Relationship  Id="rId9455" Type="http://schemas.openxmlformats.org/officeDocument/2006/relationships/hyperlink" Target="http://www.scentair.fr" TargetMode="External"/><Relationship  Id="rId9456" Type="http://schemas.openxmlformats.org/officeDocument/2006/relationships/hyperlink" Target="http://www.linkedin.com/in/richard-cocatrix-96b9188a" TargetMode="External"/><Relationship  Id="rId9457" Type="http://schemas.openxmlformats.org/officeDocument/2006/relationships/hyperlink" Target="http://www.urbanconnect.fr" TargetMode="External"/><Relationship  Id="rId9458" Type="http://schemas.openxmlformats.org/officeDocument/2006/relationships/hyperlink" Target="http://www.linkedin.com/in/sebastienfaelens" TargetMode="External"/><Relationship  Id="rId9459" Type="http://schemas.openxmlformats.org/officeDocument/2006/relationships/hyperlink" Target="http://www.xplore.marketing" TargetMode="External"/><Relationship  Id="rId946" Type="http://schemas.openxmlformats.org/officeDocument/2006/relationships/hyperlink" Target="http://www.linkedin.com/in/christophe-heraud-7566857a" TargetMode="External"/><Relationship  Id="rId9460" Type="http://schemas.openxmlformats.org/officeDocument/2006/relationships/hyperlink" Target="http://www.linkedin.com/in/valentin-pliester" TargetMode="External"/><Relationship  Id="rId9461" Type="http://schemas.openxmlformats.org/officeDocument/2006/relationships/hyperlink" Target="http://www.socialsky.eu" TargetMode="External"/><Relationship  Id="rId9462" Type="http://schemas.openxmlformats.org/officeDocument/2006/relationships/hyperlink" Target="http://www.linkedin.com/in/c%c3%a9cile-benoiston-7b963057" TargetMode="External"/><Relationship  Id="rId9463" Type="http://schemas.openxmlformats.org/officeDocument/2006/relationships/hyperlink" Target="http://www.agencekaolin.com" TargetMode="External"/><Relationship  Id="rId9464" Type="http://schemas.openxmlformats.org/officeDocument/2006/relationships/hyperlink" Target="http://www.linkedin.com/in/alexandre-barthelemy" TargetMode="External"/><Relationship  Id="rId9465" Type="http://schemas.openxmlformats.org/officeDocument/2006/relationships/hyperlink" Target="http://www.lead-camp.com" TargetMode="External"/><Relationship  Id="rId9466" Type="http://schemas.openxmlformats.org/officeDocument/2006/relationships/hyperlink" Target="http://www.linkedin.com/in/mathys-boissonade-7327a71ba" TargetMode="External"/><Relationship  Id="rId9467" Type="http://schemas.openxmlformats.org/officeDocument/2006/relationships/hyperlink" Target="http://www.mbagency.com" TargetMode="External"/><Relationship  Id="rId9468" Type="http://schemas.openxmlformats.org/officeDocument/2006/relationships/hyperlink" Target="http://www.linkedin.com/in/brice-papon-111b96123" TargetMode="External"/><Relationship  Id="rId9469" Type="http://schemas.openxmlformats.org/officeDocument/2006/relationships/hyperlink" Target="http://www.solisolutions.net" TargetMode="External"/><Relationship  Id="rId947" Type="http://schemas.openxmlformats.org/officeDocument/2006/relationships/hyperlink" Target="http://www.baresto.fr" TargetMode="External"/><Relationship  Id="rId9470" Type="http://schemas.openxmlformats.org/officeDocument/2006/relationships/hyperlink" Target="http://www.linkedin.com/in/patrick-borkowski-94531212" TargetMode="External"/><Relationship  Id="rId9471" Type="http://schemas.openxmlformats.org/officeDocument/2006/relationships/hyperlink" Target="http://www.lagriffe.com" TargetMode="External"/><Relationship  Id="rId9472" Type="http://schemas.openxmlformats.org/officeDocument/2006/relationships/hyperlink" Target="http://www.linkedin.com/in/marine-sanchez-630bb6a8" TargetMode="External"/><Relationship  Id="rId9473" Type="http://schemas.openxmlformats.org/officeDocument/2006/relationships/hyperlink" Target="http://www.socialclubparis.com" TargetMode="External"/><Relationship  Id="rId9474" Type="http://schemas.openxmlformats.org/officeDocument/2006/relationships/hyperlink" Target="http://www.linkedin.com/in/weber-maxime" TargetMode="External"/><Relationship  Id="rId9475" Type="http://schemas.openxmlformats.org/officeDocument/2006/relationships/hyperlink" Target="http://www.agencesw.com" TargetMode="External"/><Relationship  Id="rId9476" Type="http://schemas.openxmlformats.org/officeDocument/2006/relationships/hyperlink" Target="http://www.linkedin.com/in/jerome-bon-2a592518" TargetMode="External"/><Relationship  Id="rId9477" Type="http://schemas.openxmlformats.org/officeDocument/2006/relationships/hyperlink" Target="http://www.lesquare.com" TargetMode="External"/><Relationship  Id="rId9478" Type="http://schemas.openxmlformats.org/officeDocument/2006/relationships/hyperlink" Target="http://www.linkedin.com/in/audrey-danthony-8397a720" TargetMode="External"/><Relationship  Id="rId9479" Type="http://schemas.openxmlformats.org/officeDocument/2006/relationships/hyperlink" Target="http://www.weareimpactplus.com" TargetMode="External"/><Relationship  Id="rId948" Type="http://schemas.openxmlformats.org/officeDocument/2006/relationships/hyperlink" Target="http://www.linkedin.com/in/elise-thorel-a0467564" TargetMode="External"/><Relationship  Id="rId9480" Type="http://schemas.openxmlformats.org/officeDocument/2006/relationships/hyperlink" Target="http://www.linkedin.com/in/c%c3%a9dric-bachelot-014a4810b" TargetMode="External"/><Relationship  Id="rId9481" Type="http://schemas.openxmlformats.org/officeDocument/2006/relationships/hyperlink" Target="http://www.bogo-group.com" TargetMode="External"/><Relationship  Id="rId9482" Type="http://schemas.openxmlformats.org/officeDocument/2006/relationships/hyperlink" Target="http://www.linkedin.com/in/juliendereumaux" TargetMode="External"/><Relationship  Id="rId9483" Type="http://schemas.openxmlformats.org/officeDocument/2006/relationships/hyperlink" Target="http://www.pilot-in.com" TargetMode="External"/><Relationship  Id="rId9484" Type="http://schemas.openxmlformats.org/officeDocument/2006/relationships/hyperlink" Target="http://www.linkedin.com/in/charlotte-dedeine-34840068" TargetMode="External"/><Relationship  Id="rId9485" Type="http://schemas.openxmlformats.org/officeDocument/2006/relationships/hyperlink" Target="http://www.pilotesplv.fr" TargetMode="External"/><Relationship  Id="rId9486" Type="http://schemas.openxmlformats.org/officeDocument/2006/relationships/hyperlink" Target="http://www.linkedin.com/in/yvan-cr%c3%a9mont-del-barrio-193a6294" TargetMode="External"/><Relationship  Id="rId9487" Type="http://schemas.openxmlformats.org/officeDocument/2006/relationships/hyperlink" Target="http://www.cocktailvision.fr" TargetMode="External"/><Relationship  Id="rId9488" Type="http://schemas.openxmlformats.org/officeDocument/2006/relationships/hyperlink" Target="http://www.linkedin.com/in/bertrandmaux" TargetMode="External"/><Relationship  Id="rId9489" Type="http://schemas.openxmlformats.org/officeDocument/2006/relationships/hyperlink" Target="http://www.mo-jo.fr" TargetMode="External"/><Relationship  Id="rId949" Type="http://schemas.openxmlformats.org/officeDocument/2006/relationships/hyperlink" Target="http://www.mariecurry.fr" TargetMode="External"/><Relationship  Id="rId9490" Type="http://schemas.openxmlformats.org/officeDocument/2006/relationships/hyperlink" Target="http://www.linkedin.com/in/roman-sebag-852a05159" TargetMode="External"/><Relationship  Id="rId9491" Type="http://schemas.openxmlformats.org/officeDocument/2006/relationships/hyperlink" Target="http://www.angelstudio.co" TargetMode="External"/><Relationship  Id="rId9492" Type="http://schemas.openxmlformats.org/officeDocument/2006/relationships/hyperlink" Target="http://www.linkedin.com/in/marie-alix-dornel-aa17b771" TargetMode="External"/><Relationship  Id="rId9493" Type="http://schemas.openxmlformats.org/officeDocument/2006/relationships/hyperlink" Target="http://www.ikadia.fr" TargetMode="External"/><Relationship  Id="rId9494" Type="http://schemas.openxmlformats.org/officeDocument/2006/relationships/hyperlink" Target="http://www.linkedin.com/in/laetitia-dubois-copylot-group-19b050107" TargetMode="External"/><Relationship  Id="rId9495" Type="http://schemas.openxmlformats.org/officeDocument/2006/relationships/hyperlink" Target="http://www.copylot.com" TargetMode="External"/><Relationship  Id="rId9496" Type="http://schemas.openxmlformats.org/officeDocument/2006/relationships/hyperlink" Target="http://www.linkedin.com/in/youcef-medjellakh-b49565231" TargetMode="External"/><Relationship  Id="rId9497" Type="http://schemas.openxmlformats.org/officeDocument/2006/relationships/hyperlink" Target="http://www.mandeng.store" TargetMode="External"/><Relationship  Id="rId9498" Type="http://schemas.openxmlformats.org/officeDocument/2006/relationships/hyperlink" Target="http://www.linkedin.com/in/alexia-c-10216b169" TargetMode="External"/><Relationship  Id="rId9499" Type="http://schemas.openxmlformats.org/officeDocument/2006/relationships/hyperlink" Target="http://www.hehocom.fr" TargetMode="External"/><Relationship  Id="rId95" Type="http://schemas.openxmlformats.org/officeDocument/2006/relationships/hyperlink" Target="http://www.hotelamournice.fr" TargetMode="External"/><Relationship  Id="rId950" Type="http://schemas.openxmlformats.org/officeDocument/2006/relationships/hyperlink" Target="http://www.linkedin.com/in/ophelie-juillard-9804a294" TargetMode="External"/><Relationship  Id="rId9500" Type="http://schemas.openxmlformats.org/officeDocument/2006/relationships/hyperlink" Target="http://www.linkedin.com/in/lucas-kacem-95a56ab9" TargetMode="External"/><Relationship  Id="rId9501" Type="http://schemas.openxmlformats.org/officeDocument/2006/relationships/hyperlink" Target="http://www.digitalunicorn.fr" TargetMode="External"/><Relationship  Id="rId9502" Type="http://schemas.openxmlformats.org/officeDocument/2006/relationships/hyperlink" Target="http://www.linkedin.com/in/laetitia-de-clerck-46346431" TargetMode="External"/><Relationship  Id="rId9503" Type="http://schemas.openxmlformats.org/officeDocument/2006/relationships/hyperlink" Target="http://www.linkedin.com/in/olivierthienot" TargetMode="External"/><Relationship  Id="rId9504" Type="http://schemas.openxmlformats.org/officeDocument/2006/relationships/hyperlink" Target="http://www.ecole-vins-spiritueux.com" TargetMode="External"/><Relationship  Id="rId9505" Type="http://schemas.openxmlformats.org/officeDocument/2006/relationships/hyperlink" Target="http://www.linkedin.com/in/emmanuel-clement-mondoloni-aba49321" TargetMode="External"/><Relationship  Id="rId9506" Type="http://schemas.openxmlformats.org/officeDocument/2006/relationships/hyperlink" Target="http://www.isqcertification.com" TargetMode="External"/><Relationship  Id="rId9507" Type="http://schemas.openxmlformats.org/officeDocument/2006/relationships/hyperlink" Target="http://www.linkedin.com/in/guillaumelabbez" TargetMode="External"/><Relationship  Id="rId9508" Type="http://schemas.openxmlformats.org/officeDocument/2006/relationships/hyperlink" Target="http://www.commstrat.fr" TargetMode="External"/><Relationship  Id="rId9509" Type="http://schemas.openxmlformats.org/officeDocument/2006/relationships/hyperlink" Target="http://www.linkedin.com/in/xavier-dullin-97729922" TargetMode="External"/><Relationship  Id="rId951" Type="http://schemas.openxmlformats.org/officeDocument/2006/relationships/hyperlink" Target="http://www.maisonfenestraz.com" TargetMode="External"/><Relationship  Id="rId9510" Type="http://schemas.openxmlformats.org/officeDocument/2006/relationships/hyperlink" Target="http://www.ekno.fr" TargetMode="External"/><Relationship  Id="rId9511" Type="http://schemas.openxmlformats.org/officeDocument/2006/relationships/hyperlink" Target="http://www.linkedin.com/in/mallenjulie" TargetMode="External"/><Relationship  Id="rId9512" Type="http://schemas.openxmlformats.org/officeDocument/2006/relationships/hyperlink" Target="http://www.bonnenouvelle.co" TargetMode="External"/><Relationship  Id="rId9513" Type="http://schemas.openxmlformats.org/officeDocument/2006/relationships/hyperlink" Target="http://www.linkedin.com/in/christopherondel" TargetMode="External"/><Relationship  Id="rId9514" Type="http://schemas.openxmlformats.org/officeDocument/2006/relationships/hyperlink" Target="http://www.comfluence.fr" TargetMode="External"/><Relationship  Id="rId9515" Type="http://schemas.openxmlformats.org/officeDocument/2006/relationships/hyperlink" Target="http://www.linkedin.com/in/vgenillion" TargetMode="External"/><Relationship  Id="rId9516" Type="http://schemas.openxmlformats.org/officeDocument/2006/relationships/hyperlink" Target="http://www.starteo.pro" TargetMode="External"/><Relationship  Id="rId9517" Type="http://schemas.openxmlformats.org/officeDocument/2006/relationships/hyperlink" Target="http://www.linkedin.com/in/jeansebastien-corbel" TargetMode="External"/><Relationship  Id="rId9518" Type="http://schemas.openxmlformats.org/officeDocument/2006/relationships/hyperlink" Target="http://www.size-up.io" TargetMode="External"/><Relationship  Id="rId9519" Type="http://schemas.openxmlformats.org/officeDocument/2006/relationships/hyperlink" Target="http://www.linkedin.com/in/samir-malki-b3898810" TargetMode="External"/><Relationship  Id="rId952" Type="http://schemas.openxmlformats.org/officeDocument/2006/relationships/hyperlink" Target="http://www.linkedin.com/in/sophie-bailleul-39391112a" TargetMode="External"/><Relationship  Id="rId9520" Type="http://schemas.openxmlformats.org/officeDocument/2006/relationships/hyperlink" Target="http://www.adesias.fr" TargetMode="External"/><Relationship  Id="rId9521" Type="http://schemas.openxmlformats.org/officeDocument/2006/relationships/hyperlink" Target="http://www.linkedin.com/in/alexia-haye-07275615b" TargetMode="External"/><Relationship  Id="rId9522" Type="http://schemas.openxmlformats.org/officeDocument/2006/relationships/hyperlink" Target="http://www.grenadine-rp.com" TargetMode="External"/><Relationship  Id="rId9523" Type="http://schemas.openxmlformats.org/officeDocument/2006/relationships/hyperlink" Target="http://www.linkedin.com/in/haichen-wang-59093117" TargetMode="External"/><Relationship  Id="rId9524" Type="http://schemas.openxmlformats.org/officeDocument/2006/relationships/hyperlink" Target="http://www.atlashiseas.eu" TargetMode="External"/><Relationship  Id="rId9525" Type="http://schemas.openxmlformats.org/officeDocument/2006/relationships/hyperlink" Target="http://www.linkedin.com/in/guillaume-chaban-delmas-26a34370" TargetMode="External"/><Relationship  Id="rId9526" Type="http://schemas.openxmlformats.org/officeDocument/2006/relationships/hyperlink" Target="http://www.mgh-partners.com" TargetMode="External"/><Relationship  Id="rId9527" Type="http://schemas.openxmlformats.org/officeDocument/2006/relationships/hyperlink" Target="http://www.linkedin.com/in/anne-laure-parmantier-211b192b" TargetMode="External"/><Relationship  Id="rId9528" Type="http://schemas.openxmlformats.org/officeDocument/2006/relationships/hyperlink" Target="http://www.santablabla.com" TargetMode="External"/><Relationship  Id="rId9529" Type="http://schemas.openxmlformats.org/officeDocument/2006/relationships/hyperlink" Target="http://www.linkedin.com/in/samuel-jequier-3592b659" TargetMode="External"/><Relationship  Id="rId953" Type="http://schemas.openxmlformats.org/officeDocument/2006/relationships/hyperlink" Target="http://www.lille-hotels.com" TargetMode="External"/><Relationship  Id="rId9530" Type="http://schemas.openxmlformats.org/officeDocument/2006/relationships/hyperlink" Target="http://www.bonafide.paris" TargetMode="External"/><Relationship  Id="rId9531" Type="http://schemas.openxmlformats.org/officeDocument/2006/relationships/hyperlink" Target="http://www.linkedin.com/in/veroniquejanneau" TargetMode="External"/><Relationship  Id="rId9532" Type="http://schemas.openxmlformats.org/officeDocument/2006/relationships/hyperlink" Target="http://www.observatoire.fr" TargetMode="External"/><Relationship  Id="rId9533" Type="http://schemas.openxmlformats.org/officeDocument/2006/relationships/hyperlink" Target="http://www.linkedin.com/in/claire-abadji-b9068032" TargetMode="External"/><Relationship  Id="rId9534" Type="http://schemas.openxmlformats.org/officeDocument/2006/relationships/hyperlink" Target="http://www.progressifmedia.com" TargetMode="External"/><Relationship  Id="rId9535" Type="http://schemas.openxmlformats.org/officeDocument/2006/relationships/hyperlink" Target="http://www.linkedin.com/in/laurent-tison-9170785" TargetMode="External"/><Relationship  Id="rId9536" Type="http://schemas.openxmlformats.org/officeDocument/2006/relationships/hyperlink" Target="http://www.skillscommunication.fr" TargetMode="External"/><Relationship  Id="rId9537" Type="http://schemas.openxmlformats.org/officeDocument/2006/relationships/hyperlink" Target="http://www.linkedin.com/in/olivia-cuir-b15487a8" TargetMode="External"/><Relationship  Id="rId9538" Type="http://schemas.openxmlformats.org/officeDocument/2006/relationships/hyperlink" Target="http://www.espritdessens.com" TargetMode="External"/><Relationship  Id="rId9539" Type="http://schemas.openxmlformats.org/officeDocument/2006/relationships/hyperlink" Target="http://www.linkedin.com/in/philjoncour" TargetMode="External"/><Relationship  Id="rId954" Type="http://schemas.openxmlformats.org/officeDocument/2006/relationships/hyperlink" Target="http://www.linkedin.com/in/cecile-barry-649b518" TargetMode="External"/><Relationship  Id="rId9540" Type="http://schemas.openxmlformats.org/officeDocument/2006/relationships/hyperlink" Target="http://www.verticalparis.com" TargetMode="External"/><Relationship  Id="rId9541" Type="http://schemas.openxmlformats.org/officeDocument/2006/relationships/hyperlink" Target="http://www.linkedin.com/in/lmdurand" TargetMode="External"/><Relationship  Id="rId9542" Type="http://schemas.openxmlformats.org/officeDocument/2006/relationships/hyperlink" Target="http://www.5erue.com" TargetMode="External"/><Relationship  Id="rId9543" Type="http://schemas.openxmlformats.org/officeDocument/2006/relationships/hyperlink" Target="http://www.linkedin.com/in/donatienne-brillant" TargetMode="External"/><Relationship  Id="rId9544" Type="http://schemas.openxmlformats.org/officeDocument/2006/relationships/hyperlink" Target="http://www.linkedin.com/in/camille-chaffanjon-533a3444" TargetMode="External"/><Relationship  Id="rId9545" Type="http://schemas.openxmlformats.org/officeDocument/2006/relationships/hyperlink" Target="http://www.the-arcane.com" TargetMode="External"/><Relationship  Id="rId9546" Type="http://schemas.openxmlformats.org/officeDocument/2006/relationships/hyperlink" Target="http://www.linkedin.com/in/aur%c3%a9lie-buffone-4905a02a" TargetMode="External"/><Relationship  Id="rId9547" Type="http://schemas.openxmlformats.org/officeDocument/2006/relationships/hyperlink" Target="http://www.linkedin.com/in/marie-louise-gruel-08665a130" TargetMode="External"/><Relationship  Id="rId9548" Type="http://schemas.openxmlformats.org/officeDocument/2006/relationships/hyperlink" Target="http://www.agence-samba.com" TargetMode="External"/><Relationship  Id="rId9549" Type="http://schemas.openxmlformats.org/officeDocument/2006/relationships/hyperlink" Target="http://www.linkedin.com/in/florence-joulin-cardiet-55558a11" TargetMode="External"/><Relationship  Id="rId955" Type="http://schemas.openxmlformats.org/officeDocument/2006/relationships/hyperlink" Target="http://www.noam-paris.com" TargetMode="External"/><Relationship  Id="rId9550" Type="http://schemas.openxmlformats.org/officeDocument/2006/relationships/hyperlink" Target="http://www.thomasmarko-associes.com" TargetMode="External"/><Relationship  Id="rId9551" Type="http://schemas.openxmlformats.org/officeDocument/2006/relationships/hyperlink" Target="http://www.linkedin.com/in/jean-marc-deverre-aa1b48a" TargetMode="External"/><Relationship  Id="rId9552" Type="http://schemas.openxmlformats.org/officeDocument/2006/relationships/hyperlink" Target="http://www.seine-maritime-attractivite.com" TargetMode="External"/><Relationship  Id="rId9553" Type="http://schemas.openxmlformats.org/officeDocument/2006/relationships/hyperlink" Target="http://www.linkedin.com/in/antoine-rousselie-3281b331" TargetMode="External"/><Relationship  Id="rId9554" Type="http://schemas.openxmlformats.org/officeDocument/2006/relationships/hyperlink" Target="http://www.erilia.fr" TargetMode="External"/><Relationship  Id="rId9555" Type="http://schemas.openxmlformats.org/officeDocument/2006/relationships/hyperlink" Target="http://www.linkedin.com/in/nicolas-gauteur-31719446" TargetMode="External"/><Relationship  Id="rId9556" Type="http://schemas.openxmlformats.org/officeDocument/2006/relationships/hyperlink" Target="http://www.samontblanc.com" TargetMode="External"/><Relationship  Id="rId9557" Type="http://schemas.openxmlformats.org/officeDocument/2006/relationships/hyperlink" Target="http://www.linkedin.com/in/erik-ledorguet-1773129b" TargetMode="External"/><Relationship  Id="rId9558" Type="http://schemas.openxmlformats.org/officeDocument/2006/relationships/hyperlink" Target="http://www.terresdeloirehabitat.fr" TargetMode="External"/><Relationship  Id="rId9559" Type="http://schemas.openxmlformats.org/officeDocument/2006/relationships/hyperlink" Target="http://www.linkedin.com/in/antoineguenot" TargetMode="External"/><Relationship  Id="rId956" Type="http://schemas.openxmlformats.org/officeDocument/2006/relationships/hyperlink" Target="http://www.linkedin.com/in/bastien-bertoli-442954208" TargetMode="External"/><Relationship  Id="rId9560" Type="http://schemas.openxmlformats.org/officeDocument/2006/relationships/hyperlink" Target="http://www.commespace.fr" TargetMode="External"/><Relationship  Id="rId9561" Type="http://schemas.openxmlformats.org/officeDocument/2006/relationships/hyperlink" Target="http://www.linkedin.com/in/maud-anais-claudot-b9069b34" TargetMode="External"/><Relationship  Id="rId9562" Type="http://schemas.openxmlformats.org/officeDocument/2006/relationships/hyperlink" Target="http://www.buildrz.io" TargetMode="External"/><Relationship  Id="rId9563" Type="http://schemas.openxmlformats.org/officeDocument/2006/relationships/hyperlink" Target="http://www.linkedin.com/in/morgan-vieville-7996b01a0" TargetMode="External"/><Relationship  Id="rId9564" Type="http://schemas.openxmlformats.org/officeDocument/2006/relationships/hyperlink" Target="http://www.levapoteur-discount.fr" TargetMode="External"/><Relationship  Id="rId9565" Type="http://schemas.openxmlformats.org/officeDocument/2006/relationships/hyperlink" Target="http://www.linkedin.com/in/benedictegreffier" TargetMode="External"/><Relationship  Id="rId9566" Type="http://schemas.openxmlformats.org/officeDocument/2006/relationships/hyperlink" Target="http://www.axes-44.com" TargetMode="External"/><Relationship  Id="rId9567" Type="http://schemas.openxmlformats.org/officeDocument/2006/relationships/hyperlink" Target="http://www.linkedin.com/in/erwan-flageul-452791a2" TargetMode="External"/><Relationship  Id="rId9568" Type="http://schemas.openxmlformats.org/officeDocument/2006/relationships/hyperlink" Target="http://www.seignouret.com" TargetMode="External"/><Relationship  Id="rId9569" Type="http://schemas.openxmlformats.org/officeDocument/2006/relationships/hyperlink" Target="http://www.linkedin.com/in/fr%c3%a9d%c3%a9ric-hazan-9318a139" TargetMode="External"/><Relationship  Id="rId957" Type="http://schemas.openxmlformats.org/officeDocument/2006/relationships/hyperlink" Target="http://www.hotel-christiania.com" TargetMode="External"/><Relationship  Id="rId9570" Type="http://schemas.openxmlformats.org/officeDocument/2006/relationships/hyperlink" Target="http://www.groupe-bouchard.com" TargetMode="External"/><Relationship  Id="rId9571" Type="http://schemas.openxmlformats.org/officeDocument/2006/relationships/hyperlink" Target="http://www.linkedin.com/in/laurent-guyon-29414a96" TargetMode="External"/><Relationship  Id="rId9572" Type="http://schemas.openxmlformats.org/officeDocument/2006/relationships/hyperlink" Target="http://www.duret.fr" TargetMode="External"/><Relationship  Id="rId9573" Type="http://schemas.openxmlformats.org/officeDocument/2006/relationships/hyperlink" Target="http://www.linkedin.com/in/romainsion" TargetMode="External"/><Relationship  Id="rId9574" Type="http://schemas.openxmlformats.org/officeDocument/2006/relationships/hyperlink" Target="http://www.coco.cooking" TargetMode="External"/><Relationship  Id="rId9575" Type="http://schemas.openxmlformats.org/officeDocument/2006/relationships/hyperlink" Target="http://www.linkedin.com/in/alain-allouche-02b18452" TargetMode="External"/><Relationship  Id="rId9576" Type="http://schemas.openxmlformats.org/officeDocument/2006/relationships/hyperlink" Target="http://www.enr-pro.fr" TargetMode="External"/><Relationship  Id="rId9577" Type="http://schemas.openxmlformats.org/officeDocument/2006/relationships/hyperlink" Target="http://www.linkedin.com/in/anthony-meziere-75380329" TargetMode="External"/><Relationship  Id="rId9578" Type="http://schemas.openxmlformats.org/officeDocument/2006/relationships/hyperlink" Target="http://www.legroupeprestige.com" TargetMode="External"/><Relationship  Id="rId9579" Type="http://schemas.openxmlformats.org/officeDocument/2006/relationships/hyperlink" Target="http://www.linkedin.com/in/fran%c3%a7ois-landre-949a38170" TargetMode="External"/><Relationship  Id="rId958" Type="http://schemas.openxmlformats.org/officeDocument/2006/relationships/hyperlink" Target="http://www.linkedin.com/in/marc-d-urso-86868138" TargetMode="External"/><Relationship  Id="rId9580" Type="http://schemas.openxmlformats.org/officeDocument/2006/relationships/hyperlink" Target="http://www.pba-auctions.com" TargetMode="External"/><Relationship  Id="rId9581" Type="http://schemas.openxmlformats.org/officeDocument/2006/relationships/hyperlink" Target="http://www.linkedin.com/in/mich%c3%a8le-courville-993a05220" TargetMode="External"/><Relationship  Id="rId9582" Type="http://schemas.openxmlformats.org/officeDocument/2006/relationships/hyperlink" Target="http://www.plastimea.com" TargetMode="External"/><Relationship  Id="rId9583" Type="http://schemas.openxmlformats.org/officeDocument/2006/relationships/hyperlink" Target="http://www.linkedin.com/in/philippe-bochon-619a4b61" TargetMode="External"/><Relationship  Id="rId9584" Type="http://schemas.openxmlformats.org/officeDocument/2006/relationships/hyperlink" Target="http://www.duplofrance.fr" TargetMode="External"/><Relationship  Id="rId9585" Type="http://schemas.openxmlformats.org/officeDocument/2006/relationships/hyperlink" Target="http://www.linkedin.com/in/cl%c3%a9mentmery" TargetMode="External"/><Relationship  Id="rId9586" Type="http://schemas.openxmlformats.org/officeDocument/2006/relationships/hyperlink" Target="http://www.willyantigaspi.fr" TargetMode="External"/><Relationship  Id="rId9587" Type="http://schemas.openxmlformats.org/officeDocument/2006/relationships/hyperlink" Target="http://www.linkedin.com/in/marie-ermenier-628a79156" TargetMode="External"/><Relationship  Id="rId9588" Type="http://schemas.openxmlformats.org/officeDocument/2006/relationships/hyperlink" Target="http://www.actimat.com" TargetMode="External"/><Relationship  Id="rId9589" Type="http://schemas.openxmlformats.org/officeDocument/2006/relationships/hyperlink" Target="http://www.linkedin.com/in/laurent-vernet-a92199198" TargetMode="External"/><Relationship  Id="rId959" Type="http://schemas.openxmlformats.org/officeDocument/2006/relationships/hyperlink" Target="http://www.etangs-corot.com" TargetMode="External"/><Relationship  Id="rId9590" Type="http://schemas.openxmlformats.org/officeDocument/2006/relationships/hyperlink" Target="http://www.lopez-fi.com" TargetMode="External"/><Relationship  Id="rId9591" Type="http://schemas.openxmlformats.org/officeDocument/2006/relationships/hyperlink" Target="http://www.linkedin.com/in/novak-k-8b3ab4190" TargetMode="External"/><Relationship  Id="rId9592" Type="http://schemas.openxmlformats.org/officeDocument/2006/relationships/hyperlink" Target="http://www.allo.solar" TargetMode="External"/><Relationship  Id="rId9593" Type="http://schemas.openxmlformats.org/officeDocument/2006/relationships/hyperlink" Target="http://www.linkedin.com/in/adrien-rodriguez-8667a01a0" TargetMode="External"/><Relationship  Id="rId9594" Type="http://schemas.openxmlformats.org/officeDocument/2006/relationships/hyperlink" Target="http://www.la-maison-du-gainable.fr" TargetMode="External"/><Relationship  Id="rId9595" Type="http://schemas.openxmlformats.org/officeDocument/2006/relationships/hyperlink" Target="http://www.linkedin.com/in/raphael-etienne-0677a3127" TargetMode="External"/><Relationship  Id="rId9596" Type="http://schemas.openxmlformats.org/officeDocument/2006/relationships/hyperlink" Target="http://www.jekerautomobiles.fr" TargetMode="External"/><Relationship  Id="rId9597" Type="http://schemas.openxmlformats.org/officeDocument/2006/relationships/hyperlink" Target="http://www.linkedin.com/in/mathias-esnault-2b1140154" TargetMode="External"/><Relationship  Id="rId9598" Type="http://schemas.openxmlformats.org/officeDocument/2006/relationships/hyperlink" Target="http://www.grainesdici.fr" TargetMode="External"/><Relationship  Id="rId9599" Type="http://schemas.openxmlformats.org/officeDocument/2006/relationships/hyperlink" Target="http://www.linkedin.com/in/thibault-evrard-32525185" TargetMode="External"/><Relationship  Id="rId96" Type="http://schemas.openxmlformats.org/officeDocument/2006/relationships/hyperlink" Target="http://www.linkedin.com/in/zacharias-auvray-8b9b9b92" TargetMode="External"/><Relationship  Id="rId960" Type="http://schemas.openxmlformats.org/officeDocument/2006/relationships/hyperlink" Target="http://www.linkedin.com/in/guylombard" TargetMode="External"/><Relationship  Id="rId9600" Type="http://schemas.openxmlformats.org/officeDocument/2006/relationships/hyperlink" Target="http://www.auto-76.fr" TargetMode="External"/><Relationship  Id="rId9601" Type="http://schemas.openxmlformats.org/officeDocument/2006/relationships/hyperlink" Target="http://www.linkedin.com/in/morgane-longo" TargetMode="External"/><Relationship  Id="rId9602" Type="http://schemas.openxmlformats.org/officeDocument/2006/relationships/hyperlink" Target="http://www.libetlou.com" TargetMode="External"/><Relationship  Id="rId9603" Type="http://schemas.openxmlformats.org/officeDocument/2006/relationships/hyperlink" Target="http://www.linkedin.com/in/matthieu-martinez-806039148" TargetMode="External"/><Relationship  Id="rId9604" Type="http://schemas.openxmlformats.org/officeDocument/2006/relationships/hyperlink" Target="http://www.linkedin.com/in/alban-leyssens-87b45a63" TargetMode="External"/><Relationship  Id="rId9605" Type="http://schemas.openxmlformats.org/officeDocument/2006/relationships/hyperlink" Target="http://www.boreal-hygiene.com" TargetMode="External"/><Relationship  Id="rId9606" Type="http://schemas.openxmlformats.org/officeDocument/2006/relationships/hyperlink" Target="http://www.linkedin.com/in/arnaud-ledun-58420844" TargetMode="External"/><Relationship  Id="rId9607" Type="http://schemas.openxmlformats.org/officeDocument/2006/relationships/hyperlink" Target="http://www.sarevi.com" TargetMode="External"/><Relationship  Id="rId9608" Type="http://schemas.openxmlformats.org/officeDocument/2006/relationships/hyperlink" Target="http://www.linkedin.com/in/sebastien-haquette-7368a46" TargetMode="External"/><Relationship  Id="rId9609" Type="http://schemas.openxmlformats.org/officeDocument/2006/relationships/hyperlink" Target="http://www.catequip.com" TargetMode="External"/><Relationship  Id="rId961" Type="http://schemas.openxmlformats.org/officeDocument/2006/relationships/hyperlink" Target="http://www.crillonlebrave.com" TargetMode="External"/><Relationship  Id="rId9610" Type="http://schemas.openxmlformats.org/officeDocument/2006/relationships/hyperlink" Target="http://www.linkedin.com/in/david-velut-571195118" TargetMode="External"/><Relationship  Id="rId9611" Type="http://schemas.openxmlformats.org/officeDocument/2006/relationships/hyperlink" Target="http://www.caveduvaldor.com" TargetMode="External"/><Relationship  Id="rId9612" Type="http://schemas.openxmlformats.org/officeDocument/2006/relationships/hyperlink" Target="http://www.linkedin.com/in/jean-baptiste-gramaglia-598b946" TargetMode="External"/><Relationship  Id="rId9613" Type="http://schemas.openxmlformats.org/officeDocument/2006/relationships/hyperlink" Target="http://www.abcd-vision.org" TargetMode="External"/><Relationship  Id="rId9614" Type="http://schemas.openxmlformats.org/officeDocument/2006/relationships/hyperlink" Target="http://www.linkedin.com/in/philippe-karmann" TargetMode="External"/><Relationship  Id="rId9615" Type="http://schemas.openxmlformats.org/officeDocument/2006/relationships/hyperlink" Target="http://www.linkedin.com/in/alexandre-rozanes-07945363" TargetMode="External"/><Relationship  Id="rId9616" Type="http://schemas.openxmlformats.org/officeDocument/2006/relationships/hyperlink" Target="http://www.atelierdelacreation.com" TargetMode="External"/><Relationship  Id="rId9617" Type="http://schemas.openxmlformats.org/officeDocument/2006/relationships/hyperlink" Target="http://www.linkedin.com/in/annegaelledekinkelin" TargetMode="External"/><Relationship  Id="rId9618" Type="http://schemas.openxmlformats.org/officeDocument/2006/relationships/hyperlink" Target="http://www.ac2r.com" TargetMode="External"/><Relationship  Id="rId9619" Type="http://schemas.openxmlformats.org/officeDocument/2006/relationships/hyperlink" Target="http://www.linkedin.com/in/anne-de-la-rochefoucauld-381a1332" TargetMode="External"/><Relationship  Id="rId962" Type="http://schemas.openxmlformats.org/officeDocument/2006/relationships/hyperlink" Target="http://www.linkedin.com/in/joackim-noblot-01bb79201" TargetMode="External"/><Relationship  Id="rId9620" Type="http://schemas.openxmlformats.org/officeDocument/2006/relationships/hyperlink" Target="http://www.appeldulivrepro.fr" TargetMode="External"/><Relationship  Id="rId9621" Type="http://schemas.openxmlformats.org/officeDocument/2006/relationships/hyperlink" Target="http://www.linkedin.com/in/yassin-inti-5b5a38172" TargetMode="External"/><Relationship  Id="rId9622" Type="http://schemas.openxmlformats.org/officeDocument/2006/relationships/hyperlink" Target="http://www.dpsmarket.com" TargetMode="External"/><Relationship  Id="rId9623" Type="http://schemas.openxmlformats.org/officeDocument/2006/relationships/hyperlink" Target="http://www.linkedin.com/in/eric-durif-chr-avenue" TargetMode="External"/><Relationship  Id="rId9624" Type="http://schemas.openxmlformats.org/officeDocument/2006/relationships/hyperlink" Target="http://www.chr-avenue.com" TargetMode="External"/><Relationship  Id="rId9625" Type="http://schemas.openxmlformats.org/officeDocument/2006/relationships/hyperlink" Target="http://www.linkedin.com/in/julien-goldrajch-06b0021b6" TargetMode="External"/><Relationship  Id="rId9626" Type="http://schemas.openxmlformats.org/officeDocument/2006/relationships/hyperlink" Target="http://www.e-liquide-fr.com" TargetMode="External"/><Relationship  Id="rId9627" Type="http://schemas.openxmlformats.org/officeDocument/2006/relationships/hyperlink" Target="http://www.linkedin.com/in/v%c3%a9ronique-gresser-arnold-741882206" TargetMode="External"/><Relationship  Id="rId9628" Type="http://schemas.openxmlformats.org/officeDocument/2006/relationships/hyperlink" Target="http://www.abry-arnold.fr" TargetMode="External"/><Relationship  Id="rId9629" Type="http://schemas.openxmlformats.org/officeDocument/2006/relationships/hyperlink" Target="http://www.linkedin.com/in/lucas-alaterre-947a67113" TargetMode="External"/><Relationship  Id="rId963" Type="http://schemas.openxmlformats.org/officeDocument/2006/relationships/hyperlink" Target="http://www.hfpc.fr" TargetMode="External"/><Relationship  Id="rId9630" Type="http://schemas.openxmlformats.org/officeDocument/2006/relationships/hyperlink" Target="http://www.greenowl.fr" TargetMode="External"/><Relationship  Id="rId9631" Type="http://schemas.openxmlformats.org/officeDocument/2006/relationships/hyperlink" Target="http://www.linkedin.com/in/romainlequer" TargetMode="External"/><Relationship  Id="rId9632" Type="http://schemas.openxmlformats.org/officeDocument/2006/relationships/hyperlink" Target="http://www.linkedin.com/in/brieucoger-entrepreneur" TargetMode="External"/><Relationship  Id="rId9633" Type="http://schemas.openxmlformats.org/officeDocument/2006/relationships/hyperlink" Target="http://www.focus.work" TargetMode="External"/><Relationship  Id="rId9634" Type="http://schemas.openxmlformats.org/officeDocument/2006/relationships/hyperlink" Target="http://www.linkedin.com/in/virginia-mangia-604b402" TargetMode="External"/><Relationship  Id="rId9635" Type="http://schemas.openxmlformats.org/officeDocument/2006/relationships/hyperlink" Target="http://www.linkedin.com/in/mathieu-saintout-297ab62" TargetMode="External"/><Relationship  Id="rId9636" Type="http://schemas.openxmlformats.org/officeDocument/2006/relationships/hyperlink" Target="http://www.arkhane-asylum.fr" TargetMode="External"/><Relationship  Id="rId9637" Type="http://schemas.openxmlformats.org/officeDocument/2006/relationships/hyperlink" Target="http://www.linkedin.com/in/ludovic-lesne-8702261a" TargetMode="External"/><Relationship  Id="rId9638" Type="http://schemas.openxmlformats.org/officeDocument/2006/relationships/hyperlink" Target="http://www.prieur-sports.com" TargetMode="External"/><Relationship  Id="rId9639" Type="http://schemas.openxmlformats.org/officeDocument/2006/relationships/hyperlink" Target="http://www.linkedin.com/in/adrienbeaud" TargetMode="External"/><Relationship  Id="rId964" Type="http://schemas.openxmlformats.org/officeDocument/2006/relationships/hyperlink" Target="http://www.linkedin.com/in/ludovic-mey-18753089" TargetMode="External"/><Relationship  Id="rId9640" Type="http://schemas.openxmlformats.org/officeDocument/2006/relationships/hyperlink" Target="http://www.algi.fr" TargetMode="External"/><Relationship  Id="rId9641" Type="http://schemas.openxmlformats.org/officeDocument/2006/relationships/hyperlink" Target="http://www.linkedin.com/in/isabelle-gruet-38a2153" TargetMode="External"/><Relationship  Id="rId9642" Type="http://schemas.openxmlformats.org/officeDocument/2006/relationships/hyperlink" Target="http://www.c-monetiquette.fr" TargetMode="External"/><Relationship  Id="rId9643" Type="http://schemas.openxmlformats.org/officeDocument/2006/relationships/hyperlink" Target="http://www.linkedin.com/in/bruno-bluntzer-ba197bb2" TargetMode="External"/><Relationship  Id="rId9644" Type="http://schemas.openxmlformats.org/officeDocument/2006/relationships/hyperlink" Target="http://www.charcuterie-sibilia.com" TargetMode="External"/><Relationship  Id="rId9645" Type="http://schemas.openxmlformats.org/officeDocument/2006/relationships/hyperlink" Target="http://www.linkedin.com/in/louis-dunoyer" TargetMode="External"/><Relationship  Id="rId9646" Type="http://schemas.openxmlformats.org/officeDocument/2006/relationships/hyperlink" Target="http://www.laperledesdieux.com" TargetMode="External"/><Relationship  Id="rId9647" Type="http://schemas.openxmlformats.org/officeDocument/2006/relationships/hyperlink" Target="http://www.linkedin.com/in/cyrilpouget" TargetMode="External"/><Relationship  Id="rId9648" Type="http://schemas.openxmlformats.org/officeDocument/2006/relationships/hyperlink" Target="http://www.espace-bricolage.fr" TargetMode="External"/><Relationship  Id="rId9649" Type="http://schemas.openxmlformats.org/officeDocument/2006/relationships/hyperlink" Target="http://www.linkedin.com/in/marie-eve-pecatte-14143695" TargetMode="External"/><Relationship  Id="rId965" Type="http://schemas.openxmlformats.org/officeDocument/2006/relationships/hyperlink" Target="http://www.foodtraboule.com" TargetMode="External"/><Relationship  Id="rId9650" Type="http://schemas.openxmlformats.org/officeDocument/2006/relationships/hyperlink" Target="http://www.foraloc.fr" TargetMode="External"/><Relationship  Id="rId9651" Type="http://schemas.openxmlformats.org/officeDocument/2006/relationships/hyperlink" Target="http://www.linkedin.com/in/emmanuel-pons-5151b4148" TargetMode="External"/><Relationship  Id="rId9652" Type="http://schemas.openxmlformats.org/officeDocument/2006/relationships/hyperlink" Target="http://www.classotech.com" TargetMode="External"/><Relationship  Id="rId9653" Type="http://schemas.openxmlformats.org/officeDocument/2006/relationships/hyperlink" Target="http://ipln.fr" TargetMode="External"/><Relationship  Id="rId9654" Type="http://schemas.openxmlformats.org/officeDocument/2006/relationships/hyperlink" Target="http://www.linkedin.com/in/douglas-studient-911a381b1" TargetMode="External"/><Relationship  Id="rId9655" Type="http://schemas.openxmlformats.org/officeDocument/2006/relationships/hyperlink" Target="http://www.ipln.fr" TargetMode="External"/><Relationship  Id="rId9656" Type="http://schemas.openxmlformats.org/officeDocument/2006/relationships/hyperlink" Target="http://www.linkedin.com/in/daniel-mouton-36547583" TargetMode="External"/><Relationship  Id="rId9657" Type="http://schemas.openxmlformats.org/officeDocument/2006/relationships/hyperlink" Target="http://www.daniel-mouton.com" TargetMode="External"/><Relationship  Id="rId9658" Type="http://schemas.openxmlformats.org/officeDocument/2006/relationships/hyperlink" Target="http://www.linkedin.com/in/marco-esteves-064115114" TargetMode="External"/><Relationship  Id="rId9659" Type="http://schemas.openxmlformats.org/officeDocument/2006/relationships/hyperlink" Target="http://www.spcm.fr" TargetMode="External"/><Relationship  Id="rId966" Type="http://schemas.openxmlformats.org/officeDocument/2006/relationships/hyperlink" Target="http://www.linkedin.com/in/julien-pluchino" TargetMode="External"/><Relationship  Id="rId9660" Type="http://schemas.openxmlformats.org/officeDocument/2006/relationships/hyperlink" Target="http://www.linkedin.com/in/jaouen-pairel-a31312131" TargetMode="External"/><Relationship  Id="rId9661" Type="http://schemas.openxmlformats.org/officeDocument/2006/relationships/hyperlink" Target="http://www.linkedin.com/in/eric-massip-218414146" TargetMode="External"/><Relationship  Id="rId9662" Type="http://schemas.openxmlformats.org/officeDocument/2006/relationships/hyperlink" Target="http://www.you-smoke.fr" TargetMode="External"/><Relationship  Id="rId9663" Type="http://schemas.openxmlformats.org/officeDocument/2006/relationships/hyperlink" Target="http://www.linkedin.com/in/jacques-de-la-hamelinaye-988ba951" TargetMode="External"/><Relationship  Id="rId9664" Type="http://schemas.openxmlformats.org/officeDocument/2006/relationships/hyperlink" Target="http://www.tracto-pieces.fr" TargetMode="External"/><Relationship  Id="rId9665" Type="http://schemas.openxmlformats.org/officeDocument/2006/relationships/hyperlink" Target="http://www.linkedin.com/in/megadose" TargetMode="External"/><Relationship  Id="rId9666" Type="http://schemas.openxmlformats.org/officeDocument/2006/relationships/hyperlink" Target="http://www.osint.industries" TargetMode="External"/><Relationship  Id="rId9667" Type="http://schemas.openxmlformats.org/officeDocument/2006/relationships/hyperlink" Target="http://www.linkedin.com/in/emmanuel-lallement-6b6a75b8" TargetMode="External"/><Relationship  Id="rId9668" Type="http://schemas.openxmlformats.org/officeDocument/2006/relationships/hyperlink" Target="http://www.antivol.fr" TargetMode="External"/><Relationship  Id="rId9669" Type="http://schemas.openxmlformats.org/officeDocument/2006/relationships/hyperlink" Target="http://www.linkedin.com/in/jpdelesse" TargetMode="External"/><Relationship  Id="rId967" Type="http://schemas.openxmlformats.org/officeDocument/2006/relationships/hyperlink" Target="http://www.loasis.fr" TargetMode="External"/><Relationship  Id="rId9670" Type="http://schemas.openxmlformats.org/officeDocument/2006/relationships/hyperlink" Target="http://www.trusted-objects.com" TargetMode="External"/><Relationship  Id="rId9671" Type="http://schemas.openxmlformats.org/officeDocument/2006/relationships/hyperlink" Target="http://www.linkedin.com/in/sami-anbouba-5043a035" TargetMode="External"/><Relationship  Id="rId9672" Type="http://schemas.openxmlformats.org/officeDocument/2006/relationships/hyperlink" Target="http://www.linkedin.com/in/cblanchardpni" TargetMode="External"/><Relationship  Id="rId9673" Type="http://schemas.openxmlformats.org/officeDocument/2006/relationships/hyperlink" Target="http://www.planetworkint.com" TargetMode="External"/><Relationship  Id="rId9674" Type="http://schemas.openxmlformats.org/officeDocument/2006/relationships/hyperlink" Target="http://www.linkedin.com/in/patrick-rousset-6596b5a9" TargetMode="External"/><Relationship  Id="rId9675" Type="http://schemas.openxmlformats.org/officeDocument/2006/relationships/hyperlink" Target="http://www.numerisat.fr" TargetMode="External"/><Relationship  Id="rId9676" Type="http://schemas.openxmlformats.org/officeDocument/2006/relationships/hyperlink" Target="http://www.linkedin.com/in/pierre-paquot-1266471" TargetMode="External"/><Relationship  Id="rId9677" Type="http://schemas.openxmlformats.org/officeDocument/2006/relationships/hyperlink" Target="http://www.telecoop.fr" TargetMode="External"/><Relationship  Id="rId9678" Type="http://schemas.openxmlformats.org/officeDocument/2006/relationships/hyperlink" Target="http://www.linkedin.com/in/ziad-al-jamal-31a6734a" TargetMode="External"/><Relationship  Id="rId9679" Type="http://schemas.openxmlformats.org/officeDocument/2006/relationships/hyperlink" Target="http://www.sat-mena.com" TargetMode="External"/><Relationship  Id="rId968" Type="http://schemas.openxmlformats.org/officeDocument/2006/relationships/hyperlink" Target="http://www.linkedin.com/in/fr%c3%a9d%c3%a9ric-deceuninck-98a0403" TargetMode="External"/><Relationship  Id="rId9680" Type="http://schemas.openxmlformats.org/officeDocument/2006/relationships/hyperlink" Target="http://www.linkedin.com/in/jean-lionel-laccourreye-b85563" TargetMode="External"/><Relationship  Id="rId9681" Type="http://schemas.openxmlformats.org/officeDocument/2006/relationships/hyperlink" Target="http://www.bak2.com" TargetMode="External"/><Relationship  Id="rId9682" Type="http://schemas.openxmlformats.org/officeDocument/2006/relationships/hyperlink" Target="http://www.linkedin.com/in/rbonenfant" TargetMode="External"/><Relationship  Id="rId9683" Type="http://schemas.openxmlformats.org/officeDocument/2006/relationships/hyperlink" Target="http://www.fftelecoms.org" TargetMode="External"/><Relationship  Id="rId9684" Type="http://schemas.openxmlformats.org/officeDocument/2006/relationships/hyperlink" Target="http://www.linkedin.com/in/moriset-dis-a1bbb078" TargetMode="External"/><Relationship  Id="rId9685" Type="http://schemas.openxmlformats.org/officeDocument/2006/relationships/hyperlink" Target="http://www.dis-connect.de" TargetMode="External"/><Relationship  Id="rId9686" Type="http://schemas.openxmlformats.org/officeDocument/2006/relationships/hyperlink" Target="http://www.linkedin.com/in/anisbouajina" TargetMode="External"/><Relationship  Id="rId9687" Type="http://schemas.openxmlformats.org/officeDocument/2006/relationships/hyperlink" Target="http://www.cayoncloud.com" TargetMode="External"/><Relationship  Id="rId9688" Type="http://schemas.openxmlformats.org/officeDocument/2006/relationships/hyperlink" Target="http://www.linkedin.com/in/michael-boulanger-44426671" TargetMode="External"/><Relationship  Id="rId9689" Type="http://schemas.openxmlformats.org/officeDocument/2006/relationships/hyperlink" Target="http://www.nfcom-services.fr" TargetMode="External"/><Relationship  Id="rId969" Type="http://schemas.openxmlformats.org/officeDocument/2006/relationships/hyperlink" Target="http://www.linkedin.com/in/nicolas-bahler-0275a92b7" TargetMode="External"/><Relationship  Id="rId9690" Type="http://schemas.openxmlformats.org/officeDocument/2006/relationships/hyperlink" Target="http://www.linkedin.com/in/marc-simeoni-351561b" TargetMode="External"/><Relationship  Id="rId9691" Type="http://schemas.openxmlformats.org/officeDocument/2006/relationships/hyperlink" Target="http://www.phonein.corsica" TargetMode="External"/><Relationship  Id="rId9692" Type="http://schemas.openxmlformats.org/officeDocument/2006/relationships/hyperlink" Target="http://www.linkedin.com/in/guillaume-metzquer-b1885545" TargetMode="External"/><Relationship  Id="rId9693" Type="http://schemas.openxmlformats.org/officeDocument/2006/relationships/hyperlink" Target="http://www.abctelephonie.com" TargetMode="External"/><Relationship  Id="rId9694" Type="http://schemas.openxmlformats.org/officeDocument/2006/relationships/hyperlink" Target="http://www.linkedin.com/in/cedric-lepolard-948a9631" TargetMode="External"/><Relationship  Id="rId9695" Type="http://schemas.openxmlformats.org/officeDocument/2006/relationships/hyperlink" Target="http://www.valocime.fr" TargetMode="External"/><Relationship  Id="rId9696" Type="http://schemas.openxmlformats.org/officeDocument/2006/relationships/hyperlink" Target="http://www.linkedin.com/in/fredmaro" TargetMode="External"/><Relationship  Id="rId9697" Type="http://schemas.openxmlformats.org/officeDocument/2006/relationships/hyperlink" Target="http://www.linkedin.com/in/lo%c3%afc-le-fur-94a5ba220" TargetMode="External"/><Relationship  Id="rId9698" Type="http://schemas.openxmlformats.org/officeDocument/2006/relationships/hyperlink" Target="http://www.axiom.fr" TargetMode="External"/><Relationship  Id="rId9699" Type="http://schemas.openxmlformats.org/officeDocument/2006/relationships/hyperlink" Target="http://www.linkedin.com/in/mohamed-ayouni-5566b2113" TargetMode="External"/><Relationship  Id="rId97" Type="http://schemas.openxmlformats.org/officeDocument/2006/relationships/hyperlink" Target="http://www.village-igloo.fr" TargetMode="External"/><Relationship  Id="rId970" Type="http://schemas.openxmlformats.org/officeDocument/2006/relationships/hyperlink" Target="http://www.hotellittreparis.com" TargetMode="External"/><Relationship  Id="rId9700" Type="http://schemas.openxmlformats.org/officeDocument/2006/relationships/hyperlink" Target="http://www.bercytel.com" TargetMode="External"/><Relationship  Id="rId9701" Type="http://schemas.openxmlformats.org/officeDocument/2006/relationships/hyperlink" Target="http://www.linkedin.com/in/xavier-lebrun-9421641a2" TargetMode="External"/><Relationship  Id="rId9702" Type="http://schemas.openxmlformats.org/officeDocument/2006/relationships/hyperlink" Target="http://www.area-tech.fr" TargetMode="External"/><Relationship  Id="rId9703" Type="http://schemas.openxmlformats.org/officeDocument/2006/relationships/hyperlink" Target="http://www.linkedin.com/in/christophe-guillot-90181416" TargetMode="External"/><Relationship  Id="rId9704" Type="http://schemas.openxmlformats.org/officeDocument/2006/relationships/hyperlink" Target="http://www.acrt.org" TargetMode="External"/><Relationship  Id="rId9705" Type="http://schemas.openxmlformats.org/officeDocument/2006/relationships/hyperlink" Target="http://www.linkedin.com/in/soufiane-chabbah-4b4873294" TargetMode="External"/><Relationship  Id="rId9706" Type="http://schemas.openxmlformats.org/officeDocument/2006/relationships/hyperlink" Target="http://www.ascommunication-tn.fr" TargetMode="External"/><Relationship  Id="rId9707" Type="http://schemas.openxmlformats.org/officeDocument/2006/relationships/hyperlink" Target="http://www.linkedin.com/in/jeremy-ardouin-8a5493" TargetMode="External"/><Relationship  Id="rId9708" Type="http://schemas.openxmlformats.org/officeDocument/2006/relationships/hyperlink" Target="http://www.wi6labs.com" TargetMode="External"/><Relationship  Id="rId9709" Type="http://schemas.openxmlformats.org/officeDocument/2006/relationships/hyperlink" Target="http://www.linkedin.com/in/bertrand-desmarez" TargetMode="External"/><Relationship  Id="rId971" Type="http://schemas.openxmlformats.org/officeDocument/2006/relationships/hyperlink" Target="http://www.linkedin.com/in/colin-favre-coutillet-4a7373127" TargetMode="External"/><Relationship  Id="rId9710" Type="http://schemas.openxmlformats.org/officeDocument/2006/relationships/hyperlink" Target="http://www.desmarez-radiocommunication.fr" TargetMode="External"/><Relationship  Id="rId9711" Type="http://schemas.openxmlformats.org/officeDocument/2006/relationships/hyperlink" Target="http://www.linkedin.com/in/anthony-clerget" TargetMode="External"/><Relationship  Id="rId9712" Type="http://schemas.openxmlformats.org/officeDocument/2006/relationships/hyperlink" Target="http://www.cekoya.fr" TargetMode="External"/><Relationship  Id="rId9713" Type="http://schemas.openxmlformats.org/officeDocument/2006/relationships/hyperlink" Target="http://www.linkedin.com/in/alexandremarie01" TargetMode="External"/><Relationship  Id="rId9714" Type="http://schemas.openxmlformats.org/officeDocument/2006/relationships/hyperlink" Target="http://www.groupeh4.fr" TargetMode="External"/><Relationship  Id="rId9715" Type="http://schemas.openxmlformats.org/officeDocument/2006/relationships/hyperlink" Target="http://www.linkedin.com/in/laurent-averseng-42a438161" TargetMode="External"/><Relationship  Id="rId9716" Type="http://schemas.openxmlformats.org/officeDocument/2006/relationships/hyperlink" Target="http://www.fibre31.fr" TargetMode="External"/><Relationship  Id="rId9717" Type="http://schemas.openxmlformats.org/officeDocument/2006/relationships/hyperlink" Target="http://www.linkedin.com/in/jean-fran%c3%a7ois-kleinfinger-8850754" TargetMode="External"/><Relationship  Id="rId9718" Type="http://schemas.openxmlformats.org/officeDocument/2006/relationships/hyperlink" Target="http://www.linkedin.com/in/bouteloup-alex-b08ba95" TargetMode="External"/><Relationship  Id="rId9719" Type="http://schemas.openxmlformats.org/officeDocument/2006/relationships/hyperlink" Target="http://www.sct.es" TargetMode="External"/><Relationship  Id="rId972" Type="http://schemas.openxmlformats.org/officeDocument/2006/relationships/hyperlink" Target="http://www.lacoquetteriegang.com" TargetMode="External"/><Relationship  Id="rId9720" Type="http://schemas.openxmlformats.org/officeDocument/2006/relationships/hyperlink" Target="http://www.linkedin.com/in/gwenaelmoreau" TargetMode="External"/><Relationship  Id="rId9721" Type="http://schemas.openxmlformats.org/officeDocument/2006/relationships/hyperlink" Target="http://www.lemnia.fr" TargetMode="External"/><Relationship  Id="rId9722" Type="http://schemas.openxmlformats.org/officeDocument/2006/relationships/hyperlink" Target="http://www.linkedin.com/in/jean-gilbert-muller-7b15b929" TargetMode="External"/><Relationship  Id="rId9723" Type="http://schemas.openxmlformats.org/officeDocument/2006/relationships/hyperlink" Target="http://www.president-electronics.fr" TargetMode="External"/><Relationship  Id="rId9724" Type="http://schemas.openxmlformats.org/officeDocument/2006/relationships/hyperlink" Target="http://www.linkedin.com/in/fabiendaluz" TargetMode="External"/><Relationship  Id="rId9725" Type="http://schemas.openxmlformats.org/officeDocument/2006/relationships/hyperlink" Target="http://www.tourmag.com" TargetMode="External"/><Relationship  Id="rId9726" Type="http://schemas.openxmlformats.org/officeDocument/2006/relationships/hyperlink" Target="http://www.linkedin.com/in/david-saillant-64763339" TargetMode="External"/><Relationship  Id="rId9727" Type="http://schemas.openxmlformats.org/officeDocument/2006/relationships/hyperlink" Target="http://www.commend.fr" TargetMode="External"/><Relationship  Id="rId9728" Type="http://schemas.openxmlformats.org/officeDocument/2006/relationships/hyperlink" Target="http://www.linkedin.com/in/olivier-riffard-673baa91" TargetMode="External"/><Relationship  Id="rId9729" Type="http://schemas.openxmlformats.org/officeDocument/2006/relationships/hyperlink" Target="http://www.linkedin.com/in/pascal-simonin-a03306157" TargetMode="External"/><Relationship  Id="rId973" Type="http://schemas.openxmlformats.org/officeDocument/2006/relationships/hyperlink" Target="http://www.linkedin.com/in/emmanuelle-jacquet-1a405564" TargetMode="External"/><Relationship  Id="rId9730" Type="http://schemas.openxmlformats.org/officeDocument/2006/relationships/hyperlink" Target="http://www.linkedin.com/in/florianlavenu" TargetMode="External"/><Relationship  Id="rId9731" Type="http://schemas.openxmlformats.org/officeDocument/2006/relationships/hyperlink" Target="http://www.cdimedias.com" TargetMode="External"/><Relationship  Id="rId9732" Type="http://schemas.openxmlformats.org/officeDocument/2006/relationships/hyperlink" Target="http://www.linkedin.com/in/ga%c3%a9tan-morice-31178612" TargetMode="External"/><Relationship  Id="rId9733" Type="http://schemas.openxmlformats.org/officeDocument/2006/relationships/hyperlink" Target="http://www.linkedin.com/in/david-nogues-44819b28" TargetMode="External"/><Relationship  Id="rId9734" Type="http://schemas.openxmlformats.org/officeDocument/2006/relationships/hyperlink" Target="http://www.mosaik.com" TargetMode="External"/><Relationship  Id="rId9735" Type="http://schemas.openxmlformats.org/officeDocument/2006/relationships/hyperlink" Target="http://www.linkedin.com/in/gautiermarsot" TargetMode="External"/><Relationship  Id="rId9736" Type="http://schemas.openxmlformats.org/officeDocument/2006/relationships/hyperlink" Target="http://www.dc2scale.fr" TargetMode="External"/><Relationship  Id="rId9737" Type="http://schemas.openxmlformats.org/officeDocument/2006/relationships/hyperlink" Target="http://www.linkedin.com/in/denise-dorsaint-502675181" TargetMode="External"/><Relationship  Id="rId9738" Type="http://schemas.openxmlformats.org/officeDocument/2006/relationships/hyperlink" Target="http://www.swagdistribution.co.uk" TargetMode="External"/><Relationship  Id="rId9739" Type="http://schemas.openxmlformats.org/officeDocument/2006/relationships/hyperlink" Target="http://www.linkedin.com/in/thomas-ducatel-92534790" TargetMode="External"/><Relationship  Id="rId974" Type="http://schemas.openxmlformats.org/officeDocument/2006/relationships/hyperlink" Target="http://www.supergusto.fr" TargetMode="External"/><Relationship  Id="rId9740" Type="http://schemas.openxmlformats.org/officeDocument/2006/relationships/hyperlink" Target="http://www.ocho.co" TargetMode="External"/><Relationship  Id="rId9741" Type="http://schemas.openxmlformats.org/officeDocument/2006/relationships/hyperlink" Target="http://www.linkedin.com/in/thibaultsuire" TargetMode="External"/><Relationship  Id="rId9742" Type="http://schemas.openxmlformats.org/officeDocument/2006/relationships/hyperlink" Target="http://www.ilona.fr" TargetMode="External"/><Relationship  Id="rId9743" Type="http://schemas.openxmlformats.org/officeDocument/2006/relationships/hyperlink" Target="http://www.linkedin.com/in/poilpre" TargetMode="External"/><Relationship  Id="rId9744" Type="http://schemas.openxmlformats.org/officeDocument/2006/relationships/hyperlink" Target="http://www.cardinalpatrimoine.fr" TargetMode="External"/><Relationship  Id="rId9745" Type="http://schemas.openxmlformats.org/officeDocument/2006/relationships/hyperlink" Target="http://www.linkedin.com/in/julie-gicquel44" TargetMode="External"/><Relationship  Id="rId9746" Type="http://schemas.openxmlformats.org/officeDocument/2006/relationships/hyperlink" Target="http://www.verifimmo.com" TargetMode="External"/><Relationship  Id="rId9747" Type="http://schemas.openxmlformats.org/officeDocument/2006/relationships/hyperlink" Target="http://www.linkedin.com/in/pierre-marini-a1136631" TargetMode="External"/><Relationship  Id="rId9748" Type="http://schemas.openxmlformats.org/officeDocument/2006/relationships/hyperlink" Target="http://www.coachenio.com" TargetMode="External"/><Relationship  Id="rId9749" Type="http://schemas.openxmlformats.org/officeDocument/2006/relationships/hyperlink" Target="http://www.linkedin.com/in/sixtine-deslandes" TargetMode="External"/><Relationship  Id="rId975" Type="http://schemas.openxmlformats.org/officeDocument/2006/relationships/hyperlink" Target="http://www.linkedin.com/in/virginieferreira" TargetMode="External"/><Relationship  Id="rId9750" Type="http://schemas.openxmlformats.org/officeDocument/2006/relationships/hyperlink" Target="http://www.lolahealth.fr" TargetMode="External"/><Relationship  Id="rId9751" Type="http://schemas.openxmlformats.org/officeDocument/2006/relationships/hyperlink" Target="http://www.linkedin.com/in/fran%c3%a7ois-xavier-dussaulx-16a067277" TargetMode="External"/><Relationship  Id="rId9752" Type="http://schemas.openxmlformats.org/officeDocument/2006/relationships/hyperlink" Target="http://www.cea-assurances.fr" TargetMode="External"/><Relationship  Id="rId9753" Type="http://schemas.openxmlformats.org/officeDocument/2006/relationships/hyperlink" Target="http://www.linkedin.com/in/eric-labalette-6a7a99204" TargetMode="External"/><Relationship  Id="rId9754" Type="http://schemas.openxmlformats.org/officeDocument/2006/relationships/hyperlink" Target="http://www.jplabalette.com" TargetMode="External"/><Relationship  Id="rId9755" Type="http://schemas.openxmlformats.org/officeDocument/2006/relationships/hyperlink" Target="http://www.linkedin.com/in/valentin-scemama-351aa616b" TargetMode="External"/><Relationship  Id="rId9756" Type="http://schemas.openxmlformats.org/officeDocument/2006/relationships/hyperlink" Target="http://www.figural.com" TargetMode="External"/><Relationship  Id="rId9757" Type="http://schemas.openxmlformats.org/officeDocument/2006/relationships/hyperlink" Target="http://www.linkedin.com/in/aproux" TargetMode="External"/><Relationship  Id="rId9758" Type="http://schemas.openxmlformats.org/officeDocument/2006/relationships/hyperlink" Target="http://www.coverfield.es" TargetMode="External"/><Relationship  Id="rId9759" Type="http://schemas.openxmlformats.org/officeDocument/2006/relationships/hyperlink" Target="http://www.linkedin.com/in/ahmed-boudalia-09599515a" TargetMode="External"/><Relationship  Id="rId976" Type="http://schemas.openxmlformats.org/officeDocument/2006/relationships/hyperlink" Target="http://www.limprimeriehotel.com" TargetMode="External"/><Relationship  Id="rId9760" Type="http://schemas.openxmlformats.org/officeDocument/2006/relationships/hyperlink" Target="http://www.reaa-consulting.fr" TargetMode="External"/><Relationship  Id="rId9761" Type="http://schemas.openxmlformats.org/officeDocument/2006/relationships/hyperlink" Target="http://www.linkedin.com/in/banie-yawo-86b03a128" TargetMode="External"/><Relationship  Id="rId9762" Type="http://schemas.openxmlformats.org/officeDocument/2006/relationships/hyperlink" Target="http://www.innocourtage.fr" TargetMode="External"/><Relationship  Id="rId9763" Type="http://schemas.openxmlformats.org/officeDocument/2006/relationships/hyperlink" Target="http://www.linkedin.com/in/maxime-coste-b883a516" TargetMode="External"/><Relationship  Id="rId9764" Type="http://schemas.openxmlformats.org/officeDocument/2006/relationships/hyperlink" Target="http://www.coste-fermon.fr" TargetMode="External"/><Relationship  Id="rId9765" Type="http://schemas.openxmlformats.org/officeDocument/2006/relationships/hyperlink" Target="http://www.linkedin.com/in/evrard-de-villeneuve-b1a97a4a" TargetMode="External"/><Relationship  Id="rId9766" Type="http://schemas.openxmlformats.org/officeDocument/2006/relationships/hyperlink" Target="http://www.chevreuse-courtage.com" TargetMode="External"/><Relationship  Id="rId9767" Type="http://schemas.openxmlformats.org/officeDocument/2006/relationships/hyperlink" Target="http://www.linkedin.com/in/adrien-caprai-8b491233" TargetMode="External"/><Relationship  Id="rId9768" Type="http://schemas.openxmlformats.org/officeDocument/2006/relationships/hyperlink" Target="http://www.cnc-expertise.com" TargetMode="External"/><Relationship  Id="rId9769" Type="http://schemas.openxmlformats.org/officeDocument/2006/relationships/hyperlink" Target="http://www.linkedin.com/in/erwin-labalette-0b0793b5" TargetMode="External"/><Relationship  Id="rId977" Type="http://schemas.openxmlformats.org/officeDocument/2006/relationships/hyperlink" Target="http://www.linkedin.com/in/emmanuellepochat" TargetMode="External"/><Relationship  Id="rId9770" Type="http://schemas.openxmlformats.org/officeDocument/2006/relationships/hyperlink" Target="http://www.linkedin.com/in/wiam-bendrif-1508b8196" TargetMode="External"/><Relationship  Id="rId9771" Type="http://schemas.openxmlformats.org/officeDocument/2006/relationships/hyperlink" Target="http://www.calipso-assurances.fr" TargetMode="External"/><Relationship  Id="rId9772" Type="http://schemas.openxmlformats.org/officeDocument/2006/relationships/hyperlink" Target="http://www.linkedin.com/in/david-lachi%c3%a8ze-rey-56119817b" TargetMode="External"/><Relationship  Id="rId9773" Type="http://schemas.openxmlformats.org/officeDocument/2006/relationships/hyperlink" Target="http://www.somec.fr" TargetMode="External"/><Relationship  Id="rId9774" Type="http://schemas.openxmlformats.org/officeDocument/2006/relationships/hyperlink" Target="http://www.linkedin.com/in/juliengelot" TargetMode="External"/><Relationship  Id="rId9775" Type="http://schemas.openxmlformats.org/officeDocument/2006/relationships/hyperlink" Target="http://www.coverd.co" TargetMode="External"/><Relationship  Id="rId9776" Type="http://schemas.openxmlformats.org/officeDocument/2006/relationships/hyperlink" Target="http://www.linkedin.com/in/fr%c3%a9d%c3%a9rick-chemouni-43089678" TargetMode="External"/><Relationship  Id="rId9777" Type="http://schemas.openxmlformats.org/officeDocument/2006/relationships/hyperlink" Target="http://www.initiative-risk.com" TargetMode="External"/><Relationship  Id="rId9778" Type="http://schemas.openxmlformats.org/officeDocument/2006/relationships/hyperlink" Target="http://www.linkedin.com/in/alexandrekrief" TargetMode="External"/><Relationship  Id="rId9779" Type="http://schemas.openxmlformats.org/officeDocument/2006/relationships/hyperlink" Target="http://www.kozoo.eu" TargetMode="External"/><Relationship  Id="rId978" Type="http://schemas.openxmlformats.org/officeDocument/2006/relationships/hyperlink" Target="http://www.linkedin.com/in/lisa-harrison-05ba842" TargetMode="External"/><Relationship  Id="rId9780" Type="http://schemas.openxmlformats.org/officeDocument/2006/relationships/hyperlink" Target="http://www.linkedin.com/in/guillaume-derivery-07794154" TargetMode="External"/><Relationship  Id="rId9781" Type="http://schemas.openxmlformats.org/officeDocument/2006/relationships/hyperlink" Target="http://www.pety.fr" TargetMode="External"/><Relationship  Id="rId9782" Type="http://schemas.openxmlformats.org/officeDocument/2006/relationships/hyperlink" Target="http://www.linkedin.com/in/pierrefruchard" TargetMode="External"/><Relationship  Id="rId9783" Type="http://schemas.openxmlformats.org/officeDocument/2006/relationships/hyperlink" Target="http://www.coover.fr" TargetMode="External"/><Relationship  Id="rId9784" Type="http://schemas.openxmlformats.org/officeDocument/2006/relationships/hyperlink" Target="http://www.linkedin.com/in/denis-de-valmont-babysafe" TargetMode="External"/><Relationship  Id="rId9785" Type="http://schemas.openxmlformats.org/officeDocument/2006/relationships/hyperlink" Target="http://www.babysafe.solutions" TargetMode="External"/><Relationship  Id="rId9786" Type="http://schemas.openxmlformats.org/officeDocument/2006/relationships/hyperlink" Target="http://www.linkedin.com/in/julien-jacquemin-25684813" TargetMode="External"/><Relationship  Id="rId9787" Type="http://schemas.openxmlformats.org/officeDocument/2006/relationships/hyperlink" Target="http://www.gedeon.io" TargetMode="External"/><Relationship  Id="rId9788" Type="http://schemas.openxmlformats.org/officeDocument/2006/relationships/hyperlink" Target="http://www.linkedin.com/in/amaury-tramoni-218a55149" TargetMode="External"/><Relationship  Id="rId9789" Type="http://schemas.openxmlformats.org/officeDocument/2006/relationships/hyperlink" Target="http://www.lyaprotect.com" TargetMode="External"/><Relationship  Id="rId979" Type="http://schemas.openxmlformats.org/officeDocument/2006/relationships/hyperlink" Target="http://www.hdfragrances.com" TargetMode="External"/><Relationship  Id="rId9790" Type="http://schemas.openxmlformats.org/officeDocument/2006/relationships/hyperlink" Target="http://www.linkedin.com/in/loicpeyre" TargetMode="External"/><Relationship  Id="rId9791" Type="http://schemas.openxmlformats.org/officeDocument/2006/relationships/hyperlink" Target="http://www.novacover.fr" TargetMode="External"/><Relationship  Id="rId9792" Type="http://schemas.openxmlformats.org/officeDocument/2006/relationships/hyperlink" Target="http://www.linkedin.com/in/ethan-dahan-a68924158" TargetMode="External"/><Relationship  Id="rId9793" Type="http://schemas.openxmlformats.org/officeDocument/2006/relationships/hyperlink" Target="http://www.cesarpatrimoine.com" TargetMode="External"/><Relationship  Id="rId9794" Type="http://schemas.openxmlformats.org/officeDocument/2006/relationships/hyperlink" Target="http://www.linkedin.com/in/valite-cedrik-a5480b91" TargetMode="External"/><Relationship  Id="rId9795" Type="http://schemas.openxmlformats.org/officeDocument/2006/relationships/hyperlink" Target="http://www.vivonscourtier.com" TargetMode="External"/><Relationship  Id="rId9796" Type="http://schemas.openxmlformats.org/officeDocument/2006/relationships/hyperlink" Target="http://www.linkedin.com/in/karine-guedj-16291a94" TargetMode="External"/><Relationship  Id="rId9797" Type="http://schemas.openxmlformats.org/officeDocument/2006/relationships/hyperlink" Target="http://www.mcci.fr" TargetMode="External"/><Relationship  Id="rId9798" Type="http://schemas.openxmlformats.org/officeDocument/2006/relationships/hyperlink" Target="http://www.linkedin.com/in/ludovic-cerutti-b1b83998" TargetMode="External"/><Relationship  Id="rId9799" Type="http://schemas.openxmlformats.org/officeDocument/2006/relationships/hyperlink" Target="http://www.groupe-cerutti-experts.com" TargetMode="External"/><Relationship  Id="rId98" Type="http://schemas.openxmlformats.org/officeDocument/2006/relationships/hyperlink" Target="http://www.linkedin.com/in/guillaumemagda" TargetMode="External"/><Relationship  Id="rId980" Type="http://schemas.openxmlformats.org/officeDocument/2006/relationships/hyperlink" Target="http://www.linkedin.com/in/guillaume-terrain-58979a107" TargetMode="External"/><Relationship  Id="rId9800" Type="http://schemas.openxmlformats.org/officeDocument/2006/relationships/hyperlink" Target="http://www.linkedin.com/in/anthony-coutal-%f0%9f%9f%a8%f0%9f%9f%a7%f0%9f%9f%a9%f0%9f%9f%a6-36591210a" TargetMode="External"/><Relationship  Id="rId9801" Type="http://schemas.openxmlformats.org/officeDocument/2006/relationships/hyperlink" Target="http://www.assurhelium.com" TargetMode="External"/><Relationship  Id="rId9802" Type="http://schemas.openxmlformats.org/officeDocument/2006/relationships/hyperlink" Target="http://www.linkedin.com/in/franck-duclos-738bab141" TargetMode="External"/><Relationship  Id="rId9803" Type="http://schemas.openxmlformats.org/officeDocument/2006/relationships/hyperlink" Target="http://www.actense.fr" TargetMode="External"/><Relationship  Id="rId9804" Type="http://schemas.openxmlformats.org/officeDocument/2006/relationships/hyperlink" Target="http://www.linkedin.com/in/f%c3%a9lix-gigliotti-a146611a4" TargetMode="External"/><Relationship  Id="rId9805" Type="http://schemas.openxmlformats.org/officeDocument/2006/relationships/hyperlink" Target="http://www.mnfct-mutuelle-sante.fr" TargetMode="External"/><Relationship  Id="rId9806" Type="http://schemas.openxmlformats.org/officeDocument/2006/relationships/hyperlink" Target="http://www.linkedin.com/in/j%c3%a9r%c3%b4me-de-vill%c3%a8le-682985a8" TargetMode="External"/><Relationship  Id="rId9807" Type="http://schemas.openxmlformats.org/officeDocument/2006/relationships/hyperlink" Target="http://www.ampli.fr" TargetMode="External"/><Relationship  Id="rId9808" Type="http://schemas.openxmlformats.org/officeDocument/2006/relationships/hyperlink" Target="http://www.linkedin.com/in/charles-chastang-b7440766" TargetMode="External"/><Relationship  Id="rId9809" Type="http://schemas.openxmlformats.org/officeDocument/2006/relationships/hyperlink" Target="http://www.pellican-assurances.fr" TargetMode="External"/><Relationship  Id="rId981" Type="http://schemas.openxmlformats.org/officeDocument/2006/relationships/hyperlink" Target="http://www.linkedin.com/in/pierre-julien-chantzios-0488337" TargetMode="External"/><Relationship  Id="rId9810" Type="http://schemas.openxmlformats.org/officeDocument/2006/relationships/hyperlink" Target="http://www.linkedin.com/in/olivier-givet-1088323" TargetMode="External"/><Relationship  Id="rId9811" Type="http://schemas.openxmlformats.org/officeDocument/2006/relationships/hyperlink" Target="http://www.actil.com" TargetMode="External"/><Relationship  Id="rId9812" Type="http://schemas.openxmlformats.org/officeDocument/2006/relationships/hyperlink" Target="http://www.linkedin.com/in/vikaschhariya" TargetMode="External"/><Relationship  Id="rId9813" Type="http://schemas.openxmlformats.org/officeDocument/2006/relationships/hyperlink" Target="http://www.indeez.eu" TargetMode="External"/><Relationship  Id="rId9814" Type="http://schemas.openxmlformats.org/officeDocument/2006/relationships/hyperlink" Target="http://www.linkedin.com/in/benoitpastorelli" TargetMode="External"/><Relationship  Id="rId9815" Type="http://schemas.openxmlformats.org/officeDocument/2006/relationships/hyperlink" Target="http://www.continuity-tech.ai" TargetMode="External"/><Relationship  Id="rId9816" Type="http://schemas.openxmlformats.org/officeDocument/2006/relationships/hyperlink" Target="http://www.linkedin.com/in/julien-marinot-3a112269" TargetMode="External"/><Relationship  Id="rId9817" Type="http://schemas.openxmlformats.org/officeDocument/2006/relationships/hyperlink" Target="http://www.jg-conseil.com" TargetMode="External"/><Relationship  Id="rId9818" Type="http://schemas.openxmlformats.org/officeDocument/2006/relationships/hyperlink" Target="http://www.linkedin.com/in/arnaud-geoffroy-4908b6" TargetMode="External"/><Relationship  Id="rId9819" Type="http://schemas.openxmlformats.org/officeDocument/2006/relationships/hyperlink" Target="http://www.wellcov.com" TargetMode="External"/><Relationship  Id="rId982" Type="http://schemas.openxmlformats.org/officeDocument/2006/relationships/hyperlink" Target="http://www.linkedin.com/in/alice-quillet-42a332184" TargetMode="External"/><Relationship  Id="rId9820" Type="http://schemas.openxmlformats.org/officeDocument/2006/relationships/hyperlink" Target="http://www.linkedin.com/in/alexandre-cordier-4920048" TargetMode="External"/><Relationship  Id="rId9821" Type="http://schemas.openxmlformats.org/officeDocument/2006/relationships/hyperlink" Target="http://www.ava.fr" TargetMode="External"/><Relationship  Id="rId9822" Type="http://schemas.openxmlformats.org/officeDocument/2006/relationships/hyperlink" Target="http://www.linkedin.com/in/severine-herrscher-445239103" TargetMode="External"/><Relationship  Id="rId9823" Type="http://schemas.openxmlformats.org/officeDocument/2006/relationships/hyperlink" Target="http://www.nuoma-mutuelle.fr" TargetMode="External"/><Relationship  Id="rId9824" Type="http://schemas.openxmlformats.org/officeDocument/2006/relationships/hyperlink" Target="http://www.linkedin.com/in/sami-hami-637bb3216" TargetMode="External"/><Relationship  Id="rId9825" Type="http://schemas.openxmlformats.org/officeDocument/2006/relationships/hyperlink" Target="http://www.tutassur.fr" TargetMode="External"/><Relationship  Id="rId9826" Type="http://schemas.openxmlformats.org/officeDocument/2006/relationships/hyperlink" Target="http://www.linkedin.com/in/eric-abisset-35619a2a" TargetMode="External"/><Relationship  Id="rId9827" Type="http://schemas.openxmlformats.org/officeDocument/2006/relationships/hyperlink" Target="http://www.aepatrimoine.com" TargetMode="External"/><Relationship  Id="rId9828" Type="http://schemas.openxmlformats.org/officeDocument/2006/relationships/hyperlink" Target="http://www.linkedin.com/in/yann-casen-albatross" TargetMode="External"/><Relationship  Id="rId9829" Type="http://schemas.openxmlformats.org/officeDocument/2006/relationships/hyperlink" Target="http://www.albatross-consulting.com" TargetMode="External"/><Relationship  Id="rId983" Type="http://schemas.openxmlformats.org/officeDocument/2006/relationships/hyperlink" Target="http://www.tenbelles.com" TargetMode="External"/><Relationship  Id="rId9830" Type="http://schemas.openxmlformats.org/officeDocument/2006/relationships/hyperlink" Target="http://www.linkedin.com/in/jean-gueguen-0a6488130" TargetMode="External"/><Relationship  Id="rId9831" Type="http://schemas.openxmlformats.org/officeDocument/2006/relationships/hyperlink" Target="http://www.aestime.fr" TargetMode="External"/><Relationship  Id="rId9832" Type="http://schemas.openxmlformats.org/officeDocument/2006/relationships/hyperlink" Target="http://www.linkedin.com/in/neil-naudey-300a64151" TargetMode="External"/><Relationship  Id="rId9833" Type="http://schemas.openxmlformats.org/officeDocument/2006/relationships/hyperlink" Target="http://www.triceps.fr" TargetMode="External"/><Relationship  Id="rId9834" Type="http://schemas.openxmlformats.org/officeDocument/2006/relationships/hyperlink" Target="http://www.linkedin.com/in/patrick-repetto-729a6510" TargetMode="External"/><Relationship  Id="rId9835" Type="http://schemas.openxmlformats.org/officeDocument/2006/relationships/hyperlink" Target="http://www.izeho.com" TargetMode="External"/><Relationship  Id="rId9836" Type="http://schemas.openxmlformats.org/officeDocument/2006/relationships/hyperlink" Target="http://www.linkedin.com/in/cedric-fetiveau-b267627" TargetMode="External"/><Relationship  Id="rId9837" Type="http://schemas.openxmlformats.org/officeDocument/2006/relationships/hyperlink" Target="http://www.dedomainia.co.uk" TargetMode="External"/><Relationship  Id="rId9838" Type="http://schemas.openxmlformats.org/officeDocument/2006/relationships/hyperlink" Target="http://www.linkedin.com/in/fran%c3%a7ois-lusson-06852b2a" TargetMode="External"/><Relationship  Id="rId9839" Type="http://schemas.openxmlformats.org/officeDocument/2006/relationships/hyperlink" Target="http://www.linkedin.com/in/olivier-durquety-3345a2" TargetMode="External"/><Relationship  Id="rId984" Type="http://schemas.openxmlformats.org/officeDocument/2006/relationships/hyperlink" Target="http://www.linkedin.com/in/lbeaulieu" TargetMode="External"/><Relationship  Id="rId9840" Type="http://schemas.openxmlformats.org/officeDocument/2006/relationships/hyperlink" Target="http://www.sequantis.com" TargetMode="External"/><Relationship  Id="rId9841" Type="http://schemas.openxmlformats.org/officeDocument/2006/relationships/hyperlink" Target="http://www.linkedin.com/in/edouard-de-feydeau-44a10948" TargetMode="External"/><Relationship  Id="rId9842" Type="http://schemas.openxmlformats.org/officeDocument/2006/relationships/hyperlink" Target="http://www.reassurez-moi.fr" TargetMode="External"/><Relationship  Id="rId9843" Type="http://schemas.openxmlformats.org/officeDocument/2006/relationships/hyperlink" Target="http://www.linkedin.com/in/nicolas-labro-600b6b31" TargetMode="External"/><Relationship  Id="rId9844" Type="http://schemas.openxmlformats.org/officeDocument/2006/relationships/hyperlink" Target="http://www.agemi.net" TargetMode="External"/><Relationship  Id="rId9845" Type="http://schemas.openxmlformats.org/officeDocument/2006/relationships/hyperlink" Target="http://www.linkedin.com/in/edouard-george-a7644417" TargetMode="External"/><Relationship  Id="rId9846" Type="http://schemas.openxmlformats.org/officeDocument/2006/relationships/hyperlink" Target="http://www.poe-ma.com" TargetMode="External"/><Relationship  Id="rId9847" Type="http://schemas.openxmlformats.org/officeDocument/2006/relationships/hyperlink" Target="http://www.linkedin.com/in/alain-lannou-4076b5b5" TargetMode="External"/><Relationship  Id="rId9848" Type="http://schemas.openxmlformats.org/officeDocument/2006/relationships/hyperlink" Target="http://www.mudetaf.com" TargetMode="External"/><Relationship  Id="rId9849" Type="http://schemas.openxmlformats.org/officeDocument/2006/relationships/hyperlink" Target="http://www.linkedin.com/in/arnaud-berjon-267a4752" TargetMode="External"/><Relationship  Id="rId985" Type="http://schemas.openxmlformats.org/officeDocument/2006/relationships/hyperlink" Target="http://www.singularites-hft.com" TargetMode="External"/><Relationship  Id="rId9850" Type="http://schemas.openxmlformats.org/officeDocument/2006/relationships/hyperlink" Target="http://www.lamgd.com" TargetMode="External"/><Relationship  Id="rId9851" Type="http://schemas.openxmlformats.org/officeDocument/2006/relationships/hyperlink" Target="http://www.linkedin.com/in/franklin-guinier" TargetMode="External"/><Relationship  Id="rId9852" Type="http://schemas.openxmlformats.org/officeDocument/2006/relationships/hyperlink" Target="http://www.bicytrust.fr" TargetMode="External"/><Relationship  Id="rId9853" Type="http://schemas.openxmlformats.org/officeDocument/2006/relationships/hyperlink" Target="http://www.linkedin.com/in/vincent-de-meyer-16055b4" TargetMode="External"/><Relationship  Id="rId9854" Type="http://schemas.openxmlformats.org/officeDocument/2006/relationships/hyperlink" Target="http://www.eugen-international.com" TargetMode="External"/><Relationship  Id="rId9855" Type="http://schemas.openxmlformats.org/officeDocument/2006/relationships/hyperlink" Target="http://www.linkedin.com/in/pierre-palais-1450a817b" TargetMode="External"/><Relationship  Id="rId9856" Type="http://schemas.openxmlformats.org/officeDocument/2006/relationships/hyperlink" Target="http://www.carexfrance.com" TargetMode="External"/><Relationship  Id="rId9857" Type="http://schemas.openxmlformats.org/officeDocument/2006/relationships/hyperlink" Target="http://www.linkedin.com/in/gerardlegargean" TargetMode="External"/><Relationship  Id="rId9858" Type="http://schemas.openxmlformats.org/officeDocument/2006/relationships/hyperlink" Target="http://www.maior.fr" TargetMode="External"/><Relationship  Id="rId9859" Type="http://schemas.openxmlformats.org/officeDocument/2006/relationships/hyperlink" Target="http://www.linkedin.com/in/bernadette-sarciat-58887616b" TargetMode="External"/><Relationship  Id="rId986" Type="http://schemas.openxmlformats.org/officeDocument/2006/relationships/hyperlink" Target="http://www.linkedin.com/in/frank-schuetzendorf-218352" TargetMode="External"/><Relationship  Id="rId9860" Type="http://schemas.openxmlformats.org/officeDocument/2006/relationships/hyperlink" Target="http://www.mb-garanties.fr" TargetMode="External"/><Relationship  Id="rId9861" Type="http://schemas.openxmlformats.org/officeDocument/2006/relationships/hyperlink" Target="http://www.linkedin.com/in/stephane-nerrant-26361911" TargetMode="External"/><Relationship  Id="rId9862" Type="http://schemas.openxmlformats.org/officeDocument/2006/relationships/hyperlink" Target="http://www.hoken.fr" TargetMode="External"/><Relationship  Id="rId9863" Type="http://schemas.openxmlformats.org/officeDocument/2006/relationships/hyperlink" Target="http://www.linkedin.com/in/alexandrehouizot" TargetMode="External"/><Relationship  Id="rId9864" Type="http://schemas.openxmlformats.org/officeDocument/2006/relationships/hyperlink" Target="http://www.serenitrip.fr" TargetMode="External"/><Relationship  Id="rId9865" Type="http://schemas.openxmlformats.org/officeDocument/2006/relationships/hyperlink" Target="http://www.linkedin.com/in/renaudca%c3%afrati" TargetMode="External"/><Relationship  Id="rId9866" Type="http://schemas.openxmlformats.org/officeDocument/2006/relationships/hyperlink" Target="http://www.momentum-assurances.fr" TargetMode="External"/><Relationship  Id="rId9867" Type="http://schemas.openxmlformats.org/officeDocument/2006/relationships/hyperlink" Target="http://www.linkedin.com/in/mathilde-dufourcq-5a067a25" TargetMode="External"/><Relationship  Id="rId9868" Type="http://schemas.openxmlformats.org/officeDocument/2006/relationships/hyperlink" Target="http://www.aps-prevoyance.fr" TargetMode="External"/><Relationship  Id="rId9869" Type="http://schemas.openxmlformats.org/officeDocument/2006/relationships/hyperlink" Target="http://www.linkedin.com/in/remi-boggio-9892a556" TargetMode="External"/><Relationship  Id="rId987" Type="http://schemas.openxmlformats.org/officeDocument/2006/relationships/hyperlink" Target="http://www.pariscapeconsulting.com" TargetMode="External"/><Relationship  Id="rId9870" Type="http://schemas.openxmlformats.org/officeDocument/2006/relationships/hyperlink" Target="http://www.horizonassurances.com" TargetMode="External"/><Relationship  Id="rId9871" Type="http://schemas.openxmlformats.org/officeDocument/2006/relationships/hyperlink" Target="http://www.linkedin.com/in/pascal-doye-729639175" TargetMode="External"/><Relationship  Id="rId9872" Type="http://schemas.openxmlformats.org/officeDocument/2006/relationships/hyperlink" Target="http://www.sfa-congo.com" TargetMode="External"/><Relationship  Id="rId9873" Type="http://schemas.openxmlformats.org/officeDocument/2006/relationships/hyperlink" Target="http://www.linkedin.com/in/alexisfouche" TargetMode="External"/><Relationship  Id="rId9874" Type="http://schemas.openxmlformats.org/officeDocument/2006/relationships/hyperlink" Target="http://www.lesbureauxdelepargne.com" TargetMode="External"/><Relationship  Id="rId9875" Type="http://schemas.openxmlformats.org/officeDocument/2006/relationships/hyperlink" Target="http://www.linkedin.com/in/sylvaindelporte" TargetMode="External"/><Relationship  Id="rId9876" Type="http://schemas.openxmlformats.org/officeDocument/2006/relationships/hyperlink" Target="http://www.testamento.io" TargetMode="External"/><Relationship  Id="rId9877" Type="http://schemas.openxmlformats.org/officeDocument/2006/relationships/hyperlink" Target="http://www.linkedin.com/in/jeanbaptistechalnot" TargetMode="External"/><Relationship  Id="rId9878" Type="http://schemas.openxmlformats.org/officeDocument/2006/relationships/hyperlink" Target="http://www.linkedin.com/in/emmanuel-morandini-4973638" TargetMode="External"/><Relationship  Id="rId9879" Type="http://schemas.openxmlformats.org/officeDocument/2006/relationships/hyperlink" Target="http://www.zenioo.com" TargetMode="External"/><Relationship  Id="rId988" Type="http://schemas.openxmlformats.org/officeDocument/2006/relationships/hyperlink" Target="http://www.linkedin.com/in/geoffroy-darrieus-2a910420" TargetMode="External"/><Relationship  Id="rId9880" Type="http://schemas.openxmlformats.org/officeDocument/2006/relationships/hyperlink" Target="http://www.linkedin.com/in/henri-des-rieux" TargetMode="External"/><Relationship  Id="rId9881" Type="http://schemas.openxmlformats.org/officeDocument/2006/relationships/hyperlink" Target="http://www.perlib.fr" TargetMode="External"/><Relationship  Id="rId9882" Type="http://schemas.openxmlformats.org/officeDocument/2006/relationships/hyperlink" Target="http://www.linkedin.com/in/jean-yves-swaton-b2909085" TargetMode="External"/><Relationship  Id="rId9883" Type="http://schemas.openxmlformats.org/officeDocument/2006/relationships/hyperlink" Target="http://www.eurosud-assurances.com" TargetMode="External"/><Relationship  Id="rId9884" Type="http://schemas.openxmlformats.org/officeDocument/2006/relationships/hyperlink" Target="http://www.linkedin.com/in/joel-maxime-ghienne-238b1532" TargetMode="External"/><Relationship  Id="rId9885" Type="http://schemas.openxmlformats.org/officeDocument/2006/relationships/hyperlink" Target="http://www.mlcmutuelle.fr" TargetMode="External"/><Relationship  Id="rId9886" Type="http://schemas.openxmlformats.org/officeDocument/2006/relationships/hyperlink" Target="http://www.linkedin.com/in/fr%c3%a9d%c3%a9ric-montbarbon-8b7454105" TargetMode="External"/><Relationship  Id="rId9887" Type="http://schemas.openxmlformats.org/officeDocument/2006/relationships/hyperlink" Target="http://www.lycea.fr" TargetMode="External"/><Relationship  Id="rId9888" Type="http://schemas.openxmlformats.org/officeDocument/2006/relationships/hyperlink" Target="http://www.linkedin.com/in/elie-hadjaj-ba7252174" TargetMode="External"/><Relationship  Id="rId9889" Type="http://schemas.openxmlformats.org/officeDocument/2006/relationships/hyperlink" Target="http://www.ataraxiapatrimoine.com" TargetMode="External"/><Relationship  Id="rId989" Type="http://schemas.openxmlformats.org/officeDocument/2006/relationships/hyperlink" Target="http://www.ripayon.com" TargetMode="External"/><Relationship  Id="rId9890" Type="http://schemas.openxmlformats.org/officeDocument/2006/relationships/hyperlink" Target="http://www.linkedin.com/in/jleymarie" TargetMode="External"/><Relationship  Id="rId9891" Type="http://schemas.openxmlformats.org/officeDocument/2006/relationships/hyperlink" Target="http://www.aiac.fr" TargetMode="External"/><Relationship  Id="rId9892" Type="http://schemas.openxmlformats.org/officeDocument/2006/relationships/hyperlink" Target="http://www.linkedin.com/in/st%c3%a9phane-jadis-89134911" TargetMode="External"/><Relationship  Id="rId9893" Type="http://schemas.openxmlformats.org/officeDocument/2006/relationships/hyperlink" Target="http://www.jadis-assurances.com" TargetMode="External"/><Relationship  Id="rId9894" Type="http://schemas.openxmlformats.org/officeDocument/2006/relationships/hyperlink" Target="http://www.linkedin.com/in/nicolas-t-5a15a710" TargetMode="External"/><Relationship  Id="rId9895" Type="http://schemas.openxmlformats.org/officeDocument/2006/relationships/hyperlink" Target="http://www.retro.fr" TargetMode="External"/><Relationship  Id="rId9896" Type="http://schemas.openxmlformats.org/officeDocument/2006/relationships/hyperlink" Target="http://www.linkedin.com/in/rasit-sen" TargetMode="External"/><Relationship  Id="rId9897" Type="http://schemas.openxmlformats.org/officeDocument/2006/relationships/hyperlink" Target="http://www.linkedin.com/in/laurentnogaro" TargetMode="External"/><Relationship  Id="rId9898" Type="http://schemas.openxmlformats.org/officeDocument/2006/relationships/hyperlink" Target="http://www.coveroo.fr" TargetMode="External"/><Relationship  Id="rId9899" Type="http://schemas.openxmlformats.org/officeDocument/2006/relationships/hyperlink" Target="http://fin-flouss.com" TargetMode="External"/><Relationship  Id="rId99" Type="http://schemas.openxmlformats.org/officeDocument/2006/relationships/hyperlink" Target="http://www.green-des-impressionnistes.com" TargetMode="External"/><Relationship  Id="rId990" Type="http://schemas.openxmlformats.org/officeDocument/2006/relationships/hyperlink" Target="http://www.linkedin.com/in/fran%c3%a7ois-dapremont-91001b4a" TargetMode="External"/><Relationship  Id="rId9900" Type="http://schemas.openxmlformats.org/officeDocument/2006/relationships/hyperlink" Target="http://www.linkedin.com/in/aimad-fatmi-89b35a28" TargetMode="External"/><Relationship  Id="rId9901" Type="http://schemas.openxmlformats.org/officeDocument/2006/relationships/hyperlink" Target="http://www.fin-flouss.com" TargetMode="External"/><Relationship  Id="rId9902" Type="http://schemas.openxmlformats.org/officeDocument/2006/relationships/hyperlink" Target="http://www.linkedin.com/in/emmanuel-provost-a1a40ba7" TargetMode="External"/><Relationship  Id="rId9903" Type="http://schemas.openxmlformats.org/officeDocument/2006/relationships/hyperlink" Target="http://www.afi-esca-patrimoine.com" TargetMode="External"/><Relationship  Id="rId9904" Type="http://schemas.openxmlformats.org/officeDocument/2006/relationships/hyperlink" Target="http://www.linkedin.com/in/mathisbatoul" TargetMode="External"/><Relationship  Id="rId9905" Type="http://schemas.openxmlformats.org/officeDocument/2006/relationships/hyperlink" Target="http://www.estaly.co" TargetMode="External"/><Relationship  Id="rId9906" Type="http://schemas.openxmlformats.org/officeDocument/2006/relationships/hyperlink" Target="http://www.linkedin.com/in/marie-laure-clarety-526b2b189" TargetMode="External"/><Relationship  Id="rId9907" Type="http://schemas.openxmlformats.org/officeDocument/2006/relationships/hyperlink" Target="http://www.linkedin.com/in/victor-besse-825b48144" TargetMode="External"/><Relationship  Id="rId9908" Type="http://schemas.openxmlformats.org/officeDocument/2006/relationships/hyperlink" Target="http://www.linkedin.com/in/nicolas-drousie-787b3b86" TargetMode="External"/><Relationship  Id="rId9909" Type="http://schemas.openxmlformats.org/officeDocument/2006/relationships/hyperlink" Target="http://www.financesas.fr" TargetMode="External"/><Relationship  Id="rId991" Type="http://schemas.openxmlformats.org/officeDocument/2006/relationships/hyperlink" Target="http://www.balmoral-paris-hotel.com" TargetMode="External"/><Relationship  Id="rId9910" Type="http://schemas.openxmlformats.org/officeDocument/2006/relationships/hyperlink" Target="http://www.linkedin.com/in/guillaume-santiago-26146412" TargetMode="External"/><Relationship  Id="rId9911" Type="http://schemas.openxmlformats.org/officeDocument/2006/relationships/hyperlink" Target="http://www.onlynnov.com" TargetMode="External"/><Relationship  Id="rId9912" Type="http://schemas.openxmlformats.org/officeDocument/2006/relationships/hyperlink" Target="http://www.linkedin.com/in/michel-brancal%c3%a9oni-a37b3862" TargetMode="External"/><Relationship  Id="rId9913" Type="http://schemas.openxmlformats.org/officeDocument/2006/relationships/hyperlink" Target="http://www.adn.solutions" TargetMode="External"/><Relationship  Id="rId9914" Type="http://schemas.openxmlformats.org/officeDocument/2006/relationships/hyperlink" Target="http://www.linkedin.com/in/julien-lespagnol-95aa8638" TargetMode="External"/><Relationship  Id="rId9915" Type="http://schemas.openxmlformats.org/officeDocument/2006/relationships/hyperlink" Target="http://www.vyv-ia.com" TargetMode="External"/><Relationship  Id="rId9916" Type="http://schemas.openxmlformats.org/officeDocument/2006/relationships/hyperlink" Target="http://www.linkedin.com/in/j%c3%a9r%c3%a9mie-bugard-3206701a" TargetMode="External"/><Relationship  Id="rId9917" Type="http://schemas.openxmlformats.org/officeDocument/2006/relationships/hyperlink" Target="http://www.wesur.fr" TargetMode="External"/><Relationship  Id="rId9918" Type="http://schemas.openxmlformats.org/officeDocument/2006/relationships/hyperlink" Target="http://www.linkedin.com/in/thomas-couder-1557544" TargetMode="External"/><Relationship  Id="rId9919" Type="http://schemas.openxmlformats.org/officeDocument/2006/relationships/hyperlink" Target="http://www.asqua.fr" TargetMode="External"/><Relationship  Id="rId992" Type="http://schemas.openxmlformats.org/officeDocument/2006/relationships/hyperlink" Target="http://www.linkedin.com/in/corentin-le-bezvoet" TargetMode="External"/><Relationship  Id="rId9920" Type="http://schemas.openxmlformats.org/officeDocument/2006/relationships/hyperlink" Target="http://www.linkedin.com/in/bruno-labuzan-69a40a98" TargetMode="External"/><Relationship  Id="rId9921" Type="http://schemas.openxmlformats.org/officeDocument/2006/relationships/hyperlink" Target="http://www.caarea.com" TargetMode="External"/><Relationship  Id="rId9922" Type="http://schemas.openxmlformats.org/officeDocument/2006/relationships/hyperlink" Target="http://www.linkedin.com/in/sylvain-bilon" TargetMode="External"/><Relationship  Id="rId9923" Type="http://schemas.openxmlformats.org/officeDocument/2006/relationships/hyperlink" Target="http://www.creaconseilassurances.fr" TargetMode="External"/><Relationship  Id="rId9924" Type="http://schemas.openxmlformats.org/officeDocument/2006/relationships/hyperlink" Target="http://www.linkedin.com/in/jean-david-valiente-3aa81028" TargetMode="External"/><Relationship  Id="rId9925" Type="http://schemas.openxmlformats.org/officeDocument/2006/relationships/hyperlink" Target="http://www.dynacsys.com" TargetMode="External"/><Relationship  Id="rId9926" Type="http://schemas.openxmlformats.org/officeDocument/2006/relationships/hyperlink" Target="http://www.linkedin.com/in/beauhaire" TargetMode="External"/><Relationship  Id="rId9927" Type="http://schemas.openxmlformats.org/officeDocument/2006/relationships/hyperlink" Target="http://www.linkedin.com/in/pierre-olivier-grall-7a8bb31" TargetMode="External"/><Relationship  Id="rId9928" Type="http://schemas.openxmlformats.org/officeDocument/2006/relationships/hyperlink" Target="http://www.get-owen.com" TargetMode="External"/><Relationship  Id="rId9929" Type="http://schemas.openxmlformats.org/officeDocument/2006/relationships/hyperlink" Target="http://www.linkedin.com/in/landry-le-castrain-937857a9" TargetMode="External"/><Relationship  Id="rId993" Type="http://schemas.openxmlformats.org/officeDocument/2006/relationships/hyperlink" Target="http://www.akapico.com" TargetMode="External"/><Relationship  Id="rId9930" Type="http://schemas.openxmlformats.org/officeDocument/2006/relationships/hyperlink" Target="http://www.trustiway.com" TargetMode="External"/><Relationship  Id="rId9931" Type="http://schemas.openxmlformats.org/officeDocument/2006/relationships/hyperlink" Target="http://www.linkedin.com/in/raphaelhdd" TargetMode="External"/><Relationship  Id="rId9932" Type="http://schemas.openxmlformats.org/officeDocument/2006/relationships/hyperlink" Target="http://www.eterneo.com" TargetMode="External"/><Relationship  Id="rId9933" Type="http://schemas.openxmlformats.org/officeDocument/2006/relationships/hyperlink" Target="http://www.linkedin.com/in/cordeau-didier-1199472" TargetMode="External"/><Relationship  Id="rId9934" Type="http://schemas.openxmlformats.org/officeDocument/2006/relationships/hyperlink" Target="http://www.diot-mediterranee.com" TargetMode="External"/><Relationship  Id="rId9935" Type="http://schemas.openxmlformats.org/officeDocument/2006/relationships/hyperlink" Target="http://www.linkedin.com/in/patricia-par%c3%a9-774338b4" TargetMode="External"/><Relationship  Id="rId9936" Type="http://schemas.openxmlformats.org/officeDocument/2006/relationships/hyperlink" Target="http://www.alternative-courtage.fr" TargetMode="External"/><Relationship  Id="rId9937" Type="http://schemas.openxmlformats.org/officeDocument/2006/relationships/hyperlink" Target="http://www.linkedin.com/in/anthony-labiod-b91a20101" TargetMode="External"/><Relationship  Id="rId9938" Type="http://schemas.openxmlformats.org/officeDocument/2006/relationships/hyperlink" Target="http://www.serenilifegroup.com" TargetMode="External"/><Relationship  Id="rId9939" Type="http://schemas.openxmlformats.org/officeDocument/2006/relationships/hyperlink" Target="http://www.linkedin.com/in/nicolas-marcaud-officiel" TargetMode="External"/><Relationship  Id="rId994" Type="http://schemas.openxmlformats.org/officeDocument/2006/relationships/hyperlink" Target="http://www.linkedin.com/in/carina-soto-93385b11a" TargetMode="External"/><Relationship  Id="rId9940" Type="http://schemas.openxmlformats.org/officeDocument/2006/relationships/hyperlink" Target="http://www.klian.fr" TargetMode="External"/><Relationship  Id="rId9941" Type="http://schemas.openxmlformats.org/officeDocument/2006/relationships/hyperlink" Target="http://www.linkedin.com/in/micha%c3%abl-krakovich-8a284411" TargetMode="External"/><Relationship  Id="rId9942" Type="http://schemas.openxmlformats.org/officeDocument/2006/relationships/hyperlink" Target="http://www.taskkinsurance.com" TargetMode="External"/><Relationship  Id="rId9943" Type="http://schemas.openxmlformats.org/officeDocument/2006/relationships/hyperlink" Target="http://www.linkedin.com/in/st%c3%a9phane-mellet-599b16110" TargetMode="External"/><Relationship  Id="rId9944" Type="http://schemas.openxmlformats.org/officeDocument/2006/relationships/hyperlink" Target="http://www.mutaero.net" TargetMode="External"/><Relationship  Id="rId9945" Type="http://schemas.openxmlformats.org/officeDocument/2006/relationships/hyperlink" Target="http://www.linkedin.com/in/hugo-lancel-9b107875" TargetMode="External"/><Relationship  Id="rId9946" Type="http://schemas.openxmlformats.org/officeDocument/2006/relationships/hyperlink" Target="http://www.getcaravel.fr" TargetMode="External"/><Relationship  Id="rId9947" Type="http://schemas.openxmlformats.org/officeDocument/2006/relationships/hyperlink" Target="http://www.linkedin.com/in/david-echevin-27723aa" TargetMode="External"/><Relationship  Id="rId9948" Type="http://schemas.openxmlformats.org/officeDocument/2006/relationships/hyperlink" Target="http://www.actelior.com" TargetMode="External"/><Relationship  Id="rId9949" Type="http://schemas.openxmlformats.org/officeDocument/2006/relationships/hyperlink" Target="http://www.linkedin.com/in/claire-trescartes-52353b134" TargetMode="External"/><Relationship  Id="rId995" Type="http://schemas.openxmlformats.org/officeDocument/2006/relationships/hyperlink" Target="http://www.quixotic-projects.com" TargetMode="External"/><Relationship  Id="rId9950" Type="http://schemas.openxmlformats.org/officeDocument/2006/relationships/hyperlink" Target="http://www.linkedin.com/in/helene-croce-23100911" TargetMode="External"/><Relationship  Id="rId9951" Type="http://schemas.openxmlformats.org/officeDocument/2006/relationships/hyperlink" Target="http://www.euresa.org" TargetMode="External"/><Relationship  Id="rId9952" Type="http://schemas.openxmlformats.org/officeDocument/2006/relationships/hyperlink" Target="http://www.linkedin.com/in/j%c3%a9r%c3%a9my-thiriot-32033327" TargetMode="External"/><Relationship  Id="rId9953" Type="http://schemas.openxmlformats.org/officeDocument/2006/relationships/hyperlink" Target="http://www.linkedin.com/in/nicoschwartz" TargetMode="External"/><Relationship  Id="rId9954" Type="http://schemas.openxmlformats.org/officeDocument/2006/relationships/hyperlink" Target="http://www.linkedin.com/in/christophe-ruault-04456a32" TargetMode="External"/><Relationship  Id="rId9955" Type="http://schemas.openxmlformats.org/officeDocument/2006/relationships/hyperlink" Target="http://www.boost-solutions.com" TargetMode="External"/><Relationship  Id="rId9956" Type="http://schemas.openxmlformats.org/officeDocument/2006/relationships/hyperlink" Target="http://www.linkedin.com/in/antoine-theron-2551189" TargetMode="External"/><Relationship  Id="rId9957" Type="http://schemas.openxmlformats.org/officeDocument/2006/relationships/hyperlink" Target="http://www.linkedin.com/in/david-pimentel-innovie" TargetMode="External"/><Relationship  Id="rId9958" Type="http://schemas.openxmlformats.org/officeDocument/2006/relationships/hyperlink" Target="http://www.innovie.fr" TargetMode="External"/><Relationship  Id="rId9959" Type="http://schemas.openxmlformats.org/officeDocument/2006/relationships/hyperlink" Target="http://www.linkedin.com/in/jos%c3%a9-de-freitas-9a771529" TargetMode="External"/><Relationship  Id="rId996" Type="http://schemas.openxmlformats.org/officeDocument/2006/relationships/hyperlink" Target="http://www.linkedin.com/in/aurore-sterling-48992bb1" TargetMode="External"/><Relationship  Id="rId9960" Type="http://schemas.openxmlformats.org/officeDocument/2006/relationships/hyperlink" Target="http://www.urops-prevention.fr" TargetMode="External"/><Relationship  Id="rId9961" Type="http://schemas.openxmlformats.org/officeDocument/2006/relationships/hyperlink" Target="http://www.linkedin.com/in/l%c3%a9o-tordjman-689024a5" TargetMode="External"/><Relationship  Id="rId9962" Type="http://schemas.openxmlformats.org/officeDocument/2006/relationships/hyperlink" Target="http://www.hikoala.co" TargetMode="External"/><Relationship  Id="rId9963" Type="http://schemas.openxmlformats.org/officeDocument/2006/relationships/hyperlink" Target="http://www.linkedin.com/in/karim-lehoussine-55b780178" TargetMode="External"/><Relationship  Id="rId9964" Type="http://schemas.openxmlformats.org/officeDocument/2006/relationships/hyperlink" Target="http://www.assurance-unie.fr" TargetMode="External"/><Relationship  Id="rId9965" Type="http://schemas.openxmlformats.org/officeDocument/2006/relationships/hyperlink" Target="http://www.linkedin.com/in/karim-yassari" TargetMode="External"/><Relationship  Id="rId9966" Type="http://schemas.openxmlformats.org/officeDocument/2006/relationships/hyperlink" Target="http://www.nhy-assurances.fr" TargetMode="External"/><Relationship  Id="rId9967" Type="http://schemas.openxmlformats.org/officeDocument/2006/relationships/hyperlink" Target="http://www.linkedin.com/in/lesne-jeremy-38b6b141" TargetMode="External"/><Relationship  Id="rId9968" Type="http://schemas.openxmlformats.org/officeDocument/2006/relationships/hyperlink" Target="http://www.correlium.com" TargetMode="External"/><Relationship  Id="rId9969" Type="http://schemas.openxmlformats.org/officeDocument/2006/relationships/hyperlink" Target="http://www.linkedin.com/in/loicflichy" TargetMode="External"/><Relationship  Id="rId997" Type="http://schemas.openxmlformats.org/officeDocument/2006/relationships/hyperlink" Target="http://www.hortense.green" TargetMode="External"/><Relationship  Id="rId9970" Type="http://schemas.openxmlformats.org/officeDocument/2006/relationships/hyperlink" Target="http://www.mutuelles.biz" TargetMode="External"/><Relationship  Id="rId9971" Type="http://schemas.openxmlformats.org/officeDocument/2006/relationships/hyperlink" Target="http://www.linkedin.com/in/bernard-ottaviani-b5133670" TargetMode="External"/><Relationship  Id="rId9972" Type="http://schemas.openxmlformats.org/officeDocument/2006/relationships/hyperlink" Target="http://www.mutuelledelacorse.com" TargetMode="External"/><Relationship  Id="rId9973" Type="http://schemas.openxmlformats.org/officeDocument/2006/relationships/hyperlink" Target="http://www.linkedin.com/in/benoit-froidure-2aa6a19b" TargetMode="External"/><Relationship  Id="rId9974" Type="http://schemas.openxmlformats.org/officeDocument/2006/relationships/hyperlink" Target="http://www.praga-assurances.fr" TargetMode="External"/><Relationship  Id="rId9975" Type="http://schemas.openxmlformats.org/officeDocument/2006/relationships/hyperlink" Target="http://www.linkedin.com/in/gaetan-delbart-a71115a5" TargetMode="External"/><Relationship  Id="rId9976" Type="http://schemas.openxmlformats.org/officeDocument/2006/relationships/hyperlink" Target="http://www.linkedin.com/in/nathan-b-ab88a1154" TargetMode="External"/><Relationship  Id="rId9977" Type="http://schemas.openxmlformats.org/officeDocument/2006/relationships/hyperlink" Target="http://www.neat.eu" TargetMode="External"/><Relationship  Id="rId9978" Type="http://schemas.openxmlformats.org/officeDocument/2006/relationships/hyperlink" Target="http://www.linkedin.com/in/benoitlecat" TargetMode="External"/><Relationship  Id="rId9979" Type="http://schemas.openxmlformats.org/officeDocument/2006/relationships/hyperlink" Target="http://www.groupe-candide.com" TargetMode="External"/><Relationship  Id="rId998" Type="http://schemas.openxmlformats.org/officeDocument/2006/relationships/hyperlink" Target="http://www.linkedin.com/in/nicolas-sartorius-259a908" TargetMode="External"/><Relationship  Id="rId9980" Type="http://schemas.openxmlformats.org/officeDocument/2006/relationships/hyperlink" Target="http://www.linkedin.com/in/carlinehuslin" TargetMode="External"/><Relationship  Id="rId9981" Type="http://schemas.openxmlformats.org/officeDocument/2006/relationships/hyperlink" Target="http://www.epargnefamily.com" TargetMode="External"/><Relationship  Id="rId9982" Type="http://schemas.openxmlformats.org/officeDocument/2006/relationships/hyperlink" Target="http://www.linkedin.com/in/sylvain-boueil-60b7aa25" TargetMode="External"/><Relationship  Id="rId9983" Type="http://schemas.openxmlformats.org/officeDocument/2006/relationships/hyperlink" Target="http://www.accteam.fr" TargetMode="External"/><Relationship  Id="rId9984" Type="http://schemas.openxmlformats.org/officeDocument/2006/relationships/hyperlink" Target="http://www.linkedin.com/in/arnaud-visbecq-3375b383" TargetMode="External"/><Relationship  Id="rId9985" Type="http://schemas.openxmlformats.org/officeDocument/2006/relationships/hyperlink" Target="http://www.presenceassistance.com" TargetMode="External"/><Relationship  Id="rId9986" Type="http://schemas.openxmlformats.org/officeDocument/2006/relationships/hyperlink" Target="http://www.linkedin.com/in/sebastienchary" TargetMode="External"/><Relationship  Id="rId9987" Type="http://schemas.openxmlformats.org/officeDocument/2006/relationships/hyperlink" Target="http://www.carco.fr" TargetMode="External"/><Relationship  Id="rId9988" Type="http://schemas.openxmlformats.org/officeDocument/2006/relationships/hyperlink" Target="http://www.linkedin.com/in/maxime-sebag-b64aa299" TargetMode="External"/><Relationship  Id="rId9989" Type="http://schemas.openxmlformats.org/officeDocument/2006/relationships/hyperlink" Target="http://www.ism-assurances.fr" TargetMode="External"/><Relationship  Id="rId999" Type="http://schemas.openxmlformats.org/officeDocument/2006/relationships/hyperlink" Target="http://www.groupe-unicstay.com" TargetMode="External"/><Relationship  Id="rId9990" Type="http://schemas.openxmlformats.org/officeDocument/2006/relationships/hyperlink" Target="http://www.linkedin.com/in/mehdi-belarabi-7760079b" TargetMode="External"/><Relationship  Id="rId9991" Type="http://schemas.openxmlformats.org/officeDocument/2006/relationships/hyperlink" Target="http://www.aksam-assurances.fr" TargetMode="External"/><Relationship  Id="rId9992" Type="http://schemas.openxmlformats.org/officeDocument/2006/relationships/hyperlink" Target="http://www.linkedin.com/in/virgile-simonneau-027ab317" TargetMode="External"/><Relationship  Id="rId9993" Type="http://schemas.openxmlformats.org/officeDocument/2006/relationships/hyperlink" Target="http://www.mavieassur.com" TargetMode="External"/><Relationship  Id="rId9994" Type="http://schemas.openxmlformats.org/officeDocument/2006/relationships/hyperlink" Target="http://www.linkedin.com/in/francois-xavier-hoellinger-a491b11a" TargetMode="External"/><Relationship  Id="rId9995" Type="http://schemas.openxmlformats.org/officeDocument/2006/relationships/hyperlink" Target="http://www.iassure.fr" TargetMode="External"/><Relationship  Id="rId9996" Type="http://schemas.openxmlformats.org/officeDocument/2006/relationships/hyperlink" Target="http://www.linkedin.com/in/guillemotolivier" TargetMode="External"/><Relationship  Id="rId9997" Type="http://schemas.openxmlformats.org/officeDocument/2006/relationships/hyperlink" Target="http://www.gp-assurances.fr" TargetMode="External"/><Relationship  Id="rId9998" Type="http://schemas.openxmlformats.org/officeDocument/2006/relationships/hyperlink" Target="http://www.linkedin.com/in/emmanuel-thibaudeau-4abb75128" TargetMode="External"/><Relationship  Id="rId9999" Type="http://schemas.openxmlformats.org/officeDocument/2006/relationships/hyperlink" Target="http://www.proxiaconstruction.fr"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www.linkedin.com/in/thomas-pruneyrac-81015a63" TargetMode="External"/><Relationship  Id="rId10" Type="http://schemas.openxmlformats.org/officeDocument/2006/relationships/hyperlink" Target="http://open6.fr" TargetMode="External"/><Relationship  Id="rId100" Type="http://schemas.openxmlformats.org/officeDocument/2006/relationships/hyperlink" Target="http://tradibat-normandie.fr" TargetMode="External"/><Relationship  Id="rId1000" Type="http://schemas.openxmlformats.org/officeDocument/2006/relationships/hyperlink" Target="http://www.linkedin.com/in/fr%c3%a9d%c3%a9ric-vandewalle-47464341" TargetMode="External"/><Relationship  Id="rId1001" Type="http://schemas.openxmlformats.org/officeDocument/2006/relationships/hyperlink" Target="http://bothier.fr" TargetMode="External"/><Relationship  Id="rId1002" Type="http://schemas.openxmlformats.org/officeDocument/2006/relationships/hyperlink" Target="http://www.linkedin.com/company/bothier" TargetMode="External"/><Relationship  Id="rId1003" Type="http://schemas.openxmlformats.org/officeDocument/2006/relationships/hyperlink" Target="https://www.facebook.com/bothiersarl/" TargetMode="External"/><Relationship  Id="rId1004" Type="http://schemas.openxmlformats.org/officeDocument/2006/relationships/hyperlink" Target="http://www.linkedin.com/in/fr%c3%a9d%c3%a9ric-bothier-55656b112" TargetMode="External"/><Relationship  Id="rId1005" Type="http://schemas.openxmlformats.org/officeDocument/2006/relationships/hyperlink" Target="http://hedimag.com" TargetMode="External"/><Relationship  Id="rId1006" Type="http://schemas.openxmlformats.org/officeDocument/2006/relationships/hyperlink" Target="http://www.linkedin.com/company/hedimag" TargetMode="External"/><Relationship  Id="rId1007" Type="http://schemas.openxmlformats.org/officeDocument/2006/relationships/hyperlink" Target="http://www.linkedin.com/in/fr%c3%a9d%c3%a9ric-coppin-5b4a16170" TargetMode="External"/><Relationship  Id="rId1008" Type="http://schemas.openxmlformats.org/officeDocument/2006/relationships/hyperlink" Target="http://jumbomana.com" TargetMode="External"/><Relationship  Id="rId1009" Type="http://schemas.openxmlformats.org/officeDocument/2006/relationships/hyperlink" Target="http://www.linkedin.com/company/jumbo-mana" TargetMode="External"/><Relationship  Id="rId101" Type="http://schemas.openxmlformats.org/officeDocument/2006/relationships/hyperlink" Target="http://www.linkedin.com/company/tradibat14" TargetMode="External"/><Relationship  Id="rId1010" Type="http://schemas.openxmlformats.org/officeDocument/2006/relationships/hyperlink" Target="http://www.linkedin.com/in/fredericrose" TargetMode="External"/><Relationship  Id="rId1011" Type="http://schemas.openxmlformats.org/officeDocument/2006/relationships/hyperlink" Target="http://d-codes.fr" TargetMode="External"/><Relationship  Id="rId1012" Type="http://schemas.openxmlformats.org/officeDocument/2006/relationships/hyperlink" Target="http://www.linkedin.com/company/d-codes" TargetMode="External"/><Relationship  Id="rId1013" Type="http://schemas.openxmlformats.org/officeDocument/2006/relationships/hyperlink" Target="http://www.linkedin.com/in/fr%c3%a9d%c3%a9rique-agnes-22891113" TargetMode="External"/><Relationship  Id="rId1014" Type="http://schemas.openxmlformats.org/officeDocument/2006/relationships/hyperlink" Target="http://planisphereinfo.com" TargetMode="External"/><Relationship  Id="rId1015" Type="http://schemas.openxmlformats.org/officeDocument/2006/relationships/hyperlink" Target="http://www.linkedin.com/company/planisph%c3%a8reinfo" TargetMode="External"/><Relationship  Id="rId1016" Type="http://schemas.openxmlformats.org/officeDocument/2006/relationships/hyperlink" Target="https://twitter.com/planisphereinfo" TargetMode="External"/><Relationship  Id="rId1017" Type="http://schemas.openxmlformats.org/officeDocument/2006/relationships/hyperlink" Target="http://www.linkedin.com/in/fred-licata-1799b981" TargetMode="External"/><Relationship  Id="rId1018" Type="http://schemas.openxmlformats.org/officeDocument/2006/relationships/hyperlink" Target="http://alobees.com" TargetMode="External"/><Relationship  Id="rId1019" Type="http://schemas.openxmlformats.org/officeDocument/2006/relationships/hyperlink" Target="http://www.linkedin.com/company/alobees" TargetMode="External"/><Relationship  Id="rId102" Type="http://schemas.openxmlformats.org/officeDocument/2006/relationships/hyperlink" Target="https://twitter.com/mtradibat" TargetMode="External"/><Relationship  Id="rId1020" Type="http://schemas.openxmlformats.org/officeDocument/2006/relationships/hyperlink" Target="https://twitter.com/alobees" TargetMode="External"/><Relationship  Id="rId1021" Type="http://schemas.openxmlformats.org/officeDocument/2006/relationships/hyperlink" Target="https://www.facebook.com/alobees" TargetMode="External"/><Relationship  Id="rId1022" Type="http://schemas.openxmlformats.org/officeDocument/2006/relationships/hyperlink" Target="http://www.linkedin.com/in/franck-sousa-339048193" TargetMode="External"/><Relationship  Id="rId1023" Type="http://schemas.openxmlformats.org/officeDocument/2006/relationships/hyperlink" Target="http://eb16.com" TargetMode="External"/><Relationship  Id="rId1024" Type="http://schemas.openxmlformats.org/officeDocument/2006/relationships/hyperlink" Target="http://www.linkedin.com/company/espace-bureau-16" TargetMode="External"/><Relationship  Id="rId1025" Type="http://schemas.openxmlformats.org/officeDocument/2006/relationships/hyperlink" Target="http://www.linkedin.com/in/fr%c3%a9d%c3%a9ric-thomas-425b03176" TargetMode="External"/><Relationship  Id="rId1026" Type="http://schemas.openxmlformats.org/officeDocument/2006/relationships/hyperlink" Target="http://vldparis.fr" TargetMode="External"/><Relationship  Id="rId1027" Type="http://schemas.openxmlformats.org/officeDocument/2006/relationships/hyperlink" Target="http://www.linkedin.com/company/vld-paris" TargetMode="External"/><Relationship  Id="rId1028" Type="http://schemas.openxmlformats.org/officeDocument/2006/relationships/hyperlink" Target="http://www.linkedin.com/in/fran%c3%a7ois-wema%c3%abre-43815386" TargetMode="External"/><Relationship  Id="rId1029" Type="http://schemas.openxmlformats.org/officeDocument/2006/relationships/hyperlink" Target="http://arcade.fr" TargetMode="External"/><Relationship  Id="rId103" Type="http://schemas.openxmlformats.org/officeDocument/2006/relationships/hyperlink" Target="https://www.facebook.com/maisonstradibat" TargetMode="External"/><Relationship  Id="rId1030" Type="http://schemas.openxmlformats.org/officeDocument/2006/relationships/hyperlink" Target="http://www.linkedin.com/company/arcade-informatique" TargetMode="External"/><Relationship  Id="rId1031" Type="http://schemas.openxmlformats.org/officeDocument/2006/relationships/hyperlink" Target="https://www.facebook.com/Arcade.Logiciels/" TargetMode="External"/><Relationship  Id="rId1032" Type="http://schemas.openxmlformats.org/officeDocument/2006/relationships/hyperlink" Target="http://www.linkedin.com/in/guillaume-cordel-39784410b" TargetMode="External"/><Relationship  Id="rId1033" Type="http://schemas.openxmlformats.org/officeDocument/2006/relationships/hyperlink" Target="http://sgame.fr" TargetMode="External"/><Relationship  Id="rId1034" Type="http://schemas.openxmlformats.org/officeDocument/2006/relationships/hyperlink" Target="http://www.linkedin.com/company/sgame" TargetMode="External"/><Relationship  Id="rId1035" Type="http://schemas.openxmlformats.org/officeDocument/2006/relationships/hyperlink" Target="http://www.linkedin.com/in/guillaumette-lecante-111589b4" TargetMode="External"/><Relationship  Id="rId1036" Type="http://schemas.openxmlformats.org/officeDocument/2006/relationships/hyperlink" Target="http://septentrionale.fr" TargetMode="External"/><Relationship  Id="rId1037" Type="http://schemas.openxmlformats.org/officeDocument/2006/relationships/hyperlink" Target="http://www.linkedin.com/company/entreprise-septentrionale-construction" TargetMode="External"/><Relationship  Id="rId1038" Type="http://schemas.openxmlformats.org/officeDocument/2006/relationships/hyperlink" Target="http://www.linkedin.com/in/guillaume-pimbert-353348151" TargetMode="External"/><Relationship  Id="rId1039" Type="http://schemas.openxmlformats.org/officeDocument/2006/relationships/hyperlink" Target="http://koncept-komet.fr" TargetMode="External"/><Relationship  Id="rId104" Type="http://schemas.openxmlformats.org/officeDocument/2006/relationships/hyperlink" Target="http://www.linkedin.com/in/albin-charles-0635156a" TargetMode="External"/><Relationship  Id="rId1040" Type="http://schemas.openxmlformats.org/officeDocument/2006/relationships/hyperlink" Target="http://www.linkedin.com/company/konceptkomet" TargetMode="External"/><Relationship  Id="rId1041" Type="http://schemas.openxmlformats.org/officeDocument/2006/relationships/hyperlink" Target="http://www.linkedin.com/in/g%c3%a9rard-pucheux-9426a3b5" TargetMode="External"/><Relationship  Id="rId1042" Type="http://schemas.openxmlformats.org/officeDocument/2006/relationships/hyperlink" Target="http://4aout.fr" TargetMode="External"/><Relationship  Id="rId1043" Type="http://schemas.openxmlformats.org/officeDocument/2006/relationships/hyperlink" Target="http://www.linkedin.com/company/4-ao%c3%bbt" TargetMode="External"/><Relationship  Id="rId1044" Type="http://schemas.openxmlformats.org/officeDocument/2006/relationships/hyperlink" Target="https://www.facebook.com/4aout" TargetMode="External"/><Relationship  Id="rId1045" Type="http://schemas.openxmlformats.org/officeDocument/2006/relationships/hyperlink" Target="http://www.linkedin.com/in/ga%c3%ablle-abensour-076a417a" TargetMode="External"/><Relationship  Id="rId1046" Type="http://schemas.openxmlformats.org/officeDocument/2006/relationships/hyperlink" Target="http://groupe-smart.fr" TargetMode="External"/><Relationship  Id="rId1047" Type="http://schemas.openxmlformats.org/officeDocument/2006/relationships/hyperlink" Target="http://www.linkedin.com/company/groupesmart" TargetMode="External"/><Relationship  Id="rId1048" Type="http://schemas.openxmlformats.org/officeDocument/2006/relationships/hyperlink" Target="http://www.linkedin.com/in/gabin-chaussegros-3776aa102" TargetMode="External"/><Relationship  Id="rId1049" Type="http://schemas.openxmlformats.org/officeDocument/2006/relationships/hyperlink" Target="http://sairen.io" TargetMode="External"/><Relationship  Id="rId105" Type="http://schemas.openxmlformats.org/officeDocument/2006/relationships/hyperlink" Target="http://gembaware.com" TargetMode="External"/><Relationship  Id="rId1050" Type="http://schemas.openxmlformats.org/officeDocument/2006/relationships/hyperlink" Target="http://www.linkedin.com/company/sairen-io" TargetMode="External"/><Relationship  Id="rId1051" Type="http://schemas.openxmlformats.org/officeDocument/2006/relationships/hyperlink" Target="http://www.linkedin.com/in/gabriel-cohen-a00153201" TargetMode="External"/><Relationship  Id="rId1052" Type="http://schemas.openxmlformats.org/officeDocument/2006/relationships/hyperlink" Target="http://margueriteetcie.com" TargetMode="External"/><Relationship  Id="rId1053" Type="http://schemas.openxmlformats.org/officeDocument/2006/relationships/hyperlink" Target="http://www.linkedin.com/company/marguerite-cie" TargetMode="External"/><Relationship  Id="rId1054" Type="http://schemas.openxmlformats.org/officeDocument/2006/relationships/hyperlink" Target="https://twitter.com/margueriteetcie" TargetMode="External"/><Relationship  Id="rId1055" Type="http://schemas.openxmlformats.org/officeDocument/2006/relationships/hyperlink" Target="https://www.facebook.com/margueriteetcompagnie" TargetMode="External"/><Relationship  Id="rId1056" Type="http://schemas.openxmlformats.org/officeDocument/2006/relationships/hyperlink" Target="http://www.linkedin.com/in/gaele-le-noane" TargetMode="External"/><Relationship  Id="rId1057" Type="http://schemas.openxmlformats.org/officeDocument/2006/relationships/hyperlink" Target="http://adeliom.com" TargetMode="External"/><Relationship  Id="rId1058" Type="http://schemas.openxmlformats.org/officeDocument/2006/relationships/hyperlink" Target="http://www.linkedin.com/company/adeliom" TargetMode="External"/><Relationship  Id="rId1059" Type="http://schemas.openxmlformats.org/officeDocument/2006/relationships/hyperlink" Target="https://twitter.com/AdeliomAgency" TargetMode="External"/><Relationship  Id="rId106" Type="http://schemas.openxmlformats.org/officeDocument/2006/relationships/hyperlink" Target="http://www.linkedin.com/company/gembaware" TargetMode="External"/><Relationship  Id="rId1060" Type="http://schemas.openxmlformats.org/officeDocument/2006/relationships/hyperlink" Target="https://www.facebook.com/agenceadeliom" TargetMode="External"/><Relationship  Id="rId1061" Type="http://schemas.openxmlformats.org/officeDocument/2006/relationships/hyperlink" Target="http://www.linkedin.com/in/gaelle-fontaine-aix" TargetMode="External"/><Relationship  Id="rId1062" Type="http://schemas.openxmlformats.org/officeDocument/2006/relationships/hyperlink" Target="http://oriol.fr" TargetMode="External"/><Relationship  Id="rId1063" Type="http://schemas.openxmlformats.org/officeDocument/2006/relationships/hyperlink" Target="http://www.linkedin.com/company/oriol-chauffage-climatisation-plomberie" TargetMode="External"/><Relationship  Id="rId1064" Type="http://schemas.openxmlformats.org/officeDocument/2006/relationships/hyperlink" Target="http://www.linkedin.com/in/ga%c3%abtan-roubin-3bb683147" TargetMode="External"/><Relationship  Id="rId1065" Type="http://schemas.openxmlformats.org/officeDocument/2006/relationships/hyperlink" Target="http://groupe-energies.fr" TargetMode="External"/><Relationship  Id="rId1066" Type="http://schemas.openxmlformats.org/officeDocument/2006/relationships/hyperlink" Target="http://www.linkedin.com/company/groupeenergies" TargetMode="External"/><Relationship  Id="rId1067" Type="http://schemas.openxmlformats.org/officeDocument/2006/relationships/hyperlink" Target="http://www.linkedin.com/in/ganael-cros-a18787125" TargetMode="External"/><Relationship  Id="rId1068" Type="http://schemas.openxmlformats.org/officeDocument/2006/relationships/hyperlink" Target="http://lianeo.fr" TargetMode="External"/><Relationship  Id="rId1069" Type="http://schemas.openxmlformats.org/officeDocument/2006/relationships/hyperlink" Target="http://www.linkedin.com/company/lianeo" TargetMode="External"/><Relationship  Id="rId107" Type="http://schemas.openxmlformats.org/officeDocument/2006/relationships/hyperlink" Target="http://www.linkedin.com/in/albin-giraud-2a452b" TargetMode="External"/><Relationship  Id="rId1070" Type="http://schemas.openxmlformats.org/officeDocument/2006/relationships/hyperlink" Target="http://www.linkedin.com/in/gchone" TargetMode="External"/><Relationship  Id="rId1071" Type="http://schemas.openxmlformats.org/officeDocument/2006/relationships/hyperlink" Target="http://aletiq.com" TargetMode="External"/><Relationship  Id="rId1072" Type="http://schemas.openxmlformats.org/officeDocument/2006/relationships/hyperlink" Target="http://www.linkedin.com/company/aletiq" TargetMode="External"/><Relationship  Id="rId1073" Type="http://schemas.openxmlformats.org/officeDocument/2006/relationships/hyperlink" Target="http://www.linkedin.com/in/geoffrey-ricard-131363107" TargetMode="External"/><Relationship  Id="rId1074" Type="http://schemas.openxmlformats.org/officeDocument/2006/relationships/hyperlink" Target="http://arjuna.fr" TargetMode="External"/><Relationship  Id="rId1075" Type="http://schemas.openxmlformats.org/officeDocument/2006/relationships/hyperlink" Target="http://www.linkedin.com/company/arjuna" TargetMode="External"/><Relationship  Id="rId1076" Type="http://schemas.openxmlformats.org/officeDocument/2006/relationships/hyperlink" Target="http://www.linkedin.com/in/georges-laederich-a59a5a15" TargetMode="External"/><Relationship  Id="rId1077" Type="http://schemas.openxmlformats.org/officeDocument/2006/relationships/hyperlink" Target="http://ubikap.com" TargetMode="External"/><Relationship  Id="rId1078" Type="http://schemas.openxmlformats.org/officeDocument/2006/relationships/hyperlink" Target="http://www.linkedin.com/company/ubikap" TargetMode="External"/><Relationship  Id="rId1079" Type="http://schemas.openxmlformats.org/officeDocument/2006/relationships/hyperlink" Target="http://www.linkedin.com/in/g%c3%a9raldine-garbit-361a602b" TargetMode="External"/><Relationship  Id="rId108" Type="http://schemas.openxmlformats.org/officeDocument/2006/relationships/hyperlink" Target="http://acsantis.com" TargetMode="External"/><Relationship  Id="rId1080" Type="http://schemas.openxmlformats.org/officeDocument/2006/relationships/hyperlink" Target="http://cap-manager.com" TargetMode="External"/><Relationship  Id="rId1081" Type="http://schemas.openxmlformats.org/officeDocument/2006/relationships/hyperlink" Target="http://www.linkedin.com/company/cap-manager" TargetMode="External"/><Relationship  Id="rId1082" Type="http://schemas.openxmlformats.org/officeDocument/2006/relationships/hyperlink" Target="https://www.facebook.com/capmanager" TargetMode="External"/><Relationship  Id="rId1083" Type="http://schemas.openxmlformats.org/officeDocument/2006/relationships/hyperlink" Target="http://www.linkedin.com/in/gerard-enggasser" TargetMode="External"/><Relationship  Id="rId1084" Type="http://schemas.openxmlformats.org/officeDocument/2006/relationships/hyperlink" Target="http://tabsters.fr" TargetMode="External"/><Relationship  Id="rId1085" Type="http://schemas.openxmlformats.org/officeDocument/2006/relationships/hyperlink" Target="http://www.linkedin.com/company/tabsters" TargetMode="External"/><Relationship  Id="rId1086" Type="http://schemas.openxmlformats.org/officeDocument/2006/relationships/hyperlink" Target="http://www.linkedin.com/in/germain-mathieu-1971668" TargetMode="External"/><Relationship  Id="rId1087" Type="http://schemas.openxmlformats.org/officeDocument/2006/relationships/hyperlink" Target="http://sprint-je.com" TargetMode="External"/><Relationship  Id="rId1088" Type="http://schemas.openxmlformats.org/officeDocument/2006/relationships/hyperlink" Target="http://www.linkedin.com/company/sprint-je" TargetMode="External"/><Relationship  Id="rId1089" Type="http://schemas.openxmlformats.org/officeDocument/2006/relationships/hyperlink" Target="https://www.facebook.com/sprint.je" TargetMode="External"/><Relationship  Id="rId109" Type="http://schemas.openxmlformats.org/officeDocument/2006/relationships/hyperlink" Target="http://www.linkedin.com/company/acsantis" TargetMode="External"/><Relationship  Id="rId1090" Type="http://schemas.openxmlformats.org/officeDocument/2006/relationships/hyperlink" Target="http://www.linkedin.com/in/gatien-grellet-679931282" TargetMode="External"/><Relationship  Id="rId1091" Type="http://schemas.openxmlformats.org/officeDocument/2006/relationships/hyperlink" Target="http://lacentrale-eco.com" TargetMode="External"/><Relationship  Id="rId1092" Type="http://schemas.openxmlformats.org/officeDocument/2006/relationships/hyperlink" Target="http://www.linkedin.com/company/lacentrale-eco" TargetMode="External"/><Relationship  Id="rId1093" Type="http://schemas.openxmlformats.org/officeDocument/2006/relationships/hyperlink" Target="https://www.facebook.com/lacentraleeco69" TargetMode="External"/><Relationship  Id="rId1094" Type="http://schemas.openxmlformats.org/officeDocument/2006/relationships/hyperlink" Target="http://www.linkedin.com/in/guillaume-guerbette-1a8286a" TargetMode="External"/><Relationship  Id="rId1095" Type="http://schemas.openxmlformats.org/officeDocument/2006/relationships/hyperlink" Target="http://groupe-maestra.com" TargetMode="External"/><Relationship  Id="rId1096" Type="http://schemas.openxmlformats.org/officeDocument/2006/relationships/hyperlink" Target="http://www.linkedin.com/company/groupe-maestra" TargetMode="External"/><Relationship  Id="rId1097" Type="http://schemas.openxmlformats.org/officeDocument/2006/relationships/hyperlink" Target="http://www.linkedin.com/in/gilles-mayaud-603a7b17" TargetMode="External"/><Relationship  Id="rId1098" Type="http://schemas.openxmlformats.org/officeDocument/2006/relationships/hyperlink" Target="http://retourdeplage.fr" TargetMode="External"/><Relationship  Id="rId1099" Type="http://schemas.openxmlformats.org/officeDocument/2006/relationships/hyperlink" Target="http://www.linkedin.com/company/retourdeplage" TargetMode="External"/><Relationship  Id="rId11" Type="http://schemas.openxmlformats.org/officeDocument/2006/relationships/hyperlink" Target="http://www.linkedin.com/company/opensys-telecom" TargetMode="External"/><Relationship  Id="rId110" Type="http://schemas.openxmlformats.org/officeDocument/2006/relationships/hyperlink" Target="https://twitter.com/cabacsantis" TargetMode="External"/><Relationship  Id="rId1100" Type="http://schemas.openxmlformats.org/officeDocument/2006/relationships/hyperlink" Target="https://www.facebook.com/RetourDePlage/" TargetMode="External"/><Relationship  Id="rId1101" Type="http://schemas.openxmlformats.org/officeDocument/2006/relationships/hyperlink" Target="http://www.linkedin.com/in/gilles-renouf-b29bb71a" TargetMode="External"/><Relationship  Id="rId1102" Type="http://schemas.openxmlformats.org/officeDocument/2006/relationships/hyperlink" Target="http://laboutiquedufeu.com" TargetMode="External"/><Relationship  Id="rId1103" Type="http://schemas.openxmlformats.org/officeDocument/2006/relationships/hyperlink" Target="http://www.linkedin.com/company/la-boutique-du-feu" TargetMode="External"/><Relationship  Id="rId1104" Type="http://schemas.openxmlformats.org/officeDocument/2006/relationships/hyperlink" Target="http://www.linkedin.com/in/gilles-deschamps" TargetMode="External"/><Relationship  Id="rId1105" Type="http://schemas.openxmlformats.org/officeDocument/2006/relationships/hyperlink" Target="http://grk-ic.com" TargetMode="External"/><Relationship  Id="rId1106" Type="http://schemas.openxmlformats.org/officeDocument/2006/relationships/hyperlink" Target="http://www.linkedin.com/company/grk-ic" TargetMode="External"/><Relationship  Id="rId1107" Type="http://schemas.openxmlformats.org/officeDocument/2006/relationships/hyperlink" Target="http://www.linkedin.com/in/gregoirekopp" TargetMode="External"/><Relationship  Id="rId1108" Type="http://schemas.openxmlformats.org/officeDocument/2006/relationships/hyperlink" Target="http://tecb.fr" TargetMode="External"/><Relationship  Id="rId1109" Type="http://schemas.openxmlformats.org/officeDocument/2006/relationships/hyperlink" Target="http://www.linkedin.com/company/tec-b" TargetMode="External"/><Relationship  Id="rId111" Type="http://schemas.openxmlformats.org/officeDocument/2006/relationships/hyperlink" Target="http://www.linkedin.com/in/alec-guiral-3981342b2" TargetMode="External"/><Relationship  Id="rId1110" Type="http://schemas.openxmlformats.org/officeDocument/2006/relationships/hyperlink" Target="https://facebook.com/pages/TECB/174331239273686" TargetMode="External"/><Relationship  Id="rId1111" Type="http://schemas.openxmlformats.org/officeDocument/2006/relationships/hyperlink" Target="http://www.linkedin.com/in/guillaume-lefranc-3671971a2" TargetMode="External"/><Relationship  Id="rId1112" Type="http://schemas.openxmlformats.org/officeDocument/2006/relationships/hyperlink" Target="http://melistechnology.com" TargetMode="External"/><Relationship  Id="rId1113" Type="http://schemas.openxmlformats.org/officeDocument/2006/relationships/hyperlink" Target="http://www.linkedin.com/company/melis-technology" TargetMode="External"/><Relationship  Id="rId1114" Type="http://schemas.openxmlformats.org/officeDocument/2006/relationships/hyperlink" Target="https://twitter.com/meliscms" TargetMode="External"/><Relationship  Id="rId1115" Type="http://schemas.openxmlformats.org/officeDocument/2006/relationships/hyperlink" Target="https://facebook.com/melistechnology" TargetMode="External"/><Relationship  Id="rId1116" Type="http://schemas.openxmlformats.org/officeDocument/2006/relationships/hyperlink" Target="http://www.linkedin.com/in/gr%c3%a9goire-lembo-23479b2b" TargetMode="External"/><Relationship  Id="rId1117" Type="http://schemas.openxmlformats.org/officeDocument/2006/relationships/hyperlink" Target="http://glinche-automobiles.com" TargetMode="External"/><Relationship  Id="rId1118" Type="http://schemas.openxmlformats.org/officeDocument/2006/relationships/hyperlink" Target="http://www.linkedin.com/company/glinche-automobiles" TargetMode="External"/><Relationship  Id="rId1119" Type="http://schemas.openxmlformats.org/officeDocument/2006/relationships/hyperlink" Target="http://www.linkedin.com/in/herv%c3%a9-glinche-061628200" TargetMode="External"/><Relationship  Id="rId112" Type="http://schemas.openxmlformats.org/officeDocument/2006/relationships/hyperlink" Target="http://bewizyu.com" TargetMode="External"/><Relationship  Id="rId1120" Type="http://schemas.openxmlformats.org/officeDocument/2006/relationships/hyperlink" Target="http://adquat.com" TargetMode="External"/><Relationship  Id="rId1121" Type="http://schemas.openxmlformats.org/officeDocument/2006/relationships/hyperlink" Target="http://www.linkedin.com/company/adquat" TargetMode="External"/><Relationship  Id="rId1122" Type="http://schemas.openxmlformats.org/officeDocument/2006/relationships/hyperlink" Target="https://www.facebook.com/adquatsolutions" TargetMode="External"/><Relationship  Id="rId1123" Type="http://schemas.openxmlformats.org/officeDocument/2006/relationships/hyperlink" Target="http://www.linkedin.com/in/gilles-milan-72268712" TargetMode="External"/><Relationship  Id="rId1124" Type="http://schemas.openxmlformats.org/officeDocument/2006/relationships/hyperlink" Target="http://karma-partners.com" TargetMode="External"/><Relationship  Id="rId1125" Type="http://schemas.openxmlformats.org/officeDocument/2006/relationships/hyperlink" Target="http://www.linkedin.com/company/karma-partners" TargetMode="External"/><Relationship  Id="rId1126" Type="http://schemas.openxmlformats.org/officeDocument/2006/relationships/hyperlink" Target="http://www.linkedin.com/in/guy-maurer-40570a1b" TargetMode="External"/><Relationship  Id="rId1127" Type="http://schemas.openxmlformats.org/officeDocument/2006/relationships/hyperlink" Target="http://air-cloud.fr" TargetMode="External"/><Relationship  Id="rId1128" Type="http://schemas.openxmlformats.org/officeDocument/2006/relationships/hyperlink" Target="http://www.linkedin.com/company/air-cloud-fr" TargetMode="External"/><Relationship  Id="rId1129" Type="http://schemas.openxmlformats.org/officeDocument/2006/relationships/hyperlink" Target="http://www.linkedin.com/in/gautier-moroge-6b20481a1" TargetMode="External"/><Relationship  Id="rId113" Type="http://schemas.openxmlformats.org/officeDocument/2006/relationships/hyperlink" Target="http://www.linkedin.com/company/bewizyu" TargetMode="External"/><Relationship  Id="rId1130" Type="http://schemas.openxmlformats.org/officeDocument/2006/relationships/hyperlink" Target="http://cap-consulting.fr" TargetMode="External"/><Relationship  Id="rId1131" Type="http://schemas.openxmlformats.org/officeDocument/2006/relationships/hyperlink" Target="http://www.linkedin.com/company/cap-consultingconseil" TargetMode="External"/><Relationship  Id="rId1132" Type="http://schemas.openxmlformats.org/officeDocument/2006/relationships/hyperlink" Target="https://www.facebook.com/CAP-Consulting-1678528372418015/" TargetMode="External"/><Relationship  Id="rId1133" Type="http://schemas.openxmlformats.org/officeDocument/2006/relationships/hyperlink" Target="http://www.linkedin.com/in/gilles-passot-98859829" TargetMode="External"/><Relationship  Id="rId1134" Type="http://schemas.openxmlformats.org/officeDocument/2006/relationships/hyperlink" Target="http://snsolutions.fr" TargetMode="External"/><Relationship  Id="rId1135" Type="http://schemas.openxmlformats.org/officeDocument/2006/relationships/hyperlink" Target="http://www.linkedin.com/company/sns-gs" TargetMode="External"/><Relationship  Id="rId1136" Type="http://schemas.openxmlformats.org/officeDocument/2006/relationships/hyperlink" Target="https://twitter.com/DEV_SNSOLUTIONS" TargetMode="External"/><Relationship  Id="rId1137" Type="http://schemas.openxmlformats.org/officeDocument/2006/relationships/hyperlink" Target="https://www.facebook.com/snsolutions13/" TargetMode="External"/><Relationship  Id="rId1138" Type="http://schemas.openxmlformats.org/officeDocument/2006/relationships/hyperlink" Target="http://www.linkedin.com/in/guillaume-prieto-sns" TargetMode="External"/><Relationship  Id="rId1139" Type="http://schemas.openxmlformats.org/officeDocument/2006/relationships/hyperlink" Target="http://thebigwhale.io" TargetMode="External"/><Relationship  Id="rId114" Type="http://schemas.openxmlformats.org/officeDocument/2006/relationships/hyperlink" Target="https://twitter.com/BEWIZYU" TargetMode="External"/><Relationship  Id="rId1140" Type="http://schemas.openxmlformats.org/officeDocument/2006/relationships/hyperlink" Target="http://www.linkedin.com/company/the-big-whale" TargetMode="External"/><Relationship  Id="rId1141" Type="http://schemas.openxmlformats.org/officeDocument/2006/relationships/hyperlink" Target="http://www.linkedin.com/in/gregoryraymondjournaliste" TargetMode="External"/><Relationship  Id="rId1142" Type="http://schemas.openxmlformats.org/officeDocument/2006/relationships/hyperlink" Target="http://expressluck.hu" TargetMode="External"/><Relationship  Id="rId1143" Type="http://schemas.openxmlformats.org/officeDocument/2006/relationships/hyperlink" Target="http://www.linkedin.com/company/express-luck-europe-electric-ltd" TargetMode="External"/><Relationship  Id="rId1144" Type="http://schemas.openxmlformats.org/officeDocument/2006/relationships/hyperlink" Target="http://www.linkedin.com/in/gregorylegait" TargetMode="External"/><Relationship  Id="rId1145" Type="http://schemas.openxmlformats.org/officeDocument/2006/relationships/hyperlink" Target="http://rich-id.fr" TargetMode="External"/><Relationship  Id="rId1146" Type="http://schemas.openxmlformats.org/officeDocument/2006/relationships/hyperlink" Target="http://www.linkedin.com/company/richid" TargetMode="External"/><Relationship  Id="rId1147" Type="http://schemas.openxmlformats.org/officeDocument/2006/relationships/hyperlink" Target="http://www.linkedin.com/in/gr%c3%a9gory-maquenhen-3b60826" TargetMode="External"/><Relationship  Id="rId1148" Type="http://schemas.openxmlformats.org/officeDocument/2006/relationships/hyperlink" Target="http://solone-engineering.com" TargetMode="External"/><Relationship  Id="rId1149" Type="http://schemas.openxmlformats.org/officeDocument/2006/relationships/hyperlink" Target="http://www.linkedin.com/company/solone-engineering-solutions" TargetMode="External"/><Relationship  Id="rId115" Type="http://schemas.openxmlformats.org/officeDocument/2006/relationships/hyperlink" Target="http://www.linkedin.com/in/antoineleforestier" TargetMode="External"/><Relationship  Id="rId1150" Type="http://schemas.openxmlformats.org/officeDocument/2006/relationships/hyperlink" Target="http://www.linkedin.com/in/ga%c3%ablle-soltysiak-5358aa2" TargetMode="External"/><Relationship  Id="rId1151" Type="http://schemas.openxmlformats.org/officeDocument/2006/relationships/hyperlink" Target="http://junior-aei.com" TargetMode="External"/><Relationship  Id="rId1152" Type="http://schemas.openxmlformats.org/officeDocument/2006/relationships/hyperlink" Target="http://www.linkedin.com/company/aquitaine-electronique-informatique" TargetMode="External"/><Relationship  Id="rId1153" Type="http://schemas.openxmlformats.org/officeDocument/2006/relationships/hyperlink" Target="http://www.linkedin.com/in/guilhem-studer-2b576528b" TargetMode="External"/><Relationship  Id="rId1154" Type="http://schemas.openxmlformats.org/officeDocument/2006/relationships/hyperlink" Target="http://eurisol.fr" TargetMode="External"/><Relationship  Id="rId1155" Type="http://schemas.openxmlformats.org/officeDocument/2006/relationships/hyperlink" Target="http://www.linkedin.com/company/eurisol-constructions-frigorifiques" TargetMode="External"/><Relationship  Id="rId1156" Type="http://schemas.openxmlformats.org/officeDocument/2006/relationships/hyperlink" Target="http://www.linkedin.com/in/guillaume-balloy-390451135" TargetMode="External"/><Relationship  Id="rId1157" Type="http://schemas.openxmlformats.org/officeDocument/2006/relationships/hyperlink" Target="http://www.linkedin.com/in/guillaume-barbosa-3069236b" TargetMode="External"/><Relationship  Id="rId1158" Type="http://schemas.openxmlformats.org/officeDocument/2006/relationships/hyperlink" Target="http://bprsecurity.fr" TargetMode="External"/><Relationship  Id="rId1159" Type="http://schemas.openxmlformats.org/officeDocument/2006/relationships/hyperlink" Target="http://www.linkedin.com/company/bpr-security" TargetMode="External"/><Relationship  Id="rId116" Type="http://schemas.openxmlformats.org/officeDocument/2006/relationships/hyperlink" Target="http://kp2i.com" TargetMode="External"/><Relationship  Id="rId1160" Type="http://schemas.openxmlformats.org/officeDocument/2006/relationships/hyperlink" Target="http://www.linkedin.com/in/guillaume-collard-a0304b3a" TargetMode="External"/><Relationship  Id="rId1161" Type="http://schemas.openxmlformats.org/officeDocument/2006/relationships/hyperlink" Target="http://inov-team.fr" TargetMode="External"/><Relationship  Id="rId1162" Type="http://schemas.openxmlformats.org/officeDocument/2006/relationships/hyperlink" Target="http://www.linkedin.com/company/inov-team" TargetMode="External"/><Relationship  Id="rId1163" Type="http://schemas.openxmlformats.org/officeDocument/2006/relationships/hyperlink" Target="http://www.linkedin.com/in/guillaume-floyrac-7524303b" TargetMode="External"/><Relationship  Id="rId1164" Type="http://schemas.openxmlformats.org/officeDocument/2006/relationships/hyperlink" Target="http://www.linkedin.com/in/guillaume-lannoy" TargetMode="External"/><Relationship  Id="rId1165" Type="http://schemas.openxmlformats.org/officeDocument/2006/relationships/hyperlink" Target="http://communicationqualite.fr" TargetMode="External"/><Relationship  Id="rId1166" Type="http://schemas.openxmlformats.org/officeDocument/2006/relationships/hyperlink" Target="http://www.linkedin.com/company/communication-qualit%c3%a9" TargetMode="External"/><Relationship  Id="rId1167" Type="http://schemas.openxmlformats.org/officeDocument/2006/relationships/hyperlink" Target="http://www.linkedin.com/in/guillaumepaternot" TargetMode="External"/><Relationship  Id="rId1168" Type="http://schemas.openxmlformats.org/officeDocument/2006/relationships/hyperlink" Target="http://www.linkedin.com/company/babbar-tech" TargetMode="External"/><Relationship  Id="rId1169" Type="http://schemas.openxmlformats.org/officeDocument/2006/relationships/hyperlink" Target="https://twitter.com/babbartech" TargetMode="External"/><Relationship  Id="rId117" Type="http://schemas.openxmlformats.org/officeDocument/2006/relationships/hyperlink" Target="http://www.linkedin.com/company/kp2i" TargetMode="External"/><Relationship  Id="rId1170" Type="http://schemas.openxmlformats.org/officeDocument/2006/relationships/hyperlink" Target="http://www.linkedin.com/in/gpeyronnet" TargetMode="External"/><Relationship  Id="rId1171" Type="http://schemas.openxmlformats.org/officeDocument/2006/relationships/hyperlink" Target="http://amhappy.fr" TargetMode="External"/><Relationship  Id="rId1172" Type="http://schemas.openxmlformats.org/officeDocument/2006/relationships/hyperlink" Target="http://www.linkedin.com/company/amhappy" TargetMode="External"/><Relationship  Id="rId1173" Type="http://schemas.openxmlformats.org/officeDocument/2006/relationships/hyperlink" Target="https://www.facebook.com/amhappy.fr" TargetMode="External"/><Relationship  Id="rId1174" Type="http://schemas.openxmlformats.org/officeDocument/2006/relationships/hyperlink" Target="http://www.linkedin.com/in/guillaume-hugon" TargetMode="External"/><Relationship  Id="rId1175" Type="http://schemas.openxmlformats.org/officeDocument/2006/relationships/hyperlink" Target="http://capeoni.fr" TargetMode="External"/><Relationship  Id="rId1176" Type="http://schemas.openxmlformats.org/officeDocument/2006/relationships/hyperlink" Target="http://www.linkedin.com/company/capeoni" TargetMode="External"/><Relationship  Id="rId1177" Type="http://schemas.openxmlformats.org/officeDocument/2006/relationships/hyperlink" Target="http://www.linkedin.com/in/guillaume-ogloza-26076110a" TargetMode="External"/><Relationship  Id="rId1178" Type="http://schemas.openxmlformats.org/officeDocument/2006/relationships/hyperlink" Target="http://fcinq.com" TargetMode="External"/><Relationship  Id="rId1179" Type="http://schemas.openxmlformats.org/officeDocument/2006/relationships/hyperlink" Target="http://www.linkedin.com/company/fcinq" TargetMode="External"/><Relationship  Id="rId118" Type="http://schemas.openxmlformats.org/officeDocument/2006/relationships/hyperlink" Target="http://www.linkedin.com/in/arnaud-lenotte-09a10119" TargetMode="External"/><Relationship  Id="rId1180" Type="http://schemas.openxmlformats.org/officeDocument/2006/relationships/hyperlink" Target="https://twitter.com/fcinqagency" TargetMode="External"/><Relationship  Id="rId1181" Type="http://schemas.openxmlformats.org/officeDocument/2006/relationships/hyperlink" Target="https://www.facebook.com/fcinqagency" TargetMode="External"/><Relationship  Id="rId1182" Type="http://schemas.openxmlformats.org/officeDocument/2006/relationships/hyperlink" Target="http://www.linkedin.com/in/guillaume-le-m%c3%a9e-52529a29" TargetMode="External"/><Relationship  Id="rId1183" Type="http://schemas.openxmlformats.org/officeDocument/2006/relationships/hyperlink" Target="http://hypergrowthpartners.com" TargetMode="External"/><Relationship  Id="rId1184" Type="http://schemas.openxmlformats.org/officeDocument/2006/relationships/hyperlink" Target="http://www.linkedin.com/company/hypergrowth-partners" TargetMode="External"/><Relationship  Id="rId1185" Type="http://schemas.openxmlformats.org/officeDocument/2006/relationships/hyperlink" Target="https://twitter.com/HypergrowthP" TargetMode="External"/><Relationship  Id="rId1186" Type="http://schemas.openxmlformats.org/officeDocument/2006/relationships/hyperlink" Target="https://twitter.com/guillaumecabane" TargetMode="External"/><Relationship  Id="rId1187" Type="http://schemas.openxmlformats.org/officeDocument/2006/relationships/hyperlink" Target="http://www.linkedin.com/in/cabane" TargetMode="External"/><Relationship  Id="rId1188" Type="http://schemas.openxmlformats.org/officeDocument/2006/relationships/hyperlink" Target="http://www.linkedin.com/company/koban-crm" TargetMode="External"/><Relationship  Id="rId1189" Type="http://schemas.openxmlformats.org/officeDocument/2006/relationships/hyperlink" Target="http://www.linkedin.com/in/guillaume-lecanu" TargetMode="External"/><Relationship  Id="rId119" Type="http://schemas.openxmlformats.org/officeDocument/2006/relationships/hyperlink" Target="http://alsatis-services.com" TargetMode="External"/><Relationship  Id="rId1190" Type="http://schemas.openxmlformats.org/officeDocument/2006/relationships/hyperlink" Target="http://nuances-impression.fr" TargetMode="External"/><Relationship  Id="rId1191" Type="http://schemas.openxmlformats.org/officeDocument/2006/relationships/hyperlink" Target="http://www.linkedin.com/company/nuancesimpression" TargetMode="External"/><Relationship  Id="rId1192" Type="http://schemas.openxmlformats.org/officeDocument/2006/relationships/hyperlink" Target="http://www.linkedin.com/in/guillaume-trias-12990b138" TargetMode="External"/><Relationship  Id="rId1193" Type="http://schemas.openxmlformats.org/officeDocument/2006/relationships/hyperlink" Target="http://www.linkedin.com/in/guillaume-audren-regata" TargetMode="External"/><Relationship  Id="rId1194" Type="http://schemas.openxmlformats.org/officeDocument/2006/relationships/hyperlink" Target="http://altivec.fr" TargetMode="External"/><Relationship  Id="rId1195" Type="http://schemas.openxmlformats.org/officeDocument/2006/relationships/hyperlink" Target="http://www.linkedin.com/company/altivec" TargetMode="External"/><Relationship  Id="rId1196" Type="http://schemas.openxmlformats.org/officeDocument/2006/relationships/hyperlink" Target="https://www.twitter.com/WixStudio" TargetMode="External"/><Relationship  Id="rId1197" Type="http://schemas.openxmlformats.org/officeDocument/2006/relationships/hyperlink" Target="https://www.facebook.com/WixStudio" TargetMode="External"/><Relationship  Id="rId1198" Type="http://schemas.openxmlformats.org/officeDocument/2006/relationships/hyperlink" Target="http://www.linkedin.com/in/guy-chevallier-chantepie-03064a9b" TargetMode="External"/><Relationship  Id="rId1199" Type="http://schemas.openxmlformats.org/officeDocument/2006/relationships/hyperlink" Target="http://getwelcom.com" TargetMode="External"/><Relationship  Id="rId12" Type="http://schemas.openxmlformats.org/officeDocument/2006/relationships/hyperlink" Target="http://www.linkedin.com/in/aniss-ghouali-9a0443a2" TargetMode="External"/><Relationship  Id="rId120" Type="http://schemas.openxmlformats.org/officeDocument/2006/relationships/hyperlink" Target="http://www.linkedin.com/company/alsatis-services" TargetMode="External"/><Relationship  Id="rId1200" Type="http://schemas.openxmlformats.org/officeDocument/2006/relationships/hyperlink" Target="http://www.linkedin.com/company/getwelcom" TargetMode="External"/><Relationship  Id="rId1201" Type="http://schemas.openxmlformats.org/officeDocument/2006/relationships/hyperlink" Target="http://www.linkedin.com/in/hadrien-reaud-862576109" TargetMode="External"/><Relationship  Id="rId1202" Type="http://schemas.openxmlformats.org/officeDocument/2006/relationships/hyperlink" Target="http://poleaquanova.fr" TargetMode="External"/><Relationship  Id="rId1203" Type="http://schemas.openxmlformats.org/officeDocument/2006/relationships/hyperlink" Target="http://www.linkedin.com/company/poleaquanova" TargetMode="External"/><Relationship  Id="rId1204" Type="http://schemas.openxmlformats.org/officeDocument/2006/relationships/hyperlink" Target="http://www.linkedin.com/in/herv%c3%a9-gaboriau-741833134" TargetMode="External"/><Relationship  Id="rId1205" Type="http://schemas.openxmlformats.org/officeDocument/2006/relationships/hyperlink" Target="http://asco-ascenseurs.fr" TargetMode="External"/><Relationship  Id="rId1206" Type="http://schemas.openxmlformats.org/officeDocument/2006/relationships/hyperlink" Target="http://www.linkedin.com/company/asco-ascenseurs" TargetMode="External"/><Relationship  Id="rId1207" Type="http://schemas.openxmlformats.org/officeDocument/2006/relationships/hyperlink" Target="http://www.linkedin.com/in/herv%c3%a9-kervaon-b5b35060" TargetMode="External"/><Relationship  Id="rId1208" Type="http://schemas.openxmlformats.org/officeDocument/2006/relationships/hyperlink" Target="http://ambois.com" TargetMode="External"/><Relationship  Id="rId1209" Type="http://schemas.openxmlformats.org/officeDocument/2006/relationships/hyperlink" Target="http://www.linkedin.com/company/ambois" TargetMode="External"/><Relationship  Id="rId121" Type="http://schemas.openxmlformats.org/officeDocument/2006/relationships/hyperlink" Target="http://www.linkedin.com/in/alexandre-poncini" TargetMode="External"/><Relationship  Id="rId1210" Type="http://schemas.openxmlformats.org/officeDocument/2006/relationships/hyperlink" Target="http://www.linkedin.com/in/hubert-leriche-3b666a34" TargetMode="External"/><Relationship  Id="rId1211" Type="http://schemas.openxmlformats.org/officeDocument/2006/relationships/hyperlink" Target="http://ksi-partners.com" TargetMode="External"/><Relationship  Id="rId1212" Type="http://schemas.openxmlformats.org/officeDocument/2006/relationships/hyperlink" Target="http://www.linkedin.com/company/ksi-partners" TargetMode="External"/><Relationship  Id="rId1213" Type="http://schemas.openxmlformats.org/officeDocument/2006/relationships/hyperlink" Target="http://www.linkedin.com/in/hubertcastellan" TargetMode="External"/><Relationship  Id="rId1214" Type="http://schemas.openxmlformats.org/officeDocument/2006/relationships/hyperlink" Target="http://vipros.fr" TargetMode="External"/><Relationship  Id="rId1215" Type="http://schemas.openxmlformats.org/officeDocument/2006/relationships/hyperlink" Target="http://www.linkedin.com/company/vipros" TargetMode="External"/><Relationship  Id="rId1216" Type="http://schemas.openxmlformats.org/officeDocument/2006/relationships/hyperlink" Target="http://www.linkedin.com/in/hugues-lecomte-382615121" TargetMode="External"/><Relationship  Id="rId1217" Type="http://schemas.openxmlformats.org/officeDocument/2006/relationships/hyperlink" Target="http://itguard.fr" TargetMode="External"/><Relationship  Id="rId1218" Type="http://schemas.openxmlformats.org/officeDocument/2006/relationships/hyperlink" Target="http://www.linkedin.com/company/sas-itguard" TargetMode="External"/><Relationship  Id="rId1219" Type="http://schemas.openxmlformats.org/officeDocument/2006/relationships/hyperlink" Target="http://www.linkedin.com/in/hugues-bonnefont-1a7b94b3" TargetMode="External"/><Relationship  Id="rId122" Type="http://schemas.openxmlformats.org/officeDocument/2006/relationships/hyperlink" Target="http://proplace.co" TargetMode="External"/><Relationship  Id="rId1220" Type="http://schemas.openxmlformats.org/officeDocument/2006/relationships/hyperlink" Target="http://spellz.ai" TargetMode="External"/><Relationship  Id="rId1221" Type="http://schemas.openxmlformats.org/officeDocument/2006/relationships/hyperlink" Target="http://www.linkedin.com/company/spellz" TargetMode="External"/><Relationship  Id="rId1222" Type="http://schemas.openxmlformats.org/officeDocument/2006/relationships/hyperlink" Target="http://www.linkedin.com/in/ilyessghir" TargetMode="External"/><Relationship  Id="rId1223" Type="http://schemas.openxmlformats.org/officeDocument/2006/relationships/hyperlink" Target="http://www.linkedin.com/company/rhis-solutions" TargetMode="External"/><Relationship  Id="rId1224" Type="http://schemas.openxmlformats.org/officeDocument/2006/relationships/hyperlink" Target="http://www.linkedin.com/in/in%c3%a8s-souissi-805298a9" TargetMode="External"/><Relationship  Id="rId1225" Type="http://schemas.openxmlformats.org/officeDocument/2006/relationships/hyperlink" Target="http://www.linkedin.com/in/ingrid-osselin" TargetMode="External"/><Relationship  Id="rId1226" Type="http://schemas.openxmlformats.org/officeDocument/2006/relationships/hyperlink" Target="http://archerydata.com" TargetMode="External"/><Relationship  Id="rId1227" Type="http://schemas.openxmlformats.org/officeDocument/2006/relationships/hyperlink" Target="http://www.linkedin.com/company/archery-data-analytics" TargetMode="External"/><Relationship  Id="rId1228" Type="http://schemas.openxmlformats.org/officeDocument/2006/relationships/hyperlink" Target="http://www.linkedin.com/in/julienbrean" TargetMode="External"/><Relationship  Id="rId1229" Type="http://schemas.openxmlformats.org/officeDocument/2006/relationships/hyperlink" Target="http://ets-lavrut.com" TargetMode="External"/><Relationship  Id="rId123" Type="http://schemas.openxmlformats.org/officeDocument/2006/relationships/hyperlink" Target="http://www.linkedin.com/company/proplaceco" TargetMode="External"/><Relationship  Id="rId1230" Type="http://schemas.openxmlformats.org/officeDocument/2006/relationships/hyperlink" Target="http://www.linkedin.com/company/ets-lavrut" TargetMode="External"/><Relationship  Id="rId1231" Type="http://schemas.openxmlformats.org/officeDocument/2006/relationships/hyperlink" Target="http://www.linkedin.com/in/jerome-elmalek-a1158a11" TargetMode="External"/><Relationship  Id="rId1232" Type="http://schemas.openxmlformats.org/officeDocument/2006/relationships/hyperlink" Target="http://avantagebusiness.fr" TargetMode="External"/><Relationship  Id="rId1233" Type="http://schemas.openxmlformats.org/officeDocument/2006/relationships/hyperlink" Target="http://www.linkedin.com/company/avantage-business" TargetMode="External"/><Relationship  Id="rId1234" Type="http://schemas.openxmlformats.org/officeDocument/2006/relationships/hyperlink" Target="http://www.linkedin.com/in/jacques-hamel-25673548" TargetMode="External"/><Relationship  Id="rId1235" Type="http://schemas.openxmlformats.org/officeDocument/2006/relationships/hyperlink" Target="http://amourdedieu.fr" TargetMode="External"/><Relationship  Id="rId1236" Type="http://schemas.openxmlformats.org/officeDocument/2006/relationships/hyperlink" Target="http://www.linkedin.com/company/amourdedieu" TargetMode="External"/><Relationship  Id="rId1237" Type="http://schemas.openxmlformats.org/officeDocument/2006/relationships/hyperlink" Target="http://www.linkedin.com/in/julien-ollier-4022775b" TargetMode="External"/><Relationship  Id="rId1238" Type="http://schemas.openxmlformats.org/officeDocument/2006/relationships/hyperlink" Target="http://skilz.io" TargetMode="External"/><Relationship  Id="rId1239" Type="http://schemas.openxmlformats.org/officeDocument/2006/relationships/hyperlink" Target="http://www.linkedin.com/company/skilz-io" TargetMode="External"/><Relationship  Id="rId124" Type="http://schemas.openxmlformats.org/officeDocument/2006/relationships/hyperlink" Target="http://www.linkedin.com/in/alexandre-guillaume-833366201" TargetMode="External"/><Relationship  Id="rId1240" Type="http://schemas.openxmlformats.org/officeDocument/2006/relationships/hyperlink" Target="http://www.linkedin.com/in/julespedretti" TargetMode="External"/><Relationship  Id="rId1241" Type="http://schemas.openxmlformats.org/officeDocument/2006/relationships/hyperlink" Target="http://innovation-fluides.com" TargetMode="External"/><Relationship  Id="rId1242" Type="http://schemas.openxmlformats.org/officeDocument/2006/relationships/hyperlink" Target="http://www.linkedin.com/company/innovation-fluides" TargetMode="External"/><Relationship  Id="rId1243" Type="http://schemas.openxmlformats.org/officeDocument/2006/relationships/hyperlink" Target="http://www.linkedin.com/in/j%c3%a9r%c3%a9my-requier-bb742370" TargetMode="External"/><Relationship  Id="rId1244" Type="http://schemas.openxmlformats.org/officeDocument/2006/relationships/hyperlink" Target="http://koders.fr" TargetMode="External"/><Relationship  Id="rId1245" Type="http://schemas.openxmlformats.org/officeDocument/2006/relationships/hyperlink" Target="http://www.linkedin.com/company/kodersfr" TargetMode="External"/><Relationship  Id="rId1246" Type="http://schemas.openxmlformats.org/officeDocument/2006/relationships/hyperlink" Target="https://www.facebook.com/bestkoders" TargetMode="External"/><Relationship  Id="rId1247" Type="http://schemas.openxmlformats.org/officeDocument/2006/relationships/hyperlink" Target="https://twitter.com/capptureads" TargetMode="External"/><Relationship  Id="rId1248" Type="http://schemas.openxmlformats.org/officeDocument/2006/relationships/hyperlink" Target="http://www.linkedin.com/in/jstaub" TargetMode="External"/><Relationship  Id="rId1249" Type="http://schemas.openxmlformats.org/officeDocument/2006/relationships/hyperlink" Target="http://olysta-it.fr" TargetMode="External"/><Relationship  Id="rId125" Type="http://schemas.openxmlformats.org/officeDocument/2006/relationships/hyperlink" Target="http://pharow.com" TargetMode="External"/><Relationship  Id="rId1250" Type="http://schemas.openxmlformats.org/officeDocument/2006/relationships/hyperlink" Target="http://www.linkedin.com/company/olysta" TargetMode="External"/><Relationship  Id="rId1251" Type="http://schemas.openxmlformats.org/officeDocument/2006/relationships/hyperlink" Target="http://www.linkedin.com/in/jonathan-verand-a54b1b108" TargetMode="External"/><Relationship  Id="rId1252" Type="http://schemas.openxmlformats.org/officeDocument/2006/relationships/hyperlink" Target="http://meta2e.com" TargetMode="External"/><Relationship  Id="rId1253" Type="http://schemas.openxmlformats.org/officeDocument/2006/relationships/hyperlink" Target="http://www.linkedin.com/company/meta-2e" TargetMode="External"/><Relationship  Id="rId1254" Type="http://schemas.openxmlformats.org/officeDocument/2006/relationships/hyperlink" Target="https://twitter.com/meta2e" TargetMode="External"/><Relationship  Id="rId1255" Type="http://schemas.openxmlformats.org/officeDocument/2006/relationships/hyperlink" Target="http://www.linkedin.com/in/j%c3%a9r%c3%b4me-viollet-117011a5" TargetMode="External"/><Relationship  Id="rId1256" Type="http://schemas.openxmlformats.org/officeDocument/2006/relationships/hyperlink" Target="http://www.linkedin.com/company/l-atelier-maison" TargetMode="External"/><Relationship  Id="rId1257" Type="http://schemas.openxmlformats.org/officeDocument/2006/relationships/hyperlink" Target="http://www.linkedin.com/in/jacques-berger-734a701" TargetMode="External"/><Relationship  Id="rId1258" Type="http://schemas.openxmlformats.org/officeDocument/2006/relationships/hyperlink" Target="http://procall-telecom.fr" TargetMode="External"/><Relationship  Id="rId1259" Type="http://schemas.openxmlformats.org/officeDocument/2006/relationships/hyperlink" Target="http://www.linkedin.com/company/procall-distributeur-sfr" TargetMode="External"/><Relationship  Id="rId126" Type="http://schemas.openxmlformats.org/officeDocument/2006/relationships/hyperlink" Target="http://www.linkedin.com/company/pharow" TargetMode="External"/><Relationship  Id="rId1260" Type="http://schemas.openxmlformats.org/officeDocument/2006/relationships/hyperlink" Target="http://www.linkedin.com/in/james-theis-dirigeant-investisseur-acteur-local-paca" TargetMode="External"/><Relationship  Id="rId1261" Type="http://schemas.openxmlformats.org/officeDocument/2006/relationships/hyperlink" Target="http://njpartners.fr" TargetMode="External"/><Relationship  Id="rId1262" Type="http://schemas.openxmlformats.org/officeDocument/2006/relationships/hyperlink" Target="http://www.linkedin.com/company/njpartners" TargetMode="External"/><Relationship  Id="rId1263" Type="http://schemas.openxmlformats.org/officeDocument/2006/relationships/hyperlink" Target="http://www.linkedin.com/in/jeremy-bensimon-848567226" TargetMode="External"/><Relationship  Id="rId1264" Type="http://schemas.openxmlformats.org/officeDocument/2006/relationships/hyperlink" Target="http://www.linkedin.com/in/jean-christophe-manent-5978075" TargetMode="External"/><Relationship  Id="rId1265" Type="http://schemas.openxmlformats.org/officeDocument/2006/relationships/hyperlink" Target="http://xotis.com" TargetMode="External"/><Relationship  Id="rId1266" Type="http://schemas.openxmlformats.org/officeDocument/2006/relationships/hyperlink" Target="http://www.linkedin.com/company/xotis" TargetMode="External"/><Relationship  Id="rId1267" Type="http://schemas.openxmlformats.org/officeDocument/2006/relationships/hyperlink" Target="https://twitter.com/xotis" TargetMode="External"/><Relationship  Id="rId1268" Type="http://schemas.openxmlformats.org/officeDocument/2006/relationships/hyperlink" Target="https://www.facebook.com/xotis/" TargetMode="External"/><Relationship  Id="rId1269" Type="http://schemas.openxmlformats.org/officeDocument/2006/relationships/hyperlink" Target="http://www.linkedin.com/in/julien-dumont-548a5388" TargetMode="External"/><Relationship  Id="rId127" Type="http://schemas.openxmlformats.org/officeDocument/2006/relationships/hyperlink" Target="http://www.linkedin.com/in/alexismartel" TargetMode="External"/><Relationship  Id="rId1270" Type="http://schemas.openxmlformats.org/officeDocument/2006/relationships/hyperlink" Target="http://jems-group.com" TargetMode="External"/><Relationship  Id="rId1271" Type="http://schemas.openxmlformats.org/officeDocument/2006/relationships/hyperlink" Target="http://www.linkedin.com/company/jems-group" TargetMode="External"/><Relationship  Id="rId1272" Type="http://schemas.openxmlformats.org/officeDocument/2006/relationships/hyperlink" Target="https://twitter.com/jemsgroup" TargetMode="External"/><Relationship  Id="rId1273" Type="http://schemas.openxmlformats.org/officeDocument/2006/relationships/hyperlink" Target="https://facebook.com/JEMSpartners" TargetMode="External"/><Relationship  Id="rId1274" Type="http://schemas.openxmlformats.org/officeDocument/2006/relationships/hyperlink" Target="http://www.linkedin.com/in/j%c3%a9r%c3%a9mie-delpey-199a0828" TargetMode="External"/><Relationship  Id="rId1275" Type="http://schemas.openxmlformats.org/officeDocument/2006/relationships/hyperlink" Target="http://sinfin.fr" TargetMode="External"/><Relationship  Id="rId1276" Type="http://schemas.openxmlformats.org/officeDocument/2006/relationships/hyperlink" Target="http://www.linkedin.com/company/sinfin-platform" TargetMode="External"/><Relationship  Id="rId1277" Type="http://schemas.openxmlformats.org/officeDocument/2006/relationships/hyperlink" Target="https://facebook.com/sinfinagency" TargetMode="External"/><Relationship  Id="rId1278" Type="http://schemas.openxmlformats.org/officeDocument/2006/relationships/hyperlink" Target="http://www.linkedin.com/in/jeremy-domingo-" TargetMode="External"/><Relationship  Id="rId1279" Type="http://schemas.openxmlformats.org/officeDocument/2006/relationships/hyperlink" Target="http://b-harmonist.com" TargetMode="External"/><Relationship  Id="rId128" Type="http://schemas.openxmlformats.org/officeDocument/2006/relationships/hyperlink" Target="http://trust-it.fr" TargetMode="External"/><Relationship  Id="rId1280" Type="http://schemas.openxmlformats.org/officeDocument/2006/relationships/hyperlink" Target="http://www.linkedin.com/company/businessharmonist" TargetMode="External"/><Relationship  Id="rId1281" Type="http://schemas.openxmlformats.org/officeDocument/2006/relationships/hyperlink" Target="https://twitter.com/BHarmonist" TargetMode="External"/><Relationship  Id="rId1282" Type="http://schemas.openxmlformats.org/officeDocument/2006/relationships/hyperlink" Target="https://facebook.com/businessharmonists" TargetMode="External"/><Relationship  Id="rId1283" Type="http://schemas.openxmlformats.org/officeDocument/2006/relationships/hyperlink" Target="http://www.linkedin.com/in/jdsulpice" TargetMode="External"/><Relationship  Id="rId1284" Type="http://schemas.openxmlformats.org/officeDocument/2006/relationships/hyperlink" Target="http://adriver.co" TargetMode="External"/><Relationship  Id="rId1285" Type="http://schemas.openxmlformats.org/officeDocument/2006/relationships/hyperlink" Target="http://www.linkedin.com/company/adriverco" TargetMode="External"/><Relationship  Id="rId1286" Type="http://schemas.openxmlformats.org/officeDocument/2006/relationships/hyperlink" Target="http://www.linkedin.com/in/jean-fran%c3%a7ois-curtil-ab3519a5" TargetMode="External"/><Relationship  Id="rId1287" Type="http://schemas.openxmlformats.org/officeDocument/2006/relationships/hyperlink" Target="http://www.linkedin.com/company/o-&amp;-b-consulting" TargetMode="External"/><Relationship  Id="rId1288" Type="http://schemas.openxmlformats.org/officeDocument/2006/relationships/hyperlink" Target="https://www.facebook.com/Obconsulting19/" TargetMode="External"/><Relationship  Id="rId1289" Type="http://schemas.openxmlformats.org/officeDocument/2006/relationships/hyperlink" Target="http://www.linkedin.com/in/jean-fran%c3%a7ois-gourion-8a113716" TargetMode="External"/><Relationship  Id="rId129" Type="http://schemas.openxmlformats.org/officeDocument/2006/relationships/hyperlink" Target="http://www.linkedin.com/company/trustitg%c3%a9n%c3%a9rateurdeconfiance" TargetMode="External"/><Relationship  Id="rId1290" Type="http://schemas.openxmlformats.org/officeDocument/2006/relationships/hyperlink" Target="http://fullenrich.com" TargetMode="External"/><Relationship  Id="rId1291" Type="http://schemas.openxmlformats.org/officeDocument/2006/relationships/hyperlink" Target="http://www.linkedin.com/company/fullenrich" TargetMode="External"/><Relationship  Id="rId1292" Type="http://schemas.openxmlformats.org/officeDocument/2006/relationships/hyperlink" Target="http://www.linkedin.com/in/jean-luc-manceron-8912b795" TargetMode="External"/><Relationship  Id="rId1293" Type="http://schemas.openxmlformats.org/officeDocument/2006/relationships/hyperlink" Target="http://axis-electronique.com" TargetMode="External"/><Relationship  Id="rId1294" Type="http://schemas.openxmlformats.org/officeDocument/2006/relationships/hyperlink" Target="http://www.linkedin.com/company/sarl-axis-electronique" TargetMode="External"/><Relationship  Id="rId1295" Type="http://schemas.openxmlformats.org/officeDocument/2006/relationships/hyperlink" Target="http://www.linkedin.com/in/jean-noel-grimault-5ba950106" TargetMode="External"/><Relationship  Id="rId1296" Type="http://schemas.openxmlformats.org/officeDocument/2006/relationships/hyperlink" Target="http://coperbee.fr" TargetMode="External"/><Relationship  Id="rId1297" Type="http://schemas.openxmlformats.org/officeDocument/2006/relationships/hyperlink" Target="http://www.linkedin.com/company/coperbee" TargetMode="External"/><Relationship  Id="rId1298" Type="http://schemas.openxmlformats.org/officeDocument/2006/relationships/hyperlink" Target="https://www.facebook.com/CoperBee" TargetMode="External"/><Relationship  Id="rId1299" Type="http://schemas.openxmlformats.org/officeDocument/2006/relationships/hyperlink" Target="http://www.linkedin.com/in/jean-barret-castan-3a46877b" TargetMode="External"/><Relationship  Id="rId13" Type="http://schemas.openxmlformats.org/officeDocument/2006/relationships/hyperlink" Target="http://infinityco.fr" TargetMode="External"/><Relationship  Id="rId130" Type="http://schemas.openxmlformats.org/officeDocument/2006/relationships/hyperlink" Target="https://twitter.com/Trust_IT_GDC" TargetMode="External"/><Relationship  Id="rId1300" Type="http://schemas.openxmlformats.org/officeDocument/2006/relationships/hyperlink" Target="http://www.linkedin.com/company/adaptivsystems" TargetMode="External"/><Relationship  Id="rId1301" Type="http://schemas.openxmlformats.org/officeDocument/2006/relationships/hyperlink" Target="https://www.twitter.com/adaptivsystems" TargetMode="External"/><Relationship  Id="rId1302" Type="http://schemas.openxmlformats.org/officeDocument/2006/relationships/hyperlink" Target="https://www.facebook.com/adaptivsystems" TargetMode="External"/><Relationship  Id="rId1303" Type="http://schemas.openxmlformats.org/officeDocument/2006/relationships/hyperlink" Target="http://www.linkedin.com/in/jean-baptiste-lucas-75723334" TargetMode="External"/><Relationship  Id="rId1304" Type="http://schemas.openxmlformats.org/officeDocument/2006/relationships/hyperlink" Target="http://dna-trust.com" TargetMode="External"/><Relationship  Id="rId1305" Type="http://schemas.openxmlformats.org/officeDocument/2006/relationships/hyperlink" Target="http://www.linkedin.com/company/d-a-trust" TargetMode="External"/><Relationship  Id="rId1306" Type="http://schemas.openxmlformats.org/officeDocument/2006/relationships/hyperlink" Target="http://www.linkedin.com/in/j%c3%a9r%c3%a9my-dubourg-574a9021" TargetMode="External"/><Relationship  Id="rId1307" Type="http://schemas.openxmlformats.org/officeDocument/2006/relationships/hyperlink" Target="http://r4innov.com" TargetMode="External"/><Relationship  Id="rId1308" Type="http://schemas.openxmlformats.org/officeDocument/2006/relationships/hyperlink" Target="http://www.linkedin.com/company/r4innov" TargetMode="External"/><Relationship  Id="rId1309" Type="http://schemas.openxmlformats.org/officeDocument/2006/relationships/hyperlink" Target="http://www.linkedin.com/in/jeremy-ohayon-0b35ba15" TargetMode="External"/><Relationship  Id="rId131" Type="http://schemas.openxmlformats.org/officeDocument/2006/relationships/hyperlink" Target="https://www.facebook.com/trustitgenerateurdeconfiance" TargetMode="External"/><Relationship  Id="rId1310" Type="http://schemas.openxmlformats.org/officeDocument/2006/relationships/hyperlink" Target="http://expert-activ.com" TargetMode="External"/><Relationship  Id="rId1311" Type="http://schemas.openxmlformats.org/officeDocument/2006/relationships/hyperlink" Target="http://www.linkedin.com/company/expert-activ-le-r-seau-national-des-consultants-sp-cialis-s-en-d-veloppement-commercial" TargetMode="External"/><Relationship  Id="rId1312" Type="http://schemas.openxmlformats.org/officeDocument/2006/relationships/hyperlink" Target="https://twitter.com/expertactiv1" TargetMode="External"/><Relationship  Id="rId1313" Type="http://schemas.openxmlformats.org/officeDocument/2006/relationships/hyperlink" Target="https://facebook.com/expertactiv" TargetMode="External"/><Relationship  Id="rId1314" Type="http://schemas.openxmlformats.org/officeDocument/2006/relationships/hyperlink" Target="http://www.linkedin.com/in/j%c3%a9r%c3%b4me-froment-meurice-9576325b" TargetMode="External"/><Relationship  Id="rId1315" Type="http://schemas.openxmlformats.org/officeDocument/2006/relationships/hyperlink" Target="http://kapito-consulting.com" TargetMode="External"/><Relationship  Id="rId1316" Type="http://schemas.openxmlformats.org/officeDocument/2006/relationships/hyperlink" Target="http://www.linkedin.com/company/kapitoconsulting" TargetMode="External"/><Relationship  Id="rId1317" Type="http://schemas.openxmlformats.org/officeDocument/2006/relationships/hyperlink" Target="https://twitter.com/Kapito_C" TargetMode="External"/><Relationship  Id="rId1318" Type="http://schemas.openxmlformats.org/officeDocument/2006/relationships/hyperlink" Target="http://www.linkedin.com/in/j%c3%a9r%c3%b4me-pechenard-0185a2a" TargetMode="External"/><Relationship  Id="rId1319" Type="http://schemas.openxmlformats.org/officeDocument/2006/relationships/hyperlink" Target="http://banquiz.fr" TargetMode="External"/><Relationship  Id="rId132" Type="http://schemas.openxmlformats.org/officeDocument/2006/relationships/hyperlink" Target="http://www.linkedin.com/in/ali-sidhoum-630672b3" TargetMode="External"/><Relationship  Id="rId1320" Type="http://schemas.openxmlformats.org/officeDocument/2006/relationships/hyperlink" Target="http://www.linkedin.com/company/maison-banquiz" TargetMode="External"/><Relationship  Id="rId1321" Type="http://schemas.openxmlformats.org/officeDocument/2006/relationships/hyperlink" Target="http://www.linkedin.com/in/j%c3%a9r%c3%b4me-fourest-32483b" TargetMode="External"/><Relationship  Id="rId1322" Type="http://schemas.openxmlformats.org/officeDocument/2006/relationships/hyperlink" Target="http://fisa.fr" TargetMode="External"/><Relationship  Id="rId1323" Type="http://schemas.openxmlformats.org/officeDocument/2006/relationships/hyperlink" Target="http://www.linkedin.com/company/fauconnet-ingenierie-sa" TargetMode="External"/><Relationship  Id="rId1324" Type="http://schemas.openxmlformats.org/officeDocument/2006/relationships/hyperlink" Target="https://twitter.com/Fisa_News" TargetMode="External"/><Relationship  Id="rId1325" Type="http://schemas.openxmlformats.org/officeDocument/2006/relationships/hyperlink" Target="https://www.facebook.com/pages/Fauconnet-Ing%C3%A9nierie-SA/1707044375989370" TargetMode="External"/><Relationship  Id="rId1326" Type="http://schemas.openxmlformats.org/officeDocument/2006/relationships/hyperlink" Target="http://www.linkedin.com/in/j%c3%a9r%c3%b4me-fauconnet-09369a83" TargetMode="External"/><Relationship  Id="rId1327" Type="http://schemas.openxmlformats.org/officeDocument/2006/relationships/hyperlink" Target="http://montigroupe95.fr" TargetMode="External"/><Relationship  Id="rId1328" Type="http://schemas.openxmlformats.org/officeDocument/2006/relationships/hyperlink" Target="http://www.linkedin.com/company/monti-groupe" TargetMode="External"/><Relationship  Id="rId1329" Type="http://schemas.openxmlformats.org/officeDocument/2006/relationships/hyperlink" Target="https://www.facebook.com/montigroupe95/" TargetMode="External"/><Relationship  Id="rId133" Type="http://schemas.openxmlformats.org/officeDocument/2006/relationships/hyperlink" Target="http://verticalexpense.com" TargetMode="External"/><Relationship  Id="rId1330" Type="http://schemas.openxmlformats.org/officeDocument/2006/relationships/hyperlink" Target="http://www.linkedin.com/in/jessica-monti-b655b779" TargetMode="External"/><Relationship  Id="rId1331" Type="http://schemas.openxmlformats.org/officeDocument/2006/relationships/hyperlink" Target="http://projim.com" TargetMode="External"/><Relationship  Id="rId1332" Type="http://schemas.openxmlformats.org/officeDocument/2006/relationships/hyperlink" Target="http://www.linkedin.com/company/projim" TargetMode="External"/><Relationship  Id="rId1333" Type="http://schemas.openxmlformats.org/officeDocument/2006/relationships/hyperlink" Target="http://www.linkedin.com/in/jessica-kauffmann-613199334" TargetMode="External"/><Relationship  Id="rId1334" Type="http://schemas.openxmlformats.org/officeDocument/2006/relationships/hyperlink" Target="http://metalperformances.com" TargetMode="External"/><Relationship  Id="rId1335" Type="http://schemas.openxmlformats.org/officeDocument/2006/relationships/hyperlink" Target="http://www.linkedin.com/company/m%c3%a9tal-performances" TargetMode="External"/><Relationship  Id="rId1336" Type="http://schemas.openxmlformats.org/officeDocument/2006/relationships/hyperlink" Target="http://www.linkedin.com/in/jimmy-fauchoux-29965826" TargetMode="External"/><Relationship  Id="rId1337" Type="http://schemas.openxmlformats.org/officeDocument/2006/relationships/hyperlink" Target="http://optimistik.com" TargetMode="External"/><Relationship  Id="rId1338" Type="http://schemas.openxmlformats.org/officeDocument/2006/relationships/hyperlink" Target="http://www.linkedin.com/company/optimistik" TargetMode="External"/><Relationship  Id="rId1339" Type="http://schemas.openxmlformats.org/officeDocument/2006/relationships/hyperlink" Target="http://www.linkedin.com/in/jfhenon" TargetMode="External"/><Relationship  Id="rId134" Type="http://schemas.openxmlformats.org/officeDocument/2006/relationships/hyperlink" Target="http://www.linkedin.com/company/verticalexpense" TargetMode="External"/><Relationship  Id="rId1340" Type="http://schemas.openxmlformats.org/officeDocument/2006/relationships/hyperlink" Target="http://viadirect.com" TargetMode="External"/><Relationship  Id="rId1341" Type="http://schemas.openxmlformats.org/officeDocument/2006/relationships/hyperlink" Target="http://www.linkedin.com/company/viadirectiledesmedias" TargetMode="External"/><Relationship  Id="rId1342" Type="http://schemas.openxmlformats.org/officeDocument/2006/relationships/hyperlink" Target="http://www.linkedin.com/in/j%c3%a9r%c3%b4me-h%c3%a9rard-b544b61" TargetMode="External"/><Relationship  Id="rId1343" Type="http://schemas.openxmlformats.org/officeDocument/2006/relationships/hyperlink" Target="http://alliance-economie.fr" TargetMode="External"/><Relationship  Id="rId1344" Type="http://schemas.openxmlformats.org/officeDocument/2006/relationships/hyperlink" Target="http://www.linkedin.com/company/allianceeconomie" TargetMode="External"/><Relationship  Id="rId1345" Type="http://schemas.openxmlformats.org/officeDocument/2006/relationships/hyperlink" Target="http://www.linkedin.com/in/jihane-nabih-b79b36140" TargetMode="External"/><Relationship  Id="rId1346" Type="http://schemas.openxmlformats.org/officeDocument/2006/relationships/hyperlink" Target="http://certifopac.fr" TargetMode="External"/><Relationship  Id="rId1347" Type="http://schemas.openxmlformats.org/officeDocument/2006/relationships/hyperlink" Target="http://www.linkedin.com/company/certifopac" TargetMode="External"/><Relationship  Id="rId1348" Type="http://schemas.openxmlformats.org/officeDocument/2006/relationships/hyperlink" Target="http://www.linkedin.com/in/jimmymotc" TargetMode="External"/><Relationship  Id="rId1349" Type="http://schemas.openxmlformats.org/officeDocument/2006/relationships/hyperlink" Target="http://iteka.fr" TargetMode="External"/><Relationship  Id="rId135" Type="http://schemas.openxmlformats.org/officeDocument/2006/relationships/hyperlink" Target="http://www.linkedin.com/in/alice-rouquette-roblin-4217164" TargetMode="External"/><Relationship  Id="rId1350" Type="http://schemas.openxmlformats.org/officeDocument/2006/relationships/hyperlink" Target="http://www.linkedin.com/company/sasiteka" TargetMode="External"/><Relationship  Id="rId1351" Type="http://schemas.openxmlformats.org/officeDocument/2006/relationships/hyperlink" Target="http://www.linkedin.com/in/james-morelle-32659510a" TargetMode="External"/><Relationship  Id="rId1352" Type="http://schemas.openxmlformats.org/officeDocument/2006/relationships/hyperlink" Target="http://twin.so" TargetMode="External"/><Relationship  Id="rId1353" Type="http://schemas.openxmlformats.org/officeDocument/2006/relationships/hyperlink" Target="http://www.linkedin.com/company/twinso" TargetMode="External"/><Relationship  Id="rId1354" Type="http://schemas.openxmlformats.org/officeDocument/2006/relationships/hyperlink" Target="http://www.linkedin.com/in/joao-a-justi" TargetMode="External"/><Relationship  Id="rId1355" Type="http://schemas.openxmlformats.org/officeDocument/2006/relationships/hyperlink" Target="http://youday.fr" TargetMode="External"/><Relationship  Id="rId1356" Type="http://schemas.openxmlformats.org/officeDocument/2006/relationships/hyperlink" Target="http://www.linkedin.com/company/youday-crm" TargetMode="External"/><Relationship  Id="rId1357" Type="http://schemas.openxmlformats.org/officeDocument/2006/relationships/hyperlink" Target="http://www.linkedin.com/in/jo%c3%abl-nomerange-781a6837" TargetMode="External"/><Relationship  Id="rId1358" Type="http://schemas.openxmlformats.org/officeDocument/2006/relationships/hyperlink" Target="http://andre-renovation.com" TargetMode="External"/><Relationship  Id="rId1359" Type="http://schemas.openxmlformats.org/officeDocument/2006/relationships/hyperlink" Target="http://www.linkedin.com/company/andre-anthony-sarl" TargetMode="External"/><Relationship  Id="rId136" Type="http://schemas.openxmlformats.org/officeDocument/2006/relationships/hyperlink" Target="http://omydoo.fr" TargetMode="External"/><Relationship  Id="rId1360" Type="http://schemas.openxmlformats.org/officeDocument/2006/relationships/hyperlink" Target="http://www.linkedin.com/in/joffrey-verdiere-91b9b6127" TargetMode="External"/><Relationship  Id="rId1361" Type="http://schemas.openxmlformats.org/officeDocument/2006/relationships/hyperlink" Target="http://cogifor.com" TargetMode="External"/><Relationship  Id="rId1362" Type="http://schemas.openxmlformats.org/officeDocument/2006/relationships/hyperlink" Target="http://www.linkedin.com/company/cogifor-com" TargetMode="External"/><Relationship  Id="rId1363" Type="http://schemas.openxmlformats.org/officeDocument/2006/relationships/hyperlink" Target="http://www.linkedin.com/in/johann-braud-858aba87" TargetMode="External"/><Relationship  Id="rId1364" Type="http://schemas.openxmlformats.org/officeDocument/2006/relationships/hyperlink" Target="http://jhhapplications.com" TargetMode="External"/><Relationship  Id="rId1365" Type="http://schemas.openxmlformats.org/officeDocument/2006/relationships/hyperlink" Target="http://www.linkedin.com/company/jhhapplications" TargetMode="External"/><Relationship  Id="rId1366" Type="http://schemas.openxmlformats.org/officeDocument/2006/relationships/hyperlink" Target="http://www.linkedin.com/in/jonathan-bernardie-72b6b386" TargetMode="External"/><Relationship  Id="rId1367" Type="http://schemas.openxmlformats.org/officeDocument/2006/relationships/hyperlink" Target="http://www.linkedin.com/company/temporis-loire-sud" TargetMode="External"/><Relationship  Id="rId1368" Type="http://schemas.openxmlformats.org/officeDocument/2006/relationships/hyperlink" Target="http://www.linkedin.com/in/jonathan-rizand-0517a9136" TargetMode="External"/><Relationship  Id="rId1369" Type="http://schemas.openxmlformats.org/officeDocument/2006/relationships/hyperlink" Target="http://toutateam.fr" TargetMode="External"/><Relationship  Id="rId137" Type="http://schemas.openxmlformats.org/officeDocument/2006/relationships/hyperlink" Target="http://www.linkedin.com/company/omydoo" TargetMode="External"/><Relationship  Id="rId1370" Type="http://schemas.openxmlformats.org/officeDocument/2006/relationships/hyperlink" Target="http://www.linkedin.com/company/toutateam" TargetMode="External"/><Relationship  Id="rId1371" Type="http://schemas.openxmlformats.org/officeDocument/2006/relationships/hyperlink" Target="http://www.linkedin.com/in/jonathan-le-bigot-894049a8" TargetMode="External"/><Relationship  Id="rId1372" Type="http://schemas.openxmlformats.org/officeDocument/2006/relationships/hyperlink" Target="http://slash-consulting.fr" TargetMode="External"/><Relationship  Id="rId1373" Type="http://schemas.openxmlformats.org/officeDocument/2006/relationships/hyperlink" Target="http://www.linkedin.com/company/slash-consulting-france" TargetMode="External"/><Relationship  Id="rId1374" Type="http://schemas.openxmlformats.org/officeDocument/2006/relationships/hyperlink" Target="http://www.linkedin.com/in/joris-thomas-92b320133" TargetMode="External"/><Relationship  Id="rId1375" Type="http://schemas.openxmlformats.org/officeDocument/2006/relationships/hyperlink" Target="http://saalz.com" TargetMode="External"/><Relationship  Id="rId1376" Type="http://schemas.openxmlformats.org/officeDocument/2006/relationships/hyperlink" Target="http://www.linkedin.com/company/saalz" TargetMode="External"/><Relationship  Id="rId1377" Type="http://schemas.openxmlformats.org/officeDocument/2006/relationships/hyperlink" Target="http://www.linkedin.com/in/jorisdubouloz" TargetMode="External"/><Relationship  Id="rId1378" Type="http://schemas.openxmlformats.org/officeDocument/2006/relationships/hyperlink" Target="http://celia-creation.fr" TargetMode="External"/><Relationship  Id="rId1379" Type="http://schemas.openxmlformats.org/officeDocument/2006/relationships/hyperlink" Target="http://www.linkedin.com/company/celia-creation" TargetMode="External"/><Relationship  Id="rId138" Type="http://schemas.openxmlformats.org/officeDocument/2006/relationships/hyperlink" Target="https://www.facebook.com/omydoo" TargetMode="External"/><Relationship  Id="rId1380" Type="http://schemas.openxmlformats.org/officeDocument/2006/relationships/hyperlink" Target="https://www.facebook.com/maisonceliacreation" TargetMode="External"/><Relationship  Id="rId1381" Type="http://schemas.openxmlformats.org/officeDocument/2006/relationships/hyperlink" Target="http://www.linkedin.com/in/jos%c3%a9-longo-95a616b1" TargetMode="External"/><Relationship  Id="rId1382" Type="http://schemas.openxmlformats.org/officeDocument/2006/relationships/hyperlink" Target="http://quicktalk.com" TargetMode="External"/><Relationship  Id="rId1383" Type="http://schemas.openxmlformats.org/officeDocument/2006/relationships/hyperlink" Target="http://www.linkedin.com/company/quicktalkapp" TargetMode="External"/><Relationship  Id="rId1384" Type="http://schemas.openxmlformats.org/officeDocument/2006/relationships/hyperlink" Target="http://www.linkedin.com/in/joseph-cochrane-b6677630" TargetMode="External"/><Relationship  Id="rId1385" Type="http://schemas.openxmlformats.org/officeDocument/2006/relationships/hyperlink" Target="http://statera-corp.com" TargetMode="External"/><Relationship  Id="rId1386" Type="http://schemas.openxmlformats.org/officeDocument/2006/relationships/hyperlink" Target="http://www.linkedin.com/company/statera-corp" TargetMode="External"/><Relationship  Id="rId1387" Type="http://schemas.openxmlformats.org/officeDocument/2006/relationships/hyperlink" Target="http://www.linkedin.com/in/josselin-fouquet-a88358bb" TargetMode="External"/><Relationship  Id="rId1388" Type="http://schemas.openxmlformats.org/officeDocument/2006/relationships/hyperlink" Target="http://gotel.fr" TargetMode="External"/><Relationship  Id="rId1389" Type="http://schemas.openxmlformats.org/officeDocument/2006/relationships/hyperlink" Target="http://www.linkedin.com/company/gotel-r%c3%a9seaux" TargetMode="External"/><Relationship  Id="rId139" Type="http://schemas.openxmlformats.org/officeDocument/2006/relationships/hyperlink" Target="http://www.linkedin.com/in/alison-dubuisson-44249258" TargetMode="External"/><Relationship  Id="rId1390" Type="http://schemas.openxmlformats.org/officeDocument/2006/relationships/hyperlink" Target="http://www.linkedin.com/in/julien-preynat-66933158" TargetMode="External"/><Relationship  Id="rId1391" Type="http://schemas.openxmlformats.org/officeDocument/2006/relationships/hyperlink" Target="http://maisons-terre-doc.fr" TargetMode="External"/><Relationship  Id="rId1392" Type="http://schemas.openxmlformats.org/officeDocument/2006/relationships/hyperlink" Target="http://www.linkedin.com/company/maisons-terre-doc" TargetMode="External"/><Relationship  Id="rId1393" Type="http://schemas.openxmlformats.org/officeDocument/2006/relationships/hyperlink" Target="http://www.linkedin.com/in/julien-torrecillas-46117b152" TargetMode="External"/><Relationship  Id="rId1394" Type="http://schemas.openxmlformats.org/officeDocument/2006/relationships/hyperlink" Target="http://frame-advisory.com" TargetMode="External"/><Relationship  Id="rId1395" Type="http://schemas.openxmlformats.org/officeDocument/2006/relationships/hyperlink" Target="http://www.linkedin.com/company/frame-advisory" TargetMode="External"/><Relationship  Id="rId1396" Type="http://schemas.openxmlformats.org/officeDocument/2006/relationships/hyperlink" Target="http://www.linkedin.com/in/jules-castanet-4173a991" TargetMode="External"/><Relationship  Id="rId1397" Type="http://schemas.openxmlformats.org/officeDocument/2006/relationships/hyperlink" Target="http://epicerielideal.com" TargetMode="External"/><Relationship  Id="rId1398" Type="http://schemas.openxmlformats.org/officeDocument/2006/relationships/hyperlink" Target="http://www.linkedin.com/company/epicerie-l-ideal" TargetMode="External"/><Relationship  Id="rId1399" Type="http://schemas.openxmlformats.org/officeDocument/2006/relationships/hyperlink" Target="http://www.linkedin.com/in/julia-sammut-1a560336" TargetMode="External"/><Relationship  Id="rId14" Type="http://schemas.openxmlformats.org/officeDocument/2006/relationships/hyperlink" Target="http://www.linkedin.com/company/infinitycofr" TargetMode="External"/><Relationship  Id="rId140" Type="http://schemas.openxmlformats.org/officeDocument/2006/relationships/hyperlink" Target="http://univrstudio.com" TargetMode="External"/><Relationship  Id="rId1400" Type="http://schemas.openxmlformats.org/officeDocument/2006/relationships/hyperlink" Target="http://coven-france.fr" TargetMode="External"/><Relationship  Id="rId1401" Type="http://schemas.openxmlformats.org/officeDocument/2006/relationships/hyperlink" Target="http://www.linkedin.com/company/coven" TargetMode="External"/><Relationship  Id="rId1402" Type="http://schemas.openxmlformats.org/officeDocument/2006/relationships/hyperlink" Target="https://twitter.com/CovenFrance" TargetMode="External"/><Relationship  Id="rId1403" Type="http://schemas.openxmlformats.org/officeDocument/2006/relationships/hyperlink" Target="https://www.facebook.com/Coven-France-405090950051439/" TargetMode="External"/><Relationship  Id="rId1404" Type="http://schemas.openxmlformats.org/officeDocument/2006/relationships/hyperlink" Target="http://www.linkedin.com/in/julie-cutillas-201b53a" TargetMode="External"/><Relationship  Id="rId1405" Type="http://schemas.openxmlformats.org/officeDocument/2006/relationships/hyperlink" Target="http://uni-vision.fr" TargetMode="External"/><Relationship  Id="rId1406" Type="http://schemas.openxmlformats.org/officeDocument/2006/relationships/hyperlink" Target="http://www.linkedin.com/company/uni-vision" TargetMode="External"/><Relationship  Id="rId1407" Type="http://schemas.openxmlformats.org/officeDocument/2006/relationships/hyperlink" Target="https://www.facebook.com/univisionfrance" TargetMode="External"/><Relationship  Id="rId1408" Type="http://schemas.openxmlformats.org/officeDocument/2006/relationships/hyperlink" Target="http://www.linkedin.com/in/julien-daviau-94b95733" TargetMode="External"/><Relationship  Id="rId1409" Type="http://schemas.openxmlformats.org/officeDocument/2006/relationships/hyperlink" Target="http://carmen-conseil.fr" TargetMode="External"/><Relationship  Id="rId141" Type="http://schemas.openxmlformats.org/officeDocument/2006/relationships/hyperlink" Target="http://www.linkedin.com/company/univr-studio" TargetMode="External"/><Relationship  Id="rId1410" Type="http://schemas.openxmlformats.org/officeDocument/2006/relationships/hyperlink" Target="http://www.linkedin.com/company/carmen-conseil" TargetMode="External"/><Relationship  Id="rId1411" Type="http://schemas.openxmlformats.org/officeDocument/2006/relationships/hyperlink" Target="http://www.linkedin.com/in/julien-dufossez-1ba74b45" TargetMode="External"/><Relationship  Id="rId1412" Type="http://schemas.openxmlformats.org/officeDocument/2006/relationships/hyperlink" Target="http://beesap.fr" TargetMode="External"/><Relationship  Id="rId1413" Type="http://schemas.openxmlformats.org/officeDocument/2006/relationships/hyperlink" Target="http://www.linkedin.com/company/beesap" TargetMode="External"/><Relationship  Id="rId1414" Type="http://schemas.openxmlformats.org/officeDocument/2006/relationships/hyperlink" Target="http://www.linkedin.com/in/julien-latoures-70003a15" TargetMode="External"/><Relationship  Id="rId1415" Type="http://schemas.openxmlformats.org/officeDocument/2006/relationships/hyperlink" Target="http://lumiscaphe.com" TargetMode="External"/><Relationship  Id="rId1416" Type="http://schemas.openxmlformats.org/officeDocument/2006/relationships/hyperlink" Target="http://www.linkedin.com/company/lumiscaphe" TargetMode="External"/><Relationship  Id="rId1417" Type="http://schemas.openxmlformats.org/officeDocument/2006/relationships/hyperlink" Target="https://twitter.com/lumiscaphe" TargetMode="External"/><Relationship  Id="rId1418" Type="http://schemas.openxmlformats.org/officeDocument/2006/relationships/hyperlink" Target="http://www.linkedin.com/in/jlunardelli" TargetMode="External"/><Relationship  Id="rId1419" Type="http://schemas.openxmlformats.org/officeDocument/2006/relationships/hyperlink" Target="http://mrit.fr" TargetMode="External"/><Relationship  Id="rId142" Type="http://schemas.openxmlformats.org/officeDocument/2006/relationships/hyperlink" Target="https://twitter.com/UniVRstudio" TargetMode="External"/><Relationship  Id="rId1420" Type="http://schemas.openxmlformats.org/officeDocument/2006/relationships/hyperlink" Target="http://www.linkedin.com/company/mrit-france" TargetMode="External"/><Relationship  Id="rId1421" Type="http://schemas.openxmlformats.org/officeDocument/2006/relationships/hyperlink" Target="http://www.linkedin.com/in/julien-morinay-89907061" TargetMode="External"/><Relationship  Id="rId1422" Type="http://schemas.openxmlformats.org/officeDocument/2006/relationships/hyperlink" Target="http://calumino.com" TargetMode="External"/><Relationship  Id="rId1423" Type="http://schemas.openxmlformats.org/officeDocument/2006/relationships/hyperlink" Target="http://www.linkedin.com/company/calumino" TargetMode="External"/><Relationship  Id="rId1424" Type="http://schemas.openxmlformats.org/officeDocument/2006/relationships/hyperlink" Target="https://facebook.com/calumino" TargetMode="External"/><Relationship  Id="rId1425" Type="http://schemas.openxmlformats.org/officeDocument/2006/relationships/hyperlink" Target="http://www.linkedin.com/in/julientournadre" TargetMode="External"/><Relationship  Id="rId1426" Type="http://schemas.openxmlformats.org/officeDocument/2006/relationships/hyperlink" Target="http://fanprime.io" TargetMode="External"/><Relationship  Id="rId1427" Type="http://schemas.openxmlformats.org/officeDocument/2006/relationships/hyperlink" Target="http://www.linkedin.com/company/fanprime" TargetMode="External"/><Relationship  Id="rId1428" Type="http://schemas.openxmlformats.org/officeDocument/2006/relationships/hyperlink" Target="https://twitter.com/FanprimeH2o" TargetMode="External"/><Relationship  Id="rId1429" Type="http://schemas.openxmlformats.org/officeDocument/2006/relationships/hyperlink" Target="http://www.linkedin.com/in/julien-raoust-55b19216" TargetMode="External"/><Relationship  Id="rId143" Type="http://schemas.openxmlformats.org/officeDocument/2006/relationships/hyperlink" Target="https://www.facebook.com/univrstudio360" TargetMode="External"/><Relationship  Id="rId1430" Type="http://schemas.openxmlformats.org/officeDocument/2006/relationships/hyperlink" Target="http://guermonprez.com" TargetMode="External"/><Relationship  Id="rId1431" Type="http://schemas.openxmlformats.org/officeDocument/2006/relationships/hyperlink" Target="http://www.linkedin.com/company/guermonprez-stores-&amp;-fermetures" TargetMode="External"/><Relationship  Id="rId1432" Type="http://schemas.openxmlformats.org/officeDocument/2006/relationships/hyperlink" Target="https://www.facebook.com/Guermonprez-Stores-et-Fermetures-109099841679288" TargetMode="External"/><Relationship  Id="rId1433" Type="http://schemas.openxmlformats.org/officeDocument/2006/relationships/hyperlink" Target="http://www.linkedin.com/in/julien-guermonprez-468ba6170" TargetMode="External"/><Relationship  Id="rId1434" Type="http://schemas.openxmlformats.org/officeDocument/2006/relationships/hyperlink" Target="http://renoouest.fr" TargetMode="External"/><Relationship  Id="rId1435" Type="http://schemas.openxmlformats.org/officeDocument/2006/relationships/hyperlink" Target="http://www.linkedin.com/company/renoouest" TargetMode="External"/><Relationship  Id="rId1436" Type="http://schemas.openxmlformats.org/officeDocument/2006/relationships/hyperlink" Target="http://www.linkedin.com/in/julien-leguen" TargetMode="External"/><Relationship  Id="rId1437" Type="http://schemas.openxmlformats.org/officeDocument/2006/relationships/hyperlink" Target="http://sociacom.fr" TargetMode="External"/><Relationship  Id="rId1438" Type="http://schemas.openxmlformats.org/officeDocument/2006/relationships/hyperlink" Target="http://www.linkedin.com/company/sociacom-fr" TargetMode="External"/><Relationship  Id="rId1439" Type="http://schemas.openxmlformats.org/officeDocument/2006/relationships/hyperlink" Target="https://www.facebook.com/Sociacom-1438515963075470/" TargetMode="External"/><Relationship  Id="rId144" Type="http://schemas.openxmlformats.org/officeDocument/2006/relationships/hyperlink" Target="http://www.linkedin.com/in/alissonfoucault" TargetMode="External"/><Relationship  Id="rId1440" Type="http://schemas.openxmlformats.org/officeDocument/2006/relationships/hyperlink" Target="http://www.linkedin.com/in/julien-bonneau-8b30b74" TargetMode="External"/><Relationship  Id="rId1441" Type="http://schemas.openxmlformats.org/officeDocument/2006/relationships/hyperlink" Target="http://semawe.fr" TargetMode="External"/><Relationship  Id="rId1442" Type="http://schemas.openxmlformats.org/officeDocument/2006/relationships/hyperlink" Target="http://www.linkedin.com/company/semawe" TargetMode="External"/><Relationship  Id="rId1443" Type="http://schemas.openxmlformats.org/officeDocument/2006/relationships/hyperlink" Target="http://www.linkedin.com/in/juliettebunerie" TargetMode="External"/><Relationship  Id="rId1444" Type="http://schemas.openxmlformats.org/officeDocument/2006/relationships/hyperlink" Target="http://abelya-partners.com" TargetMode="External"/><Relationship  Id="rId1445" Type="http://schemas.openxmlformats.org/officeDocument/2006/relationships/hyperlink" Target="http://www.linkedin.com/company/abelya-partners" TargetMode="External"/><Relationship  Id="rId1446" Type="http://schemas.openxmlformats.org/officeDocument/2006/relationships/hyperlink" Target="http://www.linkedin.com/in/kevin-allain-7174b5a" TargetMode="External"/><Relationship  Id="rId1447" Type="http://schemas.openxmlformats.org/officeDocument/2006/relationships/hyperlink" Target="http://2concert.fr" TargetMode="External"/><Relationship  Id="rId1448" Type="http://schemas.openxmlformats.org/officeDocument/2006/relationships/hyperlink" Target="http://www.linkedin.com/company/2concert" TargetMode="External"/><Relationship  Id="rId1449" Type="http://schemas.openxmlformats.org/officeDocument/2006/relationships/hyperlink" Target="http://www.linkedin.com/in/kasia-czora" TargetMode="External"/><Relationship  Id="rId145" Type="http://schemas.openxmlformats.org/officeDocument/2006/relationships/hyperlink" Target="http://random-coffee.com" TargetMode="External"/><Relationship  Id="rId1450" Type="http://schemas.openxmlformats.org/officeDocument/2006/relationships/hyperlink" Target="http://profilculture.com" TargetMode="External"/><Relationship  Id="rId1451" Type="http://schemas.openxmlformats.org/officeDocument/2006/relationships/hyperlink" Target="http://www.linkedin.com/company/profilculture-conseil" TargetMode="External"/><Relationship  Id="rId1452" Type="http://schemas.openxmlformats.org/officeDocument/2006/relationships/hyperlink" Target="http://www.linkedin.com/in/karim-fadlallah-cfa" TargetMode="External"/><Relationship  Id="rId1453" Type="http://schemas.openxmlformats.org/officeDocument/2006/relationships/hyperlink" Target="http://3s2i.fr" TargetMode="External"/><Relationship  Id="rId1454" Type="http://schemas.openxmlformats.org/officeDocument/2006/relationships/hyperlink" Target="http://www.linkedin.com/company/3s2i" TargetMode="External"/><Relationship  Id="rId1455" Type="http://schemas.openxmlformats.org/officeDocument/2006/relationships/hyperlink" Target="http://www.linkedin.com/in/karim-agrebi-4b040791" TargetMode="External"/><Relationship  Id="rId1456" Type="http://schemas.openxmlformats.org/officeDocument/2006/relationships/hyperlink" Target="http://flowlity.com" TargetMode="External"/><Relationship  Id="rId1457" Type="http://schemas.openxmlformats.org/officeDocument/2006/relationships/hyperlink" Target="http://www.linkedin.com/company/flowlity" TargetMode="External"/><Relationship  Id="rId1458" Type="http://schemas.openxmlformats.org/officeDocument/2006/relationships/hyperlink" Target="https://twitter.com/flowlity" TargetMode="External"/><Relationship  Id="rId1459" Type="http://schemas.openxmlformats.org/officeDocument/2006/relationships/hyperlink" Target="http://www.linkedin.com/in/karim-b-03233b54" TargetMode="External"/><Relationship  Id="rId146" Type="http://schemas.openxmlformats.org/officeDocument/2006/relationships/hyperlink" Target="http://www.linkedin.com/company/randomcoffee" TargetMode="External"/><Relationship  Id="rId1460" Type="http://schemas.openxmlformats.org/officeDocument/2006/relationships/hyperlink" Target="http://www.linkedin.com/company/mercateam-france" TargetMode="External"/><Relationship  Id="rId1461" Type="http://schemas.openxmlformats.org/officeDocument/2006/relationships/hyperlink" Target="http://www.linkedin.com/in/k%c3%a9vin-rouviere-3b34b94a" TargetMode="External"/><Relationship  Id="rId1462" Type="http://schemas.openxmlformats.org/officeDocument/2006/relationships/hyperlink" Target="http://qualibooth.com" TargetMode="External"/><Relationship  Id="rId1463" Type="http://schemas.openxmlformats.org/officeDocument/2006/relationships/hyperlink" Target="http://www.linkedin.com/company/qualibooth" TargetMode="External"/><Relationship  Id="rId1464" Type="http://schemas.openxmlformats.org/officeDocument/2006/relationships/hyperlink" Target="http://www.linkedin.com/in/kkralick" TargetMode="External"/><Relationship  Id="rId1465" Type="http://schemas.openxmlformats.org/officeDocument/2006/relationships/hyperlink" Target="http://ambiancestp.fr" TargetMode="External"/><Relationship  Id="rId1466" Type="http://schemas.openxmlformats.org/officeDocument/2006/relationships/hyperlink" Target="http://www.linkedin.com/company/ambiances-tp" TargetMode="External"/><Relationship  Id="rId1467" Type="http://schemas.openxmlformats.org/officeDocument/2006/relationships/hyperlink" Target="https://www.facebook.com/Ambiances-Tp-822857611136957" TargetMode="External"/><Relationship  Id="rId1468" Type="http://schemas.openxmlformats.org/officeDocument/2006/relationships/hyperlink" Target="http://www.linkedin.com/in/kamel-ledraa-3345a370" TargetMode="External"/><Relationship  Id="rId1469" Type="http://schemas.openxmlformats.org/officeDocument/2006/relationships/hyperlink" Target="http://moksa.ai" TargetMode="External"/><Relationship  Id="rId147" Type="http://schemas.openxmlformats.org/officeDocument/2006/relationships/hyperlink" Target="https://twitter.com/randomcoffeeapp" TargetMode="External"/><Relationship  Id="rId1470" Type="http://schemas.openxmlformats.org/officeDocument/2006/relationships/hyperlink" Target="http://www.linkedin.com/company/moksa-ai" TargetMode="External"/><Relationship  Id="rId1471" Type="http://schemas.openxmlformats.org/officeDocument/2006/relationships/hyperlink" Target="https://twitter.com/MoksaAi" TargetMode="External"/><Relationship  Id="rId1472" Type="http://schemas.openxmlformats.org/officeDocument/2006/relationships/hyperlink" Target="https://www.facebook.com/mokSa2021/" TargetMode="External"/><Relationship  Id="rId1473" Type="http://schemas.openxmlformats.org/officeDocument/2006/relationships/hyperlink" Target="http://www.linkedin.com/in/kranthimottu" TargetMode="External"/><Relationship  Id="rId1474" Type="http://schemas.openxmlformats.org/officeDocument/2006/relationships/hyperlink" Target="http://abarnou.fr" TargetMode="External"/><Relationship  Id="rId1475" Type="http://schemas.openxmlformats.org/officeDocument/2006/relationships/hyperlink" Target="http://www.linkedin.com/company/abarnou" TargetMode="External"/><Relationship  Id="rId1476" Type="http://schemas.openxmlformats.org/officeDocument/2006/relationships/hyperlink" Target="https://twitter.com/Abarnou76" TargetMode="External"/><Relationship  Id="rId1477" Type="http://schemas.openxmlformats.org/officeDocument/2006/relationships/hyperlink" Target="http://www.linkedin.com/in/ludivine-abarnou-hurel" TargetMode="External"/><Relationship  Id="rId1478" Type="http://schemas.openxmlformats.org/officeDocument/2006/relationships/hyperlink" Target="http://lamaisonfrancaise.com" TargetMode="External"/><Relationship  Id="rId1479" Type="http://schemas.openxmlformats.org/officeDocument/2006/relationships/hyperlink" Target="http://www.linkedin.com/company/lamaisonfrancaise" TargetMode="External"/><Relationship  Id="rId148" Type="http://schemas.openxmlformats.org/officeDocument/2006/relationships/hyperlink" Target="https://www.facebook.com/randomcoffeeapp/" TargetMode="External"/><Relationship  Id="rId1480" Type="http://schemas.openxmlformats.org/officeDocument/2006/relationships/hyperlink" Target="http://www.linkedin.com/in/leilaerdmann" TargetMode="External"/><Relationship  Id="rId1481" Type="http://schemas.openxmlformats.org/officeDocument/2006/relationships/hyperlink" Target="http://kleva.fr" TargetMode="External"/><Relationship  Id="rId1482" Type="http://schemas.openxmlformats.org/officeDocument/2006/relationships/hyperlink" Target="http://www.linkedin.com/company/klevatoulouse" TargetMode="External"/><Relationship  Id="rId1483" Type="http://schemas.openxmlformats.org/officeDocument/2006/relationships/hyperlink" Target="http://www.linkedin.com/in/laurentgargaud" TargetMode="External"/><Relationship  Id="rId1484" Type="http://schemas.openxmlformats.org/officeDocument/2006/relationships/hyperlink" Target="http://eforia.co" TargetMode="External"/><Relationship  Id="rId1485" Type="http://schemas.openxmlformats.org/officeDocument/2006/relationships/hyperlink" Target="http://www.linkedin.com/company/eforia-digital" TargetMode="External"/><Relationship  Id="rId1486" Type="http://schemas.openxmlformats.org/officeDocument/2006/relationships/hyperlink" Target="http://www.linkedin.com/in/laurent-gaussin-835012118" TargetMode="External"/><Relationship  Id="rId1487" Type="http://schemas.openxmlformats.org/officeDocument/2006/relationships/hyperlink" Target="http://centres-gestion-stress.com" TargetMode="External"/><Relationship  Id="rId1488" Type="http://schemas.openxmlformats.org/officeDocument/2006/relationships/hyperlink" Target="http://www.linkedin.com/company/reseau-des-centres-de-gestion-du-stress" TargetMode="External"/><Relationship  Id="rId1489" Type="http://schemas.openxmlformats.org/officeDocument/2006/relationships/hyperlink" Target="http://www.linkedin.com/in/laurence-mialaret" TargetMode="External"/><Relationship  Id="rId149" Type="http://schemas.openxmlformats.org/officeDocument/2006/relationships/hyperlink" Target="http://www.linkedin.com/in/alizeemeissonnier" TargetMode="External"/><Relationship  Id="rId1490" Type="http://schemas.openxmlformats.org/officeDocument/2006/relationships/hyperlink" Target="http://lswork.fr" TargetMode="External"/><Relationship  Id="rId1491" Type="http://schemas.openxmlformats.org/officeDocument/2006/relationships/hyperlink" Target="http://www.linkedin.com/company/ls-work" TargetMode="External"/><Relationship  Id="rId1492" Type="http://schemas.openxmlformats.org/officeDocument/2006/relationships/hyperlink" Target="http://www.linkedin.com/in/lotfi-saada-4b064710b" TargetMode="External"/><Relationship  Id="rId1493" Type="http://schemas.openxmlformats.org/officeDocument/2006/relationships/hyperlink" Target="http://kemtec-ingenierie.fr" TargetMode="External"/><Relationship  Id="rId1494" Type="http://schemas.openxmlformats.org/officeDocument/2006/relationships/hyperlink" Target="http://www.linkedin.com/company/kemtec" TargetMode="External"/><Relationship  Id="rId1495" Type="http://schemas.openxmlformats.org/officeDocument/2006/relationships/hyperlink" Target="http://www.linkedin.com/in/ltourneur" TargetMode="External"/><Relationship  Id="rId1496" Type="http://schemas.openxmlformats.org/officeDocument/2006/relationships/hyperlink" Target="http://centrebretonhabitat.com" TargetMode="External"/><Relationship  Id="rId1497" Type="http://schemas.openxmlformats.org/officeDocument/2006/relationships/hyperlink" Target="http://www.linkedin.com/company/centre-breton-de-l&apos;habitat" TargetMode="External"/><Relationship  Id="rId1498" Type="http://schemas.openxmlformats.org/officeDocument/2006/relationships/hyperlink" Target="http://www.linkedin.com/in/loicvaillant" TargetMode="External"/><Relationship  Id="rId1499" Type="http://schemas.openxmlformats.org/officeDocument/2006/relationships/hyperlink" Target="http://radian.fr" TargetMode="External"/><Relationship  Id="rId15" Type="http://schemas.openxmlformats.org/officeDocument/2006/relationships/hyperlink" Target="http://www.linkedin.com/in/aur%c3%a9lien-girard-b220b2176" TargetMode="External"/><Relationship  Id="rId150" Type="http://schemas.openxmlformats.org/officeDocument/2006/relationships/hyperlink" Target="http://metalgear.xyz" TargetMode="External"/><Relationship  Id="rId1500" Type="http://schemas.openxmlformats.org/officeDocument/2006/relationships/hyperlink" Target="http://www.linkedin.com/company/radian-sa" TargetMode="External"/><Relationship  Id="rId1501" Type="http://schemas.openxmlformats.org/officeDocument/2006/relationships/hyperlink" Target="http://www.linkedin.com/in/ludovic-voltz-761b3920" TargetMode="External"/><Relationship  Id="rId1502" Type="http://schemas.openxmlformats.org/officeDocument/2006/relationships/hyperlink" Target="http://galeriedowntown.com" TargetMode="External"/><Relationship  Id="rId1503" Type="http://schemas.openxmlformats.org/officeDocument/2006/relationships/hyperlink" Target="http://www.linkedin.com/company/galerie-downtown---fran%c3%a7ois-laffanour" TargetMode="External"/><Relationship  Id="rId1504" Type="http://schemas.openxmlformats.org/officeDocument/2006/relationships/hyperlink" Target="http://www.linkedin.com/in/fran%c3%a7ois-laffanour-bb289115" TargetMode="External"/><Relationship  Id="rId1505" Type="http://schemas.openxmlformats.org/officeDocument/2006/relationships/hyperlink" Target="http://atelierpras.com" TargetMode="External"/><Relationship  Id="rId1506" Type="http://schemas.openxmlformats.org/officeDocument/2006/relationships/hyperlink" Target="http://www.linkedin.com/company/atelier-pras" TargetMode="External"/><Relationship  Id="rId1507" Type="http://schemas.openxmlformats.org/officeDocument/2006/relationships/hyperlink" Target="https://facebook.com/people/Atelier-Pras/100076331841750/?_rdr" TargetMode="External"/><Relationship  Id="rId1508" Type="http://schemas.openxmlformats.org/officeDocument/2006/relationships/hyperlink" Target="http://www.linkedin.com/in/marc-de-laubier-0241b56a" TargetMode="External"/><Relationship  Id="rId1509" Type="http://schemas.openxmlformats.org/officeDocument/2006/relationships/hyperlink" Target="http://2lpconsulting.com" TargetMode="External"/><Relationship  Id="rId151" Type="http://schemas.openxmlformats.org/officeDocument/2006/relationships/hyperlink" Target="http://www.linkedin.com/company/metalgearhq" TargetMode="External"/><Relationship  Id="rId1510" Type="http://schemas.openxmlformats.org/officeDocument/2006/relationships/hyperlink" Target="http://www.linkedin.com/company/2lp-consulting" TargetMode="External"/><Relationship  Id="rId1511" Type="http://schemas.openxmlformats.org/officeDocument/2006/relationships/hyperlink" Target="http://www.linkedin.com/in/laura-loumingou-9567b331" TargetMode="External"/><Relationship  Id="rId1512" Type="http://schemas.openxmlformats.org/officeDocument/2006/relationships/hyperlink" Target="http://www.linkedin.com/company/umeo-consulting" TargetMode="External"/><Relationship  Id="rId1513" Type="http://schemas.openxmlformats.org/officeDocument/2006/relationships/hyperlink" Target="http://www.linkedin.com/in/laure-vincent-8131b5a5" TargetMode="External"/><Relationship  Id="rId1514" Type="http://schemas.openxmlformats.org/officeDocument/2006/relationships/hyperlink" Target="http://synergee.com" TargetMode="External"/><Relationship  Id="rId1515" Type="http://schemas.openxmlformats.org/officeDocument/2006/relationships/hyperlink" Target="http://www.linkedin.com/company/synergee" TargetMode="External"/><Relationship  Id="rId1516" Type="http://schemas.openxmlformats.org/officeDocument/2006/relationships/hyperlink" Target="https://twitter.com/SynergeeFrance" TargetMode="External"/><Relationship  Id="rId1517" Type="http://schemas.openxmlformats.org/officeDocument/2006/relationships/hyperlink" Target="https://www.facebook.com/Synergee-163893756997197/" TargetMode="External"/><Relationship  Id="rId1518" Type="http://schemas.openxmlformats.org/officeDocument/2006/relationships/hyperlink" Target="https://twitter.com/dubernais" TargetMode="External"/><Relationship  Id="rId1519" Type="http://schemas.openxmlformats.org/officeDocument/2006/relationships/hyperlink" Target="http://www.linkedin.com/in/laurentdubernais" TargetMode="External"/><Relationship  Id="rId152" Type="http://schemas.openxmlformats.org/officeDocument/2006/relationships/hyperlink" Target="http://www.linkedin.com/in/alois-jobard" TargetMode="External"/><Relationship  Id="rId1520" Type="http://schemas.openxmlformats.org/officeDocument/2006/relationships/hyperlink" Target="http://ceribois.com" TargetMode="External"/><Relationship  Id="rId1521" Type="http://schemas.openxmlformats.org/officeDocument/2006/relationships/hyperlink" Target="http://www.linkedin.com/company/ceribois" TargetMode="External"/><Relationship  Id="rId1522" Type="http://schemas.openxmlformats.org/officeDocument/2006/relationships/hyperlink" Target="http://www.linkedin.com/in/laurent-fabregue-288706164" TargetMode="External"/><Relationship  Id="rId1523" Type="http://schemas.openxmlformats.org/officeDocument/2006/relationships/hyperlink" Target="http://www.linkedin.com/company/eco-valorisation" TargetMode="External"/><Relationship  Id="rId1524" Type="http://schemas.openxmlformats.org/officeDocument/2006/relationships/hyperlink" Target="http://www.linkedin.com/in/laurent-laye-67b247185" TargetMode="External"/><Relationship  Id="rId1525" Type="http://schemas.openxmlformats.org/officeDocument/2006/relationships/hyperlink" Target="http://leuville.com" TargetMode="External"/><Relationship  Id="rId1526" Type="http://schemas.openxmlformats.org/officeDocument/2006/relationships/hyperlink" Target="http://www.linkedin.com/company/leuville-objects" TargetMode="External"/><Relationship  Id="rId1527" Type="http://schemas.openxmlformats.org/officeDocument/2006/relationships/hyperlink" Target="https://www.facebook.com/LeuvilleObjects" TargetMode="External"/><Relationship  Id="rId1528" Type="http://schemas.openxmlformats.org/officeDocument/2006/relationships/hyperlink" Target="http://www.linkedin.com/in/laurent-nel-b861a04" TargetMode="External"/><Relationship  Id="rId1529" Type="http://schemas.openxmlformats.org/officeDocument/2006/relationships/hyperlink" Target="http://www.linkedin.com/company/maelstr%c3%b6m-group" TargetMode="External"/><Relationship  Id="rId153" Type="http://schemas.openxmlformats.org/officeDocument/2006/relationships/hyperlink" Target="http://otherwayaround.co" TargetMode="External"/><Relationship  Id="rId1530" Type="http://schemas.openxmlformats.org/officeDocument/2006/relationships/hyperlink" Target="https://fr-fr.facebook.com/maelstrom.group/" TargetMode="External"/><Relationship  Id="rId1531" Type="http://schemas.openxmlformats.org/officeDocument/2006/relationships/hyperlink" Target="http://www.linkedin.com/in/laurent-puyjalinet-0544b7a3" TargetMode="External"/><Relationship  Id="rId1532" Type="http://schemas.openxmlformats.org/officeDocument/2006/relationships/hyperlink" Target="http://bloomppm.com" TargetMode="External"/><Relationship  Id="rId1533" Type="http://schemas.openxmlformats.org/officeDocument/2006/relationships/hyperlink" Target="http://www.linkedin.com/company/bloomppm" TargetMode="External"/><Relationship  Id="rId1534" Type="http://schemas.openxmlformats.org/officeDocument/2006/relationships/hyperlink" Target="http://www.linkedin.com/in/laurent-sallerin-568a6922" TargetMode="External"/><Relationship  Id="rId1535" Type="http://schemas.openxmlformats.org/officeDocument/2006/relationships/hyperlink" Target="http://concret.fr" TargetMode="External"/><Relationship  Id="rId1536" Type="http://schemas.openxmlformats.org/officeDocument/2006/relationships/hyperlink" Target="http://www.linkedin.com/company/concret-bordeaux" TargetMode="External"/><Relationship  Id="rId1537" Type="http://schemas.openxmlformats.org/officeDocument/2006/relationships/hyperlink" Target="http://www.linkedin.com/in/laurent-seguin-71629b166" TargetMode="External"/><Relationship  Id="rId1538" Type="http://schemas.openxmlformats.org/officeDocument/2006/relationships/hyperlink" Target="http://capiconsult.com" TargetMode="External"/><Relationship  Id="rId1539" Type="http://schemas.openxmlformats.org/officeDocument/2006/relationships/hyperlink" Target="http://www.linkedin.com/company/capiconsult" TargetMode="External"/><Relationship  Id="rId154" Type="http://schemas.openxmlformats.org/officeDocument/2006/relationships/hyperlink" Target="http://www.linkedin.com/company/otherwayaround" TargetMode="External"/><Relationship  Id="rId1540" Type="http://schemas.openxmlformats.org/officeDocument/2006/relationships/hyperlink" Target="https://www.facebook.com/CapiConsult/" TargetMode="External"/><Relationship  Id="rId1541" Type="http://schemas.openxmlformats.org/officeDocument/2006/relationships/hyperlink" Target="http://www.linkedin.com/in/laurentsouchaud" TargetMode="External"/><Relationship  Id="rId1542" Type="http://schemas.openxmlformats.org/officeDocument/2006/relationships/hyperlink" Target="http://air-formation.com" TargetMode="External"/><Relationship  Id="rId1543" Type="http://schemas.openxmlformats.org/officeDocument/2006/relationships/hyperlink" Target="http://www.linkedin.com/company/air-formation" TargetMode="External"/><Relationship  Id="rId1544" Type="http://schemas.openxmlformats.org/officeDocument/2006/relationships/hyperlink" Target="https://twitter.com/air_formation" TargetMode="External"/><Relationship  Id="rId1545" Type="http://schemas.openxmlformats.org/officeDocument/2006/relationships/hyperlink" Target="https://facebook.com/pages/Air-Formation/349647481875487" TargetMode="External"/><Relationship  Id="rId1546" Type="http://schemas.openxmlformats.org/officeDocument/2006/relationships/hyperlink" Target="http://www.linkedin.com/in/laurent-vallier-3017b083" TargetMode="External"/><Relationship  Id="rId1547" Type="http://schemas.openxmlformats.org/officeDocument/2006/relationships/hyperlink" Target="http://www.linkedin.com/company/clarity-consulting-fr" TargetMode="External"/><Relationship  Id="rId1548" Type="http://schemas.openxmlformats.org/officeDocument/2006/relationships/hyperlink" Target="http://www.linkedin.com/in/laurenth" TargetMode="External"/><Relationship  Id="rId1549" Type="http://schemas.openxmlformats.org/officeDocument/2006/relationships/hyperlink" Target="http://lizee.com" TargetMode="External"/><Relationship  Id="rId155" Type="http://schemas.openxmlformats.org/officeDocument/2006/relationships/hyperlink" Target="http://www.linkedin.com/in/alptug-ika" TargetMode="External"/><Relationship  Id="rId1550" Type="http://schemas.openxmlformats.org/officeDocument/2006/relationships/hyperlink" Target="http://www.linkedin.com/company/lizee" TargetMode="External"/><Relationship  Id="rId1551" Type="http://schemas.openxmlformats.org/officeDocument/2006/relationships/hyperlink" Target="https://www.facebook.com/lizeesas" TargetMode="External"/><Relationship  Id="rId1552" Type="http://schemas.openxmlformats.org/officeDocument/2006/relationships/hyperlink" Target="http://www.linkedin.com/in/laurent-liz%c3%a9e-b5908a13a" TargetMode="External"/><Relationship  Id="rId1553" Type="http://schemas.openxmlformats.org/officeDocument/2006/relationships/hyperlink" Target="http://ttc-testing.com" TargetMode="External"/><Relationship  Id="rId1554" Type="http://schemas.openxmlformats.org/officeDocument/2006/relationships/hyperlink" Target="http://www.linkedin.com/company/ttc-testing" TargetMode="External"/><Relationship  Id="rId1555" Type="http://schemas.openxmlformats.org/officeDocument/2006/relationships/hyperlink" Target="http://www.linkedin.com/in/laurent-abid-2147a7" TargetMode="External"/><Relationship  Id="rId1556" Type="http://schemas.openxmlformats.org/officeDocument/2006/relationships/hyperlink" Target="http://wakemeup.fr" TargetMode="External"/><Relationship  Id="rId1557" Type="http://schemas.openxmlformats.org/officeDocument/2006/relationships/hyperlink" Target="http://www.linkedin.com/company/wake-me-up" TargetMode="External"/><Relationship  Id="rId1558" Type="http://schemas.openxmlformats.org/officeDocument/2006/relationships/hyperlink" Target="https://twitter.com/agence_wakemeup" TargetMode="External"/><Relationship  Id="rId1559" Type="http://schemas.openxmlformats.org/officeDocument/2006/relationships/hyperlink" Target="https://facebook.com/wakemeupparis" TargetMode="External"/><Relationship  Id="rId156" Type="http://schemas.openxmlformats.org/officeDocument/2006/relationships/hyperlink" Target="http://astorm-group.com" TargetMode="External"/><Relationship  Id="rId1560" Type="http://schemas.openxmlformats.org/officeDocument/2006/relationships/hyperlink" Target="http://www.linkedin.com/in/laurentketz" TargetMode="External"/><Relationship  Id="rId1561" Type="http://schemas.openxmlformats.org/officeDocument/2006/relationships/hyperlink" Target="http://glaz-ocean.fr" TargetMode="External"/><Relationship  Id="rId1562" Type="http://schemas.openxmlformats.org/officeDocument/2006/relationships/hyperlink" Target="http://www.linkedin.com/company/glazoceanglaz-ocean" TargetMode="External"/><Relationship  Id="rId1563" Type="http://schemas.openxmlformats.org/officeDocument/2006/relationships/hyperlink" Target="https://www.facebook.com/glazocean29" TargetMode="External"/><Relationship  Id="rId1564" Type="http://schemas.openxmlformats.org/officeDocument/2006/relationships/hyperlink" Target="http://www.linkedin.com/in/laurianne-le-cossec-11308911" TargetMode="External"/><Relationship  Id="rId1565" Type="http://schemas.openxmlformats.org/officeDocument/2006/relationships/hyperlink" Target="http://benett-portage.com" TargetMode="External"/><Relationship  Id="rId1566" Type="http://schemas.openxmlformats.org/officeDocument/2006/relationships/hyperlink" Target="http://www.linkedin.com/company/benett-portage" TargetMode="External"/><Relationship  Id="rId1567" Type="http://schemas.openxmlformats.org/officeDocument/2006/relationships/hyperlink" Target="https://twitter.com/benett_portage" TargetMode="External"/><Relationship  Id="rId1568" Type="http://schemas.openxmlformats.org/officeDocument/2006/relationships/hyperlink" Target="https://www.facebook.com/Benett.Portage/" TargetMode="External"/><Relationship  Id="rId1569" Type="http://schemas.openxmlformats.org/officeDocument/2006/relationships/hyperlink" Target="http://www.linkedin.com/in/laurent-benharroch-portage-salarial" TargetMode="External"/><Relationship  Id="rId157" Type="http://schemas.openxmlformats.org/officeDocument/2006/relationships/hyperlink" Target="http://www.linkedin.com/company/groupe-astorm" TargetMode="External"/><Relationship  Id="rId1570" Type="http://schemas.openxmlformats.org/officeDocument/2006/relationships/hyperlink" Target="http://bmpb.fr" TargetMode="External"/><Relationship  Id="rId1571" Type="http://schemas.openxmlformats.org/officeDocument/2006/relationships/hyperlink" Target="http://www.linkedin.com/company/bmpb-france" TargetMode="External"/><Relationship  Id="rId1572" Type="http://schemas.openxmlformats.org/officeDocument/2006/relationships/hyperlink" Target="http://www.linkedin.com/in/laurentcaimant" TargetMode="External"/><Relationship  Id="rId1573" Type="http://schemas.openxmlformats.org/officeDocument/2006/relationships/hyperlink" Target="http://egalitealapage.fr" TargetMode="External"/><Relationship  Id="rId1574" Type="http://schemas.openxmlformats.org/officeDocument/2006/relationships/hyperlink" Target="http://www.linkedin.com/company/egalitealapage" TargetMode="External"/><Relationship  Id="rId1575" Type="http://schemas.openxmlformats.org/officeDocument/2006/relationships/hyperlink" Target="http://www.linkedin.com/in/leabages" TargetMode="External"/><Relationship  Id="rId1576" Type="http://schemas.openxmlformats.org/officeDocument/2006/relationships/hyperlink" Target="http://copleni.fr" TargetMode="External"/><Relationship  Id="rId1577" Type="http://schemas.openxmlformats.org/officeDocument/2006/relationships/hyperlink" Target="http://www.linkedin.com/company/copleni" TargetMode="External"/><Relationship  Id="rId1578" Type="http://schemas.openxmlformats.org/officeDocument/2006/relationships/hyperlink" Target="http://www.linkedin.com/in/l%c3%a9a-mispoulet" TargetMode="External"/><Relationship  Id="rId1579" Type="http://schemas.openxmlformats.org/officeDocument/2006/relationships/hyperlink" Target="http://kairios.fr" TargetMode="External"/><Relationship  Id="rId158" Type="http://schemas.openxmlformats.org/officeDocument/2006/relationships/hyperlink" Target="http://www.linkedin.com/in/amine-zaafrane-4ba90634" TargetMode="External"/><Relationship  Id="rId1580" Type="http://schemas.openxmlformats.org/officeDocument/2006/relationships/hyperlink" Target="http://www.linkedin.com/company/kairios-les-compagnons-du-numerique" TargetMode="External"/><Relationship  Id="rId1581" Type="http://schemas.openxmlformats.org/officeDocument/2006/relationships/hyperlink" Target="http://www.linkedin.com/in/l%c3%a9o-lianos-65674040" TargetMode="External"/><Relationship  Id="rId1582" Type="http://schemas.openxmlformats.org/officeDocument/2006/relationships/hyperlink" Target="http://inotekk.com" TargetMode="External"/><Relationship  Id="rId1583" Type="http://schemas.openxmlformats.org/officeDocument/2006/relationships/hyperlink" Target="http://www.linkedin.com/company/inotekk" TargetMode="External"/><Relationship  Id="rId1584" Type="http://schemas.openxmlformats.org/officeDocument/2006/relationships/hyperlink" Target="http://www.linkedin.com/in/l%c3%a9o-marques-bba09246" TargetMode="External"/><Relationship  Id="rId1585" Type="http://schemas.openxmlformats.org/officeDocument/2006/relationships/hyperlink" Target="http://nomiks.io" TargetMode="External"/><Relationship  Id="rId1586" Type="http://schemas.openxmlformats.org/officeDocument/2006/relationships/hyperlink" Target="http://www.linkedin.com/company/nomiks7" TargetMode="External"/><Relationship  Id="rId1587" Type="http://schemas.openxmlformats.org/officeDocument/2006/relationships/hyperlink" Target="http://www.linkedin.com/in/leodelion" TargetMode="External"/><Relationship  Id="rId1588" Type="http://schemas.openxmlformats.org/officeDocument/2006/relationships/hyperlink" Target="http://roche-et-cie.fr" TargetMode="External"/><Relationship  Id="rId1589" Type="http://schemas.openxmlformats.org/officeDocument/2006/relationships/hyperlink" Target="http://www.linkedin.com/company/roche-et-cie" TargetMode="External"/><Relationship  Id="rId159" Type="http://schemas.openxmlformats.org/officeDocument/2006/relationships/hyperlink" Target="http://leslanguesdumonde.com" TargetMode="External"/><Relationship  Id="rId1590" Type="http://schemas.openxmlformats.org/officeDocument/2006/relationships/hyperlink" Target="http://www.linkedin.com/in/lucas-garin-762540212" TargetMode="External"/><Relationship  Id="rId1591" Type="http://schemas.openxmlformats.org/officeDocument/2006/relationships/hyperlink" Target="http://diamartconsulting.fr" TargetMode="External"/><Relationship  Id="rId1592" Type="http://schemas.openxmlformats.org/officeDocument/2006/relationships/hyperlink" Target="http://www.linkedin.com/company/diamart-consulting" TargetMode="External"/><Relationship  Id="rId1593" Type="http://schemas.openxmlformats.org/officeDocument/2006/relationships/hyperlink" Target="https://twitter.com/DiamartGroup" TargetMode="External"/><Relationship  Id="rId1594" Type="http://schemas.openxmlformats.org/officeDocument/2006/relationships/hyperlink" Target="http://www.linkedin.com/in/ludovic-lanoue-de-suremain-4140891b" TargetMode="External"/><Relationship  Id="rId1595" Type="http://schemas.openxmlformats.org/officeDocument/2006/relationships/hyperlink" Target="http://asbadrums.com" TargetMode="External"/><Relationship  Id="rId1596" Type="http://schemas.openxmlformats.org/officeDocument/2006/relationships/hyperlink" Target="http://www.linkedin.com/company/asba-drums" TargetMode="External"/><Relationship  Id="rId1597" Type="http://schemas.openxmlformats.org/officeDocument/2006/relationships/hyperlink" Target="http://www.linkedin.com/in/l%c3%a9o-loisy-82807aa5" TargetMode="External"/><Relationship  Id="rId1598" Type="http://schemas.openxmlformats.org/officeDocument/2006/relationships/hyperlink" Target="http://priism.fr" TargetMode="External"/><Relationship  Id="rId1599" Type="http://schemas.openxmlformats.org/officeDocument/2006/relationships/hyperlink" Target="http://www.linkedin.com/company/priism" TargetMode="External"/><Relationship  Id="rId16" Type="http://schemas.openxmlformats.org/officeDocument/2006/relationships/hyperlink" Target="http://umanngroup.com" TargetMode="External"/><Relationship  Id="rId160" Type="http://schemas.openxmlformats.org/officeDocument/2006/relationships/hyperlink" Target="http://www.linkedin.com/company/les-langues-du-monde" TargetMode="External"/><Relationship  Id="rId1600" Type="http://schemas.openxmlformats.org/officeDocument/2006/relationships/hyperlink" Target="https://twitter.com/Priism4" TargetMode="External"/><Relationship  Id="rId1601" Type="http://schemas.openxmlformats.org/officeDocument/2006/relationships/hyperlink" Target="https://www.facebook.com/PriismSA/" TargetMode="External"/><Relationship  Id="rId1602" Type="http://schemas.openxmlformats.org/officeDocument/2006/relationships/hyperlink" Target="http://www.linkedin.com/in/laurentmollon" TargetMode="External"/><Relationship  Id="rId1603" Type="http://schemas.openxmlformats.org/officeDocument/2006/relationships/hyperlink" Target="http://techcare-it.com" TargetMode="External"/><Relationship  Id="rId1604" Type="http://schemas.openxmlformats.org/officeDocument/2006/relationships/hyperlink" Target="http://www.linkedin.com/company/techcareitservices" TargetMode="External"/><Relationship  Id="rId1605" Type="http://schemas.openxmlformats.org/officeDocument/2006/relationships/hyperlink" Target="https://www.facebook.com/techcareitservices/" TargetMode="External"/><Relationship  Id="rId1606" Type="http://schemas.openxmlformats.org/officeDocument/2006/relationships/hyperlink" Target="http://www.linkedin.com/in/lo%c3%afc-mabire-02a282a" TargetMode="External"/><Relationship  Id="rId1607" Type="http://schemas.openxmlformats.org/officeDocument/2006/relationships/hyperlink" Target="http://ux-key.com" TargetMode="External"/><Relationship  Id="rId1608" Type="http://schemas.openxmlformats.org/officeDocument/2006/relationships/hyperlink" Target="http://www.linkedin.com/company/ux-key" TargetMode="External"/><Relationship  Id="rId1609" Type="http://schemas.openxmlformats.org/officeDocument/2006/relationships/hyperlink" Target="http://www.linkedin.com/in/lo%c3%afc-cueroni-4146b5124" TargetMode="External"/><Relationship  Id="rId161" Type="http://schemas.openxmlformats.org/officeDocument/2006/relationships/hyperlink" Target="http://www.linkedin.com/in/anaescobedo" TargetMode="External"/><Relationship  Id="rId1610" Type="http://schemas.openxmlformats.org/officeDocument/2006/relationships/hyperlink" Target="http://bii-group.com" TargetMode="External"/><Relationship  Id="rId1611" Type="http://schemas.openxmlformats.org/officeDocument/2006/relationships/hyperlink" Target="http://www.linkedin.com/company/biigroupsarl" TargetMode="External"/><Relationship  Id="rId1612" Type="http://schemas.openxmlformats.org/officeDocument/2006/relationships/hyperlink" Target="http://www.linkedin.com/in/lo%c3%afc-deleke-4a629512a" TargetMode="External"/><Relationship  Id="rId1613" Type="http://schemas.openxmlformats.org/officeDocument/2006/relationships/hyperlink" Target="http://ar2c.fr" TargetMode="External"/><Relationship  Id="rId1614" Type="http://schemas.openxmlformats.org/officeDocument/2006/relationships/hyperlink" Target="http://www.linkedin.com/company/ar2cgtc" TargetMode="External"/><Relationship  Id="rId1615" Type="http://schemas.openxmlformats.org/officeDocument/2006/relationships/hyperlink" Target="http://www.linkedin.com/in/loicpapon63" TargetMode="External"/><Relationship  Id="rId1616" Type="http://schemas.openxmlformats.org/officeDocument/2006/relationships/hyperlink" Target="http://omneo-solutions.com" TargetMode="External"/><Relationship  Id="rId1617" Type="http://schemas.openxmlformats.org/officeDocument/2006/relationships/hyperlink" Target="http://www.linkedin.com/company/omneo-solutions" TargetMode="External"/><Relationship  Id="rId1618" Type="http://schemas.openxmlformats.org/officeDocument/2006/relationships/hyperlink" Target="http://www.linkedin.com/in/lo%c3%afc-lebez-3a092844" TargetMode="External"/><Relationship  Id="rId1619" Type="http://schemas.openxmlformats.org/officeDocument/2006/relationships/hyperlink" Target="http://ilove-events.com" TargetMode="External"/><Relationship  Id="rId162" Type="http://schemas.openxmlformats.org/officeDocument/2006/relationships/hyperlink" Target="http://hands.fr" TargetMode="External"/><Relationship  Id="rId1620" Type="http://schemas.openxmlformats.org/officeDocument/2006/relationships/hyperlink" Target="http://www.linkedin.com/company/agence-i-love-events" TargetMode="External"/><Relationship  Id="rId1621" Type="http://schemas.openxmlformats.org/officeDocument/2006/relationships/hyperlink" Target="http://www.linkedin.com/in/lola-leviant-a8001662" TargetMode="External"/><Relationship  Id="rId1622" Type="http://schemas.openxmlformats.org/officeDocument/2006/relationships/hyperlink" Target="http://crisotech.com" TargetMode="External"/><Relationship  Id="rId1623" Type="http://schemas.openxmlformats.org/officeDocument/2006/relationships/hyperlink" Target="http://www.linkedin.com/company/crisotech" TargetMode="External"/><Relationship  Id="rId1624" Type="http://schemas.openxmlformats.org/officeDocument/2006/relationships/hyperlink" Target="http://www.linkedin.com/in/louisbernardcrisotech" TargetMode="External"/><Relationship  Id="rId1625" Type="http://schemas.openxmlformats.org/officeDocument/2006/relationships/hyperlink" Target="http://dcom-solutions.fr" TargetMode="External"/><Relationship  Id="rId1626" Type="http://schemas.openxmlformats.org/officeDocument/2006/relationships/hyperlink" Target="http://www.linkedin.com/company/dcom-solutions" TargetMode="External"/><Relationship  Id="rId1627" Type="http://schemas.openxmlformats.org/officeDocument/2006/relationships/hyperlink" Target="http://www.linkedin.com/in/lprudhomme" TargetMode="External"/><Relationship  Id="rId1628" Type="http://schemas.openxmlformats.org/officeDocument/2006/relationships/hyperlink" Target="http://www.linkedin.com/company/les-constructions-du-belon" TargetMode="External"/><Relationship  Id="rId1629" Type="http://schemas.openxmlformats.org/officeDocument/2006/relationships/hyperlink" Target="https://twitter.com/lcdbelon" TargetMode="External"/><Relationship  Id="rId163" Type="http://schemas.openxmlformats.org/officeDocument/2006/relationships/hyperlink" Target="http://www.linkedin.com/company/handsgroup" TargetMode="External"/><Relationship  Id="rId1630" Type="http://schemas.openxmlformats.org/officeDocument/2006/relationships/hyperlink" Target="https://facebook.com/pages/Constructions-du-Belon/1018209471528883" TargetMode="External"/><Relationship  Id="rId1631" Type="http://schemas.openxmlformats.org/officeDocument/2006/relationships/hyperlink" Target="http://www.linkedin.com/in/laurent-stratten-007b31114" TargetMode="External"/><Relationship  Id="rId1632" Type="http://schemas.openxmlformats.org/officeDocument/2006/relationships/hyperlink" Target="http://feedmax.io" TargetMode="External"/><Relationship  Id="rId1633" Type="http://schemas.openxmlformats.org/officeDocument/2006/relationships/hyperlink" Target="http://www.linkedin.com/company/feedmax-io" TargetMode="External"/><Relationship  Id="rId1634" Type="http://schemas.openxmlformats.org/officeDocument/2006/relationships/hyperlink" Target="http://www.linkedin.com/in/luis-manuel-taborda-059a1227" TargetMode="External"/><Relationship  Id="rId1635" Type="http://schemas.openxmlformats.org/officeDocument/2006/relationships/hyperlink" Target="http://www.linkedin.com/company/toutfairecotedazur" TargetMode="External"/><Relationship  Id="rId1636" Type="http://schemas.openxmlformats.org/officeDocument/2006/relationships/hyperlink" Target="http://www.linkedin.com/in/marc-avena-686342125" TargetMode="External"/><Relationship  Id="rId1637" Type="http://schemas.openxmlformats.org/officeDocument/2006/relationships/hyperlink" Target="http://sngisas.com" TargetMode="External"/><Relationship  Id="rId1638" Type="http://schemas.openxmlformats.org/officeDocument/2006/relationships/hyperlink" Target="http://www.linkedin.com/company/soci%c3%a9t%c3%a9-nouvelle-guillarme-industrie" TargetMode="External"/><Relationship  Id="rId1639" Type="http://schemas.openxmlformats.org/officeDocument/2006/relationships/hyperlink" Target="http://www.linkedin.com/in/mathieu-darmon-a136a097" TargetMode="External"/><Relationship  Id="rId164" Type="http://schemas.openxmlformats.org/officeDocument/2006/relationships/hyperlink" Target="http://www.linkedin.com/in/ana%c3%ablle-escurat-60243446" TargetMode="External"/><Relationship  Id="rId1640" Type="http://schemas.openxmlformats.org/officeDocument/2006/relationships/hyperlink" Target="http://clubsantepremium.com" TargetMode="External"/><Relationship  Id="rId1641" Type="http://schemas.openxmlformats.org/officeDocument/2006/relationships/hyperlink" Target="http://www.linkedin.com/company/club-sant%c3%a9-premium" TargetMode="External"/><Relationship  Id="rId1642" Type="http://schemas.openxmlformats.org/officeDocument/2006/relationships/hyperlink" Target="http://www.linkedin.com/in/maxime-farahi-282401b9" TargetMode="External"/><Relationship  Id="rId1643" Type="http://schemas.openxmlformats.org/officeDocument/2006/relationships/hyperlink" Target="http://zeroptical.com" TargetMode="External"/><Relationship  Id="rId1644" Type="http://schemas.openxmlformats.org/officeDocument/2006/relationships/hyperlink" Target="http://www.linkedin.com/company/zeroptical-groupe" TargetMode="External"/><Relationship  Id="rId1645" Type="http://schemas.openxmlformats.org/officeDocument/2006/relationships/hyperlink" Target="https://www.facebook.com/Zeroptical/" TargetMode="External"/><Relationship  Id="rId1646" Type="http://schemas.openxmlformats.org/officeDocument/2006/relationships/hyperlink" Target="http://www.linkedin.com/in/marc-lemaire-6b21701a0" TargetMode="External"/><Relationship  Id="rId1647" Type="http://schemas.openxmlformats.org/officeDocument/2006/relationships/hyperlink" Target="http://www.linkedin.com/in/ma%c3%aflysmancion" TargetMode="External"/><Relationship  Id="rId1648" Type="http://schemas.openxmlformats.org/officeDocument/2006/relationships/hyperlink" Target="http://janusfrance.fr" TargetMode="External"/><Relationship  Id="rId1649" Type="http://schemas.openxmlformats.org/officeDocument/2006/relationships/hyperlink" Target="http://www.linkedin.com/company/janus-france" TargetMode="External"/><Relationship  Id="rId165" Type="http://schemas.openxmlformats.org/officeDocument/2006/relationships/hyperlink" Target="http://midgard-ai.com" TargetMode="External"/><Relationship  Id="rId1650" Type="http://schemas.openxmlformats.org/officeDocument/2006/relationships/hyperlink" Target="https://twitter.com/JanusGroupe" TargetMode="External"/><Relationship  Id="rId1651" Type="http://schemas.openxmlformats.org/officeDocument/2006/relationships/hyperlink" Target="https://www.facebook.com/janus.france/" TargetMode="External"/><Relationship  Id="rId1652" Type="http://schemas.openxmlformats.org/officeDocument/2006/relationships/hyperlink" Target="http://www.linkedin.com/in/michelmeunier" TargetMode="External"/><Relationship  Id="rId1653" Type="http://schemas.openxmlformats.org/officeDocument/2006/relationships/hyperlink" Target="http://cabinetcapcession.com" TargetMode="External"/><Relationship  Id="rId1654" Type="http://schemas.openxmlformats.org/officeDocument/2006/relationships/hyperlink" Target="http://www.linkedin.com/company/cap-cession-france" TargetMode="External"/><Relationship  Id="rId1655" Type="http://schemas.openxmlformats.org/officeDocument/2006/relationships/hyperlink" Target="http://www.linkedin.com/in/mgx-mgd" TargetMode="External"/><Relationship  Id="rId1656" Type="http://schemas.openxmlformats.org/officeDocument/2006/relationships/hyperlink" Target="http://axe-ing.fr" TargetMode="External"/><Relationship  Id="rId1657" Type="http://schemas.openxmlformats.org/officeDocument/2006/relationships/hyperlink" Target="http://www.linkedin.com/company/axe-ing" TargetMode="External"/><Relationship  Id="rId1658" Type="http://schemas.openxmlformats.org/officeDocument/2006/relationships/hyperlink" Target="http://www.linkedin.com/in/mehdi-ouenzar-3763b746" TargetMode="External"/><Relationship  Id="rId1659" Type="http://schemas.openxmlformats.org/officeDocument/2006/relationships/hyperlink" Target="http://rosenberg-vendome.com" TargetMode="External"/><Relationship  Id="rId166" Type="http://schemas.openxmlformats.org/officeDocument/2006/relationships/hyperlink" Target="http://www.linkedin.com/company/midgard-ai" TargetMode="External"/><Relationship  Id="rId1660" Type="http://schemas.openxmlformats.org/officeDocument/2006/relationships/hyperlink" Target="http://www.linkedin.com/company/ecofit-etri" TargetMode="External"/><Relationship  Id="rId1661" Type="http://schemas.openxmlformats.org/officeDocument/2006/relationships/hyperlink" Target="https://www.facebook.com/ecofitetri" TargetMode="External"/><Relationship  Id="rId1662" Type="http://schemas.openxmlformats.org/officeDocument/2006/relationships/hyperlink" Target="http://www.linkedin.com/in/marc-sitarz-290416aa" TargetMode="External"/><Relationship  Id="rId1663" Type="http://schemas.openxmlformats.org/officeDocument/2006/relationships/hyperlink" Target="http://axe-international.com" TargetMode="External"/><Relationship  Id="rId1664" Type="http://schemas.openxmlformats.org/officeDocument/2006/relationships/hyperlink" Target="http://www.linkedin.com/company/axeinternational" TargetMode="External"/><Relationship  Id="rId1665" Type="http://schemas.openxmlformats.org/officeDocument/2006/relationships/hyperlink" Target="https://www.facebook.com/axe.inter/" TargetMode="External"/><Relationship  Id="rId1666" Type="http://schemas.openxmlformats.org/officeDocument/2006/relationships/hyperlink" Target="http://www.linkedin.com/in/marc-sodic-2874b740" TargetMode="External"/><Relationship  Id="rId1667" Type="http://schemas.openxmlformats.org/officeDocument/2006/relationships/hyperlink" Target="http://bw-idem.fr" TargetMode="External"/><Relationship  Id="rId1668" Type="http://schemas.openxmlformats.org/officeDocument/2006/relationships/hyperlink" Target="http://www.linkedin.com/company/bw-idem" TargetMode="External"/><Relationship  Id="rId1669" Type="http://schemas.openxmlformats.org/officeDocument/2006/relationships/hyperlink" Target="http://www.linkedin.com/in/micka%c3%abl-wozniak-991a24108" TargetMode="External"/><Relationship  Id="rId167" Type="http://schemas.openxmlformats.org/officeDocument/2006/relationships/hyperlink" Target="http://www.linkedin.com/in/anne-sophie-cadre-7abbb3b4" TargetMode="External"/><Relationship  Id="rId1670" Type="http://schemas.openxmlformats.org/officeDocument/2006/relationships/hyperlink" Target="http://insepti.com" TargetMode="External"/><Relationship  Id="rId1671" Type="http://schemas.openxmlformats.org/officeDocument/2006/relationships/hyperlink" Target="http://www.linkedin.com/company/insepti" TargetMode="External"/><Relationship  Id="rId1672" Type="http://schemas.openxmlformats.org/officeDocument/2006/relationships/hyperlink" Target="https://twitter.com/InseptiOfficiel" TargetMode="External"/><Relationship  Id="rId1673" Type="http://schemas.openxmlformats.org/officeDocument/2006/relationships/hyperlink" Target="http://www.linkedin.com/in/mohamedabouri" TargetMode="External"/><Relationship  Id="rId1674" Type="http://schemas.openxmlformats.org/officeDocument/2006/relationships/hyperlink" Target="http://royal-service.fr" TargetMode="External"/><Relationship  Id="rId1675" Type="http://schemas.openxmlformats.org/officeDocument/2006/relationships/hyperlink" Target="http://www.linkedin.com/company/royalservicers" TargetMode="External"/><Relationship  Id="rId1676" Type="http://schemas.openxmlformats.org/officeDocument/2006/relationships/hyperlink" Target="https://www.facebook.com/Royal-Service-104622531852880" TargetMode="External"/><Relationship  Id="rId1677" Type="http://schemas.openxmlformats.org/officeDocument/2006/relationships/hyperlink" Target="http://www.linkedin.com/in/magali-l-her-a5086a47" TargetMode="External"/><Relationship  Id="rId1678" Type="http://schemas.openxmlformats.org/officeDocument/2006/relationships/hyperlink" Target="http://creofrance.fr" TargetMode="External"/><Relationship  Id="rId1679" Type="http://schemas.openxmlformats.org/officeDocument/2006/relationships/hyperlink" Target="http://www.linkedin.com/company/creo-france" TargetMode="External"/><Relationship  Id="rId168" Type="http://schemas.openxmlformats.org/officeDocument/2006/relationships/hyperlink" Target="http://enaxion.fr" TargetMode="External"/><Relationship  Id="rId1680" Type="http://schemas.openxmlformats.org/officeDocument/2006/relationships/hyperlink" Target="http://www.linkedin.com/in/magda-kuziara-3a55973b" TargetMode="External"/><Relationship  Id="rId1681" Type="http://schemas.openxmlformats.org/officeDocument/2006/relationships/hyperlink" Target="http://www.linkedin.com/company/qpq-international" TargetMode="External"/><Relationship  Id="rId1682" Type="http://schemas.openxmlformats.org/officeDocument/2006/relationships/hyperlink" Target="http://www.linkedin.com/in/magnus-magnusson-69b0327" TargetMode="External"/><Relationship  Id="rId1683" Type="http://schemas.openxmlformats.org/officeDocument/2006/relationships/hyperlink" Target="http://guidap.com" TargetMode="External"/><Relationship  Id="rId1684" Type="http://schemas.openxmlformats.org/officeDocument/2006/relationships/hyperlink" Target="http://www.linkedin.com/company/guidap" TargetMode="External"/><Relationship  Id="rId1685" Type="http://schemas.openxmlformats.org/officeDocument/2006/relationships/hyperlink" Target="https://www.facebook.com/guidapfrance" TargetMode="External"/><Relationship  Id="rId1686" Type="http://schemas.openxmlformats.org/officeDocument/2006/relationships/hyperlink" Target="http://www.linkedin.com/in/manu-cousi-75598770" TargetMode="External"/><Relationship  Id="rId1687" Type="http://schemas.openxmlformats.org/officeDocument/2006/relationships/hyperlink" Target="http://tuleap.org" TargetMode="External"/><Relationship  Id="rId1688" Type="http://schemas.openxmlformats.org/officeDocument/2006/relationships/hyperlink" Target="http://www.linkedin.com/company/tuleap" TargetMode="External"/><Relationship  Id="rId1689" Type="http://schemas.openxmlformats.org/officeDocument/2006/relationships/hyperlink" Target="https://twitter.com/TuleapOpenALM" TargetMode="External"/><Relationship  Id="rId169" Type="http://schemas.openxmlformats.org/officeDocument/2006/relationships/hyperlink" Target="http://www.linkedin.com/company/enaxion" TargetMode="External"/><Relationship  Id="rId1690" Type="http://schemas.openxmlformats.org/officeDocument/2006/relationships/hyperlink" Target="http://www.linkedin.com/in/manuel-vacelet-3715806" TargetMode="External"/><Relationship  Id="rId1691" Type="http://schemas.openxmlformats.org/officeDocument/2006/relationships/hyperlink" Target="http://veriqloud.com" TargetMode="External"/><Relationship  Id="rId1692" Type="http://schemas.openxmlformats.org/officeDocument/2006/relationships/hyperlink" Target="http://www.linkedin.com/company/veriqloud" TargetMode="External"/><Relationship  Id="rId1693" Type="http://schemas.openxmlformats.org/officeDocument/2006/relationships/hyperlink" Target="http://www.linkedin.com/in/kapmarc" TargetMode="External"/><Relationship  Id="rId1694" Type="http://schemas.openxmlformats.org/officeDocument/2006/relationships/hyperlink" Target="http://netensia.fr" TargetMode="External"/><Relationship  Id="rId1695" Type="http://schemas.openxmlformats.org/officeDocument/2006/relationships/hyperlink" Target="http://www.linkedin.com/company/netensia" TargetMode="External"/><Relationship  Id="rId1696" Type="http://schemas.openxmlformats.org/officeDocument/2006/relationships/hyperlink" Target="https://twitter.com/netensia" TargetMode="External"/><Relationship  Id="rId1697" Type="http://schemas.openxmlformats.org/officeDocument/2006/relationships/hyperlink" Target="https://www.facebook.com/Netensia" TargetMode="External"/><Relationship  Id="rId1698" Type="http://schemas.openxmlformats.org/officeDocument/2006/relationships/hyperlink" Target="http://www.linkedin.com/in/marc-plunian-bb3a3928" TargetMode="External"/><Relationship  Id="rId1699" Type="http://schemas.openxmlformats.org/officeDocument/2006/relationships/hyperlink" Target="http://extend-bc.com" TargetMode="External"/><Relationship  Id="rId17" Type="http://schemas.openxmlformats.org/officeDocument/2006/relationships/hyperlink" Target="http://www.linkedin.com/company/umann" TargetMode="External"/><Relationship  Id="rId170" Type="http://schemas.openxmlformats.org/officeDocument/2006/relationships/hyperlink" Target="http://www.linkedin.com/in/anne-dranssart-94640a8" TargetMode="External"/><Relationship  Id="rId1700" Type="http://schemas.openxmlformats.org/officeDocument/2006/relationships/hyperlink" Target="http://www.linkedin.com/company/extend-business-consulting" TargetMode="External"/><Relationship  Id="rId1701" Type="http://schemas.openxmlformats.org/officeDocument/2006/relationships/hyperlink" Target="https://www.facebook.com/extendbusinessconsulting/" TargetMode="External"/><Relationship  Id="rId1702" Type="http://schemas.openxmlformats.org/officeDocument/2006/relationships/hyperlink" Target="http://www.linkedin.com/in/marcsoubeyran" TargetMode="External"/><Relationship  Id="rId1703" Type="http://schemas.openxmlformats.org/officeDocument/2006/relationships/hyperlink" Target="http://abil-it.fr" TargetMode="External"/><Relationship  Id="rId1704" Type="http://schemas.openxmlformats.org/officeDocument/2006/relationships/hyperlink" Target="http://www.linkedin.com/company/abil-it" TargetMode="External"/><Relationship  Id="rId1705" Type="http://schemas.openxmlformats.org/officeDocument/2006/relationships/hyperlink" Target="http://www.linkedin.com/in/marctcherdakoff" TargetMode="External"/><Relationship  Id="rId1706" Type="http://schemas.openxmlformats.org/officeDocument/2006/relationships/hyperlink" Target="http://sogilis.com" TargetMode="External"/><Relationship  Id="rId1707" Type="http://schemas.openxmlformats.org/officeDocument/2006/relationships/hyperlink" Target="http://www.linkedin.com/company/sogilis" TargetMode="External"/><Relationship  Id="rId1708" Type="http://schemas.openxmlformats.org/officeDocument/2006/relationships/hyperlink" Target="https://twitter.com/uxshadow" TargetMode="External"/><Relationship  Id="rId1709" Type="http://schemas.openxmlformats.org/officeDocument/2006/relationships/hyperlink" Target="https://facebook.com/pages/Sogilis/166648736770329" TargetMode="External"/><Relationship  Id="rId171" Type="http://schemas.openxmlformats.org/officeDocument/2006/relationships/hyperlink" Target="http://alp-sa.fr" TargetMode="External"/><Relationship  Id="rId1710" Type="http://schemas.openxmlformats.org/officeDocument/2006/relationships/hyperlink" Target="http://www.linkedin.com/in/marc-derbey-baa812" TargetMode="External"/><Relationship  Id="rId1711" Type="http://schemas.openxmlformats.org/officeDocument/2006/relationships/hyperlink" Target="http://gradius-remanufacturing.com" TargetMode="External"/><Relationship  Id="rId1712" Type="http://schemas.openxmlformats.org/officeDocument/2006/relationships/hyperlink" Target="http://www.linkedin.com/company/gradius-remanufacturing" TargetMode="External"/><Relationship  Id="rId1713" Type="http://schemas.openxmlformats.org/officeDocument/2006/relationships/hyperlink" Target="https://www.facebook.com/gradius.remanufacturing/" TargetMode="External"/><Relationship  Id="rId1714" Type="http://schemas.openxmlformats.org/officeDocument/2006/relationships/hyperlink" Target="http://www.linkedin.com/in/mpfanner" TargetMode="External"/><Relationship  Id="rId1715" Type="http://schemas.openxmlformats.org/officeDocument/2006/relationships/hyperlink" Target="http://resocom.com" TargetMode="External"/><Relationship  Id="rId1716" Type="http://schemas.openxmlformats.org/officeDocument/2006/relationships/hyperlink" Target="http://www.linkedin.com/company/resocom" TargetMode="External"/><Relationship  Id="rId1717" Type="http://schemas.openxmlformats.org/officeDocument/2006/relationships/hyperlink" Target="https://www.facebook.com/Resocom75/" TargetMode="External"/><Relationship  Id="rId1718" Type="http://schemas.openxmlformats.org/officeDocument/2006/relationships/hyperlink" Target="http://www.linkedin.com/in/marie-azevedo-23494362" TargetMode="External"/><Relationship  Id="rId1719" Type="http://schemas.openxmlformats.org/officeDocument/2006/relationships/hyperlink" Target="http://makeo.fr" TargetMode="External"/><Relationship  Id="rId172" Type="http://schemas.openxmlformats.org/officeDocument/2006/relationships/hyperlink" Target="http://www.linkedin.com/company/alp-sas" TargetMode="External"/><Relationship  Id="rId1720" Type="http://schemas.openxmlformats.org/officeDocument/2006/relationships/hyperlink" Target="http://www.linkedin.com/company/makeo-agence-web" TargetMode="External"/><Relationship  Id="rId1721" Type="http://schemas.openxmlformats.org/officeDocument/2006/relationships/hyperlink" Target="http://www.linkedin.com/in/marie-jollit" TargetMode="External"/><Relationship  Id="rId1722" Type="http://schemas.openxmlformats.org/officeDocument/2006/relationships/hyperlink" Target="http://apya.fr" TargetMode="External"/><Relationship  Id="rId1723" Type="http://schemas.openxmlformats.org/officeDocument/2006/relationships/hyperlink" Target="http://www.linkedin.com/company/apya-consulting" TargetMode="External"/><Relationship  Id="rId1724" Type="http://schemas.openxmlformats.org/officeDocument/2006/relationships/hyperlink" Target="http://www.linkedin.com/in/marie-kulinski-%f0%9f%8e%af-420372111" TargetMode="External"/><Relationship  Id="rId1725" Type="http://schemas.openxmlformats.org/officeDocument/2006/relationships/hyperlink" Target="http://axess-dvpt.com" TargetMode="External"/><Relationship  Id="rId1726" Type="http://schemas.openxmlformats.org/officeDocument/2006/relationships/hyperlink" Target="http://www.linkedin.com/company/axess-developpement-europe" TargetMode="External"/><Relationship  Id="rId1727" Type="http://schemas.openxmlformats.org/officeDocument/2006/relationships/hyperlink" Target="http://www.linkedin.com/in/marie-rapin-67808a4a" TargetMode="External"/><Relationship  Id="rId1728" Type="http://schemas.openxmlformats.org/officeDocument/2006/relationships/hyperlink" Target="http://ezacae.com" TargetMode="External"/><Relationship  Id="rId1729" Type="http://schemas.openxmlformats.org/officeDocument/2006/relationships/hyperlink" Target="http://www.linkedin.com/company/ezacae" TargetMode="External"/><Relationship  Id="rId173" Type="http://schemas.openxmlformats.org/officeDocument/2006/relationships/hyperlink" Target="http://www.linkedin.com/in/anne-lauvergeon" TargetMode="External"/><Relationship  Id="rId1730" Type="http://schemas.openxmlformats.org/officeDocument/2006/relationships/hyperlink" Target="http://www.linkedin.com/in/marie-lewin-530020138" TargetMode="External"/><Relationship  Id="rId1731" Type="http://schemas.openxmlformats.org/officeDocument/2006/relationships/hyperlink" Target="http://cube.fr" TargetMode="External"/><Relationship  Id="rId1732" Type="http://schemas.openxmlformats.org/officeDocument/2006/relationships/hyperlink" Target="http://www.linkedin.com/company/agence-cube" TargetMode="External"/><Relationship  Id="rId1733" Type="http://schemas.openxmlformats.org/officeDocument/2006/relationships/hyperlink" Target="http://www.linkedin.com/in/marie-ghael-samb" TargetMode="External"/><Relationship  Id="rId1734" Type="http://schemas.openxmlformats.org/officeDocument/2006/relationships/hyperlink" Target="http://francementor.com" TargetMode="External"/><Relationship  Id="rId1735" Type="http://schemas.openxmlformats.org/officeDocument/2006/relationships/hyperlink" Target="http://www.linkedin.com/company/france-mentor---institut-fran%c3%a7ais-du-mentorat" TargetMode="External"/><Relationship  Id="rId1736" Type="http://schemas.openxmlformats.org/officeDocument/2006/relationships/hyperlink" Target="http://www.linkedin.com/in/marie-jos%c3%a8phe-baud-9837225" TargetMode="External"/><Relationship  Id="rId1737" Type="http://schemas.openxmlformats.org/officeDocument/2006/relationships/hyperlink" Target="http://wiregate.io" TargetMode="External"/><Relationship  Id="rId1738" Type="http://schemas.openxmlformats.org/officeDocument/2006/relationships/hyperlink" Target="http://www.linkedin.com/company/wiregate" TargetMode="External"/><Relationship  Id="rId1739" Type="http://schemas.openxmlformats.org/officeDocument/2006/relationships/hyperlink" Target="https://twitter.com/wiregate" TargetMode="External"/><Relationship  Id="rId174" Type="http://schemas.openxmlformats.org/officeDocument/2006/relationships/hyperlink" Target="http://testify.fr" TargetMode="External"/><Relationship  Id="rId1740" Type="http://schemas.openxmlformats.org/officeDocument/2006/relationships/hyperlink" Target="https://www.facebook.com/wiregate" TargetMode="External"/><Relationship  Id="rId1741" Type="http://schemas.openxmlformats.org/officeDocument/2006/relationships/hyperlink" Target="http://www.linkedin.com/in/marina-sokolova-60ab62b9" TargetMode="External"/><Relationship  Id="rId1742" Type="http://schemas.openxmlformats.org/officeDocument/2006/relationships/hyperlink" Target="http://boxnservices.fr" TargetMode="External"/><Relationship  Id="rId1743" Type="http://schemas.openxmlformats.org/officeDocument/2006/relationships/hyperlink" Target="http://www.linkedin.com/company/boxnservices" TargetMode="External"/><Relationship  Id="rId1744" Type="http://schemas.openxmlformats.org/officeDocument/2006/relationships/hyperlink" Target="http://www.linkedin.com/in/mariontesson" TargetMode="External"/><Relationship  Id="rId1745" Type="http://schemas.openxmlformats.org/officeDocument/2006/relationships/hyperlink" Target="http://aumbiosync.com" TargetMode="External"/><Relationship  Id="rId1746" Type="http://schemas.openxmlformats.org/officeDocument/2006/relationships/hyperlink" Target="http://www.linkedin.com/company/aumbiosync" TargetMode="External"/><Relationship  Id="rId1747" Type="http://schemas.openxmlformats.org/officeDocument/2006/relationships/hyperlink" Target="http://www.linkedin.com/in/martialboulesteix" TargetMode="External"/><Relationship  Id="rId1748" Type="http://schemas.openxmlformats.org/officeDocument/2006/relationships/hyperlink" Target="http://ecoinpack.com" TargetMode="External"/><Relationship  Id="rId1749" Type="http://schemas.openxmlformats.org/officeDocument/2006/relationships/hyperlink" Target="http://www.linkedin.com/company/eco-in-pack" TargetMode="External"/><Relationship  Id="rId175" Type="http://schemas.openxmlformats.org/officeDocument/2006/relationships/hyperlink" Target="http://www.linkedin.com/company/testify-lyon" TargetMode="External"/><Relationship  Id="rId1750" Type="http://schemas.openxmlformats.org/officeDocument/2006/relationships/hyperlink" Target="http://www.linkedin.com/in/martin-calmettes-a84438bb" TargetMode="External"/><Relationship  Id="rId1751" Type="http://schemas.openxmlformats.org/officeDocument/2006/relationships/hyperlink" Target="http://citevive.com" TargetMode="External"/><Relationship  Id="rId1752" Type="http://schemas.openxmlformats.org/officeDocument/2006/relationships/hyperlink" Target="http://www.linkedin.com/company/citevive" TargetMode="External"/><Relationship  Id="rId1753" Type="http://schemas.openxmlformats.org/officeDocument/2006/relationships/hyperlink" Target="http://www.linkedin.com/in/martinserralta" TargetMode="External"/><Relationship  Id="rId1754" Type="http://schemas.openxmlformats.org/officeDocument/2006/relationships/hyperlink" Target="http://glanceable.io" TargetMode="External"/><Relationship  Id="rId1755" Type="http://schemas.openxmlformats.org/officeDocument/2006/relationships/hyperlink" Target="http://www.linkedin.com/company/glanceable" TargetMode="External"/><Relationship  Id="rId1756" Type="http://schemas.openxmlformats.org/officeDocument/2006/relationships/hyperlink" Target="http://www.linkedin.com/in/martin-mihelich-3b422486" TargetMode="External"/><Relationship  Id="rId1757" Type="http://schemas.openxmlformats.org/officeDocument/2006/relationships/hyperlink" Target="http://solpedinn.com" TargetMode="External"/><Relationship  Id="rId1758" Type="http://schemas.openxmlformats.org/officeDocument/2006/relationships/hyperlink" Target="http://www.linkedin.com/company/solpedinn" TargetMode="External"/><Relationship  Id="rId1759" Type="http://schemas.openxmlformats.org/officeDocument/2006/relationships/hyperlink" Target="http://www.linkedin.com/in/martin-aubard-43455897" TargetMode="External"/><Relationship  Id="rId176" Type="http://schemas.openxmlformats.org/officeDocument/2006/relationships/hyperlink" Target="http://www.linkedin.com/in/anthony-bourgin-29ab4b122" TargetMode="External"/><Relationship  Id="rId1760" Type="http://schemas.openxmlformats.org/officeDocument/2006/relationships/hyperlink" Target="http://bihannic.fr" TargetMode="External"/><Relationship  Id="rId1761" Type="http://schemas.openxmlformats.org/officeDocument/2006/relationships/hyperlink" Target="http://www.linkedin.com/company/bihannic-sas" TargetMode="External"/><Relationship  Id="rId1762" Type="http://schemas.openxmlformats.org/officeDocument/2006/relationships/hyperlink" Target="http://www.linkedin.com/in/mathieu-bouvier" TargetMode="External"/><Relationship  Id="rId1763" Type="http://schemas.openxmlformats.org/officeDocument/2006/relationships/hyperlink" Target="http://ieva-partners.com" TargetMode="External"/><Relationship  Id="rId1764" Type="http://schemas.openxmlformats.org/officeDocument/2006/relationships/hyperlink" Target="http://www.linkedin.com/company/ieva-partners" TargetMode="External"/><Relationship  Id="rId1765" Type="http://schemas.openxmlformats.org/officeDocument/2006/relationships/hyperlink" Target="http://www.linkedin.com/in/mathieu-freville-407699" TargetMode="External"/><Relationship  Id="rId1766" Type="http://schemas.openxmlformats.org/officeDocument/2006/relationships/hyperlink" Target="http://lm2-group.com" TargetMode="External"/><Relationship  Id="rId1767" Type="http://schemas.openxmlformats.org/officeDocument/2006/relationships/hyperlink" Target="http://www.linkedin.com/company/lm2-group" TargetMode="External"/><Relationship  Id="rId1768" Type="http://schemas.openxmlformats.org/officeDocument/2006/relationships/hyperlink" Target="https://twitter.com/LM2_Group" TargetMode="External"/><Relationship  Id="rId1769" Type="http://schemas.openxmlformats.org/officeDocument/2006/relationships/hyperlink" Target="https://www.facebook.com/pages/LM2-Group/654881457887439" TargetMode="External"/><Relationship  Id="rId177" Type="http://schemas.openxmlformats.org/officeDocument/2006/relationships/hyperlink" Target="http://x-gil.fr" TargetMode="External"/><Relationship  Id="rId1770" Type="http://schemas.openxmlformats.org/officeDocument/2006/relationships/hyperlink" Target="http://www.linkedin.com/in/mathieu-lesme-b11b9727" TargetMode="External"/><Relationship  Id="rId1771" Type="http://schemas.openxmlformats.org/officeDocument/2006/relationships/hyperlink" Target="http://homeys.fr" TargetMode="External"/><Relationship  Id="rId1772" Type="http://schemas.openxmlformats.org/officeDocument/2006/relationships/hyperlink" Target="http://www.linkedin.com/company/homeys" TargetMode="External"/><Relationship  Id="rId1773" Type="http://schemas.openxmlformats.org/officeDocument/2006/relationships/hyperlink" Target="https://twitter.com/homeysio" TargetMode="External"/><Relationship  Id="rId1774" Type="http://schemas.openxmlformats.org/officeDocument/2006/relationships/hyperlink" Target="http://www.linkedin.com/in/mathieu-anderhalt-96728796" TargetMode="External"/><Relationship  Id="rId1775" Type="http://schemas.openxmlformats.org/officeDocument/2006/relationships/hyperlink" Target="http://logicieldrsante.com" TargetMode="External"/><Relationship  Id="rId1776" Type="http://schemas.openxmlformats.org/officeDocument/2006/relationships/hyperlink" Target="http://www.linkedin.com/company/dr-sant%c3%a9" TargetMode="External"/><Relationship  Id="rId1777" Type="http://schemas.openxmlformats.org/officeDocument/2006/relationships/hyperlink" Target="https://www.facebook.com/Calimaps/" TargetMode="External"/><Relationship  Id="rId1778" Type="http://schemas.openxmlformats.org/officeDocument/2006/relationships/hyperlink" Target="http://www.linkedin.com/in/matthieu-scotti" TargetMode="External"/><Relationship  Id="rId1779" Type="http://schemas.openxmlformats.org/officeDocument/2006/relationships/hyperlink" Target="http://mello-matelas.fr" TargetMode="External"/><Relationship  Id="rId178" Type="http://schemas.openxmlformats.org/officeDocument/2006/relationships/hyperlink" Target="http://www.linkedin.com/company/xgil" TargetMode="External"/><Relationship  Id="rId1780" Type="http://schemas.openxmlformats.org/officeDocument/2006/relationships/hyperlink" Target="http://www.linkedin.com/company/mello-matelas" TargetMode="External"/><Relationship  Id="rId1781" Type="http://schemas.openxmlformats.org/officeDocument/2006/relationships/hyperlink" Target="http://www.linkedin.com/in/matthieu-witkowski-5062625" TargetMode="External"/><Relationship  Id="rId1782" Type="http://schemas.openxmlformats.org/officeDocument/2006/relationships/hyperlink" Target="http://placeshaker.fr" TargetMode="External"/><Relationship  Id="rId1783" Type="http://schemas.openxmlformats.org/officeDocument/2006/relationships/hyperlink" Target="http://www.linkedin.com/company/placeshaker" TargetMode="External"/><Relationship  Id="rId1784" Type="http://schemas.openxmlformats.org/officeDocument/2006/relationships/hyperlink" Target="http://www.linkedin.com/in/matthieustefani" TargetMode="External"/><Relationship  Id="rId1785" Type="http://schemas.openxmlformats.org/officeDocument/2006/relationships/hyperlink" Target="http://e-novacorp.com" TargetMode="External"/><Relationship  Id="rId1786" Type="http://schemas.openxmlformats.org/officeDocument/2006/relationships/hyperlink" Target="http://www.linkedin.com/company/e-novacorp" TargetMode="External"/><Relationship  Id="rId1787" Type="http://schemas.openxmlformats.org/officeDocument/2006/relationships/hyperlink" Target="http://www.linkedin.com/in/maxence-debuire-3443982b9" TargetMode="External"/><Relationship  Id="rId1788" Type="http://schemas.openxmlformats.org/officeDocument/2006/relationships/hyperlink" Target="http://atm-consulting.fr" TargetMode="External"/><Relationship  Id="rId1789" Type="http://schemas.openxmlformats.org/officeDocument/2006/relationships/hyperlink" Target="http://www.linkedin.com/company/atm-consulting-valence" TargetMode="External"/><Relationship  Id="rId179" Type="http://schemas.openxmlformats.org/officeDocument/2006/relationships/hyperlink" Target="http://www.linkedin.com/in/anthony-dall-agnola" TargetMode="External"/><Relationship  Id="rId1790" Type="http://schemas.openxmlformats.org/officeDocument/2006/relationships/hyperlink" Target="http://www.linkedin.com/in/maximekohlhaas" TargetMode="External"/><Relationship  Id="rId1791" Type="http://schemas.openxmlformats.org/officeDocument/2006/relationships/hyperlink" Target="http://ibc-dialog.fr" TargetMode="External"/><Relationship  Id="rId1792" Type="http://schemas.openxmlformats.org/officeDocument/2006/relationships/hyperlink" Target="http://www.linkedin.com/company/ibc-dialog" TargetMode="External"/><Relationship  Id="rId1793" Type="http://schemas.openxmlformats.org/officeDocument/2006/relationships/hyperlink" Target="http://www.linkedin.com/in/maxime-lienart-a2165830" TargetMode="External"/><Relationship  Id="rId1794" Type="http://schemas.openxmlformats.org/officeDocument/2006/relationships/hyperlink" Target="http://forlabs.fr" TargetMode="External"/><Relationship  Id="rId1795" Type="http://schemas.openxmlformats.org/officeDocument/2006/relationships/hyperlink" Target="http://www.linkedin.com/company/forlabs" TargetMode="External"/><Relationship  Id="rId1796" Type="http://schemas.openxmlformats.org/officeDocument/2006/relationships/hyperlink" Target="http://www.linkedin.com/in/maxime-meyer-99088664" TargetMode="External"/><Relationship  Id="rId1797" Type="http://schemas.openxmlformats.org/officeDocument/2006/relationships/hyperlink" Target="http://petitscommerces.fr" TargetMode="External"/><Relationship  Id="rId1798" Type="http://schemas.openxmlformats.org/officeDocument/2006/relationships/hyperlink" Target="http://www.linkedin.com/company/petitscommerces" TargetMode="External"/><Relationship  Id="rId1799" Type="http://schemas.openxmlformats.org/officeDocument/2006/relationships/hyperlink" Target="http://twitter.com/PetitsComs" TargetMode="External"/><Relationship  Id="rId18" Type="http://schemas.openxmlformats.org/officeDocument/2006/relationships/hyperlink" Target="http://www.linkedin.com/in/annickhercend" TargetMode="External"/><Relationship  Id="rId180" Type="http://schemas.openxmlformats.org/officeDocument/2006/relationships/hyperlink" Target="http://ibea.fr" TargetMode="External"/><Relationship  Id="rId1800" Type="http://schemas.openxmlformats.org/officeDocument/2006/relationships/hyperlink" Target="http://facebook.com/petitscommerces.fr/" TargetMode="External"/><Relationship  Id="rId1801" Type="http://schemas.openxmlformats.org/officeDocument/2006/relationships/hyperlink" Target="http://www.linkedin.com/in/maxime-bedon-6a7634153" TargetMode="External"/><Relationship  Id="rId1802" Type="http://schemas.openxmlformats.org/officeDocument/2006/relationships/hyperlink" Target="http://protextyl.com" TargetMode="External"/><Relationship  Id="rId1803" Type="http://schemas.openxmlformats.org/officeDocument/2006/relationships/hyperlink" Target="http://www.linkedin.com/company/meydes-protextyl" TargetMode="External"/><Relationship  Id="rId1804" Type="http://schemas.openxmlformats.org/officeDocument/2006/relationships/hyperlink" Target="https://www.facebook.com/Protextyl" TargetMode="External"/><Relationship  Id="rId1805" Type="http://schemas.openxmlformats.org/officeDocument/2006/relationships/hyperlink" Target="http://www.linkedin.com/in/maxime-deslandes-6b9167138" TargetMode="External"/><Relationship  Id="rId1806" Type="http://schemas.openxmlformats.org/officeDocument/2006/relationships/hyperlink" Target="http://mbpromotion.com" TargetMode="External"/><Relationship  Id="rId1807" Type="http://schemas.openxmlformats.org/officeDocument/2006/relationships/hyperlink" Target="http://www.linkedin.com/company/mb-promotion" TargetMode="External"/><Relationship  Id="rId1808" Type="http://schemas.openxmlformats.org/officeDocument/2006/relationships/hyperlink" Target="https://www.facebook.com/mbpromotionnl" TargetMode="External"/><Relationship  Id="rId1809" Type="http://schemas.openxmlformats.org/officeDocument/2006/relationships/hyperlink" Target="http://www.linkedin.com/in/marc-bernadi-%f0%9f%8e%97%f0%9f%87%ba%f0%9f%87%a6-44873164" TargetMode="External"/><Relationship  Id="rId181" Type="http://schemas.openxmlformats.org/officeDocument/2006/relationships/hyperlink" Target="http://www.linkedin.com/company/ibea-france-panneaux-sandwich-isolation-thermique-et-accessoires" TargetMode="External"/><Relationship  Id="rId1810" Type="http://schemas.openxmlformats.org/officeDocument/2006/relationships/hyperlink" Target="http://mnagroupe.com" TargetMode="External"/><Relationship  Id="rId1811" Type="http://schemas.openxmlformats.org/officeDocument/2006/relationships/hyperlink" Target="http://www.linkedin.com/company/mare-nostrum-advising-groupe" TargetMode="External"/><Relationship  Id="rId1812" Type="http://schemas.openxmlformats.org/officeDocument/2006/relationships/hyperlink" Target="http://www.linkedin.com/in/mathieu-beaucourt-96502021" TargetMode="External"/><Relationship  Id="rId1813" Type="http://schemas.openxmlformats.org/officeDocument/2006/relationships/hyperlink" Target="http://www.linkedin.com/company/diginove-sas" TargetMode="External"/><Relationship  Id="rId1814" Type="http://schemas.openxmlformats.org/officeDocument/2006/relationships/hyperlink" Target="http://www.linkedin.com/in/michel-b%c3%a9net-%f0%9f%8c%8d%f0%9f%9b%b0%ef%b8%8f-b58a1995" TargetMode="External"/><Relationship  Id="rId1815" Type="http://schemas.openxmlformats.org/officeDocument/2006/relationships/hyperlink" Target="http://beemotechnologie.com" TargetMode="External"/><Relationship  Id="rId1816" Type="http://schemas.openxmlformats.org/officeDocument/2006/relationships/hyperlink" Target="http://www.linkedin.com/company/beemo-technologie" TargetMode="External"/><Relationship  Id="rId1817" Type="http://schemas.openxmlformats.org/officeDocument/2006/relationships/hyperlink" Target="https://twitter.com/BeemoTech" TargetMode="External"/><Relationship  Id="rId1818" Type="http://schemas.openxmlformats.org/officeDocument/2006/relationships/hyperlink" Target="https://www.facebook.com/BeemoTechno" TargetMode="External"/><Relationship  Id="rId1819" Type="http://schemas.openxmlformats.org/officeDocument/2006/relationships/hyperlink" Target="http://www.linkedin.com/in/melaniebiberianbeemo" TargetMode="External"/><Relationship  Id="rId182" Type="http://schemas.openxmlformats.org/officeDocument/2006/relationships/hyperlink" Target="http://www.linkedin.com/in/anthony-seaumaire-528659aa" TargetMode="External"/><Relationship  Id="rId1820" Type="http://schemas.openxmlformats.org/officeDocument/2006/relationships/hyperlink" Target="http://docks-du-bureau.fr" TargetMode="External"/><Relationship  Id="rId1821" Type="http://schemas.openxmlformats.org/officeDocument/2006/relationships/hyperlink" Target="http://www.linkedin.com/company/groupe-aux-docks-du-bureau-buro-espace" TargetMode="External"/><Relationship  Id="rId1822" Type="http://schemas.openxmlformats.org/officeDocument/2006/relationships/hyperlink" Target="https://www.facebook.com/addb.bea/" TargetMode="External"/><Relationship  Id="rId1823" Type="http://schemas.openxmlformats.org/officeDocument/2006/relationships/hyperlink" Target="http://www.linkedin.com/in/michel-bousquet-151553177" TargetMode="External"/><Relationship  Id="rId1824" Type="http://schemas.openxmlformats.org/officeDocument/2006/relationships/hyperlink" Target="http://finopsys.fr" TargetMode="External"/><Relationship  Id="rId1825" Type="http://schemas.openxmlformats.org/officeDocument/2006/relationships/hyperlink" Target="http://www.linkedin.com/company/finopsys-solutions-gestion" TargetMode="External"/><Relationship  Id="rId1826" Type="http://schemas.openxmlformats.org/officeDocument/2006/relationships/hyperlink" Target="https://twitter.com/finopsysfrance" TargetMode="External"/><Relationship  Id="rId1827" Type="http://schemas.openxmlformats.org/officeDocument/2006/relationships/hyperlink" Target="https://facebook.com/finopsys.rh" TargetMode="External"/><Relationship  Id="rId1828" Type="http://schemas.openxmlformats.org/officeDocument/2006/relationships/hyperlink" Target="http://www.linkedin.com/in/manuelcambra" TargetMode="External"/><Relationship  Id="rId1829" Type="http://schemas.openxmlformats.org/officeDocument/2006/relationships/hyperlink" Target="http://data-links.fr" TargetMode="External"/><Relationship  Id="rId183" Type="http://schemas.openxmlformats.org/officeDocument/2006/relationships/hyperlink" Target="http://abexperience.fr" TargetMode="External"/><Relationship  Id="rId1830" Type="http://schemas.openxmlformats.org/officeDocument/2006/relationships/hyperlink" Target="http://www.linkedin.com/company/groupe-data-links" TargetMode="External"/><Relationship  Id="rId1831" Type="http://schemas.openxmlformats.org/officeDocument/2006/relationships/hyperlink" Target="https://www.facebook.com/Data-Links-290218068576897/" TargetMode="External"/><Relationship  Id="rId1832" Type="http://schemas.openxmlformats.org/officeDocument/2006/relationships/hyperlink" Target="http://www.linkedin.com/in/micha%c3%abl-choukroun-8107b79a" TargetMode="External"/><Relationship  Id="rId1833" Type="http://schemas.openxmlformats.org/officeDocument/2006/relationships/hyperlink" Target="http://aufiges.fr" TargetMode="External"/><Relationship  Id="rId1834" Type="http://schemas.openxmlformats.org/officeDocument/2006/relationships/hyperlink" Target="http://www.linkedin.com/company/aufiges" TargetMode="External"/><Relationship  Id="rId1835" Type="http://schemas.openxmlformats.org/officeDocument/2006/relationships/hyperlink" Target="http://www.linkedin.com/in/marc-daveau-91846331" TargetMode="External"/><Relationship  Id="rId1836" Type="http://schemas.openxmlformats.org/officeDocument/2006/relationships/hyperlink" Target="http://groupearj.fr" TargetMode="External"/><Relationship  Id="rId1837" Type="http://schemas.openxmlformats.org/officeDocument/2006/relationships/hyperlink" Target="http://www.linkedin.com/company/groupearj" TargetMode="External"/><Relationship  Id="rId1838" Type="http://schemas.openxmlformats.org/officeDocument/2006/relationships/hyperlink" Target="https://www.facebook.com/groupearj/" TargetMode="External"/><Relationship  Id="rId1839" Type="http://schemas.openxmlformats.org/officeDocument/2006/relationships/hyperlink" Target="http://www.linkedin.com/in/morgan-djorno-52936010a" TargetMode="External"/><Relationship  Id="rId184" Type="http://schemas.openxmlformats.org/officeDocument/2006/relationships/hyperlink" Target="http://www.linkedin.com/company/ab-experience" TargetMode="External"/><Relationship  Id="rId1840" Type="http://schemas.openxmlformats.org/officeDocument/2006/relationships/hyperlink" Target="http://andex.fr" TargetMode="External"/><Relationship  Id="rId1841" Type="http://schemas.openxmlformats.org/officeDocument/2006/relationships/hyperlink" Target="http://www.linkedin.com/company/andex-international" TargetMode="External"/><Relationship  Id="rId1842" Type="http://schemas.openxmlformats.org/officeDocument/2006/relationships/hyperlink" Target="http://www.linkedin.com/in/mehdi-bahri-25558aaa" TargetMode="External"/><Relationship  Id="rId1843" Type="http://schemas.openxmlformats.org/officeDocument/2006/relationships/hyperlink" Target="http://www.linkedin.com/in/meyer-goldenstein" TargetMode="External"/><Relationship  Id="rId1844" Type="http://schemas.openxmlformats.org/officeDocument/2006/relationships/hyperlink" Target="http://tryba-energy.com" TargetMode="External"/><Relationship  Id="rId1845" Type="http://schemas.openxmlformats.org/officeDocument/2006/relationships/hyperlink" Target="http://www.linkedin.com/company/tryba-energy" TargetMode="External"/><Relationship  Id="rId1846" Type="http://schemas.openxmlformats.org/officeDocument/2006/relationships/hyperlink" Target="http://www.linkedin.com/in/mathieu-foerderer-98b367119" TargetMode="External"/><Relationship  Id="rId1847" Type="http://schemas.openxmlformats.org/officeDocument/2006/relationships/hyperlink" Target="http://www.linkedin.com/in/maud-gubler-98710a60" TargetMode="External"/><Relationship  Id="rId1848" Type="http://schemas.openxmlformats.org/officeDocument/2006/relationships/hyperlink" Target="http://quick-off.com" TargetMode="External"/><Relationship  Id="rId1849" Type="http://schemas.openxmlformats.org/officeDocument/2006/relationships/hyperlink" Target="http://www.linkedin.com/company/quickoff" TargetMode="External"/><Relationship  Id="rId185" Type="http://schemas.openxmlformats.org/officeDocument/2006/relationships/hyperlink" Target="https://twitter.com/abxpofficiel" TargetMode="External"/><Relationship  Id="rId1850" Type="http://schemas.openxmlformats.org/officeDocument/2006/relationships/hyperlink" Target="https://www.facebook.com/quick.offf" TargetMode="External"/><Relationship  Id="rId1851" Type="http://schemas.openxmlformats.org/officeDocument/2006/relationships/hyperlink" Target="http://www.linkedin.com/in/mberthoix" TargetMode="External"/><Relationship  Id="rId1852" Type="http://schemas.openxmlformats.org/officeDocument/2006/relationships/hyperlink" Target="http://wikane.com" TargetMode="External"/><Relationship  Id="rId1853" Type="http://schemas.openxmlformats.org/officeDocument/2006/relationships/hyperlink" Target="http://www.linkedin.com/company/wikane" TargetMode="External"/><Relationship  Id="rId1854" Type="http://schemas.openxmlformats.org/officeDocument/2006/relationships/hyperlink" Target="http://www.linkedin.com/in/michelpradille" TargetMode="External"/><Relationship  Id="rId1855" Type="http://schemas.openxmlformats.org/officeDocument/2006/relationships/hyperlink" Target="http://ose-engineering.fr" TargetMode="External"/><Relationship  Id="rId1856" Type="http://schemas.openxmlformats.org/officeDocument/2006/relationships/hyperlink" Target="http://www.linkedin.com/company/ose-engineering" TargetMode="External"/><Relationship  Id="rId1857" Type="http://schemas.openxmlformats.org/officeDocument/2006/relationships/hyperlink" Target="http://www.linkedin.com/in/mikael-volut-b205a091" TargetMode="External"/><Relationship  Id="rId1858" Type="http://schemas.openxmlformats.org/officeDocument/2006/relationships/hyperlink" Target="http://mericsas.fr" TargetMode="External"/><Relationship  Id="rId1859" Type="http://schemas.openxmlformats.org/officeDocument/2006/relationships/hyperlink" Target="http://www.linkedin.com/company/mericsas" TargetMode="External"/><Relationship  Id="rId186" Type="http://schemas.openxmlformats.org/officeDocument/2006/relationships/hyperlink" Target="https://www.facebook.com/abexperience/" TargetMode="External"/><Relationship  Id="rId1860" Type="http://schemas.openxmlformats.org/officeDocument/2006/relationships/hyperlink" Target="http://www.linkedin.com/in/mikayil-meric-6698a958" TargetMode="External"/><Relationship  Id="rId1861" Type="http://schemas.openxmlformats.org/officeDocument/2006/relationships/hyperlink" Target="http://tech-innove.com" TargetMode="External"/><Relationship  Id="rId1862" Type="http://schemas.openxmlformats.org/officeDocument/2006/relationships/hyperlink" Target="http://www.linkedin.com/company/tech-innove" TargetMode="External"/><Relationship  Id="rId1863" Type="http://schemas.openxmlformats.org/officeDocument/2006/relationships/hyperlink" Target="https://twitter.com/Tech_Innove" TargetMode="External"/><Relationship  Id="rId1864" Type="http://schemas.openxmlformats.org/officeDocument/2006/relationships/hyperlink" Target="https://www.facebook.com/techinnove/" TargetMode="External"/><Relationship  Id="rId1865" Type="http://schemas.openxmlformats.org/officeDocument/2006/relationships/hyperlink" Target="http://www.linkedin.com/in/marc-jeune" TargetMode="External"/><Relationship  Id="rId1866" Type="http://schemas.openxmlformats.org/officeDocument/2006/relationships/hyperlink" Target="http://antana.fr" TargetMode="External"/><Relationship  Id="rId1867" Type="http://schemas.openxmlformats.org/officeDocument/2006/relationships/hyperlink" Target="http://www.linkedin.com/company/antana-france" TargetMode="External"/><Relationship  Id="rId1868" Type="http://schemas.openxmlformats.org/officeDocument/2006/relationships/hyperlink" Target="https://twitter.com/ANTANA_France" TargetMode="External"/><Relationship  Id="rId1869" Type="http://schemas.openxmlformats.org/officeDocument/2006/relationships/hyperlink" Target="https://www.facebook.com/ste.antana" TargetMode="External"/><Relationship  Id="rId187" Type="http://schemas.openxmlformats.org/officeDocument/2006/relationships/hyperlink" Target="http://www.linkedin.com/in/antoine-beaufort-6904b82" TargetMode="External"/><Relationship  Id="rId1870" Type="http://schemas.openxmlformats.org/officeDocument/2006/relationships/hyperlink" Target="http://www.linkedin.com/in/marion-laget-a5519626" TargetMode="External"/><Relationship  Id="rId1871" Type="http://schemas.openxmlformats.org/officeDocument/2006/relationships/hyperlink" Target="http://fastor.com" TargetMode="External"/><Relationship  Id="rId1872" Type="http://schemas.openxmlformats.org/officeDocument/2006/relationships/hyperlink" Target="http://www.linkedin.com/company/fastor-gie" TargetMode="External"/><Relationship  Id="rId1873" Type="http://schemas.openxmlformats.org/officeDocument/2006/relationships/hyperlink" Target="http://www.linkedin.com/in/%f0%9f%8f%9dmichel-lory-a6720054" TargetMode="External"/><Relationship  Id="rId1874" Type="http://schemas.openxmlformats.org/officeDocument/2006/relationships/hyperlink" Target="http://tds-technologies.net" TargetMode="External"/><Relationship  Id="rId1875" Type="http://schemas.openxmlformats.org/officeDocument/2006/relationships/hyperlink" Target="http://www.linkedin.com/company/tds-gtech" TargetMode="External"/><Relationship  Id="rId1876" Type="http://schemas.openxmlformats.org/officeDocument/2006/relationships/hyperlink" Target="http://www.linkedin.com/in/mohamed-tliba-5658364" TargetMode="External"/><Relationship  Id="rId1877" Type="http://schemas.openxmlformats.org/officeDocument/2006/relationships/hyperlink" Target="http://vialcom.fr" TargetMode="External"/><Relationship  Id="rId1878" Type="http://schemas.openxmlformats.org/officeDocument/2006/relationships/hyperlink" Target="http://www.linkedin.com/company/vialcom" TargetMode="External"/><Relationship  Id="rId1879" Type="http://schemas.openxmlformats.org/officeDocument/2006/relationships/hyperlink" Target="http://www.linkedin.com/in/mohamed-ben-abdallah-4280b2116" TargetMode="External"/><Relationship  Id="rId188" Type="http://schemas.openxmlformats.org/officeDocument/2006/relationships/hyperlink" Target="http://ponant-technologies.com" TargetMode="External"/><Relationship  Id="rId1880" Type="http://schemas.openxmlformats.org/officeDocument/2006/relationships/hyperlink" Target="http://maisonsmag.fr" TargetMode="External"/><Relationship  Id="rId1881" Type="http://schemas.openxmlformats.org/officeDocument/2006/relationships/hyperlink" Target="http://www.linkedin.com/company/maisons-mag" TargetMode="External"/><Relationship  Id="rId1882" Type="http://schemas.openxmlformats.org/officeDocument/2006/relationships/hyperlink" Target="https://www.facebook.com/Maisonsmag/" TargetMode="External"/><Relationship  Id="rId1883" Type="http://schemas.openxmlformats.org/officeDocument/2006/relationships/hyperlink" Target="http://www.linkedin.com/in/morgan-roux-524565117" TargetMode="External"/><Relationship  Id="rId1884" Type="http://schemas.openxmlformats.org/officeDocument/2006/relationships/hyperlink" Target="http://groupe-ig.com" TargetMode="External"/><Relationship  Id="rId1885" Type="http://schemas.openxmlformats.org/officeDocument/2006/relationships/hyperlink" Target="http://www.linkedin.com/company/groupe-d-ing%c3%a9nierie" TargetMode="External"/><Relationship  Id="rId1886" Type="http://schemas.openxmlformats.org/officeDocument/2006/relationships/hyperlink" Target="http://www.linkedin.com/in/morik%c3%a9-sow-17344969" TargetMode="External"/><Relationship  Id="rId1887" Type="http://schemas.openxmlformats.org/officeDocument/2006/relationships/hyperlink" Target="http://widip.fr" TargetMode="External"/><Relationship  Id="rId1888" Type="http://schemas.openxmlformats.org/officeDocument/2006/relationships/hyperlink" Target="http://www.linkedin.com/company/widip-sas" TargetMode="External"/><Relationship  Id="rId1889" Type="http://schemas.openxmlformats.org/officeDocument/2006/relationships/hyperlink" Target="https://www.facebook.com/widipcloud/" TargetMode="External"/><Relationship  Id="rId189" Type="http://schemas.openxmlformats.org/officeDocument/2006/relationships/hyperlink" Target="http://www.linkedin.com/company/ponant-technologies" TargetMode="External"/><Relationship  Id="rId1890" Type="http://schemas.openxmlformats.org/officeDocument/2006/relationships/hyperlink" Target="http://www.linkedin.com/in/marc-perotto-621b8a277" TargetMode="External"/><Relationship  Id="rId1891" Type="http://schemas.openxmlformats.org/officeDocument/2006/relationships/hyperlink" Target="http://cqs-experts.fr" TargetMode="External"/><Relationship  Id="rId1892" Type="http://schemas.openxmlformats.org/officeDocument/2006/relationships/hyperlink" Target="http://www.linkedin.com/company/cqs-experts" TargetMode="External"/><Relationship  Id="rId1893" Type="http://schemas.openxmlformats.org/officeDocument/2006/relationships/hyperlink" Target="http://www.linkedin.com/in/marl%c3%a8ne-renaud-95689657" TargetMode="External"/><Relationship  Id="rId1894" Type="http://schemas.openxmlformats.org/officeDocument/2006/relationships/hyperlink" Target="http://novances-it.com" TargetMode="External"/><Relationship  Id="rId1895" Type="http://schemas.openxmlformats.org/officeDocument/2006/relationships/hyperlink" Target="http://www.linkedin.com/company/novances-it" TargetMode="External"/><Relationship  Id="rId1896" Type="http://schemas.openxmlformats.org/officeDocument/2006/relationships/hyperlink" Target="https://twitter.com/QodeInteractive" TargetMode="External"/><Relationship  Id="rId1897" Type="http://schemas.openxmlformats.org/officeDocument/2006/relationships/hyperlink" Target="http://www.linkedin.com/in/michael-royer-44430378" TargetMode="External"/><Relationship  Id="rId1898" Type="http://schemas.openxmlformats.org/officeDocument/2006/relationships/hyperlink" Target="http://mslevage.com" TargetMode="External"/><Relationship  Id="rId1899" Type="http://schemas.openxmlformats.org/officeDocument/2006/relationships/hyperlink" Target="http://www.linkedin.com/company/groupe-schubel" TargetMode="External"/><Relationship  Id="rId19" Type="http://schemas.openxmlformats.org/officeDocument/2006/relationships/hyperlink" Target="http://placetob.fr" TargetMode="External"/><Relationship  Id="rId190" Type="http://schemas.openxmlformats.org/officeDocument/2006/relationships/hyperlink" Target="http://www.linkedin.com/in/antoinedessales" TargetMode="External"/><Relationship  Id="rId1900" Type="http://schemas.openxmlformats.org/officeDocument/2006/relationships/hyperlink" Target="http://www.linkedin.com/in/marc-schubel-01b8b817a" TargetMode="External"/><Relationship  Id="rId1901" Type="http://schemas.openxmlformats.org/officeDocument/2006/relationships/hyperlink" Target="http://tnt-telecom.com" TargetMode="External"/><Relationship  Id="rId1902" Type="http://schemas.openxmlformats.org/officeDocument/2006/relationships/hyperlink" Target="http://www.linkedin.com/company/telephonie-nouvelle-et-terminaux" TargetMode="External"/><Relationship  Id="rId1903" Type="http://schemas.openxmlformats.org/officeDocument/2006/relationships/hyperlink" Target="https://www.facebook.com/swattelecom/" TargetMode="External"/><Relationship  Id="rId1904" Type="http://schemas.openxmlformats.org/officeDocument/2006/relationships/hyperlink" Target="http://www.linkedin.com/in/christian-munini-9a05928b" TargetMode="External"/><Relationship  Id="rId1905" Type="http://schemas.openxmlformats.org/officeDocument/2006/relationships/hyperlink" Target="http://ocamlpro.com" TargetMode="External"/><Relationship  Id="rId1906" Type="http://schemas.openxmlformats.org/officeDocument/2006/relationships/hyperlink" Target="http://www.linkedin.com/company/ocamlpro" TargetMode="External"/><Relationship  Id="rId1907" Type="http://schemas.openxmlformats.org/officeDocument/2006/relationships/hyperlink" Target="https://twitter.com/ocamlpro" TargetMode="External"/><Relationship  Id="rId1908" Type="http://schemas.openxmlformats.org/officeDocument/2006/relationships/hyperlink" Target="https://facebook.com/ocamlpro" TargetMode="External"/><Relationship  Id="rId1909" Type="http://schemas.openxmlformats.org/officeDocument/2006/relationships/hyperlink" Target="http://www.linkedin.com/in/mshanseifan" TargetMode="External"/><Relationship  Id="rId191" Type="http://schemas.openxmlformats.org/officeDocument/2006/relationships/hyperlink" Target="http://quintetconseil.fr" TargetMode="External"/><Relationship  Id="rId1910" Type="http://schemas.openxmlformats.org/officeDocument/2006/relationships/hyperlink" Target="http://comindesk.fr" TargetMode="External"/><Relationship  Id="rId1911" Type="http://schemas.openxmlformats.org/officeDocument/2006/relationships/hyperlink" Target="http://www.linkedin.com/company/comin-desk" TargetMode="External"/><Relationship  Id="rId1912" Type="http://schemas.openxmlformats.org/officeDocument/2006/relationships/hyperlink" Target="http://www.linkedin.com/in/marc-vidal-comin-desk" TargetMode="External"/><Relationship  Id="rId1913" Type="http://schemas.openxmlformats.org/officeDocument/2006/relationships/hyperlink" Target="http://georgeault.fr" TargetMode="External"/><Relationship  Id="rId1914" Type="http://schemas.openxmlformats.org/officeDocument/2006/relationships/hyperlink" Target="http://www.linkedin.com/company/georgeault-constructions-industrielles" TargetMode="External"/><Relationship  Id="rId1915" Type="http://schemas.openxmlformats.org/officeDocument/2006/relationships/hyperlink" Target="http://www.linkedin.com/in/nicolas-binois-75281628" TargetMode="External"/><Relationship  Id="rId1916" Type="http://schemas.openxmlformats.org/officeDocument/2006/relationships/hyperlink" Target="http://trust-id.fr" TargetMode="External"/><Relationship  Id="rId1917" Type="http://schemas.openxmlformats.org/officeDocument/2006/relationships/hyperlink" Target="http://www.linkedin.com/company/trust-id" TargetMode="External"/><Relationship  Id="rId1918" Type="http://schemas.openxmlformats.org/officeDocument/2006/relationships/hyperlink" Target="https://twitter.com/Trust__ID" TargetMode="External"/><Relationship  Id="rId1919" Type="http://schemas.openxmlformats.org/officeDocument/2006/relationships/hyperlink" Target="http://www.linkedin.com/in/nadege-bourgault-71b562184" TargetMode="External"/><Relationship  Id="rId192" Type="http://schemas.openxmlformats.org/officeDocument/2006/relationships/hyperlink" Target="http://www.linkedin.com/company/quintet-conseil" TargetMode="External"/><Relationship  Id="rId1920" Type="http://schemas.openxmlformats.org/officeDocument/2006/relationships/hyperlink" Target="http://panicentre.com" TargetMode="External"/><Relationship  Id="rId1921" Type="http://schemas.openxmlformats.org/officeDocument/2006/relationships/hyperlink" Target="http://www.linkedin.com/company/panicentre" TargetMode="External"/><Relationship  Id="rId1922" Type="http://schemas.openxmlformats.org/officeDocument/2006/relationships/hyperlink" Target="https://www.facebook.com/panicentre/" TargetMode="External"/><Relationship  Id="rId1923" Type="http://schemas.openxmlformats.org/officeDocument/2006/relationships/hyperlink" Target="http://www.linkedin.com/in/nicolas-garcia-9532a7b1" TargetMode="External"/><Relationship  Id="rId1924" Type="http://schemas.openxmlformats.org/officeDocument/2006/relationships/hyperlink" Target="http://izaktech.com" TargetMode="External"/><Relationship  Id="rId1925" Type="http://schemas.openxmlformats.org/officeDocument/2006/relationships/hyperlink" Target="http://www.linkedin.com/company/izaktech" TargetMode="External"/><Relationship  Id="rId1926" Type="http://schemas.openxmlformats.org/officeDocument/2006/relationships/hyperlink" Target="http://www.linkedin.com/in/nabil-toumi-637a8665" TargetMode="External"/><Relationship  Id="rId1927" Type="http://schemas.openxmlformats.org/officeDocument/2006/relationships/hyperlink" Target="http://tpbflooring.fr" TargetMode="External"/><Relationship  Id="rId1928" Type="http://schemas.openxmlformats.org/officeDocument/2006/relationships/hyperlink" Target="http://www.linkedin.com/company/tpbflooring" TargetMode="External"/><Relationship  Id="rId1929" Type="http://schemas.openxmlformats.org/officeDocument/2006/relationships/hyperlink" Target="http://www.linkedin.com/in/nicolas-werth-1b1624137" TargetMode="External"/><Relationship  Id="rId193" Type="http://schemas.openxmlformats.org/officeDocument/2006/relationships/hyperlink" Target="http://www.linkedin.com/in/antoine-foucher-a870461b9" TargetMode="External"/><Relationship  Id="rId1930" Type="http://schemas.openxmlformats.org/officeDocument/2006/relationships/hyperlink" Target="http://www.linkedin.com/company/framboise-consulting" TargetMode="External"/><Relationship  Id="rId1931" Type="http://schemas.openxmlformats.org/officeDocument/2006/relationships/hyperlink" Target="http://www.linkedin.com/in/nabil-gharbi-149a3623b" TargetMode="External"/><Relationship  Id="rId1932" Type="http://schemas.openxmlformats.org/officeDocument/2006/relationships/hyperlink" Target="http://safari-technologies.com" TargetMode="External"/><Relationship  Id="rId1933" Type="http://schemas.openxmlformats.org/officeDocument/2006/relationships/hyperlink" Target="http://www.linkedin.com/company/safari-technologies" TargetMode="External"/><Relationship  Id="rId1934" Type="http://schemas.openxmlformats.org/officeDocument/2006/relationships/hyperlink" Target="http://www.linkedin.com/in/acherchour" TargetMode="External"/><Relationship  Id="rId1935" Type="http://schemas.openxmlformats.org/officeDocument/2006/relationships/hyperlink" Target="http://klc-construction.fr" TargetMode="External"/><Relationship  Id="rId1936" Type="http://schemas.openxmlformats.org/officeDocument/2006/relationships/hyperlink" Target="http://www.linkedin.com/company/klcconstruction" TargetMode="External"/><Relationship  Id="rId1937" Type="http://schemas.openxmlformats.org/officeDocument/2006/relationships/hyperlink" Target="http://www.linkedin.com/in/nassim-kilic-967832121" TargetMode="External"/><Relationship  Id="rId1938" Type="http://schemas.openxmlformats.org/officeDocument/2006/relationships/hyperlink" Target="http://cepelec.com" TargetMode="External"/><Relationship  Id="rId1939" Type="http://schemas.openxmlformats.org/officeDocument/2006/relationships/hyperlink" Target="http://www.linkedin.com/company/cepelec" TargetMode="External"/><Relationship  Id="rId194" Type="http://schemas.openxmlformats.org/officeDocument/2006/relationships/hyperlink" Target="http://agence-copernic.fr" TargetMode="External"/><Relationship  Id="rId1940" Type="http://schemas.openxmlformats.org/officeDocument/2006/relationships/hyperlink" Target="https://facebook.com/cepelec" TargetMode="External"/><Relationship  Id="rId1941" Type="http://schemas.openxmlformats.org/officeDocument/2006/relationships/hyperlink" Target="http://www.linkedin.com/in/nathalie-soriano-9b4992134" TargetMode="External"/><Relationship  Id="rId1942" Type="http://schemas.openxmlformats.org/officeDocument/2006/relationships/hyperlink" Target="http://1000tyservices.fr" TargetMode="External"/><Relationship  Id="rId1943" Type="http://schemas.openxmlformats.org/officeDocument/2006/relationships/hyperlink" Target="http://www.linkedin.com/company/1000-ty" TargetMode="External"/><Relationship  Id="rId1944" Type="http://schemas.openxmlformats.org/officeDocument/2006/relationships/hyperlink" Target="https://twitter.com/1000TyServices" TargetMode="External"/><Relationship  Id="rId1945" Type="http://schemas.openxmlformats.org/officeDocument/2006/relationships/hyperlink" Target="https://www.facebook.com/Menuiserie-1000-Ty-Services-118055621562171/" TargetMode="External"/><Relationship  Id="rId1946" Type="http://schemas.openxmlformats.org/officeDocument/2006/relationships/hyperlink" Target="http://www.linkedin.com/in/nathan-corgne-b2ab9610b" TargetMode="External"/><Relationship  Id="rId1947" Type="http://schemas.openxmlformats.org/officeDocument/2006/relationships/hyperlink" Target="http://grof.io" TargetMode="External"/><Relationship  Id="rId1948" Type="http://schemas.openxmlformats.org/officeDocument/2006/relationships/hyperlink" Target="http://www.linkedin.com/company/grof" TargetMode="External"/><Relationship  Id="rId1949" Type="http://schemas.openxmlformats.org/officeDocument/2006/relationships/hyperlink" Target="http://www.linkedin.com/in/nathan-layet" TargetMode="External"/><Relationship  Id="rId195" Type="http://schemas.openxmlformats.org/officeDocument/2006/relationships/hyperlink" Target="http://www.linkedin.com/company/agence-copernic" TargetMode="External"/><Relationship  Id="rId1950" Type="http://schemas.openxmlformats.org/officeDocument/2006/relationships/hyperlink" Target="http://mobius-reemploi.fr" TargetMode="External"/><Relationship  Id="rId1951" Type="http://schemas.openxmlformats.org/officeDocument/2006/relationships/hyperlink" Target="http://www.linkedin.com/company/mobiusreemploi" TargetMode="External"/><Relationship  Id="rId1952" Type="http://schemas.openxmlformats.org/officeDocument/2006/relationships/hyperlink" Target="https://www.facebook.com/mobiusreemploiconstruction/" TargetMode="External"/><Relationship  Id="rId1953" Type="http://schemas.openxmlformats.org/officeDocument/2006/relationships/hyperlink" Target="http://www.linkedin.com/in/no%c3%a9-basch-4b839136" TargetMode="External"/><Relationship  Id="rId1954" Type="http://schemas.openxmlformats.org/officeDocument/2006/relationships/hyperlink" Target="http://phedon-consult.com" TargetMode="External"/><Relationship  Id="rId1955" Type="http://schemas.openxmlformats.org/officeDocument/2006/relationships/hyperlink" Target="http://www.linkedin.com/company/phedon" TargetMode="External"/><Relationship  Id="rId1956" Type="http://schemas.openxmlformats.org/officeDocument/2006/relationships/hyperlink" Target="https://www.facebook.com/Phedon" TargetMode="External"/><Relationship  Id="rId1957" Type="http://schemas.openxmlformats.org/officeDocument/2006/relationships/hyperlink" Target="http://www.linkedin.com/in/nelly-margotton-8a166827" TargetMode="External"/><Relationship  Id="rId1958" Type="http://schemas.openxmlformats.org/officeDocument/2006/relationships/hyperlink" Target="http://dnt-versailles.fr" TargetMode="External"/><Relationship  Id="rId1959" Type="http://schemas.openxmlformats.org/officeDocument/2006/relationships/hyperlink" Target="http://www.linkedin.com/company/dnt-versailles" TargetMode="External"/><Relationship  Id="rId196" Type="http://schemas.openxmlformats.org/officeDocument/2006/relationships/hyperlink" Target="http://www.linkedin.com/in/antoine-copernic" TargetMode="External"/><Relationship  Id="rId1960" Type="http://schemas.openxmlformats.org/officeDocument/2006/relationships/hyperlink" Target="http://www.linkedin.com/in/nelson-dantas-b04025b8" TargetMode="External"/><Relationship  Id="rId1961" Type="http://schemas.openxmlformats.org/officeDocument/2006/relationships/hyperlink" Target="http://kokan.fr" TargetMode="External"/><Relationship  Id="rId1962" Type="http://schemas.openxmlformats.org/officeDocument/2006/relationships/hyperlink" Target="http://www.linkedin.com/company/k%c5%8dkan" TargetMode="External"/><Relationship  Id="rId1963" Type="http://schemas.openxmlformats.org/officeDocument/2006/relationships/hyperlink" Target="https://twitter.com/KoKanFr" TargetMode="External"/><Relationship  Id="rId1964" Type="http://schemas.openxmlformats.org/officeDocument/2006/relationships/hyperlink" Target="http://www.linkedin.com/in/nelson-dufoss%c3%a9" TargetMode="External"/><Relationship  Id="rId1965" Type="http://schemas.openxmlformats.org/officeDocument/2006/relationships/hyperlink" Target="http://ags-cloud.fr" TargetMode="External"/><Relationship  Id="rId1966" Type="http://schemas.openxmlformats.org/officeDocument/2006/relationships/hyperlink" Target="http://www.linkedin.com/company/ags-cloud" TargetMode="External"/><Relationship  Id="rId1967" Type="http://schemas.openxmlformats.org/officeDocument/2006/relationships/hyperlink" Target="https://twitter.com/AGSCloud" TargetMode="External"/><Relationship  Id="rId1968" Type="http://schemas.openxmlformats.org/officeDocument/2006/relationships/hyperlink" Target="https://www.facebook.com/AGSCloud" TargetMode="External"/><Relationship  Id="rId1969" Type="http://schemas.openxmlformats.org/officeDocument/2006/relationships/hyperlink" Target="http://www.linkedin.com/in/nicolas-gomar-153129b6" TargetMode="External"/><Relationship  Id="rId197" Type="http://schemas.openxmlformats.org/officeDocument/2006/relationships/hyperlink" Target="http://costa-maconnerie.com" TargetMode="External"/><Relationship  Id="rId1970" Type="http://schemas.openxmlformats.org/officeDocument/2006/relationships/hyperlink" Target="http://operametrix.fr" TargetMode="External"/><Relationship  Id="rId1971" Type="http://schemas.openxmlformats.org/officeDocument/2006/relationships/hyperlink" Target="http://www.linkedin.com/company/operametrix" TargetMode="External"/><Relationship  Id="rId1972" Type="http://schemas.openxmlformats.org/officeDocument/2006/relationships/hyperlink" Target="http://www.linkedin.com/in/nicolas-gonzalez-365baaa3" TargetMode="External"/><Relationship  Id="rId1973" Type="http://schemas.openxmlformats.org/officeDocument/2006/relationships/hyperlink" Target="http://smartpainting.fr" TargetMode="External"/><Relationship  Id="rId1974" Type="http://schemas.openxmlformats.org/officeDocument/2006/relationships/hyperlink" Target="http://www.linkedin.com/company/smart-painting" TargetMode="External"/><Relationship  Id="rId1975" Type="http://schemas.openxmlformats.org/officeDocument/2006/relationships/hyperlink" Target="http://www.linkedin.com/in/nicolas-andre-a93261185" TargetMode="External"/><Relationship  Id="rId1976" Type="http://schemas.openxmlformats.org/officeDocument/2006/relationships/hyperlink" Target="http://sireos.fr" TargetMode="External"/><Relationship  Id="rId1977" Type="http://schemas.openxmlformats.org/officeDocument/2006/relationships/hyperlink" Target="http://www.linkedin.com/company/sireos" TargetMode="External"/><Relationship  Id="rId1978" Type="http://schemas.openxmlformats.org/officeDocument/2006/relationships/hyperlink" Target="http://www.linkedin.com/in/nicolas-beret-519a6ab7" TargetMode="External"/><Relationship  Id="rId1979" Type="http://schemas.openxmlformats.org/officeDocument/2006/relationships/hyperlink" Target="http://ruedustore.fr" TargetMode="External"/><Relationship  Id="rId198" Type="http://schemas.openxmlformats.org/officeDocument/2006/relationships/hyperlink" Target="http://www.linkedin.com/company/costa-maconnerie" TargetMode="External"/><Relationship  Id="rId1980" Type="http://schemas.openxmlformats.org/officeDocument/2006/relationships/hyperlink" Target="http://www.linkedin.com/company/rue-du-store" TargetMode="External"/><Relationship  Id="rId1981" Type="http://schemas.openxmlformats.org/officeDocument/2006/relationships/hyperlink" Target="https://www.facebook.com/ruedustore" TargetMode="External"/><Relationship  Id="rId1982" Type="http://schemas.openxmlformats.org/officeDocument/2006/relationships/hyperlink" Target="http://www.linkedin.com/in/nicolas-decoster-ruedustore" TargetMode="External"/><Relationship  Id="rId1983" Type="http://schemas.openxmlformats.org/officeDocument/2006/relationships/hyperlink" Target="http://qsn-cyber.fr" TargetMode="External"/><Relationship  Id="rId1984" Type="http://schemas.openxmlformats.org/officeDocument/2006/relationships/hyperlink" Target="http://www.linkedin.com/company/qorum-securnum" TargetMode="External"/><Relationship  Id="rId1985" Type="http://schemas.openxmlformats.org/officeDocument/2006/relationships/hyperlink" Target="http://www.linkedin.com/in/nicolas-f-47689774" TargetMode="External"/><Relationship  Id="rId1986" Type="http://schemas.openxmlformats.org/officeDocument/2006/relationships/hyperlink" Target="http://groupe-essenciel.fr" TargetMode="External"/><Relationship  Id="rId1987" Type="http://schemas.openxmlformats.org/officeDocument/2006/relationships/hyperlink" Target="http://www.linkedin.com/company/groupe-essenciel" TargetMode="External"/><Relationship  Id="rId1988" Type="http://schemas.openxmlformats.org/officeDocument/2006/relationships/hyperlink" Target="http://www.linkedin.com/in/nicolas-guilloux-2a2464a2" TargetMode="External"/><Relationship  Id="rId1989" Type="http://schemas.openxmlformats.org/officeDocument/2006/relationships/hyperlink" Target="http://www.linkedin.com/in/nicolas-leonhardt-29b329112" TargetMode="External"/><Relationship  Id="rId199" Type="http://schemas.openxmlformats.org/officeDocument/2006/relationships/hyperlink" Target="http://www.linkedin.com/in/antoine-potin-33a1b310b" TargetMode="External"/><Relationship  Id="rId1990" Type="http://schemas.openxmlformats.org/officeDocument/2006/relationships/hyperlink" Target="http://makinov.fr" TargetMode="External"/><Relationship  Id="rId1991" Type="http://schemas.openxmlformats.org/officeDocument/2006/relationships/hyperlink" Target="http://www.linkedin.com/company/makin&apos;ov" TargetMode="External"/><Relationship  Id="rId1992" Type="http://schemas.openxmlformats.org/officeDocument/2006/relationships/hyperlink" Target="http://www.linkedin.com/in/nicolas-miravette" TargetMode="External"/><Relationship  Id="rId1993" Type="http://schemas.openxmlformats.org/officeDocument/2006/relationships/hyperlink" Target="http://streammind.com" TargetMode="External"/><Relationship  Id="rId1994" Type="http://schemas.openxmlformats.org/officeDocument/2006/relationships/hyperlink" Target="http://www.linkedin.com/company/streammind" TargetMode="External"/><Relationship  Id="rId1995" Type="http://schemas.openxmlformats.org/officeDocument/2006/relationships/hyperlink" Target="https://twitter.com/Stream_Mind" TargetMode="External"/><Relationship  Id="rId1996" Type="http://schemas.openxmlformats.org/officeDocument/2006/relationships/hyperlink" Target="https://www.facebook.com/StreamMind-106327380809423" TargetMode="External"/><Relationship  Id="rId1997" Type="http://schemas.openxmlformats.org/officeDocument/2006/relationships/hyperlink" Target="http://www.linkedin.com/in/nicolas-muhadri-2bb5b8" TargetMode="External"/><Relationship  Id="rId1998" Type="http://schemas.openxmlformats.org/officeDocument/2006/relationships/hyperlink" Target="http://keybossgroup.com" TargetMode="External"/><Relationship  Id="rId1999" Type="http://schemas.openxmlformats.org/officeDocument/2006/relationships/hyperlink" Target="http://www.linkedin.com/company/keyboss-group" TargetMode="External"/><Relationship  Id="rId2" Type="http://schemas.openxmlformats.org/officeDocument/2006/relationships/hyperlink" Target="http://www.rochebois.comm" TargetMode="External"/><Relationship  Id="rId20" Type="http://schemas.openxmlformats.org/officeDocument/2006/relationships/hyperlink" Target="http://www.linkedin.com/company/place-to-b-p2b" TargetMode="External"/><Relationship  Id="rId200" Type="http://schemas.openxmlformats.org/officeDocument/2006/relationships/hyperlink" Target="http://koena.net" TargetMode="External"/><Relationship  Id="rId2000" Type="http://schemas.openxmlformats.org/officeDocument/2006/relationships/hyperlink" Target="http://www.linkedin.com/in/nicolas-ouazan-19649910" TargetMode="External"/><Relationship  Id="rId2001" Type="http://schemas.openxmlformats.org/officeDocument/2006/relationships/hyperlink" Target="http://www.linkedin.com/company/ceteamfr" TargetMode="External"/><Relationship  Id="rId2002" Type="http://schemas.openxmlformats.org/officeDocument/2006/relationships/hyperlink" Target="http://www.linkedin.com/in/nicolas-rouchon-ceteam" TargetMode="External"/><Relationship  Id="rId2003" Type="http://schemas.openxmlformats.org/officeDocument/2006/relationships/hyperlink" Target="http://www.linkedin.com/in/roussel-nicolas-direction-commerciale-externalisee-loir-et-cher-sarthe" TargetMode="External"/><Relationship  Id="rId2004" Type="http://schemas.openxmlformats.org/officeDocument/2006/relationships/hyperlink" Target="http://eurostudio.fr" TargetMode="External"/><Relationship  Id="rId2005" Type="http://schemas.openxmlformats.org/officeDocument/2006/relationships/hyperlink" Target="http://www.linkedin.com/company/eurostudio-infographie" TargetMode="External"/><Relationship  Id="rId2006" Type="http://schemas.openxmlformats.org/officeDocument/2006/relationships/hyperlink" Target="https://twitter.com/Eurostudio_fr" TargetMode="External"/><Relationship  Id="rId2007" Type="http://schemas.openxmlformats.org/officeDocument/2006/relationships/hyperlink" Target="https://www.facebook.com/eurostudioinfographie/" TargetMode="External"/><Relationship  Id="rId2008" Type="http://schemas.openxmlformats.org/officeDocument/2006/relationships/hyperlink" Target="http://www.linkedin.com/in/nicolas-vallet-a94b2112b" TargetMode="External"/><Relationship  Id="rId2009" Type="http://schemas.openxmlformats.org/officeDocument/2006/relationships/hyperlink" Target="http://pwa-assurance.fr" TargetMode="External"/><Relationship  Id="rId201" Type="http://schemas.openxmlformats.org/officeDocument/2006/relationships/hyperlink" Target="http://www.linkedin.com/school/koena" TargetMode="External"/><Relationship  Id="rId2010" Type="http://schemas.openxmlformats.org/officeDocument/2006/relationships/hyperlink" Target="http://www.linkedin.com/company/pwa-assurance" TargetMode="External"/><Relationship  Id="rId2011" Type="http://schemas.openxmlformats.org/officeDocument/2006/relationships/hyperlink" Target="http://www.linkedin.com/in/nicolas-winter-2a036bb" TargetMode="External"/><Relationship  Id="rId2012" Type="http://schemas.openxmlformats.org/officeDocument/2006/relationships/hyperlink" Target="http://actusite.fr" TargetMode="External"/><Relationship  Id="rId2013" Type="http://schemas.openxmlformats.org/officeDocument/2006/relationships/hyperlink" Target="http://www.linkedin.com/company/actusite" TargetMode="External"/><Relationship  Id="rId2014" Type="http://schemas.openxmlformats.org/officeDocument/2006/relationships/hyperlink" Target="https://twitter.com/Actusite" TargetMode="External"/><Relationship  Id="rId2015" Type="http://schemas.openxmlformats.org/officeDocument/2006/relationships/hyperlink" Target="https://facebook.com/Actusite" TargetMode="External"/><Relationship  Id="rId2016" Type="http://schemas.openxmlformats.org/officeDocument/2006/relationships/hyperlink" Target="http://www.linkedin.com/in/nicolasdepoix" TargetMode="External"/><Relationship  Id="rId2017" Type="http://schemas.openxmlformats.org/officeDocument/2006/relationships/hyperlink" Target="http://beau-comme-un-camion.fr" TargetMode="External"/><Relationship  Id="rId2018" Type="http://schemas.openxmlformats.org/officeDocument/2006/relationships/hyperlink" Target="http://www.linkedin.com/company/beaucommeuncamion" TargetMode="External"/><Relationship  Id="rId2019" Type="http://schemas.openxmlformats.org/officeDocument/2006/relationships/hyperlink" Target="https://www.facebook.com/Beau-Comme-un-Camion-101632651326970/" TargetMode="External"/><Relationship  Id="rId202" Type="http://schemas.openxmlformats.org/officeDocument/2006/relationships/hyperlink" Target="https://twitter.com/koenafr" TargetMode="External"/><Relationship  Id="rId2020" Type="http://schemas.openxmlformats.org/officeDocument/2006/relationships/hyperlink" Target="http://www.linkedin.com/in/nicolas-faelli-ba3b6b19b" TargetMode="External"/><Relationship  Id="rId2021" Type="http://schemas.openxmlformats.org/officeDocument/2006/relationships/hyperlink" Target="http://logis-conseil.fr" TargetMode="External"/><Relationship  Id="rId2022" Type="http://schemas.openxmlformats.org/officeDocument/2006/relationships/hyperlink" Target="http://www.linkedin.com/company/logis-conseil-groupe" TargetMode="External"/><Relationship  Id="rId2023" Type="http://schemas.openxmlformats.org/officeDocument/2006/relationships/hyperlink" Target="https://www.facebook.com/logisconseil/" TargetMode="External"/><Relationship  Id="rId2024" Type="http://schemas.openxmlformats.org/officeDocument/2006/relationships/hyperlink" Target="http://www.linkedin.com/in/nicolas-ecanvil-493845138" TargetMode="External"/><Relationship  Id="rId2025" Type="http://schemas.openxmlformats.org/officeDocument/2006/relationships/hyperlink" Target="http://lws.fr" TargetMode="External"/><Relationship  Id="rId2026" Type="http://schemas.openxmlformats.org/officeDocument/2006/relationships/hyperlink" Target="http://www.linkedin.com/company/lws---ligne-web-services" TargetMode="External"/><Relationship  Id="rId2027" Type="http://schemas.openxmlformats.org/officeDocument/2006/relationships/hyperlink" Target="https://twitter.com/Lwshosting" TargetMode="External"/><Relationship  Id="rId2028" Type="http://schemas.openxmlformats.org/officeDocument/2006/relationships/hyperlink" Target="https://www.facebook.com/lws.fr" TargetMode="External"/><Relationship  Id="rId2029" Type="http://schemas.openxmlformats.org/officeDocument/2006/relationships/hyperlink" Target="http://www.linkedin.com/in/nicolas-depredurand-518776b7" TargetMode="External"/><Relationship  Id="rId203" Type="http://schemas.openxmlformats.org/officeDocument/2006/relationships/hyperlink" Target="http://www.linkedin.com/in/armonyaltinier" TargetMode="External"/><Relationship  Id="rId2030" Type="http://schemas.openxmlformats.org/officeDocument/2006/relationships/hyperlink" Target="http://toolapp.fr" TargetMode="External"/><Relationship  Id="rId2031" Type="http://schemas.openxmlformats.org/officeDocument/2006/relationships/hyperlink" Target="http://www.linkedin.com/company/toolapp" TargetMode="External"/><Relationship  Id="rId2032" Type="http://schemas.openxmlformats.org/officeDocument/2006/relationships/hyperlink" Target="http://www.linkedin.com/in/nicolas-goupil-67173419" TargetMode="External"/><Relationship  Id="rId2033" Type="http://schemas.openxmlformats.org/officeDocument/2006/relationships/hyperlink" Target="http://litnational.com" TargetMode="External"/><Relationship  Id="rId2034" Type="http://schemas.openxmlformats.org/officeDocument/2006/relationships/hyperlink" Target="http://www.linkedin.com/company/le-lit-national" TargetMode="External"/><Relationship  Id="rId2035" Type="http://schemas.openxmlformats.org/officeDocument/2006/relationships/hyperlink" Target="http://www.linkedin.com/in/nicolas-l%c3%a9vy-93b1353a" TargetMode="External"/><Relationship  Id="rId2036" Type="http://schemas.openxmlformats.org/officeDocument/2006/relationships/hyperlink" Target="http://www.linkedin.com/company/apik-odoo" TargetMode="External"/><Relationship  Id="rId2037" Type="http://schemas.openxmlformats.org/officeDocument/2006/relationships/hyperlink" Target="https://www.facebook.com/apikgroup/" TargetMode="External"/><Relationship  Id="rId2038" Type="http://schemas.openxmlformats.org/officeDocument/2006/relationships/hyperlink" Target="http://www.linkedin.com/in/nicolas-meslin-015b0432" TargetMode="External"/><Relationship  Id="rId2039" Type="http://schemas.openxmlformats.org/officeDocument/2006/relationships/hyperlink" Target="http://usabilis.com" TargetMode="External"/><Relationship  Id="rId204" Type="http://schemas.openxmlformats.org/officeDocument/2006/relationships/hyperlink" Target="http://pole-excellence-cyber.org" TargetMode="External"/><Relationship  Id="rId2040" Type="http://schemas.openxmlformats.org/officeDocument/2006/relationships/hyperlink" Target="http://www.linkedin.com/company/usabilis" TargetMode="External"/><Relationship  Id="rId2041" Type="http://schemas.openxmlformats.org/officeDocument/2006/relationships/hyperlink" Target="https://twitter.com/usabilis" TargetMode="External"/><Relationship  Id="rId2042" Type="http://schemas.openxmlformats.org/officeDocument/2006/relationships/hyperlink" Target="https://www.facebook.com/usabilisofficiel/" TargetMode="External"/><Relationship  Id="rId2043" Type="http://schemas.openxmlformats.org/officeDocument/2006/relationships/hyperlink" Target="http://www.linkedin.com/in/nogier" TargetMode="External"/><Relationship  Id="rId2044" Type="http://schemas.openxmlformats.org/officeDocument/2006/relationships/hyperlink" Target="http://www.linkedin.com/in/nethanel-ouaki-4164941b3" TargetMode="External"/><Relationship  Id="rId2045" Type="http://schemas.openxmlformats.org/officeDocument/2006/relationships/hyperlink" Target="http://piazza-coffrages.fr" TargetMode="External"/><Relationship  Id="rId2046" Type="http://schemas.openxmlformats.org/officeDocument/2006/relationships/hyperlink" Target="http://www.linkedin.com/company/piazza-coffrages1" TargetMode="External"/><Relationship  Id="rId2047" Type="http://schemas.openxmlformats.org/officeDocument/2006/relationships/hyperlink" Target="https://www.facebook.com/piazza.coffrages" TargetMode="External"/><Relationship  Id="rId2048" Type="http://schemas.openxmlformats.org/officeDocument/2006/relationships/hyperlink" Target="http://www.linkedin.com/in/nicolas-poriche-55993035" TargetMode="External"/><Relationship  Id="rId2049" Type="http://schemas.openxmlformats.org/officeDocument/2006/relationships/hyperlink" Target="http://optalor.com" TargetMode="External"/><Relationship  Id="rId205" Type="http://schemas.openxmlformats.org/officeDocument/2006/relationships/hyperlink" Target="http://www.linkedin.com/company/pole-excellence-cyber" TargetMode="External"/><Relationship  Id="rId2050" Type="http://schemas.openxmlformats.org/officeDocument/2006/relationships/hyperlink" Target="http://www.linkedin.com/company/optalor" TargetMode="External"/><Relationship  Id="rId2051" Type="http://schemas.openxmlformats.org/officeDocument/2006/relationships/hyperlink" Target="http://www.linkedin.com/in/olivier-clerc-386077b0" TargetMode="External"/><Relationship  Id="rId2052" Type="http://schemas.openxmlformats.org/officeDocument/2006/relationships/hyperlink" Target="http://www.linkedin.com/company/eyes-up" TargetMode="External"/><Relationship  Id="rId2053" Type="http://schemas.openxmlformats.org/officeDocument/2006/relationships/hyperlink" Target="http://www.linkedin.com/in/olivier-fatrez-a1aa1867" TargetMode="External"/><Relationship  Id="rId2054" Type="http://schemas.openxmlformats.org/officeDocument/2006/relationships/hyperlink" Target="http://www.linkedin.com/company/coordef" TargetMode="External"/><Relationship  Id="rId2055" Type="http://schemas.openxmlformats.org/officeDocument/2006/relationships/hyperlink" Target="http://www.linkedin.com/in/olivier-duval-79b5179b" TargetMode="External"/><Relationship  Id="rId2056" Type="http://schemas.openxmlformats.org/officeDocument/2006/relationships/hyperlink" Target="http://e-nergy.com" TargetMode="External"/><Relationship  Id="rId2057" Type="http://schemas.openxmlformats.org/officeDocument/2006/relationships/hyperlink" Target="http://www.linkedin.com/company/e-nergy" TargetMode="External"/><Relationship  Id="rId2058" Type="http://schemas.openxmlformats.org/officeDocument/2006/relationships/hyperlink" Target="http://www.linkedin.com/in/olivier-garnier-5b77b9ab" TargetMode="External"/><Relationship  Id="rId2059" Type="http://schemas.openxmlformats.org/officeDocument/2006/relationships/hyperlink" Target="http://www.linkedin.com/in/olivier-laurent-568993104" TargetMode="External"/><Relationship  Id="rId206" Type="http://schemas.openxmlformats.org/officeDocument/2006/relationships/hyperlink" Target="http://www.linkedin.com/in/arnaudctr" TargetMode="External"/><Relationship  Id="rId2060" Type="http://schemas.openxmlformats.org/officeDocument/2006/relationships/hyperlink" Target="http://www.linkedin.com/company/printsys" TargetMode="External"/><Relationship  Id="rId2061" Type="http://schemas.openxmlformats.org/officeDocument/2006/relationships/hyperlink" Target="http://www.linkedin.com/in/olivier-lemoine-86724bb8" TargetMode="External"/><Relationship  Id="rId2062" Type="http://schemas.openxmlformats.org/officeDocument/2006/relationships/hyperlink" Target="http://prosim.net" TargetMode="External"/><Relationship  Id="rId2063" Type="http://schemas.openxmlformats.org/officeDocument/2006/relationships/hyperlink" Target="http://www.linkedin.com/company/chemical-process-simulation-software-fives-prosim" TargetMode="External"/><Relationship  Id="rId2064" Type="http://schemas.openxmlformats.org/officeDocument/2006/relationships/hyperlink" Target="https://twitter.com/fivesgroup" TargetMode="External"/><Relationship  Id="rId2065" Type="http://schemas.openxmlformats.org/officeDocument/2006/relationships/hyperlink" Target="http://www.linkedin.com/in/olivier-baudouin-05a09213" TargetMode="External"/><Relationship  Id="rId2066" Type="http://schemas.openxmlformats.org/officeDocument/2006/relationships/hyperlink" Target="http://accomplir.fr" TargetMode="External"/><Relationship  Id="rId2067" Type="http://schemas.openxmlformats.org/officeDocument/2006/relationships/hyperlink" Target="http://www.linkedin.com/company/accomplir-conseil-et-formation" TargetMode="External"/><Relationship  Id="rId2068" Type="http://schemas.openxmlformats.org/officeDocument/2006/relationships/hyperlink" Target="http://www.linkedin.com/in/olivier-gaboury-86654013" TargetMode="External"/><Relationship  Id="rId2069" Type="http://schemas.openxmlformats.org/officeDocument/2006/relationships/hyperlink" Target="http://circularity.fr" TargetMode="External"/><Relationship  Id="rId207" Type="http://schemas.openxmlformats.org/officeDocument/2006/relationships/hyperlink" Target="http://reseaulution.fr" TargetMode="External"/><Relationship  Id="rId2070" Type="http://schemas.openxmlformats.org/officeDocument/2006/relationships/hyperlink" Target="http://www.linkedin.com/company/circularity-fr" TargetMode="External"/><Relationship  Id="rId2071" Type="http://schemas.openxmlformats.org/officeDocument/2006/relationships/hyperlink" Target="http://www.linkedin.com/in/olivier-pujo-46242633" TargetMode="External"/><Relationship  Id="rId2072" Type="http://schemas.openxmlformats.org/officeDocument/2006/relationships/hyperlink" Target="http://fmsgroupe.fr" TargetMode="External"/><Relationship  Id="rId2073" Type="http://schemas.openxmlformats.org/officeDocument/2006/relationships/hyperlink" Target="http://www.linkedin.com/company/fms-distribution" TargetMode="External"/><Relationship  Id="rId2074" Type="http://schemas.openxmlformats.org/officeDocument/2006/relationships/hyperlink" Target="http://www.linkedin.com/in/olivier-schoch-45223b81" TargetMode="External"/><Relationship  Id="rId2075" Type="http://schemas.openxmlformats.org/officeDocument/2006/relationships/hyperlink" Target="http://boulle.fr" TargetMode="External"/><Relationship  Id="rId2076" Type="http://schemas.openxmlformats.org/officeDocument/2006/relationships/hyperlink" Target="http://www.linkedin.com/company/boulle-construction" TargetMode="External"/><Relationship  Id="rId2077" Type="http://schemas.openxmlformats.org/officeDocument/2006/relationships/hyperlink" Target="https://www.facebook.com/groupeboulle/" TargetMode="External"/><Relationship  Id="rId2078" Type="http://schemas.openxmlformats.org/officeDocument/2006/relationships/hyperlink" Target="http://www.linkedin.com/in/olivier-kinder-a8b69612b" TargetMode="External"/><Relationship  Id="rId2079" Type="http://schemas.openxmlformats.org/officeDocument/2006/relationships/hyperlink" Target="http://dc2scale.fr" TargetMode="External"/><Relationship  Id="rId208" Type="http://schemas.openxmlformats.org/officeDocument/2006/relationships/hyperlink" Target="http://www.linkedin.com/company/reseaulution" TargetMode="External"/><Relationship  Id="rId2080" Type="http://schemas.openxmlformats.org/officeDocument/2006/relationships/hyperlink" Target="http://www.linkedin.com/company/dc2scale" TargetMode="External"/><Relationship  Id="rId2081" Type="http://schemas.openxmlformats.org/officeDocument/2006/relationships/hyperlink" Target="http://www.linkedin.com/in/olivier-mis-7b88b968" TargetMode="External"/><Relationship  Id="rId2082" Type="http://schemas.openxmlformats.org/officeDocument/2006/relationships/hyperlink" Target="http://wizya.fr" TargetMode="External"/><Relationship  Id="rId2083" Type="http://schemas.openxmlformats.org/officeDocument/2006/relationships/hyperlink" Target="http://www.linkedin.com/company/wizya-consulting" TargetMode="External"/><Relationship  Id="rId2084" Type="http://schemas.openxmlformats.org/officeDocument/2006/relationships/hyperlink" Target="http://www.linkedin.com/in/omar-berrada-r-06559614" TargetMode="External"/><Relationship  Id="rId2085" Type="http://schemas.openxmlformats.org/officeDocument/2006/relationships/hyperlink" Target="http://sequence-info.fr" TargetMode="External"/><Relationship  Id="rId2086" Type="http://schemas.openxmlformats.org/officeDocument/2006/relationships/hyperlink" Target="http://www.linkedin.com/company/sequence-informatique" TargetMode="External"/><Relationship  Id="rId2087" Type="http://schemas.openxmlformats.org/officeDocument/2006/relationships/hyperlink" Target="http://www.linkedin.com/in/olivier-marty-0703744b" TargetMode="External"/><Relationship  Id="rId2088" Type="http://schemas.openxmlformats.org/officeDocument/2006/relationships/hyperlink" Target="http://reboot-conseil.com" TargetMode="External"/><Relationship  Id="rId2089" Type="http://schemas.openxmlformats.org/officeDocument/2006/relationships/hyperlink" Target="http://www.linkedin.com/company/reboot-conseil" TargetMode="External"/><Relationship  Id="rId209" Type="http://schemas.openxmlformats.org/officeDocument/2006/relationships/hyperlink" Target="http://www.linkedin.com/in/arnaud-lopez-55049689" TargetMode="External"/><Relationship  Id="rId2090" Type="http://schemas.openxmlformats.org/officeDocument/2006/relationships/hyperlink" Target="http://www.linkedin.com/in/oriane-bischwiller-118a70108" TargetMode="External"/><Relationship  Id="rId2091" Type="http://schemas.openxmlformats.org/officeDocument/2006/relationships/hyperlink" Target="http://eureka-attractivite.fr" TargetMode="External"/><Relationship  Id="rId2092" Type="http://schemas.openxmlformats.org/officeDocument/2006/relationships/hyperlink" Target="http://www.linkedin.com/company/eureka-attractivite" TargetMode="External"/><Relationship  Id="rId2093" Type="http://schemas.openxmlformats.org/officeDocument/2006/relationships/hyperlink" Target="https://twitter.com/EurekaNormandie" TargetMode="External"/><Relationship  Id="rId2094" Type="http://schemas.openxmlformats.org/officeDocument/2006/relationships/hyperlink" Target="https://www.facebook.com/eureka.attractivite/" TargetMode="External"/><Relationship  Id="rId2095" Type="http://schemas.openxmlformats.org/officeDocument/2006/relationships/hyperlink" Target="http://www.linkedin.com/in/orlane-jauregui-a1a54b7a" TargetMode="External"/><Relationship  Id="rId2096" Type="http://schemas.openxmlformats.org/officeDocument/2006/relationships/hyperlink" Target="http://steerlab.ai" TargetMode="External"/><Relationship  Id="rId2097" Type="http://schemas.openxmlformats.org/officeDocument/2006/relationships/hyperlink" Target="http://www.linkedin.com/company/steerlab" TargetMode="External"/><Relationship  Id="rId2098" Type="http://schemas.openxmlformats.org/officeDocument/2006/relationships/hyperlink" Target="http://www.linkedin.com/in/hamzaouiothmane" TargetMode="External"/><Relationship  Id="rId2099" Type="http://schemas.openxmlformats.org/officeDocument/2006/relationships/hyperlink" Target="http://scob-maisonsbois.com" TargetMode="External"/><Relationship  Id="rId21" Type="http://schemas.openxmlformats.org/officeDocument/2006/relationships/hyperlink" Target="https://www.facebook.com/placetobfrance" TargetMode="External"/><Relationship  Id="rId210" Type="http://schemas.openxmlformats.org/officeDocument/2006/relationships/hyperlink" Target="http://jubea.fr" TargetMode="External"/><Relationship  Id="rId2100" Type="http://schemas.openxmlformats.org/officeDocument/2006/relationships/hyperlink" Target="http://www.linkedin.com/company/scob-maisonsbois" TargetMode="External"/><Relationship  Id="rId2101" Type="http://schemas.openxmlformats.org/officeDocument/2006/relationships/hyperlink" Target="http://www.linkedin.com/in/olivier-tomine-38857993" TargetMode="External"/><Relationship  Id="rId2102" Type="http://schemas.openxmlformats.org/officeDocument/2006/relationships/hyperlink" Target="http://novapage.fr" TargetMode="External"/><Relationship  Id="rId2103" Type="http://schemas.openxmlformats.org/officeDocument/2006/relationships/hyperlink" Target="http://www.linkedin.com/company/novapage" TargetMode="External"/><Relationship  Id="rId2104" Type="http://schemas.openxmlformats.org/officeDocument/2006/relationships/hyperlink" Target="http://www.linkedin.com/in/philippe-gorse-2b8a0120" TargetMode="External"/><Relationship  Id="rId2105" Type="http://schemas.openxmlformats.org/officeDocument/2006/relationships/hyperlink" Target="http://micreau.fr" TargetMode="External"/><Relationship  Id="rId2106" Type="http://schemas.openxmlformats.org/officeDocument/2006/relationships/hyperlink" Target="http://www.linkedin.com/company/micr&apos;eau" TargetMode="External"/><Relationship  Id="rId2107" Type="http://schemas.openxmlformats.org/officeDocument/2006/relationships/hyperlink" Target="http://www.linkedin.com/in/pascal-guasp-63062610a" TargetMode="External"/><Relationship  Id="rId2108" Type="http://schemas.openxmlformats.org/officeDocument/2006/relationships/hyperlink" Target="http://ffie.fr" TargetMode="External"/><Relationship  Id="rId2109" Type="http://schemas.openxmlformats.org/officeDocument/2006/relationships/hyperlink" Target="http://www.linkedin.com/company/ffieffie" TargetMode="External"/><Relationship  Id="rId211" Type="http://schemas.openxmlformats.org/officeDocument/2006/relationships/hyperlink" Target="http://www.linkedin.com/company/jubeamajor" TargetMode="External"/><Relationship  Id="rId2110" Type="http://schemas.openxmlformats.org/officeDocument/2006/relationships/hyperlink" Target="http://www.linkedin.com/in/pascal-toggenburger-50655754" TargetMode="External"/><Relationship  Id="rId2111" Type="http://schemas.openxmlformats.org/officeDocument/2006/relationships/hyperlink" Target="http://adaliance.com" TargetMode="External"/><Relationship  Id="rId2112" Type="http://schemas.openxmlformats.org/officeDocument/2006/relationships/hyperlink" Target="http://www.linkedin.com/company/adaliance" TargetMode="External"/><Relationship  Id="rId2113" Type="http://schemas.openxmlformats.org/officeDocument/2006/relationships/hyperlink" Target="https://twitter.com/Adaliance" TargetMode="External"/><Relationship  Id="rId2114" Type="http://schemas.openxmlformats.org/officeDocument/2006/relationships/hyperlink" Target="http://www.linkedin.com/in/brunopanhard" TargetMode="External"/><Relationship  Id="rId2115" Type="http://schemas.openxmlformats.org/officeDocument/2006/relationships/hyperlink" Target="http://exens-ing.com" TargetMode="External"/><Relationship  Id="rId2116" Type="http://schemas.openxmlformats.org/officeDocument/2006/relationships/hyperlink" Target="http://www.linkedin.com/company/exens-ing-nierie" TargetMode="External"/><Relationship  Id="rId2117" Type="http://schemas.openxmlformats.org/officeDocument/2006/relationships/hyperlink" Target="http://www.linkedin.com/in/pascal-panek-81157121" TargetMode="External"/><Relationship  Id="rId2118" Type="http://schemas.openxmlformats.org/officeDocument/2006/relationships/hyperlink" Target="http://aucae.com" TargetMode="External"/><Relationship  Id="rId2119" Type="http://schemas.openxmlformats.org/officeDocument/2006/relationships/hyperlink" Target="http://www.linkedin.com/company/aucae-sas" TargetMode="External"/><Relationship  Id="rId212" Type="http://schemas.openxmlformats.org/officeDocument/2006/relationships/hyperlink" Target="http://www.linkedin.com/in/arnaudmarchand34430" TargetMode="External"/><Relationship  Id="rId2120" Type="http://schemas.openxmlformats.org/officeDocument/2006/relationships/hyperlink" Target="https://twitter.com/AUCAE1" TargetMode="External"/><Relationship  Id="rId2121" Type="http://schemas.openxmlformats.org/officeDocument/2006/relationships/hyperlink" Target="http://www.linkedin.com/in/pascaleperez" TargetMode="External"/><Relationship  Id="rId2122" Type="http://schemas.openxmlformats.org/officeDocument/2006/relationships/hyperlink" Target="http://horizons-group.com" TargetMode="External"/><Relationship  Id="rId2123" Type="http://schemas.openxmlformats.org/officeDocument/2006/relationships/hyperlink" Target="http://www.linkedin.com/company/horizons-group-it" TargetMode="External"/><Relationship  Id="rId2124" Type="http://schemas.openxmlformats.org/officeDocument/2006/relationships/hyperlink" Target="https://twitter.com/HORIZONSGROUP_" TargetMode="External"/><Relationship  Id="rId2125" Type="http://schemas.openxmlformats.org/officeDocument/2006/relationships/hyperlink" Target="http://www.linkedin.com/in/patrice-lecomte-9a58b2ba" TargetMode="External"/><Relationship  Id="rId2126" Type="http://schemas.openxmlformats.org/officeDocument/2006/relationships/hyperlink" Target="http://tco.fr" TargetMode="External"/><Relationship  Id="rId2127" Type="http://schemas.openxmlformats.org/officeDocument/2006/relationships/hyperlink" Target="http://www.linkedin.com/company/tco-organisation" TargetMode="External"/><Relationship  Id="rId2128" Type="http://schemas.openxmlformats.org/officeDocument/2006/relationships/hyperlink" Target="https://www.facebook.com/tco.organisation/" TargetMode="External"/><Relationship  Id="rId2129" Type="http://schemas.openxmlformats.org/officeDocument/2006/relationships/hyperlink" Target="http://www.linkedin.com/in/patricia-vareilles-820a6510" TargetMode="External"/><Relationship  Id="rId213" Type="http://schemas.openxmlformats.org/officeDocument/2006/relationships/hyperlink" Target="http://waigeo.fr" TargetMode="External"/><Relationship  Id="rId2130" Type="http://schemas.openxmlformats.org/officeDocument/2006/relationships/hyperlink" Target="http://pertimm.com" TargetMode="External"/><Relationship  Id="rId2131" Type="http://schemas.openxmlformats.org/officeDocument/2006/relationships/hyperlink" Target="http://www.linkedin.com/company/pertimm" TargetMode="External"/><Relationship  Id="rId2132" Type="http://schemas.openxmlformats.org/officeDocument/2006/relationships/hyperlink" Target="https://twitter.com/pertimm" TargetMode="External"/><Relationship  Id="rId2133" Type="http://schemas.openxmlformats.org/officeDocument/2006/relationships/hyperlink" Target="http://www.linkedin.com/in/patrick-constant-588664" TargetMode="External"/><Relationship  Id="rId2134" Type="http://schemas.openxmlformats.org/officeDocument/2006/relationships/hyperlink" Target="http://robbemd.fr" TargetMode="External"/><Relationship  Id="rId2135" Type="http://schemas.openxmlformats.org/officeDocument/2006/relationships/hyperlink" Target="http://www.linkedin.com/company/robbe-menuiserie-et-domotique" TargetMode="External"/><Relationship  Id="rId2136" Type="http://schemas.openxmlformats.org/officeDocument/2006/relationships/hyperlink" Target="http://www.linkedin.com/in/patrick-delahay-351699108" TargetMode="External"/><Relationship  Id="rId2137" Type="http://schemas.openxmlformats.org/officeDocument/2006/relationships/hyperlink" Target="http://afcb.fr" TargetMode="External"/><Relationship  Id="rId2138" Type="http://schemas.openxmlformats.org/officeDocument/2006/relationships/hyperlink" Target="http://www.linkedin.com/company/afcb" TargetMode="External"/><Relationship  Id="rId2139" Type="http://schemas.openxmlformats.org/officeDocument/2006/relationships/hyperlink" Target="https://twitter.com/AFCBAMENAGEMENT" TargetMode="External"/><Relationship  Id="rId214" Type="http://schemas.openxmlformats.org/officeDocument/2006/relationships/hyperlink" Target="http://www.linkedin.com/company/waig%c3%a9o" TargetMode="External"/><Relationship  Id="rId2140" Type="http://schemas.openxmlformats.org/officeDocument/2006/relationships/hyperlink" Target="https://www.facebook.com/AMENAGEMENTFCB/" TargetMode="External"/><Relationship  Id="rId2141" Type="http://schemas.openxmlformats.org/officeDocument/2006/relationships/hyperlink" Target="http://www.linkedin.com/in/patrick-gar%c3%a7on-93a1aa9a" TargetMode="External"/><Relationship  Id="rId2142" Type="http://schemas.openxmlformats.org/officeDocument/2006/relationships/hyperlink" Target="http://mcm-mobilier.com" TargetMode="External"/><Relationship  Id="rId2143" Type="http://schemas.openxmlformats.org/officeDocument/2006/relationships/hyperlink" Target="http://www.linkedin.com/company/mcm-manufacture-confection-de-mobilier" TargetMode="External"/><Relationship  Id="rId2144" Type="http://schemas.openxmlformats.org/officeDocument/2006/relationships/hyperlink" Target="http://www.linkedin.com/in/patrick-grataloup-229b1151" TargetMode="External"/><Relationship  Id="rId2145" Type="http://schemas.openxmlformats.org/officeDocument/2006/relationships/hyperlink" Target="http://galaed.com" TargetMode="External"/><Relationship  Id="rId2146" Type="http://schemas.openxmlformats.org/officeDocument/2006/relationships/hyperlink" Target="http://www.linkedin.com/company/galaed" TargetMode="External"/><Relationship  Id="rId2147" Type="http://schemas.openxmlformats.org/officeDocument/2006/relationships/hyperlink" Target="http://www.linkedin.com/in/patrick-thinet-6a99a510" TargetMode="External"/><Relationship  Id="rId2148" Type="http://schemas.openxmlformats.org/officeDocument/2006/relationships/hyperlink" Target="http://begt.fr" TargetMode="External"/><Relationship  Id="rId2149" Type="http://schemas.openxmlformats.org/officeDocument/2006/relationships/hyperlink" Target="http://www.linkedin.com/company/begt" TargetMode="External"/><Relationship  Id="rId215" Type="http://schemas.openxmlformats.org/officeDocument/2006/relationships/hyperlink" Target="https://www.facebook.com/GroupeWaigeo/" TargetMode="External"/><Relationship  Id="rId2150" Type="http://schemas.openxmlformats.org/officeDocument/2006/relationships/hyperlink" Target="http://www.linkedin.com/in/paul-bellon-35b490133" TargetMode="External"/><Relationship  Id="rId2151" Type="http://schemas.openxmlformats.org/officeDocument/2006/relationships/hyperlink" Target="http://sereem.com" TargetMode="External"/><Relationship  Id="rId2152" Type="http://schemas.openxmlformats.org/officeDocument/2006/relationships/hyperlink" Target="http://www.linkedin.com/company/societe-d&apos;etudes-et-de-realisations-d&apos;ensembles-electro-mecaniques---s.e.r.e.e.m." TargetMode="External"/><Relationship  Id="rId2153" Type="http://schemas.openxmlformats.org/officeDocument/2006/relationships/hyperlink" Target="http://www.linkedin.com/in/paul-bourdarios-a6461024" TargetMode="External"/><Relationship  Id="rId2154" Type="http://schemas.openxmlformats.org/officeDocument/2006/relationships/hyperlink" Target="http://lapala.io" TargetMode="External"/><Relationship  Id="rId2155" Type="http://schemas.openxmlformats.org/officeDocument/2006/relationships/hyperlink" Target="http://www.linkedin.com/company/lapala" TargetMode="External"/><Relationship  Id="rId2156" Type="http://schemas.openxmlformats.org/officeDocument/2006/relationships/hyperlink" Target="https://twitter.com/lapala_io" TargetMode="External"/><Relationship  Id="rId2157" Type="http://schemas.openxmlformats.org/officeDocument/2006/relationships/hyperlink" Target="http://www.linkedin.com/in/paul-schwebius" TargetMode="External"/><Relationship  Id="rId2158" Type="http://schemas.openxmlformats.org/officeDocument/2006/relationships/hyperlink" Target="http://voltasoftware.com" TargetMode="External"/><Relationship  Id="rId2159" Type="http://schemas.openxmlformats.org/officeDocument/2006/relationships/hyperlink" Target="http://www.linkedin.com/company/volta-software" TargetMode="External"/><Relationship  Id="rId216" Type="http://schemas.openxmlformats.org/officeDocument/2006/relationships/hyperlink" Target="http://www.linkedin.com/in/arnaud-montewis-22138158" TargetMode="External"/><Relationship  Id="rId2160" Type="http://schemas.openxmlformats.org/officeDocument/2006/relationships/hyperlink" Target="http://www.linkedin.com/in/paul-guillemin-194a1557" TargetMode="External"/><Relationship  Id="rId2161" Type="http://schemas.openxmlformats.org/officeDocument/2006/relationships/hyperlink" Target="http://delaval.fr" TargetMode="External"/><Relationship  Id="rId2162" Type="http://schemas.openxmlformats.org/officeDocument/2006/relationships/hyperlink" Target="http://www.linkedin.com/company/delavalgroupe" TargetMode="External"/><Relationship  Id="rId2163" Type="http://schemas.openxmlformats.org/officeDocument/2006/relationships/hyperlink" Target="http://www.linkedin.com/in/pauline-hubert-4b4979129" TargetMode="External"/><Relationship  Id="rId2164" Type="http://schemas.openxmlformats.org/officeDocument/2006/relationships/hyperlink" Target="http://weodeo.com" TargetMode="External"/><Relationship  Id="rId2165" Type="http://schemas.openxmlformats.org/officeDocument/2006/relationships/hyperlink" Target="http://www.linkedin.com/company/weodeo" TargetMode="External"/><Relationship  Id="rId2166" Type="http://schemas.openxmlformats.org/officeDocument/2006/relationships/hyperlink" Target="http://www.linkedin.com/in/philippeaymonod" TargetMode="External"/><Relationship  Id="rId2167" Type="http://schemas.openxmlformats.org/officeDocument/2006/relationships/hyperlink" Target="http://www.linkedin.com/in/pierre-blequit-99bb55122" TargetMode="External"/><Relationship  Id="rId2168" Type="http://schemas.openxmlformats.org/officeDocument/2006/relationships/hyperlink" Target="http://partnertalent.fr" TargetMode="External"/><Relationship  Id="rId2169" Type="http://schemas.openxmlformats.org/officeDocument/2006/relationships/hyperlink" Target="http://www.linkedin.com/company/partner-talent" TargetMode="External"/><Relationship  Id="rId217" Type="http://schemas.openxmlformats.org/officeDocument/2006/relationships/hyperlink" Target="http://taroko.fr" TargetMode="External"/><Relationship  Id="rId2170" Type="http://schemas.openxmlformats.org/officeDocument/2006/relationships/hyperlink" Target="https://twitter.com/awoopt" TargetMode="External"/><Relationship  Id="rId2171" Type="http://schemas.openxmlformats.org/officeDocument/2006/relationships/hyperlink" Target="http://www.linkedin.com/in/patrick-delbar-3b6a2357" TargetMode="External"/><Relationship  Id="rId2172" Type="http://schemas.openxmlformats.org/officeDocument/2006/relationships/hyperlink" Target="http://oz-alu.com" TargetMode="External"/><Relationship  Id="rId2173" Type="http://schemas.openxmlformats.org/officeDocument/2006/relationships/hyperlink" Target="http://www.linkedin.com/company/oz-alu" TargetMode="External"/><Relationship  Id="rId2174" Type="http://schemas.openxmlformats.org/officeDocument/2006/relationships/hyperlink" Target="http://www.linkedin.com/in/christophe-p%c3%a9court-370243a2" TargetMode="External"/><Relationship  Id="rId2175" Type="http://schemas.openxmlformats.org/officeDocument/2006/relationships/hyperlink" Target="http://sammob-sbi.com" TargetMode="External"/><Relationship  Id="rId2176" Type="http://schemas.openxmlformats.org/officeDocument/2006/relationships/hyperlink" Target="http://www.linkedin.com/company/sbi-murs-mobiles-acoustique" TargetMode="External"/><Relationship  Id="rId2177" Type="http://schemas.openxmlformats.org/officeDocument/2006/relationships/hyperlink" Target="https://www.facebook.com/SBIMursMobiles" TargetMode="External"/><Relationship  Id="rId2178" Type="http://schemas.openxmlformats.org/officeDocument/2006/relationships/hyperlink" Target="http://www.linkedin.com/in/laurent-petit-a5b156115" TargetMode="External"/><Relationship  Id="rId2179" Type="http://schemas.openxmlformats.org/officeDocument/2006/relationships/hyperlink" Target="http://www.linkedin.com/in/philippe-artur-0aa505209" TargetMode="External"/><Relationship  Id="rId218" Type="http://schemas.openxmlformats.org/officeDocument/2006/relationships/hyperlink" Target="http://www.linkedin.com/company/taroko-strategy" TargetMode="External"/><Relationship  Id="rId2180" Type="http://schemas.openxmlformats.org/officeDocument/2006/relationships/hyperlink" Target="http://covateam.com" TargetMode="External"/><Relationship  Id="rId2181" Type="http://schemas.openxmlformats.org/officeDocument/2006/relationships/hyperlink" Target="http://www.linkedin.com/company/societecovateam" TargetMode="External"/><Relationship  Id="rId2182" Type="http://schemas.openxmlformats.org/officeDocument/2006/relationships/hyperlink" Target="http://www.linkedin.com/in/philippe-dujardin-15671b" TargetMode="External"/><Relationship  Id="rId2183" Type="http://schemas.openxmlformats.org/officeDocument/2006/relationships/hyperlink" Target="http://tentelemed.com" TargetMode="External"/><Relationship  Id="rId2184" Type="http://schemas.openxmlformats.org/officeDocument/2006/relationships/hyperlink" Target="http://www.linkedin.com/company/telemedicine-technologies" TargetMode="External"/><Relationship  Id="rId2185" Type="http://schemas.openxmlformats.org/officeDocument/2006/relationships/hyperlink" Target="https://twitter.com/ctma_scout" TargetMode="External"/><Relationship  Id="rId2186" Type="http://schemas.openxmlformats.org/officeDocument/2006/relationships/hyperlink" Target="https://facebook.com/ctma-clinical-trials-mobile-application-1696522860630635" TargetMode="External"/><Relationship  Id="rId2187" Type="http://schemas.openxmlformats.org/officeDocument/2006/relationships/hyperlink" Target="http://www.linkedin.com/in/philippeharan" TargetMode="External"/><Relationship  Id="rId2188" Type="http://schemas.openxmlformats.org/officeDocument/2006/relationships/hyperlink" Target="http://www.linkedin.com/company/toptech-france" TargetMode="External"/><Relationship  Id="rId2189" Type="http://schemas.openxmlformats.org/officeDocument/2006/relationships/hyperlink" Target="http://www.linkedin.com/in/philippe-lame" TargetMode="External"/><Relationship  Id="rId219" Type="http://schemas.openxmlformats.org/officeDocument/2006/relationships/hyperlink" Target="http://www.linkedin.com/in/arthurjouve" TargetMode="External"/><Relationship  Id="rId2190" Type="http://schemas.openxmlformats.org/officeDocument/2006/relationships/hyperlink" Target="http://www.linkedin.com/company/e-volve-academy" TargetMode="External"/><Relationship  Id="rId2191" Type="http://schemas.openxmlformats.org/officeDocument/2006/relationships/hyperlink" Target="http://www.linkedin.com/in/philippeleclercqevolve" TargetMode="External"/><Relationship  Id="rId2192" Type="http://schemas.openxmlformats.org/officeDocument/2006/relationships/hyperlink" Target="http://everest-isolation.fr" TargetMode="External"/><Relationship  Id="rId2193" Type="http://schemas.openxmlformats.org/officeDocument/2006/relationships/hyperlink" Target="http://www.linkedin.com/company/everest-isolation" TargetMode="External"/><Relationship  Id="rId2194" Type="http://schemas.openxmlformats.org/officeDocument/2006/relationships/hyperlink" Target="https://www.facebook.com/everestisolation/" TargetMode="External"/><Relationship  Id="rId2195" Type="http://schemas.openxmlformats.org/officeDocument/2006/relationships/hyperlink" Target="http://www.linkedin.com/in/philippe-million-167a059a" TargetMode="External"/><Relationship  Id="rId2196" Type="http://schemas.openxmlformats.org/officeDocument/2006/relationships/hyperlink" Target="http://wattohm.fr" TargetMode="External"/><Relationship  Id="rId2197" Type="http://schemas.openxmlformats.org/officeDocument/2006/relationships/hyperlink" Target="http://www.linkedin.com/company/wattohmequipement" TargetMode="External"/><Relationship  Id="rId2198" Type="http://schemas.openxmlformats.org/officeDocument/2006/relationships/hyperlink" Target="http://www.linkedin.com/in/%c3%a9ric-piegay-871ab137" TargetMode="External"/><Relationship  Id="rId2199" Type="http://schemas.openxmlformats.org/officeDocument/2006/relationships/hyperlink" Target="http://www.linkedin.com/in/pierre-antoinersl" TargetMode="External"/><Relationship  Id="rId22" Type="http://schemas.openxmlformats.org/officeDocument/2006/relationships/hyperlink" Target="http://www.linkedin.com/in/anne-sophie-huard" TargetMode="External"/><Relationship  Id="rId220" Type="http://schemas.openxmlformats.org/officeDocument/2006/relationships/hyperlink" Target="http://sidekicks.cc" TargetMode="External"/><Relationship  Id="rId2200" Type="http://schemas.openxmlformats.org/officeDocument/2006/relationships/hyperlink" Target="http://agrisight.fr" TargetMode="External"/><Relationship  Id="rId2201" Type="http://schemas.openxmlformats.org/officeDocument/2006/relationships/hyperlink" Target="http://www.linkedin.com/company/agrisight" TargetMode="External"/><Relationship  Id="rId2202" Type="http://schemas.openxmlformats.org/officeDocument/2006/relationships/hyperlink" Target="http://www.linkedin.com/in/pierre-boucher-800050ba" TargetMode="External"/><Relationship  Id="rId2203" Type="http://schemas.openxmlformats.org/officeDocument/2006/relationships/hyperlink" Target="http://geniedeslieux.com" TargetMode="External"/><Relationship  Id="rId2204" Type="http://schemas.openxmlformats.org/officeDocument/2006/relationships/hyperlink" Target="http://www.linkedin.com/company/genie-des-lieux" TargetMode="External"/><Relationship  Id="rId2205" Type="http://schemas.openxmlformats.org/officeDocument/2006/relationships/hyperlink" Target="https://twitter.com/GeniedesLieux" TargetMode="External"/><Relationship  Id="rId2206" Type="http://schemas.openxmlformats.org/officeDocument/2006/relationships/hyperlink" Target="http://www.linkedin.com/in/pierre-bouchet-30983111" TargetMode="External"/><Relationship  Id="rId2207" Type="http://schemas.openxmlformats.org/officeDocument/2006/relationships/hyperlink" Target="http://ingenium.fr" TargetMode="External"/><Relationship  Id="rId2208" Type="http://schemas.openxmlformats.org/officeDocument/2006/relationships/hyperlink" Target="http://www.linkedin.com/company/ingenium-animalis" TargetMode="External"/><Relationship  Id="rId2209" Type="http://schemas.openxmlformats.org/officeDocument/2006/relationships/hyperlink" Target="http://www.linkedin.com/in/pierre-buisson-8387aa36" TargetMode="External"/><Relationship  Id="rId221" Type="http://schemas.openxmlformats.org/officeDocument/2006/relationships/hyperlink" Target="http://www.linkedin.com/company/sidekicks-cc" TargetMode="External"/><Relationship  Id="rId2210" Type="http://schemas.openxmlformats.org/officeDocument/2006/relationships/hyperlink" Target="http://www.linkedin.com/in/pierre-schaller63" TargetMode="External"/><Relationship  Id="rId2211" Type="http://schemas.openxmlformats.org/officeDocument/2006/relationships/hyperlink" Target="http://www.linkedin.com/in/pierre-toinon-946767140" TargetMode="External"/><Relationship  Id="rId2212" Type="http://schemas.openxmlformats.org/officeDocument/2006/relationships/hyperlink" Target="http://eglise.in" TargetMode="External"/><Relationship  Id="rId2213" Type="http://schemas.openxmlformats.org/officeDocument/2006/relationships/hyperlink" Target="http://www.linkedin.com/company/eglise-et-innovation-numerique" TargetMode="External"/><Relationship  Id="rId2214" Type="http://schemas.openxmlformats.org/officeDocument/2006/relationships/hyperlink" Target="https://www.facebook.com/pitchmychurch/" TargetMode="External"/><Relationship  Id="rId2215" Type="http://schemas.openxmlformats.org/officeDocument/2006/relationships/hyperlink" Target="http://www.linkedin.com/in/macquere" TargetMode="External"/><Relationship  Id="rId2216" Type="http://schemas.openxmlformats.org/officeDocument/2006/relationships/hyperlink" Target="http://bypauline.fr" TargetMode="External"/><Relationship  Id="rId2217" Type="http://schemas.openxmlformats.org/officeDocument/2006/relationships/hyperlink" Target="http://www.linkedin.com/company/by-pauline" TargetMode="External"/><Relationship  Id="rId2218" Type="http://schemas.openxmlformats.org/officeDocument/2006/relationships/hyperlink" Target="https://twitter.com/ByPauline_" TargetMode="External"/><Relationship  Id="rId2219" Type="http://schemas.openxmlformats.org/officeDocument/2006/relationships/hyperlink" Target="https://www.facebook.com/lereseaubyPauline/" TargetMode="External"/><Relationship  Id="rId222" Type="http://schemas.openxmlformats.org/officeDocument/2006/relationships/hyperlink" Target="https://twitter.com/boulangerarthur" TargetMode="External"/><Relationship  Id="rId2220" Type="http://schemas.openxmlformats.org/officeDocument/2006/relationships/hyperlink" Target="http://www.linkedin.com/in/pauline-levasseur" TargetMode="External"/><Relationship  Id="rId2221" Type="http://schemas.openxmlformats.org/officeDocument/2006/relationships/hyperlink" Target="http://smsmanagement.fr" TargetMode="External"/><Relationship  Id="rId2222" Type="http://schemas.openxmlformats.org/officeDocument/2006/relationships/hyperlink" Target="http://www.linkedin.com/company/smsmanagement" TargetMode="External"/><Relationship  Id="rId2223" Type="http://schemas.openxmlformats.org/officeDocument/2006/relationships/hyperlink" Target="http://www.linkedin.com/in/philippe-moussy-6523921b" TargetMode="External"/><Relationship  Id="rId2224" Type="http://schemas.openxmlformats.org/officeDocument/2006/relationships/hyperlink" Target="http://apsecurity.fr" TargetMode="External"/><Relationship  Id="rId2225" Type="http://schemas.openxmlformats.org/officeDocument/2006/relationships/hyperlink" Target="http://www.linkedin.com/company/apsecurity" TargetMode="External"/><Relationship  Id="rId2226" Type="http://schemas.openxmlformats.org/officeDocument/2006/relationships/hyperlink" Target="http://www.linkedin.com/in/arnaud-poncelet-36b05145" TargetMode="External"/><Relationship  Id="rId2227" Type="http://schemas.openxmlformats.org/officeDocument/2006/relationships/hyperlink" Target="http://data-newroad.com" TargetMode="External"/><Relationship  Id="rId2228" Type="http://schemas.openxmlformats.org/officeDocument/2006/relationships/hyperlink" Target="http://www.linkedin.com/company/data-new-road" TargetMode="External"/><Relationship  Id="rId2229" Type="http://schemas.openxmlformats.org/officeDocument/2006/relationships/hyperlink" Target="http://www.linkedin.com/in/pascal-philip-93b55ba4" TargetMode="External"/><Relationship  Id="rId223" Type="http://schemas.openxmlformats.org/officeDocument/2006/relationships/hyperlink" Target="http://www.linkedin.com/in/boulangerarthur" TargetMode="External"/><Relationship  Id="rId2230" Type="http://schemas.openxmlformats.org/officeDocument/2006/relationships/hyperlink" Target="http://www.linkedin.com/in/priscilla-saunier-6b969167" TargetMode="External"/><Relationship  Id="rId2231" Type="http://schemas.openxmlformats.org/officeDocument/2006/relationships/hyperlink" Target="http://finopia.fr" TargetMode="External"/><Relationship  Id="rId2232" Type="http://schemas.openxmlformats.org/officeDocument/2006/relationships/hyperlink" Target="http://www.linkedin.com/company/finopiareunion" TargetMode="External"/><Relationship  Id="rId2233" Type="http://schemas.openxmlformats.org/officeDocument/2006/relationships/hyperlink" Target="http://www.linkedin.com/in/sandjivy-philippe-finopia" TargetMode="External"/><Relationship  Id="rId2234" Type="http://schemas.openxmlformats.org/officeDocument/2006/relationships/hyperlink" Target="http://autonomii.fr" TargetMode="External"/><Relationship  Id="rId2235" Type="http://schemas.openxmlformats.org/officeDocument/2006/relationships/hyperlink" Target="http://www.linkedin.com/company/autonomii" TargetMode="External"/><Relationship  Id="rId2236" Type="http://schemas.openxmlformats.org/officeDocument/2006/relationships/hyperlink" Target="http://www.linkedin.com/in/pauline-schmutz-13b5b219" TargetMode="External"/><Relationship  Id="rId2237" Type="http://schemas.openxmlformats.org/officeDocument/2006/relationships/hyperlink" Target="http://lopticienquibouge.fr" TargetMode="External"/><Relationship  Id="rId2238" Type="http://schemas.openxmlformats.org/officeDocument/2006/relationships/hyperlink" Target="http://www.linkedin.com/company/l-opticien-qui-bouge" TargetMode="External"/><Relationship  Id="rId2239" Type="http://schemas.openxmlformats.org/officeDocument/2006/relationships/hyperlink" Target="https://www.facebook.com/LOpticienQuiBouge/" TargetMode="External"/><Relationship  Id="rId224" Type="http://schemas.openxmlformats.org/officeDocument/2006/relationships/hyperlink" Target="http://tetra-info.com" TargetMode="External"/><Relationship  Id="rId2240" Type="http://schemas.openxmlformats.org/officeDocument/2006/relationships/hyperlink" Target="http://www.linkedin.com/in/pierretisseau" TargetMode="External"/><Relationship  Id="rId2241" Type="http://schemas.openxmlformats.org/officeDocument/2006/relationships/hyperlink" Target="http://oblige.fr" TargetMode="External"/><Relationship  Id="rId2242" Type="http://schemas.openxmlformats.org/officeDocument/2006/relationships/hyperlink" Target="http://www.linkedin.com/company/oblige-ai" TargetMode="External"/><Relationship  Id="rId2243" Type="http://schemas.openxmlformats.org/officeDocument/2006/relationships/hyperlink" Target="https://twitter.com/Oblige_ai" TargetMode="External"/><Relationship  Id="rId2244" Type="http://schemas.openxmlformats.org/officeDocument/2006/relationships/hyperlink" Target="http://www.linkedin.com/in/quentinlagier" TargetMode="External"/><Relationship  Id="rId2245" Type="http://schemas.openxmlformats.org/officeDocument/2006/relationships/hyperlink" Target="http://ideel.io" TargetMode="External"/><Relationship  Id="rId2246" Type="http://schemas.openxmlformats.org/officeDocument/2006/relationships/hyperlink" Target="http://www.linkedin.com/company/ideel-abo" TargetMode="External"/><Relationship  Id="rId2247" Type="http://schemas.openxmlformats.org/officeDocument/2006/relationships/hyperlink" Target="https://twitter.com/ideel_abo" TargetMode="External"/><Relationship  Id="rId2248" Type="http://schemas.openxmlformats.org/officeDocument/2006/relationships/hyperlink" Target="https://www.facebook.com/ideel.abo/" TargetMode="External"/><Relationship  Id="rId2249" Type="http://schemas.openxmlformats.org/officeDocument/2006/relationships/hyperlink" Target="http://www.linkedin.com/in/quentin-musson-87586483" TargetMode="External"/><Relationship  Id="rId225" Type="http://schemas.openxmlformats.org/officeDocument/2006/relationships/hyperlink" Target="http://www.linkedin.com/company/tetra-informatique" TargetMode="External"/><Relationship  Id="rId2250" Type="http://schemas.openxmlformats.org/officeDocument/2006/relationships/hyperlink" Target="http://digitalfactorytelecom.fr" TargetMode="External"/><Relationship  Id="rId2251" Type="http://schemas.openxmlformats.org/officeDocument/2006/relationships/hyperlink" Target="http://www.linkedin.com/company/digital-factory-telecom" TargetMode="External"/><Relationship  Id="rId2252" Type="http://schemas.openxmlformats.org/officeDocument/2006/relationships/hyperlink" Target="https://twitter.com/Telecom_Dft" TargetMode="External"/><Relationship  Id="rId2253" Type="http://schemas.openxmlformats.org/officeDocument/2006/relationships/hyperlink" Target="https://www.facebook.com/Digital-Factory-Telecom-101986712282966" TargetMode="External"/><Relationship  Id="rId2254" Type="http://schemas.openxmlformats.org/officeDocument/2006/relationships/hyperlink" Target="http://www.linkedin.com/in/romain-martin-309a67120" TargetMode="External"/><Relationship  Id="rId2255" Type="http://schemas.openxmlformats.org/officeDocument/2006/relationships/hyperlink" Target="http://22emesiecle.com" TargetMode="External"/><Relationship  Id="rId2256" Type="http://schemas.openxmlformats.org/officeDocument/2006/relationships/hyperlink" Target="http://www.linkedin.com/company/22eme-siecle" TargetMode="External"/><Relationship  Id="rId2257" Type="http://schemas.openxmlformats.org/officeDocument/2006/relationships/hyperlink" Target="http://www.linkedin.com/in/raphaelbosch" TargetMode="External"/><Relationship  Id="rId2258" Type="http://schemas.openxmlformats.org/officeDocument/2006/relationships/hyperlink" Target="http://baback.co" TargetMode="External"/><Relationship  Id="rId2259" Type="http://schemas.openxmlformats.org/officeDocument/2006/relationships/hyperlink" Target="http://www.linkedin.com/company/baback" TargetMode="External"/><Relationship  Id="rId226" Type="http://schemas.openxmlformats.org/officeDocument/2006/relationships/hyperlink" Target="https://twitter.com/tetra_info" TargetMode="External"/><Relationship  Id="rId2260" Type="http://schemas.openxmlformats.org/officeDocument/2006/relationships/hyperlink" Target="http://www.linkedin.com/in/r-touati" TargetMode="External"/><Relationship  Id="rId2261" Type="http://schemas.openxmlformats.org/officeDocument/2006/relationships/hyperlink" Target="http://maison-raphael.com" TargetMode="External"/><Relationship  Id="rId2262" Type="http://schemas.openxmlformats.org/officeDocument/2006/relationships/hyperlink" Target="http://www.linkedin.com/company/maisonraphael" TargetMode="External"/><Relationship  Id="rId2263" Type="http://schemas.openxmlformats.org/officeDocument/2006/relationships/hyperlink" Target="http://www.linkedin.com/in/rapha%c3%abl-hassenforder-87417812a" TargetMode="External"/><Relationship  Id="rId2264" Type="http://schemas.openxmlformats.org/officeDocument/2006/relationships/hyperlink" Target="http://cristal.je" TargetMode="External"/><Relationship  Id="rId2265" Type="http://schemas.openxmlformats.org/officeDocument/2006/relationships/hyperlink" Target="http://www.linkedin.com/company/association-cristal" TargetMode="External"/><Relationship  Id="rId2266" Type="http://schemas.openxmlformats.org/officeDocument/2006/relationships/hyperlink" Target="https://twitter.com/cristalasso" TargetMode="External"/><Relationship  Id="rId2267" Type="http://schemas.openxmlformats.org/officeDocument/2006/relationships/hyperlink" Target="https://www.facebook.com/assoCristal/" TargetMode="External"/><Relationship  Id="rId2268" Type="http://schemas.openxmlformats.org/officeDocument/2006/relationships/hyperlink" Target="http://www.linkedin.com/in/rayan-drissi-1b66421b3" TargetMode="External"/><Relationship  Id="rId2269" Type="http://schemas.openxmlformats.org/officeDocument/2006/relationships/hyperlink" Target="http://fibrealpha.fr" TargetMode="External"/><Relationship  Id="rId227" Type="http://schemas.openxmlformats.org/officeDocument/2006/relationships/hyperlink" Target="https://www.facebook.com/tetrainformatique/" TargetMode="External"/><Relationship  Id="rId2270" Type="http://schemas.openxmlformats.org/officeDocument/2006/relationships/hyperlink" Target="http://www.linkedin.com/company/fibre-alpha" TargetMode="External"/><Relationship  Id="rId2271" Type="http://schemas.openxmlformats.org/officeDocument/2006/relationships/hyperlink" Target="http://www.linkedin.com/in/djamel-reddaf-435672195" TargetMode="External"/><Relationship  Id="rId2272" Type="http://schemas.openxmlformats.org/officeDocument/2006/relationships/hyperlink" Target="http://tec3h.fr" TargetMode="External"/><Relationship  Id="rId2273" Type="http://schemas.openxmlformats.org/officeDocument/2006/relationships/hyperlink" Target="http://www.linkedin.com/company/tec3h" TargetMode="External"/><Relationship  Id="rId2274" Type="http://schemas.openxmlformats.org/officeDocument/2006/relationships/hyperlink" Target="https://twitter.com/tec3_h" TargetMode="External"/><Relationship  Id="rId2275" Type="http://schemas.openxmlformats.org/officeDocument/2006/relationships/hyperlink" Target="https://www.facebook.com/tec3h/" TargetMode="External"/><Relationship  Id="rId2276" Type="http://schemas.openxmlformats.org/officeDocument/2006/relationships/hyperlink" Target="http://www.linkedin.com/in/r%c3%a9gis-tranquille-b48bba119" TargetMode="External"/><Relationship  Id="rId2277" Type="http://schemas.openxmlformats.org/officeDocument/2006/relationships/hyperlink" Target="http://nextmove.fr" TargetMode="External"/><Relationship  Id="rId2278" Type="http://schemas.openxmlformats.org/officeDocument/2006/relationships/hyperlink" Target="http://www.linkedin.com/company/nextmovecluster" TargetMode="External"/><Relationship  Id="rId2279" Type="http://schemas.openxmlformats.org/officeDocument/2006/relationships/hyperlink" Target="http://www.linkedin.com/in/r%c3%a9mi-bastien-a68b8650" TargetMode="External"/><Relationship  Id="rId228" Type="http://schemas.openxmlformats.org/officeDocument/2006/relationships/hyperlink" Target="http://www.linkedin.com/in/alain-savary-b16309b0" TargetMode="External"/><Relationship  Id="rId2280" Type="http://schemas.openxmlformats.org/officeDocument/2006/relationships/hyperlink" Target="http://turnk.co" TargetMode="External"/><Relationship  Id="rId2281" Type="http://schemas.openxmlformats.org/officeDocument/2006/relationships/hyperlink" Target="http://www.linkedin.com/company/turnk" TargetMode="External"/><Relationship  Id="rId2282" Type="http://schemas.openxmlformats.org/officeDocument/2006/relationships/hyperlink" Target="http://www.linkedin.com/in/remi-woronkiewicz-pro" TargetMode="External"/><Relationship  Id="rId2283" Type="http://schemas.openxmlformats.org/officeDocument/2006/relationships/hyperlink" Target="http://i3konnect.com" TargetMode="External"/><Relationship  Id="rId2284" Type="http://schemas.openxmlformats.org/officeDocument/2006/relationships/hyperlink" Target="http://www.linkedin.com/company/i3konnect" TargetMode="External"/><Relationship  Id="rId2285" Type="http://schemas.openxmlformats.org/officeDocument/2006/relationships/hyperlink" Target="http://www.linkedin.com/in/renaud-chatelier-24401276" TargetMode="External"/><Relationship  Id="rId2286" Type="http://schemas.openxmlformats.org/officeDocument/2006/relationships/hyperlink" Target="http://everdata.fr" TargetMode="External"/><Relationship  Id="rId2287" Type="http://schemas.openxmlformats.org/officeDocument/2006/relationships/hyperlink" Target="http://www.linkedin.com/company/everdata" TargetMode="External"/><Relationship  Id="rId2288" Type="http://schemas.openxmlformats.org/officeDocument/2006/relationships/hyperlink" Target="http://www.linkedin.com/in/cybersecurit%c3%a9" TargetMode="External"/><Relationship  Id="rId2289" Type="http://schemas.openxmlformats.org/officeDocument/2006/relationships/hyperlink" Target="http://talenco.com" TargetMode="External"/><Relationship  Id="rId229" Type="http://schemas.openxmlformats.org/officeDocument/2006/relationships/hyperlink" Target="http://www.linkedin.com/company/e%c2%b7nov-construction" TargetMode="External"/><Relationship  Id="rId2290" Type="http://schemas.openxmlformats.org/officeDocument/2006/relationships/hyperlink" Target="http://www.linkedin.com/company/talenco-formations" TargetMode="External"/><Relationship  Id="rId2291" Type="http://schemas.openxmlformats.org/officeDocument/2006/relationships/hyperlink" Target="https://twitter.com/talenco" TargetMode="External"/><Relationship  Id="rId2292" Type="http://schemas.openxmlformats.org/officeDocument/2006/relationships/hyperlink" Target="https://www.facebook.com/Talenco/" TargetMode="External"/><Relationship  Id="rId2293" Type="http://schemas.openxmlformats.org/officeDocument/2006/relationships/hyperlink" Target="http://www.linkedin.com/in/raphaelkattan" TargetMode="External"/><Relationship  Id="rId2294" Type="http://schemas.openxmlformats.org/officeDocument/2006/relationships/hyperlink" Target="http://evogest.fr" TargetMode="External"/><Relationship  Id="rId2295" Type="http://schemas.openxmlformats.org/officeDocument/2006/relationships/hyperlink" Target="http://www.linkedin.com/company/evogest" TargetMode="External"/><Relationship  Id="rId2296" Type="http://schemas.openxmlformats.org/officeDocument/2006/relationships/hyperlink" Target="https://www.facebook.com/evogest.logest/" TargetMode="External"/><Relationship  Id="rId2297" Type="http://schemas.openxmlformats.org/officeDocument/2006/relationships/hyperlink" Target="http://www.linkedin.com/in/r%c3%a9gis-loutzek-1b8264115" TargetMode="External"/><Relationship  Id="rId2298" Type="http://schemas.openxmlformats.org/officeDocument/2006/relationships/hyperlink" Target="http://placeme.io" TargetMode="External"/><Relationship  Id="rId2299" Type="http://schemas.openxmlformats.org/officeDocument/2006/relationships/hyperlink" Target="http://www.linkedin.com/company/placeme-sas" TargetMode="External"/><Relationship  Id="rId23" Type="http://schemas.openxmlformats.org/officeDocument/2006/relationships/hyperlink" Target="http://juliencorp.fr" TargetMode="External"/><Relationship  Id="rId230" Type="http://schemas.openxmlformats.org/officeDocument/2006/relationships/hyperlink" Target="http://www.linkedin.com/in/bruno-aubert-9398bbb2" TargetMode="External"/><Relationship  Id="rId2300" Type="http://schemas.openxmlformats.org/officeDocument/2006/relationships/hyperlink" Target="https://twitter.com/PlaceMe_io" TargetMode="External"/><Relationship  Id="rId2301" Type="http://schemas.openxmlformats.org/officeDocument/2006/relationships/hyperlink" Target="https://www.facebook.com/placeme.io/" TargetMode="External"/><Relationship  Id="rId2302" Type="http://schemas.openxmlformats.org/officeDocument/2006/relationships/hyperlink" Target="http://www.linkedin.com/in/robincoma" TargetMode="External"/><Relationship  Id="rId2303" Type="http://schemas.openxmlformats.org/officeDocument/2006/relationships/hyperlink" Target="http://aprex-solutions.com" TargetMode="External"/><Relationship  Id="rId2304" Type="http://schemas.openxmlformats.org/officeDocument/2006/relationships/hyperlink" Target="http://www.linkedin.com/company/aprex-solutions" TargetMode="External"/><Relationship  Id="rId2305" Type="http://schemas.openxmlformats.org/officeDocument/2006/relationships/hyperlink" Target="http://www.linkedin.com/in/romain-baude-41bb9bab" TargetMode="External"/><Relationship  Id="rId2306" Type="http://schemas.openxmlformats.org/officeDocument/2006/relationships/hyperlink" Target="http://mpm-ing.com" TargetMode="External"/><Relationship  Id="rId2307" Type="http://schemas.openxmlformats.org/officeDocument/2006/relationships/hyperlink" Target="http://www.linkedin.com/company/mpm-my-project-manager" TargetMode="External"/><Relationship  Id="rId2308" Type="http://schemas.openxmlformats.org/officeDocument/2006/relationships/hyperlink" Target="http://www.linkedin.com/in/romain-decoopman-892460186" TargetMode="External"/><Relationship  Id="rId2309" Type="http://schemas.openxmlformats.org/officeDocument/2006/relationships/hyperlink" Target="http://kiviak-technologies.com" TargetMode="External"/><Relationship  Id="rId231" Type="http://schemas.openxmlformats.org/officeDocument/2006/relationships/hyperlink" Target="http://powerflow.fr" TargetMode="External"/><Relationship  Id="rId2310" Type="http://schemas.openxmlformats.org/officeDocument/2006/relationships/hyperlink" Target="http://www.linkedin.com/company/kiviak-technologies" TargetMode="External"/><Relationship  Id="rId2311" Type="http://schemas.openxmlformats.org/officeDocument/2006/relationships/hyperlink" Target="http://www.linkedin.com/in/romain-giannetti-01b74995" TargetMode="External"/><Relationship  Id="rId2312" Type="http://schemas.openxmlformats.org/officeDocument/2006/relationships/hyperlink" Target="http://www.linkedin.com/company/izigroup20" TargetMode="External"/><Relationship  Id="rId2313" Type="http://schemas.openxmlformats.org/officeDocument/2006/relationships/hyperlink" Target="http://www.linkedin.com/in/romain-lasseur" TargetMode="External"/><Relationship  Id="rId2314" Type="http://schemas.openxmlformats.org/officeDocument/2006/relationships/hyperlink" Target="http://capture-solutions.fr" TargetMode="External"/><Relationship  Id="rId2315" Type="http://schemas.openxmlformats.org/officeDocument/2006/relationships/hyperlink" Target="http://www.linkedin.com/company/capture-solution123" TargetMode="External"/><Relationship  Id="rId2316" Type="http://schemas.openxmlformats.org/officeDocument/2006/relationships/hyperlink" Target="http://www.linkedin.com/in/romain-sommero-19b09756" TargetMode="External"/><Relationship  Id="rId2317" Type="http://schemas.openxmlformats.org/officeDocument/2006/relationships/hyperlink" Target="http://tremplin-numerique.org" TargetMode="External"/><Relationship  Id="rId2318" Type="http://schemas.openxmlformats.org/officeDocument/2006/relationships/hyperlink" Target="http://www.linkedin.com/company/tremplinumerique" TargetMode="External"/><Relationship  Id="rId2319" Type="http://schemas.openxmlformats.org/officeDocument/2006/relationships/hyperlink" Target="http://www.linkedin.com/in/romain-rafecas-8aa805103" TargetMode="External"/><Relationship  Id="rId232" Type="http://schemas.openxmlformats.org/officeDocument/2006/relationships/hyperlink" Target="http://www.linkedin.com/company/powerflow-paris" TargetMode="External"/><Relationship  Id="rId2320" Type="http://schemas.openxmlformats.org/officeDocument/2006/relationships/hyperlink" Target="http://timicmac.fr" TargetMode="External"/><Relationship  Id="rId2321" Type="http://schemas.openxmlformats.org/officeDocument/2006/relationships/hyperlink" Target="http://www.linkedin.com/company/timicmac-vide-grenier-permanent-du-pays-de-morlaix" TargetMode="External"/><Relationship  Id="rId2322" Type="http://schemas.openxmlformats.org/officeDocument/2006/relationships/hyperlink" Target="https://www.facebook.com/timicmac" TargetMode="External"/><Relationship  Id="rId2323" Type="http://schemas.openxmlformats.org/officeDocument/2006/relationships/hyperlink" Target="http://www.linkedin.com/in/ronan-pouliquen-75910951" TargetMode="External"/><Relationship  Id="rId2324" Type="http://schemas.openxmlformats.org/officeDocument/2006/relationships/hyperlink" Target="http://deltacad.fr" TargetMode="External"/><Relationship  Id="rId2325" Type="http://schemas.openxmlformats.org/officeDocument/2006/relationships/hyperlink" Target="http://www.linkedin.com/company/deltacad" TargetMode="External"/><Relationship  Id="rId2326" Type="http://schemas.openxmlformats.org/officeDocument/2006/relationships/hyperlink" Target="http://www.linkedin.com/in/harvey-rowson" TargetMode="External"/><Relationship  Id="rId2327" Type="http://schemas.openxmlformats.org/officeDocument/2006/relationships/hyperlink" Target="http://lemon-interactive.fr" TargetMode="External"/><Relationship  Id="rId2328" Type="http://schemas.openxmlformats.org/officeDocument/2006/relationships/hyperlink" Target="http://www.linkedin.com/company/lemon-interactive-lille-paris" TargetMode="External"/><Relationship  Id="rId2329" Type="http://schemas.openxmlformats.org/officeDocument/2006/relationships/hyperlink" Target="https://twitter.com/agencelemon" TargetMode="External"/><Relationship  Id="rId233" Type="http://schemas.openxmlformats.org/officeDocument/2006/relationships/hyperlink" Target="http://www.linkedin.com/in/audreyhicke" TargetMode="External"/><Relationship  Id="rId2330" Type="http://schemas.openxmlformats.org/officeDocument/2006/relationships/hyperlink" Target="https://facebook.com/agence.lemon.interactive" TargetMode="External"/><Relationship  Id="rId2331" Type="http://schemas.openxmlformats.org/officeDocument/2006/relationships/hyperlink" Target="http://www.linkedin.com/in/rapha%c3%abl-robil-1686113" TargetMode="External"/><Relationship  Id="rId2332" Type="http://schemas.openxmlformats.org/officeDocument/2006/relationships/hyperlink" Target="http://scaning.fr" TargetMode="External"/><Relationship  Id="rId2333" Type="http://schemas.openxmlformats.org/officeDocument/2006/relationships/hyperlink" Target="http://www.linkedin.com/company/scaning" TargetMode="External"/><Relationship  Id="rId2334" Type="http://schemas.openxmlformats.org/officeDocument/2006/relationships/hyperlink" Target="http://www.linkedin.com/in/sylvie-aveillan-a4b7027" TargetMode="External"/><Relationship  Id="rId2335" Type="http://schemas.openxmlformats.org/officeDocument/2006/relationships/hyperlink" Target="http://hamel-ge.com" TargetMode="External"/><Relationship  Id="rId2336" Type="http://schemas.openxmlformats.org/officeDocument/2006/relationships/hyperlink" Target="http://www.linkedin.com/company/hamel-ge" TargetMode="External"/><Relationship  Id="rId2337" Type="http://schemas.openxmlformats.org/officeDocument/2006/relationships/hyperlink" Target="http://www.linkedin.com/in/stephane-averty-geometre" TargetMode="External"/><Relationship  Id="rId2338" Type="http://schemas.openxmlformats.org/officeDocument/2006/relationships/hyperlink" Target="http://geoboxtelematics.com" TargetMode="External"/><Relationship  Id="rId2339" Type="http://schemas.openxmlformats.org/officeDocument/2006/relationships/hyperlink" Target="http://www.linkedin.com/company/geoboxtelematics" TargetMode="External"/><Relationship  Id="rId234" Type="http://schemas.openxmlformats.org/officeDocument/2006/relationships/hyperlink" Target="http://ultralaborans.org" TargetMode="External"/><Relationship  Id="rId2340" Type="http://schemas.openxmlformats.org/officeDocument/2006/relationships/hyperlink" Target="http://www.linkedin.com/in/souhailbakhti" TargetMode="External"/><Relationship  Id="rId2341" Type="http://schemas.openxmlformats.org/officeDocument/2006/relationships/hyperlink" Target="http://phenix-partner.fr" TargetMode="External"/><Relationship  Id="rId2342" Type="http://schemas.openxmlformats.org/officeDocument/2006/relationships/hyperlink" Target="http://www.linkedin.com/company/phenix-partner" TargetMode="External"/><Relationship  Id="rId2343" Type="http://schemas.openxmlformats.org/officeDocument/2006/relationships/hyperlink" Target="http://www.linkedin.com/in/said-benamrouche-90741510b" TargetMode="External"/><Relationship  Id="rId2344" Type="http://schemas.openxmlformats.org/officeDocument/2006/relationships/hyperlink" Target="http://cohesens.net" TargetMode="External"/><Relationship  Id="rId2345" Type="http://schemas.openxmlformats.org/officeDocument/2006/relationships/hyperlink" Target="http://www.linkedin.com/company/coh%c3%a9sens" TargetMode="External"/><Relationship  Id="rId2346" Type="http://schemas.openxmlformats.org/officeDocument/2006/relationships/hyperlink" Target="http://www.linkedin.com/in/simon-bliard-0627ab212" TargetMode="External"/><Relationship  Id="rId2347" Type="http://schemas.openxmlformats.org/officeDocument/2006/relationships/hyperlink" Target="http://tci-treuil.fr" TargetMode="External"/><Relationship  Id="rId2348" Type="http://schemas.openxmlformats.org/officeDocument/2006/relationships/hyperlink" Target="http://www.linkedin.com/company/treuil-construction-ingenierie" TargetMode="External"/><Relationship  Id="rId2349" Type="http://schemas.openxmlformats.org/officeDocument/2006/relationships/hyperlink" Target="https://twitter.com/ThemerexThemes" TargetMode="External"/><Relationship  Id="rId235" Type="http://schemas.openxmlformats.org/officeDocument/2006/relationships/hyperlink" Target="http://www.linkedin.com/company/ultralaborans" TargetMode="External"/><Relationship  Id="rId2350" Type="http://schemas.openxmlformats.org/officeDocument/2006/relationships/hyperlink" Target="http://www.linkedin.com/in/sebastien-cav%c3%a9-2a734390" TargetMode="External"/><Relationship  Id="rId2351" Type="http://schemas.openxmlformats.org/officeDocument/2006/relationships/hyperlink" Target="http://specinov.fr" TargetMode="External"/><Relationship  Id="rId2352" Type="http://schemas.openxmlformats.org/officeDocument/2006/relationships/hyperlink" Target="http://www.linkedin.com/company/sp%c3%a9cinov" TargetMode="External"/><Relationship  Id="rId2353" Type="http://schemas.openxmlformats.org/officeDocument/2006/relationships/hyperlink" Target="http://www.linkedin.com/in/sebastienchaslin" TargetMode="External"/><Relationship  Id="rId2354" Type="http://schemas.openxmlformats.org/officeDocument/2006/relationships/hyperlink" Target="http://acb-groupe.fr" TargetMode="External"/><Relationship  Id="rId2355" Type="http://schemas.openxmlformats.org/officeDocument/2006/relationships/hyperlink" Target="http://www.linkedin.com/company/groupe-acb-concessionnaire-xerox" TargetMode="External"/><Relationship  Id="rId2356" Type="http://schemas.openxmlformats.org/officeDocument/2006/relationships/hyperlink" Target="https://facebook.com/groupacb" TargetMode="External"/><Relationship  Id="rId2357" Type="http://schemas.openxmlformats.org/officeDocument/2006/relationships/hyperlink" Target="http://www.linkedin.com/in/st%c3%a9phane-d%c3%a9robert-a7699047" TargetMode="External"/><Relationship  Id="rId2358" Type="http://schemas.openxmlformats.org/officeDocument/2006/relationships/hyperlink" Target="http://gindro.com" TargetMode="External"/><Relationship  Id="rId2359" Type="http://schemas.openxmlformats.org/officeDocument/2006/relationships/hyperlink" Target="http://www.linkedin.com/company/gindro-sas" TargetMode="External"/><Relationship  Id="rId236" Type="http://schemas.openxmlformats.org/officeDocument/2006/relationships/hyperlink" Target="http://www.linkedin.com/in/aur%c3%a9lie-deudon-b30b3235" TargetMode="External"/><Relationship  Id="rId2360" Type="http://schemas.openxmlformats.org/officeDocument/2006/relationships/hyperlink" Target="http://www.linkedin.com/in/sebastien-gindro-63a41077" TargetMode="External"/><Relationship  Id="rId2361" Type="http://schemas.openxmlformats.org/officeDocument/2006/relationships/hyperlink" Target="http://www.linkedin.com/in/stephane-navarro-tab" TargetMode="External"/><Relationship  Id="rId2362" Type="http://schemas.openxmlformats.org/officeDocument/2006/relationships/hyperlink" Target="http://www.linkedin.com/in/stephane-perrin-60ab5013" TargetMode="External"/><Relationship  Id="rId2363" Type="http://schemas.openxmlformats.org/officeDocument/2006/relationships/hyperlink" Target="http://ad-and-co.fr" TargetMode="External"/><Relationship  Id="rId2364" Type="http://schemas.openxmlformats.org/officeDocument/2006/relationships/hyperlink" Target="http://www.linkedin.com/company/ad-and-co" TargetMode="External"/><Relationship  Id="rId2365" Type="http://schemas.openxmlformats.org/officeDocument/2006/relationships/hyperlink" Target="https://twitter.com/ad_and_co" TargetMode="External"/><Relationship  Id="rId2366" Type="http://schemas.openxmlformats.org/officeDocument/2006/relationships/hyperlink" Target="https://www.facebook.com/adandcoFrance/" TargetMode="External"/><Relationship  Id="rId2367" Type="http://schemas.openxmlformats.org/officeDocument/2006/relationships/hyperlink" Target="http://www.linkedin.com/in/sylvie-traquini-quang" TargetMode="External"/><Relationship  Id="rId2368" Type="http://schemas.openxmlformats.org/officeDocument/2006/relationships/hyperlink" Target="http://noveha.fr" TargetMode="External"/><Relationship  Id="rId2369" Type="http://schemas.openxmlformats.org/officeDocument/2006/relationships/hyperlink" Target="http://www.linkedin.com/company/noveha85" TargetMode="External"/><Relationship  Id="rId237" Type="http://schemas.openxmlformats.org/officeDocument/2006/relationships/hyperlink" Target="http://www.linkedin.com/company/chut-mag" TargetMode="External"/><Relationship  Id="rId2370" Type="http://schemas.openxmlformats.org/officeDocument/2006/relationships/hyperlink" Target="http://www.linkedin.com/in/samuel-richard-432a7310b" TargetMode="External"/><Relationship  Id="rId2371" Type="http://schemas.openxmlformats.org/officeDocument/2006/relationships/hyperlink" Target="http://lestoreparisien.fr" TargetMode="External"/><Relationship  Id="rId2372" Type="http://schemas.openxmlformats.org/officeDocument/2006/relationships/hyperlink" Target="http://www.linkedin.com/company/lestoreparisien" TargetMode="External"/><Relationship  Id="rId2373" Type="http://schemas.openxmlformats.org/officeDocument/2006/relationships/hyperlink" Target="http://www.linkedin.com/in/s%c3%a9bastien-sallaz-1856b42b" TargetMode="External"/><Relationship  Id="rId2374" Type="http://schemas.openxmlformats.org/officeDocument/2006/relationships/hyperlink" Target="http://action-btp.fr" TargetMode="External"/><Relationship  Id="rId2375" Type="http://schemas.openxmlformats.org/officeDocument/2006/relationships/hyperlink" Target="http://www.linkedin.com/company/action-btp-travaux-publics" TargetMode="External"/><Relationship  Id="rId2376" Type="http://schemas.openxmlformats.org/officeDocument/2006/relationships/hyperlink" Target="http://www.linkedin.com/in/umit-sever-630423a7" TargetMode="External"/><Relationship  Id="rId2377" Type="http://schemas.openxmlformats.org/officeDocument/2006/relationships/hyperlink" Target="http://stibureautique.com" TargetMode="External"/><Relationship  Id="rId2378" Type="http://schemas.openxmlformats.org/officeDocument/2006/relationships/hyperlink" Target="http://www.linkedin.com/company/sti-bureautique" TargetMode="External"/><Relationship  Id="rId2379" Type="http://schemas.openxmlformats.org/officeDocument/2006/relationships/hyperlink" Target="http://www.linkedin.com/in/%f0%9f%94%b5-st%c3%a9fan-werschner-7658a94b" TargetMode="External"/><Relationship  Id="rId238" Type="http://schemas.openxmlformats.org/officeDocument/2006/relationships/hyperlink" Target="https://twitter.com/Chut_magazine" TargetMode="External"/><Relationship  Id="rId2380" Type="http://schemas.openxmlformats.org/officeDocument/2006/relationships/hyperlink" Target="http://procal.fr" TargetMode="External"/><Relationship  Id="rId2381" Type="http://schemas.openxmlformats.org/officeDocument/2006/relationships/hyperlink" Target="http://www.linkedin.com/company/procal" TargetMode="External"/><Relationship  Id="rId2382" Type="http://schemas.openxmlformats.org/officeDocument/2006/relationships/hyperlink" Target="http://www.linkedin.com/in/sa%c3%afd-benmedjahed-a78a685b" TargetMode="External"/><Relationship  Id="rId2383" Type="http://schemas.openxmlformats.org/officeDocument/2006/relationships/hyperlink" Target="http://rocapine.com" TargetMode="External"/><Relationship  Id="rId2384" Type="http://schemas.openxmlformats.org/officeDocument/2006/relationships/hyperlink" Target="http://www.linkedin.com/company/rocapinecompany" TargetMode="External"/><Relationship  Id="rId2385" Type="http://schemas.openxmlformats.org/officeDocument/2006/relationships/hyperlink" Target="http://www.linkedin.com/in/sammy-teillet-30b97963" TargetMode="External"/><Relationship  Id="rId2386" Type="http://schemas.openxmlformats.org/officeDocument/2006/relationships/hyperlink" Target="http://daniel-mouton.com" TargetMode="External"/><Relationship  Id="rId2387" Type="http://schemas.openxmlformats.org/officeDocument/2006/relationships/hyperlink" Target="http://www.linkedin.com/company/daniel-mouton" TargetMode="External"/><Relationship  Id="rId2388" Type="http://schemas.openxmlformats.org/officeDocument/2006/relationships/hyperlink" Target="https://www.facebook.com/DanielMoutonAudiVW/" TargetMode="External"/><Relationship  Id="rId2389" Type="http://schemas.openxmlformats.org/officeDocument/2006/relationships/hyperlink" Target="http://www.linkedin.com/in/samuelmouton" TargetMode="External"/><Relationship  Id="rId239" Type="http://schemas.openxmlformats.org/officeDocument/2006/relationships/hyperlink" Target="https://www.facebook.com/ChutMagazine/" TargetMode="External"/><Relationship  Id="rId2390" Type="http://schemas.openxmlformats.org/officeDocument/2006/relationships/hyperlink" Target="http://oeba.fr" TargetMode="External"/><Relationship  Id="rId2391" Type="http://schemas.openxmlformats.org/officeDocument/2006/relationships/hyperlink" Target="http://www.linkedin.com/company/oebaescalier" TargetMode="External"/><Relationship  Id="rId2392" Type="http://schemas.openxmlformats.org/officeDocument/2006/relationships/hyperlink" Target="https://twitter.com/Oebaescalier" TargetMode="External"/><Relationship  Id="rId2393" Type="http://schemas.openxmlformats.org/officeDocument/2006/relationships/hyperlink" Target="https://www.facebook.com/oebaescalier/" TargetMode="External"/><Relationship  Id="rId2394" Type="http://schemas.openxmlformats.org/officeDocument/2006/relationships/hyperlink" Target="http://www.linkedin.com/in/samuel-poisson-6a1b02176" TargetMode="External"/><Relationship  Id="rId2395" Type="http://schemas.openxmlformats.org/officeDocument/2006/relationships/hyperlink" Target="http://wemet.fr" TargetMode="External"/><Relationship  Id="rId2396" Type="http://schemas.openxmlformats.org/officeDocument/2006/relationships/hyperlink" Target="http://www.linkedin.com/company/wemet" TargetMode="External"/><Relationship  Id="rId2397" Type="http://schemas.openxmlformats.org/officeDocument/2006/relationships/hyperlink" Target="https://twitter.com/WEMET_off" TargetMode="External"/><Relationship  Id="rId2398" Type="http://schemas.openxmlformats.org/officeDocument/2006/relationships/hyperlink" Target="https://www.facebook.com/wemet.card/" TargetMode="External"/><Relationship  Id="rId2399" Type="http://schemas.openxmlformats.org/officeDocument/2006/relationships/hyperlink" Target="http://www.linkedin.com/in/samuel-dassa" TargetMode="External"/><Relationship  Id="rId24" Type="http://schemas.openxmlformats.org/officeDocument/2006/relationships/hyperlink" Target="http://www.linkedin.com/company/julien-corporate" TargetMode="External"/><Relationship  Id="rId240" Type="http://schemas.openxmlformats.org/officeDocument/2006/relationships/hyperlink" Target="http://www.linkedin.com/in/aurore-bisicchia-12b7875" TargetMode="External"/><Relationship  Id="rId2400" Type="http://schemas.openxmlformats.org/officeDocument/2006/relationships/hyperlink" Target="http://adobisgroup.fr" TargetMode="External"/><Relationship  Id="rId2401" Type="http://schemas.openxmlformats.org/officeDocument/2006/relationships/hyperlink" Target="http://www.linkedin.com/company/adobis-group" TargetMode="External"/><Relationship  Id="rId2402" Type="http://schemas.openxmlformats.org/officeDocument/2006/relationships/hyperlink" Target="https://twitter.com/adobisgroup" TargetMode="External"/><Relationship  Id="rId2403" Type="http://schemas.openxmlformats.org/officeDocument/2006/relationships/hyperlink" Target="http://www.linkedin.com/in/sandra-mathieu-3528206a" TargetMode="External"/><Relationship  Id="rId2404" Type="http://schemas.openxmlformats.org/officeDocument/2006/relationships/hyperlink" Target="http://www.linkedin.com/in/sandrine-ballion-210980159" TargetMode="External"/><Relationship  Id="rId2405" Type="http://schemas.openxmlformats.org/officeDocument/2006/relationships/hyperlink" Target="http://www.linkedin.com/in/sandrine-huckert" TargetMode="External"/><Relationship  Id="rId2406" Type="http://schemas.openxmlformats.org/officeDocument/2006/relationships/hyperlink" Target="http://ipset.fr" TargetMode="External"/><Relationship  Id="rId2407" Type="http://schemas.openxmlformats.org/officeDocument/2006/relationships/hyperlink" Target="http://www.linkedin.com/company/ipset" TargetMode="External"/><Relationship  Id="rId2408" Type="http://schemas.openxmlformats.org/officeDocument/2006/relationships/hyperlink" Target="http://www.linkedin.com/in/sandrine-nazzi-aa22a7146" TargetMode="External"/><Relationship  Id="rId2409" Type="http://schemas.openxmlformats.org/officeDocument/2006/relationships/hyperlink" Target="http://forwards.co" TargetMode="External"/><Relationship  Id="rId241" Type="http://schemas.openxmlformats.org/officeDocument/2006/relationships/hyperlink" Target="http://promessens.fr" TargetMode="External"/><Relationship  Id="rId2410" Type="http://schemas.openxmlformats.org/officeDocument/2006/relationships/hyperlink" Target="http://www.linkedin.com/company/forwards-advisory" TargetMode="External"/><Relationship  Id="rId2411" Type="http://schemas.openxmlformats.org/officeDocument/2006/relationships/hyperlink" Target="http://www.linkedin.com/in/sarah-ichir" TargetMode="External"/><Relationship  Id="rId2412" Type="http://schemas.openxmlformats.org/officeDocument/2006/relationships/hyperlink" Target="http://www.linkedin.com/in/sylvain-champolivier-a68051153" TargetMode="External"/><Relationship  Id="rId2413" Type="http://schemas.openxmlformats.org/officeDocument/2006/relationships/hyperlink" Target="http://ipercom.com" TargetMode="External"/><Relationship  Id="rId2414" Type="http://schemas.openxmlformats.org/officeDocument/2006/relationships/hyperlink" Target="http://www.linkedin.com/company/pigma-communications" TargetMode="External"/><Relationship  Id="rId2415" Type="http://schemas.openxmlformats.org/officeDocument/2006/relationships/hyperlink" Target="http://www.linkedin.com/in/stephane-degouve-4b56b534" TargetMode="External"/><Relationship  Id="rId2416" Type="http://schemas.openxmlformats.org/officeDocument/2006/relationships/hyperlink" Target="http://www.linkedin.com/in/sophie-delemazure-10a91782" TargetMode="External"/><Relationship  Id="rId2417" Type="http://schemas.openxmlformats.org/officeDocument/2006/relationships/hyperlink" Target="http://2s-computing.fr" TargetMode="External"/><Relationship  Id="rId2418" Type="http://schemas.openxmlformats.org/officeDocument/2006/relationships/hyperlink" Target="http://www.linkedin.com/company/2s-computing" TargetMode="External"/><Relationship  Id="rId2419" Type="http://schemas.openxmlformats.org/officeDocument/2006/relationships/hyperlink" Target="https://twitter.com/2scomputing" TargetMode="External"/><Relationship  Id="rId242" Type="http://schemas.openxmlformats.org/officeDocument/2006/relationships/hyperlink" Target="http://www.linkedin.com/company/promessens" TargetMode="External"/><Relationship  Id="rId2420" Type="http://schemas.openxmlformats.org/officeDocument/2006/relationships/hyperlink" Target="https://www.facebook.com/2SCOMPUTING/" TargetMode="External"/><Relationship  Id="rId2421" Type="http://schemas.openxmlformats.org/officeDocument/2006/relationships/hyperlink" Target="http://www.linkedin.com/in/s%c3%a9bastien-pascal-1425807" TargetMode="External"/><Relationship  Id="rId2422" Type="http://schemas.openxmlformats.org/officeDocument/2006/relationships/hyperlink" Target="http://p-b-s.fr" TargetMode="External"/><Relationship  Id="rId2423" Type="http://schemas.openxmlformats.org/officeDocument/2006/relationships/hyperlink" Target="http://www.linkedin.com/company/pbs-construction-r%c3%a9habilitation" TargetMode="External"/><Relationship  Id="rId2424" Type="http://schemas.openxmlformats.org/officeDocument/2006/relationships/hyperlink" Target="http://www.linkedin.com/in/s%c3%a9bastien-raucy-0aa3258b" TargetMode="External"/><Relationship  Id="rId2425" Type="http://schemas.openxmlformats.org/officeDocument/2006/relationships/hyperlink" Target="http://optera.fr" TargetMode="External"/><Relationship  Id="rId2426" Type="http://schemas.openxmlformats.org/officeDocument/2006/relationships/hyperlink" Target="http://www.linkedin.com/company/opteraenergy" TargetMode="External"/><Relationship  Id="rId2427" Type="http://schemas.openxmlformats.org/officeDocument/2006/relationships/hyperlink" Target="http://www.linkedin.com/in/s%c3%a9bastien-thiry-9353b226" TargetMode="External"/><Relationship  Id="rId2428" Type="http://schemas.openxmlformats.org/officeDocument/2006/relationships/hyperlink" Target="http://cloud-iam.com" TargetMode="External"/><Relationship  Id="rId2429" Type="http://schemas.openxmlformats.org/officeDocument/2006/relationships/hyperlink" Target="http://www.linkedin.com/company/cloudiam" TargetMode="External"/><Relationship  Id="rId243" Type="http://schemas.openxmlformats.org/officeDocument/2006/relationships/hyperlink" Target="http://www.linkedin.com/in/agnesviallet" TargetMode="External"/><Relationship  Id="rId2430" Type="http://schemas.openxmlformats.org/officeDocument/2006/relationships/hyperlink" Target="https://twitter.com/cloud_iam_com" TargetMode="External"/><Relationship  Id="rId2431" Type="http://schemas.openxmlformats.org/officeDocument/2006/relationships/hyperlink" Target="http://www.linkedin.com/in/s%c3%a9bastien-brousse-2a916ba2" TargetMode="External"/><Relationship  Id="rId2432" Type="http://schemas.openxmlformats.org/officeDocument/2006/relationships/hyperlink" Target="http://www.linkedin.com/company/ezio-app" TargetMode="External"/><Relationship  Id="rId2433" Type="http://schemas.openxmlformats.org/officeDocument/2006/relationships/hyperlink" Target="https://www.facebook.com/EzioApp/" TargetMode="External"/><Relationship  Id="rId2434" Type="http://schemas.openxmlformats.org/officeDocument/2006/relationships/hyperlink" Target="http://www.linkedin.com/in/sebvray" TargetMode="External"/><Relationship  Id="rId2435" Type="http://schemas.openxmlformats.org/officeDocument/2006/relationships/hyperlink" Target="http://harmonyhome-construction.com" TargetMode="External"/><Relationship  Id="rId2436" Type="http://schemas.openxmlformats.org/officeDocument/2006/relationships/hyperlink" Target="http://www.linkedin.com/company/harmonyhome-construction" TargetMode="External"/><Relationship  Id="rId2437" Type="http://schemas.openxmlformats.org/officeDocument/2006/relationships/hyperlink" Target="http://www.linkedin.com/in/s%c3%a9bastien-kuzbik-8a1499158" TargetMode="External"/><Relationship  Id="rId2438" Type="http://schemas.openxmlformats.org/officeDocument/2006/relationships/hyperlink" Target="http://horezo.fr" TargetMode="External"/><Relationship  Id="rId2439" Type="http://schemas.openxmlformats.org/officeDocument/2006/relationships/hyperlink" Target="http://www.linkedin.com/company/horezo" TargetMode="External"/><Relationship  Id="rId244" Type="http://schemas.openxmlformats.org/officeDocument/2006/relationships/hyperlink" Target="http://tech-advising.com" TargetMode="External"/><Relationship  Id="rId2440" Type="http://schemas.openxmlformats.org/officeDocument/2006/relationships/hyperlink" Target="http://www.linkedin.com/in/sebastienserra" TargetMode="External"/><Relationship  Id="rId2441" Type="http://schemas.openxmlformats.org/officeDocument/2006/relationships/hyperlink" Target="http://vu-du-web.com" TargetMode="External"/><Relationship  Id="rId2442" Type="http://schemas.openxmlformats.org/officeDocument/2006/relationships/hyperlink" Target="http://www.linkedin.com/company/vu-du-web" TargetMode="External"/><Relationship  Id="rId2443" Type="http://schemas.openxmlformats.org/officeDocument/2006/relationships/hyperlink" Target="https://twitter.com/vuduweb" TargetMode="External"/><Relationship  Id="rId2444" Type="http://schemas.openxmlformats.org/officeDocument/2006/relationships/hyperlink" Target="https://www.facebook.com/vuduweb.seo" TargetMode="External"/><Relationship  Id="rId2445" Type="http://schemas.openxmlformats.org/officeDocument/2006/relationships/hyperlink" Target="http://www.linkedin.com/in/arnaudvdw" TargetMode="External"/><Relationship  Id="rId2446" Type="http://schemas.openxmlformats.org/officeDocument/2006/relationships/hyperlink" Target="http://diadao.fr" TargetMode="External"/><Relationship  Id="rId2447" Type="http://schemas.openxmlformats.org/officeDocument/2006/relationships/hyperlink" Target="http://www.linkedin.com/company/diadao" TargetMode="External"/><Relationship  Id="rId2448" Type="http://schemas.openxmlformats.org/officeDocument/2006/relationships/hyperlink" Target="https://www.facebook.com/Diadao" TargetMode="External"/><Relationship  Id="rId2449" Type="http://schemas.openxmlformats.org/officeDocument/2006/relationships/hyperlink" Target="http://www.linkedin.com/in/serge-bija-a6bab514" TargetMode="External"/><Relationship  Id="rId245" Type="http://schemas.openxmlformats.org/officeDocument/2006/relationships/hyperlink" Target="http://www.linkedin.com/company/tech-advising" TargetMode="External"/><Relationship  Id="rId2450" Type="http://schemas.openxmlformats.org/officeDocument/2006/relationships/hyperlink" Target="http://jbs-coaching.com" TargetMode="External"/><Relationship  Id="rId2451" Type="http://schemas.openxmlformats.org/officeDocument/2006/relationships/hyperlink" Target="http://www.linkedin.com/school/jbs-ecole-de-coaching" TargetMode="External"/><Relationship  Id="rId2452" Type="http://schemas.openxmlformats.org/officeDocument/2006/relationships/hyperlink" Target="https://twitter.com/EcoleJBS" TargetMode="External"/><Relationship  Id="rId2453" Type="http://schemas.openxmlformats.org/officeDocument/2006/relationships/hyperlink" Target="http://www.linkedin.com/in/serge-eskenazi-16b5442a" TargetMode="External"/><Relationship  Id="rId2454" Type="http://schemas.openxmlformats.org/officeDocument/2006/relationships/hyperlink" Target="http://immaterra.com" TargetMode="External"/><Relationship  Id="rId2455" Type="http://schemas.openxmlformats.org/officeDocument/2006/relationships/hyperlink" Target="http://www.linkedin.com/company/immaterra" TargetMode="External"/><Relationship  Id="rId2456" Type="http://schemas.openxmlformats.org/officeDocument/2006/relationships/hyperlink" Target="http://www.linkedin.com/in/severinecachod" TargetMode="External"/><Relationship  Id="rId2457" Type="http://schemas.openxmlformats.org/officeDocument/2006/relationships/hyperlink" Target="http://hypenotice.com" TargetMode="External"/><Relationship  Id="rId2458" Type="http://schemas.openxmlformats.org/officeDocument/2006/relationships/hyperlink" Target="http://www.linkedin.com/company/hype-notice" TargetMode="External"/><Relationship  Id="rId2459" Type="http://schemas.openxmlformats.org/officeDocument/2006/relationships/hyperlink" Target="http://www.linkedin.com/in/s%c3%a9bastien-abdelhamid-godelu-0250149b" TargetMode="External"/><Relationship  Id="rId246" Type="http://schemas.openxmlformats.org/officeDocument/2006/relationships/hyperlink" Target="http://www.linkedin.com/in/aviel-goldenberg" TargetMode="External"/><Relationship  Id="rId2460" Type="http://schemas.openxmlformats.org/officeDocument/2006/relationships/hyperlink" Target="http://altitude-26.fr" TargetMode="External"/><Relationship  Id="rId2461" Type="http://schemas.openxmlformats.org/officeDocument/2006/relationships/hyperlink" Target="http://www.linkedin.com/company/altitude-26" TargetMode="External"/><Relationship  Id="rId2462" Type="http://schemas.openxmlformats.org/officeDocument/2006/relationships/hyperlink" Target="https://www.facebook.com/altitude26/" TargetMode="External"/><Relationship  Id="rId2463" Type="http://schemas.openxmlformats.org/officeDocument/2006/relationships/hyperlink" Target="http://www.linkedin.com/in/s%c3%a9bastien-guigour%c3%a8s-ba8221204" TargetMode="External"/><Relationship  Id="rId2464" Type="http://schemas.openxmlformats.org/officeDocument/2006/relationships/hyperlink" Target="http://henko-consulting.com" TargetMode="External"/><Relationship  Id="rId2465" Type="http://schemas.openxmlformats.org/officeDocument/2006/relationships/hyperlink" Target="http://www.linkedin.com/company/henkoconsulting" TargetMode="External"/><Relationship  Id="rId2466" Type="http://schemas.openxmlformats.org/officeDocument/2006/relationships/hyperlink" Target="http://www.linkedin.com/in/sidney-tapiero-2ba7291" TargetMode="External"/><Relationship  Id="rId2467" Type="http://schemas.openxmlformats.org/officeDocument/2006/relationships/hyperlink" Target="http://kleidi.fr" TargetMode="External"/><Relationship  Id="rId2468" Type="http://schemas.openxmlformats.org/officeDocument/2006/relationships/hyperlink" Target="http://www.linkedin.com/company/saskleidi" TargetMode="External"/><Relationship  Id="rId2469" Type="http://schemas.openxmlformats.org/officeDocument/2006/relationships/hyperlink" Target="http://www.linkedin.com/in/simon-tabourier-1877022b" TargetMode="External"/><Relationship  Id="rId247" Type="http://schemas.openxmlformats.org/officeDocument/2006/relationships/hyperlink" Target="http://girold.com" TargetMode="External"/><Relationship  Id="rId2470" Type="http://schemas.openxmlformats.org/officeDocument/2006/relationships/hyperlink" Target="http://www.linkedin.com/in/simon-rodriguez-35133b3b" TargetMode="External"/><Relationship  Id="rId2471" Type="http://schemas.openxmlformats.org/officeDocument/2006/relationships/hyperlink" Target="http://digitalisim.fr" TargetMode="External"/><Relationship  Id="rId2472" Type="http://schemas.openxmlformats.org/officeDocument/2006/relationships/hyperlink" Target="http://www.linkedin.com/company/digitalisim" TargetMode="External"/><Relationship  Id="rId2473" Type="http://schemas.openxmlformats.org/officeDocument/2006/relationships/hyperlink" Target="http://www.linkedin.com/in/simon-fenerol-3460a899" TargetMode="External"/><Relationship  Id="rId2474" Type="http://schemas.openxmlformats.org/officeDocument/2006/relationships/hyperlink" Target="http://waybox.fr" TargetMode="External"/><Relationship  Id="rId2475" Type="http://schemas.openxmlformats.org/officeDocument/2006/relationships/hyperlink" Target="http://www.linkedin.com/company/waybox" TargetMode="External"/><Relationship  Id="rId2476" Type="http://schemas.openxmlformats.org/officeDocument/2006/relationships/hyperlink" Target="http://www.linkedin.com/in/simon-blommaert-3bab351b" TargetMode="External"/><Relationship  Id="rId2477" Type="http://schemas.openxmlformats.org/officeDocument/2006/relationships/hyperlink" Target="http://invictasoftware.com" TargetMode="External"/><Relationship  Id="rId2478" Type="http://schemas.openxmlformats.org/officeDocument/2006/relationships/hyperlink" Target="http://www.linkedin.com/company/invicta-software" TargetMode="External"/><Relationship  Id="rId2479" Type="http://schemas.openxmlformats.org/officeDocument/2006/relationships/hyperlink" Target="https://twitter.com/invictasoftware" TargetMode="External"/><Relationship  Id="rId248" Type="http://schemas.openxmlformats.org/officeDocument/2006/relationships/hyperlink" Target="http://www.linkedin.com/company/girold-construction-bois" TargetMode="External"/><Relationship  Id="rId2480" Type="http://schemas.openxmlformats.org/officeDocument/2006/relationships/hyperlink" Target="https://www.facebook.com/Invictasoftware" TargetMode="External"/><Relationship  Id="rId2481" Type="http://schemas.openxmlformats.org/officeDocument/2006/relationships/hyperlink" Target="http://www.linkedin.com/in/sabahmalikkhan" TargetMode="External"/><Relationship  Id="rId2482" Type="http://schemas.openxmlformats.org/officeDocument/2006/relationships/hyperlink" Target="http://www.linkedin.com/in/sylvainmilleret" TargetMode="External"/><Relationship  Id="rId2483" Type="http://schemas.openxmlformats.org/officeDocument/2006/relationships/hyperlink" Target="http://hatmada-group.com" TargetMode="External"/><Relationship  Id="rId2484" Type="http://schemas.openxmlformats.org/officeDocument/2006/relationships/hyperlink" Target="http://www.linkedin.com/company/hatmada-group" TargetMode="External"/><Relationship  Id="rId2485" Type="http://schemas.openxmlformats.org/officeDocument/2006/relationships/hyperlink" Target="http://www.linkedin.com/in/simon-nabet-85379182" TargetMode="External"/><Relationship  Id="rId2486" Type="http://schemas.openxmlformats.org/officeDocument/2006/relationships/hyperlink" Target="http://www.linkedin.com/company/endog%c3%a8ne" TargetMode="External"/><Relationship  Id="rId2487" Type="http://schemas.openxmlformats.org/officeDocument/2006/relationships/hyperlink" Target="http://www.linkedin.com/in/sofiane-seghier-878b5482" TargetMode="External"/><Relationship  Id="rId2488" Type="http://schemas.openxmlformats.org/officeDocument/2006/relationships/hyperlink" Target="http://corma.io" TargetMode="External"/><Relationship  Id="rId2489" Type="http://schemas.openxmlformats.org/officeDocument/2006/relationships/hyperlink" Target="http://www.linkedin.com/company/getcorma" TargetMode="External"/><Relationship  Id="rId249" Type="http://schemas.openxmlformats.org/officeDocument/2006/relationships/hyperlink" Target="http://www.linkedin.com/in/aymeric-paget-839b0a95" TargetMode="External"/><Relationship  Id="rId2490" Type="http://schemas.openxmlformats.org/officeDocument/2006/relationships/hyperlink" Target="https://twitter.com/HeloiseRozes" TargetMode="External"/><Relationship  Id="rId2491" Type="http://schemas.openxmlformats.org/officeDocument/2006/relationships/hyperlink" Target="http://www.linkedin.com/in/solal-moati" TargetMode="External"/><Relationship  Id="rId2492" Type="http://schemas.openxmlformats.org/officeDocument/2006/relationships/hyperlink" Target="http://dare-done.com" TargetMode="External"/><Relationship  Id="rId2493" Type="http://schemas.openxmlformats.org/officeDocument/2006/relationships/hyperlink" Target="http://www.linkedin.com/company/dare-done" TargetMode="External"/><Relationship  Id="rId2494" Type="http://schemas.openxmlformats.org/officeDocument/2006/relationships/hyperlink" Target="http://www.linkedin.com/in/soniacisse" TargetMode="External"/><Relationship  Id="rId2495" Type="http://schemas.openxmlformats.org/officeDocument/2006/relationships/hyperlink" Target="http://ozeo-consulting.fr" TargetMode="External"/><Relationship  Id="rId2496" Type="http://schemas.openxmlformats.org/officeDocument/2006/relationships/hyperlink" Target="http://www.linkedin.com/company/ozeo-consulting" TargetMode="External"/><Relationship  Id="rId2497" Type="http://schemas.openxmlformats.org/officeDocument/2006/relationships/hyperlink" Target="http://www.linkedin.com/in/%f0%9f%91%a9%e2%80%8d%f0%9f%9a%80-sophie-desmedt-48241a3b" TargetMode="External"/><Relationship  Id="rId2498" Type="http://schemas.openxmlformats.org/officeDocument/2006/relationships/hyperlink" Target="http://tempoandco.com" TargetMode="External"/><Relationship  Id="rId2499" Type="http://schemas.openxmlformats.org/officeDocument/2006/relationships/hyperlink" Target="http://www.linkedin.com/company/tempoandco" TargetMode="External"/><Relationship  Id="rId25" Type="http://schemas.openxmlformats.org/officeDocument/2006/relationships/hyperlink" Target="http://www.linkedin.com/in/audrey-jeanne" TargetMode="External"/><Relationship  Id="rId250" Type="http://schemas.openxmlformats.org/officeDocument/2006/relationships/hyperlink" Target="http://www.linkedin.com/company/bessat-electricit%c3%a9" TargetMode="External"/><Relationship  Id="rId2500" Type="http://schemas.openxmlformats.org/officeDocument/2006/relationships/hyperlink" Target="http://www.linkedin.com/in/rozet-sophie-9ab3866" TargetMode="External"/><Relationship  Id="rId2501" Type="http://schemas.openxmlformats.org/officeDocument/2006/relationships/hyperlink" Target="http://gematique.com" TargetMode="External"/><Relationship  Id="rId2502" Type="http://schemas.openxmlformats.org/officeDocument/2006/relationships/hyperlink" Target="http://www.linkedin.com/company/gematique" TargetMode="External"/><Relationship  Id="rId2503" Type="http://schemas.openxmlformats.org/officeDocument/2006/relationships/hyperlink" Target="http://www.linkedin.com/in/st%c3%a9phane-pedeloup-03433971" TargetMode="External"/><Relationship  Id="rId2504" Type="http://schemas.openxmlformats.org/officeDocument/2006/relationships/hyperlink" Target="http://avm-integration.com" TargetMode="External"/><Relationship  Id="rId2505" Type="http://schemas.openxmlformats.org/officeDocument/2006/relationships/hyperlink" Target="http://www.linkedin.com/company/avm-integration" TargetMode="External"/><Relationship  Id="rId2506" Type="http://schemas.openxmlformats.org/officeDocument/2006/relationships/hyperlink" Target="http://www.linkedin.com/in/st%c3%a9phane-petitjean-3bb50559" TargetMode="External"/><Relationship  Id="rId2507" Type="http://schemas.openxmlformats.org/officeDocument/2006/relationships/hyperlink" Target="http://frisbee-profiling.fr" TargetMode="External"/><Relationship  Id="rId2508" Type="http://schemas.openxmlformats.org/officeDocument/2006/relationships/hyperlink" Target="http://www.linkedin.com/company/frisbee-profiling" TargetMode="External"/><Relationship  Id="rId2509" Type="http://schemas.openxmlformats.org/officeDocument/2006/relationships/hyperlink" Target="https://twitter.com/FrisbeeProfil" TargetMode="External"/><Relationship  Id="rId251" Type="http://schemas.openxmlformats.org/officeDocument/2006/relationships/hyperlink" Target="http://www.linkedin.com/in/benoit-bessat-806aa6b0" TargetMode="External"/><Relationship  Id="rId2510" Type="http://schemas.openxmlformats.org/officeDocument/2006/relationships/hyperlink" Target="https://www.facebook.com/FrisbeeProfiling/" TargetMode="External"/><Relationship  Id="rId2511" Type="http://schemas.openxmlformats.org/officeDocument/2006/relationships/hyperlink" Target="http://www.linkedin.com/in/sandrinericard" TargetMode="External"/><Relationship  Id="rId2512" Type="http://schemas.openxmlformats.org/officeDocument/2006/relationships/hyperlink" Target="http://hyg-up.com" TargetMode="External"/><Relationship  Id="rId2513" Type="http://schemas.openxmlformats.org/officeDocument/2006/relationships/hyperlink" Target="http://www.linkedin.com/company/hyg-up" TargetMode="External"/><Relationship  Id="rId2514" Type="http://schemas.openxmlformats.org/officeDocument/2006/relationships/hyperlink" Target="https://twitter.com/hyg_up" TargetMode="External"/><Relationship  Id="rId2515" Type="http://schemas.openxmlformats.org/officeDocument/2006/relationships/hyperlink" Target="https://www.facebook.com/hygup/" TargetMode="External"/><Relationship  Id="rId2516" Type="http://schemas.openxmlformats.org/officeDocument/2006/relationships/hyperlink" Target="http://www.linkedin.com/in/s%c3%a9bastien-romefort-15a1192" TargetMode="External"/><Relationship  Id="rId2517" Type="http://schemas.openxmlformats.org/officeDocument/2006/relationships/hyperlink" Target="http://sphere-telecom.com" TargetMode="External"/><Relationship  Id="rId2518" Type="http://schemas.openxmlformats.org/officeDocument/2006/relationships/hyperlink" Target="http://www.linkedin.com/company/sph%c3%a8re-telecom" TargetMode="External"/><Relationship  Id="rId2519" Type="http://schemas.openxmlformats.org/officeDocument/2006/relationships/hyperlink" Target="https://twitter.com/sphere_telecom" TargetMode="External"/><Relationship  Id="rId252" Type="http://schemas.openxmlformats.org/officeDocument/2006/relationships/hyperlink" Target="http://delamplevrd.fr" TargetMode="External"/><Relationship  Id="rId2520" Type="http://schemas.openxmlformats.org/officeDocument/2006/relationships/hyperlink" Target="https://fr-fr.facebook.com/sphere.telecom/" TargetMode="External"/><Relationship  Id="rId2521" Type="http://schemas.openxmlformats.org/officeDocument/2006/relationships/hyperlink" Target="http://www.linkedin.com/in/steeve-waymel" TargetMode="External"/><Relationship  Id="rId2522" Type="http://schemas.openxmlformats.org/officeDocument/2006/relationships/hyperlink" Target="http://www.linkedin.com/in/st%c3%a9phane-bauduin-0842368a" TargetMode="External"/><Relationship  Id="rId2523" Type="http://schemas.openxmlformats.org/officeDocument/2006/relationships/hyperlink" Target="http://smc-cit.com" TargetMode="External"/><Relationship  Id="rId2524" Type="http://schemas.openxmlformats.org/officeDocument/2006/relationships/hyperlink" Target="http://www.linkedin.com/company/smc-consulting-it" TargetMode="External"/><Relationship  Id="rId2525" Type="http://schemas.openxmlformats.org/officeDocument/2006/relationships/hyperlink" Target="https://twitter.com/SMCConsultingIT" TargetMode="External"/><Relationship  Id="rId2526" Type="http://schemas.openxmlformats.org/officeDocument/2006/relationships/hyperlink" Target="http://www.linkedin.com/in/stephanemarioni" TargetMode="External"/><Relationship  Id="rId2527" Type="http://schemas.openxmlformats.org/officeDocument/2006/relationships/hyperlink" Target="http://moneythor.com" TargetMode="External"/><Relationship  Id="rId2528" Type="http://schemas.openxmlformats.org/officeDocument/2006/relationships/hyperlink" Target="http://www.linkedin.com/company/moneythor" TargetMode="External"/><Relationship  Id="rId2529" Type="http://schemas.openxmlformats.org/officeDocument/2006/relationships/hyperlink" Target="https://twitter.com/moneythor" TargetMode="External"/><Relationship  Id="rId253" Type="http://schemas.openxmlformats.org/officeDocument/2006/relationships/hyperlink" Target="http://www.linkedin.com/company/delample-vrd" TargetMode="External"/><Relationship  Id="rId2530" Type="http://schemas.openxmlformats.org/officeDocument/2006/relationships/hyperlink" Target="https://www.facebook.com/moneythorhq" TargetMode="External"/><Relationship  Id="rId2531" Type="http://schemas.openxmlformats.org/officeDocument/2006/relationships/hyperlink" Target="http://www.linkedin.com/in/stephanenouy" TargetMode="External"/><Relationship  Id="rId2532" Type="http://schemas.openxmlformats.org/officeDocument/2006/relationships/hyperlink" Target="http://maisonpernet.com" TargetMode="External"/><Relationship  Id="rId2533" Type="http://schemas.openxmlformats.org/officeDocument/2006/relationships/hyperlink" Target="http://www.linkedin.com/company/maison-pernet" TargetMode="External"/><Relationship  Id="rId2534" Type="http://schemas.openxmlformats.org/officeDocument/2006/relationships/hyperlink" Target="https://www.facebook.com/groupepernet/" TargetMode="External"/><Relationship  Id="rId2535" Type="http://schemas.openxmlformats.org/officeDocument/2006/relationships/hyperlink" Target="http://www.linkedin.com/in/st%c3%a9phane-pernet-33b3b419b" TargetMode="External"/><Relationship  Id="rId2536" Type="http://schemas.openxmlformats.org/officeDocument/2006/relationships/hyperlink" Target="http://optesys.fr" TargetMode="External"/><Relationship  Id="rId2537" Type="http://schemas.openxmlformats.org/officeDocument/2006/relationships/hyperlink" Target="http://www.linkedin.com/company/optesys-conseil" TargetMode="External"/><Relationship  Id="rId2538" Type="http://schemas.openxmlformats.org/officeDocument/2006/relationships/hyperlink" Target="http://www.linkedin.com/in/st%c3%a9phane-vrignaud-71513429" TargetMode="External"/><Relationship  Id="rId2539" Type="http://schemas.openxmlformats.org/officeDocument/2006/relationships/hyperlink" Target="http://cids-grossiste-cbd.com" TargetMode="External"/><Relationship  Id="rId254" Type="http://schemas.openxmlformats.org/officeDocument/2006/relationships/hyperlink" Target="http://www.linkedin.com/in/benjamin-delample-1298a1210" TargetMode="External"/><Relationship  Id="rId2540" Type="http://schemas.openxmlformats.org/officeDocument/2006/relationships/hyperlink" Target="http://www.linkedin.com/company/cids-france" TargetMode="External"/><Relationship  Id="rId2541" Type="http://schemas.openxmlformats.org/officeDocument/2006/relationships/hyperlink" Target="http://www.linkedin.com/in/stephane-paoletti-615105234" TargetMode="External"/><Relationship  Id="rId2542" Type="http://schemas.openxmlformats.org/officeDocument/2006/relationships/hyperlink" Target="http://hojiventures.com" TargetMode="External"/><Relationship  Id="rId2543" Type="http://schemas.openxmlformats.org/officeDocument/2006/relationships/hyperlink" Target="http://www.linkedin.com/company/hojiventures" TargetMode="External"/><Relationship  Id="rId2544" Type="http://schemas.openxmlformats.org/officeDocument/2006/relationships/hyperlink" Target="http://www.linkedin.com/in/stephane-folliet-a281534" TargetMode="External"/><Relationship  Id="rId2545" Type="http://schemas.openxmlformats.org/officeDocument/2006/relationships/hyperlink" Target="http://sn2o.fr" TargetMode="External"/><Relationship  Id="rId2546" Type="http://schemas.openxmlformats.org/officeDocument/2006/relationships/hyperlink" Target="http://www.linkedin.com/company/sn2o" TargetMode="External"/><Relationship  Id="rId2547" Type="http://schemas.openxmlformats.org/officeDocument/2006/relationships/hyperlink" Target="https://www.facebook.com/sn2o.fr" TargetMode="External"/><Relationship  Id="rId2548" Type="http://schemas.openxmlformats.org/officeDocument/2006/relationships/hyperlink" Target="http://www.linkedin.com/in/steve-orsonneau-45995b108" TargetMode="External"/><Relationship  Id="rId2549" Type="http://schemas.openxmlformats.org/officeDocument/2006/relationships/hyperlink" Target="http://dryftme.com" TargetMode="External"/><Relationship  Id="rId255" Type="http://schemas.openxmlformats.org/officeDocument/2006/relationships/hyperlink" Target="http://sooit.fr" TargetMode="External"/><Relationship  Id="rId2550" Type="http://schemas.openxmlformats.org/officeDocument/2006/relationships/hyperlink" Target="http://www.linkedin.com/company/dryftme" TargetMode="External"/><Relationship  Id="rId2551" Type="http://schemas.openxmlformats.org/officeDocument/2006/relationships/hyperlink" Target="http://www.linkedin.com/in/steven-tannous-407152196" TargetMode="External"/><Relationship  Id="rId2552" Type="http://schemas.openxmlformats.org/officeDocument/2006/relationships/hyperlink" Target="http://myral.com" TargetMode="External"/><Relationship  Id="rId2553" Type="http://schemas.openxmlformats.org/officeDocument/2006/relationships/hyperlink" Target="http://www.linkedin.com/company/myral" TargetMode="External"/><Relationship  Id="rId2554" Type="http://schemas.openxmlformats.org/officeDocument/2006/relationships/hyperlink" Target="http://www.linkedin.com/in/sylvain-bonnot-myral" TargetMode="External"/><Relationship  Id="rId2555" Type="http://schemas.openxmlformats.org/officeDocument/2006/relationships/hyperlink" Target="http://www.linkedin.com/company/recyclivre-com" TargetMode="External"/><Relationship  Id="rId2556" Type="http://schemas.openxmlformats.org/officeDocument/2006/relationships/hyperlink" Target="http://www.linkedin.com/in/sylvain-joly" TargetMode="External"/><Relationship  Id="rId2557" Type="http://schemas.openxmlformats.org/officeDocument/2006/relationships/hyperlink" Target="http://addon.fr" TargetMode="External"/><Relationship  Id="rId2558" Type="http://schemas.openxmlformats.org/officeDocument/2006/relationships/hyperlink" Target="http://www.linkedin.com/company/add-on-consulting" TargetMode="External"/><Relationship  Id="rId2559" Type="http://schemas.openxmlformats.org/officeDocument/2006/relationships/hyperlink" Target="https://www.facebook.com/AddOnConsultingFrance/" TargetMode="External"/><Relationship  Id="rId256" Type="http://schemas.openxmlformats.org/officeDocument/2006/relationships/hyperlink" Target="http://www.linkedin.com/company/sooit" TargetMode="External"/><Relationship  Id="rId2560" Type="http://schemas.openxmlformats.org/officeDocument/2006/relationships/hyperlink" Target="http://www.linkedin.com/in/sylvain-le-chatton-b2867a14" TargetMode="External"/><Relationship  Id="rId2561" Type="http://schemas.openxmlformats.org/officeDocument/2006/relationships/hyperlink" Target="http://triple-d.fr" TargetMode="External"/><Relationship  Id="rId2562" Type="http://schemas.openxmlformats.org/officeDocument/2006/relationships/hyperlink" Target="http://www.linkedin.com/company/triple-d" TargetMode="External"/><Relationship  Id="rId2563" Type="http://schemas.openxmlformats.org/officeDocument/2006/relationships/hyperlink" Target="https://www.facebook.com/tripledfr" TargetMode="External"/><Relationship  Id="rId2564" Type="http://schemas.openxmlformats.org/officeDocument/2006/relationships/hyperlink" Target="http://www.linkedin.com/in/sylvain-denis-09226b69" TargetMode="External"/><Relationship  Id="rId2565" Type="http://schemas.openxmlformats.org/officeDocument/2006/relationships/hyperlink" Target="http://funepro.fr" TargetMode="External"/><Relationship  Id="rId2566" Type="http://schemas.openxmlformats.org/officeDocument/2006/relationships/hyperlink" Target="http://www.linkedin.com/company/funepro" TargetMode="External"/><Relationship  Id="rId2567" Type="http://schemas.openxmlformats.org/officeDocument/2006/relationships/hyperlink" Target="http://www.linkedin.com/in/sylvestre-olgiati-%f0%9f%8d%83-a6590a80" TargetMode="External"/><Relationship  Id="rId2568" Type="http://schemas.openxmlformats.org/officeDocument/2006/relationships/hyperlink" Target="http://www.linkedin.com/company/moveinmed" TargetMode="External"/><Relationship  Id="rId2569" Type="http://schemas.openxmlformats.org/officeDocument/2006/relationships/hyperlink" Target="http://www.linkedin.com/in/sylvie-boichot-104929100" TargetMode="External"/><Relationship  Id="rId257" Type="http://schemas.openxmlformats.org/officeDocument/2006/relationships/hyperlink" Target="http://www.linkedin.com/in/babacar-diop-0a4a43184" TargetMode="External"/><Relationship  Id="rId2570" Type="http://schemas.openxmlformats.org/officeDocument/2006/relationships/hyperlink" Target="http://altam.fr" TargetMode="External"/><Relationship  Id="rId2571" Type="http://schemas.openxmlformats.org/officeDocument/2006/relationships/hyperlink" Target="http://www.linkedin.com/company/groupealtam" TargetMode="External"/><Relationship  Id="rId2572" Type="http://schemas.openxmlformats.org/officeDocument/2006/relationships/hyperlink" Target="https://facebook.com/caduc.sarl" TargetMode="External"/><Relationship  Id="rId2573" Type="http://schemas.openxmlformats.org/officeDocument/2006/relationships/hyperlink" Target="http://www.linkedin.com/in/sylvie-etancelin-ab544753" TargetMode="External"/><Relationship  Id="rId2574" Type="http://schemas.openxmlformats.org/officeDocument/2006/relationships/hyperlink" Target="http://eclipse-diffusion.fr" TargetMode="External"/><Relationship  Id="rId2575" Type="http://schemas.openxmlformats.org/officeDocument/2006/relationships/hyperlink" Target="http://www.linkedin.com/company/eclipse-diffusion" TargetMode="External"/><Relationship  Id="rId2576" Type="http://schemas.openxmlformats.org/officeDocument/2006/relationships/hyperlink" Target="http://www.linkedin.com/in/thierry-bloch-05817073" TargetMode="External"/><Relationship  Id="rId2577" Type="http://schemas.openxmlformats.org/officeDocument/2006/relationships/hyperlink" Target="http://performances-lba.fr" TargetMode="External"/><Relationship  Id="rId2578" Type="http://schemas.openxmlformats.org/officeDocument/2006/relationships/hyperlink" Target="http://www.linkedin.com/company/performances-lba" TargetMode="External"/><Relationship  Id="rId2579" Type="http://schemas.openxmlformats.org/officeDocument/2006/relationships/hyperlink" Target="https://www.facebook.com/PerformancesLBa" TargetMode="External"/><Relationship  Id="rId258" Type="http://schemas.openxmlformats.org/officeDocument/2006/relationships/hyperlink" Target="http://tunisiancloud.com" TargetMode="External"/><Relationship  Id="rId2580" Type="http://schemas.openxmlformats.org/officeDocument/2006/relationships/hyperlink" Target="http://www.linkedin.com/in/thierry-leroux" TargetMode="External"/><Relationship  Id="rId2581" Type="http://schemas.openxmlformats.org/officeDocument/2006/relationships/hyperlink" Target="http://allure-automobile.com" TargetMode="External"/><Relationship  Id="rId2582" Type="http://schemas.openxmlformats.org/officeDocument/2006/relationships/hyperlink" Target="http://www.linkedin.com/company/allureauto" TargetMode="External"/><Relationship  Id="rId2583" Type="http://schemas.openxmlformats.org/officeDocument/2006/relationships/hyperlink" Target="http://www.linkedin.com/in/thomas-tuncq-26798690" TargetMode="External"/><Relationship  Id="rId2584" Type="http://schemas.openxmlformats.org/officeDocument/2006/relationships/hyperlink" Target="http://jeece.fr" TargetMode="External"/><Relationship  Id="rId2585" Type="http://schemas.openxmlformats.org/officeDocument/2006/relationships/hyperlink" Target="http://www.linkedin.com/company/jeece" TargetMode="External"/><Relationship  Id="rId2586" Type="http://schemas.openxmlformats.org/officeDocument/2006/relationships/hyperlink" Target="https://twitter.com/JuniorJEECE" TargetMode="External"/><Relationship  Id="rId2587" Type="http://schemas.openxmlformats.org/officeDocument/2006/relationships/hyperlink" Target="https://facebook.com/JEECE.JE" TargetMode="External"/><Relationship  Id="rId2588" Type="http://schemas.openxmlformats.org/officeDocument/2006/relationships/hyperlink" Target="http://www.linkedin.com/in/th%c3%a9o-lindemans" TargetMode="External"/><Relationship  Id="rId2589" Type="http://schemas.openxmlformats.org/officeDocument/2006/relationships/hyperlink" Target="http://bloomflow.com" TargetMode="External"/><Relationship  Id="rId259" Type="http://schemas.openxmlformats.org/officeDocument/2006/relationships/hyperlink" Target="http://www.linkedin.com/company/tunisian-cloud" TargetMode="External"/><Relationship  Id="rId2590" Type="http://schemas.openxmlformats.org/officeDocument/2006/relationships/hyperlink" Target="http://www.linkedin.com/company/bloomflow" TargetMode="External"/><Relationship  Id="rId2591" Type="http://schemas.openxmlformats.org/officeDocument/2006/relationships/hyperlink" Target="http://www.linkedin.com/in/thibaultviort" TargetMode="External"/><Relationship  Id="rId2592" Type="http://schemas.openxmlformats.org/officeDocument/2006/relationships/hyperlink" Target="http://inch.fr" TargetMode="External"/><Relationship  Id="rId2593" Type="http://schemas.openxmlformats.org/officeDocument/2006/relationships/hyperlink" Target="http://www.linkedin.com/company/inch" TargetMode="External"/><Relationship  Id="rId2594" Type="http://schemas.openxmlformats.org/officeDocument/2006/relationships/hyperlink" Target="https://twitter.com/inchsider/" TargetMode="External"/><Relationship  Id="rId2595" Type="http://schemas.openxmlformats.org/officeDocument/2006/relationships/hyperlink" Target="https://www.facebook.com/inchsider/" TargetMode="External"/><Relationship  Id="rId2596" Type="http://schemas.openxmlformats.org/officeDocument/2006/relationships/hyperlink" Target="http://www.linkedin.com/in/thibautfavre" TargetMode="External"/><Relationship  Id="rId2597" Type="http://schemas.openxmlformats.org/officeDocument/2006/relationships/hyperlink" Target="http://vditelecom.fr" TargetMode="External"/><Relationship  Id="rId2598" Type="http://schemas.openxmlformats.org/officeDocument/2006/relationships/hyperlink" Target="http://www.linkedin.com/company/vdi-telecom" TargetMode="External"/><Relationship  Id="rId2599" Type="http://schemas.openxmlformats.org/officeDocument/2006/relationships/hyperlink" Target="http://www.linkedin.com/in/thierry-brejon-b26b32147" TargetMode="External"/><Relationship  Id="rId26" Type="http://schemas.openxmlformats.org/officeDocument/2006/relationships/hyperlink" Target="http://bcm.fr" TargetMode="External"/><Relationship  Id="rId260" Type="http://schemas.openxmlformats.org/officeDocument/2006/relationships/hyperlink" Target="https://twitter.com/TunisianTc" TargetMode="External"/><Relationship  Id="rId2600" Type="http://schemas.openxmlformats.org/officeDocument/2006/relationships/hyperlink" Target="http://msc-caen.fr" TargetMode="External"/><Relationship  Id="rId2601" Type="http://schemas.openxmlformats.org/officeDocument/2006/relationships/hyperlink" Target="http://www.linkedin.com/company/msc-construction-metallique" TargetMode="External"/><Relationship  Id="rId2602" Type="http://schemas.openxmlformats.org/officeDocument/2006/relationships/hyperlink" Target="http://www.linkedin.com/in/thierry-cudelou-559a37a2" TargetMode="External"/><Relationship  Id="rId2603" Type="http://schemas.openxmlformats.org/officeDocument/2006/relationships/hyperlink" Target="http://illinks.fr" TargetMode="External"/><Relationship  Id="rId2604" Type="http://schemas.openxmlformats.org/officeDocument/2006/relationships/hyperlink" Target="http://www.linkedin.com/company/illinks-ged-designer" TargetMode="External"/><Relationship  Id="rId2605" Type="http://schemas.openxmlformats.org/officeDocument/2006/relationships/hyperlink" Target="http://www.linkedin.com/in/thierry-kock-7340b560" TargetMode="External"/><Relationship  Id="rId2606" Type="http://schemas.openxmlformats.org/officeDocument/2006/relationships/hyperlink" Target="http://www.linkedin.com/in/thierry-montard-47ab1210a" TargetMode="External"/><Relationship  Id="rId2607" Type="http://schemas.openxmlformats.org/officeDocument/2006/relationships/hyperlink" Target="http://ageris-consulting.com" TargetMode="External"/><Relationship  Id="rId2608" Type="http://schemas.openxmlformats.org/officeDocument/2006/relationships/hyperlink" Target="http://www.linkedin.com/company/ageris-consulting" TargetMode="External"/><Relationship  Id="rId2609" Type="http://schemas.openxmlformats.org/officeDocument/2006/relationships/hyperlink" Target="https://www.twitter.com/group_ageris" TargetMode="External"/><Relationship  Id="rId261" Type="http://schemas.openxmlformats.org/officeDocument/2006/relationships/hyperlink" Target="http://www.linkedin.com/in/bassemlamouchi" TargetMode="External"/><Relationship  Id="rId2610" Type="http://schemas.openxmlformats.org/officeDocument/2006/relationships/hyperlink" Target="https://facebook.com/agerisgroup" TargetMode="External"/><Relationship  Id="rId2611" Type="http://schemas.openxmlformats.org/officeDocument/2006/relationships/hyperlink" Target="http://www.linkedin.com/in/thierry-ramard-30745b" TargetMode="External"/><Relationship  Id="rId2612" Type="http://schemas.openxmlformats.org/officeDocument/2006/relationships/hyperlink" Target="http://www.linkedin.com/in/thomascarpaye" TargetMode="External"/><Relationship  Id="rId2613" Type="http://schemas.openxmlformats.org/officeDocument/2006/relationships/hyperlink" Target="http://cube-renovations.fr" TargetMode="External"/><Relationship  Id="rId2614" Type="http://schemas.openxmlformats.org/officeDocument/2006/relationships/hyperlink" Target="http://www.linkedin.com/company/cube-renovations" TargetMode="External"/><Relationship  Id="rId2615" Type="http://schemas.openxmlformats.org/officeDocument/2006/relationships/hyperlink" Target="http://www.linkedin.com/in/thomaschabrol" TargetMode="External"/><Relationship  Id="rId2616" Type="http://schemas.openxmlformats.org/officeDocument/2006/relationships/hyperlink" Target="http://s-grignolo.net" TargetMode="External"/><Relationship  Id="rId2617" Type="http://schemas.openxmlformats.org/officeDocument/2006/relationships/hyperlink" Target="http://www.linkedin.com/company/s-grignolo" TargetMode="External"/><Relationship  Id="rId2618" Type="http://schemas.openxmlformats.org/officeDocument/2006/relationships/hyperlink" Target="https://www.facebook.com/people/Soci%C3%A9t%C3%A9-Grignolo/100064100077145/" TargetMode="External"/><Relationship  Id="rId2619" Type="http://schemas.openxmlformats.org/officeDocument/2006/relationships/hyperlink" Target="http://www.linkedin.com/in/thomas-delacour-7912bb40" TargetMode="External"/><Relationship  Id="rId262" Type="http://schemas.openxmlformats.org/officeDocument/2006/relationships/hyperlink" Target="http://cisepz.fr" TargetMode="External"/><Relationship  Id="rId2620" Type="http://schemas.openxmlformats.org/officeDocument/2006/relationships/hyperlink" Target="http://ingely.fr" TargetMode="External"/><Relationship  Id="rId2621" Type="http://schemas.openxmlformats.org/officeDocument/2006/relationships/hyperlink" Target="http://www.linkedin.com/company/fbsi" TargetMode="External"/><Relationship  Id="rId2622" Type="http://schemas.openxmlformats.org/officeDocument/2006/relationships/hyperlink" Target="http://www.linkedin.com/in/thomas-dion-b2aa06b8" TargetMode="External"/><Relationship  Id="rId2623" Type="http://schemas.openxmlformats.org/officeDocument/2006/relationships/hyperlink" Target="http://suricats-consulting.com" TargetMode="External"/><Relationship  Id="rId2624" Type="http://schemas.openxmlformats.org/officeDocument/2006/relationships/hyperlink" Target="http://www.linkedin.com/company/suricats-consulting" TargetMode="External"/><Relationship  Id="rId2625" Type="http://schemas.openxmlformats.org/officeDocument/2006/relationships/hyperlink" Target="https://twitter.com/SuricatsTeam" TargetMode="External"/><Relationship  Id="rId2626" Type="http://schemas.openxmlformats.org/officeDocument/2006/relationships/hyperlink" Target="http://www.linkedin.com/in/thomasklein-paris" TargetMode="External"/><Relationship  Id="rId2627" Type="http://schemas.openxmlformats.org/officeDocument/2006/relationships/hyperlink" Target="http://www.linkedin.com/in/thomas-obadia-%f0%9f%94%b5-a6b94395" TargetMode="External"/><Relationship  Id="rId2628" Type="http://schemas.openxmlformats.org/officeDocument/2006/relationships/hyperlink" Target="http://tfm-marketing.com" TargetMode="External"/><Relationship  Id="rId2629" Type="http://schemas.openxmlformats.org/officeDocument/2006/relationships/hyperlink" Target="http://www.linkedin.com/company/tfm-marketing" TargetMode="External"/><Relationship  Id="rId263" Type="http://schemas.openxmlformats.org/officeDocument/2006/relationships/hyperlink" Target="http://www.linkedin.com/company/cisepz" TargetMode="External"/><Relationship  Id="rId2630" Type="http://schemas.openxmlformats.org/officeDocument/2006/relationships/hyperlink" Target="http://www.linkedin.com/in/thomas-tinard-3894291aa" TargetMode="External"/><Relationship  Id="rId2631" Type="http://schemas.openxmlformats.org/officeDocument/2006/relationships/hyperlink" Target="http://ns2b.fr" TargetMode="External"/><Relationship  Id="rId2632" Type="http://schemas.openxmlformats.org/officeDocument/2006/relationships/hyperlink" Target="http://www.linkedin.com/company/ns2business" TargetMode="External"/><Relationship  Id="rId2633" Type="http://schemas.openxmlformats.org/officeDocument/2006/relationships/hyperlink" Target="https://facebook.com/ns2business" TargetMode="External"/><Relationship  Id="rId2634" Type="http://schemas.openxmlformats.org/officeDocument/2006/relationships/hyperlink" Target="http://www.linkedin.com/in/thomas-white-b13a5571" TargetMode="External"/><Relationship  Id="rId2635" Type="http://schemas.openxmlformats.org/officeDocument/2006/relationships/hyperlink" Target="http://lacantinedestalents.fr" TargetMode="External"/><Relationship  Id="rId2636" Type="http://schemas.openxmlformats.org/officeDocument/2006/relationships/hyperlink" Target="http://www.linkedin.com/company/la-cantine-des-talents" TargetMode="External"/><Relationship  Id="rId2637" Type="http://schemas.openxmlformats.org/officeDocument/2006/relationships/hyperlink" Target="http://www.linkedin.com/in/thomas-valentin-%f0%9f%94%b5-410ab374" TargetMode="External"/><Relationship  Id="rId2638" Type="http://schemas.openxmlformats.org/officeDocument/2006/relationships/hyperlink" Target="http://localease.fr" TargetMode="External"/><Relationship  Id="rId2639" Type="http://schemas.openxmlformats.org/officeDocument/2006/relationships/hyperlink" Target="http://www.linkedin.com/company/localease" TargetMode="External"/><Relationship  Id="rId264" Type="http://schemas.openxmlformats.org/officeDocument/2006/relationships/hyperlink" Target="https://www.facebook.com/profile.php" TargetMode="External"/><Relationship  Id="rId2640" Type="http://schemas.openxmlformats.org/officeDocument/2006/relationships/hyperlink" Target="https://twitter.com/LocaLease_" TargetMode="External"/><Relationship  Id="rId2641" Type="http://schemas.openxmlformats.org/officeDocument/2006/relationships/hyperlink" Target="https://www.facebook.com/courtierlocalease" TargetMode="External"/><Relationship  Id="rId2642" Type="http://schemas.openxmlformats.org/officeDocument/2006/relationships/hyperlink" Target="http://www.linkedin.com/in/thomas-jacsont-59332b110" TargetMode="External"/><Relationship  Id="rId2643" Type="http://schemas.openxmlformats.org/officeDocument/2006/relationships/hyperlink" Target="http://bonnesmanieres.net" TargetMode="External"/><Relationship  Id="rId2644" Type="http://schemas.openxmlformats.org/officeDocument/2006/relationships/hyperlink" Target="http://www.linkedin.com/company/bonnes-mani%c3%a8res" TargetMode="External"/><Relationship  Id="rId2645" Type="http://schemas.openxmlformats.org/officeDocument/2006/relationships/hyperlink" Target="http://www.linkedin.com/in/tiffanyoliverphotographieslyonetbeaujolais" TargetMode="External"/><Relationship  Id="rId2646" Type="http://schemas.openxmlformats.org/officeDocument/2006/relationships/hyperlink" Target="http://athome-solution.fr" TargetMode="External"/><Relationship  Id="rId2647" Type="http://schemas.openxmlformats.org/officeDocument/2006/relationships/hyperlink" Target="http://www.linkedin.com/company/athome-solution" TargetMode="External"/><Relationship  Id="rId2648" Type="http://schemas.openxmlformats.org/officeDocument/2006/relationships/hyperlink" Target="http://www.linkedin.com/in/tiphaine-bichot" TargetMode="External"/><Relationship  Id="rId2649" Type="http://schemas.openxmlformats.org/officeDocument/2006/relationships/hyperlink" Target="http://tkorp.com" TargetMode="External"/><Relationship  Id="rId265" Type="http://schemas.openxmlformats.org/officeDocument/2006/relationships/hyperlink" Target="http://www.linkedin.com/in/benoit-macabeo-998b60100" TargetMode="External"/><Relationship  Id="rId2650" Type="http://schemas.openxmlformats.org/officeDocument/2006/relationships/hyperlink" Target="http://www.linkedin.com/company/tkorp" TargetMode="External"/><Relationship  Id="rId2651" Type="http://schemas.openxmlformats.org/officeDocument/2006/relationships/hyperlink" Target="http://www.linkedin.com/in/thibault-kerouanton-9236a183" TargetMode="External"/><Relationship  Id="rId2652" Type="http://schemas.openxmlformats.org/officeDocument/2006/relationships/hyperlink" Target="http://toitureparisienne.com" TargetMode="External"/><Relationship  Id="rId2653" Type="http://schemas.openxmlformats.org/officeDocument/2006/relationships/hyperlink" Target="http://www.linkedin.com/company/toiture-parisienne" TargetMode="External"/><Relationship  Id="rId2654" Type="http://schemas.openxmlformats.org/officeDocument/2006/relationships/hyperlink" Target="https://twitter.com/Toiture_paris" TargetMode="External"/><Relationship  Id="rId2655" Type="http://schemas.openxmlformats.org/officeDocument/2006/relationships/hyperlink" Target="https://www.facebook.com/Toiture-Parisienne-213415145874557/" TargetMode="External"/><Relationship  Id="rId2656" Type="http://schemas.openxmlformats.org/officeDocument/2006/relationships/hyperlink" Target="http://www.linkedin.com/in/thomas-lesne-a541502a9" TargetMode="External"/><Relationship  Id="rId2657" Type="http://schemas.openxmlformats.org/officeDocument/2006/relationships/hyperlink" Target="http://newslot.fr" TargetMode="External"/><Relationship  Id="rId2658" Type="http://schemas.openxmlformats.org/officeDocument/2006/relationships/hyperlink" Target="http://www.linkedin.com/company/newslot" TargetMode="External"/><Relationship  Id="rId2659" Type="http://schemas.openxmlformats.org/officeDocument/2006/relationships/hyperlink" Target="http://www.linkedin.com/in/tomasdsd" TargetMode="External"/><Relationship  Id="rId266" Type="http://schemas.openxmlformats.org/officeDocument/2006/relationships/hyperlink" Target="http://explorys.fr" TargetMode="External"/><Relationship  Id="rId2660" Type="http://schemas.openxmlformats.org/officeDocument/2006/relationships/hyperlink" Target="http://bleu122.com" TargetMode="External"/><Relationship  Id="rId2661" Type="http://schemas.openxmlformats.org/officeDocument/2006/relationships/hyperlink" Target="http://www.linkedin.com/company/bleu122" TargetMode="External"/><Relationship  Id="rId2662" Type="http://schemas.openxmlformats.org/officeDocument/2006/relationships/hyperlink" Target="https://twitter.com/Bleu_122" TargetMode="External"/><Relationship  Id="rId2663" Type="http://schemas.openxmlformats.org/officeDocument/2006/relationships/hyperlink" Target="https://facebook.com/bleu122" TargetMode="External"/><Relationship  Id="rId2664" Type="http://schemas.openxmlformats.org/officeDocument/2006/relationships/hyperlink" Target="http://www.linkedin.com/in/tony-leloup-78217766" TargetMode="External"/><Relationship  Id="rId2665" Type="http://schemas.openxmlformats.org/officeDocument/2006/relationships/hyperlink" Target="http://bimingenierie.fr" TargetMode="External"/><Relationship  Id="rId2666" Type="http://schemas.openxmlformats.org/officeDocument/2006/relationships/hyperlink" Target="http://www.linkedin.com/company/bim-ingenenierie" TargetMode="External"/><Relationship  Id="rId2667" Type="http://schemas.openxmlformats.org/officeDocument/2006/relationships/hyperlink" Target="http://www.linkedin.com/in/toufik-belbouab-12326044" TargetMode="External"/><Relationship  Id="rId2668" Type="http://schemas.openxmlformats.org/officeDocument/2006/relationships/hyperlink" Target="http://bonhomme-metallerie.com" TargetMode="External"/><Relationship  Id="rId2669" Type="http://schemas.openxmlformats.org/officeDocument/2006/relationships/hyperlink" Target="http://www.linkedin.com/company/bonhommemetallerie" TargetMode="External"/><Relationship  Id="rId267" Type="http://schemas.openxmlformats.org/officeDocument/2006/relationships/hyperlink" Target="http://www.linkedin.com/company/explorys-incubateur" TargetMode="External"/><Relationship  Id="rId2670" Type="http://schemas.openxmlformats.org/officeDocument/2006/relationships/hyperlink" Target="http://www.linkedin.com/in/martin-tranchard-63b064b0" TargetMode="External"/><Relationship  Id="rId2671" Type="http://schemas.openxmlformats.org/officeDocument/2006/relationships/hyperlink" Target="http://cena-ingenierie.fr" TargetMode="External"/><Relationship  Id="rId2672" Type="http://schemas.openxmlformats.org/officeDocument/2006/relationships/hyperlink" Target="http://www.linkedin.com/company/cena-ingenierie" TargetMode="External"/><Relationship  Id="rId2673" Type="http://schemas.openxmlformats.org/officeDocument/2006/relationships/hyperlink" Target="http://www.linkedin.com/in/laurent-truguet" TargetMode="External"/><Relationship  Id="rId2674" Type="http://schemas.openxmlformats.org/officeDocument/2006/relationships/hyperlink" Target="http://www.linkedin.com/in/thomas-savary-06172a68" TargetMode="External"/><Relationship  Id="rId2675" Type="http://schemas.openxmlformats.org/officeDocument/2006/relationships/hyperlink" Target="http://norgatec.com" TargetMode="External"/><Relationship  Id="rId2676" Type="http://schemas.openxmlformats.org/officeDocument/2006/relationships/hyperlink" Target="http://www.linkedin.com/company/norgatec-consulting" TargetMode="External"/><Relationship  Id="rId2677" Type="http://schemas.openxmlformats.org/officeDocument/2006/relationships/hyperlink" Target="http://www.linkedin.com/in/thibaut-verraest-3bb65b32" TargetMode="External"/><Relationship  Id="rId2678" Type="http://schemas.openxmlformats.org/officeDocument/2006/relationships/hyperlink" Target="http://firecell.io" TargetMode="External"/><Relationship  Id="rId2679" Type="http://schemas.openxmlformats.org/officeDocument/2006/relationships/hyperlink" Target="http://www.linkedin.com/company/firecell" TargetMode="External"/><Relationship  Id="rId268" Type="http://schemas.openxmlformats.org/officeDocument/2006/relationships/hyperlink" Target="https://twitter.com/explorys" TargetMode="External"/><Relationship  Id="rId2680" Type="http://schemas.openxmlformats.org/officeDocument/2006/relationships/hyperlink" Target="https://twitter.com/firecellP5G" TargetMode="External"/><Relationship  Id="rId2681" Type="http://schemas.openxmlformats.org/officeDocument/2006/relationships/hyperlink" Target="https://www.facebook.com/firecell5g" TargetMode="External"/><Relationship  Id="rId2682" Type="http://schemas.openxmlformats.org/officeDocument/2006/relationships/hyperlink" Target="http://www.linkedin.com/in/ullasaari" TargetMode="External"/><Relationship  Id="rId2683" Type="http://schemas.openxmlformats.org/officeDocument/2006/relationships/hyperlink" Target="http://proxima-it.fr" TargetMode="External"/><Relationship  Id="rId2684" Type="http://schemas.openxmlformats.org/officeDocument/2006/relationships/hyperlink" Target="http://www.linkedin.com/company/proxima-it" TargetMode="External"/><Relationship  Id="rId2685" Type="http://schemas.openxmlformats.org/officeDocument/2006/relationships/hyperlink" Target="http://www.linkedin.com/in/valentin-rose-8570a9189" TargetMode="External"/><Relationship  Id="rId2686" Type="http://schemas.openxmlformats.org/officeDocument/2006/relationships/hyperlink" Target="http://corexalys.com" TargetMode="External"/><Relationship  Id="rId2687" Type="http://schemas.openxmlformats.org/officeDocument/2006/relationships/hyperlink" Target="http://www.linkedin.com/company/corexalys-worldwide" TargetMode="External"/><Relationship  Id="rId2688" Type="http://schemas.openxmlformats.org/officeDocument/2006/relationships/hyperlink" Target="http://www.linkedin.com/in/val%c3%a9ry-emmanuel-gosserez-76086165" TargetMode="External"/><Relationship  Id="rId2689" Type="http://schemas.openxmlformats.org/officeDocument/2006/relationships/hyperlink" Target="http://weareminds.com" TargetMode="External"/><Relationship  Id="rId269" Type="http://schemas.openxmlformats.org/officeDocument/2006/relationships/hyperlink" Target="http://www.linkedin.com/in/brice-pouteil-noble-24557792" TargetMode="External"/><Relationship  Id="rId2690" Type="http://schemas.openxmlformats.org/officeDocument/2006/relationships/hyperlink" Target="http://www.linkedin.com/company/we-are-minds" TargetMode="External"/><Relationship  Id="rId2691" Type="http://schemas.openxmlformats.org/officeDocument/2006/relationships/hyperlink" Target="https://www.facebook.com/we.are.minds.agency" TargetMode="External"/><Relationship  Id="rId2692" Type="http://schemas.openxmlformats.org/officeDocument/2006/relationships/hyperlink" Target="http://www.linkedin.com/in/venissia-pierre-57730473" TargetMode="External"/><Relationship  Id="rId2693" Type="http://schemas.openxmlformats.org/officeDocument/2006/relationships/hyperlink" Target="http://nomattitude.com" TargetMode="External"/><Relationship  Id="rId2694" Type="http://schemas.openxmlformats.org/officeDocument/2006/relationships/hyperlink" Target="http://www.linkedin.com/company/nomattitude" TargetMode="External"/><Relationship  Id="rId2695" Type="http://schemas.openxmlformats.org/officeDocument/2006/relationships/hyperlink" Target="http://www.linkedin.com/in/val%c3%a9ry-gomes-35a36a5" TargetMode="External"/><Relationship  Id="rId2696" Type="http://schemas.openxmlformats.org/officeDocument/2006/relationships/hyperlink" Target="http://www.linkedin.com/company/csbschool" TargetMode="External"/><Relationship  Id="rId2697" Type="http://schemas.openxmlformats.org/officeDocument/2006/relationships/hyperlink" Target="http://www.linkedin.com/in/vianneywattinne" TargetMode="External"/><Relationship  Id="rId2698" Type="http://schemas.openxmlformats.org/officeDocument/2006/relationships/hyperlink" Target="http://geniusloci.fr" TargetMode="External"/><Relationship  Id="rId2699" Type="http://schemas.openxmlformats.org/officeDocument/2006/relationships/hyperlink" Target="http://www.linkedin.com/company/g%c3%a9nius-loci" TargetMode="External"/><Relationship  Id="rId27" Type="http://schemas.openxmlformats.org/officeDocument/2006/relationships/hyperlink" Target="http://www.linkedin.com/company/bcm-b%c3%a2timents-constructions-modulaires-" TargetMode="External"/><Relationship  Id="rId270" Type="http://schemas.openxmlformats.org/officeDocument/2006/relationships/hyperlink" Target="http://hpdia.com" TargetMode="External"/><Relationship  Id="rId2700" Type="http://schemas.openxmlformats.org/officeDocument/2006/relationships/hyperlink" Target="https://www.facebook.com/lespritdubatiment" TargetMode="External"/><Relationship  Id="rId2701" Type="http://schemas.openxmlformats.org/officeDocument/2006/relationships/hyperlink" Target="http://www.linkedin.com/in/vianney-daunay-3aa222135" TargetMode="External"/><Relationship  Id="rId2702" Type="http://schemas.openxmlformats.org/officeDocument/2006/relationships/hyperlink" Target="http://samaconsulting.co.uk" TargetMode="External"/><Relationship  Id="rId2703" Type="http://schemas.openxmlformats.org/officeDocument/2006/relationships/hyperlink" Target="http://www.linkedin.com/company/sama-consutling" TargetMode="External"/><Relationship  Id="rId2704" Type="http://schemas.openxmlformats.org/officeDocument/2006/relationships/hyperlink" Target="http://www.linkedin.com/in/vicki-moritz-henry-30740b59" TargetMode="External"/><Relationship  Id="rId2705" Type="http://schemas.openxmlformats.org/officeDocument/2006/relationships/hyperlink" Target="http://thewatchdog.io" TargetMode="External"/><Relationship  Id="rId2706" Type="http://schemas.openxmlformats.org/officeDocument/2006/relationships/hyperlink" Target="http://www.linkedin.com/company/the-watch-dog" TargetMode="External"/><Relationship  Id="rId2707" Type="http://schemas.openxmlformats.org/officeDocument/2006/relationships/hyperlink" Target="http://www.linkedin.com/in/victorpoilane" TargetMode="External"/><Relationship  Id="rId2708" Type="http://schemas.openxmlformats.org/officeDocument/2006/relationships/hyperlink" Target="http://lmcs-balma.com" TargetMode="External"/><Relationship  Id="rId2709" Type="http://schemas.openxmlformats.org/officeDocument/2006/relationships/hyperlink" Target="http://www.linkedin.com/company/l.m.c.s.---la-maison-du-carrelage-et-sanitaire-balma" TargetMode="External"/><Relationship  Id="rId271" Type="http://schemas.openxmlformats.org/officeDocument/2006/relationships/hyperlink" Target="http://www.linkedin.com/company/hpdia" TargetMode="External"/><Relationship  Id="rId2710" Type="http://schemas.openxmlformats.org/officeDocument/2006/relationships/hyperlink" Target="https://www.facebook.com/lmcsbalma/" TargetMode="External"/><Relationship  Id="rId2711" Type="http://schemas.openxmlformats.org/officeDocument/2006/relationships/hyperlink" Target="http://www.linkedin.com/in/vincent-arnoldo-b52762202" TargetMode="External"/><Relationship  Id="rId2712" Type="http://schemas.openxmlformats.org/officeDocument/2006/relationships/hyperlink" Target="http://www.linkedin.com/in/vincent-cristallini-54828b179" TargetMode="External"/><Relationship  Id="rId2713" Type="http://schemas.openxmlformats.org/officeDocument/2006/relationships/hyperlink" Target="http://ks2.fr" TargetMode="External"/><Relationship  Id="rId2714" Type="http://schemas.openxmlformats.org/officeDocument/2006/relationships/hyperlink" Target="http://www.linkedin.com/company/ks2" TargetMode="External"/><Relationship  Id="rId2715" Type="http://schemas.openxmlformats.org/officeDocument/2006/relationships/hyperlink" Target="http://www.linkedin.com/in/vincentderec" TargetMode="External"/><Relationship  Id="rId2716" Type="http://schemas.openxmlformats.org/officeDocument/2006/relationships/hyperlink" Target="http://berga.fr" TargetMode="External"/><Relationship  Id="rId2717" Type="http://schemas.openxmlformats.org/officeDocument/2006/relationships/hyperlink" Target="http://www.linkedin.com/company/berga-bet-fluides" TargetMode="External"/><Relationship  Id="rId2718" Type="http://schemas.openxmlformats.org/officeDocument/2006/relationships/hyperlink" Target="http://www.linkedin.com/in/vincent-moulin-b5a1a2142" TargetMode="External"/><Relationship  Id="rId2719" Type="http://schemas.openxmlformats.org/officeDocument/2006/relationships/hyperlink" Target="http://awinsi.com" TargetMode="External"/><Relationship  Id="rId272" Type="http://schemas.openxmlformats.org/officeDocument/2006/relationships/hyperlink" Target="http://www.linkedin.com/in/baptiste-artur-620037185" TargetMode="External"/><Relationship  Id="rId2720" Type="http://schemas.openxmlformats.org/officeDocument/2006/relationships/hyperlink" Target="http://www.linkedin.com/company/awinsi" TargetMode="External"/><Relationship  Id="rId2721" Type="http://schemas.openxmlformats.org/officeDocument/2006/relationships/hyperlink" Target="https://twitter.com/AwinsiConseil" TargetMode="External"/><Relationship  Id="rId2722" Type="http://schemas.openxmlformats.org/officeDocument/2006/relationships/hyperlink" Target="https://facebook.com/pages/Awinsi/145453078986954" TargetMode="External"/><Relationship  Id="rId2723" Type="http://schemas.openxmlformats.org/officeDocument/2006/relationships/hyperlink" Target="http://www.linkedin.com/in/vincentpeyrache" TargetMode="External"/><Relationship  Id="rId2724" Type="http://schemas.openxmlformats.org/officeDocument/2006/relationships/hyperlink" Target="http://normaclo.com" TargetMode="External"/><Relationship  Id="rId2725" Type="http://schemas.openxmlformats.org/officeDocument/2006/relationships/hyperlink" Target="http://www.linkedin.com/company/bosmy-normaclo" TargetMode="External"/><Relationship  Id="rId2726" Type="http://schemas.openxmlformats.org/officeDocument/2006/relationships/hyperlink" Target="https://www.facebook.com/collections.normaclo" TargetMode="External"/><Relationship  Id="rId2727" Type="http://schemas.openxmlformats.org/officeDocument/2006/relationships/hyperlink" Target="http://www.linkedin.com/in/vincent-sionni%c3%a8re-71712445" TargetMode="External"/><Relationship  Id="rId2728" Type="http://schemas.openxmlformats.org/officeDocument/2006/relationships/hyperlink" Target="http://www.linkedin.com/in/vincent-chauvin" TargetMode="External"/><Relationship  Id="rId2729" Type="http://schemas.openxmlformats.org/officeDocument/2006/relationships/hyperlink" Target="http://va-telecom.fr" TargetMode="External"/><Relationship  Id="rId273" Type="http://schemas.openxmlformats.org/officeDocument/2006/relationships/hyperlink" Target="http://junior-mines-provence.fr" TargetMode="External"/><Relationship  Id="rId2730" Type="http://schemas.openxmlformats.org/officeDocument/2006/relationships/hyperlink" Target="http://www.linkedin.com/company/va-t%c3%a9l%c3%a9com" TargetMode="External"/><Relationship  Id="rId2731" Type="http://schemas.openxmlformats.org/officeDocument/2006/relationships/hyperlink" Target="http://www.linkedin.com/in/vincent-pinel-420a93a7" TargetMode="External"/><Relationship  Id="rId2732" Type="http://schemas.openxmlformats.org/officeDocument/2006/relationships/hyperlink" Target="http://creactuel.com" TargetMode="External"/><Relationship  Id="rId2733" Type="http://schemas.openxmlformats.org/officeDocument/2006/relationships/hyperlink" Target="http://www.linkedin.com/company/cre-atuel" TargetMode="External"/><Relationship  Id="rId2734" Type="http://schemas.openxmlformats.org/officeDocument/2006/relationships/hyperlink" Target="https://www.facebook.com/groupecreactuel/" TargetMode="External"/><Relationship  Id="rId2735" Type="http://schemas.openxmlformats.org/officeDocument/2006/relationships/hyperlink" Target="http://www.linkedin.com/in/vincent-leblay-829156106" TargetMode="External"/><Relationship  Id="rId2736" Type="http://schemas.openxmlformats.org/officeDocument/2006/relationships/hyperlink" Target="http://www.linkedin.com/company/ekipea" TargetMode="External"/><Relationship  Id="rId2737" Type="http://schemas.openxmlformats.org/officeDocument/2006/relationships/hyperlink" Target="http://www.linkedin.com/in/virginie-colin-aa3679131" TargetMode="External"/><Relationship  Id="rId2738" Type="http://schemas.openxmlformats.org/officeDocument/2006/relationships/hyperlink" Target="http://agroqual.com" TargetMode="External"/><Relationship  Id="rId2739" Type="http://schemas.openxmlformats.org/officeDocument/2006/relationships/hyperlink" Target="http://www.linkedin.com/company/sarl-agroqual" TargetMode="External"/><Relationship  Id="rId274" Type="http://schemas.openxmlformats.org/officeDocument/2006/relationships/hyperlink" Target="http://www.linkedin.com/company/junior-mines-provence" TargetMode="External"/><Relationship  Id="rId2740" Type="http://schemas.openxmlformats.org/officeDocument/2006/relationships/hyperlink" Target="http://www.linkedin.com/in/virginie-grandin-064bb6123" TargetMode="External"/><Relationship  Id="rId2741" Type="http://schemas.openxmlformats.org/officeDocument/2006/relationships/hyperlink" Target="http://lcom-agence.com" TargetMode="External"/><Relationship  Id="rId2742" Type="http://schemas.openxmlformats.org/officeDocument/2006/relationships/hyperlink" Target="http://www.linkedin.com/company/lcom" TargetMode="External"/><Relationship  Id="rId2743" Type="http://schemas.openxmlformats.org/officeDocument/2006/relationships/hyperlink" Target="https://www.facebook.com/LcomAgence/" TargetMode="External"/><Relationship  Id="rId2744" Type="http://schemas.openxmlformats.org/officeDocument/2006/relationships/hyperlink" Target="http://www.linkedin.com/in/virginie-robert-bb2b032a" TargetMode="External"/><Relationship  Id="rId2745" Type="http://schemas.openxmlformats.org/officeDocument/2006/relationships/hyperlink" Target="http://infotem.fr" TargetMode="External"/><Relationship  Id="rId2746" Type="http://schemas.openxmlformats.org/officeDocument/2006/relationships/hyperlink" Target="http://www.linkedin.com/company/infotemsas" TargetMode="External"/><Relationship  Id="rId2747" Type="http://schemas.openxmlformats.org/officeDocument/2006/relationships/hyperlink" Target="http://www.linkedin.com/in/vivien-grand-b4672617b" TargetMode="External"/><Relationship  Id="rId2748" Type="http://schemas.openxmlformats.org/officeDocument/2006/relationships/hyperlink" Target="http://lfaid.fr" TargetMode="External"/><Relationship  Id="rId2749" Type="http://schemas.openxmlformats.org/officeDocument/2006/relationships/hyperlink" Target="http://www.linkedin.com/company/la-fabrik-%c3%a0-id" TargetMode="External"/><Relationship  Id="rId275" Type="http://schemas.openxmlformats.org/officeDocument/2006/relationships/hyperlink" Target="http://www.linkedin.com/in/baptiste-mondion" TargetMode="External"/><Relationship  Id="rId2750" Type="http://schemas.openxmlformats.org/officeDocument/2006/relationships/hyperlink" Target="http://www.linkedin.com/in/vivien-limacher-a83b5a11b" TargetMode="External"/><Relationship  Id="rId2751" Type="http://schemas.openxmlformats.org/officeDocument/2006/relationships/hyperlink" Target="http://kadolis.com" TargetMode="External"/><Relationship  Id="rId2752" Type="http://schemas.openxmlformats.org/officeDocument/2006/relationships/hyperlink" Target="http://www.linkedin.com/company/kadolis" TargetMode="External"/><Relationship  Id="rId2753" Type="http://schemas.openxmlformats.org/officeDocument/2006/relationships/hyperlink" Target="https://twitter.com/Kadolis1" TargetMode="External"/><Relationship  Id="rId2754" Type="http://schemas.openxmlformats.org/officeDocument/2006/relationships/hyperlink" Target="https://www.facebook.com/Kadolisenglish" TargetMode="External"/><Relationship  Id="rId2755" Type="http://schemas.openxmlformats.org/officeDocument/2006/relationships/hyperlink" Target="http://www.linkedin.com/in/vladimir-swistunow-85269754" TargetMode="External"/><Relationship  Id="rId2756" Type="http://schemas.openxmlformats.org/officeDocument/2006/relationships/hyperlink" Target="http://derbez.fr" TargetMode="External"/><Relationship  Id="rId2757" Type="http://schemas.openxmlformats.org/officeDocument/2006/relationships/hyperlink" Target="http://www.linkedin.com/company/ets-derbez" TargetMode="External"/><Relationship  Id="rId2758" Type="http://schemas.openxmlformats.org/officeDocument/2006/relationships/hyperlink" Target="http://www.linkedin.com/in/mignotvincent" TargetMode="External"/><Relationship  Id="rId2759" Type="http://schemas.openxmlformats.org/officeDocument/2006/relationships/hyperlink" Target="http://bouquineriedusart.com" TargetMode="External"/><Relationship  Id="rId276" Type="http://schemas.openxmlformats.org/officeDocument/2006/relationships/hyperlink" Target="http://worklib.io" TargetMode="External"/><Relationship  Id="rId2760" Type="http://schemas.openxmlformats.org/officeDocument/2006/relationships/hyperlink" Target="http://www.linkedin.com/company/la-bouquinerie-du-sart" TargetMode="External"/><Relationship  Id="rId2761" Type="http://schemas.openxmlformats.org/officeDocument/2006/relationships/hyperlink" Target="https://twitter.com/bouquinerie59" TargetMode="External"/><Relationship  Id="rId2762" Type="http://schemas.openxmlformats.org/officeDocument/2006/relationships/hyperlink" Target="https://www.facebook.com/bouquineriedusart" TargetMode="External"/><Relationship  Id="rId2763" Type="http://schemas.openxmlformats.org/officeDocument/2006/relationships/hyperlink" Target="http://www.linkedin.com/in/vianneypoissonnier" TargetMode="External"/><Relationship  Id="rId2764" Type="http://schemas.openxmlformats.org/officeDocument/2006/relationships/hyperlink" Target="http://nefture.com" TargetMode="External"/><Relationship  Id="rId2765" Type="http://schemas.openxmlformats.org/officeDocument/2006/relationships/hyperlink" Target="http://www.linkedin.com/company/nefture" TargetMode="External"/><Relationship  Id="rId2766" Type="http://schemas.openxmlformats.org/officeDocument/2006/relationships/hyperlink" Target="http://www.linkedin.com/in/wafae-kerchi-b33562145" TargetMode="External"/><Relationship  Id="rId2767" Type="http://schemas.openxmlformats.org/officeDocument/2006/relationships/hyperlink" Target="http://kouka.io" TargetMode="External"/><Relationship  Id="rId2768" Type="http://schemas.openxmlformats.org/officeDocument/2006/relationships/hyperlink" Target="http://www.linkedin.com/company/kouka-consulting" TargetMode="External"/><Relationship  Id="rId2769" Type="http://schemas.openxmlformats.org/officeDocument/2006/relationships/hyperlink" Target="http://www.linkedin.com/in/walid-ammar-5428812b" TargetMode="External"/><Relationship  Id="rId277" Type="http://schemas.openxmlformats.org/officeDocument/2006/relationships/hyperlink" Target="http://www.linkedin.com/company/worklib-io" TargetMode="External"/><Relationship  Id="rId2770" Type="http://schemas.openxmlformats.org/officeDocument/2006/relationships/hyperlink" Target="http://netconceptalsace.fr" TargetMode="External"/><Relationship  Id="rId2771" Type="http://schemas.openxmlformats.org/officeDocument/2006/relationships/hyperlink" Target="http://www.linkedin.com/company/net-concept-alsace" TargetMode="External"/><Relationship  Id="rId2772" Type="http://schemas.openxmlformats.org/officeDocument/2006/relationships/hyperlink" Target="http://www.linkedin.com/in/walter-mendes" TargetMode="External"/><Relationship  Id="rId2773" Type="http://schemas.openxmlformats.org/officeDocument/2006/relationships/hyperlink" Target="http://phacetlabs.com" TargetMode="External"/><Relationship  Id="rId2774" Type="http://schemas.openxmlformats.org/officeDocument/2006/relationships/hyperlink" Target="http://www.linkedin.com/company/phacetlabs" TargetMode="External"/><Relationship  Id="rId2775" Type="http://schemas.openxmlformats.org/officeDocument/2006/relationships/hyperlink" Target="http://www.linkedin.com/in/williampambrun" TargetMode="External"/><Relationship  Id="rId2776" Type="http://schemas.openxmlformats.org/officeDocument/2006/relationships/hyperlink" Target="http://getduo.co" TargetMode="External"/><Relationship  Id="rId2777" Type="http://schemas.openxmlformats.org/officeDocument/2006/relationships/hyperlink" Target="http://www.linkedin.com/company/getduo" TargetMode="External"/><Relationship  Id="rId2778" Type="http://schemas.openxmlformats.org/officeDocument/2006/relationships/hyperlink" Target="http://www.linkedin.com/in/xavier-dersy" TargetMode="External"/><Relationship  Id="rId2779" Type="http://schemas.openxmlformats.org/officeDocument/2006/relationships/hyperlink" Target="http://komugi.io" TargetMode="External"/><Relationship  Id="rId278" Type="http://schemas.openxmlformats.org/officeDocument/2006/relationships/hyperlink" Target="https://twitter.com/bapbroughton" TargetMode="External"/><Relationship  Id="rId2780" Type="http://schemas.openxmlformats.org/officeDocument/2006/relationships/hyperlink" Target="http://www.linkedin.com/company/komugi" TargetMode="External"/><Relationship  Id="rId2781" Type="http://schemas.openxmlformats.org/officeDocument/2006/relationships/hyperlink" Target="http://www.linkedin.com/in/xavier-feltin" TargetMode="External"/><Relationship  Id="rId2782" Type="http://schemas.openxmlformats.org/officeDocument/2006/relationships/hyperlink" Target="http://leanco.fr" TargetMode="External"/><Relationship  Id="rId2783" Type="http://schemas.openxmlformats.org/officeDocument/2006/relationships/hyperlink" Target="http://www.linkedin.com/company/leancofrance" TargetMode="External"/><Relationship  Id="rId2784" Type="http://schemas.openxmlformats.org/officeDocument/2006/relationships/hyperlink" Target="http://www.linkedin.com/in/xavier-motsch-09197510b" TargetMode="External"/><Relationship  Id="rId2785" Type="http://schemas.openxmlformats.org/officeDocument/2006/relationships/hyperlink" Target="http://sogev.fr" TargetMode="External"/><Relationship  Id="rId2786" Type="http://schemas.openxmlformats.org/officeDocument/2006/relationships/hyperlink" Target="http://www.linkedin.com/company/sogev" TargetMode="External"/><Relationship  Id="rId2787" Type="http://schemas.openxmlformats.org/officeDocument/2006/relationships/hyperlink" Target="http://www.linkedin.com/in/yveen-k-95a7a0b1" TargetMode="External"/><Relationship  Id="rId2788" Type="http://schemas.openxmlformats.org/officeDocument/2006/relationships/hyperlink" Target="http://amg-it.fr" TargetMode="External"/><Relationship  Id="rId2789" Type="http://schemas.openxmlformats.org/officeDocument/2006/relationships/hyperlink" Target="http://www.linkedin.com/company/amg-it" TargetMode="External"/><Relationship  Id="rId279" Type="http://schemas.openxmlformats.org/officeDocument/2006/relationships/hyperlink" Target="http://www.linkedin.com/in/baptistebroughton" TargetMode="External"/><Relationship  Id="rId2790" Type="http://schemas.openxmlformats.org/officeDocument/2006/relationships/hyperlink" Target="http://www.linkedin.com/in/yann-garlantezec-ba167b66" TargetMode="External"/><Relationship  Id="rId2791" Type="http://schemas.openxmlformats.org/officeDocument/2006/relationships/hyperlink" Target="http://www.linkedin.com/in/yannmastin" TargetMode="External"/><Relationship  Id="rId2792" Type="http://schemas.openxmlformats.org/officeDocument/2006/relationships/hyperlink" Target="http://cicadom.fr" TargetMode="External"/><Relationship  Id="rId2793" Type="http://schemas.openxmlformats.org/officeDocument/2006/relationships/hyperlink" Target="http://www.linkedin.com/company/cicadom" TargetMode="External"/><Relationship  Id="rId2794" Type="http://schemas.openxmlformats.org/officeDocument/2006/relationships/hyperlink" Target="http://www.linkedin.com/in/yohan-caruso-59890589" TargetMode="External"/><Relationship  Id="rId2795" Type="http://schemas.openxmlformats.org/officeDocument/2006/relationships/hyperlink" Target="http://onlytoit.fr" TargetMode="External"/><Relationship  Id="rId2796" Type="http://schemas.openxmlformats.org/officeDocument/2006/relationships/hyperlink" Target="http://www.linkedin.com/company/onlytoit" TargetMode="External"/><Relationship  Id="rId2797" Type="http://schemas.openxmlformats.org/officeDocument/2006/relationships/hyperlink" Target="http://www.linkedin.com/in/yoann-cros" TargetMode="External"/><Relationship  Id="rId2798" Type="http://schemas.openxmlformats.org/officeDocument/2006/relationships/hyperlink" Target="http://augusteetferdinand.com" TargetMode="External"/><Relationship  Id="rId2799" Type="http://schemas.openxmlformats.org/officeDocument/2006/relationships/hyperlink" Target="http://www.linkedin.com/company/auguste-et-ferdinand" TargetMode="External"/><Relationship  Id="rId28" Type="http://schemas.openxmlformats.org/officeDocument/2006/relationships/hyperlink" Target="http://www.linkedin.com/in/andr%c3%a9-mercier%f0%9f%8f%83%e2%80%8d%e2%99%82%ef%b8%8f-8ab635163" TargetMode="External"/><Relationship  Id="rId280" Type="http://schemas.openxmlformats.org/officeDocument/2006/relationships/hyperlink" Target="http://serynis.fr" TargetMode="External"/><Relationship  Id="rId2800" Type="http://schemas.openxmlformats.org/officeDocument/2006/relationships/hyperlink" Target="https://www.facebook.com/augusteetferdinand" TargetMode="External"/><Relationship  Id="rId2801" Type="http://schemas.openxmlformats.org/officeDocument/2006/relationships/hyperlink" Target="http://www.linkedin.com/in/yoann-duriez-6052a3114" TargetMode="External"/><Relationship  Id="rId2802" Type="http://schemas.openxmlformats.org/officeDocument/2006/relationships/hyperlink" Target="http://triskell-consulting.com" TargetMode="External"/><Relationship  Id="rId2803" Type="http://schemas.openxmlformats.org/officeDocument/2006/relationships/hyperlink" Target="http://www.linkedin.com/company/triskell-consulting" TargetMode="External"/><Relationship  Id="rId2804" Type="http://schemas.openxmlformats.org/officeDocument/2006/relationships/hyperlink" Target="http://www.linkedin.com/in/yannmalnoe" TargetMode="External"/><Relationship  Id="rId2805" Type="http://schemas.openxmlformats.org/officeDocument/2006/relationships/hyperlink" Target="http://cogis.com" TargetMode="External"/><Relationship  Id="rId2806" Type="http://schemas.openxmlformats.org/officeDocument/2006/relationships/hyperlink" Target="http://www.linkedin.com/company/cogis-networks-sa" TargetMode="External"/><Relationship  Id="rId2807" Type="http://schemas.openxmlformats.org/officeDocument/2006/relationships/hyperlink" Target="https://twitter.com/cogisnetworks" TargetMode="External"/><Relationship  Id="rId2808" Type="http://schemas.openxmlformats.org/officeDocument/2006/relationships/hyperlink" Target="http://www.linkedin.com/in/yoel-hasson-353706aa" TargetMode="External"/><Relationship  Id="rId2809" Type="http://schemas.openxmlformats.org/officeDocument/2006/relationships/hyperlink" Target="http://redstrings.io" TargetMode="External"/><Relationship  Id="rId281" Type="http://schemas.openxmlformats.org/officeDocument/2006/relationships/hyperlink" Target="http://www.linkedin.com/company/serynis-textiles-techniques" TargetMode="External"/><Relationship  Id="rId2810" Type="http://schemas.openxmlformats.org/officeDocument/2006/relationships/hyperlink" Target="http://www.linkedin.com/company/redstrings" TargetMode="External"/><Relationship  Id="rId2811" Type="http://schemas.openxmlformats.org/officeDocument/2006/relationships/hyperlink" Target="http://www.linkedin.com/in/yogev-sarel-7471b550" TargetMode="External"/><Relationship  Id="rId2812" Type="http://schemas.openxmlformats.org/officeDocument/2006/relationships/hyperlink" Target="http://paybystep.com" TargetMode="External"/><Relationship  Id="rId2813" Type="http://schemas.openxmlformats.org/officeDocument/2006/relationships/hyperlink" Target="http://www.linkedin.com/company/paybystep" TargetMode="External"/><Relationship  Id="rId2814" Type="http://schemas.openxmlformats.org/officeDocument/2006/relationships/hyperlink" Target="http://www.linkedin.com/in/yvcpbs" TargetMode="External"/><Relationship  Id="rId2815" Type="http://schemas.openxmlformats.org/officeDocument/2006/relationships/hyperlink" Target="http://www.linkedin.com/in/yves-pinaroli-a973a112b" TargetMode="External"/><Relationship  Id="rId2816" Type="http://schemas.openxmlformats.org/officeDocument/2006/relationships/hyperlink" Target="http://proneo-certification.fr" TargetMode="External"/><Relationship  Id="rId2817" Type="http://schemas.openxmlformats.org/officeDocument/2006/relationships/hyperlink" Target="http://www.linkedin.com/company/proneo-certification" TargetMode="External"/><Relationship  Id="rId2818" Type="http://schemas.openxmlformats.org/officeDocument/2006/relationships/hyperlink" Target="https://www.facebook.com/ProneoCertification" TargetMode="External"/><Relationship  Id="rId2819" Type="http://schemas.openxmlformats.org/officeDocument/2006/relationships/hyperlink" Target="http://www.linkedin.com/in/yvespariot" TargetMode="External"/><Relationship  Id="rId282" Type="http://schemas.openxmlformats.org/officeDocument/2006/relationships/hyperlink" Target="http://www.linkedin.com/in/serynis" TargetMode="External"/><Relationship  Id="rId2820" Type="http://schemas.openxmlformats.org/officeDocument/2006/relationships/hyperlink" Target="http://cabinet-ace.fr" TargetMode="External"/><Relationship  Id="rId2821" Type="http://schemas.openxmlformats.org/officeDocument/2006/relationships/hyperlink" Target="http://www.linkedin.com/company/cabinet-ace" TargetMode="External"/><Relationship  Id="rId2822" Type="http://schemas.openxmlformats.org/officeDocument/2006/relationships/hyperlink" Target="https://www.facebook.com/Cabinet.ACE.Angers" TargetMode="External"/><Relationship  Id="rId2823" Type="http://schemas.openxmlformats.org/officeDocument/2006/relationships/hyperlink" Target="http://www.linkedin.com/in/yvesprunier" TargetMode="External"/><Relationship  Id="rId283" Type="http://schemas.openxmlformats.org/officeDocument/2006/relationships/hyperlink" Target="http://bdconsulting.fr" TargetMode="External"/><Relationship  Id="rId284" Type="http://schemas.openxmlformats.org/officeDocument/2006/relationships/hyperlink" Target="http://www.linkedin.com/company/bd-consulting" TargetMode="External"/><Relationship  Id="rId285" Type="http://schemas.openxmlformats.org/officeDocument/2006/relationships/hyperlink" Target="http://www.linkedin.com/in/bertrand-decultot-98260622" TargetMode="External"/><Relationship  Id="rId286" Type="http://schemas.openxmlformats.org/officeDocument/2006/relationships/hyperlink" Target="http://auphys.com" TargetMode="External"/><Relationship  Id="rId287" Type="http://schemas.openxmlformats.org/officeDocument/2006/relationships/hyperlink" Target="http://www.linkedin.com/company/auphys-technologie" TargetMode="External"/><Relationship  Id="rId288" Type="http://schemas.openxmlformats.org/officeDocument/2006/relationships/hyperlink" Target="http://www.linkedin.com/in/laurent-benchetrit-87068198" TargetMode="External"/><Relationship  Id="rId289" Type="http://schemas.openxmlformats.org/officeDocument/2006/relationships/hyperlink" Target="http://www.linkedin.com/company/cgbi" TargetMode="External"/><Relationship  Id="rId29" Type="http://schemas.openxmlformats.org/officeDocument/2006/relationships/hyperlink" Target="http://asystom.com" TargetMode="External"/><Relationship  Id="rId290" Type="http://schemas.openxmlformats.org/officeDocument/2006/relationships/hyperlink" Target="http://www.linkedin.com/in/benjamin-camerino-55a8b9117" TargetMode="External"/><Relationship  Id="rId291" Type="http://schemas.openxmlformats.org/officeDocument/2006/relationships/hyperlink" Target="http://eoris.fr" TargetMode="External"/><Relationship  Id="rId292" Type="http://schemas.openxmlformats.org/officeDocument/2006/relationships/hyperlink" Target="http://www.linkedin.com/company/eoris" TargetMode="External"/><Relationship  Id="rId293" Type="http://schemas.openxmlformats.org/officeDocument/2006/relationships/hyperlink" Target="http://www.linkedin.com/in/benjamin-guerlot" TargetMode="External"/><Relationship  Id="rId294" Type="http://schemas.openxmlformats.org/officeDocument/2006/relationships/hyperlink" Target="http://sporeo.fr" TargetMode="External"/><Relationship  Id="rId295" Type="http://schemas.openxmlformats.org/officeDocument/2006/relationships/hyperlink" Target="http://www.linkedin.com/company/sporeo1" TargetMode="External"/><Relationship  Id="rId296" Type="http://schemas.openxmlformats.org/officeDocument/2006/relationships/hyperlink" Target="http://www.linkedin.com/in/benjamin-richez-b089a419" TargetMode="External"/><Relationship  Id="rId297" Type="http://schemas.openxmlformats.org/officeDocument/2006/relationships/hyperlink" Target="http://gcube-conseil.com" TargetMode="External"/><Relationship  Id="rId298" Type="http://schemas.openxmlformats.org/officeDocument/2006/relationships/hyperlink" Target="http://www.linkedin.com/company/gcube-conseil" TargetMode="External"/><Relationship  Id="rId299" Type="http://schemas.openxmlformats.org/officeDocument/2006/relationships/hyperlink" Target="http://www.linkedin.com/in/benjamin-seulin-37bb278a" TargetMode="External"/><Relationship  Id="rId3" Type="http://schemas.openxmlformats.org/officeDocument/2006/relationships/hyperlink" Target="http://agence-jaam.fr" TargetMode="External"/><Relationship  Id="rId30" Type="http://schemas.openxmlformats.org/officeDocument/2006/relationships/hyperlink" Target="http://www.linkedin.com/company/asystom" TargetMode="External"/><Relationship  Id="rId300" Type="http://schemas.openxmlformats.org/officeDocument/2006/relationships/hyperlink" Target="http://breuilbatiment.com" TargetMode="External"/><Relationship  Id="rId301" Type="http://schemas.openxmlformats.org/officeDocument/2006/relationships/hyperlink" Target="http://www.linkedin.com/company/sa-breuil-et-cie" TargetMode="External"/><Relationship  Id="rId302" Type="http://schemas.openxmlformats.org/officeDocument/2006/relationships/hyperlink" Target="http://www.linkedin.com/in/benjamin-breuil-175596b8" TargetMode="External"/><Relationship  Id="rId303" Type="http://schemas.openxmlformats.org/officeDocument/2006/relationships/hyperlink" Target="http://kwantic.fr" TargetMode="External"/><Relationship  Id="rId304" Type="http://schemas.openxmlformats.org/officeDocument/2006/relationships/hyperlink" Target="http://www.linkedin.com/company/kwantic" TargetMode="External"/><Relationship  Id="rId305" Type="http://schemas.openxmlformats.org/officeDocument/2006/relationships/hyperlink" Target="http://www.linkedin.com/in/benjamin-queroy" TargetMode="External"/><Relationship  Id="rId306" Type="http://schemas.openxmlformats.org/officeDocument/2006/relationships/hyperlink" Target="http://bomzai.fr" TargetMode="External"/><Relationship  Id="rId307" Type="http://schemas.openxmlformats.org/officeDocument/2006/relationships/hyperlink" Target="http://www.linkedin.com/company/bomzai" TargetMode="External"/><Relationship  Id="rId308" Type="http://schemas.openxmlformats.org/officeDocument/2006/relationships/hyperlink" Target="https://twitter.com/bomzaiofficiel" TargetMode="External"/><Relationship  Id="rId309" Type="http://schemas.openxmlformats.org/officeDocument/2006/relationships/hyperlink" Target="https://www.facebook.com/Bomzai-101147832093047" TargetMode="External"/><Relationship  Id="rId31" Type="http://schemas.openxmlformats.org/officeDocument/2006/relationships/hyperlink" Target="https://twitter.com/asystom" TargetMode="External"/><Relationship  Id="rId310" Type="http://schemas.openxmlformats.org/officeDocument/2006/relationships/hyperlink" Target="http://www.linkedin.com/in/benoit-gandon-298730164" TargetMode="External"/><Relationship  Id="rId311" Type="http://schemas.openxmlformats.org/officeDocument/2006/relationships/hyperlink" Target="http://uni5-technologies.com" TargetMode="External"/><Relationship  Id="rId312" Type="http://schemas.openxmlformats.org/officeDocument/2006/relationships/hyperlink" Target="http://www.linkedin.com/company/uni5-technologies" TargetMode="External"/><Relationship  Id="rId313" Type="http://schemas.openxmlformats.org/officeDocument/2006/relationships/hyperlink" Target="https://www.facebook.com/Uni5.Technologies/" TargetMode="External"/><Relationship  Id="rId314" Type="http://schemas.openxmlformats.org/officeDocument/2006/relationships/hyperlink" Target="http://www.linkedin.com/in/imad-bensisaid-725378197" TargetMode="External"/><Relationship  Id="rId315" Type="http://schemas.openxmlformats.org/officeDocument/2006/relationships/hyperlink" Target="http://abis-cloison.com" TargetMode="External"/><Relationship  Id="rId316" Type="http://schemas.openxmlformats.org/officeDocument/2006/relationships/hyperlink" Target="http://www.linkedin.com/company/abis-au-dela-de-l-amenagement" TargetMode="External"/><Relationship  Id="rId317" Type="http://schemas.openxmlformats.org/officeDocument/2006/relationships/hyperlink" Target="http://www.linkedin.com/in/joachim-bernab%c3%a9-12244486" TargetMode="External"/><Relationship  Id="rId318" Type="http://schemas.openxmlformats.org/officeDocument/2006/relationships/hyperlink" Target="http://briero.fr" TargetMode="External"/><Relationship  Id="rId319" Type="http://schemas.openxmlformats.org/officeDocument/2006/relationships/hyperlink" Target="http://www.linkedin.com/company/briero" TargetMode="External"/><Relationship  Id="rId32" Type="http://schemas.openxmlformats.org/officeDocument/2006/relationships/hyperlink" Target="http://www.linkedin.com/in/andr%c3%a9-naccache-5745161" TargetMode="External"/><Relationship  Id="rId320" Type="http://schemas.openxmlformats.org/officeDocument/2006/relationships/hyperlink" Target="http://www.linkedin.com/in/bertrand-briero-15454219a" TargetMode="External"/><Relationship  Id="rId321" Type="http://schemas.openxmlformats.org/officeDocument/2006/relationships/hyperlink" Target="http://circle-strategy.com" TargetMode="External"/><Relationship  Id="rId322" Type="http://schemas.openxmlformats.org/officeDocument/2006/relationships/hyperlink" Target="http://www.linkedin.com/company/circle-strategy" TargetMode="External"/><Relationship  Id="rId323" Type="http://schemas.openxmlformats.org/officeDocument/2006/relationships/hyperlink" Target="http://www.linkedin.com/in/bertrandgrau" TargetMode="External"/><Relationship  Id="rId324" Type="http://schemas.openxmlformats.org/officeDocument/2006/relationships/hyperlink" Target="http://spl-agate.com" TargetMode="External"/><Relationship  Id="rId325" Type="http://schemas.openxmlformats.org/officeDocument/2006/relationships/hyperlink" Target="http://www.linkedin.com/company/spl-agate" TargetMode="External"/><Relationship  Id="rId326" Type="http://schemas.openxmlformats.org/officeDocument/2006/relationships/hyperlink" Target="http://www.linkedin.com/in/pelain-bertrand-00762715" TargetMode="External"/><Relationship  Id="rId327" Type="http://schemas.openxmlformats.org/officeDocument/2006/relationships/hyperlink" Target="http://dc-pilot.com" TargetMode="External"/><Relationship  Id="rId328" Type="http://schemas.openxmlformats.org/officeDocument/2006/relationships/hyperlink" Target="http://www.linkedin.com/company/dc-pilot-france" TargetMode="External"/><Relationship  Id="rId329" Type="http://schemas.openxmlformats.org/officeDocument/2006/relationships/hyperlink" Target="https://twitter.com/DCpilot_france" TargetMode="External"/><Relationship  Id="rId33" Type="http://schemas.openxmlformats.org/officeDocument/2006/relationships/hyperlink" Target="http://goron-assi.fr" TargetMode="External"/><Relationship  Id="rId330" Type="http://schemas.openxmlformats.org/officeDocument/2006/relationships/hyperlink" Target="https://www.facebook.com/dcpilotfrance" TargetMode="External"/><Relationship  Id="rId331" Type="http://schemas.openxmlformats.org/officeDocument/2006/relationships/hyperlink" Target="http://www.linkedin.com/in/bertrand-soviche-819a77b7" TargetMode="External"/><Relationship  Id="rId332" Type="http://schemas.openxmlformats.org/officeDocument/2006/relationships/hyperlink" Target="http://mountain-path.com" TargetMode="External"/><Relationship  Id="rId333" Type="http://schemas.openxmlformats.org/officeDocument/2006/relationships/hyperlink" Target="http://www.linkedin.com/company/mountain-path" TargetMode="External"/><Relationship  Id="rId334" Type="http://schemas.openxmlformats.org/officeDocument/2006/relationships/hyperlink" Target="https://twitter.com/mountainpathuk" TargetMode="External"/><Relationship  Id="rId335" Type="http://schemas.openxmlformats.org/officeDocument/2006/relationships/hyperlink" Target="https://www.facebook.com/learnfromaltitude/" TargetMode="External"/><Relationship  Id="rId336" Type="http://schemas.openxmlformats.org/officeDocument/2006/relationships/hyperlink" Target="http://www.linkedin.com/in/blaise-agresti-51684748" TargetMode="External"/><Relationship  Id="rId337" Type="http://schemas.openxmlformats.org/officeDocument/2006/relationships/hyperlink" Target="http://1630conseil.com" TargetMode="External"/><Relationship  Id="rId338" Type="http://schemas.openxmlformats.org/officeDocument/2006/relationships/hyperlink" Target="http://www.linkedin.com/company/1630-conseil" TargetMode="External"/><Relationship  Id="rId339" Type="http://schemas.openxmlformats.org/officeDocument/2006/relationships/hyperlink" Target="http://www.linkedin.com/in/bertrand-moineau-9551555" TargetMode="External"/><Relationship  Id="rId34" Type="http://schemas.openxmlformats.org/officeDocument/2006/relationships/hyperlink" Target="http://www.linkedin.com/company/goron-assi" TargetMode="External"/><Relationship  Id="rId340" Type="http://schemas.openxmlformats.org/officeDocument/2006/relationships/hyperlink" Target="http://primo1d.com" TargetMode="External"/><Relationship  Id="rId341" Type="http://schemas.openxmlformats.org/officeDocument/2006/relationships/hyperlink" Target="http://www.linkedin.com/company/primo1d" TargetMode="External"/><Relationship  Id="rId342" Type="http://schemas.openxmlformats.org/officeDocument/2006/relationships/hyperlink" Target="https://twitter.com/Primo1DSAS" TargetMode="External"/><Relationship  Id="rId343" Type="http://schemas.openxmlformats.org/officeDocument/2006/relationships/hyperlink" Target="http://www.linkedin.com/in/borisvigaud" TargetMode="External"/><Relationship  Id="rId344" Type="http://schemas.openxmlformats.org/officeDocument/2006/relationships/hyperlink" Target="http://acesoftware.fr" TargetMode="External"/><Relationship  Id="rId345" Type="http://schemas.openxmlformats.org/officeDocument/2006/relationships/hyperlink" Target="http://www.linkedin.com/company/ace-software" TargetMode="External"/><Relationship  Id="rId346" Type="http://schemas.openxmlformats.org/officeDocument/2006/relationships/hyperlink" Target="http://www.linkedin.com/in/brice-roux-98a251a5" TargetMode="External"/><Relationship  Id="rId347" Type="http://schemas.openxmlformats.org/officeDocument/2006/relationships/hyperlink" Target="http://admbrodu.fr" TargetMode="External"/><Relationship  Id="rId348" Type="http://schemas.openxmlformats.org/officeDocument/2006/relationships/hyperlink" Target="http://www.linkedin.com/company/adm-brodu" TargetMode="External"/><Relationship  Id="rId349" Type="http://schemas.openxmlformats.org/officeDocument/2006/relationships/hyperlink" Target="http://www.linkedin.com/in/bertrand-brodu-08616117a" TargetMode="External"/><Relationship  Id="rId35" Type="http://schemas.openxmlformats.org/officeDocument/2006/relationships/hyperlink" Target="http://www.linkedin.com/in/antoine-neaumet-91ab6264" TargetMode="External"/><Relationship  Id="rId350" Type="http://schemas.openxmlformats.org/officeDocument/2006/relationships/hyperlink" Target="http://www.linkedin.com/company/persistent-systems-france" TargetMode="External"/><Relationship  Id="rId351" Type="http://schemas.openxmlformats.org/officeDocument/2006/relationships/hyperlink" Target="http://www.linkedin.com/in/brunoorsier" TargetMode="External"/><Relationship  Id="rId352" Type="http://schemas.openxmlformats.org/officeDocument/2006/relationships/hyperlink" Target="http://bilp.fr" TargetMode="External"/><Relationship  Id="rId353" Type="http://schemas.openxmlformats.org/officeDocument/2006/relationships/hyperlink" Target="http://www.linkedin.com/company/bilp" TargetMode="External"/><Relationship  Id="rId354" Type="http://schemas.openxmlformats.org/officeDocument/2006/relationships/hyperlink" Target="http://www.linkedin.com/in/bruno-caillard-bb22a7166" TargetMode="External"/><Relationship  Id="rId355" Type="http://schemas.openxmlformats.org/officeDocument/2006/relationships/hyperlink" Target="http://jsa-groupe.com" TargetMode="External"/><Relationship  Id="rId356" Type="http://schemas.openxmlformats.org/officeDocument/2006/relationships/hyperlink" Target="http://www.linkedin.com/company/jsa-groupe" TargetMode="External"/><Relationship  Id="rId357" Type="http://schemas.openxmlformats.org/officeDocument/2006/relationships/hyperlink" Target="http://www.linkedin.com/in/bsauvage07" TargetMode="External"/><Relationship  Id="rId358" Type="http://schemas.openxmlformats.org/officeDocument/2006/relationships/hyperlink" Target="http://creagift.fr" TargetMode="External"/><Relationship  Id="rId359" Type="http://schemas.openxmlformats.org/officeDocument/2006/relationships/hyperlink" Target="http://www.linkedin.com/company/creagift-nantes" TargetMode="External"/><Relationship  Id="rId36" Type="http://schemas.openxmlformats.org/officeDocument/2006/relationships/hyperlink" Target="http://ubik-ingenierie.com" TargetMode="External"/><Relationship  Id="rId360" Type="http://schemas.openxmlformats.org/officeDocument/2006/relationships/hyperlink" Target="https://www.facebook.com/CreagiftNantes" TargetMode="External"/><Relationship  Id="rId361" Type="http://schemas.openxmlformats.org/officeDocument/2006/relationships/hyperlink" Target="http://www.linkedin.com/in/benjamin-sebire-315595113" TargetMode="External"/><Relationship  Id="rId362" Type="http://schemas.openxmlformats.org/officeDocument/2006/relationships/hyperlink" Target="http://neoedge.fr" TargetMode="External"/><Relationship  Id="rId363" Type="http://schemas.openxmlformats.org/officeDocument/2006/relationships/hyperlink" Target="http://www.linkedin.com/company/neoedge-ipstar" TargetMode="External"/><Relationship  Id="rId364" Type="http://schemas.openxmlformats.org/officeDocument/2006/relationships/hyperlink" Target="https://twitter.com/NeoEdgeFR" TargetMode="External"/><Relationship  Id="rId365" Type="http://schemas.openxmlformats.org/officeDocument/2006/relationships/hyperlink" Target="http://www.linkedin.com/in/baptiste-thellier-45771947" TargetMode="External"/><Relationship  Id="rId366" Type="http://schemas.openxmlformats.org/officeDocument/2006/relationships/hyperlink" Target="http://axys-be.fr" TargetMode="External"/><Relationship  Id="rId367" Type="http://schemas.openxmlformats.org/officeDocument/2006/relationships/hyperlink" Target="http://www.linkedin.com/company/axys-etudes-techniques-fluides" TargetMode="External"/><Relationship  Id="rId368" Type="http://schemas.openxmlformats.org/officeDocument/2006/relationships/hyperlink" Target="http://www.linkedin.com/in/charlotte-adanero-3b26a712" TargetMode="External"/><Relationship  Id="rId369" Type="http://schemas.openxmlformats.org/officeDocument/2006/relationships/hyperlink" Target="http://delta-prefa.com" TargetMode="External"/><Relationship  Id="rId37" Type="http://schemas.openxmlformats.org/officeDocument/2006/relationships/hyperlink" Target="http://www.linkedin.com/company/ubik-ingenierie" TargetMode="External"/><Relationship  Id="rId370" Type="http://schemas.openxmlformats.org/officeDocument/2006/relationships/hyperlink" Target="http://www.linkedin.com/company/delta-pr%c3%a9fabrication07" TargetMode="External"/><Relationship  Id="rId371" Type="http://schemas.openxmlformats.org/officeDocument/2006/relationships/hyperlink" Target="http://www.linkedin.com/in/cl%c3%a9ment-audet-9b52261a" TargetMode="External"/><Relationship  Id="rId372" Type="http://schemas.openxmlformats.org/officeDocument/2006/relationships/hyperlink" Target="http://bsrv-groupe.fr" TargetMode="External"/><Relationship  Id="rId373" Type="http://schemas.openxmlformats.org/officeDocument/2006/relationships/hyperlink" Target="http://www.linkedin.com/company/bsrv-groupe" TargetMode="External"/><Relationship  Id="rId374" Type="http://schemas.openxmlformats.org/officeDocument/2006/relationships/hyperlink" Target="http://www.linkedin.com/in/celinebally" TargetMode="External"/><Relationship  Id="rId375" Type="http://schemas.openxmlformats.org/officeDocument/2006/relationships/hyperlink" Target="http://sepale.com" TargetMode="External"/><Relationship  Id="rId376" Type="http://schemas.openxmlformats.org/officeDocument/2006/relationships/hyperlink" Target="http://www.linkedin.com/company/sepale-enr" TargetMode="External"/><Relationship  Id="rId377" Type="http://schemas.openxmlformats.org/officeDocument/2006/relationships/hyperlink" Target="http://www.linkedin.com/in/christophe-bret-20a01713" TargetMode="External"/><Relationship  Id="rId378" Type="http://schemas.openxmlformats.org/officeDocument/2006/relationships/hyperlink" Target="http://promatec.fr" TargetMode="External"/><Relationship  Id="rId379" Type="http://schemas.openxmlformats.org/officeDocument/2006/relationships/hyperlink" Target="http://www.linkedin.com/company/promatec-group" TargetMode="External"/><Relationship  Id="rId38" Type="http://schemas.openxmlformats.org/officeDocument/2006/relationships/hyperlink" Target="https://twitter.com/ubikingenierie" TargetMode="External"/><Relationship  Id="rId380" Type="http://schemas.openxmlformats.org/officeDocument/2006/relationships/hyperlink" Target="https://www.facebook.com/promatecgroup" TargetMode="External"/><Relationship  Id="rId381" Type="http://schemas.openxmlformats.org/officeDocument/2006/relationships/hyperlink" Target="http://www.linkedin.com/in/charlescantineau" TargetMode="External"/><Relationship  Id="rId382" Type="http://schemas.openxmlformats.org/officeDocument/2006/relationships/hyperlink" Target="http://reseauxservicespro.fr" TargetMode="External"/><Relationship  Id="rId383" Type="http://schemas.openxmlformats.org/officeDocument/2006/relationships/hyperlink" Target="http://www.linkedin.com/company/r%c3%a9seaux-service-pro" TargetMode="External"/><Relationship  Id="rId384" Type="http://schemas.openxmlformats.org/officeDocument/2006/relationships/hyperlink" Target="http://www.linkedin.com/in/christophe-canu-a3859b89" TargetMode="External"/><Relationship  Id="rId385" Type="http://schemas.openxmlformats.org/officeDocument/2006/relationships/hyperlink" Target="http://megara.fr" TargetMode="External"/><Relationship  Id="rId386" Type="http://schemas.openxmlformats.org/officeDocument/2006/relationships/hyperlink" Target="http://www.linkedin.com/company/berceau-magique" TargetMode="External"/><Relationship  Id="rId387" Type="http://schemas.openxmlformats.org/officeDocument/2006/relationships/hyperlink" Target="http://www.linkedin.com/in/charlotte-gaillard-dubost" TargetMode="External"/><Relationship  Id="rId388" Type="http://schemas.openxmlformats.org/officeDocument/2006/relationships/hyperlink" Target="http://groupesebi.com" TargetMode="External"/><Relationship  Id="rId389" Type="http://schemas.openxmlformats.org/officeDocument/2006/relationships/hyperlink" Target="http://www.linkedin.com/company/sebi-normandie-equipement-cvfc" TargetMode="External"/><Relationship  Id="rId39" Type="http://schemas.openxmlformats.org/officeDocument/2006/relationships/hyperlink" Target="https://www.facebook.com/UBIK-INGENIERIE-1935243470055721/" TargetMode="External"/><Relationship  Id="rId390" Type="http://schemas.openxmlformats.org/officeDocument/2006/relationships/hyperlink" Target="https://www.facebook.com/Groupe-SEBI-106772887869400" TargetMode="External"/><Relationship  Id="rId391" Type="http://schemas.openxmlformats.org/officeDocument/2006/relationships/hyperlink" Target="http://www.linkedin.com/in/c%c3%a9dric-fabreguettes-78b959125" TargetMode="External"/><Relationship  Id="rId392" Type="http://schemas.openxmlformats.org/officeDocument/2006/relationships/hyperlink" Target="http://vepres.fr" TargetMode="External"/><Relationship  Id="rId393" Type="http://schemas.openxmlformats.org/officeDocument/2006/relationships/hyperlink" Target="http://www.linkedin.com/company/v%c3%aapres" TargetMode="External"/><Relationship  Id="rId394" Type="http://schemas.openxmlformats.org/officeDocument/2006/relationships/hyperlink" Target="http://www.linkedin.com/in/c%c3%a9dric-mercier-3b009585" TargetMode="External"/><Relationship  Id="rId395" Type="http://schemas.openxmlformats.org/officeDocument/2006/relationships/hyperlink" Target="http://groupecapinfo.fr" TargetMode="External"/><Relationship  Id="rId396" Type="http://schemas.openxmlformats.org/officeDocument/2006/relationships/hyperlink" Target="http://www.linkedin.com/company/groupe-cap-info" TargetMode="External"/><Relationship  Id="rId397" Type="http://schemas.openxmlformats.org/officeDocument/2006/relationships/hyperlink" Target="https://www.facebook.com/groupecapinfo" TargetMode="External"/><Relationship  Id="rId398" Type="http://schemas.openxmlformats.org/officeDocument/2006/relationships/hyperlink" Target="http://www.linkedin.com/in/c%c3%a9dric-moncoqut-93167978" TargetMode="External"/><Relationship  Id="rId399" Type="http://schemas.openxmlformats.org/officeDocument/2006/relationships/hyperlink" Target="http://isocrate.com" TargetMode="External"/><Relationship  Id="rId4" Type="http://schemas.openxmlformats.org/officeDocument/2006/relationships/hyperlink" Target="http://www.linkedin.com/company/agence-jaam" TargetMode="External"/><Relationship  Id="rId40" Type="http://schemas.openxmlformats.org/officeDocument/2006/relationships/hyperlink" Target="http://www.linkedin.com/in/amandine-plets-02996b11" TargetMode="External"/><Relationship  Id="rId400" Type="http://schemas.openxmlformats.org/officeDocument/2006/relationships/hyperlink" Target="http://www.linkedin.com/company/isocrate-ing%c3%a9nierie-second-oeuvre-conception-r%c3%a9novation-am%c3%a9nagements-techniques-environnement-" TargetMode="External"/><Relationship  Id="rId401" Type="http://schemas.openxmlformats.org/officeDocument/2006/relationships/hyperlink" Target="http://www.linkedin.com/in/christophe-mulvet-3b786288" TargetMode="External"/><Relationship  Id="rId402" Type="http://schemas.openxmlformats.org/officeDocument/2006/relationships/hyperlink" Target="http://www.linkedin.com/company/nord-de-france-expertise-automobile" TargetMode="External"/><Relationship  Id="rId403" Type="http://schemas.openxmlformats.org/officeDocument/2006/relationships/hyperlink" Target="http://www.linkedin.com/in/christophe-p%c3%a9ron-67a30a11a" TargetMode="External"/><Relationship  Id="rId404" Type="http://schemas.openxmlformats.org/officeDocument/2006/relationships/hyperlink" Target="http://atdr.fr" TargetMode="External"/><Relationship  Id="rId405" Type="http://schemas.openxmlformats.org/officeDocument/2006/relationships/hyperlink" Target="http://www.linkedin.com/company/atdr-ing-nierie" TargetMode="External"/><Relationship  Id="rId406" Type="http://schemas.openxmlformats.org/officeDocument/2006/relationships/hyperlink" Target="http://www.linkedin.com/in/christophe-roussel-4218a027" TargetMode="External"/><Relationship  Id="rId407" Type="http://schemas.openxmlformats.org/officeDocument/2006/relationships/hyperlink" Target="http://www.linkedin.com/company/groupe-bardec" TargetMode="External"/><Relationship  Id="rId408" Type="http://schemas.openxmlformats.org/officeDocument/2006/relationships/hyperlink" Target="http://www.linkedin.com/in/camille-barbosa-49b260133" TargetMode="External"/><Relationship  Id="rId409" Type="http://schemas.openxmlformats.org/officeDocument/2006/relationships/hyperlink" Target="http://agencenile.com" TargetMode="External"/><Relationship  Id="rId41" Type="http://schemas.openxmlformats.org/officeDocument/2006/relationships/hyperlink" Target="http://cynoia.com" TargetMode="External"/><Relationship  Id="rId410" Type="http://schemas.openxmlformats.org/officeDocument/2006/relationships/hyperlink" Target="http://www.linkedin.com/company/nile-agence" TargetMode="External"/><Relationship  Id="rId411" Type="http://schemas.openxmlformats.org/officeDocument/2006/relationships/hyperlink" Target="https://twitter.com/Nile_agence" TargetMode="External"/><Relationship  Id="rId412" Type="http://schemas.openxmlformats.org/officeDocument/2006/relationships/hyperlink" Target="https://www.facebook.com/agencenile" TargetMode="External"/><Relationship  Id="rId413" Type="http://schemas.openxmlformats.org/officeDocument/2006/relationships/hyperlink" Target="http://www.linkedin.com/in/camillefolliot" TargetMode="External"/><Relationship  Id="rId414" Type="http://schemas.openxmlformats.org/officeDocument/2006/relationships/hyperlink" Target="http://dero.fr" TargetMode="External"/><Relationship  Id="rId415" Type="http://schemas.openxmlformats.org/officeDocument/2006/relationships/hyperlink" Target="http://www.linkedin.com/company/dero" TargetMode="External"/><Relationship  Id="rId416" Type="http://schemas.openxmlformats.org/officeDocument/2006/relationships/hyperlink" Target="http://www.linkedin.com/in/camillecolbus" TargetMode="External"/><Relationship  Id="rId417" Type="http://schemas.openxmlformats.org/officeDocument/2006/relationships/hyperlink" Target="http://little-wing.fr" TargetMode="External"/><Relationship  Id="rId418" Type="http://schemas.openxmlformats.org/officeDocument/2006/relationships/hyperlink" Target="http://www.linkedin.com/company/littlewing" TargetMode="External"/><Relationship  Id="rId419" Type="http://schemas.openxmlformats.org/officeDocument/2006/relationships/hyperlink" Target="http://www.linkedin.com/in/camille-godeau-0137828" TargetMode="External"/><Relationship  Id="rId42" Type="http://schemas.openxmlformats.org/officeDocument/2006/relationships/hyperlink" Target="http://www.linkedin.com/company/cynoia" TargetMode="External"/><Relationship  Id="rId420" Type="http://schemas.openxmlformats.org/officeDocument/2006/relationships/hyperlink" Target="http://metamorphose-groupe.com" TargetMode="External"/><Relationship  Id="rId421" Type="http://schemas.openxmlformats.org/officeDocument/2006/relationships/hyperlink" Target="http://www.linkedin.com/company/metamorphosegroupe" TargetMode="External"/><Relationship  Id="rId422" Type="http://schemas.openxmlformats.org/officeDocument/2006/relationships/hyperlink" Target="http://www.linkedin.com/in/carine-brunet-b27b4b48" TargetMode="External"/><Relationship  Id="rId423" Type="http://schemas.openxmlformats.org/officeDocument/2006/relationships/hyperlink" Target="http://atlays.com" TargetMode="External"/><Relationship  Id="rId424" Type="http://schemas.openxmlformats.org/officeDocument/2006/relationships/hyperlink" Target="http://www.linkedin.com/company/atlays" TargetMode="External"/><Relationship  Id="rId425" Type="http://schemas.openxmlformats.org/officeDocument/2006/relationships/hyperlink" Target="http://www.linkedin.com/in/carine-matane-55aa05bb" TargetMode="External"/><Relationship  Id="rId426" Type="http://schemas.openxmlformats.org/officeDocument/2006/relationships/hyperlink" Target="http://agence-s.fr" TargetMode="External"/><Relationship  Id="rId427" Type="http://schemas.openxmlformats.org/officeDocument/2006/relationships/hyperlink" Target="http://www.linkedin.com/company/agence-s" TargetMode="External"/><Relationship  Id="rId428" Type="http://schemas.openxmlformats.org/officeDocument/2006/relationships/hyperlink" Target="http://www.linkedin.com/in/caroline-boutet-7269ab3a" TargetMode="External"/><Relationship  Id="rId429" Type="http://schemas.openxmlformats.org/officeDocument/2006/relationships/hyperlink" Target="http://jesuisavelo.com" TargetMode="External"/><Relationship  Id="rId43" Type="http://schemas.openxmlformats.org/officeDocument/2006/relationships/hyperlink" Target="https://twitter.com/cynoia" TargetMode="External"/><Relationship  Id="rId430" Type="http://schemas.openxmlformats.org/officeDocument/2006/relationships/hyperlink" Target="http://www.linkedin.com/company/je-suis-a-velo" TargetMode="External"/><Relationship  Id="rId431" Type="http://schemas.openxmlformats.org/officeDocument/2006/relationships/hyperlink" Target="https://www.facebook.com/jesuisaveloblog/" TargetMode="External"/><Relationship  Id="rId432" Type="http://schemas.openxmlformats.org/officeDocument/2006/relationships/hyperlink" Target="http://www.linkedin.com/in/caroline-labroue-900b66182" TargetMode="External"/><Relationship  Id="rId433" Type="http://schemas.openxmlformats.org/officeDocument/2006/relationships/hyperlink" Target="http://set.fr" TargetMode="External"/><Relationship  Id="rId434" Type="http://schemas.openxmlformats.org/officeDocument/2006/relationships/hyperlink" Target="http://www.linkedin.com/company/la-set" TargetMode="External"/><Relationship  Id="rId435" Type="http://schemas.openxmlformats.org/officeDocument/2006/relationships/hyperlink" Target="http://www.linkedin.com/in/isabelle-carron-a0783913b" TargetMode="External"/><Relationship  Id="rId436" Type="http://schemas.openxmlformats.org/officeDocument/2006/relationships/hyperlink" Target="http://reseau-homesec.fr" TargetMode="External"/><Relationship  Id="rId437" Type="http://schemas.openxmlformats.org/officeDocument/2006/relationships/hyperlink" Target="http://www.linkedin.com/company/reseauhomesec" TargetMode="External"/><Relationship  Id="rId438" Type="http://schemas.openxmlformats.org/officeDocument/2006/relationships/hyperlink" Target="https://www.facebook.com/Homesechumidite" TargetMode="External"/><Relationship  Id="rId439" Type="http://schemas.openxmlformats.org/officeDocument/2006/relationships/hyperlink" Target="http://www.linkedin.com/in/pascal-casale-a23721242" TargetMode="External"/><Relationship  Id="rId44" Type="http://schemas.openxmlformats.org/officeDocument/2006/relationships/hyperlink" Target="https://www.facebook.com/cynoia" TargetMode="External"/><Relationship  Id="rId440" Type="http://schemas.openxmlformats.org/officeDocument/2006/relationships/hyperlink" Target="http://episteme.fr" TargetMode="External"/><Relationship  Id="rId441" Type="http://schemas.openxmlformats.org/officeDocument/2006/relationships/hyperlink" Target="http://www.linkedin.com/company/epist%c3%a8me" TargetMode="External"/><Relationship  Id="rId442" Type="http://schemas.openxmlformats.org/officeDocument/2006/relationships/hyperlink" Target="http://www.linkedin.com/in/catherine-ledru-7819515b" TargetMode="External"/><Relationship  Id="rId443" Type="http://schemas.openxmlformats.org/officeDocument/2006/relationships/hyperlink" Target="http://inaubi.fr" TargetMode="External"/><Relationship  Id="rId444" Type="http://schemas.openxmlformats.org/officeDocument/2006/relationships/hyperlink" Target="http://www.linkedin.com/company/inaubi" TargetMode="External"/><Relationship  Id="rId445" Type="http://schemas.openxmlformats.org/officeDocument/2006/relationships/hyperlink" Target="https://twitter.com/Inaubi_fr" TargetMode="External"/><Relationship  Id="rId446" Type="http://schemas.openxmlformats.org/officeDocument/2006/relationships/hyperlink" Target="https://www.facebook.com/people/Inaubi/100077764636438/" TargetMode="External"/><Relationship  Id="rId447" Type="http://schemas.openxmlformats.org/officeDocument/2006/relationships/hyperlink" Target="http://www.linkedin.com/in/catherine-lherbier-4417898" TargetMode="External"/><Relationship  Id="rId448" Type="http://schemas.openxmlformats.org/officeDocument/2006/relationships/hyperlink" Target="http://backplan.fr" TargetMode="External"/><Relationship  Id="rId449" Type="http://schemas.openxmlformats.org/officeDocument/2006/relationships/hyperlink" Target="http://www.linkedin.com/company/backplan" TargetMode="External"/><Relationship  Id="rId45" Type="http://schemas.openxmlformats.org/officeDocument/2006/relationships/hyperlink" Target="http://www.linkedin.com/in/ayoub-rabeh" TargetMode="External"/><Relationship  Id="rId450" Type="http://schemas.openxmlformats.org/officeDocument/2006/relationships/hyperlink" Target="http://www.linkedin.com/in/jfcausse" TargetMode="External"/><Relationship  Id="rId451" Type="http://schemas.openxmlformats.org/officeDocument/2006/relationships/hyperlink" Target="http://atlante.fr" TargetMode="External"/><Relationship  Id="rId452" Type="http://schemas.openxmlformats.org/officeDocument/2006/relationships/hyperlink" Target="http://www.linkedin.com/company/atlante-&amp;-cie" TargetMode="External"/><Relationship  Id="rId453" Type="http://schemas.openxmlformats.org/officeDocument/2006/relationships/hyperlink" Target="https://twitter.com/atlantecie" TargetMode="External"/><Relationship  Id="rId454" Type="http://schemas.openxmlformats.org/officeDocument/2006/relationships/hyperlink" Target="http://www.linkedin.com/in/celinechanez" TargetMode="External"/><Relationship  Id="rId455" Type="http://schemas.openxmlformats.org/officeDocument/2006/relationships/hyperlink" Target="http://coreoz.com" TargetMode="External"/><Relationship  Id="rId456" Type="http://schemas.openxmlformats.org/officeDocument/2006/relationships/hyperlink" Target="http://www.linkedin.com/company/coreoz" TargetMode="External"/><Relationship  Id="rId457" Type="http://schemas.openxmlformats.org/officeDocument/2006/relationships/hyperlink" Target="http://www.linkedin.com/in/c%c3%a9dric-de-vregille-69896860" TargetMode="External"/><Relationship  Id="rId458" Type="http://schemas.openxmlformats.org/officeDocument/2006/relationships/hyperlink" Target="http://shouka-chamonix.fr" TargetMode="External"/><Relationship  Id="rId459" Type="http://schemas.openxmlformats.org/officeDocument/2006/relationships/hyperlink" Target="http://www.linkedin.com/company/le-shouk%c3%a2-torrefacteur-d-altitude" TargetMode="External"/><Relationship  Id="rId46" Type="http://schemas.openxmlformats.org/officeDocument/2006/relationships/hyperlink" Target="http://digimium.com" TargetMode="External"/><Relationship  Id="rId460" Type="http://schemas.openxmlformats.org/officeDocument/2006/relationships/hyperlink" Target="https://www.facebook.com/shoukachamonix" TargetMode="External"/><Relationship  Id="rId461" Type="http://schemas.openxmlformats.org/officeDocument/2006/relationships/hyperlink" Target="http://www.linkedin.com/in/christian-duperrier" TargetMode="External"/><Relationship  Id="rId462" Type="http://schemas.openxmlformats.org/officeDocument/2006/relationships/hyperlink" Target="http://energitec.fr" TargetMode="External"/><Relationship  Id="rId463" Type="http://schemas.openxmlformats.org/officeDocument/2006/relationships/hyperlink" Target="http://www.linkedin.com/company/energitec83" TargetMode="External"/><Relationship  Id="rId464" Type="http://schemas.openxmlformats.org/officeDocument/2006/relationships/hyperlink" Target="http://www.linkedin.com/in/cedric-ghigou-313b3781" TargetMode="External"/><Relationship  Id="rId465" Type="http://schemas.openxmlformats.org/officeDocument/2006/relationships/hyperlink" Target="http://line-technologies.com" TargetMode="External"/><Relationship  Id="rId466" Type="http://schemas.openxmlformats.org/officeDocument/2006/relationships/hyperlink" Target="http://www.linkedin.com/company/line-technologies" TargetMode="External"/><Relationship  Id="rId467" Type="http://schemas.openxmlformats.org/officeDocument/2006/relationships/hyperlink" Target="http://www.linkedin.com/in/cedric-michel-20b910b" TargetMode="External"/><Relationship  Id="rId468" Type="http://schemas.openxmlformats.org/officeDocument/2006/relationships/hyperlink" Target="http://acses.io" TargetMode="External"/><Relationship  Id="rId469" Type="http://schemas.openxmlformats.org/officeDocument/2006/relationships/hyperlink" Target="http://www.linkedin.com/company/acses-casiers-connect%c3%a9s" TargetMode="External"/><Relationship  Id="rId47" Type="http://schemas.openxmlformats.org/officeDocument/2006/relationships/hyperlink" Target="http://www.linkedin.com/company/digimium" TargetMode="External"/><Relationship  Id="rId470" Type="http://schemas.openxmlformats.org/officeDocument/2006/relationships/hyperlink" Target="https://www.facebook.com/people/ACSES-casiers-connect%C3%A9s/100090635491930/" TargetMode="External"/><Relationship  Id="rId471" Type="http://schemas.openxmlformats.org/officeDocument/2006/relationships/hyperlink" Target="http://www.linkedin.com/in/c%c3%a9dric-schwartzenberger" TargetMode="External"/><Relationship  Id="rId472" Type="http://schemas.openxmlformats.org/officeDocument/2006/relationships/hyperlink" Target="http://gemstar-brands.com" TargetMode="External"/><Relationship  Id="rId473" Type="http://schemas.openxmlformats.org/officeDocument/2006/relationships/hyperlink" Target="http://www.linkedin.com/company/gemstar-brands" TargetMode="External"/><Relationship  Id="rId474" Type="http://schemas.openxmlformats.org/officeDocument/2006/relationships/hyperlink" Target="http://www.linkedin.com/in/c%c3%a9dric-s-ab245932" TargetMode="External"/><Relationship  Id="rId475" Type="http://schemas.openxmlformats.org/officeDocument/2006/relationships/hyperlink" Target="http://gestuelsante.fr" TargetMode="External"/><Relationship  Id="rId476" Type="http://schemas.openxmlformats.org/officeDocument/2006/relationships/hyperlink" Target="http://www.linkedin.com/company/gestuelsante" TargetMode="External"/><Relationship  Id="rId477" Type="http://schemas.openxmlformats.org/officeDocument/2006/relationships/hyperlink" Target="https://www.facebook.com/gestuelsante.fr" TargetMode="External"/><Relationship  Id="rId478" Type="http://schemas.openxmlformats.org/officeDocument/2006/relationships/hyperlink" Target="http://www.linkedin.com/in/c%c3%a9dric-golfier-dirigeant-gestuel%e2%80%99sant%c3%a9-36490311b" TargetMode="External"/><Relationship  Id="rId479" Type="http://schemas.openxmlformats.org/officeDocument/2006/relationships/hyperlink" Target="http://we-and.fr" TargetMode="External"/><Relationship  Id="rId48" Type="http://schemas.openxmlformats.org/officeDocument/2006/relationships/hyperlink" Target="http://www.linkedin.com/in/abderraouf-remili-65319632" TargetMode="External"/><Relationship  Id="rId480" Type="http://schemas.openxmlformats.org/officeDocument/2006/relationships/hyperlink" Target="http://www.linkedin.com/company/groupe-we-and" TargetMode="External"/><Relationship  Id="rId481" Type="http://schemas.openxmlformats.org/officeDocument/2006/relationships/hyperlink" Target="http://www.linkedin.com/in/celine-simon-b5157a61" TargetMode="External"/><Relationship  Id="rId482" Type="http://schemas.openxmlformats.org/officeDocument/2006/relationships/hyperlink" Target="http://nostalgift.com" TargetMode="External"/><Relationship  Id="rId483" Type="http://schemas.openxmlformats.org/officeDocument/2006/relationships/hyperlink" Target="http://www.linkedin.com/company/nostalgift" TargetMode="External"/><Relationship  Id="rId484" Type="http://schemas.openxmlformats.org/officeDocument/2006/relationships/hyperlink" Target="https://twitter.com/nostalgift" TargetMode="External"/><Relationship  Id="rId485" Type="http://schemas.openxmlformats.org/officeDocument/2006/relationships/hyperlink" Target="https://www.facebook.com/nostalgift" TargetMode="External"/><Relationship  Id="rId486" Type="http://schemas.openxmlformats.org/officeDocument/2006/relationships/hyperlink" Target="http://www.linkedin.com/in/celine-bellanger-gomes-5287622" TargetMode="External"/><Relationship  Id="rId487" Type="http://schemas.openxmlformats.org/officeDocument/2006/relationships/hyperlink" Target="http://vakom.fr" TargetMode="External"/><Relationship  Id="rId488" Type="http://schemas.openxmlformats.org/officeDocument/2006/relationships/hyperlink" Target="http://www.linkedin.com/company/vakom" TargetMode="External"/><Relationship  Id="rId489" Type="http://schemas.openxmlformats.org/officeDocument/2006/relationships/hyperlink" Target="https://www.facebook.com/Vakomlesensdelhumain" TargetMode="External"/><Relationship  Id="rId49" Type="http://schemas.openxmlformats.org/officeDocument/2006/relationships/hyperlink" Target="http://poweriti.com" TargetMode="External"/><Relationship  Id="rId490" Type="http://schemas.openxmlformats.org/officeDocument/2006/relationships/hyperlink" Target="http://www.linkedin.com/in/cecile-furno-vakomacastres" TargetMode="External"/><Relationship  Id="rId491" Type="http://schemas.openxmlformats.org/officeDocument/2006/relationships/hyperlink" Target="http://daucalis.com" TargetMode="External"/><Relationship  Id="rId492" Type="http://schemas.openxmlformats.org/officeDocument/2006/relationships/hyperlink" Target="http://www.linkedin.com/company/daucalis" TargetMode="External"/><Relationship  Id="rId493" Type="http://schemas.openxmlformats.org/officeDocument/2006/relationships/hyperlink" Target="http://www.linkedin.com/in/christophe-gaboriau-99552359" TargetMode="External"/><Relationship  Id="rId494" Type="http://schemas.openxmlformats.org/officeDocument/2006/relationships/hyperlink" Target="http://correlium.com" TargetMode="External"/><Relationship  Id="rId495" Type="http://schemas.openxmlformats.org/officeDocument/2006/relationships/hyperlink" Target="http://www.linkedin.com/company/correlium" TargetMode="External"/><Relationship  Id="rId496" Type="http://schemas.openxmlformats.org/officeDocument/2006/relationships/hyperlink" Target="http://www.linkedin.com/in/christophe-guillermard-41a9491a" TargetMode="External"/><Relationship  Id="rId497" Type="http://schemas.openxmlformats.org/officeDocument/2006/relationships/hyperlink" Target="http://safebear.ai" TargetMode="External"/><Relationship  Id="rId498" Type="http://schemas.openxmlformats.org/officeDocument/2006/relationships/hyperlink" Target="http://www.linkedin.com/company/safebearapp" TargetMode="External"/><Relationship  Id="rId499" Type="http://schemas.openxmlformats.org/officeDocument/2006/relationships/hyperlink" Target="http://www.linkedin.com/in/christian-guillon-a4616b13" TargetMode="External"/><Relationship  Id="rId5" Type="http://schemas.openxmlformats.org/officeDocument/2006/relationships/hyperlink" Target="https://twitter.com/agencejaam" TargetMode="External"/><Relationship  Id="rId50" Type="http://schemas.openxmlformats.org/officeDocument/2006/relationships/hyperlink" Target="http://www.linkedin.com/company/power-iti" TargetMode="External"/><Relationship  Id="rId500" Type="http://schemas.openxmlformats.org/officeDocument/2006/relationships/hyperlink" Target="http://theseedcrew.com" TargetMode="External"/><Relationship  Id="rId501" Type="http://schemas.openxmlformats.org/officeDocument/2006/relationships/hyperlink" Target="http://www.linkedin.com/company/theseedcrew" TargetMode="External"/><Relationship  Id="rId502" Type="http://schemas.openxmlformats.org/officeDocument/2006/relationships/hyperlink" Target="http://www.linkedin.com/in/chabane-hadji-1b0b80140" TargetMode="External"/><Relationship  Id="rId503" Type="http://schemas.openxmlformats.org/officeDocument/2006/relationships/hyperlink" Target="http://alsad.fr" TargetMode="External"/><Relationship  Id="rId504" Type="http://schemas.openxmlformats.org/officeDocument/2006/relationships/hyperlink" Target="http://www.linkedin.com/company/alsad" TargetMode="External"/><Relationship  Id="rId505" Type="http://schemas.openxmlformats.org/officeDocument/2006/relationships/hyperlink" Target="http://www.linkedin.com/in/chafik-hamdi-473110b1" TargetMode="External"/><Relationship  Id="rId506" Type="http://schemas.openxmlformats.org/officeDocument/2006/relationships/hyperlink" Target="http://perform-industrie.com" TargetMode="External"/><Relationship  Id="rId507" Type="http://schemas.openxmlformats.org/officeDocument/2006/relationships/hyperlink" Target="http://www.linkedin.com/company/perform-industrie" TargetMode="External"/><Relationship  Id="rId508" Type="http://schemas.openxmlformats.org/officeDocument/2006/relationships/hyperlink" Target="https://www.facebook.com/performindustrie/" TargetMode="External"/><Relationship  Id="rId509" Type="http://schemas.openxmlformats.org/officeDocument/2006/relationships/hyperlink" Target="http://www.linkedin.com/in/charles-fazilleau-8407ba129" TargetMode="External"/><Relationship  Id="rId51" Type="http://schemas.openxmlformats.org/officeDocument/2006/relationships/hyperlink" Target="https://www.facebook.com/POWERitiAvignon/" TargetMode="External"/><Relationship  Id="rId510" Type="http://schemas.openxmlformats.org/officeDocument/2006/relationships/hyperlink" Target="http://harribeyconstructions.fr" TargetMode="External"/><Relationship  Id="rId511" Type="http://schemas.openxmlformats.org/officeDocument/2006/relationships/hyperlink" Target="http://www.linkedin.com/company/harribeyconstructions" TargetMode="External"/><Relationship  Id="rId512" Type="http://schemas.openxmlformats.org/officeDocument/2006/relationships/hyperlink" Target="http://www.linkedin.com/in/charles-harribey-b32078121" TargetMode="External"/><Relationship  Id="rId513" Type="http://schemas.openxmlformats.org/officeDocument/2006/relationships/hyperlink" Target="http://c2tmi.fr" TargetMode="External"/><Relationship  Id="rId514" Type="http://schemas.openxmlformats.org/officeDocument/2006/relationships/hyperlink" Target="http://www.linkedin.com/company/c2tmi" TargetMode="External"/><Relationship  Id="rId515" Type="http://schemas.openxmlformats.org/officeDocument/2006/relationships/hyperlink" Target="http://www.linkedin.com/in/christian-tsivatou-62a33ba5" TargetMode="External"/><Relationship  Id="rId516" Type="http://schemas.openxmlformats.org/officeDocument/2006/relationships/hyperlink" Target="http://isi-s.fr" TargetMode="External"/><Relationship  Id="rId517" Type="http://schemas.openxmlformats.org/officeDocument/2006/relationships/hyperlink" Target="http://www.linkedin.com/company/isis-solutions-avocats" TargetMode="External"/><Relationship  Id="rId518" Type="http://schemas.openxmlformats.org/officeDocument/2006/relationships/hyperlink" Target="http://www.linkedin.com/in/christophe-chauvet34" TargetMode="External"/><Relationship  Id="rId519" Type="http://schemas.openxmlformats.org/officeDocument/2006/relationships/hyperlink" Target="http://phenisys.com" TargetMode="External"/><Relationship  Id="rId52" Type="http://schemas.openxmlformats.org/officeDocument/2006/relationships/hyperlink" Target="http://www.linkedin.com/in/antoine-stamati-b8274740" TargetMode="External"/><Relationship  Id="rId520" Type="http://schemas.openxmlformats.org/officeDocument/2006/relationships/hyperlink" Target="http://www.linkedin.com/company/phenisys" TargetMode="External"/><Relationship  Id="rId521" Type="http://schemas.openxmlformats.org/officeDocument/2006/relationships/hyperlink" Target="http://www.linkedin.com/in/netillard" TargetMode="External"/><Relationship  Id="rId522" Type="http://schemas.openxmlformats.org/officeDocument/2006/relationships/hyperlink" Target="http://alfa-safety.fr" TargetMode="External"/><Relationship  Id="rId523" Type="http://schemas.openxmlformats.org/officeDocument/2006/relationships/hyperlink" Target="http://www.linkedin.com/company/alfa-safety" TargetMode="External"/><Relationship  Id="rId524" Type="http://schemas.openxmlformats.org/officeDocument/2006/relationships/hyperlink" Target="http://www.linkedin.com/in/christophe-le-jeune-2610a76" TargetMode="External"/><Relationship  Id="rId525" Type="http://schemas.openxmlformats.org/officeDocument/2006/relationships/hyperlink" Target="http://olacommunication.fr" TargetMode="External"/><Relationship  Id="rId526" Type="http://schemas.openxmlformats.org/officeDocument/2006/relationships/hyperlink" Target="http://www.linkedin.com/company/ola-communication" TargetMode="External"/><Relationship  Id="rId527" Type="http://schemas.openxmlformats.org/officeDocument/2006/relationships/hyperlink" Target="http://www.linkedin.com/in/schepensclaire" TargetMode="External"/><Relationship  Id="rId528" Type="http://schemas.openxmlformats.org/officeDocument/2006/relationships/hyperlink" Target="http://interface-conseils.com" TargetMode="External"/><Relationship  Id="rId529" Type="http://schemas.openxmlformats.org/officeDocument/2006/relationships/hyperlink" Target="http://www.linkedin.com/company/inter-face" TargetMode="External"/><Relationship  Id="rId53" Type="http://schemas.openxmlformats.org/officeDocument/2006/relationships/hyperlink" Target="http://healabs.fr" TargetMode="External"/><Relationship  Id="rId530" Type="http://schemas.openxmlformats.org/officeDocument/2006/relationships/hyperlink" Target="http://www.linkedin.com/in/clarisse-calloud" TargetMode="External"/><Relationship  Id="rId531" Type="http://schemas.openxmlformats.org/officeDocument/2006/relationships/hyperlink" Target="http://lyde-conseil.com" TargetMode="External"/><Relationship  Id="rId532" Type="http://schemas.openxmlformats.org/officeDocument/2006/relationships/hyperlink" Target="http://www.linkedin.com/company/lyde-conseil" TargetMode="External"/><Relationship  Id="rId533" Type="http://schemas.openxmlformats.org/officeDocument/2006/relationships/hyperlink" Target="http://www.linkedin.com/in/cl%c3%a9ment-bouchet-84673135" TargetMode="External"/><Relationship  Id="rId534" Type="http://schemas.openxmlformats.org/officeDocument/2006/relationships/hyperlink" Target="http://sofida-france.com" TargetMode="External"/><Relationship  Id="rId535" Type="http://schemas.openxmlformats.org/officeDocument/2006/relationships/hyperlink" Target="http://www.linkedin.com/company/sofida" TargetMode="External"/><Relationship  Id="rId536" Type="http://schemas.openxmlformats.org/officeDocument/2006/relationships/hyperlink" Target="http://www.linkedin.com/in/clement-sellier-b1694290" TargetMode="External"/><Relationship  Id="rId537" Type="http://schemas.openxmlformats.org/officeDocument/2006/relationships/hyperlink" Target="http://iasagora.com" TargetMode="External"/><Relationship  Id="rId538" Type="http://schemas.openxmlformats.org/officeDocument/2006/relationships/hyperlink" Target="http://www.linkedin.com/company/iasagora" TargetMode="External"/><Relationship  Id="rId539" Type="http://schemas.openxmlformats.org/officeDocument/2006/relationships/hyperlink" Target="http://www.linkedin.com/in/clotilde-lacambre" TargetMode="External"/><Relationship  Id="rId54" Type="http://schemas.openxmlformats.org/officeDocument/2006/relationships/hyperlink" Target="http://www.linkedin.com/company/healabs" TargetMode="External"/><Relationship  Id="rId540" Type="http://schemas.openxmlformats.org/officeDocument/2006/relationships/hyperlink" Target="http://www.linkedin.com/company/mazetteart" TargetMode="External"/><Relationship  Id="rId541" Type="http://schemas.openxmlformats.org/officeDocument/2006/relationships/hyperlink" Target="http://www.linkedin.com/in/clotilde-bernier-b7bb23141" TargetMode="External"/><Relationship  Id="rId542" Type="http://schemas.openxmlformats.org/officeDocument/2006/relationships/hyperlink" Target="http://tec2e-electricite-cvc-plomberie.fr" TargetMode="External"/><Relationship  Id="rId543" Type="http://schemas.openxmlformats.org/officeDocument/2006/relationships/hyperlink" Target="http://www.linkedin.com/company/tec2e" TargetMode="External"/><Relationship  Id="rId544" Type="http://schemas.openxmlformats.org/officeDocument/2006/relationships/hyperlink" Target="http://www.linkedin.com/in/christophe-morin-8382b4268" TargetMode="External"/><Relationship  Id="rId545" Type="http://schemas.openxmlformats.org/officeDocument/2006/relationships/hyperlink" Target="http://altheo.com" TargetMode="External"/><Relationship  Id="rId546" Type="http://schemas.openxmlformats.org/officeDocument/2006/relationships/hyperlink" Target="http://www.linkedin.com/company/altheo" TargetMode="External"/><Relationship  Id="rId547" Type="http://schemas.openxmlformats.org/officeDocument/2006/relationships/hyperlink" Target="https://twitter.com/Altheo_France" TargetMode="External"/><Relationship  Id="rId548" Type="http://schemas.openxmlformats.org/officeDocument/2006/relationships/hyperlink" Target="https://www.facebook.com/Altheo-209567742520674/" TargetMode="External"/><Relationship  Id="rId549" Type="http://schemas.openxmlformats.org/officeDocument/2006/relationships/hyperlink" Target="http://www.linkedin.com/in/martine-story-dr-a476a41" TargetMode="External"/><Relationship  Id="rId55" Type="http://schemas.openxmlformats.org/officeDocument/2006/relationships/hyperlink" Target="http://www.linkedin.com/in/arnaultthouret" TargetMode="External"/><Relationship  Id="rId550" Type="http://schemas.openxmlformats.org/officeDocument/2006/relationships/hyperlink" Target="http://idkom.fr" TargetMode="External"/><Relationship  Id="rId551" Type="http://schemas.openxmlformats.org/officeDocument/2006/relationships/hyperlink" Target="http://www.linkedin.com/company/agenceidkom" TargetMode="External"/><Relationship  Id="rId552" Type="http://schemas.openxmlformats.org/officeDocument/2006/relationships/hyperlink" Target="https://www.facebook.com/idkom.agence" TargetMode="External"/><Relationship  Id="rId553" Type="http://schemas.openxmlformats.org/officeDocument/2006/relationships/hyperlink" Target="http://www.linkedin.com/in/christophe-bracchini-a0a5a821" TargetMode="External"/><Relationship  Id="rId554" Type="http://schemas.openxmlformats.org/officeDocument/2006/relationships/hyperlink" Target="http://lacoop-conseil.fr" TargetMode="External"/><Relationship  Id="rId555" Type="http://schemas.openxmlformats.org/officeDocument/2006/relationships/hyperlink" Target="http://www.linkedin.com/company/la-coop-conseil" TargetMode="External"/><Relationship  Id="rId556" Type="http://schemas.openxmlformats.org/officeDocument/2006/relationships/hyperlink" Target="http://www.linkedin.com/in/corinne-santoni-591b14111" TargetMode="External"/><Relationship  Id="rId557" Type="http://schemas.openxmlformats.org/officeDocument/2006/relationships/hyperlink" Target="http://packitoo.com" TargetMode="External"/><Relationship  Id="rId558" Type="http://schemas.openxmlformats.org/officeDocument/2006/relationships/hyperlink" Target="http://www.linkedin.com/company/packitoo" TargetMode="External"/><Relationship  Id="rId559" Type="http://schemas.openxmlformats.org/officeDocument/2006/relationships/hyperlink" Target="http://www.linkedin.com/in/corinne-loustalet-60628796" TargetMode="External"/><Relationship  Id="rId56" Type="http://schemas.openxmlformats.org/officeDocument/2006/relationships/hyperlink" Target="http://pharma-soft.fr" TargetMode="External"/><Relationship  Id="rId560" Type="http://schemas.openxmlformats.org/officeDocument/2006/relationships/hyperlink" Target="http://codelutin.com" TargetMode="External"/><Relationship  Id="rId561" Type="http://schemas.openxmlformats.org/officeDocument/2006/relationships/hyperlink" Target="http://www.linkedin.com/company/code-lutin" TargetMode="External"/><Relationship  Id="rId562" Type="http://schemas.openxmlformats.org/officeDocument/2006/relationships/hyperlink" Target="http://www.linkedin.com/in/jean-couteau-81581410" TargetMode="External"/><Relationship  Id="rId563" Type="http://schemas.openxmlformats.org/officeDocument/2006/relationships/hyperlink" Target="http://electronie.fr" TargetMode="External"/><Relationship  Id="rId564" Type="http://schemas.openxmlformats.org/officeDocument/2006/relationships/hyperlink" Target="http://www.linkedin.com/company/electronie" TargetMode="External"/><Relationship  Id="rId565" Type="http://schemas.openxmlformats.org/officeDocument/2006/relationships/hyperlink" Target="http://www.linkedin.com/in/charles-pallanca-8516361" TargetMode="External"/><Relationship  Id="rId566" Type="http://schemas.openxmlformats.org/officeDocument/2006/relationships/hyperlink" Target="http://darwindata.io" TargetMode="External"/><Relationship  Id="rId567" Type="http://schemas.openxmlformats.org/officeDocument/2006/relationships/hyperlink" Target="http://www.linkedin.com/company/darwin-data" TargetMode="External"/><Relationship  Id="rId568" Type="http://schemas.openxmlformats.org/officeDocument/2006/relationships/hyperlink" Target="http://www.linkedin.com/in/cyprien-halle" TargetMode="External"/><Relationship  Id="rId569" Type="http://schemas.openxmlformats.org/officeDocument/2006/relationships/hyperlink" Target="http://clarisys.fr" TargetMode="External"/><Relationship  Id="rId57" Type="http://schemas.openxmlformats.org/officeDocument/2006/relationships/hyperlink" Target="http://www.linkedin.com/company/pharmasoft-sas" TargetMode="External"/><Relationship  Id="rId570" Type="http://schemas.openxmlformats.org/officeDocument/2006/relationships/hyperlink" Target="http://www.linkedin.com/company/clarisys-sas" TargetMode="External"/><Relationship  Id="rId571" Type="http://schemas.openxmlformats.org/officeDocument/2006/relationships/hyperlink" Target="http://www.linkedin.com/in/cyril-bazin-4556777" TargetMode="External"/><Relationship  Id="rId572" Type="http://schemas.openxmlformats.org/officeDocument/2006/relationships/hyperlink" Target="http://1843.fr" TargetMode="External"/><Relationship  Id="rId573" Type="http://schemas.openxmlformats.org/officeDocument/2006/relationships/hyperlink" Target="http://www.linkedin.com/company/1843fr" TargetMode="External"/><Relationship  Id="rId574" Type="http://schemas.openxmlformats.org/officeDocument/2006/relationships/hyperlink" Target="http://www.linkedin.com/in/cyril-haller1843" TargetMode="External"/><Relationship  Id="rId575" Type="http://schemas.openxmlformats.org/officeDocument/2006/relationships/hyperlink" Target="http://stellar.tc" TargetMode="External"/><Relationship  Id="rId576" Type="http://schemas.openxmlformats.org/officeDocument/2006/relationships/hyperlink" Target="http://www.linkedin.com/company/stellartc" TargetMode="External"/><Relationship  Id="rId577" Type="http://schemas.openxmlformats.org/officeDocument/2006/relationships/hyperlink" Target="http://www.linkedin.com/in/cyril-texier-b3a69810" TargetMode="External"/><Relationship  Id="rId578" Type="http://schemas.openxmlformats.org/officeDocument/2006/relationships/hyperlink" Target="http://komin.io" TargetMode="External"/><Relationship  Id="rId579" Type="http://schemas.openxmlformats.org/officeDocument/2006/relationships/hyperlink" Target="http://www.linkedin.com/company/komin-io" TargetMode="External"/><Relationship  Id="rId58" Type="http://schemas.openxmlformats.org/officeDocument/2006/relationships/hyperlink" Target="http://www.linkedin.com/in/alain-vanzella-7178aba0" TargetMode="External"/><Relationship  Id="rId580" Type="http://schemas.openxmlformats.org/officeDocument/2006/relationships/hyperlink" Target="https://twitter.com/komin_io" TargetMode="External"/><Relationship  Id="rId581" Type="http://schemas.openxmlformats.org/officeDocument/2006/relationships/hyperlink" Target="http://www.linkedin.com/in/cyrille-pailleret-6a8b411b" TargetMode="External"/><Relationship  Id="rId582" Type="http://schemas.openxmlformats.org/officeDocument/2006/relationships/hyperlink" Target="http://cacv.com" TargetMode="External"/><Relationship  Id="rId583" Type="http://schemas.openxmlformats.org/officeDocument/2006/relationships/hyperlink" Target="http://www.linkedin.com/company/cacv" TargetMode="External"/><Relationship  Id="rId584" Type="http://schemas.openxmlformats.org/officeDocument/2006/relationships/hyperlink" Target="http://www.linkedin.com/in/dominique-chaudoreille-cacv-391743a" TargetMode="External"/><Relationship  Id="rId585" Type="http://schemas.openxmlformats.org/officeDocument/2006/relationships/hyperlink" Target="http://cybel-extension.com" TargetMode="External"/><Relationship  Id="rId586" Type="http://schemas.openxmlformats.org/officeDocument/2006/relationships/hyperlink" Target="http://www.linkedin.com/company/cybel-extension-national" TargetMode="External"/><Relationship  Id="rId587" Type="http://schemas.openxmlformats.org/officeDocument/2006/relationships/hyperlink" Target="http://www.linkedin.com/in/didier-fontaine-3b646073" TargetMode="External"/><Relationship  Id="rId588" Type="http://schemas.openxmlformats.org/officeDocument/2006/relationships/hyperlink" Target="http://aliatem-consulting.com" TargetMode="External"/><Relationship  Id="rId589" Type="http://schemas.openxmlformats.org/officeDocument/2006/relationships/hyperlink" Target="http://www.linkedin.com/company/aliatem" TargetMode="External"/><Relationship  Id="rId59" Type="http://schemas.openxmlformats.org/officeDocument/2006/relationships/hyperlink" Target="http://www.linkedin.com/company/polypus" TargetMode="External"/><Relationship  Id="rId590" Type="http://schemas.openxmlformats.org/officeDocument/2006/relationships/hyperlink" Target="http://www.linkedin.com/in/david-ricanet-013b4811" TargetMode="External"/><Relationship  Id="rId591" Type="http://schemas.openxmlformats.org/officeDocument/2006/relationships/hyperlink" Target="http://idcapt.com" TargetMode="External"/><Relationship  Id="rId592" Type="http://schemas.openxmlformats.org/officeDocument/2006/relationships/hyperlink" Target="http://www.linkedin.com/company/idcapt" TargetMode="External"/><Relationship  Id="rId593" Type="http://schemas.openxmlformats.org/officeDocument/2006/relationships/hyperlink" Target="https://twitter.com/IDcapt_ES" TargetMode="External"/><Relationship  Id="rId594" Type="http://schemas.openxmlformats.org/officeDocument/2006/relationships/hyperlink" Target="http://www.linkedin.com/in/didier-serradell-39530216" TargetMode="External"/><Relationship  Id="rId595" Type="http://schemas.openxmlformats.org/officeDocument/2006/relationships/hyperlink" Target="http://www.linkedin.com/company/siana" TargetMode="External"/><Relationship  Id="rId596" Type="http://schemas.openxmlformats.org/officeDocument/2006/relationships/hyperlink" Target="https://twitter.com/lesarbresmorts" TargetMode="External"/><Relationship  Id="rId597" Type="http://schemas.openxmlformats.org/officeDocument/2006/relationships/hyperlink" Target="http://www.linkedin.com/in/damien-buty-11823239" TargetMode="External"/><Relationship  Id="rId598" Type="http://schemas.openxmlformats.org/officeDocument/2006/relationships/hyperlink" Target="http://reconomia.fr" TargetMode="External"/><Relationship  Id="rId599" Type="http://schemas.openxmlformats.org/officeDocument/2006/relationships/hyperlink" Target="http://www.linkedin.com/company/reconomia" TargetMode="External"/><Relationship  Id="rId6" Type="http://schemas.openxmlformats.org/officeDocument/2006/relationships/hyperlink" Target="http://www.linkedin.com/in/arnauld-champremier-trigano-2167a567" TargetMode="External"/><Relationship  Id="rId60" Type="http://schemas.openxmlformats.org/officeDocument/2006/relationships/hyperlink" Target="http://www.linkedin.com/in/arnaud-blanchard-" TargetMode="External"/><Relationship  Id="rId600" Type="http://schemas.openxmlformats.org/officeDocument/2006/relationships/hyperlink" Target="http://www.linkedin.com/in/danielbroche" TargetMode="External"/><Relationship  Id="rId601" Type="http://schemas.openxmlformats.org/officeDocument/2006/relationships/hyperlink" Target="http://prospactive.com" TargetMode="External"/><Relationship  Id="rId602" Type="http://schemas.openxmlformats.org/officeDocument/2006/relationships/hyperlink" Target="http://www.linkedin.com/company/prospactive" TargetMode="External"/><Relationship  Id="rId603" Type="http://schemas.openxmlformats.org/officeDocument/2006/relationships/hyperlink" Target="http://www.linkedin.com/in/daniel-pereira-a3bb5642" TargetMode="External"/><Relationship  Id="rId604" Type="http://schemas.openxmlformats.org/officeDocument/2006/relationships/hyperlink" Target="http://actionbetoncoupe.com" TargetMode="External"/><Relationship  Id="rId605" Type="http://schemas.openxmlformats.org/officeDocument/2006/relationships/hyperlink" Target="http://www.linkedin.com/company/action-beton-coupe" TargetMode="External"/><Relationship  Id="rId606" Type="http://schemas.openxmlformats.org/officeDocument/2006/relationships/hyperlink" Target="https://www.facebook.com/actionbetoncoupe" TargetMode="External"/><Relationship  Id="rId607" Type="http://schemas.openxmlformats.org/officeDocument/2006/relationships/hyperlink" Target="http://www.linkedin.com/in/daniel-varillon-1282a615" TargetMode="External"/><Relationship  Id="rId608" Type="http://schemas.openxmlformats.org/officeDocument/2006/relationships/hyperlink" Target="http://atlantic-environnement.fr" TargetMode="External"/><Relationship  Id="rId609" Type="http://schemas.openxmlformats.org/officeDocument/2006/relationships/hyperlink" Target="http://www.linkedin.com/company/atlantic-environnement" TargetMode="External"/><Relationship  Id="rId61" Type="http://schemas.openxmlformats.org/officeDocument/2006/relationships/hyperlink" Target="http://agencenova.com" TargetMode="External"/><Relationship  Id="rId610" Type="http://schemas.openxmlformats.org/officeDocument/2006/relationships/hyperlink" Target="http://www.linkedin.com/in/david-boudaud-562b2130" TargetMode="External"/><Relationship  Id="rId611" Type="http://schemas.openxmlformats.org/officeDocument/2006/relationships/hyperlink" Target="http://climate-innov.com" TargetMode="External"/><Relationship  Id="rId612" Type="http://schemas.openxmlformats.org/officeDocument/2006/relationships/hyperlink" Target="http://www.linkedin.com/company/climate-innov" TargetMode="External"/><Relationship  Id="rId613" Type="http://schemas.openxmlformats.org/officeDocument/2006/relationships/hyperlink" Target="http://www.linkedin.com/in/david-clares-b16606152" TargetMode="External"/><Relationship  Id="rId614" Type="http://schemas.openxmlformats.org/officeDocument/2006/relationships/hyperlink" Target="http://lex-persona.com" TargetMode="External"/><Relationship  Id="rId615" Type="http://schemas.openxmlformats.org/officeDocument/2006/relationships/hyperlink" Target="http://www.linkedin.com/company/lex-persona" TargetMode="External"/><Relationship  Id="rId616" Type="http://schemas.openxmlformats.org/officeDocument/2006/relationships/hyperlink" Target="https://twitter.com/lexpersona" TargetMode="External"/><Relationship  Id="rId617" Type="http://schemas.openxmlformats.org/officeDocument/2006/relationships/hyperlink" Target="https://facebook.com/pages/Lex-Persona/581179861908225" TargetMode="External"/><Relationship  Id="rId618" Type="http://schemas.openxmlformats.org/officeDocument/2006/relationships/hyperlink" Target="http://www.linkedin.com/in/david-coridun-66735334" TargetMode="External"/><Relationship  Id="rId619" Type="http://schemas.openxmlformats.org/officeDocument/2006/relationships/hyperlink" Target="http://evometrologie.com" TargetMode="External"/><Relationship  Id="rId62" Type="http://schemas.openxmlformats.org/officeDocument/2006/relationships/hyperlink" Target="http://www.linkedin.com/company/agence-nova" TargetMode="External"/><Relationship  Id="rId620" Type="http://schemas.openxmlformats.org/officeDocument/2006/relationships/hyperlink" Target="http://www.linkedin.com/company/evo-m%c3%a9trologie" TargetMode="External"/><Relationship  Id="rId621" Type="http://schemas.openxmlformats.org/officeDocument/2006/relationships/hyperlink" Target="https://www.facebook.com/people/EVO-m%C3%A9trologie/100075845067703/" TargetMode="External"/><Relationship  Id="rId622" Type="http://schemas.openxmlformats.org/officeDocument/2006/relationships/hyperlink" Target="http://www.linkedin.com/in/david-delannoy-87a6501ba" TargetMode="External"/><Relationship  Id="rId623" Type="http://schemas.openxmlformats.org/officeDocument/2006/relationships/hyperlink" Target="http://armtek.fr" TargetMode="External"/><Relationship  Id="rId624" Type="http://schemas.openxmlformats.org/officeDocument/2006/relationships/hyperlink" Target="http://www.linkedin.com/company/armtek-france" TargetMode="External"/><Relationship  Id="rId625" Type="http://schemas.openxmlformats.org/officeDocument/2006/relationships/hyperlink" Target="http://www.linkedin.com/in/david-desjardins-a157143" TargetMode="External"/><Relationship  Id="rId626" Type="http://schemas.openxmlformats.org/officeDocument/2006/relationships/hyperlink" Target="http://proactifcallcenter.com" TargetMode="External"/><Relationship  Id="rId627" Type="http://schemas.openxmlformats.org/officeDocument/2006/relationships/hyperlink" Target="http://www.linkedin.com/company/proactif-call-center" TargetMode="External"/><Relationship  Id="rId628" Type="http://schemas.openxmlformats.org/officeDocument/2006/relationships/hyperlink" Target="http://www.linkedin.com/in/davidfoure" TargetMode="External"/><Relationship  Id="rId629" Type="http://schemas.openxmlformats.org/officeDocument/2006/relationships/hyperlink" Target="http://styleo.fr" TargetMode="External"/><Relationship  Id="rId63" Type="http://schemas.openxmlformats.org/officeDocument/2006/relationships/hyperlink" Target="https://twitter.com/agencedecomnova" TargetMode="External"/><Relationship  Id="rId630" Type="http://schemas.openxmlformats.org/officeDocument/2006/relationships/hyperlink" Target="http://www.linkedin.com/company/styleo" TargetMode="External"/><Relationship  Id="rId631" Type="http://schemas.openxmlformats.org/officeDocument/2006/relationships/hyperlink" Target="https://facebook.com/styleo" TargetMode="External"/><Relationship  Id="rId632" Type="http://schemas.openxmlformats.org/officeDocument/2006/relationships/hyperlink" Target="http://www.linkedin.com/in/david-guillen-8a81033" TargetMode="External"/><Relationship  Id="rId633" Type="http://schemas.openxmlformats.org/officeDocument/2006/relationships/hyperlink" Target="http://mti86.com" TargetMode="External"/><Relationship  Id="rId634" Type="http://schemas.openxmlformats.org/officeDocument/2006/relationships/hyperlink" Target="http://www.linkedin.com/company/mti86" TargetMode="External"/><Relationship  Id="rId635" Type="http://schemas.openxmlformats.org/officeDocument/2006/relationships/hyperlink" Target="http://www.linkedin.com/in/david-de-larauze-7a520757" TargetMode="External"/><Relationship  Id="rId636" Type="http://schemas.openxmlformats.org/officeDocument/2006/relationships/hyperlink" Target="http://smilewanted.com" TargetMode="External"/><Relationship  Id="rId637" Type="http://schemas.openxmlformats.org/officeDocument/2006/relationships/hyperlink" Target="http://www.linkedin.com/company/smile-wanted" TargetMode="External"/><Relationship  Id="rId638" Type="http://schemas.openxmlformats.org/officeDocument/2006/relationships/hyperlink" Target="http://www.linkedin.com/in/david-calleri-84591a8a" TargetMode="External"/><Relationship  Id="rId639" Type="http://schemas.openxmlformats.org/officeDocument/2006/relationships/hyperlink" Target="http://charpente-merlot.fr" TargetMode="External"/><Relationship  Id="rId64" Type="http://schemas.openxmlformats.org/officeDocument/2006/relationships/hyperlink" Target="https://facebook.com/agencedecomnova" TargetMode="External"/><Relationship  Id="rId640" Type="http://schemas.openxmlformats.org/officeDocument/2006/relationships/hyperlink" Target="http://www.linkedin.com/company/sas-merlot" TargetMode="External"/><Relationship  Id="rId641" Type="http://schemas.openxmlformats.org/officeDocument/2006/relationships/hyperlink" Target="https://www.facebook.com/Merlot-SAS-1452582684968568/" TargetMode="External"/><Relationship  Id="rId642" Type="http://schemas.openxmlformats.org/officeDocument/2006/relationships/hyperlink" Target="http://www.linkedin.com/in/david-soulas-4b476b190" TargetMode="External"/><Relationship  Id="rId643" Type="http://schemas.openxmlformats.org/officeDocument/2006/relationships/hyperlink" Target="http://avenirdirigeant.com" TargetMode="External"/><Relationship  Id="rId644" Type="http://schemas.openxmlformats.org/officeDocument/2006/relationships/hyperlink" Target="http://www.linkedin.com/company/avenir-dirigeant" TargetMode="External"/><Relationship  Id="rId645" Type="http://schemas.openxmlformats.org/officeDocument/2006/relationships/hyperlink" Target="https://twitter.com/ADirigeant" TargetMode="External"/><Relationship  Id="rId646" Type="http://schemas.openxmlformats.org/officeDocument/2006/relationships/hyperlink" Target="https://facebook.com/pages/Avenir-Dirigeant/694097350685246" TargetMode="External"/><Relationship  Id="rId647" Type="http://schemas.openxmlformats.org/officeDocument/2006/relationships/hyperlink" Target="http://www.linkedin.com/in/denisboutte" TargetMode="External"/><Relationship  Id="rId648" Type="http://schemas.openxmlformats.org/officeDocument/2006/relationships/hyperlink" Target="http://baron-sas.fr" TargetMode="External"/><Relationship  Id="rId649" Type="http://schemas.openxmlformats.org/officeDocument/2006/relationships/hyperlink" Target="http://www.linkedin.com/company/baron-sas" TargetMode="External"/><Relationship  Id="rId65" Type="http://schemas.openxmlformats.org/officeDocument/2006/relationships/hyperlink" Target="http://www.linkedin.com/in/abriand" TargetMode="External"/><Relationship  Id="rId650" Type="http://schemas.openxmlformats.org/officeDocument/2006/relationships/hyperlink" Target="http://www.linkedin.com/in/david-baron-830472105" TargetMode="External"/><Relationship  Id="rId651" Type="http://schemas.openxmlformats.org/officeDocument/2006/relationships/hyperlink" Target="http://www.linkedin.com/in/delphine-battesti-a4431887" TargetMode="External"/><Relationship  Id="rId652" Type="http://schemas.openxmlformats.org/officeDocument/2006/relationships/hyperlink" Target="http://wondercrush.fr" TargetMode="External"/><Relationship  Id="rId653" Type="http://schemas.openxmlformats.org/officeDocument/2006/relationships/hyperlink" Target="http://www.linkedin.com/company/wondercrush" TargetMode="External"/><Relationship  Id="rId654" Type="http://schemas.openxmlformats.org/officeDocument/2006/relationships/hyperlink" Target="http://www.linkedin.com/in/delphine-leloup-wondercrush-44307468" TargetMode="External"/><Relationship  Id="rId655" Type="http://schemas.openxmlformats.org/officeDocument/2006/relationships/hyperlink" Target="http://lamaisonplisson.com" TargetMode="External"/><Relationship  Id="rId656" Type="http://schemas.openxmlformats.org/officeDocument/2006/relationships/hyperlink" Target="http://www.linkedin.com/company/la-maison-plisson" TargetMode="External"/><Relationship  Id="rId657" Type="http://schemas.openxmlformats.org/officeDocument/2006/relationships/hyperlink" Target="http://www.linkedin.com/in/delphine-plisson-2713b17b" TargetMode="External"/><Relationship  Id="rId658" Type="http://schemas.openxmlformats.org/officeDocument/2006/relationships/hyperlink" Target="http://tempeos.com" TargetMode="External"/><Relationship  Id="rId659" Type="http://schemas.openxmlformats.org/officeDocument/2006/relationships/hyperlink" Target="http://www.linkedin.com/company/tempeos" TargetMode="External"/><Relationship  Id="rId66" Type="http://schemas.openxmlformats.org/officeDocument/2006/relationships/hyperlink" Target="http://ampc73.fr" TargetMode="External"/><Relationship  Id="rId660" Type="http://schemas.openxmlformats.org/officeDocument/2006/relationships/hyperlink" Target="http://www.linkedin.com/in/delphine-riss" TargetMode="External"/><Relationship  Id="rId661" Type="http://schemas.openxmlformats.org/officeDocument/2006/relationships/hyperlink" Target="http://www.linkedin.com/company/agro-alimentaire-conseil" TargetMode="External"/><Relationship  Id="rId662" Type="http://schemas.openxmlformats.org/officeDocument/2006/relationships/hyperlink" Target="http://www.linkedin.com/in/denis-bornua-30576624" TargetMode="External"/><Relationship  Id="rId663" Type="http://schemas.openxmlformats.org/officeDocument/2006/relationships/hyperlink" Target="http://elips-solution.fr" TargetMode="External"/><Relationship  Id="rId664" Type="http://schemas.openxmlformats.org/officeDocument/2006/relationships/hyperlink" Target="http://www.linkedin.com/company/%c3%a9lips-solution" TargetMode="External"/><Relationship  Id="rId665" Type="http://schemas.openxmlformats.org/officeDocument/2006/relationships/hyperlink" Target="http://www.linkedin.com/in/denis-escudier-5ba7ba2a" TargetMode="External"/><Relationship  Id="rId666" Type="http://schemas.openxmlformats.org/officeDocument/2006/relationships/hyperlink" Target="http://os-consultech.fr" TargetMode="External"/><Relationship  Id="rId667" Type="http://schemas.openxmlformats.org/officeDocument/2006/relationships/hyperlink" Target="http://www.linkedin.com/company/os-consultech" TargetMode="External"/><Relationship  Id="rId668" Type="http://schemas.openxmlformats.org/officeDocument/2006/relationships/hyperlink" Target="http://www.linkedin.com/in/damien-fornier-92885061" TargetMode="External"/><Relationship  Id="rId669" Type="http://schemas.openxmlformats.org/officeDocument/2006/relationships/hyperlink" Target="http://www.linkedin.com/in/davidhostetter" TargetMode="External"/><Relationship  Id="rId67" Type="http://schemas.openxmlformats.org/officeDocument/2006/relationships/hyperlink" Target="http://www.linkedin.com/company/ampc73" TargetMode="External"/><Relationship  Id="rId670" Type="http://schemas.openxmlformats.org/officeDocument/2006/relationships/hyperlink" Target="http://primeanalytics.fr" TargetMode="External"/><Relationship  Id="rId671" Type="http://schemas.openxmlformats.org/officeDocument/2006/relationships/hyperlink" Target="http://www.linkedin.com/company/primeanalytics" TargetMode="External"/><Relationship  Id="rId672" Type="http://schemas.openxmlformats.org/officeDocument/2006/relationships/hyperlink" Target="https://www.facebook.com/primeanalytics.fr/" TargetMode="External"/><Relationship  Id="rId673" Type="http://schemas.openxmlformats.org/officeDocument/2006/relationships/hyperlink" Target="http://www.linkedin.com/in/didiercarre" TargetMode="External"/><Relationship  Id="rId674" Type="http://schemas.openxmlformats.org/officeDocument/2006/relationships/hyperlink" Target="http://pierrenoel.fr" TargetMode="External"/><Relationship  Id="rId675" Type="http://schemas.openxmlformats.org/officeDocument/2006/relationships/hyperlink" Target="http://www.linkedin.com/company/pierrenoel1844" TargetMode="External"/><Relationship  Id="rId676" Type="http://schemas.openxmlformats.org/officeDocument/2006/relationships/hyperlink" Target="http://www.linkedin.com/in/didier-durand-7948b148" TargetMode="External"/><Relationship  Id="rId677" Type="http://schemas.openxmlformats.org/officeDocument/2006/relationships/hyperlink" Target="http://www.linkedin.com/company/groupemen" TargetMode="External"/><Relationship  Id="rId678" Type="http://schemas.openxmlformats.org/officeDocument/2006/relationships/hyperlink" Target="http://www.linkedin.com/in/didier-garcia-0b4b4091" TargetMode="External"/><Relationship  Id="rId679" Type="http://schemas.openxmlformats.org/officeDocument/2006/relationships/hyperlink" Target="http://chrymelie.fr" TargetMode="External"/><Relationship  Id="rId68" Type="http://schemas.openxmlformats.org/officeDocument/2006/relationships/hyperlink" Target="http://www.linkedin.com/in/antonio-campagna-1a287b143" TargetMode="External"/><Relationship  Id="rId680" Type="http://schemas.openxmlformats.org/officeDocument/2006/relationships/hyperlink" Target="http://www.linkedin.com/company/chrymelie" TargetMode="External"/><Relationship  Id="rId681" Type="http://schemas.openxmlformats.org/officeDocument/2006/relationships/hyperlink" Target="https://www.facebook.com/Chrymelie/" TargetMode="External"/><Relationship  Id="rId682" Type="http://schemas.openxmlformats.org/officeDocument/2006/relationships/hyperlink" Target="http://www.linkedin.com/in/didierguarisco" TargetMode="External"/><Relationship  Id="rId683" Type="http://schemas.openxmlformats.org/officeDocument/2006/relationships/hyperlink" Target="http://junior-imt-nord-europe.fr" TargetMode="External"/><Relationship  Id="rId684" Type="http://schemas.openxmlformats.org/officeDocument/2006/relationships/hyperlink" Target="http://www.linkedin.com/company/junior-imt-nord-europe" TargetMode="External"/><Relationship  Id="rId685" Type="http://schemas.openxmlformats.org/officeDocument/2006/relationships/hyperlink" Target="https://www.facebook.com/Junior.IMT.Nord.Europe/" TargetMode="External"/><Relationship  Id="rId686" Type="http://schemas.openxmlformats.org/officeDocument/2006/relationships/hyperlink" Target="http://www.linkedin.com/in/dijane-schmitt" TargetMode="External"/><Relationship  Id="rId687" Type="http://schemas.openxmlformats.org/officeDocument/2006/relationships/hyperlink" Target="http://zaniersa.fr" TargetMode="External"/><Relationship  Id="rId688" Type="http://schemas.openxmlformats.org/officeDocument/2006/relationships/hyperlink" Target="http://www.linkedin.com/company/zanier-sa" TargetMode="External"/><Relationship  Id="rId689" Type="http://schemas.openxmlformats.org/officeDocument/2006/relationships/hyperlink" Target="http://www.linkedin.com/in/dimitri-zanier-45280443" TargetMode="External"/><Relationship  Id="rId69" Type="http://schemas.openxmlformats.org/officeDocument/2006/relationships/hyperlink" Target="http://ideaenvironnement.com" TargetMode="External"/><Relationship  Id="rId690" Type="http://schemas.openxmlformats.org/officeDocument/2006/relationships/hyperlink" Target="http://wemoms.fr" TargetMode="External"/><Relationship  Id="rId691" Type="http://schemas.openxmlformats.org/officeDocument/2006/relationships/hyperlink" Target="http://www.linkedin.com/company/wemoms" TargetMode="External"/><Relationship  Id="rId692" Type="http://schemas.openxmlformats.org/officeDocument/2006/relationships/hyperlink" Target="https://twitter.com/wemomsapp" TargetMode="External"/><Relationship  Id="rId693" Type="http://schemas.openxmlformats.org/officeDocument/2006/relationships/hyperlink" Target="https://www.facebook.com/pages/WeMoms/664608920276970?sk=info" TargetMode="External"/><Relationship  Id="rId694" Type="http://schemas.openxmlformats.org/officeDocument/2006/relationships/hyperlink" Target="http://www.linkedin.com/in/dino-jaegle-a3258923" TargetMode="External"/><Relationship  Id="rId695" Type="http://schemas.openxmlformats.org/officeDocument/2006/relationships/hyperlink" Target="http://trfretail.com" TargetMode="External"/><Relationship  Id="rId696" Type="http://schemas.openxmlformats.org/officeDocument/2006/relationships/hyperlink" Target="http://www.linkedin.com/company/trf-retail" TargetMode="External"/><Relationship  Id="rId697" Type="http://schemas.openxmlformats.org/officeDocument/2006/relationships/hyperlink" Target="https://twitter.com/TRFRETAIL" TargetMode="External"/><Relationship  Id="rId698" Type="http://schemas.openxmlformats.org/officeDocument/2006/relationships/hyperlink" Target="https://facebook.com/pages/TRF-Retail/226445844037276" TargetMode="External"/><Relationship  Id="rId699" Type="http://schemas.openxmlformats.org/officeDocument/2006/relationships/hyperlink" Target="http://www.linkedin.com/in/dominique-chambas-5ab57a4" TargetMode="External"/><Relationship  Id="rId7" Type="http://schemas.openxmlformats.org/officeDocument/2006/relationships/hyperlink" Target="http://aldene.fr" TargetMode="External"/><Relationship  Id="rId70" Type="http://schemas.openxmlformats.org/officeDocument/2006/relationships/hyperlink" Target="http://www.linkedin.com/company/idea-environnement" TargetMode="External"/><Relationship  Id="rId700" Type="http://schemas.openxmlformats.org/officeDocument/2006/relationships/hyperlink" Target="http://mixity.co" TargetMode="External"/><Relationship  Id="rId701" Type="http://schemas.openxmlformats.org/officeDocument/2006/relationships/hyperlink" Target="http://www.linkedin.com/company/mixity-co" TargetMode="External"/><Relationship  Id="rId702" Type="http://schemas.openxmlformats.org/officeDocument/2006/relationships/hyperlink" Target="https://twitter.com/Mixity_co" TargetMode="External"/><Relationship  Id="rId703" Type="http://schemas.openxmlformats.org/officeDocument/2006/relationships/hyperlink" Target="https://www.facebook.com/Mixity.co/" TargetMode="External"/><Relationship  Id="rId704" Type="http://schemas.openxmlformats.org/officeDocument/2006/relationships/hyperlink" Target="http://www.linkedin.com/in/dominique-crochu-21929517" TargetMode="External"/><Relationship  Id="rId705" Type="http://schemas.openxmlformats.org/officeDocument/2006/relationships/hyperlink" Target="http://aquasys.fr" TargetMode="External"/><Relationship  Id="rId706" Type="http://schemas.openxmlformats.org/officeDocument/2006/relationships/hyperlink" Target="http://www.linkedin.com/company/aquasys-france" TargetMode="External"/><Relationship  Id="rId707" Type="http://schemas.openxmlformats.org/officeDocument/2006/relationships/hyperlink" Target="https://twitter.com/myAquasys" TargetMode="External"/><Relationship  Id="rId708" Type="http://schemas.openxmlformats.org/officeDocument/2006/relationships/hyperlink" Target="https://www.facebook.com/MyAquasys/" TargetMode="External"/><Relationship  Id="rId709" Type="http://schemas.openxmlformats.org/officeDocument/2006/relationships/hyperlink" Target="http://www.linkedin.com/in/theriez-dominique" TargetMode="External"/><Relationship  Id="rId71" Type="http://schemas.openxmlformats.org/officeDocument/2006/relationships/hyperlink" Target="http://www.linkedin.com/in/ange-deniel-carmel-aa06b68a" TargetMode="External"/><Relationship  Id="rId710" Type="http://schemas.openxmlformats.org/officeDocument/2006/relationships/hyperlink" Target="http://farinez-vous.com" TargetMode="External"/><Relationship  Id="rId711" Type="http://schemas.openxmlformats.org/officeDocument/2006/relationships/hyperlink" Target="http://www.linkedin.com/company/farinezvous" TargetMode="External"/><Relationship  Id="rId712" Type="http://schemas.openxmlformats.org/officeDocument/2006/relationships/hyperlink" Target="http://www.linkedin.com/in/domitille-flichy-98740877" TargetMode="External"/><Relationship  Id="rId713" Type="http://schemas.openxmlformats.org/officeDocument/2006/relationships/hyperlink" Target="http://goodbuy-media.fr" TargetMode="External"/><Relationship  Id="rId714" Type="http://schemas.openxmlformats.org/officeDocument/2006/relationships/hyperlink" Target="http://www.linkedin.com/company/good-buy-media" TargetMode="External"/><Relationship  Id="rId715" Type="http://schemas.openxmlformats.org/officeDocument/2006/relationships/hyperlink" Target="https://www.facebook.com/goodbuymedia35" TargetMode="External"/><Relationship  Id="rId716" Type="http://schemas.openxmlformats.org/officeDocument/2006/relationships/hyperlink" Target="http://www.linkedin.com/in/dorismadingou" TargetMode="External"/><Relationship  Id="rId717" Type="http://schemas.openxmlformats.org/officeDocument/2006/relationships/hyperlink" Target="http://cdr-construction.fr" TargetMode="External"/><Relationship  Id="rId718" Type="http://schemas.openxmlformats.org/officeDocument/2006/relationships/hyperlink" Target="http://www.linkedin.com/company/cdr-construction-fr" TargetMode="External"/><Relationship  Id="rId719" Type="http://schemas.openxmlformats.org/officeDocument/2006/relationships/hyperlink" Target="http://www.linkedin.com/in/delphine-orthuon" TargetMode="External"/><Relationship  Id="rId72" Type="http://schemas.openxmlformats.org/officeDocument/2006/relationships/hyperlink" Target="http://custup.com" TargetMode="External"/><Relationship  Id="rId720" Type="http://schemas.openxmlformats.org/officeDocument/2006/relationships/hyperlink" Target="http://lamediosphere.fr" TargetMode="External"/><Relationship  Id="rId721" Type="http://schemas.openxmlformats.org/officeDocument/2006/relationships/hyperlink" Target="http://www.linkedin.com/company/la-mediosphere" TargetMode="External"/><Relationship  Id="rId722" Type="http://schemas.openxmlformats.org/officeDocument/2006/relationships/hyperlink" Target="http://www.linkedin.com/in/etienne-coupe-ingenieur-fluides" TargetMode="External"/><Relationship  Id="rId723" Type="http://schemas.openxmlformats.org/officeDocument/2006/relationships/hyperlink" Target="http://globalp.fr" TargetMode="External"/><Relationship  Id="rId724" Type="http://schemas.openxmlformats.org/officeDocument/2006/relationships/hyperlink" Target="http://www.linkedin.com/company/globalpcontractantgeneral" TargetMode="External"/><Relationship  Id="rId725" Type="http://schemas.openxmlformats.org/officeDocument/2006/relationships/hyperlink" Target="http://www.linkedin.com/in/eric-faramond-495450153" TargetMode="External"/><Relationship  Id="rId726" Type="http://schemas.openxmlformats.org/officeDocument/2006/relationships/hyperlink" Target="http://eixa.fr" TargetMode="External"/><Relationship  Id="rId727" Type="http://schemas.openxmlformats.org/officeDocument/2006/relationships/hyperlink" Target="http://www.linkedin.com/company/eixa" TargetMode="External"/><Relationship  Id="rId728" Type="http://schemas.openxmlformats.org/officeDocument/2006/relationships/hyperlink" Target="http://www.linkedin.com/in/emmanuel-galichon-6355b316" TargetMode="External"/><Relationship  Id="rId729" Type="http://schemas.openxmlformats.org/officeDocument/2006/relationships/hyperlink" Target="http://anikit.fr" TargetMode="External"/><Relationship  Id="rId73" Type="http://schemas.openxmlformats.org/officeDocument/2006/relationships/hyperlink" Target="http://www.linkedin.com/company/custup" TargetMode="External"/><Relationship  Id="rId730" Type="http://schemas.openxmlformats.org/officeDocument/2006/relationships/hyperlink" Target="http://www.linkedin.com/company/logikap" TargetMode="External"/><Relationship  Id="rId731" Type="http://schemas.openxmlformats.org/officeDocument/2006/relationships/hyperlink" Target="http://www.linkedin.com/in/emmanuel-garcia-60716973" TargetMode="External"/><Relationship  Id="rId732" Type="http://schemas.openxmlformats.org/officeDocument/2006/relationships/hyperlink" Target="http://kadys.fr" TargetMode="External"/><Relationship  Id="rId733" Type="http://schemas.openxmlformats.org/officeDocument/2006/relationships/hyperlink" Target="http://www.linkedin.com/company/kadys" TargetMode="External"/><Relationship  Id="rId734" Type="http://schemas.openxmlformats.org/officeDocument/2006/relationships/hyperlink" Target="http://www.linkedin.com/in/emilie-geyer-51334a106" TargetMode="External"/><Relationship  Id="rId735" Type="http://schemas.openxmlformats.org/officeDocument/2006/relationships/hyperlink" Target="http://moncelec.fr" TargetMode="External"/><Relationship  Id="rId736" Type="http://schemas.openxmlformats.org/officeDocument/2006/relationships/hyperlink" Target="http://www.linkedin.com/company/moncelec-automatismes" TargetMode="External"/><Relationship  Id="rId737" Type="http://schemas.openxmlformats.org/officeDocument/2006/relationships/hyperlink" Target="http://www.linkedin.com/in/%c3%a9ric-leroux-75893b82" TargetMode="External"/><Relationship  Id="rId738" Type="http://schemas.openxmlformats.org/officeDocument/2006/relationships/hyperlink" Target="http://moderlab.com" TargetMode="External"/><Relationship  Id="rId739" Type="http://schemas.openxmlformats.org/officeDocument/2006/relationships/hyperlink" Target="http://www.linkedin.com/company/moderlab" TargetMode="External"/><Relationship  Id="rId74" Type="http://schemas.openxmlformats.org/officeDocument/2006/relationships/hyperlink" Target="https://www.facebook.com/custupCRM" TargetMode="External"/><Relationship  Id="rId740" Type="http://schemas.openxmlformats.org/officeDocument/2006/relationships/hyperlink" Target="https://m.facebook.com/people/Moderlab/100064062880524/" TargetMode="External"/><Relationship  Id="rId741" Type="http://schemas.openxmlformats.org/officeDocument/2006/relationships/hyperlink" Target="http://www.linkedin.com/in/elsa-maji-55873393" TargetMode="External"/><Relationship  Id="rId742" Type="http://schemas.openxmlformats.org/officeDocument/2006/relationships/hyperlink" Target="http://nova-construction.fr" TargetMode="External"/><Relationship  Id="rId743" Type="http://schemas.openxmlformats.org/officeDocument/2006/relationships/hyperlink" Target="http://www.linkedin.com/company/nova-construction-lescar" TargetMode="External"/><Relationship  Id="rId744" Type="http://schemas.openxmlformats.org/officeDocument/2006/relationships/hyperlink" Target="http://www.linkedin.com/in/eric-pellerin-891a4460" TargetMode="External"/><Relationship  Id="rId745" Type="http://schemas.openxmlformats.org/officeDocument/2006/relationships/hyperlink" Target="http://apsys.fr" TargetMode="External"/><Relationship  Id="rId746" Type="http://schemas.openxmlformats.org/officeDocument/2006/relationships/hyperlink" Target="http://www.linkedin.com/company/apsys-apsys" TargetMode="External"/><Relationship  Id="rId747" Type="http://schemas.openxmlformats.org/officeDocument/2006/relationships/hyperlink" Target="https://twitter.com/APSYS_BP" TargetMode="External"/><Relationship  Id="rId748" Type="http://schemas.openxmlformats.org/officeDocument/2006/relationships/hyperlink" Target="http://www.linkedin.com/in/emmanuel-petit-473268b2" TargetMode="External"/><Relationship  Id="rId749" Type="http://schemas.openxmlformats.org/officeDocument/2006/relationships/hyperlink" Target="http://assetsman.com" TargetMode="External"/><Relationship  Id="rId75" Type="http://schemas.openxmlformats.org/officeDocument/2006/relationships/hyperlink" Target="http://www.linkedin.com/in/antoinecoubray" TargetMode="External"/><Relationship  Id="rId750" Type="http://schemas.openxmlformats.org/officeDocument/2006/relationships/hyperlink" Target="http://www.linkedin.com/company/assetsman" TargetMode="External"/><Relationship  Id="rId751" Type="http://schemas.openxmlformats.org/officeDocument/2006/relationships/hyperlink" Target="https://www.facebook.com/assetsman/" TargetMode="External"/><Relationship  Id="rId752" Type="http://schemas.openxmlformats.org/officeDocument/2006/relationships/hyperlink" Target="http://www.linkedin.com/in/edmea-adell-9039881a" TargetMode="External"/><Relationship  Id="rId753" Type="http://schemas.openxmlformats.org/officeDocument/2006/relationships/hyperlink" Target="http://black-oak.fr" TargetMode="External"/><Relationship  Id="rId754" Type="http://schemas.openxmlformats.org/officeDocument/2006/relationships/hyperlink" Target="http://www.linkedin.com/company/blackoak" TargetMode="External"/><Relationship  Id="rId755" Type="http://schemas.openxmlformats.org/officeDocument/2006/relationships/hyperlink" Target="http://www.linkedin.com/in/erick-belijar-7831a32" TargetMode="External"/><Relationship  Id="rId756" Type="http://schemas.openxmlformats.org/officeDocument/2006/relationships/hyperlink" Target="http://cristel.com" TargetMode="External"/><Relationship  Id="rId757" Type="http://schemas.openxmlformats.org/officeDocument/2006/relationships/hyperlink" Target="http://www.linkedin.com/company/cristel-france" TargetMode="External"/><Relationship  Id="rId758" Type="http://schemas.openxmlformats.org/officeDocument/2006/relationships/hyperlink" Target="https://twitter.com/cristelfrance" TargetMode="External"/><Relationship  Id="rId759" Type="http://schemas.openxmlformats.org/officeDocument/2006/relationships/hyperlink" Target="https://www.facebook.com/cristelusa" TargetMode="External"/><Relationship  Id="rId76" Type="http://schemas.openxmlformats.org/officeDocument/2006/relationships/hyperlink" Target="http://dhm-tech.fr" TargetMode="External"/><Relationship  Id="rId760" Type="http://schemas.openxmlformats.org/officeDocument/2006/relationships/hyperlink" Target="http://www.linkedin.com/in/emmanuel-brugger-bb479a" TargetMode="External"/><Relationship  Id="rId761" Type="http://schemas.openxmlformats.org/officeDocument/2006/relationships/hyperlink" Target="http://www.linkedin.com/company/rossel-advertising-france" TargetMode="External"/><Relationship  Id="rId762" Type="http://schemas.openxmlformats.org/officeDocument/2006/relationships/hyperlink" Target="http://www.linkedin.com/in/emilie-cohen-28927818" TargetMode="External"/><Relationship  Id="rId763" Type="http://schemas.openxmlformats.org/officeDocument/2006/relationships/hyperlink" Target="http://ccl-construction.fr" TargetMode="External"/><Relationship  Id="rId764" Type="http://schemas.openxmlformats.org/officeDocument/2006/relationships/hyperlink" Target="http://www.linkedin.com/company/cclconstruction" TargetMode="External"/><Relationship  Id="rId765" Type="http://schemas.openxmlformats.org/officeDocument/2006/relationships/hyperlink" Target="http://www.linkedin.com/in/%c3%a9ric-dubost-55144a5b" TargetMode="External"/><Relationship  Id="rId766" Type="http://schemas.openxmlformats.org/officeDocument/2006/relationships/hyperlink" Target="http://www.linkedin.com/company/ikimo9" TargetMode="External"/><Relationship  Id="rId767" Type="http://schemas.openxmlformats.org/officeDocument/2006/relationships/hyperlink" Target="http://www.linkedin.com/in/elisabethjulienikimo9" TargetMode="External"/><Relationship  Id="rId768" Type="http://schemas.openxmlformats.org/officeDocument/2006/relationships/hyperlink" Target="http://gstag.com" TargetMode="External"/><Relationship  Id="rId769" Type="http://schemas.openxmlformats.org/officeDocument/2006/relationships/hyperlink" Target="http://www.linkedin.com/company/gstag" TargetMode="External"/><Relationship  Id="rId77" Type="http://schemas.openxmlformats.org/officeDocument/2006/relationships/hyperlink" Target="http://www.linkedin.com/company/dhm-tech" TargetMode="External"/><Relationship  Id="rId770" Type="http://schemas.openxmlformats.org/officeDocument/2006/relationships/hyperlink" Target="https://twitter.com/gs_tag1" TargetMode="External"/><Relationship  Id="rId771" Type="http://schemas.openxmlformats.org/officeDocument/2006/relationships/hyperlink" Target="http://www.linkedin.com/in/eric-jouve-1a53751" TargetMode="External"/><Relationship  Id="rId772" Type="http://schemas.openxmlformats.org/officeDocument/2006/relationships/hyperlink" Target="http://ynit.fr" TargetMode="External"/><Relationship  Id="rId773" Type="http://schemas.openxmlformats.org/officeDocument/2006/relationships/hyperlink" Target="http://www.linkedin.com/company/ynov-it-groupe" TargetMode="External"/><Relationship  Id="rId774" Type="http://schemas.openxmlformats.org/officeDocument/2006/relationships/hyperlink" Target="http://www.linkedin.com/in/emilienkrauserxerox" TargetMode="External"/><Relationship  Id="rId775" Type="http://schemas.openxmlformats.org/officeDocument/2006/relationships/hyperlink" Target="http://peregrine.ai" TargetMode="External"/><Relationship  Id="rId776" Type="http://schemas.openxmlformats.org/officeDocument/2006/relationships/hyperlink" Target="http://www.linkedin.com/company/peregrine-ai" TargetMode="External"/><Relationship  Id="rId777" Type="http://schemas.openxmlformats.org/officeDocument/2006/relationships/hyperlink" Target="http://www.linkedin.com/in/elif-dinc" TargetMode="External"/><Relationship  Id="rId778" Type="http://schemas.openxmlformats.org/officeDocument/2006/relationships/hyperlink" Target="http://theraxel.fr" TargetMode="External"/><Relationship  Id="rId779" Type="http://schemas.openxmlformats.org/officeDocument/2006/relationships/hyperlink" Target="http://www.linkedin.com/company/theraxel-point-forty-five" TargetMode="External"/><Relationship  Id="rId78" Type="http://schemas.openxmlformats.org/officeDocument/2006/relationships/hyperlink" Target="http://www.linkedin.com/in/aniss-dahmane-6936abb2" TargetMode="External"/><Relationship  Id="rId780" Type="http://schemas.openxmlformats.org/officeDocument/2006/relationships/hyperlink" Target="http://www.linkedin.com/in/elodie-pastre-b7796593" TargetMode="External"/><Relationship  Id="rId781" Type="http://schemas.openxmlformats.org/officeDocument/2006/relationships/hyperlink" Target="http://spirit-advisors.com" TargetMode="External"/><Relationship  Id="rId782" Type="http://schemas.openxmlformats.org/officeDocument/2006/relationships/hyperlink" Target="http://www.linkedin.com/company/spiritadvisors" TargetMode="External"/><Relationship  Id="rId783" Type="http://schemas.openxmlformats.org/officeDocument/2006/relationships/hyperlink" Target="http://www.linkedin.com/in/elodie-schocron-7995213" TargetMode="External"/><Relationship  Id="rId784" Type="http://schemas.openxmlformats.org/officeDocument/2006/relationships/hyperlink" Target="http://fivo.fr" TargetMode="External"/><Relationship  Id="rId785" Type="http://schemas.openxmlformats.org/officeDocument/2006/relationships/hyperlink" Target="http://www.linkedin.com/company/fivosecuriteincendie" TargetMode="External"/><Relationship  Id="rId786" Type="http://schemas.openxmlformats.org/officeDocument/2006/relationships/hyperlink" Target="https://www.facebook.com/Fivosecuriteincendie/" TargetMode="External"/><Relationship  Id="rId787" Type="http://schemas.openxmlformats.org/officeDocument/2006/relationships/hyperlink" Target="http://www.linkedin.com/in/emmanuel-mignot-45474a3" TargetMode="External"/><Relationship  Id="rId788" Type="http://schemas.openxmlformats.org/officeDocument/2006/relationships/hyperlink" Target="http://datapilot.fr" TargetMode="External"/><Relationship  Id="rId789" Type="http://schemas.openxmlformats.org/officeDocument/2006/relationships/hyperlink" Target="http://www.linkedin.com/company/datapilot-fr" TargetMode="External"/><Relationship  Id="rId79" Type="http://schemas.openxmlformats.org/officeDocument/2006/relationships/hyperlink" Target="http://bredhill.com" TargetMode="External"/><Relationship  Id="rId790" Type="http://schemas.openxmlformats.org/officeDocument/2006/relationships/hyperlink" Target="http://www.linkedin.com/in/emilien-granger-10854b106" TargetMode="External"/><Relationship  Id="rId791" Type="http://schemas.openxmlformats.org/officeDocument/2006/relationships/hyperlink" Target="http://atpr.fr" TargetMode="External"/><Relationship  Id="rId792" Type="http://schemas.openxmlformats.org/officeDocument/2006/relationships/hyperlink" Target="http://www.linkedin.com/company/atpr" TargetMode="External"/><Relationship  Id="rId793" Type="http://schemas.openxmlformats.org/officeDocument/2006/relationships/hyperlink" Target="http://www.linkedin.com/in/emmanuel-mas-ba345390" TargetMode="External"/><Relationship  Id="rId794" Type="http://schemas.openxmlformats.org/officeDocument/2006/relationships/hyperlink" Target="http://techno-point.com" TargetMode="External"/><Relationship  Id="rId795" Type="http://schemas.openxmlformats.org/officeDocument/2006/relationships/hyperlink" Target="http://www.linkedin.com/company/technopoint" TargetMode="External"/><Relationship  Id="rId796" Type="http://schemas.openxmlformats.org/officeDocument/2006/relationships/hyperlink" Target="http://www.linkedin.com/in/emmanuel-richard-ba87411" TargetMode="External"/><Relationship  Id="rId797" Type="http://schemas.openxmlformats.org/officeDocument/2006/relationships/hyperlink" Target="http://www.linkedin.com/company/la-maison-d&apos;alfred" TargetMode="External"/><Relationship  Id="rId798" Type="http://schemas.openxmlformats.org/officeDocument/2006/relationships/hyperlink" Target="https://twitter.com/ezecchini" TargetMode="External"/><Relationship  Id="rId799" Type="http://schemas.openxmlformats.org/officeDocument/2006/relationships/hyperlink" Target="http://www.linkedin.com/in/emmanuelzecchini" TargetMode="External"/><Relationship  Id="rId8" Type="http://schemas.openxmlformats.org/officeDocument/2006/relationships/hyperlink" Target="http://www.linkedin.com/company/aldene-sa" TargetMode="External"/><Relationship  Id="rId80" Type="http://schemas.openxmlformats.org/officeDocument/2006/relationships/hyperlink" Target="http://www.linkedin.com/company/bredhill-consulting" TargetMode="External"/><Relationship  Id="rId800" Type="http://schemas.openxmlformats.org/officeDocument/2006/relationships/hyperlink" Target="http://www.linkedin.com/company/pl%c3%a9iades" TargetMode="External"/><Relationship  Id="rId801" Type="http://schemas.openxmlformats.org/officeDocument/2006/relationships/hyperlink" Target="http://www.linkedin.com/in/emmanuelle-jehanno-8035763" TargetMode="External"/><Relationship  Id="rId802" Type="http://schemas.openxmlformats.org/officeDocument/2006/relationships/hyperlink" Target="http://inentech.fr" TargetMode="External"/><Relationship  Id="rId803" Type="http://schemas.openxmlformats.org/officeDocument/2006/relationships/hyperlink" Target="http://www.linkedin.com/company/inentech" TargetMode="External"/><Relationship  Id="rId804" Type="http://schemas.openxmlformats.org/officeDocument/2006/relationships/hyperlink" Target="http://www.linkedin.com/in/eric-carpentier-33462411" TargetMode="External"/><Relationship  Id="rId805" Type="http://schemas.openxmlformats.org/officeDocument/2006/relationships/hyperlink" Target="http://nuabee.fr" TargetMode="External"/><Relationship  Id="rId806" Type="http://schemas.openxmlformats.org/officeDocument/2006/relationships/hyperlink" Target="http://www.linkedin.com/company/nuabee" TargetMode="External"/><Relationship  Id="rId807" Type="http://schemas.openxmlformats.org/officeDocument/2006/relationships/hyperlink" Target="http://www.linkedin.com/in/deronzier" TargetMode="External"/><Relationship  Id="rId808" Type="http://schemas.openxmlformats.org/officeDocument/2006/relationships/hyperlink" Target="http://mobileo-telecom.fr" TargetMode="External"/><Relationship  Id="rId809" Type="http://schemas.openxmlformats.org/officeDocument/2006/relationships/hyperlink" Target="http://www.linkedin.com/company/mobileo-telecom" TargetMode="External"/><Relationship  Id="rId81" Type="http://schemas.openxmlformats.org/officeDocument/2006/relationships/hyperlink" Target="http://www.linkedin.com/in/antoine-de-bellescize-3407493" TargetMode="External"/><Relationship  Id="rId810" Type="http://schemas.openxmlformats.org/officeDocument/2006/relationships/hyperlink" Target="http://www.linkedin.com/in/eric-kffanto-042b843b" TargetMode="External"/><Relationship  Id="rId811" Type="http://schemas.openxmlformats.org/officeDocument/2006/relationships/hyperlink" Target="http://www.linkedin.com/in/eric-martin-85813a6" TargetMode="External"/><Relationship  Id="rId812" Type="http://schemas.openxmlformats.org/officeDocument/2006/relationships/hyperlink" Target="http://leclere.fr" TargetMode="External"/><Relationship  Id="rId813" Type="http://schemas.openxmlformats.org/officeDocument/2006/relationships/hyperlink" Target="http://www.linkedin.com/company/leclere-sas" TargetMode="External"/><Relationship  Id="rId814" Type="http://schemas.openxmlformats.org/officeDocument/2006/relationships/hyperlink" Target="https://www.facebook.com/leclere26/" TargetMode="External"/><Relationship  Id="rId815" Type="http://schemas.openxmlformats.org/officeDocument/2006/relationships/hyperlink" Target="http://www.linkedin.com/in/eric-perret-65b889146" TargetMode="External"/><Relationship  Id="rId816" Type="http://schemas.openxmlformats.org/officeDocument/2006/relationships/hyperlink" Target="http://drdata.io" TargetMode="External"/><Relationship  Id="rId817" Type="http://schemas.openxmlformats.org/officeDocument/2006/relationships/hyperlink" Target="http://www.linkedin.com/company/drdata-sas" TargetMode="External"/><Relationship  Id="rId818" Type="http://schemas.openxmlformats.org/officeDocument/2006/relationships/hyperlink" Target="http://www.linkedin.com/in/eric-tanneau-631883b7" TargetMode="External"/><Relationship  Id="rId819" Type="http://schemas.openxmlformats.org/officeDocument/2006/relationships/hyperlink" Target="http://bimer.fr" TargetMode="External"/><Relationship  Id="rId82" Type="http://schemas.openxmlformats.org/officeDocument/2006/relationships/hyperlink" Target="http://rihet.com" TargetMode="External"/><Relationship  Id="rId820" Type="http://schemas.openxmlformats.org/officeDocument/2006/relationships/hyperlink" Target="http://www.linkedin.com/company/bimer-services" TargetMode="External"/><Relationship  Id="rId821" Type="http://schemas.openxmlformats.org/officeDocument/2006/relationships/hyperlink" Target="http://www.linkedin.com/in/ericmatifas" TargetMode="External"/><Relationship  Id="rId822" Type="http://schemas.openxmlformats.org/officeDocument/2006/relationships/hyperlink" Target="http://digitizme.io" TargetMode="External"/><Relationship  Id="rId823" Type="http://schemas.openxmlformats.org/officeDocument/2006/relationships/hyperlink" Target="http://www.linkedin.com/company/digitizme" TargetMode="External"/><Relationship  Id="rId824" Type="http://schemas.openxmlformats.org/officeDocument/2006/relationships/hyperlink" Target="http://www.linkedin.com/in/chaixeric01" TargetMode="External"/><Relationship  Id="rId825" Type="http://schemas.openxmlformats.org/officeDocument/2006/relationships/hyperlink" Target="http://tabfrance.fr" TargetMode="External"/><Relationship  Id="rId826" Type="http://schemas.openxmlformats.org/officeDocument/2006/relationships/hyperlink" Target="http://www.linkedin.com/company/tabboardsentrepeneurs" TargetMode="External"/><Relationship  Id="rId827" Type="http://schemas.openxmlformats.org/officeDocument/2006/relationships/hyperlink" Target="http://www.linkedin.com/in/eric-labruyere-3384a321" TargetMode="External"/><Relationship  Id="rId828" Type="http://schemas.openxmlformats.org/officeDocument/2006/relationships/hyperlink" Target="http://groupe-innov.fr" TargetMode="External"/><Relationship  Id="rId829" Type="http://schemas.openxmlformats.org/officeDocument/2006/relationships/hyperlink" Target="http://www.linkedin.com/company/groupe-innov" TargetMode="External"/><Relationship  Id="rId83" Type="http://schemas.openxmlformats.org/officeDocument/2006/relationships/hyperlink" Target="http://www.linkedin.com/company/sas-rihet" TargetMode="External"/><Relationship  Id="rId830" Type="http://schemas.openxmlformats.org/officeDocument/2006/relationships/hyperlink" Target="http://www.linkedin.com/in/elie-sebban-028599127" TargetMode="External"/><Relationship  Id="rId831" Type="http://schemas.openxmlformats.org/officeDocument/2006/relationships/hyperlink" Target="http://eutech.fr" TargetMode="External"/><Relationship  Id="rId832" Type="http://schemas.openxmlformats.org/officeDocument/2006/relationships/hyperlink" Target="http://www.linkedin.com/company/eutech" TargetMode="External"/><Relationship  Id="rId833" Type="http://schemas.openxmlformats.org/officeDocument/2006/relationships/hyperlink" Target="http://www.linkedin.com/in/ernesto-soares-2371423" TargetMode="External"/><Relationship  Id="rId834" Type="http://schemas.openxmlformats.org/officeDocument/2006/relationships/hyperlink" Target="http://regata.fr" TargetMode="External"/><Relationship  Id="rId835" Type="http://schemas.openxmlformats.org/officeDocument/2006/relationships/hyperlink" Target="http://www.linkedin.com/company/regatafrance" TargetMode="External"/><Relationship  Id="rId836" Type="http://schemas.openxmlformats.org/officeDocument/2006/relationships/hyperlink" Target="https://www.facebook.com/Regata.officiel" TargetMode="External"/><Relationship  Id="rId837" Type="http://schemas.openxmlformats.org/officeDocument/2006/relationships/hyperlink" Target="http://www.linkedin.com/in/etienne-le-priol-4913228a" TargetMode="External"/><Relationship  Id="rId838" Type="http://schemas.openxmlformats.org/officeDocument/2006/relationships/hyperlink" Target="http://www.linkedin.com/in/loirp" TargetMode="External"/><Relationship  Id="rId839" Type="http://schemas.openxmlformats.org/officeDocument/2006/relationships/hyperlink" Target="http://www.linkedin.com/company/wearesupercolor" TargetMode="External"/><Relationship  Id="rId84" Type="http://schemas.openxmlformats.org/officeDocument/2006/relationships/hyperlink" Target="https://www.facebook.com/sasrihet/" TargetMode="External"/><Relationship  Id="rId840" Type="http://schemas.openxmlformats.org/officeDocument/2006/relationships/hyperlink" Target="https://www.twitter.com/wearesupercolor" TargetMode="External"/><Relationship  Id="rId841" Type="http://schemas.openxmlformats.org/officeDocument/2006/relationships/hyperlink" Target="https://www.facebook.com/supercolor.cool" TargetMode="External"/><Relationship  Id="rId842" Type="http://schemas.openxmlformats.org/officeDocument/2006/relationships/hyperlink" Target="http://www.linkedin.com/in/etiennedumas" TargetMode="External"/><Relationship  Id="rId843" Type="http://schemas.openxmlformats.org/officeDocument/2006/relationships/hyperlink" Target="http://groupe-freecom.fr" TargetMode="External"/><Relationship  Id="rId844" Type="http://schemas.openxmlformats.org/officeDocument/2006/relationships/hyperlink" Target="http://www.linkedin.com/company/groupe-freecom" TargetMode="External"/><Relationship  Id="rId845" Type="http://schemas.openxmlformats.org/officeDocument/2006/relationships/hyperlink" Target="https://www.facebook.com/groupe.freecom/" TargetMode="External"/><Relationship  Id="rId846" Type="http://schemas.openxmlformats.org/officeDocument/2006/relationships/hyperlink" Target="http://www.linkedin.com/in/fran%c3%a7ois-benard-73748ab4" TargetMode="External"/><Relationship  Id="rId847" Type="http://schemas.openxmlformats.org/officeDocument/2006/relationships/hyperlink" Target="http://alpha-cim.com" TargetMode="External"/><Relationship  Id="rId848" Type="http://schemas.openxmlformats.org/officeDocument/2006/relationships/hyperlink" Target="http://www.linkedin.com/company/alpha-cim" TargetMode="External"/><Relationship  Id="rId849" Type="http://schemas.openxmlformats.org/officeDocument/2006/relationships/hyperlink" Target="http://www.linkedin.com/in/francoise-boucarut-82418871" TargetMode="External"/><Relationship  Id="rId85" Type="http://schemas.openxmlformats.org/officeDocument/2006/relationships/hyperlink" Target="http://www.linkedin.com/in/adriencaro" TargetMode="External"/><Relationship  Id="rId850" Type="http://schemas.openxmlformats.org/officeDocument/2006/relationships/hyperlink" Target="http://nivalis-conseil.fr" TargetMode="External"/><Relationship  Id="rId851" Type="http://schemas.openxmlformats.org/officeDocument/2006/relationships/hyperlink" Target="http://www.linkedin.com/company/nivalis-conseil" TargetMode="External"/><Relationship  Id="rId852" Type="http://schemas.openxmlformats.org/officeDocument/2006/relationships/hyperlink" Target="http://facebook.com/NivalisC" TargetMode="External"/><Relationship  Id="rId853" Type="http://schemas.openxmlformats.org/officeDocument/2006/relationships/hyperlink" Target="http://www.linkedin.com/in/fabienne-ciron-852199104" TargetMode="External"/><Relationship  Id="rId854" Type="http://schemas.openxmlformats.org/officeDocument/2006/relationships/hyperlink" Target="http://itelia.fr" TargetMode="External"/><Relationship  Id="rId855" Type="http://schemas.openxmlformats.org/officeDocument/2006/relationships/hyperlink" Target="http://www.linkedin.com/company/iteliat-l-com" TargetMode="External"/><Relationship  Id="rId856" Type="http://schemas.openxmlformats.org/officeDocument/2006/relationships/hyperlink" Target="https://www.facebook.com/Iteliatelecom/" TargetMode="External"/><Relationship  Id="rId857" Type="http://schemas.openxmlformats.org/officeDocument/2006/relationships/hyperlink" Target="http://www.linkedin.com/in/fabien-duffes-01367a105" TargetMode="External"/><Relationship  Id="rId858" Type="http://schemas.openxmlformats.org/officeDocument/2006/relationships/hyperlink" Target="http://best-telecom.fr" TargetMode="External"/><Relationship  Id="rId859" Type="http://schemas.openxmlformats.org/officeDocument/2006/relationships/hyperlink" Target="http://www.linkedin.com/company/best-telecom-reseaux" TargetMode="External"/><Relationship  Id="rId86" Type="http://schemas.openxmlformats.org/officeDocument/2006/relationships/hyperlink" Target="http://www.linkedin.com/company/shodo-nantes" TargetMode="External"/><Relationship  Id="rId860" Type="http://schemas.openxmlformats.org/officeDocument/2006/relationships/hyperlink" Target="http://www.linkedin.com/in/fredericfouche" TargetMode="External"/><Relationship  Id="rId861" Type="http://schemas.openxmlformats.org/officeDocument/2006/relationships/hyperlink" Target="http://geometre-expert-paris.fr" TargetMode="External"/><Relationship  Id="rId862" Type="http://schemas.openxmlformats.org/officeDocument/2006/relationships/hyperlink" Target="http://www.linkedin.com/company/ge3d---g%c3%a9om%c3%a8tres-experts-associ%c3%a9s" TargetMode="External"/><Relationship  Id="rId863" Type="http://schemas.openxmlformats.org/officeDocument/2006/relationships/hyperlink" Target="http://www.linkedin.com/in/florian-herv%c3%a9-a389a742" TargetMode="External"/><Relationship  Id="rId864" Type="http://schemas.openxmlformats.org/officeDocument/2006/relationships/hyperlink" Target="http://www.linkedin.com/company/stellagroup1" TargetMode="External"/><Relationship  Id="rId865" Type="http://schemas.openxmlformats.org/officeDocument/2006/relationships/hyperlink" Target="http://www.linkedin.com/in/frank-sch%c3%a4dlich-b0051314b" TargetMode="External"/><Relationship  Id="rId866" Type="http://schemas.openxmlformats.org/officeDocument/2006/relationships/hyperlink" Target="http://www.linkedin.com/company/isitecc" TargetMode="External"/><Relationship  Id="rId867" Type="http://schemas.openxmlformats.org/officeDocument/2006/relationships/hyperlink" Target="http://www.linkedin.com/in/florent-tonson-527b5854" TargetMode="External"/><Relationship  Id="rId868" Type="http://schemas.openxmlformats.org/officeDocument/2006/relationships/hyperlink" Target="http://hanabi-consulting.com" TargetMode="External"/><Relationship  Id="rId869" Type="http://schemas.openxmlformats.org/officeDocument/2006/relationships/hyperlink" Target="http://www.linkedin.com/company/we-are-hanabi" TargetMode="External"/><Relationship  Id="rId87" Type="http://schemas.openxmlformats.org/officeDocument/2006/relationships/hyperlink" Target="http://www.linkedin.com/in/adriencruchon" TargetMode="External"/><Relationship  Id="rId870" Type="http://schemas.openxmlformats.org/officeDocument/2006/relationships/hyperlink" Target="http://www.linkedin.com/in/fabien-donadey-4a4b4a3b" TargetMode="External"/><Relationship  Id="rId871" Type="http://schemas.openxmlformats.org/officeDocument/2006/relationships/hyperlink" Target="http://phoenix-fleetexpert.com" TargetMode="External"/><Relationship  Id="rId872" Type="http://schemas.openxmlformats.org/officeDocument/2006/relationships/hyperlink" Target="http://www.linkedin.com/company/phoenixdeveloppement" TargetMode="External"/><Relationship  Id="rId873" Type="http://schemas.openxmlformats.org/officeDocument/2006/relationships/hyperlink" Target="http://www.linkedin.com/in/fabien-goussault-29551191" TargetMode="External"/><Relationship  Id="rId874" Type="http://schemas.openxmlformats.org/officeDocument/2006/relationships/hyperlink" Target="http://qonex.fr" TargetMode="External"/><Relationship  Id="rId875" Type="http://schemas.openxmlformats.org/officeDocument/2006/relationships/hyperlink" Target="http://www.linkedin.com/company/qonexgroup" TargetMode="External"/><Relationship  Id="rId876" Type="http://schemas.openxmlformats.org/officeDocument/2006/relationships/hyperlink" Target="http://www.linkedin.com/in/fabien-henaff" TargetMode="External"/><Relationship  Id="rId877" Type="http://schemas.openxmlformats.org/officeDocument/2006/relationships/hyperlink" Target="http://vision-si.com" TargetMode="External"/><Relationship  Id="rId878" Type="http://schemas.openxmlformats.org/officeDocument/2006/relationships/hyperlink" Target="http://www.linkedin.com/company/visionsi" TargetMode="External"/><Relationship  Id="rId879" Type="http://schemas.openxmlformats.org/officeDocument/2006/relationships/hyperlink" Target="http://www.linkedin.com/in/fabien-girault-visionsi" TargetMode="External"/><Relationship  Id="rId88" Type="http://schemas.openxmlformats.org/officeDocument/2006/relationships/hyperlink" Target="http://carretta.fr" TargetMode="External"/><Relationship  Id="rId880" Type="http://schemas.openxmlformats.org/officeDocument/2006/relationships/hyperlink" Target="http://ecom-cs.com" TargetMode="External"/><Relationship  Id="rId881" Type="http://schemas.openxmlformats.org/officeDocument/2006/relationships/hyperlink" Target="http://www.linkedin.com/company/ecom-cs" TargetMode="External"/><Relationship  Id="rId882" Type="http://schemas.openxmlformats.org/officeDocument/2006/relationships/hyperlink" Target="http://www.linkedin.com/in/fabrice-poiraud-lambert-04a2a9" TargetMode="External"/><Relationship  Id="rId883" Type="http://schemas.openxmlformats.org/officeDocument/2006/relationships/hyperlink" Target="http://valocime.fr" TargetMode="External"/><Relationship  Id="rId884" Type="http://schemas.openxmlformats.org/officeDocument/2006/relationships/hyperlink" Target="http://www.linkedin.com/company/valoc%c3%aeme" TargetMode="External"/><Relationship  Id="rId885" Type="http://schemas.openxmlformats.org/officeDocument/2006/relationships/hyperlink" Target="http://www.linkedin.com/in/fboyer" TargetMode="External"/><Relationship  Id="rId886" Type="http://schemas.openxmlformats.org/officeDocument/2006/relationships/hyperlink" Target="http://sprid.fr" TargetMode="External"/><Relationship  Id="rId887" Type="http://schemas.openxmlformats.org/officeDocument/2006/relationships/hyperlink" Target="http://www.linkedin.com/company/sprid-peinture" TargetMode="External"/><Relationship  Id="rId888" Type="http://schemas.openxmlformats.org/officeDocument/2006/relationships/hyperlink" Target="http://www.linkedin.com/in/fr%c3%a9d%c3%a9ric-duchenne-3713906b" TargetMode="External"/><Relationship  Id="rId889" Type="http://schemas.openxmlformats.org/officeDocument/2006/relationships/hyperlink" Target="http://regate.fr" TargetMode="External"/><Relationship  Id="rId89" Type="http://schemas.openxmlformats.org/officeDocument/2006/relationships/hyperlink" Target="http://www.linkedin.com/company/carrettabatiment" TargetMode="External"/><Relationship  Id="rId890" Type="http://schemas.openxmlformats.org/officeDocument/2006/relationships/hyperlink" Target="http://www.linkedin.com/company/regate-coop%c3%a9ratives-d-entrepreneurs" TargetMode="External"/><Relationship  Id="rId891" Type="http://schemas.openxmlformats.org/officeDocument/2006/relationships/hyperlink" Target="https://www.facebook.com/CaeRegateRegabat" TargetMode="External"/><Relationship  Id="rId892" Type="http://schemas.openxmlformats.org/officeDocument/2006/relationships/hyperlink" Target="http://www.linkedin.com/in/felicie-domene-0a569682" TargetMode="External"/><Relationship  Id="rId893" Type="http://schemas.openxmlformats.org/officeDocument/2006/relationships/hyperlink" Target="http://www.linkedin.com/company/pod-consulting-paris" TargetMode="External"/><Relationship  Id="rId894" Type="http://schemas.openxmlformats.org/officeDocument/2006/relationships/hyperlink" Target="http://www.linkedin.com/in/fabienne-elliott-99233ab9" TargetMode="External"/><Relationship  Id="rId895" Type="http://schemas.openxmlformats.org/officeDocument/2006/relationships/hyperlink" Target="http://concorde-associes.fr" TargetMode="External"/><Relationship  Id="rId896" Type="http://schemas.openxmlformats.org/officeDocument/2006/relationships/hyperlink" Target="http://www.linkedin.com/company/concorde-associes" TargetMode="External"/><Relationship  Id="rId897" Type="http://schemas.openxmlformats.org/officeDocument/2006/relationships/hyperlink" Target="http://www.linkedin.com/in/fr%c3%a9d%c3%a9ric-francois-30ba4812" TargetMode="External"/><Relationship  Id="rId898" Type="http://schemas.openxmlformats.org/officeDocument/2006/relationships/hyperlink" Target="http://champagnerepro.fr" TargetMode="External"/><Relationship  Id="rId899" Type="http://schemas.openxmlformats.org/officeDocument/2006/relationships/hyperlink" Target="http://www.linkedin.com/company/digitaliance51350" TargetMode="External"/><Relationship  Id="rId9" Type="http://schemas.openxmlformats.org/officeDocument/2006/relationships/hyperlink" Target="http://www.linkedin.com/in/alain-coissard" TargetMode="External"/><Relationship  Id="rId90" Type="http://schemas.openxmlformats.org/officeDocument/2006/relationships/hyperlink" Target="http://www.linkedin.com/in/adrien-carretta-7896801b9" TargetMode="External"/><Relationship  Id="rId900" Type="http://schemas.openxmlformats.org/officeDocument/2006/relationships/hyperlink" Target="http://www.linkedin.com/in/fran%c3%a7ois-gardebled-28a65b10" TargetMode="External"/><Relationship  Id="rId901" Type="http://schemas.openxmlformats.org/officeDocument/2006/relationships/hyperlink" Target="http://neotess.fr" TargetMode="External"/><Relationship  Id="rId902" Type="http://schemas.openxmlformats.org/officeDocument/2006/relationships/hyperlink" Target="http://www.linkedin.com/company/neotess" TargetMode="External"/><Relationship  Id="rId903" Type="http://schemas.openxmlformats.org/officeDocument/2006/relationships/hyperlink" Target="https://twitter.com/neotess" TargetMode="External"/><Relationship  Id="rId904" Type="http://schemas.openxmlformats.org/officeDocument/2006/relationships/hyperlink" Target="https://fr-fr.facebook.com/NeotessAffichageDynamique/" TargetMode="External"/><Relationship  Id="rId905" Type="http://schemas.openxmlformats.org/officeDocument/2006/relationships/hyperlink" Target="http://www.linkedin.com/in/franckgotte" TargetMode="External"/><Relationship  Id="rId906" Type="http://schemas.openxmlformats.org/officeDocument/2006/relationships/hyperlink" Target="http://www.linkedin.com/company/telesure" TargetMode="External"/><Relationship  Id="rId907" Type="http://schemas.openxmlformats.org/officeDocument/2006/relationships/hyperlink" Target="http://www.linkedin.com/in/franck-lebled-telesure-7ab248158" TargetMode="External"/><Relationship  Id="rId908" Type="http://schemas.openxmlformats.org/officeDocument/2006/relationships/hyperlink" Target="http://icdint.fr" TargetMode="External"/><Relationship  Id="rId909" Type="http://schemas.openxmlformats.org/officeDocument/2006/relationships/hyperlink" Target="http://www.linkedin.com/company/icd-international-icdsc" TargetMode="External"/><Relationship  Id="rId91" Type="http://schemas.openxmlformats.org/officeDocument/2006/relationships/hyperlink" Target="http://opstim.fr" TargetMode="External"/><Relationship  Id="rId910" Type="http://schemas.openxmlformats.org/officeDocument/2006/relationships/hyperlink" Target="http://www.linkedin.com/in/florence-naudin-7044ba21" TargetMode="External"/><Relationship  Id="rId911" Type="http://schemas.openxmlformats.org/officeDocument/2006/relationships/hyperlink" Target="http://enence.fr" TargetMode="External"/><Relationship  Id="rId912" Type="http://schemas.openxmlformats.org/officeDocument/2006/relationships/hyperlink" Target="http://www.linkedin.com/company/enence-ingenierie-industrie-travaux-recrutement-achats-hse-petrole-gaz-oil-tuyauterie-supervision" TargetMode="External"/><Relationship  Id="rId913" Type="http://schemas.openxmlformats.org/officeDocument/2006/relationships/hyperlink" Target="https://twitter.com/EnenceIndustrie" TargetMode="External"/><Relationship  Id="rId914" Type="http://schemas.openxmlformats.org/officeDocument/2006/relationships/hyperlink" Target="http://www.linkedin.com/in/florence-dibon" TargetMode="External"/><Relationship  Id="rId915" Type="http://schemas.openxmlformats.org/officeDocument/2006/relationships/hyperlink" Target="http://izhak.fr" TargetMode="External"/><Relationship  Id="rId916" Type="http://schemas.openxmlformats.org/officeDocument/2006/relationships/hyperlink" Target="http://www.linkedin.com/company/izhak" TargetMode="External"/><Relationship  Id="rId917" Type="http://schemas.openxmlformats.org/officeDocument/2006/relationships/hyperlink" Target="https://twitter.com/izhak_agency" TargetMode="External"/><Relationship  Id="rId918" Type="http://schemas.openxmlformats.org/officeDocument/2006/relationships/hyperlink" Target="https://www.facebook.com/izhakagency" TargetMode="External"/><Relationship  Id="rId919" Type="http://schemas.openxmlformats.org/officeDocument/2006/relationships/hyperlink" Target="http://www.linkedin.com/in/florence-lickel-a285a732" TargetMode="External"/><Relationship  Id="rId92" Type="http://schemas.openxmlformats.org/officeDocument/2006/relationships/hyperlink" Target="http://www.linkedin.com/company/opstim-france" TargetMode="External"/><Relationship  Id="rId920" Type="http://schemas.openxmlformats.org/officeDocument/2006/relationships/hyperlink" Target="http://www.linkedin.com/company/lunabeestudio" TargetMode="External"/><Relationship  Id="rId921" Type="http://schemas.openxmlformats.org/officeDocument/2006/relationships/hyperlink" Target="https://twitter.com/lunabeeStudio" TargetMode="External"/><Relationship  Id="rId922" Type="http://schemas.openxmlformats.org/officeDocument/2006/relationships/hyperlink" Target="https://www.facebook.com/lunabeeStudio" TargetMode="External"/><Relationship  Id="rId923" Type="http://schemas.openxmlformats.org/officeDocument/2006/relationships/hyperlink" Target="http://www.linkedin.com/in/florian-n-gbala-7b8b18154" TargetMode="External"/><Relationship  Id="rId924" Type="http://schemas.openxmlformats.org/officeDocument/2006/relationships/hyperlink" Target="http://hozzeo.com" TargetMode="External"/><Relationship  Id="rId925" Type="http://schemas.openxmlformats.org/officeDocument/2006/relationships/hyperlink" Target="http://www.linkedin.com/company/hozzeo-group" TargetMode="External"/><Relationship  Id="rId926" Type="http://schemas.openxmlformats.org/officeDocument/2006/relationships/hyperlink" Target="http://www.linkedin.com/in/florian-ondel-17a24911b" TargetMode="External"/><Relationship  Id="rId927" Type="http://schemas.openxmlformats.org/officeDocument/2006/relationships/hyperlink" Target="http://astridsen.com" TargetMode="External"/><Relationship  Id="rId928" Type="http://schemas.openxmlformats.org/officeDocument/2006/relationships/hyperlink" Target="http://www.linkedin.com/company/astridsen" TargetMode="External"/><Relationship  Id="rId929" Type="http://schemas.openxmlformats.org/officeDocument/2006/relationships/hyperlink" Target="http://www.linkedin.com/in/florian-poilbout-2a394663" TargetMode="External"/><Relationship  Id="rId93" Type="http://schemas.openxmlformats.org/officeDocument/2006/relationships/hyperlink" Target="http://www.linkedin.com/in/arnaud-dumas-3321b9a7" TargetMode="External"/><Relationship  Id="rId930" Type="http://schemas.openxmlformats.org/officeDocument/2006/relationships/hyperlink" Target="http://cti-sa.fr" TargetMode="External"/><Relationship  Id="rId931" Type="http://schemas.openxmlformats.org/officeDocument/2006/relationships/hyperlink" Target="http://www.linkedin.com/company/cti-chaulnes-textiles-industries-" TargetMode="External"/><Relationship  Id="rId932" Type="http://schemas.openxmlformats.org/officeDocument/2006/relationships/hyperlink" Target="https://www.facebook.com/omydreamfr/" TargetMode="External"/><Relationship  Id="rId933" Type="http://schemas.openxmlformats.org/officeDocument/2006/relationships/hyperlink" Target="http://www.linkedin.com/in/fabienne-motteroz-0088352a" TargetMode="External"/><Relationship  Id="rId934" Type="http://schemas.openxmlformats.org/officeDocument/2006/relationships/hyperlink" Target="http://tecodata.fr" TargetMode="External"/><Relationship  Id="rId935" Type="http://schemas.openxmlformats.org/officeDocument/2006/relationships/hyperlink" Target="http://www.linkedin.com/company/tecodata" TargetMode="External"/><Relationship  Id="rId936" Type="http://schemas.openxmlformats.org/officeDocument/2006/relationships/hyperlink" Target="http://www.linkedin.com/in/faouzi-mourali-8b51956a" TargetMode="External"/><Relationship  Id="rId937" Type="http://schemas.openxmlformats.org/officeDocument/2006/relationships/hyperlink" Target="http://ygl-consulting.com" TargetMode="External"/><Relationship  Id="rId938" Type="http://schemas.openxmlformats.org/officeDocument/2006/relationships/hyperlink" Target="http://www.linkedin.com/company/ygl-consulting" TargetMode="External"/><Relationship  Id="rId939" Type="http://schemas.openxmlformats.org/officeDocument/2006/relationships/hyperlink" Target="https://twitter.com/yglconsulting" TargetMode="External"/><Relationship  Id="rId94" Type="http://schemas.openxmlformats.org/officeDocument/2006/relationships/hyperlink" Target="http://attitude-si.com" TargetMode="External"/><Relationship  Id="rId940" Type="http://schemas.openxmlformats.org/officeDocument/2006/relationships/hyperlink" Target="https://www.facebook.com/yglconsulting" TargetMode="External"/><Relationship  Id="rId941" Type="http://schemas.openxmlformats.org/officeDocument/2006/relationships/hyperlink" Target="http://www.linkedin.com/in/franck-zana" TargetMode="External"/><Relationship  Id="rId942" Type="http://schemas.openxmlformats.org/officeDocument/2006/relationships/hyperlink" Target="http://market-office.com" TargetMode="External"/><Relationship  Id="rId943" Type="http://schemas.openxmlformats.org/officeDocument/2006/relationships/hyperlink" Target="http://www.linkedin.com/company/marketoffice" TargetMode="External"/><Relationship  Id="rId944" Type="http://schemas.openxmlformats.org/officeDocument/2006/relationships/hyperlink" Target="https://facebook.com/market.office.fr" TargetMode="External"/><Relationship  Id="rId945" Type="http://schemas.openxmlformats.org/officeDocument/2006/relationships/hyperlink" Target="http://www.linkedin.com/in/franck-agier-30a550b5" TargetMode="External"/><Relationship  Id="rId946" Type="http://schemas.openxmlformats.org/officeDocument/2006/relationships/hyperlink" Target="http://moove-si.com" TargetMode="External"/><Relationship  Id="rId947" Type="http://schemas.openxmlformats.org/officeDocument/2006/relationships/hyperlink" Target="http://www.linkedin.com/company/moove-si" TargetMode="External"/><Relationship  Id="rId948" Type="http://schemas.openxmlformats.org/officeDocument/2006/relationships/hyperlink" Target="http://www.linkedin.com/in/franckritter" TargetMode="External"/><Relationship  Id="rId949" Type="http://schemas.openxmlformats.org/officeDocument/2006/relationships/hyperlink" Target="http://cira-technologie.com" TargetMode="External"/><Relationship  Id="rId95" Type="http://schemas.openxmlformats.org/officeDocument/2006/relationships/hyperlink" Target="http://www.linkedin.com/company/attitude-si" TargetMode="External"/><Relationship  Id="rId950" Type="http://schemas.openxmlformats.org/officeDocument/2006/relationships/hyperlink" Target="http://www.linkedin.com/company/cira-technologie" TargetMode="External"/><Relationship  Id="rId951" Type="http://schemas.openxmlformats.org/officeDocument/2006/relationships/hyperlink" Target="http://www.linkedin.com/in/franckrivet" TargetMode="External"/><Relationship  Id="rId952" Type="http://schemas.openxmlformats.org/officeDocument/2006/relationships/hyperlink" Target="http://overlap-factory.com" TargetMode="External"/><Relationship  Id="rId953" Type="http://schemas.openxmlformats.org/officeDocument/2006/relationships/hyperlink" Target="http://www.linkedin.com/company/theoverlapfactory" TargetMode="External"/><Relationship  Id="rId954" Type="http://schemas.openxmlformats.org/officeDocument/2006/relationships/hyperlink" Target="http://www.linkedin.com/in/fran%c3%a7ois-xavier-goemaere-538aa2a1" TargetMode="External"/><Relationship  Id="rId955" Type="http://schemas.openxmlformats.org/officeDocument/2006/relationships/hyperlink" Target="http://ducatillon.com" TargetMode="External"/><Relationship  Id="rId956" Type="http://schemas.openxmlformats.org/officeDocument/2006/relationships/hyperlink" Target="http://www.linkedin.com/company/ducatillon" TargetMode="External"/><Relationship  Id="rId957" Type="http://schemas.openxmlformats.org/officeDocument/2006/relationships/hyperlink" Target="https://fr-fr.facebook.com/pages/Etablissements-Ducatillon/148480065182964" TargetMode="External"/><Relationship  Id="rId958" Type="http://schemas.openxmlformats.org/officeDocument/2006/relationships/hyperlink" Target="http://www.linkedin.com/in/fmichalski" TargetMode="External"/><Relationship  Id="rId959" Type="http://schemas.openxmlformats.org/officeDocument/2006/relationships/hyperlink" Target="http://modalbgroup.com" TargetMode="External"/><Relationship  Id="rId96" Type="http://schemas.openxmlformats.org/officeDocument/2006/relationships/hyperlink" Target="https://www.facebook.com/attitude.si.solutions.informatiques" TargetMode="External"/><Relationship  Id="rId960" Type="http://schemas.openxmlformats.org/officeDocument/2006/relationships/hyperlink" Target="http://www.linkedin.com/company/modalb" TargetMode="External"/><Relationship  Id="rId961" Type="http://schemas.openxmlformats.org/officeDocument/2006/relationships/hyperlink" Target="https://twitter.com/_modalb" TargetMode="External"/><Relationship  Id="rId962" Type="http://schemas.openxmlformats.org/officeDocument/2006/relationships/hyperlink" Target="http://www.linkedin.com/in/fran%c3%a7ois-michel-225318172" TargetMode="External"/><Relationship  Id="rId963" Type="http://schemas.openxmlformats.org/officeDocument/2006/relationships/hyperlink" Target="http://getalead.co" TargetMode="External"/><Relationship  Id="rId964" Type="http://schemas.openxmlformats.org/officeDocument/2006/relationships/hyperlink" Target="http://www.linkedin.com/company/getalead" TargetMode="External"/><Relationship  Id="rId965" Type="http://schemas.openxmlformats.org/officeDocument/2006/relationships/hyperlink" Target="http://www.linkedin.com/in/francois-alonge-33048245" TargetMode="External"/><Relationship  Id="rId966" Type="http://schemas.openxmlformats.org/officeDocument/2006/relationships/hyperlink" Target="http://tamtam.ai" TargetMode="External"/><Relationship  Id="rId967" Type="http://schemas.openxmlformats.org/officeDocument/2006/relationships/hyperlink" Target="http://www.linkedin.com/company/tamtam-ai" TargetMode="External"/><Relationship  Id="rId968" Type="http://schemas.openxmlformats.org/officeDocument/2006/relationships/hyperlink" Target="http://www.linkedin.com/in/francoismisslin" TargetMode="External"/><Relationship  Id="rId969" Type="http://schemas.openxmlformats.org/officeDocument/2006/relationships/hyperlink" Target="http://vpfrance.fr" TargetMode="External"/><Relationship  Id="rId97" Type="http://schemas.openxmlformats.org/officeDocument/2006/relationships/hyperlink" Target="http://www.linkedin.com/in/alain-tissedre-342434172" TargetMode="External"/><Relationship  Id="rId970" Type="http://schemas.openxmlformats.org/officeDocument/2006/relationships/hyperlink" Target="http://www.linkedin.com/company/vp-cie" TargetMode="External"/><Relationship  Id="rId971" Type="http://schemas.openxmlformats.org/officeDocument/2006/relationships/hyperlink" Target="https://www.facebook.com/VPFrance.Gard" TargetMode="External"/><Relationship  Id="rId972" Type="http://schemas.openxmlformats.org/officeDocument/2006/relationships/hyperlink" Target="http://www.linkedin.com/in/fred-rouvin-7b411070" TargetMode="External"/><Relationship  Id="rId973" Type="http://schemas.openxmlformats.org/officeDocument/2006/relationships/hyperlink" Target="http://enovea.net" TargetMode="External"/><Relationship  Id="rId974" Type="http://schemas.openxmlformats.org/officeDocument/2006/relationships/hyperlink" Target="http://www.linkedin.com/company/enovea" TargetMode="External"/><Relationship  Id="rId975" Type="http://schemas.openxmlformats.org/officeDocument/2006/relationships/hyperlink" Target="http://www.linkedin.com/in/frederic-darbel-43033125" TargetMode="External"/><Relationship  Id="rId976" Type="http://schemas.openxmlformats.org/officeDocument/2006/relationships/hyperlink" Target="http://origalys.com" TargetMode="External"/><Relationship  Id="rId977" Type="http://schemas.openxmlformats.org/officeDocument/2006/relationships/hyperlink" Target="http://www.linkedin.com/company/origalys-electrochem-sas" TargetMode="External"/><Relationship  Id="rId978" Type="http://schemas.openxmlformats.org/officeDocument/2006/relationships/hyperlink" Target="https://twitter.com/origalys" TargetMode="External"/><Relationship  Id="rId979" Type="http://schemas.openxmlformats.org/officeDocument/2006/relationships/hyperlink" Target="https://www.facebook.com/OrigaLys.ElectroChem.SAS/" TargetMode="External"/><Relationship  Id="rId98" Type="http://schemas.openxmlformats.org/officeDocument/2006/relationships/hyperlink" Target="http://www.linkedin.com/company/pierre-berge-et-associes" TargetMode="External"/><Relationship  Id="rId980" Type="http://schemas.openxmlformats.org/officeDocument/2006/relationships/hyperlink" Target="http://www.linkedin.com/in/fr%c3%a9d%c3%a9ric-dussaut-b1029250" TargetMode="External"/><Relationship  Id="rId981" Type="http://schemas.openxmlformats.org/officeDocument/2006/relationships/hyperlink" Target="http://viragegroup.com" TargetMode="External"/><Relationship  Id="rId982" Type="http://schemas.openxmlformats.org/officeDocument/2006/relationships/hyperlink" Target="http://www.linkedin.com/company/virage-group" TargetMode="External"/><Relationship  Id="rId983" Type="http://schemas.openxmlformats.org/officeDocument/2006/relationships/hyperlink" Target="https://twitter.com/viragegroup" TargetMode="External"/><Relationship  Id="rId984" Type="http://schemas.openxmlformats.org/officeDocument/2006/relationships/hyperlink" Target="https://facebook.com/pages/Virage-Group/399990920106100" TargetMode="External"/><Relationship  Id="rId985" Type="http://schemas.openxmlformats.org/officeDocument/2006/relationships/hyperlink" Target="http://www.linkedin.com/in/frederic-monomakhoff-211b721a" TargetMode="External"/><Relationship  Id="rId986" Type="http://schemas.openxmlformats.org/officeDocument/2006/relationships/hyperlink" Target="http://aoc.fr" TargetMode="External"/><Relationship  Id="rId987" Type="http://schemas.openxmlformats.org/officeDocument/2006/relationships/hyperlink" Target="http://www.linkedin.com/company/allovercloud" TargetMode="External"/><Relationship  Id="rId988" Type="http://schemas.openxmlformats.org/officeDocument/2006/relationships/hyperlink" Target="http://www.linkedin.com/in/frederic-papleux-434861" TargetMode="External"/><Relationship  Id="rId989" Type="http://schemas.openxmlformats.org/officeDocument/2006/relationships/hyperlink" Target="http://quadrinov.com" TargetMode="External"/><Relationship  Id="rId99" Type="http://schemas.openxmlformats.org/officeDocument/2006/relationships/hyperlink" Target="http://www.linkedin.com/in/alexandre-landre-651875a6" TargetMode="External"/><Relationship  Id="rId990" Type="http://schemas.openxmlformats.org/officeDocument/2006/relationships/hyperlink" Target="http://www.linkedin.com/company/quadrinov" TargetMode="External"/><Relationship  Id="rId991" Type="http://schemas.openxmlformats.org/officeDocument/2006/relationships/hyperlink" Target="http://www.linkedin.com/in/fr%c3%a9d%c3%a9ric-pichaud-842425a0" TargetMode="External"/><Relationship  Id="rId992" Type="http://schemas.openxmlformats.org/officeDocument/2006/relationships/hyperlink" Target="http://prodigyus.fr" TargetMode="External"/><Relationship  Id="rId993" Type="http://schemas.openxmlformats.org/officeDocument/2006/relationships/hyperlink" Target="http://www.linkedin.com/company/prodigyus" TargetMode="External"/><Relationship  Id="rId994" Type="http://schemas.openxmlformats.org/officeDocument/2006/relationships/hyperlink" Target="http://www.linkedin.com/in/fr%c3%a9d%c3%a9ric-remoleux-041900128" TargetMode="External"/><Relationship  Id="rId995" Type="http://schemas.openxmlformats.org/officeDocument/2006/relationships/hyperlink" Target="http://lumens-box.com" TargetMode="External"/><Relationship  Id="rId996" Type="http://schemas.openxmlformats.org/officeDocument/2006/relationships/hyperlink" Target="http://www.linkedin.com/company/lumens-box" TargetMode="External"/><Relationship  Id="rId997" Type="http://schemas.openxmlformats.org/officeDocument/2006/relationships/hyperlink" Target="http://www.linkedin.com/in/fr%c3%a9d%c3%a9ric-terranova-06930931" TargetMode="External"/><Relationship  Id="rId998" Type="http://schemas.openxmlformats.org/officeDocument/2006/relationships/hyperlink" Target="http://impulsionconsulting.com" TargetMode="External"/><Relationship  Id="rId999" Type="http://schemas.openxmlformats.org/officeDocument/2006/relationships/hyperlink" Target="http://www.linkedin.com/company/impulsion-consult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2354" zoomScale="100" workbookViewId="0">
      <selection activeCell="A1" activeCellId="0" sqref="A1"/>
    </sheetView>
  </sheetViews>
  <sheetFormatPr defaultRowHeight="14.25"/>
  <cols>
    <col bestFit="1" min="2" max="2" width="13.28125"/>
    <col bestFit="1" min="3" max="3" width="18.28125"/>
    <col customWidth="1" min="4" max="4" width="23.00390625"/>
    <col customWidth="1" min="5" max="5" width="17.57421875"/>
    <col customWidth="1" min="9" max="9" width="15.00390625"/>
    <col customWidth="1" min="10" max="10" width="36.140625"/>
    <col customWidth="1" min="11" max="11" width="29.421875"/>
    <col customWidth="1" min="16" max="16" width="71.140625"/>
  </cols>
  <sheetData>
    <row r="1" s="1" customFormat="1">
      <c r="A1" s="1" t="s">
        <v>0</v>
      </c>
      <c r="B1" s="2" t="s">
        <v>1</v>
      </c>
      <c r="C1" s="2" t="s">
        <v>2</v>
      </c>
      <c r="D1" s="2" t="s">
        <v>3</v>
      </c>
      <c r="E1" s="2" t="s">
        <v>4</v>
      </c>
      <c r="F1" s="2"/>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3"/>
      <c r="W1" s="3"/>
      <c r="X1" s="3"/>
      <c r="Y1" s="3"/>
    </row>
    <row r="2">
      <c r="B2" s="4" t="s">
        <v>20</v>
      </c>
      <c r="C2" s="4" t="s">
        <v>21</v>
      </c>
      <c r="D2" s="4" t="s">
        <v>22</v>
      </c>
      <c r="E2" s="4" t="s">
        <v>23</v>
      </c>
      <c r="F2" s="4"/>
      <c r="G2" s="4" t="s">
        <v>24</v>
      </c>
      <c r="H2" s="4">
        <v>29</v>
      </c>
      <c r="I2" s="4" t="s">
        <v>25</v>
      </c>
      <c r="J2" s="5" t="s">
        <v>26</v>
      </c>
      <c r="K2" s="5" t="s">
        <v>27</v>
      </c>
      <c r="L2" s="4" t="s">
        <v>28</v>
      </c>
      <c r="M2" s="4" t="s">
        <v>29</v>
      </c>
      <c r="N2" s="4" t="s">
        <v>30</v>
      </c>
      <c r="O2" s="4" t="s">
        <v>29</v>
      </c>
      <c r="P2" s="6"/>
      <c r="Q2" s="6"/>
      <c r="R2" s="6"/>
      <c r="S2" s="6"/>
      <c r="T2" s="6"/>
      <c r="U2" s="6"/>
      <c r="V2" s="6"/>
      <c r="W2" s="6"/>
      <c r="X2" s="6"/>
      <c r="Y2" s="6"/>
    </row>
    <row r="3">
      <c r="B3" s="4" t="s">
        <v>31</v>
      </c>
      <c r="C3" s="4" t="s">
        <v>32</v>
      </c>
      <c r="D3" s="4" t="s">
        <v>33</v>
      </c>
      <c r="E3" s="4" t="s">
        <v>34</v>
      </c>
      <c r="F3" s="4"/>
      <c r="G3" s="4" t="s">
        <v>35</v>
      </c>
      <c r="H3" s="4">
        <v>42</v>
      </c>
      <c r="I3" s="4" t="s">
        <v>36</v>
      </c>
      <c r="J3" s="5" t="s">
        <v>37</v>
      </c>
      <c r="K3" s="5" t="s">
        <v>38</v>
      </c>
      <c r="L3" s="4" t="s">
        <v>39</v>
      </c>
      <c r="M3" s="4" t="s">
        <v>29</v>
      </c>
      <c r="N3" s="4" t="s">
        <v>40</v>
      </c>
      <c r="O3" s="4" t="s">
        <v>29</v>
      </c>
      <c r="P3" s="4" t="s">
        <v>41</v>
      </c>
      <c r="Q3" s="6"/>
      <c r="R3" s="6"/>
      <c r="S3" s="6"/>
      <c r="T3" s="6"/>
      <c r="U3" s="6"/>
      <c r="V3" s="6"/>
      <c r="W3" s="6"/>
      <c r="X3" s="6"/>
      <c r="Y3" s="6"/>
    </row>
    <row r="4">
      <c r="B4" s="4" t="s">
        <v>42</v>
      </c>
      <c r="C4" s="4" t="s">
        <v>43</v>
      </c>
      <c r="D4" s="4" t="s">
        <v>44</v>
      </c>
      <c r="E4" s="4" t="s">
        <v>45</v>
      </c>
      <c r="F4" s="4"/>
      <c r="G4" s="4" t="s">
        <v>46</v>
      </c>
      <c r="H4" s="4">
        <v>4</v>
      </c>
      <c r="I4" s="4" t="s">
        <v>25</v>
      </c>
      <c r="J4" s="5" t="s">
        <v>47</v>
      </c>
      <c r="K4" s="5" t="s">
        <v>48</v>
      </c>
      <c r="L4" s="4" t="s">
        <v>49</v>
      </c>
      <c r="M4" s="4" t="s">
        <v>29</v>
      </c>
      <c r="N4" s="4" t="s">
        <v>50</v>
      </c>
      <c r="O4" s="4" t="s">
        <v>29</v>
      </c>
      <c r="P4" s="4" t="s">
        <v>51</v>
      </c>
      <c r="Q4" s="6"/>
      <c r="R4" s="6"/>
      <c r="S4" s="6"/>
      <c r="T4" s="6"/>
      <c r="U4" s="6"/>
      <c r="V4" s="6"/>
      <c r="W4" s="6"/>
      <c r="X4" s="6"/>
      <c r="Y4" s="6"/>
    </row>
    <row r="5">
      <c r="B5" s="4" t="s">
        <v>52</v>
      </c>
      <c r="C5" s="4" t="s">
        <v>53</v>
      </c>
      <c r="D5" s="4" t="s">
        <v>54</v>
      </c>
      <c r="E5" s="4" t="s">
        <v>55</v>
      </c>
      <c r="F5" s="4"/>
      <c r="G5" s="4" t="s">
        <v>56</v>
      </c>
      <c r="H5" s="4">
        <v>30</v>
      </c>
      <c r="I5" s="4" t="s">
        <v>36</v>
      </c>
      <c r="J5" s="5" t="s">
        <v>57</v>
      </c>
      <c r="K5" s="5" t="s">
        <v>58</v>
      </c>
      <c r="L5" s="4" t="s">
        <v>39</v>
      </c>
      <c r="M5" s="4" t="s">
        <v>29</v>
      </c>
      <c r="N5" s="4" t="s">
        <v>59</v>
      </c>
      <c r="O5" s="4" t="s">
        <v>29</v>
      </c>
      <c r="P5" s="4" t="s">
        <v>55</v>
      </c>
      <c r="Q5" s="6"/>
      <c r="R5" s="6"/>
      <c r="S5" s="6"/>
      <c r="T5" s="6"/>
      <c r="U5" s="6"/>
      <c r="V5" s="6"/>
      <c r="W5" s="6"/>
      <c r="X5" s="6"/>
      <c r="Y5" s="6"/>
    </row>
    <row r="6">
      <c r="B6" s="4" t="s">
        <v>60</v>
      </c>
      <c r="C6" s="4" t="s">
        <v>61</v>
      </c>
      <c r="D6" s="4" t="s">
        <v>62</v>
      </c>
      <c r="E6" s="4" t="s">
        <v>63</v>
      </c>
      <c r="F6" s="4"/>
      <c r="G6" s="4" t="s">
        <v>64</v>
      </c>
      <c r="H6" s="4">
        <v>43</v>
      </c>
      <c r="I6" s="4" t="s">
        <v>25</v>
      </c>
      <c r="J6" s="5" t="s">
        <v>65</v>
      </c>
      <c r="K6" s="5" t="s">
        <v>66</v>
      </c>
      <c r="L6" s="4" t="s">
        <v>39</v>
      </c>
      <c r="M6" s="4" t="s">
        <v>29</v>
      </c>
      <c r="N6" s="4" t="s">
        <v>67</v>
      </c>
      <c r="O6" s="4" t="s">
        <v>29</v>
      </c>
      <c r="P6" s="4" t="s">
        <v>68</v>
      </c>
      <c r="Q6" s="6"/>
      <c r="R6" s="6"/>
      <c r="S6" s="6"/>
      <c r="T6" s="6"/>
      <c r="U6" s="6"/>
      <c r="V6" s="6"/>
      <c r="W6" s="6"/>
      <c r="X6" s="6"/>
      <c r="Y6" s="6"/>
    </row>
    <row r="7">
      <c r="B7" s="4" t="s">
        <v>69</v>
      </c>
      <c r="C7" s="4" t="s">
        <v>70</v>
      </c>
      <c r="D7" s="4" t="s">
        <v>71</v>
      </c>
      <c r="E7" s="4" t="s">
        <v>72</v>
      </c>
      <c r="F7" s="4"/>
      <c r="G7" s="4" t="s">
        <v>73</v>
      </c>
      <c r="H7" s="4">
        <v>1</v>
      </c>
      <c r="I7" s="4" t="s">
        <v>25</v>
      </c>
      <c r="J7" s="5" t="s">
        <v>74</v>
      </c>
      <c r="K7" s="5" t="s">
        <v>75</v>
      </c>
      <c r="L7" s="4" t="s">
        <v>39</v>
      </c>
      <c r="M7" s="4" t="s">
        <v>29</v>
      </c>
      <c r="N7" s="6"/>
      <c r="O7" s="6"/>
      <c r="P7" s="6"/>
      <c r="Q7" s="6"/>
      <c r="R7" s="6"/>
      <c r="S7" s="6"/>
      <c r="T7" s="6"/>
      <c r="U7" s="6"/>
      <c r="V7" s="6"/>
      <c r="W7" s="6"/>
      <c r="X7" s="6"/>
      <c r="Y7" s="6"/>
    </row>
    <row r="8">
      <c r="B8" s="4" t="s">
        <v>76</v>
      </c>
      <c r="C8" s="4" t="s">
        <v>77</v>
      </c>
      <c r="D8" s="4" t="s">
        <v>78</v>
      </c>
      <c r="E8" s="4" t="s">
        <v>79</v>
      </c>
      <c r="F8" s="4"/>
      <c r="G8" s="4" t="s">
        <v>80</v>
      </c>
      <c r="H8" s="4">
        <v>3</v>
      </c>
      <c r="I8" s="4" t="s">
        <v>36</v>
      </c>
      <c r="J8" s="5" t="s">
        <v>81</v>
      </c>
      <c r="K8" s="5" t="s">
        <v>82</v>
      </c>
      <c r="L8" s="4" t="s">
        <v>83</v>
      </c>
      <c r="M8" s="4" t="s">
        <v>29</v>
      </c>
      <c r="N8" s="4" t="s">
        <v>84</v>
      </c>
      <c r="O8" s="4" t="s">
        <v>29</v>
      </c>
      <c r="P8" s="6"/>
      <c r="Q8" s="6"/>
      <c r="R8" s="6"/>
      <c r="S8" s="6"/>
      <c r="T8" s="6"/>
      <c r="U8" s="6"/>
      <c r="V8" s="6"/>
      <c r="W8" s="6"/>
      <c r="X8" s="6"/>
      <c r="Y8" s="6"/>
    </row>
    <row r="9">
      <c r="B9" s="4" t="s">
        <v>85</v>
      </c>
      <c r="C9" s="4" t="s">
        <v>86</v>
      </c>
      <c r="D9" s="4" t="s">
        <v>87</v>
      </c>
      <c r="E9" s="4" t="s">
        <v>88</v>
      </c>
      <c r="F9" s="4"/>
      <c r="G9" s="4" t="s">
        <v>89</v>
      </c>
      <c r="H9" s="4">
        <v>2</v>
      </c>
      <c r="I9" s="4" t="s">
        <v>90</v>
      </c>
      <c r="J9" s="5" t="s">
        <v>91</v>
      </c>
      <c r="K9" s="5" t="s">
        <v>92</v>
      </c>
      <c r="L9" s="4" t="s">
        <v>39</v>
      </c>
      <c r="M9" s="4" t="s">
        <v>29</v>
      </c>
      <c r="N9" s="4" t="s">
        <v>93</v>
      </c>
      <c r="O9" s="4" t="s">
        <v>29</v>
      </c>
      <c r="P9" s="4" t="s">
        <v>94</v>
      </c>
      <c r="Q9" s="6"/>
      <c r="R9" s="6"/>
      <c r="S9" s="6"/>
      <c r="T9" s="6"/>
      <c r="U9" s="6"/>
      <c r="V9" s="6"/>
      <c r="W9" s="6"/>
      <c r="X9" s="6"/>
      <c r="Y9" s="6"/>
    </row>
    <row r="10">
      <c r="B10" s="4" t="s">
        <v>95</v>
      </c>
      <c r="C10" s="4" t="s">
        <v>96</v>
      </c>
      <c r="D10" s="4" t="s">
        <v>97</v>
      </c>
      <c r="E10" s="4" t="s">
        <v>98</v>
      </c>
      <c r="F10" s="4"/>
      <c r="G10" s="4" t="s">
        <v>99</v>
      </c>
      <c r="H10" s="4">
        <v>6</v>
      </c>
      <c r="I10" s="4" t="s">
        <v>25</v>
      </c>
      <c r="J10" s="5" t="s">
        <v>100</v>
      </c>
      <c r="K10" s="5" t="s">
        <v>101</v>
      </c>
      <c r="L10" s="4" t="s">
        <v>39</v>
      </c>
      <c r="M10" s="4" t="s">
        <v>29</v>
      </c>
      <c r="N10" s="4" t="s">
        <v>29</v>
      </c>
      <c r="O10" s="4" t="s">
        <v>29</v>
      </c>
      <c r="P10" s="6"/>
      <c r="Q10" s="6"/>
      <c r="R10" s="6"/>
      <c r="S10" s="6"/>
      <c r="T10" s="6"/>
      <c r="U10" s="6"/>
      <c r="V10" s="6"/>
      <c r="W10" s="6"/>
      <c r="X10" s="6"/>
      <c r="Y10" s="6"/>
    </row>
    <row r="11">
      <c r="B11" s="4" t="s">
        <v>69</v>
      </c>
      <c r="C11" s="4" t="s">
        <v>102</v>
      </c>
      <c r="D11" s="4" t="s">
        <v>103</v>
      </c>
      <c r="E11" s="4" t="s">
        <v>104</v>
      </c>
      <c r="F11" s="4"/>
      <c r="G11" s="4" t="s">
        <v>105</v>
      </c>
      <c r="H11" s="4">
        <v>36</v>
      </c>
      <c r="I11" s="4" t="s">
        <v>25</v>
      </c>
      <c r="J11" s="5" t="s">
        <v>106</v>
      </c>
      <c r="K11" s="5" t="s">
        <v>107</v>
      </c>
      <c r="L11" s="6"/>
      <c r="M11" s="4" t="s">
        <v>29</v>
      </c>
      <c r="N11" s="4" t="s">
        <v>108</v>
      </c>
      <c r="O11" s="4" t="s">
        <v>29</v>
      </c>
      <c r="P11" s="4" t="s">
        <v>109</v>
      </c>
      <c r="Q11" s="6"/>
      <c r="R11" s="6"/>
      <c r="S11" s="6"/>
      <c r="T11" s="6"/>
      <c r="U11" s="6"/>
      <c r="V11" s="6"/>
      <c r="W11" s="6"/>
      <c r="X11" s="6"/>
      <c r="Y11" s="6"/>
    </row>
    <row r="12">
      <c r="B12" s="4" t="s">
        <v>110</v>
      </c>
      <c r="C12" s="4" t="s">
        <v>111</v>
      </c>
      <c r="D12" s="4" t="s">
        <v>112</v>
      </c>
      <c r="E12" s="4" t="s">
        <v>113</v>
      </c>
      <c r="F12" s="4"/>
      <c r="G12" s="4" t="s">
        <v>114</v>
      </c>
      <c r="H12" s="4">
        <v>44</v>
      </c>
      <c r="I12" s="4" t="s">
        <v>36</v>
      </c>
      <c r="J12" s="5" t="s">
        <v>115</v>
      </c>
      <c r="K12" s="5" t="s">
        <v>116</v>
      </c>
      <c r="L12" s="4" t="s">
        <v>49</v>
      </c>
      <c r="M12" s="4" t="s">
        <v>29</v>
      </c>
      <c r="N12" s="4" t="s">
        <v>117</v>
      </c>
      <c r="O12" s="4" t="s">
        <v>29</v>
      </c>
      <c r="P12" s="6"/>
      <c r="Q12" s="6"/>
      <c r="R12" s="6"/>
      <c r="S12" s="6"/>
      <c r="T12" s="6"/>
      <c r="U12" s="6"/>
      <c r="V12" s="6"/>
      <c r="W12" s="6"/>
      <c r="X12" s="6"/>
      <c r="Y12" s="6"/>
    </row>
    <row r="13">
      <c r="B13" s="4" t="s">
        <v>118</v>
      </c>
      <c r="C13" s="4" t="s">
        <v>119</v>
      </c>
      <c r="D13" s="4" t="s">
        <v>120</v>
      </c>
      <c r="E13" s="4" t="s">
        <v>121</v>
      </c>
      <c r="F13" s="4"/>
      <c r="G13" s="4" t="s">
        <v>122</v>
      </c>
      <c r="H13" s="4">
        <v>12</v>
      </c>
      <c r="I13" s="4" t="s">
        <v>36</v>
      </c>
      <c r="J13" s="5" t="s">
        <v>123</v>
      </c>
      <c r="K13" s="5" t="s">
        <v>124</v>
      </c>
      <c r="L13" s="6"/>
      <c r="M13" s="4" t="s">
        <v>29</v>
      </c>
      <c r="N13" s="4" t="s">
        <v>125</v>
      </c>
      <c r="O13" s="4" t="s">
        <v>29</v>
      </c>
      <c r="P13" s="4" t="s">
        <v>126</v>
      </c>
      <c r="Q13" s="6"/>
      <c r="R13" s="6"/>
      <c r="S13" s="6"/>
      <c r="T13" s="6"/>
      <c r="U13" s="6"/>
      <c r="V13" s="6"/>
      <c r="W13" s="6"/>
      <c r="X13" s="6"/>
      <c r="Y13" s="6"/>
    </row>
    <row r="14">
      <c r="B14" s="4" t="s">
        <v>127</v>
      </c>
      <c r="C14" s="4" t="s">
        <v>128</v>
      </c>
      <c r="D14" s="4" t="s">
        <v>120</v>
      </c>
      <c r="E14" s="4" t="s">
        <v>129</v>
      </c>
      <c r="F14" s="4"/>
      <c r="G14" s="4" t="s">
        <v>130</v>
      </c>
      <c r="H14" s="4">
        <v>12</v>
      </c>
      <c r="I14" s="4" t="s">
        <v>36</v>
      </c>
      <c r="J14" s="5" t="s">
        <v>131</v>
      </c>
      <c r="K14" s="5" t="s">
        <v>132</v>
      </c>
      <c r="L14" s="4" t="s">
        <v>39</v>
      </c>
      <c r="M14" s="4" t="s">
        <v>29</v>
      </c>
      <c r="N14" s="4" t="s">
        <v>133</v>
      </c>
      <c r="O14" s="4" t="s">
        <v>29</v>
      </c>
      <c r="P14" s="6"/>
      <c r="Q14" s="6"/>
      <c r="R14" s="6"/>
      <c r="S14" s="6"/>
      <c r="T14" s="6"/>
      <c r="U14" s="6"/>
      <c r="V14" s="6"/>
      <c r="W14" s="6"/>
      <c r="X14" s="6"/>
      <c r="Y14" s="6"/>
    </row>
    <row r="15">
      <c r="B15" s="4" t="s">
        <v>134</v>
      </c>
      <c r="C15" s="4" t="s">
        <v>135</v>
      </c>
      <c r="D15" s="4" t="s">
        <v>120</v>
      </c>
      <c r="E15" s="4" t="s">
        <v>136</v>
      </c>
      <c r="F15" s="4"/>
      <c r="G15" s="4" t="s">
        <v>137</v>
      </c>
      <c r="H15" s="4">
        <v>5</v>
      </c>
      <c r="I15" s="4" t="s">
        <v>36</v>
      </c>
      <c r="J15" s="5" t="s">
        <v>138</v>
      </c>
      <c r="K15" s="5" t="s">
        <v>139</v>
      </c>
      <c r="L15" s="4" t="s">
        <v>140</v>
      </c>
      <c r="M15" s="4" t="s">
        <v>29</v>
      </c>
      <c r="N15" s="4" t="s">
        <v>141</v>
      </c>
      <c r="O15" s="4" t="s">
        <v>29</v>
      </c>
      <c r="P15" s="4" t="s">
        <v>142</v>
      </c>
      <c r="Q15" s="6"/>
      <c r="R15" s="6"/>
      <c r="S15" s="6"/>
      <c r="T15" s="6"/>
      <c r="U15" s="6"/>
      <c r="V15" s="6"/>
      <c r="W15" s="6"/>
      <c r="X15" s="6"/>
      <c r="Y15" s="6"/>
    </row>
    <row r="16">
      <c r="B16" s="4" t="s">
        <v>143</v>
      </c>
      <c r="C16" s="4" t="s">
        <v>144</v>
      </c>
      <c r="D16" s="4" t="s">
        <v>120</v>
      </c>
      <c r="E16" s="4" t="s">
        <v>145</v>
      </c>
      <c r="F16" s="4"/>
      <c r="G16" s="4" t="s">
        <v>146</v>
      </c>
      <c r="H16" s="4">
        <v>5</v>
      </c>
      <c r="I16" s="4" t="s">
        <v>36</v>
      </c>
      <c r="J16" s="5" t="s">
        <v>147</v>
      </c>
      <c r="K16" s="5" t="s">
        <v>148</v>
      </c>
      <c r="L16" s="4" t="s">
        <v>149</v>
      </c>
      <c r="M16" s="4" t="s">
        <v>29</v>
      </c>
      <c r="N16" s="4" t="s">
        <v>150</v>
      </c>
      <c r="O16" s="4" t="s">
        <v>29</v>
      </c>
      <c r="P16" s="4" t="s">
        <v>151</v>
      </c>
      <c r="Q16" s="6"/>
      <c r="R16" s="6"/>
      <c r="S16" s="6"/>
      <c r="T16" s="6"/>
      <c r="U16" s="6"/>
      <c r="V16" s="6"/>
      <c r="W16" s="6"/>
      <c r="X16" s="6"/>
      <c r="Y16" s="6"/>
    </row>
    <row r="17">
      <c r="B17" s="4" t="s">
        <v>152</v>
      </c>
      <c r="C17" s="4" t="s">
        <v>153</v>
      </c>
      <c r="D17" s="4" t="s">
        <v>154</v>
      </c>
      <c r="E17" s="4" t="s">
        <v>155</v>
      </c>
      <c r="F17" s="4" t="str">
        <f>IFERROR(__XLUDF.DUMMYFUNCTION("PROPER(REGEXREPLACE(D2,""[^A-Za-z]+ "",""""))"),"Domaine De Rochebois")</f>
        <v xml:space="preserve">Domaine De Rochebois</v>
      </c>
      <c r="G17" s="4" t="s">
        <v>156</v>
      </c>
      <c r="H17" s="4">
        <v>36</v>
      </c>
      <c r="I17" s="4" t="s">
        <v>157</v>
      </c>
      <c r="J17" s="5" t="s">
        <v>158</v>
      </c>
      <c r="K17" s="5" t="s">
        <v>159</v>
      </c>
      <c r="L17" s="6"/>
      <c r="M17" s="4" t="s">
        <v>29</v>
      </c>
      <c r="N17" s="4" t="s">
        <v>160</v>
      </c>
      <c r="O17" s="4" t="s">
        <v>29</v>
      </c>
      <c r="P17" s="4" t="s">
        <v>161</v>
      </c>
      <c r="Q17" s="6"/>
      <c r="R17" s="6"/>
      <c r="S17" s="6"/>
      <c r="T17" s="6"/>
      <c r="U17" s="6"/>
      <c r="V17" s="6"/>
      <c r="W17" s="6"/>
      <c r="X17" s="6"/>
      <c r="Y17" s="6"/>
    </row>
    <row r="18">
      <c r="B18" s="4" t="s">
        <v>162</v>
      </c>
      <c r="C18" s="4" t="s">
        <v>163</v>
      </c>
      <c r="D18" s="4" t="s">
        <v>164</v>
      </c>
      <c r="E18" s="4" t="s">
        <v>165</v>
      </c>
      <c r="F18" s="4" t="str">
        <f>IFERROR(__XLUDF.DUMMYFUNCTION("PROPER(REGEXREPLACE(D3,""[^A-Za-z]+ "",""""))"),"Mozza")</f>
        <v>Mozza</v>
      </c>
      <c r="G18" s="4" t="s">
        <v>166</v>
      </c>
      <c r="H18" s="4">
        <v>19</v>
      </c>
      <c r="I18" s="4" t="s">
        <v>25</v>
      </c>
      <c r="J18" s="5" t="s">
        <v>167</v>
      </c>
      <c r="K18" s="5" t="s">
        <v>168</v>
      </c>
      <c r="L18" s="4" t="s">
        <v>39</v>
      </c>
      <c r="M18" s="4" t="s">
        <v>29</v>
      </c>
      <c r="N18" s="4" t="s">
        <v>169</v>
      </c>
      <c r="O18" s="4" t="s">
        <v>29</v>
      </c>
      <c r="P18" s="6"/>
      <c r="Q18" s="6"/>
      <c r="R18" s="6"/>
      <c r="S18" s="6"/>
      <c r="T18" s="6"/>
      <c r="U18" s="6"/>
      <c r="V18" s="6"/>
      <c r="W18" s="6"/>
      <c r="X18" s="6"/>
      <c r="Y18" s="6"/>
    </row>
    <row r="19">
      <c r="B19" s="4" t="s">
        <v>170</v>
      </c>
      <c r="C19" s="4" t="s">
        <v>171</v>
      </c>
      <c r="D19" s="4" t="s">
        <v>172</v>
      </c>
      <c r="E19" s="4" t="s">
        <v>173</v>
      </c>
      <c r="F19" s="4" t="str">
        <f>IFERROR(__XLUDF.DUMMYFUNCTION("PROPER(REGEXREPLACE(D4,""[^A-Za-z]+ "",""""))"),"Petit Vip")</f>
        <v xml:space="preserve">Petit Vip</v>
      </c>
      <c r="G19" s="4" t="s">
        <v>174</v>
      </c>
      <c r="H19" s="4">
        <v>6</v>
      </c>
      <c r="I19" s="4" t="s">
        <v>25</v>
      </c>
      <c r="J19" s="5" t="s">
        <v>175</v>
      </c>
      <c r="K19" s="5" t="s">
        <v>176</v>
      </c>
      <c r="L19" s="6"/>
      <c r="M19" s="4" t="s">
        <v>29</v>
      </c>
      <c r="N19" s="4" t="s">
        <v>177</v>
      </c>
      <c r="O19" s="4" t="s">
        <v>29</v>
      </c>
      <c r="P19" s="6"/>
      <c r="Q19" s="6"/>
      <c r="R19" s="6"/>
      <c r="S19" s="6"/>
      <c r="T19" s="6"/>
      <c r="U19" s="6"/>
      <c r="V19" s="6"/>
      <c r="W19" s="6"/>
      <c r="X19" s="6"/>
      <c r="Y19" s="6"/>
    </row>
    <row r="20">
      <c r="B20" s="4" t="s">
        <v>178</v>
      </c>
      <c r="C20" s="4" t="s">
        <v>179</v>
      </c>
      <c r="D20" s="4" t="s">
        <v>180</v>
      </c>
      <c r="E20" s="4" t="s">
        <v>181</v>
      </c>
      <c r="F20" s="4" t="str">
        <f>IFERROR(__XLUDF.DUMMYFUNCTION("PROPER(REGEXREPLACE(D5,""[^A-Za-z]+ "",""""))"),"Tripletta")</f>
        <v>Tripletta</v>
      </c>
      <c r="G20" s="4" t="s">
        <v>182</v>
      </c>
      <c r="H20" s="4">
        <v>7</v>
      </c>
      <c r="I20" s="4" t="s">
        <v>36</v>
      </c>
      <c r="J20" s="5" t="s">
        <v>183</v>
      </c>
      <c r="K20" s="5" t="s">
        <v>184</v>
      </c>
      <c r="L20" s="4" t="s">
        <v>185</v>
      </c>
      <c r="M20" s="4" t="s">
        <v>29</v>
      </c>
      <c r="N20" s="4" t="s">
        <v>186</v>
      </c>
      <c r="O20" s="4" t="s">
        <v>29</v>
      </c>
      <c r="P20" s="4" t="s">
        <v>187</v>
      </c>
      <c r="Q20" s="6"/>
      <c r="R20" s="6"/>
      <c r="S20" s="6"/>
      <c r="T20" s="6"/>
      <c r="U20" s="6"/>
      <c r="V20" s="6"/>
      <c r="W20" s="6"/>
      <c r="X20" s="6"/>
      <c r="Y20" s="6"/>
    </row>
    <row r="21">
      <c r="B21" s="4" t="s">
        <v>188</v>
      </c>
      <c r="C21" s="4" t="s">
        <v>189</v>
      </c>
      <c r="D21" s="4" t="s">
        <v>190</v>
      </c>
      <c r="E21" s="4" t="s">
        <v>191</v>
      </c>
      <c r="F21" s="4" t="str">
        <f>IFERROR(__XLUDF.DUMMYFUNCTION("PROPER(REGEXREPLACE(D6,""[^A-Za-z]+ "",""""))"),"Hudi")</f>
        <v>Hudi</v>
      </c>
      <c r="G21" s="4" t="s">
        <v>192</v>
      </c>
      <c r="H21" s="4">
        <v>7</v>
      </c>
      <c r="I21" s="4" t="s">
        <v>36</v>
      </c>
      <c r="J21" s="5" t="s">
        <v>193</v>
      </c>
      <c r="K21" s="5" t="s">
        <v>194</v>
      </c>
      <c r="L21" s="4" t="s">
        <v>39</v>
      </c>
      <c r="M21" s="4" t="s">
        <v>29</v>
      </c>
      <c r="N21" s="4" t="s">
        <v>195</v>
      </c>
      <c r="O21" s="4" t="s">
        <v>29</v>
      </c>
      <c r="P21" s="6"/>
      <c r="Q21" s="6"/>
      <c r="R21" s="6"/>
      <c r="S21" s="6"/>
      <c r="T21" s="6"/>
      <c r="U21" s="6"/>
      <c r="V21" s="6"/>
      <c r="W21" s="6"/>
      <c r="X21" s="6"/>
      <c r="Y21" s="6"/>
    </row>
    <row r="22">
      <c r="B22" s="4" t="s">
        <v>196</v>
      </c>
      <c r="C22" s="4" t="s">
        <v>197</v>
      </c>
      <c r="D22" s="4" t="s">
        <v>198</v>
      </c>
      <c r="E22" s="4" t="s">
        <v>199</v>
      </c>
      <c r="F22" s="4" t="str">
        <f>IFERROR(__XLUDF.DUMMYFUNCTION("PROPER(REGEXREPLACE(D7,""[^A-Za-z]+ "",""""))"),"Octans Paris")</f>
        <v xml:space="preserve">Octans Paris</v>
      </c>
      <c r="G22" s="4" t="s">
        <v>200</v>
      </c>
      <c r="H22" s="4">
        <v>24</v>
      </c>
      <c r="I22" s="4" t="s">
        <v>25</v>
      </c>
      <c r="J22" s="5" t="s">
        <v>201</v>
      </c>
      <c r="K22" s="5" t="s">
        <v>202</v>
      </c>
      <c r="L22" s="4" t="s">
        <v>203</v>
      </c>
      <c r="M22" s="4" t="s">
        <v>29</v>
      </c>
      <c r="N22" s="4" t="s">
        <v>204</v>
      </c>
      <c r="O22" s="4" t="s">
        <v>29</v>
      </c>
      <c r="P22" s="4" t="s">
        <v>205</v>
      </c>
      <c r="Q22" s="6"/>
      <c r="R22" s="6"/>
      <c r="S22" s="6"/>
      <c r="T22" s="6"/>
      <c r="U22" s="6"/>
      <c r="V22" s="6"/>
      <c r="W22" s="6"/>
      <c r="X22" s="6"/>
      <c r="Y22" s="6"/>
    </row>
    <row r="23">
      <c r="B23" s="4" t="s">
        <v>206</v>
      </c>
      <c r="C23" s="4" t="s">
        <v>207</v>
      </c>
      <c r="D23" s="4" t="s">
        <v>172</v>
      </c>
      <c r="E23" s="4" t="s">
        <v>208</v>
      </c>
      <c r="F23" s="4" t="str">
        <f>IFERROR(__XLUDF.DUMMYFUNCTION("PROPER(REGEXREPLACE(D8,""[^A-Za-z]+ "",""""))"),"Goguette Et Compagnie")</f>
        <v xml:space="preserve">Goguette Et Compagnie</v>
      </c>
      <c r="G23" s="4" t="s">
        <v>209</v>
      </c>
      <c r="H23" s="4">
        <v>11</v>
      </c>
      <c r="I23" s="4" t="s">
        <v>25</v>
      </c>
      <c r="J23" s="5" t="s">
        <v>210</v>
      </c>
      <c r="K23" s="5" t="s">
        <v>211</v>
      </c>
      <c r="L23" s="4" t="s">
        <v>212</v>
      </c>
      <c r="M23" s="4" t="s">
        <v>29</v>
      </c>
      <c r="N23" s="4" t="s">
        <v>213</v>
      </c>
      <c r="O23" s="4" t="s">
        <v>29</v>
      </c>
      <c r="P23" s="4" t="s">
        <v>214</v>
      </c>
      <c r="Q23" s="6"/>
      <c r="R23" s="6"/>
      <c r="S23" s="6"/>
      <c r="T23" s="6"/>
      <c r="U23" s="6"/>
      <c r="V23" s="6"/>
      <c r="W23" s="6"/>
      <c r="X23" s="6"/>
      <c r="Y23" s="6"/>
    </row>
    <row r="24">
      <c r="B24" s="4" t="s">
        <v>215</v>
      </c>
      <c r="C24" s="4" t="s">
        <v>216</v>
      </c>
      <c r="D24" s="4" t="s">
        <v>172</v>
      </c>
      <c r="E24" s="4" t="s">
        <v>217</v>
      </c>
      <c r="F24" s="4" t="str">
        <f>IFERROR(__XLUDF.DUMMYFUNCTION("PROPER(REGEXREPLACE(D9,""[^A-Za-z]+ "",""""))"),"Sacrebleu Paris")</f>
        <v xml:space="preserve">Sacrebleu Paris</v>
      </c>
      <c r="G24" s="4" t="s">
        <v>218</v>
      </c>
      <c r="H24" s="4">
        <v>14</v>
      </c>
      <c r="I24" s="4" t="s">
        <v>25</v>
      </c>
      <c r="J24" s="5" t="s">
        <v>219</v>
      </c>
      <c r="K24" s="5" t="s">
        <v>220</v>
      </c>
      <c r="L24" s="6"/>
      <c r="M24" s="4" t="s">
        <v>29</v>
      </c>
      <c r="N24" s="4" t="s">
        <v>221</v>
      </c>
      <c r="O24" s="4" t="s">
        <v>29</v>
      </c>
      <c r="P24" s="6"/>
      <c r="Q24" s="6"/>
      <c r="R24" s="6"/>
      <c r="S24" s="6"/>
      <c r="T24" s="6"/>
      <c r="U24" s="6"/>
      <c r="V24" s="6"/>
      <c r="W24" s="6"/>
      <c r="X24" s="6"/>
      <c r="Y24" s="6"/>
    </row>
    <row r="25">
      <c r="B25" s="4" t="s">
        <v>222</v>
      </c>
      <c r="C25" s="4" t="s">
        <v>223</v>
      </c>
      <c r="D25" s="4" t="s">
        <v>172</v>
      </c>
      <c r="E25" s="4" t="s">
        <v>224</v>
      </c>
      <c r="F25" s="4" t="str">
        <f>IFERROR(__XLUDF.DUMMYFUNCTION("PROPER(REGEXREPLACE(D10,""[^A-Za-z]+ "",""""))"),"Parenthèse")</f>
        <v>Parenthèse</v>
      </c>
      <c r="G25" s="4" t="s">
        <v>225</v>
      </c>
      <c r="H25" s="4">
        <v>10</v>
      </c>
      <c r="I25" s="4" t="s">
        <v>25</v>
      </c>
      <c r="J25" s="5" t="s">
        <v>226</v>
      </c>
      <c r="K25" s="5" t="s">
        <v>227</v>
      </c>
      <c r="L25" s="4" t="s">
        <v>39</v>
      </c>
      <c r="M25" s="4" t="s">
        <v>29</v>
      </c>
      <c r="N25" s="4" t="s">
        <v>228</v>
      </c>
      <c r="O25" s="4" t="s">
        <v>29</v>
      </c>
      <c r="P25" s="6"/>
      <c r="Q25" s="6"/>
      <c r="R25" s="6"/>
      <c r="S25" s="6"/>
      <c r="T25" s="6"/>
      <c r="U25" s="6"/>
      <c r="V25" s="6"/>
      <c r="W25" s="6"/>
      <c r="X25" s="6"/>
      <c r="Y25" s="6"/>
    </row>
    <row r="26">
      <c r="B26" s="4" t="s">
        <v>69</v>
      </c>
      <c r="C26" s="4" t="s">
        <v>229</v>
      </c>
      <c r="D26" s="4" t="s">
        <v>230</v>
      </c>
      <c r="E26" s="4" t="s">
        <v>231</v>
      </c>
      <c r="F26" s="4" t="str">
        <f>IFERROR(__XLUDF.DUMMYFUNCTION("PROPER(REGEXREPLACE(D11,""[^A-Za-z]+ "",""""))"),"Oléla")</f>
        <v>Oléla</v>
      </c>
      <c r="G26" s="4" t="s">
        <v>232</v>
      </c>
      <c r="H26" s="4">
        <v>1</v>
      </c>
      <c r="I26" s="4" t="s">
        <v>36</v>
      </c>
      <c r="J26" s="5" t="s">
        <v>233</v>
      </c>
      <c r="K26" s="5" t="s">
        <v>234</v>
      </c>
      <c r="L26" s="4" t="s">
        <v>39</v>
      </c>
      <c r="M26" s="4" t="s">
        <v>29</v>
      </c>
      <c r="N26" s="4" t="s">
        <v>235</v>
      </c>
      <c r="O26" s="4" t="s">
        <v>29</v>
      </c>
      <c r="P26" s="4" t="s">
        <v>236</v>
      </c>
      <c r="Q26" s="6"/>
      <c r="R26" s="6"/>
      <c r="S26" s="6"/>
      <c r="T26" s="6"/>
      <c r="U26" s="6"/>
      <c r="V26" s="6"/>
      <c r="W26" s="6"/>
      <c r="X26" s="6"/>
      <c r="Y26" s="6"/>
    </row>
    <row r="27">
      <c r="B27" s="4" t="s">
        <v>95</v>
      </c>
      <c r="C27" s="4" t="s">
        <v>237</v>
      </c>
      <c r="D27" s="4" t="s">
        <v>238</v>
      </c>
      <c r="E27" s="4" t="s">
        <v>239</v>
      </c>
      <c r="F27" s="4" t="str">
        <f>IFERROR(__XLUDF.DUMMYFUNCTION("PROPER(REGEXREPLACE(D12,""[^A-Za-z]+ "",""""))"),"Lunicco")</f>
        <v>Lunicco</v>
      </c>
      <c r="G27" s="4" t="s">
        <v>240</v>
      </c>
      <c r="H27" s="4">
        <v>20</v>
      </c>
      <c r="I27" s="4" t="s">
        <v>36</v>
      </c>
      <c r="J27" s="5" t="s">
        <v>241</v>
      </c>
      <c r="K27" s="5" t="s">
        <v>242</v>
      </c>
      <c r="L27" s="4" t="s">
        <v>243</v>
      </c>
      <c r="M27" s="4" t="s">
        <v>29</v>
      </c>
      <c r="N27" s="4" t="s">
        <v>84</v>
      </c>
      <c r="O27" s="4" t="s">
        <v>29</v>
      </c>
      <c r="P27" s="4" t="s">
        <v>244</v>
      </c>
      <c r="Q27" s="6"/>
      <c r="R27" s="6"/>
      <c r="S27" s="6"/>
      <c r="T27" s="6"/>
      <c r="U27" s="6"/>
      <c r="V27" s="6"/>
      <c r="W27" s="6"/>
      <c r="X27" s="6"/>
      <c r="Y27" s="6"/>
    </row>
    <row r="28">
      <c r="B28" s="4" t="s">
        <v>245</v>
      </c>
      <c r="C28" s="4" t="s">
        <v>246</v>
      </c>
      <c r="D28" s="4" t="s">
        <v>247</v>
      </c>
      <c r="E28" s="4" t="s">
        <v>248</v>
      </c>
      <c r="F28" s="4" t="str">
        <f>IFERROR(__XLUDF.DUMMYFUNCTION("PROPER(REGEXREPLACE(D13,""[^A-Za-z]+ "",""""))"),"Food'Lab")</f>
        <v>Food'Lab</v>
      </c>
      <c r="G28" s="4" t="s">
        <v>249</v>
      </c>
      <c r="H28" s="4">
        <v>14</v>
      </c>
      <c r="I28" s="4" t="s">
        <v>36</v>
      </c>
      <c r="J28" s="5" t="s">
        <v>250</v>
      </c>
      <c r="K28" s="5" t="s">
        <v>251</v>
      </c>
      <c r="L28" s="4" t="s">
        <v>252</v>
      </c>
      <c r="M28" s="4" t="s">
        <v>29</v>
      </c>
      <c r="N28" s="4" t="s">
        <v>253</v>
      </c>
      <c r="O28" s="4" t="s">
        <v>29</v>
      </c>
      <c r="P28" s="4" t="s">
        <v>254</v>
      </c>
      <c r="Q28" s="6"/>
      <c r="R28" s="6"/>
      <c r="S28" s="6"/>
      <c r="T28" s="6"/>
      <c r="U28" s="6"/>
      <c r="V28" s="6"/>
      <c r="W28" s="6"/>
      <c r="X28" s="6"/>
      <c r="Y28" s="6"/>
    </row>
    <row r="29">
      <c r="B29" s="4" t="s">
        <v>255</v>
      </c>
      <c r="C29" s="4" t="s">
        <v>256</v>
      </c>
      <c r="D29" s="4" t="s">
        <v>62</v>
      </c>
      <c r="E29" s="5" t="s">
        <v>257</v>
      </c>
      <c r="F29" s="4" t="str">
        <f>IFERROR(__XLUDF.DUMMYFUNCTION("PROPER(REGEXREPLACE(D14,""[^A-Za-z]+ "",""""))"),"Tartelettes")</f>
        <v>Tartelettes</v>
      </c>
      <c r="G29" s="4" t="s">
        <v>258</v>
      </c>
      <c r="H29" s="4">
        <v>27</v>
      </c>
      <c r="I29" s="4" t="s">
        <v>25</v>
      </c>
      <c r="J29" s="5" t="s">
        <v>259</v>
      </c>
      <c r="K29" s="5" t="s">
        <v>260</v>
      </c>
      <c r="L29" s="4" t="s">
        <v>39</v>
      </c>
      <c r="M29" s="4" t="s">
        <v>29</v>
      </c>
      <c r="N29" s="4" t="s">
        <v>261</v>
      </c>
      <c r="O29" s="4" t="s">
        <v>29</v>
      </c>
      <c r="P29" s="4" t="s">
        <v>262</v>
      </c>
      <c r="Q29" s="6"/>
      <c r="R29" s="6"/>
      <c r="S29" s="6"/>
      <c r="T29" s="6"/>
      <c r="U29" s="6"/>
      <c r="V29" s="6"/>
      <c r="W29" s="6"/>
      <c r="X29" s="6"/>
      <c r="Y29" s="6"/>
    </row>
    <row r="30">
      <c r="B30" s="4" t="s">
        <v>263</v>
      </c>
      <c r="C30" s="4" t="s">
        <v>264</v>
      </c>
      <c r="D30" s="4" t="s">
        <v>265</v>
      </c>
      <c r="E30" s="4" t="s">
        <v>266</v>
      </c>
      <c r="F30" s="4" t="str">
        <f>IFERROR(__XLUDF.DUMMYFUNCTION("PROPER(REGEXREPLACE(D15,""[^A-Za-z]+ "",""""))"),"Theory")</f>
        <v>Theory</v>
      </c>
      <c r="G30" s="4" t="s">
        <v>267</v>
      </c>
      <c r="H30" s="4">
        <v>11</v>
      </c>
      <c r="I30" s="4" t="s">
        <v>36</v>
      </c>
      <c r="J30" s="5" t="s">
        <v>268</v>
      </c>
      <c r="K30" s="5" t="s">
        <v>269</v>
      </c>
      <c r="L30" s="6"/>
      <c r="M30" s="4" t="s">
        <v>29</v>
      </c>
      <c r="N30" s="4" t="s">
        <v>270</v>
      </c>
      <c r="O30" s="4" t="s">
        <v>29</v>
      </c>
      <c r="P30" s="4" t="s">
        <v>271</v>
      </c>
      <c r="Q30" s="6"/>
      <c r="R30" s="6"/>
      <c r="S30" s="6"/>
      <c r="T30" s="6"/>
      <c r="U30" s="6"/>
      <c r="V30" s="6"/>
      <c r="W30" s="6"/>
      <c r="X30" s="6"/>
      <c r="Y30" s="6"/>
    </row>
    <row r="31">
      <c r="B31" s="4" t="s">
        <v>272</v>
      </c>
      <c r="C31" s="4" t="s">
        <v>273</v>
      </c>
      <c r="D31" s="4" t="s">
        <v>44</v>
      </c>
      <c r="E31" s="4" t="s">
        <v>274</v>
      </c>
      <c r="F31" s="4" t="str">
        <f>IFERROR(__XLUDF.DUMMYFUNCTION("PROPER(REGEXREPLACE(D16,""[^A-Za-z]+ "",""""))"),"Delicious Company")</f>
        <v xml:space="preserve">Delicious Company</v>
      </c>
      <c r="G31" s="4" t="s">
        <v>275</v>
      </c>
      <c r="H31" s="4">
        <v>2</v>
      </c>
      <c r="I31" s="4" t="s">
        <v>36</v>
      </c>
      <c r="J31" s="5" t="s">
        <v>276</v>
      </c>
      <c r="K31" s="5" t="s">
        <v>277</v>
      </c>
      <c r="L31" s="6"/>
      <c r="M31" s="4" t="s">
        <v>29</v>
      </c>
      <c r="N31" s="4" t="s">
        <v>67</v>
      </c>
      <c r="O31" s="4" t="s">
        <v>29</v>
      </c>
      <c r="P31" s="4" t="s">
        <v>278</v>
      </c>
      <c r="Q31" s="6"/>
      <c r="R31" s="6"/>
      <c r="S31" s="6"/>
      <c r="T31" s="6"/>
      <c r="U31" s="6"/>
      <c r="V31" s="6"/>
      <c r="W31" s="6"/>
      <c r="X31" s="6"/>
      <c r="Y31" s="6"/>
    </row>
    <row r="32">
      <c r="B32" s="4" t="s">
        <v>279</v>
      </c>
      <c r="C32" s="4" t="s">
        <v>280</v>
      </c>
      <c r="D32" s="4" t="s">
        <v>281</v>
      </c>
      <c r="E32" s="4" t="s">
        <v>282</v>
      </c>
      <c r="F32" s="4" t="str">
        <f>IFERROR(__XLUDF.DUMMYFUNCTION("PROPER(REGEXREPLACE(D17,""[^A-Za-z]+ "",""""))"),"Eurochef")</f>
        <v>Eurochef</v>
      </c>
      <c r="G32" s="4" t="s">
        <v>283</v>
      </c>
      <c r="H32" s="4">
        <v>3</v>
      </c>
      <c r="I32" s="4" t="s">
        <v>36</v>
      </c>
      <c r="J32" s="5" t="s">
        <v>284</v>
      </c>
      <c r="K32" s="5" t="s">
        <v>285</v>
      </c>
      <c r="L32" s="4" t="s">
        <v>286</v>
      </c>
      <c r="M32" s="4" t="s">
        <v>29</v>
      </c>
      <c r="N32" s="4" t="s">
        <v>287</v>
      </c>
      <c r="O32" s="4" t="s">
        <v>29</v>
      </c>
      <c r="P32" s="4" t="s">
        <v>288</v>
      </c>
      <c r="Q32" s="6"/>
      <c r="R32" s="6"/>
      <c r="S32" s="6"/>
      <c r="T32" s="6"/>
      <c r="U32" s="6"/>
      <c r="V32" s="6"/>
      <c r="W32" s="6"/>
      <c r="X32" s="6"/>
      <c r="Y32" s="6"/>
    </row>
    <row r="33">
      <c r="B33" s="4" t="s">
        <v>289</v>
      </c>
      <c r="C33" s="4" t="s">
        <v>290</v>
      </c>
      <c r="D33" s="4" t="s">
        <v>44</v>
      </c>
      <c r="E33" s="4" t="s">
        <v>291</v>
      </c>
      <c r="F33" s="4" t="str">
        <f>IFERROR(__XLUDF.DUMMYFUNCTION("PROPER(REGEXREPLACE(D18,""[^A-Za-z]+ "",""""))"),"Orea Hotels Management")</f>
        <v xml:space="preserve">Orea Hotels Management</v>
      </c>
      <c r="G33" s="4" t="s">
        <v>292</v>
      </c>
      <c r="H33" s="4">
        <v>4</v>
      </c>
      <c r="I33" s="4" t="s">
        <v>36</v>
      </c>
      <c r="J33" s="5" t="s">
        <v>293</v>
      </c>
      <c r="K33" s="5" t="s">
        <v>294</v>
      </c>
      <c r="L33" s="4" t="s">
        <v>295</v>
      </c>
      <c r="M33" s="4" t="s">
        <v>29</v>
      </c>
      <c r="N33" s="4" t="s">
        <v>296</v>
      </c>
      <c r="O33" s="4" t="s">
        <v>29</v>
      </c>
      <c r="P33" s="4" t="s">
        <v>297</v>
      </c>
      <c r="Q33" s="6"/>
      <c r="R33" s="6"/>
      <c r="S33" s="6"/>
      <c r="T33" s="6"/>
      <c r="U33" s="6"/>
      <c r="V33" s="6"/>
      <c r="W33" s="6"/>
      <c r="X33" s="6"/>
      <c r="Y33" s="6"/>
    </row>
    <row r="34">
      <c r="B34" s="4" t="s">
        <v>298</v>
      </c>
      <c r="C34" s="4" t="s">
        <v>299</v>
      </c>
      <c r="D34" s="4" t="s">
        <v>44</v>
      </c>
      <c r="E34" s="4" t="s">
        <v>300</v>
      </c>
      <c r="F34" s="4" t="str">
        <f>IFERROR(__XLUDF.DUMMYFUNCTION("PROPER(REGEXREPLACE(D19,""[^A-Za-z]+ "",""""))"),"Hotel Alexspa")</f>
        <v xml:space="preserve">Hotel Alexspa</v>
      </c>
      <c r="G34" s="4" t="s">
        <v>301</v>
      </c>
      <c r="H34" s="4">
        <v>12</v>
      </c>
      <c r="I34" s="4" t="s">
        <v>25</v>
      </c>
      <c r="J34" s="5" t="s">
        <v>302</v>
      </c>
      <c r="K34" s="5" t="s">
        <v>303</v>
      </c>
      <c r="L34" s="4" t="s">
        <v>39</v>
      </c>
      <c r="M34" s="4" t="s">
        <v>29</v>
      </c>
      <c r="N34" s="4" t="s">
        <v>304</v>
      </c>
      <c r="O34" s="4" t="s">
        <v>29</v>
      </c>
      <c r="P34" s="6"/>
      <c r="Q34" s="6"/>
      <c r="R34" s="6"/>
      <c r="S34" s="6"/>
      <c r="T34" s="6"/>
      <c r="U34" s="6"/>
      <c r="V34" s="6"/>
      <c r="W34" s="6"/>
      <c r="X34" s="6"/>
      <c r="Y34" s="6"/>
    </row>
    <row r="35">
      <c r="B35" s="4" t="s">
        <v>95</v>
      </c>
      <c r="C35" s="4" t="s">
        <v>305</v>
      </c>
      <c r="D35" s="4" t="s">
        <v>44</v>
      </c>
      <c r="E35" s="4" t="s">
        <v>306</v>
      </c>
      <c r="F35" s="4" t="str">
        <f>IFERROR(__XLUDF.DUMMYFUNCTION("PROPER(REGEXREPLACE(D20,""[^A-Za-z]+ "",""""))"),"Lazy Suzy")</f>
        <v xml:space="preserve">Lazy Suzy</v>
      </c>
      <c r="G35" s="4" t="s">
        <v>307</v>
      </c>
      <c r="H35" s="4">
        <v>26</v>
      </c>
      <c r="I35" s="4" t="s">
        <v>25</v>
      </c>
      <c r="J35" s="5" t="s">
        <v>308</v>
      </c>
      <c r="K35" s="5" t="s">
        <v>309</v>
      </c>
      <c r="L35" s="4" t="s">
        <v>310</v>
      </c>
      <c r="M35" s="4" t="s">
        <v>29</v>
      </c>
      <c r="N35" s="4" t="s">
        <v>311</v>
      </c>
      <c r="O35" s="4" t="s">
        <v>29</v>
      </c>
      <c r="P35" s="4" t="s">
        <v>312</v>
      </c>
      <c r="Q35" s="6"/>
      <c r="R35" s="6"/>
      <c r="S35" s="6"/>
      <c r="T35" s="6"/>
      <c r="U35" s="6"/>
      <c r="V35" s="6"/>
      <c r="W35" s="6"/>
      <c r="X35" s="6"/>
      <c r="Y35" s="6"/>
    </row>
    <row r="36">
      <c r="B36" s="4" t="s">
        <v>313</v>
      </c>
      <c r="C36" s="4" t="s">
        <v>314</v>
      </c>
      <c r="D36" s="4" t="s">
        <v>315</v>
      </c>
      <c r="E36" s="4" t="s">
        <v>316</v>
      </c>
      <c r="F36" s="4" t="str">
        <f>IFERROR(__XLUDF.DUMMYFUNCTION("PROPER(REGEXREPLACE(D21,""[^A-Za-z]+ "",""""))"),"Paris-Breizh")</f>
        <v>Paris-Breizh</v>
      </c>
      <c r="G36" s="4" t="s">
        <v>317</v>
      </c>
      <c r="H36" s="4">
        <v>29</v>
      </c>
      <c r="I36" s="4" t="s">
        <v>25</v>
      </c>
      <c r="J36" s="5" t="s">
        <v>318</v>
      </c>
      <c r="K36" s="5" t="s">
        <v>319</v>
      </c>
      <c r="L36" s="6"/>
      <c r="M36" s="4" t="s">
        <v>29</v>
      </c>
      <c r="N36" s="4" t="s">
        <v>320</v>
      </c>
      <c r="O36" s="4" t="s">
        <v>29</v>
      </c>
      <c r="P36" s="4" t="s">
        <v>321</v>
      </c>
      <c r="Q36" s="6"/>
      <c r="R36" s="6"/>
      <c r="S36" s="6"/>
      <c r="T36" s="6"/>
      <c r="U36" s="6"/>
      <c r="V36" s="6"/>
      <c r="W36" s="6"/>
      <c r="X36" s="6"/>
      <c r="Y36" s="6"/>
    </row>
    <row r="37">
      <c r="B37" s="4" t="s">
        <v>322</v>
      </c>
      <c r="C37" s="4" t="s">
        <v>323</v>
      </c>
      <c r="D37" s="4" t="s">
        <v>87</v>
      </c>
      <c r="E37" s="4" t="s">
        <v>324</v>
      </c>
      <c r="F37" s="4" t="str">
        <f>IFERROR(__XLUDF.DUMMYFUNCTION("PROPER(REGEXREPLACE(D22,""[^A-Za-z]+ "",""""))"),"Hôtel Hameau Albert 1Er Chamonix")</f>
        <v xml:space="preserve">Hôtel Hameau Albert 1Er Chamonix</v>
      </c>
      <c r="G37" s="4" t="s">
        <v>325</v>
      </c>
      <c r="H37" s="4">
        <v>4</v>
      </c>
      <c r="I37" s="4" t="s">
        <v>25</v>
      </c>
      <c r="J37" s="5" t="s">
        <v>326</v>
      </c>
      <c r="K37" s="5" t="s">
        <v>327</v>
      </c>
      <c r="L37" s="4" t="s">
        <v>49</v>
      </c>
      <c r="M37" s="4" t="s">
        <v>29</v>
      </c>
      <c r="N37" s="4" t="s">
        <v>328</v>
      </c>
      <c r="O37" s="4" t="s">
        <v>29</v>
      </c>
      <c r="P37" s="4" t="s">
        <v>329</v>
      </c>
      <c r="Q37" s="6"/>
      <c r="R37" s="6"/>
      <c r="S37" s="6"/>
      <c r="T37" s="6"/>
      <c r="U37" s="6"/>
      <c r="V37" s="6"/>
      <c r="W37" s="6"/>
      <c r="X37" s="6"/>
      <c r="Y37" s="6"/>
    </row>
    <row r="38">
      <c r="B38" s="4" t="s">
        <v>330</v>
      </c>
      <c r="C38" s="4" t="s">
        <v>331</v>
      </c>
      <c r="D38" s="4" t="s">
        <v>332</v>
      </c>
      <c r="E38" s="4" t="s">
        <v>333</v>
      </c>
      <c r="F38" s="4" t="str">
        <f>IFERROR(__XLUDF.DUMMYFUNCTION("PROPER(REGEXREPLACE(D23,""[^A-Za-z]+ "",""""))"),"Hôtel Sainte Victoire ****")</f>
        <v xml:space="preserve">Hôtel Sainte Victoire ****</v>
      </c>
      <c r="G38" s="4" t="s">
        <v>334</v>
      </c>
      <c r="H38" s="4">
        <v>23</v>
      </c>
      <c r="I38" s="4" t="s">
        <v>36</v>
      </c>
      <c r="J38" s="5" t="s">
        <v>335</v>
      </c>
      <c r="K38" s="5" t="s">
        <v>336</v>
      </c>
      <c r="L38" s="6"/>
      <c r="M38" s="4" t="s">
        <v>29</v>
      </c>
      <c r="N38" s="4" t="s">
        <v>337</v>
      </c>
      <c r="O38" s="4" t="s">
        <v>29</v>
      </c>
      <c r="P38" s="4" t="s">
        <v>338</v>
      </c>
      <c r="Q38" s="6"/>
      <c r="R38" s="6"/>
      <c r="S38" s="6"/>
      <c r="T38" s="6"/>
      <c r="U38" s="6"/>
      <c r="V38" s="6"/>
      <c r="W38" s="6"/>
      <c r="X38" s="6"/>
      <c r="Y38" s="6"/>
    </row>
    <row r="39">
      <c r="B39" s="4" t="s">
        <v>339</v>
      </c>
      <c r="C39" s="4" t="s">
        <v>340</v>
      </c>
      <c r="D39" s="4" t="s">
        <v>341</v>
      </c>
      <c r="E39" s="4" t="s">
        <v>342</v>
      </c>
      <c r="F39" s="4" t="str">
        <f>IFERROR(__XLUDF.DUMMYFUNCTION("PROPER(REGEXREPLACE(D24,""[^A-Za-z]+ "",""""))"),"Hotel Le Sénat")</f>
        <v xml:space="preserve">Hotel Le Sénat</v>
      </c>
      <c r="G39" s="4" t="s">
        <v>343</v>
      </c>
      <c r="H39" s="4">
        <v>12</v>
      </c>
      <c r="I39" s="4" t="s">
        <v>36</v>
      </c>
      <c r="J39" s="5" t="s">
        <v>344</v>
      </c>
      <c r="K39" s="5" t="s">
        <v>345</v>
      </c>
      <c r="L39" s="6"/>
      <c r="M39" s="4" t="s">
        <v>29</v>
      </c>
      <c r="N39" s="4" t="s">
        <v>346</v>
      </c>
      <c r="O39" s="4" t="s">
        <v>29</v>
      </c>
      <c r="P39" s="6"/>
      <c r="Q39" s="6"/>
      <c r="R39" s="6"/>
      <c r="S39" s="6"/>
      <c r="T39" s="6"/>
      <c r="U39" s="6"/>
      <c r="V39" s="6"/>
      <c r="W39" s="6"/>
      <c r="X39" s="6"/>
      <c r="Y39" s="6"/>
    </row>
    <row r="40">
      <c r="B40" s="4" t="s">
        <v>347</v>
      </c>
      <c r="C40" s="4" t="s">
        <v>348</v>
      </c>
      <c r="D40" s="4" t="s">
        <v>120</v>
      </c>
      <c r="E40" s="4" t="s">
        <v>349</v>
      </c>
      <c r="F40" s="4" t="str">
        <f>IFERROR(__XLUDF.DUMMYFUNCTION("PROPER(REGEXREPLACE(D25,""[^A-Za-z]+ "",""""))"),"Hhp")</f>
        <v>Hhp</v>
      </c>
      <c r="G40" s="4" t="s">
        <v>350</v>
      </c>
      <c r="H40" s="4">
        <v>33</v>
      </c>
      <c r="I40" s="4" t="s">
        <v>36</v>
      </c>
      <c r="J40" s="5" t="s">
        <v>351</v>
      </c>
      <c r="K40" s="5" t="s">
        <v>352</v>
      </c>
      <c r="L40" s="4" t="s">
        <v>39</v>
      </c>
      <c r="M40" s="4" t="s">
        <v>29</v>
      </c>
      <c r="N40" s="4" t="s">
        <v>353</v>
      </c>
      <c r="O40" s="4" t="s">
        <v>29</v>
      </c>
      <c r="P40" s="4" t="s">
        <v>354</v>
      </c>
      <c r="Q40" s="6"/>
      <c r="R40" s="6"/>
      <c r="S40" s="6"/>
      <c r="T40" s="6"/>
      <c r="U40" s="6"/>
      <c r="V40" s="6"/>
      <c r="W40" s="6"/>
      <c r="X40" s="6"/>
      <c r="Y40" s="6"/>
    </row>
    <row r="41">
      <c r="B41" s="4" t="s">
        <v>355</v>
      </c>
      <c r="C41" s="4" t="s">
        <v>356</v>
      </c>
      <c r="D41" s="4" t="s">
        <v>120</v>
      </c>
      <c r="E41" s="4" t="s">
        <v>357</v>
      </c>
      <c r="F41" s="4" t="str">
        <f>IFERROR(__XLUDF.DUMMYFUNCTION("PROPER(REGEXREPLACE(D26,""[^A-Za-z]+ "",""""))"),"Miam&amp;Co")</f>
        <v>Miam&amp;Co</v>
      </c>
      <c r="G41" s="4" t="s">
        <v>358</v>
      </c>
      <c r="H41" s="4">
        <v>8</v>
      </c>
      <c r="I41" s="4" t="s">
        <v>36</v>
      </c>
      <c r="J41" s="5" t="s">
        <v>359</v>
      </c>
      <c r="K41" s="5" t="s">
        <v>360</v>
      </c>
      <c r="L41" s="6"/>
      <c r="M41" s="4" t="s">
        <v>29</v>
      </c>
      <c r="N41" s="4" t="s">
        <v>361</v>
      </c>
      <c r="O41" s="4" t="s">
        <v>29</v>
      </c>
      <c r="P41" s="4" t="s">
        <v>362</v>
      </c>
      <c r="Q41" s="6"/>
      <c r="R41" s="6"/>
      <c r="S41" s="6"/>
      <c r="T41" s="6"/>
      <c r="U41" s="6"/>
      <c r="V41" s="6"/>
      <c r="W41" s="6"/>
      <c r="X41" s="6"/>
      <c r="Y41" s="6"/>
    </row>
    <row r="42">
      <c r="B42" s="4" t="s">
        <v>363</v>
      </c>
      <c r="C42" s="4" t="s">
        <v>364</v>
      </c>
      <c r="D42" s="4" t="s">
        <v>365</v>
      </c>
      <c r="E42" s="4" t="s">
        <v>366</v>
      </c>
      <c r="F42" s="4" t="str">
        <f>IFERROR(__XLUDF.DUMMYFUNCTION("PROPER(REGEXREPLACE(D27,""[^A-Za-z]+ "",""""))"),"Les Filous")</f>
        <v xml:space="preserve">Les Filous</v>
      </c>
      <c r="G42" s="4" t="s">
        <v>367</v>
      </c>
      <c r="H42" s="4">
        <v>14</v>
      </c>
      <c r="I42" s="4" t="s">
        <v>36</v>
      </c>
      <c r="J42" s="5" t="s">
        <v>368</v>
      </c>
      <c r="K42" s="5" t="s">
        <v>369</v>
      </c>
      <c r="L42" s="4" t="s">
        <v>39</v>
      </c>
      <c r="M42" s="4" t="s">
        <v>29</v>
      </c>
      <c r="N42" s="4" t="s">
        <v>370</v>
      </c>
      <c r="O42" s="4" t="s">
        <v>29</v>
      </c>
      <c r="P42" s="6"/>
      <c r="Q42" s="6"/>
      <c r="R42" s="6"/>
      <c r="S42" s="6"/>
      <c r="T42" s="6"/>
      <c r="U42" s="6"/>
      <c r="V42" s="6"/>
      <c r="W42" s="6"/>
      <c r="X42" s="6"/>
      <c r="Y42" s="6"/>
    </row>
    <row r="43">
      <c r="B43" s="4" t="s">
        <v>371</v>
      </c>
      <c r="C43" s="4" t="s">
        <v>372</v>
      </c>
      <c r="D43" s="4" t="s">
        <v>365</v>
      </c>
      <c r="E43" s="4" t="s">
        <v>373</v>
      </c>
      <c r="F43" s="4" t="str">
        <f>IFERROR(__XLUDF.DUMMYFUNCTION("PROPER(REGEXREPLACE(D28,""[^A-Za-z]+ "",""""))"),"Monsieur Mouette")</f>
        <v xml:space="preserve">Monsieur Mouette</v>
      </c>
      <c r="G43" s="4" t="s">
        <v>374</v>
      </c>
      <c r="H43" s="4">
        <v>5</v>
      </c>
      <c r="I43" s="4" t="s">
        <v>25</v>
      </c>
      <c r="J43" s="5" t="s">
        <v>375</v>
      </c>
      <c r="K43" s="5" t="s">
        <v>376</v>
      </c>
      <c r="L43" s="4" t="s">
        <v>39</v>
      </c>
      <c r="M43" s="4" t="s">
        <v>29</v>
      </c>
      <c r="N43" s="4" t="s">
        <v>377</v>
      </c>
      <c r="O43" s="4" t="s">
        <v>29</v>
      </c>
      <c r="P43" s="6"/>
      <c r="Q43" s="6"/>
      <c r="R43" s="6"/>
      <c r="S43" s="6"/>
      <c r="T43" s="6"/>
      <c r="U43" s="6"/>
      <c r="V43" s="6"/>
      <c r="W43" s="6"/>
      <c r="X43" s="6"/>
      <c r="Y43" s="6"/>
    </row>
    <row r="44">
      <c r="B44" s="4" t="s">
        <v>378</v>
      </c>
      <c r="C44" s="4" t="s">
        <v>379</v>
      </c>
      <c r="D44" s="4" t="s">
        <v>164</v>
      </c>
      <c r="E44" s="4" t="s">
        <v>380</v>
      </c>
      <c r="F44" s="5" t="str">
        <f>IFERROR(__XLUDF.DUMMYFUNCTION("PROPER(REGEXREPLACE(D29,""[^A-Za-z]+ "",""""))"),"Cozycozy.Com")</f>
        <v>Cozycozy.Com</v>
      </c>
      <c r="G44" s="4" t="s">
        <v>381</v>
      </c>
      <c r="H44" s="4">
        <v>35</v>
      </c>
      <c r="I44" s="4" t="s">
        <v>25</v>
      </c>
      <c r="J44" s="5" t="s">
        <v>382</v>
      </c>
      <c r="K44" s="5" t="s">
        <v>383</v>
      </c>
      <c r="L44" s="6"/>
      <c r="M44" s="4" t="s">
        <v>29</v>
      </c>
      <c r="N44" s="4" t="s">
        <v>384</v>
      </c>
      <c r="O44" s="4" t="s">
        <v>29</v>
      </c>
      <c r="P44" s="6"/>
      <c r="Q44" s="6"/>
      <c r="R44" s="6"/>
      <c r="S44" s="6"/>
      <c r="T44" s="6"/>
      <c r="U44" s="6"/>
      <c r="V44" s="6"/>
      <c r="W44" s="6"/>
      <c r="X44" s="6"/>
      <c r="Y44" s="6"/>
    </row>
    <row r="45">
      <c r="B45" s="4" t="s">
        <v>385</v>
      </c>
      <c r="C45" s="4" t="s">
        <v>386</v>
      </c>
      <c r="D45" s="4" t="s">
        <v>164</v>
      </c>
      <c r="E45" s="4" t="s">
        <v>387</v>
      </c>
      <c r="F45" s="4" t="str">
        <f>IFERROR(__XLUDF.DUMMYFUNCTION("PROPER(REGEXREPLACE(D30,""[^A-Za-z]+ "",""""))"),"Mezzencore")</f>
        <v>Mezzencore</v>
      </c>
      <c r="G45" s="4" t="s">
        <v>388</v>
      </c>
      <c r="H45" s="4">
        <v>10</v>
      </c>
      <c r="I45" s="4" t="s">
        <v>25</v>
      </c>
      <c r="J45" s="5" t="s">
        <v>389</v>
      </c>
      <c r="K45" s="5" t="s">
        <v>390</v>
      </c>
      <c r="L45" s="4" t="s">
        <v>391</v>
      </c>
      <c r="M45" s="4" t="s">
        <v>29</v>
      </c>
      <c r="N45" s="4" t="s">
        <v>392</v>
      </c>
      <c r="O45" s="4" t="s">
        <v>29</v>
      </c>
      <c r="P45" s="4" t="s">
        <v>393</v>
      </c>
      <c r="Q45" s="6"/>
      <c r="R45" s="6"/>
      <c r="S45" s="6"/>
      <c r="T45" s="6"/>
      <c r="U45" s="6"/>
      <c r="V45" s="6"/>
      <c r="W45" s="6"/>
      <c r="X45" s="6"/>
      <c r="Y45" s="6"/>
    </row>
    <row r="46">
      <c r="B46" s="4" t="s">
        <v>394</v>
      </c>
      <c r="C46" s="4" t="s">
        <v>395</v>
      </c>
      <c r="D46" s="4" t="s">
        <v>396</v>
      </c>
      <c r="E46" s="4" t="s">
        <v>397</v>
      </c>
      <c r="F46" s="4" t="str">
        <f>IFERROR(__XLUDF.DUMMYFUNCTION("PROPER(REGEXREPLACE(D31,""[^A-Za-z]+ "",""""))"),"Amici Paris")</f>
        <v xml:space="preserve">Amici Paris</v>
      </c>
      <c r="G46" s="4" t="s">
        <v>398</v>
      </c>
      <c r="H46" s="4">
        <v>40</v>
      </c>
      <c r="I46" s="4" t="s">
        <v>36</v>
      </c>
      <c r="J46" s="5" t="s">
        <v>399</v>
      </c>
      <c r="K46" s="5" t="s">
        <v>400</v>
      </c>
      <c r="L46" s="4" t="s">
        <v>39</v>
      </c>
      <c r="M46" s="4" t="s">
        <v>29</v>
      </c>
      <c r="N46" s="4" t="s">
        <v>67</v>
      </c>
      <c r="O46" s="4" t="s">
        <v>29</v>
      </c>
      <c r="P46" s="4" t="s">
        <v>401</v>
      </c>
      <c r="Q46" s="6"/>
      <c r="R46" s="6"/>
      <c r="S46" s="6"/>
      <c r="T46" s="6"/>
      <c r="U46" s="6"/>
      <c r="V46" s="6"/>
      <c r="W46" s="6"/>
      <c r="X46" s="6"/>
      <c r="Y46" s="6"/>
    </row>
    <row r="47">
      <c r="B47" s="4" t="s">
        <v>402</v>
      </c>
      <c r="C47" s="4" t="s">
        <v>403</v>
      </c>
      <c r="D47" s="4" t="s">
        <v>172</v>
      </c>
      <c r="E47" s="4" t="s">
        <v>404</v>
      </c>
      <c r="F47" s="4" t="str">
        <f>IFERROR(__XLUDF.DUMMYFUNCTION("PROPER(REGEXREPLACE(D32,""[^A-Za-z]+ "",""""))"),"Richard'S Hot Dog")</f>
        <v xml:space="preserve">Richard'S Hot Dog</v>
      </c>
      <c r="G47" s="4" t="s">
        <v>405</v>
      </c>
      <c r="H47" s="4">
        <v>26</v>
      </c>
      <c r="I47" s="4" t="s">
        <v>25</v>
      </c>
      <c r="J47" s="5" t="s">
        <v>406</v>
      </c>
      <c r="K47" s="5" t="s">
        <v>407</v>
      </c>
      <c r="L47" s="6"/>
      <c r="M47" s="4" t="s">
        <v>29</v>
      </c>
      <c r="N47" s="4" t="s">
        <v>408</v>
      </c>
      <c r="O47" s="4" t="s">
        <v>29</v>
      </c>
      <c r="P47" s="4" t="s">
        <v>409</v>
      </c>
      <c r="Q47" s="6"/>
      <c r="R47" s="6"/>
      <c r="S47" s="6"/>
      <c r="T47" s="6"/>
      <c r="U47" s="6"/>
      <c r="V47" s="6"/>
      <c r="W47" s="6"/>
      <c r="X47" s="6"/>
      <c r="Y47" s="6"/>
    </row>
    <row r="48">
      <c r="B48" s="4" t="s">
        <v>410</v>
      </c>
      <c r="C48" s="4" t="s">
        <v>411</v>
      </c>
      <c r="D48" s="4" t="s">
        <v>164</v>
      </c>
      <c r="E48" s="4" t="s">
        <v>412</v>
      </c>
      <c r="F48" s="4" t="str">
        <f>IFERROR(__XLUDF.DUMMYFUNCTION("PROPER(REGEXREPLACE(D33,""[^A-Za-z]+ "",""""))"),"Yemma Yummy")</f>
        <v xml:space="preserve">Yemma Yummy</v>
      </c>
      <c r="G48" s="4" t="s">
        <v>413</v>
      </c>
      <c r="H48" s="4">
        <v>14</v>
      </c>
      <c r="I48" s="4" t="s">
        <v>25</v>
      </c>
      <c r="J48" s="5" t="s">
        <v>414</v>
      </c>
      <c r="K48" s="5" t="s">
        <v>415</v>
      </c>
      <c r="L48" s="4" t="s">
        <v>49</v>
      </c>
      <c r="M48" s="4" t="s">
        <v>29</v>
      </c>
      <c r="N48" s="4" t="s">
        <v>416</v>
      </c>
      <c r="O48" s="4" t="s">
        <v>29</v>
      </c>
      <c r="P48" s="6"/>
      <c r="Q48" s="6"/>
      <c r="R48" s="6"/>
      <c r="S48" s="6"/>
      <c r="T48" s="6"/>
      <c r="U48" s="6"/>
      <c r="V48" s="6"/>
      <c r="W48" s="6"/>
      <c r="X48" s="6"/>
      <c r="Y48" s="6"/>
    </row>
    <row r="49">
      <c r="B49" s="4" t="s">
        <v>417</v>
      </c>
      <c r="C49" s="4" t="s">
        <v>418</v>
      </c>
      <c r="D49" s="4" t="s">
        <v>87</v>
      </c>
      <c r="E49" s="4" t="s">
        <v>419</v>
      </c>
      <c r="F49" s="4" t="str">
        <f>IFERROR(__XLUDF.DUMMYFUNCTION("PROPER(REGEXREPLACE(D34,""[^A-Za-z]+ "",""""))"),"Effyciens")</f>
        <v>Effyciens</v>
      </c>
      <c r="G49" s="4" t="s">
        <v>420</v>
      </c>
      <c r="H49" s="4">
        <v>10</v>
      </c>
      <c r="I49" s="4" t="s">
        <v>36</v>
      </c>
      <c r="J49" s="5" t="s">
        <v>421</v>
      </c>
      <c r="K49" s="5" t="s">
        <v>422</v>
      </c>
      <c r="L49" s="4" t="s">
        <v>423</v>
      </c>
      <c r="M49" s="4" t="s">
        <v>29</v>
      </c>
      <c r="N49" s="4" t="s">
        <v>424</v>
      </c>
      <c r="O49" s="4" t="s">
        <v>29</v>
      </c>
      <c r="P49" s="6"/>
      <c r="Q49" s="6"/>
      <c r="R49" s="6"/>
      <c r="S49" s="6"/>
      <c r="T49" s="6"/>
      <c r="U49" s="6"/>
      <c r="V49" s="6"/>
      <c r="W49" s="6"/>
      <c r="X49" s="6"/>
      <c r="Y49" s="6"/>
    </row>
    <row r="50">
      <c r="B50" s="4" t="s">
        <v>355</v>
      </c>
      <c r="C50" s="4" t="s">
        <v>425</v>
      </c>
      <c r="D50" s="4" t="s">
        <v>426</v>
      </c>
      <c r="E50" s="4" t="s">
        <v>427</v>
      </c>
      <c r="F50" s="4" t="str">
        <f>IFERROR(__XLUDF.DUMMYFUNCTION("PROPER(REGEXREPLACE(D35,""[^A-Za-z]+ "",""""))"),"Groupcorner")</f>
        <v>Groupcorner</v>
      </c>
      <c r="G50" s="4" t="s">
        <v>428</v>
      </c>
      <c r="H50" s="4">
        <v>8</v>
      </c>
      <c r="I50" s="4" t="s">
        <v>25</v>
      </c>
      <c r="J50" s="5" t="s">
        <v>429</v>
      </c>
      <c r="K50" s="5" t="s">
        <v>430</v>
      </c>
      <c r="L50" s="4" t="s">
        <v>431</v>
      </c>
      <c r="M50" s="4" t="s">
        <v>29</v>
      </c>
      <c r="N50" s="4" t="s">
        <v>432</v>
      </c>
      <c r="O50" s="4" t="s">
        <v>29</v>
      </c>
      <c r="P50" s="6"/>
      <c r="Q50" s="6"/>
      <c r="R50" s="6"/>
      <c r="S50" s="6"/>
      <c r="T50" s="6"/>
      <c r="U50" s="6"/>
      <c r="V50" s="6"/>
      <c r="W50" s="6"/>
      <c r="X50" s="6"/>
      <c r="Y50" s="6"/>
    </row>
    <row r="51">
      <c r="B51" s="4" t="s">
        <v>433</v>
      </c>
      <c r="C51" s="4" t="s">
        <v>434</v>
      </c>
      <c r="D51" s="4" t="s">
        <v>172</v>
      </c>
      <c r="E51" s="4" t="s">
        <v>435</v>
      </c>
      <c r="F51" s="4" t="str">
        <f>IFERROR(__XLUDF.DUMMYFUNCTION("PROPER(REGEXREPLACE(D36,""[^A-Za-z]+ "",""""))"),"Les Bordes Estate")</f>
        <v xml:space="preserve">Les Bordes Estate</v>
      </c>
      <c r="G51" s="4" t="s">
        <v>436</v>
      </c>
      <c r="H51" s="4">
        <v>40</v>
      </c>
      <c r="I51" s="4" t="s">
        <v>36</v>
      </c>
      <c r="J51" s="5" t="s">
        <v>437</v>
      </c>
      <c r="K51" s="5" t="s">
        <v>438</v>
      </c>
      <c r="L51" s="4" t="s">
        <v>439</v>
      </c>
      <c r="M51" s="4" t="s">
        <v>29</v>
      </c>
      <c r="N51" s="4" t="s">
        <v>440</v>
      </c>
      <c r="O51" s="4" t="s">
        <v>29</v>
      </c>
      <c r="P51" s="4" t="s">
        <v>441</v>
      </c>
      <c r="Q51" s="6"/>
      <c r="R51" s="6"/>
      <c r="S51" s="6"/>
      <c r="T51" s="6"/>
      <c r="U51" s="6"/>
      <c r="V51" s="6"/>
      <c r="W51" s="6"/>
      <c r="X51" s="6"/>
      <c r="Y51" s="6"/>
    </row>
    <row r="52">
      <c r="B52" s="4" t="s">
        <v>442</v>
      </c>
      <c r="C52" s="4" t="s">
        <v>443</v>
      </c>
      <c r="D52" s="4" t="s">
        <v>444</v>
      </c>
      <c r="E52" s="4" t="s">
        <v>445</v>
      </c>
      <c r="F52" s="4" t="str">
        <f>IFERROR(__XLUDF.DUMMYFUNCTION("PROPER(REGEXREPLACE(D37,""[^A-Za-z]+ "",""""))"),"Enjoy And Stay")</f>
        <v xml:space="preserve">Enjoy And Stay</v>
      </c>
      <c r="G52" s="4" t="s">
        <v>446</v>
      </c>
      <c r="H52" s="4">
        <v>7</v>
      </c>
      <c r="I52" s="4" t="s">
        <v>25</v>
      </c>
      <c r="J52" s="5" t="s">
        <v>447</v>
      </c>
      <c r="K52" s="5" t="s">
        <v>448</v>
      </c>
      <c r="L52" s="6"/>
      <c r="M52" s="4" t="s">
        <v>29</v>
      </c>
      <c r="N52" s="4" t="s">
        <v>449</v>
      </c>
      <c r="O52" s="4" t="s">
        <v>29</v>
      </c>
      <c r="P52" s="6"/>
      <c r="Q52" s="6"/>
      <c r="R52" s="6"/>
      <c r="S52" s="6"/>
      <c r="T52" s="6"/>
      <c r="U52" s="6"/>
      <c r="V52" s="6"/>
      <c r="W52" s="6"/>
      <c r="X52" s="6"/>
      <c r="Y52" s="6"/>
    </row>
    <row r="53">
      <c r="B53" s="4" t="s">
        <v>450</v>
      </c>
      <c r="C53" s="4" t="s">
        <v>451</v>
      </c>
      <c r="D53" s="4" t="s">
        <v>452</v>
      </c>
      <c r="E53" s="4" t="s">
        <v>453</v>
      </c>
      <c r="F53" s="4" t="str">
        <f>IFERROR(__XLUDF.DUMMYFUNCTION("PROPER(REGEXREPLACE(D38,""[^A-Za-z]+ "",""""))"),"Mongoo")</f>
        <v>Mongoo</v>
      </c>
      <c r="G53" s="4" t="s">
        <v>454</v>
      </c>
      <c r="H53" s="4">
        <v>5</v>
      </c>
      <c r="I53" s="4" t="s">
        <v>36</v>
      </c>
      <c r="J53" s="5" t="s">
        <v>455</v>
      </c>
      <c r="K53" s="5" t="s">
        <v>456</v>
      </c>
      <c r="L53" s="4" t="s">
        <v>39</v>
      </c>
      <c r="M53" s="4" t="s">
        <v>29</v>
      </c>
      <c r="N53" s="4" t="s">
        <v>457</v>
      </c>
      <c r="O53" s="4" t="s">
        <v>29</v>
      </c>
      <c r="P53" s="6"/>
      <c r="Q53" s="6"/>
      <c r="R53" s="6"/>
      <c r="S53" s="6"/>
      <c r="T53" s="6"/>
      <c r="U53" s="6"/>
      <c r="V53" s="6"/>
      <c r="W53" s="6"/>
      <c r="X53" s="6"/>
      <c r="Y53" s="6"/>
    </row>
    <row r="54">
      <c r="B54" s="4" t="s">
        <v>458</v>
      </c>
      <c r="C54" s="4" t="s">
        <v>459</v>
      </c>
      <c r="D54" s="4" t="s">
        <v>460</v>
      </c>
      <c r="E54" s="4" t="s">
        <v>461</v>
      </c>
      <c r="F54" s="4" t="str">
        <f>IFERROR(__XLUDF.DUMMYFUNCTION("PROPER(REGEXREPLACE(D39,""[^A-Za-z]+ "",""""))"),"Big Forno Group")</f>
        <v xml:space="preserve">Big Forno Group</v>
      </c>
      <c r="G54" s="4" t="s">
        <v>462</v>
      </c>
      <c r="H54" s="4">
        <v>38</v>
      </c>
      <c r="I54" s="4" t="s">
        <v>25</v>
      </c>
      <c r="J54" s="5" t="s">
        <v>463</v>
      </c>
      <c r="K54" s="5" t="s">
        <v>464</v>
      </c>
      <c r="L54" s="4" t="s">
        <v>465</v>
      </c>
      <c r="M54" s="4" t="s">
        <v>29</v>
      </c>
      <c r="N54" s="4" t="s">
        <v>466</v>
      </c>
      <c r="O54" s="4" t="s">
        <v>29</v>
      </c>
      <c r="P54" s="4" t="s">
        <v>467</v>
      </c>
      <c r="Q54" s="6"/>
      <c r="R54" s="6"/>
      <c r="S54" s="6"/>
      <c r="T54" s="6"/>
      <c r="U54" s="6"/>
      <c r="V54" s="6"/>
      <c r="W54" s="6"/>
      <c r="X54" s="6"/>
      <c r="Y54" s="6"/>
    </row>
    <row r="55">
      <c r="B55" s="4" t="s">
        <v>330</v>
      </c>
      <c r="C55" s="4" t="s">
        <v>20</v>
      </c>
      <c r="D55" s="4" t="s">
        <v>468</v>
      </c>
      <c r="E55" s="4" t="s">
        <v>469</v>
      </c>
      <c r="F55" s="4" t="str">
        <f>IFERROR(__XLUDF.DUMMYFUNCTION("PROPER(REGEXREPLACE(D40,""[^A-Za-z]+ "",""""))"),"L'Atelier")</f>
        <v>L'Atelier</v>
      </c>
      <c r="G55" s="4" t="s">
        <v>470</v>
      </c>
      <c r="H55" s="4">
        <v>23</v>
      </c>
      <c r="I55" s="4" t="s">
        <v>25</v>
      </c>
      <c r="J55" s="5" t="s">
        <v>471</v>
      </c>
      <c r="K55" s="5" t="s">
        <v>472</v>
      </c>
      <c r="L55" s="4" t="s">
        <v>473</v>
      </c>
      <c r="M55" s="4" t="s">
        <v>29</v>
      </c>
      <c r="N55" s="4" t="s">
        <v>474</v>
      </c>
      <c r="O55" s="4" t="s">
        <v>29</v>
      </c>
      <c r="P55" s="4" t="s">
        <v>475</v>
      </c>
      <c r="Q55" s="6"/>
      <c r="R55" s="6"/>
      <c r="S55" s="6"/>
      <c r="T55" s="6"/>
      <c r="U55" s="6"/>
      <c r="V55" s="6"/>
      <c r="W55" s="6"/>
      <c r="X55" s="6"/>
      <c r="Y55" s="6"/>
    </row>
    <row r="56">
      <c r="B56" s="4" t="s">
        <v>255</v>
      </c>
      <c r="C56" s="4" t="s">
        <v>476</v>
      </c>
      <c r="D56" s="4" t="s">
        <v>477</v>
      </c>
      <c r="E56" s="4" t="s">
        <v>478</v>
      </c>
      <c r="F56" s="4" t="str">
        <f>IFERROR(__XLUDF.DUMMYFUNCTION("PROPER(REGEXREPLACE(D41,""[^A-Za-z]+ "",""""))"),"La Friche Marcq")</f>
        <v xml:space="preserve">La Friche Marcq</v>
      </c>
      <c r="G56" s="4" t="s">
        <v>479</v>
      </c>
      <c r="H56" s="4">
        <v>16</v>
      </c>
      <c r="I56" s="4" t="s">
        <v>36</v>
      </c>
      <c r="J56" s="5" t="s">
        <v>480</v>
      </c>
      <c r="K56" s="5" t="s">
        <v>481</v>
      </c>
      <c r="L56" s="4" t="s">
        <v>482</v>
      </c>
      <c r="M56" s="4" t="s">
        <v>29</v>
      </c>
      <c r="N56" s="4" t="s">
        <v>483</v>
      </c>
      <c r="O56" s="4" t="s">
        <v>29</v>
      </c>
      <c r="P56" s="4" t="s">
        <v>484</v>
      </c>
      <c r="Q56" s="6"/>
      <c r="R56" s="6"/>
      <c r="S56" s="6"/>
      <c r="T56" s="6"/>
      <c r="U56" s="6"/>
      <c r="V56" s="6"/>
      <c r="W56" s="6"/>
      <c r="X56" s="6"/>
      <c r="Y56" s="6"/>
    </row>
    <row r="57">
      <c r="B57" s="4" t="s">
        <v>485</v>
      </c>
      <c r="C57" s="4" t="s">
        <v>486</v>
      </c>
      <c r="D57" s="4" t="s">
        <v>487</v>
      </c>
      <c r="E57" s="4" t="s">
        <v>488</v>
      </c>
      <c r="F57" s="4" t="str">
        <f>IFERROR(__XLUDF.DUMMYFUNCTION("PROPER(REGEXREPLACE(D42,""[^A-Za-z]+ "",""""))"),"Petit Comité")</f>
        <v xml:space="preserve">Petit Comité</v>
      </c>
      <c r="G57" s="4" t="s">
        <v>489</v>
      </c>
      <c r="H57" s="4">
        <v>17</v>
      </c>
      <c r="I57" s="4" t="s">
        <v>36</v>
      </c>
      <c r="J57" s="5" t="s">
        <v>490</v>
      </c>
      <c r="K57" s="5" t="s">
        <v>491</v>
      </c>
      <c r="L57" s="4" t="s">
        <v>492</v>
      </c>
      <c r="M57" s="4" t="s">
        <v>29</v>
      </c>
      <c r="N57" s="4" t="s">
        <v>493</v>
      </c>
      <c r="O57" s="4" t="s">
        <v>29</v>
      </c>
      <c r="P57" s="6"/>
      <c r="Q57" s="6"/>
      <c r="R57" s="6"/>
      <c r="S57" s="6"/>
      <c r="T57" s="6"/>
      <c r="U57" s="6"/>
      <c r="V57" s="6"/>
      <c r="W57" s="6"/>
      <c r="X57" s="6"/>
      <c r="Y57" s="6"/>
    </row>
    <row r="58">
      <c r="B58" s="4" t="s">
        <v>485</v>
      </c>
      <c r="C58" s="4" t="s">
        <v>494</v>
      </c>
      <c r="D58" s="4" t="s">
        <v>495</v>
      </c>
      <c r="E58" s="4" t="s">
        <v>496</v>
      </c>
      <c r="F58" s="4" t="str">
        <f>IFERROR(__XLUDF.DUMMYFUNCTION("PROPER(REGEXREPLACE(D43,""[^A-Za-z]+ "",""""))"),"Kestufaile Super Simulateur D'Avenir")</f>
        <v xml:space="preserve">Kestufaile Super Simulateur D'Avenir</v>
      </c>
      <c r="G58" s="4" t="s">
        <v>497</v>
      </c>
      <c r="H58" s="4">
        <v>2</v>
      </c>
      <c r="I58" s="4" t="s">
        <v>36</v>
      </c>
      <c r="J58" s="5" t="s">
        <v>498</v>
      </c>
      <c r="K58" s="5" t="s">
        <v>499</v>
      </c>
      <c r="L58" s="6"/>
      <c r="M58" s="4" t="s">
        <v>29</v>
      </c>
      <c r="N58" s="4" t="s">
        <v>500</v>
      </c>
      <c r="O58" s="4" t="s">
        <v>29</v>
      </c>
      <c r="P58" s="4" t="s">
        <v>501</v>
      </c>
      <c r="Q58" s="6"/>
      <c r="R58" s="6"/>
      <c r="S58" s="6"/>
      <c r="T58" s="6"/>
      <c r="U58" s="6"/>
      <c r="V58" s="6"/>
      <c r="W58" s="6"/>
      <c r="X58" s="6"/>
      <c r="Y58" s="6"/>
    </row>
    <row r="59">
      <c r="B59" s="4" t="s">
        <v>206</v>
      </c>
      <c r="C59" s="4" t="s">
        <v>502</v>
      </c>
      <c r="D59" s="4" t="s">
        <v>503</v>
      </c>
      <c r="E59" s="4" t="s">
        <v>504</v>
      </c>
      <c r="F59" s="4" t="str">
        <f>IFERROR(__XLUDF.DUMMYFUNCTION("PROPER(REGEXREPLACE(D44,""[^A-Za-z]+ "",""""))"),"Mercure Paris Porte De Versailles Expo")</f>
        <v xml:space="preserve">Mercure Paris Porte De Versailles Expo</v>
      </c>
      <c r="G59" s="4" t="s">
        <v>505</v>
      </c>
      <c r="H59" s="4">
        <v>63</v>
      </c>
      <c r="I59" s="4" t="s">
        <v>36</v>
      </c>
      <c r="J59" s="5" t="s">
        <v>506</v>
      </c>
      <c r="K59" s="5" t="s">
        <v>507</v>
      </c>
      <c r="L59" s="6"/>
      <c r="M59" s="4" t="s">
        <v>29</v>
      </c>
      <c r="N59" s="4" t="s">
        <v>508</v>
      </c>
      <c r="O59" s="4" t="s">
        <v>29</v>
      </c>
      <c r="P59" s="4" t="s">
        <v>509</v>
      </c>
      <c r="Q59" s="6"/>
      <c r="R59" s="6"/>
      <c r="S59" s="6"/>
      <c r="T59" s="6"/>
      <c r="U59" s="6"/>
      <c r="V59" s="6"/>
      <c r="W59" s="6"/>
      <c r="X59" s="6"/>
      <c r="Y59" s="6"/>
    </row>
    <row r="60">
      <c r="B60" s="4" t="s">
        <v>510</v>
      </c>
      <c r="C60" s="4" t="s">
        <v>511</v>
      </c>
      <c r="D60" s="4" t="s">
        <v>44</v>
      </c>
      <c r="E60" s="4" t="s">
        <v>512</v>
      </c>
      <c r="F60" s="4" t="str">
        <f>IFERROR(__XLUDF.DUMMYFUNCTION("PROPER(REGEXREPLACE(D45,""[^A-Za-z]+ "",""""))"),"Hôtel B Designspa")</f>
        <v xml:space="preserve">Hôtel B Designspa</v>
      </c>
      <c r="G60" s="4" t="s">
        <v>513</v>
      </c>
      <c r="H60" s="4">
        <v>6</v>
      </c>
      <c r="I60" s="4" t="s">
        <v>157</v>
      </c>
      <c r="J60" s="5" t="s">
        <v>514</v>
      </c>
      <c r="K60" s="5" t="s">
        <v>515</v>
      </c>
      <c r="L60" s="4" t="s">
        <v>39</v>
      </c>
      <c r="M60" s="4" t="s">
        <v>29</v>
      </c>
      <c r="N60" s="4" t="s">
        <v>516</v>
      </c>
      <c r="O60" s="4" t="s">
        <v>29</v>
      </c>
      <c r="P60" s="6"/>
      <c r="Q60" s="6"/>
      <c r="R60" s="6"/>
      <c r="S60" s="6"/>
      <c r="T60" s="6"/>
      <c r="U60" s="6"/>
      <c r="V60" s="6"/>
      <c r="W60" s="6"/>
      <c r="X60" s="6"/>
      <c r="Y60" s="6"/>
    </row>
    <row r="61">
      <c r="B61" s="4" t="s">
        <v>517</v>
      </c>
      <c r="C61" s="4" t="s">
        <v>518</v>
      </c>
      <c r="D61" s="4" t="s">
        <v>519</v>
      </c>
      <c r="E61" s="4" t="s">
        <v>520</v>
      </c>
      <c r="F61" s="4" t="str">
        <f>IFERROR(__XLUDF.DUMMYFUNCTION("PROPER(REGEXREPLACE(D46,""[^A-Za-z]+ "",""""))"),"Coolangatta Group")</f>
        <v xml:space="preserve">Coolangatta Group</v>
      </c>
      <c r="G61" s="4" t="s">
        <v>521</v>
      </c>
      <c r="H61" s="4">
        <v>13</v>
      </c>
      <c r="I61" s="4" t="s">
        <v>36</v>
      </c>
      <c r="J61" s="5" t="s">
        <v>522</v>
      </c>
      <c r="K61" s="5" t="s">
        <v>523</v>
      </c>
      <c r="L61" s="4" t="s">
        <v>39</v>
      </c>
      <c r="M61" s="4" t="s">
        <v>29</v>
      </c>
      <c r="N61" s="4" t="s">
        <v>67</v>
      </c>
      <c r="O61" s="4" t="s">
        <v>29</v>
      </c>
      <c r="P61" s="4" t="s">
        <v>524</v>
      </c>
      <c r="Q61" s="6"/>
      <c r="R61" s="6"/>
      <c r="S61" s="6"/>
      <c r="T61" s="6"/>
      <c r="U61" s="6"/>
      <c r="V61" s="6"/>
      <c r="W61" s="6"/>
      <c r="X61" s="6"/>
      <c r="Y61" s="6"/>
    </row>
    <row r="62">
      <c r="B62" s="4" t="s">
        <v>525</v>
      </c>
      <c r="C62" s="4" t="s">
        <v>526</v>
      </c>
      <c r="D62" s="4" t="s">
        <v>527</v>
      </c>
      <c r="E62" s="4" t="s">
        <v>528</v>
      </c>
      <c r="F62" s="4" t="str">
        <f>IFERROR(__XLUDF.DUMMYFUNCTION("PROPER(REGEXREPLACE(D47,""[^A-Za-z]+ "",""""))"),"Hôtel Le Mirage")</f>
        <v xml:space="preserve">Hôtel Le Mirage</v>
      </c>
      <c r="G62" s="4" t="s">
        <v>529</v>
      </c>
      <c r="H62" s="4">
        <v>12</v>
      </c>
      <c r="I62" s="4" t="s">
        <v>25</v>
      </c>
      <c r="J62" s="5" t="s">
        <v>530</v>
      </c>
      <c r="K62" s="5" t="s">
        <v>531</v>
      </c>
      <c r="L62" s="4" t="s">
        <v>39</v>
      </c>
      <c r="M62" s="4" t="s">
        <v>29</v>
      </c>
      <c r="N62" s="4" t="s">
        <v>67</v>
      </c>
      <c r="O62" s="4" t="s">
        <v>29</v>
      </c>
      <c r="P62" s="6"/>
      <c r="Q62" s="6"/>
      <c r="R62" s="6"/>
      <c r="S62" s="6"/>
      <c r="T62" s="6"/>
      <c r="U62" s="6"/>
      <c r="V62" s="6"/>
      <c r="W62" s="6"/>
      <c r="X62" s="6"/>
      <c r="Y62" s="6"/>
    </row>
    <row r="63">
      <c r="B63" s="4" t="s">
        <v>206</v>
      </c>
      <c r="C63" s="4" t="s">
        <v>532</v>
      </c>
      <c r="D63" s="4" t="s">
        <v>315</v>
      </c>
      <c r="E63" s="4" t="s">
        <v>533</v>
      </c>
      <c r="F63" s="4" t="str">
        <f>IFERROR(__XLUDF.DUMMYFUNCTION("PROPER(REGEXREPLACE(D48,""[^A-Za-z]+ "",""""))"),"Hôtel Amour Nice")</f>
        <v xml:space="preserve">Hôtel Amour Nice</v>
      </c>
      <c r="G63" s="4" t="s">
        <v>534</v>
      </c>
      <c r="H63" s="4">
        <v>35</v>
      </c>
      <c r="I63" s="4" t="s">
        <v>90</v>
      </c>
      <c r="J63" s="5" t="s">
        <v>535</v>
      </c>
      <c r="K63" s="5" t="s">
        <v>536</v>
      </c>
      <c r="L63" s="4" t="s">
        <v>39</v>
      </c>
      <c r="M63" s="4" t="s">
        <v>29</v>
      </c>
      <c r="N63" s="4" t="s">
        <v>537</v>
      </c>
      <c r="O63" s="4" t="s">
        <v>29</v>
      </c>
      <c r="P63" s="4" t="s">
        <v>538</v>
      </c>
      <c r="Q63" s="6"/>
      <c r="R63" s="6"/>
      <c r="S63" s="6"/>
      <c r="T63" s="6"/>
      <c r="U63" s="6"/>
      <c r="V63" s="6"/>
      <c r="W63" s="6"/>
      <c r="X63" s="6"/>
      <c r="Y63" s="6"/>
    </row>
    <row r="64">
      <c r="B64" s="4" t="s">
        <v>539</v>
      </c>
      <c r="C64" s="4" t="s">
        <v>540</v>
      </c>
      <c r="D64" s="4" t="s">
        <v>541</v>
      </c>
      <c r="E64" s="4" t="s">
        <v>542</v>
      </c>
      <c r="F64" s="4" t="str">
        <f>IFERROR(__XLUDF.DUMMYFUNCTION("PROPER(REGEXREPLACE(D49,""[^A-Za-z]+ "",""""))"),"Village Igloo")</f>
        <v xml:space="preserve">Village Igloo</v>
      </c>
      <c r="G64" s="4" t="s">
        <v>543</v>
      </c>
      <c r="H64" s="4">
        <v>8</v>
      </c>
      <c r="I64" s="4" t="s">
        <v>36</v>
      </c>
      <c r="J64" s="5" t="s">
        <v>544</v>
      </c>
      <c r="K64" s="5" t="s">
        <v>545</v>
      </c>
      <c r="L64" s="4" t="s">
        <v>39</v>
      </c>
      <c r="M64" s="4" t="s">
        <v>29</v>
      </c>
      <c r="N64" s="4" t="s">
        <v>546</v>
      </c>
      <c r="O64" s="4" t="s">
        <v>29</v>
      </c>
      <c r="P64" s="4" t="s">
        <v>547</v>
      </c>
      <c r="Q64" s="6"/>
      <c r="R64" s="6"/>
      <c r="S64" s="6"/>
      <c r="T64" s="6"/>
      <c r="U64" s="6"/>
      <c r="V64" s="6"/>
      <c r="W64" s="6"/>
      <c r="X64" s="6"/>
      <c r="Y64" s="6"/>
    </row>
    <row r="65">
      <c r="B65" s="4" t="s">
        <v>548</v>
      </c>
      <c r="C65" s="4" t="s">
        <v>549</v>
      </c>
      <c r="D65" s="4" t="s">
        <v>87</v>
      </c>
      <c r="E65" s="4" t="s">
        <v>550</v>
      </c>
      <c r="F65" s="4" t="str">
        <f>IFERROR(__XLUDF.DUMMYFUNCTION("PROPER(REGEXREPLACE(D50,""[^A-Za-z]+ "",""""))"),"Le Green Des Impressionnistes")</f>
        <v xml:space="preserve">Le Green Des Impressionnistes</v>
      </c>
      <c r="G65" s="4" t="s">
        <v>551</v>
      </c>
      <c r="H65" s="4">
        <v>6</v>
      </c>
      <c r="I65" s="4" t="s">
        <v>25</v>
      </c>
      <c r="J65" s="5" t="s">
        <v>552</v>
      </c>
      <c r="K65" s="5" t="s">
        <v>553</v>
      </c>
      <c r="L65" s="4" t="s">
        <v>39</v>
      </c>
      <c r="M65" s="4" t="s">
        <v>29</v>
      </c>
      <c r="N65" s="4" t="s">
        <v>554</v>
      </c>
      <c r="O65" s="4" t="s">
        <v>29</v>
      </c>
      <c r="P65" s="4" t="s">
        <v>555</v>
      </c>
      <c r="Q65" s="6"/>
      <c r="R65" s="6"/>
      <c r="S65" s="6"/>
      <c r="T65" s="6"/>
      <c r="U65" s="6"/>
      <c r="V65" s="6"/>
      <c r="W65" s="6"/>
      <c r="X65" s="6"/>
      <c r="Y65" s="6"/>
    </row>
    <row r="66">
      <c r="B66" s="4" t="s">
        <v>556</v>
      </c>
      <c r="C66" s="4" t="s">
        <v>557</v>
      </c>
      <c r="D66" s="4" t="s">
        <v>172</v>
      </c>
      <c r="E66" s="4" t="s">
        <v>558</v>
      </c>
      <c r="F66" s="4" t="str">
        <f>IFERROR(__XLUDF.DUMMYFUNCTION("PROPER(REGEXREPLACE(D51,""[^A-Za-z]+ "",""""))"),"La Butte")</f>
        <v xml:space="preserve">La Butte</v>
      </c>
      <c r="G66" s="4" t="s">
        <v>559</v>
      </c>
      <c r="H66" s="4">
        <v>50</v>
      </c>
      <c r="I66" s="4" t="s">
        <v>25</v>
      </c>
      <c r="J66" s="5" t="s">
        <v>560</v>
      </c>
      <c r="K66" s="5" t="s">
        <v>561</v>
      </c>
      <c r="L66" s="4" t="s">
        <v>562</v>
      </c>
      <c r="M66" s="4" t="s">
        <v>29</v>
      </c>
      <c r="N66" s="4" t="s">
        <v>563</v>
      </c>
      <c r="O66" s="4" t="s">
        <v>29</v>
      </c>
      <c r="P66" s="4" t="s">
        <v>564</v>
      </c>
      <c r="Q66" s="6"/>
      <c r="R66" s="6"/>
      <c r="S66" s="6"/>
      <c r="T66" s="6"/>
      <c r="U66" s="6"/>
      <c r="V66" s="6"/>
      <c r="W66" s="6"/>
      <c r="X66" s="6"/>
      <c r="Y66" s="6"/>
    </row>
    <row r="67">
      <c r="B67" s="4" t="s">
        <v>178</v>
      </c>
      <c r="C67" s="4" t="s">
        <v>565</v>
      </c>
      <c r="D67" s="4" t="s">
        <v>172</v>
      </c>
      <c r="E67" s="4" t="s">
        <v>566</v>
      </c>
      <c r="F67" s="4" t="str">
        <f>IFERROR(__XLUDF.DUMMYFUNCTION("PROPER(REGEXREPLACE(D52,""[^A-Za-z]+ "",""""))"),"Patchwork")</f>
        <v>Patchwork</v>
      </c>
      <c r="G67" s="4" t="s">
        <v>567</v>
      </c>
      <c r="H67" s="4">
        <v>43</v>
      </c>
      <c r="I67" s="4" t="s">
        <v>36</v>
      </c>
      <c r="J67" s="5" t="s">
        <v>568</v>
      </c>
      <c r="K67" s="5" t="s">
        <v>569</v>
      </c>
      <c r="L67" s="4" t="s">
        <v>39</v>
      </c>
      <c r="M67" s="4" t="s">
        <v>29</v>
      </c>
      <c r="N67" s="4" t="s">
        <v>67</v>
      </c>
      <c r="O67" s="4" t="s">
        <v>29</v>
      </c>
      <c r="P67" s="4" t="s">
        <v>570</v>
      </c>
      <c r="Q67" s="6"/>
      <c r="R67" s="6"/>
      <c r="S67" s="6"/>
      <c r="T67" s="6"/>
      <c r="U67" s="6"/>
      <c r="V67" s="6"/>
      <c r="W67" s="6"/>
      <c r="X67" s="6"/>
      <c r="Y67" s="6"/>
    </row>
    <row r="68">
      <c r="B68" s="4" t="s">
        <v>571</v>
      </c>
      <c r="C68" s="4" t="s">
        <v>572</v>
      </c>
      <c r="D68" s="4" t="s">
        <v>112</v>
      </c>
      <c r="E68" s="4" t="s">
        <v>573</v>
      </c>
      <c r="F68" s="4" t="str">
        <f>IFERROR(__XLUDF.DUMMYFUNCTION("PROPER(REGEXREPLACE(D53,""[^A-Za-z]+ "",""""))"),"L'Epopee")</f>
        <v>L'Epopee</v>
      </c>
      <c r="G68" s="4" t="s">
        <v>574</v>
      </c>
      <c r="H68" s="4">
        <v>29</v>
      </c>
      <c r="I68" s="4" t="s">
        <v>36</v>
      </c>
      <c r="J68" s="5" t="s">
        <v>575</v>
      </c>
      <c r="K68" s="5" t="s">
        <v>576</v>
      </c>
      <c r="L68" s="4" t="s">
        <v>243</v>
      </c>
      <c r="M68" s="4" t="s">
        <v>29</v>
      </c>
      <c r="N68" s="4" t="s">
        <v>577</v>
      </c>
      <c r="O68" s="4" t="s">
        <v>29</v>
      </c>
      <c r="P68" s="4" t="s">
        <v>578</v>
      </c>
      <c r="Q68" s="6"/>
      <c r="R68" s="6"/>
      <c r="S68" s="6"/>
      <c r="T68" s="6"/>
      <c r="U68" s="6"/>
      <c r="V68" s="6"/>
      <c r="W68" s="6"/>
      <c r="X68" s="6"/>
      <c r="Y68" s="6"/>
    </row>
    <row r="69">
      <c r="B69" s="4" t="s">
        <v>579</v>
      </c>
      <c r="C69" s="4" t="s">
        <v>580</v>
      </c>
      <c r="D69" s="4" t="s">
        <v>120</v>
      </c>
      <c r="E69" s="4" t="s">
        <v>581</v>
      </c>
      <c r="F69" s="4" t="str">
        <f>IFERROR(__XLUDF.DUMMYFUNCTION("PROPER(REGEXREPLACE(D54,""[^A-Za-z]+ "",""""))"),"Cap D'Antibes")</f>
        <v xml:space="preserve">Cap D'Antibes</v>
      </c>
      <c r="G69" s="4" t="s">
        <v>582</v>
      </c>
      <c r="H69" s="4">
        <v>34</v>
      </c>
      <c r="I69" s="4" t="s">
        <v>36</v>
      </c>
      <c r="J69" s="5" t="s">
        <v>583</v>
      </c>
      <c r="K69" s="5" t="s">
        <v>584</v>
      </c>
      <c r="L69" s="4" t="s">
        <v>585</v>
      </c>
      <c r="M69" s="4" t="s">
        <v>29</v>
      </c>
      <c r="N69" s="4" t="s">
        <v>586</v>
      </c>
      <c r="O69" s="4" t="s">
        <v>29</v>
      </c>
      <c r="P69" s="4" t="s">
        <v>587</v>
      </c>
      <c r="Q69" s="6"/>
      <c r="R69" s="6"/>
      <c r="S69" s="6"/>
      <c r="T69" s="6"/>
      <c r="U69" s="6"/>
      <c r="V69" s="6"/>
      <c r="W69" s="6"/>
      <c r="X69" s="6"/>
      <c r="Y69" s="6"/>
    </row>
    <row r="70">
      <c r="B70" s="4" t="s">
        <v>588</v>
      </c>
      <c r="C70" s="4" t="s">
        <v>589</v>
      </c>
      <c r="D70" s="4" t="s">
        <v>120</v>
      </c>
      <c r="E70" s="4" t="s">
        <v>590</v>
      </c>
      <c r="F70" s="4" t="str">
        <f>IFERROR(__XLUDF.DUMMYFUNCTION("PROPER(REGEXREPLACE(D55,""[^A-Za-z]+ "",""""))"),"Le Château De Fère Hôtelspa *****")</f>
        <v xml:space="preserve">Le Château De Fère Hôtelspa *****</v>
      </c>
      <c r="G70" s="4" t="s">
        <v>591</v>
      </c>
      <c r="H70" s="4">
        <v>26</v>
      </c>
      <c r="I70" s="4" t="s">
        <v>36</v>
      </c>
      <c r="J70" s="5" t="s">
        <v>592</v>
      </c>
      <c r="K70" s="5" t="s">
        <v>593</v>
      </c>
      <c r="L70" s="4" t="s">
        <v>482</v>
      </c>
      <c r="M70" s="4" t="s">
        <v>29</v>
      </c>
      <c r="N70" s="4" t="s">
        <v>594</v>
      </c>
      <c r="O70" s="4" t="s">
        <v>595</v>
      </c>
      <c r="P70" s="6"/>
      <c r="Q70" s="6"/>
      <c r="R70" s="6"/>
      <c r="S70" s="6"/>
      <c r="T70" s="6"/>
      <c r="U70" s="6"/>
      <c r="V70" s="6"/>
      <c r="W70" s="6"/>
      <c r="X70" s="6"/>
      <c r="Y70" s="6"/>
    </row>
    <row r="71">
      <c r="B71" s="4" t="s">
        <v>596</v>
      </c>
      <c r="C71" s="4" t="s">
        <v>597</v>
      </c>
      <c r="D71" s="4" t="s">
        <v>365</v>
      </c>
      <c r="E71" s="4" t="s">
        <v>598</v>
      </c>
      <c r="F71" s="4" t="str">
        <f>IFERROR(__XLUDF.DUMMYFUNCTION("PROPER(REGEXREPLACE(D56,""[^A-Za-z]+ "",""""))"),"Muchacha Montpellier")</f>
        <v xml:space="preserve">Muchacha Montpellier</v>
      </c>
      <c r="G71" s="4" t="s">
        <v>599</v>
      </c>
      <c r="H71" s="4">
        <v>9</v>
      </c>
      <c r="I71" s="4" t="s">
        <v>36</v>
      </c>
      <c r="J71" s="5" t="s">
        <v>600</v>
      </c>
      <c r="K71" s="5" t="s">
        <v>601</v>
      </c>
      <c r="L71" s="4" t="s">
        <v>39</v>
      </c>
      <c r="M71" s="4" t="s">
        <v>29</v>
      </c>
      <c r="N71" s="4" t="s">
        <v>602</v>
      </c>
      <c r="O71" s="4" t="s">
        <v>29</v>
      </c>
      <c r="P71" s="4" t="s">
        <v>603</v>
      </c>
      <c r="Q71" s="6"/>
      <c r="R71" s="6"/>
      <c r="S71" s="6"/>
      <c r="T71" s="6"/>
      <c r="U71" s="6"/>
      <c r="V71" s="6"/>
      <c r="W71" s="6"/>
      <c r="X71" s="6"/>
      <c r="Y71" s="6"/>
    </row>
    <row r="72">
      <c r="B72" s="4" t="s">
        <v>604</v>
      </c>
      <c r="C72" s="4" t="s">
        <v>605</v>
      </c>
      <c r="D72" s="4" t="s">
        <v>606</v>
      </c>
      <c r="E72" s="4" t="s">
        <v>607</v>
      </c>
      <c r="F72" s="4" t="str">
        <f>IFERROR(__XLUDF.DUMMYFUNCTION("PROPER(REGEXREPLACE(D57,""[^A-Za-z]+ "",""""))"),"Maison Guéret 1880")</f>
        <v xml:space="preserve">Maison Guéret 1880</v>
      </c>
      <c r="G72" s="4" t="s">
        <v>608</v>
      </c>
      <c r="H72" s="4">
        <v>16</v>
      </c>
      <c r="I72" s="4" t="s">
        <v>36</v>
      </c>
      <c r="J72" s="5" t="s">
        <v>609</v>
      </c>
      <c r="K72" s="5" t="s">
        <v>610</v>
      </c>
      <c r="L72" s="6"/>
      <c r="M72" s="4" t="s">
        <v>29</v>
      </c>
      <c r="N72" s="4" t="s">
        <v>611</v>
      </c>
      <c r="O72" s="4" t="s">
        <v>29</v>
      </c>
      <c r="P72" s="4" t="s">
        <v>612</v>
      </c>
      <c r="Q72" s="6"/>
      <c r="R72" s="6"/>
      <c r="S72" s="6"/>
      <c r="T72" s="6"/>
      <c r="U72" s="6"/>
      <c r="V72" s="6"/>
      <c r="W72" s="6"/>
      <c r="X72" s="6"/>
      <c r="Y72" s="6"/>
    </row>
    <row r="73">
      <c r="B73" s="4" t="s">
        <v>613</v>
      </c>
      <c r="C73" s="4" t="s">
        <v>614</v>
      </c>
      <c r="D73" s="4" t="s">
        <v>426</v>
      </c>
      <c r="E73" s="4" t="s">
        <v>615</v>
      </c>
      <c r="F73" s="4" t="str">
        <f>IFERROR(__XLUDF.DUMMYFUNCTION("PROPER(REGEXREPLACE(D58,""[^A-Za-z]+ "",""""))"),"La Frairie")</f>
        <v xml:space="preserve">La Frairie</v>
      </c>
      <c r="G73" s="4" t="s">
        <v>616</v>
      </c>
      <c r="H73" s="4">
        <v>17</v>
      </c>
      <c r="I73" s="4" t="s">
        <v>25</v>
      </c>
      <c r="J73" s="5" t="s">
        <v>617</v>
      </c>
      <c r="K73" s="5" t="s">
        <v>618</v>
      </c>
      <c r="L73" s="4" t="s">
        <v>619</v>
      </c>
      <c r="M73" s="4" t="s">
        <v>29</v>
      </c>
      <c r="N73" s="4" t="s">
        <v>620</v>
      </c>
      <c r="O73" s="4" t="s">
        <v>29</v>
      </c>
      <c r="P73" s="4" t="s">
        <v>621</v>
      </c>
      <c r="Q73" s="6"/>
      <c r="R73" s="6"/>
      <c r="S73" s="6"/>
      <c r="T73" s="6"/>
      <c r="U73" s="6"/>
      <c r="V73" s="6"/>
      <c r="W73" s="6"/>
      <c r="X73" s="6"/>
      <c r="Y73" s="6"/>
    </row>
    <row r="74">
      <c r="B74" s="4" t="s">
        <v>622</v>
      </c>
      <c r="C74" s="4" t="s">
        <v>623</v>
      </c>
      <c r="D74" s="4" t="s">
        <v>172</v>
      </c>
      <c r="E74" s="4" t="s">
        <v>624</v>
      </c>
      <c r="F74" s="4" t="str">
        <f>IFERROR(__XLUDF.DUMMYFUNCTION("PROPER(REGEXREPLACE(D59,""[^A-Za-z]+ "",""""))"),"Delicious")</f>
        <v>Delicious</v>
      </c>
      <c r="G74" s="4" t="s">
        <v>625</v>
      </c>
      <c r="H74" s="4">
        <v>7</v>
      </c>
      <c r="I74" s="4" t="s">
        <v>25</v>
      </c>
      <c r="J74" s="5" t="s">
        <v>626</v>
      </c>
      <c r="K74" s="5" t="s">
        <v>627</v>
      </c>
      <c r="L74" s="4" t="s">
        <v>243</v>
      </c>
      <c r="M74" s="4" t="s">
        <v>29</v>
      </c>
      <c r="N74" s="4" t="s">
        <v>628</v>
      </c>
      <c r="O74" s="4" t="s">
        <v>29</v>
      </c>
      <c r="P74" s="4" t="s">
        <v>629</v>
      </c>
      <c r="Q74" s="6"/>
      <c r="R74" s="6"/>
      <c r="S74" s="6"/>
      <c r="T74" s="6"/>
      <c r="U74" s="6"/>
      <c r="V74" s="6"/>
      <c r="W74" s="6"/>
      <c r="X74" s="6"/>
      <c r="Y74" s="6"/>
    </row>
    <row r="75">
      <c r="B75" s="4" t="s">
        <v>630</v>
      </c>
      <c r="C75" s="4" t="s">
        <v>631</v>
      </c>
      <c r="D75" s="4" t="s">
        <v>172</v>
      </c>
      <c r="E75" s="4" t="s">
        <v>632</v>
      </c>
      <c r="F75" s="4" t="str">
        <f>IFERROR(__XLUDF.DUMMYFUNCTION("PROPER(REGEXREPLACE(D60,""[^A-Za-z]+ "",""""))"),"Cuts")</f>
        <v>Cuts</v>
      </c>
      <c r="G75" s="4" t="s">
        <v>633</v>
      </c>
      <c r="H75" s="4">
        <v>25</v>
      </c>
      <c r="I75" s="4" t="s">
        <v>25</v>
      </c>
      <c r="J75" s="5" t="s">
        <v>634</v>
      </c>
      <c r="K75" s="5" t="s">
        <v>635</v>
      </c>
      <c r="L75" s="4" t="s">
        <v>39</v>
      </c>
      <c r="M75" s="4" t="s">
        <v>29</v>
      </c>
      <c r="N75" s="4" t="s">
        <v>636</v>
      </c>
      <c r="O75" s="4" t="s">
        <v>29</v>
      </c>
      <c r="P75" s="4" t="s">
        <v>637</v>
      </c>
      <c r="Q75" s="6"/>
      <c r="R75" s="6"/>
      <c r="S75" s="6"/>
      <c r="T75" s="6"/>
      <c r="U75" s="6"/>
      <c r="V75" s="6"/>
      <c r="W75" s="6"/>
      <c r="X75" s="6"/>
      <c r="Y75" s="6"/>
    </row>
    <row r="76">
      <c r="B76" s="4" t="s">
        <v>638</v>
      </c>
      <c r="C76" s="4" t="s">
        <v>639</v>
      </c>
      <c r="D76" s="4" t="s">
        <v>172</v>
      </c>
      <c r="E76" s="4" t="s">
        <v>640</v>
      </c>
      <c r="F76" s="4" t="str">
        <f>IFERROR(__XLUDF.DUMMYFUNCTION("PROPER(REGEXREPLACE(D61,""[^A-Za-z]+ "",""""))"),"Foodjer")</f>
        <v>Foodjer</v>
      </c>
      <c r="G76" s="4" t="s">
        <v>641</v>
      </c>
      <c r="H76" s="4">
        <v>13</v>
      </c>
      <c r="I76" s="4" t="s">
        <v>25</v>
      </c>
      <c r="J76" s="5" t="s">
        <v>642</v>
      </c>
      <c r="K76" s="5" t="s">
        <v>643</v>
      </c>
      <c r="L76" s="4" t="s">
        <v>39</v>
      </c>
      <c r="M76" s="4" t="s">
        <v>29</v>
      </c>
      <c r="N76" s="4" t="s">
        <v>644</v>
      </c>
      <c r="O76" s="4" t="s">
        <v>29</v>
      </c>
      <c r="P76" s="6"/>
      <c r="Q76" s="6"/>
      <c r="R76" s="6"/>
      <c r="S76" s="6"/>
      <c r="T76" s="6"/>
      <c r="U76" s="6"/>
      <c r="V76" s="6"/>
      <c r="W76" s="6"/>
      <c r="X76" s="6"/>
      <c r="Y76" s="6"/>
    </row>
    <row r="77">
      <c r="B77" s="4" t="s">
        <v>645</v>
      </c>
      <c r="C77" s="4" t="s">
        <v>646</v>
      </c>
      <c r="D77" s="4" t="s">
        <v>172</v>
      </c>
      <c r="E77" s="4" t="s">
        <v>647</v>
      </c>
      <c r="F77" s="4" t="str">
        <f>IFERROR(__XLUDF.DUMMYFUNCTION("PROPER(REGEXREPLACE(D62,""[^A-Za-z]+ "",""""))"),"Groupe Centaurus")</f>
        <v xml:space="preserve">Groupe Centaurus</v>
      </c>
      <c r="G77" s="4" t="s">
        <v>648</v>
      </c>
      <c r="H77" s="4">
        <v>11</v>
      </c>
      <c r="I77" s="4" t="s">
        <v>25</v>
      </c>
      <c r="J77" s="5" t="s">
        <v>649</v>
      </c>
      <c r="K77" s="5" t="s">
        <v>650</v>
      </c>
      <c r="L77" s="4" t="s">
        <v>651</v>
      </c>
      <c r="M77" s="4" t="s">
        <v>29</v>
      </c>
      <c r="N77" s="4" t="s">
        <v>652</v>
      </c>
      <c r="O77" s="4" t="s">
        <v>29</v>
      </c>
      <c r="P77" s="6"/>
      <c r="Q77" s="6"/>
      <c r="R77" s="6"/>
      <c r="S77" s="6"/>
      <c r="T77" s="6"/>
      <c r="U77" s="6"/>
      <c r="V77" s="6"/>
      <c r="W77" s="6"/>
      <c r="X77" s="6"/>
      <c r="Y77" s="6"/>
    </row>
    <row r="78">
      <c r="B78" s="4" t="s">
        <v>653</v>
      </c>
      <c r="C78" s="4" t="s">
        <v>654</v>
      </c>
      <c r="D78" s="4" t="s">
        <v>172</v>
      </c>
      <c r="E78" s="4" t="s">
        <v>655</v>
      </c>
      <c r="F78" s="4" t="str">
        <f>IFERROR(__XLUDF.DUMMYFUNCTION("PROPER(REGEXREPLACE(D63,""[^A-Za-z]+ "",""""))"),"Misterb&amp;B")</f>
        <v>Misterb&amp;B</v>
      </c>
      <c r="G78" s="4" t="s">
        <v>656</v>
      </c>
      <c r="H78" s="4">
        <v>5</v>
      </c>
      <c r="I78" s="4" t="s">
        <v>36</v>
      </c>
      <c r="J78" s="5" t="s">
        <v>657</v>
      </c>
      <c r="K78" s="5" t="s">
        <v>658</v>
      </c>
      <c r="L78" s="4" t="s">
        <v>185</v>
      </c>
      <c r="M78" s="4" t="s">
        <v>29</v>
      </c>
      <c r="N78" s="4" t="s">
        <v>659</v>
      </c>
      <c r="O78" s="4" t="s">
        <v>29</v>
      </c>
      <c r="P78" s="4" t="s">
        <v>660</v>
      </c>
      <c r="Q78" s="6"/>
      <c r="R78" s="6"/>
      <c r="S78" s="6"/>
      <c r="T78" s="6"/>
      <c r="U78" s="6"/>
      <c r="V78" s="6"/>
      <c r="W78" s="6"/>
      <c r="X78" s="6"/>
      <c r="Y78" s="6"/>
    </row>
    <row r="79">
      <c r="B79" s="4" t="s">
        <v>661</v>
      </c>
      <c r="C79" s="4" t="s">
        <v>662</v>
      </c>
      <c r="D79" s="4" t="s">
        <v>663</v>
      </c>
      <c r="E79" s="4" t="s">
        <v>664</v>
      </c>
      <c r="F79" s="4" t="str">
        <f>IFERROR(__XLUDF.DUMMYFUNCTION("PROPER(REGEXREPLACE(D64,""[^A-Za-z]+ "",""""))"),"Heqtor")</f>
        <v>Heqtor</v>
      </c>
      <c r="G79" s="4" t="s">
        <v>665</v>
      </c>
      <c r="H79" s="4">
        <v>47</v>
      </c>
      <c r="I79" s="4" t="s">
        <v>25</v>
      </c>
      <c r="J79" s="5" t="s">
        <v>666</v>
      </c>
      <c r="K79" s="5" t="s">
        <v>667</v>
      </c>
      <c r="L79" s="4" t="s">
        <v>39</v>
      </c>
      <c r="M79" s="4" t="s">
        <v>29</v>
      </c>
      <c r="N79" s="4" t="s">
        <v>668</v>
      </c>
      <c r="O79" s="4" t="s">
        <v>29</v>
      </c>
      <c r="P79" s="4" t="s">
        <v>669</v>
      </c>
      <c r="Q79" s="6"/>
      <c r="R79" s="6"/>
      <c r="S79" s="6"/>
      <c r="T79" s="6"/>
      <c r="U79" s="6"/>
      <c r="V79" s="6"/>
      <c r="W79" s="6"/>
      <c r="X79" s="6"/>
      <c r="Y79" s="6"/>
    </row>
    <row r="80">
      <c r="B80" s="4" t="s">
        <v>670</v>
      </c>
      <c r="C80" s="4" t="s">
        <v>671</v>
      </c>
      <c r="D80" s="4" t="s">
        <v>672</v>
      </c>
      <c r="E80" s="4" t="s">
        <v>673</v>
      </c>
      <c r="F80" s="4" t="str">
        <f>IFERROR(__XLUDF.DUMMYFUNCTION("PROPER(REGEXREPLACE(D65,""[^A-Za-z]+ "",""""))"),"Weekome")</f>
        <v>Weekome</v>
      </c>
      <c r="G80" s="4" t="s">
        <v>674</v>
      </c>
      <c r="H80" s="4">
        <v>4</v>
      </c>
      <c r="I80" s="4" t="s">
        <v>25</v>
      </c>
      <c r="J80" s="5" t="s">
        <v>675</v>
      </c>
      <c r="K80" s="5" t="s">
        <v>676</v>
      </c>
      <c r="L80" s="4" t="s">
        <v>39</v>
      </c>
      <c r="M80" s="4" t="s">
        <v>29</v>
      </c>
      <c r="N80" s="4" t="s">
        <v>677</v>
      </c>
      <c r="O80" s="4" t="s">
        <v>29</v>
      </c>
      <c r="P80" s="4" t="s">
        <v>678</v>
      </c>
      <c r="Q80" s="6"/>
      <c r="R80" s="6"/>
      <c r="S80" s="6"/>
      <c r="T80" s="6"/>
      <c r="U80" s="6"/>
      <c r="V80" s="6"/>
      <c r="W80" s="6"/>
      <c r="X80" s="6"/>
      <c r="Y80" s="6"/>
    </row>
    <row r="81">
      <c r="B81" s="4" t="s">
        <v>679</v>
      </c>
      <c r="C81" s="4" t="s">
        <v>680</v>
      </c>
      <c r="D81" s="4" t="s">
        <v>681</v>
      </c>
      <c r="E81" s="4" t="s">
        <v>682</v>
      </c>
      <c r="F81" s="4" t="str">
        <f>IFERROR(__XLUDF.DUMMYFUNCTION("PROPER(REGEXREPLACE(D66,""[^A-Za-z]+ "",""""))"),"Autograph Collection")</f>
        <v xml:space="preserve">Autograph Collection</v>
      </c>
      <c r="G81" s="4" t="s">
        <v>683</v>
      </c>
      <c r="H81" s="4">
        <v>25</v>
      </c>
      <c r="I81" s="4" t="s">
        <v>25</v>
      </c>
      <c r="J81" s="5" t="s">
        <v>684</v>
      </c>
      <c r="K81" s="5" t="s">
        <v>685</v>
      </c>
      <c r="L81" s="4" t="s">
        <v>39</v>
      </c>
      <c r="M81" s="4" t="s">
        <v>29</v>
      </c>
      <c r="N81" s="4" t="s">
        <v>686</v>
      </c>
      <c r="O81" s="4" t="s">
        <v>29</v>
      </c>
      <c r="P81" s="6"/>
      <c r="Q81" s="6"/>
      <c r="R81" s="6"/>
      <c r="S81" s="6"/>
      <c r="T81" s="6"/>
      <c r="U81" s="6"/>
      <c r="V81" s="6"/>
      <c r="W81" s="6"/>
      <c r="X81" s="6"/>
      <c r="Y81" s="6"/>
    </row>
    <row r="82">
      <c r="B82" s="4" t="s">
        <v>20</v>
      </c>
      <c r="C82" s="4" t="s">
        <v>687</v>
      </c>
      <c r="D82" s="4" t="s">
        <v>688</v>
      </c>
      <c r="E82" s="4" t="s">
        <v>689</v>
      </c>
      <c r="F82" s="4" t="str">
        <f>IFERROR(__XLUDF.DUMMYFUNCTION("PROPER(REGEXREPLACE(D67,""[^A-Za-z]+ "",""""))"),"The French Bastards")</f>
        <v xml:space="preserve">The French Bastards</v>
      </c>
      <c r="G82" s="4" t="s">
        <v>690</v>
      </c>
      <c r="H82" s="4">
        <v>16</v>
      </c>
      <c r="I82" s="4" t="s">
        <v>25</v>
      </c>
      <c r="J82" s="5" t="s">
        <v>691</v>
      </c>
      <c r="K82" s="5" t="s">
        <v>692</v>
      </c>
      <c r="L82" s="4" t="s">
        <v>39</v>
      </c>
      <c r="M82" s="4" t="s">
        <v>29</v>
      </c>
      <c r="N82" s="4" t="s">
        <v>693</v>
      </c>
      <c r="O82" s="4" t="s">
        <v>29</v>
      </c>
      <c r="P82" s="4" t="s">
        <v>694</v>
      </c>
      <c r="Q82" s="6"/>
      <c r="R82" s="6"/>
      <c r="S82" s="6"/>
      <c r="T82" s="6"/>
      <c r="U82" s="6"/>
      <c r="V82" s="6"/>
      <c r="W82" s="6"/>
      <c r="X82" s="6"/>
      <c r="Y82" s="6"/>
    </row>
    <row r="83">
      <c r="B83" s="4" t="s">
        <v>170</v>
      </c>
      <c r="C83" s="4" t="s">
        <v>695</v>
      </c>
      <c r="D83" s="4" t="s">
        <v>112</v>
      </c>
      <c r="E83" s="4" t="s">
        <v>696</v>
      </c>
      <c r="F83" s="4" t="str">
        <f>IFERROR(__XLUDF.DUMMYFUNCTION("PROPER(REGEXREPLACE(D68,""[^A-Za-z]+ "",""""))"),"Groupe Arom")</f>
        <v xml:space="preserve">Groupe Arom</v>
      </c>
      <c r="G83" s="4" t="s">
        <v>697</v>
      </c>
      <c r="H83" s="4">
        <v>120</v>
      </c>
      <c r="I83" s="4" t="s">
        <v>36</v>
      </c>
      <c r="J83" s="5" t="s">
        <v>698</v>
      </c>
      <c r="K83" s="5" t="s">
        <v>699</v>
      </c>
      <c r="L83" s="4" t="s">
        <v>83</v>
      </c>
      <c r="M83" s="4" t="s">
        <v>29</v>
      </c>
      <c r="N83" s="4" t="s">
        <v>700</v>
      </c>
      <c r="O83" s="4" t="s">
        <v>29</v>
      </c>
      <c r="P83" s="4" t="s">
        <v>701</v>
      </c>
      <c r="Q83" s="6"/>
      <c r="R83" s="6"/>
      <c r="S83" s="6"/>
      <c r="T83" s="6"/>
      <c r="U83" s="6"/>
      <c r="V83" s="6"/>
      <c r="W83" s="6"/>
      <c r="X83" s="6"/>
      <c r="Y83" s="6"/>
    </row>
    <row r="84">
      <c r="B84" s="4" t="s">
        <v>702</v>
      </c>
      <c r="C84" s="4" t="s">
        <v>703</v>
      </c>
      <c r="D84" s="4" t="s">
        <v>120</v>
      </c>
      <c r="E84" s="4" t="s">
        <v>704</v>
      </c>
      <c r="F84" s="4" t="str">
        <f>IFERROR(__XLUDF.DUMMYFUNCTION("PROPER(REGEXREPLACE(D69,""[^A-Za-z]+ "",""""))"),"Les Cuistots Migrateurs")</f>
        <v xml:space="preserve">Les Cuistots Migrateurs</v>
      </c>
      <c r="G84" s="4" t="s">
        <v>705</v>
      </c>
      <c r="H84" s="4">
        <v>10</v>
      </c>
      <c r="I84" s="4" t="s">
        <v>25</v>
      </c>
      <c r="J84" s="5" t="s">
        <v>706</v>
      </c>
      <c r="K84" s="5" t="s">
        <v>707</v>
      </c>
      <c r="L84" s="4" t="s">
        <v>39</v>
      </c>
      <c r="M84" s="4" t="s">
        <v>29</v>
      </c>
      <c r="N84" s="4" t="s">
        <v>708</v>
      </c>
      <c r="O84" s="4" t="s">
        <v>29</v>
      </c>
      <c r="P84" s="4" t="s">
        <v>709</v>
      </c>
      <c r="Q84" s="6"/>
      <c r="R84" s="6"/>
      <c r="S84" s="6"/>
      <c r="T84" s="6"/>
      <c r="U84" s="6"/>
      <c r="V84" s="6"/>
      <c r="W84" s="6"/>
      <c r="X84" s="6"/>
      <c r="Y84" s="6"/>
    </row>
    <row r="85">
      <c r="B85" s="4" t="s">
        <v>710</v>
      </c>
      <c r="C85" s="4" t="s">
        <v>711</v>
      </c>
      <c r="D85" s="4" t="s">
        <v>120</v>
      </c>
      <c r="E85" s="4" t="s">
        <v>712</v>
      </c>
      <c r="F85" s="4" t="str">
        <f>IFERROR(__XLUDF.DUMMYFUNCTION("PROPER(REGEXREPLACE(D70,""[^A-Za-z]+ "",""""))"),"Quanto Basta")</f>
        <v xml:space="preserve">Quanto Basta</v>
      </c>
      <c r="G85" s="4" t="s">
        <v>713</v>
      </c>
      <c r="H85" s="4">
        <v>5</v>
      </c>
      <c r="I85" s="4" t="s">
        <v>36</v>
      </c>
      <c r="J85" s="5" t="s">
        <v>714</v>
      </c>
      <c r="K85" s="5" t="s">
        <v>715</v>
      </c>
      <c r="L85" s="4" t="s">
        <v>716</v>
      </c>
      <c r="M85" s="4" t="s">
        <v>29</v>
      </c>
      <c r="N85" s="4" t="s">
        <v>717</v>
      </c>
      <c r="O85" s="4" t="s">
        <v>29</v>
      </c>
      <c r="P85" s="6"/>
      <c r="Q85" s="6"/>
      <c r="R85" s="6"/>
      <c r="S85" s="6"/>
      <c r="T85" s="6"/>
      <c r="U85" s="6"/>
      <c r="V85" s="6"/>
      <c r="W85" s="6"/>
      <c r="X85" s="6"/>
      <c r="Y85" s="6"/>
    </row>
    <row r="86">
      <c r="B86" s="4" t="s">
        <v>718</v>
      </c>
      <c r="C86" s="4" t="s">
        <v>719</v>
      </c>
      <c r="D86" s="4" t="s">
        <v>164</v>
      </c>
      <c r="E86" s="4" t="s">
        <v>720</v>
      </c>
      <c r="F86" s="4" t="str">
        <f>IFERROR(__XLUDF.DUMMYFUNCTION("PROPER(REGEXREPLACE(D71,""[^A-Za-z]+ "",""""))"),"Bomaye")</f>
        <v>Bomaye</v>
      </c>
      <c r="G86" s="4" t="s">
        <v>721</v>
      </c>
      <c r="H86" s="4">
        <v>6</v>
      </c>
      <c r="I86" s="4" t="s">
        <v>25</v>
      </c>
      <c r="J86" s="5" t="s">
        <v>722</v>
      </c>
      <c r="K86" s="5" t="s">
        <v>723</v>
      </c>
      <c r="L86" s="4" t="s">
        <v>185</v>
      </c>
      <c r="M86" s="4" t="s">
        <v>29</v>
      </c>
      <c r="N86" s="4" t="s">
        <v>724</v>
      </c>
      <c r="O86" s="4" t="s">
        <v>29</v>
      </c>
      <c r="P86" s="4" t="s">
        <v>725</v>
      </c>
      <c r="Q86" s="6"/>
      <c r="R86" s="6"/>
      <c r="S86" s="6"/>
      <c r="T86" s="6"/>
      <c r="U86" s="6"/>
      <c r="V86" s="6"/>
      <c r="W86" s="6"/>
      <c r="X86" s="6"/>
      <c r="Y86" s="6"/>
    </row>
    <row r="87">
      <c r="B87" s="4" t="s">
        <v>206</v>
      </c>
      <c r="C87" s="4" t="s">
        <v>726</v>
      </c>
      <c r="D87" s="4" t="s">
        <v>172</v>
      </c>
      <c r="E87" s="4" t="s">
        <v>727</v>
      </c>
      <c r="F87" s="4" t="str">
        <f>IFERROR(__XLUDF.DUMMYFUNCTION("PROPER(REGEXREPLACE(D72,""[^A-Za-z]+ "",""""))"),"Filon")</f>
        <v>Filon</v>
      </c>
      <c r="G87" s="4" t="s">
        <v>728</v>
      </c>
      <c r="H87" s="4">
        <v>21</v>
      </c>
      <c r="I87" s="4" t="s">
        <v>25</v>
      </c>
      <c r="J87" s="5" t="s">
        <v>729</v>
      </c>
      <c r="K87" s="5" t="s">
        <v>730</v>
      </c>
      <c r="L87" s="4" t="s">
        <v>731</v>
      </c>
      <c r="M87" s="4" t="s">
        <v>29</v>
      </c>
      <c r="N87" s="4" t="s">
        <v>732</v>
      </c>
      <c r="O87" s="4" t="s">
        <v>29</v>
      </c>
      <c r="P87" s="4" t="s">
        <v>733</v>
      </c>
      <c r="Q87" s="6"/>
      <c r="R87" s="6"/>
      <c r="S87" s="6"/>
      <c r="T87" s="6"/>
      <c r="U87" s="6"/>
      <c r="V87" s="6"/>
      <c r="W87" s="6"/>
      <c r="X87" s="6"/>
      <c r="Y87" s="6"/>
    </row>
    <row r="88">
      <c r="B88" s="4" t="s">
        <v>734</v>
      </c>
      <c r="C88" s="4" t="s">
        <v>735</v>
      </c>
      <c r="D88" s="4" t="s">
        <v>736</v>
      </c>
      <c r="E88" s="4" t="s">
        <v>737</v>
      </c>
      <c r="F88" s="4" t="str">
        <f>IFERROR(__XLUDF.DUMMYFUNCTION("PROPER(REGEXREPLACE(D73,""[^A-Za-z]+ "",""""))"),"Château De Montcaud")</f>
        <v xml:space="preserve">Château De Montcaud</v>
      </c>
      <c r="G88" s="4" t="s">
        <v>738</v>
      </c>
      <c r="H88" s="4">
        <v>26</v>
      </c>
      <c r="I88" s="4" t="s">
        <v>25</v>
      </c>
      <c r="J88" s="5" t="s">
        <v>739</v>
      </c>
      <c r="K88" s="5" t="s">
        <v>740</v>
      </c>
      <c r="L88" s="4" t="s">
        <v>243</v>
      </c>
      <c r="M88" s="4" t="s">
        <v>29</v>
      </c>
      <c r="N88" s="4" t="s">
        <v>741</v>
      </c>
      <c r="O88" s="4" t="s">
        <v>29</v>
      </c>
      <c r="P88" s="4" t="s">
        <v>742</v>
      </c>
      <c r="Q88" s="6"/>
      <c r="R88" s="6"/>
      <c r="S88" s="6"/>
      <c r="T88" s="6"/>
      <c r="U88" s="6"/>
      <c r="V88" s="6"/>
      <c r="W88" s="6"/>
      <c r="X88" s="6"/>
      <c r="Y88" s="6"/>
    </row>
    <row r="89">
      <c r="B89" s="4" t="s">
        <v>743</v>
      </c>
      <c r="C89" s="4" t="s">
        <v>744</v>
      </c>
      <c r="D89" s="4" t="s">
        <v>172</v>
      </c>
      <c r="E89" s="4" t="s">
        <v>745</v>
      </c>
      <c r="F89" s="4" t="str">
        <f>IFERROR(__XLUDF.DUMMYFUNCTION("PROPER(REGEXREPLACE(D74,""[^A-Za-z]+ "",""""))"),"Groupe Nessence")</f>
        <v xml:space="preserve">Groupe Nessence</v>
      </c>
      <c r="G89" s="4" t="s">
        <v>746</v>
      </c>
      <c r="H89" s="4">
        <v>31</v>
      </c>
      <c r="I89" s="4" t="s">
        <v>36</v>
      </c>
      <c r="J89" s="5" t="s">
        <v>747</v>
      </c>
      <c r="K89" s="5" t="s">
        <v>748</v>
      </c>
      <c r="L89" s="4" t="s">
        <v>749</v>
      </c>
      <c r="M89" s="4" t="s">
        <v>29</v>
      </c>
      <c r="N89" s="4" t="s">
        <v>750</v>
      </c>
      <c r="O89" s="4" t="s">
        <v>29</v>
      </c>
      <c r="P89" s="4" t="s">
        <v>751</v>
      </c>
      <c r="Q89" s="6"/>
      <c r="R89" s="6"/>
      <c r="S89" s="6"/>
      <c r="T89" s="6"/>
      <c r="U89" s="6"/>
      <c r="V89" s="6"/>
      <c r="W89" s="6"/>
      <c r="X89" s="6"/>
      <c r="Y89" s="6"/>
    </row>
    <row r="90">
      <c r="B90" s="4" t="s">
        <v>752</v>
      </c>
      <c r="C90" s="4" t="s">
        <v>753</v>
      </c>
      <c r="D90" s="4" t="s">
        <v>120</v>
      </c>
      <c r="E90" s="4" t="s">
        <v>754</v>
      </c>
      <c r="F90" s="4" t="str">
        <f>IFERROR(__XLUDF.DUMMYFUNCTION("PROPER(REGEXREPLACE(D75,""[^A-Za-z]+ "",""""))"),"Madeho")</f>
        <v>Madeho</v>
      </c>
      <c r="G90" s="4" t="s">
        <v>755</v>
      </c>
      <c r="H90" s="4">
        <v>5</v>
      </c>
      <c r="I90" s="4" t="s">
        <v>25</v>
      </c>
      <c r="J90" s="5" t="s">
        <v>756</v>
      </c>
      <c r="K90" s="5" t="s">
        <v>757</v>
      </c>
      <c r="L90" s="4" t="s">
        <v>758</v>
      </c>
      <c r="M90" s="4" t="s">
        <v>29</v>
      </c>
      <c r="N90" s="4" t="s">
        <v>759</v>
      </c>
      <c r="O90" s="4" t="s">
        <v>29</v>
      </c>
      <c r="P90" s="4" t="s">
        <v>760</v>
      </c>
      <c r="Q90" s="6"/>
      <c r="R90" s="6"/>
      <c r="S90" s="6"/>
      <c r="T90" s="6"/>
      <c r="U90" s="6"/>
      <c r="V90" s="6"/>
      <c r="W90" s="6"/>
      <c r="X90" s="6"/>
      <c r="Y90" s="6"/>
    </row>
    <row r="91">
      <c r="B91" s="4" t="s">
        <v>743</v>
      </c>
      <c r="C91" s="4" t="s">
        <v>761</v>
      </c>
      <c r="D91" s="4" t="s">
        <v>341</v>
      </c>
      <c r="E91" s="4" t="s">
        <v>762</v>
      </c>
      <c r="F91" s="4" t="str">
        <f>IFERROR(__XLUDF.DUMMYFUNCTION("PROPER(REGEXREPLACE(D76,""[^A-Za-z]+ "",""""))"),"Hôtel Le Diamond Rock Lodge *****")</f>
        <v xml:space="preserve">Hôtel Le Diamond Rock Lodge *****</v>
      </c>
      <c r="G91" s="4" t="s">
        <v>763</v>
      </c>
      <c r="H91" s="4">
        <v>49</v>
      </c>
      <c r="I91" s="4" t="s">
        <v>36</v>
      </c>
      <c r="J91" s="5" t="s">
        <v>764</v>
      </c>
      <c r="K91" s="5" t="s">
        <v>765</v>
      </c>
      <c r="L91" s="4" t="s">
        <v>492</v>
      </c>
      <c r="M91" s="4" t="s">
        <v>29</v>
      </c>
      <c r="N91" s="4" t="s">
        <v>766</v>
      </c>
      <c r="O91" s="4" t="s">
        <v>29</v>
      </c>
      <c r="P91" s="4" t="s">
        <v>767</v>
      </c>
      <c r="Q91" s="6"/>
      <c r="R91" s="6"/>
      <c r="S91" s="6"/>
      <c r="T91" s="6"/>
      <c r="U91" s="6"/>
      <c r="V91" s="6"/>
      <c r="W91" s="6"/>
      <c r="X91" s="6"/>
      <c r="Y91" s="6"/>
    </row>
    <row r="92">
      <c r="B92" s="4" t="s">
        <v>768</v>
      </c>
      <c r="C92" s="4" t="s">
        <v>769</v>
      </c>
      <c r="D92" s="4" t="s">
        <v>265</v>
      </c>
      <c r="E92" s="4" t="s">
        <v>770</v>
      </c>
      <c r="F92" s="4" t="str">
        <f>IFERROR(__XLUDF.DUMMYFUNCTION("PROPER(REGEXREPLACE(D77,""[^A-Za-z]+ "",""""))"),"Voco Strasbourg Centre")</f>
        <v xml:space="preserve">Voco Strasbourg Centre</v>
      </c>
      <c r="G92" s="4" t="s">
        <v>771</v>
      </c>
      <c r="H92" s="4">
        <v>29</v>
      </c>
      <c r="I92" s="4" t="s">
        <v>36</v>
      </c>
      <c r="J92" s="5" t="s">
        <v>772</v>
      </c>
      <c r="K92" s="5" t="s">
        <v>773</v>
      </c>
      <c r="L92" s="4" t="s">
        <v>774</v>
      </c>
      <c r="M92" s="4" t="s">
        <v>29</v>
      </c>
      <c r="N92" s="4" t="s">
        <v>775</v>
      </c>
      <c r="O92" s="4" t="s">
        <v>29</v>
      </c>
      <c r="P92" s="4" t="s">
        <v>776</v>
      </c>
      <c r="Q92" s="6"/>
      <c r="R92" s="6"/>
      <c r="S92" s="6"/>
      <c r="T92" s="6"/>
      <c r="U92" s="6"/>
      <c r="V92" s="6"/>
      <c r="W92" s="6"/>
      <c r="X92" s="6"/>
      <c r="Y92" s="6"/>
    </row>
    <row r="93">
      <c r="B93" s="4" t="s">
        <v>95</v>
      </c>
      <c r="C93" s="4" t="s">
        <v>777</v>
      </c>
      <c r="D93" s="4" t="s">
        <v>778</v>
      </c>
      <c r="E93" s="4" t="s">
        <v>779</v>
      </c>
      <c r="F93" s="4" t="str">
        <f>IFERROR(__XLUDF.DUMMYFUNCTION("PROPER(REGEXREPLACE(D78,""[^A-Za-z]+ "",""""))"),"Miam Family")</f>
        <v xml:space="preserve">Miam Family</v>
      </c>
      <c r="G93" s="4" t="s">
        <v>780</v>
      </c>
      <c r="H93" s="4">
        <v>3</v>
      </c>
      <c r="I93" s="4" t="s">
        <v>25</v>
      </c>
      <c r="J93" s="5" t="s">
        <v>781</v>
      </c>
      <c r="K93" s="5" t="s">
        <v>782</v>
      </c>
      <c r="L93" s="4" t="s">
        <v>49</v>
      </c>
      <c r="M93" s="4" t="s">
        <v>29</v>
      </c>
      <c r="N93" s="4" t="s">
        <v>783</v>
      </c>
      <c r="O93" s="4" t="s">
        <v>29</v>
      </c>
      <c r="P93" s="4" t="s">
        <v>784</v>
      </c>
      <c r="Q93" s="6"/>
      <c r="R93" s="6"/>
      <c r="S93" s="6"/>
      <c r="T93" s="6"/>
      <c r="U93" s="6"/>
      <c r="V93" s="6"/>
      <c r="W93" s="6"/>
      <c r="X93" s="6"/>
      <c r="Y93" s="6"/>
    </row>
    <row r="94">
      <c r="B94" s="4" t="s">
        <v>785</v>
      </c>
      <c r="C94" s="4" t="s">
        <v>786</v>
      </c>
      <c r="D94" s="4" t="s">
        <v>265</v>
      </c>
      <c r="E94" s="4" t="s">
        <v>787</v>
      </c>
      <c r="F94" s="4" t="str">
        <f>IFERROR(__XLUDF.DUMMYFUNCTION("PROPER(REGEXREPLACE(D79,""[^A-Za-z]+ "",""""))"),"Atypio Hotels Resorts")</f>
        <v xml:space="preserve">Atypio Hotels Resorts</v>
      </c>
      <c r="G94" s="4" t="s">
        <v>788</v>
      </c>
      <c r="H94" s="4">
        <v>28</v>
      </c>
      <c r="I94" s="4" t="s">
        <v>36</v>
      </c>
      <c r="J94" s="5" t="s">
        <v>789</v>
      </c>
      <c r="K94" s="5" t="s">
        <v>790</v>
      </c>
      <c r="L94" s="4" t="s">
        <v>39</v>
      </c>
      <c r="M94" s="4" t="s">
        <v>29</v>
      </c>
      <c r="N94" s="4" t="s">
        <v>791</v>
      </c>
      <c r="O94" s="4" t="s">
        <v>29</v>
      </c>
      <c r="P94" s="4" t="s">
        <v>792</v>
      </c>
      <c r="Q94" s="6"/>
      <c r="R94" s="6"/>
      <c r="S94" s="6"/>
      <c r="T94" s="6"/>
      <c r="U94" s="6"/>
      <c r="V94" s="6"/>
      <c r="W94" s="6"/>
      <c r="X94" s="6"/>
      <c r="Y94" s="6"/>
    </row>
    <row r="95">
      <c r="B95" s="4" t="s">
        <v>793</v>
      </c>
      <c r="C95" s="4" t="s">
        <v>794</v>
      </c>
      <c r="D95" s="4" t="s">
        <v>795</v>
      </c>
      <c r="E95" s="4" t="s">
        <v>796</v>
      </c>
      <c r="F95" s="4" t="str">
        <f>IFERROR(__XLUDF.DUMMYFUNCTION("PROPER(REGEXREPLACE(D80,""[^A-Za-z]+ "",""""))"),"Mykeypers")</f>
        <v>Mykeypers</v>
      </c>
      <c r="G95" s="4" t="s">
        <v>797</v>
      </c>
      <c r="H95" s="4">
        <v>1</v>
      </c>
      <c r="I95" s="4" t="s">
        <v>25</v>
      </c>
      <c r="J95" s="5" t="s">
        <v>798</v>
      </c>
      <c r="K95" s="5" t="s">
        <v>799</v>
      </c>
      <c r="L95" s="4" t="s">
        <v>39</v>
      </c>
      <c r="M95" s="4" t="s">
        <v>29</v>
      </c>
      <c r="N95" s="4" t="s">
        <v>800</v>
      </c>
      <c r="O95" s="4" t="s">
        <v>29</v>
      </c>
      <c r="P95" s="6"/>
      <c r="Q95" s="6"/>
      <c r="R95" s="6"/>
      <c r="S95" s="6"/>
      <c r="T95" s="6"/>
      <c r="U95" s="6"/>
      <c r="V95" s="6"/>
      <c r="W95" s="6"/>
      <c r="X95" s="6"/>
      <c r="Y95" s="6"/>
    </row>
    <row r="96">
      <c r="B96" s="4" t="s">
        <v>571</v>
      </c>
      <c r="C96" s="4" t="s">
        <v>801</v>
      </c>
      <c r="D96" s="4" t="s">
        <v>802</v>
      </c>
      <c r="E96" s="4" t="s">
        <v>803</v>
      </c>
      <c r="F96" s="4" t="str">
        <f>IFERROR(__XLUDF.DUMMYFUNCTION("PROPER(REGEXREPLACE(D81,""[^A-Za-z]+ "",""""))"),"Rotisol")</f>
        <v>Rotisol</v>
      </c>
      <c r="G96" s="4" t="s">
        <v>804</v>
      </c>
      <c r="H96" s="4">
        <v>34</v>
      </c>
      <c r="I96" s="4" t="s">
        <v>36</v>
      </c>
      <c r="J96" s="5" t="s">
        <v>805</v>
      </c>
      <c r="K96" s="5" t="s">
        <v>806</v>
      </c>
      <c r="L96" s="4" t="s">
        <v>39</v>
      </c>
      <c r="M96" s="4" t="s">
        <v>29</v>
      </c>
      <c r="N96" s="4" t="s">
        <v>807</v>
      </c>
      <c r="O96" s="4" t="s">
        <v>29</v>
      </c>
      <c r="P96" s="6"/>
      <c r="Q96" s="6"/>
      <c r="R96" s="6"/>
      <c r="S96" s="6"/>
      <c r="T96" s="6"/>
      <c r="U96" s="6"/>
      <c r="V96" s="6"/>
      <c r="W96" s="6"/>
      <c r="X96" s="6"/>
      <c r="Y96" s="6"/>
    </row>
    <row r="97">
      <c r="B97" s="4" t="s">
        <v>808</v>
      </c>
      <c r="C97" s="4" t="s">
        <v>809</v>
      </c>
      <c r="D97" s="4" t="s">
        <v>810</v>
      </c>
      <c r="E97" s="4" t="s">
        <v>811</v>
      </c>
      <c r="F97" s="4" t="str">
        <f>IFERROR(__XLUDF.DUMMYFUNCTION("PROPER(REGEXREPLACE(D82,""[^A-Za-z]+ "",""""))"),"The Great Hospitality")</f>
        <v xml:space="preserve">The Great Hospitality</v>
      </c>
      <c r="G97" s="4" t="s">
        <v>812</v>
      </c>
      <c r="H97" s="4">
        <v>31</v>
      </c>
      <c r="I97" s="4" t="s">
        <v>36</v>
      </c>
      <c r="J97" s="5" t="s">
        <v>813</v>
      </c>
      <c r="K97" s="5" t="s">
        <v>814</v>
      </c>
      <c r="L97" s="4" t="s">
        <v>185</v>
      </c>
      <c r="M97" s="4" t="s">
        <v>29</v>
      </c>
      <c r="N97" s="4" t="s">
        <v>815</v>
      </c>
      <c r="O97" s="4" t="s">
        <v>29</v>
      </c>
      <c r="P97" s="4" t="s">
        <v>816</v>
      </c>
      <c r="Q97" s="6"/>
      <c r="R97" s="6"/>
      <c r="S97" s="6"/>
      <c r="T97" s="6"/>
      <c r="U97" s="6"/>
      <c r="V97" s="6"/>
      <c r="W97" s="6"/>
      <c r="X97" s="6"/>
      <c r="Y97" s="6"/>
    </row>
    <row r="98">
      <c r="B98" s="4" t="s">
        <v>817</v>
      </c>
      <c r="C98" s="4" t="s">
        <v>818</v>
      </c>
      <c r="D98" s="4" t="s">
        <v>120</v>
      </c>
      <c r="E98" s="4" t="s">
        <v>819</v>
      </c>
      <c r="F98" s="4" t="str">
        <f>IFERROR(__XLUDF.DUMMYFUNCTION("PROPER(REGEXREPLACE(D83,""[^A-Za-z]+ "",""""))"),"Le Kiosque")</f>
        <v xml:space="preserve">Le Kiosque</v>
      </c>
      <c r="G98" s="4" t="s">
        <v>820</v>
      </c>
      <c r="H98" s="4">
        <v>16</v>
      </c>
      <c r="I98" s="4" t="s">
        <v>36</v>
      </c>
      <c r="J98" s="5" t="s">
        <v>821</v>
      </c>
      <c r="K98" s="5" t="s">
        <v>822</v>
      </c>
      <c r="L98" s="4" t="s">
        <v>39</v>
      </c>
      <c r="M98" s="4" t="s">
        <v>29</v>
      </c>
      <c r="N98" s="4" t="s">
        <v>67</v>
      </c>
      <c r="O98" s="4" t="s">
        <v>29</v>
      </c>
      <c r="P98" s="6"/>
      <c r="Q98" s="6"/>
      <c r="R98" s="6"/>
      <c r="S98" s="6"/>
      <c r="T98" s="6"/>
      <c r="U98" s="6"/>
      <c r="V98" s="6"/>
      <c r="W98" s="6"/>
      <c r="X98" s="6"/>
      <c r="Y98" s="6"/>
    </row>
    <row r="99">
      <c r="B99" s="4" t="s">
        <v>823</v>
      </c>
      <c r="C99" s="4" t="s">
        <v>824</v>
      </c>
      <c r="D99" s="4" t="s">
        <v>120</v>
      </c>
      <c r="E99" s="4" t="s">
        <v>145</v>
      </c>
      <c r="F99" s="4" t="str">
        <f>IFERROR(__XLUDF.DUMMYFUNCTION("PROPER(REGEXREPLACE(D84,""[^A-Za-z]+ "",""""))"),"My Maison In Paris")</f>
        <v xml:space="preserve">My Maison In Paris</v>
      </c>
      <c r="G99" s="4" t="s">
        <v>825</v>
      </c>
      <c r="H99" s="4">
        <v>5</v>
      </c>
      <c r="I99" s="4" t="s">
        <v>36</v>
      </c>
      <c r="J99" s="5" t="s">
        <v>826</v>
      </c>
      <c r="K99" s="5" t="s">
        <v>148</v>
      </c>
      <c r="L99" s="4" t="s">
        <v>827</v>
      </c>
      <c r="M99" s="4" t="s">
        <v>29</v>
      </c>
      <c r="N99" s="4" t="s">
        <v>150</v>
      </c>
      <c r="O99" s="4" t="s">
        <v>29</v>
      </c>
      <c r="P99" s="4" t="s">
        <v>151</v>
      </c>
      <c r="Q99" s="6"/>
      <c r="R99" s="6"/>
      <c r="S99" s="6"/>
      <c r="T99" s="6"/>
      <c r="U99" s="6"/>
      <c r="V99" s="6"/>
      <c r="W99" s="6"/>
      <c r="X99" s="6"/>
      <c r="Y99" s="6"/>
    </row>
    <row r="100">
      <c r="B100" s="4" t="s">
        <v>785</v>
      </c>
      <c r="C100" s="4" t="s">
        <v>828</v>
      </c>
      <c r="D100" s="4" t="s">
        <v>120</v>
      </c>
      <c r="E100" s="4" t="s">
        <v>811</v>
      </c>
      <c r="F100" s="4" t="str">
        <f>IFERROR(__XLUDF.DUMMYFUNCTION("PROPER(REGEXREPLACE(D85,""[^A-Za-z]+ "",""""))"),"Fuso France")</f>
        <v xml:space="preserve">Fuso France</v>
      </c>
      <c r="G100" s="4" t="s">
        <v>829</v>
      </c>
      <c r="H100" s="4">
        <v>31</v>
      </c>
      <c r="I100" s="4" t="s">
        <v>36</v>
      </c>
      <c r="J100" s="5" t="s">
        <v>830</v>
      </c>
      <c r="K100" s="5" t="s">
        <v>814</v>
      </c>
      <c r="L100" s="4" t="s">
        <v>831</v>
      </c>
      <c r="M100" s="4" t="s">
        <v>29</v>
      </c>
      <c r="N100" s="4" t="s">
        <v>815</v>
      </c>
      <c r="O100" s="4" t="s">
        <v>29</v>
      </c>
      <c r="P100" s="4" t="s">
        <v>816</v>
      </c>
      <c r="Q100" s="6"/>
      <c r="R100" s="6"/>
      <c r="S100" s="6"/>
      <c r="T100" s="6"/>
      <c r="U100" s="6"/>
      <c r="V100" s="6"/>
      <c r="W100" s="6"/>
      <c r="X100" s="6"/>
      <c r="Y100" s="6"/>
    </row>
    <row r="101">
      <c r="B101" s="4" t="s">
        <v>653</v>
      </c>
      <c r="C101" s="4" t="s">
        <v>832</v>
      </c>
      <c r="D101" s="4" t="s">
        <v>833</v>
      </c>
      <c r="E101" s="4" t="s">
        <v>834</v>
      </c>
      <c r="F101" s="4" t="str">
        <f>IFERROR(__XLUDF.DUMMYFUNCTION("PROPER(REGEXREPLACE(D86,""[^A-Za-z]+ "",""""))"),"Ethic Etapes")</f>
        <v xml:space="preserve">Ethic Etapes</v>
      </c>
      <c r="G101" s="4" t="s">
        <v>835</v>
      </c>
      <c r="H101" s="4">
        <v>39</v>
      </c>
      <c r="I101" s="4" t="s">
        <v>36</v>
      </c>
      <c r="J101" s="5" t="s">
        <v>836</v>
      </c>
      <c r="K101" s="5" t="s">
        <v>837</v>
      </c>
      <c r="L101" s="4" t="s">
        <v>39</v>
      </c>
      <c r="M101" s="4" t="s">
        <v>29</v>
      </c>
      <c r="N101" s="4" t="s">
        <v>838</v>
      </c>
      <c r="O101" s="4" t="s">
        <v>29</v>
      </c>
      <c r="P101" s="4" t="s">
        <v>839</v>
      </c>
      <c r="Q101" s="6"/>
      <c r="R101" s="6"/>
      <c r="S101" s="6"/>
      <c r="T101" s="6"/>
      <c r="U101" s="6"/>
      <c r="V101" s="6"/>
      <c r="W101" s="6"/>
      <c r="X101" s="6"/>
      <c r="Y101" s="6"/>
    </row>
    <row r="102">
      <c r="B102" s="4" t="s">
        <v>840</v>
      </c>
      <c r="C102" s="4" t="s">
        <v>841</v>
      </c>
      <c r="D102" s="4" t="s">
        <v>172</v>
      </c>
      <c r="E102" s="4" t="s">
        <v>842</v>
      </c>
      <c r="F102" s="4" t="str">
        <f>IFERROR(__XLUDF.DUMMYFUNCTION("PROPER(REGEXREPLACE(D87,""[^A-Za-z]+ "",""""))"),"Best Western Plus Le Roof")</f>
        <v xml:space="preserve">Best Western Plus Le Roof</v>
      </c>
      <c r="G102" s="4" t="s">
        <v>843</v>
      </c>
      <c r="H102" s="4">
        <v>24</v>
      </c>
      <c r="I102" s="4" t="s">
        <v>25</v>
      </c>
      <c r="J102" s="5" t="s">
        <v>844</v>
      </c>
      <c r="K102" s="5" t="s">
        <v>845</v>
      </c>
      <c r="L102" s="4" t="s">
        <v>846</v>
      </c>
      <c r="M102" s="4" t="s">
        <v>29</v>
      </c>
      <c r="N102" s="4" t="s">
        <v>847</v>
      </c>
      <c r="O102" s="4" t="s">
        <v>848</v>
      </c>
      <c r="P102" s="4" t="s">
        <v>849</v>
      </c>
      <c r="Q102" s="6"/>
      <c r="R102" s="6"/>
      <c r="S102" s="6"/>
      <c r="T102" s="6"/>
      <c r="U102" s="6"/>
      <c r="V102" s="6"/>
      <c r="W102" s="6"/>
      <c r="X102" s="6"/>
      <c r="Y102" s="6"/>
    </row>
    <row r="103">
      <c r="B103" s="4" t="s">
        <v>850</v>
      </c>
      <c r="C103" s="4" t="s">
        <v>851</v>
      </c>
      <c r="D103" s="4" t="s">
        <v>426</v>
      </c>
      <c r="E103" s="4" t="s">
        <v>852</v>
      </c>
      <c r="F103" s="4" t="str">
        <f>IFERROR(__XLUDF.DUMMYFUNCTION("PROPER(REGEXREPLACE(D88,""[^A-Za-z]+ "",""""))"),"Hotel De Seze")</f>
        <v xml:space="preserve">Hotel De Seze</v>
      </c>
      <c r="G103" s="4" t="s">
        <v>853</v>
      </c>
      <c r="H103" s="4">
        <v>22</v>
      </c>
      <c r="I103" s="4" t="s">
        <v>36</v>
      </c>
      <c r="J103" s="5" t="s">
        <v>854</v>
      </c>
      <c r="K103" s="5" t="s">
        <v>855</v>
      </c>
      <c r="L103" s="4" t="s">
        <v>846</v>
      </c>
      <c r="M103" s="4" t="s">
        <v>29</v>
      </c>
      <c r="N103" s="4" t="s">
        <v>856</v>
      </c>
      <c r="O103" s="4" t="s">
        <v>29</v>
      </c>
      <c r="P103" s="4" t="s">
        <v>857</v>
      </c>
      <c r="Q103" s="6"/>
      <c r="R103" s="6"/>
      <c r="S103" s="6"/>
      <c r="T103" s="6"/>
      <c r="U103" s="6"/>
      <c r="V103" s="6"/>
      <c r="W103" s="6"/>
      <c r="X103" s="6"/>
      <c r="Y103" s="6"/>
    </row>
    <row r="104">
      <c r="B104" s="4" t="s">
        <v>858</v>
      </c>
      <c r="C104" s="4" t="s">
        <v>859</v>
      </c>
      <c r="D104" s="4" t="s">
        <v>164</v>
      </c>
      <c r="E104" s="4" t="s">
        <v>860</v>
      </c>
      <c r="F104" s="4" t="str">
        <f>IFERROR(__XLUDF.DUMMYFUNCTION("PROPER(REGEXREPLACE(D89,""[^A-Za-z]+ "",""""))"),"Mary'S Coffee Shop")</f>
        <v xml:space="preserve">Mary'S Coffee Shop</v>
      </c>
      <c r="G104" s="4" t="s">
        <v>861</v>
      </c>
      <c r="H104" s="4">
        <v>17</v>
      </c>
      <c r="I104" s="4" t="s">
        <v>25</v>
      </c>
      <c r="J104" s="5" t="s">
        <v>862</v>
      </c>
      <c r="K104" s="5" t="s">
        <v>863</v>
      </c>
      <c r="L104" s="4" t="s">
        <v>39</v>
      </c>
      <c r="M104" s="4" t="s">
        <v>29</v>
      </c>
      <c r="N104" s="4" t="s">
        <v>864</v>
      </c>
      <c r="O104" s="4" t="s">
        <v>29</v>
      </c>
      <c r="P104" s="4" t="s">
        <v>865</v>
      </c>
      <c r="Q104" s="6"/>
      <c r="R104" s="6"/>
      <c r="S104" s="6"/>
      <c r="T104" s="6"/>
      <c r="U104" s="6"/>
      <c r="V104" s="6"/>
      <c r="W104" s="6"/>
      <c r="X104" s="6"/>
      <c r="Y104" s="6"/>
    </row>
    <row r="105">
      <c r="B105" s="4" t="s">
        <v>866</v>
      </c>
      <c r="C105" s="4" t="s">
        <v>867</v>
      </c>
      <c r="D105" s="4" t="s">
        <v>426</v>
      </c>
      <c r="E105" s="4" t="s">
        <v>868</v>
      </c>
      <c r="F105" s="4" t="str">
        <f>IFERROR(__XLUDF.DUMMYFUNCTION("PROPER(REGEXREPLACE(D90,""[^A-Za-z]+ "",""""))"),"Eco-Domaine Du Chalonge")</f>
        <v xml:space="preserve">Eco-Domaine Du Chalonge</v>
      </c>
      <c r="G105" s="4" t="s">
        <v>869</v>
      </c>
      <c r="H105" s="4">
        <v>25</v>
      </c>
      <c r="I105" s="4" t="s">
        <v>25</v>
      </c>
      <c r="J105" s="5" t="s">
        <v>870</v>
      </c>
      <c r="K105" s="5" t="s">
        <v>871</v>
      </c>
      <c r="L105" s="4" t="s">
        <v>872</v>
      </c>
      <c r="M105" s="4" t="s">
        <v>29</v>
      </c>
      <c r="N105" s="4" t="s">
        <v>873</v>
      </c>
      <c r="O105" s="4" t="s">
        <v>29</v>
      </c>
      <c r="P105" s="6"/>
      <c r="Q105" s="6"/>
      <c r="R105" s="6"/>
      <c r="S105" s="6"/>
      <c r="T105" s="6"/>
      <c r="U105" s="6"/>
      <c r="V105" s="6"/>
      <c r="W105" s="6"/>
      <c r="X105" s="6"/>
      <c r="Y105" s="6"/>
    </row>
    <row r="106">
      <c r="B106" s="4" t="s">
        <v>874</v>
      </c>
      <c r="C106" s="4" t="s">
        <v>654</v>
      </c>
      <c r="D106" s="4" t="s">
        <v>875</v>
      </c>
      <c r="E106" s="4" t="s">
        <v>655</v>
      </c>
      <c r="F106" s="4" t="str">
        <f>IFERROR(__XLUDF.DUMMYFUNCTION("PROPER(REGEXREPLACE(D91,""[^A-Za-z]+ "",""""))"),"Cala")</f>
        <v>Cala</v>
      </c>
      <c r="G106" s="4" t="s">
        <v>876</v>
      </c>
      <c r="H106" s="4">
        <v>5</v>
      </c>
      <c r="I106" s="4" t="s">
        <v>36</v>
      </c>
      <c r="J106" s="5" t="s">
        <v>877</v>
      </c>
      <c r="K106" s="5" t="s">
        <v>658</v>
      </c>
      <c r="L106" s="4" t="s">
        <v>185</v>
      </c>
      <c r="M106" s="4" t="s">
        <v>29</v>
      </c>
      <c r="N106" s="4" t="s">
        <v>659</v>
      </c>
      <c r="O106" s="4" t="s">
        <v>29</v>
      </c>
      <c r="P106" s="4" t="s">
        <v>660</v>
      </c>
      <c r="Q106" s="6"/>
      <c r="R106" s="6"/>
      <c r="S106" s="6"/>
      <c r="T106" s="6"/>
      <c r="U106" s="6"/>
      <c r="V106" s="6"/>
      <c r="W106" s="6"/>
      <c r="X106" s="6"/>
      <c r="Y106" s="6"/>
    </row>
    <row r="107">
      <c r="B107" s="4" t="s">
        <v>808</v>
      </c>
      <c r="C107" s="4" t="s">
        <v>878</v>
      </c>
      <c r="D107" s="4" t="s">
        <v>879</v>
      </c>
      <c r="E107" s="4" t="s">
        <v>880</v>
      </c>
      <c r="F107" s="4" t="str">
        <f>IFERROR(__XLUDF.DUMMYFUNCTION("PROPER(REGEXREPLACE(D92,""[^A-Za-z]+ "",""""))"),"The Roster")</f>
        <v xml:space="preserve">The Roster</v>
      </c>
      <c r="G107" s="4" t="s">
        <v>881</v>
      </c>
      <c r="H107" s="4">
        <v>33</v>
      </c>
      <c r="I107" s="4" t="s">
        <v>25</v>
      </c>
      <c r="J107" s="5" t="s">
        <v>882</v>
      </c>
      <c r="K107" s="5" t="s">
        <v>883</v>
      </c>
      <c r="L107" s="6"/>
      <c r="M107" s="4" t="s">
        <v>29</v>
      </c>
      <c r="N107" s="4" t="s">
        <v>884</v>
      </c>
      <c r="O107" s="4" t="s">
        <v>29</v>
      </c>
      <c r="P107" s="4" t="s">
        <v>885</v>
      </c>
      <c r="Q107" s="6"/>
      <c r="R107" s="6"/>
      <c r="S107" s="6"/>
      <c r="T107" s="6"/>
      <c r="U107" s="6"/>
      <c r="V107" s="6"/>
      <c r="W107" s="6"/>
      <c r="X107" s="6"/>
      <c r="Y107" s="6"/>
    </row>
    <row r="108">
      <c r="B108" s="4" t="s">
        <v>322</v>
      </c>
      <c r="C108" s="4" t="s">
        <v>886</v>
      </c>
      <c r="D108" s="4" t="s">
        <v>887</v>
      </c>
      <c r="E108" s="4" t="s">
        <v>888</v>
      </c>
      <c r="F108" s="4" t="str">
        <f>IFERROR(__XLUDF.DUMMYFUNCTION("PROPER(REGEXREPLACE(D93,""[^A-Za-z]+ "",""""))"),"Hubrise")</f>
        <v>Hubrise</v>
      </c>
      <c r="G108" s="4" t="s">
        <v>889</v>
      </c>
      <c r="H108" s="4">
        <v>30</v>
      </c>
      <c r="I108" s="4" t="s">
        <v>36</v>
      </c>
      <c r="J108" s="5" t="s">
        <v>890</v>
      </c>
      <c r="K108" s="5" t="s">
        <v>891</v>
      </c>
      <c r="L108" s="4" t="s">
        <v>39</v>
      </c>
      <c r="M108" s="4" t="s">
        <v>29</v>
      </c>
      <c r="N108" s="4" t="s">
        <v>67</v>
      </c>
      <c r="O108" s="4" t="s">
        <v>29</v>
      </c>
      <c r="P108" s="4" t="s">
        <v>892</v>
      </c>
      <c r="Q108" s="6"/>
      <c r="R108" s="6"/>
      <c r="S108" s="6"/>
      <c r="T108" s="6"/>
      <c r="U108" s="6"/>
      <c r="V108" s="6"/>
      <c r="W108" s="6"/>
      <c r="X108" s="6"/>
      <c r="Y108" s="6"/>
    </row>
    <row r="109">
      <c r="B109" s="4" t="s">
        <v>893</v>
      </c>
      <c r="C109" s="4" t="s">
        <v>894</v>
      </c>
      <c r="D109" s="4" t="s">
        <v>895</v>
      </c>
      <c r="E109" s="4" t="s">
        <v>896</v>
      </c>
      <c r="F109" s="4" t="str">
        <f>IFERROR(__XLUDF.DUMMYFUNCTION("PROPER(REGEXREPLACE(D94,""[^A-Za-z]+ "",""""))"),"Gallika")</f>
        <v>Gallika</v>
      </c>
      <c r="G109" s="4" t="s">
        <v>897</v>
      </c>
      <c r="H109" s="4">
        <v>62</v>
      </c>
      <c r="I109" s="4" t="s">
        <v>36</v>
      </c>
      <c r="J109" s="5" t="s">
        <v>898</v>
      </c>
      <c r="K109" s="5" t="s">
        <v>899</v>
      </c>
      <c r="L109" s="4" t="s">
        <v>49</v>
      </c>
      <c r="M109" s="4" t="s">
        <v>29</v>
      </c>
      <c r="N109" s="4" t="s">
        <v>416</v>
      </c>
      <c r="O109" s="4" t="s">
        <v>29</v>
      </c>
      <c r="P109" s="4" t="s">
        <v>900</v>
      </c>
      <c r="Q109" s="6"/>
      <c r="R109" s="6"/>
      <c r="S109" s="6"/>
      <c r="T109" s="6"/>
      <c r="U109" s="6"/>
      <c r="V109" s="6"/>
      <c r="W109" s="6"/>
      <c r="X109" s="6"/>
      <c r="Y109" s="6"/>
    </row>
    <row r="110">
      <c r="B110" s="4" t="s">
        <v>901</v>
      </c>
      <c r="C110" s="4" t="s">
        <v>902</v>
      </c>
      <c r="D110" s="4" t="s">
        <v>44</v>
      </c>
      <c r="E110" s="4" t="s">
        <v>903</v>
      </c>
      <c r="F110" s="4" t="str">
        <f>IFERROR(__XLUDF.DUMMYFUNCTION("PROPER(REGEXREPLACE(D95,""[^A-Za-z]+ "",""""))"),"Paris'Nb")</f>
        <v>Paris'Nb</v>
      </c>
      <c r="G110" s="4" t="s">
        <v>904</v>
      </c>
      <c r="H110" s="4">
        <v>3</v>
      </c>
      <c r="I110" s="4" t="s">
        <v>36</v>
      </c>
      <c r="J110" s="5" t="s">
        <v>905</v>
      </c>
      <c r="K110" s="5" t="s">
        <v>906</v>
      </c>
      <c r="L110" s="4" t="s">
        <v>482</v>
      </c>
      <c r="M110" s="4" t="s">
        <v>29</v>
      </c>
      <c r="N110" s="4" t="s">
        <v>907</v>
      </c>
      <c r="O110" s="4" t="s">
        <v>29</v>
      </c>
      <c r="P110" s="6"/>
      <c r="Q110" s="6"/>
      <c r="R110" s="6"/>
      <c r="S110" s="6"/>
      <c r="T110" s="6"/>
      <c r="U110" s="6"/>
      <c r="V110" s="6"/>
      <c r="W110" s="6"/>
      <c r="X110" s="6"/>
      <c r="Y110" s="6"/>
    </row>
    <row r="111">
      <c r="B111" s="4" t="s">
        <v>908</v>
      </c>
      <c r="C111" s="4" t="s">
        <v>909</v>
      </c>
      <c r="D111" s="4" t="s">
        <v>71</v>
      </c>
      <c r="E111" s="4" t="s">
        <v>910</v>
      </c>
      <c r="F111" s="4" t="str">
        <f>IFERROR(__XLUDF.DUMMYFUNCTION("PROPER(REGEXREPLACE(D96,""[^A-Za-z]+ "",""""))"),"Pepperico")</f>
        <v>Pepperico</v>
      </c>
      <c r="G111" s="4" t="s">
        <v>911</v>
      </c>
      <c r="H111" s="4">
        <v>3</v>
      </c>
      <c r="I111" s="4" t="s">
        <v>25</v>
      </c>
      <c r="J111" s="5" t="s">
        <v>912</v>
      </c>
      <c r="K111" s="5" t="s">
        <v>913</v>
      </c>
      <c r="L111" s="4" t="s">
        <v>914</v>
      </c>
      <c r="M111" s="4" t="s">
        <v>29</v>
      </c>
      <c r="N111" s="4" t="s">
        <v>915</v>
      </c>
      <c r="O111" s="4" t="s">
        <v>29</v>
      </c>
      <c r="P111" s="6"/>
      <c r="Q111" s="6"/>
      <c r="R111" s="6"/>
      <c r="S111" s="6"/>
      <c r="T111" s="6"/>
      <c r="U111" s="6"/>
      <c r="V111" s="6"/>
      <c r="W111" s="6"/>
      <c r="X111" s="6"/>
      <c r="Y111" s="6"/>
    </row>
    <row r="112">
      <c r="B112" s="4" t="s">
        <v>908</v>
      </c>
      <c r="C112" s="4" t="s">
        <v>916</v>
      </c>
      <c r="D112" s="4" t="s">
        <v>917</v>
      </c>
      <c r="E112" s="4" t="s">
        <v>918</v>
      </c>
      <c r="F112" s="4" t="str">
        <f>IFERROR(__XLUDF.DUMMYFUNCTION("PROPER(REGEXREPLACE(D97,""[^A-Za-z]+ "",""""))"),"La Fabuleuse Cantine")</f>
        <v xml:space="preserve">La Fabuleuse Cantine</v>
      </c>
      <c r="G112" s="4" t="s">
        <v>919</v>
      </c>
      <c r="H112" s="4">
        <v>1</v>
      </c>
      <c r="I112" s="4" t="s">
        <v>25</v>
      </c>
      <c r="J112" s="5" t="s">
        <v>920</v>
      </c>
      <c r="K112" s="5" t="s">
        <v>921</v>
      </c>
      <c r="L112" s="4" t="s">
        <v>39</v>
      </c>
      <c r="M112" s="4" t="s">
        <v>29</v>
      </c>
      <c r="N112" s="4" t="s">
        <v>67</v>
      </c>
      <c r="O112" s="4" t="s">
        <v>29</v>
      </c>
      <c r="P112" s="4" t="s">
        <v>922</v>
      </c>
      <c r="Q112" s="6"/>
      <c r="R112" s="6"/>
      <c r="S112" s="6"/>
      <c r="T112" s="6"/>
      <c r="U112" s="6"/>
      <c r="V112" s="6"/>
      <c r="W112" s="6"/>
      <c r="X112" s="6"/>
      <c r="Y112" s="6"/>
    </row>
    <row r="113">
      <c r="B113" s="4" t="s">
        <v>923</v>
      </c>
      <c r="C113" s="4" t="s">
        <v>924</v>
      </c>
      <c r="D113" s="4" t="s">
        <v>62</v>
      </c>
      <c r="E113" s="4" t="s">
        <v>925</v>
      </c>
      <c r="F113" s="4" t="str">
        <f>IFERROR(__XLUDF.DUMMYFUNCTION("PROPER(REGEXREPLACE(D98,""[^A-Za-z]+ "",""""))"),"C'Est Mon Donuts")</f>
        <v xml:space="preserve">C'Est Mon Donuts</v>
      </c>
      <c r="G113" s="4" t="s">
        <v>926</v>
      </c>
      <c r="H113" s="4">
        <v>2</v>
      </c>
      <c r="I113" s="4" t="s">
        <v>25</v>
      </c>
      <c r="J113" s="5" t="s">
        <v>927</v>
      </c>
      <c r="K113" s="5" t="s">
        <v>928</v>
      </c>
      <c r="L113" s="4" t="s">
        <v>243</v>
      </c>
      <c r="M113" s="4" t="s">
        <v>29</v>
      </c>
      <c r="N113" s="4" t="s">
        <v>929</v>
      </c>
      <c r="O113" s="4" t="s">
        <v>29</v>
      </c>
      <c r="P113" s="4" t="s">
        <v>930</v>
      </c>
      <c r="Q113" s="6"/>
      <c r="R113" s="6"/>
      <c r="S113" s="6"/>
      <c r="T113" s="6"/>
      <c r="U113" s="6"/>
      <c r="V113" s="6"/>
      <c r="W113" s="6"/>
      <c r="X113" s="6"/>
      <c r="Y113" s="6"/>
    </row>
    <row r="114">
      <c r="B114" s="4" t="s">
        <v>931</v>
      </c>
      <c r="C114" s="4" t="s">
        <v>932</v>
      </c>
      <c r="D114" s="4" t="s">
        <v>62</v>
      </c>
      <c r="E114" s="4" t="s">
        <v>933</v>
      </c>
      <c r="F114" s="4" t="str">
        <f>IFERROR(__XLUDF.DUMMYFUNCTION("PROPER(REGEXREPLACE(D99,""[^A-Za-z]+ "",""""))"),"Delicious Company")</f>
        <v xml:space="preserve">Delicious Company</v>
      </c>
      <c r="G114" s="4" t="s">
        <v>934</v>
      </c>
      <c r="H114" s="4">
        <v>12</v>
      </c>
      <c r="I114" s="4" t="s">
        <v>25</v>
      </c>
      <c r="J114" s="5" t="s">
        <v>935</v>
      </c>
      <c r="K114" s="5" t="s">
        <v>936</v>
      </c>
      <c r="L114" s="4" t="s">
        <v>937</v>
      </c>
      <c r="M114" s="4" t="s">
        <v>29</v>
      </c>
      <c r="N114" s="4" t="s">
        <v>938</v>
      </c>
      <c r="O114" s="4" t="s">
        <v>29</v>
      </c>
      <c r="P114" s="4" t="s">
        <v>939</v>
      </c>
      <c r="Q114" s="6"/>
      <c r="R114" s="6"/>
      <c r="S114" s="6"/>
      <c r="T114" s="6"/>
      <c r="U114" s="6"/>
      <c r="V114" s="6"/>
      <c r="W114" s="6"/>
      <c r="X114" s="6"/>
      <c r="Y114" s="6"/>
    </row>
    <row r="115">
      <c r="B115" s="4" t="s">
        <v>604</v>
      </c>
      <c r="C115" s="4" t="s">
        <v>940</v>
      </c>
      <c r="D115" s="4" t="s">
        <v>941</v>
      </c>
      <c r="E115" s="4" t="s">
        <v>942</v>
      </c>
      <c r="F115" s="4" t="str">
        <f>IFERROR(__XLUDF.DUMMYFUNCTION("PROPER(REGEXREPLACE(D100,""[^A-Za-z]+ "",""""))"),"La Fabuleuse Cantine")</f>
        <v xml:space="preserve">La Fabuleuse Cantine</v>
      </c>
      <c r="G115" s="4" t="s">
        <v>943</v>
      </c>
      <c r="H115" s="4">
        <v>17</v>
      </c>
      <c r="I115" s="4" t="s">
        <v>36</v>
      </c>
      <c r="J115" s="5" t="s">
        <v>944</v>
      </c>
      <c r="K115" s="5" t="s">
        <v>945</v>
      </c>
      <c r="L115" s="4" t="s">
        <v>946</v>
      </c>
      <c r="M115" s="4" t="s">
        <v>29</v>
      </c>
      <c r="N115" s="4" t="s">
        <v>947</v>
      </c>
      <c r="O115" s="4" t="s">
        <v>29</v>
      </c>
      <c r="P115" s="6"/>
      <c r="Q115" s="6"/>
      <c r="R115" s="6"/>
      <c r="S115" s="6"/>
      <c r="T115" s="6"/>
      <c r="U115" s="6"/>
      <c r="V115" s="6"/>
      <c r="W115" s="6"/>
      <c r="X115" s="6"/>
      <c r="Y115" s="6"/>
    </row>
    <row r="116">
      <c r="B116" s="4" t="s">
        <v>893</v>
      </c>
      <c r="C116" s="4" t="s">
        <v>948</v>
      </c>
      <c r="D116" s="4" t="s">
        <v>341</v>
      </c>
      <c r="E116" s="4" t="s">
        <v>949</v>
      </c>
      <c r="F116" s="4" t="str">
        <f>IFERROR(__XLUDF.DUMMYFUNCTION("PROPER(REGEXREPLACE(D101,""[^A-Za-z]+ "",""""))"),"Perchoir Group")</f>
        <v xml:space="preserve">Perchoir Group</v>
      </c>
      <c r="G116" s="4" t="s">
        <v>950</v>
      </c>
      <c r="H116" s="4">
        <v>12</v>
      </c>
      <c r="I116" s="4" t="s">
        <v>36</v>
      </c>
      <c r="J116" s="5" t="s">
        <v>951</v>
      </c>
      <c r="K116" s="5" t="s">
        <v>952</v>
      </c>
      <c r="L116" s="4" t="s">
        <v>39</v>
      </c>
      <c r="M116" s="4" t="s">
        <v>29</v>
      </c>
      <c r="N116" s="4" t="s">
        <v>953</v>
      </c>
      <c r="O116" s="4" t="s">
        <v>29</v>
      </c>
      <c r="P116" s="4" t="s">
        <v>954</v>
      </c>
      <c r="Q116" s="6"/>
      <c r="R116" s="6"/>
      <c r="S116" s="6"/>
      <c r="T116" s="6"/>
      <c r="U116" s="6"/>
      <c r="V116" s="6"/>
      <c r="W116" s="6"/>
      <c r="X116" s="6"/>
      <c r="Y116" s="6"/>
    </row>
    <row r="117">
      <c r="B117" s="4" t="s">
        <v>955</v>
      </c>
      <c r="C117" s="4" t="s">
        <v>956</v>
      </c>
      <c r="D117" s="4" t="s">
        <v>112</v>
      </c>
      <c r="E117" s="4" t="s">
        <v>957</v>
      </c>
      <c r="F117" s="4" t="str">
        <f>IFERROR(__XLUDF.DUMMYFUNCTION("PROPER(REGEXREPLACE(D102,""[^A-Za-z]+ "",""""))"),"Jardin Des Douars")</f>
        <v xml:space="preserve">Jardin Des Douars</v>
      </c>
      <c r="G117" s="4" t="s">
        <v>958</v>
      </c>
      <c r="H117" s="4">
        <v>42</v>
      </c>
      <c r="I117" s="4" t="s">
        <v>25</v>
      </c>
      <c r="J117" s="5" t="s">
        <v>959</v>
      </c>
      <c r="K117" s="5" t="s">
        <v>960</v>
      </c>
      <c r="L117" s="4" t="s">
        <v>243</v>
      </c>
      <c r="M117" s="4" t="s">
        <v>29</v>
      </c>
      <c r="N117" s="4" t="s">
        <v>961</v>
      </c>
      <c r="O117" s="4" t="s">
        <v>29</v>
      </c>
      <c r="P117" s="4" t="s">
        <v>962</v>
      </c>
      <c r="Q117" s="6"/>
      <c r="R117" s="6"/>
      <c r="S117" s="6"/>
      <c r="T117" s="6"/>
      <c r="U117" s="6"/>
      <c r="V117" s="6"/>
      <c r="W117" s="6"/>
      <c r="X117" s="6"/>
      <c r="Y117" s="6"/>
    </row>
    <row r="118">
      <c r="B118" s="4" t="s">
        <v>963</v>
      </c>
      <c r="C118" s="4" t="s">
        <v>964</v>
      </c>
      <c r="D118" s="4" t="s">
        <v>965</v>
      </c>
      <c r="E118" s="4" t="s">
        <v>966</v>
      </c>
      <c r="F118" s="4" t="str">
        <f>IFERROR(__XLUDF.DUMMYFUNCTION("PROPER(REGEXREPLACE(D103,""[^A-Za-z]+ "",""""))"),"Nlille")</f>
        <v>Nlille</v>
      </c>
      <c r="G118" s="4" t="s">
        <v>967</v>
      </c>
      <c r="H118" s="4">
        <v>17</v>
      </c>
      <c r="I118" s="4" t="s">
        <v>36</v>
      </c>
      <c r="J118" s="5" t="s">
        <v>968</v>
      </c>
      <c r="K118" s="5" t="s">
        <v>969</v>
      </c>
      <c r="L118" s="4" t="s">
        <v>39</v>
      </c>
      <c r="M118" s="4" t="s">
        <v>29</v>
      </c>
      <c r="N118" s="4" t="s">
        <v>970</v>
      </c>
      <c r="O118" s="4" t="s">
        <v>29</v>
      </c>
      <c r="P118" s="6"/>
      <c r="Q118" s="6"/>
      <c r="R118" s="6"/>
      <c r="S118" s="6"/>
      <c r="T118" s="6"/>
      <c r="U118" s="6"/>
      <c r="V118" s="6"/>
      <c r="W118" s="6"/>
      <c r="X118" s="6"/>
      <c r="Y118" s="6"/>
    </row>
    <row r="119">
      <c r="B119" s="4" t="s">
        <v>971</v>
      </c>
      <c r="C119" s="4" t="s">
        <v>972</v>
      </c>
      <c r="D119" s="4" t="s">
        <v>120</v>
      </c>
      <c r="E119" s="4" t="s">
        <v>973</v>
      </c>
      <c r="F119" s="4" t="str">
        <f>IFERROR(__XLUDF.DUMMYFUNCTION("PROPER(REGEXREPLACE(D104,""[^A-Za-z]+ "",""""))"),"Hôtel Norman Paris")</f>
        <v xml:space="preserve">Hôtel Norman Paris</v>
      </c>
      <c r="G119" s="4" t="s">
        <v>974</v>
      </c>
      <c r="H119" s="4">
        <v>36</v>
      </c>
      <c r="I119" s="4" t="s">
        <v>36</v>
      </c>
      <c r="J119" s="5" t="s">
        <v>975</v>
      </c>
      <c r="K119" s="5" t="s">
        <v>976</v>
      </c>
      <c r="L119" s="4" t="s">
        <v>846</v>
      </c>
      <c r="M119" s="4" t="s">
        <v>29</v>
      </c>
      <c r="N119" s="4" t="s">
        <v>977</v>
      </c>
      <c r="O119" s="4" t="s">
        <v>29</v>
      </c>
      <c r="P119" s="4" t="s">
        <v>978</v>
      </c>
      <c r="Q119" s="6"/>
      <c r="R119" s="6"/>
      <c r="S119" s="6"/>
      <c r="T119" s="6"/>
      <c r="U119" s="6"/>
      <c r="V119" s="6"/>
      <c r="W119" s="6"/>
      <c r="X119" s="6"/>
      <c r="Y119" s="6"/>
    </row>
    <row r="120">
      <c r="B120" s="4" t="s">
        <v>979</v>
      </c>
      <c r="C120" s="4" t="s">
        <v>980</v>
      </c>
      <c r="D120" s="4" t="s">
        <v>44</v>
      </c>
      <c r="E120" s="4" t="s">
        <v>981</v>
      </c>
      <c r="F120" s="4" t="str">
        <f>IFERROR(__XLUDF.DUMMYFUNCTION("PROPER(REGEXREPLACE(D105,""[^A-Za-z]+ "",""""))"),"Domaine De Barive")</f>
        <v xml:space="preserve">Domaine De Barive</v>
      </c>
      <c r="G120" s="4" t="s">
        <v>982</v>
      </c>
      <c r="H120" s="6"/>
      <c r="I120" s="6"/>
      <c r="J120" s="5" t="s">
        <v>983</v>
      </c>
      <c r="K120" s="5" t="s">
        <v>984</v>
      </c>
      <c r="L120" s="4" t="s">
        <v>39</v>
      </c>
      <c r="M120" s="4" t="s">
        <v>29</v>
      </c>
      <c r="N120" s="4" t="s">
        <v>985</v>
      </c>
      <c r="O120" s="4" t="s">
        <v>29</v>
      </c>
      <c r="P120" s="6"/>
      <c r="Q120" s="6"/>
      <c r="R120" s="6"/>
      <c r="S120" s="6"/>
      <c r="T120" s="6"/>
      <c r="U120" s="6"/>
      <c r="V120" s="6"/>
      <c r="W120" s="6"/>
      <c r="X120" s="6"/>
      <c r="Y120" s="6"/>
    </row>
    <row r="121">
      <c r="B121" s="4" t="s">
        <v>986</v>
      </c>
      <c r="C121" s="4" t="s">
        <v>987</v>
      </c>
      <c r="D121" s="4" t="s">
        <v>164</v>
      </c>
      <c r="E121" s="4" t="s">
        <v>988</v>
      </c>
      <c r="F121" s="4" t="str">
        <f>IFERROR(__XLUDF.DUMMYFUNCTION("PROPER(REGEXREPLACE(D106,""[^A-Za-z]+ "",""""))"),"Miam Family")</f>
        <v xml:space="preserve">Miam Family</v>
      </c>
      <c r="G121" s="4" t="s">
        <v>989</v>
      </c>
      <c r="H121" s="4">
        <v>17</v>
      </c>
      <c r="I121" s="4" t="s">
        <v>25</v>
      </c>
      <c r="J121" s="5" t="s">
        <v>990</v>
      </c>
      <c r="K121" s="5" t="s">
        <v>991</v>
      </c>
      <c r="L121" s="6"/>
      <c r="M121" s="4" t="s">
        <v>29</v>
      </c>
      <c r="N121" s="4" t="s">
        <v>992</v>
      </c>
      <c r="O121" s="4" t="s">
        <v>29</v>
      </c>
      <c r="P121" s="4" t="s">
        <v>993</v>
      </c>
      <c r="Q121" s="6"/>
      <c r="R121" s="6"/>
      <c r="S121" s="6"/>
      <c r="T121" s="6"/>
      <c r="U121" s="6"/>
      <c r="V121" s="6"/>
      <c r="W121" s="6"/>
      <c r="X121" s="6"/>
      <c r="Y121" s="6"/>
    </row>
    <row r="122">
      <c r="B122" s="4" t="s">
        <v>994</v>
      </c>
      <c r="C122" s="4" t="s">
        <v>995</v>
      </c>
      <c r="D122" s="4" t="s">
        <v>172</v>
      </c>
      <c r="E122" s="4" t="s">
        <v>996</v>
      </c>
      <c r="F122" s="4" t="str">
        <f>IFERROR(__XLUDF.DUMMYFUNCTION("PROPER(REGEXREPLACE(D107,""[^A-Za-z]+ "",""""))"),"Highstay")</f>
        <v>Highstay</v>
      </c>
      <c r="G122" s="4" t="s">
        <v>997</v>
      </c>
      <c r="H122" s="4">
        <v>26</v>
      </c>
      <c r="I122" s="4" t="s">
        <v>25</v>
      </c>
      <c r="J122" s="5" t="s">
        <v>998</v>
      </c>
      <c r="K122" s="5" t="s">
        <v>999</v>
      </c>
      <c r="L122" s="4" t="s">
        <v>39</v>
      </c>
      <c r="M122" s="4" t="s">
        <v>29</v>
      </c>
      <c r="N122" s="4" t="s">
        <v>1000</v>
      </c>
      <c r="O122" s="4" t="s">
        <v>29</v>
      </c>
      <c r="P122" s="6"/>
      <c r="Q122" s="6"/>
      <c r="R122" s="6"/>
      <c r="S122" s="6"/>
      <c r="T122" s="6"/>
      <c r="U122" s="6"/>
      <c r="V122" s="6"/>
      <c r="W122" s="6"/>
      <c r="X122" s="6"/>
      <c r="Y122" s="6"/>
    </row>
    <row r="123">
      <c r="B123" s="4" t="s">
        <v>1001</v>
      </c>
      <c r="C123" s="4" t="s">
        <v>1002</v>
      </c>
      <c r="D123" s="4" t="s">
        <v>1003</v>
      </c>
      <c r="E123" s="4" t="s">
        <v>1004</v>
      </c>
      <c r="F123" s="4" t="str">
        <f>IFERROR(__XLUDF.DUMMYFUNCTION("PROPER(REGEXREPLACE(D108,""[^A-Za-z]+ "",""""))"),"Annette K")</f>
        <v xml:space="preserve">Annette K</v>
      </c>
      <c r="G123" s="4" t="s">
        <v>1005</v>
      </c>
      <c r="H123" s="4">
        <v>20</v>
      </c>
      <c r="I123" s="4" t="s">
        <v>36</v>
      </c>
      <c r="J123" s="5" t="s">
        <v>1006</v>
      </c>
      <c r="K123" s="5" t="s">
        <v>1007</v>
      </c>
      <c r="L123" s="6"/>
      <c r="M123" s="4" t="s">
        <v>29</v>
      </c>
      <c r="N123" s="4" t="s">
        <v>1008</v>
      </c>
      <c r="O123" s="4" t="s">
        <v>29</v>
      </c>
      <c r="P123" s="6"/>
      <c r="Q123" s="6"/>
      <c r="R123" s="6"/>
      <c r="S123" s="6"/>
      <c r="T123" s="6"/>
      <c r="U123" s="6"/>
      <c r="V123" s="6"/>
      <c r="W123" s="6"/>
      <c r="X123" s="6"/>
      <c r="Y123" s="6"/>
    </row>
    <row r="124">
      <c r="B124" s="4" t="s">
        <v>1009</v>
      </c>
      <c r="C124" s="4" t="s">
        <v>1010</v>
      </c>
      <c r="D124" s="4" t="s">
        <v>164</v>
      </c>
      <c r="E124" s="4" t="s">
        <v>1011</v>
      </c>
      <c r="F124" s="4" t="str">
        <f>IFERROR(__XLUDF.DUMMYFUNCTION("PROPER(REGEXREPLACE(D109,""[^A-Za-z]+ "",""""))"),"Delicity")</f>
        <v>Delicity</v>
      </c>
      <c r="G124" s="4" t="s">
        <v>1012</v>
      </c>
      <c r="H124" s="4">
        <v>26</v>
      </c>
      <c r="I124" s="4" t="s">
        <v>25</v>
      </c>
      <c r="J124" s="5" t="s">
        <v>1013</v>
      </c>
      <c r="K124" s="5" t="s">
        <v>1014</v>
      </c>
      <c r="L124" s="4" t="s">
        <v>1015</v>
      </c>
      <c r="M124" s="4" t="s">
        <v>29</v>
      </c>
      <c r="N124" s="4" t="s">
        <v>1016</v>
      </c>
      <c r="O124" s="4" t="s">
        <v>29</v>
      </c>
      <c r="P124" s="4" t="s">
        <v>1017</v>
      </c>
      <c r="Q124" s="6"/>
      <c r="R124" s="6"/>
      <c r="S124" s="6"/>
      <c r="T124" s="6"/>
      <c r="U124" s="6"/>
      <c r="V124" s="6"/>
      <c r="W124" s="6"/>
      <c r="X124" s="6"/>
      <c r="Y124" s="6"/>
    </row>
    <row r="125">
      <c r="B125" s="4" t="s">
        <v>1018</v>
      </c>
      <c r="C125" s="4" t="s">
        <v>1019</v>
      </c>
      <c r="D125" s="4" t="s">
        <v>1020</v>
      </c>
      <c r="E125" s="4" t="s">
        <v>1021</v>
      </c>
      <c r="F125" s="4" t="str">
        <f>IFERROR(__XLUDF.DUMMYFUNCTION("PROPER(REGEXREPLACE(D110,""[^A-Za-z]+ "",""""))"),"Burger N'Co Développement")</f>
        <v xml:space="preserve">Burger N'Co Développement</v>
      </c>
      <c r="G125" s="4" t="s">
        <v>1022</v>
      </c>
      <c r="H125" s="4">
        <v>6</v>
      </c>
      <c r="I125" s="4" t="s">
        <v>36</v>
      </c>
      <c r="J125" s="5" t="s">
        <v>1023</v>
      </c>
      <c r="K125" s="5" t="s">
        <v>1024</v>
      </c>
      <c r="L125" s="4" t="s">
        <v>846</v>
      </c>
      <c r="M125" s="4" t="s">
        <v>29</v>
      </c>
      <c r="N125" s="4" t="s">
        <v>1025</v>
      </c>
      <c r="O125" s="4" t="s">
        <v>29</v>
      </c>
      <c r="P125" s="4" t="s">
        <v>1026</v>
      </c>
      <c r="Q125" s="6"/>
      <c r="R125" s="6"/>
      <c r="S125" s="6"/>
      <c r="T125" s="6"/>
      <c r="U125" s="6"/>
      <c r="V125" s="6"/>
      <c r="W125" s="6"/>
      <c r="X125" s="6"/>
      <c r="Y125" s="6"/>
    </row>
    <row r="126">
      <c r="B126" s="4" t="s">
        <v>1027</v>
      </c>
      <c r="C126" s="4" t="s">
        <v>1028</v>
      </c>
      <c r="D126" s="4" t="s">
        <v>172</v>
      </c>
      <c r="E126" s="4" t="s">
        <v>1029</v>
      </c>
      <c r="F126" s="4" t="str">
        <f>IFERROR(__XLUDF.DUMMYFUNCTION("PROPER(REGEXREPLACE(D111,""[^A-Za-z]+ "",""""))"),"Flavors Of Paris")</f>
        <v xml:space="preserve">Flavors Of Paris</v>
      </c>
      <c r="G126" s="4" t="s">
        <v>1030</v>
      </c>
      <c r="H126" s="4">
        <v>43</v>
      </c>
      <c r="I126" s="4" t="s">
        <v>25</v>
      </c>
      <c r="J126" s="5" t="s">
        <v>1031</v>
      </c>
      <c r="K126" s="5" t="s">
        <v>1032</v>
      </c>
      <c r="L126" s="4" t="s">
        <v>39</v>
      </c>
      <c r="M126" s="4" t="s">
        <v>29</v>
      </c>
      <c r="N126" s="4" t="s">
        <v>1033</v>
      </c>
      <c r="O126" s="4" t="s">
        <v>29</v>
      </c>
      <c r="P126" s="4" t="s">
        <v>1034</v>
      </c>
      <c r="Q126" s="6"/>
      <c r="R126" s="6"/>
      <c r="S126" s="6"/>
      <c r="T126" s="6"/>
      <c r="U126" s="6"/>
      <c r="V126" s="6"/>
      <c r="W126" s="6"/>
      <c r="X126" s="6"/>
      <c r="Y126" s="6"/>
    </row>
    <row r="127">
      <c r="B127" s="4" t="s">
        <v>670</v>
      </c>
      <c r="C127" s="4" t="s">
        <v>1035</v>
      </c>
      <c r="D127" s="4" t="s">
        <v>172</v>
      </c>
      <c r="E127" s="4" t="s">
        <v>1036</v>
      </c>
      <c r="F127" s="4" t="str">
        <f>IFERROR(__XLUDF.DUMMYFUNCTION("PROPER(REGEXREPLACE(D112,""[^A-Za-z]+ "",""""))"),"Black Olive Collection")</f>
        <v xml:space="preserve">Black Olive Collection</v>
      </c>
      <c r="G127" s="4" t="s">
        <v>1037</v>
      </c>
      <c r="H127" s="4">
        <v>14</v>
      </c>
      <c r="I127" s="4" t="s">
        <v>25</v>
      </c>
      <c r="J127" s="5" t="s">
        <v>1038</v>
      </c>
      <c r="K127" s="5" t="s">
        <v>1039</v>
      </c>
      <c r="L127" s="4" t="s">
        <v>774</v>
      </c>
      <c r="M127" s="4" t="s">
        <v>29</v>
      </c>
      <c r="N127" s="4" t="s">
        <v>1040</v>
      </c>
      <c r="O127" s="4" t="s">
        <v>29</v>
      </c>
      <c r="P127" s="6"/>
      <c r="Q127" s="6"/>
      <c r="R127" s="6"/>
      <c r="S127" s="6"/>
      <c r="T127" s="6"/>
      <c r="U127" s="6"/>
      <c r="V127" s="6"/>
      <c r="W127" s="6"/>
      <c r="X127" s="6"/>
      <c r="Y127" s="6"/>
    </row>
    <row r="128">
      <c r="B128" s="4" t="s">
        <v>1041</v>
      </c>
      <c r="C128" s="4" t="s">
        <v>1042</v>
      </c>
      <c r="D128" s="4" t="s">
        <v>315</v>
      </c>
      <c r="E128" s="4" t="s">
        <v>1043</v>
      </c>
      <c r="F128" s="4" t="str">
        <f>IFERROR(__XLUDF.DUMMYFUNCTION("PROPER(REGEXREPLACE(D113,""[^A-Za-z]+ "",""""))"),"The Bordeaux Concierge")</f>
        <v xml:space="preserve">The Bordeaux Concierge</v>
      </c>
      <c r="G128" s="4" t="s">
        <v>1044</v>
      </c>
      <c r="H128" s="4">
        <v>7</v>
      </c>
      <c r="I128" s="4" t="s">
        <v>25</v>
      </c>
      <c r="J128" s="5" t="s">
        <v>1045</v>
      </c>
      <c r="K128" s="5" t="s">
        <v>1046</v>
      </c>
      <c r="L128" s="4" t="s">
        <v>39</v>
      </c>
      <c r="M128" s="4" t="s">
        <v>29</v>
      </c>
      <c r="N128" s="4" t="s">
        <v>1047</v>
      </c>
      <c r="O128" s="4" t="s">
        <v>29</v>
      </c>
      <c r="P128" s="4" t="s">
        <v>1048</v>
      </c>
      <c r="Q128" s="6"/>
      <c r="R128" s="6"/>
      <c r="S128" s="6"/>
      <c r="T128" s="6"/>
      <c r="U128" s="6"/>
      <c r="V128" s="6"/>
      <c r="W128" s="6"/>
      <c r="X128" s="6"/>
      <c r="Y128" s="6"/>
    </row>
    <row r="129">
      <c r="B129" s="4" t="s">
        <v>76</v>
      </c>
      <c r="C129" s="4" t="s">
        <v>1049</v>
      </c>
      <c r="D129" s="4" t="s">
        <v>172</v>
      </c>
      <c r="E129" s="4" t="s">
        <v>1050</v>
      </c>
      <c r="F129" s="4" t="str">
        <f>IFERROR(__XLUDF.DUMMYFUNCTION("PROPER(REGEXREPLACE(D114,""[^A-Za-z]+ "",""""))"),"Go Montgenevre")</f>
        <v xml:space="preserve">Go Montgenevre</v>
      </c>
      <c r="G129" s="4" t="s">
        <v>1051</v>
      </c>
      <c r="H129" s="4">
        <v>54</v>
      </c>
      <c r="I129" s="4" t="s">
        <v>36</v>
      </c>
      <c r="J129" s="5" t="s">
        <v>1052</v>
      </c>
      <c r="K129" s="5" t="s">
        <v>1053</v>
      </c>
      <c r="L129" s="4" t="s">
        <v>39</v>
      </c>
      <c r="M129" s="4" t="s">
        <v>29</v>
      </c>
      <c r="N129" s="4" t="s">
        <v>1054</v>
      </c>
      <c r="O129" s="4" t="s">
        <v>29</v>
      </c>
      <c r="P129" s="6"/>
      <c r="Q129" s="6"/>
      <c r="R129" s="6"/>
      <c r="S129" s="6"/>
      <c r="T129" s="6"/>
      <c r="U129" s="6"/>
      <c r="V129" s="6"/>
      <c r="W129" s="6"/>
      <c r="X129" s="6"/>
      <c r="Y129" s="6"/>
    </row>
    <row r="130">
      <c r="B130" s="4" t="s">
        <v>571</v>
      </c>
      <c r="C130" s="4" t="s">
        <v>1055</v>
      </c>
      <c r="D130" s="4" t="s">
        <v>172</v>
      </c>
      <c r="E130" s="4" t="s">
        <v>1056</v>
      </c>
      <c r="F130" s="4" t="str">
        <f>IFERROR(__XLUDF.DUMMYFUNCTION("PROPER(REGEXREPLACE(D115,""[^A-Za-z]+ "",""""))"),"Sacre Armand")</f>
        <v xml:space="preserve">Sacre Armand</v>
      </c>
      <c r="G130" s="4" t="s">
        <v>1057</v>
      </c>
      <c r="H130" s="6"/>
      <c r="I130" s="6"/>
      <c r="J130" s="5" t="s">
        <v>1058</v>
      </c>
      <c r="K130" s="5" t="s">
        <v>1059</v>
      </c>
      <c r="L130" s="4" t="s">
        <v>1060</v>
      </c>
      <c r="M130" s="4" t="s">
        <v>29</v>
      </c>
      <c r="N130" s="4" t="s">
        <v>1061</v>
      </c>
      <c r="O130" s="4" t="s">
        <v>29</v>
      </c>
      <c r="P130" s="6"/>
      <c r="Q130" s="6"/>
      <c r="R130" s="6"/>
      <c r="S130" s="6"/>
      <c r="T130" s="6"/>
      <c r="U130" s="6"/>
      <c r="V130" s="6"/>
      <c r="W130" s="6"/>
      <c r="X130" s="6"/>
      <c r="Y130" s="6"/>
    </row>
    <row r="131">
      <c r="B131" s="4" t="s">
        <v>1062</v>
      </c>
      <c r="C131" s="4" t="s">
        <v>1063</v>
      </c>
      <c r="D131" s="4" t="s">
        <v>247</v>
      </c>
      <c r="E131" s="4" t="s">
        <v>1064</v>
      </c>
      <c r="F131" s="4" t="str">
        <f>IFERROR(__XLUDF.DUMMYFUNCTION("PROPER(REGEXREPLACE(D116,""[^A-Za-z]+ "",""""))"),"Kawaa")</f>
        <v>Kawaa</v>
      </c>
      <c r="G131" s="4" t="s">
        <v>1065</v>
      </c>
      <c r="H131" s="4">
        <v>27</v>
      </c>
      <c r="I131" s="4" t="s">
        <v>25</v>
      </c>
      <c r="J131" s="5" t="s">
        <v>1066</v>
      </c>
      <c r="K131" s="5" t="s">
        <v>1067</v>
      </c>
      <c r="L131" s="6"/>
      <c r="M131" s="4" t="s">
        <v>29</v>
      </c>
      <c r="N131" s="4" t="s">
        <v>1068</v>
      </c>
      <c r="O131" s="4" t="s">
        <v>29</v>
      </c>
      <c r="P131" s="4" t="s">
        <v>1069</v>
      </c>
      <c r="Q131" s="6"/>
      <c r="R131" s="6"/>
      <c r="S131" s="6"/>
      <c r="T131" s="6"/>
      <c r="U131" s="6"/>
      <c r="V131" s="6"/>
      <c r="W131" s="6"/>
      <c r="X131" s="6"/>
      <c r="Y131" s="6"/>
    </row>
    <row r="132">
      <c r="B132" s="4" t="s">
        <v>1070</v>
      </c>
      <c r="C132" s="4" t="s">
        <v>1071</v>
      </c>
      <c r="D132" s="4" t="s">
        <v>1072</v>
      </c>
      <c r="E132" s="4" t="s">
        <v>1073</v>
      </c>
      <c r="F132" s="4" t="str">
        <f>IFERROR(__XLUDF.DUMMYFUNCTION("PROPER(REGEXREPLACE(D117,""[^A-Za-z]+ "",""""))"),"Sea Green Resort")</f>
        <v xml:space="preserve">Sea Green Resort</v>
      </c>
      <c r="G132" s="4" t="s">
        <v>1074</v>
      </c>
      <c r="H132" s="4">
        <v>49</v>
      </c>
      <c r="I132" s="4" t="s">
        <v>36</v>
      </c>
      <c r="J132" s="5" t="s">
        <v>1075</v>
      </c>
      <c r="K132" s="5" t="s">
        <v>1076</v>
      </c>
      <c r="L132" s="4" t="s">
        <v>39</v>
      </c>
      <c r="M132" s="4" t="s">
        <v>29</v>
      </c>
      <c r="N132" s="4" t="s">
        <v>1077</v>
      </c>
      <c r="O132" s="4" t="s">
        <v>29</v>
      </c>
      <c r="P132" s="4" t="s">
        <v>1078</v>
      </c>
      <c r="Q132" s="6"/>
      <c r="R132" s="6"/>
      <c r="S132" s="6"/>
      <c r="T132" s="6"/>
      <c r="U132" s="6"/>
      <c r="V132" s="6"/>
      <c r="W132" s="6"/>
      <c r="X132" s="6"/>
      <c r="Y132" s="6"/>
    </row>
    <row r="133">
      <c r="B133" s="4" t="s">
        <v>69</v>
      </c>
      <c r="C133" s="4" t="s">
        <v>1079</v>
      </c>
      <c r="D133" s="4" t="s">
        <v>44</v>
      </c>
      <c r="E133" s="4" t="s">
        <v>1080</v>
      </c>
      <c r="F133" s="4" t="str">
        <f>IFERROR(__XLUDF.DUMMYFUNCTION("PROPER(REGEXREPLACE(D118,""[^A-Za-z]+ "",""""))"),"Yoomy Food Group")</f>
        <v xml:space="preserve">Yoomy Food Group</v>
      </c>
      <c r="G133" s="4" t="s">
        <v>1081</v>
      </c>
      <c r="H133" s="4">
        <v>4</v>
      </c>
      <c r="I133" s="4" t="s">
        <v>25</v>
      </c>
      <c r="J133" s="5" t="s">
        <v>1082</v>
      </c>
      <c r="K133" s="5" t="s">
        <v>1083</v>
      </c>
      <c r="L133" s="4" t="s">
        <v>39</v>
      </c>
      <c r="M133" s="4" t="s">
        <v>29</v>
      </c>
      <c r="N133" s="4" t="s">
        <v>1084</v>
      </c>
      <c r="O133" s="4" t="s">
        <v>29</v>
      </c>
      <c r="P133" s="4" t="s">
        <v>1085</v>
      </c>
      <c r="Q133" s="6"/>
      <c r="R133" s="6"/>
      <c r="S133" s="6"/>
      <c r="T133" s="6"/>
      <c r="U133" s="6"/>
      <c r="V133" s="6"/>
      <c r="W133" s="6"/>
      <c r="X133" s="6"/>
      <c r="Y133" s="6"/>
    </row>
    <row r="134">
      <c r="B134" s="4" t="s">
        <v>1086</v>
      </c>
      <c r="C134" s="4" t="s">
        <v>1087</v>
      </c>
      <c r="D134" s="4" t="s">
        <v>1088</v>
      </c>
      <c r="E134" s="4" t="s">
        <v>1089</v>
      </c>
      <c r="F134" s="4" t="str">
        <f>IFERROR(__XLUDF.DUMMYFUNCTION("PROPER(REGEXREPLACE(D119,""[^A-Za-z]+ "",""""))"),"Aux Enfants Terribles")</f>
        <v xml:space="preserve">Aux Enfants Terribles</v>
      </c>
      <c r="G134" s="4" t="s">
        <v>1090</v>
      </c>
      <c r="H134" s="4">
        <v>14</v>
      </c>
      <c r="I134" s="4" t="s">
        <v>90</v>
      </c>
      <c r="J134" s="5" t="s">
        <v>1091</v>
      </c>
      <c r="K134" s="5" t="s">
        <v>1092</v>
      </c>
      <c r="L134" s="4" t="s">
        <v>39</v>
      </c>
      <c r="M134" s="4" t="s">
        <v>29</v>
      </c>
      <c r="N134" s="4" t="s">
        <v>1093</v>
      </c>
      <c r="O134" s="4" t="s">
        <v>1094</v>
      </c>
      <c r="P134" s="4" t="s">
        <v>1095</v>
      </c>
      <c r="Q134" s="6"/>
      <c r="R134" s="6"/>
      <c r="S134" s="6"/>
      <c r="T134" s="6"/>
      <c r="U134" s="6"/>
      <c r="V134" s="6"/>
      <c r="W134" s="6"/>
      <c r="X134" s="6"/>
      <c r="Y134" s="6"/>
    </row>
    <row r="135">
      <c r="B135" s="4" t="s">
        <v>1096</v>
      </c>
      <c r="C135" s="4" t="s">
        <v>1097</v>
      </c>
      <c r="D135" s="4" t="s">
        <v>44</v>
      </c>
      <c r="E135" s="4" t="s">
        <v>1098</v>
      </c>
      <c r="F135" s="4" t="str">
        <f>IFERROR(__XLUDF.DUMMYFUNCTION("PROPER(REGEXREPLACE(D120,""[^A-Za-z]+ "",""""))"),"Amis De Voyage")</f>
        <v xml:space="preserve">Amis De Voyage</v>
      </c>
      <c r="G135" s="4" t="s">
        <v>1099</v>
      </c>
      <c r="H135" s="4">
        <v>3</v>
      </c>
      <c r="I135" s="4" t="s">
        <v>25</v>
      </c>
      <c r="J135" s="5" t="s">
        <v>1100</v>
      </c>
      <c r="K135" s="5" t="s">
        <v>1101</v>
      </c>
      <c r="L135" s="4" t="s">
        <v>1102</v>
      </c>
      <c r="M135" s="4" t="s">
        <v>29</v>
      </c>
      <c r="N135" s="4" t="s">
        <v>1103</v>
      </c>
      <c r="O135" s="4" t="s">
        <v>29</v>
      </c>
      <c r="P135" s="4" t="s">
        <v>1104</v>
      </c>
      <c r="Q135" s="6"/>
      <c r="R135" s="6"/>
      <c r="S135" s="6"/>
      <c r="T135" s="6"/>
      <c r="U135" s="6"/>
      <c r="V135" s="6"/>
      <c r="W135" s="6"/>
      <c r="X135" s="6"/>
      <c r="Y135" s="6"/>
    </row>
    <row r="136">
      <c r="B136" s="4" t="s">
        <v>1105</v>
      </c>
      <c r="C136" s="4" t="s">
        <v>1106</v>
      </c>
      <c r="D136" s="4" t="s">
        <v>1107</v>
      </c>
      <c r="E136" s="4" t="s">
        <v>1108</v>
      </c>
      <c r="F136" s="4" t="str">
        <f>IFERROR(__XLUDF.DUMMYFUNCTION("PROPER(REGEXREPLACE(D121,""[^A-Za-z]+ "",""""))"),"Chateau St Pierre De Serjac ****")</f>
        <v xml:space="preserve">Chateau St Pierre De Serjac ****</v>
      </c>
      <c r="G136" s="4" t="s">
        <v>1109</v>
      </c>
      <c r="H136" s="4">
        <v>42</v>
      </c>
      <c r="I136" s="4" t="s">
        <v>36</v>
      </c>
      <c r="J136" s="5" t="s">
        <v>1110</v>
      </c>
      <c r="K136" s="5" t="s">
        <v>1111</v>
      </c>
      <c r="L136" s="6"/>
      <c r="M136" s="4" t="s">
        <v>29</v>
      </c>
      <c r="N136" s="4" t="s">
        <v>1112</v>
      </c>
      <c r="O136" s="4" t="s">
        <v>29</v>
      </c>
      <c r="P136" s="4" t="s">
        <v>1113</v>
      </c>
      <c r="Q136" s="6"/>
      <c r="R136" s="6"/>
      <c r="S136" s="6"/>
      <c r="T136" s="6"/>
      <c r="U136" s="6"/>
      <c r="V136" s="6"/>
      <c r="W136" s="6"/>
      <c r="X136" s="6"/>
      <c r="Y136" s="6"/>
    </row>
    <row r="137">
      <c r="B137" s="4" t="s">
        <v>1114</v>
      </c>
      <c r="C137" s="4" t="s">
        <v>1115</v>
      </c>
      <c r="D137" s="4" t="s">
        <v>230</v>
      </c>
      <c r="E137" s="4" t="s">
        <v>1116</v>
      </c>
      <c r="F137" s="4" t="str">
        <f>IFERROR(__XLUDF.DUMMYFUNCTION("PROPER(REGEXREPLACE(D122,""[^A-Za-z]+ "",""""))"),"Fiap-Paris Hébergementséminaires")</f>
        <v xml:space="preserve">Fiap-Paris Hébergementséminaires</v>
      </c>
      <c r="G137" s="4" t="s">
        <v>1117</v>
      </c>
      <c r="H137" s="4">
        <v>2</v>
      </c>
      <c r="I137" s="4" t="s">
        <v>36</v>
      </c>
      <c r="J137" s="5" t="s">
        <v>1118</v>
      </c>
      <c r="K137" s="5" t="s">
        <v>1119</v>
      </c>
      <c r="L137" s="6"/>
      <c r="M137" s="4" t="s">
        <v>29</v>
      </c>
      <c r="N137" s="4" t="s">
        <v>1120</v>
      </c>
      <c r="O137" s="4" t="s">
        <v>29</v>
      </c>
      <c r="P137" s="6"/>
      <c r="Q137" s="6"/>
      <c r="R137" s="6"/>
      <c r="S137" s="6"/>
      <c r="T137" s="6"/>
      <c r="U137" s="6"/>
      <c r="V137" s="6"/>
      <c r="W137" s="6"/>
      <c r="X137" s="6"/>
      <c r="Y137" s="6"/>
    </row>
    <row r="138">
      <c r="B138" s="4" t="s">
        <v>485</v>
      </c>
      <c r="C138" s="4" t="s">
        <v>1121</v>
      </c>
      <c r="D138" s="4" t="s">
        <v>1122</v>
      </c>
      <c r="E138" s="4" t="s">
        <v>1123</v>
      </c>
      <c r="F138" s="4" t="str">
        <f>IFERROR(__XLUDF.DUMMYFUNCTION("PROPER(REGEXREPLACE(D123,""[^A-Za-z]+ "",""""))"),"Restaurant Le Garden")</f>
        <v xml:space="preserve">Restaurant Le Garden</v>
      </c>
      <c r="G138" s="4" t="s">
        <v>1124</v>
      </c>
      <c r="H138" s="4">
        <v>2</v>
      </c>
      <c r="I138" s="4" t="s">
        <v>36</v>
      </c>
      <c r="J138" s="5" t="s">
        <v>1125</v>
      </c>
      <c r="K138" s="5" t="s">
        <v>1126</v>
      </c>
      <c r="L138" s="4" t="s">
        <v>39</v>
      </c>
      <c r="M138" s="4" t="s">
        <v>29</v>
      </c>
      <c r="N138" s="6"/>
      <c r="O138" s="6"/>
      <c r="P138" s="4" t="s">
        <v>1127</v>
      </c>
      <c r="Q138" s="6"/>
      <c r="R138" s="6"/>
      <c r="S138" s="6"/>
      <c r="T138" s="6"/>
      <c r="U138" s="6"/>
      <c r="V138" s="6"/>
      <c r="W138" s="6"/>
      <c r="X138" s="6"/>
      <c r="Y138" s="6"/>
    </row>
    <row r="139">
      <c r="B139" s="4" t="s">
        <v>1128</v>
      </c>
      <c r="C139" s="4" t="s">
        <v>1129</v>
      </c>
      <c r="D139" s="4" t="s">
        <v>1130</v>
      </c>
      <c r="E139" s="4" t="s">
        <v>1131</v>
      </c>
      <c r="F139" s="4" t="str">
        <f>IFERROR(__XLUDF.DUMMYFUNCTION("PROPER(REGEXREPLACE(D124,""[^A-Za-z]+ "",""""))"),"Les Lodges Sainte Victoire Hôtelspa *****")</f>
        <v xml:space="preserve">Les Lodges Sainte Victoire Hôtelspa *****</v>
      </c>
      <c r="G139" s="4" t="s">
        <v>1132</v>
      </c>
      <c r="H139" s="4">
        <v>12</v>
      </c>
      <c r="I139" s="4" t="s">
        <v>25</v>
      </c>
      <c r="J139" s="5" t="s">
        <v>1133</v>
      </c>
      <c r="K139" s="5" t="s">
        <v>1134</v>
      </c>
      <c r="L139" s="6"/>
      <c r="M139" s="4" t="s">
        <v>29</v>
      </c>
      <c r="N139" s="4" t="s">
        <v>1135</v>
      </c>
      <c r="O139" s="4" t="s">
        <v>29</v>
      </c>
      <c r="P139" s="4" t="s">
        <v>1136</v>
      </c>
      <c r="Q139" s="6"/>
      <c r="R139" s="6"/>
      <c r="S139" s="6"/>
      <c r="T139" s="6"/>
      <c r="U139" s="6"/>
      <c r="V139" s="6"/>
      <c r="W139" s="6"/>
      <c r="X139" s="6"/>
      <c r="Y139" s="6"/>
    </row>
    <row r="140">
      <c r="B140" s="4" t="s">
        <v>808</v>
      </c>
      <c r="C140" s="4" t="s">
        <v>1137</v>
      </c>
      <c r="D140" s="4" t="s">
        <v>112</v>
      </c>
      <c r="E140" s="4" t="s">
        <v>1138</v>
      </c>
      <c r="F140" s="4" t="str">
        <f>IFERROR(__XLUDF.DUMMYFUNCTION("PROPER(REGEXREPLACE(D125,""[^A-Za-z]+ "",""""))"),"La Maison Du Donut")</f>
        <v xml:space="preserve">La Maison Du Donut</v>
      </c>
      <c r="G140" s="4" t="s">
        <v>1139</v>
      </c>
      <c r="H140" s="4">
        <v>36</v>
      </c>
      <c r="I140" s="4" t="s">
        <v>25</v>
      </c>
      <c r="J140" s="5" t="s">
        <v>1140</v>
      </c>
      <c r="K140" s="5" t="s">
        <v>1141</v>
      </c>
      <c r="L140" s="4" t="s">
        <v>1142</v>
      </c>
      <c r="M140" s="4" t="s">
        <v>29</v>
      </c>
      <c r="N140" s="4" t="s">
        <v>1143</v>
      </c>
      <c r="O140" s="4" t="s">
        <v>29</v>
      </c>
      <c r="P140" s="4" t="s">
        <v>1144</v>
      </c>
      <c r="Q140" s="6"/>
      <c r="R140" s="6"/>
      <c r="S140" s="6"/>
      <c r="T140" s="6"/>
      <c r="U140" s="6"/>
      <c r="V140" s="6"/>
      <c r="W140" s="6"/>
      <c r="X140" s="6"/>
      <c r="Y140" s="6"/>
    </row>
    <row r="141">
      <c r="B141" s="4" t="s">
        <v>222</v>
      </c>
      <c r="C141" s="4" t="s">
        <v>1145</v>
      </c>
      <c r="D141" s="4" t="s">
        <v>315</v>
      </c>
      <c r="E141" s="4" t="s">
        <v>1146</v>
      </c>
      <c r="F141" s="4" t="str">
        <f>IFERROR(__XLUDF.DUMMYFUNCTION("PROPER(REGEXREPLACE(D126,""[^A-Za-z]+ "",""""))"),"Drawing House")</f>
        <v xml:space="preserve">Drawing House</v>
      </c>
      <c r="G141" s="4" t="s">
        <v>1147</v>
      </c>
      <c r="H141" s="4">
        <v>13</v>
      </c>
      <c r="I141" s="4" t="s">
        <v>25</v>
      </c>
      <c r="J141" s="5" t="s">
        <v>1148</v>
      </c>
      <c r="K141" s="5" t="s">
        <v>1149</v>
      </c>
      <c r="L141" s="4" t="s">
        <v>1150</v>
      </c>
      <c r="M141" s="4" t="s">
        <v>29</v>
      </c>
      <c r="N141" s="4" t="s">
        <v>1151</v>
      </c>
      <c r="O141" s="4" t="s">
        <v>1152</v>
      </c>
      <c r="P141" s="6"/>
      <c r="Q141" s="6"/>
      <c r="R141" s="6"/>
      <c r="S141" s="6"/>
      <c r="T141" s="6"/>
      <c r="U141" s="6"/>
      <c r="V141" s="6"/>
      <c r="W141" s="6"/>
      <c r="X141" s="6"/>
      <c r="Y141" s="6"/>
    </row>
    <row r="142">
      <c r="B142" s="4" t="s">
        <v>679</v>
      </c>
      <c r="C142" s="4" t="s">
        <v>1153</v>
      </c>
      <c r="D142" s="4" t="s">
        <v>44</v>
      </c>
      <c r="E142" s="4" t="s">
        <v>1154</v>
      </c>
      <c r="F142" s="4" t="str">
        <f>IFERROR(__XLUDF.DUMMYFUNCTION("PROPER(REGEXREPLACE(D127,""[^A-Za-z]+ "",""""))"),"Ternélia Les Grands Massifs")</f>
        <v xml:space="preserve">Ternélia Les Grands Massifs</v>
      </c>
      <c r="G142" s="4" t="s">
        <v>1155</v>
      </c>
      <c r="H142" s="4">
        <v>2</v>
      </c>
      <c r="I142" s="4" t="s">
        <v>25</v>
      </c>
      <c r="J142" s="5" t="s">
        <v>1156</v>
      </c>
      <c r="K142" s="5" t="s">
        <v>1157</v>
      </c>
      <c r="L142" s="4" t="s">
        <v>39</v>
      </c>
      <c r="M142" s="4" t="s">
        <v>29</v>
      </c>
      <c r="N142" s="4" t="s">
        <v>1158</v>
      </c>
      <c r="O142" s="4" t="s">
        <v>29</v>
      </c>
      <c r="P142" s="4" t="s">
        <v>1159</v>
      </c>
      <c r="Q142" s="6"/>
      <c r="R142" s="6"/>
      <c r="S142" s="6"/>
      <c r="T142" s="6"/>
      <c r="U142" s="6"/>
      <c r="V142" s="6"/>
      <c r="W142" s="6"/>
      <c r="X142" s="6"/>
      <c r="Y142" s="6"/>
    </row>
    <row r="143">
      <c r="B143" s="4" t="s">
        <v>1160</v>
      </c>
      <c r="C143" s="4" t="s">
        <v>1161</v>
      </c>
      <c r="D143" s="4" t="s">
        <v>1162</v>
      </c>
      <c r="E143" s="4" t="s">
        <v>1163</v>
      </c>
      <c r="F143" s="4" t="str">
        <f>IFERROR(__XLUDF.DUMMYFUNCTION("PROPER(REGEXREPLACE(D128,""[^A-Za-z]+ "",""""))"),"Hotel Eden Paris")</f>
        <v xml:space="preserve">Hotel Eden Paris</v>
      </c>
      <c r="G143" s="4" t="s">
        <v>1164</v>
      </c>
      <c r="H143" s="4">
        <v>2</v>
      </c>
      <c r="I143" s="4" t="s">
        <v>36</v>
      </c>
      <c r="J143" s="5" t="s">
        <v>1165</v>
      </c>
      <c r="K143" s="5" t="s">
        <v>1166</v>
      </c>
      <c r="L143" s="4" t="s">
        <v>39</v>
      </c>
      <c r="M143" s="4" t="s">
        <v>29</v>
      </c>
      <c r="N143" s="4" t="s">
        <v>1167</v>
      </c>
      <c r="O143" s="4" t="s">
        <v>29</v>
      </c>
      <c r="P143" s="4" t="s">
        <v>1168</v>
      </c>
      <c r="Q143" s="6"/>
      <c r="R143" s="6"/>
      <c r="S143" s="6"/>
      <c r="T143" s="6"/>
      <c r="U143" s="6"/>
      <c r="V143" s="6"/>
      <c r="W143" s="6"/>
      <c r="X143" s="6"/>
      <c r="Y143" s="6"/>
    </row>
    <row r="144">
      <c r="B144" s="4" t="s">
        <v>95</v>
      </c>
      <c r="C144" s="4" t="s">
        <v>1169</v>
      </c>
      <c r="D144" s="4" t="s">
        <v>112</v>
      </c>
      <c r="E144" s="4" t="s">
        <v>1170</v>
      </c>
      <c r="F144" s="4" t="str">
        <f>IFERROR(__XLUDF.DUMMYFUNCTION("PROPER(REGEXREPLACE(D129,""[^A-Za-z]+ "",""""))"),"Groupe La Bonbonnière")</f>
        <v xml:space="preserve">Groupe La Bonbonnière</v>
      </c>
      <c r="G144" s="4" t="s">
        <v>1171</v>
      </c>
      <c r="H144" s="4">
        <v>16</v>
      </c>
      <c r="I144" s="4" t="s">
        <v>90</v>
      </c>
      <c r="J144" s="5" t="s">
        <v>1172</v>
      </c>
      <c r="K144" s="5" t="s">
        <v>1173</v>
      </c>
      <c r="L144" s="6"/>
      <c r="M144" s="4" t="s">
        <v>29</v>
      </c>
      <c r="N144" s="4" t="s">
        <v>1174</v>
      </c>
      <c r="O144" s="4" t="s">
        <v>29</v>
      </c>
      <c r="P144" s="4" t="s">
        <v>1175</v>
      </c>
      <c r="Q144" s="6"/>
      <c r="R144" s="6"/>
      <c r="S144" s="6"/>
      <c r="T144" s="6"/>
      <c r="U144" s="6"/>
      <c r="V144" s="6"/>
      <c r="W144" s="6"/>
      <c r="X144" s="6"/>
      <c r="Y144" s="6"/>
    </row>
    <row r="145">
      <c r="B145" s="4" t="s">
        <v>596</v>
      </c>
      <c r="C145" s="4" t="s">
        <v>1176</v>
      </c>
      <c r="D145" s="4" t="s">
        <v>1177</v>
      </c>
      <c r="E145" s="4" t="s">
        <v>1178</v>
      </c>
      <c r="F145" s="4" t="str">
        <f>IFERROR(__XLUDF.DUMMYFUNCTION("PROPER(REGEXREPLACE(D130,""[^A-Za-z]+ "",""""))"),"Aeroport Chateauroux Centre")</f>
        <v xml:space="preserve">Aeroport Chateauroux Centre</v>
      </c>
      <c r="G145" s="4" t="s">
        <v>1179</v>
      </c>
      <c r="H145" s="4">
        <v>27</v>
      </c>
      <c r="I145" s="4" t="s">
        <v>36</v>
      </c>
      <c r="J145" s="5" t="s">
        <v>1180</v>
      </c>
      <c r="K145" s="5" t="s">
        <v>1181</v>
      </c>
      <c r="L145" s="4" t="s">
        <v>39</v>
      </c>
      <c r="M145" s="4" t="s">
        <v>29</v>
      </c>
      <c r="N145" s="4" t="s">
        <v>508</v>
      </c>
      <c r="O145" s="4" t="s">
        <v>29</v>
      </c>
      <c r="P145" s="4" t="s">
        <v>1182</v>
      </c>
      <c r="Q145" s="6"/>
      <c r="R145" s="6"/>
      <c r="S145" s="6"/>
      <c r="T145" s="6"/>
      <c r="U145" s="6"/>
      <c r="V145" s="6"/>
      <c r="W145" s="6"/>
      <c r="X145" s="6"/>
      <c r="Y145" s="6"/>
    </row>
    <row r="146">
      <c r="B146" s="4" t="s">
        <v>785</v>
      </c>
      <c r="C146" s="4" t="s">
        <v>1183</v>
      </c>
      <c r="D146" s="4" t="s">
        <v>120</v>
      </c>
      <c r="E146" s="4" t="s">
        <v>1184</v>
      </c>
      <c r="F146" s="4" t="str">
        <f>IFERROR(__XLUDF.DUMMYFUNCTION("PROPER(REGEXREPLACE(D131,""[^A-Za-z]+ "",""""))"),"Leitmotiv")</f>
        <v>Leitmotiv</v>
      </c>
      <c r="G146" s="4" t="s">
        <v>1185</v>
      </c>
      <c r="H146" s="4">
        <v>9</v>
      </c>
      <c r="I146" s="4" t="s">
        <v>36</v>
      </c>
      <c r="J146" s="5" t="s">
        <v>1186</v>
      </c>
      <c r="K146" s="5" t="s">
        <v>1187</v>
      </c>
      <c r="L146" s="4" t="s">
        <v>39</v>
      </c>
      <c r="M146" s="4" t="s">
        <v>29</v>
      </c>
      <c r="N146" s="4" t="s">
        <v>1188</v>
      </c>
      <c r="O146" s="4" t="s">
        <v>29</v>
      </c>
      <c r="P146" s="4" t="s">
        <v>1189</v>
      </c>
      <c r="Q146" s="6"/>
      <c r="R146" s="6"/>
      <c r="S146" s="6"/>
      <c r="T146" s="6"/>
      <c r="U146" s="6"/>
      <c r="V146" s="6"/>
      <c r="W146" s="6"/>
      <c r="X146" s="6"/>
      <c r="Y146" s="6"/>
    </row>
    <row r="147">
      <c r="B147" s="4" t="s">
        <v>1190</v>
      </c>
      <c r="C147" s="4" t="s">
        <v>1191</v>
      </c>
      <c r="D147" s="4" t="s">
        <v>120</v>
      </c>
      <c r="E147" s="4" t="s">
        <v>1192</v>
      </c>
      <c r="F147" s="4" t="str">
        <f>IFERROR(__XLUDF.DUMMYFUNCTION("PROPER(REGEXREPLACE(D132,""[^A-Za-z]+ "",""""))"),"Meet My Mama")</f>
        <v xml:space="preserve">Meet My Mama</v>
      </c>
      <c r="G147" s="4" t="s">
        <v>1193</v>
      </c>
      <c r="H147" s="4">
        <v>16</v>
      </c>
      <c r="I147" s="4" t="s">
        <v>36</v>
      </c>
      <c r="J147" s="5" t="s">
        <v>1194</v>
      </c>
      <c r="K147" s="5" t="s">
        <v>1195</v>
      </c>
      <c r="L147" s="4" t="s">
        <v>1196</v>
      </c>
      <c r="M147" s="4" t="s">
        <v>29</v>
      </c>
      <c r="N147" s="4" t="s">
        <v>1197</v>
      </c>
      <c r="O147" s="4" t="s">
        <v>29</v>
      </c>
      <c r="P147" s="6"/>
      <c r="Q147" s="6"/>
      <c r="R147" s="6"/>
      <c r="S147" s="6"/>
      <c r="T147" s="6"/>
      <c r="U147" s="6"/>
      <c r="V147" s="6"/>
      <c r="W147" s="6"/>
      <c r="X147" s="6"/>
      <c r="Y147" s="6"/>
    </row>
    <row r="148">
      <c r="B148" s="4" t="s">
        <v>1198</v>
      </c>
      <c r="C148" s="4" t="s">
        <v>1199</v>
      </c>
      <c r="D148" s="4" t="s">
        <v>172</v>
      </c>
      <c r="E148" s="4" t="s">
        <v>1200</v>
      </c>
      <c r="F148" s="4" t="str">
        <f>IFERROR(__XLUDF.DUMMYFUNCTION("PROPER(REGEXREPLACE(D133,""[^A-Za-z]+ "",""""))"),"Hotels En Ville")</f>
        <v xml:space="preserve">Hotels En Ville</v>
      </c>
      <c r="G148" s="4" t="s">
        <v>1201</v>
      </c>
      <c r="H148" s="4">
        <v>23</v>
      </c>
      <c r="I148" s="4" t="s">
        <v>25</v>
      </c>
      <c r="J148" s="5" t="s">
        <v>1202</v>
      </c>
      <c r="K148" s="5" t="s">
        <v>1203</v>
      </c>
      <c r="L148" s="4" t="s">
        <v>1204</v>
      </c>
      <c r="M148" s="4" t="s">
        <v>29</v>
      </c>
      <c r="N148" s="4" t="s">
        <v>1205</v>
      </c>
      <c r="O148" s="4" t="s">
        <v>29</v>
      </c>
      <c r="P148" s="4" t="s">
        <v>1206</v>
      </c>
      <c r="Q148" s="6"/>
      <c r="R148" s="6"/>
      <c r="S148" s="6"/>
      <c r="T148" s="6"/>
      <c r="U148" s="6"/>
      <c r="V148" s="6"/>
      <c r="W148" s="6"/>
      <c r="X148" s="6"/>
      <c r="Y148" s="6"/>
    </row>
    <row r="149">
      <c r="B149" s="4" t="s">
        <v>1207</v>
      </c>
      <c r="C149" s="4" t="s">
        <v>1208</v>
      </c>
      <c r="D149" s="4" t="s">
        <v>164</v>
      </c>
      <c r="E149" s="4" t="s">
        <v>1209</v>
      </c>
      <c r="F149" s="4" t="str">
        <f>IFERROR(__XLUDF.DUMMYFUNCTION("PROPER(REGEXREPLACE(D134,""[^A-Za-z]+ "",""""))"),"Nutchel")</f>
        <v>Nutchel</v>
      </c>
      <c r="G149" s="4" t="s">
        <v>1210</v>
      </c>
      <c r="H149" s="4">
        <v>48</v>
      </c>
      <c r="I149" s="4" t="s">
        <v>36</v>
      </c>
      <c r="J149" s="5" t="s">
        <v>1211</v>
      </c>
      <c r="K149" s="5" t="s">
        <v>1212</v>
      </c>
      <c r="L149" s="4" t="s">
        <v>49</v>
      </c>
      <c r="M149" s="4" t="s">
        <v>29</v>
      </c>
      <c r="N149" s="4" t="s">
        <v>1213</v>
      </c>
      <c r="O149" s="4" t="s">
        <v>29</v>
      </c>
      <c r="P149" s="4" t="s">
        <v>1214</v>
      </c>
      <c r="Q149" s="6"/>
      <c r="R149" s="6"/>
      <c r="S149" s="6"/>
      <c r="T149" s="6"/>
      <c r="U149" s="6"/>
      <c r="V149" s="6"/>
      <c r="W149" s="6"/>
      <c r="X149" s="6"/>
      <c r="Y149" s="6"/>
    </row>
    <row r="150">
      <c r="B150" s="4" t="s">
        <v>1215</v>
      </c>
      <c r="C150" s="4" t="s">
        <v>1216</v>
      </c>
      <c r="D150" s="4" t="s">
        <v>172</v>
      </c>
      <c r="E150" s="4" t="s">
        <v>1217</v>
      </c>
      <c r="F150" s="4" t="str">
        <f>IFERROR(__XLUDF.DUMMYFUNCTION("PROPER(REGEXREPLACE(D135,""[^A-Za-z]+ "",""""))"),"Sun Location !")</f>
        <v xml:space="preserve">Sun Location !</v>
      </c>
      <c r="G150" s="4" t="s">
        <v>1218</v>
      </c>
      <c r="H150" s="4">
        <v>48</v>
      </c>
      <c r="I150" s="4" t="s">
        <v>36</v>
      </c>
      <c r="J150" s="5" t="s">
        <v>1219</v>
      </c>
      <c r="K150" s="5" t="s">
        <v>1220</v>
      </c>
      <c r="L150" s="4" t="s">
        <v>49</v>
      </c>
      <c r="M150" s="4" t="s">
        <v>29</v>
      </c>
      <c r="N150" s="4" t="s">
        <v>1221</v>
      </c>
      <c r="O150" s="4" t="s">
        <v>29</v>
      </c>
      <c r="P150" s="4" t="s">
        <v>1222</v>
      </c>
      <c r="Q150" s="6"/>
      <c r="R150" s="6"/>
      <c r="S150" s="6"/>
      <c r="T150" s="6"/>
      <c r="U150" s="6"/>
      <c r="V150" s="6"/>
      <c r="W150" s="6"/>
      <c r="X150" s="6"/>
      <c r="Y150" s="6"/>
    </row>
    <row r="151">
      <c r="B151" s="4" t="s">
        <v>330</v>
      </c>
      <c r="C151" s="4" t="s">
        <v>1223</v>
      </c>
      <c r="D151" s="4" t="s">
        <v>426</v>
      </c>
      <c r="E151" s="4" t="s">
        <v>1224</v>
      </c>
      <c r="F151" s="4" t="str">
        <f>IFERROR(__XLUDF.DUMMYFUNCTION("PROPER(REGEXREPLACE(D136,""[^A-Za-z]+ "",""""))"),"Street Bangkok")</f>
        <v xml:space="preserve">Street Bangkok</v>
      </c>
      <c r="G151" s="4" t="s">
        <v>1225</v>
      </c>
      <c r="H151" s="4">
        <v>34</v>
      </c>
      <c r="I151" s="4" t="s">
        <v>25</v>
      </c>
      <c r="J151" s="5" t="s">
        <v>1226</v>
      </c>
      <c r="K151" s="5" t="s">
        <v>1227</v>
      </c>
      <c r="L151" s="6"/>
      <c r="M151" s="4" t="s">
        <v>29</v>
      </c>
      <c r="N151" s="4" t="s">
        <v>1228</v>
      </c>
      <c r="O151" s="4" t="s">
        <v>29</v>
      </c>
      <c r="P151" s="4" t="s">
        <v>1229</v>
      </c>
      <c r="Q151" s="6"/>
      <c r="R151" s="6"/>
      <c r="S151" s="6"/>
      <c r="T151" s="6"/>
      <c r="U151" s="6"/>
      <c r="V151" s="6"/>
      <c r="W151" s="6"/>
      <c r="X151" s="6"/>
      <c r="Y151" s="6"/>
    </row>
    <row r="152">
      <c r="B152" s="4" t="s">
        <v>785</v>
      </c>
      <c r="C152" s="4" t="s">
        <v>1230</v>
      </c>
      <c r="D152" s="4" t="s">
        <v>1231</v>
      </c>
      <c r="E152" s="4" t="s">
        <v>1232</v>
      </c>
      <c r="F152" s="4" t="str">
        <f>IFERROR(__XLUDF.DUMMYFUNCTION("PROPER(REGEXREPLACE(D137,""[^A-Za-z]+ "",""""))"),"Carnium")</f>
        <v>Carnium</v>
      </c>
      <c r="G152" s="4" t="s">
        <v>1233</v>
      </c>
      <c r="H152" s="4">
        <v>13</v>
      </c>
      <c r="I152" s="4" t="s">
        <v>25</v>
      </c>
      <c r="J152" s="5" t="s">
        <v>1234</v>
      </c>
      <c r="K152" s="5" t="s">
        <v>1235</v>
      </c>
      <c r="L152" s="4" t="s">
        <v>185</v>
      </c>
      <c r="M152" s="4" t="s">
        <v>29</v>
      </c>
      <c r="N152" s="4" t="s">
        <v>1236</v>
      </c>
      <c r="O152" s="4" t="s">
        <v>29</v>
      </c>
      <c r="P152" s="4" t="s">
        <v>1237</v>
      </c>
      <c r="Q152" s="6"/>
      <c r="R152" s="6"/>
      <c r="S152" s="6"/>
      <c r="T152" s="6"/>
      <c r="U152" s="6"/>
      <c r="V152" s="6"/>
      <c r="W152" s="6"/>
      <c r="X152" s="6"/>
      <c r="Y152" s="6"/>
    </row>
    <row r="153">
      <c r="B153" s="4" t="s">
        <v>1238</v>
      </c>
      <c r="C153" s="4" t="s">
        <v>1239</v>
      </c>
      <c r="D153" s="4" t="s">
        <v>1240</v>
      </c>
      <c r="E153" s="4" t="s">
        <v>1241</v>
      </c>
      <c r="F153" s="4" t="str">
        <f>IFERROR(__XLUDF.DUMMYFUNCTION("PROPER(REGEXREPLACE(D138,""[^A-Za-z]+ "",""""))"),"Banoi Paris")</f>
        <v xml:space="preserve">Banoi Paris</v>
      </c>
      <c r="G153" s="4" t="s">
        <v>1242</v>
      </c>
      <c r="H153" s="4">
        <v>9</v>
      </c>
      <c r="I153" s="4" t="s">
        <v>36</v>
      </c>
      <c r="J153" s="5" t="s">
        <v>1243</v>
      </c>
      <c r="K153" s="5" t="s">
        <v>1244</v>
      </c>
      <c r="L153" s="4" t="s">
        <v>39</v>
      </c>
      <c r="M153" s="4" t="s">
        <v>29</v>
      </c>
      <c r="N153" s="4" t="s">
        <v>1245</v>
      </c>
      <c r="O153" s="4" t="s">
        <v>29</v>
      </c>
      <c r="P153" s="6"/>
      <c r="Q153" s="6"/>
      <c r="R153" s="6"/>
      <c r="S153" s="6"/>
      <c r="T153" s="6"/>
      <c r="U153" s="6"/>
      <c r="V153" s="6"/>
      <c r="W153" s="6"/>
      <c r="X153" s="6"/>
      <c r="Y153" s="6"/>
    </row>
    <row r="154">
      <c r="B154" s="4" t="s">
        <v>734</v>
      </c>
      <c r="C154" s="4" t="s">
        <v>1246</v>
      </c>
      <c r="D154" s="4" t="s">
        <v>247</v>
      </c>
      <c r="E154" s="4" t="s">
        <v>1247</v>
      </c>
      <c r="F154" s="4" t="str">
        <f>IFERROR(__XLUDF.DUMMYFUNCTION("PROPER(REGEXREPLACE(D139,""[^A-Za-z]+ "",""""))"),"Château Les Merles")</f>
        <v xml:space="preserve">Château Les Merles</v>
      </c>
      <c r="G154" s="4" t="s">
        <v>1248</v>
      </c>
      <c r="H154" s="4">
        <v>3</v>
      </c>
      <c r="I154" s="4" t="s">
        <v>36</v>
      </c>
      <c r="J154" s="5" t="s">
        <v>1249</v>
      </c>
      <c r="K154" s="5" t="s">
        <v>1250</v>
      </c>
      <c r="L154" s="4" t="s">
        <v>651</v>
      </c>
      <c r="M154" s="4" t="s">
        <v>29</v>
      </c>
      <c r="N154" s="4" t="s">
        <v>1251</v>
      </c>
      <c r="O154" s="4" t="s">
        <v>29</v>
      </c>
      <c r="P154" s="4" t="s">
        <v>1252</v>
      </c>
      <c r="Q154" s="6"/>
      <c r="R154" s="6"/>
      <c r="S154" s="6"/>
      <c r="T154" s="6"/>
      <c r="U154" s="6"/>
      <c r="V154" s="6"/>
      <c r="W154" s="6"/>
      <c r="X154" s="6"/>
      <c r="Y154" s="6"/>
    </row>
    <row r="155">
      <c r="B155" s="4" t="s">
        <v>1253</v>
      </c>
      <c r="C155" s="4" t="s">
        <v>1254</v>
      </c>
      <c r="D155" s="4" t="s">
        <v>1255</v>
      </c>
      <c r="E155" s="4" t="s">
        <v>1256</v>
      </c>
      <c r="F155" s="4" t="str">
        <f>IFERROR(__XLUDF.DUMMYFUNCTION("PROPER(REGEXREPLACE(D140,""[^A-Za-z]+ "",""""))"),"Koawa Vacances")</f>
        <v xml:space="preserve">Koawa Vacances</v>
      </c>
      <c r="G155" s="4" t="s">
        <v>1257</v>
      </c>
      <c r="H155" s="4">
        <v>13</v>
      </c>
      <c r="I155" s="4" t="s">
        <v>25</v>
      </c>
      <c r="J155" s="5" t="s">
        <v>1258</v>
      </c>
      <c r="K155" s="5" t="s">
        <v>1259</v>
      </c>
      <c r="L155" s="4" t="s">
        <v>295</v>
      </c>
      <c r="M155" s="4" t="s">
        <v>29</v>
      </c>
      <c r="N155" s="4" t="s">
        <v>1260</v>
      </c>
      <c r="O155" s="4" t="s">
        <v>1261</v>
      </c>
      <c r="P155" s="4" t="s">
        <v>1262</v>
      </c>
      <c r="Q155" s="6"/>
      <c r="R155" s="6"/>
      <c r="S155" s="6"/>
      <c r="T155" s="6"/>
      <c r="U155" s="6"/>
      <c r="V155" s="6"/>
      <c r="W155" s="6"/>
      <c r="X155" s="6"/>
      <c r="Y155" s="6"/>
    </row>
    <row r="156">
      <c r="B156" s="4" t="s">
        <v>1263</v>
      </c>
      <c r="C156" s="4" t="s">
        <v>1264</v>
      </c>
      <c r="D156" s="4" t="s">
        <v>87</v>
      </c>
      <c r="E156" s="4" t="s">
        <v>1265</v>
      </c>
      <c r="F156" s="4" t="str">
        <f>IFERROR(__XLUDF.DUMMYFUNCTION("PROPER(REGEXREPLACE(D141,""[^A-Za-z]+ "",""""))"),"Bonterra Resort")</f>
        <v xml:space="preserve">Bonterra Resort</v>
      </c>
      <c r="G156" s="4" t="s">
        <v>1266</v>
      </c>
      <c r="H156" s="4">
        <v>16</v>
      </c>
      <c r="I156" s="4" t="s">
        <v>36</v>
      </c>
      <c r="J156" s="5" t="s">
        <v>1267</v>
      </c>
      <c r="K156" s="5" t="s">
        <v>1268</v>
      </c>
      <c r="L156" s="4" t="s">
        <v>39</v>
      </c>
      <c r="M156" s="4" t="s">
        <v>29</v>
      </c>
      <c r="N156" s="4" t="s">
        <v>1269</v>
      </c>
      <c r="O156" s="4" t="s">
        <v>29</v>
      </c>
      <c r="P156" s="6"/>
      <c r="Q156" s="6"/>
      <c r="R156" s="6"/>
      <c r="S156" s="6"/>
      <c r="T156" s="6"/>
      <c r="U156" s="6"/>
      <c r="V156" s="6"/>
      <c r="W156" s="6"/>
      <c r="X156" s="6"/>
      <c r="Y156" s="6"/>
    </row>
    <row r="157">
      <c r="B157" s="4" t="s">
        <v>963</v>
      </c>
      <c r="C157" s="4" t="s">
        <v>1270</v>
      </c>
      <c r="D157" s="4" t="s">
        <v>1271</v>
      </c>
      <c r="E157" s="4" t="s">
        <v>1272</v>
      </c>
      <c r="F157" s="4" t="str">
        <f>IFERROR(__XLUDF.DUMMYFUNCTION("PROPER(REGEXREPLACE(D142,""[^A-Za-z]+ "",""""))"),"Pocketcamp")</f>
        <v>Pocketcamp</v>
      </c>
      <c r="G157" s="4" t="s">
        <v>1273</v>
      </c>
      <c r="H157" s="4">
        <v>14</v>
      </c>
      <c r="I157" s="4" t="s">
        <v>25</v>
      </c>
      <c r="J157" s="5" t="s">
        <v>1274</v>
      </c>
      <c r="K157" s="5" t="s">
        <v>1275</v>
      </c>
      <c r="L157" s="4" t="s">
        <v>39</v>
      </c>
      <c r="M157" s="4" t="s">
        <v>29</v>
      </c>
      <c r="N157" s="4" t="s">
        <v>1276</v>
      </c>
      <c r="O157" s="4" t="s">
        <v>29</v>
      </c>
      <c r="P157" s="4" t="s">
        <v>1277</v>
      </c>
      <c r="Q157" s="6"/>
      <c r="R157" s="6"/>
      <c r="S157" s="6"/>
      <c r="T157" s="6"/>
      <c r="U157" s="6"/>
      <c r="V157" s="6"/>
      <c r="W157" s="6"/>
      <c r="X157" s="6"/>
      <c r="Y157" s="6"/>
    </row>
    <row r="158">
      <c r="B158" s="4" t="s">
        <v>110</v>
      </c>
      <c r="C158" s="4" t="s">
        <v>1278</v>
      </c>
      <c r="D158" s="4" t="s">
        <v>44</v>
      </c>
      <c r="E158" s="4" t="s">
        <v>1279</v>
      </c>
      <c r="F158" s="4" t="str">
        <f>IFERROR(__XLUDF.DUMMYFUNCTION("PROPER(REGEXREPLACE(D143,""[^A-Za-z]+ "",""""))"),"Rousseaulesellier")</f>
        <v>Rousseaulesellier</v>
      </c>
      <c r="G158" s="4" t="s">
        <v>1280</v>
      </c>
      <c r="H158" s="4">
        <v>5</v>
      </c>
      <c r="I158" s="4" t="s">
        <v>25</v>
      </c>
      <c r="J158" s="5" t="s">
        <v>1281</v>
      </c>
      <c r="K158" s="5" t="s">
        <v>1282</v>
      </c>
      <c r="L158" s="4" t="s">
        <v>185</v>
      </c>
      <c r="M158" s="4" t="s">
        <v>29</v>
      </c>
      <c r="N158" s="4" t="s">
        <v>1283</v>
      </c>
      <c r="O158" s="4" t="s">
        <v>29</v>
      </c>
      <c r="P158" s="4" t="s">
        <v>1284</v>
      </c>
      <c r="Q158" s="6"/>
      <c r="R158" s="6"/>
      <c r="S158" s="6"/>
      <c r="T158" s="6"/>
      <c r="U158" s="6"/>
      <c r="V158" s="6"/>
      <c r="W158" s="6"/>
      <c r="X158" s="6"/>
      <c r="Y158" s="6"/>
    </row>
    <row r="159">
      <c r="B159" s="4" t="s">
        <v>20</v>
      </c>
      <c r="C159" s="4" t="s">
        <v>1285</v>
      </c>
      <c r="D159" s="4" t="s">
        <v>62</v>
      </c>
      <c r="E159" s="4" t="s">
        <v>1286</v>
      </c>
      <c r="F159" s="4" t="str">
        <f>IFERROR(__XLUDF.DUMMYFUNCTION("PROPER(REGEXREPLACE(D144,""[^A-Za-z]+ "",""""))"),"Excellence Riviera")</f>
        <v xml:space="preserve">Excellence Riviera</v>
      </c>
      <c r="G159" s="4" t="s">
        <v>1287</v>
      </c>
      <c r="H159" s="4">
        <v>12</v>
      </c>
      <c r="I159" s="4" t="s">
        <v>36</v>
      </c>
      <c r="J159" s="5" t="s">
        <v>1288</v>
      </c>
      <c r="K159" s="5" t="s">
        <v>1289</v>
      </c>
      <c r="L159" s="4" t="s">
        <v>39</v>
      </c>
      <c r="M159" s="4" t="s">
        <v>29</v>
      </c>
      <c r="N159" s="4" t="s">
        <v>1290</v>
      </c>
      <c r="O159" s="4" t="s">
        <v>29</v>
      </c>
      <c r="P159" s="4" t="s">
        <v>1291</v>
      </c>
      <c r="Q159" s="6"/>
      <c r="R159" s="6"/>
      <c r="S159" s="6"/>
      <c r="T159" s="6"/>
      <c r="U159" s="6"/>
      <c r="V159" s="6"/>
      <c r="W159" s="6"/>
      <c r="X159" s="6"/>
      <c r="Y159" s="6"/>
    </row>
    <row r="160">
      <c r="B160" s="4" t="s">
        <v>679</v>
      </c>
      <c r="C160" s="4" t="s">
        <v>1292</v>
      </c>
      <c r="D160" s="4" t="s">
        <v>1293</v>
      </c>
      <c r="E160" s="4" t="s">
        <v>1294</v>
      </c>
      <c r="F160" s="4" t="str">
        <f>IFERROR(__XLUDF.DUMMYFUNCTION("PROPER(REGEXREPLACE(D145,""[^A-Za-z]+ "",""""))"),"Écotable")</f>
        <v>Écotable</v>
      </c>
      <c r="G160" s="4" t="s">
        <v>1295</v>
      </c>
      <c r="H160" s="4">
        <v>37</v>
      </c>
      <c r="I160" s="4" t="s">
        <v>36</v>
      </c>
      <c r="J160" s="5" t="s">
        <v>1296</v>
      </c>
      <c r="K160" s="5" t="s">
        <v>1297</v>
      </c>
      <c r="L160" s="4" t="s">
        <v>83</v>
      </c>
      <c r="M160" s="4" t="s">
        <v>29</v>
      </c>
      <c r="N160" s="4" t="s">
        <v>1298</v>
      </c>
      <c r="O160" s="4" t="s">
        <v>29</v>
      </c>
      <c r="P160" s="6"/>
      <c r="Q160" s="6"/>
      <c r="R160" s="6"/>
      <c r="S160" s="6"/>
      <c r="T160" s="6"/>
      <c r="U160" s="6"/>
      <c r="V160" s="6"/>
      <c r="W160" s="6"/>
      <c r="X160" s="6"/>
      <c r="Y160" s="6"/>
    </row>
    <row r="161">
      <c r="B161" s="4" t="s">
        <v>330</v>
      </c>
      <c r="C161" s="4" t="s">
        <v>1299</v>
      </c>
      <c r="D161" s="4" t="s">
        <v>112</v>
      </c>
      <c r="E161" s="4" t="s">
        <v>1300</v>
      </c>
      <c r="F161" s="4" t="str">
        <f>IFERROR(__XLUDF.DUMMYFUNCTION("PROPER(REGEXREPLACE(D146,""[^A-Za-z]+ "",""""))"),"Artichef")</f>
        <v>Artichef</v>
      </c>
      <c r="G161" s="4" t="s">
        <v>1301</v>
      </c>
      <c r="H161" s="4">
        <v>35</v>
      </c>
      <c r="I161" s="4" t="s">
        <v>25</v>
      </c>
      <c r="J161" s="5" t="s">
        <v>1302</v>
      </c>
      <c r="K161" s="5" t="s">
        <v>1303</v>
      </c>
      <c r="L161" s="6"/>
      <c r="M161" s="4" t="s">
        <v>29</v>
      </c>
      <c r="N161" s="4" t="s">
        <v>1304</v>
      </c>
      <c r="O161" s="4" t="s">
        <v>29</v>
      </c>
      <c r="P161" s="4" t="s">
        <v>1305</v>
      </c>
      <c r="Q161" s="6"/>
      <c r="R161" s="6"/>
      <c r="S161" s="6"/>
      <c r="T161" s="6"/>
      <c r="U161" s="6"/>
      <c r="V161" s="6"/>
      <c r="W161" s="6"/>
      <c r="X161" s="6"/>
      <c r="Y161" s="6"/>
    </row>
    <row r="162">
      <c r="B162" s="4" t="s">
        <v>1153</v>
      </c>
      <c r="C162" s="4" t="s">
        <v>1306</v>
      </c>
      <c r="D162" s="4" t="s">
        <v>1307</v>
      </c>
      <c r="E162" s="4" t="s">
        <v>1308</v>
      </c>
      <c r="F162" s="4" t="str">
        <f>IFERROR(__XLUDF.DUMMYFUNCTION("PROPER(REGEXREPLACE(D147,""[^A-Za-z]+ "",""""))"),"Antoniomarco")</f>
        <v>Antoniomarco</v>
      </c>
      <c r="G162" s="4" t="s">
        <v>1309</v>
      </c>
      <c r="H162" s="4">
        <v>41</v>
      </c>
      <c r="I162" s="4" t="s">
        <v>25</v>
      </c>
      <c r="J162" s="5" t="s">
        <v>1310</v>
      </c>
      <c r="K162" s="5" t="s">
        <v>1311</v>
      </c>
      <c r="L162" s="4" t="s">
        <v>1312</v>
      </c>
      <c r="M162" s="4" t="s">
        <v>29</v>
      </c>
      <c r="N162" s="4" t="s">
        <v>1313</v>
      </c>
      <c r="O162" s="4" t="s">
        <v>29</v>
      </c>
      <c r="P162" s="6"/>
      <c r="Q162" s="6"/>
      <c r="R162" s="6"/>
      <c r="S162" s="6"/>
      <c r="T162" s="6"/>
      <c r="U162" s="6"/>
      <c r="V162" s="6"/>
      <c r="W162" s="6"/>
      <c r="X162" s="6"/>
      <c r="Y162" s="6"/>
    </row>
    <row r="163">
      <c r="B163" s="4" t="s">
        <v>322</v>
      </c>
      <c r="C163" s="4" t="s">
        <v>1314</v>
      </c>
      <c r="D163" s="4" t="s">
        <v>120</v>
      </c>
      <c r="E163" s="4" t="s">
        <v>581</v>
      </c>
      <c r="F163" s="4" t="str">
        <f>IFERROR(__XLUDF.DUMMYFUNCTION("PROPER(REGEXREPLACE(D148,""[^A-Za-z]+ "",""""))"),"La Villa Duflot")</f>
        <v xml:space="preserve">La Villa Duflot</v>
      </c>
      <c r="G163" s="4" t="s">
        <v>1315</v>
      </c>
      <c r="H163" s="4">
        <v>34</v>
      </c>
      <c r="I163" s="4" t="s">
        <v>36</v>
      </c>
      <c r="J163" s="5" t="s">
        <v>1316</v>
      </c>
      <c r="K163" s="5" t="s">
        <v>584</v>
      </c>
      <c r="L163" s="4" t="s">
        <v>585</v>
      </c>
      <c r="M163" s="4" t="s">
        <v>29</v>
      </c>
      <c r="N163" s="4" t="s">
        <v>586</v>
      </c>
      <c r="O163" s="4" t="s">
        <v>29</v>
      </c>
      <c r="P163" s="4" t="s">
        <v>587</v>
      </c>
      <c r="Q163" s="6"/>
      <c r="R163" s="6"/>
      <c r="S163" s="6"/>
      <c r="T163" s="6"/>
      <c r="U163" s="6"/>
      <c r="V163" s="6"/>
      <c r="W163" s="6"/>
      <c r="X163" s="6"/>
      <c r="Y163" s="6"/>
    </row>
    <row r="164">
      <c r="B164" s="4" t="s">
        <v>1153</v>
      </c>
      <c r="C164" s="4" t="s">
        <v>1317</v>
      </c>
      <c r="D164" s="4" t="s">
        <v>1318</v>
      </c>
      <c r="E164" s="4" t="s">
        <v>1319</v>
      </c>
      <c r="F164" s="4" t="str">
        <f>IFERROR(__XLUDF.DUMMYFUNCTION("PROPER(REGEXREPLACE(D149,""[^A-Za-z]+ "",""""))"),"Emilie And The Cool Kids")</f>
        <v xml:space="preserve">Emilie And The Cool Kids</v>
      </c>
      <c r="G164" s="4" t="s">
        <v>1320</v>
      </c>
      <c r="H164" s="4">
        <v>32</v>
      </c>
      <c r="I164" s="4" t="s">
        <v>36</v>
      </c>
      <c r="J164" s="5" t="s">
        <v>1321</v>
      </c>
      <c r="K164" s="5" t="s">
        <v>1322</v>
      </c>
      <c r="L164" s="6"/>
      <c r="M164" s="4" t="s">
        <v>29</v>
      </c>
      <c r="N164" s="4" t="s">
        <v>1323</v>
      </c>
      <c r="O164" s="4" t="s">
        <v>29</v>
      </c>
      <c r="P164" s="6"/>
      <c r="Q164" s="6"/>
      <c r="R164" s="6"/>
      <c r="S164" s="6"/>
      <c r="T164" s="6"/>
      <c r="U164" s="6"/>
      <c r="V164" s="6"/>
      <c r="W164" s="6"/>
      <c r="X164" s="6"/>
      <c r="Y164" s="6"/>
    </row>
    <row r="165">
      <c r="B165" s="4" t="s">
        <v>1324</v>
      </c>
      <c r="C165" s="4" t="s">
        <v>1325</v>
      </c>
      <c r="D165" s="4" t="s">
        <v>120</v>
      </c>
      <c r="E165" s="4" t="s">
        <v>1326</v>
      </c>
      <c r="F165" s="4" t="str">
        <f>IFERROR(__XLUDF.DUMMYFUNCTION("PROPER(REGEXREPLACE(D150,""[^A-Za-z]+ "",""""))"),"Gusto Family")</f>
        <v xml:space="preserve">Gusto Family</v>
      </c>
      <c r="G165" s="4" t="s">
        <v>1327</v>
      </c>
      <c r="H165" s="4">
        <v>6</v>
      </c>
      <c r="I165" s="4" t="s">
        <v>36</v>
      </c>
      <c r="J165" s="5" t="s">
        <v>1328</v>
      </c>
      <c r="K165" s="5" t="s">
        <v>1329</v>
      </c>
      <c r="L165" s="4" t="s">
        <v>39</v>
      </c>
      <c r="M165" s="4" t="s">
        <v>29</v>
      </c>
      <c r="N165" s="4" t="s">
        <v>1330</v>
      </c>
      <c r="O165" s="4" t="s">
        <v>29</v>
      </c>
      <c r="P165" s="6"/>
      <c r="Q165" s="6"/>
      <c r="R165" s="6"/>
      <c r="S165" s="6"/>
      <c r="T165" s="6"/>
      <c r="U165" s="6"/>
      <c r="V165" s="6"/>
      <c r="W165" s="6"/>
      <c r="X165" s="6"/>
      <c r="Y165" s="6"/>
    </row>
    <row r="166">
      <c r="B166" s="4" t="s">
        <v>1331</v>
      </c>
      <c r="C166" s="4" t="s">
        <v>1332</v>
      </c>
      <c r="D166" s="4" t="s">
        <v>1333</v>
      </c>
      <c r="E166" s="4" t="s">
        <v>1334</v>
      </c>
      <c r="F166" s="4" t="str">
        <f>IFERROR(__XLUDF.DUMMYFUNCTION("PROPER(REGEXREPLACE(D151,""[^A-Za-z]+ "",""""))"),"Prévithal Thalasso Spa Marin Resort Granville")</f>
        <v xml:space="preserve">Prévithal Thalasso Spa Marin Resort Granville</v>
      </c>
      <c r="G166" s="4" t="s">
        <v>1335</v>
      </c>
      <c r="H166" s="4">
        <v>12</v>
      </c>
      <c r="I166" s="4" t="s">
        <v>25</v>
      </c>
      <c r="J166" s="5" t="s">
        <v>1336</v>
      </c>
      <c r="K166" s="5" t="s">
        <v>1337</v>
      </c>
      <c r="L166" s="4" t="s">
        <v>846</v>
      </c>
      <c r="M166" s="4" t="s">
        <v>29</v>
      </c>
      <c r="N166" s="4" t="s">
        <v>1261</v>
      </c>
      <c r="O166" s="4" t="s">
        <v>1261</v>
      </c>
      <c r="P166" s="6"/>
      <c r="Q166" s="6"/>
      <c r="R166" s="6"/>
      <c r="S166" s="6"/>
      <c r="T166" s="6"/>
      <c r="U166" s="6"/>
      <c r="V166" s="6"/>
      <c r="W166" s="6"/>
      <c r="X166" s="6"/>
      <c r="Y166" s="6"/>
    </row>
    <row r="167">
      <c r="B167" s="4" t="s">
        <v>330</v>
      </c>
      <c r="C167" s="4" t="s">
        <v>1338</v>
      </c>
      <c r="D167" s="4" t="s">
        <v>172</v>
      </c>
      <c r="E167" s="4" t="s">
        <v>1339</v>
      </c>
      <c r="F167" s="4" t="str">
        <f>IFERROR(__XLUDF.DUMMYFUNCTION("PROPER(REGEXREPLACE(D152,""[^A-Za-z]+ "",""""))"),"Slo Hostels")</f>
        <v xml:space="preserve">Slo Hostels</v>
      </c>
      <c r="G167" s="4" t="s">
        <v>1340</v>
      </c>
      <c r="H167" s="4">
        <v>45</v>
      </c>
      <c r="I167" s="4" t="s">
        <v>25</v>
      </c>
      <c r="J167" s="5" t="s">
        <v>1341</v>
      </c>
      <c r="K167" s="5" t="s">
        <v>1342</v>
      </c>
      <c r="L167" s="4" t="s">
        <v>1343</v>
      </c>
      <c r="M167" s="4" t="s">
        <v>29</v>
      </c>
      <c r="N167" s="4" t="s">
        <v>1344</v>
      </c>
      <c r="O167" s="4" t="s">
        <v>29</v>
      </c>
      <c r="P167" s="4" t="s">
        <v>1345</v>
      </c>
      <c r="Q167" s="6"/>
      <c r="R167" s="6"/>
      <c r="S167" s="6"/>
      <c r="T167" s="6"/>
      <c r="U167" s="6"/>
      <c r="V167" s="6"/>
      <c r="W167" s="6"/>
      <c r="X167" s="6"/>
      <c r="Y167" s="6"/>
    </row>
    <row r="168">
      <c r="B168" s="4" t="s">
        <v>206</v>
      </c>
      <c r="C168" s="4" t="s">
        <v>1346</v>
      </c>
      <c r="D168" s="4" t="s">
        <v>172</v>
      </c>
      <c r="E168" s="4" t="s">
        <v>1347</v>
      </c>
      <c r="F168" s="4" t="str">
        <f>IFERROR(__XLUDF.DUMMYFUNCTION("PROPER(REGEXREPLACE(D153,""[^A-Za-z]+ "",""""))"),"Alysiris")</f>
        <v>Alysiris</v>
      </c>
      <c r="G168" s="4" t="s">
        <v>1348</v>
      </c>
      <c r="H168" s="4">
        <v>12</v>
      </c>
      <c r="I168" s="4" t="s">
        <v>25</v>
      </c>
      <c r="J168" s="5" t="s">
        <v>1349</v>
      </c>
      <c r="K168" s="5" t="s">
        <v>1350</v>
      </c>
      <c r="L168" s="6"/>
      <c r="M168" s="4" t="s">
        <v>29</v>
      </c>
      <c r="N168" s="4" t="s">
        <v>1351</v>
      </c>
      <c r="O168" s="4" t="s">
        <v>29</v>
      </c>
      <c r="P168" s="4" t="s">
        <v>1352</v>
      </c>
      <c r="Q168" s="6"/>
      <c r="R168" s="6"/>
      <c r="S168" s="6"/>
      <c r="T168" s="6"/>
      <c r="U168" s="6"/>
      <c r="V168" s="6"/>
      <c r="W168" s="6"/>
      <c r="X168" s="6"/>
      <c r="Y168" s="6"/>
    </row>
    <row r="169">
      <c r="B169" s="4" t="s">
        <v>1353</v>
      </c>
      <c r="C169" s="4" t="s">
        <v>1354</v>
      </c>
      <c r="D169" s="4" t="s">
        <v>172</v>
      </c>
      <c r="E169" s="4" t="s">
        <v>1355</v>
      </c>
      <c r="F169" s="4" t="str">
        <f>IFERROR(__XLUDF.DUMMYFUNCTION("PROPER(REGEXREPLACE(D154,""[^A-Za-z]+ "",""""))"),"Végéman")</f>
        <v>Végéman</v>
      </c>
      <c r="G169" s="4" t="s">
        <v>1356</v>
      </c>
      <c r="H169" s="4">
        <v>30</v>
      </c>
      <c r="I169" s="4" t="s">
        <v>36</v>
      </c>
      <c r="J169" s="5" t="s">
        <v>1357</v>
      </c>
      <c r="K169" s="5" t="s">
        <v>1358</v>
      </c>
      <c r="L169" s="4" t="s">
        <v>1359</v>
      </c>
      <c r="M169" s="4" t="s">
        <v>29</v>
      </c>
      <c r="N169" s="4" t="s">
        <v>1360</v>
      </c>
      <c r="O169" s="4" t="s">
        <v>29</v>
      </c>
      <c r="P169" s="4" t="s">
        <v>1361</v>
      </c>
      <c r="Q169" s="6"/>
      <c r="R169" s="6"/>
      <c r="S169" s="6"/>
      <c r="T169" s="6"/>
      <c r="U169" s="6"/>
      <c r="V169" s="6"/>
      <c r="W169" s="6"/>
      <c r="X169" s="6"/>
      <c r="Y169" s="6"/>
    </row>
    <row r="170">
      <c r="B170" s="4" t="s">
        <v>1362</v>
      </c>
      <c r="C170" s="4" t="s">
        <v>1363</v>
      </c>
      <c r="D170" s="4" t="s">
        <v>172</v>
      </c>
      <c r="E170" s="4" t="s">
        <v>1364</v>
      </c>
      <c r="F170" s="4" t="str">
        <f>IFERROR(__XLUDF.DUMMYFUNCTION("PROPER(REGEXREPLACE(D155,""[^A-Za-z]+ "",""""))"),"Vendôme Miami")</f>
        <v xml:space="preserve">Vendôme Miami</v>
      </c>
      <c r="G170" s="4" t="s">
        <v>1365</v>
      </c>
      <c r="H170" s="4">
        <v>33</v>
      </c>
      <c r="I170" s="4" t="s">
        <v>36</v>
      </c>
      <c r="J170" s="5" t="s">
        <v>1366</v>
      </c>
      <c r="K170" s="5" t="s">
        <v>1367</v>
      </c>
      <c r="L170" s="4" t="s">
        <v>185</v>
      </c>
      <c r="M170" s="4" t="s">
        <v>29</v>
      </c>
      <c r="N170" s="4" t="s">
        <v>1368</v>
      </c>
      <c r="O170" s="4" t="s">
        <v>29</v>
      </c>
      <c r="P170" s="4" t="s">
        <v>1369</v>
      </c>
      <c r="Q170" s="6"/>
      <c r="R170" s="6"/>
      <c r="S170" s="6"/>
      <c r="T170" s="6"/>
      <c r="U170" s="6"/>
      <c r="V170" s="6"/>
      <c r="W170" s="6"/>
      <c r="X170" s="6"/>
      <c r="Y170" s="6"/>
    </row>
    <row r="171">
      <c r="B171" s="4" t="s">
        <v>1370</v>
      </c>
      <c r="C171" s="4" t="s">
        <v>1371</v>
      </c>
      <c r="D171" s="4" t="s">
        <v>1372</v>
      </c>
      <c r="E171" s="4" t="s">
        <v>1373</v>
      </c>
      <c r="F171" s="4" t="str">
        <f>IFERROR(__XLUDF.DUMMYFUNCTION("PROPER(REGEXREPLACE(D156,""[^A-Za-z]+ "",""""))"),"Black Spoon")</f>
        <v xml:space="preserve">Black Spoon</v>
      </c>
      <c r="G171" s="4" t="s">
        <v>1374</v>
      </c>
      <c r="H171" s="4">
        <v>5</v>
      </c>
      <c r="I171" s="4" t="s">
        <v>25</v>
      </c>
      <c r="J171" s="5" t="s">
        <v>1375</v>
      </c>
      <c r="K171" s="5" t="s">
        <v>1376</v>
      </c>
      <c r="L171" s="4" t="s">
        <v>39</v>
      </c>
      <c r="M171" s="4" t="s">
        <v>29</v>
      </c>
      <c r="N171" s="4" t="s">
        <v>1377</v>
      </c>
      <c r="O171" s="4" t="s">
        <v>29</v>
      </c>
      <c r="P171" s="4" t="s">
        <v>1378</v>
      </c>
      <c r="Q171" s="6"/>
      <c r="R171" s="6"/>
      <c r="S171" s="6"/>
      <c r="T171" s="6"/>
      <c r="U171" s="6"/>
      <c r="V171" s="6"/>
      <c r="W171" s="6"/>
      <c r="X171" s="6"/>
      <c r="Y171" s="6"/>
    </row>
    <row r="172">
      <c r="B172" s="4" t="s">
        <v>450</v>
      </c>
      <c r="C172" s="4" t="s">
        <v>1379</v>
      </c>
      <c r="D172" s="4" t="s">
        <v>688</v>
      </c>
      <c r="E172" s="4" t="s">
        <v>1380</v>
      </c>
      <c r="F172" s="4" t="str">
        <f>IFERROR(__XLUDF.DUMMYFUNCTION("PROPER(REGEXREPLACE(D157,""[^A-Za-z]+ "",""""))"),"Pilo Hotels")</f>
        <v xml:space="preserve">Pilo Hotels</v>
      </c>
      <c r="G172" s="4" t="s">
        <v>1381</v>
      </c>
      <c r="H172" s="4">
        <v>1</v>
      </c>
      <c r="I172" s="4" t="s">
        <v>36</v>
      </c>
      <c r="J172" s="5" t="s">
        <v>1382</v>
      </c>
      <c r="K172" s="5" t="s">
        <v>1383</v>
      </c>
      <c r="L172" s="4" t="s">
        <v>1384</v>
      </c>
      <c r="M172" s="4" t="s">
        <v>29</v>
      </c>
      <c r="N172" s="4" t="s">
        <v>1385</v>
      </c>
      <c r="O172" s="4" t="s">
        <v>29</v>
      </c>
      <c r="P172" s="4" t="s">
        <v>1386</v>
      </c>
      <c r="Q172" s="6"/>
      <c r="R172" s="6"/>
      <c r="S172" s="6"/>
      <c r="T172" s="6"/>
      <c r="U172" s="6"/>
      <c r="V172" s="6"/>
      <c r="W172" s="6"/>
      <c r="X172" s="6"/>
      <c r="Y172" s="6"/>
    </row>
    <row r="173">
      <c r="B173" s="4" t="s">
        <v>1387</v>
      </c>
      <c r="C173" s="4" t="s">
        <v>1388</v>
      </c>
      <c r="D173" s="4" t="s">
        <v>1389</v>
      </c>
      <c r="E173" s="4" t="s">
        <v>1390</v>
      </c>
      <c r="F173" s="4" t="str">
        <f>IFERROR(__XLUDF.DUMMYFUNCTION("PROPER(REGEXREPLACE(D158,""[^A-Za-z]+ "",""""))"),"Mohom")</f>
        <v>Mohom</v>
      </c>
      <c r="G173" s="4" t="s">
        <v>1391</v>
      </c>
      <c r="H173" s="4">
        <v>12</v>
      </c>
      <c r="I173" s="4" t="s">
        <v>36</v>
      </c>
      <c r="J173" s="5" t="s">
        <v>1392</v>
      </c>
      <c r="K173" s="5" t="s">
        <v>1393</v>
      </c>
      <c r="L173" s="4" t="s">
        <v>149</v>
      </c>
      <c r="M173" s="4" t="s">
        <v>29</v>
      </c>
      <c r="N173" s="4" t="s">
        <v>1394</v>
      </c>
      <c r="O173" s="4" t="s">
        <v>29</v>
      </c>
      <c r="P173" s="4" t="s">
        <v>1395</v>
      </c>
      <c r="Q173" s="6"/>
      <c r="R173" s="6"/>
      <c r="S173" s="6"/>
      <c r="T173" s="6"/>
      <c r="U173" s="6"/>
      <c r="V173" s="6"/>
      <c r="W173" s="6"/>
      <c r="X173" s="6"/>
      <c r="Y173" s="6"/>
    </row>
    <row r="174">
      <c r="B174" s="4" t="s">
        <v>1396</v>
      </c>
      <c r="C174" s="4" t="s">
        <v>1397</v>
      </c>
      <c r="D174" s="4" t="s">
        <v>341</v>
      </c>
      <c r="E174" s="4" t="s">
        <v>1398</v>
      </c>
      <c r="F174" s="4" t="str">
        <f>IFERROR(__XLUDF.DUMMYFUNCTION("PROPER(REGEXREPLACE(D159,""[^A-Za-z]+ "",""""))"),"The Crying Tiger")</f>
        <v xml:space="preserve">The Crying Tiger</v>
      </c>
      <c r="G174" s="4" t="s">
        <v>1399</v>
      </c>
      <c r="H174" s="4">
        <v>10</v>
      </c>
      <c r="I174" s="4" t="s">
        <v>36</v>
      </c>
      <c r="J174" s="5" t="s">
        <v>1400</v>
      </c>
      <c r="K174" s="5" t="s">
        <v>1401</v>
      </c>
      <c r="L174" s="4" t="s">
        <v>1312</v>
      </c>
      <c r="M174" s="4" t="s">
        <v>29</v>
      </c>
      <c r="N174" s="4" t="s">
        <v>1402</v>
      </c>
      <c r="O174" s="4" t="s">
        <v>29</v>
      </c>
      <c r="P174" s="4" t="s">
        <v>1403</v>
      </c>
      <c r="Q174" s="6"/>
      <c r="R174" s="6"/>
      <c r="S174" s="6"/>
      <c r="T174" s="6"/>
      <c r="U174" s="6"/>
      <c r="V174" s="6"/>
      <c r="W174" s="6"/>
      <c r="X174" s="6"/>
      <c r="Y174" s="6"/>
    </row>
    <row r="175">
      <c r="B175" s="4" t="s">
        <v>1404</v>
      </c>
      <c r="C175" s="4" t="s">
        <v>1405</v>
      </c>
      <c r="D175" s="4" t="s">
        <v>1406</v>
      </c>
      <c r="E175" s="4" t="s">
        <v>1407</v>
      </c>
      <c r="F175" s="4" t="str">
        <f>IFERROR(__XLUDF.DUMMYFUNCTION("PROPER(REGEXREPLACE(D160,""[^A-Za-z]+ "",""""))"),"Gyros")</f>
        <v>Gyros</v>
      </c>
      <c r="G175" s="4" t="s">
        <v>1408</v>
      </c>
      <c r="H175" s="4">
        <v>3</v>
      </c>
      <c r="I175" s="4" t="s">
        <v>36</v>
      </c>
      <c r="J175" s="5" t="s">
        <v>1409</v>
      </c>
      <c r="K175" s="5" t="s">
        <v>1410</v>
      </c>
      <c r="L175" s="4" t="s">
        <v>185</v>
      </c>
      <c r="M175" s="4" t="s">
        <v>29</v>
      </c>
      <c r="N175" s="4" t="s">
        <v>1411</v>
      </c>
      <c r="O175" s="4" t="s">
        <v>29</v>
      </c>
      <c r="P175" s="4" t="s">
        <v>1412</v>
      </c>
      <c r="Q175" s="6"/>
      <c r="R175" s="6"/>
      <c r="S175" s="6"/>
      <c r="T175" s="6"/>
      <c r="U175" s="6"/>
      <c r="V175" s="6"/>
      <c r="W175" s="6"/>
      <c r="X175" s="6"/>
      <c r="Y175" s="6"/>
    </row>
    <row r="176">
      <c r="B176" s="4" t="s">
        <v>768</v>
      </c>
      <c r="C176" s="4" t="s">
        <v>1413</v>
      </c>
      <c r="D176" s="4" t="s">
        <v>1414</v>
      </c>
      <c r="E176" s="4" t="s">
        <v>1415</v>
      </c>
      <c r="F176" s="4" t="str">
        <f>IFERROR(__XLUDF.DUMMYFUNCTION("PROPER(REGEXREPLACE(D161,""[^A-Za-z]+ "",""""))"),"Hekipia Tiny House")</f>
        <v xml:space="preserve">Hekipia Tiny House</v>
      </c>
      <c r="G176" s="4" t="s">
        <v>1416</v>
      </c>
      <c r="H176" s="4">
        <v>40</v>
      </c>
      <c r="I176" s="4" t="s">
        <v>36</v>
      </c>
      <c r="J176" s="5" t="s">
        <v>1417</v>
      </c>
      <c r="K176" s="5" t="s">
        <v>1418</v>
      </c>
      <c r="L176" s="4" t="s">
        <v>1419</v>
      </c>
      <c r="M176" s="4" t="s">
        <v>29</v>
      </c>
      <c r="N176" s="6"/>
      <c r="O176" s="6"/>
      <c r="P176" s="4" t="s">
        <v>1420</v>
      </c>
      <c r="Q176" s="6"/>
      <c r="R176" s="6"/>
      <c r="S176" s="6"/>
      <c r="T176" s="6"/>
      <c r="U176" s="6"/>
      <c r="V176" s="6"/>
      <c r="W176" s="6"/>
      <c r="X176" s="6"/>
      <c r="Y176" s="6"/>
    </row>
    <row r="177">
      <c r="B177" s="4" t="s">
        <v>1421</v>
      </c>
      <c r="C177" s="4" t="s">
        <v>1422</v>
      </c>
      <c r="D177" s="4" t="s">
        <v>44</v>
      </c>
      <c r="E177" s="4" t="s">
        <v>1423</v>
      </c>
      <c r="F177" s="4" t="str">
        <f>IFERROR(__XLUDF.DUMMYFUNCTION("PROPER(REGEXREPLACE(D162,""[^A-Za-z]+ "",""""))"),"Slow Village")</f>
        <v xml:space="preserve">Slow Village</v>
      </c>
      <c r="G177" s="4" t="s">
        <v>1424</v>
      </c>
      <c r="H177" s="4">
        <v>3</v>
      </c>
      <c r="I177" s="4" t="s">
        <v>36</v>
      </c>
      <c r="J177" s="5" t="s">
        <v>1425</v>
      </c>
      <c r="K177" s="5" t="s">
        <v>1426</v>
      </c>
      <c r="L177" s="4" t="s">
        <v>39</v>
      </c>
      <c r="M177" s="4" t="s">
        <v>29</v>
      </c>
      <c r="N177" s="4" t="s">
        <v>1427</v>
      </c>
      <c r="O177" s="4" t="s">
        <v>29</v>
      </c>
      <c r="P177" s="4" t="s">
        <v>1428</v>
      </c>
      <c r="Q177" s="6"/>
      <c r="R177" s="6"/>
      <c r="S177" s="6"/>
      <c r="T177" s="6"/>
      <c r="U177" s="6"/>
      <c r="V177" s="6"/>
      <c r="W177" s="6"/>
      <c r="X177" s="6"/>
      <c r="Y177" s="6"/>
    </row>
    <row r="178">
      <c r="B178" s="4" t="s">
        <v>1429</v>
      </c>
      <c r="C178" s="4" t="s">
        <v>1430</v>
      </c>
      <c r="D178" s="4" t="s">
        <v>1431</v>
      </c>
      <c r="E178" s="4" t="s">
        <v>1432</v>
      </c>
      <c r="F178" s="4" t="str">
        <f>IFERROR(__XLUDF.DUMMYFUNCTION("PROPER(REGEXREPLACE(D163,""[^A-Za-z]+ "",""""))"),"Les Cuistots Migrateurs")</f>
        <v xml:space="preserve">Les Cuistots Migrateurs</v>
      </c>
      <c r="G178" s="4" t="s">
        <v>1433</v>
      </c>
      <c r="H178" s="4">
        <v>13</v>
      </c>
      <c r="I178" s="4" t="s">
        <v>36</v>
      </c>
      <c r="J178" s="5" t="s">
        <v>1434</v>
      </c>
      <c r="K178" s="6"/>
      <c r="L178" s="4" t="s">
        <v>846</v>
      </c>
      <c r="M178" s="4" t="s">
        <v>29</v>
      </c>
      <c r="N178" s="4" t="s">
        <v>1435</v>
      </c>
      <c r="O178" s="4" t="s">
        <v>29</v>
      </c>
      <c r="P178" s="6"/>
      <c r="Q178" s="6"/>
      <c r="R178" s="6"/>
      <c r="S178" s="6"/>
      <c r="T178" s="6"/>
      <c r="U178" s="6"/>
      <c r="V178" s="6"/>
      <c r="W178" s="6"/>
      <c r="X178" s="6"/>
      <c r="Y178" s="6"/>
    </row>
    <row r="179">
      <c r="B179" s="4" t="s">
        <v>556</v>
      </c>
      <c r="C179" s="4" t="s">
        <v>1436</v>
      </c>
      <c r="D179" s="4" t="s">
        <v>672</v>
      </c>
      <c r="E179" s="4" t="s">
        <v>1437</v>
      </c>
      <c r="F179" s="4" t="str">
        <f>IFERROR(__XLUDF.DUMMYFUNCTION("PROPER(REGEXREPLACE(D164,""[^A-Za-z]+ "",""""))"),"Ds Café")</f>
        <v xml:space="preserve">Ds Café</v>
      </c>
      <c r="G179" s="4" t="s">
        <v>1438</v>
      </c>
      <c r="H179" s="4">
        <v>10</v>
      </c>
      <c r="I179" s="4" t="s">
        <v>36</v>
      </c>
      <c r="J179" s="5" t="s">
        <v>1439</v>
      </c>
      <c r="K179" s="5" t="s">
        <v>1440</v>
      </c>
      <c r="L179" s="6"/>
      <c r="M179" s="4" t="s">
        <v>29</v>
      </c>
      <c r="N179" s="4" t="s">
        <v>67</v>
      </c>
      <c r="O179" s="4" t="s">
        <v>29</v>
      </c>
      <c r="P179" s="4" t="s">
        <v>1441</v>
      </c>
      <c r="Q179" s="6"/>
      <c r="R179" s="6"/>
      <c r="S179" s="6"/>
      <c r="T179" s="6"/>
      <c r="U179" s="6"/>
      <c r="V179" s="6"/>
      <c r="W179" s="6"/>
      <c r="X179" s="6"/>
      <c r="Y179" s="6"/>
    </row>
    <row r="180">
      <c r="B180" s="4" t="s">
        <v>1442</v>
      </c>
      <c r="C180" s="4" t="s">
        <v>1443</v>
      </c>
      <c r="D180" s="4" t="s">
        <v>62</v>
      </c>
      <c r="E180" s="4" t="s">
        <v>542</v>
      </c>
      <c r="F180" s="4" t="str">
        <f>IFERROR(__XLUDF.DUMMYFUNCTION("PROPER(REGEXREPLACE(D165,""[^A-Za-z]+ "",""""))"),"Tandoor Club")</f>
        <v xml:space="preserve">Tandoor Club</v>
      </c>
      <c r="G180" s="4" t="s">
        <v>1444</v>
      </c>
      <c r="H180" s="4">
        <v>8</v>
      </c>
      <c r="I180" s="4" t="s">
        <v>36</v>
      </c>
      <c r="J180" s="5" t="s">
        <v>1445</v>
      </c>
      <c r="K180" s="5" t="s">
        <v>545</v>
      </c>
      <c r="L180" s="4" t="s">
        <v>1446</v>
      </c>
      <c r="M180" s="4" t="s">
        <v>29</v>
      </c>
      <c r="N180" s="4" t="s">
        <v>546</v>
      </c>
      <c r="O180" s="4" t="s">
        <v>29</v>
      </c>
      <c r="P180" s="4" t="s">
        <v>547</v>
      </c>
      <c r="Q180" s="6"/>
      <c r="R180" s="6"/>
      <c r="S180" s="6"/>
      <c r="T180" s="6"/>
      <c r="U180" s="6"/>
      <c r="V180" s="6"/>
      <c r="W180" s="6"/>
      <c r="X180" s="6"/>
      <c r="Y180" s="6"/>
    </row>
    <row r="181">
      <c r="B181" s="4" t="s">
        <v>330</v>
      </c>
      <c r="C181" s="4" t="s">
        <v>1447</v>
      </c>
      <c r="D181" s="4" t="s">
        <v>87</v>
      </c>
      <c r="E181" s="4" t="s">
        <v>1448</v>
      </c>
      <c r="F181" s="4" t="str">
        <f>IFERROR(__XLUDF.DUMMYFUNCTION("PROPER(REGEXREPLACE(D166,""[^A-Za-z]+ "",""""))"),"Chez Marie")</f>
        <v xml:space="preserve">Chez Marie</v>
      </c>
      <c r="G181" s="4" t="s">
        <v>1449</v>
      </c>
      <c r="H181" s="4">
        <v>28</v>
      </c>
      <c r="I181" s="4" t="s">
        <v>1450</v>
      </c>
      <c r="J181" s="5" t="s">
        <v>1451</v>
      </c>
      <c r="K181" s="5" t="s">
        <v>1452</v>
      </c>
      <c r="L181" s="4" t="s">
        <v>39</v>
      </c>
      <c r="M181" s="4" t="s">
        <v>29</v>
      </c>
      <c r="N181" s="4" t="s">
        <v>1453</v>
      </c>
      <c r="O181" s="4" t="s">
        <v>29</v>
      </c>
      <c r="P181" s="6"/>
      <c r="Q181" s="6"/>
      <c r="R181" s="6"/>
      <c r="S181" s="6"/>
      <c r="T181" s="6"/>
      <c r="U181" s="6"/>
      <c r="V181" s="6"/>
      <c r="W181" s="6"/>
      <c r="X181" s="6"/>
      <c r="Y181" s="6"/>
    </row>
    <row r="182">
      <c r="B182" s="4" t="s">
        <v>1454</v>
      </c>
      <c r="C182" s="4" t="s">
        <v>1455</v>
      </c>
      <c r="D182" s="4" t="s">
        <v>87</v>
      </c>
      <c r="E182" s="5" t="s">
        <v>1456</v>
      </c>
      <c r="F182" s="4" t="str">
        <f>IFERROR(__XLUDF.DUMMYFUNCTION("PROPER(REGEXREPLACE(D167,""[^A-Za-z]+ "",""""))"),"Hôtel Le Pigonnet *****")</f>
        <v xml:space="preserve">Hôtel Le Pigonnet *****</v>
      </c>
      <c r="G182" s="4" t="s">
        <v>1457</v>
      </c>
      <c r="H182" s="4">
        <v>5</v>
      </c>
      <c r="I182" s="4" t="s">
        <v>25</v>
      </c>
      <c r="J182" s="5" t="s">
        <v>1458</v>
      </c>
      <c r="K182" s="5" t="s">
        <v>1459</v>
      </c>
      <c r="L182" s="4" t="s">
        <v>1460</v>
      </c>
      <c r="M182" s="4" t="s">
        <v>29</v>
      </c>
      <c r="N182" s="4" t="s">
        <v>1461</v>
      </c>
      <c r="O182" s="4" t="s">
        <v>29</v>
      </c>
      <c r="P182" s="4" t="s">
        <v>1462</v>
      </c>
      <c r="Q182" s="6"/>
      <c r="R182" s="6"/>
      <c r="S182" s="6"/>
      <c r="T182" s="6"/>
      <c r="U182" s="6"/>
      <c r="V182" s="6"/>
      <c r="W182" s="6"/>
      <c r="X182" s="6"/>
      <c r="Y182" s="6"/>
    </row>
    <row r="183">
      <c r="B183" s="4" t="s">
        <v>510</v>
      </c>
      <c r="C183" s="4" t="s">
        <v>1463</v>
      </c>
      <c r="D183" s="4" t="s">
        <v>315</v>
      </c>
      <c r="E183" s="4" t="s">
        <v>1464</v>
      </c>
      <c r="F183" s="4" t="str">
        <f>IFERROR(__XLUDF.DUMMYFUNCTION("PROPER(REGEXREPLACE(D168,""[^A-Za-z]+ "",""""))"),"Hôtels Paris Rive Gauche")</f>
        <v xml:space="preserve">Hôtels Paris Rive Gauche</v>
      </c>
      <c r="G183" s="4" t="s">
        <v>1465</v>
      </c>
      <c r="H183" s="4">
        <v>13</v>
      </c>
      <c r="I183" s="4" t="s">
        <v>1450</v>
      </c>
      <c r="J183" s="5" t="s">
        <v>1466</v>
      </c>
      <c r="K183" s="5" t="s">
        <v>1467</v>
      </c>
      <c r="L183" s="4" t="s">
        <v>1015</v>
      </c>
      <c r="M183" s="4" t="s">
        <v>29</v>
      </c>
      <c r="N183" s="4" t="s">
        <v>1468</v>
      </c>
      <c r="O183" s="4" t="s">
        <v>29</v>
      </c>
      <c r="P183" s="4" t="s">
        <v>1469</v>
      </c>
      <c r="Q183" s="6"/>
      <c r="R183" s="6"/>
      <c r="S183" s="6"/>
      <c r="T183" s="6"/>
      <c r="U183" s="6"/>
      <c r="V183" s="6"/>
      <c r="W183" s="6"/>
      <c r="X183" s="6"/>
      <c r="Y183" s="6"/>
    </row>
    <row r="184">
      <c r="B184" s="4" t="s">
        <v>1470</v>
      </c>
      <c r="C184" s="4" t="s">
        <v>1471</v>
      </c>
      <c r="D184" s="4" t="s">
        <v>97</v>
      </c>
      <c r="E184" s="4" t="s">
        <v>1472</v>
      </c>
      <c r="F184" s="4" t="str">
        <f>IFERROR(__XLUDF.DUMMYFUNCTION("PROPER(REGEXREPLACE(D169,""[^A-Za-z]+ "",""""))"),"Le Faubourg")</f>
        <v xml:space="preserve">Le Faubourg</v>
      </c>
      <c r="G184" s="4" t="s">
        <v>1473</v>
      </c>
      <c r="H184" s="4">
        <v>26</v>
      </c>
      <c r="I184" s="4" t="s">
        <v>36</v>
      </c>
      <c r="J184" s="5" t="s">
        <v>1474</v>
      </c>
      <c r="K184" s="5" t="s">
        <v>1475</v>
      </c>
      <c r="L184" s="6"/>
      <c r="M184" s="4" t="s">
        <v>29</v>
      </c>
      <c r="N184" s="4" t="s">
        <v>1476</v>
      </c>
      <c r="O184" s="4" t="s">
        <v>29</v>
      </c>
      <c r="P184" s="4" t="s">
        <v>1477</v>
      </c>
      <c r="Q184" s="6"/>
      <c r="R184" s="6"/>
      <c r="S184" s="6"/>
      <c r="T184" s="6"/>
      <c r="U184" s="6"/>
      <c r="V184" s="6"/>
      <c r="W184" s="6"/>
      <c r="X184" s="6"/>
      <c r="Y184" s="6"/>
    </row>
    <row r="185">
      <c r="B185" s="4" t="s">
        <v>485</v>
      </c>
      <c r="C185" s="4" t="s">
        <v>1478</v>
      </c>
      <c r="D185" s="4" t="s">
        <v>87</v>
      </c>
      <c r="E185" s="4" t="s">
        <v>1479</v>
      </c>
      <c r="F185" s="4" t="str">
        <f>IFERROR(__XLUDF.DUMMYFUNCTION("PROPER(REGEXREPLACE(D170,""[^A-Za-z]+ "",""""))"),"Burger World")</f>
        <v xml:space="preserve">Burger World</v>
      </c>
      <c r="G185" s="4" t="s">
        <v>1480</v>
      </c>
      <c r="H185" s="4">
        <v>35</v>
      </c>
      <c r="I185" s="4" t="s">
        <v>25</v>
      </c>
      <c r="J185" s="5" t="s">
        <v>1481</v>
      </c>
      <c r="K185" s="5" t="s">
        <v>1482</v>
      </c>
      <c r="L185" s="4" t="s">
        <v>39</v>
      </c>
      <c r="M185" s="4" t="s">
        <v>29</v>
      </c>
      <c r="N185" s="4" t="s">
        <v>1483</v>
      </c>
      <c r="O185" s="4" t="s">
        <v>29</v>
      </c>
      <c r="P185" s="4" t="s">
        <v>1484</v>
      </c>
      <c r="Q185" s="6"/>
      <c r="R185" s="6"/>
      <c r="S185" s="6"/>
      <c r="T185" s="6"/>
      <c r="U185" s="6"/>
      <c r="V185" s="6"/>
      <c r="W185" s="6"/>
      <c r="X185" s="6"/>
      <c r="Y185" s="6"/>
    </row>
    <row r="186">
      <c r="B186" s="4" t="s">
        <v>638</v>
      </c>
      <c r="C186" s="4" t="s">
        <v>1485</v>
      </c>
      <c r="D186" s="4" t="s">
        <v>87</v>
      </c>
      <c r="E186" s="4" t="s">
        <v>1486</v>
      </c>
      <c r="F186" s="4" t="str">
        <f>IFERROR(__XLUDF.DUMMYFUNCTION("PROPER(REGEXREPLACE(D171,""[^A-Za-z]+ "",""""))"),"Wanderlust Motels")</f>
        <v xml:space="preserve">Wanderlust Motels</v>
      </c>
      <c r="G186" s="4" t="s">
        <v>1487</v>
      </c>
      <c r="H186" s="4">
        <v>30</v>
      </c>
      <c r="I186" s="4" t="s">
        <v>25</v>
      </c>
      <c r="J186" s="5" t="s">
        <v>1488</v>
      </c>
      <c r="K186" s="5" t="s">
        <v>1489</v>
      </c>
      <c r="L186" s="6"/>
      <c r="M186" s="4" t="s">
        <v>29</v>
      </c>
      <c r="N186" s="4" t="s">
        <v>1490</v>
      </c>
      <c r="O186" s="4" t="s">
        <v>29</v>
      </c>
      <c r="P186" s="4" t="s">
        <v>1491</v>
      </c>
      <c r="Q186" s="6"/>
      <c r="R186" s="6"/>
      <c r="S186" s="6"/>
      <c r="T186" s="6"/>
      <c r="U186" s="6"/>
      <c r="V186" s="6"/>
      <c r="W186" s="6"/>
      <c r="X186" s="6"/>
      <c r="Y186" s="6"/>
    </row>
    <row r="187">
      <c r="B187" s="4" t="s">
        <v>1492</v>
      </c>
      <c r="C187" s="4" t="s">
        <v>1493</v>
      </c>
      <c r="D187" s="4" t="s">
        <v>879</v>
      </c>
      <c r="E187" s="4" t="s">
        <v>1492</v>
      </c>
      <c r="F187" s="4" t="str">
        <f>IFERROR(__XLUDF.DUMMYFUNCTION("PROPER(REGEXREPLACE(D172,""[^A-Za-z]+ "",""""))"),"Le Tonneau Gourmand")</f>
        <v xml:space="preserve">Le Tonneau Gourmand</v>
      </c>
      <c r="G187" s="4" t="s">
        <v>1494</v>
      </c>
      <c r="H187" s="4">
        <v>25</v>
      </c>
      <c r="I187" s="4" t="s">
        <v>25</v>
      </c>
      <c r="J187" s="5" t="s">
        <v>1495</v>
      </c>
      <c r="K187" s="5" t="s">
        <v>1496</v>
      </c>
      <c r="L187" s="4" t="s">
        <v>1497</v>
      </c>
      <c r="M187" s="4" t="s">
        <v>29</v>
      </c>
      <c r="N187" s="4" t="s">
        <v>1498</v>
      </c>
      <c r="O187" s="4" t="s">
        <v>29</v>
      </c>
      <c r="P187" s="6"/>
      <c r="Q187" s="6"/>
      <c r="R187" s="6"/>
      <c r="S187" s="6"/>
      <c r="T187" s="6"/>
      <c r="U187" s="6"/>
      <c r="V187" s="6"/>
      <c r="W187" s="6"/>
      <c r="X187" s="6"/>
      <c r="Y187" s="6"/>
    </row>
    <row r="188">
      <c r="B188" s="4" t="s">
        <v>1499</v>
      </c>
      <c r="C188" s="4" t="s">
        <v>1500</v>
      </c>
      <c r="D188" s="4" t="s">
        <v>1501</v>
      </c>
      <c r="E188" s="4" t="s">
        <v>1502</v>
      </c>
      <c r="F188" s="4" t="str">
        <f>IFERROR(__XLUDF.DUMMYFUNCTION("PROPER(REGEXREPLACE(D173,""[^A-Za-z]+ "",""""))"),"My Wok")</f>
        <v xml:space="preserve">My Wok</v>
      </c>
      <c r="G188" s="4" t="s">
        <v>1503</v>
      </c>
      <c r="H188" s="4">
        <v>12</v>
      </c>
      <c r="I188" s="4" t="s">
        <v>1504</v>
      </c>
      <c r="J188" s="5" t="s">
        <v>1505</v>
      </c>
      <c r="K188" s="5" t="s">
        <v>1506</v>
      </c>
      <c r="L188" s="4" t="s">
        <v>1507</v>
      </c>
      <c r="M188" s="4" t="s">
        <v>29</v>
      </c>
      <c r="N188" s="4" t="s">
        <v>1508</v>
      </c>
      <c r="O188" s="4" t="s">
        <v>29</v>
      </c>
      <c r="P188" s="4" t="s">
        <v>1509</v>
      </c>
      <c r="Q188" s="6"/>
      <c r="R188" s="6"/>
      <c r="S188" s="6"/>
      <c r="T188" s="6"/>
      <c r="U188" s="6"/>
      <c r="V188" s="6"/>
      <c r="W188" s="6"/>
      <c r="X188" s="6"/>
      <c r="Y188" s="6"/>
    </row>
    <row r="189">
      <c r="B189" s="4" t="s">
        <v>1324</v>
      </c>
      <c r="C189" s="4" t="s">
        <v>1510</v>
      </c>
      <c r="D189" s="4" t="s">
        <v>120</v>
      </c>
      <c r="E189" s="4" t="s">
        <v>121</v>
      </c>
      <c r="F189" s="4" t="str">
        <f>IFERROR(__XLUDF.DUMMYFUNCTION("PROPER(REGEXREPLACE(D174,""[^A-Za-z]+ "",""""))"),"Made Burgers")</f>
        <v xml:space="preserve">Made Burgers</v>
      </c>
      <c r="G189" s="4" t="s">
        <v>1511</v>
      </c>
      <c r="H189" s="4">
        <v>12</v>
      </c>
      <c r="I189" s="4" t="s">
        <v>36</v>
      </c>
      <c r="J189" s="5" t="s">
        <v>1512</v>
      </c>
      <c r="K189" s="5" t="s">
        <v>124</v>
      </c>
      <c r="L189" s="4" t="s">
        <v>185</v>
      </c>
      <c r="M189" s="4" t="s">
        <v>29</v>
      </c>
      <c r="N189" s="4" t="s">
        <v>125</v>
      </c>
      <c r="O189" s="4" t="s">
        <v>29</v>
      </c>
      <c r="P189" s="4" t="s">
        <v>126</v>
      </c>
      <c r="Q189" s="6"/>
      <c r="R189" s="6"/>
      <c r="S189" s="6"/>
      <c r="T189" s="6"/>
      <c r="U189" s="6"/>
      <c r="V189" s="6"/>
      <c r="W189" s="6"/>
      <c r="X189" s="6"/>
      <c r="Y189" s="6"/>
    </row>
    <row r="190">
      <c r="B190" s="4" t="s">
        <v>222</v>
      </c>
      <c r="C190" s="4" t="s">
        <v>1513</v>
      </c>
      <c r="D190" s="4" t="s">
        <v>120</v>
      </c>
      <c r="E190" s="4" t="s">
        <v>1514</v>
      </c>
      <c r="F190" s="4" t="str">
        <f>IFERROR(__XLUDF.DUMMYFUNCTION("PROPER(REGEXREPLACE(D175,""[^A-Za-z]+ "",""""))"),"Équilibres Cafformation")</f>
        <v xml:space="preserve">Équilibres Cafformation</v>
      </c>
      <c r="G190" s="4" t="s">
        <v>1515</v>
      </c>
      <c r="H190" s="4">
        <v>8</v>
      </c>
      <c r="I190" s="4" t="s">
        <v>157</v>
      </c>
      <c r="J190" s="5" t="s">
        <v>1516</v>
      </c>
      <c r="K190" s="5" t="s">
        <v>1517</v>
      </c>
      <c r="L190" s="4" t="s">
        <v>39</v>
      </c>
      <c r="M190" s="4" t="s">
        <v>29</v>
      </c>
      <c r="N190" s="4" t="s">
        <v>1518</v>
      </c>
      <c r="O190" s="4" t="s">
        <v>29</v>
      </c>
      <c r="P190" s="4" t="s">
        <v>1519</v>
      </c>
      <c r="Q190" s="6"/>
      <c r="R190" s="6"/>
      <c r="S190" s="6"/>
      <c r="T190" s="6"/>
      <c r="U190" s="6"/>
      <c r="V190" s="6"/>
      <c r="W190" s="6"/>
      <c r="X190" s="6"/>
      <c r="Y190" s="6"/>
    </row>
    <row r="191">
      <c r="B191" s="4" t="s">
        <v>670</v>
      </c>
      <c r="C191" s="4" t="s">
        <v>1520</v>
      </c>
      <c r="D191" s="4" t="s">
        <v>120</v>
      </c>
      <c r="E191" s="4" t="s">
        <v>1521</v>
      </c>
      <c r="F191" s="4" t="str">
        <f>IFERROR(__XLUDF.DUMMYFUNCTION("PROPER(REGEXREPLACE(D176,""[^A-Za-z]+ "",""""))"),"Franks Hot Dog")</f>
        <v xml:space="preserve">Franks Hot Dog</v>
      </c>
      <c r="G191" s="4" t="s">
        <v>1522</v>
      </c>
      <c r="H191" s="4">
        <v>7</v>
      </c>
      <c r="I191" s="4" t="s">
        <v>36</v>
      </c>
      <c r="J191" s="5" t="s">
        <v>1523</v>
      </c>
      <c r="K191" s="5" t="s">
        <v>1524</v>
      </c>
      <c r="L191" s="4" t="s">
        <v>83</v>
      </c>
      <c r="M191" s="4" t="s">
        <v>29</v>
      </c>
      <c r="N191" s="4" t="s">
        <v>1525</v>
      </c>
      <c r="O191" s="4" t="s">
        <v>29</v>
      </c>
      <c r="P191" s="6"/>
      <c r="Q191" s="6"/>
      <c r="R191" s="6"/>
      <c r="S191" s="6"/>
      <c r="T191" s="6"/>
      <c r="U191" s="6"/>
      <c r="V191" s="6"/>
      <c r="W191" s="6"/>
      <c r="X191" s="6"/>
      <c r="Y191" s="6"/>
    </row>
    <row r="192">
      <c r="B192" s="4" t="s">
        <v>1526</v>
      </c>
      <c r="C192" s="4" t="s">
        <v>1527</v>
      </c>
      <c r="D192" s="4" t="s">
        <v>1528</v>
      </c>
      <c r="E192" s="4" t="s">
        <v>1529</v>
      </c>
      <c r="F192" s="4" t="str">
        <f>IFERROR(__XLUDF.DUMMYFUNCTION("PROPER(REGEXREPLACE(D177,""[^A-Za-z]+ "",""""))"),"Ground To Grow")</f>
        <v xml:space="preserve">Ground To Grow</v>
      </c>
      <c r="G192" s="4" t="s">
        <v>1530</v>
      </c>
      <c r="H192" s="4">
        <v>14</v>
      </c>
      <c r="I192" s="4" t="s">
        <v>25</v>
      </c>
      <c r="J192" s="5" t="s">
        <v>1531</v>
      </c>
      <c r="K192" s="5" t="s">
        <v>1532</v>
      </c>
      <c r="L192" s="4" t="s">
        <v>243</v>
      </c>
      <c r="M192" s="4" t="s">
        <v>29</v>
      </c>
      <c r="N192" s="4" t="s">
        <v>1533</v>
      </c>
      <c r="O192" s="4" t="s">
        <v>29</v>
      </c>
      <c r="P192" s="6"/>
      <c r="Q192" s="6"/>
      <c r="R192" s="6"/>
      <c r="S192" s="6"/>
      <c r="T192" s="6"/>
      <c r="U192" s="6"/>
      <c r="V192" s="6"/>
      <c r="W192" s="6"/>
      <c r="X192" s="6"/>
      <c r="Y192" s="6"/>
    </row>
    <row r="193">
      <c r="B193" s="4" t="s">
        <v>170</v>
      </c>
      <c r="C193" s="4" t="s">
        <v>817</v>
      </c>
      <c r="D193" s="4" t="s">
        <v>1534</v>
      </c>
      <c r="E193" s="4" t="s">
        <v>1535</v>
      </c>
      <c r="F193" s="4" t="str">
        <f>IFERROR(__XLUDF.DUMMYFUNCTION("PROPER(REGEXREPLACE(D178,""[^A-Za-z]+ "",""""))"),"Garden Food")</f>
        <v xml:space="preserve">Garden Food</v>
      </c>
      <c r="G193" s="4" t="s">
        <v>1536</v>
      </c>
      <c r="H193" s="4">
        <v>18</v>
      </c>
      <c r="I193" s="4" t="s">
        <v>1450</v>
      </c>
      <c r="J193" s="5" t="s">
        <v>1537</v>
      </c>
      <c r="K193" s="5" t="s">
        <v>1538</v>
      </c>
      <c r="L193" s="6"/>
      <c r="M193" s="4" t="s">
        <v>29</v>
      </c>
      <c r="N193" s="4" t="s">
        <v>1539</v>
      </c>
      <c r="O193" s="4" t="s">
        <v>29</v>
      </c>
      <c r="P193" s="6"/>
      <c r="Q193" s="6"/>
      <c r="R193" s="6"/>
      <c r="S193" s="6"/>
      <c r="T193" s="6"/>
      <c r="U193" s="6"/>
      <c r="V193" s="6"/>
      <c r="W193" s="6"/>
      <c r="X193" s="6"/>
      <c r="Y193" s="6"/>
    </row>
    <row r="194">
      <c r="B194" s="4" t="s">
        <v>1540</v>
      </c>
      <c r="C194" s="4" t="s">
        <v>1541</v>
      </c>
      <c r="D194" s="4" t="s">
        <v>1542</v>
      </c>
      <c r="E194" s="4" t="s">
        <v>1543</v>
      </c>
      <c r="F194" s="4" t="str">
        <f>IFERROR(__XLUDF.DUMMYFUNCTION("PROPER(REGEXREPLACE(D179,""[^A-Za-z]+ "",""""))"),"Becchi")</f>
        <v>Becchi</v>
      </c>
      <c r="G194" s="4" t="s">
        <v>1544</v>
      </c>
      <c r="H194" s="4">
        <v>32</v>
      </c>
      <c r="I194" s="4" t="s">
        <v>36</v>
      </c>
      <c r="J194" s="5" t="s">
        <v>1545</v>
      </c>
      <c r="K194" s="5" t="s">
        <v>1546</v>
      </c>
      <c r="L194" s="4" t="s">
        <v>39</v>
      </c>
      <c r="M194" s="4" t="s">
        <v>29</v>
      </c>
      <c r="N194" s="4" t="s">
        <v>1547</v>
      </c>
      <c r="O194" s="4" t="s">
        <v>1548</v>
      </c>
      <c r="P194" s="6"/>
      <c r="Q194" s="6"/>
      <c r="R194" s="6"/>
      <c r="S194" s="6"/>
      <c r="T194" s="6"/>
      <c r="U194" s="6"/>
      <c r="V194" s="6"/>
      <c r="W194" s="6"/>
      <c r="X194" s="6"/>
      <c r="Y194" s="6"/>
    </row>
    <row r="195">
      <c r="B195" s="4" t="s">
        <v>817</v>
      </c>
      <c r="C195" s="4" t="s">
        <v>1549</v>
      </c>
      <c r="D195" s="4" t="s">
        <v>172</v>
      </c>
      <c r="E195" s="4" t="s">
        <v>1550</v>
      </c>
      <c r="F195" s="4" t="str">
        <f>IFERROR(__XLUDF.DUMMYFUNCTION("PROPER(REGEXREPLACE(D180,""[^A-Za-z]+ "",""""))"),"Heqtor")</f>
        <v>Heqtor</v>
      </c>
      <c r="G195" s="4" t="s">
        <v>1551</v>
      </c>
      <c r="H195" s="4">
        <v>26</v>
      </c>
      <c r="I195" s="4" t="s">
        <v>25</v>
      </c>
      <c r="J195" s="5" t="s">
        <v>1552</v>
      </c>
      <c r="K195" s="5" t="s">
        <v>1553</v>
      </c>
      <c r="L195" s="6"/>
      <c r="M195" s="4" t="s">
        <v>29</v>
      </c>
      <c r="N195" s="4" t="s">
        <v>1554</v>
      </c>
      <c r="O195" s="4" t="s">
        <v>29</v>
      </c>
      <c r="P195" s="4" t="s">
        <v>1555</v>
      </c>
      <c r="Q195" s="6"/>
      <c r="R195" s="6"/>
      <c r="S195" s="6"/>
      <c r="T195" s="6"/>
      <c r="U195" s="6"/>
      <c r="V195" s="6"/>
      <c r="W195" s="6"/>
      <c r="X195" s="6"/>
      <c r="Y195" s="6"/>
    </row>
    <row r="196">
      <c r="B196" s="4" t="s">
        <v>330</v>
      </c>
      <c r="C196" s="4" t="s">
        <v>1556</v>
      </c>
      <c r="D196" s="4" t="s">
        <v>172</v>
      </c>
      <c r="E196" s="4" t="s">
        <v>1557</v>
      </c>
      <c r="F196" s="4" t="str">
        <f>IFERROR(__XLUDF.DUMMYFUNCTION("PROPER(REGEXREPLACE(D181,""[^A-Za-z]+ "",""""))"),"Les Niçois")</f>
        <v xml:space="preserve">Les Niçois</v>
      </c>
      <c r="G196" s="4" t="s">
        <v>1558</v>
      </c>
      <c r="H196" s="4">
        <v>43</v>
      </c>
      <c r="I196" s="4" t="s">
        <v>25</v>
      </c>
      <c r="J196" s="5" t="s">
        <v>1559</v>
      </c>
      <c r="K196" s="5" t="s">
        <v>1560</v>
      </c>
      <c r="L196" s="4" t="s">
        <v>39</v>
      </c>
      <c r="M196" s="4" t="s">
        <v>29</v>
      </c>
      <c r="N196" s="6"/>
      <c r="O196" s="6"/>
      <c r="P196" s="4" t="s">
        <v>1561</v>
      </c>
      <c r="Q196" s="6"/>
      <c r="R196" s="6"/>
      <c r="S196" s="6"/>
      <c r="T196" s="6"/>
      <c r="U196" s="6"/>
      <c r="V196" s="6"/>
      <c r="W196" s="6"/>
      <c r="X196" s="6"/>
      <c r="Y196" s="6"/>
    </row>
    <row r="197">
      <c r="B197" s="4" t="s">
        <v>1562</v>
      </c>
      <c r="C197" s="4" t="s">
        <v>1563</v>
      </c>
      <c r="D197" s="4" t="s">
        <v>172</v>
      </c>
      <c r="E197" s="4" t="s">
        <v>1564</v>
      </c>
      <c r="F197" s="5" t="str">
        <f>IFERROR(__XLUDF.DUMMYFUNCTION("PROPER(REGEXREPLACE(D182,""[^A-Za-z]+ "",""""))"),"Booking-Better.Com")</f>
        <v>Booking-Better.Com</v>
      </c>
      <c r="G197" s="4" t="s">
        <v>1565</v>
      </c>
      <c r="H197" s="4">
        <v>13</v>
      </c>
      <c r="I197" s="4" t="s">
        <v>25</v>
      </c>
      <c r="J197" s="5" t="s">
        <v>1566</v>
      </c>
      <c r="K197" s="5" t="s">
        <v>1567</v>
      </c>
      <c r="L197" s="4" t="s">
        <v>1568</v>
      </c>
      <c r="M197" s="4" t="s">
        <v>29</v>
      </c>
      <c r="N197" s="4" t="s">
        <v>1569</v>
      </c>
      <c r="O197" s="4" t="s">
        <v>29</v>
      </c>
      <c r="P197" s="4" t="s">
        <v>1570</v>
      </c>
      <c r="Q197" s="6"/>
      <c r="R197" s="6"/>
      <c r="S197" s="6"/>
      <c r="T197" s="6"/>
      <c r="U197" s="6"/>
      <c r="V197" s="6"/>
      <c r="W197" s="6"/>
      <c r="X197" s="6"/>
      <c r="Y197" s="6"/>
    </row>
    <row r="198">
      <c r="B198" s="4" t="s">
        <v>1571</v>
      </c>
      <c r="C198" s="4" t="s">
        <v>1572</v>
      </c>
      <c r="D198" s="4" t="s">
        <v>164</v>
      </c>
      <c r="E198" s="4" t="s">
        <v>1573</v>
      </c>
      <c r="F198" s="4" t="str">
        <f>IFERROR(__XLUDF.DUMMYFUNCTION("PROPER(REGEXREPLACE(D183,""[^A-Za-z]+ "",""""))"),"Stoquemarket")</f>
        <v>Stoquemarket</v>
      </c>
      <c r="G198" s="4" t="s">
        <v>1574</v>
      </c>
      <c r="H198" s="4">
        <v>10</v>
      </c>
      <c r="I198" s="4" t="s">
        <v>36</v>
      </c>
      <c r="J198" s="5" t="s">
        <v>1575</v>
      </c>
      <c r="K198" s="5" t="s">
        <v>1576</v>
      </c>
      <c r="L198" s="4" t="s">
        <v>716</v>
      </c>
      <c r="M198" s="4" t="s">
        <v>29</v>
      </c>
      <c r="N198" s="4" t="s">
        <v>1577</v>
      </c>
      <c r="O198" s="4" t="s">
        <v>29</v>
      </c>
      <c r="P198" s="4" t="s">
        <v>1578</v>
      </c>
      <c r="Q198" s="6"/>
      <c r="R198" s="6"/>
      <c r="S198" s="6"/>
      <c r="T198" s="6"/>
      <c r="U198" s="6"/>
      <c r="V198" s="6"/>
      <c r="W198" s="6"/>
      <c r="X198" s="6"/>
      <c r="Y198" s="6"/>
    </row>
    <row r="199">
      <c r="B199" s="4" t="s">
        <v>1579</v>
      </c>
      <c r="C199" s="4" t="s">
        <v>1580</v>
      </c>
      <c r="D199" s="4" t="s">
        <v>172</v>
      </c>
      <c r="E199" s="4" t="s">
        <v>860</v>
      </c>
      <c r="F199" s="4" t="str">
        <f>IFERROR(__XLUDF.DUMMYFUNCTION("PROPER(REGEXREPLACE(D184,""[^A-Za-z]+ "",""""))"),"Bmk")</f>
        <v>Bmk</v>
      </c>
      <c r="G199" s="4" t="s">
        <v>1581</v>
      </c>
      <c r="H199" s="4">
        <v>17</v>
      </c>
      <c r="I199" s="4" t="s">
        <v>25</v>
      </c>
      <c r="J199" s="5" t="s">
        <v>1582</v>
      </c>
      <c r="K199" s="5" t="s">
        <v>863</v>
      </c>
      <c r="L199" s="4" t="s">
        <v>39</v>
      </c>
      <c r="M199" s="4" t="s">
        <v>29</v>
      </c>
      <c r="N199" s="4" t="s">
        <v>864</v>
      </c>
      <c r="O199" s="4" t="s">
        <v>29</v>
      </c>
      <c r="P199" s="4" t="s">
        <v>865</v>
      </c>
      <c r="Q199" s="6"/>
      <c r="R199" s="6"/>
      <c r="S199" s="6"/>
      <c r="T199" s="6"/>
      <c r="U199" s="6"/>
      <c r="V199" s="6"/>
      <c r="W199" s="6"/>
      <c r="X199" s="6"/>
      <c r="Y199" s="6"/>
    </row>
    <row r="200">
      <c r="B200" s="4" t="s">
        <v>1583</v>
      </c>
      <c r="C200" s="4" t="s">
        <v>1584</v>
      </c>
      <c r="D200" s="4" t="s">
        <v>112</v>
      </c>
      <c r="E200" s="4" t="s">
        <v>1585</v>
      </c>
      <c r="F200" s="4" t="str">
        <f>IFERROR(__XLUDF.DUMMYFUNCTION("PROPER(REGEXREPLACE(D185,""[^A-Za-z]+ "",""""))"),"Experience")</f>
        <v>Experience</v>
      </c>
      <c r="G200" s="4" t="s">
        <v>1586</v>
      </c>
      <c r="H200" s="4">
        <v>8</v>
      </c>
      <c r="I200" s="4" t="s">
        <v>25</v>
      </c>
      <c r="J200" s="5" t="s">
        <v>1587</v>
      </c>
      <c r="K200" s="5" t="s">
        <v>1588</v>
      </c>
      <c r="L200" s="4" t="s">
        <v>1589</v>
      </c>
      <c r="M200" s="4" t="s">
        <v>29</v>
      </c>
      <c r="N200" s="4" t="s">
        <v>1590</v>
      </c>
      <c r="O200" s="4" t="s">
        <v>29</v>
      </c>
      <c r="P200" s="4" t="s">
        <v>1591</v>
      </c>
      <c r="Q200" s="6"/>
      <c r="R200" s="6"/>
      <c r="S200" s="6"/>
      <c r="T200" s="6"/>
      <c r="U200" s="6"/>
      <c r="V200" s="6"/>
      <c r="W200" s="6"/>
      <c r="X200" s="6"/>
      <c r="Y200" s="6"/>
    </row>
    <row r="201">
      <c r="B201" s="4" t="s">
        <v>1592</v>
      </c>
      <c r="C201" s="4" t="s">
        <v>1593</v>
      </c>
      <c r="D201" s="4" t="s">
        <v>112</v>
      </c>
      <c r="E201" s="4" t="s">
        <v>1448</v>
      </c>
      <c r="F201" s="4" t="str">
        <f>IFERROR(__XLUDF.DUMMYFUNCTION("PROPER(REGEXREPLACE(D186,""[^A-Za-z]+ "",""""))"),"The Gate Collection")</f>
        <v xml:space="preserve">The Gate Collection</v>
      </c>
      <c r="G201" s="4" t="s">
        <v>1594</v>
      </c>
      <c r="H201" s="4">
        <v>28</v>
      </c>
      <c r="I201" s="4" t="s">
        <v>1450</v>
      </c>
      <c r="J201" s="5" t="s">
        <v>1595</v>
      </c>
      <c r="K201" s="5" t="s">
        <v>1452</v>
      </c>
      <c r="L201" s="4" t="s">
        <v>39</v>
      </c>
      <c r="M201" s="4" t="s">
        <v>29</v>
      </c>
      <c r="N201" s="4" t="s">
        <v>1453</v>
      </c>
      <c r="O201" s="4" t="s">
        <v>29</v>
      </c>
      <c r="P201" s="6"/>
      <c r="Q201" s="6"/>
      <c r="R201" s="6"/>
      <c r="S201" s="6"/>
      <c r="T201" s="6"/>
      <c r="U201" s="6"/>
      <c r="V201" s="6"/>
      <c r="W201" s="6"/>
      <c r="X201" s="6"/>
      <c r="Y201" s="6"/>
    </row>
    <row r="202">
      <c r="B202" s="4" t="s">
        <v>1596</v>
      </c>
      <c r="C202" s="4" t="s">
        <v>1597</v>
      </c>
      <c r="D202" s="4" t="s">
        <v>1598</v>
      </c>
      <c r="E202" s="4" t="s">
        <v>1599</v>
      </c>
      <c r="F202" s="4" t="str">
        <f>IFERROR(__XLUDF.DUMMYFUNCTION("PROPER(REGEXREPLACE(D187,""[^A-Za-z]+ "",""""))"),"Misterbooking")</f>
        <v>Misterbooking</v>
      </c>
      <c r="G202" s="4" t="s">
        <v>1600</v>
      </c>
      <c r="H202" s="4">
        <v>48</v>
      </c>
      <c r="I202" s="4" t="s">
        <v>36</v>
      </c>
      <c r="J202" s="5" t="s">
        <v>1601</v>
      </c>
      <c r="K202" s="5" t="s">
        <v>1602</v>
      </c>
      <c r="L202" s="4" t="s">
        <v>185</v>
      </c>
      <c r="M202" s="4" t="s">
        <v>29</v>
      </c>
      <c r="N202" s="4" t="s">
        <v>1603</v>
      </c>
      <c r="O202" s="4" t="s">
        <v>29</v>
      </c>
      <c r="P202" s="4" t="s">
        <v>1604</v>
      </c>
      <c r="Q202" s="6"/>
      <c r="R202" s="6"/>
      <c r="S202" s="6"/>
      <c r="T202" s="6"/>
      <c r="U202" s="6"/>
      <c r="V202" s="6"/>
      <c r="W202" s="6"/>
      <c r="X202" s="6"/>
      <c r="Y202" s="6"/>
    </row>
    <row r="203">
      <c r="B203" s="4" t="s">
        <v>1605</v>
      </c>
      <c r="C203" s="4" t="s">
        <v>1606</v>
      </c>
      <c r="D203" s="4" t="s">
        <v>120</v>
      </c>
      <c r="E203" s="4" t="s">
        <v>1607</v>
      </c>
      <c r="F203" s="4" t="str">
        <f>IFERROR(__XLUDF.DUMMYFUNCTION("PROPER(REGEXREPLACE(D188,""[^A-Za-z]+ "",""""))"),"Minimistan")</f>
        <v>Minimistan</v>
      </c>
      <c r="G203" s="4" t="s">
        <v>1608</v>
      </c>
      <c r="H203" s="4">
        <v>1</v>
      </c>
      <c r="I203" s="4" t="s">
        <v>25</v>
      </c>
      <c r="J203" s="5" t="s">
        <v>1609</v>
      </c>
      <c r="K203" s="5" t="s">
        <v>1610</v>
      </c>
      <c r="L203" s="4" t="s">
        <v>1312</v>
      </c>
      <c r="M203" s="4" t="s">
        <v>29</v>
      </c>
      <c r="N203" s="4" t="s">
        <v>1611</v>
      </c>
      <c r="O203" s="4" t="s">
        <v>29</v>
      </c>
      <c r="P203" s="4" t="s">
        <v>1612</v>
      </c>
      <c r="Q203" s="6"/>
      <c r="R203" s="6"/>
      <c r="S203" s="6"/>
      <c r="T203" s="6"/>
      <c r="U203" s="6"/>
      <c r="V203" s="6"/>
      <c r="W203" s="6"/>
      <c r="X203" s="6"/>
      <c r="Y203" s="6"/>
    </row>
    <row r="204">
      <c r="B204" s="4" t="s">
        <v>893</v>
      </c>
      <c r="C204" s="4" t="s">
        <v>1613</v>
      </c>
      <c r="D204" s="4" t="s">
        <v>247</v>
      </c>
      <c r="E204" s="4" t="s">
        <v>1614</v>
      </c>
      <c r="F204" s="4" t="str">
        <f>IFERROR(__XLUDF.DUMMYFUNCTION("PROPER(REGEXREPLACE(D189,""[^A-Za-z]+ "",""""))"),"Food'Lab")</f>
        <v>Food'Lab</v>
      </c>
      <c r="G204" s="4" t="s">
        <v>1615</v>
      </c>
      <c r="H204" s="4">
        <v>3</v>
      </c>
      <c r="I204" s="4" t="s">
        <v>36</v>
      </c>
      <c r="J204" s="5" t="s">
        <v>1616</v>
      </c>
      <c r="K204" s="5" t="s">
        <v>1617</v>
      </c>
      <c r="L204" s="4" t="s">
        <v>39</v>
      </c>
      <c r="M204" s="4" t="s">
        <v>29</v>
      </c>
      <c r="N204" s="4" t="s">
        <v>1618</v>
      </c>
      <c r="O204" s="4" t="s">
        <v>29</v>
      </c>
      <c r="P204" s="6"/>
      <c r="Q204" s="6"/>
      <c r="R204" s="6"/>
      <c r="S204" s="6"/>
      <c r="T204" s="6"/>
      <c r="U204" s="6"/>
      <c r="V204" s="6"/>
      <c r="W204" s="6"/>
      <c r="X204" s="6"/>
      <c r="Y204" s="6"/>
    </row>
    <row r="205">
      <c r="B205" s="4" t="s">
        <v>1619</v>
      </c>
      <c r="C205" s="4" t="s">
        <v>1620</v>
      </c>
      <c r="D205" s="4" t="s">
        <v>62</v>
      </c>
      <c r="E205" s="4" t="s">
        <v>1621</v>
      </c>
      <c r="F205" s="4" t="str">
        <f>IFERROR(__XLUDF.DUMMYFUNCTION("PROPER(REGEXREPLACE(D190,""[^A-Za-z]+ "",""""))"),"Les Jardiniers")</f>
        <v xml:space="preserve">Les Jardiniers</v>
      </c>
      <c r="G205" s="4" t="s">
        <v>1622</v>
      </c>
      <c r="H205" s="4">
        <v>9</v>
      </c>
      <c r="I205" s="4" t="s">
        <v>36</v>
      </c>
      <c r="J205" s="5" t="s">
        <v>1623</v>
      </c>
      <c r="K205" s="5" t="s">
        <v>1624</v>
      </c>
      <c r="L205" s="4" t="s">
        <v>423</v>
      </c>
      <c r="M205" s="4" t="s">
        <v>29</v>
      </c>
      <c r="N205" s="4" t="s">
        <v>1625</v>
      </c>
      <c r="O205" s="4" t="s">
        <v>29</v>
      </c>
      <c r="P205" s="4" t="s">
        <v>1626</v>
      </c>
      <c r="Q205" s="6"/>
      <c r="R205" s="6"/>
      <c r="S205" s="6"/>
      <c r="T205" s="6"/>
      <c r="U205" s="6"/>
      <c r="V205" s="6"/>
      <c r="W205" s="6"/>
      <c r="X205" s="6"/>
      <c r="Y205" s="6"/>
    </row>
    <row r="206">
      <c r="B206" s="4" t="s">
        <v>679</v>
      </c>
      <c r="C206" s="4" t="s">
        <v>1183</v>
      </c>
      <c r="D206" s="4" t="s">
        <v>1130</v>
      </c>
      <c r="E206" s="4" t="s">
        <v>1627</v>
      </c>
      <c r="F206" s="4" t="str">
        <f>IFERROR(__XLUDF.DUMMYFUNCTION("PROPER(REGEXREPLACE(D191,""[^A-Za-z]+ "",""""))"),"Tonton Michel")</f>
        <v xml:space="preserve">Tonton Michel</v>
      </c>
      <c r="G206" s="4" t="s">
        <v>1628</v>
      </c>
      <c r="H206" s="4">
        <v>120</v>
      </c>
      <c r="I206" s="4" t="s">
        <v>36</v>
      </c>
      <c r="J206" s="5" t="s">
        <v>1629</v>
      </c>
      <c r="K206" s="5" t="s">
        <v>1630</v>
      </c>
      <c r="L206" s="4" t="s">
        <v>651</v>
      </c>
      <c r="M206" s="4" t="s">
        <v>29</v>
      </c>
      <c r="N206" s="4" t="s">
        <v>1631</v>
      </c>
      <c r="O206" s="4" t="s">
        <v>29</v>
      </c>
      <c r="P206" s="4" t="s">
        <v>1632</v>
      </c>
      <c r="Q206" s="6"/>
      <c r="R206" s="6"/>
      <c r="S206" s="6"/>
      <c r="T206" s="6"/>
      <c r="U206" s="6"/>
      <c r="V206" s="6"/>
      <c r="W206" s="6"/>
      <c r="X206" s="6"/>
      <c r="Y206" s="6"/>
    </row>
    <row r="207">
      <c r="B207" s="4" t="s">
        <v>385</v>
      </c>
      <c r="C207" s="4" t="s">
        <v>1633</v>
      </c>
      <c r="D207" s="4" t="s">
        <v>44</v>
      </c>
      <c r="E207" s="4" t="s">
        <v>1634</v>
      </c>
      <c r="F207" s="4" t="str">
        <f>IFERROR(__XLUDF.DUMMYFUNCTION("PROPER(REGEXREPLACE(D192,""[^A-Za-z]+ "",""""))"),"We Go Greenr")</f>
        <v xml:space="preserve">We Go Greenr</v>
      </c>
      <c r="G207" s="4" t="s">
        <v>1635</v>
      </c>
      <c r="H207" s="4">
        <v>6</v>
      </c>
      <c r="I207" s="4" t="s">
        <v>25</v>
      </c>
      <c r="J207" s="5" t="s">
        <v>1636</v>
      </c>
      <c r="K207" s="5" t="s">
        <v>1637</v>
      </c>
      <c r="L207" s="6"/>
      <c r="M207" s="4" t="s">
        <v>29</v>
      </c>
      <c r="N207" s="4" t="s">
        <v>1638</v>
      </c>
      <c r="O207" s="4" t="s">
        <v>29</v>
      </c>
      <c r="P207" s="4" t="s">
        <v>1639</v>
      </c>
      <c r="Q207" s="6"/>
      <c r="R207" s="6"/>
      <c r="S207" s="6"/>
      <c r="T207" s="6"/>
      <c r="U207" s="6"/>
      <c r="V207" s="6"/>
      <c r="W207" s="6"/>
      <c r="X207" s="6"/>
      <c r="Y207" s="6"/>
    </row>
    <row r="208">
      <c r="B208" s="4" t="s">
        <v>69</v>
      </c>
      <c r="C208" s="4" t="s">
        <v>1640</v>
      </c>
      <c r="D208" s="4" t="s">
        <v>1641</v>
      </c>
      <c r="E208" s="4" t="s">
        <v>1642</v>
      </c>
      <c r="F208" s="4" t="str">
        <f>IFERROR(__XLUDF.DUMMYFUNCTION("PROPER(REGEXREPLACE(D193,""[^A-Za-z]+ "",""""))"),"Presqu'Île")</f>
        <v>Presqu'Île</v>
      </c>
      <c r="G208" s="4" t="s">
        <v>1643</v>
      </c>
      <c r="H208" s="4">
        <v>1</v>
      </c>
      <c r="I208" s="4" t="s">
        <v>36</v>
      </c>
      <c r="J208" s="5" t="s">
        <v>1644</v>
      </c>
      <c r="K208" s="5" t="s">
        <v>1645</v>
      </c>
      <c r="L208" s="4" t="s">
        <v>185</v>
      </c>
      <c r="M208" s="4" t="s">
        <v>29</v>
      </c>
      <c r="N208" s="4" t="s">
        <v>1646</v>
      </c>
      <c r="O208" s="4" t="s">
        <v>29</v>
      </c>
      <c r="P208" s="4" t="s">
        <v>1647</v>
      </c>
      <c r="Q208" s="6"/>
      <c r="R208" s="6"/>
      <c r="S208" s="6"/>
      <c r="T208" s="6"/>
      <c r="U208" s="6"/>
      <c r="V208" s="6"/>
      <c r="W208" s="6"/>
      <c r="X208" s="6"/>
      <c r="Y208" s="6"/>
    </row>
    <row r="209">
      <c r="B209" s="4" t="s">
        <v>170</v>
      </c>
      <c r="C209" s="4" t="s">
        <v>1648</v>
      </c>
      <c r="D209" s="4" t="s">
        <v>62</v>
      </c>
      <c r="E209" s="4" t="s">
        <v>1649</v>
      </c>
      <c r="F209" s="4" t="str">
        <f>IFERROR(__XLUDF.DUMMYFUNCTION("PROPER(REGEXREPLACE(D194,""[^A-Za-z]+ "",""""))"),"Pamela")</f>
        <v>Pamela</v>
      </c>
      <c r="G209" s="4" t="s">
        <v>1650</v>
      </c>
      <c r="H209" s="4">
        <v>6</v>
      </c>
      <c r="I209" s="4" t="s">
        <v>25</v>
      </c>
      <c r="J209" s="5" t="s">
        <v>1651</v>
      </c>
      <c r="K209" s="5" t="s">
        <v>1652</v>
      </c>
      <c r="L209" s="4" t="s">
        <v>39</v>
      </c>
      <c r="M209" s="4" t="s">
        <v>29</v>
      </c>
      <c r="N209" s="4" t="s">
        <v>67</v>
      </c>
      <c r="O209" s="4" t="s">
        <v>29</v>
      </c>
      <c r="P209" s="4" t="s">
        <v>1653</v>
      </c>
      <c r="Q209" s="6"/>
      <c r="R209" s="6"/>
      <c r="S209" s="6"/>
      <c r="T209" s="6"/>
      <c r="U209" s="6"/>
      <c r="V209" s="6"/>
      <c r="W209" s="6"/>
      <c r="X209" s="6"/>
      <c r="Y209" s="6"/>
    </row>
    <row r="210">
      <c r="B210" s="4" t="s">
        <v>1654</v>
      </c>
      <c r="C210" s="4" t="s">
        <v>1191</v>
      </c>
      <c r="D210" s="4" t="s">
        <v>1655</v>
      </c>
      <c r="E210" s="4" t="s">
        <v>1192</v>
      </c>
      <c r="F210" s="4" t="str">
        <f>IFERROR(__XLUDF.DUMMYFUNCTION("PROPER(REGEXREPLACE(D195,""[^A-Za-z]+ "",""""))"),"Diana Dea Lodgespa")</f>
        <v xml:space="preserve">Diana Dea Lodgespa</v>
      </c>
      <c r="G210" s="4" t="s">
        <v>1656</v>
      </c>
      <c r="H210" s="4">
        <v>16</v>
      </c>
      <c r="I210" s="4" t="s">
        <v>36</v>
      </c>
      <c r="J210" s="5" t="s">
        <v>1657</v>
      </c>
      <c r="K210" s="5" t="s">
        <v>1195</v>
      </c>
      <c r="L210" s="4" t="s">
        <v>185</v>
      </c>
      <c r="M210" s="4" t="s">
        <v>29</v>
      </c>
      <c r="N210" s="4" t="s">
        <v>1197</v>
      </c>
      <c r="O210" s="4" t="s">
        <v>29</v>
      </c>
      <c r="P210" s="6"/>
      <c r="Q210" s="6"/>
      <c r="R210" s="6"/>
      <c r="S210" s="6"/>
      <c r="T210" s="6"/>
      <c r="U210" s="6"/>
      <c r="V210" s="6"/>
      <c r="W210" s="6"/>
      <c r="X210" s="6"/>
      <c r="Y210" s="6"/>
    </row>
    <row r="211">
      <c r="B211" s="4" t="s">
        <v>1658</v>
      </c>
      <c r="C211" s="4" t="s">
        <v>1659</v>
      </c>
      <c r="D211" s="4" t="s">
        <v>1660</v>
      </c>
      <c r="E211" s="4" t="s">
        <v>1661</v>
      </c>
      <c r="F211" s="4" t="str">
        <f>IFERROR(__XLUDF.DUMMYFUNCTION("PROPER(REGEXREPLACE(D196,""[^A-Za-z]+ "",""""))"),"Le Grand Mazarin")</f>
        <v xml:space="preserve">Le Grand Mazarin</v>
      </c>
      <c r="G211" s="4" t="s">
        <v>1662</v>
      </c>
      <c r="H211" s="4">
        <v>16</v>
      </c>
      <c r="I211" s="4" t="s">
        <v>36</v>
      </c>
      <c r="J211" s="5" t="s">
        <v>1663</v>
      </c>
      <c r="K211" s="5" t="s">
        <v>1664</v>
      </c>
      <c r="L211" s="4" t="s">
        <v>1665</v>
      </c>
      <c r="M211" s="4" t="s">
        <v>29</v>
      </c>
      <c r="N211" s="4" t="s">
        <v>67</v>
      </c>
      <c r="O211" s="4" t="s">
        <v>29</v>
      </c>
      <c r="P211" s="4" t="s">
        <v>1666</v>
      </c>
      <c r="Q211" s="6"/>
      <c r="R211" s="6"/>
      <c r="S211" s="6"/>
      <c r="T211" s="6"/>
      <c r="U211" s="6"/>
      <c r="V211" s="6"/>
      <c r="W211" s="6"/>
      <c r="X211" s="6"/>
      <c r="Y211" s="6"/>
    </row>
    <row r="212" ht="14.25">
      <c r="B212" s="4" t="s">
        <v>1667</v>
      </c>
      <c r="C212" s="4" t="s">
        <v>1668</v>
      </c>
      <c r="D212" s="4" t="s">
        <v>87</v>
      </c>
      <c r="E212" s="4" t="s">
        <v>1669</v>
      </c>
      <c r="F212" s="4" t="str">
        <f>IFERROR(__XLUDF.DUMMYFUNCTION("PROPER(REGEXREPLACE(D197,""[^A-Za-z]+ "",""""))"),"Hostellerie De L'Abbaye De La Celle")</f>
        <v xml:space="preserve">Hostellerie De L'Abbaye De La Celle</v>
      </c>
      <c r="G212" s="4" t="s">
        <v>1670</v>
      </c>
      <c r="H212" s="4">
        <v>12</v>
      </c>
      <c r="I212" s="4" t="s">
        <v>36</v>
      </c>
      <c r="J212" s="5" t="s">
        <v>1671</v>
      </c>
      <c r="K212" s="5" t="s">
        <v>1672</v>
      </c>
      <c r="L212" s="4" t="s">
        <v>39</v>
      </c>
      <c r="M212" s="4" t="s">
        <v>29</v>
      </c>
      <c r="N212" s="4" t="s">
        <v>1673</v>
      </c>
      <c r="O212" s="4" t="s">
        <v>29</v>
      </c>
      <c r="P212" s="4" t="s">
        <v>1674</v>
      </c>
      <c r="Q212" s="6"/>
      <c r="R212" s="6"/>
      <c r="S212" s="6"/>
      <c r="T212" s="6"/>
      <c r="U212" s="6"/>
      <c r="V212" s="6"/>
      <c r="W212" s="6"/>
      <c r="X212" s="6"/>
      <c r="Y212" s="6"/>
    </row>
    <row r="213" ht="14.25">
      <c r="B213" s="4" t="s">
        <v>1675</v>
      </c>
      <c r="C213" s="4" t="s">
        <v>1676</v>
      </c>
      <c r="D213" s="4" t="s">
        <v>1677</v>
      </c>
      <c r="E213" s="4" t="s">
        <v>1678</v>
      </c>
      <c r="F213" s="4" t="str">
        <f>IFERROR(__XLUDF.DUMMYFUNCTION("PROPER(REGEXREPLACE(D198,""[^A-Za-z]+ "",""""))"),"La Javanaise Plage")</f>
        <v xml:space="preserve">La Javanaise Plage</v>
      </c>
      <c r="G213" s="4" t="s">
        <v>1679</v>
      </c>
      <c r="H213" s="4">
        <v>40</v>
      </c>
      <c r="I213" s="4" t="s">
        <v>25</v>
      </c>
      <c r="J213" s="5" t="s">
        <v>1680</v>
      </c>
      <c r="K213" s="5" t="s">
        <v>1681</v>
      </c>
      <c r="L213" s="6"/>
      <c r="M213" s="4" t="s">
        <v>29</v>
      </c>
      <c r="N213" s="4" t="s">
        <v>1682</v>
      </c>
      <c r="O213" s="4" t="s">
        <v>1683</v>
      </c>
      <c r="P213" s="4" t="s">
        <v>1684</v>
      </c>
      <c r="Q213" s="6"/>
      <c r="R213" s="6"/>
      <c r="S213" s="6"/>
      <c r="T213" s="6"/>
      <c r="U213" s="6"/>
      <c r="V213" s="6"/>
      <c r="W213" s="6"/>
      <c r="X213" s="6"/>
      <c r="Y213" s="6"/>
    </row>
    <row r="214" ht="14.25">
      <c r="B214" s="4" t="s">
        <v>1387</v>
      </c>
      <c r="C214" s="4" t="s">
        <v>1685</v>
      </c>
      <c r="D214" s="4" t="s">
        <v>172</v>
      </c>
      <c r="E214" s="4" t="s">
        <v>1686</v>
      </c>
      <c r="F214" s="4" t="str">
        <f>IFERROR(__XLUDF.DUMMYFUNCTION("PROPER(REGEXREPLACE(D199,""[^A-Za-z]+ "",""""))"),"Hôtel Norman Paris")</f>
        <v xml:space="preserve">Hôtel Norman Paris</v>
      </c>
      <c r="G214" s="4" t="s">
        <v>1687</v>
      </c>
      <c r="H214" s="4">
        <v>20</v>
      </c>
      <c r="I214" s="4" t="s">
        <v>25</v>
      </c>
      <c r="J214" s="5" t="s">
        <v>1688</v>
      </c>
      <c r="K214" s="5" t="s">
        <v>1689</v>
      </c>
      <c r="L214" s="4" t="s">
        <v>1690</v>
      </c>
      <c r="M214" s="4" t="s">
        <v>29</v>
      </c>
      <c r="N214" s="4" t="s">
        <v>1691</v>
      </c>
      <c r="O214" s="4" t="s">
        <v>29</v>
      </c>
      <c r="P214" s="4" t="s">
        <v>1692</v>
      </c>
      <c r="Q214" s="6"/>
      <c r="R214" s="6"/>
      <c r="S214" s="6"/>
      <c r="T214" s="6"/>
      <c r="U214" s="6"/>
      <c r="V214" s="6"/>
      <c r="W214" s="6"/>
      <c r="X214" s="6"/>
      <c r="Y214" s="6"/>
    </row>
    <row r="215" ht="14.25">
      <c r="B215" s="4" t="s">
        <v>95</v>
      </c>
      <c r="C215" s="4" t="s">
        <v>1693</v>
      </c>
      <c r="D215" s="4" t="s">
        <v>341</v>
      </c>
      <c r="E215" s="4" t="s">
        <v>632</v>
      </c>
      <c r="F215" s="4" t="str">
        <f>IFERROR(__XLUDF.DUMMYFUNCTION("PROPER(REGEXREPLACE(D200,""[^A-Za-z]+ "",""""))"),"Bigouden Makers")</f>
        <v xml:space="preserve">Bigouden Makers</v>
      </c>
      <c r="G215" s="4" t="s">
        <v>1694</v>
      </c>
      <c r="H215" s="4">
        <v>25</v>
      </c>
      <c r="I215" s="4" t="s">
        <v>25</v>
      </c>
      <c r="J215" s="5" t="s">
        <v>1695</v>
      </c>
      <c r="K215" s="5" t="s">
        <v>635</v>
      </c>
      <c r="L215" s="4" t="s">
        <v>39</v>
      </c>
      <c r="M215" s="4" t="s">
        <v>29</v>
      </c>
      <c r="N215" s="4" t="s">
        <v>636</v>
      </c>
      <c r="O215" s="4" t="s">
        <v>29</v>
      </c>
      <c r="P215" s="4" t="s">
        <v>637</v>
      </c>
      <c r="Q215" s="6"/>
      <c r="R215" s="6"/>
      <c r="S215" s="6"/>
      <c r="T215" s="6"/>
      <c r="U215" s="6"/>
      <c r="V215" s="6"/>
      <c r="W215" s="6"/>
      <c r="X215" s="6"/>
      <c r="Y215" s="6"/>
    </row>
    <row r="216" ht="14.25">
      <c r="B216" s="4" t="s">
        <v>1696</v>
      </c>
      <c r="C216" s="4" t="s">
        <v>1697</v>
      </c>
      <c r="D216" s="4" t="s">
        <v>1130</v>
      </c>
      <c r="E216" s="4" t="s">
        <v>1698</v>
      </c>
      <c r="F216" s="4" t="str">
        <f>IFERROR(__XLUDF.DUMMYFUNCTION("PROPER(REGEXREPLACE(D201,""[^A-Za-z]+ "",""""))"),"Les Niçois")</f>
        <v xml:space="preserve">Les Niçois</v>
      </c>
      <c r="G216" s="4" t="s">
        <v>1699</v>
      </c>
      <c r="H216" s="4">
        <v>22</v>
      </c>
      <c r="I216" s="4" t="s">
        <v>25</v>
      </c>
      <c r="J216" s="5" t="s">
        <v>1700</v>
      </c>
      <c r="K216" s="5" t="s">
        <v>1701</v>
      </c>
      <c r="L216" s="4" t="s">
        <v>39</v>
      </c>
      <c r="M216" s="4" t="s">
        <v>29</v>
      </c>
      <c r="N216" s="4" t="s">
        <v>1702</v>
      </c>
      <c r="O216" s="4" t="s">
        <v>29</v>
      </c>
      <c r="P216" s="4" t="s">
        <v>1703</v>
      </c>
      <c r="Q216" s="6"/>
      <c r="R216" s="6"/>
      <c r="S216" s="6"/>
      <c r="T216" s="6"/>
      <c r="U216" s="6"/>
      <c r="V216" s="6"/>
      <c r="W216" s="6"/>
      <c r="X216" s="6"/>
      <c r="Y216" s="6"/>
    </row>
    <row r="217" ht="14.25">
      <c r="B217" s="4" t="s">
        <v>1704</v>
      </c>
      <c r="C217" s="4" t="s">
        <v>1705</v>
      </c>
      <c r="D217" s="4" t="s">
        <v>1706</v>
      </c>
      <c r="E217" s="4" t="s">
        <v>1707</v>
      </c>
      <c r="F217" s="4" t="str">
        <f>IFERROR(__XLUDF.DUMMYFUNCTION("PROPER(REGEXREPLACE(D202,""[^A-Za-z]+ "",""""))"),"La Pyramide Maison Henriroux")</f>
        <v xml:space="preserve">La Pyramide Maison Henriroux</v>
      </c>
      <c r="G217" s="4" t="s">
        <v>1708</v>
      </c>
      <c r="H217" s="4">
        <v>4</v>
      </c>
      <c r="I217" s="4" t="s">
        <v>36</v>
      </c>
      <c r="J217" s="5" t="s">
        <v>1709</v>
      </c>
      <c r="K217" s="5" t="s">
        <v>1710</v>
      </c>
      <c r="L217" s="4" t="s">
        <v>1711</v>
      </c>
      <c r="M217" s="4" t="s">
        <v>29</v>
      </c>
      <c r="N217" s="4" t="s">
        <v>1712</v>
      </c>
      <c r="O217" s="4" t="s">
        <v>29</v>
      </c>
      <c r="P217" s="6"/>
      <c r="Q217" s="6"/>
      <c r="R217" s="6"/>
      <c r="S217" s="6"/>
      <c r="T217" s="6"/>
      <c r="U217" s="6"/>
      <c r="V217" s="6"/>
      <c r="W217" s="6"/>
      <c r="X217" s="6"/>
      <c r="Y217" s="6"/>
    </row>
    <row r="218" ht="14.25">
      <c r="B218" s="4" t="s">
        <v>893</v>
      </c>
      <c r="C218" s="4" t="s">
        <v>1713</v>
      </c>
      <c r="D218" s="4" t="s">
        <v>120</v>
      </c>
      <c r="E218" s="4" t="s">
        <v>1714</v>
      </c>
      <c r="F218" s="4" t="str">
        <f>IFERROR(__XLUDF.DUMMYFUNCTION("PROPER(REGEXREPLACE(D203,""[^A-Za-z]+ "",""""))"),"Minutup")</f>
        <v>Minutup</v>
      </c>
      <c r="G218" s="4" t="s">
        <v>1715</v>
      </c>
      <c r="H218" s="4">
        <v>25</v>
      </c>
      <c r="I218" s="4" t="s">
        <v>36</v>
      </c>
      <c r="J218" s="5" t="s">
        <v>1716</v>
      </c>
      <c r="K218" s="5" t="s">
        <v>1717</v>
      </c>
      <c r="L218" s="4" t="s">
        <v>39</v>
      </c>
      <c r="M218" s="4" t="s">
        <v>29</v>
      </c>
      <c r="N218" s="4" t="s">
        <v>67</v>
      </c>
      <c r="O218" s="4" t="s">
        <v>29</v>
      </c>
      <c r="P218" s="6"/>
      <c r="Q218" s="6"/>
      <c r="R218" s="6"/>
      <c r="S218" s="6"/>
      <c r="T218" s="6"/>
      <c r="U218" s="6"/>
      <c r="V218" s="6"/>
      <c r="W218" s="6"/>
      <c r="X218" s="6"/>
      <c r="Y218" s="6"/>
    </row>
    <row r="219" ht="14.25">
      <c r="B219" s="4" t="s">
        <v>95</v>
      </c>
      <c r="C219" s="4" t="s">
        <v>1718</v>
      </c>
      <c r="D219" s="4" t="s">
        <v>120</v>
      </c>
      <c r="E219" s="4" t="s">
        <v>1719</v>
      </c>
      <c r="F219" s="4" t="str">
        <f>IFERROR(__XLUDF.DUMMYFUNCTION("PROPER(REGEXREPLACE(D204,""[^A-Za-z]+ "",""""))"),"Gaijin Ramen Lab")</f>
        <v xml:space="preserve">Gaijin Ramen Lab</v>
      </c>
      <c r="G219" s="4" t="s">
        <v>1720</v>
      </c>
      <c r="H219" s="4">
        <v>11</v>
      </c>
      <c r="I219" s="4" t="s">
        <v>36</v>
      </c>
      <c r="J219" s="5" t="s">
        <v>1721</v>
      </c>
      <c r="K219" s="5" t="s">
        <v>1722</v>
      </c>
      <c r="L219" s="4" t="s">
        <v>1723</v>
      </c>
      <c r="M219" s="4" t="s">
        <v>29</v>
      </c>
      <c r="N219" s="4" t="s">
        <v>1724</v>
      </c>
      <c r="O219" s="4" t="s">
        <v>29</v>
      </c>
      <c r="P219" s="6"/>
      <c r="Q219" s="6"/>
      <c r="R219" s="6"/>
      <c r="S219" s="6"/>
      <c r="T219" s="6"/>
      <c r="U219" s="6"/>
      <c r="V219" s="6"/>
      <c r="W219" s="6"/>
      <c r="X219" s="6"/>
      <c r="Y219" s="6"/>
    </row>
    <row r="220" ht="14.25">
      <c r="B220" s="4" t="s">
        <v>1725</v>
      </c>
      <c r="C220" s="4" t="s">
        <v>1726</v>
      </c>
      <c r="D220" s="4" t="s">
        <v>198</v>
      </c>
      <c r="E220" s="4" t="s">
        <v>1727</v>
      </c>
      <c r="F220" s="4" t="str">
        <f>IFERROR(__XLUDF.DUMMYFUNCTION("PROPER(REGEXREPLACE(D205,""[^A-Za-z]+ "",""""))"),"Chez Gaston")</f>
        <v xml:space="preserve">Chez Gaston</v>
      </c>
      <c r="G220" s="4" t="s">
        <v>1728</v>
      </c>
      <c r="H220" s="4">
        <v>35</v>
      </c>
      <c r="I220" s="4" t="s">
        <v>25</v>
      </c>
      <c r="J220" s="5" t="s">
        <v>1729</v>
      </c>
      <c r="K220" s="5" t="s">
        <v>1730</v>
      </c>
      <c r="L220" s="6"/>
      <c r="M220" s="4" t="s">
        <v>29</v>
      </c>
      <c r="N220" s="4" t="s">
        <v>1731</v>
      </c>
      <c r="O220" s="4" t="s">
        <v>29</v>
      </c>
      <c r="P220" s="6"/>
      <c r="Q220" s="6"/>
      <c r="R220" s="6"/>
      <c r="S220" s="6"/>
      <c r="T220" s="6"/>
      <c r="U220" s="6"/>
      <c r="V220" s="6"/>
      <c r="W220" s="6"/>
      <c r="X220" s="6"/>
      <c r="Y220" s="6"/>
    </row>
    <row r="221" ht="14.25">
      <c r="B221" s="4" t="s">
        <v>1732</v>
      </c>
      <c r="C221" s="4" t="s">
        <v>1733</v>
      </c>
      <c r="D221" s="4" t="s">
        <v>426</v>
      </c>
      <c r="E221" s="4" t="s">
        <v>1734</v>
      </c>
      <c r="F221" s="4" t="str">
        <f>IFERROR(__XLUDF.DUMMYFUNCTION("PROPER(REGEXREPLACE(D206,""[^A-Za-z]+ "",""""))"),"Groupe Fhb")</f>
        <v xml:space="preserve">Groupe Fhb</v>
      </c>
      <c r="G221" s="4" t="s">
        <v>1735</v>
      </c>
      <c r="H221" s="4">
        <v>35</v>
      </c>
      <c r="I221" s="4" t="s">
        <v>25</v>
      </c>
      <c r="J221" s="5" t="s">
        <v>1736</v>
      </c>
      <c r="K221" s="5" t="s">
        <v>1737</v>
      </c>
      <c r="L221" s="6"/>
      <c r="M221" s="4" t="s">
        <v>29</v>
      </c>
      <c r="N221" s="4" t="s">
        <v>1738</v>
      </c>
      <c r="O221" s="4" t="s">
        <v>29</v>
      </c>
      <c r="P221" s="4" t="s">
        <v>1739</v>
      </c>
      <c r="Q221" s="6"/>
      <c r="R221" s="6"/>
      <c r="S221" s="6"/>
      <c r="T221" s="6"/>
      <c r="U221" s="6"/>
      <c r="V221" s="6"/>
      <c r="W221" s="6"/>
      <c r="X221" s="6"/>
      <c r="Y221" s="6"/>
    </row>
    <row r="222" ht="14.25">
      <c r="B222" s="4" t="s">
        <v>1740</v>
      </c>
      <c r="C222" s="4" t="s">
        <v>43</v>
      </c>
      <c r="D222" s="4" t="s">
        <v>172</v>
      </c>
      <c r="E222" s="4" t="s">
        <v>1741</v>
      </c>
      <c r="F222" s="4" t="str">
        <f>IFERROR(__XLUDF.DUMMYFUNCTION("PROPER(REGEXREPLACE(D207,""[^A-Za-z]+ "",""""))"),"Hotel Henriette Rive Gauche")</f>
        <v xml:space="preserve">Hotel Henriette Rive Gauche</v>
      </c>
      <c r="G222" s="4" t="s">
        <v>1742</v>
      </c>
      <c r="H222" s="4">
        <v>4</v>
      </c>
      <c r="I222" s="4" t="s">
        <v>25</v>
      </c>
      <c r="J222" s="5" t="s">
        <v>1743</v>
      </c>
      <c r="K222" s="5" t="s">
        <v>1744</v>
      </c>
      <c r="L222" s="4" t="s">
        <v>1745</v>
      </c>
      <c r="M222" s="4" t="s">
        <v>29</v>
      </c>
      <c r="N222" s="4" t="s">
        <v>1746</v>
      </c>
      <c r="O222" s="4" t="s">
        <v>29</v>
      </c>
      <c r="P222" s="4" t="s">
        <v>1747</v>
      </c>
      <c r="Q222" s="6"/>
      <c r="R222" s="6"/>
      <c r="S222" s="6"/>
      <c r="T222" s="6"/>
      <c r="U222" s="6"/>
      <c r="V222" s="6"/>
      <c r="W222" s="6"/>
      <c r="X222" s="6"/>
      <c r="Y222" s="6"/>
    </row>
    <row r="223" ht="14.25">
      <c r="B223" s="4" t="s">
        <v>840</v>
      </c>
      <c r="C223" s="4" t="s">
        <v>630</v>
      </c>
      <c r="D223" s="4" t="s">
        <v>1748</v>
      </c>
      <c r="E223" s="4" t="s">
        <v>1749</v>
      </c>
      <c r="F223" s="4" t="str">
        <f>IFERROR(__XLUDF.DUMMYFUNCTION("PROPER(REGEXREPLACE(D208,""[^A-Za-z]+ "",""""))"),"Sunnset")</f>
        <v>Sunnset</v>
      </c>
      <c r="G223" s="4" t="s">
        <v>1750</v>
      </c>
      <c r="H223" s="4">
        <v>42</v>
      </c>
      <c r="I223" s="4" t="s">
        <v>25</v>
      </c>
      <c r="J223" s="5" t="s">
        <v>1751</v>
      </c>
      <c r="K223" s="5" t="s">
        <v>1752</v>
      </c>
      <c r="L223" s="4" t="s">
        <v>39</v>
      </c>
      <c r="M223" s="4" t="s">
        <v>29</v>
      </c>
      <c r="N223" s="4" t="s">
        <v>1753</v>
      </c>
      <c r="O223" s="4" t="s">
        <v>29</v>
      </c>
      <c r="P223" s="6"/>
      <c r="Q223" s="6"/>
      <c r="R223" s="6"/>
      <c r="S223" s="6"/>
      <c r="T223" s="6"/>
      <c r="U223" s="6"/>
      <c r="V223" s="6"/>
      <c r="W223" s="6"/>
      <c r="X223" s="6"/>
      <c r="Y223" s="6"/>
    </row>
    <row r="224" ht="14.25">
      <c r="B224" s="4" t="s">
        <v>1654</v>
      </c>
      <c r="C224" s="4" t="s">
        <v>1754</v>
      </c>
      <c r="D224" s="4" t="s">
        <v>172</v>
      </c>
      <c r="E224" s="4" t="s">
        <v>1755</v>
      </c>
      <c r="F224" s="4" t="str">
        <f>IFERROR(__XLUDF.DUMMYFUNCTION("PROPER(REGEXREPLACE(D209,""[^A-Za-z]+ "",""""))"),"Doublevie Group")</f>
        <v xml:space="preserve">Doublevie Group</v>
      </c>
      <c r="G224" s="4" t="s">
        <v>1756</v>
      </c>
      <c r="H224" s="4">
        <v>14</v>
      </c>
      <c r="I224" s="4" t="s">
        <v>25</v>
      </c>
      <c r="J224" s="5" t="s">
        <v>1757</v>
      </c>
      <c r="K224" s="5" t="s">
        <v>1758</v>
      </c>
      <c r="L224" s="4" t="s">
        <v>482</v>
      </c>
      <c r="M224" s="4" t="s">
        <v>29</v>
      </c>
      <c r="N224" s="4" t="s">
        <v>1759</v>
      </c>
      <c r="O224" s="4" t="s">
        <v>29</v>
      </c>
      <c r="P224" s="4" t="s">
        <v>1760</v>
      </c>
      <c r="Q224" s="6"/>
      <c r="R224" s="6"/>
      <c r="S224" s="6"/>
      <c r="T224" s="6"/>
      <c r="U224" s="6"/>
      <c r="V224" s="6"/>
      <c r="W224" s="6"/>
      <c r="X224" s="6"/>
      <c r="Y224" s="6"/>
    </row>
    <row r="225" ht="14.25">
      <c r="B225" s="4" t="s">
        <v>1761</v>
      </c>
      <c r="C225" s="4" t="s">
        <v>1762</v>
      </c>
      <c r="D225" s="4" t="s">
        <v>172</v>
      </c>
      <c r="E225" s="4" t="s">
        <v>1763</v>
      </c>
      <c r="F225" s="4" t="str">
        <f>IFERROR(__XLUDF.DUMMYFUNCTION("PROPER(REGEXREPLACE(D210,""[^A-Za-z]+ "",""""))"),"Antoniomarco")</f>
        <v>Antoniomarco</v>
      </c>
      <c r="G225" s="4" t="s">
        <v>1764</v>
      </c>
      <c r="H225" s="6"/>
      <c r="I225" s="6"/>
      <c r="J225" s="5" t="s">
        <v>1765</v>
      </c>
      <c r="K225" s="5" t="s">
        <v>1766</v>
      </c>
      <c r="L225" s="4" t="s">
        <v>39</v>
      </c>
      <c r="M225" s="4" t="s">
        <v>29</v>
      </c>
      <c r="N225" s="4" t="s">
        <v>67</v>
      </c>
      <c r="O225" s="4" t="s">
        <v>29</v>
      </c>
      <c r="P225" s="6"/>
      <c r="Q225" s="6"/>
      <c r="R225" s="6"/>
      <c r="S225" s="6"/>
      <c r="T225" s="6"/>
      <c r="U225" s="6"/>
      <c r="V225" s="6"/>
      <c r="W225" s="6"/>
      <c r="X225" s="6"/>
      <c r="Y225" s="6"/>
    </row>
    <row r="226" ht="14.25">
      <c r="B226" s="4" t="s">
        <v>1767</v>
      </c>
      <c r="C226" s="4" t="s">
        <v>1768</v>
      </c>
      <c r="D226" s="4" t="s">
        <v>172</v>
      </c>
      <c r="E226" s="4" t="s">
        <v>1769</v>
      </c>
      <c r="F226" s="4" t="str">
        <f>IFERROR(__XLUDF.DUMMYFUNCTION("PROPER(REGEXREPLACE(D211,""[^A-Za-z]+ "",""""))"),"Pèrefish")</f>
        <v>Pèrefish</v>
      </c>
      <c r="G226" s="4" t="s">
        <v>1770</v>
      </c>
      <c r="H226" s="4">
        <v>21</v>
      </c>
      <c r="I226" s="4" t="s">
        <v>36</v>
      </c>
      <c r="J226" s="5" t="s">
        <v>1771</v>
      </c>
      <c r="K226" s="5" t="s">
        <v>1772</v>
      </c>
      <c r="L226" s="4" t="s">
        <v>39</v>
      </c>
      <c r="M226" s="4" t="s">
        <v>29</v>
      </c>
      <c r="N226" s="4" t="s">
        <v>1773</v>
      </c>
      <c r="O226" s="4" t="s">
        <v>29</v>
      </c>
      <c r="P226" s="4" t="s">
        <v>1774</v>
      </c>
      <c r="Q226" s="6"/>
      <c r="R226" s="6"/>
      <c r="S226" s="6"/>
      <c r="T226" s="6"/>
      <c r="U226" s="6"/>
      <c r="V226" s="6"/>
      <c r="W226" s="6"/>
      <c r="X226" s="6"/>
      <c r="Y226" s="6"/>
    </row>
    <row r="227" ht="14.25">
      <c r="B227" s="4" t="s">
        <v>1499</v>
      </c>
      <c r="C227" s="4" t="s">
        <v>1775</v>
      </c>
      <c r="D227" s="4" t="s">
        <v>164</v>
      </c>
      <c r="E227" s="4" t="s">
        <v>1776</v>
      </c>
      <c r="F227" s="4" t="str">
        <f>IFERROR(__XLUDF.DUMMYFUNCTION("PROPER(REGEXREPLACE(D212,""[^A-Za-z]+ "",""""))"),"Blend Hamburger")</f>
        <v xml:space="preserve">Blend Hamburger</v>
      </c>
      <c r="G227" s="4" t="s">
        <v>1777</v>
      </c>
      <c r="H227" s="4">
        <v>27</v>
      </c>
      <c r="I227" s="4" t="s">
        <v>25</v>
      </c>
      <c r="J227" s="5" t="s">
        <v>1778</v>
      </c>
      <c r="K227" s="5" t="s">
        <v>1779</v>
      </c>
      <c r="L227" s="4" t="s">
        <v>1780</v>
      </c>
      <c r="M227" s="4" t="s">
        <v>29</v>
      </c>
      <c r="N227" s="4" t="s">
        <v>1781</v>
      </c>
      <c r="O227" s="4" t="s">
        <v>29</v>
      </c>
      <c r="P227" s="6"/>
      <c r="Q227" s="6"/>
      <c r="R227" s="6"/>
      <c r="S227" s="6"/>
      <c r="T227" s="6"/>
      <c r="U227" s="6"/>
      <c r="V227" s="6"/>
      <c r="W227" s="6"/>
      <c r="X227" s="6"/>
      <c r="Y227" s="6"/>
    </row>
    <row r="228" ht="14.25">
      <c r="B228" s="4" t="s">
        <v>1782</v>
      </c>
      <c r="C228" s="4" t="s">
        <v>1783</v>
      </c>
      <c r="D228" s="4" t="s">
        <v>265</v>
      </c>
      <c r="E228" s="4" t="s">
        <v>1784</v>
      </c>
      <c r="F228" s="4" t="str">
        <f>IFERROR(__XLUDF.DUMMYFUNCTION("PROPER(REGEXREPLACE(D213,""[^A-Za-z]+ "",""""))"),"Zanzibar White Sand Luxury Villasspa")</f>
        <v xml:space="preserve">Zanzibar White Sand Luxury Villasspa</v>
      </c>
      <c r="G228" s="4" t="s">
        <v>1785</v>
      </c>
      <c r="H228" s="4">
        <v>17</v>
      </c>
      <c r="I228" s="4" t="s">
        <v>36</v>
      </c>
      <c r="J228" s="5" t="s">
        <v>1786</v>
      </c>
      <c r="K228" s="5" t="s">
        <v>1787</v>
      </c>
      <c r="L228" s="6"/>
      <c r="M228" s="4" t="s">
        <v>29</v>
      </c>
      <c r="N228" s="4" t="s">
        <v>1788</v>
      </c>
      <c r="O228" s="4" t="s">
        <v>29</v>
      </c>
      <c r="P228" s="4" t="s">
        <v>1789</v>
      </c>
      <c r="Q228" s="6"/>
      <c r="R228" s="6"/>
      <c r="S228" s="6"/>
      <c r="T228" s="6"/>
      <c r="U228" s="6"/>
      <c r="V228" s="6"/>
      <c r="W228" s="6"/>
      <c r="X228" s="6"/>
      <c r="Y228" s="6"/>
    </row>
    <row r="229" ht="14.25">
      <c r="B229" s="4" t="s">
        <v>1790</v>
      </c>
      <c r="C229" s="4" t="s">
        <v>1791</v>
      </c>
      <c r="D229" s="4" t="s">
        <v>688</v>
      </c>
      <c r="E229" s="4" t="s">
        <v>1792</v>
      </c>
      <c r="F229" s="4" t="str">
        <f>IFERROR(__XLUDF.DUMMYFUNCTION("PROPER(REGEXREPLACE(D214,""[^A-Za-z]+ "",""""))"),"Camping Le Dauphin")</f>
        <v xml:space="preserve">Camping Le Dauphin</v>
      </c>
      <c r="G229" s="4" t="s">
        <v>1793</v>
      </c>
      <c r="H229" s="4">
        <v>10</v>
      </c>
      <c r="I229" s="4" t="s">
        <v>25</v>
      </c>
      <c r="J229" s="5" t="s">
        <v>1794</v>
      </c>
      <c r="K229" s="5" t="s">
        <v>1795</v>
      </c>
      <c r="L229" s="4" t="s">
        <v>39</v>
      </c>
      <c r="M229" s="4" t="s">
        <v>29</v>
      </c>
      <c r="N229" s="4" t="s">
        <v>1796</v>
      </c>
      <c r="O229" s="4" t="s">
        <v>29</v>
      </c>
      <c r="P229" s="4" t="s">
        <v>1797</v>
      </c>
      <c r="Q229" s="6"/>
      <c r="R229" s="6"/>
      <c r="S229" s="6"/>
      <c r="T229" s="6"/>
      <c r="U229" s="6"/>
      <c r="V229" s="6"/>
      <c r="W229" s="6"/>
      <c r="X229" s="6"/>
      <c r="Y229" s="6"/>
    </row>
    <row r="230" ht="14.25">
      <c r="B230" s="4" t="s">
        <v>69</v>
      </c>
      <c r="C230" s="4" t="s">
        <v>1798</v>
      </c>
      <c r="D230" s="4" t="s">
        <v>1072</v>
      </c>
      <c r="E230" s="4" t="s">
        <v>1799</v>
      </c>
      <c r="F230" s="4" t="str">
        <f>IFERROR(__XLUDF.DUMMYFUNCTION("PROPER(REGEXREPLACE(D215,""[^A-Za-z]+ "",""""))"),"Madeho")</f>
        <v>Madeho</v>
      </c>
      <c r="G230" s="4" t="s">
        <v>1800</v>
      </c>
      <c r="H230" s="4">
        <v>15</v>
      </c>
      <c r="I230" s="4" t="s">
        <v>36</v>
      </c>
      <c r="J230" s="5" t="s">
        <v>1801</v>
      </c>
      <c r="K230" s="5" t="s">
        <v>1802</v>
      </c>
      <c r="L230" s="4" t="s">
        <v>39</v>
      </c>
      <c r="M230" s="4" t="s">
        <v>29</v>
      </c>
      <c r="N230" s="4" t="s">
        <v>1803</v>
      </c>
      <c r="O230" s="4" t="s">
        <v>1261</v>
      </c>
      <c r="P230" s="6"/>
      <c r="Q230" s="6"/>
      <c r="R230" s="6"/>
      <c r="S230" s="6"/>
      <c r="T230" s="6"/>
      <c r="U230" s="6"/>
      <c r="V230" s="6"/>
      <c r="W230" s="6"/>
      <c r="X230" s="6"/>
      <c r="Y230" s="6"/>
    </row>
    <row r="231" ht="14.25">
      <c r="B231" s="4" t="s">
        <v>1804</v>
      </c>
      <c r="C231" s="4" t="s">
        <v>1805</v>
      </c>
      <c r="D231" s="4" t="s">
        <v>265</v>
      </c>
      <c r="E231" s="4" t="s">
        <v>1806</v>
      </c>
      <c r="F231" s="4" t="str">
        <f>IFERROR(__XLUDF.DUMMYFUNCTION("PROPER(REGEXREPLACE(D216,""[^A-Za-z]+ "",""""))"),"Hôtel Royal Madeleine")</f>
        <v xml:space="preserve">Hôtel Royal Madeleine</v>
      </c>
      <c r="G231" s="4" t="s">
        <v>1807</v>
      </c>
      <c r="H231" s="4">
        <v>7</v>
      </c>
      <c r="I231" s="4" t="s">
        <v>36</v>
      </c>
      <c r="J231" s="5" t="s">
        <v>1808</v>
      </c>
      <c r="K231" s="5" t="s">
        <v>1809</v>
      </c>
      <c r="L231" s="6"/>
      <c r="M231" s="4" t="s">
        <v>29</v>
      </c>
      <c r="N231" s="4" t="s">
        <v>1810</v>
      </c>
      <c r="O231" s="4" t="s">
        <v>29</v>
      </c>
      <c r="P231" s="6"/>
      <c r="Q231" s="6"/>
      <c r="R231" s="6"/>
      <c r="S231" s="6"/>
      <c r="T231" s="6"/>
      <c r="U231" s="6"/>
      <c r="V231" s="6"/>
      <c r="W231" s="6"/>
      <c r="X231" s="6"/>
      <c r="Y231" s="6"/>
    </row>
    <row r="232" ht="14.25">
      <c r="B232" s="4" t="s">
        <v>245</v>
      </c>
      <c r="C232" s="4" t="s">
        <v>1811</v>
      </c>
      <c r="D232" s="4" t="s">
        <v>1812</v>
      </c>
      <c r="E232" s="4" t="s">
        <v>1479</v>
      </c>
      <c r="F232" s="4" t="str">
        <f>IFERROR(__XLUDF.DUMMYFUNCTION("PROPER(REGEXREPLACE(D217,""[^A-Za-z]+ "",""""))"),"Sain")</f>
        <v>Sain</v>
      </c>
      <c r="G232" s="4" t="s">
        <v>1813</v>
      </c>
      <c r="H232" s="4">
        <v>35</v>
      </c>
      <c r="I232" s="4" t="s">
        <v>25</v>
      </c>
      <c r="J232" s="5" t="s">
        <v>1814</v>
      </c>
      <c r="K232" s="5" t="s">
        <v>1482</v>
      </c>
      <c r="L232" s="4" t="s">
        <v>39</v>
      </c>
      <c r="M232" s="4" t="s">
        <v>29</v>
      </c>
      <c r="N232" s="4" t="s">
        <v>1483</v>
      </c>
      <c r="O232" s="4" t="s">
        <v>29</v>
      </c>
      <c r="P232" s="4" t="s">
        <v>1484</v>
      </c>
      <c r="Q232" s="6"/>
      <c r="R232" s="6"/>
      <c r="S232" s="6"/>
      <c r="T232" s="6"/>
      <c r="U232" s="6"/>
      <c r="V232" s="6"/>
      <c r="W232" s="6"/>
      <c r="X232" s="6"/>
      <c r="Y232" s="6"/>
    </row>
    <row r="233" ht="14.25">
      <c r="B233" s="4" t="s">
        <v>1815</v>
      </c>
      <c r="C233" s="4" t="s">
        <v>1816</v>
      </c>
      <c r="D233" s="4" t="s">
        <v>265</v>
      </c>
      <c r="E233" s="4" t="s">
        <v>1714</v>
      </c>
      <c r="F233" s="4" t="str">
        <f>IFERROR(__XLUDF.DUMMYFUNCTION("PROPER(REGEXREPLACE(D218,""[^A-Za-z]+ "",""""))"),"Brasseries A La Mode")</f>
        <v xml:space="preserve">Brasseries A La Mode</v>
      </c>
      <c r="G233" s="4" t="s">
        <v>1817</v>
      </c>
      <c r="H233" s="4">
        <v>25</v>
      </c>
      <c r="I233" s="4" t="s">
        <v>36</v>
      </c>
      <c r="J233" s="5" t="s">
        <v>1818</v>
      </c>
      <c r="K233" s="5" t="s">
        <v>1717</v>
      </c>
      <c r="L233" s="4" t="s">
        <v>39</v>
      </c>
      <c r="M233" s="4" t="s">
        <v>29</v>
      </c>
      <c r="N233" s="4" t="s">
        <v>67</v>
      </c>
      <c r="O233" s="4" t="s">
        <v>29</v>
      </c>
      <c r="P233" s="6"/>
      <c r="Q233" s="6"/>
      <c r="R233" s="6"/>
      <c r="S233" s="6"/>
      <c r="T233" s="6"/>
      <c r="U233" s="6"/>
      <c r="V233" s="6"/>
      <c r="W233" s="6"/>
      <c r="X233" s="6"/>
      <c r="Y233" s="6"/>
    </row>
    <row r="234" ht="14.25">
      <c r="B234" s="4" t="s">
        <v>1819</v>
      </c>
      <c r="C234" s="4" t="s">
        <v>1820</v>
      </c>
      <c r="D234" s="4" t="s">
        <v>1821</v>
      </c>
      <c r="E234" s="4" t="s">
        <v>1822</v>
      </c>
      <c r="F234" s="4" t="str">
        <f>IFERROR(__XLUDF.DUMMYFUNCTION("PROPER(REGEXREPLACE(D219,""[^A-Za-z]+ "",""""))"),"Barat Corporate")</f>
        <v xml:space="preserve">Barat Corporate</v>
      </c>
      <c r="G234" s="4" t="s">
        <v>1823</v>
      </c>
      <c r="H234" s="4">
        <v>5</v>
      </c>
      <c r="I234" s="4" t="s">
        <v>90</v>
      </c>
      <c r="J234" s="5" t="s">
        <v>1824</v>
      </c>
      <c r="K234" s="5" t="s">
        <v>1825</v>
      </c>
      <c r="L234" s="4" t="s">
        <v>1826</v>
      </c>
      <c r="M234" s="4" t="s">
        <v>29</v>
      </c>
      <c r="N234" s="4" t="s">
        <v>1827</v>
      </c>
      <c r="O234" s="4" t="s">
        <v>1828</v>
      </c>
      <c r="P234" s="6"/>
      <c r="Q234" s="6"/>
      <c r="R234" s="6"/>
      <c r="S234" s="6"/>
      <c r="T234" s="6"/>
      <c r="U234" s="6"/>
      <c r="V234" s="6"/>
      <c r="W234" s="6"/>
      <c r="X234" s="6"/>
      <c r="Y234" s="6"/>
    </row>
    <row r="235" ht="14.25">
      <c r="B235" s="4" t="s">
        <v>1215</v>
      </c>
      <c r="C235" s="4" t="s">
        <v>1829</v>
      </c>
      <c r="D235" s="4" t="s">
        <v>265</v>
      </c>
      <c r="E235" s="4" t="s">
        <v>357</v>
      </c>
      <c r="F235" s="4" t="str">
        <f>IFERROR(__XLUDF.DUMMYFUNCTION("PROPER(REGEXREPLACE(D220,""[^A-Za-z]+ "",""""))"),"Renaissance Paris Vendôme Hotel")</f>
        <v xml:space="preserve">Renaissance Paris Vendôme Hotel</v>
      </c>
      <c r="G235" s="4" t="s">
        <v>1830</v>
      </c>
      <c r="H235" s="4">
        <v>8</v>
      </c>
      <c r="I235" s="4" t="s">
        <v>36</v>
      </c>
      <c r="J235" s="5" t="s">
        <v>1831</v>
      </c>
      <c r="K235" s="5" t="s">
        <v>360</v>
      </c>
      <c r="L235" s="4" t="s">
        <v>846</v>
      </c>
      <c r="M235" s="4" t="s">
        <v>29</v>
      </c>
      <c r="N235" s="4" t="s">
        <v>361</v>
      </c>
      <c r="O235" s="4" t="s">
        <v>29</v>
      </c>
      <c r="P235" s="4" t="s">
        <v>362</v>
      </c>
      <c r="Q235" s="6"/>
      <c r="R235" s="6"/>
      <c r="S235" s="6"/>
      <c r="T235" s="6"/>
      <c r="U235" s="6"/>
      <c r="V235" s="6"/>
      <c r="W235" s="6"/>
      <c r="X235" s="6"/>
      <c r="Y235" s="6"/>
    </row>
    <row r="236" ht="14.25">
      <c r="B236" s="4" t="s">
        <v>1832</v>
      </c>
      <c r="C236" s="4" t="s">
        <v>1833</v>
      </c>
      <c r="D236" s="4" t="s">
        <v>87</v>
      </c>
      <c r="E236" s="4" t="s">
        <v>1834</v>
      </c>
      <c r="F236" s="4" t="str">
        <f>IFERROR(__XLUDF.DUMMYFUNCTION("PROPER(REGEXREPLACE(D221,""[^A-Za-z]+ "",""""))"),"Hpva Hotels")</f>
        <v xml:space="preserve">Hpva Hotels</v>
      </c>
      <c r="G236" s="4" t="s">
        <v>1835</v>
      </c>
      <c r="H236" s="4">
        <v>5</v>
      </c>
      <c r="I236" s="4" t="s">
        <v>25</v>
      </c>
      <c r="J236" s="5" t="s">
        <v>1836</v>
      </c>
      <c r="K236" s="5" t="s">
        <v>1837</v>
      </c>
      <c r="L236" s="4" t="s">
        <v>185</v>
      </c>
      <c r="M236" s="4" t="s">
        <v>29</v>
      </c>
      <c r="N236" s="4" t="s">
        <v>1838</v>
      </c>
      <c r="O236" s="4" t="s">
        <v>1839</v>
      </c>
      <c r="P236" s="6"/>
      <c r="Q236" s="6"/>
      <c r="R236" s="6"/>
      <c r="S236" s="6"/>
      <c r="T236" s="6"/>
      <c r="U236" s="6"/>
      <c r="V236" s="6"/>
      <c r="W236" s="6"/>
      <c r="X236" s="6"/>
      <c r="Y236" s="6"/>
    </row>
    <row r="237" ht="14.25">
      <c r="B237" s="4" t="s">
        <v>670</v>
      </c>
      <c r="C237" s="4" t="s">
        <v>1840</v>
      </c>
      <c r="D237" s="4" t="s">
        <v>1841</v>
      </c>
      <c r="E237" s="4" t="s">
        <v>129</v>
      </c>
      <c r="F237" s="4" t="str">
        <f>IFERROR(__XLUDF.DUMMYFUNCTION("PROPER(REGEXREPLACE(D222,""[^A-Za-z]+ "",""""))"),"Hôtel Vertigo")</f>
        <v xml:space="preserve">Hôtel Vertigo</v>
      </c>
      <c r="G237" s="4" t="s">
        <v>1842</v>
      </c>
      <c r="H237" s="4">
        <v>12</v>
      </c>
      <c r="I237" s="4" t="s">
        <v>36</v>
      </c>
      <c r="J237" s="5" t="s">
        <v>1843</v>
      </c>
      <c r="K237" s="5" t="s">
        <v>132</v>
      </c>
      <c r="L237" s="4" t="s">
        <v>39</v>
      </c>
      <c r="M237" s="4" t="s">
        <v>29</v>
      </c>
      <c r="N237" s="4" t="s">
        <v>133</v>
      </c>
      <c r="O237" s="4" t="s">
        <v>29</v>
      </c>
      <c r="P237" s="6"/>
      <c r="Q237" s="6"/>
      <c r="R237" s="6"/>
      <c r="S237" s="6"/>
      <c r="T237" s="6"/>
      <c r="U237" s="6"/>
      <c r="V237" s="6"/>
      <c r="W237" s="6"/>
      <c r="X237" s="6"/>
      <c r="Y237" s="6"/>
    </row>
    <row r="238" ht="14.25">
      <c r="B238" s="4" t="s">
        <v>1844</v>
      </c>
      <c r="C238" s="4" t="s">
        <v>1845</v>
      </c>
      <c r="D238" s="4" t="s">
        <v>1846</v>
      </c>
      <c r="E238" s="4" t="s">
        <v>1847</v>
      </c>
      <c r="F238" s="4" t="str">
        <f>IFERROR(__XLUDF.DUMMYFUNCTION("PROPER(REGEXREPLACE(D223,""[^A-Za-z]+ "",""""))"),"Edgar Suites")</f>
        <v xml:space="preserve">Edgar Suites</v>
      </c>
      <c r="G238" s="4" t="s">
        <v>1848</v>
      </c>
      <c r="H238" s="4">
        <v>7</v>
      </c>
      <c r="I238" s="4" t="s">
        <v>36</v>
      </c>
      <c r="J238" s="5" t="s">
        <v>1849</v>
      </c>
      <c r="K238" s="5" t="s">
        <v>1850</v>
      </c>
      <c r="L238" s="4" t="s">
        <v>185</v>
      </c>
      <c r="M238" s="4" t="s">
        <v>29</v>
      </c>
      <c r="N238" s="4" t="s">
        <v>1851</v>
      </c>
      <c r="O238" s="4" t="s">
        <v>29</v>
      </c>
      <c r="P238" s="4" t="s">
        <v>1852</v>
      </c>
      <c r="Q238" s="6"/>
      <c r="R238" s="6"/>
      <c r="S238" s="6"/>
      <c r="T238" s="6"/>
      <c r="U238" s="6"/>
      <c r="V238" s="6"/>
      <c r="W238" s="6"/>
      <c r="X238" s="6"/>
      <c r="Y238" s="6"/>
    </row>
    <row r="239" ht="14.25">
      <c r="B239" s="4" t="s">
        <v>1853</v>
      </c>
      <c r="C239" s="4" t="s">
        <v>1854</v>
      </c>
      <c r="D239" s="4" t="s">
        <v>1130</v>
      </c>
      <c r="E239" s="4" t="s">
        <v>1855</v>
      </c>
      <c r="F239" s="4" t="str">
        <f>IFERROR(__XLUDF.DUMMYFUNCTION("PROPER(REGEXREPLACE(D224,""[^A-Za-z]+ "",""""))"),"Château De Pondres")</f>
        <v xml:space="preserve">Château De Pondres</v>
      </c>
      <c r="G239" s="4" t="s">
        <v>1856</v>
      </c>
      <c r="H239" s="4">
        <v>14</v>
      </c>
      <c r="I239" s="4" t="s">
        <v>25</v>
      </c>
      <c r="J239" s="5" t="s">
        <v>1857</v>
      </c>
      <c r="K239" s="5" t="s">
        <v>1858</v>
      </c>
      <c r="L239" s="4" t="s">
        <v>482</v>
      </c>
      <c r="M239" s="4" t="s">
        <v>29</v>
      </c>
      <c r="N239" s="4" t="s">
        <v>1859</v>
      </c>
      <c r="O239" s="4" t="s">
        <v>29</v>
      </c>
      <c r="P239" s="4" t="s">
        <v>1860</v>
      </c>
      <c r="Q239" s="6"/>
      <c r="R239" s="6"/>
      <c r="S239" s="6"/>
      <c r="T239" s="6"/>
      <c r="U239" s="6"/>
      <c r="V239" s="6"/>
      <c r="W239" s="6"/>
      <c r="X239" s="6"/>
      <c r="Y239" s="6"/>
    </row>
    <row r="240" ht="14.25">
      <c r="B240" s="4" t="s">
        <v>1861</v>
      </c>
      <c r="C240" s="4" t="s">
        <v>1862</v>
      </c>
      <c r="D240" s="4" t="s">
        <v>1863</v>
      </c>
      <c r="E240" s="4" t="s">
        <v>664</v>
      </c>
      <c r="F240" s="4" t="str">
        <f>IFERROR(__XLUDF.DUMMYFUNCTION("PROPER(REGEXREPLACE(D225,""[^A-Za-z]+ "",""""))"),"Nina Sushi")</f>
        <v xml:space="preserve">Nina Sushi</v>
      </c>
      <c r="G240" s="4" t="s">
        <v>1864</v>
      </c>
      <c r="H240" s="4">
        <v>47</v>
      </c>
      <c r="I240" s="4" t="s">
        <v>25</v>
      </c>
      <c r="J240" s="5" t="s">
        <v>1865</v>
      </c>
      <c r="K240" s="5" t="s">
        <v>667</v>
      </c>
      <c r="L240" s="4" t="s">
        <v>39</v>
      </c>
      <c r="M240" s="4" t="s">
        <v>29</v>
      </c>
      <c r="N240" s="4" t="s">
        <v>668</v>
      </c>
      <c r="O240" s="4" t="s">
        <v>29</v>
      </c>
      <c r="P240" s="4" t="s">
        <v>669</v>
      </c>
      <c r="Q240" s="6"/>
      <c r="R240" s="6"/>
      <c r="S240" s="6"/>
      <c r="T240" s="6"/>
      <c r="U240" s="6"/>
      <c r="V240" s="6"/>
      <c r="W240" s="6"/>
      <c r="X240" s="6"/>
      <c r="Y240" s="6"/>
    </row>
    <row r="241" ht="14.25">
      <c r="B241" s="4" t="s">
        <v>222</v>
      </c>
      <c r="C241" s="4" t="s">
        <v>1866</v>
      </c>
      <c r="D241" s="4" t="s">
        <v>1867</v>
      </c>
      <c r="E241" s="4" t="s">
        <v>1868</v>
      </c>
      <c r="F241" s="4" t="str">
        <f>IFERROR(__XLUDF.DUMMYFUNCTION("PROPER(REGEXREPLACE(D226,""[^A-Za-z]+ "",""""))"),"Quai Liberté")</f>
        <v xml:space="preserve">Quai Liberté</v>
      </c>
      <c r="G241" s="4" t="s">
        <v>1869</v>
      </c>
      <c r="H241" s="4">
        <v>35</v>
      </c>
      <c r="I241" s="4" t="s">
        <v>36</v>
      </c>
      <c r="J241" s="5" t="s">
        <v>1870</v>
      </c>
      <c r="K241" s="5" t="s">
        <v>1871</v>
      </c>
      <c r="L241" s="4" t="s">
        <v>39</v>
      </c>
      <c r="M241" s="4" t="s">
        <v>29</v>
      </c>
      <c r="N241" s="6"/>
      <c r="O241" s="6"/>
      <c r="P241" s="4" t="s">
        <v>1872</v>
      </c>
      <c r="Q241" s="6"/>
      <c r="R241" s="6"/>
      <c r="S241" s="6"/>
      <c r="T241" s="6"/>
      <c r="U241" s="6"/>
      <c r="V241" s="6"/>
      <c r="W241" s="6"/>
      <c r="X241" s="6"/>
      <c r="Y241" s="6"/>
    </row>
    <row r="242" ht="14.25">
      <c r="B242" s="4" t="s">
        <v>1114</v>
      </c>
      <c r="C242" s="4" t="s">
        <v>1873</v>
      </c>
      <c r="D242" s="4" t="s">
        <v>120</v>
      </c>
      <c r="E242" s="4" t="s">
        <v>1874</v>
      </c>
      <c r="F242" s="4" t="str">
        <f>IFERROR(__XLUDF.DUMMYFUNCTION("PROPER(REGEXREPLACE(D227,""[^A-Za-z]+ "",""""))"),"Groupe Sphb")</f>
        <v xml:space="preserve">Groupe Sphb</v>
      </c>
      <c r="G242" s="4" t="s">
        <v>1875</v>
      </c>
      <c r="H242" s="4">
        <v>9</v>
      </c>
      <c r="I242" s="4" t="s">
        <v>36</v>
      </c>
      <c r="J242" s="5" t="s">
        <v>1876</v>
      </c>
      <c r="K242" s="5" t="s">
        <v>1877</v>
      </c>
      <c r="L242" s="4" t="s">
        <v>1878</v>
      </c>
      <c r="M242" s="4" t="s">
        <v>29</v>
      </c>
      <c r="N242" s="4" t="s">
        <v>1879</v>
      </c>
      <c r="O242" s="4" t="s">
        <v>29</v>
      </c>
      <c r="P242" s="4" t="s">
        <v>1880</v>
      </c>
      <c r="Q242" s="6"/>
      <c r="R242" s="6"/>
      <c r="S242" s="6"/>
      <c r="T242" s="6"/>
      <c r="U242" s="6"/>
      <c r="V242" s="6"/>
      <c r="W242" s="6"/>
      <c r="X242" s="6"/>
      <c r="Y242" s="6"/>
    </row>
    <row r="243" ht="14.25">
      <c r="B243" s="4" t="s">
        <v>110</v>
      </c>
      <c r="C243" s="4" t="s">
        <v>1881</v>
      </c>
      <c r="D243" s="4" t="s">
        <v>120</v>
      </c>
      <c r="E243" s="4" t="s">
        <v>1882</v>
      </c>
      <c r="F243" s="4" t="str">
        <f>IFERROR(__XLUDF.DUMMYFUNCTION("PROPER(REGEXREPLACE(D228,""[^A-Za-z]+ "",""""))"),"Rosaparks")</f>
        <v>Rosaparks</v>
      </c>
      <c r="G243" s="4" t="s">
        <v>1883</v>
      </c>
      <c r="H243" s="4">
        <v>14</v>
      </c>
      <c r="I243" s="4" t="s">
        <v>36</v>
      </c>
      <c r="J243" s="5" t="s">
        <v>1884</v>
      </c>
      <c r="K243" s="5" t="s">
        <v>1885</v>
      </c>
      <c r="L243" s="4" t="s">
        <v>185</v>
      </c>
      <c r="M243" s="4" t="s">
        <v>29</v>
      </c>
      <c r="N243" s="4" t="s">
        <v>1886</v>
      </c>
      <c r="O243" s="4" t="s">
        <v>29</v>
      </c>
      <c r="P243" s="4" t="s">
        <v>1887</v>
      </c>
      <c r="Q243" s="6"/>
      <c r="R243" s="6"/>
      <c r="S243" s="6"/>
      <c r="T243" s="6"/>
      <c r="U243" s="6"/>
      <c r="V243" s="6"/>
      <c r="W243" s="6"/>
      <c r="X243" s="6"/>
      <c r="Y243" s="6"/>
    </row>
    <row r="244" ht="14.25">
      <c r="B244" s="4" t="s">
        <v>971</v>
      </c>
      <c r="C244" s="4" t="s">
        <v>1888</v>
      </c>
      <c r="D244" s="4" t="s">
        <v>172</v>
      </c>
      <c r="E244" s="4" t="s">
        <v>1889</v>
      </c>
      <c r="F244" s="4" t="str">
        <f>IFERROR(__XLUDF.DUMMYFUNCTION("PROPER(REGEXREPLACE(D229,""[^A-Za-z]+ "",""""))"),"Collection Maisons Particulières")</f>
        <v xml:space="preserve">Collection Maisons Particulières</v>
      </c>
      <c r="G244" s="4" t="s">
        <v>1890</v>
      </c>
      <c r="H244" s="4">
        <v>20</v>
      </c>
      <c r="I244" s="4" t="s">
        <v>25</v>
      </c>
      <c r="J244" s="5" t="s">
        <v>1891</v>
      </c>
      <c r="K244" s="5" t="s">
        <v>1892</v>
      </c>
      <c r="L244" s="4" t="s">
        <v>39</v>
      </c>
      <c r="M244" s="4" t="s">
        <v>29</v>
      </c>
      <c r="N244" s="4" t="s">
        <v>1893</v>
      </c>
      <c r="O244" s="4" t="s">
        <v>29</v>
      </c>
      <c r="P244" s="4" t="s">
        <v>1894</v>
      </c>
      <c r="Q244" s="6"/>
      <c r="R244" s="6"/>
      <c r="S244" s="6"/>
      <c r="T244" s="6"/>
      <c r="U244" s="6"/>
      <c r="V244" s="6"/>
      <c r="W244" s="6"/>
      <c r="X244" s="6"/>
      <c r="Y244" s="6"/>
    </row>
    <row r="245" ht="14.25">
      <c r="B245" s="4" t="s">
        <v>1895</v>
      </c>
      <c r="C245" s="4" t="s">
        <v>1896</v>
      </c>
      <c r="D245" s="4" t="s">
        <v>1897</v>
      </c>
      <c r="E245" s="4" t="s">
        <v>98</v>
      </c>
      <c r="F245" s="4" t="str">
        <f>IFERROR(__XLUDF.DUMMYFUNCTION("PROPER(REGEXREPLACE(D230,""[^A-Za-z]+ "",""""))"),"Simone")</f>
        <v>Simone</v>
      </c>
      <c r="G245" s="4" t="s">
        <v>1898</v>
      </c>
      <c r="H245" s="4">
        <v>6</v>
      </c>
      <c r="I245" s="4" t="s">
        <v>25</v>
      </c>
      <c r="J245" s="5" t="s">
        <v>1899</v>
      </c>
      <c r="K245" s="5" t="s">
        <v>101</v>
      </c>
      <c r="L245" s="4" t="s">
        <v>39</v>
      </c>
      <c r="M245" s="4" t="s">
        <v>29</v>
      </c>
      <c r="N245" s="4" t="s">
        <v>29</v>
      </c>
      <c r="O245" s="4" t="s">
        <v>29</v>
      </c>
      <c r="P245" s="6"/>
      <c r="Q245" s="6"/>
      <c r="R245" s="6"/>
      <c r="S245" s="6"/>
      <c r="T245" s="6"/>
      <c r="U245" s="6"/>
      <c r="V245" s="6"/>
      <c r="W245" s="6"/>
      <c r="X245" s="6"/>
      <c r="Y245" s="6"/>
    </row>
    <row r="246" ht="14.25">
      <c r="B246" s="4" t="s">
        <v>1900</v>
      </c>
      <c r="C246" s="4" t="s">
        <v>1901</v>
      </c>
      <c r="D246" s="4" t="s">
        <v>164</v>
      </c>
      <c r="E246" s="4" t="s">
        <v>1902</v>
      </c>
      <c r="F246" s="4" t="str">
        <f>IFERROR(__XLUDF.DUMMYFUNCTION("PROPER(REGEXREPLACE(D231,""[^A-Za-z]+ "",""""))"),"Un Goût De Nature")</f>
        <v xml:space="preserve">Un Goût De Nature</v>
      </c>
      <c r="G246" s="4" t="s">
        <v>1903</v>
      </c>
      <c r="H246" s="4">
        <v>36</v>
      </c>
      <c r="I246" s="4" t="s">
        <v>25</v>
      </c>
      <c r="J246" s="5" t="s">
        <v>1904</v>
      </c>
      <c r="K246" s="5" t="s">
        <v>1905</v>
      </c>
      <c r="L246" s="4" t="s">
        <v>39</v>
      </c>
      <c r="M246" s="4" t="s">
        <v>29</v>
      </c>
      <c r="N246" s="4" t="s">
        <v>1906</v>
      </c>
      <c r="O246" s="4" t="s">
        <v>29</v>
      </c>
      <c r="P246" s="4" t="s">
        <v>1907</v>
      </c>
      <c r="Q246" s="6"/>
      <c r="R246" s="6"/>
      <c r="S246" s="6"/>
      <c r="T246" s="6"/>
      <c r="U246" s="6"/>
      <c r="V246" s="6"/>
      <c r="W246" s="6"/>
      <c r="X246" s="6"/>
      <c r="Y246" s="6"/>
    </row>
    <row r="247" ht="14.25">
      <c r="B247" s="4" t="s">
        <v>1908</v>
      </c>
      <c r="C247" s="4" t="s">
        <v>1909</v>
      </c>
      <c r="D247" s="4" t="s">
        <v>1910</v>
      </c>
      <c r="E247" s="4" t="s">
        <v>1911</v>
      </c>
      <c r="F247" s="4" t="str">
        <f>IFERROR(__XLUDF.DUMMYFUNCTION("PROPER(REGEXREPLACE(D232,""[^A-Za-z]+ "",""""))"),"Experience")</f>
        <v>Experience</v>
      </c>
      <c r="G247" s="4" t="s">
        <v>1912</v>
      </c>
      <c r="H247" s="4">
        <v>4</v>
      </c>
      <c r="I247" s="4" t="s">
        <v>36</v>
      </c>
      <c r="J247" s="5" t="s">
        <v>1913</v>
      </c>
      <c r="K247" s="5" t="s">
        <v>1914</v>
      </c>
      <c r="L247" s="6"/>
      <c r="M247" s="4" t="s">
        <v>29</v>
      </c>
      <c r="N247" s="4" t="s">
        <v>1915</v>
      </c>
      <c r="O247" s="4" t="s">
        <v>29</v>
      </c>
      <c r="P247" s="4" t="s">
        <v>1916</v>
      </c>
      <c r="Q247" s="6"/>
      <c r="R247" s="6"/>
      <c r="S247" s="6"/>
      <c r="T247" s="6"/>
      <c r="U247" s="6"/>
      <c r="V247" s="6"/>
      <c r="W247" s="6"/>
      <c r="X247" s="6"/>
      <c r="Y247" s="6"/>
    </row>
    <row r="248" ht="14.25">
      <c r="B248" s="4" t="s">
        <v>1605</v>
      </c>
      <c r="C248" s="4" t="s">
        <v>1917</v>
      </c>
      <c r="D248" s="4" t="s">
        <v>688</v>
      </c>
      <c r="E248" s="4" t="s">
        <v>1918</v>
      </c>
      <c r="F248" s="4" t="str">
        <f>IFERROR(__XLUDF.DUMMYFUNCTION("PROPER(REGEXREPLACE(D233,""[^A-Za-z]+ "",""""))"),"Brasseries A La Mode")</f>
        <v xml:space="preserve">Brasseries A La Mode</v>
      </c>
      <c r="G248" s="4" t="s">
        <v>1919</v>
      </c>
      <c r="H248" s="4">
        <v>5</v>
      </c>
      <c r="I248" s="4" t="s">
        <v>25</v>
      </c>
      <c r="J248" s="5" t="s">
        <v>1920</v>
      </c>
      <c r="K248" s="5" t="s">
        <v>1921</v>
      </c>
      <c r="L248" s="4" t="s">
        <v>39</v>
      </c>
      <c r="M248" s="4" t="s">
        <v>29</v>
      </c>
      <c r="N248" s="4" t="s">
        <v>1922</v>
      </c>
      <c r="O248" s="4" t="s">
        <v>1261</v>
      </c>
      <c r="P248" s="4" t="s">
        <v>1923</v>
      </c>
      <c r="Q248" s="6"/>
      <c r="R248" s="6"/>
      <c r="S248" s="6"/>
      <c r="T248" s="6"/>
      <c r="U248" s="6"/>
      <c r="V248" s="6"/>
      <c r="W248" s="6"/>
      <c r="X248" s="6"/>
      <c r="Y248" s="6"/>
    </row>
    <row r="249" ht="14.25">
      <c r="B249" s="4" t="s">
        <v>817</v>
      </c>
      <c r="C249" s="4" t="s">
        <v>1924</v>
      </c>
      <c r="D249" s="4" t="s">
        <v>1925</v>
      </c>
      <c r="E249" s="4" t="s">
        <v>1926</v>
      </c>
      <c r="F249" s="4" t="str">
        <f>IFERROR(__XLUDF.DUMMYFUNCTION("PROPER(REGEXREPLACE(D234,""[^A-Za-z]+ "",""""))"),"Selfroadiez Travel Solutions Pvt.Ltd")</f>
        <v xml:space="preserve">Selfroadiez Travel Solutions Pvt.Ltd</v>
      </c>
      <c r="G249" s="4" t="s">
        <v>1927</v>
      </c>
      <c r="H249" s="4">
        <v>0</v>
      </c>
      <c r="I249" s="4" t="s">
        <v>36</v>
      </c>
      <c r="J249" s="5" t="s">
        <v>1928</v>
      </c>
      <c r="K249" s="5" t="s">
        <v>1929</v>
      </c>
      <c r="L249" s="4" t="s">
        <v>1930</v>
      </c>
      <c r="M249" s="4" t="s">
        <v>29</v>
      </c>
      <c r="N249" s="4" t="s">
        <v>1931</v>
      </c>
      <c r="O249" s="4" t="s">
        <v>29</v>
      </c>
      <c r="P249" s="4" t="s">
        <v>1932</v>
      </c>
      <c r="Q249" s="6"/>
      <c r="R249" s="6"/>
      <c r="S249" s="6"/>
      <c r="T249" s="6"/>
      <c r="U249" s="6"/>
      <c r="V249" s="6"/>
      <c r="W249" s="6"/>
      <c r="X249" s="6"/>
      <c r="Y249" s="6"/>
    </row>
    <row r="250" ht="14.25">
      <c r="B250" s="4" t="s">
        <v>1732</v>
      </c>
      <c r="C250" s="4" t="s">
        <v>119</v>
      </c>
      <c r="D250" s="4" t="s">
        <v>172</v>
      </c>
      <c r="E250" s="4" t="s">
        <v>1933</v>
      </c>
      <c r="F250" s="4" t="str">
        <f>IFERROR(__XLUDF.DUMMYFUNCTION("PROPER(REGEXREPLACE(D235,""[^A-Za-z]+ "",""""))"),"La Friche Marcq")</f>
        <v xml:space="preserve">La Friche Marcq</v>
      </c>
      <c r="G250" s="4" t="s">
        <v>1934</v>
      </c>
      <c r="H250" s="4">
        <v>15</v>
      </c>
      <c r="I250" s="4" t="s">
        <v>36</v>
      </c>
      <c r="J250" s="5" t="s">
        <v>1935</v>
      </c>
      <c r="K250" s="5" t="s">
        <v>1936</v>
      </c>
      <c r="L250" s="4" t="s">
        <v>39</v>
      </c>
      <c r="M250" s="4" t="s">
        <v>29</v>
      </c>
      <c r="N250" s="4" t="s">
        <v>1937</v>
      </c>
      <c r="O250" s="4" t="s">
        <v>1938</v>
      </c>
      <c r="P250" s="4" t="s">
        <v>1939</v>
      </c>
      <c r="Q250" s="6"/>
      <c r="R250" s="6"/>
      <c r="S250" s="6"/>
      <c r="T250" s="6"/>
      <c r="U250" s="6"/>
      <c r="V250" s="6"/>
      <c r="W250" s="6"/>
      <c r="X250" s="6"/>
      <c r="Y250" s="6"/>
    </row>
    <row r="251" ht="14.25">
      <c r="B251" s="4" t="s">
        <v>20</v>
      </c>
      <c r="C251" s="4" t="s">
        <v>1940</v>
      </c>
      <c r="D251" s="4" t="s">
        <v>1941</v>
      </c>
      <c r="E251" s="4" t="s">
        <v>1942</v>
      </c>
      <c r="F251" s="4" t="str">
        <f>IFERROR(__XLUDF.DUMMYFUNCTION("PROPER(REGEXREPLACE(D236,""[^A-Za-z]+ "",""""))"),"Elatos Resorthealth Club")</f>
        <v xml:space="preserve">Elatos Resorthealth Club</v>
      </c>
      <c r="G251" s="4" t="s">
        <v>1943</v>
      </c>
      <c r="H251" s="4">
        <v>31</v>
      </c>
      <c r="I251" s="4" t="s">
        <v>25</v>
      </c>
      <c r="J251" s="5" t="s">
        <v>1944</v>
      </c>
      <c r="K251" s="5" t="s">
        <v>1945</v>
      </c>
      <c r="L251" s="4" t="s">
        <v>651</v>
      </c>
      <c r="M251" s="4" t="s">
        <v>29</v>
      </c>
      <c r="N251" s="4" t="s">
        <v>1946</v>
      </c>
      <c r="O251" s="4" t="s">
        <v>29</v>
      </c>
      <c r="P251" s="4" t="s">
        <v>1947</v>
      </c>
      <c r="Q251" s="6"/>
      <c r="R251" s="6"/>
      <c r="S251" s="6"/>
      <c r="T251" s="6"/>
      <c r="U251" s="6"/>
      <c r="V251" s="6"/>
      <c r="W251" s="6"/>
      <c r="X251" s="6"/>
      <c r="Y251" s="6"/>
    </row>
    <row r="252" ht="14.25">
      <c r="B252" s="4" t="s">
        <v>1948</v>
      </c>
      <c r="C252" s="4" t="s">
        <v>1949</v>
      </c>
      <c r="D252" s="4" t="s">
        <v>1950</v>
      </c>
      <c r="E252" s="4" t="s">
        <v>1951</v>
      </c>
      <c r="F252" s="4" t="str">
        <f>IFERROR(__XLUDF.DUMMYFUNCTION("PROPER(REGEXREPLACE(D237,""[^A-Za-z]+ "",""""))"),"Tartelettes")</f>
        <v>Tartelettes</v>
      </c>
      <c r="G252" s="4" t="s">
        <v>1952</v>
      </c>
      <c r="H252" s="4">
        <v>38</v>
      </c>
      <c r="I252" s="4" t="s">
        <v>25</v>
      </c>
      <c r="J252" s="5" t="s">
        <v>1953</v>
      </c>
      <c r="K252" s="5" t="s">
        <v>1954</v>
      </c>
      <c r="L252" s="4" t="s">
        <v>39</v>
      </c>
      <c r="M252" s="4" t="s">
        <v>29</v>
      </c>
      <c r="N252" s="4" t="s">
        <v>1955</v>
      </c>
      <c r="O252" s="4" t="s">
        <v>29</v>
      </c>
      <c r="P252" s="6"/>
      <c r="Q252" s="6"/>
      <c r="R252" s="6"/>
      <c r="S252" s="6"/>
      <c r="T252" s="6"/>
      <c r="U252" s="6"/>
      <c r="V252" s="6"/>
      <c r="W252" s="6"/>
      <c r="X252" s="6"/>
      <c r="Y252" s="6"/>
    </row>
    <row r="253" ht="14.25">
      <c r="B253" s="4" t="s">
        <v>986</v>
      </c>
      <c r="C253" s="4" t="s">
        <v>1956</v>
      </c>
      <c r="D253" s="4" t="s">
        <v>1957</v>
      </c>
      <c r="E253" s="4" t="s">
        <v>1958</v>
      </c>
      <c r="F253" s="4" t="str">
        <f>IFERROR(__XLUDF.DUMMYFUNCTION("PROPER(REGEXREPLACE(D238,""[^A-Za-z]+ "",""""))"),"Ôbobun")</f>
        <v>Ôbobun</v>
      </c>
      <c r="G253" s="4" t="s">
        <v>1959</v>
      </c>
      <c r="H253" s="4">
        <v>48</v>
      </c>
      <c r="I253" s="4" t="s">
        <v>25</v>
      </c>
      <c r="J253" s="5" t="s">
        <v>1960</v>
      </c>
      <c r="K253" s="5" t="s">
        <v>1961</v>
      </c>
      <c r="L253" s="4" t="s">
        <v>1962</v>
      </c>
      <c r="M253" s="4" t="s">
        <v>29</v>
      </c>
      <c r="N253" s="4" t="s">
        <v>1963</v>
      </c>
      <c r="O253" s="4" t="s">
        <v>29</v>
      </c>
      <c r="P253" s="4" t="s">
        <v>1964</v>
      </c>
      <c r="Q253" s="6"/>
      <c r="R253" s="6"/>
      <c r="S253" s="6"/>
      <c r="T253" s="6"/>
      <c r="U253" s="6"/>
      <c r="V253" s="6"/>
      <c r="W253" s="6"/>
      <c r="X253" s="6"/>
      <c r="Y253" s="6"/>
    </row>
    <row r="254" ht="14.25">
      <c r="B254" s="4" t="s">
        <v>1965</v>
      </c>
      <c r="C254" s="4" t="s">
        <v>1966</v>
      </c>
      <c r="D254" s="4" t="s">
        <v>1072</v>
      </c>
      <c r="E254" s="4" t="s">
        <v>1967</v>
      </c>
      <c r="F254" s="4" t="str">
        <f>IFERROR(__XLUDF.DUMMYFUNCTION("PROPER(REGEXREPLACE(D239,""[^A-Za-z]+ "",""""))"),"California Resort")</f>
        <v xml:space="preserve">California Resort</v>
      </c>
      <c r="G254" s="4" t="s">
        <v>1968</v>
      </c>
      <c r="H254" s="4">
        <v>52</v>
      </c>
      <c r="I254" s="4" t="s">
        <v>36</v>
      </c>
      <c r="J254" s="5" t="s">
        <v>1969</v>
      </c>
      <c r="K254" s="5" t="s">
        <v>1970</v>
      </c>
      <c r="L254" s="4" t="s">
        <v>39</v>
      </c>
      <c r="M254" s="4" t="s">
        <v>29</v>
      </c>
      <c r="N254" s="4" t="s">
        <v>1971</v>
      </c>
      <c r="O254" s="4" t="s">
        <v>29</v>
      </c>
      <c r="P254" s="4" t="s">
        <v>1972</v>
      </c>
      <c r="Q254" s="6"/>
      <c r="R254" s="6"/>
      <c r="S254" s="6"/>
      <c r="T254" s="6"/>
      <c r="U254" s="6"/>
      <c r="V254" s="6"/>
      <c r="W254" s="6"/>
      <c r="X254" s="6"/>
      <c r="Y254" s="6"/>
    </row>
    <row r="255" ht="14.25">
      <c r="B255" s="4" t="s">
        <v>20</v>
      </c>
      <c r="C255" s="4" t="s">
        <v>1973</v>
      </c>
      <c r="D255" s="4" t="s">
        <v>1974</v>
      </c>
      <c r="E255" s="4" t="s">
        <v>1975</v>
      </c>
      <c r="F255" s="4" t="str">
        <f>IFERROR(__XLUDF.DUMMYFUNCTION("PROPER(REGEXREPLACE(D240,""[^A-Za-z]+ "",""""))"),"Atypio Hotels Resorts")</f>
        <v xml:space="preserve">Atypio Hotels Resorts</v>
      </c>
      <c r="G255" s="4" t="s">
        <v>1976</v>
      </c>
      <c r="H255" s="4">
        <v>19</v>
      </c>
      <c r="I255" s="4" t="s">
        <v>36</v>
      </c>
      <c r="J255" s="5" t="s">
        <v>1977</v>
      </c>
      <c r="K255" s="5" t="s">
        <v>1978</v>
      </c>
      <c r="L255" s="4" t="s">
        <v>39</v>
      </c>
      <c r="M255" s="4" t="s">
        <v>29</v>
      </c>
      <c r="N255" s="4" t="s">
        <v>1979</v>
      </c>
      <c r="O255" s="4" t="s">
        <v>29</v>
      </c>
      <c r="P255" s="4" t="s">
        <v>1980</v>
      </c>
      <c r="Q255" s="6"/>
      <c r="R255" s="6"/>
      <c r="S255" s="6"/>
      <c r="T255" s="6"/>
      <c r="U255" s="6"/>
      <c r="V255" s="6"/>
      <c r="W255" s="6"/>
      <c r="X255" s="6"/>
      <c r="Y255" s="6"/>
    </row>
    <row r="256" ht="14.25">
      <c r="B256" s="4" t="s">
        <v>1215</v>
      </c>
      <c r="C256" s="4" t="s">
        <v>1981</v>
      </c>
      <c r="D256" s="4" t="s">
        <v>688</v>
      </c>
      <c r="E256" s="4" t="s">
        <v>1982</v>
      </c>
      <c r="F256" s="4" t="str">
        <f>IFERROR(__XLUDF.DUMMYFUNCTION("PROPER(REGEXREPLACE(D241,""[^A-Za-z]+ "",""""))"),"Compose")</f>
        <v>Compose</v>
      </c>
      <c r="G256" s="4" t="s">
        <v>1983</v>
      </c>
      <c r="H256" s="4">
        <v>4</v>
      </c>
      <c r="I256" s="4" t="s">
        <v>25</v>
      </c>
      <c r="J256" s="5" t="s">
        <v>1984</v>
      </c>
      <c r="K256" s="5" t="s">
        <v>1985</v>
      </c>
      <c r="L256" s="4" t="s">
        <v>39</v>
      </c>
      <c r="M256" s="4" t="s">
        <v>29</v>
      </c>
      <c r="N256" s="4" t="s">
        <v>1986</v>
      </c>
      <c r="O256" s="4" t="s">
        <v>29</v>
      </c>
      <c r="P256" s="4" t="s">
        <v>1987</v>
      </c>
      <c r="Q256" s="6"/>
      <c r="R256" s="6"/>
      <c r="S256" s="6"/>
      <c r="T256" s="6"/>
      <c r="U256" s="6"/>
      <c r="V256" s="6"/>
      <c r="W256" s="6"/>
      <c r="X256" s="6"/>
      <c r="Y256" s="6"/>
    </row>
    <row r="257" ht="14.25">
      <c r="B257" s="4" t="s">
        <v>866</v>
      </c>
      <c r="C257" s="4" t="s">
        <v>1988</v>
      </c>
      <c r="D257" s="4" t="s">
        <v>71</v>
      </c>
      <c r="E257" s="4" t="s">
        <v>1989</v>
      </c>
      <c r="F257" s="4" t="str">
        <f>IFERROR(__XLUDF.DUMMYFUNCTION("PROPER(REGEXREPLACE(D242,""[^A-Za-z]+ "",""""))"),"The Ranch Restaurant")</f>
        <v xml:space="preserve">The Ranch Restaurant</v>
      </c>
      <c r="G257" s="4" t="s">
        <v>1990</v>
      </c>
      <c r="H257" s="4">
        <v>4</v>
      </c>
      <c r="I257" s="4" t="s">
        <v>25</v>
      </c>
      <c r="J257" s="5" t="s">
        <v>1991</v>
      </c>
      <c r="K257" s="5" t="s">
        <v>1992</v>
      </c>
      <c r="L257" s="4" t="s">
        <v>252</v>
      </c>
      <c r="M257" s="4" t="s">
        <v>29</v>
      </c>
      <c r="N257" s="4" t="s">
        <v>67</v>
      </c>
      <c r="O257" s="4" t="s">
        <v>29</v>
      </c>
      <c r="P257" s="4" t="s">
        <v>1993</v>
      </c>
      <c r="Q257" s="6"/>
      <c r="R257" s="6"/>
      <c r="S257" s="6"/>
      <c r="T257" s="6"/>
      <c r="U257" s="6"/>
      <c r="V257" s="6"/>
      <c r="W257" s="6"/>
      <c r="X257" s="6"/>
      <c r="Y257" s="6"/>
    </row>
    <row r="258" ht="14.25">
      <c r="B258" s="4" t="s">
        <v>1215</v>
      </c>
      <c r="C258" s="4" t="s">
        <v>1994</v>
      </c>
      <c r="D258" s="4" t="s">
        <v>87</v>
      </c>
      <c r="E258" s="4" t="s">
        <v>1995</v>
      </c>
      <c r="F258" s="4" t="str">
        <f>IFERROR(__XLUDF.DUMMYFUNCTION("PROPER(REGEXREPLACE(D243,""[^A-Za-z]+ "",""""))"),"Yaoz 🍦")</f>
        <v xml:space="preserve">Yaoz 🍦</v>
      </c>
      <c r="G258" s="4" t="s">
        <v>1996</v>
      </c>
      <c r="H258" s="4">
        <v>26</v>
      </c>
      <c r="I258" s="4" t="s">
        <v>25</v>
      </c>
      <c r="J258" s="5" t="s">
        <v>1997</v>
      </c>
      <c r="K258" s="5" t="s">
        <v>1998</v>
      </c>
      <c r="L258" s="4" t="s">
        <v>39</v>
      </c>
      <c r="M258" s="4" t="s">
        <v>29</v>
      </c>
      <c r="N258" s="4" t="s">
        <v>67</v>
      </c>
      <c r="O258" s="4" t="s">
        <v>29</v>
      </c>
      <c r="P258" s="6"/>
      <c r="Q258" s="6"/>
      <c r="R258" s="6"/>
      <c r="S258" s="6"/>
      <c r="T258" s="6"/>
      <c r="U258" s="6"/>
      <c r="V258" s="6"/>
      <c r="W258" s="6"/>
      <c r="X258" s="6"/>
      <c r="Y258" s="6"/>
    </row>
    <row r="259" ht="14.25">
      <c r="B259" s="4" t="s">
        <v>1999</v>
      </c>
      <c r="C259" s="4" t="s">
        <v>2000</v>
      </c>
      <c r="D259" s="4" t="s">
        <v>2001</v>
      </c>
      <c r="E259" s="4" t="s">
        <v>2002</v>
      </c>
      <c r="F259" s="4" t="str">
        <f>IFERROR(__XLUDF.DUMMYFUNCTION("PROPER(REGEXREPLACE(D244,""[^A-Za-z]+ "",""""))"),"Le Roch Hôtelspa")</f>
        <v xml:space="preserve">Le Roch Hôtelspa</v>
      </c>
      <c r="G259" s="4" t="s">
        <v>2003</v>
      </c>
      <c r="H259" s="4">
        <v>20</v>
      </c>
      <c r="I259" s="4" t="s">
        <v>36</v>
      </c>
      <c r="J259" s="5" t="s">
        <v>2004</v>
      </c>
      <c r="K259" s="5" t="s">
        <v>2005</v>
      </c>
      <c r="L259" s="4" t="s">
        <v>39</v>
      </c>
      <c r="M259" s="4" t="s">
        <v>29</v>
      </c>
      <c r="N259" s="4" t="s">
        <v>67</v>
      </c>
      <c r="O259" s="4" t="s">
        <v>29</v>
      </c>
      <c r="P259" s="4" t="s">
        <v>2006</v>
      </c>
      <c r="Q259" s="6"/>
      <c r="R259" s="6"/>
      <c r="S259" s="6"/>
      <c r="T259" s="6"/>
      <c r="U259" s="6"/>
      <c r="V259" s="6"/>
      <c r="W259" s="6"/>
      <c r="X259" s="6"/>
      <c r="Y259" s="6"/>
    </row>
    <row r="260" ht="14.25">
      <c r="B260" s="4" t="s">
        <v>604</v>
      </c>
      <c r="C260" s="4" t="s">
        <v>2007</v>
      </c>
      <c r="D260" s="4" t="s">
        <v>1130</v>
      </c>
      <c r="E260" s="4" t="s">
        <v>2008</v>
      </c>
      <c r="F260" s="4" t="str">
        <f>IFERROR(__XLUDF.DUMMYFUNCTION("PROPER(REGEXREPLACE(D245,""[^A-Za-z]+ "",""""))"),"Parenthèse")</f>
        <v>Parenthèse</v>
      </c>
      <c r="G260" s="4" t="s">
        <v>2009</v>
      </c>
      <c r="H260" s="4">
        <v>7</v>
      </c>
      <c r="I260" s="4" t="s">
        <v>36</v>
      </c>
      <c r="J260" s="5" t="s">
        <v>2010</v>
      </c>
      <c r="K260" s="5" t="s">
        <v>2011</v>
      </c>
      <c r="L260" s="4" t="s">
        <v>39</v>
      </c>
      <c r="M260" s="4" t="s">
        <v>29</v>
      </c>
      <c r="N260" s="4" t="s">
        <v>2012</v>
      </c>
      <c r="O260" s="4" t="s">
        <v>29</v>
      </c>
      <c r="P260" s="6"/>
      <c r="Q260" s="6"/>
      <c r="R260" s="6"/>
      <c r="S260" s="6"/>
      <c r="T260" s="6"/>
      <c r="U260" s="6"/>
      <c r="V260" s="6"/>
      <c r="W260" s="6"/>
      <c r="X260" s="6"/>
      <c r="Y260" s="6"/>
    </row>
    <row r="261" ht="14.25">
      <c r="B261" s="4" t="s">
        <v>330</v>
      </c>
      <c r="C261" s="4" t="s">
        <v>2013</v>
      </c>
      <c r="D261" s="4" t="s">
        <v>120</v>
      </c>
      <c r="E261" s="4" t="s">
        <v>2014</v>
      </c>
      <c r="F261" s="4" t="str">
        <f>IFERROR(__XLUDF.DUMMYFUNCTION("PROPER(REGEXREPLACE(D246,""[^A-Za-z]+ "",""""))"),"Le Château De La Tour Chantilly")</f>
        <v xml:space="preserve">Le Château De La Tour Chantilly</v>
      </c>
      <c r="G261" s="4" t="s">
        <v>2015</v>
      </c>
      <c r="H261" s="4">
        <v>3</v>
      </c>
      <c r="I261" s="4" t="s">
        <v>25</v>
      </c>
      <c r="J261" s="5" t="s">
        <v>2016</v>
      </c>
      <c r="K261" s="5" t="s">
        <v>2017</v>
      </c>
      <c r="L261" s="4" t="s">
        <v>185</v>
      </c>
      <c r="M261" s="4" t="s">
        <v>29</v>
      </c>
      <c r="N261" s="4" t="s">
        <v>2018</v>
      </c>
      <c r="O261" s="4" t="s">
        <v>1548</v>
      </c>
      <c r="P261" s="4" t="s">
        <v>2019</v>
      </c>
      <c r="Q261" s="6"/>
      <c r="R261" s="6"/>
      <c r="S261" s="6"/>
      <c r="T261" s="6"/>
      <c r="U261" s="6"/>
      <c r="V261" s="6"/>
      <c r="W261" s="6"/>
      <c r="X261" s="6"/>
      <c r="Y261" s="6"/>
    </row>
    <row r="262" ht="14.25">
      <c r="B262" s="4" t="s">
        <v>2020</v>
      </c>
      <c r="C262" s="4" t="s">
        <v>2021</v>
      </c>
      <c r="D262" s="4" t="s">
        <v>2022</v>
      </c>
      <c r="E262" s="4" t="s">
        <v>2023</v>
      </c>
      <c r="F262" s="4" t="str">
        <f>IFERROR(__XLUDF.DUMMYFUNCTION("PROPER(REGEXREPLACE(D247,""[^A-Za-z]+ "",""""))"),"Ponpon Café")</f>
        <v xml:space="preserve">Ponpon Café</v>
      </c>
      <c r="G262" s="4" t="s">
        <v>2024</v>
      </c>
      <c r="H262" s="4">
        <v>8</v>
      </c>
      <c r="I262" s="4" t="s">
        <v>36</v>
      </c>
      <c r="J262" s="5" t="s">
        <v>2025</v>
      </c>
      <c r="K262" s="5" t="s">
        <v>2026</v>
      </c>
      <c r="L262" s="4" t="s">
        <v>39</v>
      </c>
      <c r="M262" s="4" t="s">
        <v>29</v>
      </c>
      <c r="N262" s="4" t="s">
        <v>2027</v>
      </c>
      <c r="O262" s="4" t="s">
        <v>29</v>
      </c>
      <c r="P262" s="4" t="s">
        <v>2028</v>
      </c>
      <c r="Q262" s="6"/>
      <c r="R262" s="6"/>
      <c r="S262" s="6"/>
      <c r="T262" s="6"/>
      <c r="U262" s="6"/>
      <c r="V262" s="6"/>
      <c r="W262" s="6"/>
      <c r="X262" s="6"/>
      <c r="Y262" s="6"/>
    </row>
    <row r="263" ht="14.25">
      <c r="B263" s="4" t="s">
        <v>1062</v>
      </c>
      <c r="C263" s="4" t="s">
        <v>2029</v>
      </c>
      <c r="D263" s="4" t="s">
        <v>120</v>
      </c>
      <c r="E263" s="4" t="s">
        <v>2030</v>
      </c>
      <c r="F263" s="4" t="str">
        <f>IFERROR(__XLUDF.DUMMYFUNCTION("PROPER(REGEXREPLACE(D248,""[^A-Za-z]+ "",""""))"),"Saturdayz")</f>
        <v>Saturdayz</v>
      </c>
      <c r="G263" s="4" t="s">
        <v>2031</v>
      </c>
      <c r="H263" s="4">
        <v>6</v>
      </c>
      <c r="I263" s="4" t="s">
        <v>36</v>
      </c>
      <c r="J263" s="5" t="s">
        <v>2032</v>
      </c>
      <c r="K263" s="5" t="s">
        <v>2033</v>
      </c>
      <c r="L263" s="6"/>
      <c r="M263" s="4" t="s">
        <v>29</v>
      </c>
      <c r="N263" s="4" t="s">
        <v>2034</v>
      </c>
      <c r="O263" s="4" t="s">
        <v>29</v>
      </c>
      <c r="P263" s="4" t="s">
        <v>2035</v>
      </c>
      <c r="Q263" s="6"/>
      <c r="R263" s="6"/>
      <c r="S263" s="6"/>
      <c r="T263" s="6"/>
      <c r="U263" s="6"/>
      <c r="V263" s="6"/>
      <c r="W263" s="6"/>
      <c r="X263" s="6"/>
      <c r="Y263" s="6"/>
    </row>
    <row r="264" ht="14.25">
      <c r="B264" s="4" t="s">
        <v>2036</v>
      </c>
      <c r="C264" s="4" t="s">
        <v>2037</v>
      </c>
      <c r="D264" s="4" t="s">
        <v>120</v>
      </c>
      <c r="E264" s="4" t="s">
        <v>2038</v>
      </c>
      <c r="F264" s="4" t="str">
        <f>IFERROR(__XLUDF.DUMMYFUNCTION("PROPER(REGEXREPLACE(D249,""[^A-Za-z]+ "",""""))"),"Jack The Cockerel")</f>
        <v xml:space="preserve">Jack The Cockerel</v>
      </c>
      <c r="G264" s="4" t="s">
        <v>2039</v>
      </c>
      <c r="H264" s="4">
        <v>9</v>
      </c>
      <c r="I264" s="4" t="s">
        <v>36</v>
      </c>
      <c r="J264" s="5" t="s">
        <v>2040</v>
      </c>
      <c r="K264" s="5" t="s">
        <v>2041</v>
      </c>
      <c r="L264" s="4" t="s">
        <v>39</v>
      </c>
      <c r="M264" s="4" t="s">
        <v>29</v>
      </c>
      <c r="N264" s="4" t="s">
        <v>2042</v>
      </c>
      <c r="O264" s="4" t="s">
        <v>29</v>
      </c>
      <c r="P264" s="4" t="s">
        <v>2043</v>
      </c>
      <c r="Q264" s="6"/>
      <c r="R264" s="6"/>
      <c r="S264" s="6"/>
      <c r="T264" s="6"/>
      <c r="U264" s="6"/>
      <c r="V264" s="6"/>
      <c r="W264" s="6"/>
      <c r="X264" s="6"/>
      <c r="Y264" s="6"/>
    </row>
    <row r="265" ht="14.25">
      <c r="B265" s="4" t="s">
        <v>579</v>
      </c>
      <c r="C265" s="4" t="s">
        <v>2044</v>
      </c>
      <c r="D265" s="4" t="s">
        <v>120</v>
      </c>
      <c r="E265" s="4" t="s">
        <v>2045</v>
      </c>
      <c r="F265" s="4" t="str">
        <f>IFERROR(__XLUDF.DUMMYFUNCTION("PROPER(REGEXREPLACE(D250,""[^A-Za-z]+ "",""""))"),"Le Floris")</f>
        <v xml:space="preserve">Le Floris</v>
      </c>
      <c r="G265" s="4" t="s">
        <v>2046</v>
      </c>
      <c r="H265" s="4">
        <v>16</v>
      </c>
      <c r="I265" s="4" t="s">
        <v>25</v>
      </c>
      <c r="J265" s="5" t="s">
        <v>2047</v>
      </c>
      <c r="K265" s="5" t="s">
        <v>2048</v>
      </c>
      <c r="L265" s="4" t="s">
        <v>39</v>
      </c>
      <c r="M265" s="4" t="s">
        <v>29</v>
      </c>
      <c r="N265" s="4" t="s">
        <v>2049</v>
      </c>
      <c r="O265" s="4" t="s">
        <v>29</v>
      </c>
      <c r="P265" s="4" t="s">
        <v>2050</v>
      </c>
      <c r="Q265" s="6"/>
      <c r="R265" s="6"/>
      <c r="S265" s="6"/>
      <c r="T265" s="6"/>
      <c r="U265" s="6"/>
      <c r="V265" s="6"/>
      <c r="W265" s="6"/>
      <c r="X265" s="6"/>
      <c r="Y265" s="6"/>
    </row>
    <row r="266" ht="14.25">
      <c r="B266" s="4" t="s">
        <v>2051</v>
      </c>
      <c r="C266" s="4" t="s">
        <v>2052</v>
      </c>
      <c r="D266" s="4" t="s">
        <v>341</v>
      </c>
      <c r="E266" s="4" t="s">
        <v>2053</v>
      </c>
      <c r="F266" s="4" t="str">
        <f>IFERROR(__XLUDF.DUMMYFUNCTION("PROPER(REGEXREPLACE(D251,""[^A-Za-z]+ "",""""))"),"Diana Hotels Collection")</f>
        <v xml:space="preserve">Diana Hotels Collection</v>
      </c>
      <c r="G266" s="4" t="s">
        <v>2054</v>
      </c>
      <c r="H266" s="4">
        <v>3</v>
      </c>
      <c r="I266" s="4" t="s">
        <v>90</v>
      </c>
      <c r="J266" s="5" t="s">
        <v>2055</v>
      </c>
      <c r="K266" s="5" t="s">
        <v>2056</v>
      </c>
      <c r="L266" s="4" t="s">
        <v>39</v>
      </c>
      <c r="M266" s="4" t="s">
        <v>29</v>
      </c>
      <c r="N266" s="4" t="s">
        <v>2057</v>
      </c>
      <c r="O266" s="4" t="s">
        <v>29</v>
      </c>
      <c r="P266" s="4" t="s">
        <v>2058</v>
      </c>
      <c r="Q266" s="6"/>
      <c r="R266" s="6"/>
      <c r="S266" s="6"/>
      <c r="T266" s="6"/>
      <c r="U266" s="6"/>
      <c r="V266" s="6"/>
      <c r="W266" s="6"/>
      <c r="X266" s="6"/>
      <c r="Y266" s="6"/>
    </row>
    <row r="267" ht="14.25">
      <c r="B267" s="4" t="s">
        <v>2059</v>
      </c>
      <c r="C267" s="4" t="s">
        <v>2060</v>
      </c>
      <c r="D267" s="4" t="s">
        <v>172</v>
      </c>
      <c r="E267" s="4" t="s">
        <v>2061</v>
      </c>
      <c r="F267" s="4" t="str">
        <f>IFERROR(__XLUDF.DUMMYFUNCTION("PROPER(REGEXREPLACE(D252,""[^A-Za-z]+ "",""""))"),"Romanée")</f>
        <v>Romanée</v>
      </c>
      <c r="G267" s="4" t="s">
        <v>2062</v>
      </c>
      <c r="H267" s="4">
        <v>19</v>
      </c>
      <c r="I267" s="4" t="s">
        <v>90</v>
      </c>
      <c r="J267" s="5" t="s">
        <v>2063</v>
      </c>
      <c r="K267" s="5" t="s">
        <v>2064</v>
      </c>
      <c r="L267" s="6"/>
      <c r="M267" s="4" t="s">
        <v>29</v>
      </c>
      <c r="N267" s="4" t="s">
        <v>2065</v>
      </c>
      <c r="O267" s="4" t="s">
        <v>29</v>
      </c>
      <c r="P267" s="6"/>
      <c r="Q267" s="6"/>
      <c r="R267" s="6"/>
      <c r="S267" s="6"/>
      <c r="T267" s="6"/>
      <c r="U267" s="6"/>
      <c r="V267" s="6"/>
      <c r="W267" s="6"/>
      <c r="X267" s="6"/>
      <c r="Y267" s="6"/>
    </row>
    <row r="268" ht="14.25">
      <c r="B268" s="4" t="s">
        <v>2066</v>
      </c>
      <c r="C268" s="4" t="s">
        <v>2067</v>
      </c>
      <c r="D268" s="4" t="s">
        <v>2068</v>
      </c>
      <c r="E268" s="4" t="s">
        <v>2069</v>
      </c>
      <c r="F268" s="4" t="str">
        <f>IFERROR(__XLUDF.DUMMYFUNCTION("PROPER(REGEXREPLACE(D253,""[^A-Za-z]+ "",""""))"),"Ferre Hotels")</f>
        <v xml:space="preserve">Ferre Hotels</v>
      </c>
      <c r="G268" s="4" t="s">
        <v>2070</v>
      </c>
      <c r="H268" s="4">
        <v>3</v>
      </c>
      <c r="I268" s="4" t="s">
        <v>90</v>
      </c>
      <c r="J268" s="5" t="s">
        <v>2071</v>
      </c>
      <c r="K268" s="5" t="s">
        <v>2072</v>
      </c>
      <c r="L268" s="6"/>
      <c r="M268" s="4" t="s">
        <v>29</v>
      </c>
      <c r="N268" s="4" t="s">
        <v>67</v>
      </c>
      <c r="O268" s="4" t="s">
        <v>29</v>
      </c>
      <c r="P268" s="6"/>
      <c r="Q268" s="6"/>
      <c r="R268" s="6"/>
      <c r="S268" s="6"/>
      <c r="T268" s="6"/>
      <c r="U268" s="6"/>
      <c r="V268" s="6"/>
      <c r="W268" s="6"/>
      <c r="X268" s="6"/>
      <c r="Y268" s="6"/>
    </row>
    <row r="269" ht="14.25">
      <c r="B269" s="4" t="s">
        <v>710</v>
      </c>
      <c r="C269" s="4" t="s">
        <v>2073</v>
      </c>
      <c r="D269" s="4" t="s">
        <v>172</v>
      </c>
      <c r="E269" s="4" t="s">
        <v>2074</v>
      </c>
      <c r="F269" s="4" t="str">
        <f>IFERROR(__XLUDF.DUMMYFUNCTION("PROPER(REGEXREPLACE(D254,""[^A-Za-z]+ "",""""))"),"La Brigade")</f>
        <v xml:space="preserve">La Brigade</v>
      </c>
      <c r="G269" s="4" t="s">
        <v>2075</v>
      </c>
      <c r="H269" s="4">
        <v>7</v>
      </c>
      <c r="I269" s="4" t="s">
        <v>25</v>
      </c>
      <c r="J269" s="5" t="s">
        <v>2076</v>
      </c>
      <c r="K269" s="5" t="s">
        <v>2077</v>
      </c>
      <c r="L269" s="4" t="s">
        <v>49</v>
      </c>
      <c r="M269" s="4" t="s">
        <v>29</v>
      </c>
      <c r="N269" s="4" t="s">
        <v>2078</v>
      </c>
      <c r="O269" s="4" t="s">
        <v>29</v>
      </c>
      <c r="P269" s="4" t="s">
        <v>2079</v>
      </c>
      <c r="Q269" s="6"/>
      <c r="R269" s="6"/>
      <c r="S269" s="6"/>
      <c r="T269" s="6"/>
      <c r="U269" s="6"/>
      <c r="V269" s="6"/>
      <c r="W269" s="6"/>
      <c r="X269" s="6"/>
      <c r="Y269" s="6"/>
    </row>
    <row r="270" ht="14.25">
      <c r="B270" s="4" t="s">
        <v>170</v>
      </c>
      <c r="C270" s="4" t="s">
        <v>2080</v>
      </c>
      <c r="D270" s="4" t="s">
        <v>172</v>
      </c>
      <c r="E270" s="4" t="s">
        <v>880</v>
      </c>
      <c r="F270" s="4" t="str">
        <f>IFERROR(__XLUDF.DUMMYFUNCTION("PROPER(REGEXREPLACE(D255,""[^A-Za-z]+ "",""""))"),"Tiptoque")</f>
        <v>Tiptoque</v>
      </c>
      <c r="G270" s="4" t="s">
        <v>2081</v>
      </c>
      <c r="H270" s="4">
        <v>33</v>
      </c>
      <c r="I270" s="4" t="s">
        <v>25</v>
      </c>
      <c r="J270" s="5" t="s">
        <v>2082</v>
      </c>
      <c r="K270" s="5" t="s">
        <v>883</v>
      </c>
      <c r="L270" s="4" t="s">
        <v>39</v>
      </c>
      <c r="M270" s="4" t="s">
        <v>29</v>
      </c>
      <c r="N270" s="4" t="s">
        <v>884</v>
      </c>
      <c r="O270" s="4" t="s">
        <v>29</v>
      </c>
      <c r="P270" s="4" t="s">
        <v>885</v>
      </c>
      <c r="Q270" s="6"/>
      <c r="R270" s="6"/>
      <c r="S270" s="6"/>
      <c r="T270" s="6"/>
      <c r="U270" s="6"/>
      <c r="V270" s="6"/>
      <c r="W270" s="6"/>
      <c r="X270" s="6"/>
      <c r="Y270" s="6"/>
    </row>
    <row r="271" ht="14.25">
      <c r="B271" s="4" t="s">
        <v>355</v>
      </c>
      <c r="C271" s="4" t="s">
        <v>2083</v>
      </c>
      <c r="D271" s="4" t="s">
        <v>2084</v>
      </c>
      <c r="E271" s="4" t="s">
        <v>2085</v>
      </c>
      <c r="F271" s="4" t="str">
        <f>IFERROR(__XLUDF.DUMMYFUNCTION("PROPER(REGEXREPLACE(D256,""[^A-Za-z]+ "",""""))"),"Secret Journeys")</f>
        <v xml:space="preserve">Secret Journeys</v>
      </c>
      <c r="G271" s="4" t="s">
        <v>2086</v>
      </c>
      <c r="H271" s="4">
        <v>14</v>
      </c>
      <c r="I271" s="4" t="s">
        <v>25</v>
      </c>
      <c r="J271" s="5" t="s">
        <v>2087</v>
      </c>
      <c r="K271" s="5" t="s">
        <v>2088</v>
      </c>
      <c r="L271" s="4" t="s">
        <v>39</v>
      </c>
      <c r="M271" s="4" t="s">
        <v>29</v>
      </c>
      <c r="N271" s="4" t="s">
        <v>2089</v>
      </c>
      <c r="O271" s="4" t="s">
        <v>29</v>
      </c>
      <c r="P271" s="4" t="s">
        <v>2090</v>
      </c>
      <c r="Q271" s="6"/>
      <c r="R271" s="6"/>
      <c r="S271" s="6"/>
      <c r="T271" s="6"/>
      <c r="U271" s="6"/>
      <c r="V271" s="6"/>
      <c r="W271" s="6"/>
      <c r="X271" s="6"/>
      <c r="Y271" s="6"/>
    </row>
    <row r="272" ht="14.25">
      <c r="B272" s="4" t="s">
        <v>2091</v>
      </c>
      <c r="C272" s="4" t="s">
        <v>2092</v>
      </c>
      <c r="D272" s="4" t="s">
        <v>2093</v>
      </c>
      <c r="E272" s="4" t="s">
        <v>2094</v>
      </c>
      <c r="F272" s="4" t="str">
        <f>IFERROR(__XLUDF.DUMMYFUNCTION("PROPER(REGEXREPLACE(D257,""[^A-Za-z]+ "",""""))"),"Luxe Wellness Club")</f>
        <v xml:space="preserve">Luxe Wellness Club</v>
      </c>
      <c r="G272" s="4" t="s">
        <v>2095</v>
      </c>
      <c r="H272" s="4">
        <v>3</v>
      </c>
      <c r="I272" s="4" t="s">
        <v>157</v>
      </c>
      <c r="J272" s="5" t="s">
        <v>2096</v>
      </c>
      <c r="K272" s="5" t="s">
        <v>2097</v>
      </c>
      <c r="L272" s="4" t="s">
        <v>39</v>
      </c>
      <c r="M272" s="4" t="s">
        <v>29</v>
      </c>
      <c r="N272" s="4" t="s">
        <v>2098</v>
      </c>
      <c r="O272" s="4" t="s">
        <v>1261</v>
      </c>
      <c r="P272" s="4" t="s">
        <v>2099</v>
      </c>
      <c r="Q272" s="6"/>
      <c r="R272" s="6"/>
      <c r="S272" s="6"/>
      <c r="T272" s="6"/>
      <c r="U272" s="6"/>
      <c r="V272" s="6"/>
      <c r="W272" s="6"/>
      <c r="X272" s="6"/>
      <c r="Y272" s="6"/>
    </row>
    <row r="273" ht="14.25">
      <c r="B273" s="4" t="s">
        <v>785</v>
      </c>
      <c r="C273" s="4" t="s">
        <v>2100</v>
      </c>
      <c r="D273" s="4" t="s">
        <v>2101</v>
      </c>
      <c r="E273" s="4" t="s">
        <v>566</v>
      </c>
      <c r="F273" s="4" t="str">
        <f>IFERROR(__XLUDF.DUMMYFUNCTION("PROPER(REGEXREPLACE(D258,""[^A-Za-z]+ "",""""))"),"Spotpilot")</f>
        <v>Spotpilot</v>
      </c>
      <c r="G273" s="4" t="s">
        <v>2102</v>
      </c>
      <c r="H273" s="4">
        <v>43</v>
      </c>
      <c r="I273" s="4" t="s">
        <v>36</v>
      </c>
      <c r="J273" s="5" t="s">
        <v>2103</v>
      </c>
      <c r="K273" s="5" t="s">
        <v>569</v>
      </c>
      <c r="L273" s="6"/>
      <c r="M273" s="4" t="s">
        <v>29</v>
      </c>
      <c r="N273" s="4" t="s">
        <v>67</v>
      </c>
      <c r="O273" s="4" t="s">
        <v>29</v>
      </c>
      <c r="P273" s="4" t="s">
        <v>570</v>
      </c>
      <c r="Q273" s="6"/>
      <c r="R273" s="6"/>
      <c r="S273" s="6"/>
      <c r="T273" s="6"/>
      <c r="U273" s="6"/>
      <c r="V273" s="6"/>
      <c r="W273" s="6"/>
      <c r="X273" s="6"/>
      <c r="Y273" s="6"/>
    </row>
    <row r="274" ht="14.25">
      <c r="B274" s="4" t="s">
        <v>2104</v>
      </c>
      <c r="C274" s="4" t="s">
        <v>2105</v>
      </c>
      <c r="D274" s="4" t="s">
        <v>62</v>
      </c>
      <c r="E274" s="4" t="s">
        <v>2106</v>
      </c>
      <c r="F274" s="4" t="str">
        <f>IFERROR(__XLUDF.DUMMYFUNCTION("PROPER(REGEXREPLACE(D259,""[^A-Za-z]+ "",""""))"),"Maslow Group")</f>
        <v xml:space="preserve">Maslow Group</v>
      </c>
      <c r="G274" s="4" t="s">
        <v>2107</v>
      </c>
      <c r="H274" s="4">
        <v>5</v>
      </c>
      <c r="I274" s="4" t="s">
        <v>90</v>
      </c>
      <c r="J274" s="5" t="s">
        <v>2108</v>
      </c>
      <c r="K274" s="5" t="s">
        <v>2109</v>
      </c>
      <c r="L274" s="4" t="s">
        <v>2110</v>
      </c>
      <c r="M274" s="4" t="s">
        <v>29</v>
      </c>
      <c r="N274" s="4" t="s">
        <v>2111</v>
      </c>
      <c r="O274" s="4" t="s">
        <v>595</v>
      </c>
      <c r="P274" s="6"/>
      <c r="Q274" s="6"/>
      <c r="R274" s="6"/>
      <c r="S274" s="6"/>
      <c r="T274" s="6"/>
      <c r="U274" s="6"/>
      <c r="V274" s="6"/>
      <c r="W274" s="6"/>
      <c r="X274" s="6"/>
      <c r="Y274" s="6"/>
    </row>
    <row r="275" ht="14.25">
      <c r="B275" s="4" t="s">
        <v>768</v>
      </c>
      <c r="C275" s="4" t="s">
        <v>2112</v>
      </c>
      <c r="D275" s="4" t="s">
        <v>44</v>
      </c>
      <c r="E275" s="4" t="s">
        <v>2113</v>
      </c>
      <c r="F275" s="4" t="str">
        <f>IFERROR(__XLUDF.DUMMYFUNCTION("PROPER(REGEXREPLACE(D260,""[^A-Za-z]+ "",""""))"),"Yummyguiltfree")</f>
        <v>Yummyguiltfree</v>
      </c>
      <c r="G275" s="4" t="s">
        <v>2114</v>
      </c>
      <c r="H275" s="4">
        <v>1</v>
      </c>
      <c r="I275" s="4" t="s">
        <v>25</v>
      </c>
      <c r="J275" s="5" t="s">
        <v>2115</v>
      </c>
      <c r="K275" s="5" t="s">
        <v>2116</v>
      </c>
      <c r="L275" s="4" t="s">
        <v>39</v>
      </c>
      <c r="M275" s="4" t="s">
        <v>29</v>
      </c>
      <c r="N275" s="4" t="s">
        <v>2117</v>
      </c>
      <c r="O275" s="4" t="s">
        <v>29</v>
      </c>
      <c r="P275" s="4" t="s">
        <v>2118</v>
      </c>
      <c r="Q275" s="6"/>
      <c r="R275" s="6"/>
      <c r="S275" s="6"/>
      <c r="T275" s="6"/>
      <c r="U275" s="6"/>
      <c r="V275" s="6"/>
      <c r="W275" s="6"/>
      <c r="X275" s="6"/>
      <c r="Y275" s="6"/>
    </row>
    <row r="276" ht="14.25">
      <c r="B276" s="4" t="s">
        <v>2119</v>
      </c>
      <c r="C276" s="4" t="s">
        <v>2120</v>
      </c>
      <c r="D276" s="4" t="s">
        <v>87</v>
      </c>
      <c r="E276" s="4" t="s">
        <v>2121</v>
      </c>
      <c r="F276" s="4" t="str">
        <f>IFERROR(__XLUDF.DUMMYFUNCTION("PROPER(REGEXREPLACE(D261,""[^A-Za-z]+ "",""""))"),"Orizon Living")</f>
        <v xml:space="preserve">Orizon Living</v>
      </c>
      <c r="G276" s="4" t="s">
        <v>2122</v>
      </c>
      <c r="H276" s="6"/>
      <c r="I276" s="6"/>
      <c r="J276" s="5" t="s">
        <v>2123</v>
      </c>
      <c r="K276" s="5" t="s">
        <v>2124</v>
      </c>
      <c r="L276" s="4" t="s">
        <v>846</v>
      </c>
      <c r="M276" s="4" t="s">
        <v>29</v>
      </c>
      <c r="N276" s="4" t="s">
        <v>2125</v>
      </c>
      <c r="O276" s="4" t="s">
        <v>29</v>
      </c>
      <c r="P276" s="6"/>
      <c r="Q276" s="6"/>
      <c r="R276" s="6"/>
      <c r="S276" s="6"/>
      <c r="T276" s="6"/>
      <c r="U276" s="6"/>
      <c r="V276" s="6"/>
      <c r="W276" s="6"/>
      <c r="X276" s="6"/>
      <c r="Y276" s="6"/>
    </row>
    <row r="277" ht="14.25">
      <c r="B277" s="4" t="s">
        <v>2126</v>
      </c>
      <c r="C277" s="4" t="s">
        <v>2127</v>
      </c>
      <c r="D277" s="4" t="s">
        <v>315</v>
      </c>
      <c r="E277" s="4" t="s">
        <v>2128</v>
      </c>
      <c r="F277" s="4" t="str">
        <f>IFERROR(__XLUDF.DUMMYFUNCTION("PROPER(REGEXREPLACE(D262,""[^A-Za-z]+ "",""""))"),"Wingschill")</f>
        <v>Wingschill</v>
      </c>
      <c r="G277" s="4" t="s">
        <v>2129</v>
      </c>
      <c r="H277" s="4">
        <v>16</v>
      </c>
      <c r="I277" s="4" t="s">
        <v>25</v>
      </c>
      <c r="J277" s="5" t="s">
        <v>2130</v>
      </c>
      <c r="K277" s="5" t="s">
        <v>2131</v>
      </c>
      <c r="L277" s="6"/>
      <c r="M277" s="4" t="s">
        <v>29</v>
      </c>
      <c r="N277" s="4" t="s">
        <v>2132</v>
      </c>
      <c r="O277" s="4" t="s">
        <v>29</v>
      </c>
      <c r="P277" s="6"/>
      <c r="Q277" s="6"/>
      <c r="R277" s="6"/>
      <c r="S277" s="6"/>
      <c r="T277" s="6"/>
      <c r="U277" s="6"/>
      <c r="V277" s="6"/>
      <c r="W277" s="6"/>
      <c r="X277" s="6"/>
      <c r="Y277" s="6"/>
    </row>
    <row r="278" ht="14.25">
      <c r="B278" s="4" t="s">
        <v>661</v>
      </c>
      <c r="C278" s="4" t="s">
        <v>2133</v>
      </c>
      <c r="D278" s="4" t="s">
        <v>172</v>
      </c>
      <c r="E278" s="4" t="s">
        <v>2134</v>
      </c>
      <c r="F278" s="4" t="str">
        <f>IFERROR(__XLUDF.DUMMYFUNCTION("PROPER(REGEXREPLACE(D263,""[^A-Za-z]+ "",""""))"),"Brutus_Crêperies")</f>
        <v>Brutus_Crêperies</v>
      </c>
      <c r="G278" s="4" t="s">
        <v>2135</v>
      </c>
      <c r="H278" s="4">
        <v>30</v>
      </c>
      <c r="I278" s="4" t="s">
        <v>25</v>
      </c>
      <c r="J278" s="5" t="s">
        <v>2136</v>
      </c>
      <c r="K278" s="5" t="s">
        <v>2137</v>
      </c>
      <c r="L278" s="4" t="s">
        <v>185</v>
      </c>
      <c r="M278" s="4" t="s">
        <v>29</v>
      </c>
      <c r="N278" s="4" t="s">
        <v>1283</v>
      </c>
      <c r="O278" s="4" t="s">
        <v>29</v>
      </c>
      <c r="P278" s="4" t="s">
        <v>2134</v>
      </c>
      <c r="Q278" s="6"/>
      <c r="R278" s="6"/>
      <c r="S278" s="6"/>
      <c r="T278" s="6"/>
      <c r="U278" s="6"/>
      <c r="V278" s="6"/>
      <c r="W278" s="6"/>
      <c r="X278" s="6"/>
      <c r="Y278" s="6"/>
    </row>
    <row r="279" ht="14.25">
      <c r="B279" s="4" t="s">
        <v>2138</v>
      </c>
      <c r="C279" s="4" t="s">
        <v>2139</v>
      </c>
      <c r="D279" s="4" t="s">
        <v>341</v>
      </c>
      <c r="E279" s="4" t="s">
        <v>2140</v>
      </c>
      <c r="F279" s="4" t="str">
        <f>IFERROR(__XLUDF.DUMMYFUNCTION("PROPER(REGEXREPLACE(D264,""[^A-Za-z]+ "",""""))"),"Crispy Soul")</f>
        <v xml:space="preserve">Crispy Soul</v>
      </c>
      <c r="G279" s="4" t="s">
        <v>2141</v>
      </c>
      <c r="H279" s="4">
        <v>9</v>
      </c>
      <c r="I279" s="4" t="s">
        <v>36</v>
      </c>
      <c r="J279" s="5" t="s">
        <v>2142</v>
      </c>
      <c r="K279" s="5" t="s">
        <v>2143</v>
      </c>
      <c r="L279" s="4" t="s">
        <v>83</v>
      </c>
      <c r="M279" s="4" t="s">
        <v>29</v>
      </c>
      <c r="N279" s="4" t="s">
        <v>2144</v>
      </c>
      <c r="O279" s="4" t="s">
        <v>29</v>
      </c>
      <c r="P279" s="4" t="s">
        <v>2145</v>
      </c>
      <c r="Q279" s="6"/>
      <c r="R279" s="6"/>
      <c r="S279" s="6"/>
      <c r="T279" s="6"/>
      <c r="U279" s="6"/>
      <c r="V279" s="6"/>
      <c r="W279" s="6"/>
      <c r="X279" s="6"/>
      <c r="Y279" s="6"/>
    </row>
    <row r="280" ht="14.25">
      <c r="B280" s="4" t="s">
        <v>330</v>
      </c>
      <c r="C280" s="4" t="s">
        <v>2146</v>
      </c>
      <c r="D280" s="4" t="s">
        <v>112</v>
      </c>
      <c r="E280" s="4" t="s">
        <v>155</v>
      </c>
      <c r="F280" s="4" t="str">
        <f>IFERROR(__XLUDF.DUMMYFUNCTION("PROPER(REGEXREPLACE(D265,""[^A-Za-z]+ "",""""))"),"Orso Hotels")</f>
        <v xml:space="preserve">Orso Hotels</v>
      </c>
      <c r="G280" s="4" t="s">
        <v>2147</v>
      </c>
      <c r="H280" s="4">
        <v>36</v>
      </c>
      <c r="I280" s="4" t="s">
        <v>157</v>
      </c>
      <c r="J280" s="5" t="s">
        <v>2148</v>
      </c>
      <c r="K280" s="5" t="s">
        <v>159</v>
      </c>
      <c r="L280" s="4" t="s">
        <v>2149</v>
      </c>
      <c r="M280" s="4" t="s">
        <v>29</v>
      </c>
      <c r="N280" s="4" t="s">
        <v>160</v>
      </c>
      <c r="O280" s="4" t="s">
        <v>29</v>
      </c>
      <c r="P280" s="4" t="s">
        <v>161</v>
      </c>
      <c r="Q280" s="6"/>
      <c r="R280" s="6"/>
      <c r="S280" s="6"/>
      <c r="T280" s="6"/>
      <c r="U280" s="6"/>
      <c r="V280" s="6"/>
      <c r="W280" s="6"/>
      <c r="X280" s="6"/>
      <c r="Y280" s="6"/>
    </row>
    <row r="281" ht="14.25">
      <c r="B281" s="4" t="s">
        <v>2150</v>
      </c>
      <c r="C281" s="4" t="s">
        <v>2151</v>
      </c>
      <c r="D281" s="4" t="s">
        <v>2152</v>
      </c>
      <c r="E281" s="4" t="s">
        <v>2153</v>
      </c>
      <c r="F281" s="4" t="str">
        <f>IFERROR(__XLUDF.DUMMYFUNCTION("PROPER(REGEXREPLACE(D266,""[^A-Za-z]+ "",""""))"),"Afra Voyages")</f>
        <v xml:space="preserve">Afra Voyages</v>
      </c>
      <c r="G281" s="4" t="s">
        <v>2154</v>
      </c>
      <c r="H281" s="4">
        <v>5</v>
      </c>
      <c r="I281" s="4" t="s">
        <v>36</v>
      </c>
      <c r="J281" s="5" t="s">
        <v>2155</v>
      </c>
      <c r="K281" s="5" t="s">
        <v>2156</v>
      </c>
      <c r="L281" s="4" t="s">
        <v>39</v>
      </c>
      <c r="M281" s="4" t="s">
        <v>29</v>
      </c>
      <c r="N281" s="4" t="s">
        <v>2157</v>
      </c>
      <c r="O281" s="4" t="s">
        <v>29</v>
      </c>
      <c r="P281" s="6"/>
      <c r="Q281" s="6"/>
      <c r="R281" s="6"/>
      <c r="S281" s="6"/>
      <c r="T281" s="6"/>
      <c r="U281" s="6"/>
      <c r="V281" s="6"/>
      <c r="W281" s="6"/>
      <c r="X281" s="6"/>
      <c r="Y281" s="6"/>
    </row>
    <row r="282" ht="14.25">
      <c r="B282" s="4" t="s">
        <v>2158</v>
      </c>
      <c r="C282" s="4" t="s">
        <v>2159</v>
      </c>
      <c r="D282" s="4" t="s">
        <v>120</v>
      </c>
      <c r="E282" s="4" t="s">
        <v>2160</v>
      </c>
      <c r="F282" s="4" t="str">
        <f>IFERROR(__XLUDF.DUMMYFUNCTION("PROPER(REGEXREPLACE(D267,""[^A-Za-z]+ "",""""))"),"Domaine De Crecy")</f>
        <v xml:space="preserve">Domaine De Crecy</v>
      </c>
      <c r="G282" s="4" t="s">
        <v>2161</v>
      </c>
      <c r="H282" s="4">
        <v>9</v>
      </c>
      <c r="I282" s="4" t="s">
        <v>36</v>
      </c>
      <c r="J282" s="5" t="s">
        <v>2162</v>
      </c>
      <c r="K282" s="5" t="s">
        <v>2163</v>
      </c>
      <c r="L282" s="4" t="s">
        <v>185</v>
      </c>
      <c r="M282" s="4" t="s">
        <v>29</v>
      </c>
      <c r="N282" s="4" t="s">
        <v>1283</v>
      </c>
      <c r="O282" s="4" t="s">
        <v>29</v>
      </c>
      <c r="P282" s="4" t="s">
        <v>2164</v>
      </c>
      <c r="Q282" s="6"/>
      <c r="R282" s="6"/>
      <c r="S282" s="6"/>
      <c r="T282" s="6"/>
      <c r="U282" s="6"/>
      <c r="V282" s="6"/>
      <c r="W282" s="6"/>
      <c r="X282" s="6"/>
      <c r="Y282" s="6"/>
    </row>
    <row r="283" ht="14.25">
      <c r="B283" s="4" t="s">
        <v>485</v>
      </c>
      <c r="C283" s="4" t="s">
        <v>2165</v>
      </c>
      <c r="D283" s="4" t="s">
        <v>120</v>
      </c>
      <c r="E283" s="4" t="s">
        <v>1184</v>
      </c>
      <c r="F283" s="4" t="str">
        <f>IFERROR(__XLUDF.DUMMYFUNCTION("PROPER(REGEXREPLACE(D268,""[^A-Za-z]+ "",""""))"),"La French Latitude")</f>
        <v xml:space="preserve">La French Latitude</v>
      </c>
      <c r="G283" s="4" t="s">
        <v>2166</v>
      </c>
      <c r="H283" s="4">
        <v>9</v>
      </c>
      <c r="I283" s="4" t="s">
        <v>36</v>
      </c>
      <c r="J283" s="5" t="s">
        <v>2167</v>
      </c>
      <c r="K283" s="5" t="s">
        <v>1187</v>
      </c>
      <c r="L283" s="4" t="s">
        <v>2168</v>
      </c>
      <c r="M283" s="4" t="s">
        <v>29</v>
      </c>
      <c r="N283" s="4" t="s">
        <v>1188</v>
      </c>
      <c r="O283" s="4" t="s">
        <v>29</v>
      </c>
      <c r="P283" s="4" t="s">
        <v>1189</v>
      </c>
      <c r="Q283" s="6"/>
      <c r="R283" s="6"/>
      <c r="S283" s="6"/>
      <c r="T283" s="6"/>
      <c r="U283" s="6"/>
      <c r="V283" s="6"/>
      <c r="W283" s="6"/>
      <c r="X283" s="6"/>
      <c r="Y283" s="6"/>
    </row>
    <row r="284" ht="14.25">
      <c r="B284" s="4" t="s">
        <v>118</v>
      </c>
      <c r="C284" s="4" t="s">
        <v>2169</v>
      </c>
      <c r="D284" s="4" t="s">
        <v>120</v>
      </c>
      <c r="E284" s="4" t="s">
        <v>2170</v>
      </c>
      <c r="F284" s="4" t="str">
        <f>IFERROR(__XLUDF.DUMMYFUNCTION("PROPER(REGEXREPLACE(D269,""[^A-Za-z]+ "",""""))"),"Hôtel Esprit D'Azur")</f>
        <v xml:space="preserve">Hôtel Esprit D'Azur</v>
      </c>
      <c r="G284" s="4" t="s">
        <v>2171</v>
      </c>
      <c r="H284" s="4">
        <v>10</v>
      </c>
      <c r="I284" s="4" t="s">
        <v>36</v>
      </c>
      <c r="J284" s="5" t="s">
        <v>2172</v>
      </c>
      <c r="K284" s="5" t="s">
        <v>2173</v>
      </c>
      <c r="L284" s="4" t="s">
        <v>2174</v>
      </c>
      <c r="M284" s="4" t="s">
        <v>29</v>
      </c>
      <c r="N284" s="4" t="s">
        <v>2175</v>
      </c>
      <c r="O284" s="4" t="s">
        <v>29</v>
      </c>
      <c r="P284" s="4" t="s">
        <v>2176</v>
      </c>
      <c r="Q284" s="6"/>
      <c r="R284" s="6"/>
      <c r="S284" s="6"/>
      <c r="T284" s="6"/>
      <c r="U284" s="6"/>
      <c r="V284" s="6"/>
      <c r="W284" s="6"/>
      <c r="X284" s="6"/>
      <c r="Y284" s="6"/>
    </row>
    <row r="285" ht="14.25">
      <c r="B285" s="4" t="s">
        <v>2177</v>
      </c>
      <c r="C285" s="4" t="s">
        <v>2021</v>
      </c>
      <c r="D285" s="4" t="s">
        <v>365</v>
      </c>
      <c r="E285" s="4" t="s">
        <v>2023</v>
      </c>
      <c r="F285" s="4" t="str">
        <f>IFERROR(__XLUDF.DUMMYFUNCTION("PROPER(REGEXREPLACE(D270,""[^A-Za-z]+ "",""""))"),"Highstay")</f>
        <v>Highstay</v>
      </c>
      <c r="G285" s="4" t="s">
        <v>2178</v>
      </c>
      <c r="H285" s="4">
        <v>8</v>
      </c>
      <c r="I285" s="4" t="s">
        <v>36</v>
      </c>
      <c r="J285" s="5" t="s">
        <v>2179</v>
      </c>
      <c r="K285" s="5" t="s">
        <v>2026</v>
      </c>
      <c r="L285" s="4" t="s">
        <v>39</v>
      </c>
      <c r="M285" s="4" t="s">
        <v>29</v>
      </c>
      <c r="N285" s="4" t="s">
        <v>2027</v>
      </c>
      <c r="O285" s="4" t="s">
        <v>29</v>
      </c>
      <c r="P285" s="4" t="s">
        <v>2028</v>
      </c>
      <c r="Q285" s="6"/>
      <c r="R285" s="6"/>
      <c r="S285" s="6"/>
      <c r="T285" s="6"/>
      <c r="U285" s="6"/>
      <c r="V285" s="6"/>
      <c r="W285" s="6"/>
      <c r="X285" s="6"/>
      <c r="Y285" s="6"/>
    </row>
    <row r="286" ht="14.25">
      <c r="B286" s="4" t="s">
        <v>69</v>
      </c>
      <c r="C286" s="4" t="s">
        <v>2180</v>
      </c>
      <c r="D286" s="4" t="s">
        <v>2181</v>
      </c>
      <c r="E286" s="4" t="s">
        <v>2182</v>
      </c>
      <c r="F286" s="4" t="str">
        <f>IFERROR(__XLUDF.DUMMYFUNCTION("PROPER(REGEXREPLACE(D271,""[^A-Za-z]+ "",""""))"),"Beyond Places")</f>
        <v xml:space="preserve">Beyond Places</v>
      </c>
      <c r="G286" s="4" t="s">
        <v>2183</v>
      </c>
      <c r="H286" s="4">
        <v>19</v>
      </c>
      <c r="I286" s="4" t="s">
        <v>36</v>
      </c>
      <c r="J286" s="5" t="s">
        <v>2184</v>
      </c>
      <c r="K286" s="5" t="s">
        <v>2185</v>
      </c>
      <c r="L286" s="4" t="s">
        <v>2186</v>
      </c>
      <c r="M286" s="4" t="s">
        <v>29</v>
      </c>
      <c r="N286" s="4" t="s">
        <v>2187</v>
      </c>
      <c r="O286" s="4" t="s">
        <v>29</v>
      </c>
      <c r="P286" s="4" t="s">
        <v>2188</v>
      </c>
      <c r="Q286" s="6"/>
      <c r="R286" s="6"/>
      <c r="S286" s="6"/>
      <c r="T286" s="6"/>
      <c r="U286" s="6"/>
      <c r="V286" s="6"/>
      <c r="W286" s="6"/>
      <c r="X286" s="6"/>
      <c r="Y286" s="6"/>
    </row>
    <row r="287" ht="14.25">
      <c r="B287" s="4" t="s">
        <v>76</v>
      </c>
      <c r="C287" s="4" t="s">
        <v>2189</v>
      </c>
      <c r="D287" s="4" t="s">
        <v>2190</v>
      </c>
      <c r="E287" s="4" t="s">
        <v>598</v>
      </c>
      <c r="F287" s="4" t="str">
        <f>IFERROR(__XLUDF.DUMMYFUNCTION("PROPER(REGEXREPLACE(D272,""[^A-Za-z]+ "",""""))"),"For True Foodies Only")</f>
        <v xml:space="preserve">For True Foodies Only</v>
      </c>
      <c r="G287" s="4" t="s">
        <v>2191</v>
      </c>
      <c r="H287" s="4">
        <v>9</v>
      </c>
      <c r="I287" s="4" t="s">
        <v>36</v>
      </c>
      <c r="J287" s="5" t="s">
        <v>2192</v>
      </c>
      <c r="K287" s="5" t="s">
        <v>601</v>
      </c>
      <c r="L287" s="4" t="s">
        <v>39</v>
      </c>
      <c r="M287" s="4" t="s">
        <v>29</v>
      </c>
      <c r="N287" s="4" t="s">
        <v>602</v>
      </c>
      <c r="O287" s="4" t="s">
        <v>29</v>
      </c>
      <c r="P287" s="4" t="s">
        <v>603</v>
      </c>
      <c r="Q287" s="6"/>
      <c r="R287" s="6"/>
      <c r="S287" s="6"/>
      <c r="T287" s="6"/>
      <c r="U287" s="6"/>
      <c r="V287" s="6"/>
      <c r="W287" s="6"/>
      <c r="X287" s="6"/>
      <c r="Y287" s="6"/>
    </row>
    <row r="288" ht="14.25">
      <c r="B288" s="4" t="s">
        <v>2193</v>
      </c>
      <c r="C288" s="4" t="s">
        <v>2194</v>
      </c>
      <c r="D288" s="4" t="s">
        <v>164</v>
      </c>
      <c r="E288" s="4" t="s">
        <v>2195</v>
      </c>
      <c r="F288" s="4" t="str">
        <f>IFERROR(__XLUDF.DUMMYFUNCTION("PROPER(REGEXREPLACE(D273,""[^A-Za-z]+ "",""""))"),"The French Bastards")</f>
        <v xml:space="preserve">The French Bastards</v>
      </c>
      <c r="G288" s="4" t="s">
        <v>2196</v>
      </c>
      <c r="H288" s="4">
        <v>17</v>
      </c>
      <c r="I288" s="4" t="s">
        <v>25</v>
      </c>
      <c r="J288" s="5" t="s">
        <v>2197</v>
      </c>
      <c r="K288" s="5" t="s">
        <v>2198</v>
      </c>
      <c r="L288" s="4" t="s">
        <v>149</v>
      </c>
      <c r="M288" s="4" t="s">
        <v>29</v>
      </c>
      <c r="N288" s="4" t="s">
        <v>2199</v>
      </c>
      <c r="O288" s="4" t="s">
        <v>29</v>
      </c>
      <c r="P288" s="4" t="s">
        <v>2200</v>
      </c>
      <c r="Q288" s="6"/>
      <c r="R288" s="6"/>
      <c r="S288" s="6"/>
      <c r="T288" s="6"/>
      <c r="U288" s="6"/>
      <c r="V288" s="6"/>
      <c r="W288" s="6"/>
      <c r="X288" s="6"/>
      <c r="Y288" s="6"/>
    </row>
    <row r="289" ht="14.25">
      <c r="B289" s="4" t="s">
        <v>2201</v>
      </c>
      <c r="C289" s="4" t="s">
        <v>2202</v>
      </c>
      <c r="D289" s="4" t="s">
        <v>164</v>
      </c>
      <c r="E289" s="4" t="s">
        <v>2203</v>
      </c>
      <c r="F289" s="4" t="str">
        <f>IFERROR(__XLUDF.DUMMYFUNCTION("PROPER(REGEXREPLACE(D274,""[^A-Za-z]+ "",""""))"),"Folo")</f>
        <v>Folo</v>
      </c>
      <c r="G289" s="4" t="s">
        <v>2204</v>
      </c>
      <c r="H289" s="4">
        <v>12</v>
      </c>
      <c r="I289" s="4" t="s">
        <v>25</v>
      </c>
      <c r="J289" s="5" t="s">
        <v>2205</v>
      </c>
      <c r="K289" s="5" t="s">
        <v>2206</v>
      </c>
      <c r="L289" s="4" t="s">
        <v>1826</v>
      </c>
      <c r="M289" s="4" t="s">
        <v>29</v>
      </c>
      <c r="N289" s="6"/>
      <c r="O289" s="6"/>
      <c r="P289" s="4" t="s">
        <v>2207</v>
      </c>
      <c r="Q289" s="6"/>
      <c r="R289" s="6"/>
      <c r="S289" s="6"/>
      <c r="T289" s="6"/>
      <c r="U289" s="6"/>
      <c r="V289" s="6"/>
      <c r="W289" s="6"/>
      <c r="X289" s="6"/>
      <c r="Y289" s="6"/>
    </row>
    <row r="290" ht="14.25">
      <c r="B290" s="4" t="s">
        <v>1324</v>
      </c>
      <c r="C290" s="4" t="s">
        <v>2208</v>
      </c>
      <c r="D290" s="4" t="s">
        <v>172</v>
      </c>
      <c r="E290" s="4" t="s">
        <v>2209</v>
      </c>
      <c r="F290" s="4" t="str">
        <f>IFERROR(__XLUDF.DUMMYFUNCTION("PROPER(REGEXREPLACE(D275,""[^A-Za-z]+ "",""""))"),"Gustave Hospitality")</f>
        <v xml:space="preserve">Gustave Hospitality</v>
      </c>
      <c r="G290" s="4" t="s">
        <v>2210</v>
      </c>
      <c r="H290" s="4">
        <v>32</v>
      </c>
      <c r="I290" s="4" t="s">
        <v>25</v>
      </c>
      <c r="J290" s="5" t="s">
        <v>2211</v>
      </c>
      <c r="K290" s="5" t="s">
        <v>2212</v>
      </c>
      <c r="L290" s="4" t="s">
        <v>243</v>
      </c>
      <c r="M290" s="4" t="s">
        <v>29</v>
      </c>
      <c r="N290" s="4" t="s">
        <v>929</v>
      </c>
      <c r="O290" s="4" t="s">
        <v>29</v>
      </c>
      <c r="P290" s="4" t="s">
        <v>2213</v>
      </c>
      <c r="Q290" s="6"/>
      <c r="R290" s="6"/>
      <c r="S290" s="6"/>
      <c r="T290" s="6"/>
      <c r="U290" s="6"/>
      <c r="V290" s="6"/>
      <c r="W290" s="6"/>
      <c r="X290" s="6"/>
      <c r="Y290" s="6"/>
    </row>
    <row r="291" ht="14.25">
      <c r="B291" s="4" t="s">
        <v>134</v>
      </c>
      <c r="C291" s="4" t="s">
        <v>2214</v>
      </c>
      <c r="D291" s="4" t="s">
        <v>172</v>
      </c>
      <c r="E291" s="4" t="s">
        <v>2215</v>
      </c>
      <c r="F291" s="4" t="str">
        <f>IFERROR(__XLUDF.DUMMYFUNCTION("PROPER(REGEXREPLACE(D276,""[^A-Za-z]+ "",""""))"),"Food And Cook")</f>
        <v xml:space="preserve">Food And Cook</v>
      </c>
      <c r="G291" s="4" t="s">
        <v>2216</v>
      </c>
      <c r="H291" s="6"/>
      <c r="I291" s="6"/>
      <c r="J291" s="5" t="s">
        <v>2217</v>
      </c>
      <c r="K291" s="5" t="s">
        <v>2218</v>
      </c>
      <c r="L291" s="4" t="s">
        <v>185</v>
      </c>
      <c r="M291" s="4" t="s">
        <v>29</v>
      </c>
      <c r="N291" s="4" t="s">
        <v>2219</v>
      </c>
      <c r="O291" s="4" t="s">
        <v>29</v>
      </c>
      <c r="P291" s="6"/>
      <c r="Q291" s="6"/>
      <c r="R291" s="6"/>
      <c r="S291" s="6"/>
      <c r="T291" s="6"/>
      <c r="U291" s="6"/>
      <c r="V291" s="6"/>
      <c r="W291" s="6"/>
      <c r="X291" s="6"/>
      <c r="Y291" s="6"/>
    </row>
    <row r="292" ht="14.25">
      <c r="B292" s="4" t="s">
        <v>743</v>
      </c>
      <c r="C292" s="4" t="s">
        <v>2220</v>
      </c>
      <c r="D292" s="4" t="s">
        <v>172</v>
      </c>
      <c r="E292" s="4" t="s">
        <v>949</v>
      </c>
      <c r="F292" s="4" t="str">
        <f>IFERROR(__XLUDF.DUMMYFUNCTION("PROPER(REGEXREPLACE(D277,""[^A-Za-z]+ "",""""))"),"The Condor At Chateau Du Coudreceau")</f>
        <v xml:space="preserve">The Condor At Chateau Du Coudreceau</v>
      </c>
      <c r="G292" s="4" t="s">
        <v>2221</v>
      </c>
      <c r="H292" s="4">
        <v>12</v>
      </c>
      <c r="I292" s="4" t="s">
        <v>36</v>
      </c>
      <c r="J292" s="5" t="s">
        <v>2222</v>
      </c>
      <c r="K292" s="5" t="s">
        <v>952</v>
      </c>
      <c r="L292" s="6"/>
      <c r="M292" s="4" t="s">
        <v>29</v>
      </c>
      <c r="N292" s="4" t="s">
        <v>953</v>
      </c>
      <c r="O292" s="4" t="s">
        <v>29</v>
      </c>
      <c r="P292" s="4" t="s">
        <v>954</v>
      </c>
      <c r="Q292" s="6"/>
      <c r="R292" s="6"/>
      <c r="S292" s="6"/>
      <c r="T292" s="6"/>
      <c r="U292" s="6"/>
      <c r="V292" s="6"/>
      <c r="W292" s="6"/>
      <c r="X292" s="6"/>
      <c r="Y292" s="6"/>
    </row>
    <row r="293" ht="14.25">
      <c r="B293" s="4" t="s">
        <v>170</v>
      </c>
      <c r="C293" s="4" t="s">
        <v>2223</v>
      </c>
      <c r="D293" s="4" t="s">
        <v>172</v>
      </c>
      <c r="E293" s="4" t="s">
        <v>852</v>
      </c>
      <c r="F293" s="4" t="str">
        <f>IFERROR(__XLUDF.DUMMYFUNCTION("PROPER(REGEXREPLACE(D278,""[^A-Za-z]+ "",""""))"),"The Ruck Hotel")</f>
        <v xml:space="preserve">The Ruck Hotel</v>
      </c>
      <c r="G293" s="4" t="s">
        <v>2224</v>
      </c>
      <c r="H293" s="4">
        <v>22</v>
      </c>
      <c r="I293" s="4" t="s">
        <v>36</v>
      </c>
      <c r="J293" s="5" t="s">
        <v>2225</v>
      </c>
      <c r="K293" s="5" t="s">
        <v>855</v>
      </c>
      <c r="L293" s="4" t="s">
        <v>846</v>
      </c>
      <c r="M293" s="4" t="s">
        <v>29</v>
      </c>
      <c r="N293" s="4" t="s">
        <v>856</v>
      </c>
      <c r="O293" s="4" t="s">
        <v>29</v>
      </c>
      <c r="P293" s="4" t="s">
        <v>857</v>
      </c>
      <c r="Q293" s="6"/>
      <c r="R293" s="6"/>
      <c r="S293" s="6"/>
      <c r="T293" s="6"/>
      <c r="U293" s="6"/>
      <c r="V293" s="6"/>
      <c r="W293" s="6"/>
      <c r="X293" s="6"/>
      <c r="Y293" s="6"/>
    </row>
    <row r="294" ht="14.25">
      <c r="B294" s="4" t="s">
        <v>2226</v>
      </c>
      <c r="C294" s="4" t="s">
        <v>2227</v>
      </c>
      <c r="D294" s="4" t="s">
        <v>2228</v>
      </c>
      <c r="E294" s="4" t="s">
        <v>2229</v>
      </c>
      <c r="F294" s="4" t="str">
        <f>IFERROR(__XLUDF.DUMMYFUNCTION("PROPER(REGEXREPLACE(D279,""[^A-Za-z]+ "",""""))"),"Cantine Et Gamelle")</f>
        <v xml:space="preserve">Cantine Et Gamelle</v>
      </c>
      <c r="G294" s="4" t="s">
        <v>2230</v>
      </c>
      <c r="H294" s="4">
        <v>6</v>
      </c>
      <c r="I294" s="4" t="s">
        <v>25</v>
      </c>
      <c r="J294" s="5" t="s">
        <v>2231</v>
      </c>
      <c r="K294" s="5" t="s">
        <v>2232</v>
      </c>
      <c r="L294" s="4" t="s">
        <v>39</v>
      </c>
      <c r="M294" s="4" t="s">
        <v>29</v>
      </c>
      <c r="N294" s="4" t="s">
        <v>2233</v>
      </c>
      <c r="O294" s="4" t="s">
        <v>29</v>
      </c>
      <c r="P294" s="4" t="s">
        <v>2234</v>
      </c>
      <c r="Q294" s="6"/>
      <c r="R294" s="6"/>
      <c r="S294" s="6"/>
      <c r="T294" s="6"/>
      <c r="U294" s="6"/>
      <c r="V294" s="6"/>
      <c r="W294" s="6"/>
      <c r="X294" s="6"/>
      <c r="Y294" s="6"/>
    </row>
    <row r="295" ht="14.25">
      <c r="B295" s="4" t="s">
        <v>963</v>
      </c>
      <c r="C295" s="4" t="s">
        <v>2235</v>
      </c>
      <c r="D295" s="4" t="s">
        <v>672</v>
      </c>
      <c r="E295" s="4" t="s">
        <v>2236</v>
      </c>
      <c r="F295" s="4" t="str">
        <f>IFERROR(__XLUDF.DUMMYFUNCTION("PROPER(REGEXREPLACE(D280,""[^A-Za-z]+ "",""""))"),"Eurochef")</f>
        <v>Eurochef</v>
      </c>
      <c r="G295" s="4" t="s">
        <v>2237</v>
      </c>
      <c r="H295" s="4">
        <v>32</v>
      </c>
      <c r="I295" s="4" t="s">
        <v>25</v>
      </c>
      <c r="J295" s="5" t="s">
        <v>2238</v>
      </c>
      <c r="K295" s="5" t="s">
        <v>2239</v>
      </c>
      <c r="L295" s="4" t="s">
        <v>39</v>
      </c>
      <c r="M295" s="4" t="s">
        <v>29</v>
      </c>
      <c r="N295" s="4" t="s">
        <v>2240</v>
      </c>
      <c r="O295" s="4" t="s">
        <v>29</v>
      </c>
      <c r="P295" s="4" t="s">
        <v>2241</v>
      </c>
      <c r="Q295" s="6"/>
      <c r="R295" s="6"/>
      <c r="S295" s="6"/>
      <c r="T295" s="6"/>
      <c r="U295" s="6"/>
      <c r="V295" s="6"/>
      <c r="W295" s="6"/>
      <c r="X295" s="6"/>
      <c r="Y295" s="6"/>
    </row>
    <row r="296" ht="14.25">
      <c r="B296" s="4" t="s">
        <v>2242</v>
      </c>
      <c r="C296" s="4" t="s">
        <v>2243</v>
      </c>
      <c r="D296" s="4" t="s">
        <v>1072</v>
      </c>
      <c r="E296" s="4" t="s">
        <v>2244</v>
      </c>
      <c r="F296" s="4" t="str">
        <f>IFERROR(__XLUDF.DUMMYFUNCTION("PROPER(REGEXREPLACE(D281,""[^A-Za-z]+ "",""""))"),"Maison Aleph")</f>
        <v xml:space="preserve">Maison Aleph</v>
      </c>
      <c r="G296" s="4" t="s">
        <v>2245</v>
      </c>
      <c r="H296" s="4">
        <v>10</v>
      </c>
      <c r="I296" s="4" t="s">
        <v>36</v>
      </c>
      <c r="J296" s="5" t="s">
        <v>2246</v>
      </c>
      <c r="K296" s="5" t="s">
        <v>2247</v>
      </c>
      <c r="L296" s="6"/>
      <c r="M296" s="4" t="s">
        <v>29</v>
      </c>
      <c r="N296" s="4" t="s">
        <v>2248</v>
      </c>
      <c r="O296" s="4" t="s">
        <v>29</v>
      </c>
      <c r="P296" s="6"/>
      <c r="Q296" s="6"/>
      <c r="R296" s="6"/>
      <c r="S296" s="6"/>
      <c r="T296" s="6"/>
      <c r="U296" s="6"/>
      <c r="V296" s="6"/>
      <c r="W296" s="6"/>
      <c r="X296" s="6"/>
      <c r="Y296" s="6"/>
    </row>
    <row r="297" ht="14.25">
      <c r="B297" s="4" t="s">
        <v>2249</v>
      </c>
      <c r="C297" s="4" t="s">
        <v>2250</v>
      </c>
      <c r="D297" s="4" t="s">
        <v>2251</v>
      </c>
      <c r="E297" s="4" t="s">
        <v>2252</v>
      </c>
      <c r="F297" s="4" t="str">
        <f>IFERROR(__XLUDF.DUMMYFUNCTION("PROPER(REGEXREPLACE(D282,""[^A-Za-z]+ "",""""))"),"Local Coffee")</f>
        <v xml:space="preserve">Local Coffee</v>
      </c>
      <c r="G297" s="4" t="s">
        <v>2253</v>
      </c>
      <c r="H297" s="4">
        <v>39</v>
      </c>
      <c r="I297" s="4" t="s">
        <v>25</v>
      </c>
      <c r="J297" s="5" t="s">
        <v>2254</v>
      </c>
      <c r="K297" s="5" t="s">
        <v>2255</v>
      </c>
      <c r="L297" s="6"/>
      <c r="M297" s="4" t="s">
        <v>29</v>
      </c>
      <c r="N297" s="4" t="s">
        <v>2256</v>
      </c>
      <c r="O297" s="4" t="s">
        <v>29</v>
      </c>
      <c r="P297" s="4" t="s">
        <v>2257</v>
      </c>
      <c r="Q297" s="6"/>
      <c r="R297" s="6"/>
      <c r="S297" s="6"/>
      <c r="T297" s="6"/>
      <c r="U297" s="6"/>
      <c r="V297" s="6"/>
      <c r="W297" s="6"/>
      <c r="X297" s="6"/>
      <c r="Y297" s="6"/>
    </row>
    <row r="298" ht="14.25">
      <c r="B298" s="4" t="s">
        <v>2258</v>
      </c>
      <c r="C298" s="4" t="s">
        <v>2259</v>
      </c>
      <c r="D298" s="4" t="s">
        <v>62</v>
      </c>
      <c r="E298" s="4" t="s">
        <v>2260</v>
      </c>
      <c r="F298" s="4" t="str">
        <f>IFERROR(__XLUDF.DUMMYFUNCTION("PROPER(REGEXREPLACE(D283,""[^A-Za-z]+ "",""""))"),"Artichef")</f>
        <v>Artichef</v>
      </c>
      <c r="G298" s="4" t="s">
        <v>2261</v>
      </c>
      <c r="H298" s="4">
        <v>10</v>
      </c>
      <c r="I298" s="4" t="s">
        <v>25</v>
      </c>
      <c r="J298" s="5" t="s">
        <v>2262</v>
      </c>
      <c r="K298" s="5" t="s">
        <v>2263</v>
      </c>
      <c r="L298" s="6"/>
      <c r="M298" s="4" t="s">
        <v>29</v>
      </c>
      <c r="N298" s="4" t="s">
        <v>67</v>
      </c>
      <c r="O298" s="4" t="s">
        <v>29</v>
      </c>
      <c r="P298" s="4" t="s">
        <v>2264</v>
      </c>
      <c r="Q298" s="6"/>
      <c r="R298" s="6"/>
      <c r="S298" s="6"/>
      <c r="T298" s="6"/>
      <c r="U298" s="6"/>
      <c r="V298" s="6"/>
      <c r="W298" s="6"/>
      <c r="X298" s="6"/>
      <c r="Y298" s="6"/>
    </row>
    <row r="299" ht="14.25">
      <c r="B299" s="4" t="s">
        <v>1153</v>
      </c>
      <c r="C299" s="4" t="s">
        <v>2265</v>
      </c>
      <c r="D299" s="4" t="s">
        <v>2266</v>
      </c>
      <c r="E299" s="4" t="s">
        <v>2267</v>
      </c>
      <c r="F299" s="4" t="str">
        <f>IFERROR(__XLUDF.DUMMYFUNCTION("PROPER(REGEXREPLACE(D284,""[^A-Za-z]+ "",""""))"),"Mika Sushi")</f>
        <v xml:space="preserve">Mika Sushi</v>
      </c>
      <c r="G299" s="4" t="s">
        <v>2268</v>
      </c>
      <c r="H299" s="4">
        <v>2</v>
      </c>
      <c r="I299" s="4" t="s">
        <v>25</v>
      </c>
      <c r="J299" s="5" t="s">
        <v>2269</v>
      </c>
      <c r="K299" s="5" t="s">
        <v>2270</v>
      </c>
      <c r="L299" s="4" t="s">
        <v>39</v>
      </c>
      <c r="M299" s="4" t="s">
        <v>29</v>
      </c>
      <c r="N299" s="4" t="s">
        <v>67</v>
      </c>
      <c r="O299" s="4" t="s">
        <v>29</v>
      </c>
      <c r="P299" s="4" t="s">
        <v>2271</v>
      </c>
      <c r="Q299" s="6"/>
      <c r="R299" s="6"/>
      <c r="S299" s="6"/>
      <c r="T299" s="6"/>
      <c r="U299" s="6"/>
      <c r="V299" s="6"/>
      <c r="W299" s="6"/>
      <c r="X299" s="6"/>
      <c r="Y299" s="6"/>
    </row>
    <row r="300" ht="14.25">
      <c r="B300" s="4" t="s">
        <v>2272</v>
      </c>
      <c r="C300" s="4" t="s">
        <v>2273</v>
      </c>
      <c r="D300" s="4" t="s">
        <v>2274</v>
      </c>
      <c r="E300" s="4" t="s">
        <v>2275</v>
      </c>
      <c r="F300" s="4" t="str">
        <f>IFERROR(__XLUDF.DUMMYFUNCTION("PROPER(REGEXREPLACE(D285,""[^A-Za-z]+ "",""""))"),"Wingschill")</f>
        <v>Wingschill</v>
      </c>
      <c r="G300" s="4" t="s">
        <v>2276</v>
      </c>
      <c r="H300" s="4">
        <v>3</v>
      </c>
      <c r="I300" s="4" t="s">
        <v>25</v>
      </c>
      <c r="J300" s="5" t="s">
        <v>2277</v>
      </c>
      <c r="K300" s="5" t="s">
        <v>2278</v>
      </c>
      <c r="L300" s="4" t="s">
        <v>39</v>
      </c>
      <c r="M300" s="4" t="s">
        <v>29</v>
      </c>
      <c r="N300" s="4" t="s">
        <v>2279</v>
      </c>
      <c r="O300" s="4" t="s">
        <v>29</v>
      </c>
      <c r="P300" s="4" t="s">
        <v>2280</v>
      </c>
      <c r="Q300" s="6"/>
      <c r="R300" s="6"/>
      <c r="S300" s="6"/>
      <c r="T300" s="6"/>
      <c r="U300" s="6"/>
      <c r="V300" s="6"/>
      <c r="W300" s="6"/>
      <c r="X300" s="6"/>
      <c r="Y300" s="6"/>
    </row>
    <row r="301" ht="14.25">
      <c r="B301" s="4" t="s">
        <v>110</v>
      </c>
      <c r="C301" s="4" t="s">
        <v>1354</v>
      </c>
      <c r="D301" s="4" t="s">
        <v>2281</v>
      </c>
      <c r="E301" s="4" t="s">
        <v>2282</v>
      </c>
      <c r="F301" s="4" t="str">
        <f>IFERROR(__XLUDF.DUMMYFUNCTION("PROPER(REGEXREPLACE(D286,""[^A-Za-z]+ "",""""))"),"Hôtelrestaurants Christopher Coutanceau")</f>
        <v xml:space="preserve">Hôtelrestaurants Christopher Coutanceau</v>
      </c>
      <c r="G301" s="4" t="s">
        <v>2283</v>
      </c>
      <c r="H301" s="4">
        <v>21</v>
      </c>
      <c r="I301" s="4" t="s">
        <v>36</v>
      </c>
      <c r="J301" s="5" t="s">
        <v>2284</v>
      </c>
      <c r="K301" s="5" t="s">
        <v>2285</v>
      </c>
      <c r="L301" s="4" t="s">
        <v>1826</v>
      </c>
      <c r="M301" s="4" t="s">
        <v>29</v>
      </c>
      <c r="N301" s="4" t="s">
        <v>2286</v>
      </c>
      <c r="O301" s="4" t="s">
        <v>29</v>
      </c>
      <c r="P301" s="4" t="s">
        <v>2287</v>
      </c>
      <c r="Q301" s="6"/>
      <c r="R301" s="6"/>
      <c r="S301" s="6"/>
      <c r="T301" s="6"/>
      <c r="U301" s="6"/>
      <c r="V301" s="6"/>
      <c r="W301" s="6"/>
      <c r="X301" s="6"/>
      <c r="Y301" s="6"/>
    </row>
    <row r="302" ht="14.25">
      <c r="B302" s="4" t="s">
        <v>170</v>
      </c>
      <c r="C302" s="4" t="s">
        <v>630</v>
      </c>
      <c r="D302" s="4" t="s">
        <v>341</v>
      </c>
      <c r="E302" s="4" t="s">
        <v>1749</v>
      </c>
      <c r="F302" s="4" t="str">
        <f>IFERROR(__XLUDF.DUMMYFUNCTION("PROPER(REGEXREPLACE(D287,""[^A-Za-z]+ "",""""))"),"Bomaye")</f>
        <v>Bomaye</v>
      </c>
      <c r="G302" s="4" t="s">
        <v>2288</v>
      </c>
      <c r="H302" s="4">
        <v>42</v>
      </c>
      <c r="I302" s="4" t="s">
        <v>25</v>
      </c>
      <c r="J302" s="5" t="s">
        <v>2289</v>
      </c>
      <c r="K302" s="5" t="s">
        <v>1752</v>
      </c>
      <c r="L302" s="4" t="s">
        <v>39</v>
      </c>
      <c r="M302" s="4" t="s">
        <v>29</v>
      </c>
      <c r="N302" s="4" t="s">
        <v>1753</v>
      </c>
      <c r="O302" s="4" t="s">
        <v>29</v>
      </c>
      <c r="P302" s="6"/>
      <c r="Q302" s="6"/>
      <c r="R302" s="6"/>
      <c r="S302" s="6"/>
      <c r="T302" s="6"/>
      <c r="U302" s="6"/>
      <c r="V302" s="6"/>
      <c r="W302" s="6"/>
      <c r="X302" s="6"/>
      <c r="Y302" s="6"/>
    </row>
    <row r="303" ht="14.25">
      <c r="B303" s="4" t="s">
        <v>2290</v>
      </c>
      <c r="C303" s="4" t="s">
        <v>2291</v>
      </c>
      <c r="D303" s="4" t="s">
        <v>2292</v>
      </c>
      <c r="E303" s="4" t="s">
        <v>2293</v>
      </c>
      <c r="F303" s="4" t="str">
        <f>IFERROR(__XLUDF.DUMMYFUNCTION("PROPER(REGEXREPLACE(D288,""[^A-Za-z]+ "",""""))"),"La Mainaz Hôtel ****")</f>
        <v xml:space="preserve">La Mainaz Hôtel ****</v>
      </c>
      <c r="G303" s="4" t="s">
        <v>2294</v>
      </c>
      <c r="H303" s="4">
        <v>23</v>
      </c>
      <c r="I303" s="4" t="s">
        <v>36</v>
      </c>
      <c r="J303" s="5" t="s">
        <v>2295</v>
      </c>
      <c r="K303" s="5" t="s">
        <v>2296</v>
      </c>
      <c r="L303" s="4" t="s">
        <v>39</v>
      </c>
      <c r="M303" s="4" t="s">
        <v>29</v>
      </c>
      <c r="N303" s="4" t="s">
        <v>2297</v>
      </c>
      <c r="O303" s="4" t="s">
        <v>29</v>
      </c>
      <c r="P303" s="4" t="s">
        <v>2298</v>
      </c>
      <c r="Q303" s="6"/>
      <c r="R303" s="6"/>
      <c r="S303" s="6"/>
      <c r="T303" s="6"/>
      <c r="U303" s="6"/>
      <c r="V303" s="6"/>
      <c r="W303" s="6"/>
      <c r="X303" s="6"/>
      <c r="Y303" s="6"/>
    </row>
    <row r="304" ht="14.25">
      <c r="B304" s="4" t="s">
        <v>2299</v>
      </c>
      <c r="C304" s="4" t="s">
        <v>2300</v>
      </c>
      <c r="D304" s="4" t="s">
        <v>120</v>
      </c>
      <c r="E304" s="4" t="s">
        <v>896</v>
      </c>
      <c r="F304" s="4" t="str">
        <f>IFERROR(__XLUDF.DUMMYFUNCTION("PROPER(REGEXREPLACE(D289,""[^A-Za-z]+ "",""""))"),"Agh Hospitality")</f>
        <v xml:space="preserve">Agh Hospitality</v>
      </c>
      <c r="G304" s="4" t="s">
        <v>2301</v>
      </c>
      <c r="H304" s="4">
        <v>62</v>
      </c>
      <c r="I304" s="4" t="s">
        <v>36</v>
      </c>
      <c r="J304" s="5" t="s">
        <v>2302</v>
      </c>
      <c r="K304" s="5" t="s">
        <v>899</v>
      </c>
      <c r="L304" s="4" t="s">
        <v>49</v>
      </c>
      <c r="M304" s="4" t="s">
        <v>29</v>
      </c>
      <c r="N304" s="4" t="s">
        <v>416</v>
      </c>
      <c r="O304" s="4" t="s">
        <v>29</v>
      </c>
      <c r="P304" s="4" t="s">
        <v>900</v>
      </c>
      <c r="Q304" s="6"/>
      <c r="R304" s="6"/>
      <c r="S304" s="6"/>
      <c r="T304" s="6"/>
      <c r="U304" s="6"/>
      <c r="V304" s="6"/>
      <c r="W304" s="6"/>
      <c r="X304" s="6"/>
      <c r="Y304" s="6"/>
    </row>
    <row r="305" ht="14.25">
      <c r="B305" s="4" t="s">
        <v>2303</v>
      </c>
      <c r="C305" s="4" t="s">
        <v>2304</v>
      </c>
      <c r="D305" s="4" t="s">
        <v>365</v>
      </c>
      <c r="E305" s="4" t="s">
        <v>2305</v>
      </c>
      <c r="F305" s="4" t="str">
        <f>IFERROR(__XLUDF.DUMMYFUNCTION("PROPER(REGEXREPLACE(D290,""[^A-Za-z]+ "",""""))"),"Le Boutique Hotels Collection")</f>
        <v xml:space="preserve">Le Boutique Hotels Collection</v>
      </c>
      <c r="G305" s="4" t="s">
        <v>2306</v>
      </c>
      <c r="H305" s="4">
        <v>30</v>
      </c>
      <c r="I305" s="4" t="s">
        <v>25</v>
      </c>
      <c r="J305" s="5" t="s">
        <v>2307</v>
      </c>
      <c r="K305" s="5" t="s">
        <v>2308</v>
      </c>
      <c r="L305" s="4" t="s">
        <v>1826</v>
      </c>
      <c r="M305" s="4" t="s">
        <v>29</v>
      </c>
      <c r="N305" s="4" t="s">
        <v>2309</v>
      </c>
      <c r="O305" s="4" t="s">
        <v>29</v>
      </c>
      <c r="P305" s="4" t="s">
        <v>2310</v>
      </c>
      <c r="Q305" s="6"/>
      <c r="R305" s="6"/>
      <c r="S305" s="6"/>
      <c r="T305" s="6"/>
      <c r="U305" s="6"/>
      <c r="V305" s="6"/>
      <c r="W305" s="6"/>
      <c r="X305" s="6"/>
      <c r="Y305" s="6"/>
    </row>
    <row r="306" ht="14.25">
      <c r="B306" s="4" t="s">
        <v>2311</v>
      </c>
      <c r="C306" s="4" t="s">
        <v>2312</v>
      </c>
      <c r="D306" s="4" t="s">
        <v>172</v>
      </c>
      <c r="E306" s="4" t="s">
        <v>2313</v>
      </c>
      <c r="F306" s="4" t="str">
        <f>IFERROR(__XLUDF.DUMMYFUNCTION("PROPER(REGEXREPLACE(D291,""[^A-Za-z]+ "",""""))"),"Greekia")</f>
        <v>Greekia</v>
      </c>
      <c r="G306" s="4" t="s">
        <v>2314</v>
      </c>
      <c r="H306" s="4">
        <v>16</v>
      </c>
      <c r="I306" s="4" t="s">
        <v>36</v>
      </c>
      <c r="J306" s="5" t="s">
        <v>2315</v>
      </c>
      <c r="K306" s="5" t="s">
        <v>2316</v>
      </c>
      <c r="L306" s="4" t="s">
        <v>39</v>
      </c>
      <c r="M306" s="4" t="s">
        <v>29</v>
      </c>
      <c r="N306" s="4" t="s">
        <v>2317</v>
      </c>
      <c r="O306" s="4" t="s">
        <v>29</v>
      </c>
      <c r="P306" s="6"/>
      <c r="Q306" s="6"/>
      <c r="R306" s="6"/>
      <c r="S306" s="6"/>
      <c r="T306" s="6"/>
      <c r="U306" s="6"/>
      <c r="V306" s="6"/>
      <c r="W306" s="6"/>
      <c r="X306" s="6"/>
      <c r="Y306" s="6"/>
    </row>
    <row r="307" ht="14.25">
      <c r="B307" s="4" t="s">
        <v>768</v>
      </c>
      <c r="C307" s="4" t="s">
        <v>2318</v>
      </c>
      <c r="D307" s="4" t="s">
        <v>426</v>
      </c>
      <c r="E307" s="4" t="s">
        <v>2319</v>
      </c>
      <c r="F307" s="4" t="str">
        <f>IFERROR(__XLUDF.DUMMYFUNCTION("PROPER(REGEXREPLACE(D292,""[^A-Za-z]+ "",""""))"),"Kawaa")</f>
        <v>Kawaa</v>
      </c>
      <c r="G307" s="4" t="s">
        <v>2320</v>
      </c>
      <c r="H307" s="4">
        <v>42</v>
      </c>
      <c r="I307" s="4" t="s">
        <v>25</v>
      </c>
      <c r="J307" s="5" t="s">
        <v>2321</v>
      </c>
      <c r="K307" s="5" t="s">
        <v>2322</v>
      </c>
      <c r="L307" s="4" t="s">
        <v>243</v>
      </c>
      <c r="M307" s="4" t="s">
        <v>29</v>
      </c>
      <c r="N307" s="4" t="s">
        <v>2323</v>
      </c>
      <c r="O307" s="4" t="s">
        <v>29</v>
      </c>
      <c r="P307" s="4" t="s">
        <v>2324</v>
      </c>
      <c r="Q307" s="6"/>
      <c r="R307" s="6"/>
      <c r="S307" s="6"/>
      <c r="T307" s="6"/>
      <c r="U307" s="6"/>
      <c r="V307" s="6"/>
      <c r="W307" s="6"/>
      <c r="X307" s="6"/>
      <c r="Y307" s="6"/>
    </row>
    <row r="308" ht="14.25">
      <c r="B308" s="4" t="s">
        <v>2325</v>
      </c>
      <c r="C308" s="4" t="s">
        <v>2326</v>
      </c>
      <c r="D308" s="4" t="s">
        <v>172</v>
      </c>
      <c r="E308" s="4" t="s">
        <v>2327</v>
      </c>
      <c r="F308" s="4" t="str">
        <f>IFERROR(__XLUDF.DUMMYFUNCTION("PROPER(REGEXREPLACE(D293,""[^A-Za-z]+ "",""""))"),"Nlille")</f>
        <v>Nlille</v>
      </c>
      <c r="G308" s="4" t="s">
        <v>2328</v>
      </c>
      <c r="H308" s="4">
        <v>35</v>
      </c>
      <c r="I308" s="4" t="s">
        <v>25</v>
      </c>
      <c r="J308" s="5" t="s">
        <v>2329</v>
      </c>
      <c r="K308" s="5" t="s">
        <v>2330</v>
      </c>
      <c r="L308" s="4" t="s">
        <v>39</v>
      </c>
      <c r="M308" s="4" t="s">
        <v>29</v>
      </c>
      <c r="N308" s="4" t="s">
        <v>1084</v>
      </c>
      <c r="O308" s="4" t="s">
        <v>29</v>
      </c>
      <c r="P308" s="4" t="s">
        <v>2331</v>
      </c>
      <c r="Q308" s="6"/>
      <c r="R308" s="6"/>
      <c r="S308" s="6"/>
      <c r="T308" s="6"/>
      <c r="U308" s="6"/>
      <c r="V308" s="6"/>
      <c r="W308" s="6"/>
      <c r="X308" s="6"/>
      <c r="Y308" s="6"/>
    </row>
    <row r="309" ht="14.25">
      <c r="B309" s="4" t="s">
        <v>1815</v>
      </c>
      <c r="C309" s="4" t="s">
        <v>2332</v>
      </c>
      <c r="D309" s="4" t="s">
        <v>2333</v>
      </c>
      <c r="E309" s="4" t="s">
        <v>2334</v>
      </c>
      <c r="F309" s="4" t="str">
        <f>IFERROR(__XLUDF.DUMMYFUNCTION("PROPER(REGEXREPLACE(D294,""[^A-Za-z]+ "",""""))"),"Paris Perfect")</f>
        <v xml:space="preserve">Paris Perfect</v>
      </c>
      <c r="G309" s="4" t="s">
        <v>2335</v>
      </c>
      <c r="H309" s="4">
        <v>9</v>
      </c>
      <c r="I309" s="4" t="s">
        <v>36</v>
      </c>
      <c r="J309" s="5" t="s">
        <v>2336</v>
      </c>
      <c r="K309" s="5" t="s">
        <v>2337</v>
      </c>
      <c r="L309" s="4" t="s">
        <v>185</v>
      </c>
      <c r="M309" s="4" t="s">
        <v>29</v>
      </c>
      <c r="N309" s="4" t="s">
        <v>2338</v>
      </c>
      <c r="O309" s="4" t="s">
        <v>29</v>
      </c>
      <c r="P309" s="4" t="s">
        <v>2339</v>
      </c>
      <c r="Q309" s="6"/>
      <c r="R309" s="6"/>
      <c r="S309" s="6"/>
      <c r="T309" s="6"/>
      <c r="U309" s="6"/>
      <c r="V309" s="6"/>
      <c r="W309" s="6"/>
      <c r="X309" s="6"/>
      <c r="Y309" s="6"/>
    </row>
    <row r="310" ht="14.25">
      <c r="B310" s="4" t="s">
        <v>2340</v>
      </c>
      <c r="C310" s="4" t="s">
        <v>2341</v>
      </c>
      <c r="D310" s="4" t="s">
        <v>172</v>
      </c>
      <c r="E310" s="4" t="s">
        <v>2342</v>
      </c>
      <c r="F310" s="4" t="str">
        <f>IFERROR(__XLUDF.DUMMYFUNCTION("PROPER(REGEXREPLACE(D295,""[^A-Za-z]+ "",""""))"),"Loungeup")</f>
        <v>Loungeup</v>
      </c>
      <c r="G310" s="4" t="s">
        <v>2343</v>
      </c>
      <c r="H310" s="4">
        <v>17</v>
      </c>
      <c r="I310" s="4" t="s">
        <v>25</v>
      </c>
      <c r="J310" s="5" t="s">
        <v>2344</v>
      </c>
      <c r="K310" s="5" t="s">
        <v>2345</v>
      </c>
      <c r="L310" s="4" t="s">
        <v>482</v>
      </c>
      <c r="M310" s="4" t="s">
        <v>29</v>
      </c>
      <c r="N310" s="4" t="s">
        <v>2346</v>
      </c>
      <c r="O310" s="4" t="s">
        <v>29</v>
      </c>
      <c r="P310" s="4" t="s">
        <v>2347</v>
      </c>
      <c r="Q310" s="6"/>
      <c r="R310" s="6"/>
      <c r="S310" s="6"/>
      <c r="T310" s="6"/>
      <c r="U310" s="6"/>
      <c r="V310" s="6"/>
      <c r="W310" s="6"/>
      <c r="X310" s="6"/>
      <c r="Y310" s="6"/>
    </row>
    <row r="311" ht="14.25">
      <c r="B311" s="4" t="s">
        <v>2348</v>
      </c>
      <c r="C311" s="4" t="s">
        <v>2349</v>
      </c>
      <c r="D311" s="4" t="s">
        <v>172</v>
      </c>
      <c r="E311" s="4" t="s">
        <v>2350</v>
      </c>
      <c r="F311" s="4" t="str">
        <f>IFERROR(__XLUDF.DUMMYFUNCTION("PROPER(REGEXREPLACE(D296,""[^A-Za-z]+ "",""""))"),"Pedzouille")</f>
        <v>Pedzouille</v>
      </c>
      <c r="G311" s="4" t="s">
        <v>2351</v>
      </c>
      <c r="H311" s="4">
        <v>19</v>
      </c>
      <c r="I311" s="4" t="s">
        <v>25</v>
      </c>
      <c r="J311" s="5" t="s">
        <v>2352</v>
      </c>
      <c r="K311" s="5" t="s">
        <v>2353</v>
      </c>
      <c r="L311" s="4" t="s">
        <v>2354</v>
      </c>
      <c r="M311" s="4" t="s">
        <v>29</v>
      </c>
      <c r="N311" s="4" t="s">
        <v>2355</v>
      </c>
      <c r="O311" s="4" t="s">
        <v>29</v>
      </c>
      <c r="P311" s="4" t="s">
        <v>2356</v>
      </c>
      <c r="Q311" s="6"/>
      <c r="R311" s="6"/>
      <c r="S311" s="6"/>
      <c r="T311" s="6"/>
      <c r="U311" s="6"/>
      <c r="V311" s="6"/>
      <c r="W311" s="6"/>
      <c r="X311" s="6"/>
      <c r="Y311" s="6"/>
    </row>
    <row r="312" ht="14.25">
      <c r="B312" s="4" t="s">
        <v>95</v>
      </c>
      <c r="C312" s="4" t="s">
        <v>2357</v>
      </c>
      <c r="D312" s="4" t="s">
        <v>172</v>
      </c>
      <c r="E312" s="4" t="s">
        <v>2358</v>
      </c>
      <c r="F312" s="4" t="str">
        <f>IFERROR(__XLUDF.DUMMYFUNCTION("PROPER(REGEXREPLACE(D297,""[^A-Za-z]+ "",""""))"),"Le Barn Hôtel")</f>
        <v xml:space="preserve">Le Barn Hôtel</v>
      </c>
      <c r="G312" s="4" t="s">
        <v>2359</v>
      </c>
      <c r="H312" s="4">
        <v>8</v>
      </c>
      <c r="I312" s="4" t="s">
        <v>25</v>
      </c>
      <c r="J312" s="5" t="s">
        <v>2360</v>
      </c>
      <c r="K312" s="5" t="s">
        <v>2361</v>
      </c>
      <c r="L312" s="6"/>
      <c r="M312" s="4" t="s">
        <v>29</v>
      </c>
      <c r="N312" s="4" t="s">
        <v>2362</v>
      </c>
      <c r="O312" s="4" t="s">
        <v>29</v>
      </c>
      <c r="P312" s="4" t="s">
        <v>2363</v>
      </c>
      <c r="Q312" s="6"/>
      <c r="R312" s="6"/>
      <c r="S312" s="6"/>
      <c r="T312" s="6"/>
      <c r="U312" s="6"/>
      <c r="V312" s="6"/>
      <c r="W312" s="6"/>
      <c r="X312" s="6"/>
      <c r="Y312" s="6"/>
    </row>
    <row r="313" ht="14.25">
      <c r="B313" s="4" t="s">
        <v>2364</v>
      </c>
      <c r="C313" s="4" t="s">
        <v>2365</v>
      </c>
      <c r="D313" s="4" t="s">
        <v>172</v>
      </c>
      <c r="E313" s="4" t="s">
        <v>2366</v>
      </c>
      <c r="F313" s="4" t="str">
        <f>IFERROR(__XLUDF.DUMMYFUNCTION("PROPER(REGEXREPLACE(D298,""[^A-Za-z]+ "",""""))"),"Likibu")</f>
        <v>Likibu</v>
      </c>
      <c r="G313" s="4" t="s">
        <v>2367</v>
      </c>
      <c r="H313" s="4">
        <v>5</v>
      </c>
      <c r="I313" s="4" t="s">
        <v>25</v>
      </c>
      <c r="J313" s="5" t="s">
        <v>2368</v>
      </c>
      <c r="K313" s="5" t="s">
        <v>2369</v>
      </c>
      <c r="L313" s="6"/>
      <c r="M313" s="4" t="s">
        <v>29</v>
      </c>
      <c r="N313" s="4" t="s">
        <v>2370</v>
      </c>
      <c r="O313" s="4" t="s">
        <v>29</v>
      </c>
      <c r="P313" s="4" t="s">
        <v>2371</v>
      </c>
      <c r="Q313" s="6"/>
      <c r="R313" s="6"/>
      <c r="S313" s="6"/>
      <c r="T313" s="6"/>
      <c r="U313" s="6"/>
      <c r="V313" s="6"/>
      <c r="W313" s="6"/>
      <c r="X313" s="6"/>
      <c r="Y313" s="6"/>
    </row>
    <row r="314" ht="14.25">
      <c r="B314" s="4" t="s">
        <v>2372</v>
      </c>
      <c r="C314" s="4" t="s">
        <v>2373</v>
      </c>
      <c r="D314" s="4" t="s">
        <v>172</v>
      </c>
      <c r="E314" s="4" t="s">
        <v>2374</v>
      </c>
      <c r="F314" s="4" t="str">
        <f>IFERROR(__XLUDF.DUMMYFUNCTION("PROPER(REGEXREPLACE(D299,""[^A-Za-z]+ "",""""))"),"Hdc Hospitality")</f>
        <v xml:space="preserve">Hdc Hospitality</v>
      </c>
      <c r="G314" s="4" t="s">
        <v>2375</v>
      </c>
      <c r="H314" s="4">
        <v>31</v>
      </c>
      <c r="I314" s="4" t="s">
        <v>25</v>
      </c>
      <c r="J314" s="5" t="s">
        <v>2376</v>
      </c>
      <c r="K314" s="5" t="s">
        <v>2377</v>
      </c>
      <c r="L314" s="4" t="s">
        <v>39</v>
      </c>
      <c r="M314" s="4" t="s">
        <v>29</v>
      </c>
      <c r="N314" s="4" t="s">
        <v>2378</v>
      </c>
      <c r="O314" s="4" t="s">
        <v>29</v>
      </c>
      <c r="P314" s="4" t="s">
        <v>2379</v>
      </c>
      <c r="Q314" s="6"/>
      <c r="R314" s="6"/>
      <c r="S314" s="6"/>
      <c r="T314" s="6"/>
      <c r="U314" s="6"/>
      <c r="V314" s="6"/>
      <c r="W314" s="6"/>
      <c r="X314" s="6"/>
      <c r="Y314" s="6"/>
    </row>
    <row r="315" ht="14.25">
      <c r="B315" s="4" t="s">
        <v>2380</v>
      </c>
      <c r="C315" s="4" t="s">
        <v>2381</v>
      </c>
      <c r="D315" s="4" t="s">
        <v>2382</v>
      </c>
      <c r="E315" s="5" t="s">
        <v>2383</v>
      </c>
      <c r="F315" s="4" t="str">
        <f>IFERROR(__XLUDF.DUMMYFUNCTION("PROPER(REGEXREPLACE(D300,""[^A-Za-z]+ "",""""))"),"Klimb Up Hotels")</f>
        <v xml:space="preserve">Klimb Up Hotels</v>
      </c>
      <c r="G315" s="4" t="s">
        <v>2384</v>
      </c>
      <c r="H315" s="4">
        <v>8</v>
      </c>
      <c r="I315" s="4" t="s">
        <v>90</v>
      </c>
      <c r="J315" s="5" t="s">
        <v>2385</v>
      </c>
      <c r="K315" s="5" t="s">
        <v>2386</v>
      </c>
      <c r="L315" s="4" t="s">
        <v>39</v>
      </c>
      <c r="M315" s="4" t="s">
        <v>29</v>
      </c>
      <c r="N315" s="4" t="s">
        <v>2387</v>
      </c>
      <c r="O315" s="4" t="s">
        <v>2388</v>
      </c>
      <c r="P315" s="4" t="s">
        <v>2389</v>
      </c>
      <c r="Q315" s="6"/>
      <c r="R315" s="6"/>
      <c r="S315" s="6"/>
      <c r="T315" s="6"/>
      <c r="U315" s="6"/>
      <c r="V315" s="6"/>
      <c r="W315" s="6"/>
      <c r="X315" s="6"/>
      <c r="Y315" s="6"/>
    </row>
    <row r="316" ht="14.25">
      <c r="B316" s="4" t="s">
        <v>1387</v>
      </c>
      <c r="C316" s="4" t="s">
        <v>2390</v>
      </c>
      <c r="D316" s="4" t="s">
        <v>120</v>
      </c>
      <c r="E316" s="4" t="s">
        <v>2391</v>
      </c>
      <c r="F316" s="4" t="str">
        <f>IFERROR(__XLUDF.DUMMYFUNCTION("PROPER(REGEXREPLACE(D301,""[^A-Za-z]+ "",""""))"),"Poutinebros")</f>
        <v>Poutinebros</v>
      </c>
      <c r="G316" s="4" t="s">
        <v>2392</v>
      </c>
      <c r="H316" s="4">
        <v>4</v>
      </c>
      <c r="I316" s="4" t="s">
        <v>36</v>
      </c>
      <c r="J316" s="5" t="s">
        <v>2393</v>
      </c>
      <c r="K316" s="5" t="s">
        <v>2394</v>
      </c>
      <c r="L316" s="4" t="s">
        <v>2395</v>
      </c>
      <c r="M316" s="4" t="s">
        <v>29</v>
      </c>
      <c r="N316" s="4" t="s">
        <v>2396</v>
      </c>
      <c r="O316" s="4" t="s">
        <v>29</v>
      </c>
      <c r="P316" s="4" t="s">
        <v>2397</v>
      </c>
      <c r="Q316" s="6"/>
      <c r="R316" s="6"/>
      <c r="S316" s="6"/>
      <c r="T316" s="6"/>
      <c r="U316" s="6"/>
      <c r="V316" s="6"/>
      <c r="W316" s="6"/>
      <c r="X316" s="6"/>
      <c r="Y316" s="6"/>
    </row>
    <row r="317" ht="14.25">
      <c r="B317" s="4" t="s">
        <v>2398</v>
      </c>
      <c r="C317" s="4" t="s">
        <v>2399</v>
      </c>
      <c r="D317" s="4" t="s">
        <v>315</v>
      </c>
      <c r="E317" s="4" t="s">
        <v>2400</v>
      </c>
      <c r="F317" s="4" t="str">
        <f>IFERROR(__XLUDF.DUMMYFUNCTION("PROPER(REGEXREPLACE(D302,""[^A-Za-z]+ "",""""))"),"Edgar Suites")</f>
        <v xml:space="preserve">Edgar Suites</v>
      </c>
      <c r="G317" s="4" t="s">
        <v>2401</v>
      </c>
      <c r="H317" s="4">
        <v>13</v>
      </c>
      <c r="I317" s="4" t="s">
        <v>25</v>
      </c>
      <c r="J317" s="5" t="s">
        <v>2402</v>
      </c>
      <c r="K317" s="5" t="s">
        <v>2403</v>
      </c>
      <c r="L317" s="6"/>
      <c r="M317" s="4" t="s">
        <v>29</v>
      </c>
      <c r="N317" s="4" t="s">
        <v>2404</v>
      </c>
      <c r="O317" s="4" t="s">
        <v>29</v>
      </c>
      <c r="P317" s="4" t="s">
        <v>2405</v>
      </c>
      <c r="Q317" s="6"/>
      <c r="R317" s="6"/>
      <c r="S317" s="6"/>
      <c r="T317" s="6"/>
      <c r="U317" s="6"/>
      <c r="V317" s="6"/>
      <c r="W317" s="6"/>
      <c r="X317" s="6"/>
      <c r="Y317" s="6"/>
    </row>
    <row r="318" ht="14.25">
      <c r="B318" s="4" t="s">
        <v>485</v>
      </c>
      <c r="C318" s="4" t="s">
        <v>2406</v>
      </c>
      <c r="D318" s="4" t="s">
        <v>468</v>
      </c>
      <c r="E318" s="4" t="s">
        <v>397</v>
      </c>
      <c r="F318" s="4" t="str">
        <f>IFERROR(__XLUDF.DUMMYFUNCTION("PROPER(REGEXREPLACE(D303,""[^A-Za-z]+ "",""""))"),"L'Alsacien")</f>
        <v>L'Alsacien</v>
      </c>
      <c r="G318" s="4" t="s">
        <v>2407</v>
      </c>
      <c r="H318" s="4">
        <v>40</v>
      </c>
      <c r="I318" s="4" t="s">
        <v>36</v>
      </c>
      <c r="J318" s="5" t="s">
        <v>2408</v>
      </c>
      <c r="K318" s="5" t="s">
        <v>400</v>
      </c>
      <c r="L318" s="4" t="s">
        <v>39</v>
      </c>
      <c r="M318" s="4" t="s">
        <v>29</v>
      </c>
      <c r="N318" s="4" t="s">
        <v>67</v>
      </c>
      <c r="O318" s="4" t="s">
        <v>29</v>
      </c>
      <c r="P318" s="4" t="s">
        <v>401</v>
      </c>
      <c r="Q318" s="6"/>
      <c r="R318" s="6"/>
      <c r="S318" s="6"/>
      <c r="T318" s="6"/>
      <c r="U318" s="6"/>
      <c r="V318" s="6"/>
      <c r="W318" s="6"/>
      <c r="X318" s="6"/>
      <c r="Y318" s="6"/>
    </row>
    <row r="319" ht="14.25">
      <c r="B319" s="4" t="s">
        <v>2409</v>
      </c>
      <c r="C319" s="4" t="s">
        <v>2410</v>
      </c>
      <c r="D319" s="4" t="s">
        <v>2411</v>
      </c>
      <c r="E319" s="4" t="s">
        <v>2412</v>
      </c>
      <c r="F319" s="4" t="str">
        <f>IFERROR(__XLUDF.DUMMYFUNCTION("PROPER(REGEXREPLACE(D304,""[^A-Za-z]+ "",""""))"),"Delicity")</f>
        <v>Delicity</v>
      </c>
      <c r="G319" s="4" t="s">
        <v>2413</v>
      </c>
      <c r="H319" s="4">
        <v>2</v>
      </c>
      <c r="I319" s="4" t="s">
        <v>25</v>
      </c>
      <c r="J319" s="5" t="s">
        <v>2414</v>
      </c>
      <c r="K319" s="5" t="s">
        <v>2415</v>
      </c>
      <c r="L319" s="4" t="s">
        <v>2416</v>
      </c>
      <c r="M319" s="4" t="s">
        <v>29</v>
      </c>
      <c r="N319" s="4" t="s">
        <v>2417</v>
      </c>
      <c r="O319" s="4" t="s">
        <v>29</v>
      </c>
      <c r="P319" s="4" t="s">
        <v>2418</v>
      </c>
      <c r="Q319" s="6"/>
      <c r="R319" s="6"/>
      <c r="S319" s="6"/>
      <c r="T319" s="6"/>
      <c r="U319" s="6"/>
      <c r="V319" s="6"/>
      <c r="W319" s="6"/>
      <c r="X319" s="6"/>
      <c r="Y319" s="6"/>
    </row>
    <row r="320" ht="14.25">
      <c r="B320" s="4" t="s">
        <v>2419</v>
      </c>
      <c r="C320" s="4" t="s">
        <v>2420</v>
      </c>
      <c r="D320" s="4" t="s">
        <v>2421</v>
      </c>
      <c r="E320" s="4" t="s">
        <v>1749</v>
      </c>
      <c r="F320" s="4" t="str">
        <f>IFERROR(__XLUDF.DUMMYFUNCTION("PROPER(REGEXREPLACE(D305,""[^A-Za-z]+ "",""""))"),"Vicartem")</f>
        <v>Vicartem</v>
      </c>
      <c r="G320" s="4" t="s">
        <v>2422</v>
      </c>
      <c r="H320" s="4">
        <v>42</v>
      </c>
      <c r="I320" s="4" t="s">
        <v>25</v>
      </c>
      <c r="J320" s="5" t="s">
        <v>2423</v>
      </c>
      <c r="K320" s="5" t="s">
        <v>1752</v>
      </c>
      <c r="L320" s="6"/>
      <c r="M320" s="4" t="s">
        <v>29</v>
      </c>
      <c r="N320" s="4" t="s">
        <v>1753</v>
      </c>
      <c r="O320" s="4" t="s">
        <v>29</v>
      </c>
      <c r="P320" s="6"/>
      <c r="Q320" s="6"/>
      <c r="R320" s="6"/>
      <c r="S320" s="6"/>
      <c r="T320" s="6"/>
      <c r="U320" s="6"/>
      <c r="V320" s="6"/>
      <c r="W320" s="6"/>
      <c r="X320" s="6"/>
      <c r="Y320" s="6"/>
    </row>
    <row r="321" ht="14.25">
      <c r="B321" s="4" t="s">
        <v>1198</v>
      </c>
      <c r="C321" s="4" t="s">
        <v>2424</v>
      </c>
      <c r="D321" s="4" t="s">
        <v>2425</v>
      </c>
      <c r="E321" s="4" t="s">
        <v>2426</v>
      </c>
      <c r="F321" s="4" t="str">
        <f>IFERROR(__XLUDF.DUMMYFUNCTION("PROPER(REGEXREPLACE(D306,""[^A-Za-z]+ "",""""))"),"Maison Piège")</f>
        <v xml:space="preserve">Maison Piège</v>
      </c>
      <c r="G321" s="4" t="s">
        <v>2427</v>
      </c>
      <c r="H321" s="4">
        <v>21</v>
      </c>
      <c r="I321" s="4" t="s">
        <v>36</v>
      </c>
      <c r="J321" s="5" t="s">
        <v>2428</v>
      </c>
      <c r="K321" s="5" t="s">
        <v>2429</v>
      </c>
      <c r="L321" s="4" t="s">
        <v>39</v>
      </c>
      <c r="M321" s="4" t="s">
        <v>29</v>
      </c>
      <c r="N321" s="4" t="s">
        <v>2430</v>
      </c>
      <c r="O321" s="4" t="s">
        <v>29</v>
      </c>
      <c r="P321" s="4" t="s">
        <v>2431</v>
      </c>
      <c r="Q321" s="6"/>
      <c r="R321" s="6"/>
      <c r="S321" s="6"/>
      <c r="T321" s="6"/>
      <c r="U321" s="6"/>
      <c r="V321" s="6"/>
      <c r="W321" s="6"/>
      <c r="X321" s="6"/>
      <c r="Y321" s="6"/>
    </row>
    <row r="322" ht="14.25">
      <c r="B322" s="4" t="s">
        <v>1499</v>
      </c>
      <c r="C322" s="4" t="s">
        <v>2432</v>
      </c>
      <c r="D322" s="4" t="s">
        <v>2433</v>
      </c>
      <c r="E322" s="4" t="s">
        <v>1975</v>
      </c>
      <c r="F322" s="4" t="str">
        <f>IFERROR(__XLUDF.DUMMYFUNCTION("PROPER(REGEXREPLACE(D307,""[^A-Za-z]+ "",""""))"),"Château Hôtel Grand Barrail")</f>
        <v xml:space="preserve">Château Hôtel Grand Barrail</v>
      </c>
      <c r="G322" s="4" t="s">
        <v>2434</v>
      </c>
      <c r="H322" s="4">
        <v>19</v>
      </c>
      <c r="I322" s="4" t="s">
        <v>36</v>
      </c>
      <c r="J322" s="5" t="s">
        <v>2435</v>
      </c>
      <c r="K322" s="5" t="s">
        <v>1978</v>
      </c>
      <c r="L322" s="6"/>
      <c r="M322" s="4" t="s">
        <v>29</v>
      </c>
      <c r="N322" s="4" t="s">
        <v>1979</v>
      </c>
      <c r="O322" s="4" t="s">
        <v>29</v>
      </c>
      <c r="P322" s="4" t="s">
        <v>1980</v>
      </c>
      <c r="Q322" s="6"/>
      <c r="R322" s="6"/>
      <c r="S322" s="6"/>
      <c r="T322" s="6"/>
      <c r="U322" s="6"/>
      <c r="V322" s="6"/>
      <c r="W322" s="6"/>
      <c r="X322" s="6"/>
      <c r="Y322" s="6"/>
    </row>
    <row r="323" ht="14.25">
      <c r="B323" s="4" t="s">
        <v>2436</v>
      </c>
      <c r="C323" s="4" t="s">
        <v>2437</v>
      </c>
      <c r="D323" s="4" t="s">
        <v>2438</v>
      </c>
      <c r="E323" s="4" t="s">
        <v>2439</v>
      </c>
      <c r="F323" s="4" t="str">
        <f>IFERROR(__XLUDF.DUMMYFUNCTION("PROPER(REGEXREPLACE(D308,""[^A-Za-z]+ "",""""))"),"L'Escale Royale")</f>
        <v xml:space="preserve">L'Escale Royale</v>
      </c>
      <c r="G323" s="4" t="s">
        <v>2440</v>
      </c>
      <c r="H323" s="4">
        <v>32</v>
      </c>
      <c r="I323" s="4" t="s">
        <v>36</v>
      </c>
      <c r="J323" s="5" t="s">
        <v>2441</v>
      </c>
      <c r="K323" s="5" t="s">
        <v>2442</v>
      </c>
      <c r="L323" s="4" t="s">
        <v>39</v>
      </c>
      <c r="M323" s="4" t="s">
        <v>29</v>
      </c>
      <c r="N323" s="4" t="s">
        <v>2443</v>
      </c>
      <c r="O323" s="4" t="s">
        <v>29</v>
      </c>
      <c r="P323" s="4" t="s">
        <v>2444</v>
      </c>
      <c r="Q323" s="6"/>
      <c r="R323" s="6"/>
      <c r="S323" s="6"/>
      <c r="T323" s="6"/>
      <c r="U323" s="6"/>
      <c r="V323" s="6"/>
      <c r="W323" s="6"/>
      <c r="X323" s="6"/>
      <c r="Y323" s="6"/>
    </row>
    <row r="324" ht="14.25">
      <c r="B324" s="4" t="s">
        <v>298</v>
      </c>
      <c r="C324" s="4" t="s">
        <v>2445</v>
      </c>
      <c r="D324" s="4" t="s">
        <v>62</v>
      </c>
      <c r="E324" s="4" t="s">
        <v>2446</v>
      </c>
      <c r="F324" s="4" t="str">
        <f>IFERROR(__XLUDF.DUMMYFUNCTION("PROPER(REGEXREPLACE(D309,""[^A-Za-z]+ "",""""))"),"Les Dames De La Cantine")</f>
        <v xml:space="preserve">Les Dames De La Cantine</v>
      </c>
      <c r="G324" s="4" t="s">
        <v>2447</v>
      </c>
      <c r="H324" s="4">
        <v>14</v>
      </c>
      <c r="I324" s="4" t="s">
        <v>36</v>
      </c>
      <c r="J324" s="5" t="s">
        <v>2448</v>
      </c>
      <c r="K324" s="5" t="s">
        <v>2449</v>
      </c>
      <c r="L324" s="4" t="s">
        <v>39</v>
      </c>
      <c r="M324" s="4" t="s">
        <v>29</v>
      </c>
      <c r="N324" s="4" t="s">
        <v>2450</v>
      </c>
      <c r="O324" s="4" t="s">
        <v>29</v>
      </c>
      <c r="P324" s="4" t="s">
        <v>2451</v>
      </c>
      <c r="Q324" s="6"/>
      <c r="R324" s="6"/>
      <c r="S324" s="6"/>
      <c r="T324" s="6"/>
      <c r="U324" s="6"/>
      <c r="V324" s="6"/>
      <c r="W324" s="6"/>
      <c r="X324" s="6"/>
      <c r="Y324" s="6"/>
    </row>
    <row r="325" ht="14.25">
      <c r="B325" s="4" t="s">
        <v>20</v>
      </c>
      <c r="C325" s="4" t="s">
        <v>2452</v>
      </c>
      <c r="D325" s="4" t="s">
        <v>62</v>
      </c>
      <c r="E325" s="4" t="s">
        <v>349</v>
      </c>
      <c r="F325" s="4" t="str">
        <f>IFERROR(__XLUDF.DUMMYFUNCTION("PROPER(REGEXREPLACE(D310,""[^A-Za-z]+ "",""""))"),"Le Prose")</f>
        <v xml:space="preserve">Le Prose</v>
      </c>
      <c r="G325" s="4" t="s">
        <v>2453</v>
      </c>
      <c r="H325" s="4">
        <v>33</v>
      </c>
      <c r="I325" s="4" t="s">
        <v>36</v>
      </c>
      <c r="J325" s="5" t="s">
        <v>2454</v>
      </c>
      <c r="K325" s="5" t="s">
        <v>352</v>
      </c>
      <c r="L325" s="4" t="s">
        <v>39</v>
      </c>
      <c r="M325" s="4" t="s">
        <v>29</v>
      </c>
      <c r="N325" s="4" t="s">
        <v>353</v>
      </c>
      <c r="O325" s="4" t="s">
        <v>29</v>
      </c>
      <c r="P325" s="4" t="s">
        <v>354</v>
      </c>
      <c r="Q325" s="6"/>
      <c r="R325" s="6"/>
      <c r="S325" s="6"/>
      <c r="T325" s="6"/>
      <c r="U325" s="6"/>
      <c r="V325" s="6"/>
      <c r="W325" s="6"/>
      <c r="X325" s="6"/>
      <c r="Y325" s="6"/>
    </row>
    <row r="326" ht="14.25">
      <c r="B326" s="4" t="s">
        <v>955</v>
      </c>
      <c r="C326" s="4" t="s">
        <v>2455</v>
      </c>
      <c r="D326" s="4" t="s">
        <v>44</v>
      </c>
      <c r="E326" s="4" t="s">
        <v>2456</v>
      </c>
      <c r="F326" s="4" t="str">
        <f>IFERROR(__XLUDF.DUMMYFUNCTION("PROPER(REGEXREPLACE(D311,""[^A-Za-z]+ "",""""))"),"Best Western Plus Le Fairway Hôtel Et Spa Golf D'Arras")</f>
        <v xml:space="preserve">Best Western Plus Le Fairway Hôtel Et Spa Golf D'Arras</v>
      </c>
      <c r="G326" s="4" t="s">
        <v>2457</v>
      </c>
      <c r="H326" s="4">
        <v>12</v>
      </c>
      <c r="I326" s="4" t="s">
        <v>36</v>
      </c>
      <c r="J326" s="5" t="s">
        <v>2458</v>
      </c>
      <c r="K326" s="5" t="s">
        <v>2459</v>
      </c>
      <c r="L326" s="4" t="s">
        <v>39</v>
      </c>
      <c r="M326" s="4" t="s">
        <v>29</v>
      </c>
      <c r="N326" s="4" t="s">
        <v>2460</v>
      </c>
      <c r="O326" s="4" t="s">
        <v>29</v>
      </c>
      <c r="P326" s="4" t="s">
        <v>2461</v>
      </c>
      <c r="Q326" s="6"/>
      <c r="R326" s="6"/>
      <c r="S326" s="6"/>
      <c r="T326" s="6"/>
      <c r="U326" s="6"/>
      <c r="V326" s="6"/>
      <c r="W326" s="6"/>
      <c r="X326" s="6"/>
      <c r="Y326" s="6"/>
    </row>
    <row r="327" ht="14.25">
      <c r="B327" s="4" t="s">
        <v>2462</v>
      </c>
      <c r="C327" s="4" t="s">
        <v>2463</v>
      </c>
      <c r="D327" s="4" t="s">
        <v>2464</v>
      </c>
      <c r="E327" s="4" t="s">
        <v>2465</v>
      </c>
      <c r="F327" s="4" t="str">
        <f>IFERROR(__XLUDF.DUMMYFUNCTION("PROPER(REGEXREPLACE(D312,""[^A-Za-z]+ "",""""))"),"Atypik Hotel")</f>
        <v xml:space="preserve">Atypik Hotel</v>
      </c>
      <c r="G327" s="4" t="s">
        <v>2466</v>
      </c>
      <c r="H327" s="4">
        <v>2</v>
      </c>
      <c r="I327" s="4" t="s">
        <v>36</v>
      </c>
      <c r="J327" s="5" t="s">
        <v>2467</v>
      </c>
      <c r="K327" s="5" t="s">
        <v>2468</v>
      </c>
      <c r="L327" s="4" t="s">
        <v>252</v>
      </c>
      <c r="M327" s="4" t="s">
        <v>29</v>
      </c>
      <c r="N327" s="4" t="s">
        <v>2469</v>
      </c>
      <c r="O327" s="4" t="s">
        <v>29</v>
      </c>
      <c r="P327" s="4" t="s">
        <v>2470</v>
      </c>
      <c r="Q327" s="6"/>
      <c r="R327" s="6"/>
      <c r="S327" s="6"/>
      <c r="T327" s="6"/>
      <c r="U327" s="6"/>
      <c r="V327" s="6"/>
      <c r="W327" s="6"/>
      <c r="X327" s="6"/>
      <c r="Y327" s="6"/>
    </row>
    <row r="328" ht="14.25">
      <c r="B328" s="4" t="s">
        <v>2471</v>
      </c>
      <c r="C328" s="4" t="s">
        <v>2472</v>
      </c>
      <c r="D328" s="4" t="s">
        <v>2473</v>
      </c>
      <c r="E328" s="4" t="s">
        <v>2474</v>
      </c>
      <c r="F328" s="4" t="str">
        <f>IFERROR(__XLUDF.DUMMYFUNCTION("PROPER(REGEXREPLACE(D313,""[^A-Za-z]+ "",""""))"),"Hotel Litteraire Le Swann")</f>
        <v xml:space="preserve">Hotel Litteraire Le Swann</v>
      </c>
      <c r="G328" s="4" t="s">
        <v>2475</v>
      </c>
      <c r="H328" s="4">
        <v>5</v>
      </c>
      <c r="I328" s="4" t="s">
        <v>25</v>
      </c>
      <c r="J328" s="5" t="s">
        <v>2476</v>
      </c>
      <c r="K328" s="5" t="s">
        <v>2477</v>
      </c>
      <c r="L328" s="4" t="s">
        <v>83</v>
      </c>
      <c r="M328" s="4" t="s">
        <v>29</v>
      </c>
      <c r="N328" s="4" t="s">
        <v>2478</v>
      </c>
      <c r="O328" s="4" t="s">
        <v>29</v>
      </c>
      <c r="P328" s="4" t="s">
        <v>2479</v>
      </c>
      <c r="Q328" s="6"/>
      <c r="R328" s="6"/>
      <c r="S328" s="6"/>
      <c r="T328" s="6"/>
      <c r="U328" s="6"/>
      <c r="V328" s="6"/>
      <c r="W328" s="6"/>
      <c r="X328" s="6"/>
      <c r="Y328" s="6"/>
    </row>
    <row r="329" ht="14.25">
      <c r="B329" s="4" t="s">
        <v>622</v>
      </c>
      <c r="C329" s="4" t="s">
        <v>2480</v>
      </c>
      <c r="D329" s="4" t="s">
        <v>112</v>
      </c>
      <c r="E329" s="4" t="s">
        <v>1529</v>
      </c>
      <c r="F329" s="4" t="str">
        <f>IFERROR(__XLUDF.DUMMYFUNCTION("PROPER(REGEXREPLACE(D314,""[^A-Za-z]+ "",""""))"),"Hôtel De Sers")</f>
        <v xml:space="preserve">Hôtel De Sers</v>
      </c>
      <c r="G329" s="4" t="s">
        <v>2481</v>
      </c>
      <c r="H329" s="4">
        <v>14</v>
      </c>
      <c r="I329" s="4" t="s">
        <v>25</v>
      </c>
      <c r="J329" s="5" t="s">
        <v>2482</v>
      </c>
      <c r="K329" s="5" t="s">
        <v>1532</v>
      </c>
      <c r="L329" s="4" t="s">
        <v>243</v>
      </c>
      <c r="M329" s="4" t="s">
        <v>29</v>
      </c>
      <c r="N329" s="4" t="s">
        <v>1533</v>
      </c>
      <c r="O329" s="4" t="s">
        <v>29</v>
      </c>
      <c r="P329" s="6"/>
      <c r="Q329" s="6"/>
      <c r="R329" s="6"/>
      <c r="S329" s="6"/>
      <c r="T329" s="6"/>
      <c r="U329" s="6"/>
      <c r="V329" s="6"/>
      <c r="W329" s="6"/>
      <c r="X329" s="6"/>
      <c r="Y329" s="6"/>
    </row>
    <row r="330" ht="14.25">
      <c r="B330" s="4" t="s">
        <v>2483</v>
      </c>
      <c r="C330" s="4" t="s">
        <v>1768</v>
      </c>
      <c r="D330" s="4" t="s">
        <v>365</v>
      </c>
      <c r="E330" s="4" t="s">
        <v>1769</v>
      </c>
      <c r="F330" s="5" t="str">
        <f>IFERROR(__XLUDF.DUMMYFUNCTION("PROPER(REGEXREPLACE(D315,""[^A-Za-z]+ "",""""))"),"Parigi.It")</f>
        <v>Parigi.It</v>
      </c>
      <c r="G330" s="4" t="s">
        <v>2484</v>
      </c>
      <c r="H330" s="4">
        <v>21</v>
      </c>
      <c r="I330" s="4" t="s">
        <v>36</v>
      </c>
      <c r="J330" s="5" t="s">
        <v>2485</v>
      </c>
      <c r="K330" s="5" t="s">
        <v>1772</v>
      </c>
      <c r="L330" s="4" t="s">
        <v>39</v>
      </c>
      <c r="M330" s="4" t="s">
        <v>29</v>
      </c>
      <c r="N330" s="4" t="s">
        <v>1773</v>
      </c>
      <c r="O330" s="4" t="s">
        <v>29</v>
      </c>
      <c r="P330" s="4" t="s">
        <v>1774</v>
      </c>
      <c r="Q330" s="6"/>
      <c r="R330" s="6"/>
      <c r="S330" s="6"/>
      <c r="T330" s="6"/>
      <c r="U330" s="6"/>
      <c r="V330" s="6"/>
      <c r="W330" s="6"/>
      <c r="X330" s="6"/>
      <c r="Y330" s="6"/>
    </row>
    <row r="331" ht="14.25">
      <c r="B331" s="4" t="s">
        <v>2486</v>
      </c>
      <c r="C331" s="4" t="s">
        <v>2487</v>
      </c>
      <c r="D331" s="4" t="s">
        <v>120</v>
      </c>
      <c r="E331" s="4" t="s">
        <v>2488</v>
      </c>
      <c r="F331" s="4" t="str">
        <f>IFERROR(__XLUDF.DUMMYFUNCTION("PROPER(REGEXREPLACE(D316,""[^A-Za-z]+ "",""""))"),"Burger Breton")</f>
        <v xml:space="preserve">Burger Breton</v>
      </c>
      <c r="G331" s="4" t="s">
        <v>2489</v>
      </c>
      <c r="H331" s="4">
        <v>11</v>
      </c>
      <c r="I331" s="4" t="s">
        <v>36</v>
      </c>
      <c r="J331" s="5" t="s">
        <v>2490</v>
      </c>
      <c r="K331" s="5" t="s">
        <v>2491</v>
      </c>
      <c r="L331" s="4" t="s">
        <v>846</v>
      </c>
      <c r="M331" s="4" t="s">
        <v>29</v>
      </c>
      <c r="N331" s="4" t="s">
        <v>2492</v>
      </c>
      <c r="O331" s="4" t="s">
        <v>29</v>
      </c>
      <c r="P331" s="6"/>
      <c r="Q331" s="6"/>
      <c r="R331" s="6"/>
      <c r="S331" s="6"/>
      <c r="T331" s="6"/>
      <c r="U331" s="6"/>
      <c r="V331" s="6"/>
      <c r="W331" s="6"/>
      <c r="X331" s="6"/>
      <c r="Y331" s="6"/>
    </row>
    <row r="332" ht="14.25">
      <c r="B332" s="4" t="s">
        <v>2493</v>
      </c>
      <c r="C332" s="4" t="s">
        <v>2494</v>
      </c>
      <c r="D332" s="4" t="s">
        <v>172</v>
      </c>
      <c r="E332" s="4" t="s">
        <v>2495</v>
      </c>
      <c r="F332" s="4" t="str">
        <f>IFERROR(__XLUDF.DUMMYFUNCTION("PROPER(REGEXREPLACE(D317,""[^A-Za-z]+ "",""""))"),"Little Red Door")</f>
        <v xml:space="preserve">Little Red Door</v>
      </c>
      <c r="G332" s="4" t="s">
        <v>2496</v>
      </c>
      <c r="H332" s="4">
        <v>19</v>
      </c>
      <c r="I332" s="4" t="s">
        <v>157</v>
      </c>
      <c r="J332" s="5" t="s">
        <v>2497</v>
      </c>
      <c r="K332" s="5" t="s">
        <v>2498</v>
      </c>
      <c r="L332" s="4" t="s">
        <v>2499</v>
      </c>
      <c r="M332" s="4" t="s">
        <v>29</v>
      </c>
      <c r="N332" s="4" t="s">
        <v>2500</v>
      </c>
      <c r="O332" s="4" t="s">
        <v>29</v>
      </c>
      <c r="P332" s="4" t="s">
        <v>2501</v>
      </c>
      <c r="Q332" s="6"/>
      <c r="R332" s="6"/>
      <c r="S332" s="6"/>
      <c r="T332" s="6"/>
      <c r="U332" s="6"/>
      <c r="V332" s="6"/>
      <c r="W332" s="6"/>
      <c r="X332" s="6"/>
      <c r="Y332" s="6"/>
    </row>
    <row r="333" ht="14.25">
      <c r="B333" s="4" t="s">
        <v>2502</v>
      </c>
      <c r="C333" s="4" t="s">
        <v>2503</v>
      </c>
      <c r="D333" s="4" t="s">
        <v>172</v>
      </c>
      <c r="E333" s="4" t="s">
        <v>2504</v>
      </c>
      <c r="F333" s="4" t="str">
        <f>IFERROR(__XLUDF.DUMMYFUNCTION("PROPER(REGEXREPLACE(D318,""[^A-Za-z]+ "",""""))"),"Coolangatta Group")</f>
        <v xml:space="preserve">Coolangatta Group</v>
      </c>
      <c r="G333" s="4" t="s">
        <v>2505</v>
      </c>
      <c r="H333" s="4">
        <v>11</v>
      </c>
      <c r="I333" s="4" t="s">
        <v>25</v>
      </c>
      <c r="J333" s="5" t="s">
        <v>2506</v>
      </c>
      <c r="K333" s="5" t="s">
        <v>2507</v>
      </c>
      <c r="L333" s="6"/>
      <c r="M333" s="4" t="s">
        <v>29</v>
      </c>
      <c r="N333" s="6"/>
      <c r="O333" s="6"/>
      <c r="P333" s="6"/>
      <c r="Q333" s="6"/>
      <c r="R333" s="6"/>
      <c r="S333" s="6"/>
      <c r="T333" s="6"/>
      <c r="U333" s="6"/>
      <c r="V333" s="6"/>
      <c r="W333" s="6"/>
      <c r="X333" s="6"/>
      <c r="Y333" s="6"/>
    </row>
    <row r="334" ht="14.25">
      <c r="B334" s="4" t="s">
        <v>2508</v>
      </c>
      <c r="C334" s="4" t="s">
        <v>2509</v>
      </c>
      <c r="D334" s="4" t="s">
        <v>2510</v>
      </c>
      <c r="E334" s="4" t="s">
        <v>2511</v>
      </c>
      <c r="F334" s="4" t="str">
        <f>IFERROR(__XLUDF.DUMMYFUNCTION("PROPER(REGEXREPLACE(D319,""[^A-Za-z]+ "",""""))"),"La Garenne Saint Germain")</f>
        <v xml:space="preserve">La Garenne Saint Germain</v>
      </c>
      <c r="G334" s="4" t="s">
        <v>2512</v>
      </c>
      <c r="H334" s="4">
        <v>49</v>
      </c>
      <c r="I334" s="4" t="s">
        <v>25</v>
      </c>
      <c r="J334" s="5" t="s">
        <v>2513</v>
      </c>
      <c r="K334" s="5" t="s">
        <v>2514</v>
      </c>
      <c r="L334" s="4" t="s">
        <v>716</v>
      </c>
      <c r="M334" s="4" t="s">
        <v>29</v>
      </c>
      <c r="N334" s="4" t="s">
        <v>2515</v>
      </c>
      <c r="O334" s="4" t="s">
        <v>29</v>
      </c>
      <c r="P334" s="6"/>
      <c r="Q334" s="6"/>
      <c r="R334" s="6"/>
      <c r="S334" s="6"/>
      <c r="T334" s="6"/>
      <c r="U334" s="6"/>
      <c r="V334" s="6"/>
      <c r="W334" s="6"/>
      <c r="X334" s="6"/>
      <c r="Y334" s="6"/>
    </row>
    <row r="335" ht="14.25">
      <c r="B335" s="4" t="s">
        <v>2516</v>
      </c>
      <c r="C335" s="4" t="s">
        <v>2517</v>
      </c>
      <c r="D335" s="4" t="s">
        <v>2518</v>
      </c>
      <c r="E335" s="4" t="s">
        <v>2519</v>
      </c>
      <c r="F335" s="4" t="str">
        <f>IFERROR(__XLUDF.DUMMYFUNCTION("PROPER(REGEXREPLACE(D320,""[^A-Za-z]+ "",""""))"),"Edgar Suites")</f>
        <v xml:space="preserve">Edgar Suites</v>
      </c>
      <c r="G335" s="4" t="s">
        <v>2520</v>
      </c>
      <c r="H335" s="4">
        <v>43</v>
      </c>
      <c r="I335" s="4" t="s">
        <v>25</v>
      </c>
      <c r="J335" s="5" t="s">
        <v>2521</v>
      </c>
      <c r="K335" s="5" t="s">
        <v>2522</v>
      </c>
      <c r="L335" s="6"/>
      <c r="M335" s="4" t="s">
        <v>29</v>
      </c>
      <c r="N335" s="4" t="s">
        <v>67</v>
      </c>
      <c r="O335" s="4" t="s">
        <v>29</v>
      </c>
      <c r="P335" s="6"/>
      <c r="Q335" s="6"/>
      <c r="R335" s="6"/>
      <c r="S335" s="6"/>
      <c r="T335" s="6"/>
      <c r="U335" s="6"/>
      <c r="V335" s="6"/>
      <c r="W335" s="6"/>
      <c r="X335" s="6"/>
      <c r="Y335" s="6"/>
    </row>
    <row r="336" ht="14.25">
      <c r="B336" s="4" t="s">
        <v>579</v>
      </c>
      <c r="C336" s="4" t="s">
        <v>2523</v>
      </c>
      <c r="D336" s="4" t="s">
        <v>2524</v>
      </c>
      <c r="E336" s="4" t="s">
        <v>2525</v>
      </c>
      <c r="F336" s="4" t="str">
        <f>IFERROR(__XLUDF.DUMMYFUNCTION("PROPER(REGEXREPLACE(D321,""[^A-Za-z]+ "",""""))"),"Odette Paris")</f>
        <v xml:space="preserve">Odette Paris</v>
      </c>
      <c r="G336" s="4" t="s">
        <v>2526</v>
      </c>
      <c r="H336" s="4">
        <v>14</v>
      </c>
      <c r="I336" s="4" t="s">
        <v>36</v>
      </c>
      <c r="J336" s="5" t="s">
        <v>2527</v>
      </c>
      <c r="K336" s="5" t="s">
        <v>2528</v>
      </c>
      <c r="L336" s="4" t="s">
        <v>39</v>
      </c>
      <c r="M336" s="4" t="s">
        <v>29</v>
      </c>
      <c r="N336" s="4" t="s">
        <v>2529</v>
      </c>
      <c r="O336" s="4" t="s">
        <v>29</v>
      </c>
      <c r="P336" s="4" t="s">
        <v>2530</v>
      </c>
      <c r="Q336" s="6"/>
      <c r="R336" s="6"/>
      <c r="S336" s="6"/>
      <c r="T336" s="6"/>
      <c r="U336" s="6"/>
      <c r="V336" s="6"/>
      <c r="W336" s="6"/>
      <c r="X336" s="6"/>
      <c r="Y336" s="6"/>
    </row>
    <row r="337" ht="14.25">
      <c r="B337" s="4" t="s">
        <v>793</v>
      </c>
      <c r="C337" s="4" t="s">
        <v>2531</v>
      </c>
      <c r="D337" s="4" t="s">
        <v>2532</v>
      </c>
      <c r="E337" s="4" t="s">
        <v>2533</v>
      </c>
      <c r="F337" s="4" t="str">
        <f>IFERROR(__XLUDF.DUMMYFUNCTION("PROPER(REGEXREPLACE(D322,""[^A-Za-z]+ "",""""))"),"Tiptoque")</f>
        <v>Tiptoque</v>
      </c>
      <c r="G337" s="4" t="s">
        <v>2534</v>
      </c>
      <c r="H337" s="6"/>
      <c r="I337" s="6"/>
      <c r="J337" s="5" t="s">
        <v>2535</v>
      </c>
      <c r="K337" s="5" t="s">
        <v>2536</v>
      </c>
      <c r="L337" s="4" t="s">
        <v>49</v>
      </c>
      <c r="M337" s="4" t="s">
        <v>29</v>
      </c>
      <c r="N337" s="4" t="s">
        <v>1577</v>
      </c>
      <c r="O337" s="4" t="s">
        <v>29</v>
      </c>
      <c r="P337" s="6"/>
      <c r="Q337" s="6"/>
      <c r="R337" s="6"/>
      <c r="S337" s="6"/>
      <c r="T337" s="6"/>
      <c r="U337" s="6"/>
      <c r="V337" s="6"/>
      <c r="W337" s="6"/>
      <c r="X337" s="6"/>
      <c r="Y337" s="6"/>
    </row>
    <row r="338" ht="14.25">
      <c r="B338" s="4" t="s">
        <v>1215</v>
      </c>
      <c r="C338" s="4" t="s">
        <v>2537</v>
      </c>
      <c r="D338" s="4" t="s">
        <v>2538</v>
      </c>
      <c r="E338" s="4" t="s">
        <v>2539</v>
      </c>
      <c r="F338" s="4" t="str">
        <f>IFERROR(__XLUDF.DUMMYFUNCTION("PROPER(REGEXREPLACE(D323,""[^A-Za-z]+ "",""""))"),"Burgerfries")</f>
        <v>Burgerfries</v>
      </c>
      <c r="G338" s="4" t="s">
        <v>2540</v>
      </c>
      <c r="H338" s="4">
        <v>37</v>
      </c>
      <c r="I338" s="4" t="s">
        <v>25</v>
      </c>
      <c r="J338" s="5" t="s">
        <v>2541</v>
      </c>
      <c r="K338" s="5" t="s">
        <v>2542</v>
      </c>
      <c r="L338" s="4" t="s">
        <v>2499</v>
      </c>
      <c r="M338" s="4" t="s">
        <v>29</v>
      </c>
      <c r="N338" s="4" t="s">
        <v>2543</v>
      </c>
      <c r="O338" s="4" t="s">
        <v>29</v>
      </c>
      <c r="P338" s="4" t="s">
        <v>2544</v>
      </c>
      <c r="Q338" s="6"/>
      <c r="R338" s="6"/>
      <c r="S338" s="6"/>
      <c r="T338" s="6"/>
      <c r="U338" s="6"/>
      <c r="V338" s="6"/>
      <c r="W338" s="6"/>
      <c r="X338" s="6"/>
      <c r="Y338" s="6"/>
    </row>
    <row r="339" ht="14.25">
      <c r="B339" s="4" t="s">
        <v>255</v>
      </c>
      <c r="C339" s="4" t="s">
        <v>2545</v>
      </c>
      <c r="D339" s="4" t="s">
        <v>44</v>
      </c>
      <c r="E339" s="4" t="s">
        <v>2546</v>
      </c>
      <c r="F339" s="4" t="str">
        <f>IFERROR(__XLUDF.DUMMYFUNCTION("PROPER(REGEXREPLACE(D324,""[^A-Za-z]+ "",""""))"),"Privde Dessert")</f>
        <v xml:space="preserve">Privde Dessert</v>
      </c>
      <c r="G339" s="4" t="s">
        <v>2547</v>
      </c>
      <c r="H339" s="4">
        <v>3</v>
      </c>
      <c r="I339" s="4" t="s">
        <v>36</v>
      </c>
      <c r="J339" s="5" t="s">
        <v>2548</v>
      </c>
      <c r="K339" s="5" t="s">
        <v>2549</v>
      </c>
      <c r="L339" s="4" t="s">
        <v>39</v>
      </c>
      <c r="M339" s="4" t="s">
        <v>29</v>
      </c>
      <c r="N339" s="4" t="s">
        <v>2550</v>
      </c>
      <c r="O339" s="4" t="s">
        <v>29</v>
      </c>
      <c r="P339" s="6"/>
      <c r="Q339" s="6"/>
      <c r="R339" s="6"/>
      <c r="S339" s="6"/>
      <c r="T339" s="6"/>
      <c r="U339" s="6"/>
      <c r="V339" s="6"/>
      <c r="W339" s="6"/>
      <c r="X339" s="6"/>
      <c r="Y339" s="6"/>
    </row>
    <row r="340" ht="14.25">
      <c r="B340" s="4" t="s">
        <v>2551</v>
      </c>
      <c r="C340" s="4" t="s">
        <v>1471</v>
      </c>
      <c r="D340" s="4" t="s">
        <v>247</v>
      </c>
      <c r="E340" s="4" t="s">
        <v>1472</v>
      </c>
      <c r="F340" s="4" t="str">
        <f>IFERROR(__XLUDF.DUMMYFUNCTION("PROPER(REGEXREPLACE(D325,""[^A-Za-z]+ "",""""))"),"L'Atelier")</f>
        <v>L'Atelier</v>
      </c>
      <c r="G340" s="4" t="s">
        <v>2552</v>
      </c>
      <c r="H340" s="4">
        <v>26</v>
      </c>
      <c r="I340" s="4" t="s">
        <v>36</v>
      </c>
      <c r="J340" s="5" t="s">
        <v>2553</v>
      </c>
      <c r="K340" s="5" t="s">
        <v>1475</v>
      </c>
      <c r="L340" s="4" t="s">
        <v>39</v>
      </c>
      <c r="M340" s="4" t="s">
        <v>29</v>
      </c>
      <c r="N340" s="4" t="s">
        <v>1476</v>
      </c>
      <c r="O340" s="4" t="s">
        <v>29</v>
      </c>
      <c r="P340" s="4" t="s">
        <v>1477</v>
      </c>
      <c r="Q340" s="6"/>
      <c r="R340" s="6"/>
      <c r="S340" s="6"/>
      <c r="T340" s="6"/>
      <c r="U340" s="6"/>
      <c r="V340" s="6"/>
      <c r="W340" s="6"/>
      <c r="X340" s="6"/>
      <c r="Y340" s="6"/>
    </row>
    <row r="341" ht="14.25">
      <c r="B341" s="4" t="s">
        <v>2516</v>
      </c>
      <c r="C341" s="4" t="s">
        <v>2554</v>
      </c>
      <c r="D341" s="4" t="s">
        <v>247</v>
      </c>
      <c r="E341" s="4" t="s">
        <v>2555</v>
      </c>
      <c r="F341" s="4" t="str">
        <f>IFERROR(__XLUDF.DUMMYFUNCTION("PROPER(REGEXREPLACE(D326,""[^A-Za-z]+ "",""""))"),"Les Résistants")</f>
        <v xml:space="preserve">Les Résistants</v>
      </c>
      <c r="G341" s="4" t="s">
        <v>2556</v>
      </c>
      <c r="H341" s="4">
        <v>16</v>
      </c>
      <c r="I341" s="4" t="s">
        <v>36</v>
      </c>
      <c r="J341" s="5" t="s">
        <v>2557</v>
      </c>
      <c r="K341" s="5" t="s">
        <v>2558</v>
      </c>
      <c r="L341" s="4" t="s">
        <v>1711</v>
      </c>
      <c r="M341" s="4" t="s">
        <v>29</v>
      </c>
      <c r="N341" s="4" t="s">
        <v>1712</v>
      </c>
      <c r="O341" s="4" t="s">
        <v>29</v>
      </c>
      <c r="P341" s="4" t="s">
        <v>2559</v>
      </c>
      <c r="Q341" s="6"/>
      <c r="R341" s="6"/>
      <c r="S341" s="6"/>
      <c r="T341" s="6"/>
      <c r="U341" s="6"/>
      <c r="V341" s="6"/>
      <c r="W341" s="6"/>
      <c r="X341" s="6"/>
      <c r="Y341" s="6"/>
    </row>
    <row r="342" ht="14.25">
      <c r="B342" s="4" t="s">
        <v>1153</v>
      </c>
      <c r="C342" s="4" t="s">
        <v>2560</v>
      </c>
      <c r="D342" s="4" t="s">
        <v>62</v>
      </c>
      <c r="E342" s="4" t="s">
        <v>566</v>
      </c>
      <c r="F342" s="4" t="str">
        <f>IFERROR(__XLUDF.DUMMYFUNCTION("PROPER(REGEXREPLACE(D327,""[^A-Za-z]+ "",""""))"),"Yeüz")</f>
        <v>Yeüz</v>
      </c>
      <c r="G342" s="4" t="s">
        <v>2561</v>
      </c>
      <c r="H342" s="4">
        <v>43</v>
      </c>
      <c r="I342" s="4" t="s">
        <v>36</v>
      </c>
      <c r="J342" s="5" t="s">
        <v>2562</v>
      </c>
      <c r="K342" s="5" t="s">
        <v>569</v>
      </c>
      <c r="L342" s="6"/>
      <c r="M342" s="4" t="s">
        <v>29</v>
      </c>
      <c r="N342" s="4" t="s">
        <v>67</v>
      </c>
      <c r="O342" s="4" t="s">
        <v>29</v>
      </c>
      <c r="P342" s="4" t="s">
        <v>570</v>
      </c>
      <c r="Q342" s="6"/>
      <c r="R342" s="6"/>
      <c r="S342" s="6"/>
      <c r="T342" s="6"/>
      <c r="U342" s="6"/>
      <c r="V342" s="6"/>
      <c r="W342" s="6"/>
      <c r="X342" s="6"/>
      <c r="Y342" s="6"/>
    </row>
    <row r="343" ht="14.25">
      <c r="B343" s="4" t="s">
        <v>2563</v>
      </c>
      <c r="C343" s="4" t="s">
        <v>2564</v>
      </c>
      <c r="D343" s="4" t="s">
        <v>688</v>
      </c>
      <c r="E343" s="4" t="s">
        <v>1792</v>
      </c>
      <c r="F343" s="4" t="str">
        <f>IFERROR(__XLUDF.DUMMYFUNCTION("PROPER(REGEXREPLACE(D328,""[^A-Za-z]+ "",""""))"),"Utelys")</f>
        <v>Utelys</v>
      </c>
      <c r="G343" s="4" t="s">
        <v>2565</v>
      </c>
      <c r="H343" s="4">
        <v>10</v>
      </c>
      <c r="I343" s="4" t="s">
        <v>25</v>
      </c>
      <c r="J343" s="5" t="s">
        <v>2566</v>
      </c>
      <c r="K343" s="5" t="s">
        <v>1795</v>
      </c>
      <c r="L343" s="4" t="s">
        <v>39</v>
      </c>
      <c r="M343" s="4" t="s">
        <v>29</v>
      </c>
      <c r="N343" s="4" t="s">
        <v>1796</v>
      </c>
      <c r="O343" s="4" t="s">
        <v>29</v>
      </c>
      <c r="P343" s="4" t="s">
        <v>1797</v>
      </c>
      <c r="Q343" s="6"/>
      <c r="R343" s="6"/>
      <c r="S343" s="6"/>
      <c r="T343" s="6"/>
      <c r="U343" s="6"/>
      <c r="V343" s="6"/>
      <c r="W343" s="6"/>
      <c r="X343" s="6"/>
      <c r="Y343" s="6"/>
    </row>
    <row r="344" ht="14.25">
      <c r="B344" s="4" t="s">
        <v>1853</v>
      </c>
      <c r="C344" s="4" t="s">
        <v>2567</v>
      </c>
      <c r="D344" s="4" t="s">
        <v>230</v>
      </c>
      <c r="E344" s="4" t="s">
        <v>2568</v>
      </c>
      <c r="F344" s="4" t="str">
        <f>IFERROR(__XLUDF.DUMMYFUNCTION("PROPER(REGEXREPLACE(D329,""[^A-Za-z]+ "",""""))"),"We Go Greenr")</f>
        <v xml:space="preserve">We Go Greenr</v>
      </c>
      <c r="G344" s="4" t="s">
        <v>2569</v>
      </c>
      <c r="H344" s="4">
        <v>2</v>
      </c>
      <c r="I344" s="4" t="s">
        <v>25</v>
      </c>
      <c r="J344" s="5" t="s">
        <v>2570</v>
      </c>
      <c r="K344" s="5" t="s">
        <v>2571</v>
      </c>
      <c r="L344" s="4" t="s">
        <v>2572</v>
      </c>
      <c r="M344" s="4" t="s">
        <v>29</v>
      </c>
      <c r="N344" s="4" t="s">
        <v>2573</v>
      </c>
      <c r="O344" s="4" t="s">
        <v>29</v>
      </c>
      <c r="P344" s="4" t="s">
        <v>2574</v>
      </c>
      <c r="Q344" s="6"/>
      <c r="R344" s="6"/>
      <c r="S344" s="6"/>
      <c r="T344" s="6"/>
      <c r="U344" s="6"/>
      <c r="V344" s="6"/>
      <c r="W344" s="6"/>
      <c r="X344" s="6"/>
      <c r="Y344" s="6"/>
    </row>
    <row r="345" ht="14.25">
      <c r="B345" s="4" t="s">
        <v>2575</v>
      </c>
      <c r="C345" s="4" t="s">
        <v>2576</v>
      </c>
      <c r="D345" s="4" t="s">
        <v>2577</v>
      </c>
      <c r="E345" s="4" t="s">
        <v>2578</v>
      </c>
      <c r="F345" s="4" t="str">
        <f>IFERROR(__XLUDF.DUMMYFUNCTION("PROPER(REGEXREPLACE(D330,""[^A-Za-z]+ "",""""))"),"Quai Liberté")</f>
        <v xml:space="preserve">Quai Liberté</v>
      </c>
      <c r="G345" s="4" t="s">
        <v>2579</v>
      </c>
      <c r="H345" s="4">
        <v>6</v>
      </c>
      <c r="I345" s="4" t="s">
        <v>25</v>
      </c>
      <c r="J345" s="5" t="s">
        <v>2580</v>
      </c>
      <c r="K345" s="5" t="s">
        <v>2581</v>
      </c>
      <c r="L345" s="4" t="s">
        <v>39</v>
      </c>
      <c r="M345" s="4" t="s">
        <v>29</v>
      </c>
      <c r="N345" s="6"/>
      <c r="O345" s="6"/>
      <c r="P345" s="6"/>
      <c r="Q345" s="6"/>
      <c r="R345" s="6"/>
      <c r="S345" s="6"/>
      <c r="T345" s="6"/>
      <c r="U345" s="6"/>
      <c r="V345" s="6"/>
      <c r="W345" s="6"/>
      <c r="X345" s="6"/>
      <c r="Y345" s="6"/>
    </row>
    <row r="346" ht="14.25">
      <c r="B346" s="4" t="s">
        <v>322</v>
      </c>
      <c r="C346" s="4" t="s">
        <v>2582</v>
      </c>
      <c r="D346" s="4" t="s">
        <v>62</v>
      </c>
      <c r="E346" s="4" t="s">
        <v>2583</v>
      </c>
      <c r="F346" s="4" t="str">
        <f>IFERROR(__XLUDF.DUMMYFUNCTION("PROPER(REGEXREPLACE(D331,""[^A-Za-z]+ "",""""))"),"Les Tontons Afro")</f>
        <v xml:space="preserve">Les Tontons Afro</v>
      </c>
      <c r="G346" s="4" t="s">
        <v>2584</v>
      </c>
      <c r="H346" s="4">
        <v>2</v>
      </c>
      <c r="I346" s="4" t="s">
        <v>25</v>
      </c>
      <c r="J346" s="5" t="s">
        <v>2585</v>
      </c>
      <c r="K346" s="5" t="s">
        <v>2586</v>
      </c>
      <c r="L346" s="4" t="s">
        <v>39</v>
      </c>
      <c r="M346" s="4" t="s">
        <v>29</v>
      </c>
      <c r="N346" s="4" t="s">
        <v>2587</v>
      </c>
      <c r="O346" s="4" t="s">
        <v>29</v>
      </c>
      <c r="P346" s="4" t="s">
        <v>2588</v>
      </c>
      <c r="Q346" s="6"/>
      <c r="R346" s="6"/>
      <c r="S346" s="6"/>
      <c r="T346" s="6"/>
      <c r="U346" s="6"/>
      <c r="V346" s="6"/>
      <c r="W346" s="6"/>
      <c r="X346" s="6"/>
      <c r="Y346" s="6"/>
    </row>
    <row r="347" ht="14.25">
      <c r="B347" s="4" t="s">
        <v>2589</v>
      </c>
      <c r="C347" s="4" t="s">
        <v>2590</v>
      </c>
      <c r="D347" s="4" t="s">
        <v>2591</v>
      </c>
      <c r="E347" s="4" t="s">
        <v>2592</v>
      </c>
      <c r="F347" s="4" t="str">
        <f>IFERROR(__XLUDF.DUMMYFUNCTION("PROPER(REGEXREPLACE(D332,""[^A-Za-z]+ "",""""))"),"Les Délices Du Petit Bois")</f>
        <v xml:space="preserve">Les Délices Du Petit Bois</v>
      </c>
      <c r="G347" s="4" t="s">
        <v>2593</v>
      </c>
      <c r="H347" s="4">
        <v>5</v>
      </c>
      <c r="I347" s="4" t="s">
        <v>25</v>
      </c>
      <c r="J347" s="5" t="s">
        <v>2594</v>
      </c>
      <c r="K347" s="5" t="s">
        <v>2595</v>
      </c>
      <c r="L347" s="6"/>
      <c r="M347" s="4" t="s">
        <v>29</v>
      </c>
      <c r="N347" s="4" t="s">
        <v>2596</v>
      </c>
      <c r="O347" s="4" t="s">
        <v>29</v>
      </c>
      <c r="P347" s="4" t="s">
        <v>2597</v>
      </c>
      <c r="Q347" s="6"/>
      <c r="R347" s="6"/>
      <c r="S347" s="6"/>
      <c r="T347" s="6"/>
      <c r="U347" s="6"/>
      <c r="V347" s="6"/>
      <c r="W347" s="6"/>
      <c r="X347" s="6"/>
      <c r="Y347" s="6"/>
    </row>
    <row r="348" ht="14.25">
      <c r="B348" s="4" t="s">
        <v>2598</v>
      </c>
      <c r="C348" s="4" t="s">
        <v>39</v>
      </c>
      <c r="D348" s="4" t="s">
        <v>2599</v>
      </c>
      <c r="E348" s="4" t="s">
        <v>2600</v>
      </c>
      <c r="F348" s="4" t="str">
        <f>IFERROR(__XLUDF.DUMMYFUNCTION("PROPER(REGEXREPLACE(D333,""[^A-Za-z]+ "",""""))"),"Oussa Nou Dor")</f>
        <v xml:space="preserve">Oussa Nou Dor</v>
      </c>
      <c r="G348" s="4" t="s">
        <v>2601</v>
      </c>
      <c r="H348" s="4">
        <v>16</v>
      </c>
      <c r="I348" s="4" t="s">
        <v>2602</v>
      </c>
      <c r="J348" s="5" t="s">
        <v>2603</v>
      </c>
      <c r="K348" s="5" t="s">
        <v>2604</v>
      </c>
      <c r="L348" s="4" t="s">
        <v>1507</v>
      </c>
      <c r="M348" s="4" t="s">
        <v>29</v>
      </c>
      <c r="N348" s="4" t="s">
        <v>2605</v>
      </c>
      <c r="O348" s="4" t="s">
        <v>29</v>
      </c>
      <c r="P348" s="4" t="s">
        <v>2606</v>
      </c>
      <c r="Q348" s="6"/>
      <c r="R348" s="6"/>
      <c r="S348" s="6"/>
      <c r="T348" s="6"/>
      <c r="U348" s="6"/>
      <c r="V348" s="6"/>
      <c r="W348" s="6"/>
      <c r="X348" s="6"/>
      <c r="Y348" s="6"/>
    </row>
    <row r="349" ht="14.25">
      <c r="B349" s="4" t="s">
        <v>2607</v>
      </c>
      <c r="C349" s="4" t="s">
        <v>2608</v>
      </c>
      <c r="D349" s="4" t="s">
        <v>120</v>
      </c>
      <c r="E349" s="4" t="s">
        <v>2609</v>
      </c>
      <c r="F349" s="4" t="str">
        <f>IFERROR(__XLUDF.DUMMYFUNCTION("PROPER(REGEXREPLACE(D334,""[^A-Za-z]+ "",""""))"),"Lv Riviera Spagestion De Spas Hôteliers")</f>
        <v xml:space="preserve">Lv Riviera Spagestion De Spas Hôteliers</v>
      </c>
      <c r="G349" s="4" t="s">
        <v>2610</v>
      </c>
      <c r="H349" s="4">
        <v>5</v>
      </c>
      <c r="I349" s="4" t="s">
        <v>25</v>
      </c>
      <c r="J349" s="5" t="s">
        <v>2611</v>
      </c>
      <c r="K349" s="5" t="s">
        <v>2612</v>
      </c>
      <c r="L349" s="4" t="s">
        <v>185</v>
      </c>
      <c r="M349" s="4" t="s">
        <v>29</v>
      </c>
      <c r="N349" s="4" t="s">
        <v>1283</v>
      </c>
      <c r="O349" s="4" t="s">
        <v>29</v>
      </c>
      <c r="P349" s="6"/>
      <c r="Q349" s="6"/>
      <c r="R349" s="6"/>
      <c r="S349" s="6"/>
      <c r="T349" s="6"/>
      <c r="U349" s="6"/>
      <c r="V349" s="6"/>
      <c r="W349" s="6"/>
      <c r="X349" s="6"/>
      <c r="Y349" s="6"/>
    </row>
    <row r="350" ht="14.25">
      <c r="B350" s="4" t="s">
        <v>622</v>
      </c>
      <c r="C350" s="4" t="s">
        <v>2613</v>
      </c>
      <c r="D350" s="4" t="s">
        <v>112</v>
      </c>
      <c r="E350" s="4" t="s">
        <v>2614</v>
      </c>
      <c r="F350" s="4" t="str">
        <f>IFERROR(__XLUDF.DUMMYFUNCTION("PROPER(REGEXREPLACE(D335,""[^A-Za-z]+ "",""""))"),"Alfred Hotels")</f>
        <v xml:space="preserve">Alfred Hotels</v>
      </c>
      <c r="G350" s="4" t="s">
        <v>2615</v>
      </c>
      <c r="H350" s="4">
        <v>15</v>
      </c>
      <c r="I350" s="4" t="s">
        <v>36</v>
      </c>
      <c r="J350" s="5" t="s">
        <v>2616</v>
      </c>
      <c r="K350" s="5" t="s">
        <v>2617</v>
      </c>
      <c r="L350" s="4" t="s">
        <v>39</v>
      </c>
      <c r="M350" s="4" t="s">
        <v>29</v>
      </c>
      <c r="N350" s="4" t="s">
        <v>2618</v>
      </c>
      <c r="O350" s="4" t="s">
        <v>29</v>
      </c>
      <c r="P350" s="6"/>
      <c r="Q350" s="6"/>
      <c r="R350" s="6"/>
      <c r="S350" s="6"/>
      <c r="T350" s="6"/>
      <c r="U350" s="6"/>
      <c r="V350" s="6"/>
      <c r="W350" s="6"/>
      <c r="X350" s="6"/>
      <c r="Y350" s="6"/>
    </row>
    <row r="351" ht="14.25">
      <c r="B351" s="4" t="s">
        <v>485</v>
      </c>
      <c r="C351" s="4" t="s">
        <v>2619</v>
      </c>
      <c r="D351" s="4" t="s">
        <v>879</v>
      </c>
      <c r="E351" s="4" t="s">
        <v>2620</v>
      </c>
      <c r="F351" s="4" t="str">
        <f>IFERROR(__XLUDF.DUMMYFUNCTION("PROPER(REGEXREPLACE(D336,""[^A-Za-z]+ "",""""))"),"Crème")</f>
        <v>Crème</v>
      </c>
      <c r="G351" s="4" t="s">
        <v>2621</v>
      </c>
      <c r="H351" s="4">
        <v>22</v>
      </c>
      <c r="I351" s="4" t="s">
        <v>25</v>
      </c>
      <c r="J351" s="5" t="s">
        <v>2622</v>
      </c>
      <c r="K351" s="5" t="s">
        <v>2623</v>
      </c>
      <c r="L351" s="4" t="s">
        <v>39</v>
      </c>
      <c r="M351" s="4" t="s">
        <v>29</v>
      </c>
      <c r="N351" s="4" t="s">
        <v>2624</v>
      </c>
      <c r="O351" s="4" t="s">
        <v>29</v>
      </c>
      <c r="P351" s="6"/>
      <c r="Q351" s="6"/>
      <c r="R351" s="6"/>
      <c r="S351" s="6"/>
      <c r="T351" s="6"/>
      <c r="U351" s="6"/>
      <c r="V351" s="6"/>
      <c r="W351" s="6"/>
      <c r="X351" s="6"/>
      <c r="Y351" s="6"/>
    </row>
    <row r="352" ht="14.25">
      <c r="B352" s="4" t="s">
        <v>2625</v>
      </c>
      <c r="C352" s="4" t="s">
        <v>2626</v>
      </c>
      <c r="D352" s="4" t="s">
        <v>112</v>
      </c>
      <c r="E352" s="4" t="s">
        <v>2627</v>
      </c>
      <c r="F352" s="4" t="str">
        <f>IFERROR(__XLUDF.DUMMYFUNCTION("PROPER(REGEXREPLACE(D337,""[^A-Za-z]+ "",""""))"),"Anao Plage")</f>
        <v xml:space="preserve">Anao Plage</v>
      </c>
      <c r="G352" s="4" t="s">
        <v>2628</v>
      </c>
      <c r="H352" s="4">
        <v>8</v>
      </c>
      <c r="I352" s="4" t="s">
        <v>2629</v>
      </c>
      <c r="J352" s="5" t="s">
        <v>2630</v>
      </c>
      <c r="K352" s="5" t="s">
        <v>2631</v>
      </c>
      <c r="L352" s="4" t="s">
        <v>774</v>
      </c>
      <c r="M352" s="4" t="s">
        <v>29</v>
      </c>
      <c r="N352" s="4" t="s">
        <v>2632</v>
      </c>
      <c r="O352" s="4" t="s">
        <v>29</v>
      </c>
      <c r="P352" s="4" t="s">
        <v>2633</v>
      </c>
      <c r="Q352" s="6"/>
      <c r="R352" s="6"/>
      <c r="S352" s="6"/>
      <c r="T352" s="6"/>
      <c r="U352" s="6"/>
      <c r="V352" s="6"/>
      <c r="W352" s="6"/>
      <c r="X352" s="6"/>
      <c r="Y352" s="6"/>
    </row>
    <row r="353" ht="14.25">
      <c r="B353" s="4" t="s">
        <v>2634</v>
      </c>
      <c r="C353" s="4" t="s">
        <v>2635</v>
      </c>
      <c r="D353" s="4" t="s">
        <v>2636</v>
      </c>
      <c r="E353" s="4" t="s">
        <v>2637</v>
      </c>
      <c r="F353" s="4" t="str">
        <f>IFERROR(__XLUDF.DUMMYFUNCTION("PROPER(REGEXREPLACE(D338,""[^A-Za-z]+ "",""""))"),"Smily Formerly Bookingsync")</f>
        <v xml:space="preserve">Smily Formerly Bookingsync</v>
      </c>
      <c r="G353" s="4" t="s">
        <v>2638</v>
      </c>
      <c r="H353" s="4">
        <v>39</v>
      </c>
      <c r="I353" s="4" t="s">
        <v>2639</v>
      </c>
      <c r="J353" s="5" t="s">
        <v>2640</v>
      </c>
      <c r="K353" s="5" t="s">
        <v>2641</v>
      </c>
      <c r="L353" s="6"/>
      <c r="M353" s="4" t="s">
        <v>29</v>
      </c>
      <c r="N353" s="4" t="s">
        <v>2642</v>
      </c>
      <c r="O353" s="4" t="s">
        <v>29</v>
      </c>
      <c r="P353" s="6"/>
      <c r="Q353" s="6"/>
      <c r="R353" s="6"/>
      <c r="S353" s="6"/>
      <c r="T353" s="6"/>
      <c r="U353" s="6"/>
      <c r="V353" s="6"/>
      <c r="W353" s="6"/>
      <c r="X353" s="6"/>
      <c r="Y353" s="6"/>
    </row>
    <row r="354" ht="14.25">
      <c r="B354" s="4" t="s">
        <v>2643</v>
      </c>
      <c r="C354" s="4" t="s">
        <v>2644</v>
      </c>
      <c r="D354" s="4" t="s">
        <v>2645</v>
      </c>
      <c r="E354" s="4" t="s">
        <v>2646</v>
      </c>
      <c r="F354" s="4" t="str">
        <f>IFERROR(__XLUDF.DUMMYFUNCTION("PROPER(REGEXREPLACE(D339,""[^A-Za-z]+ "",""""))"),"Dokidoki")</f>
        <v>Dokidoki</v>
      </c>
      <c r="G354" s="4" t="s">
        <v>2647</v>
      </c>
      <c r="H354" s="4">
        <v>3</v>
      </c>
      <c r="I354" s="4" t="s">
        <v>157</v>
      </c>
      <c r="J354" s="5" t="s">
        <v>2648</v>
      </c>
      <c r="K354" s="5" t="s">
        <v>2649</v>
      </c>
      <c r="L354" s="4" t="s">
        <v>2650</v>
      </c>
      <c r="M354" s="4" t="s">
        <v>29</v>
      </c>
      <c r="N354" s="4" t="s">
        <v>2651</v>
      </c>
      <c r="O354" s="4" t="s">
        <v>29</v>
      </c>
      <c r="P354" s="6"/>
      <c r="Q354" s="6"/>
      <c r="R354" s="6"/>
      <c r="S354" s="6"/>
      <c r="T354" s="6"/>
      <c r="U354" s="6"/>
      <c r="V354" s="6"/>
      <c r="W354" s="6"/>
      <c r="X354" s="6"/>
      <c r="Y354" s="6"/>
    </row>
    <row r="355" ht="14.25">
      <c r="B355" s="4" t="s">
        <v>2652</v>
      </c>
      <c r="C355" s="4" t="s">
        <v>2653</v>
      </c>
      <c r="D355" s="4" t="s">
        <v>172</v>
      </c>
      <c r="E355" s="4" t="s">
        <v>2654</v>
      </c>
      <c r="F355" s="4" t="str">
        <f>IFERROR(__XLUDF.DUMMYFUNCTION("PROPER(REGEXREPLACE(D340,""[^A-Za-z]+ "",""""))"),"Bmk")</f>
        <v>Bmk</v>
      </c>
      <c r="G355" s="4" t="s">
        <v>2655</v>
      </c>
      <c r="H355" s="4">
        <v>19</v>
      </c>
      <c r="I355" s="4" t="s">
        <v>25</v>
      </c>
      <c r="J355" s="5" t="s">
        <v>2656</v>
      </c>
      <c r="K355" s="5" t="s">
        <v>2657</v>
      </c>
      <c r="L355" s="4" t="s">
        <v>243</v>
      </c>
      <c r="M355" s="4" t="s">
        <v>29</v>
      </c>
      <c r="N355" s="4" t="s">
        <v>2658</v>
      </c>
      <c r="O355" s="4" t="s">
        <v>29</v>
      </c>
      <c r="P355" s="6"/>
      <c r="Q355" s="6"/>
      <c r="R355" s="6"/>
      <c r="S355" s="6"/>
      <c r="T355" s="6"/>
      <c r="U355" s="6"/>
      <c r="V355" s="6"/>
      <c r="W355" s="6"/>
      <c r="X355" s="6"/>
      <c r="Y355" s="6"/>
    </row>
    <row r="356" ht="14.25">
      <c r="B356" s="4" t="s">
        <v>2659</v>
      </c>
      <c r="C356" s="4" t="s">
        <v>2660</v>
      </c>
      <c r="D356" s="4" t="s">
        <v>172</v>
      </c>
      <c r="E356" s="4" t="s">
        <v>2661</v>
      </c>
      <c r="F356" s="4" t="str">
        <f>IFERROR(__XLUDF.DUMMYFUNCTION("PROPER(REGEXREPLACE(D341,""[^A-Za-z]+ "",""""))"),"Le Manoir De La Régate")</f>
        <v xml:space="preserve">Le Manoir De La Régate</v>
      </c>
      <c r="G356" s="4" t="s">
        <v>2662</v>
      </c>
      <c r="H356" s="4">
        <v>23</v>
      </c>
      <c r="I356" s="4" t="s">
        <v>25</v>
      </c>
      <c r="J356" s="5" t="s">
        <v>2663</v>
      </c>
      <c r="K356" s="5" t="s">
        <v>2664</v>
      </c>
      <c r="L356" s="4" t="s">
        <v>651</v>
      </c>
      <c r="M356" s="4" t="s">
        <v>29</v>
      </c>
      <c r="N356" s="4" t="s">
        <v>2665</v>
      </c>
      <c r="O356" s="4" t="s">
        <v>2666</v>
      </c>
      <c r="P356" s="4" t="s">
        <v>2667</v>
      </c>
      <c r="Q356" s="6"/>
      <c r="R356" s="6"/>
      <c r="S356" s="6"/>
      <c r="T356" s="6"/>
      <c r="U356" s="6"/>
      <c r="V356" s="6"/>
      <c r="W356" s="6"/>
      <c r="X356" s="6"/>
      <c r="Y356" s="6"/>
    </row>
    <row r="357" ht="14.25">
      <c r="B357" s="4" t="s">
        <v>2668</v>
      </c>
      <c r="C357" s="4" t="s">
        <v>189</v>
      </c>
      <c r="D357" s="4" t="s">
        <v>172</v>
      </c>
      <c r="E357" s="4" t="s">
        <v>2669</v>
      </c>
      <c r="F357" s="4" t="str">
        <f>IFERROR(__XLUDF.DUMMYFUNCTION("PROPER(REGEXREPLACE(D342,""[^A-Za-z]+ "",""""))"),"The French Bastards")</f>
        <v xml:space="preserve">The French Bastards</v>
      </c>
      <c r="G357" s="4" t="s">
        <v>2670</v>
      </c>
      <c r="H357" s="4">
        <v>22</v>
      </c>
      <c r="I357" s="4" t="s">
        <v>25</v>
      </c>
      <c r="J357" s="5" t="s">
        <v>2671</v>
      </c>
      <c r="K357" s="5" t="s">
        <v>2672</v>
      </c>
      <c r="L357" s="4" t="s">
        <v>1826</v>
      </c>
      <c r="M357" s="4" t="s">
        <v>29</v>
      </c>
      <c r="N357" s="4" t="s">
        <v>2673</v>
      </c>
      <c r="O357" s="4" t="s">
        <v>29</v>
      </c>
      <c r="P357" s="4" t="s">
        <v>2674</v>
      </c>
      <c r="Q357" s="6"/>
      <c r="R357" s="6"/>
      <c r="S357" s="6"/>
      <c r="T357" s="6"/>
      <c r="U357" s="6"/>
      <c r="V357" s="6"/>
      <c r="W357" s="6"/>
      <c r="X357" s="6"/>
      <c r="Y357" s="6"/>
    </row>
    <row r="358" ht="14.25">
      <c r="B358" s="4" t="s">
        <v>2119</v>
      </c>
      <c r="C358" s="4" t="s">
        <v>2675</v>
      </c>
      <c r="D358" s="4" t="s">
        <v>172</v>
      </c>
      <c r="E358" s="4" t="s">
        <v>2676</v>
      </c>
      <c r="F358" s="4" t="str">
        <f>IFERROR(__XLUDF.DUMMYFUNCTION("PROPER(REGEXREPLACE(D343,""[^A-Za-z]+ "",""""))"),"Collection Maisons Particulières")</f>
        <v xml:space="preserve">Collection Maisons Particulières</v>
      </c>
      <c r="G358" s="4" t="s">
        <v>2677</v>
      </c>
      <c r="H358" s="4">
        <v>24</v>
      </c>
      <c r="I358" s="4" t="s">
        <v>25</v>
      </c>
      <c r="J358" s="5" t="s">
        <v>2678</v>
      </c>
      <c r="K358" s="5" t="s">
        <v>2679</v>
      </c>
      <c r="L358" s="4" t="s">
        <v>2680</v>
      </c>
      <c r="M358" s="4" t="s">
        <v>29</v>
      </c>
      <c r="N358" s="4" t="s">
        <v>2681</v>
      </c>
      <c r="O358" s="4" t="s">
        <v>29</v>
      </c>
      <c r="P358" s="4" t="s">
        <v>2682</v>
      </c>
      <c r="Q358" s="6"/>
      <c r="R358" s="6"/>
      <c r="S358" s="6"/>
      <c r="T358" s="6"/>
      <c r="U358" s="6"/>
      <c r="V358" s="6"/>
      <c r="W358" s="6"/>
      <c r="X358" s="6"/>
      <c r="Y358" s="6"/>
    </row>
    <row r="359" ht="14.25">
      <c r="B359" s="4" t="s">
        <v>330</v>
      </c>
      <c r="C359" s="4" t="s">
        <v>2683</v>
      </c>
      <c r="D359" s="4" t="s">
        <v>172</v>
      </c>
      <c r="E359" s="4" t="s">
        <v>2684</v>
      </c>
      <c r="F359" s="4" t="str">
        <f>IFERROR(__XLUDF.DUMMYFUNCTION("PROPER(REGEXREPLACE(D344,""[^A-Za-z]+ "",""""))"),"Hc Azur")</f>
        <v xml:space="preserve">Hc Azur</v>
      </c>
      <c r="G359" s="4" t="s">
        <v>2685</v>
      </c>
      <c r="H359" s="4">
        <v>52</v>
      </c>
      <c r="I359" s="4" t="s">
        <v>25</v>
      </c>
      <c r="J359" s="5" t="s">
        <v>2686</v>
      </c>
      <c r="K359" s="5" t="s">
        <v>2687</v>
      </c>
      <c r="L359" s="4" t="s">
        <v>423</v>
      </c>
      <c r="M359" s="4" t="s">
        <v>29</v>
      </c>
      <c r="N359" s="4" t="s">
        <v>2688</v>
      </c>
      <c r="O359" s="4" t="s">
        <v>29</v>
      </c>
      <c r="P359" s="4" t="s">
        <v>2689</v>
      </c>
      <c r="Q359" s="6"/>
      <c r="R359" s="6"/>
      <c r="S359" s="6"/>
      <c r="T359" s="6"/>
      <c r="U359" s="6"/>
      <c r="V359" s="6"/>
      <c r="W359" s="6"/>
      <c r="X359" s="6"/>
      <c r="Y359" s="6"/>
    </row>
    <row r="360" ht="14.25">
      <c r="B360" s="4" t="s">
        <v>355</v>
      </c>
      <c r="C360" s="4" t="s">
        <v>2690</v>
      </c>
      <c r="D360" s="4" t="s">
        <v>172</v>
      </c>
      <c r="E360" s="4" t="s">
        <v>2691</v>
      </c>
      <c r="F360" s="4" t="str">
        <f>IFERROR(__XLUDF.DUMMYFUNCTION("PROPER(REGEXREPLACE(D345,""[^A-Za-z]+ "",""""))"),"Cohozee")</f>
        <v>Cohozee</v>
      </c>
      <c r="G360" s="4" t="s">
        <v>2692</v>
      </c>
      <c r="H360" s="4">
        <v>16</v>
      </c>
      <c r="I360" s="4" t="s">
        <v>25</v>
      </c>
      <c r="J360" s="5" t="s">
        <v>2693</v>
      </c>
      <c r="K360" s="5" t="s">
        <v>2694</v>
      </c>
      <c r="L360" s="4" t="s">
        <v>39</v>
      </c>
      <c r="M360" s="4" t="s">
        <v>29</v>
      </c>
      <c r="N360" s="4" t="s">
        <v>2695</v>
      </c>
      <c r="O360" s="4" t="s">
        <v>29</v>
      </c>
      <c r="P360" s="4" t="s">
        <v>2696</v>
      </c>
      <c r="Q360" s="6"/>
      <c r="R360" s="6"/>
      <c r="S360" s="6"/>
      <c r="T360" s="6"/>
      <c r="U360" s="6"/>
      <c r="V360" s="6"/>
      <c r="W360" s="6"/>
      <c r="X360" s="6"/>
      <c r="Y360" s="6"/>
    </row>
    <row r="361" ht="14.25">
      <c r="B361" s="4" t="s">
        <v>808</v>
      </c>
      <c r="C361" s="4" t="s">
        <v>2697</v>
      </c>
      <c r="D361" s="4" t="s">
        <v>2698</v>
      </c>
      <c r="E361" s="4" t="s">
        <v>2699</v>
      </c>
      <c r="F361" s="4" t="str">
        <f>IFERROR(__XLUDF.DUMMYFUNCTION("PROPER(REGEXREPLACE(D346,""[^A-Za-z]+ "",""""))"),"Le Val Gaudry")</f>
        <v xml:space="preserve">Le Val Gaudry</v>
      </c>
      <c r="G361" s="4" t="s">
        <v>2700</v>
      </c>
      <c r="H361" s="4">
        <v>7</v>
      </c>
      <c r="I361" s="4" t="s">
        <v>36</v>
      </c>
      <c r="J361" s="5" t="s">
        <v>2701</v>
      </c>
      <c r="K361" s="5" t="s">
        <v>2702</v>
      </c>
      <c r="L361" s="4" t="s">
        <v>243</v>
      </c>
      <c r="M361" s="4" t="s">
        <v>29</v>
      </c>
      <c r="N361" s="4" t="s">
        <v>1533</v>
      </c>
      <c r="O361" s="4" t="s">
        <v>29</v>
      </c>
      <c r="P361" s="4" t="s">
        <v>2703</v>
      </c>
      <c r="Q361" s="6"/>
      <c r="R361" s="6"/>
      <c r="S361" s="6"/>
      <c r="T361" s="6"/>
      <c r="U361" s="6"/>
      <c r="V361" s="6"/>
      <c r="W361" s="6"/>
      <c r="X361" s="6"/>
      <c r="Y361" s="6"/>
    </row>
    <row r="362" ht="14.25">
      <c r="B362" s="4" t="s">
        <v>2704</v>
      </c>
      <c r="C362" s="4" t="s">
        <v>2705</v>
      </c>
      <c r="D362" s="4" t="s">
        <v>2706</v>
      </c>
      <c r="E362" s="4" t="s">
        <v>2707</v>
      </c>
      <c r="F362" s="4" t="str">
        <f>IFERROR(__XLUDF.DUMMYFUNCTION("PROPER(REGEXREPLACE(D347,""[^A-Za-z]+ "",""""))"),"Lc Bespoke")</f>
        <v xml:space="preserve">Lc Bespoke</v>
      </c>
      <c r="G362" s="4" t="s">
        <v>2708</v>
      </c>
      <c r="H362" s="4">
        <v>8</v>
      </c>
      <c r="I362" s="4" t="s">
        <v>36</v>
      </c>
      <c r="J362" s="5" t="s">
        <v>2709</v>
      </c>
      <c r="K362" s="5" t="s">
        <v>2710</v>
      </c>
      <c r="L362" s="4" t="s">
        <v>39</v>
      </c>
      <c r="M362" s="4" t="s">
        <v>29</v>
      </c>
      <c r="N362" s="4" t="s">
        <v>2711</v>
      </c>
      <c r="O362" s="4" t="s">
        <v>29</v>
      </c>
      <c r="P362" s="4" t="s">
        <v>2712</v>
      </c>
      <c r="Q362" s="6"/>
      <c r="R362" s="6"/>
      <c r="S362" s="6"/>
      <c r="T362" s="6"/>
      <c r="U362" s="6"/>
      <c r="V362" s="6"/>
      <c r="W362" s="6"/>
      <c r="X362" s="6"/>
      <c r="Y362" s="6"/>
    </row>
    <row r="363" ht="14.25">
      <c r="B363" s="4" t="s">
        <v>2713</v>
      </c>
      <c r="C363" s="4" t="s">
        <v>2714</v>
      </c>
      <c r="D363" s="4" t="s">
        <v>44</v>
      </c>
      <c r="E363" s="4" t="s">
        <v>2715</v>
      </c>
      <c r="F363" s="4" t="str">
        <f>IFERROR(__XLUDF.DUMMYFUNCTION("PROPER(REGEXREPLACE(D348,""[^A-Za-z]+ "",""""))"),"Ouilink")</f>
        <v>Ouilink</v>
      </c>
      <c r="G363" s="4" t="s">
        <v>2716</v>
      </c>
      <c r="H363" s="4">
        <v>4</v>
      </c>
      <c r="I363" s="4" t="s">
        <v>25</v>
      </c>
      <c r="J363" s="5" t="s">
        <v>2717</v>
      </c>
      <c r="K363" s="5" t="s">
        <v>2718</v>
      </c>
      <c r="L363" s="4" t="s">
        <v>423</v>
      </c>
      <c r="M363" s="4" t="s">
        <v>29</v>
      </c>
      <c r="N363" s="4" t="s">
        <v>2719</v>
      </c>
      <c r="O363" s="4" t="s">
        <v>29</v>
      </c>
      <c r="P363" s="6"/>
      <c r="Q363" s="6"/>
      <c r="R363" s="6"/>
      <c r="S363" s="6"/>
      <c r="T363" s="6"/>
      <c r="U363" s="6"/>
      <c r="V363" s="6"/>
      <c r="W363" s="6"/>
      <c r="X363" s="6"/>
      <c r="Y363" s="6"/>
    </row>
    <row r="364" ht="14.25">
      <c r="B364" s="4" t="s">
        <v>2720</v>
      </c>
      <c r="C364" s="4" t="s">
        <v>2721</v>
      </c>
      <c r="D364" s="4" t="s">
        <v>62</v>
      </c>
      <c r="E364" s="4" t="s">
        <v>520</v>
      </c>
      <c r="F364" s="4" t="str">
        <f>IFERROR(__XLUDF.DUMMYFUNCTION("PROPER(REGEXREPLACE(D349,""[^A-Za-z]+ "",""""))"),"Otoctone")</f>
        <v>Otoctone</v>
      </c>
      <c r="G364" s="4" t="s">
        <v>2722</v>
      </c>
      <c r="H364" s="4">
        <v>13</v>
      </c>
      <c r="I364" s="4" t="s">
        <v>36</v>
      </c>
      <c r="J364" s="5" t="s">
        <v>2723</v>
      </c>
      <c r="K364" s="5" t="s">
        <v>523</v>
      </c>
      <c r="L364" s="6"/>
      <c r="M364" s="4" t="s">
        <v>29</v>
      </c>
      <c r="N364" s="4" t="s">
        <v>67</v>
      </c>
      <c r="O364" s="4" t="s">
        <v>29</v>
      </c>
      <c r="P364" s="4" t="s">
        <v>524</v>
      </c>
      <c r="Q364" s="6"/>
      <c r="R364" s="6"/>
      <c r="S364" s="6"/>
      <c r="T364" s="6"/>
      <c r="U364" s="6"/>
      <c r="V364" s="6"/>
      <c r="W364" s="6"/>
      <c r="X364" s="6"/>
      <c r="Y364" s="6"/>
    </row>
    <row r="365" ht="14.25">
      <c r="B365" s="4" t="s">
        <v>2724</v>
      </c>
      <c r="C365" s="4" t="s">
        <v>2725</v>
      </c>
      <c r="D365" s="4" t="s">
        <v>1130</v>
      </c>
      <c r="E365" s="4" t="s">
        <v>624</v>
      </c>
      <c r="F365" s="4" t="str">
        <f>IFERROR(__XLUDF.DUMMYFUNCTION("PROPER(REGEXREPLACE(D350,""[^A-Za-z]+ "",""""))"),"Groupe Eclore")</f>
        <v xml:space="preserve">Groupe Eclore</v>
      </c>
      <c r="G365" s="4" t="s">
        <v>2726</v>
      </c>
      <c r="H365" s="4">
        <v>7</v>
      </c>
      <c r="I365" s="4" t="s">
        <v>25</v>
      </c>
      <c r="J365" s="5" t="s">
        <v>2727</v>
      </c>
      <c r="K365" s="5" t="s">
        <v>627</v>
      </c>
      <c r="L365" s="4" t="s">
        <v>243</v>
      </c>
      <c r="M365" s="4" t="s">
        <v>29</v>
      </c>
      <c r="N365" s="4" t="s">
        <v>628</v>
      </c>
      <c r="O365" s="4" t="s">
        <v>29</v>
      </c>
      <c r="P365" s="4" t="s">
        <v>629</v>
      </c>
      <c r="Q365" s="6"/>
      <c r="R365" s="6"/>
      <c r="S365" s="6"/>
      <c r="T365" s="6"/>
      <c r="U365" s="6"/>
      <c r="V365" s="6"/>
      <c r="W365" s="6"/>
      <c r="X365" s="6"/>
      <c r="Y365" s="6"/>
    </row>
    <row r="366" ht="14.25">
      <c r="B366" s="4" t="s">
        <v>1009</v>
      </c>
      <c r="C366" s="4" t="s">
        <v>2728</v>
      </c>
      <c r="D366" s="4" t="s">
        <v>2729</v>
      </c>
      <c r="E366" s="4" t="s">
        <v>2730</v>
      </c>
      <c r="F366" s="4" t="str">
        <f>IFERROR(__XLUDF.DUMMYFUNCTION("PROPER(REGEXREPLACE(D351,""[^A-Za-z]+ "",""""))"),"Premiere Loge")</f>
        <v xml:space="preserve">Premiere Loge</v>
      </c>
      <c r="G366" s="4" t="s">
        <v>2731</v>
      </c>
      <c r="H366" s="4">
        <v>3</v>
      </c>
      <c r="I366" s="4" t="s">
        <v>25</v>
      </c>
      <c r="J366" s="5" t="s">
        <v>2732</v>
      </c>
      <c r="K366" s="5" t="s">
        <v>2733</v>
      </c>
      <c r="L366" s="4" t="s">
        <v>2734</v>
      </c>
      <c r="M366" s="4" t="s">
        <v>29</v>
      </c>
      <c r="N366" s="4" t="s">
        <v>2735</v>
      </c>
      <c r="O366" s="4" t="s">
        <v>29</v>
      </c>
      <c r="P366" s="6"/>
      <c r="Q366" s="6"/>
      <c r="R366" s="6"/>
      <c r="S366" s="6"/>
      <c r="T366" s="6"/>
      <c r="U366" s="6"/>
      <c r="V366" s="6"/>
      <c r="W366" s="6"/>
      <c r="X366" s="6"/>
      <c r="Y366" s="6"/>
    </row>
    <row r="367" ht="14.25">
      <c r="B367" s="4" t="s">
        <v>2736</v>
      </c>
      <c r="C367" s="4" t="s">
        <v>2737</v>
      </c>
      <c r="D367" s="4" t="s">
        <v>541</v>
      </c>
      <c r="E367" s="4" t="s">
        <v>2738</v>
      </c>
      <c r="F367" s="4" t="str">
        <f>IFERROR(__XLUDF.DUMMYFUNCTION("PROPER(REGEXREPLACE(D352,""[^A-Za-z]+ "",""""))"),"Repaires")</f>
        <v>Repaires</v>
      </c>
      <c r="G367" s="4" t="s">
        <v>2739</v>
      </c>
      <c r="H367" s="4">
        <v>7</v>
      </c>
      <c r="I367" s="4" t="s">
        <v>36</v>
      </c>
      <c r="J367" s="5" t="s">
        <v>2740</v>
      </c>
      <c r="K367" s="5" t="s">
        <v>2741</v>
      </c>
      <c r="L367" s="4" t="s">
        <v>39</v>
      </c>
      <c r="M367" s="4" t="s">
        <v>29</v>
      </c>
      <c r="N367" s="4" t="s">
        <v>2742</v>
      </c>
      <c r="O367" s="4" t="s">
        <v>29</v>
      </c>
      <c r="P367" s="6"/>
      <c r="Q367" s="6"/>
      <c r="R367" s="6"/>
      <c r="S367" s="6"/>
      <c r="T367" s="6"/>
      <c r="U367" s="6"/>
      <c r="V367" s="6"/>
      <c r="W367" s="6"/>
      <c r="X367" s="6"/>
      <c r="Y367" s="6"/>
    </row>
    <row r="368" ht="14.25">
      <c r="B368" s="4" t="s">
        <v>2743</v>
      </c>
      <c r="C368" s="4" t="s">
        <v>2744</v>
      </c>
      <c r="D368" s="4" t="s">
        <v>2745</v>
      </c>
      <c r="E368" s="4" t="s">
        <v>2746</v>
      </c>
      <c r="F368" s="4" t="str">
        <f>IFERROR(__XLUDF.DUMMYFUNCTION("PROPER(REGEXREPLACE(D353,""[^A-Za-z]+ "",""""))"),"Gelvar")</f>
        <v>Gelvar</v>
      </c>
      <c r="G368" s="4" t="s">
        <v>2747</v>
      </c>
      <c r="H368" s="4">
        <v>9</v>
      </c>
      <c r="I368" s="4" t="s">
        <v>25</v>
      </c>
      <c r="J368" s="5" t="s">
        <v>2748</v>
      </c>
      <c r="K368" s="5" t="s">
        <v>2749</v>
      </c>
      <c r="L368" s="4" t="s">
        <v>83</v>
      </c>
      <c r="M368" s="4" t="s">
        <v>29</v>
      </c>
      <c r="N368" s="4" t="s">
        <v>2750</v>
      </c>
      <c r="O368" s="4" t="s">
        <v>29</v>
      </c>
      <c r="P368" s="6"/>
      <c r="Q368" s="6"/>
      <c r="R368" s="6"/>
      <c r="S368" s="6"/>
      <c r="T368" s="6"/>
      <c r="U368" s="6"/>
      <c r="V368" s="6"/>
      <c r="W368" s="6"/>
      <c r="X368" s="6"/>
      <c r="Y368" s="6"/>
    </row>
    <row r="369" ht="14.25">
      <c r="B369" s="4" t="s">
        <v>670</v>
      </c>
      <c r="C369" s="4" t="s">
        <v>2751</v>
      </c>
      <c r="D369" s="4" t="s">
        <v>426</v>
      </c>
      <c r="E369" s="4" t="s">
        <v>2752</v>
      </c>
      <c r="F369" s="4" t="str">
        <f>IFERROR(__XLUDF.DUMMYFUNCTION("PROPER(REGEXREPLACE(D354,""[^A-Za-z]+ "",""""))"),"Unniiq")</f>
        <v>Unniiq</v>
      </c>
      <c r="G369" s="4" t="s">
        <v>2753</v>
      </c>
      <c r="H369" s="4">
        <v>59</v>
      </c>
      <c r="I369" s="4" t="s">
        <v>25</v>
      </c>
      <c r="J369" s="5" t="s">
        <v>2754</v>
      </c>
      <c r="K369" s="5" t="s">
        <v>2755</v>
      </c>
      <c r="L369" s="4" t="s">
        <v>39</v>
      </c>
      <c r="M369" s="4" t="s">
        <v>29</v>
      </c>
      <c r="N369" s="4" t="s">
        <v>2756</v>
      </c>
      <c r="O369" s="4" t="s">
        <v>29</v>
      </c>
      <c r="P369" s="6"/>
      <c r="Q369" s="6"/>
      <c r="R369" s="6"/>
      <c r="S369" s="6"/>
      <c r="T369" s="6"/>
      <c r="U369" s="6"/>
      <c r="V369" s="6"/>
      <c r="W369" s="6"/>
      <c r="X369" s="6"/>
      <c r="Y369" s="6"/>
    </row>
    <row r="370" ht="14.25">
      <c r="B370" s="4" t="s">
        <v>20</v>
      </c>
      <c r="C370" s="4" t="s">
        <v>2757</v>
      </c>
      <c r="D370" s="4" t="s">
        <v>112</v>
      </c>
      <c r="E370" s="4" t="s">
        <v>2758</v>
      </c>
      <c r="F370" s="4" t="str">
        <f>IFERROR(__XLUDF.DUMMYFUNCTION("PROPER(REGEXREPLACE(D355,""[^A-Za-z]+ "",""""))"),"Le Saint James Bouliac")</f>
        <v xml:space="preserve">Le Saint James Bouliac</v>
      </c>
      <c r="G370" s="4" t="s">
        <v>2759</v>
      </c>
      <c r="H370" s="4">
        <v>3</v>
      </c>
      <c r="I370" s="4" t="s">
        <v>25</v>
      </c>
      <c r="J370" s="5" t="s">
        <v>2760</v>
      </c>
      <c r="K370" s="5" t="s">
        <v>2761</v>
      </c>
      <c r="L370" s="6"/>
      <c r="M370" s="4" t="s">
        <v>29</v>
      </c>
      <c r="N370" s="4" t="s">
        <v>29</v>
      </c>
      <c r="O370" s="4" t="s">
        <v>29</v>
      </c>
      <c r="P370" s="4" t="s">
        <v>2762</v>
      </c>
      <c r="Q370" s="6"/>
      <c r="R370" s="6"/>
      <c r="S370" s="6"/>
      <c r="T370" s="6"/>
      <c r="U370" s="6"/>
      <c r="V370" s="6"/>
      <c r="W370" s="6"/>
      <c r="X370" s="6"/>
      <c r="Y370" s="6"/>
    </row>
    <row r="371" ht="14.25">
      <c r="B371" s="4" t="s">
        <v>2763</v>
      </c>
      <c r="C371" s="4" t="s">
        <v>2764</v>
      </c>
      <c r="D371" s="4" t="s">
        <v>487</v>
      </c>
      <c r="E371" s="4" t="s">
        <v>2765</v>
      </c>
      <c r="F371" s="4" t="str">
        <f>IFERROR(__XLUDF.DUMMYFUNCTION("PROPER(REGEXREPLACE(D356,""[^A-Za-z]+ "",""""))"),"Hôtel-Restaurant Val-Vignes 4*")</f>
        <v xml:space="preserve">Hôtel-Restaurant Val-Vignes 4*</v>
      </c>
      <c r="G371" s="4" t="s">
        <v>2766</v>
      </c>
      <c r="H371" s="4">
        <v>47</v>
      </c>
      <c r="I371" s="4" t="s">
        <v>90</v>
      </c>
      <c r="J371" s="5" t="s">
        <v>2767</v>
      </c>
      <c r="K371" s="5" t="s">
        <v>2768</v>
      </c>
      <c r="L371" s="6"/>
      <c r="M371" s="4" t="s">
        <v>29</v>
      </c>
      <c r="N371" s="4" t="s">
        <v>2769</v>
      </c>
      <c r="O371" s="4" t="s">
        <v>29</v>
      </c>
      <c r="P371" s="4" t="s">
        <v>2770</v>
      </c>
      <c r="Q371" s="6"/>
      <c r="R371" s="6"/>
      <c r="S371" s="6"/>
      <c r="T371" s="6"/>
      <c r="U371" s="6"/>
      <c r="V371" s="6"/>
      <c r="W371" s="6"/>
      <c r="X371" s="6"/>
      <c r="Y371" s="6"/>
    </row>
    <row r="372" ht="14.25">
      <c r="B372" s="4" t="s">
        <v>2771</v>
      </c>
      <c r="C372" s="4" t="s">
        <v>2772</v>
      </c>
      <c r="D372" s="4" t="s">
        <v>341</v>
      </c>
      <c r="E372" s="4" t="s">
        <v>2773</v>
      </c>
      <c r="F372" s="4" t="str">
        <f>IFERROR(__XLUDF.DUMMYFUNCTION("PROPER(REGEXREPLACE(D357,""[^A-Za-z]+ "",""""))"),"Best Western Plus Le Roi Arthur Hôtelspa ****")</f>
        <v xml:space="preserve">Best Western Plus Le Roi Arthur Hôtelspa ****</v>
      </c>
      <c r="G372" s="4" t="s">
        <v>2774</v>
      </c>
      <c r="H372" s="4">
        <v>60</v>
      </c>
      <c r="I372" s="4" t="s">
        <v>36</v>
      </c>
      <c r="J372" s="5" t="s">
        <v>2775</v>
      </c>
      <c r="K372" s="5" t="s">
        <v>2776</v>
      </c>
      <c r="L372" s="4" t="s">
        <v>39</v>
      </c>
      <c r="M372" s="4" t="s">
        <v>29</v>
      </c>
      <c r="N372" s="4" t="s">
        <v>67</v>
      </c>
      <c r="O372" s="4" t="s">
        <v>29</v>
      </c>
      <c r="P372" s="6"/>
      <c r="Q372" s="6"/>
      <c r="R372" s="6"/>
      <c r="S372" s="6"/>
      <c r="T372" s="6"/>
      <c r="U372" s="6"/>
      <c r="V372" s="6"/>
      <c r="W372" s="6"/>
      <c r="X372" s="6"/>
      <c r="Y372" s="6"/>
    </row>
    <row r="373" ht="14.25">
      <c r="B373" s="4" t="s">
        <v>2777</v>
      </c>
      <c r="C373" s="4" t="s">
        <v>2778</v>
      </c>
      <c r="D373" s="4" t="s">
        <v>112</v>
      </c>
      <c r="E373" s="4" t="s">
        <v>2779</v>
      </c>
      <c r="F373" s="4" t="str">
        <f>IFERROR(__XLUDF.DUMMYFUNCTION("PROPER(REGEXREPLACE(D358,""[^A-Za-z]+ "",""""))"),"Kube Saint-Tropez")</f>
        <v xml:space="preserve">Kube Saint-Tropez</v>
      </c>
      <c r="G373" s="4" t="s">
        <v>2780</v>
      </c>
      <c r="H373" s="4">
        <v>46</v>
      </c>
      <c r="I373" s="4" t="s">
        <v>36</v>
      </c>
      <c r="J373" s="5" t="s">
        <v>2781</v>
      </c>
      <c r="K373" s="5" t="s">
        <v>2782</v>
      </c>
      <c r="L373" s="4" t="s">
        <v>295</v>
      </c>
      <c r="M373" s="4" t="s">
        <v>29</v>
      </c>
      <c r="N373" s="4" t="s">
        <v>2783</v>
      </c>
      <c r="O373" s="4" t="s">
        <v>29</v>
      </c>
      <c r="P373" s="4" t="s">
        <v>2784</v>
      </c>
      <c r="Q373" s="6"/>
      <c r="R373" s="6"/>
      <c r="S373" s="6"/>
      <c r="T373" s="6"/>
      <c r="U373" s="6"/>
      <c r="V373" s="6"/>
      <c r="W373" s="6"/>
      <c r="X373" s="6"/>
      <c r="Y373" s="6"/>
    </row>
    <row r="374" ht="14.25">
      <c r="B374" s="4" t="s">
        <v>2785</v>
      </c>
      <c r="C374" s="4" t="s">
        <v>604</v>
      </c>
      <c r="D374" s="4" t="s">
        <v>120</v>
      </c>
      <c r="E374" s="4" t="s">
        <v>2786</v>
      </c>
      <c r="F374" s="4" t="str">
        <f>IFERROR(__XLUDF.DUMMYFUNCTION("PROPER(REGEXREPLACE(D359,""[^A-Za-z]+ "",""""))"),"Groupe Pvg")</f>
        <v xml:space="preserve">Groupe Pvg</v>
      </c>
      <c r="G374" s="4" t="s">
        <v>2787</v>
      </c>
      <c r="H374" s="4">
        <v>8</v>
      </c>
      <c r="I374" s="4" t="s">
        <v>2788</v>
      </c>
      <c r="J374" s="5" t="s">
        <v>2789</v>
      </c>
      <c r="K374" s="5" t="s">
        <v>2790</v>
      </c>
      <c r="L374" s="4" t="s">
        <v>39</v>
      </c>
      <c r="M374" s="4" t="s">
        <v>29</v>
      </c>
      <c r="N374" s="4" t="s">
        <v>2791</v>
      </c>
      <c r="O374" s="4" t="s">
        <v>29</v>
      </c>
      <c r="P374" s="4" t="s">
        <v>2792</v>
      </c>
      <c r="Q374" s="6"/>
      <c r="R374" s="6"/>
      <c r="S374" s="6"/>
      <c r="T374" s="6"/>
      <c r="U374" s="6"/>
      <c r="V374" s="6"/>
      <c r="W374" s="6"/>
      <c r="X374" s="6"/>
      <c r="Y374" s="6"/>
    </row>
    <row r="375" ht="14.25">
      <c r="B375" s="4" t="s">
        <v>2793</v>
      </c>
      <c r="C375" s="4" t="s">
        <v>2794</v>
      </c>
      <c r="D375" s="4" t="s">
        <v>2795</v>
      </c>
      <c r="E375" s="4" t="s">
        <v>2796</v>
      </c>
      <c r="F375" s="4" t="str">
        <f>IFERROR(__XLUDF.DUMMYFUNCTION("PROPER(REGEXREPLACE(D360,""[^A-Za-z]+ "",""""))"),"Hotel Andre Latin")</f>
        <v xml:space="preserve">Hotel Andre Latin</v>
      </c>
      <c r="G375" s="4" t="s">
        <v>2797</v>
      </c>
      <c r="H375" s="4">
        <v>10</v>
      </c>
      <c r="I375" s="4" t="s">
        <v>36</v>
      </c>
      <c r="J375" s="5" t="s">
        <v>2798</v>
      </c>
      <c r="K375" s="5" t="s">
        <v>2799</v>
      </c>
      <c r="L375" s="4" t="s">
        <v>846</v>
      </c>
      <c r="M375" s="4" t="s">
        <v>29</v>
      </c>
      <c r="N375" s="4" t="s">
        <v>2800</v>
      </c>
      <c r="O375" s="4" t="s">
        <v>29</v>
      </c>
      <c r="P375" s="4" t="s">
        <v>2801</v>
      </c>
      <c r="Q375" s="6"/>
      <c r="R375" s="6"/>
      <c r="S375" s="6"/>
      <c r="T375" s="6"/>
      <c r="U375" s="6"/>
      <c r="V375" s="6"/>
      <c r="W375" s="6"/>
      <c r="X375" s="6"/>
      <c r="Y375" s="6"/>
    </row>
    <row r="376" ht="14.25">
      <c r="B376" s="4" t="s">
        <v>525</v>
      </c>
      <c r="C376" s="4" t="s">
        <v>2802</v>
      </c>
      <c r="D376" s="4" t="s">
        <v>487</v>
      </c>
      <c r="E376" s="4" t="s">
        <v>2803</v>
      </c>
      <c r="F376" s="4" t="str">
        <f>IFERROR(__XLUDF.DUMMYFUNCTION("PROPER(REGEXREPLACE(D361,""[^A-Za-z]+ "",""""))"),"Overfull")</f>
        <v>Overfull</v>
      </c>
      <c r="G376" s="4" t="s">
        <v>2804</v>
      </c>
      <c r="H376" s="4">
        <v>18</v>
      </c>
      <c r="I376" s="4" t="s">
        <v>36</v>
      </c>
      <c r="J376" s="5" t="s">
        <v>2805</v>
      </c>
      <c r="K376" s="5" t="s">
        <v>2806</v>
      </c>
      <c r="L376" s="4" t="s">
        <v>2186</v>
      </c>
      <c r="M376" s="4" t="s">
        <v>29</v>
      </c>
      <c r="N376" s="4" t="s">
        <v>2807</v>
      </c>
      <c r="O376" s="4" t="s">
        <v>29</v>
      </c>
      <c r="P376" s="4" t="s">
        <v>2808</v>
      </c>
      <c r="Q376" s="6"/>
      <c r="R376" s="6"/>
      <c r="S376" s="6"/>
      <c r="T376" s="6"/>
      <c r="U376" s="6"/>
      <c r="V376" s="6"/>
      <c r="W376" s="6"/>
      <c r="X376" s="6"/>
      <c r="Y376" s="6"/>
    </row>
    <row r="377" ht="14.25">
      <c r="B377" s="4" t="s">
        <v>206</v>
      </c>
      <c r="C377" s="4" t="s">
        <v>2809</v>
      </c>
      <c r="D377" s="4" t="s">
        <v>2810</v>
      </c>
      <c r="E377" s="4" t="s">
        <v>2811</v>
      </c>
      <c r="F377" s="4" t="str">
        <f>IFERROR(__XLUDF.DUMMYFUNCTION("PROPER(REGEXREPLACE(D362,""[^A-Za-z]+ "",""""))"),"The Cali Sisters")</f>
        <v xml:space="preserve">The Cali Sisters</v>
      </c>
      <c r="G377" s="4" t="s">
        <v>2812</v>
      </c>
      <c r="H377" s="4">
        <v>11</v>
      </c>
      <c r="I377" s="4" t="s">
        <v>36</v>
      </c>
      <c r="J377" s="5" t="s">
        <v>2813</v>
      </c>
      <c r="K377" s="5" t="s">
        <v>2814</v>
      </c>
      <c r="L377" s="6"/>
      <c r="M377" s="4" t="s">
        <v>29</v>
      </c>
      <c r="N377" s="4" t="s">
        <v>2815</v>
      </c>
      <c r="O377" s="4" t="s">
        <v>29</v>
      </c>
      <c r="P377" s="6"/>
      <c r="Q377" s="6"/>
      <c r="R377" s="6"/>
      <c r="S377" s="6"/>
      <c r="T377" s="6"/>
      <c r="U377" s="6"/>
      <c r="V377" s="6"/>
      <c r="W377" s="6"/>
      <c r="X377" s="6"/>
      <c r="Y377" s="6"/>
    </row>
    <row r="378" ht="14.25">
      <c r="B378" s="4" t="s">
        <v>2816</v>
      </c>
      <c r="C378" s="4" t="s">
        <v>2817</v>
      </c>
      <c r="D378" s="4" t="s">
        <v>198</v>
      </c>
      <c r="E378" s="4" t="s">
        <v>2818</v>
      </c>
      <c r="F378" s="4" t="str">
        <f>IFERROR(__XLUDF.DUMMYFUNCTION("PROPER(REGEXREPLACE(D363,""[^A-Za-z]+ "",""""))"),"Mim")</f>
        <v>Mim</v>
      </c>
      <c r="G378" s="4" t="s">
        <v>2819</v>
      </c>
      <c r="H378" s="4">
        <v>13</v>
      </c>
      <c r="I378" s="4" t="s">
        <v>25</v>
      </c>
      <c r="J378" s="5" t="s">
        <v>2820</v>
      </c>
      <c r="K378" s="5" t="s">
        <v>2821</v>
      </c>
      <c r="L378" s="4" t="s">
        <v>39</v>
      </c>
      <c r="M378" s="4" t="s">
        <v>29</v>
      </c>
      <c r="N378" s="4" t="s">
        <v>2822</v>
      </c>
      <c r="O378" s="4" t="s">
        <v>29</v>
      </c>
      <c r="P378" s="4" t="s">
        <v>2823</v>
      </c>
      <c r="Q378" s="6"/>
      <c r="R378" s="6"/>
      <c r="S378" s="6"/>
      <c r="T378" s="6"/>
      <c r="U378" s="6"/>
      <c r="V378" s="6"/>
      <c r="W378" s="6"/>
      <c r="X378" s="6"/>
      <c r="Y378" s="6"/>
    </row>
    <row r="379" ht="14.25">
      <c r="B379" s="4" t="s">
        <v>2824</v>
      </c>
      <c r="C379" s="4" t="s">
        <v>2825</v>
      </c>
      <c r="D379" s="4" t="s">
        <v>172</v>
      </c>
      <c r="E379" s="4" t="s">
        <v>2826</v>
      </c>
      <c r="F379" s="4" t="str">
        <f>IFERROR(__XLUDF.DUMMYFUNCTION("PROPER(REGEXREPLACE(D364,""[^A-Za-z]+ "",""""))"),"Foodjer")</f>
        <v>Foodjer</v>
      </c>
      <c r="G379" s="4" t="s">
        <v>2827</v>
      </c>
      <c r="H379" s="4">
        <v>21</v>
      </c>
      <c r="I379" s="4" t="s">
        <v>25</v>
      </c>
      <c r="J379" s="5" t="s">
        <v>2828</v>
      </c>
      <c r="K379" s="5" t="s">
        <v>2829</v>
      </c>
      <c r="L379" s="4" t="s">
        <v>2830</v>
      </c>
      <c r="M379" s="4" t="s">
        <v>29</v>
      </c>
      <c r="N379" s="4" t="s">
        <v>2831</v>
      </c>
      <c r="O379" s="4" t="s">
        <v>29</v>
      </c>
      <c r="P379" s="4" t="s">
        <v>2832</v>
      </c>
      <c r="Q379" s="6"/>
      <c r="R379" s="6"/>
      <c r="S379" s="6"/>
      <c r="T379" s="6"/>
      <c r="U379" s="6"/>
      <c r="V379" s="6"/>
      <c r="W379" s="6"/>
      <c r="X379" s="6"/>
      <c r="Y379" s="6"/>
    </row>
    <row r="380" ht="14.25">
      <c r="B380" s="4" t="s">
        <v>2833</v>
      </c>
      <c r="C380" s="4" t="s">
        <v>2834</v>
      </c>
      <c r="D380" s="4" t="s">
        <v>2835</v>
      </c>
      <c r="E380" s="4" t="s">
        <v>2836</v>
      </c>
      <c r="F380" s="4" t="str">
        <f>IFERROR(__XLUDF.DUMMYFUNCTION("PROPER(REGEXREPLACE(D365,""[^A-Za-z]+ "",""""))"),"Groupe Nessence")</f>
        <v xml:space="preserve">Groupe Nessence</v>
      </c>
      <c r="G380" s="4" t="s">
        <v>2837</v>
      </c>
      <c r="H380" s="4">
        <v>24</v>
      </c>
      <c r="I380" s="4" t="s">
        <v>36</v>
      </c>
      <c r="J380" s="5" t="s">
        <v>2838</v>
      </c>
      <c r="K380" s="5" t="s">
        <v>2839</v>
      </c>
      <c r="L380" s="6"/>
      <c r="M380" s="4" t="s">
        <v>29</v>
      </c>
      <c r="N380" s="4" t="s">
        <v>2840</v>
      </c>
      <c r="O380" s="4" t="s">
        <v>29</v>
      </c>
      <c r="P380" s="4" t="s">
        <v>2841</v>
      </c>
      <c r="Q380" s="6"/>
      <c r="R380" s="6"/>
      <c r="S380" s="6"/>
      <c r="T380" s="6"/>
      <c r="U380" s="6"/>
      <c r="V380" s="6"/>
      <c r="W380" s="6"/>
      <c r="X380" s="6"/>
      <c r="Y380" s="6"/>
    </row>
    <row r="381" ht="14.25">
      <c r="B381" s="4" t="s">
        <v>85</v>
      </c>
      <c r="C381" s="4" t="s">
        <v>2842</v>
      </c>
      <c r="D381" s="4" t="s">
        <v>164</v>
      </c>
      <c r="E381" s="4" t="s">
        <v>2843</v>
      </c>
      <c r="F381" s="4" t="str">
        <f>IFERROR(__XLUDF.DUMMYFUNCTION("PROPER(REGEXREPLACE(D366,""[^A-Za-z]+ "",""""))"),"Teisseire Consulting")</f>
        <v xml:space="preserve">Teisseire Consulting</v>
      </c>
      <c r="G381" s="4" t="s">
        <v>2844</v>
      </c>
      <c r="H381" s="4">
        <v>49</v>
      </c>
      <c r="I381" s="4" t="s">
        <v>25</v>
      </c>
      <c r="J381" s="5" t="s">
        <v>2845</v>
      </c>
      <c r="K381" s="5" t="s">
        <v>2846</v>
      </c>
      <c r="L381" s="6"/>
      <c r="M381" s="4" t="s">
        <v>29</v>
      </c>
      <c r="N381" s="4" t="s">
        <v>2847</v>
      </c>
      <c r="O381" s="4" t="s">
        <v>29</v>
      </c>
      <c r="P381" s="4" t="s">
        <v>2848</v>
      </c>
      <c r="Q381" s="6"/>
      <c r="R381" s="6"/>
      <c r="S381" s="6"/>
      <c r="T381" s="6"/>
      <c r="U381" s="6"/>
      <c r="V381" s="6"/>
      <c r="W381" s="6"/>
      <c r="X381" s="6"/>
      <c r="Y381" s="6"/>
    </row>
    <row r="382" ht="14.25">
      <c r="B382" s="4" t="s">
        <v>2849</v>
      </c>
      <c r="C382" s="4" t="s">
        <v>2850</v>
      </c>
      <c r="D382" s="4" t="s">
        <v>172</v>
      </c>
      <c r="E382" s="4" t="s">
        <v>2851</v>
      </c>
      <c r="F382" s="4" t="str">
        <f>IFERROR(__XLUDF.DUMMYFUNCTION("PROPER(REGEXREPLACE(D367,""[^A-Za-z]+ "",""""))"),"Choukran Club")</f>
        <v xml:space="preserve">Choukran Club</v>
      </c>
      <c r="G382" s="4" t="s">
        <v>2852</v>
      </c>
      <c r="H382" s="4">
        <v>10</v>
      </c>
      <c r="I382" s="4" t="s">
        <v>25</v>
      </c>
      <c r="J382" s="5" t="s">
        <v>2853</v>
      </c>
      <c r="K382" s="5" t="s">
        <v>2854</v>
      </c>
      <c r="L382" s="4" t="s">
        <v>2855</v>
      </c>
      <c r="M382" s="4" t="s">
        <v>29</v>
      </c>
      <c r="N382" s="4" t="s">
        <v>2856</v>
      </c>
      <c r="O382" s="4" t="s">
        <v>29</v>
      </c>
      <c r="P382" s="6"/>
      <c r="Q382" s="6"/>
      <c r="R382" s="6"/>
      <c r="S382" s="6"/>
      <c r="T382" s="6"/>
      <c r="U382" s="6"/>
      <c r="V382" s="6"/>
      <c r="W382" s="6"/>
      <c r="X382" s="6"/>
      <c r="Y382" s="6"/>
    </row>
    <row r="383" ht="14.25">
      <c r="B383" s="4" t="s">
        <v>1654</v>
      </c>
      <c r="C383" s="4" t="s">
        <v>2857</v>
      </c>
      <c r="D383" s="4" t="s">
        <v>172</v>
      </c>
      <c r="E383" s="4" t="s">
        <v>2858</v>
      </c>
      <c r="F383" s="4" t="str">
        <f>IFERROR(__XLUDF.DUMMYFUNCTION("PROPER(REGEXREPLACE(D368,""[^A-Za-z]+ "",""""))"),"Bedboat")</f>
        <v>Bedboat</v>
      </c>
      <c r="G383" s="4" t="s">
        <v>2859</v>
      </c>
      <c r="H383" s="4">
        <v>2</v>
      </c>
      <c r="I383" s="4" t="s">
        <v>25</v>
      </c>
      <c r="J383" s="5" t="s">
        <v>2860</v>
      </c>
      <c r="K383" s="5" t="s">
        <v>2861</v>
      </c>
      <c r="L383" s="4" t="s">
        <v>39</v>
      </c>
      <c r="M383" s="4" t="s">
        <v>29</v>
      </c>
      <c r="N383" s="4" t="s">
        <v>2862</v>
      </c>
      <c r="O383" s="4" t="s">
        <v>29</v>
      </c>
      <c r="P383" s="6"/>
      <c r="Q383" s="6"/>
      <c r="R383" s="6"/>
      <c r="S383" s="6"/>
      <c r="T383" s="6"/>
      <c r="U383" s="6"/>
      <c r="V383" s="6"/>
      <c r="W383" s="6"/>
      <c r="X383" s="6"/>
      <c r="Y383" s="6"/>
    </row>
    <row r="384" ht="14.25">
      <c r="B384" s="4" t="s">
        <v>596</v>
      </c>
      <c r="C384" s="4" t="s">
        <v>2863</v>
      </c>
      <c r="D384" s="4" t="s">
        <v>44</v>
      </c>
      <c r="E384" s="4" t="s">
        <v>2864</v>
      </c>
      <c r="F384" s="4" t="str">
        <f>IFERROR(__XLUDF.DUMMYFUNCTION("PROPER(REGEXREPLACE(D369,""[^A-Za-z]+ "",""""))"),"Fauchon L'Hotel Paris")</f>
        <v xml:space="preserve">Fauchon L'Hotel Paris</v>
      </c>
      <c r="G384" s="4" t="s">
        <v>2865</v>
      </c>
      <c r="H384" s="4">
        <v>5</v>
      </c>
      <c r="I384" s="4" t="s">
        <v>25</v>
      </c>
      <c r="J384" s="5" t="s">
        <v>2866</v>
      </c>
      <c r="K384" s="5" t="s">
        <v>2867</v>
      </c>
      <c r="L384" s="4" t="s">
        <v>39</v>
      </c>
      <c r="M384" s="4" t="s">
        <v>29</v>
      </c>
      <c r="N384" s="4" t="s">
        <v>2868</v>
      </c>
      <c r="O384" s="4" t="s">
        <v>29</v>
      </c>
      <c r="P384" s="4" t="s">
        <v>2869</v>
      </c>
      <c r="Q384" s="6"/>
      <c r="R384" s="6"/>
      <c r="S384" s="6"/>
      <c r="T384" s="6"/>
      <c r="U384" s="6"/>
      <c r="V384" s="6"/>
      <c r="W384" s="6"/>
      <c r="X384" s="6"/>
      <c r="Y384" s="6"/>
    </row>
    <row r="385" ht="14.25">
      <c r="B385" s="4" t="s">
        <v>808</v>
      </c>
      <c r="C385" s="4" t="s">
        <v>2870</v>
      </c>
      <c r="D385" s="4" t="s">
        <v>2871</v>
      </c>
      <c r="E385" s="4" t="s">
        <v>2872</v>
      </c>
      <c r="F385" s="4" t="str">
        <f>IFERROR(__XLUDF.DUMMYFUNCTION("PROPER(REGEXREPLACE(D370,""[^A-Za-z]+ "",""""))"),"Groupe Arnéodo")</f>
        <v xml:space="preserve">Groupe Arnéodo</v>
      </c>
      <c r="G385" s="4" t="s">
        <v>2873</v>
      </c>
      <c r="H385" s="4">
        <v>4</v>
      </c>
      <c r="I385" s="4" t="s">
        <v>36</v>
      </c>
      <c r="J385" s="5" t="s">
        <v>2874</v>
      </c>
      <c r="K385" s="5" t="s">
        <v>2875</v>
      </c>
      <c r="L385" s="4" t="s">
        <v>562</v>
      </c>
      <c r="M385" s="4" t="s">
        <v>29</v>
      </c>
      <c r="N385" s="4" t="s">
        <v>457</v>
      </c>
      <c r="O385" s="4" t="s">
        <v>29</v>
      </c>
      <c r="P385" s="4" t="s">
        <v>2876</v>
      </c>
      <c r="Q385" s="6"/>
      <c r="R385" s="6"/>
      <c r="S385" s="6"/>
      <c r="T385" s="6"/>
      <c r="U385" s="6"/>
      <c r="V385" s="6"/>
      <c r="W385" s="6"/>
      <c r="X385" s="6"/>
      <c r="Y385" s="6"/>
    </row>
    <row r="386" ht="14.25">
      <c r="B386" s="4" t="s">
        <v>2877</v>
      </c>
      <c r="C386" s="4" t="s">
        <v>402</v>
      </c>
      <c r="D386" s="4" t="s">
        <v>1130</v>
      </c>
      <c r="E386" s="4" t="s">
        <v>2878</v>
      </c>
      <c r="F386" s="4" t="str">
        <f>IFERROR(__XLUDF.DUMMYFUNCTION("PROPER(REGEXREPLACE(D371,""[^A-Za-z]+ "",""""))"),"Château Des Vigiers Golfhôtel")</f>
        <v xml:space="preserve">Château Des Vigiers Golfhôtel</v>
      </c>
      <c r="G386" s="4" t="s">
        <v>2879</v>
      </c>
      <c r="H386" s="4">
        <v>8</v>
      </c>
      <c r="I386" s="4" t="s">
        <v>1450</v>
      </c>
      <c r="J386" s="5" t="s">
        <v>2880</v>
      </c>
      <c r="K386" s="5" t="s">
        <v>2881</v>
      </c>
      <c r="L386" s="4" t="s">
        <v>39</v>
      </c>
      <c r="M386" s="4" t="s">
        <v>29</v>
      </c>
      <c r="N386" s="4" t="s">
        <v>2882</v>
      </c>
      <c r="O386" s="4" t="s">
        <v>29</v>
      </c>
      <c r="P386" s="4" t="s">
        <v>2883</v>
      </c>
      <c r="Q386" s="6"/>
      <c r="R386" s="6"/>
      <c r="S386" s="6"/>
      <c r="T386" s="6"/>
      <c r="U386" s="6"/>
      <c r="V386" s="6"/>
      <c r="W386" s="6"/>
      <c r="X386" s="6"/>
      <c r="Y386" s="6"/>
    </row>
    <row r="387" ht="14.25">
      <c r="B387" s="4" t="s">
        <v>769</v>
      </c>
      <c r="C387" s="4" t="s">
        <v>2884</v>
      </c>
      <c r="D387" s="4" t="s">
        <v>120</v>
      </c>
      <c r="E387" s="4" t="s">
        <v>2885</v>
      </c>
      <c r="F387" s="4" t="str">
        <f>IFERROR(__XLUDF.DUMMYFUNCTION("PROPER(REGEXREPLACE(D372,""[^A-Za-z]+ "",""""))"),"Crêpe Touch")</f>
        <v xml:space="preserve">Crêpe Touch</v>
      </c>
      <c r="G387" s="4" t="s">
        <v>2886</v>
      </c>
      <c r="H387" s="4">
        <v>4</v>
      </c>
      <c r="I387" s="4" t="s">
        <v>36</v>
      </c>
      <c r="J387" s="5" t="s">
        <v>2887</v>
      </c>
      <c r="K387" s="5" t="s">
        <v>2888</v>
      </c>
      <c r="L387" s="4" t="s">
        <v>185</v>
      </c>
      <c r="M387" s="4" t="s">
        <v>29</v>
      </c>
      <c r="N387" s="4" t="s">
        <v>2889</v>
      </c>
      <c r="O387" s="4" t="s">
        <v>29</v>
      </c>
      <c r="P387" s="4" t="s">
        <v>2890</v>
      </c>
      <c r="Q387" s="6"/>
      <c r="R387" s="6"/>
      <c r="S387" s="6"/>
      <c r="T387" s="6"/>
      <c r="U387" s="6"/>
      <c r="V387" s="6"/>
      <c r="W387" s="6"/>
      <c r="X387" s="6"/>
      <c r="Y387" s="6"/>
    </row>
    <row r="388" ht="14.25">
      <c r="B388" s="4" t="s">
        <v>768</v>
      </c>
      <c r="C388" s="4" t="s">
        <v>2891</v>
      </c>
      <c r="D388" s="4" t="s">
        <v>247</v>
      </c>
      <c r="E388" s="4" t="s">
        <v>2892</v>
      </c>
      <c r="F388" s="4" t="str">
        <f>IFERROR(__XLUDF.DUMMYFUNCTION("PROPER(REGEXREPLACE(D373,""[^A-Za-z]+ "",""""))"),"Yoj")</f>
        <v>Yoj</v>
      </c>
      <c r="G388" s="4" t="s">
        <v>2893</v>
      </c>
      <c r="H388" s="4">
        <v>43</v>
      </c>
      <c r="I388" s="4" t="s">
        <v>90</v>
      </c>
      <c r="J388" s="5" t="s">
        <v>2894</v>
      </c>
      <c r="K388" s="5" t="s">
        <v>2895</v>
      </c>
      <c r="L388" s="4" t="s">
        <v>39</v>
      </c>
      <c r="M388" s="4" t="s">
        <v>29</v>
      </c>
      <c r="N388" s="4" t="s">
        <v>2896</v>
      </c>
      <c r="O388" s="4" t="s">
        <v>29</v>
      </c>
      <c r="P388" s="4" t="s">
        <v>2897</v>
      </c>
      <c r="Q388" s="6"/>
      <c r="R388" s="6"/>
      <c r="S388" s="6"/>
      <c r="T388" s="6"/>
      <c r="U388" s="6"/>
      <c r="V388" s="6"/>
      <c r="W388" s="6"/>
      <c r="X388" s="6"/>
      <c r="Y388" s="6"/>
    </row>
    <row r="389" ht="14.25">
      <c r="B389" s="4" t="s">
        <v>931</v>
      </c>
      <c r="C389" s="4" t="s">
        <v>2898</v>
      </c>
      <c r="D389" s="4" t="s">
        <v>44</v>
      </c>
      <c r="E389" s="4" t="s">
        <v>2899</v>
      </c>
      <c r="F389" s="4" t="str">
        <f>IFERROR(__XLUDF.DUMMYFUNCTION("PROPER(REGEXREPLACE(D374,""[^A-Za-z]+ "",""""))"),"Necense")</f>
        <v>Necense</v>
      </c>
      <c r="G389" s="4" t="s">
        <v>2900</v>
      </c>
      <c r="H389" s="4">
        <v>16</v>
      </c>
      <c r="I389" s="4" t="s">
        <v>36</v>
      </c>
      <c r="J389" s="5" t="s">
        <v>2901</v>
      </c>
      <c r="K389" s="5" t="s">
        <v>2902</v>
      </c>
      <c r="L389" s="4" t="s">
        <v>2903</v>
      </c>
      <c r="M389" s="4" t="s">
        <v>29</v>
      </c>
      <c r="N389" s="4" t="s">
        <v>2904</v>
      </c>
      <c r="O389" s="4" t="s">
        <v>29</v>
      </c>
      <c r="P389" s="4" t="s">
        <v>2905</v>
      </c>
      <c r="Q389" s="6"/>
      <c r="R389" s="6"/>
      <c r="S389" s="6"/>
      <c r="T389" s="6"/>
      <c r="U389" s="6"/>
      <c r="V389" s="6"/>
      <c r="W389" s="6"/>
      <c r="X389" s="6"/>
      <c r="Y389" s="6"/>
    </row>
    <row r="390" ht="14.25">
      <c r="B390" s="4" t="s">
        <v>110</v>
      </c>
      <c r="C390" s="4" t="s">
        <v>2906</v>
      </c>
      <c r="D390" s="4" t="s">
        <v>1072</v>
      </c>
      <c r="E390" s="4" t="s">
        <v>762</v>
      </c>
      <c r="F390" s="4" t="str">
        <f>IFERROR(__XLUDF.DUMMYFUNCTION("PROPER(REGEXREPLACE(D375,""[^A-Za-z]+ "",""""))"),"La Wilderie")</f>
        <v xml:space="preserve">La Wilderie</v>
      </c>
      <c r="G390" s="4" t="s">
        <v>2907</v>
      </c>
      <c r="H390" s="4">
        <v>49</v>
      </c>
      <c r="I390" s="4" t="s">
        <v>36</v>
      </c>
      <c r="J390" s="5" t="s">
        <v>2908</v>
      </c>
      <c r="K390" s="5" t="s">
        <v>765</v>
      </c>
      <c r="L390" s="4" t="s">
        <v>39</v>
      </c>
      <c r="M390" s="4" t="s">
        <v>29</v>
      </c>
      <c r="N390" s="4" t="s">
        <v>766</v>
      </c>
      <c r="O390" s="4" t="s">
        <v>29</v>
      </c>
      <c r="P390" s="4" t="s">
        <v>767</v>
      </c>
      <c r="Q390" s="6"/>
      <c r="R390" s="6"/>
      <c r="S390" s="6"/>
      <c r="T390" s="6"/>
      <c r="U390" s="6"/>
      <c r="V390" s="6"/>
      <c r="W390" s="6"/>
      <c r="X390" s="6"/>
      <c r="Y390" s="6"/>
    </row>
    <row r="391" ht="14.25">
      <c r="B391" s="4" t="s">
        <v>2909</v>
      </c>
      <c r="C391" s="4" t="s">
        <v>2910</v>
      </c>
      <c r="D391" s="4" t="s">
        <v>2911</v>
      </c>
      <c r="E391" s="4" t="s">
        <v>2912</v>
      </c>
      <c r="F391" s="4" t="str">
        <f>IFERROR(__XLUDF.DUMMYFUNCTION("PROPER(REGEXREPLACE(D376,""[^A-Za-z]+ "",""""))"),"Grégory Coutanceau Développement")</f>
        <v xml:space="preserve">Grégory Coutanceau Développement</v>
      </c>
      <c r="G391" s="4" t="s">
        <v>2913</v>
      </c>
      <c r="H391" s="4">
        <v>15</v>
      </c>
      <c r="I391" s="4" t="s">
        <v>25</v>
      </c>
      <c r="J391" s="5" t="s">
        <v>2914</v>
      </c>
      <c r="K391" s="5" t="s">
        <v>2915</v>
      </c>
      <c r="L391" s="6"/>
      <c r="M391" s="4" t="s">
        <v>29</v>
      </c>
      <c r="N391" s="4" t="s">
        <v>2916</v>
      </c>
      <c r="O391" s="4" t="s">
        <v>1839</v>
      </c>
      <c r="P391" s="4" t="s">
        <v>2917</v>
      </c>
      <c r="Q391" s="6"/>
      <c r="R391" s="6"/>
      <c r="S391" s="6"/>
      <c r="T391" s="6"/>
      <c r="U391" s="6"/>
      <c r="V391" s="6"/>
      <c r="W391" s="6"/>
      <c r="X391" s="6"/>
      <c r="Y391" s="6"/>
    </row>
    <row r="392" ht="14.25">
      <c r="B392" s="4" t="s">
        <v>679</v>
      </c>
      <c r="C392" s="4" t="s">
        <v>2918</v>
      </c>
      <c r="D392" s="4" t="s">
        <v>1130</v>
      </c>
      <c r="E392" s="4" t="s">
        <v>2919</v>
      </c>
      <c r="F392" s="4" t="str">
        <f>IFERROR(__XLUDF.DUMMYFUNCTION("PROPER(REGEXREPLACE(D377,""[^A-Za-z]+ "",""""))"),"Picto Sandwicherie")</f>
        <v xml:space="preserve">Picto Sandwicherie</v>
      </c>
      <c r="G392" s="4" t="s">
        <v>2920</v>
      </c>
      <c r="H392" s="4">
        <v>570</v>
      </c>
      <c r="I392" s="4" t="s">
        <v>36</v>
      </c>
      <c r="J392" s="5" t="s">
        <v>2921</v>
      </c>
      <c r="K392" s="5" t="s">
        <v>2922</v>
      </c>
      <c r="L392" s="4" t="s">
        <v>2923</v>
      </c>
      <c r="M392" s="4" t="s">
        <v>29</v>
      </c>
      <c r="N392" s="4" t="s">
        <v>2924</v>
      </c>
      <c r="O392" s="4" t="s">
        <v>29</v>
      </c>
      <c r="P392" s="6"/>
      <c r="Q392" s="6"/>
      <c r="R392" s="6"/>
      <c r="S392" s="6"/>
      <c r="T392" s="6"/>
      <c r="U392" s="6"/>
      <c r="V392" s="6"/>
      <c r="W392" s="6"/>
      <c r="X392" s="6"/>
      <c r="Y392" s="6"/>
    </row>
    <row r="393" ht="14.25">
      <c r="B393" s="4" t="s">
        <v>2925</v>
      </c>
      <c r="C393" s="4" t="s">
        <v>2926</v>
      </c>
      <c r="D393" s="4" t="s">
        <v>44</v>
      </c>
      <c r="E393" s="4" t="s">
        <v>2927</v>
      </c>
      <c r="F393" s="4" t="str">
        <f>IFERROR(__XLUDF.DUMMYFUNCTION("PROPER(REGEXREPLACE(D378,""[^A-Za-z]+ "",""""))"),"Villa Cosy Hôtelspa")</f>
        <v xml:space="preserve">Villa Cosy Hôtelspa</v>
      </c>
      <c r="G393" s="4" t="s">
        <v>2928</v>
      </c>
      <c r="H393" s="4">
        <v>1</v>
      </c>
      <c r="I393" s="4" t="s">
        <v>25</v>
      </c>
      <c r="J393" s="5" t="s">
        <v>2929</v>
      </c>
      <c r="K393" s="5" t="s">
        <v>2930</v>
      </c>
      <c r="L393" s="6"/>
      <c r="M393" s="4" t="s">
        <v>29</v>
      </c>
      <c r="N393" s="4" t="s">
        <v>2931</v>
      </c>
      <c r="O393" s="4" t="s">
        <v>1261</v>
      </c>
      <c r="P393" s="6"/>
      <c r="Q393" s="6"/>
      <c r="R393" s="6"/>
      <c r="S393" s="6"/>
      <c r="T393" s="6"/>
      <c r="U393" s="6"/>
      <c r="V393" s="6"/>
      <c r="W393" s="6"/>
      <c r="X393" s="6"/>
      <c r="Y393" s="6"/>
    </row>
    <row r="394" ht="14.25">
      <c r="B394" s="4" t="s">
        <v>2932</v>
      </c>
      <c r="C394" s="4" t="s">
        <v>2933</v>
      </c>
      <c r="D394" s="4" t="s">
        <v>247</v>
      </c>
      <c r="E394" s="4" t="s">
        <v>2934</v>
      </c>
      <c r="F394" s="4" t="str">
        <f>IFERROR(__XLUDF.DUMMYFUNCTION("PROPER(REGEXREPLACE(D379,""[^A-Za-z]+ "",""""))"),"Le Clos Saint Martin Hôtelspa By Clarins")</f>
        <v xml:space="preserve">Le Clos Saint Martin Hôtelspa By Clarins</v>
      </c>
      <c r="G394" s="4" t="s">
        <v>2935</v>
      </c>
      <c r="H394" s="4">
        <v>10</v>
      </c>
      <c r="I394" s="4" t="s">
        <v>25</v>
      </c>
      <c r="J394" s="5" t="s">
        <v>2936</v>
      </c>
      <c r="K394" s="5" t="s">
        <v>2937</v>
      </c>
      <c r="L394" s="4" t="s">
        <v>39</v>
      </c>
      <c r="M394" s="4" t="s">
        <v>29</v>
      </c>
      <c r="N394" s="4" t="s">
        <v>2938</v>
      </c>
      <c r="O394" s="4" t="s">
        <v>29</v>
      </c>
      <c r="P394" s="6"/>
      <c r="Q394" s="6"/>
      <c r="R394" s="6"/>
      <c r="S394" s="6"/>
      <c r="T394" s="6"/>
      <c r="U394" s="6"/>
      <c r="V394" s="6"/>
      <c r="W394" s="6"/>
      <c r="X394" s="6"/>
      <c r="Y394" s="6"/>
    </row>
    <row r="395" ht="14.25">
      <c r="B395" s="4" t="s">
        <v>355</v>
      </c>
      <c r="C395" s="4" t="s">
        <v>948</v>
      </c>
      <c r="D395" s="4" t="s">
        <v>2939</v>
      </c>
      <c r="E395" s="4" t="s">
        <v>2940</v>
      </c>
      <c r="F395" s="4" t="str">
        <f>IFERROR(__XLUDF.DUMMYFUNCTION("PROPER(REGEXREPLACE(D380,""[^A-Za-z]+ "",""""))"),"Yaya Restaurant")</f>
        <v xml:space="preserve">Yaya Restaurant</v>
      </c>
      <c r="G395" s="4" t="s">
        <v>2941</v>
      </c>
      <c r="H395" s="4">
        <v>3</v>
      </c>
      <c r="I395" s="4" t="s">
        <v>25</v>
      </c>
      <c r="J395" s="5" t="s">
        <v>2942</v>
      </c>
      <c r="K395" s="5" t="s">
        <v>2943</v>
      </c>
      <c r="L395" s="4" t="s">
        <v>2944</v>
      </c>
      <c r="M395" s="4" t="s">
        <v>29</v>
      </c>
      <c r="N395" s="4" t="s">
        <v>2945</v>
      </c>
      <c r="O395" s="4" t="s">
        <v>29</v>
      </c>
      <c r="P395" s="4" t="s">
        <v>2946</v>
      </c>
      <c r="Q395" s="6"/>
      <c r="R395" s="6"/>
      <c r="S395" s="6"/>
      <c r="T395" s="6"/>
      <c r="U395" s="6"/>
      <c r="V395" s="6"/>
      <c r="W395" s="6"/>
      <c r="X395" s="6"/>
      <c r="Y395" s="6"/>
    </row>
    <row r="396" ht="14.25">
      <c r="B396" s="4" t="s">
        <v>2119</v>
      </c>
      <c r="C396" s="4" t="s">
        <v>2947</v>
      </c>
      <c r="D396" s="4" t="s">
        <v>172</v>
      </c>
      <c r="E396" s="4" t="s">
        <v>2948</v>
      </c>
      <c r="F396" s="4" t="str">
        <f>IFERROR(__XLUDF.DUMMYFUNCTION("PROPER(REGEXREPLACE(D381,""[^A-Za-z]+ "",""""))"),"Neaclub")</f>
        <v>Neaclub</v>
      </c>
      <c r="G396" s="4" t="s">
        <v>2949</v>
      </c>
      <c r="H396" s="4">
        <v>73</v>
      </c>
      <c r="I396" s="4" t="s">
        <v>25</v>
      </c>
      <c r="J396" s="5" t="s">
        <v>2950</v>
      </c>
      <c r="K396" s="5" t="s">
        <v>2951</v>
      </c>
      <c r="L396" s="6"/>
      <c r="M396" s="4" t="s">
        <v>29</v>
      </c>
      <c r="N396" s="4" t="s">
        <v>2952</v>
      </c>
      <c r="O396" s="4" t="s">
        <v>2953</v>
      </c>
      <c r="P396" s="4" t="s">
        <v>2954</v>
      </c>
      <c r="Q396" s="6"/>
      <c r="R396" s="6"/>
      <c r="S396" s="6"/>
      <c r="T396" s="6"/>
      <c r="U396" s="6"/>
      <c r="V396" s="6"/>
      <c r="W396" s="6"/>
      <c r="X396" s="6"/>
      <c r="Y396" s="6"/>
    </row>
    <row r="397" ht="14.25">
      <c r="B397" s="4" t="s">
        <v>2870</v>
      </c>
      <c r="C397" s="4" t="s">
        <v>2955</v>
      </c>
      <c r="D397" s="4" t="s">
        <v>2956</v>
      </c>
      <c r="E397" s="4" t="s">
        <v>2957</v>
      </c>
      <c r="F397" s="4" t="str">
        <f>IFERROR(__XLUDF.DUMMYFUNCTION("PROPER(REGEXREPLACE(D382,""[^A-Za-z]+ "",""""))"),"Holiday Inn Bordeaux Sud-Pessac")</f>
        <v xml:space="preserve">Holiday Inn Bordeaux Sud-Pessac</v>
      </c>
      <c r="G397" s="4" t="s">
        <v>2958</v>
      </c>
      <c r="H397" s="4">
        <v>26</v>
      </c>
      <c r="I397" s="4" t="s">
        <v>36</v>
      </c>
      <c r="J397" s="5" t="s">
        <v>2959</v>
      </c>
      <c r="K397" s="5" t="s">
        <v>2960</v>
      </c>
      <c r="L397" s="4" t="s">
        <v>846</v>
      </c>
      <c r="M397" s="4" t="s">
        <v>29</v>
      </c>
      <c r="N397" s="4" t="s">
        <v>2961</v>
      </c>
      <c r="O397" s="4" t="s">
        <v>29</v>
      </c>
      <c r="P397" s="4" t="s">
        <v>2962</v>
      </c>
      <c r="Q397" s="6"/>
      <c r="R397" s="6"/>
      <c r="S397" s="6"/>
      <c r="T397" s="6"/>
      <c r="U397" s="6"/>
      <c r="V397" s="6"/>
      <c r="W397" s="6"/>
      <c r="X397" s="6"/>
      <c r="Y397" s="6"/>
    </row>
    <row r="398" ht="14.25">
      <c r="B398" s="4" t="s">
        <v>963</v>
      </c>
      <c r="C398" s="4" t="s">
        <v>2963</v>
      </c>
      <c r="D398" s="4" t="s">
        <v>120</v>
      </c>
      <c r="E398" s="4" t="s">
        <v>1502</v>
      </c>
      <c r="F398" s="4" t="str">
        <f>IFERROR(__XLUDF.DUMMYFUNCTION("PROPER(REGEXREPLACE(D383,""[^A-Za-z]+ "",""""))"),"Suiteo Résidences Services")</f>
        <v xml:space="preserve">Suiteo Résidences Services</v>
      </c>
      <c r="G398" s="4" t="s">
        <v>2964</v>
      </c>
      <c r="H398" s="4">
        <v>12</v>
      </c>
      <c r="I398" s="4" t="s">
        <v>1504</v>
      </c>
      <c r="J398" s="5" t="s">
        <v>2965</v>
      </c>
      <c r="K398" s="5" t="s">
        <v>1506</v>
      </c>
      <c r="L398" s="4" t="s">
        <v>1507</v>
      </c>
      <c r="M398" s="4" t="s">
        <v>29</v>
      </c>
      <c r="N398" s="4" t="s">
        <v>1508</v>
      </c>
      <c r="O398" s="4" t="s">
        <v>29</v>
      </c>
      <c r="P398" s="4" t="s">
        <v>1509</v>
      </c>
      <c r="Q398" s="6"/>
      <c r="R398" s="6"/>
      <c r="S398" s="6"/>
      <c r="T398" s="6"/>
      <c r="U398" s="6"/>
      <c r="V398" s="6"/>
      <c r="W398" s="6"/>
      <c r="X398" s="6"/>
      <c r="Y398" s="6"/>
    </row>
    <row r="399" ht="14.25">
      <c r="B399" s="4" t="s">
        <v>485</v>
      </c>
      <c r="C399" s="4" t="s">
        <v>2966</v>
      </c>
      <c r="D399" s="4" t="s">
        <v>120</v>
      </c>
      <c r="E399" s="4" t="s">
        <v>2967</v>
      </c>
      <c r="F399" s="4" t="str">
        <f>IFERROR(__XLUDF.DUMMYFUNCTION("PROPER(REGEXREPLACE(D384,""[^A-Za-z]+ "",""""))"),"Les Chouettes Hostel")</f>
        <v xml:space="preserve">Les Chouettes Hostel</v>
      </c>
      <c r="G399" s="4" t="s">
        <v>2968</v>
      </c>
      <c r="H399" s="4">
        <v>10</v>
      </c>
      <c r="I399" s="4" t="s">
        <v>36</v>
      </c>
      <c r="J399" s="5" t="s">
        <v>2969</v>
      </c>
      <c r="K399" s="5" t="s">
        <v>2970</v>
      </c>
      <c r="L399" s="6"/>
      <c r="M399" s="4" t="s">
        <v>29</v>
      </c>
      <c r="N399" s="4" t="s">
        <v>2971</v>
      </c>
      <c r="O399" s="4" t="s">
        <v>29</v>
      </c>
      <c r="P399" s="4" t="s">
        <v>2972</v>
      </c>
      <c r="Q399" s="6"/>
      <c r="R399" s="6"/>
      <c r="S399" s="6"/>
      <c r="T399" s="6"/>
      <c r="U399" s="6"/>
      <c r="V399" s="6"/>
      <c r="W399" s="6"/>
      <c r="X399" s="6"/>
      <c r="Y399" s="6"/>
    </row>
    <row r="400" ht="14.25">
      <c r="B400" s="4" t="s">
        <v>2973</v>
      </c>
      <c r="C400" s="4" t="s">
        <v>2974</v>
      </c>
      <c r="D400" s="4" t="s">
        <v>120</v>
      </c>
      <c r="E400" s="4" t="s">
        <v>2975</v>
      </c>
      <c r="F400" s="4" t="str">
        <f>IFERROR(__XLUDF.DUMMYFUNCTION("PROPER(REGEXREPLACE(D385,""[^A-Za-z]+ "",""""))"),"Au Piano Des Chefs")</f>
        <v xml:space="preserve">Au Piano Des Chefs</v>
      </c>
      <c r="G400" s="4" t="s">
        <v>2976</v>
      </c>
      <c r="H400" s="4">
        <v>10</v>
      </c>
      <c r="I400" s="4" t="s">
        <v>36</v>
      </c>
      <c r="J400" s="5" t="s">
        <v>2977</v>
      </c>
      <c r="K400" s="5" t="s">
        <v>2978</v>
      </c>
      <c r="L400" s="4" t="s">
        <v>39</v>
      </c>
      <c r="M400" s="4" t="s">
        <v>29</v>
      </c>
      <c r="N400" s="4" t="s">
        <v>2979</v>
      </c>
      <c r="O400" s="4" t="s">
        <v>29</v>
      </c>
      <c r="P400" s="6"/>
      <c r="Q400" s="6"/>
      <c r="R400" s="6"/>
      <c r="S400" s="6"/>
      <c r="T400" s="6"/>
      <c r="U400" s="6"/>
      <c r="V400" s="6"/>
      <c r="W400" s="6"/>
      <c r="X400" s="6"/>
      <c r="Y400" s="6"/>
    </row>
    <row r="401" ht="14.25">
      <c r="B401" s="4" t="s">
        <v>2589</v>
      </c>
      <c r="C401" s="4" t="s">
        <v>2980</v>
      </c>
      <c r="D401" s="4" t="s">
        <v>2981</v>
      </c>
      <c r="E401" s="4" t="s">
        <v>2982</v>
      </c>
      <c r="F401" s="4" t="str">
        <f>IFERROR(__XLUDF.DUMMYFUNCTION("PROPER(REGEXREPLACE(D386,""[^A-Za-z]+ "",""""))"),"Noglu")</f>
        <v>Noglu</v>
      </c>
      <c r="G401" s="4" t="s">
        <v>2983</v>
      </c>
      <c r="H401" s="4">
        <v>10</v>
      </c>
      <c r="I401" s="4" t="s">
        <v>36</v>
      </c>
      <c r="J401" s="5" t="s">
        <v>2984</v>
      </c>
      <c r="K401" s="5" t="s">
        <v>2985</v>
      </c>
      <c r="L401" s="4" t="s">
        <v>492</v>
      </c>
      <c r="M401" s="4" t="s">
        <v>29</v>
      </c>
      <c r="N401" s="4" t="s">
        <v>2986</v>
      </c>
      <c r="O401" s="4" t="s">
        <v>29</v>
      </c>
      <c r="P401" s="4" t="s">
        <v>2987</v>
      </c>
      <c r="Q401" s="6"/>
      <c r="R401" s="6"/>
      <c r="S401" s="6"/>
      <c r="T401" s="6"/>
      <c r="U401" s="6"/>
      <c r="V401" s="6"/>
      <c r="W401" s="6"/>
      <c r="X401" s="6"/>
      <c r="Y401" s="6"/>
    </row>
    <row r="402" ht="14.25">
      <c r="B402" s="4" t="s">
        <v>410</v>
      </c>
      <c r="C402" s="4" t="s">
        <v>2988</v>
      </c>
      <c r="D402" s="4" t="s">
        <v>164</v>
      </c>
      <c r="E402" s="4" t="s">
        <v>2989</v>
      </c>
      <c r="F402" s="4" t="str">
        <f>IFERROR(__XLUDF.DUMMYFUNCTION("PROPER(REGEXREPLACE(D387,""[^A-Za-z]+ "",""""))"),"Dim'S Home")</f>
        <v xml:space="preserve">Dim'S Home</v>
      </c>
      <c r="G402" s="4" t="s">
        <v>2990</v>
      </c>
      <c r="H402" s="4">
        <v>20</v>
      </c>
      <c r="I402" s="4" t="s">
        <v>25</v>
      </c>
      <c r="J402" s="5" t="s">
        <v>2991</v>
      </c>
      <c r="K402" s="5" t="s">
        <v>2992</v>
      </c>
      <c r="L402" s="4" t="s">
        <v>1507</v>
      </c>
      <c r="M402" s="4" t="s">
        <v>29</v>
      </c>
      <c r="N402" s="4" t="s">
        <v>2993</v>
      </c>
      <c r="O402" s="4" t="s">
        <v>29</v>
      </c>
      <c r="P402" s="6"/>
      <c r="Q402" s="6"/>
      <c r="R402" s="6"/>
      <c r="S402" s="6"/>
      <c r="T402" s="6"/>
      <c r="U402" s="6"/>
      <c r="V402" s="6"/>
      <c r="W402" s="6"/>
      <c r="X402" s="6"/>
      <c r="Y402" s="6"/>
    </row>
    <row r="403" ht="14.25">
      <c r="B403" s="4" t="s">
        <v>2994</v>
      </c>
      <c r="C403" s="4" t="s">
        <v>2995</v>
      </c>
      <c r="D403" s="4" t="s">
        <v>172</v>
      </c>
      <c r="E403" s="4" t="s">
        <v>2996</v>
      </c>
      <c r="F403" s="4" t="str">
        <f>IFERROR(__XLUDF.DUMMYFUNCTION("PROPER(REGEXREPLACE(D388,""[^A-Za-z]+ "",""""))"),"Revolugo")</f>
        <v>Revolugo</v>
      </c>
      <c r="G403" s="4" t="s">
        <v>2997</v>
      </c>
      <c r="H403" s="4">
        <v>17</v>
      </c>
      <c r="I403" s="4" t="s">
        <v>25</v>
      </c>
      <c r="J403" s="5" t="s">
        <v>2998</v>
      </c>
      <c r="K403" s="5" t="s">
        <v>2999</v>
      </c>
      <c r="L403" s="4" t="s">
        <v>3000</v>
      </c>
      <c r="M403" s="4" t="s">
        <v>29</v>
      </c>
      <c r="N403" s="4" t="s">
        <v>29</v>
      </c>
      <c r="O403" s="4" t="s">
        <v>29</v>
      </c>
      <c r="P403" s="4" t="s">
        <v>3001</v>
      </c>
      <c r="Q403" s="6"/>
      <c r="R403" s="6"/>
      <c r="S403" s="6"/>
      <c r="T403" s="6"/>
      <c r="U403" s="6"/>
      <c r="V403" s="6"/>
      <c r="W403" s="6"/>
      <c r="X403" s="6"/>
      <c r="Y403" s="6"/>
    </row>
    <row r="404" ht="14.25">
      <c r="B404" s="4" t="s">
        <v>3002</v>
      </c>
      <c r="C404" s="4" t="s">
        <v>3003</v>
      </c>
      <c r="D404" s="4" t="s">
        <v>172</v>
      </c>
      <c r="E404" s="4" t="s">
        <v>3004</v>
      </c>
      <c r="F404" s="4" t="str">
        <f>IFERROR(__XLUDF.DUMMYFUNCTION("PROPER(REGEXREPLACE(D389,""[^A-Za-z]+ "",""""))"),"Yatai Ramen")</f>
        <v xml:space="preserve">Yatai Ramen</v>
      </c>
      <c r="G404" s="4" t="s">
        <v>3005</v>
      </c>
      <c r="H404" s="4">
        <v>9</v>
      </c>
      <c r="I404" s="4" t="s">
        <v>25</v>
      </c>
      <c r="J404" s="5" t="s">
        <v>3006</v>
      </c>
      <c r="K404" s="5" t="s">
        <v>3007</v>
      </c>
      <c r="L404" s="6"/>
      <c r="M404" s="4" t="s">
        <v>29</v>
      </c>
      <c r="N404" s="4" t="s">
        <v>3008</v>
      </c>
      <c r="O404" s="4" t="s">
        <v>29</v>
      </c>
      <c r="P404" s="4" t="s">
        <v>3009</v>
      </c>
      <c r="Q404" s="6"/>
      <c r="R404" s="6"/>
      <c r="S404" s="6"/>
      <c r="T404" s="6"/>
      <c r="U404" s="6"/>
      <c r="V404" s="6"/>
      <c r="W404" s="6"/>
      <c r="X404" s="6"/>
      <c r="Y404" s="6"/>
    </row>
    <row r="405" ht="14.25">
      <c r="B405" s="4" t="s">
        <v>2516</v>
      </c>
      <c r="C405" s="4" t="s">
        <v>3010</v>
      </c>
      <c r="D405" s="4" t="s">
        <v>3011</v>
      </c>
      <c r="E405" s="4" t="s">
        <v>3012</v>
      </c>
      <c r="F405" s="4" t="str">
        <f>IFERROR(__XLUDF.DUMMYFUNCTION("PROPER(REGEXREPLACE(D390,""[^A-Za-z]+ "",""""))"),"Cala")</f>
        <v>Cala</v>
      </c>
      <c r="G405" s="4" t="s">
        <v>3013</v>
      </c>
      <c r="H405" s="4">
        <v>29</v>
      </c>
      <c r="I405" s="4" t="s">
        <v>25</v>
      </c>
      <c r="J405" s="5" t="s">
        <v>3014</v>
      </c>
      <c r="K405" s="5" t="s">
        <v>3015</v>
      </c>
      <c r="L405" s="4" t="s">
        <v>3016</v>
      </c>
      <c r="M405" s="4" t="s">
        <v>29</v>
      </c>
      <c r="N405" s="4" t="s">
        <v>3017</v>
      </c>
      <c r="O405" s="4" t="s">
        <v>29</v>
      </c>
      <c r="P405" s="4" t="s">
        <v>3018</v>
      </c>
      <c r="Q405" s="6"/>
      <c r="R405" s="6"/>
      <c r="S405" s="6"/>
      <c r="T405" s="6"/>
      <c r="U405" s="6"/>
      <c r="V405" s="6"/>
      <c r="W405" s="6"/>
      <c r="X405" s="6"/>
      <c r="Y405" s="6"/>
    </row>
    <row r="406" ht="14.25">
      <c r="B406" s="4" t="s">
        <v>3019</v>
      </c>
      <c r="C406" s="4" t="s">
        <v>3020</v>
      </c>
      <c r="D406" s="4" t="s">
        <v>426</v>
      </c>
      <c r="E406" s="4" t="s">
        <v>3021</v>
      </c>
      <c r="F406" s="4" t="str">
        <f>IFERROR(__XLUDF.DUMMYFUNCTION("PROPER(REGEXREPLACE(D391,""[^A-Za-z]+ "",""""))"),"Cohort")</f>
        <v>Cohort</v>
      </c>
      <c r="G406" s="4" t="s">
        <v>3022</v>
      </c>
      <c r="H406" s="4">
        <v>26</v>
      </c>
      <c r="I406" s="4" t="s">
        <v>25</v>
      </c>
      <c r="J406" s="5" t="s">
        <v>3023</v>
      </c>
      <c r="K406" s="5" t="s">
        <v>3024</v>
      </c>
      <c r="L406" s="4" t="s">
        <v>3025</v>
      </c>
      <c r="M406" s="4" t="s">
        <v>29</v>
      </c>
      <c r="N406" s="4" t="s">
        <v>3026</v>
      </c>
      <c r="O406" s="4" t="s">
        <v>29</v>
      </c>
      <c r="P406" s="6"/>
      <c r="Q406" s="6"/>
      <c r="R406" s="6"/>
      <c r="S406" s="6"/>
      <c r="T406" s="6"/>
      <c r="U406" s="6"/>
      <c r="V406" s="6"/>
      <c r="W406" s="6"/>
      <c r="X406" s="6"/>
      <c r="Y406" s="6"/>
    </row>
    <row r="407" ht="14.25">
      <c r="B407" s="4" t="s">
        <v>255</v>
      </c>
      <c r="C407" s="4" t="s">
        <v>3027</v>
      </c>
      <c r="D407" s="4" t="s">
        <v>1240</v>
      </c>
      <c r="E407" s="4" t="s">
        <v>504</v>
      </c>
      <c r="F407" s="4" t="str">
        <f>IFERROR(__XLUDF.DUMMYFUNCTION("PROPER(REGEXREPLACE(D392,""[^A-Za-z]+ "",""""))"),"Groupe Delineo")</f>
        <v xml:space="preserve">Groupe Delineo</v>
      </c>
      <c r="G407" s="4" t="s">
        <v>3028</v>
      </c>
      <c r="H407" s="4">
        <v>63</v>
      </c>
      <c r="I407" s="4" t="s">
        <v>36</v>
      </c>
      <c r="J407" s="5" t="s">
        <v>3029</v>
      </c>
      <c r="K407" s="5" t="s">
        <v>507</v>
      </c>
      <c r="L407" s="6"/>
      <c r="M407" s="4" t="s">
        <v>29</v>
      </c>
      <c r="N407" s="4" t="s">
        <v>508</v>
      </c>
      <c r="O407" s="4" t="s">
        <v>29</v>
      </c>
      <c r="P407" s="4" t="s">
        <v>509</v>
      </c>
      <c r="Q407" s="6"/>
      <c r="R407" s="6"/>
      <c r="S407" s="6"/>
      <c r="T407" s="6"/>
      <c r="U407" s="6"/>
      <c r="V407" s="6"/>
      <c r="W407" s="6"/>
      <c r="X407" s="6"/>
      <c r="Y407" s="6"/>
    </row>
    <row r="408" ht="14.25">
      <c r="B408" s="4" t="s">
        <v>355</v>
      </c>
      <c r="C408" s="4" t="s">
        <v>3030</v>
      </c>
      <c r="D408" s="4" t="s">
        <v>3031</v>
      </c>
      <c r="E408" s="4" t="s">
        <v>3032</v>
      </c>
      <c r="F408" s="4" t="str">
        <f>IFERROR(__XLUDF.DUMMYFUNCTION("PROPER(REGEXREPLACE(D393,""[^A-Za-z]+ "",""""))"),"The Stewardess Corner")</f>
        <v xml:space="preserve">The Stewardess Corner</v>
      </c>
      <c r="G408" s="4" t="s">
        <v>3033</v>
      </c>
      <c r="H408" s="4">
        <v>17</v>
      </c>
      <c r="I408" s="4" t="s">
        <v>36</v>
      </c>
      <c r="J408" s="5" t="s">
        <v>3034</v>
      </c>
      <c r="K408" s="5" t="s">
        <v>3035</v>
      </c>
      <c r="L408" s="4" t="s">
        <v>1015</v>
      </c>
      <c r="M408" s="4" t="s">
        <v>29</v>
      </c>
      <c r="N408" s="4" t="s">
        <v>3036</v>
      </c>
      <c r="O408" s="4" t="s">
        <v>29</v>
      </c>
      <c r="P408" s="6"/>
      <c r="Q408" s="6"/>
      <c r="R408" s="6"/>
      <c r="S408" s="6"/>
      <c r="T408" s="6"/>
      <c r="U408" s="6"/>
      <c r="V408" s="6"/>
      <c r="W408" s="6"/>
      <c r="X408" s="6"/>
      <c r="Y408" s="6"/>
    </row>
    <row r="409" ht="14.25">
      <c r="B409" s="4" t="s">
        <v>1853</v>
      </c>
      <c r="C409" s="4" t="s">
        <v>3037</v>
      </c>
      <c r="D409" s="4" t="s">
        <v>62</v>
      </c>
      <c r="E409" s="4" t="s">
        <v>3038</v>
      </c>
      <c r="F409" s="4" t="str">
        <f>IFERROR(__XLUDF.DUMMYFUNCTION("PROPER(REGEXREPLACE(D394,""[^A-Za-z]+ "",""""))"),"Valuestate")</f>
        <v>Valuestate</v>
      </c>
      <c r="G409" s="4" t="s">
        <v>3039</v>
      </c>
      <c r="H409" s="4">
        <v>8</v>
      </c>
      <c r="I409" s="4" t="s">
        <v>25</v>
      </c>
      <c r="J409" s="5" t="s">
        <v>3040</v>
      </c>
      <c r="K409" s="5" t="s">
        <v>3041</v>
      </c>
      <c r="L409" s="4" t="s">
        <v>39</v>
      </c>
      <c r="M409" s="4" t="s">
        <v>29</v>
      </c>
      <c r="N409" s="4" t="s">
        <v>3042</v>
      </c>
      <c r="O409" s="4" t="s">
        <v>29</v>
      </c>
      <c r="P409" s="4" t="s">
        <v>3043</v>
      </c>
      <c r="Q409" s="6"/>
      <c r="R409" s="6"/>
      <c r="S409" s="6"/>
      <c r="T409" s="6"/>
      <c r="U409" s="6"/>
      <c r="V409" s="6"/>
      <c r="W409" s="6"/>
      <c r="X409" s="6"/>
      <c r="Y409" s="6"/>
    </row>
    <row r="410" ht="14.25">
      <c r="B410" s="4" t="s">
        <v>2436</v>
      </c>
      <c r="C410" s="4" t="s">
        <v>3044</v>
      </c>
      <c r="D410" s="4" t="s">
        <v>62</v>
      </c>
      <c r="E410" s="4" t="s">
        <v>3045</v>
      </c>
      <c r="F410" s="4" t="str">
        <f>IFERROR(__XLUDF.DUMMYFUNCTION("PROPER(REGEXREPLACE(D395,""[^A-Za-z]+ "",""""))"),"Camping Le Caravan'Île")</f>
        <v xml:space="preserve">Camping Le Caravan'Île</v>
      </c>
      <c r="G410" s="4" t="s">
        <v>3046</v>
      </c>
      <c r="H410" s="4">
        <v>2</v>
      </c>
      <c r="I410" s="4" t="s">
        <v>25</v>
      </c>
      <c r="J410" s="5" t="s">
        <v>3047</v>
      </c>
      <c r="K410" s="5" t="s">
        <v>3048</v>
      </c>
      <c r="L410" s="4" t="s">
        <v>3049</v>
      </c>
      <c r="M410" s="4" t="s">
        <v>29</v>
      </c>
      <c r="N410" s="4" t="s">
        <v>3050</v>
      </c>
      <c r="O410" s="4" t="s">
        <v>29</v>
      </c>
      <c r="P410" s="4" t="s">
        <v>3051</v>
      </c>
      <c r="Q410" s="6"/>
      <c r="R410" s="6"/>
      <c r="S410" s="6"/>
      <c r="T410" s="6"/>
      <c r="U410" s="6"/>
      <c r="V410" s="6"/>
      <c r="W410" s="6"/>
      <c r="X410" s="6"/>
      <c r="Y410" s="6"/>
    </row>
    <row r="411" ht="14.25">
      <c r="B411" s="4" t="s">
        <v>3052</v>
      </c>
      <c r="C411" s="4" t="s">
        <v>3053</v>
      </c>
      <c r="D411" s="4" t="s">
        <v>87</v>
      </c>
      <c r="E411" s="4" t="s">
        <v>3054</v>
      </c>
      <c r="F411" s="4" t="str">
        <f>IFERROR(__XLUDF.DUMMYFUNCTION("PROPER(REGEXREPLACE(D396,""[^A-Za-z]+ "",""""))"),"Sunêlia")</f>
        <v>Sunêlia</v>
      </c>
      <c r="G411" s="4" t="s">
        <v>3055</v>
      </c>
      <c r="H411" s="4">
        <v>16</v>
      </c>
      <c r="I411" s="4" t="s">
        <v>25</v>
      </c>
      <c r="J411" s="5" t="s">
        <v>3056</v>
      </c>
      <c r="K411" s="5" t="s">
        <v>3057</v>
      </c>
      <c r="L411" s="4" t="s">
        <v>39</v>
      </c>
      <c r="M411" s="4" t="s">
        <v>29</v>
      </c>
      <c r="N411" s="4" t="s">
        <v>67</v>
      </c>
      <c r="O411" s="4" t="s">
        <v>29</v>
      </c>
      <c r="P411" s="6"/>
      <c r="Q411" s="6"/>
      <c r="R411" s="6"/>
      <c r="S411" s="6"/>
      <c r="T411" s="6"/>
      <c r="U411" s="6"/>
      <c r="V411" s="6"/>
      <c r="W411" s="6"/>
      <c r="X411" s="6"/>
      <c r="Y411" s="6"/>
    </row>
    <row r="412" ht="14.25">
      <c r="B412" s="4" t="s">
        <v>2398</v>
      </c>
      <c r="C412" s="4" t="s">
        <v>3058</v>
      </c>
      <c r="D412" s="4" t="s">
        <v>3059</v>
      </c>
      <c r="E412" s="4" t="s">
        <v>3060</v>
      </c>
      <c r="F412" s="4" t="str">
        <f>IFERROR(__XLUDF.DUMMYFUNCTION("PROPER(REGEXREPLACE(D397,""[^A-Za-z]+ "",""""))"),"Grand Scène")</f>
        <v xml:space="preserve">Grand Scène</v>
      </c>
      <c r="G412" s="4" t="s">
        <v>3061</v>
      </c>
      <c r="H412" s="4">
        <v>7</v>
      </c>
      <c r="I412" s="4" t="s">
        <v>36</v>
      </c>
      <c r="J412" s="5" t="s">
        <v>3062</v>
      </c>
      <c r="K412" s="5" t="s">
        <v>3063</v>
      </c>
      <c r="L412" s="4" t="s">
        <v>295</v>
      </c>
      <c r="M412" s="4" t="s">
        <v>29</v>
      </c>
      <c r="N412" s="4" t="s">
        <v>67</v>
      </c>
      <c r="O412" s="4" t="s">
        <v>29</v>
      </c>
      <c r="P412" s="4" t="s">
        <v>3064</v>
      </c>
      <c r="Q412" s="6"/>
      <c r="R412" s="6"/>
      <c r="S412" s="6"/>
      <c r="T412" s="6"/>
      <c r="U412" s="6"/>
      <c r="V412" s="6"/>
      <c r="W412" s="6"/>
      <c r="X412" s="6"/>
      <c r="Y412" s="6"/>
    </row>
    <row r="413" ht="14.25">
      <c r="B413" s="4" t="s">
        <v>2419</v>
      </c>
      <c r="C413" s="4" t="s">
        <v>1829</v>
      </c>
      <c r="D413" s="4" t="s">
        <v>3065</v>
      </c>
      <c r="E413" s="4" t="s">
        <v>3066</v>
      </c>
      <c r="F413" s="4" t="str">
        <f>IFERROR(__XLUDF.DUMMYFUNCTION("PROPER(REGEXREPLACE(D398,""[^A-Za-z]+ "",""""))"),"Minimistan")</f>
        <v>Minimistan</v>
      </c>
      <c r="G413" s="4" t="s">
        <v>3067</v>
      </c>
      <c r="H413" s="4">
        <v>3</v>
      </c>
      <c r="I413" s="4" t="s">
        <v>25</v>
      </c>
      <c r="J413" s="5" t="s">
        <v>3068</v>
      </c>
      <c r="K413" s="5" t="s">
        <v>3069</v>
      </c>
      <c r="L413" s="4" t="s">
        <v>39</v>
      </c>
      <c r="M413" s="4" t="s">
        <v>29</v>
      </c>
      <c r="N413" s="4" t="s">
        <v>3070</v>
      </c>
      <c r="O413" s="4" t="s">
        <v>29</v>
      </c>
      <c r="P413" s="4" t="s">
        <v>3071</v>
      </c>
      <c r="Q413" s="6"/>
      <c r="R413" s="6"/>
      <c r="S413" s="6"/>
      <c r="T413" s="6"/>
      <c r="U413" s="6"/>
      <c r="V413" s="6"/>
      <c r="W413" s="6"/>
      <c r="X413" s="6"/>
      <c r="Y413" s="6"/>
    </row>
    <row r="414" ht="14.25">
      <c r="B414" s="4" t="s">
        <v>3072</v>
      </c>
      <c r="C414" s="4" t="s">
        <v>3073</v>
      </c>
      <c r="D414" s="4" t="s">
        <v>3074</v>
      </c>
      <c r="E414" s="4" t="s">
        <v>3075</v>
      </c>
      <c r="F414" s="4" t="str">
        <f>IFERROR(__XLUDF.DUMMYFUNCTION("PROPER(REGEXREPLACE(D399,""[^A-Za-z]+ "",""""))"),"Famileat")</f>
        <v>Famileat</v>
      </c>
      <c r="G414" s="4" t="s">
        <v>3076</v>
      </c>
      <c r="H414" s="4">
        <v>8</v>
      </c>
      <c r="I414" s="4" t="s">
        <v>36</v>
      </c>
      <c r="J414" s="5" t="s">
        <v>3077</v>
      </c>
      <c r="K414" s="5" t="s">
        <v>3078</v>
      </c>
      <c r="L414" s="4" t="s">
        <v>39</v>
      </c>
      <c r="M414" s="4" t="s">
        <v>29</v>
      </c>
      <c r="N414" s="4" t="s">
        <v>67</v>
      </c>
      <c r="O414" s="4" t="s">
        <v>29</v>
      </c>
      <c r="P414" s="4" t="s">
        <v>3079</v>
      </c>
      <c r="Q414" s="6"/>
      <c r="R414" s="6"/>
      <c r="S414" s="6"/>
      <c r="T414" s="6"/>
      <c r="U414" s="6"/>
      <c r="V414" s="6"/>
      <c r="W414" s="6"/>
      <c r="X414" s="6"/>
      <c r="Y414" s="6"/>
    </row>
    <row r="415" ht="14.25">
      <c r="B415" s="4" t="s">
        <v>3080</v>
      </c>
      <c r="C415" s="4" t="s">
        <v>3081</v>
      </c>
      <c r="D415" s="4" t="s">
        <v>3082</v>
      </c>
      <c r="E415" s="4" t="s">
        <v>3083</v>
      </c>
      <c r="F415" s="4" t="str">
        <f>IFERROR(__XLUDF.DUMMYFUNCTION("PROPER(REGEXREPLACE(D400,""[^A-Za-z]+ "",""""))"),"Tempête")</f>
        <v>Tempête</v>
      </c>
      <c r="G415" s="4" t="s">
        <v>3084</v>
      </c>
      <c r="H415" s="4">
        <v>17</v>
      </c>
      <c r="I415" s="4" t="s">
        <v>36</v>
      </c>
      <c r="J415" s="5" t="s">
        <v>3085</v>
      </c>
      <c r="K415" s="5" t="s">
        <v>3086</v>
      </c>
      <c r="L415" s="4" t="s">
        <v>295</v>
      </c>
      <c r="M415" s="4" t="s">
        <v>29</v>
      </c>
      <c r="N415" s="4" t="s">
        <v>3087</v>
      </c>
      <c r="O415" s="4" t="s">
        <v>29</v>
      </c>
      <c r="P415" s="4" t="s">
        <v>3088</v>
      </c>
      <c r="Q415" s="6"/>
      <c r="R415" s="6"/>
      <c r="S415" s="6"/>
      <c r="T415" s="6"/>
      <c r="U415" s="6"/>
      <c r="V415" s="6"/>
      <c r="W415" s="6"/>
      <c r="X415" s="6"/>
      <c r="Y415" s="6"/>
    </row>
    <row r="416" ht="14.25">
      <c r="B416" s="4" t="s">
        <v>2249</v>
      </c>
      <c r="C416" s="4" t="s">
        <v>3089</v>
      </c>
      <c r="D416" s="4" t="s">
        <v>3090</v>
      </c>
      <c r="E416" s="4" t="s">
        <v>1967</v>
      </c>
      <c r="F416" s="4" t="str">
        <f>IFERROR(__XLUDF.DUMMYFUNCTION("PROPER(REGEXREPLACE(D401,""[^A-Za-z]+ "",""""))"),"Groupe Frénois")</f>
        <v xml:space="preserve">Groupe Frénois</v>
      </c>
      <c r="G416" s="4" t="s">
        <v>3091</v>
      </c>
      <c r="H416" s="4">
        <v>52</v>
      </c>
      <c r="I416" s="4" t="s">
        <v>36</v>
      </c>
      <c r="J416" s="5" t="s">
        <v>3092</v>
      </c>
      <c r="K416" s="5" t="s">
        <v>1970</v>
      </c>
      <c r="L416" s="4" t="s">
        <v>39</v>
      </c>
      <c r="M416" s="4" t="s">
        <v>29</v>
      </c>
      <c r="N416" s="4" t="s">
        <v>1971</v>
      </c>
      <c r="O416" s="4" t="s">
        <v>29</v>
      </c>
      <c r="P416" s="4" t="s">
        <v>1972</v>
      </c>
      <c r="Q416" s="6"/>
      <c r="R416" s="6"/>
      <c r="S416" s="6"/>
      <c r="T416" s="6"/>
      <c r="U416" s="6"/>
      <c r="V416" s="6"/>
      <c r="W416" s="6"/>
      <c r="X416" s="6"/>
      <c r="Y416" s="6"/>
    </row>
    <row r="417" ht="14.25">
      <c r="B417" s="4" t="s">
        <v>1442</v>
      </c>
      <c r="C417" s="4" t="s">
        <v>3093</v>
      </c>
      <c r="D417" s="4" t="s">
        <v>112</v>
      </c>
      <c r="E417" s="4" t="s">
        <v>3094</v>
      </c>
      <c r="F417" s="4" t="str">
        <f>IFERROR(__XLUDF.DUMMYFUNCTION("PROPER(REGEXREPLACE(D402,""[^A-Za-z]+ "",""""))"),"La Maison Rouge")</f>
        <v xml:space="preserve">La Maison Rouge</v>
      </c>
      <c r="G417" s="4" t="s">
        <v>3095</v>
      </c>
      <c r="H417" s="4">
        <v>19</v>
      </c>
      <c r="I417" s="4" t="s">
        <v>36</v>
      </c>
      <c r="J417" s="5" t="s">
        <v>3096</v>
      </c>
      <c r="K417" s="5" t="s">
        <v>3097</v>
      </c>
      <c r="L417" s="4" t="s">
        <v>1711</v>
      </c>
      <c r="M417" s="4" t="s">
        <v>29</v>
      </c>
      <c r="N417" s="4" t="s">
        <v>3098</v>
      </c>
      <c r="O417" s="4" t="s">
        <v>29</v>
      </c>
      <c r="P417" s="4" t="s">
        <v>3099</v>
      </c>
      <c r="Q417" s="6"/>
      <c r="R417" s="6"/>
      <c r="S417" s="6"/>
      <c r="T417" s="6"/>
      <c r="U417" s="6"/>
      <c r="V417" s="6"/>
      <c r="W417" s="6"/>
      <c r="X417" s="6"/>
      <c r="Y417" s="6"/>
    </row>
    <row r="418" ht="14.25">
      <c r="B418" s="4" t="s">
        <v>3100</v>
      </c>
      <c r="C418" s="4" t="s">
        <v>3101</v>
      </c>
      <c r="D418" s="4" t="s">
        <v>341</v>
      </c>
      <c r="E418" s="4" t="s">
        <v>3102</v>
      </c>
      <c r="F418" s="4" t="str">
        <f>IFERROR(__XLUDF.DUMMYFUNCTION("PROPER(REGEXREPLACE(D403,""[^A-Za-z]+ "",""""))"),"Château Les Oliviers De Salettes")</f>
        <v xml:space="preserve">Château Les Oliviers De Salettes</v>
      </c>
      <c r="G418" s="4" t="s">
        <v>3103</v>
      </c>
      <c r="H418" s="4">
        <v>1</v>
      </c>
      <c r="I418" s="4" t="s">
        <v>36</v>
      </c>
      <c r="J418" s="5" t="s">
        <v>3104</v>
      </c>
      <c r="K418" s="5" t="s">
        <v>3105</v>
      </c>
      <c r="L418" s="4" t="s">
        <v>1015</v>
      </c>
      <c r="M418" s="4" t="s">
        <v>29</v>
      </c>
      <c r="N418" s="4" t="s">
        <v>3106</v>
      </c>
      <c r="O418" s="4" t="s">
        <v>29</v>
      </c>
      <c r="P418" s="6"/>
      <c r="Q418" s="6"/>
      <c r="R418" s="6"/>
      <c r="S418" s="6"/>
      <c r="T418" s="6"/>
      <c r="U418" s="6"/>
      <c r="V418" s="6"/>
      <c r="W418" s="6"/>
      <c r="X418" s="6"/>
      <c r="Y418" s="6"/>
    </row>
    <row r="419" ht="14.25">
      <c r="B419" s="4" t="s">
        <v>3107</v>
      </c>
      <c r="C419" s="4" t="s">
        <v>3108</v>
      </c>
      <c r="D419" s="4" t="s">
        <v>365</v>
      </c>
      <c r="E419" s="4" t="s">
        <v>1073</v>
      </c>
      <c r="F419" s="4" t="str">
        <f>IFERROR(__XLUDF.DUMMYFUNCTION("PROPER(REGEXREPLACE(D404,""[^A-Za-z]+ "",""""))"),"Padam Hôtel")</f>
        <v xml:space="preserve">Padam Hôtel</v>
      </c>
      <c r="G419" s="4" t="s">
        <v>3109</v>
      </c>
      <c r="H419" s="4">
        <v>49</v>
      </c>
      <c r="I419" s="4" t="s">
        <v>36</v>
      </c>
      <c r="J419" s="5" t="s">
        <v>3110</v>
      </c>
      <c r="K419" s="5" t="s">
        <v>1076</v>
      </c>
      <c r="L419" s="4" t="s">
        <v>39</v>
      </c>
      <c r="M419" s="4" t="s">
        <v>29</v>
      </c>
      <c r="N419" s="4" t="s">
        <v>1077</v>
      </c>
      <c r="O419" s="4" t="s">
        <v>29</v>
      </c>
      <c r="P419" s="4" t="s">
        <v>1078</v>
      </c>
      <c r="Q419" s="6"/>
      <c r="R419" s="6"/>
      <c r="S419" s="6"/>
      <c r="T419" s="6"/>
      <c r="U419" s="6"/>
      <c r="V419" s="6"/>
      <c r="W419" s="6"/>
      <c r="X419" s="6"/>
      <c r="Y419" s="6"/>
    </row>
    <row r="420" ht="14.25">
      <c r="B420" s="4" t="s">
        <v>3111</v>
      </c>
      <c r="C420" s="4" t="s">
        <v>3112</v>
      </c>
      <c r="D420" s="4" t="s">
        <v>120</v>
      </c>
      <c r="E420" s="4" t="s">
        <v>3113</v>
      </c>
      <c r="F420" s="4" t="str">
        <f>IFERROR(__XLUDF.DUMMYFUNCTION("PROPER(REGEXREPLACE(D405,""[^A-Za-z]+ "",""""))"),"Ker Hospitality")</f>
        <v xml:space="preserve">Ker Hospitality</v>
      </c>
      <c r="G420" s="4" t="s">
        <v>3114</v>
      </c>
      <c r="H420" s="4">
        <v>22</v>
      </c>
      <c r="I420" s="4" t="s">
        <v>36</v>
      </c>
      <c r="J420" s="5" t="s">
        <v>3115</v>
      </c>
      <c r="K420" s="5" t="s">
        <v>3116</v>
      </c>
      <c r="L420" s="4" t="s">
        <v>39</v>
      </c>
      <c r="M420" s="4" t="s">
        <v>29</v>
      </c>
      <c r="N420" s="4" t="s">
        <v>3117</v>
      </c>
      <c r="O420" s="4" t="s">
        <v>29</v>
      </c>
      <c r="P420" s="4" t="s">
        <v>3118</v>
      </c>
      <c r="Q420" s="6"/>
      <c r="R420" s="6"/>
      <c r="S420" s="6"/>
      <c r="T420" s="6"/>
      <c r="U420" s="6"/>
      <c r="V420" s="6"/>
      <c r="W420" s="6"/>
      <c r="X420" s="6"/>
      <c r="Y420" s="6"/>
    </row>
    <row r="421" ht="14.25">
      <c r="B421" s="4" t="s">
        <v>3119</v>
      </c>
      <c r="C421" s="4" t="s">
        <v>3120</v>
      </c>
      <c r="D421" s="4" t="s">
        <v>2645</v>
      </c>
      <c r="E421" s="4" t="s">
        <v>3121</v>
      </c>
      <c r="F421" s="4" t="str">
        <f>IFERROR(__XLUDF.DUMMYFUNCTION("PROPER(REGEXREPLACE(D406,""[^A-Za-z]+ "",""""))"),"Groupe Epikur")</f>
        <v xml:space="preserve">Groupe Epikur</v>
      </c>
      <c r="G421" s="4" t="s">
        <v>3122</v>
      </c>
      <c r="H421" s="4">
        <v>5</v>
      </c>
      <c r="I421" s="4" t="s">
        <v>90</v>
      </c>
      <c r="J421" s="5" t="s">
        <v>3123</v>
      </c>
      <c r="K421" s="5" t="s">
        <v>3124</v>
      </c>
      <c r="L421" s="4" t="s">
        <v>2499</v>
      </c>
      <c r="M421" s="4" t="s">
        <v>29</v>
      </c>
      <c r="N421" s="4" t="s">
        <v>3125</v>
      </c>
      <c r="O421" s="4" t="s">
        <v>29</v>
      </c>
      <c r="P421" s="4" t="s">
        <v>3126</v>
      </c>
      <c r="Q421" s="6"/>
      <c r="R421" s="6"/>
      <c r="S421" s="6"/>
      <c r="T421" s="6"/>
      <c r="U421" s="6"/>
      <c r="V421" s="6"/>
      <c r="W421" s="6"/>
      <c r="X421" s="6"/>
      <c r="Y421" s="6"/>
    </row>
    <row r="422" ht="14.25">
      <c r="B422" s="4" t="s">
        <v>2932</v>
      </c>
      <c r="C422" s="4" t="s">
        <v>3127</v>
      </c>
      <c r="D422" s="4" t="s">
        <v>172</v>
      </c>
      <c r="E422" s="4" t="s">
        <v>3128</v>
      </c>
      <c r="F422" s="4" t="str">
        <f>IFERROR(__XLUDF.DUMMYFUNCTION("PROPER(REGEXREPLACE(D407,""[^A-Za-z]+ "",""""))"),"Delicious")</f>
        <v>Delicious</v>
      </c>
      <c r="G422" s="4" t="s">
        <v>3129</v>
      </c>
      <c r="H422" s="4">
        <v>22</v>
      </c>
      <c r="I422" s="4" t="s">
        <v>25</v>
      </c>
      <c r="J422" s="5" t="s">
        <v>3130</v>
      </c>
      <c r="K422" s="5" t="s">
        <v>3131</v>
      </c>
      <c r="L422" s="4" t="s">
        <v>185</v>
      </c>
      <c r="M422" s="4" t="s">
        <v>29</v>
      </c>
      <c r="N422" s="4" t="s">
        <v>3132</v>
      </c>
      <c r="O422" s="4" t="s">
        <v>29</v>
      </c>
      <c r="P422" s="4" t="s">
        <v>3133</v>
      </c>
      <c r="Q422" s="6"/>
      <c r="R422" s="6"/>
      <c r="S422" s="6"/>
      <c r="T422" s="6"/>
      <c r="U422" s="6"/>
      <c r="V422" s="6"/>
      <c r="W422" s="6"/>
      <c r="X422" s="6"/>
      <c r="Y422" s="6"/>
    </row>
    <row r="423" ht="14.25">
      <c r="B423" s="4" t="s">
        <v>785</v>
      </c>
      <c r="C423" s="4" t="s">
        <v>3134</v>
      </c>
      <c r="D423" s="4" t="s">
        <v>172</v>
      </c>
      <c r="E423" s="4" t="s">
        <v>3135</v>
      </c>
      <c r="F423" s="4" t="str">
        <f>IFERROR(__XLUDF.DUMMYFUNCTION("PROPER(REGEXREPLACE(D408,""[^A-Za-z]+ "",""""))"),"Nki Sushi France")</f>
        <v xml:space="preserve">Nki Sushi France</v>
      </c>
      <c r="G423" s="4" t="s">
        <v>3136</v>
      </c>
      <c r="H423" s="4">
        <v>11</v>
      </c>
      <c r="I423" s="4" t="s">
        <v>25</v>
      </c>
      <c r="J423" s="5" t="s">
        <v>3137</v>
      </c>
      <c r="K423" s="5" t="s">
        <v>3138</v>
      </c>
      <c r="L423" s="4" t="s">
        <v>3139</v>
      </c>
      <c r="M423" s="4" t="s">
        <v>29</v>
      </c>
      <c r="N423" s="4" t="s">
        <v>3140</v>
      </c>
      <c r="O423" s="4" t="s">
        <v>29</v>
      </c>
      <c r="P423" s="4" t="s">
        <v>3141</v>
      </c>
      <c r="Q423" s="6"/>
      <c r="R423" s="6"/>
      <c r="S423" s="6"/>
      <c r="T423" s="6"/>
      <c r="U423" s="6"/>
      <c r="V423" s="6"/>
      <c r="W423" s="6"/>
      <c r="X423" s="6"/>
      <c r="Y423" s="6"/>
    </row>
    <row r="424" ht="14.25">
      <c r="B424" s="4" t="s">
        <v>3142</v>
      </c>
      <c r="C424" s="4" t="s">
        <v>3143</v>
      </c>
      <c r="D424" s="4" t="s">
        <v>172</v>
      </c>
      <c r="E424" s="4" t="s">
        <v>3144</v>
      </c>
      <c r="F424" s="4" t="str">
        <f>IFERROR(__XLUDF.DUMMYFUNCTION("PROPER(REGEXREPLACE(D409,""[^A-Za-z]+ "",""""))"),"Parcel Tiny House")</f>
        <v xml:space="preserve">Parcel Tiny House</v>
      </c>
      <c r="G424" s="4" t="s">
        <v>3145</v>
      </c>
      <c r="H424" s="4">
        <v>1</v>
      </c>
      <c r="I424" s="4" t="s">
        <v>25</v>
      </c>
      <c r="J424" s="5" t="s">
        <v>3146</v>
      </c>
      <c r="K424" s="5" t="s">
        <v>3147</v>
      </c>
      <c r="L424" s="4" t="s">
        <v>39</v>
      </c>
      <c r="M424" s="4" t="s">
        <v>29</v>
      </c>
      <c r="N424" s="4" t="s">
        <v>3148</v>
      </c>
      <c r="O424" s="4" t="s">
        <v>29</v>
      </c>
      <c r="P424" s="4" t="s">
        <v>3149</v>
      </c>
      <c r="Q424" s="6"/>
      <c r="R424" s="6"/>
      <c r="S424" s="6"/>
      <c r="T424" s="6"/>
      <c r="U424" s="6"/>
      <c r="V424" s="6"/>
      <c r="W424" s="6"/>
      <c r="X424" s="6"/>
      <c r="Y424" s="6"/>
    </row>
    <row r="425" ht="14.25">
      <c r="B425" s="4" t="s">
        <v>2419</v>
      </c>
      <c r="C425" s="4" t="s">
        <v>1775</v>
      </c>
      <c r="D425" s="4" t="s">
        <v>172</v>
      </c>
      <c r="E425" s="4" t="s">
        <v>1776</v>
      </c>
      <c r="F425" s="4" t="str">
        <f>IFERROR(__XLUDF.DUMMYFUNCTION("PROPER(REGEXREPLACE(D410,""[^A-Za-z]+ "",""""))"),"Hejmo Hostel")</f>
        <v xml:space="preserve">Hejmo Hostel</v>
      </c>
      <c r="G425" s="4" t="s">
        <v>3150</v>
      </c>
      <c r="H425" s="4">
        <v>27</v>
      </c>
      <c r="I425" s="4" t="s">
        <v>25</v>
      </c>
      <c r="J425" s="5" t="s">
        <v>3151</v>
      </c>
      <c r="K425" s="5" t="s">
        <v>1779</v>
      </c>
      <c r="L425" s="4" t="s">
        <v>1780</v>
      </c>
      <c r="M425" s="4" t="s">
        <v>29</v>
      </c>
      <c r="N425" s="4" t="s">
        <v>1781</v>
      </c>
      <c r="O425" s="4" t="s">
        <v>29</v>
      </c>
      <c r="P425" s="6"/>
      <c r="Q425" s="6"/>
      <c r="R425" s="6"/>
      <c r="S425" s="6"/>
      <c r="T425" s="6"/>
      <c r="U425" s="6"/>
      <c r="V425" s="6"/>
      <c r="W425" s="6"/>
      <c r="X425" s="6"/>
      <c r="Y425" s="6"/>
    </row>
    <row r="426" ht="14.25">
      <c r="B426" s="4" t="s">
        <v>2119</v>
      </c>
      <c r="C426" s="4" t="s">
        <v>2410</v>
      </c>
      <c r="D426" s="4" t="s">
        <v>87</v>
      </c>
      <c r="E426" s="4" t="s">
        <v>3152</v>
      </c>
      <c r="F426" s="4" t="str">
        <f>IFERROR(__XLUDF.DUMMYFUNCTION("PROPER(REGEXREPLACE(D411,""[^A-Za-z]+ "",""""))"),"Knsa Hospitality")</f>
        <v xml:space="preserve">Knsa Hospitality</v>
      </c>
      <c r="G426" s="4" t="s">
        <v>3153</v>
      </c>
      <c r="H426" s="4">
        <v>2</v>
      </c>
      <c r="I426" s="4" t="s">
        <v>25</v>
      </c>
      <c r="J426" s="5" t="s">
        <v>3154</v>
      </c>
      <c r="K426" s="5" t="s">
        <v>3155</v>
      </c>
      <c r="L426" s="4" t="s">
        <v>39</v>
      </c>
      <c r="M426" s="4" t="s">
        <v>29</v>
      </c>
      <c r="N426" s="4" t="s">
        <v>3156</v>
      </c>
      <c r="O426" s="4" t="s">
        <v>29</v>
      </c>
      <c r="P426" s="4" t="s">
        <v>3157</v>
      </c>
      <c r="Q426" s="6"/>
      <c r="R426" s="6"/>
      <c r="S426" s="6"/>
      <c r="T426" s="6"/>
      <c r="U426" s="6"/>
      <c r="V426" s="6"/>
      <c r="W426" s="6"/>
      <c r="X426" s="6"/>
      <c r="Y426" s="6"/>
    </row>
    <row r="427" ht="14.25">
      <c r="B427" s="4" t="s">
        <v>785</v>
      </c>
      <c r="C427" s="4" t="s">
        <v>3158</v>
      </c>
      <c r="D427" s="4" t="s">
        <v>265</v>
      </c>
      <c r="E427" s="4" t="s">
        <v>3159</v>
      </c>
      <c r="F427" s="4" t="str">
        <f>IFERROR(__XLUDF.DUMMYFUNCTION("PROPER(REGEXREPLACE(D412,""[^A-Za-z]+ "",""""))"),"Yam Food")</f>
        <v xml:space="preserve">Yam Food</v>
      </c>
      <c r="G427" s="4" t="s">
        <v>3160</v>
      </c>
      <c r="H427" s="4">
        <v>20</v>
      </c>
      <c r="I427" s="4" t="s">
        <v>25</v>
      </c>
      <c r="J427" s="5" t="s">
        <v>3161</v>
      </c>
      <c r="K427" s="5" t="s">
        <v>3162</v>
      </c>
      <c r="L427" s="4" t="s">
        <v>39</v>
      </c>
      <c r="M427" s="4" t="s">
        <v>29</v>
      </c>
      <c r="N427" s="4" t="s">
        <v>3163</v>
      </c>
      <c r="O427" s="4" t="s">
        <v>29</v>
      </c>
      <c r="P427" s="6"/>
      <c r="Q427" s="6"/>
      <c r="R427" s="6"/>
      <c r="S427" s="6"/>
      <c r="T427" s="6"/>
      <c r="U427" s="6"/>
      <c r="V427" s="6"/>
      <c r="W427" s="6"/>
      <c r="X427" s="6"/>
      <c r="Y427" s="6"/>
    </row>
    <row r="428" ht="14.25">
      <c r="B428" s="4" t="s">
        <v>3164</v>
      </c>
      <c r="C428" s="4" t="s">
        <v>3165</v>
      </c>
      <c r="D428" s="4" t="s">
        <v>44</v>
      </c>
      <c r="E428" s="4" t="s">
        <v>3166</v>
      </c>
      <c r="F428" s="4" t="str">
        <f>IFERROR(__XLUDF.DUMMYFUNCTION("PROPER(REGEXREPLACE(D413,""[^A-Za-z]+ "",""""))"),"Hotel La Louisiane")</f>
        <v xml:space="preserve">Hotel La Louisiane</v>
      </c>
      <c r="G428" s="4" t="s">
        <v>3167</v>
      </c>
      <c r="H428" s="4">
        <v>19</v>
      </c>
      <c r="I428" s="4" t="s">
        <v>25</v>
      </c>
      <c r="J428" s="5" t="s">
        <v>3168</v>
      </c>
      <c r="K428" s="5" t="s">
        <v>3169</v>
      </c>
      <c r="L428" s="4" t="s">
        <v>423</v>
      </c>
      <c r="M428" s="4" t="s">
        <v>29</v>
      </c>
      <c r="N428" s="6"/>
      <c r="O428" s="6"/>
      <c r="P428" s="6"/>
      <c r="Q428" s="6"/>
      <c r="R428" s="6"/>
      <c r="S428" s="6"/>
      <c r="T428" s="6"/>
      <c r="U428" s="6"/>
      <c r="V428" s="6"/>
      <c r="W428" s="6"/>
      <c r="X428" s="6"/>
      <c r="Y428" s="6"/>
    </row>
    <row r="429" ht="14.25">
      <c r="B429" s="4" t="s">
        <v>2119</v>
      </c>
      <c r="C429" s="4" t="s">
        <v>3170</v>
      </c>
      <c r="D429" s="4" t="s">
        <v>3171</v>
      </c>
      <c r="E429" s="4" t="s">
        <v>3172</v>
      </c>
      <c r="F429" s="4" t="str">
        <f>IFERROR(__XLUDF.DUMMYFUNCTION("PROPER(REGEXREPLACE(D414,""[^A-Za-z]+ "",""""))"),"Reÿs")</f>
        <v>Reÿs</v>
      </c>
      <c r="G429" s="4" t="s">
        <v>3173</v>
      </c>
      <c r="H429" s="6"/>
      <c r="I429" s="6"/>
      <c r="J429" s="5" t="s">
        <v>3174</v>
      </c>
      <c r="K429" s="5" t="s">
        <v>3175</v>
      </c>
      <c r="L429" s="4" t="s">
        <v>39</v>
      </c>
      <c r="M429" s="4" t="s">
        <v>29</v>
      </c>
      <c r="N429" s="4" t="s">
        <v>3176</v>
      </c>
      <c r="O429" s="4" t="s">
        <v>29</v>
      </c>
      <c r="P429" s="6"/>
      <c r="Q429" s="6"/>
      <c r="R429" s="6"/>
      <c r="S429" s="6"/>
      <c r="T429" s="6"/>
      <c r="U429" s="6"/>
      <c r="V429" s="6"/>
      <c r="W429" s="6"/>
      <c r="X429" s="6"/>
      <c r="Y429" s="6"/>
    </row>
    <row r="430" ht="14.25">
      <c r="B430" s="4" t="s">
        <v>3177</v>
      </c>
      <c r="C430" s="4" t="s">
        <v>3178</v>
      </c>
      <c r="D430" s="4" t="s">
        <v>44</v>
      </c>
      <c r="E430" s="4" t="s">
        <v>3179</v>
      </c>
      <c r="F430" s="4" t="str">
        <f>IFERROR(__XLUDF.DUMMYFUNCTION("PROPER(REGEXREPLACE(D415,""[^A-Za-z]+ "",""""))"),"Groupe Panasia")</f>
        <v xml:space="preserve">Groupe Panasia</v>
      </c>
      <c r="G430" s="4" t="s">
        <v>3180</v>
      </c>
      <c r="H430" s="4">
        <v>34</v>
      </c>
      <c r="I430" s="4" t="s">
        <v>25</v>
      </c>
      <c r="J430" s="5" t="s">
        <v>3181</v>
      </c>
      <c r="K430" s="5" t="s">
        <v>3182</v>
      </c>
      <c r="L430" s="4" t="s">
        <v>3183</v>
      </c>
      <c r="M430" s="4" t="s">
        <v>29</v>
      </c>
      <c r="N430" s="4" t="s">
        <v>3184</v>
      </c>
      <c r="O430" s="4" t="s">
        <v>29</v>
      </c>
      <c r="P430" s="4" t="s">
        <v>3185</v>
      </c>
      <c r="Q430" s="6"/>
      <c r="R430" s="6"/>
      <c r="S430" s="6"/>
      <c r="T430" s="6"/>
      <c r="U430" s="6"/>
      <c r="V430" s="6"/>
      <c r="W430" s="6"/>
      <c r="X430" s="6"/>
      <c r="Y430" s="6"/>
    </row>
    <row r="431" ht="14.25">
      <c r="B431" s="4" t="s">
        <v>3186</v>
      </c>
      <c r="C431" s="4" t="s">
        <v>3187</v>
      </c>
      <c r="D431" s="4" t="s">
        <v>3188</v>
      </c>
      <c r="E431" s="4" t="s">
        <v>2892</v>
      </c>
      <c r="F431" s="4" t="str">
        <f>IFERROR(__XLUDF.DUMMYFUNCTION("PROPER(REGEXREPLACE(D416,""[^A-Za-z]+ "",""""))"),"La Brigade")</f>
        <v xml:space="preserve">La Brigade</v>
      </c>
      <c r="G431" s="4" t="s">
        <v>3189</v>
      </c>
      <c r="H431" s="4">
        <v>43</v>
      </c>
      <c r="I431" s="4" t="s">
        <v>90</v>
      </c>
      <c r="J431" s="5" t="s">
        <v>3190</v>
      </c>
      <c r="K431" s="5" t="s">
        <v>2895</v>
      </c>
      <c r="L431" s="4" t="s">
        <v>39</v>
      </c>
      <c r="M431" s="4" t="s">
        <v>29</v>
      </c>
      <c r="N431" s="4" t="s">
        <v>2896</v>
      </c>
      <c r="O431" s="4" t="s">
        <v>29</v>
      </c>
      <c r="P431" s="4" t="s">
        <v>2897</v>
      </c>
      <c r="Q431" s="6"/>
      <c r="R431" s="6"/>
      <c r="S431" s="6"/>
      <c r="T431" s="6"/>
      <c r="U431" s="6"/>
      <c r="V431" s="6"/>
      <c r="W431" s="6"/>
      <c r="X431" s="6"/>
      <c r="Y431" s="6"/>
    </row>
    <row r="432" ht="14.25">
      <c r="B432" s="4" t="s">
        <v>3191</v>
      </c>
      <c r="C432" s="4" t="s">
        <v>3192</v>
      </c>
      <c r="D432" s="4" t="s">
        <v>3193</v>
      </c>
      <c r="E432" s="4" t="s">
        <v>3194</v>
      </c>
      <c r="F432" s="4" t="str">
        <f>IFERROR(__XLUDF.DUMMYFUNCTION("PROPER(REGEXREPLACE(D417,""[^A-Za-z]+ "",""""))"),"Les Brassés")</f>
        <v xml:space="preserve">Les Brassés</v>
      </c>
      <c r="G432" s="4" t="s">
        <v>3195</v>
      </c>
      <c r="H432" s="4">
        <v>3</v>
      </c>
      <c r="I432" s="4" t="s">
        <v>36</v>
      </c>
      <c r="J432" s="5" t="s">
        <v>3196</v>
      </c>
      <c r="K432" s="5" t="s">
        <v>3197</v>
      </c>
      <c r="L432" s="6"/>
      <c r="M432" s="4" t="s">
        <v>29</v>
      </c>
      <c r="N432" s="4" t="s">
        <v>3198</v>
      </c>
      <c r="O432" s="4" t="s">
        <v>29</v>
      </c>
      <c r="P432" s="6"/>
      <c r="Q432" s="6"/>
      <c r="R432" s="6"/>
      <c r="S432" s="6"/>
      <c r="T432" s="6"/>
      <c r="U432" s="6"/>
      <c r="V432" s="6"/>
      <c r="W432" s="6"/>
      <c r="X432" s="6"/>
      <c r="Y432" s="6"/>
    </row>
    <row r="433" ht="14.25">
      <c r="B433" s="4" t="s">
        <v>330</v>
      </c>
      <c r="C433" s="4" t="s">
        <v>3199</v>
      </c>
      <c r="D433" s="4" t="s">
        <v>1130</v>
      </c>
      <c r="E433" s="4" t="s">
        <v>3200</v>
      </c>
      <c r="F433" s="4" t="str">
        <f>IFERROR(__XLUDF.DUMMYFUNCTION("PROPER(REGEXREPLACE(D418,""[^A-Za-z]+ "",""""))"),"Le Potager Voyageur")</f>
        <v xml:space="preserve">Le Potager Voyageur</v>
      </c>
      <c r="G433" s="4" t="s">
        <v>3201</v>
      </c>
      <c r="H433" s="4">
        <v>24</v>
      </c>
      <c r="I433" s="4" t="s">
        <v>36</v>
      </c>
      <c r="J433" s="5" t="s">
        <v>3202</v>
      </c>
      <c r="K433" s="5" t="s">
        <v>3203</v>
      </c>
      <c r="L433" s="6"/>
      <c r="M433" s="4" t="s">
        <v>29</v>
      </c>
      <c r="N433" s="4" t="s">
        <v>3204</v>
      </c>
      <c r="O433" s="4" t="s">
        <v>29</v>
      </c>
      <c r="P433" s="4" t="s">
        <v>3205</v>
      </c>
      <c r="Q433" s="6"/>
      <c r="R433" s="6"/>
      <c r="S433" s="6"/>
      <c r="T433" s="6"/>
      <c r="U433" s="6"/>
      <c r="V433" s="6"/>
      <c r="W433" s="6"/>
      <c r="X433" s="6"/>
      <c r="Y433" s="6"/>
    </row>
    <row r="434" ht="14.25">
      <c r="B434" s="4" t="s">
        <v>3206</v>
      </c>
      <c r="C434" s="4" t="s">
        <v>3207</v>
      </c>
      <c r="D434" s="4" t="s">
        <v>3208</v>
      </c>
      <c r="E434" s="4" t="s">
        <v>3209</v>
      </c>
      <c r="F434" s="4" t="str">
        <f>IFERROR(__XLUDF.DUMMYFUNCTION("PROPER(REGEXREPLACE(D419,""[^A-Za-z]+ "",""""))"),"Meet My Mama")</f>
        <v xml:space="preserve">Meet My Mama</v>
      </c>
      <c r="G434" s="4" t="s">
        <v>3210</v>
      </c>
      <c r="H434" s="4">
        <v>13</v>
      </c>
      <c r="I434" s="4" t="s">
        <v>25</v>
      </c>
      <c r="J434" s="5" t="s">
        <v>3211</v>
      </c>
      <c r="K434" s="5" t="s">
        <v>3212</v>
      </c>
      <c r="L434" s="6"/>
      <c r="M434" s="4" t="s">
        <v>29</v>
      </c>
      <c r="N434" s="4" t="s">
        <v>3213</v>
      </c>
      <c r="O434" s="4" t="s">
        <v>1152</v>
      </c>
      <c r="P434" s="4" t="s">
        <v>3214</v>
      </c>
      <c r="Q434" s="6"/>
      <c r="R434" s="6"/>
      <c r="S434" s="6"/>
      <c r="T434" s="6"/>
      <c r="U434" s="6"/>
      <c r="V434" s="6"/>
      <c r="W434" s="6"/>
      <c r="X434" s="6"/>
      <c r="Y434" s="6"/>
    </row>
    <row r="435" ht="14.25">
      <c r="B435" s="4" t="s">
        <v>110</v>
      </c>
      <c r="C435" s="4" t="s">
        <v>3215</v>
      </c>
      <c r="D435" s="4" t="s">
        <v>3216</v>
      </c>
      <c r="E435" s="4" t="s">
        <v>3054</v>
      </c>
      <c r="F435" s="4" t="str">
        <f>IFERROR(__XLUDF.DUMMYFUNCTION("PROPER(REGEXREPLACE(D420,""[^A-Za-z]+ "",""""))"),"Junk Group")</f>
        <v xml:space="preserve">Junk Group</v>
      </c>
      <c r="G435" s="4" t="s">
        <v>3217</v>
      </c>
      <c r="H435" s="4">
        <v>16</v>
      </c>
      <c r="I435" s="4" t="s">
        <v>25</v>
      </c>
      <c r="J435" s="5" t="s">
        <v>3218</v>
      </c>
      <c r="K435" s="5" t="s">
        <v>3057</v>
      </c>
      <c r="L435" s="4" t="s">
        <v>39</v>
      </c>
      <c r="M435" s="4" t="s">
        <v>29</v>
      </c>
      <c r="N435" s="4" t="s">
        <v>67</v>
      </c>
      <c r="O435" s="4" t="s">
        <v>29</v>
      </c>
      <c r="P435" s="6"/>
      <c r="Q435" s="6"/>
      <c r="R435" s="6"/>
      <c r="S435" s="6"/>
      <c r="T435" s="6"/>
      <c r="U435" s="6"/>
      <c r="V435" s="6"/>
      <c r="W435" s="6"/>
      <c r="X435" s="6"/>
      <c r="Y435" s="6"/>
    </row>
    <row r="436" ht="14.25">
      <c r="B436" s="4" t="s">
        <v>3219</v>
      </c>
      <c r="C436" s="4" t="s">
        <v>3220</v>
      </c>
      <c r="D436" s="4" t="s">
        <v>315</v>
      </c>
      <c r="E436" s="4" t="s">
        <v>3221</v>
      </c>
      <c r="F436" s="4" t="str">
        <f>IFERROR(__XLUDF.DUMMYFUNCTION("PROPER(REGEXREPLACE(D421,""[^A-Za-z]+ "",""""))"),"The D Homes Villa Management")</f>
        <v xml:space="preserve">The D Homes Villa Management</v>
      </c>
      <c r="G436" s="4" t="s">
        <v>3222</v>
      </c>
      <c r="H436" s="4">
        <v>5</v>
      </c>
      <c r="I436" s="4" t="s">
        <v>36</v>
      </c>
      <c r="J436" s="5" t="s">
        <v>3223</v>
      </c>
      <c r="K436" s="5" t="s">
        <v>3224</v>
      </c>
      <c r="L436" s="4" t="s">
        <v>83</v>
      </c>
      <c r="M436" s="4" t="s">
        <v>29</v>
      </c>
      <c r="N436" s="4" t="s">
        <v>346</v>
      </c>
      <c r="O436" s="4" t="s">
        <v>29</v>
      </c>
      <c r="P436" s="4" t="s">
        <v>3225</v>
      </c>
      <c r="Q436" s="6"/>
      <c r="R436" s="6"/>
      <c r="S436" s="6"/>
      <c r="T436" s="6"/>
      <c r="U436" s="6"/>
      <c r="V436" s="6"/>
      <c r="W436" s="6"/>
      <c r="X436" s="6"/>
      <c r="Y436" s="6"/>
    </row>
    <row r="437" ht="14.25">
      <c r="B437" s="4" t="s">
        <v>3226</v>
      </c>
      <c r="C437" s="4" t="s">
        <v>144</v>
      </c>
      <c r="D437" s="4" t="s">
        <v>265</v>
      </c>
      <c r="E437" s="4" t="s">
        <v>145</v>
      </c>
      <c r="F437" s="4" t="str">
        <f>IFERROR(__XLUDF.DUMMYFUNCTION("PROPER(REGEXREPLACE(D422,""[^A-Za-z]+ "",""""))"),"Domaine De Suzel")</f>
        <v xml:space="preserve">Domaine De Suzel</v>
      </c>
      <c r="G437" s="4" t="s">
        <v>3227</v>
      </c>
      <c r="H437" s="4">
        <v>5</v>
      </c>
      <c r="I437" s="4" t="s">
        <v>36</v>
      </c>
      <c r="J437" s="5" t="s">
        <v>3228</v>
      </c>
      <c r="K437" s="5" t="s">
        <v>148</v>
      </c>
      <c r="L437" s="4" t="s">
        <v>2174</v>
      </c>
      <c r="M437" s="4" t="s">
        <v>29</v>
      </c>
      <c r="N437" s="4" t="s">
        <v>150</v>
      </c>
      <c r="O437" s="4" t="s">
        <v>29</v>
      </c>
      <c r="P437" s="4" t="s">
        <v>151</v>
      </c>
      <c r="Q437" s="6"/>
      <c r="R437" s="6"/>
      <c r="S437" s="6"/>
      <c r="T437" s="6"/>
      <c r="U437" s="6"/>
      <c r="V437" s="6"/>
      <c r="W437" s="6"/>
      <c r="X437" s="6"/>
      <c r="Y437" s="6"/>
    </row>
    <row r="438" ht="14.25">
      <c r="B438" s="4" t="s">
        <v>110</v>
      </c>
      <c r="C438" s="4" t="s">
        <v>3229</v>
      </c>
      <c r="D438" s="4" t="s">
        <v>44</v>
      </c>
      <c r="E438" s="4" t="s">
        <v>3230</v>
      </c>
      <c r="F438" s="4" t="str">
        <f>IFERROR(__XLUDF.DUMMYFUNCTION("PROPER(REGEXREPLACE(D423,""[^A-Za-z]+ "",""""))"),"Stratégie Hôtel")</f>
        <v xml:space="preserve">Stratégie Hôtel</v>
      </c>
      <c r="G438" s="4" t="s">
        <v>3231</v>
      </c>
      <c r="H438" s="4">
        <v>5</v>
      </c>
      <c r="I438" s="4" t="s">
        <v>25</v>
      </c>
      <c r="J438" s="5" t="s">
        <v>3232</v>
      </c>
      <c r="K438" s="5" t="s">
        <v>3233</v>
      </c>
      <c r="L438" s="4" t="s">
        <v>39</v>
      </c>
      <c r="M438" s="4" t="s">
        <v>29</v>
      </c>
      <c r="N438" s="4" t="s">
        <v>67</v>
      </c>
      <c r="O438" s="4" t="s">
        <v>29</v>
      </c>
      <c r="P438" s="4" t="s">
        <v>3234</v>
      </c>
      <c r="Q438" s="6"/>
      <c r="R438" s="6"/>
      <c r="S438" s="6"/>
      <c r="T438" s="6"/>
      <c r="U438" s="6"/>
      <c r="V438" s="6"/>
      <c r="W438" s="6"/>
      <c r="X438" s="6"/>
      <c r="Y438" s="6"/>
    </row>
    <row r="439" ht="14.25">
      <c r="B439" s="4" t="s">
        <v>76</v>
      </c>
      <c r="C439" s="4" t="s">
        <v>3235</v>
      </c>
      <c r="D439" s="4" t="s">
        <v>3236</v>
      </c>
      <c r="E439" s="4" t="s">
        <v>3237</v>
      </c>
      <c r="F439" s="4" t="str">
        <f>IFERROR(__XLUDF.DUMMYFUNCTION("PROPER(REGEXREPLACE(D424,""[^A-Za-z]+ "",""""))"),"Hotel Brady")</f>
        <v xml:space="preserve">Hotel Brady</v>
      </c>
      <c r="G439" s="4" t="s">
        <v>3238</v>
      </c>
      <c r="H439" s="4">
        <v>5</v>
      </c>
      <c r="I439" s="4" t="s">
        <v>25</v>
      </c>
      <c r="J439" s="5" t="s">
        <v>3239</v>
      </c>
      <c r="K439" s="5" t="s">
        <v>3240</v>
      </c>
      <c r="L439" s="4" t="s">
        <v>39</v>
      </c>
      <c r="M439" s="4" t="s">
        <v>29</v>
      </c>
      <c r="N439" s="4" t="s">
        <v>67</v>
      </c>
      <c r="O439" s="4" t="s">
        <v>29</v>
      </c>
      <c r="P439" s="4" t="s">
        <v>3241</v>
      </c>
      <c r="Q439" s="6"/>
      <c r="R439" s="6"/>
      <c r="S439" s="6"/>
      <c r="T439" s="6"/>
      <c r="U439" s="6"/>
      <c r="V439" s="6"/>
      <c r="W439" s="6"/>
      <c r="X439" s="6"/>
      <c r="Y439" s="6"/>
    </row>
    <row r="440" ht="14.25">
      <c r="B440" s="4" t="s">
        <v>485</v>
      </c>
      <c r="C440" s="4" t="s">
        <v>3242</v>
      </c>
      <c r="D440" s="4" t="s">
        <v>87</v>
      </c>
      <c r="E440" s="4" t="s">
        <v>3243</v>
      </c>
      <c r="F440" s="4" t="str">
        <f>IFERROR(__XLUDF.DUMMYFUNCTION("PROPER(REGEXREPLACE(D425,""[^A-Za-z]+ "",""""))"),"Groupe Sphb")</f>
        <v xml:space="preserve">Groupe Sphb</v>
      </c>
      <c r="G440" s="4" t="s">
        <v>3244</v>
      </c>
      <c r="H440" s="4">
        <v>7</v>
      </c>
      <c r="I440" s="4" t="s">
        <v>36</v>
      </c>
      <c r="J440" s="5" t="s">
        <v>3245</v>
      </c>
      <c r="K440" s="5" t="s">
        <v>3246</v>
      </c>
      <c r="L440" s="4" t="s">
        <v>39</v>
      </c>
      <c r="M440" s="4" t="s">
        <v>29</v>
      </c>
      <c r="N440" s="4" t="s">
        <v>3247</v>
      </c>
      <c r="O440" s="4" t="s">
        <v>29</v>
      </c>
      <c r="P440" s="6"/>
      <c r="Q440" s="6"/>
      <c r="R440" s="6"/>
      <c r="S440" s="6"/>
      <c r="T440" s="6"/>
      <c r="U440" s="6"/>
      <c r="V440" s="6"/>
      <c r="W440" s="6"/>
      <c r="X440" s="6"/>
      <c r="Y440" s="6"/>
    </row>
    <row r="441" ht="14.25">
      <c r="B441" s="4" t="s">
        <v>485</v>
      </c>
      <c r="C441" s="4" t="s">
        <v>3248</v>
      </c>
      <c r="D441" s="4" t="s">
        <v>879</v>
      </c>
      <c r="E441" s="4" t="s">
        <v>3249</v>
      </c>
      <c r="F441" s="4" t="str">
        <f>IFERROR(__XLUDF.DUMMYFUNCTION("PROPER(REGEXREPLACE(D426,""[^A-Za-z]+ "",""""))"),"Luxury Dream Hotels")</f>
        <v xml:space="preserve">Luxury Dream Hotels</v>
      </c>
      <c r="G441" s="4" t="s">
        <v>3250</v>
      </c>
      <c r="H441" s="4">
        <v>1</v>
      </c>
      <c r="I441" s="4" t="s">
        <v>25</v>
      </c>
      <c r="J441" s="5" t="s">
        <v>3251</v>
      </c>
      <c r="K441" s="5" t="s">
        <v>3252</v>
      </c>
      <c r="L441" s="4" t="s">
        <v>482</v>
      </c>
      <c r="M441" s="4" t="s">
        <v>29</v>
      </c>
      <c r="N441" s="4" t="s">
        <v>483</v>
      </c>
      <c r="O441" s="4" t="s">
        <v>29</v>
      </c>
      <c r="P441" s="4" t="s">
        <v>3253</v>
      </c>
      <c r="Q441" s="6"/>
      <c r="R441" s="6"/>
      <c r="S441" s="6"/>
      <c r="T441" s="6"/>
      <c r="U441" s="6"/>
      <c r="V441" s="6"/>
      <c r="W441" s="6"/>
      <c r="X441" s="6"/>
      <c r="Y441" s="6"/>
    </row>
    <row r="442" ht="14.25">
      <c r="B442" s="4" t="s">
        <v>3100</v>
      </c>
      <c r="C442" s="4" t="s">
        <v>3254</v>
      </c>
      <c r="D442" s="4" t="s">
        <v>120</v>
      </c>
      <c r="E442" s="4" t="s">
        <v>333</v>
      </c>
      <c r="F442" s="4" t="str">
        <f>IFERROR(__XLUDF.DUMMYFUNCTION("PROPER(REGEXREPLACE(D427,""[^A-Za-z]+ "",""""))"),"Ginto Hotels")</f>
        <v xml:space="preserve">Ginto Hotels</v>
      </c>
      <c r="G442" s="4" t="s">
        <v>3255</v>
      </c>
      <c r="H442" s="4">
        <v>23</v>
      </c>
      <c r="I442" s="4" t="s">
        <v>36</v>
      </c>
      <c r="J442" s="5" t="s">
        <v>3256</v>
      </c>
      <c r="K442" s="5" t="s">
        <v>336</v>
      </c>
      <c r="L442" s="4" t="s">
        <v>39</v>
      </c>
      <c r="M442" s="4" t="s">
        <v>29</v>
      </c>
      <c r="N442" s="4" t="s">
        <v>337</v>
      </c>
      <c r="O442" s="4" t="s">
        <v>29</v>
      </c>
      <c r="P442" s="4" t="s">
        <v>338</v>
      </c>
      <c r="Q442" s="6"/>
      <c r="R442" s="6"/>
      <c r="S442" s="6"/>
      <c r="T442" s="6"/>
      <c r="U442" s="6"/>
      <c r="V442" s="6"/>
      <c r="W442" s="6"/>
      <c r="X442" s="6"/>
      <c r="Y442" s="6"/>
    </row>
    <row r="443" ht="14.25">
      <c r="B443" s="4" t="s">
        <v>298</v>
      </c>
      <c r="C443" s="4" t="s">
        <v>3257</v>
      </c>
      <c r="D443" s="4" t="s">
        <v>172</v>
      </c>
      <c r="E443" s="4" t="s">
        <v>3258</v>
      </c>
      <c r="F443" s="4" t="str">
        <f>IFERROR(__XLUDF.DUMMYFUNCTION("PROPER(REGEXREPLACE(D428,""[^A-Za-z]+ "",""""))"),"Staays")</f>
        <v>Staays</v>
      </c>
      <c r="G443" s="4" t="s">
        <v>3259</v>
      </c>
      <c r="H443" s="4">
        <v>6</v>
      </c>
      <c r="I443" s="4" t="s">
        <v>25</v>
      </c>
      <c r="J443" s="5" t="s">
        <v>3260</v>
      </c>
      <c r="K443" s="5" t="s">
        <v>3261</v>
      </c>
      <c r="L443" s="4" t="s">
        <v>3262</v>
      </c>
      <c r="M443" s="4" t="s">
        <v>29</v>
      </c>
      <c r="N443" s="4" t="s">
        <v>3263</v>
      </c>
      <c r="O443" s="4" t="s">
        <v>29</v>
      </c>
      <c r="P443" s="6"/>
      <c r="Q443" s="6"/>
      <c r="R443" s="6"/>
      <c r="S443" s="6"/>
      <c r="T443" s="6"/>
      <c r="U443" s="6"/>
      <c r="V443" s="6"/>
      <c r="W443" s="6"/>
      <c r="X443" s="6"/>
      <c r="Y443" s="6"/>
    </row>
    <row r="444" ht="14.25">
      <c r="B444" s="4" t="s">
        <v>222</v>
      </c>
      <c r="C444" s="4" t="s">
        <v>3264</v>
      </c>
      <c r="D444" s="4" t="s">
        <v>3265</v>
      </c>
      <c r="E444" s="4" t="s">
        <v>3266</v>
      </c>
      <c r="F444" s="4" t="str">
        <f>IFERROR(__XLUDF.DUMMYFUNCTION("PROPER(REGEXREPLACE(D429,""[^A-Za-z]+ "",""""))"),"Creperie De L'Ancienne Poste")</f>
        <v xml:space="preserve">Creperie De L'Ancienne Poste</v>
      </c>
      <c r="G444" s="4" t="s">
        <v>3267</v>
      </c>
      <c r="H444" s="4">
        <v>36</v>
      </c>
      <c r="I444" s="4" t="s">
        <v>36</v>
      </c>
      <c r="J444" s="5" t="s">
        <v>3268</v>
      </c>
      <c r="K444" s="5" t="s">
        <v>3269</v>
      </c>
      <c r="L444" s="4" t="s">
        <v>185</v>
      </c>
      <c r="M444" s="4" t="s">
        <v>29</v>
      </c>
      <c r="N444" s="4" t="s">
        <v>3270</v>
      </c>
      <c r="O444" s="4" t="s">
        <v>29</v>
      </c>
      <c r="P444" s="6"/>
      <c r="Q444" s="6"/>
      <c r="R444" s="6"/>
      <c r="S444" s="6"/>
      <c r="T444" s="6"/>
      <c r="U444" s="6"/>
      <c r="V444" s="6"/>
      <c r="W444" s="6"/>
      <c r="X444" s="6"/>
      <c r="Y444" s="6"/>
    </row>
    <row r="445" ht="14.25">
      <c r="B445" s="4" t="s">
        <v>3271</v>
      </c>
      <c r="C445" s="4" t="s">
        <v>3272</v>
      </c>
      <c r="D445" s="4" t="s">
        <v>3273</v>
      </c>
      <c r="E445" s="4" t="s">
        <v>3274</v>
      </c>
      <c r="F445" s="4" t="str">
        <f>IFERROR(__XLUDF.DUMMYFUNCTION("PROPER(REGEXREPLACE(D430,""[^A-Za-z]+ "",""""))"),"Domainedemeure")</f>
        <v>Domainedemeure</v>
      </c>
      <c r="G445" s="4" t="s">
        <v>3275</v>
      </c>
      <c r="H445" s="4">
        <v>14</v>
      </c>
      <c r="I445" s="4" t="s">
        <v>36</v>
      </c>
      <c r="J445" s="5" t="s">
        <v>3276</v>
      </c>
      <c r="K445" s="5" t="s">
        <v>3277</v>
      </c>
      <c r="L445" s="6"/>
      <c r="M445" s="4" t="s">
        <v>29</v>
      </c>
      <c r="N445" s="4" t="s">
        <v>3278</v>
      </c>
      <c r="O445" s="4" t="s">
        <v>29</v>
      </c>
      <c r="P445" s="6"/>
      <c r="Q445" s="6"/>
      <c r="R445" s="6"/>
      <c r="S445" s="6"/>
      <c r="T445" s="6"/>
      <c r="U445" s="6"/>
      <c r="V445" s="6"/>
      <c r="W445" s="6"/>
      <c r="X445" s="6"/>
      <c r="Y445" s="6"/>
    </row>
    <row r="446" ht="14.25">
      <c r="B446" s="4" t="s">
        <v>3279</v>
      </c>
      <c r="C446" s="4" t="s">
        <v>3280</v>
      </c>
      <c r="D446" s="4" t="s">
        <v>365</v>
      </c>
      <c r="E446" s="4" t="s">
        <v>3281</v>
      </c>
      <c r="F446" s="4" t="str">
        <f>IFERROR(__XLUDF.DUMMYFUNCTION("PROPER(REGEXREPLACE(D431,""[^A-Za-z]+ "",""""))"),"Revolugo")</f>
        <v>Revolugo</v>
      </c>
      <c r="G446" s="4" t="s">
        <v>3282</v>
      </c>
      <c r="H446" s="4">
        <v>7</v>
      </c>
      <c r="I446" s="4" t="s">
        <v>36</v>
      </c>
      <c r="J446" s="5" t="s">
        <v>3283</v>
      </c>
      <c r="K446" s="5" t="s">
        <v>3284</v>
      </c>
      <c r="L446" s="4" t="s">
        <v>3285</v>
      </c>
      <c r="M446" s="4" t="s">
        <v>29</v>
      </c>
      <c r="N446" s="4" t="s">
        <v>3286</v>
      </c>
      <c r="O446" s="4" t="s">
        <v>29</v>
      </c>
      <c r="P446" s="4" t="s">
        <v>3287</v>
      </c>
      <c r="Q446" s="6"/>
      <c r="R446" s="6"/>
      <c r="S446" s="6"/>
      <c r="T446" s="6"/>
      <c r="U446" s="6"/>
      <c r="V446" s="6"/>
      <c r="W446" s="6"/>
      <c r="X446" s="6"/>
      <c r="Y446" s="6"/>
    </row>
    <row r="447" ht="14.25">
      <c r="B447" s="4" t="s">
        <v>76</v>
      </c>
      <c r="C447" s="4" t="s">
        <v>3288</v>
      </c>
      <c r="D447" s="4" t="s">
        <v>172</v>
      </c>
      <c r="E447" s="4" t="s">
        <v>2637</v>
      </c>
      <c r="F447" s="4" t="str">
        <f>IFERROR(__XLUDF.DUMMYFUNCTION("PROPER(REGEXREPLACE(D432,""[^A-Za-z]+ "",""""))"),"Big Sister")</f>
        <v xml:space="preserve">Big Sister</v>
      </c>
      <c r="G447" s="4" t="s">
        <v>3289</v>
      </c>
      <c r="H447" s="4">
        <v>39</v>
      </c>
      <c r="I447" s="4" t="s">
        <v>2639</v>
      </c>
      <c r="J447" s="5" t="s">
        <v>3290</v>
      </c>
      <c r="K447" s="5" t="s">
        <v>2641</v>
      </c>
      <c r="L447" s="4" t="s">
        <v>3291</v>
      </c>
      <c r="M447" s="4" t="s">
        <v>29</v>
      </c>
      <c r="N447" s="4" t="s">
        <v>2642</v>
      </c>
      <c r="O447" s="4" t="s">
        <v>29</v>
      </c>
      <c r="P447" s="6"/>
      <c r="Q447" s="6"/>
      <c r="R447" s="6"/>
      <c r="S447" s="6"/>
      <c r="T447" s="6"/>
      <c r="U447" s="6"/>
      <c r="V447" s="6"/>
      <c r="W447" s="6"/>
      <c r="X447" s="6"/>
      <c r="Y447" s="6"/>
    </row>
    <row r="448" ht="14.25">
      <c r="B448" s="4" t="s">
        <v>785</v>
      </c>
      <c r="C448" s="4" t="s">
        <v>3280</v>
      </c>
      <c r="D448" s="4" t="s">
        <v>172</v>
      </c>
      <c r="E448" s="4" t="s">
        <v>3292</v>
      </c>
      <c r="F448" s="4" t="str">
        <f>IFERROR(__XLUDF.DUMMYFUNCTION("PROPER(REGEXREPLACE(D433,""[^A-Za-z]+ "",""""))"),"Gastronomicom")</f>
        <v>Gastronomicom</v>
      </c>
      <c r="G448" s="4" t="s">
        <v>3293</v>
      </c>
      <c r="H448" s="4">
        <v>9</v>
      </c>
      <c r="I448" s="4" t="s">
        <v>36</v>
      </c>
      <c r="J448" s="5" t="s">
        <v>3294</v>
      </c>
      <c r="K448" s="5" t="s">
        <v>3295</v>
      </c>
      <c r="L448" s="4" t="s">
        <v>716</v>
      </c>
      <c r="M448" s="4" t="s">
        <v>29</v>
      </c>
      <c r="N448" s="4" t="s">
        <v>3296</v>
      </c>
      <c r="O448" s="4" t="s">
        <v>29</v>
      </c>
      <c r="P448" s="6"/>
      <c r="Q448" s="6"/>
      <c r="R448" s="6"/>
      <c r="S448" s="6"/>
      <c r="T448" s="6"/>
      <c r="U448" s="6"/>
      <c r="V448" s="6"/>
      <c r="W448" s="6"/>
      <c r="X448" s="6"/>
      <c r="Y448" s="6"/>
    </row>
    <row r="449" ht="14.25">
      <c r="B449" s="4" t="s">
        <v>485</v>
      </c>
      <c r="C449" s="4" t="s">
        <v>3297</v>
      </c>
      <c r="D449" s="4" t="s">
        <v>426</v>
      </c>
      <c r="E449" s="4" t="s">
        <v>3298</v>
      </c>
      <c r="F449" s="4" t="str">
        <f>IFERROR(__XLUDF.DUMMYFUNCTION("PROPER(REGEXREPLACE(D434,""[^A-Za-z]+ "",""""))"),"Scale")</f>
        <v>Scale</v>
      </c>
      <c r="G449" s="4" t="s">
        <v>3299</v>
      </c>
      <c r="H449" s="4">
        <v>150</v>
      </c>
      <c r="I449" s="4" t="s">
        <v>36</v>
      </c>
      <c r="J449" s="5" t="s">
        <v>3300</v>
      </c>
      <c r="K449" s="5" t="s">
        <v>3301</v>
      </c>
      <c r="L449" s="4" t="s">
        <v>243</v>
      </c>
      <c r="M449" s="4" t="s">
        <v>29</v>
      </c>
      <c r="N449" s="4" t="s">
        <v>3302</v>
      </c>
      <c r="O449" s="4" t="s">
        <v>29</v>
      </c>
      <c r="P449" s="4" t="s">
        <v>3303</v>
      </c>
      <c r="Q449" s="6"/>
      <c r="R449" s="6"/>
      <c r="S449" s="6"/>
      <c r="T449" s="6"/>
      <c r="U449" s="6"/>
      <c r="V449" s="6"/>
      <c r="W449" s="6"/>
      <c r="X449" s="6"/>
      <c r="Y449" s="6"/>
    </row>
    <row r="450" ht="14.25">
      <c r="B450" s="4" t="s">
        <v>3304</v>
      </c>
      <c r="C450" s="4" t="s">
        <v>3305</v>
      </c>
      <c r="D450" s="4" t="s">
        <v>879</v>
      </c>
      <c r="E450" s="4" t="s">
        <v>3306</v>
      </c>
      <c r="F450" s="4" t="str">
        <f>IFERROR(__XLUDF.DUMMYFUNCTION("PROPER(REGEXREPLACE(D435,""[^A-Za-z]+ "",""""))"),"Knsa Hospitality")</f>
        <v xml:space="preserve">Knsa Hospitality</v>
      </c>
      <c r="G450" s="4" t="s">
        <v>3307</v>
      </c>
      <c r="H450" s="4">
        <v>7</v>
      </c>
      <c r="I450" s="4" t="s">
        <v>36</v>
      </c>
      <c r="J450" s="5" t="s">
        <v>3308</v>
      </c>
      <c r="K450" s="5" t="s">
        <v>3309</v>
      </c>
      <c r="L450" s="4" t="s">
        <v>185</v>
      </c>
      <c r="M450" s="4" t="s">
        <v>29</v>
      </c>
      <c r="N450" s="4" t="s">
        <v>3310</v>
      </c>
      <c r="O450" s="4" t="s">
        <v>29</v>
      </c>
      <c r="P450" s="6"/>
      <c r="Q450" s="6"/>
      <c r="R450" s="6"/>
      <c r="S450" s="6"/>
      <c r="T450" s="6"/>
      <c r="U450" s="6"/>
      <c r="V450" s="6"/>
      <c r="W450" s="6"/>
      <c r="X450" s="6"/>
      <c r="Y450" s="6"/>
    </row>
    <row r="451" ht="14.25">
      <c r="B451" s="4" t="s">
        <v>3311</v>
      </c>
      <c r="C451" s="4" t="s">
        <v>3312</v>
      </c>
      <c r="D451" s="4" t="s">
        <v>2645</v>
      </c>
      <c r="E451" s="4" t="s">
        <v>3313</v>
      </c>
      <c r="F451" s="4" t="str">
        <f>IFERROR(__XLUDF.DUMMYFUNCTION("PROPER(REGEXREPLACE(D436,""[^A-Za-z]+ "",""""))"),"Camurria™")</f>
        <v>Camurria™</v>
      </c>
      <c r="G451" s="4" t="s">
        <v>3314</v>
      </c>
      <c r="H451" s="4">
        <v>16</v>
      </c>
      <c r="I451" s="4" t="s">
        <v>25</v>
      </c>
      <c r="J451" s="5" t="s">
        <v>3315</v>
      </c>
      <c r="K451" s="5" t="s">
        <v>3316</v>
      </c>
      <c r="L451" s="4" t="s">
        <v>39</v>
      </c>
      <c r="M451" s="4" t="s">
        <v>29</v>
      </c>
      <c r="N451" s="4" t="s">
        <v>67</v>
      </c>
      <c r="O451" s="4" t="s">
        <v>29</v>
      </c>
      <c r="P451" s="4" t="s">
        <v>3317</v>
      </c>
      <c r="Q451" s="6"/>
      <c r="R451" s="6"/>
      <c r="S451" s="6"/>
      <c r="T451" s="6"/>
      <c r="U451" s="6"/>
      <c r="V451" s="6"/>
      <c r="W451" s="6"/>
      <c r="X451" s="6"/>
      <c r="Y451" s="6"/>
    </row>
    <row r="452" ht="14.25">
      <c r="B452" s="4" t="s">
        <v>3318</v>
      </c>
      <c r="C452" s="4" t="s">
        <v>3319</v>
      </c>
      <c r="D452" s="4" t="s">
        <v>3320</v>
      </c>
      <c r="E452" s="4" t="s">
        <v>3321</v>
      </c>
      <c r="F452" s="4" t="str">
        <f>IFERROR(__XLUDF.DUMMYFUNCTION("PROPER(REGEXREPLACE(D437,""[^A-Za-z]+ "",""""))"),"Delicious Company")</f>
        <v xml:space="preserve">Delicious Company</v>
      </c>
      <c r="G452" s="4" t="s">
        <v>3322</v>
      </c>
      <c r="H452" s="4">
        <v>6</v>
      </c>
      <c r="I452" s="4" t="s">
        <v>36</v>
      </c>
      <c r="J452" s="5" t="s">
        <v>3323</v>
      </c>
      <c r="K452" s="5" t="s">
        <v>3324</v>
      </c>
      <c r="L452" s="4" t="s">
        <v>243</v>
      </c>
      <c r="M452" s="4" t="s">
        <v>29</v>
      </c>
      <c r="N452" s="4" t="s">
        <v>1533</v>
      </c>
      <c r="O452" s="4" t="s">
        <v>29</v>
      </c>
      <c r="P452" s="6"/>
      <c r="Q452" s="6"/>
      <c r="R452" s="6"/>
      <c r="S452" s="6"/>
      <c r="T452" s="6"/>
      <c r="U452" s="6"/>
      <c r="V452" s="6"/>
      <c r="W452" s="6"/>
      <c r="X452" s="6"/>
      <c r="Y452" s="6"/>
    </row>
    <row r="453" ht="14.25">
      <c r="B453" s="4" t="s">
        <v>1215</v>
      </c>
      <c r="C453" s="4" t="s">
        <v>3325</v>
      </c>
      <c r="D453" s="4" t="s">
        <v>3326</v>
      </c>
      <c r="E453" s="4" t="s">
        <v>3327</v>
      </c>
      <c r="F453" s="4" t="str">
        <f>IFERROR(__XLUDF.DUMMYFUNCTION("PROPER(REGEXREPLACE(D438,""[^A-Za-z]+ "",""""))"),"Exclusively Yours")</f>
        <v xml:space="preserve">Exclusively Yours</v>
      </c>
      <c r="G453" s="4" t="s">
        <v>3328</v>
      </c>
      <c r="H453" s="6"/>
      <c r="I453" s="6"/>
      <c r="J453" s="5" t="s">
        <v>3329</v>
      </c>
      <c r="K453" s="5" t="s">
        <v>3330</v>
      </c>
      <c r="L453" s="4" t="s">
        <v>39</v>
      </c>
      <c r="M453" s="4" t="s">
        <v>29</v>
      </c>
      <c r="N453" s="4" t="s">
        <v>3331</v>
      </c>
      <c r="O453" s="4" t="s">
        <v>29</v>
      </c>
      <c r="P453" s="6"/>
      <c r="Q453" s="6"/>
      <c r="R453" s="6"/>
      <c r="S453" s="6"/>
      <c r="T453" s="6"/>
      <c r="U453" s="6"/>
      <c r="V453" s="6"/>
      <c r="W453" s="6"/>
      <c r="X453" s="6"/>
      <c r="Y453" s="6"/>
    </row>
    <row r="454" ht="14.25">
      <c r="B454" s="4" t="s">
        <v>3332</v>
      </c>
      <c r="C454" s="4" t="s">
        <v>3333</v>
      </c>
      <c r="D454" s="4" t="s">
        <v>44</v>
      </c>
      <c r="E454" s="4" t="s">
        <v>3334</v>
      </c>
      <c r="F454" s="4" t="str">
        <f>IFERROR(__XLUDF.DUMMYFUNCTION("PROPER(REGEXREPLACE(D439,""[^A-Za-z]+ "",""""))"),"Tripltrip")</f>
        <v>Tripltrip</v>
      </c>
      <c r="G454" s="4" t="s">
        <v>3335</v>
      </c>
      <c r="H454" s="4">
        <v>31</v>
      </c>
      <c r="I454" s="4" t="s">
        <v>36</v>
      </c>
      <c r="J454" s="5" t="s">
        <v>3336</v>
      </c>
      <c r="K454" s="5" t="s">
        <v>3337</v>
      </c>
      <c r="L454" s="4" t="s">
        <v>243</v>
      </c>
      <c r="M454" s="4" t="s">
        <v>29</v>
      </c>
      <c r="N454" s="4" t="s">
        <v>929</v>
      </c>
      <c r="O454" s="4" t="s">
        <v>29</v>
      </c>
      <c r="P454" s="4" t="s">
        <v>3338</v>
      </c>
      <c r="Q454" s="6"/>
      <c r="R454" s="6"/>
      <c r="S454" s="6"/>
      <c r="T454" s="6"/>
      <c r="U454" s="6"/>
      <c r="V454" s="6"/>
      <c r="W454" s="6"/>
      <c r="X454" s="6"/>
      <c r="Y454" s="6"/>
    </row>
    <row r="455" ht="14.25">
      <c r="B455" s="4" t="s">
        <v>1562</v>
      </c>
      <c r="C455" s="4" t="s">
        <v>3339</v>
      </c>
      <c r="D455" s="4" t="s">
        <v>62</v>
      </c>
      <c r="E455" s="4" t="s">
        <v>566</v>
      </c>
      <c r="F455" s="4" t="str">
        <f>IFERROR(__XLUDF.DUMMYFUNCTION("PROPER(REGEXREPLACE(D440,""[^A-Za-z]+ "",""""))"),"Litres")</f>
        <v>Litres</v>
      </c>
      <c r="G455" s="4" t="s">
        <v>3340</v>
      </c>
      <c r="H455" s="4">
        <v>43</v>
      </c>
      <c r="I455" s="4" t="s">
        <v>36</v>
      </c>
      <c r="J455" s="5" t="s">
        <v>3341</v>
      </c>
      <c r="K455" s="5" t="s">
        <v>569</v>
      </c>
      <c r="L455" s="4" t="s">
        <v>39</v>
      </c>
      <c r="M455" s="4" t="s">
        <v>29</v>
      </c>
      <c r="N455" s="4" t="s">
        <v>67</v>
      </c>
      <c r="O455" s="4" t="s">
        <v>29</v>
      </c>
      <c r="P455" s="4" t="s">
        <v>570</v>
      </c>
      <c r="Q455" s="6"/>
      <c r="R455" s="6"/>
      <c r="S455" s="6"/>
      <c r="T455" s="6"/>
      <c r="U455" s="6"/>
      <c r="V455" s="6"/>
      <c r="W455" s="6"/>
      <c r="X455" s="6"/>
      <c r="Y455" s="6"/>
    </row>
    <row r="456" ht="14.25">
      <c r="B456" s="4" t="s">
        <v>1732</v>
      </c>
      <c r="C456" s="4" t="s">
        <v>3342</v>
      </c>
      <c r="D456" s="4" t="s">
        <v>44</v>
      </c>
      <c r="E456" s="4" t="s">
        <v>3343</v>
      </c>
      <c r="F456" s="4" t="str">
        <f>IFERROR(__XLUDF.DUMMYFUNCTION("PROPER(REGEXREPLACE(D441,""[^A-Za-z]+ "",""""))"),"Com Des Hôtels")</f>
        <v xml:space="preserve">Com Des Hôtels</v>
      </c>
      <c r="G456" s="4" t="s">
        <v>3344</v>
      </c>
      <c r="H456" s="4">
        <v>7</v>
      </c>
      <c r="I456" s="4" t="s">
        <v>157</v>
      </c>
      <c r="J456" s="5" t="s">
        <v>3345</v>
      </c>
      <c r="K456" s="5" t="s">
        <v>3346</v>
      </c>
      <c r="L456" s="4" t="s">
        <v>39</v>
      </c>
      <c r="M456" s="4" t="s">
        <v>29</v>
      </c>
      <c r="N456" s="4" t="s">
        <v>3347</v>
      </c>
      <c r="O456" s="4" t="s">
        <v>29</v>
      </c>
      <c r="P456" s="4" t="s">
        <v>3348</v>
      </c>
      <c r="Q456" s="6"/>
      <c r="R456" s="6"/>
      <c r="S456" s="6"/>
      <c r="T456" s="6"/>
      <c r="U456" s="6"/>
      <c r="V456" s="6"/>
      <c r="W456" s="6"/>
      <c r="X456" s="6"/>
      <c r="Y456" s="6"/>
    </row>
    <row r="457" ht="14.25">
      <c r="B457" s="4" t="s">
        <v>1844</v>
      </c>
      <c r="C457" s="4" t="s">
        <v>3349</v>
      </c>
      <c r="D457" s="4" t="s">
        <v>3350</v>
      </c>
      <c r="E457" s="4" t="s">
        <v>3351</v>
      </c>
      <c r="F457" s="4" t="str">
        <f>IFERROR(__XLUDF.DUMMYFUNCTION("PROPER(REGEXREPLACE(D442,""[^A-Za-z]+ "",""""))"),"Mongoo")</f>
        <v>Mongoo</v>
      </c>
      <c r="G457" s="4" t="s">
        <v>3352</v>
      </c>
      <c r="H457" s="4">
        <v>1</v>
      </c>
      <c r="I457" s="4" t="s">
        <v>25</v>
      </c>
      <c r="J457" s="5" t="s">
        <v>3353</v>
      </c>
      <c r="K457" s="5" t="s">
        <v>3354</v>
      </c>
      <c r="L457" s="6"/>
      <c r="M457" s="4" t="s">
        <v>29</v>
      </c>
      <c r="N457" s="4" t="s">
        <v>3355</v>
      </c>
      <c r="O457" s="4" t="s">
        <v>1938</v>
      </c>
      <c r="P457" s="6"/>
      <c r="Q457" s="6"/>
      <c r="R457" s="6"/>
      <c r="S457" s="6"/>
      <c r="T457" s="6"/>
      <c r="U457" s="6"/>
      <c r="V457" s="6"/>
      <c r="W457" s="6"/>
      <c r="X457" s="6"/>
      <c r="Y457" s="6"/>
    </row>
    <row r="458" ht="14.25">
      <c r="B458" s="4" t="s">
        <v>110</v>
      </c>
      <c r="C458" s="4" t="s">
        <v>3356</v>
      </c>
      <c r="D458" s="4" t="s">
        <v>62</v>
      </c>
      <c r="E458" s="4" t="s">
        <v>63</v>
      </c>
      <c r="F458" s="4" t="str">
        <f>IFERROR(__XLUDF.DUMMYFUNCTION("PROPER(REGEXREPLACE(D443,""[^A-Za-z]+ "",""""))"),"Yelloh Village Lac Desvallées")</f>
        <v xml:space="preserve">Yelloh Village Lac Desvallées</v>
      </c>
      <c r="G458" s="4" t="s">
        <v>3357</v>
      </c>
      <c r="H458" s="4">
        <v>43</v>
      </c>
      <c r="I458" s="4" t="s">
        <v>25</v>
      </c>
      <c r="J458" s="5" t="s">
        <v>3358</v>
      </c>
      <c r="K458" s="5" t="s">
        <v>66</v>
      </c>
      <c r="L458" s="6"/>
      <c r="M458" s="4" t="s">
        <v>29</v>
      </c>
      <c r="N458" s="4" t="s">
        <v>67</v>
      </c>
      <c r="O458" s="4" t="s">
        <v>29</v>
      </c>
      <c r="P458" s="4" t="s">
        <v>68</v>
      </c>
      <c r="Q458" s="6"/>
      <c r="R458" s="6"/>
      <c r="S458" s="6"/>
      <c r="T458" s="6"/>
      <c r="U458" s="6"/>
      <c r="V458" s="6"/>
      <c r="W458" s="6"/>
      <c r="X458" s="6"/>
      <c r="Y458" s="6"/>
    </row>
    <row r="459" ht="14.25">
      <c r="B459" s="4" t="s">
        <v>3359</v>
      </c>
      <c r="C459" s="6"/>
      <c r="D459" s="4" t="s">
        <v>62</v>
      </c>
      <c r="E459" s="4" t="s">
        <v>3360</v>
      </c>
      <c r="F459" s="4" t="str">
        <f>IFERROR(__XLUDF.DUMMYFUNCTION("PROPER(REGEXREPLACE(D444,""[^A-Za-z]+ "",""""))"),"King Marcel")</f>
        <v xml:space="preserve">King Marcel</v>
      </c>
      <c r="G459" s="4" t="s">
        <v>3361</v>
      </c>
      <c r="H459" s="4">
        <v>4</v>
      </c>
      <c r="I459" s="4" t="s">
        <v>25</v>
      </c>
      <c r="J459" s="5" t="s">
        <v>3362</v>
      </c>
      <c r="K459" s="5" t="s">
        <v>3363</v>
      </c>
      <c r="L459" s="4" t="s">
        <v>295</v>
      </c>
      <c r="M459" s="4" t="s">
        <v>29</v>
      </c>
      <c r="N459" s="4" t="s">
        <v>3036</v>
      </c>
      <c r="O459" s="4" t="s">
        <v>29</v>
      </c>
      <c r="P459" s="4" t="s">
        <v>3364</v>
      </c>
      <c r="Q459" s="6"/>
      <c r="R459" s="6"/>
      <c r="S459" s="6"/>
      <c r="T459" s="6"/>
      <c r="U459" s="6"/>
      <c r="V459" s="6"/>
      <c r="W459" s="6"/>
      <c r="X459" s="6"/>
      <c r="Y459" s="6"/>
    </row>
    <row r="460" ht="14.25">
      <c r="B460" s="4" t="s">
        <v>596</v>
      </c>
      <c r="C460" s="4" t="s">
        <v>3365</v>
      </c>
      <c r="D460" s="4" t="s">
        <v>62</v>
      </c>
      <c r="E460" s="4" t="s">
        <v>3366</v>
      </c>
      <c r="F460" s="4" t="str">
        <f>IFERROR(__XLUDF.DUMMYFUNCTION("PROPER(REGEXREPLACE(D445,""[^A-Za-z]+ "",""""))"),"Ensuite")</f>
        <v>Ensuite</v>
      </c>
      <c r="G460" s="4" t="s">
        <v>3367</v>
      </c>
      <c r="H460" s="4">
        <v>14</v>
      </c>
      <c r="I460" s="4" t="s">
        <v>25</v>
      </c>
      <c r="J460" s="5" t="s">
        <v>3368</v>
      </c>
      <c r="K460" s="5" t="s">
        <v>3369</v>
      </c>
      <c r="L460" s="4" t="s">
        <v>39</v>
      </c>
      <c r="M460" s="4" t="s">
        <v>29</v>
      </c>
      <c r="N460" s="4" t="s">
        <v>67</v>
      </c>
      <c r="O460" s="4" t="s">
        <v>29</v>
      </c>
      <c r="P460" s="4" t="s">
        <v>3370</v>
      </c>
      <c r="Q460" s="6"/>
      <c r="R460" s="6"/>
      <c r="S460" s="6"/>
      <c r="T460" s="6"/>
      <c r="U460" s="6"/>
      <c r="V460" s="6"/>
      <c r="W460" s="6"/>
      <c r="X460" s="6"/>
      <c r="Y460" s="6"/>
    </row>
    <row r="461" ht="14.25">
      <c r="B461" s="4" t="s">
        <v>3371</v>
      </c>
      <c r="C461" s="4" t="s">
        <v>3372</v>
      </c>
      <c r="D461" s="4" t="s">
        <v>3373</v>
      </c>
      <c r="E461" s="4" t="s">
        <v>3374</v>
      </c>
      <c r="F461" s="4" t="str">
        <f>IFERROR(__XLUDF.DUMMYFUNCTION("PROPER(REGEXREPLACE(D446,""[^A-Za-z]+ "",""""))"),"Kokoko Rôtisserie")</f>
        <v xml:space="preserve">Kokoko Rôtisserie</v>
      </c>
      <c r="G461" s="4" t="s">
        <v>3375</v>
      </c>
      <c r="H461" s="4">
        <v>3</v>
      </c>
      <c r="I461" s="4" t="s">
        <v>36</v>
      </c>
      <c r="J461" s="5" t="s">
        <v>3376</v>
      </c>
      <c r="K461" s="5" t="s">
        <v>3377</v>
      </c>
      <c r="L461" s="4" t="s">
        <v>3378</v>
      </c>
      <c r="M461" s="4" t="s">
        <v>29</v>
      </c>
      <c r="N461" s="4" t="s">
        <v>1625</v>
      </c>
      <c r="O461" s="4" t="s">
        <v>29</v>
      </c>
      <c r="P461" s="4" t="s">
        <v>3379</v>
      </c>
      <c r="Q461" s="6"/>
      <c r="R461" s="6"/>
      <c r="S461" s="6"/>
      <c r="T461" s="6"/>
      <c r="U461" s="6"/>
      <c r="V461" s="6"/>
      <c r="W461" s="6"/>
      <c r="X461" s="6"/>
      <c r="Y461" s="6"/>
    </row>
    <row r="462" ht="14.25">
      <c r="B462" s="4" t="s">
        <v>3380</v>
      </c>
      <c r="C462" s="4" t="s">
        <v>3381</v>
      </c>
      <c r="D462" s="4" t="s">
        <v>87</v>
      </c>
      <c r="E462" s="4" t="s">
        <v>3382</v>
      </c>
      <c r="F462" s="4" t="str">
        <f>IFERROR(__XLUDF.DUMMYFUNCTION("PROPER(REGEXREPLACE(D447,""[^A-Za-z]+ "",""""))"),"Gelvar")</f>
        <v>Gelvar</v>
      </c>
      <c r="G462" s="4" t="s">
        <v>3383</v>
      </c>
      <c r="H462" s="4">
        <v>12</v>
      </c>
      <c r="I462" s="4" t="s">
        <v>36</v>
      </c>
      <c r="J462" s="5" t="s">
        <v>3384</v>
      </c>
      <c r="K462" s="5" t="s">
        <v>3385</v>
      </c>
      <c r="L462" s="4" t="s">
        <v>39</v>
      </c>
      <c r="M462" s="4" t="s">
        <v>29</v>
      </c>
      <c r="N462" s="4" t="s">
        <v>3386</v>
      </c>
      <c r="O462" s="4" t="s">
        <v>29</v>
      </c>
      <c r="P462" s="4" t="s">
        <v>3387</v>
      </c>
      <c r="Q462" s="6"/>
      <c r="R462" s="6"/>
      <c r="S462" s="6"/>
      <c r="T462" s="6"/>
      <c r="U462" s="6"/>
      <c r="V462" s="6"/>
      <c r="W462" s="6"/>
      <c r="X462" s="6"/>
      <c r="Y462" s="6"/>
    </row>
    <row r="463" ht="14.25">
      <c r="B463" s="4" t="s">
        <v>2119</v>
      </c>
      <c r="C463" s="4" t="s">
        <v>3388</v>
      </c>
      <c r="D463" s="4" t="s">
        <v>87</v>
      </c>
      <c r="E463" s="4" t="s">
        <v>3389</v>
      </c>
      <c r="F463" s="4" t="str">
        <f>IFERROR(__XLUDF.DUMMYFUNCTION("PROPER(REGEXREPLACE(D448,""[^A-Za-z]+ "",""""))"),"Ecrin Plage Cannes")</f>
        <v xml:space="preserve">Ecrin Plage Cannes</v>
      </c>
      <c r="G463" s="4" t="s">
        <v>3390</v>
      </c>
      <c r="H463" s="4">
        <v>1</v>
      </c>
      <c r="I463" s="4" t="s">
        <v>25</v>
      </c>
      <c r="J463" s="5" t="s">
        <v>3391</v>
      </c>
      <c r="K463" s="5" t="s">
        <v>3392</v>
      </c>
      <c r="L463" s="6"/>
      <c r="M463" s="4" t="s">
        <v>29</v>
      </c>
      <c r="N463" s="4" t="s">
        <v>3393</v>
      </c>
      <c r="O463" s="4" t="s">
        <v>29</v>
      </c>
      <c r="P463" s="6"/>
      <c r="Q463" s="6"/>
      <c r="R463" s="6"/>
      <c r="S463" s="6"/>
      <c r="T463" s="6"/>
      <c r="U463" s="6"/>
      <c r="V463" s="6"/>
      <c r="W463" s="6"/>
      <c r="X463" s="6"/>
      <c r="Y463" s="6"/>
    </row>
    <row r="464" ht="14.25">
      <c r="B464" s="4" t="s">
        <v>670</v>
      </c>
      <c r="C464" s="4" t="s">
        <v>395</v>
      </c>
      <c r="D464" s="4" t="s">
        <v>3394</v>
      </c>
      <c r="E464" s="4" t="s">
        <v>397</v>
      </c>
      <c r="F464" s="4" t="str">
        <f>IFERROR(__XLUDF.DUMMYFUNCTION("PROPER(REGEXREPLACE(D449,""[^A-Za-z]+ "",""""))"),"Bds")</f>
        <v>Bds</v>
      </c>
      <c r="G464" s="4" t="s">
        <v>3395</v>
      </c>
      <c r="H464" s="4">
        <v>40</v>
      </c>
      <c r="I464" s="4" t="s">
        <v>36</v>
      </c>
      <c r="J464" s="5" t="s">
        <v>3396</v>
      </c>
      <c r="K464" s="5" t="s">
        <v>400</v>
      </c>
      <c r="L464" s="6"/>
      <c r="M464" s="4" t="s">
        <v>29</v>
      </c>
      <c r="N464" s="4" t="s">
        <v>67</v>
      </c>
      <c r="O464" s="4" t="s">
        <v>29</v>
      </c>
      <c r="P464" s="4" t="s">
        <v>401</v>
      </c>
      <c r="Q464" s="6"/>
      <c r="R464" s="6"/>
      <c r="S464" s="6"/>
      <c r="T464" s="6"/>
      <c r="U464" s="6"/>
      <c r="V464" s="6"/>
      <c r="W464" s="6"/>
      <c r="X464" s="6"/>
      <c r="Y464" s="6"/>
    </row>
    <row r="465" ht="14.25">
      <c r="B465" s="4" t="s">
        <v>525</v>
      </c>
      <c r="C465" s="4" t="s">
        <v>3397</v>
      </c>
      <c r="D465" s="4" t="s">
        <v>3398</v>
      </c>
      <c r="E465" s="4" t="s">
        <v>3399</v>
      </c>
      <c r="F465" s="4" t="str">
        <f>IFERROR(__XLUDF.DUMMYFUNCTION("PROPER(REGEXREPLACE(D450,""[^A-Za-z]+ "",""""))"),"L'Équilibriste")</f>
        <v>L'Équilibriste</v>
      </c>
      <c r="G465" s="4" t="s">
        <v>3400</v>
      </c>
      <c r="H465" s="4">
        <v>40</v>
      </c>
      <c r="I465" s="4" t="s">
        <v>36</v>
      </c>
      <c r="J465" s="5" t="s">
        <v>3401</v>
      </c>
      <c r="K465" s="5" t="s">
        <v>3402</v>
      </c>
      <c r="L465" s="4" t="s">
        <v>39</v>
      </c>
      <c r="M465" s="4" t="s">
        <v>29</v>
      </c>
      <c r="N465" s="4" t="s">
        <v>3403</v>
      </c>
      <c r="O465" s="4" t="s">
        <v>29</v>
      </c>
      <c r="P465" s="6"/>
      <c r="Q465" s="6"/>
      <c r="R465" s="6"/>
      <c r="S465" s="6"/>
      <c r="T465" s="6"/>
      <c r="U465" s="6"/>
      <c r="V465" s="6"/>
      <c r="W465" s="6"/>
      <c r="X465" s="6"/>
      <c r="Y465" s="6"/>
    </row>
    <row r="466" ht="14.25">
      <c r="B466" s="4" t="s">
        <v>178</v>
      </c>
      <c r="C466" s="4" t="s">
        <v>3404</v>
      </c>
      <c r="D466" s="4" t="s">
        <v>120</v>
      </c>
      <c r="E466" s="4" t="s">
        <v>3405</v>
      </c>
      <c r="F466" s="4" t="str">
        <f>IFERROR(__XLUDF.DUMMYFUNCTION("PROPER(REGEXREPLACE(D451,""[^A-Za-z]+ "",""""))"),"Hôtel Et Performance")</f>
        <v xml:space="preserve">Hôtel Et Performance</v>
      </c>
      <c r="G466" s="4" t="s">
        <v>3406</v>
      </c>
      <c r="H466" s="4">
        <v>15</v>
      </c>
      <c r="I466" s="4" t="s">
        <v>25</v>
      </c>
      <c r="J466" s="5" t="s">
        <v>3407</v>
      </c>
      <c r="K466" s="5" t="s">
        <v>3408</v>
      </c>
      <c r="L466" s="4" t="s">
        <v>39</v>
      </c>
      <c r="M466" s="4" t="s">
        <v>29</v>
      </c>
      <c r="N466" s="4" t="s">
        <v>3409</v>
      </c>
      <c r="O466" s="4" t="s">
        <v>29</v>
      </c>
      <c r="P466" s="4" t="s">
        <v>3410</v>
      </c>
      <c r="Q466" s="6"/>
      <c r="R466" s="6"/>
      <c r="S466" s="6"/>
      <c r="T466" s="6"/>
      <c r="U466" s="6"/>
      <c r="V466" s="6"/>
      <c r="W466" s="6"/>
      <c r="X466" s="6"/>
      <c r="Y466" s="6"/>
    </row>
    <row r="467" ht="14.25">
      <c r="B467" s="4" t="s">
        <v>3411</v>
      </c>
      <c r="C467" s="4" t="s">
        <v>3412</v>
      </c>
      <c r="D467" s="4" t="s">
        <v>3413</v>
      </c>
      <c r="E467" s="4" t="s">
        <v>3414</v>
      </c>
      <c r="F467" s="4" t="str">
        <f>IFERROR(__XLUDF.DUMMYFUNCTION("PROPER(REGEXREPLACE(D452,""[^A-Za-z]+ "",""""))"),"Suzette Crêperie Urbaine")</f>
        <v xml:space="preserve">Suzette Crêperie Urbaine</v>
      </c>
      <c r="G467" s="4" t="s">
        <v>3415</v>
      </c>
      <c r="H467" s="4">
        <v>11</v>
      </c>
      <c r="I467" s="4" t="s">
        <v>36</v>
      </c>
      <c r="J467" s="5" t="s">
        <v>3416</v>
      </c>
      <c r="K467" s="5" t="s">
        <v>3417</v>
      </c>
      <c r="L467" s="4" t="s">
        <v>3418</v>
      </c>
      <c r="M467" s="4" t="s">
        <v>29</v>
      </c>
      <c r="N467" s="4" t="s">
        <v>3419</v>
      </c>
      <c r="O467" s="4" t="s">
        <v>29</v>
      </c>
      <c r="P467" s="6"/>
      <c r="Q467" s="6"/>
      <c r="R467" s="6"/>
      <c r="S467" s="6"/>
      <c r="T467" s="6"/>
      <c r="U467" s="6"/>
      <c r="V467" s="6"/>
      <c r="W467" s="6"/>
      <c r="X467" s="6"/>
      <c r="Y467" s="6"/>
    </row>
    <row r="468" ht="14.25">
      <c r="B468" s="4" t="s">
        <v>3420</v>
      </c>
      <c r="C468" s="4" t="s">
        <v>3421</v>
      </c>
      <c r="D468" s="4" t="s">
        <v>172</v>
      </c>
      <c r="E468" s="4" t="s">
        <v>3422</v>
      </c>
      <c r="F468" s="4" t="str">
        <f>IFERROR(__XLUDF.DUMMYFUNCTION("PROPER(REGEXREPLACE(D453,""[^A-Za-z]+ "",""""))"),"Merci Jerome")</f>
        <v xml:space="preserve">Merci Jerome</v>
      </c>
      <c r="G468" s="4" t="s">
        <v>3423</v>
      </c>
      <c r="H468" s="4">
        <v>20</v>
      </c>
      <c r="I468" s="4" t="s">
        <v>25</v>
      </c>
      <c r="J468" s="5" t="s">
        <v>3424</v>
      </c>
      <c r="K468" s="5" t="s">
        <v>3425</v>
      </c>
      <c r="L468" s="4" t="s">
        <v>3426</v>
      </c>
      <c r="M468" s="4" t="s">
        <v>29</v>
      </c>
      <c r="N468" s="4" t="s">
        <v>3427</v>
      </c>
      <c r="O468" s="4" t="s">
        <v>29</v>
      </c>
      <c r="P468" s="4" t="s">
        <v>3428</v>
      </c>
      <c r="Q468" s="6"/>
      <c r="R468" s="6"/>
      <c r="S468" s="6"/>
      <c r="T468" s="6"/>
      <c r="U468" s="6"/>
      <c r="V468" s="6"/>
      <c r="W468" s="6"/>
      <c r="X468" s="6"/>
      <c r="Y468" s="6"/>
    </row>
    <row r="469" ht="14.25">
      <c r="B469" s="4" t="s">
        <v>1215</v>
      </c>
      <c r="C469" s="4" t="s">
        <v>3429</v>
      </c>
      <c r="D469" s="4" t="s">
        <v>426</v>
      </c>
      <c r="E469" s="4" t="s">
        <v>3430</v>
      </c>
      <c r="F469" s="4" t="str">
        <f>IFERROR(__XLUDF.DUMMYFUNCTION("PROPER(REGEXREPLACE(D454,""[^A-Za-z]+ "",""""))"),"Heiko Pokbowl")</f>
        <v xml:space="preserve">Heiko Pokbowl</v>
      </c>
      <c r="G469" s="4" t="s">
        <v>3431</v>
      </c>
      <c r="H469" s="4">
        <v>21</v>
      </c>
      <c r="I469" s="4" t="s">
        <v>36</v>
      </c>
      <c r="J469" s="5" t="s">
        <v>3432</v>
      </c>
      <c r="K469" s="5" t="s">
        <v>3433</v>
      </c>
      <c r="L469" s="4" t="s">
        <v>243</v>
      </c>
      <c r="M469" s="4" t="s">
        <v>29</v>
      </c>
      <c r="N469" s="4" t="s">
        <v>3434</v>
      </c>
      <c r="O469" s="4" t="s">
        <v>29</v>
      </c>
      <c r="P469" s="4" t="s">
        <v>3435</v>
      </c>
      <c r="Q469" s="6"/>
      <c r="R469" s="6"/>
      <c r="S469" s="6"/>
      <c r="T469" s="6"/>
      <c r="U469" s="6"/>
      <c r="V469" s="6"/>
      <c r="W469" s="6"/>
      <c r="X469" s="6"/>
      <c r="Y469" s="6"/>
    </row>
    <row r="470" ht="14.25">
      <c r="B470" s="4" t="s">
        <v>255</v>
      </c>
      <c r="C470" s="4" t="s">
        <v>3436</v>
      </c>
      <c r="D470" s="4" t="s">
        <v>3437</v>
      </c>
      <c r="E470" s="4" t="s">
        <v>3438</v>
      </c>
      <c r="F470" s="4" t="str">
        <f>IFERROR(__XLUDF.DUMMYFUNCTION("PROPER(REGEXREPLACE(D455,""[^A-Za-z]+ "",""""))"),"The French Bastards")</f>
        <v xml:space="preserve">The French Bastards</v>
      </c>
      <c r="G470" s="4" t="s">
        <v>3439</v>
      </c>
      <c r="H470" s="4">
        <v>10</v>
      </c>
      <c r="I470" s="4" t="s">
        <v>25</v>
      </c>
      <c r="J470" s="5" t="s">
        <v>3440</v>
      </c>
      <c r="K470" s="5" t="s">
        <v>3441</v>
      </c>
      <c r="L470" s="4" t="s">
        <v>39</v>
      </c>
      <c r="M470" s="4" t="s">
        <v>29</v>
      </c>
      <c r="N470" s="4" t="s">
        <v>3442</v>
      </c>
      <c r="O470" s="4" t="s">
        <v>29</v>
      </c>
      <c r="P470" s="6"/>
      <c r="Q470" s="6"/>
      <c r="R470" s="6"/>
      <c r="S470" s="6"/>
      <c r="T470" s="6"/>
      <c r="U470" s="6"/>
      <c r="V470" s="6"/>
      <c r="W470" s="6"/>
      <c r="X470" s="6"/>
      <c r="Y470" s="6"/>
    </row>
    <row r="471" ht="14.25">
      <c r="B471" s="4" t="s">
        <v>1198</v>
      </c>
      <c r="C471" s="4" t="s">
        <v>3443</v>
      </c>
      <c r="D471" s="4" t="s">
        <v>172</v>
      </c>
      <c r="E471" s="4" t="s">
        <v>3444</v>
      </c>
      <c r="F471" s="4" t="str">
        <f>IFERROR(__XLUDF.DUMMYFUNCTION("PROPER(REGEXREPLACE(D456,""[^A-Za-z]+ "",""""))"),"Let It Bib")</f>
        <v xml:space="preserve">Let It Bib</v>
      </c>
      <c r="G471" s="4" t="s">
        <v>3445</v>
      </c>
      <c r="H471" s="4">
        <v>29</v>
      </c>
      <c r="I471" s="4" t="s">
        <v>36</v>
      </c>
      <c r="J471" s="5" t="s">
        <v>3446</v>
      </c>
      <c r="K471" s="5" t="s">
        <v>3447</v>
      </c>
      <c r="L471" s="4" t="s">
        <v>716</v>
      </c>
      <c r="M471" s="4" t="s">
        <v>29</v>
      </c>
      <c r="N471" s="4" t="s">
        <v>3448</v>
      </c>
      <c r="O471" s="4" t="s">
        <v>29</v>
      </c>
      <c r="P471" s="4" t="s">
        <v>3449</v>
      </c>
      <c r="Q471" s="6"/>
      <c r="R471" s="6"/>
      <c r="S471" s="6"/>
      <c r="T471" s="6"/>
      <c r="U471" s="6"/>
      <c r="V471" s="6"/>
      <c r="W471" s="6"/>
      <c r="X471" s="6"/>
      <c r="Y471" s="6"/>
    </row>
    <row r="472" ht="14.25">
      <c r="B472" s="4" t="s">
        <v>3271</v>
      </c>
      <c r="C472" s="4" t="s">
        <v>3450</v>
      </c>
      <c r="D472" s="4" t="s">
        <v>172</v>
      </c>
      <c r="E472" s="4" t="s">
        <v>811</v>
      </c>
      <c r="F472" s="4" t="str">
        <f>IFERROR(__XLUDF.DUMMYFUNCTION("PROPER(REGEXREPLACE(D457,""[^A-Za-z]+ "",""""))"),"Magical Cafe")</f>
        <v xml:space="preserve">Magical Cafe</v>
      </c>
      <c r="G472" s="4" t="s">
        <v>3451</v>
      </c>
      <c r="H472" s="4">
        <v>31</v>
      </c>
      <c r="I472" s="4" t="s">
        <v>36</v>
      </c>
      <c r="J472" s="5" t="s">
        <v>3452</v>
      </c>
      <c r="K472" s="5" t="s">
        <v>814</v>
      </c>
      <c r="L472" s="4" t="s">
        <v>185</v>
      </c>
      <c r="M472" s="4" t="s">
        <v>29</v>
      </c>
      <c r="N472" s="4" t="s">
        <v>815</v>
      </c>
      <c r="O472" s="4" t="s">
        <v>29</v>
      </c>
      <c r="P472" s="4" t="s">
        <v>816</v>
      </c>
      <c r="Q472" s="6"/>
      <c r="R472" s="6"/>
      <c r="S472" s="6"/>
      <c r="T472" s="6"/>
      <c r="U472" s="6"/>
      <c r="V472" s="6"/>
      <c r="W472" s="6"/>
      <c r="X472" s="6"/>
      <c r="Y472" s="6"/>
    </row>
    <row r="473" ht="14.25">
      <c r="B473" s="4" t="s">
        <v>3453</v>
      </c>
      <c r="C473" s="4" t="s">
        <v>3454</v>
      </c>
      <c r="D473" s="4" t="s">
        <v>172</v>
      </c>
      <c r="E473" s="4" t="s">
        <v>461</v>
      </c>
      <c r="F473" s="4" t="str">
        <f>IFERROR(__XLUDF.DUMMYFUNCTION("PROPER(REGEXREPLACE(D458,""[^A-Za-z]+ "",""""))"),"Hudi")</f>
        <v>Hudi</v>
      </c>
      <c r="G473" s="4" t="s">
        <v>3455</v>
      </c>
      <c r="H473" s="4">
        <v>38</v>
      </c>
      <c r="I473" s="4" t="s">
        <v>25</v>
      </c>
      <c r="J473" s="5" t="s">
        <v>3456</v>
      </c>
      <c r="K473" s="5" t="s">
        <v>464</v>
      </c>
      <c r="L473" s="4" t="s">
        <v>465</v>
      </c>
      <c r="M473" s="4" t="s">
        <v>29</v>
      </c>
      <c r="N473" s="4" t="s">
        <v>466</v>
      </c>
      <c r="O473" s="4" t="s">
        <v>29</v>
      </c>
      <c r="P473" s="4" t="s">
        <v>467</v>
      </c>
      <c r="Q473" s="6"/>
      <c r="R473" s="6"/>
      <c r="S473" s="6"/>
      <c r="T473" s="6"/>
      <c r="U473" s="6"/>
      <c r="V473" s="6"/>
      <c r="W473" s="6"/>
      <c r="X473" s="6"/>
      <c r="Y473" s="6"/>
    </row>
    <row r="474" ht="14.25">
      <c r="B474" s="4" t="s">
        <v>3457</v>
      </c>
      <c r="C474" s="4" t="s">
        <v>3458</v>
      </c>
      <c r="D474" s="4" t="s">
        <v>172</v>
      </c>
      <c r="E474" s="4" t="s">
        <v>3459</v>
      </c>
      <c r="F474" s="4" t="str">
        <f>IFERROR(__XLUDF.DUMMYFUNCTION("PROPER(REGEXREPLACE(D459,""[^A-Za-z]+ "",""""))"),"Lotus Expériences")</f>
        <v xml:space="preserve">Lotus Expériences</v>
      </c>
      <c r="G474" s="4" t="s">
        <v>3460</v>
      </c>
      <c r="H474" s="4">
        <v>36</v>
      </c>
      <c r="I474" s="4" t="s">
        <v>25</v>
      </c>
      <c r="J474" s="5" t="s">
        <v>3461</v>
      </c>
      <c r="K474" s="5" t="s">
        <v>3462</v>
      </c>
      <c r="L474" s="4" t="s">
        <v>39</v>
      </c>
      <c r="M474" s="4" t="s">
        <v>29</v>
      </c>
      <c r="N474" s="4" t="s">
        <v>3463</v>
      </c>
      <c r="O474" s="4" t="s">
        <v>29</v>
      </c>
      <c r="P474" s="4" t="s">
        <v>3464</v>
      </c>
      <c r="Q474" s="6"/>
      <c r="R474" s="6"/>
      <c r="S474" s="6"/>
      <c r="T474" s="6"/>
      <c r="U474" s="6"/>
      <c r="V474" s="6"/>
      <c r="W474" s="6"/>
      <c r="X474" s="6"/>
      <c r="Y474" s="6"/>
    </row>
    <row r="475" ht="14.25">
      <c r="B475" s="4" t="s">
        <v>3465</v>
      </c>
      <c r="C475" s="4" t="s">
        <v>1775</v>
      </c>
      <c r="D475" s="4" t="s">
        <v>103</v>
      </c>
      <c r="E475" s="4" t="s">
        <v>3466</v>
      </c>
      <c r="F475" s="4" t="str">
        <f>IFERROR(__XLUDF.DUMMYFUNCTION("PROPER(REGEXREPLACE(D460,""[^A-Za-z]+ "",""""))"),"The Oasis House")</f>
        <v xml:space="preserve">The Oasis House</v>
      </c>
      <c r="G475" s="4" t="s">
        <v>3467</v>
      </c>
      <c r="H475" s="4">
        <v>17</v>
      </c>
      <c r="I475" s="4" t="s">
        <v>25</v>
      </c>
      <c r="J475" s="5" t="s">
        <v>3468</v>
      </c>
      <c r="K475" s="5" t="s">
        <v>3469</v>
      </c>
      <c r="L475" s="4" t="s">
        <v>39</v>
      </c>
      <c r="M475" s="4" t="s">
        <v>29</v>
      </c>
      <c r="N475" s="4" t="s">
        <v>3470</v>
      </c>
      <c r="O475" s="4" t="s">
        <v>29</v>
      </c>
      <c r="P475" s="4" t="s">
        <v>3471</v>
      </c>
      <c r="Q475" s="6"/>
      <c r="R475" s="6"/>
      <c r="S475" s="6"/>
      <c r="T475" s="6"/>
      <c r="U475" s="6"/>
      <c r="V475" s="6"/>
      <c r="W475" s="6"/>
      <c r="X475" s="6"/>
      <c r="Y475" s="6"/>
    </row>
    <row r="476" ht="14.25">
      <c r="B476" s="4" t="s">
        <v>3472</v>
      </c>
      <c r="C476" s="4" t="s">
        <v>3473</v>
      </c>
      <c r="D476" s="4" t="s">
        <v>3474</v>
      </c>
      <c r="E476" s="4" t="s">
        <v>3475</v>
      </c>
      <c r="F476" s="4" t="str">
        <f>IFERROR(__XLUDF.DUMMYFUNCTION("PROPER(REGEXREPLACE(D461,""[^A-Za-z]+ "",""""))"),"Popote Minute")</f>
        <v xml:space="preserve">Popote Minute</v>
      </c>
      <c r="G476" s="4" t="s">
        <v>3476</v>
      </c>
      <c r="H476" s="4">
        <v>16</v>
      </c>
      <c r="I476" s="4" t="s">
        <v>36</v>
      </c>
      <c r="J476" s="5" t="s">
        <v>3477</v>
      </c>
      <c r="K476" s="5" t="s">
        <v>3478</v>
      </c>
      <c r="L476" s="4" t="s">
        <v>39</v>
      </c>
      <c r="M476" s="4" t="s">
        <v>29</v>
      </c>
      <c r="N476" s="4" t="s">
        <v>3479</v>
      </c>
      <c r="O476" s="4" t="s">
        <v>29</v>
      </c>
      <c r="P476" s="4" t="s">
        <v>3480</v>
      </c>
      <c r="Q476" s="6"/>
      <c r="R476" s="6"/>
      <c r="S476" s="6"/>
      <c r="T476" s="6"/>
      <c r="U476" s="6"/>
      <c r="V476" s="6"/>
      <c r="W476" s="6"/>
      <c r="X476" s="6"/>
      <c r="Y476" s="6"/>
    </row>
    <row r="477" ht="14.25">
      <c r="B477" s="4" t="s">
        <v>2932</v>
      </c>
      <c r="C477" s="4" t="s">
        <v>3481</v>
      </c>
      <c r="D477" s="4" t="s">
        <v>44</v>
      </c>
      <c r="E477" s="4" t="s">
        <v>3482</v>
      </c>
      <c r="F477" s="4" t="str">
        <f>IFERROR(__XLUDF.DUMMYFUNCTION("PROPER(REGEXREPLACE(D462,""[^A-Za-z]+ "",""""))"),"Le Chill Sandwich Coffee")</f>
        <v xml:space="preserve">Le Chill Sandwich Coffee</v>
      </c>
      <c r="G477" s="4" t="s">
        <v>3483</v>
      </c>
      <c r="H477" s="4">
        <v>5</v>
      </c>
      <c r="I477" s="4" t="s">
        <v>1450</v>
      </c>
      <c r="J477" s="5" t="s">
        <v>3484</v>
      </c>
      <c r="K477" s="5" t="s">
        <v>3485</v>
      </c>
      <c r="L477" s="4" t="s">
        <v>185</v>
      </c>
      <c r="M477" s="4" t="s">
        <v>29</v>
      </c>
      <c r="N477" s="4" t="s">
        <v>3486</v>
      </c>
      <c r="O477" s="4" t="s">
        <v>29</v>
      </c>
      <c r="P477" s="4" t="s">
        <v>3487</v>
      </c>
      <c r="Q477" s="6"/>
      <c r="R477" s="6"/>
      <c r="S477" s="6"/>
      <c r="T477" s="6"/>
      <c r="U477" s="6"/>
      <c r="V477" s="6"/>
      <c r="W477" s="6"/>
      <c r="X477" s="6"/>
      <c r="Y477" s="6"/>
    </row>
    <row r="478" ht="14.25">
      <c r="B478" s="4" t="s">
        <v>2348</v>
      </c>
      <c r="C478" s="4" t="s">
        <v>3488</v>
      </c>
      <c r="D478" s="4" t="s">
        <v>3489</v>
      </c>
      <c r="E478" s="4" t="s">
        <v>3490</v>
      </c>
      <c r="F478" s="4" t="str">
        <f>IFERROR(__XLUDF.DUMMYFUNCTION("PROPER(REGEXREPLACE(D463,""[^A-Za-z]+ "",""""))"),"Fischer Hospitality Advisory")</f>
        <v xml:space="preserve">Fischer Hospitality Advisory</v>
      </c>
      <c r="G478" s="4" t="s">
        <v>3491</v>
      </c>
      <c r="H478" s="4">
        <v>17</v>
      </c>
      <c r="I478" s="4" t="s">
        <v>25</v>
      </c>
      <c r="J478" s="5" t="s">
        <v>3492</v>
      </c>
      <c r="K478" s="5" t="s">
        <v>3493</v>
      </c>
      <c r="L478" s="4" t="s">
        <v>39</v>
      </c>
      <c r="M478" s="4" t="s">
        <v>29</v>
      </c>
      <c r="N478" s="4" t="s">
        <v>3494</v>
      </c>
      <c r="O478" s="4" t="s">
        <v>3495</v>
      </c>
      <c r="P478" s="4" t="s">
        <v>3496</v>
      </c>
      <c r="Q478" s="6"/>
      <c r="R478" s="6"/>
      <c r="S478" s="6"/>
      <c r="T478" s="6"/>
      <c r="U478" s="6"/>
      <c r="V478" s="6"/>
      <c r="W478" s="6"/>
      <c r="X478" s="6"/>
      <c r="Y478" s="6"/>
    </row>
    <row r="479" ht="14.25">
      <c r="B479" s="4" t="s">
        <v>330</v>
      </c>
      <c r="C479" s="4" t="s">
        <v>3497</v>
      </c>
      <c r="D479" s="4" t="s">
        <v>688</v>
      </c>
      <c r="E479" s="4" t="s">
        <v>3498</v>
      </c>
      <c r="F479" s="4" t="str">
        <f>IFERROR(__XLUDF.DUMMYFUNCTION("PROPER(REGEXREPLACE(D464,""[^A-Za-z]+ "",""""))"),"Coolangatta Group")</f>
        <v xml:space="preserve">Coolangatta Group</v>
      </c>
      <c r="G479" s="4" t="s">
        <v>3499</v>
      </c>
      <c r="H479" s="4">
        <v>4</v>
      </c>
      <c r="I479" s="4" t="s">
        <v>25</v>
      </c>
      <c r="J479" s="5" t="s">
        <v>3500</v>
      </c>
      <c r="K479" s="5" t="s">
        <v>3501</v>
      </c>
      <c r="L479" s="4" t="s">
        <v>2650</v>
      </c>
      <c r="M479" s="4" t="s">
        <v>29</v>
      </c>
      <c r="N479" s="4" t="s">
        <v>67</v>
      </c>
      <c r="O479" s="4" t="s">
        <v>29</v>
      </c>
      <c r="P479" s="4" t="s">
        <v>3502</v>
      </c>
      <c r="Q479" s="6"/>
      <c r="R479" s="6"/>
      <c r="S479" s="6"/>
      <c r="T479" s="6"/>
      <c r="U479" s="6"/>
      <c r="V479" s="6"/>
      <c r="W479" s="6"/>
      <c r="X479" s="6"/>
      <c r="Y479" s="6"/>
    </row>
    <row r="480" ht="14.25">
      <c r="B480" s="4" t="s">
        <v>3503</v>
      </c>
      <c r="C480" s="4" t="s">
        <v>3504</v>
      </c>
      <c r="D480" s="4" t="s">
        <v>3505</v>
      </c>
      <c r="E480" s="4" t="s">
        <v>3506</v>
      </c>
      <c r="F480" s="4" t="str">
        <f>IFERROR(__XLUDF.DUMMYFUNCTION("PROPER(REGEXREPLACE(D465,""[^A-Za-z]+ "",""""))"),"Eleni Group")</f>
        <v xml:space="preserve">Eleni Group</v>
      </c>
      <c r="G480" s="4" t="s">
        <v>3507</v>
      </c>
      <c r="H480" s="4">
        <v>4</v>
      </c>
      <c r="I480" s="4" t="s">
        <v>157</v>
      </c>
      <c r="J480" s="5" t="s">
        <v>3508</v>
      </c>
      <c r="K480" s="5" t="s">
        <v>3509</v>
      </c>
      <c r="L480" s="4" t="s">
        <v>39</v>
      </c>
      <c r="M480" s="4" t="s">
        <v>29</v>
      </c>
      <c r="N480" s="4" t="s">
        <v>67</v>
      </c>
      <c r="O480" s="4" t="s">
        <v>29</v>
      </c>
      <c r="P480" s="6"/>
      <c r="Q480" s="6"/>
      <c r="R480" s="6"/>
      <c r="S480" s="6"/>
      <c r="T480" s="6"/>
      <c r="U480" s="6"/>
      <c r="V480" s="6"/>
      <c r="W480" s="6"/>
      <c r="X480" s="6"/>
      <c r="Y480" s="6"/>
    </row>
    <row r="481" ht="14.25">
      <c r="B481" s="4" t="s">
        <v>638</v>
      </c>
      <c r="C481" s="4" t="s">
        <v>3510</v>
      </c>
      <c r="D481" s="4" t="s">
        <v>44</v>
      </c>
      <c r="E481" s="4" t="s">
        <v>3511</v>
      </c>
      <c r="F481" s="4" t="str">
        <f>IFERROR(__XLUDF.DUMMYFUNCTION("PROPER(REGEXREPLACE(D466,""[^A-Za-z]+ "",""""))"),"Le Bois De Rosoy")</f>
        <v xml:space="preserve">Le Bois De Rosoy</v>
      </c>
      <c r="G481" s="4" t="s">
        <v>3512</v>
      </c>
      <c r="H481" s="4">
        <v>1</v>
      </c>
      <c r="I481" s="4" t="s">
        <v>25</v>
      </c>
      <c r="J481" s="5" t="s">
        <v>3513</v>
      </c>
      <c r="K481" s="5" t="s">
        <v>3514</v>
      </c>
      <c r="L481" s="4" t="s">
        <v>39</v>
      </c>
      <c r="M481" s="4" t="s">
        <v>29</v>
      </c>
      <c r="N481" s="4" t="s">
        <v>67</v>
      </c>
      <c r="O481" s="4" t="s">
        <v>29</v>
      </c>
      <c r="P481" s="4" t="s">
        <v>3515</v>
      </c>
      <c r="Q481" s="6"/>
      <c r="R481" s="6"/>
      <c r="S481" s="6"/>
      <c r="T481" s="6"/>
      <c r="U481" s="6"/>
      <c r="V481" s="6"/>
      <c r="W481" s="6"/>
      <c r="X481" s="6"/>
      <c r="Y481" s="6"/>
    </row>
    <row r="482" ht="14.25">
      <c r="B482" s="4" t="s">
        <v>3516</v>
      </c>
      <c r="C482" s="4" t="s">
        <v>3517</v>
      </c>
      <c r="D482" s="4" t="s">
        <v>62</v>
      </c>
      <c r="E482" s="4" t="s">
        <v>3518</v>
      </c>
      <c r="F482" s="4" t="str">
        <f>IFERROR(__XLUDF.DUMMYFUNCTION("PROPER(REGEXREPLACE(D467,""[^A-Za-z]+ "",""""))"),"La Folie Douce Saint-Gervais/Megève")</f>
        <v xml:space="preserve">La Folie Douce Saint-Gervais/Megève</v>
      </c>
      <c r="G482" s="4" t="s">
        <v>3519</v>
      </c>
      <c r="H482" s="4">
        <v>4</v>
      </c>
      <c r="I482" s="4" t="s">
        <v>25</v>
      </c>
      <c r="J482" s="5" t="s">
        <v>3520</v>
      </c>
      <c r="K482" s="5" t="s">
        <v>3521</v>
      </c>
      <c r="L482" s="4" t="s">
        <v>39</v>
      </c>
      <c r="M482" s="4" t="s">
        <v>29</v>
      </c>
      <c r="N482" s="4" t="s">
        <v>3522</v>
      </c>
      <c r="O482" s="4" t="s">
        <v>29</v>
      </c>
      <c r="P482" s="6"/>
      <c r="Q482" s="6"/>
      <c r="R482" s="6"/>
      <c r="S482" s="6"/>
      <c r="T482" s="6"/>
      <c r="U482" s="6"/>
      <c r="V482" s="6"/>
      <c r="W482" s="6"/>
      <c r="X482" s="6"/>
      <c r="Y482" s="6"/>
    </row>
    <row r="483" ht="14.25">
      <c r="B483" s="4" t="s">
        <v>3523</v>
      </c>
      <c r="C483" s="4" t="s">
        <v>3524</v>
      </c>
      <c r="D483" s="4" t="s">
        <v>87</v>
      </c>
      <c r="E483" s="4" t="s">
        <v>3525</v>
      </c>
      <c r="F483" s="4" t="str">
        <f>IFERROR(__XLUDF.DUMMYFUNCTION("PROPER(REGEXREPLACE(D468,""[^A-Za-z]+ "",""""))"),"Les Manoirs De Tourgéville")</f>
        <v xml:space="preserve">Les Manoirs De Tourgéville</v>
      </c>
      <c r="G483" s="4" t="s">
        <v>3526</v>
      </c>
      <c r="H483" s="4">
        <v>5</v>
      </c>
      <c r="I483" s="4" t="s">
        <v>25</v>
      </c>
      <c r="J483" s="5" t="s">
        <v>3527</v>
      </c>
      <c r="K483" s="5" t="s">
        <v>3528</v>
      </c>
      <c r="L483" s="4" t="s">
        <v>39</v>
      </c>
      <c r="M483" s="4" t="s">
        <v>29</v>
      </c>
      <c r="N483" s="4" t="s">
        <v>3529</v>
      </c>
      <c r="O483" s="4" t="s">
        <v>29</v>
      </c>
      <c r="P483" s="4" t="s">
        <v>3530</v>
      </c>
      <c r="Q483" s="6"/>
      <c r="R483" s="6"/>
      <c r="S483" s="6"/>
      <c r="T483" s="6"/>
      <c r="U483" s="6"/>
      <c r="V483" s="6"/>
      <c r="W483" s="6"/>
      <c r="X483" s="6"/>
      <c r="Y483" s="6"/>
    </row>
    <row r="484" ht="14.25">
      <c r="B484" s="4" t="s">
        <v>2249</v>
      </c>
      <c r="C484" s="4" t="s">
        <v>3531</v>
      </c>
      <c r="D484" s="4" t="s">
        <v>247</v>
      </c>
      <c r="E484" s="4" t="s">
        <v>3532</v>
      </c>
      <c r="F484" s="4" t="str">
        <f>IFERROR(__XLUDF.DUMMYFUNCTION("PROPER(REGEXREPLACE(D469,""[^A-Za-z]+ "",""""))"),"Groupe Philippe Etchebest")</f>
        <v xml:space="preserve">Groupe Philippe Etchebest</v>
      </c>
      <c r="G484" s="4" t="s">
        <v>3533</v>
      </c>
      <c r="H484" s="4">
        <v>36</v>
      </c>
      <c r="I484" s="4" t="s">
        <v>36</v>
      </c>
      <c r="J484" s="5" t="s">
        <v>3534</v>
      </c>
      <c r="K484" s="5" t="s">
        <v>3535</v>
      </c>
      <c r="L484" s="6"/>
      <c r="M484" s="4" t="s">
        <v>29</v>
      </c>
      <c r="N484" s="4" t="s">
        <v>67</v>
      </c>
      <c r="O484" s="4" t="s">
        <v>29</v>
      </c>
      <c r="P484" s="4" t="s">
        <v>3536</v>
      </c>
      <c r="Q484" s="6"/>
      <c r="R484" s="6"/>
      <c r="S484" s="6"/>
      <c r="T484" s="6"/>
      <c r="U484" s="6"/>
      <c r="V484" s="6"/>
      <c r="W484" s="6"/>
      <c r="X484" s="6"/>
      <c r="Y484" s="6"/>
    </row>
    <row r="485" ht="14.25">
      <c r="B485" s="4" t="s">
        <v>3537</v>
      </c>
      <c r="C485" s="4" t="s">
        <v>264</v>
      </c>
      <c r="D485" s="4" t="s">
        <v>120</v>
      </c>
      <c r="E485" s="4" t="s">
        <v>266</v>
      </c>
      <c r="F485" s="4" t="str">
        <f>IFERROR(__XLUDF.DUMMYFUNCTION("PROPER(REGEXREPLACE(D470,""[^A-Za-z]+ "",""""))"),"Juste")</f>
        <v>Juste</v>
      </c>
      <c r="G485" s="4" t="s">
        <v>3538</v>
      </c>
      <c r="H485" s="4">
        <v>11</v>
      </c>
      <c r="I485" s="4" t="s">
        <v>36</v>
      </c>
      <c r="J485" s="5" t="s">
        <v>3539</v>
      </c>
      <c r="K485" s="5" t="s">
        <v>269</v>
      </c>
      <c r="L485" s="4" t="s">
        <v>39</v>
      </c>
      <c r="M485" s="4" t="s">
        <v>29</v>
      </c>
      <c r="N485" s="4" t="s">
        <v>270</v>
      </c>
      <c r="O485" s="4" t="s">
        <v>29</v>
      </c>
      <c r="P485" s="4" t="s">
        <v>271</v>
      </c>
      <c r="Q485" s="6"/>
      <c r="R485" s="6"/>
      <c r="S485" s="6"/>
      <c r="T485" s="6"/>
      <c r="U485" s="6"/>
      <c r="V485" s="6"/>
      <c r="W485" s="6"/>
      <c r="X485" s="6"/>
      <c r="Y485" s="6"/>
    </row>
    <row r="486" ht="14.25">
      <c r="B486" s="4" t="s">
        <v>3540</v>
      </c>
      <c r="C486" s="4" t="s">
        <v>3541</v>
      </c>
      <c r="D486" s="4" t="s">
        <v>365</v>
      </c>
      <c r="E486" s="4" t="s">
        <v>3542</v>
      </c>
      <c r="F486" s="4" t="str">
        <f>IFERROR(__XLUDF.DUMMYFUNCTION("PROPER(REGEXREPLACE(D471,""[^A-Za-z]+ "",""""))"),"La Petite Maison Cannes")</f>
        <v xml:space="preserve">La Petite Maison Cannes</v>
      </c>
      <c r="G486" s="4" t="s">
        <v>3543</v>
      </c>
      <c r="H486" s="4">
        <v>15</v>
      </c>
      <c r="I486" s="4" t="s">
        <v>25</v>
      </c>
      <c r="J486" s="5" t="s">
        <v>3544</v>
      </c>
      <c r="K486" s="5" t="s">
        <v>3545</v>
      </c>
      <c r="L486" s="4" t="s">
        <v>39</v>
      </c>
      <c r="M486" s="4" t="s">
        <v>29</v>
      </c>
      <c r="N486" s="4" t="s">
        <v>67</v>
      </c>
      <c r="O486" s="4" t="s">
        <v>29</v>
      </c>
      <c r="P486" s="4" t="s">
        <v>3546</v>
      </c>
      <c r="Q486" s="6"/>
      <c r="R486" s="6"/>
      <c r="S486" s="6"/>
      <c r="T486" s="6"/>
      <c r="U486" s="6"/>
      <c r="V486" s="6"/>
      <c r="W486" s="6"/>
      <c r="X486" s="6"/>
      <c r="Y486" s="6"/>
    </row>
    <row r="487" ht="14.25">
      <c r="B487" s="4" t="s">
        <v>3547</v>
      </c>
      <c r="C487" s="4" t="s">
        <v>3548</v>
      </c>
      <c r="D487" s="4" t="s">
        <v>3090</v>
      </c>
      <c r="E487" s="4" t="s">
        <v>2038</v>
      </c>
      <c r="F487" s="4" t="str">
        <f>IFERROR(__XLUDF.DUMMYFUNCTION("PROPER(REGEXREPLACE(D472,""[^A-Za-z]+ "",""""))"),"La Fabuleuse Cantine")</f>
        <v xml:space="preserve">La Fabuleuse Cantine</v>
      </c>
      <c r="G487" s="4" t="s">
        <v>3549</v>
      </c>
      <c r="H487" s="4">
        <v>9</v>
      </c>
      <c r="I487" s="4" t="s">
        <v>36</v>
      </c>
      <c r="J487" s="5" t="s">
        <v>3550</v>
      </c>
      <c r="K487" s="5" t="s">
        <v>2041</v>
      </c>
      <c r="L487" s="4" t="s">
        <v>39</v>
      </c>
      <c r="M487" s="4" t="s">
        <v>29</v>
      </c>
      <c r="N487" s="4" t="s">
        <v>2042</v>
      </c>
      <c r="O487" s="4" t="s">
        <v>29</v>
      </c>
      <c r="P487" s="4" t="s">
        <v>2043</v>
      </c>
      <c r="Q487" s="6"/>
      <c r="R487" s="6"/>
      <c r="S487" s="6"/>
      <c r="T487" s="6"/>
      <c r="U487" s="6"/>
      <c r="V487" s="6"/>
      <c r="W487" s="6"/>
      <c r="X487" s="6"/>
      <c r="Y487" s="6"/>
    </row>
    <row r="488" ht="14.25">
      <c r="B488" s="4" t="s">
        <v>355</v>
      </c>
      <c r="C488" s="4" t="s">
        <v>3551</v>
      </c>
      <c r="D488" s="4" t="s">
        <v>2425</v>
      </c>
      <c r="E488" s="4" t="s">
        <v>3552</v>
      </c>
      <c r="F488" s="4" t="str">
        <f>IFERROR(__XLUDF.DUMMYFUNCTION("PROPER(REGEXREPLACE(D473,""[^A-Za-z]+ "",""""))"),"Cap D'Antibes")</f>
        <v xml:space="preserve">Cap D'Antibes</v>
      </c>
      <c r="G488" s="4" t="s">
        <v>3553</v>
      </c>
      <c r="H488" s="4">
        <v>1</v>
      </c>
      <c r="I488" s="4" t="s">
        <v>25</v>
      </c>
      <c r="J488" s="5" t="s">
        <v>3554</v>
      </c>
      <c r="K488" s="5" t="s">
        <v>3555</v>
      </c>
      <c r="L488" s="4" t="s">
        <v>39</v>
      </c>
      <c r="M488" s="4" t="s">
        <v>29</v>
      </c>
      <c r="N488" s="4" t="s">
        <v>67</v>
      </c>
      <c r="O488" s="4" t="s">
        <v>29</v>
      </c>
      <c r="P488" s="4" t="s">
        <v>3556</v>
      </c>
      <c r="Q488" s="6"/>
      <c r="R488" s="6"/>
      <c r="S488" s="6"/>
      <c r="T488" s="6"/>
      <c r="U488" s="6"/>
      <c r="V488" s="6"/>
      <c r="W488" s="6"/>
      <c r="X488" s="6"/>
      <c r="Y488" s="6"/>
    </row>
    <row r="489" ht="14.25">
      <c r="B489" s="4" t="s">
        <v>3557</v>
      </c>
      <c r="C489" s="4" t="s">
        <v>3558</v>
      </c>
      <c r="D489" s="4" t="s">
        <v>426</v>
      </c>
      <c r="E489" s="4" t="s">
        <v>3559</v>
      </c>
      <c r="F489" s="4" t="str">
        <f>IFERROR(__XLUDF.DUMMYFUNCTION("PROPER(REGEXREPLACE(D474,""[^A-Za-z]+ "",""""))"),"Hôtel Particulier Montmartre")</f>
        <v xml:space="preserve">Hôtel Particulier Montmartre</v>
      </c>
      <c r="G489" s="4" t="s">
        <v>3560</v>
      </c>
      <c r="H489" s="4">
        <v>15</v>
      </c>
      <c r="I489" s="4" t="s">
        <v>25</v>
      </c>
      <c r="J489" s="5" t="s">
        <v>3561</v>
      </c>
      <c r="K489" s="5" t="s">
        <v>3562</v>
      </c>
      <c r="L489" s="4" t="s">
        <v>39</v>
      </c>
      <c r="M489" s="4" t="s">
        <v>29</v>
      </c>
      <c r="N489" s="4" t="s">
        <v>3563</v>
      </c>
      <c r="O489" s="4" t="s">
        <v>29</v>
      </c>
      <c r="P489" s="4" t="s">
        <v>3564</v>
      </c>
      <c r="Q489" s="6"/>
      <c r="R489" s="6"/>
      <c r="S489" s="6"/>
      <c r="T489" s="6"/>
      <c r="U489" s="6"/>
      <c r="V489" s="6"/>
      <c r="W489" s="6"/>
      <c r="X489" s="6"/>
      <c r="Y489" s="6"/>
    </row>
    <row r="490" ht="14.25">
      <c r="B490" s="4" t="s">
        <v>298</v>
      </c>
      <c r="C490" s="4" t="s">
        <v>3565</v>
      </c>
      <c r="D490" s="4" t="s">
        <v>172</v>
      </c>
      <c r="E490" s="4" t="s">
        <v>3566</v>
      </c>
      <c r="F490" s="4" t="str">
        <f>IFERROR(__XLUDF.DUMMYFUNCTION("PROPER(REGEXREPLACE(D475,""[^A-Za-z]+ "",""""))"),"Malone Hotels")</f>
        <v xml:space="preserve">Malone Hotels</v>
      </c>
      <c r="G490" s="4" t="s">
        <v>3567</v>
      </c>
      <c r="H490" s="4">
        <v>9</v>
      </c>
      <c r="I490" s="4" t="s">
        <v>25</v>
      </c>
      <c r="J490" s="5" t="s">
        <v>3568</v>
      </c>
      <c r="K490" s="5" t="s">
        <v>3569</v>
      </c>
      <c r="L490" s="6"/>
      <c r="M490" s="4" t="s">
        <v>29</v>
      </c>
      <c r="N490" s="4" t="s">
        <v>67</v>
      </c>
      <c r="O490" s="4" t="s">
        <v>29</v>
      </c>
      <c r="P490" s="6"/>
      <c r="Q490" s="6"/>
      <c r="R490" s="6"/>
      <c r="S490" s="6"/>
      <c r="T490" s="6"/>
      <c r="U490" s="6"/>
      <c r="V490" s="6"/>
      <c r="W490" s="6"/>
      <c r="X490" s="6"/>
      <c r="Y490" s="6"/>
    </row>
    <row r="491" ht="14.25">
      <c r="B491" s="4" t="s">
        <v>20</v>
      </c>
      <c r="C491" s="4" t="s">
        <v>3570</v>
      </c>
      <c r="D491" s="4" t="s">
        <v>172</v>
      </c>
      <c r="E491" s="4" t="s">
        <v>3571</v>
      </c>
      <c r="F491" s="4" t="str">
        <f>IFERROR(__XLUDF.DUMMYFUNCTION("PROPER(REGEXREPLACE(D476,""[^A-Za-z]+ "",""""))"),"Avocateria")</f>
        <v>Avocateria</v>
      </c>
      <c r="G491" s="4" t="s">
        <v>3572</v>
      </c>
      <c r="H491" s="4">
        <v>5</v>
      </c>
      <c r="I491" s="4" t="s">
        <v>25</v>
      </c>
      <c r="J491" s="5" t="s">
        <v>3573</v>
      </c>
      <c r="K491" s="5" t="s">
        <v>3574</v>
      </c>
      <c r="L491" s="4" t="s">
        <v>39</v>
      </c>
      <c r="M491" s="4" t="s">
        <v>29</v>
      </c>
      <c r="N491" s="4" t="s">
        <v>3575</v>
      </c>
      <c r="O491" s="4" t="s">
        <v>29</v>
      </c>
      <c r="P491" s="4" t="s">
        <v>3576</v>
      </c>
      <c r="Q491" s="6"/>
      <c r="R491" s="6"/>
      <c r="S491" s="6"/>
      <c r="T491" s="6"/>
      <c r="U491" s="6"/>
      <c r="V491" s="6"/>
      <c r="W491" s="6"/>
      <c r="X491" s="6"/>
      <c r="Y491" s="6"/>
    </row>
    <row r="492" ht="14.25">
      <c r="B492" s="4" t="s">
        <v>3577</v>
      </c>
      <c r="C492" s="4" t="s">
        <v>290</v>
      </c>
      <c r="D492" s="4" t="s">
        <v>3578</v>
      </c>
      <c r="E492" s="4" t="s">
        <v>581</v>
      </c>
      <c r="F492" s="4" t="str">
        <f>IFERROR(__XLUDF.DUMMYFUNCTION("PROPER(REGEXREPLACE(D477,""[^A-Za-z]+ "",""""))"),"Venandi")</f>
        <v>Venandi</v>
      </c>
      <c r="G492" s="4" t="s">
        <v>3579</v>
      </c>
      <c r="H492" s="4">
        <v>34</v>
      </c>
      <c r="I492" s="4" t="s">
        <v>36</v>
      </c>
      <c r="J492" s="5" t="s">
        <v>3580</v>
      </c>
      <c r="K492" s="5" t="s">
        <v>584</v>
      </c>
      <c r="L492" s="4" t="s">
        <v>3581</v>
      </c>
      <c r="M492" s="4" t="s">
        <v>29</v>
      </c>
      <c r="N492" s="4" t="s">
        <v>586</v>
      </c>
      <c r="O492" s="4" t="s">
        <v>29</v>
      </c>
      <c r="P492" s="4" t="s">
        <v>587</v>
      </c>
      <c r="Q492" s="6"/>
      <c r="R492" s="6"/>
      <c r="S492" s="6"/>
      <c r="T492" s="6"/>
      <c r="U492" s="6"/>
      <c r="V492" s="6"/>
      <c r="W492" s="6"/>
      <c r="X492" s="6"/>
      <c r="Y492" s="6"/>
    </row>
    <row r="493" ht="14.25">
      <c r="B493" s="4" t="s">
        <v>3582</v>
      </c>
      <c r="C493" s="6"/>
      <c r="D493" s="4" t="s">
        <v>62</v>
      </c>
      <c r="E493" s="4" t="s">
        <v>3583</v>
      </c>
      <c r="F493" s="4" t="str">
        <f>IFERROR(__XLUDF.DUMMYFUNCTION("PROPER(REGEXREPLACE(D478,""[^A-Za-z]+ "",""""))"),"Puzl Coworking")</f>
        <v xml:space="preserve">Puzl Coworking</v>
      </c>
      <c r="G493" s="4" t="s">
        <v>3584</v>
      </c>
      <c r="H493" s="4">
        <v>45</v>
      </c>
      <c r="I493" s="4" t="s">
        <v>36</v>
      </c>
      <c r="J493" s="5" t="s">
        <v>3585</v>
      </c>
      <c r="K493" s="5" t="s">
        <v>3586</v>
      </c>
      <c r="L493" s="6"/>
      <c r="M493" s="4" t="s">
        <v>29</v>
      </c>
      <c r="N493" s="4" t="s">
        <v>3587</v>
      </c>
      <c r="O493" s="4" t="s">
        <v>29</v>
      </c>
      <c r="P493" s="4" t="s">
        <v>3588</v>
      </c>
      <c r="Q493" s="6"/>
      <c r="R493" s="6"/>
      <c r="S493" s="6"/>
      <c r="T493" s="6"/>
      <c r="U493" s="6"/>
      <c r="V493" s="6"/>
      <c r="W493" s="6"/>
      <c r="X493" s="6"/>
      <c r="Y493" s="6"/>
    </row>
    <row r="494" ht="14.25">
      <c r="B494" s="4" t="s">
        <v>1815</v>
      </c>
      <c r="C494" s="4" t="s">
        <v>3589</v>
      </c>
      <c r="D494" s="4" t="s">
        <v>247</v>
      </c>
      <c r="E494" s="4" t="s">
        <v>2707</v>
      </c>
      <c r="F494" s="4" t="str">
        <f>IFERROR(__XLUDF.DUMMYFUNCTION("PROPER(REGEXREPLACE(D479,""[^A-Za-z]+ "",""""))"),"Set On Invest")</f>
        <v xml:space="preserve">Set On Invest</v>
      </c>
      <c r="G494" s="4" t="s">
        <v>3590</v>
      </c>
      <c r="H494" s="4">
        <v>8</v>
      </c>
      <c r="I494" s="4" t="s">
        <v>36</v>
      </c>
      <c r="J494" s="5" t="s">
        <v>3591</v>
      </c>
      <c r="K494" s="5" t="s">
        <v>2710</v>
      </c>
      <c r="L494" s="6"/>
      <c r="M494" s="4" t="s">
        <v>29</v>
      </c>
      <c r="N494" s="4" t="s">
        <v>2711</v>
      </c>
      <c r="O494" s="4" t="s">
        <v>29</v>
      </c>
      <c r="P494" s="4" t="s">
        <v>2712</v>
      </c>
      <c r="Q494" s="6"/>
      <c r="R494" s="6"/>
      <c r="S494" s="6"/>
      <c r="T494" s="6"/>
      <c r="U494" s="6"/>
      <c r="V494" s="6"/>
      <c r="W494" s="6"/>
      <c r="X494" s="6"/>
      <c r="Y494" s="6"/>
    </row>
    <row r="495" ht="14.25">
      <c r="B495" s="4" t="s">
        <v>3592</v>
      </c>
      <c r="C495" s="4" t="s">
        <v>3593</v>
      </c>
      <c r="D495" s="4" t="s">
        <v>44</v>
      </c>
      <c r="E495" s="4" t="s">
        <v>3594</v>
      </c>
      <c r="F495" s="4" t="str">
        <f>IFERROR(__XLUDF.DUMMYFUNCTION("PROPER(REGEXREPLACE(D480,""[^A-Za-z]+ "",""""))"),"Boostable")</f>
        <v>Boostable</v>
      </c>
      <c r="G495" s="4" t="s">
        <v>3595</v>
      </c>
      <c r="H495" s="4">
        <v>15</v>
      </c>
      <c r="I495" s="4" t="s">
        <v>36</v>
      </c>
      <c r="J495" s="5" t="s">
        <v>3596</v>
      </c>
      <c r="K495" s="5" t="s">
        <v>3597</v>
      </c>
      <c r="L495" s="4" t="s">
        <v>39</v>
      </c>
      <c r="M495" s="4" t="s">
        <v>29</v>
      </c>
      <c r="N495" s="4" t="s">
        <v>3598</v>
      </c>
      <c r="O495" s="4" t="s">
        <v>29</v>
      </c>
      <c r="P495" s="6"/>
      <c r="Q495" s="6"/>
      <c r="R495" s="6"/>
      <c r="S495" s="6"/>
      <c r="T495" s="6"/>
      <c r="U495" s="6"/>
      <c r="V495" s="6"/>
      <c r="W495" s="6"/>
      <c r="X495" s="6"/>
      <c r="Y495" s="6"/>
    </row>
    <row r="496" ht="14.25">
      <c r="B496" s="4" t="s">
        <v>3599</v>
      </c>
      <c r="C496" s="4" t="s">
        <v>1783</v>
      </c>
      <c r="D496" s="4" t="s">
        <v>3600</v>
      </c>
      <c r="E496" s="4" t="s">
        <v>1784</v>
      </c>
      <c r="F496" s="4" t="str">
        <f>IFERROR(__XLUDF.DUMMYFUNCTION("PROPER(REGEXREPLACE(D481,""[^A-Za-z]+ "",""""))"),"Pied A Terre Paris")</f>
        <v xml:space="preserve">Pied A Terre Paris</v>
      </c>
      <c r="G496" s="4" t="s">
        <v>3601</v>
      </c>
      <c r="H496" s="4">
        <v>17</v>
      </c>
      <c r="I496" s="4" t="s">
        <v>36</v>
      </c>
      <c r="J496" s="5" t="s">
        <v>3602</v>
      </c>
      <c r="K496" s="5" t="s">
        <v>1787</v>
      </c>
      <c r="L496" s="4" t="s">
        <v>39</v>
      </c>
      <c r="M496" s="4" t="s">
        <v>29</v>
      </c>
      <c r="N496" s="4" t="s">
        <v>1788</v>
      </c>
      <c r="O496" s="4" t="s">
        <v>29</v>
      </c>
      <c r="P496" s="4" t="s">
        <v>1789</v>
      </c>
      <c r="Q496" s="6"/>
      <c r="R496" s="6"/>
      <c r="S496" s="6"/>
      <c r="T496" s="6"/>
      <c r="U496" s="6"/>
      <c r="V496" s="6"/>
      <c r="W496" s="6"/>
      <c r="X496" s="6"/>
      <c r="Y496" s="6"/>
    </row>
    <row r="497" ht="14.25">
      <c r="B497" s="4" t="s">
        <v>3603</v>
      </c>
      <c r="C497" s="4" t="s">
        <v>3604</v>
      </c>
      <c r="D497" s="4" t="s">
        <v>62</v>
      </c>
      <c r="E497" s="4" t="s">
        <v>3605</v>
      </c>
      <c r="F497" s="4" t="str">
        <f>IFERROR(__XLUDF.DUMMYFUNCTION("PROPER(REGEXREPLACE(D482,""[^A-Za-z]+ "",""""))"),"Gonnegirls Farm")</f>
        <v xml:space="preserve">Gonnegirls Farm</v>
      </c>
      <c r="G497" s="4" t="s">
        <v>3606</v>
      </c>
      <c r="H497" s="4">
        <v>17</v>
      </c>
      <c r="I497" s="4" t="s">
        <v>36</v>
      </c>
      <c r="J497" s="5" t="s">
        <v>3607</v>
      </c>
      <c r="K497" s="5" t="s">
        <v>3608</v>
      </c>
      <c r="L497" s="4" t="s">
        <v>39</v>
      </c>
      <c r="M497" s="4" t="s">
        <v>29</v>
      </c>
      <c r="N497" s="4" t="s">
        <v>67</v>
      </c>
      <c r="O497" s="4" t="s">
        <v>29</v>
      </c>
      <c r="P497" s="6"/>
      <c r="Q497" s="6"/>
      <c r="R497" s="6"/>
      <c r="S497" s="6"/>
      <c r="T497" s="6"/>
      <c r="U497" s="6"/>
      <c r="V497" s="6"/>
      <c r="W497" s="6"/>
      <c r="X497" s="6"/>
      <c r="Y497" s="6"/>
    </row>
    <row r="498" ht="14.25">
      <c r="B498" s="4" t="s">
        <v>3609</v>
      </c>
      <c r="C498" s="4" t="s">
        <v>3610</v>
      </c>
      <c r="D498" s="4" t="s">
        <v>3611</v>
      </c>
      <c r="E498" s="4" t="s">
        <v>3612</v>
      </c>
      <c r="F498" s="4" t="str">
        <f>IFERROR(__XLUDF.DUMMYFUNCTION("PROPER(REGEXREPLACE(D483,""[^A-Za-z]+ "",""""))"),"The Hotels Agency")</f>
        <v xml:space="preserve">The Hotels Agency</v>
      </c>
      <c r="G498" s="4" t="s">
        <v>3613</v>
      </c>
      <c r="H498" s="4">
        <v>54</v>
      </c>
      <c r="I498" s="4" t="s">
        <v>36</v>
      </c>
      <c r="J498" s="5" t="s">
        <v>3614</v>
      </c>
      <c r="K498" s="5" t="s">
        <v>3615</v>
      </c>
      <c r="L498" s="4" t="s">
        <v>39</v>
      </c>
      <c r="M498" s="4" t="s">
        <v>29</v>
      </c>
      <c r="N498" s="4" t="s">
        <v>3616</v>
      </c>
      <c r="O498" s="4" t="s">
        <v>29</v>
      </c>
      <c r="P498" s="6"/>
      <c r="Q498" s="6"/>
      <c r="R498" s="6"/>
      <c r="S498" s="6"/>
      <c r="T498" s="6"/>
      <c r="U498" s="6"/>
      <c r="V498" s="6"/>
      <c r="W498" s="6"/>
      <c r="X498" s="6"/>
      <c r="Y498" s="6"/>
    </row>
    <row r="499" ht="14.25">
      <c r="B499" s="4" t="s">
        <v>3617</v>
      </c>
      <c r="C499" s="4" t="s">
        <v>279</v>
      </c>
      <c r="D499" s="4" t="s">
        <v>87</v>
      </c>
      <c r="E499" s="4" t="s">
        <v>762</v>
      </c>
      <c r="F499" s="4" t="str">
        <f>IFERROR(__XLUDF.DUMMYFUNCTION("PROPER(REGEXREPLACE(D484,""[^A-Za-z]+ "",""""))"),"Gruppomimo")</f>
        <v>Gruppomimo</v>
      </c>
      <c r="G499" s="4" t="s">
        <v>3618</v>
      </c>
      <c r="H499" s="4">
        <v>49</v>
      </c>
      <c r="I499" s="4" t="s">
        <v>36</v>
      </c>
      <c r="J499" s="5" t="s">
        <v>3619</v>
      </c>
      <c r="K499" s="5" t="s">
        <v>765</v>
      </c>
      <c r="L499" s="6"/>
      <c r="M499" s="4" t="s">
        <v>29</v>
      </c>
      <c r="N499" s="4" t="s">
        <v>766</v>
      </c>
      <c r="O499" s="4" t="s">
        <v>29</v>
      </c>
      <c r="P499" s="4" t="s">
        <v>767</v>
      </c>
      <c r="Q499" s="6"/>
      <c r="R499" s="6"/>
      <c r="S499" s="6"/>
      <c r="T499" s="6"/>
      <c r="U499" s="6"/>
      <c r="V499" s="6"/>
      <c r="W499" s="6"/>
      <c r="X499" s="6"/>
      <c r="Y499" s="6"/>
    </row>
    <row r="500" ht="14.25">
      <c r="B500" s="4" t="s">
        <v>3620</v>
      </c>
      <c r="C500" s="4" t="s">
        <v>3621</v>
      </c>
      <c r="D500" s="4" t="s">
        <v>62</v>
      </c>
      <c r="E500" s="4" t="s">
        <v>3622</v>
      </c>
      <c r="F500" s="4" t="str">
        <f>IFERROR(__XLUDF.DUMMYFUNCTION("PROPER(REGEXREPLACE(D485,""[^A-Za-z]+ "",""""))"),"Mezzencore")</f>
        <v>Mezzencore</v>
      </c>
      <c r="G500" s="4" t="s">
        <v>3623</v>
      </c>
      <c r="H500" s="4">
        <v>4</v>
      </c>
      <c r="I500" s="4" t="s">
        <v>36</v>
      </c>
      <c r="J500" s="5" t="s">
        <v>3624</v>
      </c>
      <c r="K500" s="5" t="s">
        <v>3625</v>
      </c>
      <c r="L500" s="4" t="s">
        <v>39</v>
      </c>
      <c r="M500" s="4" t="s">
        <v>29</v>
      </c>
      <c r="N500" s="4" t="s">
        <v>3626</v>
      </c>
      <c r="O500" s="4" t="s">
        <v>29</v>
      </c>
      <c r="P500" s="4" t="s">
        <v>3627</v>
      </c>
      <c r="Q500" s="6"/>
      <c r="R500" s="6"/>
      <c r="S500" s="6"/>
      <c r="T500" s="6"/>
      <c r="U500" s="6"/>
      <c r="V500" s="6"/>
      <c r="W500" s="6"/>
      <c r="X500" s="6"/>
      <c r="Y500" s="6"/>
    </row>
    <row r="501" ht="14.25">
      <c r="B501" s="4" t="s">
        <v>1562</v>
      </c>
      <c r="C501" s="4" t="s">
        <v>3628</v>
      </c>
      <c r="D501" s="4" t="s">
        <v>120</v>
      </c>
      <c r="E501" s="4" t="s">
        <v>3629</v>
      </c>
      <c r="F501" s="4" t="str">
        <f>IFERROR(__XLUDF.DUMMYFUNCTION("PROPER(REGEXREPLACE(D486,""[^A-Za-z]+ "",""""))"),"Outwork")</f>
        <v>Outwork</v>
      </c>
      <c r="G501" s="4" t="s">
        <v>3630</v>
      </c>
      <c r="H501" s="4">
        <v>31</v>
      </c>
      <c r="I501" s="4" t="s">
        <v>25</v>
      </c>
      <c r="J501" s="5" t="s">
        <v>3631</v>
      </c>
      <c r="K501" s="5" t="s">
        <v>3632</v>
      </c>
      <c r="L501" s="6"/>
      <c r="M501" s="4" t="s">
        <v>29</v>
      </c>
      <c r="N501" s="4" t="s">
        <v>3633</v>
      </c>
      <c r="O501" s="4" t="s">
        <v>29</v>
      </c>
      <c r="P501" s="4" t="s">
        <v>3634</v>
      </c>
      <c r="Q501" s="6"/>
      <c r="R501" s="6"/>
      <c r="S501" s="6"/>
      <c r="T501" s="6"/>
      <c r="U501" s="6"/>
      <c r="V501" s="6"/>
      <c r="W501" s="6"/>
      <c r="X501" s="6"/>
      <c r="Y501" s="6"/>
    </row>
    <row r="502" ht="14.25">
      <c r="B502" s="4" t="s">
        <v>3635</v>
      </c>
      <c r="C502" s="4" t="s">
        <v>3636</v>
      </c>
      <c r="D502" s="4" t="s">
        <v>3637</v>
      </c>
      <c r="E502" s="4" t="s">
        <v>3638</v>
      </c>
      <c r="F502" s="4" t="str">
        <f>IFERROR(__XLUDF.DUMMYFUNCTION("PROPER(REGEXREPLACE(D487,""[^A-Za-z]+ "",""""))"),"Crispy Soul")</f>
        <v xml:space="preserve">Crispy Soul</v>
      </c>
      <c r="G502" s="4" t="s">
        <v>3639</v>
      </c>
      <c r="H502" s="4">
        <v>18</v>
      </c>
      <c r="I502" s="4" t="s">
        <v>36</v>
      </c>
      <c r="J502" s="5" t="s">
        <v>3640</v>
      </c>
      <c r="K502" s="5" t="s">
        <v>3641</v>
      </c>
      <c r="L502" s="4" t="s">
        <v>295</v>
      </c>
      <c r="M502" s="4" t="s">
        <v>29</v>
      </c>
      <c r="N502" s="4" t="s">
        <v>3642</v>
      </c>
      <c r="O502" s="4" t="s">
        <v>29</v>
      </c>
      <c r="P502" s="4" t="s">
        <v>3643</v>
      </c>
      <c r="Q502" s="6"/>
      <c r="R502" s="6"/>
      <c r="S502" s="6"/>
      <c r="T502" s="6"/>
      <c r="U502" s="6"/>
      <c r="V502" s="6"/>
      <c r="W502" s="6"/>
      <c r="X502" s="6"/>
      <c r="Y502" s="6"/>
    </row>
    <row r="503" ht="14.25">
      <c r="B503" s="4" t="s">
        <v>222</v>
      </c>
      <c r="C503" s="4" t="s">
        <v>3644</v>
      </c>
      <c r="D503" s="4" t="s">
        <v>120</v>
      </c>
      <c r="E503" s="4" t="s">
        <v>3645</v>
      </c>
      <c r="F503" s="4" t="str">
        <f>IFERROR(__XLUDF.DUMMYFUNCTION("PROPER(REGEXREPLACE(D488,""[^A-Za-z]+ "",""""))"),"Gf Hoteltravel Consulting")</f>
        <v xml:space="preserve">Gf Hoteltravel Consulting</v>
      </c>
      <c r="G503" s="4" t="s">
        <v>3646</v>
      </c>
      <c r="H503" s="4">
        <v>26</v>
      </c>
      <c r="I503" s="4" t="s">
        <v>36</v>
      </c>
      <c r="J503" s="5" t="s">
        <v>3647</v>
      </c>
      <c r="K503" s="5" t="s">
        <v>3648</v>
      </c>
      <c r="L503" s="4" t="s">
        <v>1312</v>
      </c>
      <c r="M503" s="4" t="s">
        <v>29</v>
      </c>
      <c r="N503" s="4" t="s">
        <v>3649</v>
      </c>
      <c r="O503" s="4" t="s">
        <v>29</v>
      </c>
      <c r="P503" s="4" t="s">
        <v>3650</v>
      </c>
      <c r="Q503" s="6"/>
      <c r="R503" s="6"/>
      <c r="S503" s="6"/>
      <c r="T503" s="6"/>
      <c r="U503" s="6"/>
      <c r="V503" s="6"/>
      <c r="W503" s="6"/>
      <c r="X503" s="6"/>
      <c r="Y503" s="6"/>
    </row>
    <row r="504" ht="14.25">
      <c r="B504" s="4" t="s">
        <v>3651</v>
      </c>
      <c r="C504" s="4" t="s">
        <v>3652</v>
      </c>
      <c r="D504" s="4" t="s">
        <v>365</v>
      </c>
      <c r="E504" s="4" t="s">
        <v>3653</v>
      </c>
      <c r="F504" s="4" t="str">
        <f>IFERROR(__XLUDF.DUMMYFUNCTION("PROPER(REGEXREPLACE(D489,""[^A-Za-z]+ "",""""))"),"Compagnie Hôtelière De Bagatelle")</f>
        <v xml:space="preserve">Compagnie Hôtelière De Bagatelle</v>
      </c>
      <c r="G504" s="4" t="s">
        <v>3654</v>
      </c>
      <c r="H504" s="4">
        <v>8</v>
      </c>
      <c r="I504" s="4" t="s">
        <v>36</v>
      </c>
      <c r="J504" s="5" t="s">
        <v>3655</v>
      </c>
      <c r="K504" s="5" t="s">
        <v>3656</v>
      </c>
      <c r="L504" s="4" t="s">
        <v>243</v>
      </c>
      <c r="M504" s="4" t="s">
        <v>29</v>
      </c>
      <c r="N504" s="4" t="s">
        <v>3657</v>
      </c>
      <c r="O504" s="4" t="s">
        <v>29</v>
      </c>
      <c r="P504" s="6"/>
      <c r="Q504" s="6"/>
      <c r="R504" s="6"/>
      <c r="S504" s="6"/>
      <c r="T504" s="6"/>
      <c r="U504" s="6"/>
      <c r="V504" s="6"/>
      <c r="W504" s="6"/>
      <c r="X504" s="6"/>
      <c r="Y504" s="6"/>
    </row>
    <row r="505" ht="14.25">
      <c r="B505" s="4" t="s">
        <v>3658</v>
      </c>
      <c r="C505" s="4" t="s">
        <v>3659</v>
      </c>
      <c r="D505" s="4" t="s">
        <v>198</v>
      </c>
      <c r="E505" s="4" t="s">
        <v>3660</v>
      </c>
      <c r="F505" s="4" t="str">
        <f>IFERROR(__XLUDF.DUMMYFUNCTION("PROPER(REGEXREPLACE(D490,""[^A-Za-z]+ "",""""))"),"France Hospitality Investment")</f>
        <v xml:space="preserve">France Hospitality Investment</v>
      </c>
      <c r="G505" s="4" t="s">
        <v>3661</v>
      </c>
      <c r="H505" s="4">
        <v>10</v>
      </c>
      <c r="I505" s="4" t="s">
        <v>25</v>
      </c>
      <c r="J505" s="5" t="s">
        <v>3662</v>
      </c>
      <c r="K505" s="5" t="s">
        <v>3663</v>
      </c>
      <c r="L505" s="4" t="s">
        <v>774</v>
      </c>
      <c r="M505" s="4" t="s">
        <v>29</v>
      </c>
      <c r="N505" s="4" t="s">
        <v>3664</v>
      </c>
      <c r="O505" s="4" t="s">
        <v>29</v>
      </c>
      <c r="P505" s="4" t="s">
        <v>3665</v>
      </c>
      <c r="Q505" s="6"/>
      <c r="R505" s="6"/>
      <c r="S505" s="6"/>
      <c r="T505" s="6"/>
      <c r="U505" s="6"/>
      <c r="V505" s="6"/>
      <c r="W505" s="6"/>
      <c r="X505" s="6"/>
      <c r="Y505" s="6"/>
    </row>
    <row r="506" ht="14.25">
      <c r="B506" s="4" t="s">
        <v>298</v>
      </c>
      <c r="C506" s="4" t="s">
        <v>3666</v>
      </c>
      <c r="D506" s="4" t="s">
        <v>3667</v>
      </c>
      <c r="E506" s="4" t="s">
        <v>3668</v>
      </c>
      <c r="F506" s="4" t="str">
        <f>IFERROR(__XLUDF.DUMMYFUNCTION("PROPER(REGEXREPLACE(D491,""[^A-Za-z]+ "",""""))"),"Le Général Hôtel")</f>
        <v xml:space="preserve">Le Général Hôtel</v>
      </c>
      <c r="G506" s="4" t="s">
        <v>3669</v>
      </c>
      <c r="H506" s="4">
        <v>10</v>
      </c>
      <c r="I506" s="4" t="s">
        <v>25</v>
      </c>
      <c r="J506" s="5" t="s">
        <v>3670</v>
      </c>
      <c r="K506" s="5" t="s">
        <v>3671</v>
      </c>
      <c r="L506" s="4" t="s">
        <v>846</v>
      </c>
      <c r="M506" s="4" t="s">
        <v>29</v>
      </c>
      <c r="N506" s="4" t="s">
        <v>3672</v>
      </c>
      <c r="O506" s="4" t="s">
        <v>29</v>
      </c>
      <c r="P506" s="6"/>
      <c r="Q506" s="6"/>
      <c r="R506" s="6"/>
      <c r="S506" s="6"/>
      <c r="T506" s="6"/>
      <c r="U506" s="6"/>
      <c r="V506" s="6"/>
      <c r="W506" s="6"/>
      <c r="X506" s="6"/>
      <c r="Y506" s="6"/>
    </row>
    <row r="507" ht="14.25">
      <c r="B507" s="4" t="s">
        <v>3673</v>
      </c>
      <c r="C507" s="4" t="s">
        <v>3674</v>
      </c>
      <c r="D507" s="4" t="s">
        <v>87</v>
      </c>
      <c r="E507" s="4" t="s">
        <v>3675</v>
      </c>
      <c r="F507" s="4" t="str">
        <f>IFERROR(__XLUDF.DUMMYFUNCTION("PROPER(REGEXREPLACE(D492,""[^A-Za-z]+ "",""""))"),"Les Cuistots Migrateurs")</f>
        <v xml:space="preserve">Les Cuistots Migrateurs</v>
      </c>
      <c r="G507" s="4" t="s">
        <v>3676</v>
      </c>
      <c r="H507" s="4">
        <v>5</v>
      </c>
      <c r="I507" s="4" t="s">
        <v>36</v>
      </c>
      <c r="J507" s="5" t="s">
        <v>3677</v>
      </c>
      <c r="K507" s="5" t="s">
        <v>3678</v>
      </c>
      <c r="L507" s="4" t="s">
        <v>39</v>
      </c>
      <c r="M507" s="4" t="s">
        <v>29</v>
      </c>
      <c r="N507" s="4" t="s">
        <v>3679</v>
      </c>
      <c r="O507" s="4" t="s">
        <v>29</v>
      </c>
      <c r="P507" s="6"/>
      <c r="Q507" s="6"/>
      <c r="R507" s="6"/>
      <c r="S507" s="6"/>
      <c r="T507" s="6"/>
      <c r="U507" s="6"/>
      <c r="V507" s="6"/>
      <c r="W507" s="6"/>
      <c r="X507" s="6"/>
      <c r="Y507" s="6"/>
    </row>
    <row r="508" ht="14.25">
      <c r="B508" s="4" t="s">
        <v>1324</v>
      </c>
      <c r="C508" s="4" t="s">
        <v>3680</v>
      </c>
      <c r="D508" s="4" t="s">
        <v>172</v>
      </c>
      <c r="E508" s="4" t="s">
        <v>3681</v>
      </c>
      <c r="F508" s="4" t="str">
        <f>IFERROR(__XLUDF.DUMMYFUNCTION("PROPER(REGEXREPLACE(D493,""[^A-Za-z]+ "",""""))"),"Tigermilk Group")</f>
        <v xml:space="preserve">Tigermilk Group</v>
      </c>
      <c r="G508" s="4" t="s">
        <v>3682</v>
      </c>
      <c r="H508" s="4">
        <v>7</v>
      </c>
      <c r="I508" s="4" t="s">
        <v>25</v>
      </c>
      <c r="J508" s="5" t="s">
        <v>3683</v>
      </c>
      <c r="K508" s="5" t="s">
        <v>3684</v>
      </c>
      <c r="L508" s="4" t="s">
        <v>3685</v>
      </c>
      <c r="M508" s="4" t="s">
        <v>29</v>
      </c>
      <c r="N508" s="4" t="s">
        <v>3686</v>
      </c>
      <c r="O508" s="4" t="s">
        <v>29</v>
      </c>
      <c r="P508" s="4" t="s">
        <v>3687</v>
      </c>
      <c r="Q508" s="6"/>
      <c r="R508" s="6"/>
      <c r="S508" s="6"/>
      <c r="T508" s="6"/>
      <c r="U508" s="6"/>
      <c r="V508" s="6"/>
      <c r="W508" s="6"/>
      <c r="X508" s="6"/>
      <c r="Y508" s="6"/>
    </row>
    <row r="509" ht="14.25">
      <c r="B509" s="4" t="s">
        <v>2119</v>
      </c>
      <c r="C509" s="4" t="s">
        <v>3688</v>
      </c>
      <c r="D509" s="4" t="s">
        <v>172</v>
      </c>
      <c r="E509" s="4" t="s">
        <v>3689</v>
      </c>
      <c r="F509" s="4" t="str">
        <f>IFERROR(__XLUDF.DUMMYFUNCTION("PROPER(REGEXREPLACE(D494,""[^A-Za-z]+ "",""""))"),"The Cali Sisters")</f>
        <v xml:space="preserve">The Cali Sisters</v>
      </c>
      <c r="G509" s="4" t="s">
        <v>3690</v>
      </c>
      <c r="H509" s="4">
        <v>57</v>
      </c>
      <c r="I509" s="4" t="s">
        <v>25</v>
      </c>
      <c r="J509" s="5" t="s">
        <v>3691</v>
      </c>
      <c r="K509" s="5" t="s">
        <v>3692</v>
      </c>
      <c r="L509" s="4" t="s">
        <v>39</v>
      </c>
      <c r="M509" s="4" t="s">
        <v>29</v>
      </c>
      <c r="N509" s="4" t="s">
        <v>3693</v>
      </c>
      <c r="O509" s="4" t="s">
        <v>29</v>
      </c>
      <c r="P509" s="4" t="s">
        <v>3694</v>
      </c>
      <c r="Q509" s="6"/>
      <c r="R509" s="6"/>
      <c r="S509" s="6"/>
      <c r="T509" s="6"/>
      <c r="U509" s="6"/>
      <c r="V509" s="6"/>
      <c r="W509" s="6"/>
      <c r="X509" s="6"/>
      <c r="Y509" s="6"/>
    </row>
    <row r="510" ht="14.25">
      <c r="B510" s="4" t="s">
        <v>2503</v>
      </c>
      <c r="C510" s="4" t="s">
        <v>3695</v>
      </c>
      <c r="D510" s="4" t="s">
        <v>2939</v>
      </c>
      <c r="E510" s="4" t="s">
        <v>3696</v>
      </c>
      <c r="F510" s="4" t="str">
        <f>IFERROR(__XLUDF.DUMMYFUNCTION("PROPER(REGEXREPLACE(D495,""[^A-Za-z]+ "",""""))"),"Le Camion Qui Fume")</f>
        <v xml:space="preserve">Le Camion Qui Fume</v>
      </c>
      <c r="G510" s="4" t="s">
        <v>3697</v>
      </c>
      <c r="H510" s="4">
        <v>46</v>
      </c>
      <c r="I510" s="4" t="s">
        <v>25</v>
      </c>
      <c r="J510" s="5" t="s">
        <v>3698</v>
      </c>
      <c r="K510" s="5" t="s">
        <v>3699</v>
      </c>
      <c r="L510" s="4" t="s">
        <v>3700</v>
      </c>
      <c r="M510" s="4" t="s">
        <v>29</v>
      </c>
      <c r="N510" s="4" t="s">
        <v>3701</v>
      </c>
      <c r="O510" s="4" t="s">
        <v>29</v>
      </c>
      <c r="P510" s="4" t="s">
        <v>1561</v>
      </c>
      <c r="Q510" s="6"/>
      <c r="R510" s="6"/>
      <c r="S510" s="6"/>
      <c r="T510" s="6"/>
      <c r="U510" s="6"/>
      <c r="V510" s="6"/>
      <c r="W510" s="6"/>
      <c r="X510" s="6"/>
      <c r="Y510" s="6"/>
    </row>
    <row r="511" ht="14.25">
      <c r="B511" s="4" t="s">
        <v>3702</v>
      </c>
      <c r="C511" s="4" t="s">
        <v>3703</v>
      </c>
      <c r="D511" s="4" t="s">
        <v>3704</v>
      </c>
      <c r="E511" s="4" t="s">
        <v>3705</v>
      </c>
      <c r="F511" s="4" t="str">
        <f>IFERROR(__XLUDF.DUMMYFUNCTION("PROPER(REGEXREPLACE(D496,""[^A-Za-z]+ "",""""))"),"Rosaparks")</f>
        <v>Rosaparks</v>
      </c>
      <c r="G511" s="4" t="s">
        <v>3706</v>
      </c>
      <c r="H511" s="4">
        <v>8</v>
      </c>
      <c r="I511" s="4" t="s">
        <v>25</v>
      </c>
      <c r="J511" s="5" t="s">
        <v>3707</v>
      </c>
      <c r="K511" s="5" t="s">
        <v>3708</v>
      </c>
      <c r="L511" s="4" t="s">
        <v>3709</v>
      </c>
      <c r="M511" s="4" t="s">
        <v>29</v>
      </c>
      <c r="N511" s="4" t="s">
        <v>3710</v>
      </c>
      <c r="O511" s="4" t="s">
        <v>29</v>
      </c>
      <c r="P511" s="6"/>
      <c r="Q511" s="6"/>
      <c r="R511" s="6"/>
      <c r="S511" s="6"/>
      <c r="T511" s="6"/>
      <c r="U511" s="6"/>
      <c r="V511" s="6"/>
      <c r="W511" s="6"/>
      <c r="X511" s="6"/>
      <c r="Y511" s="6"/>
    </row>
    <row r="512" ht="14.25">
      <c r="B512" s="4" t="s">
        <v>971</v>
      </c>
      <c r="C512" s="4" t="s">
        <v>3711</v>
      </c>
      <c r="D512" s="4" t="s">
        <v>3712</v>
      </c>
      <c r="E512" s="4" t="s">
        <v>3713</v>
      </c>
      <c r="F512" s="4" t="str">
        <f>IFERROR(__XLUDF.DUMMYFUNCTION("PROPER(REGEXREPLACE(D497,""[^A-Za-z]+ "",""""))"),"Bonne Table")</f>
        <v xml:space="preserve">Bonne Table</v>
      </c>
      <c r="G512" s="4" t="s">
        <v>3714</v>
      </c>
      <c r="H512" s="4">
        <v>10</v>
      </c>
      <c r="I512" s="4" t="s">
        <v>36</v>
      </c>
      <c r="J512" s="5" t="s">
        <v>3715</v>
      </c>
      <c r="K512" s="5" t="s">
        <v>3716</v>
      </c>
      <c r="L512" s="6"/>
      <c r="M512" s="4" t="s">
        <v>29</v>
      </c>
      <c r="N512" s="4" t="s">
        <v>3717</v>
      </c>
      <c r="O512" s="4" t="s">
        <v>29</v>
      </c>
      <c r="P512" s="4" t="s">
        <v>3718</v>
      </c>
      <c r="Q512" s="6"/>
      <c r="R512" s="6"/>
      <c r="S512" s="6"/>
      <c r="T512" s="6"/>
      <c r="U512" s="6"/>
      <c r="V512" s="6"/>
      <c r="W512" s="6"/>
      <c r="X512" s="6"/>
      <c r="Y512" s="6"/>
    </row>
    <row r="513" ht="14.25">
      <c r="B513" s="4" t="s">
        <v>785</v>
      </c>
      <c r="C513" s="4" t="s">
        <v>3719</v>
      </c>
      <c r="D513" s="4" t="s">
        <v>3720</v>
      </c>
      <c r="E513" s="4" t="s">
        <v>3721</v>
      </c>
      <c r="F513" s="4" t="str">
        <f>IFERROR(__XLUDF.DUMMYFUNCTION("PROPER(REGEXREPLACE(D498,""[^A-Za-z]+ "",""""))"),"Yeeels Group Verde")</f>
        <v xml:space="preserve">Yeeels Group Verde</v>
      </c>
      <c r="G513" s="4" t="s">
        <v>3722</v>
      </c>
      <c r="H513" s="4">
        <v>6</v>
      </c>
      <c r="I513" s="4" t="s">
        <v>25</v>
      </c>
      <c r="J513" s="5" t="s">
        <v>3723</v>
      </c>
      <c r="K513" s="5" t="s">
        <v>3724</v>
      </c>
      <c r="L513" s="4" t="s">
        <v>185</v>
      </c>
      <c r="M513" s="4" t="s">
        <v>29</v>
      </c>
      <c r="N513" s="4" t="s">
        <v>3725</v>
      </c>
      <c r="O513" s="4" t="s">
        <v>29</v>
      </c>
      <c r="P513" s="6"/>
      <c r="Q513" s="6"/>
      <c r="R513" s="6"/>
      <c r="S513" s="6"/>
      <c r="T513" s="6"/>
      <c r="U513" s="6"/>
      <c r="V513" s="6"/>
      <c r="W513" s="6"/>
      <c r="X513" s="6"/>
      <c r="Y513" s="6"/>
    </row>
    <row r="514" ht="14.25">
      <c r="B514" s="4" t="s">
        <v>1198</v>
      </c>
      <c r="C514" s="4" t="s">
        <v>3726</v>
      </c>
      <c r="D514" s="4" t="s">
        <v>120</v>
      </c>
      <c r="E514" s="4" t="s">
        <v>973</v>
      </c>
      <c r="F514" s="4" t="str">
        <f>IFERROR(__XLUDF.DUMMYFUNCTION("PROPER(REGEXREPLACE(D499,""[^A-Za-z]+ "",""""))"),"Cala")</f>
        <v>Cala</v>
      </c>
      <c r="G514" s="4" t="s">
        <v>3727</v>
      </c>
      <c r="H514" s="4">
        <v>36</v>
      </c>
      <c r="I514" s="4" t="s">
        <v>36</v>
      </c>
      <c r="J514" s="5" t="s">
        <v>3728</v>
      </c>
      <c r="K514" s="5" t="s">
        <v>976</v>
      </c>
      <c r="L514" s="4" t="s">
        <v>3729</v>
      </c>
      <c r="M514" s="4" t="s">
        <v>29</v>
      </c>
      <c r="N514" s="4" t="s">
        <v>977</v>
      </c>
      <c r="O514" s="4" t="s">
        <v>29</v>
      </c>
      <c r="P514" s="4" t="s">
        <v>978</v>
      </c>
      <c r="Q514" s="6"/>
      <c r="R514" s="6"/>
      <c r="S514" s="6"/>
      <c r="T514" s="6"/>
      <c r="U514" s="6"/>
      <c r="V514" s="6"/>
      <c r="W514" s="6"/>
      <c r="X514" s="6"/>
      <c r="Y514" s="6"/>
    </row>
    <row r="515" ht="14.25">
      <c r="B515" s="4" t="s">
        <v>110</v>
      </c>
      <c r="C515" s="4" t="s">
        <v>3730</v>
      </c>
      <c r="D515" s="4" t="s">
        <v>172</v>
      </c>
      <c r="E515" s="4" t="s">
        <v>3731</v>
      </c>
      <c r="F515" s="4" t="str">
        <f>IFERROR(__XLUDF.DUMMYFUNCTION("PROPER(REGEXREPLACE(D500,""[^A-Za-z]+ "",""""))"),"For The Love Of Food Paris")</f>
        <v xml:space="preserve">For The Love Of Food Paris</v>
      </c>
      <c r="G515" s="4" t="s">
        <v>3732</v>
      </c>
      <c r="H515" s="4">
        <v>13</v>
      </c>
      <c r="I515" s="4" t="s">
        <v>25</v>
      </c>
      <c r="J515" s="5" t="s">
        <v>3733</v>
      </c>
      <c r="K515" s="5" t="s">
        <v>3734</v>
      </c>
      <c r="L515" s="4" t="s">
        <v>39</v>
      </c>
      <c r="M515" s="4" t="s">
        <v>29</v>
      </c>
      <c r="N515" s="4" t="s">
        <v>3735</v>
      </c>
      <c r="O515" s="4" t="s">
        <v>29</v>
      </c>
      <c r="P515" s="4" t="s">
        <v>3736</v>
      </c>
      <c r="Q515" s="6"/>
      <c r="R515" s="6"/>
      <c r="S515" s="6"/>
      <c r="T515" s="6"/>
      <c r="U515" s="6"/>
      <c r="V515" s="6"/>
      <c r="W515" s="6"/>
      <c r="X515" s="6"/>
      <c r="Y515" s="6"/>
    </row>
    <row r="516" ht="14.25">
      <c r="B516" s="4" t="s">
        <v>539</v>
      </c>
      <c r="C516" s="4" t="s">
        <v>3737</v>
      </c>
      <c r="D516" s="4" t="s">
        <v>44</v>
      </c>
      <c r="E516" s="4" t="s">
        <v>3738</v>
      </c>
      <c r="F516" s="4" t="str">
        <f>IFERROR(__XLUDF.DUMMYFUNCTION("PROPER(REGEXREPLACE(D501,""[^A-Za-z]+ "",""""))"),"Coucoo Cabanes")</f>
        <v xml:space="preserve">Coucoo Cabanes</v>
      </c>
      <c r="G516" s="4" t="s">
        <v>3739</v>
      </c>
      <c r="H516" s="4">
        <v>5</v>
      </c>
      <c r="I516" s="4" t="s">
        <v>36</v>
      </c>
      <c r="J516" s="5" t="s">
        <v>3740</v>
      </c>
      <c r="K516" s="5" t="s">
        <v>3741</v>
      </c>
      <c r="L516" s="4" t="s">
        <v>185</v>
      </c>
      <c r="M516" s="4" t="s">
        <v>29</v>
      </c>
      <c r="N516" s="4" t="s">
        <v>3742</v>
      </c>
      <c r="O516" s="4" t="s">
        <v>29</v>
      </c>
      <c r="P516" s="4" t="s">
        <v>3743</v>
      </c>
      <c r="Q516" s="6"/>
      <c r="R516" s="6"/>
      <c r="S516" s="6"/>
      <c r="T516" s="6"/>
      <c r="U516" s="6"/>
      <c r="V516" s="6"/>
      <c r="W516" s="6"/>
      <c r="X516" s="6"/>
      <c r="Y516" s="6"/>
    </row>
    <row r="517" ht="14.25">
      <c r="B517" s="4" t="s">
        <v>3744</v>
      </c>
      <c r="C517" s="4" t="s">
        <v>3745</v>
      </c>
      <c r="D517" s="4" t="s">
        <v>247</v>
      </c>
      <c r="E517" s="4" t="s">
        <v>3746</v>
      </c>
      <c r="F517" s="4" t="str">
        <f>IFERROR(__XLUDF.DUMMYFUNCTION("PROPER(REGEXREPLACE(D502,""[^A-Za-z]+ "",""""))"),"La Place Des Canailles")</f>
        <v xml:space="preserve">La Place Des Canailles</v>
      </c>
      <c r="G517" s="4" t="s">
        <v>3747</v>
      </c>
      <c r="H517" s="4">
        <v>8</v>
      </c>
      <c r="I517" s="4" t="s">
        <v>36</v>
      </c>
      <c r="J517" s="5" t="s">
        <v>3748</v>
      </c>
      <c r="K517" s="5" t="s">
        <v>3749</v>
      </c>
      <c r="L517" s="4" t="s">
        <v>3750</v>
      </c>
      <c r="M517" s="4" t="s">
        <v>29</v>
      </c>
      <c r="N517" s="4" t="s">
        <v>29</v>
      </c>
      <c r="O517" s="4" t="s">
        <v>29</v>
      </c>
      <c r="P517" s="4" t="s">
        <v>3751</v>
      </c>
      <c r="Q517" s="6"/>
      <c r="R517" s="6"/>
      <c r="S517" s="6"/>
      <c r="T517" s="6"/>
      <c r="U517" s="6"/>
      <c r="V517" s="6"/>
      <c r="W517" s="6"/>
      <c r="X517" s="6"/>
      <c r="Y517" s="6"/>
    </row>
    <row r="518" ht="14.25">
      <c r="B518" s="4" t="s">
        <v>3752</v>
      </c>
      <c r="C518" s="4" t="s">
        <v>3753</v>
      </c>
      <c r="D518" s="4" t="s">
        <v>3754</v>
      </c>
      <c r="E518" s="4" t="s">
        <v>3755</v>
      </c>
      <c r="F518" s="4" t="str">
        <f>IFERROR(__XLUDF.DUMMYFUNCTION("PROPER(REGEXREPLACE(D503,""[^A-Za-z]+ "",""""))"),"Baresto")</f>
        <v>Baresto</v>
      </c>
      <c r="G518" s="4" t="s">
        <v>3756</v>
      </c>
      <c r="H518" s="4">
        <v>10</v>
      </c>
      <c r="I518" s="4" t="s">
        <v>25</v>
      </c>
      <c r="J518" s="5" t="s">
        <v>3757</v>
      </c>
      <c r="K518" s="5" t="s">
        <v>3758</v>
      </c>
      <c r="L518" s="4" t="s">
        <v>1015</v>
      </c>
      <c r="M518" s="4" t="s">
        <v>29</v>
      </c>
      <c r="N518" s="4" t="s">
        <v>3759</v>
      </c>
      <c r="O518" s="4" t="s">
        <v>29</v>
      </c>
      <c r="P518" s="4" t="s">
        <v>3760</v>
      </c>
      <c r="Q518" s="6"/>
      <c r="R518" s="6"/>
      <c r="S518" s="6"/>
      <c r="T518" s="6"/>
      <c r="U518" s="6"/>
      <c r="V518" s="6"/>
      <c r="W518" s="6"/>
      <c r="X518" s="6"/>
      <c r="Y518" s="6"/>
    </row>
    <row r="519" ht="14.25">
      <c r="B519" s="4" t="s">
        <v>3744</v>
      </c>
      <c r="C519" s="4" t="s">
        <v>3761</v>
      </c>
      <c r="D519" s="4" t="s">
        <v>3762</v>
      </c>
      <c r="E519" s="4" t="s">
        <v>3159</v>
      </c>
      <c r="F519" s="4" t="str">
        <f>IFERROR(__XLUDF.DUMMYFUNCTION("PROPER(REGEXREPLACE(D504,""[^A-Za-z]+ "",""""))"),"Marie Curry")</f>
        <v xml:space="preserve">Marie Curry</v>
      </c>
      <c r="G519" s="4" t="s">
        <v>3763</v>
      </c>
      <c r="H519" s="4">
        <v>20</v>
      </c>
      <c r="I519" s="4" t="s">
        <v>25</v>
      </c>
      <c r="J519" s="5" t="s">
        <v>3764</v>
      </c>
      <c r="K519" s="5" t="s">
        <v>3162</v>
      </c>
      <c r="L519" s="4" t="s">
        <v>39</v>
      </c>
      <c r="M519" s="4" t="s">
        <v>29</v>
      </c>
      <c r="N519" s="4" t="s">
        <v>3163</v>
      </c>
      <c r="O519" s="4" t="s">
        <v>29</v>
      </c>
      <c r="P519" s="6"/>
      <c r="Q519" s="6"/>
      <c r="R519" s="6"/>
      <c r="S519" s="6"/>
      <c r="T519" s="6"/>
      <c r="U519" s="6"/>
      <c r="V519" s="6"/>
      <c r="W519" s="6"/>
      <c r="X519" s="6"/>
      <c r="Y519" s="6"/>
    </row>
    <row r="520" ht="14.25">
      <c r="B520" s="4" t="s">
        <v>908</v>
      </c>
      <c r="C520" s="4" t="s">
        <v>3765</v>
      </c>
      <c r="D520" s="4" t="s">
        <v>3766</v>
      </c>
      <c r="E520" s="4" t="s">
        <v>3767</v>
      </c>
      <c r="F520" s="4" t="str">
        <f>IFERROR(__XLUDF.DUMMYFUNCTION("PROPER(REGEXREPLACE(D505,""[^A-Za-z]+ "",""""))"),"Maison Fenestraz")</f>
        <v xml:space="preserve">Maison Fenestraz</v>
      </c>
      <c r="G520" s="4" t="s">
        <v>3768</v>
      </c>
      <c r="H520" s="4">
        <v>3</v>
      </c>
      <c r="I520" s="4" t="s">
        <v>25</v>
      </c>
      <c r="J520" s="5" t="s">
        <v>3769</v>
      </c>
      <c r="K520" s="5" t="s">
        <v>3770</v>
      </c>
      <c r="L520" s="4" t="s">
        <v>3771</v>
      </c>
      <c r="M520" s="4" t="s">
        <v>29</v>
      </c>
      <c r="N520" s="4" t="s">
        <v>3772</v>
      </c>
      <c r="O520" s="4" t="s">
        <v>29</v>
      </c>
      <c r="P520" s="4" t="s">
        <v>3773</v>
      </c>
      <c r="Q520" s="6"/>
      <c r="R520" s="6"/>
      <c r="S520" s="6"/>
      <c r="T520" s="6"/>
      <c r="U520" s="6"/>
      <c r="V520" s="6"/>
      <c r="W520" s="6"/>
      <c r="X520" s="6"/>
      <c r="Y520" s="6"/>
    </row>
    <row r="521" ht="14.25">
      <c r="B521" s="4" t="s">
        <v>355</v>
      </c>
      <c r="C521" s="4" t="s">
        <v>3774</v>
      </c>
      <c r="D521" s="4" t="s">
        <v>3775</v>
      </c>
      <c r="E521" s="4" t="s">
        <v>2260</v>
      </c>
      <c r="F521" s="4" t="str">
        <f>IFERROR(__XLUDF.DUMMYFUNCTION("PROPER(REGEXREPLACE(D506,""[^A-Za-z]+ "",""""))"),"Moxy Lille City")</f>
        <v xml:space="preserve">Moxy Lille City</v>
      </c>
      <c r="G521" s="4" t="s">
        <v>3776</v>
      </c>
      <c r="H521" s="4">
        <v>10</v>
      </c>
      <c r="I521" s="4" t="s">
        <v>25</v>
      </c>
      <c r="J521" s="5" t="s">
        <v>3777</v>
      </c>
      <c r="K521" s="5" t="s">
        <v>2263</v>
      </c>
      <c r="L521" s="4" t="s">
        <v>39</v>
      </c>
      <c r="M521" s="4" t="s">
        <v>29</v>
      </c>
      <c r="N521" s="4" t="s">
        <v>67</v>
      </c>
      <c r="O521" s="4" t="s">
        <v>29</v>
      </c>
      <c r="P521" s="4" t="s">
        <v>2264</v>
      </c>
      <c r="Q521" s="6"/>
      <c r="R521" s="6"/>
      <c r="S521" s="6"/>
      <c r="T521" s="6"/>
      <c r="U521" s="6"/>
      <c r="V521" s="6"/>
      <c r="W521" s="6"/>
      <c r="X521" s="6"/>
      <c r="Y521" s="6"/>
    </row>
    <row r="522" ht="14.25">
      <c r="B522" s="4" t="s">
        <v>3778</v>
      </c>
      <c r="C522" s="4" t="s">
        <v>3397</v>
      </c>
      <c r="D522" s="4" t="s">
        <v>62</v>
      </c>
      <c r="E522" s="4" t="s">
        <v>3399</v>
      </c>
      <c r="F522" s="4" t="str">
        <f>IFERROR(__XLUDF.DUMMYFUNCTION("PROPER(REGEXREPLACE(D507,""[^A-Za-z]+ "",""""))"),"Noam Paris✨")</f>
        <v xml:space="preserve">Noam Paris✨</v>
      </c>
      <c r="G522" s="4" t="s">
        <v>3779</v>
      </c>
      <c r="H522" s="4">
        <v>40</v>
      </c>
      <c r="I522" s="4" t="s">
        <v>36</v>
      </c>
      <c r="J522" s="5" t="s">
        <v>3780</v>
      </c>
      <c r="K522" s="5" t="s">
        <v>3402</v>
      </c>
      <c r="L522" s="4" t="s">
        <v>39</v>
      </c>
      <c r="M522" s="4" t="s">
        <v>29</v>
      </c>
      <c r="N522" s="4" t="s">
        <v>3403</v>
      </c>
      <c r="O522" s="4" t="s">
        <v>29</v>
      </c>
      <c r="P522" s="6"/>
      <c r="Q522" s="6"/>
      <c r="R522" s="6"/>
      <c r="S522" s="6"/>
      <c r="T522" s="6"/>
      <c r="U522" s="6"/>
      <c r="V522" s="6"/>
      <c r="W522" s="6"/>
      <c r="X522" s="6"/>
      <c r="Y522" s="6"/>
    </row>
    <row r="523" ht="14.25">
      <c r="B523" s="4" t="s">
        <v>3781</v>
      </c>
      <c r="C523" s="4" t="s">
        <v>3782</v>
      </c>
      <c r="D523" s="4" t="s">
        <v>3783</v>
      </c>
      <c r="E523" s="4" t="s">
        <v>3784</v>
      </c>
      <c r="F523" s="4" t="str">
        <f>IFERROR(__XLUDF.DUMMYFUNCTION("PROPER(REGEXREPLACE(D508,""[^A-Za-z]+ "",""""))"),"Hôtel Christiania")</f>
        <v xml:space="preserve">Hôtel Christiania</v>
      </c>
      <c r="G523" s="4" t="s">
        <v>3785</v>
      </c>
      <c r="H523" s="4">
        <v>10</v>
      </c>
      <c r="I523" s="4" t="s">
        <v>36</v>
      </c>
      <c r="J523" s="5" t="s">
        <v>3786</v>
      </c>
      <c r="K523" s="5" t="s">
        <v>3787</v>
      </c>
      <c r="L523" s="4" t="s">
        <v>39</v>
      </c>
      <c r="M523" s="4" t="s">
        <v>29</v>
      </c>
      <c r="N523" s="4" t="s">
        <v>3788</v>
      </c>
      <c r="O523" s="4" t="s">
        <v>29</v>
      </c>
      <c r="P523" s="6"/>
      <c r="Q523" s="6"/>
      <c r="R523" s="6"/>
      <c r="S523" s="6"/>
      <c r="T523" s="6"/>
      <c r="U523" s="6"/>
      <c r="V523" s="6"/>
      <c r="W523" s="6"/>
      <c r="X523" s="6"/>
      <c r="Y523" s="6"/>
    </row>
    <row r="524" ht="14.25">
      <c r="B524" s="4" t="s">
        <v>76</v>
      </c>
      <c r="C524" s="4" t="s">
        <v>3789</v>
      </c>
      <c r="D524" s="4" t="s">
        <v>3790</v>
      </c>
      <c r="E524" s="4" t="s">
        <v>3791</v>
      </c>
      <c r="F524" s="4" t="str">
        <f>IFERROR(__XLUDF.DUMMYFUNCTION("PROPER(REGEXREPLACE(D509,""[^A-Za-z]+ "",""""))"),"Les Etangs De Corot")</f>
        <v xml:space="preserve">Les Etangs De Corot</v>
      </c>
      <c r="G524" s="4" t="s">
        <v>3792</v>
      </c>
      <c r="H524" s="4">
        <v>4</v>
      </c>
      <c r="I524" s="4" t="s">
        <v>25</v>
      </c>
      <c r="J524" s="5" t="s">
        <v>3793</v>
      </c>
      <c r="K524" s="5" t="s">
        <v>3794</v>
      </c>
      <c r="L524" s="4" t="s">
        <v>39</v>
      </c>
      <c r="M524" s="4" t="s">
        <v>29</v>
      </c>
      <c r="N524" s="4" t="s">
        <v>3795</v>
      </c>
      <c r="O524" s="4" t="s">
        <v>29</v>
      </c>
      <c r="P524" s="4" t="s">
        <v>3796</v>
      </c>
      <c r="Q524" s="6"/>
      <c r="R524" s="6"/>
      <c r="S524" s="6"/>
      <c r="T524" s="6"/>
      <c r="U524" s="6"/>
      <c r="V524" s="6"/>
      <c r="W524" s="6"/>
      <c r="X524" s="6"/>
      <c r="Y524" s="6"/>
    </row>
    <row r="525" ht="14.25">
      <c r="B525" s="4" t="s">
        <v>3797</v>
      </c>
      <c r="C525" s="4" t="s">
        <v>3798</v>
      </c>
      <c r="D525" s="4" t="s">
        <v>44</v>
      </c>
      <c r="E525" s="4" t="s">
        <v>3799</v>
      </c>
      <c r="F525" s="4" t="str">
        <f>IFERROR(__XLUDF.DUMMYFUNCTION("PROPER(REGEXREPLACE(D510,""[^A-Za-z]+ "",""""))"),"Hotel Crillon Le Brave")</f>
        <v xml:space="preserve">Hotel Crillon Le Brave</v>
      </c>
      <c r="G525" s="4" t="s">
        <v>3800</v>
      </c>
      <c r="H525" s="4">
        <v>1</v>
      </c>
      <c r="I525" s="4" t="s">
        <v>25</v>
      </c>
      <c r="J525" s="5" t="s">
        <v>3801</v>
      </c>
      <c r="K525" s="5" t="s">
        <v>3802</v>
      </c>
      <c r="L525" s="4" t="s">
        <v>39</v>
      </c>
      <c r="M525" s="4" t="s">
        <v>29</v>
      </c>
      <c r="N525" s="4" t="s">
        <v>67</v>
      </c>
      <c r="O525" s="4" t="s">
        <v>29</v>
      </c>
      <c r="P525" s="4" t="s">
        <v>3803</v>
      </c>
      <c r="Q525" s="6"/>
      <c r="R525" s="6"/>
      <c r="S525" s="6"/>
      <c r="T525" s="6"/>
      <c r="U525" s="6"/>
      <c r="V525" s="6"/>
      <c r="W525" s="6"/>
      <c r="X525" s="6"/>
      <c r="Y525" s="6"/>
    </row>
    <row r="526" ht="14.25">
      <c r="B526" s="4" t="s">
        <v>2870</v>
      </c>
      <c r="C526" s="4" t="s">
        <v>3804</v>
      </c>
      <c r="D526" s="4" t="s">
        <v>3805</v>
      </c>
      <c r="E526" s="4" t="s">
        <v>3806</v>
      </c>
      <c r="F526" s="4" t="str">
        <f>IFERROR(__XLUDF.DUMMYFUNCTION("PROPER(REGEXREPLACE(D511,""[^A-Za-z]+ "",""""))"),"François Premier Hospitality")</f>
        <v xml:space="preserve">François Premier Hospitality</v>
      </c>
      <c r="G526" s="4" t="s">
        <v>3807</v>
      </c>
      <c r="H526" s="4">
        <v>11</v>
      </c>
      <c r="I526" s="4" t="s">
        <v>36</v>
      </c>
      <c r="J526" s="5" t="s">
        <v>3808</v>
      </c>
      <c r="K526" s="5" t="s">
        <v>3809</v>
      </c>
      <c r="L526" s="6"/>
      <c r="M526" s="4" t="s">
        <v>29</v>
      </c>
      <c r="N526" s="4" t="s">
        <v>3810</v>
      </c>
      <c r="O526" s="4" t="s">
        <v>29</v>
      </c>
      <c r="P526" s="4" t="s">
        <v>3811</v>
      </c>
      <c r="Q526" s="6"/>
      <c r="R526" s="6"/>
      <c r="S526" s="6"/>
      <c r="T526" s="6"/>
      <c r="U526" s="6"/>
      <c r="V526" s="6"/>
      <c r="W526" s="6"/>
      <c r="X526" s="6"/>
      <c r="Y526" s="6"/>
    </row>
    <row r="527" ht="14.25">
      <c r="B527" s="4" t="s">
        <v>2932</v>
      </c>
      <c r="C527" s="4" t="s">
        <v>3812</v>
      </c>
      <c r="D527" s="4" t="s">
        <v>87</v>
      </c>
      <c r="E527" s="4" t="s">
        <v>3813</v>
      </c>
      <c r="F527" s="4" t="str">
        <f>IFERROR(__XLUDF.DUMMYFUNCTION("PROPER(REGEXREPLACE(D512,""[^A-Za-z]+ "",""""))"),"Food Traboule")</f>
        <v xml:space="preserve">Food Traboule</v>
      </c>
      <c r="G527" s="4" t="s">
        <v>3814</v>
      </c>
      <c r="H527" s="4">
        <v>19</v>
      </c>
      <c r="I527" s="4" t="s">
        <v>25</v>
      </c>
      <c r="J527" s="5" t="s">
        <v>3815</v>
      </c>
      <c r="K527" s="5" t="s">
        <v>3816</v>
      </c>
      <c r="L527" s="4" t="s">
        <v>39</v>
      </c>
      <c r="M527" s="4" t="s">
        <v>29</v>
      </c>
      <c r="N527" s="4" t="s">
        <v>3817</v>
      </c>
      <c r="O527" s="4" t="s">
        <v>29</v>
      </c>
      <c r="P527" s="4" t="s">
        <v>3818</v>
      </c>
      <c r="Q527" s="6"/>
      <c r="R527" s="6"/>
      <c r="S527" s="6"/>
      <c r="T527" s="6"/>
      <c r="U527" s="6"/>
      <c r="V527" s="6"/>
      <c r="W527" s="6"/>
      <c r="X527" s="6"/>
      <c r="Y527" s="6"/>
    </row>
    <row r="528" ht="14.25">
      <c r="B528" s="4" t="s">
        <v>3819</v>
      </c>
      <c r="C528" s="4" t="s">
        <v>3820</v>
      </c>
      <c r="D528" s="4" t="s">
        <v>44</v>
      </c>
      <c r="E528" s="4" t="s">
        <v>3821</v>
      </c>
      <c r="F528" s="4" t="str">
        <f>IFERROR(__XLUDF.DUMMYFUNCTION("PROPER(REGEXREPLACE(D513,""[^A-Za-z]+ "",""""))"),"Loasis")</f>
        <v>Loasis</v>
      </c>
      <c r="G528" s="4" t="s">
        <v>3822</v>
      </c>
      <c r="H528" s="4">
        <v>3</v>
      </c>
      <c r="I528" s="4" t="s">
        <v>36</v>
      </c>
      <c r="J528" s="5" t="s">
        <v>3823</v>
      </c>
      <c r="K528" s="5" t="s">
        <v>3824</v>
      </c>
      <c r="L528" s="4" t="s">
        <v>185</v>
      </c>
      <c r="M528" s="4" t="s">
        <v>29</v>
      </c>
      <c r="N528" s="4" t="s">
        <v>1283</v>
      </c>
      <c r="O528" s="4" t="s">
        <v>29</v>
      </c>
      <c r="P528" s="4" t="s">
        <v>3825</v>
      </c>
      <c r="Q528" s="6"/>
      <c r="R528" s="6"/>
      <c r="S528" s="6"/>
      <c r="T528" s="6"/>
      <c r="U528" s="6"/>
      <c r="V528" s="6"/>
      <c r="W528" s="6"/>
      <c r="X528" s="6"/>
      <c r="Y528" s="6"/>
    </row>
    <row r="529" ht="14.25">
      <c r="B529" s="4" t="s">
        <v>3826</v>
      </c>
      <c r="C529" s="4" t="s">
        <v>3827</v>
      </c>
      <c r="D529" s="4" t="s">
        <v>3828</v>
      </c>
      <c r="E529" s="4" t="s">
        <v>3829</v>
      </c>
      <c r="F529" s="4" t="str">
        <f>IFERROR(__XLUDF.DUMMYFUNCTION("PROPER(REGEXREPLACE(D514,""[^A-Za-z]+ "",""""))"),"Aux Enfants Terribles")</f>
        <v xml:space="preserve">Aux Enfants Terribles</v>
      </c>
      <c r="G529" s="4" t="s">
        <v>3830</v>
      </c>
      <c r="H529" s="4">
        <v>12</v>
      </c>
      <c r="I529" s="4" t="s">
        <v>157</v>
      </c>
      <c r="J529" s="5" t="s">
        <v>3831</v>
      </c>
      <c r="K529" s="5" t="s">
        <v>3832</v>
      </c>
      <c r="L529" s="4" t="s">
        <v>39</v>
      </c>
      <c r="M529" s="4" t="s">
        <v>29</v>
      </c>
      <c r="N529" s="4" t="s">
        <v>3833</v>
      </c>
      <c r="O529" s="4" t="s">
        <v>29</v>
      </c>
      <c r="P529" s="6"/>
      <c r="Q529" s="6"/>
      <c r="R529" s="6"/>
      <c r="S529" s="6"/>
      <c r="T529" s="6"/>
      <c r="U529" s="6"/>
      <c r="V529" s="6"/>
      <c r="W529" s="6"/>
      <c r="X529" s="6"/>
      <c r="Y529" s="6"/>
    </row>
    <row r="530" ht="14.25">
      <c r="B530" s="4" t="s">
        <v>3834</v>
      </c>
      <c r="C530" s="4" t="s">
        <v>3835</v>
      </c>
      <c r="D530" s="4" t="s">
        <v>3836</v>
      </c>
      <c r="E530" s="4" t="s">
        <v>3837</v>
      </c>
      <c r="F530" s="4" t="str">
        <f>IFERROR(__XLUDF.DUMMYFUNCTION("PROPER(REGEXREPLACE(D515,""[^A-Za-z]+ "",""""))"),"Hôtel Le Littré")</f>
        <v xml:space="preserve">Hôtel Le Littré</v>
      </c>
      <c r="G530" s="4" t="s">
        <v>3838</v>
      </c>
      <c r="H530" s="4">
        <v>9</v>
      </c>
      <c r="I530" s="4" t="s">
        <v>25</v>
      </c>
      <c r="J530" s="5" t="s">
        <v>3839</v>
      </c>
      <c r="K530" s="5" t="s">
        <v>3840</v>
      </c>
      <c r="L530" s="4" t="s">
        <v>39</v>
      </c>
      <c r="M530" s="4" t="s">
        <v>29</v>
      </c>
      <c r="N530" s="4" t="s">
        <v>67</v>
      </c>
      <c r="O530" s="4" t="s">
        <v>29</v>
      </c>
      <c r="P530" s="4" t="s">
        <v>3841</v>
      </c>
      <c r="Q530" s="6"/>
      <c r="R530" s="6"/>
      <c r="S530" s="6"/>
      <c r="T530" s="6"/>
      <c r="U530" s="6"/>
      <c r="V530" s="6"/>
      <c r="W530" s="6"/>
      <c r="X530" s="6"/>
      <c r="Y530" s="6"/>
    </row>
    <row r="531" ht="14.25">
      <c r="B531" s="4" t="s">
        <v>110</v>
      </c>
      <c r="C531" s="4" t="s">
        <v>3842</v>
      </c>
      <c r="D531" s="4" t="s">
        <v>3843</v>
      </c>
      <c r="E531" s="4" t="s">
        <v>3844</v>
      </c>
      <c r="F531" s="4" t="str">
        <f>IFERROR(__XLUDF.DUMMYFUNCTION("PROPER(REGEXREPLACE(D516,""[^A-Za-z]+ "",""""))"),"La Coquetterie 😋")</f>
        <v xml:space="preserve">La Coquetterie 😋</v>
      </c>
      <c r="G531" s="4" t="s">
        <v>3845</v>
      </c>
      <c r="H531" s="4">
        <v>16</v>
      </c>
      <c r="I531" s="4" t="s">
        <v>25</v>
      </c>
      <c r="J531" s="5" t="s">
        <v>3846</v>
      </c>
      <c r="K531" s="5" t="s">
        <v>3847</v>
      </c>
      <c r="L531" s="4" t="s">
        <v>3848</v>
      </c>
      <c r="M531" s="4" t="s">
        <v>29</v>
      </c>
      <c r="N531" s="4" t="s">
        <v>3849</v>
      </c>
      <c r="O531" s="4" t="s">
        <v>29</v>
      </c>
      <c r="P531" s="6"/>
      <c r="Q531" s="6"/>
      <c r="R531" s="6"/>
      <c r="S531" s="6"/>
      <c r="T531" s="6"/>
      <c r="U531" s="6"/>
      <c r="V531" s="6"/>
      <c r="W531" s="6"/>
      <c r="X531" s="6"/>
      <c r="Y531" s="6"/>
    </row>
    <row r="532" ht="14.25">
      <c r="B532" s="4" t="s">
        <v>1215</v>
      </c>
      <c r="C532" s="4" t="s">
        <v>3850</v>
      </c>
      <c r="D532" s="4" t="s">
        <v>172</v>
      </c>
      <c r="E532" s="4" t="s">
        <v>3851</v>
      </c>
      <c r="F532" s="4" t="str">
        <f>IFERROR(__XLUDF.DUMMYFUNCTION("PROPER(REGEXREPLACE(D517,""[^A-Za-z]+ "",""""))"),"Supergusto France")</f>
        <v xml:space="preserve">Supergusto France</v>
      </c>
      <c r="G532" s="4" t="s">
        <v>3852</v>
      </c>
      <c r="H532" s="4">
        <v>29</v>
      </c>
      <c r="I532" s="4" t="s">
        <v>25</v>
      </c>
      <c r="J532" s="5" t="s">
        <v>3853</v>
      </c>
      <c r="K532" s="5" t="s">
        <v>3854</v>
      </c>
      <c r="L532" s="4" t="s">
        <v>3855</v>
      </c>
      <c r="M532" s="4" t="s">
        <v>29</v>
      </c>
      <c r="N532" s="4" t="s">
        <v>3856</v>
      </c>
      <c r="O532" s="4" t="s">
        <v>29</v>
      </c>
      <c r="P532" s="4" t="s">
        <v>3857</v>
      </c>
      <c r="Q532" s="6"/>
      <c r="R532" s="6"/>
      <c r="S532" s="6"/>
      <c r="T532" s="6"/>
      <c r="U532" s="6"/>
      <c r="V532" s="6"/>
      <c r="W532" s="6"/>
      <c r="X532" s="6"/>
      <c r="Y532" s="6"/>
    </row>
    <row r="533" ht="14.25">
      <c r="B533" s="4" t="s">
        <v>1153</v>
      </c>
      <c r="C533" s="4" t="s">
        <v>3858</v>
      </c>
      <c r="D533" s="4" t="s">
        <v>341</v>
      </c>
      <c r="E533" s="4" t="s">
        <v>3859</v>
      </c>
      <c r="F533" s="4" t="str">
        <f>IFERROR(__XLUDF.DUMMYFUNCTION("PROPER(REGEXREPLACE(D518,""[^A-Za-z]+ "",""""))"),"L'Imprimerie Hôtel")</f>
        <v xml:space="preserve">L'Imprimerie Hôtel</v>
      </c>
      <c r="G533" s="4" t="s">
        <v>3860</v>
      </c>
      <c r="H533" s="4">
        <v>17</v>
      </c>
      <c r="I533" s="4" t="s">
        <v>36</v>
      </c>
      <c r="J533" s="5" t="s">
        <v>3861</v>
      </c>
      <c r="K533" s="5" t="s">
        <v>3862</v>
      </c>
      <c r="L533" s="4" t="s">
        <v>39</v>
      </c>
      <c r="M533" s="4" t="s">
        <v>29</v>
      </c>
      <c r="N533" s="4" t="s">
        <v>67</v>
      </c>
      <c r="O533" s="4" t="s">
        <v>29</v>
      </c>
      <c r="P533" s="4" t="s">
        <v>3863</v>
      </c>
      <c r="Q533" s="6"/>
      <c r="R533" s="6"/>
      <c r="S533" s="6"/>
      <c r="T533" s="6"/>
      <c r="U533" s="6"/>
      <c r="V533" s="6"/>
      <c r="W533" s="6"/>
      <c r="X533" s="6"/>
      <c r="Y533" s="6"/>
    </row>
    <row r="534" ht="14.25">
      <c r="B534" s="4" t="s">
        <v>485</v>
      </c>
      <c r="C534" s="4" t="s">
        <v>3864</v>
      </c>
      <c r="D534" s="4" t="s">
        <v>487</v>
      </c>
      <c r="E534" s="4" t="s">
        <v>3865</v>
      </c>
      <c r="F534" s="4" t="str">
        <f>IFERROR(__XLUDF.DUMMYFUNCTION("PROPER(REGEXREPLACE(D519,""[^A-Za-z]+ "",""""))"),"Ginto Hotels")</f>
        <v xml:space="preserve">Ginto Hotels</v>
      </c>
      <c r="G534" s="4" t="s">
        <v>3866</v>
      </c>
      <c r="H534" s="4">
        <v>40</v>
      </c>
      <c r="I534" s="4" t="s">
        <v>25</v>
      </c>
      <c r="J534" s="5" t="s">
        <v>3867</v>
      </c>
      <c r="K534" s="5" t="s">
        <v>3868</v>
      </c>
      <c r="L534" s="4" t="s">
        <v>295</v>
      </c>
      <c r="M534" s="4" t="s">
        <v>29</v>
      </c>
      <c r="N534" s="4" t="s">
        <v>3036</v>
      </c>
      <c r="O534" s="4" t="s">
        <v>29</v>
      </c>
      <c r="P534" s="4" t="s">
        <v>3869</v>
      </c>
      <c r="Q534" s="6"/>
      <c r="R534" s="6"/>
      <c r="S534" s="6"/>
      <c r="T534" s="6"/>
      <c r="U534" s="6"/>
      <c r="V534" s="6"/>
      <c r="W534" s="6"/>
      <c r="X534" s="6"/>
      <c r="Y534" s="6"/>
    </row>
    <row r="535" ht="14.25">
      <c r="B535" s="4" t="s">
        <v>3870</v>
      </c>
      <c r="C535" s="4" t="s">
        <v>3871</v>
      </c>
      <c r="D535" s="4" t="s">
        <v>120</v>
      </c>
      <c r="E535" s="4" t="s">
        <v>3872</v>
      </c>
      <c r="F535" s="4" t="str">
        <f>IFERROR(__XLUDF.DUMMYFUNCTION("PROPER(REGEXREPLACE(D520,""[^A-Za-z]+ "",""""))"),"Hd Fragrances")</f>
        <v xml:space="preserve">Hd Fragrances</v>
      </c>
      <c r="G535" s="4" t="s">
        <v>3873</v>
      </c>
      <c r="H535" s="4">
        <v>31</v>
      </c>
      <c r="I535" s="4" t="s">
        <v>25</v>
      </c>
      <c r="J535" s="5" t="s">
        <v>3874</v>
      </c>
      <c r="K535" s="5" t="s">
        <v>3875</v>
      </c>
      <c r="L535" s="4" t="s">
        <v>774</v>
      </c>
      <c r="M535" s="4" t="s">
        <v>29</v>
      </c>
      <c r="N535" s="4" t="s">
        <v>3876</v>
      </c>
      <c r="O535" s="4" t="s">
        <v>29</v>
      </c>
      <c r="P535" s="4" t="s">
        <v>3877</v>
      </c>
      <c r="Q535" s="6"/>
      <c r="R535" s="6"/>
      <c r="S535" s="6"/>
      <c r="T535" s="6"/>
      <c r="U535" s="6"/>
      <c r="V535" s="6"/>
      <c r="W535" s="6"/>
      <c r="X535" s="6"/>
      <c r="Y535" s="6"/>
    </row>
    <row r="536" ht="14.25">
      <c r="B536" s="4" t="s">
        <v>2299</v>
      </c>
      <c r="C536" s="4" t="s">
        <v>3878</v>
      </c>
      <c r="D536" s="4" t="s">
        <v>120</v>
      </c>
      <c r="E536" s="4" t="s">
        <v>3879</v>
      </c>
      <c r="F536" s="4" t="str">
        <f>IFERROR(__XLUDF.DUMMYFUNCTION("PROPER(REGEXREPLACE(D521,""[^A-Za-z]+ "",""""))"),"Likibu")</f>
        <v>Likibu</v>
      </c>
      <c r="G536" s="4" t="s">
        <v>3880</v>
      </c>
      <c r="H536" s="4">
        <v>42</v>
      </c>
      <c r="I536" s="4" t="s">
        <v>36</v>
      </c>
      <c r="J536" s="5" t="s">
        <v>3881</v>
      </c>
      <c r="K536" s="5" t="s">
        <v>3882</v>
      </c>
      <c r="L536" s="4" t="s">
        <v>39</v>
      </c>
      <c r="M536" s="4" t="s">
        <v>29</v>
      </c>
      <c r="N536" s="4" t="s">
        <v>3883</v>
      </c>
      <c r="O536" s="4" t="s">
        <v>29</v>
      </c>
      <c r="P536" s="4" t="s">
        <v>3884</v>
      </c>
      <c r="Q536" s="6"/>
      <c r="R536" s="6"/>
      <c r="S536" s="6"/>
      <c r="T536" s="6"/>
      <c r="U536" s="6"/>
      <c r="V536" s="6"/>
      <c r="W536" s="6"/>
      <c r="X536" s="6"/>
      <c r="Y536" s="6"/>
    </row>
    <row r="537" ht="14.25">
      <c r="B537" s="4" t="s">
        <v>808</v>
      </c>
      <c r="C537" s="4" t="s">
        <v>3885</v>
      </c>
      <c r="D537" s="4" t="s">
        <v>120</v>
      </c>
      <c r="E537" s="4" t="s">
        <v>3886</v>
      </c>
      <c r="F537" s="4" t="str">
        <f>IFERROR(__XLUDF.DUMMYFUNCTION("PROPER(REGEXREPLACE(D522,""[^A-Za-z]+ "",""""))"),"Eleni Group")</f>
        <v xml:space="preserve">Eleni Group</v>
      </c>
      <c r="G537" s="4" t="s">
        <v>3887</v>
      </c>
      <c r="H537" s="4">
        <v>24</v>
      </c>
      <c r="I537" s="4" t="s">
        <v>36</v>
      </c>
      <c r="J537" s="5" t="s">
        <v>3888</v>
      </c>
      <c r="K537" s="5" t="s">
        <v>3889</v>
      </c>
      <c r="L537" s="4" t="s">
        <v>774</v>
      </c>
      <c r="M537" s="4" t="s">
        <v>29</v>
      </c>
      <c r="N537" s="4" t="s">
        <v>3890</v>
      </c>
      <c r="O537" s="4" t="s">
        <v>29</v>
      </c>
      <c r="P537" s="4" t="s">
        <v>3891</v>
      </c>
      <c r="Q537" s="6"/>
      <c r="R537" s="6"/>
      <c r="S537" s="6"/>
      <c r="T537" s="6"/>
      <c r="U537" s="6"/>
      <c r="V537" s="6"/>
      <c r="W537" s="6"/>
      <c r="X537" s="6"/>
      <c r="Y537" s="6"/>
    </row>
    <row r="538" ht="14.25">
      <c r="B538" s="4" t="s">
        <v>3892</v>
      </c>
      <c r="C538" s="4" t="s">
        <v>3893</v>
      </c>
      <c r="D538" s="4" t="s">
        <v>172</v>
      </c>
      <c r="E538" s="4" t="s">
        <v>3894</v>
      </c>
      <c r="F538" s="4" t="str">
        <f>IFERROR(__XLUDF.DUMMYFUNCTION("PROPER(REGEXREPLACE(D523,""[^A-Za-z]+ "",""""))"),"Ten Belles")</f>
        <v xml:space="preserve">Ten Belles</v>
      </c>
      <c r="G538" s="4" t="s">
        <v>3895</v>
      </c>
      <c r="H538" s="4">
        <v>12</v>
      </c>
      <c r="I538" s="4" t="s">
        <v>25</v>
      </c>
      <c r="J538" s="5" t="s">
        <v>3896</v>
      </c>
      <c r="K538" s="5" t="s">
        <v>3897</v>
      </c>
      <c r="L538" s="4" t="s">
        <v>3898</v>
      </c>
      <c r="M538" s="4" t="s">
        <v>29</v>
      </c>
      <c r="N538" s="4" t="s">
        <v>3899</v>
      </c>
      <c r="O538" s="4" t="s">
        <v>29</v>
      </c>
      <c r="P538" s="4" t="s">
        <v>3900</v>
      </c>
      <c r="Q538" s="6"/>
      <c r="R538" s="6"/>
      <c r="S538" s="6"/>
      <c r="T538" s="6"/>
      <c r="U538" s="6"/>
      <c r="V538" s="6"/>
      <c r="W538" s="6"/>
      <c r="X538" s="6"/>
      <c r="Y538" s="6"/>
    </row>
    <row r="539" ht="14.25">
      <c r="B539" s="4" t="s">
        <v>1215</v>
      </c>
      <c r="C539" s="4" t="s">
        <v>3901</v>
      </c>
      <c r="D539" s="4" t="s">
        <v>3902</v>
      </c>
      <c r="E539" s="4" t="s">
        <v>3903</v>
      </c>
      <c r="F539" s="4" t="str">
        <f>IFERROR(__XLUDF.DUMMYFUNCTION("PROPER(REGEXREPLACE(D524,""[^A-Za-z]+ "",""""))"),"Singularités Hft")</f>
        <v xml:space="preserve">Singularités Hft</v>
      </c>
      <c r="G539" s="4" t="s">
        <v>3904</v>
      </c>
      <c r="H539" s="4">
        <v>26</v>
      </c>
      <c r="I539" s="4" t="s">
        <v>25</v>
      </c>
      <c r="J539" s="5" t="s">
        <v>3905</v>
      </c>
      <c r="K539" s="5" t="s">
        <v>3906</v>
      </c>
      <c r="L539" s="4" t="s">
        <v>423</v>
      </c>
      <c r="M539" s="4" t="s">
        <v>29</v>
      </c>
      <c r="N539" s="4" t="s">
        <v>3907</v>
      </c>
      <c r="O539" s="4" t="s">
        <v>1938</v>
      </c>
      <c r="P539" s="4" t="s">
        <v>3908</v>
      </c>
      <c r="Q539" s="6"/>
      <c r="R539" s="6"/>
      <c r="S539" s="6"/>
      <c r="T539" s="6"/>
      <c r="U539" s="6"/>
      <c r="V539" s="6"/>
      <c r="W539" s="6"/>
      <c r="X539" s="6"/>
      <c r="Y539" s="6"/>
    </row>
    <row r="540" ht="14.25">
      <c r="B540" s="4" t="s">
        <v>3909</v>
      </c>
      <c r="C540" s="4" t="s">
        <v>3910</v>
      </c>
      <c r="D540" s="4" t="s">
        <v>341</v>
      </c>
      <c r="E540" s="4" t="s">
        <v>3121</v>
      </c>
      <c r="F540" s="4" t="str">
        <f>IFERROR(__XLUDF.DUMMYFUNCTION("PROPER(REGEXREPLACE(D525,""[^A-Za-z]+ "",""""))"),"Pariscape Consulting")</f>
        <v xml:space="preserve">Pariscape Consulting</v>
      </c>
      <c r="G540" s="4" t="s">
        <v>3911</v>
      </c>
      <c r="H540" s="4">
        <v>5</v>
      </c>
      <c r="I540" s="4" t="s">
        <v>90</v>
      </c>
      <c r="J540" s="5" t="s">
        <v>3912</v>
      </c>
      <c r="K540" s="5" t="s">
        <v>3124</v>
      </c>
      <c r="L540" s="6"/>
      <c r="M540" s="4" t="s">
        <v>29</v>
      </c>
      <c r="N540" s="4" t="s">
        <v>3125</v>
      </c>
      <c r="O540" s="4" t="s">
        <v>29</v>
      </c>
      <c r="P540" s="4" t="s">
        <v>3126</v>
      </c>
      <c r="Q540" s="6"/>
      <c r="R540" s="6"/>
      <c r="S540" s="6"/>
      <c r="T540" s="6"/>
      <c r="U540" s="6"/>
      <c r="V540" s="6"/>
      <c r="W540" s="6"/>
      <c r="X540" s="6"/>
      <c r="Y540" s="6"/>
    </row>
    <row r="541" ht="14.25">
      <c r="B541" s="4" t="s">
        <v>215</v>
      </c>
      <c r="C541" s="4" t="s">
        <v>3913</v>
      </c>
      <c r="D541" s="4" t="s">
        <v>3914</v>
      </c>
      <c r="E541" s="4" t="s">
        <v>3915</v>
      </c>
      <c r="F541" s="4" t="str">
        <f>IFERROR(__XLUDF.DUMMYFUNCTION("PROPER(REGEXREPLACE(D526,""[^A-Za-z]+ "",""""))"),"Ripayon")</f>
        <v>Ripayon</v>
      </c>
      <c r="G541" s="4" t="s">
        <v>3916</v>
      </c>
      <c r="H541" s="4">
        <v>7</v>
      </c>
      <c r="I541" s="4" t="s">
        <v>90</v>
      </c>
      <c r="J541" s="5" t="s">
        <v>3917</v>
      </c>
      <c r="K541" s="5" t="s">
        <v>3918</v>
      </c>
      <c r="L541" s="4" t="s">
        <v>83</v>
      </c>
      <c r="M541" s="4" t="s">
        <v>29</v>
      </c>
      <c r="N541" s="4" t="s">
        <v>84</v>
      </c>
      <c r="O541" s="4" t="s">
        <v>29</v>
      </c>
      <c r="P541" s="4" t="s">
        <v>3919</v>
      </c>
      <c r="Q541" s="6"/>
      <c r="R541" s="6"/>
      <c r="S541" s="6"/>
      <c r="T541" s="6"/>
      <c r="U541" s="6"/>
      <c r="V541" s="6"/>
      <c r="W541" s="6"/>
      <c r="X541" s="6"/>
      <c r="Y541" s="6"/>
    </row>
    <row r="542" ht="14.25">
      <c r="B542" s="4" t="s">
        <v>3920</v>
      </c>
      <c r="C542" s="4" t="s">
        <v>3921</v>
      </c>
      <c r="D542" s="4" t="s">
        <v>172</v>
      </c>
      <c r="E542" s="4" t="s">
        <v>3922</v>
      </c>
      <c r="F542" s="4" t="str">
        <f>IFERROR(__XLUDF.DUMMYFUNCTION("PROPER(REGEXREPLACE(D527,""[^A-Za-z]+ "",""""))"),"Hôtel Balmoral Paris")</f>
        <v xml:space="preserve">Hôtel Balmoral Paris</v>
      </c>
      <c r="G542" s="4" t="s">
        <v>3923</v>
      </c>
      <c r="H542" s="4">
        <v>11</v>
      </c>
      <c r="I542" s="4" t="s">
        <v>25</v>
      </c>
      <c r="J542" s="5" t="s">
        <v>3924</v>
      </c>
      <c r="K542" s="5" t="s">
        <v>3925</v>
      </c>
      <c r="L542" s="4" t="s">
        <v>39</v>
      </c>
      <c r="M542" s="4" t="s">
        <v>29</v>
      </c>
      <c r="N542" s="4" t="s">
        <v>3926</v>
      </c>
      <c r="O542" s="4" t="s">
        <v>29</v>
      </c>
      <c r="P542" s="4" t="s">
        <v>3927</v>
      </c>
      <c r="Q542" s="6"/>
      <c r="R542" s="6"/>
      <c r="S542" s="6"/>
      <c r="T542" s="6"/>
      <c r="U542" s="6"/>
      <c r="V542" s="6"/>
      <c r="W542" s="6"/>
      <c r="X542" s="6"/>
      <c r="Y542" s="6"/>
    </row>
    <row r="543" ht="14.25">
      <c r="B543" s="4" t="s">
        <v>2932</v>
      </c>
      <c r="C543" s="4" t="s">
        <v>3928</v>
      </c>
      <c r="D543" s="4" t="s">
        <v>172</v>
      </c>
      <c r="E543" s="4" t="s">
        <v>3929</v>
      </c>
      <c r="F543" s="4" t="str">
        <f>IFERROR(__XLUDF.DUMMYFUNCTION("PROPER(REGEXREPLACE(D528,""[^A-Za-z]+ "",""""))"),"Akapico")</f>
        <v>Akapico</v>
      </c>
      <c r="G543" s="4" t="s">
        <v>3930</v>
      </c>
      <c r="H543" s="4">
        <v>17</v>
      </c>
      <c r="I543" s="4" t="s">
        <v>25</v>
      </c>
      <c r="J543" s="5" t="s">
        <v>3931</v>
      </c>
      <c r="K543" s="5" t="s">
        <v>3932</v>
      </c>
      <c r="L543" s="4" t="s">
        <v>39</v>
      </c>
      <c r="M543" s="4" t="s">
        <v>29</v>
      </c>
      <c r="N543" s="4" t="s">
        <v>3933</v>
      </c>
      <c r="O543" s="4" t="s">
        <v>29</v>
      </c>
      <c r="P543" s="4" t="s">
        <v>3934</v>
      </c>
      <c r="Q543" s="6"/>
      <c r="R543" s="6"/>
      <c r="S543" s="6"/>
      <c r="T543" s="6"/>
      <c r="U543" s="6"/>
      <c r="V543" s="6"/>
      <c r="W543" s="6"/>
      <c r="X543" s="6"/>
      <c r="Y543" s="6"/>
    </row>
    <row r="544" ht="14.25">
      <c r="B544" s="4" t="s">
        <v>3935</v>
      </c>
      <c r="C544" s="4" t="s">
        <v>3936</v>
      </c>
      <c r="D544" s="4" t="s">
        <v>120</v>
      </c>
      <c r="E544" s="4" t="s">
        <v>3937</v>
      </c>
      <c r="F544" s="4" t="str">
        <f>IFERROR(__XLUDF.DUMMYFUNCTION("PROPER(REGEXREPLACE(D529,""[^A-Za-z]+ "",""""))"),"Quixotic Projects")</f>
        <v xml:space="preserve">Quixotic Projects</v>
      </c>
      <c r="G544" s="4" t="s">
        <v>3938</v>
      </c>
      <c r="H544" s="4">
        <v>6</v>
      </c>
      <c r="I544" s="4" t="s">
        <v>36</v>
      </c>
      <c r="J544" s="5" t="s">
        <v>3939</v>
      </c>
      <c r="K544" s="5" t="s">
        <v>3940</v>
      </c>
      <c r="L544" s="4" t="s">
        <v>39</v>
      </c>
      <c r="M544" s="4" t="s">
        <v>29</v>
      </c>
      <c r="N544" s="4" t="s">
        <v>3941</v>
      </c>
      <c r="O544" s="4" t="s">
        <v>29</v>
      </c>
      <c r="P544" s="6"/>
      <c r="Q544" s="6"/>
      <c r="R544" s="6"/>
      <c r="S544" s="6"/>
      <c r="T544" s="6"/>
      <c r="U544" s="6"/>
      <c r="V544" s="6"/>
      <c r="W544" s="6"/>
      <c r="X544" s="6"/>
      <c r="Y544" s="6"/>
    </row>
    <row r="545" ht="14.25">
      <c r="B545" s="4" t="s">
        <v>118</v>
      </c>
      <c r="C545" s="4" t="s">
        <v>3942</v>
      </c>
      <c r="D545" s="4" t="s">
        <v>172</v>
      </c>
      <c r="E545" s="4" t="s">
        <v>3943</v>
      </c>
      <c r="F545" s="4" t="str">
        <f>IFERROR(__XLUDF.DUMMYFUNCTION("PROPER(REGEXREPLACE(D530,""[^A-Za-z]+ "",""""))"),"Hortense.Green")</f>
        <v>Hortense.Green</v>
      </c>
      <c r="G545" s="4" t="s">
        <v>3944</v>
      </c>
      <c r="H545" s="6"/>
      <c r="I545" s="6"/>
      <c r="J545" s="5" t="s">
        <v>3945</v>
      </c>
      <c r="K545" s="5" t="s">
        <v>3946</v>
      </c>
      <c r="L545" s="4" t="s">
        <v>39</v>
      </c>
      <c r="M545" s="4" t="s">
        <v>29</v>
      </c>
      <c r="N545" s="4" t="s">
        <v>3947</v>
      </c>
      <c r="O545" s="4" t="s">
        <v>29</v>
      </c>
      <c r="P545" s="6"/>
      <c r="Q545" s="6"/>
      <c r="R545" s="6"/>
      <c r="S545" s="6"/>
      <c r="T545" s="6"/>
      <c r="U545" s="6"/>
      <c r="V545" s="6"/>
      <c r="W545" s="6"/>
      <c r="X545" s="6"/>
      <c r="Y545" s="6"/>
    </row>
    <row r="546" ht="14.25">
      <c r="B546" s="4" t="s">
        <v>2932</v>
      </c>
      <c r="C546" s="4" t="s">
        <v>3948</v>
      </c>
      <c r="D546" s="4" t="s">
        <v>3949</v>
      </c>
      <c r="E546" s="4" t="s">
        <v>3950</v>
      </c>
      <c r="F546" s="4" t="str">
        <f>IFERROR(__XLUDF.DUMMYFUNCTION("PROPER(REGEXREPLACE(D531,""[^A-Za-z]+ "",""""))"),"Abracadaroom")</f>
        <v>Abracadaroom</v>
      </c>
      <c r="G546" s="4" t="s">
        <v>3951</v>
      </c>
      <c r="H546" s="4">
        <v>24</v>
      </c>
      <c r="I546" s="4" t="s">
        <v>25</v>
      </c>
      <c r="J546" s="5" t="s">
        <v>3952</v>
      </c>
      <c r="K546" s="5" t="s">
        <v>3953</v>
      </c>
      <c r="L546" s="4" t="s">
        <v>731</v>
      </c>
      <c r="M546" s="4" t="s">
        <v>29</v>
      </c>
      <c r="N546" s="4" t="s">
        <v>3954</v>
      </c>
      <c r="O546" s="4" t="s">
        <v>29</v>
      </c>
      <c r="P546" s="4" t="s">
        <v>3955</v>
      </c>
      <c r="Q546" s="6"/>
      <c r="R546" s="6"/>
      <c r="S546" s="6"/>
      <c r="T546" s="6"/>
      <c r="U546" s="6"/>
      <c r="V546" s="6"/>
      <c r="W546" s="6"/>
      <c r="X546" s="6"/>
      <c r="Y546" s="6"/>
    </row>
    <row r="547" ht="14.25">
      <c r="B547" s="4" t="s">
        <v>3956</v>
      </c>
      <c r="C547" s="4" t="s">
        <v>3957</v>
      </c>
      <c r="D547" s="4" t="s">
        <v>198</v>
      </c>
      <c r="E547" s="4" t="s">
        <v>3958</v>
      </c>
      <c r="F547" s="4" t="str">
        <f>IFERROR(__XLUDF.DUMMYFUNCTION("PROPER(REGEXREPLACE(D532,""[^A-Za-z]+ "",""""))"),"In Auris")</f>
        <v xml:space="preserve">In Auris</v>
      </c>
      <c r="G547" s="4" t="s">
        <v>3959</v>
      </c>
      <c r="H547" s="4">
        <v>10</v>
      </c>
      <c r="I547" s="4" t="s">
        <v>36</v>
      </c>
      <c r="J547" s="5" t="s">
        <v>3960</v>
      </c>
      <c r="K547" s="5" t="s">
        <v>3961</v>
      </c>
      <c r="L547" s="6"/>
      <c r="M547" s="4" t="s">
        <v>29</v>
      </c>
      <c r="N547" s="4" t="s">
        <v>3962</v>
      </c>
      <c r="O547" s="4" t="s">
        <v>29</v>
      </c>
      <c r="P547" s="6"/>
      <c r="Q547" s="6"/>
      <c r="R547" s="6"/>
      <c r="S547" s="6"/>
      <c r="T547" s="6"/>
      <c r="U547" s="6"/>
      <c r="V547" s="6"/>
      <c r="W547" s="6"/>
      <c r="X547" s="6"/>
      <c r="Y547" s="6"/>
    </row>
    <row r="548" ht="14.25">
      <c r="B548" s="4" t="s">
        <v>1605</v>
      </c>
      <c r="C548" s="4" t="s">
        <v>3963</v>
      </c>
      <c r="D548" s="4" t="s">
        <v>3964</v>
      </c>
      <c r="E548" s="4" t="s">
        <v>2002</v>
      </c>
      <c r="F548" s="4" t="str">
        <f>IFERROR(__XLUDF.DUMMYFUNCTION("PROPER(REGEXREPLACE(D533,""[^A-Za-z]+ "",""""))"),"Pokeshop")</f>
        <v>Pokeshop</v>
      </c>
      <c r="G548" s="4" t="s">
        <v>3965</v>
      </c>
      <c r="H548" s="4">
        <v>20</v>
      </c>
      <c r="I548" s="4" t="s">
        <v>36</v>
      </c>
      <c r="J548" s="5" t="s">
        <v>3966</v>
      </c>
      <c r="K548" s="5" t="s">
        <v>2005</v>
      </c>
      <c r="L548" s="4" t="s">
        <v>39</v>
      </c>
      <c r="M548" s="4" t="s">
        <v>29</v>
      </c>
      <c r="N548" s="4" t="s">
        <v>67</v>
      </c>
      <c r="O548" s="4" t="s">
        <v>29</v>
      </c>
      <c r="P548" s="4" t="s">
        <v>2006</v>
      </c>
      <c r="Q548" s="6"/>
      <c r="R548" s="6"/>
      <c r="S548" s="6"/>
      <c r="T548" s="6"/>
      <c r="U548" s="6"/>
      <c r="V548" s="6"/>
      <c r="W548" s="6"/>
      <c r="X548" s="6"/>
      <c r="Y548" s="6"/>
    </row>
    <row r="549" ht="14.25">
      <c r="B549" s="4" t="s">
        <v>3967</v>
      </c>
      <c r="C549" s="4" t="s">
        <v>3968</v>
      </c>
      <c r="D549" s="4" t="s">
        <v>3969</v>
      </c>
      <c r="E549" s="4" t="s">
        <v>3970</v>
      </c>
      <c r="F549" s="4" t="str">
        <f>IFERROR(__XLUDF.DUMMYFUNCTION("PROPER(REGEXREPLACE(D534,""[^A-Za-z]+ "",""""))"),"Groupe Noemys")</f>
        <v xml:space="preserve">Groupe Noemys</v>
      </c>
      <c r="G549" s="4" t="s">
        <v>3971</v>
      </c>
      <c r="H549" s="4">
        <v>5</v>
      </c>
      <c r="I549" s="4" t="s">
        <v>25</v>
      </c>
      <c r="J549" s="5" t="s">
        <v>3972</v>
      </c>
      <c r="K549" s="5" t="s">
        <v>3973</v>
      </c>
      <c r="L549" s="4" t="s">
        <v>39</v>
      </c>
      <c r="M549" s="4" t="s">
        <v>29</v>
      </c>
      <c r="N549" s="4" t="s">
        <v>3974</v>
      </c>
      <c r="O549" s="4" t="s">
        <v>29</v>
      </c>
      <c r="P549" s="4" t="s">
        <v>3975</v>
      </c>
      <c r="Q549" s="6"/>
      <c r="R549" s="6"/>
      <c r="S549" s="6"/>
      <c r="T549" s="6"/>
      <c r="U549" s="6"/>
      <c r="V549" s="6"/>
      <c r="W549" s="6"/>
      <c r="X549" s="6"/>
      <c r="Y549" s="6"/>
    </row>
    <row r="550" ht="14.25">
      <c r="B550" s="4" t="s">
        <v>330</v>
      </c>
      <c r="C550" s="4" t="s">
        <v>3976</v>
      </c>
      <c r="D550" s="4" t="s">
        <v>3977</v>
      </c>
      <c r="E550" s="4" t="s">
        <v>2539</v>
      </c>
      <c r="F550" s="4" t="str">
        <f>IFERROR(__XLUDF.DUMMYFUNCTION("PROPER(REGEXREPLACE(D535,""[^A-Za-z]+ "",""""))"),"Fahrenheit Seven")</f>
        <v xml:space="preserve">Fahrenheit Seven</v>
      </c>
      <c r="G550" s="4" t="s">
        <v>3978</v>
      </c>
      <c r="H550" s="4">
        <v>37</v>
      </c>
      <c r="I550" s="4" t="s">
        <v>25</v>
      </c>
      <c r="J550" s="5" t="s">
        <v>3979</v>
      </c>
      <c r="K550" s="5" t="s">
        <v>2542</v>
      </c>
      <c r="L550" s="4" t="s">
        <v>3980</v>
      </c>
      <c r="M550" s="4" t="s">
        <v>29</v>
      </c>
      <c r="N550" s="4" t="s">
        <v>2543</v>
      </c>
      <c r="O550" s="4" t="s">
        <v>29</v>
      </c>
      <c r="P550" s="4" t="s">
        <v>2544</v>
      </c>
      <c r="Q550" s="6"/>
      <c r="R550" s="6"/>
      <c r="S550" s="6"/>
      <c r="T550" s="6"/>
      <c r="U550" s="6"/>
      <c r="V550" s="6"/>
      <c r="W550" s="6"/>
      <c r="X550" s="6"/>
      <c r="Y550" s="6"/>
    </row>
    <row r="551" ht="14.25">
      <c r="B551" s="4" t="s">
        <v>1583</v>
      </c>
      <c r="C551" s="4" t="s">
        <v>3981</v>
      </c>
      <c r="D551" s="4" t="s">
        <v>3982</v>
      </c>
      <c r="E551" s="4" t="s">
        <v>104</v>
      </c>
      <c r="F551" s="4" t="str">
        <f>IFERROR(__XLUDF.DUMMYFUNCTION("PROPER(REGEXREPLACE(D536,""[^A-Za-z]+ "",""""))"),"Daroco Group")</f>
        <v xml:space="preserve">Daroco Group</v>
      </c>
      <c r="G551" s="4" t="s">
        <v>3983</v>
      </c>
      <c r="H551" s="4">
        <v>36</v>
      </c>
      <c r="I551" s="4" t="s">
        <v>25</v>
      </c>
      <c r="J551" s="5" t="s">
        <v>3984</v>
      </c>
      <c r="K551" s="5" t="s">
        <v>107</v>
      </c>
      <c r="L551" s="4" t="s">
        <v>3985</v>
      </c>
      <c r="M551" s="4" t="s">
        <v>29</v>
      </c>
      <c r="N551" s="4" t="s">
        <v>108</v>
      </c>
      <c r="O551" s="4" t="s">
        <v>29</v>
      </c>
      <c r="P551" s="4" t="s">
        <v>109</v>
      </c>
      <c r="Q551" s="6"/>
      <c r="R551" s="6"/>
      <c r="S551" s="6"/>
      <c r="T551" s="6"/>
      <c r="U551" s="6"/>
      <c r="V551" s="6"/>
      <c r="W551" s="6"/>
      <c r="X551" s="6"/>
      <c r="Y551" s="6"/>
    </row>
    <row r="552" ht="14.25">
      <c r="B552" s="4" t="s">
        <v>3986</v>
      </c>
      <c r="C552" s="4" t="s">
        <v>3987</v>
      </c>
      <c r="D552" s="4" t="s">
        <v>3988</v>
      </c>
      <c r="E552" s="4" t="s">
        <v>3989</v>
      </c>
      <c r="F552" s="4" t="str">
        <f>IFERROR(__XLUDF.DUMMYFUNCTION("PROPER(REGEXREPLACE(D537,""[^A-Za-z]+ "",""""))"),"Yattaramen")</f>
        <v>Yattaramen</v>
      </c>
      <c r="G552" s="4" t="s">
        <v>3990</v>
      </c>
      <c r="H552" s="4">
        <v>30</v>
      </c>
      <c r="I552" s="4" t="s">
        <v>36</v>
      </c>
      <c r="J552" s="5" t="s">
        <v>3991</v>
      </c>
      <c r="K552" s="5" t="s">
        <v>3992</v>
      </c>
      <c r="L552" s="6"/>
      <c r="M552" s="4" t="s">
        <v>29</v>
      </c>
      <c r="N552" s="4" t="s">
        <v>3993</v>
      </c>
      <c r="O552" s="4" t="s">
        <v>29</v>
      </c>
      <c r="P552" s="4" t="s">
        <v>3994</v>
      </c>
      <c r="Q552" s="6"/>
      <c r="R552" s="6"/>
      <c r="S552" s="6"/>
      <c r="T552" s="6"/>
      <c r="U552" s="6"/>
      <c r="V552" s="6"/>
      <c r="W552" s="6"/>
      <c r="X552" s="6"/>
      <c r="Y552" s="6"/>
    </row>
    <row r="553" ht="14.25">
      <c r="B553" s="4" t="s">
        <v>206</v>
      </c>
      <c r="C553" s="4" t="s">
        <v>3372</v>
      </c>
      <c r="D553" s="4" t="s">
        <v>120</v>
      </c>
      <c r="E553" s="4" t="s">
        <v>121</v>
      </c>
      <c r="F553" s="4" t="str">
        <f>IFERROR(__XLUDF.DUMMYFUNCTION("PROPER(REGEXREPLACE(D538,""[^A-Za-z]+ "",""""))"),"Domaine Des Thomeaux")</f>
        <v xml:space="preserve">Domaine Des Thomeaux</v>
      </c>
      <c r="G553" s="4" t="s">
        <v>3995</v>
      </c>
      <c r="H553" s="4">
        <v>12</v>
      </c>
      <c r="I553" s="4" t="s">
        <v>36</v>
      </c>
      <c r="J553" s="5" t="s">
        <v>3996</v>
      </c>
      <c r="K553" s="5" t="s">
        <v>124</v>
      </c>
      <c r="L553" s="4" t="s">
        <v>1826</v>
      </c>
      <c r="M553" s="4" t="s">
        <v>29</v>
      </c>
      <c r="N553" s="4" t="s">
        <v>125</v>
      </c>
      <c r="O553" s="4" t="s">
        <v>29</v>
      </c>
      <c r="P553" s="4" t="s">
        <v>126</v>
      </c>
      <c r="Q553" s="6"/>
      <c r="R553" s="6"/>
      <c r="S553" s="6"/>
      <c r="T553" s="6"/>
      <c r="U553" s="6"/>
      <c r="V553" s="6"/>
      <c r="W553" s="6"/>
      <c r="X553" s="6"/>
      <c r="Y553" s="6"/>
    </row>
    <row r="554" ht="14.25">
      <c r="B554" s="4" t="s">
        <v>596</v>
      </c>
      <c r="C554" s="4" t="s">
        <v>3997</v>
      </c>
      <c r="D554" s="4" t="s">
        <v>365</v>
      </c>
      <c r="E554" s="4" t="s">
        <v>3998</v>
      </c>
      <c r="F554" s="4" t="str">
        <f>IFERROR(__XLUDF.DUMMYFUNCTION("PROPER(REGEXREPLACE(D539,""[^A-Za-z]+ "",""""))"),"Faern Hotels And Resorts")</f>
        <v xml:space="preserve">Faern Hotels And Resorts</v>
      </c>
      <c r="G554" s="4" t="s">
        <v>3999</v>
      </c>
      <c r="H554" s="4">
        <v>7</v>
      </c>
      <c r="I554" s="4" t="s">
        <v>36</v>
      </c>
      <c r="J554" s="5" t="s">
        <v>4000</v>
      </c>
      <c r="K554" s="5" t="s">
        <v>4001</v>
      </c>
      <c r="L554" s="4" t="s">
        <v>3898</v>
      </c>
      <c r="M554" s="4" t="s">
        <v>29</v>
      </c>
      <c r="N554" s="4" t="s">
        <v>4002</v>
      </c>
      <c r="O554" s="4" t="s">
        <v>29</v>
      </c>
      <c r="P554" s="6"/>
      <c r="Q554" s="6"/>
      <c r="R554" s="6"/>
      <c r="S554" s="6"/>
      <c r="T554" s="6"/>
      <c r="U554" s="6"/>
      <c r="V554" s="6"/>
      <c r="W554" s="6"/>
      <c r="X554" s="6"/>
      <c r="Y554" s="6"/>
    </row>
    <row r="555" ht="14.25">
      <c r="B555" s="4" t="s">
        <v>4003</v>
      </c>
      <c r="C555" s="4" t="s">
        <v>4004</v>
      </c>
      <c r="D555" s="4" t="s">
        <v>164</v>
      </c>
      <c r="E555" s="4" t="s">
        <v>4005</v>
      </c>
      <c r="F555" s="4" t="str">
        <f>IFERROR(__XLUDF.DUMMYFUNCTION("PROPER(REGEXREPLACE(D540,""[^A-Za-z]+ "",""""))"),"The D Homes Villa Management")</f>
        <v xml:space="preserve">The D Homes Villa Management</v>
      </c>
      <c r="G555" s="4" t="s">
        <v>4006</v>
      </c>
      <c r="H555" s="4">
        <v>13</v>
      </c>
      <c r="I555" s="4" t="s">
        <v>36</v>
      </c>
      <c r="J555" s="5" t="s">
        <v>4007</v>
      </c>
      <c r="K555" s="5" t="s">
        <v>4008</v>
      </c>
      <c r="L555" s="4" t="s">
        <v>4009</v>
      </c>
      <c r="M555" s="4" t="s">
        <v>29</v>
      </c>
      <c r="N555" s="4" t="s">
        <v>4010</v>
      </c>
      <c r="O555" s="4" t="s">
        <v>29</v>
      </c>
      <c r="P555" s="4" t="s">
        <v>4011</v>
      </c>
      <c r="Q555" s="6"/>
      <c r="R555" s="6"/>
      <c r="S555" s="6"/>
      <c r="T555" s="6"/>
      <c r="U555" s="6"/>
      <c r="V555" s="6"/>
      <c r="W555" s="6"/>
      <c r="X555" s="6"/>
      <c r="Y555" s="6"/>
    </row>
    <row r="556" ht="14.25">
      <c r="B556" s="4" t="s">
        <v>4012</v>
      </c>
      <c r="C556" s="4" t="s">
        <v>4013</v>
      </c>
      <c r="D556" s="4" t="s">
        <v>172</v>
      </c>
      <c r="E556" s="4" t="s">
        <v>4014</v>
      </c>
      <c r="F556" s="4" t="str">
        <f>IFERROR(__XLUDF.DUMMYFUNCTION("PROPER(REGEXREPLACE(D541,""[^A-Za-z]+ "",""""))"),"Tablesauberges De France")</f>
        <v xml:space="preserve">Tablesauberges De France</v>
      </c>
      <c r="G556" s="4" t="s">
        <v>4015</v>
      </c>
      <c r="H556" s="4">
        <v>20</v>
      </c>
      <c r="I556" s="4" t="s">
        <v>25</v>
      </c>
      <c r="J556" s="5" t="s">
        <v>4016</v>
      </c>
      <c r="K556" s="5" t="s">
        <v>4017</v>
      </c>
      <c r="L556" s="4" t="s">
        <v>39</v>
      </c>
      <c r="M556" s="4" t="s">
        <v>29</v>
      </c>
      <c r="N556" s="4" t="s">
        <v>4018</v>
      </c>
      <c r="O556" s="4" t="s">
        <v>29</v>
      </c>
      <c r="P556" s="6"/>
      <c r="Q556" s="6"/>
      <c r="R556" s="6"/>
      <c r="S556" s="6"/>
      <c r="T556" s="6"/>
      <c r="U556" s="6"/>
      <c r="V556" s="6"/>
      <c r="W556" s="6"/>
      <c r="X556" s="6"/>
      <c r="Y556" s="6"/>
    </row>
    <row r="557" ht="14.25">
      <c r="B557" s="4" t="s">
        <v>2720</v>
      </c>
      <c r="C557" s="4" t="s">
        <v>4019</v>
      </c>
      <c r="D557" s="4" t="s">
        <v>164</v>
      </c>
      <c r="E557" s="4" t="s">
        <v>4020</v>
      </c>
      <c r="F557" s="4" t="str">
        <f>IFERROR(__XLUDF.DUMMYFUNCTION("PROPER(REGEXREPLACE(D542,""[^A-Za-z]+ "",""""))"),"Edgar Hotelrestaurant")</f>
        <v xml:space="preserve">Edgar Hotelrestaurant</v>
      </c>
      <c r="G557" s="4" t="s">
        <v>4021</v>
      </c>
      <c r="H557" s="4">
        <v>10</v>
      </c>
      <c r="I557" s="4" t="s">
        <v>25</v>
      </c>
      <c r="J557" s="5" t="s">
        <v>4022</v>
      </c>
      <c r="K557" s="5" t="s">
        <v>4023</v>
      </c>
      <c r="L557" s="6"/>
      <c r="M557" s="4" t="s">
        <v>29</v>
      </c>
      <c r="N557" s="4" t="s">
        <v>4024</v>
      </c>
      <c r="O557" s="4" t="s">
        <v>29</v>
      </c>
      <c r="P557" s="4" t="s">
        <v>4025</v>
      </c>
      <c r="Q557" s="6"/>
      <c r="R557" s="6"/>
      <c r="S557" s="6"/>
      <c r="T557" s="6"/>
      <c r="U557" s="6"/>
      <c r="V557" s="6"/>
      <c r="W557" s="6"/>
      <c r="X557" s="6"/>
      <c r="Y557" s="6"/>
    </row>
    <row r="558" ht="14.25">
      <c r="B558" s="4" t="s">
        <v>4026</v>
      </c>
      <c r="C558" s="4" t="s">
        <v>4027</v>
      </c>
      <c r="D558" s="4" t="s">
        <v>426</v>
      </c>
      <c r="E558" s="4" t="s">
        <v>4028</v>
      </c>
      <c r="F558" s="4" t="str">
        <f>IFERROR(__XLUDF.DUMMYFUNCTION("PROPER(REGEXREPLACE(D543,""[^A-Za-z]+ "",""""))"),"Esprit Saint Germain")</f>
        <v xml:space="preserve">Esprit Saint Germain</v>
      </c>
      <c r="G558" s="4" t="s">
        <v>4029</v>
      </c>
      <c r="H558" s="4">
        <v>16</v>
      </c>
      <c r="I558" s="4" t="s">
        <v>25</v>
      </c>
      <c r="J558" s="5" t="s">
        <v>4030</v>
      </c>
      <c r="K558" s="5" t="s">
        <v>4031</v>
      </c>
      <c r="L558" s="6"/>
      <c r="M558" s="4" t="s">
        <v>29</v>
      </c>
      <c r="N558" s="4" t="s">
        <v>4032</v>
      </c>
      <c r="O558" s="4" t="s">
        <v>29</v>
      </c>
      <c r="P558" s="4" t="s">
        <v>4033</v>
      </c>
      <c r="Q558" s="6"/>
      <c r="R558" s="6"/>
      <c r="S558" s="6"/>
      <c r="T558" s="6"/>
      <c r="U558" s="6"/>
      <c r="V558" s="6"/>
      <c r="W558" s="6"/>
      <c r="X558" s="6"/>
      <c r="Y558" s="6"/>
    </row>
    <row r="559" ht="14.25">
      <c r="B559" s="4" t="s">
        <v>579</v>
      </c>
      <c r="C559" s="4" t="s">
        <v>4034</v>
      </c>
      <c r="D559" s="4" t="s">
        <v>172</v>
      </c>
      <c r="E559" s="4" t="s">
        <v>4035</v>
      </c>
      <c r="F559" s="4" t="str">
        <f>IFERROR(__XLUDF.DUMMYFUNCTION("PROPER(REGEXREPLACE(D544,""[^A-Za-z]+ "",""""))"),"Blondie Café")</f>
        <v xml:space="preserve">Blondie Café</v>
      </c>
      <c r="G559" s="4" t="s">
        <v>4036</v>
      </c>
      <c r="H559" s="4">
        <v>5</v>
      </c>
      <c r="I559" s="4" t="s">
        <v>36</v>
      </c>
      <c r="J559" s="5" t="s">
        <v>4037</v>
      </c>
      <c r="K559" s="5" t="s">
        <v>4038</v>
      </c>
      <c r="L559" s="4" t="s">
        <v>846</v>
      </c>
      <c r="M559" s="4" t="s">
        <v>29</v>
      </c>
      <c r="N559" s="4" t="s">
        <v>4039</v>
      </c>
      <c r="O559" s="4" t="s">
        <v>29</v>
      </c>
      <c r="P559" s="4" t="s">
        <v>4040</v>
      </c>
      <c r="Q559" s="6"/>
      <c r="R559" s="6"/>
      <c r="S559" s="6"/>
      <c r="T559" s="6"/>
      <c r="U559" s="6"/>
      <c r="V559" s="6"/>
      <c r="W559" s="6"/>
      <c r="X559" s="6"/>
      <c r="Y559" s="6"/>
    </row>
    <row r="560" ht="14.25">
      <c r="B560" s="4" t="s">
        <v>4041</v>
      </c>
      <c r="C560" s="4" t="s">
        <v>4042</v>
      </c>
      <c r="D560" s="4" t="s">
        <v>341</v>
      </c>
      <c r="E560" s="4" t="s">
        <v>4043</v>
      </c>
      <c r="F560" s="4" t="str">
        <f>IFERROR(__XLUDF.DUMMYFUNCTION("PROPER(REGEXREPLACE(D545,""[^A-Za-z]+ "",""""))"),"Grand Tonic Hôtel Biarritz")</f>
        <v xml:space="preserve">Grand Tonic Hôtel Biarritz</v>
      </c>
      <c r="G560" s="4" t="s">
        <v>4044</v>
      </c>
      <c r="H560" s="4">
        <v>3</v>
      </c>
      <c r="I560" s="4" t="s">
        <v>36</v>
      </c>
      <c r="J560" s="5" t="s">
        <v>4045</v>
      </c>
      <c r="K560" s="5" t="s">
        <v>4046</v>
      </c>
      <c r="L560" s="4" t="s">
        <v>39</v>
      </c>
      <c r="M560" s="4" t="s">
        <v>29</v>
      </c>
      <c r="N560" s="4" t="s">
        <v>4047</v>
      </c>
      <c r="O560" s="4" t="s">
        <v>29</v>
      </c>
      <c r="P560" s="6"/>
      <c r="Q560" s="6"/>
      <c r="R560" s="6"/>
      <c r="S560" s="6"/>
      <c r="T560" s="6"/>
      <c r="U560" s="6"/>
      <c r="V560" s="6"/>
      <c r="W560" s="6"/>
      <c r="X560" s="6"/>
      <c r="Y560" s="6"/>
    </row>
    <row r="561" ht="14.25">
      <c r="B561" s="4" t="s">
        <v>4048</v>
      </c>
      <c r="C561" s="4" t="s">
        <v>4049</v>
      </c>
      <c r="D561" s="4" t="s">
        <v>4050</v>
      </c>
      <c r="E561" s="4" t="s">
        <v>4051</v>
      </c>
      <c r="F561" s="4" t="str">
        <f>IFERROR(__XLUDF.DUMMYFUNCTION("PROPER(REGEXREPLACE(D546,""[^A-Za-z]+ "",""""))"),"Najeti Hôtelsgolfs Collection")</f>
        <v xml:space="preserve">Najeti Hôtelsgolfs Collection</v>
      </c>
      <c r="G561" s="4" t="s">
        <v>4052</v>
      </c>
      <c r="H561" s="4">
        <v>4</v>
      </c>
      <c r="I561" s="4" t="s">
        <v>36</v>
      </c>
      <c r="J561" s="5" t="s">
        <v>4053</v>
      </c>
      <c r="K561" s="5" t="s">
        <v>4054</v>
      </c>
      <c r="L561" s="4" t="s">
        <v>243</v>
      </c>
      <c r="M561" s="4" t="s">
        <v>29</v>
      </c>
      <c r="N561" s="4" t="s">
        <v>1533</v>
      </c>
      <c r="O561" s="4" t="s">
        <v>29</v>
      </c>
      <c r="P561" s="4" t="s">
        <v>4055</v>
      </c>
      <c r="Q561" s="6"/>
      <c r="R561" s="6"/>
      <c r="S561" s="6"/>
      <c r="T561" s="6"/>
      <c r="U561" s="6"/>
      <c r="V561" s="6"/>
      <c r="W561" s="6"/>
      <c r="X561" s="6"/>
      <c r="Y561" s="6"/>
    </row>
    <row r="562" ht="14.25">
      <c r="B562" s="4" t="s">
        <v>1198</v>
      </c>
      <c r="C562" s="4" t="s">
        <v>4056</v>
      </c>
      <c r="D562" s="4" t="s">
        <v>468</v>
      </c>
      <c r="E562" s="4" t="s">
        <v>4057</v>
      </c>
      <c r="F562" s="4" t="str">
        <f>IFERROR(__XLUDF.DUMMYFUNCTION("PROPER(REGEXREPLACE(D547,""[^A-Za-z]+ "",""""))"),"Coben Group")</f>
        <v xml:space="preserve">Coben Group</v>
      </c>
      <c r="G562" s="4" t="s">
        <v>4058</v>
      </c>
      <c r="H562" s="4">
        <v>21</v>
      </c>
      <c r="I562" s="4" t="s">
        <v>25</v>
      </c>
      <c r="J562" s="5" t="s">
        <v>4059</v>
      </c>
      <c r="K562" s="5" t="s">
        <v>4060</v>
      </c>
      <c r="L562" s="4" t="s">
        <v>39</v>
      </c>
      <c r="M562" s="4" t="s">
        <v>29</v>
      </c>
      <c r="N562" s="4" t="s">
        <v>4061</v>
      </c>
      <c r="O562" s="4" t="s">
        <v>29</v>
      </c>
      <c r="P562" s="4" t="s">
        <v>4062</v>
      </c>
      <c r="Q562" s="6"/>
      <c r="R562" s="6"/>
      <c r="S562" s="6"/>
      <c r="T562" s="6"/>
      <c r="U562" s="6"/>
      <c r="V562" s="6"/>
      <c r="W562" s="6"/>
      <c r="X562" s="6"/>
      <c r="Y562" s="6"/>
    </row>
    <row r="563" ht="14.25">
      <c r="B563" s="4" t="s">
        <v>4063</v>
      </c>
      <c r="C563" s="4" t="s">
        <v>4064</v>
      </c>
      <c r="D563" s="4" t="s">
        <v>487</v>
      </c>
      <c r="E563" s="4" t="s">
        <v>4065</v>
      </c>
      <c r="F563" s="4" t="str">
        <f>IFERROR(__XLUDF.DUMMYFUNCTION("PROPER(REGEXREPLACE(D548,""[^A-Za-z]+ "",""""))"),"Maslow Group")</f>
        <v xml:space="preserve">Maslow Group</v>
      </c>
      <c r="G563" s="4" t="s">
        <v>4066</v>
      </c>
      <c r="H563" s="4">
        <v>15</v>
      </c>
      <c r="I563" s="4" t="s">
        <v>4067</v>
      </c>
      <c r="J563" s="5" t="s">
        <v>4068</v>
      </c>
      <c r="K563" s="5" t="s">
        <v>4069</v>
      </c>
      <c r="L563" s="4" t="s">
        <v>39</v>
      </c>
      <c r="M563" s="4" t="s">
        <v>29</v>
      </c>
      <c r="N563" s="4" t="s">
        <v>611</v>
      </c>
      <c r="O563" s="4" t="s">
        <v>29</v>
      </c>
      <c r="P563" s="4" t="s">
        <v>4070</v>
      </c>
      <c r="Q563" s="6"/>
      <c r="R563" s="6"/>
      <c r="S563" s="6"/>
      <c r="T563" s="6"/>
      <c r="U563" s="6"/>
      <c r="V563" s="6"/>
      <c r="W563" s="6"/>
      <c r="X563" s="6"/>
      <c r="Y563" s="6"/>
    </row>
    <row r="564" ht="14.25">
      <c r="B564" s="4" t="s">
        <v>1740</v>
      </c>
      <c r="C564" s="4" t="s">
        <v>4071</v>
      </c>
      <c r="D564" s="4" t="s">
        <v>4072</v>
      </c>
      <c r="E564" s="4" t="s">
        <v>4073</v>
      </c>
      <c r="F564" s="4" t="str">
        <f>IFERROR(__XLUDF.DUMMYFUNCTION("PROPER(REGEXREPLACE(D549,""[^A-Za-z]+ "",""""))"),"Aristide Hôtel")</f>
        <v xml:space="preserve">Aristide Hôtel</v>
      </c>
      <c r="G564" s="4" t="s">
        <v>4074</v>
      </c>
      <c r="H564" s="4">
        <v>4</v>
      </c>
      <c r="I564" s="4" t="s">
        <v>25</v>
      </c>
      <c r="J564" s="5" t="s">
        <v>4075</v>
      </c>
      <c r="K564" s="5" t="s">
        <v>4076</v>
      </c>
      <c r="L564" s="4" t="s">
        <v>651</v>
      </c>
      <c r="M564" s="4" t="s">
        <v>29</v>
      </c>
      <c r="N564" s="4" t="s">
        <v>4077</v>
      </c>
      <c r="O564" s="4" t="s">
        <v>4078</v>
      </c>
      <c r="P564" s="6"/>
      <c r="Q564" s="6"/>
      <c r="R564" s="6"/>
      <c r="S564" s="6"/>
      <c r="T564" s="6"/>
      <c r="U564" s="6"/>
      <c r="V564" s="6"/>
      <c r="W564" s="6"/>
      <c r="X564" s="6"/>
      <c r="Y564" s="6"/>
    </row>
    <row r="565" ht="14.25">
      <c r="B565" s="4" t="s">
        <v>4079</v>
      </c>
      <c r="C565" s="4" t="s">
        <v>4080</v>
      </c>
      <c r="D565" s="4" t="s">
        <v>44</v>
      </c>
      <c r="E565" s="4" t="s">
        <v>4081</v>
      </c>
      <c r="F565" s="4" t="str">
        <f>IFERROR(__XLUDF.DUMMYFUNCTION("PROPER(REGEXREPLACE(D550,""[^A-Za-z]+ "",""""))"),"Smily Formerly Bookingsync")</f>
        <v xml:space="preserve">Smily Formerly Bookingsync</v>
      </c>
      <c r="G565" s="4" t="s">
        <v>4082</v>
      </c>
      <c r="H565" s="4">
        <v>6</v>
      </c>
      <c r="I565" s="4" t="s">
        <v>36</v>
      </c>
      <c r="J565" s="5" t="s">
        <v>4083</v>
      </c>
      <c r="K565" s="5" t="s">
        <v>4084</v>
      </c>
      <c r="L565" s="4" t="s">
        <v>185</v>
      </c>
      <c r="M565" s="4" t="s">
        <v>29</v>
      </c>
      <c r="N565" s="4" t="s">
        <v>125</v>
      </c>
      <c r="O565" s="4" t="s">
        <v>29</v>
      </c>
      <c r="P565" s="4" t="s">
        <v>4085</v>
      </c>
      <c r="Q565" s="6"/>
      <c r="R565" s="6"/>
      <c r="S565" s="6"/>
      <c r="T565" s="6"/>
      <c r="U565" s="6"/>
      <c r="V565" s="6"/>
      <c r="W565" s="6"/>
      <c r="X565" s="6"/>
      <c r="Y565" s="6"/>
    </row>
    <row r="566" ht="14.25">
      <c r="B566" s="4" t="s">
        <v>808</v>
      </c>
      <c r="C566" s="4" t="s">
        <v>4086</v>
      </c>
      <c r="D566" s="4" t="s">
        <v>4087</v>
      </c>
      <c r="E566" s="4" t="s">
        <v>4088</v>
      </c>
      <c r="F566" s="4" t="str">
        <f>IFERROR(__XLUDF.DUMMYFUNCTION("PROPER(REGEXREPLACE(D551,""[^A-Za-z]+ "",""""))"),"Oléla")</f>
        <v>Oléla</v>
      </c>
      <c r="G566" s="4" t="s">
        <v>4089</v>
      </c>
      <c r="H566" s="4">
        <v>10</v>
      </c>
      <c r="I566" s="4" t="s">
        <v>25</v>
      </c>
      <c r="J566" s="5" t="s">
        <v>4090</v>
      </c>
      <c r="K566" s="5" t="s">
        <v>4091</v>
      </c>
      <c r="L566" s="6"/>
      <c r="M566" s="4" t="s">
        <v>29</v>
      </c>
      <c r="N566" s="4" t="s">
        <v>4092</v>
      </c>
      <c r="O566" s="4" t="s">
        <v>29</v>
      </c>
      <c r="P566" s="4" t="s">
        <v>4093</v>
      </c>
      <c r="Q566" s="6"/>
      <c r="R566" s="6"/>
      <c r="S566" s="6"/>
      <c r="T566" s="6"/>
      <c r="U566" s="6"/>
      <c r="V566" s="6"/>
      <c r="W566" s="6"/>
      <c r="X566" s="6"/>
      <c r="Y566" s="6"/>
    </row>
    <row r="567" ht="14.25">
      <c r="B567" s="4" t="s">
        <v>4094</v>
      </c>
      <c r="C567" s="4" t="s">
        <v>4095</v>
      </c>
      <c r="D567" s="4" t="s">
        <v>62</v>
      </c>
      <c r="E567" s="4" t="s">
        <v>4096</v>
      </c>
      <c r="F567" s="4" t="str">
        <f>IFERROR(__XLUDF.DUMMYFUNCTION("PROPER(REGEXREPLACE(D552,""[^A-Za-z]+ "",""""))"),"Mersea")</f>
        <v>Mersea</v>
      </c>
      <c r="G567" s="4" t="s">
        <v>4097</v>
      </c>
      <c r="H567" s="4">
        <v>8</v>
      </c>
      <c r="I567" s="4" t="s">
        <v>157</v>
      </c>
      <c r="J567" s="5" t="s">
        <v>4098</v>
      </c>
      <c r="K567" s="5" t="s">
        <v>4099</v>
      </c>
      <c r="L567" s="4" t="s">
        <v>1711</v>
      </c>
      <c r="M567" s="4" t="s">
        <v>29</v>
      </c>
      <c r="N567" s="4" t="s">
        <v>4100</v>
      </c>
      <c r="O567" s="4" t="s">
        <v>29</v>
      </c>
      <c r="P567" s="6"/>
      <c r="Q567" s="6"/>
      <c r="R567" s="6"/>
      <c r="S567" s="6"/>
      <c r="T567" s="6"/>
      <c r="U567" s="6"/>
      <c r="V567" s="6"/>
      <c r="W567" s="6"/>
      <c r="X567" s="6"/>
      <c r="Y567" s="6"/>
    </row>
    <row r="568" ht="14.25">
      <c r="B568" s="4" t="s">
        <v>769</v>
      </c>
      <c r="C568" s="4" t="s">
        <v>4101</v>
      </c>
      <c r="D568" s="4" t="s">
        <v>4102</v>
      </c>
      <c r="E568" s="4" t="s">
        <v>4103</v>
      </c>
      <c r="F568" s="4" t="str">
        <f>IFERROR(__XLUDF.DUMMYFUNCTION("PROPER(REGEXREPLACE(D553,""[^A-Za-z]+ "",""""))"),"Food'Lab")</f>
        <v>Food'Lab</v>
      </c>
      <c r="G568" s="4" t="s">
        <v>4104</v>
      </c>
      <c r="H568" s="4">
        <v>31</v>
      </c>
      <c r="I568" s="4" t="s">
        <v>36</v>
      </c>
      <c r="J568" s="5" t="s">
        <v>4105</v>
      </c>
      <c r="K568" s="5" t="s">
        <v>4106</v>
      </c>
      <c r="L568" s="4" t="s">
        <v>39</v>
      </c>
      <c r="M568" s="4" t="s">
        <v>29</v>
      </c>
      <c r="N568" s="4" t="s">
        <v>4107</v>
      </c>
      <c r="O568" s="4" t="s">
        <v>29</v>
      </c>
      <c r="P568" s="4" t="s">
        <v>4108</v>
      </c>
      <c r="Q568" s="6"/>
      <c r="R568" s="6"/>
      <c r="S568" s="6"/>
      <c r="T568" s="6"/>
      <c r="U568" s="6"/>
      <c r="V568" s="6"/>
      <c r="W568" s="6"/>
      <c r="X568" s="6"/>
      <c r="Y568" s="6"/>
    </row>
    <row r="569" ht="14.25">
      <c r="B569" s="4" t="s">
        <v>866</v>
      </c>
      <c r="C569" s="4" t="s">
        <v>4109</v>
      </c>
      <c r="D569" s="4" t="s">
        <v>87</v>
      </c>
      <c r="E569" s="4" t="s">
        <v>4110</v>
      </c>
      <c r="F569" s="4" t="str">
        <f>IFERROR(__XLUDF.DUMMYFUNCTION("PROPER(REGEXREPLACE(D554,""[^A-Za-z]+ "",""""))"),"Smäak Scandinavian Food")</f>
        <v xml:space="preserve">Smäak Scandinavian Food</v>
      </c>
      <c r="G569" s="4" t="s">
        <v>4111</v>
      </c>
      <c r="H569" s="4">
        <v>24</v>
      </c>
      <c r="I569" s="4" t="s">
        <v>157</v>
      </c>
      <c r="J569" s="5" t="s">
        <v>4112</v>
      </c>
      <c r="K569" s="5" t="s">
        <v>4113</v>
      </c>
      <c r="L569" s="4" t="s">
        <v>1507</v>
      </c>
      <c r="M569" s="4" t="s">
        <v>29</v>
      </c>
      <c r="N569" s="4" t="s">
        <v>1851</v>
      </c>
      <c r="O569" s="4" t="s">
        <v>29</v>
      </c>
      <c r="P569" s="4" t="s">
        <v>4114</v>
      </c>
      <c r="Q569" s="6"/>
      <c r="R569" s="6"/>
      <c r="S569" s="6"/>
      <c r="T569" s="6"/>
      <c r="U569" s="6"/>
      <c r="V569" s="6"/>
      <c r="W569" s="6"/>
      <c r="X569" s="6"/>
      <c r="Y569" s="6"/>
    </row>
    <row r="570" ht="14.25">
      <c r="B570" s="4" t="s">
        <v>4115</v>
      </c>
      <c r="C570" s="4" t="s">
        <v>4116</v>
      </c>
      <c r="D570" s="4" t="s">
        <v>4117</v>
      </c>
      <c r="E570" s="4" t="s">
        <v>4118</v>
      </c>
      <c r="F570" s="4" t="str">
        <f>IFERROR(__XLUDF.DUMMYFUNCTION("PROPER(REGEXREPLACE(D555,""[^A-Za-z]+ "",""""))"),"Lapierre Traiteur")</f>
        <v xml:space="preserve">Lapierre Traiteur</v>
      </c>
      <c r="G570" s="4" t="s">
        <v>4119</v>
      </c>
      <c r="H570" s="4">
        <v>11</v>
      </c>
      <c r="I570" s="4" t="s">
        <v>36</v>
      </c>
      <c r="J570" s="5" t="s">
        <v>4120</v>
      </c>
      <c r="K570" s="5" t="s">
        <v>4121</v>
      </c>
      <c r="L570" s="4" t="s">
        <v>39</v>
      </c>
      <c r="M570" s="4" t="s">
        <v>29</v>
      </c>
      <c r="N570" s="4" t="s">
        <v>4122</v>
      </c>
      <c r="O570" s="4" t="s">
        <v>2666</v>
      </c>
      <c r="P570" s="4" t="s">
        <v>4123</v>
      </c>
      <c r="Q570" s="6"/>
      <c r="R570" s="6"/>
      <c r="S570" s="6"/>
      <c r="T570" s="6"/>
      <c r="U570" s="6"/>
      <c r="V570" s="6"/>
      <c r="W570" s="6"/>
      <c r="X570" s="6"/>
      <c r="Y570" s="6"/>
    </row>
    <row r="571" ht="14.25">
      <c r="B571" s="4" t="s">
        <v>2119</v>
      </c>
      <c r="C571" s="4" t="s">
        <v>4124</v>
      </c>
      <c r="D571" s="4" t="s">
        <v>4125</v>
      </c>
      <c r="E571" s="4" t="s">
        <v>4126</v>
      </c>
      <c r="F571" s="4" t="str">
        <f>IFERROR(__XLUDF.DUMMYFUNCTION("PROPER(REGEXREPLACE(D556,""[^A-Za-z]+ "",""""))"),"Ussim Vacances")</f>
        <v xml:space="preserve">Ussim Vacances</v>
      </c>
      <c r="G571" s="4" t="s">
        <v>4127</v>
      </c>
      <c r="H571" s="4">
        <v>12</v>
      </c>
      <c r="I571" s="4" t="s">
        <v>36</v>
      </c>
      <c r="J571" s="5" t="s">
        <v>4128</v>
      </c>
      <c r="K571" s="5" t="s">
        <v>4129</v>
      </c>
      <c r="L571" s="4" t="s">
        <v>716</v>
      </c>
      <c r="M571" s="4" t="s">
        <v>29</v>
      </c>
      <c r="N571" s="4" t="s">
        <v>4130</v>
      </c>
      <c r="O571" s="4" t="s">
        <v>29</v>
      </c>
      <c r="P571" s="4" t="s">
        <v>4131</v>
      </c>
      <c r="Q571" s="6"/>
      <c r="R571" s="6"/>
      <c r="S571" s="6"/>
      <c r="T571" s="6"/>
      <c r="U571" s="6"/>
      <c r="V571" s="6"/>
      <c r="W571" s="6"/>
      <c r="X571" s="6"/>
      <c r="Y571" s="6"/>
    </row>
    <row r="572" ht="14.25">
      <c r="B572" s="4" t="s">
        <v>4132</v>
      </c>
      <c r="C572" s="4" t="s">
        <v>4133</v>
      </c>
      <c r="D572" s="4" t="s">
        <v>44</v>
      </c>
      <c r="E572" s="4" t="s">
        <v>4134</v>
      </c>
      <c r="F572" s="4" t="str">
        <f>IFERROR(__XLUDF.DUMMYFUNCTION("PROPER(REGEXREPLACE(D557,""[^A-Za-z]+ "",""""))"),"Hôtel De L'Abbaye Saint-Germain-Des-Prés")</f>
        <v xml:space="preserve">Hôtel De L'Abbaye Saint-Germain-Des-Prés</v>
      </c>
      <c r="G572" s="4" t="s">
        <v>4135</v>
      </c>
      <c r="H572" s="4">
        <v>29</v>
      </c>
      <c r="I572" s="4" t="s">
        <v>25</v>
      </c>
      <c r="J572" s="5" t="s">
        <v>4136</v>
      </c>
      <c r="K572" s="5" t="s">
        <v>4137</v>
      </c>
      <c r="L572" s="4" t="s">
        <v>203</v>
      </c>
      <c r="M572" s="4" t="s">
        <v>29</v>
      </c>
      <c r="N572" s="4" t="s">
        <v>4138</v>
      </c>
      <c r="O572" s="4" t="s">
        <v>29</v>
      </c>
      <c r="P572" s="6"/>
      <c r="Q572" s="6"/>
      <c r="R572" s="6"/>
      <c r="S572" s="6"/>
      <c r="T572" s="6"/>
      <c r="U572" s="6"/>
      <c r="V572" s="6"/>
      <c r="W572" s="6"/>
      <c r="X572" s="6"/>
      <c r="Y572" s="6"/>
    </row>
    <row r="573" ht="14.25">
      <c r="B573" s="4" t="s">
        <v>4139</v>
      </c>
      <c r="C573" s="4" t="s">
        <v>4140</v>
      </c>
      <c r="D573" s="4" t="s">
        <v>62</v>
      </c>
      <c r="E573" s="4" t="s">
        <v>1373</v>
      </c>
      <c r="F573" s="4" t="str">
        <f>IFERROR(__XLUDF.DUMMYFUNCTION("PROPER(REGEXREPLACE(D558,""[^A-Za-z]+ "",""""))"),"Societe Des Hotels Litteraires")</f>
        <v xml:space="preserve">Societe Des Hotels Litteraires</v>
      </c>
      <c r="G573" s="4" t="s">
        <v>4141</v>
      </c>
      <c r="H573" s="4">
        <v>5</v>
      </c>
      <c r="I573" s="4" t="s">
        <v>25</v>
      </c>
      <c r="J573" s="5" t="s">
        <v>4142</v>
      </c>
      <c r="K573" s="5" t="s">
        <v>1376</v>
      </c>
      <c r="L573" s="4" t="s">
        <v>39</v>
      </c>
      <c r="M573" s="4" t="s">
        <v>29</v>
      </c>
      <c r="N573" s="4" t="s">
        <v>1377</v>
      </c>
      <c r="O573" s="4" t="s">
        <v>29</v>
      </c>
      <c r="P573" s="4" t="s">
        <v>1378</v>
      </c>
      <c r="Q573" s="6"/>
      <c r="R573" s="6"/>
      <c r="S573" s="6"/>
      <c r="T573" s="6"/>
      <c r="U573" s="6"/>
      <c r="V573" s="6"/>
      <c r="W573" s="6"/>
      <c r="X573" s="6"/>
      <c r="Y573" s="6"/>
    </row>
    <row r="574" ht="14.25">
      <c r="B574" s="4" t="s">
        <v>622</v>
      </c>
      <c r="C574" s="4" t="s">
        <v>4143</v>
      </c>
      <c r="D574" s="4" t="s">
        <v>172</v>
      </c>
      <c r="E574" s="4" t="s">
        <v>3083</v>
      </c>
      <c r="F574" s="4" t="str">
        <f>IFERROR(__XLUDF.DUMMYFUNCTION("PROPER(REGEXREPLACE(D559,""[^A-Za-z]+ "",""""))"),"Chez Madeleine Noyelles-Godault")</f>
        <v xml:space="preserve">Chez Madeleine Noyelles-Godault</v>
      </c>
      <c r="G574" s="4" t="s">
        <v>4144</v>
      </c>
      <c r="H574" s="4">
        <v>17</v>
      </c>
      <c r="I574" s="4" t="s">
        <v>36</v>
      </c>
      <c r="J574" s="5" t="s">
        <v>4145</v>
      </c>
      <c r="K574" s="5" t="s">
        <v>3086</v>
      </c>
      <c r="L574" s="4" t="s">
        <v>49</v>
      </c>
      <c r="M574" s="4" t="s">
        <v>29</v>
      </c>
      <c r="N574" s="4" t="s">
        <v>3087</v>
      </c>
      <c r="O574" s="4" t="s">
        <v>29</v>
      </c>
      <c r="P574" s="4" t="s">
        <v>3088</v>
      </c>
      <c r="Q574" s="6"/>
      <c r="R574" s="6"/>
      <c r="S574" s="6"/>
      <c r="T574" s="6"/>
      <c r="U574" s="6"/>
      <c r="V574" s="6"/>
      <c r="W574" s="6"/>
      <c r="X574" s="6"/>
      <c r="Y574" s="6"/>
    </row>
    <row r="575" ht="14.25">
      <c r="B575" s="4" t="s">
        <v>4146</v>
      </c>
      <c r="C575" s="4" t="s">
        <v>4147</v>
      </c>
      <c r="D575" s="4" t="s">
        <v>172</v>
      </c>
      <c r="E575" s="4" t="s">
        <v>4148</v>
      </c>
      <c r="F575" s="4" t="str">
        <f>IFERROR(__XLUDF.DUMMYFUNCTION("PROPER(REGEXREPLACE(D560,""[^A-Za-z]+ "",""""))"),"Kolam Paris")</f>
        <v xml:space="preserve">Kolam Paris</v>
      </c>
      <c r="G575" s="4" t="s">
        <v>4149</v>
      </c>
      <c r="H575" s="4">
        <v>50</v>
      </c>
      <c r="I575" s="4" t="s">
        <v>25</v>
      </c>
      <c r="J575" s="5" t="s">
        <v>4150</v>
      </c>
      <c r="K575" s="5" t="s">
        <v>4151</v>
      </c>
      <c r="L575" s="4" t="s">
        <v>39</v>
      </c>
      <c r="M575" s="4" t="s">
        <v>29</v>
      </c>
      <c r="N575" s="4" t="s">
        <v>4152</v>
      </c>
      <c r="O575" s="4" t="s">
        <v>29</v>
      </c>
      <c r="P575" s="4" t="s">
        <v>4153</v>
      </c>
      <c r="Q575" s="6"/>
      <c r="R575" s="6"/>
      <c r="S575" s="6"/>
      <c r="T575" s="6"/>
      <c r="U575" s="6"/>
      <c r="V575" s="6"/>
      <c r="W575" s="6"/>
      <c r="X575" s="6"/>
      <c r="Y575" s="6"/>
    </row>
    <row r="576" ht="14.25">
      <c r="B576" s="4" t="s">
        <v>670</v>
      </c>
      <c r="C576" s="4" t="s">
        <v>4154</v>
      </c>
      <c r="D576" s="4" t="s">
        <v>120</v>
      </c>
      <c r="E576" s="4" t="s">
        <v>4155</v>
      </c>
      <c r="F576" s="4" t="str">
        <f>IFERROR(__XLUDF.DUMMYFUNCTION("PROPER(REGEXREPLACE(D561,""[^A-Za-z]+ "",""""))"),"Pof France")</f>
        <v xml:space="preserve">Pof France</v>
      </c>
      <c r="G576" s="4" t="s">
        <v>4156</v>
      </c>
      <c r="H576" s="4">
        <v>10</v>
      </c>
      <c r="I576" s="4" t="s">
        <v>36</v>
      </c>
      <c r="J576" s="5" t="s">
        <v>4157</v>
      </c>
      <c r="K576" s="5" t="s">
        <v>4158</v>
      </c>
      <c r="L576" s="4" t="s">
        <v>39</v>
      </c>
      <c r="M576" s="4" t="s">
        <v>29</v>
      </c>
      <c r="N576" s="4" t="s">
        <v>4159</v>
      </c>
      <c r="O576" s="4" t="s">
        <v>29</v>
      </c>
      <c r="P576" s="4" t="s">
        <v>4160</v>
      </c>
      <c r="Q576" s="6"/>
      <c r="R576" s="6"/>
      <c r="S576" s="6"/>
      <c r="T576" s="6"/>
      <c r="U576" s="6"/>
      <c r="V576" s="6"/>
      <c r="W576" s="6"/>
      <c r="X576" s="6"/>
      <c r="Y576" s="6"/>
    </row>
    <row r="577" ht="14.25">
      <c r="B577" s="4" t="s">
        <v>4161</v>
      </c>
      <c r="C577" s="4" t="s">
        <v>4162</v>
      </c>
      <c r="D577" s="4" t="s">
        <v>120</v>
      </c>
      <c r="E577" s="4" t="s">
        <v>4163</v>
      </c>
      <c r="F577" s="4" t="str">
        <f>IFERROR(__XLUDF.DUMMYFUNCTION("PROPER(REGEXREPLACE(D562,""[^A-Za-z]+ "",""""))"),"Xperteo")</f>
        <v>Xperteo</v>
      </c>
      <c r="G577" s="4" t="s">
        <v>4164</v>
      </c>
      <c r="H577" s="4">
        <v>47</v>
      </c>
      <c r="I577" s="4" t="s">
        <v>36</v>
      </c>
      <c r="J577" s="5" t="s">
        <v>4165</v>
      </c>
      <c r="K577" s="5" t="s">
        <v>4166</v>
      </c>
      <c r="L577" s="6"/>
      <c r="M577" s="4" t="s">
        <v>29</v>
      </c>
      <c r="N577" s="4" t="s">
        <v>4167</v>
      </c>
      <c r="O577" s="4" t="s">
        <v>29</v>
      </c>
      <c r="P577" s="4" t="s">
        <v>4168</v>
      </c>
      <c r="Q577" s="6"/>
      <c r="R577" s="6"/>
      <c r="S577" s="6"/>
      <c r="T577" s="6"/>
      <c r="U577" s="6"/>
      <c r="V577" s="6"/>
      <c r="W577" s="6"/>
      <c r="X577" s="6"/>
      <c r="Y577" s="6"/>
    </row>
    <row r="578" ht="14.25">
      <c r="B578" s="4" t="s">
        <v>4169</v>
      </c>
      <c r="C578" s="4" t="s">
        <v>4170</v>
      </c>
      <c r="D578" s="4" t="s">
        <v>120</v>
      </c>
      <c r="E578" s="4" t="s">
        <v>4171</v>
      </c>
      <c r="F578" s="4" t="str">
        <f>IFERROR(__XLUDF.DUMMYFUNCTION("PROPER(REGEXREPLACE(D563,""[^A-Za-z]+ "",""""))"),"Bkap Stratégies")</f>
        <v xml:space="preserve">Bkap Stratégies</v>
      </c>
      <c r="G578" s="4" t="s">
        <v>4172</v>
      </c>
      <c r="H578" s="4">
        <v>4</v>
      </c>
      <c r="I578" s="4" t="s">
        <v>36</v>
      </c>
      <c r="J578" s="5" t="s">
        <v>4173</v>
      </c>
      <c r="K578" s="5" t="s">
        <v>4174</v>
      </c>
      <c r="L578" s="4" t="s">
        <v>3685</v>
      </c>
      <c r="M578" s="4" t="s">
        <v>29</v>
      </c>
      <c r="N578" s="4" t="s">
        <v>4175</v>
      </c>
      <c r="O578" s="4" t="s">
        <v>29</v>
      </c>
      <c r="P578" s="4" t="s">
        <v>4176</v>
      </c>
      <c r="Q578" s="6"/>
      <c r="R578" s="6"/>
      <c r="S578" s="6"/>
      <c r="T578" s="6"/>
      <c r="U578" s="6"/>
      <c r="V578" s="6"/>
      <c r="W578" s="6"/>
      <c r="X578" s="6"/>
      <c r="Y578" s="6"/>
    </row>
    <row r="579" ht="14.25">
      <c r="B579" s="4" t="s">
        <v>4177</v>
      </c>
      <c r="C579" s="4" t="s">
        <v>4178</v>
      </c>
      <c r="D579" s="4" t="s">
        <v>164</v>
      </c>
      <c r="E579" s="4" t="s">
        <v>4179</v>
      </c>
      <c r="F579" s="4" t="str">
        <f>IFERROR(__XLUDF.DUMMYFUNCTION("PROPER(REGEXREPLACE(D564,""[^A-Za-z]+ "",""""))"),"Restho Hospitality")</f>
        <v xml:space="preserve">Restho Hospitality</v>
      </c>
      <c r="G579" s="4" t="s">
        <v>4180</v>
      </c>
      <c r="H579" s="4">
        <v>30</v>
      </c>
      <c r="I579" s="4" t="s">
        <v>25</v>
      </c>
      <c r="J579" s="5" t="s">
        <v>4181</v>
      </c>
      <c r="K579" s="5" t="s">
        <v>4182</v>
      </c>
      <c r="L579" s="6"/>
      <c r="M579" s="4" t="s">
        <v>29</v>
      </c>
      <c r="N579" s="4" t="s">
        <v>4183</v>
      </c>
      <c r="O579" s="4" t="s">
        <v>29</v>
      </c>
      <c r="P579" s="4" t="s">
        <v>4184</v>
      </c>
      <c r="Q579" s="6"/>
      <c r="R579" s="6"/>
      <c r="S579" s="6"/>
      <c r="T579" s="6"/>
      <c r="U579" s="6"/>
      <c r="V579" s="6"/>
      <c r="W579" s="6"/>
      <c r="X579" s="6"/>
      <c r="Y579" s="6"/>
    </row>
    <row r="580" ht="14.25">
      <c r="B580" s="4" t="s">
        <v>1215</v>
      </c>
      <c r="C580" s="4" t="s">
        <v>4185</v>
      </c>
      <c r="D580" s="4" t="s">
        <v>426</v>
      </c>
      <c r="E580" s="4" t="s">
        <v>2684</v>
      </c>
      <c r="F580" s="4" t="str">
        <f>IFERROR(__XLUDF.DUMMYFUNCTION("PROPER(REGEXREPLACE(D565,""[^A-Za-z]+ "",""""))"),"Le Grand Liban")</f>
        <v xml:space="preserve">Le Grand Liban</v>
      </c>
      <c r="G580" s="4" t="s">
        <v>4186</v>
      </c>
      <c r="H580" s="4">
        <v>52</v>
      </c>
      <c r="I580" s="4" t="s">
        <v>25</v>
      </c>
      <c r="J580" s="5" t="s">
        <v>4187</v>
      </c>
      <c r="K580" s="5" t="s">
        <v>2687</v>
      </c>
      <c r="L580" s="6"/>
      <c r="M580" s="4" t="s">
        <v>29</v>
      </c>
      <c r="N580" s="4" t="s">
        <v>2688</v>
      </c>
      <c r="O580" s="4" t="s">
        <v>29</v>
      </c>
      <c r="P580" s="4" t="s">
        <v>2689</v>
      </c>
      <c r="Q580" s="6"/>
      <c r="R580" s="6"/>
      <c r="S580" s="6"/>
      <c r="T580" s="6"/>
      <c r="U580" s="6"/>
      <c r="V580" s="6"/>
      <c r="W580" s="6"/>
      <c r="X580" s="6"/>
      <c r="Y580" s="6"/>
    </row>
    <row r="581" ht="14.25">
      <c r="B581" s="4" t="s">
        <v>4188</v>
      </c>
      <c r="C581" s="4" t="s">
        <v>4189</v>
      </c>
      <c r="D581" s="4" t="s">
        <v>426</v>
      </c>
      <c r="E581" s="4" t="s">
        <v>4190</v>
      </c>
      <c r="F581" s="4" t="str">
        <f>IFERROR(__XLUDF.DUMMYFUNCTION("PROPER(REGEXREPLACE(D566,""[^A-Za-z]+ "",""""))"),"Seven Urban Suites")</f>
        <v xml:space="preserve">Seven Urban Suites</v>
      </c>
      <c r="G581" s="4" t="s">
        <v>4191</v>
      </c>
      <c r="H581" s="4">
        <v>61</v>
      </c>
      <c r="I581" s="4" t="s">
        <v>25</v>
      </c>
      <c r="J581" s="5" t="s">
        <v>4192</v>
      </c>
      <c r="K581" s="5" t="s">
        <v>4193</v>
      </c>
      <c r="L581" s="4" t="s">
        <v>39</v>
      </c>
      <c r="M581" s="4" t="s">
        <v>29</v>
      </c>
      <c r="N581" s="4" t="s">
        <v>4194</v>
      </c>
      <c r="O581" s="4" t="s">
        <v>29</v>
      </c>
      <c r="P581" s="4" t="s">
        <v>4195</v>
      </c>
      <c r="Q581" s="6"/>
      <c r="R581" s="6"/>
      <c r="S581" s="6"/>
      <c r="T581" s="6"/>
      <c r="U581" s="6"/>
      <c r="V581" s="6"/>
      <c r="W581" s="6"/>
      <c r="X581" s="6"/>
      <c r="Y581" s="6"/>
    </row>
    <row r="582" ht="14.25">
      <c r="B582" s="4" t="s">
        <v>4196</v>
      </c>
      <c r="C582" s="4" t="s">
        <v>4197</v>
      </c>
      <c r="D582" s="4" t="s">
        <v>164</v>
      </c>
      <c r="E582" s="4" t="s">
        <v>4198</v>
      </c>
      <c r="F582" s="4" t="str">
        <f>IFERROR(__XLUDF.DUMMYFUNCTION("PROPER(REGEXREPLACE(D567,""[^A-Za-z]+ "",""""))"),"Maison Arlot Cheng")</f>
        <v xml:space="preserve">Maison Arlot Cheng</v>
      </c>
      <c r="G582" s="4" t="s">
        <v>4199</v>
      </c>
      <c r="H582" s="4">
        <v>7</v>
      </c>
      <c r="I582" s="4" t="s">
        <v>25</v>
      </c>
      <c r="J582" s="5" t="s">
        <v>4200</v>
      </c>
      <c r="K582" s="5" t="s">
        <v>4201</v>
      </c>
      <c r="L582" s="4" t="s">
        <v>492</v>
      </c>
      <c r="M582" s="4" t="s">
        <v>29</v>
      </c>
      <c r="N582" s="4" t="s">
        <v>4202</v>
      </c>
      <c r="O582" s="4" t="s">
        <v>29</v>
      </c>
      <c r="P582" s="4" t="s">
        <v>4203</v>
      </c>
      <c r="Q582" s="6"/>
      <c r="R582" s="6"/>
      <c r="S582" s="6"/>
      <c r="T582" s="6"/>
      <c r="U582" s="6"/>
      <c r="V582" s="6"/>
      <c r="W582" s="6"/>
      <c r="X582" s="6"/>
      <c r="Y582" s="6"/>
    </row>
    <row r="583" ht="14.25">
      <c r="B583" s="4" t="s">
        <v>4204</v>
      </c>
      <c r="C583" s="4" t="s">
        <v>4205</v>
      </c>
      <c r="D583" s="4" t="s">
        <v>4206</v>
      </c>
      <c r="E583" s="4" t="s">
        <v>4207</v>
      </c>
      <c r="F583" s="4" t="str">
        <f>IFERROR(__XLUDF.DUMMYFUNCTION("PROPER(REGEXREPLACE(D568,""[^A-Za-z]+ "",""""))"),"Groupe Melt")</f>
        <v xml:space="preserve">Groupe Melt</v>
      </c>
      <c r="G583" s="4" t="s">
        <v>4208</v>
      </c>
      <c r="H583" s="4">
        <v>7</v>
      </c>
      <c r="I583" s="4" t="s">
        <v>25</v>
      </c>
      <c r="J583" s="5" t="s">
        <v>4209</v>
      </c>
      <c r="K583" s="5" t="s">
        <v>4210</v>
      </c>
      <c r="L583" s="6"/>
      <c r="M583" s="4" t="s">
        <v>29</v>
      </c>
      <c r="N583" s="4" t="s">
        <v>4211</v>
      </c>
      <c r="O583" s="4" t="s">
        <v>29</v>
      </c>
      <c r="P583" s="4" t="s">
        <v>4212</v>
      </c>
      <c r="Q583" s="6"/>
      <c r="R583" s="6"/>
      <c r="S583" s="6"/>
      <c r="T583" s="6"/>
      <c r="U583" s="6"/>
      <c r="V583" s="6"/>
      <c r="W583" s="6"/>
      <c r="X583" s="6"/>
      <c r="Y583" s="6"/>
    </row>
    <row r="584" ht="14.25">
      <c r="B584" s="4" t="s">
        <v>661</v>
      </c>
      <c r="C584" s="4" t="s">
        <v>2326</v>
      </c>
      <c r="D584" s="4" t="s">
        <v>172</v>
      </c>
      <c r="E584" s="4" t="s">
        <v>2327</v>
      </c>
      <c r="F584" s="4" t="str">
        <f>IFERROR(__XLUDF.DUMMYFUNCTION("PROPER(REGEXREPLACE(D569,""[^A-Za-z]+ "",""""))"),"Pivano")</f>
        <v>Pivano</v>
      </c>
      <c r="G584" s="4" t="s">
        <v>4213</v>
      </c>
      <c r="H584" s="4">
        <v>35</v>
      </c>
      <c r="I584" s="4" t="s">
        <v>25</v>
      </c>
      <c r="J584" s="5" t="s">
        <v>4214</v>
      </c>
      <c r="K584" s="5" t="s">
        <v>2330</v>
      </c>
      <c r="L584" s="4" t="s">
        <v>39</v>
      </c>
      <c r="M584" s="4" t="s">
        <v>29</v>
      </c>
      <c r="N584" s="4" t="s">
        <v>1084</v>
      </c>
      <c r="O584" s="4" t="s">
        <v>29</v>
      </c>
      <c r="P584" s="4" t="s">
        <v>2331</v>
      </c>
      <c r="Q584" s="6"/>
      <c r="R584" s="6"/>
      <c r="S584" s="6"/>
      <c r="T584" s="6"/>
      <c r="U584" s="6"/>
      <c r="V584" s="6"/>
      <c r="W584" s="6"/>
      <c r="X584" s="6"/>
      <c r="Y584" s="6"/>
    </row>
    <row r="585" ht="14.25">
      <c r="B585" s="4" t="s">
        <v>4215</v>
      </c>
      <c r="C585" s="4" t="s">
        <v>4216</v>
      </c>
      <c r="D585" s="4" t="s">
        <v>426</v>
      </c>
      <c r="E585" s="4" t="s">
        <v>4217</v>
      </c>
      <c r="F585" s="4" t="str">
        <f>IFERROR(__XLUDF.DUMMYFUNCTION("PROPER(REGEXREPLACE(D570,""[^A-Za-z]+ "",""""))"),"Pompette Toronto")</f>
        <v xml:space="preserve">Pompette Toronto</v>
      </c>
      <c r="G585" s="4" t="s">
        <v>4218</v>
      </c>
      <c r="H585" s="4">
        <v>32</v>
      </c>
      <c r="I585" s="4" t="s">
        <v>25</v>
      </c>
      <c r="J585" s="5" t="s">
        <v>4219</v>
      </c>
      <c r="K585" s="5" t="s">
        <v>4220</v>
      </c>
      <c r="L585" s="4" t="s">
        <v>2186</v>
      </c>
      <c r="M585" s="4" t="s">
        <v>29</v>
      </c>
      <c r="N585" s="4" t="s">
        <v>4221</v>
      </c>
      <c r="O585" s="4" t="s">
        <v>29</v>
      </c>
      <c r="P585" s="4" t="s">
        <v>4222</v>
      </c>
      <c r="Q585" s="6"/>
      <c r="R585" s="6"/>
      <c r="S585" s="6"/>
      <c r="T585" s="6"/>
      <c r="U585" s="6"/>
      <c r="V585" s="6"/>
      <c r="W585" s="6"/>
      <c r="X585" s="6"/>
      <c r="Y585" s="6"/>
    </row>
    <row r="586" ht="14.25">
      <c r="B586" s="4" t="s">
        <v>322</v>
      </c>
      <c r="C586" s="4" t="s">
        <v>828</v>
      </c>
      <c r="D586" s="4" t="s">
        <v>172</v>
      </c>
      <c r="E586" s="4" t="s">
        <v>4223</v>
      </c>
      <c r="F586" s="4" t="str">
        <f>IFERROR(__XLUDF.DUMMYFUNCTION("PROPER(REGEXREPLACE(D571,""[^A-Za-z]+ "",""""))"),"Canua Island")</f>
        <v xml:space="preserve">Canua Island</v>
      </c>
      <c r="G586" s="4" t="s">
        <v>4224</v>
      </c>
      <c r="H586" s="4">
        <v>40</v>
      </c>
      <c r="I586" s="4" t="s">
        <v>25</v>
      </c>
      <c r="J586" s="5" t="s">
        <v>4225</v>
      </c>
      <c r="K586" s="5" t="s">
        <v>4226</v>
      </c>
      <c r="L586" s="4" t="s">
        <v>4227</v>
      </c>
      <c r="M586" s="4" t="s">
        <v>29</v>
      </c>
      <c r="N586" s="4" t="s">
        <v>4228</v>
      </c>
      <c r="O586" s="4" t="s">
        <v>29</v>
      </c>
      <c r="P586" s="4" t="s">
        <v>4229</v>
      </c>
      <c r="Q586" s="6"/>
      <c r="R586" s="6"/>
      <c r="S586" s="6"/>
      <c r="T586" s="6"/>
      <c r="U586" s="6"/>
      <c r="V586" s="6"/>
      <c r="W586" s="6"/>
      <c r="X586" s="6"/>
      <c r="Y586" s="6"/>
    </row>
    <row r="587" ht="14.25">
      <c r="B587" s="4" t="s">
        <v>95</v>
      </c>
      <c r="C587" s="4" t="s">
        <v>4230</v>
      </c>
      <c r="D587" s="4" t="s">
        <v>44</v>
      </c>
      <c r="E587" s="4" t="s">
        <v>4231</v>
      </c>
      <c r="F587" s="4" t="str">
        <f>IFERROR(__XLUDF.DUMMYFUNCTION("PROPER(REGEXREPLACE(D572,""[^A-Za-z]+ "",""""))"),"Mont-Blanc Collection")</f>
        <v xml:space="preserve">Mont-Blanc Collection</v>
      </c>
      <c r="G587" s="4" t="s">
        <v>4232</v>
      </c>
      <c r="H587" s="4">
        <v>6</v>
      </c>
      <c r="I587" s="4" t="s">
        <v>36</v>
      </c>
      <c r="J587" s="5" t="s">
        <v>4233</v>
      </c>
      <c r="K587" s="5" t="s">
        <v>4234</v>
      </c>
      <c r="L587" s="4" t="s">
        <v>39</v>
      </c>
      <c r="M587" s="4" t="s">
        <v>29</v>
      </c>
      <c r="N587" s="6"/>
      <c r="O587" s="6"/>
      <c r="P587" s="4" t="s">
        <v>4235</v>
      </c>
      <c r="Q587" s="6"/>
      <c r="R587" s="6"/>
      <c r="S587" s="6"/>
      <c r="T587" s="6"/>
      <c r="U587" s="6"/>
      <c r="V587" s="6"/>
      <c r="W587" s="6"/>
      <c r="X587" s="6"/>
      <c r="Y587" s="6"/>
    </row>
    <row r="588" ht="14.25">
      <c r="B588" s="4" t="s">
        <v>4236</v>
      </c>
      <c r="C588" s="4" t="s">
        <v>4237</v>
      </c>
      <c r="D588" s="4" t="s">
        <v>4238</v>
      </c>
      <c r="E588" s="4" t="s">
        <v>2796</v>
      </c>
      <c r="F588" s="4" t="str">
        <f>IFERROR(__XLUDF.DUMMYFUNCTION("PROPER(REGEXREPLACE(D573,""[^A-Za-z]+ "",""""))"),"Wanderlust Motels")</f>
        <v xml:space="preserve">Wanderlust Motels</v>
      </c>
      <c r="G588" s="4" t="s">
        <v>4239</v>
      </c>
      <c r="H588" s="4">
        <v>10</v>
      </c>
      <c r="I588" s="4" t="s">
        <v>36</v>
      </c>
      <c r="J588" s="5" t="s">
        <v>4240</v>
      </c>
      <c r="K588" s="5" t="s">
        <v>2799</v>
      </c>
      <c r="L588" s="4" t="s">
        <v>846</v>
      </c>
      <c r="M588" s="4" t="s">
        <v>29</v>
      </c>
      <c r="N588" s="4" t="s">
        <v>2800</v>
      </c>
      <c r="O588" s="4" t="s">
        <v>29</v>
      </c>
      <c r="P588" s="4" t="s">
        <v>2801</v>
      </c>
      <c r="Q588" s="6"/>
      <c r="R588" s="6"/>
      <c r="S588" s="6"/>
      <c r="T588" s="6"/>
      <c r="U588" s="6"/>
      <c r="V588" s="6"/>
      <c r="W588" s="6"/>
      <c r="X588" s="6"/>
      <c r="Y588" s="6"/>
    </row>
    <row r="589" ht="14.25">
      <c r="B589" s="4" t="s">
        <v>20</v>
      </c>
      <c r="C589" s="4" t="s">
        <v>4241</v>
      </c>
      <c r="D589" s="4" t="s">
        <v>4242</v>
      </c>
      <c r="E589" s="4" t="s">
        <v>2244</v>
      </c>
      <c r="F589" s="4" t="str">
        <f>IFERROR(__XLUDF.DUMMYFUNCTION("PROPER(REGEXREPLACE(D574,""[^A-Za-z]+ "",""""))"),"Groupe Panasia")</f>
        <v xml:space="preserve">Groupe Panasia</v>
      </c>
      <c r="G589" s="4" t="s">
        <v>4243</v>
      </c>
      <c r="H589" s="4">
        <v>10</v>
      </c>
      <c r="I589" s="4" t="s">
        <v>36</v>
      </c>
      <c r="J589" s="5" t="s">
        <v>4244</v>
      </c>
      <c r="K589" s="5" t="s">
        <v>2247</v>
      </c>
      <c r="L589" s="4" t="s">
        <v>39</v>
      </c>
      <c r="M589" s="4" t="s">
        <v>29</v>
      </c>
      <c r="N589" s="4" t="s">
        <v>2248</v>
      </c>
      <c r="O589" s="4" t="s">
        <v>29</v>
      </c>
      <c r="P589" s="6"/>
      <c r="Q589" s="6"/>
      <c r="R589" s="6"/>
      <c r="S589" s="6"/>
      <c r="T589" s="6"/>
      <c r="U589" s="6"/>
      <c r="V589" s="6"/>
      <c r="W589" s="6"/>
      <c r="X589" s="6"/>
      <c r="Y589" s="6"/>
    </row>
    <row r="590" ht="14.25">
      <c r="B590" s="4" t="s">
        <v>4245</v>
      </c>
      <c r="C590" s="4" t="s">
        <v>1153</v>
      </c>
      <c r="D590" s="4" t="s">
        <v>487</v>
      </c>
      <c r="E590" s="4" t="s">
        <v>2203</v>
      </c>
      <c r="F590" s="4" t="str">
        <f>IFERROR(__XLUDF.DUMMYFUNCTION("PROPER(REGEXREPLACE(D575,""[^A-Za-z]+ "",""""))"),"Hotel Lancaster")</f>
        <v xml:space="preserve">Hotel Lancaster</v>
      </c>
      <c r="G590" s="4" t="s">
        <v>4246</v>
      </c>
      <c r="H590" s="4">
        <v>12</v>
      </c>
      <c r="I590" s="4" t="s">
        <v>25</v>
      </c>
      <c r="J590" s="5" t="s">
        <v>4247</v>
      </c>
      <c r="K590" s="5" t="s">
        <v>2206</v>
      </c>
      <c r="L590" s="4" t="s">
        <v>1826</v>
      </c>
      <c r="M590" s="4" t="s">
        <v>29</v>
      </c>
      <c r="N590" s="6"/>
      <c r="O590" s="6"/>
      <c r="P590" s="4" t="s">
        <v>2207</v>
      </c>
      <c r="Q590" s="6"/>
      <c r="R590" s="6"/>
      <c r="S590" s="6"/>
      <c r="T590" s="6"/>
      <c r="U590" s="6"/>
      <c r="V590" s="6"/>
      <c r="W590" s="6"/>
      <c r="X590" s="6"/>
      <c r="Y590" s="6"/>
    </row>
    <row r="591" ht="14.25">
      <c r="B591" s="4" t="s">
        <v>1732</v>
      </c>
      <c r="C591" s="4" t="s">
        <v>4248</v>
      </c>
      <c r="D591" s="4" t="s">
        <v>468</v>
      </c>
      <c r="E591" s="4" t="s">
        <v>4249</v>
      </c>
      <c r="F591" s="4" t="str">
        <f>IFERROR(__XLUDF.DUMMYFUNCTION("PROPER(REGEXREPLACE(D576,""[^A-Za-z]+ "",""""))"),"Mpépite")</f>
        <v>Mpépite</v>
      </c>
      <c r="G591" s="4" t="s">
        <v>4250</v>
      </c>
      <c r="H591" s="4">
        <v>30</v>
      </c>
      <c r="I591" s="4" t="s">
        <v>25</v>
      </c>
      <c r="J591" s="5" t="s">
        <v>4251</v>
      </c>
      <c r="K591" s="5" t="s">
        <v>4252</v>
      </c>
      <c r="L591" s="4" t="s">
        <v>243</v>
      </c>
      <c r="M591" s="4" t="s">
        <v>29</v>
      </c>
      <c r="N591" s="4" t="s">
        <v>67</v>
      </c>
      <c r="O591" s="4" t="s">
        <v>29</v>
      </c>
      <c r="P591" s="6"/>
      <c r="Q591" s="6"/>
      <c r="R591" s="6"/>
      <c r="S591" s="6"/>
      <c r="T591" s="6"/>
      <c r="U591" s="6"/>
      <c r="V591" s="6"/>
      <c r="W591" s="6"/>
      <c r="X591" s="6"/>
      <c r="Y591" s="6"/>
    </row>
    <row r="592" ht="14.25">
      <c r="B592" s="4" t="s">
        <v>4253</v>
      </c>
      <c r="C592" s="4" t="s">
        <v>4254</v>
      </c>
      <c r="D592" s="4" t="s">
        <v>120</v>
      </c>
      <c r="E592" s="4" t="s">
        <v>819</v>
      </c>
      <c r="F592" s="4" t="str">
        <f>IFERROR(__XLUDF.DUMMYFUNCTION("PROPER(REGEXREPLACE(D577,""[^A-Za-z]+ "",""""))"),"Lüks Kebab 🌯")</f>
        <v xml:space="preserve">Lüks Kebab 🌯</v>
      </c>
      <c r="G592" s="4" t="s">
        <v>4255</v>
      </c>
      <c r="H592" s="4">
        <v>16</v>
      </c>
      <c r="I592" s="4" t="s">
        <v>36</v>
      </c>
      <c r="J592" s="5" t="s">
        <v>4256</v>
      </c>
      <c r="K592" s="5" t="s">
        <v>822</v>
      </c>
      <c r="L592" s="4" t="s">
        <v>4257</v>
      </c>
      <c r="M592" s="4" t="s">
        <v>29</v>
      </c>
      <c r="N592" s="4" t="s">
        <v>67</v>
      </c>
      <c r="O592" s="4" t="s">
        <v>29</v>
      </c>
      <c r="P592" s="6"/>
      <c r="Q592" s="6"/>
      <c r="R592" s="6"/>
      <c r="S592" s="6"/>
      <c r="T592" s="6"/>
      <c r="U592" s="6"/>
      <c r="V592" s="6"/>
      <c r="W592" s="6"/>
      <c r="X592" s="6"/>
      <c r="Y592" s="6"/>
    </row>
    <row r="593" ht="14.25">
      <c r="B593" s="4" t="s">
        <v>485</v>
      </c>
      <c r="C593" s="4" t="s">
        <v>4258</v>
      </c>
      <c r="D593" s="4" t="s">
        <v>62</v>
      </c>
      <c r="E593" s="4" t="s">
        <v>4259</v>
      </c>
      <c r="F593" s="4" t="str">
        <f>IFERROR(__XLUDF.DUMMYFUNCTION("PROPER(REGEXREPLACE(D578,""[^A-Za-z]+ "",""""))"),"Cocorico")</f>
        <v>Cocorico</v>
      </c>
      <c r="G593" s="4" t="s">
        <v>4260</v>
      </c>
      <c r="H593" s="4">
        <v>33</v>
      </c>
      <c r="I593" s="4" t="s">
        <v>36</v>
      </c>
      <c r="J593" s="5" t="s">
        <v>4261</v>
      </c>
      <c r="K593" s="5" t="s">
        <v>4262</v>
      </c>
      <c r="L593" s="4" t="s">
        <v>39</v>
      </c>
      <c r="M593" s="4" t="s">
        <v>29</v>
      </c>
      <c r="N593" s="4" t="s">
        <v>4263</v>
      </c>
      <c r="O593" s="4" t="s">
        <v>29</v>
      </c>
      <c r="P593" s="4" t="s">
        <v>4264</v>
      </c>
      <c r="Q593" s="6"/>
      <c r="R593" s="6"/>
      <c r="S593" s="6"/>
      <c r="T593" s="6"/>
      <c r="U593" s="6"/>
      <c r="V593" s="6"/>
      <c r="W593" s="6"/>
      <c r="X593" s="6"/>
      <c r="Y593" s="6"/>
    </row>
    <row r="594" ht="14.25">
      <c r="B594" s="4" t="s">
        <v>4265</v>
      </c>
      <c r="C594" s="4" t="s">
        <v>4266</v>
      </c>
      <c r="D594" s="4" t="s">
        <v>1130</v>
      </c>
      <c r="E594" s="5" t="s">
        <v>4267</v>
      </c>
      <c r="F594" s="4" t="str">
        <f>IFERROR(__XLUDF.DUMMYFUNCTION("PROPER(REGEXREPLACE(D579,""[^A-Za-z]+ "",""""))"),"Château Voltaire")</f>
        <v xml:space="preserve">Château Voltaire</v>
      </c>
      <c r="G594" s="4" t="s">
        <v>4268</v>
      </c>
      <c r="H594" s="4">
        <v>35</v>
      </c>
      <c r="I594" s="4" t="s">
        <v>25</v>
      </c>
      <c r="J594" s="5" t="s">
        <v>4269</v>
      </c>
      <c r="K594" s="5" t="s">
        <v>4270</v>
      </c>
      <c r="L594" s="4" t="s">
        <v>39</v>
      </c>
      <c r="M594" s="4" t="s">
        <v>29</v>
      </c>
      <c r="N594" s="4" t="s">
        <v>4271</v>
      </c>
      <c r="O594" s="4" t="s">
        <v>29</v>
      </c>
      <c r="P594" s="6"/>
      <c r="Q594" s="6"/>
      <c r="R594" s="6"/>
      <c r="S594" s="6"/>
      <c r="T594" s="6"/>
      <c r="U594" s="6"/>
      <c r="V594" s="6"/>
      <c r="W594" s="6"/>
      <c r="X594" s="6"/>
      <c r="Y594" s="6"/>
    </row>
    <row r="595" ht="14.25">
      <c r="B595" s="4" t="s">
        <v>110</v>
      </c>
      <c r="C595" s="4" t="s">
        <v>4272</v>
      </c>
      <c r="D595" s="4" t="s">
        <v>44</v>
      </c>
      <c r="E595" s="4" t="s">
        <v>4273</v>
      </c>
      <c r="F595" s="4" t="str">
        <f>IFERROR(__XLUDF.DUMMYFUNCTION("PROPER(REGEXREPLACE(D580,""[^A-Za-z]+ "",""""))"),"Groupe Pvg")</f>
        <v xml:space="preserve">Groupe Pvg</v>
      </c>
      <c r="G595" s="4" t="s">
        <v>4274</v>
      </c>
      <c r="H595" s="4">
        <v>4</v>
      </c>
      <c r="I595" s="4" t="s">
        <v>36</v>
      </c>
      <c r="J595" s="5" t="s">
        <v>4275</v>
      </c>
      <c r="K595" s="5" t="s">
        <v>4276</v>
      </c>
      <c r="L595" s="4" t="s">
        <v>39</v>
      </c>
      <c r="M595" s="4" t="s">
        <v>29</v>
      </c>
      <c r="N595" s="4" t="s">
        <v>4277</v>
      </c>
      <c r="O595" s="4" t="s">
        <v>29</v>
      </c>
      <c r="P595" s="4" t="s">
        <v>4278</v>
      </c>
      <c r="Q595" s="6"/>
      <c r="R595" s="6"/>
      <c r="S595" s="6"/>
      <c r="T595" s="6"/>
      <c r="U595" s="6"/>
      <c r="V595" s="6"/>
      <c r="W595" s="6"/>
      <c r="X595" s="6"/>
      <c r="Y595" s="6"/>
    </row>
    <row r="596" ht="14.25">
      <c r="B596" s="4" t="s">
        <v>4279</v>
      </c>
      <c r="C596" s="4" t="s">
        <v>1881</v>
      </c>
      <c r="D596" s="4" t="s">
        <v>87</v>
      </c>
      <c r="E596" s="4" t="s">
        <v>1882</v>
      </c>
      <c r="F596" s="4" t="str">
        <f>IFERROR(__XLUDF.DUMMYFUNCTION("PROPER(REGEXREPLACE(D581,""[^A-Za-z]+ "",""""))"),"Groupe La Mère Poulard")</f>
        <v xml:space="preserve">Groupe La Mère Poulard</v>
      </c>
      <c r="G596" s="4" t="s">
        <v>4280</v>
      </c>
      <c r="H596" s="4">
        <v>14</v>
      </c>
      <c r="I596" s="4" t="s">
        <v>36</v>
      </c>
      <c r="J596" s="5" t="s">
        <v>4281</v>
      </c>
      <c r="K596" s="5" t="s">
        <v>1885</v>
      </c>
      <c r="L596" s="4" t="s">
        <v>185</v>
      </c>
      <c r="M596" s="4" t="s">
        <v>29</v>
      </c>
      <c r="N596" s="4" t="s">
        <v>1886</v>
      </c>
      <c r="O596" s="4" t="s">
        <v>29</v>
      </c>
      <c r="P596" s="4" t="s">
        <v>1887</v>
      </c>
      <c r="Q596" s="6"/>
      <c r="R596" s="6"/>
      <c r="S596" s="6"/>
      <c r="T596" s="6"/>
      <c r="U596" s="6"/>
      <c r="V596" s="6"/>
      <c r="W596" s="6"/>
      <c r="X596" s="6"/>
      <c r="Y596" s="6"/>
    </row>
    <row r="597" ht="14.25">
      <c r="B597" s="4" t="s">
        <v>1732</v>
      </c>
      <c r="C597" s="4" t="s">
        <v>4282</v>
      </c>
      <c r="D597" s="4" t="s">
        <v>230</v>
      </c>
      <c r="E597" s="4" t="s">
        <v>4283</v>
      </c>
      <c r="F597" s="4" t="str">
        <f>IFERROR(__XLUDF.DUMMYFUNCTION("PROPER(REGEXREPLACE(D582,""[^A-Za-z]+ "",""""))"),"Hôtel Les Jardins De Deauville ☆☆☆☆")</f>
        <v xml:space="preserve">Hôtel Les Jardins De Deauville ☆☆☆☆</v>
      </c>
      <c r="G597" s="4" t="s">
        <v>4284</v>
      </c>
      <c r="H597" s="4">
        <v>1</v>
      </c>
      <c r="I597" s="4" t="s">
        <v>90</v>
      </c>
      <c r="J597" s="5" t="s">
        <v>4285</v>
      </c>
      <c r="K597" s="5" t="s">
        <v>4286</v>
      </c>
      <c r="L597" s="6"/>
      <c r="M597" s="4" t="s">
        <v>29</v>
      </c>
      <c r="N597" s="4" t="s">
        <v>4287</v>
      </c>
      <c r="O597" s="4" t="s">
        <v>29</v>
      </c>
      <c r="P597" s="4" t="s">
        <v>4288</v>
      </c>
      <c r="Q597" s="6"/>
      <c r="R597" s="6"/>
      <c r="S597" s="6"/>
      <c r="T597" s="6"/>
      <c r="U597" s="6"/>
      <c r="V597" s="6"/>
      <c r="W597" s="6"/>
      <c r="X597" s="6"/>
      <c r="Y597" s="6"/>
    </row>
    <row r="598" ht="14.25">
      <c r="B598" s="4" t="s">
        <v>1592</v>
      </c>
      <c r="C598" s="4" t="s">
        <v>4289</v>
      </c>
      <c r="D598" s="4" t="s">
        <v>4290</v>
      </c>
      <c r="E598" s="4" t="s">
        <v>4291</v>
      </c>
      <c r="F598" s="4" t="str">
        <f>IFERROR(__XLUDF.DUMMYFUNCTION("PROPER(REGEXREPLACE(D583,""[^A-Za-z]+ "",""""))"),"Youza")</f>
        <v>Youza</v>
      </c>
      <c r="G598" s="4" t="s">
        <v>4292</v>
      </c>
      <c r="H598" s="4">
        <v>9</v>
      </c>
      <c r="I598" s="4" t="s">
        <v>4293</v>
      </c>
      <c r="J598" s="5" t="s">
        <v>4294</v>
      </c>
      <c r="K598" s="5" t="s">
        <v>4295</v>
      </c>
      <c r="L598" s="4" t="s">
        <v>4296</v>
      </c>
      <c r="M598" s="4" t="s">
        <v>29</v>
      </c>
      <c r="N598" s="4" t="s">
        <v>67</v>
      </c>
      <c r="O598" s="4" t="s">
        <v>29</v>
      </c>
      <c r="P598" s="4" t="s">
        <v>4297</v>
      </c>
      <c r="Q598" s="6"/>
      <c r="R598" s="6"/>
      <c r="S598" s="6"/>
      <c r="T598" s="6"/>
      <c r="U598" s="6"/>
      <c r="V598" s="6"/>
      <c r="W598" s="6"/>
      <c r="X598" s="6"/>
      <c r="Y598" s="6"/>
    </row>
    <row r="599" ht="14.25">
      <c r="B599" s="4" t="s">
        <v>4298</v>
      </c>
      <c r="C599" s="4" t="s">
        <v>1354</v>
      </c>
      <c r="D599" s="4" t="s">
        <v>172</v>
      </c>
      <c r="E599" s="4" t="s">
        <v>4299</v>
      </c>
      <c r="F599" s="4" t="str">
        <f>IFERROR(__XLUDF.DUMMYFUNCTION("PROPER(REGEXREPLACE(D584,""[^A-Za-z]+ "",""""))"),"L'Escale Royale")</f>
        <v xml:space="preserve">L'Escale Royale</v>
      </c>
      <c r="G599" s="4" t="s">
        <v>4300</v>
      </c>
      <c r="H599" s="6"/>
      <c r="I599" s="6"/>
      <c r="J599" s="5" t="s">
        <v>4301</v>
      </c>
      <c r="K599" s="5" t="s">
        <v>4302</v>
      </c>
      <c r="L599" s="4" t="s">
        <v>4303</v>
      </c>
      <c r="M599" s="4" t="s">
        <v>29</v>
      </c>
      <c r="N599" s="4" t="s">
        <v>4304</v>
      </c>
      <c r="O599" s="4" t="s">
        <v>29</v>
      </c>
      <c r="P599" s="6"/>
      <c r="Q599" s="6"/>
      <c r="R599" s="6"/>
      <c r="S599" s="6"/>
      <c r="T599" s="6"/>
      <c r="U599" s="6"/>
      <c r="V599" s="6"/>
      <c r="W599" s="6"/>
      <c r="X599" s="6"/>
      <c r="Y599" s="6"/>
    </row>
    <row r="600" ht="14.25">
      <c r="B600" s="4" t="s">
        <v>255</v>
      </c>
      <c r="C600" s="4" t="s">
        <v>4305</v>
      </c>
      <c r="D600" s="4" t="s">
        <v>172</v>
      </c>
      <c r="E600" s="4" t="s">
        <v>4306</v>
      </c>
      <c r="F600" s="4" t="str">
        <f>IFERROR(__XLUDF.DUMMYFUNCTION("PROPER(REGEXREPLACE(D585,""[^A-Za-z]+ "",""""))"),"Les Résidentiels")</f>
        <v xml:space="preserve">Les Résidentiels</v>
      </c>
      <c r="G600" s="4" t="s">
        <v>4307</v>
      </c>
      <c r="H600" s="4">
        <v>36</v>
      </c>
      <c r="I600" s="4" t="s">
        <v>25</v>
      </c>
      <c r="J600" s="5" t="s">
        <v>4308</v>
      </c>
      <c r="K600" s="5" t="s">
        <v>4309</v>
      </c>
      <c r="L600" s="4" t="s">
        <v>39</v>
      </c>
      <c r="M600" s="4" t="s">
        <v>29</v>
      </c>
      <c r="N600" s="4" t="s">
        <v>4310</v>
      </c>
      <c r="O600" s="4" t="s">
        <v>29</v>
      </c>
      <c r="P600" s="4" t="s">
        <v>4311</v>
      </c>
      <c r="Q600" s="6"/>
      <c r="R600" s="6"/>
      <c r="S600" s="6"/>
      <c r="T600" s="6"/>
      <c r="U600" s="6"/>
      <c r="V600" s="6"/>
      <c r="W600" s="6"/>
      <c r="X600" s="6"/>
      <c r="Y600" s="6"/>
    </row>
    <row r="601" ht="14.25">
      <c r="B601" s="4" t="s">
        <v>1965</v>
      </c>
      <c r="C601" s="4" t="s">
        <v>4312</v>
      </c>
      <c r="D601" s="4" t="s">
        <v>341</v>
      </c>
      <c r="E601" s="4" t="s">
        <v>4313</v>
      </c>
      <c r="F601" s="4" t="str">
        <f>IFERROR(__XLUDF.DUMMYFUNCTION("PROPER(REGEXREPLACE(D586,""[^A-Za-z]+ "",""""))"),"Le Domaine Du Colombier")</f>
        <v xml:space="preserve">Le Domaine Du Colombier</v>
      </c>
      <c r="G601" s="4" t="s">
        <v>4314</v>
      </c>
      <c r="H601" s="4">
        <v>47</v>
      </c>
      <c r="I601" s="4" t="s">
        <v>25</v>
      </c>
      <c r="J601" s="5" t="s">
        <v>4315</v>
      </c>
      <c r="K601" s="5" t="s">
        <v>4316</v>
      </c>
      <c r="L601" s="4" t="s">
        <v>39</v>
      </c>
      <c r="M601" s="4" t="s">
        <v>29</v>
      </c>
      <c r="N601" s="4" t="s">
        <v>4317</v>
      </c>
      <c r="O601" s="4" t="s">
        <v>4318</v>
      </c>
      <c r="P601" s="4" t="s">
        <v>4319</v>
      </c>
      <c r="Q601" s="6"/>
      <c r="R601" s="6"/>
      <c r="S601" s="6"/>
      <c r="T601" s="6"/>
      <c r="U601" s="6"/>
      <c r="V601" s="6"/>
      <c r="W601" s="6"/>
      <c r="X601" s="6"/>
      <c r="Y601" s="6"/>
    </row>
    <row r="602" ht="14.25">
      <c r="B602" s="4" t="s">
        <v>322</v>
      </c>
      <c r="C602" s="4" t="s">
        <v>2304</v>
      </c>
      <c r="D602" s="4" t="s">
        <v>341</v>
      </c>
      <c r="E602" s="4" t="s">
        <v>2305</v>
      </c>
      <c r="F602" s="4" t="str">
        <f>IFERROR(__XLUDF.DUMMYFUNCTION("PROPER(REGEXREPLACE(D587,""[^A-Za-z]+ "",""""))"),"Kuti")</f>
        <v>Kuti</v>
      </c>
      <c r="G602" s="4" t="s">
        <v>4320</v>
      </c>
      <c r="H602" s="4">
        <v>30</v>
      </c>
      <c r="I602" s="4" t="s">
        <v>25</v>
      </c>
      <c r="J602" s="5" t="s">
        <v>4321</v>
      </c>
      <c r="K602" s="5" t="s">
        <v>2308</v>
      </c>
      <c r="L602" s="6"/>
      <c r="M602" s="4" t="s">
        <v>29</v>
      </c>
      <c r="N602" s="4" t="s">
        <v>2309</v>
      </c>
      <c r="O602" s="4" t="s">
        <v>29</v>
      </c>
      <c r="P602" s="4" t="s">
        <v>2310</v>
      </c>
      <c r="Q602" s="6"/>
      <c r="R602" s="6"/>
      <c r="S602" s="6"/>
      <c r="T602" s="6"/>
      <c r="U602" s="6"/>
      <c r="V602" s="6"/>
      <c r="W602" s="6"/>
      <c r="X602" s="6"/>
      <c r="Y602" s="6"/>
    </row>
    <row r="603" ht="14.25">
      <c r="B603" s="4" t="s">
        <v>3752</v>
      </c>
      <c r="C603" s="4" t="s">
        <v>4322</v>
      </c>
      <c r="D603" s="4" t="s">
        <v>112</v>
      </c>
      <c r="E603" s="4" t="s">
        <v>4323</v>
      </c>
      <c r="F603" s="4" t="str">
        <f>IFERROR(__XLUDF.DUMMYFUNCTION("PROPER(REGEXREPLACE(D588,""[^A-Za-z]+ "",""""))"),"La Wilderie")</f>
        <v xml:space="preserve">La Wilderie</v>
      </c>
      <c r="G603" s="4" t="s">
        <v>4324</v>
      </c>
      <c r="H603" s="4">
        <v>27</v>
      </c>
      <c r="I603" s="4" t="s">
        <v>25</v>
      </c>
      <c r="J603" s="5" t="s">
        <v>4325</v>
      </c>
      <c r="K603" s="5" t="s">
        <v>4326</v>
      </c>
      <c r="L603" s="4" t="s">
        <v>185</v>
      </c>
      <c r="M603" s="4" t="s">
        <v>29</v>
      </c>
      <c r="N603" s="4" t="s">
        <v>4327</v>
      </c>
      <c r="O603" s="4" t="s">
        <v>29</v>
      </c>
      <c r="P603" s="6"/>
      <c r="Q603" s="6"/>
      <c r="R603" s="6"/>
      <c r="S603" s="6"/>
      <c r="T603" s="6"/>
      <c r="U603" s="6"/>
      <c r="V603" s="6"/>
      <c r="W603" s="6"/>
      <c r="X603" s="6"/>
      <c r="Y603" s="6"/>
    </row>
    <row r="604" ht="14.25">
      <c r="B604" s="4" t="s">
        <v>768</v>
      </c>
      <c r="C604" s="4" t="s">
        <v>4328</v>
      </c>
      <c r="D604" s="4" t="s">
        <v>112</v>
      </c>
      <c r="E604" s="4" t="s">
        <v>4329</v>
      </c>
      <c r="F604" s="4" t="str">
        <f>IFERROR(__XLUDF.DUMMYFUNCTION("PROPER(REGEXREPLACE(D589,""[^A-Za-z]+ "",""""))"),"Pedzouille")</f>
        <v>Pedzouille</v>
      </c>
      <c r="G604" s="4" t="s">
        <v>4330</v>
      </c>
      <c r="H604" s="4">
        <v>25</v>
      </c>
      <c r="I604" s="4" t="s">
        <v>36</v>
      </c>
      <c r="J604" s="5" t="s">
        <v>4331</v>
      </c>
      <c r="K604" s="5" t="s">
        <v>4332</v>
      </c>
      <c r="L604" s="4" t="s">
        <v>4333</v>
      </c>
      <c r="M604" s="4" t="s">
        <v>29</v>
      </c>
      <c r="N604" s="4" t="s">
        <v>4334</v>
      </c>
      <c r="O604" s="4" t="s">
        <v>29</v>
      </c>
      <c r="P604" s="6"/>
      <c r="Q604" s="6"/>
      <c r="R604" s="6"/>
      <c r="S604" s="6"/>
      <c r="T604" s="6"/>
      <c r="U604" s="6"/>
      <c r="V604" s="6"/>
      <c r="W604" s="6"/>
      <c r="X604" s="6"/>
      <c r="Y604" s="6"/>
    </row>
    <row r="605" ht="14.25">
      <c r="B605" s="4" t="s">
        <v>1198</v>
      </c>
      <c r="C605" s="4" t="s">
        <v>3942</v>
      </c>
      <c r="D605" s="4" t="s">
        <v>1130</v>
      </c>
      <c r="E605" s="4" t="s">
        <v>4335</v>
      </c>
      <c r="F605" s="4" t="str">
        <f>IFERROR(__XLUDF.DUMMYFUNCTION("PROPER(REGEXREPLACE(D590,""[^A-Za-z]+ "",""""))"),"Agh Hospitality")</f>
        <v xml:space="preserve">Agh Hospitality</v>
      </c>
      <c r="G605" s="4" t="s">
        <v>4336</v>
      </c>
      <c r="H605" s="4">
        <v>5</v>
      </c>
      <c r="I605" s="4" t="s">
        <v>25</v>
      </c>
      <c r="J605" s="5" t="s">
        <v>4337</v>
      </c>
      <c r="K605" s="5" t="s">
        <v>4338</v>
      </c>
      <c r="L605" s="4" t="s">
        <v>39</v>
      </c>
      <c r="M605" s="4" t="s">
        <v>29</v>
      </c>
      <c r="N605" s="4" t="s">
        <v>4339</v>
      </c>
      <c r="O605" s="4" t="s">
        <v>4340</v>
      </c>
      <c r="P605" s="6"/>
      <c r="Q605" s="6"/>
      <c r="R605" s="6"/>
      <c r="S605" s="6"/>
      <c r="T605" s="6"/>
      <c r="U605" s="6"/>
      <c r="V605" s="6"/>
      <c r="W605" s="6"/>
      <c r="X605" s="6"/>
      <c r="Y605" s="6"/>
    </row>
    <row r="606" ht="14.25">
      <c r="B606" s="4" t="s">
        <v>4341</v>
      </c>
      <c r="C606" s="4" t="s">
        <v>4342</v>
      </c>
      <c r="D606" s="4" t="s">
        <v>265</v>
      </c>
      <c r="E606" s="4" t="s">
        <v>787</v>
      </c>
      <c r="F606" s="4" t="str">
        <f>IFERROR(__XLUDF.DUMMYFUNCTION("PROPER(REGEXREPLACE(D591,""[^A-Za-z]+ "",""""))"),"Alboran")</f>
        <v>Alboran</v>
      </c>
      <c r="G606" s="4" t="s">
        <v>4343</v>
      </c>
      <c r="H606" s="4">
        <v>28</v>
      </c>
      <c r="I606" s="4" t="s">
        <v>36</v>
      </c>
      <c r="J606" s="5" t="s">
        <v>4344</v>
      </c>
      <c r="K606" s="5" t="s">
        <v>790</v>
      </c>
      <c r="L606" s="4" t="s">
        <v>39</v>
      </c>
      <c r="M606" s="4" t="s">
        <v>29</v>
      </c>
      <c r="N606" s="4" t="s">
        <v>791</v>
      </c>
      <c r="O606" s="4" t="s">
        <v>29</v>
      </c>
      <c r="P606" s="4" t="s">
        <v>792</v>
      </c>
      <c r="Q606" s="6"/>
      <c r="R606" s="6"/>
      <c r="S606" s="6"/>
      <c r="T606" s="6"/>
      <c r="U606" s="6"/>
      <c r="V606" s="6"/>
      <c r="W606" s="6"/>
      <c r="X606" s="6"/>
      <c r="Y606" s="6"/>
    </row>
    <row r="607" ht="14.25">
      <c r="B607" s="4" t="s">
        <v>963</v>
      </c>
      <c r="C607" s="4" t="s">
        <v>4345</v>
      </c>
      <c r="D607" s="4" t="s">
        <v>120</v>
      </c>
      <c r="E607" s="4" t="s">
        <v>4207</v>
      </c>
      <c r="F607" s="4" t="str">
        <f>IFERROR(__XLUDF.DUMMYFUNCTION("PROPER(REGEXREPLACE(D592,""[^A-Za-z]+ "",""""))"),"C'Est Mon Donuts")</f>
        <v xml:space="preserve">C'Est Mon Donuts</v>
      </c>
      <c r="G607" s="4" t="s">
        <v>4346</v>
      </c>
      <c r="H607" s="4">
        <v>7</v>
      </c>
      <c r="I607" s="4" t="s">
        <v>25</v>
      </c>
      <c r="J607" s="5" t="s">
        <v>4347</v>
      </c>
      <c r="K607" s="5" t="s">
        <v>4210</v>
      </c>
      <c r="L607" s="4" t="s">
        <v>39</v>
      </c>
      <c r="M607" s="4" t="s">
        <v>29</v>
      </c>
      <c r="N607" s="4" t="s">
        <v>4211</v>
      </c>
      <c r="O607" s="4" t="s">
        <v>29</v>
      </c>
      <c r="P607" s="4" t="s">
        <v>4212</v>
      </c>
      <c r="Q607" s="6"/>
      <c r="R607" s="6"/>
      <c r="S607" s="6"/>
      <c r="T607" s="6"/>
      <c r="U607" s="6"/>
      <c r="V607" s="6"/>
      <c r="W607" s="6"/>
      <c r="X607" s="6"/>
      <c r="Y607" s="6"/>
    </row>
    <row r="608" ht="14.25">
      <c r="B608" s="4" t="s">
        <v>2340</v>
      </c>
      <c r="C608" s="4" t="s">
        <v>4348</v>
      </c>
      <c r="D608" s="4" t="s">
        <v>120</v>
      </c>
      <c r="E608" s="4" t="s">
        <v>4349</v>
      </c>
      <c r="F608" s="4" t="str">
        <f>IFERROR(__XLUDF.DUMMYFUNCTION("PROPER(REGEXREPLACE(D593,""[^A-Za-z]+ "",""""))"),"Fuga Family")</f>
        <v xml:space="preserve">Fuga Family</v>
      </c>
      <c r="G608" s="4" t="s">
        <v>4350</v>
      </c>
      <c r="H608" s="4">
        <v>21</v>
      </c>
      <c r="I608" s="4" t="s">
        <v>25</v>
      </c>
      <c r="J608" s="5" t="s">
        <v>4351</v>
      </c>
      <c r="K608" s="5" t="s">
        <v>4352</v>
      </c>
      <c r="L608" s="4" t="s">
        <v>39</v>
      </c>
      <c r="M608" s="4" t="s">
        <v>29</v>
      </c>
      <c r="N608" s="4" t="s">
        <v>4353</v>
      </c>
      <c r="O608" s="4" t="s">
        <v>29</v>
      </c>
      <c r="P608" s="4" t="s">
        <v>4354</v>
      </c>
      <c r="Q608" s="6"/>
      <c r="R608" s="6"/>
      <c r="S608" s="6"/>
      <c r="T608" s="6"/>
      <c r="U608" s="6"/>
      <c r="V608" s="6"/>
      <c r="W608" s="6"/>
      <c r="X608" s="6"/>
      <c r="Y608" s="6"/>
    </row>
    <row r="609" ht="14.25">
      <c r="B609" s="4" t="s">
        <v>986</v>
      </c>
      <c r="C609" s="4" t="s">
        <v>4355</v>
      </c>
      <c r="D609" s="4" t="s">
        <v>164</v>
      </c>
      <c r="E609" s="4" t="s">
        <v>4356</v>
      </c>
      <c r="F609" s="5" t="str">
        <f>IFERROR(__XLUDF.DUMMYFUNCTION("PROPER(REGEXREPLACE(D594,""[^A-Za-z]+ "",""""))"),"Hospitality-On.Com")</f>
        <v>Hospitality-On.Com</v>
      </c>
      <c r="G609" s="4" t="s">
        <v>4357</v>
      </c>
      <c r="H609" s="4">
        <v>10</v>
      </c>
      <c r="I609" s="4" t="s">
        <v>36</v>
      </c>
      <c r="J609" s="5" t="s">
        <v>4358</v>
      </c>
      <c r="K609" s="5" t="s">
        <v>4359</v>
      </c>
      <c r="L609" s="4" t="s">
        <v>4360</v>
      </c>
      <c r="M609" s="4" t="s">
        <v>29</v>
      </c>
      <c r="N609" s="4" t="s">
        <v>4361</v>
      </c>
      <c r="O609" s="4" t="s">
        <v>29</v>
      </c>
      <c r="P609" s="4" t="s">
        <v>4362</v>
      </c>
      <c r="Q609" s="6"/>
      <c r="R609" s="6"/>
      <c r="S609" s="6"/>
      <c r="T609" s="6"/>
      <c r="U609" s="6"/>
      <c r="V609" s="6"/>
      <c r="W609" s="6"/>
      <c r="X609" s="6"/>
      <c r="Y609" s="6"/>
    </row>
    <row r="610" ht="14.25">
      <c r="B610" s="4" t="s">
        <v>2925</v>
      </c>
      <c r="C610" s="4" t="s">
        <v>4363</v>
      </c>
      <c r="D610" s="4" t="s">
        <v>4364</v>
      </c>
      <c r="E610" s="4" t="s">
        <v>1138</v>
      </c>
      <c r="F610" s="4" t="str">
        <f>IFERROR(__XLUDF.DUMMYFUNCTION("PROPER(REGEXREPLACE(D595,""[^A-Za-z]+ "",""""))"),"Tutti Amici")</f>
        <v xml:space="preserve">Tutti Amici</v>
      </c>
      <c r="G610" s="4" t="s">
        <v>4365</v>
      </c>
      <c r="H610" s="4">
        <v>36</v>
      </c>
      <c r="I610" s="4" t="s">
        <v>25</v>
      </c>
      <c r="J610" s="5" t="s">
        <v>4366</v>
      </c>
      <c r="K610" s="5" t="s">
        <v>1141</v>
      </c>
      <c r="L610" s="4" t="s">
        <v>1142</v>
      </c>
      <c r="M610" s="4" t="s">
        <v>29</v>
      </c>
      <c r="N610" s="4" t="s">
        <v>1143</v>
      </c>
      <c r="O610" s="4" t="s">
        <v>29</v>
      </c>
      <c r="P610" s="4" t="s">
        <v>1144</v>
      </c>
      <c r="Q610" s="6"/>
      <c r="R610" s="6"/>
      <c r="S610" s="6"/>
      <c r="T610" s="6"/>
      <c r="U610" s="6"/>
      <c r="V610" s="6"/>
      <c r="W610" s="6"/>
      <c r="X610" s="6"/>
      <c r="Y610" s="6"/>
    </row>
    <row r="611" ht="14.25">
      <c r="B611" s="4" t="s">
        <v>1853</v>
      </c>
      <c r="C611" s="4" t="s">
        <v>4367</v>
      </c>
      <c r="D611" s="4" t="s">
        <v>468</v>
      </c>
      <c r="E611" s="4" t="s">
        <v>4368</v>
      </c>
      <c r="F611" s="4" t="str">
        <f>IFERROR(__XLUDF.DUMMYFUNCTION("PROPER(REGEXREPLACE(D596,""[^A-Za-z]+ "",""""))"),"Yaoz 🍦")</f>
        <v xml:space="preserve">Yaoz 🍦</v>
      </c>
      <c r="G611" s="4" t="s">
        <v>4369</v>
      </c>
      <c r="H611" s="4">
        <v>6</v>
      </c>
      <c r="I611" s="4" t="s">
        <v>25</v>
      </c>
      <c r="J611" s="5" t="s">
        <v>4370</v>
      </c>
      <c r="K611" s="5" t="s">
        <v>4371</v>
      </c>
      <c r="L611" s="4" t="s">
        <v>39</v>
      </c>
      <c r="M611" s="4" t="s">
        <v>29</v>
      </c>
      <c r="N611" s="4" t="s">
        <v>4372</v>
      </c>
      <c r="O611" s="4" t="s">
        <v>29</v>
      </c>
      <c r="P611" s="6"/>
      <c r="Q611" s="6"/>
      <c r="R611" s="6"/>
      <c r="S611" s="6"/>
      <c r="T611" s="6"/>
      <c r="U611" s="6"/>
      <c r="V611" s="6"/>
      <c r="W611" s="6"/>
      <c r="X611" s="6"/>
      <c r="Y611" s="6"/>
    </row>
    <row r="612" ht="14.25">
      <c r="B612" s="4" t="s">
        <v>874</v>
      </c>
      <c r="C612" s="4" t="s">
        <v>4373</v>
      </c>
      <c r="D612" s="4" t="s">
        <v>487</v>
      </c>
      <c r="E612" s="4" t="s">
        <v>4374</v>
      </c>
      <c r="F612" s="4" t="str">
        <f>IFERROR(__XLUDF.DUMMYFUNCTION("PROPER(REGEXREPLACE(D597,""[^A-Za-z]+ "",""""))"),"Kia Kaha")</f>
        <v xml:space="preserve">Kia Kaha</v>
      </c>
      <c r="G612" s="4" t="s">
        <v>4375</v>
      </c>
      <c r="H612" s="4">
        <v>8</v>
      </c>
      <c r="I612" s="4" t="s">
        <v>25</v>
      </c>
      <c r="J612" s="5" t="s">
        <v>4376</v>
      </c>
      <c r="K612" s="5" t="s">
        <v>4377</v>
      </c>
      <c r="L612" s="4" t="s">
        <v>4378</v>
      </c>
      <c r="M612" s="4" t="s">
        <v>29</v>
      </c>
      <c r="N612" s="4" t="s">
        <v>1712</v>
      </c>
      <c r="O612" s="4" t="s">
        <v>29</v>
      </c>
      <c r="P612" s="6"/>
      <c r="Q612" s="6"/>
      <c r="R612" s="6"/>
      <c r="S612" s="6"/>
      <c r="T612" s="6"/>
      <c r="U612" s="6"/>
      <c r="V612" s="6"/>
      <c r="W612" s="6"/>
      <c r="X612" s="6"/>
      <c r="Y612" s="6"/>
    </row>
    <row r="613" ht="14.25">
      <c r="B613" s="4" t="s">
        <v>3164</v>
      </c>
      <c r="C613" s="4" t="s">
        <v>4379</v>
      </c>
      <c r="D613" s="4" t="s">
        <v>4380</v>
      </c>
      <c r="E613" s="4" t="s">
        <v>4381</v>
      </c>
      <c r="F613" s="4" t="str">
        <f>IFERROR(__XLUDF.DUMMYFUNCTION("PROPER(REGEXREPLACE(D598,""[^A-Za-z]+ "",""""))"),"Remoters")</f>
        <v>Remoters</v>
      </c>
      <c r="G613" s="4" t="s">
        <v>4382</v>
      </c>
      <c r="H613" s="4">
        <v>29</v>
      </c>
      <c r="I613" s="4" t="s">
        <v>25</v>
      </c>
      <c r="J613" s="5" t="s">
        <v>4383</v>
      </c>
      <c r="K613" s="5" t="s">
        <v>4384</v>
      </c>
      <c r="L613" s="4" t="s">
        <v>185</v>
      </c>
      <c r="M613" s="4" t="s">
        <v>29</v>
      </c>
      <c r="N613" s="4" t="s">
        <v>4385</v>
      </c>
      <c r="O613" s="4" t="s">
        <v>29</v>
      </c>
      <c r="P613" s="4" t="s">
        <v>4386</v>
      </c>
      <c r="Q613" s="6"/>
      <c r="R613" s="6"/>
      <c r="S613" s="6"/>
      <c r="T613" s="6"/>
      <c r="U613" s="6"/>
      <c r="V613" s="6"/>
      <c r="W613" s="6"/>
      <c r="X613" s="6"/>
      <c r="Y613" s="6"/>
    </row>
    <row r="614" ht="14.25">
      <c r="B614" s="4" t="s">
        <v>3909</v>
      </c>
      <c r="C614" s="4" t="s">
        <v>4387</v>
      </c>
      <c r="D614" s="4" t="s">
        <v>4388</v>
      </c>
      <c r="E614" s="4" t="s">
        <v>4389</v>
      </c>
      <c r="F614" s="4" t="str">
        <f>IFERROR(__XLUDF.DUMMYFUNCTION("PROPER(REGEXREPLACE(D599,""[^A-Za-z]+ "",""""))"),"Le Parkguinguette")</f>
        <v xml:space="preserve">Le Parkguinguette</v>
      </c>
      <c r="G614" s="4" t="s">
        <v>4390</v>
      </c>
      <c r="H614" s="4">
        <v>15</v>
      </c>
      <c r="I614" s="4" t="s">
        <v>36</v>
      </c>
      <c r="J614" s="5" t="s">
        <v>4391</v>
      </c>
      <c r="K614" s="5" t="s">
        <v>4392</v>
      </c>
      <c r="L614" s="4" t="s">
        <v>39</v>
      </c>
      <c r="M614" s="4" t="s">
        <v>29</v>
      </c>
      <c r="N614" s="4" t="s">
        <v>4393</v>
      </c>
      <c r="O614" s="4" t="s">
        <v>29</v>
      </c>
      <c r="P614" s="6"/>
      <c r="Q614" s="6"/>
      <c r="R614" s="6"/>
      <c r="S614" s="6"/>
      <c r="T614" s="6"/>
      <c r="U614" s="6"/>
      <c r="V614" s="6"/>
      <c r="W614" s="6"/>
      <c r="X614" s="6"/>
      <c r="Y614" s="6"/>
    </row>
    <row r="615" ht="14.25">
      <c r="B615" s="4" t="s">
        <v>4394</v>
      </c>
      <c r="C615" s="4" t="s">
        <v>4395</v>
      </c>
      <c r="D615" s="4" t="s">
        <v>4396</v>
      </c>
      <c r="E615" s="4" t="s">
        <v>4397</v>
      </c>
      <c r="F615" s="4" t="str">
        <f>IFERROR(__XLUDF.DUMMYFUNCTION("PROPER(REGEXREPLACE(D600,""[^A-Za-z]+ "",""""))"),"Biografy")</f>
        <v>Biografy</v>
      </c>
      <c r="G615" s="4" t="s">
        <v>4398</v>
      </c>
      <c r="H615" s="4">
        <v>6</v>
      </c>
      <c r="I615" s="4" t="s">
        <v>25</v>
      </c>
      <c r="J615" s="5" t="s">
        <v>4399</v>
      </c>
      <c r="K615" s="5" t="s">
        <v>4400</v>
      </c>
      <c r="L615" s="4" t="s">
        <v>4401</v>
      </c>
      <c r="M615" s="4" t="s">
        <v>29</v>
      </c>
      <c r="N615" s="4" t="s">
        <v>4402</v>
      </c>
      <c r="O615" s="4" t="s">
        <v>1548</v>
      </c>
      <c r="P615" s="6"/>
      <c r="Q615" s="6"/>
      <c r="R615" s="6"/>
      <c r="S615" s="6"/>
      <c r="T615" s="6"/>
      <c r="U615" s="6"/>
      <c r="V615" s="6"/>
      <c r="W615" s="6"/>
      <c r="X615" s="6"/>
      <c r="Y615" s="6"/>
    </row>
    <row r="616" ht="14.25">
      <c r="B616" s="4" t="s">
        <v>4403</v>
      </c>
      <c r="C616" s="4" t="s">
        <v>4404</v>
      </c>
      <c r="D616" s="4" t="s">
        <v>44</v>
      </c>
      <c r="E616" s="4" t="s">
        <v>4405</v>
      </c>
      <c r="F616" s="4" t="str">
        <f>IFERROR(__XLUDF.DUMMYFUNCTION("PROPER(REGEXREPLACE(D601,""[^A-Za-z]+ "",""""))"),"Backyard")</f>
        <v>Backyard</v>
      </c>
      <c r="G616" s="4" t="s">
        <v>4406</v>
      </c>
      <c r="H616" s="4">
        <v>6</v>
      </c>
      <c r="I616" s="4" t="s">
        <v>36</v>
      </c>
      <c r="J616" s="5" t="s">
        <v>4407</v>
      </c>
      <c r="K616" s="5" t="s">
        <v>4408</v>
      </c>
      <c r="L616" s="4" t="s">
        <v>295</v>
      </c>
      <c r="M616" s="4" t="s">
        <v>29</v>
      </c>
      <c r="N616" s="4" t="s">
        <v>4409</v>
      </c>
      <c r="O616" s="4" t="s">
        <v>29</v>
      </c>
      <c r="P616" s="4" t="s">
        <v>4410</v>
      </c>
      <c r="Q616" s="6"/>
      <c r="R616" s="6"/>
      <c r="S616" s="6"/>
      <c r="T616" s="6"/>
      <c r="U616" s="6"/>
      <c r="V616" s="6"/>
      <c r="W616" s="6"/>
      <c r="X616" s="6"/>
      <c r="Y616" s="6"/>
    </row>
    <row r="617" ht="14.25">
      <c r="B617" s="4" t="s">
        <v>2119</v>
      </c>
      <c r="C617" s="4" t="s">
        <v>4411</v>
      </c>
      <c r="D617" s="4" t="s">
        <v>44</v>
      </c>
      <c r="E617" s="4" t="s">
        <v>4412</v>
      </c>
      <c r="F617" s="4" t="str">
        <f>IFERROR(__XLUDF.DUMMYFUNCTION("PROPER(REGEXREPLACE(D602,""[^A-Za-z]+ "",""""))"),"Vicartem")</f>
        <v>Vicartem</v>
      </c>
      <c r="G617" s="4" t="s">
        <v>4413</v>
      </c>
      <c r="H617" s="4">
        <v>2</v>
      </c>
      <c r="I617" s="4" t="s">
        <v>36</v>
      </c>
      <c r="J617" s="5" t="s">
        <v>4414</v>
      </c>
      <c r="K617" s="5" t="s">
        <v>4415</v>
      </c>
      <c r="L617" s="4" t="s">
        <v>39</v>
      </c>
      <c r="M617" s="4" t="s">
        <v>29</v>
      </c>
      <c r="N617" s="4" t="s">
        <v>4416</v>
      </c>
      <c r="O617" s="4" t="s">
        <v>29</v>
      </c>
      <c r="P617" s="6"/>
      <c r="Q617" s="6"/>
      <c r="R617" s="6"/>
      <c r="S617" s="6"/>
      <c r="T617" s="6"/>
      <c r="U617" s="6"/>
      <c r="V617" s="6"/>
      <c r="W617" s="6"/>
      <c r="X617" s="6"/>
      <c r="Y617" s="6"/>
    </row>
    <row r="618" ht="14.25">
      <c r="B618" s="4" t="s">
        <v>3540</v>
      </c>
      <c r="C618" s="4" t="s">
        <v>4417</v>
      </c>
      <c r="D618" s="4" t="s">
        <v>4418</v>
      </c>
      <c r="E618" s="4" t="s">
        <v>4419</v>
      </c>
      <c r="F618" s="4" t="str">
        <f>IFERROR(__XLUDF.DUMMYFUNCTION("PROPER(REGEXREPLACE(D603,""[^A-Za-z]+ "",""""))"),"Rb Group")</f>
        <v xml:space="preserve">Rb Group</v>
      </c>
      <c r="G618" s="4" t="s">
        <v>4420</v>
      </c>
      <c r="H618" s="4">
        <v>14</v>
      </c>
      <c r="I618" s="4" t="s">
        <v>36</v>
      </c>
      <c r="J618" s="5" t="s">
        <v>4421</v>
      </c>
      <c r="K618" s="5" t="s">
        <v>4422</v>
      </c>
      <c r="L618" s="4" t="s">
        <v>49</v>
      </c>
      <c r="M618" s="4" t="s">
        <v>29</v>
      </c>
      <c r="N618" s="4" t="s">
        <v>4423</v>
      </c>
      <c r="O618" s="4" t="s">
        <v>29</v>
      </c>
      <c r="P618" s="4" t="s">
        <v>4424</v>
      </c>
      <c r="Q618" s="6"/>
      <c r="R618" s="6"/>
      <c r="S618" s="6"/>
      <c r="T618" s="6"/>
      <c r="U618" s="6"/>
      <c r="V618" s="6"/>
      <c r="W618" s="6"/>
      <c r="X618" s="6"/>
      <c r="Y618" s="6"/>
    </row>
    <row r="619" ht="14.25">
      <c r="B619" s="4" t="s">
        <v>4425</v>
      </c>
      <c r="C619" s="4" t="s">
        <v>4426</v>
      </c>
      <c r="D619" s="4" t="s">
        <v>4427</v>
      </c>
      <c r="E619" s="4" t="s">
        <v>4428</v>
      </c>
      <c r="F619" s="4" t="str">
        <f>IFERROR(__XLUDF.DUMMYFUNCTION("PROPER(REGEXREPLACE(D604,""[^A-Za-z]+ "",""""))"),"Groupe Srp Provence")</f>
        <v xml:space="preserve">Groupe Srp Provence</v>
      </c>
      <c r="G619" s="4" t="s">
        <v>4429</v>
      </c>
      <c r="H619" s="4">
        <v>11</v>
      </c>
      <c r="I619" s="4" t="s">
        <v>36</v>
      </c>
      <c r="J619" s="5" t="s">
        <v>4430</v>
      </c>
      <c r="K619" s="5" t="s">
        <v>4431</v>
      </c>
      <c r="L619" s="4" t="s">
        <v>185</v>
      </c>
      <c r="M619" s="4" t="s">
        <v>29</v>
      </c>
      <c r="N619" s="4" t="s">
        <v>4432</v>
      </c>
      <c r="O619" s="4" t="s">
        <v>1261</v>
      </c>
      <c r="P619" s="4" t="s">
        <v>4433</v>
      </c>
      <c r="Q619" s="6"/>
      <c r="R619" s="6"/>
      <c r="S619" s="6"/>
      <c r="T619" s="6"/>
      <c r="U619" s="6"/>
      <c r="V619" s="6"/>
      <c r="W619" s="6"/>
      <c r="X619" s="6"/>
      <c r="Y619" s="6"/>
    </row>
    <row r="620" ht="14.25">
      <c r="B620" s="4" t="s">
        <v>170</v>
      </c>
      <c r="C620" s="4" t="s">
        <v>4434</v>
      </c>
      <c r="D620" s="4" t="s">
        <v>688</v>
      </c>
      <c r="E620" s="4" t="s">
        <v>4435</v>
      </c>
      <c r="F620" s="4" t="str">
        <f>IFERROR(__XLUDF.DUMMYFUNCTION("PROPER(REGEXREPLACE(D605,""[^A-Za-z]+ "",""""))"),"Tonic Hotel")</f>
        <v xml:space="preserve">Tonic Hotel</v>
      </c>
      <c r="G620" s="4" t="s">
        <v>4436</v>
      </c>
      <c r="H620" s="4">
        <v>1</v>
      </c>
      <c r="I620" s="4" t="s">
        <v>25</v>
      </c>
      <c r="J620" s="5" t="s">
        <v>4437</v>
      </c>
      <c r="K620" s="5" t="s">
        <v>4438</v>
      </c>
      <c r="L620" s="4" t="s">
        <v>39</v>
      </c>
      <c r="M620" s="4" t="s">
        <v>29</v>
      </c>
      <c r="N620" s="4" t="s">
        <v>4439</v>
      </c>
      <c r="O620" s="4" t="s">
        <v>29</v>
      </c>
      <c r="P620" s="4" t="s">
        <v>4440</v>
      </c>
      <c r="Q620" s="6"/>
      <c r="R620" s="6"/>
      <c r="S620" s="6"/>
      <c r="T620" s="6"/>
      <c r="U620" s="6"/>
      <c r="V620" s="6"/>
      <c r="W620" s="6"/>
      <c r="X620" s="6"/>
      <c r="Y620" s="6"/>
    </row>
    <row r="621" ht="14.25">
      <c r="B621" s="4" t="s">
        <v>3472</v>
      </c>
      <c r="C621" s="4" t="s">
        <v>4441</v>
      </c>
      <c r="D621" s="4" t="s">
        <v>4442</v>
      </c>
      <c r="E621" s="4" t="s">
        <v>4443</v>
      </c>
      <c r="F621" s="4" t="str">
        <f>IFERROR(__XLUDF.DUMMYFUNCTION("PROPER(REGEXREPLACE(D606,""[^A-Za-z]+ "",""""))"),"Gallika")</f>
        <v>Gallika</v>
      </c>
      <c r="G621" s="4" t="s">
        <v>4444</v>
      </c>
      <c r="H621" s="4">
        <v>3</v>
      </c>
      <c r="I621" s="4" t="s">
        <v>25</v>
      </c>
      <c r="J621" s="5" t="s">
        <v>4445</v>
      </c>
      <c r="K621" s="5" t="s">
        <v>4446</v>
      </c>
      <c r="L621" s="4" t="s">
        <v>716</v>
      </c>
      <c r="M621" s="4" t="s">
        <v>29</v>
      </c>
      <c r="N621" s="4" t="s">
        <v>4447</v>
      </c>
      <c r="O621" s="4" t="s">
        <v>29</v>
      </c>
      <c r="P621" s="6"/>
      <c r="Q621" s="6"/>
      <c r="R621" s="6"/>
      <c r="S621" s="6"/>
      <c r="T621" s="6"/>
      <c r="U621" s="6"/>
      <c r="V621" s="6"/>
      <c r="W621" s="6"/>
      <c r="X621" s="6"/>
      <c r="Y621" s="6"/>
    </row>
    <row r="622" ht="14.25">
      <c r="B622" s="4" t="s">
        <v>2462</v>
      </c>
      <c r="C622" s="4" t="s">
        <v>4448</v>
      </c>
      <c r="D622" s="4" t="s">
        <v>4449</v>
      </c>
      <c r="E622" s="4" t="s">
        <v>4450</v>
      </c>
      <c r="F622" s="4" t="str">
        <f>IFERROR(__XLUDF.DUMMYFUNCTION("PROPER(REGEXREPLACE(D607,""[^A-Za-z]+ "",""""))"),"Youza")</f>
        <v>Youza</v>
      </c>
      <c r="G622" s="4" t="s">
        <v>4451</v>
      </c>
      <c r="H622" s="4">
        <v>21</v>
      </c>
      <c r="I622" s="4" t="s">
        <v>25</v>
      </c>
      <c r="J622" s="5" t="s">
        <v>4452</v>
      </c>
      <c r="K622" s="5" t="s">
        <v>4453</v>
      </c>
      <c r="L622" s="4" t="s">
        <v>39</v>
      </c>
      <c r="M622" s="4" t="s">
        <v>29</v>
      </c>
      <c r="N622" s="4" t="s">
        <v>4454</v>
      </c>
      <c r="O622" s="4" t="s">
        <v>29</v>
      </c>
      <c r="P622" s="6"/>
      <c r="Q622" s="6"/>
      <c r="R622" s="6"/>
      <c r="S622" s="6"/>
      <c r="T622" s="6"/>
      <c r="U622" s="6"/>
      <c r="V622" s="6"/>
      <c r="W622" s="6"/>
      <c r="X622" s="6"/>
      <c r="Y622" s="6"/>
    </row>
    <row r="623" ht="14.25">
      <c r="B623" s="4" t="s">
        <v>4455</v>
      </c>
      <c r="C623" s="4" t="s">
        <v>4456</v>
      </c>
      <c r="D623" s="4" t="s">
        <v>87</v>
      </c>
      <c r="E623" s="4" t="s">
        <v>4457</v>
      </c>
      <c r="F623" s="4" t="str">
        <f>IFERROR(__XLUDF.DUMMYFUNCTION("PROPER(REGEXREPLACE(D608,""[^A-Za-z]+ "",""""))"),"Groupe Myhotels")</f>
        <v xml:space="preserve">Groupe Myhotels</v>
      </c>
      <c r="G623" s="4" t="s">
        <v>4458</v>
      </c>
      <c r="H623" s="4">
        <v>14</v>
      </c>
      <c r="I623" s="4" t="s">
        <v>36</v>
      </c>
      <c r="J623" s="5" t="s">
        <v>4459</v>
      </c>
      <c r="K623" s="5" t="s">
        <v>4460</v>
      </c>
      <c r="L623" s="4" t="s">
        <v>39</v>
      </c>
      <c r="M623" s="4" t="s">
        <v>29</v>
      </c>
      <c r="N623" s="4" t="s">
        <v>4461</v>
      </c>
      <c r="O623" s="4" t="s">
        <v>29</v>
      </c>
      <c r="P623" s="6"/>
      <c r="Q623" s="6"/>
      <c r="R623" s="6"/>
      <c r="S623" s="6"/>
      <c r="T623" s="6"/>
      <c r="U623" s="6"/>
      <c r="V623" s="6"/>
      <c r="W623" s="6"/>
      <c r="X623" s="6"/>
      <c r="Y623" s="6"/>
    </row>
    <row r="624" ht="14.25">
      <c r="B624" s="4" t="s">
        <v>2242</v>
      </c>
      <c r="C624" s="4" t="s">
        <v>4462</v>
      </c>
      <c r="D624" s="4" t="s">
        <v>4463</v>
      </c>
      <c r="E624" s="4" t="s">
        <v>4464</v>
      </c>
      <c r="F624" s="4" t="str">
        <f>IFERROR(__XLUDF.DUMMYFUNCTION("PROPER(REGEXREPLACE(D609,""[^A-Za-z]+ "",""""))"),"Le Cercle")</f>
        <v xml:space="preserve">Le Cercle</v>
      </c>
      <c r="G624" s="4" t="s">
        <v>4465</v>
      </c>
      <c r="H624" s="4">
        <v>24</v>
      </c>
      <c r="I624" s="4" t="s">
        <v>36</v>
      </c>
      <c r="J624" s="5" t="s">
        <v>4466</v>
      </c>
      <c r="K624" s="5" t="s">
        <v>4467</v>
      </c>
      <c r="L624" s="6"/>
      <c r="M624" s="4" t="s">
        <v>29</v>
      </c>
      <c r="N624" s="4" t="s">
        <v>4468</v>
      </c>
      <c r="O624" s="4" t="s">
        <v>29</v>
      </c>
      <c r="P624" s="6"/>
      <c r="Q624" s="6"/>
      <c r="R624" s="6"/>
      <c r="S624" s="6"/>
      <c r="T624" s="6"/>
      <c r="U624" s="6"/>
      <c r="V624" s="6"/>
      <c r="W624" s="6"/>
      <c r="X624" s="6"/>
      <c r="Y624" s="6"/>
    </row>
    <row r="625" ht="14.25">
      <c r="B625" s="4" t="s">
        <v>4469</v>
      </c>
      <c r="C625" s="4" t="s">
        <v>4470</v>
      </c>
      <c r="D625" s="4" t="s">
        <v>62</v>
      </c>
      <c r="E625" s="4" t="s">
        <v>4471</v>
      </c>
      <c r="F625" s="4" t="str">
        <f>IFERROR(__XLUDF.DUMMYFUNCTION("PROPER(REGEXREPLACE(D610,""[^A-Za-z]+ "",""""))"),"Koawa Vacances")</f>
        <v xml:space="preserve">Koawa Vacances</v>
      </c>
      <c r="G625" s="4" t="s">
        <v>4472</v>
      </c>
      <c r="H625" s="4">
        <v>8</v>
      </c>
      <c r="I625" s="4" t="s">
        <v>36</v>
      </c>
      <c r="J625" s="5" t="s">
        <v>4473</v>
      </c>
      <c r="K625" s="5" t="s">
        <v>4474</v>
      </c>
      <c r="L625" s="4" t="s">
        <v>39</v>
      </c>
      <c r="M625" s="4" t="s">
        <v>29</v>
      </c>
      <c r="N625" s="4" t="s">
        <v>4475</v>
      </c>
      <c r="O625" s="4" t="s">
        <v>29</v>
      </c>
      <c r="P625" s="4" t="s">
        <v>4476</v>
      </c>
      <c r="Q625" s="6"/>
      <c r="R625" s="6"/>
      <c r="S625" s="6"/>
      <c r="T625" s="6"/>
      <c r="U625" s="6"/>
      <c r="V625" s="6"/>
      <c r="W625" s="6"/>
      <c r="X625" s="6"/>
      <c r="Y625" s="6"/>
    </row>
    <row r="626" ht="14.25">
      <c r="B626" s="4" t="s">
        <v>3516</v>
      </c>
      <c r="C626" s="4" t="s">
        <v>1354</v>
      </c>
      <c r="D626" s="4" t="s">
        <v>4477</v>
      </c>
      <c r="E626" s="4" t="s">
        <v>2282</v>
      </c>
      <c r="F626" s="4" t="str">
        <f>IFERROR(__XLUDF.DUMMYFUNCTION("PROPER(REGEXREPLACE(D611,""[^A-Za-z]+ "",""""))"),"Forstyle Hôtels Collection")</f>
        <v xml:space="preserve">Forstyle Hôtels Collection</v>
      </c>
      <c r="G626" s="4" t="s">
        <v>4478</v>
      </c>
      <c r="H626" s="4">
        <v>21</v>
      </c>
      <c r="I626" s="4" t="s">
        <v>36</v>
      </c>
      <c r="J626" s="5" t="s">
        <v>4479</v>
      </c>
      <c r="K626" s="5" t="s">
        <v>2285</v>
      </c>
      <c r="L626" s="6"/>
      <c r="M626" s="4" t="s">
        <v>29</v>
      </c>
      <c r="N626" s="4" t="s">
        <v>2286</v>
      </c>
      <c r="O626" s="4" t="s">
        <v>29</v>
      </c>
      <c r="P626" s="4" t="s">
        <v>2287</v>
      </c>
      <c r="Q626" s="6"/>
      <c r="R626" s="6"/>
      <c r="S626" s="6"/>
      <c r="T626" s="6"/>
      <c r="U626" s="6"/>
      <c r="V626" s="6"/>
      <c r="W626" s="6"/>
      <c r="X626" s="6"/>
      <c r="Y626" s="6"/>
    </row>
    <row r="627" ht="14.25">
      <c r="B627" s="4" t="s">
        <v>630</v>
      </c>
      <c r="C627" s="4" t="s">
        <v>4480</v>
      </c>
      <c r="D627" s="4" t="s">
        <v>44</v>
      </c>
      <c r="E627" s="4" t="s">
        <v>4481</v>
      </c>
      <c r="F627" s="4" t="str">
        <f>IFERROR(__XLUDF.DUMMYFUNCTION("PROPER(REGEXREPLACE(D612,""[^A-Za-z]+ "",""""))"),"Acantech Créateur De Chr365")</f>
        <v xml:space="preserve">Acantech Créateur De Chr365</v>
      </c>
      <c r="G627" s="4" t="s">
        <v>4482</v>
      </c>
      <c r="H627" s="4">
        <v>2</v>
      </c>
      <c r="I627" s="4" t="s">
        <v>25</v>
      </c>
      <c r="J627" s="5" t="s">
        <v>4483</v>
      </c>
      <c r="K627" s="5" t="s">
        <v>4484</v>
      </c>
      <c r="L627" s="4" t="s">
        <v>4485</v>
      </c>
      <c r="M627" s="4" t="s">
        <v>29</v>
      </c>
      <c r="N627" s="4" t="s">
        <v>4486</v>
      </c>
      <c r="O627" s="4" t="s">
        <v>1261</v>
      </c>
      <c r="P627" s="6"/>
      <c r="Q627" s="6"/>
      <c r="R627" s="6"/>
      <c r="S627" s="6"/>
      <c r="T627" s="6"/>
      <c r="U627" s="6"/>
      <c r="V627" s="6"/>
      <c r="W627" s="6"/>
      <c r="X627" s="6"/>
      <c r="Y627" s="6"/>
    </row>
    <row r="628" ht="14.25">
      <c r="B628" s="4" t="s">
        <v>2462</v>
      </c>
      <c r="C628" s="4" t="s">
        <v>4487</v>
      </c>
      <c r="D628" s="4" t="s">
        <v>4488</v>
      </c>
      <c r="E628" s="4" t="s">
        <v>2002</v>
      </c>
      <c r="F628" s="4" t="str">
        <f>IFERROR(__XLUDF.DUMMYFUNCTION("PROPER(REGEXREPLACE(D613,""[^A-Za-z]+ "",""""))"),"Life Hotels")</f>
        <v xml:space="preserve">Life Hotels</v>
      </c>
      <c r="G628" s="4" t="s">
        <v>4489</v>
      </c>
      <c r="H628" s="4">
        <v>20</v>
      </c>
      <c r="I628" s="4" t="s">
        <v>36</v>
      </c>
      <c r="J628" s="5" t="s">
        <v>4490</v>
      </c>
      <c r="K628" s="5" t="s">
        <v>2005</v>
      </c>
      <c r="L628" s="4" t="s">
        <v>39</v>
      </c>
      <c r="M628" s="4" t="s">
        <v>29</v>
      </c>
      <c r="N628" s="4" t="s">
        <v>67</v>
      </c>
      <c r="O628" s="4" t="s">
        <v>29</v>
      </c>
      <c r="P628" s="4" t="s">
        <v>2006</v>
      </c>
      <c r="Q628" s="6"/>
      <c r="R628" s="6"/>
      <c r="S628" s="6"/>
      <c r="T628" s="6"/>
      <c r="U628" s="6"/>
      <c r="V628" s="6"/>
      <c r="W628" s="6"/>
      <c r="X628" s="6"/>
      <c r="Y628" s="6"/>
    </row>
    <row r="629" ht="14.25">
      <c r="B629" s="4" t="s">
        <v>4491</v>
      </c>
      <c r="C629" s="4" t="s">
        <v>4492</v>
      </c>
      <c r="D629" s="4" t="s">
        <v>4493</v>
      </c>
      <c r="E629" s="4" t="s">
        <v>4494</v>
      </c>
      <c r="F629" s="4" t="str">
        <f>IFERROR(__XLUDF.DUMMYFUNCTION("PROPER(REGEXREPLACE(D614,""[^A-Za-z]+ "",""""))"),"Plaka")</f>
        <v>Plaka</v>
      </c>
      <c r="G629" s="4" t="s">
        <v>4495</v>
      </c>
      <c r="H629" s="4">
        <v>2</v>
      </c>
      <c r="I629" s="4" t="s">
        <v>36</v>
      </c>
      <c r="J629" s="5" t="s">
        <v>4496</v>
      </c>
      <c r="K629" s="5" t="s">
        <v>4497</v>
      </c>
      <c r="L629" s="4" t="s">
        <v>39</v>
      </c>
      <c r="M629" s="4" t="s">
        <v>29</v>
      </c>
      <c r="N629" s="4" t="s">
        <v>4498</v>
      </c>
      <c r="O629" s="4" t="s">
        <v>29</v>
      </c>
      <c r="P629" s="4" t="s">
        <v>4499</v>
      </c>
      <c r="Q629" s="6"/>
      <c r="R629" s="6"/>
      <c r="S629" s="6"/>
      <c r="T629" s="6"/>
      <c r="U629" s="6"/>
      <c r="V629" s="6"/>
      <c r="W629" s="6"/>
      <c r="X629" s="6"/>
      <c r="Y629" s="6"/>
    </row>
    <row r="630" ht="14.25">
      <c r="B630" s="4" t="s">
        <v>4500</v>
      </c>
      <c r="C630" s="4" t="s">
        <v>4501</v>
      </c>
      <c r="D630" s="4" t="s">
        <v>87</v>
      </c>
      <c r="E630" s="4" t="s">
        <v>4502</v>
      </c>
      <c r="F630" s="4" t="str">
        <f>IFERROR(__XLUDF.DUMMYFUNCTION("PROPER(REGEXREPLACE(D615,""[^A-Za-z]+ "",""""))"),"The Fold")</f>
        <v xml:space="preserve">The Fold</v>
      </c>
      <c r="G630" s="4" t="s">
        <v>4503</v>
      </c>
      <c r="H630" s="4">
        <v>35</v>
      </c>
      <c r="I630" s="4" t="s">
        <v>25</v>
      </c>
      <c r="J630" s="5" t="s">
        <v>4504</v>
      </c>
      <c r="K630" s="5" t="s">
        <v>4505</v>
      </c>
      <c r="L630" s="4" t="s">
        <v>946</v>
      </c>
      <c r="M630" s="4" t="s">
        <v>29</v>
      </c>
      <c r="N630" s="4" t="s">
        <v>4506</v>
      </c>
      <c r="O630" s="4" t="s">
        <v>29</v>
      </c>
      <c r="P630" s="4" t="s">
        <v>4507</v>
      </c>
      <c r="Q630" s="6"/>
      <c r="R630" s="6"/>
      <c r="S630" s="6"/>
      <c r="T630" s="6"/>
      <c r="U630" s="6"/>
      <c r="V630" s="6"/>
      <c r="W630" s="6"/>
      <c r="X630" s="6"/>
      <c r="Y630" s="6"/>
    </row>
    <row r="631" ht="14.25">
      <c r="B631" s="4" t="s">
        <v>1387</v>
      </c>
      <c r="C631" s="4" t="s">
        <v>4508</v>
      </c>
      <c r="D631" s="4" t="s">
        <v>541</v>
      </c>
      <c r="E631" s="4" t="s">
        <v>4509</v>
      </c>
      <c r="F631" s="4" t="str">
        <f>IFERROR(__XLUDF.DUMMYFUNCTION("PROPER(REGEXREPLACE(D616,""[^A-Za-z]+ "",""""))"),"Minoofi Bakery")</f>
        <v xml:space="preserve">Minoofi Bakery</v>
      </c>
      <c r="G631" s="4" t="s">
        <v>4510</v>
      </c>
      <c r="H631" s="4">
        <v>16</v>
      </c>
      <c r="I631" s="4" t="s">
        <v>25</v>
      </c>
      <c r="J631" s="5" t="s">
        <v>4511</v>
      </c>
      <c r="K631" s="5" t="s">
        <v>4512</v>
      </c>
      <c r="L631" s="4" t="s">
        <v>295</v>
      </c>
      <c r="M631" s="4" t="s">
        <v>29</v>
      </c>
      <c r="N631" s="4" t="s">
        <v>4513</v>
      </c>
      <c r="O631" s="4" t="s">
        <v>29</v>
      </c>
      <c r="P631" s="4" t="s">
        <v>4514</v>
      </c>
      <c r="Q631" s="6"/>
      <c r="R631" s="6"/>
      <c r="S631" s="6"/>
      <c r="T631" s="6"/>
      <c r="U631" s="6"/>
      <c r="V631" s="6"/>
      <c r="W631" s="6"/>
      <c r="X631" s="6"/>
      <c r="Y631" s="6"/>
    </row>
    <row r="632" ht="14.25">
      <c r="B632" s="4" t="s">
        <v>840</v>
      </c>
      <c r="C632" s="4" t="s">
        <v>4515</v>
      </c>
      <c r="D632" s="4" t="s">
        <v>247</v>
      </c>
      <c r="E632" s="4" t="s">
        <v>4516</v>
      </c>
      <c r="F632" s="4" t="str">
        <f>IFERROR(__XLUDF.DUMMYFUNCTION("PROPER(REGEXREPLACE(D617,""[^A-Za-z]+ "",""""))"),"Tasca Mezze Bar")</f>
        <v xml:space="preserve">Tasca Mezze Bar</v>
      </c>
      <c r="G632" s="4" t="s">
        <v>4517</v>
      </c>
      <c r="H632" s="4">
        <v>10</v>
      </c>
      <c r="I632" s="4" t="s">
        <v>36</v>
      </c>
      <c r="J632" s="5" t="s">
        <v>4518</v>
      </c>
      <c r="K632" s="5" t="s">
        <v>4519</v>
      </c>
      <c r="L632" s="4" t="s">
        <v>39</v>
      </c>
      <c r="M632" s="4" t="s">
        <v>29</v>
      </c>
      <c r="N632" s="4" t="s">
        <v>4520</v>
      </c>
      <c r="O632" s="4" t="s">
        <v>1938</v>
      </c>
      <c r="P632" s="4" t="s">
        <v>4521</v>
      </c>
      <c r="Q632" s="6"/>
      <c r="R632" s="6"/>
      <c r="S632" s="6"/>
      <c r="T632" s="6"/>
      <c r="U632" s="6"/>
      <c r="V632" s="6"/>
      <c r="W632" s="6"/>
      <c r="X632" s="6"/>
      <c r="Y632" s="6"/>
    </row>
    <row r="633" ht="14.25">
      <c r="B633" s="4" t="s">
        <v>4522</v>
      </c>
      <c r="C633" s="4" t="s">
        <v>3848</v>
      </c>
      <c r="D633" s="4" t="s">
        <v>2645</v>
      </c>
      <c r="E633" s="4" t="s">
        <v>4523</v>
      </c>
      <c r="F633" s="4" t="str">
        <f>IFERROR(__XLUDF.DUMMYFUNCTION("PROPER(REGEXREPLACE(D618,""[^A-Za-z]+ "",""""))"),"Casa Leya")</f>
        <v xml:space="preserve">Casa Leya</v>
      </c>
      <c r="G633" s="4" t="s">
        <v>4524</v>
      </c>
      <c r="H633" s="4">
        <v>5</v>
      </c>
      <c r="I633" s="4" t="s">
        <v>4525</v>
      </c>
      <c r="J633" s="5" t="s">
        <v>4526</v>
      </c>
      <c r="K633" s="5" t="s">
        <v>4527</v>
      </c>
      <c r="L633" s="4" t="s">
        <v>295</v>
      </c>
      <c r="M633" s="4" t="s">
        <v>29</v>
      </c>
      <c r="N633" s="4" t="s">
        <v>3642</v>
      </c>
      <c r="O633" s="4" t="s">
        <v>29</v>
      </c>
      <c r="P633" s="4" t="s">
        <v>4528</v>
      </c>
      <c r="Q633" s="6"/>
      <c r="R633" s="6"/>
      <c r="S633" s="6"/>
      <c r="T633" s="6"/>
      <c r="U633" s="6"/>
      <c r="V633" s="6"/>
      <c r="W633" s="6"/>
      <c r="X633" s="6"/>
      <c r="Y633" s="6"/>
    </row>
    <row r="634" ht="14.25">
      <c r="B634" s="4" t="s">
        <v>808</v>
      </c>
      <c r="C634" s="4" t="s">
        <v>4529</v>
      </c>
      <c r="D634" s="4" t="s">
        <v>172</v>
      </c>
      <c r="E634" s="4" t="s">
        <v>1958</v>
      </c>
      <c r="F634" s="4" t="str">
        <f>IFERROR(__XLUDF.DUMMYFUNCTION("PROPER(REGEXREPLACE(D619,""[^A-Za-z]+ "",""""))"),"Digilink")</f>
        <v>Digilink</v>
      </c>
      <c r="G634" s="4" t="s">
        <v>4530</v>
      </c>
      <c r="H634" s="4">
        <v>48</v>
      </c>
      <c r="I634" s="4" t="s">
        <v>25</v>
      </c>
      <c r="J634" s="5" t="s">
        <v>4531</v>
      </c>
      <c r="K634" s="5" t="s">
        <v>1961</v>
      </c>
      <c r="L634" s="4" t="s">
        <v>1826</v>
      </c>
      <c r="M634" s="4" t="s">
        <v>29</v>
      </c>
      <c r="N634" s="4" t="s">
        <v>1963</v>
      </c>
      <c r="O634" s="4" t="s">
        <v>29</v>
      </c>
      <c r="P634" s="4" t="s">
        <v>1964</v>
      </c>
      <c r="Q634" s="6"/>
      <c r="R634" s="6"/>
      <c r="S634" s="6"/>
      <c r="T634" s="6"/>
      <c r="U634" s="6"/>
      <c r="V634" s="6"/>
      <c r="W634" s="6"/>
      <c r="X634" s="6"/>
      <c r="Y634" s="6"/>
    </row>
    <row r="635" ht="14.25">
      <c r="B635" s="4" t="s">
        <v>95</v>
      </c>
      <c r="C635" s="4" t="s">
        <v>4532</v>
      </c>
      <c r="D635" s="4" t="s">
        <v>112</v>
      </c>
      <c r="E635" s="4" t="s">
        <v>4533</v>
      </c>
      <c r="F635" s="4" t="str">
        <f>IFERROR(__XLUDF.DUMMYFUNCTION("PROPER(REGEXREPLACE(D620,""[^A-Za-z]+ "",""""))"),"Kledia")</f>
        <v>Kledia</v>
      </c>
      <c r="G635" s="4" t="s">
        <v>4534</v>
      </c>
      <c r="H635" s="4">
        <v>38</v>
      </c>
      <c r="I635" s="4" t="s">
        <v>25</v>
      </c>
      <c r="J635" s="5" t="s">
        <v>4535</v>
      </c>
      <c r="K635" s="5" t="s">
        <v>4536</v>
      </c>
      <c r="L635" s="4" t="s">
        <v>4537</v>
      </c>
      <c r="M635" s="4" t="s">
        <v>29</v>
      </c>
      <c r="N635" s="4" t="s">
        <v>4538</v>
      </c>
      <c r="O635" s="4" t="s">
        <v>29</v>
      </c>
      <c r="P635" s="4" t="s">
        <v>4539</v>
      </c>
      <c r="Q635" s="6"/>
      <c r="R635" s="6"/>
      <c r="S635" s="6"/>
      <c r="T635" s="6"/>
      <c r="U635" s="6"/>
      <c r="V635" s="6"/>
      <c r="W635" s="6"/>
      <c r="X635" s="6"/>
      <c r="Y635" s="6"/>
    </row>
    <row r="636" ht="14.25">
      <c r="B636" s="4" t="s">
        <v>768</v>
      </c>
      <c r="C636" s="4" t="s">
        <v>1485</v>
      </c>
      <c r="D636" s="4" t="s">
        <v>341</v>
      </c>
      <c r="E636" s="4" t="s">
        <v>4540</v>
      </c>
      <c r="F636" s="4" t="str">
        <f>IFERROR(__XLUDF.DUMMYFUNCTION("PROPER(REGEXREPLACE(D621,""[^A-Za-z]+ "",""""))"),"Riviera Collections")</f>
        <v xml:space="preserve">Riviera Collections</v>
      </c>
      <c r="G636" s="4" t="s">
        <v>4541</v>
      </c>
      <c r="H636" s="4">
        <v>29</v>
      </c>
      <c r="I636" s="4" t="s">
        <v>36</v>
      </c>
      <c r="J636" s="5" t="s">
        <v>4542</v>
      </c>
      <c r="K636" s="5" t="s">
        <v>4543</v>
      </c>
      <c r="L636" s="4" t="s">
        <v>39</v>
      </c>
      <c r="M636" s="4" t="s">
        <v>29</v>
      </c>
      <c r="N636" s="4" t="s">
        <v>67</v>
      </c>
      <c r="O636" s="4" t="s">
        <v>29</v>
      </c>
      <c r="P636" s="4" t="s">
        <v>4544</v>
      </c>
      <c r="Q636" s="6"/>
      <c r="R636" s="6"/>
      <c r="S636" s="6"/>
      <c r="T636" s="6"/>
      <c r="U636" s="6"/>
      <c r="V636" s="6"/>
      <c r="W636" s="6"/>
      <c r="X636" s="6"/>
      <c r="Y636" s="6"/>
    </row>
    <row r="637" ht="14.25">
      <c r="B637" s="4" t="s">
        <v>2242</v>
      </c>
      <c r="C637" s="4" t="s">
        <v>4132</v>
      </c>
      <c r="D637" s="4" t="s">
        <v>4545</v>
      </c>
      <c r="E637" s="4" t="s">
        <v>4546</v>
      </c>
      <c r="F637" s="4" t="str">
        <f>IFERROR(__XLUDF.DUMMYFUNCTION("PROPER(REGEXREPLACE(D622,""[^A-Za-z]+ "",""""))"),"Groupe St Ho")</f>
        <v xml:space="preserve">Groupe St Ho</v>
      </c>
      <c r="G637" s="4" t="s">
        <v>4547</v>
      </c>
      <c r="H637" s="4">
        <v>40</v>
      </c>
      <c r="I637" s="4" t="s">
        <v>25</v>
      </c>
      <c r="J637" s="5" t="s">
        <v>4548</v>
      </c>
      <c r="K637" s="5" t="s">
        <v>4549</v>
      </c>
      <c r="L637" s="6"/>
      <c r="M637" s="4" t="s">
        <v>29</v>
      </c>
      <c r="N637" s="4" t="s">
        <v>4550</v>
      </c>
      <c r="O637" s="4" t="s">
        <v>29</v>
      </c>
      <c r="P637" s="4" t="s">
        <v>4551</v>
      </c>
      <c r="Q637" s="6"/>
      <c r="R637" s="6"/>
      <c r="S637" s="6"/>
      <c r="T637" s="6"/>
      <c r="U637" s="6"/>
      <c r="V637" s="6"/>
      <c r="W637" s="6"/>
      <c r="X637" s="6"/>
      <c r="Y637" s="6"/>
    </row>
    <row r="638" ht="14.25">
      <c r="B638" s="4" t="s">
        <v>1667</v>
      </c>
      <c r="C638" s="4" t="s">
        <v>4552</v>
      </c>
      <c r="D638" s="4" t="s">
        <v>112</v>
      </c>
      <c r="E638" s="4" t="s">
        <v>4553</v>
      </c>
      <c r="F638" s="4" t="str">
        <f>IFERROR(__XLUDF.DUMMYFUNCTION("PROPER(REGEXREPLACE(D623,""[^A-Za-z]+ "",""""))"),"Afrik'N'Group")</f>
        <v>Afrik'N'Group</v>
      </c>
      <c r="G638" s="4" t="s">
        <v>4554</v>
      </c>
      <c r="H638" s="4">
        <v>37</v>
      </c>
      <c r="I638" s="4" t="s">
        <v>25</v>
      </c>
      <c r="J638" s="5" t="s">
        <v>4555</v>
      </c>
      <c r="K638" s="5" t="s">
        <v>4556</v>
      </c>
      <c r="L638" s="6"/>
      <c r="M638" s="4" t="s">
        <v>29</v>
      </c>
      <c r="N638" s="4" t="s">
        <v>4557</v>
      </c>
      <c r="O638" s="4" t="s">
        <v>29</v>
      </c>
      <c r="P638" s="4" t="s">
        <v>4558</v>
      </c>
      <c r="Q638" s="6"/>
      <c r="R638" s="6"/>
      <c r="S638" s="6"/>
      <c r="T638" s="6"/>
      <c r="U638" s="6"/>
      <c r="V638" s="6"/>
      <c r="W638" s="6"/>
      <c r="X638" s="6"/>
      <c r="Y638" s="6"/>
    </row>
    <row r="639" ht="14.25">
      <c r="B639" s="4" t="s">
        <v>2311</v>
      </c>
      <c r="C639" s="4" t="s">
        <v>4559</v>
      </c>
      <c r="D639" s="4" t="s">
        <v>365</v>
      </c>
      <c r="E639" s="4" t="s">
        <v>4560</v>
      </c>
      <c r="F639" s="4" t="str">
        <f>IFERROR(__XLUDF.DUMMYFUNCTION("PROPER(REGEXREPLACE(D624,""[^A-Za-z]+ "",""""))"),"Kodawari Ramen")</f>
        <v xml:space="preserve">Kodawari Ramen</v>
      </c>
      <c r="G639" s="4" t="s">
        <v>4561</v>
      </c>
      <c r="H639" s="4">
        <v>24</v>
      </c>
      <c r="I639" s="4" t="s">
        <v>36</v>
      </c>
      <c r="J639" s="5" t="s">
        <v>4562</v>
      </c>
      <c r="K639" s="5" t="s">
        <v>4563</v>
      </c>
      <c r="L639" s="4" t="s">
        <v>39</v>
      </c>
      <c r="M639" s="4" t="s">
        <v>29</v>
      </c>
      <c r="N639" s="4" t="s">
        <v>4564</v>
      </c>
      <c r="O639" s="4" t="s">
        <v>29</v>
      </c>
      <c r="P639" s="4" t="s">
        <v>4565</v>
      </c>
      <c r="Q639" s="6"/>
      <c r="R639" s="6"/>
      <c r="S639" s="6"/>
      <c r="T639" s="6"/>
      <c r="U639" s="6"/>
      <c r="V639" s="6"/>
      <c r="W639" s="6"/>
      <c r="X639" s="6"/>
      <c r="Y639" s="6"/>
    </row>
    <row r="640" ht="14.25">
      <c r="B640" s="4" t="s">
        <v>840</v>
      </c>
      <c r="C640" s="4" t="s">
        <v>2809</v>
      </c>
      <c r="D640" s="4" t="s">
        <v>120</v>
      </c>
      <c r="E640" s="4" t="s">
        <v>4566</v>
      </c>
      <c r="F640" s="4" t="str">
        <f>IFERROR(__XLUDF.DUMMYFUNCTION("PROPER(REGEXREPLACE(D625,""[^A-Za-z]+ "",""""))"),"Kubri")</f>
        <v>Kubri</v>
      </c>
      <c r="G640" s="4" t="s">
        <v>4567</v>
      </c>
      <c r="H640" s="4">
        <v>17</v>
      </c>
      <c r="I640" s="4" t="s">
        <v>36</v>
      </c>
      <c r="J640" s="5" t="s">
        <v>4568</v>
      </c>
      <c r="K640" s="5" t="s">
        <v>4569</v>
      </c>
      <c r="L640" s="6"/>
      <c r="M640" s="4" t="s">
        <v>29</v>
      </c>
      <c r="N640" s="4" t="s">
        <v>4570</v>
      </c>
      <c r="O640" s="4" t="s">
        <v>29</v>
      </c>
      <c r="P640" s="4" t="s">
        <v>4571</v>
      </c>
      <c r="Q640" s="6"/>
      <c r="R640" s="6"/>
      <c r="S640" s="6"/>
      <c r="T640" s="6"/>
      <c r="U640" s="6"/>
      <c r="V640" s="6"/>
      <c r="W640" s="6"/>
      <c r="X640" s="6"/>
      <c r="Y640" s="6"/>
    </row>
    <row r="641" ht="14.25">
      <c r="B641" s="4" t="s">
        <v>734</v>
      </c>
      <c r="C641" s="4" t="s">
        <v>4572</v>
      </c>
      <c r="D641" s="4" t="s">
        <v>4573</v>
      </c>
      <c r="E641" s="4" t="s">
        <v>4574</v>
      </c>
      <c r="F641" s="4" t="str">
        <f>IFERROR(__XLUDF.DUMMYFUNCTION("PROPER(REGEXREPLACE(D626,""[^A-Za-z]+ "",""""))"),"Poutinebros")</f>
        <v>Poutinebros</v>
      </c>
      <c r="G641" s="4" t="s">
        <v>4575</v>
      </c>
      <c r="H641" s="4">
        <v>5</v>
      </c>
      <c r="I641" s="4" t="s">
        <v>157</v>
      </c>
      <c r="J641" s="5" t="s">
        <v>4576</v>
      </c>
      <c r="K641" s="5" t="s">
        <v>4577</v>
      </c>
      <c r="L641" s="4" t="s">
        <v>39</v>
      </c>
      <c r="M641" s="4" t="s">
        <v>29</v>
      </c>
      <c r="N641" s="4" t="s">
        <v>4578</v>
      </c>
      <c r="O641" s="4" t="s">
        <v>29</v>
      </c>
      <c r="P641" s="6"/>
      <c r="Q641" s="6"/>
      <c r="R641" s="6"/>
      <c r="S641" s="6"/>
      <c r="T641" s="6"/>
      <c r="U641" s="6"/>
      <c r="V641" s="6"/>
      <c r="W641" s="6"/>
      <c r="X641" s="6"/>
      <c r="Y641" s="6"/>
    </row>
    <row r="642" ht="14.25">
      <c r="B642" s="4" t="s">
        <v>2249</v>
      </c>
      <c r="C642" s="4" t="s">
        <v>4579</v>
      </c>
      <c r="D642" s="4" t="s">
        <v>426</v>
      </c>
      <c r="E642" s="4" t="s">
        <v>4580</v>
      </c>
      <c r="F642" s="4" t="str">
        <f>IFERROR(__XLUDF.DUMMYFUNCTION("PROPER(REGEXREPLACE(D627,""[^A-Za-z]+ "",""""))"),"Hospitality Sustainability Revolution")</f>
        <v xml:space="preserve">Hospitality Sustainability Revolution</v>
      </c>
      <c r="G642" s="4" t="s">
        <v>4581</v>
      </c>
      <c r="H642" s="4">
        <v>11</v>
      </c>
      <c r="I642" s="4" t="s">
        <v>25</v>
      </c>
      <c r="J642" s="5" t="s">
        <v>4582</v>
      </c>
      <c r="K642" s="5" t="s">
        <v>4583</v>
      </c>
      <c r="L642" s="4" t="s">
        <v>185</v>
      </c>
      <c r="M642" s="4" t="s">
        <v>29</v>
      </c>
      <c r="N642" s="4" t="s">
        <v>125</v>
      </c>
      <c r="O642" s="4" t="s">
        <v>29</v>
      </c>
      <c r="P642" s="6"/>
      <c r="Q642" s="6"/>
      <c r="R642" s="6"/>
      <c r="S642" s="6"/>
      <c r="T642" s="6"/>
      <c r="U642" s="6"/>
      <c r="V642" s="6"/>
      <c r="W642" s="6"/>
      <c r="X642" s="6"/>
      <c r="Y642" s="6"/>
    </row>
    <row r="643" ht="14.25">
      <c r="B643" s="4" t="s">
        <v>4584</v>
      </c>
      <c r="C643" s="4" t="s">
        <v>4585</v>
      </c>
      <c r="D643" s="4" t="s">
        <v>4586</v>
      </c>
      <c r="E643" s="5" t="s">
        <v>1456</v>
      </c>
      <c r="F643" s="4" t="str">
        <f>IFERROR(__XLUDF.DUMMYFUNCTION("PROPER(REGEXREPLACE(D628,""[^A-Za-z]+ "",""""))"),"Maslow Group")</f>
        <v xml:space="preserve">Maslow Group</v>
      </c>
      <c r="G643" s="4" t="s">
        <v>4587</v>
      </c>
      <c r="H643" s="4">
        <v>5</v>
      </c>
      <c r="I643" s="4" t="s">
        <v>25</v>
      </c>
      <c r="J643" s="5" t="s">
        <v>4588</v>
      </c>
      <c r="K643" s="5" t="s">
        <v>1459</v>
      </c>
      <c r="L643" s="4" t="s">
        <v>295</v>
      </c>
      <c r="M643" s="4" t="s">
        <v>29</v>
      </c>
      <c r="N643" s="4" t="s">
        <v>1461</v>
      </c>
      <c r="O643" s="4" t="s">
        <v>29</v>
      </c>
      <c r="P643" s="4" t="s">
        <v>1462</v>
      </c>
      <c r="Q643" s="6"/>
      <c r="R643" s="6"/>
      <c r="S643" s="6"/>
      <c r="T643" s="6"/>
      <c r="U643" s="6"/>
      <c r="V643" s="6"/>
      <c r="W643" s="6"/>
      <c r="X643" s="6"/>
      <c r="Y643" s="6"/>
    </row>
    <row r="644" ht="14.25">
      <c r="B644" s="4" t="s">
        <v>4589</v>
      </c>
      <c r="C644" s="4" t="s">
        <v>4590</v>
      </c>
      <c r="D644" s="4" t="s">
        <v>426</v>
      </c>
      <c r="E644" s="4" t="s">
        <v>4591</v>
      </c>
      <c r="F644" s="4" t="str">
        <f>IFERROR(__XLUDF.DUMMYFUNCTION("PROPER(REGEXREPLACE(D629,""[^A-Za-z]+ "",""""))"),"L'Atelier Saisonnier")</f>
        <v xml:space="preserve">L'Atelier Saisonnier</v>
      </c>
      <c r="G644" s="4" t="s">
        <v>4592</v>
      </c>
      <c r="H644" s="4">
        <v>40</v>
      </c>
      <c r="I644" s="4" t="s">
        <v>25</v>
      </c>
      <c r="J644" s="5" t="s">
        <v>4593</v>
      </c>
      <c r="K644" s="5" t="s">
        <v>4594</v>
      </c>
      <c r="L644" s="4" t="s">
        <v>39</v>
      </c>
      <c r="M644" s="4" t="s">
        <v>29</v>
      </c>
      <c r="N644" s="4" t="s">
        <v>4595</v>
      </c>
      <c r="O644" s="4" t="s">
        <v>29</v>
      </c>
      <c r="P644" s="4" t="s">
        <v>4596</v>
      </c>
      <c r="Q644" s="6"/>
      <c r="R644" s="6"/>
      <c r="S644" s="6"/>
      <c r="T644" s="6"/>
      <c r="U644" s="6"/>
      <c r="V644" s="6"/>
      <c r="W644" s="6"/>
      <c r="X644" s="6"/>
      <c r="Y644" s="6"/>
    </row>
    <row r="645" ht="14.25">
      <c r="B645" s="4" t="s">
        <v>3002</v>
      </c>
      <c r="C645" s="4" t="s">
        <v>4597</v>
      </c>
      <c r="D645" s="4" t="s">
        <v>172</v>
      </c>
      <c r="E645" s="4" t="s">
        <v>4598</v>
      </c>
      <c r="F645" s="4" t="str">
        <f>IFERROR(__XLUDF.DUMMYFUNCTION("PROPER(REGEXREPLACE(D630,""[^A-Za-z]+ "",""""))"),"Groupe Cithôtels")</f>
        <v xml:space="preserve">Groupe Cithôtels</v>
      </c>
      <c r="G645" s="4" t="s">
        <v>4599</v>
      </c>
      <c r="H645" s="4">
        <v>20</v>
      </c>
      <c r="I645" s="4" t="s">
        <v>25</v>
      </c>
      <c r="J645" s="5" t="s">
        <v>4600</v>
      </c>
      <c r="K645" s="5" t="s">
        <v>4601</v>
      </c>
      <c r="L645" s="4" t="s">
        <v>4602</v>
      </c>
      <c r="M645" s="4" t="s">
        <v>29</v>
      </c>
      <c r="N645" s="4" t="s">
        <v>4603</v>
      </c>
      <c r="O645" s="4" t="s">
        <v>29</v>
      </c>
      <c r="P645" s="4" t="s">
        <v>4604</v>
      </c>
      <c r="Q645" s="6"/>
      <c r="R645" s="6"/>
      <c r="S645" s="6"/>
      <c r="T645" s="6"/>
      <c r="U645" s="6"/>
      <c r="V645" s="6"/>
      <c r="W645" s="6"/>
      <c r="X645" s="6"/>
      <c r="Y645" s="6"/>
    </row>
    <row r="646" ht="14.25">
      <c r="B646" s="4" t="s">
        <v>4605</v>
      </c>
      <c r="C646" s="4" t="s">
        <v>4606</v>
      </c>
      <c r="D646" s="4" t="s">
        <v>426</v>
      </c>
      <c r="E646" s="4" t="s">
        <v>4607</v>
      </c>
      <c r="F646" s="4" t="str">
        <f>IFERROR(__XLUDF.DUMMYFUNCTION("PROPER(REGEXREPLACE(D631,""[^A-Za-z]+ "",""""))"),"Nocnoc")</f>
        <v>Nocnoc</v>
      </c>
      <c r="G646" s="4" t="s">
        <v>4608</v>
      </c>
      <c r="H646" s="4">
        <v>19</v>
      </c>
      <c r="I646" s="4" t="s">
        <v>25</v>
      </c>
      <c r="J646" s="5" t="s">
        <v>4609</v>
      </c>
      <c r="K646" s="5" t="s">
        <v>4610</v>
      </c>
      <c r="L646" s="4" t="s">
        <v>149</v>
      </c>
      <c r="M646" s="4" t="s">
        <v>29</v>
      </c>
      <c r="N646" s="4" t="s">
        <v>4611</v>
      </c>
      <c r="O646" s="4" t="s">
        <v>29</v>
      </c>
      <c r="P646" s="4" t="s">
        <v>4612</v>
      </c>
      <c r="Q646" s="6"/>
      <c r="R646" s="6"/>
      <c r="S646" s="6"/>
      <c r="T646" s="6"/>
      <c r="U646" s="6"/>
      <c r="V646" s="6"/>
      <c r="W646" s="6"/>
      <c r="X646" s="6"/>
      <c r="Y646" s="6"/>
    </row>
    <row r="647" ht="14.25">
      <c r="B647" s="4" t="s">
        <v>1667</v>
      </c>
      <c r="C647" s="4" t="s">
        <v>4613</v>
      </c>
      <c r="D647" s="4" t="s">
        <v>172</v>
      </c>
      <c r="E647" s="4" t="s">
        <v>4614</v>
      </c>
      <c r="F647" s="4" t="str">
        <f>IFERROR(__XLUDF.DUMMYFUNCTION("PROPER(REGEXREPLACE(D632,""[^A-Za-z]+ "",""""))"),"Crrsp")</f>
        <v>Crrsp</v>
      </c>
      <c r="G647" s="4" t="s">
        <v>4615</v>
      </c>
      <c r="H647" s="4">
        <v>52</v>
      </c>
      <c r="I647" s="4" t="s">
        <v>25</v>
      </c>
      <c r="J647" s="5" t="s">
        <v>4616</v>
      </c>
      <c r="K647" s="5" t="s">
        <v>4617</v>
      </c>
      <c r="L647" s="4" t="s">
        <v>49</v>
      </c>
      <c r="M647" s="4" t="s">
        <v>29</v>
      </c>
      <c r="N647" s="4" t="s">
        <v>4618</v>
      </c>
      <c r="O647" s="4" t="s">
        <v>29</v>
      </c>
      <c r="P647" s="4" t="s">
        <v>4619</v>
      </c>
      <c r="Q647" s="6"/>
      <c r="R647" s="6"/>
      <c r="S647" s="6"/>
      <c r="T647" s="6"/>
      <c r="U647" s="6"/>
      <c r="V647" s="6"/>
      <c r="W647" s="6"/>
      <c r="X647" s="6"/>
      <c r="Y647" s="6"/>
    </row>
    <row r="648" ht="14.25">
      <c r="B648" s="4" t="s">
        <v>3142</v>
      </c>
      <c r="C648" s="4" t="s">
        <v>4620</v>
      </c>
      <c r="D648" s="4" t="s">
        <v>172</v>
      </c>
      <c r="E648" s="4" t="s">
        <v>4621</v>
      </c>
      <c r="F648" s="4" t="str">
        <f>IFERROR(__XLUDF.DUMMYFUNCTION("PROPER(REGEXREPLACE(D633,""[^A-Za-z]+ "",""""))"),"Enamoura")</f>
        <v>Enamoura</v>
      </c>
      <c r="G648" s="4" t="s">
        <v>4622</v>
      </c>
      <c r="H648" s="4">
        <v>5</v>
      </c>
      <c r="I648" s="4" t="s">
        <v>36</v>
      </c>
      <c r="J648" s="5" t="s">
        <v>4623</v>
      </c>
      <c r="K648" s="5" t="s">
        <v>4624</v>
      </c>
      <c r="L648" s="4" t="s">
        <v>39</v>
      </c>
      <c r="M648" s="4" t="s">
        <v>29</v>
      </c>
      <c r="N648" s="4" t="s">
        <v>4625</v>
      </c>
      <c r="O648" s="4" t="s">
        <v>29</v>
      </c>
      <c r="P648" s="4" t="s">
        <v>4626</v>
      </c>
      <c r="Q648" s="6"/>
      <c r="R648" s="6"/>
      <c r="S648" s="6"/>
      <c r="T648" s="6"/>
      <c r="U648" s="6"/>
      <c r="V648" s="6"/>
      <c r="W648" s="6"/>
      <c r="X648" s="6"/>
      <c r="Y648" s="6"/>
    </row>
    <row r="649" ht="14.25">
      <c r="B649" s="4" t="s">
        <v>20</v>
      </c>
      <c r="C649" s="4" t="s">
        <v>1973</v>
      </c>
      <c r="D649" s="4" t="s">
        <v>1974</v>
      </c>
      <c r="E649" s="4" t="s">
        <v>1975</v>
      </c>
      <c r="F649" s="4" t="str">
        <f>IFERROR(__XLUDF.DUMMYFUNCTION("PROPER(REGEXREPLACE(D634,""[^A-Za-z]+ "",""""))"),"Ferre Hotels")</f>
        <v xml:space="preserve">Ferre Hotels</v>
      </c>
      <c r="G649" s="4" t="s">
        <v>4627</v>
      </c>
      <c r="H649" s="4">
        <v>19</v>
      </c>
      <c r="I649" s="4" t="s">
        <v>36</v>
      </c>
      <c r="J649" s="5" t="s">
        <v>1977</v>
      </c>
      <c r="K649" s="5" t="s">
        <v>1978</v>
      </c>
      <c r="L649" s="4" t="s">
        <v>39</v>
      </c>
      <c r="M649" s="4" t="s">
        <v>29</v>
      </c>
      <c r="N649" s="4" t="s">
        <v>1979</v>
      </c>
      <c r="O649" s="4" t="s">
        <v>29</v>
      </c>
      <c r="P649" s="4" t="s">
        <v>1980</v>
      </c>
      <c r="Q649" s="6"/>
      <c r="R649" s="6"/>
      <c r="S649" s="6"/>
      <c r="T649" s="6"/>
      <c r="U649" s="6"/>
      <c r="V649" s="6"/>
      <c r="W649" s="6"/>
      <c r="X649" s="6"/>
      <c r="Y649" s="6"/>
    </row>
    <row r="650" ht="14.25">
      <c r="B650" s="4" t="s">
        <v>222</v>
      </c>
      <c r="C650" s="4" t="s">
        <v>4628</v>
      </c>
      <c r="D650" s="4" t="s">
        <v>4629</v>
      </c>
      <c r="E650" s="4" t="s">
        <v>4630</v>
      </c>
      <c r="F650" s="4" t="str">
        <f>IFERROR(__XLUDF.DUMMYFUNCTION("PROPER(REGEXREPLACE(D635,""[^A-Za-z]+ "",""""))"),"The Villa Calvi")</f>
        <v xml:space="preserve">The Villa Calvi</v>
      </c>
      <c r="G650" s="4" t="s">
        <v>4631</v>
      </c>
      <c r="H650" s="4">
        <v>4</v>
      </c>
      <c r="I650" s="4" t="s">
        <v>25</v>
      </c>
      <c r="J650" s="5" t="s">
        <v>4632</v>
      </c>
      <c r="K650" s="5" t="s">
        <v>4633</v>
      </c>
      <c r="L650" s="6"/>
      <c r="M650" s="4" t="s">
        <v>29</v>
      </c>
      <c r="N650" s="4" t="s">
        <v>4634</v>
      </c>
      <c r="O650" s="4" t="s">
        <v>29</v>
      </c>
      <c r="P650" s="4" t="s">
        <v>4635</v>
      </c>
      <c r="Q650" s="6"/>
      <c r="R650" s="6"/>
      <c r="S650" s="6"/>
      <c r="T650" s="6"/>
      <c r="U650" s="6"/>
      <c r="V650" s="6"/>
      <c r="W650" s="6"/>
      <c r="X650" s="6"/>
      <c r="Y650" s="6"/>
    </row>
    <row r="651" ht="14.25">
      <c r="B651" s="4" t="s">
        <v>2138</v>
      </c>
      <c r="C651" s="4" t="s">
        <v>4636</v>
      </c>
      <c r="D651" s="4" t="s">
        <v>4637</v>
      </c>
      <c r="E651" s="4" t="s">
        <v>1272</v>
      </c>
      <c r="F651" s="4" t="str">
        <f>IFERROR(__XLUDF.DUMMYFUNCTION("PROPER(REGEXREPLACE(D636,""[^A-Za-z]+ "",""""))"),"Dalia Group")</f>
        <v xml:space="preserve">Dalia Group</v>
      </c>
      <c r="G651" s="4" t="s">
        <v>4638</v>
      </c>
      <c r="H651" s="4">
        <v>14</v>
      </c>
      <c r="I651" s="4" t="s">
        <v>25</v>
      </c>
      <c r="J651" s="5" t="s">
        <v>4639</v>
      </c>
      <c r="K651" s="5" t="s">
        <v>1275</v>
      </c>
      <c r="L651" s="4" t="s">
        <v>39</v>
      </c>
      <c r="M651" s="4" t="s">
        <v>29</v>
      </c>
      <c r="N651" s="4" t="s">
        <v>1276</v>
      </c>
      <c r="O651" s="4" t="s">
        <v>29</v>
      </c>
      <c r="P651" s="4" t="s">
        <v>1277</v>
      </c>
      <c r="Q651" s="6"/>
      <c r="R651" s="6"/>
      <c r="S651" s="6"/>
      <c r="T651" s="6"/>
      <c r="U651" s="6"/>
      <c r="V651" s="6"/>
      <c r="W651" s="6"/>
      <c r="X651" s="6"/>
      <c r="Y651" s="6"/>
    </row>
    <row r="652" ht="14.25">
      <c r="B652" s="4" t="s">
        <v>743</v>
      </c>
      <c r="C652" s="4" t="s">
        <v>4640</v>
      </c>
      <c r="D652" s="4" t="s">
        <v>62</v>
      </c>
      <c r="E652" s="4" t="s">
        <v>3583</v>
      </c>
      <c r="F652" s="4" t="str">
        <f>IFERROR(__XLUDF.DUMMYFUNCTION("PROPER(REGEXREPLACE(D637,""[^A-Za-z]+ "",""""))"),"Suitcase Hospitality")</f>
        <v xml:space="preserve">Suitcase Hospitality</v>
      </c>
      <c r="G652" s="4" t="s">
        <v>4641</v>
      </c>
      <c r="H652" s="4">
        <v>45</v>
      </c>
      <c r="I652" s="4" t="s">
        <v>36</v>
      </c>
      <c r="J652" s="5" t="s">
        <v>4642</v>
      </c>
      <c r="K652" s="5" t="s">
        <v>3586</v>
      </c>
      <c r="L652" s="4" t="s">
        <v>39</v>
      </c>
      <c r="M652" s="4" t="s">
        <v>29</v>
      </c>
      <c r="N652" s="4" t="s">
        <v>3587</v>
      </c>
      <c r="O652" s="4" t="s">
        <v>29</v>
      </c>
      <c r="P652" s="4" t="s">
        <v>3588</v>
      </c>
      <c r="Q652" s="6"/>
      <c r="R652" s="6"/>
      <c r="S652" s="6"/>
      <c r="T652" s="6"/>
      <c r="U652" s="6"/>
      <c r="V652" s="6"/>
      <c r="W652" s="6"/>
      <c r="X652" s="6"/>
      <c r="Y652" s="6"/>
    </row>
    <row r="653" ht="14.25">
      <c r="B653" s="4" t="s">
        <v>1619</v>
      </c>
      <c r="C653" s="4" t="s">
        <v>4643</v>
      </c>
      <c r="D653" s="4" t="s">
        <v>4644</v>
      </c>
      <c r="E653" s="4" t="s">
        <v>4645</v>
      </c>
      <c r="F653" s="4" t="str">
        <f>IFERROR(__XLUDF.DUMMYFUNCTION("PROPER(REGEXREPLACE(D638,""[^A-Za-z]+ "",""""))"),"Terres De France")</f>
        <v xml:space="preserve">Terres De France</v>
      </c>
      <c r="G653" s="4" t="s">
        <v>4646</v>
      </c>
      <c r="H653" s="4">
        <v>16</v>
      </c>
      <c r="I653" s="4" t="s">
        <v>25</v>
      </c>
      <c r="J653" s="5" t="s">
        <v>4647</v>
      </c>
      <c r="K653" s="5" t="s">
        <v>4648</v>
      </c>
      <c r="L653" s="6"/>
      <c r="M653" s="4" t="s">
        <v>29</v>
      </c>
      <c r="N653" s="4" t="s">
        <v>4649</v>
      </c>
      <c r="O653" s="4" t="s">
        <v>29</v>
      </c>
      <c r="P653" s="4" t="s">
        <v>4650</v>
      </c>
      <c r="Q653" s="6"/>
      <c r="R653" s="6"/>
      <c r="S653" s="6"/>
      <c r="T653" s="6"/>
      <c r="U653" s="6"/>
      <c r="V653" s="6"/>
      <c r="W653" s="6"/>
      <c r="X653" s="6"/>
      <c r="Y653" s="6"/>
    </row>
    <row r="654" ht="14.25">
      <c r="B654" s="4" t="s">
        <v>4651</v>
      </c>
      <c r="C654" s="4" t="s">
        <v>4652</v>
      </c>
      <c r="D654" s="4" t="s">
        <v>44</v>
      </c>
      <c r="E654" s="4" t="s">
        <v>4653</v>
      </c>
      <c r="F654" s="4" t="str">
        <f>IFERROR(__XLUDF.DUMMYFUNCTION("PROPER(REGEXREPLACE(D639,""[^A-Za-z]+ "",""""))"),"Poke Bar")</f>
        <v xml:space="preserve">Poke Bar</v>
      </c>
      <c r="G654" s="4" t="s">
        <v>4654</v>
      </c>
      <c r="H654" s="4">
        <v>9</v>
      </c>
      <c r="I654" s="4" t="s">
        <v>25</v>
      </c>
      <c r="J654" s="5" t="s">
        <v>4655</v>
      </c>
      <c r="K654" s="5" t="s">
        <v>4656</v>
      </c>
      <c r="L654" s="4" t="s">
        <v>39</v>
      </c>
      <c r="M654" s="4" t="s">
        <v>29</v>
      </c>
      <c r="N654" s="4" t="s">
        <v>67</v>
      </c>
      <c r="O654" s="4" t="s">
        <v>29</v>
      </c>
      <c r="P654" s="4" t="s">
        <v>4657</v>
      </c>
      <c r="Q654" s="6"/>
      <c r="R654" s="6"/>
      <c r="S654" s="6"/>
      <c r="T654" s="6"/>
      <c r="U654" s="6"/>
      <c r="V654" s="6"/>
      <c r="W654" s="6"/>
      <c r="X654" s="6"/>
      <c r="Y654" s="6"/>
    </row>
    <row r="655" ht="14.25">
      <c r="B655" s="4" t="s">
        <v>4658</v>
      </c>
      <c r="C655" s="4" t="s">
        <v>4659</v>
      </c>
      <c r="D655" s="4" t="s">
        <v>4660</v>
      </c>
      <c r="E655" s="4" t="s">
        <v>4661</v>
      </c>
      <c r="F655" s="4" t="str">
        <f>IFERROR(__XLUDF.DUMMYFUNCTION("PROPER(REGEXREPLACE(D640,""[^A-Za-z]+ "",""""))"),"Monsieur Le Zinc")</f>
        <v xml:space="preserve">Monsieur Le Zinc</v>
      </c>
      <c r="G655" s="4" t="s">
        <v>4662</v>
      </c>
      <c r="H655" s="4">
        <v>9</v>
      </c>
      <c r="I655" s="4" t="s">
        <v>25</v>
      </c>
      <c r="J655" s="5" t="s">
        <v>4663</v>
      </c>
      <c r="K655" s="5" t="s">
        <v>4664</v>
      </c>
      <c r="L655" s="4" t="s">
        <v>716</v>
      </c>
      <c r="M655" s="4" t="s">
        <v>29</v>
      </c>
      <c r="N655" s="4" t="s">
        <v>4665</v>
      </c>
      <c r="O655" s="4" t="s">
        <v>29</v>
      </c>
      <c r="P655" s="4" t="s">
        <v>4666</v>
      </c>
      <c r="Q655" s="6"/>
      <c r="R655" s="6"/>
      <c r="S655" s="6"/>
      <c r="T655" s="6"/>
      <c r="U655" s="6"/>
      <c r="V655" s="6"/>
      <c r="W655" s="6"/>
      <c r="X655" s="6"/>
      <c r="Y655" s="6"/>
    </row>
    <row r="656" ht="14.25">
      <c r="B656" s="4" t="s">
        <v>4667</v>
      </c>
      <c r="C656" s="4" t="s">
        <v>4668</v>
      </c>
      <c r="D656" s="4" t="s">
        <v>4669</v>
      </c>
      <c r="E656" s="4" t="s">
        <v>4670</v>
      </c>
      <c r="F656" s="4" t="str">
        <f>IFERROR(__XLUDF.DUMMYFUNCTION("PROPER(REGEXREPLACE(D641,""[^A-Za-z]+ "",""""))"),"Almucantar")</f>
        <v>Almucantar</v>
      </c>
      <c r="G656" s="4" t="s">
        <v>4671</v>
      </c>
      <c r="H656" s="4">
        <v>11</v>
      </c>
      <c r="I656" s="6"/>
      <c r="J656" s="5" t="s">
        <v>4672</v>
      </c>
      <c r="K656" s="5" t="s">
        <v>4673</v>
      </c>
      <c r="L656" s="4" t="s">
        <v>39</v>
      </c>
      <c r="M656" s="4" t="s">
        <v>29</v>
      </c>
      <c r="N656" s="4" t="s">
        <v>4674</v>
      </c>
      <c r="O656" s="4" t="s">
        <v>1548</v>
      </c>
      <c r="P656" s="4" t="s">
        <v>4675</v>
      </c>
      <c r="Q656" s="6"/>
      <c r="R656" s="6"/>
      <c r="S656" s="6"/>
      <c r="T656" s="6"/>
      <c r="U656" s="6"/>
      <c r="V656" s="6"/>
      <c r="W656" s="6"/>
      <c r="X656" s="6"/>
      <c r="Y656" s="6"/>
    </row>
    <row r="657" ht="14.25">
      <c r="B657" s="4" t="s">
        <v>1499</v>
      </c>
      <c r="C657" s="4" t="s">
        <v>4676</v>
      </c>
      <c r="D657" s="4" t="s">
        <v>247</v>
      </c>
      <c r="E657" s="4" t="s">
        <v>4677</v>
      </c>
      <c r="F657" s="4" t="str">
        <f>IFERROR(__XLUDF.DUMMYFUNCTION("PROPER(REGEXREPLACE(D642,""[^A-Za-z]+ "",""""))"),"Helea")</f>
        <v>Helea</v>
      </c>
      <c r="G657" s="4" t="s">
        <v>4678</v>
      </c>
      <c r="H657" s="4">
        <v>34</v>
      </c>
      <c r="I657" s="4" t="s">
        <v>36</v>
      </c>
      <c r="J657" s="5" t="s">
        <v>4679</v>
      </c>
      <c r="K657" s="5" t="s">
        <v>4680</v>
      </c>
      <c r="L657" s="4" t="s">
        <v>39</v>
      </c>
      <c r="M657" s="4" t="s">
        <v>29</v>
      </c>
      <c r="N657" s="6"/>
      <c r="O657" s="6"/>
      <c r="P657" s="6"/>
      <c r="Q657" s="6"/>
      <c r="R657" s="6"/>
      <c r="S657" s="6"/>
      <c r="T657" s="6"/>
      <c r="U657" s="6"/>
      <c r="V657" s="6"/>
      <c r="W657" s="6"/>
      <c r="X657" s="6"/>
      <c r="Y657" s="6"/>
    </row>
    <row r="658" ht="14.25">
      <c r="B658" s="4" t="s">
        <v>330</v>
      </c>
      <c r="C658" s="4" t="s">
        <v>4681</v>
      </c>
      <c r="D658" s="4" t="s">
        <v>247</v>
      </c>
      <c r="E658" s="4" t="s">
        <v>4682</v>
      </c>
      <c r="F658" s="5" t="str">
        <f>IFERROR(__XLUDF.DUMMYFUNCTION("PROPER(REGEXREPLACE(D643,""[^A-Za-z]+ "",""""))"),"Booking-Better.Com")</f>
        <v>Booking-Better.Com</v>
      </c>
      <c r="G658" s="4" t="s">
        <v>4683</v>
      </c>
      <c r="H658" s="4">
        <v>29</v>
      </c>
      <c r="I658" s="4" t="s">
        <v>36</v>
      </c>
      <c r="J658" s="5" t="s">
        <v>4684</v>
      </c>
      <c r="K658" s="5" t="s">
        <v>4685</v>
      </c>
      <c r="L658" s="4" t="s">
        <v>39</v>
      </c>
      <c r="M658" s="4" t="s">
        <v>29</v>
      </c>
      <c r="N658" s="4" t="s">
        <v>4686</v>
      </c>
      <c r="O658" s="4" t="s">
        <v>29</v>
      </c>
      <c r="P658" s="4" t="s">
        <v>4687</v>
      </c>
      <c r="Q658" s="6"/>
      <c r="R658" s="6"/>
      <c r="S658" s="6"/>
      <c r="T658" s="6"/>
      <c r="U658" s="6"/>
      <c r="V658" s="6"/>
      <c r="W658" s="6"/>
      <c r="X658" s="6"/>
      <c r="Y658" s="6"/>
    </row>
    <row r="659" ht="14.25">
      <c r="B659" s="4" t="s">
        <v>4688</v>
      </c>
      <c r="C659" s="4" t="s">
        <v>4689</v>
      </c>
      <c r="D659" s="4" t="s">
        <v>120</v>
      </c>
      <c r="E659" s="4" t="s">
        <v>2391</v>
      </c>
      <c r="F659" s="4" t="str">
        <f>IFERROR(__XLUDF.DUMMYFUNCTION("PROPER(REGEXREPLACE(D644,""[^A-Za-z]+ "",""""))"),"Château De Fonscolombe")</f>
        <v xml:space="preserve">Château De Fonscolombe</v>
      </c>
      <c r="G659" s="4" t="s">
        <v>4690</v>
      </c>
      <c r="H659" s="4">
        <v>4</v>
      </c>
      <c r="I659" s="4" t="s">
        <v>36</v>
      </c>
      <c r="J659" s="5" t="s">
        <v>4691</v>
      </c>
      <c r="K659" s="5" t="s">
        <v>2394</v>
      </c>
      <c r="L659" s="4" t="s">
        <v>2395</v>
      </c>
      <c r="M659" s="4" t="s">
        <v>29</v>
      </c>
      <c r="N659" s="4" t="s">
        <v>2396</v>
      </c>
      <c r="O659" s="4" t="s">
        <v>29</v>
      </c>
      <c r="P659" s="4" t="s">
        <v>2397</v>
      </c>
      <c r="Q659" s="6"/>
      <c r="R659" s="6"/>
      <c r="S659" s="6"/>
      <c r="T659" s="6"/>
      <c r="U659" s="6"/>
      <c r="V659" s="6"/>
      <c r="W659" s="6"/>
      <c r="X659" s="6"/>
      <c r="Y659" s="6"/>
    </row>
    <row r="660" ht="14.25">
      <c r="B660" s="4" t="s">
        <v>4692</v>
      </c>
      <c r="C660" s="4" t="s">
        <v>4693</v>
      </c>
      <c r="D660" s="4" t="s">
        <v>120</v>
      </c>
      <c r="E660" s="4" t="s">
        <v>4163</v>
      </c>
      <c r="F660" s="4" t="str">
        <f>IFERROR(__XLUDF.DUMMYFUNCTION("PROPER(REGEXREPLACE(D645,""[^A-Za-z]+ "",""""))"),"Groupe Base Camp Lodge")</f>
        <v xml:space="preserve">Groupe Base Camp Lodge</v>
      </c>
      <c r="G660" s="4" t="s">
        <v>4694</v>
      </c>
      <c r="H660" s="4">
        <v>47</v>
      </c>
      <c r="I660" s="4" t="s">
        <v>36</v>
      </c>
      <c r="J660" s="5" t="s">
        <v>4695</v>
      </c>
      <c r="K660" s="5" t="s">
        <v>4166</v>
      </c>
      <c r="L660" s="4" t="s">
        <v>39</v>
      </c>
      <c r="M660" s="4" t="s">
        <v>29</v>
      </c>
      <c r="N660" s="4" t="s">
        <v>4167</v>
      </c>
      <c r="O660" s="4" t="s">
        <v>29</v>
      </c>
      <c r="P660" s="4" t="s">
        <v>4168</v>
      </c>
      <c r="Q660" s="6"/>
      <c r="R660" s="6"/>
      <c r="S660" s="6"/>
      <c r="T660" s="6"/>
      <c r="U660" s="6"/>
      <c r="V660" s="6"/>
      <c r="W660" s="6"/>
      <c r="X660" s="6"/>
      <c r="Y660" s="6"/>
    </row>
    <row r="661" ht="14.25">
      <c r="B661" s="4" t="s">
        <v>3673</v>
      </c>
      <c r="C661" s="4" t="s">
        <v>4696</v>
      </c>
      <c r="D661" s="4" t="s">
        <v>164</v>
      </c>
      <c r="E661" s="4" t="s">
        <v>4697</v>
      </c>
      <c r="F661" s="4" t="str">
        <f>IFERROR(__XLUDF.DUMMYFUNCTION("PROPER(REGEXREPLACE(D646,""[^A-Za-z]+ "",""""))"),"Château De Germigney Relaischâteaux 5*")</f>
        <v xml:space="preserve">Château De Germigney Relaischâteaux 5*</v>
      </c>
      <c r="G661" s="4" t="s">
        <v>4698</v>
      </c>
      <c r="H661" s="4">
        <v>24</v>
      </c>
      <c r="I661" s="4" t="s">
        <v>4699</v>
      </c>
      <c r="J661" s="5" t="s">
        <v>4700</v>
      </c>
      <c r="K661" s="5" t="s">
        <v>4701</v>
      </c>
      <c r="L661" s="4" t="s">
        <v>1711</v>
      </c>
      <c r="M661" s="4" t="s">
        <v>29</v>
      </c>
      <c r="N661" s="4" t="s">
        <v>1712</v>
      </c>
      <c r="O661" s="4" t="s">
        <v>29</v>
      </c>
      <c r="P661" s="6"/>
      <c r="Q661" s="6"/>
      <c r="R661" s="6"/>
      <c r="S661" s="6"/>
      <c r="T661" s="6"/>
      <c r="U661" s="6"/>
      <c r="V661" s="6"/>
      <c r="W661" s="6"/>
      <c r="X661" s="6"/>
      <c r="Y661" s="6"/>
    </row>
    <row r="662" ht="14.25">
      <c r="B662" s="4" t="s">
        <v>52</v>
      </c>
      <c r="C662" s="4" t="s">
        <v>4702</v>
      </c>
      <c r="D662" s="4" t="s">
        <v>4703</v>
      </c>
      <c r="E662" s="4" t="s">
        <v>4704</v>
      </c>
      <c r="F662" s="4" t="str">
        <f>IFERROR(__XLUDF.DUMMYFUNCTION("PROPER(REGEXREPLACE(D647,""[^A-Za-z]+ "",""""))"),"Welcome Hotel****")</f>
        <v xml:space="preserve">Welcome Hotel****</v>
      </c>
      <c r="G662" s="4" t="s">
        <v>4705</v>
      </c>
      <c r="H662" s="4">
        <v>3</v>
      </c>
      <c r="I662" s="4" t="s">
        <v>157</v>
      </c>
      <c r="J662" s="5" t="s">
        <v>4706</v>
      </c>
      <c r="K662" s="5" t="s">
        <v>4707</v>
      </c>
      <c r="L662" s="4" t="s">
        <v>149</v>
      </c>
      <c r="M662" s="4" t="s">
        <v>29</v>
      </c>
      <c r="N662" s="4" t="s">
        <v>4708</v>
      </c>
      <c r="O662" s="4" t="s">
        <v>29</v>
      </c>
      <c r="P662" s="6"/>
      <c r="Q662" s="6"/>
      <c r="R662" s="6"/>
      <c r="S662" s="6"/>
      <c r="T662" s="6"/>
      <c r="U662" s="6"/>
      <c r="V662" s="6"/>
      <c r="W662" s="6"/>
      <c r="X662" s="6"/>
      <c r="Y662" s="6"/>
    </row>
    <row r="663" ht="14.25">
      <c r="B663" s="4" t="s">
        <v>4709</v>
      </c>
      <c r="C663" s="4" t="s">
        <v>4710</v>
      </c>
      <c r="D663" s="4" t="s">
        <v>4711</v>
      </c>
      <c r="E663" s="4" t="s">
        <v>4712</v>
      </c>
      <c r="F663" s="4" t="str">
        <f>IFERROR(__XLUDF.DUMMYFUNCTION("PROPER(REGEXREPLACE(D648,""[^A-Za-z]+ "",""""))"),"Ventrus")</f>
        <v>Ventrus</v>
      </c>
      <c r="G663" s="4" t="s">
        <v>4713</v>
      </c>
      <c r="H663" s="4">
        <v>2</v>
      </c>
      <c r="I663" s="4" t="s">
        <v>157</v>
      </c>
      <c r="J663" s="5" t="s">
        <v>4714</v>
      </c>
      <c r="K663" s="5" t="s">
        <v>4715</v>
      </c>
      <c r="L663" s="4" t="s">
        <v>39</v>
      </c>
      <c r="M663" s="4" t="s">
        <v>29</v>
      </c>
      <c r="N663" s="4" t="s">
        <v>4716</v>
      </c>
      <c r="O663" s="4" t="s">
        <v>2953</v>
      </c>
      <c r="P663" s="4" t="s">
        <v>4717</v>
      </c>
      <c r="Q663" s="6"/>
      <c r="R663" s="6"/>
      <c r="S663" s="6"/>
      <c r="T663" s="6"/>
      <c r="U663" s="6"/>
      <c r="V663" s="6"/>
      <c r="W663" s="6"/>
      <c r="X663" s="6"/>
      <c r="Y663" s="6"/>
    </row>
    <row r="664" ht="14.25">
      <c r="B664" s="4" t="s">
        <v>95</v>
      </c>
      <c r="C664" s="4" t="s">
        <v>4718</v>
      </c>
      <c r="D664" s="4" t="s">
        <v>341</v>
      </c>
      <c r="E664" s="4" t="s">
        <v>4719</v>
      </c>
      <c r="F664" s="4" t="str">
        <f>IFERROR(__XLUDF.DUMMYFUNCTION("PROPER(REGEXREPLACE(D649,""[^A-Za-z]+ "",""""))"),"Tiptoque")</f>
        <v>Tiptoque</v>
      </c>
      <c r="G664" s="4" t="s">
        <v>4720</v>
      </c>
      <c r="H664" s="4">
        <v>1</v>
      </c>
      <c r="I664" s="4" t="s">
        <v>36</v>
      </c>
      <c r="J664" s="5" t="s">
        <v>4721</v>
      </c>
      <c r="K664" s="5" t="s">
        <v>4722</v>
      </c>
      <c r="L664" s="6"/>
      <c r="M664" s="4" t="s">
        <v>29</v>
      </c>
      <c r="N664" s="4" t="s">
        <v>67</v>
      </c>
      <c r="O664" s="4" t="s">
        <v>29</v>
      </c>
      <c r="P664" s="6"/>
      <c r="Q664" s="6"/>
      <c r="R664" s="6"/>
      <c r="S664" s="6"/>
      <c r="T664" s="6"/>
      <c r="U664" s="6"/>
      <c r="V664" s="6"/>
      <c r="W664" s="6"/>
      <c r="X664" s="6"/>
      <c r="Y664" s="6"/>
    </row>
    <row r="665" ht="14.25">
      <c r="B665" s="4" t="s">
        <v>840</v>
      </c>
      <c r="C665" s="4" t="s">
        <v>4723</v>
      </c>
      <c r="D665" s="4" t="s">
        <v>172</v>
      </c>
      <c r="E665" s="4" t="s">
        <v>4724</v>
      </c>
      <c r="F665" s="4" t="str">
        <f>IFERROR(__XLUDF.DUMMYFUNCTION("PROPER(REGEXREPLACE(D650,""[^A-Za-z]+ "",""""))"),"Le Domaine D'Ablon")</f>
        <v xml:space="preserve">Le Domaine D'Ablon</v>
      </c>
      <c r="G665" s="4" t="s">
        <v>4725</v>
      </c>
      <c r="H665" s="4">
        <v>14</v>
      </c>
      <c r="I665" s="4" t="s">
        <v>25</v>
      </c>
      <c r="J665" s="5" t="s">
        <v>4726</v>
      </c>
      <c r="K665" s="5" t="s">
        <v>4727</v>
      </c>
      <c r="L665" s="4" t="s">
        <v>4728</v>
      </c>
      <c r="M665" s="4" t="s">
        <v>29</v>
      </c>
      <c r="N665" s="4" t="s">
        <v>4729</v>
      </c>
      <c r="O665" s="4" t="s">
        <v>29</v>
      </c>
      <c r="P665" s="4" t="s">
        <v>4730</v>
      </c>
      <c r="Q665" s="6"/>
      <c r="R665" s="6"/>
      <c r="S665" s="6"/>
      <c r="T665" s="6"/>
      <c r="U665" s="6"/>
      <c r="V665" s="6"/>
      <c r="W665" s="6"/>
      <c r="X665" s="6"/>
      <c r="Y665" s="6"/>
    </row>
    <row r="666" ht="14.25">
      <c r="B666" s="4" t="s">
        <v>255</v>
      </c>
      <c r="C666" s="4" t="s">
        <v>4731</v>
      </c>
      <c r="D666" s="4" t="s">
        <v>172</v>
      </c>
      <c r="E666" s="4" t="s">
        <v>2305</v>
      </c>
      <c r="F666" s="4" t="str">
        <f>IFERROR(__XLUDF.DUMMYFUNCTION("PROPER(REGEXREPLACE(D651,""[^A-Za-z]+ "",""""))"),"Pilo Hotels")</f>
        <v xml:space="preserve">Pilo Hotels</v>
      </c>
      <c r="G666" s="4" t="s">
        <v>4732</v>
      </c>
      <c r="H666" s="4">
        <v>30</v>
      </c>
      <c r="I666" s="4" t="s">
        <v>25</v>
      </c>
      <c r="J666" s="5" t="s">
        <v>4733</v>
      </c>
      <c r="K666" s="5" t="s">
        <v>2308</v>
      </c>
      <c r="L666" s="6"/>
      <c r="M666" s="4" t="s">
        <v>29</v>
      </c>
      <c r="N666" s="4" t="s">
        <v>2309</v>
      </c>
      <c r="O666" s="4" t="s">
        <v>29</v>
      </c>
      <c r="P666" s="4" t="s">
        <v>2310</v>
      </c>
      <c r="Q666" s="6"/>
      <c r="R666" s="6"/>
      <c r="S666" s="6"/>
      <c r="T666" s="6"/>
      <c r="U666" s="6"/>
      <c r="V666" s="6"/>
      <c r="W666" s="6"/>
      <c r="X666" s="6"/>
      <c r="Y666" s="6"/>
    </row>
    <row r="667" ht="14.25">
      <c r="B667" s="4" t="s">
        <v>4734</v>
      </c>
      <c r="C667" s="4" t="s">
        <v>4735</v>
      </c>
      <c r="D667" s="4" t="s">
        <v>172</v>
      </c>
      <c r="E667" s="4" t="s">
        <v>4736</v>
      </c>
      <c r="F667" s="4" t="str">
        <f>IFERROR(__XLUDF.DUMMYFUNCTION("PROPER(REGEXREPLACE(D652,""[^A-Za-z]+ "",""""))"),"Tigermilk Group")</f>
        <v xml:space="preserve">Tigermilk Group</v>
      </c>
      <c r="G667" s="4" t="s">
        <v>4737</v>
      </c>
      <c r="H667" s="4">
        <v>22</v>
      </c>
      <c r="I667" s="4" t="s">
        <v>25</v>
      </c>
      <c r="J667" s="5" t="s">
        <v>4738</v>
      </c>
      <c r="K667" s="5" t="s">
        <v>4739</v>
      </c>
      <c r="L667" s="4" t="s">
        <v>39</v>
      </c>
      <c r="M667" s="4" t="s">
        <v>29</v>
      </c>
      <c r="N667" s="4" t="s">
        <v>4740</v>
      </c>
      <c r="O667" s="4" t="s">
        <v>29</v>
      </c>
      <c r="P667" s="4" t="s">
        <v>3927</v>
      </c>
      <c r="Q667" s="6"/>
      <c r="R667" s="6"/>
      <c r="S667" s="6"/>
      <c r="T667" s="6"/>
      <c r="U667" s="6"/>
      <c r="V667" s="6"/>
      <c r="W667" s="6"/>
      <c r="X667" s="6"/>
      <c r="Y667" s="6"/>
    </row>
    <row r="668" ht="14.25">
      <c r="B668" s="4" t="s">
        <v>110</v>
      </c>
      <c r="C668" s="4" t="s">
        <v>4741</v>
      </c>
      <c r="D668" s="4" t="s">
        <v>172</v>
      </c>
      <c r="E668" s="4" t="s">
        <v>4742</v>
      </c>
      <c r="F668" s="4" t="str">
        <f>IFERROR(__XLUDF.DUMMYFUNCTION("PROPER(REGEXREPLACE(D653,""[^A-Za-z]+ "",""""))"),"Lodg'Ing")</f>
        <v>Lodg'Ing</v>
      </c>
      <c r="G668" s="4" t="s">
        <v>4743</v>
      </c>
      <c r="H668" s="4">
        <v>29</v>
      </c>
      <c r="I668" s="4" t="s">
        <v>25</v>
      </c>
      <c r="J668" s="5" t="s">
        <v>4744</v>
      </c>
      <c r="K668" s="5" t="s">
        <v>4745</v>
      </c>
      <c r="L668" s="4" t="s">
        <v>4746</v>
      </c>
      <c r="M668" s="4" t="s">
        <v>29</v>
      </c>
      <c r="N668" s="4" t="s">
        <v>4747</v>
      </c>
      <c r="O668" s="4" t="s">
        <v>29</v>
      </c>
      <c r="P668" s="6"/>
      <c r="Q668" s="6"/>
      <c r="R668" s="6"/>
      <c r="S668" s="6"/>
      <c r="T668" s="6"/>
      <c r="U668" s="6"/>
      <c r="V668" s="6"/>
      <c r="W668" s="6"/>
      <c r="X668" s="6"/>
      <c r="Y668" s="6"/>
    </row>
    <row r="669" ht="14.25">
      <c r="B669" s="4" t="s">
        <v>2249</v>
      </c>
      <c r="C669" s="4" t="s">
        <v>4748</v>
      </c>
      <c r="D669" s="4" t="s">
        <v>172</v>
      </c>
      <c r="E669" s="4" t="s">
        <v>4749</v>
      </c>
      <c r="F669" s="4" t="str">
        <f>IFERROR(__XLUDF.DUMMYFUNCTION("PROPER(REGEXREPLACE(D654,""[^A-Za-z]+ "",""""))"),"Petite Forêt")</f>
        <v xml:space="preserve">Petite Forêt</v>
      </c>
      <c r="G669" s="4" t="s">
        <v>4750</v>
      </c>
      <c r="H669" s="4">
        <v>21</v>
      </c>
      <c r="I669" s="4" t="s">
        <v>25</v>
      </c>
      <c r="J669" s="5" t="s">
        <v>4751</v>
      </c>
      <c r="K669" s="5" t="s">
        <v>4752</v>
      </c>
      <c r="L669" s="4" t="s">
        <v>39</v>
      </c>
      <c r="M669" s="4" t="s">
        <v>29</v>
      </c>
      <c r="N669" s="4" t="s">
        <v>4753</v>
      </c>
      <c r="O669" s="4" t="s">
        <v>29</v>
      </c>
      <c r="P669" s="4" t="s">
        <v>4754</v>
      </c>
      <c r="Q669" s="6"/>
      <c r="R669" s="6"/>
      <c r="S669" s="6"/>
      <c r="T669" s="6"/>
      <c r="U669" s="6"/>
      <c r="V669" s="6"/>
      <c r="W669" s="6"/>
      <c r="X669" s="6"/>
      <c r="Y669" s="6"/>
    </row>
    <row r="670" ht="14.25">
      <c r="B670" s="4" t="s">
        <v>4755</v>
      </c>
      <c r="C670" s="4" t="s">
        <v>4756</v>
      </c>
      <c r="D670" s="4" t="s">
        <v>1240</v>
      </c>
      <c r="E670" s="4" t="s">
        <v>4757</v>
      </c>
      <c r="F670" s="4" t="str">
        <f>IFERROR(__XLUDF.DUMMYFUNCTION("PROPER(REGEXREPLACE(D655,""[^A-Za-z]+ "",""""))"),"A.M.A Selections")</f>
        <v xml:space="preserve">A.M.A Selections</v>
      </c>
      <c r="G670" s="4" t="s">
        <v>4758</v>
      </c>
      <c r="H670" s="4">
        <v>2</v>
      </c>
      <c r="I670" s="4" t="s">
        <v>36</v>
      </c>
      <c r="J670" s="5" t="s">
        <v>4759</v>
      </c>
      <c r="K670" s="5" t="s">
        <v>4760</v>
      </c>
      <c r="L670" s="4" t="s">
        <v>39</v>
      </c>
      <c r="M670" s="4" t="s">
        <v>29</v>
      </c>
      <c r="N670" s="4" t="s">
        <v>4761</v>
      </c>
      <c r="O670" s="4" t="s">
        <v>29</v>
      </c>
      <c r="P670" s="6"/>
      <c r="Q670" s="6"/>
      <c r="R670" s="6"/>
      <c r="S670" s="6"/>
      <c r="T670" s="6"/>
      <c r="U670" s="6"/>
      <c r="V670" s="6"/>
      <c r="W670" s="6"/>
      <c r="X670" s="6"/>
      <c r="Y670" s="6"/>
    </row>
    <row r="671" ht="14.25">
      <c r="B671" s="4" t="s">
        <v>2299</v>
      </c>
      <c r="C671" s="4" t="s">
        <v>4762</v>
      </c>
      <c r="D671" s="4" t="s">
        <v>3611</v>
      </c>
      <c r="E671" s="4" t="s">
        <v>4763</v>
      </c>
      <c r="F671" s="4" t="str">
        <f>IFERROR(__XLUDF.DUMMYFUNCTION("PROPER(REGEXREPLACE(D656,""[^A-Za-z]+ "",""""))"),"Bonjour Residences")</f>
        <v xml:space="preserve">Bonjour Residences</v>
      </c>
      <c r="G671" s="4" t="s">
        <v>4764</v>
      </c>
      <c r="H671" s="4">
        <v>21</v>
      </c>
      <c r="I671" s="4" t="s">
        <v>25</v>
      </c>
      <c r="J671" s="5" t="s">
        <v>4765</v>
      </c>
      <c r="K671" s="5" t="s">
        <v>4766</v>
      </c>
      <c r="L671" s="4" t="s">
        <v>4767</v>
      </c>
      <c r="M671" s="4" t="s">
        <v>29</v>
      </c>
      <c r="N671" s="4" t="s">
        <v>93</v>
      </c>
      <c r="O671" s="4" t="s">
        <v>29</v>
      </c>
      <c r="P671" s="4" t="s">
        <v>4768</v>
      </c>
      <c r="Q671" s="6"/>
      <c r="R671" s="6"/>
      <c r="S671" s="6"/>
      <c r="T671" s="6"/>
      <c r="U671" s="6"/>
      <c r="V671" s="6"/>
      <c r="W671" s="6"/>
      <c r="X671" s="6"/>
      <c r="Y671" s="6"/>
    </row>
    <row r="672" ht="14.25">
      <c r="B672" s="4" t="s">
        <v>4769</v>
      </c>
      <c r="C672" s="4" t="s">
        <v>3967</v>
      </c>
      <c r="D672" s="4" t="s">
        <v>4770</v>
      </c>
      <c r="E672" s="4" t="s">
        <v>4771</v>
      </c>
      <c r="F672" s="4" t="str">
        <f>IFERROR(__XLUDF.DUMMYFUNCTION("PROPER(REGEXREPLACE(D657,""[^A-Za-z]+ "",""""))"),"Tranch!")</f>
        <v>Tranch!</v>
      </c>
      <c r="G672" s="4" t="s">
        <v>4772</v>
      </c>
      <c r="H672" s="4">
        <v>17</v>
      </c>
      <c r="I672" s="4" t="s">
        <v>36</v>
      </c>
      <c r="J672" s="5" t="s">
        <v>4773</v>
      </c>
      <c r="K672" s="5" t="s">
        <v>4774</v>
      </c>
      <c r="L672" s="4" t="s">
        <v>185</v>
      </c>
      <c r="M672" s="4" t="s">
        <v>29</v>
      </c>
      <c r="N672" s="4" t="s">
        <v>4775</v>
      </c>
      <c r="O672" s="4" t="s">
        <v>29</v>
      </c>
      <c r="P672" s="4" t="s">
        <v>4776</v>
      </c>
      <c r="Q672" s="6"/>
      <c r="R672" s="6"/>
      <c r="S672" s="6"/>
      <c r="T672" s="6"/>
      <c r="U672" s="6"/>
      <c r="V672" s="6"/>
      <c r="W672" s="6"/>
      <c r="X672" s="6"/>
      <c r="Y672" s="6"/>
    </row>
    <row r="673" ht="14.25">
      <c r="B673" s="4" t="s">
        <v>955</v>
      </c>
      <c r="C673" s="4" t="s">
        <v>4777</v>
      </c>
      <c r="D673" s="4" t="s">
        <v>4778</v>
      </c>
      <c r="E673" s="4" t="s">
        <v>4779</v>
      </c>
      <c r="F673" s="4" t="str">
        <f>IFERROR(__XLUDF.DUMMYFUNCTION("PROPER(REGEXREPLACE(D658,""[^A-Za-z]+ "",""""))"),"Cie Les Maquereaux")</f>
        <v xml:space="preserve">Cie Les Maquereaux</v>
      </c>
      <c r="G673" s="4" t="s">
        <v>4780</v>
      </c>
      <c r="H673" s="4">
        <v>2</v>
      </c>
      <c r="I673" s="4" t="s">
        <v>36</v>
      </c>
      <c r="J673" s="5" t="s">
        <v>4781</v>
      </c>
      <c r="K673" s="5" t="s">
        <v>4782</v>
      </c>
      <c r="L673" s="4" t="s">
        <v>39</v>
      </c>
      <c r="M673" s="4" t="s">
        <v>29</v>
      </c>
      <c r="N673" s="4" t="s">
        <v>4783</v>
      </c>
      <c r="O673" s="4" t="s">
        <v>29</v>
      </c>
      <c r="P673" s="4" t="s">
        <v>4784</v>
      </c>
      <c r="Q673" s="6"/>
      <c r="R673" s="6"/>
      <c r="S673" s="6"/>
      <c r="T673" s="6"/>
      <c r="U673" s="6"/>
      <c r="V673" s="6"/>
      <c r="W673" s="6"/>
      <c r="X673" s="6"/>
      <c r="Y673" s="6"/>
    </row>
    <row r="674" ht="14.25">
      <c r="B674" s="4" t="s">
        <v>2508</v>
      </c>
      <c r="C674" s="4" t="s">
        <v>4785</v>
      </c>
      <c r="D674" s="4" t="s">
        <v>2911</v>
      </c>
      <c r="E674" s="4" t="s">
        <v>2236</v>
      </c>
      <c r="F674" s="4" t="str">
        <f>IFERROR(__XLUDF.DUMMYFUNCTION("PROPER(REGEXREPLACE(D659,""[^A-Za-z]+ "",""""))"),"Burger Breton")</f>
        <v xml:space="preserve">Burger Breton</v>
      </c>
      <c r="G674" s="4" t="s">
        <v>4786</v>
      </c>
      <c r="H674" s="4">
        <v>32</v>
      </c>
      <c r="I674" s="4" t="s">
        <v>25</v>
      </c>
      <c r="J674" s="5" t="s">
        <v>4787</v>
      </c>
      <c r="K674" s="5" t="s">
        <v>2239</v>
      </c>
      <c r="L674" s="4" t="s">
        <v>83</v>
      </c>
      <c r="M674" s="4" t="s">
        <v>29</v>
      </c>
      <c r="N674" s="4" t="s">
        <v>2240</v>
      </c>
      <c r="O674" s="4" t="s">
        <v>29</v>
      </c>
      <c r="P674" s="4" t="s">
        <v>2241</v>
      </c>
      <c r="Q674" s="6"/>
      <c r="R674" s="6"/>
      <c r="S674" s="6"/>
      <c r="T674" s="6"/>
      <c r="U674" s="6"/>
      <c r="V674" s="6"/>
      <c r="W674" s="6"/>
      <c r="X674" s="6"/>
      <c r="Y674" s="6"/>
    </row>
    <row r="675" ht="14.25">
      <c r="B675" s="4" t="s">
        <v>4788</v>
      </c>
      <c r="C675" s="4" t="s">
        <v>4789</v>
      </c>
      <c r="D675" s="4" t="s">
        <v>265</v>
      </c>
      <c r="E675" s="4" t="s">
        <v>4790</v>
      </c>
      <c r="F675" s="4" t="str">
        <f>IFERROR(__XLUDF.DUMMYFUNCTION("PROPER(REGEXREPLACE(D660,""[^A-Za-z]+ "",""""))"),"Lüks Kebab 🌯")</f>
        <v xml:space="preserve">Lüks Kebab 🌯</v>
      </c>
      <c r="G675" s="4" t="s">
        <v>4791</v>
      </c>
      <c r="H675" s="4">
        <v>4</v>
      </c>
      <c r="I675" s="4" t="s">
        <v>36</v>
      </c>
      <c r="J675" s="5" t="s">
        <v>4792</v>
      </c>
      <c r="K675" s="5" t="s">
        <v>4793</v>
      </c>
      <c r="L675" s="6"/>
      <c r="M675" s="4" t="s">
        <v>29</v>
      </c>
      <c r="N675" s="4" t="s">
        <v>4794</v>
      </c>
      <c r="O675" s="4" t="s">
        <v>29</v>
      </c>
      <c r="P675" s="4" t="s">
        <v>4795</v>
      </c>
      <c r="Q675" s="6"/>
      <c r="R675" s="6"/>
      <c r="S675" s="6"/>
      <c r="T675" s="6"/>
      <c r="U675" s="6"/>
      <c r="V675" s="6"/>
      <c r="W675" s="6"/>
      <c r="X675" s="6"/>
      <c r="Y675" s="6"/>
    </row>
    <row r="676" ht="14.25">
      <c r="B676" s="4" t="s">
        <v>4177</v>
      </c>
      <c r="C676" s="4" t="s">
        <v>4796</v>
      </c>
      <c r="D676" s="4" t="s">
        <v>4797</v>
      </c>
      <c r="E676" s="4" t="s">
        <v>2730</v>
      </c>
      <c r="F676" s="4" t="str">
        <f>IFERROR(__XLUDF.DUMMYFUNCTION("PROPER(REGEXREPLACE(D661,""[^A-Za-z]+ "",""""))"),"Edit De Nantes Habitat Jeunes")</f>
        <v xml:space="preserve">Edit De Nantes Habitat Jeunes</v>
      </c>
      <c r="G676" s="4" t="s">
        <v>4798</v>
      </c>
      <c r="H676" s="4">
        <v>3</v>
      </c>
      <c r="I676" s="4" t="s">
        <v>25</v>
      </c>
      <c r="J676" s="5" t="s">
        <v>4799</v>
      </c>
      <c r="K676" s="5" t="s">
        <v>2733</v>
      </c>
      <c r="L676" s="6"/>
      <c r="M676" s="4" t="s">
        <v>29</v>
      </c>
      <c r="N676" s="4" t="s">
        <v>2735</v>
      </c>
      <c r="O676" s="4" t="s">
        <v>29</v>
      </c>
      <c r="P676" s="6"/>
      <c r="Q676" s="6"/>
      <c r="R676" s="6"/>
      <c r="S676" s="6"/>
      <c r="T676" s="6"/>
      <c r="U676" s="6"/>
      <c r="V676" s="6"/>
      <c r="W676" s="6"/>
      <c r="X676" s="6"/>
      <c r="Y676" s="6"/>
    </row>
    <row r="677" ht="14.25">
      <c r="B677" s="4" t="s">
        <v>4800</v>
      </c>
      <c r="C677" s="4" t="s">
        <v>4801</v>
      </c>
      <c r="D677" s="4" t="s">
        <v>4802</v>
      </c>
      <c r="E677" s="4" t="s">
        <v>4803</v>
      </c>
      <c r="F677" s="4" t="str">
        <f>IFERROR(__XLUDF.DUMMYFUNCTION("PROPER(REGEXREPLACE(D662,""[^A-Za-z]+ "",""""))"),"Ciboulette")</f>
        <v>Ciboulette</v>
      </c>
      <c r="G677" s="4" t="s">
        <v>4804</v>
      </c>
      <c r="H677" s="4">
        <v>5</v>
      </c>
      <c r="I677" s="4" t="s">
        <v>25</v>
      </c>
      <c r="J677" s="5" t="s">
        <v>4805</v>
      </c>
      <c r="K677" s="5" t="s">
        <v>4806</v>
      </c>
      <c r="L677" s="4" t="s">
        <v>39</v>
      </c>
      <c r="M677" s="4" t="s">
        <v>29</v>
      </c>
      <c r="N677" s="4" t="s">
        <v>67</v>
      </c>
      <c r="O677" s="4" t="s">
        <v>29</v>
      </c>
      <c r="P677" s="4" t="s">
        <v>4807</v>
      </c>
      <c r="Q677" s="6"/>
      <c r="R677" s="6"/>
      <c r="S677" s="6"/>
      <c r="T677" s="6"/>
      <c r="U677" s="6"/>
      <c r="V677" s="6"/>
      <c r="W677" s="6"/>
      <c r="X677" s="6"/>
      <c r="Y677" s="6"/>
    </row>
    <row r="678" ht="14.25">
      <c r="B678" s="4" t="s">
        <v>4425</v>
      </c>
      <c r="C678" s="4" t="s">
        <v>4808</v>
      </c>
      <c r="D678" s="4" t="s">
        <v>62</v>
      </c>
      <c r="E678" s="4" t="s">
        <v>1154</v>
      </c>
      <c r="F678" s="4" t="str">
        <f>IFERROR(__XLUDF.DUMMYFUNCTION("PROPER(REGEXREPLACE(D663,""[^A-Za-z]+ "",""""))"),"Thai At Home")</f>
        <v xml:space="preserve">Thai At Home</v>
      </c>
      <c r="G678" s="4" t="s">
        <v>4809</v>
      </c>
      <c r="H678" s="4">
        <v>2</v>
      </c>
      <c r="I678" s="4" t="s">
        <v>25</v>
      </c>
      <c r="J678" s="5" t="s">
        <v>4810</v>
      </c>
      <c r="K678" s="5" t="s">
        <v>1157</v>
      </c>
      <c r="L678" s="4" t="s">
        <v>39</v>
      </c>
      <c r="M678" s="4" t="s">
        <v>29</v>
      </c>
      <c r="N678" s="4" t="s">
        <v>1158</v>
      </c>
      <c r="O678" s="4" t="s">
        <v>29</v>
      </c>
      <c r="P678" s="4" t="s">
        <v>1159</v>
      </c>
      <c r="Q678" s="6"/>
      <c r="R678" s="6"/>
      <c r="S678" s="6"/>
      <c r="T678" s="6"/>
      <c r="U678" s="6"/>
      <c r="V678" s="6"/>
      <c r="W678" s="6"/>
      <c r="X678" s="6"/>
      <c r="Y678" s="6"/>
    </row>
    <row r="679" ht="14.25">
      <c r="B679" s="4" t="s">
        <v>4811</v>
      </c>
      <c r="C679" s="4" t="s">
        <v>4812</v>
      </c>
      <c r="D679" s="4" t="s">
        <v>4813</v>
      </c>
      <c r="E679" s="4" t="s">
        <v>4814</v>
      </c>
      <c r="F679" s="4" t="str">
        <f>IFERROR(__XLUDF.DUMMYFUNCTION("PROPER(REGEXREPLACE(D664,""[^A-Za-z]+ "",""""))"),"The Food Gang.Fr")</f>
        <v xml:space="preserve">The Food Gang.Fr</v>
      </c>
      <c r="G679" s="4" t="s">
        <v>4815</v>
      </c>
      <c r="H679" s="4">
        <v>71</v>
      </c>
      <c r="I679" s="4" t="s">
        <v>25</v>
      </c>
      <c r="J679" s="5" t="s">
        <v>4816</v>
      </c>
      <c r="K679" s="5" t="s">
        <v>4817</v>
      </c>
      <c r="L679" s="6"/>
      <c r="M679" s="4" t="s">
        <v>29</v>
      </c>
      <c r="N679" s="4" t="s">
        <v>67</v>
      </c>
      <c r="O679" s="4" t="s">
        <v>29</v>
      </c>
      <c r="P679" s="4" t="s">
        <v>4818</v>
      </c>
      <c r="Q679" s="6"/>
      <c r="R679" s="6"/>
      <c r="S679" s="6"/>
      <c r="T679" s="6"/>
      <c r="U679" s="6"/>
      <c r="V679" s="6"/>
      <c r="W679" s="6"/>
      <c r="X679" s="6"/>
      <c r="Y679" s="6"/>
    </row>
    <row r="680" ht="14.25">
      <c r="B680" s="4" t="s">
        <v>808</v>
      </c>
      <c r="C680" s="4" t="s">
        <v>4819</v>
      </c>
      <c r="D680" s="4" t="s">
        <v>2281</v>
      </c>
      <c r="E680" s="4" t="s">
        <v>3060</v>
      </c>
      <c r="F680" s="4" t="str">
        <f>IFERROR(__XLUDF.DUMMYFUNCTION("PROPER(REGEXREPLACE(D665,""[^A-Za-z]+ "",""""))"),"Hôtel Marielle Val Thorens")</f>
        <v xml:space="preserve">Hôtel Marielle Val Thorens</v>
      </c>
      <c r="G680" s="4" t="s">
        <v>4820</v>
      </c>
      <c r="H680" s="4">
        <v>7</v>
      </c>
      <c r="I680" s="4" t="s">
        <v>36</v>
      </c>
      <c r="J680" s="5" t="s">
        <v>4821</v>
      </c>
      <c r="K680" s="5" t="s">
        <v>3063</v>
      </c>
      <c r="L680" s="6"/>
      <c r="M680" s="4" t="s">
        <v>29</v>
      </c>
      <c r="N680" s="4" t="s">
        <v>67</v>
      </c>
      <c r="O680" s="4" t="s">
        <v>29</v>
      </c>
      <c r="P680" s="4" t="s">
        <v>3064</v>
      </c>
      <c r="Q680" s="6"/>
      <c r="R680" s="6"/>
      <c r="S680" s="6"/>
      <c r="T680" s="6"/>
      <c r="U680" s="6"/>
      <c r="V680" s="6"/>
      <c r="W680" s="6"/>
      <c r="X680" s="6"/>
      <c r="Y680" s="6"/>
    </row>
    <row r="681" ht="14.25">
      <c r="B681" s="4" t="s">
        <v>110</v>
      </c>
      <c r="C681" s="4" t="s">
        <v>4822</v>
      </c>
      <c r="D681" s="4" t="s">
        <v>315</v>
      </c>
      <c r="E681" s="5" t="s">
        <v>4823</v>
      </c>
      <c r="F681" s="4" t="str">
        <f>IFERROR(__XLUDF.DUMMYFUNCTION("PROPER(REGEXREPLACE(D666,""[^A-Za-z]+ "",""""))"),"Vicartem")</f>
        <v>Vicartem</v>
      </c>
      <c r="G681" s="4" t="s">
        <v>4824</v>
      </c>
      <c r="H681" s="4">
        <v>4</v>
      </c>
      <c r="I681" s="4" t="s">
        <v>2788</v>
      </c>
      <c r="J681" s="5" t="s">
        <v>4825</v>
      </c>
      <c r="K681" s="5" t="s">
        <v>4826</v>
      </c>
      <c r="L681" s="4" t="s">
        <v>39</v>
      </c>
      <c r="M681" s="4" t="s">
        <v>29</v>
      </c>
      <c r="N681" s="4" t="s">
        <v>67</v>
      </c>
      <c r="O681" s="4" t="s">
        <v>29</v>
      </c>
      <c r="P681" s="4" t="s">
        <v>4827</v>
      </c>
      <c r="Q681" s="6"/>
      <c r="R681" s="6"/>
      <c r="S681" s="6"/>
      <c r="T681" s="6"/>
      <c r="U681" s="6"/>
      <c r="V681" s="6"/>
      <c r="W681" s="6"/>
      <c r="X681" s="6"/>
      <c r="Y681" s="6"/>
    </row>
    <row r="682" ht="14.25">
      <c r="B682" s="4" t="s">
        <v>4188</v>
      </c>
      <c r="C682" s="4" t="s">
        <v>4828</v>
      </c>
      <c r="D682" s="4" t="s">
        <v>4829</v>
      </c>
      <c r="E682" s="4" t="s">
        <v>4830</v>
      </c>
      <c r="F682" s="4" t="str">
        <f>IFERROR(__XLUDF.DUMMYFUNCTION("PROPER(REGEXREPLACE(D667,""[^A-Za-z]+ "",""""))"),"Pley Hotel Paris")</f>
        <v xml:space="preserve">Pley Hotel Paris</v>
      </c>
      <c r="G682" s="4" t="s">
        <v>4831</v>
      </c>
      <c r="H682" s="4">
        <v>7</v>
      </c>
      <c r="I682" s="4" t="s">
        <v>36</v>
      </c>
      <c r="J682" s="5" t="s">
        <v>4832</v>
      </c>
      <c r="K682" s="5" t="s">
        <v>4833</v>
      </c>
      <c r="L682" s="4" t="s">
        <v>39</v>
      </c>
      <c r="M682" s="4" t="s">
        <v>29</v>
      </c>
      <c r="N682" s="4" t="s">
        <v>4834</v>
      </c>
      <c r="O682" s="4" t="s">
        <v>29</v>
      </c>
      <c r="P682" s="4" t="s">
        <v>4835</v>
      </c>
      <c r="Q682" s="6"/>
      <c r="R682" s="6"/>
      <c r="S682" s="6"/>
      <c r="T682" s="6"/>
      <c r="U682" s="6"/>
      <c r="V682" s="6"/>
      <c r="W682" s="6"/>
      <c r="X682" s="6"/>
      <c r="Y682" s="6"/>
    </row>
    <row r="683" ht="14.25">
      <c r="B683" s="4" t="s">
        <v>1596</v>
      </c>
      <c r="C683" s="4" t="s">
        <v>4836</v>
      </c>
      <c r="D683" s="4" t="s">
        <v>1974</v>
      </c>
      <c r="E683" s="4" t="s">
        <v>4837</v>
      </c>
      <c r="F683" s="4" t="str">
        <f>IFERROR(__XLUDF.DUMMYFUNCTION("PROPER(REGEXREPLACE(D668,""[^A-Za-z]+ "",""""))"),"Le Grand Hôtel Le Touquet")</f>
        <v xml:space="preserve">Le Grand Hôtel Le Touquet</v>
      </c>
      <c r="G683" s="4" t="s">
        <v>4838</v>
      </c>
      <c r="H683" s="4">
        <v>26</v>
      </c>
      <c r="I683" s="4" t="s">
        <v>25</v>
      </c>
      <c r="J683" s="5" t="s">
        <v>4839</v>
      </c>
      <c r="K683" s="5" t="s">
        <v>4840</v>
      </c>
      <c r="L683" s="4" t="s">
        <v>39</v>
      </c>
      <c r="M683" s="4" t="s">
        <v>29</v>
      </c>
      <c r="N683" s="4" t="s">
        <v>4841</v>
      </c>
      <c r="O683" s="4" t="s">
        <v>1261</v>
      </c>
      <c r="P683" s="4" t="s">
        <v>4842</v>
      </c>
      <c r="Q683" s="6"/>
      <c r="R683" s="6"/>
      <c r="S683" s="6"/>
      <c r="T683" s="6"/>
      <c r="U683" s="6"/>
      <c r="V683" s="6"/>
      <c r="W683" s="6"/>
      <c r="X683" s="6"/>
      <c r="Y683" s="6"/>
    </row>
    <row r="684" ht="14.25">
      <c r="B684" s="4" t="s">
        <v>793</v>
      </c>
      <c r="C684" s="4" t="s">
        <v>4843</v>
      </c>
      <c r="D684" s="4" t="s">
        <v>1130</v>
      </c>
      <c r="E684" s="4" t="s">
        <v>4844</v>
      </c>
      <c r="F684" s="4" t="str">
        <f>IFERROR(__XLUDF.DUMMYFUNCTION("PROPER(REGEXREPLACE(D669,""[^A-Za-z]+ "",""""))"),"Domaine Du Boisniard")</f>
        <v xml:space="preserve">Domaine Du Boisniard</v>
      </c>
      <c r="G684" s="4" t="s">
        <v>4845</v>
      </c>
      <c r="H684" s="4">
        <v>18</v>
      </c>
      <c r="I684" s="4" t="s">
        <v>25</v>
      </c>
      <c r="J684" s="5" t="s">
        <v>4846</v>
      </c>
      <c r="K684" s="5" t="s">
        <v>4847</v>
      </c>
      <c r="L684" s="4" t="s">
        <v>39</v>
      </c>
      <c r="M684" s="4" t="s">
        <v>29</v>
      </c>
      <c r="N684" s="4" t="s">
        <v>4848</v>
      </c>
      <c r="O684" s="4" t="s">
        <v>29</v>
      </c>
      <c r="P684" s="4" t="s">
        <v>4849</v>
      </c>
      <c r="Q684" s="6"/>
      <c r="R684" s="6"/>
      <c r="S684" s="6"/>
      <c r="T684" s="6"/>
      <c r="U684" s="6"/>
      <c r="V684" s="6"/>
      <c r="W684" s="6"/>
      <c r="X684" s="6"/>
      <c r="Y684" s="6"/>
    </row>
    <row r="685" ht="14.25">
      <c r="B685" s="4" t="s">
        <v>4850</v>
      </c>
      <c r="C685" s="4" t="s">
        <v>4559</v>
      </c>
      <c r="D685" s="4" t="s">
        <v>4851</v>
      </c>
      <c r="E685" s="4" t="s">
        <v>4852</v>
      </c>
      <c r="F685" s="4" t="str">
        <f>IFERROR(__XLUDF.DUMMYFUNCTION("PROPER(REGEXREPLACE(D670,""[^A-Za-z]+ "",""""))"),"Fusion Flavors Hospitality Group")</f>
        <v xml:space="preserve">Fusion Flavors Hospitality Group</v>
      </c>
      <c r="G685" s="4" t="s">
        <v>4853</v>
      </c>
      <c r="H685" s="4">
        <v>44</v>
      </c>
      <c r="I685" s="4" t="s">
        <v>25</v>
      </c>
      <c r="J685" s="5" t="s">
        <v>4854</v>
      </c>
      <c r="K685" s="5" t="s">
        <v>4855</v>
      </c>
      <c r="L685" s="4" t="s">
        <v>39</v>
      </c>
      <c r="M685" s="4" t="s">
        <v>29</v>
      </c>
      <c r="N685" s="4" t="s">
        <v>67</v>
      </c>
      <c r="O685" s="4" t="s">
        <v>29</v>
      </c>
      <c r="P685" s="4" t="s">
        <v>4856</v>
      </c>
      <c r="Q685" s="6"/>
      <c r="R685" s="6"/>
      <c r="S685" s="6"/>
      <c r="T685" s="6"/>
      <c r="U685" s="6"/>
      <c r="V685" s="6"/>
      <c r="W685" s="6"/>
      <c r="X685" s="6"/>
      <c r="Y685" s="6"/>
    </row>
    <row r="686" ht="14.25">
      <c r="B686" s="4" t="s">
        <v>1704</v>
      </c>
      <c r="C686" s="4" t="s">
        <v>4857</v>
      </c>
      <c r="D686" s="4" t="s">
        <v>4858</v>
      </c>
      <c r="E686" s="4" t="s">
        <v>4859</v>
      </c>
      <c r="F686" s="4" t="str">
        <f>IFERROR(__XLUDF.DUMMYFUNCTION("PROPER(REGEXREPLACE(D671,""[^A-Za-z]+ "",""""))"),"Résidis")</f>
        <v>Résidis</v>
      </c>
      <c r="G686" s="4" t="s">
        <v>4860</v>
      </c>
      <c r="H686" s="4">
        <v>5</v>
      </c>
      <c r="I686" s="4" t="s">
        <v>90</v>
      </c>
      <c r="J686" s="5" t="s">
        <v>4861</v>
      </c>
      <c r="K686" s="5" t="s">
        <v>4862</v>
      </c>
      <c r="L686" s="4" t="s">
        <v>1711</v>
      </c>
      <c r="M686" s="4" t="s">
        <v>29</v>
      </c>
      <c r="N686" s="4" t="s">
        <v>1712</v>
      </c>
      <c r="O686" s="4" t="s">
        <v>29</v>
      </c>
      <c r="P686" s="4" t="s">
        <v>4863</v>
      </c>
      <c r="Q686" s="6"/>
      <c r="R686" s="6"/>
      <c r="S686" s="6"/>
      <c r="T686" s="6"/>
      <c r="U686" s="6"/>
      <c r="V686" s="6"/>
      <c r="W686" s="6"/>
      <c r="X686" s="6"/>
      <c r="Y686" s="6"/>
    </row>
    <row r="687" ht="14.25">
      <c r="B687" s="4" t="s">
        <v>4864</v>
      </c>
      <c r="C687" s="4" t="s">
        <v>4865</v>
      </c>
      <c r="D687" s="4" t="s">
        <v>4866</v>
      </c>
      <c r="E687" s="4" t="s">
        <v>4867</v>
      </c>
      <c r="F687" s="4" t="str">
        <f>IFERROR(__XLUDF.DUMMYFUNCTION("PROPER(REGEXREPLACE(D672,""[^A-Za-z]+ "",""""))"),"Toké")</f>
        <v>Toké</v>
      </c>
      <c r="G687" s="4" t="s">
        <v>4868</v>
      </c>
      <c r="H687" s="4">
        <v>31</v>
      </c>
      <c r="I687" s="4" t="s">
        <v>25</v>
      </c>
      <c r="J687" s="5" t="s">
        <v>4869</v>
      </c>
      <c r="K687" s="5" t="s">
        <v>4870</v>
      </c>
      <c r="L687" s="4" t="s">
        <v>39</v>
      </c>
      <c r="M687" s="4" t="s">
        <v>29</v>
      </c>
      <c r="N687" s="4" t="s">
        <v>4871</v>
      </c>
      <c r="O687" s="4" t="s">
        <v>29</v>
      </c>
      <c r="P687" s="4" t="s">
        <v>4872</v>
      </c>
      <c r="Q687" s="6"/>
      <c r="R687" s="6"/>
      <c r="S687" s="6"/>
      <c r="T687" s="6"/>
      <c r="U687" s="6"/>
      <c r="V687" s="6"/>
      <c r="W687" s="6"/>
      <c r="X687" s="6"/>
      <c r="Y687" s="6"/>
    </row>
    <row r="688" ht="14.25">
      <c r="B688" s="4" t="s">
        <v>4873</v>
      </c>
      <c r="C688" s="4" t="s">
        <v>4874</v>
      </c>
      <c r="D688" s="4" t="s">
        <v>341</v>
      </c>
      <c r="E688" s="4" t="s">
        <v>2446</v>
      </c>
      <c r="F688" s="4" t="str">
        <f>IFERROR(__XLUDF.DUMMYFUNCTION("PROPER(REGEXREPLACE(D673,""[^A-Za-z]+ "",""""))"),"Chefsflo")</f>
        <v>Chefsflo</v>
      </c>
      <c r="G688" s="4" t="s">
        <v>4875</v>
      </c>
      <c r="H688" s="4">
        <v>14</v>
      </c>
      <c r="I688" s="4" t="s">
        <v>36</v>
      </c>
      <c r="J688" s="5" t="s">
        <v>4876</v>
      </c>
      <c r="K688" s="5" t="s">
        <v>2449</v>
      </c>
      <c r="L688" s="4" t="s">
        <v>39</v>
      </c>
      <c r="M688" s="4" t="s">
        <v>29</v>
      </c>
      <c r="N688" s="4" t="s">
        <v>2450</v>
      </c>
      <c r="O688" s="4" t="s">
        <v>29</v>
      </c>
      <c r="P688" s="4" t="s">
        <v>2451</v>
      </c>
      <c r="Q688" s="6"/>
      <c r="R688" s="6"/>
      <c r="S688" s="6"/>
      <c r="T688" s="6"/>
      <c r="U688" s="6"/>
      <c r="V688" s="6"/>
      <c r="W688" s="6"/>
      <c r="X688" s="6"/>
      <c r="Y688" s="6"/>
    </row>
    <row r="689" ht="14.25">
      <c r="B689" s="4" t="s">
        <v>330</v>
      </c>
      <c r="C689" s="4" t="s">
        <v>4877</v>
      </c>
      <c r="D689" s="4" t="s">
        <v>4878</v>
      </c>
      <c r="E689" s="4" t="s">
        <v>4879</v>
      </c>
      <c r="F689" s="4" t="str">
        <f>IFERROR(__XLUDF.DUMMYFUNCTION("PROPER(REGEXREPLACE(D674,""[^A-Za-z]+ "",""""))"),"Loungeup")</f>
        <v>Loungeup</v>
      </c>
      <c r="G689" s="4" t="s">
        <v>4880</v>
      </c>
      <c r="H689" s="4">
        <v>8</v>
      </c>
      <c r="I689" s="4" t="s">
        <v>25</v>
      </c>
      <c r="J689" s="5" t="s">
        <v>4881</v>
      </c>
      <c r="K689" s="5" t="s">
        <v>4882</v>
      </c>
      <c r="L689" s="4" t="s">
        <v>1711</v>
      </c>
      <c r="M689" s="4" t="s">
        <v>29</v>
      </c>
      <c r="N689" s="4" t="s">
        <v>4883</v>
      </c>
      <c r="O689" s="4" t="s">
        <v>29</v>
      </c>
      <c r="P689" s="4" t="s">
        <v>4884</v>
      </c>
      <c r="Q689" s="6"/>
      <c r="R689" s="6"/>
      <c r="S689" s="6"/>
      <c r="T689" s="6"/>
      <c r="U689" s="6"/>
      <c r="V689" s="6"/>
      <c r="W689" s="6"/>
      <c r="X689" s="6"/>
      <c r="Y689" s="6"/>
    </row>
    <row r="690" ht="14.25">
      <c r="B690" s="4" t="s">
        <v>206</v>
      </c>
      <c r="C690" s="4" t="s">
        <v>4885</v>
      </c>
      <c r="D690" s="4" t="s">
        <v>120</v>
      </c>
      <c r="E690" s="4" t="s">
        <v>4886</v>
      </c>
      <c r="F690" s="4" t="str">
        <f>IFERROR(__XLUDF.DUMMYFUNCTION("PROPER(REGEXREPLACE(D675,""[^A-Za-z]+ "",""""))"),"Groupe Levantine")</f>
        <v xml:space="preserve">Groupe Levantine</v>
      </c>
      <c r="G690" s="4" t="s">
        <v>4887</v>
      </c>
      <c r="H690" s="4">
        <v>6</v>
      </c>
      <c r="I690" s="4" t="s">
        <v>36</v>
      </c>
      <c r="J690" s="5" t="s">
        <v>4888</v>
      </c>
      <c r="K690" s="5" t="s">
        <v>4889</v>
      </c>
      <c r="L690" s="4" t="s">
        <v>39</v>
      </c>
      <c r="M690" s="4" t="s">
        <v>29</v>
      </c>
      <c r="N690" s="4" t="s">
        <v>4890</v>
      </c>
      <c r="O690" s="4" t="s">
        <v>29</v>
      </c>
      <c r="P690" s="6"/>
      <c r="Q690" s="6"/>
      <c r="R690" s="6"/>
      <c r="S690" s="6"/>
      <c r="T690" s="6"/>
      <c r="U690" s="6"/>
      <c r="V690" s="6"/>
      <c r="W690" s="6"/>
      <c r="X690" s="6"/>
      <c r="Y690" s="6"/>
    </row>
    <row r="691" ht="14.25">
      <c r="B691" s="4" t="s">
        <v>1153</v>
      </c>
      <c r="C691" s="4" t="s">
        <v>4891</v>
      </c>
      <c r="D691" s="4" t="s">
        <v>120</v>
      </c>
      <c r="E691" s="4" t="s">
        <v>4892</v>
      </c>
      <c r="F691" s="4" t="str">
        <f>IFERROR(__XLUDF.DUMMYFUNCTION("PROPER(REGEXREPLACE(D676,""[^A-Za-z]+ "",""""))"),"Teisseire Consulting")</f>
        <v xml:space="preserve">Teisseire Consulting</v>
      </c>
      <c r="G691" s="4" t="s">
        <v>4893</v>
      </c>
      <c r="H691" s="4">
        <v>20</v>
      </c>
      <c r="I691" s="4" t="s">
        <v>36</v>
      </c>
      <c r="J691" s="5" t="s">
        <v>4894</v>
      </c>
      <c r="K691" s="5" t="s">
        <v>4895</v>
      </c>
      <c r="L691" s="4" t="s">
        <v>39</v>
      </c>
      <c r="M691" s="4" t="s">
        <v>29</v>
      </c>
      <c r="N691" s="4" t="s">
        <v>4896</v>
      </c>
      <c r="O691" s="4" t="s">
        <v>29</v>
      </c>
      <c r="P691" s="6"/>
      <c r="Q691" s="6"/>
      <c r="R691" s="6"/>
      <c r="S691" s="6"/>
      <c r="T691" s="6"/>
      <c r="U691" s="6"/>
      <c r="V691" s="6"/>
      <c r="W691" s="6"/>
      <c r="X691" s="6"/>
      <c r="Y691" s="6"/>
    </row>
    <row r="692" ht="14.25">
      <c r="B692" s="4" t="s">
        <v>785</v>
      </c>
      <c r="C692" s="4" t="s">
        <v>4897</v>
      </c>
      <c r="D692" s="4" t="s">
        <v>120</v>
      </c>
      <c r="E692" s="4" t="s">
        <v>4898</v>
      </c>
      <c r="F692" s="4" t="str">
        <f>IFERROR(__XLUDF.DUMMYFUNCTION("PROPER(REGEXREPLACE(D677,""[^A-Za-z]+ "",""""))"),"Off&amp;Away")</f>
        <v>Off&amp;Away</v>
      </c>
      <c r="G692" s="4" t="s">
        <v>4899</v>
      </c>
      <c r="H692" s="4">
        <v>14</v>
      </c>
      <c r="I692" s="4" t="s">
        <v>36</v>
      </c>
      <c r="J692" s="5" t="s">
        <v>4900</v>
      </c>
      <c r="K692" s="5" t="s">
        <v>4901</v>
      </c>
      <c r="L692" s="4" t="s">
        <v>39</v>
      </c>
      <c r="M692" s="4" t="s">
        <v>29</v>
      </c>
      <c r="N692" s="4" t="s">
        <v>4902</v>
      </c>
      <c r="O692" s="4" t="s">
        <v>29</v>
      </c>
      <c r="P692" s="6"/>
      <c r="Q692" s="6"/>
      <c r="R692" s="6"/>
      <c r="S692" s="6"/>
      <c r="T692" s="6"/>
      <c r="U692" s="6"/>
      <c r="V692" s="6"/>
      <c r="W692" s="6"/>
      <c r="X692" s="6"/>
      <c r="Y692" s="6"/>
    </row>
    <row r="693" ht="14.25">
      <c r="B693" s="4" t="s">
        <v>255</v>
      </c>
      <c r="C693" s="4" t="s">
        <v>4903</v>
      </c>
      <c r="D693" s="4" t="s">
        <v>172</v>
      </c>
      <c r="E693" s="4" t="s">
        <v>4904</v>
      </c>
      <c r="F693" s="4" t="str">
        <f>IFERROR(__XLUDF.DUMMYFUNCTION("PROPER(REGEXREPLACE(D678,""[^A-Za-z]+ "",""""))"),"Pocketcamp")</f>
        <v>Pocketcamp</v>
      </c>
      <c r="G693" s="4" t="s">
        <v>4905</v>
      </c>
      <c r="H693" s="4">
        <v>28</v>
      </c>
      <c r="I693" s="4" t="s">
        <v>90</v>
      </c>
      <c r="J693" s="5" t="s">
        <v>4906</v>
      </c>
      <c r="K693" s="5" t="s">
        <v>4907</v>
      </c>
      <c r="L693" s="4" t="s">
        <v>243</v>
      </c>
      <c r="M693" s="4" t="s">
        <v>29</v>
      </c>
      <c r="N693" s="4" t="s">
        <v>4908</v>
      </c>
      <c r="O693" s="4" t="s">
        <v>29</v>
      </c>
      <c r="P693" s="4" t="s">
        <v>4909</v>
      </c>
      <c r="Q693" s="6"/>
      <c r="R693" s="6"/>
      <c r="S693" s="6"/>
      <c r="T693" s="6"/>
      <c r="U693" s="6"/>
      <c r="V693" s="6"/>
      <c r="W693" s="6"/>
      <c r="X693" s="6"/>
      <c r="Y693" s="6"/>
    </row>
    <row r="694" ht="14.25">
      <c r="B694" s="4" t="s">
        <v>702</v>
      </c>
      <c r="C694" s="4" t="s">
        <v>4910</v>
      </c>
      <c r="D694" s="4" t="s">
        <v>4911</v>
      </c>
      <c r="E694" s="4" t="s">
        <v>4912</v>
      </c>
      <c r="F694" s="4" t="str">
        <f>IFERROR(__XLUDF.DUMMYFUNCTION("PROPER(REGEXREPLACE(D679,""[^A-Za-z]+ "",""""))"),"Sohoma")</f>
        <v>Sohoma</v>
      </c>
      <c r="G694" s="4" t="s">
        <v>4913</v>
      </c>
      <c r="H694" s="4">
        <v>14</v>
      </c>
      <c r="I694" s="4" t="s">
        <v>157</v>
      </c>
      <c r="J694" s="5" t="s">
        <v>4914</v>
      </c>
      <c r="K694" s="5" t="s">
        <v>4915</v>
      </c>
      <c r="L694" s="6"/>
      <c r="M694" s="4" t="s">
        <v>29</v>
      </c>
      <c r="N694" s="4" t="s">
        <v>4916</v>
      </c>
      <c r="O694" s="4" t="s">
        <v>29</v>
      </c>
      <c r="P694" s="6"/>
      <c r="Q694" s="6"/>
      <c r="R694" s="6"/>
      <c r="S694" s="6"/>
      <c r="T694" s="6"/>
      <c r="U694" s="6"/>
      <c r="V694" s="6"/>
      <c r="W694" s="6"/>
      <c r="X694" s="6"/>
      <c r="Y694" s="6"/>
    </row>
    <row r="695" ht="14.25">
      <c r="B695" s="4" t="s">
        <v>2299</v>
      </c>
      <c r="C695" s="4" t="s">
        <v>4917</v>
      </c>
      <c r="D695" s="4" t="s">
        <v>172</v>
      </c>
      <c r="E695" s="4" t="s">
        <v>4918</v>
      </c>
      <c r="F695" s="4" t="str">
        <f>IFERROR(__XLUDF.DUMMYFUNCTION("PROPER(REGEXREPLACE(D680,""[^A-Za-z]+ "",""""))"),"Yam Food")</f>
        <v xml:space="preserve">Yam Food</v>
      </c>
      <c r="G695" s="4" t="s">
        <v>4919</v>
      </c>
      <c r="H695" s="4">
        <v>20</v>
      </c>
      <c r="I695" s="4" t="s">
        <v>25</v>
      </c>
      <c r="J695" s="5" t="s">
        <v>4920</v>
      </c>
      <c r="K695" s="5" t="s">
        <v>4921</v>
      </c>
      <c r="L695" s="4" t="s">
        <v>4922</v>
      </c>
      <c r="M695" s="4" t="s">
        <v>29</v>
      </c>
      <c r="N695" s="4" t="s">
        <v>4923</v>
      </c>
      <c r="O695" s="4" t="s">
        <v>29</v>
      </c>
      <c r="P695" s="4" t="s">
        <v>4924</v>
      </c>
      <c r="Q695" s="6"/>
      <c r="R695" s="6"/>
      <c r="S695" s="6"/>
      <c r="T695" s="6"/>
      <c r="U695" s="6"/>
      <c r="V695" s="6"/>
      <c r="W695" s="6"/>
      <c r="X695" s="6"/>
      <c r="Y695" s="6"/>
    </row>
    <row r="696" ht="14.25">
      <c r="B696" s="4" t="s">
        <v>134</v>
      </c>
      <c r="C696" s="4" t="s">
        <v>4925</v>
      </c>
      <c r="D696" s="4" t="s">
        <v>120</v>
      </c>
      <c r="E696" s="4" t="s">
        <v>3937</v>
      </c>
      <c r="F696" s="5" t="str">
        <f>IFERROR(__XLUDF.DUMMYFUNCTION("PROPER(REGEXREPLACE(D681,""[^A-Za-z]+ "",""""))"),"Lesbarres.Com")</f>
        <v>Lesbarres.Com</v>
      </c>
      <c r="G696" s="4" t="s">
        <v>4926</v>
      </c>
      <c r="H696" s="4">
        <v>6</v>
      </c>
      <c r="I696" s="4" t="s">
        <v>36</v>
      </c>
      <c r="J696" s="5" t="s">
        <v>4927</v>
      </c>
      <c r="K696" s="5" t="s">
        <v>3940</v>
      </c>
      <c r="L696" s="4" t="s">
        <v>39</v>
      </c>
      <c r="M696" s="4" t="s">
        <v>29</v>
      </c>
      <c r="N696" s="4" t="s">
        <v>3941</v>
      </c>
      <c r="O696" s="4" t="s">
        <v>29</v>
      </c>
      <c r="P696" s="6"/>
      <c r="Q696" s="6"/>
      <c r="R696" s="6"/>
      <c r="S696" s="6"/>
      <c r="T696" s="6"/>
      <c r="U696" s="6"/>
      <c r="V696" s="6"/>
      <c r="W696" s="6"/>
      <c r="X696" s="6"/>
      <c r="Y696" s="6"/>
    </row>
    <row r="697" ht="14.25">
      <c r="B697" s="4" t="s">
        <v>4928</v>
      </c>
      <c r="C697" s="4" t="s">
        <v>4929</v>
      </c>
      <c r="D697" s="4" t="s">
        <v>4586</v>
      </c>
      <c r="E697" s="4" t="s">
        <v>1080</v>
      </c>
      <c r="F697" s="4" t="str">
        <f>IFERROR(__XLUDF.DUMMYFUNCTION("PROPER(REGEXREPLACE(D682,""[^A-Za-z]+ "",""""))"),"Bistro Burger Paris")</f>
        <v xml:space="preserve">Bistro Burger Paris</v>
      </c>
      <c r="G697" s="4" t="s">
        <v>4930</v>
      </c>
      <c r="H697" s="4">
        <v>4</v>
      </c>
      <c r="I697" s="4" t="s">
        <v>25</v>
      </c>
      <c r="J697" s="5" t="s">
        <v>4931</v>
      </c>
      <c r="K697" s="5" t="s">
        <v>1083</v>
      </c>
      <c r="L697" s="6"/>
      <c r="M697" s="4" t="s">
        <v>29</v>
      </c>
      <c r="N697" s="4" t="s">
        <v>1084</v>
      </c>
      <c r="O697" s="4" t="s">
        <v>29</v>
      </c>
      <c r="P697" s="4" t="s">
        <v>1085</v>
      </c>
      <c r="Q697" s="6"/>
      <c r="R697" s="6"/>
      <c r="S697" s="6"/>
      <c r="T697" s="6"/>
      <c r="U697" s="6"/>
      <c r="V697" s="6"/>
      <c r="W697" s="6"/>
      <c r="X697" s="6"/>
      <c r="Y697" s="6"/>
    </row>
    <row r="698" ht="14.25">
      <c r="B698" s="4" t="s">
        <v>4932</v>
      </c>
      <c r="C698" s="4" t="s">
        <v>4933</v>
      </c>
      <c r="D698" s="4" t="s">
        <v>4934</v>
      </c>
      <c r="E698" s="4" t="s">
        <v>542</v>
      </c>
      <c r="F698" s="4" t="str">
        <f>IFERROR(__XLUDF.DUMMYFUNCTION("PROPER(REGEXREPLACE(D683,""[^A-Za-z]+ "",""""))"),"Showplace")</f>
        <v>Showplace</v>
      </c>
      <c r="G698" s="4" t="s">
        <v>4935</v>
      </c>
      <c r="H698" s="4">
        <v>8</v>
      </c>
      <c r="I698" s="4" t="s">
        <v>36</v>
      </c>
      <c r="J698" s="5" t="s">
        <v>4936</v>
      </c>
      <c r="K698" s="5" t="s">
        <v>545</v>
      </c>
      <c r="L698" s="4" t="s">
        <v>39</v>
      </c>
      <c r="M698" s="4" t="s">
        <v>29</v>
      </c>
      <c r="N698" s="4" t="s">
        <v>546</v>
      </c>
      <c r="O698" s="4" t="s">
        <v>29</v>
      </c>
      <c r="P698" s="4" t="s">
        <v>547</v>
      </c>
      <c r="Q698" s="6"/>
      <c r="R698" s="6"/>
      <c r="S698" s="6"/>
      <c r="T698" s="6"/>
      <c r="U698" s="6"/>
      <c r="V698" s="6"/>
      <c r="W698" s="6"/>
      <c r="X698" s="6"/>
      <c r="Y698" s="6"/>
    </row>
    <row r="699" ht="14.25">
      <c r="B699" s="4" t="s">
        <v>622</v>
      </c>
      <c r="C699" s="4" t="s">
        <v>4937</v>
      </c>
      <c r="D699" s="4" t="s">
        <v>4938</v>
      </c>
      <c r="E699" s="4" t="s">
        <v>4939</v>
      </c>
      <c r="F699" s="4" t="str">
        <f>IFERROR(__XLUDF.DUMMYFUNCTION("PROPER(REGEXREPLACE(D684,""[^A-Za-z]+ "",""""))"),"Urban Flat In Paris")</f>
        <v xml:space="preserve">Urban Flat In Paris</v>
      </c>
      <c r="G699" s="4" t="s">
        <v>4940</v>
      </c>
      <c r="H699" s="4">
        <v>8</v>
      </c>
      <c r="I699" s="4" t="s">
        <v>36</v>
      </c>
      <c r="J699" s="5" t="s">
        <v>4941</v>
      </c>
      <c r="K699" s="5" t="s">
        <v>4942</v>
      </c>
      <c r="L699" s="4" t="s">
        <v>4943</v>
      </c>
      <c r="M699" s="4" t="s">
        <v>29</v>
      </c>
      <c r="N699" s="4" t="s">
        <v>4944</v>
      </c>
      <c r="O699" s="4" t="s">
        <v>29</v>
      </c>
      <c r="P699" s="4" t="s">
        <v>4945</v>
      </c>
      <c r="Q699" s="6"/>
      <c r="R699" s="6"/>
      <c r="S699" s="6"/>
      <c r="T699" s="6"/>
      <c r="U699" s="6"/>
      <c r="V699" s="6"/>
      <c r="W699" s="6"/>
      <c r="X699" s="6"/>
      <c r="Y699" s="6"/>
    </row>
    <row r="700" ht="14.25">
      <c r="B700" s="4" t="s">
        <v>2119</v>
      </c>
      <c r="C700" s="4" t="s">
        <v>1768</v>
      </c>
      <c r="D700" s="4" t="s">
        <v>172</v>
      </c>
      <c r="E700" s="4" t="s">
        <v>4946</v>
      </c>
      <c r="F700" s="4" t="str">
        <f>IFERROR(__XLUDF.DUMMYFUNCTION("PROPER(REGEXREPLACE(D685,""[^A-Za-z]+ "",""""))"),"Hôtelsmaisons")</f>
        <v>Hôtelsmaisons</v>
      </c>
      <c r="G700" s="4" t="s">
        <v>4947</v>
      </c>
      <c r="H700" s="4">
        <v>33</v>
      </c>
      <c r="I700" s="4" t="s">
        <v>25</v>
      </c>
      <c r="J700" s="5" t="s">
        <v>4948</v>
      </c>
      <c r="K700" s="5" t="s">
        <v>4949</v>
      </c>
      <c r="L700" s="4" t="s">
        <v>4950</v>
      </c>
      <c r="M700" s="4" t="s">
        <v>29</v>
      </c>
      <c r="N700" s="4" t="s">
        <v>4951</v>
      </c>
      <c r="O700" s="4" t="s">
        <v>4952</v>
      </c>
      <c r="P700" s="6"/>
      <c r="Q700" s="6"/>
      <c r="R700" s="6"/>
      <c r="S700" s="6"/>
      <c r="T700" s="6"/>
      <c r="U700" s="6"/>
      <c r="V700" s="6"/>
      <c r="W700" s="6"/>
      <c r="X700" s="6"/>
      <c r="Y700" s="6"/>
    </row>
    <row r="701" ht="14.25">
      <c r="B701" s="4" t="s">
        <v>245</v>
      </c>
      <c r="C701" s="4" t="s">
        <v>4953</v>
      </c>
      <c r="D701" s="4" t="s">
        <v>172</v>
      </c>
      <c r="E701" s="4" t="s">
        <v>4954</v>
      </c>
      <c r="F701" s="4" t="str">
        <f>IFERROR(__XLUDF.DUMMYFUNCTION("PROPER(REGEXREPLACE(D686,""[^A-Za-z]+ "",""""))"),"Driverbutler")</f>
        <v>Driverbutler</v>
      </c>
      <c r="G701" s="4" t="s">
        <v>4955</v>
      </c>
      <c r="H701" s="4">
        <v>14</v>
      </c>
      <c r="I701" s="4" t="s">
        <v>25</v>
      </c>
      <c r="J701" s="5" t="s">
        <v>4956</v>
      </c>
      <c r="K701" s="5" t="s">
        <v>4957</v>
      </c>
      <c r="L701" s="4" t="s">
        <v>4958</v>
      </c>
      <c r="M701" s="4" t="s">
        <v>29</v>
      </c>
      <c r="N701" s="4" t="s">
        <v>4959</v>
      </c>
      <c r="O701" s="4" t="s">
        <v>29</v>
      </c>
      <c r="P701" s="4" t="s">
        <v>4960</v>
      </c>
      <c r="Q701" s="6"/>
      <c r="R701" s="6"/>
      <c r="S701" s="6"/>
      <c r="T701" s="6"/>
      <c r="U701" s="6"/>
      <c r="V701" s="6"/>
      <c r="W701" s="6"/>
      <c r="X701" s="6"/>
      <c r="Y701" s="6"/>
    </row>
    <row r="702" ht="14.25">
      <c r="B702" s="4" t="s">
        <v>4961</v>
      </c>
      <c r="C702" s="4" t="s">
        <v>4962</v>
      </c>
      <c r="D702" s="4" t="s">
        <v>172</v>
      </c>
      <c r="E702" s="4" t="s">
        <v>4963</v>
      </c>
      <c r="F702" s="4" t="str">
        <f>IFERROR(__XLUDF.DUMMYFUNCTION("PROPER(REGEXREPLACE(D687,""[^A-Za-z]+ "",""""))"),"Emeraude Hotels")</f>
        <v xml:space="preserve">Emeraude Hotels</v>
      </c>
      <c r="G702" s="4" t="s">
        <v>4964</v>
      </c>
      <c r="H702" s="4">
        <v>6</v>
      </c>
      <c r="I702" s="4" t="s">
        <v>25</v>
      </c>
      <c r="J702" s="5" t="s">
        <v>4965</v>
      </c>
      <c r="K702" s="5" t="s">
        <v>4966</v>
      </c>
      <c r="L702" s="4" t="s">
        <v>1826</v>
      </c>
      <c r="M702" s="4" t="s">
        <v>29</v>
      </c>
      <c r="N702" s="4" t="s">
        <v>4967</v>
      </c>
      <c r="O702" s="4" t="s">
        <v>29</v>
      </c>
      <c r="P702" s="4" t="s">
        <v>4968</v>
      </c>
      <c r="Q702" s="6"/>
      <c r="R702" s="6"/>
      <c r="S702" s="6"/>
      <c r="T702" s="6"/>
      <c r="U702" s="6"/>
      <c r="V702" s="6"/>
      <c r="W702" s="6"/>
      <c r="X702" s="6"/>
      <c r="Y702" s="6"/>
    </row>
    <row r="703" ht="14.25">
      <c r="B703" s="4" t="s">
        <v>4969</v>
      </c>
      <c r="C703" s="4" t="s">
        <v>4970</v>
      </c>
      <c r="D703" s="4" t="s">
        <v>426</v>
      </c>
      <c r="E703" s="4" t="s">
        <v>4971</v>
      </c>
      <c r="F703" s="4" t="str">
        <f>IFERROR(__XLUDF.DUMMYFUNCTION("PROPER(REGEXREPLACE(D688,""[^A-Za-z]+ "",""""))"),"Privde Dessert")</f>
        <v xml:space="preserve">Privde Dessert</v>
      </c>
      <c r="G703" s="4" t="s">
        <v>4972</v>
      </c>
      <c r="H703" s="4">
        <v>29</v>
      </c>
      <c r="I703" s="4" t="s">
        <v>25</v>
      </c>
      <c r="J703" s="5" t="s">
        <v>4973</v>
      </c>
      <c r="K703" s="5" t="s">
        <v>4974</v>
      </c>
      <c r="L703" s="4" t="s">
        <v>39</v>
      </c>
      <c r="M703" s="4" t="s">
        <v>29</v>
      </c>
      <c r="N703" s="4" t="s">
        <v>4975</v>
      </c>
      <c r="O703" s="4" t="s">
        <v>29</v>
      </c>
      <c r="P703" s="4" t="s">
        <v>4976</v>
      </c>
      <c r="Q703" s="6"/>
      <c r="R703" s="6"/>
      <c r="S703" s="6"/>
      <c r="T703" s="6"/>
      <c r="U703" s="6"/>
      <c r="V703" s="6"/>
      <c r="W703" s="6"/>
      <c r="X703" s="6"/>
      <c r="Y703" s="6"/>
    </row>
    <row r="704" ht="14.25">
      <c r="B704" s="4" t="s">
        <v>4977</v>
      </c>
      <c r="C704" s="4" t="s">
        <v>4978</v>
      </c>
      <c r="D704" s="4" t="s">
        <v>172</v>
      </c>
      <c r="E704" s="4" t="s">
        <v>4979</v>
      </c>
      <c r="F704" s="4" t="str">
        <f>IFERROR(__XLUDF.DUMMYFUNCTION("PROPER(REGEXREPLACE(D689,""[^A-Za-z]+ "",""""))"),"Somewhere To Meet")</f>
        <v xml:space="preserve">Somewhere To Meet</v>
      </c>
      <c r="G704" s="4" t="s">
        <v>4980</v>
      </c>
      <c r="H704" s="4">
        <v>10</v>
      </c>
      <c r="I704" s="4" t="s">
        <v>25</v>
      </c>
      <c r="J704" s="5" t="s">
        <v>4981</v>
      </c>
      <c r="K704" s="5" t="s">
        <v>4982</v>
      </c>
      <c r="L704" s="4" t="s">
        <v>4983</v>
      </c>
      <c r="M704" s="4" t="s">
        <v>29</v>
      </c>
      <c r="N704" s="4" t="s">
        <v>4984</v>
      </c>
      <c r="O704" s="4" t="s">
        <v>29</v>
      </c>
      <c r="P704" s="4" t="s">
        <v>4985</v>
      </c>
      <c r="Q704" s="6"/>
      <c r="R704" s="6"/>
      <c r="S704" s="6"/>
      <c r="T704" s="6"/>
      <c r="U704" s="6"/>
      <c r="V704" s="6"/>
      <c r="W704" s="6"/>
      <c r="X704" s="6"/>
      <c r="Y704" s="6"/>
    </row>
    <row r="705" ht="14.25">
      <c r="B705" s="4" t="s">
        <v>4986</v>
      </c>
      <c r="C705" s="4" t="s">
        <v>4987</v>
      </c>
      <c r="D705" s="4" t="s">
        <v>62</v>
      </c>
      <c r="E705" s="4" t="s">
        <v>4988</v>
      </c>
      <c r="F705" s="4" t="str">
        <f>IFERROR(__XLUDF.DUMMYFUNCTION("PROPER(REGEXREPLACE(D690,""[^A-Za-z]+ "",""""))"),"Liife")</f>
        <v>Liife</v>
      </c>
      <c r="G705" s="4" t="s">
        <v>4989</v>
      </c>
      <c r="H705" s="4">
        <v>7</v>
      </c>
      <c r="I705" s="4" t="s">
        <v>4293</v>
      </c>
      <c r="J705" s="5" t="s">
        <v>4990</v>
      </c>
      <c r="K705" s="5" t="s">
        <v>4991</v>
      </c>
      <c r="L705" s="4" t="s">
        <v>39</v>
      </c>
      <c r="M705" s="4" t="s">
        <v>29</v>
      </c>
      <c r="N705" s="4" t="s">
        <v>29</v>
      </c>
      <c r="O705" s="4" t="s">
        <v>29</v>
      </c>
      <c r="P705" s="4" t="s">
        <v>4992</v>
      </c>
      <c r="Q705" s="6"/>
      <c r="R705" s="6"/>
      <c r="S705" s="6"/>
      <c r="T705" s="6"/>
      <c r="U705" s="6"/>
      <c r="V705" s="6"/>
      <c r="W705" s="6"/>
      <c r="X705" s="6"/>
      <c r="Y705" s="6"/>
    </row>
    <row r="706" ht="14.25">
      <c r="B706" s="4" t="s">
        <v>4993</v>
      </c>
      <c r="C706" s="4" t="s">
        <v>4994</v>
      </c>
      <c r="D706" s="4" t="s">
        <v>71</v>
      </c>
      <c r="E706" s="4" t="s">
        <v>4995</v>
      </c>
      <c r="F706" s="4" t="str">
        <f>IFERROR(__XLUDF.DUMMYFUNCTION("PROPER(REGEXREPLACE(D691,""[^A-Za-z]+ "",""""))"),"Côme")</f>
        <v>Côme</v>
      </c>
      <c r="G706" s="4" t="s">
        <v>4996</v>
      </c>
      <c r="H706" s="4">
        <v>5</v>
      </c>
      <c r="I706" s="4" t="s">
        <v>25</v>
      </c>
      <c r="J706" s="5" t="s">
        <v>4997</v>
      </c>
      <c r="K706" s="5" t="s">
        <v>4998</v>
      </c>
      <c r="L706" s="4" t="s">
        <v>243</v>
      </c>
      <c r="M706" s="4" t="s">
        <v>29</v>
      </c>
      <c r="N706" s="4" t="s">
        <v>4999</v>
      </c>
      <c r="O706" s="4" t="s">
        <v>29</v>
      </c>
      <c r="P706" s="4" t="s">
        <v>5000</v>
      </c>
      <c r="Q706" s="6"/>
      <c r="R706" s="6"/>
      <c r="S706" s="6"/>
      <c r="T706" s="6"/>
      <c r="U706" s="6"/>
      <c r="V706" s="6"/>
      <c r="W706" s="6"/>
      <c r="X706" s="6"/>
      <c r="Y706" s="6"/>
    </row>
    <row r="707" ht="14.25">
      <c r="B707" s="4" t="s">
        <v>5001</v>
      </c>
      <c r="C707" s="4" t="s">
        <v>5002</v>
      </c>
      <c r="D707" s="4" t="s">
        <v>5003</v>
      </c>
      <c r="E707" s="4" t="s">
        <v>5004</v>
      </c>
      <c r="F707" s="4" t="str">
        <f>IFERROR(__XLUDF.DUMMYFUNCTION("PROPER(REGEXREPLACE(D692,""[^A-Za-z]+ "",""""))"),"Gruppo Dalmata")</f>
        <v xml:space="preserve">Gruppo Dalmata</v>
      </c>
      <c r="G707" s="4" t="s">
        <v>5005</v>
      </c>
      <c r="H707" s="4">
        <v>13</v>
      </c>
      <c r="I707" s="4" t="s">
        <v>36</v>
      </c>
      <c r="J707" s="5" t="s">
        <v>5006</v>
      </c>
      <c r="K707" s="5" t="s">
        <v>5007</v>
      </c>
      <c r="L707" s="4" t="s">
        <v>39</v>
      </c>
      <c r="M707" s="4" t="s">
        <v>29</v>
      </c>
      <c r="N707" s="4" t="s">
        <v>5008</v>
      </c>
      <c r="O707" s="4" t="s">
        <v>29</v>
      </c>
      <c r="P707" s="4" t="s">
        <v>5009</v>
      </c>
      <c r="Q707" s="6"/>
      <c r="R707" s="6"/>
      <c r="S707" s="6"/>
      <c r="T707" s="6"/>
      <c r="U707" s="6"/>
      <c r="V707" s="6"/>
      <c r="W707" s="6"/>
      <c r="X707" s="6"/>
      <c r="Y707" s="6"/>
    </row>
    <row r="708" ht="14.25">
      <c r="B708" s="4" t="s">
        <v>178</v>
      </c>
      <c r="C708" s="4" t="s">
        <v>5010</v>
      </c>
      <c r="D708" s="4" t="s">
        <v>468</v>
      </c>
      <c r="E708" s="4" t="s">
        <v>5011</v>
      </c>
      <c r="F708" s="4" t="str">
        <f>IFERROR(__XLUDF.DUMMYFUNCTION("PROPER(REGEXREPLACE(D693,""[^A-Za-z]+ "",""""))"),"4Rouessous1Parapluie")</f>
        <v>4Rouessous1Parapluie</v>
      </c>
      <c r="G708" s="4" t="s">
        <v>5012</v>
      </c>
      <c r="H708" s="4">
        <v>31</v>
      </c>
      <c r="I708" s="4" t="s">
        <v>25</v>
      </c>
      <c r="J708" s="5" t="s">
        <v>5013</v>
      </c>
      <c r="K708" s="5" t="s">
        <v>5014</v>
      </c>
      <c r="L708" s="4" t="s">
        <v>716</v>
      </c>
      <c r="M708" s="4" t="s">
        <v>29</v>
      </c>
      <c r="N708" s="4" t="s">
        <v>2515</v>
      </c>
      <c r="O708" s="4" t="s">
        <v>29</v>
      </c>
      <c r="P708" s="6"/>
      <c r="Q708" s="6"/>
      <c r="R708" s="6"/>
      <c r="S708" s="6"/>
      <c r="T708" s="6"/>
      <c r="U708" s="6"/>
      <c r="V708" s="6"/>
      <c r="W708" s="6"/>
      <c r="X708" s="6"/>
      <c r="Y708" s="6"/>
    </row>
    <row r="709" ht="14.25">
      <c r="B709" s="4" t="s">
        <v>5015</v>
      </c>
      <c r="C709" s="4" t="s">
        <v>5016</v>
      </c>
      <c r="D709" s="4" t="s">
        <v>341</v>
      </c>
      <c r="E709" s="4" t="s">
        <v>5017</v>
      </c>
      <c r="F709" s="4" t="str">
        <f>IFERROR(__XLUDF.DUMMYFUNCTION("PROPER(REGEXREPLACE(D694,""[^A-Za-z]+ "",""""))"),"Le Mazette")</f>
        <v xml:space="preserve">Le Mazette</v>
      </c>
      <c r="G709" s="4" t="s">
        <v>5018</v>
      </c>
      <c r="H709" s="4">
        <v>5</v>
      </c>
      <c r="I709" s="4" t="s">
        <v>36</v>
      </c>
      <c r="J709" s="5" t="s">
        <v>5019</v>
      </c>
      <c r="K709" s="5" t="s">
        <v>5020</v>
      </c>
      <c r="L709" s="4" t="s">
        <v>39</v>
      </c>
      <c r="M709" s="4" t="s">
        <v>29</v>
      </c>
      <c r="N709" s="4" t="s">
        <v>5021</v>
      </c>
      <c r="O709" s="4" t="s">
        <v>29</v>
      </c>
      <c r="P709" s="6"/>
      <c r="Q709" s="6"/>
      <c r="R709" s="6"/>
      <c r="S709" s="6"/>
      <c r="T709" s="6"/>
      <c r="U709" s="6"/>
      <c r="V709" s="6"/>
      <c r="W709" s="6"/>
      <c r="X709" s="6"/>
      <c r="Y709" s="6"/>
    </row>
    <row r="710" ht="14.25">
      <c r="B710" s="4" t="s">
        <v>5022</v>
      </c>
      <c r="C710" s="4" t="s">
        <v>5023</v>
      </c>
      <c r="D710" s="4" t="s">
        <v>247</v>
      </c>
      <c r="E710" s="4" t="s">
        <v>1918</v>
      </c>
      <c r="F710" s="4" t="str">
        <f>IFERROR(__XLUDF.DUMMYFUNCTION("PROPER(REGEXREPLACE(D695,""[^A-Za-z]+ "",""""))"),"Abbaye Des Premontres")</f>
        <v xml:space="preserve">Abbaye Des Premontres</v>
      </c>
      <c r="G710" s="4" t="s">
        <v>5024</v>
      </c>
      <c r="H710" s="4">
        <v>5</v>
      </c>
      <c r="I710" s="4" t="s">
        <v>25</v>
      </c>
      <c r="J710" s="5" t="s">
        <v>5025</v>
      </c>
      <c r="K710" s="5" t="s">
        <v>1921</v>
      </c>
      <c r="L710" s="4" t="s">
        <v>185</v>
      </c>
      <c r="M710" s="4" t="s">
        <v>29</v>
      </c>
      <c r="N710" s="4" t="s">
        <v>1922</v>
      </c>
      <c r="O710" s="4" t="s">
        <v>1261</v>
      </c>
      <c r="P710" s="4" t="s">
        <v>1923</v>
      </c>
      <c r="Q710" s="6"/>
      <c r="R710" s="6"/>
      <c r="S710" s="6"/>
      <c r="T710" s="6"/>
      <c r="U710" s="6"/>
      <c r="V710" s="6"/>
      <c r="W710" s="6"/>
      <c r="X710" s="6"/>
      <c r="Y710" s="6"/>
    </row>
    <row r="711" ht="14.25">
      <c r="B711" s="4" t="s">
        <v>653</v>
      </c>
      <c r="C711" s="4" t="s">
        <v>5026</v>
      </c>
      <c r="D711" s="4" t="s">
        <v>265</v>
      </c>
      <c r="E711" s="4" t="s">
        <v>4682</v>
      </c>
      <c r="F711" s="4" t="str">
        <f>IFERROR(__XLUDF.DUMMYFUNCTION("PROPER(REGEXREPLACE(D696,""[^A-Za-z]+ "",""""))"),"Blondie Café")</f>
        <v xml:space="preserve">Blondie Café</v>
      </c>
      <c r="G711" s="4" t="s">
        <v>5027</v>
      </c>
      <c r="H711" s="4">
        <v>29</v>
      </c>
      <c r="I711" s="4" t="s">
        <v>36</v>
      </c>
      <c r="J711" s="5" t="s">
        <v>5028</v>
      </c>
      <c r="K711" s="5" t="s">
        <v>4685</v>
      </c>
      <c r="L711" s="4" t="s">
        <v>39</v>
      </c>
      <c r="M711" s="4" t="s">
        <v>29</v>
      </c>
      <c r="N711" s="4" t="s">
        <v>4686</v>
      </c>
      <c r="O711" s="4" t="s">
        <v>29</v>
      </c>
      <c r="P711" s="4" t="s">
        <v>4687</v>
      </c>
      <c r="Q711" s="6"/>
      <c r="R711" s="6"/>
      <c r="S711" s="6"/>
      <c r="T711" s="6"/>
      <c r="U711" s="6"/>
      <c r="V711" s="6"/>
      <c r="W711" s="6"/>
      <c r="X711" s="6"/>
      <c r="Y711" s="6"/>
    </row>
    <row r="712" ht="14.25">
      <c r="B712" s="4" t="s">
        <v>5029</v>
      </c>
      <c r="C712" s="4" t="s">
        <v>5030</v>
      </c>
      <c r="D712" s="4" t="s">
        <v>5031</v>
      </c>
      <c r="E712" s="4" t="s">
        <v>5032</v>
      </c>
      <c r="F712" s="4" t="str">
        <f>IFERROR(__XLUDF.DUMMYFUNCTION("PROPER(REGEXREPLACE(D697,""[^A-Za-z]+ "",""""))"),"Hotels En Ville")</f>
        <v xml:space="preserve">Hotels En Ville</v>
      </c>
      <c r="G712" s="4" t="s">
        <v>5033</v>
      </c>
      <c r="H712" s="4">
        <v>3</v>
      </c>
      <c r="I712" s="4" t="s">
        <v>36</v>
      </c>
      <c r="J712" s="5" t="s">
        <v>5034</v>
      </c>
      <c r="K712" s="5" t="s">
        <v>5035</v>
      </c>
      <c r="L712" s="6"/>
      <c r="M712" s="4" t="s">
        <v>29</v>
      </c>
      <c r="N712" s="4" t="s">
        <v>67</v>
      </c>
      <c r="O712" s="4" t="s">
        <v>29</v>
      </c>
      <c r="P712" s="6"/>
      <c r="Q712" s="6"/>
      <c r="R712" s="6"/>
      <c r="S712" s="6"/>
      <c r="T712" s="6"/>
      <c r="U712" s="6"/>
      <c r="V712" s="6"/>
      <c r="W712" s="6"/>
      <c r="X712" s="6"/>
      <c r="Y712" s="6"/>
    </row>
    <row r="713" ht="14.25">
      <c r="B713" s="4" t="s">
        <v>579</v>
      </c>
      <c r="C713" s="4" t="s">
        <v>5036</v>
      </c>
      <c r="D713" s="4" t="s">
        <v>5037</v>
      </c>
      <c r="E713" s="4" t="s">
        <v>5038</v>
      </c>
      <c r="F713" s="4" t="str">
        <f>IFERROR(__XLUDF.DUMMYFUNCTION("PROPER(REGEXREPLACE(D698,""[^A-Za-z]+ "",""""))"),"Heqtor")</f>
        <v>Heqtor</v>
      </c>
      <c r="G713" s="4" t="s">
        <v>5039</v>
      </c>
      <c r="H713" s="4">
        <v>5</v>
      </c>
      <c r="I713" s="4" t="s">
        <v>25</v>
      </c>
      <c r="J713" s="5" t="s">
        <v>5040</v>
      </c>
      <c r="K713" s="5" t="s">
        <v>5041</v>
      </c>
      <c r="L713" s="4" t="s">
        <v>39</v>
      </c>
      <c r="M713" s="4" t="s">
        <v>29</v>
      </c>
      <c r="N713" s="4" t="s">
        <v>5042</v>
      </c>
      <c r="O713" s="4" t="s">
        <v>29</v>
      </c>
      <c r="P713" s="4" t="s">
        <v>5043</v>
      </c>
      <c r="Q713" s="6"/>
      <c r="R713" s="6"/>
      <c r="S713" s="6"/>
      <c r="T713" s="6"/>
      <c r="U713" s="6"/>
      <c r="V713" s="6"/>
      <c r="W713" s="6"/>
      <c r="X713" s="6"/>
      <c r="Y713" s="6"/>
    </row>
    <row r="714" ht="14.25">
      <c r="B714" s="4" t="s">
        <v>5044</v>
      </c>
      <c r="C714" s="4" t="s">
        <v>5045</v>
      </c>
      <c r="D714" s="4" t="s">
        <v>62</v>
      </c>
      <c r="E714" s="4" t="s">
        <v>5046</v>
      </c>
      <c r="F714" s="4" t="str">
        <f>IFERROR(__XLUDF.DUMMYFUNCTION("PROPER(REGEXREPLACE(D699,""[^A-Za-z]+ "",""""))"),"Le Moulin De Ponceau")</f>
        <v xml:space="preserve">Le Moulin De Ponceau</v>
      </c>
      <c r="G714" s="4" t="s">
        <v>5047</v>
      </c>
      <c r="H714" s="4">
        <v>2</v>
      </c>
      <c r="I714" s="4" t="s">
        <v>5048</v>
      </c>
      <c r="J714" s="5" t="s">
        <v>5049</v>
      </c>
      <c r="K714" s="5" t="s">
        <v>5050</v>
      </c>
      <c r="L714" s="4" t="s">
        <v>185</v>
      </c>
      <c r="M714" s="4" t="s">
        <v>29</v>
      </c>
      <c r="N714" s="4" t="s">
        <v>125</v>
      </c>
      <c r="O714" s="4" t="s">
        <v>29</v>
      </c>
      <c r="P714" s="4" t="s">
        <v>5051</v>
      </c>
      <c r="Q714" s="6"/>
      <c r="R714" s="6"/>
      <c r="S714" s="6"/>
      <c r="T714" s="6"/>
      <c r="U714" s="6"/>
      <c r="V714" s="6"/>
      <c r="W714" s="6"/>
      <c r="X714" s="6"/>
      <c r="Y714" s="6"/>
    </row>
    <row r="715" ht="14.25">
      <c r="B715" s="4" t="s">
        <v>5052</v>
      </c>
      <c r="C715" s="4" t="s">
        <v>5053</v>
      </c>
      <c r="D715" s="4" t="s">
        <v>315</v>
      </c>
      <c r="E715" s="4" t="s">
        <v>5054</v>
      </c>
      <c r="F715" s="4" t="str">
        <f>IFERROR(__XLUDF.DUMMYFUNCTION("PROPER(REGEXREPLACE(D700,""[^A-Za-z]+ "",""""))"),"Homy")</f>
        <v>Homy</v>
      </c>
      <c r="G715" s="4" t="s">
        <v>5055</v>
      </c>
      <c r="H715" s="4">
        <v>6</v>
      </c>
      <c r="I715" s="4" t="s">
        <v>25</v>
      </c>
      <c r="J715" s="5" t="s">
        <v>5056</v>
      </c>
      <c r="K715" s="5" t="s">
        <v>5057</v>
      </c>
      <c r="L715" s="4" t="s">
        <v>846</v>
      </c>
      <c r="M715" s="4" t="s">
        <v>29</v>
      </c>
      <c r="N715" s="4" t="s">
        <v>5058</v>
      </c>
      <c r="O715" s="4" t="s">
        <v>1261</v>
      </c>
      <c r="P715" s="4" t="s">
        <v>5059</v>
      </c>
      <c r="Q715" s="6"/>
      <c r="R715" s="6"/>
      <c r="S715" s="6"/>
      <c r="T715" s="6"/>
      <c r="U715" s="6"/>
      <c r="V715" s="6"/>
      <c r="W715" s="6"/>
      <c r="X715" s="6"/>
      <c r="Y715" s="6"/>
    </row>
    <row r="716" ht="14.25">
      <c r="B716" s="4" t="s">
        <v>5060</v>
      </c>
      <c r="C716" s="4" t="s">
        <v>1485</v>
      </c>
      <c r="D716" s="4" t="s">
        <v>87</v>
      </c>
      <c r="E716" s="4" t="s">
        <v>1486</v>
      </c>
      <c r="F716" s="4" t="str">
        <f>IFERROR(__XLUDF.DUMMYFUNCTION("PROPER(REGEXREPLACE(D701,""[^A-Za-z]+ "",""""))"),"Château Et Village Castigno")</f>
        <v xml:space="preserve">Château Et Village Castigno</v>
      </c>
      <c r="G716" s="4" t="s">
        <v>5061</v>
      </c>
      <c r="H716" s="4">
        <v>30</v>
      </c>
      <c r="I716" s="4" t="s">
        <v>25</v>
      </c>
      <c r="J716" s="5" t="s">
        <v>5062</v>
      </c>
      <c r="K716" s="5" t="s">
        <v>1489</v>
      </c>
      <c r="L716" s="4" t="s">
        <v>39</v>
      </c>
      <c r="M716" s="4" t="s">
        <v>29</v>
      </c>
      <c r="N716" s="4" t="s">
        <v>1490</v>
      </c>
      <c r="O716" s="4" t="s">
        <v>29</v>
      </c>
      <c r="P716" s="4" t="s">
        <v>1491</v>
      </c>
      <c r="Q716" s="6"/>
      <c r="R716" s="6"/>
      <c r="S716" s="6"/>
      <c r="T716" s="6"/>
      <c r="U716" s="6"/>
      <c r="V716" s="6"/>
      <c r="W716" s="6"/>
      <c r="X716" s="6"/>
      <c r="Y716" s="6"/>
    </row>
    <row r="717" ht="14.25">
      <c r="B717" s="4" t="s">
        <v>76</v>
      </c>
      <c r="C717" s="4" t="s">
        <v>5063</v>
      </c>
      <c r="D717" s="4" t="s">
        <v>87</v>
      </c>
      <c r="E717" s="4" t="s">
        <v>5064</v>
      </c>
      <c r="F717" s="4" t="str">
        <f>IFERROR(__XLUDF.DUMMYFUNCTION("PROPER(REGEXREPLACE(D702,""[^A-Za-z]+ "",""""))"),"Les Hôtels Kermibien")</f>
        <v xml:space="preserve">Les Hôtels Kermibien</v>
      </c>
      <c r="G717" s="4" t="s">
        <v>5065</v>
      </c>
      <c r="H717" s="4">
        <v>39</v>
      </c>
      <c r="I717" s="4" t="s">
        <v>36</v>
      </c>
      <c r="J717" s="5" t="s">
        <v>5066</v>
      </c>
      <c r="K717" s="5" t="s">
        <v>5067</v>
      </c>
      <c r="L717" s="4" t="s">
        <v>4257</v>
      </c>
      <c r="M717" s="4" t="s">
        <v>29</v>
      </c>
      <c r="N717" s="4" t="s">
        <v>5068</v>
      </c>
      <c r="O717" s="4" t="s">
        <v>29</v>
      </c>
      <c r="P717" s="4" t="s">
        <v>5069</v>
      </c>
      <c r="Q717" s="6"/>
      <c r="R717" s="6"/>
      <c r="S717" s="6"/>
      <c r="T717" s="6"/>
      <c r="U717" s="6"/>
      <c r="V717" s="6"/>
      <c r="W717" s="6"/>
      <c r="X717" s="6"/>
      <c r="Y717" s="6"/>
    </row>
    <row r="718" ht="14.25">
      <c r="B718" s="4" t="s">
        <v>5070</v>
      </c>
      <c r="C718" s="4" t="s">
        <v>5071</v>
      </c>
      <c r="D718" s="4" t="s">
        <v>112</v>
      </c>
      <c r="E718" s="4" t="s">
        <v>5072</v>
      </c>
      <c r="F718" s="4" t="str">
        <f>IFERROR(__XLUDF.DUMMYFUNCTION("PROPER(REGEXREPLACE(D703,""[^A-Za-z]+ "",""""))"),"Relais Christine")</f>
        <v xml:space="preserve">Relais Christine</v>
      </c>
      <c r="G718" s="4" t="s">
        <v>5073</v>
      </c>
      <c r="H718" s="4">
        <v>21</v>
      </c>
      <c r="I718" s="4" t="s">
        <v>2602</v>
      </c>
      <c r="J718" s="5" t="s">
        <v>5074</v>
      </c>
      <c r="K718" s="5" t="s">
        <v>5075</v>
      </c>
      <c r="L718" s="4" t="s">
        <v>39</v>
      </c>
      <c r="M718" s="4" t="s">
        <v>29</v>
      </c>
      <c r="N718" s="4" t="s">
        <v>3759</v>
      </c>
      <c r="O718" s="4" t="s">
        <v>29</v>
      </c>
      <c r="P718" s="6"/>
      <c r="Q718" s="6"/>
      <c r="R718" s="6"/>
      <c r="S718" s="6"/>
      <c r="T718" s="6"/>
      <c r="U718" s="6"/>
      <c r="V718" s="6"/>
      <c r="W718" s="6"/>
      <c r="X718" s="6"/>
      <c r="Y718" s="6"/>
    </row>
    <row r="719" ht="14.25">
      <c r="B719" s="4" t="s">
        <v>622</v>
      </c>
      <c r="C719" s="4" t="s">
        <v>21</v>
      </c>
      <c r="D719" s="4" t="s">
        <v>5076</v>
      </c>
      <c r="E719" s="4" t="s">
        <v>23</v>
      </c>
      <c r="F719" s="4" t="str">
        <f>IFERROR(__XLUDF.DUMMYFUNCTION("PROPER(REGEXREPLACE(D704,""[^A-Za-z]+ "",""""))"),"Camping Cala Gogo")</f>
        <v xml:space="preserve">Camping Cala Gogo</v>
      </c>
      <c r="G719" s="4" t="s">
        <v>5077</v>
      </c>
      <c r="H719" s="4">
        <v>29</v>
      </c>
      <c r="I719" s="4" t="s">
        <v>25</v>
      </c>
      <c r="J719" s="5" t="s">
        <v>5078</v>
      </c>
      <c r="K719" s="5" t="s">
        <v>27</v>
      </c>
      <c r="L719" s="4" t="s">
        <v>5079</v>
      </c>
      <c r="M719" s="4" t="s">
        <v>29</v>
      </c>
      <c r="N719" s="4" t="s">
        <v>30</v>
      </c>
      <c r="O719" s="4" t="s">
        <v>29</v>
      </c>
      <c r="P719" s="6"/>
      <c r="Q719" s="6"/>
      <c r="R719" s="6"/>
      <c r="S719" s="6"/>
      <c r="T719" s="6"/>
      <c r="U719" s="6"/>
      <c r="V719" s="6"/>
      <c r="W719" s="6"/>
      <c r="X719" s="6"/>
      <c r="Y719" s="6"/>
    </row>
    <row r="720" ht="14.25">
      <c r="B720" s="4" t="s">
        <v>485</v>
      </c>
      <c r="C720" s="4" t="s">
        <v>4552</v>
      </c>
      <c r="D720" s="4" t="s">
        <v>5080</v>
      </c>
      <c r="E720" s="4" t="s">
        <v>4553</v>
      </c>
      <c r="F720" s="4" t="str">
        <f>IFERROR(__XLUDF.DUMMYFUNCTION("PROPER(REGEXREPLACE(D705,""[^A-Za-z]+ "",""""))"),"Lokora Résidences Étudiantes")</f>
        <v xml:space="preserve">Lokora Résidences Étudiantes</v>
      </c>
      <c r="G720" s="4" t="s">
        <v>5081</v>
      </c>
      <c r="H720" s="4">
        <v>37</v>
      </c>
      <c r="I720" s="4" t="s">
        <v>25</v>
      </c>
      <c r="J720" s="5" t="s">
        <v>5082</v>
      </c>
      <c r="K720" s="5" t="s">
        <v>4556</v>
      </c>
      <c r="L720" s="4" t="s">
        <v>3898</v>
      </c>
      <c r="M720" s="4" t="s">
        <v>29</v>
      </c>
      <c r="N720" s="4" t="s">
        <v>4557</v>
      </c>
      <c r="O720" s="4" t="s">
        <v>29</v>
      </c>
      <c r="P720" s="4" t="s">
        <v>4558</v>
      </c>
      <c r="Q720" s="6"/>
      <c r="R720" s="6"/>
      <c r="S720" s="6"/>
      <c r="T720" s="6"/>
      <c r="U720" s="6"/>
      <c r="V720" s="6"/>
      <c r="W720" s="6"/>
      <c r="X720" s="6"/>
      <c r="Y720" s="6"/>
    </row>
    <row r="721" ht="14.25">
      <c r="B721" s="4" t="s">
        <v>1499</v>
      </c>
      <c r="C721" s="4" t="s">
        <v>5083</v>
      </c>
      <c r="D721" s="4" t="s">
        <v>247</v>
      </c>
      <c r="E721" s="4" t="s">
        <v>4912</v>
      </c>
      <c r="F721" s="4" t="str">
        <f>IFERROR(__XLUDF.DUMMYFUNCTION("PROPER(REGEXREPLACE(D706,""[^A-Za-z]+ "",""""))"),"Château Gassies")</f>
        <v xml:space="preserve">Château Gassies</v>
      </c>
      <c r="G721" s="4" t="s">
        <v>5084</v>
      </c>
      <c r="H721" s="4">
        <v>14</v>
      </c>
      <c r="I721" s="4" t="s">
        <v>157</v>
      </c>
      <c r="J721" s="5" t="s">
        <v>5085</v>
      </c>
      <c r="K721" s="5" t="s">
        <v>4915</v>
      </c>
      <c r="L721" s="4" t="s">
        <v>39</v>
      </c>
      <c r="M721" s="4" t="s">
        <v>29</v>
      </c>
      <c r="N721" s="4" t="s">
        <v>4916</v>
      </c>
      <c r="O721" s="4" t="s">
        <v>29</v>
      </c>
      <c r="P721" s="6"/>
      <c r="Q721" s="6"/>
      <c r="R721" s="6"/>
      <c r="S721" s="6"/>
      <c r="T721" s="6"/>
      <c r="U721" s="6"/>
      <c r="V721" s="6"/>
      <c r="W721" s="6"/>
      <c r="X721" s="6"/>
      <c r="Y721" s="6"/>
    </row>
    <row r="722" ht="14.25">
      <c r="B722" s="4" t="s">
        <v>1667</v>
      </c>
      <c r="C722" s="4" t="s">
        <v>5086</v>
      </c>
      <c r="D722" s="4" t="s">
        <v>120</v>
      </c>
      <c r="E722" s="4" t="s">
        <v>3605</v>
      </c>
      <c r="F722" s="4" t="str">
        <f>IFERROR(__XLUDF.DUMMYFUNCTION("PROPER(REGEXREPLACE(D707,""[^A-Za-z]+ "",""""))"),"Monument Cafsas")</f>
        <v xml:space="preserve">Monument Cafsas</v>
      </c>
      <c r="G722" s="4" t="s">
        <v>5087</v>
      </c>
      <c r="H722" s="4">
        <v>17</v>
      </c>
      <c r="I722" s="4" t="s">
        <v>36</v>
      </c>
      <c r="J722" s="5" t="s">
        <v>5088</v>
      </c>
      <c r="K722" s="5" t="s">
        <v>3608</v>
      </c>
      <c r="L722" s="4" t="s">
        <v>39</v>
      </c>
      <c r="M722" s="4" t="s">
        <v>29</v>
      </c>
      <c r="N722" s="4" t="s">
        <v>67</v>
      </c>
      <c r="O722" s="4" t="s">
        <v>29</v>
      </c>
      <c r="P722" s="6"/>
      <c r="Q722" s="6"/>
      <c r="R722" s="6"/>
      <c r="S722" s="6"/>
      <c r="T722" s="6"/>
      <c r="U722" s="6"/>
      <c r="V722" s="6"/>
      <c r="W722" s="6"/>
      <c r="X722" s="6"/>
      <c r="Y722" s="6"/>
    </row>
    <row r="723" ht="14.25">
      <c r="B723" s="4" t="s">
        <v>840</v>
      </c>
      <c r="C723" s="4" t="s">
        <v>5089</v>
      </c>
      <c r="D723" s="4" t="s">
        <v>120</v>
      </c>
      <c r="E723" s="4" t="s">
        <v>5090</v>
      </c>
      <c r="F723" s="4" t="str">
        <f>IFERROR(__XLUDF.DUMMYFUNCTION("PROPER(REGEXREPLACE(D708,""[^A-Za-z]+ "",""""))"),"Mondrian Cannes")</f>
        <v xml:space="preserve">Mondrian Cannes</v>
      </c>
      <c r="G723" s="4" t="s">
        <v>5091</v>
      </c>
      <c r="H723" s="4">
        <v>50</v>
      </c>
      <c r="I723" s="4" t="s">
        <v>36</v>
      </c>
      <c r="J723" s="5" t="s">
        <v>5092</v>
      </c>
      <c r="K723" s="5" t="s">
        <v>5093</v>
      </c>
      <c r="L723" s="6"/>
      <c r="M723" s="4" t="s">
        <v>29</v>
      </c>
      <c r="N723" s="4" t="s">
        <v>5094</v>
      </c>
      <c r="O723" s="4" t="s">
        <v>29</v>
      </c>
      <c r="P723" s="4" t="s">
        <v>5095</v>
      </c>
      <c r="Q723" s="6"/>
      <c r="R723" s="6"/>
      <c r="S723" s="6"/>
      <c r="T723" s="6"/>
      <c r="U723" s="6"/>
      <c r="V723" s="6"/>
      <c r="W723" s="6"/>
      <c r="X723" s="6"/>
      <c r="Y723" s="6"/>
    </row>
    <row r="724" ht="14.25">
      <c r="B724" s="4" t="s">
        <v>2652</v>
      </c>
      <c r="C724" s="4" t="s">
        <v>5096</v>
      </c>
      <c r="D724" s="4" t="s">
        <v>172</v>
      </c>
      <c r="E724" s="4" t="s">
        <v>5097</v>
      </c>
      <c r="F724" s="4" t="str">
        <f>IFERROR(__XLUDF.DUMMYFUNCTION("PROPER(REGEXREPLACE(D709,""[^A-Za-z]+ "",""""))"),"Brendy'S Cafe")</f>
        <v xml:space="preserve">Brendy'S Cafe</v>
      </c>
      <c r="G724" s="4" t="s">
        <v>5098</v>
      </c>
      <c r="H724" s="4">
        <v>13</v>
      </c>
      <c r="I724" s="4" t="s">
        <v>25</v>
      </c>
      <c r="J724" s="5" t="s">
        <v>5099</v>
      </c>
      <c r="K724" s="5" t="s">
        <v>5100</v>
      </c>
      <c r="L724" s="4" t="s">
        <v>5101</v>
      </c>
      <c r="M724" s="4" t="s">
        <v>29</v>
      </c>
      <c r="N724" s="4" t="s">
        <v>4603</v>
      </c>
      <c r="O724" s="4" t="s">
        <v>29</v>
      </c>
      <c r="P724" s="4" t="s">
        <v>5102</v>
      </c>
      <c r="Q724" s="6"/>
      <c r="R724" s="6"/>
      <c r="S724" s="6"/>
      <c r="T724" s="6"/>
      <c r="U724" s="6"/>
      <c r="V724" s="6"/>
      <c r="W724" s="6"/>
      <c r="X724" s="6"/>
      <c r="Y724" s="6"/>
    </row>
    <row r="725" ht="14.25">
      <c r="B725" s="4" t="s">
        <v>5103</v>
      </c>
      <c r="C725" s="4" t="s">
        <v>5104</v>
      </c>
      <c r="D725" s="4" t="s">
        <v>164</v>
      </c>
      <c r="E725" s="4" t="s">
        <v>5105</v>
      </c>
      <c r="F725" s="4" t="str">
        <f>IFERROR(__XLUDF.DUMMYFUNCTION("PROPER(REGEXREPLACE(D710,""[^A-Za-z]+ "",""""))"),"Saturdayz")</f>
        <v>Saturdayz</v>
      </c>
      <c r="G725" s="4" t="s">
        <v>5106</v>
      </c>
      <c r="H725" s="4">
        <v>17</v>
      </c>
      <c r="I725" s="4" t="s">
        <v>25</v>
      </c>
      <c r="J725" s="5" t="s">
        <v>5107</v>
      </c>
      <c r="K725" s="5" t="s">
        <v>5108</v>
      </c>
      <c r="L725" s="4" t="s">
        <v>243</v>
      </c>
      <c r="M725" s="4" t="s">
        <v>29</v>
      </c>
      <c r="N725" s="4" t="s">
        <v>5109</v>
      </c>
      <c r="O725" s="4" t="s">
        <v>29</v>
      </c>
      <c r="P725" s="4" t="s">
        <v>5110</v>
      </c>
      <c r="Q725" s="6"/>
      <c r="R725" s="6"/>
      <c r="S725" s="6"/>
      <c r="T725" s="6"/>
      <c r="U725" s="6"/>
      <c r="V725" s="6"/>
      <c r="W725" s="6"/>
      <c r="X725" s="6"/>
      <c r="Y725" s="6"/>
    </row>
    <row r="726" ht="14.25">
      <c r="B726" s="4" t="s">
        <v>5111</v>
      </c>
      <c r="C726" s="4" t="s">
        <v>5112</v>
      </c>
      <c r="D726" s="4" t="s">
        <v>172</v>
      </c>
      <c r="E726" s="4" t="s">
        <v>5113</v>
      </c>
      <c r="F726" s="4" t="str">
        <f>IFERROR(__XLUDF.DUMMYFUNCTION("PROPER(REGEXREPLACE(D711,""[^A-Za-z]+ "",""""))"),"Cie Les Maquereaux")</f>
        <v xml:space="preserve">Cie Les Maquereaux</v>
      </c>
      <c r="G726" s="4" t="s">
        <v>5114</v>
      </c>
      <c r="H726" s="4">
        <v>7</v>
      </c>
      <c r="I726" s="4" t="s">
        <v>25</v>
      </c>
      <c r="J726" s="5" t="s">
        <v>5115</v>
      </c>
      <c r="K726" s="5" t="s">
        <v>5116</v>
      </c>
      <c r="L726" s="4" t="s">
        <v>243</v>
      </c>
      <c r="M726" s="4" t="s">
        <v>29</v>
      </c>
      <c r="N726" s="4" t="s">
        <v>5117</v>
      </c>
      <c r="O726" s="4" t="s">
        <v>29</v>
      </c>
      <c r="P726" s="4" t="s">
        <v>5118</v>
      </c>
      <c r="Q726" s="6"/>
      <c r="R726" s="6"/>
      <c r="S726" s="6"/>
      <c r="T726" s="6"/>
      <c r="U726" s="6"/>
      <c r="V726" s="6"/>
      <c r="W726" s="6"/>
      <c r="X726" s="6"/>
      <c r="Y726" s="6"/>
    </row>
    <row r="727" ht="14.25">
      <c r="B727" s="4" t="s">
        <v>1499</v>
      </c>
      <c r="C727" s="4" t="s">
        <v>5119</v>
      </c>
      <c r="D727" s="4" t="s">
        <v>198</v>
      </c>
      <c r="E727" s="4" t="s">
        <v>3298</v>
      </c>
      <c r="F727" s="4" t="str">
        <f>IFERROR(__XLUDF.DUMMYFUNCTION("PROPER(REGEXREPLACE(D712,""[^A-Za-z]+ "",""""))"),"Bartapp")</f>
        <v>Bartapp</v>
      </c>
      <c r="G727" s="4" t="s">
        <v>5120</v>
      </c>
      <c r="H727" s="4">
        <v>150</v>
      </c>
      <c r="I727" s="4" t="s">
        <v>36</v>
      </c>
      <c r="J727" s="5" t="s">
        <v>5121</v>
      </c>
      <c r="K727" s="5" t="s">
        <v>3301</v>
      </c>
      <c r="L727" s="4" t="s">
        <v>1826</v>
      </c>
      <c r="M727" s="4" t="s">
        <v>29</v>
      </c>
      <c r="N727" s="4" t="s">
        <v>3302</v>
      </c>
      <c r="O727" s="4" t="s">
        <v>29</v>
      </c>
      <c r="P727" s="4" t="s">
        <v>3303</v>
      </c>
      <c r="Q727" s="6"/>
      <c r="R727" s="6"/>
      <c r="S727" s="6"/>
      <c r="T727" s="6"/>
      <c r="U727" s="6"/>
      <c r="V727" s="6"/>
      <c r="W727" s="6"/>
      <c r="X727" s="6"/>
      <c r="Y727" s="6"/>
    </row>
    <row r="728" ht="14.25">
      <c r="B728" s="4" t="s">
        <v>5122</v>
      </c>
      <c r="C728" s="4" t="s">
        <v>5123</v>
      </c>
      <c r="D728" s="4" t="s">
        <v>5124</v>
      </c>
      <c r="E728" s="4" t="s">
        <v>5125</v>
      </c>
      <c r="F728" s="4" t="str">
        <f>IFERROR(__XLUDF.DUMMYFUNCTION("PROPER(REGEXREPLACE(D713,""[^A-Za-z]+ "",""""))"),"Fugu Hospitality")</f>
        <v xml:space="preserve">Fugu Hospitality</v>
      </c>
      <c r="G728" s="4" t="s">
        <v>5126</v>
      </c>
      <c r="H728" s="4">
        <v>2</v>
      </c>
      <c r="I728" s="4" t="s">
        <v>36</v>
      </c>
      <c r="J728" s="5" t="s">
        <v>5127</v>
      </c>
      <c r="K728" s="5" t="s">
        <v>5128</v>
      </c>
      <c r="L728" s="6"/>
      <c r="M728" s="4" t="s">
        <v>29</v>
      </c>
      <c r="N728" s="4" t="s">
        <v>5129</v>
      </c>
      <c r="O728" s="4" t="s">
        <v>29</v>
      </c>
      <c r="P728" s="6"/>
      <c r="Q728" s="6"/>
      <c r="R728" s="6"/>
      <c r="S728" s="6"/>
      <c r="T728" s="6"/>
      <c r="U728" s="6"/>
      <c r="V728" s="6"/>
      <c r="W728" s="6"/>
      <c r="X728" s="6"/>
      <c r="Y728" s="6"/>
    </row>
    <row r="729" ht="14.25">
      <c r="B729" s="4" t="s">
        <v>1499</v>
      </c>
      <c r="C729" s="4" t="s">
        <v>5130</v>
      </c>
      <c r="D729" s="4" t="s">
        <v>164</v>
      </c>
      <c r="E729" s="4" t="s">
        <v>5131</v>
      </c>
      <c r="F729" s="4" t="str">
        <f>IFERROR(__XLUDF.DUMMYFUNCTION("PROPER(REGEXREPLACE(D714,""[^A-Za-z]+ "",""""))"),"Aidoresto")</f>
        <v>Aidoresto</v>
      </c>
      <c r="G729" s="4" t="s">
        <v>5132</v>
      </c>
      <c r="H729" s="4">
        <v>32</v>
      </c>
      <c r="I729" s="4" t="s">
        <v>25</v>
      </c>
      <c r="J729" s="5" t="s">
        <v>5133</v>
      </c>
      <c r="K729" s="5" t="s">
        <v>5134</v>
      </c>
      <c r="L729" s="4" t="s">
        <v>1665</v>
      </c>
      <c r="M729" s="4" t="s">
        <v>29</v>
      </c>
      <c r="N729" s="4" t="s">
        <v>5135</v>
      </c>
      <c r="O729" s="4" t="s">
        <v>29</v>
      </c>
      <c r="P729" s="4" t="s">
        <v>5136</v>
      </c>
      <c r="Q729" s="6"/>
      <c r="R729" s="6"/>
      <c r="S729" s="6"/>
      <c r="T729" s="6"/>
      <c r="U729" s="6"/>
      <c r="V729" s="6"/>
      <c r="W729" s="6"/>
      <c r="X729" s="6"/>
      <c r="Y729" s="6"/>
    </row>
    <row r="730" ht="14.25">
      <c r="B730" s="4" t="s">
        <v>5137</v>
      </c>
      <c r="C730" s="4" t="s">
        <v>5138</v>
      </c>
      <c r="D730" s="4" t="s">
        <v>172</v>
      </c>
      <c r="E730" s="4" t="s">
        <v>5139</v>
      </c>
      <c r="F730" s="4" t="str">
        <f>IFERROR(__XLUDF.DUMMYFUNCTION("PROPER(REGEXREPLACE(D715,""[^A-Za-z]+ "",""""))"),"Orli")</f>
        <v>Orli</v>
      </c>
      <c r="G730" s="4" t="s">
        <v>5140</v>
      </c>
      <c r="H730" s="4">
        <v>35</v>
      </c>
      <c r="I730" s="4" t="s">
        <v>25</v>
      </c>
      <c r="J730" s="5" t="s">
        <v>5141</v>
      </c>
      <c r="K730" s="5" t="s">
        <v>5142</v>
      </c>
      <c r="L730" s="4" t="s">
        <v>5143</v>
      </c>
      <c r="M730" s="4" t="s">
        <v>29</v>
      </c>
      <c r="N730" s="4" t="s">
        <v>5144</v>
      </c>
      <c r="O730" s="4" t="s">
        <v>29</v>
      </c>
      <c r="P730" s="4" t="s">
        <v>5145</v>
      </c>
      <c r="Q730" s="6"/>
      <c r="R730" s="6"/>
      <c r="S730" s="6"/>
      <c r="T730" s="6"/>
      <c r="U730" s="6"/>
      <c r="V730" s="6"/>
      <c r="W730" s="6"/>
      <c r="X730" s="6"/>
      <c r="Y730" s="6"/>
    </row>
    <row r="731" ht="14.25">
      <c r="B731" s="4" t="s">
        <v>330</v>
      </c>
      <c r="C731" s="4" t="s">
        <v>5146</v>
      </c>
      <c r="D731" s="4" t="s">
        <v>87</v>
      </c>
      <c r="E731" s="4" t="s">
        <v>5147</v>
      </c>
      <c r="F731" s="4" t="str">
        <f>IFERROR(__XLUDF.DUMMYFUNCTION("PROPER(REGEXREPLACE(D716,""[^A-Za-z]+ "",""""))"),"The Gate Collection")</f>
        <v xml:space="preserve">The Gate Collection</v>
      </c>
      <c r="G731" s="4" t="s">
        <v>5148</v>
      </c>
      <c r="H731" s="4">
        <v>9</v>
      </c>
      <c r="I731" s="4" t="s">
        <v>36</v>
      </c>
      <c r="J731" s="5" t="s">
        <v>5149</v>
      </c>
      <c r="K731" s="5" t="s">
        <v>5150</v>
      </c>
      <c r="L731" s="6"/>
      <c r="M731" s="4" t="s">
        <v>29</v>
      </c>
      <c r="N731" s="4" t="s">
        <v>416</v>
      </c>
      <c r="O731" s="4" t="s">
        <v>29</v>
      </c>
      <c r="P731" s="4" t="s">
        <v>5151</v>
      </c>
      <c r="Q731" s="6"/>
      <c r="R731" s="6"/>
      <c r="S731" s="6"/>
      <c r="T731" s="6"/>
      <c r="U731" s="6"/>
      <c r="V731" s="6"/>
      <c r="W731" s="6"/>
      <c r="X731" s="6"/>
      <c r="Y731" s="6"/>
    </row>
    <row r="732" ht="14.25">
      <c r="B732" s="4" t="s">
        <v>2303</v>
      </c>
      <c r="C732" s="4" t="s">
        <v>5152</v>
      </c>
      <c r="D732" s="4" t="s">
        <v>5153</v>
      </c>
      <c r="E732" s="4" t="s">
        <v>528</v>
      </c>
      <c r="F732" s="4" t="str">
        <f>IFERROR(__XLUDF.DUMMYFUNCTION("PROPER(REGEXREPLACE(D717,""[^A-Za-z]+ "",""""))"),"El Rancho")</f>
        <v xml:space="preserve">El Rancho</v>
      </c>
      <c r="G732" s="4" t="s">
        <v>5154</v>
      </c>
      <c r="H732" s="4">
        <v>12</v>
      </c>
      <c r="I732" s="4" t="s">
        <v>25</v>
      </c>
      <c r="J732" s="5" t="s">
        <v>5155</v>
      </c>
      <c r="K732" s="5" t="s">
        <v>5156</v>
      </c>
      <c r="L732" s="6"/>
      <c r="M732" s="4" t="s">
        <v>29</v>
      </c>
      <c r="N732" s="4" t="s">
        <v>67</v>
      </c>
      <c r="O732" s="4" t="s">
        <v>29</v>
      </c>
      <c r="P732" s="6"/>
      <c r="Q732" s="6"/>
      <c r="R732" s="6"/>
      <c r="S732" s="6"/>
      <c r="T732" s="6"/>
      <c r="U732" s="6"/>
      <c r="V732" s="6"/>
      <c r="W732" s="6"/>
      <c r="X732" s="6"/>
      <c r="Y732" s="6"/>
    </row>
    <row r="733" ht="14.25">
      <c r="B733" s="4" t="s">
        <v>1732</v>
      </c>
      <c r="C733" s="4" t="s">
        <v>5157</v>
      </c>
      <c r="D733" s="4" t="s">
        <v>5158</v>
      </c>
      <c r="E733" s="4" t="s">
        <v>5159</v>
      </c>
      <c r="F733" s="4" t="str">
        <f>IFERROR(__XLUDF.DUMMYFUNCTION("PROPER(REGEXREPLACE(D718,""[^A-Za-z]+ "",""""))"),"La Calèche")</f>
        <v xml:space="preserve">La Calèche</v>
      </c>
      <c r="G733" s="4" t="s">
        <v>5160</v>
      </c>
      <c r="H733" s="4">
        <v>4</v>
      </c>
      <c r="I733" s="4" t="s">
        <v>36</v>
      </c>
      <c r="J733" s="5" t="s">
        <v>5161</v>
      </c>
      <c r="K733" s="5" t="s">
        <v>5162</v>
      </c>
      <c r="L733" s="6"/>
      <c r="M733" s="4" t="s">
        <v>29</v>
      </c>
      <c r="N733" s="4" t="s">
        <v>5163</v>
      </c>
      <c r="O733" s="4" t="s">
        <v>29</v>
      </c>
      <c r="P733" s="6"/>
      <c r="Q733" s="6"/>
      <c r="R733" s="6"/>
      <c r="S733" s="6"/>
      <c r="T733" s="6"/>
      <c r="U733" s="6"/>
      <c r="V733" s="6"/>
      <c r="W733" s="6"/>
      <c r="X733" s="6"/>
      <c r="Y733" s="6"/>
    </row>
    <row r="734" ht="14.25">
      <c r="B734" s="4" t="s">
        <v>653</v>
      </c>
      <c r="C734" s="4" t="s">
        <v>355</v>
      </c>
      <c r="D734" s="4" t="s">
        <v>5164</v>
      </c>
      <c r="E734" s="4" t="s">
        <v>5165</v>
      </c>
      <c r="F734" s="4" t="str">
        <f>IFERROR(__XLUDF.DUMMYFUNCTION("PROPER(REGEXREPLACE(D719,""[^A-Za-z]+ "",""""))"),"Domaine De Rochebois")</f>
        <v xml:space="preserve">Domaine De Rochebois</v>
      </c>
      <c r="G734" s="4" t="s">
        <v>5166</v>
      </c>
      <c r="H734" s="4">
        <v>21</v>
      </c>
      <c r="I734" s="4" t="s">
        <v>25</v>
      </c>
      <c r="J734" s="5" t="s">
        <v>5167</v>
      </c>
      <c r="K734" s="5" t="s">
        <v>5168</v>
      </c>
      <c r="L734" s="4" t="s">
        <v>1460</v>
      </c>
      <c r="M734" s="4" t="s">
        <v>29</v>
      </c>
      <c r="N734" s="4" t="s">
        <v>1283</v>
      </c>
      <c r="O734" s="4" t="s">
        <v>29</v>
      </c>
      <c r="P734" s="4" t="s">
        <v>5169</v>
      </c>
      <c r="Q734" s="6"/>
      <c r="R734" s="6"/>
      <c r="S734" s="6"/>
      <c r="T734" s="6"/>
      <c r="U734" s="6"/>
      <c r="V734" s="6"/>
      <c r="W734" s="6"/>
      <c r="X734" s="6"/>
      <c r="Y734" s="6"/>
    </row>
    <row r="735" ht="14.25">
      <c r="B735" s="4" t="s">
        <v>963</v>
      </c>
      <c r="C735" s="4" t="s">
        <v>5170</v>
      </c>
      <c r="D735" s="4" t="s">
        <v>5171</v>
      </c>
      <c r="E735" s="4" t="s">
        <v>5172</v>
      </c>
      <c r="F735" s="4" t="str">
        <f>IFERROR(__XLUDF.DUMMYFUNCTION("PROPER(REGEXREPLACE(D720,""[^A-Za-z]+ "",""""))"),"Terres De France")</f>
        <v xml:space="preserve">Terres De France</v>
      </c>
      <c r="G735" s="4" t="s">
        <v>5173</v>
      </c>
      <c r="H735" s="4">
        <v>20</v>
      </c>
      <c r="I735" s="4" t="s">
        <v>36</v>
      </c>
      <c r="J735" s="5" t="s">
        <v>5174</v>
      </c>
      <c r="K735" s="5" t="s">
        <v>5175</v>
      </c>
      <c r="L735" s="6"/>
      <c r="M735" s="4" t="s">
        <v>29</v>
      </c>
      <c r="N735" s="4" t="s">
        <v>5176</v>
      </c>
      <c r="O735" s="4" t="s">
        <v>2666</v>
      </c>
      <c r="P735" s="4" t="s">
        <v>5177</v>
      </c>
      <c r="Q735" s="6"/>
      <c r="R735" s="6"/>
      <c r="S735" s="6"/>
      <c r="T735" s="6"/>
      <c r="U735" s="6"/>
      <c r="V735" s="6"/>
      <c r="W735" s="6"/>
      <c r="X735" s="6"/>
      <c r="Y735" s="6"/>
    </row>
    <row r="736" ht="14.25">
      <c r="B736" s="4" t="s">
        <v>1596</v>
      </c>
      <c r="C736" s="4" t="s">
        <v>5178</v>
      </c>
      <c r="D736" s="4" t="s">
        <v>44</v>
      </c>
      <c r="E736" s="4" t="s">
        <v>5179</v>
      </c>
      <c r="F736" s="4" t="str">
        <f>IFERROR(__XLUDF.DUMMYFUNCTION("PROPER(REGEXREPLACE(D721,""[^A-Za-z]+ "",""""))"),"Le Mazette")</f>
        <v xml:space="preserve">Le Mazette</v>
      </c>
      <c r="G736" s="4" t="s">
        <v>5180</v>
      </c>
      <c r="H736" s="4">
        <v>6</v>
      </c>
      <c r="I736" s="4" t="s">
        <v>36</v>
      </c>
      <c r="J736" s="5" t="s">
        <v>5181</v>
      </c>
      <c r="K736" s="5" t="s">
        <v>5182</v>
      </c>
      <c r="L736" s="4" t="s">
        <v>39</v>
      </c>
      <c r="M736" s="4" t="s">
        <v>29</v>
      </c>
      <c r="N736" s="4" t="s">
        <v>67</v>
      </c>
      <c r="O736" s="4" t="s">
        <v>29</v>
      </c>
      <c r="P736" s="4" t="s">
        <v>5183</v>
      </c>
      <c r="Q736" s="6"/>
      <c r="R736" s="6"/>
      <c r="S736" s="6"/>
      <c r="T736" s="6"/>
      <c r="U736" s="6"/>
      <c r="V736" s="6"/>
      <c r="W736" s="6"/>
      <c r="X736" s="6"/>
      <c r="Y736" s="6"/>
    </row>
    <row r="737" ht="14.25">
      <c r="B737" s="4" t="s">
        <v>5184</v>
      </c>
      <c r="C737" s="4" t="s">
        <v>5185</v>
      </c>
      <c r="D737" s="4" t="s">
        <v>5186</v>
      </c>
      <c r="E737" s="4" t="s">
        <v>5187</v>
      </c>
      <c r="F737" s="4" t="str">
        <f>IFERROR(__XLUDF.DUMMYFUNCTION("PROPER(REGEXREPLACE(D722,""[^A-Za-z]+ "",""""))"),"Bonne Table")</f>
        <v xml:space="preserve">Bonne Table</v>
      </c>
      <c r="G737" s="4" t="s">
        <v>5188</v>
      </c>
      <c r="H737" s="4">
        <v>4</v>
      </c>
      <c r="I737" s="4" t="s">
        <v>36</v>
      </c>
      <c r="J737" s="5" t="s">
        <v>5189</v>
      </c>
      <c r="K737" s="5" t="s">
        <v>5190</v>
      </c>
      <c r="L737" s="4" t="s">
        <v>39</v>
      </c>
      <c r="M737" s="4" t="s">
        <v>29</v>
      </c>
      <c r="N737" s="4" t="s">
        <v>5191</v>
      </c>
      <c r="O737" s="4" t="s">
        <v>29</v>
      </c>
      <c r="P737" s="4" t="s">
        <v>5192</v>
      </c>
      <c r="Q737" s="6"/>
      <c r="R737" s="6"/>
      <c r="S737" s="6"/>
      <c r="T737" s="6"/>
      <c r="U737" s="6"/>
      <c r="V737" s="6"/>
      <c r="W737" s="6"/>
      <c r="X737" s="6"/>
      <c r="Y737" s="6"/>
    </row>
    <row r="738" ht="14.25">
      <c r="B738" s="4" t="s">
        <v>3271</v>
      </c>
      <c r="C738" s="4" t="s">
        <v>5193</v>
      </c>
      <c r="D738" s="4" t="s">
        <v>5194</v>
      </c>
      <c r="E738" s="4" t="s">
        <v>3886</v>
      </c>
      <c r="F738" s="4" t="str">
        <f>IFERROR(__XLUDF.DUMMYFUNCTION("PROPER(REGEXREPLACE(D723,""[^A-Za-z]+ "",""""))"),"Cafdose Paris")</f>
        <v xml:space="preserve">Cafdose Paris</v>
      </c>
      <c r="G738" s="4" t="s">
        <v>5195</v>
      </c>
      <c r="H738" s="4">
        <v>24</v>
      </c>
      <c r="I738" s="4" t="s">
        <v>36</v>
      </c>
      <c r="J738" s="5" t="s">
        <v>5196</v>
      </c>
      <c r="K738" s="5" t="s">
        <v>3889</v>
      </c>
      <c r="L738" s="4" t="s">
        <v>774</v>
      </c>
      <c r="M738" s="4" t="s">
        <v>29</v>
      </c>
      <c r="N738" s="4" t="s">
        <v>3890</v>
      </c>
      <c r="O738" s="4" t="s">
        <v>29</v>
      </c>
      <c r="P738" s="4" t="s">
        <v>3891</v>
      </c>
      <c r="Q738" s="6"/>
      <c r="R738" s="6"/>
      <c r="S738" s="6"/>
      <c r="T738" s="6"/>
      <c r="U738" s="6"/>
      <c r="V738" s="6"/>
      <c r="W738" s="6"/>
      <c r="X738" s="6"/>
      <c r="Y738" s="6"/>
    </row>
    <row r="739" ht="14.25">
      <c r="B739" s="4" t="s">
        <v>485</v>
      </c>
      <c r="C739" s="4" t="s">
        <v>5197</v>
      </c>
      <c r="D739" s="4" t="s">
        <v>3969</v>
      </c>
      <c r="E739" s="4" t="s">
        <v>5198</v>
      </c>
      <c r="F739" s="4" t="str">
        <f>IFERROR(__XLUDF.DUMMYFUNCTION("PROPER(REGEXREPLACE(D724,""[^A-Za-z]+ "",""""))"),"La Cachette Friendly Hotel")</f>
        <v xml:space="preserve">La Cachette Friendly Hotel</v>
      </c>
      <c r="G739" s="4" t="s">
        <v>5199</v>
      </c>
      <c r="H739" s="4">
        <v>26</v>
      </c>
      <c r="I739" s="4" t="s">
        <v>36</v>
      </c>
      <c r="J739" s="5" t="s">
        <v>5200</v>
      </c>
      <c r="K739" s="5" t="s">
        <v>5201</v>
      </c>
      <c r="L739" s="4" t="s">
        <v>295</v>
      </c>
      <c r="M739" s="4" t="s">
        <v>29</v>
      </c>
      <c r="N739" s="4" t="s">
        <v>29</v>
      </c>
      <c r="O739" s="4" t="s">
        <v>29</v>
      </c>
      <c r="P739" s="4" t="s">
        <v>5202</v>
      </c>
      <c r="Q739" s="6"/>
      <c r="R739" s="6"/>
      <c r="S739" s="6"/>
      <c r="T739" s="6"/>
      <c r="U739" s="6"/>
      <c r="V739" s="6"/>
      <c r="W739" s="6"/>
      <c r="X739" s="6"/>
      <c r="Y739" s="6"/>
    </row>
    <row r="740" ht="14.25">
      <c r="B740" s="4" t="s">
        <v>215</v>
      </c>
      <c r="C740" s="4" t="s">
        <v>5203</v>
      </c>
      <c r="D740" s="4" t="s">
        <v>1130</v>
      </c>
      <c r="E740" s="4" t="s">
        <v>5204</v>
      </c>
      <c r="F740" s="4" t="str">
        <f>IFERROR(__XLUDF.DUMMYFUNCTION("PROPER(REGEXREPLACE(D725,""[^A-Za-z]+ "",""""))"),"Boutique Hotel Bordeaux")</f>
        <v xml:space="preserve">Boutique Hotel Bordeaux</v>
      </c>
      <c r="G740" s="4" t="s">
        <v>5205</v>
      </c>
      <c r="H740" s="4">
        <v>19</v>
      </c>
      <c r="I740" s="4" t="s">
        <v>36</v>
      </c>
      <c r="J740" s="5" t="s">
        <v>5206</v>
      </c>
      <c r="K740" s="5" t="s">
        <v>5207</v>
      </c>
      <c r="L740" s="4" t="s">
        <v>185</v>
      </c>
      <c r="M740" s="4" t="s">
        <v>29</v>
      </c>
      <c r="N740" s="4" t="s">
        <v>5208</v>
      </c>
      <c r="O740" s="4" t="s">
        <v>29</v>
      </c>
      <c r="P740" s="4" t="s">
        <v>5209</v>
      </c>
      <c r="Q740" s="6"/>
      <c r="R740" s="6"/>
      <c r="S740" s="6"/>
      <c r="T740" s="6"/>
      <c r="U740" s="6"/>
      <c r="V740" s="6"/>
      <c r="W740" s="6"/>
      <c r="X740" s="6"/>
      <c r="Y740" s="6"/>
    </row>
    <row r="741" ht="14.25">
      <c r="B741" s="4" t="s">
        <v>4132</v>
      </c>
      <c r="C741" s="4" t="s">
        <v>5210</v>
      </c>
      <c r="D741" s="4" t="s">
        <v>62</v>
      </c>
      <c r="E741" s="4" t="s">
        <v>925</v>
      </c>
      <c r="F741" s="4" t="str">
        <f>IFERROR(__XLUDF.DUMMYFUNCTION("PROPER(REGEXREPLACE(D726,""[^A-Za-z]+ "",""""))"),"Hôtels Best Western Premier")</f>
        <v xml:space="preserve">Hôtels Best Western Premier</v>
      </c>
      <c r="G741" s="4" t="s">
        <v>5211</v>
      </c>
      <c r="H741" s="4">
        <v>2</v>
      </c>
      <c r="I741" s="4" t="s">
        <v>25</v>
      </c>
      <c r="J741" s="5" t="s">
        <v>5212</v>
      </c>
      <c r="K741" s="5" t="s">
        <v>928</v>
      </c>
      <c r="L741" s="6"/>
      <c r="M741" s="4" t="s">
        <v>29</v>
      </c>
      <c r="N741" s="4" t="s">
        <v>929</v>
      </c>
      <c r="O741" s="4" t="s">
        <v>29</v>
      </c>
      <c r="P741" s="4" t="s">
        <v>930</v>
      </c>
      <c r="Q741" s="6"/>
      <c r="R741" s="6"/>
      <c r="S741" s="6"/>
      <c r="T741" s="6"/>
      <c r="U741" s="6"/>
      <c r="V741" s="6"/>
      <c r="W741" s="6"/>
      <c r="X741" s="6"/>
      <c r="Y741" s="6"/>
    </row>
    <row r="742" ht="14.25">
      <c r="B742" s="4" t="s">
        <v>769</v>
      </c>
      <c r="C742" s="4" t="s">
        <v>5213</v>
      </c>
      <c r="D742" s="4" t="s">
        <v>5214</v>
      </c>
      <c r="E742" s="4" t="s">
        <v>5215</v>
      </c>
      <c r="F742" s="4" t="str">
        <f>IFERROR(__XLUDF.DUMMYFUNCTION("PROPER(REGEXREPLACE(D727,""[^A-Za-z]+ "",""""))"),"Bds")</f>
        <v>Bds</v>
      </c>
      <c r="G742" s="4" t="s">
        <v>5216</v>
      </c>
      <c r="H742" s="4">
        <v>21</v>
      </c>
      <c r="I742" s="4" t="s">
        <v>25</v>
      </c>
      <c r="J742" s="5" t="s">
        <v>5217</v>
      </c>
      <c r="K742" s="5" t="s">
        <v>5218</v>
      </c>
      <c r="L742" s="4" t="s">
        <v>2186</v>
      </c>
      <c r="M742" s="4" t="s">
        <v>29</v>
      </c>
      <c r="N742" s="4" t="s">
        <v>5219</v>
      </c>
      <c r="O742" s="4" t="s">
        <v>29</v>
      </c>
      <c r="P742" s="6"/>
      <c r="Q742" s="6"/>
      <c r="R742" s="6"/>
      <c r="S742" s="6"/>
      <c r="T742" s="6"/>
      <c r="U742" s="6"/>
      <c r="V742" s="6"/>
      <c r="W742" s="6"/>
      <c r="X742" s="6"/>
      <c r="Y742" s="6"/>
    </row>
    <row r="743" ht="14.25">
      <c r="B743" s="4" t="s">
        <v>4659</v>
      </c>
      <c r="C743" s="4" t="s">
        <v>5220</v>
      </c>
      <c r="D743" s="4" t="s">
        <v>62</v>
      </c>
      <c r="E743" s="4" t="s">
        <v>3784</v>
      </c>
      <c r="F743" s="4" t="str">
        <f>IFERROR(__XLUDF.DUMMYFUNCTION("PROPER(REGEXREPLACE(D728,""[^A-Za-z]+ "",""""))"),"What The Foc ?!")</f>
        <v xml:space="preserve">What The Foc ?!</v>
      </c>
      <c r="G743" s="4" t="s">
        <v>5221</v>
      </c>
      <c r="H743" s="4">
        <v>10</v>
      </c>
      <c r="I743" s="4" t="s">
        <v>36</v>
      </c>
      <c r="J743" s="5" t="s">
        <v>5222</v>
      </c>
      <c r="K743" s="5" t="s">
        <v>3787</v>
      </c>
      <c r="L743" s="4" t="s">
        <v>39</v>
      </c>
      <c r="M743" s="4" t="s">
        <v>29</v>
      </c>
      <c r="N743" s="4" t="s">
        <v>3788</v>
      </c>
      <c r="O743" s="4" t="s">
        <v>29</v>
      </c>
      <c r="P743" s="6"/>
      <c r="Q743" s="6"/>
      <c r="R743" s="6"/>
      <c r="S743" s="6"/>
      <c r="T743" s="6"/>
      <c r="U743" s="6"/>
      <c r="V743" s="6"/>
      <c r="W743" s="6"/>
      <c r="X743" s="6"/>
      <c r="Y743" s="6"/>
    </row>
    <row r="744" ht="14.25">
      <c r="B744" s="4" t="s">
        <v>1001</v>
      </c>
      <c r="C744" s="4" t="s">
        <v>5223</v>
      </c>
      <c r="D744" s="4" t="s">
        <v>2266</v>
      </c>
      <c r="E744" s="4" t="s">
        <v>5224</v>
      </c>
      <c r="F744" s="4" t="str">
        <f>IFERROR(__XLUDF.DUMMYFUNCTION("PROPER(REGEXREPLACE(D729,""[^A-Za-z]+ "",""""))"),"Hôtel Don César")</f>
        <v xml:space="preserve">Hôtel Don César</v>
      </c>
      <c r="G744" s="4" t="s">
        <v>5225</v>
      </c>
      <c r="H744" s="4">
        <v>2</v>
      </c>
      <c r="I744" s="4" t="s">
        <v>25</v>
      </c>
      <c r="J744" s="5" t="s">
        <v>5226</v>
      </c>
      <c r="K744" s="5" t="s">
        <v>5227</v>
      </c>
      <c r="L744" s="4" t="s">
        <v>185</v>
      </c>
      <c r="M744" s="4" t="s">
        <v>29</v>
      </c>
      <c r="N744" s="4" t="s">
        <v>1197</v>
      </c>
      <c r="O744" s="4" t="s">
        <v>29</v>
      </c>
      <c r="P744" s="4" t="s">
        <v>5228</v>
      </c>
      <c r="Q744" s="6"/>
      <c r="R744" s="6"/>
      <c r="S744" s="6"/>
      <c r="T744" s="6"/>
      <c r="U744" s="6"/>
      <c r="V744" s="6"/>
      <c r="W744" s="6"/>
      <c r="X744" s="6"/>
      <c r="Y744" s="6"/>
    </row>
    <row r="745" ht="14.25">
      <c r="B745" s="4" t="s">
        <v>1619</v>
      </c>
      <c r="C745" s="4" t="s">
        <v>5229</v>
      </c>
      <c r="D745" s="4" t="s">
        <v>87</v>
      </c>
      <c r="E745" s="4" t="s">
        <v>5230</v>
      </c>
      <c r="F745" s="4" t="str">
        <f>IFERROR(__XLUDF.DUMMYFUNCTION("PROPER(REGEXREPLACE(D730,""[^A-Za-z]+ "",""""))"),"Hotel Casadelmar Porto-Vecchio")</f>
        <v xml:space="preserve">Hotel Casadelmar Porto-Vecchio</v>
      </c>
      <c r="G745" s="4" t="s">
        <v>5231</v>
      </c>
      <c r="H745" s="4">
        <v>14</v>
      </c>
      <c r="I745" s="4" t="s">
        <v>36</v>
      </c>
      <c r="J745" s="5" t="s">
        <v>5232</v>
      </c>
      <c r="K745" s="5" t="s">
        <v>5233</v>
      </c>
      <c r="L745" s="4" t="s">
        <v>39</v>
      </c>
      <c r="M745" s="4" t="s">
        <v>29</v>
      </c>
      <c r="N745" s="4" t="s">
        <v>5234</v>
      </c>
      <c r="O745" s="4" t="s">
        <v>29</v>
      </c>
      <c r="P745" s="4" t="s">
        <v>5235</v>
      </c>
      <c r="Q745" s="6"/>
      <c r="R745" s="6"/>
      <c r="S745" s="6"/>
      <c r="T745" s="6"/>
      <c r="U745" s="6"/>
      <c r="V745" s="6"/>
      <c r="W745" s="6"/>
      <c r="X745" s="6"/>
      <c r="Y745" s="6"/>
    </row>
    <row r="746" ht="14.25">
      <c r="B746" s="4" t="s">
        <v>5236</v>
      </c>
      <c r="C746" s="4" t="s">
        <v>5237</v>
      </c>
      <c r="D746" s="4" t="s">
        <v>87</v>
      </c>
      <c r="E746" s="4" t="s">
        <v>5238</v>
      </c>
      <c r="F746" s="4" t="str">
        <f>IFERROR(__XLUDF.DUMMYFUNCTION("PROPER(REGEXREPLACE(D731,""[^A-Za-z]+ "",""""))"),"Com-Advisor")</f>
        <v>Com-Advisor</v>
      </c>
      <c r="G746" s="4" t="s">
        <v>5239</v>
      </c>
      <c r="H746" s="4">
        <v>25</v>
      </c>
      <c r="I746" s="4" t="s">
        <v>36</v>
      </c>
      <c r="J746" s="5" t="s">
        <v>5240</v>
      </c>
      <c r="K746" s="5" t="s">
        <v>5241</v>
      </c>
      <c r="L746" s="4" t="s">
        <v>39</v>
      </c>
      <c r="M746" s="4" t="s">
        <v>29</v>
      </c>
      <c r="N746" s="4" t="s">
        <v>5242</v>
      </c>
      <c r="O746" s="4" t="s">
        <v>29</v>
      </c>
      <c r="P746" s="4" t="s">
        <v>5243</v>
      </c>
      <c r="Q746" s="6"/>
      <c r="R746" s="6"/>
      <c r="S746" s="6"/>
      <c r="T746" s="6"/>
      <c r="U746" s="6"/>
      <c r="V746" s="6"/>
      <c r="W746" s="6"/>
      <c r="X746" s="6"/>
      <c r="Y746" s="6"/>
    </row>
    <row r="747" ht="14.25">
      <c r="B747" s="4" t="s">
        <v>4811</v>
      </c>
      <c r="C747" s="4" t="s">
        <v>5244</v>
      </c>
      <c r="D747" s="4" t="s">
        <v>5245</v>
      </c>
      <c r="E747" s="4" t="s">
        <v>5246</v>
      </c>
      <c r="F747" s="4" t="str">
        <f>IFERROR(__XLUDF.DUMMYFUNCTION("PROPER(REGEXREPLACE(D732,""[^A-Za-z]+ "",""""))"),"Groupe Centaurus")</f>
        <v xml:space="preserve">Groupe Centaurus</v>
      </c>
      <c r="G747" s="4" t="s">
        <v>5247</v>
      </c>
      <c r="H747" s="4">
        <v>93</v>
      </c>
      <c r="I747" s="4" t="s">
        <v>36</v>
      </c>
      <c r="J747" s="5" t="s">
        <v>5248</v>
      </c>
      <c r="K747" s="5" t="s">
        <v>5249</v>
      </c>
      <c r="L747" s="4" t="s">
        <v>39</v>
      </c>
      <c r="M747" s="4" t="s">
        <v>29</v>
      </c>
      <c r="N747" s="4" t="s">
        <v>5250</v>
      </c>
      <c r="O747" s="4" t="s">
        <v>29</v>
      </c>
      <c r="P747" s="4" t="s">
        <v>5251</v>
      </c>
      <c r="Q747" s="6"/>
      <c r="R747" s="6"/>
      <c r="S747" s="6"/>
      <c r="T747" s="6"/>
      <c r="U747" s="6"/>
      <c r="V747" s="6"/>
      <c r="W747" s="6"/>
      <c r="X747" s="6"/>
      <c r="Y747" s="6"/>
    </row>
    <row r="748" ht="14.25">
      <c r="B748" s="4" t="s">
        <v>5252</v>
      </c>
      <c r="C748" s="4" t="s">
        <v>5253</v>
      </c>
      <c r="D748" s="4" t="s">
        <v>120</v>
      </c>
      <c r="E748" s="4" t="s">
        <v>5254</v>
      </c>
      <c r="F748" s="4" t="str">
        <f>IFERROR(__XLUDF.DUMMYFUNCTION("PROPER(REGEXREPLACE(D733,""[^A-Za-z]+ "",""""))"),"Ben'S Delights")</f>
        <v xml:space="preserve">Ben'S Delights</v>
      </c>
      <c r="G748" s="4" t="s">
        <v>5255</v>
      </c>
      <c r="H748" s="4">
        <v>27</v>
      </c>
      <c r="I748" s="4" t="s">
        <v>36</v>
      </c>
      <c r="J748" s="5" t="s">
        <v>5256</v>
      </c>
      <c r="K748" s="5" t="s">
        <v>5257</v>
      </c>
      <c r="L748" s="4" t="s">
        <v>83</v>
      </c>
      <c r="M748" s="4" t="s">
        <v>29</v>
      </c>
      <c r="N748" s="4" t="s">
        <v>346</v>
      </c>
      <c r="O748" s="4" t="s">
        <v>29</v>
      </c>
      <c r="P748" s="4" t="s">
        <v>5258</v>
      </c>
      <c r="Q748" s="6"/>
      <c r="R748" s="6"/>
      <c r="S748" s="6"/>
      <c r="T748" s="6"/>
      <c r="U748" s="6"/>
      <c r="V748" s="6"/>
      <c r="W748" s="6"/>
      <c r="X748" s="6"/>
      <c r="Y748" s="6"/>
    </row>
    <row r="749" ht="14.25">
      <c r="B749" s="4" t="s">
        <v>20</v>
      </c>
      <c r="C749" s="4" t="s">
        <v>5259</v>
      </c>
      <c r="D749" s="4" t="s">
        <v>120</v>
      </c>
      <c r="E749" s="4" t="s">
        <v>3806</v>
      </c>
      <c r="F749" s="4" t="str">
        <f>IFERROR(__XLUDF.DUMMYFUNCTION("PROPER(REGEXREPLACE(D734,""[^A-Za-z]+ "",""""))"),"Hospitali-T")</f>
        <v>Hospitali-T</v>
      </c>
      <c r="G749" s="4" t="s">
        <v>5260</v>
      </c>
      <c r="H749" s="4">
        <v>11</v>
      </c>
      <c r="I749" s="4" t="s">
        <v>36</v>
      </c>
      <c r="J749" s="5" t="s">
        <v>5261</v>
      </c>
      <c r="K749" s="5" t="s">
        <v>3809</v>
      </c>
      <c r="L749" s="4" t="s">
        <v>39</v>
      </c>
      <c r="M749" s="4" t="s">
        <v>29</v>
      </c>
      <c r="N749" s="4" t="s">
        <v>3810</v>
      </c>
      <c r="O749" s="4" t="s">
        <v>29</v>
      </c>
      <c r="P749" s="4" t="s">
        <v>3811</v>
      </c>
      <c r="Q749" s="6"/>
      <c r="R749" s="6"/>
      <c r="S749" s="6"/>
      <c r="T749" s="6"/>
      <c r="U749" s="6"/>
      <c r="V749" s="6"/>
      <c r="W749" s="6"/>
      <c r="X749" s="6"/>
      <c r="Y749" s="6"/>
    </row>
    <row r="750" ht="14.25">
      <c r="B750" s="4" t="s">
        <v>2303</v>
      </c>
      <c r="C750" s="4" t="s">
        <v>5262</v>
      </c>
      <c r="D750" s="4" t="s">
        <v>112</v>
      </c>
      <c r="E750" s="4" t="s">
        <v>1209</v>
      </c>
      <c r="F750" s="4" t="str">
        <f>IFERROR(__XLUDF.DUMMYFUNCTION("PROPER(REGEXREPLACE(D735,""[^A-Za-z]+ "",""""))"),"Groupe Satori")</f>
        <v xml:space="preserve">Groupe Satori</v>
      </c>
      <c r="G750" s="4" t="s">
        <v>5263</v>
      </c>
      <c r="H750" s="4">
        <v>48</v>
      </c>
      <c r="I750" s="4" t="s">
        <v>36</v>
      </c>
      <c r="J750" s="5" t="s">
        <v>5264</v>
      </c>
      <c r="K750" s="5" t="s">
        <v>1212</v>
      </c>
      <c r="L750" s="4" t="s">
        <v>49</v>
      </c>
      <c r="M750" s="4" t="s">
        <v>29</v>
      </c>
      <c r="N750" s="4" t="s">
        <v>1213</v>
      </c>
      <c r="O750" s="4" t="s">
        <v>29</v>
      </c>
      <c r="P750" s="4" t="s">
        <v>1214</v>
      </c>
      <c r="Q750" s="6"/>
      <c r="R750" s="6"/>
      <c r="S750" s="6"/>
      <c r="T750" s="6"/>
      <c r="U750" s="6"/>
      <c r="V750" s="6"/>
      <c r="W750" s="6"/>
      <c r="X750" s="6"/>
      <c r="Y750" s="6"/>
    </row>
    <row r="751" ht="14.25">
      <c r="B751" s="4" t="s">
        <v>1815</v>
      </c>
      <c r="C751" s="4" t="s">
        <v>5265</v>
      </c>
      <c r="D751" s="4" t="s">
        <v>5266</v>
      </c>
      <c r="E751" s="4" t="s">
        <v>5267</v>
      </c>
      <c r="F751" s="4" t="str">
        <f>IFERROR(__XLUDF.DUMMYFUNCTION("PROPER(REGEXREPLACE(D736,""[^A-Za-z]+ "",""""))"),"Mala Boom")</f>
        <v xml:space="preserve">Mala Boom</v>
      </c>
      <c r="G751" s="4" t="s">
        <v>5268</v>
      </c>
      <c r="H751" s="4">
        <v>15</v>
      </c>
      <c r="I751" s="4" t="s">
        <v>36</v>
      </c>
      <c r="J751" s="5" t="s">
        <v>5269</v>
      </c>
      <c r="K751" s="5" t="s">
        <v>5270</v>
      </c>
      <c r="L751" s="4" t="s">
        <v>1711</v>
      </c>
      <c r="M751" s="4" t="s">
        <v>29</v>
      </c>
      <c r="N751" s="4" t="s">
        <v>67</v>
      </c>
      <c r="O751" s="4" t="s">
        <v>29</v>
      </c>
      <c r="P751" s="6"/>
      <c r="Q751" s="6"/>
      <c r="R751" s="6"/>
      <c r="S751" s="6"/>
      <c r="T751" s="6"/>
      <c r="U751" s="6"/>
      <c r="V751" s="6"/>
      <c r="W751" s="6"/>
      <c r="X751" s="6"/>
      <c r="Y751" s="6"/>
    </row>
    <row r="752" ht="14.25">
      <c r="B752" s="4" t="s">
        <v>5271</v>
      </c>
      <c r="C752" s="4" t="s">
        <v>5272</v>
      </c>
      <c r="D752" s="4" t="s">
        <v>120</v>
      </c>
      <c r="E752" s="4" t="s">
        <v>5273</v>
      </c>
      <c r="F752" s="4" t="str">
        <f>IFERROR(__XLUDF.DUMMYFUNCTION("PROPER(REGEXREPLACE(D737,""[^A-Za-z]+ "",""""))"),"Libshop")</f>
        <v>Libshop</v>
      </c>
      <c r="G752" s="4" t="s">
        <v>5274</v>
      </c>
      <c r="H752" s="4">
        <v>20</v>
      </c>
      <c r="I752" s="4" t="s">
        <v>25</v>
      </c>
      <c r="J752" s="5" t="s">
        <v>5275</v>
      </c>
      <c r="K752" s="5" t="s">
        <v>5276</v>
      </c>
      <c r="L752" s="4" t="s">
        <v>39</v>
      </c>
      <c r="M752" s="4" t="s">
        <v>29</v>
      </c>
      <c r="N752" s="4" t="s">
        <v>5277</v>
      </c>
      <c r="O752" s="4" t="s">
        <v>29</v>
      </c>
      <c r="P752" s="4" t="s">
        <v>5278</v>
      </c>
      <c r="Q752" s="6"/>
      <c r="R752" s="6"/>
      <c r="S752" s="6"/>
      <c r="T752" s="6"/>
      <c r="U752" s="6"/>
      <c r="V752" s="6"/>
      <c r="W752" s="6"/>
      <c r="X752" s="6"/>
      <c r="Y752" s="6"/>
    </row>
    <row r="753" ht="14.25">
      <c r="B753" s="4" t="s">
        <v>5279</v>
      </c>
      <c r="C753" s="4" t="s">
        <v>5280</v>
      </c>
      <c r="D753" s="4" t="s">
        <v>120</v>
      </c>
      <c r="E753" s="4" t="s">
        <v>5281</v>
      </c>
      <c r="F753" s="4" t="str">
        <f>IFERROR(__XLUDF.DUMMYFUNCTION("PROPER(REGEXREPLACE(D738,""[^A-Za-z]+ "",""""))"),"Yattaramen")</f>
        <v>Yattaramen</v>
      </c>
      <c r="G753" s="4" t="s">
        <v>5282</v>
      </c>
      <c r="H753" s="4">
        <v>6</v>
      </c>
      <c r="I753" s="4" t="s">
        <v>36</v>
      </c>
      <c r="J753" s="5" t="s">
        <v>5283</v>
      </c>
      <c r="K753" s="5" t="s">
        <v>5284</v>
      </c>
      <c r="L753" s="4" t="s">
        <v>39</v>
      </c>
      <c r="M753" s="4" t="s">
        <v>29</v>
      </c>
      <c r="N753" s="4" t="s">
        <v>67</v>
      </c>
      <c r="O753" s="4" t="s">
        <v>29</v>
      </c>
      <c r="P753" s="4" t="s">
        <v>5285</v>
      </c>
      <c r="Q753" s="6"/>
      <c r="R753" s="6"/>
      <c r="S753" s="6"/>
      <c r="T753" s="6"/>
      <c r="U753" s="6"/>
      <c r="V753" s="6"/>
      <c r="W753" s="6"/>
      <c r="X753" s="6"/>
      <c r="Y753" s="6"/>
    </row>
    <row r="754" ht="14.25">
      <c r="B754" s="4" t="s">
        <v>4236</v>
      </c>
      <c r="C754" s="4" t="s">
        <v>5286</v>
      </c>
      <c r="D754" s="4" t="s">
        <v>198</v>
      </c>
      <c r="E754" s="4" t="s">
        <v>5287</v>
      </c>
      <c r="F754" s="4" t="str">
        <f>IFERROR(__XLUDF.DUMMYFUNCTION("PROPER(REGEXREPLACE(D739,""[^A-Za-z]+ "",""""))"),"Kyo Sushi")</f>
        <v xml:space="preserve">Kyo Sushi</v>
      </c>
      <c r="G754" s="4" t="s">
        <v>5288</v>
      </c>
      <c r="H754" s="4">
        <v>9</v>
      </c>
      <c r="I754" s="4" t="s">
        <v>25</v>
      </c>
      <c r="J754" s="5" t="s">
        <v>5289</v>
      </c>
      <c r="K754" s="5" t="s">
        <v>5290</v>
      </c>
      <c r="L754" s="4" t="s">
        <v>39</v>
      </c>
      <c r="M754" s="4" t="s">
        <v>29</v>
      </c>
      <c r="N754" s="4" t="s">
        <v>5291</v>
      </c>
      <c r="O754" s="4" t="s">
        <v>29</v>
      </c>
      <c r="P754" s="4" t="s">
        <v>5292</v>
      </c>
      <c r="Q754" s="6"/>
      <c r="R754" s="6"/>
      <c r="S754" s="6"/>
      <c r="T754" s="6"/>
      <c r="U754" s="6"/>
      <c r="V754" s="6"/>
      <c r="W754" s="6"/>
      <c r="X754" s="6"/>
      <c r="Y754" s="6"/>
    </row>
    <row r="755" ht="14.25">
      <c r="B755" s="4" t="s">
        <v>768</v>
      </c>
      <c r="C755" s="4" t="s">
        <v>5293</v>
      </c>
      <c r="D755" s="4" t="s">
        <v>172</v>
      </c>
      <c r="E755" s="4" t="s">
        <v>5294</v>
      </c>
      <c r="F755" s="4" t="str">
        <f>IFERROR(__XLUDF.DUMMYFUNCTION("PROPER(REGEXREPLACE(D740,""[^A-Za-z]+ "",""""))"),"La Source")</f>
        <v xml:space="preserve">La Source</v>
      </c>
      <c r="G755" s="4" t="s">
        <v>5295</v>
      </c>
      <c r="H755" s="4">
        <v>27</v>
      </c>
      <c r="I755" s="4" t="s">
        <v>25</v>
      </c>
      <c r="J755" s="5" t="s">
        <v>5296</v>
      </c>
      <c r="K755" s="5" t="s">
        <v>5297</v>
      </c>
      <c r="L755" s="4" t="s">
        <v>243</v>
      </c>
      <c r="M755" s="4" t="s">
        <v>29</v>
      </c>
      <c r="N755" s="4" t="s">
        <v>5298</v>
      </c>
      <c r="O755" s="4" t="s">
        <v>29</v>
      </c>
      <c r="P755" s="6"/>
      <c r="Q755" s="6"/>
      <c r="R755" s="6"/>
      <c r="S755" s="6"/>
      <c r="T755" s="6"/>
      <c r="U755" s="6"/>
      <c r="V755" s="6"/>
      <c r="W755" s="6"/>
      <c r="X755" s="6"/>
      <c r="Y755" s="6"/>
    </row>
    <row r="756" ht="14.25">
      <c r="B756" s="4" t="s">
        <v>363</v>
      </c>
      <c r="C756" s="4" t="s">
        <v>5299</v>
      </c>
      <c r="D756" s="4" t="s">
        <v>164</v>
      </c>
      <c r="E756" s="4" t="s">
        <v>5300</v>
      </c>
      <c r="F756" s="4" t="str">
        <f>IFERROR(__XLUDF.DUMMYFUNCTION("PROPER(REGEXREPLACE(D741,""[^A-Za-z]+ "",""""))"),"The Bordeaux Concierge")</f>
        <v xml:space="preserve">The Bordeaux Concierge</v>
      </c>
      <c r="G756" s="4" t="s">
        <v>5301</v>
      </c>
      <c r="H756" s="4">
        <v>38</v>
      </c>
      <c r="I756" s="4" t="s">
        <v>25</v>
      </c>
      <c r="J756" s="5" t="s">
        <v>5302</v>
      </c>
      <c r="K756" s="5" t="s">
        <v>5303</v>
      </c>
      <c r="L756" s="4" t="s">
        <v>3685</v>
      </c>
      <c r="M756" s="4" t="s">
        <v>29</v>
      </c>
      <c r="N756" s="4" t="s">
        <v>5304</v>
      </c>
      <c r="O756" s="4" t="s">
        <v>29</v>
      </c>
      <c r="P756" s="4" t="s">
        <v>5305</v>
      </c>
      <c r="Q756" s="6"/>
      <c r="R756" s="6"/>
      <c r="S756" s="6"/>
      <c r="T756" s="6"/>
      <c r="U756" s="6"/>
      <c r="V756" s="6"/>
      <c r="W756" s="6"/>
      <c r="X756" s="6"/>
      <c r="Y756" s="6"/>
    </row>
    <row r="757" ht="14.25">
      <c r="B757" s="4" t="s">
        <v>653</v>
      </c>
      <c r="C757" s="4" t="s">
        <v>5306</v>
      </c>
      <c r="D757" s="4" t="s">
        <v>172</v>
      </c>
      <c r="E757" s="4" t="s">
        <v>404</v>
      </c>
      <c r="F757" s="4" t="str">
        <f>IFERROR(__XLUDF.DUMMYFUNCTION("PROPER(REGEXREPLACE(D742,""[^A-Za-z]+ "",""""))"),"Rmd")</f>
        <v>Rmd</v>
      </c>
      <c r="G757" s="4" t="s">
        <v>5307</v>
      </c>
      <c r="H757" s="4">
        <v>26</v>
      </c>
      <c r="I757" s="4" t="s">
        <v>25</v>
      </c>
      <c r="J757" s="5" t="s">
        <v>5308</v>
      </c>
      <c r="K757" s="5" t="s">
        <v>407</v>
      </c>
      <c r="L757" s="4" t="s">
        <v>5309</v>
      </c>
      <c r="M757" s="4" t="s">
        <v>29</v>
      </c>
      <c r="N757" s="4" t="s">
        <v>408</v>
      </c>
      <c r="O757" s="4" t="s">
        <v>29</v>
      </c>
      <c r="P757" s="4" t="s">
        <v>409</v>
      </c>
      <c r="Q757" s="6"/>
      <c r="R757" s="6"/>
      <c r="S757" s="6"/>
      <c r="T757" s="6"/>
      <c r="U757" s="6"/>
      <c r="V757" s="6"/>
      <c r="W757" s="6"/>
      <c r="X757" s="6"/>
      <c r="Y757" s="6"/>
    </row>
    <row r="758" ht="14.25">
      <c r="B758" s="4" t="s">
        <v>5310</v>
      </c>
      <c r="C758" s="4" t="s">
        <v>5311</v>
      </c>
      <c r="D758" s="4" t="s">
        <v>172</v>
      </c>
      <c r="E758" s="4" t="s">
        <v>5312</v>
      </c>
      <c r="F758" s="4" t="str">
        <f>IFERROR(__XLUDF.DUMMYFUNCTION("PROPER(REGEXREPLACE(D743,""[^A-Za-z]+ "",""""))"),"Ten Belles")</f>
        <v xml:space="preserve">Ten Belles</v>
      </c>
      <c r="G758" s="4" t="s">
        <v>5313</v>
      </c>
      <c r="H758" s="4">
        <v>5</v>
      </c>
      <c r="I758" s="4" t="s">
        <v>36</v>
      </c>
      <c r="J758" s="5" t="s">
        <v>5314</v>
      </c>
      <c r="K758" s="5" t="s">
        <v>5315</v>
      </c>
      <c r="L758" s="4" t="s">
        <v>39</v>
      </c>
      <c r="M758" s="4" t="s">
        <v>29</v>
      </c>
      <c r="N758" s="4" t="s">
        <v>5316</v>
      </c>
      <c r="O758" s="4" t="s">
        <v>29</v>
      </c>
      <c r="P758" s="6"/>
      <c r="Q758" s="6"/>
      <c r="R758" s="6"/>
      <c r="S758" s="6"/>
      <c r="T758" s="6"/>
      <c r="U758" s="6"/>
      <c r="V758" s="6"/>
      <c r="W758" s="6"/>
      <c r="X758" s="6"/>
      <c r="Y758" s="6"/>
    </row>
    <row r="759" ht="14.25">
      <c r="B759" s="4" t="s">
        <v>769</v>
      </c>
      <c r="C759" s="4" t="s">
        <v>5317</v>
      </c>
      <c r="D759" s="4" t="s">
        <v>172</v>
      </c>
      <c r="E759" s="4" t="s">
        <v>5317</v>
      </c>
      <c r="F759" s="4" t="str">
        <f>IFERROR(__XLUDF.DUMMYFUNCTION("PROPER(REGEXREPLACE(D744,""[^A-Za-z]+ "",""""))"),"Lmh Chaletssuites")</f>
        <v xml:space="preserve">Lmh Chaletssuites</v>
      </c>
      <c r="G759" s="4" t="s">
        <v>5318</v>
      </c>
      <c r="H759" s="4">
        <v>4</v>
      </c>
      <c r="I759" s="4" t="s">
        <v>25</v>
      </c>
      <c r="J759" s="5" t="s">
        <v>5319</v>
      </c>
      <c r="K759" s="5" t="s">
        <v>5320</v>
      </c>
      <c r="L759" s="6"/>
      <c r="M759" s="4" t="s">
        <v>29</v>
      </c>
      <c r="N759" s="4" t="s">
        <v>5321</v>
      </c>
      <c r="O759" s="4" t="s">
        <v>29</v>
      </c>
      <c r="P759" s="4" t="s">
        <v>5322</v>
      </c>
      <c r="Q759" s="6"/>
      <c r="R759" s="6"/>
      <c r="S759" s="6"/>
      <c r="T759" s="6"/>
      <c r="U759" s="6"/>
      <c r="V759" s="6"/>
      <c r="W759" s="6"/>
      <c r="X759" s="6"/>
      <c r="Y759" s="6"/>
    </row>
    <row r="760" ht="14.25">
      <c r="B760" s="4" t="s">
        <v>5323</v>
      </c>
      <c r="C760" s="4" t="s">
        <v>5324</v>
      </c>
      <c r="D760" s="4" t="s">
        <v>164</v>
      </c>
      <c r="E760" s="4" t="s">
        <v>5325</v>
      </c>
      <c r="F760" s="4" t="str">
        <f>IFERROR(__XLUDF.DUMMYFUNCTION("PROPER(REGEXREPLACE(D745,""[^A-Za-z]+ "",""""))"),"Le Petit Cambodge")</f>
        <v xml:space="preserve">Le Petit Cambodge</v>
      </c>
      <c r="G760" s="4" t="s">
        <v>5326</v>
      </c>
      <c r="H760" s="4">
        <v>47</v>
      </c>
      <c r="I760" s="4" t="s">
        <v>25</v>
      </c>
      <c r="J760" s="5" t="s">
        <v>5327</v>
      </c>
      <c r="K760" s="5" t="s">
        <v>5328</v>
      </c>
      <c r="L760" s="4" t="s">
        <v>5329</v>
      </c>
      <c r="M760" s="4" t="s">
        <v>29</v>
      </c>
      <c r="N760" s="4" t="s">
        <v>5330</v>
      </c>
      <c r="O760" s="4" t="s">
        <v>29</v>
      </c>
      <c r="P760" s="6"/>
      <c r="Q760" s="6"/>
      <c r="R760" s="6"/>
      <c r="S760" s="6"/>
      <c r="T760" s="6"/>
      <c r="U760" s="6"/>
      <c r="V760" s="6"/>
      <c r="W760" s="6"/>
      <c r="X760" s="6"/>
      <c r="Y760" s="6"/>
    </row>
    <row r="761" ht="14.25">
      <c r="B761" s="4" t="s">
        <v>5331</v>
      </c>
      <c r="C761" s="4" t="s">
        <v>5332</v>
      </c>
      <c r="D761" s="4" t="s">
        <v>172</v>
      </c>
      <c r="E761" s="4" t="s">
        <v>5333</v>
      </c>
      <c r="F761" s="4" t="str">
        <f>IFERROR(__XLUDF.DUMMYFUNCTION("PROPER(REGEXREPLACE(D746,""[^A-Za-z]+ "",""""))"),"Obrigado Rodizio")</f>
        <v xml:space="preserve">Obrigado Rodizio</v>
      </c>
      <c r="G761" s="4" t="s">
        <v>5334</v>
      </c>
      <c r="H761" s="4">
        <v>29</v>
      </c>
      <c r="I761" s="4" t="s">
        <v>25</v>
      </c>
      <c r="J761" s="5" t="s">
        <v>5335</v>
      </c>
      <c r="K761" s="5" t="s">
        <v>5336</v>
      </c>
      <c r="L761" s="4" t="s">
        <v>482</v>
      </c>
      <c r="M761" s="4" t="s">
        <v>29</v>
      </c>
      <c r="N761" s="4" t="s">
        <v>5337</v>
      </c>
      <c r="O761" s="4" t="s">
        <v>29</v>
      </c>
      <c r="P761" s="4" t="s">
        <v>5338</v>
      </c>
      <c r="Q761" s="6"/>
      <c r="R761" s="6"/>
      <c r="S761" s="6"/>
      <c r="T761" s="6"/>
      <c r="U761" s="6"/>
      <c r="V761" s="6"/>
      <c r="W761" s="6"/>
      <c r="X761" s="6"/>
      <c r="Y761" s="6"/>
    </row>
    <row r="762" ht="14.25">
      <c r="B762" s="4" t="s">
        <v>222</v>
      </c>
      <c r="C762" s="4" t="s">
        <v>5339</v>
      </c>
      <c r="D762" s="4" t="s">
        <v>341</v>
      </c>
      <c r="E762" s="4" t="s">
        <v>5340</v>
      </c>
      <c r="F762" s="4" t="str">
        <f>IFERROR(__XLUDF.DUMMYFUNCTION("PROPER(REGEXREPLACE(D747,""[^A-Za-z]+ "",""""))"),"Qualité&amp;Co")</f>
        <v>Qualité&amp;Co</v>
      </c>
      <c r="G762" s="4" t="s">
        <v>5341</v>
      </c>
      <c r="H762" s="4">
        <v>4</v>
      </c>
      <c r="I762" s="4" t="s">
        <v>36</v>
      </c>
      <c r="J762" s="5" t="s">
        <v>5342</v>
      </c>
      <c r="K762" s="5" t="s">
        <v>5343</v>
      </c>
      <c r="L762" s="4" t="s">
        <v>49</v>
      </c>
      <c r="M762" s="4" t="s">
        <v>29</v>
      </c>
      <c r="N762" s="4" t="s">
        <v>5344</v>
      </c>
      <c r="O762" s="4" t="s">
        <v>29</v>
      </c>
      <c r="P762" s="6"/>
      <c r="Q762" s="6"/>
      <c r="R762" s="6"/>
      <c r="S762" s="6"/>
      <c r="T762" s="6"/>
      <c r="U762" s="6"/>
      <c r="V762" s="6"/>
      <c r="W762" s="6"/>
      <c r="X762" s="6"/>
      <c r="Y762" s="6"/>
    </row>
    <row r="763" ht="14.25">
      <c r="B763" s="4" t="s">
        <v>840</v>
      </c>
      <c r="C763" s="4" t="s">
        <v>5345</v>
      </c>
      <c r="D763" s="4" t="s">
        <v>62</v>
      </c>
      <c r="E763" s="4" t="s">
        <v>5346</v>
      </c>
      <c r="F763" s="4" t="str">
        <f>IFERROR(__XLUDF.DUMMYFUNCTION("PROPER(REGEXREPLACE(D748,""[^A-Za-z]+ "",""""))"),"Bohēbon")</f>
        <v>Bohēbon</v>
      </c>
      <c r="G763" s="4" t="s">
        <v>5347</v>
      </c>
      <c r="H763" s="4">
        <v>25</v>
      </c>
      <c r="I763" s="4" t="s">
        <v>36</v>
      </c>
      <c r="J763" s="5" t="s">
        <v>5348</v>
      </c>
      <c r="K763" s="5" t="s">
        <v>5349</v>
      </c>
      <c r="L763" s="4" t="s">
        <v>846</v>
      </c>
      <c r="M763" s="4" t="s">
        <v>29</v>
      </c>
      <c r="N763" s="4" t="s">
        <v>5350</v>
      </c>
      <c r="O763" s="4" t="s">
        <v>29</v>
      </c>
      <c r="P763" s="6"/>
      <c r="Q763" s="6"/>
      <c r="R763" s="6"/>
      <c r="S763" s="6"/>
      <c r="T763" s="6"/>
      <c r="U763" s="6"/>
      <c r="V763" s="6"/>
      <c r="W763" s="6"/>
      <c r="X763" s="6"/>
      <c r="Y763" s="6"/>
    </row>
    <row r="764" ht="14.25">
      <c r="B764" s="4" t="s">
        <v>1732</v>
      </c>
      <c r="C764" s="4" t="s">
        <v>5351</v>
      </c>
      <c r="D764" s="4" t="s">
        <v>87</v>
      </c>
      <c r="E764" s="4" t="s">
        <v>5352</v>
      </c>
      <c r="F764" s="4" t="str">
        <f>IFERROR(__XLUDF.DUMMYFUNCTION("PROPER(REGEXREPLACE(D749,""[^A-Za-z]+ "",""""))"),"Ripayon")</f>
        <v>Ripayon</v>
      </c>
      <c r="G764" s="4" t="s">
        <v>5353</v>
      </c>
      <c r="H764" s="4">
        <v>13</v>
      </c>
      <c r="I764" s="4" t="s">
        <v>90</v>
      </c>
      <c r="J764" s="5" t="s">
        <v>5354</v>
      </c>
      <c r="K764" s="5" t="s">
        <v>5355</v>
      </c>
      <c r="L764" s="4" t="s">
        <v>185</v>
      </c>
      <c r="M764" s="4" t="s">
        <v>29</v>
      </c>
      <c r="N764" s="4" t="s">
        <v>5356</v>
      </c>
      <c r="O764" s="4" t="s">
        <v>29</v>
      </c>
      <c r="P764" s="6"/>
      <c r="Q764" s="6"/>
      <c r="R764" s="6"/>
      <c r="S764" s="6"/>
      <c r="T764" s="6"/>
      <c r="U764" s="6"/>
      <c r="V764" s="6"/>
      <c r="W764" s="6"/>
      <c r="X764" s="6"/>
      <c r="Y764" s="6"/>
    </row>
    <row r="765" ht="14.25">
      <c r="B765" s="4" t="s">
        <v>525</v>
      </c>
      <c r="C765" s="4" t="s">
        <v>5357</v>
      </c>
      <c r="D765" s="4" t="s">
        <v>5358</v>
      </c>
      <c r="E765" s="4" t="s">
        <v>5359</v>
      </c>
      <c r="F765" s="4" t="str">
        <f>IFERROR(__XLUDF.DUMMYFUNCTION("PROPER(REGEXREPLACE(D750,""[^A-Za-z]+ "",""""))"),"Emilie And The Cool Kids")</f>
        <v xml:space="preserve">Emilie And The Cool Kids</v>
      </c>
      <c r="G765" s="4" t="s">
        <v>5360</v>
      </c>
      <c r="H765" s="4">
        <v>24</v>
      </c>
      <c r="I765" s="4" t="s">
        <v>157</v>
      </c>
      <c r="J765" s="5" t="s">
        <v>5361</v>
      </c>
      <c r="K765" s="5" t="s">
        <v>5362</v>
      </c>
      <c r="L765" s="4" t="s">
        <v>39</v>
      </c>
      <c r="M765" s="4" t="s">
        <v>29</v>
      </c>
      <c r="N765" s="4" t="s">
        <v>5363</v>
      </c>
      <c r="O765" s="4" t="s">
        <v>29</v>
      </c>
      <c r="P765" s="6"/>
      <c r="Q765" s="6"/>
      <c r="R765" s="6"/>
      <c r="S765" s="6"/>
      <c r="T765" s="6"/>
      <c r="U765" s="6"/>
      <c r="V765" s="6"/>
      <c r="W765" s="6"/>
      <c r="X765" s="6"/>
      <c r="Y765" s="6"/>
    </row>
    <row r="766" ht="14.25">
      <c r="B766" s="4" t="s">
        <v>1965</v>
      </c>
      <c r="C766" s="4" t="s">
        <v>5364</v>
      </c>
      <c r="D766" s="4" t="s">
        <v>5365</v>
      </c>
      <c r="E766" s="4" t="s">
        <v>5366</v>
      </c>
      <c r="F766" s="4" t="str">
        <f>IFERROR(__XLUDF.DUMMYFUNCTION("PROPER(REGEXREPLACE(D751,""[^A-Za-z]+ "",""""))"),"Ker Juliette")</f>
        <v xml:space="preserve">Ker Juliette</v>
      </c>
      <c r="G766" s="4" t="s">
        <v>5367</v>
      </c>
      <c r="H766" s="4">
        <v>14</v>
      </c>
      <c r="I766" s="4" t="s">
        <v>25</v>
      </c>
      <c r="J766" s="5" t="s">
        <v>5368</v>
      </c>
      <c r="K766" s="5" t="s">
        <v>5369</v>
      </c>
      <c r="L766" s="4" t="s">
        <v>185</v>
      </c>
      <c r="M766" s="4" t="s">
        <v>29</v>
      </c>
      <c r="N766" s="4" t="s">
        <v>125</v>
      </c>
      <c r="O766" s="4" t="s">
        <v>29</v>
      </c>
      <c r="P766" s="4" t="s">
        <v>5370</v>
      </c>
      <c r="Q766" s="6"/>
      <c r="R766" s="6"/>
      <c r="S766" s="6"/>
      <c r="T766" s="6"/>
      <c r="U766" s="6"/>
      <c r="V766" s="6"/>
      <c r="W766" s="6"/>
      <c r="X766" s="6"/>
      <c r="Y766" s="6"/>
    </row>
    <row r="767" ht="14.25">
      <c r="B767" s="4" t="s">
        <v>817</v>
      </c>
      <c r="C767" s="4" t="s">
        <v>5371</v>
      </c>
      <c r="D767" s="4" t="s">
        <v>87</v>
      </c>
      <c r="E767" s="4" t="s">
        <v>5372</v>
      </c>
      <c r="F767" s="4" t="str">
        <f>IFERROR(__XLUDF.DUMMYFUNCTION("PROPER(REGEXREPLACE(D752,""[^A-Za-z]+ "",""""))"),"Home Suite Home")</f>
        <v xml:space="preserve">Home Suite Home</v>
      </c>
      <c r="G767" s="4" t="s">
        <v>5373</v>
      </c>
      <c r="H767" s="4">
        <v>16</v>
      </c>
      <c r="I767" s="4" t="s">
        <v>25</v>
      </c>
      <c r="J767" s="5" t="s">
        <v>5374</v>
      </c>
      <c r="K767" s="5" t="s">
        <v>5375</v>
      </c>
      <c r="L767" s="4" t="s">
        <v>5376</v>
      </c>
      <c r="M767" s="4" t="s">
        <v>29</v>
      </c>
      <c r="N767" s="4" t="s">
        <v>5377</v>
      </c>
      <c r="O767" s="4" t="s">
        <v>29</v>
      </c>
      <c r="P767" s="6"/>
      <c r="Q767" s="6"/>
      <c r="R767" s="6"/>
      <c r="S767" s="6"/>
      <c r="T767" s="6"/>
      <c r="U767" s="6"/>
      <c r="V767" s="6"/>
      <c r="W767" s="6"/>
      <c r="X767" s="6"/>
      <c r="Y767" s="6"/>
    </row>
    <row r="768" ht="14.25">
      <c r="B768" s="4" t="s">
        <v>5378</v>
      </c>
      <c r="C768" s="4" t="s">
        <v>5379</v>
      </c>
      <c r="D768" s="4" t="s">
        <v>87</v>
      </c>
      <c r="E768" s="4" t="s">
        <v>5380</v>
      </c>
      <c r="F768" s="4" t="str">
        <f>IFERROR(__XLUDF.DUMMYFUNCTION("PROPER(REGEXREPLACE(D753,""[^A-Za-z]+ "",""""))"),"Bollynan")</f>
        <v>Bollynan</v>
      </c>
      <c r="G768" s="4" t="s">
        <v>5381</v>
      </c>
      <c r="H768" s="4">
        <v>15</v>
      </c>
      <c r="I768" s="4" t="s">
        <v>25</v>
      </c>
      <c r="J768" s="5" t="s">
        <v>5382</v>
      </c>
      <c r="K768" s="5" t="s">
        <v>5383</v>
      </c>
      <c r="L768" s="6"/>
      <c r="M768" s="4" t="s">
        <v>29</v>
      </c>
      <c r="N768" s="4" t="s">
        <v>67</v>
      </c>
      <c r="O768" s="4" t="s">
        <v>29</v>
      </c>
      <c r="P768" s="4" t="s">
        <v>5380</v>
      </c>
      <c r="Q768" s="6"/>
      <c r="R768" s="6"/>
      <c r="S768" s="6"/>
      <c r="T768" s="6"/>
      <c r="U768" s="6"/>
      <c r="V768" s="6"/>
      <c r="W768" s="6"/>
      <c r="X768" s="6"/>
      <c r="Y768" s="6"/>
    </row>
    <row r="769" ht="14.25">
      <c r="B769" s="4" t="s">
        <v>298</v>
      </c>
      <c r="C769" s="4" t="s">
        <v>5384</v>
      </c>
      <c r="D769" s="4" t="s">
        <v>5385</v>
      </c>
      <c r="E769" s="4" t="s">
        <v>5386</v>
      </c>
      <c r="F769" s="4" t="str">
        <f>IFERROR(__XLUDF.DUMMYFUNCTION("PROPER(REGEXREPLACE(D754,""[^A-Za-z]+ "",""""))"),"Hôtel Le Sixspa ****")</f>
        <v xml:space="preserve">Hôtel Le Sixspa ****</v>
      </c>
      <c r="G769" s="4" t="s">
        <v>5387</v>
      </c>
      <c r="H769" s="4">
        <v>15</v>
      </c>
      <c r="I769" s="4" t="s">
        <v>25</v>
      </c>
      <c r="J769" s="5" t="s">
        <v>5388</v>
      </c>
      <c r="K769" s="5" t="s">
        <v>5389</v>
      </c>
      <c r="L769" s="6"/>
      <c r="M769" s="4" t="s">
        <v>29</v>
      </c>
      <c r="N769" s="4" t="s">
        <v>5390</v>
      </c>
      <c r="O769" s="4" t="s">
        <v>29</v>
      </c>
      <c r="P769" s="4" t="s">
        <v>5391</v>
      </c>
      <c r="Q769" s="6"/>
      <c r="R769" s="6"/>
      <c r="S769" s="6"/>
      <c r="T769" s="6"/>
      <c r="U769" s="6"/>
      <c r="V769" s="6"/>
      <c r="W769" s="6"/>
      <c r="X769" s="6"/>
      <c r="Y769" s="6"/>
    </row>
    <row r="770" ht="14.25">
      <c r="B770" s="4" t="s">
        <v>222</v>
      </c>
      <c r="C770" s="4" t="s">
        <v>5392</v>
      </c>
      <c r="D770" s="4" t="s">
        <v>172</v>
      </c>
      <c r="E770" s="4" t="s">
        <v>5393</v>
      </c>
      <c r="F770" s="4" t="str">
        <f>IFERROR(__XLUDF.DUMMYFUNCTION("PROPER(REGEXREPLACE(D755,""[^A-Za-z]+ "",""""))"),"Mercure Bordeaux Château Chartrons")</f>
        <v xml:space="preserve">Mercure Bordeaux Château Chartrons</v>
      </c>
      <c r="G770" s="4" t="s">
        <v>5394</v>
      </c>
      <c r="H770" s="4">
        <v>33</v>
      </c>
      <c r="I770" s="4" t="s">
        <v>25</v>
      </c>
      <c r="J770" s="5" t="s">
        <v>5395</v>
      </c>
      <c r="K770" s="5" t="s">
        <v>5396</v>
      </c>
      <c r="L770" s="4" t="s">
        <v>39</v>
      </c>
      <c r="M770" s="4" t="s">
        <v>29</v>
      </c>
      <c r="N770" s="4" t="s">
        <v>5397</v>
      </c>
      <c r="O770" s="4" t="s">
        <v>29</v>
      </c>
      <c r="P770" s="6"/>
      <c r="Q770" s="6"/>
      <c r="R770" s="6"/>
      <c r="S770" s="6"/>
      <c r="T770" s="6"/>
      <c r="U770" s="6"/>
      <c r="V770" s="6"/>
      <c r="W770" s="6"/>
      <c r="X770" s="6"/>
      <c r="Y770" s="6"/>
    </row>
    <row r="771" ht="14.25">
      <c r="B771" s="4" t="s">
        <v>5398</v>
      </c>
      <c r="C771" s="4" t="s">
        <v>5399</v>
      </c>
      <c r="D771" s="4" t="s">
        <v>5400</v>
      </c>
      <c r="E771" s="4" t="s">
        <v>5401</v>
      </c>
      <c r="F771" s="4" t="str">
        <f>IFERROR(__XLUDF.DUMMYFUNCTION("PROPER(REGEXREPLACE(D756,""[^A-Za-z]+ "",""""))"),"Le Yulehotelspa")</f>
        <v xml:space="preserve">Le Yulehotelspa</v>
      </c>
      <c r="G771" s="4" t="s">
        <v>5402</v>
      </c>
      <c r="H771" s="4">
        <v>27</v>
      </c>
      <c r="I771" s="4" t="s">
        <v>36</v>
      </c>
      <c r="J771" s="5" t="s">
        <v>5403</v>
      </c>
      <c r="K771" s="5" t="s">
        <v>5404</v>
      </c>
      <c r="L771" s="4" t="s">
        <v>149</v>
      </c>
      <c r="M771" s="4" t="s">
        <v>29</v>
      </c>
      <c r="N771" s="4" t="s">
        <v>5405</v>
      </c>
      <c r="O771" s="4" t="s">
        <v>29</v>
      </c>
      <c r="P771" s="6"/>
      <c r="Q771" s="6"/>
      <c r="R771" s="6"/>
      <c r="S771" s="6"/>
      <c r="T771" s="6"/>
      <c r="U771" s="6"/>
      <c r="V771" s="6"/>
      <c r="W771" s="6"/>
      <c r="X771" s="6"/>
      <c r="Y771" s="6"/>
    </row>
    <row r="772" ht="14.25">
      <c r="B772" s="4" t="s">
        <v>5406</v>
      </c>
      <c r="C772" s="4" t="s">
        <v>5407</v>
      </c>
      <c r="D772" s="4" t="s">
        <v>44</v>
      </c>
      <c r="E772" s="4" t="s">
        <v>5408</v>
      </c>
      <c r="F772" s="4" t="str">
        <f>IFERROR(__XLUDF.DUMMYFUNCTION("PROPER(REGEXREPLACE(D757,""[^A-Za-z]+ "",""""))"),"Hôtel Le Mirage")</f>
        <v xml:space="preserve">Hôtel Le Mirage</v>
      </c>
      <c r="G772" s="4" t="s">
        <v>5409</v>
      </c>
      <c r="H772" s="4">
        <v>13</v>
      </c>
      <c r="I772" s="4" t="s">
        <v>36</v>
      </c>
      <c r="J772" s="5" t="s">
        <v>5410</v>
      </c>
      <c r="K772" s="5" t="s">
        <v>5411</v>
      </c>
      <c r="L772" s="4" t="s">
        <v>39</v>
      </c>
      <c r="M772" s="4" t="s">
        <v>29</v>
      </c>
      <c r="N772" s="4" t="s">
        <v>546</v>
      </c>
      <c r="O772" s="4" t="s">
        <v>29</v>
      </c>
      <c r="P772" s="4" t="s">
        <v>5412</v>
      </c>
      <c r="Q772" s="6"/>
      <c r="R772" s="6"/>
      <c r="S772" s="6"/>
      <c r="T772" s="6"/>
      <c r="U772" s="6"/>
      <c r="V772" s="6"/>
      <c r="W772" s="6"/>
      <c r="X772" s="6"/>
      <c r="Y772" s="6"/>
    </row>
    <row r="773" ht="14.25">
      <c r="B773" s="4" t="s">
        <v>1499</v>
      </c>
      <c r="C773" s="4" t="s">
        <v>5413</v>
      </c>
      <c r="D773" s="4" t="s">
        <v>5414</v>
      </c>
      <c r="E773" s="4" t="s">
        <v>5415</v>
      </c>
      <c r="F773" s="4" t="str">
        <f>IFERROR(__XLUDF.DUMMYFUNCTION("PROPER(REGEXREPLACE(D758,""[^A-Za-z]+ "",""""))"),"Écluse Paris")</f>
        <v xml:space="preserve">Écluse Paris</v>
      </c>
      <c r="G773" s="4" t="s">
        <v>5416</v>
      </c>
      <c r="H773" s="4">
        <v>17</v>
      </c>
      <c r="I773" s="4" t="s">
        <v>25</v>
      </c>
      <c r="J773" s="5" t="s">
        <v>5417</v>
      </c>
      <c r="K773" s="5" t="s">
        <v>5418</v>
      </c>
      <c r="L773" s="4" t="s">
        <v>39</v>
      </c>
      <c r="M773" s="4" t="s">
        <v>29</v>
      </c>
      <c r="N773" s="4" t="s">
        <v>5419</v>
      </c>
      <c r="O773" s="4" t="s">
        <v>29</v>
      </c>
      <c r="P773" s="4" t="s">
        <v>5420</v>
      </c>
      <c r="Q773" s="6"/>
      <c r="R773" s="6"/>
      <c r="S773" s="6"/>
      <c r="T773" s="6"/>
      <c r="U773" s="6"/>
      <c r="V773" s="6"/>
      <c r="W773" s="6"/>
      <c r="X773" s="6"/>
      <c r="Y773" s="6"/>
    </row>
    <row r="774" ht="14.25">
      <c r="B774" s="4" t="s">
        <v>5421</v>
      </c>
      <c r="C774" s="4" t="s">
        <v>5422</v>
      </c>
      <c r="D774" s="4" t="s">
        <v>281</v>
      </c>
      <c r="E774" s="4" t="s">
        <v>5423</v>
      </c>
      <c r="F774" s="4" t="str">
        <f>IFERROR(__XLUDF.DUMMYFUNCTION("PROPER(REGEXREPLACE(D759,""[^A-Za-z]+ "",""""))"),"Vauvy")</f>
        <v>Vauvy</v>
      </c>
      <c r="G774" s="4" t="s">
        <v>5424</v>
      </c>
      <c r="H774" s="4">
        <v>12</v>
      </c>
      <c r="I774" s="4" t="s">
        <v>25</v>
      </c>
      <c r="J774" s="5" t="s">
        <v>5425</v>
      </c>
      <c r="K774" s="5" t="s">
        <v>5426</v>
      </c>
      <c r="L774" s="4" t="s">
        <v>39</v>
      </c>
      <c r="M774" s="4" t="s">
        <v>29</v>
      </c>
      <c r="N774" s="4" t="s">
        <v>5427</v>
      </c>
      <c r="O774" s="4" t="s">
        <v>5428</v>
      </c>
      <c r="P774" s="6"/>
      <c r="Q774" s="6"/>
      <c r="R774" s="6"/>
      <c r="S774" s="6"/>
      <c r="T774" s="6"/>
      <c r="U774" s="6"/>
      <c r="V774" s="6"/>
      <c r="W774" s="6"/>
      <c r="X774" s="6"/>
      <c r="Y774" s="6"/>
    </row>
    <row r="775" ht="14.25">
      <c r="B775" s="4" t="s">
        <v>5429</v>
      </c>
      <c r="C775" s="4" t="s">
        <v>2165</v>
      </c>
      <c r="D775" s="4" t="s">
        <v>62</v>
      </c>
      <c r="E775" s="4" t="s">
        <v>5430</v>
      </c>
      <c r="F775" s="4" t="str">
        <f>IFERROR(__XLUDF.DUMMYFUNCTION("PROPER(REGEXREPLACE(D760,""[^A-Za-z]+ "",""""))"),"Domaine De Cicé-Blossac")</f>
        <v xml:space="preserve">Domaine De Cicé-Blossac</v>
      </c>
      <c r="G775" s="4" t="s">
        <v>5431</v>
      </c>
      <c r="H775" s="4">
        <v>2</v>
      </c>
      <c r="I775" s="4" t="s">
        <v>25</v>
      </c>
      <c r="J775" s="5" t="s">
        <v>5432</v>
      </c>
      <c r="K775" s="5" t="s">
        <v>5433</v>
      </c>
      <c r="L775" s="4" t="s">
        <v>243</v>
      </c>
      <c r="M775" s="4" t="s">
        <v>29</v>
      </c>
      <c r="N775" s="4" t="s">
        <v>5434</v>
      </c>
      <c r="O775" s="4" t="s">
        <v>1548</v>
      </c>
      <c r="P775" s="6"/>
      <c r="Q775" s="6"/>
      <c r="R775" s="6"/>
      <c r="S775" s="6"/>
      <c r="T775" s="6"/>
      <c r="U775" s="6"/>
      <c r="V775" s="6"/>
      <c r="W775" s="6"/>
      <c r="X775" s="6"/>
      <c r="Y775" s="6"/>
    </row>
    <row r="776" ht="14.25">
      <c r="B776" s="4" t="s">
        <v>322</v>
      </c>
      <c r="C776" s="4" t="s">
        <v>5435</v>
      </c>
      <c r="D776" s="4" t="s">
        <v>5436</v>
      </c>
      <c r="E776" s="4" t="s">
        <v>5437</v>
      </c>
      <c r="F776" s="4" t="str">
        <f>IFERROR(__XLUDF.DUMMYFUNCTION("PROPER(REGEXREPLACE(D761,""[^A-Za-z]+ "",""""))"),"Massane")</f>
        <v>Massane</v>
      </c>
      <c r="G776" s="4" t="s">
        <v>5438</v>
      </c>
      <c r="H776" s="4">
        <v>37</v>
      </c>
      <c r="I776" s="4" t="s">
        <v>90</v>
      </c>
      <c r="J776" s="5" t="s">
        <v>5439</v>
      </c>
      <c r="K776" s="5" t="s">
        <v>5440</v>
      </c>
      <c r="L776" s="4" t="s">
        <v>39</v>
      </c>
      <c r="M776" s="4" t="s">
        <v>29</v>
      </c>
      <c r="N776" s="4" t="s">
        <v>5441</v>
      </c>
      <c r="O776" s="4" t="s">
        <v>29</v>
      </c>
      <c r="P776" s="4" t="s">
        <v>5442</v>
      </c>
      <c r="Q776" s="6"/>
      <c r="R776" s="6"/>
      <c r="S776" s="6"/>
      <c r="T776" s="6"/>
      <c r="U776" s="6"/>
      <c r="V776" s="6"/>
      <c r="W776" s="6"/>
      <c r="X776" s="6"/>
      <c r="Y776" s="6"/>
    </row>
    <row r="777" ht="14.25">
      <c r="B777" s="4" t="s">
        <v>5443</v>
      </c>
      <c r="C777" s="4" t="s">
        <v>5444</v>
      </c>
      <c r="D777" s="4" t="s">
        <v>315</v>
      </c>
      <c r="E777" s="4" t="s">
        <v>5445</v>
      </c>
      <c r="F777" s="4" t="str">
        <f>IFERROR(__XLUDF.DUMMYFUNCTION("PROPER(REGEXREPLACE(D762,""[^A-Za-z]+ "",""""))"),"Cordial Café-Restaurant")</f>
        <v xml:space="preserve">Cordial Café-Restaurant</v>
      </c>
      <c r="G777" s="4" t="s">
        <v>5446</v>
      </c>
      <c r="H777" s="4">
        <v>10</v>
      </c>
      <c r="I777" s="4" t="s">
        <v>25</v>
      </c>
      <c r="J777" s="5" t="s">
        <v>5447</v>
      </c>
      <c r="K777" s="5" t="s">
        <v>5448</v>
      </c>
      <c r="L777" s="4" t="s">
        <v>5449</v>
      </c>
      <c r="M777" s="4" t="s">
        <v>29</v>
      </c>
      <c r="N777" s="4" t="s">
        <v>5450</v>
      </c>
      <c r="O777" s="4" t="s">
        <v>29</v>
      </c>
      <c r="P777" s="6"/>
      <c r="Q777" s="6"/>
      <c r="R777" s="6"/>
      <c r="S777" s="6"/>
      <c r="T777" s="6"/>
      <c r="U777" s="6"/>
      <c r="V777" s="6"/>
      <c r="W777" s="6"/>
      <c r="X777" s="6"/>
      <c r="Y777" s="6"/>
    </row>
    <row r="778" ht="14.25">
      <c r="B778" s="4" t="s">
        <v>2932</v>
      </c>
      <c r="C778" s="4" t="s">
        <v>5451</v>
      </c>
      <c r="D778" s="4" t="s">
        <v>315</v>
      </c>
      <c r="E778" s="4" t="s">
        <v>5452</v>
      </c>
      <c r="F778" s="4" t="str">
        <f>IFERROR(__XLUDF.DUMMYFUNCTION("PROPER(REGEXREPLACE(D763,""[^A-Za-z]+ "",""""))"),"Canard Street")</f>
        <v xml:space="preserve">Canard Street</v>
      </c>
      <c r="G778" s="4" t="s">
        <v>5453</v>
      </c>
      <c r="H778" s="4">
        <v>2</v>
      </c>
      <c r="I778" s="4" t="s">
        <v>36</v>
      </c>
      <c r="J778" s="5" t="s">
        <v>5454</v>
      </c>
      <c r="K778" s="5" t="s">
        <v>5455</v>
      </c>
      <c r="L778" s="4" t="s">
        <v>5456</v>
      </c>
      <c r="M778" s="4" t="s">
        <v>29</v>
      </c>
      <c r="N778" s="4" t="s">
        <v>5457</v>
      </c>
      <c r="O778" s="4" t="s">
        <v>29</v>
      </c>
      <c r="P778" s="4" t="s">
        <v>5458</v>
      </c>
      <c r="Q778" s="6"/>
      <c r="R778" s="6"/>
      <c r="S778" s="6"/>
      <c r="T778" s="6"/>
      <c r="U778" s="6"/>
      <c r="V778" s="6"/>
      <c r="W778" s="6"/>
      <c r="X778" s="6"/>
      <c r="Y778" s="6"/>
    </row>
    <row r="779" ht="14.25">
      <c r="B779" s="4" t="s">
        <v>510</v>
      </c>
      <c r="C779" s="4" t="s">
        <v>5459</v>
      </c>
      <c r="D779" s="4" t="s">
        <v>688</v>
      </c>
      <c r="E779" s="4" t="s">
        <v>5460</v>
      </c>
      <c r="F779" s="4" t="str">
        <f>IFERROR(__XLUDF.DUMMYFUNCTION("PROPER(REGEXREPLACE(D764,""[^A-Za-z]+ "",""""))"),"Vpi Agency")</f>
        <v xml:space="preserve">Vpi Agency</v>
      </c>
      <c r="G779" s="4" t="s">
        <v>5461</v>
      </c>
      <c r="H779" s="4">
        <v>6</v>
      </c>
      <c r="I779" s="4" t="s">
        <v>25</v>
      </c>
      <c r="J779" s="5" t="s">
        <v>5462</v>
      </c>
      <c r="K779" s="5" t="s">
        <v>5463</v>
      </c>
      <c r="L779" s="6"/>
      <c r="M779" s="4" t="s">
        <v>29</v>
      </c>
      <c r="N779" s="4" t="s">
        <v>125</v>
      </c>
      <c r="O779" s="4" t="s">
        <v>29</v>
      </c>
      <c r="P779" s="4" t="s">
        <v>5464</v>
      </c>
      <c r="Q779" s="6"/>
      <c r="R779" s="6"/>
      <c r="S779" s="6"/>
      <c r="T779" s="6"/>
      <c r="U779" s="6"/>
      <c r="V779" s="6"/>
      <c r="W779" s="6"/>
      <c r="X779" s="6"/>
      <c r="Y779" s="6"/>
    </row>
    <row r="780" ht="14.25">
      <c r="B780" s="4" t="s">
        <v>768</v>
      </c>
      <c r="C780" s="4" t="s">
        <v>5465</v>
      </c>
      <c r="D780" s="4" t="s">
        <v>426</v>
      </c>
      <c r="E780" s="4" t="s">
        <v>5466</v>
      </c>
      <c r="F780" s="4" t="str">
        <f>IFERROR(__XLUDF.DUMMYFUNCTION("PROPER(REGEXREPLACE(D765,""[^A-Za-z]+ "",""""))"),"Le Caribéen")</f>
        <v xml:space="preserve">Le Caribéen</v>
      </c>
      <c r="G780" s="4" t="s">
        <v>5467</v>
      </c>
      <c r="H780" s="4">
        <v>11</v>
      </c>
      <c r="I780" s="4" t="s">
        <v>25</v>
      </c>
      <c r="J780" s="5" t="s">
        <v>5468</v>
      </c>
      <c r="K780" s="5" t="s">
        <v>5469</v>
      </c>
      <c r="L780" s="6"/>
      <c r="M780" s="4" t="s">
        <v>29</v>
      </c>
      <c r="N780" s="4" t="s">
        <v>5470</v>
      </c>
      <c r="O780" s="4" t="s">
        <v>29</v>
      </c>
      <c r="P780" s="6"/>
      <c r="Q780" s="6"/>
      <c r="R780" s="6"/>
      <c r="S780" s="6"/>
      <c r="T780" s="6"/>
      <c r="U780" s="6"/>
      <c r="V780" s="6"/>
      <c r="W780" s="6"/>
      <c r="X780" s="6"/>
      <c r="Y780" s="6"/>
    </row>
    <row r="781" ht="14.25">
      <c r="B781" s="4" t="s">
        <v>2119</v>
      </c>
      <c r="C781" s="4" t="s">
        <v>5471</v>
      </c>
      <c r="D781" s="4" t="s">
        <v>172</v>
      </c>
      <c r="E781" s="4" t="s">
        <v>5472</v>
      </c>
      <c r="F781" s="4" t="str">
        <f>IFERROR(__XLUDF.DUMMYFUNCTION("PROPER(REGEXREPLACE(D766,""[^A-Za-z]+ "",""""))"),"Quotelo")</f>
        <v>Quotelo</v>
      </c>
      <c r="G781" s="4" t="s">
        <v>5473</v>
      </c>
      <c r="H781" s="4">
        <v>26</v>
      </c>
      <c r="I781" s="4" t="s">
        <v>25</v>
      </c>
      <c r="J781" s="5" t="s">
        <v>5474</v>
      </c>
      <c r="K781" s="5" t="s">
        <v>5475</v>
      </c>
      <c r="L781" s="4" t="s">
        <v>5476</v>
      </c>
      <c r="M781" s="4" t="s">
        <v>29</v>
      </c>
      <c r="N781" s="4" t="s">
        <v>5477</v>
      </c>
      <c r="O781" s="4" t="s">
        <v>29</v>
      </c>
      <c r="P781" s="4" t="s">
        <v>5478</v>
      </c>
      <c r="Q781" s="6"/>
      <c r="R781" s="6"/>
      <c r="S781" s="6"/>
      <c r="T781" s="6"/>
      <c r="U781" s="6"/>
      <c r="V781" s="6"/>
      <c r="W781" s="6"/>
      <c r="X781" s="6"/>
      <c r="Y781" s="6"/>
    </row>
    <row r="782" ht="14.25">
      <c r="B782" s="4" t="s">
        <v>588</v>
      </c>
      <c r="C782" s="4" t="s">
        <v>5479</v>
      </c>
      <c r="D782" s="4" t="s">
        <v>5480</v>
      </c>
      <c r="E782" s="4" t="s">
        <v>5481</v>
      </c>
      <c r="F782" s="4" t="str">
        <f>IFERROR(__XLUDF.DUMMYFUNCTION("PROPER(REGEXREPLACE(D767,""[^A-Za-z]+ "",""""))"),"Groupe Kolibri")</f>
        <v xml:space="preserve">Groupe Kolibri</v>
      </c>
      <c r="G782" s="4" t="s">
        <v>5482</v>
      </c>
      <c r="H782" s="4">
        <v>10</v>
      </c>
      <c r="I782" s="4" t="s">
        <v>36</v>
      </c>
      <c r="J782" s="5" t="s">
        <v>5483</v>
      </c>
      <c r="K782" s="5" t="s">
        <v>5484</v>
      </c>
      <c r="L782" s="4" t="s">
        <v>39</v>
      </c>
      <c r="M782" s="4" t="s">
        <v>29</v>
      </c>
      <c r="N782" s="4" t="s">
        <v>5485</v>
      </c>
      <c r="O782" s="4" t="s">
        <v>29</v>
      </c>
      <c r="P782" s="4" t="s">
        <v>5486</v>
      </c>
      <c r="Q782" s="6"/>
      <c r="R782" s="6"/>
      <c r="S782" s="6"/>
      <c r="T782" s="6"/>
      <c r="U782" s="6"/>
      <c r="V782" s="6"/>
      <c r="W782" s="6"/>
      <c r="X782" s="6"/>
      <c r="Y782" s="6"/>
    </row>
    <row r="783" ht="14.25">
      <c r="B783" s="4" t="s">
        <v>1583</v>
      </c>
      <c r="C783" s="4" t="s">
        <v>5487</v>
      </c>
      <c r="D783" s="4" t="s">
        <v>172</v>
      </c>
      <c r="E783" s="4" t="s">
        <v>5487</v>
      </c>
      <c r="F783" s="4" t="str">
        <f>IFERROR(__XLUDF.DUMMYFUNCTION("PROPER(REGEXREPLACE(D768,""[^A-Za-z]+ "",""""))"),"Jade Hospitality Group")</f>
        <v xml:space="preserve">Jade Hospitality Group</v>
      </c>
      <c r="G783" s="4" t="s">
        <v>5488</v>
      </c>
      <c r="H783" s="4">
        <v>38</v>
      </c>
      <c r="I783" s="4" t="s">
        <v>36</v>
      </c>
      <c r="J783" s="5" t="s">
        <v>5489</v>
      </c>
      <c r="K783" s="5" t="s">
        <v>5490</v>
      </c>
      <c r="L783" s="4" t="s">
        <v>39</v>
      </c>
      <c r="M783" s="4" t="s">
        <v>29</v>
      </c>
      <c r="N783" s="4" t="s">
        <v>5491</v>
      </c>
      <c r="O783" s="4" t="s">
        <v>29</v>
      </c>
      <c r="P783" s="4" t="s">
        <v>5492</v>
      </c>
      <c r="Q783" s="6"/>
      <c r="R783" s="6"/>
      <c r="S783" s="6"/>
      <c r="T783" s="6"/>
      <c r="U783" s="6"/>
      <c r="V783" s="6"/>
      <c r="W783" s="6"/>
      <c r="X783" s="6"/>
      <c r="Y783" s="6"/>
    </row>
    <row r="784" ht="14.25">
      <c r="B784" s="4" t="s">
        <v>4800</v>
      </c>
      <c r="C784" s="4" t="s">
        <v>5493</v>
      </c>
      <c r="D784" s="4" t="s">
        <v>688</v>
      </c>
      <c r="E784" s="4" t="s">
        <v>5494</v>
      </c>
      <c r="F784" s="4" t="str">
        <f>IFERROR(__XLUDF.DUMMYFUNCTION("PROPER(REGEXREPLACE(D769,""[^A-Za-z]+ "",""""))"),"Evi Hob")</f>
        <v xml:space="preserve">Evi Hob</v>
      </c>
      <c r="G784" s="4" t="s">
        <v>5495</v>
      </c>
      <c r="H784" s="4">
        <v>22</v>
      </c>
      <c r="I784" s="4" t="s">
        <v>25</v>
      </c>
      <c r="J784" s="5" t="s">
        <v>5496</v>
      </c>
      <c r="K784" s="5" t="s">
        <v>5497</v>
      </c>
      <c r="L784" s="6"/>
      <c r="M784" s="4" t="s">
        <v>29</v>
      </c>
      <c r="N784" s="4" t="s">
        <v>5498</v>
      </c>
      <c r="O784" s="4" t="s">
        <v>29</v>
      </c>
      <c r="P784" s="6"/>
      <c r="Q784" s="6"/>
      <c r="R784" s="6"/>
      <c r="S784" s="6"/>
      <c r="T784" s="6"/>
      <c r="U784" s="6"/>
      <c r="V784" s="6"/>
      <c r="W784" s="6"/>
      <c r="X784" s="6"/>
      <c r="Y784" s="6"/>
    </row>
    <row r="785" ht="14.25">
      <c r="B785" s="4" t="s">
        <v>330</v>
      </c>
      <c r="C785" s="4" t="s">
        <v>5499</v>
      </c>
      <c r="D785" s="4" t="s">
        <v>5500</v>
      </c>
      <c r="E785" s="4" t="s">
        <v>5501</v>
      </c>
      <c r="F785" s="4" t="str">
        <f>IFERROR(__XLUDF.DUMMYFUNCTION("PROPER(REGEXREPLACE(D770,""[^A-Za-z]+ "",""""))"),"Lcs Propreté")</f>
        <v xml:space="preserve">Lcs Propreté</v>
      </c>
      <c r="G785" s="4" t="s">
        <v>5502</v>
      </c>
      <c r="H785" s="4">
        <v>24</v>
      </c>
      <c r="I785" s="4" t="s">
        <v>25</v>
      </c>
      <c r="J785" s="5" t="s">
        <v>5503</v>
      </c>
      <c r="K785" s="5" t="s">
        <v>5504</v>
      </c>
      <c r="L785" s="4" t="s">
        <v>39</v>
      </c>
      <c r="M785" s="4" t="s">
        <v>29</v>
      </c>
      <c r="N785" s="4" t="s">
        <v>5505</v>
      </c>
      <c r="O785" s="4" t="s">
        <v>29</v>
      </c>
      <c r="P785" s="4" t="s">
        <v>5506</v>
      </c>
      <c r="Q785" s="6"/>
      <c r="R785" s="6"/>
      <c r="S785" s="6"/>
      <c r="T785" s="6"/>
      <c r="U785" s="6"/>
      <c r="V785" s="6"/>
      <c r="W785" s="6"/>
      <c r="X785" s="6"/>
      <c r="Y785" s="6"/>
    </row>
    <row r="786" ht="14.25">
      <c r="B786" s="4" t="s">
        <v>866</v>
      </c>
      <c r="C786" s="4" t="s">
        <v>5507</v>
      </c>
      <c r="D786" s="4" t="s">
        <v>112</v>
      </c>
      <c r="E786" s="4" t="s">
        <v>5508</v>
      </c>
      <c r="F786" s="4" t="str">
        <f>IFERROR(__XLUDF.DUMMYFUNCTION("PROPER(REGEXREPLACE(D771,""[^A-Za-z]+ "",""""))"),"Groupe Bernard Loiseau")</f>
        <v xml:space="preserve">Groupe Bernard Loiseau</v>
      </c>
      <c r="G786" s="4" t="s">
        <v>5509</v>
      </c>
      <c r="H786" s="4">
        <v>39</v>
      </c>
      <c r="I786" s="4" t="s">
        <v>25</v>
      </c>
      <c r="J786" s="5" t="s">
        <v>5510</v>
      </c>
      <c r="K786" s="5" t="s">
        <v>5511</v>
      </c>
      <c r="L786" s="6"/>
      <c r="M786" s="4" t="s">
        <v>29</v>
      </c>
      <c r="N786" s="4" t="s">
        <v>5512</v>
      </c>
      <c r="O786" s="4" t="s">
        <v>29</v>
      </c>
      <c r="P786" s="6"/>
      <c r="Q786" s="6"/>
      <c r="R786" s="6"/>
      <c r="S786" s="6"/>
      <c r="T786" s="6"/>
      <c r="U786" s="6"/>
      <c r="V786" s="6"/>
      <c r="W786" s="6"/>
      <c r="X786" s="6"/>
      <c r="Y786" s="6"/>
    </row>
    <row r="787" ht="14.25">
      <c r="B787" s="4" t="s">
        <v>1596</v>
      </c>
      <c r="C787" s="4" t="s">
        <v>5513</v>
      </c>
      <c r="D787" s="4" t="s">
        <v>281</v>
      </c>
      <c r="E787" s="4" t="s">
        <v>5514</v>
      </c>
      <c r="F787" s="4" t="str">
        <f>IFERROR(__XLUDF.DUMMYFUNCTION("PROPER(REGEXREPLACE(D772,""[^A-Za-z]+ "",""""))"),"Atica")</f>
        <v>Atica</v>
      </c>
      <c r="G787" s="4" t="s">
        <v>5515</v>
      </c>
      <c r="H787" s="4">
        <v>8</v>
      </c>
      <c r="I787" s="4" t="s">
        <v>36</v>
      </c>
      <c r="J787" s="5" t="s">
        <v>5516</v>
      </c>
      <c r="K787" s="5" t="s">
        <v>5517</v>
      </c>
      <c r="L787" s="4" t="s">
        <v>39</v>
      </c>
      <c r="M787" s="4" t="s">
        <v>29</v>
      </c>
      <c r="N787" s="4" t="s">
        <v>5518</v>
      </c>
      <c r="O787" s="4" t="s">
        <v>29</v>
      </c>
      <c r="P787" s="6"/>
      <c r="Q787" s="6"/>
      <c r="R787" s="6"/>
      <c r="S787" s="6"/>
      <c r="T787" s="6"/>
      <c r="U787" s="6"/>
      <c r="V787" s="6"/>
      <c r="W787" s="6"/>
      <c r="X787" s="6"/>
      <c r="Y787" s="6"/>
    </row>
    <row r="788" ht="14.25">
      <c r="B788" s="4" t="s">
        <v>893</v>
      </c>
      <c r="C788" s="6"/>
      <c r="D788" s="4" t="s">
        <v>44</v>
      </c>
      <c r="E788" s="4" t="s">
        <v>5519</v>
      </c>
      <c r="F788" s="4" t="str">
        <f>IFERROR(__XLUDF.DUMMYFUNCTION("PROPER(REGEXREPLACE(D773,""[^A-Za-z]+ "",""""))"),"Homanie")</f>
        <v>Homanie</v>
      </c>
      <c r="G788" s="4" t="s">
        <v>5520</v>
      </c>
      <c r="H788" s="4">
        <v>1</v>
      </c>
      <c r="I788" s="4" t="s">
        <v>25</v>
      </c>
      <c r="J788" s="5" t="s">
        <v>5521</v>
      </c>
      <c r="K788" s="5" t="s">
        <v>5522</v>
      </c>
      <c r="L788" s="4" t="s">
        <v>39</v>
      </c>
      <c r="M788" s="4" t="s">
        <v>29</v>
      </c>
      <c r="N788" s="4" t="s">
        <v>67</v>
      </c>
      <c r="O788" s="4" t="s">
        <v>29</v>
      </c>
      <c r="P788" s="6"/>
      <c r="Q788" s="6"/>
      <c r="R788" s="6"/>
      <c r="S788" s="6"/>
      <c r="T788" s="6"/>
      <c r="U788" s="6"/>
      <c r="V788" s="6"/>
      <c r="W788" s="6"/>
      <c r="X788" s="6"/>
      <c r="Y788" s="6"/>
    </row>
    <row r="789" ht="14.25">
      <c r="B789" s="4" t="s">
        <v>5523</v>
      </c>
      <c r="C789" s="4" t="s">
        <v>5524</v>
      </c>
      <c r="D789" s="4" t="s">
        <v>164</v>
      </c>
      <c r="E789" s="4" t="s">
        <v>5525</v>
      </c>
      <c r="F789" s="4" t="str">
        <f>IFERROR(__XLUDF.DUMMYFUNCTION("PROPER(REGEXREPLACE(D774,""[^A-Za-z]+ "",""""))"),"Namlatic")</f>
        <v>Namlatic</v>
      </c>
      <c r="G789" s="4" t="s">
        <v>5526</v>
      </c>
      <c r="H789" s="4">
        <v>18</v>
      </c>
      <c r="I789" s="4" t="s">
        <v>25</v>
      </c>
      <c r="J789" s="5" t="s">
        <v>5527</v>
      </c>
      <c r="K789" s="5" t="s">
        <v>5528</v>
      </c>
      <c r="L789" s="4" t="s">
        <v>5529</v>
      </c>
      <c r="M789" s="4" t="s">
        <v>29</v>
      </c>
      <c r="N789" s="4" t="s">
        <v>5530</v>
      </c>
      <c r="O789" s="4" t="s">
        <v>1152</v>
      </c>
      <c r="P789" s="4" t="s">
        <v>5531</v>
      </c>
      <c r="Q789" s="6"/>
      <c r="R789" s="6"/>
      <c r="S789" s="6"/>
      <c r="T789" s="6"/>
      <c r="U789" s="6"/>
      <c r="V789" s="6"/>
      <c r="W789" s="6"/>
      <c r="X789" s="6"/>
      <c r="Y789" s="6"/>
    </row>
    <row r="790" ht="14.25">
      <c r="B790" s="4" t="s">
        <v>622</v>
      </c>
      <c r="C790" s="4" t="s">
        <v>5532</v>
      </c>
      <c r="D790" s="4" t="s">
        <v>426</v>
      </c>
      <c r="E790" s="4" t="s">
        <v>5533</v>
      </c>
      <c r="F790" s="4" t="str">
        <f>IFERROR(__XLUDF.DUMMYFUNCTION("PROPER(REGEXREPLACE(D775,""[^A-Za-z]+ "",""""))"),"Villas")</f>
        <v>Villas</v>
      </c>
      <c r="G790" s="4" t="s">
        <v>5534</v>
      </c>
      <c r="H790" s="4">
        <v>43</v>
      </c>
      <c r="I790" s="4" t="s">
        <v>36</v>
      </c>
      <c r="J790" s="5" t="s">
        <v>5535</v>
      </c>
      <c r="K790" s="5" t="s">
        <v>5536</v>
      </c>
      <c r="L790" s="6"/>
      <c r="M790" s="4" t="s">
        <v>29</v>
      </c>
      <c r="N790" s="4" t="s">
        <v>5537</v>
      </c>
      <c r="O790" s="4" t="s">
        <v>29</v>
      </c>
      <c r="P790" s="6"/>
      <c r="Q790" s="6"/>
      <c r="R790" s="6"/>
      <c r="S790" s="6"/>
      <c r="T790" s="6"/>
      <c r="U790" s="6"/>
      <c r="V790" s="6"/>
      <c r="W790" s="6"/>
      <c r="X790" s="6"/>
      <c r="Y790" s="6"/>
    </row>
    <row r="791" ht="14.25">
      <c r="B791" s="4" t="s">
        <v>322</v>
      </c>
      <c r="C791" s="4" t="s">
        <v>5538</v>
      </c>
      <c r="D791" s="4" t="s">
        <v>172</v>
      </c>
      <c r="E791" s="4" t="s">
        <v>5539</v>
      </c>
      <c r="F791" s="4" t="str">
        <f>IFERROR(__XLUDF.DUMMYFUNCTION("PROPER(REGEXREPLACE(D776,""[^A-Za-z]+ "",""""))"),"Resonance Golf Collection")</f>
        <v xml:space="preserve">Resonance Golf Collection</v>
      </c>
      <c r="G791" s="4" t="s">
        <v>5540</v>
      </c>
      <c r="H791" s="4">
        <v>43</v>
      </c>
      <c r="I791" s="4" t="s">
        <v>25</v>
      </c>
      <c r="J791" s="5" t="s">
        <v>5541</v>
      </c>
      <c r="K791" s="5" t="s">
        <v>5542</v>
      </c>
      <c r="L791" s="4" t="s">
        <v>39</v>
      </c>
      <c r="M791" s="4" t="s">
        <v>29</v>
      </c>
      <c r="N791" s="4" t="s">
        <v>5543</v>
      </c>
      <c r="O791" s="4" t="s">
        <v>29</v>
      </c>
      <c r="P791" s="6"/>
      <c r="Q791" s="6"/>
      <c r="R791" s="6"/>
      <c r="S791" s="6"/>
      <c r="T791" s="6"/>
      <c r="U791" s="6"/>
      <c r="V791" s="6"/>
      <c r="W791" s="6"/>
      <c r="X791" s="6"/>
      <c r="Y791" s="6"/>
    </row>
    <row r="792" ht="14.25">
      <c r="B792" s="4" t="s">
        <v>1861</v>
      </c>
      <c r="C792" s="4" t="s">
        <v>5544</v>
      </c>
      <c r="D792" s="4" t="s">
        <v>5545</v>
      </c>
      <c r="E792" s="4" t="s">
        <v>5546</v>
      </c>
      <c r="F792" s="4" t="str">
        <f>IFERROR(__XLUDF.DUMMYFUNCTION("PROPER(REGEXREPLACE(D777,""[^A-Za-z]+ "",""""))"),"Honest-Inn")</f>
        <v>Honest-Inn</v>
      </c>
      <c r="G792" s="4" t="s">
        <v>5547</v>
      </c>
      <c r="H792" s="4">
        <v>6</v>
      </c>
      <c r="I792" s="4" t="s">
        <v>36</v>
      </c>
      <c r="J792" s="5" t="s">
        <v>5548</v>
      </c>
      <c r="K792" s="5" t="s">
        <v>5549</v>
      </c>
      <c r="L792" s="4" t="s">
        <v>2354</v>
      </c>
      <c r="M792" s="4" t="s">
        <v>29</v>
      </c>
      <c r="N792" s="4" t="s">
        <v>5550</v>
      </c>
      <c r="O792" s="4" t="s">
        <v>29</v>
      </c>
      <c r="P792" s="4" t="s">
        <v>5551</v>
      </c>
      <c r="Q792" s="6"/>
      <c r="R792" s="6"/>
      <c r="S792" s="6"/>
      <c r="T792" s="6"/>
      <c r="U792" s="6"/>
      <c r="V792" s="6"/>
      <c r="W792" s="6"/>
      <c r="X792" s="6"/>
      <c r="Y792" s="6"/>
    </row>
    <row r="793" ht="14.25">
      <c r="B793" s="4" t="s">
        <v>485</v>
      </c>
      <c r="C793" s="4" t="s">
        <v>5552</v>
      </c>
      <c r="D793" s="4" t="s">
        <v>1130</v>
      </c>
      <c r="E793" s="4" t="s">
        <v>5553</v>
      </c>
      <c r="F793" s="4" t="str">
        <f>IFERROR(__XLUDF.DUMMYFUNCTION("PROPER(REGEXREPLACE(D778,""[^A-Za-z]+ "",""""))"),"Fragrance Culinaire")</f>
        <v xml:space="preserve">Fragrance Culinaire</v>
      </c>
      <c r="G793" s="4" t="s">
        <v>5554</v>
      </c>
      <c r="H793" s="4">
        <v>10</v>
      </c>
      <c r="I793" s="4" t="s">
        <v>25</v>
      </c>
      <c r="J793" s="5" t="s">
        <v>5555</v>
      </c>
      <c r="K793" s="5" t="s">
        <v>5556</v>
      </c>
      <c r="L793" s="4" t="s">
        <v>5557</v>
      </c>
      <c r="M793" s="4" t="s">
        <v>29</v>
      </c>
      <c r="N793" s="4" t="s">
        <v>5558</v>
      </c>
      <c r="O793" s="4" t="s">
        <v>29</v>
      </c>
      <c r="P793" s="4" t="s">
        <v>5559</v>
      </c>
      <c r="Q793" s="6"/>
      <c r="R793" s="6"/>
      <c r="S793" s="6"/>
      <c r="T793" s="6"/>
      <c r="U793" s="6"/>
      <c r="V793" s="6"/>
      <c r="W793" s="6"/>
      <c r="X793" s="6"/>
      <c r="Y793" s="6"/>
    </row>
    <row r="794" ht="14.25">
      <c r="B794" s="4" t="s">
        <v>817</v>
      </c>
      <c r="C794" s="4" t="s">
        <v>5560</v>
      </c>
      <c r="D794" s="4" t="s">
        <v>1130</v>
      </c>
      <c r="E794" s="4" t="s">
        <v>5561</v>
      </c>
      <c r="F794" s="4" t="str">
        <f>IFERROR(__XLUDF.DUMMYFUNCTION("PROPER(REGEXREPLACE(D779,""[^A-Za-z]+ "",""""))"),"Beauvallon Collection")</f>
        <v xml:space="preserve">Beauvallon Collection</v>
      </c>
      <c r="G794" s="4" t="s">
        <v>5562</v>
      </c>
      <c r="H794" s="4">
        <v>38</v>
      </c>
      <c r="I794" s="4" t="s">
        <v>25</v>
      </c>
      <c r="J794" s="5" t="s">
        <v>5563</v>
      </c>
      <c r="K794" s="5" t="s">
        <v>5564</v>
      </c>
      <c r="L794" s="4" t="s">
        <v>5565</v>
      </c>
      <c r="M794" s="4" t="s">
        <v>29</v>
      </c>
      <c r="N794" s="4" t="s">
        <v>5566</v>
      </c>
      <c r="O794" s="4" t="s">
        <v>29</v>
      </c>
      <c r="P794" s="4" t="s">
        <v>5567</v>
      </c>
      <c r="Q794" s="6"/>
      <c r="R794" s="6"/>
      <c r="S794" s="6"/>
      <c r="T794" s="6"/>
      <c r="U794" s="6"/>
      <c r="V794" s="6"/>
      <c r="W794" s="6"/>
      <c r="X794" s="6"/>
      <c r="Y794" s="6"/>
    </row>
    <row r="795" ht="14.25">
      <c r="B795" s="4" t="s">
        <v>785</v>
      </c>
      <c r="C795" s="4" t="s">
        <v>5568</v>
      </c>
      <c r="D795" s="4" t="s">
        <v>5569</v>
      </c>
      <c r="E795" s="4" t="s">
        <v>5570</v>
      </c>
      <c r="F795" s="4" t="str">
        <f>IFERROR(__XLUDF.DUMMYFUNCTION("PROPER(REGEXREPLACE(D780,""[^A-Za-z]+ "",""""))"),"Hotel La Piscine")</f>
        <v xml:space="preserve">Hotel La Piscine</v>
      </c>
      <c r="G795" s="4" t="s">
        <v>5571</v>
      </c>
      <c r="H795" s="4">
        <v>29</v>
      </c>
      <c r="I795" s="4" t="s">
        <v>36</v>
      </c>
      <c r="J795" s="5" t="s">
        <v>5572</v>
      </c>
      <c r="K795" s="5" t="s">
        <v>5573</v>
      </c>
      <c r="L795" s="4" t="s">
        <v>39</v>
      </c>
      <c r="M795" s="4" t="s">
        <v>29</v>
      </c>
      <c r="N795" s="4" t="s">
        <v>3403</v>
      </c>
      <c r="O795" s="4" t="s">
        <v>29</v>
      </c>
      <c r="P795" s="4" t="s">
        <v>5574</v>
      </c>
      <c r="Q795" s="6"/>
      <c r="R795" s="6"/>
      <c r="S795" s="6"/>
      <c r="T795" s="6"/>
      <c r="U795" s="6"/>
      <c r="V795" s="6"/>
      <c r="W795" s="6"/>
      <c r="X795" s="6"/>
      <c r="Y795" s="6"/>
    </row>
    <row r="796" ht="14.25">
      <c r="B796" s="4" t="s">
        <v>1667</v>
      </c>
      <c r="C796" s="4" t="s">
        <v>5575</v>
      </c>
      <c r="D796" s="4" t="s">
        <v>5576</v>
      </c>
      <c r="E796" s="4" t="s">
        <v>5514</v>
      </c>
      <c r="F796" s="4" t="str">
        <f>IFERROR(__XLUDF.DUMMYFUNCTION("PROPER(REGEXREPLACE(D781,""[^A-Za-z]+ "",""""))"),"Le Grand Bhôtel Restaurant Spa Golden Tulip")</f>
        <v xml:space="preserve">Le Grand Bhôtel Restaurant Spa Golden Tulip</v>
      </c>
      <c r="G796" s="4" t="s">
        <v>5577</v>
      </c>
      <c r="H796" s="4">
        <v>8</v>
      </c>
      <c r="I796" s="4" t="s">
        <v>36</v>
      </c>
      <c r="J796" s="5" t="s">
        <v>5578</v>
      </c>
      <c r="K796" s="5" t="s">
        <v>5517</v>
      </c>
      <c r="L796" s="4" t="s">
        <v>39</v>
      </c>
      <c r="M796" s="4" t="s">
        <v>29</v>
      </c>
      <c r="N796" s="4" t="s">
        <v>5518</v>
      </c>
      <c r="O796" s="4" t="s">
        <v>29</v>
      </c>
      <c r="P796" s="6"/>
      <c r="Q796" s="6"/>
      <c r="R796" s="6"/>
      <c r="S796" s="6"/>
      <c r="T796" s="6"/>
      <c r="U796" s="6"/>
      <c r="V796" s="6"/>
      <c r="W796" s="6"/>
      <c r="X796" s="6"/>
      <c r="Y796" s="6"/>
    </row>
    <row r="797" ht="14.25">
      <c r="B797" s="4" t="s">
        <v>5579</v>
      </c>
      <c r="C797" s="4" t="s">
        <v>5580</v>
      </c>
      <c r="D797" s="4" t="s">
        <v>5581</v>
      </c>
      <c r="E797" s="4" t="s">
        <v>5582</v>
      </c>
      <c r="F797" s="4" t="str">
        <f>IFERROR(__XLUDF.DUMMYFUNCTION("PROPER(REGEXREPLACE(D782,""[^A-Za-z]+ "",""""))"),"Peppe Officiel")</f>
        <v xml:space="preserve">Peppe Officiel</v>
      </c>
      <c r="G797" s="4" t="s">
        <v>5583</v>
      </c>
      <c r="H797" s="4">
        <v>18</v>
      </c>
      <c r="I797" s="4" t="s">
        <v>25</v>
      </c>
      <c r="J797" s="5" t="s">
        <v>5584</v>
      </c>
      <c r="K797" s="5" t="s">
        <v>5585</v>
      </c>
      <c r="L797" s="4" t="s">
        <v>5586</v>
      </c>
      <c r="M797" s="4" t="s">
        <v>29</v>
      </c>
      <c r="N797" s="4" t="s">
        <v>67</v>
      </c>
      <c r="O797" s="4" t="s">
        <v>29</v>
      </c>
      <c r="P797" s="6"/>
      <c r="Q797" s="6"/>
      <c r="R797" s="6"/>
      <c r="S797" s="6"/>
      <c r="T797" s="6"/>
      <c r="U797" s="6"/>
      <c r="V797" s="6"/>
      <c r="W797" s="6"/>
      <c r="X797" s="6"/>
      <c r="Y797" s="6"/>
    </row>
    <row r="798" ht="14.25">
      <c r="B798" s="4" t="s">
        <v>355</v>
      </c>
      <c r="C798" s="4" t="s">
        <v>5587</v>
      </c>
      <c r="D798" s="4" t="s">
        <v>5588</v>
      </c>
      <c r="E798" s="4" t="s">
        <v>5366</v>
      </c>
      <c r="F798" s="4" t="str">
        <f>IFERROR(__XLUDF.DUMMYFUNCTION("PROPER(REGEXREPLACE(D783,""[^A-Za-z]+ "",""""))"),"Gardinier")</f>
        <v>Gardinier</v>
      </c>
      <c r="G798" s="4" t="s">
        <v>5589</v>
      </c>
      <c r="H798" s="4">
        <v>14</v>
      </c>
      <c r="I798" s="4" t="s">
        <v>25</v>
      </c>
      <c r="J798" s="5" t="s">
        <v>5590</v>
      </c>
      <c r="K798" s="5" t="s">
        <v>5369</v>
      </c>
      <c r="L798" s="6"/>
      <c r="M798" s="4" t="s">
        <v>29</v>
      </c>
      <c r="N798" s="4" t="s">
        <v>125</v>
      </c>
      <c r="O798" s="4" t="s">
        <v>29</v>
      </c>
      <c r="P798" s="4" t="s">
        <v>5370</v>
      </c>
      <c r="Q798" s="6"/>
      <c r="R798" s="6"/>
      <c r="S798" s="6"/>
      <c r="T798" s="6"/>
      <c r="U798" s="6"/>
      <c r="V798" s="6"/>
      <c r="W798" s="6"/>
      <c r="X798" s="6"/>
      <c r="Y798" s="6"/>
    </row>
    <row r="799" ht="14.25">
      <c r="B799" s="4" t="s">
        <v>3744</v>
      </c>
      <c r="C799" s="4" t="s">
        <v>5591</v>
      </c>
      <c r="D799" s="4" t="s">
        <v>5592</v>
      </c>
      <c r="E799" s="4" t="s">
        <v>5386</v>
      </c>
      <c r="F799" s="4" t="str">
        <f>IFERROR(__XLUDF.DUMMYFUNCTION("PROPER(REGEXREPLACE(D784,""[^A-Za-z]+ "",""""))"),"Castellet Hospitality")</f>
        <v xml:space="preserve">Castellet Hospitality</v>
      </c>
      <c r="G799" s="4" t="s">
        <v>5593</v>
      </c>
      <c r="H799" s="4">
        <v>15</v>
      </c>
      <c r="I799" s="4" t="s">
        <v>25</v>
      </c>
      <c r="J799" s="5" t="s">
        <v>5594</v>
      </c>
      <c r="K799" s="5" t="s">
        <v>5389</v>
      </c>
      <c r="L799" s="4" t="s">
        <v>185</v>
      </c>
      <c r="M799" s="4" t="s">
        <v>29</v>
      </c>
      <c r="N799" s="4" t="s">
        <v>5390</v>
      </c>
      <c r="O799" s="4" t="s">
        <v>29</v>
      </c>
      <c r="P799" s="4" t="s">
        <v>5391</v>
      </c>
      <c r="Q799" s="6"/>
      <c r="R799" s="6"/>
      <c r="S799" s="6"/>
      <c r="T799" s="6"/>
      <c r="U799" s="6"/>
      <c r="V799" s="6"/>
      <c r="W799" s="6"/>
      <c r="X799" s="6"/>
      <c r="Y799" s="6"/>
    </row>
    <row r="800" ht="14.25">
      <c r="B800" s="4" t="s">
        <v>170</v>
      </c>
      <c r="C800" s="4" t="s">
        <v>5595</v>
      </c>
      <c r="D800" s="4" t="s">
        <v>426</v>
      </c>
      <c r="E800" s="4" t="s">
        <v>5596</v>
      </c>
      <c r="F800" s="4" t="str">
        <f>IFERROR(__XLUDF.DUMMYFUNCTION("PROPER(REGEXREPLACE(D785,""[^A-Za-z]+ "",""""))"),"Hcollection")</f>
        <v>Hcollection</v>
      </c>
      <c r="G800" s="4" t="s">
        <v>5597</v>
      </c>
      <c r="H800" s="4">
        <v>41</v>
      </c>
      <c r="I800" s="4" t="s">
        <v>25</v>
      </c>
      <c r="J800" s="5" t="s">
        <v>5598</v>
      </c>
      <c r="K800" s="5" t="s">
        <v>5599</v>
      </c>
      <c r="L800" s="4" t="s">
        <v>651</v>
      </c>
      <c r="M800" s="4" t="s">
        <v>29</v>
      </c>
      <c r="N800" s="4" t="s">
        <v>5600</v>
      </c>
      <c r="O800" s="4" t="s">
        <v>29</v>
      </c>
      <c r="P800" s="4" t="s">
        <v>5601</v>
      </c>
      <c r="Q800" s="6"/>
      <c r="R800" s="6"/>
      <c r="S800" s="6"/>
      <c r="T800" s="6"/>
      <c r="U800" s="6"/>
      <c r="V800" s="6"/>
      <c r="W800" s="6"/>
      <c r="X800" s="6"/>
      <c r="Y800" s="6"/>
    </row>
    <row r="801" ht="14.25">
      <c r="B801" s="4" t="s">
        <v>5602</v>
      </c>
      <c r="C801" s="4" t="s">
        <v>5603</v>
      </c>
      <c r="D801" s="4" t="s">
        <v>688</v>
      </c>
      <c r="E801" s="4" t="s">
        <v>5604</v>
      </c>
      <c r="F801" s="4" t="str">
        <f>IFERROR(__XLUDF.DUMMYFUNCTION("PROPER(REGEXREPLACE(D786,""[^A-Za-z]+ "",""""))"),"Valotel")</f>
        <v>Valotel</v>
      </c>
      <c r="G801" s="4" t="s">
        <v>5605</v>
      </c>
      <c r="H801" s="4">
        <v>3</v>
      </c>
      <c r="I801" s="4" t="s">
        <v>5606</v>
      </c>
      <c r="J801" s="5" t="s">
        <v>5607</v>
      </c>
      <c r="K801" s="5" t="s">
        <v>5608</v>
      </c>
      <c r="L801" s="4" t="s">
        <v>482</v>
      </c>
      <c r="M801" s="4" t="s">
        <v>29</v>
      </c>
      <c r="N801" s="4" t="s">
        <v>483</v>
      </c>
      <c r="O801" s="4" t="s">
        <v>29</v>
      </c>
      <c r="P801" s="4" t="s">
        <v>5609</v>
      </c>
      <c r="Q801" s="6"/>
      <c r="R801" s="6"/>
      <c r="S801" s="6"/>
      <c r="T801" s="6"/>
      <c r="U801" s="6"/>
      <c r="V801" s="6"/>
      <c r="W801" s="6"/>
      <c r="X801" s="6"/>
      <c r="Y801" s="6"/>
    </row>
    <row r="802" ht="14.25">
      <c r="B802" s="4" t="s">
        <v>743</v>
      </c>
      <c r="C802" s="4" t="s">
        <v>5610</v>
      </c>
      <c r="D802" s="4" t="s">
        <v>120</v>
      </c>
      <c r="E802" s="4" t="s">
        <v>5611</v>
      </c>
      <c r="F802" s="4" t="str">
        <f>IFERROR(__XLUDF.DUMMYFUNCTION("PROPER(REGEXREPLACE(D787,""[^A-Za-z]+ "",""""))"),"Wiicmenu")</f>
        <v>Wiicmenu</v>
      </c>
      <c r="G802" s="4" t="s">
        <v>5612</v>
      </c>
      <c r="H802" s="4">
        <v>9</v>
      </c>
      <c r="I802" s="4" t="s">
        <v>36</v>
      </c>
      <c r="J802" s="5" t="s">
        <v>5613</v>
      </c>
      <c r="K802" s="5" t="s">
        <v>5614</v>
      </c>
      <c r="L802" s="4" t="s">
        <v>39</v>
      </c>
      <c r="M802" s="4" t="s">
        <v>29</v>
      </c>
      <c r="N802" s="4" t="s">
        <v>5615</v>
      </c>
      <c r="O802" s="4" t="s">
        <v>29</v>
      </c>
      <c r="P802" s="6"/>
      <c r="Q802" s="6"/>
      <c r="R802" s="6"/>
      <c r="S802" s="6"/>
      <c r="T802" s="6"/>
      <c r="U802" s="6"/>
      <c r="V802" s="6"/>
      <c r="W802" s="6"/>
      <c r="X802" s="6"/>
      <c r="Y802" s="6"/>
    </row>
    <row r="803" ht="14.25">
      <c r="B803" s="4" t="s">
        <v>4177</v>
      </c>
      <c r="C803" s="4" t="s">
        <v>5616</v>
      </c>
      <c r="D803" s="4" t="s">
        <v>164</v>
      </c>
      <c r="E803" s="4" t="s">
        <v>5617</v>
      </c>
      <c r="F803" s="4" t="str">
        <f>IFERROR(__XLUDF.DUMMYFUNCTION("PROPER(REGEXREPLACE(D788,""[^A-Za-z]+ "",""""))"),"Zejourney")</f>
        <v>Zejourney</v>
      </c>
      <c r="G803" s="4" t="s">
        <v>5618</v>
      </c>
      <c r="H803" s="4">
        <v>14</v>
      </c>
      <c r="I803" s="4" t="s">
        <v>25</v>
      </c>
      <c r="J803" s="5" t="s">
        <v>5619</v>
      </c>
      <c r="K803" s="5" t="s">
        <v>5620</v>
      </c>
      <c r="L803" s="4" t="s">
        <v>39</v>
      </c>
      <c r="M803" s="4" t="s">
        <v>29</v>
      </c>
      <c r="N803" s="4" t="s">
        <v>5621</v>
      </c>
      <c r="O803" s="4" t="s">
        <v>29</v>
      </c>
      <c r="P803" s="6"/>
      <c r="Q803" s="6"/>
      <c r="R803" s="6"/>
      <c r="S803" s="6"/>
      <c r="T803" s="6"/>
      <c r="U803" s="6"/>
      <c r="V803" s="6"/>
      <c r="W803" s="6"/>
      <c r="X803" s="6"/>
      <c r="Y803" s="6"/>
    </row>
    <row r="804" ht="14.25">
      <c r="B804" s="4" t="s">
        <v>1153</v>
      </c>
      <c r="C804" s="4" t="s">
        <v>5622</v>
      </c>
      <c r="D804" s="4" t="s">
        <v>5623</v>
      </c>
      <c r="E804" s="4" t="s">
        <v>5624</v>
      </c>
      <c r="F804" s="4" t="str">
        <f>IFERROR(__XLUDF.DUMMYFUNCTION("PROPER(REGEXREPLACE(D789,""[^A-Za-z]+ "",""""))"),"Camping Amfora")</f>
        <v xml:space="preserve">Camping Amfora</v>
      </c>
      <c r="G804" s="4" t="s">
        <v>5625</v>
      </c>
      <c r="H804" s="4">
        <v>14</v>
      </c>
      <c r="I804" s="4" t="s">
        <v>25</v>
      </c>
      <c r="J804" s="5" t="s">
        <v>5626</v>
      </c>
      <c r="K804" s="5" t="s">
        <v>5627</v>
      </c>
      <c r="L804" s="4" t="s">
        <v>5628</v>
      </c>
      <c r="M804" s="4" t="s">
        <v>29</v>
      </c>
      <c r="N804" s="4" t="s">
        <v>5629</v>
      </c>
      <c r="O804" s="4" t="s">
        <v>29</v>
      </c>
      <c r="P804" s="4" t="s">
        <v>5630</v>
      </c>
      <c r="Q804" s="6"/>
      <c r="R804" s="6"/>
      <c r="S804" s="6"/>
      <c r="T804" s="6"/>
      <c r="U804" s="6"/>
      <c r="V804" s="6"/>
      <c r="W804" s="6"/>
      <c r="X804" s="6"/>
      <c r="Y804" s="6"/>
    </row>
    <row r="805" ht="14.25">
      <c r="B805" s="4" t="s">
        <v>1198</v>
      </c>
      <c r="C805" s="4" t="s">
        <v>4086</v>
      </c>
      <c r="D805" s="4" t="s">
        <v>1950</v>
      </c>
      <c r="E805" s="4" t="s">
        <v>5631</v>
      </c>
      <c r="F805" s="4" t="str">
        <f>IFERROR(__XLUDF.DUMMYFUNCTION("PROPER(REGEXREPLACE(D790,""[^A-Za-z]+ "",""""))"),"Veng Hour")</f>
        <v xml:space="preserve">Veng Hour</v>
      </c>
      <c r="G805" s="4" t="s">
        <v>5632</v>
      </c>
      <c r="H805" s="4">
        <v>54</v>
      </c>
      <c r="I805" s="4" t="s">
        <v>36</v>
      </c>
      <c r="J805" s="5" t="s">
        <v>5633</v>
      </c>
      <c r="K805" s="5" t="s">
        <v>5634</v>
      </c>
      <c r="L805" s="4" t="s">
        <v>39</v>
      </c>
      <c r="M805" s="4" t="s">
        <v>29</v>
      </c>
      <c r="N805" s="4" t="s">
        <v>5635</v>
      </c>
      <c r="O805" s="4" t="s">
        <v>29</v>
      </c>
      <c r="P805" s="6"/>
      <c r="Q805" s="6"/>
      <c r="R805" s="6"/>
      <c r="S805" s="6"/>
      <c r="T805" s="6"/>
      <c r="U805" s="6"/>
      <c r="V805" s="6"/>
      <c r="W805" s="6"/>
      <c r="X805" s="6"/>
      <c r="Y805" s="6"/>
    </row>
    <row r="806" ht="14.25">
      <c r="B806" s="4" t="s">
        <v>785</v>
      </c>
      <c r="C806" s="4" t="s">
        <v>5636</v>
      </c>
      <c r="D806" s="4" t="s">
        <v>5637</v>
      </c>
      <c r="E806" s="4" t="s">
        <v>5638</v>
      </c>
      <c r="F806" s="4" t="str">
        <f>IFERROR(__XLUDF.DUMMYFUNCTION("PROPER(REGEXREPLACE(D791,""[^A-Za-z]+ "",""""))"),"Hôtel Rochechouart")</f>
        <v xml:space="preserve">Hôtel Rochechouart</v>
      </c>
      <c r="G806" s="4" t="s">
        <v>5639</v>
      </c>
      <c r="H806" s="4">
        <v>26</v>
      </c>
      <c r="I806" s="4" t="s">
        <v>36</v>
      </c>
      <c r="J806" s="5" t="s">
        <v>5640</v>
      </c>
      <c r="K806" s="5" t="s">
        <v>5641</v>
      </c>
      <c r="L806" s="4" t="s">
        <v>39</v>
      </c>
      <c r="M806" s="4" t="s">
        <v>29</v>
      </c>
      <c r="N806" s="4" t="s">
        <v>5642</v>
      </c>
      <c r="O806" s="4" t="s">
        <v>29</v>
      </c>
      <c r="P806" s="4" t="s">
        <v>5643</v>
      </c>
      <c r="Q806" s="6"/>
      <c r="R806" s="6"/>
      <c r="S806" s="6"/>
      <c r="T806" s="6"/>
      <c r="U806" s="6"/>
      <c r="V806" s="6"/>
      <c r="W806" s="6"/>
      <c r="X806" s="6"/>
      <c r="Y806" s="6"/>
    </row>
    <row r="807" ht="14.25">
      <c r="B807" s="4" t="s">
        <v>2299</v>
      </c>
      <c r="C807" s="6"/>
      <c r="D807" s="4" t="s">
        <v>87</v>
      </c>
      <c r="E807" s="4" t="s">
        <v>5644</v>
      </c>
      <c r="F807" s="4" t="str">
        <f>IFERROR(__XLUDF.DUMMYFUNCTION("PROPER(REGEXREPLACE(D792,""[^A-Za-z]+ "",""""))"),"Cocktails Bar")</f>
        <v xml:space="preserve">Cocktails Bar</v>
      </c>
      <c r="G807" s="4" t="s">
        <v>5645</v>
      </c>
      <c r="H807" s="4">
        <v>12</v>
      </c>
      <c r="I807" s="4" t="s">
        <v>25</v>
      </c>
      <c r="J807" s="5" t="s">
        <v>5646</v>
      </c>
      <c r="K807" s="5" t="s">
        <v>5647</v>
      </c>
      <c r="L807" s="4" t="s">
        <v>4303</v>
      </c>
      <c r="M807" s="4" t="s">
        <v>29</v>
      </c>
      <c r="N807" s="4" t="s">
        <v>5648</v>
      </c>
      <c r="O807" s="4" t="s">
        <v>29</v>
      </c>
      <c r="P807" s="6"/>
      <c r="Q807" s="6"/>
      <c r="R807" s="6"/>
      <c r="S807" s="6"/>
      <c r="T807" s="6"/>
      <c r="U807" s="6"/>
      <c r="V807" s="6"/>
      <c r="W807" s="6"/>
      <c r="X807" s="6"/>
      <c r="Y807" s="6"/>
    </row>
    <row r="808" ht="14.25">
      <c r="B808" s="4" t="s">
        <v>5649</v>
      </c>
      <c r="C808" s="4" t="s">
        <v>5580</v>
      </c>
      <c r="D808" s="4" t="s">
        <v>5650</v>
      </c>
      <c r="E808" s="4" t="s">
        <v>5582</v>
      </c>
      <c r="F808" s="4" t="str">
        <f>IFERROR(__XLUDF.DUMMYFUNCTION("PROPER(REGEXREPLACE(D793,""[^A-Za-z]+ "",""""))"),"Les Portes Du Mont Saint-Michel")</f>
        <v xml:space="preserve">Les Portes Du Mont Saint-Michel</v>
      </c>
      <c r="G808" s="4" t="s">
        <v>5651</v>
      </c>
      <c r="H808" s="4">
        <v>18</v>
      </c>
      <c r="I808" s="4" t="s">
        <v>25</v>
      </c>
      <c r="J808" s="5" t="s">
        <v>5652</v>
      </c>
      <c r="K808" s="5" t="s">
        <v>5585</v>
      </c>
      <c r="L808" s="6"/>
      <c r="M808" s="4" t="s">
        <v>29</v>
      </c>
      <c r="N808" s="4" t="s">
        <v>67</v>
      </c>
      <c r="O808" s="4" t="s">
        <v>29</v>
      </c>
      <c r="P808" s="6"/>
      <c r="Q808" s="6"/>
      <c r="R808" s="6"/>
      <c r="S808" s="6"/>
      <c r="T808" s="6"/>
      <c r="U808" s="6"/>
      <c r="V808" s="6"/>
      <c r="W808" s="6"/>
      <c r="X808" s="6"/>
      <c r="Y808" s="6"/>
    </row>
    <row r="809" ht="14.25">
      <c r="B809" s="4" t="s">
        <v>5653</v>
      </c>
      <c r="C809" s="4" t="s">
        <v>5654</v>
      </c>
      <c r="D809" s="4" t="s">
        <v>5655</v>
      </c>
      <c r="E809" s="4" t="s">
        <v>5656</v>
      </c>
      <c r="F809" s="4" t="str">
        <f>IFERROR(__XLUDF.DUMMYFUNCTION("PROPER(REGEXREPLACE(D794,""[^A-Za-z]+ "",""""))"),"Best Western Premier Grand Monarque Hôtelspa")</f>
        <v xml:space="preserve">Best Western Premier Grand Monarque Hôtelspa</v>
      </c>
      <c r="G809" s="4" t="s">
        <v>5657</v>
      </c>
      <c r="H809" s="4">
        <v>23</v>
      </c>
      <c r="I809" s="4" t="s">
        <v>157</v>
      </c>
      <c r="J809" s="5" t="s">
        <v>5658</v>
      </c>
      <c r="K809" s="5" t="s">
        <v>5659</v>
      </c>
      <c r="L809" s="6"/>
      <c r="M809" s="4" t="s">
        <v>29</v>
      </c>
      <c r="N809" s="4" t="s">
        <v>5660</v>
      </c>
      <c r="O809" s="4" t="s">
        <v>29</v>
      </c>
      <c r="P809" s="4" t="s">
        <v>5661</v>
      </c>
      <c r="Q809" s="6"/>
      <c r="R809" s="6"/>
      <c r="S809" s="6"/>
      <c r="T809" s="6"/>
      <c r="U809" s="6"/>
      <c r="V809" s="6"/>
      <c r="W809" s="6"/>
      <c r="X809" s="6"/>
      <c r="Y809" s="6"/>
    </row>
    <row r="810" ht="14.25">
      <c r="B810" s="4" t="s">
        <v>2299</v>
      </c>
      <c r="C810" s="4" t="s">
        <v>5662</v>
      </c>
      <c r="D810" s="4" t="s">
        <v>5663</v>
      </c>
      <c r="E810" s="4" t="s">
        <v>5664</v>
      </c>
      <c r="F810" s="4" t="str">
        <f>IFERROR(__XLUDF.DUMMYFUNCTION("PROPER(REGEXREPLACE(D795,""[^A-Za-z]+ "",""""))"),"Groupe Miam!")</f>
        <v xml:space="preserve">Groupe Miam!</v>
      </c>
      <c r="G810" s="4" t="s">
        <v>5665</v>
      </c>
      <c r="H810" s="4">
        <v>47</v>
      </c>
      <c r="I810" s="4" t="s">
        <v>36</v>
      </c>
      <c r="J810" s="5" t="s">
        <v>5666</v>
      </c>
      <c r="K810" s="5" t="s">
        <v>5667</v>
      </c>
      <c r="L810" s="4" t="s">
        <v>5668</v>
      </c>
      <c r="M810" s="4" t="s">
        <v>29</v>
      </c>
      <c r="N810" s="4" t="s">
        <v>5669</v>
      </c>
      <c r="O810" s="4" t="s">
        <v>29</v>
      </c>
      <c r="P810" s="4" t="s">
        <v>5670</v>
      </c>
      <c r="Q810" s="6"/>
      <c r="R810" s="6"/>
      <c r="S810" s="6"/>
      <c r="T810" s="6"/>
      <c r="U810" s="6"/>
      <c r="V810" s="6"/>
      <c r="W810" s="6"/>
      <c r="X810" s="6"/>
      <c r="Y810" s="6"/>
    </row>
    <row r="811" ht="14.25">
      <c r="B811" s="4" t="s">
        <v>5671</v>
      </c>
      <c r="C811" s="4" t="s">
        <v>5672</v>
      </c>
      <c r="D811" s="4" t="s">
        <v>198</v>
      </c>
      <c r="E811" s="4" t="s">
        <v>5673</v>
      </c>
      <c r="F811" s="4" t="str">
        <f>IFERROR(__XLUDF.DUMMYFUNCTION("PROPER(REGEXREPLACE(D796,""[^A-Za-z]+ "",""""))"),"Wiicmenu")</f>
        <v>Wiicmenu</v>
      </c>
      <c r="G811" s="4" t="s">
        <v>5674</v>
      </c>
      <c r="H811" s="4">
        <v>24</v>
      </c>
      <c r="I811" s="4" t="s">
        <v>25</v>
      </c>
      <c r="J811" s="5" t="s">
        <v>5675</v>
      </c>
      <c r="K811" s="5" t="s">
        <v>5676</v>
      </c>
      <c r="L811" s="6"/>
      <c r="M811" s="4" t="s">
        <v>29</v>
      </c>
      <c r="N811" s="4" t="s">
        <v>5677</v>
      </c>
      <c r="O811" s="4" t="s">
        <v>29</v>
      </c>
      <c r="P811" s="4" t="s">
        <v>5678</v>
      </c>
      <c r="Q811" s="6"/>
      <c r="R811" s="6"/>
      <c r="S811" s="6"/>
      <c r="T811" s="6"/>
      <c r="U811" s="6"/>
      <c r="V811" s="6"/>
      <c r="W811" s="6"/>
      <c r="X811" s="6"/>
      <c r="Y811" s="6"/>
    </row>
    <row r="812" ht="14.25">
      <c r="B812" s="4" t="s">
        <v>5679</v>
      </c>
      <c r="C812" s="4" t="s">
        <v>5680</v>
      </c>
      <c r="D812" s="4" t="s">
        <v>5681</v>
      </c>
      <c r="E812" s="4" t="s">
        <v>5682</v>
      </c>
      <c r="F812" s="4" t="str">
        <f>IFERROR(__XLUDF.DUMMYFUNCTION("PROPER(REGEXREPLACE(D797,""[^A-Za-z]+ "",""""))"),"Mando Hospitality")</f>
        <v xml:space="preserve">Mando Hospitality</v>
      </c>
      <c r="G812" s="4" t="s">
        <v>5683</v>
      </c>
      <c r="H812" s="4">
        <v>9</v>
      </c>
      <c r="I812" s="4" t="s">
        <v>25</v>
      </c>
      <c r="J812" s="5" t="s">
        <v>5684</v>
      </c>
      <c r="K812" s="5" t="s">
        <v>5685</v>
      </c>
      <c r="L812" s="4" t="s">
        <v>39</v>
      </c>
      <c r="M812" s="4" t="s">
        <v>29</v>
      </c>
      <c r="N812" s="4" t="s">
        <v>5686</v>
      </c>
      <c r="O812" s="4" t="s">
        <v>29</v>
      </c>
      <c r="P812" s="4" t="s">
        <v>5687</v>
      </c>
      <c r="Q812" s="6"/>
      <c r="R812" s="6"/>
      <c r="S812" s="6"/>
      <c r="T812" s="6"/>
      <c r="U812" s="6"/>
      <c r="V812" s="6"/>
      <c r="W812" s="6"/>
      <c r="X812" s="6"/>
      <c r="Y812" s="6"/>
    </row>
    <row r="813" ht="14.25">
      <c r="B813" s="4" t="s">
        <v>5688</v>
      </c>
      <c r="C813" s="4" t="s">
        <v>5689</v>
      </c>
      <c r="D813" s="4" t="s">
        <v>62</v>
      </c>
      <c r="E813" s="4" t="s">
        <v>5690</v>
      </c>
      <c r="F813" s="4" t="str">
        <f>IFERROR(__XLUDF.DUMMYFUNCTION("PROPER(REGEXREPLACE(D798,""[^A-Za-z]+ "",""""))"),"Quotelo")</f>
        <v>Quotelo</v>
      </c>
      <c r="G813" s="4" t="s">
        <v>5691</v>
      </c>
      <c r="H813" s="4">
        <v>5</v>
      </c>
      <c r="I813" s="4" t="s">
        <v>157</v>
      </c>
      <c r="J813" s="5" t="s">
        <v>5692</v>
      </c>
      <c r="K813" s="5" t="s">
        <v>5693</v>
      </c>
      <c r="L813" s="4" t="s">
        <v>39</v>
      </c>
      <c r="M813" s="4" t="s">
        <v>29</v>
      </c>
      <c r="N813" s="4" t="s">
        <v>5694</v>
      </c>
      <c r="O813" s="4" t="s">
        <v>29</v>
      </c>
      <c r="P813" s="6"/>
      <c r="Q813" s="6"/>
      <c r="R813" s="6"/>
      <c r="S813" s="6"/>
      <c r="T813" s="6"/>
      <c r="U813" s="6"/>
      <c r="V813" s="6"/>
      <c r="W813" s="6"/>
      <c r="X813" s="6"/>
      <c r="Y813" s="6"/>
    </row>
    <row r="814" ht="14.25">
      <c r="B814" s="4" t="s">
        <v>5695</v>
      </c>
      <c r="C814" s="4" t="s">
        <v>5696</v>
      </c>
      <c r="D814" s="4" t="s">
        <v>62</v>
      </c>
      <c r="E814" s="4" t="s">
        <v>5697</v>
      </c>
      <c r="F814" s="4" t="str">
        <f>IFERROR(__XLUDF.DUMMYFUNCTION("PROPER(REGEXREPLACE(D799,""[^A-Za-z]+ "",""""))"),"Evi Hob")</f>
        <v xml:space="preserve">Evi Hob</v>
      </c>
      <c r="G814" s="4" t="s">
        <v>5698</v>
      </c>
      <c r="H814" s="4">
        <v>22</v>
      </c>
      <c r="I814" s="4" t="s">
        <v>36</v>
      </c>
      <c r="J814" s="5" t="s">
        <v>5699</v>
      </c>
      <c r="K814" s="5" t="s">
        <v>5700</v>
      </c>
      <c r="L814" s="4" t="s">
        <v>39</v>
      </c>
      <c r="M814" s="4" t="s">
        <v>29</v>
      </c>
      <c r="N814" s="4" t="s">
        <v>5701</v>
      </c>
      <c r="O814" s="4" t="s">
        <v>1261</v>
      </c>
      <c r="P814" s="6"/>
      <c r="Q814" s="6"/>
      <c r="R814" s="6"/>
      <c r="S814" s="6"/>
      <c r="T814" s="6"/>
      <c r="U814" s="6"/>
      <c r="V814" s="6"/>
      <c r="W814" s="6"/>
      <c r="X814" s="6"/>
      <c r="Y814" s="6"/>
    </row>
    <row r="815" ht="14.25">
      <c r="B815" s="4" t="s">
        <v>5702</v>
      </c>
      <c r="C815" s="4" t="s">
        <v>4819</v>
      </c>
      <c r="D815" s="4" t="s">
        <v>87</v>
      </c>
      <c r="E815" s="4" t="s">
        <v>5703</v>
      </c>
      <c r="F815" s="4" t="str">
        <f>IFERROR(__XLUDF.DUMMYFUNCTION("PROPER(REGEXREPLACE(D800,""[^A-Za-z]+ "",""""))"),"Le Parc Hôtel Obernaiyonaguni Spa")</f>
        <v xml:space="preserve">Le Parc Hôtel Obernaiyonaguni Spa</v>
      </c>
      <c r="G815" s="4" t="s">
        <v>5704</v>
      </c>
      <c r="H815" s="4">
        <v>3</v>
      </c>
      <c r="I815" s="4" t="s">
        <v>90</v>
      </c>
      <c r="J815" s="5" t="s">
        <v>5705</v>
      </c>
      <c r="K815" s="5" t="s">
        <v>5706</v>
      </c>
      <c r="L815" s="4" t="s">
        <v>203</v>
      </c>
      <c r="M815" s="4" t="s">
        <v>29</v>
      </c>
      <c r="N815" s="4" t="s">
        <v>5707</v>
      </c>
      <c r="O815" s="4" t="s">
        <v>29</v>
      </c>
      <c r="P815" s="4" t="s">
        <v>5708</v>
      </c>
      <c r="Q815" s="6"/>
      <c r="R815" s="6"/>
      <c r="S815" s="6"/>
      <c r="T815" s="6"/>
      <c r="U815" s="6"/>
      <c r="V815" s="6"/>
      <c r="W815" s="6"/>
      <c r="X815" s="6"/>
      <c r="Y815" s="6"/>
    </row>
    <row r="816" ht="14.25">
      <c r="B816" s="4" t="s">
        <v>710</v>
      </c>
      <c r="C816" s="4" t="s">
        <v>5709</v>
      </c>
      <c r="D816" s="4" t="s">
        <v>172</v>
      </c>
      <c r="E816" s="4" t="s">
        <v>5710</v>
      </c>
      <c r="F816" s="4" t="str">
        <f>IFERROR(__XLUDF.DUMMYFUNCTION("PROPER(REGEXREPLACE(D801,""[^A-Za-z]+ "",""""))"),"Les Enfants Dehors")</f>
        <v xml:space="preserve">Les Enfants Dehors</v>
      </c>
      <c r="G816" s="4" t="s">
        <v>5711</v>
      </c>
      <c r="H816" s="4">
        <v>21</v>
      </c>
      <c r="I816" s="4" t="s">
        <v>36</v>
      </c>
      <c r="J816" s="5" t="s">
        <v>5712</v>
      </c>
      <c r="K816" s="5" t="s">
        <v>5713</v>
      </c>
      <c r="L816" s="4" t="s">
        <v>846</v>
      </c>
      <c r="M816" s="4" t="s">
        <v>29</v>
      </c>
      <c r="N816" s="4" t="s">
        <v>5714</v>
      </c>
      <c r="O816" s="4" t="s">
        <v>29</v>
      </c>
      <c r="P816" s="4" t="s">
        <v>5715</v>
      </c>
      <c r="Q816" s="6"/>
      <c r="R816" s="6"/>
      <c r="S816" s="6"/>
      <c r="T816" s="6"/>
      <c r="U816" s="6"/>
      <c r="V816" s="6"/>
      <c r="W816" s="6"/>
      <c r="X816" s="6"/>
      <c r="Y816" s="6"/>
    </row>
    <row r="817" ht="14.25">
      <c r="B817" s="4" t="s">
        <v>5716</v>
      </c>
      <c r="C817" s="4" t="s">
        <v>5717</v>
      </c>
      <c r="D817" s="4" t="s">
        <v>62</v>
      </c>
      <c r="E817" s="4" t="s">
        <v>5718</v>
      </c>
      <c r="F817" s="4" t="str">
        <f>IFERROR(__XLUDF.DUMMYFUNCTION("PROPER(REGEXREPLACE(D802,""[^A-Za-z]+ "",""""))"),"Liquid")</f>
        <v>Liquid</v>
      </c>
      <c r="G817" s="4" t="s">
        <v>5719</v>
      </c>
      <c r="H817" s="4">
        <v>51</v>
      </c>
      <c r="I817" s="4" t="s">
        <v>36</v>
      </c>
      <c r="J817" s="5" t="s">
        <v>5720</v>
      </c>
      <c r="K817" s="5" t="s">
        <v>5721</v>
      </c>
      <c r="L817" s="4" t="s">
        <v>243</v>
      </c>
      <c r="M817" s="4" t="s">
        <v>29</v>
      </c>
      <c r="N817" s="4" t="s">
        <v>5722</v>
      </c>
      <c r="O817" s="4" t="s">
        <v>29</v>
      </c>
      <c r="P817" s="6"/>
      <c r="Q817" s="6"/>
      <c r="R817" s="6"/>
      <c r="S817" s="6"/>
      <c r="T817" s="6"/>
      <c r="U817" s="6"/>
      <c r="V817" s="6"/>
      <c r="W817" s="6"/>
      <c r="X817" s="6"/>
      <c r="Y817" s="6"/>
    </row>
    <row r="818" ht="14.25">
      <c r="B818" s="4" t="s">
        <v>20</v>
      </c>
      <c r="C818" s="4" t="s">
        <v>5723</v>
      </c>
      <c r="D818" s="4" t="s">
        <v>44</v>
      </c>
      <c r="E818" s="4" t="s">
        <v>5724</v>
      </c>
      <c r="F818" s="4" t="str">
        <f>IFERROR(__XLUDF.DUMMYFUNCTION("PROPER(REGEXREPLACE(D803,""[^A-Za-z]+ "",""""))"),"Hotel Montaigne*****")</f>
        <v xml:space="preserve">Hotel Montaigne*****</v>
      </c>
      <c r="G818" s="4" t="s">
        <v>5725</v>
      </c>
      <c r="H818" s="4">
        <v>5</v>
      </c>
      <c r="I818" s="4" t="s">
        <v>25</v>
      </c>
      <c r="J818" s="5" t="s">
        <v>5726</v>
      </c>
      <c r="K818" s="5" t="s">
        <v>5727</v>
      </c>
      <c r="L818" s="4" t="s">
        <v>39</v>
      </c>
      <c r="M818" s="4" t="s">
        <v>29</v>
      </c>
      <c r="N818" s="4" t="s">
        <v>67</v>
      </c>
      <c r="O818" s="4" t="s">
        <v>29</v>
      </c>
      <c r="P818" s="6"/>
      <c r="Q818" s="6"/>
      <c r="R818" s="6"/>
      <c r="S818" s="6"/>
      <c r="T818" s="6"/>
      <c r="U818" s="6"/>
      <c r="V818" s="6"/>
      <c r="W818" s="6"/>
      <c r="X818" s="6"/>
      <c r="Y818" s="6"/>
    </row>
    <row r="819" ht="14.25">
      <c r="B819" s="4" t="s">
        <v>5728</v>
      </c>
      <c r="C819" s="4" t="s">
        <v>5729</v>
      </c>
      <c r="D819" s="4" t="s">
        <v>5730</v>
      </c>
      <c r="E819" s="4" t="s">
        <v>5731</v>
      </c>
      <c r="F819" s="4" t="str">
        <f>IFERROR(__XLUDF.DUMMYFUNCTION("PROPER(REGEXREPLACE(D804,""[^A-Za-z]+ "",""""))"),"Hôtel***")</f>
        <v>Hôtel***</v>
      </c>
      <c r="G819" s="4" t="s">
        <v>5732</v>
      </c>
      <c r="H819" s="4">
        <v>7</v>
      </c>
      <c r="I819" s="4" t="s">
        <v>25</v>
      </c>
      <c r="J819" s="5" t="s">
        <v>5733</v>
      </c>
      <c r="K819" s="5" t="s">
        <v>5734</v>
      </c>
      <c r="L819" s="4" t="s">
        <v>243</v>
      </c>
      <c r="M819" s="4" t="s">
        <v>29</v>
      </c>
      <c r="N819" s="4" t="s">
        <v>5735</v>
      </c>
      <c r="O819" s="4" t="s">
        <v>29</v>
      </c>
      <c r="P819" s="4" t="s">
        <v>5736</v>
      </c>
      <c r="Q819" s="6"/>
      <c r="R819" s="6"/>
      <c r="S819" s="6"/>
      <c r="T819" s="6"/>
      <c r="U819" s="6"/>
      <c r="V819" s="6"/>
      <c r="W819" s="6"/>
      <c r="X819" s="6"/>
      <c r="Y819" s="6"/>
    </row>
    <row r="820" ht="14.25">
      <c r="B820" s="4" t="s">
        <v>2870</v>
      </c>
      <c r="C820" s="4" t="s">
        <v>5737</v>
      </c>
      <c r="D820" s="4" t="s">
        <v>172</v>
      </c>
      <c r="E820" s="4" t="s">
        <v>5738</v>
      </c>
      <c r="F820" s="4" t="str">
        <f>IFERROR(__XLUDF.DUMMYFUNCTION("PROPER(REGEXREPLACE(D805,""[^A-Za-z]+ "",""""))"),"Les Bistrots Pas Parisiens")</f>
        <v xml:space="preserve">Les Bistrots Pas Parisiens</v>
      </c>
      <c r="G820" s="4" t="s">
        <v>5739</v>
      </c>
      <c r="H820" s="4">
        <v>7</v>
      </c>
      <c r="I820" s="4" t="s">
        <v>25</v>
      </c>
      <c r="J820" s="5" t="s">
        <v>5740</v>
      </c>
      <c r="K820" s="5" t="s">
        <v>5741</v>
      </c>
      <c r="L820" s="4" t="s">
        <v>5742</v>
      </c>
      <c r="M820" s="4" t="s">
        <v>29</v>
      </c>
      <c r="N820" s="4" t="s">
        <v>5743</v>
      </c>
      <c r="O820" s="4" t="s">
        <v>29</v>
      </c>
      <c r="P820" s="4" t="s">
        <v>5744</v>
      </c>
      <c r="Q820" s="6"/>
      <c r="R820" s="6"/>
      <c r="S820" s="6"/>
      <c r="T820" s="6"/>
      <c r="U820" s="6"/>
      <c r="V820" s="6"/>
      <c r="W820" s="6"/>
      <c r="X820" s="6"/>
      <c r="Y820" s="6"/>
    </row>
    <row r="821" ht="14.25">
      <c r="B821" s="4" t="s">
        <v>893</v>
      </c>
      <c r="C821" s="4" t="s">
        <v>5745</v>
      </c>
      <c r="D821" s="4" t="s">
        <v>62</v>
      </c>
      <c r="E821" s="4" t="s">
        <v>5746</v>
      </c>
      <c r="F821" s="4" t="str">
        <f>IFERROR(__XLUDF.DUMMYFUNCTION("PROPER(REGEXREPLACE(D806,""[^A-Za-z]+ "",""""))"),"Popotes Cantine Respectueuse")</f>
        <v xml:space="preserve">Popotes Cantine Respectueuse</v>
      </c>
      <c r="G821" s="4" t="s">
        <v>5747</v>
      </c>
      <c r="H821" s="4">
        <v>6</v>
      </c>
      <c r="I821" s="4" t="s">
        <v>25</v>
      </c>
      <c r="J821" s="5" t="s">
        <v>5748</v>
      </c>
      <c r="K821" s="5" t="s">
        <v>5749</v>
      </c>
      <c r="L821" s="6"/>
      <c r="M821" s="4" t="s">
        <v>29</v>
      </c>
      <c r="N821" s="4" t="s">
        <v>5750</v>
      </c>
      <c r="O821" s="4" t="s">
        <v>29</v>
      </c>
      <c r="P821" s="4" t="s">
        <v>5751</v>
      </c>
      <c r="Q821" s="6"/>
      <c r="R821" s="6"/>
      <c r="S821" s="6"/>
      <c r="T821" s="6"/>
      <c r="U821" s="6"/>
      <c r="V821" s="6"/>
      <c r="W821" s="6"/>
      <c r="X821" s="6"/>
      <c r="Y821" s="6"/>
    </row>
    <row r="822" ht="14.25">
      <c r="B822" s="4" t="s">
        <v>5752</v>
      </c>
      <c r="C822" s="4" t="s">
        <v>5753</v>
      </c>
      <c r="D822" s="4" t="s">
        <v>5754</v>
      </c>
      <c r="E822" s="4" t="s">
        <v>5755</v>
      </c>
      <c r="F822" s="4" t="str">
        <f>IFERROR(__XLUDF.DUMMYFUNCTION("PROPER(REGEXREPLACE(D807,""[^A-Za-z]+ "",""""))"),"Agp Hotels")</f>
        <v xml:space="preserve">Agp Hotels</v>
      </c>
      <c r="G822" s="4" t="s">
        <v>5756</v>
      </c>
      <c r="H822" s="4">
        <v>3</v>
      </c>
      <c r="I822" s="4" t="s">
        <v>25</v>
      </c>
      <c r="J822" s="5" t="s">
        <v>5757</v>
      </c>
      <c r="K822" s="5" t="s">
        <v>5758</v>
      </c>
      <c r="L822" s="4" t="s">
        <v>5759</v>
      </c>
      <c r="M822" s="4" t="s">
        <v>29</v>
      </c>
      <c r="N822" s="4" t="s">
        <v>5760</v>
      </c>
      <c r="O822" s="4" t="s">
        <v>29</v>
      </c>
      <c r="P822" s="4" t="s">
        <v>5761</v>
      </c>
      <c r="Q822" s="6"/>
      <c r="R822" s="6"/>
      <c r="S822" s="6"/>
      <c r="T822" s="6"/>
      <c r="U822" s="6"/>
      <c r="V822" s="6"/>
      <c r="W822" s="6"/>
      <c r="X822" s="6"/>
      <c r="Y822" s="6"/>
    </row>
    <row r="823" ht="14.25">
      <c r="B823" s="4" t="s">
        <v>4236</v>
      </c>
      <c r="C823" s="4" t="s">
        <v>3711</v>
      </c>
      <c r="D823" s="4" t="s">
        <v>315</v>
      </c>
      <c r="E823" s="4" t="s">
        <v>5762</v>
      </c>
      <c r="F823" s="4" t="str">
        <f>IFERROR(__XLUDF.DUMMYFUNCTION("PROPER(REGEXREPLACE(D808,""[^A-Za-z]+ "",""""))"),"Mando Hospitality")</f>
        <v xml:space="preserve">Mando Hospitality</v>
      </c>
      <c r="G823" s="4" t="s">
        <v>5763</v>
      </c>
      <c r="H823" s="4">
        <v>4</v>
      </c>
      <c r="I823" s="4" t="s">
        <v>25</v>
      </c>
      <c r="J823" s="5" t="s">
        <v>5764</v>
      </c>
      <c r="K823" s="5" t="s">
        <v>5765</v>
      </c>
      <c r="L823" s="4" t="s">
        <v>39</v>
      </c>
      <c r="M823" s="4" t="s">
        <v>29</v>
      </c>
      <c r="N823" s="4" t="s">
        <v>5766</v>
      </c>
      <c r="O823" s="4" t="s">
        <v>29</v>
      </c>
      <c r="P823" s="4" t="s">
        <v>5767</v>
      </c>
      <c r="Q823" s="6"/>
      <c r="R823" s="6"/>
      <c r="S823" s="6"/>
      <c r="T823" s="6"/>
      <c r="U823" s="6"/>
      <c r="V823" s="6"/>
      <c r="W823" s="6"/>
      <c r="X823" s="6"/>
      <c r="Y823" s="6"/>
    </row>
    <row r="824" ht="14.25">
      <c r="B824" s="4" t="s">
        <v>1619</v>
      </c>
      <c r="C824" s="4" t="s">
        <v>5768</v>
      </c>
      <c r="D824" s="4" t="s">
        <v>3637</v>
      </c>
      <c r="E824" s="4" t="s">
        <v>5769</v>
      </c>
      <c r="F824" s="4" t="str">
        <f>IFERROR(__XLUDF.DUMMYFUNCTION("PROPER(REGEXREPLACE(D809,""[^A-Za-z]+ "",""""))"),"Huîtres Amélie")</f>
        <v xml:space="preserve">Huîtres Amélie</v>
      </c>
      <c r="G824" s="4" t="s">
        <v>5770</v>
      </c>
      <c r="H824" s="4">
        <v>9</v>
      </c>
      <c r="I824" s="4" t="s">
        <v>36</v>
      </c>
      <c r="J824" s="5" t="s">
        <v>5771</v>
      </c>
      <c r="K824" s="5" t="s">
        <v>5772</v>
      </c>
      <c r="L824" s="4" t="s">
        <v>1711</v>
      </c>
      <c r="M824" s="4" t="s">
        <v>29</v>
      </c>
      <c r="N824" s="4" t="s">
        <v>5773</v>
      </c>
      <c r="O824" s="4" t="s">
        <v>29</v>
      </c>
      <c r="P824" s="6"/>
      <c r="Q824" s="6"/>
      <c r="R824" s="6"/>
      <c r="S824" s="6"/>
      <c r="T824" s="6"/>
      <c r="U824" s="6"/>
      <c r="V824" s="6"/>
      <c r="W824" s="6"/>
      <c r="X824" s="6"/>
      <c r="Y824" s="6"/>
    </row>
    <row r="825" ht="14.25">
      <c r="B825" s="4" t="s">
        <v>5774</v>
      </c>
      <c r="C825" s="4" t="s">
        <v>5775</v>
      </c>
      <c r="D825" s="4" t="s">
        <v>198</v>
      </c>
      <c r="E825" s="4" t="s">
        <v>5776</v>
      </c>
      <c r="F825" s="4" t="str">
        <f>IFERROR(__XLUDF.DUMMYFUNCTION("PROPER(REGEXREPLACE(D810,""[^A-Za-z]+ "",""""))"),"Le 17.45")</f>
        <v xml:space="preserve">Le 17.45</v>
      </c>
      <c r="G825" s="4" t="s">
        <v>5777</v>
      </c>
      <c r="H825" s="4">
        <v>10</v>
      </c>
      <c r="I825" s="4" t="s">
        <v>36</v>
      </c>
      <c r="J825" s="5" t="s">
        <v>5778</v>
      </c>
      <c r="K825" s="5" t="s">
        <v>5779</v>
      </c>
      <c r="L825" s="4" t="s">
        <v>185</v>
      </c>
      <c r="M825" s="4" t="s">
        <v>29</v>
      </c>
      <c r="N825" s="4" t="s">
        <v>5780</v>
      </c>
      <c r="O825" s="4" t="s">
        <v>29</v>
      </c>
      <c r="P825" s="6"/>
      <c r="Q825" s="6"/>
      <c r="R825" s="6"/>
      <c r="S825" s="6"/>
      <c r="T825" s="6"/>
      <c r="U825" s="6"/>
      <c r="V825" s="6"/>
      <c r="W825" s="6"/>
      <c r="X825" s="6"/>
      <c r="Y825" s="6"/>
    </row>
    <row r="826" ht="14.25">
      <c r="B826" s="4" t="s">
        <v>5781</v>
      </c>
      <c r="C826" s="4" t="s">
        <v>5782</v>
      </c>
      <c r="D826" s="4" t="s">
        <v>315</v>
      </c>
      <c r="E826" s="4" t="s">
        <v>5783</v>
      </c>
      <c r="F826" s="4" t="str">
        <f>IFERROR(__XLUDF.DUMMYFUNCTION("PROPER(REGEXREPLACE(D811,""[^A-Za-z]+ "",""""))"),"La Bastide De Moustiers")</f>
        <v xml:space="preserve">La Bastide De Moustiers</v>
      </c>
      <c r="G826" s="4" t="s">
        <v>5784</v>
      </c>
      <c r="H826" s="4">
        <v>12</v>
      </c>
      <c r="I826" s="4" t="s">
        <v>25</v>
      </c>
      <c r="J826" s="5" t="s">
        <v>5785</v>
      </c>
      <c r="K826" s="5" t="s">
        <v>5786</v>
      </c>
      <c r="L826" s="4" t="s">
        <v>5787</v>
      </c>
      <c r="M826" s="4" t="s">
        <v>29</v>
      </c>
      <c r="N826" s="4" t="s">
        <v>5788</v>
      </c>
      <c r="O826" s="4" t="s">
        <v>29</v>
      </c>
      <c r="P826" s="4" t="s">
        <v>5789</v>
      </c>
      <c r="Q826" s="6"/>
      <c r="R826" s="6"/>
      <c r="S826" s="6"/>
      <c r="T826" s="6"/>
      <c r="U826" s="6"/>
      <c r="V826" s="6"/>
      <c r="W826" s="6"/>
      <c r="X826" s="6"/>
      <c r="Y826" s="6"/>
    </row>
    <row r="827" ht="14.25">
      <c r="B827" s="4" t="s">
        <v>3100</v>
      </c>
      <c r="C827" s="4" t="s">
        <v>5790</v>
      </c>
      <c r="D827" s="4" t="s">
        <v>341</v>
      </c>
      <c r="E827" s="4" t="s">
        <v>5791</v>
      </c>
      <c r="F827" s="4" t="str">
        <f>IFERROR(__XLUDF.DUMMYFUNCTION("PROPER(REGEXREPLACE(D812,""[^A-Za-z]+ "",""""))"),"Home Rental Service")</f>
        <v xml:space="preserve">Home Rental Service</v>
      </c>
      <c r="G827" s="4" t="s">
        <v>5792</v>
      </c>
      <c r="H827" s="4">
        <v>5</v>
      </c>
      <c r="I827" s="4" t="s">
        <v>25</v>
      </c>
      <c r="J827" s="5" t="s">
        <v>5793</v>
      </c>
      <c r="K827" s="5" t="s">
        <v>5794</v>
      </c>
      <c r="L827" s="4" t="s">
        <v>1711</v>
      </c>
      <c r="M827" s="4" t="s">
        <v>29</v>
      </c>
      <c r="N827" s="6"/>
      <c r="O827" s="6"/>
      <c r="P827" s="4" t="s">
        <v>5795</v>
      </c>
      <c r="Q827" s="6"/>
      <c r="R827" s="6"/>
      <c r="S827" s="6"/>
      <c r="T827" s="6"/>
      <c r="U827" s="6"/>
      <c r="V827" s="6"/>
      <c r="W827" s="6"/>
      <c r="X827" s="6"/>
      <c r="Y827" s="6"/>
    </row>
    <row r="828" ht="14.25">
      <c r="B828" s="4" t="s">
        <v>1540</v>
      </c>
      <c r="C828" s="4" t="s">
        <v>5796</v>
      </c>
      <c r="D828" s="4" t="s">
        <v>3611</v>
      </c>
      <c r="E828" s="4" t="s">
        <v>5797</v>
      </c>
      <c r="F828" s="4" t="str">
        <f>IFERROR(__XLUDF.DUMMYFUNCTION("PROPER(REGEXREPLACE(D813,""[^A-Za-z]+ "",""""))"),"Heat Cuisine")</f>
        <v xml:space="preserve">Heat Cuisine</v>
      </c>
      <c r="G828" s="4" t="s">
        <v>5798</v>
      </c>
      <c r="H828" s="4">
        <v>18</v>
      </c>
      <c r="I828" s="4" t="s">
        <v>36</v>
      </c>
      <c r="J828" s="5" t="s">
        <v>5799</v>
      </c>
      <c r="K828" s="5" t="s">
        <v>5800</v>
      </c>
      <c r="L828" s="4" t="s">
        <v>39</v>
      </c>
      <c r="M828" s="4" t="s">
        <v>29</v>
      </c>
      <c r="N828" s="4" t="s">
        <v>67</v>
      </c>
      <c r="O828" s="4" t="s">
        <v>29</v>
      </c>
      <c r="P828" s="6"/>
      <c r="Q828" s="6"/>
      <c r="R828" s="6"/>
      <c r="S828" s="6"/>
      <c r="T828" s="6"/>
      <c r="U828" s="6"/>
      <c r="V828" s="6"/>
      <c r="W828" s="6"/>
      <c r="X828" s="6"/>
      <c r="Y828" s="6"/>
    </row>
    <row r="829" ht="14.25">
      <c r="B829" s="4" t="s">
        <v>5801</v>
      </c>
      <c r="C829" s="4" t="s">
        <v>1485</v>
      </c>
      <c r="D829" s="4" t="s">
        <v>87</v>
      </c>
      <c r="E829" s="4" t="s">
        <v>5802</v>
      </c>
      <c r="F829" s="4" t="str">
        <f>IFERROR(__XLUDF.DUMMYFUNCTION("PROPER(REGEXREPLACE(D814,""[^A-Za-z]+ "",""""))"),"Sawa")</f>
        <v>Sawa</v>
      </c>
      <c r="G829" s="4" t="s">
        <v>5803</v>
      </c>
      <c r="H829" s="4">
        <v>20</v>
      </c>
      <c r="I829" s="4" t="s">
        <v>36</v>
      </c>
      <c r="J829" s="5" t="s">
        <v>5804</v>
      </c>
      <c r="K829" s="5" t="s">
        <v>5805</v>
      </c>
      <c r="L829" s="4" t="s">
        <v>49</v>
      </c>
      <c r="M829" s="4" t="s">
        <v>29</v>
      </c>
      <c r="N829" s="4" t="s">
        <v>5806</v>
      </c>
      <c r="O829" s="4" t="s">
        <v>29</v>
      </c>
      <c r="P829" s="4" t="s">
        <v>5807</v>
      </c>
      <c r="Q829" s="6"/>
      <c r="R829" s="6"/>
      <c r="S829" s="6"/>
      <c r="T829" s="6"/>
      <c r="U829" s="6"/>
      <c r="V829" s="6"/>
      <c r="W829" s="6"/>
      <c r="X829" s="6"/>
      <c r="Y829" s="6"/>
    </row>
    <row r="830" ht="14.25">
      <c r="B830" s="4" t="s">
        <v>5808</v>
      </c>
      <c r="C830" s="4" t="s">
        <v>1909</v>
      </c>
      <c r="D830" s="4" t="s">
        <v>198</v>
      </c>
      <c r="E830" s="4" t="s">
        <v>5809</v>
      </c>
      <c r="F830" s="4" t="str">
        <f>IFERROR(__XLUDF.DUMMYFUNCTION("PROPER(REGEXREPLACE(D815,""[^A-Za-z]+ "",""""))"),"Hidden And Found")</f>
        <v xml:space="preserve">Hidden And Found</v>
      </c>
      <c r="G830" s="4" t="s">
        <v>5810</v>
      </c>
      <c r="H830" s="4">
        <v>44</v>
      </c>
      <c r="I830" s="4" t="s">
        <v>25</v>
      </c>
      <c r="J830" s="5" t="s">
        <v>5811</v>
      </c>
      <c r="K830" s="5" t="s">
        <v>5511</v>
      </c>
      <c r="L830" s="4" t="s">
        <v>39</v>
      </c>
      <c r="M830" s="4" t="s">
        <v>29</v>
      </c>
      <c r="N830" s="4" t="s">
        <v>5812</v>
      </c>
      <c r="O830" s="4" t="s">
        <v>29</v>
      </c>
      <c r="P830" s="6"/>
      <c r="Q830" s="6"/>
      <c r="R830" s="6"/>
      <c r="S830" s="6"/>
      <c r="T830" s="6"/>
      <c r="U830" s="6"/>
      <c r="V830" s="6"/>
      <c r="W830" s="6"/>
      <c r="X830" s="6"/>
      <c r="Y830" s="6"/>
    </row>
    <row r="831" ht="14.25">
      <c r="B831" s="4" t="s">
        <v>571</v>
      </c>
      <c r="C831" s="4" t="s">
        <v>5813</v>
      </c>
      <c r="D831" s="4" t="s">
        <v>5814</v>
      </c>
      <c r="E831" s="4" t="s">
        <v>5815</v>
      </c>
      <c r="F831" s="4" t="str">
        <f>IFERROR(__XLUDF.DUMMYFUNCTION("PROPER(REGEXREPLACE(D816,""[^A-Za-z]+ "",""""))"),"Pirates Paradise Lille")</f>
        <v xml:space="preserve">Pirates Paradise Lille</v>
      </c>
      <c r="G831" s="4" t="s">
        <v>5816</v>
      </c>
      <c r="H831" s="4">
        <v>4</v>
      </c>
      <c r="I831" s="4" t="s">
        <v>25</v>
      </c>
      <c r="J831" s="5" t="s">
        <v>5817</v>
      </c>
      <c r="K831" s="5" t="s">
        <v>5818</v>
      </c>
      <c r="L831" s="6"/>
      <c r="M831" s="4" t="s">
        <v>29</v>
      </c>
      <c r="N831" s="4" t="s">
        <v>5819</v>
      </c>
      <c r="O831" s="4" t="s">
        <v>29</v>
      </c>
      <c r="P831" s="4" t="s">
        <v>5820</v>
      </c>
      <c r="Q831" s="6"/>
      <c r="R831" s="6"/>
      <c r="S831" s="6"/>
      <c r="T831" s="6"/>
      <c r="U831" s="6"/>
      <c r="V831" s="6"/>
      <c r="W831" s="6"/>
      <c r="X831" s="6"/>
      <c r="Y831" s="6"/>
    </row>
    <row r="832" ht="14.25">
      <c r="B832" s="4" t="s">
        <v>661</v>
      </c>
      <c r="C832" s="4" t="s">
        <v>5821</v>
      </c>
      <c r="D832" s="4" t="s">
        <v>172</v>
      </c>
      <c r="E832" s="4" t="s">
        <v>5822</v>
      </c>
      <c r="F832" s="4" t="str">
        <f>IFERROR(__XLUDF.DUMMYFUNCTION("PROPER(REGEXREPLACE(D817,""[^A-Za-z]+ "",""""))"),"Kamo Kamo")</f>
        <v xml:space="preserve">Kamo Kamo</v>
      </c>
      <c r="G832" s="4" t="s">
        <v>5823</v>
      </c>
      <c r="H832" s="4">
        <v>36</v>
      </c>
      <c r="I832" s="4" t="s">
        <v>25</v>
      </c>
      <c r="J832" s="5" t="s">
        <v>5824</v>
      </c>
      <c r="K832" s="5" t="s">
        <v>5825</v>
      </c>
      <c r="L832" s="4" t="s">
        <v>5143</v>
      </c>
      <c r="M832" s="4" t="s">
        <v>29</v>
      </c>
      <c r="N832" s="4" t="s">
        <v>5826</v>
      </c>
      <c r="O832" s="4" t="s">
        <v>29</v>
      </c>
      <c r="P832" s="4" t="s">
        <v>5827</v>
      </c>
      <c r="Q832" s="6"/>
      <c r="R832" s="6"/>
      <c r="S832" s="6"/>
      <c r="T832" s="6"/>
      <c r="U832" s="6"/>
      <c r="V832" s="6"/>
      <c r="W832" s="6"/>
      <c r="X832" s="6"/>
      <c r="Y832" s="6"/>
    </row>
    <row r="833" ht="14.25">
      <c r="B833" s="4" t="s">
        <v>986</v>
      </c>
      <c r="C833" s="4" t="s">
        <v>5828</v>
      </c>
      <c r="D833" s="4" t="s">
        <v>5829</v>
      </c>
      <c r="E833" s="4" t="s">
        <v>5830</v>
      </c>
      <c r="F833" s="4" t="str">
        <f>IFERROR(__XLUDF.DUMMYFUNCTION("PROPER(REGEXREPLACE(D818,""[^A-Za-z]+ "",""""))"),"Yvala")</f>
        <v>Yvala</v>
      </c>
      <c r="G833" s="4" t="s">
        <v>5831</v>
      </c>
      <c r="H833" s="4">
        <v>28</v>
      </c>
      <c r="I833" s="4" t="s">
        <v>25</v>
      </c>
      <c r="J833" s="5" t="s">
        <v>5832</v>
      </c>
      <c r="K833" s="5" t="s">
        <v>5833</v>
      </c>
      <c r="L833" s="4" t="s">
        <v>185</v>
      </c>
      <c r="M833" s="4" t="s">
        <v>29</v>
      </c>
      <c r="N833" s="4" t="s">
        <v>5834</v>
      </c>
      <c r="O833" s="4" t="s">
        <v>29</v>
      </c>
      <c r="P833" s="6"/>
      <c r="Q833" s="6"/>
      <c r="R833" s="6"/>
      <c r="S833" s="6"/>
      <c r="T833" s="6"/>
      <c r="U833" s="6"/>
      <c r="V833" s="6"/>
      <c r="W833" s="6"/>
      <c r="X833" s="6"/>
      <c r="Y833" s="6"/>
    </row>
    <row r="834" ht="14.25">
      <c r="B834" s="4" t="s">
        <v>5835</v>
      </c>
      <c r="C834" s="4" t="s">
        <v>5836</v>
      </c>
      <c r="D834" s="4" t="s">
        <v>5837</v>
      </c>
      <c r="E834" s="4" t="s">
        <v>5838</v>
      </c>
      <c r="F834" s="4" t="str">
        <f>IFERROR(__XLUDF.DUMMYFUNCTION("PROPER(REGEXREPLACE(D819,""[^A-Za-z]+ "",""""))"),"One Touch Cosmetic")</f>
        <v xml:space="preserve">One Touch Cosmetic</v>
      </c>
      <c r="G834" s="4" t="s">
        <v>5839</v>
      </c>
      <c r="H834" s="4">
        <v>4</v>
      </c>
      <c r="I834" s="4" t="s">
        <v>157</v>
      </c>
      <c r="J834" s="5" t="s">
        <v>5840</v>
      </c>
      <c r="K834" s="5" t="s">
        <v>5841</v>
      </c>
      <c r="L834" s="4" t="s">
        <v>651</v>
      </c>
      <c r="M834" s="4" t="s">
        <v>29</v>
      </c>
      <c r="N834" s="4" t="s">
        <v>29</v>
      </c>
      <c r="O834" s="4" t="s">
        <v>29</v>
      </c>
      <c r="P834" s="6"/>
      <c r="Q834" s="6"/>
      <c r="R834" s="6"/>
      <c r="S834" s="6"/>
      <c r="T834" s="6"/>
      <c r="U834" s="6"/>
      <c r="V834" s="6"/>
      <c r="W834" s="6"/>
      <c r="X834" s="6"/>
      <c r="Y834" s="6"/>
    </row>
    <row r="835" ht="14.25">
      <c r="B835" s="4" t="s">
        <v>5842</v>
      </c>
      <c r="C835" s="4" t="s">
        <v>5843</v>
      </c>
      <c r="D835" s="4" t="s">
        <v>172</v>
      </c>
      <c r="E835" s="4" t="s">
        <v>5844</v>
      </c>
      <c r="F835" s="4" t="str">
        <f>IFERROR(__XLUDF.DUMMYFUNCTION("PROPER(REGEXREPLACE(D820,""[^A-Za-z]+ "",""""))"),"Hôtel Rohan Strasbourg")</f>
        <v xml:space="preserve">Hôtel Rohan Strasbourg</v>
      </c>
      <c r="G835" s="4" t="s">
        <v>5845</v>
      </c>
      <c r="H835" s="4">
        <v>30</v>
      </c>
      <c r="I835" s="4" t="s">
        <v>25</v>
      </c>
      <c r="J835" s="5" t="s">
        <v>5846</v>
      </c>
      <c r="K835" s="5" t="s">
        <v>5847</v>
      </c>
      <c r="L835" s="6"/>
      <c r="M835" s="4" t="s">
        <v>29</v>
      </c>
      <c r="N835" s="4" t="s">
        <v>5848</v>
      </c>
      <c r="O835" s="4" t="s">
        <v>29</v>
      </c>
      <c r="P835" s="4" t="s">
        <v>5849</v>
      </c>
      <c r="Q835" s="6"/>
      <c r="R835" s="6"/>
      <c r="S835" s="6"/>
      <c r="T835" s="6"/>
      <c r="U835" s="6"/>
      <c r="V835" s="6"/>
      <c r="W835" s="6"/>
      <c r="X835" s="6"/>
      <c r="Y835" s="6"/>
    </row>
    <row r="836" ht="14.25">
      <c r="B836" s="4" t="s">
        <v>840</v>
      </c>
      <c r="C836" s="4" t="s">
        <v>5850</v>
      </c>
      <c r="D836" s="4" t="s">
        <v>44</v>
      </c>
      <c r="E836" s="4" t="s">
        <v>5851</v>
      </c>
      <c r="F836" s="4" t="str">
        <f>IFERROR(__XLUDF.DUMMYFUNCTION("PROPER(REGEXREPLACE(D821,""[^A-Za-z]+ "",""""))"),"Workpackers")</f>
        <v>Workpackers</v>
      </c>
      <c r="G836" s="4" t="s">
        <v>5852</v>
      </c>
      <c r="H836" s="4">
        <v>1</v>
      </c>
      <c r="I836" s="4" t="s">
        <v>36</v>
      </c>
      <c r="J836" s="5" t="s">
        <v>5853</v>
      </c>
      <c r="K836" s="5" t="s">
        <v>5854</v>
      </c>
      <c r="L836" s="4" t="s">
        <v>39</v>
      </c>
      <c r="M836" s="4" t="s">
        <v>29</v>
      </c>
      <c r="N836" s="4" t="s">
        <v>5855</v>
      </c>
      <c r="O836" s="4" t="s">
        <v>29</v>
      </c>
      <c r="P836" s="4" t="s">
        <v>5856</v>
      </c>
      <c r="Q836" s="6"/>
      <c r="R836" s="6"/>
      <c r="S836" s="6"/>
      <c r="T836" s="6"/>
      <c r="U836" s="6"/>
      <c r="V836" s="6"/>
      <c r="W836" s="6"/>
      <c r="X836" s="6"/>
      <c r="Y836" s="6"/>
    </row>
    <row r="837" ht="14.25">
      <c r="B837" s="4" t="s">
        <v>85</v>
      </c>
      <c r="C837" s="4" t="s">
        <v>5857</v>
      </c>
      <c r="D837" s="4" t="s">
        <v>365</v>
      </c>
      <c r="E837" s="4" t="s">
        <v>5830</v>
      </c>
      <c r="F837" s="4" t="str">
        <f>IFERROR(__XLUDF.DUMMYFUNCTION("PROPER(REGEXREPLACE(D822,""[^A-Za-z]+ "",""""))"),"Ytso Agence De Conseils En Yield")</f>
        <v xml:space="preserve">Ytso Agence De Conseils En Yield</v>
      </c>
      <c r="G837" s="4" t="s">
        <v>5858</v>
      </c>
      <c r="H837" s="4">
        <v>28</v>
      </c>
      <c r="I837" s="4" t="s">
        <v>25</v>
      </c>
      <c r="J837" s="5" t="s">
        <v>5859</v>
      </c>
      <c r="K837" s="5" t="s">
        <v>5833</v>
      </c>
      <c r="L837" s="4" t="s">
        <v>185</v>
      </c>
      <c r="M837" s="4" t="s">
        <v>29</v>
      </c>
      <c r="N837" s="4" t="s">
        <v>5834</v>
      </c>
      <c r="O837" s="4" t="s">
        <v>29</v>
      </c>
      <c r="P837" s="6"/>
      <c r="Q837" s="6"/>
      <c r="R837" s="6"/>
      <c r="S837" s="6"/>
      <c r="T837" s="6"/>
      <c r="U837" s="6"/>
      <c r="V837" s="6"/>
      <c r="W837" s="6"/>
      <c r="X837" s="6"/>
      <c r="Y837" s="6"/>
    </row>
    <row r="838" ht="14.25">
      <c r="B838" s="4" t="s">
        <v>20</v>
      </c>
      <c r="C838" s="4" t="s">
        <v>5860</v>
      </c>
      <c r="D838" s="4" t="s">
        <v>172</v>
      </c>
      <c r="E838" s="4" t="s">
        <v>5861</v>
      </c>
      <c r="F838" s="4" t="str">
        <f>IFERROR(__XLUDF.DUMMYFUNCTION("PROPER(REGEXREPLACE(D823,""[^A-Za-z]+ "",""""))"),"Beau M Paris Hostelcoffee Shop")</f>
        <v xml:space="preserve">Beau M Paris Hostelcoffee Shop</v>
      </c>
      <c r="G838" s="4" t="s">
        <v>5862</v>
      </c>
      <c r="H838" s="4">
        <v>3</v>
      </c>
      <c r="I838" s="4" t="s">
        <v>25</v>
      </c>
      <c r="J838" s="5" t="s">
        <v>5863</v>
      </c>
      <c r="K838" s="5" t="s">
        <v>5864</v>
      </c>
      <c r="L838" s="4" t="s">
        <v>846</v>
      </c>
      <c r="M838" s="4" t="s">
        <v>29</v>
      </c>
      <c r="N838" s="4" t="s">
        <v>5865</v>
      </c>
      <c r="O838" s="4" t="s">
        <v>29</v>
      </c>
      <c r="P838" s="4" t="s">
        <v>5866</v>
      </c>
      <c r="Q838" s="6"/>
      <c r="R838" s="6"/>
      <c r="S838" s="6"/>
      <c r="T838" s="6"/>
      <c r="U838" s="6"/>
      <c r="V838" s="6"/>
      <c r="W838" s="6"/>
      <c r="X838" s="6"/>
      <c r="Y838" s="6"/>
    </row>
    <row r="839" ht="14.25">
      <c r="B839" s="4" t="s">
        <v>5867</v>
      </c>
      <c r="C839" s="4" t="s">
        <v>5868</v>
      </c>
      <c r="D839" s="4" t="s">
        <v>1130</v>
      </c>
      <c r="E839" s="4" t="s">
        <v>5869</v>
      </c>
      <c r="F839" s="4" t="str">
        <f>IFERROR(__XLUDF.DUMMYFUNCTION("PROPER(REGEXREPLACE(D824,""[^A-Za-z]+ "",""""))"),"Bame")</f>
        <v>Bame</v>
      </c>
      <c r="G839" s="4" t="s">
        <v>5870</v>
      </c>
      <c r="H839" s="4">
        <v>45</v>
      </c>
      <c r="I839" s="4" t="s">
        <v>25</v>
      </c>
      <c r="J839" s="5" t="s">
        <v>5871</v>
      </c>
      <c r="K839" s="5" t="s">
        <v>5404</v>
      </c>
      <c r="L839" s="4" t="s">
        <v>149</v>
      </c>
      <c r="M839" s="4" t="s">
        <v>29</v>
      </c>
      <c r="N839" s="4" t="s">
        <v>5405</v>
      </c>
      <c r="O839" s="4" t="s">
        <v>29</v>
      </c>
      <c r="P839" s="4" t="s">
        <v>5872</v>
      </c>
      <c r="Q839" s="6"/>
      <c r="R839" s="6"/>
      <c r="S839" s="6"/>
      <c r="T839" s="6"/>
      <c r="U839" s="6"/>
      <c r="V839" s="6"/>
      <c r="W839" s="6"/>
      <c r="X839" s="6"/>
      <c r="Y839" s="6"/>
    </row>
    <row r="840" ht="14.25">
      <c r="B840" s="4" t="s">
        <v>5873</v>
      </c>
      <c r="C840" s="4" t="s">
        <v>5874</v>
      </c>
      <c r="D840" s="4" t="s">
        <v>172</v>
      </c>
      <c r="E840" s="4" t="s">
        <v>5875</v>
      </c>
      <c r="F840" s="4" t="str">
        <f>IFERROR(__XLUDF.DUMMYFUNCTION("PROPER(REGEXREPLACE(D825,""[^A-Za-z]+ "",""""))"),"Domaine De Clairefontaine")</f>
        <v xml:space="preserve">Domaine De Clairefontaine</v>
      </c>
      <c r="G840" s="4" t="s">
        <v>5876</v>
      </c>
      <c r="H840" s="4">
        <v>20</v>
      </c>
      <c r="I840" s="4" t="s">
        <v>90</v>
      </c>
      <c r="J840" s="5" t="s">
        <v>5877</v>
      </c>
      <c r="K840" s="5" t="s">
        <v>5878</v>
      </c>
      <c r="L840" s="4" t="s">
        <v>651</v>
      </c>
      <c r="M840" s="4" t="s">
        <v>29</v>
      </c>
      <c r="N840" s="4" t="s">
        <v>5879</v>
      </c>
      <c r="O840" s="4" t="s">
        <v>29</v>
      </c>
      <c r="P840" s="4" t="s">
        <v>5880</v>
      </c>
      <c r="Q840" s="6"/>
      <c r="R840" s="6"/>
      <c r="S840" s="6"/>
      <c r="T840" s="6"/>
      <c r="U840" s="6"/>
      <c r="V840" s="6"/>
      <c r="W840" s="6"/>
      <c r="X840" s="6"/>
      <c r="Y840" s="6"/>
    </row>
    <row r="841" ht="14.25">
      <c r="B841" s="4" t="s">
        <v>222</v>
      </c>
      <c r="C841" s="4" t="s">
        <v>5881</v>
      </c>
      <c r="D841" s="4" t="s">
        <v>426</v>
      </c>
      <c r="E841" s="4" t="s">
        <v>5882</v>
      </c>
      <c r="F841" s="4" t="str">
        <f>IFERROR(__XLUDF.DUMMYFUNCTION("PROPER(REGEXREPLACE(D826,""[^A-Za-z]+ "",""""))"),"3Vhotels")</f>
        <v>3Vhotels</v>
      </c>
      <c r="G841" s="4" t="s">
        <v>5883</v>
      </c>
      <c r="H841" s="4">
        <v>21</v>
      </c>
      <c r="I841" s="4" t="s">
        <v>25</v>
      </c>
      <c r="J841" s="5" t="s">
        <v>5884</v>
      </c>
      <c r="K841" s="5" t="s">
        <v>5885</v>
      </c>
      <c r="L841" s="4" t="s">
        <v>39</v>
      </c>
      <c r="M841" s="4" t="s">
        <v>29</v>
      </c>
      <c r="N841" s="4" t="s">
        <v>5886</v>
      </c>
      <c r="O841" s="4" t="s">
        <v>29</v>
      </c>
      <c r="P841" s="4" t="s">
        <v>5887</v>
      </c>
      <c r="Q841" s="6"/>
      <c r="R841" s="6"/>
      <c r="S841" s="6"/>
      <c r="T841" s="6"/>
      <c r="U841" s="6"/>
      <c r="V841" s="6"/>
      <c r="W841" s="6"/>
      <c r="X841" s="6"/>
      <c r="Y841" s="6"/>
    </row>
    <row r="842" ht="14.25">
      <c r="B842" s="4" t="s">
        <v>110</v>
      </c>
      <c r="C842" s="4" t="s">
        <v>5888</v>
      </c>
      <c r="D842" s="4" t="s">
        <v>265</v>
      </c>
      <c r="E842" s="4" t="s">
        <v>5346</v>
      </c>
      <c r="F842" s="4" t="str">
        <f>IFERROR(__XLUDF.DUMMYFUNCTION("PROPER(REGEXREPLACE(D827,""[^A-Za-z]+ "",""""))"),"Demain Hôtel Et Conciergerie")</f>
        <v xml:space="preserve">Demain Hôtel Et Conciergerie</v>
      </c>
      <c r="G842" s="4" t="s">
        <v>5889</v>
      </c>
      <c r="H842" s="4">
        <v>25</v>
      </c>
      <c r="I842" s="4" t="s">
        <v>36</v>
      </c>
      <c r="J842" s="5" t="s">
        <v>5890</v>
      </c>
      <c r="K842" s="5" t="s">
        <v>5349</v>
      </c>
      <c r="L842" s="4" t="s">
        <v>846</v>
      </c>
      <c r="M842" s="4" t="s">
        <v>29</v>
      </c>
      <c r="N842" s="4" t="s">
        <v>5350</v>
      </c>
      <c r="O842" s="4" t="s">
        <v>29</v>
      </c>
      <c r="P842" s="6"/>
      <c r="Q842" s="6"/>
      <c r="R842" s="6"/>
      <c r="S842" s="6"/>
      <c r="T842" s="6"/>
      <c r="U842" s="6"/>
      <c r="V842" s="6"/>
      <c r="W842" s="6"/>
      <c r="X842" s="6"/>
      <c r="Y842" s="6"/>
    </row>
    <row r="843" ht="14.25">
      <c r="B843" s="4" t="s">
        <v>5891</v>
      </c>
      <c r="C843" s="4" t="s">
        <v>5892</v>
      </c>
      <c r="D843" s="4" t="s">
        <v>5893</v>
      </c>
      <c r="E843" s="4" t="s">
        <v>5638</v>
      </c>
      <c r="F843" s="4" t="str">
        <f>IFERROR(__XLUDF.DUMMYFUNCTION("PROPER(REGEXREPLACE(D828,""[^A-Za-z]+ "",""""))"),"Jadore Hospitality Group")</f>
        <v xml:space="preserve">Jadore Hospitality Group</v>
      </c>
      <c r="G843" s="4" t="s">
        <v>5894</v>
      </c>
      <c r="H843" s="4">
        <v>26</v>
      </c>
      <c r="I843" s="4" t="s">
        <v>36</v>
      </c>
      <c r="J843" s="5" t="s">
        <v>5895</v>
      </c>
      <c r="K843" s="5" t="s">
        <v>5641</v>
      </c>
      <c r="L843" s="4" t="s">
        <v>149</v>
      </c>
      <c r="M843" s="4" t="s">
        <v>29</v>
      </c>
      <c r="N843" s="4" t="s">
        <v>5642</v>
      </c>
      <c r="O843" s="4" t="s">
        <v>29</v>
      </c>
      <c r="P843" s="4" t="s">
        <v>5643</v>
      </c>
      <c r="Q843" s="6"/>
      <c r="R843" s="6"/>
      <c r="S843" s="6"/>
      <c r="T843" s="6"/>
      <c r="U843" s="6"/>
      <c r="V843" s="6"/>
      <c r="W843" s="6"/>
      <c r="X843" s="6"/>
      <c r="Y843" s="6"/>
    </row>
    <row r="844" ht="14.25">
      <c r="B844" s="4" t="s">
        <v>20</v>
      </c>
      <c r="C844" s="4" t="s">
        <v>5896</v>
      </c>
      <c r="D844" s="4" t="s">
        <v>172</v>
      </c>
      <c r="E844" s="4" t="s">
        <v>5897</v>
      </c>
      <c r="F844" s="4" t="str">
        <f>IFERROR(__XLUDF.DUMMYFUNCTION("PROPER(REGEXREPLACE(D829,""[^A-Za-z]+ "",""""))"),"Ballanger")</f>
        <v>Ballanger</v>
      </c>
      <c r="G844" s="4" t="s">
        <v>5898</v>
      </c>
      <c r="H844" s="4">
        <v>0</v>
      </c>
      <c r="I844" s="4" t="s">
        <v>25</v>
      </c>
      <c r="J844" s="5" t="s">
        <v>5899</v>
      </c>
      <c r="K844" s="5" t="s">
        <v>5900</v>
      </c>
      <c r="L844" s="4" t="s">
        <v>5901</v>
      </c>
      <c r="M844" s="4" t="s">
        <v>29</v>
      </c>
      <c r="N844" s="4" t="s">
        <v>5902</v>
      </c>
      <c r="O844" s="4" t="s">
        <v>29</v>
      </c>
      <c r="P844" s="6"/>
      <c r="Q844" s="6"/>
      <c r="R844" s="6"/>
      <c r="S844" s="6"/>
      <c r="T844" s="6"/>
      <c r="U844" s="6"/>
      <c r="V844" s="6"/>
      <c r="W844" s="6"/>
      <c r="X844" s="6"/>
      <c r="Y844" s="6"/>
    </row>
    <row r="845" ht="14.25">
      <c r="B845" s="4" t="s">
        <v>5903</v>
      </c>
      <c r="C845" s="4" t="s">
        <v>5904</v>
      </c>
      <c r="D845" s="4" t="s">
        <v>172</v>
      </c>
      <c r="E845" s="4" t="s">
        <v>5875</v>
      </c>
      <c r="F845" s="4" t="str">
        <f>IFERROR(__XLUDF.DUMMYFUNCTION("PROPER(REGEXREPLACE(D830,""[^A-Za-z]+ "",""""))"),"Hôtel De Berri A Luxury Collection Hotel Paris")</f>
        <v xml:space="preserve">Hôtel De Berri A Luxury Collection Hotel Paris</v>
      </c>
      <c r="G845" s="4" t="s">
        <v>5905</v>
      </c>
      <c r="H845" s="4">
        <v>20</v>
      </c>
      <c r="I845" s="4" t="s">
        <v>90</v>
      </c>
      <c r="J845" s="5" t="s">
        <v>5906</v>
      </c>
      <c r="K845" s="5" t="s">
        <v>5878</v>
      </c>
      <c r="L845" s="4" t="s">
        <v>482</v>
      </c>
      <c r="M845" s="4" t="s">
        <v>29</v>
      </c>
      <c r="N845" s="4" t="s">
        <v>5879</v>
      </c>
      <c r="O845" s="4" t="s">
        <v>29</v>
      </c>
      <c r="P845" s="4" t="s">
        <v>5880</v>
      </c>
      <c r="Q845" s="6"/>
      <c r="R845" s="6"/>
      <c r="S845" s="6"/>
      <c r="T845" s="6"/>
      <c r="U845" s="6"/>
      <c r="V845" s="6"/>
      <c r="W845" s="6"/>
      <c r="X845" s="6"/>
      <c r="Y845" s="6"/>
    </row>
    <row r="846" ht="14.25">
      <c r="B846" s="4" t="s">
        <v>5907</v>
      </c>
      <c r="C846" s="4" t="s">
        <v>5908</v>
      </c>
      <c r="D846" s="4" t="s">
        <v>265</v>
      </c>
      <c r="E846" s="4" t="s">
        <v>5909</v>
      </c>
      <c r="F846" s="4" t="str">
        <f>IFERROR(__XLUDF.DUMMYFUNCTION("PROPER(REGEXREPLACE(D831,""[^A-Za-z]+ "",""""))"),"Les Pénates")</f>
        <v xml:space="preserve">Les Pénates</v>
      </c>
      <c r="G846" s="4" t="s">
        <v>5910</v>
      </c>
      <c r="H846" s="4">
        <v>2</v>
      </c>
      <c r="I846" s="4" t="s">
        <v>90</v>
      </c>
      <c r="J846" s="5" t="s">
        <v>5911</v>
      </c>
      <c r="K846" s="5" t="s">
        <v>5912</v>
      </c>
      <c r="L846" s="4" t="s">
        <v>243</v>
      </c>
      <c r="M846" s="4" t="s">
        <v>29</v>
      </c>
      <c r="N846" s="4" t="s">
        <v>5913</v>
      </c>
      <c r="O846" s="4" t="s">
        <v>848</v>
      </c>
      <c r="P846" s="4" t="s">
        <v>5914</v>
      </c>
      <c r="Q846" s="6"/>
      <c r="R846" s="6"/>
      <c r="S846" s="6"/>
      <c r="T846" s="6"/>
      <c r="U846" s="6"/>
      <c r="V846" s="6"/>
      <c r="W846" s="6"/>
      <c r="X846" s="6"/>
      <c r="Y846" s="6"/>
    </row>
    <row r="847" ht="14.25">
      <c r="B847" s="4" t="s">
        <v>1732</v>
      </c>
      <c r="C847" s="4" t="s">
        <v>5915</v>
      </c>
      <c r="D847" s="4" t="s">
        <v>172</v>
      </c>
      <c r="E847" s="4" t="s">
        <v>5916</v>
      </c>
      <c r="F847" s="4" t="str">
        <f>IFERROR(__XLUDF.DUMMYFUNCTION("PROPER(REGEXREPLACE(D832,""[^A-Za-z]+ "",""""))"),"Grand Hotel De Cala Rossaspa Nucca *****")</f>
        <v xml:space="preserve">Grand Hotel De Cala Rossaspa Nucca *****</v>
      </c>
      <c r="G847" s="4" t="s">
        <v>5917</v>
      </c>
      <c r="H847" s="4">
        <v>60</v>
      </c>
      <c r="I847" s="4" t="s">
        <v>36</v>
      </c>
      <c r="J847" s="5" t="s">
        <v>5918</v>
      </c>
      <c r="K847" s="5" t="s">
        <v>5919</v>
      </c>
      <c r="L847" s="6"/>
      <c r="M847" s="4" t="s">
        <v>29</v>
      </c>
      <c r="N847" s="4" t="s">
        <v>5920</v>
      </c>
      <c r="O847" s="4" t="s">
        <v>29</v>
      </c>
      <c r="P847" s="4" t="s">
        <v>5921</v>
      </c>
      <c r="Q847" s="6"/>
      <c r="R847" s="6"/>
      <c r="S847" s="6"/>
      <c r="T847" s="6"/>
      <c r="U847" s="6"/>
      <c r="V847" s="6"/>
      <c r="W847" s="6"/>
      <c r="X847" s="6"/>
      <c r="Y847" s="6"/>
    </row>
    <row r="848" ht="14.25">
      <c r="B848" s="4" t="s">
        <v>2299</v>
      </c>
      <c r="C848" s="4" t="s">
        <v>5922</v>
      </c>
      <c r="D848" s="4" t="s">
        <v>172</v>
      </c>
      <c r="E848" s="4" t="s">
        <v>5923</v>
      </c>
      <c r="F848" s="4" t="str">
        <f>IFERROR(__XLUDF.DUMMYFUNCTION("PROPER(REGEXREPLACE(D833,""[^A-Za-z]+ "",""""))"),"Mihotel")</f>
        <v>Mihotel</v>
      </c>
      <c r="G848" s="4" t="s">
        <v>5924</v>
      </c>
      <c r="H848" s="4">
        <v>38</v>
      </c>
      <c r="I848" s="4" t="s">
        <v>25</v>
      </c>
      <c r="J848" s="5" t="s">
        <v>5925</v>
      </c>
      <c r="K848" s="5" t="s">
        <v>5926</v>
      </c>
      <c r="L848" s="4" t="s">
        <v>39</v>
      </c>
      <c r="M848" s="4" t="s">
        <v>29</v>
      </c>
      <c r="N848" s="4" t="s">
        <v>5927</v>
      </c>
      <c r="O848" s="4" t="s">
        <v>29</v>
      </c>
      <c r="P848" s="6"/>
      <c r="Q848" s="6"/>
      <c r="R848" s="6"/>
      <c r="S848" s="6"/>
      <c r="T848" s="6"/>
      <c r="U848" s="6"/>
      <c r="V848" s="6"/>
      <c r="W848" s="6"/>
      <c r="X848" s="6"/>
      <c r="Y848" s="6"/>
    </row>
    <row r="849" ht="14.25">
      <c r="B849" s="4" t="s">
        <v>2771</v>
      </c>
      <c r="C849" s="4" t="s">
        <v>5928</v>
      </c>
      <c r="D849" s="4" t="s">
        <v>4463</v>
      </c>
      <c r="E849" s="4" t="s">
        <v>5929</v>
      </c>
      <c r="F849" s="4" t="str">
        <f>IFERROR(__XLUDF.DUMMYFUNCTION("PROPER(REGEXREPLACE(D834,""[^A-Za-z]+ "",""""))"),"Saveurs De Norvège")</f>
        <v xml:space="preserve">Saveurs De Norvège</v>
      </c>
      <c r="G849" s="4" t="s">
        <v>5930</v>
      </c>
      <c r="H849" s="4">
        <v>7</v>
      </c>
      <c r="I849" s="4" t="s">
        <v>5931</v>
      </c>
      <c r="J849" s="5" t="s">
        <v>5932</v>
      </c>
      <c r="K849" s="5" t="s">
        <v>5933</v>
      </c>
      <c r="L849" s="4" t="s">
        <v>49</v>
      </c>
      <c r="M849" s="4" t="s">
        <v>29</v>
      </c>
      <c r="N849" s="4" t="s">
        <v>5934</v>
      </c>
      <c r="O849" s="4" t="s">
        <v>29</v>
      </c>
      <c r="P849" s="4" t="s">
        <v>5935</v>
      </c>
      <c r="Q849" s="6"/>
      <c r="R849" s="6"/>
      <c r="S849" s="6"/>
      <c r="T849" s="6"/>
      <c r="U849" s="6"/>
      <c r="V849" s="6"/>
      <c r="W849" s="6"/>
      <c r="X849" s="6"/>
      <c r="Y849" s="6"/>
    </row>
    <row r="850" ht="14.25">
      <c r="B850" s="4" t="s">
        <v>808</v>
      </c>
      <c r="C850" s="4" t="s">
        <v>5936</v>
      </c>
      <c r="D850" s="4" t="s">
        <v>341</v>
      </c>
      <c r="E850" s="4" t="s">
        <v>5937</v>
      </c>
      <c r="F850" s="4" t="str">
        <f>IFERROR(__XLUDF.DUMMYFUNCTION("PROPER(REGEXREPLACE(D835,""[^A-Za-z]+ "",""""))"),"Château De Chapeau Cornu")</f>
        <v xml:space="preserve">Château De Chapeau Cornu</v>
      </c>
      <c r="G850" s="4" t="s">
        <v>5938</v>
      </c>
      <c r="H850" s="4">
        <v>15</v>
      </c>
      <c r="I850" s="4" t="s">
        <v>36</v>
      </c>
      <c r="J850" s="5" t="s">
        <v>5939</v>
      </c>
      <c r="K850" s="5" t="s">
        <v>5940</v>
      </c>
      <c r="L850" s="4" t="s">
        <v>562</v>
      </c>
      <c r="M850" s="4" t="s">
        <v>29</v>
      </c>
      <c r="N850" s="4" t="s">
        <v>5941</v>
      </c>
      <c r="O850" s="4" t="s">
        <v>29</v>
      </c>
      <c r="P850" s="4" t="s">
        <v>5942</v>
      </c>
      <c r="Q850" s="6"/>
      <c r="R850" s="6"/>
      <c r="S850" s="6"/>
      <c r="T850" s="6"/>
      <c r="U850" s="6"/>
      <c r="V850" s="6"/>
      <c r="W850" s="6"/>
      <c r="X850" s="6"/>
      <c r="Y850" s="6"/>
    </row>
    <row r="851" ht="14.25">
      <c r="B851" s="4" t="s">
        <v>5943</v>
      </c>
      <c r="C851" s="4" t="s">
        <v>5944</v>
      </c>
      <c r="D851" s="4" t="s">
        <v>5945</v>
      </c>
      <c r="E851" s="4" t="s">
        <v>5946</v>
      </c>
      <c r="F851" s="4" t="str">
        <f>IFERROR(__XLUDF.DUMMYFUNCTION("PROPER(REGEXREPLACE(D836,""[^A-Za-z]+ "",""""))"),"Tastit")</f>
        <v>Tastit</v>
      </c>
      <c r="G851" s="4" t="s">
        <v>5947</v>
      </c>
      <c r="H851" s="4">
        <v>7</v>
      </c>
      <c r="I851" s="4" t="s">
        <v>25</v>
      </c>
      <c r="J851" s="5" t="s">
        <v>5948</v>
      </c>
      <c r="K851" s="5" t="s">
        <v>5949</v>
      </c>
      <c r="L851" s="6"/>
      <c r="M851" s="4" t="s">
        <v>29</v>
      </c>
      <c r="N851" s="4" t="s">
        <v>5950</v>
      </c>
      <c r="O851" s="4" t="s">
        <v>29</v>
      </c>
      <c r="P851" s="6"/>
      <c r="Q851" s="6"/>
      <c r="R851" s="6"/>
      <c r="S851" s="6"/>
      <c r="T851" s="6"/>
      <c r="U851" s="6"/>
      <c r="V851" s="6"/>
      <c r="W851" s="6"/>
      <c r="X851" s="6"/>
      <c r="Y851" s="6"/>
    </row>
    <row r="852" ht="14.25">
      <c r="B852" s="4" t="s">
        <v>5951</v>
      </c>
      <c r="C852" s="4" t="s">
        <v>5952</v>
      </c>
      <c r="D852" s="4" t="s">
        <v>5953</v>
      </c>
      <c r="E852" s="4" t="s">
        <v>5954</v>
      </c>
      <c r="F852" s="4" t="str">
        <f>IFERROR(__XLUDF.DUMMYFUNCTION("PROPER(REGEXREPLACE(D837,""[^A-Za-z]+ "",""""))"),"Mihotel")</f>
        <v>Mihotel</v>
      </c>
      <c r="G852" s="4" t="s">
        <v>5955</v>
      </c>
      <c r="H852" s="4">
        <v>55</v>
      </c>
      <c r="I852" s="4" t="s">
        <v>157</v>
      </c>
      <c r="J852" s="5" t="s">
        <v>5956</v>
      </c>
      <c r="K852" s="5" t="s">
        <v>5957</v>
      </c>
      <c r="L852" s="6"/>
      <c r="M852" s="4" t="s">
        <v>29</v>
      </c>
      <c r="N852" s="4" t="s">
        <v>5958</v>
      </c>
      <c r="O852" s="4" t="s">
        <v>1548</v>
      </c>
      <c r="P852" s="4" t="s">
        <v>5959</v>
      </c>
      <c r="Q852" s="6"/>
      <c r="R852" s="6"/>
      <c r="S852" s="6"/>
      <c r="T852" s="6"/>
      <c r="U852" s="6"/>
      <c r="V852" s="6"/>
      <c r="W852" s="6"/>
      <c r="X852" s="6"/>
      <c r="Y852" s="6"/>
    </row>
    <row r="853" ht="14.25">
      <c r="B853" s="4" t="s">
        <v>5960</v>
      </c>
      <c r="C853" s="4" t="s">
        <v>5961</v>
      </c>
      <c r="D853" s="4" t="s">
        <v>172</v>
      </c>
      <c r="E853" s="4" t="s">
        <v>5962</v>
      </c>
      <c r="F853" s="4" t="str">
        <f>IFERROR(__XLUDF.DUMMYFUNCTION("PROPER(REGEXREPLACE(D838,""[^A-Za-z]+ "",""""))"),"Hotels De Lille")</f>
        <v xml:space="preserve">Hotels De Lille</v>
      </c>
      <c r="G853" s="4" t="s">
        <v>5963</v>
      </c>
      <c r="H853" s="4">
        <v>35</v>
      </c>
      <c r="I853" s="4" t="s">
        <v>25</v>
      </c>
      <c r="J853" s="5" t="s">
        <v>5964</v>
      </c>
      <c r="K853" s="5" t="s">
        <v>5965</v>
      </c>
      <c r="L853" s="4" t="s">
        <v>39</v>
      </c>
      <c r="M853" s="4" t="s">
        <v>29</v>
      </c>
      <c r="N853" s="4" t="s">
        <v>5966</v>
      </c>
      <c r="O853" s="4" t="s">
        <v>29</v>
      </c>
      <c r="P853" s="6"/>
      <c r="Q853" s="6"/>
      <c r="R853" s="6"/>
      <c r="S853" s="6"/>
      <c r="T853" s="6"/>
      <c r="U853" s="6"/>
      <c r="V853" s="6"/>
      <c r="W853" s="6"/>
      <c r="X853" s="6"/>
      <c r="Y853" s="6"/>
    </row>
    <row r="854" ht="14.25">
      <c r="B854" s="4" t="s">
        <v>710</v>
      </c>
      <c r="C854" s="4" t="s">
        <v>5967</v>
      </c>
      <c r="D854" s="4" t="s">
        <v>44</v>
      </c>
      <c r="E854" s="4" t="s">
        <v>5968</v>
      </c>
      <c r="F854" s="4" t="str">
        <f>IFERROR(__XLUDF.DUMMYFUNCTION("PROPER(REGEXREPLACE(D839,""[^A-Za-z]+ "",""""))"),"Bernard Loiseau")</f>
        <v xml:space="preserve">Bernard Loiseau</v>
      </c>
      <c r="G854" s="4" t="s">
        <v>5969</v>
      </c>
      <c r="H854" s="4">
        <v>2</v>
      </c>
      <c r="I854" s="4" t="s">
        <v>25</v>
      </c>
      <c r="J854" s="5" t="s">
        <v>5970</v>
      </c>
      <c r="K854" s="5" t="s">
        <v>5971</v>
      </c>
      <c r="L854" s="4" t="s">
        <v>39</v>
      </c>
      <c r="M854" s="4" t="s">
        <v>29</v>
      </c>
      <c r="N854" s="4" t="s">
        <v>5972</v>
      </c>
      <c r="O854" s="4" t="s">
        <v>5973</v>
      </c>
      <c r="P854" s="4" t="s">
        <v>5974</v>
      </c>
      <c r="Q854" s="6"/>
      <c r="R854" s="6"/>
      <c r="S854" s="6"/>
      <c r="T854" s="6"/>
      <c r="U854" s="6"/>
      <c r="V854" s="6"/>
      <c r="W854" s="6"/>
      <c r="X854" s="6"/>
      <c r="Y854" s="6"/>
    </row>
    <row r="855" ht="14.25">
      <c r="B855" s="4" t="s">
        <v>2258</v>
      </c>
      <c r="C855" s="4" t="s">
        <v>5975</v>
      </c>
      <c r="D855" s="4" t="s">
        <v>44</v>
      </c>
      <c r="E855" s="4" t="s">
        <v>5976</v>
      </c>
      <c r="F855" s="4" t="str">
        <f>IFERROR(__XLUDF.DUMMYFUNCTION("PROPER(REGEXREPLACE(D840,""[^A-Za-z]+ "",""""))"),"Holidée")</f>
        <v>Holidée</v>
      </c>
      <c r="G855" s="4" t="s">
        <v>5977</v>
      </c>
      <c r="H855" s="4">
        <v>6</v>
      </c>
      <c r="I855" s="4" t="s">
        <v>25</v>
      </c>
      <c r="J855" s="5" t="s">
        <v>5978</v>
      </c>
      <c r="K855" s="5" t="s">
        <v>5979</v>
      </c>
      <c r="L855" s="4" t="s">
        <v>39</v>
      </c>
      <c r="M855" s="4" t="s">
        <v>29</v>
      </c>
      <c r="N855" s="4" t="s">
        <v>5980</v>
      </c>
      <c r="O855" s="4" t="s">
        <v>29</v>
      </c>
      <c r="P855" s="6"/>
      <c r="Q855" s="6"/>
      <c r="R855" s="6"/>
      <c r="S855" s="6"/>
      <c r="T855" s="6"/>
      <c r="U855" s="6"/>
      <c r="V855" s="6"/>
      <c r="W855" s="6"/>
      <c r="X855" s="6"/>
      <c r="Y855" s="6"/>
    </row>
    <row r="856" ht="14.25">
      <c r="B856" s="4" t="s">
        <v>485</v>
      </c>
      <c r="C856" s="4" t="s">
        <v>5981</v>
      </c>
      <c r="D856" s="4" t="s">
        <v>120</v>
      </c>
      <c r="E856" s="4" t="s">
        <v>5982</v>
      </c>
      <c r="F856" s="4" t="str">
        <f>IFERROR(__XLUDF.DUMMYFUNCTION("PROPER(REGEXREPLACE(D841,""[^A-Za-z]+ "",""""))"),"Hostellerie Briqueteriespachampagne Relaischâteaux")</f>
        <v xml:space="preserve">Hostellerie Briqueteriespachampagne Relaischâteaux</v>
      </c>
      <c r="G856" s="4" t="s">
        <v>5983</v>
      </c>
      <c r="H856" s="4">
        <v>6</v>
      </c>
      <c r="I856" s="4" t="s">
        <v>25</v>
      </c>
      <c r="J856" s="5" t="s">
        <v>5984</v>
      </c>
      <c r="K856" s="5" t="s">
        <v>5985</v>
      </c>
      <c r="L856" s="4" t="s">
        <v>423</v>
      </c>
      <c r="M856" s="4" t="s">
        <v>29</v>
      </c>
      <c r="N856" s="4" t="s">
        <v>5986</v>
      </c>
      <c r="O856" s="4" t="s">
        <v>29</v>
      </c>
      <c r="P856" s="4" t="s">
        <v>5987</v>
      </c>
      <c r="Q856" s="6"/>
      <c r="R856" s="6"/>
      <c r="S856" s="6"/>
      <c r="T856" s="6"/>
      <c r="U856" s="6"/>
      <c r="V856" s="6"/>
      <c r="W856" s="6"/>
      <c r="X856" s="6"/>
      <c r="Y856" s="6"/>
    </row>
    <row r="857" ht="14.25">
      <c r="B857" s="4" t="s">
        <v>653</v>
      </c>
      <c r="C857" s="4" t="s">
        <v>5988</v>
      </c>
      <c r="D857" s="4" t="s">
        <v>879</v>
      </c>
      <c r="E857" s="4" t="s">
        <v>5989</v>
      </c>
      <c r="F857" s="4" t="str">
        <f>IFERROR(__XLUDF.DUMMYFUNCTION("PROPER(REGEXREPLACE(D842,""[^A-Za-z]+ "",""""))"),"Canard Street")</f>
        <v xml:space="preserve">Canard Street</v>
      </c>
      <c r="G857" s="4" t="s">
        <v>5990</v>
      </c>
      <c r="H857" s="4">
        <v>38</v>
      </c>
      <c r="I857" s="4" t="s">
        <v>36</v>
      </c>
      <c r="J857" s="5" t="s">
        <v>5991</v>
      </c>
      <c r="K857" s="5" t="s">
        <v>5992</v>
      </c>
      <c r="L857" s="4" t="s">
        <v>482</v>
      </c>
      <c r="M857" s="4" t="s">
        <v>29</v>
      </c>
      <c r="N857" s="4" t="s">
        <v>5993</v>
      </c>
      <c r="O857" s="4" t="s">
        <v>29</v>
      </c>
      <c r="P857" s="4" t="s">
        <v>5994</v>
      </c>
      <c r="Q857" s="6"/>
      <c r="R857" s="6"/>
      <c r="S857" s="6"/>
      <c r="T857" s="6"/>
      <c r="U857" s="6"/>
      <c r="V857" s="6"/>
      <c r="W857" s="6"/>
      <c r="X857" s="6"/>
      <c r="Y857" s="6"/>
    </row>
    <row r="858" ht="14.25">
      <c r="B858" s="4" t="s">
        <v>661</v>
      </c>
      <c r="C858" s="4" t="s">
        <v>5995</v>
      </c>
      <c r="D858" s="4" t="s">
        <v>172</v>
      </c>
      <c r="E858" s="4" t="s">
        <v>5996</v>
      </c>
      <c r="F858" s="4" t="str">
        <f>IFERROR(__XLUDF.DUMMYFUNCTION("PROPER(REGEXREPLACE(D843,""[^A-Za-z]+ "",""""))"),"Popotes Cantine Respectueuse")</f>
        <v xml:space="preserve">Popotes Cantine Respectueuse</v>
      </c>
      <c r="G858" s="4" t="s">
        <v>5997</v>
      </c>
      <c r="H858" s="4">
        <v>17</v>
      </c>
      <c r="I858" s="4" t="s">
        <v>25</v>
      </c>
      <c r="J858" s="5" t="s">
        <v>5998</v>
      </c>
      <c r="K858" s="5" t="s">
        <v>5999</v>
      </c>
      <c r="L858" s="4" t="s">
        <v>39</v>
      </c>
      <c r="M858" s="4" t="s">
        <v>29</v>
      </c>
      <c r="N858" s="4" t="s">
        <v>6000</v>
      </c>
      <c r="O858" s="4" t="s">
        <v>29</v>
      </c>
      <c r="P858" s="6"/>
      <c r="Q858" s="6"/>
      <c r="R858" s="6"/>
      <c r="S858" s="6"/>
      <c r="T858" s="6"/>
      <c r="U858" s="6"/>
      <c r="V858" s="6"/>
      <c r="W858" s="6"/>
      <c r="X858" s="6"/>
      <c r="Y858" s="6"/>
    </row>
    <row r="859" ht="14.25">
      <c r="B859" s="4" t="s">
        <v>1086</v>
      </c>
      <c r="C859" s="4" t="s">
        <v>6001</v>
      </c>
      <c r="D859" s="4" t="s">
        <v>6002</v>
      </c>
      <c r="E859" s="4" t="s">
        <v>6003</v>
      </c>
      <c r="F859" s="4" t="str">
        <f>IFERROR(__XLUDF.DUMMYFUNCTION("PROPER(REGEXREPLACE(D844,""[^A-Za-z]+ "",""""))"),"Hostellerie La Farandole")</f>
        <v xml:space="preserve">Hostellerie La Farandole</v>
      </c>
      <c r="G859" s="4" t="s">
        <v>6004</v>
      </c>
      <c r="H859" s="4">
        <v>12</v>
      </c>
      <c r="I859" s="4" t="s">
        <v>36</v>
      </c>
      <c r="J859" s="5" t="s">
        <v>6005</v>
      </c>
      <c r="K859" s="5" t="s">
        <v>6006</v>
      </c>
      <c r="L859" s="6"/>
      <c r="M859" s="4" t="s">
        <v>29</v>
      </c>
      <c r="N859" s="4" t="s">
        <v>6007</v>
      </c>
      <c r="O859" s="4" t="s">
        <v>29</v>
      </c>
      <c r="P859" s="6"/>
      <c r="Q859" s="6"/>
      <c r="R859" s="6"/>
      <c r="S859" s="6"/>
      <c r="T859" s="6"/>
      <c r="U859" s="6"/>
      <c r="V859" s="6"/>
      <c r="W859" s="6"/>
      <c r="X859" s="6"/>
      <c r="Y859" s="6"/>
    </row>
    <row r="860" ht="14.25">
      <c r="B860" s="4" t="s">
        <v>355</v>
      </c>
      <c r="C860" s="4" t="s">
        <v>6008</v>
      </c>
      <c r="D860" s="4" t="s">
        <v>6009</v>
      </c>
      <c r="E860" s="4" t="s">
        <v>6010</v>
      </c>
      <c r="F860" s="4" t="str">
        <f>IFERROR(__XLUDF.DUMMYFUNCTION("PROPER(REGEXREPLACE(D845,""[^A-Za-z]+ "",""""))"),"Holidée")</f>
        <v>Holidée</v>
      </c>
      <c r="G860" s="4" t="s">
        <v>6011</v>
      </c>
      <c r="H860" s="4">
        <v>12</v>
      </c>
      <c r="I860" s="4" t="s">
        <v>25</v>
      </c>
      <c r="J860" s="5" t="s">
        <v>6012</v>
      </c>
      <c r="K860" s="5" t="s">
        <v>6013</v>
      </c>
      <c r="L860" s="4" t="s">
        <v>243</v>
      </c>
      <c r="M860" s="4" t="s">
        <v>29</v>
      </c>
      <c r="N860" s="4" t="s">
        <v>6014</v>
      </c>
      <c r="O860" s="4" t="s">
        <v>29</v>
      </c>
      <c r="P860" s="4" t="s">
        <v>6015</v>
      </c>
      <c r="Q860" s="6"/>
      <c r="R860" s="6"/>
      <c r="S860" s="6"/>
      <c r="T860" s="6"/>
      <c r="U860" s="6"/>
      <c r="V860" s="6"/>
      <c r="W860" s="6"/>
      <c r="X860" s="6"/>
      <c r="Y860" s="6"/>
    </row>
    <row r="861" ht="14.25">
      <c r="B861" s="4" t="s">
        <v>6016</v>
      </c>
      <c r="C861" s="4" t="s">
        <v>5580</v>
      </c>
      <c r="D861" s="4" t="s">
        <v>5650</v>
      </c>
      <c r="E861" s="4" t="s">
        <v>5582</v>
      </c>
      <c r="F861" s="4" t="str">
        <f>IFERROR(__XLUDF.DUMMYFUNCTION("PROPER(REGEXREPLACE(D846,""[^A-Za-z]+ "",""""))"),"Sandycamps")</f>
        <v>Sandycamps</v>
      </c>
      <c r="G861" s="4" t="s">
        <v>6017</v>
      </c>
      <c r="H861" s="4">
        <v>18</v>
      </c>
      <c r="I861" s="4" t="s">
        <v>25</v>
      </c>
      <c r="J861" s="5" t="s">
        <v>6018</v>
      </c>
      <c r="K861" s="5" t="s">
        <v>5585</v>
      </c>
      <c r="L861" s="6"/>
      <c r="M861" s="4" t="s">
        <v>29</v>
      </c>
      <c r="N861" s="4" t="s">
        <v>67</v>
      </c>
      <c r="O861" s="4" t="s">
        <v>29</v>
      </c>
      <c r="P861" s="6"/>
      <c r="Q861" s="6"/>
      <c r="R861" s="6"/>
      <c r="S861" s="6"/>
      <c r="T861" s="6"/>
      <c r="U861" s="6"/>
      <c r="V861" s="6"/>
      <c r="W861" s="6"/>
      <c r="X861" s="6"/>
      <c r="Y861" s="6"/>
    </row>
    <row r="862" ht="14.25">
      <c r="B862" s="4" t="s">
        <v>2503</v>
      </c>
      <c r="C862" s="4" t="s">
        <v>6019</v>
      </c>
      <c r="D862" s="4" t="s">
        <v>97</v>
      </c>
      <c r="E862" s="4" t="s">
        <v>6020</v>
      </c>
      <c r="F862" s="4" t="str">
        <f>IFERROR(__XLUDF.DUMMYFUNCTION("PROPER(REGEXREPLACE(D847,""[^A-Za-z]+ "",""""))"),"Place Des Oliviers")</f>
        <v xml:space="preserve">Place Des Oliviers</v>
      </c>
      <c r="G862" s="4" t="s">
        <v>6021</v>
      </c>
      <c r="H862" s="4">
        <v>3</v>
      </c>
      <c r="I862" s="4" t="s">
        <v>25</v>
      </c>
      <c r="J862" s="5" t="s">
        <v>6022</v>
      </c>
      <c r="K862" s="5" t="s">
        <v>6023</v>
      </c>
      <c r="L862" s="4" t="s">
        <v>185</v>
      </c>
      <c r="M862" s="4" t="s">
        <v>29</v>
      </c>
      <c r="N862" s="4" t="s">
        <v>67</v>
      </c>
      <c r="O862" s="4" t="s">
        <v>29</v>
      </c>
      <c r="P862" s="6"/>
      <c r="Q862" s="6"/>
      <c r="R862" s="6"/>
      <c r="S862" s="6"/>
      <c r="T862" s="6"/>
      <c r="U862" s="6"/>
      <c r="V862" s="6"/>
      <c r="W862" s="6"/>
      <c r="X862" s="6"/>
      <c r="Y862" s="6"/>
    </row>
    <row r="863" ht="14.25">
      <c r="B863" s="4" t="s">
        <v>6024</v>
      </c>
      <c r="C863" s="4" t="s">
        <v>6025</v>
      </c>
      <c r="D863" s="4" t="s">
        <v>6026</v>
      </c>
      <c r="E863" s="4" t="s">
        <v>6027</v>
      </c>
      <c r="F863" s="4" t="str">
        <f>IFERROR(__XLUDF.DUMMYFUNCTION("PROPER(REGEXREPLACE(D848,""[^A-Za-z]+ "",""""))"),"Renaissance Paris République")</f>
        <v xml:space="preserve">Renaissance Paris République</v>
      </c>
      <c r="G863" s="4" t="s">
        <v>6028</v>
      </c>
      <c r="H863" s="4">
        <v>14</v>
      </c>
      <c r="I863" s="4" t="s">
        <v>36</v>
      </c>
      <c r="J863" s="5" t="s">
        <v>6029</v>
      </c>
      <c r="K863" s="5" t="s">
        <v>6030</v>
      </c>
      <c r="L863" s="4" t="s">
        <v>1312</v>
      </c>
      <c r="M863" s="4" t="s">
        <v>29</v>
      </c>
      <c r="N863" s="4" t="s">
        <v>1313</v>
      </c>
      <c r="O863" s="4" t="s">
        <v>29</v>
      </c>
      <c r="P863" s="4" t="s">
        <v>6031</v>
      </c>
      <c r="Q863" s="6"/>
      <c r="R863" s="6"/>
      <c r="S863" s="6"/>
      <c r="T863" s="6"/>
      <c r="U863" s="6"/>
      <c r="V863" s="6"/>
      <c r="W863" s="6"/>
      <c r="X863" s="6"/>
      <c r="Y863" s="6"/>
    </row>
    <row r="864" ht="14.25">
      <c r="B864" s="4" t="s">
        <v>1583</v>
      </c>
      <c r="C864" s="4" t="s">
        <v>2437</v>
      </c>
      <c r="D864" s="4" t="s">
        <v>112</v>
      </c>
      <c r="E864" s="4" t="s">
        <v>6032</v>
      </c>
      <c r="F864" s="4" t="str">
        <f>IFERROR(__XLUDF.DUMMYFUNCTION("PROPER(REGEXREPLACE(D849,""[^A-Za-z]+ "",""""))"),"Igloohome France")</f>
        <v xml:space="preserve">Igloohome France</v>
      </c>
      <c r="G864" s="4" t="s">
        <v>6033</v>
      </c>
      <c r="H864" s="4">
        <v>71</v>
      </c>
      <c r="I864" s="4" t="s">
        <v>25</v>
      </c>
      <c r="J864" s="5" t="s">
        <v>6034</v>
      </c>
      <c r="K864" s="5" t="s">
        <v>6035</v>
      </c>
      <c r="L864" s="4" t="s">
        <v>295</v>
      </c>
      <c r="M864" s="4" t="s">
        <v>29</v>
      </c>
      <c r="N864" s="4" t="s">
        <v>6036</v>
      </c>
      <c r="O864" s="4" t="s">
        <v>29</v>
      </c>
      <c r="P864" s="4" t="s">
        <v>1144</v>
      </c>
      <c r="Q864" s="6"/>
      <c r="R864" s="6"/>
      <c r="S864" s="6"/>
      <c r="T864" s="6"/>
      <c r="U864" s="6"/>
      <c r="V864" s="6"/>
      <c r="W864" s="6"/>
      <c r="X864" s="6"/>
      <c r="Y864" s="6"/>
    </row>
    <row r="865" ht="14.25">
      <c r="B865" s="4" t="s">
        <v>4115</v>
      </c>
      <c r="C865" s="4" t="s">
        <v>6037</v>
      </c>
      <c r="D865" s="4" t="s">
        <v>120</v>
      </c>
      <c r="E865" s="4" t="s">
        <v>5746</v>
      </c>
      <c r="F865" s="4" t="str">
        <f>IFERROR(__XLUDF.DUMMYFUNCTION("PROPER(REGEXREPLACE(D850,""[^A-Za-z]+ "",""""))"),"Holding Rd Finance")</f>
        <v xml:space="preserve">Holding Rd Finance</v>
      </c>
      <c r="G865" s="4" t="s">
        <v>6038</v>
      </c>
      <c r="H865" s="4">
        <v>6</v>
      </c>
      <c r="I865" s="4" t="s">
        <v>25</v>
      </c>
      <c r="J865" s="5" t="s">
        <v>6039</v>
      </c>
      <c r="K865" s="5" t="s">
        <v>5749</v>
      </c>
      <c r="L865" s="4" t="s">
        <v>39</v>
      </c>
      <c r="M865" s="4" t="s">
        <v>29</v>
      </c>
      <c r="N865" s="4" t="s">
        <v>5750</v>
      </c>
      <c r="O865" s="4" t="s">
        <v>29</v>
      </c>
      <c r="P865" s="4" t="s">
        <v>5751</v>
      </c>
      <c r="Q865" s="6"/>
      <c r="R865" s="6"/>
      <c r="S865" s="6"/>
      <c r="T865" s="6"/>
      <c r="U865" s="6"/>
      <c r="V865" s="6"/>
      <c r="W865" s="6"/>
      <c r="X865" s="6"/>
      <c r="Y865" s="6"/>
    </row>
    <row r="866" ht="14.25">
      <c r="B866" s="4" t="s">
        <v>6040</v>
      </c>
      <c r="C866" s="4" t="s">
        <v>5975</v>
      </c>
      <c r="D866" s="4" t="s">
        <v>120</v>
      </c>
      <c r="E866" s="4" t="s">
        <v>5976</v>
      </c>
      <c r="F866" s="4" t="str">
        <f>IFERROR(__XLUDF.DUMMYFUNCTION("PROPER(REGEXREPLACE(D851,""[^A-Za-z]+ "",""""))"),"Hôtel Restaurant Spa Belle Isle Sur Risle")</f>
        <v xml:space="preserve">Hôtel Restaurant Spa Belle Isle Sur Risle</v>
      </c>
      <c r="G866" s="4" t="s">
        <v>6041</v>
      </c>
      <c r="H866" s="4">
        <v>6</v>
      </c>
      <c r="I866" s="4" t="s">
        <v>25</v>
      </c>
      <c r="J866" s="5" t="s">
        <v>6042</v>
      </c>
      <c r="K866" s="5" t="s">
        <v>5979</v>
      </c>
      <c r="L866" s="4" t="s">
        <v>39</v>
      </c>
      <c r="M866" s="4" t="s">
        <v>29</v>
      </c>
      <c r="N866" s="4" t="s">
        <v>5980</v>
      </c>
      <c r="O866" s="4" t="s">
        <v>29</v>
      </c>
      <c r="P866" s="6"/>
      <c r="Q866" s="6"/>
      <c r="R866" s="6"/>
      <c r="S866" s="6"/>
      <c r="T866" s="6"/>
      <c r="U866" s="6"/>
      <c r="V866" s="6"/>
      <c r="W866" s="6"/>
      <c r="X866" s="6"/>
      <c r="Y866" s="6"/>
    </row>
    <row r="867" ht="14.25">
      <c r="B867" s="4" t="s">
        <v>1804</v>
      </c>
      <c r="C867" s="4" t="s">
        <v>6043</v>
      </c>
      <c r="D867" s="4" t="s">
        <v>198</v>
      </c>
      <c r="E867" s="4" t="s">
        <v>6044</v>
      </c>
      <c r="F867" s="4" t="str">
        <f>IFERROR(__XLUDF.DUMMYFUNCTION("PROPER(REGEXREPLACE(D852,""[^A-Za-z]+ "",""""))"),"Bleecker")</f>
        <v>Bleecker</v>
      </c>
      <c r="G867" s="4" t="s">
        <v>6045</v>
      </c>
      <c r="H867" s="4">
        <v>14</v>
      </c>
      <c r="I867" s="4" t="s">
        <v>25</v>
      </c>
      <c r="J867" s="5" t="s">
        <v>6046</v>
      </c>
      <c r="K867" s="5" t="s">
        <v>6047</v>
      </c>
      <c r="L867" s="4" t="s">
        <v>243</v>
      </c>
      <c r="M867" s="4" t="s">
        <v>29</v>
      </c>
      <c r="N867" s="4" t="s">
        <v>6048</v>
      </c>
      <c r="O867" s="4" t="s">
        <v>29</v>
      </c>
      <c r="P867" s="6"/>
      <c r="Q867" s="6"/>
      <c r="R867" s="6"/>
      <c r="S867" s="6"/>
      <c r="T867" s="6"/>
      <c r="U867" s="6"/>
      <c r="V867" s="6"/>
      <c r="W867" s="6"/>
      <c r="X867" s="6"/>
      <c r="Y867" s="6"/>
    </row>
    <row r="868" ht="14.25">
      <c r="B868" s="4" t="s">
        <v>95</v>
      </c>
      <c r="C868" s="4" t="s">
        <v>6049</v>
      </c>
      <c r="D868" s="4" t="s">
        <v>87</v>
      </c>
      <c r="E868" s="4" t="s">
        <v>6050</v>
      </c>
      <c r="F868" s="4" t="str">
        <f>IFERROR(__XLUDF.DUMMYFUNCTION("PROPER(REGEXREPLACE(D853,""[^A-Za-z]+ "",""""))"),"Starhotels Castille Paris *****")</f>
        <v xml:space="preserve">Starhotels Castille Paris *****</v>
      </c>
      <c r="G868" s="4" t="s">
        <v>6051</v>
      </c>
      <c r="H868" s="4">
        <v>43</v>
      </c>
      <c r="I868" s="4" t="s">
        <v>25</v>
      </c>
      <c r="J868" s="5" t="s">
        <v>6052</v>
      </c>
      <c r="K868" s="5" t="s">
        <v>6053</v>
      </c>
      <c r="L868" s="4" t="s">
        <v>39</v>
      </c>
      <c r="M868" s="4" t="s">
        <v>29</v>
      </c>
      <c r="N868" s="4" t="s">
        <v>6054</v>
      </c>
      <c r="O868" s="4" t="s">
        <v>29</v>
      </c>
      <c r="P868" s="6"/>
      <c r="Q868" s="6"/>
      <c r="R868" s="6"/>
      <c r="S868" s="6"/>
      <c r="T868" s="6"/>
      <c r="U868" s="6"/>
      <c r="V868" s="6"/>
      <c r="W868" s="6"/>
      <c r="X868" s="6"/>
      <c r="Y868" s="6"/>
    </row>
    <row r="869" ht="14.25">
      <c r="B869" s="4" t="s">
        <v>6055</v>
      </c>
      <c r="C869" s="4" t="s">
        <v>6056</v>
      </c>
      <c r="D869" s="4" t="s">
        <v>44</v>
      </c>
      <c r="E869" s="4" t="s">
        <v>6057</v>
      </c>
      <c r="F869" s="4" t="str">
        <f>IFERROR(__XLUDF.DUMMYFUNCTION("PROPER(REGEXREPLACE(D854,""[^A-Za-z]+ "",""""))"),"Luwii")</f>
        <v>Luwii</v>
      </c>
      <c r="G869" s="4" t="s">
        <v>6058</v>
      </c>
      <c r="H869" s="4">
        <v>1</v>
      </c>
      <c r="I869" s="4" t="s">
        <v>25</v>
      </c>
      <c r="J869" s="5" t="s">
        <v>6059</v>
      </c>
      <c r="K869" s="5" t="s">
        <v>6060</v>
      </c>
      <c r="L869" s="4" t="s">
        <v>6061</v>
      </c>
      <c r="M869" s="4" t="s">
        <v>29</v>
      </c>
      <c r="N869" s="4" t="s">
        <v>6062</v>
      </c>
      <c r="O869" s="4" t="s">
        <v>29</v>
      </c>
      <c r="P869" s="4" t="s">
        <v>6063</v>
      </c>
      <c r="Q869" s="6"/>
      <c r="R869" s="6"/>
      <c r="S869" s="6"/>
      <c r="T869" s="6"/>
      <c r="U869" s="6"/>
      <c r="V869" s="6"/>
      <c r="W869" s="6"/>
      <c r="X869" s="6"/>
      <c r="Y869" s="6"/>
    </row>
    <row r="870" ht="14.25">
      <c r="B870" s="4" t="s">
        <v>6064</v>
      </c>
      <c r="C870" s="4" t="s">
        <v>6065</v>
      </c>
      <c r="D870" s="4" t="s">
        <v>6066</v>
      </c>
      <c r="E870" s="4" t="s">
        <v>6067</v>
      </c>
      <c r="F870" s="4" t="str">
        <f>IFERROR(__XLUDF.DUMMYFUNCTION("PROPER(REGEXREPLACE(D855,""[^A-Za-z]+ "",""""))"),"French Theory")</f>
        <v xml:space="preserve">French Theory</v>
      </c>
      <c r="G870" s="4" t="s">
        <v>6068</v>
      </c>
      <c r="H870" s="4">
        <v>3</v>
      </c>
      <c r="I870" s="4" t="s">
        <v>25</v>
      </c>
      <c r="J870" s="5" t="s">
        <v>6069</v>
      </c>
      <c r="K870" s="5" t="s">
        <v>6070</v>
      </c>
      <c r="L870" s="4" t="s">
        <v>6071</v>
      </c>
      <c r="M870" s="4" t="s">
        <v>29</v>
      </c>
      <c r="N870" s="4" t="s">
        <v>6072</v>
      </c>
      <c r="O870" s="4" t="s">
        <v>29</v>
      </c>
      <c r="P870" s="6"/>
      <c r="Q870" s="6"/>
      <c r="R870" s="6"/>
      <c r="S870" s="6"/>
      <c r="T870" s="6"/>
      <c r="U870" s="6"/>
      <c r="V870" s="6"/>
      <c r="W870" s="6"/>
      <c r="X870" s="6"/>
      <c r="Y870" s="6"/>
    </row>
    <row r="871" ht="14.25">
      <c r="B871" s="4" t="s">
        <v>76</v>
      </c>
      <c r="C871" s="4" t="s">
        <v>6073</v>
      </c>
      <c r="D871" s="4" t="s">
        <v>172</v>
      </c>
      <c r="E871" s="4" t="s">
        <v>6074</v>
      </c>
      <c r="F871" s="4" t="str">
        <f>IFERROR(__XLUDF.DUMMYFUNCTION("PROPER(REGEXREPLACE(D856,""[^A-Za-z]+ "",""""))"),"Bloomer")</f>
        <v>Bloomer</v>
      </c>
      <c r="G871" s="4" t="s">
        <v>6075</v>
      </c>
      <c r="H871" s="4">
        <v>14</v>
      </c>
      <c r="I871" s="4" t="s">
        <v>25</v>
      </c>
      <c r="J871" s="5" t="s">
        <v>6076</v>
      </c>
      <c r="K871" s="5" t="s">
        <v>6077</v>
      </c>
      <c r="L871" s="4" t="s">
        <v>6078</v>
      </c>
      <c r="M871" s="4" t="s">
        <v>29</v>
      </c>
      <c r="N871" s="4" t="s">
        <v>6079</v>
      </c>
      <c r="O871" s="4" t="s">
        <v>29</v>
      </c>
      <c r="P871" s="6"/>
      <c r="Q871" s="6"/>
      <c r="R871" s="6"/>
      <c r="S871" s="6"/>
      <c r="T871" s="6"/>
      <c r="U871" s="6"/>
      <c r="V871" s="6"/>
      <c r="W871" s="6"/>
      <c r="X871" s="6"/>
      <c r="Y871" s="6"/>
    </row>
    <row r="872" ht="14.25">
      <c r="B872" s="4" t="s">
        <v>6080</v>
      </c>
      <c r="C872" s="4" t="s">
        <v>4282</v>
      </c>
      <c r="D872" s="4" t="s">
        <v>6081</v>
      </c>
      <c r="E872" s="4" t="s">
        <v>6082</v>
      </c>
      <c r="F872" s="4" t="str">
        <f>IFERROR(__XLUDF.DUMMYFUNCTION("PROPER(REGEXREPLACE(D857,""[^A-Za-z]+ "",""""))"),"Empanadas Club")</f>
        <v xml:space="preserve">Empanadas Club</v>
      </c>
      <c r="G872" s="4" t="s">
        <v>6083</v>
      </c>
      <c r="H872" s="4">
        <v>18</v>
      </c>
      <c r="I872" s="4" t="s">
        <v>36</v>
      </c>
      <c r="J872" s="5" t="s">
        <v>6084</v>
      </c>
      <c r="K872" s="5" t="s">
        <v>6085</v>
      </c>
      <c r="L872" s="4" t="s">
        <v>39</v>
      </c>
      <c r="M872" s="4" t="s">
        <v>29</v>
      </c>
      <c r="N872" s="4" t="s">
        <v>6086</v>
      </c>
      <c r="O872" s="4" t="s">
        <v>29</v>
      </c>
      <c r="P872" s="6"/>
      <c r="Q872" s="6"/>
      <c r="R872" s="6"/>
      <c r="S872" s="6"/>
      <c r="T872" s="6"/>
      <c r="U872" s="6"/>
      <c r="V872" s="6"/>
      <c r="W872" s="6"/>
      <c r="X872" s="6"/>
      <c r="Y872" s="6"/>
    </row>
    <row r="873" ht="14.25">
      <c r="B873" s="4" t="s">
        <v>355</v>
      </c>
      <c r="C873" s="4" t="s">
        <v>6087</v>
      </c>
      <c r="D873" s="4" t="s">
        <v>120</v>
      </c>
      <c r="E873" s="4" t="s">
        <v>5638</v>
      </c>
      <c r="F873" s="4" t="str">
        <f>IFERROR(__XLUDF.DUMMYFUNCTION("PROPER(REGEXREPLACE(D858,""[^A-Za-z]+ "",""""))"),"La Maison Du Bassin")</f>
        <v xml:space="preserve">La Maison Du Bassin</v>
      </c>
      <c r="G873" s="4" t="s">
        <v>6088</v>
      </c>
      <c r="H873" s="4">
        <v>26</v>
      </c>
      <c r="I873" s="4" t="s">
        <v>36</v>
      </c>
      <c r="J873" s="5" t="s">
        <v>6089</v>
      </c>
      <c r="K873" s="5" t="s">
        <v>5641</v>
      </c>
      <c r="L873" s="4" t="s">
        <v>39</v>
      </c>
      <c r="M873" s="4" t="s">
        <v>29</v>
      </c>
      <c r="N873" s="4" t="s">
        <v>5642</v>
      </c>
      <c r="O873" s="4" t="s">
        <v>29</v>
      </c>
      <c r="P873" s="4" t="s">
        <v>5643</v>
      </c>
      <c r="Q873" s="6"/>
      <c r="R873" s="6"/>
      <c r="S873" s="6"/>
      <c r="T873" s="6"/>
      <c r="U873" s="6"/>
      <c r="V873" s="6"/>
      <c r="W873" s="6"/>
      <c r="X873" s="6"/>
      <c r="Y873" s="6"/>
    </row>
    <row r="874" ht="14.25">
      <c r="B874" s="4" t="s">
        <v>4026</v>
      </c>
      <c r="C874" s="4" t="s">
        <v>6090</v>
      </c>
      <c r="D874" s="4" t="s">
        <v>6091</v>
      </c>
      <c r="E874" s="4" t="s">
        <v>5664</v>
      </c>
      <c r="F874" s="4" t="str">
        <f>IFERROR(__XLUDF.DUMMYFUNCTION("PROPER(REGEXREPLACE(D859,""[^A-Za-z]+ "",""""))"),"Zaino Ristorante")</f>
        <v xml:space="preserve">Zaino Ristorante</v>
      </c>
      <c r="G874" s="4" t="s">
        <v>6092</v>
      </c>
      <c r="H874" s="4">
        <v>47</v>
      </c>
      <c r="I874" s="4" t="s">
        <v>36</v>
      </c>
      <c r="J874" s="5" t="s">
        <v>6093</v>
      </c>
      <c r="K874" s="5" t="s">
        <v>5667</v>
      </c>
      <c r="L874" s="4" t="s">
        <v>39</v>
      </c>
      <c r="M874" s="4" t="s">
        <v>29</v>
      </c>
      <c r="N874" s="4" t="s">
        <v>5669</v>
      </c>
      <c r="O874" s="4" t="s">
        <v>29</v>
      </c>
      <c r="P874" s="4" t="s">
        <v>5670</v>
      </c>
      <c r="Q874" s="6"/>
      <c r="R874" s="6"/>
      <c r="S874" s="6"/>
      <c r="T874" s="6"/>
      <c r="U874" s="6"/>
      <c r="V874" s="6"/>
      <c r="W874" s="6"/>
      <c r="X874" s="6"/>
      <c r="Y874" s="6"/>
    </row>
    <row r="875" ht="14.25">
      <c r="B875" s="4" t="s">
        <v>630</v>
      </c>
      <c r="C875" s="4" t="s">
        <v>6094</v>
      </c>
      <c r="D875" s="4" t="s">
        <v>247</v>
      </c>
      <c r="E875" s="4" t="s">
        <v>6095</v>
      </c>
      <c r="F875" s="4" t="str">
        <f>IFERROR(__XLUDF.DUMMYFUNCTION("PROPER(REGEXREPLACE(D860,""[^A-Za-z]+ "",""""))"),"Château Fage La Maison Des Vignes")</f>
        <v xml:space="preserve">Château Fage La Maison Des Vignes</v>
      </c>
      <c r="G875" s="4" t="s">
        <v>6096</v>
      </c>
      <c r="H875" s="4">
        <v>14</v>
      </c>
      <c r="I875" s="4" t="s">
        <v>36</v>
      </c>
      <c r="J875" s="5" t="s">
        <v>6097</v>
      </c>
      <c r="K875" s="5" t="s">
        <v>6098</v>
      </c>
      <c r="L875" s="4" t="s">
        <v>39</v>
      </c>
      <c r="M875" s="4" t="s">
        <v>29</v>
      </c>
      <c r="N875" s="4" t="s">
        <v>6099</v>
      </c>
      <c r="O875" s="4" t="s">
        <v>29</v>
      </c>
      <c r="P875" s="4" t="s">
        <v>6100</v>
      </c>
      <c r="Q875" s="6"/>
      <c r="R875" s="6"/>
      <c r="S875" s="6"/>
      <c r="T875" s="6"/>
      <c r="U875" s="6"/>
      <c r="V875" s="6"/>
      <c r="W875" s="6"/>
      <c r="X875" s="6"/>
      <c r="Y875" s="6"/>
    </row>
    <row r="876" ht="14.25">
      <c r="B876" s="4" t="s">
        <v>2419</v>
      </c>
      <c r="C876" s="4" t="s">
        <v>6101</v>
      </c>
      <c r="D876" s="4" t="s">
        <v>112</v>
      </c>
      <c r="E876" s="4" t="s">
        <v>6102</v>
      </c>
      <c r="F876" s="4" t="str">
        <f>IFERROR(__XLUDF.DUMMYFUNCTION("PROPER(REGEXREPLACE(D861,""[^A-Za-z]+ "",""""))"),"Mando Hospitality")</f>
        <v xml:space="preserve">Mando Hospitality</v>
      </c>
      <c r="G876" s="4" t="s">
        <v>6103</v>
      </c>
      <c r="H876" s="4">
        <v>7</v>
      </c>
      <c r="I876" s="4" t="s">
        <v>25</v>
      </c>
      <c r="J876" s="5" t="s">
        <v>6104</v>
      </c>
      <c r="K876" s="5" t="s">
        <v>6105</v>
      </c>
      <c r="L876" s="4" t="s">
        <v>439</v>
      </c>
      <c r="M876" s="4" t="s">
        <v>29</v>
      </c>
      <c r="N876" s="4" t="s">
        <v>6106</v>
      </c>
      <c r="O876" s="4" t="s">
        <v>29</v>
      </c>
      <c r="P876" s="4" t="s">
        <v>6107</v>
      </c>
      <c r="Q876" s="6"/>
      <c r="R876" s="6"/>
      <c r="S876" s="6"/>
      <c r="T876" s="6"/>
      <c r="U876" s="6"/>
      <c r="V876" s="6"/>
      <c r="W876" s="6"/>
      <c r="X876" s="6"/>
      <c r="Y876" s="6"/>
    </row>
    <row r="877" ht="14.25">
      <c r="B877" s="4" t="s">
        <v>152</v>
      </c>
      <c r="C877" s="4" t="s">
        <v>6108</v>
      </c>
      <c r="D877" s="4" t="s">
        <v>6109</v>
      </c>
      <c r="E877" s="4" t="s">
        <v>6110</v>
      </c>
      <c r="F877" s="4" t="str">
        <f>IFERROR(__XLUDF.DUMMYFUNCTION("PROPER(REGEXREPLACE(D862,""[^A-Za-z]+ "",""""))"),"Cogethers")</f>
        <v>Cogethers</v>
      </c>
      <c r="G877" s="4" t="s">
        <v>6111</v>
      </c>
      <c r="H877" s="4">
        <v>4</v>
      </c>
      <c r="I877" s="4" t="s">
        <v>25</v>
      </c>
      <c r="J877" s="5" t="s">
        <v>6112</v>
      </c>
      <c r="K877" s="5" t="s">
        <v>6113</v>
      </c>
      <c r="L877" s="6"/>
      <c r="M877" s="4" t="s">
        <v>29</v>
      </c>
      <c r="N877" s="4" t="s">
        <v>6114</v>
      </c>
      <c r="O877" s="4" t="s">
        <v>29</v>
      </c>
      <c r="P877" s="4" t="s">
        <v>6115</v>
      </c>
      <c r="Q877" s="6"/>
      <c r="R877" s="6"/>
      <c r="S877" s="6"/>
      <c r="T877" s="6"/>
      <c r="U877" s="6"/>
      <c r="V877" s="6"/>
      <c r="W877" s="6"/>
      <c r="X877" s="6"/>
      <c r="Y877" s="6"/>
    </row>
    <row r="878" ht="14.25">
      <c r="B878" s="4" t="s">
        <v>1396</v>
      </c>
      <c r="C878" s="4" t="s">
        <v>6116</v>
      </c>
      <c r="D878" s="4" t="s">
        <v>164</v>
      </c>
      <c r="E878" s="4" t="s">
        <v>6117</v>
      </c>
      <c r="F878" s="4" t="str">
        <f>IFERROR(__XLUDF.DUMMYFUNCTION("PROPER(REGEXREPLACE(D863,""[^A-Za-z]+ "",""""))"),"Mamie Fada")</f>
        <v xml:space="preserve">Mamie Fada</v>
      </c>
      <c r="G878" s="4" t="s">
        <v>6118</v>
      </c>
      <c r="H878" s="4">
        <v>17</v>
      </c>
      <c r="I878" s="4" t="s">
        <v>25</v>
      </c>
      <c r="J878" s="5" t="s">
        <v>6119</v>
      </c>
      <c r="K878" s="5" t="s">
        <v>6120</v>
      </c>
      <c r="L878" s="4" t="s">
        <v>39</v>
      </c>
      <c r="M878" s="4" t="s">
        <v>29</v>
      </c>
      <c r="N878" s="4" t="s">
        <v>6121</v>
      </c>
      <c r="O878" s="4" t="s">
        <v>29</v>
      </c>
      <c r="P878" s="4" t="s">
        <v>6122</v>
      </c>
      <c r="Q878" s="6"/>
      <c r="R878" s="6"/>
      <c r="S878" s="6"/>
      <c r="T878" s="6"/>
      <c r="U878" s="6"/>
      <c r="V878" s="6"/>
      <c r="W878" s="6"/>
      <c r="X878" s="6"/>
      <c r="Y878" s="6"/>
    </row>
    <row r="879" ht="14.25">
      <c r="B879" s="4" t="s">
        <v>330</v>
      </c>
      <c r="C879" s="4" t="s">
        <v>6123</v>
      </c>
      <c r="D879" s="4" t="s">
        <v>172</v>
      </c>
      <c r="E879" s="4" t="s">
        <v>6124</v>
      </c>
      <c r="F879" s="4" t="str">
        <f>IFERROR(__XLUDF.DUMMYFUNCTION("PROPER(REGEXREPLACE(D864,""[^A-Za-z]+ "",""""))"),"Ciela Village")</f>
        <v xml:space="preserve">Ciela Village</v>
      </c>
      <c r="G879" s="4" t="s">
        <v>6125</v>
      </c>
      <c r="H879" s="4">
        <v>13</v>
      </c>
      <c r="I879" s="4" t="s">
        <v>25</v>
      </c>
      <c r="J879" s="5" t="s">
        <v>6126</v>
      </c>
      <c r="K879" s="5" t="s">
        <v>6127</v>
      </c>
      <c r="L879" s="4" t="s">
        <v>6128</v>
      </c>
      <c r="M879" s="4" t="s">
        <v>29</v>
      </c>
      <c r="N879" s="4" t="s">
        <v>6129</v>
      </c>
      <c r="O879" s="4" t="s">
        <v>29</v>
      </c>
      <c r="P879" s="6"/>
      <c r="Q879" s="6"/>
      <c r="R879" s="6"/>
      <c r="S879" s="6"/>
      <c r="T879" s="6"/>
      <c r="U879" s="6"/>
      <c r="V879" s="6"/>
      <c r="W879" s="6"/>
      <c r="X879" s="6"/>
      <c r="Y879" s="6"/>
    </row>
    <row r="880" ht="14.25">
      <c r="B880" s="4" t="s">
        <v>52</v>
      </c>
      <c r="C880" s="4" t="s">
        <v>6130</v>
      </c>
      <c r="D880" s="4" t="s">
        <v>120</v>
      </c>
      <c r="E880" s="4" t="s">
        <v>6131</v>
      </c>
      <c r="F880" s="4" t="str">
        <f>IFERROR(__XLUDF.DUMMYFUNCTION("PROPER(REGEXREPLACE(D865,""[^A-Za-z]+ "",""""))"),"Workpackers")</f>
        <v>Workpackers</v>
      </c>
      <c r="G880" s="4" t="s">
        <v>6132</v>
      </c>
      <c r="H880" s="4">
        <v>3</v>
      </c>
      <c r="I880" s="4" t="s">
        <v>2602</v>
      </c>
      <c r="J880" s="5" t="s">
        <v>6133</v>
      </c>
      <c r="K880" s="5" t="s">
        <v>6134</v>
      </c>
      <c r="L880" s="4" t="s">
        <v>39</v>
      </c>
      <c r="M880" s="4" t="s">
        <v>29</v>
      </c>
      <c r="N880" s="4" t="s">
        <v>6135</v>
      </c>
      <c r="O880" s="4" t="s">
        <v>6136</v>
      </c>
      <c r="P880" s="4" t="s">
        <v>6137</v>
      </c>
      <c r="Q880" s="6"/>
      <c r="R880" s="6"/>
      <c r="S880" s="6"/>
      <c r="T880" s="6"/>
      <c r="U880" s="6"/>
      <c r="V880" s="6"/>
      <c r="W880" s="6"/>
      <c r="X880" s="6"/>
      <c r="Y880" s="6"/>
    </row>
    <row r="881" ht="14.25">
      <c r="B881" s="4" t="s">
        <v>2303</v>
      </c>
      <c r="C881" s="4" t="s">
        <v>6138</v>
      </c>
      <c r="D881" s="4" t="s">
        <v>164</v>
      </c>
      <c r="E881" s="4" t="s">
        <v>6139</v>
      </c>
      <c r="F881" s="4" t="str">
        <f>IFERROR(__XLUDF.DUMMYFUNCTION("PROPER(REGEXREPLACE(D866,""[^A-Za-z]+ "",""""))"),"French Theory")</f>
        <v xml:space="preserve">French Theory</v>
      </c>
      <c r="G881" s="4" t="s">
        <v>6140</v>
      </c>
      <c r="H881" s="4">
        <v>10</v>
      </c>
      <c r="I881" s="4" t="s">
        <v>25</v>
      </c>
      <c r="J881" s="5" t="s">
        <v>6141</v>
      </c>
      <c r="K881" s="5" t="s">
        <v>6142</v>
      </c>
      <c r="L881" s="4" t="s">
        <v>6143</v>
      </c>
      <c r="M881" s="4" t="s">
        <v>29</v>
      </c>
      <c r="N881" s="4" t="s">
        <v>6144</v>
      </c>
      <c r="O881" s="4" t="s">
        <v>29</v>
      </c>
      <c r="P881" s="4" t="s">
        <v>6145</v>
      </c>
      <c r="Q881" s="6"/>
      <c r="R881" s="6"/>
      <c r="S881" s="6"/>
      <c r="T881" s="6"/>
      <c r="U881" s="6"/>
      <c r="V881" s="6"/>
      <c r="W881" s="6"/>
      <c r="X881" s="6"/>
      <c r="Y881" s="6"/>
    </row>
    <row r="882" ht="14.25">
      <c r="B882" s="4" t="s">
        <v>6146</v>
      </c>
      <c r="C882" s="4" t="s">
        <v>6147</v>
      </c>
      <c r="D882" s="4" t="s">
        <v>87</v>
      </c>
      <c r="E882" s="4" t="s">
        <v>6148</v>
      </c>
      <c r="F882" s="4" t="str">
        <f>IFERROR(__XLUDF.DUMMYFUNCTION("PROPER(REGEXREPLACE(D867,""[^A-Za-z]+ "",""""))"),"Estivel")</f>
        <v>Estivel</v>
      </c>
      <c r="G882" s="4" t="s">
        <v>6149</v>
      </c>
      <c r="H882" s="4">
        <v>6</v>
      </c>
      <c r="I882" s="4" t="s">
        <v>36</v>
      </c>
      <c r="J882" s="5" t="s">
        <v>6150</v>
      </c>
      <c r="K882" s="5" t="s">
        <v>6151</v>
      </c>
      <c r="L882" s="6"/>
      <c r="M882" s="4" t="s">
        <v>29</v>
      </c>
      <c r="N882" s="4" t="s">
        <v>6152</v>
      </c>
      <c r="O882" s="4" t="s">
        <v>29</v>
      </c>
      <c r="P882" s="4" t="s">
        <v>6153</v>
      </c>
      <c r="Q882" s="6"/>
      <c r="R882" s="6"/>
      <c r="S882" s="6"/>
      <c r="T882" s="6"/>
      <c r="U882" s="6"/>
      <c r="V882" s="6"/>
      <c r="W882" s="6"/>
      <c r="X882" s="6"/>
      <c r="Y882" s="6"/>
    </row>
    <row r="883" ht="14.25">
      <c r="B883" s="4" t="s">
        <v>548</v>
      </c>
      <c r="C883" s="4" t="s">
        <v>6154</v>
      </c>
      <c r="D883" s="4" t="s">
        <v>62</v>
      </c>
      <c r="E883" s="4" t="s">
        <v>6155</v>
      </c>
      <c r="F883" s="4" t="str">
        <f>IFERROR(__XLUDF.DUMMYFUNCTION("PROPER(REGEXREPLACE(D868,""[^A-Za-z]+ "",""""))"),"Baho")</f>
        <v>Baho</v>
      </c>
      <c r="G883" s="4" t="s">
        <v>6156</v>
      </c>
      <c r="H883" s="4">
        <v>25</v>
      </c>
      <c r="I883" s="4" t="s">
        <v>25</v>
      </c>
      <c r="J883" s="5" t="s">
        <v>6157</v>
      </c>
      <c r="K883" s="5" t="s">
        <v>6158</v>
      </c>
      <c r="L883" s="6"/>
      <c r="M883" s="4" t="s">
        <v>29</v>
      </c>
      <c r="N883" s="4" t="s">
        <v>6159</v>
      </c>
      <c r="O883" s="4" t="s">
        <v>1261</v>
      </c>
      <c r="P883" s="6"/>
      <c r="Q883" s="6"/>
      <c r="R883" s="6"/>
      <c r="S883" s="6"/>
      <c r="T883" s="6"/>
      <c r="U883" s="6"/>
      <c r="V883" s="6"/>
      <c r="W883" s="6"/>
      <c r="X883" s="6"/>
      <c r="Y883" s="6"/>
    </row>
    <row r="884" ht="14.25">
      <c r="B884" s="4" t="s">
        <v>355</v>
      </c>
      <c r="C884" s="4" t="s">
        <v>6160</v>
      </c>
      <c r="D884" s="4" t="s">
        <v>87</v>
      </c>
      <c r="E884" s="4" t="s">
        <v>6161</v>
      </c>
      <c r="F884" s="4" t="str">
        <f>IFERROR(__XLUDF.DUMMYFUNCTION("PROPER(REGEXREPLACE(D869,""[^A-Za-z]+ "",""""))"),"My Conciergerie By Lucy Violin")</f>
        <v xml:space="preserve">My Conciergerie By Lucy Violin</v>
      </c>
      <c r="G884" s="4" t="s">
        <v>6162</v>
      </c>
      <c r="H884" s="4">
        <v>14</v>
      </c>
      <c r="I884" s="4" t="s">
        <v>25</v>
      </c>
      <c r="J884" s="5" t="s">
        <v>6163</v>
      </c>
      <c r="K884" s="5" t="s">
        <v>6164</v>
      </c>
      <c r="L884" s="4" t="s">
        <v>39</v>
      </c>
      <c r="M884" s="4" t="s">
        <v>29</v>
      </c>
      <c r="N884" s="4" t="s">
        <v>6165</v>
      </c>
      <c r="O884" s="4" t="s">
        <v>6166</v>
      </c>
      <c r="P884" s="4" t="s">
        <v>6167</v>
      </c>
      <c r="Q884" s="6"/>
      <c r="R884" s="6"/>
      <c r="S884" s="6"/>
      <c r="T884" s="6"/>
      <c r="U884" s="6"/>
      <c r="V884" s="6"/>
      <c r="W884" s="6"/>
      <c r="X884" s="6"/>
      <c r="Y884" s="6"/>
    </row>
    <row r="885" ht="14.25">
      <c r="B885" s="4" t="s">
        <v>298</v>
      </c>
      <c r="C885" s="4" t="s">
        <v>6168</v>
      </c>
      <c r="D885" s="4" t="s">
        <v>365</v>
      </c>
      <c r="E885" s="4" t="s">
        <v>5415</v>
      </c>
      <c r="F885" s="4" t="str">
        <f>IFERROR(__XLUDF.DUMMYFUNCTION("PROPER(REGEXREPLACE(D870,""[^A-Za-z]+ "",""""))"),"La Belugue")</f>
        <v xml:space="preserve">La Belugue</v>
      </c>
      <c r="G885" s="4" t="s">
        <v>6169</v>
      </c>
      <c r="H885" s="4">
        <v>17</v>
      </c>
      <c r="I885" s="4" t="s">
        <v>25</v>
      </c>
      <c r="J885" s="5" t="s">
        <v>6170</v>
      </c>
      <c r="K885" s="5" t="s">
        <v>5418</v>
      </c>
      <c r="L885" s="4" t="s">
        <v>39</v>
      </c>
      <c r="M885" s="4" t="s">
        <v>29</v>
      </c>
      <c r="N885" s="4" t="s">
        <v>5419</v>
      </c>
      <c r="O885" s="4" t="s">
        <v>29</v>
      </c>
      <c r="P885" s="4" t="s">
        <v>5420</v>
      </c>
      <c r="Q885" s="6"/>
      <c r="R885" s="6"/>
      <c r="S885" s="6"/>
      <c r="T885" s="6"/>
      <c r="U885" s="6"/>
      <c r="V885" s="6"/>
      <c r="W885" s="6"/>
      <c r="X885" s="6"/>
      <c r="Y885" s="6"/>
    </row>
    <row r="886" ht="14.25">
      <c r="B886" s="4" t="s">
        <v>485</v>
      </c>
      <c r="C886" s="4" t="s">
        <v>6171</v>
      </c>
      <c r="D886" s="4" t="s">
        <v>879</v>
      </c>
      <c r="E886" s="4" t="s">
        <v>6172</v>
      </c>
      <c r="F886" s="4" t="str">
        <f>IFERROR(__XLUDF.DUMMYFUNCTION("PROPER(REGEXREPLACE(D871,""[^A-Za-z]+ "",""""))"),"Camping Yellohvillage L'Atlantique")</f>
        <v xml:space="preserve">Camping Yellohvillage L'Atlantique</v>
      </c>
      <c r="G886" s="4" t="s">
        <v>6173</v>
      </c>
      <c r="H886" s="4">
        <v>53</v>
      </c>
      <c r="I886" s="4" t="s">
        <v>36</v>
      </c>
      <c r="J886" s="5" t="s">
        <v>6174</v>
      </c>
      <c r="K886" s="5" t="s">
        <v>6175</v>
      </c>
      <c r="L886" s="4" t="s">
        <v>39</v>
      </c>
      <c r="M886" s="4" t="s">
        <v>29</v>
      </c>
      <c r="N886" s="4" t="s">
        <v>6176</v>
      </c>
      <c r="O886" s="4" t="s">
        <v>29</v>
      </c>
      <c r="P886" s="6"/>
      <c r="Q886" s="6"/>
      <c r="R886" s="6"/>
      <c r="S886" s="6"/>
      <c r="T886" s="6"/>
      <c r="U886" s="6"/>
      <c r="V886" s="6"/>
      <c r="W886" s="6"/>
      <c r="X886" s="6"/>
      <c r="Y886" s="6"/>
    </row>
    <row r="887" ht="14.25">
      <c r="B887" s="4" t="s">
        <v>222</v>
      </c>
      <c r="C887" s="4" t="s">
        <v>256</v>
      </c>
      <c r="D887" s="4" t="s">
        <v>3090</v>
      </c>
      <c r="E887" s="4" t="s">
        <v>5815</v>
      </c>
      <c r="F887" s="4" t="str">
        <f>IFERROR(__XLUDF.DUMMYFUNCTION("PROPER(REGEXREPLACE(D872,""[^A-Za-z]+ "",""""))"),"Les Marmites Volantes")</f>
        <v xml:space="preserve">Les Marmites Volantes</v>
      </c>
      <c r="G887" s="4" t="s">
        <v>6177</v>
      </c>
      <c r="H887" s="4">
        <v>4</v>
      </c>
      <c r="I887" s="4" t="s">
        <v>25</v>
      </c>
      <c r="J887" s="5" t="s">
        <v>6178</v>
      </c>
      <c r="K887" s="5" t="s">
        <v>5818</v>
      </c>
      <c r="L887" s="4" t="s">
        <v>39</v>
      </c>
      <c r="M887" s="4" t="s">
        <v>29</v>
      </c>
      <c r="N887" s="4" t="s">
        <v>5819</v>
      </c>
      <c r="O887" s="4" t="s">
        <v>29</v>
      </c>
      <c r="P887" s="4" t="s">
        <v>5820</v>
      </c>
      <c r="Q887" s="6"/>
      <c r="R887" s="6"/>
      <c r="S887" s="6"/>
      <c r="T887" s="6"/>
      <c r="U887" s="6"/>
      <c r="V887" s="6"/>
      <c r="W887" s="6"/>
      <c r="X887" s="6"/>
      <c r="Y887" s="6"/>
    </row>
    <row r="888" ht="14.25">
      <c r="B888" s="4" t="s">
        <v>3834</v>
      </c>
      <c r="C888" s="4" t="s">
        <v>6179</v>
      </c>
      <c r="D888" s="4" t="s">
        <v>164</v>
      </c>
      <c r="E888" s="4" t="s">
        <v>6180</v>
      </c>
      <c r="F888" s="4" t="str">
        <f>IFERROR(__XLUDF.DUMMYFUNCTION("PROPER(REGEXREPLACE(D873,""[^A-Za-z]+ "",""""))"),"Popotes Cantine Respectueuse")</f>
        <v xml:space="preserve">Popotes Cantine Respectueuse</v>
      </c>
      <c r="G888" s="4" t="s">
        <v>6181</v>
      </c>
      <c r="H888" s="4">
        <v>24</v>
      </c>
      <c r="I888" s="4" t="s">
        <v>25</v>
      </c>
      <c r="J888" s="5" t="s">
        <v>6182</v>
      </c>
      <c r="K888" s="5" t="s">
        <v>6183</v>
      </c>
      <c r="L888" s="4" t="s">
        <v>295</v>
      </c>
      <c r="M888" s="4" t="s">
        <v>29</v>
      </c>
      <c r="N888" s="4" t="s">
        <v>6184</v>
      </c>
      <c r="O888" s="4" t="s">
        <v>29</v>
      </c>
      <c r="P888" s="4" t="s">
        <v>6185</v>
      </c>
      <c r="Q888" s="6"/>
      <c r="R888" s="6"/>
      <c r="S888" s="6"/>
      <c r="T888" s="6"/>
      <c r="U888" s="6"/>
      <c r="V888" s="6"/>
      <c r="W888" s="6"/>
      <c r="X888" s="6"/>
      <c r="Y888" s="6"/>
    </row>
    <row r="889" ht="14.25">
      <c r="B889" s="4" t="s">
        <v>2119</v>
      </c>
      <c r="C889" s="4" t="s">
        <v>6186</v>
      </c>
      <c r="D889" s="4" t="s">
        <v>6187</v>
      </c>
      <c r="E889" s="4" t="s">
        <v>6188</v>
      </c>
      <c r="F889" s="4" t="str">
        <f>IFERROR(__XLUDF.DUMMYFUNCTION("PROPER(REGEXREPLACE(D874,""[^A-Za-z]+ "",""""))"),"Le 17.45")</f>
        <v xml:space="preserve">Le 17.45</v>
      </c>
      <c r="G889" s="4" t="s">
        <v>6189</v>
      </c>
      <c r="H889" s="4">
        <v>5</v>
      </c>
      <c r="I889" s="4" t="s">
        <v>36</v>
      </c>
      <c r="J889" s="5" t="s">
        <v>6190</v>
      </c>
      <c r="K889" s="5" t="s">
        <v>6191</v>
      </c>
      <c r="L889" s="4" t="s">
        <v>6192</v>
      </c>
      <c r="M889" s="4" t="s">
        <v>29</v>
      </c>
      <c r="N889" s="4" t="s">
        <v>6193</v>
      </c>
      <c r="O889" s="4" t="s">
        <v>29</v>
      </c>
      <c r="P889" s="6"/>
      <c r="Q889" s="6"/>
      <c r="R889" s="6"/>
      <c r="S889" s="6"/>
      <c r="T889" s="6"/>
      <c r="U889" s="6"/>
      <c r="V889" s="6"/>
      <c r="W889" s="6"/>
      <c r="X889" s="6"/>
      <c r="Y889" s="6"/>
    </row>
    <row r="890" ht="14.25">
      <c r="B890" s="4" t="s">
        <v>6194</v>
      </c>
      <c r="C890" s="4" t="s">
        <v>6195</v>
      </c>
      <c r="D890" s="4" t="s">
        <v>44</v>
      </c>
      <c r="E890" s="4" t="s">
        <v>6196</v>
      </c>
      <c r="F890" s="4" t="str">
        <f>IFERROR(__XLUDF.DUMMYFUNCTION("PROPER(REGEXREPLACE(D875,""[^A-Za-z]+ "",""""))"),"Orgueil")</f>
        <v>Orgueil</v>
      </c>
      <c r="G890" s="4" t="s">
        <v>6197</v>
      </c>
      <c r="H890" s="4">
        <v>5</v>
      </c>
      <c r="I890" s="4" t="s">
        <v>36</v>
      </c>
      <c r="J890" s="5" t="s">
        <v>6198</v>
      </c>
      <c r="K890" s="5" t="s">
        <v>6199</v>
      </c>
      <c r="L890" s="4" t="s">
        <v>39</v>
      </c>
      <c r="M890" s="4" t="s">
        <v>29</v>
      </c>
      <c r="N890" s="4" t="s">
        <v>6200</v>
      </c>
      <c r="O890" s="4" t="s">
        <v>29</v>
      </c>
      <c r="P890" s="4" t="s">
        <v>6201</v>
      </c>
      <c r="Q890" s="6"/>
      <c r="R890" s="6"/>
      <c r="S890" s="6"/>
      <c r="T890" s="6"/>
      <c r="U890" s="6"/>
      <c r="V890" s="6"/>
      <c r="W890" s="6"/>
      <c r="X890" s="6"/>
      <c r="Y890" s="6"/>
    </row>
    <row r="891" ht="14.25">
      <c r="B891" s="4" t="s">
        <v>6202</v>
      </c>
      <c r="C891" s="4" t="s">
        <v>6203</v>
      </c>
      <c r="D891" s="4" t="s">
        <v>62</v>
      </c>
      <c r="E891" s="5" t="s">
        <v>6204</v>
      </c>
      <c r="F891" s="4" t="str">
        <f>IFERROR(__XLUDF.DUMMYFUNCTION("PROPER(REGEXREPLACE(D876,""[^A-Za-z]+ "",""""))"),"Arzel")</f>
        <v>Arzel</v>
      </c>
      <c r="G891" s="4" t="s">
        <v>6205</v>
      </c>
      <c r="H891" s="4">
        <v>2</v>
      </c>
      <c r="I891" s="4" t="s">
        <v>25</v>
      </c>
      <c r="J891" s="5" t="s">
        <v>6206</v>
      </c>
      <c r="K891" s="5" t="s">
        <v>6207</v>
      </c>
      <c r="L891" s="4" t="s">
        <v>6208</v>
      </c>
      <c r="M891" s="4" t="s">
        <v>29</v>
      </c>
      <c r="N891" s="4" t="s">
        <v>67</v>
      </c>
      <c r="O891" s="4" t="s">
        <v>29</v>
      </c>
      <c r="P891" s="4" t="s">
        <v>6209</v>
      </c>
      <c r="Q891" s="6"/>
      <c r="R891" s="6"/>
      <c r="S891" s="6"/>
      <c r="T891" s="6"/>
      <c r="U891" s="6"/>
      <c r="V891" s="6"/>
      <c r="W891" s="6"/>
      <c r="X891" s="6"/>
      <c r="Y891" s="6"/>
    </row>
    <row r="892" ht="14.25">
      <c r="B892" s="4" t="s">
        <v>6210</v>
      </c>
      <c r="C892" s="4" t="s">
        <v>6211</v>
      </c>
      <c r="D892" s="4" t="s">
        <v>87</v>
      </c>
      <c r="E892" s="4" t="s">
        <v>6212</v>
      </c>
      <c r="F892" s="4" t="str">
        <f>IFERROR(__XLUDF.DUMMYFUNCTION("PROPER(REGEXREPLACE(D877,""[^A-Za-z]+ "",""""))"),"Chateau Colivingcoworking")</f>
        <v xml:space="preserve">Chateau Colivingcoworking</v>
      </c>
      <c r="G892" s="4" t="s">
        <v>6213</v>
      </c>
      <c r="H892" s="4">
        <v>7</v>
      </c>
      <c r="I892" s="4" t="s">
        <v>36</v>
      </c>
      <c r="J892" s="5" t="s">
        <v>6214</v>
      </c>
      <c r="K892" s="5" t="s">
        <v>6215</v>
      </c>
      <c r="L892" s="4" t="s">
        <v>651</v>
      </c>
      <c r="M892" s="4" t="s">
        <v>29</v>
      </c>
      <c r="N892" s="4" t="s">
        <v>6216</v>
      </c>
      <c r="O892" s="4" t="s">
        <v>29</v>
      </c>
      <c r="P892" s="4" t="s">
        <v>6217</v>
      </c>
      <c r="Q892" s="6"/>
      <c r="R892" s="6"/>
      <c r="S892" s="6"/>
      <c r="T892" s="6"/>
      <c r="U892" s="6"/>
      <c r="V892" s="6"/>
      <c r="W892" s="6"/>
      <c r="X892" s="6"/>
      <c r="Y892" s="6"/>
    </row>
    <row r="893" ht="14.25">
      <c r="B893" s="4" t="s">
        <v>5560</v>
      </c>
      <c r="C893" s="4" t="s">
        <v>986</v>
      </c>
      <c r="D893" s="4" t="s">
        <v>172</v>
      </c>
      <c r="E893" s="4" t="s">
        <v>5561</v>
      </c>
      <c r="F893" s="4" t="str">
        <f>IFERROR(__XLUDF.DUMMYFUNCTION("PROPER(REGEXREPLACE(D878,""[^A-Za-z]+ "",""""))"),"Domaine Du Roncemay")</f>
        <v xml:space="preserve">Domaine Du Roncemay</v>
      </c>
      <c r="G893" s="4" t="s">
        <v>6218</v>
      </c>
      <c r="H893" s="4">
        <v>38</v>
      </c>
      <c r="I893" s="4" t="s">
        <v>25</v>
      </c>
      <c r="J893" s="5" t="s">
        <v>6219</v>
      </c>
      <c r="K893" s="5" t="s">
        <v>5564</v>
      </c>
      <c r="L893" s="4" t="s">
        <v>4943</v>
      </c>
      <c r="M893" s="4" t="s">
        <v>29</v>
      </c>
      <c r="N893" s="4" t="s">
        <v>5566</v>
      </c>
      <c r="O893" s="4" t="s">
        <v>29</v>
      </c>
      <c r="P893" s="4" t="s">
        <v>5567</v>
      </c>
      <c r="Q893" s="6"/>
      <c r="R893" s="6"/>
      <c r="S893" s="6"/>
      <c r="T893" s="6"/>
      <c r="U893" s="6"/>
      <c r="V893" s="6"/>
      <c r="W893" s="6"/>
      <c r="X893" s="6"/>
      <c r="Y893" s="6"/>
    </row>
    <row r="894" ht="14.25">
      <c r="B894" s="4" t="s">
        <v>6220</v>
      </c>
      <c r="C894" s="4" t="s">
        <v>6221</v>
      </c>
      <c r="D894" s="4" t="s">
        <v>198</v>
      </c>
      <c r="E894" s="4" t="s">
        <v>6222</v>
      </c>
      <c r="F894" s="4" t="str">
        <f>IFERROR(__XLUDF.DUMMYFUNCTION("PROPER(REGEXREPLACE(D879,""[^A-Za-z]+ "",""""))"),"Résidence De La Pinède")</f>
        <v xml:space="preserve">Résidence De La Pinède</v>
      </c>
      <c r="G894" s="4" t="s">
        <v>6223</v>
      </c>
      <c r="H894" s="4">
        <v>24</v>
      </c>
      <c r="I894" s="4" t="s">
        <v>1450</v>
      </c>
      <c r="J894" s="5" t="s">
        <v>6224</v>
      </c>
      <c r="K894" s="5" t="s">
        <v>6225</v>
      </c>
      <c r="L894" s="4" t="s">
        <v>185</v>
      </c>
      <c r="M894" s="4" t="s">
        <v>29</v>
      </c>
      <c r="N894" s="4" t="s">
        <v>6226</v>
      </c>
      <c r="O894" s="4" t="s">
        <v>29</v>
      </c>
      <c r="P894" s="4" t="s">
        <v>6227</v>
      </c>
      <c r="Q894" s="6"/>
      <c r="R894" s="6"/>
      <c r="S894" s="6"/>
      <c r="T894" s="6"/>
      <c r="U894" s="6"/>
      <c r="V894" s="6"/>
      <c r="W894" s="6"/>
      <c r="X894" s="6"/>
      <c r="Y894" s="6"/>
    </row>
    <row r="895" ht="14.25">
      <c r="B895" s="4" t="s">
        <v>6228</v>
      </c>
      <c r="C895" s="4" t="s">
        <v>6229</v>
      </c>
      <c r="D895" s="4" t="s">
        <v>120</v>
      </c>
      <c r="E895" s="4" t="s">
        <v>6230</v>
      </c>
      <c r="F895" s="4" t="str">
        <f>IFERROR(__XLUDF.DUMMYFUNCTION("PROPER(REGEXREPLACE(D880,""[^A-Za-z]+ "",""""))"),"Oazi")</f>
        <v>Oazi</v>
      </c>
      <c r="G895" s="4" t="s">
        <v>6231</v>
      </c>
      <c r="H895" s="4">
        <v>14</v>
      </c>
      <c r="I895" s="4" t="s">
        <v>36</v>
      </c>
      <c r="J895" s="5" t="s">
        <v>6232</v>
      </c>
      <c r="K895" s="5" t="s">
        <v>6233</v>
      </c>
      <c r="L895" s="4" t="s">
        <v>6234</v>
      </c>
      <c r="M895" s="4" t="s">
        <v>29</v>
      </c>
      <c r="N895" s="4" t="s">
        <v>6235</v>
      </c>
      <c r="O895" s="4" t="s">
        <v>29</v>
      </c>
      <c r="P895" s="4" t="s">
        <v>6236</v>
      </c>
      <c r="Q895" s="6"/>
      <c r="R895" s="6"/>
      <c r="S895" s="6"/>
      <c r="T895" s="6"/>
      <c r="U895" s="6"/>
      <c r="V895" s="6"/>
      <c r="W895" s="6"/>
      <c r="X895" s="6"/>
      <c r="Y895" s="6"/>
    </row>
    <row r="896" ht="14.25">
      <c r="B896" s="4" t="s">
        <v>874</v>
      </c>
      <c r="C896" s="4" t="s">
        <v>6237</v>
      </c>
      <c r="D896" s="4" t="s">
        <v>315</v>
      </c>
      <c r="E896" s="4" t="s">
        <v>6238</v>
      </c>
      <c r="F896" s="4" t="str">
        <f>IFERROR(__XLUDF.DUMMYFUNCTION("PROPER(REGEXREPLACE(D881,""[^A-Za-z]+ "",""""))"),"Blanchisserie Bsc")</f>
        <v xml:space="preserve">Blanchisserie Bsc</v>
      </c>
      <c r="G896" s="4" t="s">
        <v>6239</v>
      </c>
      <c r="H896" s="4">
        <v>5</v>
      </c>
      <c r="I896" s="4" t="s">
        <v>25</v>
      </c>
      <c r="J896" s="5" t="s">
        <v>6240</v>
      </c>
      <c r="K896" s="5" t="s">
        <v>6241</v>
      </c>
      <c r="L896" s="4" t="s">
        <v>1312</v>
      </c>
      <c r="M896" s="4" t="s">
        <v>29</v>
      </c>
      <c r="N896" s="4" t="s">
        <v>6242</v>
      </c>
      <c r="O896" s="4" t="s">
        <v>29</v>
      </c>
      <c r="P896" s="6"/>
      <c r="Q896" s="6"/>
      <c r="R896" s="6"/>
      <c r="S896" s="6"/>
      <c r="T896" s="6"/>
      <c r="U896" s="6"/>
      <c r="V896" s="6"/>
      <c r="W896" s="6"/>
      <c r="X896" s="6"/>
      <c r="Y896" s="6"/>
    </row>
    <row r="897" ht="14.25">
      <c r="B897" s="4" t="s">
        <v>6243</v>
      </c>
      <c r="C897" s="4" t="s">
        <v>6244</v>
      </c>
      <c r="D897" s="4" t="s">
        <v>315</v>
      </c>
      <c r="E897" s="4" t="s">
        <v>6245</v>
      </c>
      <c r="F897" s="4" t="str">
        <f>IFERROR(__XLUDF.DUMMYFUNCTION("PROPER(REGEXREPLACE(D882,""[^A-Za-z]+ "",""""))"),"Bustronome")</f>
        <v>Bustronome</v>
      </c>
      <c r="G897" s="4" t="s">
        <v>6246</v>
      </c>
      <c r="H897" s="4">
        <v>22</v>
      </c>
      <c r="I897" s="4" t="s">
        <v>36</v>
      </c>
      <c r="J897" s="5" t="s">
        <v>6247</v>
      </c>
      <c r="K897" s="5" t="s">
        <v>6248</v>
      </c>
      <c r="L897" s="4" t="s">
        <v>39</v>
      </c>
      <c r="M897" s="4" t="s">
        <v>29</v>
      </c>
      <c r="N897" s="4" t="s">
        <v>6249</v>
      </c>
      <c r="O897" s="4" t="s">
        <v>29</v>
      </c>
      <c r="P897" s="4" t="s">
        <v>6250</v>
      </c>
      <c r="Q897" s="6"/>
      <c r="R897" s="6"/>
      <c r="S897" s="6"/>
      <c r="T897" s="6"/>
      <c r="U897" s="6"/>
      <c r="V897" s="6"/>
      <c r="W897" s="6"/>
      <c r="X897" s="6"/>
      <c r="Y897" s="6"/>
    </row>
    <row r="898" ht="14.25">
      <c r="B898" s="4" t="s">
        <v>579</v>
      </c>
      <c r="C898" s="4" t="s">
        <v>6251</v>
      </c>
      <c r="D898" s="4" t="s">
        <v>6252</v>
      </c>
      <c r="E898" s="4" t="s">
        <v>6253</v>
      </c>
      <c r="F898" s="4" t="str">
        <f>IFERROR(__XLUDF.DUMMYFUNCTION("PROPER(REGEXREPLACE(D883,""[^A-Za-z]+ "",""""))"),"Bvc Group")</f>
        <v xml:space="preserve">Bvc Group</v>
      </c>
      <c r="G898" s="4" t="s">
        <v>6254</v>
      </c>
      <c r="H898" s="4">
        <v>37</v>
      </c>
      <c r="I898" s="4" t="s">
        <v>36</v>
      </c>
      <c r="J898" s="5" t="s">
        <v>6255</v>
      </c>
      <c r="K898" s="5" t="s">
        <v>6256</v>
      </c>
      <c r="L898" s="4" t="s">
        <v>1312</v>
      </c>
      <c r="M898" s="4" t="s">
        <v>29</v>
      </c>
      <c r="N898" s="4" t="s">
        <v>6257</v>
      </c>
      <c r="O898" s="4" t="s">
        <v>29</v>
      </c>
      <c r="P898" s="4" t="s">
        <v>6258</v>
      </c>
      <c r="Q898" s="6"/>
      <c r="R898" s="6"/>
      <c r="S898" s="6"/>
      <c r="T898" s="6"/>
      <c r="U898" s="6"/>
      <c r="V898" s="6"/>
      <c r="W898" s="6"/>
      <c r="X898" s="6"/>
      <c r="Y898" s="6"/>
    </row>
    <row r="899" ht="14.25">
      <c r="B899" s="4" t="s">
        <v>6259</v>
      </c>
      <c r="C899" s="4" t="s">
        <v>6260</v>
      </c>
      <c r="D899" s="4" t="s">
        <v>164</v>
      </c>
      <c r="E899" s="4" t="s">
        <v>6261</v>
      </c>
      <c r="F899" s="4" t="str">
        <f>IFERROR(__XLUDF.DUMMYFUNCTION("PROPER(REGEXREPLACE(D884,""[^A-Za-z]+ "",""""))"),"Prisme")</f>
        <v>Prisme</v>
      </c>
      <c r="G899" s="4" t="s">
        <v>6262</v>
      </c>
      <c r="H899" s="4">
        <v>16</v>
      </c>
      <c r="I899" s="4" t="s">
        <v>25</v>
      </c>
      <c r="J899" s="5" t="s">
        <v>6263</v>
      </c>
      <c r="K899" s="5" t="s">
        <v>6264</v>
      </c>
      <c r="L899" s="6"/>
      <c r="M899" s="4" t="s">
        <v>29</v>
      </c>
      <c r="N899" s="4" t="s">
        <v>6265</v>
      </c>
      <c r="O899" s="4" t="s">
        <v>29</v>
      </c>
      <c r="P899" s="4" t="s">
        <v>6266</v>
      </c>
      <c r="Q899" s="6"/>
      <c r="R899" s="6"/>
      <c r="S899" s="6"/>
      <c r="T899" s="6"/>
      <c r="U899" s="6"/>
      <c r="V899" s="6"/>
      <c r="W899" s="6"/>
      <c r="X899" s="6"/>
      <c r="Y899" s="6"/>
    </row>
    <row r="900" ht="14.25">
      <c r="B900" s="4" t="s">
        <v>322</v>
      </c>
      <c r="C900" s="4" t="s">
        <v>6267</v>
      </c>
      <c r="D900" s="4" t="s">
        <v>172</v>
      </c>
      <c r="E900" s="4" t="s">
        <v>6268</v>
      </c>
      <c r="F900" s="4" t="str">
        <f>IFERROR(__XLUDF.DUMMYFUNCTION("PROPER(REGEXREPLACE(D885,""[^A-Za-z]+ "",""""))"),"Homanie")</f>
        <v>Homanie</v>
      </c>
      <c r="G900" s="4" t="s">
        <v>6269</v>
      </c>
      <c r="H900" s="4">
        <v>19</v>
      </c>
      <c r="I900" s="4" t="s">
        <v>36</v>
      </c>
      <c r="J900" s="5" t="s">
        <v>6270</v>
      </c>
      <c r="K900" s="5" t="s">
        <v>6271</v>
      </c>
      <c r="L900" s="4" t="s">
        <v>6272</v>
      </c>
      <c r="M900" s="4" t="s">
        <v>29</v>
      </c>
      <c r="N900" s="4" t="s">
        <v>6273</v>
      </c>
      <c r="O900" s="4" t="s">
        <v>29</v>
      </c>
      <c r="P900" s="6"/>
      <c r="Q900" s="6"/>
      <c r="R900" s="6"/>
      <c r="S900" s="6"/>
      <c r="T900" s="6"/>
      <c r="U900" s="6"/>
      <c r="V900" s="6"/>
      <c r="W900" s="6"/>
      <c r="X900" s="6"/>
      <c r="Y900" s="6"/>
    </row>
    <row r="901" ht="14.25">
      <c r="B901" s="4" t="s">
        <v>2299</v>
      </c>
      <c r="C901" s="4" t="s">
        <v>6274</v>
      </c>
      <c r="D901" s="4" t="s">
        <v>6275</v>
      </c>
      <c r="E901" s="4" t="s">
        <v>6276</v>
      </c>
      <c r="F901" s="4" t="str">
        <f>IFERROR(__XLUDF.DUMMYFUNCTION("PROPER(REGEXREPLACE(D886,""[^A-Za-z]+ "",""""))"),"Un Dimancheparis")</f>
        <v xml:space="preserve">Un Dimancheparis</v>
      </c>
      <c r="G901" s="4" t="s">
        <v>6277</v>
      </c>
      <c r="H901" s="4">
        <v>7</v>
      </c>
      <c r="I901" s="4" t="s">
        <v>36</v>
      </c>
      <c r="J901" s="5" t="s">
        <v>6278</v>
      </c>
      <c r="K901" s="5" t="s">
        <v>6279</v>
      </c>
      <c r="L901" s="6"/>
      <c r="M901" s="4" t="s">
        <v>29</v>
      </c>
      <c r="N901" s="4" t="s">
        <v>6280</v>
      </c>
      <c r="O901" s="4" t="s">
        <v>29</v>
      </c>
      <c r="P901" s="4" t="s">
        <v>6281</v>
      </c>
      <c r="Q901" s="6"/>
      <c r="R901" s="6"/>
      <c r="S901" s="6"/>
      <c r="T901" s="6"/>
      <c r="U901" s="6"/>
      <c r="V901" s="6"/>
      <c r="W901" s="6"/>
      <c r="X901" s="6"/>
      <c r="Y901" s="6"/>
    </row>
    <row r="902" ht="14.25">
      <c r="B902" s="4" t="s">
        <v>670</v>
      </c>
      <c r="C902" s="4" t="s">
        <v>6282</v>
      </c>
      <c r="D902" s="4" t="s">
        <v>6283</v>
      </c>
      <c r="E902" s="4" t="s">
        <v>5514</v>
      </c>
      <c r="F902" s="4" t="str">
        <f>IFERROR(__XLUDF.DUMMYFUNCTION("PROPER(REGEXREPLACE(D887,""[^A-Za-z]+ "",""""))"),"Les Pénates")</f>
        <v xml:space="preserve">Les Pénates</v>
      </c>
      <c r="G902" s="4" t="s">
        <v>6284</v>
      </c>
      <c r="H902" s="4">
        <v>8</v>
      </c>
      <c r="I902" s="4" t="s">
        <v>36</v>
      </c>
      <c r="J902" s="5" t="s">
        <v>6285</v>
      </c>
      <c r="K902" s="5" t="s">
        <v>5517</v>
      </c>
      <c r="L902" s="4" t="s">
        <v>39</v>
      </c>
      <c r="M902" s="4" t="s">
        <v>29</v>
      </c>
      <c r="N902" s="4" t="s">
        <v>5518</v>
      </c>
      <c r="O902" s="4" t="s">
        <v>29</v>
      </c>
      <c r="P902" s="6"/>
      <c r="Q902" s="6"/>
      <c r="R902" s="6"/>
      <c r="S902" s="6"/>
      <c r="T902" s="6"/>
      <c r="U902" s="6"/>
      <c r="V902" s="6"/>
      <c r="W902" s="6"/>
      <c r="X902" s="6"/>
      <c r="Y902" s="6"/>
    </row>
    <row r="903" ht="14.25">
      <c r="B903" s="4" t="s">
        <v>1667</v>
      </c>
      <c r="C903" s="4" t="s">
        <v>6286</v>
      </c>
      <c r="D903" s="4" t="s">
        <v>62</v>
      </c>
      <c r="E903" s="4" t="s">
        <v>6287</v>
      </c>
      <c r="F903" s="4" t="str">
        <f>IFERROR(__XLUDF.DUMMYFUNCTION("PROPER(REGEXREPLACE(D888,""[^A-Za-z]+ "",""""))"),"Hotel C2")</f>
        <v xml:space="preserve">Hotel C2</v>
      </c>
      <c r="G903" s="4" t="s">
        <v>6288</v>
      </c>
      <c r="H903" s="4">
        <v>5</v>
      </c>
      <c r="I903" s="4" t="s">
        <v>25</v>
      </c>
      <c r="J903" s="5" t="s">
        <v>6289</v>
      </c>
      <c r="K903" s="5" t="s">
        <v>6290</v>
      </c>
      <c r="L903" s="4" t="s">
        <v>6291</v>
      </c>
      <c r="M903" s="4" t="s">
        <v>29</v>
      </c>
      <c r="N903" s="4" t="s">
        <v>6292</v>
      </c>
      <c r="O903" s="4" t="s">
        <v>1261</v>
      </c>
      <c r="P903" s="6"/>
      <c r="Q903" s="6"/>
      <c r="R903" s="6"/>
      <c r="S903" s="6"/>
      <c r="T903" s="6"/>
      <c r="U903" s="6"/>
      <c r="V903" s="6"/>
      <c r="W903" s="6"/>
      <c r="X903" s="6"/>
      <c r="Y903" s="6"/>
    </row>
    <row r="904" ht="14.25">
      <c r="B904" s="4" t="s">
        <v>866</v>
      </c>
      <c r="C904" s="4" t="s">
        <v>4132</v>
      </c>
      <c r="D904" s="4" t="s">
        <v>172</v>
      </c>
      <c r="E904" s="4" t="s">
        <v>5359</v>
      </c>
      <c r="F904" s="4" t="str">
        <f>IFERROR(__XLUDF.DUMMYFUNCTION("PROPER(REGEXREPLACE(D889,""[^A-Za-z]+ "",""""))"),"Ohvincoeur !")</f>
        <v xml:space="preserve">Ohvincoeur !</v>
      </c>
      <c r="G904" s="4" t="s">
        <v>6293</v>
      </c>
      <c r="H904" s="4">
        <v>24</v>
      </c>
      <c r="I904" s="4" t="s">
        <v>157</v>
      </c>
      <c r="J904" s="5" t="s">
        <v>6294</v>
      </c>
      <c r="K904" s="5" t="s">
        <v>5362</v>
      </c>
      <c r="L904" s="4" t="s">
        <v>6295</v>
      </c>
      <c r="M904" s="4" t="s">
        <v>29</v>
      </c>
      <c r="N904" s="4" t="s">
        <v>5363</v>
      </c>
      <c r="O904" s="4" t="s">
        <v>29</v>
      </c>
      <c r="P904" s="6"/>
      <c r="Q904" s="6"/>
      <c r="R904" s="6"/>
      <c r="S904" s="6"/>
      <c r="T904" s="6"/>
      <c r="U904" s="6"/>
      <c r="V904" s="6"/>
      <c r="W904" s="6"/>
      <c r="X904" s="6"/>
      <c r="Y904" s="6"/>
    </row>
    <row r="905" ht="14.25">
      <c r="B905" s="4" t="s">
        <v>5103</v>
      </c>
      <c r="C905" s="4" t="s">
        <v>6296</v>
      </c>
      <c r="D905" s="4" t="s">
        <v>164</v>
      </c>
      <c r="E905" s="4" t="s">
        <v>6297</v>
      </c>
      <c r="F905" s="4" t="str">
        <f>IFERROR(__XLUDF.DUMMYFUNCTION("PROPER(REGEXREPLACE(D890,""[^A-Za-z]+ "",""""))"),"Cuba Compagnie Cafe")</f>
        <v xml:space="preserve">Cuba Compagnie Cafe</v>
      </c>
      <c r="G905" s="4" t="s">
        <v>6298</v>
      </c>
      <c r="H905" s="6"/>
      <c r="I905" s="6"/>
      <c r="J905" s="5" t="s">
        <v>6299</v>
      </c>
      <c r="K905" s="5" t="s">
        <v>6300</v>
      </c>
      <c r="L905" s="4" t="s">
        <v>1826</v>
      </c>
      <c r="M905" s="4" t="s">
        <v>29</v>
      </c>
      <c r="N905" s="4" t="s">
        <v>2286</v>
      </c>
      <c r="O905" s="4" t="s">
        <v>29</v>
      </c>
      <c r="P905" s="6"/>
      <c r="Q905" s="6"/>
      <c r="R905" s="6"/>
      <c r="S905" s="6"/>
      <c r="T905" s="6"/>
      <c r="U905" s="6"/>
      <c r="V905" s="6"/>
      <c r="W905" s="6"/>
      <c r="X905" s="6"/>
      <c r="Y905" s="6"/>
    </row>
    <row r="906" ht="14.25">
      <c r="B906" s="4" t="s">
        <v>661</v>
      </c>
      <c r="C906" s="4" t="s">
        <v>6301</v>
      </c>
      <c r="D906" s="4" t="s">
        <v>6302</v>
      </c>
      <c r="E906" s="4" t="s">
        <v>6303</v>
      </c>
      <c r="F906" s="5" t="str">
        <f>IFERROR(__XLUDF.DUMMYFUNCTION("PROPER(REGEXREPLACE(D891,""[^A-Za-z]+ "",""""))"),"Arownd.Me")</f>
        <v>Arownd.Me</v>
      </c>
      <c r="G906" s="4" t="s">
        <v>6304</v>
      </c>
      <c r="H906" s="4">
        <v>4</v>
      </c>
      <c r="I906" s="4" t="s">
        <v>25</v>
      </c>
      <c r="J906" s="5" t="s">
        <v>6305</v>
      </c>
      <c r="K906" s="5" t="s">
        <v>6306</v>
      </c>
      <c r="L906" s="4" t="s">
        <v>6307</v>
      </c>
      <c r="M906" s="4" t="s">
        <v>29</v>
      </c>
      <c r="N906" s="4" t="s">
        <v>29</v>
      </c>
      <c r="O906" s="4" t="s">
        <v>29</v>
      </c>
      <c r="P906" s="4" t="s">
        <v>6308</v>
      </c>
      <c r="Q906" s="6"/>
      <c r="R906" s="6"/>
      <c r="S906" s="6"/>
      <c r="T906" s="6"/>
      <c r="U906" s="6"/>
      <c r="V906" s="6"/>
      <c r="W906" s="6"/>
      <c r="X906" s="6"/>
      <c r="Y906" s="6"/>
    </row>
    <row r="907" ht="14.25">
      <c r="B907" s="4" t="s">
        <v>6309</v>
      </c>
      <c r="C907" s="4" t="s">
        <v>6310</v>
      </c>
      <c r="D907" s="4" t="s">
        <v>6311</v>
      </c>
      <c r="E907" s="4" t="s">
        <v>6312</v>
      </c>
      <c r="F907" s="4" t="str">
        <f>IFERROR(__XLUDF.DUMMYFUNCTION("PROPER(REGEXREPLACE(D892,""[^A-Za-z]+ "",""""))"),"Starling Burgers")</f>
        <v xml:space="preserve">Starling Burgers</v>
      </c>
      <c r="G907" s="4" t="s">
        <v>6313</v>
      </c>
      <c r="H907" s="4">
        <v>1</v>
      </c>
      <c r="I907" s="4" t="s">
        <v>36</v>
      </c>
      <c r="J907" s="5" t="s">
        <v>6314</v>
      </c>
      <c r="K907" s="5" t="s">
        <v>6315</v>
      </c>
      <c r="L907" s="4" t="s">
        <v>39</v>
      </c>
      <c r="M907" s="4" t="s">
        <v>29</v>
      </c>
      <c r="N907" s="4" t="s">
        <v>6316</v>
      </c>
      <c r="O907" s="4" t="s">
        <v>29</v>
      </c>
      <c r="P907" s="4" t="s">
        <v>6317</v>
      </c>
      <c r="Q907" s="6"/>
      <c r="R907" s="6"/>
      <c r="S907" s="6"/>
      <c r="T907" s="6"/>
      <c r="U907" s="6"/>
      <c r="V907" s="6"/>
      <c r="W907" s="6"/>
      <c r="X907" s="6"/>
      <c r="Y907" s="6"/>
    </row>
    <row r="908" ht="14.25">
      <c r="B908" s="4" t="s">
        <v>330</v>
      </c>
      <c r="C908" s="4" t="s">
        <v>6318</v>
      </c>
      <c r="D908" s="4" t="s">
        <v>6319</v>
      </c>
      <c r="E908" s="4" t="s">
        <v>6320</v>
      </c>
      <c r="F908" s="4" t="s">
        <v>6321</v>
      </c>
      <c r="G908" s="4">
        <v>6</v>
      </c>
      <c r="H908" s="4" t="s">
        <v>157</v>
      </c>
      <c r="I908" s="4" t="str">
        <f>IFERROR(__XLUDF.DUMMYFUNCTION("VLOOKUP(G2,IMPORTRANGE(""https://docs.google.com/spreadsheets/d/1opm6ZNvGZ7KditA9TuJwrZ25eFLfTNIkrNnY6mhV5Eg"",""list!A1:C115""),3,TRUE)"),"le secteur de l'alimentation")</f>
        <v xml:space="preserve">le secteur de l'alimentation</v>
      </c>
      <c r="J908" s="5" t="s">
        <v>6322</v>
      </c>
      <c r="K908" s="5" t="s">
        <v>6323</v>
      </c>
      <c r="L908" s="4" t="s">
        <v>39</v>
      </c>
      <c r="M908" s="4" t="s">
        <v>29</v>
      </c>
      <c r="N908" s="4" t="s">
        <v>6324</v>
      </c>
      <c r="O908" s="4" t="s">
        <v>29</v>
      </c>
      <c r="P908" s="7"/>
      <c r="Q908" s="6"/>
      <c r="R908" s="6"/>
      <c r="S908" s="6"/>
      <c r="T908" s="6"/>
      <c r="U908" s="6"/>
      <c r="V908" s="6"/>
      <c r="W908" s="6"/>
      <c r="X908" s="6"/>
      <c r="Y908" s="6"/>
    </row>
    <row r="909" ht="14.25">
      <c r="B909" s="4" t="s">
        <v>3271</v>
      </c>
      <c r="C909" s="4" t="s">
        <v>6325</v>
      </c>
      <c r="D909" s="4" t="s">
        <v>6326</v>
      </c>
      <c r="E909" s="4" t="s">
        <v>6327</v>
      </c>
      <c r="F909" s="4" t="s">
        <v>6328</v>
      </c>
      <c r="G909" s="4">
        <v>320</v>
      </c>
      <c r="H909" s="4" t="s">
        <v>157</v>
      </c>
      <c r="I909" s="4" t="str">
        <f>IFERROR(__XLUDF.DUMMYFUNCTION("VLOOKUP(G3,IMPORTRANGE(""https://docs.google.com/spreadsheets/d/1opm6ZNvGZ7KditA9TuJwrZ25eFLfTNIkrNnY6mhV5Eg"",""list!A1:C115""),3,TRUE)"),"le secteur de l'alimentation")</f>
        <v xml:space="preserve">le secteur de l'alimentation</v>
      </c>
      <c r="J909" s="5" t="s">
        <v>6329</v>
      </c>
      <c r="K909" s="5" t="s">
        <v>6330</v>
      </c>
      <c r="L909" s="4" t="s">
        <v>39</v>
      </c>
      <c r="M909" s="4" t="s">
        <v>29</v>
      </c>
      <c r="N909" s="4" t="s">
        <v>6331</v>
      </c>
      <c r="O909" s="4" t="s">
        <v>1548</v>
      </c>
      <c r="P909" s="4" t="s">
        <v>6332</v>
      </c>
      <c r="Q909" s="6"/>
      <c r="R909" s="6"/>
      <c r="S909" s="6"/>
      <c r="T909" s="6"/>
      <c r="U909" s="6"/>
      <c r="V909" s="6"/>
      <c r="W909" s="6"/>
      <c r="X909" s="6"/>
      <c r="Y909" s="6"/>
    </row>
    <row r="910" ht="14.25">
      <c r="B910" s="4" t="s">
        <v>6333</v>
      </c>
      <c r="C910" s="4" t="s">
        <v>6334</v>
      </c>
      <c r="D910" s="4" t="s">
        <v>172</v>
      </c>
      <c r="E910" s="4" t="s">
        <v>6335</v>
      </c>
      <c r="F910" s="4" t="s">
        <v>6336</v>
      </c>
      <c r="G910" s="4">
        <v>430</v>
      </c>
      <c r="H910" s="4" t="s">
        <v>157</v>
      </c>
      <c r="I910" s="4" t="str">
        <f>IFERROR(__XLUDF.DUMMYFUNCTION("VLOOKUP(G4,IMPORTRANGE(""https://docs.google.com/spreadsheets/d/1opm6ZNvGZ7KditA9TuJwrZ25eFLfTNIkrNnY6mhV5Eg"",""list!A1:C115""),3,TRUE)"),"le secteur de l'alimentation")</f>
        <v xml:space="preserve">le secteur de l'alimentation</v>
      </c>
      <c r="J910" s="5" t="s">
        <v>6337</v>
      </c>
      <c r="K910" s="5" t="s">
        <v>6338</v>
      </c>
      <c r="L910" s="4" t="s">
        <v>6339</v>
      </c>
      <c r="M910" s="4" t="s">
        <v>29</v>
      </c>
      <c r="N910" s="4" t="s">
        <v>6340</v>
      </c>
      <c r="O910" s="4" t="s">
        <v>1261</v>
      </c>
      <c r="P910" s="4" t="s">
        <v>6341</v>
      </c>
      <c r="Q910" s="6"/>
      <c r="R910" s="6"/>
      <c r="S910" s="6"/>
      <c r="T910" s="6"/>
      <c r="U910" s="6"/>
      <c r="V910" s="6"/>
      <c r="W910" s="6"/>
      <c r="X910" s="6"/>
      <c r="Y910" s="6"/>
    </row>
    <row r="911" ht="14.25">
      <c r="B911" s="4" t="s">
        <v>571</v>
      </c>
      <c r="C911" s="4" t="s">
        <v>6342</v>
      </c>
      <c r="D911" s="4" t="s">
        <v>172</v>
      </c>
      <c r="E911" s="4" t="s">
        <v>6343</v>
      </c>
      <c r="F911" s="4" t="s">
        <v>6344</v>
      </c>
      <c r="G911" s="4">
        <v>88</v>
      </c>
      <c r="H911" s="4" t="s">
        <v>1450</v>
      </c>
      <c r="I911" s="4" t="str">
        <f>IFERROR(__XLUDF.DUMMYFUNCTION("VLOOKUP(G5,IMPORTRANGE(""https://docs.google.com/spreadsheets/d/1opm6ZNvGZ7KditA9TuJwrZ25eFLfTNIkrNnY6mhV5Eg"",""list!A1:C115""),3,TRUE)"),"le secteur de la production alimentaire")</f>
        <v xml:space="preserve">le secteur de la production alimentaire</v>
      </c>
      <c r="J911" s="5" t="s">
        <v>6345</v>
      </c>
      <c r="K911" s="5" t="s">
        <v>6346</v>
      </c>
      <c r="L911" s="4" t="s">
        <v>2499</v>
      </c>
      <c r="M911" s="4" t="s">
        <v>29</v>
      </c>
      <c r="N911" s="4" t="s">
        <v>6347</v>
      </c>
      <c r="O911" s="4" t="s">
        <v>29</v>
      </c>
      <c r="P911" s="7"/>
      <c r="Q911" s="6"/>
      <c r="R911" s="6"/>
      <c r="S911" s="6"/>
      <c r="T911" s="6"/>
      <c r="U911" s="6"/>
      <c r="V911" s="6"/>
      <c r="W911" s="6"/>
      <c r="X911" s="6"/>
      <c r="Y911" s="6"/>
    </row>
    <row r="912" ht="14.25">
      <c r="B912" s="4" t="s">
        <v>1198</v>
      </c>
      <c r="C912" s="4" t="s">
        <v>6348</v>
      </c>
      <c r="D912" s="4" t="s">
        <v>6349</v>
      </c>
      <c r="E912" s="4" t="s">
        <v>6350</v>
      </c>
      <c r="F912" s="4" t="s">
        <v>6351</v>
      </c>
      <c r="G912" s="4">
        <v>280</v>
      </c>
      <c r="H912" s="4" t="s">
        <v>1450</v>
      </c>
      <c r="I912" s="4" t="str">
        <f>IFERROR(__XLUDF.DUMMYFUNCTION("VLOOKUP(G6,IMPORTRANGE(""https://docs.google.com/spreadsheets/d/1opm6ZNvGZ7KditA9TuJwrZ25eFLfTNIkrNnY6mhV5Eg"",""list!A1:C115""),3,TRUE)"),"le secteur de la production alimentaire")</f>
        <v xml:space="preserve">le secteur de la production alimentaire</v>
      </c>
      <c r="J912" s="5" t="s">
        <v>6352</v>
      </c>
      <c r="K912" s="5" t="s">
        <v>6353</v>
      </c>
      <c r="L912" s="4" t="s">
        <v>243</v>
      </c>
      <c r="M912" s="4" t="s">
        <v>29</v>
      </c>
      <c r="N912" s="4" t="s">
        <v>6354</v>
      </c>
      <c r="O912" s="4" t="s">
        <v>29</v>
      </c>
      <c r="P912" s="4" t="s">
        <v>6355</v>
      </c>
      <c r="Q912" s="6"/>
      <c r="R912" s="6"/>
      <c r="S912" s="6"/>
      <c r="T912" s="6"/>
      <c r="U912" s="6"/>
      <c r="V912" s="6"/>
      <c r="W912" s="6"/>
      <c r="X912" s="6"/>
      <c r="Y912" s="6"/>
    </row>
    <row r="913" ht="14.25">
      <c r="B913" s="4" t="s">
        <v>6356</v>
      </c>
      <c r="C913" s="4" t="s">
        <v>817</v>
      </c>
      <c r="D913" s="4" t="s">
        <v>6357</v>
      </c>
      <c r="E913" s="4" t="s">
        <v>6350</v>
      </c>
      <c r="F913" s="4" t="s">
        <v>6358</v>
      </c>
      <c r="G913" s="4">
        <v>280</v>
      </c>
      <c r="H913" s="4" t="s">
        <v>1450</v>
      </c>
      <c r="I913" s="4" t="str">
        <f>IFERROR(__XLUDF.DUMMYFUNCTION("VLOOKUP(G7,IMPORTRANGE(""https://docs.google.com/spreadsheets/d/1opm6ZNvGZ7KditA9TuJwrZ25eFLfTNIkrNnY6mhV5Eg"",""list!A1:C115""),3,TRUE)"),"le secteur de la production alimentaire")</f>
        <v xml:space="preserve">le secteur de la production alimentaire</v>
      </c>
      <c r="J913" s="5" t="s">
        <v>6359</v>
      </c>
      <c r="K913" s="5" t="s">
        <v>6353</v>
      </c>
      <c r="L913" s="7"/>
      <c r="M913" s="4" t="s">
        <v>29</v>
      </c>
      <c r="N913" s="4" t="s">
        <v>6354</v>
      </c>
      <c r="O913" s="4" t="s">
        <v>29</v>
      </c>
      <c r="P913" s="4" t="s">
        <v>6355</v>
      </c>
      <c r="Q913" s="6"/>
      <c r="R913" s="6"/>
      <c r="S913" s="6"/>
      <c r="T913" s="6"/>
      <c r="U913" s="6"/>
      <c r="V913" s="6"/>
      <c r="W913" s="6"/>
      <c r="X913" s="6"/>
      <c r="Y913" s="6"/>
    </row>
    <row r="914" ht="14.25">
      <c r="B914" s="4" t="s">
        <v>6360</v>
      </c>
      <c r="C914" s="4" t="s">
        <v>6361</v>
      </c>
      <c r="D914" s="4" t="s">
        <v>6362</v>
      </c>
      <c r="E914" s="4" t="s">
        <v>6363</v>
      </c>
      <c r="F914" s="4" t="s">
        <v>6364</v>
      </c>
      <c r="G914" s="4">
        <v>4</v>
      </c>
      <c r="H914" s="4" t="s">
        <v>25</v>
      </c>
      <c r="I914" s="4" t="str">
        <f>IFERROR(__XLUDF.DUMMYFUNCTION("VLOOKUP(G8,IMPORTRANGE(""https://docs.google.com/spreadsheets/d/1opm6ZNvGZ7KditA9TuJwrZ25eFLfTNIkrNnY6mhV5Eg"",""list!A1:C115""),3,TRUE)"),"le secteur de l'hôtellerie")</f>
        <v xml:space="preserve">le secteur de l'hôtellerie</v>
      </c>
      <c r="J914" s="5" t="s">
        <v>6365</v>
      </c>
      <c r="K914" s="5" t="s">
        <v>6366</v>
      </c>
      <c r="L914" s="4" t="s">
        <v>3898</v>
      </c>
      <c r="M914" s="4" t="s">
        <v>29</v>
      </c>
      <c r="N914" s="4" t="s">
        <v>6367</v>
      </c>
      <c r="O914" s="4" t="s">
        <v>29</v>
      </c>
      <c r="P914" s="4" t="s">
        <v>6368</v>
      </c>
      <c r="Q914" s="6"/>
      <c r="R914" s="6"/>
      <c r="S914" s="6"/>
      <c r="T914" s="6"/>
      <c r="U914" s="6"/>
      <c r="V914" s="6"/>
      <c r="W914" s="6"/>
      <c r="X914" s="6"/>
      <c r="Y914" s="6"/>
    </row>
    <row r="915" ht="14.25">
      <c r="B915" s="4" t="s">
        <v>1667</v>
      </c>
      <c r="C915" s="4" t="s">
        <v>1888</v>
      </c>
      <c r="D915" s="4" t="s">
        <v>6362</v>
      </c>
      <c r="E915" s="4" t="s">
        <v>6369</v>
      </c>
      <c r="F915" s="4" t="s">
        <v>6370</v>
      </c>
      <c r="G915" s="4">
        <v>10</v>
      </c>
      <c r="H915" s="4" t="s">
        <v>25</v>
      </c>
      <c r="I915" s="4" t="str">
        <f>IFERROR(__XLUDF.DUMMYFUNCTION("VLOOKUP(G9,IMPORTRANGE(""https://docs.google.com/spreadsheets/d/1opm6ZNvGZ7KditA9TuJwrZ25eFLfTNIkrNnY6mhV5Eg"",""list!A1:C115""),3,TRUE)"),"le secteur de l'hôtellerie")</f>
        <v xml:space="preserve">le secteur de l'hôtellerie</v>
      </c>
      <c r="J915" s="5" t="s">
        <v>6371</v>
      </c>
      <c r="K915" s="5" t="s">
        <v>6372</v>
      </c>
      <c r="L915" s="4" t="s">
        <v>5557</v>
      </c>
      <c r="M915" s="4" t="s">
        <v>29</v>
      </c>
      <c r="N915" s="4" t="s">
        <v>6373</v>
      </c>
      <c r="O915" s="4" t="s">
        <v>29</v>
      </c>
      <c r="P915" s="4" t="s">
        <v>6374</v>
      </c>
      <c r="Q915" s="6"/>
      <c r="R915" s="6"/>
      <c r="S915" s="6"/>
      <c r="T915" s="6"/>
      <c r="U915" s="6"/>
      <c r="V915" s="6"/>
      <c r="W915" s="6"/>
      <c r="X915" s="6"/>
      <c r="Y915" s="6"/>
    </row>
    <row r="916" ht="14.25">
      <c r="B916" s="4" t="s">
        <v>222</v>
      </c>
      <c r="C916" s="4" t="s">
        <v>6375</v>
      </c>
      <c r="D916" s="4" t="s">
        <v>6362</v>
      </c>
      <c r="E916" s="4" t="s">
        <v>6376</v>
      </c>
      <c r="F916" s="4" t="s">
        <v>6377</v>
      </c>
      <c r="G916" s="4">
        <v>8</v>
      </c>
      <c r="H916" s="4" t="s">
        <v>25</v>
      </c>
      <c r="I916" s="4" t="str">
        <f>IFERROR(__XLUDF.DUMMYFUNCTION("VLOOKUP(G10,IMPORTRANGE(""https://docs.google.com/spreadsheets/d/1opm6ZNvGZ7KditA9TuJwrZ25eFLfTNIkrNnY6mhV5Eg"",""list!A1:C115""),3,TRUE)"),"le secteur de l'hôtellerie")</f>
        <v xml:space="preserve">le secteur de l'hôtellerie</v>
      </c>
      <c r="J916" s="5" t="s">
        <v>6378</v>
      </c>
      <c r="K916" s="5" t="s">
        <v>6379</v>
      </c>
      <c r="L916" s="4" t="s">
        <v>1711</v>
      </c>
      <c r="M916" s="4" t="s">
        <v>29</v>
      </c>
      <c r="N916" s="4" t="s">
        <v>6380</v>
      </c>
      <c r="O916" s="4" t="s">
        <v>29</v>
      </c>
      <c r="P916" s="4" t="s">
        <v>6381</v>
      </c>
      <c r="Q916" s="6"/>
      <c r="R916" s="6"/>
      <c r="S916" s="6"/>
      <c r="T916" s="6"/>
      <c r="U916" s="6"/>
      <c r="V916" s="6"/>
      <c r="W916" s="6"/>
      <c r="X916" s="6"/>
      <c r="Y916" s="6"/>
    </row>
    <row r="917" ht="14.25">
      <c r="B917" s="4" t="s">
        <v>245</v>
      </c>
      <c r="C917" s="4" t="s">
        <v>6382</v>
      </c>
      <c r="D917" s="4" t="s">
        <v>6383</v>
      </c>
      <c r="E917" s="4" t="s">
        <v>6384</v>
      </c>
      <c r="F917" s="4" t="s">
        <v>6385</v>
      </c>
      <c r="G917" s="4">
        <v>1</v>
      </c>
      <c r="H917" s="4" t="s">
        <v>25</v>
      </c>
      <c r="I917" s="4" t="str">
        <f>IFERROR(__XLUDF.DUMMYFUNCTION("VLOOKUP(G11,IMPORTRANGE(""https://docs.google.com/spreadsheets/d/1opm6ZNvGZ7KditA9TuJwrZ25eFLfTNIkrNnY6mhV5Eg"",""list!A1:C115""),3,TRUE)"),"le secteur de l'hôtellerie")</f>
        <v xml:space="preserve">le secteur de l'hôtellerie</v>
      </c>
      <c r="J917" s="5" t="s">
        <v>6386</v>
      </c>
      <c r="K917" s="5" t="s">
        <v>6387</v>
      </c>
      <c r="L917" s="7"/>
      <c r="M917" s="4" t="s">
        <v>29</v>
      </c>
      <c r="N917" s="4" t="s">
        <v>6388</v>
      </c>
      <c r="O917" s="4" t="s">
        <v>29</v>
      </c>
      <c r="P917" s="4" t="s">
        <v>6389</v>
      </c>
      <c r="Q917" s="6"/>
      <c r="R917" s="6"/>
      <c r="S917" s="6"/>
      <c r="T917" s="6"/>
      <c r="U917" s="6"/>
      <c r="V917" s="6"/>
      <c r="W917" s="6"/>
      <c r="X917" s="6"/>
      <c r="Y917" s="6"/>
    </row>
    <row r="918" ht="14.25">
      <c r="B918" s="4" t="s">
        <v>1153</v>
      </c>
      <c r="C918" s="4" t="s">
        <v>6390</v>
      </c>
      <c r="D918" s="4" t="s">
        <v>6391</v>
      </c>
      <c r="E918" s="4" t="s">
        <v>6392</v>
      </c>
      <c r="F918" s="4" t="s">
        <v>6393</v>
      </c>
      <c r="G918" s="4">
        <v>26</v>
      </c>
      <c r="H918" s="4" t="s">
        <v>25</v>
      </c>
      <c r="I918" s="4" t="str">
        <f>IFERROR(__XLUDF.DUMMYFUNCTION("VLOOKUP(G12,IMPORTRANGE(""https://docs.google.com/spreadsheets/d/1opm6ZNvGZ7KditA9TuJwrZ25eFLfTNIkrNnY6mhV5Eg"",""list!A1:C115""),3,TRUE)"),"le secteur de l'hôtellerie")</f>
        <v xml:space="preserve">le secteur de l'hôtellerie</v>
      </c>
      <c r="J918" s="5" t="s">
        <v>6394</v>
      </c>
      <c r="K918" s="5" t="s">
        <v>6395</v>
      </c>
      <c r="L918" s="4" t="s">
        <v>39</v>
      </c>
      <c r="M918" s="4" t="s">
        <v>29</v>
      </c>
      <c r="N918" s="4" t="s">
        <v>6396</v>
      </c>
      <c r="O918" s="4" t="s">
        <v>29</v>
      </c>
      <c r="P918" s="4" t="s">
        <v>6397</v>
      </c>
      <c r="Q918" s="6"/>
      <c r="R918" s="6"/>
      <c r="S918" s="6"/>
      <c r="T918" s="6"/>
      <c r="U918" s="6"/>
      <c r="V918" s="6"/>
      <c r="W918" s="6"/>
      <c r="X918" s="6"/>
      <c r="Y918" s="6"/>
    </row>
    <row r="919" ht="14.25">
      <c r="B919" s="4" t="s">
        <v>596</v>
      </c>
      <c r="C919" s="4" t="s">
        <v>6398</v>
      </c>
      <c r="D919" s="4" t="s">
        <v>6391</v>
      </c>
      <c r="E919" s="4" t="s">
        <v>6399</v>
      </c>
      <c r="F919" s="4" t="s">
        <v>6400</v>
      </c>
      <c r="G919" s="4">
        <v>5</v>
      </c>
      <c r="H919" s="4" t="s">
        <v>25</v>
      </c>
      <c r="I919" s="4" t="str">
        <f>IFERROR(__XLUDF.DUMMYFUNCTION("VLOOKUP(G13,IMPORTRANGE(""https://docs.google.com/spreadsheets/d/1opm6ZNvGZ7KditA9TuJwrZ25eFLfTNIkrNnY6mhV5Eg"",""list!A1:C115""),3,TRUE)"),"le secteur de l'hôtellerie")</f>
        <v xml:space="preserve">le secteur de l'hôtellerie</v>
      </c>
      <c r="J919" s="5" t="s">
        <v>6401</v>
      </c>
      <c r="K919" s="5" t="s">
        <v>6402</v>
      </c>
      <c r="L919" s="4" t="s">
        <v>39</v>
      </c>
      <c r="M919" s="4" t="s">
        <v>29</v>
      </c>
      <c r="N919" s="4" t="s">
        <v>6403</v>
      </c>
      <c r="O919" s="4" t="s">
        <v>29</v>
      </c>
      <c r="P919" s="4" t="s">
        <v>6404</v>
      </c>
      <c r="Q919" s="6"/>
      <c r="R919" s="6"/>
      <c r="S919" s="6"/>
      <c r="T919" s="6"/>
      <c r="U919" s="6"/>
      <c r="V919" s="6"/>
      <c r="W919" s="6"/>
      <c r="X919" s="6"/>
      <c r="Y919" s="6"/>
    </row>
    <row r="920" ht="14.25">
      <c r="B920" s="4" t="s">
        <v>6405</v>
      </c>
      <c r="C920" s="4" t="s">
        <v>6406</v>
      </c>
      <c r="D920" s="4" t="s">
        <v>6407</v>
      </c>
      <c r="E920" s="4" t="s">
        <v>6408</v>
      </c>
      <c r="F920" s="4" t="s">
        <v>6409</v>
      </c>
      <c r="G920" s="4">
        <v>2</v>
      </c>
      <c r="H920" s="4" t="s">
        <v>25</v>
      </c>
      <c r="I920" s="4" t="str">
        <f>IFERROR(__XLUDF.DUMMYFUNCTION("VLOOKUP(G14,IMPORTRANGE(""https://docs.google.com/spreadsheets/d/1opm6ZNvGZ7KditA9TuJwrZ25eFLfTNIkrNnY6mhV5Eg"",""list!A1:C115""),3,TRUE)"),"le secteur de l'hôtellerie")</f>
        <v xml:space="preserve">le secteur de l'hôtellerie</v>
      </c>
      <c r="J920" s="5" t="s">
        <v>6410</v>
      </c>
      <c r="K920" s="5" t="s">
        <v>6411</v>
      </c>
      <c r="L920" s="4" t="s">
        <v>6412</v>
      </c>
      <c r="M920" s="4" t="s">
        <v>29</v>
      </c>
      <c r="N920" s="4" t="s">
        <v>6413</v>
      </c>
      <c r="O920" s="4" t="s">
        <v>29</v>
      </c>
      <c r="P920" s="4" t="s">
        <v>6414</v>
      </c>
      <c r="Q920" s="6"/>
      <c r="R920" s="6"/>
      <c r="S920" s="6"/>
      <c r="T920" s="6"/>
      <c r="U920" s="6"/>
      <c r="V920" s="6"/>
      <c r="W920" s="6"/>
      <c r="X920" s="6"/>
      <c r="Y920" s="6"/>
    </row>
    <row r="921" ht="14.25">
      <c r="B921" s="4" t="s">
        <v>808</v>
      </c>
      <c r="C921" s="4" t="s">
        <v>6415</v>
      </c>
      <c r="D921" s="4" t="s">
        <v>6416</v>
      </c>
      <c r="E921" s="4" t="s">
        <v>558</v>
      </c>
      <c r="F921" s="4" t="s">
        <v>6417</v>
      </c>
      <c r="G921" s="4">
        <v>50</v>
      </c>
      <c r="H921" s="4" t="s">
        <v>25</v>
      </c>
      <c r="I921" s="4" t="str">
        <f>IFERROR(__XLUDF.DUMMYFUNCTION("VLOOKUP(G15,IMPORTRANGE(""https://docs.google.com/spreadsheets/d/1opm6ZNvGZ7KditA9TuJwrZ25eFLfTNIkrNnY6mhV5Eg"",""list!A1:C115""),3,TRUE)"),"le secteur de l'hôtellerie")</f>
        <v xml:space="preserve">le secteur de l'hôtellerie</v>
      </c>
      <c r="J921" s="5" t="s">
        <v>6418</v>
      </c>
      <c r="K921" s="5" t="s">
        <v>6419</v>
      </c>
      <c r="L921" s="4" t="s">
        <v>39</v>
      </c>
      <c r="M921" s="4" t="s">
        <v>29</v>
      </c>
      <c r="N921" s="4" t="s">
        <v>563</v>
      </c>
      <c r="O921" s="4" t="s">
        <v>29</v>
      </c>
      <c r="P921" s="4" t="s">
        <v>564</v>
      </c>
      <c r="Q921" s="6"/>
      <c r="R921" s="6"/>
      <c r="S921" s="6"/>
      <c r="T921" s="6"/>
      <c r="U921" s="6"/>
      <c r="V921" s="6"/>
      <c r="W921" s="6"/>
      <c r="X921" s="6"/>
      <c r="Y921" s="6"/>
    </row>
    <row r="922" ht="14.25">
      <c r="B922" s="4" t="s">
        <v>808</v>
      </c>
      <c r="C922" s="4" t="s">
        <v>6420</v>
      </c>
      <c r="D922" s="4" t="s">
        <v>6362</v>
      </c>
      <c r="E922" s="4" t="s">
        <v>6421</v>
      </c>
      <c r="F922" s="4" t="s">
        <v>6422</v>
      </c>
      <c r="G922" s="4">
        <v>6</v>
      </c>
      <c r="H922" s="4" t="s">
        <v>25</v>
      </c>
      <c r="I922" s="4" t="str">
        <f>IFERROR(__XLUDF.DUMMYFUNCTION("VLOOKUP(G16,IMPORTRANGE(""https://docs.google.com/spreadsheets/d/1opm6ZNvGZ7KditA9TuJwrZ25eFLfTNIkrNnY6mhV5Eg"",""list!A1:C115""),3,TRUE)"),"le secteur de l'hôtellerie")</f>
        <v xml:space="preserve">le secteur de l'hôtellerie</v>
      </c>
      <c r="J922" s="5" t="s">
        <v>6423</v>
      </c>
      <c r="K922" s="5" t="s">
        <v>6424</v>
      </c>
      <c r="L922" s="4" t="s">
        <v>6425</v>
      </c>
      <c r="M922" s="4" t="s">
        <v>29</v>
      </c>
      <c r="N922" s="4" t="s">
        <v>6426</v>
      </c>
      <c r="O922" s="4" t="s">
        <v>29</v>
      </c>
      <c r="P922" s="4" t="s">
        <v>6427</v>
      </c>
      <c r="Q922" s="6"/>
      <c r="R922" s="6"/>
      <c r="S922" s="6"/>
      <c r="T922" s="6"/>
      <c r="U922" s="6"/>
      <c r="V922" s="6"/>
      <c r="W922" s="6"/>
      <c r="X922" s="6"/>
      <c r="Y922" s="6"/>
    </row>
    <row r="923" ht="14.25">
      <c r="B923" s="4" t="s">
        <v>2932</v>
      </c>
      <c r="C923" s="4" t="s">
        <v>6428</v>
      </c>
      <c r="D923" s="4" t="s">
        <v>6362</v>
      </c>
      <c r="E923" s="4" t="s">
        <v>6429</v>
      </c>
      <c r="F923" s="4" t="s">
        <v>6430</v>
      </c>
      <c r="G923" s="4">
        <v>21</v>
      </c>
      <c r="H923" s="4" t="s">
        <v>25</v>
      </c>
      <c r="I923" s="4" t="str">
        <f>IFERROR(__XLUDF.DUMMYFUNCTION("VLOOKUP(G17,IMPORTRANGE(""https://docs.google.com/spreadsheets/d/1opm6ZNvGZ7KditA9TuJwrZ25eFLfTNIkrNnY6mhV5Eg"",""list!A1:C115""),3,TRUE)"),"le secteur de l'hôtellerie")</f>
        <v xml:space="preserve">le secteur de l'hôtellerie</v>
      </c>
      <c r="J923" s="5" t="s">
        <v>6431</v>
      </c>
      <c r="K923" s="5" t="s">
        <v>6432</v>
      </c>
      <c r="L923" s="4" t="s">
        <v>6433</v>
      </c>
      <c r="M923" s="4" t="s">
        <v>29</v>
      </c>
      <c r="N923" s="4" t="s">
        <v>6434</v>
      </c>
      <c r="O923" s="4" t="s">
        <v>29</v>
      </c>
      <c r="P923" s="4" t="s">
        <v>6435</v>
      </c>
      <c r="Q923" s="6"/>
      <c r="R923" s="6"/>
      <c r="S923" s="6"/>
      <c r="T923" s="6"/>
      <c r="U923" s="6"/>
      <c r="V923" s="6"/>
      <c r="W923" s="6"/>
      <c r="X923" s="6"/>
      <c r="Y923" s="6"/>
    </row>
    <row r="924" ht="14.25">
      <c r="B924" s="4" t="s">
        <v>4279</v>
      </c>
      <c r="C924" s="4" t="s">
        <v>6436</v>
      </c>
      <c r="D924" s="4" t="s">
        <v>365</v>
      </c>
      <c r="E924" s="4" t="s">
        <v>6437</v>
      </c>
      <c r="F924" s="4" t="s">
        <v>6438</v>
      </c>
      <c r="G924" s="4">
        <v>2</v>
      </c>
      <c r="H924" s="4" t="s">
        <v>25</v>
      </c>
      <c r="I924" s="4" t="str">
        <f>IFERROR(__XLUDF.DUMMYFUNCTION("VLOOKUP(G18,IMPORTRANGE(""https://docs.google.com/spreadsheets/d/1opm6ZNvGZ7KditA9TuJwrZ25eFLfTNIkrNnY6mhV5Eg"",""list!A1:C115""),3,TRUE)"),"le secteur de l'hôtellerie")</f>
        <v xml:space="preserve">le secteur de l'hôtellerie</v>
      </c>
      <c r="J924" s="5" t="s">
        <v>6439</v>
      </c>
      <c r="K924" s="5" t="s">
        <v>6440</v>
      </c>
      <c r="L924" s="4" t="s">
        <v>1711</v>
      </c>
      <c r="M924" s="4" t="s">
        <v>29</v>
      </c>
      <c r="N924" s="4" t="s">
        <v>6441</v>
      </c>
      <c r="O924" s="4" t="s">
        <v>29</v>
      </c>
      <c r="P924" s="4" t="s">
        <v>6442</v>
      </c>
      <c r="Q924" s="6"/>
      <c r="R924" s="6"/>
      <c r="S924" s="6"/>
      <c r="T924" s="6"/>
      <c r="U924" s="6"/>
      <c r="V924" s="6"/>
      <c r="W924" s="6"/>
      <c r="X924" s="6"/>
      <c r="Y924" s="6"/>
    </row>
    <row r="925" ht="14.25">
      <c r="B925" s="4" t="s">
        <v>4522</v>
      </c>
      <c r="C925" s="4" t="s">
        <v>6443</v>
      </c>
      <c r="D925" s="4" t="s">
        <v>6444</v>
      </c>
      <c r="E925" s="4" t="s">
        <v>6445</v>
      </c>
      <c r="F925" s="4" t="s">
        <v>6446</v>
      </c>
      <c r="G925" s="4">
        <v>11</v>
      </c>
      <c r="H925" s="4" t="s">
        <v>25</v>
      </c>
      <c r="I925" s="4" t="str">
        <f>IFERROR(__XLUDF.DUMMYFUNCTION("VLOOKUP(G19,IMPORTRANGE(""https://docs.google.com/spreadsheets/d/1opm6ZNvGZ7KditA9TuJwrZ25eFLfTNIkrNnY6mhV5Eg"",""list!A1:C115""),3,TRUE)"),"le secteur de l'hôtellerie")</f>
        <v xml:space="preserve">le secteur de l'hôtellerie</v>
      </c>
      <c r="J925" s="5" t="s">
        <v>6447</v>
      </c>
      <c r="K925" s="5" t="s">
        <v>6448</v>
      </c>
      <c r="L925" s="7"/>
      <c r="M925" s="4" t="s">
        <v>29</v>
      </c>
      <c r="N925" s="4" t="s">
        <v>6449</v>
      </c>
      <c r="O925" s="4" t="s">
        <v>29</v>
      </c>
      <c r="P925" s="4" t="s">
        <v>6450</v>
      </c>
      <c r="Q925" s="6"/>
      <c r="R925" s="6"/>
      <c r="S925" s="6"/>
      <c r="T925" s="6"/>
      <c r="U925" s="6"/>
      <c r="V925" s="6"/>
      <c r="W925" s="6"/>
      <c r="X925" s="6"/>
      <c r="Y925" s="6"/>
    </row>
    <row r="926" ht="14.25">
      <c r="B926" s="4" t="s">
        <v>170</v>
      </c>
      <c r="C926" s="4" t="s">
        <v>6451</v>
      </c>
      <c r="D926" s="4" t="s">
        <v>6452</v>
      </c>
      <c r="E926" s="4" t="s">
        <v>6453</v>
      </c>
      <c r="F926" s="4" t="s">
        <v>6454</v>
      </c>
      <c r="G926" s="4">
        <v>35</v>
      </c>
      <c r="H926" s="4" t="s">
        <v>25</v>
      </c>
      <c r="I926" s="4" t="str">
        <f>IFERROR(__XLUDF.DUMMYFUNCTION("VLOOKUP(G20,IMPORTRANGE(""https://docs.google.com/spreadsheets/d/1opm6ZNvGZ7KditA9TuJwrZ25eFLfTNIkrNnY6mhV5Eg"",""list!A1:C115""),3,TRUE)"),"le secteur de l'hôtellerie")</f>
        <v xml:space="preserve">le secteur de l'hôtellerie</v>
      </c>
      <c r="J926" s="5" t="s">
        <v>6455</v>
      </c>
      <c r="K926" s="5" t="s">
        <v>6456</v>
      </c>
      <c r="L926" s="7"/>
      <c r="M926" s="4" t="s">
        <v>29</v>
      </c>
      <c r="N926" s="4" t="s">
        <v>6457</v>
      </c>
      <c r="O926" s="4" t="s">
        <v>29</v>
      </c>
      <c r="P926" s="4" t="s">
        <v>6458</v>
      </c>
      <c r="Q926" s="6"/>
      <c r="R926" s="6"/>
      <c r="S926" s="6"/>
      <c r="T926" s="6"/>
      <c r="U926" s="6"/>
      <c r="V926" s="6"/>
      <c r="W926" s="6"/>
      <c r="X926" s="6"/>
      <c r="Y926" s="6"/>
    </row>
    <row r="927" ht="14.25">
      <c r="B927" s="4" t="s">
        <v>170</v>
      </c>
      <c r="C927" s="4" t="s">
        <v>1183</v>
      </c>
      <c r="D927" s="4" t="s">
        <v>6391</v>
      </c>
      <c r="E927" s="4" t="s">
        <v>6363</v>
      </c>
      <c r="F927" s="4" t="s">
        <v>6459</v>
      </c>
      <c r="G927" s="4">
        <v>4</v>
      </c>
      <c r="H927" s="4" t="s">
        <v>25</v>
      </c>
      <c r="I927" s="4" t="str">
        <f>IFERROR(__XLUDF.DUMMYFUNCTION("VLOOKUP(G21,IMPORTRANGE(""https://docs.google.com/spreadsheets/d/1opm6ZNvGZ7KditA9TuJwrZ25eFLfTNIkrNnY6mhV5Eg"",""list!A1:C115""),3,TRUE)"),"le secteur de l'hôtellerie")</f>
        <v xml:space="preserve">le secteur de l'hôtellerie</v>
      </c>
      <c r="J927" s="5" t="s">
        <v>6460</v>
      </c>
      <c r="K927" s="5" t="s">
        <v>6366</v>
      </c>
      <c r="L927" s="4" t="s">
        <v>3898</v>
      </c>
      <c r="M927" s="4" t="s">
        <v>29</v>
      </c>
      <c r="N927" s="4" t="s">
        <v>6367</v>
      </c>
      <c r="O927" s="4" t="s">
        <v>29</v>
      </c>
      <c r="P927" s="4" t="s">
        <v>6368</v>
      </c>
      <c r="Q927" s="6"/>
      <c r="R927" s="6"/>
      <c r="S927" s="6"/>
      <c r="T927" s="6"/>
      <c r="U927" s="6"/>
      <c r="V927" s="6"/>
      <c r="W927" s="6"/>
      <c r="X927" s="6"/>
      <c r="Y927" s="6"/>
    </row>
    <row r="928" ht="14.25">
      <c r="B928" s="4" t="s">
        <v>6461</v>
      </c>
      <c r="C928" s="4" t="s">
        <v>6462</v>
      </c>
      <c r="D928" s="4" t="s">
        <v>6362</v>
      </c>
      <c r="E928" s="4" t="s">
        <v>6463</v>
      </c>
      <c r="F928" s="4" t="s">
        <v>6464</v>
      </c>
      <c r="G928" s="4">
        <v>26</v>
      </c>
      <c r="H928" s="4" t="s">
        <v>25</v>
      </c>
      <c r="I928" s="4" t="str">
        <f>IFERROR(__XLUDF.DUMMYFUNCTION("VLOOKUP(G22,IMPORTRANGE(""https://docs.google.com/spreadsheets/d/1opm6ZNvGZ7KditA9TuJwrZ25eFLfTNIkrNnY6mhV5Eg"",""list!A1:C115""),3,TRUE)"),"le secteur de l'hôtellerie")</f>
        <v xml:space="preserve">le secteur de l'hôtellerie</v>
      </c>
      <c r="J928" s="5" t="s">
        <v>6465</v>
      </c>
      <c r="K928" s="5" t="s">
        <v>6466</v>
      </c>
      <c r="L928" s="4" t="s">
        <v>651</v>
      </c>
      <c r="M928" s="4" t="s">
        <v>29</v>
      </c>
      <c r="N928" s="4" t="s">
        <v>6467</v>
      </c>
      <c r="O928" s="4" t="s">
        <v>29</v>
      </c>
      <c r="P928" s="4" t="s">
        <v>6468</v>
      </c>
      <c r="Q928" s="6"/>
      <c r="R928" s="6"/>
      <c r="S928" s="6"/>
      <c r="T928" s="6"/>
      <c r="U928" s="6"/>
      <c r="V928" s="6"/>
      <c r="W928" s="6"/>
      <c r="X928" s="6"/>
      <c r="Y928" s="6"/>
    </row>
    <row r="929" ht="14.25">
      <c r="B929" s="4" t="s">
        <v>330</v>
      </c>
      <c r="C929" s="4" t="s">
        <v>6469</v>
      </c>
      <c r="D929" s="4" t="s">
        <v>6391</v>
      </c>
      <c r="E929" s="4" t="s">
        <v>6470</v>
      </c>
      <c r="F929" s="4" t="s">
        <v>6471</v>
      </c>
      <c r="G929" s="4">
        <v>6</v>
      </c>
      <c r="H929" s="4" t="s">
        <v>25</v>
      </c>
      <c r="I929" s="4" t="str">
        <f>IFERROR(__XLUDF.DUMMYFUNCTION("VLOOKUP(G23,IMPORTRANGE(""https://docs.google.com/spreadsheets/d/1opm6ZNvGZ7KditA9TuJwrZ25eFLfTNIkrNnY6mhV5Eg"",""list!A1:C115""),3,TRUE)"),"le secteur de l'hôtellerie")</f>
        <v xml:space="preserve">le secteur de l'hôtellerie</v>
      </c>
      <c r="J929" s="5" t="s">
        <v>6472</v>
      </c>
      <c r="K929" s="5" t="s">
        <v>6473</v>
      </c>
      <c r="L929" s="4" t="s">
        <v>185</v>
      </c>
      <c r="M929" s="4" t="s">
        <v>29</v>
      </c>
      <c r="N929" s="4" t="s">
        <v>1283</v>
      </c>
      <c r="O929" s="4" t="s">
        <v>29</v>
      </c>
      <c r="P929" s="4" t="s">
        <v>6474</v>
      </c>
      <c r="Q929" s="6"/>
      <c r="R929" s="6"/>
      <c r="S929" s="6"/>
      <c r="T929" s="6"/>
      <c r="U929" s="6"/>
      <c r="V929" s="6"/>
      <c r="W929" s="6"/>
      <c r="X929" s="6"/>
      <c r="Y929" s="6"/>
    </row>
    <row r="930" ht="14.25">
      <c r="B930" s="4" t="s">
        <v>330</v>
      </c>
      <c r="C930" s="4" t="s">
        <v>6475</v>
      </c>
      <c r="D930" s="4" t="s">
        <v>6362</v>
      </c>
      <c r="E930" s="4" t="s">
        <v>6476</v>
      </c>
      <c r="F930" s="4" t="s">
        <v>6477</v>
      </c>
      <c r="G930" s="4">
        <v>15</v>
      </c>
      <c r="H930" s="4" t="s">
        <v>25</v>
      </c>
      <c r="I930" s="4" t="str">
        <f>IFERROR(__XLUDF.DUMMYFUNCTION("VLOOKUP(G24,IMPORTRANGE(""https://docs.google.com/spreadsheets/d/1opm6ZNvGZ7KditA9TuJwrZ25eFLfTNIkrNnY6mhV5Eg"",""list!A1:C115""),3,TRUE)"),"le secteur de l'hôtellerie")</f>
        <v xml:space="preserve">le secteur de l'hôtellerie</v>
      </c>
      <c r="J930" s="5" t="s">
        <v>6478</v>
      </c>
      <c r="K930" s="5" t="s">
        <v>6479</v>
      </c>
      <c r="L930" s="4" t="s">
        <v>6480</v>
      </c>
      <c r="M930" s="4" t="s">
        <v>29</v>
      </c>
      <c r="N930" s="4" t="s">
        <v>6481</v>
      </c>
      <c r="O930" s="4" t="s">
        <v>29</v>
      </c>
      <c r="P930" s="4" t="s">
        <v>6482</v>
      </c>
      <c r="Q930" s="6"/>
      <c r="R930" s="6"/>
      <c r="S930" s="6"/>
      <c r="T930" s="6"/>
      <c r="U930" s="6"/>
      <c r="V930" s="6"/>
      <c r="W930" s="6"/>
      <c r="X930" s="6"/>
      <c r="Y930" s="6"/>
    </row>
    <row r="931" ht="14.25">
      <c r="B931" s="4" t="s">
        <v>1596</v>
      </c>
      <c r="C931" s="4" t="s">
        <v>6483</v>
      </c>
      <c r="D931" s="4" t="s">
        <v>6484</v>
      </c>
      <c r="E931" s="4" t="s">
        <v>6485</v>
      </c>
      <c r="F931" s="4" t="s">
        <v>6486</v>
      </c>
      <c r="G931" s="4">
        <v>42</v>
      </c>
      <c r="H931" s="4" t="s">
        <v>25</v>
      </c>
      <c r="I931" s="4" t="str">
        <f>IFERROR(__XLUDF.DUMMYFUNCTION("VLOOKUP(G25,IMPORTRANGE(""https://docs.google.com/spreadsheets/d/1opm6ZNvGZ7KditA9TuJwrZ25eFLfTNIkrNnY6mhV5Eg"",""list!A1:C115""),3,TRUE)"),"le secteur de l'hôtellerie")</f>
        <v xml:space="preserve">le secteur de l'hôtellerie</v>
      </c>
      <c r="J931" s="5" t="s">
        <v>6487</v>
      </c>
      <c r="K931" s="5" t="s">
        <v>6488</v>
      </c>
      <c r="L931" s="4" t="s">
        <v>6489</v>
      </c>
      <c r="M931" s="4" t="s">
        <v>29</v>
      </c>
      <c r="N931" s="4" t="s">
        <v>6490</v>
      </c>
      <c r="O931" s="4" t="s">
        <v>29</v>
      </c>
      <c r="P931" s="4" t="s">
        <v>6491</v>
      </c>
      <c r="Q931" s="6"/>
      <c r="R931" s="6"/>
      <c r="S931" s="6"/>
      <c r="T931" s="6"/>
      <c r="U931" s="6"/>
      <c r="V931" s="6"/>
      <c r="W931" s="6"/>
      <c r="X931" s="6"/>
      <c r="Y931" s="6"/>
    </row>
    <row r="932" ht="14.25">
      <c r="B932" s="4" t="s">
        <v>255</v>
      </c>
      <c r="C932" s="4" t="s">
        <v>6492</v>
      </c>
      <c r="D932" s="4" t="s">
        <v>6493</v>
      </c>
      <c r="E932" s="4" t="s">
        <v>6494</v>
      </c>
      <c r="F932" s="4" t="s">
        <v>6495</v>
      </c>
      <c r="G932" s="4">
        <v>2</v>
      </c>
      <c r="H932" s="4" t="s">
        <v>25</v>
      </c>
      <c r="I932" s="4" t="str">
        <f>IFERROR(__XLUDF.DUMMYFUNCTION("VLOOKUP(G26,IMPORTRANGE(""https://docs.google.com/spreadsheets/d/1opm6ZNvGZ7KditA9TuJwrZ25eFLfTNIkrNnY6mhV5Eg"",""list!A1:C115""),3,TRUE)"),"le secteur de l'hôtellerie")</f>
        <v xml:space="preserve">le secteur de l'hôtellerie</v>
      </c>
      <c r="J932" s="5" t="s">
        <v>6496</v>
      </c>
      <c r="K932" s="5" t="s">
        <v>6497</v>
      </c>
      <c r="L932" s="4" t="s">
        <v>39</v>
      </c>
      <c r="M932" s="4" t="s">
        <v>29</v>
      </c>
      <c r="N932" s="4" t="s">
        <v>6498</v>
      </c>
      <c r="O932" s="4" t="s">
        <v>29</v>
      </c>
      <c r="P932" s="7"/>
      <c r="Q932" s="6"/>
      <c r="R932" s="6"/>
      <c r="S932" s="6"/>
      <c r="T932" s="6"/>
      <c r="U932" s="6"/>
      <c r="V932" s="6"/>
      <c r="W932" s="6"/>
      <c r="X932" s="6"/>
      <c r="Y932" s="6"/>
    </row>
    <row r="933" ht="14.25">
      <c r="B933" s="4" t="s">
        <v>6499</v>
      </c>
      <c r="C933" s="4" t="s">
        <v>2643</v>
      </c>
      <c r="D933" s="4" t="s">
        <v>172</v>
      </c>
      <c r="E933" s="4" t="s">
        <v>6500</v>
      </c>
      <c r="F933" s="4" t="s">
        <v>6501</v>
      </c>
      <c r="G933" s="4">
        <v>47</v>
      </c>
      <c r="H933" s="4" t="s">
        <v>25</v>
      </c>
      <c r="I933" s="4" t="str">
        <f>IFERROR(__XLUDF.DUMMYFUNCTION("VLOOKUP(G27,IMPORTRANGE(""https://docs.google.com/spreadsheets/d/1opm6ZNvGZ7KditA9TuJwrZ25eFLfTNIkrNnY6mhV5Eg"",""list!A1:C115""),3,TRUE)"),"le secteur de l'hôtellerie")</f>
        <v xml:space="preserve">le secteur de l'hôtellerie</v>
      </c>
      <c r="J933" s="5" t="s">
        <v>6502</v>
      </c>
      <c r="K933" s="5" t="s">
        <v>6503</v>
      </c>
      <c r="L933" s="4" t="s">
        <v>3685</v>
      </c>
      <c r="M933" s="4" t="s">
        <v>29</v>
      </c>
      <c r="N933" s="4" t="s">
        <v>6504</v>
      </c>
      <c r="O933" s="4" t="s">
        <v>29</v>
      </c>
      <c r="P933" s="4" t="s">
        <v>6505</v>
      </c>
      <c r="Q933" s="6"/>
      <c r="R933" s="6"/>
      <c r="S933" s="6"/>
      <c r="T933" s="6"/>
      <c r="U933" s="6"/>
      <c r="V933" s="6"/>
      <c r="W933" s="6"/>
      <c r="X933" s="6"/>
      <c r="Y933" s="6"/>
    </row>
    <row r="934" ht="14.25">
      <c r="B934" s="4" t="s">
        <v>3593</v>
      </c>
      <c r="C934" s="4" t="s">
        <v>6506</v>
      </c>
      <c r="D934" s="4" t="s">
        <v>6507</v>
      </c>
      <c r="E934" s="4" t="s">
        <v>6508</v>
      </c>
      <c r="F934" s="4" t="s">
        <v>6509</v>
      </c>
      <c r="G934" s="4">
        <v>110</v>
      </c>
      <c r="H934" s="4" t="s">
        <v>25</v>
      </c>
      <c r="I934" s="4" t="str">
        <f>IFERROR(__XLUDF.DUMMYFUNCTION("VLOOKUP(G28,IMPORTRANGE(""https://docs.google.com/spreadsheets/d/1opm6ZNvGZ7KditA9TuJwrZ25eFLfTNIkrNnY6mhV5Eg"",""list!A1:C115""),3,TRUE)"),"le secteur de l'hôtellerie")</f>
        <v xml:space="preserve">le secteur de l'hôtellerie</v>
      </c>
      <c r="J934" s="5" t="s">
        <v>6510</v>
      </c>
      <c r="K934" s="5" t="s">
        <v>6511</v>
      </c>
      <c r="L934" s="4" t="s">
        <v>6512</v>
      </c>
      <c r="M934" s="4" t="s">
        <v>29</v>
      </c>
      <c r="N934" s="4" t="s">
        <v>6513</v>
      </c>
      <c r="O934" s="4" t="s">
        <v>29</v>
      </c>
      <c r="P934" s="4" t="s">
        <v>6514</v>
      </c>
      <c r="Q934" s="6"/>
      <c r="R934" s="6"/>
      <c r="S934" s="6"/>
      <c r="T934" s="6"/>
      <c r="U934" s="6"/>
      <c r="V934" s="6"/>
      <c r="W934" s="6"/>
      <c r="X934" s="6"/>
      <c r="Y934" s="6"/>
    </row>
    <row r="935" ht="14.25">
      <c r="B935" s="4" t="s">
        <v>6515</v>
      </c>
      <c r="C935" s="4" t="s">
        <v>5351</v>
      </c>
      <c r="D935" s="4" t="s">
        <v>164</v>
      </c>
      <c r="E935" s="4" t="s">
        <v>6516</v>
      </c>
      <c r="F935" s="4" t="s">
        <v>6517</v>
      </c>
      <c r="G935" s="4">
        <v>200</v>
      </c>
      <c r="H935" s="4" t="s">
        <v>25</v>
      </c>
      <c r="I935" s="4" t="str">
        <f>IFERROR(__XLUDF.DUMMYFUNCTION("VLOOKUP(G29,IMPORTRANGE(""https://docs.google.com/spreadsheets/d/1opm6ZNvGZ7KditA9TuJwrZ25eFLfTNIkrNnY6mhV5Eg"",""list!A1:C115""),3,TRUE)"),"le secteur de l'hôtellerie")</f>
        <v xml:space="preserve">le secteur de l'hôtellerie</v>
      </c>
      <c r="J935" s="5" t="s">
        <v>6518</v>
      </c>
      <c r="K935" s="5" t="s">
        <v>6519</v>
      </c>
      <c r="L935" s="4" t="s">
        <v>39</v>
      </c>
      <c r="M935" s="4" t="s">
        <v>29</v>
      </c>
      <c r="N935" s="4" t="s">
        <v>6520</v>
      </c>
      <c r="O935" s="4" t="s">
        <v>29</v>
      </c>
      <c r="P935" s="4" t="s">
        <v>6521</v>
      </c>
      <c r="Q935" s="6"/>
      <c r="R935" s="6"/>
      <c r="S935" s="6"/>
      <c r="T935" s="6"/>
      <c r="U935" s="6"/>
      <c r="V935" s="6"/>
      <c r="W935" s="6"/>
      <c r="X935" s="6"/>
      <c r="Y935" s="6"/>
    </row>
    <row r="936" ht="14.25">
      <c r="B936" s="4" t="s">
        <v>3164</v>
      </c>
      <c r="C936" s="4" t="s">
        <v>4056</v>
      </c>
      <c r="D936" s="4" t="s">
        <v>6522</v>
      </c>
      <c r="E936" s="4" t="s">
        <v>6523</v>
      </c>
      <c r="F936" s="4" t="s">
        <v>6524</v>
      </c>
      <c r="G936" s="4">
        <v>56</v>
      </c>
      <c r="H936" s="4" t="s">
        <v>25</v>
      </c>
      <c r="I936" s="4" t="str">
        <f>IFERROR(__XLUDF.DUMMYFUNCTION("VLOOKUP(G30,IMPORTRANGE(""https://docs.google.com/spreadsheets/d/1opm6ZNvGZ7KditA9TuJwrZ25eFLfTNIkrNnY6mhV5Eg"",""list!A1:C115""),3,TRUE)"),"le secteur de l'hôtellerie")</f>
        <v xml:space="preserve">le secteur de l'hôtellerie</v>
      </c>
      <c r="J936" s="5" t="s">
        <v>6525</v>
      </c>
      <c r="K936" s="5" t="s">
        <v>6526</v>
      </c>
      <c r="L936" s="7"/>
      <c r="M936" s="4" t="s">
        <v>29</v>
      </c>
      <c r="N936" s="4" t="s">
        <v>6527</v>
      </c>
      <c r="O936" s="4" t="s">
        <v>29</v>
      </c>
      <c r="P936" s="4" t="s">
        <v>6528</v>
      </c>
      <c r="Q936" s="6"/>
      <c r="R936" s="6"/>
      <c r="S936" s="6"/>
      <c r="T936" s="6"/>
      <c r="U936" s="6"/>
      <c r="V936" s="6"/>
      <c r="W936" s="6"/>
      <c r="X936" s="6"/>
      <c r="Y936" s="6"/>
    </row>
    <row r="937" ht="14.25">
      <c r="B937" s="4" t="s">
        <v>3164</v>
      </c>
      <c r="C937" s="4" t="s">
        <v>6529</v>
      </c>
      <c r="D937" s="4" t="s">
        <v>172</v>
      </c>
      <c r="E937" s="4" t="s">
        <v>6530</v>
      </c>
      <c r="F937" s="4" t="s">
        <v>6531</v>
      </c>
      <c r="G937" s="4">
        <v>62</v>
      </c>
      <c r="H937" s="4" t="s">
        <v>25</v>
      </c>
      <c r="I937" s="4" t="str">
        <f>IFERROR(__XLUDF.DUMMYFUNCTION("VLOOKUP(G31,IMPORTRANGE(""https://docs.google.com/spreadsheets/d/1opm6ZNvGZ7KditA9TuJwrZ25eFLfTNIkrNnY6mhV5Eg"",""list!A1:C115""),3,TRUE)"),"le secteur de l'hôtellerie")</f>
        <v xml:space="preserve">le secteur de l'hôtellerie</v>
      </c>
      <c r="J937" s="5" t="s">
        <v>6532</v>
      </c>
      <c r="K937" s="5" t="s">
        <v>6533</v>
      </c>
      <c r="L937" s="4" t="s">
        <v>3709</v>
      </c>
      <c r="M937" s="4" t="s">
        <v>29</v>
      </c>
      <c r="N937" s="4" t="s">
        <v>6534</v>
      </c>
      <c r="O937" s="4" t="s">
        <v>29</v>
      </c>
      <c r="P937" s="4" t="s">
        <v>6535</v>
      </c>
      <c r="Q937" s="6"/>
      <c r="R937" s="6"/>
      <c r="S937" s="6"/>
      <c r="T937" s="6"/>
      <c r="U937" s="6"/>
      <c r="V937" s="6"/>
      <c r="W937" s="6"/>
      <c r="X937" s="6"/>
      <c r="Y937" s="6"/>
    </row>
    <row r="938" ht="14.25">
      <c r="B938" s="4" t="s">
        <v>4425</v>
      </c>
      <c r="C938" s="4" t="s">
        <v>6536</v>
      </c>
      <c r="D938" s="4" t="s">
        <v>6537</v>
      </c>
      <c r="E938" s="4" t="s">
        <v>6538</v>
      </c>
      <c r="F938" s="4" t="s">
        <v>6539</v>
      </c>
      <c r="G938" s="4">
        <v>400</v>
      </c>
      <c r="H938" s="4" t="s">
        <v>25</v>
      </c>
      <c r="I938" s="4" t="str">
        <f>IFERROR(__XLUDF.DUMMYFUNCTION("VLOOKUP(G32,IMPORTRANGE(""https://docs.google.com/spreadsheets/d/1opm6ZNvGZ7KditA9TuJwrZ25eFLfTNIkrNnY6mhV5Eg"",""list!A1:C115""),3,TRUE)"),"le secteur de l'hôtellerie")</f>
        <v xml:space="preserve">le secteur de l'hôtellerie</v>
      </c>
      <c r="J938" s="5" t="s">
        <v>6540</v>
      </c>
      <c r="K938" s="5" t="s">
        <v>6541</v>
      </c>
      <c r="L938" s="7"/>
      <c r="M938" s="4" t="s">
        <v>29</v>
      </c>
      <c r="N938" s="4" t="s">
        <v>6542</v>
      </c>
      <c r="O938" s="4" t="s">
        <v>6543</v>
      </c>
      <c r="P938" s="7"/>
      <c r="Q938" s="6"/>
      <c r="R938" s="6"/>
      <c r="S938" s="6"/>
      <c r="T938" s="6"/>
      <c r="U938" s="6"/>
      <c r="V938" s="6"/>
      <c r="W938" s="6"/>
      <c r="X938" s="6"/>
      <c r="Y938" s="6"/>
    </row>
    <row r="939" ht="14.25">
      <c r="B939" s="4" t="s">
        <v>3781</v>
      </c>
      <c r="C939" s="4" t="s">
        <v>6544</v>
      </c>
      <c r="D939" s="4" t="s">
        <v>6545</v>
      </c>
      <c r="E939" s="4" t="s">
        <v>6546</v>
      </c>
      <c r="F939" s="4" t="s">
        <v>6547</v>
      </c>
      <c r="G939" s="4">
        <v>160</v>
      </c>
      <c r="H939" s="4" t="s">
        <v>25</v>
      </c>
      <c r="I939" s="4" t="str">
        <f>IFERROR(__XLUDF.DUMMYFUNCTION("VLOOKUP(G33,IMPORTRANGE(""https://docs.google.com/spreadsheets/d/1opm6ZNvGZ7KditA9TuJwrZ25eFLfTNIkrNnY6mhV5Eg"",""list!A1:C115""),3,TRUE)"),"le secteur de l'hôtellerie")</f>
        <v xml:space="preserve">le secteur de l'hôtellerie</v>
      </c>
      <c r="J939" s="5" t="s">
        <v>6548</v>
      </c>
      <c r="K939" s="5" t="s">
        <v>6549</v>
      </c>
      <c r="L939" s="4" t="s">
        <v>39</v>
      </c>
      <c r="M939" s="4" t="s">
        <v>29</v>
      </c>
      <c r="N939" s="4" t="s">
        <v>6550</v>
      </c>
      <c r="O939" s="4" t="s">
        <v>1548</v>
      </c>
      <c r="P939" s="4" t="s">
        <v>6551</v>
      </c>
      <c r="Q939" s="6"/>
      <c r="R939" s="6"/>
      <c r="S939" s="6"/>
      <c r="T939" s="6"/>
      <c r="U939" s="6"/>
      <c r="V939" s="6"/>
      <c r="W939" s="6"/>
      <c r="X939" s="6"/>
      <c r="Y939" s="6"/>
    </row>
    <row r="940" ht="14.25">
      <c r="B940" s="4" t="s">
        <v>6552</v>
      </c>
      <c r="C940" s="4" t="s">
        <v>6553</v>
      </c>
      <c r="D940" s="4" t="s">
        <v>198</v>
      </c>
      <c r="E940" s="4" t="s">
        <v>6554</v>
      </c>
      <c r="F940" s="4" t="s">
        <v>6555</v>
      </c>
      <c r="G940" s="4">
        <v>60</v>
      </c>
      <c r="H940" s="4" t="s">
        <v>25</v>
      </c>
      <c r="I940" s="4" t="str">
        <f>IFERROR(__XLUDF.DUMMYFUNCTION("VLOOKUP(G34,IMPORTRANGE(""https://docs.google.com/spreadsheets/d/1opm6ZNvGZ7KditA9TuJwrZ25eFLfTNIkrNnY6mhV5Eg"",""list!A1:C115""),3,TRUE)"),"le secteur de l'hôtellerie")</f>
        <v xml:space="preserve">le secteur de l'hôtellerie</v>
      </c>
      <c r="J940" s="5" t="s">
        <v>6556</v>
      </c>
      <c r="K940" s="5" t="s">
        <v>6557</v>
      </c>
      <c r="L940" s="4" t="s">
        <v>203</v>
      </c>
      <c r="M940" s="4" t="s">
        <v>29</v>
      </c>
      <c r="N940" s="4" t="s">
        <v>6558</v>
      </c>
      <c r="O940" s="4" t="s">
        <v>29</v>
      </c>
      <c r="P940" s="4" t="s">
        <v>6559</v>
      </c>
      <c r="Q940" s="6"/>
      <c r="R940" s="6"/>
      <c r="S940" s="6"/>
      <c r="T940" s="6"/>
      <c r="U940" s="6"/>
      <c r="V940" s="6"/>
      <c r="W940" s="6"/>
      <c r="X940" s="6"/>
      <c r="Y940" s="6"/>
    </row>
    <row r="941" ht="14.25">
      <c r="B941" s="4" t="s">
        <v>670</v>
      </c>
      <c r="C941" s="4" t="s">
        <v>2751</v>
      </c>
      <c r="D941" s="4" t="s">
        <v>426</v>
      </c>
      <c r="E941" s="4" t="s">
        <v>2752</v>
      </c>
      <c r="F941" s="4" t="s">
        <v>2753</v>
      </c>
      <c r="G941" s="4">
        <v>63</v>
      </c>
      <c r="H941" s="4" t="s">
        <v>25</v>
      </c>
      <c r="I941" s="4" t="str">
        <f>IFERROR(__XLUDF.DUMMYFUNCTION("VLOOKUP(G35,IMPORTRANGE(""https://docs.google.com/spreadsheets/d/1opm6ZNvGZ7KditA9TuJwrZ25eFLfTNIkrNnY6mhV5Eg"",""list!A1:C115""),3,TRUE)"),"le secteur de l'hôtellerie")</f>
        <v xml:space="preserve">le secteur de l'hôtellerie</v>
      </c>
      <c r="J941" s="5" t="s">
        <v>2754</v>
      </c>
      <c r="K941" s="5" t="s">
        <v>6560</v>
      </c>
      <c r="L941" s="4" t="s">
        <v>39</v>
      </c>
      <c r="M941" s="4" t="s">
        <v>29</v>
      </c>
      <c r="N941" s="4" t="s">
        <v>2756</v>
      </c>
      <c r="O941" s="4" t="s">
        <v>29</v>
      </c>
      <c r="P941" s="4" t="s">
        <v>6561</v>
      </c>
      <c r="Q941" s="6"/>
      <c r="R941" s="6"/>
      <c r="S941" s="6"/>
      <c r="T941" s="6"/>
      <c r="U941" s="6"/>
      <c r="V941" s="6"/>
      <c r="W941" s="6"/>
      <c r="X941" s="6"/>
      <c r="Y941" s="6"/>
    </row>
    <row r="942" ht="14.25">
      <c r="B942" s="4" t="s">
        <v>1571</v>
      </c>
      <c r="C942" s="4" t="s">
        <v>6562</v>
      </c>
      <c r="D942" s="4" t="s">
        <v>2636</v>
      </c>
      <c r="E942" s="4" t="s">
        <v>6563</v>
      </c>
      <c r="F942" s="4" t="s">
        <v>6564</v>
      </c>
      <c r="G942" s="4">
        <v>69</v>
      </c>
      <c r="H942" s="4" t="s">
        <v>25</v>
      </c>
      <c r="I942" s="4" t="str">
        <f>IFERROR(__XLUDF.DUMMYFUNCTION("VLOOKUP(G36,IMPORTRANGE(""https://docs.google.com/spreadsheets/d/1opm6ZNvGZ7KditA9TuJwrZ25eFLfTNIkrNnY6mhV5Eg"",""list!A1:C115""),3,TRUE)"),"le secteur de l'hôtellerie")</f>
        <v xml:space="preserve">le secteur de l'hôtellerie</v>
      </c>
      <c r="J942" s="5" t="s">
        <v>6565</v>
      </c>
      <c r="K942" s="5" t="s">
        <v>6566</v>
      </c>
      <c r="L942" s="4" t="s">
        <v>1711</v>
      </c>
      <c r="M942" s="4" t="s">
        <v>29</v>
      </c>
      <c r="N942" s="4" t="s">
        <v>6567</v>
      </c>
      <c r="O942" s="4" t="s">
        <v>29</v>
      </c>
      <c r="P942" s="4" t="s">
        <v>6568</v>
      </c>
      <c r="Q942" s="6"/>
      <c r="R942" s="6"/>
      <c r="S942" s="6"/>
      <c r="T942" s="6"/>
      <c r="U942" s="6"/>
      <c r="V942" s="6"/>
      <c r="W942" s="6"/>
      <c r="X942" s="6"/>
      <c r="Y942" s="6"/>
    </row>
    <row r="943" ht="14.25">
      <c r="B943" s="4" t="s">
        <v>95</v>
      </c>
      <c r="C943" s="4" t="s">
        <v>6569</v>
      </c>
      <c r="D943" s="4" t="s">
        <v>426</v>
      </c>
      <c r="E943" s="4" t="s">
        <v>6570</v>
      </c>
      <c r="F943" s="4" t="s">
        <v>6571</v>
      </c>
      <c r="G943" s="4">
        <v>110</v>
      </c>
      <c r="H943" s="4" t="s">
        <v>25</v>
      </c>
      <c r="I943" s="4" t="str">
        <f>IFERROR(__XLUDF.DUMMYFUNCTION("VLOOKUP(G37,IMPORTRANGE(""https://docs.google.com/spreadsheets/d/1opm6ZNvGZ7KditA9TuJwrZ25eFLfTNIkrNnY6mhV5Eg"",""list!A1:C115""),3,TRUE)"),"le secteur de l'hôtellerie")</f>
        <v xml:space="preserve">le secteur de l'hôtellerie</v>
      </c>
      <c r="J943" s="5" t="s">
        <v>6572</v>
      </c>
      <c r="K943" s="5" t="s">
        <v>6573</v>
      </c>
      <c r="L943" s="4" t="s">
        <v>423</v>
      </c>
      <c r="M943" s="4" t="s">
        <v>29</v>
      </c>
      <c r="N943" s="4" t="s">
        <v>6574</v>
      </c>
      <c r="O943" s="4" t="s">
        <v>29</v>
      </c>
      <c r="P943" s="4" t="s">
        <v>6575</v>
      </c>
      <c r="Q943" s="6"/>
      <c r="R943" s="6"/>
      <c r="S943" s="6"/>
      <c r="T943" s="6"/>
      <c r="U943" s="6"/>
      <c r="V943" s="6"/>
      <c r="W943" s="6"/>
      <c r="X943" s="6"/>
      <c r="Y943" s="6"/>
    </row>
    <row r="944" ht="14.25">
      <c r="B944" s="4" t="s">
        <v>95</v>
      </c>
      <c r="C944" s="4" t="s">
        <v>6576</v>
      </c>
      <c r="D944" s="4" t="s">
        <v>120</v>
      </c>
      <c r="E944" s="4" t="s">
        <v>6577</v>
      </c>
      <c r="F944" s="4" t="s">
        <v>6578</v>
      </c>
      <c r="G944" s="4">
        <v>62</v>
      </c>
      <c r="H944" s="4" t="s">
        <v>25</v>
      </c>
      <c r="I944" s="4" t="str">
        <f>IFERROR(__XLUDF.DUMMYFUNCTION("VLOOKUP(G38,IMPORTRANGE(""https://docs.google.com/spreadsheets/d/1opm6ZNvGZ7KditA9TuJwrZ25eFLfTNIkrNnY6mhV5Eg"",""list!A1:C115""),3,TRUE)"),"le secteur de l'hôtellerie")</f>
        <v xml:space="preserve">le secteur de l'hôtellerie</v>
      </c>
      <c r="J944" s="5" t="s">
        <v>6579</v>
      </c>
      <c r="K944" s="5" t="s">
        <v>6580</v>
      </c>
      <c r="L944" s="4" t="s">
        <v>39</v>
      </c>
      <c r="M944" s="4" t="s">
        <v>29</v>
      </c>
      <c r="N944" s="4" t="s">
        <v>6581</v>
      </c>
      <c r="O944" s="4" t="s">
        <v>29</v>
      </c>
      <c r="P944" s="4" t="s">
        <v>6582</v>
      </c>
      <c r="Q944" s="6"/>
      <c r="R944" s="6"/>
      <c r="S944" s="6"/>
      <c r="T944" s="6"/>
      <c r="U944" s="6"/>
      <c r="V944" s="6"/>
      <c r="W944" s="6"/>
      <c r="X944" s="6"/>
      <c r="Y944" s="6"/>
    </row>
    <row r="945" ht="14.25">
      <c r="B945" s="4" t="s">
        <v>670</v>
      </c>
      <c r="C945" s="4" t="s">
        <v>6583</v>
      </c>
      <c r="D945" s="4" t="s">
        <v>172</v>
      </c>
      <c r="E945" s="4" t="s">
        <v>6584</v>
      </c>
      <c r="F945" s="4" t="s">
        <v>6585</v>
      </c>
      <c r="G945" s="4">
        <v>80</v>
      </c>
      <c r="H945" s="4" t="s">
        <v>25</v>
      </c>
      <c r="I945" s="4" t="str">
        <f>IFERROR(__XLUDF.DUMMYFUNCTION("VLOOKUP(G39,IMPORTRANGE(""https://docs.google.com/spreadsheets/d/1opm6ZNvGZ7KditA9TuJwrZ25eFLfTNIkrNnY6mhV5Eg"",""list!A1:C115""),3,TRUE)"),"le secteur de l'hôtellerie")</f>
        <v xml:space="preserve">le secteur de l'hôtellerie</v>
      </c>
      <c r="J945" s="5" t="s">
        <v>6586</v>
      </c>
      <c r="K945" s="5" t="s">
        <v>6587</v>
      </c>
      <c r="L945" s="4" t="s">
        <v>562</v>
      </c>
      <c r="M945" s="4" t="s">
        <v>29</v>
      </c>
      <c r="N945" s="4" t="s">
        <v>457</v>
      </c>
      <c r="O945" s="4" t="s">
        <v>29</v>
      </c>
      <c r="P945" s="4" t="s">
        <v>6588</v>
      </c>
      <c r="Q945" s="6"/>
      <c r="R945" s="6"/>
      <c r="S945" s="6"/>
      <c r="T945" s="6"/>
      <c r="U945" s="6"/>
      <c r="V945" s="6"/>
      <c r="W945" s="6"/>
      <c r="X945" s="6"/>
      <c r="Y945" s="6"/>
    </row>
    <row r="946" ht="14.25">
      <c r="B946" s="4" t="s">
        <v>670</v>
      </c>
      <c r="C946" s="4" t="s">
        <v>6589</v>
      </c>
      <c r="D946" s="4" t="s">
        <v>6590</v>
      </c>
      <c r="E946" s="4" t="s">
        <v>6591</v>
      </c>
      <c r="F946" s="4" t="s">
        <v>6592</v>
      </c>
      <c r="G946" s="4">
        <v>82</v>
      </c>
      <c r="H946" s="4" t="s">
        <v>25</v>
      </c>
      <c r="I946" s="4" t="str">
        <f>IFERROR(__XLUDF.DUMMYFUNCTION("VLOOKUP(G40,IMPORTRANGE(""https://docs.google.com/spreadsheets/d/1opm6ZNvGZ7KditA9TuJwrZ25eFLfTNIkrNnY6mhV5Eg"",""list!A1:C115""),3,TRUE)"),"le secteur de l'hôtellerie")</f>
        <v xml:space="preserve">le secteur de l'hôtellerie</v>
      </c>
      <c r="J946" s="5" t="s">
        <v>6593</v>
      </c>
      <c r="K946" s="5" t="s">
        <v>6594</v>
      </c>
      <c r="L946" s="4" t="s">
        <v>6595</v>
      </c>
      <c r="M946" s="4" t="s">
        <v>29</v>
      </c>
      <c r="N946" s="4" t="s">
        <v>6596</v>
      </c>
      <c r="O946" s="4" t="s">
        <v>29</v>
      </c>
      <c r="P946" s="4" t="s">
        <v>6597</v>
      </c>
      <c r="Q946" s="6"/>
      <c r="R946" s="6"/>
      <c r="S946" s="6"/>
      <c r="T946" s="6"/>
      <c r="U946" s="6"/>
      <c r="V946" s="6"/>
      <c r="W946" s="6"/>
      <c r="X946" s="6"/>
      <c r="Y946" s="6"/>
    </row>
    <row r="947" ht="14.25">
      <c r="B947" s="4" t="s">
        <v>3834</v>
      </c>
      <c r="C947" s="4" t="s">
        <v>6598</v>
      </c>
      <c r="D947" s="4" t="s">
        <v>198</v>
      </c>
      <c r="E947" s="4" t="s">
        <v>6599</v>
      </c>
      <c r="F947" s="4" t="s">
        <v>6600</v>
      </c>
      <c r="G947" s="4">
        <v>59</v>
      </c>
      <c r="H947" s="4" t="s">
        <v>25</v>
      </c>
      <c r="I947" s="4" t="str">
        <f>IFERROR(__XLUDF.DUMMYFUNCTION("VLOOKUP(G41,IMPORTRANGE(""https://docs.google.com/spreadsheets/d/1opm6ZNvGZ7KditA9TuJwrZ25eFLfTNIkrNnY6mhV5Eg"",""list!A1:C115""),3,TRUE)"),"le secteur de l'hôtellerie")</f>
        <v xml:space="preserve">le secteur de l'hôtellerie</v>
      </c>
      <c r="J947" s="5" t="s">
        <v>6601</v>
      </c>
      <c r="K947" s="5" t="s">
        <v>6602</v>
      </c>
      <c r="L947" s="4" t="s">
        <v>6603</v>
      </c>
      <c r="M947" s="4" t="s">
        <v>29</v>
      </c>
      <c r="N947" s="4" t="s">
        <v>6604</v>
      </c>
      <c r="O947" s="4" t="s">
        <v>29</v>
      </c>
      <c r="P947" s="4" t="s">
        <v>6605</v>
      </c>
      <c r="Q947" s="6"/>
      <c r="R947" s="6"/>
      <c r="S947" s="6"/>
      <c r="T947" s="6"/>
      <c r="U947" s="6"/>
      <c r="V947" s="6"/>
      <c r="W947" s="6"/>
      <c r="X947" s="6"/>
      <c r="Y947" s="6"/>
    </row>
    <row r="948" ht="14.25">
      <c r="B948" s="4" t="s">
        <v>823</v>
      </c>
      <c r="C948" s="4" t="s">
        <v>6606</v>
      </c>
      <c r="D948" s="4" t="s">
        <v>44</v>
      </c>
      <c r="E948" s="4" t="s">
        <v>6607</v>
      </c>
      <c r="F948" s="4" t="s">
        <v>6608</v>
      </c>
      <c r="G948" s="4">
        <v>78</v>
      </c>
      <c r="H948" s="4" t="s">
        <v>25</v>
      </c>
      <c r="I948" s="4" t="str">
        <f>IFERROR(__XLUDF.DUMMYFUNCTION("VLOOKUP(G42,IMPORTRANGE(""https://docs.google.com/spreadsheets/d/1opm6ZNvGZ7KditA9TuJwrZ25eFLfTNIkrNnY6mhV5Eg"",""list!A1:C115""),3,TRUE)"),"le secteur de l'hôtellerie")</f>
        <v xml:space="preserve">le secteur de l'hôtellerie</v>
      </c>
      <c r="J948" s="5" t="s">
        <v>6609</v>
      </c>
      <c r="K948" s="5" t="s">
        <v>6610</v>
      </c>
      <c r="L948" s="4" t="s">
        <v>39</v>
      </c>
      <c r="M948" s="4" t="s">
        <v>29</v>
      </c>
      <c r="N948" s="4" t="s">
        <v>6611</v>
      </c>
      <c r="O948" s="4" t="s">
        <v>29</v>
      </c>
      <c r="P948" s="4" t="s">
        <v>6612</v>
      </c>
      <c r="Q948" s="6"/>
      <c r="R948" s="6"/>
      <c r="S948" s="6"/>
      <c r="T948" s="6"/>
      <c r="U948" s="6"/>
      <c r="V948" s="6"/>
      <c r="W948" s="6"/>
      <c r="X948" s="6"/>
      <c r="Y948" s="6"/>
    </row>
    <row r="949" ht="14.25">
      <c r="B949" s="4" t="s">
        <v>556</v>
      </c>
      <c r="C949" s="4" t="s">
        <v>6613</v>
      </c>
      <c r="D949" s="4" t="s">
        <v>5158</v>
      </c>
      <c r="E949" s="4" t="s">
        <v>6614</v>
      </c>
      <c r="F949" s="4" t="s">
        <v>6615</v>
      </c>
      <c r="G949" s="4">
        <v>390</v>
      </c>
      <c r="H949" s="4" t="s">
        <v>25</v>
      </c>
      <c r="I949" s="4" t="str">
        <f>IFERROR(__XLUDF.DUMMYFUNCTION("VLOOKUP(G43,IMPORTRANGE(""https://docs.google.com/spreadsheets/d/1opm6ZNvGZ7KditA9TuJwrZ25eFLfTNIkrNnY6mhV5Eg"",""list!A1:C115""),3,TRUE)"),"le secteur de l'hôtellerie")</f>
        <v xml:space="preserve">le secteur de l'hôtellerie</v>
      </c>
      <c r="J949" s="5" t="s">
        <v>6616</v>
      </c>
      <c r="K949" s="5" t="s">
        <v>6617</v>
      </c>
      <c r="L949" s="4" t="s">
        <v>39</v>
      </c>
      <c r="M949" s="4" t="s">
        <v>29</v>
      </c>
      <c r="N949" s="4" t="s">
        <v>6618</v>
      </c>
      <c r="O949" s="4" t="s">
        <v>29</v>
      </c>
      <c r="P949" s="7"/>
      <c r="Q949" s="6"/>
      <c r="R949" s="6"/>
      <c r="S949" s="6"/>
      <c r="T949" s="6"/>
      <c r="U949" s="6"/>
      <c r="V949" s="6"/>
      <c r="W949" s="6"/>
      <c r="X949" s="6"/>
      <c r="Y949" s="6"/>
    </row>
    <row r="950" ht="14.25">
      <c r="B950" s="4" t="s">
        <v>1948</v>
      </c>
      <c r="C950" s="4" t="s">
        <v>6619</v>
      </c>
      <c r="D950" s="4" t="s">
        <v>426</v>
      </c>
      <c r="E950" s="4" t="s">
        <v>6620</v>
      </c>
      <c r="F950" s="4" t="s">
        <v>6621</v>
      </c>
      <c r="G950" s="4">
        <v>120</v>
      </c>
      <c r="H950" s="4" t="s">
        <v>25</v>
      </c>
      <c r="I950" s="4" t="str">
        <f>IFERROR(__XLUDF.DUMMYFUNCTION("VLOOKUP(G44,IMPORTRANGE(""https://docs.google.com/spreadsheets/d/1opm6ZNvGZ7KditA9TuJwrZ25eFLfTNIkrNnY6mhV5Eg"",""list!A1:C115""),3,TRUE)"),"le secteur de l'hôtellerie")</f>
        <v xml:space="preserve">le secteur de l'hôtellerie</v>
      </c>
      <c r="J950" s="5" t="s">
        <v>6622</v>
      </c>
      <c r="K950" s="5" t="s">
        <v>6623</v>
      </c>
      <c r="L950" s="7"/>
      <c r="M950" s="4" t="s">
        <v>29</v>
      </c>
      <c r="N950" s="4" t="s">
        <v>6624</v>
      </c>
      <c r="O950" s="4" t="s">
        <v>29</v>
      </c>
      <c r="P950" s="4" t="s">
        <v>6625</v>
      </c>
      <c r="Q950" s="6"/>
      <c r="R950" s="6"/>
      <c r="S950" s="6"/>
      <c r="T950" s="6"/>
      <c r="U950" s="6"/>
      <c r="V950" s="6"/>
      <c r="W950" s="6"/>
      <c r="X950" s="6"/>
      <c r="Y950" s="6"/>
    </row>
    <row r="951" ht="14.25">
      <c r="B951" s="4" t="s">
        <v>6626</v>
      </c>
      <c r="C951" s="4" t="s">
        <v>6627</v>
      </c>
      <c r="D951" s="4" t="s">
        <v>6628</v>
      </c>
      <c r="E951" s="4" t="s">
        <v>6629</v>
      </c>
      <c r="F951" s="4" t="s">
        <v>6630</v>
      </c>
      <c r="G951" s="4">
        <v>84</v>
      </c>
      <c r="H951" s="4" t="s">
        <v>25</v>
      </c>
      <c r="I951" s="4" t="str">
        <f>IFERROR(__XLUDF.DUMMYFUNCTION("VLOOKUP(G45,IMPORTRANGE(""https://docs.google.com/spreadsheets/d/1opm6ZNvGZ7KditA9TuJwrZ25eFLfTNIkrNnY6mhV5Eg"",""list!A1:C115""),3,TRUE)"),"le secteur de l'hôtellerie")</f>
        <v xml:space="preserve">le secteur de l'hôtellerie</v>
      </c>
      <c r="J951" s="5" t="s">
        <v>6631</v>
      </c>
      <c r="K951" s="5" t="s">
        <v>6632</v>
      </c>
      <c r="L951" s="4" t="s">
        <v>39</v>
      </c>
      <c r="M951" s="4" t="s">
        <v>29</v>
      </c>
      <c r="N951" s="4" t="s">
        <v>6633</v>
      </c>
      <c r="O951" s="4" t="s">
        <v>29</v>
      </c>
      <c r="P951" s="7"/>
      <c r="Q951" s="6"/>
      <c r="R951" s="6"/>
      <c r="S951" s="6"/>
      <c r="T951" s="6"/>
      <c r="U951" s="6"/>
      <c r="V951" s="6"/>
      <c r="W951" s="6"/>
      <c r="X951" s="6"/>
      <c r="Y951" s="6"/>
    </row>
    <row r="952" ht="14.25">
      <c r="B952" s="4" t="s">
        <v>6634</v>
      </c>
      <c r="C952" s="4" t="s">
        <v>6635</v>
      </c>
      <c r="D952" s="4" t="s">
        <v>426</v>
      </c>
      <c r="E952" s="4" t="s">
        <v>6636</v>
      </c>
      <c r="F952" s="4" t="s">
        <v>6637</v>
      </c>
      <c r="G952" s="4">
        <v>190</v>
      </c>
      <c r="H952" s="4" t="s">
        <v>25</v>
      </c>
      <c r="I952" s="4" t="str">
        <f>IFERROR(__XLUDF.DUMMYFUNCTION("VLOOKUP(G46,IMPORTRANGE(""https://docs.google.com/spreadsheets/d/1opm6ZNvGZ7KditA9TuJwrZ25eFLfTNIkrNnY6mhV5Eg"",""list!A1:C115""),3,TRUE)"),"le secteur de l'hôtellerie")</f>
        <v xml:space="preserve">le secteur de l'hôtellerie</v>
      </c>
      <c r="J952" s="5" t="s">
        <v>6638</v>
      </c>
      <c r="K952" s="5" t="s">
        <v>6639</v>
      </c>
      <c r="L952" s="4" t="s">
        <v>49</v>
      </c>
      <c r="M952" s="4" t="s">
        <v>29</v>
      </c>
      <c r="N952" s="4" t="s">
        <v>6640</v>
      </c>
      <c r="O952" s="4" t="s">
        <v>29</v>
      </c>
      <c r="P952" s="4" t="s">
        <v>6641</v>
      </c>
      <c r="Q952" s="6"/>
      <c r="R952" s="6"/>
      <c r="S952" s="6"/>
      <c r="T952" s="6"/>
      <c r="U952" s="6"/>
      <c r="V952" s="6"/>
      <c r="W952" s="6"/>
      <c r="X952" s="6"/>
      <c r="Y952" s="6"/>
    </row>
    <row r="953" ht="14.25">
      <c r="B953" s="4" t="s">
        <v>222</v>
      </c>
      <c r="C953" s="4" t="s">
        <v>6642</v>
      </c>
      <c r="D953" s="4" t="s">
        <v>6643</v>
      </c>
      <c r="E953" s="4" t="s">
        <v>6644</v>
      </c>
      <c r="F953" s="4" t="s">
        <v>6645</v>
      </c>
      <c r="G953" s="4">
        <v>270</v>
      </c>
      <c r="H953" s="4" t="s">
        <v>25</v>
      </c>
      <c r="I953" s="4" t="str">
        <f>IFERROR(__XLUDF.DUMMYFUNCTION("VLOOKUP(G47,IMPORTRANGE(""https://docs.google.com/spreadsheets/d/1opm6ZNvGZ7KditA9TuJwrZ25eFLfTNIkrNnY6mhV5Eg"",""list!A1:C115""),3,TRUE)"),"le secteur de l'hôtellerie")</f>
        <v xml:space="preserve">le secteur de l'hôtellerie</v>
      </c>
      <c r="J953" s="5" t="s">
        <v>6646</v>
      </c>
      <c r="K953" s="5" t="s">
        <v>6647</v>
      </c>
      <c r="L953" s="7"/>
      <c r="M953" s="4" t="s">
        <v>29</v>
      </c>
      <c r="N953" s="4" t="s">
        <v>337</v>
      </c>
      <c r="O953" s="4" t="s">
        <v>29</v>
      </c>
      <c r="P953" s="4" t="s">
        <v>6648</v>
      </c>
      <c r="Q953" s="6"/>
      <c r="R953" s="6"/>
      <c r="S953" s="6"/>
      <c r="T953" s="6"/>
      <c r="U953" s="6"/>
      <c r="V953" s="6"/>
      <c r="W953" s="6"/>
      <c r="X953" s="6"/>
      <c r="Y953" s="6"/>
    </row>
    <row r="954" ht="14.25">
      <c r="B954" s="4" t="s">
        <v>5111</v>
      </c>
      <c r="C954" s="4" t="s">
        <v>6649</v>
      </c>
      <c r="D954" s="4" t="s">
        <v>172</v>
      </c>
      <c r="E954" s="4" t="s">
        <v>6650</v>
      </c>
      <c r="F954" s="4" t="s">
        <v>6651</v>
      </c>
      <c r="G954" s="4">
        <v>110</v>
      </c>
      <c r="H954" s="4" t="s">
        <v>25</v>
      </c>
      <c r="I954" s="4" t="str">
        <f>IFERROR(__XLUDF.DUMMYFUNCTION("VLOOKUP(G48,IMPORTRANGE(""https://docs.google.com/spreadsheets/d/1opm6ZNvGZ7KditA9TuJwrZ25eFLfTNIkrNnY6mhV5Eg"",""list!A1:C115""),3,TRUE)"),"le secteur de l'hôtellerie")</f>
        <v xml:space="preserve">le secteur de l'hôtellerie</v>
      </c>
      <c r="J954" s="5" t="s">
        <v>6652</v>
      </c>
      <c r="K954" s="5" t="s">
        <v>6653</v>
      </c>
      <c r="L954" s="4" t="s">
        <v>39</v>
      </c>
      <c r="M954" s="4" t="s">
        <v>29</v>
      </c>
      <c r="N954" s="4" t="s">
        <v>6654</v>
      </c>
      <c r="O954" s="4" t="s">
        <v>29</v>
      </c>
      <c r="P954" s="4" t="s">
        <v>6655</v>
      </c>
      <c r="Q954" s="6"/>
      <c r="R954" s="6"/>
      <c r="S954" s="6"/>
      <c r="T954" s="6"/>
      <c r="U954" s="6"/>
      <c r="V954" s="6"/>
      <c r="W954" s="6"/>
      <c r="X954" s="6"/>
      <c r="Y954" s="6"/>
    </row>
    <row r="955" ht="14.25">
      <c r="B955" s="4" t="s">
        <v>3673</v>
      </c>
      <c r="C955" s="4" t="s">
        <v>6656</v>
      </c>
      <c r="D955" s="4" t="s">
        <v>164</v>
      </c>
      <c r="E955" s="4" t="s">
        <v>6657</v>
      </c>
      <c r="F955" s="4" t="s">
        <v>6658</v>
      </c>
      <c r="G955" s="4">
        <v>88</v>
      </c>
      <c r="H955" s="4" t="s">
        <v>25</v>
      </c>
      <c r="I955" s="4" t="str">
        <f>IFERROR(__XLUDF.DUMMYFUNCTION("VLOOKUP(G49,IMPORTRANGE(""https://docs.google.com/spreadsheets/d/1opm6ZNvGZ7KditA9TuJwrZ25eFLfTNIkrNnY6mhV5Eg"",""list!A1:C115""),3,TRUE)"),"le secteur de l'hôtellerie")</f>
        <v xml:space="preserve">le secteur de l'hôtellerie</v>
      </c>
      <c r="J955" s="5" t="s">
        <v>6659</v>
      </c>
      <c r="K955" s="5" t="s">
        <v>6660</v>
      </c>
      <c r="L955" s="7"/>
      <c r="M955" s="4" t="s">
        <v>29</v>
      </c>
      <c r="N955" s="4" t="s">
        <v>6661</v>
      </c>
      <c r="O955" s="4" t="s">
        <v>29</v>
      </c>
      <c r="P955" s="4" t="s">
        <v>6662</v>
      </c>
      <c r="Q955" s="6"/>
      <c r="R955" s="6"/>
      <c r="S955" s="6"/>
      <c r="T955" s="6"/>
      <c r="U955" s="6"/>
      <c r="V955" s="6"/>
      <c r="W955" s="6"/>
      <c r="X955" s="6"/>
      <c r="Y955" s="6"/>
    </row>
    <row r="956" ht="14.25">
      <c r="B956" s="4" t="s">
        <v>3557</v>
      </c>
      <c r="C956" s="4" t="s">
        <v>6663</v>
      </c>
      <c r="D956" s="4" t="s">
        <v>112</v>
      </c>
      <c r="E956" s="4" t="s">
        <v>6664</v>
      </c>
      <c r="F956" s="4" t="s">
        <v>6665</v>
      </c>
      <c r="G956" s="4">
        <v>500</v>
      </c>
      <c r="H956" s="4" t="s">
        <v>25</v>
      </c>
      <c r="I956" s="4" t="str">
        <f>IFERROR(__XLUDF.DUMMYFUNCTION("VLOOKUP(G50,IMPORTRANGE(""https://docs.google.com/spreadsheets/d/1opm6ZNvGZ7KditA9TuJwrZ25eFLfTNIkrNnY6mhV5Eg"",""list!A1:C115""),3,TRUE)"),"le secteur de l'hôtellerie")</f>
        <v xml:space="preserve">le secteur de l'hôtellerie</v>
      </c>
      <c r="J956" s="5" t="s">
        <v>6666</v>
      </c>
      <c r="K956" s="5" t="s">
        <v>6667</v>
      </c>
      <c r="L956" s="7"/>
      <c r="M956" s="4" t="s">
        <v>29</v>
      </c>
      <c r="N956" s="4" t="s">
        <v>6668</v>
      </c>
      <c r="O956" s="4" t="s">
        <v>1261</v>
      </c>
      <c r="P956" s="4" t="s">
        <v>6669</v>
      </c>
      <c r="Q956" s="6"/>
      <c r="R956" s="6"/>
      <c r="S956" s="6"/>
      <c r="T956" s="6"/>
      <c r="U956" s="6"/>
      <c r="V956" s="6"/>
      <c r="W956" s="6"/>
      <c r="X956" s="6"/>
      <c r="Y956" s="6"/>
    </row>
    <row r="957" ht="14.25">
      <c r="B957" s="4" t="s">
        <v>2303</v>
      </c>
      <c r="C957" s="4" t="s">
        <v>6670</v>
      </c>
      <c r="D957" s="4" t="s">
        <v>6671</v>
      </c>
      <c r="E957" s="4" t="s">
        <v>6672</v>
      </c>
      <c r="F957" s="4" t="s">
        <v>6673</v>
      </c>
      <c r="G957" s="4">
        <v>140</v>
      </c>
      <c r="H957" s="4" t="s">
        <v>25</v>
      </c>
      <c r="I957" s="4" t="str">
        <f>IFERROR(__XLUDF.DUMMYFUNCTION("VLOOKUP(G51,IMPORTRANGE(""https://docs.google.com/spreadsheets/d/1opm6ZNvGZ7KditA9TuJwrZ25eFLfTNIkrNnY6mhV5Eg"",""list!A1:C115""),3,TRUE)"),"le secteur de l'hôtellerie")</f>
        <v xml:space="preserve">le secteur de l'hôtellerie</v>
      </c>
      <c r="J957" s="5" t="s">
        <v>6674</v>
      </c>
      <c r="K957" s="5" t="s">
        <v>6675</v>
      </c>
      <c r="L957" s="4" t="s">
        <v>243</v>
      </c>
      <c r="M957" s="4" t="s">
        <v>29</v>
      </c>
      <c r="N957" s="4" t="s">
        <v>6676</v>
      </c>
      <c r="O957" s="4" t="s">
        <v>29</v>
      </c>
      <c r="P957" s="4" t="s">
        <v>6677</v>
      </c>
      <c r="Q957" s="6"/>
      <c r="R957" s="6"/>
      <c r="S957" s="6"/>
      <c r="T957" s="6"/>
      <c r="U957" s="6"/>
      <c r="V957" s="6"/>
      <c r="W957" s="6"/>
      <c r="X957" s="6"/>
      <c r="Y957" s="6"/>
    </row>
    <row r="958" ht="14.25">
      <c r="B958" s="4" t="s">
        <v>6678</v>
      </c>
      <c r="C958" s="4" t="s">
        <v>6679</v>
      </c>
      <c r="D958" s="4" t="s">
        <v>120</v>
      </c>
      <c r="E958" s="4" t="s">
        <v>6680</v>
      </c>
      <c r="F958" s="4" t="s">
        <v>6681</v>
      </c>
      <c r="G958" s="4">
        <v>160</v>
      </c>
      <c r="H958" s="4" t="s">
        <v>25</v>
      </c>
      <c r="I958" s="4" t="str">
        <f>IFERROR(__XLUDF.DUMMYFUNCTION("VLOOKUP(G52,IMPORTRANGE(""https://docs.google.com/spreadsheets/d/1opm6ZNvGZ7KditA9TuJwrZ25eFLfTNIkrNnY6mhV5Eg"",""list!A1:C115""),3,TRUE)"),"le secteur de l'hôtellerie")</f>
        <v xml:space="preserve">le secteur de l'hôtellerie</v>
      </c>
      <c r="J958" s="5" t="s">
        <v>6682</v>
      </c>
      <c r="K958" s="5" t="s">
        <v>6683</v>
      </c>
      <c r="L958" s="4" t="s">
        <v>39</v>
      </c>
      <c r="M958" s="4" t="s">
        <v>29</v>
      </c>
      <c r="N958" s="4" t="s">
        <v>6684</v>
      </c>
      <c r="O958" s="4" t="s">
        <v>29</v>
      </c>
      <c r="P958" s="4" t="s">
        <v>6685</v>
      </c>
      <c r="Q958" s="6"/>
      <c r="R958" s="6"/>
      <c r="S958" s="6"/>
      <c r="T958" s="6"/>
      <c r="U958" s="6"/>
      <c r="V958" s="6"/>
      <c r="W958" s="6"/>
      <c r="X958" s="6"/>
      <c r="Y958" s="6"/>
    </row>
    <row r="959" ht="14.25">
      <c r="B959" s="4" t="s">
        <v>1667</v>
      </c>
      <c r="C959" s="4" t="s">
        <v>4613</v>
      </c>
      <c r="D959" s="4" t="s">
        <v>172</v>
      </c>
      <c r="E959" s="4" t="s">
        <v>4614</v>
      </c>
      <c r="F959" s="4" t="s">
        <v>4615</v>
      </c>
      <c r="G959" s="4">
        <v>52</v>
      </c>
      <c r="H959" s="4" t="s">
        <v>25</v>
      </c>
      <c r="I959" s="4" t="str">
        <f>IFERROR(__XLUDF.DUMMYFUNCTION("VLOOKUP(G53,IMPORTRANGE(""https://docs.google.com/spreadsheets/d/1opm6ZNvGZ7KditA9TuJwrZ25eFLfTNIkrNnY6mhV5Eg"",""list!A1:C115""),3,TRUE)"),"le secteur de l'hôtellerie")</f>
        <v xml:space="preserve">le secteur de l'hôtellerie</v>
      </c>
      <c r="J959" s="5" t="s">
        <v>4616</v>
      </c>
      <c r="K959" s="5" t="s">
        <v>6686</v>
      </c>
      <c r="L959" s="4" t="s">
        <v>49</v>
      </c>
      <c r="M959" s="4" t="s">
        <v>29</v>
      </c>
      <c r="N959" s="4" t="s">
        <v>4618</v>
      </c>
      <c r="O959" s="4" t="s">
        <v>29</v>
      </c>
      <c r="P959" s="4" t="s">
        <v>4619</v>
      </c>
      <c r="Q959" s="6"/>
      <c r="R959" s="6"/>
      <c r="S959" s="6"/>
      <c r="T959" s="6"/>
      <c r="U959" s="6"/>
      <c r="V959" s="6"/>
      <c r="W959" s="6"/>
      <c r="X959" s="6"/>
      <c r="Y959" s="6"/>
    </row>
    <row r="960" ht="14.25">
      <c r="B960" s="4" t="s">
        <v>4012</v>
      </c>
      <c r="C960" s="4" t="s">
        <v>5513</v>
      </c>
      <c r="D960" s="4" t="s">
        <v>426</v>
      </c>
      <c r="E960" s="4" t="s">
        <v>6687</v>
      </c>
      <c r="F960" s="4" t="s">
        <v>6688</v>
      </c>
      <c r="G960" s="4">
        <v>57</v>
      </c>
      <c r="H960" s="4" t="s">
        <v>25</v>
      </c>
      <c r="I960" s="4" t="str">
        <f>IFERROR(__XLUDF.DUMMYFUNCTION("VLOOKUP(G54,IMPORTRANGE(""https://docs.google.com/spreadsheets/d/1opm6ZNvGZ7KditA9TuJwrZ25eFLfTNIkrNnY6mhV5Eg"",""list!A1:C115""),3,TRUE)"),"le secteur de l'hôtellerie")</f>
        <v xml:space="preserve">le secteur de l'hôtellerie</v>
      </c>
      <c r="J960" s="5" t="s">
        <v>6689</v>
      </c>
      <c r="K960" s="5" t="s">
        <v>6690</v>
      </c>
      <c r="L960" s="4" t="s">
        <v>6691</v>
      </c>
      <c r="M960" s="4" t="s">
        <v>29</v>
      </c>
      <c r="N960" s="4" t="s">
        <v>6692</v>
      </c>
      <c r="O960" s="4" t="s">
        <v>29</v>
      </c>
      <c r="P960" s="4" t="s">
        <v>6693</v>
      </c>
      <c r="Q960" s="6"/>
      <c r="R960" s="6"/>
      <c r="S960" s="6"/>
      <c r="T960" s="6"/>
      <c r="U960" s="6"/>
      <c r="V960" s="6"/>
      <c r="W960" s="6"/>
      <c r="X960" s="6"/>
      <c r="Y960" s="6"/>
    </row>
    <row r="961" ht="14.25">
      <c r="B961" s="4" t="s">
        <v>222</v>
      </c>
      <c r="C961" s="4" t="s">
        <v>6694</v>
      </c>
      <c r="D961" s="4" t="s">
        <v>6695</v>
      </c>
      <c r="E961" s="4" t="s">
        <v>6696</v>
      </c>
      <c r="F961" s="4" t="s">
        <v>6697</v>
      </c>
      <c r="G961" s="4">
        <v>440</v>
      </c>
      <c r="H961" s="4" t="s">
        <v>25</v>
      </c>
      <c r="I961" s="4" t="str">
        <f>IFERROR(__XLUDF.DUMMYFUNCTION("VLOOKUP(G55,IMPORTRANGE(""https://docs.google.com/spreadsheets/d/1opm6ZNvGZ7KditA9TuJwrZ25eFLfTNIkrNnY6mhV5Eg"",""list!A1:C115""),3,TRUE)"),"le secteur de l'hôtellerie")</f>
        <v xml:space="preserve">le secteur de l'hôtellerie</v>
      </c>
      <c r="J961" s="5" t="s">
        <v>6698</v>
      </c>
      <c r="K961" s="5" t="s">
        <v>6699</v>
      </c>
      <c r="L961" s="4" t="s">
        <v>492</v>
      </c>
      <c r="M961" s="4" t="s">
        <v>29</v>
      </c>
      <c r="N961" s="4" t="s">
        <v>6700</v>
      </c>
      <c r="O961" s="4" t="s">
        <v>29</v>
      </c>
      <c r="P961" s="7"/>
      <c r="Q961" s="6"/>
      <c r="R961" s="6"/>
      <c r="S961" s="6"/>
      <c r="T961" s="6"/>
      <c r="U961" s="6"/>
      <c r="V961" s="6"/>
      <c r="W961" s="6"/>
      <c r="X961" s="6"/>
      <c r="Y961" s="6"/>
    </row>
    <row r="962" ht="14.25">
      <c r="B962" s="4" t="s">
        <v>245</v>
      </c>
      <c r="C962" s="4" t="s">
        <v>6701</v>
      </c>
      <c r="D962" s="4" t="s">
        <v>672</v>
      </c>
      <c r="E962" s="4" t="s">
        <v>6702</v>
      </c>
      <c r="F962" s="4" t="s">
        <v>6703</v>
      </c>
      <c r="G962" s="4">
        <v>210</v>
      </c>
      <c r="H962" s="4" t="s">
        <v>25</v>
      </c>
      <c r="I962" s="4" t="str">
        <f>IFERROR(__XLUDF.DUMMYFUNCTION("VLOOKUP(G56,IMPORTRANGE(""https://docs.google.com/spreadsheets/d/1opm6ZNvGZ7KditA9TuJwrZ25eFLfTNIkrNnY6mhV5Eg"",""list!A1:C115""),3,TRUE)"),"le secteur de l'hôtellerie")</f>
        <v xml:space="preserve">le secteur de l'hôtellerie</v>
      </c>
      <c r="J962" s="5" t="s">
        <v>6704</v>
      </c>
      <c r="K962" s="5" t="s">
        <v>6705</v>
      </c>
      <c r="L962" s="4" t="s">
        <v>39</v>
      </c>
      <c r="M962" s="4" t="s">
        <v>29</v>
      </c>
      <c r="N962" s="4" t="s">
        <v>6706</v>
      </c>
      <c r="O962" s="4" t="s">
        <v>1261</v>
      </c>
      <c r="P962" s="4" t="s">
        <v>6707</v>
      </c>
      <c r="Q962" s="6"/>
      <c r="R962" s="6"/>
      <c r="S962" s="6"/>
      <c r="T962" s="6"/>
      <c r="U962" s="6"/>
      <c r="V962" s="6"/>
      <c r="W962" s="6"/>
      <c r="X962" s="6"/>
      <c r="Y962" s="6"/>
    </row>
    <row r="963" ht="14.25">
      <c r="B963" s="4" t="s">
        <v>1153</v>
      </c>
      <c r="C963" s="4" t="s">
        <v>6708</v>
      </c>
      <c r="D963" s="4" t="s">
        <v>1950</v>
      </c>
      <c r="E963" s="4" t="s">
        <v>6709</v>
      </c>
      <c r="F963" s="4" t="s">
        <v>6710</v>
      </c>
      <c r="G963" s="4">
        <v>440</v>
      </c>
      <c r="H963" s="4" t="s">
        <v>25</v>
      </c>
      <c r="I963" s="4" t="str">
        <f>IFERROR(__XLUDF.DUMMYFUNCTION("VLOOKUP(G57,IMPORTRANGE(""https://docs.google.com/spreadsheets/d/1opm6ZNvGZ7KditA9TuJwrZ25eFLfTNIkrNnY6mhV5Eg"",""list!A1:C115""),3,TRUE)"),"le secteur de l'hôtellerie")</f>
        <v xml:space="preserve">le secteur de l'hôtellerie</v>
      </c>
      <c r="J963" s="5" t="s">
        <v>6711</v>
      </c>
      <c r="K963" s="5" t="s">
        <v>6712</v>
      </c>
      <c r="L963" s="4" t="s">
        <v>6713</v>
      </c>
      <c r="M963" s="4" t="s">
        <v>29</v>
      </c>
      <c r="N963" s="4" t="s">
        <v>6714</v>
      </c>
      <c r="O963" s="4" t="s">
        <v>6715</v>
      </c>
      <c r="P963" s="4" t="s">
        <v>6716</v>
      </c>
      <c r="Q963" s="6"/>
      <c r="R963" s="6"/>
      <c r="S963" s="6"/>
      <c r="T963" s="6"/>
      <c r="U963" s="6"/>
      <c r="V963" s="6"/>
      <c r="W963" s="6"/>
      <c r="X963" s="6"/>
      <c r="Y963" s="6"/>
    </row>
    <row r="964" ht="14.25">
      <c r="B964" s="4" t="s">
        <v>604</v>
      </c>
      <c r="C964" s="4" t="s">
        <v>6717</v>
      </c>
      <c r="D964" s="4" t="s">
        <v>172</v>
      </c>
      <c r="E964" s="4" t="s">
        <v>6718</v>
      </c>
      <c r="F964" s="4" t="s">
        <v>6719</v>
      </c>
      <c r="G964" s="4">
        <v>72</v>
      </c>
      <c r="H964" s="4" t="s">
        <v>25</v>
      </c>
      <c r="I964" s="4" t="str">
        <f>IFERROR(__XLUDF.DUMMYFUNCTION("VLOOKUP(G58,IMPORTRANGE(""https://docs.google.com/spreadsheets/d/1opm6ZNvGZ7KditA9TuJwrZ25eFLfTNIkrNnY6mhV5Eg"",""list!A1:C115""),3,TRUE)"),"le secteur de l'hôtellerie")</f>
        <v xml:space="preserve">le secteur de l'hôtellerie</v>
      </c>
      <c r="J964" s="5" t="s">
        <v>6720</v>
      </c>
      <c r="K964" s="5" t="s">
        <v>6721</v>
      </c>
      <c r="L964" s="4" t="s">
        <v>6603</v>
      </c>
      <c r="M964" s="4" t="s">
        <v>29</v>
      </c>
      <c r="N964" s="4" t="s">
        <v>6722</v>
      </c>
      <c r="O964" s="4" t="s">
        <v>29</v>
      </c>
      <c r="P964" s="4" t="s">
        <v>6723</v>
      </c>
      <c r="Q964" s="6"/>
      <c r="R964" s="6"/>
      <c r="S964" s="6"/>
      <c r="T964" s="6"/>
      <c r="U964" s="6"/>
      <c r="V964" s="6"/>
      <c r="W964" s="6"/>
      <c r="X964" s="6"/>
      <c r="Y964" s="6"/>
    </row>
    <row r="965" ht="14.25">
      <c r="B965" s="4" t="s">
        <v>1153</v>
      </c>
      <c r="C965" s="4" t="s">
        <v>6724</v>
      </c>
      <c r="D965" s="4" t="s">
        <v>6725</v>
      </c>
      <c r="E965" s="4" t="s">
        <v>6696</v>
      </c>
      <c r="F965" s="4" t="s">
        <v>6726</v>
      </c>
      <c r="G965" s="4">
        <v>440</v>
      </c>
      <c r="H965" s="4" t="s">
        <v>25</v>
      </c>
      <c r="I965" s="4" t="str">
        <f>IFERROR(__XLUDF.DUMMYFUNCTION("VLOOKUP(G59,IMPORTRANGE(""https://docs.google.com/spreadsheets/d/1opm6ZNvGZ7KditA9TuJwrZ25eFLfTNIkrNnY6mhV5Eg"",""list!A1:C115""),3,TRUE)"),"le secteur de l'hôtellerie")</f>
        <v xml:space="preserve">le secteur de l'hôtellerie</v>
      </c>
      <c r="J965" s="5" t="s">
        <v>6727</v>
      </c>
      <c r="K965" s="5" t="s">
        <v>6699</v>
      </c>
      <c r="L965" s="4" t="s">
        <v>295</v>
      </c>
      <c r="M965" s="4" t="s">
        <v>29</v>
      </c>
      <c r="N965" s="4" t="s">
        <v>6700</v>
      </c>
      <c r="O965" s="4" t="s">
        <v>29</v>
      </c>
      <c r="P965" s="7"/>
      <c r="Q965" s="6"/>
      <c r="R965" s="6"/>
      <c r="S965" s="6"/>
      <c r="T965" s="6"/>
      <c r="U965" s="6"/>
      <c r="V965" s="6"/>
      <c r="W965" s="6"/>
      <c r="X965" s="6"/>
      <c r="Y965" s="6"/>
    </row>
    <row r="966" ht="14.25">
      <c r="B966" s="4" t="s">
        <v>1153</v>
      </c>
      <c r="C966" s="4" t="s">
        <v>6728</v>
      </c>
      <c r="D966" s="4" t="s">
        <v>688</v>
      </c>
      <c r="E966" s="5" t="s">
        <v>6729</v>
      </c>
      <c r="F966" s="4" t="s">
        <v>6730</v>
      </c>
      <c r="G966" s="4">
        <v>99</v>
      </c>
      <c r="H966" s="4" t="s">
        <v>25</v>
      </c>
      <c r="I966" s="4" t="str">
        <f>IFERROR(__XLUDF.DUMMYFUNCTION("VLOOKUP(G60,IMPORTRANGE(""https://docs.google.com/spreadsheets/d/1opm6ZNvGZ7KditA9TuJwrZ25eFLfTNIkrNnY6mhV5Eg"",""list!A1:C115""),3,TRUE)"),"le secteur de l'hôtellerie")</f>
        <v xml:space="preserve">le secteur de l'hôtellerie</v>
      </c>
      <c r="J966" s="5" t="s">
        <v>6731</v>
      </c>
      <c r="K966" s="5" t="s">
        <v>6732</v>
      </c>
      <c r="L966" s="4" t="s">
        <v>39</v>
      </c>
      <c r="M966" s="4" t="s">
        <v>29</v>
      </c>
      <c r="N966" s="4" t="s">
        <v>6733</v>
      </c>
      <c r="O966" s="4" t="s">
        <v>29</v>
      </c>
      <c r="P966" s="4" t="s">
        <v>6734</v>
      </c>
      <c r="Q966" s="6"/>
      <c r="R966" s="6"/>
      <c r="S966" s="6"/>
      <c r="T966" s="6"/>
      <c r="U966" s="6"/>
      <c r="V966" s="6"/>
      <c r="W966" s="6"/>
      <c r="X966" s="6"/>
      <c r="Y966" s="6"/>
    </row>
    <row r="967" ht="14.25">
      <c r="B967" s="4" t="s">
        <v>6735</v>
      </c>
      <c r="C967" s="4" t="s">
        <v>6736</v>
      </c>
      <c r="D967" s="4" t="s">
        <v>164</v>
      </c>
      <c r="E967" s="4" t="s">
        <v>6737</v>
      </c>
      <c r="F967" s="4" t="s">
        <v>6738</v>
      </c>
      <c r="G967" s="4">
        <v>62</v>
      </c>
      <c r="H967" s="4" t="s">
        <v>25</v>
      </c>
      <c r="I967" s="4" t="str">
        <f>IFERROR(__XLUDF.DUMMYFUNCTION("VLOOKUP(G61,IMPORTRANGE(""https://docs.google.com/spreadsheets/d/1opm6ZNvGZ7KditA9TuJwrZ25eFLfTNIkrNnY6mhV5Eg"",""list!A1:C115""),3,TRUE)"),"le secteur de l'hôtellerie")</f>
        <v xml:space="preserve">le secteur de l'hôtellerie</v>
      </c>
      <c r="J967" s="5" t="s">
        <v>6739</v>
      </c>
      <c r="K967" s="5" t="s">
        <v>6740</v>
      </c>
      <c r="L967" s="4" t="s">
        <v>6741</v>
      </c>
      <c r="M967" s="4" t="s">
        <v>29</v>
      </c>
      <c r="N967" s="4" t="s">
        <v>6742</v>
      </c>
      <c r="O967" s="4" t="s">
        <v>29</v>
      </c>
      <c r="P967" s="4" t="s">
        <v>6743</v>
      </c>
      <c r="Q967" s="6"/>
      <c r="R967" s="6"/>
      <c r="S967" s="6"/>
      <c r="T967" s="6"/>
      <c r="U967" s="6"/>
      <c r="V967" s="6"/>
      <c r="W967" s="6"/>
      <c r="X967" s="6"/>
      <c r="Y967" s="6"/>
    </row>
    <row r="968" ht="14.25">
      <c r="B968" s="4" t="s">
        <v>6744</v>
      </c>
      <c r="C968" s="4" t="s">
        <v>6745</v>
      </c>
      <c r="D968" s="4" t="s">
        <v>112</v>
      </c>
      <c r="E968" s="4" t="s">
        <v>6746</v>
      </c>
      <c r="F968" s="4" t="s">
        <v>6747</v>
      </c>
      <c r="G968" s="4">
        <v>88</v>
      </c>
      <c r="H968" s="4" t="s">
        <v>25</v>
      </c>
      <c r="I968" s="4" t="str">
        <f>IFERROR(__XLUDF.DUMMYFUNCTION("VLOOKUP(G62,IMPORTRANGE(""https://docs.google.com/spreadsheets/d/1opm6ZNvGZ7KditA9TuJwrZ25eFLfTNIkrNnY6mhV5Eg"",""list!A1:C115""),3,TRUE)"),"le secteur de l'hôtellerie")</f>
        <v xml:space="preserve">le secteur de l'hôtellerie</v>
      </c>
      <c r="J968" s="5" t="s">
        <v>6748</v>
      </c>
      <c r="K968" s="5" t="s">
        <v>6749</v>
      </c>
      <c r="L968" s="4" t="s">
        <v>1711</v>
      </c>
      <c r="M968" s="4" t="s">
        <v>29</v>
      </c>
      <c r="N968" s="4" t="s">
        <v>6750</v>
      </c>
      <c r="O968" s="4" t="s">
        <v>29</v>
      </c>
      <c r="P968" s="4" t="s">
        <v>6751</v>
      </c>
      <c r="Q968" s="6"/>
      <c r="R968" s="6"/>
      <c r="S968" s="6"/>
      <c r="T968" s="6"/>
      <c r="U968" s="6"/>
      <c r="V968" s="6"/>
      <c r="W968" s="6"/>
      <c r="X968" s="6"/>
      <c r="Y968" s="6"/>
    </row>
    <row r="969" ht="14.25">
      <c r="B969" s="4" t="s">
        <v>1562</v>
      </c>
      <c r="C969" s="4" t="s">
        <v>6752</v>
      </c>
      <c r="D969" s="4" t="s">
        <v>172</v>
      </c>
      <c r="E969" s="4" t="s">
        <v>6753</v>
      </c>
      <c r="F969" s="4" t="s">
        <v>6754</v>
      </c>
      <c r="G969" s="4">
        <v>98</v>
      </c>
      <c r="H969" s="4" t="s">
        <v>25</v>
      </c>
      <c r="I969" s="4" t="str">
        <f>IFERROR(__XLUDF.DUMMYFUNCTION("VLOOKUP(G63,IMPORTRANGE(""https://docs.google.com/spreadsheets/d/1opm6ZNvGZ7KditA9TuJwrZ25eFLfTNIkrNnY6mhV5Eg"",""list!A1:C115""),3,TRUE)"),"le secteur de l'hôtellerie")</f>
        <v xml:space="preserve">le secteur de l'hôtellerie</v>
      </c>
      <c r="J969" s="5" t="s">
        <v>6755</v>
      </c>
      <c r="K969" s="5" t="s">
        <v>6756</v>
      </c>
      <c r="L969" s="4" t="s">
        <v>6757</v>
      </c>
      <c r="M969" s="4" t="s">
        <v>29</v>
      </c>
      <c r="N969" s="4" t="s">
        <v>6758</v>
      </c>
      <c r="O969" s="4" t="s">
        <v>29</v>
      </c>
      <c r="P969" s="4" t="s">
        <v>6759</v>
      </c>
      <c r="Q969" s="6"/>
      <c r="R969" s="6"/>
      <c r="S969" s="6"/>
      <c r="T969" s="6"/>
      <c r="U969" s="6"/>
      <c r="V969" s="6"/>
      <c r="W969" s="6"/>
      <c r="X969" s="6"/>
      <c r="Y969" s="6"/>
    </row>
    <row r="970" ht="14.25">
      <c r="B970" s="4" t="s">
        <v>808</v>
      </c>
      <c r="C970" s="4" t="s">
        <v>6760</v>
      </c>
      <c r="D970" s="4" t="s">
        <v>1130</v>
      </c>
      <c r="E970" s="4" t="s">
        <v>6761</v>
      </c>
      <c r="F970" s="4" t="s">
        <v>6762</v>
      </c>
      <c r="G970" s="4">
        <v>70</v>
      </c>
      <c r="H970" s="4" t="s">
        <v>25</v>
      </c>
      <c r="I970" s="4" t="str">
        <f>IFERROR(__XLUDF.DUMMYFUNCTION("VLOOKUP(G64,IMPORTRANGE(""https://docs.google.com/spreadsheets/d/1opm6ZNvGZ7KditA9TuJwrZ25eFLfTNIkrNnY6mhV5Eg"",""list!A1:C115""),3,TRUE)"),"le secteur de l'hôtellerie")</f>
        <v xml:space="preserve">le secteur de l'hôtellerie</v>
      </c>
      <c r="J970" s="5" t="s">
        <v>6763</v>
      </c>
      <c r="K970" s="5" t="s">
        <v>6764</v>
      </c>
      <c r="L970" s="4" t="s">
        <v>185</v>
      </c>
      <c r="M970" s="4" t="s">
        <v>29</v>
      </c>
      <c r="N970" s="4" t="s">
        <v>1283</v>
      </c>
      <c r="O970" s="4" t="s">
        <v>29</v>
      </c>
      <c r="P970" s="4" t="s">
        <v>6765</v>
      </c>
      <c r="Q970" s="6"/>
      <c r="R970" s="6"/>
      <c r="S970" s="6"/>
      <c r="T970" s="6"/>
      <c r="U970" s="6"/>
      <c r="V970" s="6"/>
      <c r="W970" s="6"/>
      <c r="X970" s="6"/>
      <c r="Y970" s="6"/>
    </row>
    <row r="971" ht="14.25">
      <c r="B971" s="4" t="s">
        <v>1562</v>
      </c>
      <c r="C971" s="4" t="s">
        <v>6766</v>
      </c>
      <c r="D971" s="4" t="s">
        <v>230</v>
      </c>
      <c r="E971" s="4" t="s">
        <v>6767</v>
      </c>
      <c r="F971" s="4" t="s">
        <v>6768</v>
      </c>
      <c r="G971" s="4">
        <v>77</v>
      </c>
      <c r="H971" s="4" t="s">
        <v>25</v>
      </c>
      <c r="I971" s="4" t="str">
        <f>IFERROR(__XLUDF.DUMMYFUNCTION("VLOOKUP(G65,IMPORTRANGE(""https://docs.google.com/spreadsheets/d/1opm6ZNvGZ7KditA9TuJwrZ25eFLfTNIkrNnY6mhV5Eg"",""list!A1:C115""),3,TRUE)"),"le secteur de l'hôtellerie")</f>
        <v xml:space="preserve">le secteur de l'hôtellerie</v>
      </c>
      <c r="J971" s="5" t="s">
        <v>6769</v>
      </c>
      <c r="K971" s="5" t="s">
        <v>6770</v>
      </c>
      <c r="L971" s="7"/>
      <c r="M971" s="4" t="s">
        <v>29</v>
      </c>
      <c r="N971" s="4" t="s">
        <v>6771</v>
      </c>
      <c r="O971" s="4" t="s">
        <v>29</v>
      </c>
      <c r="P971" s="7"/>
      <c r="Q971" s="6"/>
      <c r="R971" s="6"/>
      <c r="S971" s="6"/>
      <c r="T971" s="6"/>
      <c r="U971" s="6"/>
      <c r="V971" s="6"/>
      <c r="W971" s="6"/>
      <c r="X971" s="6"/>
      <c r="Y971" s="6"/>
    </row>
    <row r="972" ht="14.25">
      <c r="B972" s="4" t="s">
        <v>4177</v>
      </c>
      <c r="C972" s="4" t="s">
        <v>6772</v>
      </c>
      <c r="D972" s="4" t="s">
        <v>164</v>
      </c>
      <c r="E972" s="4" t="s">
        <v>6773</v>
      </c>
      <c r="F972" s="4" t="s">
        <v>6774</v>
      </c>
      <c r="G972" s="4">
        <v>120</v>
      </c>
      <c r="H972" s="4" t="s">
        <v>25</v>
      </c>
      <c r="I972" s="4" t="str">
        <f>IFERROR(__XLUDF.DUMMYFUNCTION("VLOOKUP(G66,IMPORTRANGE(""https://docs.google.com/spreadsheets/d/1opm6ZNvGZ7KditA9TuJwrZ25eFLfTNIkrNnY6mhV5Eg"",""list!A1:C115""),3,TRUE)"),"le secteur de l'hôtellerie")</f>
        <v xml:space="preserve">le secteur de l'hôtellerie</v>
      </c>
      <c r="J972" s="5" t="s">
        <v>6775</v>
      </c>
      <c r="K972" s="5" t="s">
        <v>6776</v>
      </c>
      <c r="L972" s="4" t="s">
        <v>6777</v>
      </c>
      <c r="M972" s="4" t="s">
        <v>29</v>
      </c>
      <c r="N972" s="4" t="s">
        <v>6778</v>
      </c>
      <c r="O972" s="4" t="s">
        <v>29</v>
      </c>
      <c r="P972" s="4" t="s">
        <v>6779</v>
      </c>
      <c r="Q972" s="6"/>
      <c r="R972" s="6"/>
      <c r="S972" s="6"/>
      <c r="T972" s="6"/>
      <c r="U972" s="6"/>
      <c r="V972" s="6"/>
      <c r="W972" s="6"/>
      <c r="X972" s="6"/>
      <c r="Y972" s="6"/>
    </row>
    <row r="973" ht="14.25">
      <c r="B973" s="4" t="s">
        <v>1562</v>
      </c>
      <c r="C973" s="4" t="s">
        <v>670</v>
      </c>
      <c r="D973" s="4" t="s">
        <v>87</v>
      </c>
      <c r="E973" s="4" t="s">
        <v>6680</v>
      </c>
      <c r="F973" s="4" t="s">
        <v>6780</v>
      </c>
      <c r="G973" s="4">
        <v>160</v>
      </c>
      <c r="H973" s="4" t="s">
        <v>25</v>
      </c>
      <c r="I973" s="4" t="str">
        <f>IFERROR(__XLUDF.DUMMYFUNCTION("VLOOKUP(G67,IMPORTRANGE(""https://docs.google.com/spreadsheets/d/1opm6ZNvGZ7KditA9TuJwrZ25eFLfTNIkrNnY6mhV5Eg"",""list!A1:C115""),3,TRUE)"),"le secteur de l'hôtellerie")</f>
        <v xml:space="preserve">le secteur de l'hôtellerie</v>
      </c>
      <c r="J973" s="5" t="s">
        <v>6781</v>
      </c>
      <c r="K973" s="5" t="s">
        <v>6683</v>
      </c>
      <c r="L973" s="4" t="s">
        <v>6603</v>
      </c>
      <c r="M973" s="4" t="s">
        <v>29</v>
      </c>
      <c r="N973" s="4" t="s">
        <v>6684</v>
      </c>
      <c r="O973" s="4" t="s">
        <v>29</v>
      </c>
      <c r="P973" s="4" t="s">
        <v>6685</v>
      </c>
      <c r="Q973" s="6"/>
      <c r="R973" s="6"/>
      <c r="S973" s="6"/>
      <c r="T973" s="6"/>
      <c r="U973" s="6"/>
      <c r="V973" s="6"/>
      <c r="W973" s="6"/>
      <c r="X973" s="6"/>
      <c r="Y973" s="6"/>
    </row>
    <row r="974" ht="14.25">
      <c r="B974" s="4" t="s">
        <v>808</v>
      </c>
      <c r="C974" s="4" t="s">
        <v>4004</v>
      </c>
      <c r="D974" s="4" t="s">
        <v>172</v>
      </c>
      <c r="E974" s="4" t="s">
        <v>6782</v>
      </c>
      <c r="F974" s="4" t="s">
        <v>6783</v>
      </c>
      <c r="G974" s="4">
        <v>64</v>
      </c>
      <c r="H974" s="4" t="s">
        <v>25</v>
      </c>
      <c r="I974" s="4" t="str">
        <f>IFERROR(__XLUDF.DUMMYFUNCTION("VLOOKUP(G68,IMPORTRANGE(""https://docs.google.com/spreadsheets/d/1opm6ZNvGZ7KditA9TuJwrZ25eFLfTNIkrNnY6mhV5Eg"",""list!A1:C115""),3,TRUE)"),"le secteur de l'hôtellerie")</f>
        <v xml:space="preserve">le secteur de l'hôtellerie</v>
      </c>
      <c r="J974" s="5" t="s">
        <v>6784</v>
      </c>
      <c r="K974" s="5" t="s">
        <v>6785</v>
      </c>
      <c r="L974" s="4" t="s">
        <v>185</v>
      </c>
      <c r="M974" s="4" t="s">
        <v>29</v>
      </c>
      <c r="N974" s="4" t="s">
        <v>125</v>
      </c>
      <c r="O974" s="4" t="s">
        <v>29</v>
      </c>
      <c r="P974" s="7"/>
      <c r="Q974" s="6"/>
      <c r="R974" s="6"/>
      <c r="S974" s="6"/>
      <c r="T974" s="6"/>
      <c r="U974" s="6"/>
      <c r="V974" s="6"/>
      <c r="W974" s="6"/>
      <c r="X974" s="6"/>
      <c r="Y974" s="6"/>
    </row>
    <row r="975" ht="14.25">
      <c r="B975" s="4" t="s">
        <v>1861</v>
      </c>
      <c r="C975" s="4" t="s">
        <v>1862</v>
      </c>
      <c r="D975" s="4" t="s">
        <v>1863</v>
      </c>
      <c r="E975" s="4" t="s">
        <v>664</v>
      </c>
      <c r="F975" s="4" t="s">
        <v>1864</v>
      </c>
      <c r="G975" s="4">
        <v>60</v>
      </c>
      <c r="H975" s="4" t="s">
        <v>25</v>
      </c>
      <c r="I975" s="4" t="str">
        <f>IFERROR(__XLUDF.DUMMYFUNCTION("VLOOKUP(G69,IMPORTRANGE(""https://docs.google.com/spreadsheets/d/1opm6ZNvGZ7KditA9TuJwrZ25eFLfTNIkrNnY6mhV5Eg"",""list!A1:C115""),3,TRUE)"),"le secteur de l'hôtellerie")</f>
        <v xml:space="preserve">le secteur de l'hôtellerie</v>
      </c>
      <c r="J975" s="5" t="s">
        <v>1865</v>
      </c>
      <c r="K975" s="5" t="s">
        <v>6786</v>
      </c>
      <c r="L975" s="4" t="s">
        <v>39</v>
      </c>
      <c r="M975" s="4" t="s">
        <v>29</v>
      </c>
      <c r="N975" s="4" t="s">
        <v>668</v>
      </c>
      <c r="O975" s="4" t="s">
        <v>29</v>
      </c>
      <c r="P975" s="4" t="s">
        <v>669</v>
      </c>
      <c r="Q975" s="6"/>
      <c r="R975" s="6"/>
      <c r="S975" s="6"/>
      <c r="T975" s="6"/>
      <c r="U975" s="6"/>
      <c r="V975" s="6"/>
      <c r="W975" s="6"/>
      <c r="X975" s="6"/>
      <c r="Y975" s="6"/>
    </row>
    <row r="976" ht="14.25">
      <c r="B976" s="4" t="s">
        <v>6787</v>
      </c>
      <c r="C976" s="4" t="s">
        <v>6788</v>
      </c>
      <c r="D976" s="4" t="s">
        <v>172</v>
      </c>
      <c r="E976" s="4" t="s">
        <v>6789</v>
      </c>
      <c r="F976" s="4" t="s">
        <v>6790</v>
      </c>
      <c r="G976" s="4">
        <v>340</v>
      </c>
      <c r="H976" s="4" t="s">
        <v>25</v>
      </c>
      <c r="I976" s="4" t="str">
        <f>IFERROR(__XLUDF.DUMMYFUNCTION("VLOOKUP(G70,IMPORTRANGE(""https://docs.google.com/spreadsheets/d/1opm6ZNvGZ7KditA9TuJwrZ25eFLfTNIkrNnY6mhV5Eg"",""list!A1:C115""),3,TRUE)"),"le secteur de l'hôtellerie")</f>
        <v xml:space="preserve">le secteur de l'hôtellerie</v>
      </c>
      <c r="J976" s="5" t="s">
        <v>6791</v>
      </c>
      <c r="K976" s="5" t="s">
        <v>6792</v>
      </c>
      <c r="L976" s="4" t="s">
        <v>6793</v>
      </c>
      <c r="M976" s="4" t="s">
        <v>29</v>
      </c>
      <c r="N976" s="4" t="s">
        <v>6794</v>
      </c>
      <c r="O976" s="4" t="s">
        <v>1261</v>
      </c>
      <c r="P976" s="7"/>
      <c r="Q976" s="6"/>
      <c r="R976" s="6"/>
      <c r="S976" s="6"/>
      <c r="T976" s="6"/>
      <c r="U976" s="6"/>
      <c r="V976" s="6"/>
      <c r="W976" s="6"/>
      <c r="X976" s="6"/>
      <c r="Y976" s="6"/>
    </row>
    <row r="977" ht="14.25">
      <c r="B977" s="4" t="s">
        <v>2932</v>
      </c>
      <c r="C977" s="4" t="s">
        <v>6795</v>
      </c>
      <c r="D977" s="4" t="s">
        <v>6796</v>
      </c>
      <c r="E977" s="4" t="s">
        <v>6797</v>
      </c>
      <c r="F977" s="4" t="s">
        <v>6798</v>
      </c>
      <c r="G977" s="4">
        <v>56</v>
      </c>
      <c r="H977" s="4" t="s">
        <v>25</v>
      </c>
      <c r="I977" s="4" t="str">
        <f>IFERROR(__XLUDF.DUMMYFUNCTION("VLOOKUP(G71,IMPORTRANGE(""https://docs.google.com/spreadsheets/d/1opm6ZNvGZ7KditA9TuJwrZ25eFLfTNIkrNnY6mhV5Eg"",""list!A1:C115""),3,TRUE)"),"le secteur de l'hôtellerie")</f>
        <v xml:space="preserve">le secteur de l'hôtellerie</v>
      </c>
      <c r="J977" s="5" t="s">
        <v>6799</v>
      </c>
      <c r="K977" s="5" t="s">
        <v>6800</v>
      </c>
      <c r="L977" s="4" t="s">
        <v>39</v>
      </c>
      <c r="M977" s="4" t="s">
        <v>29</v>
      </c>
      <c r="N977" s="4" t="s">
        <v>6801</v>
      </c>
      <c r="O977" s="4" t="s">
        <v>29</v>
      </c>
      <c r="P977" s="4" t="s">
        <v>6802</v>
      </c>
      <c r="Q977" s="6"/>
      <c r="R977" s="6"/>
      <c r="S977" s="6"/>
      <c r="T977" s="6"/>
      <c r="U977" s="6"/>
      <c r="V977" s="6"/>
      <c r="W977" s="6"/>
      <c r="X977" s="6"/>
      <c r="Y977" s="6"/>
    </row>
    <row r="978" ht="14.25">
      <c r="B978" s="4" t="s">
        <v>6788</v>
      </c>
      <c r="C978" s="4" t="s">
        <v>6803</v>
      </c>
      <c r="D978" s="4" t="s">
        <v>6804</v>
      </c>
      <c r="E978" s="4" t="s">
        <v>6805</v>
      </c>
      <c r="F978" s="4" t="s">
        <v>6806</v>
      </c>
      <c r="G978" s="4">
        <v>190</v>
      </c>
      <c r="H978" s="4" t="s">
        <v>25</v>
      </c>
      <c r="I978" s="4" t="str">
        <f>IFERROR(__XLUDF.DUMMYFUNCTION("VLOOKUP(G72,IMPORTRANGE(""https://docs.google.com/spreadsheets/d/1opm6ZNvGZ7KditA9TuJwrZ25eFLfTNIkrNnY6mhV5Eg"",""list!A1:C115""),3,TRUE)"),"le secteur de l'hôtellerie")</f>
        <v xml:space="preserve">le secteur de l'hôtellerie</v>
      </c>
      <c r="J978" s="5" t="s">
        <v>6807</v>
      </c>
      <c r="K978" s="5" t="s">
        <v>6808</v>
      </c>
      <c r="L978" s="4" t="s">
        <v>39</v>
      </c>
      <c r="M978" s="4" t="s">
        <v>29</v>
      </c>
      <c r="N978" s="4" t="s">
        <v>6520</v>
      </c>
      <c r="O978" s="4" t="s">
        <v>29</v>
      </c>
      <c r="P978" s="4" t="s">
        <v>6809</v>
      </c>
      <c r="Q978" s="6"/>
      <c r="R978" s="6"/>
      <c r="S978" s="6"/>
      <c r="T978" s="6"/>
      <c r="U978" s="6"/>
      <c r="V978" s="6"/>
      <c r="W978" s="6"/>
      <c r="X978" s="6"/>
      <c r="Y978" s="6"/>
    </row>
    <row r="979" ht="14.25">
      <c r="B979" s="4" t="s">
        <v>6810</v>
      </c>
      <c r="C979" s="4" t="s">
        <v>6811</v>
      </c>
      <c r="D979" s="4" t="s">
        <v>6812</v>
      </c>
      <c r="E979" s="4" t="s">
        <v>6577</v>
      </c>
      <c r="F979" s="4" t="s">
        <v>6813</v>
      </c>
      <c r="G979" s="4">
        <v>62</v>
      </c>
      <c r="H979" s="4" t="s">
        <v>25</v>
      </c>
      <c r="I979" s="4" t="str">
        <f>IFERROR(__XLUDF.DUMMYFUNCTION("VLOOKUP(G73,IMPORTRANGE(""https://docs.google.com/spreadsheets/d/1opm6ZNvGZ7KditA9TuJwrZ25eFLfTNIkrNnY6mhV5Eg"",""list!A1:C115""),3,TRUE)"),"le secteur de l'hôtellerie")</f>
        <v xml:space="preserve">le secteur de l'hôtellerie</v>
      </c>
      <c r="J979" s="5" t="s">
        <v>6814</v>
      </c>
      <c r="K979" s="5" t="s">
        <v>6580</v>
      </c>
      <c r="L979" s="4" t="s">
        <v>39</v>
      </c>
      <c r="M979" s="4" t="s">
        <v>29</v>
      </c>
      <c r="N979" s="4" t="s">
        <v>6581</v>
      </c>
      <c r="O979" s="4" t="s">
        <v>29</v>
      </c>
      <c r="P979" s="4" t="s">
        <v>6582</v>
      </c>
      <c r="Q979" s="6"/>
      <c r="R979" s="6"/>
      <c r="S979" s="6"/>
      <c r="T979" s="6"/>
      <c r="U979" s="6"/>
      <c r="V979" s="6"/>
      <c r="W979" s="6"/>
      <c r="X979" s="6"/>
      <c r="Y979" s="6"/>
    </row>
    <row r="980" ht="14.25">
      <c r="B980" s="4" t="s">
        <v>2372</v>
      </c>
      <c r="C980" s="4" t="s">
        <v>6815</v>
      </c>
      <c r="D980" s="4" t="s">
        <v>4586</v>
      </c>
      <c r="E980" s="4" t="s">
        <v>6816</v>
      </c>
      <c r="F980" s="4" t="s">
        <v>6817</v>
      </c>
      <c r="G980" s="4">
        <v>56</v>
      </c>
      <c r="H980" s="4" t="s">
        <v>25</v>
      </c>
      <c r="I980" s="4" t="str">
        <f>IFERROR(__XLUDF.DUMMYFUNCTION("VLOOKUP(G74,IMPORTRANGE(""https://docs.google.com/spreadsheets/d/1opm6ZNvGZ7KditA9TuJwrZ25eFLfTNIkrNnY6mhV5Eg"",""list!A1:C115""),3,TRUE)"),"le secteur de l'hôtellerie")</f>
        <v xml:space="preserve">le secteur de l'hôtellerie</v>
      </c>
      <c r="J980" s="5" t="s">
        <v>6818</v>
      </c>
      <c r="K980" s="5" t="s">
        <v>6819</v>
      </c>
      <c r="L980" s="4" t="s">
        <v>185</v>
      </c>
      <c r="M980" s="4" t="s">
        <v>29</v>
      </c>
      <c r="N980" s="4" t="s">
        <v>6820</v>
      </c>
      <c r="O980" s="4" t="s">
        <v>29</v>
      </c>
      <c r="P980" s="4" t="s">
        <v>6821</v>
      </c>
      <c r="Q980" s="6"/>
      <c r="R980" s="6"/>
      <c r="S980" s="6"/>
      <c r="T980" s="6"/>
      <c r="U980" s="6"/>
      <c r="V980" s="6"/>
      <c r="W980" s="6"/>
      <c r="X980" s="6"/>
      <c r="Y980" s="6"/>
    </row>
    <row r="981" ht="14.25">
      <c r="B981" s="4" t="s">
        <v>6822</v>
      </c>
      <c r="C981" s="4" t="s">
        <v>6823</v>
      </c>
      <c r="D981" s="4" t="s">
        <v>172</v>
      </c>
      <c r="E981" s="4" t="s">
        <v>6824</v>
      </c>
      <c r="F981" s="4" t="s">
        <v>6825</v>
      </c>
      <c r="G981" s="4">
        <v>85</v>
      </c>
      <c r="H981" s="4" t="s">
        <v>25</v>
      </c>
      <c r="I981" s="4" t="str">
        <f>IFERROR(__XLUDF.DUMMYFUNCTION("VLOOKUP(G75,IMPORTRANGE(""https://docs.google.com/spreadsheets/d/1opm6ZNvGZ7KditA9TuJwrZ25eFLfTNIkrNnY6mhV5Eg"",""list!A1:C115""),3,TRUE)"),"le secteur de l'hôtellerie")</f>
        <v xml:space="preserve">le secteur de l'hôtellerie</v>
      </c>
      <c r="J981" s="5" t="s">
        <v>6826</v>
      </c>
      <c r="K981" s="5" t="s">
        <v>6827</v>
      </c>
      <c r="L981" s="4" t="s">
        <v>39</v>
      </c>
      <c r="M981" s="4" t="s">
        <v>29</v>
      </c>
      <c r="N981" s="4" t="s">
        <v>6828</v>
      </c>
      <c r="O981" s="4" t="s">
        <v>29</v>
      </c>
      <c r="P981" s="7"/>
      <c r="Q981" s="6"/>
      <c r="R981" s="6"/>
      <c r="S981" s="6"/>
      <c r="T981" s="6"/>
      <c r="U981" s="6"/>
      <c r="V981" s="6"/>
      <c r="W981" s="6"/>
      <c r="X981" s="6"/>
      <c r="Y981" s="6"/>
    </row>
    <row r="982" ht="14.25">
      <c r="B982" s="4" t="s">
        <v>679</v>
      </c>
      <c r="C982" s="4" t="s">
        <v>6829</v>
      </c>
      <c r="D982" s="4" t="s">
        <v>172</v>
      </c>
      <c r="E982" s="4" t="s">
        <v>6830</v>
      </c>
      <c r="F982" s="4" t="s">
        <v>6831</v>
      </c>
      <c r="G982" s="4">
        <v>57</v>
      </c>
      <c r="H982" s="4" t="s">
        <v>25</v>
      </c>
      <c r="I982" s="4" t="str">
        <f>IFERROR(__XLUDF.DUMMYFUNCTION("VLOOKUP(G76,IMPORTRANGE(""https://docs.google.com/spreadsheets/d/1opm6ZNvGZ7KditA9TuJwrZ25eFLfTNIkrNnY6mhV5Eg"",""list!A1:C115""),3,TRUE)"),"le secteur de l'hôtellerie")</f>
        <v xml:space="preserve">le secteur de l'hôtellerie</v>
      </c>
      <c r="J982" s="5" t="s">
        <v>6832</v>
      </c>
      <c r="K982" s="5" t="s">
        <v>6833</v>
      </c>
      <c r="L982" s="4" t="s">
        <v>39</v>
      </c>
      <c r="M982" s="4" t="s">
        <v>29</v>
      </c>
      <c r="N982" s="4" t="s">
        <v>6834</v>
      </c>
      <c r="O982" s="4" t="s">
        <v>29</v>
      </c>
      <c r="P982" s="4" t="s">
        <v>6835</v>
      </c>
      <c r="Q982" s="6"/>
      <c r="R982" s="6"/>
      <c r="S982" s="6"/>
      <c r="T982" s="6"/>
      <c r="U982" s="6"/>
      <c r="V982" s="6"/>
      <c r="W982" s="6"/>
      <c r="X982" s="6"/>
      <c r="Y982" s="6"/>
    </row>
    <row r="983" ht="14.25">
      <c r="B983" s="4" t="s">
        <v>6836</v>
      </c>
      <c r="C983" s="4" t="s">
        <v>6837</v>
      </c>
      <c r="D983" s="4" t="s">
        <v>103</v>
      </c>
      <c r="E983" s="4" t="s">
        <v>6838</v>
      </c>
      <c r="F983" s="4" t="s">
        <v>6839</v>
      </c>
      <c r="G983" s="4">
        <v>130</v>
      </c>
      <c r="H983" s="4" t="s">
        <v>25</v>
      </c>
      <c r="I983" s="4" t="str">
        <f>IFERROR(__XLUDF.DUMMYFUNCTION("VLOOKUP(G77,IMPORTRANGE(""https://docs.google.com/spreadsheets/d/1opm6ZNvGZ7KditA9TuJwrZ25eFLfTNIkrNnY6mhV5Eg"",""list!A1:C115""),3,TRUE)"),"le secteur de l'hôtellerie")</f>
        <v xml:space="preserve">le secteur de l'hôtellerie</v>
      </c>
      <c r="J983" s="5" t="s">
        <v>6840</v>
      </c>
      <c r="K983" s="5" t="s">
        <v>6841</v>
      </c>
      <c r="L983" s="4" t="s">
        <v>423</v>
      </c>
      <c r="M983" s="4" t="s">
        <v>29</v>
      </c>
      <c r="N983" s="4" t="s">
        <v>6842</v>
      </c>
      <c r="O983" s="4" t="s">
        <v>29</v>
      </c>
      <c r="P983" s="4" t="s">
        <v>6843</v>
      </c>
      <c r="Q983" s="6"/>
      <c r="R983" s="6"/>
      <c r="S983" s="6"/>
      <c r="T983" s="6"/>
      <c r="U983" s="6"/>
      <c r="V983" s="6"/>
      <c r="W983" s="6"/>
      <c r="X983" s="6"/>
      <c r="Y983" s="6"/>
    </row>
    <row r="984" ht="14.25">
      <c r="B984" s="4" t="s">
        <v>6844</v>
      </c>
      <c r="C984" s="4" t="s">
        <v>6845</v>
      </c>
      <c r="D984" s="4" t="s">
        <v>172</v>
      </c>
      <c r="E984" s="4" t="s">
        <v>6644</v>
      </c>
      <c r="F984" s="4" t="s">
        <v>6846</v>
      </c>
      <c r="G984" s="4">
        <v>270</v>
      </c>
      <c r="H984" s="4" t="s">
        <v>25</v>
      </c>
      <c r="I984" s="4" t="str">
        <f>IFERROR(__XLUDF.DUMMYFUNCTION("VLOOKUP(G78,IMPORTRANGE(""https://docs.google.com/spreadsheets/d/1opm6ZNvGZ7KditA9TuJwrZ25eFLfTNIkrNnY6mhV5Eg"",""list!A1:C115""),3,TRUE)"),"le secteur de l'hôtellerie")</f>
        <v xml:space="preserve">le secteur de l'hôtellerie</v>
      </c>
      <c r="J984" s="5" t="s">
        <v>6847</v>
      </c>
      <c r="K984" s="5" t="s">
        <v>6647</v>
      </c>
      <c r="L984" s="4" t="s">
        <v>6848</v>
      </c>
      <c r="M984" s="4" t="s">
        <v>29</v>
      </c>
      <c r="N984" s="4" t="s">
        <v>337</v>
      </c>
      <c r="O984" s="4" t="s">
        <v>29</v>
      </c>
      <c r="P984" s="4" t="s">
        <v>6648</v>
      </c>
      <c r="Q984" s="6"/>
      <c r="R984" s="6"/>
      <c r="S984" s="6"/>
      <c r="T984" s="6"/>
      <c r="U984" s="6"/>
      <c r="V984" s="6"/>
      <c r="W984" s="6"/>
      <c r="X984" s="6"/>
      <c r="Y984" s="6"/>
    </row>
    <row r="985" ht="14.25">
      <c r="B985" s="4" t="s">
        <v>6849</v>
      </c>
      <c r="C985" s="4" t="s">
        <v>6850</v>
      </c>
      <c r="D985" s="4" t="s">
        <v>6851</v>
      </c>
      <c r="E985" s="4" t="s">
        <v>6852</v>
      </c>
      <c r="F985" s="4" t="s">
        <v>6853</v>
      </c>
      <c r="G985" s="4">
        <v>260</v>
      </c>
      <c r="H985" s="4" t="s">
        <v>25</v>
      </c>
      <c r="I985" s="4" t="str">
        <f>IFERROR(__XLUDF.DUMMYFUNCTION("VLOOKUP(G79,IMPORTRANGE(""https://docs.google.com/spreadsheets/d/1opm6ZNvGZ7KditA9TuJwrZ25eFLfTNIkrNnY6mhV5Eg"",""list!A1:C115""),3,TRUE)"),"le secteur de l'hôtellerie")</f>
        <v xml:space="preserve">le secteur de l'hôtellerie</v>
      </c>
      <c r="J985" s="5" t="s">
        <v>6854</v>
      </c>
      <c r="K985" s="5" t="s">
        <v>6855</v>
      </c>
      <c r="L985" s="4" t="s">
        <v>39</v>
      </c>
      <c r="M985" s="4" t="s">
        <v>29</v>
      </c>
      <c r="N985" s="4" t="s">
        <v>6856</v>
      </c>
      <c r="O985" s="4" t="s">
        <v>29</v>
      </c>
      <c r="P985" s="4" t="s">
        <v>6857</v>
      </c>
      <c r="Q985" s="6"/>
      <c r="R985" s="6"/>
      <c r="S985" s="6"/>
      <c r="T985" s="6"/>
      <c r="U985" s="6"/>
      <c r="V985" s="6"/>
      <c r="W985" s="6"/>
      <c r="X985" s="6"/>
      <c r="Y985" s="6"/>
    </row>
    <row r="986" ht="14.25">
      <c r="B986" s="4" t="s">
        <v>5103</v>
      </c>
      <c r="C986" s="4" t="s">
        <v>6858</v>
      </c>
      <c r="D986" s="4" t="s">
        <v>164</v>
      </c>
      <c r="E986" s="4" t="s">
        <v>6859</v>
      </c>
      <c r="F986" s="4" t="s">
        <v>6860</v>
      </c>
      <c r="G986" s="4">
        <v>53</v>
      </c>
      <c r="H986" s="4" t="s">
        <v>25</v>
      </c>
      <c r="I986" s="4" t="str">
        <f>IFERROR(__XLUDF.DUMMYFUNCTION("VLOOKUP(G80,IMPORTRANGE(""https://docs.google.com/spreadsheets/d/1opm6ZNvGZ7KditA9TuJwrZ25eFLfTNIkrNnY6mhV5Eg"",""list!A1:C115""),3,TRUE)"),"le secteur de l'hôtellerie")</f>
        <v xml:space="preserve">le secteur de l'hôtellerie</v>
      </c>
      <c r="J986" s="5" t="s">
        <v>6861</v>
      </c>
      <c r="K986" s="5" t="s">
        <v>6862</v>
      </c>
      <c r="L986" s="4" t="s">
        <v>6863</v>
      </c>
      <c r="M986" s="4" t="s">
        <v>29</v>
      </c>
      <c r="N986" s="4" t="s">
        <v>6864</v>
      </c>
      <c r="O986" s="4" t="s">
        <v>29</v>
      </c>
      <c r="P986" s="4" t="s">
        <v>6865</v>
      </c>
      <c r="Q986" s="6"/>
      <c r="R986" s="6"/>
      <c r="S986" s="6"/>
      <c r="T986" s="6"/>
      <c r="U986" s="6"/>
      <c r="V986" s="6"/>
      <c r="W986" s="6"/>
      <c r="X986" s="6"/>
      <c r="Y986" s="6"/>
    </row>
    <row r="987" ht="14.25">
      <c r="B987" s="4" t="s">
        <v>2503</v>
      </c>
      <c r="C987" s="4" t="s">
        <v>6866</v>
      </c>
      <c r="D987" s="4" t="s">
        <v>172</v>
      </c>
      <c r="E987" s="4" t="s">
        <v>6789</v>
      </c>
      <c r="F987" s="4" t="s">
        <v>6867</v>
      </c>
      <c r="G987" s="4">
        <v>340</v>
      </c>
      <c r="H987" s="4" t="s">
        <v>25</v>
      </c>
      <c r="I987" s="4" t="str">
        <f>IFERROR(__XLUDF.DUMMYFUNCTION("VLOOKUP(G81,IMPORTRANGE(""https://docs.google.com/spreadsheets/d/1opm6ZNvGZ7KditA9TuJwrZ25eFLfTNIkrNnY6mhV5Eg"",""list!A1:C115""),3,TRUE)"),"le secteur de l'hôtellerie")</f>
        <v xml:space="preserve">le secteur de l'hôtellerie</v>
      </c>
      <c r="J987" s="5" t="s">
        <v>6868</v>
      </c>
      <c r="K987" s="5" t="s">
        <v>6792</v>
      </c>
      <c r="L987" s="7"/>
      <c r="M987" s="4" t="s">
        <v>29</v>
      </c>
      <c r="N987" s="4" t="s">
        <v>6794</v>
      </c>
      <c r="O987" s="4" t="s">
        <v>1261</v>
      </c>
      <c r="P987" s="7"/>
      <c r="Q987" s="6"/>
      <c r="R987" s="6"/>
      <c r="S987" s="6"/>
      <c r="T987" s="6"/>
      <c r="U987" s="6"/>
      <c r="V987" s="6"/>
      <c r="W987" s="6"/>
      <c r="X987" s="6"/>
      <c r="Y987" s="6"/>
    </row>
    <row r="988" ht="14.25">
      <c r="B988" s="4" t="s">
        <v>4811</v>
      </c>
      <c r="C988" s="4" t="s">
        <v>4812</v>
      </c>
      <c r="D988" s="4" t="s">
        <v>4813</v>
      </c>
      <c r="E988" s="4" t="s">
        <v>4814</v>
      </c>
      <c r="F988" s="4" t="s">
        <v>4815</v>
      </c>
      <c r="G988" s="4">
        <v>71</v>
      </c>
      <c r="H988" s="4" t="s">
        <v>25</v>
      </c>
      <c r="I988" s="4" t="str">
        <f>IFERROR(__XLUDF.DUMMYFUNCTION("VLOOKUP(G82,IMPORTRANGE(""https://docs.google.com/spreadsheets/d/1opm6ZNvGZ7KditA9TuJwrZ25eFLfTNIkrNnY6mhV5Eg"",""list!A1:C115""),3,TRUE)"),"le secteur de l'hôtellerie")</f>
        <v xml:space="preserve">le secteur de l'hôtellerie</v>
      </c>
      <c r="J988" s="5" t="s">
        <v>4816</v>
      </c>
      <c r="K988" s="5" t="s">
        <v>6869</v>
      </c>
      <c r="L988" s="7"/>
      <c r="M988" s="4" t="s">
        <v>29</v>
      </c>
      <c r="N988" s="4" t="s">
        <v>67</v>
      </c>
      <c r="O988" s="4" t="s">
        <v>29</v>
      </c>
      <c r="P988" s="4" t="s">
        <v>4818</v>
      </c>
      <c r="Q988" s="6"/>
      <c r="R988" s="6"/>
      <c r="S988" s="6"/>
      <c r="T988" s="6"/>
      <c r="U988" s="6"/>
      <c r="V988" s="6"/>
      <c r="W988" s="6"/>
      <c r="X988" s="6"/>
      <c r="Y988" s="6"/>
    </row>
    <row r="989" ht="14.25">
      <c r="B989" s="4" t="s">
        <v>1421</v>
      </c>
      <c r="C989" s="4" t="s">
        <v>3967</v>
      </c>
      <c r="D989" s="4" t="s">
        <v>87</v>
      </c>
      <c r="E989" s="4" t="s">
        <v>6870</v>
      </c>
      <c r="F989" s="4" t="s">
        <v>6871</v>
      </c>
      <c r="G989" s="4">
        <v>190</v>
      </c>
      <c r="H989" s="4" t="s">
        <v>25</v>
      </c>
      <c r="I989" s="4" t="str">
        <f>IFERROR(__XLUDF.DUMMYFUNCTION("VLOOKUP(G83,IMPORTRANGE(""https://docs.google.com/spreadsheets/d/1opm6ZNvGZ7KditA9TuJwrZ25eFLfTNIkrNnY6mhV5Eg"",""list!A1:C115""),3,TRUE)"),"le secteur de l'hôtellerie")</f>
        <v xml:space="preserve">le secteur de l'hôtellerie</v>
      </c>
      <c r="J989" s="5" t="s">
        <v>6872</v>
      </c>
      <c r="K989" s="5" t="s">
        <v>6873</v>
      </c>
      <c r="L989" s="4" t="s">
        <v>39</v>
      </c>
      <c r="M989" s="4" t="s">
        <v>29</v>
      </c>
      <c r="N989" s="4" t="s">
        <v>6874</v>
      </c>
      <c r="O989" s="4" t="s">
        <v>29</v>
      </c>
      <c r="P989" s="4" t="s">
        <v>6875</v>
      </c>
      <c r="Q989" s="6"/>
      <c r="R989" s="6"/>
      <c r="S989" s="6"/>
      <c r="T989" s="6"/>
      <c r="U989" s="6"/>
      <c r="V989" s="6"/>
      <c r="W989" s="6"/>
      <c r="X989" s="6"/>
      <c r="Y989" s="6"/>
    </row>
    <row r="990" ht="14.25">
      <c r="B990" s="4" t="s">
        <v>6876</v>
      </c>
      <c r="C990" s="4" t="s">
        <v>6877</v>
      </c>
      <c r="D990" s="4" t="s">
        <v>6878</v>
      </c>
      <c r="E990" s="4" t="s">
        <v>6879</v>
      </c>
      <c r="F990" s="4" t="s">
        <v>6880</v>
      </c>
      <c r="G990" s="4">
        <v>250</v>
      </c>
      <c r="H990" s="4" t="s">
        <v>25</v>
      </c>
      <c r="I990" s="4" t="str">
        <f>IFERROR(__XLUDF.DUMMYFUNCTION("VLOOKUP(G84,IMPORTRANGE(""https://docs.google.com/spreadsheets/d/1opm6ZNvGZ7KditA9TuJwrZ25eFLfTNIkrNnY6mhV5Eg"",""list!A1:C115""),3,TRUE)"),"le secteur de l'hôtellerie")</f>
        <v xml:space="preserve">le secteur de l'hôtellerie</v>
      </c>
      <c r="J990" s="5" t="s">
        <v>6881</v>
      </c>
      <c r="K990" s="5" t="s">
        <v>6882</v>
      </c>
      <c r="L990" s="4" t="s">
        <v>39</v>
      </c>
      <c r="M990" s="4" t="s">
        <v>29</v>
      </c>
      <c r="N990" s="4" t="s">
        <v>6883</v>
      </c>
      <c r="O990" s="4" t="s">
        <v>29</v>
      </c>
      <c r="P990" s="4" t="s">
        <v>6884</v>
      </c>
      <c r="Q990" s="6"/>
      <c r="R990" s="6"/>
      <c r="S990" s="6"/>
      <c r="T990" s="6"/>
      <c r="U990" s="6"/>
      <c r="V990" s="6"/>
      <c r="W990" s="6"/>
      <c r="X990" s="6"/>
      <c r="Y990" s="6"/>
    </row>
    <row r="991" ht="14.25">
      <c r="B991" s="4" t="s">
        <v>2436</v>
      </c>
      <c r="C991" s="4" t="s">
        <v>6885</v>
      </c>
      <c r="D991" s="4" t="s">
        <v>426</v>
      </c>
      <c r="E991" s="4" t="s">
        <v>6886</v>
      </c>
      <c r="F991" s="4" t="s">
        <v>6887</v>
      </c>
      <c r="G991" s="4">
        <v>98</v>
      </c>
      <c r="H991" s="4" t="s">
        <v>25</v>
      </c>
      <c r="I991" s="4" t="str">
        <f>IFERROR(__XLUDF.DUMMYFUNCTION("VLOOKUP(G85,IMPORTRANGE(""https://docs.google.com/spreadsheets/d/1opm6ZNvGZ7KditA9TuJwrZ25eFLfTNIkrNnY6mhV5Eg"",""list!A1:C115""),3,TRUE)"),"le secteur de l'hôtellerie")</f>
        <v xml:space="preserve">le secteur de l'hôtellerie</v>
      </c>
      <c r="J991" s="5" t="s">
        <v>6888</v>
      </c>
      <c r="K991" s="5" t="s">
        <v>6889</v>
      </c>
      <c r="L991" s="4" t="s">
        <v>39</v>
      </c>
      <c r="M991" s="4" t="s">
        <v>29</v>
      </c>
      <c r="N991" s="4" t="s">
        <v>6890</v>
      </c>
      <c r="O991" s="4" t="s">
        <v>29</v>
      </c>
      <c r="P991" s="7"/>
      <c r="Q991" s="6"/>
      <c r="R991" s="6"/>
      <c r="S991" s="6"/>
      <c r="T991" s="6"/>
      <c r="U991" s="6"/>
      <c r="V991" s="6"/>
      <c r="W991" s="6"/>
      <c r="X991" s="6"/>
      <c r="Y991" s="6"/>
    </row>
    <row r="992" ht="14.25">
      <c r="B992" s="4" t="s">
        <v>661</v>
      </c>
      <c r="C992" s="4" t="s">
        <v>6891</v>
      </c>
      <c r="D992" s="4" t="s">
        <v>6892</v>
      </c>
      <c r="E992" s="4" t="s">
        <v>6893</v>
      </c>
      <c r="F992" s="4" t="s">
        <v>6894</v>
      </c>
      <c r="G992" s="4">
        <v>200</v>
      </c>
      <c r="H992" s="4" t="s">
        <v>25</v>
      </c>
      <c r="I992" s="4" t="str">
        <f>IFERROR(__XLUDF.DUMMYFUNCTION("VLOOKUP(G86,IMPORTRANGE(""https://docs.google.com/spreadsheets/d/1opm6ZNvGZ7KditA9TuJwrZ25eFLfTNIkrNnY6mhV5Eg"",""list!A1:C115""),3,TRUE)"),"le secteur de l'hôtellerie")</f>
        <v xml:space="preserve">le secteur de l'hôtellerie</v>
      </c>
      <c r="J992" s="5" t="s">
        <v>6895</v>
      </c>
      <c r="K992" s="5" t="s">
        <v>6896</v>
      </c>
      <c r="L992" s="4" t="s">
        <v>6897</v>
      </c>
      <c r="M992" s="4" t="s">
        <v>29</v>
      </c>
      <c r="N992" s="4" t="s">
        <v>6898</v>
      </c>
      <c r="O992" s="4" t="s">
        <v>29</v>
      </c>
      <c r="P992" s="4" t="s">
        <v>6899</v>
      </c>
      <c r="Q992" s="6"/>
      <c r="R992" s="6"/>
      <c r="S992" s="6"/>
      <c r="T992" s="6"/>
      <c r="U992" s="6"/>
      <c r="V992" s="6"/>
      <c r="W992" s="6"/>
      <c r="X992" s="6"/>
      <c r="Y992" s="6"/>
    </row>
    <row r="993" ht="14.25">
      <c r="B993" s="4" t="s">
        <v>769</v>
      </c>
      <c r="C993" s="4" t="s">
        <v>6900</v>
      </c>
      <c r="D993" s="4" t="s">
        <v>1130</v>
      </c>
      <c r="E993" s="4" t="s">
        <v>6901</v>
      </c>
      <c r="F993" s="4" t="s">
        <v>6902</v>
      </c>
      <c r="G993" s="4">
        <v>98</v>
      </c>
      <c r="H993" s="4" t="s">
        <v>25</v>
      </c>
      <c r="I993" s="4" t="str">
        <f>IFERROR(__XLUDF.DUMMYFUNCTION("VLOOKUP(G87,IMPORTRANGE(""https://docs.google.com/spreadsheets/d/1opm6ZNvGZ7KditA9TuJwrZ25eFLfTNIkrNnY6mhV5Eg"",""list!A1:C115""),3,TRUE)"),"le secteur de l'hôtellerie")</f>
        <v xml:space="preserve">le secteur de l'hôtellerie</v>
      </c>
      <c r="J993" s="5" t="s">
        <v>6903</v>
      </c>
      <c r="K993" s="5" t="s">
        <v>6904</v>
      </c>
      <c r="L993" s="4" t="s">
        <v>295</v>
      </c>
      <c r="M993" s="4" t="s">
        <v>29</v>
      </c>
      <c r="N993" s="4" t="s">
        <v>6905</v>
      </c>
      <c r="O993" s="4" t="s">
        <v>29</v>
      </c>
      <c r="P993" s="4" t="s">
        <v>6906</v>
      </c>
      <c r="Q993" s="6"/>
      <c r="R993" s="6"/>
      <c r="S993" s="6"/>
      <c r="T993" s="6"/>
      <c r="U993" s="6"/>
      <c r="V993" s="6"/>
      <c r="W993" s="6"/>
      <c r="X993" s="6"/>
      <c r="Y993" s="6"/>
    </row>
    <row r="994" ht="14.25">
      <c r="B994" s="4" t="s">
        <v>6907</v>
      </c>
      <c r="C994" s="4" t="s">
        <v>6908</v>
      </c>
      <c r="D994" s="4" t="s">
        <v>172</v>
      </c>
      <c r="E994" s="4" t="s">
        <v>6909</v>
      </c>
      <c r="F994" s="4" t="s">
        <v>6910</v>
      </c>
      <c r="G994" s="4">
        <v>53</v>
      </c>
      <c r="H994" s="4" t="s">
        <v>25</v>
      </c>
      <c r="I994" s="4" t="str">
        <f>IFERROR(__XLUDF.DUMMYFUNCTION("VLOOKUP(G88,IMPORTRANGE(""https://docs.google.com/spreadsheets/d/1opm6ZNvGZ7KditA9TuJwrZ25eFLfTNIkrNnY6mhV5Eg"",""list!A1:C115""),3,TRUE)"),"le secteur de l'hôtellerie")</f>
        <v xml:space="preserve">le secteur de l'hôtellerie</v>
      </c>
      <c r="J994" s="5" t="s">
        <v>6911</v>
      </c>
      <c r="K994" s="5" t="s">
        <v>6912</v>
      </c>
      <c r="L994" s="4" t="s">
        <v>39</v>
      </c>
      <c r="M994" s="4" t="s">
        <v>29</v>
      </c>
      <c r="N994" s="4" t="s">
        <v>6913</v>
      </c>
      <c r="O994" s="4" t="s">
        <v>29</v>
      </c>
      <c r="P994" s="7"/>
      <c r="Q994" s="6"/>
      <c r="R994" s="6"/>
      <c r="S994" s="6"/>
      <c r="T994" s="6"/>
      <c r="U994" s="6"/>
      <c r="V994" s="6"/>
      <c r="W994" s="6"/>
      <c r="X994" s="6"/>
      <c r="Y994" s="6"/>
    </row>
    <row r="995" ht="14.25">
      <c r="B995" s="4" t="s">
        <v>661</v>
      </c>
      <c r="C995" s="4" t="s">
        <v>6914</v>
      </c>
      <c r="D995" s="4" t="s">
        <v>172</v>
      </c>
      <c r="E995" s="4" t="s">
        <v>6773</v>
      </c>
      <c r="F995" s="4" t="s">
        <v>6915</v>
      </c>
      <c r="G995" s="4">
        <v>120</v>
      </c>
      <c r="H995" s="4" t="s">
        <v>25</v>
      </c>
      <c r="I995" s="4" t="str">
        <f>IFERROR(__XLUDF.DUMMYFUNCTION("VLOOKUP(G89,IMPORTRANGE(""https://docs.google.com/spreadsheets/d/1opm6ZNvGZ7KditA9TuJwrZ25eFLfTNIkrNnY6mhV5Eg"",""list!A1:C115""),3,TRUE)"),"le secteur de l'hôtellerie")</f>
        <v xml:space="preserve">le secteur de l'hôtellerie</v>
      </c>
      <c r="J995" s="5" t="s">
        <v>6916</v>
      </c>
      <c r="K995" s="5" t="s">
        <v>6776</v>
      </c>
      <c r="L995" s="4" t="s">
        <v>243</v>
      </c>
      <c r="M995" s="4" t="s">
        <v>29</v>
      </c>
      <c r="N995" s="4" t="s">
        <v>6778</v>
      </c>
      <c r="O995" s="4" t="s">
        <v>29</v>
      </c>
      <c r="P995" s="4" t="s">
        <v>6779</v>
      </c>
      <c r="Q995" s="6"/>
      <c r="R995" s="6"/>
      <c r="S995" s="6"/>
      <c r="T995" s="6"/>
      <c r="U995" s="6"/>
      <c r="V995" s="6"/>
      <c r="W995" s="6"/>
      <c r="X995" s="6"/>
      <c r="Y995" s="6"/>
    </row>
    <row r="996" ht="14.25">
      <c r="B996" s="4" t="s">
        <v>661</v>
      </c>
      <c r="C996" s="4" t="s">
        <v>662</v>
      </c>
      <c r="D996" s="4" t="s">
        <v>663</v>
      </c>
      <c r="E996" s="4" t="s">
        <v>664</v>
      </c>
      <c r="F996" s="4" t="s">
        <v>665</v>
      </c>
      <c r="G996" s="4">
        <v>60</v>
      </c>
      <c r="H996" s="4" t="s">
        <v>25</v>
      </c>
      <c r="I996" s="4" t="str">
        <f>IFERROR(__XLUDF.DUMMYFUNCTION("VLOOKUP(G90,IMPORTRANGE(""https://docs.google.com/spreadsheets/d/1opm6ZNvGZ7KditA9TuJwrZ25eFLfTNIkrNnY6mhV5Eg"",""list!A1:C115""),3,TRUE)"),"le secteur de l'hôtellerie")</f>
        <v xml:space="preserve">le secteur de l'hôtellerie</v>
      </c>
      <c r="J996" s="5" t="s">
        <v>666</v>
      </c>
      <c r="K996" s="5" t="s">
        <v>6786</v>
      </c>
      <c r="L996" s="4" t="s">
        <v>39</v>
      </c>
      <c r="M996" s="4" t="s">
        <v>29</v>
      </c>
      <c r="N996" s="4" t="s">
        <v>668</v>
      </c>
      <c r="O996" s="4" t="s">
        <v>29</v>
      </c>
      <c r="P996" s="4" t="s">
        <v>669</v>
      </c>
      <c r="Q996" s="6"/>
      <c r="R996" s="6"/>
      <c r="S996" s="6"/>
      <c r="T996" s="6"/>
      <c r="U996" s="6"/>
      <c r="V996" s="6"/>
      <c r="W996" s="6"/>
      <c r="X996" s="6"/>
      <c r="Y996" s="6"/>
    </row>
    <row r="997" ht="14.25">
      <c r="B997" s="4" t="s">
        <v>661</v>
      </c>
      <c r="C997" s="4" t="s">
        <v>6917</v>
      </c>
      <c r="D997" s="4" t="s">
        <v>341</v>
      </c>
      <c r="E997" s="4" t="s">
        <v>6918</v>
      </c>
      <c r="F997" s="4" t="s">
        <v>6919</v>
      </c>
      <c r="G997" s="4">
        <v>230</v>
      </c>
      <c r="H997" s="4" t="s">
        <v>25</v>
      </c>
      <c r="I997" s="4" t="str">
        <f>IFERROR(__XLUDF.DUMMYFUNCTION("VLOOKUP(G91,IMPORTRANGE(""https://docs.google.com/spreadsheets/d/1opm6ZNvGZ7KditA9TuJwrZ25eFLfTNIkrNnY6mhV5Eg"",""list!A1:C115""),3,TRUE)"),"le secteur de l'hôtellerie")</f>
        <v xml:space="preserve">le secteur de l'hôtellerie</v>
      </c>
      <c r="J997" s="5" t="s">
        <v>6920</v>
      </c>
      <c r="K997" s="5" t="s">
        <v>6921</v>
      </c>
      <c r="L997" s="4" t="s">
        <v>39</v>
      </c>
      <c r="M997" s="4" t="s">
        <v>29</v>
      </c>
      <c r="N997" s="4" t="s">
        <v>67</v>
      </c>
      <c r="O997" s="4" t="s">
        <v>29</v>
      </c>
      <c r="P997" s="4" t="s">
        <v>6922</v>
      </c>
      <c r="Q997" s="6"/>
      <c r="R997" s="6"/>
      <c r="S997" s="6"/>
      <c r="T997" s="6"/>
      <c r="U997" s="6"/>
      <c r="V997" s="6"/>
      <c r="W997" s="6"/>
      <c r="X997" s="6"/>
      <c r="Y997" s="6"/>
    </row>
    <row r="998" ht="14.25">
      <c r="B998" s="4" t="s">
        <v>6923</v>
      </c>
      <c r="C998" s="4" t="s">
        <v>6924</v>
      </c>
      <c r="D998" s="4" t="s">
        <v>87</v>
      </c>
      <c r="E998" s="4" t="s">
        <v>6925</v>
      </c>
      <c r="F998" s="4" t="s">
        <v>6926</v>
      </c>
      <c r="G998" s="4">
        <v>90</v>
      </c>
      <c r="H998" s="4" t="s">
        <v>25</v>
      </c>
      <c r="I998" s="4" t="str">
        <f>IFERROR(__XLUDF.DUMMYFUNCTION("VLOOKUP(G92,IMPORTRANGE(""https://docs.google.com/spreadsheets/d/1opm6ZNvGZ7KditA9TuJwrZ25eFLfTNIkrNnY6mhV5Eg"",""list!A1:C115""),3,TRUE)"),"le secteur de l'hôtellerie")</f>
        <v xml:space="preserve">le secteur de l'hôtellerie</v>
      </c>
      <c r="J998" s="5" t="s">
        <v>6927</v>
      </c>
      <c r="K998" s="5" t="s">
        <v>6928</v>
      </c>
      <c r="L998" s="7"/>
      <c r="M998" s="4" t="s">
        <v>29</v>
      </c>
      <c r="N998" s="4" t="s">
        <v>6929</v>
      </c>
      <c r="O998" s="4" t="s">
        <v>29</v>
      </c>
      <c r="P998" s="4" t="s">
        <v>6930</v>
      </c>
      <c r="Q998" s="6"/>
      <c r="R998" s="6"/>
      <c r="S998" s="6"/>
      <c r="T998" s="6"/>
      <c r="U998" s="6"/>
      <c r="V998" s="6"/>
      <c r="W998" s="6"/>
      <c r="X998" s="6"/>
      <c r="Y998" s="6"/>
    </row>
    <row r="999" ht="14.25">
      <c r="B999" s="4" t="s">
        <v>769</v>
      </c>
      <c r="C999" s="4" t="s">
        <v>6931</v>
      </c>
      <c r="D999" s="4" t="s">
        <v>426</v>
      </c>
      <c r="E999" s="4" t="s">
        <v>6932</v>
      </c>
      <c r="F999" s="4" t="s">
        <v>6933</v>
      </c>
      <c r="G999" s="4">
        <v>370</v>
      </c>
      <c r="H999" s="4" t="s">
        <v>25</v>
      </c>
      <c r="I999" s="4" t="str">
        <f>IFERROR(__XLUDF.DUMMYFUNCTION("VLOOKUP(G93,IMPORTRANGE(""https://docs.google.com/spreadsheets/d/1opm6ZNvGZ7KditA9TuJwrZ25eFLfTNIkrNnY6mhV5Eg"",""list!A1:C115""),3,TRUE)"),"le secteur de l'hôtellerie")</f>
        <v xml:space="preserve">le secteur de l'hôtellerie</v>
      </c>
      <c r="J999" s="5" t="s">
        <v>6934</v>
      </c>
      <c r="K999" s="5" t="s">
        <v>6935</v>
      </c>
      <c r="L999" s="4" t="s">
        <v>6936</v>
      </c>
      <c r="M999" s="4" t="s">
        <v>29</v>
      </c>
      <c r="N999" s="7"/>
      <c r="O999" s="7"/>
      <c r="P999" s="7"/>
      <c r="Q999" s="6"/>
      <c r="R999" s="6"/>
      <c r="S999" s="6"/>
      <c r="T999" s="6"/>
      <c r="U999" s="6"/>
      <c r="V999" s="6"/>
      <c r="W999" s="6"/>
      <c r="X999" s="6"/>
      <c r="Y999" s="6"/>
    </row>
    <row r="1000" ht="14.25">
      <c r="B1000" s="4" t="s">
        <v>769</v>
      </c>
      <c r="C1000" s="4" t="s">
        <v>6937</v>
      </c>
      <c r="D1000" s="4" t="s">
        <v>172</v>
      </c>
      <c r="E1000" s="4" t="s">
        <v>6938</v>
      </c>
      <c r="F1000" s="4" t="s">
        <v>6939</v>
      </c>
      <c r="G1000" s="4">
        <v>96</v>
      </c>
      <c r="H1000" s="4" t="s">
        <v>25</v>
      </c>
      <c r="I1000" s="4" t="str">
        <f>IFERROR(__XLUDF.DUMMYFUNCTION("VLOOKUP(G94,IMPORTRANGE(""https://docs.google.com/spreadsheets/d/1opm6ZNvGZ7KditA9TuJwrZ25eFLfTNIkrNnY6mhV5Eg"",""list!A1:C115""),3,TRUE)"),"le secteur de l'hôtellerie")</f>
        <v xml:space="preserve">le secteur de l'hôtellerie</v>
      </c>
      <c r="J1000" s="5" t="s">
        <v>6940</v>
      </c>
      <c r="K1000" s="5" t="s">
        <v>6941</v>
      </c>
      <c r="L1000" s="4" t="s">
        <v>6942</v>
      </c>
      <c r="M1000" s="4" t="s">
        <v>29</v>
      </c>
      <c r="N1000" s="4" t="s">
        <v>6943</v>
      </c>
      <c r="O1000" s="4" t="s">
        <v>29</v>
      </c>
      <c r="P1000" s="4" t="s">
        <v>6944</v>
      </c>
      <c r="Q1000" s="6"/>
      <c r="R1000" s="6"/>
      <c r="S1000" s="6"/>
      <c r="T1000" s="6"/>
      <c r="U1000" s="6"/>
      <c r="V1000" s="6"/>
      <c r="W1000" s="6"/>
      <c r="X1000" s="6"/>
      <c r="Y1000" s="6"/>
    </row>
    <row r="1001" ht="14.25">
      <c r="B1001" s="4" t="s">
        <v>6945</v>
      </c>
      <c r="C1001" s="4" t="s">
        <v>6946</v>
      </c>
      <c r="D1001" s="4" t="s">
        <v>172</v>
      </c>
      <c r="E1001" s="4" t="s">
        <v>6925</v>
      </c>
      <c r="F1001" s="4" t="s">
        <v>6947</v>
      </c>
      <c r="G1001" s="4">
        <v>90</v>
      </c>
      <c r="H1001" s="4" t="s">
        <v>25</v>
      </c>
      <c r="I1001" s="4" t="str">
        <f>IFERROR(__XLUDF.DUMMYFUNCTION("VLOOKUP(G95,IMPORTRANGE(""https://docs.google.com/spreadsheets/d/1opm6ZNvGZ7KditA9TuJwrZ25eFLfTNIkrNnY6mhV5Eg"",""list!A1:C115""),3,TRUE)"),"le secteur de l'hôtellerie")</f>
        <v xml:space="preserve">le secteur de l'hôtellerie</v>
      </c>
      <c r="J1001" s="5" t="s">
        <v>6948</v>
      </c>
      <c r="K1001" s="5" t="s">
        <v>6928</v>
      </c>
      <c r="L1001" s="4" t="s">
        <v>39</v>
      </c>
      <c r="M1001" s="4" t="s">
        <v>29</v>
      </c>
      <c r="N1001" s="4" t="s">
        <v>6929</v>
      </c>
      <c r="O1001" s="4" t="s">
        <v>29</v>
      </c>
      <c r="P1001" s="4" t="s">
        <v>6930</v>
      </c>
      <c r="Q1001" s="6"/>
      <c r="R1001" s="6"/>
      <c r="S1001" s="6"/>
      <c r="T1001" s="6"/>
      <c r="U1001" s="6"/>
      <c r="V1001" s="6"/>
      <c r="W1001" s="6"/>
      <c r="X1001" s="6"/>
      <c r="Y1001" s="6"/>
    </row>
    <row r="1002" ht="14.25">
      <c r="B1002" s="4" t="s">
        <v>785</v>
      </c>
      <c r="C1002" s="4" t="s">
        <v>6949</v>
      </c>
      <c r="D1002" s="4" t="s">
        <v>460</v>
      </c>
      <c r="E1002" s="4" t="s">
        <v>6950</v>
      </c>
      <c r="F1002" s="4" t="s">
        <v>6951</v>
      </c>
      <c r="G1002" s="4">
        <v>230</v>
      </c>
      <c r="H1002" s="4" t="s">
        <v>25</v>
      </c>
      <c r="I1002" s="4" t="str">
        <f>IFERROR(__XLUDF.DUMMYFUNCTION("VLOOKUP(G96,IMPORTRANGE(""https://docs.google.com/spreadsheets/d/1opm6ZNvGZ7KditA9TuJwrZ25eFLfTNIkrNnY6mhV5Eg"",""list!A1:C115""),3,TRUE)"),"le secteur de l'hôtellerie")</f>
        <v xml:space="preserve">le secteur de l'hôtellerie</v>
      </c>
      <c r="J1002" s="5" t="s">
        <v>6952</v>
      </c>
      <c r="K1002" s="5" t="s">
        <v>6953</v>
      </c>
      <c r="L1002" s="4" t="s">
        <v>6954</v>
      </c>
      <c r="M1002" s="4" t="s">
        <v>29</v>
      </c>
      <c r="N1002" s="4" t="s">
        <v>6955</v>
      </c>
      <c r="O1002" s="4" t="s">
        <v>29</v>
      </c>
      <c r="P1002" s="4" t="s">
        <v>6956</v>
      </c>
      <c r="Q1002" s="6"/>
      <c r="R1002" s="6"/>
      <c r="S1002" s="6"/>
      <c r="T1002" s="6"/>
      <c r="U1002" s="6"/>
      <c r="V1002" s="6"/>
      <c r="W1002" s="6"/>
      <c r="X1002" s="6"/>
      <c r="Y1002" s="6"/>
    </row>
    <row r="1003" ht="14.25">
      <c r="B1003" s="4" t="s">
        <v>6957</v>
      </c>
      <c r="C1003" s="4" t="s">
        <v>6958</v>
      </c>
      <c r="D1003" s="4" t="s">
        <v>172</v>
      </c>
      <c r="E1003" s="4" t="s">
        <v>6959</v>
      </c>
      <c r="F1003" s="4" t="s">
        <v>6960</v>
      </c>
      <c r="G1003" s="4">
        <v>85</v>
      </c>
      <c r="H1003" s="4" t="s">
        <v>25</v>
      </c>
      <c r="I1003" s="4" t="str">
        <f>IFERROR(__XLUDF.DUMMYFUNCTION("VLOOKUP(G97,IMPORTRANGE(""https://docs.google.com/spreadsheets/d/1opm6ZNvGZ7KditA9TuJwrZ25eFLfTNIkrNnY6mhV5Eg"",""list!A1:C115""),3,TRUE)"),"le secteur de l'hôtellerie")</f>
        <v xml:space="preserve">le secteur de l'hôtellerie</v>
      </c>
      <c r="J1003" s="5" t="s">
        <v>6961</v>
      </c>
      <c r="K1003" s="5" t="s">
        <v>6962</v>
      </c>
      <c r="L1003" s="4" t="s">
        <v>6963</v>
      </c>
      <c r="M1003" s="4" t="s">
        <v>29</v>
      </c>
      <c r="N1003" s="4" t="s">
        <v>6964</v>
      </c>
      <c r="O1003" s="4" t="s">
        <v>6965</v>
      </c>
      <c r="P1003" s="4" t="s">
        <v>6966</v>
      </c>
      <c r="Q1003" s="6"/>
      <c r="R1003" s="6"/>
      <c r="S1003" s="6"/>
      <c r="T1003" s="6"/>
      <c r="U1003" s="6"/>
      <c r="V1003" s="6"/>
      <c r="W1003" s="6"/>
      <c r="X1003" s="6"/>
      <c r="Y1003" s="6"/>
    </row>
    <row r="1004" ht="14.25">
      <c r="B1004" s="4" t="s">
        <v>6967</v>
      </c>
      <c r="C1004" s="4" t="s">
        <v>6968</v>
      </c>
      <c r="D1004" s="4" t="s">
        <v>87</v>
      </c>
      <c r="E1004" s="4" t="s">
        <v>6969</v>
      </c>
      <c r="F1004" s="4" t="s">
        <v>6970</v>
      </c>
      <c r="G1004" s="4">
        <v>290</v>
      </c>
      <c r="H1004" s="4" t="s">
        <v>25</v>
      </c>
      <c r="I1004" s="4" t="str">
        <f>IFERROR(__XLUDF.DUMMYFUNCTION("VLOOKUP(G98,IMPORTRANGE(""https://docs.google.com/spreadsheets/d/1opm6ZNvGZ7KditA9TuJwrZ25eFLfTNIkrNnY6mhV5Eg"",""list!A1:C115""),3,TRUE)"),"le secteur de l'hôtellerie")</f>
        <v xml:space="preserve">le secteur de l'hôtellerie</v>
      </c>
      <c r="J1004" s="5" t="s">
        <v>6971</v>
      </c>
      <c r="K1004" s="5" t="s">
        <v>6972</v>
      </c>
      <c r="L1004" s="4" t="s">
        <v>39</v>
      </c>
      <c r="M1004" s="4" t="s">
        <v>29</v>
      </c>
      <c r="N1004" s="4" t="s">
        <v>6973</v>
      </c>
      <c r="O1004" s="4" t="s">
        <v>1548</v>
      </c>
      <c r="P1004" s="7"/>
      <c r="Q1004" s="6"/>
      <c r="R1004" s="6"/>
      <c r="S1004" s="6"/>
      <c r="T1004" s="6"/>
      <c r="U1004" s="6"/>
      <c r="V1004" s="6"/>
      <c r="W1004" s="6"/>
      <c r="X1004" s="6"/>
      <c r="Y1004" s="6"/>
    </row>
    <row r="1005" ht="14.25">
      <c r="B1005" s="4" t="s">
        <v>893</v>
      </c>
      <c r="C1005" s="4" t="s">
        <v>6974</v>
      </c>
      <c r="D1005" s="4" t="s">
        <v>315</v>
      </c>
      <c r="E1005" s="4" t="s">
        <v>6975</v>
      </c>
      <c r="F1005" s="4" t="s">
        <v>6976</v>
      </c>
      <c r="G1005" s="4">
        <v>86</v>
      </c>
      <c r="H1005" s="4" t="s">
        <v>25</v>
      </c>
      <c r="I1005" s="4" t="str">
        <f>IFERROR(__XLUDF.DUMMYFUNCTION("VLOOKUP(G99,IMPORTRANGE(""https://docs.google.com/spreadsheets/d/1opm6ZNvGZ7KditA9TuJwrZ25eFLfTNIkrNnY6mhV5Eg"",""list!A1:C115""),3,TRUE)"),"le secteur de l'hôtellerie")</f>
        <v xml:space="preserve">le secteur de l'hôtellerie</v>
      </c>
      <c r="J1005" s="5" t="s">
        <v>6977</v>
      </c>
      <c r="K1005" s="5" t="s">
        <v>6978</v>
      </c>
      <c r="L1005" s="4" t="s">
        <v>39</v>
      </c>
      <c r="M1005" s="4" t="s">
        <v>29</v>
      </c>
      <c r="N1005" s="4" t="s">
        <v>6979</v>
      </c>
      <c r="O1005" s="4" t="s">
        <v>29</v>
      </c>
      <c r="P1005" s="4" t="s">
        <v>6980</v>
      </c>
      <c r="Q1005" s="6"/>
      <c r="R1005" s="6"/>
      <c r="S1005" s="6"/>
      <c r="T1005" s="6"/>
      <c r="U1005" s="6"/>
      <c r="V1005" s="6"/>
      <c r="W1005" s="6"/>
      <c r="X1005" s="6"/>
      <c r="Y1005" s="6"/>
    </row>
    <row r="1006" ht="14.25">
      <c r="B1006" s="4" t="s">
        <v>6981</v>
      </c>
      <c r="C1006" s="4" t="s">
        <v>6823</v>
      </c>
      <c r="D1006" s="4" t="s">
        <v>87</v>
      </c>
      <c r="E1006" s="4" t="s">
        <v>6824</v>
      </c>
      <c r="F1006" s="4" t="s">
        <v>6982</v>
      </c>
      <c r="G1006" s="4">
        <v>85</v>
      </c>
      <c r="H1006" s="4" t="s">
        <v>25</v>
      </c>
      <c r="I1006" s="4" t="str">
        <f>IFERROR(__XLUDF.DUMMYFUNCTION("VLOOKUP(G100,IMPORTRANGE(""https://docs.google.com/spreadsheets/d/1opm6ZNvGZ7KditA9TuJwrZ25eFLfTNIkrNnY6mhV5Eg"",""list!A1:C115""),3,TRUE)"),"le secteur de l'hôtellerie")</f>
        <v xml:space="preserve">le secteur de l'hôtellerie</v>
      </c>
      <c r="J1006" s="5" t="s">
        <v>6983</v>
      </c>
      <c r="K1006" s="5" t="s">
        <v>6827</v>
      </c>
      <c r="L1006" s="4" t="s">
        <v>39</v>
      </c>
      <c r="M1006" s="4" t="s">
        <v>29</v>
      </c>
      <c r="N1006" s="4" t="s">
        <v>6828</v>
      </c>
      <c r="O1006" s="4" t="s">
        <v>29</v>
      </c>
      <c r="P1006" s="7"/>
      <c r="Q1006" s="6"/>
      <c r="R1006" s="6"/>
      <c r="S1006" s="6"/>
      <c r="T1006" s="6"/>
      <c r="U1006" s="6"/>
      <c r="V1006" s="6"/>
      <c r="W1006" s="6"/>
      <c r="X1006" s="6"/>
      <c r="Y1006" s="6"/>
    </row>
    <row r="1007" ht="14.25">
      <c r="B1007" s="4" t="s">
        <v>4048</v>
      </c>
      <c r="C1007" s="4" t="s">
        <v>6984</v>
      </c>
      <c r="D1007" s="4" t="s">
        <v>6985</v>
      </c>
      <c r="E1007" s="4" t="s">
        <v>6986</v>
      </c>
      <c r="F1007" s="4" t="s">
        <v>6987</v>
      </c>
      <c r="G1007" s="4">
        <v>110</v>
      </c>
      <c r="H1007" s="4" t="s">
        <v>25</v>
      </c>
      <c r="I1007" s="4" t="str">
        <f>IFERROR(__XLUDF.DUMMYFUNCTION("VLOOKUP(G101,IMPORTRANGE(""https://docs.google.com/spreadsheets/d/1opm6ZNvGZ7KditA9TuJwrZ25eFLfTNIkrNnY6mhV5Eg"",""list!A1:C115""),3,TRUE)"),"le secteur de l'hôtellerie")</f>
        <v xml:space="preserve">le secteur de l'hôtellerie</v>
      </c>
      <c r="J1007" s="5" t="s">
        <v>6988</v>
      </c>
      <c r="K1007" s="5" t="s">
        <v>6989</v>
      </c>
      <c r="L1007" s="4" t="s">
        <v>39</v>
      </c>
      <c r="M1007" s="4" t="s">
        <v>29</v>
      </c>
      <c r="N1007" s="4" t="s">
        <v>6990</v>
      </c>
      <c r="O1007" s="4" t="s">
        <v>29</v>
      </c>
      <c r="P1007" s="4" t="s">
        <v>6991</v>
      </c>
      <c r="Q1007" s="6"/>
      <c r="R1007" s="6"/>
      <c r="S1007" s="6"/>
      <c r="T1007" s="6"/>
      <c r="U1007" s="6"/>
      <c r="V1007" s="6"/>
      <c r="W1007" s="6"/>
      <c r="X1007" s="6"/>
      <c r="Y1007" s="6"/>
    </row>
    <row r="1008" ht="14.25">
      <c r="B1008" s="4" t="s">
        <v>6992</v>
      </c>
      <c r="C1008" s="4" t="s">
        <v>6993</v>
      </c>
      <c r="D1008" s="4" t="s">
        <v>3836</v>
      </c>
      <c r="E1008" s="4" t="s">
        <v>6994</v>
      </c>
      <c r="F1008" s="4" t="s">
        <v>6995</v>
      </c>
      <c r="G1008" s="4">
        <v>88</v>
      </c>
      <c r="H1008" s="4" t="s">
        <v>25</v>
      </c>
      <c r="I1008" s="4" t="str">
        <f>IFERROR(__XLUDF.DUMMYFUNCTION("VLOOKUP(G102,IMPORTRANGE(""https://docs.google.com/spreadsheets/d/1opm6ZNvGZ7KditA9TuJwrZ25eFLfTNIkrNnY6mhV5Eg"",""list!A1:C115""),3,TRUE)"),"le secteur de l'hôtellerie")</f>
        <v xml:space="preserve">le secteur de l'hôtellerie</v>
      </c>
      <c r="J1008" s="5" t="s">
        <v>6996</v>
      </c>
      <c r="K1008" s="5" t="s">
        <v>6997</v>
      </c>
      <c r="L1008" s="4" t="s">
        <v>39</v>
      </c>
      <c r="M1008" s="4" t="s">
        <v>29</v>
      </c>
      <c r="N1008" s="4" t="s">
        <v>6998</v>
      </c>
      <c r="O1008" s="4" t="s">
        <v>29</v>
      </c>
      <c r="P1008" s="4" t="s">
        <v>6999</v>
      </c>
      <c r="Q1008" s="6"/>
      <c r="R1008" s="6"/>
      <c r="S1008" s="6"/>
      <c r="T1008" s="6"/>
      <c r="U1008" s="6"/>
      <c r="V1008" s="6"/>
      <c r="W1008" s="6"/>
      <c r="X1008" s="6"/>
      <c r="Y1008" s="6"/>
    </row>
    <row r="1009" ht="14.25">
      <c r="B1009" s="4" t="s">
        <v>6967</v>
      </c>
      <c r="C1009" s="4" t="s">
        <v>7000</v>
      </c>
      <c r="D1009" s="4" t="s">
        <v>172</v>
      </c>
      <c r="E1009" s="4" t="s">
        <v>6986</v>
      </c>
      <c r="F1009" s="4" t="s">
        <v>7001</v>
      </c>
      <c r="G1009" s="4">
        <v>110</v>
      </c>
      <c r="H1009" s="4" t="s">
        <v>25</v>
      </c>
      <c r="I1009" s="4" t="str">
        <f>IFERROR(__XLUDF.DUMMYFUNCTION("VLOOKUP(G103,IMPORTRANGE(""https://docs.google.com/spreadsheets/d/1opm6ZNvGZ7KditA9TuJwrZ25eFLfTNIkrNnY6mhV5Eg"",""list!A1:C115""),3,TRUE)"),"le secteur de l'hôtellerie")</f>
        <v xml:space="preserve">le secteur de l'hôtellerie</v>
      </c>
      <c r="J1009" s="5" t="s">
        <v>7002</v>
      </c>
      <c r="K1009" s="5" t="s">
        <v>6989</v>
      </c>
      <c r="L1009" s="4" t="s">
        <v>2734</v>
      </c>
      <c r="M1009" s="4" t="s">
        <v>29</v>
      </c>
      <c r="N1009" s="4" t="s">
        <v>6990</v>
      </c>
      <c r="O1009" s="4" t="s">
        <v>29</v>
      </c>
      <c r="P1009" s="4" t="s">
        <v>6991</v>
      </c>
      <c r="Q1009" s="6"/>
      <c r="R1009" s="6"/>
      <c r="S1009" s="6"/>
      <c r="T1009" s="6"/>
      <c r="U1009" s="6"/>
      <c r="V1009" s="6"/>
      <c r="W1009" s="6"/>
      <c r="X1009" s="6"/>
      <c r="Y1009" s="6"/>
    </row>
    <row r="1010" ht="14.25">
      <c r="B1010" s="4" t="s">
        <v>4146</v>
      </c>
      <c r="C1010" s="4" t="s">
        <v>4147</v>
      </c>
      <c r="D1010" s="4" t="s">
        <v>172</v>
      </c>
      <c r="E1010" s="4" t="s">
        <v>4148</v>
      </c>
      <c r="F1010" s="4" t="s">
        <v>4149</v>
      </c>
      <c r="G1010" s="4">
        <v>49</v>
      </c>
      <c r="H1010" s="4" t="s">
        <v>25</v>
      </c>
      <c r="I1010" s="4" t="str">
        <f>IFERROR(__XLUDF.DUMMYFUNCTION("VLOOKUP(G104,IMPORTRANGE(""https://docs.google.com/spreadsheets/d/1opm6ZNvGZ7KditA9TuJwrZ25eFLfTNIkrNnY6mhV5Eg"",""list!A1:C115""),3,TRUE)"),"le secteur de l'hôtellerie")</f>
        <v xml:space="preserve">le secteur de l'hôtellerie</v>
      </c>
      <c r="J1010" s="5" t="s">
        <v>4150</v>
      </c>
      <c r="K1010" s="5" t="s">
        <v>7003</v>
      </c>
      <c r="L1010" s="4" t="s">
        <v>39</v>
      </c>
      <c r="M1010" s="4" t="s">
        <v>29</v>
      </c>
      <c r="N1010" s="4" t="s">
        <v>4152</v>
      </c>
      <c r="O1010" s="4" t="s">
        <v>29</v>
      </c>
      <c r="P1010" s="4" t="s">
        <v>4153</v>
      </c>
      <c r="Q1010" s="6"/>
      <c r="R1010" s="6"/>
      <c r="S1010" s="6"/>
      <c r="T1010" s="6"/>
      <c r="U1010" s="6"/>
      <c r="V1010" s="6"/>
      <c r="W1010" s="6"/>
      <c r="X1010" s="6"/>
      <c r="Y1010" s="6"/>
    </row>
    <row r="1011" ht="14.25">
      <c r="B1011" s="4" t="s">
        <v>7004</v>
      </c>
      <c r="C1011" s="4" t="s">
        <v>7005</v>
      </c>
      <c r="D1011" s="4" t="s">
        <v>7006</v>
      </c>
      <c r="E1011" s="4" t="s">
        <v>6797</v>
      </c>
      <c r="F1011" s="4" t="s">
        <v>7007</v>
      </c>
      <c r="G1011" s="4">
        <v>56</v>
      </c>
      <c r="H1011" s="4" t="s">
        <v>25</v>
      </c>
      <c r="I1011" s="4" t="str">
        <f>IFERROR(__XLUDF.DUMMYFUNCTION("VLOOKUP(G105,IMPORTRANGE(""https://docs.google.com/spreadsheets/d/1opm6ZNvGZ7KditA9TuJwrZ25eFLfTNIkrNnY6mhV5Eg"",""list!A1:C115""),3,TRUE)"),"le secteur de l'hôtellerie")</f>
        <v xml:space="preserve">le secteur de l'hôtellerie</v>
      </c>
      <c r="J1011" s="5" t="s">
        <v>7008</v>
      </c>
      <c r="K1011" s="5" t="s">
        <v>6800</v>
      </c>
      <c r="L1011" s="4" t="s">
        <v>185</v>
      </c>
      <c r="M1011" s="4" t="s">
        <v>29</v>
      </c>
      <c r="N1011" s="4" t="s">
        <v>6801</v>
      </c>
      <c r="O1011" s="4" t="s">
        <v>29</v>
      </c>
      <c r="P1011" s="4" t="s">
        <v>6802</v>
      </c>
      <c r="Q1011" s="6"/>
      <c r="R1011" s="6"/>
      <c r="S1011" s="6"/>
      <c r="T1011" s="6"/>
      <c r="U1011" s="6"/>
      <c r="V1011" s="6"/>
      <c r="W1011" s="6"/>
      <c r="X1011" s="6"/>
      <c r="Y1011" s="6"/>
    </row>
    <row r="1012" ht="14.25">
      <c r="B1012" s="4" t="s">
        <v>5103</v>
      </c>
      <c r="C1012" s="4" t="s">
        <v>7009</v>
      </c>
      <c r="D1012" s="4" t="s">
        <v>164</v>
      </c>
      <c r="E1012" s="4" t="s">
        <v>6782</v>
      </c>
      <c r="F1012" s="4" t="s">
        <v>7010</v>
      </c>
      <c r="G1012" s="4">
        <v>64</v>
      </c>
      <c r="H1012" s="4" t="s">
        <v>25</v>
      </c>
      <c r="I1012" s="4" t="str">
        <f>IFERROR(__XLUDF.DUMMYFUNCTION("VLOOKUP(G106,IMPORTRANGE(""https://docs.google.com/spreadsheets/d/1opm6ZNvGZ7KditA9TuJwrZ25eFLfTNIkrNnY6mhV5Eg"",""list!A1:C115""),3,TRUE)"),"le secteur de l'hôtellerie")</f>
        <v xml:space="preserve">le secteur de l'hôtellerie</v>
      </c>
      <c r="J1012" s="5" t="s">
        <v>7011</v>
      </c>
      <c r="K1012" s="5" t="s">
        <v>6785</v>
      </c>
      <c r="L1012" s="4" t="s">
        <v>185</v>
      </c>
      <c r="M1012" s="4" t="s">
        <v>29</v>
      </c>
      <c r="N1012" s="4" t="s">
        <v>125</v>
      </c>
      <c r="O1012" s="4" t="s">
        <v>29</v>
      </c>
      <c r="P1012" s="7"/>
      <c r="Q1012" s="6"/>
      <c r="R1012" s="6"/>
      <c r="S1012" s="6"/>
      <c r="T1012" s="6"/>
      <c r="U1012" s="6"/>
      <c r="V1012" s="6"/>
      <c r="W1012" s="6"/>
      <c r="X1012" s="6"/>
      <c r="Y1012" s="6"/>
    </row>
    <row r="1013" ht="14.25">
      <c r="B1013" s="4" t="s">
        <v>76</v>
      </c>
      <c r="C1013" s="4" t="s">
        <v>7012</v>
      </c>
      <c r="D1013" s="4" t="s">
        <v>172</v>
      </c>
      <c r="E1013" s="4" t="s">
        <v>7013</v>
      </c>
      <c r="F1013" s="4" t="s">
        <v>7014</v>
      </c>
      <c r="G1013" s="4">
        <v>160</v>
      </c>
      <c r="H1013" s="4" t="s">
        <v>25</v>
      </c>
      <c r="I1013" s="4" t="str">
        <f>IFERROR(__XLUDF.DUMMYFUNCTION("VLOOKUP(G107,IMPORTRANGE(""https://docs.google.com/spreadsheets/d/1opm6ZNvGZ7KditA9TuJwrZ25eFLfTNIkrNnY6mhV5Eg"",""list!A1:C115""),3,TRUE)"),"le secteur de l'hôtellerie")</f>
        <v xml:space="preserve">le secteur de l'hôtellerie</v>
      </c>
      <c r="J1013" s="5" t="s">
        <v>7015</v>
      </c>
      <c r="K1013" s="5" t="s">
        <v>7016</v>
      </c>
      <c r="L1013" s="7"/>
      <c r="M1013" s="4" t="s">
        <v>29</v>
      </c>
      <c r="N1013" s="4" t="s">
        <v>7017</v>
      </c>
      <c r="O1013" s="4" t="s">
        <v>7018</v>
      </c>
      <c r="P1013" s="7"/>
      <c r="Q1013" s="6"/>
      <c r="R1013" s="6"/>
      <c r="S1013" s="6"/>
      <c r="T1013" s="6"/>
      <c r="U1013" s="6"/>
      <c r="V1013" s="6"/>
      <c r="W1013" s="6"/>
      <c r="X1013" s="6"/>
      <c r="Y1013" s="6"/>
    </row>
    <row r="1014" ht="14.25">
      <c r="B1014" s="4" t="s">
        <v>76</v>
      </c>
      <c r="C1014" s="4" t="s">
        <v>1866</v>
      </c>
      <c r="D1014" s="4" t="s">
        <v>7019</v>
      </c>
      <c r="E1014" s="4" t="s">
        <v>4814</v>
      </c>
      <c r="F1014" s="4" t="s">
        <v>7020</v>
      </c>
      <c r="G1014" s="4">
        <v>71</v>
      </c>
      <c r="H1014" s="4" t="s">
        <v>25</v>
      </c>
      <c r="I1014" s="4" t="str">
        <f>IFERROR(__XLUDF.DUMMYFUNCTION("VLOOKUP(G108,IMPORTRANGE(""https://docs.google.com/spreadsheets/d/1opm6ZNvGZ7KditA9TuJwrZ25eFLfTNIkrNnY6mhV5Eg"",""list!A1:C115""),3,TRUE)"),"le secteur de l'hôtellerie")</f>
        <v xml:space="preserve">le secteur de l'hôtellerie</v>
      </c>
      <c r="J1014" s="5" t="s">
        <v>7021</v>
      </c>
      <c r="K1014" s="5" t="s">
        <v>6869</v>
      </c>
      <c r="L1014" s="4" t="s">
        <v>4922</v>
      </c>
      <c r="M1014" s="4" t="s">
        <v>29</v>
      </c>
      <c r="N1014" s="4" t="s">
        <v>67</v>
      </c>
      <c r="O1014" s="4" t="s">
        <v>29</v>
      </c>
      <c r="P1014" s="4" t="s">
        <v>4818</v>
      </c>
      <c r="Q1014" s="6"/>
      <c r="R1014" s="6"/>
      <c r="S1014" s="6"/>
      <c r="T1014" s="6"/>
      <c r="U1014" s="6"/>
      <c r="V1014" s="6"/>
      <c r="W1014" s="6"/>
      <c r="X1014" s="6"/>
      <c r="Y1014" s="6"/>
    </row>
    <row r="1015" ht="14.25">
      <c r="B1015" s="4" t="s">
        <v>4188</v>
      </c>
      <c r="C1015" s="4" t="s">
        <v>4189</v>
      </c>
      <c r="D1015" s="4" t="s">
        <v>426</v>
      </c>
      <c r="E1015" s="4" t="s">
        <v>4190</v>
      </c>
      <c r="F1015" s="4" t="s">
        <v>4191</v>
      </c>
      <c r="G1015" s="4">
        <v>74</v>
      </c>
      <c r="H1015" s="4" t="s">
        <v>25</v>
      </c>
      <c r="I1015" s="4" t="str">
        <f>IFERROR(__XLUDF.DUMMYFUNCTION("VLOOKUP(G109,IMPORTRANGE(""https://docs.google.com/spreadsheets/d/1opm6ZNvGZ7KditA9TuJwrZ25eFLfTNIkrNnY6mhV5Eg"",""list!A1:C115""),3,TRUE)"),"le secteur de l'hôtellerie")</f>
        <v xml:space="preserve">le secteur de l'hôtellerie</v>
      </c>
      <c r="J1015" s="5" t="s">
        <v>4192</v>
      </c>
      <c r="K1015" s="5" t="s">
        <v>7022</v>
      </c>
      <c r="L1015" s="4" t="s">
        <v>39</v>
      </c>
      <c r="M1015" s="4" t="s">
        <v>29</v>
      </c>
      <c r="N1015" s="4" t="s">
        <v>4194</v>
      </c>
      <c r="O1015" s="4" t="s">
        <v>29</v>
      </c>
      <c r="P1015" s="4" t="s">
        <v>4195</v>
      </c>
      <c r="Q1015" s="6"/>
      <c r="R1015" s="6"/>
      <c r="S1015" s="6"/>
      <c r="T1015" s="6"/>
      <c r="U1015" s="6"/>
      <c r="V1015" s="6"/>
      <c r="W1015" s="6"/>
      <c r="X1015" s="6"/>
      <c r="Y1015" s="6"/>
    </row>
    <row r="1016" ht="14.25">
      <c r="B1016" s="4" t="s">
        <v>2516</v>
      </c>
      <c r="C1016" s="4" t="s">
        <v>7023</v>
      </c>
      <c r="D1016" s="4" t="s">
        <v>87</v>
      </c>
      <c r="E1016" s="4" t="s">
        <v>6816</v>
      </c>
      <c r="F1016" s="4" t="s">
        <v>7024</v>
      </c>
      <c r="G1016" s="4">
        <v>56</v>
      </c>
      <c r="H1016" s="4" t="s">
        <v>25</v>
      </c>
      <c r="I1016" s="4" t="str">
        <f>IFERROR(__XLUDF.DUMMYFUNCTION("VLOOKUP(G110,IMPORTRANGE(""https://docs.google.com/spreadsheets/d/1opm6ZNvGZ7KditA9TuJwrZ25eFLfTNIkrNnY6mhV5Eg"",""list!A1:C115""),3,TRUE)"),"le secteur de l'hôtellerie")</f>
        <v xml:space="preserve">le secteur de l'hôtellerie</v>
      </c>
      <c r="J1016" s="5" t="s">
        <v>7025</v>
      </c>
      <c r="K1016" s="5" t="s">
        <v>6819</v>
      </c>
      <c r="L1016" s="4" t="s">
        <v>185</v>
      </c>
      <c r="M1016" s="4" t="s">
        <v>29</v>
      </c>
      <c r="N1016" s="4" t="s">
        <v>6820</v>
      </c>
      <c r="O1016" s="4" t="s">
        <v>29</v>
      </c>
      <c r="P1016" s="4" t="s">
        <v>6821</v>
      </c>
      <c r="Q1016" s="6"/>
      <c r="R1016" s="6"/>
      <c r="S1016" s="6"/>
      <c r="T1016" s="6"/>
      <c r="U1016" s="6"/>
      <c r="V1016" s="6"/>
      <c r="W1016" s="6"/>
      <c r="X1016" s="6"/>
      <c r="Y1016" s="6"/>
    </row>
    <row r="1017" ht="14.25">
      <c r="B1017" s="4" t="s">
        <v>3472</v>
      </c>
      <c r="C1017" s="4" t="s">
        <v>7026</v>
      </c>
      <c r="D1017" s="4" t="s">
        <v>3611</v>
      </c>
      <c r="E1017" s="4" t="s">
        <v>7027</v>
      </c>
      <c r="F1017" s="4" t="s">
        <v>7028</v>
      </c>
      <c r="G1017" s="4">
        <v>82</v>
      </c>
      <c r="H1017" s="4" t="s">
        <v>25</v>
      </c>
      <c r="I1017" s="4" t="str">
        <f>IFERROR(__XLUDF.DUMMYFUNCTION("VLOOKUP(G111,IMPORTRANGE(""https://docs.google.com/spreadsheets/d/1opm6ZNvGZ7KditA9TuJwrZ25eFLfTNIkrNnY6mhV5Eg"",""list!A1:C115""),3,TRUE)"),"le secteur de l'hôtellerie")</f>
        <v xml:space="preserve">le secteur de l'hôtellerie</v>
      </c>
      <c r="J1017" s="5" t="s">
        <v>7029</v>
      </c>
      <c r="K1017" s="5" t="s">
        <v>7030</v>
      </c>
      <c r="L1017" s="4" t="s">
        <v>39</v>
      </c>
      <c r="M1017" s="4" t="s">
        <v>29</v>
      </c>
      <c r="N1017" s="4" t="s">
        <v>67</v>
      </c>
      <c r="O1017" s="4" t="s">
        <v>29</v>
      </c>
      <c r="P1017" s="4" t="s">
        <v>7031</v>
      </c>
      <c r="Q1017" s="6"/>
      <c r="R1017" s="6"/>
      <c r="S1017" s="6"/>
      <c r="T1017" s="6"/>
      <c r="U1017" s="6"/>
      <c r="V1017" s="6"/>
      <c r="W1017" s="6"/>
      <c r="X1017" s="6"/>
      <c r="Y1017" s="6"/>
    </row>
    <row r="1018" ht="14.25">
      <c r="B1018" s="4" t="s">
        <v>1001</v>
      </c>
      <c r="C1018" s="4" t="s">
        <v>7032</v>
      </c>
      <c r="D1018" s="4" t="s">
        <v>198</v>
      </c>
      <c r="E1018" s="4" t="s">
        <v>7033</v>
      </c>
      <c r="F1018" s="4" t="s">
        <v>7034</v>
      </c>
      <c r="G1018" s="4">
        <v>86</v>
      </c>
      <c r="H1018" s="4" t="s">
        <v>25</v>
      </c>
      <c r="I1018" s="4" t="str">
        <f>IFERROR(__XLUDF.DUMMYFUNCTION("VLOOKUP(G112,IMPORTRANGE(""https://docs.google.com/spreadsheets/d/1opm6ZNvGZ7KditA9TuJwrZ25eFLfTNIkrNnY6mhV5Eg"",""list!A1:C115""),3,TRUE)"),"le secteur de l'hôtellerie")</f>
        <v xml:space="preserve">le secteur de l'hôtellerie</v>
      </c>
      <c r="J1018" s="5" t="s">
        <v>7035</v>
      </c>
      <c r="K1018" s="5" t="s">
        <v>7036</v>
      </c>
      <c r="L1018" s="4" t="s">
        <v>39</v>
      </c>
      <c r="M1018" s="4" t="s">
        <v>29</v>
      </c>
      <c r="N1018" s="4" t="s">
        <v>7037</v>
      </c>
      <c r="O1018" s="4" t="s">
        <v>29</v>
      </c>
      <c r="P1018" s="4" t="s">
        <v>7038</v>
      </c>
      <c r="Q1018" s="6"/>
      <c r="R1018" s="6"/>
      <c r="S1018" s="6"/>
      <c r="T1018" s="6"/>
      <c r="U1018" s="6"/>
      <c r="V1018" s="6"/>
      <c r="W1018" s="6"/>
      <c r="X1018" s="6"/>
      <c r="Y1018" s="6"/>
    </row>
    <row r="1019" ht="14.25">
      <c r="B1019" s="4" t="s">
        <v>5579</v>
      </c>
      <c r="C1019" s="4" t="s">
        <v>7039</v>
      </c>
      <c r="D1019" s="4" t="s">
        <v>7040</v>
      </c>
      <c r="E1019" s="4" t="s">
        <v>7041</v>
      </c>
      <c r="F1019" s="4" t="s">
        <v>7042</v>
      </c>
      <c r="G1019" s="4">
        <v>360</v>
      </c>
      <c r="H1019" s="4" t="s">
        <v>25</v>
      </c>
      <c r="I1019" s="4" t="str">
        <f>IFERROR(__XLUDF.DUMMYFUNCTION("VLOOKUP(G113,IMPORTRANGE(""https://docs.google.com/spreadsheets/d/1opm6ZNvGZ7KditA9TuJwrZ25eFLfTNIkrNnY6mhV5Eg"",""list!A1:C115""),3,TRUE)"),"le secteur de l'hôtellerie")</f>
        <v xml:space="preserve">le secteur de l'hôtellerie</v>
      </c>
      <c r="J1019" s="5" t="s">
        <v>7043</v>
      </c>
      <c r="K1019" s="5" t="s">
        <v>7044</v>
      </c>
      <c r="L1019" s="4" t="s">
        <v>5456</v>
      </c>
      <c r="M1019" s="4" t="s">
        <v>29</v>
      </c>
      <c r="N1019" s="4" t="s">
        <v>7045</v>
      </c>
      <c r="O1019" s="4" t="s">
        <v>1152</v>
      </c>
      <c r="P1019" s="7"/>
      <c r="Q1019" s="6"/>
      <c r="R1019" s="6"/>
      <c r="S1019" s="6"/>
      <c r="T1019" s="6"/>
      <c r="U1019" s="6"/>
      <c r="V1019" s="6"/>
      <c r="W1019" s="6"/>
      <c r="X1019" s="6"/>
      <c r="Y1019" s="6"/>
    </row>
    <row r="1020" ht="14.25">
      <c r="B1020" s="4" t="s">
        <v>963</v>
      </c>
      <c r="C1020" s="4" t="s">
        <v>7046</v>
      </c>
      <c r="D1020" s="4" t="s">
        <v>7047</v>
      </c>
      <c r="E1020" s="4" t="s">
        <v>7048</v>
      </c>
      <c r="F1020" s="4" t="s">
        <v>7049</v>
      </c>
      <c r="G1020" s="4">
        <v>51</v>
      </c>
      <c r="H1020" s="4" t="s">
        <v>25</v>
      </c>
      <c r="I1020" s="4" t="str">
        <f>IFERROR(__XLUDF.DUMMYFUNCTION("VLOOKUP(G114,IMPORTRANGE(""https://docs.google.com/spreadsheets/d/1opm6ZNvGZ7KditA9TuJwrZ25eFLfTNIkrNnY6mhV5Eg"",""list!A1:C115""),3,TRUE)"),"le secteur de l'hôtellerie")</f>
        <v xml:space="preserve">le secteur de l'hôtellerie</v>
      </c>
      <c r="J1020" s="5" t="s">
        <v>7050</v>
      </c>
      <c r="K1020" s="5" t="s">
        <v>7051</v>
      </c>
      <c r="L1020" s="4" t="s">
        <v>185</v>
      </c>
      <c r="M1020" s="4" t="s">
        <v>29</v>
      </c>
      <c r="N1020" s="4" t="s">
        <v>125</v>
      </c>
      <c r="O1020" s="4" t="s">
        <v>29</v>
      </c>
      <c r="P1020" s="4" t="s">
        <v>7052</v>
      </c>
      <c r="Q1020" s="6"/>
      <c r="R1020" s="6"/>
      <c r="S1020" s="6"/>
      <c r="T1020" s="6"/>
      <c r="U1020" s="6"/>
      <c r="V1020" s="6"/>
      <c r="W1020" s="6"/>
      <c r="X1020" s="6"/>
      <c r="Y1020" s="6"/>
    </row>
    <row r="1021" ht="14.25">
      <c r="B1021" s="4" t="s">
        <v>2119</v>
      </c>
      <c r="C1021" s="4" t="s">
        <v>2947</v>
      </c>
      <c r="D1021" s="4" t="s">
        <v>172</v>
      </c>
      <c r="E1021" s="4" t="s">
        <v>2948</v>
      </c>
      <c r="F1021" s="4" t="s">
        <v>2949</v>
      </c>
      <c r="G1021" s="4">
        <v>77</v>
      </c>
      <c r="H1021" s="4" t="s">
        <v>25</v>
      </c>
      <c r="I1021" s="4" t="str">
        <f>IFERROR(__XLUDF.DUMMYFUNCTION("VLOOKUP(G115,IMPORTRANGE(""https://docs.google.com/spreadsheets/d/1opm6ZNvGZ7KditA9TuJwrZ25eFLfTNIkrNnY6mhV5Eg"",""list!A1:C115""),3,TRUE)"),"le secteur de l'hôtellerie")</f>
        <v xml:space="preserve">le secteur de l'hôtellerie</v>
      </c>
      <c r="J1021" s="5" t="s">
        <v>2950</v>
      </c>
      <c r="K1021" s="5" t="s">
        <v>7053</v>
      </c>
      <c r="L1021" s="7"/>
      <c r="M1021" s="4" t="s">
        <v>29</v>
      </c>
      <c r="N1021" s="4" t="s">
        <v>2952</v>
      </c>
      <c r="O1021" s="4" t="s">
        <v>2953</v>
      </c>
      <c r="P1021" s="4" t="s">
        <v>2954</v>
      </c>
      <c r="Q1021" s="6"/>
      <c r="R1021" s="6"/>
      <c r="S1021" s="6"/>
      <c r="T1021" s="6"/>
      <c r="U1021" s="6"/>
      <c r="V1021" s="6"/>
      <c r="W1021" s="6"/>
      <c r="X1021" s="6"/>
      <c r="Y1021" s="6"/>
    </row>
    <row r="1022" ht="14.25">
      <c r="B1022" s="4" t="s">
        <v>2119</v>
      </c>
      <c r="C1022" s="4" t="s">
        <v>3688</v>
      </c>
      <c r="D1022" s="4" t="s">
        <v>172</v>
      </c>
      <c r="E1022" s="4" t="s">
        <v>3689</v>
      </c>
      <c r="F1022" s="4" t="s">
        <v>3690</v>
      </c>
      <c r="G1022" s="4">
        <v>57</v>
      </c>
      <c r="H1022" s="4" t="s">
        <v>25</v>
      </c>
      <c r="I1022" s="4" t="str">
        <f>IFERROR(__XLUDF.DUMMYFUNCTION("VLOOKUP(G116,IMPORTRANGE(""https://docs.google.com/spreadsheets/d/1opm6ZNvGZ7KditA9TuJwrZ25eFLfTNIkrNnY6mhV5Eg"",""list!A1:C115""),3,TRUE)"),"le secteur de l'hôtellerie")</f>
        <v xml:space="preserve">le secteur de l'hôtellerie</v>
      </c>
      <c r="J1022" s="5" t="s">
        <v>3691</v>
      </c>
      <c r="K1022" s="5" t="s">
        <v>7054</v>
      </c>
      <c r="L1022" s="4" t="s">
        <v>39</v>
      </c>
      <c r="M1022" s="4" t="s">
        <v>29</v>
      </c>
      <c r="N1022" s="4" t="s">
        <v>3693</v>
      </c>
      <c r="O1022" s="4" t="s">
        <v>29</v>
      </c>
      <c r="P1022" s="4" t="s">
        <v>3694</v>
      </c>
      <c r="Q1022" s="6"/>
      <c r="R1022" s="6"/>
      <c r="S1022" s="6"/>
      <c r="T1022" s="6"/>
      <c r="U1022" s="6"/>
      <c r="V1022" s="6"/>
      <c r="W1022" s="6"/>
      <c r="X1022" s="6"/>
      <c r="Y1022" s="6"/>
    </row>
    <row r="1023" ht="14.25">
      <c r="B1023" s="4" t="s">
        <v>3540</v>
      </c>
      <c r="C1023" s="4" t="s">
        <v>7055</v>
      </c>
      <c r="D1023" s="4" t="s">
        <v>7056</v>
      </c>
      <c r="E1023" s="4" t="s">
        <v>6805</v>
      </c>
      <c r="F1023" s="4" t="s">
        <v>7057</v>
      </c>
      <c r="G1023" s="4">
        <v>190</v>
      </c>
      <c r="H1023" s="4" t="s">
        <v>25</v>
      </c>
      <c r="I1023" s="4" t="str">
        <f>IFERROR(__XLUDF.DUMMYFUNCTION("VLOOKUP(G117,IMPORTRANGE(""https://docs.google.com/spreadsheets/d/1opm6ZNvGZ7KditA9TuJwrZ25eFLfTNIkrNnY6mhV5Eg"",""list!A1:C115""),3,TRUE)"),"le secteur de l'hôtellerie")</f>
        <v xml:space="preserve">le secteur de l'hôtellerie</v>
      </c>
      <c r="J1023" s="5" t="s">
        <v>7058</v>
      </c>
      <c r="K1023" s="5" t="s">
        <v>6808</v>
      </c>
      <c r="L1023" s="7"/>
      <c r="M1023" s="4" t="s">
        <v>29</v>
      </c>
      <c r="N1023" s="4" t="s">
        <v>6520</v>
      </c>
      <c r="O1023" s="4" t="s">
        <v>29</v>
      </c>
      <c r="P1023" s="4" t="s">
        <v>6809</v>
      </c>
      <c r="Q1023" s="6"/>
      <c r="R1023" s="6"/>
      <c r="S1023" s="6"/>
      <c r="T1023" s="6"/>
      <c r="U1023" s="6"/>
      <c r="V1023" s="6"/>
      <c r="W1023" s="6"/>
      <c r="X1023" s="6"/>
      <c r="Y1023" s="6"/>
    </row>
    <row r="1024" ht="14.25">
      <c r="B1024" s="4" t="s">
        <v>963</v>
      </c>
      <c r="C1024" s="4" t="s">
        <v>7059</v>
      </c>
      <c r="D1024" s="4" t="s">
        <v>62</v>
      </c>
      <c r="E1024" s="4" t="s">
        <v>7060</v>
      </c>
      <c r="F1024" s="4" t="s">
        <v>7061</v>
      </c>
      <c r="G1024" s="4">
        <v>210</v>
      </c>
      <c r="H1024" s="4" t="s">
        <v>25</v>
      </c>
      <c r="I1024" s="4" t="str">
        <f>IFERROR(__XLUDF.DUMMYFUNCTION("VLOOKUP(G118,IMPORTRANGE(""https://docs.google.com/spreadsheets/d/1opm6ZNvGZ7KditA9TuJwrZ25eFLfTNIkrNnY6mhV5Eg"",""list!A1:C115""),3,TRUE)"),"le secteur de l'hôtellerie")</f>
        <v xml:space="preserve">le secteur de l'hôtellerie</v>
      </c>
      <c r="J1024" s="5" t="s">
        <v>7062</v>
      </c>
      <c r="K1024" s="5" t="s">
        <v>7063</v>
      </c>
      <c r="L1024" s="4" t="s">
        <v>39</v>
      </c>
      <c r="M1024" s="4" t="s">
        <v>29</v>
      </c>
      <c r="N1024" s="4" t="s">
        <v>7064</v>
      </c>
      <c r="O1024" s="4" t="s">
        <v>29</v>
      </c>
      <c r="P1024" s="4" t="s">
        <v>7065</v>
      </c>
      <c r="Q1024" s="6"/>
      <c r="R1024" s="6"/>
      <c r="S1024" s="6"/>
      <c r="T1024" s="6"/>
      <c r="U1024" s="6"/>
      <c r="V1024" s="6"/>
      <c r="W1024" s="6"/>
      <c r="X1024" s="6"/>
      <c r="Y1024" s="6"/>
    </row>
    <row r="1025" ht="14.25">
      <c r="B1025" s="4" t="s">
        <v>963</v>
      </c>
      <c r="C1025" s="4" t="s">
        <v>7066</v>
      </c>
      <c r="D1025" s="4" t="s">
        <v>62</v>
      </c>
      <c r="E1025" s="4" t="s">
        <v>6577</v>
      </c>
      <c r="F1025" s="4" t="s">
        <v>7067</v>
      </c>
      <c r="G1025" s="4">
        <v>62</v>
      </c>
      <c r="H1025" s="4" t="s">
        <v>25</v>
      </c>
      <c r="I1025" s="4" t="str">
        <f>IFERROR(__XLUDF.DUMMYFUNCTION("VLOOKUP(G119,IMPORTRANGE(""https://docs.google.com/spreadsheets/d/1opm6ZNvGZ7KditA9TuJwrZ25eFLfTNIkrNnY6mhV5Eg"",""list!A1:C115""),3,TRUE)"),"le secteur de l'hôtellerie")</f>
        <v xml:space="preserve">le secteur de l'hôtellerie</v>
      </c>
      <c r="J1025" s="5" t="s">
        <v>7068</v>
      </c>
      <c r="K1025" s="5" t="s">
        <v>6580</v>
      </c>
      <c r="L1025" s="4" t="s">
        <v>39</v>
      </c>
      <c r="M1025" s="4" t="s">
        <v>29</v>
      </c>
      <c r="N1025" s="4" t="s">
        <v>6581</v>
      </c>
      <c r="O1025" s="4" t="s">
        <v>29</v>
      </c>
      <c r="P1025" s="4" t="s">
        <v>6582</v>
      </c>
      <c r="Q1025" s="6"/>
      <c r="R1025" s="6"/>
      <c r="S1025" s="6"/>
      <c r="T1025" s="6"/>
      <c r="U1025" s="6"/>
      <c r="V1025" s="6"/>
      <c r="W1025" s="6"/>
      <c r="X1025" s="6"/>
      <c r="Y1025" s="6"/>
    </row>
    <row r="1026" ht="14.25">
      <c r="B1026" s="4" t="s">
        <v>206</v>
      </c>
      <c r="C1026" s="4" t="s">
        <v>7069</v>
      </c>
      <c r="D1026" s="4" t="s">
        <v>112</v>
      </c>
      <c r="E1026" s="4" t="s">
        <v>7070</v>
      </c>
      <c r="F1026" s="4" t="s">
        <v>7071</v>
      </c>
      <c r="G1026" s="4">
        <v>78</v>
      </c>
      <c r="H1026" s="4" t="s">
        <v>25</v>
      </c>
      <c r="I1026" s="4" t="str">
        <f>IFERROR(__XLUDF.DUMMYFUNCTION("VLOOKUP(G120,IMPORTRANGE(""https://docs.google.com/spreadsheets/d/1opm6ZNvGZ7KditA9TuJwrZ25eFLfTNIkrNnY6mhV5Eg"",""list!A1:C115""),3,TRUE)"),"le secteur de l'hôtellerie")</f>
        <v xml:space="preserve">le secteur de l'hôtellerie</v>
      </c>
      <c r="J1026" s="5" t="s">
        <v>7072</v>
      </c>
      <c r="K1026" s="5" t="s">
        <v>7073</v>
      </c>
      <c r="L1026" s="7"/>
      <c r="M1026" s="4" t="s">
        <v>29</v>
      </c>
      <c r="N1026" s="4" t="s">
        <v>7074</v>
      </c>
      <c r="O1026" s="4" t="s">
        <v>29</v>
      </c>
      <c r="P1026" s="4" t="s">
        <v>7075</v>
      </c>
      <c r="Q1026" s="6"/>
      <c r="R1026" s="6"/>
      <c r="S1026" s="6"/>
      <c r="T1026" s="6"/>
      <c r="U1026" s="6"/>
      <c r="V1026" s="6"/>
      <c r="W1026" s="6"/>
      <c r="X1026" s="6"/>
      <c r="Y1026" s="6"/>
    </row>
    <row r="1027" ht="14.25">
      <c r="B1027" s="4" t="s">
        <v>2634</v>
      </c>
      <c r="C1027" s="4" t="s">
        <v>7076</v>
      </c>
      <c r="D1027" s="4" t="s">
        <v>198</v>
      </c>
      <c r="E1027" s="4" t="s">
        <v>7077</v>
      </c>
      <c r="F1027" s="4" t="s">
        <v>7078</v>
      </c>
      <c r="G1027" s="4">
        <v>170</v>
      </c>
      <c r="H1027" s="4" t="s">
        <v>25</v>
      </c>
      <c r="I1027" s="4" t="str">
        <f>IFERROR(__XLUDF.DUMMYFUNCTION("VLOOKUP(G121,IMPORTRANGE(""https://docs.google.com/spreadsheets/d/1opm6ZNvGZ7KditA9TuJwrZ25eFLfTNIkrNnY6mhV5Eg"",""list!A1:C115""),3,TRUE)"),"le secteur de l'hôtellerie")</f>
        <v xml:space="preserve">le secteur de l'hôtellerie</v>
      </c>
      <c r="J1027" s="5" t="s">
        <v>7079</v>
      </c>
      <c r="K1027" s="5" t="s">
        <v>7080</v>
      </c>
      <c r="L1027" s="4" t="s">
        <v>39</v>
      </c>
      <c r="M1027" s="4" t="s">
        <v>29</v>
      </c>
      <c r="N1027" s="4" t="s">
        <v>7081</v>
      </c>
      <c r="O1027" s="4" t="s">
        <v>29</v>
      </c>
      <c r="P1027" s="4" t="s">
        <v>7082</v>
      </c>
      <c r="Q1027" s="6"/>
      <c r="R1027" s="6"/>
      <c r="S1027" s="6"/>
      <c r="T1027" s="6"/>
      <c r="U1027" s="6"/>
      <c r="V1027" s="6"/>
      <c r="W1027" s="6"/>
      <c r="X1027" s="6"/>
      <c r="Y1027" s="6"/>
    </row>
    <row r="1028" ht="14.25">
      <c r="B1028" s="4" t="s">
        <v>170</v>
      </c>
      <c r="C1028" s="4" t="s">
        <v>7083</v>
      </c>
      <c r="D1028" s="4" t="s">
        <v>7084</v>
      </c>
      <c r="E1028" s="4" t="s">
        <v>7085</v>
      </c>
      <c r="F1028" s="4" t="s">
        <v>7086</v>
      </c>
      <c r="G1028" s="4">
        <v>180</v>
      </c>
      <c r="H1028" s="4" t="s">
        <v>25</v>
      </c>
      <c r="I1028" s="4" t="str">
        <f>IFERROR(__XLUDF.DUMMYFUNCTION("VLOOKUP(G122,IMPORTRANGE(""https://docs.google.com/spreadsheets/d/1opm6ZNvGZ7KditA9TuJwrZ25eFLfTNIkrNnY6mhV5Eg"",""list!A1:C115""),3,TRUE)"),"le secteur de l'hôtellerie")</f>
        <v xml:space="preserve">le secteur de l'hôtellerie</v>
      </c>
      <c r="J1028" s="5" t="s">
        <v>7087</v>
      </c>
      <c r="K1028" s="5" t="s">
        <v>7088</v>
      </c>
      <c r="L1028" s="7"/>
      <c r="M1028" s="4" t="s">
        <v>29</v>
      </c>
      <c r="N1028" s="4" t="s">
        <v>7089</v>
      </c>
      <c r="O1028" s="4" t="s">
        <v>1152</v>
      </c>
      <c r="P1028" s="4" t="s">
        <v>7090</v>
      </c>
      <c r="Q1028" s="6"/>
      <c r="R1028" s="6"/>
      <c r="S1028" s="6"/>
      <c r="T1028" s="6"/>
      <c r="U1028" s="6"/>
      <c r="V1028" s="6"/>
      <c r="W1028" s="6"/>
      <c r="X1028" s="6"/>
      <c r="Y1028" s="6"/>
    </row>
    <row r="1029" ht="14.25">
      <c r="B1029" s="4" t="s">
        <v>7091</v>
      </c>
      <c r="C1029" s="4" t="s">
        <v>7092</v>
      </c>
      <c r="D1029" s="4" t="s">
        <v>172</v>
      </c>
      <c r="E1029" s="4" t="s">
        <v>6657</v>
      </c>
      <c r="F1029" s="4" t="s">
        <v>7093</v>
      </c>
      <c r="G1029" s="4">
        <v>88</v>
      </c>
      <c r="H1029" s="4" t="s">
        <v>25</v>
      </c>
      <c r="I1029" s="4" t="str">
        <f>IFERROR(__XLUDF.DUMMYFUNCTION("VLOOKUP(G123,IMPORTRANGE(""https://docs.google.com/spreadsheets/d/1opm6ZNvGZ7KditA9TuJwrZ25eFLfTNIkrNnY6mhV5Eg"",""list!A1:C115""),3,TRUE)"),"le secteur de l'hôtellerie")</f>
        <v xml:space="preserve">le secteur de l'hôtellerie</v>
      </c>
      <c r="J1029" s="5" t="s">
        <v>7094</v>
      </c>
      <c r="K1029" s="5" t="s">
        <v>6660</v>
      </c>
      <c r="L1029" s="4" t="s">
        <v>185</v>
      </c>
      <c r="M1029" s="4" t="s">
        <v>29</v>
      </c>
      <c r="N1029" s="4" t="s">
        <v>6661</v>
      </c>
      <c r="O1029" s="4" t="s">
        <v>29</v>
      </c>
      <c r="P1029" s="4" t="s">
        <v>6662</v>
      </c>
      <c r="Q1029" s="6"/>
      <c r="R1029" s="6"/>
      <c r="S1029" s="6"/>
      <c r="T1029" s="6"/>
      <c r="U1029" s="6"/>
      <c r="V1029" s="6"/>
      <c r="W1029" s="6"/>
      <c r="X1029" s="6"/>
      <c r="Y1029" s="6"/>
    </row>
    <row r="1030" ht="14.25">
      <c r="B1030" s="4" t="s">
        <v>986</v>
      </c>
      <c r="C1030" s="4" t="s">
        <v>7095</v>
      </c>
      <c r="D1030" s="4" t="s">
        <v>7096</v>
      </c>
      <c r="E1030" s="4" t="s">
        <v>7097</v>
      </c>
      <c r="F1030" s="4" t="s">
        <v>7098</v>
      </c>
      <c r="G1030" s="4">
        <v>91</v>
      </c>
      <c r="H1030" s="4" t="s">
        <v>25</v>
      </c>
      <c r="I1030" s="4" t="str">
        <f>IFERROR(__XLUDF.DUMMYFUNCTION("VLOOKUP(G124,IMPORTRANGE(""https://docs.google.com/spreadsheets/d/1opm6ZNvGZ7KditA9TuJwrZ25eFLfTNIkrNnY6mhV5Eg"",""list!A1:C115""),3,TRUE)"),"le secteur de l'hôtellerie")</f>
        <v xml:space="preserve">le secteur de l'hôtellerie</v>
      </c>
      <c r="J1030" s="5" t="s">
        <v>7099</v>
      </c>
      <c r="K1030" s="5" t="s">
        <v>7100</v>
      </c>
      <c r="L1030" s="4" t="s">
        <v>39</v>
      </c>
      <c r="M1030" s="4" t="s">
        <v>29</v>
      </c>
      <c r="N1030" s="4" t="s">
        <v>7101</v>
      </c>
      <c r="O1030" s="4" t="s">
        <v>29</v>
      </c>
      <c r="P1030" s="4" t="s">
        <v>7102</v>
      </c>
      <c r="Q1030" s="6"/>
      <c r="R1030" s="6"/>
      <c r="S1030" s="6"/>
      <c r="T1030" s="6"/>
      <c r="U1030" s="6"/>
      <c r="V1030" s="6"/>
      <c r="W1030" s="6"/>
      <c r="X1030" s="6"/>
      <c r="Y1030" s="6"/>
    </row>
    <row r="1031" ht="14.25">
      <c r="B1031" s="4" t="s">
        <v>110</v>
      </c>
      <c r="C1031" s="4" t="s">
        <v>4197</v>
      </c>
      <c r="D1031" s="4" t="s">
        <v>315</v>
      </c>
      <c r="E1031" s="4" t="s">
        <v>6591</v>
      </c>
      <c r="F1031" s="4" t="s">
        <v>7103</v>
      </c>
      <c r="G1031" s="4">
        <v>82</v>
      </c>
      <c r="H1031" s="4" t="s">
        <v>25</v>
      </c>
      <c r="I1031" s="4" t="str">
        <f>IFERROR(__XLUDF.DUMMYFUNCTION("VLOOKUP(G125,IMPORTRANGE(""https://docs.google.com/spreadsheets/d/1opm6ZNvGZ7KditA9TuJwrZ25eFLfTNIkrNnY6mhV5Eg"",""list!A1:C115""),3,TRUE)"),"le secteur de l'hôtellerie")</f>
        <v xml:space="preserve">le secteur de l'hôtellerie</v>
      </c>
      <c r="J1031" s="5" t="s">
        <v>7104</v>
      </c>
      <c r="K1031" s="5" t="s">
        <v>6594</v>
      </c>
      <c r="L1031" s="4" t="s">
        <v>6595</v>
      </c>
      <c r="M1031" s="4" t="s">
        <v>29</v>
      </c>
      <c r="N1031" s="4" t="s">
        <v>6596</v>
      </c>
      <c r="O1031" s="4" t="s">
        <v>29</v>
      </c>
      <c r="P1031" s="4" t="s">
        <v>6597</v>
      </c>
      <c r="Q1031" s="6"/>
      <c r="R1031" s="6"/>
      <c r="S1031" s="6"/>
      <c r="T1031" s="6"/>
      <c r="U1031" s="6"/>
      <c r="V1031" s="6"/>
      <c r="W1031" s="6"/>
      <c r="X1031" s="6"/>
      <c r="Y1031" s="6"/>
    </row>
    <row r="1032" ht="14.25">
      <c r="B1032" s="4" t="s">
        <v>110</v>
      </c>
      <c r="C1032" s="4" t="s">
        <v>7105</v>
      </c>
      <c r="D1032" s="4" t="s">
        <v>172</v>
      </c>
      <c r="E1032" s="4" t="s">
        <v>7106</v>
      </c>
      <c r="F1032" s="4" t="s">
        <v>7107</v>
      </c>
      <c r="G1032" s="4">
        <v>140</v>
      </c>
      <c r="H1032" s="4" t="s">
        <v>25</v>
      </c>
      <c r="I1032" s="4" t="str">
        <f>IFERROR(__XLUDF.DUMMYFUNCTION("VLOOKUP(G126,IMPORTRANGE(""https://docs.google.com/spreadsheets/d/1opm6ZNvGZ7KditA9TuJwrZ25eFLfTNIkrNnY6mhV5Eg"",""list!A1:C115""),3,TRUE)"),"le secteur de l'hôtellerie")</f>
        <v xml:space="preserve">le secteur de l'hôtellerie</v>
      </c>
      <c r="J1032" s="5" t="s">
        <v>7108</v>
      </c>
      <c r="K1032" s="5" t="s">
        <v>7109</v>
      </c>
      <c r="L1032" s="7"/>
      <c r="M1032" s="4" t="s">
        <v>29</v>
      </c>
      <c r="N1032" s="4" t="s">
        <v>7110</v>
      </c>
      <c r="O1032" s="4" t="s">
        <v>29</v>
      </c>
      <c r="P1032" s="4" t="s">
        <v>7111</v>
      </c>
      <c r="Q1032" s="6"/>
      <c r="R1032" s="6"/>
      <c r="S1032" s="6"/>
      <c r="T1032" s="6"/>
      <c r="U1032" s="6"/>
      <c r="V1032" s="6"/>
      <c r="W1032" s="6"/>
      <c r="X1032" s="6"/>
      <c r="Y1032" s="6"/>
    </row>
    <row r="1033" ht="14.25">
      <c r="B1033" s="4" t="s">
        <v>110</v>
      </c>
      <c r="C1033" s="4" t="s">
        <v>7112</v>
      </c>
      <c r="D1033" s="4" t="s">
        <v>341</v>
      </c>
      <c r="E1033" s="4" t="s">
        <v>7113</v>
      </c>
      <c r="F1033" s="4" t="s">
        <v>7114</v>
      </c>
      <c r="G1033" s="4">
        <v>56</v>
      </c>
      <c r="H1033" s="4" t="s">
        <v>25</v>
      </c>
      <c r="I1033" s="4" t="str">
        <f>IFERROR(__XLUDF.DUMMYFUNCTION("VLOOKUP(G127,IMPORTRANGE(""https://docs.google.com/spreadsheets/d/1opm6ZNvGZ7KditA9TuJwrZ25eFLfTNIkrNnY6mhV5Eg"",""list!A1:C115""),3,TRUE)"),"le secteur de l'hôtellerie")</f>
        <v xml:space="preserve">le secteur de l'hôtellerie</v>
      </c>
      <c r="J1033" s="5" t="s">
        <v>7115</v>
      </c>
      <c r="K1033" s="5" t="s">
        <v>7116</v>
      </c>
      <c r="L1033" s="4" t="s">
        <v>39</v>
      </c>
      <c r="M1033" s="4" t="s">
        <v>29</v>
      </c>
      <c r="N1033" s="4" t="s">
        <v>5441</v>
      </c>
      <c r="O1033" s="4" t="s">
        <v>29</v>
      </c>
      <c r="P1033" s="7"/>
      <c r="Q1033" s="6"/>
      <c r="R1033" s="6"/>
      <c r="S1033" s="6"/>
      <c r="T1033" s="6"/>
      <c r="U1033" s="6"/>
      <c r="V1033" s="6"/>
      <c r="W1033" s="6"/>
      <c r="X1033" s="6"/>
      <c r="Y1033" s="6"/>
    </row>
    <row r="1034" ht="14.25">
      <c r="B1034" s="4" t="s">
        <v>330</v>
      </c>
      <c r="C1034" s="4" t="s">
        <v>2683</v>
      </c>
      <c r="D1034" s="4" t="s">
        <v>172</v>
      </c>
      <c r="E1034" s="4" t="s">
        <v>2684</v>
      </c>
      <c r="F1034" s="4" t="s">
        <v>2685</v>
      </c>
      <c r="G1034" s="4">
        <v>52</v>
      </c>
      <c r="H1034" s="4" t="s">
        <v>25</v>
      </c>
      <c r="I1034" s="4" t="str">
        <f>IFERROR(__XLUDF.DUMMYFUNCTION("VLOOKUP(G128,IMPORTRANGE(""https://docs.google.com/spreadsheets/d/1opm6ZNvGZ7KditA9TuJwrZ25eFLfTNIkrNnY6mhV5Eg"",""list!A1:C115""),3,TRUE)"),"le secteur de l'hôtellerie")</f>
        <v xml:space="preserve">le secteur de l'hôtellerie</v>
      </c>
      <c r="J1034" s="5" t="s">
        <v>2686</v>
      </c>
      <c r="K1034" s="5" t="s">
        <v>7117</v>
      </c>
      <c r="L1034" s="4" t="s">
        <v>423</v>
      </c>
      <c r="M1034" s="4" t="s">
        <v>29</v>
      </c>
      <c r="N1034" s="4" t="s">
        <v>2688</v>
      </c>
      <c r="O1034" s="4" t="s">
        <v>29</v>
      </c>
      <c r="P1034" s="4" t="s">
        <v>2689</v>
      </c>
      <c r="Q1034" s="6"/>
      <c r="R1034" s="6"/>
      <c r="S1034" s="6"/>
      <c r="T1034" s="6"/>
      <c r="U1034" s="6"/>
      <c r="V1034" s="6"/>
      <c r="W1034" s="6"/>
      <c r="X1034" s="6"/>
      <c r="Y1034" s="6"/>
    </row>
    <row r="1035" ht="14.25">
      <c r="B1035" s="4" t="s">
        <v>330</v>
      </c>
      <c r="C1035" s="4" t="s">
        <v>7118</v>
      </c>
      <c r="D1035" s="4" t="s">
        <v>426</v>
      </c>
      <c r="E1035" s="4" t="s">
        <v>6614</v>
      </c>
      <c r="F1035" s="4" t="s">
        <v>7119</v>
      </c>
      <c r="G1035" s="4">
        <v>390</v>
      </c>
      <c r="H1035" s="4" t="s">
        <v>25</v>
      </c>
      <c r="I1035" s="4" t="str">
        <f>IFERROR(__XLUDF.DUMMYFUNCTION("VLOOKUP(G129,IMPORTRANGE(""https://docs.google.com/spreadsheets/d/1opm6ZNvGZ7KditA9TuJwrZ25eFLfTNIkrNnY6mhV5Eg"",""list!A1:C115""),3,TRUE)"),"le secteur de l'hôtellerie")</f>
        <v xml:space="preserve">le secteur de l'hôtellerie</v>
      </c>
      <c r="J1035" s="5" t="s">
        <v>7120</v>
      </c>
      <c r="K1035" s="5" t="s">
        <v>6617</v>
      </c>
      <c r="L1035" s="4" t="s">
        <v>39</v>
      </c>
      <c r="M1035" s="4" t="s">
        <v>29</v>
      </c>
      <c r="N1035" s="4" t="s">
        <v>6618</v>
      </c>
      <c r="O1035" s="4" t="s">
        <v>29</v>
      </c>
      <c r="P1035" s="7"/>
      <c r="Q1035" s="6"/>
      <c r="R1035" s="6"/>
      <c r="S1035" s="6"/>
      <c r="T1035" s="6"/>
      <c r="U1035" s="6"/>
      <c r="V1035" s="6"/>
      <c r="W1035" s="6"/>
      <c r="X1035" s="6"/>
      <c r="Y1035" s="6"/>
    </row>
    <row r="1036" ht="14.25">
      <c r="B1036" s="4" t="s">
        <v>330</v>
      </c>
      <c r="C1036" s="4" t="s">
        <v>7121</v>
      </c>
      <c r="D1036" s="4" t="s">
        <v>7122</v>
      </c>
      <c r="E1036" s="4" t="s">
        <v>7123</v>
      </c>
      <c r="F1036" s="4" t="s">
        <v>7124</v>
      </c>
      <c r="G1036" s="4">
        <v>110</v>
      </c>
      <c r="H1036" s="4" t="s">
        <v>25</v>
      </c>
      <c r="I1036" s="4" t="str">
        <f>IFERROR(__XLUDF.DUMMYFUNCTION("VLOOKUP(G130,IMPORTRANGE(""https://docs.google.com/spreadsheets/d/1opm6ZNvGZ7KditA9TuJwrZ25eFLfTNIkrNnY6mhV5Eg"",""list!A1:C115""),3,TRUE)"),"le secteur de l'hôtellerie")</f>
        <v xml:space="preserve">le secteur de l'hôtellerie</v>
      </c>
      <c r="J1036" s="5" t="s">
        <v>7125</v>
      </c>
      <c r="K1036" s="5" t="s">
        <v>7126</v>
      </c>
      <c r="L1036" s="4" t="s">
        <v>185</v>
      </c>
      <c r="M1036" s="4" t="s">
        <v>29</v>
      </c>
      <c r="N1036" s="4" t="s">
        <v>7127</v>
      </c>
      <c r="O1036" s="4" t="s">
        <v>29</v>
      </c>
      <c r="P1036" s="4" t="s">
        <v>7128</v>
      </c>
      <c r="Q1036" s="6"/>
      <c r="R1036" s="6"/>
      <c r="S1036" s="6"/>
      <c r="T1036" s="6"/>
      <c r="U1036" s="6"/>
      <c r="V1036" s="6"/>
      <c r="W1036" s="6"/>
      <c r="X1036" s="6"/>
      <c r="Y1036" s="6"/>
    </row>
    <row r="1037" ht="14.25">
      <c r="B1037" s="4" t="s">
        <v>330</v>
      </c>
      <c r="C1037" s="4" t="s">
        <v>7129</v>
      </c>
      <c r="D1037" s="4" t="s">
        <v>468</v>
      </c>
      <c r="E1037" s="4" t="s">
        <v>7130</v>
      </c>
      <c r="F1037" s="4" t="s">
        <v>7131</v>
      </c>
      <c r="G1037" s="4">
        <v>210</v>
      </c>
      <c r="H1037" s="4" t="s">
        <v>25</v>
      </c>
      <c r="I1037" s="4" t="str">
        <f>IFERROR(__XLUDF.DUMMYFUNCTION("VLOOKUP(G131,IMPORTRANGE(""https://docs.google.com/spreadsheets/d/1opm6ZNvGZ7KditA9TuJwrZ25eFLfTNIkrNnY6mhV5Eg"",""list!A1:C115""),3,TRUE)"),"le secteur de l'hôtellerie")</f>
        <v xml:space="preserve">le secteur de l'hôtellerie</v>
      </c>
      <c r="J1037" s="5" t="s">
        <v>7132</v>
      </c>
      <c r="K1037" s="5" t="s">
        <v>7133</v>
      </c>
      <c r="L1037" s="4" t="s">
        <v>39</v>
      </c>
      <c r="M1037" s="4" t="s">
        <v>29</v>
      </c>
      <c r="N1037" s="4" t="s">
        <v>7134</v>
      </c>
      <c r="O1037" s="4" t="s">
        <v>29</v>
      </c>
      <c r="P1037" s="4" t="s">
        <v>7135</v>
      </c>
      <c r="Q1037" s="6"/>
      <c r="R1037" s="6"/>
      <c r="S1037" s="6"/>
      <c r="T1037" s="6"/>
      <c r="U1037" s="6"/>
      <c r="V1037" s="6"/>
      <c r="W1037" s="6"/>
      <c r="X1037" s="6"/>
      <c r="Y1037" s="6"/>
    </row>
    <row r="1038" ht="14.25">
      <c r="B1038" s="4" t="s">
        <v>330</v>
      </c>
      <c r="C1038" s="4" t="s">
        <v>4132</v>
      </c>
      <c r="D1038" s="4" t="s">
        <v>87</v>
      </c>
      <c r="E1038" s="4" t="s">
        <v>7136</v>
      </c>
      <c r="F1038" s="4" t="s">
        <v>7137</v>
      </c>
      <c r="G1038" s="4">
        <v>81</v>
      </c>
      <c r="H1038" s="4" t="s">
        <v>25</v>
      </c>
      <c r="I1038" s="4" t="str">
        <f>IFERROR(__XLUDF.DUMMYFUNCTION("VLOOKUP(G132,IMPORTRANGE(""https://docs.google.com/spreadsheets/d/1opm6ZNvGZ7KditA9TuJwrZ25eFLfTNIkrNnY6mhV5Eg"",""list!A1:C115""),3,TRUE)"),"le secteur de l'hôtellerie")</f>
        <v xml:space="preserve">le secteur de l'hôtellerie</v>
      </c>
      <c r="J1038" s="5" t="s">
        <v>7138</v>
      </c>
      <c r="K1038" s="5" t="s">
        <v>7139</v>
      </c>
      <c r="L1038" s="7"/>
      <c r="M1038" s="4" t="s">
        <v>29</v>
      </c>
      <c r="N1038" s="4" t="s">
        <v>7140</v>
      </c>
      <c r="O1038" s="4" t="s">
        <v>29</v>
      </c>
      <c r="P1038" s="4" t="s">
        <v>7141</v>
      </c>
      <c r="Q1038" s="6"/>
      <c r="R1038" s="6"/>
      <c r="S1038" s="6"/>
      <c r="T1038" s="6"/>
      <c r="U1038" s="6"/>
      <c r="V1038" s="6"/>
      <c r="W1038" s="6"/>
      <c r="X1038" s="6"/>
      <c r="Y1038" s="6"/>
    </row>
    <row r="1039" ht="14.25">
      <c r="B1039" s="4" t="s">
        <v>1215</v>
      </c>
      <c r="C1039" s="4" t="s">
        <v>4185</v>
      </c>
      <c r="D1039" s="4" t="s">
        <v>426</v>
      </c>
      <c r="E1039" s="4" t="s">
        <v>2684</v>
      </c>
      <c r="F1039" s="4" t="s">
        <v>4186</v>
      </c>
      <c r="G1039" s="4">
        <v>52</v>
      </c>
      <c r="H1039" s="4" t="s">
        <v>25</v>
      </c>
      <c r="I1039" s="4" t="str">
        <f>IFERROR(__XLUDF.DUMMYFUNCTION("VLOOKUP(G133,IMPORTRANGE(""https://docs.google.com/spreadsheets/d/1opm6ZNvGZ7KditA9TuJwrZ25eFLfTNIkrNnY6mhV5Eg"",""list!A1:C115""),3,TRUE)"),"le secteur de l'hôtellerie")</f>
        <v xml:space="preserve">le secteur de l'hôtellerie</v>
      </c>
      <c r="J1039" s="5" t="s">
        <v>4187</v>
      </c>
      <c r="K1039" s="5" t="s">
        <v>7117</v>
      </c>
      <c r="L1039" s="7"/>
      <c r="M1039" s="4" t="s">
        <v>29</v>
      </c>
      <c r="N1039" s="4" t="s">
        <v>2688</v>
      </c>
      <c r="O1039" s="4" t="s">
        <v>29</v>
      </c>
      <c r="P1039" s="4" t="s">
        <v>2689</v>
      </c>
      <c r="Q1039" s="6"/>
      <c r="R1039" s="6"/>
      <c r="S1039" s="6"/>
      <c r="T1039" s="6"/>
      <c r="U1039" s="6"/>
      <c r="V1039" s="6"/>
      <c r="W1039" s="6"/>
      <c r="X1039" s="6"/>
      <c r="Y1039" s="6"/>
    </row>
    <row r="1040" ht="14.25">
      <c r="B1040" s="4" t="s">
        <v>1215</v>
      </c>
      <c r="C1040" s="4" t="s">
        <v>7142</v>
      </c>
      <c r="D1040" s="4" t="s">
        <v>7143</v>
      </c>
      <c r="E1040" s="4" t="s">
        <v>6672</v>
      </c>
      <c r="F1040" s="4" t="s">
        <v>7144</v>
      </c>
      <c r="G1040" s="4">
        <v>140</v>
      </c>
      <c r="H1040" s="4" t="s">
        <v>25</v>
      </c>
      <c r="I1040" s="4" t="str">
        <f>IFERROR(__XLUDF.DUMMYFUNCTION("VLOOKUP(G134,IMPORTRANGE(""https://docs.google.com/spreadsheets/d/1opm6ZNvGZ7KditA9TuJwrZ25eFLfTNIkrNnY6mhV5Eg"",""list!A1:C115""),3,TRUE)"),"le secteur de l'hôtellerie")</f>
        <v xml:space="preserve">le secteur de l'hôtellerie</v>
      </c>
      <c r="J1040" s="5" t="s">
        <v>7145</v>
      </c>
      <c r="K1040" s="5" t="s">
        <v>6675</v>
      </c>
      <c r="L1040" s="4" t="s">
        <v>243</v>
      </c>
      <c r="M1040" s="4" t="s">
        <v>29</v>
      </c>
      <c r="N1040" s="4" t="s">
        <v>6676</v>
      </c>
      <c r="O1040" s="4" t="s">
        <v>29</v>
      </c>
      <c r="P1040" s="4" t="s">
        <v>6677</v>
      </c>
      <c r="Q1040" s="6"/>
      <c r="R1040" s="6"/>
      <c r="S1040" s="6"/>
      <c r="T1040" s="6"/>
      <c r="U1040" s="6"/>
      <c r="V1040" s="6"/>
      <c r="W1040" s="6"/>
      <c r="X1040" s="6"/>
      <c r="Y1040" s="6"/>
    </row>
    <row r="1041" ht="14.25">
      <c r="B1041" s="4" t="s">
        <v>866</v>
      </c>
      <c r="C1041" s="4" t="s">
        <v>7146</v>
      </c>
      <c r="D1041" s="4" t="s">
        <v>7147</v>
      </c>
      <c r="E1041" s="4" t="s">
        <v>7148</v>
      </c>
      <c r="F1041" s="4" t="s">
        <v>7149</v>
      </c>
      <c r="G1041" s="4">
        <v>110</v>
      </c>
      <c r="H1041" s="4" t="s">
        <v>25</v>
      </c>
      <c r="I1041" s="4" t="str">
        <f>IFERROR(__XLUDF.DUMMYFUNCTION("VLOOKUP(G135,IMPORTRANGE(""https://docs.google.com/spreadsheets/d/1opm6ZNvGZ7KditA9TuJwrZ25eFLfTNIkrNnY6mhV5Eg"",""list!A1:C115""),3,TRUE)"),"le secteur de l'hôtellerie")</f>
        <v xml:space="preserve">le secteur de l'hôtellerie</v>
      </c>
      <c r="J1041" s="5" t="s">
        <v>7150</v>
      </c>
      <c r="K1041" s="5" t="s">
        <v>7151</v>
      </c>
      <c r="L1041" s="4" t="s">
        <v>1507</v>
      </c>
      <c r="M1041" s="4" t="s">
        <v>29</v>
      </c>
      <c r="N1041" s="4" t="s">
        <v>7152</v>
      </c>
      <c r="O1041" s="4" t="s">
        <v>1938</v>
      </c>
      <c r="P1041" s="4" t="s">
        <v>7153</v>
      </c>
      <c r="Q1041" s="6"/>
      <c r="R1041" s="6"/>
      <c r="S1041" s="6"/>
      <c r="T1041" s="6"/>
      <c r="U1041" s="6"/>
      <c r="V1041" s="6"/>
      <c r="W1041" s="6"/>
      <c r="X1041" s="6"/>
      <c r="Y1041" s="6"/>
    </row>
    <row r="1042" ht="14.25">
      <c r="B1042" s="4" t="s">
        <v>866</v>
      </c>
      <c r="C1042" s="4" t="s">
        <v>7154</v>
      </c>
      <c r="D1042" s="4" t="s">
        <v>7155</v>
      </c>
      <c r="E1042" s="4" t="s">
        <v>6773</v>
      </c>
      <c r="F1042" s="4" t="s">
        <v>7156</v>
      </c>
      <c r="G1042" s="4">
        <v>120</v>
      </c>
      <c r="H1042" s="4" t="s">
        <v>25</v>
      </c>
      <c r="I1042" s="4" t="str">
        <f>IFERROR(__XLUDF.DUMMYFUNCTION("VLOOKUP(G136,IMPORTRANGE(""https://docs.google.com/spreadsheets/d/1opm6ZNvGZ7KditA9TuJwrZ25eFLfTNIkrNnY6mhV5Eg"",""list!A1:C115""),3,TRUE)"),"le secteur de l'hôtellerie")</f>
        <v xml:space="preserve">le secteur de l'hôtellerie</v>
      </c>
      <c r="J1042" s="5" t="s">
        <v>7157</v>
      </c>
      <c r="K1042" s="5" t="s">
        <v>6776</v>
      </c>
      <c r="L1042" s="4" t="s">
        <v>6777</v>
      </c>
      <c r="M1042" s="4" t="s">
        <v>29</v>
      </c>
      <c r="N1042" s="4" t="s">
        <v>6778</v>
      </c>
      <c r="O1042" s="4" t="s">
        <v>29</v>
      </c>
      <c r="P1042" s="4" t="s">
        <v>6779</v>
      </c>
      <c r="Q1042" s="6"/>
      <c r="R1042" s="6"/>
      <c r="S1042" s="6"/>
      <c r="T1042" s="6"/>
      <c r="U1042" s="6"/>
      <c r="V1042" s="6"/>
      <c r="W1042" s="6"/>
      <c r="X1042" s="6"/>
      <c r="Y1042" s="6"/>
    </row>
    <row r="1043" ht="14.25">
      <c r="B1043" s="4" t="s">
        <v>3019</v>
      </c>
      <c r="C1043" s="7"/>
      <c r="D1043" s="4" t="s">
        <v>172</v>
      </c>
      <c r="E1043" s="4" t="s">
        <v>7158</v>
      </c>
      <c r="F1043" s="4" t="s">
        <v>7159</v>
      </c>
      <c r="G1043" s="4">
        <v>110</v>
      </c>
      <c r="H1043" s="4" t="s">
        <v>25</v>
      </c>
      <c r="I1043" s="4" t="str">
        <f>IFERROR(__XLUDF.DUMMYFUNCTION("VLOOKUP(G137,IMPORTRANGE(""https://docs.google.com/spreadsheets/d/1opm6ZNvGZ7KditA9TuJwrZ25eFLfTNIkrNnY6mhV5Eg"",""list!A1:C115""),3,TRUE)"),"le secteur de l'hôtellerie")</f>
        <v xml:space="preserve">le secteur de l'hôtellerie</v>
      </c>
      <c r="J1043" s="5" t="s">
        <v>7160</v>
      </c>
      <c r="K1043" s="5" t="s">
        <v>7161</v>
      </c>
      <c r="L1043" s="4" t="s">
        <v>482</v>
      </c>
      <c r="M1043" s="4" t="s">
        <v>29</v>
      </c>
      <c r="N1043" s="4" t="s">
        <v>7162</v>
      </c>
      <c r="O1043" s="4" t="s">
        <v>29</v>
      </c>
      <c r="P1043" s="4" t="s">
        <v>7163</v>
      </c>
      <c r="Q1043" s="6"/>
      <c r="R1043" s="6"/>
      <c r="S1043" s="6"/>
      <c r="T1043" s="6"/>
      <c r="U1043" s="6"/>
      <c r="V1043" s="6"/>
      <c r="W1043" s="6"/>
      <c r="X1043" s="6"/>
      <c r="Y1043" s="6"/>
    </row>
    <row r="1044" ht="14.25">
      <c r="B1044" s="4" t="s">
        <v>1215</v>
      </c>
      <c r="C1044" s="4" t="s">
        <v>7164</v>
      </c>
      <c r="D1044" s="4" t="s">
        <v>7165</v>
      </c>
      <c r="E1044" s="4" t="s">
        <v>7166</v>
      </c>
      <c r="F1044" s="4" t="s">
        <v>7167</v>
      </c>
      <c r="G1044" s="4">
        <v>340</v>
      </c>
      <c r="H1044" s="4" t="s">
        <v>25</v>
      </c>
      <c r="I1044" s="4" t="str">
        <f>IFERROR(__XLUDF.DUMMYFUNCTION("VLOOKUP(G138,IMPORTRANGE(""https://docs.google.com/spreadsheets/d/1opm6ZNvGZ7KditA9TuJwrZ25eFLfTNIkrNnY6mhV5Eg"",""list!A1:C115""),3,TRUE)"),"le secteur de l'hôtellerie")</f>
        <v xml:space="preserve">le secteur de l'hôtellerie</v>
      </c>
      <c r="J1044" s="5" t="s">
        <v>7168</v>
      </c>
      <c r="K1044" s="5" t="s">
        <v>7169</v>
      </c>
      <c r="L1044" s="4" t="s">
        <v>1711</v>
      </c>
      <c r="M1044" s="4" t="s">
        <v>29</v>
      </c>
      <c r="N1044" s="4" t="s">
        <v>6165</v>
      </c>
      <c r="O1044" s="4" t="s">
        <v>6166</v>
      </c>
      <c r="P1044" s="7"/>
      <c r="Q1044" s="6"/>
      <c r="R1044" s="6"/>
      <c r="S1044" s="6"/>
      <c r="T1044" s="6"/>
      <c r="U1044" s="6"/>
      <c r="V1044" s="6"/>
      <c r="W1044" s="6"/>
      <c r="X1044" s="6"/>
      <c r="Y1044" s="6"/>
    </row>
    <row r="1045" ht="14.25">
      <c r="B1045" s="4" t="s">
        <v>1215</v>
      </c>
      <c r="C1045" s="4" t="s">
        <v>7170</v>
      </c>
      <c r="D1045" s="4" t="s">
        <v>172</v>
      </c>
      <c r="E1045" s="4" t="s">
        <v>7171</v>
      </c>
      <c r="F1045" s="4" t="s">
        <v>7172</v>
      </c>
      <c r="G1045" s="4">
        <v>180</v>
      </c>
      <c r="H1045" s="4" t="s">
        <v>25</v>
      </c>
      <c r="I1045" s="4" t="str">
        <f>IFERROR(__XLUDF.DUMMYFUNCTION("VLOOKUP(G139,IMPORTRANGE(""https://docs.google.com/spreadsheets/d/1opm6ZNvGZ7KditA9TuJwrZ25eFLfTNIkrNnY6mhV5Eg"",""list!A1:C115""),3,TRUE)"),"le secteur de l'hôtellerie")</f>
        <v xml:space="preserve">le secteur de l'hôtellerie</v>
      </c>
      <c r="J1045" s="5" t="s">
        <v>7173</v>
      </c>
      <c r="K1045" s="5" t="s">
        <v>7174</v>
      </c>
      <c r="L1045" s="7"/>
      <c r="M1045" s="4" t="s">
        <v>29</v>
      </c>
      <c r="N1045" s="4" t="s">
        <v>7175</v>
      </c>
      <c r="O1045" s="4" t="s">
        <v>29</v>
      </c>
      <c r="P1045" s="4" t="s">
        <v>7176</v>
      </c>
      <c r="Q1045" s="6"/>
      <c r="R1045" s="6"/>
      <c r="S1045" s="6"/>
      <c r="T1045" s="6"/>
      <c r="U1045" s="6"/>
      <c r="V1045" s="6"/>
      <c r="W1045" s="6"/>
      <c r="X1045" s="6"/>
      <c r="Y1045" s="6"/>
    </row>
    <row r="1046" ht="14.25">
      <c r="B1046" s="4" t="s">
        <v>1215</v>
      </c>
      <c r="C1046" s="4" t="s">
        <v>7177</v>
      </c>
      <c r="D1046" s="4" t="s">
        <v>341</v>
      </c>
      <c r="E1046" s="4" t="s">
        <v>7178</v>
      </c>
      <c r="F1046" s="4" t="s">
        <v>7179</v>
      </c>
      <c r="G1046" s="4">
        <v>210</v>
      </c>
      <c r="H1046" s="4" t="s">
        <v>25</v>
      </c>
      <c r="I1046" s="4" t="str">
        <f>IFERROR(__XLUDF.DUMMYFUNCTION("VLOOKUP(G140,IMPORTRANGE(""https://docs.google.com/spreadsheets/d/1opm6ZNvGZ7KditA9TuJwrZ25eFLfTNIkrNnY6mhV5Eg"",""list!A1:C115""),3,TRUE)"),"le secteur de l'hôtellerie")</f>
        <v xml:space="preserve">le secteur de l'hôtellerie</v>
      </c>
      <c r="J1046" s="5" t="s">
        <v>7180</v>
      </c>
      <c r="K1046" s="5" t="s">
        <v>7181</v>
      </c>
      <c r="L1046" s="7"/>
      <c r="M1046" s="4" t="s">
        <v>29</v>
      </c>
      <c r="N1046" s="4" t="s">
        <v>7182</v>
      </c>
      <c r="O1046" s="4" t="s">
        <v>29</v>
      </c>
      <c r="P1046" s="4" t="s">
        <v>7183</v>
      </c>
      <c r="Q1046" s="6"/>
      <c r="R1046" s="6"/>
      <c r="S1046" s="6"/>
      <c r="T1046" s="6"/>
      <c r="U1046" s="6"/>
      <c r="V1046" s="6"/>
      <c r="W1046" s="6"/>
      <c r="X1046" s="6"/>
      <c r="Y1046" s="6"/>
    </row>
    <row r="1047" ht="14.25">
      <c r="B1047" s="4" t="s">
        <v>1215</v>
      </c>
      <c r="C1047" s="4" t="s">
        <v>7184</v>
      </c>
      <c r="D1047" s="4" t="s">
        <v>7185</v>
      </c>
      <c r="E1047" s="4" t="s">
        <v>6672</v>
      </c>
      <c r="F1047" s="4" t="s">
        <v>7186</v>
      </c>
      <c r="G1047" s="4">
        <v>140</v>
      </c>
      <c r="H1047" s="4" t="s">
        <v>25</v>
      </c>
      <c r="I1047" s="4" t="str">
        <f>IFERROR(__XLUDF.DUMMYFUNCTION("VLOOKUP(G141,IMPORTRANGE(""https://docs.google.com/spreadsheets/d/1opm6ZNvGZ7KditA9TuJwrZ25eFLfTNIkrNnY6mhV5Eg"",""list!A1:C115""),3,TRUE)"),"le secteur de l'hôtellerie")</f>
        <v xml:space="preserve">le secteur de l'hôtellerie</v>
      </c>
      <c r="J1047" s="5" t="s">
        <v>7187</v>
      </c>
      <c r="K1047" s="5" t="s">
        <v>6675</v>
      </c>
      <c r="L1047" s="7"/>
      <c r="M1047" s="4" t="s">
        <v>29</v>
      </c>
      <c r="N1047" s="4" t="s">
        <v>6676</v>
      </c>
      <c r="O1047" s="4" t="s">
        <v>29</v>
      </c>
      <c r="P1047" s="4" t="s">
        <v>6677</v>
      </c>
      <c r="Q1047" s="6"/>
      <c r="R1047" s="6"/>
      <c r="S1047" s="6"/>
      <c r="T1047" s="6"/>
      <c r="U1047" s="6"/>
      <c r="V1047" s="6"/>
      <c r="W1047" s="6"/>
      <c r="X1047" s="6"/>
      <c r="Y1047" s="6"/>
    </row>
    <row r="1048" ht="14.25">
      <c r="B1048" s="4" t="s">
        <v>1596</v>
      </c>
      <c r="C1048" s="4" t="s">
        <v>7188</v>
      </c>
      <c r="D1048" s="4" t="s">
        <v>172</v>
      </c>
      <c r="E1048" s="4" t="s">
        <v>6870</v>
      </c>
      <c r="F1048" s="4" t="s">
        <v>7189</v>
      </c>
      <c r="G1048" s="4">
        <v>190</v>
      </c>
      <c r="H1048" s="4" t="s">
        <v>25</v>
      </c>
      <c r="I1048" s="4" t="str">
        <f>IFERROR(__XLUDF.DUMMYFUNCTION("VLOOKUP(G142,IMPORTRANGE(""https://docs.google.com/spreadsheets/d/1opm6ZNvGZ7KditA9TuJwrZ25eFLfTNIkrNnY6mhV5Eg"",""list!A1:C115""),3,TRUE)"),"le secteur de l'hôtellerie")</f>
        <v xml:space="preserve">le secteur de l'hôtellerie</v>
      </c>
      <c r="J1048" s="5" t="s">
        <v>7190</v>
      </c>
      <c r="K1048" s="5" t="s">
        <v>6873</v>
      </c>
      <c r="L1048" s="4" t="s">
        <v>39</v>
      </c>
      <c r="M1048" s="4" t="s">
        <v>29</v>
      </c>
      <c r="N1048" s="4" t="s">
        <v>6874</v>
      </c>
      <c r="O1048" s="4" t="s">
        <v>29</v>
      </c>
      <c r="P1048" s="4" t="s">
        <v>6875</v>
      </c>
      <c r="Q1048" s="6"/>
      <c r="R1048" s="6"/>
      <c r="S1048" s="6"/>
      <c r="T1048" s="6"/>
      <c r="U1048" s="6"/>
      <c r="V1048" s="6"/>
      <c r="W1048" s="6"/>
      <c r="X1048" s="6"/>
      <c r="Y1048" s="6"/>
    </row>
    <row r="1049" ht="14.25">
      <c r="B1049" s="4" t="s">
        <v>255</v>
      </c>
      <c r="C1049" s="4" t="s">
        <v>7191</v>
      </c>
      <c r="D1049" s="4" t="s">
        <v>7192</v>
      </c>
      <c r="E1049" s="4" t="s">
        <v>7193</v>
      </c>
      <c r="F1049" s="4" t="s">
        <v>7194</v>
      </c>
      <c r="G1049" s="4">
        <v>52</v>
      </c>
      <c r="H1049" s="4" t="s">
        <v>25</v>
      </c>
      <c r="I1049" s="4" t="str">
        <f>IFERROR(__XLUDF.DUMMYFUNCTION("VLOOKUP(G143,IMPORTRANGE(""https://docs.google.com/spreadsheets/d/1opm6ZNvGZ7KditA9TuJwrZ25eFLfTNIkrNnY6mhV5Eg"",""list!A1:C115""),3,TRUE)"),"le secteur de l'hôtellerie")</f>
        <v xml:space="preserve">le secteur de l'hôtellerie</v>
      </c>
      <c r="J1049" s="5" t="s">
        <v>7195</v>
      </c>
      <c r="K1049" s="5" t="s">
        <v>7196</v>
      </c>
      <c r="L1049" s="4" t="s">
        <v>39</v>
      </c>
      <c r="M1049" s="4" t="s">
        <v>29</v>
      </c>
      <c r="N1049" s="4" t="s">
        <v>67</v>
      </c>
      <c r="O1049" s="4" t="s">
        <v>29</v>
      </c>
      <c r="P1049" s="4" t="s">
        <v>7197</v>
      </c>
      <c r="Q1049" s="6"/>
      <c r="R1049" s="6"/>
      <c r="S1049" s="6"/>
      <c r="T1049" s="6"/>
      <c r="U1049" s="6"/>
      <c r="V1049" s="6"/>
      <c r="W1049" s="6"/>
      <c r="X1049" s="6"/>
      <c r="Y1049" s="6"/>
    </row>
    <row r="1050" ht="14.25">
      <c r="B1050" s="4" t="s">
        <v>255</v>
      </c>
      <c r="C1050" s="4" t="s">
        <v>7198</v>
      </c>
      <c r="D1050" s="4" t="s">
        <v>426</v>
      </c>
      <c r="E1050" s="4" t="s">
        <v>7199</v>
      </c>
      <c r="F1050" s="4" t="s">
        <v>7200</v>
      </c>
      <c r="G1050" s="4">
        <v>210</v>
      </c>
      <c r="H1050" s="4" t="s">
        <v>25</v>
      </c>
      <c r="I1050" s="4" t="str">
        <f>IFERROR(__XLUDF.DUMMYFUNCTION("VLOOKUP(G144,IMPORTRANGE(""https://docs.google.com/spreadsheets/d/1opm6ZNvGZ7KditA9TuJwrZ25eFLfTNIkrNnY6mhV5Eg"",""list!A1:C115""),3,TRUE)"),"le secteur de l'hôtellerie")</f>
        <v xml:space="preserve">le secteur de l'hôtellerie</v>
      </c>
      <c r="J1050" s="5" t="s">
        <v>7201</v>
      </c>
      <c r="K1050" s="5" t="s">
        <v>7202</v>
      </c>
      <c r="L1050" s="4" t="s">
        <v>295</v>
      </c>
      <c r="M1050" s="4" t="s">
        <v>29</v>
      </c>
      <c r="N1050" s="4" t="s">
        <v>3036</v>
      </c>
      <c r="O1050" s="4" t="s">
        <v>29</v>
      </c>
      <c r="P1050" s="4" t="s">
        <v>7203</v>
      </c>
      <c r="Q1050" s="6"/>
      <c r="R1050" s="6"/>
      <c r="S1050" s="6"/>
      <c r="T1050" s="6"/>
      <c r="U1050" s="6"/>
      <c r="V1050" s="6"/>
      <c r="W1050" s="6"/>
      <c r="X1050" s="6"/>
      <c r="Y1050" s="6"/>
    </row>
    <row r="1051" ht="14.25">
      <c r="B1051" s="4" t="s">
        <v>7204</v>
      </c>
      <c r="C1051" s="4" t="s">
        <v>7205</v>
      </c>
      <c r="D1051" s="4" t="s">
        <v>172</v>
      </c>
      <c r="E1051" s="4" t="s">
        <v>7206</v>
      </c>
      <c r="F1051" s="4" t="s">
        <v>7207</v>
      </c>
      <c r="G1051" s="4">
        <v>200</v>
      </c>
      <c r="H1051" s="4" t="s">
        <v>25</v>
      </c>
      <c r="I1051" s="4" t="str">
        <f>IFERROR(__XLUDF.DUMMYFUNCTION("VLOOKUP(G145,IMPORTRANGE(""https://docs.google.com/spreadsheets/d/1opm6ZNvGZ7KditA9TuJwrZ25eFLfTNIkrNnY6mhV5Eg"",""list!A1:C115""),3,TRUE)"),"le secteur de l'hôtellerie")</f>
        <v xml:space="preserve">le secteur de l'hôtellerie</v>
      </c>
      <c r="J1051" s="5" t="s">
        <v>7208</v>
      </c>
      <c r="K1051" s="5" t="s">
        <v>7209</v>
      </c>
      <c r="L1051" s="4" t="s">
        <v>1745</v>
      </c>
      <c r="M1051" s="4" t="s">
        <v>29</v>
      </c>
      <c r="N1051" s="4" t="s">
        <v>7101</v>
      </c>
      <c r="O1051" s="4" t="s">
        <v>29</v>
      </c>
      <c r="P1051" s="4" t="s">
        <v>7210</v>
      </c>
      <c r="Q1051" s="6"/>
      <c r="R1051" s="6"/>
      <c r="S1051" s="6"/>
      <c r="T1051" s="6"/>
      <c r="U1051" s="6"/>
      <c r="V1051" s="6"/>
      <c r="W1051" s="6"/>
      <c r="X1051" s="6"/>
      <c r="Y1051" s="6"/>
    </row>
    <row r="1052" ht="14.25">
      <c r="B1052" s="4" t="s">
        <v>7211</v>
      </c>
      <c r="C1052" s="4" t="s">
        <v>7212</v>
      </c>
      <c r="D1052" s="4" t="s">
        <v>230</v>
      </c>
      <c r="E1052" s="4" t="s">
        <v>7213</v>
      </c>
      <c r="F1052" s="4" t="s">
        <v>7214</v>
      </c>
      <c r="G1052" s="4">
        <v>220</v>
      </c>
      <c r="H1052" s="4" t="s">
        <v>25</v>
      </c>
      <c r="I1052" s="4" t="str">
        <f>IFERROR(__XLUDF.DUMMYFUNCTION("VLOOKUP(G146,IMPORTRANGE(""https://docs.google.com/spreadsheets/d/1opm6ZNvGZ7KditA9TuJwrZ25eFLfTNIkrNnY6mhV5Eg"",""list!A1:C115""),3,TRUE)"),"le secteur de l'hôtellerie")</f>
        <v xml:space="preserve">le secteur de l'hôtellerie</v>
      </c>
      <c r="J1052" s="5" t="s">
        <v>7215</v>
      </c>
      <c r="K1052" s="5" t="s">
        <v>7216</v>
      </c>
      <c r="L1052" s="4" t="s">
        <v>39</v>
      </c>
      <c r="M1052" s="4" t="s">
        <v>29</v>
      </c>
      <c r="N1052" s="4" t="s">
        <v>7217</v>
      </c>
      <c r="O1052" s="4" t="s">
        <v>29</v>
      </c>
      <c r="P1052" s="4" t="s">
        <v>7218</v>
      </c>
      <c r="Q1052" s="6"/>
      <c r="R1052" s="6"/>
      <c r="S1052" s="6"/>
      <c r="T1052" s="6"/>
      <c r="U1052" s="6"/>
      <c r="V1052" s="6"/>
      <c r="W1052" s="6"/>
      <c r="X1052" s="6"/>
      <c r="Y1052" s="6"/>
    </row>
    <row r="1053" ht="14.25">
      <c r="B1053" s="4" t="s">
        <v>255</v>
      </c>
      <c r="C1053" s="4" t="s">
        <v>7219</v>
      </c>
      <c r="D1053" s="4" t="s">
        <v>7220</v>
      </c>
      <c r="E1053" s="4" t="s">
        <v>6554</v>
      </c>
      <c r="F1053" s="4" t="s">
        <v>7221</v>
      </c>
      <c r="G1053" s="4">
        <v>60</v>
      </c>
      <c r="H1053" s="4" t="s">
        <v>25</v>
      </c>
      <c r="I1053" s="4" t="str">
        <f>IFERROR(__XLUDF.DUMMYFUNCTION("VLOOKUP(G147,IMPORTRANGE(""https://docs.google.com/spreadsheets/d/1opm6ZNvGZ7KditA9TuJwrZ25eFLfTNIkrNnY6mhV5Eg"",""list!A1:C115""),3,TRUE)"),"le secteur de l'hôtellerie")</f>
        <v xml:space="preserve">le secteur de l'hôtellerie</v>
      </c>
      <c r="J1053" s="5" t="s">
        <v>7222</v>
      </c>
      <c r="K1053" s="5" t="s">
        <v>6557</v>
      </c>
      <c r="L1053" s="4" t="s">
        <v>203</v>
      </c>
      <c r="M1053" s="4" t="s">
        <v>29</v>
      </c>
      <c r="N1053" s="4" t="s">
        <v>6558</v>
      </c>
      <c r="O1053" s="4" t="s">
        <v>29</v>
      </c>
      <c r="P1053" s="4" t="s">
        <v>6559</v>
      </c>
      <c r="Q1053" s="6"/>
      <c r="R1053" s="6"/>
      <c r="S1053" s="6"/>
      <c r="T1053" s="6"/>
      <c r="U1053" s="6"/>
      <c r="V1053" s="6"/>
      <c r="W1053" s="6"/>
      <c r="X1053" s="6"/>
      <c r="Y1053" s="6"/>
    </row>
    <row r="1054" ht="14.25">
      <c r="B1054" s="4" t="s">
        <v>7223</v>
      </c>
      <c r="C1054" s="4" t="s">
        <v>7224</v>
      </c>
      <c r="D1054" s="4" t="s">
        <v>172</v>
      </c>
      <c r="E1054" s="4" t="s">
        <v>7225</v>
      </c>
      <c r="F1054" s="4" t="s">
        <v>7226</v>
      </c>
      <c r="G1054" s="4">
        <v>79</v>
      </c>
      <c r="H1054" s="4" t="s">
        <v>25</v>
      </c>
      <c r="I1054" s="4" t="str">
        <f>IFERROR(__XLUDF.DUMMYFUNCTION("VLOOKUP(G148,IMPORTRANGE(""https://docs.google.com/spreadsheets/d/1opm6ZNvGZ7KditA9TuJwrZ25eFLfTNIkrNnY6mhV5Eg"",""list!A1:C115""),3,TRUE)"),"le secteur de l'hôtellerie")</f>
        <v xml:space="preserve">le secteur de l'hôtellerie</v>
      </c>
      <c r="J1054" s="5" t="s">
        <v>7227</v>
      </c>
      <c r="K1054" s="5" t="s">
        <v>7228</v>
      </c>
      <c r="L1054" s="7"/>
      <c r="M1054" s="4" t="s">
        <v>29</v>
      </c>
      <c r="N1054" s="4" t="s">
        <v>7229</v>
      </c>
      <c r="O1054" s="4" t="s">
        <v>29</v>
      </c>
      <c r="P1054" s="4" t="s">
        <v>7230</v>
      </c>
      <c r="Q1054" s="6"/>
      <c r="R1054" s="6"/>
      <c r="S1054" s="6"/>
      <c r="T1054" s="6"/>
      <c r="U1054" s="6"/>
      <c r="V1054" s="6"/>
      <c r="W1054" s="6"/>
      <c r="X1054" s="6"/>
      <c r="Y1054" s="6"/>
    </row>
    <row r="1055" ht="14.25">
      <c r="B1055" s="4" t="s">
        <v>322</v>
      </c>
      <c r="C1055" s="4" t="s">
        <v>7231</v>
      </c>
      <c r="D1055" s="4" t="s">
        <v>7232</v>
      </c>
      <c r="E1055" s="4" t="s">
        <v>7233</v>
      </c>
      <c r="F1055" s="4" t="s">
        <v>7234</v>
      </c>
      <c r="G1055" s="4">
        <v>450</v>
      </c>
      <c r="H1055" s="4" t="s">
        <v>25</v>
      </c>
      <c r="I1055" s="4" t="str">
        <f>IFERROR(__XLUDF.DUMMYFUNCTION("VLOOKUP(G149,IMPORTRANGE(""https://docs.google.com/spreadsheets/d/1opm6ZNvGZ7KditA9TuJwrZ25eFLfTNIkrNnY6mhV5Eg"",""list!A1:C115""),3,TRUE)"),"le secteur de l'hôtellerie")</f>
        <v xml:space="preserve">le secteur de l'hôtellerie</v>
      </c>
      <c r="J1055" s="5" t="s">
        <v>7235</v>
      </c>
      <c r="K1055" s="5" t="s">
        <v>7236</v>
      </c>
      <c r="L1055" s="4" t="s">
        <v>7237</v>
      </c>
      <c r="M1055" s="4" t="s">
        <v>29</v>
      </c>
      <c r="N1055" s="4" t="s">
        <v>7238</v>
      </c>
      <c r="O1055" s="4" t="s">
        <v>29</v>
      </c>
      <c r="P1055" s="4" t="s">
        <v>7239</v>
      </c>
      <c r="Q1055" s="6"/>
      <c r="R1055" s="6"/>
      <c r="S1055" s="6"/>
      <c r="T1055" s="6"/>
      <c r="U1055" s="6"/>
      <c r="V1055" s="6"/>
      <c r="W1055" s="6"/>
      <c r="X1055" s="6"/>
      <c r="Y1055" s="6"/>
    </row>
    <row r="1056" ht="14.25">
      <c r="B1056" s="4" t="s">
        <v>215</v>
      </c>
      <c r="C1056" s="4" t="s">
        <v>6295</v>
      </c>
      <c r="D1056" s="4" t="s">
        <v>112</v>
      </c>
      <c r="E1056" s="4" t="s">
        <v>6886</v>
      </c>
      <c r="F1056" s="4" t="s">
        <v>7240</v>
      </c>
      <c r="G1056" s="4">
        <v>98</v>
      </c>
      <c r="H1056" s="4" t="s">
        <v>25</v>
      </c>
      <c r="I1056" s="4" t="str">
        <f>IFERROR(__XLUDF.DUMMYFUNCTION("VLOOKUP(G150,IMPORTRANGE(""https://docs.google.com/spreadsheets/d/1opm6ZNvGZ7KditA9TuJwrZ25eFLfTNIkrNnY6mhV5Eg"",""list!A1:C115""),3,TRUE)"),"le secteur de l'hôtellerie")</f>
        <v xml:space="preserve">le secteur de l'hôtellerie</v>
      </c>
      <c r="J1056" s="5" t="s">
        <v>7241</v>
      </c>
      <c r="K1056" s="5" t="s">
        <v>6889</v>
      </c>
      <c r="L1056" s="7"/>
      <c r="M1056" s="4" t="s">
        <v>29</v>
      </c>
      <c r="N1056" s="4" t="s">
        <v>6890</v>
      </c>
      <c r="O1056" s="4" t="s">
        <v>29</v>
      </c>
      <c r="P1056" s="7"/>
      <c r="Q1056" s="6"/>
      <c r="R1056" s="6"/>
      <c r="S1056" s="6"/>
      <c r="T1056" s="6"/>
      <c r="U1056" s="6"/>
      <c r="V1056" s="6"/>
      <c r="W1056" s="6"/>
      <c r="X1056" s="6"/>
      <c r="Y1056" s="6"/>
    </row>
    <row r="1057" ht="14.25">
      <c r="B1057" s="4" t="s">
        <v>7242</v>
      </c>
      <c r="C1057" s="4" t="s">
        <v>7243</v>
      </c>
      <c r="D1057" s="4" t="s">
        <v>198</v>
      </c>
      <c r="E1057" s="4" t="s">
        <v>6879</v>
      </c>
      <c r="F1057" s="4" t="s">
        <v>7244</v>
      </c>
      <c r="G1057" s="4">
        <v>250</v>
      </c>
      <c r="H1057" s="4" t="s">
        <v>25</v>
      </c>
      <c r="I1057" s="4" t="str">
        <f>IFERROR(__XLUDF.DUMMYFUNCTION("VLOOKUP(G151,IMPORTRANGE(""https://docs.google.com/spreadsheets/d/1opm6ZNvGZ7KditA9TuJwrZ25eFLfTNIkrNnY6mhV5Eg"",""list!A1:C115""),3,TRUE)"),"le secteur de l'hôtellerie")</f>
        <v xml:space="preserve">le secteur de l'hôtellerie</v>
      </c>
      <c r="J1057" s="5" t="s">
        <v>7245</v>
      </c>
      <c r="K1057" s="5" t="s">
        <v>6882</v>
      </c>
      <c r="L1057" s="4" t="s">
        <v>39</v>
      </c>
      <c r="M1057" s="4" t="s">
        <v>29</v>
      </c>
      <c r="N1057" s="4" t="s">
        <v>6883</v>
      </c>
      <c r="O1057" s="4" t="s">
        <v>29</v>
      </c>
      <c r="P1057" s="4" t="s">
        <v>6884</v>
      </c>
      <c r="Q1057" s="6"/>
      <c r="R1057" s="6"/>
      <c r="S1057" s="6"/>
      <c r="T1057" s="6"/>
      <c r="U1057" s="6"/>
      <c r="V1057" s="6"/>
      <c r="W1057" s="6"/>
      <c r="X1057" s="6"/>
      <c r="Y1057" s="6"/>
    </row>
    <row r="1058" ht="14.25">
      <c r="B1058" s="4" t="s">
        <v>7246</v>
      </c>
      <c r="C1058" s="4" t="s">
        <v>7247</v>
      </c>
      <c r="D1058" s="4" t="s">
        <v>198</v>
      </c>
      <c r="E1058" s="4" t="s">
        <v>7248</v>
      </c>
      <c r="F1058" s="4" t="s">
        <v>7249</v>
      </c>
      <c r="G1058" s="4">
        <v>58</v>
      </c>
      <c r="H1058" s="4" t="s">
        <v>25</v>
      </c>
      <c r="I1058" s="4" t="str">
        <f>IFERROR(__XLUDF.DUMMYFUNCTION("VLOOKUP(G152,IMPORTRANGE(""https://docs.google.com/spreadsheets/d/1opm6ZNvGZ7KditA9TuJwrZ25eFLfTNIkrNnY6mhV5Eg"",""list!A1:C115""),3,TRUE)"),"le secteur de l'hôtellerie")</f>
        <v xml:space="preserve">le secteur de l'hôtellerie</v>
      </c>
      <c r="J1058" s="5" t="s">
        <v>7250</v>
      </c>
      <c r="K1058" s="5" t="s">
        <v>7251</v>
      </c>
      <c r="L1058" s="4" t="s">
        <v>39</v>
      </c>
      <c r="M1058" s="4" t="s">
        <v>29</v>
      </c>
      <c r="N1058" s="4" t="s">
        <v>67</v>
      </c>
      <c r="O1058" s="4" t="s">
        <v>29</v>
      </c>
      <c r="P1058" s="7"/>
      <c r="Q1058" s="6"/>
      <c r="R1058" s="6"/>
      <c r="S1058" s="6"/>
      <c r="T1058" s="6"/>
      <c r="U1058" s="6"/>
      <c r="V1058" s="6"/>
      <c r="W1058" s="6"/>
      <c r="X1058" s="6"/>
      <c r="Y1058" s="6"/>
    </row>
    <row r="1059" ht="14.25">
      <c r="B1059" s="4" t="s">
        <v>622</v>
      </c>
      <c r="C1059" s="4" t="s">
        <v>7252</v>
      </c>
      <c r="D1059" s="4" t="s">
        <v>468</v>
      </c>
      <c r="E1059" s="4" t="s">
        <v>7171</v>
      </c>
      <c r="F1059" s="4" t="s">
        <v>7253</v>
      </c>
      <c r="G1059" s="4">
        <v>180</v>
      </c>
      <c r="H1059" s="4" t="s">
        <v>25</v>
      </c>
      <c r="I1059" s="4" t="str">
        <f>IFERROR(__XLUDF.DUMMYFUNCTION("VLOOKUP(G153,IMPORTRANGE(""https://docs.google.com/spreadsheets/d/1opm6ZNvGZ7KditA9TuJwrZ25eFLfTNIkrNnY6mhV5Eg"",""list!A1:C115""),3,TRUE)"),"le secteur de l'hôtellerie")</f>
        <v xml:space="preserve">le secteur de l'hôtellerie</v>
      </c>
      <c r="J1059" s="5" t="s">
        <v>7254</v>
      </c>
      <c r="K1059" s="5" t="s">
        <v>7174</v>
      </c>
      <c r="L1059" s="4" t="s">
        <v>39</v>
      </c>
      <c r="M1059" s="4" t="s">
        <v>29</v>
      </c>
      <c r="N1059" s="4" t="s">
        <v>7175</v>
      </c>
      <c r="O1059" s="4" t="s">
        <v>29</v>
      </c>
      <c r="P1059" s="4" t="s">
        <v>7176</v>
      </c>
      <c r="Q1059" s="6"/>
      <c r="R1059" s="6"/>
      <c r="S1059" s="6"/>
      <c r="T1059" s="6"/>
      <c r="U1059" s="6"/>
      <c r="V1059" s="6"/>
      <c r="W1059" s="6"/>
      <c r="X1059" s="6"/>
      <c r="Y1059" s="6"/>
    </row>
    <row r="1060" ht="14.25">
      <c r="B1060" s="4" t="s">
        <v>622</v>
      </c>
      <c r="C1060" s="4" t="s">
        <v>7255</v>
      </c>
      <c r="D1060" s="4" t="s">
        <v>5953</v>
      </c>
      <c r="E1060" s="4" t="s">
        <v>7256</v>
      </c>
      <c r="F1060" s="4" t="s">
        <v>7257</v>
      </c>
      <c r="G1060" s="4">
        <v>460</v>
      </c>
      <c r="H1060" s="4" t="s">
        <v>25</v>
      </c>
      <c r="I1060" s="4" t="str">
        <f>IFERROR(__XLUDF.DUMMYFUNCTION("VLOOKUP(G154,IMPORTRANGE(""https://docs.google.com/spreadsheets/d/1opm6ZNvGZ7KditA9TuJwrZ25eFLfTNIkrNnY6mhV5Eg"",""list!A1:C115""),3,TRUE)"),"le secteur de l'hôtellerie")</f>
        <v xml:space="preserve">le secteur de l'hôtellerie</v>
      </c>
      <c r="J1060" s="5" t="s">
        <v>7258</v>
      </c>
      <c r="K1060" s="5" t="s">
        <v>7259</v>
      </c>
      <c r="L1060" s="4" t="s">
        <v>185</v>
      </c>
      <c r="M1060" s="4" t="s">
        <v>29</v>
      </c>
      <c r="N1060" s="4" t="s">
        <v>7260</v>
      </c>
      <c r="O1060" s="4" t="s">
        <v>29</v>
      </c>
      <c r="P1060" s="4" t="s">
        <v>7261</v>
      </c>
      <c r="Q1060" s="6"/>
      <c r="R1060" s="6"/>
      <c r="S1060" s="6"/>
      <c r="T1060" s="6"/>
      <c r="U1060" s="6"/>
      <c r="V1060" s="6"/>
      <c r="W1060" s="6"/>
      <c r="X1060" s="6"/>
      <c r="Y1060" s="6"/>
    </row>
    <row r="1061" ht="14.25">
      <c r="B1061" s="4" t="s">
        <v>622</v>
      </c>
      <c r="C1061" s="4" t="s">
        <v>7262</v>
      </c>
      <c r="D1061" s="4" t="s">
        <v>7263</v>
      </c>
      <c r="E1061" s="4" t="s">
        <v>7264</v>
      </c>
      <c r="F1061" s="4" t="s">
        <v>7265</v>
      </c>
      <c r="G1061" s="4">
        <v>67</v>
      </c>
      <c r="H1061" s="4" t="s">
        <v>25</v>
      </c>
      <c r="I1061" s="4" t="str">
        <f>IFERROR(__XLUDF.DUMMYFUNCTION("VLOOKUP(G155,IMPORTRANGE(""https://docs.google.com/spreadsheets/d/1opm6ZNvGZ7KditA9TuJwrZ25eFLfTNIkrNnY6mhV5Eg"",""list!A1:C115""),3,TRUE)"),"le secteur de l'hôtellerie")</f>
        <v xml:space="preserve">le secteur de l'hôtellerie</v>
      </c>
      <c r="J1061" s="5" t="s">
        <v>7266</v>
      </c>
      <c r="K1061" s="5" t="s">
        <v>7267</v>
      </c>
      <c r="L1061" s="7"/>
      <c r="M1061" s="4" t="s">
        <v>29</v>
      </c>
      <c r="N1061" s="4" t="s">
        <v>7268</v>
      </c>
      <c r="O1061" s="4" t="s">
        <v>29</v>
      </c>
      <c r="P1061" s="4" t="s">
        <v>7269</v>
      </c>
      <c r="Q1061" s="6"/>
      <c r="R1061" s="6"/>
      <c r="S1061" s="6"/>
      <c r="T1061" s="6"/>
      <c r="U1061" s="6"/>
      <c r="V1061" s="6"/>
      <c r="W1061" s="6"/>
      <c r="X1061" s="6"/>
      <c r="Y1061" s="6"/>
    </row>
    <row r="1062" ht="14.25">
      <c r="B1062" s="4" t="s">
        <v>622</v>
      </c>
      <c r="C1062" s="4" t="s">
        <v>7270</v>
      </c>
      <c r="D1062" s="4" t="s">
        <v>172</v>
      </c>
      <c r="E1062" s="4" t="s">
        <v>7130</v>
      </c>
      <c r="F1062" s="4" t="s">
        <v>7271</v>
      </c>
      <c r="G1062" s="4">
        <v>210</v>
      </c>
      <c r="H1062" s="4" t="s">
        <v>25</v>
      </c>
      <c r="I1062" s="4" t="str">
        <f>IFERROR(__XLUDF.DUMMYFUNCTION("VLOOKUP(G156,IMPORTRANGE(""https://docs.google.com/spreadsheets/d/1opm6ZNvGZ7KditA9TuJwrZ25eFLfTNIkrNnY6mhV5Eg"",""list!A1:C115""),3,TRUE)"),"le secteur de l'hôtellerie")</f>
        <v xml:space="preserve">le secteur de l'hôtellerie</v>
      </c>
      <c r="J1062" s="5" t="s">
        <v>7272</v>
      </c>
      <c r="K1062" s="5" t="s">
        <v>7133</v>
      </c>
      <c r="L1062" s="4" t="s">
        <v>39</v>
      </c>
      <c r="M1062" s="4" t="s">
        <v>29</v>
      </c>
      <c r="N1062" s="4" t="s">
        <v>7134</v>
      </c>
      <c r="O1062" s="4" t="s">
        <v>29</v>
      </c>
      <c r="P1062" s="4" t="s">
        <v>7135</v>
      </c>
      <c r="Q1062" s="6"/>
      <c r="R1062" s="6"/>
      <c r="S1062" s="6"/>
      <c r="T1062" s="6"/>
      <c r="U1062" s="6"/>
      <c r="V1062" s="6"/>
      <c r="W1062" s="6"/>
      <c r="X1062" s="6"/>
      <c r="Y1062" s="6"/>
    </row>
    <row r="1063" ht="14.25">
      <c r="B1063" s="4" t="s">
        <v>7273</v>
      </c>
      <c r="C1063" s="7"/>
      <c r="D1063" s="4" t="s">
        <v>7274</v>
      </c>
      <c r="E1063" s="4" t="s">
        <v>7275</v>
      </c>
      <c r="F1063" s="4" t="s">
        <v>7276</v>
      </c>
      <c r="G1063" s="4">
        <v>250</v>
      </c>
      <c r="H1063" s="4" t="s">
        <v>25</v>
      </c>
      <c r="I1063" s="4" t="str">
        <f>IFERROR(__XLUDF.DUMMYFUNCTION("VLOOKUP(G157,IMPORTRANGE(""https://docs.google.com/spreadsheets/d/1opm6ZNvGZ7KditA9TuJwrZ25eFLfTNIkrNnY6mhV5Eg"",""list!A1:C115""),3,TRUE)"),"le secteur de l'hôtellerie")</f>
        <v xml:space="preserve">le secteur de l'hôtellerie</v>
      </c>
      <c r="J1063" s="5" t="s">
        <v>7277</v>
      </c>
      <c r="K1063" s="5" t="s">
        <v>7278</v>
      </c>
      <c r="L1063" s="4" t="s">
        <v>243</v>
      </c>
      <c r="M1063" s="4" t="s">
        <v>29</v>
      </c>
      <c r="N1063" s="4" t="s">
        <v>7279</v>
      </c>
      <c r="O1063" s="4" t="s">
        <v>7280</v>
      </c>
      <c r="P1063" s="7"/>
      <c r="Q1063" s="6"/>
      <c r="R1063" s="6"/>
      <c r="S1063" s="6"/>
      <c r="T1063" s="6"/>
      <c r="U1063" s="6"/>
      <c r="V1063" s="6"/>
      <c r="W1063" s="6"/>
      <c r="X1063" s="6"/>
      <c r="Y1063" s="6"/>
    </row>
    <row r="1064" ht="14.25">
      <c r="B1064" s="4" t="s">
        <v>1583</v>
      </c>
      <c r="C1064" s="4" t="s">
        <v>7281</v>
      </c>
      <c r="D1064" s="4" t="s">
        <v>6362</v>
      </c>
      <c r="E1064" s="4" t="s">
        <v>7282</v>
      </c>
      <c r="F1064" s="4" t="s">
        <v>7283</v>
      </c>
      <c r="G1064" s="4">
        <v>55</v>
      </c>
      <c r="H1064" s="4" t="s">
        <v>25</v>
      </c>
      <c r="I1064" s="4" t="str">
        <f>IFERROR(__XLUDF.DUMMYFUNCTION("VLOOKUP(G158,IMPORTRANGE(""https://docs.google.com/spreadsheets/d/1opm6ZNvGZ7KditA9TuJwrZ25eFLfTNIkrNnY6mhV5Eg"",""list!A1:C115""),3,TRUE)"),"le secteur de l'hôtellerie")</f>
        <v xml:space="preserve">le secteur de l'hôtellerie</v>
      </c>
      <c r="J1064" s="5" t="s">
        <v>7284</v>
      </c>
      <c r="K1064" s="5" t="s">
        <v>7285</v>
      </c>
      <c r="L1064" s="4" t="s">
        <v>6603</v>
      </c>
      <c r="M1064" s="4" t="s">
        <v>29</v>
      </c>
      <c r="N1064" s="4" t="s">
        <v>7286</v>
      </c>
      <c r="O1064" s="4" t="s">
        <v>29</v>
      </c>
      <c r="P1064" s="4" t="s">
        <v>7287</v>
      </c>
      <c r="Q1064" s="6"/>
      <c r="R1064" s="6"/>
      <c r="S1064" s="6"/>
      <c r="T1064" s="6"/>
      <c r="U1064" s="6"/>
      <c r="V1064" s="6"/>
      <c r="W1064" s="6"/>
      <c r="X1064" s="6"/>
      <c r="Y1064" s="6"/>
    </row>
    <row r="1065" ht="14.25">
      <c r="B1065" s="4" t="s">
        <v>7288</v>
      </c>
      <c r="C1065" s="4" t="s">
        <v>7289</v>
      </c>
      <c r="D1065" s="4" t="s">
        <v>7290</v>
      </c>
      <c r="E1065" s="4" t="s">
        <v>6672</v>
      </c>
      <c r="F1065" s="4" t="s">
        <v>7291</v>
      </c>
      <c r="G1065" s="4">
        <v>140</v>
      </c>
      <c r="H1065" s="4" t="s">
        <v>25</v>
      </c>
      <c r="I1065" s="4" t="str">
        <f>IFERROR(__XLUDF.DUMMYFUNCTION("VLOOKUP(G159,IMPORTRANGE(""https://docs.google.com/spreadsheets/d/1opm6ZNvGZ7KditA9TuJwrZ25eFLfTNIkrNnY6mhV5Eg"",""list!A1:C115""),3,TRUE)"),"le secteur de l'hôtellerie")</f>
        <v xml:space="preserve">le secteur de l'hôtellerie</v>
      </c>
      <c r="J1065" s="5" t="s">
        <v>7292</v>
      </c>
      <c r="K1065" s="5" t="s">
        <v>6675</v>
      </c>
      <c r="L1065" s="4" t="s">
        <v>243</v>
      </c>
      <c r="M1065" s="4" t="s">
        <v>29</v>
      </c>
      <c r="N1065" s="4" t="s">
        <v>6676</v>
      </c>
      <c r="O1065" s="4" t="s">
        <v>29</v>
      </c>
      <c r="P1065" s="4" t="s">
        <v>6677</v>
      </c>
      <c r="Q1065" s="6"/>
      <c r="R1065" s="6"/>
      <c r="S1065" s="6"/>
      <c r="T1065" s="6"/>
      <c r="U1065" s="6"/>
      <c r="V1065" s="6"/>
      <c r="W1065" s="6"/>
      <c r="X1065" s="6"/>
      <c r="Y1065" s="6"/>
    </row>
    <row r="1066" ht="14.25">
      <c r="B1066" s="4" t="s">
        <v>6931</v>
      </c>
      <c r="C1066" s="4" t="s">
        <v>4132</v>
      </c>
      <c r="D1066" s="4" t="s">
        <v>7293</v>
      </c>
      <c r="E1066" s="4" t="s">
        <v>6591</v>
      </c>
      <c r="F1066" s="4" t="s">
        <v>7294</v>
      </c>
      <c r="G1066" s="4">
        <v>82</v>
      </c>
      <c r="H1066" s="4" t="s">
        <v>25</v>
      </c>
      <c r="I1066" s="4" t="str">
        <f>IFERROR(__XLUDF.DUMMYFUNCTION("VLOOKUP(G160,IMPORTRANGE(""https://docs.google.com/spreadsheets/d/1opm6ZNvGZ7KditA9TuJwrZ25eFLfTNIkrNnY6mhV5Eg"",""list!A1:C115""),3,TRUE)"),"le secteur de l'hôtellerie")</f>
        <v xml:space="preserve">le secteur de l'hôtellerie</v>
      </c>
      <c r="J1066" s="5" t="s">
        <v>7295</v>
      </c>
      <c r="K1066" s="5" t="s">
        <v>6594</v>
      </c>
      <c r="L1066" s="7"/>
      <c r="M1066" s="4" t="s">
        <v>29</v>
      </c>
      <c r="N1066" s="4" t="s">
        <v>6596</v>
      </c>
      <c r="O1066" s="4" t="s">
        <v>29</v>
      </c>
      <c r="P1066" s="4" t="s">
        <v>6597</v>
      </c>
      <c r="Q1066" s="6"/>
      <c r="R1066" s="6"/>
      <c r="S1066" s="6"/>
      <c r="T1066" s="6"/>
      <c r="U1066" s="6"/>
      <c r="V1066" s="6"/>
      <c r="W1066" s="6"/>
      <c r="X1066" s="6"/>
      <c r="Y1066" s="6"/>
    </row>
    <row r="1067" ht="14.25">
      <c r="B1067" s="4" t="s">
        <v>6931</v>
      </c>
      <c r="C1067" s="4" t="s">
        <v>7296</v>
      </c>
      <c r="D1067" s="4" t="s">
        <v>7297</v>
      </c>
      <c r="E1067" s="4" t="s">
        <v>7298</v>
      </c>
      <c r="F1067" s="4" t="s">
        <v>7299</v>
      </c>
      <c r="G1067" s="4">
        <v>280</v>
      </c>
      <c r="H1067" s="4" t="s">
        <v>25</v>
      </c>
      <c r="I1067" s="4" t="str">
        <f>IFERROR(__XLUDF.DUMMYFUNCTION("VLOOKUP(G161,IMPORTRANGE(""https://docs.google.com/spreadsheets/d/1opm6ZNvGZ7KditA9TuJwrZ25eFLfTNIkrNnY6mhV5Eg"",""list!A1:C115""),3,TRUE)"),"le secteur de l'hôtellerie")</f>
        <v xml:space="preserve">le secteur de l'hôtellerie</v>
      </c>
      <c r="J1067" s="5" t="s">
        <v>7300</v>
      </c>
      <c r="K1067" s="5" t="s">
        <v>7301</v>
      </c>
      <c r="L1067" s="4" t="s">
        <v>243</v>
      </c>
      <c r="M1067" s="4" t="s">
        <v>29</v>
      </c>
      <c r="N1067" s="4" t="s">
        <v>7302</v>
      </c>
      <c r="O1067" s="4" t="s">
        <v>2666</v>
      </c>
      <c r="P1067" s="7"/>
      <c r="Q1067" s="6"/>
      <c r="R1067" s="6"/>
      <c r="S1067" s="6"/>
      <c r="T1067" s="6"/>
      <c r="U1067" s="6"/>
      <c r="V1067" s="6"/>
      <c r="W1067" s="6"/>
      <c r="X1067" s="6"/>
      <c r="Y1067" s="6"/>
    </row>
    <row r="1068" ht="14.25">
      <c r="B1068" s="4" t="s">
        <v>7303</v>
      </c>
      <c r="C1068" s="4" t="s">
        <v>7304</v>
      </c>
      <c r="D1068" s="4" t="s">
        <v>172</v>
      </c>
      <c r="E1068" s="4" t="s">
        <v>4814</v>
      </c>
      <c r="F1068" s="4" t="s">
        <v>7305</v>
      </c>
      <c r="G1068" s="4">
        <v>71</v>
      </c>
      <c r="H1068" s="4" t="s">
        <v>25</v>
      </c>
      <c r="I1068" s="4" t="str">
        <f>IFERROR(__XLUDF.DUMMYFUNCTION("VLOOKUP(G162,IMPORTRANGE(""https://docs.google.com/spreadsheets/d/1opm6ZNvGZ7KditA9TuJwrZ25eFLfTNIkrNnY6mhV5Eg"",""list!A1:C115""),3,TRUE)"),"le secteur de l'hôtellerie")</f>
        <v xml:space="preserve">le secteur de l'hôtellerie</v>
      </c>
      <c r="J1068" s="5" t="s">
        <v>7306</v>
      </c>
      <c r="K1068" s="5" t="s">
        <v>6869</v>
      </c>
      <c r="L1068" s="4" t="s">
        <v>39</v>
      </c>
      <c r="M1068" s="4" t="s">
        <v>29</v>
      </c>
      <c r="N1068" s="4" t="s">
        <v>67</v>
      </c>
      <c r="O1068" s="4" t="s">
        <v>29</v>
      </c>
      <c r="P1068" s="4" t="s">
        <v>4818</v>
      </c>
      <c r="Q1068" s="6"/>
      <c r="R1068" s="6"/>
      <c r="S1068" s="6"/>
      <c r="T1068" s="6"/>
      <c r="U1068" s="6"/>
      <c r="V1068" s="6"/>
      <c r="W1068" s="6"/>
      <c r="X1068" s="6"/>
      <c r="Y1068" s="6"/>
    </row>
    <row r="1069" ht="14.25">
      <c r="B1069" s="4" t="s">
        <v>7307</v>
      </c>
      <c r="C1069" s="4" t="s">
        <v>7308</v>
      </c>
      <c r="D1069" s="4" t="s">
        <v>172</v>
      </c>
      <c r="E1069" s="4" t="s">
        <v>7309</v>
      </c>
      <c r="F1069" s="4" t="s">
        <v>7310</v>
      </c>
      <c r="G1069" s="4">
        <v>86</v>
      </c>
      <c r="H1069" s="4" t="s">
        <v>25</v>
      </c>
      <c r="I1069" s="4" t="str">
        <f>IFERROR(__XLUDF.DUMMYFUNCTION("VLOOKUP(G163,IMPORTRANGE(""https://docs.google.com/spreadsheets/d/1opm6ZNvGZ7KditA9TuJwrZ25eFLfTNIkrNnY6mhV5Eg"",""list!A1:C115""),3,TRUE)"),"le secteur de l'hôtellerie")</f>
        <v xml:space="preserve">le secteur de l'hôtellerie</v>
      </c>
      <c r="J1069" s="5" t="s">
        <v>7311</v>
      </c>
      <c r="K1069" s="5" t="s">
        <v>7312</v>
      </c>
      <c r="L1069" s="7"/>
      <c r="M1069" s="4" t="s">
        <v>29</v>
      </c>
      <c r="N1069" s="4" t="s">
        <v>7313</v>
      </c>
      <c r="O1069" s="4" t="s">
        <v>7313</v>
      </c>
      <c r="P1069" s="7"/>
      <c r="Q1069" s="6"/>
      <c r="R1069" s="6"/>
      <c r="S1069" s="6"/>
      <c r="T1069" s="6"/>
      <c r="U1069" s="6"/>
      <c r="V1069" s="6"/>
      <c r="W1069" s="6"/>
      <c r="X1069" s="6"/>
      <c r="Y1069" s="6"/>
    </row>
    <row r="1070" ht="14.25">
      <c r="B1070" s="4" t="s">
        <v>1732</v>
      </c>
      <c r="C1070" s="4" t="s">
        <v>7314</v>
      </c>
      <c r="D1070" s="4" t="s">
        <v>172</v>
      </c>
      <c r="E1070" s="4" t="s">
        <v>7315</v>
      </c>
      <c r="F1070" s="4" t="s">
        <v>7316</v>
      </c>
      <c r="G1070" s="4">
        <v>90</v>
      </c>
      <c r="H1070" s="4" t="s">
        <v>25</v>
      </c>
      <c r="I1070" s="4" t="str">
        <f>IFERROR(__XLUDF.DUMMYFUNCTION("VLOOKUP(G164,IMPORTRANGE(""https://docs.google.com/spreadsheets/d/1opm6ZNvGZ7KditA9TuJwrZ25eFLfTNIkrNnY6mhV5Eg"",""list!A1:C115""),3,TRUE)"),"le secteur de l'hôtellerie")</f>
        <v xml:space="preserve">le secteur de l'hôtellerie</v>
      </c>
      <c r="J1070" s="5" t="s">
        <v>7317</v>
      </c>
      <c r="K1070" s="5" t="s">
        <v>7318</v>
      </c>
      <c r="L1070" s="4" t="s">
        <v>39</v>
      </c>
      <c r="M1070" s="4" t="s">
        <v>29</v>
      </c>
      <c r="N1070" s="4" t="s">
        <v>7319</v>
      </c>
      <c r="O1070" s="4" t="s">
        <v>29</v>
      </c>
      <c r="P1070" s="7"/>
      <c r="Q1070" s="6"/>
      <c r="R1070" s="6"/>
      <c r="S1070" s="6"/>
      <c r="T1070" s="6"/>
      <c r="U1070" s="6"/>
      <c r="V1070" s="6"/>
      <c r="W1070" s="6"/>
      <c r="X1070" s="6"/>
      <c r="Y1070" s="6"/>
    </row>
    <row r="1071" ht="14.25">
      <c r="B1071" s="4" t="s">
        <v>178</v>
      </c>
      <c r="C1071" s="4" t="s">
        <v>7320</v>
      </c>
      <c r="D1071" s="4" t="s">
        <v>172</v>
      </c>
      <c r="E1071" s="4" t="s">
        <v>7193</v>
      </c>
      <c r="F1071" s="4" t="s">
        <v>7321</v>
      </c>
      <c r="G1071" s="4">
        <v>52</v>
      </c>
      <c r="H1071" s="4" t="s">
        <v>25</v>
      </c>
      <c r="I1071" s="4" t="str">
        <f>IFERROR(__XLUDF.DUMMYFUNCTION("VLOOKUP(G165,IMPORTRANGE(""https://docs.google.com/spreadsheets/d/1opm6ZNvGZ7KditA9TuJwrZ25eFLfTNIkrNnY6mhV5Eg"",""list!A1:C115""),3,TRUE)"),"le secteur de l'hôtellerie")</f>
        <v xml:space="preserve">le secteur de l'hôtellerie</v>
      </c>
      <c r="J1071" s="5" t="s">
        <v>7322</v>
      </c>
      <c r="K1071" s="5" t="s">
        <v>7196</v>
      </c>
      <c r="L1071" s="4" t="s">
        <v>39</v>
      </c>
      <c r="M1071" s="4" t="s">
        <v>29</v>
      </c>
      <c r="N1071" s="4" t="s">
        <v>67</v>
      </c>
      <c r="O1071" s="4" t="s">
        <v>29</v>
      </c>
      <c r="P1071" s="4" t="s">
        <v>7197</v>
      </c>
      <c r="Q1071" s="6"/>
      <c r="R1071" s="6"/>
      <c r="S1071" s="6"/>
      <c r="T1071" s="6"/>
      <c r="U1071" s="6"/>
      <c r="V1071" s="6"/>
      <c r="W1071" s="6"/>
      <c r="X1071" s="6"/>
      <c r="Y1071" s="6"/>
    </row>
    <row r="1072" ht="14.25">
      <c r="B1072" s="4" t="s">
        <v>7323</v>
      </c>
      <c r="C1072" s="4" t="s">
        <v>7324</v>
      </c>
      <c r="D1072" s="4" t="s">
        <v>62</v>
      </c>
      <c r="E1072" s="4" t="s">
        <v>7325</v>
      </c>
      <c r="F1072" s="4" t="s">
        <v>7326</v>
      </c>
      <c r="G1072" s="4">
        <v>140</v>
      </c>
      <c r="H1072" s="4" t="s">
        <v>25</v>
      </c>
      <c r="I1072" s="4" t="str">
        <f>IFERROR(__XLUDF.DUMMYFUNCTION("VLOOKUP(G166,IMPORTRANGE(""https://docs.google.com/spreadsheets/d/1opm6ZNvGZ7KditA9TuJwrZ25eFLfTNIkrNnY6mhV5Eg"",""list!A1:C115""),3,TRUE)"),"le secteur de l'hôtellerie")</f>
        <v xml:space="preserve">le secteur de l'hôtellerie</v>
      </c>
      <c r="J1072" s="5" t="s">
        <v>7327</v>
      </c>
      <c r="K1072" s="5" t="s">
        <v>7328</v>
      </c>
      <c r="L1072" s="7"/>
      <c r="M1072" s="4" t="s">
        <v>29</v>
      </c>
      <c r="N1072" s="4" t="s">
        <v>7329</v>
      </c>
      <c r="O1072" s="4" t="s">
        <v>29</v>
      </c>
      <c r="P1072" s="4" t="s">
        <v>7330</v>
      </c>
      <c r="Q1072" s="6"/>
      <c r="R1072" s="6"/>
      <c r="S1072" s="6"/>
      <c r="T1072" s="6"/>
      <c r="U1072" s="6"/>
      <c r="V1072" s="6"/>
      <c r="W1072" s="6"/>
      <c r="X1072" s="6"/>
      <c r="Y1072" s="6"/>
    </row>
    <row r="1073" ht="14.25">
      <c r="B1073" s="4" t="s">
        <v>2652</v>
      </c>
      <c r="C1073" s="4" t="s">
        <v>7331</v>
      </c>
      <c r="D1073" s="4" t="s">
        <v>1950</v>
      </c>
      <c r="E1073" s="4" t="s">
        <v>6870</v>
      </c>
      <c r="F1073" s="4" t="s">
        <v>7332</v>
      </c>
      <c r="G1073" s="4">
        <v>190</v>
      </c>
      <c r="H1073" s="4" t="s">
        <v>25</v>
      </c>
      <c r="I1073" s="4" t="str">
        <f>IFERROR(__XLUDF.DUMMYFUNCTION("VLOOKUP(G167,IMPORTRANGE(""https://docs.google.com/spreadsheets/d/1opm6ZNvGZ7KditA9TuJwrZ25eFLfTNIkrNnY6mhV5Eg"",""list!A1:C115""),3,TRUE)"),"le secteur de l'hôtellerie")</f>
        <v xml:space="preserve">le secteur de l'hôtellerie</v>
      </c>
      <c r="J1073" s="5" t="s">
        <v>7333</v>
      </c>
      <c r="K1073" s="5" t="s">
        <v>6873</v>
      </c>
      <c r="L1073" s="4" t="s">
        <v>39</v>
      </c>
      <c r="M1073" s="4" t="s">
        <v>29</v>
      </c>
      <c r="N1073" s="4" t="s">
        <v>6874</v>
      </c>
      <c r="O1073" s="4" t="s">
        <v>29</v>
      </c>
      <c r="P1073" s="4" t="s">
        <v>6875</v>
      </c>
      <c r="Q1073" s="6"/>
      <c r="R1073" s="6"/>
      <c r="S1073" s="6"/>
      <c r="T1073" s="6"/>
      <c r="U1073" s="6"/>
      <c r="V1073" s="6"/>
      <c r="W1073" s="6"/>
      <c r="X1073" s="6"/>
      <c r="Y1073" s="6"/>
    </row>
    <row r="1074" ht="14.25">
      <c r="B1074" s="4" t="s">
        <v>670</v>
      </c>
      <c r="C1074" s="4" t="s">
        <v>7334</v>
      </c>
      <c r="D1074" s="4" t="s">
        <v>6391</v>
      </c>
      <c r="E1074" s="4" t="s">
        <v>7335</v>
      </c>
      <c r="F1074" s="4" t="s">
        <v>7336</v>
      </c>
      <c r="G1074" s="4">
        <v>9</v>
      </c>
      <c r="H1074" s="4" t="s">
        <v>36</v>
      </c>
      <c r="I1074" s="4" t="str">
        <f>IFERROR(__XLUDF.DUMMYFUNCTION("VLOOKUP(G168,IMPORTRANGE(""https://docs.google.com/spreadsheets/d/1opm6ZNvGZ7KditA9TuJwrZ25eFLfTNIkrNnY6mhV5Eg"",""list!A1:C115""),3,TRUE)"),"le secteur de la restauration")</f>
        <v xml:space="preserve">le secteur de la restauration</v>
      </c>
      <c r="J1074" s="5" t="s">
        <v>7337</v>
      </c>
      <c r="K1074" s="5" t="s">
        <v>7338</v>
      </c>
      <c r="L1074" s="4" t="s">
        <v>1711</v>
      </c>
      <c r="M1074" s="4" t="s">
        <v>29</v>
      </c>
      <c r="N1074" s="4" t="s">
        <v>1712</v>
      </c>
      <c r="O1074" s="4" t="s">
        <v>29</v>
      </c>
      <c r="P1074" s="7"/>
      <c r="Q1074" s="6"/>
      <c r="R1074" s="6"/>
      <c r="S1074" s="6"/>
      <c r="T1074" s="6"/>
      <c r="U1074" s="6"/>
      <c r="V1074" s="6"/>
      <c r="W1074" s="6"/>
      <c r="X1074" s="6"/>
      <c r="Y1074" s="6"/>
    </row>
    <row r="1075" ht="14.25">
      <c r="B1075" s="4" t="s">
        <v>1948</v>
      </c>
      <c r="C1075" s="4" t="s">
        <v>2165</v>
      </c>
      <c r="D1075" s="4" t="s">
        <v>7339</v>
      </c>
      <c r="E1075" s="4" t="s">
        <v>7340</v>
      </c>
      <c r="F1075" s="4" t="s">
        <v>7341</v>
      </c>
      <c r="G1075" s="4">
        <v>13</v>
      </c>
      <c r="H1075" s="4" t="s">
        <v>36</v>
      </c>
      <c r="I1075" s="4" t="str">
        <f>IFERROR(__XLUDF.DUMMYFUNCTION("VLOOKUP(G169,IMPORTRANGE(""https://docs.google.com/spreadsheets/d/1opm6ZNvGZ7KditA9TuJwrZ25eFLfTNIkrNnY6mhV5Eg"",""list!A1:C115""),3,TRUE)"),"le secteur de la restauration")</f>
        <v xml:space="preserve">le secteur de la restauration</v>
      </c>
      <c r="J1075" s="5" t="s">
        <v>7342</v>
      </c>
      <c r="K1075" s="5" t="s">
        <v>7343</v>
      </c>
      <c r="L1075" s="4" t="s">
        <v>7344</v>
      </c>
      <c r="M1075" s="4" t="s">
        <v>29</v>
      </c>
      <c r="N1075" s="4" t="s">
        <v>7345</v>
      </c>
      <c r="O1075" s="4" t="s">
        <v>1261</v>
      </c>
      <c r="P1075" s="4" t="s">
        <v>7346</v>
      </c>
      <c r="Q1075" s="6"/>
      <c r="R1075" s="6"/>
      <c r="S1075" s="6"/>
      <c r="T1075" s="6"/>
      <c r="U1075" s="6"/>
      <c r="V1075" s="6"/>
      <c r="W1075" s="6"/>
      <c r="X1075" s="6"/>
      <c r="Y1075" s="6"/>
    </row>
    <row r="1076" ht="14.25">
      <c r="B1076" s="4" t="s">
        <v>7347</v>
      </c>
      <c r="C1076" s="4" t="s">
        <v>7348</v>
      </c>
      <c r="D1076" s="4" t="s">
        <v>7349</v>
      </c>
      <c r="E1076" s="4" t="s">
        <v>7350</v>
      </c>
      <c r="F1076" s="4" t="s">
        <v>7351</v>
      </c>
      <c r="G1076" s="4">
        <v>2</v>
      </c>
      <c r="H1076" s="4" t="s">
        <v>36</v>
      </c>
      <c r="I1076" s="4" t="str">
        <f>IFERROR(__XLUDF.DUMMYFUNCTION("VLOOKUP(G170,IMPORTRANGE(""https://docs.google.com/spreadsheets/d/1opm6ZNvGZ7KditA9TuJwrZ25eFLfTNIkrNnY6mhV5Eg"",""list!A1:C115""),3,TRUE)"),"le secteur de la restauration")</f>
        <v xml:space="preserve">le secteur de la restauration</v>
      </c>
      <c r="J1076" s="5" t="s">
        <v>7352</v>
      </c>
      <c r="K1076" s="5" t="s">
        <v>7353</v>
      </c>
      <c r="L1076" s="4" t="s">
        <v>846</v>
      </c>
      <c r="M1076" s="4" t="s">
        <v>29</v>
      </c>
      <c r="N1076" s="4" t="s">
        <v>7354</v>
      </c>
      <c r="O1076" s="4" t="s">
        <v>29</v>
      </c>
      <c r="P1076" s="4" t="s">
        <v>7355</v>
      </c>
      <c r="Q1076" s="6"/>
      <c r="R1076" s="6"/>
      <c r="S1076" s="6"/>
      <c r="T1076" s="6"/>
      <c r="U1076" s="6"/>
      <c r="V1076" s="6"/>
      <c r="W1076" s="6"/>
      <c r="X1076" s="6"/>
      <c r="Y1076" s="6"/>
    </row>
    <row r="1077" ht="14.25">
      <c r="B1077" s="4" t="s">
        <v>1153</v>
      </c>
      <c r="C1077" s="4" t="s">
        <v>7356</v>
      </c>
      <c r="D1077" s="4" t="s">
        <v>6391</v>
      </c>
      <c r="E1077" s="4" t="s">
        <v>7357</v>
      </c>
      <c r="F1077" s="4" t="s">
        <v>7358</v>
      </c>
      <c r="G1077" s="4">
        <v>7</v>
      </c>
      <c r="H1077" s="4" t="s">
        <v>36</v>
      </c>
      <c r="I1077" s="4" t="str">
        <f>IFERROR(__XLUDF.DUMMYFUNCTION("VLOOKUP(G171,IMPORTRANGE(""https://docs.google.com/spreadsheets/d/1opm6ZNvGZ7KditA9TuJwrZ25eFLfTNIkrNnY6mhV5Eg"",""list!A1:C115""),3,TRUE)"),"le secteur de la restauration")</f>
        <v xml:space="preserve">le secteur de la restauration</v>
      </c>
      <c r="J1077" s="5" t="s">
        <v>7359</v>
      </c>
      <c r="K1077" s="5" t="s">
        <v>7360</v>
      </c>
      <c r="L1077" s="4" t="s">
        <v>7361</v>
      </c>
      <c r="M1077" s="4" t="s">
        <v>29</v>
      </c>
      <c r="N1077" s="4" t="s">
        <v>7362</v>
      </c>
      <c r="O1077" s="4" t="s">
        <v>29</v>
      </c>
      <c r="P1077" s="7"/>
      <c r="Q1077" s="6"/>
      <c r="R1077" s="6"/>
      <c r="S1077" s="6"/>
      <c r="T1077" s="6"/>
      <c r="U1077" s="6"/>
      <c r="V1077" s="6"/>
      <c r="W1077" s="6"/>
      <c r="X1077" s="6"/>
      <c r="Y1077" s="6"/>
    </row>
    <row r="1078" ht="14.25">
      <c r="B1078" s="4" t="s">
        <v>2932</v>
      </c>
      <c r="C1078" s="4" t="s">
        <v>7363</v>
      </c>
      <c r="D1078" s="4" t="s">
        <v>6391</v>
      </c>
      <c r="E1078" s="4" t="s">
        <v>7364</v>
      </c>
      <c r="F1078" s="4" t="s">
        <v>7365</v>
      </c>
      <c r="G1078" s="4">
        <v>34</v>
      </c>
      <c r="H1078" s="4" t="s">
        <v>36</v>
      </c>
      <c r="I1078" s="4" t="str">
        <f>IFERROR(__XLUDF.DUMMYFUNCTION("VLOOKUP(G172,IMPORTRANGE(""https://docs.google.com/spreadsheets/d/1opm6ZNvGZ7KditA9TuJwrZ25eFLfTNIkrNnY6mhV5Eg"",""list!A1:C115""),3,TRUE)"),"le secteur de la restauration")</f>
        <v xml:space="preserve">le secteur de la restauration</v>
      </c>
      <c r="J1078" s="5" t="s">
        <v>7366</v>
      </c>
      <c r="K1078" s="5" t="s">
        <v>7367</v>
      </c>
      <c r="L1078" s="4" t="s">
        <v>439</v>
      </c>
      <c r="M1078" s="4" t="s">
        <v>29</v>
      </c>
      <c r="N1078" s="4" t="s">
        <v>7368</v>
      </c>
      <c r="O1078" s="4" t="s">
        <v>29</v>
      </c>
      <c r="P1078" s="4" t="s">
        <v>7369</v>
      </c>
      <c r="Q1078" s="6"/>
      <c r="R1078" s="6"/>
      <c r="S1078" s="6"/>
      <c r="T1078" s="6"/>
      <c r="U1078" s="6"/>
      <c r="V1078" s="6"/>
      <c r="W1078" s="6"/>
      <c r="X1078" s="6"/>
      <c r="Y1078" s="6"/>
    </row>
    <row r="1079" ht="14.25">
      <c r="B1079" s="4" t="s">
        <v>2398</v>
      </c>
      <c r="C1079" s="4" t="s">
        <v>7370</v>
      </c>
      <c r="D1079" s="4" t="s">
        <v>6362</v>
      </c>
      <c r="E1079" s="4" t="s">
        <v>1868</v>
      </c>
      <c r="F1079" s="4" t="s">
        <v>7371</v>
      </c>
      <c r="G1079" s="4">
        <v>35</v>
      </c>
      <c r="H1079" s="4" t="s">
        <v>36</v>
      </c>
      <c r="I1079" s="4" t="str">
        <f>IFERROR(__XLUDF.DUMMYFUNCTION("VLOOKUP(G173,IMPORTRANGE(""https://docs.google.com/spreadsheets/d/1opm6ZNvGZ7KditA9TuJwrZ25eFLfTNIkrNnY6mhV5Eg"",""list!A1:C115""),3,TRUE)"),"le secteur de la restauration")</f>
        <v xml:space="preserve">le secteur de la restauration</v>
      </c>
      <c r="J1079" s="5" t="s">
        <v>7372</v>
      </c>
      <c r="K1079" s="5" t="s">
        <v>7373</v>
      </c>
      <c r="L1079" s="4" t="s">
        <v>185</v>
      </c>
      <c r="M1079" s="4" t="s">
        <v>29</v>
      </c>
      <c r="N1079" s="7"/>
      <c r="O1079" s="7"/>
      <c r="P1079" s="4" t="s">
        <v>1872</v>
      </c>
      <c r="Q1079" s="6"/>
      <c r="R1079" s="6"/>
      <c r="S1079" s="6"/>
      <c r="T1079" s="6"/>
      <c r="U1079" s="6"/>
      <c r="V1079" s="6"/>
      <c r="W1079" s="6"/>
      <c r="X1079" s="6"/>
      <c r="Y1079" s="6"/>
    </row>
    <row r="1080" ht="14.25">
      <c r="B1080" s="4" t="s">
        <v>548</v>
      </c>
      <c r="C1080" s="4" t="s">
        <v>7374</v>
      </c>
      <c r="D1080" s="4" t="s">
        <v>4449</v>
      </c>
      <c r="E1080" s="4" t="s">
        <v>7375</v>
      </c>
      <c r="F1080" s="4" t="s">
        <v>7376</v>
      </c>
      <c r="G1080" s="4">
        <v>5</v>
      </c>
      <c r="H1080" s="4" t="s">
        <v>36</v>
      </c>
      <c r="I1080" s="4" t="str">
        <f>IFERROR(__XLUDF.DUMMYFUNCTION("VLOOKUP(G174,IMPORTRANGE(""https://docs.google.com/spreadsheets/d/1opm6ZNvGZ7KditA9TuJwrZ25eFLfTNIkrNnY6mhV5Eg"",""list!A1:C115""),3,TRUE)"),"le secteur de la restauration")</f>
        <v xml:space="preserve">le secteur de la restauration</v>
      </c>
      <c r="J1080" s="5" t="s">
        <v>7377</v>
      </c>
      <c r="K1080" s="5" t="s">
        <v>7378</v>
      </c>
      <c r="L1080" s="4" t="s">
        <v>39</v>
      </c>
      <c r="M1080" s="4" t="s">
        <v>29</v>
      </c>
      <c r="N1080" s="7"/>
      <c r="O1080" s="7"/>
      <c r="P1080" s="4" t="s">
        <v>7379</v>
      </c>
      <c r="Q1080" s="6"/>
      <c r="R1080" s="6"/>
      <c r="S1080" s="6"/>
      <c r="T1080" s="6"/>
      <c r="U1080" s="6"/>
      <c r="V1080" s="6"/>
      <c r="W1080" s="6"/>
      <c r="X1080" s="6"/>
      <c r="Y1080" s="6"/>
    </row>
    <row r="1081" ht="14.25">
      <c r="B1081" s="4" t="s">
        <v>785</v>
      </c>
      <c r="C1081" s="4" t="s">
        <v>7380</v>
      </c>
      <c r="D1081" s="4" t="s">
        <v>7381</v>
      </c>
      <c r="E1081" s="4" t="s">
        <v>7382</v>
      </c>
      <c r="F1081" s="4" t="s">
        <v>7383</v>
      </c>
      <c r="G1081" s="4">
        <v>14</v>
      </c>
      <c r="H1081" s="4" t="s">
        <v>36</v>
      </c>
      <c r="I1081" s="4" t="str">
        <f>IFERROR(__XLUDF.DUMMYFUNCTION("VLOOKUP(G175,IMPORTRANGE(""https://docs.google.com/spreadsheets/d/1opm6ZNvGZ7KditA9TuJwrZ25eFLfTNIkrNnY6mhV5Eg"",""list!A1:C115""),3,TRUE)"),"le secteur de la restauration")</f>
        <v xml:space="preserve">le secteur de la restauration</v>
      </c>
      <c r="J1081" s="5" t="s">
        <v>7384</v>
      </c>
      <c r="K1081" s="5" t="s">
        <v>7385</v>
      </c>
      <c r="L1081" s="4" t="s">
        <v>7386</v>
      </c>
      <c r="M1081" s="4" t="s">
        <v>29</v>
      </c>
      <c r="N1081" s="4" t="s">
        <v>7387</v>
      </c>
      <c r="O1081" s="4" t="s">
        <v>29</v>
      </c>
      <c r="P1081" s="7"/>
      <c r="Q1081" s="6"/>
      <c r="R1081" s="6"/>
      <c r="S1081" s="6"/>
      <c r="T1081" s="6"/>
      <c r="U1081" s="6"/>
      <c r="V1081" s="6"/>
      <c r="W1081" s="6"/>
      <c r="X1081" s="6"/>
      <c r="Y1081" s="6"/>
    </row>
    <row r="1082" ht="14.25">
      <c r="B1082" s="4" t="s">
        <v>76</v>
      </c>
      <c r="C1082" s="4" t="s">
        <v>1002</v>
      </c>
      <c r="D1082" s="4" t="s">
        <v>6362</v>
      </c>
      <c r="E1082" s="4" t="s">
        <v>7388</v>
      </c>
      <c r="F1082" s="4" t="s">
        <v>7389</v>
      </c>
      <c r="G1082" s="4">
        <v>7</v>
      </c>
      <c r="H1082" s="4" t="s">
        <v>36</v>
      </c>
      <c r="I1082" s="4" t="str">
        <f>IFERROR(__XLUDF.DUMMYFUNCTION("VLOOKUP(G176,IMPORTRANGE(""https://docs.google.com/spreadsheets/d/1opm6ZNvGZ7KditA9TuJwrZ25eFLfTNIkrNnY6mhV5Eg"",""list!A1:C115""),3,TRUE)"),"le secteur de la restauration")</f>
        <v xml:space="preserve">le secteur de la restauration</v>
      </c>
      <c r="J1082" s="5" t="s">
        <v>7390</v>
      </c>
      <c r="K1082" s="5" t="s">
        <v>7391</v>
      </c>
      <c r="L1082" s="4" t="s">
        <v>1711</v>
      </c>
      <c r="M1082" s="4" t="s">
        <v>29</v>
      </c>
      <c r="N1082" s="4" t="s">
        <v>7392</v>
      </c>
      <c r="O1082" s="4" t="s">
        <v>29</v>
      </c>
      <c r="P1082" s="7"/>
      <c r="Q1082" s="6"/>
      <c r="R1082" s="6"/>
      <c r="S1082" s="6"/>
      <c r="T1082" s="6"/>
      <c r="U1082" s="6"/>
      <c r="V1082" s="6"/>
      <c r="W1082" s="6"/>
      <c r="X1082" s="6"/>
      <c r="Y1082" s="6"/>
    </row>
    <row r="1083" ht="14.25">
      <c r="B1083" s="4" t="s">
        <v>7393</v>
      </c>
      <c r="C1083" s="4" t="s">
        <v>1002</v>
      </c>
      <c r="D1083" s="4" t="s">
        <v>7381</v>
      </c>
      <c r="E1083" s="4" t="s">
        <v>7394</v>
      </c>
      <c r="F1083" s="4" t="s">
        <v>7395</v>
      </c>
      <c r="G1083" s="4">
        <v>4</v>
      </c>
      <c r="H1083" s="4" t="s">
        <v>36</v>
      </c>
      <c r="I1083" s="4" t="str">
        <f>IFERROR(__XLUDF.DUMMYFUNCTION("VLOOKUP(G177,IMPORTRANGE(""https://docs.google.com/spreadsheets/d/1opm6ZNvGZ7KditA9TuJwrZ25eFLfTNIkrNnY6mhV5Eg"",""list!A1:C115""),3,TRUE)"),"le secteur de la restauration")</f>
        <v xml:space="preserve">le secteur de la restauration</v>
      </c>
      <c r="J1083" s="5" t="s">
        <v>7396</v>
      </c>
      <c r="K1083" s="5" t="s">
        <v>7397</v>
      </c>
      <c r="L1083" s="4" t="s">
        <v>4303</v>
      </c>
      <c r="M1083" s="4" t="s">
        <v>29</v>
      </c>
      <c r="N1083" s="4" t="s">
        <v>6771</v>
      </c>
      <c r="O1083" s="4" t="s">
        <v>29</v>
      </c>
      <c r="P1083" s="4" t="s">
        <v>7398</v>
      </c>
      <c r="Q1083" s="6"/>
      <c r="R1083" s="6"/>
      <c r="S1083" s="6"/>
      <c r="T1083" s="6"/>
      <c r="U1083" s="6"/>
      <c r="V1083" s="6"/>
      <c r="W1083" s="6"/>
      <c r="X1083" s="6"/>
      <c r="Y1083" s="6"/>
    </row>
    <row r="1084" ht="14.25">
      <c r="B1084" s="4" t="s">
        <v>2372</v>
      </c>
      <c r="C1084" s="4" t="s">
        <v>7399</v>
      </c>
      <c r="D1084" s="4" t="s">
        <v>6391</v>
      </c>
      <c r="E1084" s="4" t="s">
        <v>1209</v>
      </c>
      <c r="F1084" s="4" t="s">
        <v>7400</v>
      </c>
      <c r="G1084" s="4">
        <v>48</v>
      </c>
      <c r="H1084" s="4" t="s">
        <v>36</v>
      </c>
      <c r="I1084" s="4" t="str">
        <f>IFERROR(__XLUDF.DUMMYFUNCTION("VLOOKUP(G178,IMPORTRANGE(""https://docs.google.com/spreadsheets/d/1opm6ZNvGZ7KditA9TuJwrZ25eFLfTNIkrNnY6mhV5Eg"",""list!A1:C115""),3,TRUE)"),"le secteur de la restauration")</f>
        <v xml:space="preserve">le secteur de la restauration</v>
      </c>
      <c r="J1084" s="5" t="s">
        <v>7401</v>
      </c>
      <c r="K1084" s="5" t="s">
        <v>7402</v>
      </c>
      <c r="L1084" s="4" t="s">
        <v>1826</v>
      </c>
      <c r="M1084" s="4" t="s">
        <v>29</v>
      </c>
      <c r="N1084" s="4" t="s">
        <v>1213</v>
      </c>
      <c r="O1084" s="4" t="s">
        <v>29</v>
      </c>
      <c r="P1084" s="4" t="s">
        <v>1214</v>
      </c>
      <c r="Q1084" s="6"/>
      <c r="R1084" s="6"/>
      <c r="S1084" s="6"/>
      <c r="T1084" s="6"/>
      <c r="U1084" s="6"/>
      <c r="V1084" s="6"/>
      <c r="W1084" s="6"/>
      <c r="X1084" s="6"/>
      <c r="Y1084" s="6"/>
    </row>
    <row r="1085" ht="14.25">
      <c r="B1085" s="4" t="s">
        <v>7403</v>
      </c>
      <c r="C1085" s="4" t="s">
        <v>7404</v>
      </c>
      <c r="D1085" s="4" t="s">
        <v>6362</v>
      </c>
      <c r="E1085" s="4" t="s">
        <v>7405</v>
      </c>
      <c r="F1085" s="4" t="s">
        <v>7406</v>
      </c>
      <c r="G1085" s="4">
        <v>37</v>
      </c>
      <c r="H1085" s="4" t="s">
        <v>36</v>
      </c>
      <c r="I1085" s="4" t="str">
        <f>IFERROR(__XLUDF.DUMMYFUNCTION("VLOOKUP(G179,IMPORTRANGE(""https://docs.google.com/spreadsheets/d/1opm6ZNvGZ7KditA9TuJwrZ25eFLfTNIkrNnY6mhV5Eg"",""list!A1:C115""),3,TRUE)"),"le secteur de la restauration")</f>
        <v xml:space="preserve">le secteur de la restauration</v>
      </c>
      <c r="J1085" s="5" t="s">
        <v>7407</v>
      </c>
      <c r="K1085" s="5" t="s">
        <v>7408</v>
      </c>
      <c r="L1085" s="4" t="s">
        <v>4922</v>
      </c>
      <c r="M1085" s="4" t="s">
        <v>29</v>
      </c>
      <c r="N1085" s="4" t="s">
        <v>7409</v>
      </c>
      <c r="O1085" s="4" t="s">
        <v>29</v>
      </c>
      <c r="P1085" s="4" t="s">
        <v>7410</v>
      </c>
      <c r="Q1085" s="6"/>
      <c r="R1085" s="6"/>
      <c r="S1085" s="6"/>
      <c r="T1085" s="6"/>
      <c r="U1085" s="6"/>
      <c r="V1085" s="6"/>
      <c r="W1085" s="6"/>
      <c r="X1085" s="6"/>
      <c r="Y1085" s="6"/>
    </row>
    <row r="1086" ht="14.25">
      <c r="B1086" s="4" t="s">
        <v>2409</v>
      </c>
      <c r="C1086" s="4" t="s">
        <v>7411</v>
      </c>
      <c r="D1086" s="4" t="s">
        <v>7412</v>
      </c>
      <c r="E1086" s="4" t="s">
        <v>7413</v>
      </c>
      <c r="F1086" s="4" t="s">
        <v>7414</v>
      </c>
      <c r="G1086" s="4">
        <v>24</v>
      </c>
      <c r="H1086" s="4" t="s">
        <v>36</v>
      </c>
      <c r="I1086" s="4" t="str">
        <f>IFERROR(__XLUDF.DUMMYFUNCTION("VLOOKUP(G180,IMPORTRANGE(""https://docs.google.com/spreadsheets/d/1opm6ZNvGZ7KditA9TuJwrZ25eFLfTNIkrNnY6mhV5Eg"",""list!A1:C115""),3,TRUE)"),"le secteur de la restauration")</f>
        <v xml:space="preserve">le secteur de la restauration</v>
      </c>
      <c r="J1086" s="5" t="s">
        <v>7415</v>
      </c>
      <c r="K1086" s="5" t="s">
        <v>7416</v>
      </c>
      <c r="L1086" s="4" t="s">
        <v>39</v>
      </c>
      <c r="M1086" s="4" t="s">
        <v>29</v>
      </c>
      <c r="N1086" s="4" t="s">
        <v>67</v>
      </c>
      <c r="O1086" s="4" t="s">
        <v>29</v>
      </c>
      <c r="P1086" s="4" t="s">
        <v>7417</v>
      </c>
      <c r="Q1086" s="6"/>
      <c r="R1086" s="6"/>
      <c r="S1086" s="6"/>
      <c r="T1086" s="6"/>
      <c r="U1086" s="6"/>
      <c r="V1086" s="6"/>
      <c r="W1086" s="6"/>
      <c r="X1086" s="6"/>
      <c r="Y1086" s="6"/>
    </row>
    <row r="1087" ht="14.25">
      <c r="B1087" s="4" t="s">
        <v>3609</v>
      </c>
      <c r="C1087" s="4" t="s">
        <v>3610</v>
      </c>
      <c r="D1087" s="4" t="s">
        <v>3611</v>
      </c>
      <c r="E1087" s="4" t="s">
        <v>3612</v>
      </c>
      <c r="F1087" s="4" t="s">
        <v>3613</v>
      </c>
      <c r="G1087" s="4">
        <v>53</v>
      </c>
      <c r="H1087" s="4" t="s">
        <v>36</v>
      </c>
      <c r="I1087" s="4" t="str">
        <f>IFERROR(__XLUDF.DUMMYFUNCTION("VLOOKUP(G181,IMPORTRANGE(""https://docs.google.com/spreadsheets/d/1opm6ZNvGZ7KditA9TuJwrZ25eFLfTNIkrNnY6mhV5Eg"",""list!A1:C115""),3,TRUE)"),"le secteur de la restauration")</f>
        <v xml:space="preserve">le secteur de la restauration</v>
      </c>
      <c r="J1087" s="5" t="s">
        <v>3614</v>
      </c>
      <c r="K1087" s="5" t="s">
        <v>7418</v>
      </c>
      <c r="L1087" s="4" t="s">
        <v>39</v>
      </c>
      <c r="M1087" s="4" t="s">
        <v>29</v>
      </c>
      <c r="N1087" s="4" t="s">
        <v>3616</v>
      </c>
      <c r="O1087" s="4" t="s">
        <v>29</v>
      </c>
      <c r="P1087" s="7"/>
      <c r="Q1087" s="6"/>
      <c r="R1087" s="6"/>
      <c r="S1087" s="6"/>
      <c r="T1087" s="6"/>
      <c r="U1087" s="6"/>
      <c r="V1087" s="6"/>
      <c r="W1087" s="6"/>
      <c r="X1087" s="6"/>
      <c r="Y1087" s="6"/>
    </row>
    <row r="1088" ht="14.25">
      <c r="B1088" s="4" t="s">
        <v>2299</v>
      </c>
      <c r="C1088" s="4" t="s">
        <v>2300</v>
      </c>
      <c r="D1088" s="4" t="s">
        <v>120</v>
      </c>
      <c r="E1088" s="4" t="s">
        <v>896</v>
      </c>
      <c r="F1088" s="4" t="s">
        <v>2301</v>
      </c>
      <c r="G1088" s="4">
        <v>64</v>
      </c>
      <c r="H1088" s="4" t="s">
        <v>36</v>
      </c>
      <c r="I1088" s="4" t="str">
        <f>IFERROR(__XLUDF.DUMMYFUNCTION("VLOOKUP(G182,IMPORTRANGE(""https://docs.google.com/spreadsheets/d/1opm6ZNvGZ7KditA9TuJwrZ25eFLfTNIkrNnY6mhV5Eg"",""list!A1:C115""),3,TRUE)"),"le secteur de la restauration")</f>
        <v xml:space="preserve">le secteur de la restauration</v>
      </c>
      <c r="J1088" s="5" t="s">
        <v>2302</v>
      </c>
      <c r="K1088" s="5" t="s">
        <v>7419</v>
      </c>
      <c r="L1088" s="4" t="s">
        <v>49</v>
      </c>
      <c r="M1088" s="4" t="s">
        <v>29</v>
      </c>
      <c r="N1088" s="4" t="s">
        <v>416</v>
      </c>
      <c r="O1088" s="4" t="s">
        <v>29</v>
      </c>
      <c r="P1088" s="4" t="s">
        <v>900</v>
      </c>
      <c r="Q1088" s="6"/>
      <c r="R1088" s="6"/>
      <c r="S1088" s="6"/>
      <c r="T1088" s="6"/>
      <c r="U1088" s="6"/>
      <c r="V1088" s="6"/>
      <c r="W1088" s="6"/>
      <c r="X1088" s="6"/>
      <c r="Y1088" s="6"/>
    </row>
    <row r="1089" ht="14.25">
      <c r="B1089" s="4" t="s">
        <v>743</v>
      </c>
      <c r="C1089" s="4" t="s">
        <v>761</v>
      </c>
      <c r="D1089" s="4" t="s">
        <v>341</v>
      </c>
      <c r="E1089" s="4" t="s">
        <v>762</v>
      </c>
      <c r="F1089" s="4" t="s">
        <v>763</v>
      </c>
      <c r="G1089" s="4">
        <v>51</v>
      </c>
      <c r="H1089" s="4" t="s">
        <v>36</v>
      </c>
      <c r="I1089" s="4" t="str">
        <f>IFERROR(__XLUDF.DUMMYFUNCTION("VLOOKUP(G183,IMPORTRANGE(""https://docs.google.com/spreadsheets/d/1opm6ZNvGZ7KditA9TuJwrZ25eFLfTNIkrNnY6mhV5Eg"",""list!A1:C115""),3,TRUE)"),"le secteur de la restauration")</f>
        <v xml:space="preserve">le secteur de la restauration</v>
      </c>
      <c r="J1089" s="5" t="s">
        <v>764</v>
      </c>
      <c r="K1089" s="5" t="s">
        <v>7420</v>
      </c>
      <c r="L1089" s="4" t="s">
        <v>492</v>
      </c>
      <c r="M1089" s="4" t="s">
        <v>29</v>
      </c>
      <c r="N1089" s="4" t="s">
        <v>766</v>
      </c>
      <c r="O1089" s="4" t="s">
        <v>29</v>
      </c>
      <c r="P1089" s="4" t="s">
        <v>7421</v>
      </c>
      <c r="Q1089" s="6"/>
      <c r="R1089" s="6"/>
      <c r="S1089" s="6"/>
      <c r="T1089" s="6"/>
      <c r="U1089" s="6"/>
      <c r="V1089" s="6"/>
      <c r="W1089" s="6"/>
      <c r="X1089" s="6"/>
      <c r="Y1089" s="6"/>
    </row>
    <row r="1090" ht="14.25">
      <c r="B1090" s="4" t="s">
        <v>7422</v>
      </c>
      <c r="C1090" s="4" t="s">
        <v>1973</v>
      </c>
      <c r="D1090" s="4" t="s">
        <v>7423</v>
      </c>
      <c r="E1090" s="4" t="s">
        <v>7424</v>
      </c>
      <c r="F1090" s="4" t="s">
        <v>7425</v>
      </c>
      <c r="G1090" s="4">
        <v>310</v>
      </c>
      <c r="H1090" s="4" t="s">
        <v>36</v>
      </c>
      <c r="I1090" s="4" t="str">
        <f>IFERROR(__XLUDF.DUMMYFUNCTION("VLOOKUP(G184,IMPORTRANGE(""https://docs.google.com/spreadsheets/d/1opm6ZNvGZ7KditA9TuJwrZ25eFLfTNIkrNnY6mhV5Eg"",""list!A1:C115""),3,TRUE)"),"le secteur de la restauration")</f>
        <v xml:space="preserve">le secteur de la restauration</v>
      </c>
      <c r="J1090" s="5" t="s">
        <v>7426</v>
      </c>
      <c r="K1090" s="5" t="s">
        <v>7427</v>
      </c>
      <c r="L1090" s="4" t="s">
        <v>39</v>
      </c>
      <c r="M1090" s="4" t="s">
        <v>29</v>
      </c>
      <c r="N1090" s="4" t="s">
        <v>7428</v>
      </c>
      <c r="O1090" s="4" t="s">
        <v>29</v>
      </c>
      <c r="P1090" s="4" t="s">
        <v>7429</v>
      </c>
      <c r="Q1090" s="6"/>
      <c r="R1090" s="6"/>
      <c r="S1090" s="6"/>
      <c r="T1090" s="6"/>
      <c r="U1090" s="6"/>
      <c r="V1090" s="6"/>
      <c r="W1090" s="6"/>
      <c r="X1090" s="6"/>
      <c r="Y1090" s="6"/>
    </row>
    <row r="1091" ht="14.25">
      <c r="B1091" s="4" t="s">
        <v>95</v>
      </c>
      <c r="C1091" s="4" t="s">
        <v>7430</v>
      </c>
      <c r="D1091" s="4" t="s">
        <v>172</v>
      </c>
      <c r="E1091" s="4" t="s">
        <v>7431</v>
      </c>
      <c r="F1091" s="4" t="s">
        <v>7432</v>
      </c>
      <c r="G1091" s="4">
        <v>320</v>
      </c>
      <c r="H1091" s="4" t="s">
        <v>36</v>
      </c>
      <c r="I1091" s="4" t="str">
        <f>IFERROR(__XLUDF.DUMMYFUNCTION("VLOOKUP(G185,IMPORTRANGE(""https://docs.google.com/spreadsheets/d/1opm6ZNvGZ7KditA9TuJwrZ25eFLfTNIkrNnY6mhV5Eg"",""list!A1:C115""),3,TRUE)"),"le secteur de la restauration")</f>
        <v xml:space="preserve">le secteur de la restauration</v>
      </c>
      <c r="J1091" s="5" t="s">
        <v>7433</v>
      </c>
      <c r="K1091" s="5" t="s">
        <v>7434</v>
      </c>
      <c r="L1091" s="4" t="s">
        <v>6480</v>
      </c>
      <c r="M1091" s="4" t="s">
        <v>29</v>
      </c>
      <c r="N1091" s="4" t="s">
        <v>7435</v>
      </c>
      <c r="O1091" s="4" t="s">
        <v>29</v>
      </c>
      <c r="P1091" s="7"/>
      <c r="Q1091" s="6"/>
      <c r="R1091" s="6"/>
      <c r="S1091" s="6"/>
      <c r="T1091" s="6"/>
      <c r="U1091" s="6"/>
      <c r="V1091" s="6"/>
      <c r="W1091" s="6"/>
      <c r="X1091" s="6"/>
      <c r="Y1091" s="6"/>
    </row>
    <row r="1092" ht="14.25">
      <c r="B1092" s="4" t="s">
        <v>7436</v>
      </c>
      <c r="C1092" s="4" t="s">
        <v>7437</v>
      </c>
      <c r="D1092" s="4" t="s">
        <v>503</v>
      </c>
      <c r="E1092" s="4" t="s">
        <v>7438</v>
      </c>
      <c r="F1092" s="4" t="s">
        <v>7439</v>
      </c>
      <c r="G1092" s="4">
        <v>74</v>
      </c>
      <c r="H1092" s="4" t="s">
        <v>36</v>
      </c>
      <c r="I1092" s="4" t="str">
        <f>IFERROR(__XLUDF.DUMMYFUNCTION("VLOOKUP(G186,IMPORTRANGE(""https://docs.google.com/spreadsheets/d/1opm6ZNvGZ7KditA9TuJwrZ25eFLfTNIkrNnY6mhV5Eg"",""list!A1:C115""),3,TRUE)"),"le secteur de la restauration")</f>
        <v xml:space="preserve">le secteur de la restauration</v>
      </c>
      <c r="J1092" s="5" t="s">
        <v>7440</v>
      </c>
      <c r="K1092" s="5" t="s">
        <v>7441</v>
      </c>
      <c r="L1092" s="4" t="s">
        <v>39</v>
      </c>
      <c r="M1092" s="4" t="s">
        <v>29</v>
      </c>
      <c r="N1092" s="4" t="s">
        <v>7442</v>
      </c>
      <c r="O1092" s="4" t="s">
        <v>29</v>
      </c>
      <c r="P1092" s="4" t="s">
        <v>7443</v>
      </c>
      <c r="Q1092" s="6"/>
      <c r="R1092" s="6"/>
      <c r="S1092" s="6"/>
      <c r="T1092" s="6"/>
      <c r="U1092" s="6"/>
      <c r="V1092" s="6"/>
      <c r="W1092" s="6"/>
      <c r="X1092" s="6"/>
      <c r="Y1092" s="6"/>
    </row>
    <row r="1093" ht="14.25">
      <c r="B1093" s="4" t="s">
        <v>1571</v>
      </c>
      <c r="C1093" s="4" t="s">
        <v>6361</v>
      </c>
      <c r="D1093" s="4" t="s">
        <v>7444</v>
      </c>
      <c r="E1093" s="4" t="s">
        <v>7445</v>
      </c>
      <c r="F1093" s="4" t="s">
        <v>7446</v>
      </c>
      <c r="G1093" s="4">
        <v>110</v>
      </c>
      <c r="H1093" s="4" t="s">
        <v>36</v>
      </c>
      <c r="I1093" s="4" t="str">
        <f>IFERROR(__XLUDF.DUMMYFUNCTION("VLOOKUP(G187,IMPORTRANGE(""https://docs.google.com/spreadsheets/d/1opm6ZNvGZ7KditA9TuJwrZ25eFLfTNIkrNnY6mhV5Eg"",""list!A1:C115""),3,TRUE)"),"le secteur de la restauration")</f>
        <v xml:space="preserve">le secteur de la restauration</v>
      </c>
      <c r="J1093" s="5" t="s">
        <v>7447</v>
      </c>
      <c r="K1093" s="5" t="s">
        <v>7448</v>
      </c>
      <c r="L1093" s="7"/>
      <c r="M1093" s="4" t="s">
        <v>29</v>
      </c>
      <c r="N1093" s="4" t="s">
        <v>7449</v>
      </c>
      <c r="O1093" s="4" t="s">
        <v>29</v>
      </c>
      <c r="P1093" s="4" t="s">
        <v>7450</v>
      </c>
      <c r="Q1093" s="6"/>
      <c r="R1093" s="6"/>
      <c r="S1093" s="6"/>
      <c r="T1093" s="6"/>
      <c r="U1093" s="6"/>
      <c r="V1093" s="6"/>
      <c r="W1093" s="6"/>
      <c r="X1093" s="6"/>
      <c r="Y1093" s="6"/>
    </row>
    <row r="1094" ht="14.25">
      <c r="B1094" s="4" t="s">
        <v>7451</v>
      </c>
      <c r="C1094" s="4" t="s">
        <v>7452</v>
      </c>
      <c r="D1094" s="4" t="s">
        <v>7453</v>
      </c>
      <c r="E1094" s="4" t="s">
        <v>5246</v>
      </c>
      <c r="F1094" s="4" t="s">
        <v>7454</v>
      </c>
      <c r="G1094" s="4">
        <v>93</v>
      </c>
      <c r="H1094" s="4" t="s">
        <v>36</v>
      </c>
      <c r="I1094" s="4" t="str">
        <f>IFERROR(__XLUDF.DUMMYFUNCTION("VLOOKUP(G188,IMPORTRANGE(""https://docs.google.com/spreadsheets/d/1opm6ZNvGZ7KditA9TuJwrZ25eFLfTNIkrNnY6mhV5Eg"",""list!A1:C115""),3,TRUE)"),"le secteur de la restauration")</f>
        <v xml:space="preserve">le secteur de la restauration</v>
      </c>
      <c r="J1094" s="5" t="s">
        <v>7455</v>
      </c>
      <c r="K1094" s="5" t="s">
        <v>7456</v>
      </c>
      <c r="L1094" s="4" t="s">
        <v>39</v>
      </c>
      <c r="M1094" s="4" t="s">
        <v>29</v>
      </c>
      <c r="N1094" s="4" t="s">
        <v>5250</v>
      </c>
      <c r="O1094" s="4" t="s">
        <v>29</v>
      </c>
      <c r="P1094" s="4" t="s">
        <v>5251</v>
      </c>
      <c r="Q1094" s="6"/>
      <c r="R1094" s="6"/>
      <c r="S1094" s="6"/>
      <c r="T1094" s="6"/>
      <c r="U1094" s="6"/>
      <c r="V1094" s="6"/>
      <c r="W1094" s="6"/>
      <c r="X1094" s="6"/>
      <c r="Y1094" s="6"/>
    </row>
    <row r="1095" ht="14.25">
      <c r="B1095" s="4" t="s">
        <v>630</v>
      </c>
      <c r="C1095" s="4" t="s">
        <v>1572</v>
      </c>
      <c r="D1095" s="4" t="s">
        <v>4449</v>
      </c>
      <c r="E1095" s="4" t="s">
        <v>7457</v>
      </c>
      <c r="F1095" s="4" t="s">
        <v>7458</v>
      </c>
      <c r="G1095" s="4">
        <v>180</v>
      </c>
      <c r="H1095" s="4" t="s">
        <v>36</v>
      </c>
      <c r="I1095" s="4" t="str">
        <f>IFERROR(__XLUDF.DUMMYFUNCTION("VLOOKUP(G189,IMPORTRANGE(""https://docs.google.com/spreadsheets/d/1opm6ZNvGZ7KditA9TuJwrZ25eFLfTNIkrNnY6mhV5Eg"",""list!A1:C115""),3,TRUE)"),"le secteur de la restauration")</f>
        <v xml:space="preserve">le secteur de la restauration</v>
      </c>
      <c r="J1095" s="5" t="s">
        <v>7459</v>
      </c>
      <c r="K1095" s="5" t="s">
        <v>7460</v>
      </c>
      <c r="L1095" s="4" t="s">
        <v>492</v>
      </c>
      <c r="M1095" s="4" t="s">
        <v>29</v>
      </c>
      <c r="N1095" s="4" t="s">
        <v>7461</v>
      </c>
      <c r="O1095" s="4" t="s">
        <v>29</v>
      </c>
      <c r="P1095" s="4" t="s">
        <v>7462</v>
      </c>
      <c r="Q1095" s="6"/>
      <c r="R1095" s="6"/>
      <c r="S1095" s="6"/>
      <c r="T1095" s="6"/>
      <c r="U1095" s="6"/>
      <c r="V1095" s="6"/>
      <c r="W1095" s="6"/>
      <c r="X1095" s="6"/>
      <c r="Y1095" s="6"/>
    </row>
    <row r="1096" ht="14.25">
      <c r="B1096" s="4" t="s">
        <v>630</v>
      </c>
      <c r="C1096" s="4" t="s">
        <v>7463</v>
      </c>
      <c r="D1096" s="4" t="s">
        <v>7381</v>
      </c>
      <c r="E1096" s="4" t="s">
        <v>7464</v>
      </c>
      <c r="F1096" s="4" t="s">
        <v>7465</v>
      </c>
      <c r="G1096" s="4">
        <v>62</v>
      </c>
      <c r="H1096" s="4" t="s">
        <v>36</v>
      </c>
      <c r="I1096" s="4" t="str">
        <f>IFERROR(__XLUDF.DUMMYFUNCTION("VLOOKUP(G190,IMPORTRANGE(""https://docs.google.com/spreadsheets/d/1opm6ZNvGZ7KditA9TuJwrZ25eFLfTNIkrNnY6mhV5Eg"",""list!A1:C115""),3,TRUE)"),"le secteur de la restauration")</f>
        <v xml:space="preserve">le secteur de la restauration</v>
      </c>
      <c r="J1096" s="5" t="s">
        <v>7466</v>
      </c>
      <c r="K1096" s="5" t="s">
        <v>7467</v>
      </c>
      <c r="L1096" s="4" t="s">
        <v>243</v>
      </c>
      <c r="M1096" s="4" t="s">
        <v>29</v>
      </c>
      <c r="N1096" s="4" t="s">
        <v>7468</v>
      </c>
      <c r="O1096" s="4" t="s">
        <v>29</v>
      </c>
      <c r="P1096" s="4" t="s">
        <v>7469</v>
      </c>
      <c r="Q1096" s="6"/>
      <c r="R1096" s="6"/>
      <c r="S1096" s="6"/>
      <c r="T1096" s="6"/>
      <c r="U1096" s="6"/>
      <c r="V1096" s="6"/>
      <c r="W1096" s="6"/>
      <c r="X1096" s="6"/>
      <c r="Y1096" s="6"/>
    </row>
    <row r="1097" ht="14.25">
      <c r="B1097" s="4" t="s">
        <v>768</v>
      </c>
      <c r="C1097" s="4" t="s">
        <v>7470</v>
      </c>
      <c r="D1097" s="4" t="s">
        <v>7471</v>
      </c>
      <c r="E1097" s="4" t="s">
        <v>7472</v>
      </c>
      <c r="F1097" s="4" t="s">
        <v>7473</v>
      </c>
      <c r="G1097" s="4">
        <v>110</v>
      </c>
      <c r="H1097" s="4" t="s">
        <v>36</v>
      </c>
      <c r="I1097" s="4" t="str">
        <f>IFERROR(__XLUDF.DUMMYFUNCTION("VLOOKUP(G191,IMPORTRANGE(""https://docs.google.com/spreadsheets/d/1opm6ZNvGZ7KditA9TuJwrZ25eFLfTNIkrNnY6mhV5Eg"",""list!A1:C115""),3,TRUE)"),"le secteur de la restauration")</f>
        <v xml:space="preserve">le secteur de la restauration</v>
      </c>
      <c r="J1097" s="5" t="s">
        <v>7474</v>
      </c>
      <c r="K1097" s="5" t="s">
        <v>7475</v>
      </c>
      <c r="L1097" s="4" t="s">
        <v>39</v>
      </c>
      <c r="M1097" s="4" t="s">
        <v>29</v>
      </c>
      <c r="N1097" s="4" t="s">
        <v>7476</v>
      </c>
      <c r="O1097" s="4" t="s">
        <v>1548</v>
      </c>
      <c r="P1097" s="4" t="s">
        <v>7477</v>
      </c>
      <c r="Q1097" s="6"/>
      <c r="R1097" s="6"/>
      <c r="S1097" s="6"/>
      <c r="T1097" s="6"/>
      <c r="U1097" s="6"/>
      <c r="V1097" s="6"/>
      <c r="W1097" s="6"/>
      <c r="X1097" s="6"/>
      <c r="Y1097" s="6"/>
    </row>
    <row r="1098" ht="14.25">
      <c r="B1098" s="4" t="s">
        <v>1948</v>
      </c>
      <c r="C1098" s="4" t="s">
        <v>7478</v>
      </c>
      <c r="D1098" s="4" t="s">
        <v>172</v>
      </c>
      <c r="E1098" s="4" t="s">
        <v>7479</v>
      </c>
      <c r="F1098" s="4" t="s">
        <v>7480</v>
      </c>
      <c r="G1098" s="4">
        <v>67</v>
      </c>
      <c r="H1098" s="4" t="s">
        <v>36</v>
      </c>
      <c r="I1098" s="4" t="str">
        <f>IFERROR(__XLUDF.DUMMYFUNCTION("VLOOKUP(G192,IMPORTRANGE(""https://docs.google.com/spreadsheets/d/1opm6ZNvGZ7KditA9TuJwrZ25eFLfTNIkrNnY6mhV5Eg"",""list!A1:C115""),3,TRUE)"),"le secteur de la restauration")</f>
        <v xml:space="preserve">le secteur de la restauration</v>
      </c>
      <c r="J1098" s="5" t="s">
        <v>7481</v>
      </c>
      <c r="K1098" s="5" t="s">
        <v>7482</v>
      </c>
      <c r="L1098" s="4" t="s">
        <v>185</v>
      </c>
      <c r="M1098" s="4" t="s">
        <v>29</v>
      </c>
      <c r="N1098" s="4" t="s">
        <v>7483</v>
      </c>
      <c r="O1098" s="4" t="s">
        <v>29</v>
      </c>
      <c r="P1098" s="4" t="s">
        <v>7484</v>
      </c>
      <c r="Q1098" s="6"/>
      <c r="R1098" s="6"/>
      <c r="S1098" s="6"/>
      <c r="T1098" s="6"/>
      <c r="U1098" s="6"/>
      <c r="V1098" s="6"/>
      <c r="W1098" s="6"/>
      <c r="X1098" s="6"/>
      <c r="Y1098" s="6"/>
    </row>
    <row r="1099" ht="14.25">
      <c r="B1099" s="4" t="s">
        <v>2303</v>
      </c>
      <c r="C1099" s="4" t="s">
        <v>7485</v>
      </c>
      <c r="D1099" s="4" t="s">
        <v>44</v>
      </c>
      <c r="E1099" s="4" t="s">
        <v>7486</v>
      </c>
      <c r="F1099" s="4" t="s">
        <v>7487</v>
      </c>
      <c r="G1099" s="4">
        <v>68</v>
      </c>
      <c r="H1099" s="4" t="s">
        <v>36</v>
      </c>
      <c r="I1099" s="4" t="str">
        <f>IFERROR(__XLUDF.DUMMYFUNCTION("VLOOKUP(G193,IMPORTRANGE(""https://docs.google.com/spreadsheets/d/1opm6ZNvGZ7KditA9TuJwrZ25eFLfTNIkrNnY6mhV5Eg"",""list!A1:C115""),3,TRUE)"),"le secteur de la restauration")</f>
        <v xml:space="preserve">le secteur de la restauration</v>
      </c>
      <c r="J1099" s="5" t="s">
        <v>7488</v>
      </c>
      <c r="K1099" s="5" t="s">
        <v>7489</v>
      </c>
      <c r="L1099" s="7"/>
      <c r="M1099" s="4" t="s">
        <v>29</v>
      </c>
      <c r="N1099" s="4" t="s">
        <v>7490</v>
      </c>
      <c r="O1099" s="4" t="s">
        <v>29</v>
      </c>
      <c r="P1099" s="4" t="s">
        <v>7491</v>
      </c>
      <c r="Q1099" s="6"/>
      <c r="R1099" s="6"/>
      <c r="S1099" s="6"/>
      <c r="T1099" s="6"/>
      <c r="U1099" s="6"/>
      <c r="V1099" s="6"/>
      <c r="W1099" s="6"/>
      <c r="X1099" s="6"/>
      <c r="Y1099" s="6"/>
    </row>
    <row r="1100" ht="14.25">
      <c r="B1100" s="4" t="s">
        <v>7492</v>
      </c>
      <c r="C1100" s="4" t="s">
        <v>7493</v>
      </c>
      <c r="D1100" s="4" t="s">
        <v>87</v>
      </c>
      <c r="E1100" s="4" t="s">
        <v>7494</v>
      </c>
      <c r="F1100" s="4" t="s">
        <v>7495</v>
      </c>
      <c r="G1100" s="4">
        <v>63</v>
      </c>
      <c r="H1100" s="4" t="s">
        <v>36</v>
      </c>
      <c r="I1100" s="4" t="str">
        <f>IFERROR(__XLUDF.DUMMYFUNCTION("VLOOKUP(G194,IMPORTRANGE(""https://docs.google.com/spreadsheets/d/1opm6ZNvGZ7KditA9TuJwrZ25eFLfTNIkrNnY6mhV5Eg"",""list!A1:C115""),3,TRUE)"),"le secteur de la restauration")</f>
        <v xml:space="preserve">le secteur de la restauration</v>
      </c>
      <c r="J1100" s="5" t="s">
        <v>7496</v>
      </c>
      <c r="K1100" s="5" t="s">
        <v>7497</v>
      </c>
      <c r="L1100" s="7"/>
      <c r="M1100" s="4" t="s">
        <v>29</v>
      </c>
      <c r="N1100" s="4" t="s">
        <v>67</v>
      </c>
      <c r="O1100" s="4" t="s">
        <v>29</v>
      </c>
      <c r="P1100" s="4" t="s">
        <v>7498</v>
      </c>
      <c r="Q1100" s="6"/>
      <c r="R1100" s="6"/>
      <c r="S1100" s="6"/>
      <c r="T1100" s="6"/>
      <c r="U1100" s="6"/>
      <c r="V1100" s="6"/>
      <c r="W1100" s="6"/>
      <c r="X1100" s="6"/>
      <c r="Y1100" s="6"/>
    </row>
    <row r="1101" ht="14.25">
      <c r="B1101" s="4" t="s">
        <v>1667</v>
      </c>
      <c r="C1101" s="4" t="s">
        <v>7499</v>
      </c>
      <c r="D1101" s="4" t="s">
        <v>341</v>
      </c>
      <c r="E1101" s="4" t="s">
        <v>7500</v>
      </c>
      <c r="F1101" s="4" t="s">
        <v>7501</v>
      </c>
      <c r="G1101" s="4">
        <v>73</v>
      </c>
      <c r="H1101" s="4" t="s">
        <v>36</v>
      </c>
      <c r="I1101" s="4" t="str">
        <f>IFERROR(__XLUDF.DUMMYFUNCTION("VLOOKUP(G195,IMPORTRANGE(""https://docs.google.com/spreadsheets/d/1opm6ZNvGZ7KditA9TuJwrZ25eFLfTNIkrNnY6mhV5Eg"",""list!A1:C115""),3,TRUE)"),"le secteur de la restauration")</f>
        <v xml:space="preserve">le secteur de la restauration</v>
      </c>
      <c r="J1101" s="5" t="s">
        <v>7502</v>
      </c>
      <c r="K1101" s="5" t="s">
        <v>7503</v>
      </c>
      <c r="L1101" s="4" t="s">
        <v>39</v>
      </c>
      <c r="M1101" s="4" t="s">
        <v>29</v>
      </c>
      <c r="N1101" s="7"/>
      <c r="O1101" s="7"/>
      <c r="P1101" s="4" t="s">
        <v>7504</v>
      </c>
      <c r="Q1101" s="6"/>
      <c r="R1101" s="6"/>
      <c r="S1101" s="6"/>
      <c r="T1101" s="6"/>
      <c r="U1101" s="6"/>
      <c r="V1101" s="6"/>
      <c r="W1101" s="6"/>
      <c r="X1101" s="6"/>
      <c r="Y1101" s="6"/>
    </row>
    <row r="1102" ht="14.25">
      <c r="B1102" s="4" t="s">
        <v>1667</v>
      </c>
      <c r="C1102" s="4" t="s">
        <v>7505</v>
      </c>
      <c r="D1102" s="4" t="s">
        <v>120</v>
      </c>
      <c r="E1102" s="4" t="s">
        <v>7506</v>
      </c>
      <c r="F1102" s="4" t="s">
        <v>7507</v>
      </c>
      <c r="G1102" s="4">
        <v>110</v>
      </c>
      <c r="H1102" s="4" t="s">
        <v>36</v>
      </c>
      <c r="I1102" s="4" t="str">
        <f>IFERROR(__XLUDF.DUMMYFUNCTION("VLOOKUP(G196,IMPORTRANGE(""https://docs.google.com/spreadsheets/d/1opm6ZNvGZ7KditA9TuJwrZ25eFLfTNIkrNnY6mhV5Eg"",""list!A1:C115""),3,TRUE)"),"le secteur de la restauration")</f>
        <v xml:space="preserve">le secteur de la restauration</v>
      </c>
      <c r="J1102" s="5" t="s">
        <v>7508</v>
      </c>
      <c r="K1102" s="5" t="s">
        <v>7509</v>
      </c>
      <c r="L1102" s="4" t="s">
        <v>39</v>
      </c>
      <c r="M1102" s="4" t="s">
        <v>29</v>
      </c>
      <c r="N1102" s="4" t="s">
        <v>7510</v>
      </c>
      <c r="O1102" s="4" t="s">
        <v>29</v>
      </c>
      <c r="P1102" s="7"/>
      <c r="Q1102" s="6"/>
      <c r="R1102" s="6"/>
      <c r="S1102" s="6"/>
      <c r="T1102" s="6"/>
      <c r="U1102" s="6"/>
      <c r="V1102" s="6"/>
      <c r="W1102" s="6"/>
      <c r="X1102" s="6"/>
      <c r="Y1102" s="6"/>
    </row>
    <row r="1103" ht="14.25">
      <c r="B1103" s="4" t="s">
        <v>245</v>
      </c>
      <c r="C1103" s="4" t="s">
        <v>3967</v>
      </c>
      <c r="D1103" s="4" t="s">
        <v>7511</v>
      </c>
      <c r="E1103" s="4" t="s">
        <v>7512</v>
      </c>
      <c r="F1103" s="4" t="s">
        <v>7513</v>
      </c>
      <c r="G1103" s="4">
        <v>86</v>
      </c>
      <c r="H1103" s="4" t="s">
        <v>36</v>
      </c>
      <c r="I1103" s="4" t="str">
        <f>IFERROR(__XLUDF.DUMMYFUNCTION("VLOOKUP(G197,IMPORTRANGE(""https://docs.google.com/spreadsheets/d/1opm6ZNvGZ7KditA9TuJwrZ25eFLfTNIkrNnY6mhV5Eg"",""list!A1:C115""),3,TRUE)"),"le secteur de la restauration")</f>
        <v xml:space="preserve">le secteur de la restauration</v>
      </c>
      <c r="J1103" s="5" t="s">
        <v>7514</v>
      </c>
      <c r="K1103" s="5" t="s">
        <v>7515</v>
      </c>
      <c r="L1103" s="4" t="s">
        <v>39</v>
      </c>
      <c r="M1103" s="4" t="s">
        <v>29</v>
      </c>
      <c r="N1103" s="4" t="s">
        <v>7516</v>
      </c>
      <c r="O1103" s="4" t="s">
        <v>29</v>
      </c>
      <c r="P1103" s="4" t="s">
        <v>7517</v>
      </c>
      <c r="Q1103" s="6"/>
      <c r="R1103" s="6"/>
      <c r="S1103" s="6"/>
      <c r="T1103" s="6"/>
      <c r="U1103" s="6"/>
      <c r="V1103" s="6"/>
      <c r="W1103" s="6"/>
      <c r="X1103" s="6"/>
      <c r="Y1103" s="6"/>
    </row>
    <row r="1104" ht="14.25">
      <c r="B1104" s="4" t="s">
        <v>5679</v>
      </c>
      <c r="C1104" s="4" t="s">
        <v>7518</v>
      </c>
      <c r="D1104" s="4" t="s">
        <v>7519</v>
      </c>
      <c r="E1104" s="4" t="s">
        <v>7520</v>
      </c>
      <c r="F1104" s="4" t="s">
        <v>7521</v>
      </c>
      <c r="G1104" s="4">
        <v>200</v>
      </c>
      <c r="H1104" s="4" t="s">
        <v>36</v>
      </c>
      <c r="I1104" s="4" t="str">
        <f>IFERROR(__XLUDF.DUMMYFUNCTION("VLOOKUP(G198,IMPORTRANGE(""https://docs.google.com/spreadsheets/d/1opm6ZNvGZ7KditA9TuJwrZ25eFLfTNIkrNnY6mhV5Eg"",""list!A1:C115""),3,TRUE)"),"le secteur de la restauration")</f>
        <v xml:space="preserve">le secteur de la restauration</v>
      </c>
      <c r="J1104" s="5" t="s">
        <v>7522</v>
      </c>
      <c r="K1104" s="5" t="s">
        <v>7523</v>
      </c>
      <c r="L1104" s="4" t="s">
        <v>39</v>
      </c>
      <c r="M1104" s="4" t="s">
        <v>29</v>
      </c>
      <c r="N1104" s="4" t="s">
        <v>7524</v>
      </c>
      <c r="O1104" s="4" t="s">
        <v>29</v>
      </c>
      <c r="P1104" s="7"/>
      <c r="Q1104" s="6"/>
      <c r="R1104" s="6"/>
      <c r="S1104" s="6"/>
      <c r="T1104" s="6"/>
      <c r="U1104" s="6"/>
      <c r="V1104" s="6"/>
      <c r="W1104" s="6"/>
      <c r="X1104" s="6"/>
      <c r="Y1104" s="6"/>
    </row>
    <row r="1105" ht="14.25">
      <c r="B1105" s="4" t="s">
        <v>7525</v>
      </c>
      <c r="C1105" s="4" t="s">
        <v>7526</v>
      </c>
      <c r="D1105" s="4" t="s">
        <v>1130</v>
      </c>
      <c r="E1105" s="4" t="s">
        <v>7527</v>
      </c>
      <c r="F1105" s="4" t="s">
        <v>7528</v>
      </c>
      <c r="G1105" s="4">
        <v>78</v>
      </c>
      <c r="H1105" s="4" t="s">
        <v>36</v>
      </c>
      <c r="I1105" s="4" t="str">
        <f>IFERROR(__XLUDF.DUMMYFUNCTION("VLOOKUP(G199,IMPORTRANGE(""https://docs.google.com/spreadsheets/d/1opm6ZNvGZ7KditA9TuJwrZ25eFLfTNIkrNnY6mhV5Eg"",""list!A1:C115""),3,TRUE)"),"le secteur de la restauration")</f>
        <v xml:space="preserve">le secteur de la restauration</v>
      </c>
      <c r="J1105" s="5" t="s">
        <v>7529</v>
      </c>
      <c r="K1105" s="5" t="s">
        <v>7530</v>
      </c>
      <c r="L1105" s="4" t="s">
        <v>7531</v>
      </c>
      <c r="M1105" s="4" t="s">
        <v>29</v>
      </c>
      <c r="N1105" s="4" t="s">
        <v>7532</v>
      </c>
      <c r="O1105" s="4" t="s">
        <v>29</v>
      </c>
      <c r="P1105" s="4" t="s">
        <v>7533</v>
      </c>
      <c r="Q1105" s="6"/>
      <c r="R1105" s="6"/>
      <c r="S1105" s="6"/>
      <c r="T1105" s="6"/>
      <c r="U1105" s="6"/>
      <c r="V1105" s="6"/>
      <c r="W1105" s="6"/>
      <c r="X1105" s="6"/>
      <c r="Y1105" s="6"/>
    </row>
    <row r="1106" ht="14.25">
      <c r="B1106" s="4" t="s">
        <v>604</v>
      </c>
      <c r="C1106" s="4" t="s">
        <v>7534</v>
      </c>
      <c r="D1106" s="4" t="s">
        <v>172</v>
      </c>
      <c r="E1106" s="4" t="s">
        <v>7535</v>
      </c>
      <c r="F1106" s="4" t="s">
        <v>7536</v>
      </c>
      <c r="G1106" s="4">
        <v>56</v>
      </c>
      <c r="H1106" s="4" t="s">
        <v>36</v>
      </c>
      <c r="I1106" s="4" t="str">
        <f>IFERROR(__XLUDF.DUMMYFUNCTION("VLOOKUP(G200,IMPORTRANGE(""https://docs.google.com/spreadsheets/d/1opm6ZNvGZ7KditA9TuJwrZ25eFLfTNIkrNnY6mhV5Eg"",""list!A1:C115""),3,TRUE)"),"le secteur de la restauration")</f>
        <v xml:space="preserve">le secteur de la restauration</v>
      </c>
      <c r="J1106" s="5" t="s">
        <v>7537</v>
      </c>
      <c r="K1106" s="5" t="s">
        <v>7538</v>
      </c>
      <c r="L1106" s="4" t="s">
        <v>185</v>
      </c>
      <c r="M1106" s="4" t="s">
        <v>29</v>
      </c>
      <c r="N1106" s="4" t="s">
        <v>1283</v>
      </c>
      <c r="O1106" s="4" t="s">
        <v>29</v>
      </c>
      <c r="P1106" s="4" t="s">
        <v>7539</v>
      </c>
      <c r="Q1106" s="6"/>
      <c r="R1106" s="6"/>
      <c r="S1106" s="6"/>
      <c r="T1106" s="6"/>
      <c r="U1106" s="6"/>
      <c r="V1106" s="6"/>
      <c r="W1106" s="6"/>
      <c r="X1106" s="6"/>
      <c r="Y1106" s="6"/>
    </row>
    <row r="1107" ht="14.25">
      <c r="B1107" s="4" t="s">
        <v>1153</v>
      </c>
      <c r="C1107" s="4" t="s">
        <v>7540</v>
      </c>
      <c r="D1107" s="4" t="s">
        <v>7541</v>
      </c>
      <c r="E1107" s="4" t="s">
        <v>7542</v>
      </c>
      <c r="F1107" s="4" t="s">
        <v>7543</v>
      </c>
      <c r="G1107" s="4">
        <v>180</v>
      </c>
      <c r="H1107" s="4" t="s">
        <v>36</v>
      </c>
      <c r="I1107" s="4" t="str">
        <f>IFERROR(__XLUDF.DUMMYFUNCTION("VLOOKUP(G201,IMPORTRANGE(""https://docs.google.com/spreadsheets/d/1opm6ZNvGZ7KditA9TuJwrZ25eFLfTNIkrNnY6mhV5Eg"",""list!A1:C115""),3,TRUE)"),"le secteur de la restauration")</f>
        <v xml:space="preserve">le secteur de la restauration</v>
      </c>
      <c r="J1107" s="5" t="s">
        <v>7544</v>
      </c>
      <c r="K1107" s="5" t="s">
        <v>7545</v>
      </c>
      <c r="L1107" s="4" t="s">
        <v>39</v>
      </c>
      <c r="M1107" s="4" t="s">
        <v>29</v>
      </c>
      <c r="N1107" s="4" t="s">
        <v>7546</v>
      </c>
      <c r="O1107" s="4" t="s">
        <v>29</v>
      </c>
      <c r="P1107" s="4" t="s">
        <v>7547</v>
      </c>
      <c r="Q1107" s="6"/>
      <c r="R1107" s="6"/>
      <c r="S1107" s="6"/>
      <c r="T1107" s="6"/>
      <c r="U1107" s="6"/>
      <c r="V1107" s="6"/>
      <c r="W1107" s="6"/>
      <c r="X1107" s="6"/>
      <c r="Y1107" s="6"/>
    </row>
    <row r="1108" ht="14.25">
      <c r="B1108" s="4" t="s">
        <v>571</v>
      </c>
      <c r="C1108" s="4" t="s">
        <v>7548</v>
      </c>
      <c r="D1108" s="4" t="s">
        <v>7549</v>
      </c>
      <c r="E1108" s="4" t="s">
        <v>7494</v>
      </c>
      <c r="F1108" s="4" t="s">
        <v>7550</v>
      </c>
      <c r="G1108" s="4">
        <v>63</v>
      </c>
      <c r="H1108" s="4" t="s">
        <v>36</v>
      </c>
      <c r="I1108" s="4" t="str">
        <f>IFERROR(__XLUDF.DUMMYFUNCTION("VLOOKUP(G202,IMPORTRANGE(""https://docs.google.com/spreadsheets/d/1opm6ZNvGZ7KditA9TuJwrZ25eFLfTNIkrNnY6mhV5Eg"",""list!A1:C115""),3,TRUE)"),"le secteur de la restauration")</f>
        <v xml:space="preserve">le secteur de la restauration</v>
      </c>
      <c r="J1108" s="5" t="s">
        <v>7551</v>
      </c>
      <c r="K1108" s="5" t="s">
        <v>7497</v>
      </c>
      <c r="L1108" s="4" t="s">
        <v>39</v>
      </c>
      <c r="M1108" s="4" t="s">
        <v>29</v>
      </c>
      <c r="N1108" s="4" t="s">
        <v>67</v>
      </c>
      <c r="O1108" s="4" t="s">
        <v>29</v>
      </c>
      <c r="P1108" s="4" t="s">
        <v>7498</v>
      </c>
      <c r="Q1108" s="6"/>
      <c r="R1108" s="6"/>
      <c r="S1108" s="6"/>
      <c r="T1108" s="6"/>
      <c r="U1108" s="6"/>
      <c r="V1108" s="6"/>
      <c r="W1108" s="6"/>
      <c r="X1108" s="6"/>
      <c r="Y1108" s="6"/>
    </row>
    <row r="1109" ht="14.25">
      <c r="B1109" s="4" t="s">
        <v>7552</v>
      </c>
      <c r="C1109" s="4" t="s">
        <v>7553</v>
      </c>
      <c r="D1109" s="4" t="s">
        <v>120</v>
      </c>
      <c r="E1109" s="4" t="s">
        <v>7554</v>
      </c>
      <c r="F1109" s="4" t="s">
        <v>7555</v>
      </c>
      <c r="G1109" s="4">
        <v>81</v>
      </c>
      <c r="H1109" s="4" t="s">
        <v>36</v>
      </c>
      <c r="I1109" s="4" t="str">
        <f>IFERROR(__XLUDF.DUMMYFUNCTION("VLOOKUP(G203,IMPORTRANGE(""https://docs.google.com/spreadsheets/d/1opm6ZNvGZ7KditA9TuJwrZ25eFLfTNIkrNnY6mhV5Eg"",""list!A1:C115""),3,TRUE)"),"le secteur de la restauration")</f>
        <v xml:space="preserve">le secteur de la restauration</v>
      </c>
      <c r="J1109" s="5" t="s">
        <v>7556</v>
      </c>
      <c r="K1109" s="5" t="s">
        <v>7557</v>
      </c>
      <c r="L1109" s="4" t="s">
        <v>83</v>
      </c>
      <c r="M1109" s="4" t="s">
        <v>29</v>
      </c>
      <c r="N1109" s="4" t="s">
        <v>346</v>
      </c>
      <c r="O1109" s="4" t="s">
        <v>29</v>
      </c>
      <c r="P1109" s="4" t="s">
        <v>7558</v>
      </c>
      <c r="Q1109" s="6"/>
      <c r="R1109" s="6"/>
      <c r="S1109" s="6"/>
      <c r="T1109" s="6"/>
      <c r="U1109" s="6"/>
      <c r="V1109" s="6"/>
      <c r="W1109" s="6"/>
      <c r="X1109" s="6"/>
      <c r="Y1109" s="6"/>
    </row>
    <row r="1110" ht="14.25">
      <c r="B1110" s="4" t="s">
        <v>7559</v>
      </c>
      <c r="C1110" s="4" t="s">
        <v>963</v>
      </c>
      <c r="D1110" s="4" t="s">
        <v>426</v>
      </c>
      <c r="E1110" s="4" t="s">
        <v>7560</v>
      </c>
      <c r="F1110" s="4" t="s">
        <v>7561</v>
      </c>
      <c r="G1110" s="4">
        <v>160</v>
      </c>
      <c r="H1110" s="4" t="s">
        <v>36</v>
      </c>
      <c r="I1110" s="4" t="str">
        <f>IFERROR(__XLUDF.DUMMYFUNCTION("VLOOKUP(G204,IMPORTRANGE(""https://docs.google.com/spreadsheets/d/1opm6ZNvGZ7KditA9TuJwrZ25eFLfTNIkrNnY6mhV5Eg"",""list!A1:C115""),3,TRUE)"),"le secteur de la restauration")</f>
        <v xml:space="preserve">le secteur de la restauration</v>
      </c>
      <c r="J1110" s="5" t="s">
        <v>7562</v>
      </c>
      <c r="K1110" s="5" t="s">
        <v>7563</v>
      </c>
      <c r="L1110" s="4" t="s">
        <v>1780</v>
      </c>
      <c r="M1110" s="4" t="s">
        <v>29</v>
      </c>
      <c r="N1110" s="4" t="s">
        <v>7564</v>
      </c>
      <c r="O1110" s="4" t="s">
        <v>1261</v>
      </c>
      <c r="P1110" s="7"/>
      <c r="Q1110" s="6"/>
      <c r="R1110" s="6"/>
      <c r="S1110" s="6"/>
      <c r="T1110" s="6"/>
      <c r="U1110" s="6"/>
      <c r="V1110" s="6"/>
      <c r="W1110" s="6"/>
      <c r="X1110" s="6"/>
      <c r="Y1110" s="6"/>
    </row>
    <row r="1111" ht="14.25">
      <c r="B1111" s="4" t="s">
        <v>7565</v>
      </c>
      <c r="C1111" s="4" t="s">
        <v>7566</v>
      </c>
      <c r="D1111" s="4" t="s">
        <v>7567</v>
      </c>
      <c r="E1111" s="4" t="s">
        <v>7568</v>
      </c>
      <c r="F1111" s="4" t="s">
        <v>7569</v>
      </c>
      <c r="G1111" s="4">
        <v>52</v>
      </c>
      <c r="H1111" s="4" t="s">
        <v>36</v>
      </c>
      <c r="I1111" s="4" t="str">
        <f>IFERROR(__XLUDF.DUMMYFUNCTION("VLOOKUP(G205,IMPORTRANGE(""https://docs.google.com/spreadsheets/d/1opm6ZNvGZ7KditA9TuJwrZ25eFLfTNIkrNnY6mhV5Eg"",""list!A1:C115""),3,TRUE)"),"le secteur de la restauration")</f>
        <v xml:space="preserve">le secteur de la restauration</v>
      </c>
      <c r="J1111" s="5" t="s">
        <v>7570</v>
      </c>
      <c r="K1111" s="5" t="s">
        <v>7571</v>
      </c>
      <c r="L1111" s="4" t="s">
        <v>295</v>
      </c>
      <c r="M1111" s="4" t="s">
        <v>29</v>
      </c>
      <c r="N1111" s="4" t="s">
        <v>7572</v>
      </c>
      <c r="O1111" s="4" t="s">
        <v>29</v>
      </c>
      <c r="P1111" s="4" t="s">
        <v>7573</v>
      </c>
      <c r="Q1111" s="6"/>
      <c r="R1111" s="6"/>
      <c r="S1111" s="6"/>
      <c r="T1111" s="6"/>
      <c r="U1111" s="6"/>
      <c r="V1111" s="6"/>
      <c r="W1111" s="6"/>
      <c r="X1111" s="6"/>
      <c r="Y1111" s="6"/>
    </row>
    <row r="1112" ht="14.25">
      <c r="B1112" s="4" t="s">
        <v>2249</v>
      </c>
      <c r="C1112" s="4" t="s">
        <v>7574</v>
      </c>
      <c r="D1112" s="4" t="s">
        <v>6416</v>
      </c>
      <c r="E1112" s="4" t="s">
        <v>7494</v>
      </c>
      <c r="F1112" s="4" t="s">
        <v>7575</v>
      </c>
      <c r="G1112" s="4">
        <v>63</v>
      </c>
      <c r="H1112" s="4" t="s">
        <v>36</v>
      </c>
      <c r="I1112" s="4" t="str">
        <f>IFERROR(__XLUDF.DUMMYFUNCTION("VLOOKUP(G206,IMPORTRANGE(""https://docs.google.com/spreadsheets/d/1opm6ZNvGZ7KditA9TuJwrZ25eFLfTNIkrNnY6mhV5Eg"",""list!A1:C115""),3,TRUE)"),"le secteur de la restauration")</f>
        <v xml:space="preserve">le secteur de la restauration</v>
      </c>
      <c r="J1112" s="5" t="s">
        <v>7576</v>
      </c>
      <c r="K1112" s="5" t="s">
        <v>7497</v>
      </c>
      <c r="L1112" s="4" t="s">
        <v>7577</v>
      </c>
      <c r="M1112" s="4" t="s">
        <v>29</v>
      </c>
      <c r="N1112" s="4" t="s">
        <v>67</v>
      </c>
      <c r="O1112" s="4" t="s">
        <v>29</v>
      </c>
      <c r="P1112" s="4" t="s">
        <v>7498</v>
      </c>
      <c r="Q1112" s="6"/>
      <c r="R1112" s="6"/>
      <c r="S1112" s="6"/>
      <c r="T1112" s="6"/>
      <c r="U1112" s="6"/>
      <c r="V1112" s="6"/>
      <c r="W1112" s="6"/>
      <c r="X1112" s="6"/>
      <c r="Y1112" s="6"/>
    </row>
    <row r="1113" ht="14.25">
      <c r="B1113" s="4" t="s">
        <v>2249</v>
      </c>
      <c r="C1113" s="4" t="s">
        <v>3089</v>
      </c>
      <c r="D1113" s="4" t="s">
        <v>3090</v>
      </c>
      <c r="E1113" s="4" t="s">
        <v>1967</v>
      </c>
      <c r="F1113" s="4" t="s">
        <v>3091</v>
      </c>
      <c r="G1113" s="4">
        <v>52</v>
      </c>
      <c r="H1113" s="4" t="s">
        <v>36</v>
      </c>
      <c r="I1113" s="4" t="str">
        <f>IFERROR(__XLUDF.DUMMYFUNCTION("VLOOKUP(G207,IMPORTRANGE(""https://docs.google.com/spreadsheets/d/1opm6ZNvGZ7KditA9TuJwrZ25eFLfTNIkrNnY6mhV5Eg"",""list!A1:C115""),3,TRUE)"),"le secteur de la restauration")</f>
        <v xml:space="preserve">le secteur de la restauration</v>
      </c>
      <c r="J1113" s="5" t="s">
        <v>3092</v>
      </c>
      <c r="K1113" s="5" t="s">
        <v>7578</v>
      </c>
      <c r="L1113" s="4" t="s">
        <v>39</v>
      </c>
      <c r="M1113" s="4" t="s">
        <v>29</v>
      </c>
      <c r="N1113" s="4" t="s">
        <v>1971</v>
      </c>
      <c r="O1113" s="4" t="s">
        <v>29</v>
      </c>
      <c r="P1113" s="4" t="s">
        <v>1972</v>
      </c>
      <c r="Q1113" s="6"/>
      <c r="R1113" s="6"/>
      <c r="S1113" s="6"/>
      <c r="T1113" s="6"/>
      <c r="U1113" s="6"/>
      <c r="V1113" s="6"/>
      <c r="W1113" s="6"/>
      <c r="X1113" s="6"/>
      <c r="Y1113" s="6"/>
    </row>
    <row r="1114" ht="14.25">
      <c r="B1114" s="4" t="s">
        <v>1562</v>
      </c>
      <c r="C1114" s="4" t="s">
        <v>7579</v>
      </c>
      <c r="D1114" s="4" t="s">
        <v>7580</v>
      </c>
      <c r="E1114" s="4" t="s">
        <v>7581</v>
      </c>
      <c r="F1114" s="4" t="s">
        <v>7582</v>
      </c>
      <c r="G1114" s="4">
        <v>96</v>
      </c>
      <c r="H1114" s="4" t="s">
        <v>36</v>
      </c>
      <c r="I1114" s="4" t="str">
        <f>IFERROR(__XLUDF.DUMMYFUNCTION("VLOOKUP(G208,IMPORTRANGE(""https://docs.google.com/spreadsheets/d/1opm6ZNvGZ7KditA9TuJwrZ25eFLfTNIkrNnY6mhV5Eg"",""list!A1:C115""),3,TRUE)"),"le secteur de la restauration")</f>
        <v xml:space="preserve">le secteur de la restauration</v>
      </c>
      <c r="J1114" s="5" t="s">
        <v>7583</v>
      </c>
      <c r="K1114" s="5" t="s">
        <v>7584</v>
      </c>
      <c r="L1114" s="4" t="s">
        <v>39</v>
      </c>
      <c r="M1114" s="4" t="s">
        <v>29</v>
      </c>
      <c r="N1114" s="4" t="s">
        <v>7585</v>
      </c>
      <c r="O1114" s="4" t="s">
        <v>1839</v>
      </c>
      <c r="P1114" s="7"/>
      <c r="Q1114" s="6"/>
      <c r="R1114" s="6"/>
      <c r="S1114" s="6"/>
      <c r="T1114" s="6"/>
      <c r="U1114" s="6"/>
      <c r="V1114" s="6"/>
      <c r="W1114" s="6"/>
      <c r="X1114" s="6"/>
      <c r="Y1114" s="6"/>
    </row>
    <row r="1115" ht="14.25">
      <c r="B1115" s="4" t="s">
        <v>1562</v>
      </c>
      <c r="C1115" s="4" t="s">
        <v>7586</v>
      </c>
      <c r="D1115" s="4" t="s">
        <v>341</v>
      </c>
      <c r="E1115" s="4" t="s">
        <v>7587</v>
      </c>
      <c r="F1115" s="4" t="s">
        <v>7588</v>
      </c>
      <c r="G1115" s="4">
        <v>180</v>
      </c>
      <c r="H1115" s="4" t="s">
        <v>36</v>
      </c>
      <c r="I1115" s="4" t="str">
        <f>IFERROR(__XLUDF.DUMMYFUNCTION("VLOOKUP(G209,IMPORTRANGE(""https://docs.google.com/spreadsheets/d/1opm6ZNvGZ7KditA9TuJwrZ25eFLfTNIkrNnY6mhV5Eg"",""list!A1:C115""),3,TRUE)"),"le secteur de la restauration")</f>
        <v xml:space="preserve">le secteur de la restauration</v>
      </c>
      <c r="J1115" s="5" t="s">
        <v>7589</v>
      </c>
      <c r="K1115" s="5" t="s">
        <v>7590</v>
      </c>
      <c r="L1115" s="4" t="s">
        <v>39</v>
      </c>
      <c r="M1115" s="4" t="s">
        <v>29</v>
      </c>
      <c r="N1115" s="4" t="s">
        <v>7591</v>
      </c>
      <c r="O1115" s="4" t="s">
        <v>29</v>
      </c>
      <c r="P1115" s="4" t="s">
        <v>7592</v>
      </c>
      <c r="Q1115" s="6"/>
      <c r="R1115" s="6"/>
      <c r="S1115" s="6"/>
      <c r="T1115" s="6"/>
      <c r="U1115" s="6"/>
      <c r="V1115" s="6"/>
      <c r="W1115" s="6"/>
      <c r="X1115" s="6"/>
      <c r="Y1115" s="6"/>
    </row>
    <row r="1116" ht="14.25">
      <c r="B1116" s="4" t="s">
        <v>808</v>
      </c>
      <c r="C1116" s="4" t="s">
        <v>7593</v>
      </c>
      <c r="D1116" s="4" t="s">
        <v>7594</v>
      </c>
      <c r="E1116" s="4" t="s">
        <v>7595</v>
      </c>
      <c r="F1116" s="4" t="s">
        <v>7596</v>
      </c>
      <c r="G1116" s="4">
        <v>210</v>
      </c>
      <c r="H1116" s="4" t="s">
        <v>36</v>
      </c>
      <c r="I1116" s="4" t="str">
        <f>IFERROR(__XLUDF.DUMMYFUNCTION("VLOOKUP(G210,IMPORTRANGE(""https://docs.google.com/spreadsheets/d/1opm6ZNvGZ7KditA9TuJwrZ25eFLfTNIkrNnY6mhV5Eg"",""list!A1:C115""),3,TRUE)"),"le secteur de la restauration")</f>
        <v xml:space="preserve">le secteur de la restauration</v>
      </c>
      <c r="J1116" s="5" t="s">
        <v>7597</v>
      </c>
      <c r="K1116" s="5" t="s">
        <v>7598</v>
      </c>
      <c r="L1116" s="4" t="s">
        <v>39</v>
      </c>
      <c r="M1116" s="4" t="s">
        <v>29</v>
      </c>
      <c r="N1116" s="4" t="s">
        <v>7599</v>
      </c>
      <c r="O1116" s="4" t="s">
        <v>29</v>
      </c>
      <c r="P1116" s="4" t="s">
        <v>7600</v>
      </c>
      <c r="Q1116" s="6"/>
      <c r="R1116" s="6"/>
      <c r="S1116" s="6"/>
      <c r="T1116" s="6"/>
      <c r="U1116" s="6"/>
      <c r="V1116" s="6"/>
      <c r="W1116" s="6"/>
      <c r="X1116" s="6"/>
      <c r="Y1116" s="6"/>
    </row>
    <row r="1117" ht="14.25">
      <c r="B1117" s="4" t="s">
        <v>7601</v>
      </c>
      <c r="C1117" s="4" t="s">
        <v>7602</v>
      </c>
      <c r="D1117" s="4" t="s">
        <v>172</v>
      </c>
      <c r="E1117" s="4" t="s">
        <v>7603</v>
      </c>
      <c r="F1117" s="4" t="s">
        <v>7604</v>
      </c>
      <c r="G1117" s="4">
        <v>120</v>
      </c>
      <c r="H1117" s="4" t="s">
        <v>36</v>
      </c>
      <c r="I1117" s="4" t="str">
        <f>IFERROR(__XLUDF.DUMMYFUNCTION("VLOOKUP(G211,IMPORTRANGE(""https://docs.google.com/spreadsheets/d/1opm6ZNvGZ7KditA9TuJwrZ25eFLfTNIkrNnY6mhV5Eg"",""list!A1:C115""),3,TRUE)"),"le secteur de la restauration")</f>
        <v xml:space="preserve">le secteur de la restauration</v>
      </c>
      <c r="J1117" s="5" t="s">
        <v>7605</v>
      </c>
      <c r="K1117" s="5" t="s">
        <v>7606</v>
      </c>
      <c r="L1117" s="4" t="s">
        <v>1460</v>
      </c>
      <c r="M1117" s="4" t="s">
        <v>29</v>
      </c>
      <c r="N1117" s="4" t="s">
        <v>7607</v>
      </c>
      <c r="O1117" s="4" t="s">
        <v>29</v>
      </c>
      <c r="P1117" s="4" t="s">
        <v>7608</v>
      </c>
      <c r="Q1117" s="6"/>
      <c r="R1117" s="6"/>
      <c r="S1117" s="6"/>
      <c r="T1117" s="6"/>
      <c r="U1117" s="6"/>
      <c r="V1117" s="6"/>
      <c r="W1117" s="6"/>
      <c r="X1117" s="6"/>
      <c r="Y1117" s="6"/>
    </row>
    <row r="1118" ht="14.25">
      <c r="B1118" s="4" t="s">
        <v>5728</v>
      </c>
      <c r="C1118" s="4" t="s">
        <v>7609</v>
      </c>
      <c r="D1118" s="4" t="s">
        <v>112</v>
      </c>
      <c r="E1118" s="4" t="s">
        <v>7610</v>
      </c>
      <c r="F1118" s="4" t="s">
        <v>7611</v>
      </c>
      <c r="G1118" s="4">
        <v>180</v>
      </c>
      <c r="H1118" s="4" t="s">
        <v>36</v>
      </c>
      <c r="I1118" s="4" t="str">
        <f>IFERROR(__XLUDF.DUMMYFUNCTION("VLOOKUP(G212,IMPORTRANGE(""https://docs.google.com/spreadsheets/d/1opm6ZNvGZ7KditA9TuJwrZ25eFLfTNIkrNnY6mhV5Eg"",""list!A1:C115""),3,TRUE)"),"le secteur de la restauration")</f>
        <v xml:space="preserve">le secteur de la restauration</v>
      </c>
      <c r="J1118" s="5" t="s">
        <v>7612</v>
      </c>
      <c r="K1118" s="5" t="s">
        <v>7613</v>
      </c>
      <c r="L1118" s="4" t="s">
        <v>1312</v>
      </c>
      <c r="M1118" s="4" t="s">
        <v>29</v>
      </c>
      <c r="N1118" s="4" t="s">
        <v>1313</v>
      </c>
      <c r="O1118" s="4" t="s">
        <v>29</v>
      </c>
      <c r="P1118" s="4" t="s">
        <v>7614</v>
      </c>
      <c r="Q1118" s="6"/>
      <c r="R1118" s="6"/>
      <c r="S1118" s="6"/>
      <c r="T1118" s="6"/>
      <c r="U1118" s="6"/>
      <c r="V1118" s="6"/>
      <c r="W1118" s="6"/>
      <c r="X1118" s="6"/>
      <c r="Y1118" s="6"/>
    </row>
    <row r="1119" ht="14.25">
      <c r="B1119" s="4" t="s">
        <v>5716</v>
      </c>
      <c r="C1119" s="4" t="s">
        <v>7615</v>
      </c>
      <c r="D1119" s="4" t="s">
        <v>7616</v>
      </c>
      <c r="E1119" s="4" t="s">
        <v>7445</v>
      </c>
      <c r="F1119" s="4" t="s">
        <v>7617</v>
      </c>
      <c r="G1119" s="4">
        <v>110</v>
      </c>
      <c r="H1119" s="4" t="s">
        <v>36</v>
      </c>
      <c r="I1119" s="4" t="str">
        <f>IFERROR(__XLUDF.DUMMYFUNCTION("VLOOKUP(G213,IMPORTRANGE(""https://docs.google.com/spreadsheets/d/1opm6ZNvGZ7KditA9TuJwrZ25eFLfTNIkrNnY6mhV5Eg"",""list!A1:C115""),3,TRUE)"),"le secteur de la restauration")</f>
        <v xml:space="preserve">le secteur de la restauration</v>
      </c>
      <c r="J1119" s="5" t="s">
        <v>7618</v>
      </c>
      <c r="K1119" s="5" t="s">
        <v>7448</v>
      </c>
      <c r="L1119" s="4" t="s">
        <v>7619</v>
      </c>
      <c r="M1119" s="4" t="s">
        <v>29</v>
      </c>
      <c r="N1119" s="4" t="s">
        <v>7449</v>
      </c>
      <c r="O1119" s="4" t="s">
        <v>29</v>
      </c>
      <c r="P1119" s="4" t="s">
        <v>7450</v>
      </c>
      <c r="Q1119" s="6"/>
      <c r="R1119" s="6"/>
      <c r="S1119" s="6"/>
      <c r="T1119" s="6"/>
      <c r="U1119" s="6"/>
      <c r="V1119" s="6"/>
      <c r="W1119" s="6"/>
      <c r="X1119" s="6"/>
      <c r="Y1119" s="6"/>
    </row>
    <row r="1120" ht="14.25">
      <c r="B1120" s="4" t="s">
        <v>6788</v>
      </c>
      <c r="C1120" s="4" t="s">
        <v>7620</v>
      </c>
      <c r="D1120" s="4" t="s">
        <v>172</v>
      </c>
      <c r="E1120" s="4" t="s">
        <v>7621</v>
      </c>
      <c r="F1120" s="4" t="s">
        <v>7622</v>
      </c>
      <c r="G1120" s="4">
        <v>270</v>
      </c>
      <c r="H1120" s="4" t="s">
        <v>36</v>
      </c>
      <c r="I1120" s="4" t="str">
        <f>IFERROR(__XLUDF.DUMMYFUNCTION("VLOOKUP(G214,IMPORTRANGE(""https://docs.google.com/spreadsheets/d/1opm6ZNvGZ7KditA9TuJwrZ25eFLfTNIkrNnY6mhV5Eg"",""list!A1:C115""),3,TRUE)"),"le secteur de la restauration")</f>
        <v xml:space="preserve">le secteur de la restauration</v>
      </c>
      <c r="J1120" s="5" t="s">
        <v>7623</v>
      </c>
      <c r="K1120" s="5" t="s">
        <v>7624</v>
      </c>
      <c r="L1120" s="4" t="s">
        <v>1507</v>
      </c>
      <c r="M1120" s="4" t="s">
        <v>29</v>
      </c>
      <c r="N1120" s="4" t="s">
        <v>7625</v>
      </c>
      <c r="O1120" s="4" t="s">
        <v>1261</v>
      </c>
      <c r="P1120" s="4" t="s">
        <v>7626</v>
      </c>
      <c r="Q1120" s="6"/>
      <c r="R1120" s="6"/>
      <c r="S1120" s="6"/>
      <c r="T1120" s="6"/>
      <c r="U1120" s="6"/>
      <c r="V1120" s="6"/>
      <c r="W1120" s="6"/>
      <c r="X1120" s="6"/>
      <c r="Y1120" s="6"/>
    </row>
    <row r="1121" ht="14.25">
      <c r="B1121" s="4" t="s">
        <v>7627</v>
      </c>
      <c r="C1121" s="4" t="s">
        <v>7628</v>
      </c>
      <c r="D1121" s="4" t="s">
        <v>7629</v>
      </c>
      <c r="E1121" s="4" t="s">
        <v>7630</v>
      </c>
      <c r="F1121" s="4" t="s">
        <v>7631</v>
      </c>
      <c r="G1121" s="4">
        <v>83</v>
      </c>
      <c r="H1121" s="4" t="s">
        <v>36</v>
      </c>
      <c r="I1121" s="4" t="str">
        <f>IFERROR(__XLUDF.DUMMYFUNCTION("VLOOKUP(G215,IMPORTRANGE(""https://docs.google.com/spreadsheets/d/1opm6ZNvGZ7KditA9TuJwrZ25eFLfTNIkrNnY6mhV5Eg"",""list!A1:C115""),3,TRUE)"),"le secteur de la restauration")</f>
        <v xml:space="preserve">le secteur de la restauration</v>
      </c>
      <c r="J1121" s="5" t="s">
        <v>7632</v>
      </c>
      <c r="K1121" s="5" t="s">
        <v>7633</v>
      </c>
      <c r="L1121" s="7"/>
      <c r="M1121" s="4" t="s">
        <v>29</v>
      </c>
      <c r="N1121" s="4" t="s">
        <v>67</v>
      </c>
      <c r="O1121" s="4" t="s">
        <v>29</v>
      </c>
      <c r="P1121" s="4" t="s">
        <v>7634</v>
      </c>
      <c r="Q1121" s="6"/>
      <c r="R1121" s="6"/>
      <c r="S1121" s="6"/>
      <c r="T1121" s="6"/>
      <c r="U1121" s="6"/>
      <c r="V1121" s="6"/>
      <c r="W1121" s="6"/>
      <c r="X1121" s="6"/>
      <c r="Y1121" s="6"/>
    </row>
    <row r="1122" ht="14.25">
      <c r="B1122" s="4" t="s">
        <v>2372</v>
      </c>
      <c r="C1122" s="4" t="s">
        <v>4132</v>
      </c>
      <c r="D1122" s="4" t="s">
        <v>7635</v>
      </c>
      <c r="E1122" s="4" t="s">
        <v>7636</v>
      </c>
      <c r="F1122" s="4" t="s">
        <v>7637</v>
      </c>
      <c r="G1122" s="4">
        <v>180</v>
      </c>
      <c r="H1122" s="4" t="s">
        <v>36</v>
      </c>
      <c r="I1122" s="4" t="str">
        <f>IFERROR(__XLUDF.DUMMYFUNCTION("VLOOKUP(G216,IMPORTRANGE(""https://docs.google.com/spreadsheets/d/1opm6ZNvGZ7KditA9TuJwrZ25eFLfTNIkrNnY6mhV5Eg"",""list!A1:C115""),3,TRUE)"),"le secteur de la restauration")</f>
        <v xml:space="preserve">le secteur de la restauration</v>
      </c>
      <c r="J1122" s="5" t="s">
        <v>7638</v>
      </c>
      <c r="K1122" s="5" t="s">
        <v>7639</v>
      </c>
      <c r="L1122" s="7"/>
      <c r="M1122" s="4" t="s">
        <v>29</v>
      </c>
      <c r="N1122" s="4" t="s">
        <v>7640</v>
      </c>
      <c r="O1122" s="4" t="s">
        <v>29</v>
      </c>
      <c r="P1122" s="4" t="s">
        <v>7641</v>
      </c>
      <c r="Q1122" s="6"/>
      <c r="R1122" s="6"/>
      <c r="S1122" s="6"/>
      <c r="T1122" s="6"/>
      <c r="U1122" s="6"/>
      <c r="V1122" s="6"/>
      <c r="W1122" s="6"/>
      <c r="X1122" s="6"/>
      <c r="Y1122" s="6"/>
    </row>
    <row r="1123" ht="14.25">
      <c r="B1123" s="4" t="s">
        <v>955</v>
      </c>
      <c r="C1123" s="4" t="s">
        <v>7642</v>
      </c>
      <c r="D1123" s="4" t="s">
        <v>7643</v>
      </c>
      <c r="E1123" s="4" t="s">
        <v>7644</v>
      </c>
      <c r="F1123" s="4" t="s">
        <v>7645</v>
      </c>
      <c r="G1123" s="4">
        <v>330</v>
      </c>
      <c r="H1123" s="4" t="s">
        <v>36</v>
      </c>
      <c r="I1123" s="4" t="str">
        <f>IFERROR(__XLUDF.DUMMYFUNCTION("VLOOKUP(G217,IMPORTRANGE(""https://docs.google.com/spreadsheets/d/1opm6ZNvGZ7KditA9TuJwrZ25eFLfTNIkrNnY6mhV5Eg"",""list!A1:C115""),3,TRUE)"),"le secteur de la restauration")</f>
        <v xml:space="preserve">le secteur de la restauration</v>
      </c>
      <c r="J1123" s="5" t="s">
        <v>7646</v>
      </c>
      <c r="K1123" s="5" t="s">
        <v>7647</v>
      </c>
      <c r="L1123" s="4" t="s">
        <v>4401</v>
      </c>
      <c r="M1123" s="4" t="s">
        <v>29</v>
      </c>
      <c r="N1123" s="4" t="s">
        <v>7648</v>
      </c>
      <c r="O1123" s="4" t="s">
        <v>29</v>
      </c>
      <c r="P1123" s="4" t="s">
        <v>7649</v>
      </c>
      <c r="Q1123" s="6"/>
      <c r="R1123" s="6"/>
      <c r="S1123" s="6"/>
      <c r="T1123" s="6"/>
      <c r="U1123" s="6"/>
      <c r="V1123" s="6"/>
      <c r="W1123" s="6"/>
      <c r="X1123" s="6"/>
      <c r="Y1123" s="6"/>
    </row>
    <row r="1124" ht="14.25">
      <c r="B1124" s="4" t="s">
        <v>2932</v>
      </c>
      <c r="C1124" s="4" t="s">
        <v>7650</v>
      </c>
      <c r="D1124" s="4" t="s">
        <v>5500</v>
      </c>
      <c r="E1124" s="4" t="s">
        <v>7520</v>
      </c>
      <c r="F1124" s="4" t="s">
        <v>7651</v>
      </c>
      <c r="G1124" s="4">
        <v>200</v>
      </c>
      <c r="H1124" s="4" t="s">
        <v>36</v>
      </c>
      <c r="I1124" s="4" t="str">
        <f>IFERROR(__XLUDF.DUMMYFUNCTION("VLOOKUP(G218,IMPORTRANGE(""https://docs.google.com/spreadsheets/d/1opm6ZNvGZ7KditA9TuJwrZ25eFLfTNIkrNnY6mhV5Eg"",""list!A1:C115""),3,TRUE)"),"le secteur de la restauration")</f>
        <v xml:space="preserve">le secteur de la restauration</v>
      </c>
      <c r="J1124" s="5" t="s">
        <v>7652</v>
      </c>
      <c r="K1124" s="5" t="s">
        <v>7523</v>
      </c>
      <c r="L1124" s="4" t="s">
        <v>1446</v>
      </c>
      <c r="M1124" s="4" t="s">
        <v>29</v>
      </c>
      <c r="N1124" s="4" t="s">
        <v>7524</v>
      </c>
      <c r="O1124" s="4" t="s">
        <v>29</v>
      </c>
      <c r="P1124" s="7"/>
      <c r="Q1124" s="6"/>
      <c r="R1124" s="6"/>
      <c r="S1124" s="6"/>
      <c r="T1124" s="6"/>
      <c r="U1124" s="6"/>
      <c r="V1124" s="6"/>
      <c r="W1124" s="6"/>
      <c r="X1124" s="6"/>
      <c r="Y1124" s="6"/>
    </row>
    <row r="1125" ht="14.25">
      <c r="B1125" s="4" t="s">
        <v>2932</v>
      </c>
      <c r="C1125" s="4" t="s">
        <v>7653</v>
      </c>
      <c r="D1125" s="4" t="s">
        <v>6362</v>
      </c>
      <c r="E1125" s="4" t="s">
        <v>7654</v>
      </c>
      <c r="F1125" s="4" t="s">
        <v>7655</v>
      </c>
      <c r="G1125" s="4">
        <v>130</v>
      </c>
      <c r="H1125" s="4" t="s">
        <v>36</v>
      </c>
      <c r="I1125" s="4" t="str">
        <f>IFERROR(__XLUDF.DUMMYFUNCTION("VLOOKUP(G219,IMPORTRANGE(""https://docs.google.com/spreadsheets/d/1opm6ZNvGZ7KditA9TuJwrZ25eFLfTNIkrNnY6mhV5Eg"",""list!A1:C115""),3,TRUE)"),"le secteur de la restauration")</f>
        <v xml:space="preserve">le secteur de la restauration</v>
      </c>
      <c r="J1125" s="5" t="s">
        <v>7656</v>
      </c>
      <c r="K1125" s="5" t="s">
        <v>7657</v>
      </c>
      <c r="L1125" s="4" t="s">
        <v>562</v>
      </c>
      <c r="M1125" s="4" t="s">
        <v>29</v>
      </c>
      <c r="N1125" s="4" t="s">
        <v>7658</v>
      </c>
      <c r="O1125" s="4" t="s">
        <v>29</v>
      </c>
      <c r="P1125" s="7"/>
      <c r="Q1125" s="6"/>
      <c r="R1125" s="6"/>
      <c r="S1125" s="6"/>
      <c r="T1125" s="6"/>
      <c r="U1125" s="6"/>
      <c r="V1125" s="6"/>
      <c r="W1125" s="6"/>
      <c r="X1125" s="6"/>
      <c r="Y1125" s="6"/>
    </row>
    <row r="1126" ht="14.25">
      <c r="B1126" s="4" t="s">
        <v>679</v>
      </c>
      <c r="C1126" s="4" t="s">
        <v>1183</v>
      </c>
      <c r="D1126" s="4" t="s">
        <v>1130</v>
      </c>
      <c r="E1126" s="4" t="s">
        <v>1627</v>
      </c>
      <c r="F1126" s="4" t="s">
        <v>1628</v>
      </c>
      <c r="G1126" s="4">
        <v>120</v>
      </c>
      <c r="H1126" s="4" t="s">
        <v>36</v>
      </c>
      <c r="I1126" s="4" t="str">
        <f>IFERROR(__XLUDF.DUMMYFUNCTION("VLOOKUP(G220,IMPORTRANGE(""https://docs.google.com/spreadsheets/d/1opm6ZNvGZ7KditA9TuJwrZ25eFLfTNIkrNnY6mhV5Eg"",""list!A1:C115""),3,TRUE)"),"le secteur de la restauration")</f>
        <v xml:space="preserve">le secteur de la restauration</v>
      </c>
      <c r="J1126" s="5" t="s">
        <v>1629</v>
      </c>
      <c r="K1126" s="5" t="s">
        <v>7659</v>
      </c>
      <c r="L1126" s="4" t="s">
        <v>651</v>
      </c>
      <c r="M1126" s="4" t="s">
        <v>29</v>
      </c>
      <c r="N1126" s="4" t="s">
        <v>1631</v>
      </c>
      <c r="O1126" s="4" t="s">
        <v>29</v>
      </c>
      <c r="P1126" s="4" t="s">
        <v>1632</v>
      </c>
      <c r="Q1126" s="6"/>
      <c r="R1126" s="6"/>
      <c r="S1126" s="6"/>
      <c r="T1126" s="6"/>
      <c r="U1126" s="6"/>
      <c r="V1126" s="6"/>
      <c r="W1126" s="6"/>
      <c r="X1126" s="6"/>
      <c r="Y1126" s="6"/>
    </row>
    <row r="1127" ht="14.25">
      <c r="B1127" s="4" t="s">
        <v>3164</v>
      </c>
      <c r="C1127" s="4" t="s">
        <v>7660</v>
      </c>
      <c r="D1127" s="4" t="s">
        <v>120</v>
      </c>
      <c r="E1127" s="4" t="s">
        <v>7554</v>
      </c>
      <c r="F1127" s="4" t="s">
        <v>7661</v>
      </c>
      <c r="G1127" s="4">
        <v>81</v>
      </c>
      <c r="H1127" s="4" t="s">
        <v>36</v>
      </c>
      <c r="I1127" s="4" t="str">
        <f>IFERROR(__XLUDF.DUMMYFUNCTION("VLOOKUP(G221,IMPORTRANGE(""https://docs.google.com/spreadsheets/d/1opm6ZNvGZ7KditA9TuJwrZ25eFLfTNIkrNnY6mhV5Eg"",""list!A1:C115""),3,TRUE)"),"le secteur de la restauration")</f>
        <v xml:space="preserve">le secteur de la restauration</v>
      </c>
      <c r="J1127" s="5" t="s">
        <v>7662</v>
      </c>
      <c r="K1127" s="5" t="s">
        <v>7557</v>
      </c>
      <c r="L1127" s="4" t="s">
        <v>83</v>
      </c>
      <c r="M1127" s="4" t="s">
        <v>29</v>
      </c>
      <c r="N1127" s="4" t="s">
        <v>346</v>
      </c>
      <c r="O1127" s="4" t="s">
        <v>29</v>
      </c>
      <c r="P1127" s="4" t="s">
        <v>7558</v>
      </c>
      <c r="Q1127" s="6"/>
      <c r="R1127" s="6"/>
      <c r="S1127" s="6"/>
      <c r="T1127" s="6"/>
      <c r="U1127" s="6"/>
      <c r="V1127" s="6"/>
      <c r="W1127" s="6"/>
      <c r="X1127" s="6"/>
      <c r="Y1127" s="6"/>
    </row>
    <row r="1128" ht="14.25">
      <c r="B1128" s="4" t="s">
        <v>4800</v>
      </c>
      <c r="C1128" s="4" t="s">
        <v>7663</v>
      </c>
      <c r="D1128" s="4" t="s">
        <v>120</v>
      </c>
      <c r="E1128" s="4" t="s">
        <v>7664</v>
      </c>
      <c r="F1128" s="4" t="s">
        <v>7665</v>
      </c>
      <c r="G1128" s="4">
        <v>200</v>
      </c>
      <c r="H1128" s="4" t="s">
        <v>36</v>
      </c>
      <c r="I1128" s="4" t="str">
        <f>IFERROR(__XLUDF.DUMMYFUNCTION("VLOOKUP(G222,IMPORTRANGE(""https://docs.google.com/spreadsheets/d/1opm6ZNvGZ7KditA9TuJwrZ25eFLfTNIkrNnY6mhV5Eg"",""list!A1:C115""),3,TRUE)"),"le secteur de la restauration")</f>
        <v xml:space="preserve">le secteur de la restauration</v>
      </c>
      <c r="J1128" s="5" t="s">
        <v>7666</v>
      </c>
      <c r="K1128" s="5" t="s">
        <v>7667</v>
      </c>
      <c r="L1128" s="4" t="s">
        <v>39</v>
      </c>
      <c r="M1128" s="4" t="s">
        <v>29</v>
      </c>
      <c r="N1128" s="4" t="s">
        <v>7668</v>
      </c>
      <c r="O1128" s="4" t="s">
        <v>29</v>
      </c>
      <c r="P1128" s="7"/>
      <c r="Q1128" s="6"/>
      <c r="R1128" s="6"/>
      <c r="S1128" s="6"/>
      <c r="T1128" s="6"/>
      <c r="U1128" s="6"/>
      <c r="V1128" s="6"/>
      <c r="W1128" s="6"/>
      <c r="X1128" s="6"/>
      <c r="Y1128" s="6"/>
    </row>
    <row r="1129" ht="14.25">
      <c r="B1129" s="4" t="s">
        <v>840</v>
      </c>
      <c r="C1129" s="4" t="s">
        <v>7669</v>
      </c>
      <c r="D1129" s="4" t="s">
        <v>87</v>
      </c>
      <c r="E1129" s="4" t="s">
        <v>7670</v>
      </c>
      <c r="F1129" s="4" t="s">
        <v>7671</v>
      </c>
      <c r="G1129" s="4">
        <v>86</v>
      </c>
      <c r="H1129" s="4" t="s">
        <v>36</v>
      </c>
      <c r="I1129" s="4" t="str">
        <f>IFERROR(__XLUDF.DUMMYFUNCTION("VLOOKUP(G223,IMPORTRANGE(""https://docs.google.com/spreadsheets/d/1opm6ZNvGZ7KditA9TuJwrZ25eFLfTNIkrNnY6mhV5Eg"",""list!A1:C115""),3,TRUE)"),"le secteur de la restauration")</f>
        <v xml:space="preserve">le secteur de la restauration</v>
      </c>
      <c r="J1129" s="5" t="s">
        <v>7672</v>
      </c>
      <c r="K1129" s="5" t="s">
        <v>7673</v>
      </c>
      <c r="L1129" s="4" t="s">
        <v>6339</v>
      </c>
      <c r="M1129" s="4" t="s">
        <v>29</v>
      </c>
      <c r="N1129" s="4" t="s">
        <v>7674</v>
      </c>
      <c r="O1129" s="4" t="s">
        <v>29</v>
      </c>
      <c r="P1129" s="4" t="s">
        <v>7675</v>
      </c>
      <c r="Q1129" s="6"/>
      <c r="R1129" s="6"/>
      <c r="S1129" s="6"/>
      <c r="T1129" s="6"/>
      <c r="U1129" s="6"/>
      <c r="V1129" s="6"/>
      <c r="W1129" s="6"/>
      <c r="X1129" s="6"/>
      <c r="Y1129" s="6"/>
    </row>
    <row r="1130" ht="14.25">
      <c r="B1130" s="4" t="s">
        <v>5903</v>
      </c>
      <c r="C1130" s="4" t="s">
        <v>7676</v>
      </c>
      <c r="D1130" s="4" t="s">
        <v>341</v>
      </c>
      <c r="E1130" s="4" t="s">
        <v>7677</v>
      </c>
      <c r="F1130" s="4" t="s">
        <v>7678</v>
      </c>
      <c r="G1130" s="4">
        <v>160</v>
      </c>
      <c r="H1130" s="4" t="s">
        <v>36</v>
      </c>
      <c r="I1130" s="4" t="str">
        <f>IFERROR(__XLUDF.DUMMYFUNCTION("VLOOKUP(G224,IMPORTRANGE(""https://docs.google.com/spreadsheets/d/1opm6ZNvGZ7KditA9TuJwrZ25eFLfTNIkrNnY6mhV5Eg"",""list!A1:C115""),3,TRUE)"),"le secteur de la restauration")</f>
        <v xml:space="preserve">le secteur de la restauration</v>
      </c>
      <c r="J1130" s="5" t="s">
        <v>7679</v>
      </c>
      <c r="K1130" s="5" t="s">
        <v>7680</v>
      </c>
      <c r="L1130" s="4" t="s">
        <v>39</v>
      </c>
      <c r="M1130" s="4" t="s">
        <v>29</v>
      </c>
      <c r="N1130" s="4" t="s">
        <v>7681</v>
      </c>
      <c r="O1130" s="4" t="s">
        <v>29</v>
      </c>
      <c r="P1130" s="7"/>
      <c r="Q1130" s="6"/>
      <c r="R1130" s="6"/>
      <c r="S1130" s="6"/>
      <c r="T1130" s="6"/>
      <c r="U1130" s="6"/>
      <c r="V1130" s="6"/>
      <c r="W1130" s="6"/>
      <c r="X1130" s="6"/>
      <c r="Y1130" s="6"/>
    </row>
    <row r="1131" ht="14.25">
      <c r="B1131" s="4" t="s">
        <v>355</v>
      </c>
      <c r="C1131" s="4" t="s">
        <v>7682</v>
      </c>
      <c r="D1131" s="4" t="s">
        <v>7683</v>
      </c>
      <c r="E1131" s="4" t="s">
        <v>7684</v>
      </c>
      <c r="F1131" s="4" t="s">
        <v>7685</v>
      </c>
      <c r="G1131" s="4">
        <v>92</v>
      </c>
      <c r="H1131" s="4" t="s">
        <v>36</v>
      </c>
      <c r="I1131" s="4" t="str">
        <f>IFERROR(__XLUDF.DUMMYFUNCTION("VLOOKUP(G225,IMPORTRANGE(""https://docs.google.com/spreadsheets/d/1opm6ZNvGZ7KditA9TuJwrZ25eFLfTNIkrNnY6mhV5Eg"",""list!A1:C115""),3,TRUE)"),"le secteur de la restauration")</f>
        <v xml:space="preserve">le secteur de la restauration</v>
      </c>
      <c r="J1131" s="5" t="s">
        <v>7686</v>
      </c>
      <c r="K1131" s="5" t="s">
        <v>7687</v>
      </c>
      <c r="L1131" s="4" t="s">
        <v>39</v>
      </c>
      <c r="M1131" s="4" t="s">
        <v>29</v>
      </c>
      <c r="N1131" s="4" t="s">
        <v>7688</v>
      </c>
      <c r="O1131" s="4" t="s">
        <v>29</v>
      </c>
      <c r="P1131" s="4" t="s">
        <v>7689</v>
      </c>
      <c r="Q1131" s="6"/>
      <c r="R1131" s="6"/>
      <c r="S1131" s="6"/>
      <c r="T1131" s="6"/>
      <c r="U1131" s="6"/>
      <c r="V1131" s="6"/>
      <c r="W1131" s="6"/>
      <c r="X1131" s="6"/>
      <c r="Y1131" s="6"/>
    </row>
    <row r="1132" ht="14.25">
      <c r="B1132" s="4" t="s">
        <v>355</v>
      </c>
      <c r="C1132" s="4" t="s">
        <v>7690</v>
      </c>
      <c r="D1132" s="4" t="s">
        <v>7691</v>
      </c>
      <c r="E1132" s="4" t="s">
        <v>7692</v>
      </c>
      <c r="F1132" s="4" t="s">
        <v>7693</v>
      </c>
      <c r="G1132" s="4">
        <v>7</v>
      </c>
      <c r="H1132" s="4" t="s">
        <v>36</v>
      </c>
      <c r="I1132" s="4" t="str">
        <f>IFERROR(__XLUDF.DUMMYFUNCTION("VLOOKUP(G226,IMPORTRANGE(""https://docs.google.com/spreadsheets/d/1opm6ZNvGZ7KditA9TuJwrZ25eFLfTNIkrNnY6mhV5Eg"",""list!A1:C115""),3,TRUE)"),"le secteur de la restauration")</f>
        <v xml:space="preserve">le secteur de la restauration</v>
      </c>
      <c r="J1132" s="5" t="s">
        <v>7694</v>
      </c>
      <c r="K1132" s="5" t="s">
        <v>7695</v>
      </c>
      <c r="L1132" s="4" t="s">
        <v>39</v>
      </c>
      <c r="M1132" s="4" t="s">
        <v>29</v>
      </c>
      <c r="N1132" s="4" t="s">
        <v>67</v>
      </c>
      <c r="O1132" s="4" t="s">
        <v>29</v>
      </c>
      <c r="P1132" s="7"/>
      <c r="Q1132" s="6"/>
      <c r="R1132" s="6"/>
      <c r="S1132" s="6"/>
      <c r="T1132" s="6"/>
      <c r="U1132" s="6"/>
      <c r="V1132" s="6"/>
      <c r="W1132" s="6"/>
      <c r="X1132" s="6"/>
      <c r="Y1132" s="6"/>
    </row>
    <row r="1133" ht="14.25">
      <c r="B1133" s="4" t="s">
        <v>355</v>
      </c>
      <c r="C1133" s="4" t="s">
        <v>7696</v>
      </c>
      <c r="D1133" s="4" t="s">
        <v>62</v>
      </c>
      <c r="E1133" s="4" t="s">
        <v>7697</v>
      </c>
      <c r="F1133" s="4" t="s">
        <v>7698</v>
      </c>
      <c r="G1133" s="4">
        <v>310</v>
      </c>
      <c r="H1133" s="4" t="s">
        <v>36</v>
      </c>
      <c r="I1133" s="4" t="str">
        <f>IFERROR(__XLUDF.DUMMYFUNCTION("VLOOKUP(G227,IMPORTRANGE(""https://docs.google.com/spreadsheets/d/1opm6ZNvGZ7KditA9TuJwrZ25eFLfTNIkrNnY6mhV5Eg"",""list!A1:C115""),3,TRUE)"),"le secteur de la restauration")</f>
        <v xml:space="preserve">le secteur de la restauration</v>
      </c>
      <c r="J1133" s="5" t="s">
        <v>7699</v>
      </c>
      <c r="K1133" s="5" t="s">
        <v>7700</v>
      </c>
      <c r="L1133" s="7"/>
      <c r="M1133" s="4" t="s">
        <v>29</v>
      </c>
      <c r="N1133" s="4" t="s">
        <v>7701</v>
      </c>
      <c r="O1133" s="4" t="s">
        <v>7702</v>
      </c>
      <c r="P1133" s="4" t="s">
        <v>7703</v>
      </c>
      <c r="Q1133" s="6"/>
      <c r="R1133" s="6"/>
      <c r="S1133" s="6"/>
      <c r="T1133" s="6"/>
      <c r="U1133" s="6"/>
      <c r="V1133" s="6"/>
      <c r="W1133" s="6"/>
      <c r="X1133" s="6"/>
      <c r="Y1133" s="6"/>
    </row>
    <row r="1134" ht="14.25">
      <c r="B1134" s="4" t="s">
        <v>2398</v>
      </c>
      <c r="C1134" s="4" t="s">
        <v>7704</v>
      </c>
      <c r="D1134" s="4" t="s">
        <v>468</v>
      </c>
      <c r="E1134" s="4" t="s">
        <v>7542</v>
      </c>
      <c r="F1134" s="4" t="s">
        <v>7705</v>
      </c>
      <c r="G1134" s="4">
        <v>180</v>
      </c>
      <c r="H1134" s="4" t="s">
        <v>36</v>
      </c>
      <c r="I1134" s="4" t="str">
        <f>IFERROR(__XLUDF.DUMMYFUNCTION("VLOOKUP(G228,IMPORTRANGE(""https://docs.google.com/spreadsheets/d/1opm6ZNvGZ7KditA9TuJwrZ25eFLfTNIkrNnY6mhV5Eg"",""list!A1:C115""),3,TRUE)"),"le secteur de la restauration")</f>
        <v xml:space="preserve">le secteur de la restauration</v>
      </c>
      <c r="J1134" s="5" t="s">
        <v>7706</v>
      </c>
      <c r="K1134" s="5" t="s">
        <v>7545</v>
      </c>
      <c r="L1134" s="4" t="s">
        <v>39</v>
      </c>
      <c r="M1134" s="4" t="s">
        <v>29</v>
      </c>
      <c r="N1134" s="4" t="s">
        <v>7546</v>
      </c>
      <c r="O1134" s="4" t="s">
        <v>29</v>
      </c>
      <c r="P1134" s="4" t="s">
        <v>7547</v>
      </c>
      <c r="Q1134" s="6"/>
      <c r="R1134" s="6"/>
      <c r="S1134" s="6"/>
      <c r="T1134" s="6"/>
      <c r="U1134" s="6"/>
      <c r="V1134" s="6"/>
      <c r="W1134" s="6"/>
      <c r="X1134" s="6"/>
      <c r="Y1134" s="6"/>
    </row>
    <row r="1135" ht="14.25">
      <c r="B1135" s="4" t="s">
        <v>4811</v>
      </c>
      <c r="C1135" s="4" t="s">
        <v>5244</v>
      </c>
      <c r="D1135" s="4" t="s">
        <v>5245</v>
      </c>
      <c r="E1135" s="4" t="s">
        <v>5246</v>
      </c>
      <c r="F1135" s="4" t="s">
        <v>5247</v>
      </c>
      <c r="G1135" s="4">
        <v>93</v>
      </c>
      <c r="H1135" s="4" t="s">
        <v>36</v>
      </c>
      <c r="I1135" s="4" t="str">
        <f>IFERROR(__XLUDF.DUMMYFUNCTION("VLOOKUP(G229,IMPORTRANGE(""https://docs.google.com/spreadsheets/d/1opm6ZNvGZ7KditA9TuJwrZ25eFLfTNIkrNnY6mhV5Eg"",""list!A1:C115""),3,TRUE)"),"le secteur de la restauration")</f>
        <v xml:space="preserve">le secteur de la restauration</v>
      </c>
      <c r="J1135" s="5" t="s">
        <v>5248</v>
      </c>
      <c r="K1135" s="5" t="s">
        <v>7456</v>
      </c>
      <c r="L1135" s="4" t="s">
        <v>39</v>
      </c>
      <c r="M1135" s="4" t="s">
        <v>29</v>
      </c>
      <c r="N1135" s="4" t="s">
        <v>5250</v>
      </c>
      <c r="O1135" s="4" t="s">
        <v>29</v>
      </c>
      <c r="P1135" s="4" t="s">
        <v>5251</v>
      </c>
      <c r="Q1135" s="6"/>
      <c r="R1135" s="6"/>
      <c r="S1135" s="6"/>
      <c r="T1135" s="6"/>
      <c r="U1135" s="6"/>
      <c r="V1135" s="6"/>
      <c r="W1135" s="6"/>
      <c r="X1135" s="6"/>
      <c r="Y1135" s="6"/>
    </row>
    <row r="1136" ht="14.25">
      <c r="B1136" s="4" t="s">
        <v>1853</v>
      </c>
      <c r="C1136" s="4" t="s">
        <v>7707</v>
      </c>
      <c r="D1136" s="4" t="s">
        <v>265</v>
      </c>
      <c r="E1136" s="4" t="s">
        <v>7708</v>
      </c>
      <c r="F1136" s="4" t="s">
        <v>7709</v>
      </c>
      <c r="G1136" s="4">
        <v>84</v>
      </c>
      <c r="H1136" s="4" t="s">
        <v>36</v>
      </c>
      <c r="I1136" s="4" t="str">
        <f>IFERROR(__XLUDF.DUMMYFUNCTION("VLOOKUP(G230,IMPORTRANGE(""https://docs.google.com/spreadsheets/d/1opm6ZNvGZ7KditA9TuJwrZ25eFLfTNIkrNnY6mhV5Eg"",""list!A1:C115""),3,TRUE)"),"le secteur de la restauration")</f>
        <v xml:space="preserve">le secteur de la restauration</v>
      </c>
      <c r="J1136" s="5" t="s">
        <v>7710</v>
      </c>
      <c r="K1136" s="5" t="s">
        <v>7711</v>
      </c>
      <c r="L1136" s="4" t="s">
        <v>39</v>
      </c>
      <c r="M1136" s="4" t="s">
        <v>29</v>
      </c>
      <c r="N1136" s="4" t="s">
        <v>7712</v>
      </c>
      <c r="O1136" s="4" t="s">
        <v>29</v>
      </c>
      <c r="P1136" s="4" t="s">
        <v>7713</v>
      </c>
      <c r="Q1136" s="6"/>
      <c r="R1136" s="6"/>
      <c r="S1136" s="6"/>
      <c r="T1136" s="6"/>
      <c r="U1136" s="6"/>
      <c r="V1136" s="6"/>
      <c r="W1136" s="6"/>
      <c r="X1136" s="6"/>
      <c r="Y1136" s="6"/>
    </row>
    <row r="1137" ht="14.25">
      <c r="B1137" s="4" t="s">
        <v>7714</v>
      </c>
      <c r="C1137" s="4" t="s">
        <v>7715</v>
      </c>
      <c r="D1137" s="4" t="s">
        <v>7716</v>
      </c>
      <c r="E1137" s="4" t="s">
        <v>7630</v>
      </c>
      <c r="F1137" s="4" t="s">
        <v>7717</v>
      </c>
      <c r="G1137" s="4">
        <v>83</v>
      </c>
      <c r="H1137" s="4" t="s">
        <v>36</v>
      </c>
      <c r="I1137" s="4" t="str">
        <f>IFERROR(__XLUDF.DUMMYFUNCTION("VLOOKUP(G231,IMPORTRANGE(""https://docs.google.com/spreadsheets/d/1opm6ZNvGZ7KditA9TuJwrZ25eFLfTNIkrNnY6mhV5Eg"",""list!A1:C115""),3,TRUE)"),"le secteur de la restauration")</f>
        <v xml:space="preserve">le secteur de la restauration</v>
      </c>
      <c r="J1137" s="5" t="s">
        <v>7718</v>
      </c>
      <c r="K1137" s="5" t="s">
        <v>7633</v>
      </c>
      <c r="L1137" s="4" t="s">
        <v>39</v>
      </c>
      <c r="M1137" s="4" t="s">
        <v>29</v>
      </c>
      <c r="N1137" s="4" t="s">
        <v>67</v>
      </c>
      <c r="O1137" s="4" t="s">
        <v>29</v>
      </c>
      <c r="P1137" s="4" t="s">
        <v>7634</v>
      </c>
      <c r="Q1137" s="6"/>
      <c r="R1137" s="6"/>
      <c r="S1137" s="6"/>
      <c r="T1137" s="6"/>
      <c r="U1137" s="6"/>
      <c r="V1137" s="6"/>
      <c r="W1137" s="6"/>
      <c r="X1137" s="6"/>
      <c r="Y1137" s="6"/>
    </row>
    <row r="1138" ht="14.25">
      <c r="B1138" s="4" t="s">
        <v>7719</v>
      </c>
      <c r="C1138" s="4" t="s">
        <v>7720</v>
      </c>
      <c r="D1138" s="4" t="s">
        <v>672</v>
      </c>
      <c r="E1138" s="4" t="s">
        <v>7438</v>
      </c>
      <c r="F1138" s="4" t="s">
        <v>7721</v>
      </c>
      <c r="G1138" s="4">
        <v>74</v>
      </c>
      <c r="H1138" s="4" t="s">
        <v>36</v>
      </c>
      <c r="I1138" s="4" t="str">
        <f>IFERROR(__XLUDF.DUMMYFUNCTION("VLOOKUP(G232,IMPORTRANGE(""https://docs.google.com/spreadsheets/d/1opm6ZNvGZ7KditA9TuJwrZ25eFLfTNIkrNnY6mhV5Eg"",""list!A1:C115""),3,TRUE)"),"le secteur de la restauration")</f>
        <v xml:space="preserve">le secteur de la restauration</v>
      </c>
      <c r="J1138" s="5" t="s">
        <v>7722</v>
      </c>
      <c r="K1138" s="5" t="s">
        <v>7441</v>
      </c>
      <c r="L1138" s="4" t="s">
        <v>39</v>
      </c>
      <c r="M1138" s="4" t="s">
        <v>29</v>
      </c>
      <c r="N1138" s="4" t="s">
        <v>7442</v>
      </c>
      <c r="O1138" s="4" t="s">
        <v>29</v>
      </c>
      <c r="P1138" s="4" t="s">
        <v>7443</v>
      </c>
      <c r="Q1138" s="6"/>
      <c r="R1138" s="6"/>
      <c r="S1138" s="6"/>
      <c r="T1138" s="6"/>
      <c r="U1138" s="6"/>
      <c r="V1138" s="6"/>
      <c r="W1138" s="6"/>
      <c r="X1138" s="6"/>
      <c r="Y1138" s="6"/>
    </row>
    <row r="1139" ht="14.25">
      <c r="B1139" s="4" t="s">
        <v>2994</v>
      </c>
      <c r="C1139" s="4" t="s">
        <v>972</v>
      </c>
      <c r="D1139" s="4" t="s">
        <v>120</v>
      </c>
      <c r="E1139" s="4" t="s">
        <v>7445</v>
      </c>
      <c r="F1139" s="4" t="s">
        <v>7723</v>
      </c>
      <c r="G1139" s="4">
        <v>110</v>
      </c>
      <c r="H1139" s="4" t="s">
        <v>36</v>
      </c>
      <c r="I1139" s="4" t="str">
        <f>IFERROR(__XLUDF.DUMMYFUNCTION("VLOOKUP(G233,IMPORTRANGE(""https://docs.google.com/spreadsheets/d/1opm6ZNvGZ7KditA9TuJwrZ25eFLfTNIkrNnY6mhV5Eg"",""list!A1:C115""),3,TRUE)"),"le secteur de la restauration")</f>
        <v xml:space="preserve">le secteur de la restauration</v>
      </c>
      <c r="J1139" s="5" t="s">
        <v>7724</v>
      </c>
      <c r="K1139" s="5" t="s">
        <v>7448</v>
      </c>
      <c r="L1139" s="4" t="s">
        <v>846</v>
      </c>
      <c r="M1139" s="4" t="s">
        <v>29</v>
      </c>
      <c r="N1139" s="4" t="s">
        <v>7449</v>
      </c>
      <c r="O1139" s="4" t="s">
        <v>29</v>
      </c>
      <c r="P1139" s="4" t="s">
        <v>7450</v>
      </c>
      <c r="Q1139" s="6"/>
      <c r="R1139" s="6"/>
      <c r="S1139" s="6"/>
      <c r="T1139" s="6"/>
      <c r="U1139" s="6"/>
      <c r="V1139" s="6"/>
      <c r="W1139" s="6"/>
      <c r="X1139" s="6"/>
      <c r="Y1139" s="6"/>
    </row>
    <row r="1140" ht="14.25">
      <c r="B1140" s="4" t="s">
        <v>785</v>
      </c>
      <c r="C1140" s="4" t="s">
        <v>7725</v>
      </c>
      <c r="D1140" s="4" t="s">
        <v>7726</v>
      </c>
      <c r="E1140" s="4" t="s">
        <v>7727</v>
      </c>
      <c r="F1140" s="4" t="s">
        <v>7728</v>
      </c>
      <c r="G1140" s="4">
        <v>220</v>
      </c>
      <c r="H1140" s="4" t="s">
        <v>36</v>
      </c>
      <c r="I1140" s="4" t="str">
        <f>IFERROR(__XLUDF.DUMMYFUNCTION("VLOOKUP(G234,IMPORTRANGE(""https://docs.google.com/spreadsheets/d/1opm6ZNvGZ7KditA9TuJwrZ25eFLfTNIkrNnY6mhV5Eg"",""list!A1:C115""),3,TRUE)"),"le secteur de la restauration")</f>
        <v xml:space="preserve">le secteur de la restauration</v>
      </c>
      <c r="J1140" s="5" t="s">
        <v>7729</v>
      </c>
      <c r="K1140" s="5" t="s">
        <v>7730</v>
      </c>
      <c r="L1140" s="7"/>
      <c r="M1140" s="4" t="s">
        <v>29</v>
      </c>
      <c r="N1140" s="4" t="s">
        <v>7599</v>
      </c>
      <c r="O1140" s="4" t="s">
        <v>29</v>
      </c>
      <c r="P1140" s="4" t="s">
        <v>7731</v>
      </c>
      <c r="Q1140" s="6"/>
      <c r="R1140" s="6"/>
      <c r="S1140" s="6"/>
      <c r="T1140" s="6"/>
      <c r="U1140" s="6"/>
      <c r="V1140" s="6"/>
      <c r="W1140" s="6"/>
      <c r="X1140" s="6"/>
      <c r="Y1140" s="6"/>
    </row>
    <row r="1141" ht="14.25">
      <c r="B1141" s="4" t="s">
        <v>785</v>
      </c>
      <c r="C1141" s="4" t="s">
        <v>7732</v>
      </c>
      <c r="D1141" s="4" t="s">
        <v>120</v>
      </c>
      <c r="E1141" s="4" t="s">
        <v>7479</v>
      </c>
      <c r="F1141" s="4" t="s">
        <v>7733</v>
      </c>
      <c r="G1141" s="4">
        <v>67</v>
      </c>
      <c r="H1141" s="4" t="s">
        <v>36</v>
      </c>
      <c r="I1141" s="4" t="str">
        <f>IFERROR(__XLUDF.DUMMYFUNCTION("VLOOKUP(G235,IMPORTRANGE(""https://docs.google.com/spreadsheets/d/1opm6ZNvGZ7KditA9TuJwrZ25eFLfTNIkrNnY6mhV5Eg"",""list!A1:C115""),3,TRUE)"),"le secteur de la restauration")</f>
        <v xml:space="preserve">le secteur de la restauration</v>
      </c>
      <c r="J1141" s="5" t="s">
        <v>7734</v>
      </c>
      <c r="K1141" s="5" t="s">
        <v>7482</v>
      </c>
      <c r="L1141" s="4" t="s">
        <v>1507</v>
      </c>
      <c r="M1141" s="4" t="s">
        <v>29</v>
      </c>
      <c r="N1141" s="4" t="s">
        <v>7483</v>
      </c>
      <c r="O1141" s="4" t="s">
        <v>29</v>
      </c>
      <c r="P1141" s="4" t="s">
        <v>7484</v>
      </c>
      <c r="Q1141" s="6"/>
      <c r="R1141" s="6"/>
      <c r="S1141" s="6"/>
      <c r="T1141" s="6"/>
      <c r="U1141" s="6"/>
      <c r="V1141" s="6"/>
      <c r="W1141" s="6"/>
      <c r="X1141" s="6"/>
      <c r="Y1141" s="6"/>
    </row>
    <row r="1142" ht="14.25">
      <c r="B1142" s="4" t="s">
        <v>588</v>
      </c>
      <c r="C1142" s="4" t="s">
        <v>7735</v>
      </c>
      <c r="D1142" s="4" t="s">
        <v>7736</v>
      </c>
      <c r="E1142" s="4" t="s">
        <v>7472</v>
      </c>
      <c r="F1142" s="4" t="s">
        <v>7737</v>
      </c>
      <c r="G1142" s="4">
        <v>110</v>
      </c>
      <c r="H1142" s="4" t="s">
        <v>36</v>
      </c>
      <c r="I1142" s="4" t="str">
        <f>IFERROR(__XLUDF.DUMMYFUNCTION("VLOOKUP(G236,IMPORTRANGE(""https://docs.google.com/spreadsheets/d/1opm6ZNvGZ7KditA9TuJwrZ25eFLfTNIkrNnY6mhV5Eg"",""list!A1:C115""),3,TRUE)"),"le secteur de la restauration")</f>
        <v xml:space="preserve">le secteur de la restauration</v>
      </c>
      <c r="J1142" s="5" t="s">
        <v>7738</v>
      </c>
      <c r="K1142" s="5" t="s">
        <v>7475</v>
      </c>
      <c r="L1142" s="4" t="s">
        <v>1419</v>
      </c>
      <c r="M1142" s="4" t="s">
        <v>29</v>
      </c>
      <c r="N1142" s="4" t="s">
        <v>7476</v>
      </c>
      <c r="O1142" s="4" t="s">
        <v>1548</v>
      </c>
      <c r="P1142" s="4" t="s">
        <v>7477</v>
      </c>
      <c r="Q1142" s="6"/>
      <c r="R1142" s="6"/>
      <c r="S1142" s="6"/>
      <c r="T1142" s="6"/>
      <c r="U1142" s="6"/>
      <c r="V1142" s="6"/>
      <c r="W1142" s="6"/>
      <c r="X1142" s="6"/>
      <c r="Y1142" s="6"/>
    </row>
    <row r="1143" ht="14.25">
      <c r="B1143" s="4" t="s">
        <v>6967</v>
      </c>
      <c r="C1143" s="4" t="s">
        <v>7739</v>
      </c>
      <c r="D1143" s="4" t="s">
        <v>341</v>
      </c>
      <c r="E1143" s="4" t="s">
        <v>7740</v>
      </c>
      <c r="F1143" s="4" t="s">
        <v>7741</v>
      </c>
      <c r="G1143" s="4">
        <v>58</v>
      </c>
      <c r="H1143" s="4" t="s">
        <v>36</v>
      </c>
      <c r="I1143" s="4" t="str">
        <f>IFERROR(__XLUDF.DUMMYFUNCTION("VLOOKUP(G237,IMPORTRANGE(""https://docs.google.com/spreadsheets/d/1opm6ZNvGZ7KditA9TuJwrZ25eFLfTNIkrNnY6mhV5Eg"",""list!A1:C115""),3,TRUE)"),"le secteur de la restauration")</f>
        <v xml:space="preserve">le secteur de la restauration</v>
      </c>
      <c r="J1143" s="5" t="s">
        <v>7742</v>
      </c>
      <c r="K1143" s="5" t="s">
        <v>7743</v>
      </c>
      <c r="L1143" s="4" t="s">
        <v>1507</v>
      </c>
      <c r="M1143" s="4" t="s">
        <v>29</v>
      </c>
      <c r="N1143" s="4" t="s">
        <v>7744</v>
      </c>
      <c r="O1143" s="4" t="s">
        <v>29</v>
      </c>
      <c r="P1143" s="7"/>
      <c r="Q1143" s="6"/>
      <c r="R1143" s="6"/>
      <c r="S1143" s="6"/>
      <c r="T1143" s="6"/>
      <c r="U1143" s="6"/>
      <c r="V1143" s="6"/>
      <c r="W1143" s="6"/>
      <c r="X1143" s="6"/>
      <c r="Y1143" s="6"/>
    </row>
    <row r="1144" ht="14.25">
      <c r="B1144" s="4" t="s">
        <v>893</v>
      </c>
      <c r="C1144" s="4" t="s">
        <v>894</v>
      </c>
      <c r="D1144" s="4" t="s">
        <v>895</v>
      </c>
      <c r="E1144" s="4" t="s">
        <v>896</v>
      </c>
      <c r="F1144" s="4" t="s">
        <v>897</v>
      </c>
      <c r="G1144" s="4">
        <v>64</v>
      </c>
      <c r="H1144" s="4" t="s">
        <v>36</v>
      </c>
      <c r="I1144" s="4" t="str">
        <f>IFERROR(__XLUDF.DUMMYFUNCTION("VLOOKUP(G238,IMPORTRANGE(""https://docs.google.com/spreadsheets/d/1opm6ZNvGZ7KditA9TuJwrZ25eFLfTNIkrNnY6mhV5Eg"",""list!A1:C115""),3,TRUE)"),"le secteur de la restauration")</f>
        <v xml:space="preserve">le secteur de la restauration</v>
      </c>
      <c r="J1144" s="5" t="s">
        <v>898</v>
      </c>
      <c r="K1144" s="5" t="s">
        <v>7419</v>
      </c>
      <c r="L1144" s="4" t="s">
        <v>49</v>
      </c>
      <c r="M1144" s="4" t="s">
        <v>29</v>
      </c>
      <c r="N1144" s="4" t="s">
        <v>416</v>
      </c>
      <c r="O1144" s="4" t="s">
        <v>29</v>
      </c>
      <c r="P1144" s="4" t="s">
        <v>900</v>
      </c>
      <c r="Q1144" s="6"/>
      <c r="R1144" s="6"/>
      <c r="S1144" s="6"/>
      <c r="T1144" s="6"/>
      <c r="U1144" s="6"/>
      <c r="V1144" s="6"/>
      <c r="W1144" s="6"/>
      <c r="X1144" s="6"/>
      <c r="Y1144" s="6"/>
    </row>
    <row r="1145" ht="14.25">
      <c r="B1145" s="4" t="s">
        <v>6923</v>
      </c>
      <c r="C1145" s="4" t="s">
        <v>7745</v>
      </c>
      <c r="D1145" s="4" t="s">
        <v>7746</v>
      </c>
      <c r="E1145" s="4" t="s">
        <v>7747</v>
      </c>
      <c r="F1145" s="4" t="s">
        <v>7748</v>
      </c>
      <c r="G1145" s="4">
        <v>160</v>
      </c>
      <c r="H1145" s="4" t="s">
        <v>36</v>
      </c>
      <c r="I1145" s="4" t="str">
        <f>IFERROR(__XLUDF.DUMMYFUNCTION("VLOOKUP(G239,IMPORTRANGE(""https://docs.google.com/spreadsheets/d/1opm6ZNvGZ7KditA9TuJwrZ25eFLfTNIkrNnY6mhV5Eg"",""list!A1:C115""),3,TRUE)"),"le secteur de la restauration")</f>
        <v xml:space="preserve">le secteur de la restauration</v>
      </c>
      <c r="J1145" s="5" t="s">
        <v>7749</v>
      </c>
      <c r="K1145" s="5" t="s">
        <v>7750</v>
      </c>
      <c r="L1145" s="4" t="s">
        <v>1312</v>
      </c>
      <c r="M1145" s="4" t="s">
        <v>29</v>
      </c>
      <c r="N1145" s="4" t="s">
        <v>7751</v>
      </c>
      <c r="O1145" s="4" t="s">
        <v>29</v>
      </c>
      <c r="P1145" s="4" t="s">
        <v>7752</v>
      </c>
      <c r="Q1145" s="6"/>
      <c r="R1145" s="6"/>
      <c r="S1145" s="6"/>
      <c r="T1145" s="6"/>
      <c r="U1145" s="6"/>
      <c r="V1145" s="6"/>
      <c r="W1145" s="6"/>
      <c r="X1145" s="6"/>
      <c r="Y1145" s="6"/>
    </row>
    <row r="1146" ht="14.25">
      <c r="B1146" s="4" t="s">
        <v>76</v>
      </c>
      <c r="C1146" s="4" t="s">
        <v>7308</v>
      </c>
      <c r="D1146" s="4" t="s">
        <v>5500</v>
      </c>
      <c r="E1146" s="4" t="s">
        <v>7520</v>
      </c>
      <c r="F1146" s="4" t="s">
        <v>7753</v>
      </c>
      <c r="G1146" s="4">
        <v>200</v>
      </c>
      <c r="H1146" s="4" t="s">
        <v>36</v>
      </c>
      <c r="I1146" s="4" t="str">
        <f>IFERROR(__XLUDF.DUMMYFUNCTION("VLOOKUP(G240,IMPORTRANGE(""https://docs.google.com/spreadsheets/d/1opm6ZNvGZ7KditA9TuJwrZ25eFLfTNIkrNnY6mhV5Eg"",""list!A1:C115""),3,TRUE)"),"le secteur de la restauration")</f>
        <v xml:space="preserve">le secteur de la restauration</v>
      </c>
      <c r="J1146" s="5" t="s">
        <v>7754</v>
      </c>
      <c r="K1146" s="5" t="s">
        <v>7523</v>
      </c>
      <c r="L1146" s="4" t="s">
        <v>83</v>
      </c>
      <c r="M1146" s="4" t="s">
        <v>29</v>
      </c>
      <c r="N1146" s="4" t="s">
        <v>7524</v>
      </c>
      <c r="O1146" s="4" t="s">
        <v>29</v>
      </c>
      <c r="P1146" s="7"/>
      <c r="Q1146" s="6"/>
      <c r="R1146" s="6"/>
      <c r="S1146" s="6"/>
      <c r="T1146" s="6"/>
      <c r="U1146" s="6"/>
      <c r="V1146" s="6"/>
      <c r="W1146" s="6"/>
      <c r="X1146" s="6"/>
      <c r="Y1146" s="6"/>
    </row>
    <row r="1147" ht="14.25">
      <c r="B1147" s="4" t="s">
        <v>579</v>
      </c>
      <c r="C1147" s="4" t="s">
        <v>7755</v>
      </c>
      <c r="D1147" s="4" t="s">
        <v>120</v>
      </c>
      <c r="E1147" s="4" t="s">
        <v>7445</v>
      </c>
      <c r="F1147" s="4" t="s">
        <v>7756</v>
      </c>
      <c r="G1147" s="4">
        <v>110</v>
      </c>
      <c r="H1147" s="4" t="s">
        <v>36</v>
      </c>
      <c r="I1147" s="4" t="str">
        <f>IFERROR(__XLUDF.DUMMYFUNCTION("VLOOKUP(G241,IMPORTRANGE(""https://docs.google.com/spreadsheets/d/1opm6ZNvGZ7KditA9TuJwrZ25eFLfTNIkrNnY6mhV5Eg"",""list!A1:C115""),3,TRUE)"),"le secteur de la restauration")</f>
        <v xml:space="preserve">le secteur de la restauration</v>
      </c>
      <c r="J1147" s="5" t="s">
        <v>7757</v>
      </c>
      <c r="K1147" s="5" t="s">
        <v>7448</v>
      </c>
      <c r="L1147" s="4" t="s">
        <v>39</v>
      </c>
      <c r="M1147" s="4" t="s">
        <v>29</v>
      </c>
      <c r="N1147" s="4" t="s">
        <v>7449</v>
      </c>
      <c r="O1147" s="4" t="s">
        <v>29</v>
      </c>
      <c r="P1147" s="4" t="s">
        <v>7450</v>
      </c>
      <c r="Q1147" s="6"/>
      <c r="R1147" s="6"/>
      <c r="S1147" s="6"/>
      <c r="T1147" s="6"/>
      <c r="U1147" s="6"/>
      <c r="V1147" s="6"/>
      <c r="W1147" s="6"/>
      <c r="X1147" s="6"/>
      <c r="Y1147" s="6"/>
    </row>
    <row r="1148" ht="14.25">
      <c r="B1148" s="4" t="s">
        <v>963</v>
      </c>
      <c r="C1148" s="4" t="s">
        <v>7758</v>
      </c>
      <c r="D1148" s="4" t="s">
        <v>7759</v>
      </c>
      <c r="E1148" s="4" t="s">
        <v>7760</v>
      </c>
      <c r="F1148" s="4" t="s">
        <v>7761</v>
      </c>
      <c r="G1148" s="4">
        <v>120</v>
      </c>
      <c r="H1148" s="4" t="s">
        <v>36</v>
      </c>
      <c r="I1148" s="4" t="str">
        <f>IFERROR(__XLUDF.DUMMYFUNCTION("VLOOKUP(G242,IMPORTRANGE(""https://docs.google.com/spreadsheets/d/1opm6ZNvGZ7KditA9TuJwrZ25eFLfTNIkrNnY6mhV5Eg"",""list!A1:C115""),3,TRUE)"),"le secteur de la restauration")</f>
        <v xml:space="preserve">le secteur de la restauration</v>
      </c>
      <c r="J1148" s="5" t="s">
        <v>7762</v>
      </c>
      <c r="K1148" s="5" t="s">
        <v>7763</v>
      </c>
      <c r="L1148" s="7"/>
      <c r="M1148" s="4" t="s">
        <v>29</v>
      </c>
      <c r="N1148" s="4" t="s">
        <v>7764</v>
      </c>
      <c r="O1148" s="4" t="s">
        <v>2666</v>
      </c>
      <c r="P1148" s="7"/>
      <c r="Q1148" s="6"/>
      <c r="R1148" s="6"/>
      <c r="S1148" s="6"/>
      <c r="T1148" s="6"/>
      <c r="U1148" s="6"/>
      <c r="V1148" s="6"/>
      <c r="W1148" s="6"/>
      <c r="X1148" s="6"/>
      <c r="Y1148" s="6"/>
    </row>
    <row r="1149" ht="14.25">
      <c r="B1149" s="4" t="s">
        <v>3411</v>
      </c>
      <c r="C1149" s="4" t="s">
        <v>7765</v>
      </c>
      <c r="D1149" s="4" t="s">
        <v>7766</v>
      </c>
      <c r="E1149" s="4" t="s">
        <v>7767</v>
      </c>
      <c r="F1149" s="4" t="s">
        <v>7768</v>
      </c>
      <c r="G1149" s="4">
        <v>210</v>
      </c>
      <c r="H1149" s="4" t="s">
        <v>36</v>
      </c>
      <c r="I1149" s="4" t="str">
        <f>IFERROR(__XLUDF.DUMMYFUNCTION("VLOOKUP(G243,IMPORTRANGE(""https://docs.google.com/spreadsheets/d/1opm6ZNvGZ7KditA9TuJwrZ25eFLfTNIkrNnY6mhV5Eg"",""list!A1:C115""),3,TRUE)"),"le secteur de la restauration")</f>
        <v xml:space="preserve">le secteur de la restauration</v>
      </c>
      <c r="J1149" s="5" t="s">
        <v>7769</v>
      </c>
      <c r="K1149" s="5" t="s">
        <v>7770</v>
      </c>
      <c r="L1149" s="4" t="s">
        <v>203</v>
      </c>
      <c r="M1149" s="4" t="s">
        <v>29</v>
      </c>
      <c r="N1149" s="4" t="s">
        <v>7771</v>
      </c>
      <c r="O1149" s="4" t="s">
        <v>29</v>
      </c>
      <c r="P1149" s="4" t="s">
        <v>7772</v>
      </c>
      <c r="Q1149" s="6"/>
      <c r="R1149" s="6"/>
      <c r="S1149" s="6"/>
      <c r="T1149" s="6"/>
      <c r="U1149" s="6"/>
      <c r="V1149" s="6"/>
      <c r="W1149" s="6"/>
      <c r="X1149" s="6"/>
      <c r="Y1149" s="6"/>
    </row>
    <row r="1150" ht="14.25">
      <c r="B1150" s="4" t="s">
        <v>1499</v>
      </c>
      <c r="C1150" s="4" t="s">
        <v>5119</v>
      </c>
      <c r="D1150" s="4" t="s">
        <v>198</v>
      </c>
      <c r="E1150" s="4" t="s">
        <v>3298</v>
      </c>
      <c r="F1150" s="4" t="s">
        <v>5120</v>
      </c>
      <c r="G1150" s="4">
        <v>170</v>
      </c>
      <c r="H1150" s="4" t="s">
        <v>36</v>
      </c>
      <c r="I1150" s="4" t="str">
        <f>IFERROR(__XLUDF.DUMMYFUNCTION("VLOOKUP(G244,IMPORTRANGE(""https://docs.google.com/spreadsheets/d/1opm6ZNvGZ7KditA9TuJwrZ25eFLfTNIkrNnY6mhV5Eg"",""list!A1:C115""),3,TRUE)"),"le secteur de la restauration")</f>
        <v xml:space="preserve">le secteur de la restauration</v>
      </c>
      <c r="J1150" s="5" t="s">
        <v>5121</v>
      </c>
      <c r="K1150" s="5" t="s">
        <v>7773</v>
      </c>
      <c r="L1150" s="4" t="s">
        <v>1826</v>
      </c>
      <c r="M1150" s="4" t="s">
        <v>29</v>
      </c>
      <c r="N1150" s="4" t="s">
        <v>3302</v>
      </c>
      <c r="O1150" s="4" t="s">
        <v>29</v>
      </c>
      <c r="P1150" s="4" t="s">
        <v>3303</v>
      </c>
      <c r="Q1150" s="6"/>
      <c r="R1150" s="6"/>
      <c r="S1150" s="6"/>
      <c r="T1150" s="6"/>
      <c r="U1150" s="6"/>
      <c r="V1150" s="6"/>
      <c r="W1150" s="6"/>
      <c r="X1150" s="6"/>
      <c r="Y1150" s="6"/>
    </row>
    <row r="1151" ht="14.25">
      <c r="B1151" s="4" t="s">
        <v>2462</v>
      </c>
      <c r="C1151" s="4" t="s">
        <v>7774</v>
      </c>
      <c r="D1151" s="4" t="s">
        <v>365</v>
      </c>
      <c r="E1151" s="4" t="s">
        <v>7445</v>
      </c>
      <c r="F1151" s="4" t="s">
        <v>7775</v>
      </c>
      <c r="G1151" s="4">
        <v>110</v>
      </c>
      <c r="H1151" s="4" t="s">
        <v>36</v>
      </c>
      <c r="I1151" s="4" t="str">
        <f>IFERROR(__XLUDF.DUMMYFUNCTION("VLOOKUP(G245,IMPORTRANGE(""https://docs.google.com/spreadsheets/d/1opm6ZNvGZ7KditA9TuJwrZ25eFLfTNIkrNnY6mhV5Eg"",""list!A1:C115""),3,TRUE)"),"le secteur de la restauration")</f>
        <v xml:space="preserve">le secteur de la restauration</v>
      </c>
      <c r="J1151" s="5" t="s">
        <v>7776</v>
      </c>
      <c r="K1151" s="5" t="s">
        <v>7448</v>
      </c>
      <c r="L1151" s="4" t="s">
        <v>39</v>
      </c>
      <c r="M1151" s="4" t="s">
        <v>29</v>
      </c>
      <c r="N1151" s="4" t="s">
        <v>7449</v>
      </c>
      <c r="O1151" s="4" t="s">
        <v>29</v>
      </c>
      <c r="P1151" s="4" t="s">
        <v>7450</v>
      </c>
      <c r="Q1151" s="6"/>
      <c r="R1151" s="6"/>
      <c r="S1151" s="6"/>
      <c r="T1151" s="6"/>
      <c r="U1151" s="6"/>
      <c r="V1151" s="6"/>
      <c r="W1151" s="6"/>
      <c r="X1151" s="6"/>
      <c r="Y1151" s="6"/>
    </row>
    <row r="1152" ht="14.25">
      <c r="B1152" s="4" t="s">
        <v>3540</v>
      </c>
      <c r="C1152" s="4" t="s">
        <v>972</v>
      </c>
      <c r="D1152" s="4" t="s">
        <v>164</v>
      </c>
      <c r="E1152" s="4" t="s">
        <v>7424</v>
      </c>
      <c r="F1152" s="4" t="s">
        <v>7777</v>
      </c>
      <c r="G1152" s="4">
        <v>310</v>
      </c>
      <c r="H1152" s="4" t="s">
        <v>36</v>
      </c>
      <c r="I1152" s="4" t="str">
        <f>IFERROR(__XLUDF.DUMMYFUNCTION("VLOOKUP(G246,IMPORTRANGE(""https://docs.google.com/spreadsheets/d/1opm6ZNvGZ7KditA9TuJwrZ25eFLfTNIkrNnY6mhV5Eg"",""list!A1:C115""),3,TRUE)"),"le secteur de la restauration")</f>
        <v xml:space="preserve">le secteur de la restauration</v>
      </c>
      <c r="J1152" s="5" t="s">
        <v>7778</v>
      </c>
      <c r="K1152" s="5" t="s">
        <v>7427</v>
      </c>
      <c r="L1152" s="7"/>
      <c r="M1152" s="4" t="s">
        <v>29</v>
      </c>
      <c r="N1152" s="4" t="s">
        <v>7428</v>
      </c>
      <c r="O1152" s="4" t="s">
        <v>29</v>
      </c>
      <c r="P1152" s="4" t="s">
        <v>7429</v>
      </c>
      <c r="Q1152" s="6"/>
      <c r="R1152" s="6"/>
      <c r="S1152" s="6"/>
      <c r="T1152" s="6"/>
      <c r="U1152" s="6"/>
      <c r="V1152" s="6"/>
      <c r="W1152" s="6"/>
      <c r="X1152" s="6"/>
      <c r="Y1152" s="6"/>
    </row>
    <row r="1153" ht="14.25">
      <c r="B1153" s="4" t="s">
        <v>7779</v>
      </c>
      <c r="C1153" s="4" t="s">
        <v>2932</v>
      </c>
      <c r="D1153" s="4" t="s">
        <v>172</v>
      </c>
      <c r="E1153" s="4" t="s">
        <v>7780</v>
      </c>
      <c r="F1153" s="4" t="s">
        <v>7781</v>
      </c>
      <c r="G1153" s="4">
        <v>120</v>
      </c>
      <c r="H1153" s="4" t="s">
        <v>36</v>
      </c>
      <c r="I1153" s="4" t="str">
        <f>IFERROR(__XLUDF.DUMMYFUNCTION("VLOOKUP(G247,IMPORTRANGE(""https://docs.google.com/spreadsheets/d/1opm6ZNvGZ7KditA9TuJwrZ25eFLfTNIkrNnY6mhV5Eg"",""list!A1:C115""),3,TRUE)"),"le secteur de la restauration")</f>
        <v xml:space="preserve">le secteur de la restauration</v>
      </c>
      <c r="J1153" s="5" t="s">
        <v>7782</v>
      </c>
      <c r="K1153" s="5" t="s">
        <v>7783</v>
      </c>
      <c r="L1153" s="4" t="s">
        <v>39</v>
      </c>
      <c r="M1153" s="4" t="s">
        <v>29</v>
      </c>
      <c r="N1153" s="4" t="s">
        <v>7784</v>
      </c>
      <c r="O1153" s="4" t="s">
        <v>29</v>
      </c>
      <c r="P1153" s="4" t="s">
        <v>7785</v>
      </c>
      <c r="Q1153" s="6"/>
      <c r="R1153" s="6"/>
      <c r="S1153" s="6"/>
      <c r="T1153" s="6"/>
      <c r="U1153" s="6"/>
      <c r="V1153" s="6"/>
      <c r="W1153" s="6"/>
      <c r="X1153" s="6"/>
      <c r="Y1153" s="6"/>
    </row>
    <row r="1154" ht="14.25">
      <c r="B1154" s="4" t="s">
        <v>206</v>
      </c>
      <c r="C1154" s="4" t="s">
        <v>502</v>
      </c>
      <c r="D1154" s="4" t="s">
        <v>503</v>
      </c>
      <c r="E1154" s="4" t="s">
        <v>504</v>
      </c>
      <c r="F1154" s="4" t="s">
        <v>505</v>
      </c>
      <c r="G1154" s="4">
        <v>63</v>
      </c>
      <c r="H1154" s="4" t="s">
        <v>36</v>
      </c>
      <c r="I1154" s="4" t="str">
        <f>IFERROR(__XLUDF.DUMMYFUNCTION("VLOOKUP(G248,IMPORTRANGE(""https://docs.google.com/spreadsheets/d/1opm6ZNvGZ7KditA9TuJwrZ25eFLfTNIkrNnY6mhV5Eg"",""list!A1:C115""),3,TRUE)"),"le secteur de la restauration")</f>
        <v xml:space="preserve">le secteur de la restauration</v>
      </c>
      <c r="J1154" s="5" t="s">
        <v>506</v>
      </c>
      <c r="K1154" s="5" t="s">
        <v>7786</v>
      </c>
      <c r="L1154" s="7"/>
      <c r="M1154" s="4" t="s">
        <v>29</v>
      </c>
      <c r="N1154" s="4" t="s">
        <v>508</v>
      </c>
      <c r="O1154" s="4" t="s">
        <v>29</v>
      </c>
      <c r="P1154" s="4" t="s">
        <v>509</v>
      </c>
      <c r="Q1154" s="6"/>
      <c r="R1154" s="6"/>
      <c r="S1154" s="6"/>
      <c r="T1154" s="6"/>
      <c r="U1154" s="6"/>
      <c r="V1154" s="6"/>
      <c r="W1154" s="6"/>
      <c r="X1154" s="6"/>
      <c r="Y1154" s="6"/>
    </row>
    <row r="1155" ht="14.25">
      <c r="B1155" s="4" t="s">
        <v>206</v>
      </c>
      <c r="C1155" s="4" t="s">
        <v>7787</v>
      </c>
      <c r="D1155" s="4" t="s">
        <v>247</v>
      </c>
      <c r="E1155" s="4" t="s">
        <v>7595</v>
      </c>
      <c r="F1155" s="4" t="s">
        <v>7788</v>
      </c>
      <c r="G1155" s="4">
        <v>210</v>
      </c>
      <c r="H1155" s="4" t="s">
        <v>36</v>
      </c>
      <c r="I1155" s="4" t="str">
        <f>IFERROR(__XLUDF.DUMMYFUNCTION("VLOOKUP(G249,IMPORTRANGE(""https://docs.google.com/spreadsheets/d/1opm6ZNvGZ7KditA9TuJwrZ25eFLfTNIkrNnY6mhV5Eg"",""list!A1:C115""),3,TRUE)"),"le secteur de la restauration")</f>
        <v xml:space="preserve">le secteur de la restauration</v>
      </c>
      <c r="J1155" s="5" t="s">
        <v>7789</v>
      </c>
      <c r="K1155" s="5" t="s">
        <v>7598</v>
      </c>
      <c r="L1155" s="4" t="s">
        <v>39</v>
      </c>
      <c r="M1155" s="4" t="s">
        <v>29</v>
      </c>
      <c r="N1155" s="4" t="s">
        <v>7599</v>
      </c>
      <c r="O1155" s="4" t="s">
        <v>29</v>
      </c>
      <c r="P1155" s="4" t="s">
        <v>7600</v>
      </c>
      <c r="Q1155" s="6"/>
      <c r="R1155" s="6"/>
      <c r="S1155" s="6"/>
      <c r="T1155" s="6"/>
      <c r="U1155" s="6"/>
      <c r="V1155" s="6"/>
      <c r="W1155" s="6"/>
      <c r="X1155" s="6"/>
      <c r="Y1155" s="6"/>
    </row>
    <row r="1156" ht="14.25">
      <c r="B1156" s="4" t="s">
        <v>1062</v>
      </c>
      <c r="C1156" s="4" t="s">
        <v>7790</v>
      </c>
      <c r="D1156" s="4" t="s">
        <v>7791</v>
      </c>
      <c r="E1156" s="4" t="s">
        <v>7792</v>
      </c>
      <c r="F1156" s="4" t="s">
        <v>7793</v>
      </c>
      <c r="G1156" s="4">
        <v>380</v>
      </c>
      <c r="H1156" s="4" t="s">
        <v>36</v>
      </c>
      <c r="I1156" s="4" t="str">
        <f>IFERROR(__XLUDF.DUMMYFUNCTION("VLOOKUP(G250,IMPORTRANGE(""https://docs.google.com/spreadsheets/d/1opm6ZNvGZ7KditA9TuJwrZ25eFLfTNIkrNnY6mhV5Eg"",""list!A1:C115""),3,TRUE)"),"le secteur de la restauration")</f>
        <v xml:space="preserve">le secteur de la restauration</v>
      </c>
      <c r="J1156" s="5" t="s">
        <v>7794</v>
      </c>
      <c r="K1156" s="5" t="s">
        <v>7795</v>
      </c>
      <c r="L1156" s="4" t="s">
        <v>39</v>
      </c>
      <c r="M1156" s="4" t="s">
        <v>29</v>
      </c>
      <c r="N1156" s="4" t="s">
        <v>7796</v>
      </c>
      <c r="O1156" s="4" t="s">
        <v>29</v>
      </c>
      <c r="P1156" s="7"/>
      <c r="Q1156" s="6"/>
      <c r="R1156" s="6"/>
      <c r="S1156" s="6"/>
      <c r="T1156" s="6"/>
      <c r="U1156" s="6"/>
      <c r="V1156" s="6"/>
      <c r="W1156" s="6"/>
      <c r="X1156" s="6"/>
      <c r="Y1156" s="6"/>
    </row>
    <row r="1157" ht="14.25">
      <c r="B1157" s="4" t="s">
        <v>7797</v>
      </c>
      <c r="C1157" s="4" t="s">
        <v>7798</v>
      </c>
      <c r="D1157" s="4" t="s">
        <v>7799</v>
      </c>
      <c r="E1157" s="4" t="s">
        <v>7800</v>
      </c>
      <c r="F1157" s="4" t="s">
        <v>7801</v>
      </c>
      <c r="G1157" s="4">
        <v>69</v>
      </c>
      <c r="H1157" s="4" t="s">
        <v>36</v>
      </c>
      <c r="I1157" s="4" t="str">
        <f>IFERROR(__XLUDF.DUMMYFUNCTION("VLOOKUP(G251,IMPORTRANGE(""https://docs.google.com/spreadsheets/d/1opm6ZNvGZ7KditA9TuJwrZ25eFLfTNIkrNnY6mhV5Eg"",""list!A1:C115""),3,TRUE)"),"le secteur de la restauration")</f>
        <v xml:space="preserve">le secteur de la restauration</v>
      </c>
      <c r="J1157" s="5" t="s">
        <v>7802</v>
      </c>
      <c r="K1157" s="5" t="s">
        <v>7803</v>
      </c>
      <c r="L1157" s="7"/>
      <c r="M1157" s="4" t="s">
        <v>29</v>
      </c>
      <c r="N1157" s="4" t="s">
        <v>7804</v>
      </c>
      <c r="O1157" s="4" t="s">
        <v>29</v>
      </c>
      <c r="P1157" s="7"/>
      <c r="Q1157" s="6"/>
      <c r="R1157" s="6"/>
      <c r="S1157" s="6"/>
      <c r="T1157" s="6"/>
      <c r="U1157" s="6"/>
      <c r="V1157" s="6"/>
      <c r="W1157" s="6"/>
      <c r="X1157" s="6"/>
      <c r="Y1157" s="6"/>
    </row>
    <row r="1158" ht="14.25">
      <c r="B1158" s="4" t="s">
        <v>1605</v>
      </c>
      <c r="C1158" s="4" t="s">
        <v>7805</v>
      </c>
      <c r="D1158" s="4" t="s">
        <v>7806</v>
      </c>
      <c r="E1158" s="4" t="s">
        <v>7807</v>
      </c>
      <c r="F1158" s="4" t="s">
        <v>7808</v>
      </c>
      <c r="G1158" s="4">
        <v>80</v>
      </c>
      <c r="H1158" s="4" t="s">
        <v>36</v>
      </c>
      <c r="I1158" s="4" t="str">
        <f>IFERROR(__XLUDF.DUMMYFUNCTION("VLOOKUP(G252,IMPORTRANGE(""https://docs.google.com/spreadsheets/d/1opm6ZNvGZ7KditA9TuJwrZ25eFLfTNIkrNnY6mhV5Eg"",""list!A1:C115""),3,TRUE)"),"le secteur de la restauration")</f>
        <v xml:space="preserve">le secteur de la restauration</v>
      </c>
      <c r="J1158" s="5" t="s">
        <v>7809</v>
      </c>
      <c r="K1158" s="5" t="s">
        <v>7810</v>
      </c>
      <c r="L1158" s="4" t="s">
        <v>846</v>
      </c>
      <c r="M1158" s="4" t="s">
        <v>29</v>
      </c>
      <c r="N1158" s="4" t="s">
        <v>7811</v>
      </c>
      <c r="O1158" s="4" t="s">
        <v>29</v>
      </c>
      <c r="P1158" s="4" t="s">
        <v>7812</v>
      </c>
      <c r="Q1158" s="6"/>
      <c r="R1158" s="6"/>
      <c r="S1158" s="6"/>
      <c r="T1158" s="6"/>
      <c r="U1158" s="6"/>
      <c r="V1158" s="6"/>
      <c r="W1158" s="6"/>
      <c r="X1158" s="6"/>
      <c r="Y1158" s="6"/>
    </row>
    <row r="1159" ht="14.25">
      <c r="B1159" s="4" t="s">
        <v>2771</v>
      </c>
      <c r="C1159" s="4" t="s">
        <v>2772</v>
      </c>
      <c r="D1159" s="4" t="s">
        <v>341</v>
      </c>
      <c r="E1159" s="4" t="s">
        <v>2773</v>
      </c>
      <c r="F1159" s="4" t="s">
        <v>2774</v>
      </c>
      <c r="G1159" s="4">
        <v>60</v>
      </c>
      <c r="H1159" s="4" t="s">
        <v>36</v>
      </c>
      <c r="I1159" s="4" t="str">
        <f>IFERROR(__XLUDF.DUMMYFUNCTION("VLOOKUP(G253,IMPORTRANGE(""https://docs.google.com/spreadsheets/d/1opm6ZNvGZ7KditA9TuJwrZ25eFLfTNIkrNnY6mhV5Eg"",""list!A1:C115""),3,TRUE)"),"le secteur de la restauration")</f>
        <v xml:space="preserve">le secteur de la restauration</v>
      </c>
      <c r="J1159" s="5" t="s">
        <v>2775</v>
      </c>
      <c r="K1159" s="5" t="s">
        <v>7813</v>
      </c>
      <c r="L1159" s="4" t="s">
        <v>39</v>
      </c>
      <c r="M1159" s="4" t="s">
        <v>29</v>
      </c>
      <c r="N1159" s="4" t="s">
        <v>67</v>
      </c>
      <c r="O1159" s="4" t="s">
        <v>29</v>
      </c>
      <c r="P1159" s="4" t="s">
        <v>7814</v>
      </c>
      <c r="Q1159" s="6"/>
      <c r="R1159" s="6"/>
      <c r="S1159" s="6"/>
      <c r="T1159" s="6"/>
      <c r="U1159" s="6"/>
      <c r="V1159" s="6"/>
      <c r="W1159" s="6"/>
      <c r="X1159" s="6"/>
      <c r="Y1159" s="6"/>
    </row>
    <row r="1160" ht="14.25">
      <c r="B1160" s="4" t="s">
        <v>7815</v>
      </c>
      <c r="C1160" s="4" t="s">
        <v>7816</v>
      </c>
      <c r="D1160" s="4" t="s">
        <v>172</v>
      </c>
      <c r="E1160" s="4" t="s">
        <v>7817</v>
      </c>
      <c r="F1160" s="4" t="s">
        <v>7818</v>
      </c>
      <c r="G1160" s="4">
        <v>94</v>
      </c>
      <c r="H1160" s="4" t="s">
        <v>36</v>
      </c>
      <c r="I1160" s="4" t="str">
        <f>IFERROR(__XLUDF.DUMMYFUNCTION("VLOOKUP(G254,IMPORTRANGE(""https://docs.google.com/spreadsheets/d/1opm6ZNvGZ7KditA9TuJwrZ25eFLfTNIkrNnY6mhV5Eg"",""list!A1:C115""),3,TRUE)"),"le secteur de la restauration")</f>
        <v xml:space="preserve">le secteur de la restauration</v>
      </c>
      <c r="J1160" s="5" t="s">
        <v>7819</v>
      </c>
      <c r="K1160" s="5" t="s">
        <v>7820</v>
      </c>
      <c r="L1160" s="4" t="s">
        <v>7821</v>
      </c>
      <c r="M1160" s="4" t="s">
        <v>29</v>
      </c>
      <c r="N1160" s="4" t="s">
        <v>7822</v>
      </c>
      <c r="O1160" s="4" t="s">
        <v>29</v>
      </c>
      <c r="P1160" s="4" t="s">
        <v>7823</v>
      </c>
      <c r="Q1160" s="6"/>
      <c r="R1160" s="6"/>
      <c r="S1160" s="6"/>
      <c r="T1160" s="6"/>
      <c r="U1160" s="6"/>
      <c r="V1160" s="6"/>
      <c r="W1160" s="6"/>
      <c r="X1160" s="6"/>
      <c r="Y1160" s="6"/>
    </row>
    <row r="1161" ht="14.25">
      <c r="B1161" s="4" t="s">
        <v>110</v>
      </c>
      <c r="C1161" s="4" t="s">
        <v>7824</v>
      </c>
      <c r="D1161" s="4" t="s">
        <v>112</v>
      </c>
      <c r="E1161" s="4" t="s">
        <v>7684</v>
      </c>
      <c r="F1161" s="4" t="s">
        <v>7825</v>
      </c>
      <c r="G1161" s="4">
        <v>92</v>
      </c>
      <c r="H1161" s="4" t="s">
        <v>36</v>
      </c>
      <c r="I1161" s="4" t="str">
        <f>IFERROR(__XLUDF.DUMMYFUNCTION("VLOOKUP(G255,IMPORTRANGE(""https://docs.google.com/spreadsheets/d/1opm6ZNvGZ7KditA9TuJwrZ25eFLfTNIkrNnY6mhV5Eg"",""list!A1:C115""),3,TRUE)"),"le secteur de la restauration")</f>
        <v xml:space="preserve">le secteur de la restauration</v>
      </c>
      <c r="J1161" s="5" t="s">
        <v>7826</v>
      </c>
      <c r="K1161" s="5" t="s">
        <v>7687</v>
      </c>
      <c r="L1161" s="4" t="s">
        <v>7827</v>
      </c>
      <c r="M1161" s="4" t="s">
        <v>29</v>
      </c>
      <c r="N1161" s="4" t="s">
        <v>7688</v>
      </c>
      <c r="O1161" s="4" t="s">
        <v>29</v>
      </c>
      <c r="P1161" s="4" t="s">
        <v>7689</v>
      </c>
      <c r="Q1161" s="6"/>
      <c r="R1161" s="6"/>
      <c r="S1161" s="6"/>
      <c r="T1161" s="6"/>
      <c r="U1161" s="6"/>
      <c r="V1161" s="6"/>
      <c r="W1161" s="6"/>
      <c r="X1161" s="6"/>
      <c r="Y1161" s="6"/>
    </row>
    <row r="1162" ht="14.25">
      <c r="B1162" s="4" t="s">
        <v>110</v>
      </c>
      <c r="C1162" s="4" t="s">
        <v>2906</v>
      </c>
      <c r="D1162" s="4" t="s">
        <v>1072</v>
      </c>
      <c r="E1162" s="4" t="s">
        <v>762</v>
      </c>
      <c r="F1162" s="4" t="s">
        <v>2907</v>
      </c>
      <c r="G1162" s="4">
        <v>51</v>
      </c>
      <c r="H1162" s="4" t="s">
        <v>36</v>
      </c>
      <c r="I1162" s="4" t="str">
        <f>IFERROR(__XLUDF.DUMMYFUNCTION("VLOOKUP(G256,IMPORTRANGE(""https://docs.google.com/spreadsheets/d/1opm6ZNvGZ7KditA9TuJwrZ25eFLfTNIkrNnY6mhV5Eg"",""list!A1:C115""),3,TRUE)"),"le secteur de la restauration")</f>
        <v xml:space="preserve">le secteur de la restauration</v>
      </c>
      <c r="J1162" s="5" t="s">
        <v>2908</v>
      </c>
      <c r="K1162" s="5" t="s">
        <v>7420</v>
      </c>
      <c r="L1162" s="4" t="s">
        <v>39</v>
      </c>
      <c r="M1162" s="4" t="s">
        <v>29</v>
      </c>
      <c r="N1162" s="4" t="s">
        <v>766</v>
      </c>
      <c r="O1162" s="4" t="s">
        <v>29</v>
      </c>
      <c r="P1162" s="4" t="s">
        <v>7421</v>
      </c>
      <c r="Q1162" s="6"/>
      <c r="R1162" s="6"/>
      <c r="S1162" s="6"/>
      <c r="T1162" s="6"/>
      <c r="U1162" s="6"/>
      <c r="V1162" s="6"/>
      <c r="W1162" s="6"/>
      <c r="X1162" s="6"/>
      <c r="Y1162" s="6"/>
    </row>
    <row r="1163" ht="14.25">
      <c r="B1163" s="4" t="s">
        <v>110</v>
      </c>
      <c r="C1163" s="4" t="s">
        <v>7828</v>
      </c>
      <c r="D1163" s="4" t="s">
        <v>6391</v>
      </c>
      <c r="E1163" s="4" t="s">
        <v>7829</v>
      </c>
      <c r="F1163" s="4" t="s">
        <v>7830</v>
      </c>
      <c r="G1163" s="4">
        <v>110</v>
      </c>
      <c r="H1163" s="4" t="s">
        <v>36</v>
      </c>
      <c r="I1163" s="4" t="str">
        <f>IFERROR(__XLUDF.DUMMYFUNCTION("VLOOKUP(G257,IMPORTRANGE(""https://docs.google.com/spreadsheets/d/1opm6ZNvGZ7KditA9TuJwrZ25eFLfTNIkrNnY6mhV5Eg"",""list!A1:C115""),3,TRUE)"),"le secteur de la restauration")</f>
        <v xml:space="preserve">le secteur de la restauration</v>
      </c>
      <c r="J1163" s="5" t="s">
        <v>7831</v>
      </c>
      <c r="K1163" s="5" t="s">
        <v>7832</v>
      </c>
      <c r="L1163" s="4" t="s">
        <v>5376</v>
      </c>
      <c r="M1163" s="4" t="s">
        <v>29</v>
      </c>
      <c r="N1163" s="4" t="s">
        <v>7833</v>
      </c>
      <c r="O1163" s="4" t="s">
        <v>29</v>
      </c>
      <c r="P1163" s="4" t="s">
        <v>7834</v>
      </c>
      <c r="Q1163" s="6"/>
      <c r="R1163" s="6"/>
      <c r="S1163" s="6"/>
      <c r="T1163" s="6"/>
      <c r="U1163" s="6"/>
      <c r="V1163" s="6"/>
      <c r="W1163" s="6"/>
      <c r="X1163" s="6"/>
      <c r="Y1163" s="6"/>
    </row>
    <row r="1164" ht="14.25">
      <c r="B1164" s="4" t="s">
        <v>330</v>
      </c>
      <c r="C1164" s="4" t="s">
        <v>7835</v>
      </c>
      <c r="D1164" s="4" t="s">
        <v>468</v>
      </c>
      <c r="E1164" s="4" t="s">
        <v>7542</v>
      </c>
      <c r="F1164" s="4" t="s">
        <v>7836</v>
      </c>
      <c r="G1164" s="4">
        <v>180</v>
      </c>
      <c r="H1164" s="4" t="s">
        <v>36</v>
      </c>
      <c r="I1164" s="4" t="str">
        <f>IFERROR(__XLUDF.DUMMYFUNCTION("VLOOKUP(G258,IMPORTRANGE(""https://docs.google.com/spreadsheets/d/1opm6ZNvGZ7KditA9TuJwrZ25eFLfTNIkrNnY6mhV5Eg"",""list!A1:C115""),3,TRUE)"),"le secteur de la restauration")</f>
        <v xml:space="preserve">le secteur de la restauration</v>
      </c>
      <c r="J1164" s="5" t="s">
        <v>7837</v>
      </c>
      <c r="K1164" s="5" t="s">
        <v>7545</v>
      </c>
      <c r="L1164" s="4" t="s">
        <v>39</v>
      </c>
      <c r="M1164" s="4" t="s">
        <v>29</v>
      </c>
      <c r="N1164" s="4" t="s">
        <v>7546</v>
      </c>
      <c r="O1164" s="4" t="s">
        <v>29</v>
      </c>
      <c r="P1164" s="4" t="s">
        <v>7547</v>
      </c>
      <c r="Q1164" s="6"/>
      <c r="R1164" s="6"/>
      <c r="S1164" s="6"/>
      <c r="T1164" s="6"/>
      <c r="U1164" s="6"/>
      <c r="V1164" s="6"/>
      <c r="W1164" s="6"/>
      <c r="X1164" s="6"/>
      <c r="Y1164" s="6"/>
    </row>
    <row r="1165" ht="14.25">
      <c r="B1165" s="4" t="s">
        <v>330</v>
      </c>
      <c r="C1165" s="4" t="s">
        <v>7838</v>
      </c>
      <c r="D1165" s="4" t="s">
        <v>87</v>
      </c>
      <c r="E1165" s="4" t="s">
        <v>7839</v>
      </c>
      <c r="F1165" s="4" t="s">
        <v>7840</v>
      </c>
      <c r="G1165" s="4">
        <v>140</v>
      </c>
      <c r="H1165" s="4" t="s">
        <v>36</v>
      </c>
      <c r="I1165" s="4" t="str">
        <f>IFERROR(__XLUDF.DUMMYFUNCTION("VLOOKUP(G259,IMPORTRANGE(""https://docs.google.com/spreadsheets/d/1opm6ZNvGZ7KditA9TuJwrZ25eFLfTNIkrNnY6mhV5Eg"",""list!A1:C115""),3,TRUE)"),"le secteur de la restauration")</f>
        <v xml:space="preserve">le secteur de la restauration</v>
      </c>
      <c r="J1165" s="5" t="s">
        <v>7841</v>
      </c>
      <c r="K1165" s="5" t="s">
        <v>7842</v>
      </c>
      <c r="L1165" s="7"/>
      <c r="M1165" s="4" t="s">
        <v>29</v>
      </c>
      <c r="N1165" s="7"/>
      <c r="O1165" s="7"/>
      <c r="P1165" s="7"/>
      <c r="Q1165" s="6"/>
      <c r="R1165" s="6"/>
      <c r="S1165" s="6"/>
      <c r="T1165" s="6"/>
      <c r="U1165" s="6"/>
      <c r="V1165" s="6"/>
      <c r="W1165" s="6"/>
      <c r="X1165" s="6"/>
      <c r="Y1165" s="6"/>
    </row>
    <row r="1166" ht="14.25">
      <c r="B1166" s="4" t="s">
        <v>7843</v>
      </c>
      <c r="C1166" s="4" t="s">
        <v>7844</v>
      </c>
      <c r="D1166" s="4" t="s">
        <v>265</v>
      </c>
      <c r="E1166" s="4" t="s">
        <v>7587</v>
      </c>
      <c r="F1166" s="4" t="s">
        <v>7845</v>
      </c>
      <c r="G1166" s="4">
        <v>180</v>
      </c>
      <c r="H1166" s="4" t="s">
        <v>36</v>
      </c>
      <c r="I1166" s="4" t="str">
        <f>IFERROR(__XLUDF.DUMMYFUNCTION("VLOOKUP(G260,IMPORTRANGE(""https://docs.google.com/spreadsheets/d/1opm6ZNvGZ7KditA9TuJwrZ25eFLfTNIkrNnY6mhV5Eg"",""list!A1:C115""),3,TRUE)"),"le secteur de la restauration")</f>
        <v xml:space="preserve">le secteur de la restauration</v>
      </c>
      <c r="J1166" s="5" t="s">
        <v>7846</v>
      </c>
      <c r="K1166" s="5" t="s">
        <v>7590</v>
      </c>
      <c r="L1166" s="4" t="s">
        <v>39</v>
      </c>
      <c r="M1166" s="4" t="s">
        <v>29</v>
      </c>
      <c r="N1166" s="4" t="s">
        <v>7591</v>
      </c>
      <c r="O1166" s="4" t="s">
        <v>29</v>
      </c>
      <c r="P1166" s="4" t="s">
        <v>7592</v>
      </c>
      <c r="Q1166" s="6"/>
      <c r="R1166" s="6"/>
      <c r="S1166" s="6"/>
      <c r="T1166" s="6"/>
      <c r="U1166" s="6"/>
      <c r="V1166" s="6"/>
      <c r="W1166" s="6"/>
      <c r="X1166" s="6"/>
      <c r="Y1166" s="6"/>
    </row>
    <row r="1167" ht="14.25">
      <c r="B1167" s="4" t="s">
        <v>485</v>
      </c>
      <c r="C1167" s="4" t="s">
        <v>3297</v>
      </c>
      <c r="D1167" s="4" t="s">
        <v>426</v>
      </c>
      <c r="E1167" s="4" t="s">
        <v>3298</v>
      </c>
      <c r="F1167" s="4" t="s">
        <v>3299</v>
      </c>
      <c r="G1167" s="4">
        <v>170</v>
      </c>
      <c r="H1167" s="4" t="s">
        <v>36</v>
      </c>
      <c r="I1167" s="4" t="str">
        <f>IFERROR(__XLUDF.DUMMYFUNCTION("VLOOKUP(G261,IMPORTRANGE(""https://docs.google.com/spreadsheets/d/1opm6ZNvGZ7KditA9TuJwrZ25eFLfTNIkrNnY6mhV5Eg"",""list!A1:C115""),3,TRUE)"),"le secteur de la restauration")</f>
        <v xml:space="preserve">le secteur de la restauration</v>
      </c>
      <c r="J1167" s="5" t="s">
        <v>3300</v>
      </c>
      <c r="K1167" s="5" t="s">
        <v>7773</v>
      </c>
      <c r="L1167" s="4" t="s">
        <v>243</v>
      </c>
      <c r="M1167" s="4" t="s">
        <v>29</v>
      </c>
      <c r="N1167" s="4" t="s">
        <v>3302</v>
      </c>
      <c r="O1167" s="4" t="s">
        <v>29</v>
      </c>
      <c r="P1167" s="4" t="s">
        <v>3303</v>
      </c>
      <c r="Q1167" s="6"/>
      <c r="R1167" s="6"/>
      <c r="S1167" s="6"/>
      <c r="T1167" s="6"/>
      <c r="U1167" s="6"/>
      <c r="V1167" s="6"/>
      <c r="W1167" s="6"/>
      <c r="X1167" s="6"/>
      <c r="Y1167" s="6"/>
    </row>
    <row r="1168" ht="14.25">
      <c r="B1168" s="4" t="s">
        <v>1596</v>
      </c>
      <c r="C1168" s="4" t="s">
        <v>7847</v>
      </c>
      <c r="D1168" s="4" t="s">
        <v>7848</v>
      </c>
      <c r="E1168" s="4" t="s">
        <v>7849</v>
      </c>
      <c r="F1168" s="4" t="s">
        <v>7850</v>
      </c>
      <c r="G1168" s="4">
        <v>160</v>
      </c>
      <c r="H1168" s="4" t="s">
        <v>36</v>
      </c>
      <c r="I1168" s="4" t="str">
        <f>IFERROR(__XLUDF.DUMMYFUNCTION("VLOOKUP(G262,IMPORTRANGE(""https://docs.google.com/spreadsheets/d/1opm6ZNvGZ7KditA9TuJwrZ25eFLfTNIkrNnY6mhV5Eg"",""list!A1:C115""),3,TRUE)"),"le secteur de la restauration")</f>
        <v xml:space="preserve">le secteur de la restauration</v>
      </c>
      <c r="J1168" s="5" t="s">
        <v>7851</v>
      </c>
      <c r="K1168" s="5" t="s">
        <v>7852</v>
      </c>
      <c r="L1168" s="4" t="s">
        <v>83</v>
      </c>
      <c r="M1168" s="4" t="s">
        <v>29</v>
      </c>
      <c r="N1168" s="4" t="s">
        <v>7853</v>
      </c>
      <c r="O1168" s="4" t="s">
        <v>29</v>
      </c>
      <c r="P1168" s="7"/>
      <c r="Q1168" s="6"/>
      <c r="R1168" s="6"/>
      <c r="S1168" s="6"/>
      <c r="T1168" s="6"/>
      <c r="U1168" s="6"/>
      <c r="V1168" s="6"/>
      <c r="W1168" s="6"/>
      <c r="X1168" s="6"/>
      <c r="Y1168" s="6"/>
    </row>
    <row r="1169" ht="14.25">
      <c r="B1169" s="4" t="s">
        <v>4236</v>
      </c>
      <c r="C1169" s="4" t="s">
        <v>7854</v>
      </c>
      <c r="D1169" s="4" t="s">
        <v>7855</v>
      </c>
      <c r="E1169" s="4" t="s">
        <v>7636</v>
      </c>
      <c r="F1169" s="4" t="s">
        <v>7856</v>
      </c>
      <c r="G1169" s="4">
        <v>180</v>
      </c>
      <c r="H1169" s="4" t="s">
        <v>36</v>
      </c>
      <c r="I1169" s="4" t="str">
        <f>IFERROR(__XLUDF.DUMMYFUNCTION("VLOOKUP(G263,IMPORTRANGE(""https://docs.google.com/spreadsheets/d/1opm6ZNvGZ7KditA9TuJwrZ25eFLfTNIkrNnY6mhV5Eg"",""list!A1:C115""),3,TRUE)"),"le secteur de la restauration")</f>
        <v xml:space="preserve">le secteur de la restauration</v>
      </c>
      <c r="J1169" s="5" t="s">
        <v>7857</v>
      </c>
      <c r="K1169" s="5" t="s">
        <v>7639</v>
      </c>
      <c r="L1169" s="7"/>
      <c r="M1169" s="4" t="s">
        <v>29</v>
      </c>
      <c r="N1169" s="4" t="s">
        <v>7640</v>
      </c>
      <c r="O1169" s="4" t="s">
        <v>29</v>
      </c>
      <c r="P1169" s="4" t="s">
        <v>7641</v>
      </c>
      <c r="Q1169" s="6"/>
      <c r="R1169" s="6"/>
      <c r="S1169" s="6"/>
      <c r="T1169" s="6"/>
      <c r="U1169" s="6"/>
      <c r="V1169" s="6"/>
      <c r="W1169" s="6"/>
      <c r="X1169" s="6"/>
      <c r="Y1169" s="6"/>
    </row>
    <row r="1170" ht="14.25">
      <c r="B1170" s="4" t="s">
        <v>485</v>
      </c>
      <c r="C1170" s="4" t="s">
        <v>418</v>
      </c>
      <c r="D1170" s="4" t="s">
        <v>1950</v>
      </c>
      <c r="E1170" s="4" t="s">
        <v>7858</v>
      </c>
      <c r="F1170" s="4" t="s">
        <v>7859</v>
      </c>
      <c r="G1170" s="4">
        <v>220</v>
      </c>
      <c r="H1170" s="4" t="s">
        <v>36</v>
      </c>
      <c r="I1170" s="4" t="str">
        <f>IFERROR(__XLUDF.DUMMYFUNCTION("VLOOKUP(G264,IMPORTRANGE(""https://docs.google.com/spreadsheets/d/1opm6ZNvGZ7KditA9TuJwrZ25eFLfTNIkrNnY6mhV5Eg"",""list!A1:C115""),3,TRUE)"),"le secteur de la restauration")</f>
        <v xml:space="preserve">le secteur de la restauration</v>
      </c>
      <c r="J1170" s="5" t="s">
        <v>7860</v>
      </c>
      <c r="K1170" s="5" t="s">
        <v>7861</v>
      </c>
      <c r="L1170" s="4" t="s">
        <v>185</v>
      </c>
      <c r="M1170" s="4" t="s">
        <v>29</v>
      </c>
      <c r="N1170" s="4" t="s">
        <v>1283</v>
      </c>
      <c r="O1170" s="4" t="s">
        <v>29</v>
      </c>
      <c r="P1170" s="4" t="s">
        <v>7862</v>
      </c>
      <c r="Q1170" s="6"/>
      <c r="R1170" s="6"/>
      <c r="S1170" s="6"/>
      <c r="T1170" s="6"/>
      <c r="U1170" s="6"/>
      <c r="V1170" s="6"/>
      <c r="W1170" s="6"/>
      <c r="X1170" s="6"/>
      <c r="Y1170" s="6"/>
    </row>
    <row r="1171" ht="14.25">
      <c r="B1171" s="4" t="s">
        <v>1215</v>
      </c>
      <c r="C1171" s="4" t="s">
        <v>7863</v>
      </c>
      <c r="D1171" s="4" t="s">
        <v>7864</v>
      </c>
      <c r="E1171" s="4" t="s">
        <v>7865</v>
      </c>
      <c r="F1171" s="4" t="s">
        <v>7866</v>
      </c>
      <c r="G1171" s="4">
        <v>98</v>
      </c>
      <c r="H1171" s="4" t="s">
        <v>36</v>
      </c>
      <c r="I1171" s="4" t="str">
        <f>IFERROR(__XLUDF.DUMMYFUNCTION("VLOOKUP(G265,IMPORTRANGE(""https://docs.google.com/spreadsheets/d/1opm6ZNvGZ7KditA9TuJwrZ25eFLfTNIkrNnY6mhV5Eg"",""list!A1:C115""),3,TRUE)"),"le secteur de la restauration")</f>
        <v xml:space="preserve">le secteur de la restauration</v>
      </c>
      <c r="J1171" s="5" t="s">
        <v>7867</v>
      </c>
      <c r="K1171" s="5" t="s">
        <v>7868</v>
      </c>
      <c r="L1171" s="4" t="s">
        <v>6603</v>
      </c>
      <c r="M1171" s="4" t="s">
        <v>29</v>
      </c>
      <c r="N1171" s="4" t="s">
        <v>7869</v>
      </c>
      <c r="O1171" s="4" t="s">
        <v>29</v>
      </c>
      <c r="P1171" s="4" t="s">
        <v>7870</v>
      </c>
      <c r="Q1171" s="6"/>
      <c r="R1171" s="6"/>
      <c r="S1171" s="6"/>
      <c r="T1171" s="6"/>
      <c r="U1171" s="6"/>
      <c r="V1171" s="6"/>
      <c r="W1171" s="6"/>
      <c r="X1171" s="6"/>
      <c r="Y1171" s="6"/>
    </row>
    <row r="1172" ht="14.25">
      <c r="B1172" s="4" t="s">
        <v>442</v>
      </c>
      <c r="C1172" s="4" t="s">
        <v>7871</v>
      </c>
      <c r="D1172" s="4" t="s">
        <v>120</v>
      </c>
      <c r="E1172" s="4" t="s">
        <v>7872</v>
      </c>
      <c r="F1172" s="4" t="s">
        <v>7873</v>
      </c>
      <c r="G1172" s="4">
        <v>110</v>
      </c>
      <c r="H1172" s="4" t="s">
        <v>36</v>
      </c>
      <c r="I1172" s="4" t="str">
        <f>IFERROR(__XLUDF.DUMMYFUNCTION("VLOOKUP(G266,IMPORTRANGE(""https://docs.google.com/spreadsheets/d/1opm6ZNvGZ7KditA9TuJwrZ25eFLfTNIkrNnY6mhV5Eg"",""list!A1:C115""),3,TRUE)"),"le secteur de la restauration")</f>
        <v xml:space="preserve">le secteur de la restauration</v>
      </c>
      <c r="J1172" s="5" t="s">
        <v>7874</v>
      </c>
      <c r="K1172" s="5" t="s">
        <v>7875</v>
      </c>
      <c r="L1172" s="4" t="s">
        <v>39</v>
      </c>
      <c r="M1172" s="4" t="s">
        <v>29</v>
      </c>
      <c r="N1172" s="4" t="s">
        <v>766</v>
      </c>
      <c r="O1172" s="4" t="s">
        <v>29</v>
      </c>
      <c r="P1172" s="4" t="s">
        <v>7876</v>
      </c>
      <c r="Q1172" s="6"/>
      <c r="R1172" s="6"/>
      <c r="S1172" s="6"/>
      <c r="T1172" s="6"/>
      <c r="U1172" s="6"/>
      <c r="V1172" s="6"/>
      <c r="W1172" s="6"/>
      <c r="X1172" s="6"/>
      <c r="Y1172" s="6"/>
    </row>
    <row r="1173" ht="14.25">
      <c r="B1173" s="4" t="s">
        <v>7877</v>
      </c>
      <c r="C1173" s="4" t="s">
        <v>7878</v>
      </c>
      <c r="D1173" s="4" t="s">
        <v>1130</v>
      </c>
      <c r="E1173" s="4" t="s">
        <v>7879</v>
      </c>
      <c r="F1173" s="4" t="s">
        <v>7880</v>
      </c>
      <c r="G1173" s="4">
        <v>110</v>
      </c>
      <c r="H1173" s="4" t="s">
        <v>36</v>
      </c>
      <c r="I1173" s="4" t="str">
        <f>IFERROR(__XLUDF.DUMMYFUNCTION("VLOOKUP(G267,IMPORTRANGE(""https://docs.google.com/spreadsheets/d/1opm6ZNvGZ7KditA9TuJwrZ25eFLfTNIkrNnY6mhV5Eg"",""list!A1:C115""),3,TRUE)"),"le secteur de la restauration")</f>
        <v xml:space="preserve">le secteur de la restauration</v>
      </c>
      <c r="J1173" s="5" t="s">
        <v>7881</v>
      </c>
      <c r="K1173" s="5" t="s">
        <v>7882</v>
      </c>
      <c r="L1173" s="4" t="s">
        <v>7883</v>
      </c>
      <c r="M1173" s="4" t="s">
        <v>29</v>
      </c>
      <c r="N1173" s="4" t="s">
        <v>7884</v>
      </c>
      <c r="O1173" s="4" t="s">
        <v>29</v>
      </c>
      <c r="P1173" s="4" t="s">
        <v>7885</v>
      </c>
      <c r="Q1173" s="6"/>
      <c r="R1173" s="6"/>
      <c r="S1173" s="6"/>
      <c r="T1173" s="6"/>
      <c r="U1173" s="6"/>
      <c r="V1173" s="6"/>
      <c r="W1173" s="6"/>
      <c r="X1173" s="6"/>
      <c r="Y1173" s="6"/>
    </row>
    <row r="1174" ht="14.25">
      <c r="B1174" s="4" t="s">
        <v>76</v>
      </c>
      <c r="C1174" s="4" t="s">
        <v>1049</v>
      </c>
      <c r="D1174" s="4" t="s">
        <v>172</v>
      </c>
      <c r="E1174" s="4" t="s">
        <v>1050</v>
      </c>
      <c r="F1174" s="4" t="s">
        <v>1051</v>
      </c>
      <c r="G1174" s="4">
        <v>54</v>
      </c>
      <c r="H1174" s="4" t="s">
        <v>36</v>
      </c>
      <c r="I1174" s="4" t="str">
        <f>IFERROR(__XLUDF.DUMMYFUNCTION("VLOOKUP(G268,IMPORTRANGE(""https://docs.google.com/spreadsheets/d/1opm6ZNvGZ7KditA9TuJwrZ25eFLfTNIkrNnY6mhV5Eg"",""list!A1:C115""),3,TRUE)"),"le secteur de la restauration")</f>
        <v xml:space="preserve">le secteur de la restauration</v>
      </c>
      <c r="J1174" s="5" t="s">
        <v>1052</v>
      </c>
      <c r="K1174" s="5" t="s">
        <v>7886</v>
      </c>
      <c r="L1174" s="4" t="s">
        <v>39</v>
      </c>
      <c r="M1174" s="4" t="s">
        <v>29</v>
      </c>
      <c r="N1174" s="4" t="s">
        <v>1054</v>
      </c>
      <c r="O1174" s="4" t="s">
        <v>29</v>
      </c>
      <c r="P1174" s="7"/>
      <c r="Q1174" s="6"/>
      <c r="R1174" s="6"/>
      <c r="S1174" s="6"/>
      <c r="T1174" s="6"/>
      <c r="U1174" s="6"/>
      <c r="V1174" s="6"/>
      <c r="W1174" s="6"/>
      <c r="X1174" s="6"/>
      <c r="Y1174" s="6"/>
    </row>
    <row r="1175" ht="14.25">
      <c r="B1175" s="4" t="s">
        <v>5252</v>
      </c>
      <c r="C1175" s="4" t="s">
        <v>7887</v>
      </c>
      <c r="D1175" s="4" t="s">
        <v>7888</v>
      </c>
      <c r="E1175" s="4" t="s">
        <v>7792</v>
      </c>
      <c r="F1175" s="4" t="s">
        <v>7889</v>
      </c>
      <c r="G1175" s="4">
        <v>380</v>
      </c>
      <c r="H1175" s="4" t="s">
        <v>36</v>
      </c>
      <c r="I1175" s="4" t="str">
        <f>IFERROR(__XLUDF.DUMMYFUNCTION("VLOOKUP(G269,IMPORTRANGE(""https://docs.google.com/spreadsheets/d/1opm6ZNvGZ7KditA9TuJwrZ25eFLfTNIkrNnY6mhV5Eg"",""list!A1:C115""),3,TRUE)"),"le secteur de la restauration")</f>
        <v xml:space="preserve">le secteur de la restauration</v>
      </c>
      <c r="J1175" s="5" t="s">
        <v>7890</v>
      </c>
      <c r="K1175" s="5" t="s">
        <v>7795</v>
      </c>
      <c r="L1175" s="4" t="s">
        <v>7891</v>
      </c>
      <c r="M1175" s="4" t="s">
        <v>29</v>
      </c>
      <c r="N1175" s="4" t="s">
        <v>7796</v>
      </c>
      <c r="O1175" s="4" t="s">
        <v>29</v>
      </c>
      <c r="P1175" s="7"/>
      <c r="Q1175" s="6"/>
      <c r="R1175" s="6"/>
      <c r="S1175" s="6"/>
      <c r="T1175" s="6"/>
      <c r="U1175" s="6"/>
      <c r="V1175" s="6"/>
      <c r="W1175" s="6"/>
      <c r="X1175" s="6"/>
      <c r="Y1175" s="6"/>
    </row>
    <row r="1176" ht="14.25">
      <c r="B1176" s="4" t="s">
        <v>963</v>
      </c>
      <c r="C1176" s="4" t="s">
        <v>7892</v>
      </c>
      <c r="D1176" s="4" t="s">
        <v>7893</v>
      </c>
      <c r="E1176" s="4" t="s">
        <v>7644</v>
      </c>
      <c r="F1176" s="4" t="s">
        <v>7894</v>
      </c>
      <c r="G1176" s="4">
        <v>330</v>
      </c>
      <c r="H1176" s="4" t="s">
        <v>36</v>
      </c>
      <c r="I1176" s="4" t="str">
        <f>IFERROR(__XLUDF.DUMMYFUNCTION("VLOOKUP(G270,IMPORTRANGE(""https://docs.google.com/spreadsheets/d/1opm6ZNvGZ7KditA9TuJwrZ25eFLfTNIkrNnY6mhV5Eg"",""list!A1:C115""),3,TRUE)"),"le secteur de la restauration")</f>
        <v xml:space="preserve">le secteur de la restauration</v>
      </c>
      <c r="J1176" s="5" t="s">
        <v>7895</v>
      </c>
      <c r="K1176" s="5" t="s">
        <v>7647</v>
      </c>
      <c r="L1176" s="4" t="s">
        <v>7896</v>
      </c>
      <c r="M1176" s="4" t="s">
        <v>29</v>
      </c>
      <c r="N1176" s="4" t="s">
        <v>7648</v>
      </c>
      <c r="O1176" s="4" t="s">
        <v>29</v>
      </c>
      <c r="P1176" s="4" t="s">
        <v>7649</v>
      </c>
      <c r="Q1176" s="6"/>
      <c r="R1176" s="6"/>
      <c r="S1176" s="6"/>
      <c r="T1176" s="6"/>
      <c r="U1176" s="6"/>
      <c r="V1176" s="6"/>
      <c r="W1176" s="6"/>
      <c r="X1176" s="6"/>
      <c r="Y1176" s="6"/>
    </row>
    <row r="1177" ht="14.25">
      <c r="B1177" s="4" t="s">
        <v>7897</v>
      </c>
      <c r="C1177" s="4" t="s">
        <v>7898</v>
      </c>
      <c r="D1177" s="4" t="s">
        <v>172</v>
      </c>
      <c r="E1177" s="4" t="s">
        <v>7740</v>
      </c>
      <c r="F1177" s="4" t="s">
        <v>7899</v>
      </c>
      <c r="G1177" s="4">
        <v>58</v>
      </c>
      <c r="H1177" s="4" t="s">
        <v>36</v>
      </c>
      <c r="I1177" s="4" t="str">
        <f>IFERROR(__XLUDF.DUMMYFUNCTION("VLOOKUP(G271,IMPORTRANGE(""https://docs.google.com/spreadsheets/d/1opm6ZNvGZ7KditA9TuJwrZ25eFLfTNIkrNnY6mhV5Eg"",""list!A1:C115""),3,TRUE)"),"le secteur de la restauration")</f>
        <v xml:space="preserve">le secteur de la restauration</v>
      </c>
      <c r="J1177" s="5" t="s">
        <v>7900</v>
      </c>
      <c r="K1177" s="5" t="s">
        <v>7743</v>
      </c>
      <c r="L1177" s="4" t="s">
        <v>1507</v>
      </c>
      <c r="M1177" s="4" t="s">
        <v>29</v>
      </c>
      <c r="N1177" s="4" t="s">
        <v>7744</v>
      </c>
      <c r="O1177" s="4" t="s">
        <v>29</v>
      </c>
      <c r="P1177" s="7"/>
      <c r="Q1177" s="6"/>
      <c r="R1177" s="6"/>
      <c r="S1177" s="6"/>
      <c r="T1177" s="6"/>
      <c r="U1177" s="6"/>
      <c r="V1177" s="6"/>
      <c r="W1177" s="6"/>
      <c r="X1177" s="6"/>
      <c r="Y1177" s="6"/>
    </row>
    <row r="1178" ht="14.25">
      <c r="B1178" s="4" t="s">
        <v>7901</v>
      </c>
      <c r="C1178" s="4" t="s">
        <v>7902</v>
      </c>
      <c r="D1178" s="4" t="s">
        <v>7903</v>
      </c>
      <c r="E1178" s="4" t="s">
        <v>7792</v>
      </c>
      <c r="F1178" s="4" t="s">
        <v>7904</v>
      </c>
      <c r="G1178" s="4">
        <v>380</v>
      </c>
      <c r="H1178" s="4" t="s">
        <v>36</v>
      </c>
      <c r="I1178" s="4" t="str">
        <f>IFERROR(__XLUDF.DUMMYFUNCTION("VLOOKUP(G272,IMPORTRANGE(""https://docs.google.com/spreadsheets/d/1opm6ZNvGZ7KditA9TuJwrZ25eFLfTNIkrNnY6mhV5Eg"",""list!A1:C115""),3,TRUE)"),"le secteur de la restauration")</f>
        <v xml:space="preserve">le secteur de la restauration</v>
      </c>
      <c r="J1178" s="5" t="s">
        <v>7905</v>
      </c>
      <c r="K1178" s="5" t="s">
        <v>7795</v>
      </c>
      <c r="L1178" s="7"/>
      <c r="M1178" s="4" t="s">
        <v>29</v>
      </c>
      <c r="N1178" s="4" t="s">
        <v>7796</v>
      </c>
      <c r="O1178" s="4" t="s">
        <v>29</v>
      </c>
      <c r="P1178" s="7"/>
      <c r="Q1178" s="6"/>
      <c r="R1178" s="6"/>
      <c r="S1178" s="6"/>
      <c r="T1178" s="6"/>
      <c r="U1178" s="6"/>
      <c r="V1178" s="6"/>
      <c r="W1178" s="6"/>
      <c r="X1178" s="6"/>
      <c r="Y1178" s="6"/>
    </row>
    <row r="1179" ht="14.25">
      <c r="B1179" s="4" t="s">
        <v>255</v>
      </c>
      <c r="C1179" s="4" t="s">
        <v>3027</v>
      </c>
      <c r="D1179" s="4" t="s">
        <v>1240</v>
      </c>
      <c r="E1179" s="4" t="s">
        <v>504</v>
      </c>
      <c r="F1179" s="4" t="s">
        <v>3028</v>
      </c>
      <c r="G1179" s="4">
        <v>63</v>
      </c>
      <c r="H1179" s="4" t="s">
        <v>36</v>
      </c>
      <c r="I1179" s="4" t="str">
        <f>IFERROR(__XLUDF.DUMMYFUNCTION("VLOOKUP(G273,IMPORTRANGE(""https://docs.google.com/spreadsheets/d/1opm6ZNvGZ7KditA9TuJwrZ25eFLfTNIkrNnY6mhV5Eg"",""list!A1:C115""),3,TRUE)"),"le secteur de la restauration")</f>
        <v xml:space="preserve">le secteur de la restauration</v>
      </c>
      <c r="J1179" s="5" t="s">
        <v>3029</v>
      </c>
      <c r="K1179" s="5" t="s">
        <v>7786</v>
      </c>
      <c r="L1179" s="7"/>
      <c r="M1179" s="4" t="s">
        <v>29</v>
      </c>
      <c r="N1179" s="4" t="s">
        <v>508</v>
      </c>
      <c r="O1179" s="4" t="s">
        <v>29</v>
      </c>
      <c r="P1179" s="4" t="s">
        <v>509</v>
      </c>
      <c r="Q1179" s="6"/>
      <c r="R1179" s="6"/>
      <c r="S1179" s="6"/>
      <c r="T1179" s="6"/>
      <c r="U1179" s="6"/>
      <c r="V1179" s="6"/>
      <c r="W1179" s="6"/>
      <c r="X1179" s="6"/>
      <c r="Y1179" s="6"/>
    </row>
    <row r="1180" ht="14.25">
      <c r="B1180" s="4" t="s">
        <v>7739</v>
      </c>
      <c r="C1180" s="4" t="s">
        <v>1238</v>
      </c>
      <c r="D1180" s="4" t="s">
        <v>341</v>
      </c>
      <c r="E1180" s="4" t="s">
        <v>7740</v>
      </c>
      <c r="F1180" s="4" t="s">
        <v>7906</v>
      </c>
      <c r="G1180" s="4">
        <v>58</v>
      </c>
      <c r="H1180" s="4" t="s">
        <v>36</v>
      </c>
      <c r="I1180" s="4" t="str">
        <f>IFERROR(__XLUDF.DUMMYFUNCTION("VLOOKUP(G274,IMPORTRANGE(""https://docs.google.com/spreadsheets/d/1opm6ZNvGZ7KditA9TuJwrZ25eFLfTNIkrNnY6mhV5Eg"",""list!A1:C115""),3,TRUE)"),"le secteur de la restauration")</f>
        <v xml:space="preserve">le secteur de la restauration</v>
      </c>
      <c r="J1180" s="5" t="s">
        <v>7907</v>
      </c>
      <c r="K1180" s="5" t="s">
        <v>7743</v>
      </c>
      <c r="L1180" s="4" t="s">
        <v>185</v>
      </c>
      <c r="M1180" s="4" t="s">
        <v>29</v>
      </c>
      <c r="N1180" s="4" t="s">
        <v>7744</v>
      </c>
      <c r="O1180" s="4" t="s">
        <v>29</v>
      </c>
      <c r="P1180" s="7"/>
      <c r="Q1180" s="6"/>
      <c r="R1180" s="6"/>
      <c r="S1180" s="6"/>
      <c r="T1180" s="6"/>
      <c r="U1180" s="6"/>
      <c r="V1180" s="6"/>
      <c r="W1180" s="6"/>
      <c r="X1180" s="6"/>
      <c r="Y1180" s="6"/>
    </row>
    <row r="1181" ht="14.25">
      <c r="B1181" s="4" t="s">
        <v>7908</v>
      </c>
      <c r="C1181" s="4" t="s">
        <v>7909</v>
      </c>
      <c r="D1181" s="4" t="s">
        <v>87</v>
      </c>
      <c r="E1181" s="4" t="s">
        <v>7910</v>
      </c>
      <c r="F1181" s="4" t="s">
        <v>7911</v>
      </c>
      <c r="G1181" s="4">
        <v>180</v>
      </c>
      <c r="H1181" s="4" t="s">
        <v>36</v>
      </c>
      <c r="I1181" s="4" t="str">
        <f>IFERROR(__XLUDF.DUMMYFUNCTION("VLOOKUP(G275,IMPORTRANGE(""https://docs.google.com/spreadsheets/d/1opm6ZNvGZ7KditA9TuJwrZ25eFLfTNIkrNnY6mhV5Eg"",""list!A1:C115""),3,TRUE)"),"le secteur de la restauration")</f>
        <v xml:space="preserve">le secteur de la restauration</v>
      </c>
      <c r="J1181" s="5" t="s">
        <v>7912</v>
      </c>
      <c r="K1181" s="5" t="s">
        <v>7913</v>
      </c>
      <c r="L1181" s="4" t="s">
        <v>39</v>
      </c>
      <c r="M1181" s="4" t="s">
        <v>29</v>
      </c>
      <c r="N1181" s="4" t="s">
        <v>67</v>
      </c>
      <c r="O1181" s="4" t="s">
        <v>29</v>
      </c>
      <c r="P1181" s="7"/>
      <c r="Q1181" s="6"/>
      <c r="R1181" s="6"/>
      <c r="S1181" s="6"/>
      <c r="T1181" s="6"/>
      <c r="U1181" s="6"/>
      <c r="V1181" s="6"/>
      <c r="W1181" s="6"/>
      <c r="X1181" s="6"/>
      <c r="Y1181" s="6"/>
    </row>
    <row r="1182" ht="14.25">
      <c r="B1182" s="4" t="s">
        <v>7914</v>
      </c>
      <c r="C1182" s="4" t="s">
        <v>7915</v>
      </c>
      <c r="D1182" s="4" t="s">
        <v>7916</v>
      </c>
      <c r="E1182" s="4" t="s">
        <v>7610</v>
      </c>
      <c r="F1182" s="4" t="s">
        <v>7917</v>
      </c>
      <c r="G1182" s="4">
        <v>180</v>
      </c>
      <c r="H1182" s="4" t="s">
        <v>36</v>
      </c>
      <c r="I1182" s="4" t="str">
        <f>IFERROR(__XLUDF.DUMMYFUNCTION("VLOOKUP(G276,IMPORTRANGE(""https://docs.google.com/spreadsheets/d/1opm6ZNvGZ7KditA9TuJwrZ25eFLfTNIkrNnY6mhV5Eg"",""list!A1:C115""),3,TRUE)"),"le secteur de la restauration")</f>
        <v xml:space="preserve">le secteur de la restauration</v>
      </c>
      <c r="J1182" s="5" t="s">
        <v>7918</v>
      </c>
      <c r="K1182" s="5" t="s">
        <v>7613</v>
      </c>
      <c r="L1182" s="4" t="s">
        <v>1312</v>
      </c>
      <c r="M1182" s="4" t="s">
        <v>29</v>
      </c>
      <c r="N1182" s="4" t="s">
        <v>1313</v>
      </c>
      <c r="O1182" s="4" t="s">
        <v>29</v>
      </c>
      <c r="P1182" s="4" t="s">
        <v>7614</v>
      </c>
      <c r="Q1182" s="6"/>
      <c r="R1182" s="6"/>
      <c r="S1182" s="6"/>
      <c r="T1182" s="6"/>
      <c r="U1182" s="6"/>
      <c r="V1182" s="6"/>
      <c r="W1182" s="6"/>
      <c r="X1182" s="6"/>
      <c r="Y1182" s="6"/>
    </row>
    <row r="1183" ht="14.25">
      <c r="B1183" s="4" t="s">
        <v>5671</v>
      </c>
      <c r="C1183" s="4" t="s">
        <v>5123</v>
      </c>
      <c r="D1183" s="4" t="s">
        <v>2645</v>
      </c>
      <c r="E1183" s="4" t="s">
        <v>7919</v>
      </c>
      <c r="F1183" s="4" t="s">
        <v>7920</v>
      </c>
      <c r="G1183" s="4">
        <v>81</v>
      </c>
      <c r="H1183" s="4" t="s">
        <v>36</v>
      </c>
      <c r="I1183" s="4" t="str">
        <f>IFERROR(__XLUDF.DUMMYFUNCTION("VLOOKUP(G277,IMPORTRANGE(""https://docs.google.com/spreadsheets/d/1opm6ZNvGZ7KditA9TuJwrZ25eFLfTNIkrNnY6mhV5Eg"",""list!A1:C115""),3,TRUE)"),"le secteur de la restauration")</f>
        <v xml:space="preserve">le secteur de la restauration</v>
      </c>
      <c r="J1183" s="5" t="s">
        <v>7921</v>
      </c>
      <c r="K1183" s="5" t="s">
        <v>7922</v>
      </c>
      <c r="L1183" s="4" t="s">
        <v>39</v>
      </c>
      <c r="M1183" s="4" t="s">
        <v>29</v>
      </c>
      <c r="N1183" s="4" t="s">
        <v>7923</v>
      </c>
      <c r="O1183" s="4" t="s">
        <v>7702</v>
      </c>
      <c r="P1183" s="4" t="s">
        <v>7924</v>
      </c>
      <c r="Q1183" s="6"/>
      <c r="R1183" s="6"/>
      <c r="S1183" s="6"/>
      <c r="T1183" s="6"/>
      <c r="U1183" s="6"/>
      <c r="V1183" s="6"/>
      <c r="W1183" s="6"/>
      <c r="X1183" s="6"/>
      <c r="Y1183" s="6"/>
    </row>
    <row r="1184" ht="14.25">
      <c r="B1184" s="4" t="s">
        <v>7925</v>
      </c>
      <c r="C1184" s="4" t="s">
        <v>7926</v>
      </c>
      <c r="D1184" s="4" t="s">
        <v>172</v>
      </c>
      <c r="E1184" s="4" t="s">
        <v>7927</v>
      </c>
      <c r="F1184" s="4" t="s">
        <v>7928</v>
      </c>
      <c r="G1184" s="4">
        <v>75</v>
      </c>
      <c r="H1184" s="4" t="s">
        <v>36</v>
      </c>
      <c r="I1184" s="4" t="str">
        <f>IFERROR(__XLUDF.DUMMYFUNCTION("VLOOKUP(G278,IMPORTRANGE(""https://docs.google.com/spreadsheets/d/1opm6ZNvGZ7KditA9TuJwrZ25eFLfTNIkrNnY6mhV5Eg"",""list!A1:C115""),3,TRUE)"),"le secteur de la restauration")</f>
        <v xml:space="preserve">le secteur de la restauration</v>
      </c>
      <c r="J1184" s="5" t="s">
        <v>7929</v>
      </c>
      <c r="K1184" s="5" t="s">
        <v>7930</v>
      </c>
      <c r="L1184" s="4" t="s">
        <v>39</v>
      </c>
      <c r="M1184" s="4" t="s">
        <v>29</v>
      </c>
      <c r="N1184" s="4" t="s">
        <v>67</v>
      </c>
      <c r="O1184" s="4" t="s">
        <v>29</v>
      </c>
      <c r="P1184" s="4" t="s">
        <v>7931</v>
      </c>
      <c r="Q1184" s="6"/>
      <c r="R1184" s="6"/>
      <c r="S1184" s="6"/>
      <c r="T1184" s="6"/>
      <c r="U1184" s="6"/>
      <c r="V1184" s="6"/>
      <c r="W1184" s="6"/>
      <c r="X1184" s="6"/>
      <c r="Y1184" s="6"/>
    </row>
    <row r="1185" ht="14.25">
      <c r="B1185" s="4" t="s">
        <v>6356</v>
      </c>
      <c r="C1185" s="4" t="s">
        <v>7932</v>
      </c>
      <c r="D1185" s="4" t="s">
        <v>1950</v>
      </c>
      <c r="E1185" s="4" t="s">
        <v>7858</v>
      </c>
      <c r="F1185" s="4" t="s">
        <v>7933</v>
      </c>
      <c r="G1185" s="4">
        <v>220</v>
      </c>
      <c r="H1185" s="4" t="s">
        <v>36</v>
      </c>
      <c r="I1185" s="4" t="str">
        <f>IFERROR(__XLUDF.DUMMYFUNCTION("VLOOKUP(G279,IMPORTRANGE(""https://docs.google.com/spreadsheets/d/1opm6ZNvGZ7KditA9TuJwrZ25eFLfTNIkrNnY6mhV5Eg"",""list!A1:C115""),3,TRUE)"),"le secteur de la restauration")</f>
        <v xml:space="preserve">le secteur de la restauration</v>
      </c>
      <c r="J1185" s="5" t="s">
        <v>7934</v>
      </c>
      <c r="K1185" s="5" t="s">
        <v>7861</v>
      </c>
      <c r="L1185" s="4" t="s">
        <v>185</v>
      </c>
      <c r="M1185" s="4" t="s">
        <v>29</v>
      </c>
      <c r="N1185" s="4" t="s">
        <v>1283</v>
      </c>
      <c r="O1185" s="4" t="s">
        <v>29</v>
      </c>
      <c r="P1185" s="4" t="s">
        <v>7862</v>
      </c>
      <c r="Q1185" s="6"/>
      <c r="R1185" s="6"/>
      <c r="S1185" s="6"/>
      <c r="T1185" s="6"/>
      <c r="U1185" s="6"/>
      <c r="V1185" s="6"/>
      <c r="W1185" s="6"/>
      <c r="X1185" s="6"/>
      <c r="Y1185" s="6"/>
    </row>
    <row r="1186" ht="14.25">
      <c r="B1186" s="4" t="s">
        <v>7935</v>
      </c>
      <c r="C1186" s="4" t="s">
        <v>7936</v>
      </c>
      <c r="D1186" s="4" t="s">
        <v>172</v>
      </c>
      <c r="E1186" s="4" t="s">
        <v>7937</v>
      </c>
      <c r="F1186" s="4" t="s">
        <v>7938</v>
      </c>
      <c r="G1186" s="4">
        <v>220</v>
      </c>
      <c r="H1186" s="4" t="s">
        <v>36</v>
      </c>
      <c r="I1186" s="4" t="str">
        <f>IFERROR(__XLUDF.DUMMYFUNCTION("VLOOKUP(G280,IMPORTRANGE(""https://docs.google.com/spreadsheets/d/1opm6ZNvGZ7KditA9TuJwrZ25eFLfTNIkrNnY6mhV5Eg"",""list!A1:C115""),3,TRUE)"),"le secteur de la restauration")</f>
        <v xml:space="preserve">le secteur de la restauration</v>
      </c>
      <c r="J1186" s="5" t="s">
        <v>7939</v>
      </c>
      <c r="K1186" s="5" t="s">
        <v>7940</v>
      </c>
      <c r="L1186" s="4" t="s">
        <v>39</v>
      </c>
      <c r="M1186" s="4" t="s">
        <v>29</v>
      </c>
      <c r="N1186" s="4" t="s">
        <v>7941</v>
      </c>
      <c r="O1186" s="4" t="s">
        <v>1261</v>
      </c>
      <c r="P1186" s="4" t="s">
        <v>7942</v>
      </c>
      <c r="Q1186" s="6"/>
      <c r="R1186" s="6"/>
      <c r="S1186" s="6"/>
      <c r="T1186" s="6"/>
      <c r="U1186" s="6"/>
      <c r="V1186" s="6"/>
      <c r="W1186" s="6"/>
      <c r="X1186" s="6"/>
      <c r="Y1186" s="6"/>
    </row>
    <row r="1187" ht="14.25">
      <c r="B1187" s="4" t="s">
        <v>7943</v>
      </c>
      <c r="C1187" s="7"/>
      <c r="D1187" s="4" t="s">
        <v>172</v>
      </c>
      <c r="E1187" s="4" t="s">
        <v>7944</v>
      </c>
      <c r="F1187" s="4" t="s">
        <v>7945</v>
      </c>
      <c r="G1187" s="4">
        <v>120</v>
      </c>
      <c r="H1187" s="4" t="s">
        <v>36</v>
      </c>
      <c r="I1187" s="4" t="str">
        <f>IFERROR(__XLUDF.DUMMYFUNCTION("VLOOKUP(G281,IMPORTRANGE(""https://docs.google.com/spreadsheets/d/1opm6ZNvGZ7KditA9TuJwrZ25eFLfTNIkrNnY6mhV5Eg"",""list!A1:C115""),3,TRUE)"),"le secteur de la restauration")</f>
        <v xml:space="preserve">le secteur de la restauration</v>
      </c>
      <c r="J1187" s="5" t="s">
        <v>7946</v>
      </c>
      <c r="K1187" s="5" t="s">
        <v>7947</v>
      </c>
      <c r="L1187" s="4" t="s">
        <v>39</v>
      </c>
      <c r="M1187" s="4" t="s">
        <v>29</v>
      </c>
      <c r="N1187" s="4" t="s">
        <v>67</v>
      </c>
      <c r="O1187" s="4" t="s">
        <v>29</v>
      </c>
      <c r="P1187" s="7"/>
      <c r="Q1187" s="6"/>
      <c r="R1187" s="6"/>
      <c r="S1187" s="6"/>
      <c r="T1187" s="6"/>
      <c r="U1187" s="6"/>
      <c r="V1187" s="6"/>
      <c r="W1187" s="6"/>
      <c r="X1187" s="6"/>
      <c r="Y1187" s="6"/>
    </row>
    <row r="1188" ht="14.25">
      <c r="B1188" s="4" t="s">
        <v>1583</v>
      </c>
      <c r="C1188" s="4" t="s">
        <v>7948</v>
      </c>
      <c r="D1188" s="4" t="s">
        <v>1130</v>
      </c>
      <c r="E1188" s="4" t="s">
        <v>7542</v>
      </c>
      <c r="F1188" s="4" t="s">
        <v>7949</v>
      </c>
      <c r="G1188" s="4">
        <v>180</v>
      </c>
      <c r="H1188" s="4" t="s">
        <v>36</v>
      </c>
      <c r="I1188" s="4" t="str">
        <f>IFERROR(__XLUDF.DUMMYFUNCTION("VLOOKUP(G282,IMPORTRANGE(""https://docs.google.com/spreadsheets/d/1opm6ZNvGZ7KditA9TuJwrZ25eFLfTNIkrNnY6mhV5Eg"",""list!A1:C115""),3,TRUE)"),"le secteur de la restauration")</f>
        <v xml:space="preserve">le secteur de la restauration</v>
      </c>
      <c r="J1188" s="5" t="s">
        <v>7950</v>
      </c>
      <c r="K1188" s="5" t="s">
        <v>7545</v>
      </c>
      <c r="L1188" s="4" t="s">
        <v>39</v>
      </c>
      <c r="M1188" s="4" t="s">
        <v>29</v>
      </c>
      <c r="N1188" s="4" t="s">
        <v>7546</v>
      </c>
      <c r="O1188" s="4" t="s">
        <v>29</v>
      </c>
      <c r="P1188" s="4" t="s">
        <v>7547</v>
      </c>
      <c r="Q1188" s="6"/>
      <c r="R1188" s="6"/>
      <c r="S1188" s="6"/>
      <c r="T1188" s="6"/>
      <c r="U1188" s="6"/>
      <c r="V1188" s="6"/>
      <c r="W1188" s="6"/>
      <c r="X1188" s="6"/>
      <c r="Y1188" s="6"/>
    </row>
    <row r="1189" ht="14.25">
      <c r="B1189" s="4" t="s">
        <v>7951</v>
      </c>
      <c r="C1189" s="4" t="s">
        <v>7952</v>
      </c>
      <c r="D1189" s="4" t="s">
        <v>7953</v>
      </c>
      <c r="E1189" s="4" t="s">
        <v>7954</v>
      </c>
      <c r="F1189" s="4" t="s">
        <v>7955</v>
      </c>
      <c r="G1189" s="4">
        <v>160</v>
      </c>
      <c r="H1189" s="4" t="s">
        <v>36</v>
      </c>
      <c r="I1189" s="4" t="str">
        <f>IFERROR(__XLUDF.DUMMYFUNCTION("VLOOKUP(G283,IMPORTRANGE(""https://docs.google.com/spreadsheets/d/1opm6ZNvGZ7KditA9TuJwrZ25eFLfTNIkrNnY6mhV5Eg"",""list!A1:C115""),3,TRUE)"),"le secteur de la restauration")</f>
        <v xml:space="preserve">le secteur de la restauration</v>
      </c>
      <c r="J1189" s="5" t="s">
        <v>7956</v>
      </c>
      <c r="K1189" s="5" t="s">
        <v>7957</v>
      </c>
      <c r="L1189" s="4" t="s">
        <v>39</v>
      </c>
      <c r="M1189" s="4" t="s">
        <v>29</v>
      </c>
      <c r="N1189" s="4" t="s">
        <v>7958</v>
      </c>
      <c r="O1189" s="4" t="s">
        <v>29</v>
      </c>
      <c r="P1189" s="4" t="s">
        <v>7959</v>
      </c>
      <c r="Q1189" s="6"/>
      <c r="R1189" s="6"/>
      <c r="S1189" s="6"/>
      <c r="T1189" s="6"/>
      <c r="U1189" s="6"/>
      <c r="V1189" s="6"/>
      <c r="W1189" s="6"/>
      <c r="X1189" s="6"/>
      <c r="Y1189" s="6"/>
    </row>
    <row r="1190" ht="14.25">
      <c r="B1190" s="4" t="s">
        <v>6931</v>
      </c>
      <c r="C1190" s="4" t="s">
        <v>7960</v>
      </c>
      <c r="D1190" s="4" t="s">
        <v>62</v>
      </c>
      <c r="E1190" s="4" t="s">
        <v>7961</v>
      </c>
      <c r="F1190" s="4" t="s">
        <v>7962</v>
      </c>
      <c r="G1190" s="4">
        <v>79</v>
      </c>
      <c r="H1190" s="4" t="s">
        <v>36</v>
      </c>
      <c r="I1190" s="4" t="str">
        <f>IFERROR(__XLUDF.DUMMYFUNCTION("VLOOKUP(G284,IMPORTRANGE(""https://docs.google.com/spreadsheets/d/1opm6ZNvGZ7KditA9TuJwrZ25eFLfTNIkrNnY6mhV5Eg"",""list!A1:C115""),3,TRUE)"),"le secteur de la restauration")</f>
        <v xml:space="preserve">le secteur de la restauration</v>
      </c>
      <c r="J1190" s="5" t="s">
        <v>7963</v>
      </c>
      <c r="K1190" s="5" t="s">
        <v>7964</v>
      </c>
      <c r="L1190" s="4" t="s">
        <v>7965</v>
      </c>
      <c r="M1190" s="4" t="s">
        <v>29</v>
      </c>
      <c r="N1190" s="4" t="s">
        <v>7966</v>
      </c>
      <c r="O1190" s="4" t="s">
        <v>29</v>
      </c>
      <c r="P1190" s="4" t="s">
        <v>7967</v>
      </c>
      <c r="Q1190" s="6"/>
      <c r="R1190" s="6"/>
      <c r="S1190" s="6"/>
      <c r="T1190" s="6"/>
      <c r="U1190" s="6"/>
      <c r="V1190" s="6"/>
      <c r="W1190" s="6"/>
      <c r="X1190" s="6"/>
      <c r="Y1190" s="6"/>
    </row>
    <row r="1191" ht="14.25">
      <c r="B1191" s="4" t="s">
        <v>2348</v>
      </c>
      <c r="C1191" s="4" t="s">
        <v>7968</v>
      </c>
      <c r="D1191" s="4" t="s">
        <v>6391</v>
      </c>
      <c r="E1191" s="4" t="s">
        <v>7792</v>
      </c>
      <c r="F1191" s="4" t="s">
        <v>7969</v>
      </c>
      <c r="G1191" s="4">
        <v>380</v>
      </c>
      <c r="H1191" s="4" t="s">
        <v>36</v>
      </c>
      <c r="I1191" s="4" t="str">
        <f>IFERROR(__XLUDF.DUMMYFUNCTION("VLOOKUP(G285,IMPORTRANGE(""https://docs.google.com/spreadsheets/d/1opm6ZNvGZ7KditA9TuJwrZ25eFLfTNIkrNnY6mhV5Eg"",""list!A1:C115""),3,TRUE)"),"le secteur de la restauration")</f>
        <v xml:space="preserve">le secteur de la restauration</v>
      </c>
      <c r="J1191" s="5" t="s">
        <v>7970</v>
      </c>
      <c r="K1191" s="5" t="s">
        <v>7795</v>
      </c>
      <c r="L1191" s="4" t="s">
        <v>482</v>
      </c>
      <c r="M1191" s="4" t="s">
        <v>29</v>
      </c>
      <c r="N1191" s="4" t="s">
        <v>7796</v>
      </c>
      <c r="O1191" s="4" t="s">
        <v>29</v>
      </c>
      <c r="P1191" s="7"/>
      <c r="Q1191" s="6"/>
      <c r="R1191" s="6"/>
      <c r="S1191" s="6"/>
      <c r="T1191" s="6"/>
      <c r="U1191" s="6"/>
      <c r="V1191" s="6"/>
      <c r="W1191" s="6"/>
      <c r="X1191" s="6"/>
      <c r="Y1191" s="6"/>
    </row>
    <row r="1192" ht="14.25">
      <c r="B1192" s="4" t="s">
        <v>1583</v>
      </c>
      <c r="C1192" s="4" t="s">
        <v>7971</v>
      </c>
      <c r="D1192" s="4" t="s">
        <v>7185</v>
      </c>
      <c r="E1192" s="4" t="s">
        <v>7792</v>
      </c>
      <c r="F1192" s="4" t="s">
        <v>7972</v>
      </c>
      <c r="G1192" s="4">
        <v>380</v>
      </c>
      <c r="H1192" s="4" t="s">
        <v>36</v>
      </c>
      <c r="I1192" s="4" t="str">
        <f>IFERROR(__XLUDF.DUMMYFUNCTION("VLOOKUP(G286,IMPORTRANGE(""https://docs.google.com/spreadsheets/d/1opm6ZNvGZ7KditA9TuJwrZ25eFLfTNIkrNnY6mhV5Eg"",""list!A1:C115""),3,TRUE)"),"le secteur de la restauration")</f>
        <v xml:space="preserve">le secteur de la restauration</v>
      </c>
      <c r="J1192" s="5" t="s">
        <v>7973</v>
      </c>
      <c r="K1192" s="5" t="s">
        <v>7795</v>
      </c>
      <c r="L1192" s="4" t="s">
        <v>1015</v>
      </c>
      <c r="M1192" s="4" t="s">
        <v>29</v>
      </c>
      <c r="N1192" s="4" t="s">
        <v>7796</v>
      </c>
      <c r="O1192" s="4" t="s">
        <v>29</v>
      </c>
      <c r="P1192" s="7"/>
      <c r="Q1192" s="6"/>
      <c r="R1192" s="6"/>
      <c r="S1192" s="6"/>
      <c r="T1192" s="6"/>
      <c r="U1192" s="6"/>
      <c r="V1192" s="6"/>
      <c r="W1192" s="6"/>
      <c r="X1192" s="6"/>
      <c r="Y1192" s="6"/>
    </row>
    <row r="1193" ht="14.25">
      <c r="B1193" s="4" t="s">
        <v>1583</v>
      </c>
      <c r="C1193" s="4" t="s">
        <v>851</v>
      </c>
      <c r="D1193" s="4" t="s">
        <v>112</v>
      </c>
      <c r="E1193" s="4" t="s">
        <v>7974</v>
      </c>
      <c r="F1193" s="4" t="s">
        <v>7975</v>
      </c>
      <c r="G1193" s="4">
        <v>66</v>
      </c>
      <c r="H1193" s="4" t="s">
        <v>36</v>
      </c>
      <c r="I1193" s="4" t="str">
        <f>IFERROR(__XLUDF.DUMMYFUNCTION("VLOOKUP(G287,IMPORTRANGE(""https://docs.google.com/spreadsheets/d/1opm6ZNvGZ7KditA9TuJwrZ25eFLfTNIkrNnY6mhV5Eg"",""list!A1:C115""),3,TRUE)"),"le secteur de la restauration")</f>
        <v xml:space="preserve">le secteur de la restauration</v>
      </c>
      <c r="J1193" s="5" t="s">
        <v>7976</v>
      </c>
      <c r="K1193" s="5" t="s">
        <v>7977</v>
      </c>
      <c r="L1193" s="4" t="s">
        <v>846</v>
      </c>
      <c r="M1193" s="4" t="s">
        <v>29</v>
      </c>
      <c r="N1193" s="4" t="s">
        <v>7978</v>
      </c>
      <c r="O1193" s="4" t="s">
        <v>29</v>
      </c>
      <c r="P1193" s="4" t="s">
        <v>7979</v>
      </c>
      <c r="Q1193" s="6"/>
      <c r="R1193" s="6"/>
      <c r="S1193" s="6"/>
      <c r="T1193" s="6"/>
      <c r="U1193" s="6"/>
      <c r="V1193" s="6"/>
      <c r="W1193" s="6"/>
      <c r="X1193" s="6"/>
      <c r="Y1193" s="6"/>
    </row>
    <row r="1194" ht="14.25">
      <c r="B1194" s="4" t="s">
        <v>1583</v>
      </c>
      <c r="C1194" s="4" t="s">
        <v>7980</v>
      </c>
      <c r="D1194" s="4" t="s">
        <v>7981</v>
      </c>
      <c r="E1194" s="4" t="s">
        <v>7664</v>
      </c>
      <c r="F1194" s="4" t="s">
        <v>7982</v>
      </c>
      <c r="G1194" s="4">
        <v>200</v>
      </c>
      <c r="H1194" s="4" t="s">
        <v>36</v>
      </c>
      <c r="I1194" s="4" t="str">
        <f>IFERROR(__XLUDF.DUMMYFUNCTION("VLOOKUP(G288,IMPORTRANGE(""https://docs.google.com/spreadsheets/d/1opm6ZNvGZ7KditA9TuJwrZ25eFLfTNIkrNnY6mhV5Eg"",""list!A1:C115""),3,TRUE)"),"le secteur de la restauration")</f>
        <v xml:space="preserve">le secteur de la restauration</v>
      </c>
      <c r="J1194" s="5" t="s">
        <v>7983</v>
      </c>
      <c r="K1194" s="5" t="s">
        <v>7667</v>
      </c>
      <c r="L1194" s="4" t="s">
        <v>1460</v>
      </c>
      <c r="M1194" s="4" t="s">
        <v>29</v>
      </c>
      <c r="N1194" s="4" t="s">
        <v>7668</v>
      </c>
      <c r="O1194" s="4" t="s">
        <v>29</v>
      </c>
      <c r="P1194" s="7"/>
      <c r="Q1194" s="6"/>
      <c r="R1194" s="6"/>
      <c r="S1194" s="6"/>
      <c r="T1194" s="6"/>
      <c r="U1194" s="6"/>
      <c r="V1194" s="6"/>
      <c r="W1194" s="6"/>
      <c r="X1194" s="6"/>
      <c r="Y1194" s="6"/>
    </row>
    <row r="1195" ht="14.25">
      <c r="B1195" s="4" t="s">
        <v>1583</v>
      </c>
      <c r="C1195" s="4" t="s">
        <v>7984</v>
      </c>
      <c r="D1195" s="4" t="s">
        <v>3611</v>
      </c>
      <c r="E1195" s="4" t="s">
        <v>7985</v>
      </c>
      <c r="F1195" s="4" t="s">
        <v>7986</v>
      </c>
      <c r="G1195" s="4">
        <v>100</v>
      </c>
      <c r="H1195" s="4" t="s">
        <v>36</v>
      </c>
      <c r="I1195" s="4" t="str">
        <f>IFERROR(__XLUDF.DUMMYFUNCTION("VLOOKUP(G289,IMPORTRANGE(""https://docs.google.com/spreadsheets/d/1opm6ZNvGZ7KditA9TuJwrZ25eFLfTNIkrNnY6mhV5Eg"",""list!A1:C115""),3,TRUE)"),"le secteur de la restauration")</f>
        <v xml:space="preserve">le secteur de la restauration</v>
      </c>
      <c r="J1195" s="5" t="s">
        <v>7987</v>
      </c>
      <c r="K1195" s="5" t="s">
        <v>7988</v>
      </c>
      <c r="L1195" s="4" t="s">
        <v>39</v>
      </c>
      <c r="M1195" s="4" t="s">
        <v>29</v>
      </c>
      <c r="N1195" s="4" t="s">
        <v>7989</v>
      </c>
      <c r="O1195" s="4" t="s">
        <v>29</v>
      </c>
      <c r="P1195" s="4" t="s">
        <v>7990</v>
      </c>
      <c r="Q1195" s="6"/>
      <c r="R1195" s="6"/>
      <c r="S1195" s="6"/>
      <c r="T1195" s="6"/>
      <c r="U1195" s="6"/>
      <c r="V1195" s="6"/>
      <c r="W1195" s="6"/>
      <c r="X1195" s="6"/>
      <c r="Y1195" s="6"/>
    </row>
    <row r="1196" ht="14.25">
      <c r="B1196" s="4" t="s">
        <v>1583</v>
      </c>
      <c r="C1196" s="4" t="s">
        <v>7991</v>
      </c>
      <c r="D1196" s="4" t="s">
        <v>7992</v>
      </c>
      <c r="E1196" s="4" t="s">
        <v>7993</v>
      </c>
      <c r="F1196" s="4" t="s">
        <v>7994</v>
      </c>
      <c r="G1196" s="4">
        <v>120</v>
      </c>
      <c r="H1196" s="4" t="s">
        <v>36</v>
      </c>
      <c r="I1196" s="4" t="str">
        <f>IFERROR(__XLUDF.DUMMYFUNCTION("VLOOKUP(G290,IMPORTRANGE(""https://docs.google.com/spreadsheets/d/1opm6ZNvGZ7KditA9TuJwrZ25eFLfTNIkrNnY6mhV5Eg"",""list!A1:C115""),3,TRUE)"),"le secteur de la restauration")</f>
        <v xml:space="preserve">le secteur de la restauration</v>
      </c>
      <c r="J1196" s="5" t="s">
        <v>7995</v>
      </c>
      <c r="K1196" s="5" t="s">
        <v>7996</v>
      </c>
      <c r="L1196" s="4" t="s">
        <v>39</v>
      </c>
      <c r="M1196" s="4" t="s">
        <v>29</v>
      </c>
      <c r="N1196" s="4" t="s">
        <v>7997</v>
      </c>
      <c r="O1196" s="4" t="s">
        <v>2388</v>
      </c>
      <c r="P1196" s="4" t="s">
        <v>7998</v>
      </c>
      <c r="Q1196" s="6"/>
      <c r="R1196" s="6"/>
      <c r="S1196" s="6"/>
      <c r="T1196" s="6"/>
      <c r="U1196" s="6"/>
      <c r="V1196" s="6"/>
      <c r="W1196" s="6"/>
      <c r="X1196" s="6"/>
      <c r="Y1196" s="6"/>
    </row>
    <row r="1197" ht="14.25">
      <c r="B1197" s="4" t="s">
        <v>20</v>
      </c>
      <c r="C1197" s="4" t="s">
        <v>7999</v>
      </c>
      <c r="D1197" s="4" t="s">
        <v>112</v>
      </c>
      <c r="E1197" s="4" t="s">
        <v>7424</v>
      </c>
      <c r="F1197" s="4" t="s">
        <v>8000</v>
      </c>
      <c r="G1197" s="4">
        <v>310</v>
      </c>
      <c r="H1197" s="4" t="s">
        <v>36</v>
      </c>
      <c r="I1197" s="4" t="str">
        <f>IFERROR(__XLUDF.DUMMYFUNCTION("VLOOKUP(G291,IMPORTRANGE(""https://docs.google.com/spreadsheets/d/1opm6ZNvGZ7KditA9TuJwrZ25eFLfTNIkrNnY6mhV5Eg"",""list!A1:C115""),3,TRUE)"),"le secteur de la restauration")</f>
        <v xml:space="preserve">le secteur de la restauration</v>
      </c>
      <c r="J1197" s="5" t="s">
        <v>8001</v>
      </c>
      <c r="K1197" s="5" t="s">
        <v>7427</v>
      </c>
      <c r="L1197" s="4" t="s">
        <v>39</v>
      </c>
      <c r="M1197" s="4" t="s">
        <v>29</v>
      </c>
      <c r="N1197" s="4" t="s">
        <v>7428</v>
      </c>
      <c r="O1197" s="4" t="s">
        <v>29</v>
      </c>
      <c r="P1197" s="4" t="s">
        <v>7429</v>
      </c>
      <c r="Q1197" s="6"/>
      <c r="R1197" s="6"/>
      <c r="S1197" s="6"/>
      <c r="T1197" s="6"/>
      <c r="U1197" s="6"/>
      <c r="V1197" s="6"/>
      <c r="W1197" s="6"/>
      <c r="X1197" s="6"/>
      <c r="Y1197" s="6"/>
    </row>
    <row r="1198" ht="14.25">
      <c r="B1198" s="4" t="s">
        <v>134</v>
      </c>
      <c r="C1198" s="4" t="s">
        <v>8002</v>
      </c>
      <c r="D1198" s="4" t="s">
        <v>8003</v>
      </c>
      <c r="E1198" s="4" t="s">
        <v>8004</v>
      </c>
      <c r="F1198" s="4" t="s">
        <v>8005</v>
      </c>
      <c r="G1198" s="4">
        <v>250</v>
      </c>
      <c r="H1198" s="4" t="s">
        <v>36</v>
      </c>
      <c r="I1198" s="4" t="str">
        <f>IFERROR(__XLUDF.DUMMYFUNCTION("VLOOKUP(G292,IMPORTRANGE(""https://docs.google.com/spreadsheets/d/1opm6ZNvGZ7KditA9TuJwrZ25eFLfTNIkrNnY6mhV5Eg"",""list!A1:C115""),3,TRUE)"),"le secteur de la restauration")</f>
        <v xml:space="preserve">le secteur de la restauration</v>
      </c>
      <c r="J1198" s="5" t="s">
        <v>8006</v>
      </c>
      <c r="K1198" s="5" t="s">
        <v>8007</v>
      </c>
      <c r="L1198" s="4" t="s">
        <v>185</v>
      </c>
      <c r="M1198" s="4" t="s">
        <v>29</v>
      </c>
      <c r="N1198" s="4" t="s">
        <v>8008</v>
      </c>
      <c r="O1198" s="4" t="s">
        <v>29</v>
      </c>
      <c r="P1198" s="4" t="s">
        <v>8009</v>
      </c>
      <c r="Q1198" s="6"/>
      <c r="R1198" s="6"/>
      <c r="S1198" s="6"/>
      <c r="T1198" s="6"/>
      <c r="U1198" s="6"/>
      <c r="V1198" s="6"/>
      <c r="W1198" s="6"/>
      <c r="X1198" s="6"/>
      <c r="Y1198" s="6"/>
    </row>
    <row r="1199" ht="14.25">
      <c r="B1199" s="4" t="s">
        <v>8010</v>
      </c>
      <c r="C1199" s="4" t="s">
        <v>8011</v>
      </c>
      <c r="D1199" s="4" t="s">
        <v>2645</v>
      </c>
      <c r="E1199" s="4" t="s">
        <v>7677</v>
      </c>
      <c r="F1199" s="4" t="s">
        <v>8012</v>
      </c>
      <c r="G1199" s="4">
        <v>160</v>
      </c>
      <c r="H1199" s="4" t="s">
        <v>36</v>
      </c>
      <c r="I1199" s="4" t="str">
        <f>IFERROR(__XLUDF.DUMMYFUNCTION("VLOOKUP(G293,IMPORTRANGE(""https://docs.google.com/spreadsheets/d/1opm6ZNvGZ7KditA9TuJwrZ25eFLfTNIkrNnY6mhV5Eg"",""list!A1:C115""),3,TRUE)"),"le secteur de la restauration")</f>
        <v xml:space="preserve">le secteur de la restauration</v>
      </c>
      <c r="J1199" s="5" t="s">
        <v>8013</v>
      </c>
      <c r="K1199" s="5" t="s">
        <v>7680</v>
      </c>
      <c r="L1199" s="4" t="s">
        <v>295</v>
      </c>
      <c r="M1199" s="4" t="s">
        <v>29</v>
      </c>
      <c r="N1199" s="4" t="s">
        <v>7681</v>
      </c>
      <c r="O1199" s="4" t="s">
        <v>29</v>
      </c>
      <c r="P1199" s="7"/>
      <c r="Q1199" s="6"/>
      <c r="R1199" s="6"/>
      <c r="S1199" s="6"/>
      <c r="T1199" s="6"/>
      <c r="U1199" s="6"/>
      <c r="V1199" s="6"/>
      <c r="W1199" s="6"/>
      <c r="X1199" s="6"/>
      <c r="Y1199" s="6"/>
    </row>
    <row r="1200" ht="14.25">
      <c r="B1200" s="4" t="s">
        <v>1732</v>
      </c>
      <c r="C1200" s="4" t="s">
        <v>8014</v>
      </c>
      <c r="D1200" s="4" t="s">
        <v>172</v>
      </c>
      <c r="E1200" s="4" t="s">
        <v>8015</v>
      </c>
      <c r="F1200" s="4" t="s">
        <v>8016</v>
      </c>
      <c r="G1200" s="4">
        <v>230</v>
      </c>
      <c r="H1200" s="4" t="s">
        <v>36</v>
      </c>
      <c r="I1200" s="4" t="str">
        <f>IFERROR(__XLUDF.DUMMYFUNCTION("VLOOKUP(G294,IMPORTRANGE(""https://docs.google.com/spreadsheets/d/1opm6ZNvGZ7KditA9TuJwrZ25eFLfTNIkrNnY6mhV5Eg"",""list!A1:C115""),3,TRUE)"),"le secteur de la restauration")</f>
        <v xml:space="preserve">le secteur de la restauration</v>
      </c>
      <c r="J1200" s="5" t="s">
        <v>8017</v>
      </c>
      <c r="K1200" s="5" t="s">
        <v>8018</v>
      </c>
      <c r="L1200" s="4" t="s">
        <v>39</v>
      </c>
      <c r="M1200" s="4" t="s">
        <v>29</v>
      </c>
      <c r="N1200" s="4" t="s">
        <v>8019</v>
      </c>
      <c r="O1200" s="4" t="s">
        <v>29</v>
      </c>
      <c r="P1200" s="4" t="s">
        <v>8020</v>
      </c>
      <c r="Q1200" s="6"/>
      <c r="R1200" s="6"/>
      <c r="S1200" s="6"/>
      <c r="T1200" s="6"/>
      <c r="U1200" s="6"/>
      <c r="V1200" s="6"/>
      <c r="W1200" s="6"/>
      <c r="X1200" s="6"/>
      <c r="Y1200" s="6"/>
    </row>
    <row r="1201" ht="14.25">
      <c r="B1201" s="4" t="s">
        <v>178</v>
      </c>
      <c r="C1201" s="4" t="s">
        <v>8021</v>
      </c>
      <c r="D1201" s="4" t="s">
        <v>120</v>
      </c>
      <c r="E1201" s="4" t="s">
        <v>7506</v>
      </c>
      <c r="F1201" s="4" t="s">
        <v>8022</v>
      </c>
      <c r="G1201" s="4">
        <v>110</v>
      </c>
      <c r="H1201" s="4" t="s">
        <v>36</v>
      </c>
      <c r="I1201" s="4" t="str">
        <f>IFERROR(__XLUDF.DUMMYFUNCTION("VLOOKUP(G295,IMPORTRANGE(""https://docs.google.com/spreadsheets/d/1opm6ZNvGZ7KditA9TuJwrZ25eFLfTNIkrNnY6mhV5Eg"",""list!A1:C115""),3,TRUE)"),"le secteur de la restauration")</f>
        <v xml:space="preserve">le secteur de la restauration</v>
      </c>
      <c r="J1201" s="5" t="s">
        <v>8023</v>
      </c>
      <c r="K1201" s="5" t="s">
        <v>7509</v>
      </c>
      <c r="L1201" s="4" t="s">
        <v>39</v>
      </c>
      <c r="M1201" s="4" t="s">
        <v>29</v>
      </c>
      <c r="N1201" s="4" t="s">
        <v>7510</v>
      </c>
      <c r="O1201" s="4" t="s">
        <v>29</v>
      </c>
      <c r="P1201" s="7"/>
      <c r="Q1201" s="6"/>
      <c r="R1201" s="6"/>
      <c r="S1201" s="6"/>
      <c r="T1201" s="6"/>
      <c r="U1201" s="6"/>
      <c r="V1201" s="6"/>
      <c r="W1201" s="6"/>
      <c r="X1201" s="6"/>
      <c r="Y1201" s="6"/>
    </row>
    <row r="1202" ht="14.25">
      <c r="B1202" s="4" t="s">
        <v>1732</v>
      </c>
      <c r="C1202" s="4" t="s">
        <v>8024</v>
      </c>
      <c r="D1202" s="4" t="s">
        <v>172</v>
      </c>
      <c r="E1202" s="4" t="s">
        <v>7610</v>
      </c>
      <c r="F1202" s="4" t="s">
        <v>8025</v>
      </c>
      <c r="G1202" s="4">
        <v>180</v>
      </c>
      <c r="H1202" s="4" t="s">
        <v>36</v>
      </c>
      <c r="I1202" s="4" t="str">
        <f>IFERROR(__XLUDF.DUMMYFUNCTION("VLOOKUP(G296,IMPORTRANGE(""https://docs.google.com/spreadsheets/d/1opm6ZNvGZ7KditA9TuJwrZ25eFLfTNIkrNnY6mhV5Eg"",""list!A1:C115""),3,TRUE)"),"le secteur de la restauration")</f>
        <v xml:space="preserve">le secteur de la restauration</v>
      </c>
      <c r="J1202" s="5" t="s">
        <v>8026</v>
      </c>
      <c r="K1202" s="5" t="s">
        <v>7613</v>
      </c>
      <c r="L1202" s="4" t="s">
        <v>8027</v>
      </c>
      <c r="M1202" s="4" t="s">
        <v>29</v>
      </c>
      <c r="N1202" s="4" t="s">
        <v>1313</v>
      </c>
      <c r="O1202" s="4" t="s">
        <v>29</v>
      </c>
      <c r="P1202" s="4" t="s">
        <v>7614</v>
      </c>
      <c r="Q1202" s="6"/>
      <c r="R1202" s="6"/>
      <c r="S1202" s="6"/>
      <c r="T1202" s="6"/>
      <c r="U1202" s="6"/>
      <c r="V1202" s="6"/>
      <c r="W1202" s="6"/>
      <c r="X1202" s="6"/>
      <c r="Y1202" s="6"/>
    </row>
    <row r="1203" ht="14.25">
      <c r="B1203" s="4" t="s">
        <v>2419</v>
      </c>
      <c r="C1203" s="4" t="s">
        <v>7735</v>
      </c>
      <c r="D1203" s="4" t="s">
        <v>1240</v>
      </c>
      <c r="E1203" s="4" t="s">
        <v>8028</v>
      </c>
      <c r="F1203" s="4" t="s">
        <v>8029</v>
      </c>
      <c r="G1203" s="4">
        <v>240</v>
      </c>
      <c r="H1203" s="4" t="s">
        <v>36</v>
      </c>
      <c r="I1203" s="4" t="str">
        <f>IFERROR(__XLUDF.DUMMYFUNCTION("VLOOKUP(G297,IMPORTRANGE(""https://docs.google.com/spreadsheets/d/1opm6ZNvGZ7KditA9TuJwrZ25eFLfTNIkrNnY6mhV5Eg"",""list!A1:C115""),3,TRUE)"),"le secteur de la restauration")</f>
        <v xml:space="preserve">le secteur de la restauration</v>
      </c>
      <c r="J1203" s="5" t="s">
        <v>8030</v>
      </c>
      <c r="K1203" s="5" t="s">
        <v>8031</v>
      </c>
      <c r="L1203" s="4" t="s">
        <v>39</v>
      </c>
      <c r="M1203" s="4" t="s">
        <v>29</v>
      </c>
      <c r="N1203" s="4" t="s">
        <v>8032</v>
      </c>
      <c r="O1203" s="4" t="s">
        <v>29</v>
      </c>
      <c r="P1203" s="4" t="s">
        <v>8033</v>
      </c>
      <c r="Q1203" s="6"/>
      <c r="R1203" s="6"/>
      <c r="S1203" s="6"/>
      <c r="T1203" s="6"/>
      <c r="U1203" s="6"/>
      <c r="V1203" s="6"/>
      <c r="W1203" s="6"/>
      <c r="X1203" s="6"/>
      <c r="Y1203" s="6"/>
    </row>
    <row r="1204" ht="14.25">
      <c r="B1204" s="4" t="s">
        <v>7323</v>
      </c>
      <c r="C1204" s="4" t="s">
        <v>8034</v>
      </c>
      <c r="D1204" s="4" t="s">
        <v>426</v>
      </c>
      <c r="E1204" s="4" t="s">
        <v>8035</v>
      </c>
      <c r="F1204" s="4" t="s">
        <v>8036</v>
      </c>
      <c r="G1204" s="4">
        <v>61</v>
      </c>
      <c r="H1204" s="4" t="s">
        <v>36</v>
      </c>
      <c r="I1204" s="4" t="str">
        <f>IFERROR(__XLUDF.DUMMYFUNCTION("VLOOKUP(G298,IMPORTRANGE(""https://docs.google.com/spreadsheets/d/1opm6ZNvGZ7KditA9TuJwrZ25eFLfTNIkrNnY6mhV5Eg"",""list!A1:C115""),3,TRUE)"),"le secteur de la restauration")</f>
        <v xml:space="preserve">le secteur de la restauration</v>
      </c>
      <c r="J1204" s="5" t="s">
        <v>8037</v>
      </c>
      <c r="K1204" s="5" t="s">
        <v>8038</v>
      </c>
      <c r="L1204" s="4" t="s">
        <v>39</v>
      </c>
      <c r="M1204" s="4" t="s">
        <v>29</v>
      </c>
      <c r="N1204" s="4" t="s">
        <v>8039</v>
      </c>
      <c r="O1204" s="4" t="s">
        <v>29</v>
      </c>
      <c r="P1204" s="4" t="s">
        <v>8040</v>
      </c>
      <c r="Q1204" s="6"/>
      <c r="R1204" s="6"/>
      <c r="S1204" s="6"/>
      <c r="T1204" s="6"/>
      <c r="U1204" s="6"/>
      <c r="V1204" s="6"/>
      <c r="W1204" s="6"/>
      <c r="X1204" s="6"/>
      <c r="Y1204" s="6"/>
    </row>
    <row r="1205" ht="14.25">
      <c r="B1205" s="4" t="s">
        <v>7323</v>
      </c>
      <c r="C1205" s="4" t="s">
        <v>8041</v>
      </c>
      <c r="D1205" s="4" t="s">
        <v>8042</v>
      </c>
      <c r="E1205" s="4" t="s">
        <v>7792</v>
      </c>
      <c r="F1205" s="4" t="s">
        <v>8043</v>
      </c>
      <c r="G1205" s="4">
        <v>380</v>
      </c>
      <c r="H1205" s="4" t="s">
        <v>36</v>
      </c>
      <c r="I1205" s="4" t="str">
        <f>IFERROR(__XLUDF.DUMMYFUNCTION("VLOOKUP(G299,IMPORTRANGE(""https://docs.google.com/spreadsheets/d/1opm6ZNvGZ7KditA9TuJwrZ25eFLfTNIkrNnY6mhV5Eg"",""list!A1:C115""),3,TRUE)"),"le secteur de la restauration")</f>
        <v xml:space="preserve">le secteur de la restauration</v>
      </c>
      <c r="J1205" s="5" t="s">
        <v>8044</v>
      </c>
      <c r="K1205" s="5" t="s">
        <v>7795</v>
      </c>
      <c r="L1205" s="4" t="s">
        <v>39</v>
      </c>
      <c r="M1205" s="4" t="s">
        <v>29</v>
      </c>
      <c r="N1205" s="4" t="s">
        <v>7796</v>
      </c>
      <c r="O1205" s="4" t="s">
        <v>29</v>
      </c>
      <c r="P1205" s="7"/>
      <c r="Q1205" s="6"/>
      <c r="R1205" s="6"/>
      <c r="S1205" s="6"/>
      <c r="T1205" s="6"/>
      <c r="U1205" s="6"/>
      <c r="V1205" s="6"/>
      <c r="W1205" s="6"/>
      <c r="X1205" s="6"/>
      <c r="Y1205" s="6"/>
    </row>
    <row r="1206" ht="14.25">
      <c r="B1206" s="4" t="s">
        <v>3617</v>
      </c>
      <c r="C1206" s="4" t="s">
        <v>279</v>
      </c>
      <c r="D1206" s="4" t="s">
        <v>87</v>
      </c>
      <c r="E1206" s="4" t="s">
        <v>762</v>
      </c>
      <c r="F1206" s="4" t="s">
        <v>3618</v>
      </c>
      <c r="G1206" s="4">
        <v>51</v>
      </c>
      <c r="H1206" s="4" t="s">
        <v>36</v>
      </c>
      <c r="I1206" s="4" t="str">
        <f>IFERROR(__XLUDF.DUMMYFUNCTION("VLOOKUP(G300,IMPORTRANGE(""https://docs.google.com/spreadsheets/d/1opm6ZNvGZ7KditA9TuJwrZ25eFLfTNIkrNnY6mhV5Eg"",""list!A1:C115""),3,TRUE)"),"le secteur de la restauration")</f>
        <v xml:space="preserve">le secteur de la restauration</v>
      </c>
      <c r="J1206" s="5" t="s">
        <v>3619</v>
      </c>
      <c r="K1206" s="5" t="s">
        <v>7420</v>
      </c>
      <c r="L1206" s="7"/>
      <c r="M1206" s="4" t="s">
        <v>29</v>
      </c>
      <c r="N1206" s="4" t="s">
        <v>766</v>
      </c>
      <c r="O1206" s="4" t="s">
        <v>29</v>
      </c>
      <c r="P1206" s="4" t="s">
        <v>7421</v>
      </c>
      <c r="Q1206" s="6"/>
      <c r="R1206" s="6"/>
      <c r="S1206" s="6"/>
      <c r="T1206" s="6"/>
      <c r="U1206" s="6"/>
      <c r="V1206" s="6"/>
      <c r="W1206" s="6"/>
      <c r="X1206" s="6"/>
      <c r="Y1206" s="6"/>
    </row>
    <row r="1207" ht="14.25">
      <c r="B1207" s="4" t="s">
        <v>8045</v>
      </c>
      <c r="C1207" s="4" t="s">
        <v>8046</v>
      </c>
      <c r="D1207" s="4" t="s">
        <v>468</v>
      </c>
      <c r="E1207" s="4" t="s">
        <v>7542</v>
      </c>
      <c r="F1207" s="4" t="s">
        <v>8047</v>
      </c>
      <c r="G1207" s="4">
        <v>180</v>
      </c>
      <c r="H1207" s="4" t="s">
        <v>36</v>
      </c>
      <c r="I1207" s="4" t="str">
        <f>IFERROR(__XLUDF.DUMMYFUNCTION("VLOOKUP(G301,IMPORTRANGE(""https://docs.google.com/spreadsheets/d/1opm6ZNvGZ7KditA9TuJwrZ25eFLfTNIkrNnY6mhV5Eg"",""list!A1:C115""),3,TRUE)"),"le secteur de la restauration")</f>
        <v xml:space="preserve">le secteur de la restauration</v>
      </c>
      <c r="J1207" s="5" t="s">
        <v>8048</v>
      </c>
      <c r="K1207" s="5" t="s">
        <v>7545</v>
      </c>
      <c r="L1207" s="7"/>
      <c r="M1207" s="4" t="s">
        <v>29</v>
      </c>
      <c r="N1207" s="4" t="s">
        <v>7546</v>
      </c>
      <c r="O1207" s="4" t="s">
        <v>29</v>
      </c>
      <c r="P1207" s="4" t="s">
        <v>7547</v>
      </c>
      <c r="Q1207" s="6"/>
      <c r="R1207" s="6"/>
      <c r="S1207" s="6"/>
      <c r="T1207" s="6"/>
      <c r="U1207" s="6"/>
      <c r="V1207" s="6"/>
      <c r="W1207" s="6"/>
      <c r="X1207" s="6"/>
      <c r="Y1207" s="6"/>
    </row>
    <row r="1208" ht="14.25">
      <c r="B1208" s="4" t="s">
        <v>8049</v>
      </c>
      <c r="C1208" s="4" t="s">
        <v>8050</v>
      </c>
      <c r="D1208" s="4" t="s">
        <v>3982</v>
      </c>
      <c r="E1208" s="4" t="s">
        <v>8051</v>
      </c>
      <c r="F1208" s="4" t="s">
        <v>8052</v>
      </c>
      <c r="G1208" s="4">
        <v>120</v>
      </c>
      <c r="H1208" s="4" t="s">
        <v>36</v>
      </c>
      <c r="I1208" s="4" t="str">
        <f>IFERROR(__XLUDF.DUMMYFUNCTION("VLOOKUP(G302,IMPORTRANGE(""https://docs.google.com/spreadsheets/d/1opm6ZNvGZ7KditA9TuJwrZ25eFLfTNIkrNnY6mhV5Eg"",""list!A1:C115""),3,TRUE)"),"le secteur de la restauration")</f>
        <v xml:space="preserve">le secteur de la restauration</v>
      </c>
      <c r="J1208" s="5" t="s">
        <v>8053</v>
      </c>
      <c r="K1208" s="5" t="s">
        <v>8054</v>
      </c>
      <c r="L1208" s="4" t="s">
        <v>185</v>
      </c>
      <c r="M1208" s="4" t="s">
        <v>29</v>
      </c>
      <c r="N1208" s="4" t="s">
        <v>1197</v>
      </c>
      <c r="O1208" s="4" t="s">
        <v>29</v>
      </c>
      <c r="P1208" s="4" t="s">
        <v>8055</v>
      </c>
      <c r="Q1208" s="6"/>
      <c r="R1208" s="6"/>
      <c r="S1208" s="6"/>
      <c r="T1208" s="6"/>
      <c r="U1208" s="6"/>
      <c r="V1208" s="6"/>
      <c r="W1208" s="6"/>
      <c r="X1208" s="6"/>
      <c r="Y1208" s="6"/>
    </row>
    <row r="1209" ht="14.25">
      <c r="B1209" s="8" t="s">
        <v>768</v>
      </c>
      <c r="C1209" s="8" t="s">
        <v>8056</v>
      </c>
      <c r="D1209" s="8" t="s">
        <v>1240</v>
      </c>
      <c r="E1209" s="8" t="s">
        <v>8057</v>
      </c>
      <c r="F1209" s="8" t="s">
        <v>8058</v>
      </c>
      <c r="G1209" s="9">
        <v>98</v>
      </c>
      <c r="H1209" s="8" t="s">
        <v>25</v>
      </c>
      <c r="I1209" s="8" t="str">
        <f>IFERROR(__XLUDF.DUMMYFUNCTION("VLOOKUP(H2,IMPORTRANGE(""https://docs.google.com/spreadsheets/d/1opm6ZNvGZ7KditA9TuJwrZ25eFLfTNIkrNnY6mhV5Eg"",""list!A1:C115""),3,TRUE)"),"le secteur de l'hôtellerie")</f>
        <v xml:space="preserve">le secteur de l'hôtellerie</v>
      </c>
      <c r="J1209" s="10" t="s">
        <v>8059</v>
      </c>
      <c r="K1209" s="10" t="s">
        <v>8060</v>
      </c>
      <c r="L1209" s="8" t="s">
        <v>39</v>
      </c>
      <c r="M1209" s="8" t="s">
        <v>29</v>
      </c>
      <c r="N1209" s="8" t="s">
        <v>67</v>
      </c>
      <c r="O1209" s="8" t="s">
        <v>29</v>
      </c>
      <c r="P1209" s="8"/>
      <c r="Q1209" s="8"/>
      <c r="R1209" s="8"/>
      <c r="S1209" s="8"/>
      <c r="T1209" s="8"/>
      <c r="U1209" s="8"/>
      <c r="V1209" s="8"/>
      <c r="W1209" s="8"/>
      <c r="X1209" s="8"/>
      <c r="Y1209" s="8"/>
    </row>
    <row r="1210" ht="14.25">
      <c r="B1210" s="8" t="s">
        <v>630</v>
      </c>
      <c r="C1210" s="8" t="s">
        <v>8061</v>
      </c>
      <c r="D1210" s="8" t="s">
        <v>8062</v>
      </c>
      <c r="E1210" s="8" t="s">
        <v>8063</v>
      </c>
      <c r="F1210" s="8" t="s">
        <v>8064</v>
      </c>
      <c r="G1210" s="9">
        <v>6</v>
      </c>
      <c r="H1210" s="8" t="s">
        <v>25</v>
      </c>
      <c r="I1210" s="8" t="str">
        <f>IFERROR(__XLUDF.DUMMYFUNCTION("VLOOKUP(H3,IMPORTRANGE(""https://docs.google.com/spreadsheets/d/1opm6ZNvGZ7KditA9TuJwrZ25eFLfTNIkrNnY6mhV5Eg"",""list!A1:C115""),3,TRUE)"),"le secteur de l'hôtellerie")</f>
        <v xml:space="preserve">le secteur de l'hôtellerie</v>
      </c>
      <c r="J1210" s="10" t="s">
        <v>8065</v>
      </c>
      <c r="K1210" s="10" t="s">
        <v>8066</v>
      </c>
      <c r="L1210" s="8" t="s">
        <v>8067</v>
      </c>
      <c r="M1210" s="8" t="s">
        <v>1938</v>
      </c>
      <c r="N1210" s="8" t="s">
        <v>8068</v>
      </c>
      <c r="O1210" s="8" t="s">
        <v>1938</v>
      </c>
      <c r="P1210" s="8" t="s">
        <v>8069</v>
      </c>
      <c r="Q1210" s="8"/>
      <c r="R1210" s="8"/>
      <c r="S1210" s="8"/>
      <c r="T1210" s="8"/>
      <c r="U1210" s="8"/>
      <c r="V1210" s="8"/>
      <c r="W1210" s="8"/>
      <c r="X1210" s="8"/>
      <c r="Y1210" s="8"/>
    </row>
    <row r="1211" ht="14.25">
      <c r="B1211" s="8" t="s">
        <v>3834</v>
      </c>
      <c r="C1211" s="8" t="s">
        <v>8070</v>
      </c>
      <c r="D1211" s="8" t="s">
        <v>8071</v>
      </c>
      <c r="E1211" s="8" t="s">
        <v>6680</v>
      </c>
      <c r="F1211" s="8" t="s">
        <v>8072</v>
      </c>
      <c r="G1211" s="9">
        <v>160</v>
      </c>
      <c r="H1211" s="8" t="s">
        <v>25</v>
      </c>
      <c r="I1211" s="8" t="str">
        <f>IFERROR(__XLUDF.DUMMYFUNCTION("VLOOKUP(H4,IMPORTRANGE(""https://docs.google.com/spreadsheets/d/1opm6ZNvGZ7KditA9TuJwrZ25eFLfTNIkrNnY6mhV5Eg"",""list!A1:C115""),3,TRUE)"),"le secteur de l'hôtellerie")</f>
        <v xml:space="preserve">le secteur de l'hôtellerie</v>
      </c>
      <c r="J1211" s="10" t="s">
        <v>8073</v>
      </c>
      <c r="K1211" s="11" t="s">
        <v>6680</v>
      </c>
      <c r="L1211" s="8" t="s">
        <v>295</v>
      </c>
      <c r="M1211" s="8" t="s">
        <v>29</v>
      </c>
      <c r="N1211" s="8" t="s">
        <v>6684</v>
      </c>
      <c r="O1211" s="8" t="s">
        <v>29</v>
      </c>
      <c r="P1211" s="8" t="s">
        <v>6685</v>
      </c>
      <c r="Q1211" s="8"/>
      <c r="R1211" s="8"/>
      <c r="S1211" s="8"/>
      <c r="T1211" s="8"/>
      <c r="U1211" s="8"/>
      <c r="V1211" s="8"/>
      <c r="W1211" s="8"/>
      <c r="X1211" s="8"/>
      <c r="Y1211" s="8"/>
    </row>
    <row r="1212" ht="14.25">
      <c r="B1212" s="8" t="s">
        <v>823</v>
      </c>
      <c r="C1212" s="8" t="s">
        <v>6606</v>
      </c>
      <c r="D1212" s="8" t="s">
        <v>44</v>
      </c>
      <c r="E1212" s="8" t="s">
        <v>6607</v>
      </c>
      <c r="F1212" s="8" t="s">
        <v>6608</v>
      </c>
      <c r="G1212" s="9">
        <v>78</v>
      </c>
      <c r="H1212" s="8" t="s">
        <v>25</v>
      </c>
      <c r="I1212" s="8" t="str">
        <f>IFERROR(__XLUDF.DUMMYFUNCTION("VLOOKUP(H5,IMPORTRANGE(""https://docs.google.com/spreadsheets/d/1opm6ZNvGZ7KditA9TuJwrZ25eFLfTNIkrNnY6mhV5Eg"",""list!A1:C115""),3,TRUE)"),"le secteur de l'hôtellerie")</f>
        <v xml:space="preserve">le secteur de l'hôtellerie</v>
      </c>
      <c r="J1212" s="10" t="s">
        <v>6609</v>
      </c>
      <c r="K1212" s="11" t="s">
        <v>6607</v>
      </c>
      <c r="L1212" s="8" t="s">
        <v>39</v>
      </c>
      <c r="M1212" s="8" t="s">
        <v>29</v>
      </c>
      <c r="N1212" s="8" t="s">
        <v>6611</v>
      </c>
      <c r="O1212" s="8" t="s">
        <v>29</v>
      </c>
      <c r="P1212" s="8" t="s">
        <v>6612</v>
      </c>
      <c r="Q1212" s="8"/>
      <c r="R1212" s="8"/>
      <c r="S1212" s="8"/>
      <c r="T1212" s="8"/>
      <c r="U1212" s="8"/>
      <c r="V1212" s="8"/>
      <c r="W1212" s="8"/>
      <c r="X1212" s="8"/>
      <c r="Y1212" s="8"/>
    </row>
    <row r="1213" ht="14.25">
      <c r="B1213" s="8" t="s">
        <v>8074</v>
      </c>
      <c r="C1213" s="8" t="s">
        <v>8075</v>
      </c>
      <c r="D1213" s="8" t="s">
        <v>8076</v>
      </c>
      <c r="E1213" s="10" t="s">
        <v>6729</v>
      </c>
      <c r="F1213" s="8" t="s">
        <v>8077</v>
      </c>
      <c r="G1213" s="9">
        <v>96</v>
      </c>
      <c r="H1213" s="8" t="s">
        <v>25</v>
      </c>
      <c r="I1213" s="8" t="str">
        <f>IFERROR(__XLUDF.DUMMYFUNCTION("VLOOKUP(H6,IMPORTRANGE(""https://docs.google.com/spreadsheets/d/1opm6ZNvGZ7KditA9TuJwrZ25eFLfTNIkrNnY6mhV5Eg"",""list!A1:C115""),3,TRUE)"),"le secteur de l'hôtellerie")</f>
        <v xml:space="preserve">le secteur de l'hôtellerie</v>
      </c>
      <c r="J1213" s="10" t="s">
        <v>8078</v>
      </c>
      <c r="K1213" s="10" t="s">
        <v>8079</v>
      </c>
      <c r="L1213" s="8" t="s">
        <v>39</v>
      </c>
      <c r="M1213" s="8" t="s">
        <v>29</v>
      </c>
      <c r="N1213" s="8" t="s">
        <v>6733</v>
      </c>
      <c r="O1213" s="8" t="s">
        <v>29</v>
      </c>
      <c r="P1213" s="8" t="s">
        <v>6734</v>
      </c>
      <c r="Q1213" s="8"/>
      <c r="R1213" s="8"/>
      <c r="S1213" s="8"/>
      <c r="T1213" s="8"/>
      <c r="U1213" s="8"/>
      <c r="V1213" s="8"/>
      <c r="W1213" s="8"/>
      <c r="X1213" s="8"/>
      <c r="Y1213" s="8"/>
    </row>
    <row r="1214" ht="14.25">
      <c r="B1214" s="8" t="s">
        <v>8080</v>
      </c>
      <c r="C1214" s="8" t="s">
        <v>8081</v>
      </c>
      <c r="D1214" s="8" t="s">
        <v>315</v>
      </c>
      <c r="E1214" s="8" t="s">
        <v>8082</v>
      </c>
      <c r="F1214" s="8" t="s">
        <v>8083</v>
      </c>
      <c r="G1214" s="9">
        <v>3</v>
      </c>
      <c r="H1214" s="8" t="s">
        <v>25</v>
      </c>
      <c r="I1214" s="8" t="str">
        <f>IFERROR(__XLUDF.DUMMYFUNCTION("VLOOKUP(H7,IMPORTRANGE(""https://docs.google.com/spreadsheets/d/1opm6ZNvGZ7KditA9TuJwrZ25eFLfTNIkrNnY6mhV5Eg"",""list!A1:C115""),3,TRUE)"),"le secteur de l'hôtellerie")</f>
        <v xml:space="preserve">le secteur de l'hôtellerie</v>
      </c>
      <c r="J1214" s="10" t="s">
        <v>8084</v>
      </c>
      <c r="K1214" s="10" t="s">
        <v>8085</v>
      </c>
      <c r="L1214" s="8" t="s">
        <v>8086</v>
      </c>
      <c r="M1214" s="8" t="s">
        <v>1938</v>
      </c>
      <c r="N1214" s="8" t="s">
        <v>8087</v>
      </c>
      <c r="O1214" s="8" t="s">
        <v>1938</v>
      </c>
      <c r="P1214" s="8" t="s">
        <v>8088</v>
      </c>
      <c r="Q1214" s="8"/>
      <c r="R1214" s="8"/>
      <c r="S1214" s="8"/>
      <c r="T1214" s="8"/>
      <c r="U1214" s="8"/>
      <c r="V1214" s="8"/>
      <c r="W1214" s="8"/>
      <c r="X1214" s="8"/>
      <c r="Y1214" s="8"/>
    </row>
    <row r="1215" ht="14.25">
      <c r="B1215" s="8" t="s">
        <v>670</v>
      </c>
      <c r="C1215" s="8" t="s">
        <v>6589</v>
      </c>
      <c r="D1215" s="8" t="s">
        <v>6590</v>
      </c>
      <c r="E1215" s="8" t="s">
        <v>6591</v>
      </c>
      <c r="F1215" s="8" t="s">
        <v>6592</v>
      </c>
      <c r="G1215" s="9">
        <v>82</v>
      </c>
      <c r="H1215" s="8" t="s">
        <v>25</v>
      </c>
      <c r="I1215" s="8" t="str">
        <f>IFERROR(__XLUDF.DUMMYFUNCTION("VLOOKUP(H8,IMPORTRANGE(""https://docs.google.com/spreadsheets/d/1opm6ZNvGZ7KditA9TuJwrZ25eFLfTNIkrNnY6mhV5Eg"",""list!A1:C115""),3,TRUE)"),"le secteur de l'hôtellerie")</f>
        <v xml:space="preserve">le secteur de l'hôtellerie</v>
      </c>
      <c r="J1215" s="10" t="s">
        <v>6593</v>
      </c>
      <c r="K1215" s="10" t="s">
        <v>8089</v>
      </c>
      <c r="L1215" s="8" t="s">
        <v>6595</v>
      </c>
      <c r="M1215" s="8" t="s">
        <v>29</v>
      </c>
      <c r="N1215" s="8" t="s">
        <v>6596</v>
      </c>
      <c r="O1215" s="8" t="s">
        <v>29</v>
      </c>
      <c r="P1215" s="8" t="s">
        <v>6597</v>
      </c>
      <c r="Q1215" s="8"/>
      <c r="R1215" s="8"/>
      <c r="S1215" s="8"/>
      <c r="T1215" s="8"/>
      <c r="U1215" s="8"/>
      <c r="V1215" s="8"/>
      <c r="W1215" s="8"/>
      <c r="X1215" s="8"/>
      <c r="Y1215" s="8"/>
    </row>
    <row r="1216" ht="14.25">
      <c r="B1216" s="8" t="s">
        <v>8090</v>
      </c>
      <c r="C1216" s="8" t="s">
        <v>8091</v>
      </c>
      <c r="D1216" s="8" t="s">
        <v>8092</v>
      </c>
      <c r="E1216" s="8" t="s">
        <v>8093</v>
      </c>
      <c r="F1216" s="8" t="s">
        <v>8094</v>
      </c>
      <c r="G1216" s="9">
        <v>180</v>
      </c>
      <c r="H1216" s="8" t="s">
        <v>25</v>
      </c>
      <c r="I1216" s="8" t="str">
        <f>IFERROR(__XLUDF.DUMMYFUNCTION("VLOOKUP(H9,IMPORTRANGE(""https://docs.google.com/spreadsheets/d/1opm6ZNvGZ7KditA9TuJwrZ25eFLfTNIkrNnY6mhV5Eg"",""list!A1:C115""),3,TRUE)"),"le secteur de l'hôtellerie")</f>
        <v xml:space="preserve">le secteur de l'hôtellerie</v>
      </c>
      <c r="J1216" s="10" t="s">
        <v>8095</v>
      </c>
      <c r="K1216" s="10" t="s">
        <v>8096</v>
      </c>
      <c r="L1216" s="8"/>
      <c r="M1216" s="8" t="s">
        <v>1938</v>
      </c>
      <c r="N1216" s="8" t="s">
        <v>8097</v>
      </c>
      <c r="O1216" s="8" t="s">
        <v>1938</v>
      </c>
      <c r="P1216" s="8" t="s">
        <v>8098</v>
      </c>
      <c r="Q1216" s="8"/>
      <c r="R1216" s="8"/>
      <c r="S1216" s="8"/>
      <c r="T1216" s="8"/>
      <c r="U1216" s="8"/>
      <c r="V1216" s="8"/>
      <c r="W1216" s="8"/>
      <c r="X1216" s="8"/>
      <c r="Y1216" s="8"/>
    </row>
    <row r="1217" ht="14.25">
      <c r="B1217" s="8" t="s">
        <v>8099</v>
      </c>
      <c r="C1217" s="8" t="s">
        <v>8100</v>
      </c>
      <c r="D1217" s="8" t="s">
        <v>8101</v>
      </c>
      <c r="E1217" s="8" t="s">
        <v>8102</v>
      </c>
      <c r="F1217" s="8" t="s">
        <v>8103</v>
      </c>
      <c r="G1217" s="9">
        <v>200</v>
      </c>
      <c r="H1217" s="8" t="s">
        <v>25</v>
      </c>
      <c r="I1217" s="8" t="str">
        <f>IFERROR(__XLUDF.DUMMYFUNCTION("VLOOKUP(H10,IMPORTRANGE(""https://docs.google.com/spreadsheets/d/1opm6ZNvGZ7KditA9TuJwrZ25eFLfTNIkrNnY6mhV5Eg"",""list!A1:C115""),3,TRUE)"),"le secteur de l'hôtellerie")</f>
        <v xml:space="preserve">le secteur de l'hôtellerie</v>
      </c>
      <c r="J1217" s="10" t="s">
        <v>8104</v>
      </c>
      <c r="K1217" s="10" t="s">
        <v>8105</v>
      </c>
      <c r="L1217" s="8" t="s">
        <v>295</v>
      </c>
      <c r="M1217" s="8" t="s">
        <v>29</v>
      </c>
      <c r="N1217" s="8" t="s">
        <v>8106</v>
      </c>
      <c r="O1217" s="8" t="s">
        <v>29</v>
      </c>
      <c r="P1217" s="8"/>
      <c r="Q1217" s="8"/>
      <c r="R1217" s="8"/>
      <c r="S1217" s="8"/>
      <c r="T1217" s="8"/>
      <c r="U1217" s="8"/>
      <c r="V1217" s="8"/>
      <c r="W1217" s="8"/>
      <c r="X1217" s="8"/>
      <c r="Y1217" s="8"/>
    </row>
    <row r="1218" ht="14.25">
      <c r="B1218" s="8" t="s">
        <v>8107</v>
      </c>
      <c r="C1218" s="8" t="s">
        <v>8108</v>
      </c>
      <c r="D1218" s="8" t="s">
        <v>8109</v>
      </c>
      <c r="E1218" s="8" t="s">
        <v>8110</v>
      </c>
      <c r="F1218" s="8" t="s">
        <v>8111</v>
      </c>
      <c r="G1218" s="9">
        <v>64</v>
      </c>
      <c r="H1218" s="8" t="s">
        <v>25</v>
      </c>
      <c r="I1218" s="8" t="str">
        <f>IFERROR(__XLUDF.DUMMYFUNCTION("VLOOKUP(H11,IMPORTRANGE(""https://docs.google.com/spreadsheets/d/1opm6ZNvGZ7KditA9TuJwrZ25eFLfTNIkrNnY6mhV5Eg"",""list!A1:C115""),3,TRUE)"),"le secteur de l'hôtellerie")</f>
        <v xml:space="preserve">le secteur de l'hôtellerie</v>
      </c>
      <c r="J1218" s="10" t="s">
        <v>8112</v>
      </c>
      <c r="K1218" s="10" t="s">
        <v>8113</v>
      </c>
      <c r="L1218" s="8" t="s">
        <v>8114</v>
      </c>
      <c r="M1218" s="8" t="s">
        <v>1938</v>
      </c>
      <c r="N1218" s="8" t="s">
        <v>8115</v>
      </c>
      <c r="O1218" s="8" t="s">
        <v>1938</v>
      </c>
      <c r="P1218" s="8" t="s">
        <v>8116</v>
      </c>
      <c r="Q1218" s="8"/>
      <c r="R1218" s="8"/>
      <c r="S1218" s="8"/>
      <c r="T1218" s="8"/>
      <c r="U1218" s="8"/>
      <c r="V1218" s="8"/>
      <c r="W1218" s="8"/>
      <c r="X1218" s="8"/>
      <c r="Y1218" s="8"/>
    </row>
    <row r="1219" ht="14.25">
      <c r="B1219" s="8" t="s">
        <v>8117</v>
      </c>
      <c r="C1219" s="8" t="s">
        <v>8118</v>
      </c>
      <c r="D1219" s="8" t="s">
        <v>8119</v>
      </c>
      <c r="E1219" s="8" t="s">
        <v>8120</v>
      </c>
      <c r="F1219" s="8" t="s">
        <v>8121</v>
      </c>
      <c r="G1219" s="9">
        <v>27</v>
      </c>
      <c r="H1219" s="8" t="s">
        <v>25</v>
      </c>
      <c r="I1219" s="8" t="str">
        <f>IFERROR(__XLUDF.DUMMYFUNCTION("VLOOKUP(H12,IMPORTRANGE(""https://docs.google.com/spreadsheets/d/1opm6ZNvGZ7KditA9TuJwrZ25eFLfTNIkrNnY6mhV5Eg"",""list!A1:C115""),3,TRUE)"),"le secteur de l'hôtellerie")</f>
        <v xml:space="preserve">le secteur de l'hôtellerie</v>
      </c>
      <c r="J1219" s="10" t="s">
        <v>8122</v>
      </c>
      <c r="K1219" s="10" t="s">
        <v>8123</v>
      </c>
      <c r="L1219" s="8" t="s">
        <v>8124</v>
      </c>
      <c r="M1219" s="8" t="s">
        <v>1938</v>
      </c>
      <c r="N1219" s="8" t="s">
        <v>8125</v>
      </c>
      <c r="O1219" s="8" t="s">
        <v>1938</v>
      </c>
      <c r="P1219" s="8" t="s">
        <v>8126</v>
      </c>
      <c r="Q1219" s="8"/>
      <c r="R1219" s="8"/>
      <c r="S1219" s="8"/>
      <c r="T1219" s="8"/>
      <c r="U1219" s="8"/>
      <c r="V1219" s="8"/>
      <c r="W1219" s="8"/>
      <c r="X1219" s="8"/>
      <c r="Y1219" s="8"/>
    </row>
    <row r="1220" ht="14.25">
      <c r="B1220" s="8" t="s">
        <v>8127</v>
      </c>
      <c r="C1220" s="8" t="s">
        <v>8128</v>
      </c>
      <c r="D1220" s="8" t="s">
        <v>3505</v>
      </c>
      <c r="E1220" s="8" t="s">
        <v>8129</v>
      </c>
      <c r="F1220" s="8" t="s">
        <v>8130</v>
      </c>
      <c r="G1220" s="9">
        <v>47</v>
      </c>
      <c r="H1220" s="8" t="s">
        <v>25</v>
      </c>
      <c r="I1220" s="8" t="str">
        <f>IFERROR(__XLUDF.DUMMYFUNCTION("VLOOKUP(H13,IMPORTRANGE(""https://docs.google.com/spreadsheets/d/1opm6ZNvGZ7KditA9TuJwrZ25eFLfTNIkrNnY6mhV5Eg"",""list!A1:C115""),3,TRUE)"),"le secteur de l'hôtellerie")</f>
        <v xml:space="preserve">le secteur de l'hôtellerie</v>
      </c>
      <c r="J1220" s="10" t="s">
        <v>8131</v>
      </c>
      <c r="K1220" s="10" t="s">
        <v>8132</v>
      </c>
      <c r="L1220" s="8" t="s">
        <v>8133</v>
      </c>
      <c r="M1220" s="8" t="s">
        <v>1938</v>
      </c>
      <c r="N1220" s="8" t="s">
        <v>8134</v>
      </c>
      <c r="O1220" s="8" t="s">
        <v>1938</v>
      </c>
      <c r="P1220" s="8" t="s">
        <v>8135</v>
      </c>
      <c r="Q1220" s="8"/>
      <c r="R1220" s="8"/>
      <c r="S1220" s="8"/>
      <c r="T1220" s="8"/>
      <c r="U1220" s="8"/>
      <c r="V1220" s="8"/>
      <c r="W1220" s="8"/>
      <c r="X1220" s="8"/>
      <c r="Y1220" s="8"/>
    </row>
    <row r="1221" ht="14.25">
      <c r="B1221" s="8" t="s">
        <v>8136</v>
      </c>
      <c r="C1221" s="8" t="s">
        <v>8137</v>
      </c>
      <c r="D1221" s="8" t="s">
        <v>87</v>
      </c>
      <c r="E1221" s="8" t="s">
        <v>8138</v>
      </c>
      <c r="F1221" s="8" t="s">
        <v>8139</v>
      </c>
      <c r="G1221" s="9">
        <v>140</v>
      </c>
      <c r="H1221" s="8" t="s">
        <v>25</v>
      </c>
      <c r="I1221" s="8" t="str">
        <f>IFERROR(__XLUDF.DUMMYFUNCTION("VLOOKUP(H14,IMPORTRANGE(""https://docs.google.com/spreadsheets/d/1opm6ZNvGZ7KditA9TuJwrZ25eFLfTNIkrNnY6mhV5Eg"",""list!A1:C115""),3,TRUE)"),"le secteur de l'hôtellerie")</f>
        <v xml:space="preserve">le secteur de l'hôtellerie</v>
      </c>
      <c r="J1221" s="10" t="s">
        <v>8140</v>
      </c>
      <c r="K1221" s="10" t="s">
        <v>8141</v>
      </c>
      <c r="L1221" s="8" t="s">
        <v>8133</v>
      </c>
      <c r="M1221" s="8" t="s">
        <v>1938</v>
      </c>
      <c r="N1221" s="8" t="s">
        <v>8142</v>
      </c>
      <c r="O1221" s="8" t="s">
        <v>1938</v>
      </c>
      <c r="P1221" s="8" t="s">
        <v>8143</v>
      </c>
      <c r="Q1221" s="8"/>
      <c r="R1221" s="8"/>
      <c r="S1221" s="8"/>
      <c r="T1221" s="8"/>
      <c r="U1221" s="8"/>
      <c r="V1221" s="8"/>
      <c r="W1221" s="8"/>
      <c r="X1221" s="8"/>
      <c r="Y1221" s="8"/>
    </row>
    <row r="1222" ht="14.25">
      <c r="B1222" s="8" t="s">
        <v>8144</v>
      </c>
      <c r="C1222" s="8" t="s">
        <v>8145</v>
      </c>
      <c r="D1222" s="8" t="s">
        <v>8146</v>
      </c>
      <c r="E1222" s="8" t="s">
        <v>8129</v>
      </c>
      <c r="F1222" s="8" t="s">
        <v>8147</v>
      </c>
      <c r="G1222" s="9">
        <v>47</v>
      </c>
      <c r="H1222" s="8" t="s">
        <v>25</v>
      </c>
      <c r="I1222" s="8" t="str">
        <f>IFERROR(__XLUDF.DUMMYFUNCTION("VLOOKUP(H15,IMPORTRANGE(""https://docs.google.com/spreadsheets/d/1opm6ZNvGZ7KditA9TuJwrZ25eFLfTNIkrNnY6mhV5Eg"",""list!A1:C115""),3,TRUE)"),"le secteur de l'hôtellerie")</f>
        <v xml:space="preserve">le secteur de l'hôtellerie</v>
      </c>
      <c r="J1222" s="10" t="s">
        <v>8148</v>
      </c>
      <c r="K1222" s="10" t="s">
        <v>8132</v>
      </c>
      <c r="L1222" s="8" t="s">
        <v>8133</v>
      </c>
      <c r="M1222" s="8" t="s">
        <v>1938</v>
      </c>
      <c r="N1222" s="8" t="s">
        <v>8134</v>
      </c>
      <c r="O1222" s="8" t="s">
        <v>1938</v>
      </c>
      <c r="P1222" s="8" t="s">
        <v>8135</v>
      </c>
      <c r="Q1222" s="8"/>
      <c r="R1222" s="8"/>
      <c r="S1222" s="8"/>
      <c r="T1222" s="8"/>
      <c r="U1222" s="8"/>
      <c r="V1222" s="8"/>
      <c r="W1222" s="8"/>
      <c r="X1222" s="8"/>
      <c r="Y1222" s="8"/>
    </row>
    <row r="1223" ht="14.25">
      <c r="B1223" s="8" t="s">
        <v>245</v>
      </c>
      <c r="C1223" s="8" t="s">
        <v>6701</v>
      </c>
      <c r="D1223" s="8" t="s">
        <v>672</v>
      </c>
      <c r="E1223" s="8" t="s">
        <v>6702</v>
      </c>
      <c r="F1223" s="8" t="s">
        <v>6703</v>
      </c>
      <c r="G1223" s="9">
        <v>210</v>
      </c>
      <c r="H1223" s="8" t="s">
        <v>25</v>
      </c>
      <c r="I1223" s="8" t="str">
        <f>IFERROR(__XLUDF.DUMMYFUNCTION("VLOOKUP(H16,IMPORTRANGE(""https://docs.google.com/spreadsheets/d/1opm6ZNvGZ7KditA9TuJwrZ25eFLfTNIkrNnY6mhV5Eg"",""list!A1:C115""),3,TRUE)"),"le secteur de l'hôtellerie")</f>
        <v xml:space="preserve">le secteur de l'hôtellerie</v>
      </c>
      <c r="J1223" s="10" t="s">
        <v>6704</v>
      </c>
      <c r="K1223" s="10" t="s">
        <v>8149</v>
      </c>
      <c r="L1223" s="8" t="s">
        <v>39</v>
      </c>
      <c r="M1223" s="8" t="s">
        <v>29</v>
      </c>
      <c r="N1223" s="8" t="s">
        <v>6706</v>
      </c>
      <c r="O1223" s="8" t="s">
        <v>1261</v>
      </c>
      <c r="P1223" s="8" t="s">
        <v>6707</v>
      </c>
      <c r="Q1223" s="8"/>
      <c r="R1223" s="8"/>
      <c r="S1223" s="8"/>
      <c r="T1223" s="8"/>
      <c r="U1223" s="8"/>
      <c r="V1223" s="8"/>
      <c r="W1223" s="8"/>
      <c r="X1223" s="8"/>
      <c r="Y1223" s="8"/>
    </row>
    <row r="1224" ht="14.25">
      <c r="B1224" s="8" t="s">
        <v>1009</v>
      </c>
      <c r="C1224" s="8"/>
      <c r="D1224" s="8" t="s">
        <v>8071</v>
      </c>
      <c r="E1224" s="8" t="s">
        <v>8150</v>
      </c>
      <c r="F1224" s="8" t="s">
        <v>8151</v>
      </c>
      <c r="G1224" s="9">
        <v>3</v>
      </c>
      <c r="H1224" s="8" t="s">
        <v>25</v>
      </c>
      <c r="I1224" s="8" t="str">
        <f>IFERROR(__XLUDF.DUMMYFUNCTION("VLOOKUP(H17,IMPORTRANGE(""https://docs.google.com/spreadsheets/d/1opm6ZNvGZ7KditA9TuJwrZ25eFLfTNIkrNnY6mhV5Eg"",""list!A1:C115""),3,TRUE)"),"le secteur de l'hôtellerie")</f>
        <v xml:space="preserve">le secteur de l'hôtellerie</v>
      </c>
      <c r="J1224" s="10" t="s">
        <v>8152</v>
      </c>
      <c r="K1224" s="10" t="s">
        <v>8153</v>
      </c>
      <c r="L1224" s="8" t="s">
        <v>39</v>
      </c>
      <c r="M1224" s="8" t="s">
        <v>29</v>
      </c>
      <c r="N1224" s="8" t="s">
        <v>416</v>
      </c>
      <c r="O1224" s="8" t="s">
        <v>29</v>
      </c>
      <c r="P1224" s="8"/>
      <c r="Q1224" s="8"/>
      <c r="R1224" s="8"/>
      <c r="S1224" s="8"/>
      <c r="T1224" s="8"/>
      <c r="U1224" s="8"/>
      <c r="V1224" s="8"/>
      <c r="W1224" s="8"/>
      <c r="X1224" s="8"/>
      <c r="Y1224" s="8"/>
    </row>
    <row r="1225" ht="14.25">
      <c r="B1225" s="8" t="s">
        <v>1667</v>
      </c>
      <c r="C1225" s="8" t="s">
        <v>8154</v>
      </c>
      <c r="D1225" s="8" t="s">
        <v>8155</v>
      </c>
      <c r="E1225" s="8" t="s">
        <v>8156</v>
      </c>
      <c r="F1225" s="8" t="s">
        <v>8157</v>
      </c>
      <c r="G1225" s="9">
        <v>170</v>
      </c>
      <c r="H1225" s="8" t="s">
        <v>25</v>
      </c>
      <c r="I1225" s="8" t="str">
        <f>IFERROR(__XLUDF.DUMMYFUNCTION("VLOOKUP(H18,IMPORTRANGE(""https://docs.google.com/spreadsheets/d/1opm6ZNvGZ7KditA9TuJwrZ25eFLfTNIkrNnY6mhV5Eg"",""list!A1:C115""),3,TRUE)"),"le secteur de l'hôtellerie")</f>
        <v xml:space="preserve">le secteur de l'hôtellerie</v>
      </c>
      <c r="J1225" s="10" t="s">
        <v>8158</v>
      </c>
      <c r="K1225" s="10" t="s">
        <v>8159</v>
      </c>
      <c r="L1225" s="8" t="s">
        <v>8160</v>
      </c>
      <c r="M1225" s="8" t="s">
        <v>29</v>
      </c>
      <c r="N1225" s="8" t="s">
        <v>8161</v>
      </c>
      <c r="O1225" s="8" t="s">
        <v>29</v>
      </c>
      <c r="P1225" s="8" t="s">
        <v>8162</v>
      </c>
      <c r="Q1225" s="8"/>
      <c r="R1225" s="8"/>
      <c r="S1225" s="8"/>
      <c r="T1225" s="8"/>
      <c r="U1225" s="8"/>
      <c r="V1225" s="8"/>
      <c r="W1225" s="8"/>
      <c r="X1225" s="8"/>
      <c r="Y1225" s="8"/>
    </row>
    <row r="1226" ht="14.25">
      <c r="B1226" s="8" t="s">
        <v>1579</v>
      </c>
      <c r="C1226" s="8" t="s">
        <v>8163</v>
      </c>
      <c r="D1226" s="8" t="s">
        <v>247</v>
      </c>
      <c r="E1226" s="8" t="s">
        <v>8164</v>
      </c>
      <c r="F1226" s="8" t="s">
        <v>8165</v>
      </c>
      <c r="G1226" s="9">
        <v>26</v>
      </c>
      <c r="H1226" s="8" t="s">
        <v>25</v>
      </c>
      <c r="I1226" s="8" t="str">
        <f>IFERROR(__XLUDF.DUMMYFUNCTION("VLOOKUP(H19,IMPORTRANGE(""https://docs.google.com/spreadsheets/d/1opm6ZNvGZ7KditA9TuJwrZ25eFLfTNIkrNnY6mhV5Eg"",""list!A1:C115""),3,TRUE)"),"le secteur de l'hôtellerie")</f>
        <v xml:space="preserve">le secteur de l'hôtellerie</v>
      </c>
      <c r="J1226" s="10" t="s">
        <v>8166</v>
      </c>
      <c r="K1226" s="10" t="s">
        <v>8167</v>
      </c>
      <c r="L1226" s="8" t="s">
        <v>8168</v>
      </c>
      <c r="M1226" s="8" t="s">
        <v>1938</v>
      </c>
      <c r="N1226" s="8" t="s">
        <v>8169</v>
      </c>
      <c r="O1226" s="8" t="s">
        <v>1938</v>
      </c>
      <c r="P1226" s="8"/>
      <c r="Q1226" s="8"/>
      <c r="R1226" s="8"/>
      <c r="S1226" s="8"/>
      <c r="T1226" s="8"/>
      <c r="U1226" s="8"/>
      <c r="V1226" s="8"/>
      <c r="W1226" s="8"/>
      <c r="X1226" s="8"/>
      <c r="Y1226" s="8"/>
    </row>
    <row r="1227" ht="14.25">
      <c r="B1227" s="8" t="s">
        <v>1562</v>
      </c>
      <c r="C1227" s="8" t="s">
        <v>670</v>
      </c>
      <c r="D1227" s="8" t="s">
        <v>87</v>
      </c>
      <c r="E1227" s="8" t="s">
        <v>6680</v>
      </c>
      <c r="F1227" s="8" t="s">
        <v>6780</v>
      </c>
      <c r="G1227" s="9">
        <v>160</v>
      </c>
      <c r="H1227" s="8" t="s">
        <v>25</v>
      </c>
      <c r="I1227" s="8" t="str">
        <f>IFERROR(__XLUDF.DUMMYFUNCTION("VLOOKUP(H20,IMPORTRANGE(""https://docs.google.com/spreadsheets/d/1opm6ZNvGZ7KditA9TuJwrZ25eFLfTNIkrNnY6mhV5Eg"",""list!A1:C115""),3,TRUE)"),"le secteur de l'hôtellerie")</f>
        <v xml:space="preserve">le secteur de l'hôtellerie</v>
      </c>
      <c r="J1227" s="10" t="s">
        <v>6781</v>
      </c>
      <c r="K1227" s="10" t="s">
        <v>8170</v>
      </c>
      <c r="L1227" s="8" t="s">
        <v>6603</v>
      </c>
      <c r="M1227" s="8" t="s">
        <v>29</v>
      </c>
      <c r="N1227" s="8" t="s">
        <v>6684</v>
      </c>
      <c r="O1227" s="8" t="s">
        <v>29</v>
      </c>
      <c r="P1227" s="8" t="s">
        <v>6685</v>
      </c>
      <c r="Q1227" s="8"/>
      <c r="R1227" s="8"/>
      <c r="S1227" s="8"/>
      <c r="T1227" s="8"/>
      <c r="U1227" s="8"/>
      <c r="V1227" s="8"/>
      <c r="W1227" s="8"/>
      <c r="X1227" s="8"/>
      <c r="Y1227" s="8"/>
    </row>
    <row r="1228" ht="14.25">
      <c r="B1228" s="8" t="s">
        <v>3609</v>
      </c>
      <c r="C1228" s="8" t="s">
        <v>8171</v>
      </c>
      <c r="D1228" s="8" t="s">
        <v>8172</v>
      </c>
      <c r="E1228" s="8" t="s">
        <v>8173</v>
      </c>
      <c r="F1228" s="8" t="s">
        <v>8174</v>
      </c>
      <c r="G1228" s="9">
        <v>68</v>
      </c>
      <c r="H1228" s="8" t="s">
        <v>25</v>
      </c>
      <c r="I1228" s="8" t="str">
        <f>IFERROR(__XLUDF.DUMMYFUNCTION("VLOOKUP(H21,IMPORTRANGE(""https://docs.google.com/spreadsheets/d/1opm6ZNvGZ7KditA9TuJwrZ25eFLfTNIkrNnY6mhV5Eg"",""list!A1:C115""),3,TRUE)"),"le secteur de l'hôtellerie")</f>
        <v xml:space="preserve">le secteur de l'hôtellerie</v>
      </c>
      <c r="J1228" s="10" t="s">
        <v>8175</v>
      </c>
      <c r="K1228" s="10" t="s">
        <v>8176</v>
      </c>
      <c r="L1228" s="8" t="s">
        <v>8133</v>
      </c>
      <c r="M1228" s="8" t="s">
        <v>1938</v>
      </c>
      <c r="N1228" s="8" t="s">
        <v>8177</v>
      </c>
      <c r="O1228" s="8" t="s">
        <v>1938</v>
      </c>
      <c r="P1228" s="8"/>
      <c r="Q1228" s="8"/>
      <c r="R1228" s="8"/>
      <c r="S1228" s="8"/>
      <c r="T1228" s="8"/>
      <c r="U1228" s="8"/>
      <c r="V1228" s="8"/>
      <c r="W1228" s="8"/>
      <c r="X1228" s="8"/>
      <c r="Y1228" s="8"/>
    </row>
    <row r="1229" ht="14.25">
      <c r="B1229" s="8" t="s">
        <v>5523</v>
      </c>
      <c r="C1229" s="8" t="s">
        <v>8178</v>
      </c>
      <c r="D1229" s="8" t="s">
        <v>8179</v>
      </c>
      <c r="E1229" s="8" t="s">
        <v>7077</v>
      </c>
      <c r="F1229" s="8" t="s">
        <v>8180</v>
      </c>
      <c r="G1229" s="9">
        <v>170</v>
      </c>
      <c r="H1229" s="8" t="s">
        <v>25</v>
      </c>
      <c r="I1229" s="8" t="str">
        <f>IFERROR(__XLUDF.DUMMYFUNCTION("VLOOKUP(H22,IMPORTRANGE(""https://docs.google.com/spreadsheets/d/1opm6ZNvGZ7KditA9TuJwrZ25eFLfTNIkrNnY6mhV5Eg"",""list!A1:C115""),3,TRUE)"),"le secteur de l'hôtellerie")</f>
        <v xml:space="preserve">le secteur de l'hôtellerie</v>
      </c>
      <c r="J1229" s="10" t="s">
        <v>8181</v>
      </c>
      <c r="K1229" s="10" t="s">
        <v>8182</v>
      </c>
      <c r="L1229" s="8" t="s">
        <v>39</v>
      </c>
      <c r="M1229" s="8" t="s">
        <v>29</v>
      </c>
      <c r="N1229" s="8" t="s">
        <v>7081</v>
      </c>
      <c r="O1229" s="8" t="s">
        <v>29</v>
      </c>
      <c r="P1229" s="8" t="s">
        <v>8183</v>
      </c>
      <c r="Q1229" s="8"/>
      <c r="R1229" s="8"/>
      <c r="S1229" s="8"/>
      <c r="T1229" s="8"/>
      <c r="U1229" s="8"/>
      <c r="V1229" s="8"/>
      <c r="W1229" s="8"/>
      <c r="X1229" s="8"/>
      <c r="Y1229" s="8"/>
    </row>
    <row r="1230" ht="14.25">
      <c r="B1230" s="8" t="s">
        <v>5523</v>
      </c>
      <c r="C1230" s="8" t="s">
        <v>8184</v>
      </c>
      <c r="D1230" s="8" t="s">
        <v>8185</v>
      </c>
      <c r="E1230" s="8" t="s">
        <v>6607</v>
      </c>
      <c r="F1230" s="8" t="s">
        <v>8186</v>
      </c>
      <c r="G1230" s="9">
        <v>78</v>
      </c>
      <c r="H1230" s="8" t="s">
        <v>25</v>
      </c>
      <c r="I1230" s="8" t="str">
        <f>IFERROR(__XLUDF.DUMMYFUNCTION("VLOOKUP(H23,IMPORTRANGE(""https://docs.google.com/spreadsheets/d/1opm6ZNvGZ7KditA9TuJwrZ25eFLfTNIkrNnY6mhV5Eg"",""list!A1:C115""),3,TRUE)"),"le secteur de l'hôtellerie")</f>
        <v xml:space="preserve">le secteur de l'hôtellerie</v>
      </c>
      <c r="J1230" s="10" t="s">
        <v>8187</v>
      </c>
      <c r="K1230" s="10" t="s">
        <v>8188</v>
      </c>
      <c r="L1230" s="8" t="s">
        <v>39</v>
      </c>
      <c r="M1230" s="8" t="s">
        <v>29</v>
      </c>
      <c r="N1230" s="8" t="s">
        <v>6611</v>
      </c>
      <c r="O1230" s="8" t="s">
        <v>29</v>
      </c>
      <c r="P1230" s="8" t="s">
        <v>6612</v>
      </c>
      <c r="Q1230" s="8"/>
      <c r="R1230" s="8"/>
      <c r="S1230" s="8"/>
      <c r="T1230" s="8"/>
      <c r="U1230" s="8"/>
      <c r="V1230" s="8"/>
      <c r="W1230" s="8"/>
      <c r="X1230" s="8"/>
      <c r="Y1230" s="8"/>
    </row>
    <row r="1231" ht="14.25">
      <c r="B1231" s="8" t="s">
        <v>8189</v>
      </c>
      <c r="C1231" s="8" t="s">
        <v>8190</v>
      </c>
      <c r="D1231" s="8" t="s">
        <v>8191</v>
      </c>
      <c r="E1231" s="8" t="s">
        <v>8192</v>
      </c>
      <c r="F1231" s="8" t="s">
        <v>8193</v>
      </c>
      <c r="G1231" s="9">
        <v>25</v>
      </c>
      <c r="H1231" s="8" t="s">
        <v>25</v>
      </c>
      <c r="I1231" s="8" t="str">
        <f>IFERROR(__XLUDF.DUMMYFUNCTION("VLOOKUP(H24,IMPORTRANGE(""https://docs.google.com/spreadsheets/d/1opm6ZNvGZ7KditA9TuJwrZ25eFLfTNIkrNnY6mhV5Eg"",""list!A1:C115""),3,TRUE)"),"le secteur de l'hôtellerie")</f>
        <v xml:space="preserve">le secteur de l'hôtellerie</v>
      </c>
      <c r="J1231" s="10" t="s">
        <v>8194</v>
      </c>
      <c r="K1231" s="10" t="s">
        <v>8195</v>
      </c>
      <c r="L1231" s="8" t="s">
        <v>39</v>
      </c>
      <c r="M1231" s="8" t="s">
        <v>29</v>
      </c>
      <c r="N1231" s="8" t="s">
        <v>8196</v>
      </c>
      <c r="O1231" s="8" t="s">
        <v>29</v>
      </c>
      <c r="P1231" s="8" t="s">
        <v>8197</v>
      </c>
      <c r="Q1231" s="8"/>
      <c r="R1231" s="8"/>
      <c r="S1231" s="8"/>
      <c r="T1231" s="8"/>
      <c r="U1231" s="8"/>
      <c r="V1231" s="8"/>
      <c r="W1231" s="8"/>
      <c r="X1231" s="8"/>
      <c r="Y1231" s="8"/>
    </row>
    <row r="1232" ht="14.25">
      <c r="B1232" s="8" t="s">
        <v>1198</v>
      </c>
      <c r="C1232" s="8" t="s">
        <v>8198</v>
      </c>
      <c r="D1232" s="8" t="s">
        <v>8199</v>
      </c>
      <c r="E1232" s="8" t="s">
        <v>8200</v>
      </c>
      <c r="F1232" s="8" t="s">
        <v>8201</v>
      </c>
      <c r="G1232" s="9">
        <v>150</v>
      </c>
      <c r="H1232" s="8" t="s">
        <v>25</v>
      </c>
      <c r="I1232" s="8" t="str">
        <f>IFERROR(__XLUDF.DUMMYFUNCTION("VLOOKUP(H25,IMPORTRANGE(""https://docs.google.com/spreadsheets/d/1opm6ZNvGZ7KditA9TuJwrZ25eFLfTNIkrNnY6mhV5Eg"",""list!A1:C115""),3,TRUE)"),"le secteur de l'hôtellerie")</f>
        <v xml:space="preserve">le secteur de l'hôtellerie</v>
      </c>
      <c r="J1232" s="10" t="s">
        <v>8202</v>
      </c>
      <c r="K1232" s="10" t="s">
        <v>8203</v>
      </c>
      <c r="L1232" s="8"/>
      <c r="M1232" s="8" t="s">
        <v>29</v>
      </c>
      <c r="N1232" s="8" t="s">
        <v>8204</v>
      </c>
      <c r="O1232" s="8" t="s">
        <v>29</v>
      </c>
      <c r="P1232" s="8" t="s">
        <v>8205</v>
      </c>
      <c r="Q1232" s="8"/>
      <c r="R1232" s="8"/>
      <c r="S1232" s="8"/>
      <c r="T1232" s="8"/>
      <c r="U1232" s="8"/>
      <c r="V1232" s="8"/>
      <c r="W1232" s="8"/>
      <c r="X1232" s="8"/>
      <c r="Y1232" s="8"/>
    </row>
    <row r="1233" ht="14.25">
      <c r="B1233" s="8" t="s">
        <v>4245</v>
      </c>
      <c r="C1233" s="8" t="s">
        <v>8206</v>
      </c>
      <c r="D1233" s="8" t="s">
        <v>8207</v>
      </c>
      <c r="E1233" s="8" t="s">
        <v>8208</v>
      </c>
      <c r="F1233" s="8" t="s">
        <v>8209</v>
      </c>
      <c r="G1233" s="9">
        <v>53</v>
      </c>
      <c r="H1233" s="8" t="s">
        <v>25</v>
      </c>
      <c r="I1233" s="8" t="str">
        <f>IFERROR(__XLUDF.DUMMYFUNCTION("VLOOKUP(H26,IMPORTRANGE(""https://docs.google.com/spreadsheets/d/1opm6ZNvGZ7KditA9TuJwrZ25eFLfTNIkrNnY6mhV5Eg"",""list!A1:C115""),3,TRUE)"),"le secteur de l'hôtellerie")</f>
        <v xml:space="preserve">le secteur de l'hôtellerie</v>
      </c>
      <c r="J1233" s="10" t="s">
        <v>8210</v>
      </c>
      <c r="K1233" s="10" t="s">
        <v>8211</v>
      </c>
      <c r="L1233" s="8" t="s">
        <v>8212</v>
      </c>
      <c r="M1233" s="8" t="s">
        <v>1938</v>
      </c>
      <c r="N1233" s="8" t="s">
        <v>8213</v>
      </c>
      <c r="O1233" s="8" t="s">
        <v>1938</v>
      </c>
      <c r="P1233" s="8" t="s">
        <v>8214</v>
      </c>
      <c r="Q1233" s="8"/>
      <c r="R1233" s="8"/>
      <c r="S1233" s="8"/>
      <c r="T1233" s="8"/>
      <c r="U1233" s="8"/>
      <c r="V1233" s="8"/>
      <c r="W1233" s="8"/>
      <c r="X1233" s="8"/>
      <c r="Y1233" s="8"/>
    </row>
    <row r="1234" ht="14.25">
      <c r="B1234" s="8" t="s">
        <v>8215</v>
      </c>
      <c r="C1234" s="8" t="s">
        <v>8216</v>
      </c>
      <c r="D1234" s="8" t="s">
        <v>315</v>
      </c>
      <c r="E1234" s="8" t="s">
        <v>8217</v>
      </c>
      <c r="F1234" s="8" t="s">
        <v>8218</v>
      </c>
      <c r="G1234" s="9">
        <v>63</v>
      </c>
      <c r="H1234" s="8" t="s">
        <v>25</v>
      </c>
      <c r="I1234" s="8" t="str">
        <f>IFERROR(__XLUDF.DUMMYFUNCTION("VLOOKUP(H27,IMPORTRANGE(""https://docs.google.com/spreadsheets/d/1opm6ZNvGZ7KditA9TuJwrZ25eFLfTNIkrNnY6mhV5Eg"",""list!A1:C115""),3,TRUE)"),"le secteur de l'hôtellerie")</f>
        <v xml:space="preserve">le secteur de l'hôtellerie</v>
      </c>
      <c r="J1234" s="10" t="s">
        <v>8219</v>
      </c>
      <c r="K1234" s="10" t="s">
        <v>8220</v>
      </c>
      <c r="L1234" s="8" t="s">
        <v>8133</v>
      </c>
      <c r="M1234" s="8" t="s">
        <v>1938</v>
      </c>
      <c r="N1234" s="8" t="s">
        <v>8221</v>
      </c>
      <c r="O1234" s="8" t="s">
        <v>1548</v>
      </c>
      <c r="P1234" s="8" t="s">
        <v>8222</v>
      </c>
      <c r="Q1234" s="8"/>
      <c r="R1234" s="8"/>
      <c r="S1234" s="8"/>
      <c r="T1234" s="8"/>
      <c r="U1234" s="8"/>
      <c r="V1234" s="8"/>
      <c r="W1234" s="8"/>
      <c r="X1234" s="8"/>
      <c r="Y1234" s="8"/>
    </row>
    <row r="1235" ht="14.25">
      <c r="B1235" s="8" t="s">
        <v>1153</v>
      </c>
      <c r="C1235" s="8" t="s">
        <v>8223</v>
      </c>
      <c r="D1235" s="8" t="s">
        <v>8224</v>
      </c>
      <c r="E1235" s="8" t="s">
        <v>8225</v>
      </c>
      <c r="F1235" s="8" t="s">
        <v>8226</v>
      </c>
      <c r="G1235" s="9">
        <v>60</v>
      </c>
      <c r="H1235" s="8" t="s">
        <v>25</v>
      </c>
      <c r="I1235" s="8" t="str">
        <f>IFERROR(__XLUDF.DUMMYFUNCTION("VLOOKUP(H28,IMPORTRANGE(""https://docs.google.com/spreadsheets/d/1opm6ZNvGZ7KditA9TuJwrZ25eFLfTNIkrNnY6mhV5Eg"",""list!A1:C115""),3,TRUE)"),"le secteur de l'hôtellerie")</f>
        <v xml:space="preserve">le secteur de l'hôtellerie</v>
      </c>
      <c r="J1235" s="10" t="s">
        <v>8227</v>
      </c>
      <c r="K1235" s="10" t="s">
        <v>8228</v>
      </c>
      <c r="L1235" s="8" t="s">
        <v>8229</v>
      </c>
      <c r="M1235" s="8" t="s">
        <v>1938</v>
      </c>
      <c r="N1235" s="8" t="s">
        <v>8230</v>
      </c>
      <c r="O1235" s="8" t="s">
        <v>1938</v>
      </c>
      <c r="P1235" s="8" t="s">
        <v>8231</v>
      </c>
      <c r="Q1235" s="8"/>
      <c r="R1235" s="8"/>
      <c r="S1235" s="8"/>
      <c r="T1235" s="8"/>
      <c r="U1235" s="8"/>
      <c r="V1235" s="8"/>
      <c r="W1235" s="8"/>
      <c r="X1235" s="8"/>
      <c r="Y1235" s="8"/>
    </row>
    <row r="1236" ht="14.25">
      <c r="B1236" s="8" t="s">
        <v>1153</v>
      </c>
      <c r="C1236" s="8" t="s">
        <v>6728</v>
      </c>
      <c r="D1236" s="8" t="s">
        <v>688</v>
      </c>
      <c r="E1236" s="10" t="s">
        <v>6729</v>
      </c>
      <c r="F1236" s="8" t="s">
        <v>6730</v>
      </c>
      <c r="G1236" s="9">
        <v>96</v>
      </c>
      <c r="H1236" s="8" t="s">
        <v>25</v>
      </c>
      <c r="I1236" s="8" t="str">
        <f>IFERROR(__XLUDF.DUMMYFUNCTION("VLOOKUP(H29,IMPORTRANGE(""https://docs.google.com/spreadsheets/d/1opm6ZNvGZ7KditA9TuJwrZ25eFLfTNIkrNnY6mhV5Eg"",""list!A1:C115""),3,TRUE)"),"le secteur de l'hôtellerie")</f>
        <v xml:space="preserve">le secteur de l'hôtellerie</v>
      </c>
      <c r="J1236" s="10" t="s">
        <v>6731</v>
      </c>
      <c r="K1236" s="10" t="s">
        <v>8079</v>
      </c>
      <c r="L1236" s="8" t="s">
        <v>39</v>
      </c>
      <c r="M1236" s="8" t="s">
        <v>29</v>
      </c>
      <c r="N1236" s="8" t="s">
        <v>6733</v>
      </c>
      <c r="O1236" s="8" t="s">
        <v>29</v>
      </c>
      <c r="P1236" s="8" t="s">
        <v>6734</v>
      </c>
      <c r="Q1236" s="8"/>
      <c r="R1236" s="8"/>
      <c r="S1236" s="8"/>
      <c r="T1236" s="8"/>
      <c r="U1236" s="8"/>
      <c r="V1236" s="8"/>
      <c r="W1236" s="8"/>
      <c r="X1236" s="8"/>
      <c r="Y1236" s="8"/>
    </row>
    <row r="1237" ht="14.25">
      <c r="B1237" s="8" t="s">
        <v>170</v>
      </c>
      <c r="C1237" s="8" t="s">
        <v>8232</v>
      </c>
      <c r="D1237" s="8" t="s">
        <v>8233</v>
      </c>
      <c r="E1237" s="8" t="s">
        <v>8234</v>
      </c>
      <c r="F1237" s="8" t="s">
        <v>8235</v>
      </c>
      <c r="G1237" s="9">
        <v>190</v>
      </c>
      <c r="H1237" s="8" t="s">
        <v>25</v>
      </c>
      <c r="I1237" s="8" t="str">
        <f>IFERROR(__XLUDF.DUMMYFUNCTION("VLOOKUP(H30,IMPORTRANGE(""https://docs.google.com/spreadsheets/d/1opm6ZNvGZ7KditA9TuJwrZ25eFLfTNIkrNnY6mhV5Eg"",""list!A1:C115""),3,TRUE)"),"le secteur de l'hôtellerie")</f>
        <v xml:space="preserve">le secteur de l'hôtellerie</v>
      </c>
      <c r="J1237" s="10" t="s">
        <v>8236</v>
      </c>
      <c r="K1237" s="10" t="s">
        <v>8237</v>
      </c>
      <c r="L1237" s="8"/>
      <c r="M1237" s="8" t="s">
        <v>1938</v>
      </c>
      <c r="N1237" s="8" t="s">
        <v>8238</v>
      </c>
      <c r="O1237" s="8" t="s">
        <v>1548</v>
      </c>
      <c r="P1237" s="8" t="s">
        <v>8239</v>
      </c>
      <c r="Q1237" s="8"/>
      <c r="R1237" s="8"/>
      <c r="S1237" s="8"/>
      <c r="T1237" s="8"/>
      <c r="U1237" s="8"/>
      <c r="V1237" s="8"/>
      <c r="W1237" s="8"/>
      <c r="X1237" s="8"/>
      <c r="Y1237" s="8"/>
    </row>
    <row r="1238" ht="14.25">
      <c r="B1238" s="8" t="s">
        <v>8240</v>
      </c>
      <c r="C1238" s="8" t="s">
        <v>170</v>
      </c>
      <c r="D1238" s="8" t="s">
        <v>8241</v>
      </c>
      <c r="E1238" s="8" t="s">
        <v>8242</v>
      </c>
      <c r="F1238" s="8" t="s">
        <v>8243</v>
      </c>
      <c r="G1238" s="9">
        <v>23</v>
      </c>
      <c r="H1238" s="8" t="s">
        <v>25</v>
      </c>
      <c r="I1238" s="8" t="str">
        <f>IFERROR(__XLUDF.DUMMYFUNCTION("VLOOKUP(H31,IMPORTRANGE(""https://docs.google.com/spreadsheets/d/1opm6ZNvGZ7KditA9TuJwrZ25eFLfTNIkrNnY6mhV5Eg"",""list!A1:C115""),3,TRUE)"),"le secteur de l'hôtellerie")</f>
        <v xml:space="preserve">le secteur de l'hôtellerie</v>
      </c>
      <c r="J1238" s="10" t="s">
        <v>8244</v>
      </c>
      <c r="K1238" s="10" t="s">
        <v>8245</v>
      </c>
      <c r="L1238" s="8" t="s">
        <v>39</v>
      </c>
      <c r="M1238" s="8" t="s">
        <v>29</v>
      </c>
      <c r="N1238" s="8" t="s">
        <v>8246</v>
      </c>
      <c r="O1238" s="8" t="s">
        <v>29</v>
      </c>
      <c r="P1238" s="8" t="s">
        <v>8247</v>
      </c>
      <c r="Q1238" s="8"/>
      <c r="R1238" s="8"/>
      <c r="S1238" s="8"/>
      <c r="T1238" s="8"/>
      <c r="U1238" s="8"/>
      <c r="V1238" s="8"/>
      <c r="W1238" s="8"/>
      <c r="X1238" s="8"/>
      <c r="Y1238" s="8"/>
    </row>
    <row r="1239" ht="14.25">
      <c r="B1239" s="8" t="s">
        <v>8248</v>
      </c>
      <c r="C1239" s="8" t="s">
        <v>8249</v>
      </c>
      <c r="D1239" s="8" t="s">
        <v>8250</v>
      </c>
      <c r="E1239" s="8" t="s">
        <v>6680</v>
      </c>
      <c r="F1239" s="8" t="s">
        <v>8251</v>
      </c>
      <c r="G1239" s="9">
        <v>160</v>
      </c>
      <c r="H1239" s="8" t="s">
        <v>25</v>
      </c>
      <c r="I1239" s="8" t="str">
        <f>IFERROR(__XLUDF.DUMMYFUNCTION("VLOOKUP(H32,IMPORTRANGE(""https://docs.google.com/spreadsheets/d/1opm6ZNvGZ7KditA9TuJwrZ25eFLfTNIkrNnY6mhV5Eg"",""list!A1:C115""),3,TRUE)"),"le secteur de l'hôtellerie")</f>
        <v xml:space="preserve">le secteur de l'hôtellerie</v>
      </c>
      <c r="J1239" s="10" t="s">
        <v>8252</v>
      </c>
      <c r="K1239" s="10" t="s">
        <v>8170</v>
      </c>
      <c r="L1239" s="8"/>
      <c r="M1239" s="8" t="s">
        <v>29</v>
      </c>
      <c r="N1239" s="8" t="s">
        <v>6684</v>
      </c>
      <c r="O1239" s="8" t="s">
        <v>29</v>
      </c>
      <c r="P1239" s="8" t="s">
        <v>6685</v>
      </c>
      <c r="Q1239" s="8"/>
      <c r="R1239" s="8"/>
      <c r="S1239" s="8"/>
      <c r="T1239" s="8"/>
      <c r="U1239" s="8"/>
      <c r="V1239" s="8"/>
      <c r="W1239" s="8"/>
      <c r="X1239" s="8"/>
      <c r="Y1239" s="8"/>
    </row>
    <row r="1240" ht="14.25">
      <c r="B1240" s="8" t="s">
        <v>8253</v>
      </c>
      <c r="C1240" s="8" t="s">
        <v>8254</v>
      </c>
      <c r="D1240" s="8" t="s">
        <v>8255</v>
      </c>
      <c r="E1240" s="8" t="s">
        <v>8256</v>
      </c>
      <c r="F1240" s="8" t="s">
        <v>8257</v>
      </c>
      <c r="G1240" s="9">
        <v>140</v>
      </c>
      <c r="H1240" s="8" t="s">
        <v>25</v>
      </c>
      <c r="I1240" s="8" t="str">
        <f>IFERROR(__XLUDF.DUMMYFUNCTION("VLOOKUP(H33,IMPORTRANGE(""https://docs.google.com/spreadsheets/d/1opm6ZNvGZ7KditA9TuJwrZ25eFLfTNIkrNnY6mhV5Eg"",""list!A1:C115""),3,TRUE)"),"le secteur de l'hôtellerie")</f>
        <v xml:space="preserve">le secteur de l'hôtellerie</v>
      </c>
      <c r="J1240" s="10" t="s">
        <v>8258</v>
      </c>
      <c r="K1240" s="10" t="s">
        <v>8259</v>
      </c>
      <c r="L1240" s="8" t="s">
        <v>6603</v>
      </c>
      <c r="M1240" s="8" t="s">
        <v>29</v>
      </c>
      <c r="N1240" s="8" t="s">
        <v>8260</v>
      </c>
      <c r="O1240" s="8" t="s">
        <v>29</v>
      </c>
      <c r="P1240" s="8" t="s">
        <v>8261</v>
      </c>
      <c r="Q1240" s="8"/>
      <c r="R1240" s="8"/>
      <c r="S1240" s="8"/>
      <c r="T1240" s="8"/>
      <c r="U1240" s="8"/>
      <c r="V1240" s="8"/>
      <c r="W1240" s="8"/>
      <c r="X1240" s="8"/>
      <c r="Y1240" s="8"/>
    </row>
    <row r="1241" ht="14.25">
      <c r="B1241" s="8" t="s">
        <v>8262</v>
      </c>
      <c r="C1241" s="8" t="s">
        <v>8263</v>
      </c>
      <c r="D1241" s="8" t="s">
        <v>8264</v>
      </c>
      <c r="E1241" s="8" t="s">
        <v>8093</v>
      </c>
      <c r="F1241" s="8" t="s">
        <v>8265</v>
      </c>
      <c r="G1241" s="9">
        <v>180</v>
      </c>
      <c r="H1241" s="8" t="s">
        <v>25</v>
      </c>
      <c r="I1241" s="8" t="str">
        <f>IFERROR(__XLUDF.DUMMYFUNCTION("VLOOKUP(H34,IMPORTRANGE(""https://docs.google.com/spreadsheets/d/1opm6ZNvGZ7KditA9TuJwrZ25eFLfTNIkrNnY6mhV5Eg"",""list!A1:C115""),3,TRUE)"),"le secteur de l'hôtellerie")</f>
        <v xml:space="preserve">le secteur de l'hôtellerie</v>
      </c>
      <c r="J1241" s="10" t="s">
        <v>8266</v>
      </c>
      <c r="K1241" s="10" t="s">
        <v>8096</v>
      </c>
      <c r="L1241" s="8" t="s">
        <v>8133</v>
      </c>
      <c r="M1241" s="8" t="s">
        <v>1938</v>
      </c>
      <c r="N1241" s="8" t="s">
        <v>8097</v>
      </c>
      <c r="O1241" s="8" t="s">
        <v>1938</v>
      </c>
      <c r="P1241" s="8" t="s">
        <v>8098</v>
      </c>
      <c r="Q1241" s="8"/>
      <c r="R1241" s="8"/>
      <c r="S1241" s="8"/>
      <c r="T1241" s="8"/>
      <c r="U1241" s="8"/>
      <c r="V1241" s="8"/>
      <c r="W1241" s="8"/>
      <c r="X1241" s="8"/>
      <c r="Y1241" s="8"/>
    </row>
    <row r="1242" ht="14.25">
      <c r="B1242" s="8" t="s">
        <v>2932</v>
      </c>
      <c r="C1242" s="8" t="s">
        <v>8267</v>
      </c>
      <c r="D1242" s="8" t="s">
        <v>8268</v>
      </c>
      <c r="E1242" s="8" t="s">
        <v>8269</v>
      </c>
      <c r="F1242" s="8" t="s">
        <v>8270</v>
      </c>
      <c r="G1242" s="9">
        <v>160</v>
      </c>
      <c r="H1242" s="8" t="s">
        <v>25</v>
      </c>
      <c r="I1242" s="8" t="str">
        <f>IFERROR(__XLUDF.DUMMYFUNCTION("VLOOKUP(H35,IMPORTRANGE(""https://docs.google.com/spreadsheets/d/1opm6ZNvGZ7KditA9TuJwrZ25eFLfTNIkrNnY6mhV5Eg"",""list!A1:C115""),3,TRUE)"),"le secteur de l'hôtellerie")</f>
        <v xml:space="preserve">le secteur de l'hôtellerie</v>
      </c>
      <c r="J1242" s="10" t="s">
        <v>8271</v>
      </c>
      <c r="K1242" s="10" t="s">
        <v>8272</v>
      </c>
      <c r="L1242" s="8" t="s">
        <v>39</v>
      </c>
      <c r="M1242" s="8" t="s">
        <v>29</v>
      </c>
      <c r="N1242" s="8" t="s">
        <v>8273</v>
      </c>
      <c r="O1242" s="8" t="s">
        <v>1548</v>
      </c>
      <c r="P1242" s="8"/>
      <c r="Q1242" s="8"/>
      <c r="R1242" s="8"/>
      <c r="S1242" s="8"/>
      <c r="T1242" s="8"/>
      <c r="U1242" s="8"/>
      <c r="V1242" s="8"/>
      <c r="W1242" s="8"/>
      <c r="X1242" s="8"/>
      <c r="Y1242" s="8"/>
    </row>
    <row r="1243" ht="14.25">
      <c r="B1243" s="8" t="s">
        <v>2932</v>
      </c>
      <c r="C1243" s="8" t="s">
        <v>8274</v>
      </c>
      <c r="D1243" s="8" t="s">
        <v>8275</v>
      </c>
      <c r="E1243" s="8" t="s">
        <v>6773</v>
      </c>
      <c r="F1243" s="8" t="s">
        <v>8276</v>
      </c>
      <c r="G1243" s="9">
        <v>140</v>
      </c>
      <c r="H1243" s="8" t="s">
        <v>25</v>
      </c>
      <c r="I1243" s="8" t="str">
        <f>IFERROR(__XLUDF.DUMMYFUNCTION("VLOOKUP(H36,IMPORTRANGE(""https://docs.google.com/spreadsheets/d/1opm6ZNvGZ7KditA9TuJwrZ25eFLfTNIkrNnY6mhV5Eg"",""list!A1:C115""),3,TRUE)"),"le secteur de l'hôtellerie")</f>
        <v xml:space="preserve">le secteur de l'hôtellerie</v>
      </c>
      <c r="J1243" s="10" t="s">
        <v>8277</v>
      </c>
      <c r="K1243" s="10" t="s">
        <v>8278</v>
      </c>
      <c r="L1243" s="8" t="s">
        <v>6777</v>
      </c>
      <c r="M1243" s="8" t="s">
        <v>29</v>
      </c>
      <c r="N1243" s="8" t="s">
        <v>6778</v>
      </c>
      <c r="O1243" s="8" t="s">
        <v>29</v>
      </c>
      <c r="P1243" s="8" t="s">
        <v>6779</v>
      </c>
      <c r="Q1243" s="8"/>
      <c r="R1243" s="8"/>
      <c r="S1243" s="8"/>
      <c r="T1243" s="8"/>
      <c r="U1243" s="8"/>
      <c r="V1243" s="8"/>
      <c r="W1243" s="8"/>
      <c r="X1243" s="8"/>
      <c r="Y1243" s="8"/>
    </row>
    <row r="1244" ht="14.25">
      <c r="B1244" s="8" t="s">
        <v>2932</v>
      </c>
      <c r="C1244" s="8" t="s">
        <v>8279</v>
      </c>
      <c r="D1244" s="8" t="s">
        <v>8280</v>
      </c>
      <c r="E1244" s="10" t="s">
        <v>6729</v>
      </c>
      <c r="F1244" s="8" t="s">
        <v>8281</v>
      </c>
      <c r="G1244" s="9">
        <v>96</v>
      </c>
      <c r="H1244" s="8" t="s">
        <v>25</v>
      </c>
      <c r="I1244" s="8" t="str">
        <f>IFERROR(__XLUDF.DUMMYFUNCTION("VLOOKUP(H37,IMPORTRANGE(""https://docs.google.com/spreadsheets/d/1opm6ZNvGZ7KditA9TuJwrZ25eFLfTNIkrNnY6mhV5Eg"",""list!A1:C115""),3,TRUE)"),"le secteur de l'hôtellerie")</f>
        <v xml:space="preserve">le secteur de l'hôtellerie</v>
      </c>
      <c r="J1244" s="10" t="s">
        <v>8282</v>
      </c>
      <c r="K1244" s="10" t="s">
        <v>8079</v>
      </c>
      <c r="L1244" s="8" t="s">
        <v>8283</v>
      </c>
      <c r="M1244" s="8" t="s">
        <v>29</v>
      </c>
      <c r="N1244" s="8" t="s">
        <v>6733</v>
      </c>
      <c r="O1244" s="8" t="s">
        <v>29</v>
      </c>
      <c r="P1244" s="8" t="s">
        <v>6734</v>
      </c>
      <c r="Q1244" s="8"/>
      <c r="R1244" s="8"/>
      <c r="S1244" s="8"/>
      <c r="T1244" s="8"/>
      <c r="U1244" s="8"/>
      <c r="V1244" s="8"/>
      <c r="W1244" s="8"/>
      <c r="X1244" s="8"/>
      <c r="Y1244" s="8"/>
    </row>
    <row r="1245" ht="14.25">
      <c r="B1245" s="8" t="s">
        <v>7323</v>
      </c>
      <c r="C1245" s="8" t="s">
        <v>7324</v>
      </c>
      <c r="D1245" s="8" t="s">
        <v>62</v>
      </c>
      <c r="E1245" s="8" t="s">
        <v>7325</v>
      </c>
      <c r="F1245" s="8" t="s">
        <v>7326</v>
      </c>
      <c r="G1245" s="9">
        <v>140</v>
      </c>
      <c r="H1245" s="8" t="s">
        <v>25</v>
      </c>
      <c r="I1245" s="8" t="str">
        <f>IFERROR(__XLUDF.DUMMYFUNCTION("VLOOKUP(H38,IMPORTRANGE(""https://docs.google.com/spreadsheets/d/1opm6ZNvGZ7KditA9TuJwrZ25eFLfTNIkrNnY6mhV5Eg"",""list!A1:C115""),3,TRUE)"),"le secteur de l'hôtellerie")</f>
        <v xml:space="preserve">le secteur de l'hôtellerie</v>
      </c>
      <c r="J1245" s="10" t="s">
        <v>7327</v>
      </c>
      <c r="K1245" s="10" t="s">
        <v>8284</v>
      </c>
      <c r="L1245" s="8"/>
      <c r="M1245" s="8" t="s">
        <v>29</v>
      </c>
      <c r="N1245" s="8" t="s">
        <v>7329</v>
      </c>
      <c r="O1245" s="8" t="s">
        <v>29</v>
      </c>
      <c r="P1245" s="8" t="s">
        <v>7330</v>
      </c>
      <c r="Q1245" s="8"/>
      <c r="R1245" s="8"/>
      <c r="S1245" s="8"/>
      <c r="T1245" s="8"/>
      <c r="U1245" s="8"/>
      <c r="V1245" s="8"/>
      <c r="W1245" s="8"/>
      <c r="X1245" s="8"/>
      <c r="Y1245" s="8"/>
    </row>
    <row r="1246" ht="14.25">
      <c r="B1246" s="8" t="s">
        <v>1009</v>
      </c>
      <c r="C1246" s="8" t="s">
        <v>8285</v>
      </c>
      <c r="D1246" s="8" t="s">
        <v>8286</v>
      </c>
      <c r="E1246" s="8" t="s">
        <v>6773</v>
      </c>
      <c r="F1246" s="8" t="s">
        <v>8287</v>
      </c>
      <c r="G1246" s="9">
        <v>140</v>
      </c>
      <c r="H1246" s="8" t="s">
        <v>25</v>
      </c>
      <c r="I1246" s="8" t="str">
        <f>IFERROR(__XLUDF.DUMMYFUNCTION("VLOOKUP(H39,IMPORTRANGE(""https://docs.google.com/spreadsheets/d/1opm6ZNvGZ7KditA9TuJwrZ25eFLfTNIkrNnY6mhV5Eg"",""list!A1:C115""),3,TRUE)"),"le secteur de l'hôtellerie")</f>
        <v xml:space="preserve">le secteur de l'hôtellerie</v>
      </c>
      <c r="J1246" s="10" t="s">
        <v>8288</v>
      </c>
      <c r="K1246" s="10" t="s">
        <v>8278</v>
      </c>
      <c r="L1246" s="8"/>
      <c r="M1246" s="8" t="s">
        <v>29</v>
      </c>
      <c r="N1246" s="8" t="s">
        <v>6778</v>
      </c>
      <c r="O1246" s="8" t="s">
        <v>29</v>
      </c>
      <c r="P1246" s="8" t="s">
        <v>6779</v>
      </c>
      <c r="Q1246" s="8"/>
      <c r="R1246" s="8"/>
      <c r="S1246" s="8"/>
      <c r="T1246" s="8"/>
      <c r="U1246" s="8"/>
      <c r="V1246" s="8"/>
      <c r="W1246" s="8"/>
      <c r="X1246" s="8"/>
      <c r="Y1246" s="8"/>
    </row>
    <row r="1247" ht="14.25">
      <c r="B1247" s="8" t="s">
        <v>1009</v>
      </c>
      <c r="C1247" s="8" t="s">
        <v>6382</v>
      </c>
      <c r="D1247" s="8" t="s">
        <v>8289</v>
      </c>
      <c r="E1247" s="8" t="s">
        <v>6805</v>
      </c>
      <c r="F1247" s="8" t="s">
        <v>8290</v>
      </c>
      <c r="G1247" s="9">
        <v>190</v>
      </c>
      <c r="H1247" s="8" t="s">
        <v>25</v>
      </c>
      <c r="I1247" s="8" t="str">
        <f>IFERROR(__XLUDF.DUMMYFUNCTION("VLOOKUP(H40,IMPORTRANGE(""https://docs.google.com/spreadsheets/d/1opm6ZNvGZ7KditA9TuJwrZ25eFLfTNIkrNnY6mhV5Eg"",""list!A1:C115""),3,TRUE)"),"le secteur de l'hôtellerie")</f>
        <v xml:space="preserve">le secteur de l'hôtellerie</v>
      </c>
      <c r="J1247" s="10" t="s">
        <v>8291</v>
      </c>
      <c r="K1247" s="10" t="s">
        <v>8292</v>
      </c>
      <c r="L1247" s="8" t="s">
        <v>140</v>
      </c>
      <c r="M1247" s="8" t="s">
        <v>29</v>
      </c>
      <c r="N1247" s="8" t="s">
        <v>6520</v>
      </c>
      <c r="O1247" s="8" t="s">
        <v>29</v>
      </c>
      <c r="P1247" s="8" t="s">
        <v>6809</v>
      </c>
      <c r="Q1247" s="8"/>
      <c r="R1247" s="8"/>
      <c r="S1247" s="8"/>
      <c r="T1247" s="8"/>
      <c r="U1247" s="8"/>
      <c r="V1247" s="8"/>
      <c r="W1247" s="8"/>
      <c r="X1247" s="8"/>
      <c r="Y1247" s="8"/>
    </row>
    <row r="1248" ht="14.25">
      <c r="B1248" s="8" t="s">
        <v>1815</v>
      </c>
      <c r="C1248" s="8" t="s">
        <v>8293</v>
      </c>
      <c r="D1248" s="8" t="s">
        <v>8155</v>
      </c>
      <c r="E1248" s="8" t="s">
        <v>8294</v>
      </c>
      <c r="F1248" s="8" t="s">
        <v>8295</v>
      </c>
      <c r="G1248" s="9">
        <v>49</v>
      </c>
      <c r="H1248" s="8" t="s">
        <v>25</v>
      </c>
      <c r="I1248" s="8" t="str">
        <f>IFERROR(__XLUDF.DUMMYFUNCTION("VLOOKUP(H41,IMPORTRANGE(""https://docs.google.com/spreadsheets/d/1opm6ZNvGZ7KditA9TuJwrZ25eFLfTNIkrNnY6mhV5Eg"",""list!A1:C115""),3,TRUE)"),"le secteur de l'hôtellerie")</f>
        <v xml:space="preserve">le secteur de l'hôtellerie</v>
      </c>
      <c r="J1248" s="10" t="s">
        <v>8296</v>
      </c>
      <c r="K1248" s="10" t="s">
        <v>8297</v>
      </c>
      <c r="L1248" s="8"/>
      <c r="M1248" s="8" t="s">
        <v>29</v>
      </c>
      <c r="N1248" s="8" t="s">
        <v>8298</v>
      </c>
      <c r="O1248" s="8" t="s">
        <v>1548</v>
      </c>
      <c r="P1248" s="8"/>
      <c r="Q1248" s="8"/>
      <c r="R1248" s="8"/>
      <c r="S1248" s="8"/>
      <c r="T1248" s="8"/>
      <c r="U1248" s="8"/>
      <c r="V1248" s="8"/>
      <c r="W1248" s="8"/>
      <c r="X1248" s="8"/>
      <c r="Y1248" s="8"/>
    </row>
    <row r="1249" ht="14.25">
      <c r="B1249" s="8" t="s">
        <v>6923</v>
      </c>
      <c r="C1249" s="8" t="s">
        <v>6924</v>
      </c>
      <c r="D1249" s="8" t="s">
        <v>87</v>
      </c>
      <c r="E1249" s="8" t="s">
        <v>6925</v>
      </c>
      <c r="F1249" s="8" t="s">
        <v>6926</v>
      </c>
      <c r="G1249" s="9">
        <v>87</v>
      </c>
      <c r="H1249" s="8" t="s">
        <v>25</v>
      </c>
      <c r="I1249" s="8" t="str">
        <f>IFERROR(__XLUDF.DUMMYFUNCTION("VLOOKUP(H42,IMPORTRANGE(""https://docs.google.com/spreadsheets/d/1opm6ZNvGZ7KditA9TuJwrZ25eFLfTNIkrNnY6mhV5Eg"",""list!A1:C115""),3,TRUE)"),"le secteur de l'hôtellerie")</f>
        <v xml:space="preserve">le secteur de l'hôtellerie</v>
      </c>
      <c r="J1249" s="10" t="s">
        <v>6927</v>
      </c>
      <c r="K1249" s="10" t="s">
        <v>8299</v>
      </c>
      <c r="L1249" s="8"/>
      <c r="M1249" s="8" t="s">
        <v>29</v>
      </c>
      <c r="N1249" s="8" t="s">
        <v>6929</v>
      </c>
      <c r="O1249" s="8" t="s">
        <v>29</v>
      </c>
      <c r="P1249" s="8" t="s">
        <v>6930</v>
      </c>
      <c r="Q1249" s="8"/>
      <c r="R1249" s="8"/>
      <c r="S1249" s="8"/>
      <c r="T1249" s="8"/>
      <c r="U1249" s="8"/>
      <c r="V1249" s="8"/>
      <c r="W1249" s="8"/>
      <c r="X1249" s="8"/>
      <c r="Y1249" s="8"/>
    </row>
    <row r="1250" ht="14.25">
      <c r="B1250" s="8" t="s">
        <v>963</v>
      </c>
      <c r="C1250" s="8" t="s">
        <v>7059</v>
      </c>
      <c r="D1250" s="8" t="s">
        <v>62</v>
      </c>
      <c r="E1250" s="8" t="s">
        <v>7060</v>
      </c>
      <c r="F1250" s="8" t="s">
        <v>7061</v>
      </c>
      <c r="G1250" s="9">
        <v>210</v>
      </c>
      <c r="H1250" s="8" t="s">
        <v>25</v>
      </c>
      <c r="I1250" s="8" t="str">
        <f>IFERROR(__XLUDF.DUMMYFUNCTION("VLOOKUP(H43,IMPORTRANGE(""https://docs.google.com/spreadsheets/d/1opm6ZNvGZ7KditA9TuJwrZ25eFLfTNIkrNnY6mhV5Eg"",""list!A1:C115""),3,TRUE)"),"le secteur de l'hôtellerie")</f>
        <v xml:space="preserve">le secteur de l'hôtellerie</v>
      </c>
      <c r="J1250" s="10" t="s">
        <v>7062</v>
      </c>
      <c r="K1250" s="10" t="s">
        <v>8300</v>
      </c>
      <c r="L1250" s="8" t="s">
        <v>39</v>
      </c>
      <c r="M1250" s="8" t="s">
        <v>29</v>
      </c>
      <c r="N1250" s="8" t="s">
        <v>7064</v>
      </c>
      <c r="O1250" s="8" t="s">
        <v>29</v>
      </c>
      <c r="P1250" s="8" t="s">
        <v>8301</v>
      </c>
      <c r="Q1250" s="8"/>
      <c r="R1250" s="8"/>
      <c r="S1250" s="8"/>
      <c r="T1250" s="8"/>
      <c r="U1250" s="8"/>
      <c r="V1250" s="8"/>
      <c r="W1250" s="8"/>
      <c r="X1250" s="8"/>
      <c r="Y1250" s="8"/>
    </row>
    <row r="1251" ht="14.25">
      <c r="B1251" s="8" t="s">
        <v>8302</v>
      </c>
      <c r="C1251" s="8" t="s">
        <v>8303</v>
      </c>
      <c r="D1251" s="8" t="s">
        <v>8304</v>
      </c>
      <c r="E1251" s="8" t="s">
        <v>3366</v>
      </c>
      <c r="F1251" s="8" t="s">
        <v>8305</v>
      </c>
      <c r="G1251" s="9">
        <v>14</v>
      </c>
      <c r="H1251" s="8" t="s">
        <v>25</v>
      </c>
      <c r="I1251" s="8" t="str">
        <f>IFERROR(__XLUDF.DUMMYFUNCTION("VLOOKUP(H44,IMPORTRANGE(""https://docs.google.com/spreadsheets/d/1opm6ZNvGZ7KditA9TuJwrZ25eFLfTNIkrNnY6mhV5Eg"",""list!A1:C115""),3,TRUE)"),"le secteur de l'hôtellerie")</f>
        <v xml:space="preserve">le secteur de l'hôtellerie</v>
      </c>
      <c r="J1251" s="10" t="s">
        <v>8306</v>
      </c>
      <c r="K1251" s="10" t="s">
        <v>3369</v>
      </c>
      <c r="L1251" s="8" t="s">
        <v>185</v>
      </c>
      <c r="M1251" s="8" t="s">
        <v>29</v>
      </c>
      <c r="N1251" s="8" t="s">
        <v>67</v>
      </c>
      <c r="O1251" s="8" t="s">
        <v>29</v>
      </c>
      <c r="P1251" s="8" t="s">
        <v>3370</v>
      </c>
      <c r="Q1251" s="8"/>
      <c r="R1251" s="8"/>
      <c r="S1251" s="8"/>
      <c r="T1251" s="8"/>
      <c r="U1251" s="8"/>
      <c r="V1251" s="8"/>
      <c r="W1251" s="8"/>
      <c r="X1251" s="8"/>
      <c r="Y1251" s="8"/>
    </row>
    <row r="1252" ht="14.25">
      <c r="B1252" s="8" t="s">
        <v>840</v>
      </c>
      <c r="C1252" s="8" t="s">
        <v>8307</v>
      </c>
      <c r="D1252" s="8" t="s">
        <v>688</v>
      </c>
      <c r="E1252" s="8" t="s">
        <v>8308</v>
      </c>
      <c r="F1252" s="8" t="s">
        <v>8309</v>
      </c>
      <c r="G1252" s="9">
        <v>73</v>
      </c>
      <c r="H1252" s="8" t="s">
        <v>25</v>
      </c>
      <c r="I1252" s="8" t="str">
        <f>IFERROR(__XLUDF.DUMMYFUNCTION("VLOOKUP(H45,IMPORTRANGE(""https://docs.google.com/spreadsheets/d/1opm6ZNvGZ7KditA9TuJwrZ25eFLfTNIkrNnY6mhV5Eg"",""list!A1:C115""),3,TRUE)"),"le secteur de l'hôtellerie")</f>
        <v xml:space="preserve">le secteur de l'hôtellerie</v>
      </c>
      <c r="J1252" s="10" t="s">
        <v>8310</v>
      </c>
      <c r="K1252" s="10" t="s">
        <v>8311</v>
      </c>
      <c r="L1252" s="8" t="s">
        <v>39</v>
      </c>
      <c r="M1252" s="8" t="s">
        <v>29</v>
      </c>
      <c r="N1252" s="8" t="s">
        <v>8312</v>
      </c>
      <c r="O1252" s="8" t="s">
        <v>8313</v>
      </c>
      <c r="P1252" s="8"/>
      <c r="Q1252" s="8"/>
      <c r="R1252" s="8"/>
      <c r="S1252" s="8"/>
      <c r="T1252" s="8"/>
      <c r="U1252" s="8"/>
      <c r="V1252" s="8"/>
      <c r="W1252" s="8"/>
      <c r="X1252" s="8"/>
      <c r="Y1252" s="8"/>
    </row>
    <row r="1253" ht="14.25">
      <c r="B1253" s="8" t="s">
        <v>355</v>
      </c>
      <c r="C1253" s="8" t="s">
        <v>8314</v>
      </c>
      <c r="D1253" s="8" t="s">
        <v>8315</v>
      </c>
      <c r="E1253" s="8" t="s">
        <v>8269</v>
      </c>
      <c r="F1253" s="8" t="s">
        <v>8316</v>
      </c>
      <c r="G1253" s="9">
        <v>160</v>
      </c>
      <c r="H1253" s="8" t="s">
        <v>25</v>
      </c>
      <c r="I1253" s="8" t="str">
        <f>IFERROR(__XLUDF.DUMMYFUNCTION("VLOOKUP(H46,IMPORTRANGE(""https://docs.google.com/spreadsheets/d/1opm6ZNvGZ7KditA9TuJwrZ25eFLfTNIkrNnY6mhV5Eg"",""list!A1:C115""),3,TRUE)"),"le secteur de l'hôtellerie")</f>
        <v xml:space="preserve">le secteur de l'hôtellerie</v>
      </c>
      <c r="J1253" s="10" t="s">
        <v>8317</v>
      </c>
      <c r="K1253" s="10" t="s">
        <v>8272</v>
      </c>
      <c r="L1253" s="8" t="s">
        <v>8318</v>
      </c>
      <c r="M1253" s="8" t="s">
        <v>29</v>
      </c>
      <c r="N1253" s="8" t="s">
        <v>8273</v>
      </c>
      <c r="O1253" s="8" t="s">
        <v>1548</v>
      </c>
      <c r="P1253" s="8"/>
      <c r="Q1253" s="8"/>
      <c r="R1253" s="8"/>
      <c r="S1253" s="8"/>
      <c r="T1253" s="8"/>
      <c r="U1253" s="8"/>
      <c r="V1253" s="8"/>
      <c r="W1253" s="8"/>
      <c r="X1253" s="8"/>
      <c r="Y1253" s="8"/>
    </row>
    <row r="1254" ht="14.25">
      <c r="B1254" s="8" t="s">
        <v>110</v>
      </c>
      <c r="C1254" s="8" t="s">
        <v>4197</v>
      </c>
      <c r="D1254" s="8" t="s">
        <v>315</v>
      </c>
      <c r="E1254" s="8" t="s">
        <v>6591</v>
      </c>
      <c r="F1254" s="8" t="s">
        <v>7103</v>
      </c>
      <c r="G1254" s="9">
        <v>82</v>
      </c>
      <c r="H1254" s="8" t="s">
        <v>25</v>
      </c>
      <c r="I1254" s="8" t="str">
        <f>IFERROR(__XLUDF.DUMMYFUNCTION("VLOOKUP(H47,IMPORTRANGE(""https://docs.google.com/spreadsheets/d/1opm6ZNvGZ7KditA9TuJwrZ25eFLfTNIkrNnY6mhV5Eg"",""list!A1:C115""),3,TRUE)"),"le secteur de l'hôtellerie")</f>
        <v xml:space="preserve">le secteur de l'hôtellerie</v>
      </c>
      <c r="J1254" s="10" t="s">
        <v>7104</v>
      </c>
      <c r="K1254" s="10" t="s">
        <v>8089</v>
      </c>
      <c r="L1254" s="8" t="s">
        <v>6595</v>
      </c>
      <c r="M1254" s="8" t="s">
        <v>29</v>
      </c>
      <c r="N1254" s="8" t="s">
        <v>6596</v>
      </c>
      <c r="O1254" s="8" t="s">
        <v>29</v>
      </c>
      <c r="P1254" s="8" t="s">
        <v>6597</v>
      </c>
      <c r="Q1254" s="8"/>
      <c r="R1254" s="8"/>
      <c r="S1254" s="8"/>
      <c r="T1254" s="8"/>
      <c r="U1254" s="8"/>
      <c r="V1254" s="8"/>
      <c r="W1254" s="8"/>
      <c r="X1254" s="8"/>
      <c r="Y1254" s="8"/>
    </row>
    <row r="1255" ht="14.25">
      <c r="B1255" s="8" t="s">
        <v>255</v>
      </c>
      <c r="C1255" s="8" t="s">
        <v>8319</v>
      </c>
      <c r="D1255" s="8" t="s">
        <v>8280</v>
      </c>
      <c r="E1255" s="8" t="s">
        <v>5501</v>
      </c>
      <c r="F1255" s="8" t="s">
        <v>8320</v>
      </c>
      <c r="G1255" s="9">
        <v>32</v>
      </c>
      <c r="H1255" s="8" t="s">
        <v>25</v>
      </c>
      <c r="I1255" s="8" t="str">
        <f>IFERROR(__XLUDF.DUMMYFUNCTION("VLOOKUP(H48,IMPORTRANGE(""https://docs.google.com/spreadsheets/d/1opm6ZNvGZ7KditA9TuJwrZ25eFLfTNIkrNnY6mhV5Eg"",""list!A1:C115""),3,TRUE)"),"le secteur de l'hôtellerie")</f>
        <v xml:space="preserve">le secteur de l'hôtellerie</v>
      </c>
      <c r="J1255" s="10" t="s">
        <v>8321</v>
      </c>
      <c r="K1255" s="10" t="s">
        <v>5504</v>
      </c>
      <c r="L1255" s="8" t="s">
        <v>39</v>
      </c>
      <c r="M1255" s="8" t="s">
        <v>29</v>
      </c>
      <c r="N1255" s="8" t="s">
        <v>5505</v>
      </c>
      <c r="O1255" s="8" t="s">
        <v>29</v>
      </c>
      <c r="P1255" s="8" t="s">
        <v>5506</v>
      </c>
      <c r="Q1255" s="8"/>
      <c r="R1255" s="8"/>
      <c r="S1255" s="8"/>
      <c r="T1255" s="8"/>
      <c r="U1255" s="8"/>
      <c r="V1255" s="8"/>
      <c r="W1255" s="8"/>
      <c r="X1255" s="8"/>
      <c r="Y1255" s="8"/>
    </row>
    <row r="1256" ht="14.25">
      <c r="B1256" s="8" t="s">
        <v>8322</v>
      </c>
      <c r="C1256" s="8" t="s">
        <v>8323</v>
      </c>
      <c r="D1256" s="8" t="s">
        <v>87</v>
      </c>
      <c r="E1256" s="8" t="s">
        <v>8324</v>
      </c>
      <c r="F1256" s="8" t="s">
        <v>8325</v>
      </c>
      <c r="G1256" s="9">
        <v>59</v>
      </c>
      <c r="H1256" s="8" t="s">
        <v>25</v>
      </c>
      <c r="I1256" s="8" t="str">
        <f>IFERROR(__XLUDF.DUMMYFUNCTION("VLOOKUP(H49,IMPORTRANGE(""https://docs.google.com/spreadsheets/d/1opm6ZNvGZ7KditA9TuJwrZ25eFLfTNIkrNnY6mhV5Eg"",""list!A1:C115""),3,TRUE)"),"le secteur de l'hôtellerie")</f>
        <v xml:space="preserve">le secteur de l'hôtellerie</v>
      </c>
      <c r="J1256" s="10" t="s">
        <v>8326</v>
      </c>
      <c r="K1256" s="10" t="s">
        <v>8327</v>
      </c>
      <c r="L1256" s="8" t="s">
        <v>8114</v>
      </c>
      <c r="M1256" s="8" t="s">
        <v>1938</v>
      </c>
      <c r="N1256" s="8" t="s">
        <v>8328</v>
      </c>
      <c r="O1256" s="8" t="s">
        <v>1938</v>
      </c>
      <c r="P1256" s="8" t="s">
        <v>8329</v>
      </c>
      <c r="Q1256" s="8"/>
      <c r="R1256" s="8"/>
      <c r="S1256" s="8"/>
      <c r="T1256" s="8"/>
      <c r="U1256" s="8"/>
      <c r="V1256" s="8"/>
      <c r="W1256" s="8"/>
      <c r="X1256" s="8"/>
      <c r="Y1256" s="8"/>
    </row>
    <row r="1257" ht="14.25">
      <c r="B1257" s="8" t="s">
        <v>4769</v>
      </c>
      <c r="C1257" s="8" t="s">
        <v>8330</v>
      </c>
      <c r="D1257" s="8" t="s">
        <v>8331</v>
      </c>
      <c r="E1257" s="8" t="s">
        <v>7097</v>
      </c>
      <c r="F1257" s="8" t="s">
        <v>8332</v>
      </c>
      <c r="G1257" s="9">
        <v>92</v>
      </c>
      <c r="H1257" s="8" t="s">
        <v>25</v>
      </c>
      <c r="I1257" s="8" t="str">
        <f>IFERROR(__XLUDF.DUMMYFUNCTION("VLOOKUP(H50,IMPORTRANGE(""https://docs.google.com/spreadsheets/d/1opm6ZNvGZ7KditA9TuJwrZ25eFLfTNIkrNnY6mhV5Eg"",""list!A1:C115""),3,TRUE)"),"le secteur de l'hôtellerie")</f>
        <v xml:space="preserve">le secteur de l'hôtellerie</v>
      </c>
      <c r="J1257" s="10" t="s">
        <v>8333</v>
      </c>
      <c r="K1257" s="10" t="s">
        <v>8334</v>
      </c>
      <c r="L1257" s="8" t="s">
        <v>39</v>
      </c>
      <c r="M1257" s="8" t="s">
        <v>29</v>
      </c>
      <c r="N1257" s="8" t="s">
        <v>7101</v>
      </c>
      <c r="O1257" s="8" t="s">
        <v>29</v>
      </c>
      <c r="P1257" s="8" t="s">
        <v>7102</v>
      </c>
      <c r="Q1257" s="8"/>
      <c r="R1257" s="8"/>
      <c r="S1257" s="8"/>
      <c r="T1257" s="8"/>
      <c r="U1257" s="8"/>
      <c r="V1257" s="8"/>
      <c r="W1257" s="8"/>
      <c r="X1257" s="8"/>
      <c r="Y1257" s="8"/>
    </row>
    <row r="1258" ht="14.25">
      <c r="B1258" s="8" t="s">
        <v>4012</v>
      </c>
      <c r="C1258" s="8" t="s">
        <v>8335</v>
      </c>
      <c r="D1258" s="8" t="s">
        <v>87</v>
      </c>
      <c r="E1258" s="8" t="s">
        <v>8336</v>
      </c>
      <c r="F1258" s="8" t="s">
        <v>8337</v>
      </c>
      <c r="G1258" s="9">
        <v>29</v>
      </c>
      <c r="H1258" s="8" t="s">
        <v>25</v>
      </c>
      <c r="I1258" s="8" t="str">
        <f>IFERROR(__XLUDF.DUMMYFUNCTION("VLOOKUP(H51,IMPORTRANGE(""https://docs.google.com/spreadsheets/d/1opm6ZNvGZ7KditA9TuJwrZ25eFLfTNIkrNnY6mhV5Eg"",""list!A1:C115""),3,TRUE)"),"le secteur de l'hôtellerie")</f>
        <v xml:space="preserve">le secteur de l'hôtellerie</v>
      </c>
      <c r="J1258" s="10" t="s">
        <v>8338</v>
      </c>
      <c r="K1258" s="10" t="s">
        <v>8339</v>
      </c>
      <c r="L1258" s="8"/>
      <c r="M1258" s="8" t="s">
        <v>1938</v>
      </c>
      <c r="N1258" s="8" t="s">
        <v>8340</v>
      </c>
      <c r="O1258" s="8" t="s">
        <v>1938</v>
      </c>
      <c r="P1258" s="8"/>
      <c r="Q1258" s="8"/>
      <c r="R1258" s="8"/>
      <c r="S1258" s="8"/>
      <c r="T1258" s="8"/>
      <c r="U1258" s="8"/>
      <c r="V1258" s="8"/>
      <c r="W1258" s="8"/>
      <c r="X1258" s="8"/>
      <c r="Y1258" s="8"/>
    </row>
    <row r="1259" ht="14.25">
      <c r="B1259" s="8" t="s">
        <v>613</v>
      </c>
      <c r="C1259" s="8" t="s">
        <v>8341</v>
      </c>
      <c r="D1259" s="8" t="s">
        <v>8342</v>
      </c>
      <c r="E1259" s="8" t="s">
        <v>8110</v>
      </c>
      <c r="F1259" s="8" t="s">
        <v>8343</v>
      </c>
      <c r="G1259" s="9">
        <v>64</v>
      </c>
      <c r="H1259" s="8" t="s">
        <v>25</v>
      </c>
      <c r="I1259" s="8" t="str">
        <f>IFERROR(__XLUDF.DUMMYFUNCTION("VLOOKUP(H52,IMPORTRANGE(""https://docs.google.com/spreadsheets/d/1opm6ZNvGZ7KditA9TuJwrZ25eFLfTNIkrNnY6mhV5Eg"",""list!A1:C115""),3,TRUE)"),"le secteur de l'hôtellerie")</f>
        <v xml:space="preserve">le secteur de l'hôtellerie</v>
      </c>
      <c r="J1259" s="10" t="s">
        <v>8344</v>
      </c>
      <c r="K1259" s="10" t="s">
        <v>8113</v>
      </c>
      <c r="L1259" s="8" t="s">
        <v>8345</v>
      </c>
      <c r="M1259" s="8" t="s">
        <v>1938</v>
      </c>
      <c r="N1259" s="8" t="s">
        <v>8115</v>
      </c>
      <c r="O1259" s="8" t="s">
        <v>1938</v>
      </c>
      <c r="P1259" s="8" t="s">
        <v>8116</v>
      </c>
      <c r="Q1259" s="8"/>
      <c r="R1259" s="8"/>
      <c r="S1259" s="8"/>
      <c r="T1259" s="8"/>
      <c r="U1259" s="8"/>
      <c r="V1259" s="8"/>
      <c r="W1259" s="8"/>
      <c r="X1259" s="8"/>
      <c r="Y1259" s="8"/>
    </row>
    <row r="1260" ht="14.25">
      <c r="B1260" s="8" t="s">
        <v>255</v>
      </c>
      <c r="C1260" s="8" t="s">
        <v>7191</v>
      </c>
      <c r="D1260" s="8" t="s">
        <v>7192</v>
      </c>
      <c r="E1260" s="8" t="s">
        <v>7193</v>
      </c>
      <c r="F1260" s="8" t="s">
        <v>7194</v>
      </c>
      <c r="G1260" s="9">
        <v>52</v>
      </c>
      <c r="H1260" s="8" t="s">
        <v>25</v>
      </c>
      <c r="I1260" s="8" t="str">
        <f>IFERROR(__XLUDF.DUMMYFUNCTION("VLOOKUP(H53,IMPORTRANGE(""https://docs.google.com/spreadsheets/d/1opm6ZNvGZ7KditA9TuJwrZ25eFLfTNIkrNnY6mhV5Eg"",""list!A1:C115""),3,TRUE)"),"le secteur de l'hôtellerie")</f>
        <v xml:space="preserve">le secteur de l'hôtellerie</v>
      </c>
      <c r="J1260" s="10" t="s">
        <v>7195</v>
      </c>
      <c r="K1260" s="10" t="s">
        <v>8346</v>
      </c>
      <c r="L1260" s="8" t="s">
        <v>39</v>
      </c>
      <c r="M1260" s="8" t="s">
        <v>29</v>
      </c>
      <c r="N1260" s="8" t="s">
        <v>67</v>
      </c>
      <c r="O1260" s="8" t="s">
        <v>29</v>
      </c>
      <c r="P1260" s="8" t="s">
        <v>7197</v>
      </c>
      <c r="Q1260" s="8"/>
      <c r="R1260" s="8"/>
      <c r="S1260" s="8"/>
      <c r="T1260" s="8"/>
      <c r="U1260" s="8"/>
      <c r="V1260" s="8"/>
      <c r="W1260" s="8"/>
      <c r="X1260" s="8"/>
      <c r="Y1260" s="8"/>
    </row>
    <row r="1261" ht="14.25">
      <c r="B1261" s="8" t="s">
        <v>255</v>
      </c>
      <c r="C1261" s="8" t="s">
        <v>8347</v>
      </c>
      <c r="D1261" s="8" t="s">
        <v>8348</v>
      </c>
      <c r="E1261" s="8" t="s">
        <v>8349</v>
      </c>
      <c r="F1261" s="8" t="s">
        <v>8350</v>
      </c>
      <c r="G1261" s="9">
        <v>83</v>
      </c>
      <c r="H1261" s="8" t="s">
        <v>25</v>
      </c>
      <c r="I1261" s="8" t="str">
        <f>IFERROR(__XLUDF.DUMMYFUNCTION("VLOOKUP(H54,IMPORTRANGE(""https://docs.google.com/spreadsheets/d/1opm6ZNvGZ7KditA9TuJwrZ25eFLfTNIkrNnY6mhV5Eg"",""list!A1:C115""),3,TRUE)"),"le secteur de l'hôtellerie")</f>
        <v xml:space="preserve">le secteur de l'hôtellerie</v>
      </c>
      <c r="J1261" s="10" t="s">
        <v>8351</v>
      </c>
      <c r="K1261" s="10" t="s">
        <v>8352</v>
      </c>
      <c r="L1261" s="8" t="s">
        <v>8353</v>
      </c>
      <c r="M1261" s="8" t="s">
        <v>29</v>
      </c>
      <c r="N1261" s="8" t="s">
        <v>8354</v>
      </c>
      <c r="O1261" s="8" t="s">
        <v>29</v>
      </c>
      <c r="P1261" s="8" t="s">
        <v>8355</v>
      </c>
      <c r="Q1261" s="8"/>
      <c r="R1261" s="8"/>
      <c r="S1261" s="8"/>
      <c r="T1261" s="8"/>
      <c r="U1261" s="8"/>
      <c r="V1261" s="8"/>
      <c r="W1261" s="8"/>
      <c r="X1261" s="8"/>
      <c r="Y1261" s="8"/>
    </row>
    <row r="1262" ht="14.25">
      <c r="B1262" s="8" t="s">
        <v>402</v>
      </c>
      <c r="C1262" s="8" t="s">
        <v>8356</v>
      </c>
      <c r="D1262" s="8" t="s">
        <v>8101</v>
      </c>
      <c r="E1262" s="8" t="s">
        <v>8357</v>
      </c>
      <c r="F1262" s="8" t="s">
        <v>8358</v>
      </c>
      <c r="G1262" s="9">
        <v>78</v>
      </c>
      <c r="H1262" s="8" t="s">
        <v>25</v>
      </c>
      <c r="I1262" s="8" t="str">
        <f>IFERROR(__XLUDF.DUMMYFUNCTION("VLOOKUP(H55,IMPORTRANGE(""https://docs.google.com/spreadsheets/d/1opm6ZNvGZ7KditA9TuJwrZ25eFLfTNIkrNnY6mhV5Eg"",""list!A1:C115""),3,TRUE)"),"le secteur de l'hôtellerie")</f>
        <v xml:space="preserve">le secteur de l'hôtellerie</v>
      </c>
      <c r="J1262" s="10" t="s">
        <v>8359</v>
      </c>
      <c r="K1262" s="10" t="s">
        <v>8360</v>
      </c>
      <c r="L1262" s="8" t="s">
        <v>39</v>
      </c>
      <c r="M1262" s="8" t="s">
        <v>29</v>
      </c>
      <c r="N1262" s="8" t="s">
        <v>8361</v>
      </c>
      <c r="O1262" s="8" t="s">
        <v>29</v>
      </c>
      <c r="P1262" s="8" t="s">
        <v>8362</v>
      </c>
      <c r="Q1262" s="8"/>
      <c r="R1262" s="8"/>
      <c r="S1262" s="8"/>
      <c r="T1262" s="8"/>
      <c r="U1262" s="8"/>
      <c r="V1262" s="8"/>
      <c r="W1262" s="8"/>
      <c r="X1262" s="8"/>
      <c r="Y1262" s="8"/>
    </row>
    <row r="1263" ht="14.25">
      <c r="B1263" s="8" t="s">
        <v>8363</v>
      </c>
      <c r="C1263" s="8" t="s">
        <v>8364</v>
      </c>
      <c r="D1263" s="8" t="s">
        <v>8365</v>
      </c>
      <c r="E1263" s="8" t="s">
        <v>8366</v>
      </c>
      <c r="F1263" s="8" t="s">
        <v>8367</v>
      </c>
      <c r="G1263" s="9">
        <v>73</v>
      </c>
      <c r="H1263" s="8" t="s">
        <v>25</v>
      </c>
      <c r="I1263" s="8" t="str">
        <f>IFERROR(__XLUDF.DUMMYFUNCTION("VLOOKUP(H56,IMPORTRANGE(""https://docs.google.com/spreadsheets/d/1opm6ZNvGZ7KditA9TuJwrZ25eFLfTNIkrNnY6mhV5Eg"",""list!A1:C115""),3,TRUE)"),"le secteur de l'hôtellerie")</f>
        <v xml:space="preserve">le secteur de l'hôtellerie</v>
      </c>
      <c r="J1263" s="10" t="s">
        <v>8368</v>
      </c>
      <c r="K1263" s="10" t="s">
        <v>8369</v>
      </c>
      <c r="L1263" s="8" t="s">
        <v>8370</v>
      </c>
      <c r="M1263" s="8" t="s">
        <v>1938</v>
      </c>
      <c r="N1263" s="8" t="s">
        <v>8371</v>
      </c>
      <c r="O1263" s="8" t="s">
        <v>1828</v>
      </c>
      <c r="P1263" s="8" t="s">
        <v>8372</v>
      </c>
      <c r="Q1263" s="8"/>
      <c r="R1263" s="8"/>
      <c r="S1263" s="8"/>
      <c r="T1263" s="8"/>
      <c r="U1263" s="8"/>
      <c r="V1263" s="8"/>
      <c r="W1263" s="8"/>
      <c r="X1263" s="8"/>
      <c r="Y1263" s="8"/>
    </row>
    <row r="1264" ht="14.25">
      <c r="B1264" s="8" t="s">
        <v>8373</v>
      </c>
      <c r="C1264" s="8" t="s">
        <v>8374</v>
      </c>
      <c r="D1264" s="8" t="s">
        <v>8375</v>
      </c>
      <c r="E1264" s="8" t="s">
        <v>624</v>
      </c>
      <c r="F1264" s="8" t="s">
        <v>8376</v>
      </c>
      <c r="G1264" s="9">
        <v>7</v>
      </c>
      <c r="H1264" s="8" t="s">
        <v>25</v>
      </c>
      <c r="I1264" s="8" t="str">
        <f>IFERROR(__XLUDF.DUMMYFUNCTION("VLOOKUP(H57,IMPORTRANGE(""https://docs.google.com/spreadsheets/d/1opm6ZNvGZ7KditA9TuJwrZ25eFLfTNIkrNnY6mhV5Eg"",""list!A1:C115""),3,TRUE)"),"le secteur de l'hôtellerie")</f>
        <v xml:space="preserve">le secteur de l'hôtellerie</v>
      </c>
      <c r="J1264" s="10" t="s">
        <v>8377</v>
      </c>
      <c r="K1264" s="10" t="s">
        <v>627</v>
      </c>
      <c r="L1264" s="8" t="s">
        <v>243</v>
      </c>
      <c r="M1264" s="8" t="s">
        <v>29</v>
      </c>
      <c r="N1264" s="8" t="s">
        <v>628</v>
      </c>
      <c r="O1264" s="8" t="s">
        <v>29</v>
      </c>
      <c r="P1264" s="8" t="s">
        <v>629</v>
      </c>
      <c r="Q1264" s="8"/>
      <c r="R1264" s="8"/>
      <c r="S1264" s="8"/>
      <c r="T1264" s="8"/>
      <c r="U1264" s="8"/>
      <c r="V1264" s="8"/>
      <c r="W1264" s="8"/>
      <c r="X1264" s="8"/>
      <c r="Y1264" s="8"/>
    </row>
    <row r="1265" ht="14.25">
      <c r="B1265" s="8" t="s">
        <v>1596</v>
      </c>
      <c r="C1265" s="8" t="s">
        <v>8378</v>
      </c>
      <c r="D1265" s="8" t="s">
        <v>87</v>
      </c>
      <c r="E1265" s="8" t="s">
        <v>8379</v>
      </c>
      <c r="F1265" s="8" t="s">
        <v>8380</v>
      </c>
      <c r="G1265" s="9">
        <v>81</v>
      </c>
      <c r="H1265" s="8" t="s">
        <v>25</v>
      </c>
      <c r="I1265" s="8" t="str">
        <f>IFERROR(__XLUDF.DUMMYFUNCTION("VLOOKUP(H58,IMPORTRANGE(""https://docs.google.com/spreadsheets/d/1opm6ZNvGZ7KditA9TuJwrZ25eFLfTNIkrNnY6mhV5Eg"",""list!A1:C115""),3,TRUE)"),"le secteur de l'hôtellerie")</f>
        <v xml:space="preserve">le secteur de l'hôtellerie</v>
      </c>
      <c r="J1265" s="10" t="s">
        <v>8381</v>
      </c>
      <c r="K1265" s="10" t="s">
        <v>8382</v>
      </c>
      <c r="L1265" s="8" t="s">
        <v>8383</v>
      </c>
      <c r="M1265" s="8" t="s">
        <v>1938</v>
      </c>
      <c r="N1265" s="8" t="s">
        <v>8384</v>
      </c>
      <c r="O1265" s="8" t="s">
        <v>1938</v>
      </c>
      <c r="P1265" s="8" t="s">
        <v>8385</v>
      </c>
      <c r="Q1265" s="8"/>
      <c r="R1265" s="8"/>
      <c r="S1265" s="8"/>
      <c r="T1265" s="8"/>
      <c r="U1265" s="8"/>
      <c r="V1265" s="8"/>
      <c r="W1265" s="8"/>
      <c r="X1265" s="8"/>
      <c r="Y1265" s="8"/>
    </row>
    <row r="1266" ht="14.25">
      <c r="B1266" s="8" t="s">
        <v>1596</v>
      </c>
      <c r="C1266" s="8" t="s">
        <v>8386</v>
      </c>
      <c r="D1266" s="8" t="s">
        <v>8387</v>
      </c>
      <c r="E1266" s="8" t="s">
        <v>8388</v>
      </c>
      <c r="F1266" s="8" t="s">
        <v>8389</v>
      </c>
      <c r="G1266" s="9">
        <v>35</v>
      </c>
      <c r="H1266" s="8" t="s">
        <v>25</v>
      </c>
      <c r="I1266" s="8" t="str">
        <f>IFERROR(__XLUDF.DUMMYFUNCTION("VLOOKUP(H59,IMPORTRANGE(""https://docs.google.com/spreadsheets/d/1opm6ZNvGZ7KditA9TuJwrZ25eFLfTNIkrNnY6mhV5Eg"",""list!A1:C115""),3,TRUE)"),"le secteur de l'hôtellerie")</f>
        <v xml:space="preserve">le secteur de l'hôtellerie</v>
      </c>
      <c r="J1266" s="10" t="s">
        <v>8390</v>
      </c>
      <c r="K1266" s="10" t="s">
        <v>8391</v>
      </c>
      <c r="L1266" s="8" t="s">
        <v>8086</v>
      </c>
      <c r="M1266" s="8" t="s">
        <v>1938</v>
      </c>
      <c r="N1266" s="8" t="s">
        <v>8392</v>
      </c>
      <c r="O1266" s="8" t="s">
        <v>1938</v>
      </c>
      <c r="P1266" s="8" t="s">
        <v>8393</v>
      </c>
      <c r="Q1266" s="8"/>
      <c r="R1266" s="8"/>
      <c r="S1266" s="8"/>
      <c r="T1266" s="8"/>
      <c r="U1266" s="8"/>
      <c r="V1266" s="8"/>
      <c r="W1266" s="8"/>
      <c r="X1266" s="8"/>
      <c r="Y1266" s="8"/>
    </row>
    <row r="1267" ht="14.25">
      <c r="B1267" s="8" t="s">
        <v>8394</v>
      </c>
      <c r="C1267" s="8" t="s">
        <v>8395</v>
      </c>
      <c r="D1267" s="8" t="s">
        <v>8348</v>
      </c>
      <c r="E1267" s="8" t="s">
        <v>8396</v>
      </c>
      <c r="F1267" s="8" t="s">
        <v>8397</v>
      </c>
      <c r="G1267" s="9">
        <v>63</v>
      </c>
      <c r="H1267" s="8" t="s">
        <v>25</v>
      </c>
      <c r="I1267" s="8" t="str">
        <f>IFERROR(__XLUDF.DUMMYFUNCTION("VLOOKUP(H60,IMPORTRANGE(""https://docs.google.com/spreadsheets/d/1opm6ZNvGZ7KditA9TuJwrZ25eFLfTNIkrNnY6mhV5Eg"",""list!A1:C115""),3,TRUE)"),"le secteur de l'hôtellerie")</f>
        <v xml:space="preserve">le secteur de l'hôtellerie</v>
      </c>
      <c r="J1267" s="10" t="s">
        <v>8398</v>
      </c>
      <c r="K1267" s="10" t="s">
        <v>8399</v>
      </c>
      <c r="L1267" s="8" t="s">
        <v>8400</v>
      </c>
      <c r="M1267" s="8" t="s">
        <v>1938</v>
      </c>
      <c r="N1267" s="8" t="s">
        <v>8401</v>
      </c>
      <c r="O1267" s="8" t="s">
        <v>8402</v>
      </c>
      <c r="P1267" s="8" t="s">
        <v>8403</v>
      </c>
      <c r="Q1267" s="8"/>
      <c r="R1267" s="8"/>
      <c r="S1267" s="8"/>
      <c r="T1267" s="8"/>
      <c r="U1267" s="8"/>
      <c r="V1267" s="8"/>
      <c r="W1267" s="8"/>
      <c r="X1267" s="8"/>
      <c r="Y1267" s="8"/>
    </row>
    <row r="1268" ht="14.25">
      <c r="B1268" s="8" t="s">
        <v>2516</v>
      </c>
      <c r="C1268" s="8" t="s">
        <v>7023</v>
      </c>
      <c r="D1268" s="8" t="s">
        <v>87</v>
      </c>
      <c r="E1268" s="8" t="s">
        <v>6816</v>
      </c>
      <c r="F1268" s="8" t="s">
        <v>7024</v>
      </c>
      <c r="G1268" s="9">
        <v>57</v>
      </c>
      <c r="H1268" s="8" t="s">
        <v>25</v>
      </c>
      <c r="I1268" s="8" t="str">
        <f>IFERROR(__XLUDF.DUMMYFUNCTION("VLOOKUP(H61,IMPORTRANGE(""https://docs.google.com/spreadsheets/d/1opm6ZNvGZ7KditA9TuJwrZ25eFLfTNIkrNnY6mhV5Eg"",""list!A1:C115""),3,TRUE)"),"le secteur de l'hôtellerie")</f>
        <v xml:space="preserve">le secteur de l'hôtellerie</v>
      </c>
      <c r="J1268" s="10" t="s">
        <v>7025</v>
      </c>
      <c r="K1268" s="10" t="s">
        <v>8404</v>
      </c>
      <c r="L1268" s="8" t="s">
        <v>185</v>
      </c>
      <c r="M1268" s="8" t="s">
        <v>29</v>
      </c>
      <c r="N1268" s="8" t="s">
        <v>6820</v>
      </c>
      <c r="O1268" s="8" t="s">
        <v>29</v>
      </c>
      <c r="P1268" s="8" t="s">
        <v>6821</v>
      </c>
      <c r="Q1268" s="8"/>
      <c r="R1268" s="8"/>
      <c r="S1268" s="8"/>
      <c r="T1268" s="8"/>
      <c r="U1268" s="8"/>
      <c r="V1268" s="8"/>
      <c r="W1268" s="8"/>
      <c r="X1268" s="8"/>
      <c r="Y1268" s="8"/>
    </row>
    <row r="1269" ht="14.25">
      <c r="B1269" s="8" t="s">
        <v>3472</v>
      </c>
      <c r="C1269" s="8" t="s">
        <v>7026</v>
      </c>
      <c r="D1269" s="8" t="s">
        <v>3611</v>
      </c>
      <c r="E1269" s="8" t="s">
        <v>7027</v>
      </c>
      <c r="F1269" s="8" t="s">
        <v>7028</v>
      </c>
      <c r="G1269" s="9">
        <v>84</v>
      </c>
      <c r="H1269" s="8" t="s">
        <v>25</v>
      </c>
      <c r="I1269" s="8" t="str">
        <f>IFERROR(__XLUDF.DUMMYFUNCTION("VLOOKUP(H62,IMPORTRANGE(""https://docs.google.com/spreadsheets/d/1opm6ZNvGZ7KditA9TuJwrZ25eFLfTNIkrNnY6mhV5Eg"",""list!A1:C115""),3,TRUE)"),"le secteur de l'hôtellerie")</f>
        <v xml:space="preserve">le secteur de l'hôtellerie</v>
      </c>
      <c r="J1269" s="10" t="s">
        <v>7029</v>
      </c>
      <c r="K1269" s="10" t="s">
        <v>8405</v>
      </c>
      <c r="L1269" s="8" t="s">
        <v>39</v>
      </c>
      <c r="M1269" s="8" t="s">
        <v>29</v>
      </c>
      <c r="N1269" s="8" t="s">
        <v>67</v>
      </c>
      <c r="O1269" s="8" t="s">
        <v>29</v>
      </c>
      <c r="P1269" s="8" t="s">
        <v>8406</v>
      </c>
      <c r="Q1269" s="8"/>
      <c r="R1269" s="8"/>
      <c r="S1269" s="8"/>
      <c r="T1269" s="8"/>
      <c r="U1269" s="8"/>
      <c r="V1269" s="8"/>
      <c r="W1269" s="8"/>
      <c r="X1269" s="8"/>
      <c r="Y1269" s="8"/>
    </row>
    <row r="1270" ht="14.25">
      <c r="B1270" s="8" t="s">
        <v>955</v>
      </c>
      <c r="C1270" s="8" t="s">
        <v>8407</v>
      </c>
      <c r="D1270" s="8" t="s">
        <v>8408</v>
      </c>
      <c r="E1270" s="8" t="s">
        <v>8409</v>
      </c>
      <c r="F1270" s="8" t="s">
        <v>8410</v>
      </c>
      <c r="G1270" s="9">
        <v>160</v>
      </c>
      <c r="H1270" s="8" t="s">
        <v>25</v>
      </c>
      <c r="I1270" s="8" t="str">
        <f>IFERROR(__XLUDF.DUMMYFUNCTION("VLOOKUP(H63,IMPORTRANGE(""https://docs.google.com/spreadsheets/d/1opm6ZNvGZ7KditA9TuJwrZ25eFLfTNIkrNnY6mhV5Eg"",""list!A1:C115""),3,TRUE)"),"le secteur de l'hôtellerie")</f>
        <v xml:space="preserve">le secteur de l'hôtellerie</v>
      </c>
      <c r="J1270" s="10" t="s">
        <v>8411</v>
      </c>
      <c r="K1270" s="10" t="s">
        <v>8412</v>
      </c>
      <c r="L1270" s="8" t="s">
        <v>651</v>
      </c>
      <c r="M1270" s="8" t="s">
        <v>29</v>
      </c>
      <c r="N1270" s="8" t="s">
        <v>8413</v>
      </c>
      <c r="O1270" s="8" t="s">
        <v>1548</v>
      </c>
      <c r="P1270" s="8"/>
      <c r="Q1270" s="8"/>
      <c r="R1270" s="8"/>
      <c r="S1270" s="8"/>
      <c r="T1270" s="8"/>
      <c r="U1270" s="8"/>
      <c r="V1270" s="8"/>
      <c r="W1270" s="8"/>
      <c r="X1270" s="8"/>
      <c r="Y1270" s="8"/>
    </row>
    <row r="1271" ht="14.25">
      <c r="B1271" s="8" t="s">
        <v>8414</v>
      </c>
      <c r="C1271" s="8" t="s">
        <v>8415</v>
      </c>
      <c r="D1271" s="8" t="s">
        <v>62</v>
      </c>
      <c r="E1271" s="8" t="s">
        <v>8416</v>
      </c>
      <c r="F1271" s="8" t="s">
        <v>8417</v>
      </c>
      <c r="G1271" s="9">
        <v>10</v>
      </c>
      <c r="H1271" s="8" t="s">
        <v>25</v>
      </c>
      <c r="I1271" s="8" t="str">
        <f>IFERROR(__XLUDF.DUMMYFUNCTION("VLOOKUP(H64,IMPORTRANGE(""https://docs.google.com/spreadsheets/d/1opm6ZNvGZ7KditA9TuJwrZ25eFLfTNIkrNnY6mhV5Eg"",""list!A1:C115""),3,TRUE)"),"le secteur de l'hôtellerie")</f>
        <v xml:space="preserve">le secteur de l'hôtellerie</v>
      </c>
      <c r="J1271" s="10" t="s">
        <v>8418</v>
      </c>
      <c r="K1271" s="10" t="s">
        <v>8419</v>
      </c>
      <c r="L1271" s="8" t="s">
        <v>8086</v>
      </c>
      <c r="M1271" s="8" t="s">
        <v>1938</v>
      </c>
      <c r="N1271" s="8" t="s">
        <v>6165</v>
      </c>
      <c r="O1271" s="8" t="s">
        <v>6166</v>
      </c>
      <c r="P1271" s="8"/>
      <c r="Q1271" s="8"/>
      <c r="R1271" s="8"/>
      <c r="S1271" s="8"/>
      <c r="T1271" s="8"/>
      <c r="U1271" s="8"/>
      <c r="V1271" s="8"/>
      <c r="W1271" s="8"/>
      <c r="X1271" s="8"/>
      <c r="Y1271" s="8"/>
    </row>
    <row r="1272" ht="14.25">
      <c r="B1272" s="8" t="s">
        <v>8420</v>
      </c>
      <c r="C1272" s="8" t="s">
        <v>8421</v>
      </c>
      <c r="D1272" s="8" t="s">
        <v>8071</v>
      </c>
      <c r="E1272" s="8" t="s">
        <v>8422</v>
      </c>
      <c r="F1272" s="8" t="s">
        <v>8423</v>
      </c>
      <c r="G1272" s="9">
        <v>64</v>
      </c>
      <c r="H1272" s="8" t="s">
        <v>25</v>
      </c>
      <c r="I1272" s="8" t="str">
        <f>IFERROR(__XLUDF.DUMMYFUNCTION("VLOOKUP(H65,IMPORTRANGE(""https://docs.google.com/spreadsheets/d/1opm6ZNvGZ7KditA9TuJwrZ25eFLfTNIkrNnY6mhV5Eg"",""list!A1:C115""),3,TRUE)"),"le secteur de l'hôtellerie")</f>
        <v xml:space="preserve">le secteur de l'hôtellerie</v>
      </c>
      <c r="J1272" s="10" t="s">
        <v>8424</v>
      </c>
      <c r="K1272" s="10" t="s">
        <v>8425</v>
      </c>
      <c r="L1272" s="8" t="s">
        <v>8133</v>
      </c>
      <c r="M1272" s="8" t="s">
        <v>1938</v>
      </c>
      <c r="N1272" s="8" t="s">
        <v>8426</v>
      </c>
      <c r="O1272" s="8" t="s">
        <v>8427</v>
      </c>
      <c r="P1272" s="8"/>
      <c r="Q1272" s="8"/>
      <c r="R1272" s="8"/>
      <c r="S1272" s="8"/>
      <c r="T1272" s="8"/>
      <c r="U1272" s="8"/>
      <c r="V1272" s="8"/>
      <c r="W1272" s="8"/>
      <c r="X1272" s="8"/>
      <c r="Y1272" s="8"/>
    </row>
    <row r="1273" ht="14.25">
      <c r="B1273" s="8" t="s">
        <v>8428</v>
      </c>
      <c r="C1273" s="8" t="s">
        <v>8429</v>
      </c>
      <c r="D1273" s="8" t="s">
        <v>315</v>
      </c>
      <c r="E1273" s="8" t="s">
        <v>8430</v>
      </c>
      <c r="F1273" s="8" t="s">
        <v>8431</v>
      </c>
      <c r="G1273" s="9">
        <v>34</v>
      </c>
      <c r="H1273" s="8" t="s">
        <v>25</v>
      </c>
      <c r="I1273" s="8" t="str">
        <f>IFERROR(__XLUDF.DUMMYFUNCTION("VLOOKUP(H66,IMPORTRANGE(""https://docs.google.com/spreadsheets/d/1opm6ZNvGZ7KditA9TuJwrZ25eFLfTNIkrNnY6mhV5Eg"",""list!A1:C115""),3,TRUE)"),"le secteur de l'hôtellerie")</f>
        <v xml:space="preserve">le secteur de l'hôtellerie</v>
      </c>
      <c r="J1273" s="10" t="s">
        <v>8432</v>
      </c>
      <c r="K1273" s="10" t="s">
        <v>8433</v>
      </c>
      <c r="L1273" s="8" t="s">
        <v>8133</v>
      </c>
      <c r="M1273" s="8" t="s">
        <v>1938</v>
      </c>
      <c r="N1273" s="8" t="s">
        <v>8434</v>
      </c>
      <c r="O1273" s="8" t="s">
        <v>1938</v>
      </c>
      <c r="P1273" s="8" t="s">
        <v>8435</v>
      </c>
      <c r="Q1273" s="8"/>
      <c r="R1273" s="8"/>
      <c r="S1273" s="8"/>
      <c r="T1273" s="8"/>
      <c r="U1273" s="8"/>
      <c r="V1273" s="8"/>
      <c r="W1273" s="8"/>
      <c r="X1273" s="8"/>
      <c r="Y1273" s="8"/>
    </row>
    <row r="1274" ht="14.25">
      <c r="B1274" s="8" t="s">
        <v>3411</v>
      </c>
      <c r="C1274" s="8" t="s">
        <v>8436</v>
      </c>
      <c r="D1274" s="8" t="s">
        <v>8437</v>
      </c>
      <c r="E1274" s="8" t="s">
        <v>7178</v>
      </c>
      <c r="F1274" s="8" t="s">
        <v>8438</v>
      </c>
      <c r="G1274" s="9">
        <v>150</v>
      </c>
      <c r="H1274" s="8" t="s">
        <v>25</v>
      </c>
      <c r="I1274" s="8" t="str">
        <f>IFERROR(__XLUDF.DUMMYFUNCTION("VLOOKUP(H67,IMPORTRANGE(""https://docs.google.com/spreadsheets/d/1opm6ZNvGZ7KditA9TuJwrZ25eFLfTNIkrNnY6mhV5Eg"",""list!A1:C115""),3,TRUE)"),"le secteur de l'hôtellerie")</f>
        <v xml:space="preserve">le secteur de l'hôtellerie</v>
      </c>
      <c r="J1274" s="10" t="s">
        <v>8439</v>
      </c>
      <c r="K1274" s="10" t="s">
        <v>8440</v>
      </c>
      <c r="L1274" s="8"/>
      <c r="M1274" s="8" t="s">
        <v>29</v>
      </c>
      <c r="N1274" s="8" t="s">
        <v>7182</v>
      </c>
      <c r="O1274" s="8" t="s">
        <v>29</v>
      </c>
      <c r="P1274" s="8" t="s">
        <v>7183</v>
      </c>
      <c r="Q1274" s="8"/>
      <c r="R1274" s="8"/>
      <c r="S1274" s="8"/>
      <c r="T1274" s="8"/>
      <c r="U1274" s="8"/>
      <c r="V1274" s="8"/>
      <c r="W1274" s="8"/>
      <c r="X1274" s="8"/>
      <c r="Y1274" s="8"/>
    </row>
    <row r="1275" ht="14.25">
      <c r="B1275" s="8" t="s">
        <v>8441</v>
      </c>
      <c r="C1275" s="8" t="s">
        <v>8442</v>
      </c>
      <c r="D1275" s="8" t="s">
        <v>1240</v>
      </c>
      <c r="E1275" s="8" t="s">
        <v>8443</v>
      </c>
      <c r="F1275" s="8" t="s">
        <v>8444</v>
      </c>
      <c r="G1275" s="9">
        <v>17</v>
      </c>
      <c r="H1275" s="8" t="s">
        <v>25</v>
      </c>
      <c r="I1275" s="8" t="str">
        <f>IFERROR(__XLUDF.DUMMYFUNCTION("VLOOKUP(H68,IMPORTRANGE(""https://docs.google.com/spreadsheets/d/1opm6ZNvGZ7KditA9TuJwrZ25eFLfTNIkrNnY6mhV5Eg"",""list!A1:C115""),3,TRUE)"),"le secteur de l'hôtellerie")</f>
        <v xml:space="preserve">le secteur de l'hôtellerie</v>
      </c>
      <c r="J1275" s="10" t="s">
        <v>8445</v>
      </c>
      <c r="K1275" s="10" t="s">
        <v>8446</v>
      </c>
      <c r="L1275" s="8" t="s">
        <v>8086</v>
      </c>
      <c r="M1275" s="8" t="s">
        <v>1938</v>
      </c>
      <c r="N1275" s="8" t="s">
        <v>8447</v>
      </c>
      <c r="O1275" s="8" t="s">
        <v>1938</v>
      </c>
      <c r="P1275" s="8" t="s">
        <v>8448</v>
      </c>
      <c r="Q1275" s="8"/>
      <c r="R1275" s="8"/>
      <c r="S1275" s="8"/>
      <c r="T1275" s="8"/>
      <c r="U1275" s="8"/>
      <c r="V1275" s="8"/>
      <c r="W1275" s="8"/>
      <c r="X1275" s="8"/>
      <c r="Y1275" s="8"/>
    </row>
    <row r="1276" ht="14.25">
      <c r="B1276" s="8" t="s">
        <v>222</v>
      </c>
      <c r="C1276" s="8" t="s">
        <v>20</v>
      </c>
      <c r="D1276" s="8" t="s">
        <v>8275</v>
      </c>
      <c r="E1276" s="8" t="s">
        <v>8449</v>
      </c>
      <c r="F1276" s="8" t="s">
        <v>8450</v>
      </c>
      <c r="G1276" s="9">
        <v>120</v>
      </c>
      <c r="H1276" s="8" t="s">
        <v>25</v>
      </c>
      <c r="I1276" s="8" t="str">
        <f>IFERROR(__XLUDF.DUMMYFUNCTION("VLOOKUP(H69,IMPORTRANGE(""https://docs.google.com/spreadsheets/d/1opm6ZNvGZ7KditA9TuJwrZ25eFLfTNIkrNnY6mhV5Eg"",""list!A1:C115""),3,TRUE)"),"le secteur de l'hôtellerie")</f>
        <v xml:space="preserve">le secteur de l'hôtellerie</v>
      </c>
      <c r="J1276" s="10" t="s">
        <v>8451</v>
      </c>
      <c r="K1276" s="10" t="s">
        <v>8452</v>
      </c>
      <c r="L1276" s="8"/>
      <c r="M1276" s="8" t="s">
        <v>1938</v>
      </c>
      <c r="N1276" s="8" t="s">
        <v>8453</v>
      </c>
      <c r="O1276" s="8" t="s">
        <v>1938</v>
      </c>
      <c r="P1276" s="8"/>
      <c r="Q1276" s="8"/>
      <c r="R1276" s="8"/>
      <c r="S1276" s="8"/>
      <c r="T1276" s="8"/>
      <c r="U1276" s="8"/>
      <c r="V1276" s="8"/>
      <c r="W1276" s="8"/>
      <c r="X1276" s="8"/>
      <c r="Y1276" s="8"/>
    </row>
    <row r="1277" ht="14.25">
      <c r="B1277" s="8" t="s">
        <v>3781</v>
      </c>
      <c r="C1277" s="8" t="s">
        <v>6544</v>
      </c>
      <c r="D1277" s="8" t="s">
        <v>6545</v>
      </c>
      <c r="E1277" s="8" t="s">
        <v>6546</v>
      </c>
      <c r="F1277" s="8" t="s">
        <v>6547</v>
      </c>
      <c r="G1277" s="9">
        <v>170</v>
      </c>
      <c r="H1277" s="8" t="s">
        <v>25</v>
      </c>
      <c r="I1277" s="8" t="str">
        <f>IFERROR(__XLUDF.DUMMYFUNCTION("VLOOKUP(H70,IMPORTRANGE(""https://docs.google.com/spreadsheets/d/1opm6ZNvGZ7KditA9TuJwrZ25eFLfTNIkrNnY6mhV5Eg"",""list!A1:C115""),3,TRUE)"),"le secteur de l'hôtellerie")</f>
        <v xml:space="preserve">le secteur de l'hôtellerie</v>
      </c>
      <c r="J1277" s="10" t="s">
        <v>6548</v>
      </c>
      <c r="K1277" s="10" t="s">
        <v>8454</v>
      </c>
      <c r="L1277" s="8" t="s">
        <v>39</v>
      </c>
      <c r="M1277" s="8" t="s">
        <v>29</v>
      </c>
      <c r="N1277" s="8" t="s">
        <v>6550</v>
      </c>
      <c r="O1277" s="8" t="s">
        <v>1548</v>
      </c>
      <c r="P1277" s="8" t="s">
        <v>6551</v>
      </c>
      <c r="Q1277" s="8"/>
      <c r="R1277" s="8"/>
      <c r="S1277" s="8"/>
      <c r="T1277" s="8"/>
      <c r="U1277" s="8"/>
      <c r="V1277" s="8"/>
      <c r="W1277" s="8"/>
      <c r="X1277" s="8"/>
      <c r="Y1277" s="8"/>
    </row>
    <row r="1278" ht="14.25">
      <c r="B1278" s="8" t="s">
        <v>8455</v>
      </c>
      <c r="C1278" s="8" t="s">
        <v>8456</v>
      </c>
      <c r="D1278" s="8" t="s">
        <v>8457</v>
      </c>
      <c r="E1278" s="8" t="s">
        <v>8458</v>
      </c>
      <c r="F1278" s="8" t="s">
        <v>8459</v>
      </c>
      <c r="G1278" s="9">
        <v>65</v>
      </c>
      <c r="H1278" s="8" t="s">
        <v>25</v>
      </c>
      <c r="I1278" s="8" t="str">
        <f>IFERROR(__XLUDF.DUMMYFUNCTION("VLOOKUP(H71,IMPORTRANGE(""https://docs.google.com/spreadsheets/d/1opm6ZNvGZ7KditA9TuJwrZ25eFLfTNIkrNnY6mhV5Eg"",""list!A1:C115""),3,TRUE)"),"le secteur de l'hôtellerie")</f>
        <v xml:space="preserve">le secteur de l'hôtellerie</v>
      </c>
      <c r="J1278" s="10" t="s">
        <v>8460</v>
      </c>
      <c r="K1278" s="10" t="s">
        <v>8461</v>
      </c>
      <c r="L1278" s="8" t="s">
        <v>8133</v>
      </c>
      <c r="M1278" s="8" t="s">
        <v>1938</v>
      </c>
      <c r="N1278" s="8" t="s">
        <v>8462</v>
      </c>
      <c r="O1278" s="8" t="s">
        <v>1938</v>
      </c>
      <c r="P1278" s="8" t="s">
        <v>8463</v>
      </c>
      <c r="Q1278" s="8"/>
      <c r="R1278" s="8"/>
      <c r="S1278" s="8"/>
      <c r="T1278" s="8"/>
      <c r="U1278" s="8"/>
      <c r="V1278" s="8"/>
      <c r="W1278" s="8"/>
      <c r="X1278" s="8"/>
      <c r="Y1278" s="8"/>
    </row>
    <row r="1279" ht="14.25">
      <c r="B1279" s="8" t="s">
        <v>8464</v>
      </c>
      <c r="C1279" s="8" t="s">
        <v>8465</v>
      </c>
      <c r="D1279" s="8" t="s">
        <v>8466</v>
      </c>
      <c r="E1279" s="8" t="s">
        <v>8173</v>
      </c>
      <c r="F1279" s="8" t="s">
        <v>8467</v>
      </c>
      <c r="G1279" s="9">
        <v>68</v>
      </c>
      <c r="H1279" s="8" t="s">
        <v>25</v>
      </c>
      <c r="I1279" s="8" t="str">
        <f>IFERROR(__XLUDF.DUMMYFUNCTION("VLOOKUP(H72,IMPORTRANGE(""https://docs.google.com/spreadsheets/d/1opm6ZNvGZ7KditA9TuJwrZ25eFLfTNIkrNnY6mhV5Eg"",""list!A1:C115""),3,TRUE)"),"le secteur de l'hôtellerie")</f>
        <v xml:space="preserve">le secteur de l'hôtellerie</v>
      </c>
      <c r="J1279" s="10" t="s">
        <v>8468</v>
      </c>
      <c r="K1279" s="10" t="s">
        <v>8176</v>
      </c>
      <c r="L1279" s="8" t="s">
        <v>8400</v>
      </c>
      <c r="M1279" s="8" t="s">
        <v>1938</v>
      </c>
      <c r="N1279" s="8" t="s">
        <v>8177</v>
      </c>
      <c r="O1279" s="8" t="s">
        <v>1938</v>
      </c>
      <c r="P1279" s="8"/>
      <c r="Q1279" s="8"/>
      <c r="R1279" s="8"/>
      <c r="S1279" s="8"/>
      <c r="T1279" s="8"/>
      <c r="U1279" s="8"/>
      <c r="V1279" s="8"/>
      <c r="W1279" s="8"/>
      <c r="X1279" s="8"/>
      <c r="Y1279" s="8"/>
    </row>
    <row r="1280" ht="14.25">
      <c r="B1280" s="8" t="s">
        <v>4961</v>
      </c>
      <c r="C1280" s="8" t="s">
        <v>8469</v>
      </c>
      <c r="D1280" s="8" t="s">
        <v>44</v>
      </c>
      <c r="E1280" s="8" t="s">
        <v>8470</v>
      </c>
      <c r="F1280" s="8" t="s">
        <v>8471</v>
      </c>
      <c r="G1280" s="9">
        <v>10</v>
      </c>
      <c r="H1280" s="8" t="s">
        <v>25</v>
      </c>
      <c r="I1280" s="8" t="str">
        <f>IFERROR(__XLUDF.DUMMYFUNCTION("VLOOKUP(H73,IMPORTRANGE(""https://docs.google.com/spreadsheets/d/1opm6ZNvGZ7KditA9TuJwrZ25eFLfTNIkrNnY6mhV5Eg"",""list!A1:C115""),3,TRUE)"),"le secteur de l'hôtellerie")</f>
        <v xml:space="preserve">le secteur de l'hôtellerie</v>
      </c>
      <c r="J1280" s="10" t="s">
        <v>8472</v>
      </c>
      <c r="K1280" s="10" t="s">
        <v>8473</v>
      </c>
      <c r="L1280" s="8" t="s">
        <v>8086</v>
      </c>
      <c r="M1280" s="8" t="s">
        <v>1938</v>
      </c>
      <c r="N1280" s="8" t="s">
        <v>8474</v>
      </c>
      <c r="O1280" s="8" t="s">
        <v>4318</v>
      </c>
      <c r="P1280" s="8"/>
      <c r="Q1280" s="8"/>
      <c r="R1280" s="8"/>
      <c r="S1280" s="8"/>
      <c r="T1280" s="8"/>
      <c r="U1280" s="8"/>
      <c r="V1280" s="8"/>
      <c r="W1280" s="8"/>
      <c r="X1280" s="8"/>
      <c r="Y1280" s="8"/>
    </row>
    <row r="1281" ht="14.25">
      <c r="B1281" s="8" t="s">
        <v>1853</v>
      </c>
      <c r="C1281" s="8" t="s">
        <v>8475</v>
      </c>
      <c r="D1281" s="8" t="s">
        <v>8476</v>
      </c>
      <c r="E1281" s="8" t="s">
        <v>8477</v>
      </c>
      <c r="F1281" s="8" t="s">
        <v>8478</v>
      </c>
      <c r="G1281" s="9">
        <v>92</v>
      </c>
      <c r="H1281" s="8" t="s">
        <v>25</v>
      </c>
      <c r="I1281" s="8" t="str">
        <f>IFERROR(__XLUDF.DUMMYFUNCTION("VLOOKUP(H74,IMPORTRANGE(""https://docs.google.com/spreadsheets/d/1opm6ZNvGZ7KditA9TuJwrZ25eFLfTNIkrNnY6mhV5Eg"",""list!A1:C115""),3,TRUE)"),"le secteur de l'hôtellerie")</f>
        <v xml:space="preserve">le secteur de l'hôtellerie</v>
      </c>
      <c r="J1281" s="10" t="s">
        <v>8479</v>
      </c>
      <c r="K1281" s="10" t="s">
        <v>8480</v>
      </c>
      <c r="L1281" s="8"/>
      <c r="M1281" s="8" t="s">
        <v>1938</v>
      </c>
      <c r="N1281" s="8" t="s">
        <v>8481</v>
      </c>
      <c r="O1281" s="8" t="s">
        <v>1938</v>
      </c>
      <c r="P1281" s="8" t="s">
        <v>8482</v>
      </c>
      <c r="Q1281" s="8"/>
      <c r="R1281" s="8"/>
      <c r="S1281" s="8"/>
      <c r="T1281" s="8"/>
      <c r="U1281" s="8"/>
      <c r="V1281" s="8"/>
      <c r="W1281" s="8"/>
      <c r="X1281" s="8"/>
      <c r="Y1281" s="8"/>
    </row>
    <row r="1282" ht="14.25">
      <c r="B1282" s="8" t="s">
        <v>8483</v>
      </c>
      <c r="C1282" s="8" t="s">
        <v>8484</v>
      </c>
      <c r="D1282" s="8" t="s">
        <v>87</v>
      </c>
      <c r="E1282" s="8" t="s">
        <v>8485</v>
      </c>
      <c r="F1282" s="8" t="s">
        <v>8486</v>
      </c>
      <c r="G1282" s="9">
        <v>30</v>
      </c>
      <c r="H1282" s="8" t="s">
        <v>25</v>
      </c>
      <c r="I1282" s="8" t="str">
        <f>IFERROR(__XLUDF.DUMMYFUNCTION("VLOOKUP(H75,IMPORTRANGE(""https://docs.google.com/spreadsheets/d/1opm6ZNvGZ7KditA9TuJwrZ25eFLfTNIkrNnY6mhV5Eg"",""list!A1:C115""),3,TRUE)"),"le secteur de l'hôtellerie")</f>
        <v xml:space="preserve">le secteur de l'hôtellerie</v>
      </c>
      <c r="J1282" s="10" t="s">
        <v>8487</v>
      </c>
      <c r="K1282" s="10" t="s">
        <v>8488</v>
      </c>
      <c r="L1282" s="8" t="s">
        <v>8489</v>
      </c>
      <c r="M1282" s="8" t="s">
        <v>1938</v>
      </c>
      <c r="N1282" s="8" t="s">
        <v>8490</v>
      </c>
      <c r="O1282" s="8" t="s">
        <v>1938</v>
      </c>
      <c r="P1282" s="8" t="s">
        <v>8491</v>
      </c>
      <c r="Q1282" s="8"/>
      <c r="R1282" s="8"/>
      <c r="S1282" s="8"/>
      <c r="T1282" s="8"/>
      <c r="U1282" s="8"/>
      <c r="V1282" s="8"/>
      <c r="W1282" s="8"/>
      <c r="X1282" s="8"/>
      <c r="Y1282" s="8"/>
    </row>
    <row r="1283" ht="14.25">
      <c r="B1283" s="8" t="s">
        <v>4245</v>
      </c>
      <c r="C1283" s="8" t="s">
        <v>8492</v>
      </c>
      <c r="D1283" s="8" t="s">
        <v>8493</v>
      </c>
      <c r="E1283" s="8" t="s">
        <v>8494</v>
      </c>
      <c r="F1283" s="8" t="s">
        <v>8495</v>
      </c>
      <c r="G1283" s="9">
        <v>75</v>
      </c>
      <c r="H1283" s="8" t="s">
        <v>25</v>
      </c>
      <c r="I1283" s="8" t="str">
        <f>IFERROR(__XLUDF.DUMMYFUNCTION("VLOOKUP(H76,IMPORTRANGE(""https://docs.google.com/spreadsheets/d/1opm6ZNvGZ7KditA9TuJwrZ25eFLfTNIkrNnY6mhV5Eg"",""list!A1:C115""),3,TRUE)"),"le secteur de l'hôtellerie")</f>
        <v xml:space="preserve">le secteur de l'hôtellerie</v>
      </c>
      <c r="J1283" s="10" t="s">
        <v>8496</v>
      </c>
      <c r="K1283" s="10" t="s">
        <v>8497</v>
      </c>
      <c r="L1283" s="8" t="s">
        <v>8498</v>
      </c>
      <c r="M1283" s="8" t="s">
        <v>1938</v>
      </c>
      <c r="N1283" s="8" t="s">
        <v>8499</v>
      </c>
      <c r="O1283" s="8" t="s">
        <v>1938</v>
      </c>
      <c r="P1283" s="8"/>
      <c r="Q1283" s="8"/>
      <c r="R1283" s="8"/>
      <c r="S1283" s="8"/>
      <c r="T1283" s="8"/>
      <c r="U1283" s="8"/>
      <c r="V1283" s="8"/>
      <c r="W1283" s="8"/>
      <c r="X1283" s="8"/>
      <c r="Y1283" s="8"/>
    </row>
    <row r="1284" ht="14.25">
      <c r="B1284" s="8" t="s">
        <v>2419</v>
      </c>
      <c r="C1284" s="8" t="s">
        <v>8500</v>
      </c>
      <c r="D1284" s="8" t="s">
        <v>8501</v>
      </c>
      <c r="E1284" s="8" t="s">
        <v>8502</v>
      </c>
      <c r="F1284" s="8" t="s">
        <v>8503</v>
      </c>
      <c r="G1284" s="9">
        <v>94</v>
      </c>
      <c r="H1284" s="8" t="s">
        <v>25</v>
      </c>
      <c r="I1284" s="8" t="str">
        <f>IFERROR(__XLUDF.DUMMYFUNCTION("VLOOKUP(H77,IMPORTRANGE(""https://docs.google.com/spreadsheets/d/1opm6ZNvGZ7KditA9TuJwrZ25eFLfTNIkrNnY6mhV5Eg"",""list!A1:C115""),3,TRUE)"),"le secteur de l'hôtellerie")</f>
        <v xml:space="preserve">le secteur de l'hôtellerie</v>
      </c>
      <c r="J1284" s="10" t="s">
        <v>8504</v>
      </c>
      <c r="K1284" s="10" t="s">
        <v>8505</v>
      </c>
      <c r="L1284" s="8" t="s">
        <v>8086</v>
      </c>
      <c r="M1284" s="8" t="s">
        <v>1938</v>
      </c>
      <c r="N1284" s="8" t="s">
        <v>8506</v>
      </c>
      <c r="O1284" s="8" t="s">
        <v>1938</v>
      </c>
      <c r="P1284" s="8" t="s">
        <v>8507</v>
      </c>
      <c r="Q1284" s="8"/>
      <c r="R1284" s="8"/>
      <c r="S1284" s="8"/>
      <c r="T1284" s="8"/>
      <c r="U1284" s="8"/>
      <c r="V1284" s="8"/>
      <c r="W1284" s="8"/>
      <c r="X1284" s="8"/>
      <c r="Y1284" s="8"/>
    </row>
    <row r="1285" ht="14.25">
      <c r="B1285" s="8" t="s">
        <v>8508</v>
      </c>
      <c r="C1285" s="8" t="s">
        <v>8509</v>
      </c>
      <c r="D1285" s="8" t="s">
        <v>8510</v>
      </c>
      <c r="E1285" s="8" t="s">
        <v>8511</v>
      </c>
      <c r="F1285" s="8" t="s">
        <v>8512</v>
      </c>
      <c r="G1285" s="9">
        <v>68</v>
      </c>
      <c r="H1285" s="8" t="s">
        <v>25</v>
      </c>
      <c r="I1285" s="8" t="str">
        <f>IFERROR(__XLUDF.DUMMYFUNCTION("VLOOKUP(H78,IMPORTRANGE(""https://docs.google.com/spreadsheets/d/1opm6ZNvGZ7KditA9TuJwrZ25eFLfTNIkrNnY6mhV5Eg"",""list!A1:C115""),3,TRUE)"),"le secteur de l'hôtellerie")</f>
        <v xml:space="preserve">le secteur de l'hôtellerie</v>
      </c>
      <c r="J1285" s="10" t="s">
        <v>8513</v>
      </c>
      <c r="K1285" s="10" t="s">
        <v>8514</v>
      </c>
      <c r="L1285" s="8"/>
      <c r="M1285" s="8" t="s">
        <v>29</v>
      </c>
      <c r="N1285" s="8" t="s">
        <v>8515</v>
      </c>
      <c r="O1285" s="8" t="s">
        <v>1938</v>
      </c>
      <c r="P1285" s="8" t="s">
        <v>8516</v>
      </c>
      <c r="Q1285" s="8"/>
      <c r="R1285" s="8"/>
      <c r="S1285" s="8"/>
      <c r="T1285" s="8"/>
      <c r="U1285" s="8"/>
      <c r="V1285" s="8"/>
      <c r="W1285" s="8"/>
      <c r="X1285" s="8"/>
      <c r="Y1285" s="8"/>
    </row>
    <row r="1286" ht="14.25">
      <c r="B1286" s="8" t="s">
        <v>8508</v>
      </c>
      <c r="C1286" s="8" t="s">
        <v>8517</v>
      </c>
      <c r="D1286" s="8" t="s">
        <v>8101</v>
      </c>
      <c r="E1286" s="8" t="s">
        <v>8518</v>
      </c>
      <c r="F1286" s="8" t="s">
        <v>8519</v>
      </c>
      <c r="G1286" s="9">
        <v>67</v>
      </c>
      <c r="H1286" s="8" t="s">
        <v>25</v>
      </c>
      <c r="I1286" s="8" t="str">
        <f>IFERROR(__XLUDF.DUMMYFUNCTION("VLOOKUP(H79,IMPORTRANGE(""https://docs.google.com/spreadsheets/d/1opm6ZNvGZ7KditA9TuJwrZ25eFLfTNIkrNnY6mhV5Eg"",""list!A1:C115""),3,TRUE)"),"le secteur de l'hôtellerie")</f>
        <v xml:space="preserve">le secteur de l'hôtellerie</v>
      </c>
      <c r="J1286" s="10" t="s">
        <v>8520</v>
      </c>
      <c r="K1286" s="10" t="s">
        <v>8521</v>
      </c>
      <c r="L1286" s="8" t="s">
        <v>8522</v>
      </c>
      <c r="M1286" s="8" t="s">
        <v>1938</v>
      </c>
      <c r="N1286" s="8" t="s">
        <v>8523</v>
      </c>
      <c r="O1286" s="8" t="s">
        <v>1938</v>
      </c>
      <c r="P1286" s="8"/>
      <c r="Q1286" s="8"/>
      <c r="R1286" s="8"/>
      <c r="S1286" s="8"/>
      <c r="T1286" s="8"/>
      <c r="U1286" s="8"/>
      <c r="V1286" s="8"/>
      <c r="W1286" s="8"/>
      <c r="X1286" s="8"/>
      <c r="Y1286" s="8"/>
    </row>
    <row r="1287" ht="14.25">
      <c r="B1287" s="8" t="s">
        <v>8524</v>
      </c>
      <c r="C1287" s="8" t="s">
        <v>8525</v>
      </c>
      <c r="D1287" s="8" t="s">
        <v>8526</v>
      </c>
      <c r="E1287" s="8" t="s">
        <v>8527</v>
      </c>
      <c r="F1287" s="8" t="s">
        <v>8528</v>
      </c>
      <c r="G1287" s="9">
        <v>75</v>
      </c>
      <c r="H1287" s="8" t="s">
        <v>25</v>
      </c>
      <c r="I1287" s="8" t="str">
        <f>IFERROR(__XLUDF.DUMMYFUNCTION("VLOOKUP(H80,IMPORTRANGE(""https://docs.google.com/spreadsheets/d/1opm6ZNvGZ7KditA9TuJwrZ25eFLfTNIkrNnY6mhV5Eg"",""list!A1:C115""),3,TRUE)"),"le secteur de l'hôtellerie")</f>
        <v xml:space="preserve">le secteur de l'hôtellerie</v>
      </c>
      <c r="J1287" s="10" t="s">
        <v>8529</v>
      </c>
      <c r="K1287" s="10" t="s">
        <v>8530</v>
      </c>
      <c r="L1287" s="8" t="s">
        <v>8531</v>
      </c>
      <c r="M1287" s="8" t="s">
        <v>1938</v>
      </c>
      <c r="N1287" s="8" t="s">
        <v>8532</v>
      </c>
      <c r="O1287" s="8" t="s">
        <v>8533</v>
      </c>
      <c r="P1287" s="8" t="s">
        <v>8534</v>
      </c>
      <c r="Q1287" s="8"/>
      <c r="R1287" s="8"/>
      <c r="S1287" s="8"/>
      <c r="T1287" s="8"/>
      <c r="U1287" s="8"/>
      <c r="V1287" s="8"/>
      <c r="W1287" s="8"/>
      <c r="X1287" s="8"/>
      <c r="Y1287" s="8"/>
    </row>
    <row r="1288" ht="14.25">
      <c r="B1288" s="8" t="s">
        <v>622</v>
      </c>
      <c r="C1288" s="8" t="s">
        <v>8428</v>
      </c>
      <c r="D1288" s="8" t="s">
        <v>8315</v>
      </c>
      <c r="E1288" s="8" t="s">
        <v>6805</v>
      </c>
      <c r="F1288" s="8" t="s">
        <v>8535</v>
      </c>
      <c r="G1288" s="9">
        <v>190</v>
      </c>
      <c r="H1288" s="8" t="s">
        <v>25</v>
      </c>
      <c r="I1288" s="8" t="str">
        <f>IFERROR(__XLUDF.DUMMYFUNCTION("VLOOKUP(H81,IMPORTRANGE(""https://docs.google.com/spreadsheets/d/1opm6ZNvGZ7KditA9TuJwrZ25eFLfTNIkrNnY6mhV5Eg"",""list!A1:C115""),3,TRUE)"),"le secteur de l'hôtellerie")</f>
        <v xml:space="preserve">le secteur de l'hôtellerie</v>
      </c>
      <c r="J1288" s="10" t="s">
        <v>8536</v>
      </c>
      <c r="K1288" s="10" t="s">
        <v>8292</v>
      </c>
      <c r="L1288" s="8" t="s">
        <v>8537</v>
      </c>
      <c r="M1288" s="8" t="s">
        <v>29</v>
      </c>
      <c r="N1288" s="8" t="s">
        <v>6520</v>
      </c>
      <c r="O1288" s="8" t="s">
        <v>29</v>
      </c>
      <c r="P1288" s="8" t="s">
        <v>6809</v>
      </c>
      <c r="Q1288" s="8"/>
      <c r="R1288" s="8"/>
      <c r="S1288" s="8"/>
      <c r="T1288" s="8"/>
      <c r="U1288" s="8"/>
      <c r="V1288" s="8"/>
      <c r="W1288" s="8"/>
      <c r="X1288" s="8"/>
      <c r="Y1288" s="8"/>
    </row>
    <row r="1289" ht="14.25">
      <c r="B1289" s="8" t="s">
        <v>1160</v>
      </c>
      <c r="C1289" s="8" t="s">
        <v>8538</v>
      </c>
      <c r="D1289" s="8" t="s">
        <v>8315</v>
      </c>
      <c r="E1289" s="8" t="s">
        <v>8539</v>
      </c>
      <c r="F1289" s="8" t="s">
        <v>8540</v>
      </c>
      <c r="G1289" s="9">
        <v>17</v>
      </c>
      <c r="H1289" s="8" t="s">
        <v>25</v>
      </c>
      <c r="I1289" s="8" t="str">
        <f>IFERROR(__XLUDF.DUMMYFUNCTION("VLOOKUP(H82,IMPORTRANGE(""https://docs.google.com/spreadsheets/d/1opm6ZNvGZ7KditA9TuJwrZ25eFLfTNIkrNnY6mhV5Eg"",""list!A1:C115""),3,TRUE)"),"le secteur de l'hôtellerie")</f>
        <v xml:space="preserve">le secteur de l'hôtellerie</v>
      </c>
      <c r="J1289" s="10" t="s">
        <v>8541</v>
      </c>
      <c r="K1289" s="10" t="s">
        <v>8542</v>
      </c>
      <c r="L1289" s="8" t="s">
        <v>1826</v>
      </c>
      <c r="M1289" s="8" t="s">
        <v>29</v>
      </c>
      <c r="N1289" s="8" t="s">
        <v>8543</v>
      </c>
      <c r="O1289" s="8" t="s">
        <v>8544</v>
      </c>
      <c r="P1289" s="8"/>
      <c r="Q1289" s="8"/>
      <c r="R1289" s="8"/>
      <c r="S1289" s="8"/>
      <c r="T1289" s="8"/>
      <c r="U1289" s="8"/>
      <c r="V1289" s="8"/>
      <c r="W1289" s="8"/>
      <c r="X1289" s="8"/>
      <c r="Y1289" s="8"/>
    </row>
    <row r="1290" ht="14.25">
      <c r="B1290" s="8" t="s">
        <v>8545</v>
      </c>
      <c r="C1290" s="8" t="s">
        <v>8546</v>
      </c>
      <c r="D1290" s="8" t="s">
        <v>8071</v>
      </c>
      <c r="E1290" s="8" t="s">
        <v>8547</v>
      </c>
      <c r="F1290" s="8" t="s">
        <v>8548</v>
      </c>
      <c r="G1290" s="9">
        <v>7</v>
      </c>
      <c r="H1290" s="8" t="s">
        <v>25</v>
      </c>
      <c r="I1290" s="8" t="str">
        <f>IFERROR(__XLUDF.DUMMYFUNCTION("VLOOKUP(H83,IMPORTRANGE(""https://docs.google.com/spreadsheets/d/1opm6ZNvGZ7KditA9TuJwrZ25eFLfTNIkrNnY6mhV5Eg"",""list!A1:C115""),3,TRUE)"),"le secteur de l'hôtellerie")</f>
        <v xml:space="preserve">le secteur de l'hôtellerie</v>
      </c>
      <c r="J1290" s="10" t="s">
        <v>8549</v>
      </c>
      <c r="K1290" s="10" t="s">
        <v>8550</v>
      </c>
      <c r="L1290" s="8" t="s">
        <v>39</v>
      </c>
      <c r="M1290" s="8" t="s">
        <v>29</v>
      </c>
      <c r="N1290" s="8" t="s">
        <v>8551</v>
      </c>
      <c r="O1290" s="8" t="s">
        <v>29</v>
      </c>
      <c r="P1290" s="8" t="s">
        <v>8552</v>
      </c>
      <c r="Q1290" s="8"/>
      <c r="R1290" s="8"/>
      <c r="S1290" s="8"/>
      <c r="T1290" s="8"/>
      <c r="U1290" s="8"/>
      <c r="V1290" s="8"/>
      <c r="W1290" s="8"/>
      <c r="X1290" s="8"/>
      <c r="Y1290" s="8"/>
    </row>
    <row r="1291" ht="14.25">
      <c r="B1291" s="8" t="s">
        <v>963</v>
      </c>
      <c r="C1291" s="8" t="s">
        <v>7046</v>
      </c>
      <c r="D1291" s="8" t="s">
        <v>7047</v>
      </c>
      <c r="E1291" s="8" t="s">
        <v>7048</v>
      </c>
      <c r="F1291" s="8" t="s">
        <v>7049</v>
      </c>
      <c r="G1291" s="9">
        <v>52</v>
      </c>
      <c r="H1291" s="8" t="s">
        <v>25</v>
      </c>
      <c r="I1291" s="8" t="str">
        <f>IFERROR(__XLUDF.DUMMYFUNCTION("VLOOKUP(H84,IMPORTRANGE(""https://docs.google.com/spreadsheets/d/1opm6ZNvGZ7KditA9TuJwrZ25eFLfTNIkrNnY6mhV5Eg"",""list!A1:C115""),3,TRUE)"),"le secteur de l'hôtellerie")</f>
        <v xml:space="preserve">le secteur de l'hôtellerie</v>
      </c>
      <c r="J1291" s="10" t="s">
        <v>7050</v>
      </c>
      <c r="K1291" s="10" t="s">
        <v>8553</v>
      </c>
      <c r="L1291" s="8" t="s">
        <v>185</v>
      </c>
      <c r="M1291" s="8" t="s">
        <v>29</v>
      </c>
      <c r="N1291" s="8" t="s">
        <v>125</v>
      </c>
      <c r="O1291" s="8" t="s">
        <v>29</v>
      </c>
      <c r="P1291" s="8" t="s">
        <v>7052</v>
      </c>
      <c r="Q1291" s="8"/>
      <c r="R1291" s="8"/>
      <c r="S1291" s="8"/>
      <c r="T1291" s="8"/>
      <c r="U1291" s="8"/>
      <c r="V1291" s="8"/>
      <c r="W1291" s="8"/>
      <c r="X1291" s="8"/>
      <c r="Y1291" s="8"/>
    </row>
    <row r="1292" ht="14.25">
      <c r="B1292" s="8" t="s">
        <v>4522</v>
      </c>
      <c r="C1292" s="8" t="s">
        <v>6443</v>
      </c>
      <c r="D1292" s="8" t="s">
        <v>6444</v>
      </c>
      <c r="E1292" s="8" t="s">
        <v>6445</v>
      </c>
      <c r="F1292" s="8" t="s">
        <v>6446</v>
      </c>
      <c r="G1292" s="9">
        <v>11</v>
      </c>
      <c r="H1292" s="8" t="s">
        <v>25</v>
      </c>
      <c r="I1292" s="8" t="str">
        <f>IFERROR(__XLUDF.DUMMYFUNCTION("VLOOKUP(H85,IMPORTRANGE(""https://docs.google.com/spreadsheets/d/1opm6ZNvGZ7KditA9TuJwrZ25eFLfTNIkrNnY6mhV5Eg"",""list!A1:C115""),3,TRUE)"),"le secteur de l'hôtellerie")</f>
        <v xml:space="preserve">le secteur de l'hôtellerie</v>
      </c>
      <c r="J1292" s="10" t="s">
        <v>6447</v>
      </c>
      <c r="K1292" s="10" t="s">
        <v>8554</v>
      </c>
      <c r="L1292" s="8"/>
      <c r="M1292" s="8" t="s">
        <v>29</v>
      </c>
      <c r="N1292" s="8" t="s">
        <v>6449</v>
      </c>
      <c r="O1292" s="8" t="s">
        <v>29</v>
      </c>
      <c r="P1292" s="8" t="s">
        <v>6450</v>
      </c>
      <c r="Q1292" s="8"/>
      <c r="R1292" s="8"/>
      <c r="S1292" s="8"/>
      <c r="T1292" s="8"/>
      <c r="U1292" s="8"/>
      <c r="V1292" s="8"/>
      <c r="W1292" s="8"/>
      <c r="X1292" s="8"/>
      <c r="Y1292" s="8"/>
    </row>
    <row r="1293" ht="14.25">
      <c r="B1293" s="8" t="s">
        <v>8555</v>
      </c>
      <c r="C1293" s="8" t="s">
        <v>8556</v>
      </c>
      <c r="D1293" s="8" t="s">
        <v>8557</v>
      </c>
      <c r="E1293" s="8" t="s">
        <v>7060</v>
      </c>
      <c r="F1293" s="8" t="s">
        <v>8558</v>
      </c>
      <c r="G1293" s="9">
        <v>210</v>
      </c>
      <c r="H1293" s="8" t="s">
        <v>25</v>
      </c>
      <c r="I1293" s="8" t="str">
        <f>IFERROR(__XLUDF.DUMMYFUNCTION("VLOOKUP(H86,IMPORTRANGE(""https://docs.google.com/spreadsheets/d/1opm6ZNvGZ7KditA9TuJwrZ25eFLfTNIkrNnY6mhV5Eg"",""list!A1:C115""),3,TRUE)"),"le secteur de l'hôtellerie")</f>
        <v xml:space="preserve">le secteur de l'hôtellerie</v>
      </c>
      <c r="J1293" s="10" t="s">
        <v>8559</v>
      </c>
      <c r="K1293" s="10" t="s">
        <v>8300</v>
      </c>
      <c r="L1293" s="8" t="s">
        <v>39</v>
      </c>
      <c r="M1293" s="8" t="s">
        <v>29</v>
      </c>
      <c r="N1293" s="8" t="s">
        <v>7064</v>
      </c>
      <c r="O1293" s="8" t="s">
        <v>29</v>
      </c>
      <c r="P1293" s="8" t="s">
        <v>8301</v>
      </c>
      <c r="Q1293" s="8"/>
      <c r="R1293" s="8"/>
      <c r="S1293" s="8"/>
      <c r="T1293" s="8"/>
      <c r="U1293" s="8"/>
      <c r="V1293" s="8"/>
      <c r="W1293" s="8"/>
      <c r="X1293" s="8"/>
      <c r="Y1293" s="8"/>
    </row>
    <row r="1294" ht="14.25">
      <c r="B1294" s="8" t="s">
        <v>8560</v>
      </c>
      <c r="C1294" s="8" t="s">
        <v>8561</v>
      </c>
      <c r="D1294" s="8" t="s">
        <v>8562</v>
      </c>
      <c r="E1294" s="8" t="s">
        <v>8563</v>
      </c>
      <c r="F1294" s="8" t="s">
        <v>8564</v>
      </c>
      <c r="G1294" s="9">
        <v>170</v>
      </c>
      <c r="H1294" s="8" t="s">
        <v>25</v>
      </c>
      <c r="I1294" s="8" t="str">
        <f>IFERROR(__XLUDF.DUMMYFUNCTION("VLOOKUP(H87,IMPORTRANGE(""https://docs.google.com/spreadsheets/d/1opm6ZNvGZ7KditA9TuJwrZ25eFLfTNIkrNnY6mhV5Eg"",""list!A1:C115""),3,TRUE)"),"le secteur de l'hôtellerie")</f>
        <v xml:space="preserve">le secteur de l'hôtellerie</v>
      </c>
      <c r="J1294" s="10" t="s">
        <v>8565</v>
      </c>
      <c r="K1294" s="10" t="s">
        <v>8566</v>
      </c>
      <c r="L1294" s="8" t="s">
        <v>8567</v>
      </c>
      <c r="M1294" s="8" t="s">
        <v>1938</v>
      </c>
      <c r="N1294" s="8" t="s">
        <v>8568</v>
      </c>
      <c r="O1294" s="8" t="s">
        <v>1938</v>
      </c>
      <c r="P1294" s="8"/>
      <c r="Q1294" s="8"/>
      <c r="R1294" s="8"/>
      <c r="S1294" s="8"/>
      <c r="T1294" s="8"/>
      <c r="U1294" s="8"/>
      <c r="V1294" s="8"/>
      <c r="W1294" s="8"/>
      <c r="X1294" s="8"/>
      <c r="Y1294" s="8"/>
    </row>
    <row r="1295" ht="14.25">
      <c r="B1295" s="8" t="s">
        <v>8569</v>
      </c>
      <c r="C1295" s="8" t="s">
        <v>8570</v>
      </c>
      <c r="D1295" s="8" t="s">
        <v>87</v>
      </c>
      <c r="E1295" s="8" t="s">
        <v>8571</v>
      </c>
      <c r="F1295" s="8" t="s">
        <v>8572</v>
      </c>
      <c r="G1295" s="9">
        <v>73</v>
      </c>
      <c r="H1295" s="8" t="s">
        <v>25</v>
      </c>
      <c r="I1295" s="8" t="str">
        <f>IFERROR(__XLUDF.DUMMYFUNCTION("VLOOKUP(H88,IMPORTRANGE(""https://docs.google.com/spreadsheets/d/1opm6ZNvGZ7KditA9TuJwrZ25eFLfTNIkrNnY6mhV5Eg"",""list!A1:C115""),3,TRUE)"),"le secteur de l'hôtellerie")</f>
        <v xml:space="preserve">le secteur de l'hôtellerie</v>
      </c>
      <c r="J1295" s="10" t="s">
        <v>8573</v>
      </c>
      <c r="K1295" s="10" t="s">
        <v>8574</v>
      </c>
      <c r="L1295" s="8" t="s">
        <v>8133</v>
      </c>
      <c r="M1295" s="8" t="s">
        <v>1938</v>
      </c>
      <c r="N1295" s="8" t="s">
        <v>8575</v>
      </c>
      <c r="O1295" s="8" t="s">
        <v>1938</v>
      </c>
      <c r="P1295" s="8" t="s">
        <v>8576</v>
      </c>
      <c r="Q1295" s="8"/>
      <c r="R1295" s="8"/>
      <c r="S1295" s="8"/>
      <c r="T1295" s="8"/>
      <c r="U1295" s="8"/>
      <c r="V1295" s="8"/>
      <c r="W1295" s="8"/>
      <c r="X1295" s="8"/>
      <c r="Y1295" s="8"/>
    </row>
    <row r="1296" ht="14.25">
      <c r="B1296" s="8" t="s">
        <v>118</v>
      </c>
      <c r="C1296" s="8" t="s">
        <v>8577</v>
      </c>
      <c r="D1296" s="8" t="s">
        <v>8578</v>
      </c>
      <c r="E1296" s="8" t="s">
        <v>8579</v>
      </c>
      <c r="F1296" s="8" t="s">
        <v>8580</v>
      </c>
      <c r="G1296" s="9">
        <v>45</v>
      </c>
      <c r="H1296" s="8" t="s">
        <v>25</v>
      </c>
      <c r="I1296" s="8" t="str">
        <f>IFERROR(__XLUDF.DUMMYFUNCTION("VLOOKUP(H89,IMPORTRANGE(""https://docs.google.com/spreadsheets/d/1opm6ZNvGZ7KditA9TuJwrZ25eFLfTNIkrNnY6mhV5Eg"",""list!A1:C115""),3,TRUE)"),"le secteur de l'hôtellerie")</f>
        <v xml:space="preserve">le secteur de l'hôtellerie</v>
      </c>
      <c r="J1296" s="10" t="s">
        <v>8581</v>
      </c>
      <c r="K1296" s="10" t="s">
        <v>8582</v>
      </c>
      <c r="L1296" s="8" t="s">
        <v>8133</v>
      </c>
      <c r="M1296" s="8" t="s">
        <v>1938</v>
      </c>
      <c r="N1296" s="8" t="s">
        <v>8583</v>
      </c>
      <c r="O1296" s="8" t="s">
        <v>1938</v>
      </c>
      <c r="P1296" s="8" t="s">
        <v>8584</v>
      </c>
      <c r="Q1296" s="8"/>
      <c r="R1296" s="8"/>
      <c r="S1296" s="8"/>
      <c r="T1296" s="8"/>
      <c r="U1296" s="8"/>
      <c r="V1296" s="8"/>
      <c r="W1296" s="8"/>
      <c r="X1296" s="8"/>
      <c r="Y1296" s="8"/>
    </row>
    <row r="1297" ht="14.25">
      <c r="B1297" s="8" t="s">
        <v>8585</v>
      </c>
      <c r="C1297" s="8" t="s">
        <v>8586</v>
      </c>
      <c r="D1297" s="8" t="s">
        <v>8587</v>
      </c>
      <c r="E1297" s="8" t="s">
        <v>8324</v>
      </c>
      <c r="F1297" s="8" t="s">
        <v>8588</v>
      </c>
      <c r="G1297" s="9">
        <v>59</v>
      </c>
      <c r="H1297" s="8" t="s">
        <v>25</v>
      </c>
      <c r="I1297" s="8" t="str">
        <f>IFERROR(__XLUDF.DUMMYFUNCTION("VLOOKUP(H90,IMPORTRANGE(""https://docs.google.com/spreadsheets/d/1opm6ZNvGZ7KditA9TuJwrZ25eFLfTNIkrNnY6mhV5Eg"",""list!A1:C115""),3,TRUE)"),"le secteur de l'hôtellerie")</f>
        <v xml:space="preserve">le secteur de l'hôtellerie</v>
      </c>
      <c r="J1297" s="10" t="s">
        <v>8589</v>
      </c>
      <c r="K1297" s="10" t="s">
        <v>8327</v>
      </c>
      <c r="L1297" s="8" t="s">
        <v>8590</v>
      </c>
      <c r="M1297" s="8" t="s">
        <v>1938</v>
      </c>
      <c r="N1297" s="8" t="s">
        <v>8328</v>
      </c>
      <c r="O1297" s="8" t="s">
        <v>1938</v>
      </c>
      <c r="P1297" s="8" t="s">
        <v>8329</v>
      </c>
      <c r="Q1297" s="8"/>
      <c r="R1297" s="8"/>
      <c r="S1297" s="8"/>
      <c r="T1297" s="8"/>
      <c r="U1297" s="8"/>
      <c r="V1297" s="8"/>
      <c r="W1297" s="8"/>
      <c r="X1297" s="8"/>
      <c r="Y1297" s="8"/>
    </row>
    <row r="1298" ht="14.25">
      <c r="B1298" s="8" t="s">
        <v>8585</v>
      </c>
      <c r="C1298" s="8" t="s">
        <v>8591</v>
      </c>
      <c r="D1298" s="8" t="s">
        <v>8592</v>
      </c>
      <c r="E1298" s="8" t="s">
        <v>8379</v>
      </c>
      <c r="F1298" s="8" t="s">
        <v>8593</v>
      </c>
      <c r="G1298" s="9">
        <v>81</v>
      </c>
      <c r="H1298" s="8" t="s">
        <v>25</v>
      </c>
      <c r="I1298" s="8" t="str">
        <f>IFERROR(__XLUDF.DUMMYFUNCTION("VLOOKUP(H91,IMPORTRANGE(""https://docs.google.com/spreadsheets/d/1opm6ZNvGZ7KditA9TuJwrZ25eFLfTNIkrNnY6mhV5Eg"",""list!A1:C115""),3,TRUE)"),"le secteur de l'hôtellerie")</f>
        <v xml:space="preserve">le secteur de l'hôtellerie</v>
      </c>
      <c r="J1298" s="10" t="s">
        <v>8594</v>
      </c>
      <c r="K1298" s="10" t="s">
        <v>8382</v>
      </c>
      <c r="L1298" s="8" t="s">
        <v>8383</v>
      </c>
      <c r="M1298" s="8" t="s">
        <v>1938</v>
      </c>
      <c r="N1298" s="8" t="s">
        <v>8384</v>
      </c>
      <c r="O1298" s="8" t="s">
        <v>1938</v>
      </c>
      <c r="P1298" s="8" t="s">
        <v>8385</v>
      </c>
      <c r="Q1298" s="8"/>
      <c r="R1298" s="8"/>
      <c r="S1298" s="8"/>
      <c r="T1298" s="8"/>
      <c r="U1298" s="8"/>
      <c r="V1298" s="8"/>
      <c r="W1298" s="8"/>
      <c r="X1298" s="8"/>
      <c r="Y1298" s="8"/>
    </row>
    <row r="1299" ht="14.25">
      <c r="B1299" s="8" t="s">
        <v>8585</v>
      </c>
      <c r="C1299" s="8" t="s">
        <v>8595</v>
      </c>
      <c r="D1299" s="8" t="s">
        <v>8596</v>
      </c>
      <c r="E1299" s="8" t="s">
        <v>2746</v>
      </c>
      <c r="F1299" s="8" t="s">
        <v>8597</v>
      </c>
      <c r="G1299" s="9">
        <v>9</v>
      </c>
      <c r="H1299" s="8" t="s">
        <v>25</v>
      </c>
      <c r="I1299" s="8" t="str">
        <f>IFERROR(__XLUDF.DUMMYFUNCTION("VLOOKUP(H92,IMPORTRANGE(""https://docs.google.com/spreadsheets/d/1opm6ZNvGZ7KditA9TuJwrZ25eFLfTNIkrNnY6mhV5Eg"",""list!A1:C115""),3,TRUE)"),"le secteur de l'hôtellerie")</f>
        <v xml:space="preserve">le secteur de l'hôtellerie</v>
      </c>
      <c r="J1299" s="10" t="s">
        <v>8598</v>
      </c>
      <c r="K1299" s="10" t="s">
        <v>2749</v>
      </c>
      <c r="L1299" s="8" t="s">
        <v>49</v>
      </c>
      <c r="M1299" s="8" t="s">
        <v>29</v>
      </c>
      <c r="N1299" s="8" t="s">
        <v>2750</v>
      </c>
      <c r="O1299" s="8" t="s">
        <v>29</v>
      </c>
      <c r="P1299" s="8"/>
      <c r="Q1299" s="8"/>
      <c r="R1299" s="8"/>
      <c r="S1299" s="8"/>
      <c r="T1299" s="8"/>
      <c r="U1299" s="8"/>
      <c r="V1299" s="8"/>
      <c r="W1299" s="8"/>
      <c r="X1299" s="8"/>
      <c r="Y1299" s="8"/>
    </row>
    <row r="1300" ht="14.25">
      <c r="B1300" s="8" t="s">
        <v>6788</v>
      </c>
      <c r="C1300" s="8" t="s">
        <v>8599</v>
      </c>
      <c r="D1300" s="8" t="s">
        <v>315</v>
      </c>
      <c r="E1300" s="8" t="s">
        <v>8269</v>
      </c>
      <c r="F1300" s="8" t="s">
        <v>8600</v>
      </c>
      <c r="G1300" s="9">
        <v>160</v>
      </c>
      <c r="H1300" s="8" t="s">
        <v>25</v>
      </c>
      <c r="I1300" s="8" t="str">
        <f>IFERROR(__XLUDF.DUMMYFUNCTION("VLOOKUP(H93,IMPORTRANGE(""https://docs.google.com/spreadsheets/d/1opm6ZNvGZ7KditA9TuJwrZ25eFLfTNIkrNnY6mhV5Eg"",""list!A1:C115""),3,TRUE)"),"le secteur de l'hôtellerie")</f>
        <v xml:space="preserve">le secteur de l'hôtellerie</v>
      </c>
      <c r="J1300" s="10" t="s">
        <v>8601</v>
      </c>
      <c r="K1300" s="10" t="s">
        <v>8272</v>
      </c>
      <c r="L1300" s="8" t="s">
        <v>39</v>
      </c>
      <c r="M1300" s="8" t="s">
        <v>29</v>
      </c>
      <c r="N1300" s="8" t="s">
        <v>8273</v>
      </c>
      <c r="O1300" s="8" t="s">
        <v>1548</v>
      </c>
      <c r="P1300" s="8"/>
      <c r="Q1300" s="8"/>
      <c r="R1300" s="8"/>
      <c r="S1300" s="8"/>
      <c r="T1300" s="8"/>
      <c r="U1300" s="8"/>
      <c r="V1300" s="8"/>
      <c r="W1300" s="8"/>
      <c r="X1300" s="8"/>
      <c r="Y1300" s="8"/>
    </row>
    <row r="1301" ht="14.25">
      <c r="B1301" s="8" t="s">
        <v>6788</v>
      </c>
      <c r="C1301" s="8" t="s">
        <v>6803</v>
      </c>
      <c r="D1301" s="8" t="s">
        <v>6804</v>
      </c>
      <c r="E1301" s="8" t="s">
        <v>6805</v>
      </c>
      <c r="F1301" s="8" t="s">
        <v>6806</v>
      </c>
      <c r="G1301" s="9">
        <v>190</v>
      </c>
      <c r="H1301" s="8" t="s">
        <v>25</v>
      </c>
      <c r="I1301" s="8" t="str">
        <f>IFERROR(__XLUDF.DUMMYFUNCTION("VLOOKUP(H94,IMPORTRANGE(""https://docs.google.com/spreadsheets/d/1opm6ZNvGZ7KditA9TuJwrZ25eFLfTNIkrNnY6mhV5Eg"",""list!A1:C115""),3,TRUE)"),"le secteur de l'hôtellerie")</f>
        <v xml:space="preserve">le secteur de l'hôtellerie</v>
      </c>
      <c r="J1301" s="10" t="s">
        <v>6807</v>
      </c>
      <c r="K1301" s="10" t="s">
        <v>8292</v>
      </c>
      <c r="L1301" s="8" t="s">
        <v>39</v>
      </c>
      <c r="M1301" s="8" t="s">
        <v>29</v>
      </c>
      <c r="N1301" s="8" t="s">
        <v>6520</v>
      </c>
      <c r="O1301" s="8" t="s">
        <v>29</v>
      </c>
      <c r="P1301" s="8" t="s">
        <v>6809</v>
      </c>
      <c r="Q1301" s="8"/>
      <c r="R1301" s="8"/>
      <c r="S1301" s="8"/>
      <c r="T1301" s="8"/>
      <c r="U1301" s="8"/>
      <c r="V1301" s="8"/>
      <c r="W1301" s="8"/>
      <c r="X1301" s="8"/>
      <c r="Y1301" s="8"/>
    </row>
    <row r="1302" ht="14.25">
      <c r="B1302" s="8" t="s">
        <v>955</v>
      </c>
      <c r="C1302" s="8" t="s">
        <v>8602</v>
      </c>
      <c r="D1302" s="8" t="s">
        <v>8280</v>
      </c>
      <c r="E1302" s="8" t="s">
        <v>7193</v>
      </c>
      <c r="F1302" s="8" t="s">
        <v>8603</v>
      </c>
      <c r="G1302" s="9">
        <v>52</v>
      </c>
      <c r="H1302" s="8" t="s">
        <v>25</v>
      </c>
      <c r="I1302" s="8" t="str">
        <f>IFERROR(__XLUDF.DUMMYFUNCTION("VLOOKUP(H95,IMPORTRANGE(""https://docs.google.com/spreadsheets/d/1opm6ZNvGZ7KditA9TuJwrZ25eFLfTNIkrNnY6mhV5Eg"",""list!A1:C115""),3,TRUE)"),"le secteur de l'hôtellerie")</f>
        <v xml:space="preserve">le secteur de l'hôtellerie</v>
      </c>
      <c r="J1302" s="10" t="s">
        <v>8604</v>
      </c>
      <c r="K1302" s="10" t="s">
        <v>8346</v>
      </c>
      <c r="L1302" s="8" t="s">
        <v>1446</v>
      </c>
      <c r="M1302" s="8" t="s">
        <v>29</v>
      </c>
      <c r="N1302" s="8" t="s">
        <v>67</v>
      </c>
      <c r="O1302" s="8" t="s">
        <v>29</v>
      </c>
      <c r="P1302" s="8" t="s">
        <v>7197</v>
      </c>
      <c r="Q1302" s="8"/>
      <c r="R1302" s="8"/>
      <c r="S1302" s="8"/>
      <c r="T1302" s="8"/>
      <c r="U1302" s="8"/>
      <c r="V1302" s="8"/>
      <c r="W1302" s="8"/>
      <c r="X1302" s="8"/>
      <c r="Y1302" s="8"/>
    </row>
    <row r="1303" ht="14.25">
      <c r="B1303" s="8" t="s">
        <v>1027</v>
      </c>
      <c r="C1303" s="8" t="s">
        <v>8605</v>
      </c>
      <c r="D1303" s="8" t="s">
        <v>8408</v>
      </c>
      <c r="E1303" s="8" t="s">
        <v>8527</v>
      </c>
      <c r="F1303" s="8" t="s">
        <v>8606</v>
      </c>
      <c r="G1303" s="9">
        <v>75</v>
      </c>
      <c r="H1303" s="8" t="s">
        <v>25</v>
      </c>
      <c r="I1303" s="8" t="str">
        <f>IFERROR(__XLUDF.DUMMYFUNCTION("VLOOKUP(H96,IMPORTRANGE(""https://docs.google.com/spreadsheets/d/1opm6ZNvGZ7KditA9TuJwrZ25eFLfTNIkrNnY6mhV5Eg"",""list!A1:C115""),3,TRUE)"),"le secteur de l'hôtellerie")</f>
        <v xml:space="preserve">le secteur de l'hôtellerie</v>
      </c>
      <c r="J1303" s="10" t="s">
        <v>8607</v>
      </c>
      <c r="K1303" s="10" t="s">
        <v>8530</v>
      </c>
      <c r="L1303" s="8" t="s">
        <v>8608</v>
      </c>
      <c r="M1303" s="8" t="s">
        <v>1938</v>
      </c>
      <c r="N1303" s="8" t="s">
        <v>8532</v>
      </c>
      <c r="O1303" s="8" t="s">
        <v>8533</v>
      </c>
      <c r="P1303" s="8" t="s">
        <v>8534</v>
      </c>
      <c r="Q1303" s="8"/>
      <c r="R1303" s="8"/>
      <c r="S1303" s="8"/>
      <c r="T1303" s="8"/>
      <c r="U1303" s="8"/>
      <c r="V1303" s="8"/>
      <c r="W1303" s="8"/>
      <c r="X1303" s="8"/>
      <c r="Y1303" s="8"/>
    </row>
    <row r="1304" ht="14.25">
      <c r="B1304" s="8" t="s">
        <v>1900</v>
      </c>
      <c r="C1304" s="8" t="s">
        <v>8609</v>
      </c>
      <c r="D1304" s="8" t="s">
        <v>8610</v>
      </c>
      <c r="E1304" s="8" t="s">
        <v>8611</v>
      </c>
      <c r="F1304" s="8" t="s">
        <v>8612</v>
      </c>
      <c r="G1304" s="9">
        <v>88</v>
      </c>
      <c r="H1304" s="8" t="s">
        <v>25</v>
      </c>
      <c r="I1304" s="8" t="str">
        <f>IFERROR(__XLUDF.DUMMYFUNCTION("VLOOKUP(H97,IMPORTRANGE(""https://docs.google.com/spreadsheets/d/1opm6ZNvGZ7KditA9TuJwrZ25eFLfTNIkrNnY6mhV5Eg"",""list!A1:C115""),3,TRUE)"),"le secteur de l'hôtellerie")</f>
        <v xml:space="preserve">le secteur de l'hôtellerie</v>
      </c>
      <c r="J1304" s="10" t="s">
        <v>8613</v>
      </c>
      <c r="K1304" s="10" t="s">
        <v>8614</v>
      </c>
      <c r="L1304" s="8" t="s">
        <v>39</v>
      </c>
      <c r="M1304" s="8" t="s">
        <v>29</v>
      </c>
      <c r="N1304" s="8" t="s">
        <v>8615</v>
      </c>
      <c r="O1304" s="8" t="s">
        <v>29</v>
      </c>
      <c r="P1304" s="8"/>
      <c r="Q1304" s="8"/>
      <c r="R1304" s="8"/>
      <c r="S1304" s="8"/>
      <c r="T1304" s="8"/>
      <c r="U1304" s="8"/>
      <c r="V1304" s="8"/>
      <c r="W1304" s="8"/>
      <c r="X1304" s="8"/>
      <c r="Y1304" s="8"/>
    </row>
    <row r="1305" ht="14.25">
      <c r="B1305" s="8" t="s">
        <v>8616</v>
      </c>
      <c r="C1305" s="8" t="s">
        <v>8617</v>
      </c>
      <c r="D1305" s="8" t="s">
        <v>8618</v>
      </c>
      <c r="E1305" s="8" t="s">
        <v>8619</v>
      </c>
      <c r="F1305" s="8" t="s">
        <v>8620</v>
      </c>
      <c r="G1305" s="9">
        <v>73</v>
      </c>
      <c r="H1305" s="8" t="s">
        <v>25</v>
      </c>
      <c r="I1305" s="8" t="str">
        <f>IFERROR(__XLUDF.DUMMYFUNCTION("VLOOKUP(H98,IMPORTRANGE(""https://docs.google.com/spreadsheets/d/1opm6ZNvGZ7KditA9TuJwrZ25eFLfTNIkrNnY6mhV5Eg"",""list!A1:C115""),3,TRUE)"),"le secteur de l'hôtellerie")</f>
        <v xml:space="preserve">le secteur de l'hôtellerie</v>
      </c>
      <c r="J1305" s="10" t="s">
        <v>8621</v>
      </c>
      <c r="K1305" s="10" t="s">
        <v>8622</v>
      </c>
      <c r="L1305" s="8" t="s">
        <v>39</v>
      </c>
      <c r="M1305" s="8" t="s">
        <v>29</v>
      </c>
      <c r="N1305" s="8" t="s">
        <v>8623</v>
      </c>
      <c r="O1305" s="8" t="s">
        <v>1152</v>
      </c>
      <c r="P1305" s="8" t="s">
        <v>8624</v>
      </c>
      <c r="Q1305" s="8"/>
      <c r="R1305" s="8"/>
      <c r="S1305" s="8"/>
      <c r="T1305" s="8"/>
      <c r="U1305" s="8"/>
      <c r="V1305" s="8"/>
      <c r="W1305" s="8"/>
      <c r="X1305" s="8"/>
      <c r="Y1305" s="8"/>
    </row>
    <row r="1306" ht="14.25">
      <c r="B1306" s="8" t="s">
        <v>363</v>
      </c>
      <c r="C1306" s="8" t="s">
        <v>8625</v>
      </c>
      <c r="D1306" s="8" t="s">
        <v>8626</v>
      </c>
      <c r="E1306" s="8" t="s">
        <v>5415</v>
      </c>
      <c r="F1306" s="8" t="s">
        <v>8627</v>
      </c>
      <c r="G1306" s="9">
        <v>13</v>
      </c>
      <c r="H1306" s="8" t="s">
        <v>25</v>
      </c>
      <c r="I1306" s="8" t="str">
        <f>IFERROR(__XLUDF.DUMMYFUNCTION("VLOOKUP(H99,IMPORTRANGE(""https://docs.google.com/spreadsheets/d/1opm6ZNvGZ7KditA9TuJwrZ25eFLfTNIkrNnY6mhV5Eg"",""list!A1:C115""),3,TRUE)"),"le secteur de l'hôtellerie")</f>
        <v xml:space="preserve">le secteur de l'hôtellerie</v>
      </c>
      <c r="J1306" s="10" t="s">
        <v>8628</v>
      </c>
      <c r="K1306" s="10" t="s">
        <v>5418</v>
      </c>
      <c r="L1306" s="8" t="s">
        <v>39</v>
      </c>
      <c r="M1306" s="8" t="s">
        <v>29</v>
      </c>
      <c r="N1306" s="8" t="s">
        <v>5419</v>
      </c>
      <c r="O1306" s="8" t="s">
        <v>29</v>
      </c>
      <c r="P1306" s="8" t="s">
        <v>5420</v>
      </c>
      <c r="Q1306" s="8"/>
      <c r="R1306" s="8"/>
      <c r="S1306" s="8"/>
      <c r="T1306" s="8"/>
      <c r="U1306" s="8"/>
      <c r="V1306" s="8"/>
      <c r="W1306" s="8"/>
      <c r="X1306" s="8"/>
      <c r="Y1306" s="8"/>
    </row>
    <row r="1307" ht="14.25">
      <c r="B1307" s="8" t="s">
        <v>8629</v>
      </c>
      <c r="C1307" s="8" t="s">
        <v>8630</v>
      </c>
      <c r="D1307" s="8" t="s">
        <v>8408</v>
      </c>
      <c r="E1307" s="8" t="s">
        <v>6546</v>
      </c>
      <c r="F1307" s="8" t="s">
        <v>8631</v>
      </c>
      <c r="G1307" s="9">
        <v>170</v>
      </c>
      <c r="H1307" s="8" t="s">
        <v>25</v>
      </c>
      <c r="I1307" s="8" t="str">
        <f>IFERROR(__XLUDF.DUMMYFUNCTION("VLOOKUP(H100,IMPORTRANGE(""https://docs.google.com/spreadsheets/d/1opm6ZNvGZ7KditA9TuJwrZ25eFLfTNIkrNnY6mhV5Eg"",""list!A1:C115""),3,TRUE)"),"le secteur de l'hôtellerie")</f>
        <v xml:space="preserve">le secteur de l'hôtellerie</v>
      </c>
      <c r="J1307" s="10" t="s">
        <v>8632</v>
      </c>
      <c r="K1307" s="10" t="s">
        <v>8454</v>
      </c>
      <c r="L1307" s="8" t="s">
        <v>6603</v>
      </c>
      <c r="M1307" s="8" t="s">
        <v>29</v>
      </c>
      <c r="N1307" s="8" t="s">
        <v>6550</v>
      </c>
      <c r="O1307" s="8" t="s">
        <v>1548</v>
      </c>
      <c r="P1307" s="8" t="s">
        <v>6551</v>
      </c>
      <c r="Q1307" s="8"/>
      <c r="R1307" s="8"/>
      <c r="S1307" s="8"/>
      <c r="T1307" s="8"/>
      <c r="U1307" s="8"/>
      <c r="V1307" s="8"/>
      <c r="W1307" s="8"/>
      <c r="X1307" s="8"/>
      <c r="Y1307" s="8"/>
    </row>
    <row r="1308" ht="14.25">
      <c r="B1308" s="8" t="s">
        <v>8633</v>
      </c>
      <c r="C1308" s="8" t="s">
        <v>8634</v>
      </c>
      <c r="D1308" s="8" t="s">
        <v>8408</v>
      </c>
      <c r="E1308" s="8" t="s">
        <v>8635</v>
      </c>
      <c r="F1308" s="8" t="s">
        <v>8636</v>
      </c>
      <c r="G1308" s="9">
        <v>67</v>
      </c>
      <c r="H1308" s="8" t="s">
        <v>25</v>
      </c>
      <c r="I1308" s="8" t="str">
        <f>IFERROR(__XLUDF.DUMMYFUNCTION("VLOOKUP(H101,IMPORTRANGE(""https://docs.google.com/spreadsheets/d/1opm6ZNvGZ7KditA9TuJwrZ25eFLfTNIkrNnY6mhV5Eg"",""list!A1:C115""),3,TRUE)"),"le secteur de l'hôtellerie")</f>
        <v xml:space="preserve">le secteur de l'hôtellerie</v>
      </c>
      <c r="J1308" s="10" t="s">
        <v>8637</v>
      </c>
      <c r="K1308" s="10" t="s">
        <v>8638</v>
      </c>
      <c r="L1308" s="8" t="s">
        <v>8133</v>
      </c>
      <c r="M1308" s="8" t="s">
        <v>1938</v>
      </c>
      <c r="N1308" s="8" t="s">
        <v>8639</v>
      </c>
      <c r="O1308" s="8" t="s">
        <v>595</v>
      </c>
      <c r="P1308" s="8" t="s">
        <v>8640</v>
      </c>
      <c r="Q1308" s="8"/>
      <c r="R1308" s="8"/>
      <c r="S1308" s="8"/>
      <c r="T1308" s="8"/>
      <c r="U1308" s="8"/>
      <c r="V1308" s="8"/>
      <c r="W1308" s="8"/>
      <c r="X1308" s="8"/>
      <c r="Y1308" s="8"/>
    </row>
    <row r="1309" ht="14.25">
      <c r="B1309" s="8" t="s">
        <v>8641</v>
      </c>
      <c r="C1309" s="8" t="s">
        <v>8642</v>
      </c>
      <c r="D1309" s="8" t="s">
        <v>503</v>
      </c>
      <c r="E1309" s="8" t="s">
        <v>8057</v>
      </c>
      <c r="F1309" s="8" t="s">
        <v>8643</v>
      </c>
      <c r="G1309" s="9">
        <v>98</v>
      </c>
      <c r="H1309" s="8" t="s">
        <v>25</v>
      </c>
      <c r="I1309" s="8" t="str">
        <f>IFERROR(__XLUDF.DUMMYFUNCTION("VLOOKUP(H102,IMPORTRANGE(""https://docs.google.com/spreadsheets/d/1opm6ZNvGZ7KditA9TuJwrZ25eFLfTNIkrNnY6mhV5Eg"",""list!A1:C115""),3,TRUE)"),"le secteur de l'hôtellerie")</f>
        <v xml:space="preserve">le secteur de l'hôtellerie</v>
      </c>
      <c r="J1309" s="10" t="s">
        <v>8644</v>
      </c>
      <c r="K1309" s="10" t="s">
        <v>8060</v>
      </c>
      <c r="L1309" s="8" t="s">
        <v>39</v>
      </c>
      <c r="M1309" s="8" t="s">
        <v>29</v>
      </c>
      <c r="N1309" s="8" t="s">
        <v>67</v>
      </c>
      <c r="O1309" s="8" t="s">
        <v>29</v>
      </c>
      <c r="P1309" s="8"/>
      <c r="Q1309" s="8"/>
      <c r="R1309" s="8"/>
      <c r="S1309" s="8"/>
      <c r="T1309" s="8"/>
      <c r="U1309" s="8"/>
      <c r="V1309" s="8"/>
      <c r="W1309" s="8"/>
      <c r="X1309" s="8"/>
      <c r="Y1309" s="8"/>
    </row>
    <row r="1310" ht="14.25">
      <c r="B1310" s="8" t="s">
        <v>8645</v>
      </c>
      <c r="C1310" s="8" t="s">
        <v>8646</v>
      </c>
      <c r="D1310" s="8" t="s">
        <v>8647</v>
      </c>
      <c r="E1310" s="8" t="s">
        <v>8138</v>
      </c>
      <c r="F1310" s="8" t="s">
        <v>8648</v>
      </c>
      <c r="G1310" s="9">
        <v>140</v>
      </c>
      <c r="H1310" s="8" t="s">
        <v>25</v>
      </c>
      <c r="I1310" s="8" t="str">
        <f>IFERROR(__XLUDF.DUMMYFUNCTION("VLOOKUP(H103,IMPORTRANGE(""https://docs.google.com/spreadsheets/d/1opm6ZNvGZ7KditA9TuJwrZ25eFLfTNIkrNnY6mhV5Eg"",""list!A1:C115""),3,TRUE)"),"le secteur de l'hôtellerie")</f>
        <v xml:space="preserve">le secteur de l'hôtellerie</v>
      </c>
      <c r="J1310" s="10" t="s">
        <v>8649</v>
      </c>
      <c r="K1310" s="10" t="s">
        <v>8141</v>
      </c>
      <c r="L1310" s="8" t="s">
        <v>8133</v>
      </c>
      <c r="M1310" s="8" t="s">
        <v>1938</v>
      </c>
      <c r="N1310" s="8" t="s">
        <v>8142</v>
      </c>
      <c r="O1310" s="8" t="s">
        <v>1938</v>
      </c>
      <c r="P1310" s="8" t="s">
        <v>8143</v>
      </c>
      <c r="Q1310" s="8"/>
      <c r="R1310" s="8"/>
      <c r="S1310" s="8"/>
      <c r="T1310" s="8"/>
      <c r="U1310" s="8"/>
      <c r="V1310" s="8"/>
      <c r="W1310" s="8"/>
      <c r="X1310" s="8"/>
      <c r="Y1310" s="8"/>
    </row>
    <row r="1311" ht="14.25">
      <c r="B1311" s="8" t="s">
        <v>893</v>
      </c>
      <c r="C1311" s="8" t="s">
        <v>6974</v>
      </c>
      <c r="D1311" s="8" t="s">
        <v>315</v>
      </c>
      <c r="E1311" s="8" t="s">
        <v>6975</v>
      </c>
      <c r="F1311" s="8" t="s">
        <v>6976</v>
      </c>
      <c r="G1311" s="9">
        <v>85</v>
      </c>
      <c r="H1311" s="8" t="s">
        <v>25</v>
      </c>
      <c r="I1311" s="8" t="str">
        <f>IFERROR(__XLUDF.DUMMYFUNCTION("VLOOKUP(H104,IMPORTRANGE(""https://docs.google.com/spreadsheets/d/1opm6ZNvGZ7KditA9TuJwrZ25eFLfTNIkrNnY6mhV5Eg"",""list!A1:C115""),3,TRUE)"),"le secteur de l'hôtellerie")</f>
        <v xml:space="preserve">le secteur de l'hôtellerie</v>
      </c>
      <c r="J1311" s="10" t="s">
        <v>6977</v>
      </c>
      <c r="K1311" s="10" t="s">
        <v>8650</v>
      </c>
      <c r="L1311" s="8" t="s">
        <v>39</v>
      </c>
      <c r="M1311" s="8" t="s">
        <v>29</v>
      </c>
      <c r="N1311" s="8" t="s">
        <v>6979</v>
      </c>
      <c r="O1311" s="8" t="s">
        <v>29</v>
      </c>
      <c r="P1311" s="8" t="s">
        <v>6980</v>
      </c>
      <c r="Q1311" s="8"/>
      <c r="R1311" s="8"/>
      <c r="S1311" s="8"/>
      <c r="T1311" s="8"/>
      <c r="U1311" s="8"/>
      <c r="V1311" s="8"/>
      <c r="W1311" s="8"/>
      <c r="X1311" s="8"/>
      <c r="Y1311" s="8"/>
    </row>
    <row r="1312" ht="14.25">
      <c r="B1312" s="8" t="s">
        <v>6931</v>
      </c>
      <c r="C1312" s="8" t="s">
        <v>4132</v>
      </c>
      <c r="D1312" s="8" t="s">
        <v>7293</v>
      </c>
      <c r="E1312" s="8" t="s">
        <v>6591</v>
      </c>
      <c r="F1312" s="8" t="s">
        <v>7294</v>
      </c>
      <c r="G1312" s="9">
        <v>82</v>
      </c>
      <c r="H1312" s="8" t="s">
        <v>25</v>
      </c>
      <c r="I1312" s="8" t="str">
        <f>IFERROR(__XLUDF.DUMMYFUNCTION("VLOOKUP(H105,IMPORTRANGE(""https://docs.google.com/spreadsheets/d/1opm6ZNvGZ7KditA9TuJwrZ25eFLfTNIkrNnY6mhV5Eg"",""list!A1:C115""),3,TRUE)"),"le secteur de l'hôtellerie")</f>
        <v xml:space="preserve">le secteur de l'hôtellerie</v>
      </c>
      <c r="J1312" s="10" t="s">
        <v>7295</v>
      </c>
      <c r="K1312" s="10" t="s">
        <v>8089</v>
      </c>
      <c r="L1312" s="8"/>
      <c r="M1312" s="8" t="s">
        <v>29</v>
      </c>
      <c r="N1312" s="8" t="s">
        <v>6596</v>
      </c>
      <c r="O1312" s="8" t="s">
        <v>29</v>
      </c>
      <c r="P1312" s="8" t="s">
        <v>6597</v>
      </c>
      <c r="Q1312" s="8"/>
      <c r="R1312" s="8"/>
      <c r="S1312" s="8"/>
      <c r="T1312" s="8"/>
      <c r="U1312" s="8"/>
      <c r="V1312" s="8"/>
      <c r="W1312" s="8"/>
      <c r="X1312" s="8"/>
      <c r="Y1312" s="8"/>
    </row>
    <row r="1313" ht="14.25">
      <c r="B1313" s="8" t="s">
        <v>8651</v>
      </c>
      <c r="C1313" s="8" t="s">
        <v>8652</v>
      </c>
      <c r="D1313" s="8" t="s">
        <v>8653</v>
      </c>
      <c r="E1313" s="8" t="s">
        <v>8654</v>
      </c>
      <c r="F1313" s="8" t="s">
        <v>8655</v>
      </c>
      <c r="G1313" s="9">
        <v>40</v>
      </c>
      <c r="H1313" s="8" t="s">
        <v>25</v>
      </c>
      <c r="I1313" s="8" t="str">
        <f>IFERROR(__XLUDF.DUMMYFUNCTION("VLOOKUP(H106,IMPORTRANGE(""https://docs.google.com/spreadsheets/d/1opm6ZNvGZ7KditA9TuJwrZ25eFLfTNIkrNnY6mhV5Eg"",""list!A1:C115""),3,TRUE)"),"le secteur de l'hôtellerie")</f>
        <v xml:space="preserve">le secteur de l'hôtellerie</v>
      </c>
      <c r="J1313" s="10" t="s">
        <v>8656</v>
      </c>
      <c r="K1313" s="10" t="s">
        <v>8657</v>
      </c>
      <c r="L1313" s="8" t="s">
        <v>39</v>
      </c>
      <c r="M1313" s="8" t="s">
        <v>29</v>
      </c>
      <c r="N1313" s="8" t="s">
        <v>8658</v>
      </c>
      <c r="O1313" s="8" t="s">
        <v>29</v>
      </c>
      <c r="P1313" s="8" t="s">
        <v>8659</v>
      </c>
      <c r="Q1313" s="8"/>
      <c r="R1313" s="8"/>
      <c r="S1313" s="8"/>
      <c r="T1313" s="8"/>
      <c r="U1313" s="8"/>
      <c r="V1313" s="8"/>
      <c r="W1313" s="8"/>
      <c r="X1313" s="8"/>
      <c r="Y1313" s="8"/>
    </row>
    <row r="1314" ht="14.25">
      <c r="B1314" s="8" t="s">
        <v>8660</v>
      </c>
      <c r="C1314" s="8" t="s">
        <v>8661</v>
      </c>
      <c r="D1314" s="8" t="s">
        <v>5186</v>
      </c>
      <c r="E1314" s="8" t="s">
        <v>8662</v>
      </c>
      <c r="F1314" s="8" t="s">
        <v>8663</v>
      </c>
      <c r="G1314" s="9">
        <v>130</v>
      </c>
      <c r="H1314" s="8" t="s">
        <v>25</v>
      </c>
      <c r="I1314" s="8" t="str">
        <f>IFERROR(__XLUDF.DUMMYFUNCTION("VLOOKUP(H107,IMPORTRANGE(""https://docs.google.com/spreadsheets/d/1opm6ZNvGZ7KditA9TuJwrZ25eFLfTNIkrNnY6mhV5Eg"",""list!A1:C115""),3,TRUE)"),"le secteur de l'hôtellerie")</f>
        <v xml:space="preserve">le secteur de l'hôtellerie</v>
      </c>
      <c r="J1314" s="10" t="s">
        <v>8664</v>
      </c>
      <c r="K1314" s="10" t="s">
        <v>8665</v>
      </c>
      <c r="L1314" s="8" t="s">
        <v>39</v>
      </c>
      <c r="M1314" s="8" t="s">
        <v>29</v>
      </c>
      <c r="N1314" s="8" t="s">
        <v>8666</v>
      </c>
      <c r="O1314" s="8" t="s">
        <v>1261</v>
      </c>
      <c r="P1314" s="8" t="s">
        <v>8667</v>
      </c>
      <c r="Q1314" s="8"/>
      <c r="R1314" s="8"/>
      <c r="S1314" s="8"/>
      <c r="T1314" s="8"/>
      <c r="U1314" s="8"/>
      <c r="V1314" s="8"/>
      <c r="W1314" s="8"/>
      <c r="X1314" s="8"/>
      <c r="Y1314" s="8"/>
    </row>
    <row r="1315" ht="14.25">
      <c r="B1315" s="8" t="s">
        <v>8668</v>
      </c>
      <c r="C1315" s="8" t="s">
        <v>6309</v>
      </c>
      <c r="D1315" s="8" t="s">
        <v>62</v>
      </c>
      <c r="E1315" s="8" t="s">
        <v>8416</v>
      </c>
      <c r="F1315" s="8" t="s">
        <v>8669</v>
      </c>
      <c r="G1315" s="9">
        <v>10</v>
      </c>
      <c r="H1315" s="8" t="s">
        <v>25</v>
      </c>
      <c r="I1315" s="8" t="str">
        <f>IFERROR(__XLUDF.DUMMYFUNCTION("VLOOKUP(H108,IMPORTRANGE(""https://docs.google.com/spreadsheets/d/1opm6ZNvGZ7KditA9TuJwrZ25eFLfTNIkrNnY6mhV5Eg"",""list!A1:C115""),3,TRUE)"),"le secteur de l'hôtellerie")</f>
        <v xml:space="preserve">le secteur de l'hôtellerie</v>
      </c>
      <c r="J1315" s="10" t="s">
        <v>8670</v>
      </c>
      <c r="K1315" s="10" t="s">
        <v>8419</v>
      </c>
      <c r="L1315" s="8" t="s">
        <v>8086</v>
      </c>
      <c r="M1315" s="8" t="s">
        <v>1938</v>
      </c>
      <c r="N1315" s="8" t="s">
        <v>6165</v>
      </c>
      <c r="O1315" s="8" t="s">
        <v>6166</v>
      </c>
      <c r="P1315" s="8"/>
      <c r="Q1315" s="8"/>
      <c r="R1315" s="8"/>
      <c r="S1315" s="8"/>
      <c r="T1315" s="8"/>
      <c r="U1315" s="8"/>
      <c r="V1315" s="8"/>
      <c r="W1315" s="8"/>
      <c r="X1315" s="8"/>
      <c r="Y1315" s="8"/>
    </row>
    <row r="1316" ht="14.25">
      <c r="B1316" s="8" t="s">
        <v>330</v>
      </c>
      <c r="C1316" s="8" t="s">
        <v>7121</v>
      </c>
      <c r="D1316" s="8" t="s">
        <v>7122</v>
      </c>
      <c r="E1316" s="8" t="s">
        <v>7123</v>
      </c>
      <c r="F1316" s="8" t="s">
        <v>7124</v>
      </c>
      <c r="G1316" s="9">
        <v>110</v>
      </c>
      <c r="H1316" s="8" t="s">
        <v>25</v>
      </c>
      <c r="I1316" s="8" t="str">
        <f>IFERROR(__XLUDF.DUMMYFUNCTION("VLOOKUP(H109,IMPORTRANGE(""https://docs.google.com/spreadsheets/d/1opm6ZNvGZ7KditA9TuJwrZ25eFLfTNIkrNnY6mhV5Eg"",""list!A1:C115""),3,TRUE)"),"le secteur de l'hôtellerie")</f>
        <v xml:space="preserve">le secteur de l'hôtellerie</v>
      </c>
      <c r="J1316" s="10" t="s">
        <v>7125</v>
      </c>
      <c r="K1316" s="10" t="s">
        <v>8671</v>
      </c>
      <c r="L1316" s="8" t="s">
        <v>185</v>
      </c>
      <c r="M1316" s="8" t="s">
        <v>29</v>
      </c>
      <c r="N1316" s="8" t="s">
        <v>7127</v>
      </c>
      <c r="O1316" s="8" t="s">
        <v>29</v>
      </c>
      <c r="P1316" s="8" t="s">
        <v>8672</v>
      </c>
      <c r="Q1316" s="8"/>
      <c r="R1316" s="8"/>
      <c r="S1316" s="8"/>
      <c r="T1316" s="8"/>
      <c r="U1316" s="8"/>
      <c r="V1316" s="8"/>
      <c r="W1316" s="8"/>
      <c r="X1316" s="8"/>
      <c r="Y1316" s="8"/>
    </row>
    <row r="1317" ht="14.25">
      <c r="B1317" s="8" t="s">
        <v>1562</v>
      </c>
      <c r="C1317" s="8" t="s">
        <v>6766</v>
      </c>
      <c r="D1317" s="8" t="s">
        <v>230</v>
      </c>
      <c r="E1317" s="8" t="s">
        <v>6767</v>
      </c>
      <c r="F1317" s="8" t="s">
        <v>6768</v>
      </c>
      <c r="G1317" s="9">
        <v>77</v>
      </c>
      <c r="H1317" s="8" t="s">
        <v>25</v>
      </c>
      <c r="I1317" s="8" t="str">
        <f>IFERROR(__XLUDF.DUMMYFUNCTION("VLOOKUP(H110,IMPORTRANGE(""https://docs.google.com/spreadsheets/d/1opm6ZNvGZ7KditA9TuJwrZ25eFLfTNIkrNnY6mhV5Eg"",""list!A1:C115""),3,TRUE)"),"le secteur de l'hôtellerie")</f>
        <v xml:space="preserve">le secteur de l'hôtellerie</v>
      </c>
      <c r="J1317" s="10" t="s">
        <v>6769</v>
      </c>
      <c r="K1317" s="10" t="s">
        <v>8673</v>
      </c>
      <c r="L1317" s="8"/>
      <c r="M1317" s="8" t="s">
        <v>29</v>
      </c>
      <c r="N1317" s="8" t="s">
        <v>6771</v>
      </c>
      <c r="O1317" s="8" t="s">
        <v>29</v>
      </c>
      <c r="P1317" s="8"/>
      <c r="Q1317" s="8"/>
      <c r="R1317" s="8"/>
      <c r="S1317" s="8"/>
      <c r="T1317" s="8"/>
      <c r="U1317" s="8"/>
      <c r="V1317" s="8"/>
      <c r="W1317" s="8"/>
      <c r="X1317" s="8"/>
      <c r="Y1317" s="8"/>
    </row>
    <row r="1318" ht="14.25">
      <c r="B1318" s="8" t="s">
        <v>118</v>
      </c>
      <c r="C1318" s="8" t="s">
        <v>8674</v>
      </c>
      <c r="D1318" s="8" t="s">
        <v>8101</v>
      </c>
      <c r="E1318" s="8" t="s">
        <v>3559</v>
      </c>
      <c r="F1318" s="8" t="s">
        <v>8675</v>
      </c>
      <c r="G1318" s="9">
        <v>15</v>
      </c>
      <c r="H1318" s="8" t="s">
        <v>25</v>
      </c>
      <c r="I1318" s="8" t="str">
        <f>IFERROR(__XLUDF.DUMMYFUNCTION("VLOOKUP(H111,IMPORTRANGE(""https://docs.google.com/spreadsheets/d/1opm6ZNvGZ7KditA9TuJwrZ25eFLfTNIkrNnY6mhV5Eg"",""list!A1:C115""),3,TRUE)"),"le secteur de l'hôtellerie")</f>
        <v xml:space="preserve">le secteur de l'hôtellerie</v>
      </c>
      <c r="J1318" s="10" t="s">
        <v>8676</v>
      </c>
      <c r="K1318" s="10" t="s">
        <v>3562</v>
      </c>
      <c r="L1318" s="8" t="s">
        <v>39</v>
      </c>
      <c r="M1318" s="8" t="s">
        <v>29</v>
      </c>
      <c r="N1318" s="8" t="s">
        <v>3563</v>
      </c>
      <c r="O1318" s="8" t="s">
        <v>29</v>
      </c>
      <c r="P1318" s="8" t="s">
        <v>3564</v>
      </c>
      <c r="Q1318" s="8"/>
      <c r="R1318" s="8"/>
      <c r="S1318" s="8"/>
      <c r="T1318" s="8"/>
      <c r="U1318" s="8"/>
      <c r="V1318" s="8"/>
      <c r="W1318" s="8"/>
      <c r="X1318" s="8"/>
      <c r="Y1318" s="8"/>
    </row>
    <row r="1319" ht="14.25">
      <c r="B1319" s="8" t="s">
        <v>2105</v>
      </c>
      <c r="C1319" s="8" t="s">
        <v>8677</v>
      </c>
      <c r="D1319" s="8" t="s">
        <v>688</v>
      </c>
      <c r="E1319" s="8" t="s">
        <v>8678</v>
      </c>
      <c r="F1319" s="8" t="s">
        <v>8679</v>
      </c>
      <c r="G1319" s="9">
        <v>4</v>
      </c>
      <c r="H1319" s="8" t="s">
        <v>25</v>
      </c>
      <c r="I1319" s="8" t="str">
        <f>IFERROR(__XLUDF.DUMMYFUNCTION("VLOOKUP(H112,IMPORTRANGE(""https://docs.google.com/spreadsheets/d/1opm6ZNvGZ7KditA9TuJwrZ25eFLfTNIkrNnY6mhV5Eg"",""list!A1:C115""),3,TRUE)"),"le secteur de l'hôtellerie")</f>
        <v xml:space="preserve">le secteur de l'hôtellerie</v>
      </c>
      <c r="J1319" s="10" t="s">
        <v>8680</v>
      </c>
      <c r="K1319" s="10" t="s">
        <v>8681</v>
      </c>
      <c r="L1319" s="8" t="s">
        <v>8086</v>
      </c>
      <c r="M1319" s="8" t="s">
        <v>1938</v>
      </c>
      <c r="N1319" s="8" t="s">
        <v>8682</v>
      </c>
      <c r="O1319" s="8" t="s">
        <v>1938</v>
      </c>
      <c r="P1319" s="8" t="s">
        <v>8683</v>
      </c>
      <c r="Q1319" s="8"/>
      <c r="R1319" s="8"/>
      <c r="S1319" s="8"/>
      <c r="T1319" s="8"/>
      <c r="U1319" s="8"/>
      <c r="V1319" s="8"/>
      <c r="W1319" s="8"/>
      <c r="X1319" s="8"/>
      <c r="Y1319" s="8"/>
    </row>
    <row r="1320" ht="14.25">
      <c r="B1320" s="8" t="s">
        <v>7901</v>
      </c>
      <c r="C1320" s="8" t="s">
        <v>8684</v>
      </c>
      <c r="D1320" s="8" t="s">
        <v>8685</v>
      </c>
      <c r="E1320" s="8" t="s">
        <v>8686</v>
      </c>
      <c r="F1320" s="8" t="s">
        <v>8687</v>
      </c>
      <c r="G1320" s="9">
        <v>64</v>
      </c>
      <c r="H1320" s="8" t="s">
        <v>25</v>
      </c>
      <c r="I1320" s="8" t="str">
        <f>IFERROR(__XLUDF.DUMMYFUNCTION("VLOOKUP(H113,IMPORTRANGE(""https://docs.google.com/spreadsheets/d/1opm6ZNvGZ7KditA9TuJwrZ25eFLfTNIkrNnY6mhV5Eg"",""list!A1:C115""),3,TRUE)"),"le secteur de l'hôtellerie")</f>
        <v xml:space="preserve">le secteur de l'hôtellerie</v>
      </c>
      <c r="J1320" s="10" t="s">
        <v>8688</v>
      </c>
      <c r="K1320" s="10" t="s">
        <v>8689</v>
      </c>
      <c r="L1320" s="8" t="s">
        <v>49</v>
      </c>
      <c r="M1320" s="8" t="s">
        <v>29</v>
      </c>
      <c r="N1320" s="8" t="s">
        <v>416</v>
      </c>
      <c r="O1320" s="8" t="s">
        <v>29</v>
      </c>
      <c r="P1320" s="8"/>
      <c r="Q1320" s="8"/>
      <c r="R1320" s="8"/>
      <c r="S1320" s="8"/>
      <c r="T1320" s="8"/>
      <c r="U1320" s="8"/>
      <c r="V1320" s="8"/>
      <c r="W1320" s="8"/>
      <c r="X1320" s="8"/>
      <c r="Y1320" s="8"/>
    </row>
    <row r="1321" ht="14.25">
      <c r="B1321" s="8" t="s">
        <v>6390</v>
      </c>
      <c r="C1321" s="8" t="s">
        <v>8690</v>
      </c>
      <c r="D1321" s="8" t="s">
        <v>8280</v>
      </c>
      <c r="E1321" s="8" t="s">
        <v>7060</v>
      </c>
      <c r="F1321" s="8" t="s">
        <v>8691</v>
      </c>
      <c r="G1321" s="9">
        <v>210</v>
      </c>
      <c r="H1321" s="8" t="s">
        <v>25</v>
      </c>
      <c r="I1321" s="8" t="str">
        <f>IFERROR(__XLUDF.DUMMYFUNCTION("VLOOKUP(H114,IMPORTRANGE(""https://docs.google.com/spreadsheets/d/1opm6ZNvGZ7KditA9TuJwrZ25eFLfTNIkrNnY6mhV5Eg"",""list!A1:C115""),3,TRUE)"),"le secteur de l'hôtellerie")</f>
        <v xml:space="preserve">le secteur de l'hôtellerie</v>
      </c>
      <c r="J1321" s="10" t="s">
        <v>8692</v>
      </c>
      <c r="K1321" s="10" t="s">
        <v>8300</v>
      </c>
      <c r="L1321" s="8" t="s">
        <v>39</v>
      </c>
      <c r="M1321" s="8" t="s">
        <v>29</v>
      </c>
      <c r="N1321" s="8" t="s">
        <v>7064</v>
      </c>
      <c r="O1321" s="8" t="s">
        <v>29</v>
      </c>
      <c r="P1321" s="8" t="s">
        <v>8301</v>
      </c>
      <c r="Q1321" s="8"/>
      <c r="R1321" s="8"/>
      <c r="S1321" s="8"/>
      <c r="T1321" s="8"/>
      <c r="U1321" s="8"/>
      <c r="V1321" s="8"/>
      <c r="W1321" s="8"/>
      <c r="X1321" s="8"/>
      <c r="Y1321" s="8"/>
    </row>
    <row r="1322" ht="14.25">
      <c r="B1322" s="8" t="s">
        <v>8693</v>
      </c>
      <c r="C1322" s="8" t="s">
        <v>8206</v>
      </c>
      <c r="D1322" s="8" t="s">
        <v>44</v>
      </c>
      <c r="E1322" s="8" t="s">
        <v>8208</v>
      </c>
      <c r="F1322" s="8" t="s">
        <v>8694</v>
      </c>
      <c r="G1322" s="9">
        <v>53</v>
      </c>
      <c r="H1322" s="8" t="s">
        <v>25</v>
      </c>
      <c r="I1322" s="8" t="str">
        <f>IFERROR(__XLUDF.DUMMYFUNCTION("VLOOKUP(H115,IMPORTRANGE(""https://docs.google.com/spreadsheets/d/1opm6ZNvGZ7KditA9TuJwrZ25eFLfTNIkrNnY6mhV5Eg"",""list!A1:C115""),3,TRUE)"),"le secteur de l'hôtellerie")</f>
        <v xml:space="preserve">le secteur de l'hôtellerie</v>
      </c>
      <c r="J1322" s="10" t="s">
        <v>8695</v>
      </c>
      <c r="K1322" s="10" t="s">
        <v>8211</v>
      </c>
      <c r="L1322" s="8" t="s">
        <v>8212</v>
      </c>
      <c r="M1322" s="8" t="s">
        <v>1938</v>
      </c>
      <c r="N1322" s="8" t="s">
        <v>8213</v>
      </c>
      <c r="O1322" s="8" t="s">
        <v>1938</v>
      </c>
      <c r="P1322" s="8" t="s">
        <v>8214</v>
      </c>
      <c r="Q1322" s="8"/>
      <c r="R1322" s="8"/>
      <c r="S1322" s="8"/>
      <c r="T1322" s="8"/>
      <c r="U1322" s="8"/>
      <c r="V1322" s="8"/>
      <c r="W1322" s="8"/>
      <c r="X1322" s="8"/>
      <c r="Y1322" s="8"/>
    </row>
    <row r="1323" ht="14.25">
      <c r="B1323" s="8" t="s">
        <v>1421</v>
      </c>
      <c r="C1323" s="8" t="s">
        <v>3967</v>
      </c>
      <c r="D1323" s="8" t="s">
        <v>87</v>
      </c>
      <c r="E1323" s="8" t="s">
        <v>6870</v>
      </c>
      <c r="F1323" s="8" t="s">
        <v>6871</v>
      </c>
      <c r="G1323" s="9">
        <v>190</v>
      </c>
      <c r="H1323" s="8" t="s">
        <v>25</v>
      </c>
      <c r="I1323" s="8" t="str">
        <f>IFERROR(__XLUDF.DUMMYFUNCTION("VLOOKUP(H116,IMPORTRANGE(""https://docs.google.com/spreadsheets/d/1opm6ZNvGZ7KditA9TuJwrZ25eFLfTNIkrNnY6mhV5Eg"",""list!A1:C115""),3,TRUE)"),"le secteur de l'hôtellerie")</f>
        <v xml:space="preserve">le secteur de l'hôtellerie</v>
      </c>
      <c r="J1323" s="10" t="s">
        <v>6872</v>
      </c>
      <c r="K1323" s="10" t="s">
        <v>8696</v>
      </c>
      <c r="L1323" s="8" t="s">
        <v>39</v>
      </c>
      <c r="M1323" s="8" t="s">
        <v>29</v>
      </c>
      <c r="N1323" s="8" t="s">
        <v>6874</v>
      </c>
      <c r="O1323" s="8" t="s">
        <v>29</v>
      </c>
      <c r="P1323" s="8" t="s">
        <v>6875</v>
      </c>
      <c r="Q1323" s="8"/>
      <c r="R1323" s="8"/>
      <c r="S1323" s="8"/>
      <c r="T1323" s="8"/>
      <c r="U1323" s="8"/>
      <c r="V1323" s="8"/>
      <c r="W1323" s="8"/>
      <c r="X1323" s="8"/>
      <c r="Y1323" s="8"/>
    </row>
    <row r="1324" ht="14.25">
      <c r="B1324" s="8" t="s">
        <v>8697</v>
      </c>
      <c r="C1324" s="8" t="s">
        <v>8698</v>
      </c>
      <c r="D1324" s="8" t="s">
        <v>87</v>
      </c>
      <c r="E1324" s="8" t="s">
        <v>8699</v>
      </c>
      <c r="F1324" s="8" t="s">
        <v>8700</v>
      </c>
      <c r="G1324" s="9">
        <v>180</v>
      </c>
      <c r="H1324" s="8" t="s">
        <v>25</v>
      </c>
      <c r="I1324" s="8" t="str">
        <f>IFERROR(__XLUDF.DUMMYFUNCTION("VLOOKUP(H117,IMPORTRANGE(""https://docs.google.com/spreadsheets/d/1opm6ZNvGZ7KditA9TuJwrZ25eFLfTNIkrNnY6mhV5Eg"",""list!A1:C115""),3,TRUE)"),"le secteur de l'hôtellerie")</f>
        <v xml:space="preserve">le secteur de l'hôtellerie</v>
      </c>
      <c r="J1324" s="10" t="s">
        <v>8701</v>
      </c>
      <c r="K1324" s="10" t="s">
        <v>8702</v>
      </c>
      <c r="L1324" s="8" t="s">
        <v>8133</v>
      </c>
      <c r="M1324" s="8" t="s">
        <v>1938</v>
      </c>
      <c r="N1324" s="8" t="s">
        <v>8703</v>
      </c>
      <c r="O1324" s="8" t="s">
        <v>1938</v>
      </c>
      <c r="P1324" s="8" t="s">
        <v>8704</v>
      </c>
      <c r="Q1324" s="8"/>
      <c r="R1324" s="8"/>
      <c r="S1324" s="8"/>
      <c r="T1324" s="8"/>
      <c r="U1324" s="8"/>
      <c r="V1324" s="8"/>
      <c r="W1324" s="8"/>
      <c r="X1324" s="8"/>
      <c r="Y1324" s="8"/>
    </row>
    <row r="1325" ht="14.25">
      <c r="B1325" s="8" t="s">
        <v>6634</v>
      </c>
      <c r="C1325" s="8" t="s">
        <v>8705</v>
      </c>
      <c r="D1325" s="8" t="s">
        <v>8146</v>
      </c>
      <c r="E1325" s="8" t="s">
        <v>8129</v>
      </c>
      <c r="F1325" s="8" t="s">
        <v>8706</v>
      </c>
      <c r="G1325" s="9">
        <v>47</v>
      </c>
      <c r="H1325" s="8" t="s">
        <v>25</v>
      </c>
      <c r="I1325" s="8" t="str">
        <f>IFERROR(__XLUDF.DUMMYFUNCTION("VLOOKUP(H118,IMPORTRANGE(""https://docs.google.com/spreadsheets/d/1opm6ZNvGZ7KditA9TuJwrZ25eFLfTNIkrNnY6mhV5Eg"",""list!A1:C115""),3,TRUE)"),"le secteur de l'hôtellerie")</f>
        <v xml:space="preserve">le secteur de l'hôtellerie</v>
      </c>
      <c r="J1325" s="10" t="s">
        <v>8707</v>
      </c>
      <c r="K1325" s="10" t="s">
        <v>8132</v>
      </c>
      <c r="L1325" s="8" t="s">
        <v>8124</v>
      </c>
      <c r="M1325" s="8" t="s">
        <v>1938</v>
      </c>
      <c r="N1325" s="8" t="s">
        <v>8134</v>
      </c>
      <c r="O1325" s="8" t="s">
        <v>1938</v>
      </c>
      <c r="P1325" s="8" t="s">
        <v>8135</v>
      </c>
      <c r="Q1325" s="8"/>
      <c r="R1325" s="8"/>
      <c r="S1325" s="8"/>
      <c r="T1325" s="8"/>
      <c r="U1325" s="8"/>
      <c r="V1325" s="8"/>
      <c r="W1325" s="8"/>
      <c r="X1325" s="8"/>
      <c r="Y1325" s="8"/>
    </row>
    <row r="1326" ht="14.25">
      <c r="B1326" s="8" t="s">
        <v>8708</v>
      </c>
      <c r="C1326" s="8" t="s">
        <v>8709</v>
      </c>
      <c r="D1326" s="8" t="s">
        <v>8710</v>
      </c>
      <c r="E1326" s="8" t="s">
        <v>8711</v>
      </c>
      <c r="F1326" s="8" t="s">
        <v>8712</v>
      </c>
      <c r="G1326" s="9">
        <v>230</v>
      </c>
      <c r="H1326" s="8" t="s">
        <v>25</v>
      </c>
      <c r="I1326" s="8" t="str">
        <f>IFERROR(__XLUDF.DUMMYFUNCTION("VLOOKUP(H119,IMPORTRANGE(""https://docs.google.com/spreadsheets/d/1opm6ZNvGZ7KditA9TuJwrZ25eFLfTNIkrNnY6mhV5Eg"",""list!A1:C115""),3,TRUE)"),"le secteur de l'hôtellerie")</f>
        <v xml:space="preserve">le secteur de l'hôtellerie</v>
      </c>
      <c r="J1326" s="10" t="s">
        <v>8713</v>
      </c>
      <c r="K1326" s="10" t="s">
        <v>8714</v>
      </c>
      <c r="L1326" s="8" t="s">
        <v>8715</v>
      </c>
      <c r="M1326" s="8" t="s">
        <v>1938</v>
      </c>
      <c r="N1326" s="8" t="s">
        <v>8716</v>
      </c>
      <c r="O1326" s="8" t="s">
        <v>1938</v>
      </c>
      <c r="P1326" s="8" t="s">
        <v>8717</v>
      </c>
      <c r="Q1326" s="8"/>
      <c r="R1326" s="8"/>
      <c r="S1326" s="8"/>
      <c r="T1326" s="8"/>
      <c r="U1326" s="8"/>
      <c r="V1326" s="8"/>
      <c r="W1326" s="8"/>
      <c r="X1326" s="8"/>
      <c r="Y1326" s="8"/>
    </row>
    <row r="1327" ht="14.25">
      <c r="B1327" s="8" t="s">
        <v>330</v>
      </c>
      <c r="C1327" s="8" t="s">
        <v>4132</v>
      </c>
      <c r="D1327" s="8" t="s">
        <v>87</v>
      </c>
      <c r="E1327" s="8" t="s">
        <v>7136</v>
      </c>
      <c r="F1327" s="8" t="s">
        <v>7137</v>
      </c>
      <c r="G1327" s="9">
        <v>73</v>
      </c>
      <c r="H1327" s="8" t="s">
        <v>25</v>
      </c>
      <c r="I1327" s="8" t="str">
        <f>IFERROR(__XLUDF.DUMMYFUNCTION("VLOOKUP(H120,IMPORTRANGE(""https://docs.google.com/spreadsheets/d/1opm6ZNvGZ7KditA9TuJwrZ25eFLfTNIkrNnY6mhV5Eg"",""list!A1:C115""),3,TRUE)"),"le secteur de l'hôtellerie")</f>
        <v xml:space="preserve">le secteur de l'hôtellerie</v>
      </c>
      <c r="J1327" s="10" t="s">
        <v>7138</v>
      </c>
      <c r="K1327" s="10" t="s">
        <v>8718</v>
      </c>
      <c r="L1327" s="8"/>
      <c r="M1327" s="8" t="s">
        <v>29</v>
      </c>
      <c r="N1327" s="8" t="s">
        <v>7140</v>
      </c>
      <c r="O1327" s="8" t="s">
        <v>29</v>
      </c>
      <c r="P1327" s="8" t="s">
        <v>7141</v>
      </c>
      <c r="Q1327" s="8"/>
      <c r="R1327" s="8"/>
      <c r="S1327" s="8"/>
      <c r="T1327" s="8"/>
      <c r="U1327" s="8"/>
      <c r="V1327" s="8"/>
      <c r="W1327" s="8"/>
      <c r="X1327" s="8"/>
      <c r="Y1327" s="8"/>
    </row>
    <row r="1328" ht="14.25">
      <c r="B1328" s="8" t="s">
        <v>6981</v>
      </c>
      <c r="C1328" s="8" t="s">
        <v>6823</v>
      </c>
      <c r="D1328" s="8" t="s">
        <v>87</v>
      </c>
      <c r="E1328" s="8" t="s">
        <v>6824</v>
      </c>
      <c r="F1328" s="8" t="s">
        <v>6982</v>
      </c>
      <c r="G1328" s="9">
        <v>85</v>
      </c>
      <c r="H1328" s="8" t="s">
        <v>25</v>
      </c>
      <c r="I1328" s="8" t="str">
        <f>IFERROR(__XLUDF.DUMMYFUNCTION("VLOOKUP(H121,IMPORTRANGE(""https://docs.google.com/spreadsheets/d/1opm6ZNvGZ7KditA9TuJwrZ25eFLfTNIkrNnY6mhV5Eg"",""list!A1:C115""),3,TRUE)"),"le secteur de l'hôtellerie")</f>
        <v xml:space="preserve">le secteur de l'hôtellerie</v>
      </c>
      <c r="J1328" s="10" t="s">
        <v>6983</v>
      </c>
      <c r="K1328" s="10" t="s">
        <v>8719</v>
      </c>
      <c r="L1328" s="8" t="s">
        <v>39</v>
      </c>
      <c r="M1328" s="8" t="s">
        <v>29</v>
      </c>
      <c r="N1328" s="8" t="s">
        <v>6828</v>
      </c>
      <c r="O1328" s="8" t="s">
        <v>29</v>
      </c>
      <c r="P1328" s="8"/>
      <c r="Q1328" s="8"/>
      <c r="R1328" s="8"/>
      <c r="S1328" s="8"/>
      <c r="T1328" s="8"/>
      <c r="U1328" s="8"/>
      <c r="V1328" s="8"/>
      <c r="W1328" s="8"/>
      <c r="X1328" s="8"/>
      <c r="Y1328" s="8"/>
    </row>
    <row r="1329" ht="14.25">
      <c r="B1329" s="8" t="s">
        <v>6992</v>
      </c>
      <c r="C1329" s="8" t="s">
        <v>6993</v>
      </c>
      <c r="D1329" s="8" t="s">
        <v>3836</v>
      </c>
      <c r="E1329" s="8" t="s">
        <v>6994</v>
      </c>
      <c r="F1329" s="8" t="s">
        <v>6995</v>
      </c>
      <c r="G1329" s="9">
        <v>87</v>
      </c>
      <c r="H1329" s="8" t="s">
        <v>25</v>
      </c>
      <c r="I1329" s="8" t="str">
        <f>IFERROR(__XLUDF.DUMMYFUNCTION("VLOOKUP(H122,IMPORTRANGE(""https://docs.google.com/spreadsheets/d/1opm6ZNvGZ7KditA9TuJwrZ25eFLfTNIkrNnY6mhV5Eg"",""list!A1:C115""),3,TRUE)"),"le secteur de l'hôtellerie")</f>
        <v xml:space="preserve">le secteur de l'hôtellerie</v>
      </c>
      <c r="J1329" s="10" t="s">
        <v>6996</v>
      </c>
      <c r="K1329" s="10" t="s">
        <v>8720</v>
      </c>
      <c r="L1329" s="8" t="s">
        <v>39</v>
      </c>
      <c r="M1329" s="8" t="s">
        <v>29</v>
      </c>
      <c r="N1329" s="8" t="s">
        <v>6998</v>
      </c>
      <c r="O1329" s="8" t="s">
        <v>29</v>
      </c>
      <c r="P1329" s="8" t="s">
        <v>6999</v>
      </c>
      <c r="Q1329" s="8"/>
      <c r="R1329" s="8"/>
      <c r="S1329" s="8"/>
      <c r="T1329" s="8"/>
      <c r="U1329" s="8"/>
      <c r="V1329" s="8"/>
      <c r="W1329" s="8"/>
      <c r="X1329" s="8"/>
      <c r="Y1329" s="8"/>
    </row>
    <row r="1330" ht="14.25">
      <c r="B1330" s="8" t="s">
        <v>7198</v>
      </c>
      <c r="C1330" s="8" t="s">
        <v>8721</v>
      </c>
      <c r="D1330" s="8" t="s">
        <v>315</v>
      </c>
      <c r="E1330" s="8" t="s">
        <v>8722</v>
      </c>
      <c r="F1330" s="8" t="s">
        <v>8723</v>
      </c>
      <c r="G1330" s="9">
        <v>9</v>
      </c>
      <c r="H1330" s="8" t="s">
        <v>25</v>
      </c>
      <c r="I1330" s="8" t="str">
        <f>IFERROR(__XLUDF.DUMMYFUNCTION("VLOOKUP(H123,IMPORTRANGE(""https://docs.google.com/spreadsheets/d/1opm6ZNvGZ7KditA9TuJwrZ25eFLfTNIkrNnY6mhV5Eg"",""list!A1:C115""),3,TRUE)"),"le secteur de l'hôtellerie")</f>
        <v xml:space="preserve">le secteur de l'hôtellerie</v>
      </c>
      <c r="J1330" s="10" t="s">
        <v>8724</v>
      </c>
      <c r="K1330" s="10" t="s">
        <v>8725</v>
      </c>
      <c r="L1330" s="8" t="s">
        <v>8086</v>
      </c>
      <c r="M1330" s="8" t="s">
        <v>1938</v>
      </c>
      <c r="N1330" s="8" t="s">
        <v>8682</v>
      </c>
      <c r="O1330" s="8" t="s">
        <v>1938</v>
      </c>
      <c r="P1330" s="8" t="s">
        <v>8726</v>
      </c>
      <c r="Q1330" s="8"/>
      <c r="R1330" s="8"/>
      <c r="S1330" s="8"/>
      <c r="T1330" s="8"/>
      <c r="U1330" s="8"/>
      <c r="V1330" s="8"/>
      <c r="W1330" s="8"/>
      <c r="X1330" s="8"/>
      <c r="Y1330" s="8"/>
    </row>
    <row r="1331" ht="14.25">
      <c r="B1331" s="8" t="s">
        <v>8727</v>
      </c>
      <c r="C1331" s="8" t="s">
        <v>8728</v>
      </c>
      <c r="D1331" s="8" t="s">
        <v>8729</v>
      </c>
      <c r="E1331" s="8" t="s">
        <v>8730</v>
      </c>
      <c r="F1331" s="8" t="s">
        <v>8731</v>
      </c>
      <c r="G1331" s="9">
        <v>1</v>
      </c>
      <c r="H1331" s="8" t="s">
        <v>25</v>
      </c>
      <c r="I1331" s="8" t="str">
        <f>IFERROR(__XLUDF.DUMMYFUNCTION("VLOOKUP(H124,IMPORTRANGE(""https://docs.google.com/spreadsheets/d/1opm6ZNvGZ7KditA9TuJwrZ25eFLfTNIkrNnY6mhV5Eg"",""list!A1:C115""),3,TRUE)"),"le secteur de l'hôtellerie")</f>
        <v xml:space="preserve">le secteur de l'hôtellerie</v>
      </c>
      <c r="J1331" s="10" t="s">
        <v>8732</v>
      </c>
      <c r="K1331" s="10" t="s">
        <v>8733</v>
      </c>
      <c r="L1331" s="8" t="s">
        <v>8086</v>
      </c>
      <c r="M1331" s="8" t="s">
        <v>1938</v>
      </c>
      <c r="N1331" s="8" t="s">
        <v>8682</v>
      </c>
      <c r="O1331" s="8" t="s">
        <v>1938</v>
      </c>
      <c r="P1331" s="8"/>
      <c r="Q1331" s="8"/>
      <c r="R1331" s="8"/>
      <c r="S1331" s="8"/>
      <c r="T1331" s="8"/>
      <c r="U1331" s="8"/>
      <c r="V1331" s="8"/>
      <c r="W1331" s="8"/>
      <c r="X1331" s="8"/>
      <c r="Y1331" s="8"/>
    </row>
    <row r="1332" ht="14.25">
      <c r="B1332" s="8" t="s">
        <v>20</v>
      </c>
      <c r="C1332" s="8" t="s">
        <v>8734</v>
      </c>
      <c r="D1332" s="8" t="s">
        <v>8735</v>
      </c>
      <c r="E1332" s="8" t="s">
        <v>8736</v>
      </c>
      <c r="F1332" s="8" t="s">
        <v>8737</v>
      </c>
      <c r="G1332" s="9">
        <v>91</v>
      </c>
      <c r="H1332" s="8" t="s">
        <v>25</v>
      </c>
      <c r="I1332" s="8" t="str">
        <f>IFERROR(__XLUDF.DUMMYFUNCTION("VLOOKUP(H125,IMPORTRANGE(""https://docs.google.com/spreadsheets/d/1opm6ZNvGZ7KditA9TuJwrZ25eFLfTNIkrNnY6mhV5Eg"",""list!A1:C115""),3,TRUE)"),"le secteur de l'hôtellerie")</f>
        <v xml:space="preserve">le secteur de l'hôtellerie</v>
      </c>
      <c r="J1332" s="10" t="s">
        <v>8738</v>
      </c>
      <c r="K1332" s="10" t="s">
        <v>8739</v>
      </c>
      <c r="L1332" s="8"/>
      <c r="M1332" s="8" t="s">
        <v>1938</v>
      </c>
      <c r="N1332" s="8" t="s">
        <v>8740</v>
      </c>
      <c r="O1332" s="8" t="s">
        <v>1938</v>
      </c>
      <c r="P1332" s="8" t="s">
        <v>8741</v>
      </c>
      <c r="Q1332" s="8"/>
      <c r="R1332" s="8"/>
      <c r="S1332" s="8"/>
      <c r="T1332" s="8"/>
      <c r="U1332" s="8"/>
      <c r="V1332" s="8"/>
      <c r="W1332" s="8"/>
      <c r="X1332" s="8"/>
      <c r="Y1332" s="8"/>
    </row>
    <row r="1333" ht="14.25">
      <c r="B1333" s="8" t="s">
        <v>548</v>
      </c>
      <c r="C1333" s="8" t="s">
        <v>8742</v>
      </c>
      <c r="D1333" s="8" t="s">
        <v>8743</v>
      </c>
      <c r="E1333" s="8" t="s">
        <v>8744</v>
      </c>
      <c r="F1333" s="8" t="s">
        <v>8745</v>
      </c>
      <c r="G1333" s="9">
        <v>96</v>
      </c>
      <c r="H1333" s="8" t="s">
        <v>25</v>
      </c>
      <c r="I1333" s="8" t="str">
        <f>IFERROR(__XLUDF.DUMMYFUNCTION("VLOOKUP(H126,IMPORTRANGE(""https://docs.google.com/spreadsheets/d/1opm6ZNvGZ7KditA9TuJwrZ25eFLfTNIkrNnY6mhV5Eg"",""list!A1:C115""),3,TRUE)"),"le secteur de l'hôtellerie")</f>
        <v xml:space="preserve">le secteur de l'hôtellerie</v>
      </c>
      <c r="J1333" s="10" t="s">
        <v>8746</v>
      </c>
      <c r="K1333" s="10" t="s">
        <v>8747</v>
      </c>
      <c r="L1333" s="8"/>
      <c r="M1333" s="8" t="s">
        <v>29</v>
      </c>
      <c r="N1333" s="8" t="s">
        <v>8748</v>
      </c>
      <c r="O1333" s="8" t="s">
        <v>4952</v>
      </c>
      <c r="P1333" s="8" t="s">
        <v>8749</v>
      </c>
      <c r="Q1333" s="8"/>
      <c r="R1333" s="8"/>
      <c r="S1333" s="8"/>
      <c r="T1333" s="8"/>
      <c r="U1333" s="8"/>
      <c r="V1333" s="8"/>
      <c r="W1333" s="8"/>
      <c r="X1333" s="8"/>
      <c r="Y1333" s="8"/>
    </row>
    <row r="1334" ht="14.25">
      <c r="B1334" s="8" t="s">
        <v>8750</v>
      </c>
      <c r="C1334" s="8" t="s">
        <v>8751</v>
      </c>
      <c r="D1334" s="8" t="s">
        <v>8752</v>
      </c>
      <c r="E1334" s="8" t="s">
        <v>8753</v>
      </c>
      <c r="F1334" s="8" t="s">
        <v>8754</v>
      </c>
      <c r="G1334" s="9">
        <v>160</v>
      </c>
      <c r="H1334" s="8" t="s">
        <v>25</v>
      </c>
      <c r="I1334" s="8" t="str">
        <f>IFERROR(__XLUDF.DUMMYFUNCTION("VLOOKUP(H127,IMPORTRANGE(""https://docs.google.com/spreadsheets/d/1opm6ZNvGZ7KditA9TuJwrZ25eFLfTNIkrNnY6mhV5Eg"",""list!A1:C115""),3,TRUE)"),"le secteur de l'hôtellerie")</f>
        <v xml:space="preserve">le secteur de l'hôtellerie</v>
      </c>
      <c r="J1334" s="10" t="s">
        <v>8755</v>
      </c>
      <c r="K1334" s="10" t="s">
        <v>8756</v>
      </c>
      <c r="L1334" s="8" t="s">
        <v>39</v>
      </c>
      <c r="M1334" s="8" t="s">
        <v>29</v>
      </c>
      <c r="N1334" s="8" t="s">
        <v>8757</v>
      </c>
      <c r="O1334" s="8" t="s">
        <v>29</v>
      </c>
      <c r="P1334" s="8"/>
      <c r="Q1334" s="8"/>
      <c r="R1334" s="8"/>
      <c r="S1334" s="8"/>
      <c r="T1334" s="8"/>
      <c r="U1334" s="8"/>
      <c r="V1334" s="8"/>
      <c r="W1334" s="8"/>
      <c r="X1334" s="8"/>
      <c r="Y1334" s="8"/>
    </row>
    <row r="1335" ht="14.25">
      <c r="B1335" s="8" t="s">
        <v>8758</v>
      </c>
      <c r="C1335" s="8" t="s">
        <v>8759</v>
      </c>
      <c r="D1335" s="8" t="s">
        <v>87</v>
      </c>
      <c r="E1335" s="8" t="s">
        <v>8760</v>
      </c>
      <c r="F1335" s="8" t="s">
        <v>8761</v>
      </c>
      <c r="G1335" s="9">
        <v>31</v>
      </c>
      <c r="H1335" s="8" t="s">
        <v>25</v>
      </c>
      <c r="I1335" s="8" t="str">
        <f>IFERROR(__XLUDF.DUMMYFUNCTION("VLOOKUP(H128,IMPORTRANGE(""https://docs.google.com/spreadsheets/d/1opm6ZNvGZ7KditA9TuJwrZ25eFLfTNIkrNnY6mhV5Eg"",""list!A1:C115""),3,TRUE)"),"le secteur de l'hôtellerie")</f>
        <v xml:space="preserve">le secteur de l'hôtellerie</v>
      </c>
      <c r="J1335" s="10" t="s">
        <v>8762</v>
      </c>
      <c r="K1335" s="10" t="s">
        <v>8763</v>
      </c>
      <c r="L1335" s="8" t="s">
        <v>8133</v>
      </c>
      <c r="M1335" s="8" t="s">
        <v>1938</v>
      </c>
      <c r="N1335" s="8" t="s">
        <v>8177</v>
      </c>
      <c r="O1335" s="8" t="s">
        <v>1938</v>
      </c>
      <c r="P1335" s="8" t="s">
        <v>8764</v>
      </c>
      <c r="Q1335" s="8"/>
      <c r="R1335" s="8"/>
      <c r="S1335" s="8"/>
      <c r="T1335" s="8"/>
      <c r="U1335" s="8"/>
      <c r="V1335" s="8"/>
      <c r="W1335" s="8"/>
      <c r="X1335" s="8"/>
      <c r="Y1335" s="8"/>
    </row>
    <row r="1336" ht="14.25">
      <c r="B1336" s="8" t="s">
        <v>313</v>
      </c>
      <c r="C1336" s="8" t="s">
        <v>8765</v>
      </c>
      <c r="D1336" s="8" t="s">
        <v>87</v>
      </c>
      <c r="E1336" s="8" t="s">
        <v>8766</v>
      </c>
      <c r="F1336" s="8" t="s">
        <v>8767</v>
      </c>
      <c r="G1336" s="9">
        <v>55</v>
      </c>
      <c r="H1336" s="8" t="s">
        <v>25</v>
      </c>
      <c r="I1336" s="8" t="str">
        <f>IFERROR(__XLUDF.DUMMYFUNCTION("VLOOKUP(H129,IMPORTRANGE(""https://docs.google.com/spreadsheets/d/1opm6ZNvGZ7KditA9TuJwrZ25eFLfTNIkrNnY6mhV5Eg"",""list!A1:C115""),3,TRUE)"),"le secteur de l'hôtellerie")</f>
        <v xml:space="preserve">le secteur de l'hôtellerie</v>
      </c>
      <c r="J1336" s="10" t="s">
        <v>8768</v>
      </c>
      <c r="K1336" s="10" t="s">
        <v>8769</v>
      </c>
      <c r="L1336" s="8"/>
      <c r="M1336" s="8" t="s">
        <v>1938</v>
      </c>
      <c r="N1336" s="8" t="s">
        <v>8770</v>
      </c>
      <c r="O1336" s="8" t="s">
        <v>1938</v>
      </c>
      <c r="P1336" s="8"/>
      <c r="Q1336" s="8"/>
      <c r="R1336" s="8"/>
      <c r="S1336" s="8"/>
      <c r="T1336" s="8"/>
      <c r="U1336" s="8"/>
      <c r="V1336" s="8"/>
      <c r="W1336" s="8"/>
      <c r="X1336" s="8"/>
      <c r="Y1336" s="8"/>
    </row>
    <row r="1337" ht="14.25">
      <c r="B1337" s="8" t="s">
        <v>808</v>
      </c>
      <c r="C1337" s="8" t="s">
        <v>6415</v>
      </c>
      <c r="D1337" s="8" t="s">
        <v>6416</v>
      </c>
      <c r="E1337" s="8" t="s">
        <v>558</v>
      </c>
      <c r="F1337" s="8" t="s">
        <v>6417</v>
      </c>
      <c r="G1337" s="9">
        <v>50</v>
      </c>
      <c r="H1337" s="8" t="s">
        <v>25</v>
      </c>
      <c r="I1337" s="8" t="str">
        <f>IFERROR(__XLUDF.DUMMYFUNCTION("VLOOKUP(H130,IMPORTRANGE(""https://docs.google.com/spreadsheets/d/1opm6ZNvGZ7KditA9TuJwrZ25eFLfTNIkrNnY6mhV5Eg"",""list!A1:C115""),3,TRUE)"),"le secteur de l'hôtellerie")</f>
        <v xml:space="preserve">le secteur de l'hôtellerie</v>
      </c>
      <c r="J1337" s="10" t="s">
        <v>6418</v>
      </c>
      <c r="K1337" s="10" t="s">
        <v>561</v>
      </c>
      <c r="L1337" s="8" t="s">
        <v>39</v>
      </c>
      <c r="M1337" s="8" t="s">
        <v>29</v>
      </c>
      <c r="N1337" s="8" t="s">
        <v>563</v>
      </c>
      <c r="O1337" s="8" t="s">
        <v>29</v>
      </c>
      <c r="P1337" s="8" t="s">
        <v>564</v>
      </c>
      <c r="Q1337" s="8"/>
      <c r="R1337" s="8"/>
      <c r="S1337" s="8"/>
      <c r="T1337" s="8"/>
      <c r="U1337" s="8"/>
      <c r="V1337" s="8"/>
      <c r="W1337" s="8"/>
      <c r="X1337" s="8"/>
      <c r="Y1337" s="8"/>
    </row>
    <row r="1338" ht="14.25">
      <c r="B1338" s="8" t="s">
        <v>5728</v>
      </c>
      <c r="C1338" s="8" t="s">
        <v>8771</v>
      </c>
      <c r="D1338" s="8" t="s">
        <v>8101</v>
      </c>
      <c r="E1338" s="8" t="s">
        <v>8772</v>
      </c>
      <c r="F1338" s="8" t="s">
        <v>8773</v>
      </c>
      <c r="G1338" s="9">
        <v>140</v>
      </c>
      <c r="H1338" s="8" t="s">
        <v>25</v>
      </c>
      <c r="I1338" s="8" t="str">
        <f>IFERROR(__XLUDF.DUMMYFUNCTION("VLOOKUP(H131,IMPORTRANGE(""https://docs.google.com/spreadsheets/d/1opm6ZNvGZ7KditA9TuJwrZ25eFLfTNIkrNnY6mhV5Eg"",""list!A1:C115""),3,TRUE)"),"le secteur de l'hôtellerie")</f>
        <v xml:space="preserve">le secteur de l'hôtellerie</v>
      </c>
      <c r="J1338" s="10" t="s">
        <v>8774</v>
      </c>
      <c r="K1338" s="10" t="s">
        <v>8775</v>
      </c>
      <c r="L1338" s="8" t="s">
        <v>8067</v>
      </c>
      <c r="M1338" s="8" t="s">
        <v>1938</v>
      </c>
      <c r="N1338" s="8" t="s">
        <v>8776</v>
      </c>
      <c r="O1338" s="8" t="s">
        <v>1938</v>
      </c>
      <c r="P1338" s="8" t="s">
        <v>8777</v>
      </c>
      <c r="Q1338" s="8"/>
      <c r="R1338" s="8"/>
      <c r="S1338" s="8"/>
      <c r="T1338" s="8"/>
      <c r="U1338" s="8"/>
      <c r="V1338" s="8"/>
      <c r="W1338" s="8"/>
      <c r="X1338" s="8"/>
      <c r="Y1338" s="8"/>
    </row>
    <row r="1339" ht="14.25">
      <c r="B1339" s="8" t="s">
        <v>8778</v>
      </c>
      <c r="C1339" s="8" t="s">
        <v>8779</v>
      </c>
      <c r="D1339" s="8" t="s">
        <v>44</v>
      </c>
      <c r="E1339" s="8" t="s">
        <v>8780</v>
      </c>
      <c r="F1339" s="8" t="s">
        <v>8781</v>
      </c>
      <c r="G1339" s="9">
        <v>6</v>
      </c>
      <c r="H1339" s="8" t="s">
        <v>25</v>
      </c>
      <c r="I1339" s="8" t="str">
        <f>IFERROR(__XLUDF.DUMMYFUNCTION("VLOOKUP(H132,IMPORTRANGE(""https://docs.google.com/spreadsheets/d/1opm6ZNvGZ7KditA9TuJwrZ25eFLfTNIkrNnY6mhV5Eg"",""list!A1:C115""),3,TRUE)"),"le secteur de l'hôtellerie")</f>
        <v xml:space="preserve">le secteur de l'hôtellerie</v>
      </c>
      <c r="J1339" s="10" t="s">
        <v>8782</v>
      </c>
      <c r="K1339" s="10" t="s">
        <v>8783</v>
      </c>
      <c r="L1339" s="8" t="s">
        <v>8086</v>
      </c>
      <c r="M1339" s="8" t="s">
        <v>1938</v>
      </c>
      <c r="N1339" s="8" t="s">
        <v>8784</v>
      </c>
      <c r="O1339" s="8" t="s">
        <v>1938</v>
      </c>
      <c r="P1339" s="8" t="s">
        <v>8785</v>
      </c>
      <c r="Q1339" s="8"/>
      <c r="R1339" s="8"/>
      <c r="S1339" s="8"/>
      <c r="T1339" s="8"/>
      <c r="U1339" s="8"/>
      <c r="V1339" s="8"/>
      <c r="W1339" s="8"/>
      <c r="X1339" s="8"/>
      <c r="Y1339" s="8"/>
    </row>
    <row r="1340" ht="14.25">
      <c r="B1340" s="8" t="s">
        <v>322</v>
      </c>
      <c r="C1340" s="8" t="s">
        <v>6945</v>
      </c>
      <c r="D1340" s="8" t="s">
        <v>503</v>
      </c>
      <c r="E1340" s="8" t="s">
        <v>8242</v>
      </c>
      <c r="F1340" s="8" t="s">
        <v>8786</v>
      </c>
      <c r="G1340" s="9">
        <v>23</v>
      </c>
      <c r="H1340" s="8" t="s">
        <v>25</v>
      </c>
      <c r="I1340" s="8" t="str">
        <f>IFERROR(__XLUDF.DUMMYFUNCTION("VLOOKUP(H133,IMPORTRANGE(""https://docs.google.com/spreadsheets/d/1opm6ZNvGZ7KditA9TuJwrZ25eFLfTNIkrNnY6mhV5Eg"",""list!A1:C115""),3,TRUE)"),"le secteur de l'hôtellerie")</f>
        <v xml:space="preserve">le secteur de l'hôtellerie</v>
      </c>
      <c r="J1340" s="10" t="s">
        <v>8787</v>
      </c>
      <c r="K1340" s="10" t="s">
        <v>8245</v>
      </c>
      <c r="L1340" s="8" t="s">
        <v>243</v>
      </c>
      <c r="M1340" s="8" t="s">
        <v>29</v>
      </c>
      <c r="N1340" s="8" t="s">
        <v>8246</v>
      </c>
      <c r="O1340" s="8" t="s">
        <v>29</v>
      </c>
      <c r="P1340" s="8" t="s">
        <v>8247</v>
      </c>
      <c r="Q1340" s="8"/>
      <c r="R1340" s="8"/>
      <c r="S1340" s="8"/>
      <c r="T1340" s="8"/>
      <c r="U1340" s="8"/>
      <c r="V1340" s="8"/>
      <c r="W1340" s="8"/>
      <c r="X1340" s="8"/>
      <c r="Y1340" s="8"/>
    </row>
    <row r="1341" ht="14.25">
      <c r="B1341" s="8" t="s">
        <v>8788</v>
      </c>
      <c r="C1341" s="8" t="s">
        <v>8789</v>
      </c>
      <c r="D1341" s="8" t="s">
        <v>8790</v>
      </c>
      <c r="E1341" s="8" t="s">
        <v>8791</v>
      </c>
      <c r="F1341" s="8" t="s">
        <v>8792</v>
      </c>
      <c r="G1341" s="9">
        <v>15</v>
      </c>
      <c r="H1341" s="8" t="s">
        <v>25</v>
      </c>
      <c r="I1341" s="8" t="str">
        <f>IFERROR(__XLUDF.DUMMYFUNCTION("VLOOKUP(H134,IMPORTRANGE(""https://docs.google.com/spreadsheets/d/1opm6ZNvGZ7KditA9TuJwrZ25eFLfTNIkrNnY6mhV5Eg"",""list!A1:C115""),3,TRUE)"),"le secteur de l'hôtellerie")</f>
        <v xml:space="preserve">le secteur de l'hôtellerie</v>
      </c>
      <c r="J1341" s="10" t="s">
        <v>8793</v>
      </c>
      <c r="K1341" s="10" t="s">
        <v>8794</v>
      </c>
      <c r="L1341" s="8" t="s">
        <v>39</v>
      </c>
      <c r="M1341" s="8" t="s">
        <v>29</v>
      </c>
      <c r="N1341" s="8" t="s">
        <v>8795</v>
      </c>
      <c r="O1341" s="8" t="s">
        <v>29</v>
      </c>
      <c r="P1341" s="8" t="s">
        <v>8796</v>
      </c>
      <c r="Q1341" s="8"/>
      <c r="R1341" s="8"/>
      <c r="S1341" s="8"/>
      <c r="T1341" s="8"/>
      <c r="U1341" s="8"/>
      <c r="V1341" s="8"/>
      <c r="W1341" s="8"/>
      <c r="X1341" s="8"/>
      <c r="Y1341" s="8"/>
    </row>
    <row r="1342" ht="14.25">
      <c r="B1342" s="8" t="s">
        <v>2659</v>
      </c>
      <c r="C1342" s="8" t="s">
        <v>8797</v>
      </c>
      <c r="D1342" s="8" t="s">
        <v>8798</v>
      </c>
      <c r="E1342" s="8" t="s">
        <v>8120</v>
      </c>
      <c r="F1342" s="8" t="s">
        <v>8799</v>
      </c>
      <c r="G1342" s="9">
        <v>27</v>
      </c>
      <c r="H1342" s="8" t="s">
        <v>25</v>
      </c>
      <c r="I1342" s="8" t="str">
        <f>IFERROR(__XLUDF.DUMMYFUNCTION("VLOOKUP(H135,IMPORTRANGE(""https://docs.google.com/spreadsheets/d/1opm6ZNvGZ7KditA9TuJwrZ25eFLfTNIkrNnY6mhV5Eg"",""list!A1:C115""),3,TRUE)"),"le secteur de l'hôtellerie")</f>
        <v xml:space="preserve">le secteur de l'hôtellerie</v>
      </c>
      <c r="J1342" s="10" t="s">
        <v>8800</v>
      </c>
      <c r="K1342" s="10" t="s">
        <v>8123</v>
      </c>
      <c r="L1342" s="8" t="s">
        <v>8801</v>
      </c>
      <c r="M1342" s="8" t="s">
        <v>1938</v>
      </c>
      <c r="N1342" s="8" t="s">
        <v>8125</v>
      </c>
      <c r="O1342" s="8" t="s">
        <v>1938</v>
      </c>
      <c r="P1342" s="8" t="s">
        <v>8126</v>
      </c>
      <c r="Q1342" s="8"/>
      <c r="R1342" s="8"/>
      <c r="S1342" s="8"/>
      <c r="T1342" s="8"/>
      <c r="U1342" s="8"/>
      <c r="V1342" s="8"/>
      <c r="W1342" s="8"/>
      <c r="X1342" s="8"/>
      <c r="Y1342" s="8"/>
    </row>
    <row r="1343" ht="14.25">
      <c r="B1343" s="8" t="s">
        <v>8802</v>
      </c>
      <c r="C1343" s="8" t="s">
        <v>8803</v>
      </c>
      <c r="D1343" s="8" t="s">
        <v>8804</v>
      </c>
      <c r="E1343" s="8" t="s">
        <v>8805</v>
      </c>
      <c r="F1343" s="8" t="s">
        <v>8806</v>
      </c>
      <c r="G1343" s="9">
        <v>86</v>
      </c>
      <c r="H1343" s="8" t="s">
        <v>25</v>
      </c>
      <c r="I1343" s="8" t="str">
        <f>IFERROR(__XLUDF.DUMMYFUNCTION("VLOOKUP(H136,IMPORTRANGE(""https://docs.google.com/spreadsheets/d/1opm6ZNvGZ7KditA9TuJwrZ25eFLfTNIkrNnY6mhV5Eg"",""list!A1:C115""),3,TRUE)"),"le secteur de l'hôtellerie")</f>
        <v xml:space="preserve">le secteur de l'hôtellerie</v>
      </c>
      <c r="J1343" s="10" t="s">
        <v>8807</v>
      </c>
      <c r="K1343" s="10" t="s">
        <v>8808</v>
      </c>
      <c r="L1343" s="8" t="s">
        <v>8133</v>
      </c>
      <c r="M1343" s="8" t="s">
        <v>1938</v>
      </c>
      <c r="N1343" s="8" t="s">
        <v>8809</v>
      </c>
      <c r="O1343" s="8" t="s">
        <v>1938</v>
      </c>
      <c r="P1343" s="8" t="s">
        <v>8810</v>
      </c>
      <c r="Q1343" s="8"/>
      <c r="R1343" s="8"/>
      <c r="S1343" s="8"/>
      <c r="T1343" s="8"/>
      <c r="U1343" s="8"/>
      <c r="V1343" s="8"/>
      <c r="W1343" s="8"/>
      <c r="X1343" s="8"/>
      <c r="Y1343" s="8"/>
    </row>
    <row r="1344" ht="14.25">
      <c r="B1344" s="8" t="s">
        <v>3540</v>
      </c>
      <c r="C1344" s="8" t="s">
        <v>7055</v>
      </c>
      <c r="D1344" s="8" t="s">
        <v>7056</v>
      </c>
      <c r="E1344" s="8" t="s">
        <v>6805</v>
      </c>
      <c r="F1344" s="8" t="s">
        <v>7057</v>
      </c>
      <c r="G1344" s="9">
        <v>190</v>
      </c>
      <c r="H1344" s="8" t="s">
        <v>25</v>
      </c>
      <c r="I1344" s="8" t="str">
        <f>IFERROR(__XLUDF.DUMMYFUNCTION("VLOOKUP(H137,IMPORTRANGE(""https://docs.google.com/spreadsheets/d/1opm6ZNvGZ7KditA9TuJwrZ25eFLfTNIkrNnY6mhV5Eg"",""list!A1:C115""),3,TRUE)"),"le secteur de l'hôtellerie")</f>
        <v xml:space="preserve">le secteur de l'hôtellerie</v>
      </c>
      <c r="J1344" s="10" t="s">
        <v>7058</v>
      </c>
      <c r="K1344" s="10" t="s">
        <v>8292</v>
      </c>
      <c r="L1344" s="8"/>
      <c r="M1344" s="8" t="s">
        <v>29</v>
      </c>
      <c r="N1344" s="8" t="s">
        <v>6520</v>
      </c>
      <c r="O1344" s="8" t="s">
        <v>29</v>
      </c>
      <c r="P1344" s="8" t="s">
        <v>6809</v>
      </c>
      <c r="Q1344" s="8"/>
      <c r="R1344" s="8"/>
      <c r="S1344" s="8"/>
      <c r="T1344" s="8"/>
      <c r="U1344" s="8"/>
      <c r="V1344" s="8"/>
      <c r="W1344" s="8"/>
      <c r="X1344" s="8"/>
      <c r="Y1344" s="8"/>
    </row>
    <row r="1345" ht="14.25">
      <c r="B1345" s="8" t="s">
        <v>8811</v>
      </c>
      <c r="C1345" s="8" t="s">
        <v>8812</v>
      </c>
      <c r="D1345" s="8" t="s">
        <v>8813</v>
      </c>
      <c r="E1345" s="8" t="s">
        <v>8814</v>
      </c>
      <c r="F1345" s="8" t="s">
        <v>8815</v>
      </c>
      <c r="G1345" s="9">
        <v>88</v>
      </c>
      <c r="H1345" s="8" t="s">
        <v>25</v>
      </c>
      <c r="I1345" s="8" t="str">
        <f>IFERROR(__XLUDF.DUMMYFUNCTION("VLOOKUP(H138,IMPORTRANGE(""https://docs.google.com/spreadsheets/d/1opm6ZNvGZ7KditA9TuJwrZ25eFLfTNIkrNnY6mhV5Eg"",""list!A1:C115""),3,TRUE)"),"le secteur de l'hôtellerie")</f>
        <v xml:space="preserve">le secteur de l'hôtellerie</v>
      </c>
      <c r="J1345" s="10" t="s">
        <v>8816</v>
      </c>
      <c r="K1345" s="10" t="s">
        <v>8817</v>
      </c>
      <c r="L1345" s="8" t="s">
        <v>8133</v>
      </c>
      <c r="M1345" s="8" t="s">
        <v>1938</v>
      </c>
      <c r="N1345" s="8" t="s">
        <v>8818</v>
      </c>
      <c r="O1345" s="8" t="s">
        <v>1938</v>
      </c>
      <c r="P1345" s="8"/>
      <c r="Q1345" s="8"/>
      <c r="R1345" s="8"/>
      <c r="S1345" s="8"/>
      <c r="T1345" s="8"/>
      <c r="U1345" s="8"/>
      <c r="V1345" s="8"/>
      <c r="W1345" s="8"/>
      <c r="X1345" s="8"/>
      <c r="Y1345" s="8"/>
    </row>
    <row r="1346" ht="14.25">
      <c r="B1346" s="8" t="s">
        <v>8811</v>
      </c>
      <c r="C1346" s="8" t="s">
        <v>8819</v>
      </c>
      <c r="D1346" s="8" t="s">
        <v>8647</v>
      </c>
      <c r="E1346" s="8" t="s">
        <v>8820</v>
      </c>
      <c r="F1346" s="8" t="s">
        <v>8821</v>
      </c>
      <c r="G1346" s="9">
        <v>110</v>
      </c>
      <c r="H1346" s="8" t="s">
        <v>25</v>
      </c>
      <c r="I1346" s="8" t="str">
        <f>IFERROR(__XLUDF.DUMMYFUNCTION("VLOOKUP(H139,IMPORTRANGE(""https://docs.google.com/spreadsheets/d/1opm6ZNvGZ7KditA9TuJwrZ25eFLfTNIkrNnY6mhV5Eg"",""list!A1:C115""),3,TRUE)"),"le secteur de l'hôtellerie")</f>
        <v xml:space="preserve">le secteur de l'hôtellerie</v>
      </c>
      <c r="J1346" s="10" t="s">
        <v>8822</v>
      </c>
      <c r="K1346" s="10" t="s">
        <v>8823</v>
      </c>
      <c r="L1346" s="8"/>
      <c r="M1346" s="8" t="s">
        <v>1938</v>
      </c>
      <c r="N1346" s="8" t="s">
        <v>8824</v>
      </c>
      <c r="O1346" s="8" t="s">
        <v>1938</v>
      </c>
      <c r="P1346" s="8" t="s">
        <v>8825</v>
      </c>
      <c r="Q1346" s="8"/>
      <c r="R1346" s="8"/>
      <c r="S1346" s="8"/>
      <c r="T1346" s="8"/>
      <c r="U1346" s="8"/>
      <c r="V1346" s="8"/>
      <c r="W1346" s="8"/>
      <c r="X1346" s="8"/>
      <c r="Y1346" s="8"/>
    </row>
    <row r="1347" ht="14.25">
      <c r="B1347" s="8" t="s">
        <v>8826</v>
      </c>
      <c r="C1347" s="8" t="s">
        <v>6728</v>
      </c>
      <c r="D1347" s="8" t="s">
        <v>8827</v>
      </c>
      <c r="E1347" s="10" t="s">
        <v>6729</v>
      </c>
      <c r="F1347" s="8" t="s">
        <v>8828</v>
      </c>
      <c r="G1347" s="9">
        <v>96</v>
      </c>
      <c r="H1347" s="8" t="s">
        <v>25</v>
      </c>
      <c r="I1347" s="8" t="str">
        <f>IFERROR(__XLUDF.DUMMYFUNCTION("VLOOKUP(H140,IMPORTRANGE(""https://docs.google.com/spreadsheets/d/1opm6ZNvGZ7KditA9TuJwrZ25eFLfTNIkrNnY6mhV5Eg"",""list!A1:C115""),3,TRUE)"),"le secteur de l'hôtellerie")</f>
        <v xml:space="preserve">le secteur de l'hôtellerie</v>
      </c>
      <c r="J1347" s="10" t="s">
        <v>8829</v>
      </c>
      <c r="K1347" s="10" t="s">
        <v>8079</v>
      </c>
      <c r="L1347" s="8"/>
      <c r="M1347" s="8" t="s">
        <v>29</v>
      </c>
      <c r="N1347" s="8" t="s">
        <v>6733</v>
      </c>
      <c r="O1347" s="8" t="s">
        <v>29</v>
      </c>
      <c r="P1347" s="8" t="s">
        <v>6734</v>
      </c>
      <c r="Q1347" s="8"/>
      <c r="R1347" s="8"/>
      <c r="S1347" s="8"/>
      <c r="T1347" s="8"/>
      <c r="U1347" s="8"/>
      <c r="V1347" s="8"/>
      <c r="W1347" s="8"/>
      <c r="X1347" s="8"/>
      <c r="Y1347" s="8"/>
    </row>
    <row r="1348" ht="14.25">
      <c r="B1348" s="8" t="s">
        <v>8830</v>
      </c>
      <c r="C1348" s="8" t="s">
        <v>8831</v>
      </c>
      <c r="D1348" s="8" t="s">
        <v>8275</v>
      </c>
      <c r="E1348" s="8" t="s">
        <v>8563</v>
      </c>
      <c r="F1348" s="8" t="s">
        <v>8832</v>
      </c>
      <c r="G1348" s="9">
        <v>170</v>
      </c>
      <c r="H1348" s="8" t="s">
        <v>25</v>
      </c>
      <c r="I1348" s="8" t="str">
        <f>IFERROR(__XLUDF.DUMMYFUNCTION("VLOOKUP(H141,IMPORTRANGE(""https://docs.google.com/spreadsheets/d/1opm6ZNvGZ7KditA9TuJwrZ25eFLfTNIkrNnY6mhV5Eg"",""list!A1:C115""),3,TRUE)"),"le secteur de l'hôtellerie")</f>
        <v xml:space="preserve">le secteur de l'hôtellerie</v>
      </c>
      <c r="J1348" s="10" t="s">
        <v>8833</v>
      </c>
      <c r="K1348" s="10" t="s">
        <v>8566</v>
      </c>
      <c r="L1348" s="8" t="s">
        <v>8834</v>
      </c>
      <c r="M1348" s="8" t="s">
        <v>1938</v>
      </c>
      <c r="N1348" s="8" t="s">
        <v>8568</v>
      </c>
      <c r="O1348" s="8" t="s">
        <v>1938</v>
      </c>
      <c r="P1348" s="8"/>
      <c r="Q1348" s="8"/>
      <c r="R1348" s="8"/>
      <c r="S1348" s="8"/>
      <c r="T1348" s="8"/>
      <c r="U1348" s="8"/>
      <c r="V1348" s="8"/>
      <c r="W1348" s="8"/>
      <c r="X1348" s="8"/>
      <c r="Y1348" s="8"/>
    </row>
    <row r="1349" ht="14.25">
      <c r="B1349" s="8" t="s">
        <v>630</v>
      </c>
      <c r="C1349" s="8" t="s">
        <v>1572</v>
      </c>
      <c r="D1349" s="8" t="s">
        <v>4449</v>
      </c>
      <c r="E1349" s="8" t="s">
        <v>7457</v>
      </c>
      <c r="F1349" s="8" t="s">
        <v>7458</v>
      </c>
      <c r="G1349" s="9">
        <v>140</v>
      </c>
      <c r="H1349" s="8" t="s">
        <v>36</v>
      </c>
      <c r="I1349" s="8" t="str">
        <f>IFERROR(__XLUDF.DUMMYFUNCTION("VLOOKUP(H142,IMPORTRANGE(""https://docs.google.com/spreadsheets/d/1opm6ZNvGZ7KditA9TuJwrZ25eFLfTNIkrNnY6mhV5Eg"",""list!A1:C115""),3,TRUE)"),"le secteur de la restauration")</f>
        <v xml:space="preserve">le secteur de la restauration</v>
      </c>
      <c r="J1349" s="10" t="s">
        <v>7459</v>
      </c>
      <c r="K1349" s="10" t="s">
        <v>8835</v>
      </c>
      <c r="L1349" s="8" t="s">
        <v>492</v>
      </c>
      <c r="M1349" s="8" t="s">
        <v>29</v>
      </c>
      <c r="N1349" s="8" t="s">
        <v>7461</v>
      </c>
      <c r="O1349" s="8" t="s">
        <v>29</v>
      </c>
      <c r="P1349" s="8" t="s">
        <v>7462</v>
      </c>
      <c r="Q1349" s="8"/>
      <c r="R1349" s="8"/>
      <c r="S1349" s="8"/>
      <c r="T1349" s="8"/>
      <c r="U1349" s="8"/>
      <c r="V1349" s="8"/>
      <c r="W1349" s="8"/>
      <c r="X1349" s="8"/>
      <c r="Y1349" s="8"/>
    </row>
    <row r="1350" ht="14.25">
      <c r="B1350" s="8" t="s">
        <v>3834</v>
      </c>
      <c r="C1350" s="8" t="s">
        <v>8836</v>
      </c>
      <c r="D1350" s="8" t="s">
        <v>8837</v>
      </c>
      <c r="E1350" s="8" t="s">
        <v>7494</v>
      </c>
      <c r="F1350" s="8" t="s">
        <v>8838</v>
      </c>
      <c r="G1350" s="9">
        <v>61</v>
      </c>
      <c r="H1350" s="8" t="s">
        <v>36</v>
      </c>
      <c r="I1350" s="8" t="str">
        <f>IFERROR(__XLUDF.DUMMYFUNCTION("VLOOKUP(H143,IMPORTRANGE(""https://docs.google.com/spreadsheets/d/1opm6ZNvGZ7KditA9TuJwrZ25eFLfTNIkrNnY6mhV5Eg"",""list!A1:C115""),3,TRUE)"),"le secteur de la restauration")</f>
        <v xml:space="preserve">le secteur de la restauration</v>
      </c>
      <c r="J1350" s="10" t="s">
        <v>8839</v>
      </c>
      <c r="K1350" s="10" t="s">
        <v>8840</v>
      </c>
      <c r="L1350" s="8" t="s">
        <v>1711</v>
      </c>
      <c r="M1350" s="8" t="s">
        <v>29</v>
      </c>
      <c r="N1350" s="8" t="s">
        <v>67</v>
      </c>
      <c r="O1350" s="8" t="s">
        <v>29</v>
      </c>
      <c r="P1350" s="8" t="s">
        <v>7498</v>
      </c>
      <c r="Q1350" s="8"/>
      <c r="R1350" s="8"/>
      <c r="S1350" s="8"/>
      <c r="T1350" s="8"/>
      <c r="U1350" s="8"/>
      <c r="V1350" s="8"/>
      <c r="W1350" s="8"/>
      <c r="X1350" s="8"/>
      <c r="Y1350" s="8"/>
    </row>
    <row r="1351" ht="14.25">
      <c r="B1351" s="8" t="s">
        <v>8841</v>
      </c>
      <c r="C1351" s="8" t="s">
        <v>8842</v>
      </c>
      <c r="D1351" s="8" t="s">
        <v>247</v>
      </c>
      <c r="E1351" s="8" t="s">
        <v>8843</v>
      </c>
      <c r="F1351" s="8" t="s">
        <v>8844</v>
      </c>
      <c r="G1351" s="9">
        <v>41</v>
      </c>
      <c r="H1351" s="8" t="s">
        <v>36</v>
      </c>
      <c r="I1351" s="8" t="str">
        <f>IFERROR(__XLUDF.DUMMYFUNCTION("VLOOKUP(H144,IMPORTRANGE(""https://docs.google.com/spreadsheets/d/1opm6ZNvGZ7KditA9TuJwrZ25eFLfTNIkrNnY6mhV5Eg"",""list!A1:C115""),3,TRUE)"),"le secteur de la restauration")</f>
        <v xml:space="preserve">le secteur de la restauration</v>
      </c>
      <c r="J1351" s="10" t="s">
        <v>8845</v>
      </c>
      <c r="K1351" s="10" t="s">
        <v>8846</v>
      </c>
      <c r="L1351" s="8"/>
      <c r="M1351" s="8" t="s">
        <v>1938</v>
      </c>
      <c r="N1351" s="8" t="s">
        <v>8847</v>
      </c>
      <c r="O1351" s="8" t="s">
        <v>1261</v>
      </c>
      <c r="P1351" s="8"/>
      <c r="Q1351" s="8"/>
      <c r="R1351" s="8"/>
      <c r="S1351" s="8"/>
      <c r="T1351" s="8"/>
      <c r="U1351" s="8"/>
      <c r="V1351" s="8"/>
      <c r="W1351" s="8"/>
      <c r="X1351" s="8"/>
      <c r="Y1351" s="8"/>
    </row>
    <row r="1352" ht="14.25">
      <c r="B1352" s="8" t="s">
        <v>272</v>
      </c>
      <c r="C1352" s="8" t="s">
        <v>2432</v>
      </c>
      <c r="D1352" s="8" t="s">
        <v>8071</v>
      </c>
      <c r="E1352" s="8" t="s">
        <v>3532</v>
      </c>
      <c r="F1352" s="8" t="s">
        <v>8848</v>
      </c>
      <c r="G1352" s="9">
        <v>36</v>
      </c>
      <c r="H1352" s="8" t="s">
        <v>36</v>
      </c>
      <c r="I1352" s="8" t="str">
        <f>IFERROR(__XLUDF.DUMMYFUNCTION("VLOOKUP(H145,IMPORTRANGE(""https://docs.google.com/spreadsheets/d/1opm6ZNvGZ7KditA9TuJwrZ25eFLfTNIkrNnY6mhV5Eg"",""list!A1:C115""),3,TRUE)"),"le secteur de la restauration")</f>
        <v xml:space="preserve">le secteur de la restauration</v>
      </c>
      <c r="J1352" s="10" t="s">
        <v>8849</v>
      </c>
      <c r="K1352" s="10" t="s">
        <v>3535</v>
      </c>
      <c r="L1352" s="8" t="s">
        <v>39</v>
      </c>
      <c r="M1352" s="8" t="s">
        <v>29</v>
      </c>
      <c r="N1352" s="8" t="s">
        <v>67</v>
      </c>
      <c r="O1352" s="8" t="s">
        <v>29</v>
      </c>
      <c r="P1352" s="8" t="s">
        <v>3536</v>
      </c>
      <c r="Q1352" s="8"/>
      <c r="R1352" s="8"/>
      <c r="S1352" s="8"/>
      <c r="T1352" s="8"/>
      <c r="U1352" s="8"/>
      <c r="V1352" s="8"/>
      <c r="W1352" s="8"/>
      <c r="X1352" s="8"/>
      <c r="Y1352" s="8"/>
    </row>
    <row r="1353" ht="14.25">
      <c r="B1353" s="8" t="s">
        <v>5679</v>
      </c>
      <c r="C1353" s="8" t="s">
        <v>7518</v>
      </c>
      <c r="D1353" s="8" t="s">
        <v>7519</v>
      </c>
      <c r="E1353" s="8" t="s">
        <v>7520</v>
      </c>
      <c r="F1353" s="8" t="s">
        <v>7521</v>
      </c>
      <c r="G1353" s="9">
        <v>200</v>
      </c>
      <c r="H1353" s="8" t="s">
        <v>36</v>
      </c>
      <c r="I1353" s="8" t="str">
        <f>IFERROR(__XLUDF.DUMMYFUNCTION("VLOOKUP(H146,IMPORTRANGE(""https://docs.google.com/spreadsheets/d/1opm6ZNvGZ7KditA9TuJwrZ25eFLfTNIkrNnY6mhV5Eg"",""list!A1:C115""),3,TRUE)"),"le secteur de la restauration")</f>
        <v xml:space="preserve">le secteur de la restauration</v>
      </c>
      <c r="J1353" s="10" t="s">
        <v>7522</v>
      </c>
      <c r="K1353" s="10" t="s">
        <v>8850</v>
      </c>
      <c r="L1353" s="8" t="s">
        <v>39</v>
      </c>
      <c r="M1353" s="8" t="s">
        <v>29</v>
      </c>
      <c r="N1353" s="8" t="s">
        <v>7524</v>
      </c>
      <c r="O1353" s="8" t="s">
        <v>29</v>
      </c>
      <c r="P1353" s="8"/>
      <c r="Q1353" s="8"/>
      <c r="R1353" s="8"/>
      <c r="S1353" s="8"/>
      <c r="T1353" s="8"/>
      <c r="U1353" s="8"/>
      <c r="V1353" s="8"/>
      <c r="W1353" s="8"/>
      <c r="X1353" s="8"/>
      <c r="Y1353" s="8"/>
    </row>
    <row r="1354" ht="14.25">
      <c r="B1354" s="8" t="s">
        <v>8851</v>
      </c>
      <c r="C1354" s="8" t="s">
        <v>8852</v>
      </c>
      <c r="D1354" s="8" t="s">
        <v>8853</v>
      </c>
      <c r="E1354" s="8" t="s">
        <v>8854</v>
      </c>
      <c r="F1354" s="8" t="s">
        <v>8855</v>
      </c>
      <c r="G1354" s="9">
        <v>72</v>
      </c>
      <c r="H1354" s="8" t="s">
        <v>36</v>
      </c>
      <c r="I1354" s="8" t="str">
        <f>IFERROR(__XLUDF.DUMMYFUNCTION("VLOOKUP(H147,IMPORTRANGE(""https://docs.google.com/spreadsheets/d/1opm6ZNvGZ7KditA9TuJwrZ25eFLfTNIkrNnY6mhV5Eg"",""list!A1:C115""),3,TRUE)"),"le secteur de la restauration")</f>
        <v xml:space="preserve">le secteur de la restauration</v>
      </c>
      <c r="J1354" s="10" t="s">
        <v>8856</v>
      </c>
      <c r="K1354" s="10" t="s">
        <v>8857</v>
      </c>
      <c r="L1354" s="8"/>
      <c r="M1354" s="8" t="s">
        <v>1938</v>
      </c>
      <c r="N1354" s="8" t="s">
        <v>8453</v>
      </c>
      <c r="O1354" s="8" t="s">
        <v>1938</v>
      </c>
      <c r="P1354" s="8" t="s">
        <v>8858</v>
      </c>
      <c r="Q1354" s="8"/>
      <c r="R1354" s="8"/>
      <c r="S1354" s="8"/>
      <c r="T1354" s="8"/>
      <c r="U1354" s="8"/>
      <c r="V1354" s="8"/>
      <c r="W1354" s="8"/>
      <c r="X1354" s="8"/>
      <c r="Y1354" s="8"/>
    </row>
    <row r="1355" ht="14.25">
      <c r="B1355" s="8" t="s">
        <v>5523</v>
      </c>
      <c r="C1355" s="8" t="s">
        <v>8859</v>
      </c>
      <c r="D1355" s="8" t="s">
        <v>8860</v>
      </c>
      <c r="E1355" s="8" t="s">
        <v>8861</v>
      </c>
      <c r="F1355" s="8" t="s">
        <v>8862</v>
      </c>
      <c r="G1355" s="9">
        <v>100</v>
      </c>
      <c r="H1355" s="8" t="s">
        <v>36</v>
      </c>
      <c r="I1355" s="8" t="str">
        <f>IFERROR(__XLUDF.DUMMYFUNCTION("VLOOKUP(H148,IMPORTRANGE(""https://docs.google.com/spreadsheets/d/1opm6ZNvGZ7KditA9TuJwrZ25eFLfTNIkrNnY6mhV5Eg"",""list!A1:C115""),3,TRUE)"),"le secteur de la restauration")</f>
        <v xml:space="preserve">le secteur de la restauration</v>
      </c>
      <c r="J1355" s="10" t="s">
        <v>8863</v>
      </c>
      <c r="K1355" s="10" t="s">
        <v>8864</v>
      </c>
      <c r="L1355" s="8" t="s">
        <v>39</v>
      </c>
      <c r="M1355" s="8" t="s">
        <v>29</v>
      </c>
      <c r="N1355" s="8" t="s">
        <v>8865</v>
      </c>
      <c r="O1355" s="8" t="s">
        <v>29</v>
      </c>
      <c r="P1355" s="8" t="s">
        <v>8866</v>
      </c>
      <c r="Q1355" s="8"/>
      <c r="R1355" s="8"/>
      <c r="S1355" s="8"/>
      <c r="T1355" s="8"/>
      <c r="U1355" s="8"/>
      <c r="V1355" s="8"/>
      <c r="W1355" s="8"/>
      <c r="X1355" s="8"/>
      <c r="Y1355" s="8"/>
    </row>
    <row r="1356" ht="14.25">
      <c r="B1356" s="8" t="s">
        <v>1153</v>
      </c>
      <c r="C1356" s="8" t="s">
        <v>8867</v>
      </c>
      <c r="D1356" s="8" t="s">
        <v>315</v>
      </c>
      <c r="E1356" s="8" t="s">
        <v>8868</v>
      </c>
      <c r="F1356" s="8" t="s">
        <v>8869</v>
      </c>
      <c r="G1356" s="9">
        <v>99</v>
      </c>
      <c r="H1356" s="8" t="s">
        <v>36</v>
      </c>
      <c r="I1356" s="8" t="str">
        <f>IFERROR(__XLUDF.DUMMYFUNCTION("VLOOKUP(H149,IMPORTRANGE(""https://docs.google.com/spreadsheets/d/1opm6ZNvGZ7KditA9TuJwrZ25eFLfTNIkrNnY6mhV5Eg"",""list!A1:C115""),3,TRUE)"),"le secteur de la restauration")</f>
        <v xml:space="preserve">le secteur de la restauration</v>
      </c>
      <c r="J1356" s="10" t="s">
        <v>8870</v>
      </c>
      <c r="K1356" s="10" t="s">
        <v>8871</v>
      </c>
      <c r="L1356" s="8" t="s">
        <v>39</v>
      </c>
      <c r="M1356" s="8" t="s">
        <v>29</v>
      </c>
      <c r="N1356" s="8" t="s">
        <v>8872</v>
      </c>
      <c r="O1356" s="8" t="s">
        <v>29</v>
      </c>
      <c r="P1356" s="8" t="s">
        <v>8873</v>
      </c>
      <c r="Q1356" s="8"/>
      <c r="R1356" s="8"/>
      <c r="S1356" s="8"/>
      <c r="T1356" s="8"/>
      <c r="U1356" s="8"/>
      <c r="V1356" s="8"/>
      <c r="W1356" s="8"/>
      <c r="X1356" s="8"/>
      <c r="Y1356" s="8"/>
    </row>
    <row r="1357" ht="14.25">
      <c r="B1357" s="8" t="s">
        <v>206</v>
      </c>
      <c r="C1357" s="8" t="s">
        <v>7787</v>
      </c>
      <c r="D1357" s="8" t="s">
        <v>247</v>
      </c>
      <c r="E1357" s="8" t="s">
        <v>7595</v>
      </c>
      <c r="F1357" s="8" t="s">
        <v>7788</v>
      </c>
      <c r="G1357" s="9">
        <v>210</v>
      </c>
      <c r="H1357" s="8" t="s">
        <v>36</v>
      </c>
      <c r="I1357" s="8" t="str">
        <f>IFERROR(__XLUDF.DUMMYFUNCTION("VLOOKUP(H150,IMPORTRANGE(""https://docs.google.com/spreadsheets/d/1opm6ZNvGZ7KditA9TuJwrZ25eFLfTNIkrNnY6mhV5Eg"",""list!A1:C115""),3,TRUE)"),"le secteur de la restauration")</f>
        <v xml:space="preserve">le secteur de la restauration</v>
      </c>
      <c r="J1357" s="10" t="s">
        <v>7789</v>
      </c>
      <c r="K1357" s="10" t="s">
        <v>8874</v>
      </c>
      <c r="L1357" s="8" t="s">
        <v>39</v>
      </c>
      <c r="M1357" s="8" t="s">
        <v>29</v>
      </c>
      <c r="N1357" s="8" t="s">
        <v>7599</v>
      </c>
      <c r="O1357" s="8" t="s">
        <v>29</v>
      </c>
      <c r="P1357" s="8" t="s">
        <v>7600</v>
      </c>
      <c r="Q1357" s="8"/>
      <c r="R1357" s="8"/>
      <c r="S1357" s="8"/>
      <c r="T1357" s="8"/>
      <c r="U1357" s="8"/>
      <c r="V1357" s="8"/>
      <c r="W1357" s="8"/>
      <c r="X1357" s="8"/>
      <c r="Y1357" s="8"/>
    </row>
    <row r="1358" ht="14.25">
      <c r="B1358" s="8" t="s">
        <v>330</v>
      </c>
      <c r="C1358" s="8" t="s">
        <v>7838</v>
      </c>
      <c r="D1358" s="8" t="s">
        <v>87</v>
      </c>
      <c r="E1358" s="8" t="s">
        <v>7839</v>
      </c>
      <c r="F1358" s="8" t="s">
        <v>7840</v>
      </c>
      <c r="G1358" s="9">
        <v>140</v>
      </c>
      <c r="H1358" s="8" t="s">
        <v>36</v>
      </c>
      <c r="I1358" s="8" t="str">
        <f>IFERROR(__XLUDF.DUMMYFUNCTION("VLOOKUP(H151,IMPORTRANGE(""https://docs.google.com/spreadsheets/d/1opm6ZNvGZ7KditA9TuJwrZ25eFLfTNIkrNnY6mhV5Eg"",""list!A1:C115""),3,TRUE)"),"le secteur de la restauration")</f>
        <v xml:space="preserve">le secteur de la restauration</v>
      </c>
      <c r="J1358" s="10" t="s">
        <v>7841</v>
      </c>
      <c r="K1358" s="10" t="s">
        <v>8875</v>
      </c>
      <c r="L1358" s="8"/>
      <c r="M1358" s="8" t="s">
        <v>29</v>
      </c>
      <c r="N1358" s="8"/>
      <c r="O1358" s="8"/>
      <c r="P1358" s="8"/>
      <c r="Q1358" s="8"/>
      <c r="R1358" s="8"/>
      <c r="S1358" s="8"/>
      <c r="T1358" s="8"/>
      <c r="U1358" s="8"/>
      <c r="V1358" s="8"/>
      <c r="W1358" s="8"/>
      <c r="X1358" s="8"/>
      <c r="Y1358" s="8"/>
    </row>
    <row r="1359" ht="14.25">
      <c r="B1359" s="8" t="s">
        <v>7843</v>
      </c>
      <c r="C1359" s="8" t="s">
        <v>7844</v>
      </c>
      <c r="D1359" s="8" t="s">
        <v>265</v>
      </c>
      <c r="E1359" s="8" t="s">
        <v>7587</v>
      </c>
      <c r="F1359" s="8" t="s">
        <v>7845</v>
      </c>
      <c r="G1359" s="9">
        <v>180</v>
      </c>
      <c r="H1359" s="8" t="s">
        <v>36</v>
      </c>
      <c r="I1359" s="8" t="str">
        <f>IFERROR(__XLUDF.DUMMYFUNCTION("VLOOKUP(H152,IMPORTRANGE(""https://docs.google.com/spreadsheets/d/1opm6ZNvGZ7KditA9TuJwrZ25eFLfTNIkrNnY6mhV5Eg"",""list!A1:C115""),3,TRUE)"),"le secteur de la restauration")</f>
        <v xml:space="preserve">le secteur de la restauration</v>
      </c>
      <c r="J1359" s="10" t="s">
        <v>7846</v>
      </c>
      <c r="K1359" s="10" t="s">
        <v>8876</v>
      </c>
      <c r="L1359" s="8" t="s">
        <v>39</v>
      </c>
      <c r="M1359" s="8" t="s">
        <v>29</v>
      </c>
      <c r="N1359" s="8" t="s">
        <v>7591</v>
      </c>
      <c r="O1359" s="8" t="s">
        <v>29</v>
      </c>
      <c r="P1359" s="8" t="s">
        <v>7592</v>
      </c>
      <c r="Q1359" s="8"/>
      <c r="R1359" s="8"/>
      <c r="S1359" s="8"/>
      <c r="T1359" s="8"/>
      <c r="U1359" s="8"/>
      <c r="V1359" s="8"/>
      <c r="W1359" s="8"/>
      <c r="X1359" s="8"/>
      <c r="Y1359" s="8"/>
    </row>
    <row r="1360" ht="14.25">
      <c r="B1360" s="8" t="s">
        <v>1070</v>
      </c>
      <c r="C1360" s="8" t="s">
        <v>8877</v>
      </c>
      <c r="D1360" s="8" t="s">
        <v>8878</v>
      </c>
      <c r="E1360" s="8" t="s">
        <v>8879</v>
      </c>
      <c r="F1360" s="8" t="s">
        <v>8880</v>
      </c>
      <c r="G1360" s="9">
        <v>110</v>
      </c>
      <c r="H1360" s="8" t="s">
        <v>36</v>
      </c>
      <c r="I1360" s="8" t="str">
        <f>IFERROR(__XLUDF.DUMMYFUNCTION("VLOOKUP(H153,IMPORTRANGE(""https://docs.google.com/spreadsheets/d/1opm6ZNvGZ7KditA9TuJwrZ25eFLfTNIkrNnY6mhV5Eg"",""list!A1:C115""),3,TRUE)"),"le secteur de la restauration")</f>
        <v xml:space="preserve">le secteur de la restauration</v>
      </c>
      <c r="J1360" s="10" t="s">
        <v>8881</v>
      </c>
      <c r="K1360" s="10" t="s">
        <v>8882</v>
      </c>
      <c r="L1360" s="8" t="s">
        <v>39</v>
      </c>
      <c r="M1360" s="8" t="s">
        <v>29</v>
      </c>
      <c r="N1360" s="8" t="s">
        <v>8883</v>
      </c>
      <c r="O1360" s="8" t="s">
        <v>29</v>
      </c>
      <c r="P1360" s="8" t="s">
        <v>8884</v>
      </c>
      <c r="Q1360" s="8"/>
      <c r="R1360" s="8"/>
      <c r="S1360" s="8"/>
      <c r="T1360" s="8"/>
      <c r="U1360" s="8"/>
      <c r="V1360" s="8"/>
      <c r="W1360" s="8"/>
      <c r="X1360" s="8"/>
      <c r="Y1360" s="8"/>
    </row>
    <row r="1361" ht="14.25">
      <c r="B1361" s="8" t="s">
        <v>8885</v>
      </c>
      <c r="C1361" s="8" t="s">
        <v>8886</v>
      </c>
      <c r="D1361" s="8" t="s">
        <v>8887</v>
      </c>
      <c r="E1361" s="8" t="s">
        <v>8888</v>
      </c>
      <c r="F1361" s="8" t="s">
        <v>8889</v>
      </c>
      <c r="G1361" s="9">
        <v>170</v>
      </c>
      <c r="H1361" s="8" t="s">
        <v>36</v>
      </c>
      <c r="I1361" s="8" t="str">
        <f>IFERROR(__XLUDF.DUMMYFUNCTION("VLOOKUP(H154,IMPORTRANGE(""https://docs.google.com/spreadsheets/d/1opm6ZNvGZ7KditA9TuJwrZ25eFLfTNIkrNnY6mhV5Eg"",""list!A1:C115""),3,TRUE)"),"le secteur de la restauration")</f>
        <v xml:space="preserve">le secteur de la restauration</v>
      </c>
      <c r="J1361" s="10" t="s">
        <v>8890</v>
      </c>
      <c r="K1361" s="10" t="s">
        <v>8891</v>
      </c>
      <c r="L1361" s="8" t="s">
        <v>8114</v>
      </c>
      <c r="M1361" s="8" t="s">
        <v>1938</v>
      </c>
      <c r="N1361" s="8" t="s">
        <v>8892</v>
      </c>
      <c r="O1361" s="8" t="s">
        <v>1938</v>
      </c>
      <c r="P1361" s="8" t="s">
        <v>8893</v>
      </c>
      <c r="Q1361" s="8"/>
      <c r="R1361" s="8"/>
      <c r="S1361" s="8"/>
      <c r="T1361" s="8"/>
      <c r="U1361" s="8"/>
      <c r="V1361" s="8"/>
      <c r="W1361" s="8"/>
      <c r="X1361" s="8"/>
      <c r="Y1361" s="8"/>
    </row>
    <row r="1362" ht="14.25">
      <c r="B1362" s="8" t="s">
        <v>402</v>
      </c>
      <c r="C1362" s="8" t="s">
        <v>8894</v>
      </c>
      <c r="D1362" s="8" t="s">
        <v>8315</v>
      </c>
      <c r="E1362" s="8" t="s">
        <v>1975</v>
      </c>
      <c r="F1362" s="8" t="s">
        <v>8895</v>
      </c>
      <c r="G1362" s="9">
        <v>19</v>
      </c>
      <c r="H1362" s="8" t="s">
        <v>36</v>
      </c>
      <c r="I1362" s="8" t="str">
        <f>IFERROR(__XLUDF.DUMMYFUNCTION("VLOOKUP(H155,IMPORTRANGE(""https://docs.google.com/spreadsheets/d/1opm6ZNvGZ7KditA9TuJwrZ25eFLfTNIkrNnY6mhV5Eg"",""list!A1:C115""),3,TRUE)"),"le secteur de la restauration")</f>
        <v xml:space="preserve">le secteur de la restauration</v>
      </c>
      <c r="J1362" s="10" t="s">
        <v>8896</v>
      </c>
      <c r="K1362" s="10" t="s">
        <v>1978</v>
      </c>
      <c r="L1362" s="8" t="s">
        <v>310</v>
      </c>
      <c r="M1362" s="8" t="s">
        <v>29</v>
      </c>
      <c r="N1362" s="8" t="s">
        <v>1979</v>
      </c>
      <c r="O1362" s="8" t="s">
        <v>29</v>
      </c>
      <c r="P1362" s="8" t="s">
        <v>1980</v>
      </c>
      <c r="Q1362" s="8"/>
      <c r="R1362" s="8"/>
      <c r="S1362" s="8"/>
      <c r="T1362" s="8"/>
      <c r="U1362" s="8"/>
      <c r="V1362" s="8"/>
      <c r="W1362" s="8"/>
      <c r="X1362" s="8"/>
      <c r="Y1362" s="8"/>
    </row>
    <row r="1363" ht="14.25">
      <c r="B1363" s="8" t="s">
        <v>785</v>
      </c>
      <c r="C1363" s="8" t="s">
        <v>7725</v>
      </c>
      <c r="D1363" s="8" t="s">
        <v>7726</v>
      </c>
      <c r="E1363" s="8" t="s">
        <v>7727</v>
      </c>
      <c r="F1363" s="8" t="s">
        <v>7728</v>
      </c>
      <c r="G1363" s="9">
        <v>220</v>
      </c>
      <c r="H1363" s="8" t="s">
        <v>36</v>
      </c>
      <c r="I1363" s="8" t="str">
        <f>IFERROR(__XLUDF.DUMMYFUNCTION("VLOOKUP(H156,IMPORTRANGE(""https://docs.google.com/spreadsheets/d/1opm6ZNvGZ7KditA9TuJwrZ25eFLfTNIkrNnY6mhV5Eg"",""list!A1:C115""),3,TRUE)"),"le secteur de la restauration")</f>
        <v xml:space="preserve">le secteur de la restauration</v>
      </c>
      <c r="J1363" s="10" t="s">
        <v>7729</v>
      </c>
      <c r="K1363" s="10" t="s">
        <v>8897</v>
      </c>
      <c r="L1363" s="8"/>
      <c r="M1363" s="8" t="s">
        <v>29</v>
      </c>
      <c r="N1363" s="8" t="s">
        <v>7599</v>
      </c>
      <c r="O1363" s="8" t="s">
        <v>29</v>
      </c>
      <c r="P1363" s="8" t="s">
        <v>7731</v>
      </c>
      <c r="Q1363" s="8"/>
      <c r="R1363" s="8"/>
      <c r="S1363" s="8"/>
      <c r="T1363" s="8"/>
      <c r="U1363" s="8"/>
      <c r="V1363" s="8"/>
      <c r="W1363" s="8"/>
      <c r="X1363" s="8"/>
      <c r="Y1363" s="8"/>
    </row>
    <row r="1364" ht="14.25">
      <c r="B1364" s="8" t="s">
        <v>963</v>
      </c>
      <c r="C1364" s="8" t="s">
        <v>8898</v>
      </c>
      <c r="D1364" s="8" t="s">
        <v>8647</v>
      </c>
      <c r="E1364" s="8" t="s">
        <v>8899</v>
      </c>
      <c r="F1364" s="8" t="s">
        <v>8900</v>
      </c>
      <c r="G1364" s="9">
        <v>62</v>
      </c>
      <c r="H1364" s="8" t="s">
        <v>36</v>
      </c>
      <c r="I1364" s="8" t="str">
        <f>IFERROR(__XLUDF.DUMMYFUNCTION("VLOOKUP(H157,IMPORTRANGE(""https://docs.google.com/spreadsheets/d/1opm6ZNvGZ7KditA9TuJwrZ25eFLfTNIkrNnY6mhV5Eg"",""list!A1:C115""),3,TRUE)"),"le secteur de la restauration")</f>
        <v xml:space="preserve">le secteur de la restauration</v>
      </c>
      <c r="J1364" s="10" t="s">
        <v>8901</v>
      </c>
      <c r="K1364" s="10" t="s">
        <v>8902</v>
      </c>
      <c r="L1364" s="8" t="s">
        <v>8086</v>
      </c>
      <c r="M1364" s="8" t="s">
        <v>1938</v>
      </c>
      <c r="N1364" s="8" t="s">
        <v>8903</v>
      </c>
      <c r="O1364" s="8" t="s">
        <v>1938</v>
      </c>
      <c r="P1364" s="8"/>
      <c r="Q1364" s="8"/>
      <c r="R1364" s="8"/>
      <c r="S1364" s="8"/>
      <c r="T1364" s="8"/>
      <c r="U1364" s="8"/>
      <c r="V1364" s="8"/>
      <c r="W1364" s="8"/>
      <c r="X1364" s="8"/>
      <c r="Y1364" s="8"/>
    </row>
    <row r="1365" ht="14.25">
      <c r="B1365" s="8" t="s">
        <v>355</v>
      </c>
      <c r="C1365" s="8" t="s">
        <v>8904</v>
      </c>
      <c r="D1365" s="8" t="s">
        <v>8408</v>
      </c>
      <c r="E1365" s="8" t="s">
        <v>896</v>
      </c>
      <c r="F1365" s="8" t="s">
        <v>8905</v>
      </c>
      <c r="G1365" s="9">
        <v>64</v>
      </c>
      <c r="H1365" s="8" t="s">
        <v>36</v>
      </c>
      <c r="I1365" s="8" t="str">
        <f>IFERROR(__XLUDF.DUMMYFUNCTION("VLOOKUP(H158,IMPORTRANGE(""https://docs.google.com/spreadsheets/d/1opm6ZNvGZ7KditA9TuJwrZ25eFLfTNIkrNnY6mhV5Eg"",""list!A1:C115""),3,TRUE)"),"le secteur de la restauration")</f>
        <v xml:space="preserve">le secteur de la restauration</v>
      </c>
      <c r="J1365" s="10" t="s">
        <v>8906</v>
      </c>
      <c r="K1365" s="10" t="s">
        <v>899</v>
      </c>
      <c r="L1365" s="8" t="s">
        <v>243</v>
      </c>
      <c r="M1365" s="8" t="s">
        <v>29</v>
      </c>
      <c r="N1365" s="8" t="s">
        <v>416</v>
      </c>
      <c r="O1365" s="8" t="s">
        <v>29</v>
      </c>
      <c r="P1365" s="8" t="s">
        <v>900</v>
      </c>
      <c r="Q1365" s="8"/>
      <c r="R1365" s="8"/>
      <c r="S1365" s="8"/>
      <c r="T1365" s="8"/>
      <c r="U1365" s="8"/>
      <c r="V1365" s="8"/>
      <c r="W1365" s="8"/>
      <c r="X1365" s="8"/>
      <c r="Y1365" s="8"/>
    </row>
    <row r="1366" ht="14.25">
      <c r="B1366" s="8" t="s">
        <v>8907</v>
      </c>
      <c r="C1366" s="8" t="s">
        <v>1782</v>
      </c>
      <c r="D1366" s="8" t="s">
        <v>247</v>
      </c>
      <c r="E1366" s="8" t="s">
        <v>8908</v>
      </c>
      <c r="F1366" s="8" t="s">
        <v>8909</v>
      </c>
      <c r="G1366" s="9">
        <v>6</v>
      </c>
      <c r="H1366" s="8" t="s">
        <v>36</v>
      </c>
      <c r="I1366" s="8" t="str">
        <f>IFERROR(__XLUDF.DUMMYFUNCTION("VLOOKUP(H159,IMPORTRANGE(""https://docs.google.com/spreadsheets/d/1opm6ZNvGZ7KditA9TuJwrZ25eFLfTNIkrNnY6mhV5Eg"",""list!A1:C115""),3,TRUE)"),"le secteur de la restauration")</f>
        <v xml:space="preserve">le secteur de la restauration</v>
      </c>
      <c r="J1366" s="10" t="s">
        <v>8910</v>
      </c>
      <c r="K1366" s="10" t="s">
        <v>8911</v>
      </c>
      <c r="L1366" s="8" t="s">
        <v>8086</v>
      </c>
      <c r="M1366" s="8" t="s">
        <v>1938</v>
      </c>
      <c r="N1366" s="8" t="s">
        <v>8912</v>
      </c>
      <c r="O1366" s="8" t="s">
        <v>1938</v>
      </c>
      <c r="P1366" s="8" t="s">
        <v>8913</v>
      </c>
      <c r="Q1366" s="8"/>
      <c r="R1366" s="8"/>
      <c r="S1366" s="8"/>
      <c r="T1366" s="8"/>
      <c r="U1366" s="8"/>
      <c r="V1366" s="8"/>
      <c r="W1366" s="8"/>
      <c r="X1366" s="8"/>
      <c r="Y1366" s="8"/>
    </row>
    <row r="1367" ht="14.25">
      <c r="B1367" s="8" t="s">
        <v>8914</v>
      </c>
      <c r="C1367" s="8" t="s">
        <v>8915</v>
      </c>
      <c r="D1367" s="8" t="s">
        <v>8916</v>
      </c>
      <c r="E1367" s="8" t="s">
        <v>8917</v>
      </c>
      <c r="F1367" s="8" t="s">
        <v>8918</v>
      </c>
      <c r="G1367" s="9">
        <v>51</v>
      </c>
      <c r="H1367" s="8" t="s">
        <v>36</v>
      </c>
      <c r="I1367" s="8" t="str">
        <f>IFERROR(__XLUDF.DUMMYFUNCTION("VLOOKUP(H160,IMPORTRANGE(""https://docs.google.com/spreadsheets/d/1opm6ZNvGZ7KditA9TuJwrZ25eFLfTNIkrNnY6mhV5Eg"",""list!A1:C115""),3,TRUE)"),"le secteur de la restauration")</f>
        <v xml:space="preserve">le secteur de la restauration</v>
      </c>
      <c r="J1367" s="10" t="s">
        <v>8919</v>
      </c>
      <c r="K1367" s="10" t="s">
        <v>8920</v>
      </c>
      <c r="L1367" s="8"/>
      <c r="M1367" s="8" t="s">
        <v>29</v>
      </c>
      <c r="N1367" s="8" t="s">
        <v>67</v>
      </c>
      <c r="O1367" s="8" t="s">
        <v>29</v>
      </c>
      <c r="P1367" s="8"/>
      <c r="Q1367" s="8"/>
      <c r="R1367" s="8"/>
      <c r="S1367" s="8"/>
      <c r="T1367" s="8"/>
      <c r="U1367" s="8"/>
      <c r="V1367" s="8"/>
      <c r="W1367" s="8"/>
      <c r="X1367" s="8"/>
      <c r="Y1367" s="8"/>
    </row>
    <row r="1368" ht="14.25">
      <c r="B1368" s="8" t="s">
        <v>7303</v>
      </c>
      <c r="C1368" s="8" t="s">
        <v>8921</v>
      </c>
      <c r="D1368" s="8" t="s">
        <v>8109</v>
      </c>
      <c r="E1368" s="8" t="s">
        <v>7630</v>
      </c>
      <c r="F1368" s="8" t="s">
        <v>8922</v>
      </c>
      <c r="G1368" s="9">
        <v>83</v>
      </c>
      <c r="H1368" s="8" t="s">
        <v>36</v>
      </c>
      <c r="I1368" s="8" t="str">
        <f>IFERROR(__XLUDF.DUMMYFUNCTION("VLOOKUP(H161,IMPORTRANGE(""https://docs.google.com/spreadsheets/d/1opm6ZNvGZ7KditA9TuJwrZ25eFLfTNIkrNnY6mhV5Eg"",""list!A1:C115""),3,TRUE)"),"le secteur de la restauration")</f>
        <v xml:space="preserve">le secteur de la restauration</v>
      </c>
      <c r="J1368" s="10" t="s">
        <v>8923</v>
      </c>
      <c r="K1368" s="10" t="s">
        <v>8924</v>
      </c>
      <c r="L1368" s="8" t="s">
        <v>39</v>
      </c>
      <c r="M1368" s="8" t="s">
        <v>29</v>
      </c>
      <c r="N1368" s="8" t="s">
        <v>67</v>
      </c>
      <c r="O1368" s="8" t="s">
        <v>29</v>
      </c>
      <c r="P1368" s="8" t="s">
        <v>7634</v>
      </c>
      <c r="Q1368" s="8"/>
      <c r="R1368" s="8"/>
      <c r="S1368" s="8"/>
      <c r="T1368" s="8"/>
      <c r="U1368" s="8"/>
      <c r="V1368" s="8"/>
      <c r="W1368" s="8"/>
      <c r="X1368" s="8"/>
      <c r="Y1368" s="8"/>
    </row>
    <row r="1369" ht="14.25">
      <c r="B1369" s="8" t="s">
        <v>1732</v>
      </c>
      <c r="C1369" s="8" t="s">
        <v>539</v>
      </c>
      <c r="D1369" s="8" t="s">
        <v>8101</v>
      </c>
      <c r="E1369" s="8" t="s">
        <v>8925</v>
      </c>
      <c r="F1369" s="8" t="s">
        <v>8926</v>
      </c>
      <c r="G1369" s="9">
        <v>98</v>
      </c>
      <c r="H1369" s="8" t="s">
        <v>36</v>
      </c>
      <c r="I1369" s="8" t="str">
        <f>IFERROR(__XLUDF.DUMMYFUNCTION("VLOOKUP(H162,IMPORTRANGE(""https://docs.google.com/spreadsheets/d/1opm6ZNvGZ7KditA9TuJwrZ25eFLfTNIkrNnY6mhV5Eg"",""list!A1:C115""),3,TRUE)"),"le secteur de la restauration")</f>
        <v xml:space="preserve">le secteur de la restauration</v>
      </c>
      <c r="J1369" s="10" t="s">
        <v>8927</v>
      </c>
      <c r="K1369" s="10" t="s">
        <v>8928</v>
      </c>
      <c r="L1369" s="8" t="s">
        <v>39</v>
      </c>
      <c r="M1369" s="8" t="s">
        <v>29</v>
      </c>
      <c r="N1369" s="8" t="s">
        <v>8929</v>
      </c>
      <c r="O1369" s="8" t="s">
        <v>29</v>
      </c>
      <c r="P1369" s="8" t="s">
        <v>8930</v>
      </c>
      <c r="Q1369" s="8"/>
      <c r="R1369" s="8"/>
      <c r="S1369" s="8"/>
      <c r="T1369" s="8"/>
      <c r="U1369" s="8"/>
      <c r="V1369" s="8"/>
      <c r="W1369" s="8"/>
      <c r="X1369" s="8"/>
      <c r="Y1369" s="8"/>
    </row>
    <row r="1370" ht="14.25">
      <c r="B1370" s="8" t="s">
        <v>8931</v>
      </c>
      <c r="C1370" s="8" t="s">
        <v>8932</v>
      </c>
      <c r="D1370" s="8" t="s">
        <v>8933</v>
      </c>
      <c r="E1370" s="8" t="s">
        <v>5246</v>
      </c>
      <c r="F1370" s="8" t="s">
        <v>8934</v>
      </c>
      <c r="G1370" s="9">
        <v>93</v>
      </c>
      <c r="H1370" s="8" t="s">
        <v>36</v>
      </c>
      <c r="I1370" s="8" t="str">
        <f>IFERROR(__XLUDF.DUMMYFUNCTION("VLOOKUP(H163,IMPORTRANGE(""https://docs.google.com/spreadsheets/d/1opm6ZNvGZ7KditA9TuJwrZ25eFLfTNIkrNnY6mhV5Eg"",""list!A1:C115""),3,TRUE)"),"le secteur de la restauration")</f>
        <v xml:space="preserve">le secteur de la restauration</v>
      </c>
      <c r="J1370" s="10" t="s">
        <v>8935</v>
      </c>
      <c r="K1370" s="10" t="s">
        <v>5249</v>
      </c>
      <c r="L1370" s="8" t="s">
        <v>39</v>
      </c>
      <c r="M1370" s="8" t="s">
        <v>29</v>
      </c>
      <c r="N1370" s="8" t="s">
        <v>5250</v>
      </c>
      <c r="O1370" s="8" t="s">
        <v>29</v>
      </c>
      <c r="P1370" s="8" t="s">
        <v>5251</v>
      </c>
      <c r="Q1370" s="8"/>
      <c r="R1370" s="8"/>
      <c r="S1370" s="8"/>
      <c r="T1370" s="8"/>
      <c r="U1370" s="8"/>
      <c r="V1370" s="8"/>
      <c r="W1370" s="8"/>
      <c r="X1370" s="8"/>
      <c r="Y1370" s="8"/>
    </row>
    <row r="1371" ht="14.25">
      <c r="B1371" s="8" t="s">
        <v>710</v>
      </c>
      <c r="C1371" s="8" t="s">
        <v>8936</v>
      </c>
      <c r="D1371" s="8" t="s">
        <v>8937</v>
      </c>
      <c r="E1371" s="8" t="s">
        <v>8938</v>
      </c>
      <c r="F1371" s="8" t="s">
        <v>8939</v>
      </c>
      <c r="G1371" s="9">
        <v>86</v>
      </c>
      <c r="H1371" s="8" t="s">
        <v>36</v>
      </c>
      <c r="I1371" s="8" t="str">
        <f>IFERROR(__XLUDF.DUMMYFUNCTION("VLOOKUP(H164,IMPORTRANGE(""https://docs.google.com/spreadsheets/d/1opm6ZNvGZ7KditA9TuJwrZ25eFLfTNIkrNnY6mhV5Eg"",""list!A1:C115""),3,TRUE)"),"le secteur de la restauration")</f>
        <v xml:space="preserve">le secteur de la restauration</v>
      </c>
      <c r="J1371" s="10" t="s">
        <v>8940</v>
      </c>
      <c r="K1371" s="10" t="s">
        <v>8941</v>
      </c>
      <c r="L1371" s="8" t="s">
        <v>423</v>
      </c>
      <c r="M1371" s="8" t="s">
        <v>29</v>
      </c>
      <c r="N1371" s="8" t="s">
        <v>8942</v>
      </c>
      <c r="O1371" s="8" t="s">
        <v>29</v>
      </c>
      <c r="P1371" s="8" t="s">
        <v>8943</v>
      </c>
      <c r="Q1371" s="8"/>
      <c r="R1371" s="8"/>
      <c r="S1371" s="8"/>
      <c r="T1371" s="8"/>
      <c r="U1371" s="8"/>
      <c r="V1371" s="8"/>
      <c r="W1371" s="8"/>
      <c r="X1371" s="8"/>
      <c r="Y1371" s="8"/>
    </row>
    <row r="1372" ht="14.25">
      <c r="B1372" s="8" t="s">
        <v>8944</v>
      </c>
      <c r="C1372" s="8" t="s">
        <v>8945</v>
      </c>
      <c r="D1372" s="8" t="s">
        <v>688</v>
      </c>
      <c r="E1372" s="8" t="s">
        <v>8946</v>
      </c>
      <c r="F1372" s="8" t="s">
        <v>8947</v>
      </c>
      <c r="G1372" s="9">
        <v>12</v>
      </c>
      <c r="H1372" s="8" t="s">
        <v>36</v>
      </c>
      <c r="I1372" s="8" t="str">
        <f>IFERROR(__XLUDF.DUMMYFUNCTION("VLOOKUP(H165,IMPORTRANGE(""https://docs.google.com/spreadsheets/d/1opm6ZNvGZ7KditA9TuJwrZ25eFLfTNIkrNnY6mhV5Eg"",""list!A1:C115""),3,TRUE)"),"le secteur de la restauration")</f>
        <v xml:space="preserve">le secteur de la restauration</v>
      </c>
      <c r="J1372" s="10" t="s">
        <v>8948</v>
      </c>
      <c r="K1372" s="10" t="s">
        <v>8949</v>
      </c>
      <c r="L1372" s="8" t="s">
        <v>8067</v>
      </c>
      <c r="M1372" s="8" t="s">
        <v>1938</v>
      </c>
      <c r="N1372" s="8" t="s">
        <v>8950</v>
      </c>
      <c r="O1372" s="8" t="s">
        <v>1938</v>
      </c>
      <c r="P1372" s="8" t="s">
        <v>8951</v>
      </c>
      <c r="Q1372" s="8"/>
      <c r="R1372" s="8"/>
      <c r="S1372" s="8"/>
      <c r="T1372" s="8"/>
      <c r="U1372" s="8"/>
      <c r="V1372" s="8"/>
      <c r="W1372" s="8"/>
      <c r="X1372" s="8"/>
      <c r="Y1372" s="8"/>
    </row>
    <row r="1373" ht="14.25">
      <c r="B1373" s="8" t="s">
        <v>8952</v>
      </c>
      <c r="C1373" s="8" t="s">
        <v>8953</v>
      </c>
      <c r="D1373" s="8" t="s">
        <v>8275</v>
      </c>
      <c r="E1373" s="8" t="s">
        <v>8954</v>
      </c>
      <c r="F1373" s="8" t="s">
        <v>8955</v>
      </c>
      <c r="G1373" s="9">
        <v>60</v>
      </c>
      <c r="H1373" s="8" t="s">
        <v>36</v>
      </c>
      <c r="I1373" s="8" t="str">
        <f>IFERROR(__XLUDF.DUMMYFUNCTION("VLOOKUP(H166,IMPORTRANGE(""https://docs.google.com/spreadsheets/d/1opm6ZNvGZ7KditA9TuJwrZ25eFLfTNIkrNnY6mhV5Eg"",""list!A1:C115""),3,TRUE)"),"le secteur de la restauration")</f>
        <v xml:space="preserve">le secteur de la restauration</v>
      </c>
      <c r="J1373" s="10" t="s">
        <v>8956</v>
      </c>
      <c r="K1373" s="10" t="s">
        <v>8957</v>
      </c>
      <c r="L1373" s="8" t="s">
        <v>8133</v>
      </c>
      <c r="M1373" s="8" t="s">
        <v>1938</v>
      </c>
      <c r="N1373" s="8" t="s">
        <v>8958</v>
      </c>
      <c r="O1373" s="8" t="s">
        <v>1938</v>
      </c>
      <c r="P1373" s="8"/>
      <c r="Q1373" s="8"/>
      <c r="R1373" s="8"/>
      <c r="S1373" s="8"/>
      <c r="T1373" s="8"/>
      <c r="U1373" s="8"/>
      <c r="V1373" s="8"/>
      <c r="W1373" s="8"/>
      <c r="X1373" s="8"/>
      <c r="Y1373" s="8"/>
    </row>
    <row r="1374" ht="14.25">
      <c r="B1374" s="8" t="s">
        <v>604</v>
      </c>
      <c r="C1374" s="8" t="s">
        <v>8959</v>
      </c>
      <c r="D1374" s="8" t="s">
        <v>8960</v>
      </c>
      <c r="E1374" s="8" t="s">
        <v>8961</v>
      </c>
      <c r="F1374" s="8" t="s">
        <v>8962</v>
      </c>
      <c r="G1374" s="9">
        <v>150</v>
      </c>
      <c r="H1374" s="8" t="s">
        <v>36</v>
      </c>
      <c r="I1374" s="8" t="str">
        <f>IFERROR(__XLUDF.DUMMYFUNCTION("VLOOKUP(H167,IMPORTRANGE(""https://docs.google.com/spreadsheets/d/1opm6ZNvGZ7KditA9TuJwrZ25eFLfTNIkrNnY6mhV5Eg"",""list!A1:C115""),3,TRUE)"),"le secteur de la restauration")</f>
        <v xml:space="preserve">le secteur de la restauration</v>
      </c>
      <c r="J1374" s="10" t="s">
        <v>8963</v>
      </c>
      <c r="K1374" s="10" t="s">
        <v>8964</v>
      </c>
      <c r="L1374" s="8" t="s">
        <v>39</v>
      </c>
      <c r="M1374" s="8" t="s">
        <v>29</v>
      </c>
      <c r="N1374" s="8" t="s">
        <v>8965</v>
      </c>
      <c r="O1374" s="8" t="s">
        <v>29</v>
      </c>
      <c r="P1374" s="8"/>
      <c r="Q1374" s="8"/>
      <c r="R1374" s="8"/>
      <c r="S1374" s="8"/>
      <c r="T1374" s="8"/>
      <c r="U1374" s="8"/>
      <c r="V1374" s="8"/>
      <c r="W1374" s="8"/>
      <c r="X1374" s="8"/>
      <c r="Y1374" s="8"/>
    </row>
    <row r="1375" ht="14.25">
      <c r="B1375" s="8" t="s">
        <v>8966</v>
      </c>
      <c r="C1375" s="8" t="s">
        <v>8967</v>
      </c>
      <c r="D1375" s="8" t="s">
        <v>8408</v>
      </c>
      <c r="E1375" s="8" t="s">
        <v>8888</v>
      </c>
      <c r="F1375" s="8" t="s">
        <v>8968</v>
      </c>
      <c r="G1375" s="9">
        <v>170</v>
      </c>
      <c r="H1375" s="8" t="s">
        <v>36</v>
      </c>
      <c r="I1375" s="8" t="str">
        <f>IFERROR(__XLUDF.DUMMYFUNCTION("VLOOKUP(H168,IMPORTRANGE(""https://docs.google.com/spreadsheets/d/1opm6ZNvGZ7KditA9TuJwrZ25eFLfTNIkrNnY6mhV5Eg"",""list!A1:C115""),3,TRUE)"),"le secteur de la restauration")</f>
        <v xml:space="preserve">le secteur de la restauration</v>
      </c>
      <c r="J1375" s="10" t="s">
        <v>8969</v>
      </c>
      <c r="K1375" s="10" t="s">
        <v>8891</v>
      </c>
      <c r="L1375" s="8" t="s">
        <v>8133</v>
      </c>
      <c r="M1375" s="8" t="s">
        <v>1938</v>
      </c>
      <c r="N1375" s="8" t="s">
        <v>8892</v>
      </c>
      <c r="O1375" s="8" t="s">
        <v>1938</v>
      </c>
      <c r="P1375" s="8" t="s">
        <v>8893</v>
      </c>
      <c r="Q1375" s="8"/>
      <c r="R1375" s="8"/>
      <c r="S1375" s="8"/>
      <c r="T1375" s="8"/>
      <c r="U1375" s="8"/>
      <c r="V1375" s="8"/>
      <c r="W1375" s="8"/>
      <c r="X1375" s="8"/>
      <c r="Y1375" s="8"/>
    </row>
    <row r="1376" ht="14.25">
      <c r="B1376" s="8" t="s">
        <v>4245</v>
      </c>
      <c r="C1376" s="8" t="s">
        <v>8970</v>
      </c>
      <c r="D1376" s="8" t="s">
        <v>87</v>
      </c>
      <c r="E1376" s="8" t="s">
        <v>8971</v>
      </c>
      <c r="F1376" s="8" t="s">
        <v>8972</v>
      </c>
      <c r="G1376" s="9">
        <v>53</v>
      </c>
      <c r="H1376" s="8" t="s">
        <v>36</v>
      </c>
      <c r="I1376" s="8" t="str">
        <f>IFERROR(__XLUDF.DUMMYFUNCTION("VLOOKUP(H169,IMPORTRANGE(""https://docs.google.com/spreadsheets/d/1opm6ZNvGZ7KditA9TuJwrZ25eFLfTNIkrNnY6mhV5Eg"",""list!A1:C115""),3,TRUE)"),"le secteur de la restauration")</f>
        <v xml:space="preserve">le secteur de la restauration</v>
      </c>
      <c r="J1376" s="10" t="s">
        <v>8973</v>
      </c>
      <c r="K1376" s="10" t="s">
        <v>8974</v>
      </c>
      <c r="L1376" s="8" t="s">
        <v>8067</v>
      </c>
      <c r="M1376" s="8" t="s">
        <v>1938</v>
      </c>
      <c r="N1376" s="8" t="s">
        <v>8975</v>
      </c>
      <c r="O1376" s="8" t="s">
        <v>1938</v>
      </c>
      <c r="P1376" s="8" t="s">
        <v>8976</v>
      </c>
      <c r="Q1376" s="8"/>
      <c r="R1376" s="8"/>
      <c r="S1376" s="8"/>
      <c r="T1376" s="8"/>
      <c r="U1376" s="8"/>
      <c r="V1376" s="8"/>
      <c r="W1376" s="8"/>
      <c r="X1376" s="8"/>
      <c r="Y1376" s="8"/>
    </row>
    <row r="1377" ht="14.25">
      <c r="B1377" s="8" t="s">
        <v>8977</v>
      </c>
      <c r="C1377" s="8" t="s">
        <v>8978</v>
      </c>
      <c r="D1377" s="8" t="s">
        <v>8185</v>
      </c>
      <c r="E1377" s="8" t="s">
        <v>8979</v>
      </c>
      <c r="F1377" s="8" t="s">
        <v>8980</v>
      </c>
      <c r="G1377" s="9">
        <v>12</v>
      </c>
      <c r="H1377" s="8" t="s">
        <v>36</v>
      </c>
      <c r="I1377" s="8" t="str">
        <f>IFERROR(__XLUDF.DUMMYFUNCTION("VLOOKUP(H170,IMPORTRANGE(""https://docs.google.com/spreadsheets/d/1opm6ZNvGZ7KditA9TuJwrZ25eFLfTNIkrNnY6mhV5Eg"",""list!A1:C115""),3,TRUE)"),"le secteur de la restauration")</f>
        <v xml:space="preserve">le secteur de la restauration</v>
      </c>
      <c r="J1377" s="10" t="s">
        <v>8981</v>
      </c>
      <c r="K1377" s="10" t="s">
        <v>8982</v>
      </c>
      <c r="L1377" s="8" t="s">
        <v>39</v>
      </c>
      <c r="M1377" s="8" t="s">
        <v>29</v>
      </c>
      <c r="N1377" s="8" t="s">
        <v>67</v>
      </c>
      <c r="O1377" s="8" t="s">
        <v>29</v>
      </c>
      <c r="P1377" s="8" t="s">
        <v>8983</v>
      </c>
      <c r="Q1377" s="8"/>
      <c r="R1377" s="8"/>
      <c r="S1377" s="8"/>
      <c r="T1377" s="8"/>
      <c r="U1377" s="8"/>
      <c r="V1377" s="8"/>
      <c r="W1377" s="8"/>
      <c r="X1377" s="8"/>
      <c r="Y1377" s="8"/>
    </row>
    <row r="1378" ht="14.25">
      <c r="B1378" s="8" t="s">
        <v>7451</v>
      </c>
      <c r="C1378" s="8" t="s">
        <v>8984</v>
      </c>
      <c r="D1378" s="8" t="s">
        <v>8268</v>
      </c>
      <c r="E1378" s="8" t="s">
        <v>7954</v>
      </c>
      <c r="F1378" s="8" t="s">
        <v>8985</v>
      </c>
      <c r="G1378" s="9">
        <v>160</v>
      </c>
      <c r="H1378" s="8" t="s">
        <v>36</v>
      </c>
      <c r="I1378" s="8" t="str">
        <f>IFERROR(__XLUDF.DUMMYFUNCTION("VLOOKUP(H171,IMPORTRANGE(""https://docs.google.com/spreadsheets/d/1opm6ZNvGZ7KditA9TuJwrZ25eFLfTNIkrNnY6mhV5Eg"",""list!A1:C115""),3,TRUE)"),"le secteur de la restauration")</f>
        <v xml:space="preserve">le secteur de la restauration</v>
      </c>
      <c r="J1378" s="10" t="s">
        <v>8986</v>
      </c>
      <c r="K1378" s="10" t="s">
        <v>8987</v>
      </c>
      <c r="L1378" s="8" t="s">
        <v>39</v>
      </c>
      <c r="M1378" s="8" t="s">
        <v>29</v>
      </c>
      <c r="N1378" s="8" t="s">
        <v>7958</v>
      </c>
      <c r="O1378" s="8" t="s">
        <v>29</v>
      </c>
      <c r="P1378" s="8" t="s">
        <v>8988</v>
      </c>
      <c r="Q1378" s="8"/>
      <c r="R1378" s="8"/>
      <c r="S1378" s="8"/>
      <c r="T1378" s="8"/>
      <c r="U1378" s="8"/>
      <c r="V1378" s="8"/>
      <c r="W1378" s="8"/>
      <c r="X1378" s="8"/>
      <c r="Y1378" s="8"/>
    </row>
    <row r="1379" ht="14.25">
      <c r="B1379" s="8" t="s">
        <v>8989</v>
      </c>
      <c r="C1379" s="8" t="s">
        <v>8990</v>
      </c>
      <c r="D1379" s="8" t="s">
        <v>8991</v>
      </c>
      <c r="E1379" s="8" t="s">
        <v>3221</v>
      </c>
      <c r="F1379" s="8" t="s">
        <v>8992</v>
      </c>
      <c r="G1379" s="9">
        <v>5</v>
      </c>
      <c r="H1379" s="8" t="s">
        <v>36</v>
      </c>
      <c r="I1379" s="8" t="str">
        <f>IFERROR(__XLUDF.DUMMYFUNCTION("VLOOKUP(H172,IMPORTRANGE(""https://docs.google.com/spreadsheets/d/1opm6ZNvGZ7KditA9TuJwrZ25eFLfTNIkrNnY6mhV5Eg"",""list!A1:C115""),3,TRUE)"),"le secteur de la restauration")</f>
        <v xml:space="preserve">le secteur de la restauration</v>
      </c>
      <c r="J1379" s="10" t="s">
        <v>8993</v>
      </c>
      <c r="K1379" s="10" t="s">
        <v>3224</v>
      </c>
      <c r="L1379" s="8" t="s">
        <v>8994</v>
      </c>
      <c r="M1379" s="8" t="s">
        <v>29</v>
      </c>
      <c r="N1379" s="8" t="s">
        <v>346</v>
      </c>
      <c r="O1379" s="8" t="s">
        <v>29</v>
      </c>
      <c r="P1379" s="8" t="s">
        <v>3225</v>
      </c>
      <c r="Q1379" s="8"/>
      <c r="R1379" s="8"/>
      <c r="S1379" s="8"/>
      <c r="T1379" s="8"/>
      <c r="U1379" s="8"/>
      <c r="V1379" s="8"/>
      <c r="W1379" s="8"/>
      <c r="X1379" s="8"/>
      <c r="Y1379" s="8"/>
    </row>
    <row r="1380" ht="14.25">
      <c r="B1380" s="8" t="s">
        <v>8995</v>
      </c>
      <c r="C1380" s="8" t="s">
        <v>8996</v>
      </c>
      <c r="D1380" s="8" t="s">
        <v>8408</v>
      </c>
      <c r="E1380" s="8" t="s">
        <v>8888</v>
      </c>
      <c r="F1380" s="8" t="s">
        <v>8997</v>
      </c>
      <c r="G1380" s="9">
        <v>170</v>
      </c>
      <c r="H1380" s="8" t="s">
        <v>36</v>
      </c>
      <c r="I1380" s="8" t="str">
        <f>IFERROR(__XLUDF.DUMMYFUNCTION("VLOOKUP(H173,IMPORTRANGE(""https://docs.google.com/spreadsheets/d/1opm6ZNvGZ7KditA9TuJwrZ25eFLfTNIkrNnY6mhV5Eg"",""list!A1:C115""),3,TRUE)"),"le secteur de la restauration")</f>
        <v xml:space="preserve">le secteur de la restauration</v>
      </c>
      <c r="J1380" s="10" t="s">
        <v>8998</v>
      </c>
      <c r="K1380" s="10" t="s">
        <v>8891</v>
      </c>
      <c r="L1380" s="8" t="s">
        <v>8133</v>
      </c>
      <c r="M1380" s="8" t="s">
        <v>1938</v>
      </c>
      <c r="N1380" s="8" t="s">
        <v>8892</v>
      </c>
      <c r="O1380" s="8" t="s">
        <v>1938</v>
      </c>
      <c r="P1380" s="8" t="s">
        <v>8893</v>
      </c>
      <c r="Q1380" s="8"/>
      <c r="R1380" s="8"/>
      <c r="S1380" s="8"/>
      <c r="T1380" s="8"/>
      <c r="U1380" s="8"/>
      <c r="V1380" s="8"/>
      <c r="W1380" s="8"/>
      <c r="X1380" s="8"/>
      <c r="Y1380" s="8"/>
    </row>
    <row r="1381" ht="14.25">
      <c r="B1381" s="8" t="s">
        <v>622</v>
      </c>
      <c r="C1381" s="8" t="s">
        <v>8999</v>
      </c>
      <c r="D1381" s="8" t="s">
        <v>9000</v>
      </c>
      <c r="E1381" s="8" t="s">
        <v>9001</v>
      </c>
      <c r="F1381" s="8" t="s">
        <v>9002</v>
      </c>
      <c r="G1381" s="9">
        <v>8</v>
      </c>
      <c r="H1381" s="8" t="s">
        <v>36</v>
      </c>
      <c r="I1381" s="8" t="str">
        <f>IFERROR(__XLUDF.DUMMYFUNCTION("VLOOKUP(H174,IMPORTRANGE(""https://docs.google.com/spreadsheets/d/1opm6ZNvGZ7KditA9TuJwrZ25eFLfTNIkrNnY6mhV5Eg"",""list!A1:C115""),3,TRUE)"),"le secteur de la restauration")</f>
        <v xml:space="preserve">le secteur de la restauration</v>
      </c>
      <c r="J1381" s="10" t="s">
        <v>9003</v>
      </c>
      <c r="K1381" s="10" t="s">
        <v>9004</v>
      </c>
      <c r="L1381" s="8" t="s">
        <v>8086</v>
      </c>
      <c r="M1381" s="8" t="s">
        <v>1938</v>
      </c>
      <c r="N1381" s="8" t="s">
        <v>9005</v>
      </c>
      <c r="O1381" s="8" t="s">
        <v>1938</v>
      </c>
      <c r="P1381" s="8" t="s">
        <v>9006</v>
      </c>
      <c r="Q1381" s="8"/>
      <c r="R1381" s="8"/>
      <c r="S1381" s="8"/>
      <c r="T1381" s="8"/>
      <c r="U1381" s="8"/>
      <c r="V1381" s="8"/>
      <c r="W1381" s="8"/>
      <c r="X1381" s="8"/>
      <c r="Y1381" s="8"/>
    </row>
    <row r="1382" ht="14.25">
      <c r="B1382" s="8" t="s">
        <v>7492</v>
      </c>
      <c r="C1382" s="8" t="s">
        <v>7493</v>
      </c>
      <c r="D1382" s="8" t="s">
        <v>87</v>
      </c>
      <c r="E1382" s="8" t="s">
        <v>7494</v>
      </c>
      <c r="F1382" s="8" t="s">
        <v>7495</v>
      </c>
      <c r="G1382" s="9">
        <v>61</v>
      </c>
      <c r="H1382" s="8" t="s">
        <v>36</v>
      </c>
      <c r="I1382" s="8" t="str">
        <f>IFERROR(__XLUDF.DUMMYFUNCTION("VLOOKUP(H175,IMPORTRANGE(""https://docs.google.com/spreadsheets/d/1opm6ZNvGZ7KditA9TuJwrZ25eFLfTNIkrNnY6mhV5Eg"",""list!A1:C115""),3,TRUE)"),"le secteur de la restauration")</f>
        <v xml:space="preserve">le secteur de la restauration</v>
      </c>
      <c r="J1382" s="10" t="s">
        <v>7496</v>
      </c>
      <c r="K1382" s="10" t="s">
        <v>8840</v>
      </c>
      <c r="L1382" s="8"/>
      <c r="M1382" s="8" t="s">
        <v>29</v>
      </c>
      <c r="N1382" s="8" t="s">
        <v>67</v>
      </c>
      <c r="O1382" s="8" t="s">
        <v>29</v>
      </c>
      <c r="P1382" s="8" t="s">
        <v>7498</v>
      </c>
      <c r="Q1382" s="8"/>
      <c r="R1382" s="8"/>
      <c r="S1382" s="8"/>
      <c r="T1382" s="8"/>
      <c r="U1382" s="8"/>
      <c r="V1382" s="8"/>
      <c r="W1382" s="8"/>
      <c r="X1382" s="8"/>
      <c r="Y1382" s="8"/>
    </row>
    <row r="1383" ht="14.25">
      <c r="B1383" s="8" t="s">
        <v>4196</v>
      </c>
      <c r="C1383" s="8" t="s">
        <v>9007</v>
      </c>
      <c r="D1383" s="8" t="s">
        <v>9008</v>
      </c>
      <c r="E1383" s="8" t="s">
        <v>7677</v>
      </c>
      <c r="F1383" s="8" t="s">
        <v>9009</v>
      </c>
      <c r="G1383" s="9">
        <v>160</v>
      </c>
      <c r="H1383" s="8" t="s">
        <v>36</v>
      </c>
      <c r="I1383" s="8" t="str">
        <f>IFERROR(__XLUDF.DUMMYFUNCTION("VLOOKUP(H176,IMPORTRANGE(""https://docs.google.com/spreadsheets/d/1opm6ZNvGZ7KditA9TuJwrZ25eFLfTNIkrNnY6mhV5Eg"",""list!A1:C115""),3,TRUE)"),"le secteur de la restauration")</f>
        <v xml:space="preserve">le secteur de la restauration</v>
      </c>
      <c r="J1383" s="10" t="s">
        <v>9010</v>
      </c>
      <c r="K1383" s="10" t="s">
        <v>9011</v>
      </c>
      <c r="L1383" s="8" t="s">
        <v>39</v>
      </c>
      <c r="M1383" s="8" t="s">
        <v>29</v>
      </c>
      <c r="N1383" s="8" t="s">
        <v>7681</v>
      </c>
      <c r="O1383" s="8" t="s">
        <v>29</v>
      </c>
      <c r="P1383" s="8"/>
      <c r="Q1383" s="8"/>
      <c r="R1383" s="8"/>
      <c r="S1383" s="8"/>
      <c r="T1383" s="8"/>
      <c r="U1383" s="8"/>
      <c r="V1383" s="8"/>
      <c r="W1383" s="8"/>
      <c r="X1383" s="8"/>
      <c r="Y1383" s="8"/>
    </row>
    <row r="1384" ht="14.25">
      <c r="B1384" s="8" t="s">
        <v>8545</v>
      </c>
      <c r="C1384" s="8" t="s">
        <v>9012</v>
      </c>
      <c r="D1384" s="8" t="s">
        <v>62</v>
      </c>
      <c r="E1384" s="8" t="s">
        <v>9013</v>
      </c>
      <c r="F1384" s="8" t="s">
        <v>9014</v>
      </c>
      <c r="G1384" s="9">
        <v>1</v>
      </c>
      <c r="H1384" s="8" t="s">
        <v>36</v>
      </c>
      <c r="I1384" s="8" t="str">
        <f>IFERROR(__XLUDF.DUMMYFUNCTION("VLOOKUP(H177,IMPORTRANGE(""https://docs.google.com/spreadsheets/d/1opm6ZNvGZ7KditA9TuJwrZ25eFLfTNIkrNnY6mhV5Eg"",""list!A1:C115""),3,TRUE)"),"le secteur de la restauration")</f>
        <v xml:space="preserve">le secteur de la restauration</v>
      </c>
      <c r="J1384" s="10" t="s">
        <v>9015</v>
      </c>
      <c r="K1384" s="10" t="s">
        <v>9016</v>
      </c>
      <c r="L1384" s="8" t="s">
        <v>8086</v>
      </c>
      <c r="M1384" s="8" t="s">
        <v>1938</v>
      </c>
      <c r="N1384" s="8" t="s">
        <v>9017</v>
      </c>
      <c r="O1384" s="8" t="s">
        <v>1938</v>
      </c>
      <c r="P1384" s="8"/>
      <c r="Q1384" s="8"/>
      <c r="R1384" s="8"/>
      <c r="S1384" s="8"/>
      <c r="T1384" s="8"/>
      <c r="U1384" s="8"/>
      <c r="V1384" s="8"/>
      <c r="W1384" s="8"/>
      <c r="X1384" s="8"/>
      <c r="Y1384" s="8"/>
    </row>
    <row r="1385" ht="14.25">
      <c r="B1385" s="8" t="s">
        <v>840</v>
      </c>
      <c r="C1385" s="8" t="s">
        <v>7669</v>
      </c>
      <c r="D1385" s="8" t="s">
        <v>87</v>
      </c>
      <c r="E1385" s="8" t="s">
        <v>7670</v>
      </c>
      <c r="F1385" s="8" t="s">
        <v>7671</v>
      </c>
      <c r="G1385" s="9">
        <v>86</v>
      </c>
      <c r="H1385" s="8" t="s">
        <v>36</v>
      </c>
      <c r="I1385" s="8" t="str">
        <f>IFERROR(__XLUDF.DUMMYFUNCTION("VLOOKUP(H178,IMPORTRANGE(""https://docs.google.com/spreadsheets/d/1opm6ZNvGZ7KditA9TuJwrZ25eFLfTNIkrNnY6mhV5Eg"",""list!A1:C115""),3,TRUE)"),"le secteur de la restauration")</f>
        <v xml:space="preserve">le secteur de la restauration</v>
      </c>
      <c r="J1385" s="10" t="s">
        <v>7672</v>
      </c>
      <c r="K1385" s="10" t="s">
        <v>9018</v>
      </c>
      <c r="L1385" s="8" t="s">
        <v>6339</v>
      </c>
      <c r="M1385" s="8" t="s">
        <v>29</v>
      </c>
      <c r="N1385" s="8" t="s">
        <v>7674</v>
      </c>
      <c r="O1385" s="8" t="s">
        <v>29</v>
      </c>
      <c r="P1385" s="8" t="s">
        <v>7675</v>
      </c>
      <c r="Q1385" s="8"/>
      <c r="R1385" s="8"/>
      <c r="S1385" s="8"/>
      <c r="T1385" s="8"/>
      <c r="U1385" s="8"/>
      <c r="V1385" s="8"/>
      <c r="W1385" s="8"/>
      <c r="X1385" s="8"/>
      <c r="Y1385" s="8"/>
    </row>
    <row r="1386" ht="14.25">
      <c r="B1386" s="8" t="s">
        <v>7273</v>
      </c>
      <c r="C1386" s="8" t="s">
        <v>279</v>
      </c>
      <c r="D1386" s="8" t="s">
        <v>8348</v>
      </c>
      <c r="E1386" s="8" t="s">
        <v>9019</v>
      </c>
      <c r="F1386" s="8" t="s">
        <v>9020</v>
      </c>
      <c r="G1386" s="9">
        <v>57</v>
      </c>
      <c r="H1386" s="8" t="s">
        <v>36</v>
      </c>
      <c r="I1386" s="8" t="str">
        <f>IFERROR(__XLUDF.DUMMYFUNCTION("VLOOKUP(H179,IMPORTRANGE(""https://docs.google.com/spreadsheets/d/1opm6ZNvGZ7KditA9TuJwrZ25eFLfTNIkrNnY6mhV5Eg"",""list!A1:C115""),3,TRUE)"),"le secteur de la restauration")</f>
        <v xml:space="preserve">le secteur de la restauration</v>
      </c>
      <c r="J1386" s="10" t="s">
        <v>9021</v>
      </c>
      <c r="K1386" s="10" t="s">
        <v>9022</v>
      </c>
      <c r="L1386" s="8" t="s">
        <v>8067</v>
      </c>
      <c r="M1386" s="8" t="s">
        <v>1938</v>
      </c>
      <c r="N1386" s="8" t="s">
        <v>9023</v>
      </c>
      <c r="O1386" s="8" t="s">
        <v>1938</v>
      </c>
      <c r="P1386" s="8" t="s">
        <v>9024</v>
      </c>
      <c r="Q1386" s="8"/>
      <c r="R1386" s="8"/>
      <c r="S1386" s="8"/>
      <c r="T1386" s="8"/>
      <c r="U1386" s="8"/>
      <c r="V1386" s="8"/>
      <c r="W1386" s="8"/>
      <c r="X1386" s="8"/>
      <c r="Y1386" s="8"/>
    </row>
    <row r="1387" ht="14.25">
      <c r="B1387" s="8" t="s">
        <v>1396</v>
      </c>
      <c r="C1387" s="8" t="s">
        <v>9025</v>
      </c>
      <c r="D1387" s="8" t="s">
        <v>8304</v>
      </c>
      <c r="E1387" s="8" t="s">
        <v>542</v>
      </c>
      <c r="F1387" s="8" t="s">
        <v>9026</v>
      </c>
      <c r="G1387" s="9">
        <v>8</v>
      </c>
      <c r="H1387" s="8" t="s">
        <v>36</v>
      </c>
      <c r="I1387" s="8" t="str">
        <f>IFERROR(__XLUDF.DUMMYFUNCTION("VLOOKUP(H180,IMPORTRANGE(""https://docs.google.com/spreadsheets/d/1opm6ZNvGZ7KditA9TuJwrZ25eFLfTNIkrNnY6mhV5Eg"",""list!A1:C115""),3,TRUE)"),"le secteur de la restauration")</f>
        <v xml:space="preserve">le secteur de la restauration</v>
      </c>
      <c r="J1387" s="10" t="s">
        <v>9027</v>
      </c>
      <c r="K1387" s="10" t="s">
        <v>545</v>
      </c>
      <c r="L1387" s="8" t="s">
        <v>39</v>
      </c>
      <c r="M1387" s="8" t="s">
        <v>29</v>
      </c>
      <c r="N1387" s="8" t="s">
        <v>546</v>
      </c>
      <c r="O1387" s="8" t="s">
        <v>29</v>
      </c>
      <c r="P1387" s="8" t="s">
        <v>547</v>
      </c>
      <c r="Q1387" s="8"/>
      <c r="R1387" s="8"/>
      <c r="S1387" s="8"/>
      <c r="T1387" s="8"/>
      <c r="U1387" s="8"/>
      <c r="V1387" s="8"/>
      <c r="W1387" s="8"/>
      <c r="X1387" s="8"/>
      <c r="Y1387" s="8"/>
    </row>
    <row r="1388" ht="14.25">
      <c r="B1388" s="8" t="s">
        <v>7627</v>
      </c>
      <c r="C1388" s="8" t="s">
        <v>7628</v>
      </c>
      <c r="D1388" s="8" t="s">
        <v>7629</v>
      </c>
      <c r="E1388" s="8" t="s">
        <v>7630</v>
      </c>
      <c r="F1388" s="8" t="s">
        <v>7631</v>
      </c>
      <c r="G1388" s="9">
        <v>83</v>
      </c>
      <c r="H1388" s="8" t="s">
        <v>36</v>
      </c>
      <c r="I1388" s="8" t="str">
        <f>IFERROR(__XLUDF.DUMMYFUNCTION("VLOOKUP(H181,IMPORTRANGE(""https://docs.google.com/spreadsheets/d/1opm6ZNvGZ7KditA9TuJwrZ25eFLfTNIkrNnY6mhV5Eg"",""list!A1:C115""),3,TRUE)"),"le secteur de la restauration")</f>
        <v xml:space="preserve">le secteur de la restauration</v>
      </c>
      <c r="J1388" s="10" t="s">
        <v>7632</v>
      </c>
      <c r="K1388" s="10" t="s">
        <v>8924</v>
      </c>
      <c r="L1388" s="8"/>
      <c r="M1388" s="8" t="s">
        <v>29</v>
      </c>
      <c r="N1388" s="8" t="s">
        <v>67</v>
      </c>
      <c r="O1388" s="8" t="s">
        <v>29</v>
      </c>
      <c r="P1388" s="8" t="s">
        <v>7634</v>
      </c>
      <c r="Q1388" s="8"/>
      <c r="R1388" s="8"/>
      <c r="S1388" s="8"/>
      <c r="T1388" s="8"/>
      <c r="U1388" s="8"/>
      <c r="V1388" s="8"/>
      <c r="W1388" s="8"/>
      <c r="X1388" s="8"/>
      <c r="Y1388" s="8"/>
    </row>
    <row r="1389" ht="14.25">
      <c r="B1389" s="8" t="s">
        <v>2249</v>
      </c>
      <c r="C1389" s="8" t="s">
        <v>7574</v>
      </c>
      <c r="D1389" s="8" t="s">
        <v>6416</v>
      </c>
      <c r="E1389" s="8" t="s">
        <v>7494</v>
      </c>
      <c r="F1389" s="8" t="s">
        <v>7575</v>
      </c>
      <c r="G1389" s="9">
        <v>61</v>
      </c>
      <c r="H1389" s="8" t="s">
        <v>36</v>
      </c>
      <c r="I1389" s="8" t="str">
        <f>IFERROR(__XLUDF.DUMMYFUNCTION("VLOOKUP(H182,IMPORTRANGE(""https://docs.google.com/spreadsheets/d/1opm6ZNvGZ7KditA9TuJwrZ25eFLfTNIkrNnY6mhV5Eg"",""list!A1:C115""),3,TRUE)"),"le secteur de la restauration")</f>
        <v xml:space="preserve">le secteur de la restauration</v>
      </c>
      <c r="J1389" s="10" t="s">
        <v>7576</v>
      </c>
      <c r="K1389" s="10" t="s">
        <v>8840</v>
      </c>
      <c r="L1389" s="8" t="s">
        <v>7577</v>
      </c>
      <c r="M1389" s="8" t="s">
        <v>29</v>
      </c>
      <c r="N1389" s="8" t="s">
        <v>67</v>
      </c>
      <c r="O1389" s="8" t="s">
        <v>29</v>
      </c>
      <c r="P1389" s="8" t="s">
        <v>7498</v>
      </c>
      <c r="Q1389" s="8"/>
      <c r="R1389" s="8"/>
      <c r="S1389" s="8"/>
      <c r="T1389" s="8"/>
      <c r="U1389" s="8"/>
      <c r="V1389" s="8"/>
      <c r="W1389" s="8"/>
      <c r="X1389" s="8"/>
      <c r="Y1389" s="8"/>
    </row>
    <row r="1390" ht="14.25">
      <c r="B1390" s="8" t="s">
        <v>7908</v>
      </c>
      <c r="C1390" s="8" t="s">
        <v>7909</v>
      </c>
      <c r="D1390" s="8" t="s">
        <v>87</v>
      </c>
      <c r="E1390" s="8" t="s">
        <v>7910</v>
      </c>
      <c r="F1390" s="8" t="s">
        <v>7911</v>
      </c>
      <c r="G1390" s="9">
        <v>180</v>
      </c>
      <c r="H1390" s="8" t="s">
        <v>36</v>
      </c>
      <c r="I1390" s="8" t="str">
        <f>IFERROR(__XLUDF.DUMMYFUNCTION("VLOOKUP(H183,IMPORTRANGE(""https://docs.google.com/spreadsheets/d/1opm6ZNvGZ7KditA9TuJwrZ25eFLfTNIkrNnY6mhV5Eg"",""list!A1:C115""),3,TRUE)"),"le secteur de la restauration")</f>
        <v xml:space="preserve">le secteur de la restauration</v>
      </c>
      <c r="J1390" s="10" t="s">
        <v>7912</v>
      </c>
      <c r="K1390" s="10" t="s">
        <v>9028</v>
      </c>
      <c r="L1390" s="8" t="s">
        <v>39</v>
      </c>
      <c r="M1390" s="8" t="s">
        <v>29</v>
      </c>
      <c r="N1390" s="8" t="s">
        <v>67</v>
      </c>
      <c r="O1390" s="8" t="s">
        <v>29</v>
      </c>
      <c r="P1390" s="8"/>
      <c r="Q1390" s="8"/>
      <c r="R1390" s="8"/>
      <c r="S1390" s="8"/>
      <c r="T1390" s="8"/>
      <c r="U1390" s="8"/>
      <c r="V1390" s="8"/>
      <c r="W1390" s="8"/>
      <c r="X1390" s="8"/>
      <c r="Y1390" s="8"/>
    </row>
    <row r="1391" ht="14.25">
      <c r="B1391" s="8" t="s">
        <v>2303</v>
      </c>
      <c r="C1391" s="8" t="s">
        <v>7485</v>
      </c>
      <c r="D1391" s="8" t="s">
        <v>44</v>
      </c>
      <c r="E1391" s="8" t="s">
        <v>7486</v>
      </c>
      <c r="F1391" s="8" t="s">
        <v>7487</v>
      </c>
      <c r="G1391" s="9">
        <v>68</v>
      </c>
      <c r="H1391" s="8" t="s">
        <v>36</v>
      </c>
      <c r="I1391" s="8" t="str">
        <f>IFERROR(__XLUDF.DUMMYFUNCTION("VLOOKUP(H184,IMPORTRANGE(""https://docs.google.com/spreadsheets/d/1opm6ZNvGZ7KditA9TuJwrZ25eFLfTNIkrNnY6mhV5Eg"",""list!A1:C115""),3,TRUE)"),"le secteur de la restauration")</f>
        <v xml:space="preserve">le secteur de la restauration</v>
      </c>
      <c r="J1391" s="10" t="s">
        <v>7488</v>
      </c>
      <c r="K1391" s="10" t="s">
        <v>9029</v>
      </c>
      <c r="L1391" s="8"/>
      <c r="M1391" s="8" t="s">
        <v>29</v>
      </c>
      <c r="N1391" s="8" t="s">
        <v>7490</v>
      </c>
      <c r="O1391" s="8" t="s">
        <v>29</v>
      </c>
      <c r="P1391" s="8" t="s">
        <v>7491</v>
      </c>
      <c r="Q1391" s="8"/>
      <c r="R1391" s="8"/>
      <c r="S1391" s="8"/>
      <c r="T1391" s="8"/>
      <c r="U1391" s="8"/>
      <c r="V1391" s="8"/>
      <c r="W1391" s="8"/>
      <c r="X1391" s="8"/>
      <c r="Y1391" s="8"/>
    </row>
    <row r="1392" ht="14.25">
      <c r="B1392" s="8" t="s">
        <v>9030</v>
      </c>
      <c r="C1392" s="8" t="s">
        <v>9031</v>
      </c>
      <c r="D1392" s="8" t="s">
        <v>9032</v>
      </c>
      <c r="E1392" s="8" t="s">
        <v>9033</v>
      </c>
      <c r="F1392" s="8" t="s">
        <v>9034</v>
      </c>
      <c r="G1392" s="9">
        <v>230</v>
      </c>
      <c r="H1392" s="8" t="s">
        <v>36</v>
      </c>
      <c r="I1392" s="8" t="str">
        <f>IFERROR(__XLUDF.DUMMYFUNCTION("VLOOKUP(H185,IMPORTRANGE(""https://docs.google.com/spreadsheets/d/1opm6ZNvGZ7KditA9TuJwrZ25eFLfTNIkrNnY6mhV5Eg"",""list!A1:C115""),3,TRUE)"),"le secteur de la restauration")</f>
        <v xml:space="preserve">le secteur de la restauration</v>
      </c>
      <c r="J1392" s="10" t="s">
        <v>9035</v>
      </c>
      <c r="K1392" s="10" t="s">
        <v>9036</v>
      </c>
      <c r="L1392" s="8" t="s">
        <v>39</v>
      </c>
      <c r="M1392" s="8" t="s">
        <v>29</v>
      </c>
      <c r="N1392" s="8" t="s">
        <v>9037</v>
      </c>
      <c r="O1392" s="8" t="s">
        <v>2388</v>
      </c>
      <c r="P1392" s="8" t="s">
        <v>9038</v>
      </c>
      <c r="Q1392" s="8"/>
      <c r="R1392" s="8"/>
      <c r="S1392" s="8"/>
      <c r="T1392" s="8"/>
      <c r="U1392" s="8"/>
      <c r="V1392" s="8"/>
      <c r="W1392" s="8"/>
      <c r="X1392" s="8"/>
      <c r="Y1392" s="8"/>
    </row>
    <row r="1393" ht="14.25">
      <c r="B1393" s="8" t="s">
        <v>893</v>
      </c>
      <c r="C1393" s="8" t="s">
        <v>9039</v>
      </c>
      <c r="D1393" s="8" t="s">
        <v>8275</v>
      </c>
      <c r="E1393" s="8" t="s">
        <v>7654</v>
      </c>
      <c r="F1393" s="8" t="s">
        <v>9040</v>
      </c>
      <c r="G1393" s="9">
        <v>130</v>
      </c>
      <c r="H1393" s="8" t="s">
        <v>36</v>
      </c>
      <c r="I1393" s="8" t="str">
        <f>IFERROR(__XLUDF.DUMMYFUNCTION("VLOOKUP(H186,IMPORTRANGE(""https://docs.google.com/spreadsheets/d/1opm6ZNvGZ7KditA9TuJwrZ25eFLfTNIkrNnY6mhV5Eg"",""list!A1:C115""),3,TRUE)"),"le secteur de la restauration")</f>
        <v xml:space="preserve">le secteur de la restauration</v>
      </c>
      <c r="J1393" s="10" t="s">
        <v>9041</v>
      </c>
      <c r="K1393" s="10" t="s">
        <v>9042</v>
      </c>
      <c r="L1393" s="8"/>
      <c r="M1393" s="8" t="s">
        <v>29</v>
      </c>
      <c r="N1393" s="8" t="s">
        <v>7658</v>
      </c>
      <c r="O1393" s="8" t="s">
        <v>29</v>
      </c>
      <c r="P1393" s="8"/>
      <c r="Q1393" s="8"/>
      <c r="R1393" s="8"/>
      <c r="S1393" s="8"/>
      <c r="T1393" s="8"/>
      <c r="U1393" s="8"/>
      <c r="V1393" s="8"/>
      <c r="W1393" s="8"/>
      <c r="X1393" s="8"/>
      <c r="Y1393" s="8"/>
    </row>
    <row r="1394" ht="14.25">
      <c r="B1394" s="8" t="s">
        <v>9043</v>
      </c>
      <c r="C1394" s="8" t="s">
        <v>9044</v>
      </c>
      <c r="D1394" s="8" t="s">
        <v>8315</v>
      </c>
      <c r="E1394" s="8" t="s">
        <v>6253</v>
      </c>
      <c r="F1394" s="8" t="s">
        <v>9045</v>
      </c>
      <c r="G1394" s="9">
        <v>37</v>
      </c>
      <c r="H1394" s="8" t="s">
        <v>36</v>
      </c>
      <c r="I1394" s="8" t="str">
        <f>IFERROR(__XLUDF.DUMMYFUNCTION("VLOOKUP(H187,IMPORTRANGE(""https://docs.google.com/spreadsheets/d/1opm6ZNvGZ7KditA9TuJwrZ25eFLfTNIkrNnY6mhV5Eg"",""list!A1:C115""),3,TRUE)"),"le secteur de la restauration")</f>
        <v xml:space="preserve">le secteur de la restauration</v>
      </c>
      <c r="J1394" s="10" t="s">
        <v>9046</v>
      </c>
      <c r="K1394" s="10" t="s">
        <v>6256</v>
      </c>
      <c r="L1394" s="8" t="s">
        <v>1312</v>
      </c>
      <c r="M1394" s="8" t="s">
        <v>29</v>
      </c>
      <c r="N1394" s="8" t="s">
        <v>6257</v>
      </c>
      <c r="O1394" s="8" t="s">
        <v>29</v>
      </c>
      <c r="P1394" s="8" t="s">
        <v>6258</v>
      </c>
      <c r="Q1394" s="8"/>
      <c r="R1394" s="8"/>
      <c r="S1394" s="8"/>
      <c r="T1394" s="8"/>
      <c r="U1394" s="8"/>
      <c r="V1394" s="8"/>
      <c r="W1394" s="8"/>
      <c r="X1394" s="8"/>
      <c r="Y1394" s="8"/>
    </row>
    <row r="1395" ht="14.25">
      <c r="B1395" s="8" t="s">
        <v>1605</v>
      </c>
      <c r="C1395" s="8" t="s">
        <v>7805</v>
      </c>
      <c r="D1395" s="8" t="s">
        <v>7806</v>
      </c>
      <c r="E1395" s="8" t="s">
        <v>7807</v>
      </c>
      <c r="F1395" s="8" t="s">
        <v>7808</v>
      </c>
      <c r="G1395" s="9">
        <v>80</v>
      </c>
      <c r="H1395" s="8" t="s">
        <v>36</v>
      </c>
      <c r="I1395" s="8" t="str">
        <f>IFERROR(__XLUDF.DUMMYFUNCTION("VLOOKUP(H188,IMPORTRANGE(""https://docs.google.com/spreadsheets/d/1opm6ZNvGZ7KditA9TuJwrZ25eFLfTNIkrNnY6mhV5Eg"",""list!A1:C115""),3,TRUE)"),"le secteur de la restauration")</f>
        <v xml:space="preserve">le secteur de la restauration</v>
      </c>
      <c r="J1395" s="10" t="s">
        <v>7809</v>
      </c>
      <c r="K1395" s="10" t="s">
        <v>9047</v>
      </c>
      <c r="L1395" s="8" t="s">
        <v>846</v>
      </c>
      <c r="M1395" s="8" t="s">
        <v>29</v>
      </c>
      <c r="N1395" s="8" t="s">
        <v>7811</v>
      </c>
      <c r="O1395" s="8" t="s">
        <v>29</v>
      </c>
      <c r="P1395" s="8" t="s">
        <v>7812</v>
      </c>
      <c r="Q1395" s="8"/>
      <c r="R1395" s="8"/>
      <c r="S1395" s="8"/>
      <c r="T1395" s="8"/>
      <c r="U1395" s="8"/>
      <c r="V1395" s="8"/>
      <c r="W1395" s="8"/>
      <c r="X1395" s="8"/>
      <c r="Y1395" s="8"/>
    </row>
    <row r="1396" ht="14.25">
      <c r="B1396" s="8" t="s">
        <v>110</v>
      </c>
      <c r="C1396" s="8" t="s">
        <v>9048</v>
      </c>
      <c r="D1396" s="8" t="s">
        <v>8315</v>
      </c>
      <c r="E1396" s="8" t="s">
        <v>762</v>
      </c>
      <c r="F1396" s="8" t="s">
        <v>9049</v>
      </c>
      <c r="G1396" s="9">
        <v>52</v>
      </c>
      <c r="H1396" s="8" t="s">
        <v>36</v>
      </c>
      <c r="I1396" s="8" t="str">
        <f>IFERROR(__XLUDF.DUMMYFUNCTION("VLOOKUP(H189,IMPORTRANGE(""https://docs.google.com/spreadsheets/d/1opm6ZNvGZ7KditA9TuJwrZ25eFLfTNIkrNnY6mhV5Eg"",""list!A1:C115""),3,TRUE)"),"le secteur de la restauration")</f>
        <v xml:space="preserve">le secteur de la restauration</v>
      </c>
      <c r="J1396" s="10" t="s">
        <v>9050</v>
      </c>
      <c r="K1396" s="10" t="s">
        <v>765</v>
      </c>
      <c r="L1396" s="8"/>
      <c r="M1396" s="8" t="s">
        <v>29</v>
      </c>
      <c r="N1396" s="8" t="s">
        <v>766</v>
      </c>
      <c r="O1396" s="8" t="s">
        <v>29</v>
      </c>
      <c r="P1396" s="8" t="s">
        <v>767</v>
      </c>
      <c r="Q1396" s="8"/>
      <c r="R1396" s="8"/>
      <c r="S1396" s="8"/>
      <c r="T1396" s="8"/>
      <c r="U1396" s="8"/>
      <c r="V1396" s="8"/>
      <c r="W1396" s="8"/>
      <c r="X1396" s="8"/>
      <c r="Y1396" s="8"/>
    </row>
    <row r="1397" ht="14.25">
      <c r="B1397" s="8" t="s">
        <v>330</v>
      </c>
      <c r="C1397" s="8" t="s">
        <v>9051</v>
      </c>
      <c r="D1397" s="8" t="s">
        <v>9052</v>
      </c>
      <c r="E1397" s="8" t="s">
        <v>7479</v>
      </c>
      <c r="F1397" s="8" t="s">
        <v>9053</v>
      </c>
      <c r="G1397" s="9">
        <v>67</v>
      </c>
      <c r="H1397" s="8" t="s">
        <v>36</v>
      </c>
      <c r="I1397" s="8" t="str">
        <f>IFERROR(__XLUDF.DUMMYFUNCTION("VLOOKUP(H190,IMPORTRANGE(""https://docs.google.com/spreadsheets/d/1opm6ZNvGZ7KditA9TuJwrZ25eFLfTNIkrNnY6mhV5Eg"",""list!A1:C115""),3,TRUE)"),"le secteur de la restauration")</f>
        <v xml:space="preserve">le secteur de la restauration</v>
      </c>
      <c r="J1397" s="10" t="s">
        <v>9054</v>
      </c>
      <c r="K1397" s="10" t="s">
        <v>9055</v>
      </c>
      <c r="L1397" s="8" t="s">
        <v>185</v>
      </c>
      <c r="M1397" s="8" t="s">
        <v>29</v>
      </c>
      <c r="N1397" s="8" t="s">
        <v>7483</v>
      </c>
      <c r="O1397" s="8" t="s">
        <v>29</v>
      </c>
      <c r="P1397" s="8" t="s">
        <v>7484</v>
      </c>
      <c r="Q1397" s="8"/>
      <c r="R1397" s="8"/>
      <c r="S1397" s="8"/>
      <c r="T1397" s="8"/>
      <c r="U1397" s="8"/>
      <c r="V1397" s="8"/>
      <c r="W1397" s="8"/>
      <c r="X1397" s="8"/>
      <c r="Y1397" s="8"/>
    </row>
    <row r="1398" ht="14.25">
      <c r="B1398" s="8" t="s">
        <v>330</v>
      </c>
      <c r="C1398" s="8" t="s">
        <v>9056</v>
      </c>
      <c r="D1398" s="8" t="s">
        <v>44</v>
      </c>
      <c r="E1398" s="8" t="s">
        <v>9057</v>
      </c>
      <c r="F1398" s="8" t="s">
        <v>9058</v>
      </c>
      <c r="G1398" s="9">
        <v>1</v>
      </c>
      <c r="H1398" s="8" t="s">
        <v>36</v>
      </c>
      <c r="I1398" s="8" t="str">
        <f>IFERROR(__XLUDF.DUMMYFUNCTION("VLOOKUP(H191,IMPORTRANGE(""https://docs.google.com/spreadsheets/d/1opm6ZNvGZ7KditA9TuJwrZ25eFLfTNIkrNnY6mhV5Eg"",""list!A1:C115""),3,TRUE)"),"le secteur de la restauration")</f>
        <v xml:space="preserve">le secteur de la restauration</v>
      </c>
      <c r="J1398" s="10" t="s">
        <v>9059</v>
      </c>
      <c r="K1398" s="10" t="s">
        <v>9060</v>
      </c>
      <c r="L1398" s="8" t="s">
        <v>8086</v>
      </c>
      <c r="M1398" s="8" t="s">
        <v>1938</v>
      </c>
      <c r="N1398" s="8" t="s">
        <v>9061</v>
      </c>
      <c r="O1398" s="8" t="s">
        <v>1938</v>
      </c>
      <c r="P1398" s="8" t="s">
        <v>9062</v>
      </c>
      <c r="Q1398" s="8"/>
      <c r="R1398" s="8"/>
      <c r="S1398" s="8"/>
      <c r="T1398" s="8"/>
      <c r="U1398" s="8"/>
      <c r="V1398" s="8"/>
      <c r="W1398" s="8"/>
      <c r="X1398" s="8"/>
      <c r="Y1398" s="8"/>
    </row>
    <row r="1399" ht="14.25">
      <c r="B1399" s="8" t="s">
        <v>279</v>
      </c>
      <c r="C1399" s="8" t="s">
        <v>9063</v>
      </c>
      <c r="D1399" s="8" t="s">
        <v>44</v>
      </c>
      <c r="E1399" s="8" t="s">
        <v>9019</v>
      </c>
      <c r="F1399" s="8" t="s">
        <v>9064</v>
      </c>
      <c r="G1399" s="9">
        <v>57</v>
      </c>
      <c r="H1399" s="8" t="s">
        <v>36</v>
      </c>
      <c r="I1399" s="8" t="str">
        <f>IFERROR(__XLUDF.DUMMYFUNCTION("VLOOKUP(H192,IMPORTRANGE(""https://docs.google.com/spreadsheets/d/1opm6ZNvGZ7KditA9TuJwrZ25eFLfTNIkrNnY6mhV5Eg"",""list!A1:C115""),3,TRUE)"),"le secteur de la restauration")</f>
        <v xml:space="preserve">le secteur de la restauration</v>
      </c>
      <c r="J1399" s="10" t="s">
        <v>9065</v>
      </c>
      <c r="K1399" s="10" t="s">
        <v>9022</v>
      </c>
      <c r="L1399" s="8" t="s">
        <v>8067</v>
      </c>
      <c r="M1399" s="8" t="s">
        <v>1938</v>
      </c>
      <c r="N1399" s="8" t="s">
        <v>9023</v>
      </c>
      <c r="O1399" s="8" t="s">
        <v>1938</v>
      </c>
      <c r="P1399" s="8" t="s">
        <v>9024</v>
      </c>
      <c r="Q1399" s="8"/>
      <c r="R1399" s="8"/>
      <c r="S1399" s="8"/>
      <c r="T1399" s="8"/>
      <c r="U1399" s="8"/>
      <c r="V1399" s="8"/>
      <c r="W1399" s="8"/>
      <c r="X1399" s="8"/>
      <c r="Y1399" s="8"/>
    </row>
    <row r="1400" ht="14.25">
      <c r="B1400" s="8" t="s">
        <v>1853</v>
      </c>
      <c r="C1400" s="8" t="s">
        <v>7707</v>
      </c>
      <c r="D1400" s="8" t="s">
        <v>265</v>
      </c>
      <c r="E1400" s="8" t="s">
        <v>7708</v>
      </c>
      <c r="F1400" s="8" t="s">
        <v>7709</v>
      </c>
      <c r="G1400" s="9">
        <v>84</v>
      </c>
      <c r="H1400" s="8" t="s">
        <v>36</v>
      </c>
      <c r="I1400" s="8" t="str">
        <f>IFERROR(__XLUDF.DUMMYFUNCTION("VLOOKUP(H193,IMPORTRANGE(""https://docs.google.com/spreadsheets/d/1opm6ZNvGZ7KditA9TuJwrZ25eFLfTNIkrNnY6mhV5Eg"",""list!A1:C115""),3,TRUE)"),"le secteur de la restauration")</f>
        <v xml:space="preserve">le secteur de la restauration</v>
      </c>
      <c r="J1400" s="10" t="s">
        <v>7710</v>
      </c>
      <c r="K1400" s="10" t="s">
        <v>9066</v>
      </c>
      <c r="L1400" s="8" t="s">
        <v>39</v>
      </c>
      <c r="M1400" s="8" t="s">
        <v>29</v>
      </c>
      <c r="N1400" s="8" t="s">
        <v>7712</v>
      </c>
      <c r="O1400" s="8" t="s">
        <v>29</v>
      </c>
      <c r="P1400" s="8" t="s">
        <v>9067</v>
      </c>
      <c r="Q1400" s="8"/>
      <c r="R1400" s="8"/>
      <c r="S1400" s="8"/>
      <c r="T1400" s="8"/>
      <c r="U1400" s="8"/>
      <c r="V1400" s="8"/>
      <c r="W1400" s="8"/>
      <c r="X1400" s="8"/>
      <c r="Y1400" s="8"/>
    </row>
    <row r="1401" ht="14.25">
      <c r="B1401" s="8" t="s">
        <v>2398</v>
      </c>
      <c r="C1401" s="8" t="s">
        <v>9068</v>
      </c>
      <c r="D1401" s="8" t="s">
        <v>9069</v>
      </c>
      <c r="E1401" s="8" t="s">
        <v>3583</v>
      </c>
      <c r="F1401" s="8" t="s">
        <v>9070</v>
      </c>
      <c r="G1401" s="9">
        <v>46</v>
      </c>
      <c r="H1401" s="8" t="s">
        <v>36</v>
      </c>
      <c r="I1401" s="8" t="str">
        <f>IFERROR(__XLUDF.DUMMYFUNCTION("VLOOKUP(H194,IMPORTRANGE(""https://docs.google.com/spreadsheets/d/1opm6ZNvGZ7KditA9TuJwrZ25eFLfTNIkrNnY6mhV5Eg"",""list!A1:C115""),3,TRUE)"),"le secteur de la restauration")</f>
        <v xml:space="preserve">le secteur de la restauration</v>
      </c>
      <c r="J1401" s="10" t="s">
        <v>9071</v>
      </c>
      <c r="K1401" s="10" t="s">
        <v>3586</v>
      </c>
      <c r="L1401" s="8" t="s">
        <v>185</v>
      </c>
      <c r="M1401" s="8" t="s">
        <v>29</v>
      </c>
      <c r="N1401" s="8" t="s">
        <v>3587</v>
      </c>
      <c r="O1401" s="8" t="s">
        <v>29</v>
      </c>
      <c r="P1401" s="8" t="s">
        <v>3588</v>
      </c>
      <c r="Q1401" s="8"/>
      <c r="R1401" s="8"/>
      <c r="S1401" s="8"/>
      <c r="T1401" s="8"/>
      <c r="U1401" s="8"/>
      <c r="V1401" s="8"/>
      <c r="W1401" s="8"/>
      <c r="X1401" s="8"/>
      <c r="Y1401" s="8"/>
    </row>
    <row r="1402" ht="14.25">
      <c r="B1402" s="8" t="s">
        <v>7323</v>
      </c>
      <c r="C1402" s="8" t="s">
        <v>9072</v>
      </c>
      <c r="D1402" s="8" t="s">
        <v>9073</v>
      </c>
      <c r="E1402" s="8" t="s">
        <v>7865</v>
      </c>
      <c r="F1402" s="8" t="s">
        <v>9074</v>
      </c>
      <c r="G1402" s="9">
        <v>98</v>
      </c>
      <c r="H1402" s="8" t="s">
        <v>36</v>
      </c>
      <c r="I1402" s="8" t="str">
        <f>IFERROR(__XLUDF.DUMMYFUNCTION("VLOOKUP(H195,IMPORTRANGE(""https://docs.google.com/spreadsheets/d/1opm6ZNvGZ7KditA9TuJwrZ25eFLfTNIkrNnY6mhV5Eg"",""list!A1:C115""),3,TRUE)"),"le secteur de la restauration")</f>
        <v xml:space="preserve">le secteur de la restauration</v>
      </c>
      <c r="J1402" s="10" t="s">
        <v>9075</v>
      </c>
      <c r="K1402" s="10" t="s">
        <v>9076</v>
      </c>
      <c r="L1402" s="8"/>
      <c r="M1402" s="8" t="s">
        <v>29</v>
      </c>
      <c r="N1402" s="8" t="s">
        <v>7869</v>
      </c>
      <c r="O1402" s="8" t="s">
        <v>29</v>
      </c>
      <c r="P1402" s="8" t="s">
        <v>7870</v>
      </c>
      <c r="Q1402" s="8"/>
      <c r="R1402" s="8"/>
      <c r="S1402" s="8"/>
      <c r="T1402" s="8"/>
      <c r="U1402" s="8"/>
      <c r="V1402" s="8"/>
      <c r="W1402" s="8"/>
      <c r="X1402" s="8"/>
      <c r="Y1402" s="8"/>
    </row>
    <row r="1403" ht="14.25">
      <c r="B1403" s="8" t="s">
        <v>588</v>
      </c>
      <c r="C1403" s="8" t="s">
        <v>7735</v>
      </c>
      <c r="D1403" s="8" t="s">
        <v>7736</v>
      </c>
      <c r="E1403" s="8" t="s">
        <v>7472</v>
      </c>
      <c r="F1403" s="8" t="s">
        <v>7737</v>
      </c>
      <c r="G1403" s="9">
        <v>110</v>
      </c>
      <c r="H1403" s="8" t="s">
        <v>36</v>
      </c>
      <c r="I1403" s="8" t="str">
        <f>IFERROR(__XLUDF.DUMMYFUNCTION("VLOOKUP(H196,IMPORTRANGE(""https://docs.google.com/spreadsheets/d/1opm6ZNvGZ7KditA9TuJwrZ25eFLfTNIkrNnY6mhV5Eg"",""list!A1:C115""),3,TRUE)"),"le secteur de la restauration")</f>
        <v xml:space="preserve">le secteur de la restauration</v>
      </c>
      <c r="J1403" s="10" t="s">
        <v>7738</v>
      </c>
      <c r="K1403" s="10" t="s">
        <v>9077</v>
      </c>
      <c r="L1403" s="8" t="s">
        <v>1419</v>
      </c>
      <c r="M1403" s="8" t="s">
        <v>29</v>
      </c>
      <c r="N1403" s="8" t="s">
        <v>7476</v>
      </c>
      <c r="O1403" s="8" t="s">
        <v>1548</v>
      </c>
      <c r="P1403" s="8" t="s">
        <v>7477</v>
      </c>
      <c r="Q1403" s="8"/>
      <c r="R1403" s="8"/>
      <c r="S1403" s="8"/>
      <c r="T1403" s="8"/>
      <c r="U1403" s="8"/>
      <c r="V1403" s="8"/>
      <c r="W1403" s="8"/>
      <c r="X1403" s="8"/>
      <c r="Y1403" s="8"/>
    </row>
    <row r="1404" ht="14.25">
      <c r="B1404" s="8" t="s">
        <v>6931</v>
      </c>
      <c r="C1404" s="8" t="s">
        <v>7960</v>
      </c>
      <c r="D1404" s="8" t="s">
        <v>62</v>
      </c>
      <c r="E1404" s="8" t="s">
        <v>7961</v>
      </c>
      <c r="F1404" s="8" t="s">
        <v>7962</v>
      </c>
      <c r="G1404" s="9">
        <v>79</v>
      </c>
      <c r="H1404" s="8" t="s">
        <v>36</v>
      </c>
      <c r="I1404" s="8" t="str">
        <f>IFERROR(__XLUDF.DUMMYFUNCTION("VLOOKUP(H197,IMPORTRANGE(""https://docs.google.com/spreadsheets/d/1opm6ZNvGZ7KditA9TuJwrZ25eFLfTNIkrNnY6mhV5Eg"",""list!A1:C115""),3,TRUE)"),"le secteur de la restauration")</f>
        <v xml:space="preserve">le secteur de la restauration</v>
      </c>
      <c r="J1404" s="10" t="s">
        <v>7963</v>
      </c>
      <c r="K1404" s="10" t="s">
        <v>9078</v>
      </c>
      <c r="L1404" s="8" t="s">
        <v>7965</v>
      </c>
      <c r="M1404" s="8" t="s">
        <v>29</v>
      </c>
      <c r="N1404" s="8" t="s">
        <v>7966</v>
      </c>
      <c r="O1404" s="8" t="s">
        <v>29</v>
      </c>
      <c r="P1404" s="8" t="s">
        <v>7967</v>
      </c>
      <c r="Q1404" s="8"/>
      <c r="R1404" s="8"/>
      <c r="S1404" s="8"/>
      <c r="T1404" s="8"/>
      <c r="U1404" s="8"/>
      <c r="V1404" s="8"/>
      <c r="W1404" s="8"/>
      <c r="X1404" s="8"/>
      <c r="Y1404" s="8"/>
    </row>
    <row r="1405" ht="14.25">
      <c r="B1405" s="8" t="s">
        <v>1583</v>
      </c>
      <c r="C1405" s="8" t="s">
        <v>7980</v>
      </c>
      <c r="D1405" s="8" t="s">
        <v>7981</v>
      </c>
      <c r="E1405" s="8" t="s">
        <v>7664</v>
      </c>
      <c r="F1405" s="8" t="s">
        <v>7982</v>
      </c>
      <c r="G1405" s="9">
        <v>200</v>
      </c>
      <c r="H1405" s="8" t="s">
        <v>36</v>
      </c>
      <c r="I1405" s="8" t="str">
        <f>IFERROR(__XLUDF.DUMMYFUNCTION("VLOOKUP(H198,IMPORTRANGE(""https://docs.google.com/spreadsheets/d/1opm6ZNvGZ7KditA9TuJwrZ25eFLfTNIkrNnY6mhV5Eg"",""list!A1:C115""),3,TRUE)"),"le secteur de la restauration")</f>
        <v xml:space="preserve">le secteur de la restauration</v>
      </c>
      <c r="J1405" s="10" t="s">
        <v>7983</v>
      </c>
      <c r="K1405" s="10" t="s">
        <v>9079</v>
      </c>
      <c r="L1405" s="8" t="s">
        <v>1460</v>
      </c>
      <c r="M1405" s="8" t="s">
        <v>29</v>
      </c>
      <c r="N1405" s="8" t="s">
        <v>7668</v>
      </c>
      <c r="O1405" s="8" t="s">
        <v>29</v>
      </c>
      <c r="P1405" s="8"/>
      <c r="Q1405" s="8"/>
      <c r="R1405" s="8"/>
      <c r="S1405" s="8"/>
      <c r="T1405" s="8"/>
      <c r="U1405" s="8"/>
      <c r="V1405" s="8"/>
      <c r="W1405" s="8"/>
      <c r="X1405" s="8"/>
      <c r="Y1405" s="8"/>
    </row>
    <row r="1406" ht="14.25">
      <c r="B1406" s="8" t="s">
        <v>1583</v>
      </c>
      <c r="C1406" s="8" t="s">
        <v>7984</v>
      </c>
      <c r="D1406" s="8" t="s">
        <v>3611</v>
      </c>
      <c r="E1406" s="8" t="s">
        <v>7985</v>
      </c>
      <c r="F1406" s="8" t="s">
        <v>7986</v>
      </c>
      <c r="G1406" s="9">
        <v>120</v>
      </c>
      <c r="H1406" s="8" t="s">
        <v>36</v>
      </c>
      <c r="I1406" s="8" t="str">
        <f>IFERROR(__XLUDF.DUMMYFUNCTION("VLOOKUP(H199,IMPORTRANGE(""https://docs.google.com/spreadsheets/d/1opm6ZNvGZ7KditA9TuJwrZ25eFLfTNIkrNnY6mhV5Eg"",""list!A1:C115""),3,TRUE)"),"le secteur de la restauration")</f>
        <v xml:space="preserve">le secteur de la restauration</v>
      </c>
      <c r="J1406" s="10" t="s">
        <v>7987</v>
      </c>
      <c r="K1406" s="10" t="s">
        <v>9080</v>
      </c>
      <c r="L1406" s="8" t="s">
        <v>39</v>
      </c>
      <c r="M1406" s="8" t="s">
        <v>29</v>
      </c>
      <c r="N1406" s="8" t="s">
        <v>7989</v>
      </c>
      <c r="O1406" s="8" t="s">
        <v>29</v>
      </c>
      <c r="P1406" s="8" t="s">
        <v>7990</v>
      </c>
      <c r="Q1406" s="8"/>
      <c r="R1406" s="8"/>
      <c r="S1406" s="8"/>
      <c r="T1406" s="8"/>
      <c r="U1406" s="8"/>
      <c r="V1406" s="8"/>
      <c r="W1406" s="8"/>
      <c r="X1406" s="8"/>
      <c r="Y1406" s="8"/>
    </row>
    <row r="1407" ht="14.25">
      <c r="B1407" s="8" t="s">
        <v>1583</v>
      </c>
      <c r="C1407" s="8" t="s">
        <v>7991</v>
      </c>
      <c r="D1407" s="8" t="s">
        <v>7992</v>
      </c>
      <c r="E1407" s="8" t="s">
        <v>7993</v>
      </c>
      <c r="F1407" s="8" t="s">
        <v>7994</v>
      </c>
      <c r="G1407" s="9">
        <v>120</v>
      </c>
      <c r="H1407" s="8" t="s">
        <v>36</v>
      </c>
      <c r="I1407" s="8" t="str">
        <f>IFERROR(__XLUDF.DUMMYFUNCTION("VLOOKUP(H200,IMPORTRANGE(""https://docs.google.com/spreadsheets/d/1opm6ZNvGZ7KditA9TuJwrZ25eFLfTNIkrNnY6mhV5Eg"",""list!A1:C115""),3,TRUE)"),"le secteur de la restauration")</f>
        <v xml:space="preserve">le secteur de la restauration</v>
      </c>
      <c r="J1407" s="10" t="s">
        <v>7995</v>
      </c>
      <c r="K1407" s="10" t="s">
        <v>9081</v>
      </c>
      <c r="L1407" s="8" t="s">
        <v>39</v>
      </c>
      <c r="M1407" s="8" t="s">
        <v>29</v>
      </c>
      <c r="N1407" s="8" t="s">
        <v>7997</v>
      </c>
      <c r="O1407" s="8" t="s">
        <v>2388</v>
      </c>
      <c r="P1407" s="8" t="s">
        <v>7998</v>
      </c>
      <c r="Q1407" s="8"/>
      <c r="R1407" s="8"/>
      <c r="S1407" s="8"/>
      <c r="T1407" s="8"/>
      <c r="U1407" s="8"/>
      <c r="V1407" s="8"/>
      <c r="W1407" s="8"/>
      <c r="X1407" s="8"/>
      <c r="Y1407" s="8"/>
    </row>
    <row r="1408" ht="14.25">
      <c r="B1408" s="8" t="s">
        <v>9082</v>
      </c>
      <c r="C1408" s="8" t="s">
        <v>9083</v>
      </c>
      <c r="D1408" s="8" t="s">
        <v>9084</v>
      </c>
      <c r="E1408" s="8" t="s">
        <v>1108</v>
      </c>
      <c r="F1408" s="8" t="s">
        <v>9085</v>
      </c>
      <c r="G1408" s="9">
        <v>42</v>
      </c>
      <c r="H1408" s="8" t="s">
        <v>36</v>
      </c>
      <c r="I1408" s="8" t="str">
        <f>IFERROR(__XLUDF.DUMMYFUNCTION("VLOOKUP(H201,IMPORTRANGE(""https://docs.google.com/spreadsheets/d/1opm6ZNvGZ7KditA9TuJwrZ25eFLfTNIkrNnY6mhV5Eg"",""list!A1:C115""),3,TRUE)"),"le secteur de la restauration")</f>
        <v xml:space="preserve">le secteur de la restauration</v>
      </c>
      <c r="J1408" s="10" t="s">
        <v>9086</v>
      </c>
      <c r="K1408" s="10" t="s">
        <v>1111</v>
      </c>
      <c r="L1408" s="8" t="s">
        <v>39</v>
      </c>
      <c r="M1408" s="8" t="s">
        <v>29</v>
      </c>
      <c r="N1408" s="8" t="s">
        <v>1112</v>
      </c>
      <c r="O1408" s="8" t="s">
        <v>29</v>
      </c>
      <c r="P1408" s="8" t="s">
        <v>1113</v>
      </c>
      <c r="Q1408" s="8"/>
      <c r="R1408" s="8"/>
      <c r="S1408" s="8"/>
      <c r="T1408" s="8"/>
      <c r="U1408" s="8"/>
      <c r="V1408" s="8"/>
      <c r="W1408" s="8"/>
      <c r="X1408" s="8"/>
      <c r="Y1408" s="8"/>
    </row>
    <row r="1409" ht="14.25">
      <c r="B1409" s="8" t="s">
        <v>548</v>
      </c>
      <c r="C1409" s="8" t="s">
        <v>9087</v>
      </c>
      <c r="D1409" s="8" t="s">
        <v>8647</v>
      </c>
      <c r="E1409" s="8" t="s">
        <v>7595</v>
      </c>
      <c r="F1409" s="8" t="s">
        <v>9088</v>
      </c>
      <c r="G1409" s="9">
        <v>210</v>
      </c>
      <c r="H1409" s="8" t="s">
        <v>36</v>
      </c>
      <c r="I1409" s="8" t="str">
        <f>IFERROR(__XLUDF.DUMMYFUNCTION("VLOOKUP(H202,IMPORTRANGE(""https://docs.google.com/spreadsheets/d/1opm6ZNvGZ7KditA9TuJwrZ25eFLfTNIkrNnY6mhV5Eg"",""list!A1:C115""),3,TRUE)"),"le secteur de la restauration")</f>
        <v xml:space="preserve">le secteur de la restauration</v>
      </c>
      <c r="J1409" s="10" t="s">
        <v>9089</v>
      </c>
      <c r="K1409" s="10" t="s">
        <v>8874</v>
      </c>
      <c r="L1409" s="8" t="s">
        <v>39</v>
      </c>
      <c r="M1409" s="8" t="s">
        <v>29</v>
      </c>
      <c r="N1409" s="8" t="s">
        <v>7599</v>
      </c>
      <c r="O1409" s="8" t="s">
        <v>29</v>
      </c>
      <c r="P1409" s="8" t="s">
        <v>7600</v>
      </c>
      <c r="Q1409" s="8"/>
      <c r="R1409" s="8"/>
      <c r="S1409" s="8"/>
      <c r="T1409" s="8"/>
      <c r="U1409" s="8"/>
      <c r="V1409" s="8"/>
      <c r="W1409" s="8"/>
      <c r="X1409" s="8"/>
      <c r="Y1409" s="8"/>
    </row>
    <row r="1410" ht="14.25">
      <c r="B1410" s="8" t="s">
        <v>548</v>
      </c>
      <c r="C1410" s="8" t="s">
        <v>7374</v>
      </c>
      <c r="D1410" s="8" t="s">
        <v>4449</v>
      </c>
      <c r="E1410" s="8" t="s">
        <v>7375</v>
      </c>
      <c r="F1410" s="8" t="s">
        <v>7376</v>
      </c>
      <c r="G1410" s="9">
        <v>5</v>
      </c>
      <c r="H1410" s="8" t="s">
        <v>36</v>
      </c>
      <c r="I1410" s="8" t="str">
        <f>IFERROR(__XLUDF.DUMMYFUNCTION("VLOOKUP(H203,IMPORTRANGE(""https://docs.google.com/spreadsheets/d/1opm6ZNvGZ7KditA9TuJwrZ25eFLfTNIkrNnY6mhV5Eg"",""list!A1:C115""),3,TRUE)"),"le secteur de la restauration")</f>
        <v xml:space="preserve">le secteur de la restauration</v>
      </c>
      <c r="J1410" s="10" t="s">
        <v>7377</v>
      </c>
      <c r="K1410" s="10" t="s">
        <v>9090</v>
      </c>
      <c r="L1410" s="8" t="s">
        <v>39</v>
      </c>
      <c r="M1410" s="8" t="s">
        <v>29</v>
      </c>
      <c r="N1410" s="8"/>
      <c r="O1410" s="8"/>
      <c r="P1410" s="8" t="s">
        <v>7379</v>
      </c>
      <c r="Q1410" s="8"/>
      <c r="R1410" s="8"/>
      <c r="S1410" s="8"/>
      <c r="T1410" s="8"/>
      <c r="U1410" s="8"/>
      <c r="V1410" s="8"/>
      <c r="W1410" s="8"/>
      <c r="X1410" s="8"/>
      <c r="Y1410" s="8"/>
    </row>
    <row r="1411" ht="14.25">
      <c r="B1411" s="8" t="s">
        <v>9091</v>
      </c>
      <c r="C1411" s="8" t="s">
        <v>9092</v>
      </c>
      <c r="D1411" s="8" t="s">
        <v>9093</v>
      </c>
      <c r="E1411" s="8" t="s">
        <v>9094</v>
      </c>
      <c r="F1411" s="8" t="s">
        <v>9095</v>
      </c>
      <c r="G1411" s="9">
        <v>26</v>
      </c>
      <c r="H1411" s="8" t="s">
        <v>36</v>
      </c>
      <c r="I1411" s="8" t="str">
        <f>IFERROR(__XLUDF.DUMMYFUNCTION("VLOOKUP(H204,IMPORTRANGE(""https://docs.google.com/spreadsheets/d/1opm6ZNvGZ7KditA9TuJwrZ25eFLfTNIkrNnY6mhV5Eg"",""list!A1:C115""),3,TRUE)"),"le secteur de la restauration")</f>
        <v xml:space="preserve">le secteur de la restauration</v>
      </c>
      <c r="J1411" s="10" t="s">
        <v>9096</v>
      </c>
      <c r="K1411" s="10" t="s">
        <v>9097</v>
      </c>
      <c r="L1411" s="8" t="s">
        <v>8067</v>
      </c>
      <c r="M1411" s="8" t="s">
        <v>1938</v>
      </c>
      <c r="N1411" s="8" t="s">
        <v>9098</v>
      </c>
      <c r="O1411" s="8" t="s">
        <v>1938</v>
      </c>
      <c r="P1411" s="8"/>
      <c r="Q1411" s="8"/>
      <c r="R1411" s="8"/>
      <c r="S1411" s="8"/>
      <c r="T1411" s="8"/>
      <c r="U1411" s="8"/>
      <c r="V1411" s="8"/>
      <c r="W1411" s="8"/>
      <c r="X1411" s="8"/>
      <c r="Y1411" s="8"/>
    </row>
    <row r="1412" ht="14.25">
      <c r="B1412" s="8" t="s">
        <v>7719</v>
      </c>
      <c r="C1412" s="8" t="s">
        <v>7720</v>
      </c>
      <c r="D1412" s="8" t="s">
        <v>672</v>
      </c>
      <c r="E1412" s="8" t="s">
        <v>7438</v>
      </c>
      <c r="F1412" s="8" t="s">
        <v>7721</v>
      </c>
      <c r="G1412" s="9">
        <v>74</v>
      </c>
      <c r="H1412" s="8" t="s">
        <v>36</v>
      </c>
      <c r="I1412" s="8" t="str">
        <f>IFERROR(__XLUDF.DUMMYFUNCTION("VLOOKUP(H205,IMPORTRANGE(""https://docs.google.com/spreadsheets/d/1opm6ZNvGZ7KditA9TuJwrZ25eFLfTNIkrNnY6mhV5Eg"",""list!A1:C115""),3,TRUE)"),"le secteur de la restauration")</f>
        <v xml:space="preserve">le secteur de la restauration</v>
      </c>
      <c r="J1412" s="10" t="s">
        <v>7722</v>
      </c>
      <c r="K1412" s="10" t="s">
        <v>9099</v>
      </c>
      <c r="L1412" s="8" t="s">
        <v>39</v>
      </c>
      <c r="M1412" s="8" t="s">
        <v>29</v>
      </c>
      <c r="N1412" s="8" t="s">
        <v>7442</v>
      </c>
      <c r="O1412" s="8" t="s">
        <v>29</v>
      </c>
      <c r="P1412" s="8" t="s">
        <v>9100</v>
      </c>
      <c r="Q1412" s="8"/>
      <c r="R1412" s="8"/>
      <c r="S1412" s="8"/>
      <c r="T1412" s="8"/>
      <c r="U1412" s="8"/>
      <c r="V1412" s="8"/>
      <c r="W1412" s="8"/>
      <c r="X1412" s="8"/>
      <c r="Y1412" s="8"/>
    </row>
    <row r="1413" ht="14.25">
      <c r="B1413" s="8" t="s">
        <v>808</v>
      </c>
      <c r="C1413" s="8" t="s">
        <v>7593</v>
      </c>
      <c r="D1413" s="8" t="s">
        <v>7594</v>
      </c>
      <c r="E1413" s="8" t="s">
        <v>7595</v>
      </c>
      <c r="F1413" s="8" t="s">
        <v>7596</v>
      </c>
      <c r="G1413" s="9">
        <v>210</v>
      </c>
      <c r="H1413" s="8" t="s">
        <v>36</v>
      </c>
      <c r="I1413" s="8" t="str">
        <f>IFERROR(__XLUDF.DUMMYFUNCTION("VLOOKUP(H206,IMPORTRANGE(""https://docs.google.com/spreadsheets/d/1opm6ZNvGZ7KditA9TuJwrZ25eFLfTNIkrNnY6mhV5Eg"",""list!A1:C115""),3,TRUE)"),"le secteur de la restauration")</f>
        <v xml:space="preserve">le secteur de la restauration</v>
      </c>
      <c r="J1413" s="10" t="s">
        <v>7597</v>
      </c>
      <c r="K1413" s="10" t="s">
        <v>8874</v>
      </c>
      <c r="L1413" s="8" t="s">
        <v>39</v>
      </c>
      <c r="M1413" s="8" t="s">
        <v>29</v>
      </c>
      <c r="N1413" s="8" t="s">
        <v>7599</v>
      </c>
      <c r="O1413" s="8" t="s">
        <v>29</v>
      </c>
      <c r="P1413" s="8" t="s">
        <v>7600</v>
      </c>
      <c r="Q1413" s="8"/>
      <c r="R1413" s="8"/>
      <c r="S1413" s="8"/>
      <c r="T1413" s="8"/>
      <c r="U1413" s="8"/>
      <c r="V1413" s="8"/>
      <c r="W1413" s="8"/>
      <c r="X1413" s="8"/>
      <c r="Y1413" s="8"/>
    </row>
    <row r="1414" ht="14.25">
      <c r="B1414" s="8" t="s">
        <v>322</v>
      </c>
      <c r="C1414" s="8" t="s">
        <v>9101</v>
      </c>
      <c r="D1414" s="8" t="s">
        <v>9073</v>
      </c>
      <c r="E1414" s="8" t="s">
        <v>9102</v>
      </c>
      <c r="F1414" s="8" t="s">
        <v>9103</v>
      </c>
      <c r="G1414" s="9">
        <v>110</v>
      </c>
      <c r="H1414" s="8" t="s">
        <v>36</v>
      </c>
      <c r="I1414" s="8" t="str">
        <f>IFERROR(__XLUDF.DUMMYFUNCTION("VLOOKUP(H207,IMPORTRANGE(""https://docs.google.com/spreadsheets/d/1opm6ZNvGZ7KditA9TuJwrZ25eFLfTNIkrNnY6mhV5Eg"",""list!A1:C115""),3,TRUE)"),"le secteur de la restauration")</f>
        <v xml:space="preserve">le secteur de la restauration</v>
      </c>
      <c r="J1414" s="10" t="s">
        <v>9104</v>
      </c>
      <c r="K1414" s="10" t="s">
        <v>9105</v>
      </c>
      <c r="L1414" s="8" t="s">
        <v>6192</v>
      </c>
      <c r="M1414" s="8" t="s">
        <v>29</v>
      </c>
      <c r="N1414" s="8" t="s">
        <v>9106</v>
      </c>
      <c r="O1414" s="8" t="s">
        <v>29</v>
      </c>
      <c r="P1414" s="8"/>
      <c r="Q1414" s="8"/>
      <c r="R1414" s="8"/>
      <c r="S1414" s="8"/>
      <c r="T1414" s="8"/>
      <c r="U1414" s="8"/>
      <c r="V1414" s="8"/>
      <c r="W1414" s="8"/>
      <c r="X1414" s="8"/>
      <c r="Y1414" s="8"/>
    </row>
    <row r="1415" ht="14.25">
      <c r="B1415" s="8" t="s">
        <v>1215</v>
      </c>
      <c r="C1415" s="8" t="s">
        <v>7863</v>
      </c>
      <c r="D1415" s="8" t="s">
        <v>7864</v>
      </c>
      <c r="E1415" s="8" t="s">
        <v>7865</v>
      </c>
      <c r="F1415" s="8" t="s">
        <v>7866</v>
      </c>
      <c r="G1415" s="9">
        <v>98</v>
      </c>
      <c r="H1415" s="8" t="s">
        <v>36</v>
      </c>
      <c r="I1415" s="8" t="str">
        <f>IFERROR(__XLUDF.DUMMYFUNCTION("VLOOKUP(H208,IMPORTRANGE(""https://docs.google.com/spreadsheets/d/1opm6ZNvGZ7KditA9TuJwrZ25eFLfTNIkrNnY6mhV5Eg"",""list!A1:C115""),3,TRUE)"),"le secteur de la restauration")</f>
        <v xml:space="preserve">le secteur de la restauration</v>
      </c>
      <c r="J1415" s="10" t="s">
        <v>7867</v>
      </c>
      <c r="K1415" s="10" t="s">
        <v>9076</v>
      </c>
      <c r="L1415" s="8" t="s">
        <v>6603</v>
      </c>
      <c r="M1415" s="8" t="s">
        <v>29</v>
      </c>
      <c r="N1415" s="8" t="s">
        <v>7869</v>
      </c>
      <c r="O1415" s="8" t="s">
        <v>29</v>
      </c>
      <c r="P1415" s="8" t="s">
        <v>7870</v>
      </c>
      <c r="Q1415" s="8"/>
      <c r="R1415" s="8"/>
      <c r="S1415" s="8"/>
      <c r="T1415" s="8"/>
      <c r="U1415" s="8"/>
      <c r="V1415" s="8"/>
      <c r="W1415" s="8"/>
      <c r="X1415" s="8"/>
      <c r="Y1415" s="8"/>
    </row>
    <row r="1416" ht="14.25">
      <c r="B1416" s="8" t="s">
        <v>3540</v>
      </c>
      <c r="C1416" s="8" t="s">
        <v>9107</v>
      </c>
      <c r="D1416" s="8" t="s">
        <v>9108</v>
      </c>
      <c r="E1416" s="8" t="s">
        <v>9109</v>
      </c>
      <c r="F1416" s="8" t="s">
        <v>9110</v>
      </c>
      <c r="G1416" s="9">
        <v>190</v>
      </c>
      <c r="H1416" s="8" t="s">
        <v>36</v>
      </c>
      <c r="I1416" s="8" t="str">
        <f>IFERROR(__XLUDF.DUMMYFUNCTION("VLOOKUP(H209,IMPORTRANGE(""https://docs.google.com/spreadsheets/d/1opm6ZNvGZ7KditA9TuJwrZ25eFLfTNIkrNnY6mhV5Eg"",""list!A1:C115""),3,TRUE)"),"le secteur de la restauration")</f>
        <v xml:space="preserve">le secteur de la restauration</v>
      </c>
      <c r="J1416" s="10" t="s">
        <v>9111</v>
      </c>
      <c r="K1416" s="10" t="s">
        <v>9112</v>
      </c>
      <c r="L1416" s="8" t="s">
        <v>846</v>
      </c>
      <c r="M1416" s="8" t="s">
        <v>29</v>
      </c>
      <c r="N1416" s="8" t="s">
        <v>9113</v>
      </c>
      <c r="O1416" s="8" t="s">
        <v>29</v>
      </c>
      <c r="P1416" s="8"/>
      <c r="Q1416" s="8"/>
      <c r="R1416" s="8"/>
      <c r="S1416" s="8"/>
      <c r="T1416" s="8"/>
      <c r="U1416" s="8"/>
      <c r="V1416" s="8"/>
      <c r="W1416" s="8"/>
      <c r="X1416" s="8"/>
      <c r="Y1416" s="8"/>
    </row>
    <row r="1417" ht="14.25">
      <c r="B1417" s="8" t="s">
        <v>8136</v>
      </c>
      <c r="C1417" s="8" t="s">
        <v>9114</v>
      </c>
      <c r="D1417" s="8" t="s">
        <v>87</v>
      </c>
      <c r="E1417" s="8" t="s">
        <v>9115</v>
      </c>
      <c r="F1417" s="8" t="s">
        <v>9116</v>
      </c>
      <c r="G1417" s="9">
        <v>36</v>
      </c>
      <c r="H1417" s="8" t="s">
        <v>36</v>
      </c>
      <c r="I1417" s="8" t="str">
        <f>IFERROR(__XLUDF.DUMMYFUNCTION("VLOOKUP(H210,IMPORTRANGE(""https://docs.google.com/spreadsheets/d/1opm6ZNvGZ7KditA9TuJwrZ25eFLfTNIkrNnY6mhV5Eg"",""list!A1:C115""),3,TRUE)"),"le secteur de la restauration")</f>
        <v xml:space="preserve">le secteur de la restauration</v>
      </c>
      <c r="J1417" s="10" t="s">
        <v>9117</v>
      </c>
      <c r="K1417" s="10" t="s">
        <v>9118</v>
      </c>
      <c r="L1417" s="8" t="s">
        <v>8124</v>
      </c>
      <c r="M1417" s="8" t="s">
        <v>1938</v>
      </c>
      <c r="N1417" s="8" t="s">
        <v>9119</v>
      </c>
      <c r="O1417" s="8" t="s">
        <v>1938</v>
      </c>
      <c r="P1417" s="8" t="s">
        <v>9120</v>
      </c>
      <c r="Q1417" s="8"/>
      <c r="R1417" s="8"/>
      <c r="S1417" s="8"/>
      <c r="T1417" s="8"/>
      <c r="U1417" s="8"/>
      <c r="V1417" s="8"/>
      <c r="W1417" s="8"/>
      <c r="X1417" s="8"/>
      <c r="Y1417" s="8"/>
    </row>
    <row r="1418" ht="14.25">
      <c r="B1418" s="8" t="s">
        <v>7436</v>
      </c>
      <c r="C1418" s="8" t="s">
        <v>7437</v>
      </c>
      <c r="D1418" s="8" t="s">
        <v>503</v>
      </c>
      <c r="E1418" s="8" t="s">
        <v>7438</v>
      </c>
      <c r="F1418" s="8" t="s">
        <v>7439</v>
      </c>
      <c r="G1418" s="9">
        <v>74</v>
      </c>
      <c r="H1418" s="8" t="s">
        <v>36</v>
      </c>
      <c r="I1418" s="8" t="str">
        <f>IFERROR(__XLUDF.DUMMYFUNCTION("VLOOKUP(H211,IMPORTRANGE(""https://docs.google.com/spreadsheets/d/1opm6ZNvGZ7KditA9TuJwrZ25eFLfTNIkrNnY6mhV5Eg"",""list!A1:C115""),3,TRUE)"),"le secteur de la restauration")</f>
        <v xml:space="preserve">le secteur de la restauration</v>
      </c>
      <c r="J1418" s="10" t="s">
        <v>7440</v>
      </c>
      <c r="K1418" s="10" t="s">
        <v>9099</v>
      </c>
      <c r="L1418" s="8" t="s">
        <v>39</v>
      </c>
      <c r="M1418" s="8" t="s">
        <v>29</v>
      </c>
      <c r="N1418" s="8" t="s">
        <v>7442</v>
      </c>
      <c r="O1418" s="8" t="s">
        <v>29</v>
      </c>
      <c r="P1418" s="8" t="s">
        <v>9100</v>
      </c>
      <c r="Q1418" s="8"/>
      <c r="R1418" s="8"/>
      <c r="S1418" s="8"/>
      <c r="T1418" s="8"/>
      <c r="U1418" s="8"/>
      <c r="V1418" s="8"/>
      <c r="W1418" s="8"/>
      <c r="X1418" s="8"/>
      <c r="Y1418" s="8"/>
    </row>
    <row r="1419" ht="14.25">
      <c r="B1419" s="8" t="s">
        <v>9121</v>
      </c>
      <c r="C1419" s="8" t="s">
        <v>9122</v>
      </c>
      <c r="D1419" s="8" t="s">
        <v>62</v>
      </c>
      <c r="E1419" s="8" t="s">
        <v>9123</v>
      </c>
      <c r="F1419" s="8" t="s">
        <v>9124</v>
      </c>
      <c r="G1419" s="9">
        <v>12</v>
      </c>
      <c r="H1419" s="8" t="s">
        <v>36</v>
      </c>
      <c r="I1419" s="8" t="str">
        <f>IFERROR(__XLUDF.DUMMYFUNCTION("VLOOKUP(H212,IMPORTRANGE(""https://docs.google.com/spreadsheets/d/1opm6ZNvGZ7KditA9TuJwrZ25eFLfTNIkrNnY6mhV5Eg"",""list!A1:C115""),3,TRUE)"),"le secteur de la restauration")</f>
        <v xml:space="preserve">le secteur de la restauration</v>
      </c>
      <c r="J1419" s="10" t="s">
        <v>9125</v>
      </c>
      <c r="K1419" s="10" t="s">
        <v>9126</v>
      </c>
      <c r="L1419" s="8" t="s">
        <v>8086</v>
      </c>
      <c r="M1419" s="8" t="s">
        <v>1938</v>
      </c>
      <c r="N1419" s="8" t="s">
        <v>8682</v>
      </c>
      <c r="O1419" s="8" t="s">
        <v>1938</v>
      </c>
      <c r="P1419" s="8" t="s">
        <v>9127</v>
      </c>
      <c r="Q1419" s="8"/>
      <c r="R1419" s="8"/>
      <c r="S1419" s="8"/>
      <c r="T1419" s="8"/>
      <c r="U1419" s="8"/>
      <c r="V1419" s="8"/>
      <c r="W1419" s="8"/>
      <c r="X1419" s="8"/>
      <c r="Y1419" s="8"/>
    </row>
    <row r="1420" ht="14.25">
      <c r="B1420" s="8" t="s">
        <v>8811</v>
      </c>
      <c r="C1420" s="8" t="s">
        <v>9128</v>
      </c>
      <c r="D1420" s="8" t="s">
        <v>8071</v>
      </c>
      <c r="E1420" s="8" t="s">
        <v>9123</v>
      </c>
      <c r="F1420" s="8" t="s">
        <v>9129</v>
      </c>
      <c r="G1420" s="9">
        <v>12</v>
      </c>
      <c r="H1420" s="8" t="s">
        <v>36</v>
      </c>
      <c r="I1420" s="8" t="str">
        <f>IFERROR(__XLUDF.DUMMYFUNCTION("VLOOKUP(H213,IMPORTRANGE(""https://docs.google.com/spreadsheets/d/1opm6ZNvGZ7KditA9TuJwrZ25eFLfTNIkrNnY6mhV5Eg"",""list!A1:C115""),3,TRUE)"),"le secteur de la restauration")</f>
        <v xml:space="preserve">le secteur de la restauration</v>
      </c>
      <c r="J1420" s="10" t="s">
        <v>9130</v>
      </c>
      <c r="K1420" s="10" t="s">
        <v>9126</v>
      </c>
      <c r="L1420" s="8" t="s">
        <v>8067</v>
      </c>
      <c r="M1420" s="8" t="s">
        <v>1938</v>
      </c>
      <c r="N1420" s="8" t="s">
        <v>8682</v>
      </c>
      <c r="O1420" s="8" t="s">
        <v>1938</v>
      </c>
      <c r="P1420" s="8" t="s">
        <v>9127</v>
      </c>
      <c r="Q1420" s="8"/>
      <c r="R1420" s="8"/>
      <c r="S1420" s="8"/>
      <c r="T1420" s="8"/>
      <c r="U1420" s="8"/>
      <c r="V1420" s="8"/>
      <c r="W1420" s="8"/>
      <c r="X1420" s="8"/>
      <c r="Y1420" s="8"/>
    </row>
    <row r="1421" ht="14.25">
      <c r="B1421" s="8"/>
      <c r="C1421" s="8"/>
      <c r="D1421" s="8"/>
      <c r="E1421" s="8"/>
      <c r="F1421" s="8"/>
      <c r="G1421" s="9"/>
      <c r="H1421" s="8"/>
      <c r="I1421" s="8"/>
      <c r="J1421" s="10"/>
      <c r="K1421" s="10"/>
      <c r="L1421" s="8"/>
      <c r="M1421" s="8"/>
      <c r="N1421" s="8"/>
      <c r="O1421" s="8"/>
      <c r="P1421" s="8"/>
      <c r="Q1421" s="8"/>
      <c r="R1421" s="8"/>
      <c r="S1421" s="8"/>
      <c r="T1421" s="8"/>
      <c r="U1421" s="8"/>
      <c r="V1421" s="8"/>
      <c r="W1421" s="8"/>
      <c r="X1421" s="8"/>
      <c r="Y1421" s="7"/>
    </row>
    <row r="1422" ht="14.25">
      <c r="B1422" s="8"/>
      <c r="C1422" s="8"/>
      <c r="D1422" s="8"/>
      <c r="E1422" s="8"/>
      <c r="F1422" s="8"/>
      <c r="G1422" s="9"/>
      <c r="H1422" s="8"/>
      <c r="I1422" s="8"/>
      <c r="J1422" s="10"/>
      <c r="K1422" s="10"/>
      <c r="L1422" s="8"/>
      <c r="M1422" s="8"/>
      <c r="N1422" s="8"/>
      <c r="O1422" s="8"/>
      <c r="P1422" s="8"/>
      <c r="Q1422" s="8"/>
      <c r="R1422" s="8"/>
      <c r="S1422" s="8"/>
      <c r="T1422" s="8"/>
      <c r="U1422" s="8"/>
      <c r="V1422" s="8"/>
      <c r="W1422" s="8"/>
      <c r="X1422" s="8"/>
      <c r="Y1422" s="7"/>
    </row>
    <row r="1423" ht="14.25">
      <c r="B1423" s="8"/>
      <c r="C1423" s="8"/>
      <c r="D1423" s="8"/>
      <c r="E1423" s="8"/>
      <c r="F1423" s="8"/>
      <c r="G1423" s="9"/>
      <c r="H1423" s="8"/>
      <c r="I1423" s="8"/>
      <c r="J1423" s="10"/>
      <c r="K1423" s="10"/>
      <c r="L1423" s="8"/>
      <c r="M1423" s="8"/>
      <c r="N1423" s="8"/>
      <c r="O1423" s="8"/>
      <c r="P1423" s="8"/>
      <c r="Q1423" s="8"/>
      <c r="R1423" s="8"/>
      <c r="S1423" s="8"/>
      <c r="T1423" s="8"/>
      <c r="U1423" s="8"/>
      <c r="V1423" s="8"/>
      <c r="W1423" s="8"/>
      <c r="X1423" s="8"/>
      <c r="Y1423" s="7"/>
    </row>
    <row r="1424" ht="14.25">
      <c r="B1424" s="12" t="s">
        <v>9131</v>
      </c>
      <c r="C1424" s="12" t="s">
        <v>9132</v>
      </c>
      <c r="D1424" s="12" t="s">
        <v>9133</v>
      </c>
      <c r="E1424" s="12" t="s">
        <v>9134</v>
      </c>
      <c r="F1424" s="12" t="s">
        <v>9135</v>
      </c>
      <c r="G1424" s="12" t="s">
        <v>9136</v>
      </c>
      <c r="H1424" s="12" t="s">
        <v>9137</v>
      </c>
      <c r="I1424" s="12" t="s">
        <v>9138</v>
      </c>
      <c r="J1424" s="12" t="s">
        <v>9139</v>
      </c>
      <c r="K1424" s="12" t="s">
        <v>9140</v>
      </c>
      <c r="L1424" s="12" t="s">
        <v>9141</v>
      </c>
      <c r="M1424" s="6"/>
      <c r="N1424" s="12" t="s">
        <v>9142</v>
      </c>
      <c r="O1424" s="12" t="s">
        <v>9143</v>
      </c>
      <c r="P1424" s="12" t="s">
        <v>9144</v>
      </c>
      <c r="Q1424" s="12" t="s">
        <v>9145</v>
      </c>
      <c r="R1424" s="12" t="s">
        <v>9146</v>
      </c>
      <c r="S1424" s="12" t="s">
        <v>9147</v>
      </c>
      <c r="T1424" s="12" t="s">
        <v>9148</v>
      </c>
      <c r="U1424" s="12" t="s">
        <v>9149</v>
      </c>
      <c r="V1424" s="12" t="s">
        <v>9150</v>
      </c>
      <c r="W1424" s="12" t="s">
        <v>9151</v>
      </c>
      <c r="X1424" s="12" t="s">
        <v>9152</v>
      </c>
      <c r="Y1424" s="12" t="s">
        <v>9153</v>
      </c>
      <c r="Z1424" s="12"/>
      <c r="AA1424" s="12" t="s">
        <v>9154</v>
      </c>
    </row>
    <row r="1425" ht="14.25">
      <c r="B1425" s="4" t="s">
        <v>9155</v>
      </c>
      <c r="C1425" s="4" t="s">
        <v>4605</v>
      </c>
      <c r="D1425" s="4" t="s">
        <v>9156</v>
      </c>
      <c r="E1425" s="4" t="s">
        <v>9157</v>
      </c>
      <c r="F1425" s="4" t="s">
        <v>172</v>
      </c>
      <c r="G1425" s="4" t="s">
        <v>9158</v>
      </c>
      <c r="H1425" s="4" t="str">
        <f>IFERROR(__XLUDF.DUMMYFUNCTION("PROPER(REGEXREPLACE(G2,""[^A-Za-z]+ "",""""))"),"Agence Jaam")</f>
        <v xml:space="preserve">Agence Jaam</v>
      </c>
      <c r="I1425" s="5" t="s">
        <v>9159</v>
      </c>
      <c r="J1425" s="4" t="s">
        <v>39</v>
      </c>
      <c r="K1425" s="4" t="s">
        <v>9160</v>
      </c>
      <c r="L1425" s="4" t="s">
        <v>29</v>
      </c>
      <c r="M1425" s="4" t="s">
        <v>9161</v>
      </c>
      <c r="N1425" s="4" t="str">
        <f>IFERROR(__XLUDF.DUMMYFUNCTION("VLOOKUP(M2,IMPORTRANGE(""https://docs.google.com/spreadsheets/d/1opm6ZNvGZ7KditA9TuJwrZ25eFLfTNIkrNnY6mhV5Eg"",""list!A1:C115""),3,TRUE)"),"le secteur du marketing")</f>
        <v xml:space="preserve">le secteur du marketing</v>
      </c>
      <c r="O1425" s="4" t="s">
        <v>9162</v>
      </c>
      <c r="P1425" s="4">
        <v>12</v>
      </c>
      <c r="Q1425" s="4" t="s">
        <v>39</v>
      </c>
      <c r="R1425" s="4" t="s">
        <v>9160</v>
      </c>
      <c r="S1425" s="4" t="s">
        <v>29</v>
      </c>
      <c r="T1425" s="5" t="s">
        <v>9163</v>
      </c>
      <c r="U1425" s="5" t="s">
        <v>9164</v>
      </c>
      <c r="V1425" s="6"/>
      <c r="W1425" s="6"/>
      <c r="X1425" s="6"/>
      <c r="Y1425" s="4" t="s">
        <v>9165</v>
      </c>
      <c r="Z1425" s="6"/>
      <c r="AA1425" s="5" t="s">
        <v>9166</v>
      </c>
    </row>
    <row r="1426" ht="14.25">
      <c r="B1426" s="4" t="s">
        <v>9167</v>
      </c>
      <c r="C1426" s="4" t="s">
        <v>874</v>
      </c>
      <c r="D1426" s="4" t="s">
        <v>9168</v>
      </c>
      <c r="E1426" s="4" t="s">
        <v>9169</v>
      </c>
      <c r="F1426" s="4" t="s">
        <v>172</v>
      </c>
      <c r="G1426" s="4" t="s">
        <v>9170</v>
      </c>
      <c r="H1426" s="4" t="str">
        <f>IFERROR(__XLUDF.DUMMYFUNCTION("PROPER(REGEXREPLACE(G3,""[^A-Za-z]+ "",""""))"),"Technic Bureau Sa")</f>
        <v xml:space="preserve">Technic Bureau Sa</v>
      </c>
      <c r="I1426" s="5" t="s">
        <v>9171</v>
      </c>
      <c r="J1426" s="4" t="s">
        <v>423</v>
      </c>
      <c r="K1426" s="4" t="s">
        <v>9172</v>
      </c>
      <c r="L1426" s="4" t="s">
        <v>29</v>
      </c>
      <c r="M1426" s="4" t="s">
        <v>2602</v>
      </c>
      <c r="N1426" s="4" t="str">
        <f>IFERROR(__XLUDF.DUMMYFUNCTION("VLOOKUP(M3,IMPORTRANGE(""https://docs.google.com/spreadsheets/d/1opm6ZNvGZ7KditA9TuJwrZ25eFLfTNIkrNnY6mhV5Eg"",""list!A1:C115""),3,TRUE)"),"le secteur de la tech")</f>
        <v xml:space="preserve">le secteur de la tech</v>
      </c>
      <c r="O1426" s="4" t="s">
        <v>9173</v>
      </c>
      <c r="P1426" s="4">
        <v>25</v>
      </c>
      <c r="Q1426" s="4" t="s">
        <v>9174</v>
      </c>
      <c r="R1426" s="4" t="s">
        <v>9172</v>
      </c>
      <c r="S1426" s="4" t="s">
        <v>29</v>
      </c>
      <c r="T1426" s="5" t="s">
        <v>9175</v>
      </c>
      <c r="U1426" s="6"/>
      <c r="V1426" s="6"/>
      <c r="W1426" s="6"/>
      <c r="X1426" s="6"/>
      <c r="Y1426" s="4" t="s">
        <v>9176</v>
      </c>
      <c r="Z1426" s="6"/>
      <c r="AA1426" s="5" t="s">
        <v>9177</v>
      </c>
    </row>
    <row r="1427" ht="14.25">
      <c r="B1427" s="4" t="s">
        <v>9178</v>
      </c>
      <c r="C1427" s="4" t="s">
        <v>9179</v>
      </c>
      <c r="D1427" s="4" t="s">
        <v>9180</v>
      </c>
      <c r="E1427" s="4" t="s">
        <v>9181</v>
      </c>
      <c r="F1427" s="4" t="s">
        <v>112</v>
      </c>
      <c r="G1427" s="4" t="s">
        <v>9182</v>
      </c>
      <c r="H1427" s="4" t="str">
        <f>IFERROR(__XLUDF.DUMMYFUNCTION("PROPER(REGEXREPLACE(G4,""[^A-Za-z]+ "",""""))"),"Open6")</f>
        <v>Open6</v>
      </c>
      <c r="I1427" s="5" t="s">
        <v>9183</v>
      </c>
      <c r="J1427" s="4" t="s">
        <v>585</v>
      </c>
      <c r="K1427" s="4" t="s">
        <v>9160</v>
      </c>
      <c r="L1427" s="4" t="s">
        <v>29</v>
      </c>
      <c r="M1427" s="4" t="s">
        <v>9184</v>
      </c>
      <c r="N1427" s="4" t="str">
        <f>IFERROR(__XLUDF.DUMMYFUNCTION("VLOOKUP(M4,IMPORTRANGE(""https://docs.google.com/spreadsheets/d/1opm6ZNvGZ7KditA9TuJwrZ25eFLfTNIkrNnY6mhV5Eg"",""list!A1:C115""),3,TRUE)"),"le secteur des télécommunications")</f>
        <v xml:space="preserve">le secteur des télécommunications</v>
      </c>
      <c r="O1427" s="4" t="s">
        <v>9185</v>
      </c>
      <c r="P1427" s="4">
        <v>16</v>
      </c>
      <c r="Q1427" s="4" t="s">
        <v>585</v>
      </c>
      <c r="R1427" s="4" t="s">
        <v>9160</v>
      </c>
      <c r="S1427" s="4" t="s">
        <v>29</v>
      </c>
      <c r="T1427" s="5" t="s">
        <v>9186</v>
      </c>
      <c r="U1427" s="6"/>
      <c r="V1427" s="6"/>
      <c r="W1427" s="6"/>
      <c r="X1427" s="6"/>
      <c r="Y1427" s="4" t="s">
        <v>9187</v>
      </c>
      <c r="Z1427" s="6"/>
      <c r="AA1427" s="5" t="s">
        <v>9188</v>
      </c>
    </row>
    <row r="1428" ht="14.25">
      <c r="B1428" s="4" t="s">
        <v>9189</v>
      </c>
      <c r="C1428" s="4" t="s">
        <v>2258</v>
      </c>
      <c r="D1428" s="4" t="s">
        <v>1775</v>
      </c>
      <c r="E1428" s="4" t="s">
        <v>9190</v>
      </c>
      <c r="F1428" s="4" t="s">
        <v>172</v>
      </c>
      <c r="G1428" s="4" t="s">
        <v>9191</v>
      </c>
      <c r="H1428" s="4" t="str">
        <f>IFERROR(__XLUDF.DUMMYFUNCTION("PROPER(REGEXREPLACE(G5,""[^A-Za-z]+ "",""""))"),"Infinity Automation")</f>
        <v xml:space="preserve">Infinity Automation</v>
      </c>
      <c r="I1428" s="5" t="s">
        <v>9192</v>
      </c>
      <c r="J1428" s="4" t="s">
        <v>185</v>
      </c>
      <c r="K1428" s="4" t="s">
        <v>9193</v>
      </c>
      <c r="L1428" s="4" t="s">
        <v>29</v>
      </c>
      <c r="M1428" s="4" t="s">
        <v>2602</v>
      </c>
      <c r="N1428" s="4" t="str">
        <f>IFERROR(__XLUDF.DUMMYFUNCTION("VLOOKUP(M5,IMPORTRANGE(""https://docs.google.com/spreadsheets/d/1opm6ZNvGZ7KditA9TuJwrZ25eFLfTNIkrNnY6mhV5Eg"",""list!A1:C115""),3,TRUE)"),"le secteur de la tech")</f>
        <v xml:space="preserve">le secteur de la tech</v>
      </c>
      <c r="O1428" s="4" t="s">
        <v>9194</v>
      </c>
      <c r="P1428" s="4">
        <v>18</v>
      </c>
      <c r="Q1428" s="4" t="s">
        <v>9195</v>
      </c>
      <c r="R1428" s="4" t="s">
        <v>9160</v>
      </c>
      <c r="S1428" s="4" t="s">
        <v>29</v>
      </c>
      <c r="T1428" s="5" t="s">
        <v>9196</v>
      </c>
      <c r="U1428" s="6"/>
      <c r="V1428" s="6"/>
      <c r="W1428" s="6"/>
      <c r="X1428" s="6"/>
      <c r="Y1428" s="4" t="s">
        <v>9197</v>
      </c>
      <c r="Z1428" s="6"/>
      <c r="AA1428" s="5" t="s">
        <v>9198</v>
      </c>
    </row>
    <row r="1429" ht="14.25">
      <c r="B1429" s="4" t="s">
        <v>9199</v>
      </c>
      <c r="C1429" s="4" t="s">
        <v>9200</v>
      </c>
      <c r="D1429" s="4" t="s">
        <v>9201</v>
      </c>
      <c r="E1429" s="4" t="s">
        <v>9202</v>
      </c>
      <c r="F1429" s="4" t="s">
        <v>2636</v>
      </c>
      <c r="G1429" s="4" t="s">
        <v>9203</v>
      </c>
      <c r="H1429" s="4" t="str">
        <f>IFERROR(__XLUDF.DUMMYFUNCTION("PROPER(REGEXREPLACE(G6,""[^A-Za-z]+ "",""""))"),"Umann")</f>
        <v>Umann</v>
      </c>
      <c r="I1429" s="5" t="s">
        <v>9204</v>
      </c>
      <c r="J1429" s="4" t="s">
        <v>39</v>
      </c>
      <c r="K1429" s="4" t="s">
        <v>9160</v>
      </c>
      <c r="L1429" s="4" t="s">
        <v>29</v>
      </c>
      <c r="M1429" s="4" t="s">
        <v>2602</v>
      </c>
      <c r="N1429" s="4" t="str">
        <f>IFERROR(__XLUDF.DUMMYFUNCTION("VLOOKUP(M6,IMPORTRANGE(""https://docs.google.com/spreadsheets/d/1opm6ZNvGZ7KditA9TuJwrZ25eFLfTNIkrNnY6mhV5Eg"",""list!A1:C115""),3,TRUE)"),"le secteur de la tech")</f>
        <v xml:space="preserve">le secteur de la tech</v>
      </c>
      <c r="O1429" s="4" t="s">
        <v>9205</v>
      </c>
      <c r="P1429" s="4">
        <v>12</v>
      </c>
      <c r="Q1429" s="4" t="s">
        <v>39</v>
      </c>
      <c r="R1429" s="4" t="s">
        <v>9160</v>
      </c>
      <c r="S1429" s="4" t="s">
        <v>29</v>
      </c>
      <c r="T1429" s="5" t="s">
        <v>9206</v>
      </c>
      <c r="U1429" s="6"/>
      <c r="V1429" s="6"/>
      <c r="W1429" s="6"/>
      <c r="X1429" s="6"/>
      <c r="Y1429" s="4" t="s">
        <v>9207</v>
      </c>
      <c r="Z1429" s="6"/>
      <c r="AA1429" s="5" t="s">
        <v>9208</v>
      </c>
    </row>
    <row r="1430" ht="14.25">
      <c r="B1430" s="4" t="s">
        <v>9209</v>
      </c>
      <c r="C1430" s="4" t="s">
        <v>9210</v>
      </c>
      <c r="D1430" s="4" t="s">
        <v>9211</v>
      </c>
      <c r="E1430" s="4" t="s">
        <v>9212</v>
      </c>
      <c r="F1430" s="4" t="s">
        <v>2636</v>
      </c>
      <c r="G1430" s="4" t="s">
        <v>9213</v>
      </c>
      <c r="H1430" s="4" t="str">
        <f>IFERROR(__XLUDF.DUMMYFUNCTION("PROPER(REGEXREPLACE(G7,""[^A-Za-z]+ "",""""))"),"Place To B")</f>
        <v xml:space="preserve">Place To B</v>
      </c>
      <c r="I1430" s="5" t="s">
        <v>9214</v>
      </c>
      <c r="J1430" s="4" t="s">
        <v>1780</v>
      </c>
      <c r="K1430" s="4" t="s">
        <v>9215</v>
      </c>
      <c r="L1430" s="4" t="s">
        <v>29</v>
      </c>
      <c r="M1430" s="4" t="s">
        <v>4067</v>
      </c>
      <c r="N1430" s="4" t="str">
        <f>IFERROR(__XLUDF.DUMMYFUNCTION("VLOOKUP(M7,IMPORTRANGE(""https://docs.google.com/spreadsheets/d/1opm6ZNvGZ7KditA9TuJwrZ25eFLfTNIkrNnY6mhV5Eg"",""list!A1:C115""),3,TRUE)"),"le secteur du conseil en management")</f>
        <v xml:space="preserve">le secteur du conseil en management</v>
      </c>
      <c r="O1430" s="6"/>
      <c r="P1430" s="4">
        <v>11</v>
      </c>
      <c r="Q1430" s="4" t="s">
        <v>39</v>
      </c>
      <c r="R1430" s="4" t="s">
        <v>9160</v>
      </c>
      <c r="S1430" s="4" t="s">
        <v>29</v>
      </c>
      <c r="T1430" s="5" t="s">
        <v>9216</v>
      </c>
      <c r="U1430" s="6"/>
      <c r="V1430" s="5" t="s">
        <v>9217</v>
      </c>
      <c r="W1430" s="6"/>
      <c r="X1430" s="6"/>
      <c r="Y1430" s="4" t="s">
        <v>9218</v>
      </c>
      <c r="Z1430" s="6"/>
      <c r="AA1430" s="5" t="s">
        <v>9219</v>
      </c>
    </row>
    <row r="1431" ht="14.25">
      <c r="B1431" s="4" t="s">
        <v>9220</v>
      </c>
      <c r="C1431" s="4" t="s">
        <v>7451</v>
      </c>
      <c r="D1431" s="4" t="s">
        <v>9082</v>
      </c>
      <c r="E1431" s="4" t="s">
        <v>9221</v>
      </c>
      <c r="F1431" s="4" t="s">
        <v>9222</v>
      </c>
      <c r="G1431" s="4" t="s">
        <v>9223</v>
      </c>
      <c r="H1431" s="4" t="str">
        <f>IFERROR(__XLUDF.DUMMYFUNCTION("PROPER(REGEXREPLACE(G8,""[^A-Za-z]+ "",""""))"),"Julien Corporate")</f>
        <v xml:space="preserve">Julien Corporate</v>
      </c>
      <c r="I1431" s="5" t="s">
        <v>9224</v>
      </c>
      <c r="J1431" s="4" t="s">
        <v>9225</v>
      </c>
      <c r="K1431" s="4" t="s">
        <v>9226</v>
      </c>
      <c r="L1431" s="4" t="s">
        <v>29</v>
      </c>
      <c r="M1431" s="4" t="s">
        <v>4525</v>
      </c>
      <c r="N1431" s="4" t="str">
        <f>IFERROR(__XLUDF.DUMMYFUNCTION("VLOOKUP(M8,IMPORTRANGE(""https://docs.google.com/spreadsheets/d/1opm6ZNvGZ7KditA9TuJwrZ25eFLfTNIkrNnY6mhV5Eg"",""list!A1:C115""),3,TRUE)"),"le secteur du retail")</f>
        <v xml:space="preserve">le secteur du retail</v>
      </c>
      <c r="O1431" s="6"/>
      <c r="P1431" s="4">
        <v>38</v>
      </c>
      <c r="Q1431" s="6"/>
      <c r="R1431" s="4" t="s">
        <v>9227</v>
      </c>
      <c r="S1431" s="4" t="s">
        <v>29</v>
      </c>
      <c r="T1431" s="5" t="s">
        <v>9228</v>
      </c>
      <c r="U1431" s="6"/>
      <c r="V1431" s="6"/>
      <c r="W1431" s="6"/>
      <c r="X1431" s="6"/>
      <c r="Y1431" s="4" t="s">
        <v>9229</v>
      </c>
      <c r="Z1431" s="6"/>
      <c r="AA1431" s="5" t="s">
        <v>9230</v>
      </c>
    </row>
    <row r="1432" ht="14.25">
      <c r="B1432" s="4" t="s">
        <v>9231</v>
      </c>
      <c r="C1432" s="4" t="s">
        <v>948</v>
      </c>
      <c r="D1432" s="4" t="s">
        <v>9232</v>
      </c>
      <c r="E1432" s="4" t="s">
        <v>9233</v>
      </c>
      <c r="F1432" s="4" t="s">
        <v>9234</v>
      </c>
      <c r="G1432" s="4" t="s">
        <v>9235</v>
      </c>
      <c r="H1432" s="4" t="str">
        <f>IFERROR(__XLUDF.DUMMYFUNCTION("PROPER(REGEXREPLACE(G9,""[^A-Za-z]+ "",""""))"),"Bcm")</f>
        <v>Bcm</v>
      </c>
      <c r="I1432" s="5" t="s">
        <v>9236</v>
      </c>
      <c r="J1432" s="4" t="s">
        <v>9237</v>
      </c>
      <c r="K1432" s="4" t="s">
        <v>9238</v>
      </c>
      <c r="L1432" s="4" t="s">
        <v>29</v>
      </c>
      <c r="M1432" s="4" t="s">
        <v>9239</v>
      </c>
      <c r="N1432" s="4" t="str">
        <f>IFERROR(__XLUDF.DUMMYFUNCTION("VLOOKUP(M9,IMPORTRANGE(""https://docs.google.com/spreadsheets/d/1opm6ZNvGZ7KditA9TuJwrZ25eFLfTNIkrNnY6mhV5Eg"",""list!A1:C115""),3,TRUE)"),"le secteur de la construction")</f>
        <v xml:space="preserve">le secteur de la construction</v>
      </c>
      <c r="O1432" s="4" t="s">
        <v>9240</v>
      </c>
      <c r="P1432" s="4">
        <v>25</v>
      </c>
      <c r="Q1432" s="4" t="s">
        <v>9241</v>
      </c>
      <c r="R1432" s="4" t="s">
        <v>9238</v>
      </c>
      <c r="S1432" s="4" t="s">
        <v>29</v>
      </c>
      <c r="T1432" s="5" t="s">
        <v>9242</v>
      </c>
      <c r="U1432" s="6"/>
      <c r="V1432" s="6"/>
      <c r="W1432" s="6"/>
      <c r="X1432" s="6"/>
      <c r="Y1432" s="4" t="s">
        <v>9243</v>
      </c>
      <c r="Z1432" s="6"/>
      <c r="AA1432" s="5" t="s">
        <v>9244</v>
      </c>
    </row>
    <row r="1433" ht="14.25">
      <c r="B1433" s="4" t="s">
        <v>9245</v>
      </c>
      <c r="C1433" s="4" t="s">
        <v>948</v>
      </c>
      <c r="D1433" s="4" t="s">
        <v>9246</v>
      </c>
      <c r="E1433" s="4" t="s">
        <v>9247</v>
      </c>
      <c r="F1433" s="4" t="s">
        <v>9248</v>
      </c>
      <c r="G1433" s="4" t="s">
        <v>9249</v>
      </c>
      <c r="H1433" s="4" t="str">
        <f>IFERROR(__XLUDF.DUMMYFUNCTION("PROPER(REGEXREPLACE(G10,""[^A-Za-z]+ "",""""))"),"Asystom")</f>
        <v>Asystom</v>
      </c>
      <c r="I1433" s="5" t="s">
        <v>9250</v>
      </c>
      <c r="J1433" s="4" t="s">
        <v>49</v>
      </c>
      <c r="K1433" s="4" t="s">
        <v>9251</v>
      </c>
      <c r="L1433" s="4" t="s">
        <v>29</v>
      </c>
      <c r="M1433" s="4" t="s">
        <v>2602</v>
      </c>
      <c r="N1433" s="4" t="str">
        <f>IFERROR(__XLUDF.DUMMYFUNCTION("VLOOKUP(M10,IMPORTRANGE(""https://docs.google.com/spreadsheets/d/1opm6ZNvGZ7KditA9TuJwrZ25eFLfTNIkrNnY6mhV5Eg"",""list!A1:C115""),3,TRUE)"),"le secteur de la tech")</f>
        <v xml:space="preserve">le secteur de la tech</v>
      </c>
      <c r="O1433" s="4" t="s">
        <v>9252</v>
      </c>
      <c r="P1433" s="4">
        <v>20</v>
      </c>
      <c r="Q1433" s="4" t="s">
        <v>9253</v>
      </c>
      <c r="R1433" s="4" t="s">
        <v>9254</v>
      </c>
      <c r="S1433" s="4" t="s">
        <v>29</v>
      </c>
      <c r="T1433" s="5" t="s">
        <v>9255</v>
      </c>
      <c r="U1433" s="5" t="s">
        <v>9256</v>
      </c>
      <c r="V1433" s="6"/>
      <c r="W1433" s="6"/>
      <c r="X1433" s="6"/>
      <c r="Y1433" s="4" t="s">
        <v>9257</v>
      </c>
      <c r="Z1433" s="6"/>
      <c r="AA1433" s="5" t="s">
        <v>9258</v>
      </c>
    </row>
    <row r="1434" ht="14.25">
      <c r="B1434" s="4" t="s">
        <v>9259</v>
      </c>
      <c r="C1434" s="4" t="s">
        <v>95</v>
      </c>
      <c r="D1434" s="4" t="s">
        <v>9260</v>
      </c>
      <c r="E1434" s="4" t="s">
        <v>9261</v>
      </c>
      <c r="F1434" s="4" t="s">
        <v>468</v>
      </c>
      <c r="G1434" s="4" t="s">
        <v>9262</v>
      </c>
      <c r="H1434" s="4" t="str">
        <f>IFERROR(__XLUDF.DUMMYFUNCTION("PROPER(REGEXREPLACE(G11,""[^A-Za-z]+ "",""""))"),"Goron-Assi")</f>
        <v>Goron-Assi</v>
      </c>
      <c r="I1434" s="5" t="s">
        <v>9263</v>
      </c>
      <c r="J1434" s="4" t="s">
        <v>39</v>
      </c>
      <c r="K1434" s="4" t="s">
        <v>9160</v>
      </c>
      <c r="L1434" s="4" t="s">
        <v>29</v>
      </c>
      <c r="M1434" s="4" t="s">
        <v>9264</v>
      </c>
      <c r="N1434" s="4" t="str">
        <f>IFERROR(__XLUDF.DUMMYFUNCTION("VLOOKUP(M11,IMPORTRANGE(""https://docs.google.com/spreadsheets/d/1opm6ZNvGZ7KditA9TuJwrZ25eFLfTNIkrNnY6mhV5Eg"",""list!A1:C115""),3,TRUE)"),"le secteur de la sécurité informatique")</f>
        <v xml:space="preserve">le secteur de la sécurité informatique</v>
      </c>
      <c r="O1434" s="4" t="s">
        <v>9265</v>
      </c>
      <c r="P1434" s="4">
        <v>19</v>
      </c>
      <c r="Q1434" s="4" t="s">
        <v>9266</v>
      </c>
      <c r="R1434" s="4" t="s">
        <v>9267</v>
      </c>
      <c r="S1434" s="4" t="s">
        <v>29</v>
      </c>
      <c r="T1434" s="5" t="s">
        <v>9268</v>
      </c>
      <c r="U1434" s="6"/>
      <c r="V1434" s="6"/>
      <c r="W1434" s="6"/>
      <c r="X1434" s="6"/>
      <c r="Y1434" s="4" t="s">
        <v>9269</v>
      </c>
      <c r="Z1434" s="6"/>
      <c r="AA1434" s="5" t="s">
        <v>9270</v>
      </c>
    </row>
    <row r="1435" ht="14.25">
      <c r="B1435" s="4" t="s">
        <v>9271</v>
      </c>
      <c r="C1435" s="4" t="s">
        <v>9272</v>
      </c>
      <c r="D1435" s="4" t="s">
        <v>9273</v>
      </c>
      <c r="E1435" s="4" t="s">
        <v>9274</v>
      </c>
      <c r="F1435" s="4" t="s">
        <v>9275</v>
      </c>
      <c r="G1435" s="4" t="s">
        <v>9276</v>
      </c>
      <c r="H1435" s="4" t="str">
        <f>IFERROR(__XLUDF.DUMMYFUNCTION("PROPER(REGEXREPLACE(G12,""[^A-Za-z]+ "",""""))"),"Ubik Ingénierie")</f>
        <v xml:space="preserve">Ubik Ingénierie</v>
      </c>
      <c r="I1435" s="5" t="s">
        <v>9277</v>
      </c>
      <c r="J1435" s="4" t="s">
        <v>846</v>
      </c>
      <c r="K1435" s="4" t="s">
        <v>9278</v>
      </c>
      <c r="L1435" s="4" t="s">
        <v>29</v>
      </c>
      <c r="M1435" s="4" t="s">
        <v>2602</v>
      </c>
      <c r="N1435" s="4" t="str">
        <f>IFERROR(__XLUDF.DUMMYFUNCTION("VLOOKUP(M12,IMPORTRANGE(""https://docs.google.com/spreadsheets/d/1opm6ZNvGZ7KditA9TuJwrZ25eFLfTNIkrNnY6mhV5Eg"",""list!A1:C115""),3,TRUE)"),"le secteur de la tech")</f>
        <v xml:space="preserve">le secteur de la tech</v>
      </c>
      <c r="O1435" s="4" t="s">
        <v>9279</v>
      </c>
      <c r="P1435" s="4">
        <v>15</v>
      </c>
      <c r="Q1435" s="4" t="s">
        <v>9280</v>
      </c>
      <c r="R1435" s="4" t="s">
        <v>9281</v>
      </c>
      <c r="S1435" s="4" t="s">
        <v>29</v>
      </c>
      <c r="T1435" s="5" t="s">
        <v>9282</v>
      </c>
      <c r="U1435" s="5" t="s">
        <v>9283</v>
      </c>
      <c r="V1435" s="5" t="s">
        <v>9284</v>
      </c>
      <c r="W1435" s="6"/>
      <c r="X1435" s="6"/>
      <c r="Y1435" s="4" t="s">
        <v>9285</v>
      </c>
      <c r="Z1435" s="6"/>
      <c r="AA1435" s="5" t="s">
        <v>9286</v>
      </c>
    </row>
    <row r="1436" ht="14.25">
      <c r="B1436" s="4" t="s">
        <v>9287</v>
      </c>
      <c r="C1436" s="4" t="s">
        <v>9288</v>
      </c>
      <c r="D1436" s="4" t="s">
        <v>9289</v>
      </c>
      <c r="E1436" s="4" t="s">
        <v>9290</v>
      </c>
      <c r="F1436" s="4" t="s">
        <v>9291</v>
      </c>
      <c r="G1436" s="4" t="s">
        <v>9292</v>
      </c>
      <c r="H1436" s="4" t="str">
        <f>IFERROR(__XLUDF.DUMMYFUNCTION("PROPER(REGEXREPLACE(G13,""[^A-Za-z]+ "",""""))"),"Cynoia")</f>
        <v>Cynoia</v>
      </c>
      <c r="I1436" s="5" t="s">
        <v>9293</v>
      </c>
      <c r="J1436" s="4" t="s">
        <v>295</v>
      </c>
      <c r="K1436" s="4" t="s">
        <v>9251</v>
      </c>
      <c r="L1436" s="4" t="s">
        <v>29</v>
      </c>
      <c r="M1436" s="4" t="s">
        <v>2602</v>
      </c>
      <c r="N1436" s="4" t="str">
        <f>IFERROR(__XLUDF.DUMMYFUNCTION("VLOOKUP(M13,IMPORTRANGE(""https://docs.google.com/spreadsheets/d/1opm6ZNvGZ7KditA9TuJwrZ25eFLfTNIkrNnY6mhV5Eg"",""list!A1:C115""),3,TRUE)"),"le secteur de la tech")</f>
        <v xml:space="preserve">le secteur de la tech</v>
      </c>
      <c r="O1436" s="4" t="s">
        <v>9294</v>
      </c>
      <c r="P1436" s="4">
        <v>28</v>
      </c>
      <c r="Q1436" s="4" t="s">
        <v>295</v>
      </c>
      <c r="R1436" s="4" t="s">
        <v>9251</v>
      </c>
      <c r="S1436" s="4" t="s">
        <v>29</v>
      </c>
      <c r="T1436" s="5" t="s">
        <v>9295</v>
      </c>
      <c r="U1436" s="5" t="s">
        <v>9296</v>
      </c>
      <c r="V1436" s="5" t="s">
        <v>9297</v>
      </c>
      <c r="W1436" s="6"/>
      <c r="X1436" s="6"/>
      <c r="Y1436" s="4" t="s">
        <v>9298</v>
      </c>
      <c r="Z1436" s="6"/>
      <c r="AA1436" s="5" t="s">
        <v>9299</v>
      </c>
    </row>
    <row r="1437" ht="14.25">
      <c r="B1437" s="4" t="s">
        <v>9300</v>
      </c>
      <c r="C1437" s="4" t="s">
        <v>9301</v>
      </c>
      <c r="D1437" s="4" t="s">
        <v>9302</v>
      </c>
      <c r="E1437" s="4" t="s">
        <v>9303</v>
      </c>
      <c r="F1437" s="4" t="s">
        <v>9304</v>
      </c>
      <c r="G1437" s="4" t="s">
        <v>9305</v>
      </c>
      <c r="H1437" s="4" t="str">
        <f>IFERROR(__XLUDF.DUMMYFUNCTION("PROPER(REGEXREPLACE(G14,""[^A-Za-z]+ "",""""))"),"Digimium")</f>
        <v>Digimium</v>
      </c>
      <c r="I1437" s="5" t="s">
        <v>9306</v>
      </c>
      <c r="J1437" s="4" t="s">
        <v>140</v>
      </c>
      <c r="K1437" s="4" t="s">
        <v>9160</v>
      </c>
      <c r="L1437" s="4" t="s">
        <v>29</v>
      </c>
      <c r="M1437" s="4" t="s">
        <v>2602</v>
      </c>
      <c r="N1437" s="4" t="str">
        <f>IFERROR(__XLUDF.DUMMYFUNCTION("VLOOKUP(M14,IMPORTRANGE(""https://docs.google.com/spreadsheets/d/1opm6ZNvGZ7KditA9TuJwrZ25eFLfTNIkrNnY6mhV5Eg"",""list!A1:C115""),3,TRUE)"),"le secteur de la tech")</f>
        <v xml:space="preserve">le secteur de la tech</v>
      </c>
      <c r="O1437" s="4" t="s">
        <v>9307</v>
      </c>
      <c r="P1437" s="4">
        <v>13</v>
      </c>
      <c r="Q1437" s="4" t="s">
        <v>140</v>
      </c>
      <c r="R1437" s="4" t="s">
        <v>9160</v>
      </c>
      <c r="S1437" s="4" t="s">
        <v>29</v>
      </c>
      <c r="T1437" s="5" t="s">
        <v>9308</v>
      </c>
      <c r="U1437" s="6"/>
      <c r="V1437" s="6"/>
      <c r="W1437" s="6"/>
      <c r="X1437" s="6"/>
      <c r="Y1437" s="4" t="s">
        <v>9309</v>
      </c>
      <c r="Z1437" s="6"/>
      <c r="AA1437" s="5" t="s">
        <v>9310</v>
      </c>
    </row>
    <row r="1438" ht="14.25">
      <c r="B1438" s="4" t="s">
        <v>9311</v>
      </c>
      <c r="C1438" s="4" t="s">
        <v>95</v>
      </c>
      <c r="D1438" s="4" t="s">
        <v>9312</v>
      </c>
      <c r="E1438" s="4" t="s">
        <v>9313</v>
      </c>
      <c r="F1438" s="4" t="s">
        <v>172</v>
      </c>
      <c r="G1438" s="4" t="s">
        <v>9314</v>
      </c>
      <c r="H1438" s="4" t="str">
        <f>IFERROR(__XLUDF.DUMMYFUNCTION("PROPER(REGEXREPLACE(G15,""[^A-Za-z]+ "",""""))"),"Power Iti")</f>
        <v xml:space="preserve">Power Iti</v>
      </c>
      <c r="I1438" s="5" t="s">
        <v>9315</v>
      </c>
      <c r="J1438" s="4" t="s">
        <v>3848</v>
      </c>
      <c r="K1438" s="4" t="s">
        <v>9251</v>
      </c>
      <c r="L1438" s="4" t="s">
        <v>29</v>
      </c>
      <c r="M1438" s="4" t="s">
        <v>2602</v>
      </c>
      <c r="N1438" s="4" t="str">
        <f>IFERROR(__XLUDF.DUMMYFUNCTION("VLOOKUP(M15,IMPORTRANGE(""https://docs.google.com/spreadsheets/d/1opm6ZNvGZ7KditA9TuJwrZ25eFLfTNIkrNnY6mhV5Eg"",""list!A1:C115""),3,TRUE)"),"le secteur de la tech")</f>
        <v xml:space="preserve">le secteur de la tech</v>
      </c>
      <c r="O1438" s="4" t="s">
        <v>9316</v>
      </c>
      <c r="P1438" s="4">
        <v>11</v>
      </c>
      <c r="Q1438" s="4" t="s">
        <v>9317</v>
      </c>
      <c r="R1438" s="4" t="s">
        <v>9251</v>
      </c>
      <c r="S1438" s="4" t="s">
        <v>29</v>
      </c>
      <c r="T1438" s="5" t="s">
        <v>9318</v>
      </c>
      <c r="U1438" s="6"/>
      <c r="V1438" s="5" t="s">
        <v>9319</v>
      </c>
      <c r="W1438" s="6"/>
      <c r="X1438" s="6"/>
      <c r="Y1438" s="4" t="s">
        <v>9320</v>
      </c>
      <c r="Z1438" s="6"/>
      <c r="AA1438" s="5" t="s">
        <v>9321</v>
      </c>
    </row>
    <row r="1439" ht="14.25">
      <c r="B1439" s="4" t="s">
        <v>9322</v>
      </c>
      <c r="C1439" s="4" t="s">
        <v>9323</v>
      </c>
      <c r="D1439" s="4" t="s">
        <v>9324</v>
      </c>
      <c r="E1439" s="4" t="s">
        <v>9325</v>
      </c>
      <c r="F1439" s="4" t="s">
        <v>9326</v>
      </c>
      <c r="G1439" s="4" t="s">
        <v>9327</v>
      </c>
      <c r="H1439" s="4" t="str">
        <f>IFERROR(__XLUDF.DUMMYFUNCTION("PROPER(REGEXREPLACE(G16,""[^A-Za-z]+ "",""""))"),"Healabs")</f>
        <v>Healabs</v>
      </c>
      <c r="I1439" s="5" t="s">
        <v>9328</v>
      </c>
      <c r="J1439" s="4" t="s">
        <v>185</v>
      </c>
      <c r="K1439" s="4" t="s">
        <v>9193</v>
      </c>
      <c r="L1439" s="4" t="s">
        <v>29</v>
      </c>
      <c r="M1439" s="4" t="s">
        <v>2602</v>
      </c>
      <c r="N1439" s="4" t="str">
        <f>IFERROR(__XLUDF.DUMMYFUNCTION("VLOOKUP(M16,IMPORTRANGE(""https://docs.google.com/spreadsheets/d/1opm6ZNvGZ7KditA9TuJwrZ25eFLfTNIkrNnY6mhV5Eg"",""list!A1:C115""),3,TRUE)"),"le secteur de la tech")</f>
        <v xml:space="preserve">le secteur de la tech</v>
      </c>
      <c r="O1439" s="4" t="s">
        <v>9329</v>
      </c>
      <c r="P1439" s="4">
        <v>14</v>
      </c>
      <c r="Q1439" s="4" t="s">
        <v>9330</v>
      </c>
      <c r="R1439" s="4" t="s">
        <v>9193</v>
      </c>
      <c r="S1439" s="4" t="s">
        <v>29</v>
      </c>
      <c r="T1439" s="5" t="s">
        <v>9331</v>
      </c>
      <c r="U1439" s="6"/>
      <c r="V1439" s="6"/>
      <c r="W1439" s="6"/>
      <c r="X1439" s="6"/>
      <c r="Y1439" s="4" t="s">
        <v>9332</v>
      </c>
      <c r="Z1439" s="6"/>
      <c r="AA1439" s="5" t="s">
        <v>9333</v>
      </c>
    </row>
    <row r="1440" ht="14.25">
      <c r="B1440" s="4" t="s">
        <v>9334</v>
      </c>
      <c r="C1440" s="4" t="s">
        <v>874</v>
      </c>
      <c r="D1440" s="4" t="s">
        <v>9335</v>
      </c>
      <c r="E1440" s="4" t="s">
        <v>9336</v>
      </c>
      <c r="F1440" s="4" t="s">
        <v>9337</v>
      </c>
      <c r="G1440" s="4" t="s">
        <v>9338</v>
      </c>
      <c r="H1440" s="4" t="str">
        <f>IFERROR(__XLUDF.DUMMYFUNCTION("PROPER(REGEXREPLACE(G17,""[^A-Za-z]+ "",""""))"),"Pharmasoft")</f>
        <v>Pharmasoft</v>
      </c>
      <c r="I1440" s="5" t="s">
        <v>9339</v>
      </c>
      <c r="J1440" s="4" t="s">
        <v>4922</v>
      </c>
      <c r="K1440" s="4" t="s">
        <v>9340</v>
      </c>
      <c r="L1440" s="4" t="s">
        <v>29</v>
      </c>
      <c r="M1440" s="4" t="s">
        <v>2602</v>
      </c>
      <c r="N1440" s="4" t="str">
        <f>IFERROR(__XLUDF.DUMMYFUNCTION("VLOOKUP(M17,IMPORTRANGE(""https://docs.google.com/spreadsheets/d/1opm6ZNvGZ7KditA9TuJwrZ25eFLfTNIkrNnY6mhV5Eg"",""list!A1:C115""),3,TRUE)"),"le secteur de la tech")</f>
        <v xml:space="preserve">le secteur de la tech</v>
      </c>
      <c r="O1440" s="4" t="s">
        <v>9341</v>
      </c>
      <c r="P1440" s="4">
        <v>11</v>
      </c>
      <c r="Q1440" s="4" t="s">
        <v>4922</v>
      </c>
      <c r="R1440" s="4" t="s">
        <v>9215</v>
      </c>
      <c r="S1440" s="4" t="s">
        <v>29</v>
      </c>
      <c r="T1440" s="5" t="s">
        <v>9342</v>
      </c>
      <c r="U1440" s="6"/>
      <c r="V1440" s="6"/>
      <c r="W1440" s="6"/>
      <c r="X1440" s="6"/>
      <c r="Y1440" s="4" t="s">
        <v>9343</v>
      </c>
      <c r="Z1440" s="6"/>
      <c r="AA1440" s="5" t="s">
        <v>9344</v>
      </c>
    </row>
    <row r="1441" ht="14.25">
      <c r="B1441" s="4" t="s">
        <v>9345</v>
      </c>
      <c r="C1441" s="4" t="s">
        <v>670</v>
      </c>
      <c r="D1441" s="4" t="s">
        <v>9346</v>
      </c>
      <c r="E1441" s="4" t="s">
        <v>9347</v>
      </c>
      <c r="F1441" s="4" t="s">
        <v>7759</v>
      </c>
      <c r="G1441" s="4" t="s">
        <v>9348</v>
      </c>
      <c r="H1441" s="4" t="str">
        <f>IFERROR(__XLUDF.DUMMYFUNCTION("PROPER(REGEXREPLACE(G18,""[^A-Za-z]+ "",""""))"),"Polypus")</f>
        <v>Polypus</v>
      </c>
      <c r="I1441" s="4" t="s">
        <v>9349</v>
      </c>
      <c r="J1441" s="4" t="s">
        <v>1711</v>
      </c>
      <c r="K1441" s="4" t="s">
        <v>9350</v>
      </c>
      <c r="L1441" s="4" t="s">
        <v>29</v>
      </c>
      <c r="M1441" s="4" t="s">
        <v>4067</v>
      </c>
      <c r="N1441" s="4" t="str">
        <f>IFERROR(__XLUDF.DUMMYFUNCTION("VLOOKUP(M18,IMPORTRANGE(""https://docs.google.com/spreadsheets/d/1opm6ZNvGZ7KditA9TuJwrZ25eFLfTNIkrNnY6mhV5Eg"",""list!A1:C115""),3,TRUE)"),"le secteur du conseil en management")</f>
        <v xml:space="preserve">le secteur du conseil en management</v>
      </c>
      <c r="O1441" s="4" t="s">
        <v>9351</v>
      </c>
      <c r="P1441" s="4">
        <v>10</v>
      </c>
      <c r="Q1441" s="4" t="s">
        <v>185</v>
      </c>
      <c r="R1441" s="4" t="s">
        <v>9193</v>
      </c>
      <c r="S1441" s="4" t="s">
        <v>29</v>
      </c>
      <c r="T1441" s="5" t="s">
        <v>9352</v>
      </c>
      <c r="U1441" s="6"/>
      <c r="V1441" s="6"/>
      <c r="W1441" s="6"/>
      <c r="X1441" s="6"/>
      <c r="Y1441" s="4" t="s">
        <v>9353</v>
      </c>
      <c r="Z1441" s="6"/>
      <c r="AA1441" s="5" t="s">
        <v>9354</v>
      </c>
    </row>
    <row r="1442" ht="14.25">
      <c r="B1442" s="4" t="s">
        <v>9355</v>
      </c>
      <c r="C1442" s="4" t="s">
        <v>4425</v>
      </c>
      <c r="D1442" s="4" t="s">
        <v>9356</v>
      </c>
      <c r="E1442" s="4" t="s">
        <v>9357</v>
      </c>
      <c r="F1442" s="4" t="s">
        <v>9358</v>
      </c>
      <c r="G1442" s="4" t="s">
        <v>9359</v>
      </c>
      <c r="H1442" s="4" t="str">
        <f>IFERROR(__XLUDF.DUMMYFUNCTION("PROPER(REGEXREPLACE(G19,""[^A-Za-z]+ "",""""))"),"Nova")</f>
        <v>Nova</v>
      </c>
      <c r="I1442" s="5" t="s">
        <v>9360</v>
      </c>
      <c r="J1442" s="4" t="s">
        <v>9195</v>
      </c>
      <c r="K1442" s="4" t="s">
        <v>9160</v>
      </c>
      <c r="L1442" s="4" t="s">
        <v>29</v>
      </c>
      <c r="M1442" s="4" t="s">
        <v>4067</v>
      </c>
      <c r="N1442" s="4" t="str">
        <f>IFERROR(__XLUDF.DUMMYFUNCTION("VLOOKUP(M19,IMPORTRANGE(""https://docs.google.com/spreadsheets/d/1opm6ZNvGZ7KditA9TuJwrZ25eFLfTNIkrNnY6mhV5Eg"",""list!A1:C115""),3,TRUE)"),"le secteur du conseil en management")</f>
        <v xml:space="preserve">le secteur du conseil en management</v>
      </c>
      <c r="O1442" s="4" t="s">
        <v>9361</v>
      </c>
      <c r="P1442" s="4">
        <v>11</v>
      </c>
      <c r="Q1442" s="4" t="s">
        <v>9195</v>
      </c>
      <c r="R1442" s="4" t="s">
        <v>9160</v>
      </c>
      <c r="S1442" s="4" t="s">
        <v>29</v>
      </c>
      <c r="T1442" s="5" t="s">
        <v>9362</v>
      </c>
      <c r="U1442" s="5" t="s">
        <v>9363</v>
      </c>
      <c r="V1442" s="5" t="s">
        <v>9364</v>
      </c>
      <c r="W1442" s="6"/>
      <c r="X1442" s="6"/>
      <c r="Y1442" s="4" t="s">
        <v>9365</v>
      </c>
      <c r="Z1442" s="6"/>
      <c r="AA1442" s="5" t="s">
        <v>9366</v>
      </c>
    </row>
    <row r="1443" ht="14.25">
      <c r="B1443" s="4" t="s">
        <v>9367</v>
      </c>
      <c r="C1443" s="4" t="s">
        <v>1654</v>
      </c>
      <c r="D1443" s="4" t="s">
        <v>9368</v>
      </c>
      <c r="E1443" s="4" t="s">
        <v>9369</v>
      </c>
      <c r="F1443" s="4" t="s">
        <v>7759</v>
      </c>
      <c r="G1443" s="4" t="s">
        <v>9370</v>
      </c>
      <c r="H1443" s="4" t="str">
        <f>IFERROR(__XLUDF.DUMMYFUNCTION("PROPER(REGEXREPLACE(G20,""[^A-Za-z]+ "",""""))"),"Ampc")</f>
        <v>Ampc</v>
      </c>
      <c r="I1443" s="5" t="s">
        <v>9371</v>
      </c>
      <c r="J1443" s="4" t="s">
        <v>9372</v>
      </c>
      <c r="K1443" s="4" t="s">
        <v>9193</v>
      </c>
      <c r="L1443" s="4" t="s">
        <v>29</v>
      </c>
      <c r="M1443" s="4" t="s">
        <v>9239</v>
      </c>
      <c r="N1443" s="4" t="str">
        <f>IFERROR(__XLUDF.DUMMYFUNCTION("VLOOKUP(M20,IMPORTRANGE(""https://docs.google.com/spreadsheets/d/1opm6ZNvGZ7KditA9TuJwrZ25eFLfTNIkrNnY6mhV5Eg"",""list!A1:C115""),3,TRUE)"),"le secteur de la construction")</f>
        <v xml:space="preserve">le secteur de la construction</v>
      </c>
      <c r="O1443" s="6"/>
      <c r="P1443" s="4">
        <v>31</v>
      </c>
      <c r="Q1443" s="4" t="s">
        <v>9372</v>
      </c>
      <c r="R1443" s="4" t="s">
        <v>9172</v>
      </c>
      <c r="S1443" s="4" t="s">
        <v>29</v>
      </c>
      <c r="T1443" s="5" t="s">
        <v>9373</v>
      </c>
      <c r="U1443" s="6"/>
      <c r="V1443" s="6"/>
      <c r="W1443" s="6"/>
      <c r="X1443" s="6"/>
      <c r="Y1443" s="4" t="s">
        <v>9374</v>
      </c>
      <c r="Z1443" s="6"/>
      <c r="AA1443" s="5" t="s">
        <v>9375</v>
      </c>
    </row>
    <row r="1444" ht="14.25">
      <c r="B1444" s="4" t="s">
        <v>9376</v>
      </c>
      <c r="C1444" s="4" t="s">
        <v>9377</v>
      </c>
      <c r="D1444" s="4" t="s">
        <v>9378</v>
      </c>
      <c r="E1444" s="4" t="s">
        <v>9379</v>
      </c>
      <c r="F1444" s="4" t="s">
        <v>112</v>
      </c>
      <c r="G1444" s="4" t="s">
        <v>9380</v>
      </c>
      <c r="H1444" s="4" t="str">
        <f>IFERROR(__XLUDF.DUMMYFUNCTION("PROPER(REGEXREPLACE(G21,""[^A-Za-z]+ "",""""))"),"Idea Environnement")</f>
        <v xml:space="preserve">Idea Environnement</v>
      </c>
      <c r="I1444" s="5" t="s">
        <v>9381</v>
      </c>
      <c r="J1444" s="4" t="s">
        <v>9382</v>
      </c>
      <c r="K1444" s="4" t="s">
        <v>9160</v>
      </c>
      <c r="L1444" s="4" t="s">
        <v>29</v>
      </c>
      <c r="M1444" s="4" t="s">
        <v>9239</v>
      </c>
      <c r="N1444" s="4" t="str">
        <f>IFERROR(__XLUDF.DUMMYFUNCTION("VLOOKUP(M21,IMPORTRANGE(""https://docs.google.com/spreadsheets/d/1opm6ZNvGZ7KditA9TuJwrZ25eFLfTNIkrNnY6mhV5Eg"",""list!A1:C115""),3,TRUE)"),"le secteur de la construction")</f>
        <v xml:space="preserve">le secteur de la construction</v>
      </c>
      <c r="O1444" s="6"/>
      <c r="P1444" s="4">
        <v>10</v>
      </c>
      <c r="Q1444" s="6"/>
      <c r="R1444" s="6"/>
      <c r="S1444" s="6"/>
      <c r="T1444" s="5" t="s">
        <v>9383</v>
      </c>
      <c r="U1444" s="6"/>
      <c r="V1444" s="6"/>
      <c r="W1444" s="6"/>
      <c r="X1444" s="6"/>
      <c r="Y1444" s="4" t="s">
        <v>9384</v>
      </c>
      <c r="Z1444" s="6"/>
      <c r="AA1444" s="5" t="s">
        <v>9385</v>
      </c>
    </row>
    <row r="1445" ht="14.25">
      <c r="B1445" s="4" t="s">
        <v>9386</v>
      </c>
      <c r="C1445" s="4" t="s">
        <v>95</v>
      </c>
      <c r="D1445" s="4" t="s">
        <v>9387</v>
      </c>
      <c r="E1445" s="4" t="s">
        <v>9388</v>
      </c>
      <c r="F1445" s="4" t="s">
        <v>9389</v>
      </c>
      <c r="G1445" s="4" t="s">
        <v>9390</v>
      </c>
      <c r="H1445" s="4" t="str">
        <f>IFERROR(__XLUDF.DUMMYFUNCTION("PROPER(REGEXREPLACE(G22,""[^A-Za-z]+ "",""""))"),"Custup")</f>
        <v>Custup</v>
      </c>
      <c r="I1445" s="5" t="s">
        <v>9391</v>
      </c>
      <c r="J1445" s="4" t="s">
        <v>39</v>
      </c>
      <c r="K1445" s="4" t="s">
        <v>9160</v>
      </c>
      <c r="L1445" s="4" t="s">
        <v>29</v>
      </c>
      <c r="M1445" s="4" t="s">
        <v>4067</v>
      </c>
      <c r="N1445" s="4" t="str">
        <f>IFERROR(__XLUDF.DUMMYFUNCTION("VLOOKUP(M22,IMPORTRANGE(""https://docs.google.com/spreadsheets/d/1opm6ZNvGZ7KditA9TuJwrZ25eFLfTNIkrNnY6mhV5Eg"",""list!A1:C115""),3,TRUE)"),"le secteur du conseil en management")</f>
        <v xml:space="preserve">le secteur du conseil en management</v>
      </c>
      <c r="O1445" s="4" t="s">
        <v>9392</v>
      </c>
      <c r="P1445" s="4">
        <v>31</v>
      </c>
      <c r="Q1445" s="4" t="s">
        <v>4767</v>
      </c>
      <c r="R1445" s="4" t="s">
        <v>9160</v>
      </c>
      <c r="S1445" s="4" t="s">
        <v>29</v>
      </c>
      <c r="T1445" s="5" t="s">
        <v>9393</v>
      </c>
      <c r="U1445" s="6"/>
      <c r="V1445" s="5" t="s">
        <v>9394</v>
      </c>
      <c r="W1445" s="6"/>
      <c r="X1445" s="6"/>
      <c r="Y1445" s="4" t="s">
        <v>9395</v>
      </c>
      <c r="Z1445" s="6"/>
      <c r="AA1445" s="5" t="s">
        <v>9396</v>
      </c>
    </row>
    <row r="1446" ht="14.25">
      <c r="B1446" s="4" t="s">
        <v>9397</v>
      </c>
      <c r="C1446" s="4" t="s">
        <v>9179</v>
      </c>
      <c r="D1446" s="4" t="s">
        <v>9398</v>
      </c>
      <c r="E1446" s="4" t="s">
        <v>9399</v>
      </c>
      <c r="F1446" s="4" t="s">
        <v>341</v>
      </c>
      <c r="G1446" s="4" t="s">
        <v>9400</v>
      </c>
      <c r="H1446" s="4" t="str">
        <f>IFERROR(__XLUDF.DUMMYFUNCTION("PROPER(REGEXREPLACE(G23,""[^A-Za-z]+ "",""""))"),"Dhm Tech")</f>
        <v xml:space="preserve">Dhm Tech</v>
      </c>
      <c r="I1446" s="5" t="s">
        <v>9401</v>
      </c>
      <c r="J1446" s="4" t="s">
        <v>9402</v>
      </c>
      <c r="K1446" s="4" t="s">
        <v>9160</v>
      </c>
      <c r="L1446" s="4" t="s">
        <v>29</v>
      </c>
      <c r="M1446" s="4" t="s">
        <v>2602</v>
      </c>
      <c r="N1446" s="4" t="str">
        <f>IFERROR(__XLUDF.DUMMYFUNCTION("VLOOKUP(M23,IMPORTRANGE(""https://docs.google.com/spreadsheets/d/1opm6ZNvGZ7KditA9TuJwrZ25eFLfTNIkrNnY6mhV5Eg"",""list!A1:C115""),3,TRUE)"),"le secteur de la tech")</f>
        <v xml:space="preserve">le secteur de la tech</v>
      </c>
      <c r="O1446" s="6"/>
      <c r="P1446" s="4">
        <v>15</v>
      </c>
      <c r="Q1446" s="4" t="s">
        <v>9403</v>
      </c>
      <c r="R1446" s="4" t="s">
        <v>9160</v>
      </c>
      <c r="S1446" s="4" t="s">
        <v>29</v>
      </c>
      <c r="T1446" s="5" t="s">
        <v>9404</v>
      </c>
      <c r="U1446" s="6"/>
      <c r="V1446" s="6"/>
      <c r="W1446" s="6"/>
      <c r="X1446" s="6"/>
      <c r="Y1446" s="4" t="s">
        <v>9405</v>
      </c>
      <c r="Z1446" s="6"/>
      <c r="AA1446" s="5" t="s">
        <v>9406</v>
      </c>
    </row>
    <row r="1447" ht="14.25">
      <c r="B1447" s="4" t="s">
        <v>9407</v>
      </c>
      <c r="C1447" s="4" t="s">
        <v>95</v>
      </c>
      <c r="D1447" s="4" t="s">
        <v>9408</v>
      </c>
      <c r="E1447" s="4" t="s">
        <v>9409</v>
      </c>
      <c r="F1447" s="4" t="s">
        <v>9410</v>
      </c>
      <c r="G1447" s="4" t="s">
        <v>9411</v>
      </c>
      <c r="H1447" s="4" t="str">
        <f>IFERROR(__XLUDF.DUMMYFUNCTION("PROPER(REGEXREPLACE(G24,""[^A-Za-z]+ "",""""))"),"Bredhill Consulting")</f>
        <v xml:space="preserve">Bredhill Consulting</v>
      </c>
      <c r="I1447" s="5" t="s">
        <v>9412</v>
      </c>
      <c r="J1447" s="4" t="s">
        <v>39</v>
      </c>
      <c r="K1447" s="4" t="s">
        <v>9160</v>
      </c>
      <c r="L1447" s="4" t="s">
        <v>29</v>
      </c>
      <c r="M1447" s="4" t="s">
        <v>4067</v>
      </c>
      <c r="N1447" s="4" t="str">
        <f>IFERROR(__XLUDF.DUMMYFUNCTION("VLOOKUP(M24,IMPORTRANGE(""https://docs.google.com/spreadsheets/d/1opm6ZNvGZ7KditA9TuJwrZ25eFLfTNIkrNnY6mhV5Eg"",""list!A1:C115""),3,TRUE)"),"le secteur du conseil en management")</f>
        <v xml:space="preserve">le secteur du conseil en management</v>
      </c>
      <c r="O1447" s="4" t="s">
        <v>9413</v>
      </c>
      <c r="P1447" s="4">
        <v>19</v>
      </c>
      <c r="Q1447" s="4" t="s">
        <v>39</v>
      </c>
      <c r="R1447" s="4" t="s">
        <v>9160</v>
      </c>
      <c r="S1447" s="4" t="s">
        <v>29</v>
      </c>
      <c r="T1447" s="5" t="s">
        <v>9414</v>
      </c>
      <c r="U1447" s="6"/>
      <c r="V1447" s="6"/>
      <c r="W1447" s="6"/>
      <c r="X1447" s="6"/>
      <c r="Y1447" s="4" t="s">
        <v>9415</v>
      </c>
      <c r="Z1447" s="6"/>
      <c r="AA1447" s="5" t="s">
        <v>9416</v>
      </c>
    </row>
    <row r="1448" ht="14.25">
      <c r="B1448" s="4" t="s">
        <v>9417</v>
      </c>
      <c r="C1448" s="4" t="s">
        <v>653</v>
      </c>
      <c r="D1448" s="4" t="s">
        <v>9418</v>
      </c>
      <c r="E1448" s="4" t="s">
        <v>9419</v>
      </c>
      <c r="F1448" s="4" t="s">
        <v>1162</v>
      </c>
      <c r="G1448" s="4" t="s">
        <v>9420</v>
      </c>
      <c r="H1448" s="4" t="str">
        <f>IFERROR(__XLUDF.DUMMYFUNCTION("PROPER(REGEXREPLACE(G25,""[^A-Za-z]+ "",""""))"),"Sas Rihet")</f>
        <v xml:space="preserve">Sas Rihet</v>
      </c>
      <c r="I1448" s="5" t="s">
        <v>9421</v>
      </c>
      <c r="J1448" s="4" t="s">
        <v>1826</v>
      </c>
      <c r="K1448" s="4" t="s">
        <v>9227</v>
      </c>
      <c r="L1448" s="4" t="s">
        <v>29</v>
      </c>
      <c r="M1448" s="4" t="s">
        <v>9239</v>
      </c>
      <c r="N1448" s="4" t="str">
        <f>IFERROR(__XLUDF.DUMMYFUNCTION("VLOOKUP(M25,IMPORTRANGE(""https://docs.google.com/spreadsheets/d/1opm6ZNvGZ7KditA9TuJwrZ25eFLfTNIkrNnY6mhV5Eg"",""list!A1:C115""),3,TRUE)"),"le secteur de la construction")</f>
        <v xml:space="preserve">le secteur de la construction</v>
      </c>
      <c r="O1448" s="4" t="s">
        <v>9422</v>
      </c>
      <c r="P1448" s="4">
        <v>32</v>
      </c>
      <c r="Q1448" s="4" t="s">
        <v>9423</v>
      </c>
      <c r="R1448" s="4" t="s">
        <v>9227</v>
      </c>
      <c r="S1448" s="4" t="s">
        <v>29</v>
      </c>
      <c r="T1448" s="5" t="s">
        <v>9424</v>
      </c>
      <c r="U1448" s="6"/>
      <c r="V1448" s="5" t="s">
        <v>9425</v>
      </c>
      <c r="W1448" s="6"/>
      <c r="X1448" s="6"/>
      <c r="Y1448" s="4" t="s">
        <v>9426</v>
      </c>
      <c r="Z1448" s="6"/>
      <c r="AA1448" s="5" t="s">
        <v>9427</v>
      </c>
    </row>
    <row r="1449" ht="14.25">
      <c r="B1449" s="4" t="s">
        <v>9428</v>
      </c>
      <c r="C1449" s="4" t="s">
        <v>653</v>
      </c>
      <c r="D1449" s="4" t="s">
        <v>9429</v>
      </c>
      <c r="E1449" s="4" t="s">
        <v>9430</v>
      </c>
      <c r="F1449" s="4" t="s">
        <v>9431</v>
      </c>
      <c r="G1449" s="4" t="s">
        <v>9432</v>
      </c>
      <c r="H1449" s="4" t="str">
        <f>IFERROR(__XLUDF.DUMMYFUNCTION("PROPER(REGEXREPLACE(G26,""[^A-Za-z]+ "",""""))"),"Shodo Nantes")</f>
        <v xml:space="preserve">Shodo Nantes</v>
      </c>
      <c r="I1449" s="6"/>
      <c r="J1449" s="4" t="s">
        <v>1711</v>
      </c>
      <c r="K1449" s="4" t="s">
        <v>9350</v>
      </c>
      <c r="L1449" s="4" t="s">
        <v>29</v>
      </c>
      <c r="M1449" s="4" t="s">
        <v>2602</v>
      </c>
      <c r="N1449" s="4" t="str">
        <f>IFERROR(__XLUDF.DUMMYFUNCTION("VLOOKUP(M26,IMPORTRANGE(""https://docs.google.com/spreadsheets/d/1opm6ZNvGZ7KditA9TuJwrZ25eFLfTNIkrNnY6mhV5Eg"",""list!A1:C115""),3,TRUE)"),"le secteur de la tech")</f>
        <v xml:space="preserve">le secteur de la tech</v>
      </c>
      <c r="O1449" s="6"/>
      <c r="P1449" s="4">
        <v>21</v>
      </c>
      <c r="Q1449" s="4" t="s">
        <v>1711</v>
      </c>
      <c r="R1449" s="4" t="s">
        <v>9350</v>
      </c>
      <c r="S1449" s="4" t="s">
        <v>29</v>
      </c>
      <c r="T1449" s="5" t="s">
        <v>9433</v>
      </c>
      <c r="U1449" s="6"/>
      <c r="V1449" s="6"/>
      <c r="W1449" s="6"/>
      <c r="X1449" s="6"/>
      <c r="Y1449" s="4" t="s">
        <v>9434</v>
      </c>
      <c r="Z1449" s="6"/>
      <c r="AA1449" s="5" t="s">
        <v>9435</v>
      </c>
    </row>
    <row r="1450" ht="14.25">
      <c r="B1450" s="4" t="s">
        <v>9436</v>
      </c>
      <c r="C1450" s="4" t="s">
        <v>653</v>
      </c>
      <c r="D1450" s="4" t="s">
        <v>9437</v>
      </c>
      <c r="E1450" s="4" t="s">
        <v>9438</v>
      </c>
      <c r="F1450" s="4" t="s">
        <v>7759</v>
      </c>
      <c r="G1450" s="4" t="s">
        <v>9439</v>
      </c>
      <c r="H1450" s="4" t="str">
        <f>IFERROR(__XLUDF.DUMMYFUNCTION("PROPER(REGEXREPLACE(G27,""[^A-Za-z]+ "",""""))"),"Carrettabâtimentgénie Civil")</f>
        <v xml:space="preserve">Carrettabâtimentgénie Civil</v>
      </c>
      <c r="I1450" s="5" t="s">
        <v>9440</v>
      </c>
      <c r="J1450" s="4" t="s">
        <v>9441</v>
      </c>
      <c r="K1450" s="4" t="s">
        <v>9193</v>
      </c>
      <c r="L1450" s="4" t="s">
        <v>29</v>
      </c>
      <c r="M1450" s="4" t="s">
        <v>9239</v>
      </c>
      <c r="N1450" s="4" t="str">
        <f>IFERROR(__XLUDF.DUMMYFUNCTION("VLOOKUP(M27,IMPORTRANGE(""https://docs.google.com/spreadsheets/d/1opm6ZNvGZ7KditA9TuJwrZ25eFLfTNIkrNnY6mhV5Eg"",""list!A1:C115""),3,TRUE)"),"le secteur de la construction")</f>
        <v xml:space="preserve">le secteur de la construction</v>
      </c>
      <c r="O1450" s="6"/>
      <c r="P1450" s="4">
        <v>20</v>
      </c>
      <c r="Q1450" s="4" t="s">
        <v>9441</v>
      </c>
      <c r="R1450" s="4" t="s">
        <v>9193</v>
      </c>
      <c r="S1450" s="4" t="s">
        <v>29</v>
      </c>
      <c r="T1450" s="5" t="s">
        <v>9442</v>
      </c>
      <c r="U1450" s="6"/>
      <c r="V1450" s="6"/>
      <c r="W1450" s="6"/>
      <c r="X1450" s="6"/>
      <c r="Y1450" s="4" t="s">
        <v>9443</v>
      </c>
      <c r="Z1450" s="6"/>
      <c r="AA1450" s="5" t="s">
        <v>9444</v>
      </c>
    </row>
    <row r="1451" ht="14.25">
      <c r="B1451" s="4" t="s">
        <v>9445</v>
      </c>
      <c r="C1451" s="4" t="s">
        <v>670</v>
      </c>
      <c r="D1451" s="4" t="s">
        <v>3257</v>
      </c>
      <c r="E1451" s="4" t="s">
        <v>9446</v>
      </c>
      <c r="F1451" s="4" t="s">
        <v>1231</v>
      </c>
      <c r="G1451" s="4" t="s">
        <v>9447</v>
      </c>
      <c r="H1451" s="4" t="str">
        <f>IFERROR(__XLUDF.DUMMYFUNCTION("PROPER(REGEXREPLACE(G28,""[^A-Za-z]+ "",""""))"),"Opstim")</f>
        <v>Opstim</v>
      </c>
      <c r="I1451" s="5" t="s">
        <v>9448</v>
      </c>
      <c r="J1451" s="4" t="s">
        <v>39</v>
      </c>
      <c r="K1451" s="4" t="s">
        <v>9160</v>
      </c>
      <c r="L1451" s="4" t="s">
        <v>29</v>
      </c>
      <c r="M1451" s="4" t="s">
        <v>2602</v>
      </c>
      <c r="N1451" s="4" t="str">
        <f>IFERROR(__XLUDF.DUMMYFUNCTION("VLOOKUP(M28,IMPORTRANGE(""https://docs.google.com/spreadsheets/d/1opm6ZNvGZ7KditA9TuJwrZ25eFLfTNIkrNnY6mhV5Eg"",""list!A1:C115""),3,TRUE)"),"le secteur de la tech")</f>
        <v xml:space="preserve">le secteur de la tech</v>
      </c>
      <c r="O1451" s="4" t="s">
        <v>9449</v>
      </c>
      <c r="P1451" s="4">
        <v>22</v>
      </c>
      <c r="Q1451" s="4" t="s">
        <v>39</v>
      </c>
      <c r="R1451" s="4" t="s">
        <v>9160</v>
      </c>
      <c r="S1451" s="4" t="s">
        <v>29</v>
      </c>
      <c r="T1451" s="5" t="s">
        <v>9450</v>
      </c>
      <c r="U1451" s="6"/>
      <c r="V1451" s="6"/>
      <c r="W1451" s="6"/>
      <c r="X1451" s="6"/>
      <c r="Y1451" s="4" t="s">
        <v>9451</v>
      </c>
      <c r="Z1451" s="6"/>
      <c r="AA1451" s="5" t="s">
        <v>9452</v>
      </c>
    </row>
    <row r="1452" ht="14.25">
      <c r="B1452" s="4" t="s">
        <v>9453</v>
      </c>
      <c r="C1452" s="4" t="s">
        <v>874</v>
      </c>
      <c r="D1452" s="4" t="s">
        <v>9454</v>
      </c>
      <c r="E1452" s="4" t="s">
        <v>9455</v>
      </c>
      <c r="F1452" s="4" t="s">
        <v>9456</v>
      </c>
      <c r="G1452" s="4" t="s">
        <v>9457</v>
      </c>
      <c r="H1452" s="4" t="str">
        <f>IFERROR(__XLUDF.DUMMYFUNCTION("PROPER(REGEXREPLACE(G29,""[^A-Za-z]+ "",""""))"),"Attitude Si")</f>
        <v xml:space="preserve">Attitude Si</v>
      </c>
      <c r="I1452" s="5" t="s">
        <v>9458</v>
      </c>
      <c r="J1452" s="4" t="s">
        <v>9459</v>
      </c>
      <c r="K1452" s="4" t="s">
        <v>9460</v>
      </c>
      <c r="L1452" s="4" t="s">
        <v>29</v>
      </c>
      <c r="M1452" s="4" t="s">
        <v>9461</v>
      </c>
      <c r="N1452" s="4" t="str">
        <f>IFERROR(__XLUDF.DUMMYFUNCTION("VLOOKUP(M29,IMPORTRANGE(""https://docs.google.com/spreadsheets/d/1opm6ZNvGZ7KditA9TuJwrZ25eFLfTNIkrNnY6mhV5Eg"",""list!A1:C115""),3,TRUE)"),"le secteur des services d'information")</f>
        <v xml:space="preserve">le secteur des services d'information</v>
      </c>
      <c r="O1452" s="4" t="s">
        <v>9462</v>
      </c>
      <c r="P1452" s="4">
        <v>10</v>
      </c>
      <c r="Q1452" s="4" t="s">
        <v>9459</v>
      </c>
      <c r="R1452" s="4" t="s">
        <v>9463</v>
      </c>
      <c r="S1452" s="4" t="s">
        <v>29</v>
      </c>
      <c r="T1452" s="5" t="s">
        <v>9464</v>
      </c>
      <c r="U1452" s="6"/>
      <c r="V1452" s="5" t="s">
        <v>9465</v>
      </c>
      <c r="W1452" s="6"/>
      <c r="X1452" s="6"/>
      <c r="Y1452" s="4" t="s">
        <v>9466</v>
      </c>
      <c r="Z1452" s="6"/>
      <c r="AA1452" s="5" t="s">
        <v>9467</v>
      </c>
    </row>
    <row r="1453" ht="14.25">
      <c r="B1453" s="4" t="s">
        <v>9468</v>
      </c>
      <c r="C1453" s="4" t="s">
        <v>2299</v>
      </c>
      <c r="D1453" s="4" t="s">
        <v>9469</v>
      </c>
      <c r="E1453" s="4" t="s">
        <v>9470</v>
      </c>
      <c r="F1453" s="4" t="s">
        <v>112</v>
      </c>
      <c r="G1453" s="4" t="s">
        <v>9471</v>
      </c>
      <c r="H1453" s="4" t="str">
        <f>IFERROR(__XLUDF.DUMMYFUNCTION("PROPER(REGEXREPLACE(G30,""[^A-Za-z]+ "",""""))"),"Pierre Bergassociés")</f>
        <v xml:space="preserve">Pierre Bergassociés</v>
      </c>
      <c r="I1453" s="6"/>
      <c r="J1453" s="4" t="s">
        <v>9472</v>
      </c>
      <c r="K1453" s="4" t="s">
        <v>9473</v>
      </c>
      <c r="L1453" s="4" t="s">
        <v>29</v>
      </c>
      <c r="M1453" s="4" t="s">
        <v>4525</v>
      </c>
      <c r="N1453" s="4" t="str">
        <f>IFERROR(__XLUDF.DUMMYFUNCTION("VLOOKUP(M30,IMPORTRANGE(""https://docs.google.com/spreadsheets/d/1opm6ZNvGZ7KditA9TuJwrZ25eFLfTNIkrNnY6mhV5Eg"",""list!A1:C115""),3,TRUE)"),"le secteur du retail")</f>
        <v xml:space="preserve">le secteur du retail</v>
      </c>
      <c r="O1453" s="4" t="s">
        <v>9474</v>
      </c>
      <c r="P1453" s="4">
        <v>14</v>
      </c>
      <c r="Q1453" s="4" t="s">
        <v>39</v>
      </c>
      <c r="R1453" s="4" t="s">
        <v>9160</v>
      </c>
      <c r="S1453" s="4" t="s">
        <v>29</v>
      </c>
      <c r="T1453" s="5" t="s">
        <v>9475</v>
      </c>
      <c r="U1453" s="6"/>
      <c r="V1453" s="6"/>
      <c r="W1453" s="6"/>
      <c r="X1453" s="6"/>
      <c r="Y1453" s="4" t="s">
        <v>9476</v>
      </c>
      <c r="Z1453" s="6"/>
      <c r="AA1453" s="5" t="s">
        <v>9477</v>
      </c>
    </row>
    <row r="1454" ht="14.25">
      <c r="B1454" s="4" t="s">
        <v>9478</v>
      </c>
      <c r="C1454" s="4" t="s">
        <v>9479</v>
      </c>
      <c r="D1454" s="4" t="s">
        <v>1667</v>
      </c>
      <c r="E1454" s="4" t="s">
        <v>9480</v>
      </c>
      <c r="F1454" s="4" t="s">
        <v>9481</v>
      </c>
      <c r="G1454" s="4" t="s">
        <v>9482</v>
      </c>
      <c r="H1454" s="4" t="str">
        <f>IFERROR(__XLUDF.DUMMYFUNCTION("PROPER(REGEXREPLACE(G31,""[^A-Za-z]+ "",""""))"),"Tradibat")</f>
        <v>Tradibat</v>
      </c>
      <c r="I1454" s="5" t="s">
        <v>9483</v>
      </c>
      <c r="J1454" s="6"/>
      <c r="K1454" s="6"/>
      <c r="L1454" s="4" t="s">
        <v>29</v>
      </c>
      <c r="M1454" s="4" t="s">
        <v>9239</v>
      </c>
      <c r="N1454" s="4" t="str">
        <f>IFERROR(__XLUDF.DUMMYFUNCTION("VLOOKUP(M31,IMPORTRANGE(""https://docs.google.com/spreadsheets/d/1opm6ZNvGZ7KditA9TuJwrZ25eFLfTNIkrNnY6mhV5Eg"",""list!A1:C115""),3,TRUE)"),"le secteur de la construction")</f>
        <v xml:space="preserve">le secteur de la construction</v>
      </c>
      <c r="O1454" s="6"/>
      <c r="P1454" s="4">
        <v>12</v>
      </c>
      <c r="Q1454" s="4" t="s">
        <v>6954</v>
      </c>
      <c r="R1454" s="4" t="s">
        <v>9484</v>
      </c>
      <c r="S1454" s="4" t="s">
        <v>29</v>
      </c>
      <c r="T1454" s="5" t="s">
        <v>9485</v>
      </c>
      <c r="U1454" s="5" t="s">
        <v>9486</v>
      </c>
      <c r="V1454" s="5" t="s">
        <v>9487</v>
      </c>
      <c r="W1454" s="6"/>
      <c r="X1454" s="6"/>
      <c r="Y1454" s="4" t="s">
        <v>9488</v>
      </c>
      <c r="Z1454" s="6"/>
      <c r="AA1454" s="5" t="s">
        <v>9489</v>
      </c>
    </row>
    <row r="1455" ht="14.25">
      <c r="B1455" s="4" t="s">
        <v>9490</v>
      </c>
      <c r="C1455" s="4" t="s">
        <v>9479</v>
      </c>
      <c r="D1455" s="4" t="s">
        <v>5351</v>
      </c>
      <c r="E1455" s="4" t="s">
        <v>9491</v>
      </c>
      <c r="F1455" s="4" t="s">
        <v>9410</v>
      </c>
      <c r="G1455" s="4" t="s">
        <v>9492</v>
      </c>
      <c r="H1455" s="4" t="str">
        <f>IFERROR(__XLUDF.DUMMYFUNCTION("PROPER(REGEXREPLACE(G32,""[^A-Za-z]+ "",""""))"),"Gembaware")</f>
        <v>Gembaware</v>
      </c>
      <c r="I1455" s="5" t="s">
        <v>9493</v>
      </c>
      <c r="J1455" s="4" t="s">
        <v>83</v>
      </c>
      <c r="K1455" s="4" t="s">
        <v>9460</v>
      </c>
      <c r="L1455" s="4" t="s">
        <v>29</v>
      </c>
      <c r="M1455" s="4" t="s">
        <v>2602</v>
      </c>
      <c r="N1455" s="4" t="str">
        <f>IFERROR(__XLUDF.DUMMYFUNCTION("VLOOKUP(M32,IMPORTRANGE(""https://docs.google.com/spreadsheets/d/1opm6ZNvGZ7KditA9TuJwrZ25eFLfTNIkrNnY6mhV5Eg"",""list!A1:C115""),3,TRUE)"),"le secteur de la tech")</f>
        <v xml:space="preserve">le secteur de la tech</v>
      </c>
      <c r="O1455" s="4" t="s">
        <v>9494</v>
      </c>
      <c r="P1455" s="4">
        <v>13</v>
      </c>
      <c r="Q1455" s="6"/>
      <c r="R1455" s="6"/>
      <c r="S1455" s="6"/>
      <c r="T1455" s="5" t="s">
        <v>9495</v>
      </c>
      <c r="U1455" s="6"/>
      <c r="V1455" s="6"/>
      <c r="W1455" s="6"/>
      <c r="X1455" s="6"/>
      <c r="Y1455" s="4" t="s">
        <v>9496</v>
      </c>
      <c r="Z1455" s="6"/>
      <c r="AA1455" s="5" t="s">
        <v>9497</v>
      </c>
    </row>
    <row r="1456" ht="14.25">
      <c r="B1456" s="4" t="s">
        <v>9498</v>
      </c>
      <c r="C1456" s="4" t="s">
        <v>9499</v>
      </c>
      <c r="D1456" s="4" t="s">
        <v>9500</v>
      </c>
      <c r="E1456" s="4" t="s">
        <v>9501</v>
      </c>
      <c r="F1456" s="4" t="s">
        <v>172</v>
      </c>
      <c r="G1456" s="4" t="s">
        <v>9502</v>
      </c>
      <c r="H1456" s="4" t="str">
        <f>IFERROR(__XLUDF.DUMMYFUNCTION("PROPER(REGEXREPLACE(G33,""[^A-Za-z]+ "",""""))"),"Acsantis")</f>
        <v>Acsantis</v>
      </c>
      <c r="I1456" s="5" t="s">
        <v>9503</v>
      </c>
      <c r="J1456" s="4" t="s">
        <v>39</v>
      </c>
      <c r="K1456" s="4" t="s">
        <v>9160</v>
      </c>
      <c r="L1456" s="4" t="s">
        <v>29</v>
      </c>
      <c r="M1456" s="4" t="s">
        <v>4067</v>
      </c>
      <c r="N1456" s="4" t="str">
        <f>IFERROR(__XLUDF.DUMMYFUNCTION("VLOOKUP(M33,IMPORTRANGE(""https://docs.google.com/spreadsheets/d/1opm6ZNvGZ7KditA9TuJwrZ25eFLfTNIkrNnY6mhV5Eg"",""list!A1:C115""),3,TRUE)"),"le secteur du conseil en management")</f>
        <v xml:space="preserve">le secteur du conseil en management</v>
      </c>
      <c r="O1456" s="4" t="s">
        <v>9504</v>
      </c>
      <c r="P1456" s="4">
        <v>17</v>
      </c>
      <c r="Q1456" s="4" t="s">
        <v>39</v>
      </c>
      <c r="R1456" s="4" t="s">
        <v>9160</v>
      </c>
      <c r="S1456" s="4" t="s">
        <v>29</v>
      </c>
      <c r="T1456" s="5" t="s">
        <v>9505</v>
      </c>
      <c r="U1456" s="5" t="s">
        <v>9506</v>
      </c>
      <c r="V1456" s="6"/>
      <c r="W1456" s="6"/>
      <c r="X1456" s="6"/>
      <c r="Y1456" s="4" t="s">
        <v>9507</v>
      </c>
      <c r="Z1456" s="6"/>
      <c r="AA1456" s="5" t="s">
        <v>9508</v>
      </c>
    </row>
    <row r="1457" ht="14.25">
      <c r="B1457" s="4" t="s">
        <v>9509</v>
      </c>
      <c r="C1457" s="4" t="s">
        <v>95</v>
      </c>
      <c r="D1457" s="4" t="s">
        <v>9510</v>
      </c>
      <c r="E1457" s="4" t="s">
        <v>9511</v>
      </c>
      <c r="F1457" s="4" t="s">
        <v>9512</v>
      </c>
      <c r="G1457" s="4" t="s">
        <v>9513</v>
      </c>
      <c r="H1457" s="4" t="str">
        <f>IFERROR(__XLUDF.DUMMYFUNCTION("PROPER(REGEXREPLACE(G34,""[^A-Za-z]+ "",""""))"),"Bewizyu")</f>
        <v>Bewizyu</v>
      </c>
      <c r="I1457" s="5" t="s">
        <v>9514</v>
      </c>
      <c r="J1457" s="4" t="s">
        <v>1711</v>
      </c>
      <c r="K1457" s="4" t="s">
        <v>9350</v>
      </c>
      <c r="L1457" s="4" t="s">
        <v>29</v>
      </c>
      <c r="M1457" s="4" t="s">
        <v>2602</v>
      </c>
      <c r="N1457" s="4" t="str">
        <f>IFERROR(__XLUDF.DUMMYFUNCTION("VLOOKUP(M34,IMPORTRANGE(""https://docs.google.com/spreadsheets/d/1opm6ZNvGZ7KditA9TuJwrZ25eFLfTNIkrNnY6mhV5Eg"",""list!A1:C115""),3,TRUE)"),"le secteur de la tech")</f>
        <v xml:space="preserve">le secteur de la tech</v>
      </c>
      <c r="O1457" s="4" t="s">
        <v>9515</v>
      </c>
      <c r="P1457" s="4">
        <v>23</v>
      </c>
      <c r="Q1457" s="4" t="s">
        <v>1711</v>
      </c>
      <c r="R1457" s="4" t="s">
        <v>9350</v>
      </c>
      <c r="S1457" s="4" t="s">
        <v>29</v>
      </c>
      <c r="T1457" s="5" t="s">
        <v>9516</v>
      </c>
      <c r="U1457" s="5" t="s">
        <v>9517</v>
      </c>
      <c r="V1457" s="6"/>
      <c r="W1457" s="6"/>
      <c r="X1457" s="6"/>
      <c r="Y1457" s="4" t="s">
        <v>9518</v>
      </c>
      <c r="Z1457" s="6"/>
      <c r="AA1457" s="5" t="s">
        <v>9519</v>
      </c>
    </row>
    <row r="1458" ht="14.25">
      <c r="B1458" s="4" t="s">
        <v>9520</v>
      </c>
      <c r="C1458" s="4" t="s">
        <v>670</v>
      </c>
      <c r="D1458" s="4" t="s">
        <v>9521</v>
      </c>
      <c r="E1458" s="4" t="s">
        <v>9522</v>
      </c>
      <c r="F1458" s="4" t="s">
        <v>7759</v>
      </c>
      <c r="G1458" s="4" t="s">
        <v>9523</v>
      </c>
      <c r="H1458" s="4" t="str">
        <f>IFERROR(__XLUDF.DUMMYFUNCTION("PROPER(REGEXREPLACE(G35,""[^A-Za-z]+ "",""""))"),"Kp2I")</f>
        <v>Kp2I</v>
      </c>
      <c r="I1458" s="5" t="s">
        <v>9524</v>
      </c>
      <c r="J1458" s="6"/>
      <c r="K1458" s="4" t="s">
        <v>9160</v>
      </c>
      <c r="L1458" s="4" t="s">
        <v>29</v>
      </c>
      <c r="M1458" s="4" t="s">
        <v>4067</v>
      </c>
      <c r="N1458" s="4" t="str">
        <f>IFERROR(__XLUDF.DUMMYFUNCTION("VLOOKUP(M35,IMPORTRANGE(""https://docs.google.com/spreadsheets/d/1opm6ZNvGZ7KditA9TuJwrZ25eFLfTNIkrNnY6mhV5Eg"",""list!A1:C115""),3,TRUE)"),"le secteur du conseil en management")</f>
        <v xml:space="preserve">le secteur du conseil en management</v>
      </c>
      <c r="O1458" s="4" t="s">
        <v>9525</v>
      </c>
      <c r="P1458" s="4">
        <v>31</v>
      </c>
      <c r="Q1458" s="4" t="s">
        <v>7827</v>
      </c>
      <c r="R1458" s="4" t="s">
        <v>9160</v>
      </c>
      <c r="S1458" s="4" t="s">
        <v>29</v>
      </c>
      <c r="T1458" s="5" t="s">
        <v>9526</v>
      </c>
      <c r="U1458" s="6"/>
      <c r="V1458" s="6"/>
      <c r="W1458" s="6"/>
      <c r="X1458" s="6"/>
      <c r="Y1458" s="4" t="s">
        <v>9527</v>
      </c>
      <c r="Z1458" s="6"/>
      <c r="AA1458" s="5" t="s">
        <v>9528</v>
      </c>
    </row>
    <row r="1459" ht="14.25">
      <c r="B1459" s="4" t="s">
        <v>9529</v>
      </c>
      <c r="C1459" s="4" t="s">
        <v>2299</v>
      </c>
      <c r="D1459" s="4" t="s">
        <v>9530</v>
      </c>
      <c r="E1459" s="4" t="s">
        <v>9531</v>
      </c>
      <c r="F1459" s="4" t="s">
        <v>9532</v>
      </c>
      <c r="G1459" s="4" t="s">
        <v>9533</v>
      </c>
      <c r="H1459" s="4" t="str">
        <f>IFERROR(__XLUDF.DUMMYFUNCTION("PROPER(REGEXREPLACE(G36,""[^A-Za-z]+ "",""""))"),"Alsatis Entreprises")</f>
        <v xml:space="preserve">Alsatis Entreprises</v>
      </c>
      <c r="I1459" s="5" t="s">
        <v>9534</v>
      </c>
      <c r="J1459" s="4" t="s">
        <v>83</v>
      </c>
      <c r="K1459" s="4" t="s">
        <v>9460</v>
      </c>
      <c r="L1459" s="4" t="s">
        <v>29</v>
      </c>
      <c r="M1459" s="4" t="s">
        <v>2602</v>
      </c>
      <c r="N1459" s="4" t="str">
        <f>IFERROR(__XLUDF.DUMMYFUNCTION("VLOOKUP(M36,IMPORTRANGE(""https://docs.google.com/spreadsheets/d/1opm6ZNvGZ7KditA9TuJwrZ25eFLfTNIkrNnY6mhV5Eg"",""list!A1:C115""),3,TRUE)"),"le secteur de la tech")</f>
        <v xml:space="preserve">le secteur de la tech</v>
      </c>
      <c r="O1459" s="4" t="s">
        <v>9535</v>
      </c>
      <c r="P1459" s="4">
        <v>22</v>
      </c>
      <c r="Q1459" s="4" t="s">
        <v>83</v>
      </c>
      <c r="R1459" s="4" t="s">
        <v>9460</v>
      </c>
      <c r="S1459" s="4" t="s">
        <v>29</v>
      </c>
      <c r="T1459" s="5" t="s">
        <v>9536</v>
      </c>
      <c r="U1459" s="6"/>
      <c r="V1459" s="6"/>
      <c r="W1459" s="6"/>
      <c r="X1459" s="6"/>
      <c r="Y1459" s="4" t="s">
        <v>9537</v>
      </c>
      <c r="Z1459" s="6"/>
      <c r="AA1459" s="5" t="s">
        <v>9538</v>
      </c>
    </row>
    <row r="1460" ht="14.25">
      <c r="B1460" s="4" t="s">
        <v>9539</v>
      </c>
      <c r="C1460" s="4" t="s">
        <v>2299</v>
      </c>
      <c r="D1460" s="4" t="s">
        <v>355</v>
      </c>
      <c r="E1460" s="4" t="s">
        <v>9540</v>
      </c>
      <c r="F1460" s="4" t="s">
        <v>120</v>
      </c>
      <c r="G1460" s="4" t="s">
        <v>9541</v>
      </c>
      <c r="H1460" s="4" t="str">
        <f>IFERROR(__XLUDF.DUMMYFUNCTION("PROPER(REGEXREPLACE(G37,""[^A-Za-z]+ "",""""))"),"Proplace")</f>
        <v>Proplace</v>
      </c>
      <c r="I1460" s="5" t="s">
        <v>9542</v>
      </c>
      <c r="J1460" s="4" t="s">
        <v>39</v>
      </c>
      <c r="K1460" s="4" t="s">
        <v>9160</v>
      </c>
      <c r="L1460" s="4" t="s">
        <v>29</v>
      </c>
      <c r="M1460" s="4" t="s">
        <v>2602</v>
      </c>
      <c r="N1460" s="4" t="str">
        <f>IFERROR(__XLUDF.DUMMYFUNCTION("VLOOKUP(M37,IMPORTRANGE(""https://docs.google.com/spreadsheets/d/1opm6ZNvGZ7KditA9TuJwrZ25eFLfTNIkrNnY6mhV5Eg"",""list!A1:C115""),3,TRUE)"),"le secteur de la tech")</f>
        <v xml:space="preserve">le secteur de la tech</v>
      </c>
      <c r="O1460" s="4" t="s">
        <v>9543</v>
      </c>
      <c r="P1460" s="4">
        <v>10</v>
      </c>
      <c r="Q1460" s="4" t="s">
        <v>39</v>
      </c>
      <c r="R1460" s="4" t="s">
        <v>9160</v>
      </c>
      <c r="S1460" s="4" t="s">
        <v>29</v>
      </c>
      <c r="T1460" s="5" t="s">
        <v>9544</v>
      </c>
      <c r="U1460" s="6"/>
      <c r="V1460" s="6"/>
      <c r="W1460" s="6"/>
      <c r="X1460" s="6"/>
      <c r="Y1460" s="4" t="s">
        <v>9545</v>
      </c>
      <c r="Z1460" s="6"/>
      <c r="AA1460" s="5" t="s">
        <v>9546</v>
      </c>
    </row>
    <row r="1461" ht="14.25">
      <c r="B1461" s="4" t="s">
        <v>9547</v>
      </c>
      <c r="C1461" s="4" t="s">
        <v>743</v>
      </c>
      <c r="D1461" s="4" t="s">
        <v>9548</v>
      </c>
      <c r="E1461" s="4" t="s">
        <v>9549</v>
      </c>
      <c r="F1461" s="4" t="s">
        <v>9550</v>
      </c>
      <c r="G1461" s="4" t="s">
        <v>9551</v>
      </c>
      <c r="H1461" s="4" t="str">
        <f>IFERROR(__XLUDF.DUMMYFUNCTION("PROPER(REGEXREPLACE(G38,""[^A-Za-z]+ "",""""))"),"Pharow")</f>
        <v>Pharow</v>
      </c>
      <c r="I1461" s="5" t="s">
        <v>9552</v>
      </c>
      <c r="J1461" s="4" t="s">
        <v>39</v>
      </c>
      <c r="K1461" s="4" t="s">
        <v>9160</v>
      </c>
      <c r="L1461" s="4" t="s">
        <v>29</v>
      </c>
      <c r="M1461" s="4" t="s">
        <v>2602</v>
      </c>
      <c r="N1461" s="4" t="str">
        <f>IFERROR(__XLUDF.DUMMYFUNCTION("VLOOKUP(M38,IMPORTRANGE(""https://docs.google.com/spreadsheets/d/1opm6ZNvGZ7KditA9TuJwrZ25eFLfTNIkrNnY6mhV5Eg"",""list!A1:C115""),3,TRUE)"),"le secteur de la tech")</f>
        <v xml:space="preserve">le secteur de la tech</v>
      </c>
      <c r="O1461" s="4" t="s">
        <v>9553</v>
      </c>
      <c r="P1461" s="4">
        <v>22</v>
      </c>
      <c r="Q1461" s="4" t="s">
        <v>585</v>
      </c>
      <c r="R1461" s="4" t="s">
        <v>9160</v>
      </c>
      <c r="S1461" s="4" t="s">
        <v>29</v>
      </c>
      <c r="T1461" s="5" t="s">
        <v>9554</v>
      </c>
      <c r="U1461" s="6"/>
      <c r="V1461" s="6"/>
      <c r="W1461" s="6"/>
      <c r="X1461" s="6"/>
      <c r="Y1461" s="4" t="s">
        <v>9555</v>
      </c>
      <c r="Z1461" s="6"/>
      <c r="AA1461" s="5" t="s">
        <v>9556</v>
      </c>
    </row>
    <row r="1462" ht="14.25">
      <c r="B1462" s="4" t="s">
        <v>9557</v>
      </c>
      <c r="C1462" s="4" t="s">
        <v>290</v>
      </c>
      <c r="D1462" s="4" t="s">
        <v>9558</v>
      </c>
      <c r="E1462" s="4" t="s">
        <v>9559</v>
      </c>
      <c r="F1462" s="4" t="s">
        <v>7185</v>
      </c>
      <c r="G1462" s="4" t="s">
        <v>9560</v>
      </c>
      <c r="H1462" s="4" t="str">
        <f>IFERROR(__XLUDF.DUMMYFUNCTION("PROPER(REGEXREPLACE(G39,""[^A-Za-z]+ "",""""))"),"Trust It Générateur De Confiance")</f>
        <v xml:space="preserve">Trust It Générateur De Confiance</v>
      </c>
      <c r="I1462" s="5" t="s">
        <v>9561</v>
      </c>
      <c r="J1462" s="6"/>
      <c r="K1462" s="4" t="s">
        <v>9160</v>
      </c>
      <c r="L1462" s="4" t="s">
        <v>29</v>
      </c>
      <c r="M1462" s="4" t="s">
        <v>2602</v>
      </c>
      <c r="N1462" s="4" t="str">
        <f>IFERROR(__XLUDF.DUMMYFUNCTION("VLOOKUP(M39,IMPORTRANGE(""https://docs.google.com/spreadsheets/d/1opm6ZNvGZ7KditA9TuJwrZ25eFLfTNIkrNnY6mhV5Eg"",""list!A1:C115""),3,TRUE)"),"le secteur de la tech")</f>
        <v xml:space="preserve">le secteur de la tech</v>
      </c>
      <c r="O1462" s="4" t="s">
        <v>9562</v>
      </c>
      <c r="P1462" s="4">
        <v>47</v>
      </c>
      <c r="Q1462" s="4" t="s">
        <v>39</v>
      </c>
      <c r="R1462" s="4" t="s">
        <v>9160</v>
      </c>
      <c r="S1462" s="4" t="s">
        <v>29</v>
      </c>
      <c r="T1462" s="5" t="s">
        <v>9563</v>
      </c>
      <c r="U1462" s="5" t="s">
        <v>9564</v>
      </c>
      <c r="V1462" s="5" t="s">
        <v>9565</v>
      </c>
      <c r="W1462" s="6"/>
      <c r="X1462" s="6"/>
      <c r="Y1462" s="4" t="s">
        <v>9566</v>
      </c>
      <c r="Z1462" s="6"/>
      <c r="AA1462" s="5" t="s">
        <v>9567</v>
      </c>
    </row>
    <row r="1463" ht="14.25">
      <c r="B1463" s="4" t="s">
        <v>9568</v>
      </c>
      <c r="C1463" s="4" t="s">
        <v>3781</v>
      </c>
      <c r="D1463" s="4" t="s">
        <v>9569</v>
      </c>
      <c r="E1463" s="4" t="s">
        <v>9570</v>
      </c>
      <c r="F1463" s="4" t="s">
        <v>9571</v>
      </c>
      <c r="G1463" s="4" t="s">
        <v>9572</v>
      </c>
      <c r="H1463" s="4" t="str">
        <f>IFERROR(__XLUDF.DUMMYFUNCTION("PROPER(REGEXREPLACE(G40,""[^A-Za-z]+ "",""""))"),"Vertical Expense")</f>
        <v xml:space="preserve">Vertical Expense</v>
      </c>
      <c r="I1463" s="5" t="s">
        <v>9573</v>
      </c>
      <c r="J1463" s="4" t="s">
        <v>1015</v>
      </c>
      <c r="K1463" s="4" t="s">
        <v>9251</v>
      </c>
      <c r="L1463" s="4" t="s">
        <v>29</v>
      </c>
      <c r="M1463" s="4" t="s">
        <v>2602</v>
      </c>
      <c r="N1463" s="4" t="str">
        <f>IFERROR(__XLUDF.DUMMYFUNCTION("VLOOKUP(M40,IMPORTRANGE(""https://docs.google.com/spreadsheets/d/1opm6ZNvGZ7KditA9TuJwrZ25eFLfTNIkrNnY6mhV5Eg"",""list!A1:C115""),3,TRUE)"),"le secteur de la tech")</f>
        <v xml:space="preserve">le secteur de la tech</v>
      </c>
      <c r="O1463" s="4" t="s">
        <v>9574</v>
      </c>
      <c r="P1463" s="4">
        <v>14</v>
      </c>
      <c r="Q1463" s="4" t="s">
        <v>1015</v>
      </c>
      <c r="R1463" s="4" t="s">
        <v>9251</v>
      </c>
      <c r="S1463" s="4" t="s">
        <v>29</v>
      </c>
      <c r="T1463" s="5" t="s">
        <v>9575</v>
      </c>
      <c r="U1463" s="6"/>
      <c r="V1463" s="6"/>
      <c r="W1463" s="6"/>
      <c r="X1463" s="6"/>
      <c r="Y1463" s="4" t="s">
        <v>9576</v>
      </c>
      <c r="Z1463" s="6"/>
      <c r="AA1463" s="5" t="s">
        <v>9577</v>
      </c>
    </row>
    <row r="1464" ht="14.25">
      <c r="B1464" s="4" t="s">
        <v>9578</v>
      </c>
      <c r="C1464" s="4" t="s">
        <v>9579</v>
      </c>
      <c r="D1464" s="4" t="s">
        <v>9580</v>
      </c>
      <c r="E1464" s="4" t="s">
        <v>9581</v>
      </c>
      <c r="F1464" s="4" t="s">
        <v>9582</v>
      </c>
      <c r="G1464" s="4" t="s">
        <v>9583</v>
      </c>
      <c r="H1464" s="4" t="str">
        <f>IFERROR(__XLUDF.DUMMYFUNCTION("PROPER(REGEXREPLACE(G41,""[^A-Za-z]+ "",""""))"),"Omydoo")</f>
        <v>Omydoo</v>
      </c>
      <c r="I1464" s="5" t="s">
        <v>9584</v>
      </c>
      <c r="J1464" s="4" t="s">
        <v>9585</v>
      </c>
      <c r="K1464" s="4" t="s">
        <v>9193</v>
      </c>
      <c r="L1464" s="4" t="s">
        <v>29</v>
      </c>
      <c r="M1464" s="4" t="s">
        <v>2602</v>
      </c>
      <c r="N1464" s="4" t="str">
        <f>IFERROR(__XLUDF.DUMMYFUNCTION("VLOOKUP(M41,IMPORTRANGE(""https://docs.google.com/spreadsheets/d/1opm6ZNvGZ7KditA9TuJwrZ25eFLfTNIkrNnY6mhV5Eg"",""list!A1:C115""),3,TRUE)"),"le secteur de la tech")</f>
        <v xml:space="preserve">le secteur de la tech</v>
      </c>
      <c r="O1464" s="4" t="s">
        <v>9586</v>
      </c>
      <c r="P1464" s="4">
        <v>19</v>
      </c>
      <c r="Q1464" s="4" t="s">
        <v>9237</v>
      </c>
      <c r="R1464" s="4" t="s">
        <v>9193</v>
      </c>
      <c r="S1464" s="4" t="s">
        <v>29</v>
      </c>
      <c r="T1464" s="5" t="s">
        <v>9587</v>
      </c>
      <c r="U1464" s="6"/>
      <c r="V1464" s="5" t="s">
        <v>9588</v>
      </c>
      <c r="W1464" s="6"/>
      <c r="X1464" s="6"/>
      <c r="Y1464" s="4" t="s">
        <v>9589</v>
      </c>
      <c r="Z1464" s="6"/>
      <c r="AA1464" s="5" t="s">
        <v>9590</v>
      </c>
    </row>
    <row r="1465" ht="14.25">
      <c r="B1465" s="4" t="s">
        <v>9591</v>
      </c>
      <c r="C1465" s="4" t="s">
        <v>9592</v>
      </c>
      <c r="D1465" s="4" t="s">
        <v>9593</v>
      </c>
      <c r="E1465" s="4" t="s">
        <v>9594</v>
      </c>
      <c r="F1465" s="4" t="s">
        <v>9595</v>
      </c>
      <c r="G1465" s="4" t="s">
        <v>9596</v>
      </c>
      <c r="H1465" s="4" t="str">
        <f>IFERROR(__XLUDF.DUMMYFUNCTION("PROPER(REGEXREPLACE(G42,""[^A-Za-z]+ "",""""))"),"Univr Studio")</f>
        <v xml:space="preserve">Univr Studio</v>
      </c>
      <c r="I1465" s="5" t="s">
        <v>9597</v>
      </c>
      <c r="J1465" s="4" t="s">
        <v>185</v>
      </c>
      <c r="K1465" s="4" t="s">
        <v>9193</v>
      </c>
      <c r="L1465" s="4" t="s">
        <v>29</v>
      </c>
      <c r="M1465" s="4" t="s">
        <v>2602</v>
      </c>
      <c r="N1465" s="4" t="str">
        <f>IFERROR(__XLUDF.DUMMYFUNCTION("VLOOKUP(M42,IMPORTRANGE(""https://docs.google.com/spreadsheets/d/1opm6ZNvGZ7KditA9TuJwrZ25eFLfTNIkrNnY6mhV5Eg"",""list!A1:C115""),3,TRUE)"),"le secteur de la tech")</f>
        <v xml:space="preserve">le secteur de la tech</v>
      </c>
      <c r="O1465" s="4" t="s">
        <v>9598</v>
      </c>
      <c r="P1465" s="4">
        <v>19</v>
      </c>
      <c r="Q1465" s="4" t="s">
        <v>2174</v>
      </c>
      <c r="R1465" s="4" t="s">
        <v>9193</v>
      </c>
      <c r="S1465" s="4" t="s">
        <v>29</v>
      </c>
      <c r="T1465" s="5" t="s">
        <v>9599</v>
      </c>
      <c r="U1465" s="5" t="s">
        <v>9600</v>
      </c>
      <c r="V1465" s="5" t="s">
        <v>9601</v>
      </c>
      <c r="W1465" s="6"/>
      <c r="X1465" s="6"/>
      <c r="Y1465" s="4" t="s">
        <v>9602</v>
      </c>
      <c r="Z1465" s="6"/>
      <c r="AA1465" s="5" t="s">
        <v>9603</v>
      </c>
    </row>
    <row r="1466" ht="14.25">
      <c r="B1466" s="4" t="s">
        <v>9604</v>
      </c>
      <c r="C1466" s="4" t="s">
        <v>7422</v>
      </c>
      <c r="D1466" s="4" t="s">
        <v>9605</v>
      </c>
      <c r="E1466" s="4" t="s">
        <v>9606</v>
      </c>
      <c r="F1466" s="4" t="s">
        <v>9607</v>
      </c>
      <c r="G1466" s="4" t="s">
        <v>9608</v>
      </c>
      <c r="H1466" s="4" t="str">
        <f>IFERROR(__XLUDF.DUMMYFUNCTION("PROPER(REGEXREPLACE(G43,""[^A-Za-z]+ "",""""))"),"Randomcoffee")</f>
        <v>Randomcoffee</v>
      </c>
      <c r="I1466" s="5" t="s">
        <v>9609</v>
      </c>
      <c r="J1466" s="4" t="s">
        <v>39</v>
      </c>
      <c r="K1466" s="4" t="s">
        <v>9160</v>
      </c>
      <c r="L1466" s="4" t="s">
        <v>29</v>
      </c>
      <c r="M1466" s="4" t="s">
        <v>2602</v>
      </c>
      <c r="N1466" s="4" t="str">
        <f>IFERROR(__XLUDF.DUMMYFUNCTION("VLOOKUP(M43,IMPORTRANGE(""https://docs.google.com/spreadsheets/d/1opm6ZNvGZ7KditA9TuJwrZ25eFLfTNIkrNnY6mhV5Eg"",""list!A1:C115""),3,TRUE)"),"le secteur de la tech")</f>
        <v xml:space="preserve">le secteur de la tech</v>
      </c>
      <c r="O1466" s="4" t="s">
        <v>9610</v>
      </c>
      <c r="P1466" s="4">
        <v>11</v>
      </c>
      <c r="Q1466" s="4" t="s">
        <v>39</v>
      </c>
      <c r="R1466" s="4" t="s">
        <v>9160</v>
      </c>
      <c r="S1466" s="4" t="s">
        <v>29</v>
      </c>
      <c r="T1466" s="5" t="s">
        <v>9611</v>
      </c>
      <c r="U1466" s="5" t="s">
        <v>9612</v>
      </c>
      <c r="V1466" s="5" t="s">
        <v>9613</v>
      </c>
      <c r="W1466" s="6"/>
      <c r="X1466" s="6"/>
      <c r="Y1466" s="4" t="s">
        <v>9614</v>
      </c>
      <c r="Z1466" s="6"/>
      <c r="AA1466" s="5" t="s">
        <v>9615</v>
      </c>
    </row>
    <row r="1467" ht="14.25">
      <c r="B1467" s="4" t="s">
        <v>9616</v>
      </c>
      <c r="C1467" s="4" t="s">
        <v>9617</v>
      </c>
      <c r="D1467" s="4" t="s">
        <v>9618</v>
      </c>
      <c r="E1467" s="4" t="s">
        <v>9619</v>
      </c>
      <c r="F1467" s="4" t="s">
        <v>315</v>
      </c>
      <c r="G1467" s="4" t="s">
        <v>9620</v>
      </c>
      <c r="H1467" s="4" t="str">
        <f>IFERROR(__XLUDF.DUMMYFUNCTION("PROPER(REGEXREPLACE(G44,""[^A-Za-z]+ "",""""))"),"Metal Gear")</f>
        <v xml:space="preserve">Metal Gear</v>
      </c>
      <c r="I1467" s="5" t="s">
        <v>9621</v>
      </c>
      <c r="J1467" s="4" t="s">
        <v>39</v>
      </c>
      <c r="K1467" s="4" t="s">
        <v>9160</v>
      </c>
      <c r="L1467" s="4" t="s">
        <v>29</v>
      </c>
      <c r="M1467" s="4" t="s">
        <v>2602</v>
      </c>
      <c r="N1467" s="4" t="str">
        <f>IFERROR(__XLUDF.DUMMYFUNCTION("VLOOKUP(M44,IMPORTRANGE(""https://docs.google.com/spreadsheets/d/1opm6ZNvGZ7KditA9TuJwrZ25eFLfTNIkrNnY6mhV5Eg"",""list!A1:C115""),3,TRUE)"),"le secteur de la tech")</f>
        <v xml:space="preserve">le secteur de la tech</v>
      </c>
      <c r="O1467" s="6"/>
      <c r="P1467" s="4">
        <v>10</v>
      </c>
      <c r="Q1467" s="4" t="s">
        <v>39</v>
      </c>
      <c r="R1467" s="4" t="s">
        <v>9160</v>
      </c>
      <c r="S1467" s="4" t="s">
        <v>29</v>
      </c>
      <c r="T1467" s="5" t="s">
        <v>9622</v>
      </c>
      <c r="U1467" s="6"/>
      <c r="V1467" s="6"/>
      <c r="W1467" s="6"/>
      <c r="X1467" s="6"/>
      <c r="Y1467" s="4" t="s">
        <v>9623</v>
      </c>
      <c r="Z1467" s="6"/>
      <c r="AA1467" s="5" t="s">
        <v>9624</v>
      </c>
    </row>
    <row r="1468" ht="14.25">
      <c r="B1468" s="4" t="s">
        <v>9625</v>
      </c>
      <c r="C1468" s="4" t="s">
        <v>9626</v>
      </c>
      <c r="D1468" s="4" t="s">
        <v>9627</v>
      </c>
      <c r="E1468" s="4" t="s">
        <v>9628</v>
      </c>
      <c r="F1468" s="4" t="s">
        <v>503</v>
      </c>
      <c r="G1468" s="4" t="s">
        <v>9629</v>
      </c>
      <c r="H1468" s="4" t="str">
        <f>IFERROR(__XLUDF.DUMMYFUNCTION("PROPER(REGEXREPLACE(G45,""[^A-Za-z]+ "",""""))"),"Otherwayaround")</f>
        <v>Otherwayaround</v>
      </c>
      <c r="I1468" s="5" t="s">
        <v>9630</v>
      </c>
      <c r="J1468" s="6"/>
      <c r="K1468" s="6"/>
      <c r="L1468" s="4" t="s">
        <v>29</v>
      </c>
      <c r="M1468" s="4" t="s">
        <v>2602</v>
      </c>
      <c r="N1468" s="4" t="str">
        <f>IFERROR(__XLUDF.DUMMYFUNCTION("VLOOKUP(M45,IMPORTRANGE(""https://docs.google.com/spreadsheets/d/1opm6ZNvGZ7KditA9TuJwrZ25eFLfTNIkrNnY6mhV5Eg"",""list!A1:C115""),3,TRUE)"),"le secteur de la tech")</f>
        <v xml:space="preserve">le secteur de la tech</v>
      </c>
      <c r="O1468" s="6"/>
      <c r="P1468" s="4">
        <v>16</v>
      </c>
      <c r="Q1468" s="4" t="s">
        <v>9631</v>
      </c>
      <c r="R1468" s="4" t="s">
        <v>9632</v>
      </c>
      <c r="S1468" s="4" t="s">
        <v>1261</v>
      </c>
      <c r="T1468" s="5" t="s">
        <v>9633</v>
      </c>
      <c r="U1468" s="6"/>
      <c r="V1468" s="6"/>
      <c r="W1468" s="6"/>
      <c r="X1468" s="6"/>
      <c r="Y1468" s="4" t="s">
        <v>9634</v>
      </c>
      <c r="Z1468" s="6"/>
      <c r="AA1468" s="5" t="s">
        <v>9635</v>
      </c>
    </row>
    <row r="1469" ht="14.25">
      <c r="B1469" s="4" t="s">
        <v>9636</v>
      </c>
      <c r="C1469" s="4" t="s">
        <v>5029</v>
      </c>
      <c r="D1469" s="4" t="s">
        <v>9637</v>
      </c>
      <c r="E1469" s="4" t="s">
        <v>9638</v>
      </c>
      <c r="F1469" s="4" t="s">
        <v>112</v>
      </c>
      <c r="G1469" s="4" t="s">
        <v>9639</v>
      </c>
      <c r="H1469" s="4" t="str">
        <f>IFERROR(__XLUDF.DUMMYFUNCTION("PROPER(REGEXREPLACE(G46,""[^A-Za-z]+ "",""""))"),"Astorm Group")</f>
        <v xml:space="preserve">Astorm Group</v>
      </c>
      <c r="I1469" s="5" t="s">
        <v>9640</v>
      </c>
      <c r="J1469" s="4" t="s">
        <v>39</v>
      </c>
      <c r="K1469" s="4" t="s">
        <v>9160</v>
      </c>
      <c r="L1469" s="4" t="s">
        <v>29</v>
      </c>
      <c r="M1469" s="4" t="s">
        <v>2602</v>
      </c>
      <c r="N1469" s="4" t="str">
        <f>IFERROR(__XLUDF.DUMMYFUNCTION("VLOOKUP(M46,IMPORTRANGE(""https://docs.google.com/spreadsheets/d/1opm6ZNvGZ7KditA9TuJwrZ25eFLfTNIkrNnY6mhV5Eg"",""list!A1:C115""),3,TRUE)"),"le secteur de la tech")</f>
        <v xml:space="preserve">le secteur de la tech</v>
      </c>
      <c r="O1469" s="6"/>
      <c r="P1469" s="4">
        <v>13</v>
      </c>
      <c r="Q1469" s="6"/>
      <c r="R1469" s="6"/>
      <c r="S1469" s="6"/>
      <c r="T1469" s="5" t="s">
        <v>9641</v>
      </c>
      <c r="U1469" s="6"/>
      <c r="V1469" s="6"/>
      <c r="W1469" s="6"/>
      <c r="X1469" s="6"/>
      <c r="Y1469" s="4" t="s">
        <v>9642</v>
      </c>
      <c r="Z1469" s="6"/>
      <c r="AA1469" s="5" t="s">
        <v>9643</v>
      </c>
    </row>
    <row r="1470" ht="14.25">
      <c r="B1470" s="4" t="s">
        <v>9644</v>
      </c>
      <c r="C1470" s="4" t="s">
        <v>9645</v>
      </c>
      <c r="D1470" s="4" t="s">
        <v>9646</v>
      </c>
      <c r="E1470" s="4" t="s">
        <v>9647</v>
      </c>
      <c r="F1470" s="4" t="s">
        <v>9648</v>
      </c>
      <c r="G1470" s="4" t="s">
        <v>9649</v>
      </c>
      <c r="H1470" s="4" t="str">
        <f>IFERROR(__XLUDF.DUMMYFUNCTION("PROPER(REGEXREPLACE(G47,""[^A-Za-z]+ "",""""))"),"Les Langues Du Monde")</f>
        <v xml:space="preserve">Les Langues Du Monde</v>
      </c>
      <c r="I1470" s="5" t="s">
        <v>9650</v>
      </c>
      <c r="J1470" s="4" t="s">
        <v>39</v>
      </c>
      <c r="K1470" s="4" t="s">
        <v>9160</v>
      </c>
      <c r="L1470" s="4" t="s">
        <v>29</v>
      </c>
      <c r="M1470" s="4" t="s">
        <v>5048</v>
      </c>
      <c r="N1470" s="4" t="str">
        <f>IFERROR(__XLUDF.DUMMYFUNCTION("VLOOKUP(M47,IMPORTRANGE(""https://docs.google.com/spreadsheets/d/1opm6ZNvGZ7KditA9TuJwrZ25eFLfTNIkrNnY6mhV5Eg"",""list!A1:C115""),3,TRUE)"),"le secteur de la formation pro et du coaching")</f>
        <v xml:space="preserve">le secteur de la formation pro et du coaching</v>
      </c>
      <c r="O1470" s="4" t="s">
        <v>9651</v>
      </c>
      <c r="P1470" s="4">
        <v>19</v>
      </c>
      <c r="Q1470" s="4" t="s">
        <v>39</v>
      </c>
      <c r="R1470" s="4" t="s">
        <v>9160</v>
      </c>
      <c r="S1470" s="4" t="s">
        <v>29</v>
      </c>
      <c r="T1470" s="5" t="s">
        <v>9652</v>
      </c>
      <c r="U1470" s="6"/>
      <c r="V1470" s="6"/>
      <c r="W1470" s="6"/>
      <c r="X1470" s="6"/>
      <c r="Y1470" s="4" t="s">
        <v>9653</v>
      </c>
      <c r="Z1470" s="6"/>
      <c r="AA1470" s="5" t="s">
        <v>9654</v>
      </c>
    </row>
    <row r="1471" ht="14.25">
      <c r="B1471" s="4" t="s">
        <v>9655</v>
      </c>
      <c r="C1471" s="4" t="s">
        <v>9656</v>
      </c>
      <c r="D1471" s="4" t="s">
        <v>9657</v>
      </c>
      <c r="E1471" s="4" t="s">
        <v>9658</v>
      </c>
      <c r="F1471" s="4" t="s">
        <v>9659</v>
      </c>
      <c r="G1471" s="4" t="s">
        <v>9660</v>
      </c>
      <c r="H1471" s="4" t="str">
        <f>IFERROR(__XLUDF.DUMMYFUNCTION("PROPER(REGEXREPLACE(G48,""[^A-Za-z]+ "",""""))"),"Hands")</f>
        <v>Hands</v>
      </c>
      <c r="I1471" s="5" t="s">
        <v>9661</v>
      </c>
      <c r="J1471" s="6"/>
      <c r="K1471" s="6"/>
      <c r="L1471" s="4" t="s">
        <v>29</v>
      </c>
      <c r="M1471" s="4" t="s">
        <v>9161</v>
      </c>
      <c r="N1471" s="4" t="str">
        <f>IFERROR(__XLUDF.DUMMYFUNCTION("VLOOKUP(M48,IMPORTRANGE(""https://docs.google.com/spreadsheets/d/1opm6ZNvGZ7KditA9TuJwrZ25eFLfTNIkrNnY6mhV5Eg"",""list!A1:C115""),3,TRUE)"),"le secteur du marketing")</f>
        <v xml:space="preserve">le secteur du marketing</v>
      </c>
      <c r="O1471" s="4" t="s">
        <v>9662</v>
      </c>
      <c r="P1471" s="4">
        <v>24</v>
      </c>
      <c r="Q1471" s="4" t="s">
        <v>39</v>
      </c>
      <c r="R1471" s="4" t="s">
        <v>9160</v>
      </c>
      <c r="S1471" s="4" t="s">
        <v>29</v>
      </c>
      <c r="T1471" s="5" t="s">
        <v>9663</v>
      </c>
      <c r="U1471" s="6"/>
      <c r="V1471" s="6"/>
      <c r="W1471" s="6"/>
      <c r="X1471" s="6"/>
      <c r="Y1471" s="4" t="s">
        <v>9664</v>
      </c>
      <c r="Z1471" s="6"/>
      <c r="AA1471" s="5" t="s">
        <v>9665</v>
      </c>
    </row>
    <row r="1472" ht="14.25">
      <c r="B1472" s="4" t="s">
        <v>9666</v>
      </c>
      <c r="C1472" s="4" t="s">
        <v>9210</v>
      </c>
      <c r="D1472" s="4" t="s">
        <v>9667</v>
      </c>
      <c r="E1472" s="4" t="s">
        <v>9668</v>
      </c>
      <c r="F1472" s="4" t="s">
        <v>2645</v>
      </c>
      <c r="G1472" s="4" t="s">
        <v>9669</v>
      </c>
      <c r="H1472" s="4" t="str">
        <f>IFERROR(__XLUDF.DUMMYFUNCTION("PROPER(REGEXREPLACE(G49,""[^A-Za-z]+ "",""""))"),"Midgard")</f>
        <v>Midgard</v>
      </c>
      <c r="I1472" s="5" t="s">
        <v>9670</v>
      </c>
      <c r="J1472" s="4" t="s">
        <v>1665</v>
      </c>
      <c r="K1472" s="4" t="s">
        <v>9671</v>
      </c>
      <c r="L1472" s="4" t="s">
        <v>29</v>
      </c>
      <c r="M1472" s="4" t="s">
        <v>2602</v>
      </c>
      <c r="N1472" s="4" t="str">
        <f>IFERROR(__XLUDF.DUMMYFUNCTION("VLOOKUP(M49,IMPORTRANGE(""https://docs.google.com/spreadsheets/d/1opm6ZNvGZ7KditA9TuJwrZ25eFLfTNIkrNnY6mhV5Eg"",""list!A1:C115""),3,TRUE)"),"le secteur de la tech")</f>
        <v xml:space="preserve">le secteur de la tech</v>
      </c>
      <c r="O1472" s="4" t="s">
        <v>9672</v>
      </c>
      <c r="P1472" s="4">
        <v>26</v>
      </c>
      <c r="Q1472" s="4" t="s">
        <v>1665</v>
      </c>
      <c r="R1472" s="4" t="s">
        <v>9673</v>
      </c>
      <c r="S1472" s="4" t="s">
        <v>29</v>
      </c>
      <c r="T1472" s="5" t="s">
        <v>9674</v>
      </c>
      <c r="U1472" s="6"/>
      <c r="V1472" s="6"/>
      <c r="W1472" s="6"/>
      <c r="X1472" s="6"/>
      <c r="Y1472" s="4" t="s">
        <v>9675</v>
      </c>
      <c r="Z1472" s="6"/>
      <c r="AA1472" s="5" t="s">
        <v>9676</v>
      </c>
    </row>
    <row r="1473" ht="14.25">
      <c r="B1473" s="4" t="s">
        <v>9677</v>
      </c>
      <c r="C1473" s="4" t="s">
        <v>1571</v>
      </c>
      <c r="D1473" s="4" t="s">
        <v>9678</v>
      </c>
      <c r="E1473" s="4" t="s">
        <v>9679</v>
      </c>
      <c r="F1473" s="4" t="s">
        <v>2636</v>
      </c>
      <c r="G1473" s="4" t="s">
        <v>9680</v>
      </c>
      <c r="H1473" s="4" t="str">
        <f>IFERROR(__XLUDF.DUMMYFUNCTION("PROPER(REGEXREPLACE(G50,""[^A-Za-z]+ "",""""))"),"Enaxion")</f>
        <v>Enaxion</v>
      </c>
      <c r="I1473" s="5" t="s">
        <v>9681</v>
      </c>
      <c r="J1473" s="6"/>
      <c r="K1473" s="6"/>
      <c r="L1473" s="4" t="s">
        <v>29</v>
      </c>
      <c r="M1473" s="4" t="s">
        <v>4067</v>
      </c>
      <c r="N1473" s="4" t="str">
        <f>IFERROR(__XLUDF.DUMMYFUNCTION("VLOOKUP(M50,IMPORTRANGE(""https://docs.google.com/spreadsheets/d/1opm6ZNvGZ7KditA9TuJwrZ25eFLfTNIkrNnY6mhV5Eg"",""list!A1:C115""),3,TRUE)"),"le secteur du conseil en management")</f>
        <v xml:space="preserve">le secteur du conseil en management</v>
      </c>
      <c r="O1473" s="4" t="s">
        <v>9682</v>
      </c>
      <c r="P1473" s="4">
        <v>15</v>
      </c>
      <c r="Q1473" s="4" t="s">
        <v>185</v>
      </c>
      <c r="R1473" s="4" t="s">
        <v>9193</v>
      </c>
      <c r="S1473" s="4" t="s">
        <v>29</v>
      </c>
      <c r="T1473" s="5" t="s">
        <v>9683</v>
      </c>
      <c r="U1473" s="6"/>
      <c r="V1473" s="6"/>
      <c r="W1473" s="6"/>
      <c r="X1473" s="6"/>
      <c r="Y1473" s="4" t="s">
        <v>9684</v>
      </c>
      <c r="Z1473" s="6"/>
      <c r="AA1473" s="5" t="s">
        <v>9685</v>
      </c>
    </row>
    <row r="1474" ht="14.25">
      <c r="B1474" s="4" t="s">
        <v>9686</v>
      </c>
      <c r="C1474" s="4" t="s">
        <v>1571</v>
      </c>
      <c r="D1474" s="4" t="s">
        <v>9687</v>
      </c>
      <c r="E1474" s="4" t="s">
        <v>9688</v>
      </c>
      <c r="F1474" s="4" t="s">
        <v>9689</v>
      </c>
      <c r="G1474" s="4" t="s">
        <v>9690</v>
      </c>
      <c r="H1474" s="4" t="str">
        <f>IFERROR(__XLUDF.DUMMYFUNCTION("PROPER(REGEXREPLACE(G51,""[^A-Za-z]+ "",""""))"),"A.L.P.")</f>
        <v>A.L.P.</v>
      </c>
      <c r="I1474" s="5" t="s">
        <v>9691</v>
      </c>
      <c r="J1474" s="4" t="s">
        <v>39</v>
      </c>
      <c r="K1474" s="4" t="s">
        <v>9160</v>
      </c>
      <c r="L1474" s="4" t="s">
        <v>29</v>
      </c>
      <c r="M1474" s="4" t="s">
        <v>4067</v>
      </c>
      <c r="N1474" s="4" t="str">
        <f>IFERROR(__XLUDF.DUMMYFUNCTION("VLOOKUP(M51,IMPORTRANGE(""https://docs.google.com/spreadsheets/d/1opm6ZNvGZ7KditA9TuJwrZ25eFLfTNIkrNnY6mhV5Eg"",""list!A1:C115""),3,TRUE)"),"le secteur du conseil en management")</f>
        <v xml:space="preserve">le secteur du conseil en management</v>
      </c>
      <c r="O1474" s="4" t="s">
        <v>9692</v>
      </c>
      <c r="P1474" s="4">
        <v>8</v>
      </c>
      <c r="Q1474" s="4" t="s">
        <v>39</v>
      </c>
      <c r="R1474" s="4" t="s">
        <v>9160</v>
      </c>
      <c r="S1474" s="4" t="s">
        <v>29</v>
      </c>
      <c r="T1474" s="5" t="s">
        <v>9693</v>
      </c>
      <c r="U1474" s="6"/>
      <c r="V1474" s="6"/>
      <c r="W1474" s="6"/>
      <c r="X1474" s="6"/>
      <c r="Y1474" s="4" t="s">
        <v>9694</v>
      </c>
      <c r="Z1474" s="6"/>
      <c r="AA1474" s="5" t="s">
        <v>9695</v>
      </c>
    </row>
    <row r="1475" ht="14.25">
      <c r="B1475" s="4" t="s">
        <v>9696</v>
      </c>
      <c r="C1475" s="4" t="s">
        <v>3164</v>
      </c>
      <c r="D1475" s="4" t="s">
        <v>9697</v>
      </c>
      <c r="E1475" s="4" t="s">
        <v>9698</v>
      </c>
      <c r="F1475" s="4" t="s">
        <v>9699</v>
      </c>
      <c r="G1475" s="4" t="s">
        <v>9700</v>
      </c>
      <c r="H1475" s="4" t="str">
        <f>IFERROR(__XLUDF.DUMMYFUNCTION("PROPER(REGEXREPLACE(G52,""[^A-Za-z]+ "",""""))"),"Testify")</f>
        <v>Testify</v>
      </c>
      <c r="I1475" s="5" t="s">
        <v>9701</v>
      </c>
      <c r="J1475" s="4" t="s">
        <v>9702</v>
      </c>
      <c r="K1475" s="4" t="s">
        <v>9193</v>
      </c>
      <c r="L1475" s="4" t="s">
        <v>29</v>
      </c>
      <c r="M1475" s="4" t="s">
        <v>2602</v>
      </c>
      <c r="N1475" s="4" t="str">
        <f>IFERROR(__XLUDF.DUMMYFUNCTION("VLOOKUP(M52,IMPORTRANGE(""https://docs.google.com/spreadsheets/d/1opm6ZNvGZ7KditA9TuJwrZ25eFLfTNIkrNnY6mhV5Eg"",""list!A1:C115""),3,TRUE)"),"le secteur de la tech")</f>
        <v xml:space="preserve">le secteur de la tech</v>
      </c>
      <c r="O1475" s="4" t="s">
        <v>9703</v>
      </c>
      <c r="P1475" s="4">
        <v>16</v>
      </c>
      <c r="Q1475" s="4" t="s">
        <v>185</v>
      </c>
      <c r="R1475" s="4" t="s">
        <v>9172</v>
      </c>
      <c r="S1475" s="4" t="s">
        <v>29</v>
      </c>
      <c r="T1475" s="5" t="s">
        <v>9704</v>
      </c>
      <c r="U1475" s="6"/>
      <c r="V1475" s="6"/>
      <c r="W1475" s="6"/>
      <c r="X1475" s="6"/>
      <c r="Y1475" s="4" t="s">
        <v>9705</v>
      </c>
      <c r="Z1475" s="6"/>
      <c r="AA1475" s="5" t="s">
        <v>9706</v>
      </c>
    </row>
    <row r="1476" ht="14.25">
      <c r="B1476" s="4" t="s">
        <v>9707</v>
      </c>
      <c r="C1476" s="4" t="s">
        <v>3164</v>
      </c>
      <c r="D1476" s="4" t="s">
        <v>9708</v>
      </c>
      <c r="E1476" s="4" t="s">
        <v>9709</v>
      </c>
      <c r="F1476" s="4" t="s">
        <v>9710</v>
      </c>
      <c r="G1476" s="4" t="s">
        <v>9711</v>
      </c>
      <c r="H1476" s="4" t="str">
        <f>IFERROR(__XLUDF.DUMMYFUNCTION("PROPER(REGEXREPLACE(G53,""[^A-Za-z]+ "",""""))"),"X-Gil")</f>
        <v>X-Gil</v>
      </c>
      <c r="I1476" s="5" t="s">
        <v>9712</v>
      </c>
      <c r="J1476" s="4" t="s">
        <v>1507</v>
      </c>
      <c r="K1476" s="4" t="s">
        <v>9193</v>
      </c>
      <c r="L1476" s="4" t="s">
        <v>29</v>
      </c>
      <c r="M1476" s="4" t="s">
        <v>2602</v>
      </c>
      <c r="N1476" s="4" t="str">
        <f>IFERROR(__XLUDF.DUMMYFUNCTION("VLOOKUP(M53,IMPORTRANGE(""https://docs.google.com/spreadsheets/d/1opm6ZNvGZ7KditA9TuJwrZ25eFLfTNIkrNnY6mhV5Eg"",""list!A1:C115""),3,TRUE)"),"le secteur de la tech")</f>
        <v xml:space="preserve">le secteur de la tech</v>
      </c>
      <c r="O1476" s="4" t="s">
        <v>9713</v>
      </c>
      <c r="P1476" s="4">
        <v>36</v>
      </c>
      <c r="Q1476" s="4" t="s">
        <v>1745</v>
      </c>
      <c r="R1476" s="4" t="s">
        <v>9460</v>
      </c>
      <c r="S1476" s="4" t="s">
        <v>29</v>
      </c>
      <c r="T1476" s="5" t="s">
        <v>9714</v>
      </c>
      <c r="U1476" s="6"/>
      <c r="V1476" s="6"/>
      <c r="W1476" s="6"/>
      <c r="X1476" s="6"/>
      <c r="Y1476" s="4" t="s">
        <v>9715</v>
      </c>
      <c r="Z1476" s="6"/>
      <c r="AA1476" s="5" t="s">
        <v>9716</v>
      </c>
    </row>
    <row r="1477" ht="14.25">
      <c r="B1477" s="4" t="s">
        <v>9717</v>
      </c>
      <c r="C1477" s="4" t="s">
        <v>3164</v>
      </c>
      <c r="D1477" s="4" t="s">
        <v>9718</v>
      </c>
      <c r="E1477" s="4" t="s">
        <v>9719</v>
      </c>
      <c r="F1477" s="4" t="s">
        <v>1130</v>
      </c>
      <c r="G1477" s="4" t="s">
        <v>9720</v>
      </c>
      <c r="H1477" s="4" t="str">
        <f>IFERROR(__XLUDF.DUMMYFUNCTION("PROPER(REGEXREPLACE(G54,""[^A-Za-z]+ "",""""))"),"Ibea France")</f>
        <v xml:space="preserve">Ibea France</v>
      </c>
      <c r="I1477" s="5" t="s">
        <v>9721</v>
      </c>
      <c r="J1477" s="4" t="s">
        <v>423</v>
      </c>
      <c r="K1477" s="4" t="s">
        <v>9193</v>
      </c>
      <c r="L1477" s="4" t="s">
        <v>29</v>
      </c>
      <c r="M1477" s="4" t="s">
        <v>4525</v>
      </c>
      <c r="N1477" s="4" t="str">
        <f>IFERROR(__XLUDF.DUMMYFUNCTION("VLOOKUP(M54,IMPORTRANGE(""https://docs.google.com/spreadsheets/d/1opm6ZNvGZ7KditA9TuJwrZ25eFLfTNIkrNnY6mhV5Eg"",""list!A1:C115""),3,TRUE)"),"le secteur du retail")</f>
        <v xml:space="preserve">le secteur du retail</v>
      </c>
      <c r="O1477" s="6"/>
      <c r="P1477" s="4">
        <v>14</v>
      </c>
      <c r="Q1477" s="4" t="s">
        <v>423</v>
      </c>
      <c r="R1477" s="4" t="s">
        <v>9193</v>
      </c>
      <c r="S1477" s="4" t="s">
        <v>29</v>
      </c>
      <c r="T1477" s="5" t="s">
        <v>9722</v>
      </c>
      <c r="U1477" s="6"/>
      <c r="V1477" s="6"/>
      <c r="W1477" s="6"/>
      <c r="X1477" s="6"/>
      <c r="Y1477" s="4" t="s">
        <v>9723</v>
      </c>
      <c r="Z1477" s="6"/>
      <c r="AA1477" s="5" t="s">
        <v>9724</v>
      </c>
    </row>
    <row r="1478" ht="14.25">
      <c r="B1478" s="4" t="s">
        <v>9725</v>
      </c>
      <c r="C1478" s="4" t="s">
        <v>95</v>
      </c>
      <c r="D1478" s="4" t="s">
        <v>9726</v>
      </c>
      <c r="E1478" s="4" t="s">
        <v>9727</v>
      </c>
      <c r="F1478" s="4" t="s">
        <v>112</v>
      </c>
      <c r="G1478" s="4" t="s">
        <v>9728</v>
      </c>
      <c r="H1478" s="4" t="str">
        <f>IFERROR(__XLUDF.DUMMYFUNCTION("PROPER(REGEXREPLACE(G55,""[^A-Za-z]+ "",""""))"),"Ab Experience")</f>
        <v xml:space="preserve">Ab Experience</v>
      </c>
      <c r="I1478" s="5" t="s">
        <v>9729</v>
      </c>
      <c r="J1478" s="4" t="s">
        <v>6480</v>
      </c>
      <c r="K1478" s="4" t="s">
        <v>9281</v>
      </c>
      <c r="L1478" s="4" t="s">
        <v>29</v>
      </c>
      <c r="M1478" s="4" t="s">
        <v>2602</v>
      </c>
      <c r="N1478" s="4" t="str">
        <f>IFERROR(__XLUDF.DUMMYFUNCTION("VLOOKUP(M55,IMPORTRANGE(""https://docs.google.com/spreadsheets/d/1opm6ZNvGZ7KditA9TuJwrZ25eFLfTNIkrNnY6mhV5Eg"",""list!A1:C115""),3,TRUE)"),"le secteur de la tech")</f>
        <v xml:space="preserve">le secteur de la tech</v>
      </c>
      <c r="O1478" s="4" t="s">
        <v>9730</v>
      </c>
      <c r="P1478" s="4">
        <v>12</v>
      </c>
      <c r="Q1478" s="4" t="s">
        <v>6480</v>
      </c>
      <c r="R1478" s="4" t="s">
        <v>9731</v>
      </c>
      <c r="S1478" s="4" t="s">
        <v>29</v>
      </c>
      <c r="T1478" s="5" t="s">
        <v>9732</v>
      </c>
      <c r="U1478" s="5" t="s">
        <v>9733</v>
      </c>
      <c r="V1478" s="5" t="s">
        <v>9734</v>
      </c>
      <c r="W1478" s="6"/>
      <c r="X1478" s="6"/>
      <c r="Y1478" s="4" t="s">
        <v>9735</v>
      </c>
      <c r="Z1478" s="6"/>
      <c r="AA1478" s="5" t="s">
        <v>9736</v>
      </c>
    </row>
    <row r="1479" ht="14.25">
      <c r="B1479" s="4" t="s">
        <v>9737</v>
      </c>
      <c r="C1479" s="4" t="s">
        <v>95</v>
      </c>
      <c r="D1479" s="4" t="s">
        <v>9738</v>
      </c>
      <c r="E1479" s="4" t="s">
        <v>9739</v>
      </c>
      <c r="F1479" s="4" t="s">
        <v>468</v>
      </c>
      <c r="G1479" s="4" t="s">
        <v>9740</v>
      </c>
      <c r="H1479" s="4" t="str">
        <f>IFERROR(__XLUDF.DUMMYFUNCTION("PROPER(REGEXREPLACE(G56,""[^A-Za-z]+ "",""""))"),"Ponant Technologies")</f>
        <v xml:space="preserve">Ponant Technologies</v>
      </c>
      <c r="I1479" s="5" t="s">
        <v>9741</v>
      </c>
      <c r="J1479" s="4" t="s">
        <v>1150</v>
      </c>
      <c r="K1479" s="4" t="s">
        <v>9193</v>
      </c>
      <c r="L1479" s="4" t="s">
        <v>29</v>
      </c>
      <c r="M1479" s="4" t="s">
        <v>2602</v>
      </c>
      <c r="N1479" s="4" t="str">
        <f>IFERROR(__XLUDF.DUMMYFUNCTION("VLOOKUP(M56,IMPORTRANGE(""https://docs.google.com/spreadsheets/d/1opm6ZNvGZ7KditA9TuJwrZ25eFLfTNIkrNnY6mhV5Eg"",""list!A1:C115""),3,TRUE)"),"le secteur de la tech")</f>
        <v xml:space="preserve">le secteur de la tech</v>
      </c>
      <c r="O1479" s="4" t="s">
        <v>9742</v>
      </c>
      <c r="P1479" s="4">
        <v>40</v>
      </c>
      <c r="Q1479" s="4" t="s">
        <v>1150</v>
      </c>
      <c r="R1479" s="4" t="s">
        <v>9193</v>
      </c>
      <c r="S1479" s="4" t="s">
        <v>29</v>
      </c>
      <c r="T1479" s="5" t="s">
        <v>9743</v>
      </c>
      <c r="U1479" s="6"/>
      <c r="V1479" s="6"/>
      <c r="W1479" s="6"/>
      <c r="X1479" s="6"/>
      <c r="Y1479" s="4" t="s">
        <v>9744</v>
      </c>
      <c r="Z1479" s="6"/>
      <c r="AA1479" s="5" t="s">
        <v>9745</v>
      </c>
    </row>
    <row r="1480" ht="14.25">
      <c r="B1480" s="4" t="s">
        <v>9746</v>
      </c>
      <c r="C1480" s="4" t="s">
        <v>95</v>
      </c>
      <c r="D1480" s="4" t="s">
        <v>9747</v>
      </c>
      <c r="E1480" s="4" t="s">
        <v>9748</v>
      </c>
      <c r="F1480" s="4" t="s">
        <v>9749</v>
      </c>
      <c r="G1480" s="4" t="s">
        <v>9750</v>
      </c>
      <c r="H1480" s="4" t="str">
        <f>IFERROR(__XLUDF.DUMMYFUNCTION("PROPER(REGEXREPLACE(G57,""[^A-Za-z]+ "",""""))"),"Quintet")</f>
        <v>Quintet</v>
      </c>
      <c r="I1480" s="5" t="s">
        <v>9751</v>
      </c>
      <c r="J1480" s="4" t="s">
        <v>39</v>
      </c>
      <c r="K1480" s="4" t="s">
        <v>9160</v>
      </c>
      <c r="L1480" s="4" t="s">
        <v>29</v>
      </c>
      <c r="M1480" s="4" t="s">
        <v>4067</v>
      </c>
      <c r="N1480" s="4" t="str">
        <f>IFERROR(__XLUDF.DUMMYFUNCTION("VLOOKUP(M57,IMPORTRANGE(""https://docs.google.com/spreadsheets/d/1opm6ZNvGZ7KditA9TuJwrZ25eFLfTNIkrNnY6mhV5Eg"",""list!A1:C115""),3,TRUE)"),"le secteur du conseil en management")</f>
        <v xml:space="preserve">le secteur du conseil en management</v>
      </c>
      <c r="O1480" s="6"/>
      <c r="P1480" s="4">
        <v>11</v>
      </c>
      <c r="Q1480" s="6"/>
      <c r="R1480" s="6"/>
      <c r="S1480" s="6"/>
      <c r="T1480" s="5" t="s">
        <v>9752</v>
      </c>
      <c r="U1480" s="6"/>
      <c r="V1480" s="6"/>
      <c r="W1480" s="6"/>
      <c r="X1480" s="6"/>
      <c r="Y1480" s="4" t="s">
        <v>9753</v>
      </c>
      <c r="Z1480" s="6"/>
      <c r="AA1480" s="5" t="s">
        <v>9754</v>
      </c>
    </row>
    <row r="1481" ht="14.25">
      <c r="B1481" s="4" t="s">
        <v>9755</v>
      </c>
      <c r="C1481" s="4" t="s">
        <v>95</v>
      </c>
      <c r="D1481" s="4" t="s">
        <v>4132</v>
      </c>
      <c r="E1481" s="4" t="s">
        <v>9756</v>
      </c>
      <c r="F1481" s="4" t="s">
        <v>247</v>
      </c>
      <c r="G1481" s="4" t="s">
        <v>9757</v>
      </c>
      <c r="H1481" s="4" t="str">
        <f>IFERROR(__XLUDF.DUMMYFUNCTION("PROPER(REGEXREPLACE(G58,""[^A-Za-z]+ "",""""))"),"Copernic")</f>
        <v>Copernic</v>
      </c>
      <c r="I1481" s="5" t="s">
        <v>9758</v>
      </c>
      <c r="J1481" s="4" t="s">
        <v>1780</v>
      </c>
      <c r="K1481" s="4" t="s">
        <v>9215</v>
      </c>
      <c r="L1481" s="4" t="s">
        <v>29</v>
      </c>
      <c r="M1481" s="4" t="s">
        <v>9161</v>
      </c>
      <c r="N1481" s="4" t="str">
        <f>IFERROR(__XLUDF.DUMMYFUNCTION("VLOOKUP(M58,IMPORTRANGE(""https://docs.google.com/spreadsheets/d/1opm6ZNvGZ7KditA9TuJwrZ25eFLfTNIkrNnY6mhV5Eg"",""list!A1:C115""),3,TRUE)"),"le secteur du marketing")</f>
        <v xml:space="preserve">le secteur du marketing</v>
      </c>
      <c r="O1481" s="4" t="s">
        <v>9759</v>
      </c>
      <c r="P1481" s="4">
        <v>42</v>
      </c>
      <c r="Q1481" s="4" t="s">
        <v>1780</v>
      </c>
      <c r="R1481" s="4" t="s">
        <v>9215</v>
      </c>
      <c r="S1481" s="4" t="s">
        <v>29</v>
      </c>
      <c r="T1481" s="5" t="s">
        <v>9760</v>
      </c>
      <c r="U1481" s="6"/>
      <c r="V1481" s="6"/>
      <c r="W1481" s="6"/>
      <c r="X1481" s="6"/>
      <c r="Y1481" s="4" t="s">
        <v>9761</v>
      </c>
      <c r="Z1481" s="6"/>
      <c r="AA1481" s="5" t="s">
        <v>9762</v>
      </c>
    </row>
    <row r="1482" ht="14.25">
      <c r="B1482" s="4" t="s">
        <v>9763</v>
      </c>
      <c r="C1482" s="4" t="s">
        <v>95</v>
      </c>
      <c r="D1482" s="4" t="s">
        <v>9764</v>
      </c>
      <c r="E1482" s="4" t="s">
        <v>9765</v>
      </c>
      <c r="F1482" s="4" t="s">
        <v>172</v>
      </c>
      <c r="G1482" s="4" t="s">
        <v>9766</v>
      </c>
      <c r="H1482" s="4" t="str">
        <f>IFERROR(__XLUDF.DUMMYFUNCTION("PROPER(REGEXREPLACE(G59,""[^A-Za-z]+ "",""""))"),"Costa Maconnerie")</f>
        <v xml:space="preserve">Costa Maconnerie</v>
      </c>
      <c r="I1482" s="5" t="s">
        <v>9767</v>
      </c>
      <c r="J1482" s="4" t="s">
        <v>439</v>
      </c>
      <c r="K1482" s="4" t="s">
        <v>9227</v>
      </c>
      <c r="L1482" s="4" t="s">
        <v>29</v>
      </c>
      <c r="M1482" s="4" t="s">
        <v>9239</v>
      </c>
      <c r="N1482" s="4" t="str">
        <f>IFERROR(__XLUDF.DUMMYFUNCTION("VLOOKUP(M59,IMPORTRANGE(""https://docs.google.com/spreadsheets/d/1opm6ZNvGZ7KditA9TuJwrZ25eFLfTNIkrNnY6mhV5Eg"",""list!A1:C115""),3,TRUE)"),"le secteur de la construction")</f>
        <v xml:space="preserve">le secteur de la construction</v>
      </c>
      <c r="O1482" s="6"/>
      <c r="P1482" s="4">
        <v>26</v>
      </c>
      <c r="Q1482" s="4" t="s">
        <v>9768</v>
      </c>
      <c r="R1482" s="4" t="s">
        <v>9227</v>
      </c>
      <c r="S1482" s="4" t="s">
        <v>29</v>
      </c>
      <c r="T1482" s="5" t="s">
        <v>9769</v>
      </c>
      <c r="U1482" s="6"/>
      <c r="V1482" s="6"/>
      <c r="W1482" s="6"/>
      <c r="X1482" s="6"/>
      <c r="Y1482" s="4" t="s">
        <v>9770</v>
      </c>
      <c r="Z1482" s="6"/>
      <c r="AA1482" s="5" t="s">
        <v>9771</v>
      </c>
    </row>
    <row r="1483" ht="14.25">
      <c r="B1483" s="4" t="s">
        <v>9772</v>
      </c>
      <c r="C1483" s="4" t="s">
        <v>9773</v>
      </c>
      <c r="D1483" s="4" t="s">
        <v>9774</v>
      </c>
      <c r="E1483" s="4" t="s">
        <v>9775</v>
      </c>
      <c r="F1483" s="4" t="s">
        <v>9776</v>
      </c>
      <c r="G1483" s="4" t="s">
        <v>9777</v>
      </c>
      <c r="H1483" s="4" t="str">
        <f>IFERROR(__XLUDF.DUMMYFUNCTION("PROPER(REGEXREPLACE(G60,""[^A-Za-z]+ "",""""))"),"Koena")</f>
        <v>Koena</v>
      </c>
      <c r="I1483" s="5" t="s">
        <v>9778</v>
      </c>
      <c r="J1483" s="4" t="s">
        <v>83</v>
      </c>
      <c r="K1483" s="4" t="s">
        <v>9460</v>
      </c>
      <c r="L1483" s="4" t="s">
        <v>29</v>
      </c>
      <c r="M1483" s="4" t="s">
        <v>2602</v>
      </c>
      <c r="N1483" s="4" t="str">
        <f>IFERROR(__XLUDF.DUMMYFUNCTION("VLOOKUP(M60,IMPORTRANGE(""https://docs.google.com/spreadsheets/d/1opm6ZNvGZ7KditA9TuJwrZ25eFLfTNIkrNnY6mhV5Eg"",""list!A1:C115""),3,TRUE)"),"le secteur de la tech")</f>
        <v xml:space="preserve">le secteur de la tech</v>
      </c>
      <c r="O1483" s="4" t="s">
        <v>9779</v>
      </c>
      <c r="P1483" s="4">
        <v>13</v>
      </c>
      <c r="Q1483" s="4" t="s">
        <v>39</v>
      </c>
      <c r="R1483" s="4" t="s">
        <v>9160</v>
      </c>
      <c r="S1483" s="4" t="s">
        <v>29</v>
      </c>
      <c r="T1483" s="5" t="s">
        <v>9780</v>
      </c>
      <c r="U1483" s="5" t="s">
        <v>9781</v>
      </c>
      <c r="V1483" s="6"/>
      <c r="W1483" s="6"/>
      <c r="X1483" s="6"/>
      <c r="Y1483" s="4" t="s">
        <v>9782</v>
      </c>
      <c r="Z1483" s="6"/>
      <c r="AA1483" s="5" t="s">
        <v>9783</v>
      </c>
    </row>
    <row r="1484" ht="14.25">
      <c r="B1484" s="4" t="s">
        <v>9784</v>
      </c>
      <c r="C1484" s="4" t="s">
        <v>670</v>
      </c>
      <c r="D1484" s="4" t="s">
        <v>9785</v>
      </c>
      <c r="E1484" s="4" t="s">
        <v>9786</v>
      </c>
      <c r="F1484" s="4" t="s">
        <v>9787</v>
      </c>
      <c r="G1484" s="4" t="s">
        <v>9788</v>
      </c>
      <c r="H1484" s="4" t="str">
        <f>IFERROR(__XLUDF.DUMMYFUNCTION("PROPER(REGEXREPLACE(G61,""[^A-Za-z]+ "",""""))"),"Pôle D'Excellence Cyber")</f>
        <v xml:space="preserve">Pôle D'Excellence Cyber</v>
      </c>
      <c r="I1484" s="5" t="s">
        <v>9789</v>
      </c>
      <c r="J1484" s="4" t="s">
        <v>39</v>
      </c>
      <c r="K1484" s="4" t="s">
        <v>9160</v>
      </c>
      <c r="L1484" s="4" t="s">
        <v>29</v>
      </c>
      <c r="M1484" s="4" t="s">
        <v>9264</v>
      </c>
      <c r="N1484" s="4" t="str">
        <f>IFERROR(__XLUDF.DUMMYFUNCTION("VLOOKUP(M61,IMPORTRANGE(""https://docs.google.com/spreadsheets/d/1opm6ZNvGZ7KditA9TuJwrZ25eFLfTNIkrNnY6mhV5Eg"",""list!A1:C115""),3,TRUE)"),"le secteur de la sécurité informatique")</f>
        <v xml:space="preserve">le secteur de la sécurité informatique</v>
      </c>
      <c r="O1484" s="6"/>
      <c r="P1484" s="4">
        <v>34</v>
      </c>
      <c r="Q1484" s="4" t="s">
        <v>1826</v>
      </c>
      <c r="R1484" s="4" t="s">
        <v>9227</v>
      </c>
      <c r="S1484" s="4" t="s">
        <v>29</v>
      </c>
      <c r="T1484" s="5" t="s">
        <v>9790</v>
      </c>
      <c r="U1484" s="6"/>
      <c r="V1484" s="6"/>
      <c r="W1484" s="6"/>
      <c r="X1484" s="6"/>
      <c r="Y1484" s="4" t="s">
        <v>9791</v>
      </c>
      <c r="Z1484" s="6"/>
      <c r="AA1484" s="5" t="s">
        <v>9792</v>
      </c>
    </row>
    <row r="1485" ht="14.25">
      <c r="B1485" s="4" t="s">
        <v>9793</v>
      </c>
      <c r="C1485" s="4" t="s">
        <v>670</v>
      </c>
      <c r="D1485" s="4" t="s">
        <v>9794</v>
      </c>
      <c r="E1485" s="4" t="s">
        <v>9795</v>
      </c>
      <c r="F1485" s="4" t="s">
        <v>7759</v>
      </c>
      <c r="G1485" s="4" t="s">
        <v>9796</v>
      </c>
      <c r="H1485" s="4" t="str">
        <f>IFERROR(__XLUDF.DUMMYFUNCTION("PROPER(REGEXREPLACE(G62,""[^A-Za-z]+ "",""""))"),"Reseaulution")</f>
        <v>Reseaulution</v>
      </c>
      <c r="I1485" s="5" t="s">
        <v>9797</v>
      </c>
      <c r="J1485" s="4" t="s">
        <v>5565</v>
      </c>
      <c r="K1485" s="4" t="s">
        <v>9798</v>
      </c>
      <c r="L1485" s="4" t="s">
        <v>29</v>
      </c>
      <c r="M1485" s="4" t="s">
        <v>4067</v>
      </c>
      <c r="N1485" s="4" t="str">
        <f>IFERROR(__XLUDF.DUMMYFUNCTION("VLOOKUP(M62,IMPORTRANGE(""https://docs.google.com/spreadsheets/d/1opm6ZNvGZ7KditA9TuJwrZ25eFLfTNIkrNnY6mhV5Eg"",""list!A1:C115""),3,TRUE)"),"le secteur du conseil en management")</f>
        <v xml:space="preserve">le secteur du conseil en management</v>
      </c>
      <c r="O1485" s="4" t="s">
        <v>9799</v>
      </c>
      <c r="P1485" s="4">
        <v>20</v>
      </c>
      <c r="Q1485" s="4" t="s">
        <v>9800</v>
      </c>
      <c r="R1485" s="4" t="s">
        <v>9798</v>
      </c>
      <c r="S1485" s="4" t="s">
        <v>29</v>
      </c>
      <c r="T1485" s="5" t="s">
        <v>9801</v>
      </c>
      <c r="U1485" s="6"/>
      <c r="V1485" s="6"/>
      <c r="W1485" s="6"/>
      <c r="X1485" s="6"/>
      <c r="Y1485" s="4" t="s">
        <v>9802</v>
      </c>
      <c r="Z1485" s="6"/>
      <c r="AA1485" s="5" t="s">
        <v>9803</v>
      </c>
    </row>
    <row r="1486" ht="14.25">
      <c r="B1486" s="4" t="s">
        <v>9804</v>
      </c>
      <c r="C1486" s="4" t="s">
        <v>670</v>
      </c>
      <c r="D1486" s="4" t="s">
        <v>7676</v>
      </c>
      <c r="E1486" s="4" t="s">
        <v>9805</v>
      </c>
      <c r="F1486" s="4" t="s">
        <v>9806</v>
      </c>
      <c r="G1486" s="4" t="s">
        <v>9807</v>
      </c>
      <c r="H1486" s="4" t="str">
        <f>IFERROR(__XLUDF.DUMMYFUNCTION("PROPER(REGEXREPLACE(G63,""[^A-Za-z]+ "",""""))"),"Jubea")</f>
        <v>Jubea</v>
      </c>
      <c r="I1486" s="5" t="s">
        <v>9808</v>
      </c>
      <c r="J1486" s="4" t="s">
        <v>9809</v>
      </c>
      <c r="K1486" s="4" t="s">
        <v>9460</v>
      </c>
      <c r="L1486" s="4" t="s">
        <v>29</v>
      </c>
      <c r="M1486" s="4" t="s">
        <v>4067</v>
      </c>
      <c r="N1486" s="4" t="str">
        <f>IFERROR(__XLUDF.DUMMYFUNCTION("VLOOKUP(M63,IMPORTRANGE(""https://docs.google.com/spreadsheets/d/1opm6ZNvGZ7KditA9TuJwrZ25eFLfTNIkrNnY6mhV5Eg"",""list!A1:C115""),3,TRUE)"),"le secteur du conseil en management")</f>
        <v xml:space="preserve">le secteur du conseil en management</v>
      </c>
      <c r="O1486" s="6"/>
      <c r="P1486" s="4">
        <v>14</v>
      </c>
      <c r="Q1486" s="4" t="s">
        <v>9810</v>
      </c>
      <c r="R1486" s="4" t="s">
        <v>9460</v>
      </c>
      <c r="S1486" s="4" t="s">
        <v>29</v>
      </c>
      <c r="T1486" s="5" t="s">
        <v>9811</v>
      </c>
      <c r="U1486" s="6"/>
      <c r="V1486" s="6"/>
      <c r="W1486" s="6"/>
      <c r="X1486" s="6"/>
      <c r="Y1486" s="4" t="s">
        <v>9812</v>
      </c>
      <c r="Z1486" s="6"/>
      <c r="AA1486" s="5" t="s">
        <v>9813</v>
      </c>
    </row>
    <row r="1487" ht="14.25">
      <c r="B1487" s="4" t="s">
        <v>9814</v>
      </c>
      <c r="C1487" s="4" t="s">
        <v>670</v>
      </c>
      <c r="D1487" s="4" t="s">
        <v>9815</v>
      </c>
      <c r="E1487" s="4" t="s">
        <v>9816</v>
      </c>
      <c r="F1487" s="4" t="s">
        <v>9817</v>
      </c>
      <c r="G1487" s="4" t="s">
        <v>9818</v>
      </c>
      <c r="H1487" s="4" t="str">
        <f>IFERROR(__XLUDF.DUMMYFUNCTION("PROPER(REGEXREPLACE(G64,""[^A-Za-z]+ "",""""))"),"Waigéo")</f>
        <v>Waigéo</v>
      </c>
      <c r="I1487" s="5" t="s">
        <v>9819</v>
      </c>
      <c r="J1487" s="4" t="s">
        <v>9820</v>
      </c>
      <c r="K1487" s="4" t="s">
        <v>9281</v>
      </c>
      <c r="L1487" s="4" t="s">
        <v>29</v>
      </c>
      <c r="M1487" s="4" t="s">
        <v>2602</v>
      </c>
      <c r="N1487" s="4" t="str">
        <f>IFERROR(__XLUDF.DUMMYFUNCTION("VLOOKUP(M64,IMPORTRANGE(""https://docs.google.com/spreadsheets/d/1opm6ZNvGZ7KditA9TuJwrZ25eFLfTNIkrNnY6mhV5Eg"",""list!A1:C115""),3,TRUE)"),"le secteur de la tech")</f>
        <v xml:space="preserve">le secteur de la tech</v>
      </c>
      <c r="O1487" s="4" t="s">
        <v>9821</v>
      </c>
      <c r="P1487" s="4">
        <v>19</v>
      </c>
      <c r="Q1487" s="4" t="s">
        <v>9820</v>
      </c>
      <c r="R1487" s="4" t="s">
        <v>9281</v>
      </c>
      <c r="S1487" s="4" t="s">
        <v>29</v>
      </c>
      <c r="T1487" s="5" t="s">
        <v>9822</v>
      </c>
      <c r="U1487" s="6"/>
      <c r="V1487" s="5" t="s">
        <v>9823</v>
      </c>
      <c r="W1487" s="6"/>
      <c r="X1487" s="6"/>
      <c r="Y1487" s="4" t="s">
        <v>9824</v>
      </c>
      <c r="Z1487" s="6"/>
      <c r="AA1487" s="5" t="s">
        <v>9825</v>
      </c>
    </row>
    <row r="1488" ht="14.25">
      <c r="B1488" s="4" t="s">
        <v>9826</v>
      </c>
      <c r="C1488" s="4" t="s">
        <v>31</v>
      </c>
      <c r="D1488" s="4" t="s">
        <v>9827</v>
      </c>
      <c r="E1488" s="4" t="s">
        <v>9828</v>
      </c>
      <c r="F1488" s="4" t="s">
        <v>9829</v>
      </c>
      <c r="G1488" s="4" t="s">
        <v>9830</v>
      </c>
      <c r="H1488" s="4" t="str">
        <f>IFERROR(__XLUDF.DUMMYFUNCTION("PROPER(REGEXREPLACE(G65,""[^A-Za-z]+ "",""""))"),"Taroko")</f>
        <v>Taroko</v>
      </c>
      <c r="I1488" s="5" t="s">
        <v>9831</v>
      </c>
      <c r="J1488" s="4" t="s">
        <v>39</v>
      </c>
      <c r="K1488" s="4" t="s">
        <v>9160</v>
      </c>
      <c r="L1488" s="4" t="s">
        <v>29</v>
      </c>
      <c r="M1488" s="4" t="s">
        <v>4067</v>
      </c>
      <c r="N1488" s="4" t="str">
        <f>IFERROR(__XLUDF.DUMMYFUNCTION("VLOOKUP(M65,IMPORTRANGE(""https://docs.google.com/spreadsheets/d/1opm6ZNvGZ7KditA9TuJwrZ25eFLfTNIkrNnY6mhV5Eg"",""list!A1:C115""),3,TRUE)"),"le secteur du conseil en management")</f>
        <v xml:space="preserve">le secteur du conseil en management</v>
      </c>
      <c r="O1488" s="4" t="s">
        <v>9832</v>
      </c>
      <c r="P1488" s="4">
        <v>10</v>
      </c>
      <c r="Q1488" s="4" t="s">
        <v>39</v>
      </c>
      <c r="R1488" s="4" t="s">
        <v>9160</v>
      </c>
      <c r="S1488" s="4" t="s">
        <v>29</v>
      </c>
      <c r="T1488" s="5" t="s">
        <v>9833</v>
      </c>
      <c r="U1488" s="6"/>
      <c r="V1488" s="6"/>
      <c r="W1488" s="6"/>
      <c r="X1488" s="6"/>
      <c r="Y1488" s="4" t="s">
        <v>9834</v>
      </c>
      <c r="Z1488" s="6"/>
      <c r="AA1488" s="5" t="s">
        <v>9835</v>
      </c>
    </row>
    <row r="1489" ht="14.25">
      <c r="B1489" s="4" t="s">
        <v>9836</v>
      </c>
      <c r="C1489" s="4" t="s">
        <v>31</v>
      </c>
      <c r="D1489" s="4" t="s">
        <v>9837</v>
      </c>
      <c r="E1489" s="4" t="s">
        <v>9838</v>
      </c>
      <c r="F1489" s="4" t="s">
        <v>62</v>
      </c>
      <c r="G1489" s="4" t="s">
        <v>9839</v>
      </c>
      <c r="H1489" s="4" t="str">
        <f>IFERROR(__XLUDF.DUMMYFUNCTION("PROPER(REGEXREPLACE(G66,""[^A-Za-z]+ "",""""))"),"Sidekicks")</f>
        <v>Sidekicks</v>
      </c>
      <c r="I1489" s="5" t="s">
        <v>9840</v>
      </c>
      <c r="J1489" s="4" t="s">
        <v>295</v>
      </c>
      <c r="K1489" s="4" t="s">
        <v>9251</v>
      </c>
      <c r="L1489" s="4" t="s">
        <v>29</v>
      </c>
      <c r="M1489" s="4" t="s">
        <v>4067</v>
      </c>
      <c r="N1489" s="4" t="str">
        <f>IFERROR(__XLUDF.DUMMYFUNCTION("VLOOKUP(M66,IMPORTRANGE(""https://docs.google.com/spreadsheets/d/1opm6ZNvGZ7KditA9TuJwrZ25eFLfTNIkrNnY6mhV5Eg"",""list!A1:C115""),3,TRUE)"),"le secteur du conseil en management")</f>
        <v xml:space="preserve">le secteur du conseil en management</v>
      </c>
      <c r="O1489" s="4" t="s">
        <v>9841</v>
      </c>
      <c r="P1489" s="4">
        <v>12</v>
      </c>
      <c r="Q1489" s="4" t="s">
        <v>39</v>
      </c>
      <c r="R1489" s="4" t="s">
        <v>9160</v>
      </c>
      <c r="S1489" s="4" t="s">
        <v>29</v>
      </c>
      <c r="T1489" s="5" t="s">
        <v>9842</v>
      </c>
      <c r="U1489" s="6"/>
      <c r="V1489" s="6"/>
      <c r="W1489" s="5" t="s">
        <v>9843</v>
      </c>
      <c r="X1489" s="6"/>
      <c r="Y1489" s="4" t="s">
        <v>9844</v>
      </c>
      <c r="Z1489" s="6"/>
      <c r="AA1489" s="5" t="s">
        <v>9845</v>
      </c>
    </row>
    <row r="1490" ht="14.25">
      <c r="B1490" s="4" t="s">
        <v>9846</v>
      </c>
      <c r="C1490" s="4" t="s">
        <v>874</v>
      </c>
      <c r="D1490" s="4" t="s">
        <v>9847</v>
      </c>
      <c r="E1490" s="4" t="s">
        <v>9848</v>
      </c>
      <c r="F1490" s="4" t="s">
        <v>9849</v>
      </c>
      <c r="G1490" s="4" t="s">
        <v>9850</v>
      </c>
      <c r="H1490" s="4" t="str">
        <f>IFERROR(__XLUDF.DUMMYFUNCTION("PROPER(REGEXREPLACE(G67,""[^A-Za-z]+ "",""""))"),"Tetra Up")</f>
        <v xml:space="preserve">Tetra Up</v>
      </c>
      <c r="I1490" s="5" t="s">
        <v>9851</v>
      </c>
      <c r="J1490" s="4" t="s">
        <v>9852</v>
      </c>
      <c r="K1490" s="4" t="s">
        <v>9278</v>
      </c>
      <c r="L1490" s="4" t="s">
        <v>29</v>
      </c>
      <c r="M1490" s="4" t="s">
        <v>2602</v>
      </c>
      <c r="N1490" s="4" t="str">
        <f>IFERROR(__XLUDF.DUMMYFUNCTION("VLOOKUP(M67,IMPORTRANGE(""https://docs.google.com/spreadsheets/d/1opm6ZNvGZ7KditA9TuJwrZ25eFLfTNIkrNnY6mhV5Eg"",""list!A1:C115""),3,TRUE)"),"le secteur de la tech")</f>
        <v xml:space="preserve">le secteur de la tech</v>
      </c>
      <c r="O1490" s="4" t="s">
        <v>9853</v>
      </c>
      <c r="P1490" s="4">
        <v>17</v>
      </c>
      <c r="Q1490" s="4" t="s">
        <v>9852</v>
      </c>
      <c r="R1490" s="4" t="s">
        <v>9278</v>
      </c>
      <c r="S1490" s="4" t="s">
        <v>29</v>
      </c>
      <c r="T1490" s="5" t="s">
        <v>9854</v>
      </c>
      <c r="U1490" s="5" t="s">
        <v>9855</v>
      </c>
      <c r="V1490" s="5" t="s">
        <v>9856</v>
      </c>
      <c r="W1490" s="6"/>
      <c r="X1490" s="6"/>
      <c r="Y1490" s="4" t="s">
        <v>9857</v>
      </c>
      <c r="Z1490" s="6"/>
      <c r="AA1490" s="5" t="s">
        <v>9858</v>
      </c>
    </row>
    <row r="1491" ht="14.25">
      <c r="B1491" s="4" t="s">
        <v>9859</v>
      </c>
      <c r="C1491" s="4" t="s">
        <v>6634</v>
      </c>
      <c r="D1491" s="4" t="s">
        <v>6138</v>
      </c>
      <c r="E1491" s="4" t="s">
        <v>9860</v>
      </c>
      <c r="F1491" s="4" t="s">
        <v>7185</v>
      </c>
      <c r="G1491" s="4" t="s">
        <v>9861</v>
      </c>
      <c r="H1491" s="4" t="str">
        <f>IFERROR(__XLUDF.DUMMYFUNCTION("PROPER(REGEXREPLACE(G68,""[^A-Za-z]+ "",""""))"),"Enov Construction")</f>
        <v xml:space="preserve">Enov Construction</v>
      </c>
      <c r="I1491" s="4" t="s">
        <v>9862</v>
      </c>
      <c r="J1491" s="4" t="s">
        <v>9863</v>
      </c>
      <c r="K1491" s="4" t="s">
        <v>9864</v>
      </c>
      <c r="L1491" s="4" t="s">
        <v>29</v>
      </c>
      <c r="M1491" s="4" t="s">
        <v>9239</v>
      </c>
      <c r="N1491" s="4" t="str">
        <f>IFERROR(__XLUDF.DUMMYFUNCTION("VLOOKUP(M68,IMPORTRANGE(""https://docs.google.com/spreadsheets/d/1opm6ZNvGZ7KditA9TuJwrZ25eFLfTNIkrNnY6mhV5Eg"",""list!A1:C115""),3,TRUE)"),"le secteur de la construction")</f>
        <v xml:space="preserve">le secteur de la construction</v>
      </c>
      <c r="O1491" s="4" t="s">
        <v>9865</v>
      </c>
      <c r="P1491" s="4">
        <v>14</v>
      </c>
      <c r="Q1491" s="4" t="s">
        <v>9863</v>
      </c>
      <c r="R1491" s="4" t="s">
        <v>9864</v>
      </c>
      <c r="S1491" s="4" t="s">
        <v>29</v>
      </c>
      <c r="T1491" s="5" t="s">
        <v>9866</v>
      </c>
      <c r="U1491" s="6"/>
      <c r="V1491" s="6"/>
      <c r="W1491" s="6"/>
      <c r="X1491" s="6"/>
      <c r="Y1491" s="4" t="s">
        <v>9867</v>
      </c>
      <c r="Z1491" s="6"/>
      <c r="AA1491" s="5" t="s">
        <v>9868</v>
      </c>
    </row>
    <row r="1492" ht="14.25">
      <c r="B1492" s="4" t="s">
        <v>9869</v>
      </c>
      <c r="C1492" s="4" t="s">
        <v>7451</v>
      </c>
      <c r="D1492" s="4" t="s">
        <v>9870</v>
      </c>
      <c r="E1492" s="4" t="s">
        <v>9871</v>
      </c>
      <c r="F1492" s="4" t="s">
        <v>2645</v>
      </c>
      <c r="G1492" s="4" t="s">
        <v>9872</v>
      </c>
      <c r="H1492" s="4" t="str">
        <f>IFERROR(__XLUDF.DUMMYFUNCTION("PROPER(REGEXREPLACE(G69,""[^A-Za-z]+ "",""""))"),"Powerflow")</f>
        <v>Powerflow</v>
      </c>
      <c r="I1492" s="5" t="s">
        <v>9873</v>
      </c>
      <c r="J1492" s="4" t="s">
        <v>39</v>
      </c>
      <c r="K1492" s="4" t="s">
        <v>9160</v>
      </c>
      <c r="L1492" s="4" t="s">
        <v>29</v>
      </c>
      <c r="M1492" s="4" t="s">
        <v>4067</v>
      </c>
      <c r="N1492" s="4" t="str">
        <f>IFERROR(__XLUDF.DUMMYFUNCTION("VLOOKUP(M69,IMPORTRANGE(""https://docs.google.com/spreadsheets/d/1opm6ZNvGZ7KditA9TuJwrZ25eFLfTNIkrNnY6mhV5Eg"",""list!A1:C115""),3,TRUE)"),"le secteur du conseil en management")</f>
        <v xml:space="preserve">le secteur du conseil en management</v>
      </c>
      <c r="O1492" s="6"/>
      <c r="P1492" s="4">
        <v>10</v>
      </c>
      <c r="Q1492" s="4" t="s">
        <v>39</v>
      </c>
      <c r="R1492" s="4" t="s">
        <v>9160</v>
      </c>
      <c r="S1492" s="4" t="s">
        <v>29</v>
      </c>
      <c r="T1492" s="5" t="s">
        <v>9874</v>
      </c>
      <c r="U1492" s="6"/>
      <c r="V1492" s="6"/>
      <c r="W1492" s="6"/>
      <c r="X1492" s="6"/>
      <c r="Y1492" s="4" t="s">
        <v>9875</v>
      </c>
      <c r="Z1492" s="6"/>
      <c r="AA1492" s="5" t="s">
        <v>9876</v>
      </c>
    </row>
    <row r="1493" ht="14.25">
      <c r="B1493" s="4" t="s">
        <v>9877</v>
      </c>
      <c r="C1493" s="4" t="s">
        <v>4169</v>
      </c>
      <c r="D1493" s="4" t="s">
        <v>9878</v>
      </c>
      <c r="E1493" s="4" t="s">
        <v>9879</v>
      </c>
      <c r="F1493" s="4" t="s">
        <v>9880</v>
      </c>
      <c r="G1493" s="4" t="s">
        <v>9881</v>
      </c>
      <c r="H1493" s="4" t="str">
        <f>IFERROR(__XLUDF.DUMMYFUNCTION("PROPER(REGEXREPLACE(G70,""[^A-Za-z]+ "",""""))"),"Ultra Laborans")</f>
        <v xml:space="preserve">Ultra Laborans</v>
      </c>
      <c r="I1493" s="5" t="s">
        <v>9882</v>
      </c>
      <c r="J1493" s="4" t="s">
        <v>39</v>
      </c>
      <c r="K1493" s="4" t="s">
        <v>9160</v>
      </c>
      <c r="L1493" s="4" t="s">
        <v>29</v>
      </c>
      <c r="M1493" s="4" t="s">
        <v>4067</v>
      </c>
      <c r="N1493" s="4" t="str">
        <f>IFERROR(__XLUDF.DUMMYFUNCTION("VLOOKUP(M70,IMPORTRANGE(""https://docs.google.com/spreadsheets/d/1opm6ZNvGZ7KditA9TuJwrZ25eFLfTNIkrNnY6mhV5Eg"",""list!A1:C115""),3,TRUE)"),"le secteur du conseil en management")</f>
        <v xml:space="preserve">le secteur du conseil en management</v>
      </c>
      <c r="O1493" s="4" t="s">
        <v>9883</v>
      </c>
      <c r="P1493" s="4">
        <v>12</v>
      </c>
      <c r="Q1493" s="4" t="s">
        <v>39</v>
      </c>
      <c r="R1493" s="4" t="s">
        <v>9160</v>
      </c>
      <c r="S1493" s="4" t="s">
        <v>29</v>
      </c>
      <c r="T1493" s="5" t="s">
        <v>9884</v>
      </c>
      <c r="U1493" s="6"/>
      <c r="V1493" s="6"/>
      <c r="W1493" s="6"/>
      <c r="X1493" s="6"/>
      <c r="Y1493" s="4" t="s">
        <v>9885</v>
      </c>
      <c r="Z1493" s="6"/>
      <c r="AA1493" s="5" t="s">
        <v>9886</v>
      </c>
    </row>
    <row r="1494" ht="14.25">
      <c r="B1494" s="4" t="s">
        <v>9887</v>
      </c>
      <c r="C1494" s="4" t="s">
        <v>3834</v>
      </c>
      <c r="D1494" s="4" t="s">
        <v>9888</v>
      </c>
      <c r="E1494" s="4" t="s">
        <v>9889</v>
      </c>
      <c r="F1494" s="4" t="s">
        <v>9890</v>
      </c>
      <c r="G1494" s="4" t="s">
        <v>9891</v>
      </c>
      <c r="H1494" s="4" t="str">
        <f>IFERROR(__XLUDF.DUMMYFUNCTION("PROPER(REGEXREPLACE(G71,""[^A-Za-z]+ "",""""))"),"Chutmagazine")</f>
        <v>Chutmagazine</v>
      </c>
      <c r="I1494" s="4" t="s">
        <v>9892</v>
      </c>
      <c r="J1494" s="4" t="s">
        <v>39</v>
      </c>
      <c r="K1494" s="4" t="s">
        <v>9160</v>
      </c>
      <c r="L1494" s="4" t="s">
        <v>29</v>
      </c>
      <c r="M1494" s="4" t="s">
        <v>9184</v>
      </c>
      <c r="N1494" s="4" t="str">
        <f>IFERROR(__XLUDF.DUMMYFUNCTION("VLOOKUP(M71,IMPORTRANGE(""https://docs.google.com/spreadsheets/d/1opm6ZNvGZ7KditA9TuJwrZ25eFLfTNIkrNnY6mhV5Eg"",""list!A1:C115""),3,TRUE)"),"le secteur des télécommunications")</f>
        <v xml:space="preserve">le secteur des télécommunications</v>
      </c>
      <c r="O1494" s="4" t="s">
        <v>9893</v>
      </c>
      <c r="P1494" s="4">
        <v>36</v>
      </c>
      <c r="Q1494" s="4" t="s">
        <v>39</v>
      </c>
      <c r="R1494" s="4" t="s">
        <v>9160</v>
      </c>
      <c r="S1494" s="4" t="s">
        <v>29</v>
      </c>
      <c r="T1494" s="5" t="s">
        <v>9894</v>
      </c>
      <c r="U1494" s="5" t="s">
        <v>9895</v>
      </c>
      <c r="V1494" s="5" t="s">
        <v>9896</v>
      </c>
      <c r="W1494" s="6"/>
      <c r="X1494" s="6"/>
      <c r="Y1494" s="4" t="s">
        <v>9897</v>
      </c>
      <c r="Z1494" s="6"/>
      <c r="AA1494" s="5" t="s">
        <v>9898</v>
      </c>
    </row>
    <row r="1495" ht="14.25">
      <c r="B1495" s="4" t="s">
        <v>9899</v>
      </c>
      <c r="C1495" s="4" t="s">
        <v>9900</v>
      </c>
      <c r="D1495" s="4" t="s">
        <v>9901</v>
      </c>
      <c r="E1495" s="4" t="s">
        <v>9902</v>
      </c>
      <c r="F1495" s="4" t="s">
        <v>9903</v>
      </c>
      <c r="G1495" s="4" t="s">
        <v>9904</v>
      </c>
      <c r="H1495" s="4" t="str">
        <f>IFERROR(__XLUDF.DUMMYFUNCTION("PROPER(REGEXREPLACE(G72,""[^A-Za-z]+ "",""""))"),"Promessens")</f>
        <v>Promessens</v>
      </c>
      <c r="I1495" s="5" t="s">
        <v>9905</v>
      </c>
      <c r="J1495" s="6"/>
      <c r="K1495" s="6"/>
      <c r="L1495" s="4" t="s">
        <v>29</v>
      </c>
      <c r="M1495" s="4" t="s">
        <v>4293</v>
      </c>
      <c r="N1495" s="4" t="str">
        <f>IFERROR(__XLUDF.DUMMYFUNCTION("VLOOKUP(M72,IMPORTRANGE(""https://docs.google.com/spreadsheets/d/1opm6ZNvGZ7KditA9TuJwrZ25eFLfTNIkrNnY6mhV5Eg"",""list!A1:C115""),3,TRUE)"),"le secteur de l'immobilier")</f>
        <v xml:space="preserve">le secteur de l'immobilier</v>
      </c>
      <c r="O1495" s="4" t="s">
        <v>9906</v>
      </c>
      <c r="P1495" s="4">
        <v>16</v>
      </c>
      <c r="Q1495" s="4" t="s">
        <v>185</v>
      </c>
      <c r="R1495" s="4" t="s">
        <v>9193</v>
      </c>
      <c r="S1495" s="4" t="s">
        <v>29</v>
      </c>
      <c r="T1495" s="5" t="s">
        <v>9907</v>
      </c>
      <c r="U1495" s="6"/>
      <c r="V1495" s="6"/>
      <c r="W1495" s="6"/>
      <c r="X1495" s="6"/>
      <c r="Y1495" s="4" t="s">
        <v>9908</v>
      </c>
      <c r="Z1495" s="6"/>
      <c r="AA1495" s="5" t="s">
        <v>9909</v>
      </c>
    </row>
    <row r="1496" ht="14.25">
      <c r="B1496" s="4" t="s">
        <v>9910</v>
      </c>
      <c r="C1496" s="4" t="s">
        <v>9911</v>
      </c>
      <c r="D1496" s="4" t="s">
        <v>9912</v>
      </c>
      <c r="E1496" s="4" t="s">
        <v>9913</v>
      </c>
      <c r="F1496" s="4" t="s">
        <v>112</v>
      </c>
      <c r="G1496" s="4" t="s">
        <v>9914</v>
      </c>
      <c r="H1496" s="4" t="str">
        <f>IFERROR(__XLUDF.DUMMYFUNCTION("PROPER(REGEXREPLACE(G73,""[^A-Za-z]+ "",""""))"),"Tech Advising")</f>
        <v xml:space="preserve">Tech Advising</v>
      </c>
      <c r="I1496" s="5" t="s">
        <v>9915</v>
      </c>
      <c r="J1496" s="4" t="s">
        <v>9916</v>
      </c>
      <c r="K1496" s="4" t="s">
        <v>9160</v>
      </c>
      <c r="L1496" s="4" t="s">
        <v>29</v>
      </c>
      <c r="M1496" s="4" t="s">
        <v>2602</v>
      </c>
      <c r="N1496" s="4" t="str">
        <f>IFERROR(__XLUDF.DUMMYFUNCTION("VLOOKUP(M73,IMPORTRANGE(""https://docs.google.com/spreadsheets/d/1opm6ZNvGZ7KditA9TuJwrZ25eFLfTNIkrNnY6mhV5Eg"",""list!A1:C115""),3,TRUE)"),"le secteur de la tech")</f>
        <v xml:space="preserve">le secteur de la tech</v>
      </c>
      <c r="O1496" s="4" t="s">
        <v>9917</v>
      </c>
      <c r="P1496" s="4">
        <v>10</v>
      </c>
      <c r="Q1496" s="4" t="s">
        <v>9916</v>
      </c>
      <c r="R1496" s="4" t="s">
        <v>9160</v>
      </c>
      <c r="S1496" s="4" t="s">
        <v>29</v>
      </c>
      <c r="T1496" s="5" t="s">
        <v>9918</v>
      </c>
      <c r="U1496" s="6"/>
      <c r="V1496" s="6"/>
      <c r="W1496" s="6"/>
      <c r="X1496" s="6"/>
      <c r="Y1496" s="4" t="s">
        <v>9919</v>
      </c>
      <c r="Z1496" s="6"/>
      <c r="AA1496" s="5" t="s">
        <v>9920</v>
      </c>
    </row>
    <row r="1497" ht="14.25">
      <c r="B1497" s="4" t="s">
        <v>9921</v>
      </c>
      <c r="C1497" s="4" t="s">
        <v>9922</v>
      </c>
      <c r="D1497" s="4" t="s">
        <v>9923</v>
      </c>
      <c r="E1497" s="4" t="s">
        <v>9924</v>
      </c>
      <c r="F1497" s="4" t="s">
        <v>172</v>
      </c>
      <c r="G1497" s="4" t="s">
        <v>9925</v>
      </c>
      <c r="H1497" s="4" t="str">
        <f>IFERROR(__XLUDF.DUMMYFUNCTION("PROPER(REGEXREPLACE(G74,""[^A-Za-z]+ "",""""))"),"Girold Constructions Bois")</f>
        <v xml:space="preserve">Girold Constructions Bois</v>
      </c>
      <c r="I1497" s="5" t="s">
        <v>9926</v>
      </c>
      <c r="J1497" s="4" t="s">
        <v>9927</v>
      </c>
      <c r="K1497" s="4" t="s">
        <v>9215</v>
      </c>
      <c r="L1497" s="4" t="s">
        <v>29</v>
      </c>
      <c r="M1497" s="4" t="s">
        <v>9239</v>
      </c>
      <c r="N1497" s="4" t="str">
        <f>IFERROR(__XLUDF.DUMMYFUNCTION("VLOOKUP(M74,IMPORTRANGE(""https://docs.google.com/spreadsheets/d/1opm6ZNvGZ7KditA9TuJwrZ25eFLfTNIkrNnY6mhV5Eg"",""list!A1:C115""),3,TRUE)"),"le secteur de la construction")</f>
        <v xml:space="preserve">le secteur de la construction</v>
      </c>
      <c r="O1497" s="6"/>
      <c r="P1497" s="4">
        <v>18</v>
      </c>
      <c r="Q1497" s="4" t="s">
        <v>9927</v>
      </c>
      <c r="R1497" s="4" t="s">
        <v>9928</v>
      </c>
      <c r="S1497" s="4" t="s">
        <v>29</v>
      </c>
      <c r="T1497" s="5" t="s">
        <v>9929</v>
      </c>
      <c r="U1497" s="6"/>
      <c r="V1497" s="6"/>
      <c r="W1497" s="6"/>
      <c r="X1497" s="6"/>
      <c r="Y1497" s="4" t="s">
        <v>9930</v>
      </c>
      <c r="Z1497" s="6"/>
      <c r="AA1497" s="5" t="s">
        <v>9931</v>
      </c>
    </row>
    <row r="1498" ht="14.25">
      <c r="B1498" s="4" t="s">
        <v>9932</v>
      </c>
      <c r="C1498" s="4" t="s">
        <v>630</v>
      </c>
      <c r="D1498" s="4" t="s">
        <v>9933</v>
      </c>
      <c r="E1498" s="4" t="s">
        <v>9934</v>
      </c>
      <c r="F1498" s="4" t="s">
        <v>112</v>
      </c>
      <c r="G1498" s="4" t="s">
        <v>9935</v>
      </c>
      <c r="H1498" s="4" t="str">
        <f>IFERROR(__XLUDF.DUMMYFUNCTION("PROPER(REGEXREPLACE(G75,""[^A-Za-z]+ "",""""))"),"Bessat Electricité")</f>
        <v xml:space="preserve">Bessat Electricité</v>
      </c>
      <c r="I1498" s="6"/>
      <c r="J1498" s="4" t="s">
        <v>1507</v>
      </c>
      <c r="K1498" s="4" t="s">
        <v>9193</v>
      </c>
      <c r="L1498" s="4" t="s">
        <v>29</v>
      </c>
      <c r="M1498" s="4" t="s">
        <v>9239</v>
      </c>
      <c r="N1498" s="4" t="str">
        <f>IFERROR(__XLUDF.DUMMYFUNCTION("VLOOKUP(M75,IMPORTRANGE(""https://docs.google.com/spreadsheets/d/1opm6ZNvGZ7KditA9TuJwrZ25eFLfTNIkrNnY6mhV5Eg"",""list!A1:C115""),3,TRUE)"),"le secteur de la construction")</f>
        <v xml:space="preserve">le secteur de la construction</v>
      </c>
      <c r="O1498" s="4" t="s">
        <v>9936</v>
      </c>
      <c r="P1498" s="4">
        <v>11</v>
      </c>
      <c r="Q1498" s="4" t="s">
        <v>9937</v>
      </c>
      <c r="R1498" s="4" t="s">
        <v>9238</v>
      </c>
      <c r="S1498" s="4" t="s">
        <v>29</v>
      </c>
      <c r="T1498" s="5" t="s">
        <v>9938</v>
      </c>
      <c r="U1498" s="6"/>
      <c r="V1498" s="6"/>
      <c r="W1498" s="6"/>
      <c r="X1498" s="6"/>
      <c r="Y1498" s="4" t="s">
        <v>9939</v>
      </c>
      <c r="Z1498" s="6"/>
      <c r="AA1498" s="5" t="s">
        <v>9940</v>
      </c>
    </row>
    <row r="1499" ht="14.25">
      <c r="B1499" s="4" t="s">
        <v>9941</v>
      </c>
      <c r="C1499" s="4" t="s">
        <v>768</v>
      </c>
      <c r="D1499" s="4" t="s">
        <v>9942</v>
      </c>
      <c r="E1499" s="4" t="s">
        <v>9943</v>
      </c>
      <c r="F1499" s="4" t="s">
        <v>7759</v>
      </c>
      <c r="G1499" s="4" t="s">
        <v>9944</v>
      </c>
      <c r="H1499" s="4" t="str">
        <f>IFERROR(__XLUDF.DUMMYFUNCTION("PROPER(REGEXREPLACE(G76,""[^A-Za-z]+ "",""""))"),"Delample Vrd")</f>
        <v xml:space="preserve">Delample Vrd</v>
      </c>
      <c r="I1499" s="5" t="s">
        <v>9945</v>
      </c>
      <c r="J1499" s="4" t="s">
        <v>9946</v>
      </c>
      <c r="K1499" s="4" t="s">
        <v>9460</v>
      </c>
      <c r="L1499" s="4" t="s">
        <v>29</v>
      </c>
      <c r="M1499" s="4" t="s">
        <v>9239</v>
      </c>
      <c r="N1499" s="4" t="str">
        <f>IFERROR(__XLUDF.DUMMYFUNCTION("VLOOKUP(M76,IMPORTRANGE(""https://docs.google.com/spreadsheets/d/1opm6ZNvGZ7KditA9TuJwrZ25eFLfTNIkrNnY6mhV5Eg"",""list!A1:C115""),3,TRUE)"),"le secteur de la construction")</f>
        <v xml:space="preserve">le secteur de la construction</v>
      </c>
      <c r="O1499" s="4" t="s">
        <v>9947</v>
      </c>
      <c r="P1499" s="4">
        <v>14</v>
      </c>
      <c r="Q1499" s="4" t="s">
        <v>9946</v>
      </c>
      <c r="R1499" s="4" t="s">
        <v>9254</v>
      </c>
      <c r="S1499" s="4" t="s">
        <v>29</v>
      </c>
      <c r="T1499" s="5" t="s">
        <v>9948</v>
      </c>
      <c r="U1499" s="6"/>
      <c r="V1499" s="6"/>
      <c r="W1499" s="6"/>
      <c r="X1499" s="6"/>
      <c r="Y1499" s="4" t="s">
        <v>9949</v>
      </c>
      <c r="Z1499" s="6"/>
      <c r="AA1499" s="5" t="s">
        <v>9950</v>
      </c>
    </row>
    <row r="1500" ht="14.25">
      <c r="B1500" s="4" t="s">
        <v>9951</v>
      </c>
      <c r="C1500" s="4" t="s">
        <v>9952</v>
      </c>
      <c r="D1500" s="4" t="s">
        <v>9953</v>
      </c>
      <c r="E1500" s="4" t="s">
        <v>9954</v>
      </c>
      <c r="F1500" s="4" t="s">
        <v>887</v>
      </c>
      <c r="G1500" s="4" t="s">
        <v>9955</v>
      </c>
      <c r="H1500" s="4" t="str">
        <f>IFERROR(__XLUDF.DUMMYFUNCTION("PROPER(REGEXREPLACE(G77,""[^A-Za-z]+ "",""""))"),"Sooit")</f>
        <v>Sooit</v>
      </c>
      <c r="I1500" s="5" t="s">
        <v>9956</v>
      </c>
      <c r="J1500" s="4" t="s">
        <v>39</v>
      </c>
      <c r="K1500" s="4" t="s">
        <v>9160</v>
      </c>
      <c r="L1500" s="4" t="s">
        <v>29</v>
      </c>
      <c r="M1500" s="4" t="s">
        <v>2602</v>
      </c>
      <c r="N1500" s="4" t="str">
        <f>IFERROR(__XLUDF.DUMMYFUNCTION("VLOOKUP(M77,IMPORTRANGE(""https://docs.google.com/spreadsheets/d/1opm6ZNvGZ7KditA9TuJwrZ25eFLfTNIkrNnY6mhV5Eg"",""list!A1:C115""),3,TRUE)"),"le secteur de la tech")</f>
        <v xml:space="preserve">le secteur de la tech</v>
      </c>
      <c r="O1500" s="6"/>
      <c r="P1500" s="4">
        <v>12</v>
      </c>
      <c r="Q1500" s="4" t="s">
        <v>1446</v>
      </c>
      <c r="R1500" s="4" t="s">
        <v>9160</v>
      </c>
      <c r="S1500" s="4" t="s">
        <v>29</v>
      </c>
      <c r="T1500" s="5" t="s">
        <v>9957</v>
      </c>
      <c r="U1500" s="6"/>
      <c r="V1500" s="6"/>
      <c r="W1500" s="6"/>
      <c r="X1500" s="6"/>
      <c r="Y1500" s="4" t="s">
        <v>9958</v>
      </c>
      <c r="Z1500" s="6"/>
      <c r="AA1500" s="5" t="s">
        <v>9959</v>
      </c>
    </row>
    <row r="1501" ht="14.25">
      <c r="B1501" s="4" t="s">
        <v>9960</v>
      </c>
      <c r="C1501" s="4" t="s">
        <v>9961</v>
      </c>
      <c r="D1501" s="4" t="s">
        <v>9962</v>
      </c>
      <c r="E1501" s="4" t="s">
        <v>9963</v>
      </c>
      <c r="F1501" s="4" t="s">
        <v>9964</v>
      </c>
      <c r="G1501" s="4" t="s">
        <v>9965</v>
      </c>
      <c r="H1501" s="4" t="str">
        <f>IFERROR(__XLUDF.DUMMYFUNCTION("PROPER(REGEXREPLACE(G78,""[^A-Za-z]+ "",""""))"),"Tunisian Cloud")</f>
        <v xml:space="preserve">Tunisian Cloud</v>
      </c>
      <c r="I1501" s="5" t="s">
        <v>9966</v>
      </c>
      <c r="J1501" s="4" t="s">
        <v>9967</v>
      </c>
      <c r="K1501" s="4" t="s">
        <v>9160</v>
      </c>
      <c r="L1501" s="4" t="s">
        <v>29</v>
      </c>
      <c r="M1501" s="4" t="s">
        <v>2602</v>
      </c>
      <c r="N1501" s="4" t="str">
        <f>IFERROR(__XLUDF.DUMMYFUNCTION("VLOOKUP(M78,IMPORTRANGE(""https://docs.google.com/spreadsheets/d/1opm6ZNvGZ7KditA9TuJwrZ25eFLfTNIkrNnY6mhV5Eg"",""list!A1:C115""),3,TRUE)"),"le secteur de la tech")</f>
        <v xml:space="preserve">le secteur de la tech</v>
      </c>
      <c r="O1501" s="4" t="s">
        <v>9968</v>
      </c>
      <c r="P1501" s="4">
        <v>29</v>
      </c>
      <c r="Q1501" s="6"/>
      <c r="R1501" s="6"/>
      <c r="S1501" s="4" t="s">
        <v>9969</v>
      </c>
      <c r="T1501" s="5" t="s">
        <v>9970</v>
      </c>
      <c r="U1501" s="5" t="s">
        <v>9971</v>
      </c>
      <c r="V1501" s="6"/>
      <c r="W1501" s="6"/>
      <c r="X1501" s="6"/>
      <c r="Y1501" s="4" t="s">
        <v>9972</v>
      </c>
      <c r="Z1501" s="6"/>
      <c r="AA1501" s="5" t="s">
        <v>9973</v>
      </c>
    </row>
    <row r="1502" ht="14.25">
      <c r="B1502" s="4" t="s">
        <v>9974</v>
      </c>
      <c r="C1502" s="4" t="s">
        <v>630</v>
      </c>
      <c r="D1502" s="4" t="s">
        <v>9975</v>
      </c>
      <c r="E1502" s="4" t="s">
        <v>9976</v>
      </c>
      <c r="F1502" s="4" t="s">
        <v>7759</v>
      </c>
      <c r="G1502" s="4" t="s">
        <v>9977</v>
      </c>
      <c r="H1502" s="4" t="str">
        <f>IFERROR(__XLUDF.DUMMYFUNCTION("PROPER(REGEXREPLACE(G79,""[^A-Za-z]+ "",""""))"),"Cisepz")</f>
        <v>Cisepz</v>
      </c>
      <c r="I1502" s="5" t="s">
        <v>9978</v>
      </c>
      <c r="J1502" s="4" t="s">
        <v>1507</v>
      </c>
      <c r="K1502" s="4" t="s">
        <v>9193</v>
      </c>
      <c r="L1502" s="4" t="s">
        <v>29</v>
      </c>
      <c r="M1502" s="4" t="s">
        <v>9239</v>
      </c>
      <c r="N1502" s="4" t="str">
        <f>IFERROR(__XLUDF.DUMMYFUNCTION("VLOOKUP(M79,IMPORTRANGE(""https://docs.google.com/spreadsheets/d/1opm6ZNvGZ7KditA9TuJwrZ25eFLfTNIkrNnY6mhV5Eg"",""list!A1:C115""),3,TRUE)"),"le secteur de la construction")</f>
        <v xml:space="preserve">le secteur de la construction</v>
      </c>
      <c r="O1502" s="4" t="s">
        <v>9979</v>
      </c>
      <c r="P1502" s="4">
        <v>32</v>
      </c>
      <c r="Q1502" s="4" t="s">
        <v>1507</v>
      </c>
      <c r="R1502" s="4" t="s">
        <v>9193</v>
      </c>
      <c r="S1502" s="4" t="s">
        <v>29</v>
      </c>
      <c r="T1502" s="5" t="s">
        <v>9980</v>
      </c>
      <c r="U1502" s="6"/>
      <c r="V1502" s="5" t="s">
        <v>9981</v>
      </c>
      <c r="W1502" s="6"/>
      <c r="X1502" s="6"/>
      <c r="Y1502" s="4" t="s">
        <v>9982</v>
      </c>
      <c r="Z1502" s="6"/>
      <c r="AA1502" s="5" t="s">
        <v>9983</v>
      </c>
    </row>
    <row r="1503" ht="14.25">
      <c r="B1503" s="4" t="s">
        <v>9984</v>
      </c>
      <c r="C1503" s="4" t="s">
        <v>1948</v>
      </c>
      <c r="D1503" s="4" t="s">
        <v>9985</v>
      </c>
      <c r="E1503" s="4" t="s">
        <v>9986</v>
      </c>
      <c r="F1503" s="4" t="s">
        <v>9987</v>
      </c>
      <c r="G1503" s="4" t="s">
        <v>9988</v>
      </c>
      <c r="H1503" s="4" t="str">
        <f>IFERROR(__XLUDF.DUMMYFUNCTION("PROPER(REGEXREPLACE(G80,""[^A-Za-z]+ "",""""))"),"Explorys")</f>
        <v>Explorys</v>
      </c>
      <c r="I1503" s="5" t="s">
        <v>9989</v>
      </c>
      <c r="J1503" s="4" t="s">
        <v>1507</v>
      </c>
      <c r="K1503" s="4" t="s">
        <v>9193</v>
      </c>
      <c r="L1503" s="4" t="s">
        <v>29</v>
      </c>
      <c r="M1503" s="4" t="s">
        <v>4067</v>
      </c>
      <c r="N1503" s="4" t="str">
        <f>IFERROR(__XLUDF.DUMMYFUNCTION("VLOOKUP(M80,IMPORTRANGE(""https://docs.google.com/spreadsheets/d/1opm6ZNvGZ7KditA9TuJwrZ25eFLfTNIkrNnY6mhV5Eg"",""list!A1:C115""),3,TRUE)"),"le secteur du conseil en management")</f>
        <v xml:space="preserve">le secteur du conseil en management</v>
      </c>
      <c r="O1503" s="4" t="s">
        <v>9990</v>
      </c>
      <c r="P1503" s="4">
        <v>28</v>
      </c>
      <c r="Q1503" s="4" t="s">
        <v>185</v>
      </c>
      <c r="R1503" s="4" t="s">
        <v>9193</v>
      </c>
      <c r="S1503" s="4" t="s">
        <v>29</v>
      </c>
      <c r="T1503" s="5" t="s">
        <v>9991</v>
      </c>
      <c r="U1503" s="5" t="s">
        <v>9992</v>
      </c>
      <c r="V1503" s="6"/>
      <c r="W1503" s="6"/>
      <c r="X1503" s="6"/>
      <c r="Y1503" s="4" t="s">
        <v>9993</v>
      </c>
      <c r="Z1503" s="6"/>
      <c r="AA1503" s="5" t="s">
        <v>9994</v>
      </c>
    </row>
    <row r="1504" ht="14.25">
      <c r="B1504" s="4" t="s">
        <v>9995</v>
      </c>
      <c r="C1504" s="4" t="s">
        <v>556</v>
      </c>
      <c r="D1504" s="4" t="s">
        <v>9996</v>
      </c>
      <c r="E1504" s="4" t="s">
        <v>9997</v>
      </c>
      <c r="F1504" s="4" t="s">
        <v>9998</v>
      </c>
      <c r="G1504" s="4" t="s">
        <v>9999</v>
      </c>
      <c r="H1504" s="4" t="str">
        <f>IFERROR(__XLUDF.DUMMYFUNCTION("PROPER(REGEXREPLACE(G81,""[^A-Za-z]+ "",""""))"),"Hpdia")</f>
        <v>Hpdia</v>
      </c>
      <c r="I1504" s="5" t="s">
        <v>10000</v>
      </c>
      <c r="J1504" s="4" t="s">
        <v>39</v>
      </c>
      <c r="K1504" s="4" t="s">
        <v>9160</v>
      </c>
      <c r="L1504" s="4" t="s">
        <v>29</v>
      </c>
      <c r="M1504" s="4" t="s">
        <v>2602</v>
      </c>
      <c r="N1504" s="4" t="str">
        <f>IFERROR(__XLUDF.DUMMYFUNCTION("VLOOKUP(M81,IMPORTRANGE(""https://docs.google.com/spreadsheets/d/1opm6ZNvGZ7KditA9TuJwrZ25eFLfTNIkrNnY6mhV5Eg"",""list!A1:C115""),3,TRUE)"),"le secteur de la tech")</f>
        <v xml:space="preserve">le secteur de la tech</v>
      </c>
      <c r="O1504" s="6"/>
      <c r="P1504" s="4">
        <v>11</v>
      </c>
      <c r="Q1504" s="4" t="s">
        <v>1015</v>
      </c>
      <c r="R1504" s="4" t="s">
        <v>9251</v>
      </c>
      <c r="S1504" s="4" t="s">
        <v>29</v>
      </c>
      <c r="T1504" s="5" t="s">
        <v>10001</v>
      </c>
      <c r="U1504" s="6"/>
      <c r="V1504" s="6"/>
      <c r="W1504" s="6"/>
      <c r="X1504" s="6"/>
      <c r="Y1504" s="4" t="s">
        <v>10002</v>
      </c>
      <c r="Z1504" s="6"/>
      <c r="AA1504" s="5" t="s">
        <v>10003</v>
      </c>
    </row>
    <row r="1505" ht="14.25">
      <c r="B1505" s="4" t="s">
        <v>10004</v>
      </c>
      <c r="C1505" s="4" t="s">
        <v>556</v>
      </c>
      <c r="D1505" s="4" t="s">
        <v>10005</v>
      </c>
      <c r="E1505" s="4" t="s">
        <v>10006</v>
      </c>
      <c r="F1505" s="4" t="s">
        <v>87</v>
      </c>
      <c r="G1505" s="4" t="s">
        <v>10007</v>
      </c>
      <c r="H1505" s="4" t="str">
        <f>IFERROR(__XLUDF.DUMMYFUNCTION("PROPER(REGEXREPLACE(G82,""[^A-Za-z]+ "",""""))"),"Junior Mines Provence")</f>
        <v xml:space="preserve">Junior Mines Provence</v>
      </c>
      <c r="I1505" s="5" t="s">
        <v>10008</v>
      </c>
      <c r="J1505" s="4" t="s">
        <v>10009</v>
      </c>
      <c r="K1505" s="4" t="s">
        <v>9251</v>
      </c>
      <c r="L1505" s="4" t="s">
        <v>29</v>
      </c>
      <c r="M1505" s="4" t="s">
        <v>2602</v>
      </c>
      <c r="N1505" s="4" t="str">
        <f>IFERROR(__XLUDF.DUMMYFUNCTION("VLOOKUP(M82,IMPORTRANGE(""https://docs.google.com/spreadsheets/d/1opm6ZNvGZ7KditA9TuJwrZ25eFLfTNIkrNnY6mhV5Eg"",""list!A1:C115""),3,TRUE)"),"le secteur de la tech")</f>
        <v xml:space="preserve">le secteur de la tech</v>
      </c>
      <c r="O1505" s="4" t="s">
        <v>10010</v>
      </c>
      <c r="P1505" s="4">
        <v>50</v>
      </c>
      <c r="Q1505" s="4" t="s">
        <v>10009</v>
      </c>
      <c r="R1505" s="4" t="s">
        <v>9251</v>
      </c>
      <c r="S1505" s="4" t="s">
        <v>29</v>
      </c>
      <c r="T1505" s="5" t="s">
        <v>10011</v>
      </c>
      <c r="U1505" s="6"/>
      <c r="V1505" s="6"/>
      <c r="W1505" s="6"/>
      <c r="X1505" s="6"/>
      <c r="Y1505" s="4" t="s">
        <v>10012</v>
      </c>
      <c r="Z1505" s="6"/>
      <c r="AA1505" s="5" t="s">
        <v>10013</v>
      </c>
    </row>
    <row r="1506" ht="14.25">
      <c r="B1506" s="4" t="s">
        <v>10014</v>
      </c>
      <c r="C1506" s="4" t="s">
        <v>556</v>
      </c>
      <c r="D1506" s="4" t="s">
        <v>10015</v>
      </c>
      <c r="E1506" s="4" t="s">
        <v>10016</v>
      </c>
      <c r="F1506" s="4" t="s">
        <v>10017</v>
      </c>
      <c r="G1506" s="4" t="s">
        <v>10018</v>
      </c>
      <c r="H1506" s="4" t="str">
        <f>IFERROR(__XLUDF.DUMMYFUNCTION("PROPER(REGEXREPLACE(G83,""[^A-Za-z]+ "",""""))"),"Worklib")</f>
        <v>Worklib</v>
      </c>
      <c r="I1506" s="5" t="s">
        <v>10019</v>
      </c>
      <c r="J1506" s="4" t="s">
        <v>39</v>
      </c>
      <c r="K1506" s="4" t="s">
        <v>9160</v>
      </c>
      <c r="L1506" s="4" t="s">
        <v>29</v>
      </c>
      <c r="M1506" s="4" t="s">
        <v>2602</v>
      </c>
      <c r="N1506" s="4" t="str">
        <f>IFERROR(__XLUDF.DUMMYFUNCTION("VLOOKUP(M83,IMPORTRANGE(""https://docs.google.com/spreadsheets/d/1opm6ZNvGZ7KditA9TuJwrZ25eFLfTNIkrNnY6mhV5Eg"",""list!A1:C115""),3,TRUE)"),"le secteur de la tech")</f>
        <v xml:space="preserve">le secteur de la tech</v>
      </c>
      <c r="O1506" s="4" t="s">
        <v>10020</v>
      </c>
      <c r="P1506" s="4">
        <v>47</v>
      </c>
      <c r="Q1506" s="4" t="s">
        <v>39</v>
      </c>
      <c r="R1506" s="4" t="s">
        <v>9160</v>
      </c>
      <c r="S1506" s="4" t="s">
        <v>29</v>
      </c>
      <c r="T1506" s="5" t="s">
        <v>10021</v>
      </c>
      <c r="U1506" s="6"/>
      <c r="V1506" s="6"/>
      <c r="W1506" s="5" t="s">
        <v>10022</v>
      </c>
      <c r="X1506" s="6"/>
      <c r="Y1506" s="4" t="s">
        <v>10023</v>
      </c>
      <c r="Z1506" s="6"/>
      <c r="AA1506" s="5" t="s">
        <v>10024</v>
      </c>
    </row>
    <row r="1507" ht="14.25">
      <c r="B1507" s="4" t="s">
        <v>10025</v>
      </c>
      <c r="C1507" s="4" t="s">
        <v>768</v>
      </c>
      <c r="D1507" s="4" t="s">
        <v>10026</v>
      </c>
      <c r="E1507" s="4" t="s">
        <v>10027</v>
      </c>
      <c r="F1507" s="4" t="s">
        <v>7185</v>
      </c>
      <c r="G1507" s="4" t="s">
        <v>10028</v>
      </c>
      <c r="H1507" s="4" t="str">
        <f>IFERROR(__XLUDF.DUMMYFUNCTION("PROPER(REGEXREPLACE(G84,""[^A-Za-z]+ "",""""))"),"Serynis")</f>
        <v>Serynis</v>
      </c>
      <c r="I1507" s="5" t="s">
        <v>10029</v>
      </c>
      <c r="J1507" s="6"/>
      <c r="K1507" s="6"/>
      <c r="L1507" s="4" t="s">
        <v>29</v>
      </c>
      <c r="M1507" s="4" t="s">
        <v>4525</v>
      </c>
      <c r="N1507" s="4" t="str">
        <f>IFERROR(__XLUDF.DUMMYFUNCTION("VLOOKUP(M84,IMPORTRANGE(""https://docs.google.com/spreadsheets/d/1opm6ZNvGZ7KditA9TuJwrZ25eFLfTNIkrNnY6mhV5Eg"",""list!A1:C115""),3,TRUE)"),"le secteur du retail")</f>
        <v xml:space="preserve">le secteur du retail</v>
      </c>
      <c r="O1507" s="4" t="s">
        <v>10030</v>
      </c>
      <c r="P1507" s="4">
        <v>12</v>
      </c>
      <c r="Q1507" s="4" t="s">
        <v>7896</v>
      </c>
      <c r="R1507" s="4" t="s">
        <v>9193</v>
      </c>
      <c r="S1507" s="4" t="s">
        <v>29</v>
      </c>
      <c r="T1507" s="5" t="s">
        <v>10031</v>
      </c>
      <c r="U1507" s="6"/>
      <c r="V1507" s="6"/>
      <c r="W1507" s="6"/>
      <c r="X1507" s="6"/>
      <c r="Y1507" s="4" t="s">
        <v>10032</v>
      </c>
      <c r="Z1507" s="6"/>
      <c r="AA1507" s="5" t="s">
        <v>10033</v>
      </c>
    </row>
    <row r="1508" ht="14.25">
      <c r="B1508" s="4" t="s">
        <v>10034</v>
      </c>
      <c r="C1508" s="4" t="s">
        <v>817</v>
      </c>
      <c r="D1508" s="4" t="s">
        <v>10035</v>
      </c>
      <c r="E1508" s="4" t="s">
        <v>10036</v>
      </c>
      <c r="F1508" s="4" t="s">
        <v>10037</v>
      </c>
      <c r="G1508" s="4" t="s">
        <v>10038</v>
      </c>
      <c r="H1508" s="4" t="str">
        <f>IFERROR(__XLUDF.DUMMYFUNCTION("PROPER(REGEXREPLACE(G85,""[^A-Za-z]+ "",""""))"),"Bd Consulting")</f>
        <v xml:space="preserve">Bd Consulting</v>
      </c>
      <c r="I1508" s="5" t="s">
        <v>10039</v>
      </c>
      <c r="J1508" s="6"/>
      <c r="K1508" s="6"/>
      <c r="L1508" s="4" t="s">
        <v>29</v>
      </c>
      <c r="M1508" s="4" t="s">
        <v>4067</v>
      </c>
      <c r="N1508" s="4" t="str">
        <f>IFERROR(__XLUDF.DUMMYFUNCTION("VLOOKUP(M85,IMPORTRANGE(""https://docs.google.com/spreadsheets/d/1opm6ZNvGZ7KditA9TuJwrZ25eFLfTNIkrNnY6mhV5Eg"",""list!A1:C115""),3,TRUE)"),"le secteur du conseil en management")</f>
        <v xml:space="preserve">le secteur du conseil en management</v>
      </c>
      <c r="O1508" s="4" t="s">
        <v>10040</v>
      </c>
      <c r="P1508" s="4">
        <v>45</v>
      </c>
      <c r="Q1508" s="6"/>
      <c r="R1508" s="6"/>
      <c r="S1508" s="4" t="s">
        <v>29</v>
      </c>
      <c r="T1508" s="5" t="s">
        <v>10041</v>
      </c>
      <c r="U1508" s="6"/>
      <c r="V1508" s="6"/>
      <c r="W1508" s="6"/>
      <c r="X1508" s="6"/>
      <c r="Y1508" s="4" t="s">
        <v>10042</v>
      </c>
      <c r="Z1508" s="6"/>
      <c r="AA1508" s="5" t="s">
        <v>10043</v>
      </c>
    </row>
    <row r="1509" ht="14.25">
      <c r="B1509" s="4" t="s">
        <v>10044</v>
      </c>
      <c r="C1509" s="4" t="s">
        <v>76</v>
      </c>
      <c r="D1509" s="4" t="s">
        <v>10045</v>
      </c>
      <c r="E1509" s="4" t="s">
        <v>10046</v>
      </c>
      <c r="F1509" s="4" t="s">
        <v>7759</v>
      </c>
      <c r="G1509" s="4" t="s">
        <v>10047</v>
      </c>
      <c r="H1509" s="4" t="str">
        <f>IFERROR(__XLUDF.DUMMYFUNCTION("PROPER(REGEXREPLACE(G86,""[^A-Za-z]+ "",""""))"),"Auphys Technologie")</f>
        <v xml:space="preserve">Auphys Technologie</v>
      </c>
      <c r="I1509" s="5" t="s">
        <v>10048</v>
      </c>
      <c r="J1509" s="6"/>
      <c r="K1509" s="6"/>
      <c r="L1509" s="4" t="s">
        <v>29</v>
      </c>
      <c r="M1509" s="4" t="s">
        <v>9239</v>
      </c>
      <c r="N1509" s="4" t="str">
        <f>IFERROR(__XLUDF.DUMMYFUNCTION("VLOOKUP(M86,IMPORTRANGE(""https://docs.google.com/spreadsheets/d/1opm6ZNvGZ7KditA9TuJwrZ25eFLfTNIkrNnY6mhV5Eg"",""list!A1:C115""),3,TRUE)"),"le secteur de la construction")</f>
        <v xml:space="preserve">le secteur de la construction</v>
      </c>
      <c r="O1509" s="4" t="s">
        <v>10049</v>
      </c>
      <c r="P1509" s="4">
        <v>49</v>
      </c>
      <c r="Q1509" s="4" t="s">
        <v>10050</v>
      </c>
      <c r="R1509" s="4" t="s">
        <v>9172</v>
      </c>
      <c r="S1509" s="4" t="s">
        <v>29</v>
      </c>
      <c r="T1509" s="5" t="s">
        <v>10051</v>
      </c>
      <c r="U1509" s="6"/>
      <c r="V1509" s="6"/>
      <c r="W1509" s="6"/>
      <c r="X1509" s="6"/>
      <c r="Y1509" s="4" t="s">
        <v>10052</v>
      </c>
      <c r="Z1509" s="6"/>
      <c r="AA1509" s="5" t="s">
        <v>10053</v>
      </c>
    </row>
    <row r="1510" ht="14.25">
      <c r="B1510" s="4" t="s">
        <v>10054</v>
      </c>
      <c r="C1510" s="4" t="s">
        <v>768</v>
      </c>
      <c r="D1510" s="4" t="s">
        <v>10055</v>
      </c>
      <c r="E1510" s="4" t="s">
        <v>10056</v>
      </c>
      <c r="F1510" s="4" t="s">
        <v>7759</v>
      </c>
      <c r="G1510" s="4" t="s">
        <v>10057</v>
      </c>
      <c r="H1510" s="4" t="str">
        <f>IFERROR(__XLUDF.DUMMYFUNCTION("PROPER(REGEXREPLACE(G87,""[^A-Za-z]+ "",""""))"),"Cgbi")</f>
        <v>Cgbi</v>
      </c>
      <c r="I1510" s="6"/>
      <c r="J1510" s="4" t="s">
        <v>1507</v>
      </c>
      <c r="K1510" s="4" t="s">
        <v>9193</v>
      </c>
      <c r="L1510" s="4" t="s">
        <v>29</v>
      </c>
      <c r="M1510" s="4" t="s">
        <v>2602</v>
      </c>
      <c r="N1510" s="4" t="str">
        <f>IFERROR(__XLUDF.DUMMYFUNCTION("VLOOKUP(M87,IMPORTRANGE(""https://docs.google.com/spreadsheets/d/1opm6ZNvGZ7KditA9TuJwrZ25eFLfTNIkrNnY6mhV5Eg"",""list!A1:C115""),3,TRUE)"),"le secteur de la tech")</f>
        <v xml:space="preserve">le secteur de la tech</v>
      </c>
      <c r="O1510" s="6"/>
      <c r="P1510" s="4">
        <v>18</v>
      </c>
      <c r="Q1510" s="6"/>
      <c r="R1510" s="6"/>
      <c r="S1510" s="4" t="s">
        <v>29</v>
      </c>
      <c r="T1510" s="5" t="s">
        <v>10058</v>
      </c>
      <c r="U1510" s="6"/>
      <c r="V1510" s="6"/>
      <c r="W1510" s="6"/>
      <c r="X1510" s="6"/>
      <c r="Y1510" s="6"/>
      <c r="Z1510" s="6"/>
      <c r="AA1510" s="5" t="s">
        <v>10059</v>
      </c>
    </row>
    <row r="1511" ht="14.25">
      <c r="B1511" s="4" t="s">
        <v>10060</v>
      </c>
      <c r="C1511" s="4" t="s">
        <v>768</v>
      </c>
      <c r="D1511" s="4" t="s">
        <v>10061</v>
      </c>
      <c r="E1511" s="4" t="s">
        <v>10062</v>
      </c>
      <c r="F1511" s="4" t="s">
        <v>10063</v>
      </c>
      <c r="G1511" s="4" t="s">
        <v>10064</v>
      </c>
      <c r="H1511" s="4" t="str">
        <f>IFERROR(__XLUDF.DUMMYFUNCTION("PROPER(REGEXREPLACE(G88,""[^A-Za-z]+ "",""""))"),"Eoris")</f>
        <v>Eoris</v>
      </c>
      <c r="I1511" s="5" t="s">
        <v>10065</v>
      </c>
      <c r="J1511" s="4" t="s">
        <v>2174</v>
      </c>
      <c r="K1511" s="4" t="s">
        <v>9193</v>
      </c>
      <c r="L1511" s="4" t="s">
        <v>29</v>
      </c>
      <c r="M1511" s="4" t="s">
        <v>10066</v>
      </c>
      <c r="N1511" s="4" t="str">
        <f>IFERROR(__XLUDF.DUMMYFUNCTION("VLOOKUP(M88,IMPORTRANGE(""https://docs.google.com/spreadsheets/d/1opm6ZNvGZ7KditA9TuJwrZ25eFLfTNIkrNnY6mhV5Eg"",""list!A1:C115""),3,TRUE)"),"le secteur de la tech")</f>
        <v xml:space="preserve">le secteur de la tech</v>
      </c>
      <c r="O1511" s="4" t="s">
        <v>10067</v>
      </c>
      <c r="P1511" s="4">
        <v>20</v>
      </c>
      <c r="Q1511" s="4" t="s">
        <v>185</v>
      </c>
      <c r="R1511" s="4" t="s">
        <v>9172</v>
      </c>
      <c r="S1511" s="4" t="s">
        <v>29</v>
      </c>
      <c r="T1511" s="5" t="s">
        <v>10068</v>
      </c>
      <c r="U1511" s="6"/>
      <c r="V1511" s="6"/>
      <c r="W1511" s="6"/>
      <c r="X1511" s="6"/>
      <c r="Y1511" s="4" t="s">
        <v>10069</v>
      </c>
      <c r="Z1511" s="6"/>
      <c r="AA1511" s="5" t="s">
        <v>10070</v>
      </c>
    </row>
    <row r="1512" ht="14.25">
      <c r="B1512" s="4" t="s">
        <v>10071</v>
      </c>
      <c r="C1512" s="4" t="s">
        <v>768</v>
      </c>
      <c r="D1512" s="4" t="s">
        <v>10072</v>
      </c>
      <c r="E1512" s="4" t="s">
        <v>10073</v>
      </c>
      <c r="F1512" s="4" t="s">
        <v>10074</v>
      </c>
      <c r="G1512" s="4" t="s">
        <v>10075</v>
      </c>
      <c r="H1512" s="4" t="str">
        <f>IFERROR(__XLUDF.DUMMYFUNCTION("PROPER(REGEXREPLACE(G89,""[^A-Za-z]+ "",""""))"),"Sporeo")</f>
        <v>Sporeo</v>
      </c>
      <c r="I1512" s="5" t="s">
        <v>10076</v>
      </c>
      <c r="J1512" s="6"/>
      <c r="K1512" s="6"/>
      <c r="L1512" s="4" t="s">
        <v>29</v>
      </c>
      <c r="M1512" s="4" t="s">
        <v>4525</v>
      </c>
      <c r="N1512" s="4" t="str">
        <f>IFERROR(__XLUDF.DUMMYFUNCTION("VLOOKUP(M89,IMPORTRANGE(""https://docs.google.com/spreadsheets/d/1opm6ZNvGZ7KditA9TuJwrZ25eFLfTNIkrNnY6mhV5Eg"",""list!A1:C115""),3,TRUE)"),"le secteur du retail")</f>
        <v xml:space="preserve">le secteur du retail</v>
      </c>
      <c r="O1512" s="4" t="s">
        <v>10077</v>
      </c>
      <c r="P1512" s="4">
        <v>28</v>
      </c>
      <c r="Q1512" s="4" t="s">
        <v>185</v>
      </c>
      <c r="R1512" s="4" t="s">
        <v>9193</v>
      </c>
      <c r="S1512" s="4" t="s">
        <v>29</v>
      </c>
      <c r="T1512" s="5" t="s">
        <v>10078</v>
      </c>
      <c r="U1512" s="6"/>
      <c r="V1512" s="6"/>
      <c r="W1512" s="6"/>
      <c r="X1512" s="6"/>
      <c r="Y1512" s="4" t="s">
        <v>10079</v>
      </c>
      <c r="Z1512" s="6"/>
      <c r="AA1512" s="5" t="s">
        <v>10080</v>
      </c>
    </row>
    <row r="1513" ht="14.25">
      <c r="B1513" s="4" t="s">
        <v>10081</v>
      </c>
      <c r="C1513" s="4" t="s">
        <v>768</v>
      </c>
      <c r="D1513" s="4" t="s">
        <v>10082</v>
      </c>
      <c r="E1513" s="4" t="s">
        <v>10083</v>
      </c>
      <c r="F1513" s="4" t="s">
        <v>10084</v>
      </c>
      <c r="G1513" s="4" t="s">
        <v>10085</v>
      </c>
      <c r="H1513" s="4" t="str">
        <f>IFERROR(__XLUDF.DUMMYFUNCTION("PROPER(REGEXREPLACE(G90,""[^A-Za-z]+ "",""""))"),"Gcube Conseil")</f>
        <v xml:space="preserve">Gcube Conseil</v>
      </c>
      <c r="I1513" s="5" t="s">
        <v>10086</v>
      </c>
      <c r="J1513" s="4" t="s">
        <v>2499</v>
      </c>
      <c r="K1513" s="4" t="s">
        <v>9251</v>
      </c>
      <c r="L1513" s="4" t="s">
        <v>29</v>
      </c>
      <c r="M1513" s="4" t="s">
        <v>4067</v>
      </c>
      <c r="N1513" s="4" t="str">
        <f>IFERROR(__XLUDF.DUMMYFUNCTION("VLOOKUP(M90,IMPORTRANGE(""https://docs.google.com/spreadsheets/d/1opm6ZNvGZ7KditA9TuJwrZ25eFLfTNIkrNnY6mhV5Eg"",""list!A1:C115""),3,TRUE)"),"le secteur du conseil en management")</f>
        <v xml:space="preserve">le secteur du conseil en management</v>
      </c>
      <c r="O1513" s="4" t="s">
        <v>10087</v>
      </c>
      <c r="P1513" s="4">
        <v>14</v>
      </c>
      <c r="Q1513" s="4" t="s">
        <v>10088</v>
      </c>
      <c r="R1513" s="4" t="s">
        <v>9251</v>
      </c>
      <c r="S1513" s="4" t="s">
        <v>29</v>
      </c>
      <c r="T1513" s="5" t="s">
        <v>10089</v>
      </c>
      <c r="U1513" s="6"/>
      <c r="V1513" s="6"/>
      <c r="W1513" s="6"/>
      <c r="X1513" s="6"/>
      <c r="Y1513" s="4" t="s">
        <v>10090</v>
      </c>
      <c r="Z1513" s="6"/>
      <c r="AA1513" s="5" t="s">
        <v>10091</v>
      </c>
    </row>
    <row r="1514" ht="14.25">
      <c r="B1514" s="4" t="s">
        <v>10092</v>
      </c>
      <c r="C1514" s="4" t="s">
        <v>768</v>
      </c>
      <c r="D1514" s="4" t="s">
        <v>10093</v>
      </c>
      <c r="E1514" s="4" t="s">
        <v>10094</v>
      </c>
      <c r="F1514" s="4" t="s">
        <v>172</v>
      </c>
      <c r="G1514" s="4" t="s">
        <v>10095</v>
      </c>
      <c r="H1514" s="4" t="str">
        <f>IFERROR(__XLUDF.DUMMYFUNCTION("PROPER(REGEXREPLACE(G91,""[^A-Za-z]+ "",""""))"),"Sas Breuil Batiment")</f>
        <v xml:space="preserve">Sas Breuil Batiment</v>
      </c>
      <c r="I1514" s="5" t="s">
        <v>10096</v>
      </c>
      <c r="J1514" s="4" t="s">
        <v>6777</v>
      </c>
      <c r="K1514" s="4" t="s">
        <v>9864</v>
      </c>
      <c r="L1514" s="4" t="s">
        <v>29</v>
      </c>
      <c r="M1514" s="4" t="s">
        <v>9239</v>
      </c>
      <c r="N1514" s="4" t="str">
        <f>IFERROR(__XLUDF.DUMMYFUNCTION("VLOOKUP(M91,IMPORTRANGE(""https://docs.google.com/spreadsheets/d/1opm6ZNvGZ7KditA9TuJwrZ25eFLfTNIkrNnY6mhV5Eg"",""list!A1:C115""),3,TRUE)"),"le secteur de la construction")</f>
        <v xml:space="preserve">le secteur de la construction</v>
      </c>
      <c r="O1514" s="6"/>
      <c r="P1514" s="4">
        <v>18</v>
      </c>
      <c r="Q1514" s="4" t="s">
        <v>10097</v>
      </c>
      <c r="R1514" s="4" t="s">
        <v>10098</v>
      </c>
      <c r="S1514" s="4" t="s">
        <v>29</v>
      </c>
      <c r="T1514" s="5" t="s">
        <v>10099</v>
      </c>
      <c r="U1514" s="6"/>
      <c r="V1514" s="6"/>
      <c r="W1514" s="6"/>
      <c r="X1514" s="6"/>
      <c r="Y1514" s="4" t="s">
        <v>10100</v>
      </c>
      <c r="Z1514" s="6"/>
      <c r="AA1514" s="5" t="s">
        <v>10101</v>
      </c>
    </row>
    <row r="1515" ht="14.25">
      <c r="B1515" s="4" t="s">
        <v>10102</v>
      </c>
      <c r="C1515" s="4" t="s">
        <v>768</v>
      </c>
      <c r="D1515" s="4" t="s">
        <v>10103</v>
      </c>
      <c r="E1515" s="4" t="s">
        <v>10104</v>
      </c>
      <c r="F1515" s="4" t="s">
        <v>7185</v>
      </c>
      <c r="G1515" s="4" t="s">
        <v>10105</v>
      </c>
      <c r="H1515" s="4" t="str">
        <f>IFERROR(__XLUDF.DUMMYFUNCTION("PROPER(REGEXREPLACE(G92,""[^A-Za-z]+ "",""""))"),"Kwantic")</f>
        <v>Kwantic</v>
      </c>
      <c r="I1515" s="5" t="s">
        <v>10106</v>
      </c>
      <c r="J1515" s="4" t="s">
        <v>243</v>
      </c>
      <c r="K1515" s="4" t="s">
        <v>9864</v>
      </c>
      <c r="L1515" s="4" t="s">
        <v>29</v>
      </c>
      <c r="M1515" s="4" t="s">
        <v>2602</v>
      </c>
      <c r="N1515" s="4" t="str">
        <f>IFERROR(__XLUDF.DUMMYFUNCTION("VLOOKUP(M92,IMPORTRANGE(""https://docs.google.com/spreadsheets/d/1opm6ZNvGZ7KditA9TuJwrZ25eFLfTNIkrNnY6mhV5Eg"",""list!A1:C115""),3,TRUE)"),"le secteur de la tech")</f>
        <v xml:space="preserve">le secteur de la tech</v>
      </c>
      <c r="O1515" s="4" t="s">
        <v>10107</v>
      </c>
      <c r="P1515" s="4">
        <v>14</v>
      </c>
      <c r="Q1515" s="4" t="s">
        <v>482</v>
      </c>
      <c r="R1515" s="4" t="s">
        <v>9460</v>
      </c>
      <c r="S1515" s="4" t="s">
        <v>29</v>
      </c>
      <c r="T1515" s="5" t="s">
        <v>10108</v>
      </c>
      <c r="U1515" s="6"/>
      <c r="V1515" s="6"/>
      <c r="W1515" s="6"/>
      <c r="X1515" s="6"/>
      <c r="Y1515" s="4" t="s">
        <v>10109</v>
      </c>
      <c r="Z1515" s="6"/>
      <c r="AA1515" s="5" t="s">
        <v>10110</v>
      </c>
    </row>
    <row r="1516" ht="14.25">
      <c r="B1516" s="4" t="s">
        <v>10111</v>
      </c>
      <c r="C1516" s="4" t="s">
        <v>630</v>
      </c>
      <c r="D1516" s="4" t="s">
        <v>6815</v>
      </c>
      <c r="E1516" s="4" t="s">
        <v>10112</v>
      </c>
      <c r="F1516" s="4" t="s">
        <v>10113</v>
      </c>
      <c r="G1516" s="4" t="s">
        <v>10114</v>
      </c>
      <c r="H1516" s="4" t="str">
        <f>IFERROR(__XLUDF.DUMMYFUNCTION("PROPER(REGEXREPLACE(G93,""[^A-Za-z]+ "",""""))"),"Bomzai")</f>
        <v>Bomzai</v>
      </c>
      <c r="I1516" s="5" t="s">
        <v>10115</v>
      </c>
      <c r="J1516" s="6"/>
      <c r="K1516" s="6"/>
      <c r="L1516" s="4" t="s">
        <v>29</v>
      </c>
      <c r="M1516" s="4" t="s">
        <v>2602</v>
      </c>
      <c r="N1516" s="4" t="str">
        <f>IFERROR(__XLUDF.DUMMYFUNCTION("VLOOKUP(M93,IMPORTRANGE(""https://docs.google.com/spreadsheets/d/1opm6ZNvGZ7KditA9TuJwrZ25eFLfTNIkrNnY6mhV5Eg"",""list!A1:C115""),3,TRUE)"),"le secteur de la tech")</f>
        <v xml:space="preserve">le secteur de la tech</v>
      </c>
      <c r="O1516" s="4" t="s">
        <v>10116</v>
      </c>
      <c r="P1516" s="4">
        <v>31</v>
      </c>
      <c r="Q1516" s="4" t="s">
        <v>39</v>
      </c>
      <c r="R1516" s="4" t="s">
        <v>9160</v>
      </c>
      <c r="S1516" s="4" t="s">
        <v>29</v>
      </c>
      <c r="T1516" s="5" t="s">
        <v>10117</v>
      </c>
      <c r="U1516" s="5" t="s">
        <v>10118</v>
      </c>
      <c r="V1516" s="5" t="s">
        <v>10119</v>
      </c>
      <c r="W1516" s="6"/>
      <c r="X1516" s="6"/>
      <c r="Y1516" s="4" t="s">
        <v>10120</v>
      </c>
      <c r="Z1516" s="6"/>
      <c r="AA1516" s="5" t="s">
        <v>10121</v>
      </c>
    </row>
    <row r="1517" ht="14.25">
      <c r="B1517" s="4" t="s">
        <v>10122</v>
      </c>
      <c r="C1517" s="4" t="s">
        <v>10123</v>
      </c>
      <c r="D1517" s="4" t="s">
        <v>10124</v>
      </c>
      <c r="E1517" s="4" t="s">
        <v>10125</v>
      </c>
      <c r="F1517" s="4" t="s">
        <v>10126</v>
      </c>
      <c r="G1517" s="4" t="s">
        <v>10127</v>
      </c>
      <c r="H1517" s="4" t="str">
        <f>IFERROR(__XLUDF.DUMMYFUNCTION("PROPER(REGEXREPLACE(G94,""[^A-Za-z]+ "",""""))"),"Uni5")</f>
        <v>Uni5</v>
      </c>
      <c r="I1517" s="5" t="s">
        <v>10128</v>
      </c>
      <c r="J1517" s="4" t="s">
        <v>39</v>
      </c>
      <c r="K1517" s="4" t="s">
        <v>9160</v>
      </c>
      <c r="L1517" s="4" t="s">
        <v>29</v>
      </c>
      <c r="M1517" s="4" t="s">
        <v>2602</v>
      </c>
      <c r="N1517" s="4" t="str">
        <f>IFERROR(__XLUDF.DUMMYFUNCTION("VLOOKUP(M94,IMPORTRANGE(""https://docs.google.com/spreadsheets/d/1opm6ZNvGZ7KditA9TuJwrZ25eFLfTNIkrNnY6mhV5Eg"",""list!A1:C115""),3,TRUE)"),"le secteur de la tech")</f>
        <v xml:space="preserve">le secteur de la tech</v>
      </c>
      <c r="O1517" s="4" t="s">
        <v>10129</v>
      </c>
      <c r="P1517" s="4">
        <v>31</v>
      </c>
      <c r="Q1517" s="4" t="s">
        <v>1446</v>
      </c>
      <c r="R1517" s="4" t="s">
        <v>9160</v>
      </c>
      <c r="S1517" s="4" t="s">
        <v>29</v>
      </c>
      <c r="T1517" s="5" t="s">
        <v>10130</v>
      </c>
      <c r="U1517" s="6"/>
      <c r="V1517" s="5" t="s">
        <v>10131</v>
      </c>
      <c r="W1517" s="6"/>
      <c r="X1517" s="6"/>
      <c r="Y1517" s="4" t="s">
        <v>10132</v>
      </c>
      <c r="Z1517" s="6"/>
      <c r="AA1517" s="5" t="s">
        <v>10133</v>
      </c>
    </row>
    <row r="1518" ht="14.25">
      <c r="B1518" s="4" t="s">
        <v>10134</v>
      </c>
      <c r="C1518" s="4" t="s">
        <v>5060</v>
      </c>
      <c r="D1518" s="4" t="s">
        <v>10135</v>
      </c>
      <c r="E1518" s="4" t="s">
        <v>10136</v>
      </c>
      <c r="F1518" s="4" t="s">
        <v>468</v>
      </c>
      <c r="G1518" s="4" t="s">
        <v>10137</v>
      </c>
      <c r="H1518" s="4" t="str">
        <f>IFERROR(__XLUDF.DUMMYFUNCTION("PROPER(REGEXREPLACE(G95,""[^A-Za-z]+ "",""""))"),"Abis")</f>
        <v>Abis</v>
      </c>
      <c r="I1518" s="5" t="s">
        <v>10138</v>
      </c>
      <c r="J1518" s="4" t="s">
        <v>10139</v>
      </c>
      <c r="K1518" s="4" t="s">
        <v>9160</v>
      </c>
      <c r="L1518" s="4" t="s">
        <v>29</v>
      </c>
      <c r="M1518" s="4" t="s">
        <v>9239</v>
      </c>
      <c r="N1518" s="4" t="str">
        <f>IFERROR(__XLUDF.DUMMYFUNCTION("VLOOKUP(M95,IMPORTRANGE(""https://docs.google.com/spreadsheets/d/1opm6ZNvGZ7KditA9TuJwrZ25eFLfTNIkrNnY6mhV5Eg"",""list!A1:C115""),3,TRUE)"),"le secteur de la construction")</f>
        <v xml:space="preserve">le secteur de la construction</v>
      </c>
      <c r="O1518" s="4" t="s">
        <v>10140</v>
      </c>
      <c r="P1518" s="4">
        <v>33</v>
      </c>
      <c r="Q1518" s="4" t="s">
        <v>10141</v>
      </c>
      <c r="R1518" s="4" t="s">
        <v>9160</v>
      </c>
      <c r="S1518" s="4" t="s">
        <v>29</v>
      </c>
      <c r="T1518" s="5" t="s">
        <v>10142</v>
      </c>
      <c r="U1518" s="6"/>
      <c r="V1518" s="6"/>
      <c r="W1518" s="6"/>
      <c r="X1518" s="6"/>
      <c r="Y1518" s="4" t="s">
        <v>10143</v>
      </c>
      <c r="Z1518" s="6"/>
      <c r="AA1518" s="5" t="s">
        <v>10144</v>
      </c>
    </row>
    <row r="1519" ht="14.25">
      <c r="B1519" s="4" t="s">
        <v>10145</v>
      </c>
      <c r="C1519" s="4" t="s">
        <v>817</v>
      </c>
      <c r="D1519" s="4" t="s">
        <v>10146</v>
      </c>
      <c r="E1519" s="4" t="s">
        <v>10147</v>
      </c>
      <c r="F1519" s="4" t="s">
        <v>7759</v>
      </c>
      <c r="G1519" s="4" t="s">
        <v>10146</v>
      </c>
      <c r="H1519" s="4" t="str">
        <f>IFERROR(__XLUDF.DUMMYFUNCTION("PROPER(REGEXREPLACE(G96,""[^A-Za-z]+ "",""""))"),"Briero")</f>
        <v>Briero</v>
      </c>
      <c r="I1519" s="5" t="s">
        <v>10148</v>
      </c>
      <c r="J1519" s="4" t="s">
        <v>1826</v>
      </c>
      <c r="K1519" s="4" t="s">
        <v>9227</v>
      </c>
      <c r="L1519" s="4" t="s">
        <v>29</v>
      </c>
      <c r="M1519" s="4" t="s">
        <v>9239</v>
      </c>
      <c r="N1519" s="4" t="str">
        <f>IFERROR(__XLUDF.DUMMYFUNCTION("VLOOKUP(M96,IMPORTRANGE(""https://docs.google.com/spreadsheets/d/1opm6ZNvGZ7KditA9TuJwrZ25eFLfTNIkrNnY6mhV5Eg"",""list!A1:C115""),3,TRUE)"),"le secteur de la construction")</f>
        <v xml:space="preserve">le secteur de la construction</v>
      </c>
      <c r="O1519" s="6"/>
      <c r="P1519" s="4">
        <v>16</v>
      </c>
      <c r="Q1519" s="4" t="s">
        <v>10149</v>
      </c>
      <c r="R1519" s="4" t="s">
        <v>9227</v>
      </c>
      <c r="S1519" s="4" t="s">
        <v>29</v>
      </c>
      <c r="T1519" s="5" t="s">
        <v>10150</v>
      </c>
      <c r="U1519" s="6"/>
      <c r="V1519" s="6"/>
      <c r="W1519" s="6"/>
      <c r="X1519" s="6"/>
      <c r="Y1519" s="4" t="s">
        <v>10151</v>
      </c>
      <c r="Z1519" s="6"/>
      <c r="AA1519" s="5" t="s">
        <v>10152</v>
      </c>
    </row>
    <row r="1520" ht="14.25">
      <c r="B1520" s="4" t="s">
        <v>10153</v>
      </c>
      <c r="C1520" s="4" t="s">
        <v>817</v>
      </c>
      <c r="D1520" s="4" t="s">
        <v>10154</v>
      </c>
      <c r="E1520" s="4" t="s">
        <v>10155</v>
      </c>
      <c r="F1520" s="4" t="s">
        <v>10156</v>
      </c>
      <c r="G1520" s="4" t="s">
        <v>10157</v>
      </c>
      <c r="H1520" s="4" t="str">
        <f>IFERROR(__XLUDF.DUMMYFUNCTION("PROPER(REGEXREPLACE(G97,""[^A-Za-z]+ "",""""))"),"Circle Strategy")</f>
        <v xml:space="preserve">Circle Strategy</v>
      </c>
      <c r="I1520" s="5" t="s">
        <v>10158</v>
      </c>
      <c r="J1520" s="4" t="s">
        <v>39</v>
      </c>
      <c r="K1520" s="4" t="s">
        <v>9160</v>
      </c>
      <c r="L1520" s="4" t="s">
        <v>29</v>
      </c>
      <c r="M1520" s="4" t="s">
        <v>4067</v>
      </c>
      <c r="N1520" s="4" t="str">
        <f>IFERROR(__XLUDF.DUMMYFUNCTION("VLOOKUP(M97,IMPORTRANGE(""https://docs.google.com/spreadsheets/d/1opm6ZNvGZ7KditA9TuJwrZ25eFLfTNIkrNnY6mhV5Eg"",""list!A1:C115""),3,TRUE)"),"le secteur du conseil en management")</f>
        <v xml:space="preserve">le secteur du conseil en management</v>
      </c>
      <c r="O1520" s="6"/>
      <c r="P1520" s="4">
        <v>35</v>
      </c>
      <c r="Q1520" s="4" t="s">
        <v>1419</v>
      </c>
      <c r="R1520" s="4" t="s">
        <v>9160</v>
      </c>
      <c r="S1520" s="4" t="s">
        <v>29</v>
      </c>
      <c r="T1520" s="5" t="s">
        <v>10159</v>
      </c>
      <c r="U1520" s="6"/>
      <c r="V1520" s="6"/>
      <c r="W1520" s="6"/>
      <c r="X1520" s="6"/>
      <c r="Y1520" s="4" t="s">
        <v>10160</v>
      </c>
      <c r="Z1520" s="6"/>
      <c r="AA1520" s="5" t="s">
        <v>10161</v>
      </c>
    </row>
    <row r="1521" ht="14.25">
      <c r="B1521" s="4" t="s">
        <v>10162</v>
      </c>
      <c r="C1521" s="4" t="s">
        <v>817</v>
      </c>
      <c r="D1521" s="4" t="s">
        <v>10163</v>
      </c>
      <c r="E1521" s="4" t="s">
        <v>10164</v>
      </c>
      <c r="F1521" s="4" t="s">
        <v>172</v>
      </c>
      <c r="G1521" s="4" t="s">
        <v>10165</v>
      </c>
      <c r="H1521" s="4" t="str">
        <f>IFERROR(__XLUDF.DUMMYFUNCTION("PROPER(REGEXREPLACE(G98,""[^A-Za-z]+ "",""""))"),"Spl Agate")</f>
        <v xml:space="preserve">Spl Agate</v>
      </c>
      <c r="I1521" s="5" t="s">
        <v>10166</v>
      </c>
      <c r="J1521" s="4" t="s">
        <v>1745</v>
      </c>
      <c r="K1521" s="4" t="s">
        <v>9460</v>
      </c>
      <c r="L1521" s="4" t="s">
        <v>29</v>
      </c>
      <c r="M1521" s="4" t="s">
        <v>10167</v>
      </c>
      <c r="N1521" s="4" t="str">
        <f>IFERROR(__XLUDF.DUMMYFUNCTION("VLOOKUP(M98,IMPORTRANGE(""https://docs.google.com/spreadsheets/d/1opm6ZNvGZ7KditA9TuJwrZ25eFLfTNIkrNnY6mhV5Eg"",""list!A1:C115""),3,TRUE)"),"le secteur de l'architecture et de l'urbanisme")</f>
        <v xml:space="preserve">le secteur de l'architecture et de l'urbanisme</v>
      </c>
      <c r="O1521" s="4" t="s">
        <v>10168</v>
      </c>
      <c r="P1521" s="4">
        <v>32</v>
      </c>
      <c r="Q1521" s="4" t="s">
        <v>1745</v>
      </c>
      <c r="R1521" s="4" t="s">
        <v>9254</v>
      </c>
      <c r="S1521" s="4" t="s">
        <v>29</v>
      </c>
      <c r="T1521" s="5" t="s">
        <v>10169</v>
      </c>
      <c r="U1521" s="6"/>
      <c r="V1521" s="6"/>
      <c r="W1521" s="6"/>
      <c r="X1521" s="6"/>
      <c r="Y1521" s="4" t="s">
        <v>10170</v>
      </c>
      <c r="Z1521" s="6"/>
      <c r="AA1521" s="5" t="s">
        <v>10171</v>
      </c>
    </row>
    <row r="1522" ht="14.25">
      <c r="B1522" s="4" t="s">
        <v>10172</v>
      </c>
      <c r="C1522" s="4" t="s">
        <v>817</v>
      </c>
      <c r="D1522" s="4" t="s">
        <v>10173</v>
      </c>
      <c r="E1522" s="4" t="s">
        <v>10174</v>
      </c>
      <c r="F1522" s="4" t="s">
        <v>10175</v>
      </c>
      <c r="G1522" s="4" t="s">
        <v>10176</v>
      </c>
      <c r="H1522" s="4" t="str">
        <f>IFERROR(__XLUDF.DUMMYFUNCTION("PROPER(REGEXREPLACE(G99,""[^A-Za-z]+ "",""""))"),"Dc Pilot France")</f>
        <v xml:space="preserve">Dc Pilot France</v>
      </c>
      <c r="I1522" s="5" t="s">
        <v>10177</v>
      </c>
      <c r="J1522" s="4" t="s">
        <v>10178</v>
      </c>
      <c r="K1522" s="4" t="s">
        <v>9193</v>
      </c>
      <c r="L1522" s="4" t="s">
        <v>29</v>
      </c>
      <c r="M1522" s="4" t="s">
        <v>4067</v>
      </c>
      <c r="N1522" s="4" t="str">
        <f>IFERROR(__XLUDF.DUMMYFUNCTION("VLOOKUP(M99,IMPORTRANGE(""https://docs.google.com/spreadsheets/d/1opm6ZNvGZ7KditA9TuJwrZ25eFLfTNIkrNnY6mhV5Eg"",""list!A1:C115""),3,TRUE)"),"le secteur du conseil en management")</f>
        <v xml:space="preserve">le secteur du conseil en management</v>
      </c>
      <c r="O1522" s="4" t="s">
        <v>10179</v>
      </c>
      <c r="P1522" s="4">
        <v>21</v>
      </c>
      <c r="Q1522" s="4" t="s">
        <v>651</v>
      </c>
      <c r="R1522" s="4" t="s">
        <v>9215</v>
      </c>
      <c r="S1522" s="4" t="s">
        <v>29</v>
      </c>
      <c r="T1522" s="5" t="s">
        <v>10180</v>
      </c>
      <c r="U1522" s="5" t="s">
        <v>10181</v>
      </c>
      <c r="V1522" s="5" t="s">
        <v>10182</v>
      </c>
      <c r="W1522" s="6"/>
      <c r="X1522" s="6"/>
      <c r="Y1522" s="4" t="s">
        <v>10183</v>
      </c>
      <c r="Z1522" s="6"/>
      <c r="AA1522" s="5" t="s">
        <v>10184</v>
      </c>
    </row>
    <row r="1523" ht="14.25">
      <c r="B1523" s="4" t="s">
        <v>10185</v>
      </c>
      <c r="C1523" s="4" t="s">
        <v>10186</v>
      </c>
      <c r="D1523" s="4" t="s">
        <v>10187</v>
      </c>
      <c r="E1523" s="4" t="s">
        <v>10188</v>
      </c>
      <c r="F1523" s="4" t="s">
        <v>10189</v>
      </c>
      <c r="G1523" s="4" t="s">
        <v>10190</v>
      </c>
      <c r="H1523" s="4" t="str">
        <f>IFERROR(__XLUDF.DUMMYFUNCTION("PROPER(REGEXREPLACE(G100,""[^A-Za-z]+ "",""""))"),"Mountain Path")</f>
        <v xml:space="preserve">Mountain Path</v>
      </c>
      <c r="I1523" s="5" t="s">
        <v>10191</v>
      </c>
      <c r="J1523" s="4" t="s">
        <v>10192</v>
      </c>
      <c r="K1523" s="4" t="s">
        <v>9193</v>
      </c>
      <c r="L1523" s="4" t="s">
        <v>29</v>
      </c>
      <c r="M1523" s="4" t="s">
        <v>4067</v>
      </c>
      <c r="N1523" s="4" t="str">
        <f>IFERROR(__XLUDF.DUMMYFUNCTION("VLOOKUP(M100,IMPORTRANGE(""https://docs.google.com/spreadsheets/d/1opm6ZNvGZ7KditA9TuJwrZ25eFLfTNIkrNnY6mhV5Eg"",""list!A1:C115""),3,TRUE)"),"le secteur du conseil en management")</f>
        <v xml:space="preserve">le secteur du conseil en management</v>
      </c>
      <c r="O1523" s="4" t="s">
        <v>10193</v>
      </c>
      <c r="P1523" s="4">
        <v>13</v>
      </c>
      <c r="Q1523" s="4" t="s">
        <v>203</v>
      </c>
      <c r="R1523" s="4" t="s">
        <v>9193</v>
      </c>
      <c r="S1523" s="4" t="s">
        <v>29</v>
      </c>
      <c r="T1523" s="5" t="s">
        <v>10194</v>
      </c>
      <c r="U1523" s="5" t="s">
        <v>10195</v>
      </c>
      <c r="V1523" s="5" t="s">
        <v>10196</v>
      </c>
      <c r="W1523" s="6"/>
      <c r="X1523" s="6"/>
      <c r="Y1523" s="4" t="s">
        <v>10197</v>
      </c>
      <c r="Z1523" s="6"/>
      <c r="AA1523" s="5" t="s">
        <v>10198</v>
      </c>
    </row>
    <row r="1524" ht="14.25">
      <c r="B1524" s="4" t="s">
        <v>10199</v>
      </c>
      <c r="C1524" s="4" t="s">
        <v>817</v>
      </c>
      <c r="D1524" s="4" t="s">
        <v>10200</v>
      </c>
      <c r="E1524" s="4" t="s">
        <v>10201</v>
      </c>
      <c r="F1524" s="4" t="s">
        <v>10202</v>
      </c>
      <c r="G1524" s="4" t="s">
        <v>10203</v>
      </c>
      <c r="H1524" s="4" t="str">
        <f>IFERROR(__XLUDF.DUMMYFUNCTION("PROPER(REGEXREPLACE(G101,""[^A-Za-z]+ "",""""))"),"Conseil")</f>
        <v>Conseil</v>
      </c>
      <c r="I1524" s="5" t="s">
        <v>10204</v>
      </c>
      <c r="J1524" s="4" t="s">
        <v>39</v>
      </c>
      <c r="K1524" s="4" t="s">
        <v>9160</v>
      </c>
      <c r="L1524" s="4" t="s">
        <v>29</v>
      </c>
      <c r="M1524" s="4" t="s">
        <v>4067</v>
      </c>
      <c r="N1524" s="4" t="str">
        <f>IFERROR(__XLUDF.DUMMYFUNCTION("VLOOKUP(M101,IMPORTRANGE(""https://docs.google.com/spreadsheets/d/1opm6ZNvGZ7KditA9TuJwrZ25eFLfTNIkrNnY6mhV5Eg"",""list!A1:C115""),3,TRUE)"),"le secteur du conseil en management")</f>
        <v xml:space="preserve">le secteur du conseil en management</v>
      </c>
      <c r="O1524" s="6"/>
      <c r="P1524" s="4">
        <v>10</v>
      </c>
      <c r="Q1524" s="4" t="s">
        <v>39</v>
      </c>
      <c r="R1524" s="4" t="s">
        <v>9160</v>
      </c>
      <c r="S1524" s="4" t="s">
        <v>29</v>
      </c>
      <c r="T1524" s="5" t="s">
        <v>10205</v>
      </c>
      <c r="U1524" s="6"/>
      <c r="V1524" s="6"/>
      <c r="W1524" s="6"/>
      <c r="X1524" s="6"/>
      <c r="Y1524" s="4" t="s">
        <v>10206</v>
      </c>
      <c r="Z1524" s="6"/>
      <c r="AA1524" s="5" t="s">
        <v>10207</v>
      </c>
    </row>
    <row r="1525" ht="14.25">
      <c r="B1525" s="4" t="s">
        <v>10208</v>
      </c>
      <c r="C1525" s="4" t="s">
        <v>3271</v>
      </c>
      <c r="D1525" s="4" t="s">
        <v>10209</v>
      </c>
      <c r="E1525" s="4" t="s">
        <v>10210</v>
      </c>
      <c r="F1525" s="4" t="s">
        <v>10211</v>
      </c>
      <c r="G1525" s="4" t="s">
        <v>10212</v>
      </c>
      <c r="H1525" s="4" t="str">
        <f>IFERROR(__XLUDF.DUMMYFUNCTION("PROPER(REGEXREPLACE(G102,""[^A-Za-z]+ "",""""))"),"Primo1D")</f>
        <v>Primo1D</v>
      </c>
      <c r="I1525" s="5" t="s">
        <v>10213</v>
      </c>
      <c r="J1525" s="4" t="s">
        <v>10214</v>
      </c>
      <c r="K1525" s="4" t="s">
        <v>9193</v>
      </c>
      <c r="L1525" s="4" t="s">
        <v>29</v>
      </c>
      <c r="M1525" s="4" t="s">
        <v>10215</v>
      </c>
      <c r="N1525" s="4" t="str">
        <f>IFERROR(__XLUDF.DUMMYFUNCTION("VLOOKUP(M102,IMPORTRANGE(""https://docs.google.com/spreadsheets/d/1opm6ZNvGZ7KditA9TuJwrZ25eFLfTNIkrNnY6mhV5Eg"",""list!A1:C115""),3,TRUE)"),"le secteur de l'électrique et électronique")</f>
        <v xml:space="preserve">le secteur de l'électrique et électronique</v>
      </c>
      <c r="O1525" s="4" t="s">
        <v>10216</v>
      </c>
      <c r="P1525" s="4">
        <v>18</v>
      </c>
      <c r="Q1525" s="4" t="s">
        <v>1507</v>
      </c>
      <c r="R1525" s="4" t="s">
        <v>9193</v>
      </c>
      <c r="S1525" s="4" t="s">
        <v>29</v>
      </c>
      <c r="T1525" s="5" t="s">
        <v>10217</v>
      </c>
      <c r="U1525" s="5" t="s">
        <v>10218</v>
      </c>
      <c r="V1525" s="6"/>
      <c r="W1525" s="6"/>
      <c r="X1525" s="6"/>
      <c r="Y1525" s="4" t="s">
        <v>10219</v>
      </c>
      <c r="Z1525" s="6"/>
      <c r="AA1525" s="5" t="s">
        <v>10220</v>
      </c>
    </row>
    <row r="1526" ht="14.25">
      <c r="B1526" s="4" t="s">
        <v>10221</v>
      </c>
      <c r="C1526" s="4" t="s">
        <v>1948</v>
      </c>
      <c r="D1526" s="4" t="s">
        <v>10222</v>
      </c>
      <c r="E1526" s="4" t="s">
        <v>10223</v>
      </c>
      <c r="F1526" s="4" t="s">
        <v>7185</v>
      </c>
      <c r="G1526" s="4" t="s">
        <v>10224</v>
      </c>
      <c r="H1526" s="4" t="str">
        <f>IFERROR(__XLUDF.DUMMYFUNCTION("PROPER(REGEXREPLACE(G103,""[^A-Za-z]+ "",""""))"),"Ace Software")</f>
        <v xml:space="preserve">Ace Software</v>
      </c>
      <c r="I1526" s="5" t="s">
        <v>10225</v>
      </c>
      <c r="J1526" s="4" t="s">
        <v>5456</v>
      </c>
      <c r="K1526" s="4" t="s">
        <v>9251</v>
      </c>
      <c r="L1526" s="4" t="s">
        <v>29</v>
      </c>
      <c r="M1526" s="4" t="s">
        <v>2602</v>
      </c>
      <c r="N1526" s="4" t="str">
        <f>IFERROR(__XLUDF.DUMMYFUNCTION("VLOOKUP(M103,IMPORTRANGE(""https://docs.google.com/spreadsheets/d/1opm6ZNvGZ7KditA9TuJwrZ25eFLfTNIkrNnY6mhV5Eg"",""list!A1:C115""),3,TRUE)"),"le secteur de la tech")</f>
        <v xml:space="preserve">le secteur de la tech</v>
      </c>
      <c r="O1526" s="4" t="s">
        <v>10226</v>
      </c>
      <c r="P1526" s="4">
        <v>38</v>
      </c>
      <c r="Q1526" s="4" t="s">
        <v>10227</v>
      </c>
      <c r="R1526" s="4" t="s">
        <v>9251</v>
      </c>
      <c r="S1526" s="4" t="s">
        <v>29</v>
      </c>
      <c r="T1526" s="5" t="s">
        <v>10228</v>
      </c>
      <c r="U1526" s="6"/>
      <c r="V1526" s="6"/>
      <c r="W1526" s="6"/>
      <c r="X1526" s="6"/>
      <c r="Y1526" s="4" t="s">
        <v>10229</v>
      </c>
      <c r="Z1526" s="6"/>
      <c r="AA1526" s="5" t="s">
        <v>10230</v>
      </c>
    </row>
    <row r="1527" ht="14.25">
      <c r="B1527" s="4" t="s">
        <v>10231</v>
      </c>
      <c r="C1527" s="4" t="s">
        <v>817</v>
      </c>
      <c r="D1527" s="4" t="s">
        <v>10232</v>
      </c>
      <c r="E1527" s="4" t="s">
        <v>10233</v>
      </c>
      <c r="F1527" s="4" t="s">
        <v>172</v>
      </c>
      <c r="G1527" s="4" t="s">
        <v>10234</v>
      </c>
      <c r="H1527" s="4" t="str">
        <f>IFERROR(__XLUDF.DUMMYFUNCTION("PROPER(REGEXREPLACE(G104,""[^A-Za-z]+ "",""""))"),"Sas Brodu")</f>
        <v xml:space="preserve">Sas Brodu</v>
      </c>
      <c r="I1527" s="5" t="s">
        <v>10235</v>
      </c>
      <c r="J1527" s="4" t="s">
        <v>10236</v>
      </c>
      <c r="K1527" s="4" t="s">
        <v>9350</v>
      </c>
      <c r="L1527" s="4" t="s">
        <v>29</v>
      </c>
      <c r="M1527" s="4" t="s">
        <v>9239</v>
      </c>
      <c r="N1527" s="4" t="str">
        <f>IFERROR(__XLUDF.DUMMYFUNCTION("VLOOKUP(M104,IMPORTRANGE(""https://docs.google.com/spreadsheets/d/1opm6ZNvGZ7KditA9TuJwrZ25eFLfTNIkrNnY6mhV5Eg"",""list!A1:C115""),3,TRUE)"),"le secteur de la construction")</f>
        <v xml:space="preserve">le secteur de la construction</v>
      </c>
      <c r="O1527" s="4" t="s">
        <v>10237</v>
      </c>
      <c r="P1527" s="4">
        <v>18</v>
      </c>
      <c r="Q1527" s="4" t="s">
        <v>10236</v>
      </c>
      <c r="R1527" s="4" t="s">
        <v>9350</v>
      </c>
      <c r="S1527" s="4" t="s">
        <v>29</v>
      </c>
      <c r="T1527" s="5" t="s">
        <v>10238</v>
      </c>
      <c r="U1527" s="6"/>
      <c r="V1527" s="6"/>
      <c r="W1527" s="6"/>
      <c r="X1527" s="6"/>
      <c r="Y1527" s="4" t="s">
        <v>10239</v>
      </c>
      <c r="Z1527" s="6"/>
      <c r="AA1527" s="5" t="s">
        <v>10240</v>
      </c>
    </row>
    <row r="1528" ht="14.25">
      <c r="B1528" s="4" t="s">
        <v>10241</v>
      </c>
      <c r="C1528" s="4" t="s">
        <v>6634</v>
      </c>
      <c r="D1528" s="4" t="s">
        <v>10242</v>
      </c>
      <c r="E1528" s="4" t="s">
        <v>10243</v>
      </c>
      <c r="F1528" s="4" t="s">
        <v>10244</v>
      </c>
      <c r="G1528" s="4" t="s">
        <v>10245</v>
      </c>
      <c r="H1528" s="4" t="str">
        <f>IFERROR(__XLUDF.DUMMYFUNCTION("PROPER(REGEXREPLACE(G105,""[^A-Za-z]+ "",""""))"),"Persistent Systems France")</f>
        <v xml:space="preserve">Persistent Systems France</v>
      </c>
      <c r="I1528" s="6"/>
      <c r="J1528" s="4" t="s">
        <v>1507</v>
      </c>
      <c r="K1528" s="4" t="s">
        <v>9193</v>
      </c>
      <c r="L1528" s="4" t="s">
        <v>29</v>
      </c>
      <c r="M1528" s="4" t="s">
        <v>2602</v>
      </c>
      <c r="N1528" s="4" t="str">
        <f>IFERROR(__XLUDF.DUMMYFUNCTION("VLOOKUP(M105,IMPORTRANGE(""https://docs.google.com/spreadsheets/d/1opm6ZNvGZ7KditA9TuJwrZ25eFLfTNIkrNnY6mhV5Eg"",""list!A1:C115""),3,TRUE)"),"le secteur de la tech")</f>
        <v xml:space="preserve">le secteur de la tech</v>
      </c>
      <c r="O1528" s="4" t="s">
        <v>10246</v>
      </c>
      <c r="P1528" s="4">
        <v>48</v>
      </c>
      <c r="Q1528" s="4" t="s">
        <v>5265</v>
      </c>
      <c r="R1528" s="4" t="s">
        <v>9193</v>
      </c>
      <c r="S1528" s="4" t="s">
        <v>29</v>
      </c>
      <c r="T1528" s="5" t="s">
        <v>10247</v>
      </c>
      <c r="U1528" s="6"/>
      <c r="V1528" s="6"/>
      <c r="W1528" s="6"/>
      <c r="X1528" s="6"/>
      <c r="Y1528" s="4" t="s">
        <v>10248</v>
      </c>
      <c r="Z1528" s="6"/>
      <c r="AA1528" s="5" t="s">
        <v>10249</v>
      </c>
    </row>
    <row r="1529" ht="14.25">
      <c r="B1529" s="4" t="s">
        <v>10250</v>
      </c>
      <c r="C1529" s="4" t="s">
        <v>6634</v>
      </c>
      <c r="D1529" s="4" t="s">
        <v>10251</v>
      </c>
      <c r="E1529" s="4" t="s">
        <v>10252</v>
      </c>
      <c r="F1529" s="4" t="s">
        <v>879</v>
      </c>
      <c r="G1529" s="4" t="s">
        <v>10253</v>
      </c>
      <c r="H1529" s="4" t="str">
        <f>IFERROR(__XLUDF.DUMMYFUNCTION("PROPER(REGEXREPLACE(G106,""[^A-Za-z]+ "",""""))"),"Bilp")</f>
        <v>Bilp</v>
      </c>
      <c r="I1529" s="5" t="s">
        <v>10254</v>
      </c>
      <c r="J1529" s="4" t="s">
        <v>83</v>
      </c>
      <c r="K1529" s="4" t="s">
        <v>9460</v>
      </c>
      <c r="L1529" s="4" t="s">
        <v>29</v>
      </c>
      <c r="M1529" s="4" t="s">
        <v>4525</v>
      </c>
      <c r="N1529" s="4" t="str">
        <f>IFERROR(__XLUDF.DUMMYFUNCTION("VLOOKUP(M106,IMPORTRANGE(""https://docs.google.com/spreadsheets/d/1opm6ZNvGZ7KditA9TuJwrZ25eFLfTNIkrNnY6mhV5Eg"",""list!A1:C115""),3,TRUE)"),"le secteur du retail")</f>
        <v xml:space="preserve">le secteur du retail</v>
      </c>
      <c r="O1529" s="4" t="s">
        <v>10255</v>
      </c>
      <c r="P1529" s="4">
        <v>10</v>
      </c>
      <c r="Q1529" s="4" t="s">
        <v>10256</v>
      </c>
      <c r="R1529" s="4" t="s">
        <v>9254</v>
      </c>
      <c r="S1529" s="4" t="s">
        <v>29</v>
      </c>
      <c r="T1529" s="5" t="s">
        <v>10257</v>
      </c>
      <c r="U1529" s="6"/>
      <c r="V1529" s="6"/>
      <c r="W1529" s="6"/>
      <c r="X1529" s="6"/>
      <c r="Y1529" s="4" t="s">
        <v>10258</v>
      </c>
      <c r="Z1529" s="6"/>
      <c r="AA1529" s="5" t="s">
        <v>10259</v>
      </c>
    </row>
    <row r="1530" ht="14.25">
      <c r="B1530" s="4" t="s">
        <v>10260</v>
      </c>
      <c r="C1530" s="4" t="s">
        <v>630</v>
      </c>
      <c r="D1530" s="4" t="s">
        <v>4480</v>
      </c>
      <c r="E1530" s="4" t="s">
        <v>10261</v>
      </c>
      <c r="F1530" s="4" t="s">
        <v>10262</v>
      </c>
      <c r="G1530" s="4" t="s">
        <v>10263</v>
      </c>
      <c r="H1530" s="4" t="str">
        <f>IFERROR(__XLUDF.DUMMYFUNCTION("PROPER(REGEXREPLACE(G107,""[^A-Za-z]+ "",""""))"),"Js Automation")</f>
        <v xml:space="preserve">Js Automation</v>
      </c>
      <c r="I1530" s="5" t="s">
        <v>10264</v>
      </c>
      <c r="J1530" s="4" t="s">
        <v>10265</v>
      </c>
      <c r="K1530" s="4" t="s">
        <v>9193</v>
      </c>
      <c r="L1530" s="4" t="s">
        <v>29</v>
      </c>
      <c r="M1530" s="4" t="s">
        <v>2602</v>
      </c>
      <c r="N1530" s="4" t="str">
        <f>IFERROR(__XLUDF.DUMMYFUNCTION("VLOOKUP(M107,IMPORTRANGE(""https://docs.google.com/spreadsheets/d/1opm6ZNvGZ7KditA9TuJwrZ25eFLfTNIkrNnY6mhV5Eg"",""list!A1:C115""),3,TRUE)"),"le secteur de la tech")</f>
        <v xml:space="preserve">le secteur de la tech</v>
      </c>
      <c r="O1530" s="4" t="s">
        <v>10266</v>
      </c>
      <c r="P1530" s="4">
        <v>28</v>
      </c>
      <c r="Q1530" s="4" t="s">
        <v>10267</v>
      </c>
      <c r="R1530" s="4" t="s">
        <v>9193</v>
      </c>
      <c r="S1530" s="4" t="s">
        <v>29</v>
      </c>
      <c r="T1530" s="5" t="s">
        <v>10268</v>
      </c>
      <c r="U1530" s="6"/>
      <c r="V1530" s="6"/>
      <c r="W1530" s="6"/>
      <c r="X1530" s="6"/>
      <c r="Y1530" s="4" t="s">
        <v>10269</v>
      </c>
      <c r="Z1530" s="6"/>
      <c r="AA1530" s="5" t="s">
        <v>10270</v>
      </c>
    </row>
    <row r="1531" ht="14.25">
      <c r="B1531" s="4" t="s">
        <v>10271</v>
      </c>
      <c r="C1531" s="4" t="s">
        <v>768</v>
      </c>
      <c r="D1531" s="4" t="s">
        <v>10272</v>
      </c>
      <c r="E1531" s="4" t="s">
        <v>10273</v>
      </c>
      <c r="F1531" s="4" t="s">
        <v>7759</v>
      </c>
      <c r="G1531" s="4" t="s">
        <v>10274</v>
      </c>
      <c r="H1531" s="4" t="str">
        <f>IFERROR(__XLUDF.DUMMYFUNCTION("PROPER(REGEXREPLACE(G108,""[^A-Za-z]+ "",""""))"),"Créagift")</f>
        <v>Créagift</v>
      </c>
      <c r="I1531" s="5" t="s">
        <v>10275</v>
      </c>
      <c r="J1531" s="4" t="s">
        <v>10276</v>
      </c>
      <c r="K1531" s="4" t="s">
        <v>9350</v>
      </c>
      <c r="L1531" s="4" t="s">
        <v>29</v>
      </c>
      <c r="M1531" s="4" t="s">
        <v>4525</v>
      </c>
      <c r="N1531" s="4" t="str">
        <f>IFERROR(__XLUDF.DUMMYFUNCTION("VLOOKUP(M108,IMPORTRANGE(""https://docs.google.com/spreadsheets/d/1opm6ZNvGZ7KditA9TuJwrZ25eFLfTNIkrNnY6mhV5Eg"",""list!A1:C115""),3,TRUE)"),"le secteur du retail")</f>
        <v xml:space="preserve">le secteur du retail</v>
      </c>
      <c r="O1531" s="6"/>
      <c r="P1531" s="4">
        <v>11</v>
      </c>
      <c r="Q1531" s="4" t="s">
        <v>10277</v>
      </c>
      <c r="R1531" s="4" t="s">
        <v>9350</v>
      </c>
      <c r="S1531" s="4" t="s">
        <v>29</v>
      </c>
      <c r="T1531" s="5" t="s">
        <v>10278</v>
      </c>
      <c r="U1531" s="6"/>
      <c r="V1531" s="5" t="s">
        <v>10279</v>
      </c>
      <c r="W1531" s="6"/>
      <c r="X1531" s="6"/>
      <c r="Y1531" s="4" t="s">
        <v>10280</v>
      </c>
      <c r="Z1531" s="6"/>
      <c r="AA1531" s="5" t="s">
        <v>10281</v>
      </c>
    </row>
    <row r="1532" ht="14.25">
      <c r="B1532" s="4" t="s">
        <v>10282</v>
      </c>
      <c r="C1532" s="4" t="s">
        <v>556</v>
      </c>
      <c r="D1532" s="4" t="s">
        <v>10283</v>
      </c>
      <c r="E1532" s="4" t="s">
        <v>10284</v>
      </c>
      <c r="F1532" s="4" t="s">
        <v>10285</v>
      </c>
      <c r="G1532" s="4" t="s">
        <v>10286</v>
      </c>
      <c r="H1532" s="4" t="str">
        <f>IFERROR(__XLUDF.DUMMYFUNCTION("PROPER(REGEXREPLACE(G109,""[^A-Za-z]+ "",""""))"),"Neoedge")</f>
        <v>Neoedge</v>
      </c>
      <c r="I1532" s="5" t="s">
        <v>10287</v>
      </c>
      <c r="J1532" s="4" t="s">
        <v>6480</v>
      </c>
      <c r="K1532" s="4" t="s">
        <v>9281</v>
      </c>
      <c r="L1532" s="4" t="s">
        <v>29</v>
      </c>
      <c r="M1532" s="4" t="s">
        <v>2602</v>
      </c>
      <c r="N1532" s="4" t="str">
        <f>IFERROR(__XLUDF.DUMMYFUNCTION("VLOOKUP(M109,IMPORTRANGE(""https://docs.google.com/spreadsheets/d/1opm6ZNvGZ7KditA9TuJwrZ25eFLfTNIkrNnY6mhV5Eg"",""list!A1:C115""),3,TRUE)"),"le secteur de la tech")</f>
        <v xml:space="preserve">le secteur de la tech</v>
      </c>
      <c r="O1532" s="4" t="s">
        <v>10288</v>
      </c>
      <c r="P1532" s="4">
        <v>41</v>
      </c>
      <c r="Q1532" s="4" t="s">
        <v>295</v>
      </c>
      <c r="R1532" s="4" t="s">
        <v>9251</v>
      </c>
      <c r="S1532" s="4" t="s">
        <v>29</v>
      </c>
      <c r="T1532" s="5" t="s">
        <v>10289</v>
      </c>
      <c r="U1532" s="5" t="s">
        <v>10290</v>
      </c>
      <c r="V1532" s="6"/>
      <c r="W1532" s="6"/>
      <c r="X1532" s="6"/>
      <c r="Y1532" s="4" t="s">
        <v>10291</v>
      </c>
      <c r="Z1532" s="6"/>
      <c r="AA1532" s="5" t="s">
        <v>10292</v>
      </c>
    </row>
    <row r="1533" ht="14.25">
      <c r="B1533" s="4" t="s">
        <v>10293</v>
      </c>
      <c r="C1533" s="4" t="s">
        <v>4196</v>
      </c>
      <c r="D1533" s="4" t="s">
        <v>10294</v>
      </c>
      <c r="E1533" s="4" t="s">
        <v>10295</v>
      </c>
      <c r="F1533" s="4" t="s">
        <v>2636</v>
      </c>
      <c r="G1533" s="4" t="s">
        <v>10296</v>
      </c>
      <c r="H1533" s="4" t="str">
        <f>IFERROR(__XLUDF.DUMMYFUNCTION("PROPER(REGEXREPLACE(G110,""[^A-Za-z]+ "",""""))"),"Axys Etudes Techniques Fluides")</f>
        <v xml:space="preserve">Axys Etudes Techniques Fluides</v>
      </c>
      <c r="I1533" s="5" t="s">
        <v>10297</v>
      </c>
      <c r="J1533" s="4" t="s">
        <v>39</v>
      </c>
      <c r="K1533" s="4" t="s">
        <v>9160</v>
      </c>
      <c r="L1533" s="4" t="s">
        <v>29</v>
      </c>
      <c r="M1533" s="4" t="s">
        <v>9239</v>
      </c>
      <c r="N1533" s="4" t="str">
        <f>IFERROR(__XLUDF.DUMMYFUNCTION("VLOOKUP(M110,IMPORTRANGE(""https://docs.google.com/spreadsheets/d/1opm6ZNvGZ7KditA9TuJwrZ25eFLfTNIkrNnY6mhV5Eg"",""list!A1:C115""),3,TRUE)"),"le secteur de la construction")</f>
        <v xml:space="preserve">le secteur de la construction</v>
      </c>
      <c r="O1533" s="4" t="s">
        <v>10298</v>
      </c>
      <c r="P1533" s="4">
        <v>31</v>
      </c>
      <c r="Q1533" s="4" t="s">
        <v>10299</v>
      </c>
      <c r="R1533" s="4" t="s">
        <v>9160</v>
      </c>
      <c r="S1533" s="4" t="s">
        <v>29</v>
      </c>
      <c r="T1533" s="5" t="s">
        <v>10300</v>
      </c>
      <c r="U1533" s="6"/>
      <c r="V1533" s="6"/>
      <c r="W1533" s="6"/>
      <c r="X1533" s="6"/>
      <c r="Y1533" s="4" t="s">
        <v>10301</v>
      </c>
      <c r="Z1533" s="6"/>
      <c r="AA1533" s="5" t="s">
        <v>10302</v>
      </c>
    </row>
    <row r="1534" ht="14.25">
      <c r="B1534" s="4" t="s">
        <v>10303</v>
      </c>
      <c r="C1534" s="4" t="s">
        <v>245</v>
      </c>
      <c r="D1534" s="4" t="s">
        <v>10304</v>
      </c>
      <c r="E1534" s="4" t="s">
        <v>10305</v>
      </c>
      <c r="F1534" s="4" t="s">
        <v>172</v>
      </c>
      <c r="G1534" s="4" t="s">
        <v>10306</v>
      </c>
      <c r="H1534" s="4" t="str">
        <f>IFERROR(__XLUDF.DUMMYFUNCTION("PROPER(REGEXREPLACE(G111,""[^A-Za-z]+ "",""""))"),"Delta Préfabrication")</f>
        <v xml:space="preserve">Delta Préfabrication</v>
      </c>
      <c r="I1534" s="5" t="s">
        <v>10307</v>
      </c>
      <c r="J1534" s="4" t="s">
        <v>10308</v>
      </c>
      <c r="K1534" s="4" t="s">
        <v>9193</v>
      </c>
      <c r="L1534" s="4" t="s">
        <v>29</v>
      </c>
      <c r="M1534" s="4" t="s">
        <v>9239</v>
      </c>
      <c r="N1534" s="4" t="str">
        <f>IFERROR(__XLUDF.DUMMYFUNCTION("VLOOKUP(M111,IMPORTRANGE(""https://docs.google.com/spreadsheets/d/1opm6ZNvGZ7KditA9TuJwrZ25eFLfTNIkrNnY6mhV5Eg"",""list!A1:C115""),3,TRUE)"),"le secteur de la construction")</f>
        <v xml:space="preserve">le secteur de la construction</v>
      </c>
      <c r="O1534" s="4" t="s">
        <v>10309</v>
      </c>
      <c r="P1534" s="4">
        <v>22</v>
      </c>
      <c r="Q1534" s="4" t="s">
        <v>10308</v>
      </c>
      <c r="R1534" s="4" t="s">
        <v>9172</v>
      </c>
      <c r="S1534" s="4" t="s">
        <v>29</v>
      </c>
      <c r="T1534" s="5" t="s">
        <v>10310</v>
      </c>
      <c r="U1534" s="6"/>
      <c r="V1534" s="6"/>
      <c r="W1534" s="6"/>
      <c r="X1534" s="6"/>
      <c r="Y1534" s="4" t="s">
        <v>10311</v>
      </c>
      <c r="Z1534" s="6"/>
      <c r="AA1534" s="5" t="s">
        <v>10312</v>
      </c>
    </row>
    <row r="1535" ht="14.25">
      <c r="B1535" s="4" t="s">
        <v>10313</v>
      </c>
      <c r="C1535" s="4" t="s">
        <v>2303</v>
      </c>
      <c r="D1535" s="4" t="s">
        <v>10314</v>
      </c>
      <c r="E1535" s="4" t="s">
        <v>10315</v>
      </c>
      <c r="F1535" s="4" t="s">
        <v>2636</v>
      </c>
      <c r="G1535" s="4" t="s">
        <v>10316</v>
      </c>
      <c r="H1535" s="4" t="str">
        <f>IFERROR(__XLUDF.DUMMYFUNCTION("PROPER(REGEXREPLACE(G112,""[^A-Za-z]+ "",""""))"),"Bsrv Groupe")</f>
        <v xml:space="preserve">Bsrv Groupe</v>
      </c>
      <c r="I1535" s="5" t="s">
        <v>10317</v>
      </c>
      <c r="J1535" s="6"/>
      <c r="K1535" s="6"/>
      <c r="L1535" s="4" t="s">
        <v>29</v>
      </c>
      <c r="M1535" s="4" t="s">
        <v>9239</v>
      </c>
      <c r="N1535" s="4" t="str">
        <f>IFERROR(__XLUDF.DUMMYFUNCTION("VLOOKUP(M112,IMPORTRANGE(""https://docs.google.com/spreadsheets/d/1opm6ZNvGZ7KditA9TuJwrZ25eFLfTNIkrNnY6mhV5Eg"",""list!A1:C115""),3,TRUE)"),"le secteur de la construction")</f>
        <v xml:space="preserve">le secteur de la construction</v>
      </c>
      <c r="O1535" s="4" t="s">
        <v>10318</v>
      </c>
      <c r="P1535" s="4">
        <v>12</v>
      </c>
      <c r="Q1535" s="6"/>
      <c r="R1535" s="6"/>
      <c r="S1535" s="4" t="s">
        <v>29</v>
      </c>
      <c r="T1535" s="5" t="s">
        <v>10319</v>
      </c>
      <c r="U1535" s="6"/>
      <c r="V1535" s="6"/>
      <c r="W1535" s="6"/>
      <c r="X1535" s="6"/>
      <c r="Y1535" s="4" t="s">
        <v>10320</v>
      </c>
      <c r="Z1535" s="6"/>
      <c r="AA1535" s="5" t="s">
        <v>10321</v>
      </c>
    </row>
    <row r="1536" ht="14.25">
      <c r="B1536" s="4" t="s">
        <v>10322</v>
      </c>
      <c r="C1536" s="4" t="s">
        <v>222</v>
      </c>
      <c r="D1536" s="4" t="s">
        <v>10323</v>
      </c>
      <c r="E1536" s="4" t="s">
        <v>10324</v>
      </c>
      <c r="F1536" s="4" t="s">
        <v>112</v>
      </c>
      <c r="G1536" s="4" t="s">
        <v>10325</v>
      </c>
      <c r="H1536" s="4" t="str">
        <f>IFERROR(__XLUDF.DUMMYFUNCTION("PROPER(REGEXREPLACE(G113,""[^A-Za-z]+ "",""""))"),"Sepale")</f>
        <v>Sepale</v>
      </c>
      <c r="I1536" s="5" t="s">
        <v>10326</v>
      </c>
      <c r="J1536" s="4" t="s">
        <v>10327</v>
      </c>
      <c r="K1536" s="4" t="s">
        <v>9460</v>
      </c>
      <c r="L1536" s="4" t="s">
        <v>29</v>
      </c>
      <c r="M1536" s="4" t="s">
        <v>4067</v>
      </c>
      <c r="N1536" s="4" t="str">
        <f>IFERROR(__XLUDF.DUMMYFUNCTION("VLOOKUP(M113,IMPORTRANGE(""https://docs.google.com/spreadsheets/d/1opm6ZNvGZ7KditA9TuJwrZ25eFLfTNIkrNnY6mhV5Eg"",""list!A1:C115""),3,TRUE)"),"le secteur du conseil en management")</f>
        <v xml:space="preserve">le secteur du conseil en management</v>
      </c>
      <c r="O1536" s="4" t="s">
        <v>10328</v>
      </c>
      <c r="P1536" s="4">
        <v>28</v>
      </c>
      <c r="Q1536" s="6"/>
      <c r="R1536" s="6"/>
      <c r="S1536" s="6"/>
      <c r="T1536" s="5" t="s">
        <v>10329</v>
      </c>
      <c r="U1536" s="6"/>
      <c r="V1536" s="6"/>
      <c r="W1536" s="6"/>
      <c r="X1536" s="6"/>
      <c r="Y1536" s="4" t="s">
        <v>10330</v>
      </c>
      <c r="Z1536" s="6"/>
      <c r="AA1536" s="5" t="s">
        <v>10331</v>
      </c>
    </row>
    <row r="1537" ht="14.25">
      <c r="B1537" s="4" t="s">
        <v>10332</v>
      </c>
      <c r="C1537" s="4" t="s">
        <v>1667</v>
      </c>
      <c r="D1537" s="4" t="s">
        <v>10333</v>
      </c>
      <c r="E1537" s="4" t="s">
        <v>10334</v>
      </c>
      <c r="F1537" s="4" t="s">
        <v>112</v>
      </c>
      <c r="G1537" s="4" t="s">
        <v>10335</v>
      </c>
      <c r="H1537" s="4" t="str">
        <f>IFERROR(__XLUDF.DUMMYFUNCTION("PROPER(REGEXREPLACE(G114,""[^A-Za-z]+ "",""""))"),"Promatec Group")</f>
        <v xml:space="preserve">Promatec Group</v>
      </c>
      <c r="I1537" s="5" t="s">
        <v>10336</v>
      </c>
      <c r="J1537" s="4" t="s">
        <v>846</v>
      </c>
      <c r="K1537" s="4" t="s">
        <v>9278</v>
      </c>
      <c r="L1537" s="4" t="s">
        <v>29</v>
      </c>
      <c r="M1537" s="4" t="s">
        <v>9239</v>
      </c>
      <c r="N1537" s="4" t="str">
        <f>IFERROR(__XLUDF.DUMMYFUNCTION("VLOOKUP(M114,IMPORTRANGE(""https://docs.google.com/spreadsheets/d/1opm6ZNvGZ7KditA9TuJwrZ25eFLfTNIkrNnY6mhV5Eg"",""list!A1:C115""),3,TRUE)"),"le secteur de la construction")</f>
        <v xml:space="preserve">le secteur de la construction</v>
      </c>
      <c r="O1537" s="4" t="s">
        <v>10337</v>
      </c>
      <c r="P1537" s="4">
        <v>11</v>
      </c>
      <c r="Q1537" s="4" t="s">
        <v>10338</v>
      </c>
      <c r="R1537" s="4" t="s">
        <v>10339</v>
      </c>
      <c r="S1537" s="4" t="s">
        <v>29</v>
      </c>
      <c r="T1537" s="5" t="s">
        <v>10340</v>
      </c>
      <c r="U1537" s="6"/>
      <c r="V1537" s="5" t="s">
        <v>10341</v>
      </c>
      <c r="W1537" s="6"/>
      <c r="X1537" s="6"/>
      <c r="Y1537" s="4" t="s">
        <v>10342</v>
      </c>
      <c r="Z1537" s="6"/>
      <c r="AA1537" s="5" t="s">
        <v>10343</v>
      </c>
    </row>
    <row r="1538" ht="14.25">
      <c r="B1538" s="4" t="s">
        <v>10344</v>
      </c>
      <c r="C1538" s="4" t="s">
        <v>222</v>
      </c>
      <c r="D1538" s="4" t="s">
        <v>10345</v>
      </c>
      <c r="E1538" s="4" t="s">
        <v>10346</v>
      </c>
      <c r="F1538" s="4" t="s">
        <v>112</v>
      </c>
      <c r="G1538" s="4" t="s">
        <v>10347</v>
      </c>
      <c r="H1538" s="4" t="str">
        <f>IFERROR(__XLUDF.DUMMYFUNCTION("PROPER(REGEXREPLACE(G115,""[^A-Za-z]+ "",""""))"),"Réseaux Services Pro")</f>
        <v xml:space="preserve">Réseaux Services Pro</v>
      </c>
      <c r="I1538" s="5" t="s">
        <v>10348</v>
      </c>
      <c r="J1538" s="4" t="s">
        <v>6848</v>
      </c>
      <c r="K1538" s="4" t="s">
        <v>9160</v>
      </c>
      <c r="L1538" s="4" t="s">
        <v>29</v>
      </c>
      <c r="M1538" s="4" t="s">
        <v>9239</v>
      </c>
      <c r="N1538" s="4" t="str">
        <f>IFERROR(__XLUDF.DUMMYFUNCTION("VLOOKUP(M115,IMPORTRANGE(""https://docs.google.com/spreadsheets/d/1opm6ZNvGZ7KditA9TuJwrZ25eFLfTNIkrNnY6mhV5Eg"",""list!A1:C115""),3,TRUE)"),"le secteur de la construction")</f>
        <v xml:space="preserve">le secteur de la construction</v>
      </c>
      <c r="O1538" s="6"/>
      <c r="P1538" s="4">
        <v>10</v>
      </c>
      <c r="Q1538" s="4" t="s">
        <v>6848</v>
      </c>
      <c r="R1538" s="4" t="s">
        <v>9160</v>
      </c>
      <c r="S1538" s="4" t="s">
        <v>29</v>
      </c>
      <c r="T1538" s="5" t="s">
        <v>10349</v>
      </c>
      <c r="U1538" s="6"/>
      <c r="V1538" s="6"/>
      <c r="W1538" s="6"/>
      <c r="X1538" s="6"/>
      <c r="Y1538" s="4" t="s">
        <v>10350</v>
      </c>
      <c r="Z1538" s="6"/>
      <c r="AA1538" s="5" t="s">
        <v>10351</v>
      </c>
    </row>
    <row r="1539" ht="14.25">
      <c r="B1539" s="4" t="s">
        <v>10352</v>
      </c>
      <c r="C1539" s="4" t="s">
        <v>4196</v>
      </c>
      <c r="D1539" s="4" t="s">
        <v>10353</v>
      </c>
      <c r="E1539" s="4" t="s">
        <v>10354</v>
      </c>
      <c r="F1539" s="4" t="s">
        <v>9582</v>
      </c>
      <c r="G1539" s="4" t="s">
        <v>10355</v>
      </c>
      <c r="H1539" s="4" t="str">
        <f>IFERROR(__XLUDF.DUMMYFUNCTION("PROPER(REGEXREPLACE(G116,""[^A-Za-z]+ "",""""))"),"Mégaraberceau Magique")</f>
        <v xml:space="preserve">Mégaraberceau Magique</v>
      </c>
      <c r="I1539" s="5" t="s">
        <v>10356</v>
      </c>
      <c r="J1539" s="4" t="s">
        <v>2499</v>
      </c>
      <c r="K1539" s="4" t="s">
        <v>9251</v>
      </c>
      <c r="L1539" s="4" t="s">
        <v>29</v>
      </c>
      <c r="M1539" s="4" t="s">
        <v>4525</v>
      </c>
      <c r="N1539" s="4" t="str">
        <f>IFERROR(__XLUDF.DUMMYFUNCTION("VLOOKUP(M116,IMPORTRANGE(""https://docs.google.com/spreadsheets/d/1opm6ZNvGZ7KditA9TuJwrZ25eFLfTNIkrNnY6mhV5Eg"",""list!A1:C115""),3,TRUE)"),"le secteur du retail")</f>
        <v xml:space="preserve">le secteur du retail</v>
      </c>
      <c r="O1539" s="4" t="s">
        <v>10357</v>
      </c>
      <c r="P1539" s="4">
        <v>27</v>
      </c>
      <c r="Q1539" s="4" t="s">
        <v>10358</v>
      </c>
      <c r="R1539" s="4" t="s">
        <v>9251</v>
      </c>
      <c r="S1539" s="4" t="s">
        <v>29</v>
      </c>
      <c r="T1539" s="5" t="s">
        <v>10359</v>
      </c>
      <c r="U1539" s="6"/>
      <c r="V1539" s="6"/>
      <c r="W1539" s="6"/>
      <c r="X1539" s="6"/>
      <c r="Y1539" s="4" t="s">
        <v>10360</v>
      </c>
      <c r="Z1539" s="6"/>
      <c r="AA1539" s="5" t="s">
        <v>10361</v>
      </c>
    </row>
    <row r="1540" ht="14.25">
      <c r="B1540" s="4" t="s">
        <v>10362</v>
      </c>
      <c r="C1540" s="4" t="s">
        <v>734</v>
      </c>
      <c r="D1540" s="4" t="s">
        <v>10363</v>
      </c>
      <c r="E1540" s="4" t="s">
        <v>10364</v>
      </c>
      <c r="F1540" s="4" t="s">
        <v>7759</v>
      </c>
      <c r="G1540" s="4" t="s">
        <v>10365</v>
      </c>
      <c r="H1540" s="4" t="str">
        <f>IFERROR(__XLUDF.DUMMYFUNCTION("PROPER(REGEXREPLACE(G117,""[^A-Za-z]+ "",""""))"),"Groupe Sebi")</f>
        <v xml:space="preserve">Groupe Sebi</v>
      </c>
      <c r="I1540" s="5" t="s">
        <v>10366</v>
      </c>
      <c r="J1540" s="4" t="s">
        <v>10367</v>
      </c>
      <c r="K1540" s="4" t="s">
        <v>9267</v>
      </c>
      <c r="L1540" s="4" t="s">
        <v>29</v>
      </c>
      <c r="M1540" s="4" t="s">
        <v>4525</v>
      </c>
      <c r="N1540" s="4" t="str">
        <f>IFERROR(__XLUDF.DUMMYFUNCTION("VLOOKUP(M117,IMPORTRANGE(""https://docs.google.com/spreadsheets/d/1opm6ZNvGZ7KditA9TuJwrZ25eFLfTNIkrNnY6mhV5Eg"",""list!A1:C115""),3,TRUE)"),"le secteur du retail")</f>
        <v xml:space="preserve">le secteur du retail</v>
      </c>
      <c r="O1540" s="4" t="s">
        <v>10368</v>
      </c>
      <c r="P1540" s="4">
        <v>32</v>
      </c>
      <c r="Q1540" s="4" t="s">
        <v>10369</v>
      </c>
      <c r="R1540" s="4" t="s">
        <v>10370</v>
      </c>
      <c r="S1540" s="4" t="s">
        <v>29</v>
      </c>
      <c r="T1540" s="5" t="s">
        <v>10371</v>
      </c>
      <c r="U1540" s="6"/>
      <c r="V1540" s="5" t="s">
        <v>10372</v>
      </c>
      <c r="W1540" s="6"/>
      <c r="X1540" s="6"/>
      <c r="Y1540" s="4" t="s">
        <v>10373</v>
      </c>
      <c r="Z1540" s="6"/>
      <c r="AA1540" s="5" t="s">
        <v>10374</v>
      </c>
    </row>
    <row r="1541" ht="14.25">
      <c r="B1541" s="4" t="s">
        <v>10375</v>
      </c>
      <c r="C1541" s="4" t="s">
        <v>734</v>
      </c>
      <c r="D1541" s="4" t="s">
        <v>9232</v>
      </c>
      <c r="E1541" s="4" t="s">
        <v>10376</v>
      </c>
      <c r="F1541" s="4" t="s">
        <v>112</v>
      </c>
      <c r="G1541" s="4" t="s">
        <v>10377</v>
      </c>
      <c r="H1541" s="4" t="str">
        <f>IFERROR(__XLUDF.DUMMYFUNCTION("PROPER(REGEXREPLACE(G118,""[^A-Za-z]+ "",""""))"),"Vêpres")</f>
        <v>Vêpres</v>
      </c>
      <c r="I1541" s="5" t="s">
        <v>10378</v>
      </c>
      <c r="J1541" s="4" t="s">
        <v>1507</v>
      </c>
      <c r="K1541" s="4" t="s">
        <v>9193</v>
      </c>
      <c r="L1541" s="4" t="s">
        <v>29</v>
      </c>
      <c r="M1541" s="4" t="s">
        <v>9239</v>
      </c>
      <c r="N1541" s="4" t="str">
        <f>IFERROR(__XLUDF.DUMMYFUNCTION("VLOOKUP(M118,IMPORTRANGE(""https://docs.google.com/spreadsheets/d/1opm6ZNvGZ7KditA9TuJwrZ25eFLfTNIkrNnY6mhV5Eg"",""list!A1:C115""),3,TRUE)"),"le secteur de la construction")</f>
        <v xml:space="preserve">le secteur de la construction</v>
      </c>
      <c r="O1541" s="6"/>
      <c r="P1541" s="4">
        <v>35</v>
      </c>
      <c r="Q1541" s="4" t="s">
        <v>10379</v>
      </c>
      <c r="R1541" s="4" t="s">
        <v>9172</v>
      </c>
      <c r="S1541" s="4" t="s">
        <v>29</v>
      </c>
      <c r="T1541" s="5" t="s">
        <v>10380</v>
      </c>
      <c r="U1541" s="6"/>
      <c r="V1541" s="6"/>
      <c r="W1541" s="6"/>
      <c r="X1541" s="6"/>
      <c r="Y1541" s="4" t="s">
        <v>10381</v>
      </c>
      <c r="Z1541" s="6"/>
      <c r="AA1541" s="5" t="s">
        <v>10382</v>
      </c>
    </row>
    <row r="1542" ht="14.25">
      <c r="B1542" s="4" t="s">
        <v>10383</v>
      </c>
      <c r="C1542" s="4" t="s">
        <v>734</v>
      </c>
      <c r="D1542" s="4" t="s">
        <v>10384</v>
      </c>
      <c r="E1542" s="4" t="s">
        <v>10385</v>
      </c>
      <c r="F1542" s="4" t="s">
        <v>7759</v>
      </c>
      <c r="G1542" s="4" t="s">
        <v>10386</v>
      </c>
      <c r="H1542" s="4" t="str">
        <f>IFERROR(__XLUDF.DUMMYFUNCTION("PROPER(REGEXREPLACE(G119,""[^A-Za-z]+ "",""""))"),"Groupe Cap Info")</f>
        <v xml:space="preserve">Groupe Cap Info</v>
      </c>
      <c r="I1542" s="5" t="s">
        <v>10387</v>
      </c>
      <c r="J1542" s="4" t="s">
        <v>243</v>
      </c>
      <c r="K1542" s="4" t="s">
        <v>9864</v>
      </c>
      <c r="L1542" s="4" t="s">
        <v>29</v>
      </c>
      <c r="M1542" s="4" t="s">
        <v>2602</v>
      </c>
      <c r="N1542" s="4" t="str">
        <f>IFERROR(__XLUDF.DUMMYFUNCTION("VLOOKUP(M119,IMPORTRANGE(""https://docs.google.com/spreadsheets/d/1opm6ZNvGZ7KditA9TuJwrZ25eFLfTNIkrNnY6mhV5Eg"",""list!A1:C115""),3,TRUE)"),"le secteur de la tech")</f>
        <v xml:space="preserve">le secteur de la tech</v>
      </c>
      <c r="O1542" s="4" t="s">
        <v>10388</v>
      </c>
      <c r="P1542" s="4">
        <v>28</v>
      </c>
      <c r="Q1542" s="4" t="s">
        <v>10389</v>
      </c>
      <c r="R1542" s="4" t="s">
        <v>10390</v>
      </c>
      <c r="S1542" s="4" t="s">
        <v>29</v>
      </c>
      <c r="T1542" s="5" t="s">
        <v>10391</v>
      </c>
      <c r="U1542" s="6"/>
      <c r="V1542" s="5" t="s">
        <v>10392</v>
      </c>
      <c r="W1542" s="6"/>
      <c r="X1542" s="6"/>
      <c r="Y1542" s="4" t="s">
        <v>10393</v>
      </c>
      <c r="Z1542" s="6"/>
      <c r="AA1542" s="5" t="s">
        <v>10394</v>
      </c>
    </row>
    <row r="1543" ht="14.25">
      <c r="B1543" s="4" t="s">
        <v>10395</v>
      </c>
      <c r="C1543" s="4" t="s">
        <v>222</v>
      </c>
      <c r="D1543" s="4" t="s">
        <v>10396</v>
      </c>
      <c r="E1543" s="4" t="s">
        <v>10397</v>
      </c>
      <c r="F1543" s="4" t="s">
        <v>10398</v>
      </c>
      <c r="G1543" s="4" t="s">
        <v>10399</v>
      </c>
      <c r="H1543" s="4" t="str">
        <f>IFERROR(__XLUDF.DUMMYFUNCTION("PROPER(REGEXREPLACE(G120,""[^A-Za-z]+ "",""""))"),"Isocrate")</f>
        <v>Isocrate</v>
      </c>
      <c r="I1543" s="5" t="s">
        <v>10400</v>
      </c>
      <c r="J1543" s="4" t="s">
        <v>1711</v>
      </c>
      <c r="K1543" s="4" t="s">
        <v>9350</v>
      </c>
      <c r="L1543" s="4" t="s">
        <v>29</v>
      </c>
      <c r="M1543" s="4" t="s">
        <v>9239</v>
      </c>
      <c r="N1543" s="4" t="str">
        <f>IFERROR(__XLUDF.DUMMYFUNCTION("VLOOKUP(M120,IMPORTRANGE(""https://docs.google.com/spreadsheets/d/1opm6ZNvGZ7KditA9TuJwrZ25eFLfTNIkrNnY6mhV5Eg"",""list!A1:C115""),3,TRUE)"),"le secteur de la construction")</f>
        <v xml:space="preserve">le secteur de la construction</v>
      </c>
      <c r="O1543" s="6"/>
      <c r="P1543" s="4">
        <v>16</v>
      </c>
      <c r="Q1543" s="4" t="s">
        <v>1711</v>
      </c>
      <c r="R1543" s="4" t="s">
        <v>9350</v>
      </c>
      <c r="S1543" s="4" t="s">
        <v>29</v>
      </c>
      <c r="T1543" s="5" t="s">
        <v>10401</v>
      </c>
      <c r="U1543" s="6"/>
      <c r="V1543" s="6"/>
      <c r="W1543" s="6"/>
      <c r="X1543" s="6"/>
      <c r="Y1543" s="4" t="s">
        <v>10402</v>
      </c>
      <c r="Z1543" s="6"/>
      <c r="AA1543" s="5" t="s">
        <v>10403</v>
      </c>
    </row>
    <row r="1544" ht="14.25">
      <c r="B1544" s="4" t="s">
        <v>10404</v>
      </c>
      <c r="C1544" s="4" t="s">
        <v>222</v>
      </c>
      <c r="D1544" s="4" t="s">
        <v>10405</v>
      </c>
      <c r="E1544" s="4" t="s">
        <v>10406</v>
      </c>
      <c r="F1544" s="4" t="s">
        <v>10407</v>
      </c>
      <c r="G1544" s="4" t="s">
        <v>10408</v>
      </c>
      <c r="H1544" s="4" t="str">
        <f>IFERROR(__XLUDF.DUMMYFUNCTION("PROPER(REGEXREPLACE(G121,""[^A-Za-z]+ "",""""))"),"Nord De France Expertise Automobile")</f>
        <v xml:space="preserve">Nord De France Expertise Automobile</v>
      </c>
      <c r="I1544" s="6"/>
      <c r="J1544" s="4" t="s">
        <v>562</v>
      </c>
      <c r="K1544" s="4" t="s">
        <v>9215</v>
      </c>
      <c r="L1544" s="4" t="s">
        <v>29</v>
      </c>
      <c r="M1544" s="4" t="s">
        <v>4067</v>
      </c>
      <c r="N1544" s="4" t="str">
        <f>IFERROR(__XLUDF.DUMMYFUNCTION("VLOOKUP(M121,IMPORTRANGE(""https://docs.google.com/spreadsheets/d/1opm6ZNvGZ7KditA9TuJwrZ25eFLfTNIkrNnY6mhV5Eg"",""list!A1:C115""),3,TRUE)"),"le secteur du conseil en management")</f>
        <v xml:space="preserve">le secteur du conseil en management</v>
      </c>
      <c r="O1544" s="6"/>
      <c r="P1544" s="4">
        <v>10</v>
      </c>
      <c r="Q1544" s="4" t="s">
        <v>6339</v>
      </c>
      <c r="R1544" s="4" t="s">
        <v>9281</v>
      </c>
      <c r="S1544" s="4" t="s">
        <v>29</v>
      </c>
      <c r="T1544" s="5" t="s">
        <v>10409</v>
      </c>
      <c r="U1544" s="6"/>
      <c r="V1544" s="6"/>
      <c r="W1544" s="6"/>
      <c r="X1544" s="6"/>
      <c r="Y1544" s="4" t="s">
        <v>10408</v>
      </c>
      <c r="Z1544" s="6"/>
      <c r="AA1544" s="5" t="s">
        <v>10410</v>
      </c>
    </row>
    <row r="1545" ht="14.25">
      <c r="B1545" s="4" t="s">
        <v>10411</v>
      </c>
      <c r="C1545" s="4" t="s">
        <v>222</v>
      </c>
      <c r="D1545" s="4" t="s">
        <v>10412</v>
      </c>
      <c r="E1545" s="4" t="s">
        <v>10413</v>
      </c>
      <c r="F1545" s="4" t="s">
        <v>1130</v>
      </c>
      <c r="G1545" s="4" t="s">
        <v>10414</v>
      </c>
      <c r="H1545" s="4" t="str">
        <f>IFERROR(__XLUDF.DUMMYFUNCTION("PROPER(REGEXREPLACE(G122,""[^A-Za-z]+ "",""""))"),"Atdr Ingénierie")</f>
        <v xml:space="preserve">Atdr Ingénierie</v>
      </c>
      <c r="I1545" s="5" t="s">
        <v>10415</v>
      </c>
      <c r="J1545" s="4" t="s">
        <v>2903</v>
      </c>
      <c r="K1545" s="4" t="s">
        <v>9193</v>
      </c>
      <c r="L1545" s="4" t="s">
        <v>29</v>
      </c>
      <c r="M1545" s="4" t="s">
        <v>9239</v>
      </c>
      <c r="N1545" s="4" t="str">
        <f>IFERROR(__XLUDF.DUMMYFUNCTION("VLOOKUP(M122,IMPORTRANGE(""https://docs.google.com/spreadsheets/d/1opm6ZNvGZ7KditA9TuJwrZ25eFLfTNIkrNnY6mhV5Eg"",""list!A1:C115""),3,TRUE)"),"le secteur de la construction")</f>
        <v xml:space="preserve">le secteur de la construction</v>
      </c>
      <c r="O1545" s="4" t="s">
        <v>10416</v>
      </c>
      <c r="P1545" s="4">
        <v>14</v>
      </c>
      <c r="Q1545" s="4" t="s">
        <v>185</v>
      </c>
      <c r="R1545" s="4" t="s">
        <v>9193</v>
      </c>
      <c r="S1545" s="4" t="s">
        <v>29</v>
      </c>
      <c r="T1545" s="5" t="s">
        <v>10417</v>
      </c>
      <c r="U1545" s="6"/>
      <c r="V1545" s="6"/>
      <c r="W1545" s="6"/>
      <c r="X1545" s="6"/>
      <c r="Y1545" s="4" t="s">
        <v>10418</v>
      </c>
      <c r="Z1545" s="6"/>
      <c r="AA1545" s="5" t="s">
        <v>10419</v>
      </c>
    </row>
    <row r="1546" ht="14.25">
      <c r="B1546" s="4" t="s">
        <v>10420</v>
      </c>
      <c r="C1546" s="4" t="s">
        <v>596</v>
      </c>
      <c r="D1546" s="4" t="s">
        <v>10421</v>
      </c>
      <c r="E1546" s="4" t="s">
        <v>10422</v>
      </c>
      <c r="F1546" s="4" t="s">
        <v>10423</v>
      </c>
      <c r="G1546" s="4" t="s">
        <v>10424</v>
      </c>
      <c r="H1546" s="4" t="str">
        <f>IFERROR(__XLUDF.DUMMYFUNCTION("PROPER(REGEXREPLACE(G123,""[^A-Za-z]+ "",""""))"),"Groupe Bardec")</f>
        <v xml:space="preserve">Groupe Bardec</v>
      </c>
      <c r="I1546" s="6"/>
      <c r="J1546" s="4" t="s">
        <v>7531</v>
      </c>
      <c r="K1546" s="4" t="s">
        <v>9798</v>
      </c>
      <c r="L1546" s="4" t="s">
        <v>29</v>
      </c>
      <c r="M1546" s="4" t="s">
        <v>9239</v>
      </c>
      <c r="N1546" s="4" t="str">
        <f>IFERROR(__XLUDF.DUMMYFUNCTION("VLOOKUP(M123,IMPORTRANGE(""https://docs.google.com/spreadsheets/d/1opm6ZNvGZ7KditA9TuJwrZ25eFLfTNIkrNnY6mhV5Eg"",""list!A1:C115""),3,TRUE)"),"le secteur de la construction")</f>
        <v xml:space="preserve">le secteur de la construction</v>
      </c>
      <c r="O1546" s="4" t="s">
        <v>10425</v>
      </c>
      <c r="P1546" s="4">
        <v>10</v>
      </c>
      <c r="Q1546" s="4" t="s">
        <v>7531</v>
      </c>
      <c r="R1546" s="4" t="s">
        <v>9798</v>
      </c>
      <c r="S1546" s="4" t="s">
        <v>29</v>
      </c>
      <c r="T1546" s="5" t="s">
        <v>10426</v>
      </c>
      <c r="U1546" s="6"/>
      <c r="V1546" s="6"/>
      <c r="W1546" s="6"/>
      <c r="X1546" s="6"/>
      <c r="Y1546" s="4" t="s">
        <v>10427</v>
      </c>
      <c r="Z1546" s="6"/>
      <c r="AA1546" s="5" t="s">
        <v>10428</v>
      </c>
    </row>
    <row r="1547" ht="14.25">
      <c r="B1547" s="4" t="s">
        <v>10429</v>
      </c>
      <c r="C1547" s="4" t="s">
        <v>596</v>
      </c>
      <c r="D1547" s="4" t="s">
        <v>10430</v>
      </c>
      <c r="E1547" s="4" t="s">
        <v>10431</v>
      </c>
      <c r="F1547" s="4" t="s">
        <v>10432</v>
      </c>
      <c r="G1547" s="4" t="s">
        <v>10433</v>
      </c>
      <c r="H1547" s="4" t="str">
        <f>IFERROR(__XLUDF.DUMMYFUNCTION("PROPER(REGEXREPLACE(G124,""[^A-Za-z]+ "",""""))"),"Nile")</f>
        <v>Nile</v>
      </c>
      <c r="I1547" s="5" t="s">
        <v>10434</v>
      </c>
      <c r="J1547" s="6"/>
      <c r="K1547" s="4" t="s">
        <v>9193</v>
      </c>
      <c r="L1547" s="4" t="s">
        <v>29</v>
      </c>
      <c r="M1547" s="4" t="s">
        <v>4067</v>
      </c>
      <c r="N1547" s="4" t="str">
        <f>IFERROR(__XLUDF.DUMMYFUNCTION("VLOOKUP(M124,IMPORTRANGE(""https://docs.google.com/spreadsheets/d/1opm6ZNvGZ7KditA9TuJwrZ25eFLfTNIkrNnY6mhV5Eg"",""list!A1:C115""),3,TRUE)"),"le secteur du conseil en management")</f>
        <v xml:space="preserve">le secteur du conseil en management</v>
      </c>
      <c r="O1547" s="4" t="s">
        <v>10435</v>
      </c>
      <c r="P1547" s="4">
        <v>22</v>
      </c>
      <c r="Q1547" s="4" t="s">
        <v>1150</v>
      </c>
      <c r="R1547" s="4" t="s">
        <v>9193</v>
      </c>
      <c r="S1547" s="4" t="s">
        <v>29</v>
      </c>
      <c r="T1547" s="5" t="s">
        <v>10436</v>
      </c>
      <c r="U1547" s="5" t="s">
        <v>10437</v>
      </c>
      <c r="V1547" s="5" t="s">
        <v>10438</v>
      </c>
      <c r="W1547" s="6"/>
      <c r="X1547" s="6"/>
      <c r="Y1547" s="4" t="s">
        <v>10439</v>
      </c>
      <c r="Z1547" s="6"/>
      <c r="AA1547" s="5" t="s">
        <v>10440</v>
      </c>
    </row>
    <row r="1548" ht="14.25">
      <c r="B1548" s="4" t="s">
        <v>10441</v>
      </c>
      <c r="C1548" s="4" t="s">
        <v>596</v>
      </c>
      <c r="D1548" s="4" t="s">
        <v>10442</v>
      </c>
      <c r="E1548" s="4" t="s">
        <v>10443</v>
      </c>
      <c r="F1548" s="4" t="s">
        <v>10444</v>
      </c>
      <c r="G1548" s="4" t="s">
        <v>10445</v>
      </c>
      <c r="H1548" s="4" t="str">
        <f>IFERROR(__XLUDF.DUMMYFUNCTION("PROPER(REGEXREPLACE(G125,""[^A-Za-z]+ "",""""))"),"Dero")</f>
        <v>Dero</v>
      </c>
      <c r="I1548" s="5" t="s">
        <v>10446</v>
      </c>
      <c r="J1548" s="4" t="s">
        <v>39</v>
      </c>
      <c r="K1548" s="4" t="s">
        <v>9160</v>
      </c>
      <c r="L1548" s="4" t="s">
        <v>29</v>
      </c>
      <c r="M1548" s="4" t="s">
        <v>2602</v>
      </c>
      <c r="N1548" s="4" t="str">
        <f>IFERROR(__XLUDF.DUMMYFUNCTION("VLOOKUP(M125,IMPORTRANGE(""https://docs.google.com/spreadsheets/d/1opm6ZNvGZ7KditA9TuJwrZ25eFLfTNIkrNnY6mhV5Eg"",""list!A1:C115""),3,TRUE)"),"le secteur de la tech")</f>
        <v xml:space="preserve">le secteur de la tech</v>
      </c>
      <c r="O1548" s="6"/>
      <c r="P1548" s="4">
        <v>10</v>
      </c>
      <c r="Q1548" s="4" t="s">
        <v>39</v>
      </c>
      <c r="R1548" s="4" t="s">
        <v>9160</v>
      </c>
      <c r="S1548" s="4" t="s">
        <v>29</v>
      </c>
      <c r="T1548" s="5" t="s">
        <v>10447</v>
      </c>
      <c r="U1548" s="6"/>
      <c r="V1548" s="6"/>
      <c r="W1548" s="6"/>
      <c r="X1548" s="6"/>
      <c r="Y1548" s="4" t="s">
        <v>10448</v>
      </c>
      <c r="Z1548" s="6"/>
      <c r="AA1548" s="5" t="s">
        <v>10449</v>
      </c>
    </row>
    <row r="1549" ht="14.25">
      <c r="B1549" s="4" t="s">
        <v>10450</v>
      </c>
      <c r="C1549" s="4" t="s">
        <v>596</v>
      </c>
      <c r="D1549" s="4" t="s">
        <v>10451</v>
      </c>
      <c r="E1549" s="4" t="s">
        <v>10452</v>
      </c>
      <c r="F1549" s="4" t="s">
        <v>10453</v>
      </c>
      <c r="G1549" s="4" t="s">
        <v>10454</v>
      </c>
      <c r="H1549" s="4" t="str">
        <f>IFERROR(__XLUDF.DUMMYFUNCTION("PROPER(REGEXREPLACE(G126,""[^A-Za-z]+ "",""""))"),"Little Wing")</f>
        <v xml:space="preserve">Little Wing</v>
      </c>
      <c r="I1549" s="5" t="s">
        <v>10455</v>
      </c>
      <c r="J1549" s="4" t="s">
        <v>39</v>
      </c>
      <c r="K1549" s="4" t="s">
        <v>9160</v>
      </c>
      <c r="L1549" s="4" t="s">
        <v>29</v>
      </c>
      <c r="M1549" s="4" t="s">
        <v>4067</v>
      </c>
      <c r="N1549" s="4" t="str">
        <f>IFERROR(__XLUDF.DUMMYFUNCTION("VLOOKUP(M126,IMPORTRANGE(""https://docs.google.com/spreadsheets/d/1opm6ZNvGZ7KditA9TuJwrZ25eFLfTNIkrNnY6mhV5Eg"",""list!A1:C115""),3,TRUE)"),"le secteur du conseil en management")</f>
        <v xml:space="preserve">le secteur du conseil en management</v>
      </c>
      <c r="O1549" s="4" t="s">
        <v>10456</v>
      </c>
      <c r="P1549" s="4">
        <v>29</v>
      </c>
      <c r="Q1549" s="4" t="s">
        <v>39</v>
      </c>
      <c r="R1549" s="4" t="s">
        <v>9160</v>
      </c>
      <c r="S1549" s="4" t="s">
        <v>29</v>
      </c>
      <c r="T1549" s="5" t="s">
        <v>10457</v>
      </c>
      <c r="U1549" s="6"/>
      <c r="V1549" s="6"/>
      <c r="W1549" s="6"/>
      <c r="X1549" s="6"/>
      <c r="Y1549" s="4" t="s">
        <v>10458</v>
      </c>
      <c r="Z1549" s="6"/>
      <c r="AA1549" s="5" t="s">
        <v>10459</v>
      </c>
    </row>
    <row r="1550" ht="14.25">
      <c r="B1550" s="4" t="s">
        <v>10460</v>
      </c>
      <c r="C1550" s="4" t="s">
        <v>4584</v>
      </c>
      <c r="D1550" s="4" t="s">
        <v>10461</v>
      </c>
      <c r="E1550" s="4" t="s">
        <v>10462</v>
      </c>
      <c r="F1550" s="4" t="s">
        <v>10463</v>
      </c>
      <c r="G1550" s="4" t="s">
        <v>10464</v>
      </c>
      <c r="H1550" s="4" t="str">
        <f>IFERROR(__XLUDF.DUMMYFUNCTION("PROPER(REGEXREPLACE(G127,""[^A-Za-z]+ "",""""))"),"Metamorphose Groupe")</f>
        <v xml:space="preserve">Metamorphose Groupe</v>
      </c>
      <c r="I1550" s="5" t="s">
        <v>10465</v>
      </c>
      <c r="J1550" s="4" t="s">
        <v>4303</v>
      </c>
      <c r="K1550" s="4" t="s">
        <v>9350</v>
      </c>
      <c r="L1550" s="4" t="s">
        <v>29</v>
      </c>
      <c r="M1550" s="4" t="s">
        <v>4067</v>
      </c>
      <c r="N1550" s="4" t="str">
        <f>IFERROR(__XLUDF.DUMMYFUNCTION("VLOOKUP(M127,IMPORTRANGE(""https://docs.google.com/spreadsheets/d/1opm6ZNvGZ7KditA9TuJwrZ25eFLfTNIkrNnY6mhV5Eg"",""list!A1:C115""),3,TRUE)"),"le secteur du conseil en management")</f>
        <v xml:space="preserve">le secteur du conseil en management</v>
      </c>
      <c r="O1550" s="4" t="s">
        <v>10466</v>
      </c>
      <c r="P1550" s="4">
        <v>21</v>
      </c>
      <c r="Q1550" s="4" t="s">
        <v>39</v>
      </c>
      <c r="R1550" s="4" t="s">
        <v>9160</v>
      </c>
      <c r="S1550" s="4" t="s">
        <v>29</v>
      </c>
      <c r="T1550" s="5" t="s">
        <v>10467</v>
      </c>
      <c r="U1550" s="6"/>
      <c r="V1550" s="6"/>
      <c r="W1550" s="6"/>
      <c r="X1550" s="6"/>
      <c r="Y1550" s="4" t="s">
        <v>5069</v>
      </c>
      <c r="Z1550" s="6"/>
      <c r="AA1550" s="5" t="s">
        <v>10468</v>
      </c>
    </row>
    <row r="1551" ht="14.25">
      <c r="B1551" s="4" t="s">
        <v>10469</v>
      </c>
      <c r="C1551" s="4" t="s">
        <v>4584</v>
      </c>
      <c r="D1551" s="4" t="s">
        <v>10470</v>
      </c>
      <c r="E1551" s="4" t="s">
        <v>10471</v>
      </c>
      <c r="F1551" s="4" t="s">
        <v>10472</v>
      </c>
      <c r="G1551" s="4" t="s">
        <v>10473</v>
      </c>
      <c r="H1551" s="4" t="str">
        <f>IFERROR(__XLUDF.DUMMYFUNCTION("PROPER(REGEXREPLACE(G128,""[^A-Za-z]+ "",""""))"),"Atlays")</f>
        <v>Atlays</v>
      </c>
      <c r="I1551" s="5" t="s">
        <v>10474</v>
      </c>
      <c r="J1551" s="4" t="s">
        <v>39</v>
      </c>
      <c r="K1551" s="4" t="s">
        <v>9160</v>
      </c>
      <c r="L1551" s="4" t="s">
        <v>29</v>
      </c>
      <c r="M1551" s="4" t="s">
        <v>4067</v>
      </c>
      <c r="N1551" s="4" t="str">
        <f>IFERROR(__XLUDF.DUMMYFUNCTION("VLOOKUP(M128,IMPORTRANGE(""https://docs.google.com/spreadsheets/d/1opm6ZNvGZ7KditA9TuJwrZ25eFLfTNIkrNnY6mhV5Eg"",""list!A1:C115""),3,TRUE)"),"le secteur du conseil en management")</f>
        <v xml:space="preserve">le secteur du conseil en management</v>
      </c>
      <c r="O1551" s="4" t="s">
        <v>10475</v>
      </c>
      <c r="P1551" s="4">
        <v>29</v>
      </c>
      <c r="Q1551" s="4" t="s">
        <v>39</v>
      </c>
      <c r="R1551" s="4" t="s">
        <v>9160</v>
      </c>
      <c r="S1551" s="4" t="s">
        <v>29</v>
      </c>
      <c r="T1551" s="5" t="s">
        <v>10476</v>
      </c>
      <c r="U1551" s="6"/>
      <c r="V1551" s="6"/>
      <c r="W1551" s="6"/>
      <c r="X1551" s="6"/>
      <c r="Y1551" s="4" t="s">
        <v>10477</v>
      </c>
      <c r="Z1551" s="6"/>
      <c r="AA1551" s="5" t="s">
        <v>10478</v>
      </c>
    </row>
    <row r="1552" ht="14.25">
      <c r="B1552" s="4" t="s">
        <v>10479</v>
      </c>
      <c r="C1552" s="4" t="s">
        <v>69</v>
      </c>
      <c r="D1552" s="4" t="s">
        <v>10480</v>
      </c>
      <c r="E1552" s="4" t="s">
        <v>10481</v>
      </c>
      <c r="F1552" s="4" t="s">
        <v>10482</v>
      </c>
      <c r="G1552" s="4" t="s">
        <v>10483</v>
      </c>
      <c r="H1552" s="4" t="str">
        <f>IFERROR(__XLUDF.DUMMYFUNCTION("PROPER(REGEXREPLACE(G129,""[^A-Za-z]+ "",""""))"),"Agence-S")</f>
        <v>Agence-S</v>
      </c>
      <c r="I1552" s="5" t="s">
        <v>10484</v>
      </c>
      <c r="J1552" s="4" t="s">
        <v>3848</v>
      </c>
      <c r="K1552" s="4" t="s">
        <v>9251</v>
      </c>
      <c r="L1552" s="4" t="s">
        <v>29</v>
      </c>
      <c r="M1552" s="4" t="s">
        <v>4067</v>
      </c>
      <c r="N1552" s="4" t="str">
        <f>IFERROR(__XLUDF.DUMMYFUNCTION("VLOOKUP(M129,IMPORTRANGE(""https://docs.google.com/spreadsheets/d/1opm6ZNvGZ7KditA9TuJwrZ25eFLfTNIkrNnY6mhV5Eg"",""list!A1:C115""),3,TRUE)"),"le secteur du conseil en management")</f>
        <v xml:space="preserve">le secteur du conseil en management</v>
      </c>
      <c r="O1552" s="4" t="s">
        <v>10485</v>
      </c>
      <c r="P1552" s="4">
        <v>10</v>
      </c>
      <c r="Q1552" s="4" t="s">
        <v>3848</v>
      </c>
      <c r="R1552" s="4" t="s">
        <v>9251</v>
      </c>
      <c r="S1552" s="4" t="s">
        <v>29</v>
      </c>
      <c r="T1552" s="5" t="s">
        <v>10486</v>
      </c>
      <c r="U1552" s="6"/>
      <c r="V1552" s="6"/>
      <c r="W1552" s="6"/>
      <c r="X1552" s="6"/>
      <c r="Y1552" s="4" t="s">
        <v>10487</v>
      </c>
      <c r="Z1552" s="6"/>
      <c r="AA1552" s="5" t="s">
        <v>10488</v>
      </c>
    </row>
    <row r="1553" ht="14.25">
      <c r="B1553" s="4" t="s">
        <v>10489</v>
      </c>
      <c r="C1553" s="4" t="s">
        <v>69</v>
      </c>
      <c r="D1553" s="4" t="s">
        <v>10490</v>
      </c>
      <c r="E1553" s="4" t="s">
        <v>10491</v>
      </c>
      <c r="F1553" s="4" t="s">
        <v>2645</v>
      </c>
      <c r="G1553" s="4" t="s">
        <v>10492</v>
      </c>
      <c r="H1553" s="4" t="str">
        <f>IFERROR(__XLUDF.DUMMYFUNCTION("PROPER(REGEXREPLACE(G130,""[^A-Za-z]+ "",""""))"),"Je Suisvélo")</f>
        <v xml:space="preserve">Je Suisvélo</v>
      </c>
      <c r="I1553" s="5" t="s">
        <v>10493</v>
      </c>
      <c r="J1553" s="4" t="s">
        <v>39</v>
      </c>
      <c r="K1553" s="4" t="s">
        <v>9160</v>
      </c>
      <c r="L1553" s="4" t="s">
        <v>29</v>
      </c>
      <c r="M1553" s="4" t="s">
        <v>4525</v>
      </c>
      <c r="N1553" s="4" t="str">
        <f>IFERROR(__XLUDF.DUMMYFUNCTION("VLOOKUP(M130,IMPORTRANGE(""https://docs.google.com/spreadsheets/d/1opm6ZNvGZ7KditA9TuJwrZ25eFLfTNIkrNnY6mhV5Eg"",""list!A1:C115""),3,TRUE)"),"le secteur du retail")</f>
        <v xml:space="preserve">le secteur du retail</v>
      </c>
      <c r="O1553" s="4" t="s">
        <v>10494</v>
      </c>
      <c r="P1553" s="4">
        <v>24</v>
      </c>
      <c r="Q1553" s="4" t="s">
        <v>39</v>
      </c>
      <c r="R1553" s="4" t="s">
        <v>9160</v>
      </c>
      <c r="S1553" s="4" t="s">
        <v>29</v>
      </c>
      <c r="T1553" s="5" t="s">
        <v>10495</v>
      </c>
      <c r="U1553" s="6"/>
      <c r="V1553" s="5" t="s">
        <v>10496</v>
      </c>
      <c r="W1553" s="6"/>
      <c r="X1553" s="6"/>
      <c r="Y1553" s="4" t="s">
        <v>10497</v>
      </c>
      <c r="Z1553" s="6"/>
      <c r="AA1553" s="5" t="s">
        <v>10498</v>
      </c>
    </row>
    <row r="1554" ht="14.25">
      <c r="B1554" s="4" t="s">
        <v>10499</v>
      </c>
      <c r="C1554" s="4" t="s">
        <v>6243</v>
      </c>
      <c r="D1554" s="4" t="s">
        <v>10500</v>
      </c>
      <c r="E1554" s="4" t="s">
        <v>10501</v>
      </c>
      <c r="F1554" s="4" t="s">
        <v>10502</v>
      </c>
      <c r="G1554" s="4" t="s">
        <v>10503</v>
      </c>
      <c r="H1554" s="4" t="str">
        <f>IFERROR(__XLUDF.DUMMYFUNCTION("PROPER(REGEXREPLACE(G131,""[^A-Za-z]+ "",""""))"),"La Set")</f>
        <v xml:space="preserve">La Set</v>
      </c>
      <c r="I1554" s="5" t="s">
        <v>10504</v>
      </c>
      <c r="J1554" s="4" t="s">
        <v>39</v>
      </c>
      <c r="K1554" s="4" t="s">
        <v>9160</v>
      </c>
      <c r="L1554" s="4" t="s">
        <v>29</v>
      </c>
      <c r="M1554" s="4" t="s">
        <v>9239</v>
      </c>
      <c r="N1554" s="4" t="str">
        <f>IFERROR(__XLUDF.DUMMYFUNCTION("VLOOKUP(M131,IMPORTRANGE(""https://docs.google.com/spreadsheets/d/1opm6ZNvGZ7KditA9TuJwrZ25eFLfTNIkrNnY6mhV5Eg"",""list!A1:C115""),3,TRUE)"),"le secteur de la construction")</f>
        <v xml:space="preserve">le secteur de la construction</v>
      </c>
      <c r="O1554" s="4" t="s">
        <v>10505</v>
      </c>
      <c r="P1554" s="4">
        <v>40</v>
      </c>
      <c r="Q1554" s="4" t="s">
        <v>3898</v>
      </c>
      <c r="R1554" s="4" t="s">
        <v>9798</v>
      </c>
      <c r="S1554" s="4" t="s">
        <v>29</v>
      </c>
      <c r="T1554" s="5" t="s">
        <v>10506</v>
      </c>
      <c r="U1554" s="6"/>
      <c r="V1554" s="5" t="s">
        <v>9981</v>
      </c>
      <c r="W1554" s="6"/>
      <c r="X1554" s="6"/>
      <c r="Y1554" s="4" t="s">
        <v>10507</v>
      </c>
      <c r="Z1554" s="6"/>
      <c r="AA1554" s="5" t="s">
        <v>10508</v>
      </c>
    </row>
    <row r="1555" ht="14.25">
      <c r="B1555" s="4" t="s">
        <v>10509</v>
      </c>
      <c r="C1555" s="4" t="s">
        <v>866</v>
      </c>
      <c r="D1555" s="4" t="s">
        <v>10510</v>
      </c>
      <c r="E1555" s="4" t="s">
        <v>10511</v>
      </c>
      <c r="F1555" s="4" t="s">
        <v>172</v>
      </c>
      <c r="G1555" s="4" t="s">
        <v>10512</v>
      </c>
      <c r="H1555" s="4" t="str">
        <f>IFERROR(__XLUDF.DUMMYFUNCTION("PROPER(REGEXREPLACE(G132,""[^A-Za-z]+ "",""""))"),"Homesec")</f>
        <v>Homesec</v>
      </c>
      <c r="I1555" s="5" t="s">
        <v>10513</v>
      </c>
      <c r="J1555" s="4" t="s">
        <v>10358</v>
      </c>
      <c r="K1555" s="4" t="s">
        <v>9251</v>
      </c>
      <c r="L1555" s="4" t="s">
        <v>29</v>
      </c>
      <c r="M1555" s="4" t="s">
        <v>9239</v>
      </c>
      <c r="N1555" s="4" t="str">
        <f>IFERROR(__XLUDF.DUMMYFUNCTION("VLOOKUP(M132,IMPORTRANGE(""https://docs.google.com/spreadsheets/d/1opm6ZNvGZ7KditA9TuJwrZ25eFLfTNIkrNnY6mhV5Eg"",""list!A1:C115""),3,TRUE)"),"le secteur de la construction")</f>
        <v xml:space="preserve">le secteur de la construction</v>
      </c>
      <c r="O1555" s="4" t="s">
        <v>10514</v>
      </c>
      <c r="P1555" s="4">
        <v>14</v>
      </c>
      <c r="Q1555" s="4" t="s">
        <v>10515</v>
      </c>
      <c r="R1555" s="4" t="s">
        <v>9251</v>
      </c>
      <c r="S1555" s="4" t="s">
        <v>29</v>
      </c>
      <c r="T1555" s="5" t="s">
        <v>10516</v>
      </c>
      <c r="U1555" s="6"/>
      <c r="V1555" s="5" t="s">
        <v>10517</v>
      </c>
      <c r="W1555" s="6"/>
      <c r="X1555" s="6"/>
      <c r="Y1555" s="4" t="s">
        <v>10518</v>
      </c>
      <c r="Z1555" s="6"/>
      <c r="AA1555" s="5" t="s">
        <v>10519</v>
      </c>
    </row>
    <row r="1556" ht="14.25">
      <c r="B1556" s="4" t="s">
        <v>10520</v>
      </c>
      <c r="C1556" s="4" t="s">
        <v>5111</v>
      </c>
      <c r="D1556" s="4" t="s">
        <v>10521</v>
      </c>
      <c r="E1556" s="4" t="s">
        <v>10522</v>
      </c>
      <c r="F1556" s="4" t="s">
        <v>10523</v>
      </c>
      <c r="G1556" s="4" t="s">
        <v>10524</v>
      </c>
      <c r="H1556" s="4" t="str">
        <f>IFERROR(__XLUDF.DUMMYFUNCTION("PROPER(REGEXREPLACE(G133,""[^A-Za-z]+ "",""""))"),"Epistème")</f>
        <v>Epistème</v>
      </c>
      <c r="I1556" s="5" t="s">
        <v>10525</v>
      </c>
      <c r="J1556" s="4" t="s">
        <v>846</v>
      </c>
      <c r="K1556" s="4" t="s">
        <v>9278</v>
      </c>
      <c r="L1556" s="4" t="s">
        <v>29</v>
      </c>
      <c r="M1556" s="4" t="s">
        <v>4067</v>
      </c>
      <c r="N1556" s="4" t="str">
        <f>IFERROR(__XLUDF.DUMMYFUNCTION("VLOOKUP(M133,IMPORTRANGE(""https://docs.google.com/spreadsheets/d/1opm6ZNvGZ7KditA9TuJwrZ25eFLfTNIkrNnY6mhV5Eg"",""list!A1:C115""),3,TRUE)"),"le secteur du conseil en management")</f>
        <v xml:space="preserve">le secteur du conseil en management</v>
      </c>
      <c r="O1556" s="4" t="s">
        <v>10526</v>
      </c>
      <c r="P1556" s="4">
        <v>21</v>
      </c>
      <c r="Q1556" s="4" t="s">
        <v>10527</v>
      </c>
      <c r="R1556" s="4" t="s">
        <v>9281</v>
      </c>
      <c r="S1556" s="4" t="s">
        <v>29</v>
      </c>
      <c r="T1556" s="5" t="s">
        <v>10528</v>
      </c>
      <c r="U1556" s="6"/>
      <c r="V1556" s="6"/>
      <c r="W1556" s="6"/>
      <c r="X1556" s="6"/>
      <c r="Y1556" s="4" t="s">
        <v>10529</v>
      </c>
      <c r="Z1556" s="6"/>
      <c r="AA1556" s="5" t="s">
        <v>10530</v>
      </c>
    </row>
    <row r="1557" ht="14.25">
      <c r="B1557" s="4" t="s">
        <v>10531</v>
      </c>
      <c r="C1557" s="4" t="s">
        <v>5111</v>
      </c>
      <c r="D1557" s="4" t="s">
        <v>10532</v>
      </c>
      <c r="E1557" s="4" t="s">
        <v>10533</v>
      </c>
      <c r="F1557" s="4" t="s">
        <v>164</v>
      </c>
      <c r="G1557" s="4" t="s">
        <v>10534</v>
      </c>
      <c r="H1557" s="4" t="str">
        <f>IFERROR(__XLUDF.DUMMYFUNCTION("PROPER(REGEXREPLACE(G134,""[^A-Za-z]+ "",""""))"),"Inaubi")</f>
        <v>Inaubi</v>
      </c>
      <c r="I1557" s="5" t="s">
        <v>10535</v>
      </c>
      <c r="J1557" s="4" t="s">
        <v>846</v>
      </c>
      <c r="K1557" s="4" t="s">
        <v>9278</v>
      </c>
      <c r="L1557" s="4" t="s">
        <v>29</v>
      </c>
      <c r="M1557" s="4" t="s">
        <v>2602</v>
      </c>
      <c r="N1557" s="4" t="str">
        <f>IFERROR(__XLUDF.DUMMYFUNCTION("VLOOKUP(M134,IMPORTRANGE(""https://docs.google.com/spreadsheets/d/1opm6ZNvGZ7KditA9TuJwrZ25eFLfTNIkrNnY6mhV5Eg"",""list!A1:C115""),3,TRUE)"),"le secteur de la tech")</f>
        <v xml:space="preserve">le secteur de la tech</v>
      </c>
      <c r="O1557" s="4" t="s">
        <v>10536</v>
      </c>
      <c r="P1557" s="4">
        <v>35</v>
      </c>
      <c r="Q1557" s="4" t="s">
        <v>10537</v>
      </c>
      <c r="R1557" s="4" t="s">
        <v>9281</v>
      </c>
      <c r="S1557" s="4" t="s">
        <v>29</v>
      </c>
      <c r="T1557" s="5" t="s">
        <v>10538</v>
      </c>
      <c r="U1557" s="5" t="s">
        <v>10539</v>
      </c>
      <c r="V1557" s="5" t="s">
        <v>10540</v>
      </c>
      <c r="W1557" s="6"/>
      <c r="X1557" s="6"/>
      <c r="Y1557" s="4" t="s">
        <v>10541</v>
      </c>
      <c r="Z1557" s="6"/>
      <c r="AA1557" s="5" t="s">
        <v>10542</v>
      </c>
    </row>
    <row r="1558" ht="14.25">
      <c r="B1558" s="4" t="s">
        <v>10543</v>
      </c>
      <c r="C1558" s="4" t="s">
        <v>1454</v>
      </c>
      <c r="D1558" s="4" t="s">
        <v>10544</v>
      </c>
      <c r="E1558" s="4" t="s">
        <v>10545</v>
      </c>
      <c r="F1558" s="4" t="s">
        <v>7185</v>
      </c>
      <c r="G1558" s="4" t="s">
        <v>10546</v>
      </c>
      <c r="H1558" s="4" t="str">
        <f>IFERROR(__XLUDF.DUMMYFUNCTION("PROPER(REGEXREPLACE(G135,""[^A-Za-z]+ "",""""))"),"Backplan")</f>
        <v>Backplan</v>
      </c>
      <c r="I1558" s="5" t="s">
        <v>10547</v>
      </c>
      <c r="J1558" s="4" t="s">
        <v>243</v>
      </c>
      <c r="K1558" s="4" t="s">
        <v>10390</v>
      </c>
      <c r="L1558" s="4" t="s">
        <v>29</v>
      </c>
      <c r="M1558" s="4" t="s">
        <v>4067</v>
      </c>
      <c r="N1558" s="4" t="str">
        <f>IFERROR(__XLUDF.DUMMYFUNCTION("VLOOKUP(M135,IMPORTRANGE(""https://docs.google.com/spreadsheets/d/1opm6ZNvGZ7KditA9TuJwrZ25eFLfTNIkrNnY6mhV5Eg"",""list!A1:C115""),3,TRUE)"),"le secteur du conseil en management")</f>
        <v xml:space="preserve">le secteur du conseil en management</v>
      </c>
      <c r="O1558" s="4" t="s">
        <v>10548</v>
      </c>
      <c r="P1558" s="4">
        <v>19</v>
      </c>
      <c r="Q1558" s="4" t="s">
        <v>6489</v>
      </c>
      <c r="R1558" s="4" t="s">
        <v>9864</v>
      </c>
      <c r="S1558" s="4" t="s">
        <v>29</v>
      </c>
      <c r="T1558" s="5" t="s">
        <v>10549</v>
      </c>
      <c r="U1558" s="6"/>
      <c r="V1558" s="6"/>
      <c r="W1558" s="6"/>
      <c r="X1558" s="6"/>
      <c r="Y1558" s="4" t="s">
        <v>10550</v>
      </c>
      <c r="Z1558" s="6"/>
      <c r="AA1558" s="5" t="s">
        <v>10551</v>
      </c>
    </row>
    <row r="1559" ht="14.25">
      <c r="B1559" s="4" t="s">
        <v>10552</v>
      </c>
      <c r="C1559" s="4" t="s">
        <v>2303</v>
      </c>
      <c r="D1559" s="4" t="s">
        <v>10553</v>
      </c>
      <c r="E1559" s="4" t="s">
        <v>10554</v>
      </c>
      <c r="F1559" s="4" t="s">
        <v>10555</v>
      </c>
      <c r="G1559" s="4" t="s">
        <v>10556</v>
      </c>
      <c r="H1559" s="4" t="str">
        <f>IFERROR(__XLUDF.DUMMYFUNCTION("PROPER(REGEXREPLACE(G136,""[^A-Za-z]+ "",""""))"),"Atlante")</f>
        <v>Atlante</v>
      </c>
      <c r="I1559" s="5" t="s">
        <v>10557</v>
      </c>
      <c r="J1559" s="4" t="s">
        <v>39</v>
      </c>
      <c r="K1559" s="4" t="s">
        <v>9160</v>
      </c>
      <c r="L1559" s="4" t="s">
        <v>29</v>
      </c>
      <c r="M1559" s="4" t="s">
        <v>4067</v>
      </c>
      <c r="N1559" s="4" t="str">
        <f>IFERROR(__XLUDF.DUMMYFUNCTION("VLOOKUP(M136,IMPORTRANGE(""https://docs.google.com/spreadsheets/d/1opm6ZNvGZ7KditA9TuJwrZ25eFLfTNIkrNnY6mhV5Eg"",""list!A1:C115""),3,TRUE)"),"le secteur du conseil en management")</f>
        <v xml:space="preserve">le secteur du conseil en management</v>
      </c>
      <c r="O1559" s="4" t="s">
        <v>10558</v>
      </c>
      <c r="P1559" s="4">
        <v>35</v>
      </c>
      <c r="Q1559" s="4" t="s">
        <v>39</v>
      </c>
      <c r="R1559" s="4" t="s">
        <v>9160</v>
      </c>
      <c r="S1559" s="4" t="s">
        <v>29</v>
      </c>
      <c r="T1559" s="5" t="s">
        <v>10559</v>
      </c>
      <c r="U1559" s="5" t="s">
        <v>10560</v>
      </c>
      <c r="V1559" s="6"/>
      <c r="W1559" s="6"/>
      <c r="X1559" s="6"/>
      <c r="Y1559" s="4" t="s">
        <v>10561</v>
      </c>
      <c r="Z1559" s="6"/>
      <c r="AA1559" s="5" t="s">
        <v>10562</v>
      </c>
    </row>
    <row r="1560" ht="14.25">
      <c r="B1560" s="4" t="s">
        <v>10563</v>
      </c>
      <c r="C1560" s="4" t="s">
        <v>734</v>
      </c>
      <c r="D1560" s="4" t="s">
        <v>10564</v>
      </c>
      <c r="E1560" s="4" t="s">
        <v>10565</v>
      </c>
      <c r="F1560" s="4" t="s">
        <v>10566</v>
      </c>
      <c r="G1560" s="4" t="s">
        <v>10567</v>
      </c>
      <c r="H1560" s="4" t="str">
        <f>IFERROR(__XLUDF.DUMMYFUNCTION("PROPER(REGEXREPLACE(G137,""[^A-Za-z]+ "",""""))"),"Coreoz")</f>
        <v>Coreoz</v>
      </c>
      <c r="I1560" s="5" t="s">
        <v>10568</v>
      </c>
      <c r="J1560" s="4" t="s">
        <v>39</v>
      </c>
      <c r="K1560" s="4" t="s">
        <v>9160</v>
      </c>
      <c r="L1560" s="4" t="s">
        <v>29</v>
      </c>
      <c r="M1560" s="4" t="s">
        <v>2602</v>
      </c>
      <c r="N1560" s="4" t="str">
        <f>IFERROR(__XLUDF.DUMMYFUNCTION("VLOOKUP(M137,IMPORTRANGE(""https://docs.google.com/spreadsheets/d/1opm6ZNvGZ7KditA9TuJwrZ25eFLfTNIkrNnY6mhV5Eg"",""list!A1:C115""),3,TRUE)"),"le secteur de la tech")</f>
        <v xml:space="preserve">le secteur de la tech</v>
      </c>
      <c r="O1560" s="4" t="s">
        <v>10569</v>
      </c>
      <c r="P1560" s="4">
        <v>44</v>
      </c>
      <c r="Q1560" s="4" t="s">
        <v>39</v>
      </c>
      <c r="R1560" s="4" t="s">
        <v>9160</v>
      </c>
      <c r="S1560" s="4" t="s">
        <v>29</v>
      </c>
      <c r="T1560" s="5" t="s">
        <v>10570</v>
      </c>
      <c r="U1560" s="6"/>
      <c r="V1560" s="6"/>
      <c r="W1560" s="6"/>
      <c r="X1560" s="6"/>
      <c r="Y1560" s="4" t="s">
        <v>10571</v>
      </c>
      <c r="Z1560" s="6"/>
      <c r="AA1560" s="5" t="s">
        <v>10572</v>
      </c>
    </row>
    <row r="1561" ht="14.25">
      <c r="B1561" s="4" t="s">
        <v>10573</v>
      </c>
      <c r="C1561" s="4" t="s">
        <v>4012</v>
      </c>
      <c r="D1561" s="4" t="s">
        <v>10574</v>
      </c>
      <c r="E1561" s="4" t="s">
        <v>10575</v>
      </c>
      <c r="F1561" s="4" t="s">
        <v>10576</v>
      </c>
      <c r="G1561" s="4" t="s">
        <v>10577</v>
      </c>
      <c r="H1561" s="4" t="str">
        <f>IFERROR(__XLUDF.DUMMYFUNCTION("PROPER(REGEXREPLACE(G138,""[^A-Za-z]+ "",""""))"),"Shoukâ")</f>
        <v>Shoukâ</v>
      </c>
      <c r="I1561" s="5" t="s">
        <v>10578</v>
      </c>
      <c r="J1561" s="4" t="s">
        <v>203</v>
      </c>
      <c r="K1561" s="4" t="s">
        <v>9193</v>
      </c>
      <c r="L1561" s="4" t="s">
        <v>29</v>
      </c>
      <c r="M1561" s="4" t="s">
        <v>4525</v>
      </c>
      <c r="N1561" s="4" t="str">
        <f>IFERROR(__XLUDF.DUMMYFUNCTION("VLOOKUP(M138,IMPORTRANGE(""https://docs.google.com/spreadsheets/d/1opm6ZNvGZ7KditA9TuJwrZ25eFLfTNIkrNnY6mhV5Eg"",""list!A1:C115""),3,TRUE)"),"le secteur du retail")</f>
        <v xml:space="preserve">le secteur du retail</v>
      </c>
      <c r="O1561" s="4" t="s">
        <v>10579</v>
      </c>
      <c r="P1561" s="4">
        <v>30</v>
      </c>
      <c r="Q1561" s="4" t="s">
        <v>203</v>
      </c>
      <c r="R1561" s="4" t="s">
        <v>9172</v>
      </c>
      <c r="S1561" s="4" t="s">
        <v>29</v>
      </c>
      <c r="T1561" s="5" t="s">
        <v>10580</v>
      </c>
      <c r="U1561" s="6"/>
      <c r="V1561" s="5" t="s">
        <v>10581</v>
      </c>
      <c r="W1561" s="6"/>
      <c r="X1561" s="6"/>
      <c r="Y1561" s="4" t="s">
        <v>10582</v>
      </c>
      <c r="Z1561" s="6"/>
      <c r="AA1561" s="5" t="s">
        <v>10583</v>
      </c>
    </row>
    <row r="1562" ht="14.25">
      <c r="B1562" s="4" t="s">
        <v>10584</v>
      </c>
      <c r="C1562" s="4" t="s">
        <v>734</v>
      </c>
      <c r="D1562" s="4" t="s">
        <v>10585</v>
      </c>
      <c r="E1562" s="4" t="s">
        <v>10586</v>
      </c>
      <c r="F1562" s="4" t="s">
        <v>9456</v>
      </c>
      <c r="G1562" s="4" t="s">
        <v>10587</v>
      </c>
      <c r="H1562" s="4" t="str">
        <f>IFERROR(__XLUDF.DUMMYFUNCTION("PROPER(REGEXREPLACE(G139,""[^A-Za-z]+ "",""""))"),"Energitec")</f>
        <v>Energitec</v>
      </c>
      <c r="I1562" s="5" t="s">
        <v>10588</v>
      </c>
      <c r="J1562" s="4" t="s">
        <v>10589</v>
      </c>
      <c r="K1562" s="4" t="s">
        <v>9251</v>
      </c>
      <c r="L1562" s="4" t="s">
        <v>29</v>
      </c>
      <c r="M1562" s="4" t="s">
        <v>9239</v>
      </c>
      <c r="N1562" s="4" t="str">
        <f>IFERROR(__XLUDF.DUMMYFUNCTION("VLOOKUP(M139,IMPORTRANGE(""https://docs.google.com/spreadsheets/d/1opm6ZNvGZ7KditA9TuJwrZ25eFLfTNIkrNnY6mhV5Eg"",""list!A1:C115""),3,TRUE)"),"le secteur de la construction")</f>
        <v xml:space="preserve">le secteur de la construction</v>
      </c>
      <c r="O1562" s="6"/>
      <c r="P1562" s="4">
        <v>17</v>
      </c>
      <c r="Q1562" s="4" t="s">
        <v>2499</v>
      </c>
      <c r="R1562" s="4" t="s">
        <v>9251</v>
      </c>
      <c r="S1562" s="4" t="s">
        <v>29</v>
      </c>
      <c r="T1562" s="5" t="s">
        <v>10590</v>
      </c>
      <c r="U1562" s="6"/>
      <c r="V1562" s="6"/>
      <c r="W1562" s="6"/>
      <c r="X1562" s="6"/>
      <c r="Y1562" s="4" t="s">
        <v>10591</v>
      </c>
      <c r="Z1562" s="6"/>
      <c r="AA1562" s="5" t="s">
        <v>10592</v>
      </c>
    </row>
    <row r="1563" ht="14.25">
      <c r="B1563" s="4" t="s">
        <v>10593</v>
      </c>
      <c r="C1563" s="4" t="s">
        <v>734</v>
      </c>
      <c r="D1563" s="4" t="s">
        <v>5579</v>
      </c>
      <c r="E1563" s="4" t="s">
        <v>10594</v>
      </c>
      <c r="F1563" s="4" t="s">
        <v>10595</v>
      </c>
      <c r="G1563" s="4" t="s">
        <v>718</v>
      </c>
      <c r="H1563" s="4" t="str">
        <f>IFERROR(__XLUDF.DUMMYFUNCTION("PROPER(REGEXREPLACE(G140,""[^A-Za-z]+ "",""""))"),"Line")</f>
        <v>Line</v>
      </c>
      <c r="I1563" s="5" t="s">
        <v>10596</v>
      </c>
      <c r="J1563" s="4" t="s">
        <v>10597</v>
      </c>
      <c r="K1563" s="4" t="s">
        <v>9193</v>
      </c>
      <c r="L1563" s="4" t="s">
        <v>29</v>
      </c>
      <c r="M1563" s="4" t="s">
        <v>4067</v>
      </c>
      <c r="N1563" s="4" t="str">
        <f>IFERROR(__XLUDF.DUMMYFUNCTION("VLOOKUP(M140,IMPORTRANGE(""https://docs.google.com/spreadsheets/d/1opm6ZNvGZ7KditA9TuJwrZ25eFLfTNIkrNnY6mhV5Eg"",""list!A1:C115""),3,TRUE)"),"le secteur du conseil en management")</f>
        <v xml:space="preserve">le secteur du conseil en management</v>
      </c>
      <c r="O1563" s="4" t="s">
        <v>10598</v>
      </c>
      <c r="P1563" s="4">
        <v>25</v>
      </c>
      <c r="Q1563" s="6"/>
      <c r="R1563" s="6"/>
      <c r="S1563" s="6"/>
      <c r="T1563" s="5" t="s">
        <v>10599</v>
      </c>
      <c r="U1563" s="6"/>
      <c r="V1563" s="6"/>
      <c r="W1563" s="6"/>
      <c r="X1563" s="6"/>
      <c r="Y1563" s="4" t="s">
        <v>10600</v>
      </c>
      <c r="Z1563" s="6"/>
      <c r="AA1563" s="5" t="s">
        <v>10601</v>
      </c>
    </row>
    <row r="1564" ht="14.25">
      <c r="B1564" s="4" t="s">
        <v>10602</v>
      </c>
      <c r="C1564" s="4" t="s">
        <v>734</v>
      </c>
      <c r="D1564" s="4" t="s">
        <v>10603</v>
      </c>
      <c r="E1564" s="4" t="s">
        <v>10604</v>
      </c>
      <c r="F1564" s="4" t="s">
        <v>10605</v>
      </c>
      <c r="G1564" s="4" t="s">
        <v>10606</v>
      </c>
      <c r="H1564" s="4" t="str">
        <f>IFERROR(__XLUDF.DUMMYFUNCTION("PROPER(REGEXREPLACE(G141,""[^A-Za-z]+ "",""""))"),"Acses")</f>
        <v>Acses</v>
      </c>
      <c r="I1564" s="5" t="s">
        <v>10607</v>
      </c>
      <c r="J1564" s="6"/>
      <c r="K1564" s="6"/>
      <c r="L1564" s="4" t="s">
        <v>29</v>
      </c>
      <c r="M1564" s="4" t="s">
        <v>2602</v>
      </c>
      <c r="N1564" s="4" t="str">
        <f>IFERROR(__XLUDF.DUMMYFUNCTION("VLOOKUP(M141,IMPORTRANGE(""https://docs.google.com/spreadsheets/d/1opm6ZNvGZ7KditA9TuJwrZ25eFLfTNIkrNnY6mhV5Eg"",""list!A1:C115""),3,TRUE)"),"le secteur de la tech")</f>
        <v xml:space="preserve">le secteur de la tech</v>
      </c>
      <c r="O1564" s="6"/>
      <c r="P1564" s="4">
        <v>21</v>
      </c>
      <c r="Q1564" s="4" t="s">
        <v>39</v>
      </c>
      <c r="R1564" s="4" t="s">
        <v>9160</v>
      </c>
      <c r="S1564" s="4" t="s">
        <v>29</v>
      </c>
      <c r="T1564" s="5" t="s">
        <v>10608</v>
      </c>
      <c r="U1564" s="6"/>
      <c r="V1564" s="5" t="s">
        <v>10609</v>
      </c>
      <c r="W1564" s="6"/>
      <c r="X1564" s="6"/>
      <c r="Y1564" s="4" t="s">
        <v>10610</v>
      </c>
      <c r="Z1564" s="6"/>
      <c r="AA1564" s="5" t="s">
        <v>10611</v>
      </c>
    </row>
    <row r="1565" ht="14.25">
      <c r="B1565" s="4" t="s">
        <v>10612</v>
      </c>
      <c r="C1565" s="4" t="s">
        <v>734</v>
      </c>
      <c r="D1565" s="4" t="s">
        <v>10613</v>
      </c>
      <c r="E1565" s="4" t="s">
        <v>10614</v>
      </c>
      <c r="F1565" s="4" t="s">
        <v>10615</v>
      </c>
      <c r="G1565" s="4" t="s">
        <v>10616</v>
      </c>
      <c r="H1565" s="4" t="str">
        <f>IFERROR(__XLUDF.DUMMYFUNCTION("PROPER(REGEXREPLACE(G142,""[^A-Za-z]+ "",""""))"),"Gemstar Brands")</f>
        <v xml:space="preserve">Gemstar Brands</v>
      </c>
      <c r="I1565" s="5" t="s">
        <v>10617</v>
      </c>
      <c r="J1565" s="4" t="s">
        <v>585</v>
      </c>
      <c r="K1565" s="4" t="s">
        <v>9160</v>
      </c>
      <c r="L1565" s="4" t="s">
        <v>29</v>
      </c>
      <c r="M1565" s="4" t="s">
        <v>4525</v>
      </c>
      <c r="N1565" s="4" t="str">
        <f>IFERROR(__XLUDF.DUMMYFUNCTION("VLOOKUP(M142,IMPORTRANGE(""https://docs.google.com/spreadsheets/d/1opm6ZNvGZ7KditA9TuJwrZ25eFLfTNIkrNnY6mhV5Eg"",""list!A1:C115""),3,TRUE)"),"le secteur du retail")</f>
        <v xml:space="preserve">le secteur du retail</v>
      </c>
      <c r="O1565" s="4" t="s">
        <v>10618</v>
      </c>
      <c r="P1565" s="4">
        <v>23</v>
      </c>
      <c r="Q1565" s="4" t="s">
        <v>10619</v>
      </c>
      <c r="R1565" s="4" t="s">
        <v>9160</v>
      </c>
      <c r="S1565" s="4" t="s">
        <v>29</v>
      </c>
      <c r="T1565" s="5" t="s">
        <v>10620</v>
      </c>
      <c r="U1565" s="6"/>
      <c r="V1565" s="6"/>
      <c r="W1565" s="6"/>
      <c r="X1565" s="6"/>
      <c r="Y1565" s="4" t="s">
        <v>10621</v>
      </c>
      <c r="Z1565" s="6"/>
      <c r="AA1565" s="5" t="s">
        <v>10622</v>
      </c>
    </row>
    <row r="1566" ht="14.25">
      <c r="B1566" s="4" t="s">
        <v>10623</v>
      </c>
      <c r="C1566" s="4" t="s">
        <v>734</v>
      </c>
      <c r="D1566" s="4" t="s">
        <v>10624</v>
      </c>
      <c r="E1566" s="4" t="s">
        <v>10625</v>
      </c>
      <c r="F1566" s="4" t="s">
        <v>7185</v>
      </c>
      <c r="G1566" s="4" t="s">
        <v>10626</v>
      </c>
      <c r="H1566" s="4" t="str">
        <f>IFERROR(__XLUDF.DUMMYFUNCTION("PROPER(REGEXREPLACE(G143,""[^A-Za-z]+ "",""""))"),"Gestuel’Santé")</f>
        <v>Gestuel’Santé</v>
      </c>
      <c r="I1566" s="5" t="s">
        <v>10627</v>
      </c>
      <c r="J1566" s="4" t="s">
        <v>10628</v>
      </c>
      <c r="K1566" s="4" t="s">
        <v>9864</v>
      </c>
      <c r="L1566" s="4" t="s">
        <v>29</v>
      </c>
      <c r="M1566" s="4" t="s">
        <v>4067</v>
      </c>
      <c r="N1566" s="4" t="str">
        <f>IFERROR(__XLUDF.DUMMYFUNCTION("VLOOKUP(M143,IMPORTRANGE(""https://docs.google.com/spreadsheets/d/1opm6ZNvGZ7KditA9TuJwrZ25eFLfTNIkrNnY6mhV5Eg"",""list!A1:C115""),3,TRUE)"),"le secteur du conseil en management")</f>
        <v xml:space="preserve">le secteur du conseil en management</v>
      </c>
      <c r="O1566" s="4" t="s">
        <v>10629</v>
      </c>
      <c r="P1566" s="4">
        <v>14</v>
      </c>
      <c r="Q1566" s="4" t="s">
        <v>10628</v>
      </c>
      <c r="R1566" s="4" t="s">
        <v>10630</v>
      </c>
      <c r="S1566" s="4" t="s">
        <v>29</v>
      </c>
      <c r="T1566" s="5" t="s">
        <v>10631</v>
      </c>
      <c r="U1566" s="6"/>
      <c r="V1566" s="5" t="s">
        <v>10632</v>
      </c>
      <c r="W1566" s="6"/>
      <c r="X1566" s="6"/>
      <c r="Y1566" s="4" t="s">
        <v>10633</v>
      </c>
      <c r="Z1566" s="6"/>
      <c r="AA1566" s="5" t="s">
        <v>10634</v>
      </c>
    </row>
    <row r="1567" ht="14.25">
      <c r="B1567" s="4" t="s">
        <v>10635</v>
      </c>
      <c r="C1567" s="4" t="s">
        <v>2303</v>
      </c>
      <c r="D1567" s="4" t="s">
        <v>1619</v>
      </c>
      <c r="E1567" s="4" t="s">
        <v>10636</v>
      </c>
      <c r="F1567" s="4" t="s">
        <v>4586</v>
      </c>
      <c r="G1567" s="4" t="s">
        <v>10637</v>
      </c>
      <c r="H1567" s="4" t="str">
        <f>IFERROR(__XLUDF.DUMMYFUNCTION("PROPER(REGEXREPLACE(G144,""[^A-Za-z]+ "",""""))"),"Agence We&amp;")</f>
        <v xml:space="preserve">Agence We&amp;</v>
      </c>
      <c r="I1567" s="5" t="s">
        <v>10638</v>
      </c>
      <c r="J1567" s="4" t="s">
        <v>846</v>
      </c>
      <c r="K1567" s="4" t="s">
        <v>9278</v>
      </c>
      <c r="L1567" s="4" t="s">
        <v>29</v>
      </c>
      <c r="M1567" s="4" t="s">
        <v>10639</v>
      </c>
      <c r="N1567" s="4" t="str">
        <f>IFERROR(__XLUDF.DUMMYFUNCTION("VLOOKUP(M144,IMPORTRANGE(""https://docs.google.com/spreadsheets/d/1opm6ZNvGZ7KditA9TuJwrZ25eFLfTNIkrNnY6mhV5Eg"",""list!A1:C115""),3,TRUE)"),"le secteur de la communication")</f>
        <v xml:space="preserve">le secteur de la communication</v>
      </c>
      <c r="O1567" s="4" t="s">
        <v>10640</v>
      </c>
      <c r="P1567" s="4">
        <v>33</v>
      </c>
      <c r="Q1567" s="4" t="s">
        <v>243</v>
      </c>
      <c r="R1567" s="4" t="s">
        <v>9864</v>
      </c>
      <c r="S1567" s="4" t="s">
        <v>29</v>
      </c>
      <c r="T1567" s="5" t="s">
        <v>10641</v>
      </c>
      <c r="U1567" s="6"/>
      <c r="V1567" s="5" t="s">
        <v>9981</v>
      </c>
      <c r="W1567" s="6"/>
      <c r="X1567" s="6"/>
      <c r="Y1567" s="4" t="s">
        <v>10642</v>
      </c>
      <c r="Z1567" s="6"/>
      <c r="AA1567" s="5" t="s">
        <v>10643</v>
      </c>
    </row>
    <row r="1568" ht="14.25">
      <c r="B1568" s="4" t="s">
        <v>10644</v>
      </c>
      <c r="C1568" s="4" t="s">
        <v>2303</v>
      </c>
      <c r="D1568" s="4" t="s">
        <v>10645</v>
      </c>
      <c r="E1568" s="4" t="s">
        <v>10646</v>
      </c>
      <c r="F1568" s="4" t="s">
        <v>2645</v>
      </c>
      <c r="G1568" s="4" t="s">
        <v>10647</v>
      </c>
      <c r="H1568" s="4" t="str">
        <f>IFERROR(__XLUDF.DUMMYFUNCTION("PROPER(REGEXREPLACE(G145,""[^A-Za-z]+ "",""""))"),"Nostalgift")</f>
        <v>Nostalgift</v>
      </c>
      <c r="I1568" s="5" t="s">
        <v>10648</v>
      </c>
      <c r="J1568" s="6"/>
      <c r="K1568" s="4" t="s">
        <v>9160</v>
      </c>
      <c r="L1568" s="4" t="s">
        <v>29</v>
      </c>
      <c r="M1568" s="4" t="s">
        <v>4525</v>
      </c>
      <c r="N1568" s="4" t="str">
        <f>IFERROR(__XLUDF.DUMMYFUNCTION("VLOOKUP(M145,IMPORTRANGE(""https://docs.google.com/spreadsheets/d/1opm6ZNvGZ7KditA9TuJwrZ25eFLfTNIkrNnY6mhV5Eg"",""list!A1:C115""),3,TRUE)"),"le secteur du retail")</f>
        <v xml:space="preserve">le secteur du retail</v>
      </c>
      <c r="O1568" s="6"/>
      <c r="P1568" s="4">
        <v>11</v>
      </c>
      <c r="Q1568" s="4" t="s">
        <v>10649</v>
      </c>
      <c r="R1568" s="4" t="s">
        <v>9160</v>
      </c>
      <c r="S1568" s="4" t="s">
        <v>29</v>
      </c>
      <c r="T1568" s="5" t="s">
        <v>10650</v>
      </c>
      <c r="U1568" s="5" t="s">
        <v>10651</v>
      </c>
      <c r="V1568" s="5" t="s">
        <v>10652</v>
      </c>
      <c r="W1568" s="6"/>
      <c r="X1568" s="6"/>
      <c r="Y1568" s="4" t="s">
        <v>10653</v>
      </c>
      <c r="Z1568" s="6"/>
      <c r="AA1568" s="5" t="s">
        <v>10654</v>
      </c>
    </row>
    <row r="1569" ht="14.25">
      <c r="B1569" s="4" t="s">
        <v>10655</v>
      </c>
      <c r="C1569" s="4" t="s">
        <v>3673</v>
      </c>
      <c r="D1569" s="4" t="s">
        <v>10656</v>
      </c>
      <c r="E1569" s="4" t="s">
        <v>10657</v>
      </c>
      <c r="F1569" s="4" t="s">
        <v>10658</v>
      </c>
      <c r="G1569" s="4" t="s">
        <v>10659</v>
      </c>
      <c r="H1569" s="4" t="str">
        <f>IFERROR(__XLUDF.DUMMYFUNCTION("PROPER(REGEXREPLACE(G146,""[^A-Za-z]+ "",""""))"),"Vakom Le Sens De L'Humain")</f>
        <v xml:space="preserve">Vakom Le Sens De L'Humain</v>
      </c>
      <c r="I1569" s="5" t="s">
        <v>10660</v>
      </c>
      <c r="J1569" s="4" t="s">
        <v>10661</v>
      </c>
      <c r="K1569" s="4" t="s">
        <v>9460</v>
      </c>
      <c r="L1569" s="4" t="s">
        <v>29</v>
      </c>
      <c r="M1569" s="4" t="s">
        <v>4067</v>
      </c>
      <c r="N1569" s="4" t="str">
        <f>IFERROR(__XLUDF.DUMMYFUNCTION("VLOOKUP(M146,IMPORTRANGE(""https://docs.google.com/spreadsheets/d/1opm6ZNvGZ7KditA9TuJwrZ25eFLfTNIkrNnY6mhV5Eg"",""list!A1:C115""),3,TRUE)"),"le secteur du conseil en management")</f>
        <v xml:space="preserve">le secteur du conseil en management</v>
      </c>
      <c r="O1569" s="4" t="s">
        <v>10662</v>
      </c>
      <c r="P1569" s="4">
        <v>49</v>
      </c>
      <c r="Q1569" s="4" t="s">
        <v>492</v>
      </c>
      <c r="R1569" s="4" t="s">
        <v>9267</v>
      </c>
      <c r="S1569" s="4" t="s">
        <v>29</v>
      </c>
      <c r="T1569" s="5" t="s">
        <v>10663</v>
      </c>
      <c r="U1569" s="6"/>
      <c r="V1569" s="5" t="s">
        <v>10664</v>
      </c>
      <c r="W1569" s="6"/>
      <c r="X1569" s="6"/>
      <c r="Y1569" s="4" t="s">
        <v>10665</v>
      </c>
      <c r="Z1569" s="6"/>
      <c r="AA1569" s="5" t="s">
        <v>10666</v>
      </c>
    </row>
    <row r="1570" ht="14.25">
      <c r="B1570" s="4" t="s">
        <v>10667</v>
      </c>
      <c r="C1570" s="4" t="s">
        <v>222</v>
      </c>
      <c r="D1570" s="4" t="s">
        <v>10668</v>
      </c>
      <c r="E1570" s="4" t="s">
        <v>10669</v>
      </c>
      <c r="F1570" s="4" t="s">
        <v>7759</v>
      </c>
      <c r="G1570" s="4" t="s">
        <v>10670</v>
      </c>
      <c r="H1570" s="4" t="str">
        <f>IFERROR(__XLUDF.DUMMYFUNCTION("PROPER(REGEXREPLACE(G147,""[^A-Za-z]+ "",""""))"),"Daucalis")</f>
        <v>Daucalis</v>
      </c>
      <c r="I1570" s="5" t="s">
        <v>10671</v>
      </c>
      <c r="J1570" s="4" t="s">
        <v>1711</v>
      </c>
      <c r="K1570" s="4" t="s">
        <v>9350</v>
      </c>
      <c r="L1570" s="4" t="s">
        <v>29</v>
      </c>
      <c r="M1570" s="4" t="s">
        <v>9239</v>
      </c>
      <c r="N1570" s="4" t="str">
        <f>IFERROR(__XLUDF.DUMMYFUNCTION("VLOOKUP(M147,IMPORTRANGE(""https://docs.google.com/spreadsheets/d/1opm6ZNvGZ7KditA9TuJwrZ25eFLfTNIkrNnY6mhV5Eg"",""list!A1:C115""),3,TRUE)"),"le secteur de la construction")</f>
        <v xml:space="preserve">le secteur de la construction</v>
      </c>
      <c r="O1570" s="6"/>
      <c r="P1570" s="4">
        <v>11</v>
      </c>
      <c r="Q1570" s="4" t="s">
        <v>10672</v>
      </c>
      <c r="R1570" s="4" t="s">
        <v>9350</v>
      </c>
      <c r="S1570" s="4" t="s">
        <v>29</v>
      </c>
      <c r="T1570" s="5" t="s">
        <v>10673</v>
      </c>
      <c r="U1570" s="6"/>
      <c r="V1570" s="5" t="s">
        <v>9981</v>
      </c>
      <c r="W1570" s="6"/>
      <c r="X1570" s="6"/>
      <c r="Y1570" s="4" t="s">
        <v>10674</v>
      </c>
      <c r="Z1570" s="6"/>
      <c r="AA1570" s="5" t="s">
        <v>10675</v>
      </c>
    </row>
    <row r="1571" ht="14.25">
      <c r="B1571" s="4" t="s">
        <v>10676</v>
      </c>
      <c r="C1571" s="4" t="s">
        <v>222</v>
      </c>
      <c r="D1571" s="4" t="s">
        <v>10677</v>
      </c>
      <c r="E1571" s="4" t="s">
        <v>10678</v>
      </c>
      <c r="F1571" s="4" t="s">
        <v>112</v>
      </c>
      <c r="G1571" s="4" t="s">
        <v>10679</v>
      </c>
      <c r="H1571" s="4" t="str">
        <f>IFERROR(__XLUDF.DUMMYFUNCTION("PROPER(REGEXREPLACE(G148,""[^A-Za-z]+ "",""""))"),"Correlium")</f>
        <v>Correlium</v>
      </c>
      <c r="I1571" s="5" t="s">
        <v>10680</v>
      </c>
      <c r="J1571" s="4" t="s">
        <v>39</v>
      </c>
      <c r="K1571" s="4" t="s">
        <v>9160</v>
      </c>
      <c r="L1571" s="4" t="s">
        <v>29</v>
      </c>
      <c r="M1571" s="4" t="s">
        <v>4067</v>
      </c>
      <c r="N1571" s="4" t="str">
        <f>IFERROR(__XLUDF.DUMMYFUNCTION("VLOOKUP(M148,IMPORTRANGE(""https://docs.google.com/spreadsheets/d/1opm6ZNvGZ7KditA9TuJwrZ25eFLfTNIkrNnY6mhV5Eg"",""list!A1:C115""),3,TRUE)"),"le secteur du conseil en management")</f>
        <v xml:space="preserve">le secteur du conseil en management</v>
      </c>
      <c r="O1571" s="4" t="s">
        <v>10681</v>
      </c>
      <c r="P1571" s="4">
        <v>13</v>
      </c>
      <c r="Q1571" s="4" t="s">
        <v>39</v>
      </c>
      <c r="R1571" s="4" t="s">
        <v>9160</v>
      </c>
      <c r="S1571" s="4" t="s">
        <v>29</v>
      </c>
      <c r="T1571" s="5" t="s">
        <v>10682</v>
      </c>
      <c r="U1571" s="6"/>
      <c r="V1571" s="6"/>
      <c r="W1571" s="6"/>
      <c r="X1571" s="6"/>
      <c r="Y1571" s="4" t="s">
        <v>10683</v>
      </c>
      <c r="Z1571" s="6"/>
      <c r="AA1571" s="5" t="s">
        <v>10684</v>
      </c>
    </row>
    <row r="1572" ht="14.25">
      <c r="B1572" s="4" t="s">
        <v>10685</v>
      </c>
      <c r="C1572" s="4" t="s">
        <v>4012</v>
      </c>
      <c r="D1572" s="4" t="s">
        <v>10686</v>
      </c>
      <c r="E1572" s="4" t="s">
        <v>10687</v>
      </c>
      <c r="F1572" s="4" t="s">
        <v>112</v>
      </c>
      <c r="G1572" s="4" t="s">
        <v>10688</v>
      </c>
      <c r="H1572" s="4" t="str">
        <f>IFERROR(__XLUDF.DUMMYFUNCTION("PROPER(REGEXREPLACE(G149,""[^A-Za-z]+ "",""""))"),"Safebear")</f>
        <v>Safebear</v>
      </c>
      <c r="I1572" s="5" t="s">
        <v>10689</v>
      </c>
      <c r="J1572" s="4" t="s">
        <v>39</v>
      </c>
      <c r="K1572" s="4" t="s">
        <v>9160</v>
      </c>
      <c r="L1572" s="4" t="s">
        <v>29</v>
      </c>
      <c r="M1572" s="4" t="s">
        <v>2602</v>
      </c>
      <c r="N1572" s="4" t="str">
        <f>IFERROR(__XLUDF.DUMMYFUNCTION("VLOOKUP(M149,IMPORTRANGE(""https://docs.google.com/spreadsheets/d/1opm6ZNvGZ7KditA9TuJwrZ25eFLfTNIkrNnY6mhV5Eg"",""list!A1:C115""),3,TRUE)"),"le secteur de la tech")</f>
        <v xml:space="preserve">le secteur de la tech</v>
      </c>
      <c r="O1572" s="6"/>
      <c r="P1572" s="4">
        <v>12</v>
      </c>
      <c r="Q1572" s="4" t="s">
        <v>39</v>
      </c>
      <c r="R1572" s="4" t="s">
        <v>9160</v>
      </c>
      <c r="S1572" s="4" t="s">
        <v>29</v>
      </c>
      <c r="T1572" s="5" t="s">
        <v>10690</v>
      </c>
      <c r="U1572" s="6"/>
      <c r="V1572" s="6"/>
      <c r="W1572" s="6"/>
      <c r="X1572" s="6"/>
      <c r="Y1572" s="4" t="s">
        <v>10691</v>
      </c>
      <c r="Z1572" s="6"/>
      <c r="AA1572" s="5" t="s">
        <v>10692</v>
      </c>
    </row>
    <row r="1573" ht="14.25">
      <c r="B1573" s="4" t="s">
        <v>10693</v>
      </c>
      <c r="C1573" s="4" t="s">
        <v>10694</v>
      </c>
      <c r="D1573" s="4" t="s">
        <v>10695</v>
      </c>
      <c r="E1573" s="4" t="s">
        <v>10696</v>
      </c>
      <c r="F1573" s="4" t="s">
        <v>44</v>
      </c>
      <c r="G1573" s="4" t="s">
        <v>10697</v>
      </c>
      <c r="H1573" s="4" t="str">
        <f>IFERROR(__XLUDF.DUMMYFUNCTION("PROPER(REGEXREPLACE(G150,""[^A-Za-z]+ "",""""))"),"The Seed Crew")</f>
        <v xml:space="preserve">The Seed Crew</v>
      </c>
      <c r="I1573" s="5" t="s">
        <v>10698</v>
      </c>
      <c r="J1573" s="4" t="s">
        <v>10699</v>
      </c>
      <c r="K1573" s="4" t="s">
        <v>9460</v>
      </c>
      <c r="L1573" s="4" t="s">
        <v>29</v>
      </c>
      <c r="M1573" s="4" t="s">
        <v>4067</v>
      </c>
      <c r="N1573" s="4" t="str">
        <f>IFERROR(__XLUDF.DUMMYFUNCTION("VLOOKUP(M150,IMPORTRANGE(""https://docs.google.com/spreadsheets/d/1opm6ZNvGZ7KditA9TuJwrZ25eFLfTNIkrNnY6mhV5Eg"",""list!A1:C115""),3,TRUE)"),"le secteur du conseil en management")</f>
        <v xml:space="preserve">le secteur du conseil en management</v>
      </c>
      <c r="O1573" s="4" t="s">
        <v>10700</v>
      </c>
      <c r="P1573" s="4">
        <v>11</v>
      </c>
      <c r="Q1573" s="4" t="s">
        <v>83</v>
      </c>
      <c r="R1573" s="4" t="s">
        <v>9463</v>
      </c>
      <c r="S1573" s="4" t="s">
        <v>29</v>
      </c>
      <c r="T1573" s="5" t="s">
        <v>10701</v>
      </c>
      <c r="U1573" s="6"/>
      <c r="V1573" s="6"/>
      <c r="W1573" s="6"/>
      <c r="X1573" s="6"/>
      <c r="Y1573" s="4" t="s">
        <v>10702</v>
      </c>
      <c r="Z1573" s="6"/>
      <c r="AA1573" s="5" t="s">
        <v>10703</v>
      </c>
    </row>
    <row r="1574" ht="14.25">
      <c r="B1574" s="4" t="s">
        <v>10704</v>
      </c>
      <c r="C1574" s="4" t="s">
        <v>10705</v>
      </c>
      <c r="D1574" s="4" t="s">
        <v>10706</v>
      </c>
      <c r="E1574" s="4" t="s">
        <v>10707</v>
      </c>
      <c r="F1574" s="4" t="s">
        <v>112</v>
      </c>
      <c r="G1574" s="4" t="s">
        <v>10708</v>
      </c>
      <c r="H1574" s="4" t="str">
        <f>IFERROR(__XLUDF.DUMMYFUNCTION("PROPER(REGEXREPLACE(G151,""[^A-Za-z]+ "",""""))"),"Alsad")</f>
        <v>Alsad</v>
      </c>
      <c r="I1574" s="5" t="s">
        <v>10709</v>
      </c>
      <c r="J1574" s="6"/>
      <c r="K1574" s="6"/>
      <c r="L1574" s="4" t="s">
        <v>29</v>
      </c>
      <c r="M1574" s="4" t="s">
        <v>9239</v>
      </c>
      <c r="N1574" s="4" t="str">
        <f>IFERROR(__XLUDF.DUMMYFUNCTION("VLOOKUP(M151,IMPORTRANGE(""https://docs.google.com/spreadsheets/d/1opm6ZNvGZ7KditA9TuJwrZ25eFLfTNIkrNnY6mhV5Eg"",""list!A1:C115""),3,TRUE)"),"le secteur de la construction")</f>
        <v xml:space="preserve">le secteur de la construction</v>
      </c>
      <c r="O1574" s="6"/>
      <c r="P1574" s="4">
        <v>10</v>
      </c>
      <c r="Q1574" s="4" t="s">
        <v>39</v>
      </c>
      <c r="R1574" s="4" t="s">
        <v>9160</v>
      </c>
      <c r="S1574" s="4" t="s">
        <v>29</v>
      </c>
      <c r="T1574" s="5" t="s">
        <v>10710</v>
      </c>
      <c r="U1574" s="6"/>
      <c r="V1574" s="6"/>
      <c r="W1574" s="6"/>
      <c r="X1574" s="6"/>
      <c r="Y1574" s="6"/>
      <c r="Z1574" s="6"/>
      <c r="AA1574" s="5" t="s">
        <v>10711</v>
      </c>
    </row>
    <row r="1575" ht="14.25">
      <c r="B1575" s="4" t="s">
        <v>10712</v>
      </c>
      <c r="C1575" s="4" t="s">
        <v>1667</v>
      </c>
      <c r="D1575" s="4" t="s">
        <v>10713</v>
      </c>
      <c r="E1575" s="4" t="s">
        <v>10714</v>
      </c>
      <c r="F1575" s="4" t="s">
        <v>7759</v>
      </c>
      <c r="G1575" s="4" t="s">
        <v>10715</v>
      </c>
      <c r="H1575" s="4" t="str">
        <f>IFERROR(__XLUDF.DUMMYFUNCTION("PROPER(REGEXREPLACE(G152,""[^A-Za-z]+ "",""""))"),"Perform Industrie")</f>
        <v xml:space="preserve">Perform Industrie</v>
      </c>
      <c r="I1575" s="5" t="s">
        <v>10716</v>
      </c>
      <c r="J1575" s="4" t="s">
        <v>10717</v>
      </c>
      <c r="K1575" s="4" t="s">
        <v>9864</v>
      </c>
      <c r="L1575" s="4" t="s">
        <v>29</v>
      </c>
      <c r="M1575" s="4" t="s">
        <v>4525</v>
      </c>
      <c r="N1575" s="4" t="str">
        <f>IFERROR(__XLUDF.DUMMYFUNCTION("VLOOKUP(M152,IMPORTRANGE(""https://docs.google.com/spreadsheets/d/1opm6ZNvGZ7KditA9TuJwrZ25eFLfTNIkrNnY6mhV5Eg"",""list!A1:C115""),3,TRUE)"),"le secteur du retail")</f>
        <v xml:space="preserve">le secteur du retail</v>
      </c>
      <c r="O1575" s="4" t="s">
        <v>10718</v>
      </c>
      <c r="P1575" s="4">
        <v>10</v>
      </c>
      <c r="Q1575" s="4" t="s">
        <v>10717</v>
      </c>
      <c r="R1575" s="4" t="s">
        <v>10098</v>
      </c>
      <c r="S1575" s="4" t="s">
        <v>29</v>
      </c>
      <c r="T1575" s="5" t="s">
        <v>10719</v>
      </c>
      <c r="U1575" s="6"/>
      <c r="V1575" s="5" t="s">
        <v>10720</v>
      </c>
      <c r="W1575" s="6"/>
      <c r="X1575" s="6"/>
      <c r="Y1575" s="4" t="s">
        <v>10721</v>
      </c>
      <c r="Z1575" s="6"/>
      <c r="AA1575" s="5" t="s">
        <v>10722</v>
      </c>
    </row>
    <row r="1576" ht="14.25">
      <c r="B1576" s="4" t="s">
        <v>10723</v>
      </c>
      <c r="C1576" s="4" t="s">
        <v>1667</v>
      </c>
      <c r="D1576" s="4" t="s">
        <v>10724</v>
      </c>
      <c r="E1576" s="4" t="s">
        <v>10725</v>
      </c>
      <c r="F1576" s="4" t="s">
        <v>172</v>
      </c>
      <c r="G1576" s="4" t="s">
        <v>10726</v>
      </c>
      <c r="H1576" s="4" t="str">
        <f>IFERROR(__XLUDF.DUMMYFUNCTION("PROPER(REGEXREPLACE(G153,""[^A-Za-z]+ "",""""))"),"Harribey Constructions")</f>
        <v xml:space="preserve">Harribey Constructions</v>
      </c>
      <c r="I1576" s="5" t="s">
        <v>10727</v>
      </c>
      <c r="J1576" s="6"/>
      <c r="K1576" s="4" t="s">
        <v>9864</v>
      </c>
      <c r="L1576" s="4" t="s">
        <v>29</v>
      </c>
      <c r="M1576" s="4" t="s">
        <v>9239</v>
      </c>
      <c r="N1576" s="4" t="str">
        <f>IFERROR(__XLUDF.DUMMYFUNCTION("VLOOKUP(M153,IMPORTRANGE(""https://docs.google.com/spreadsheets/d/1opm6ZNvGZ7KditA9TuJwrZ25eFLfTNIkrNnY6mhV5Eg"",""list!A1:C115""),3,TRUE)"),"le secteur de la construction")</f>
        <v xml:space="preserve">le secteur de la construction</v>
      </c>
      <c r="O1576" s="6"/>
      <c r="P1576" s="4">
        <v>24</v>
      </c>
      <c r="Q1576" s="4" t="s">
        <v>1723</v>
      </c>
      <c r="R1576" s="4" t="s">
        <v>9864</v>
      </c>
      <c r="S1576" s="4" t="s">
        <v>29</v>
      </c>
      <c r="T1576" s="5" t="s">
        <v>10728</v>
      </c>
      <c r="U1576" s="6"/>
      <c r="V1576" s="6"/>
      <c r="W1576" s="6"/>
      <c r="X1576" s="6"/>
      <c r="Y1576" s="4" t="s">
        <v>10729</v>
      </c>
      <c r="Z1576" s="6"/>
      <c r="AA1576" s="5" t="s">
        <v>10730</v>
      </c>
    </row>
    <row r="1577" ht="14.25">
      <c r="B1577" s="4" t="s">
        <v>10731</v>
      </c>
      <c r="C1577" s="4" t="s">
        <v>4012</v>
      </c>
      <c r="D1577" s="4" t="s">
        <v>10732</v>
      </c>
      <c r="E1577" s="4" t="s">
        <v>10733</v>
      </c>
      <c r="F1577" s="4" t="s">
        <v>7759</v>
      </c>
      <c r="G1577" s="4" t="s">
        <v>10734</v>
      </c>
      <c r="H1577" s="4" t="str">
        <f>IFERROR(__XLUDF.DUMMYFUNCTION("PROPER(REGEXREPLACE(G154,""[^A-Za-z]+ "",""""))"),"C2Tmi")</f>
        <v>C2Tmi</v>
      </c>
      <c r="I1577" s="5" t="s">
        <v>10735</v>
      </c>
      <c r="J1577" s="4" t="s">
        <v>3898</v>
      </c>
      <c r="K1577" s="4" t="s">
        <v>10736</v>
      </c>
      <c r="L1577" s="4" t="s">
        <v>29</v>
      </c>
      <c r="M1577" s="4" t="s">
        <v>9239</v>
      </c>
      <c r="N1577" s="4" t="str">
        <f>IFERROR(__XLUDF.DUMMYFUNCTION("VLOOKUP(M154,IMPORTRANGE(""https://docs.google.com/spreadsheets/d/1opm6ZNvGZ7KditA9TuJwrZ25eFLfTNIkrNnY6mhV5Eg"",""list!A1:C115""),3,TRUE)"),"le secteur de la construction")</f>
        <v xml:space="preserve">le secteur de la construction</v>
      </c>
      <c r="O1577" s="4" t="s">
        <v>10737</v>
      </c>
      <c r="P1577" s="4">
        <v>13</v>
      </c>
      <c r="Q1577" s="4" t="s">
        <v>10738</v>
      </c>
      <c r="R1577" s="4" t="s">
        <v>9798</v>
      </c>
      <c r="S1577" s="4" t="s">
        <v>29</v>
      </c>
      <c r="T1577" s="5" t="s">
        <v>10739</v>
      </c>
      <c r="U1577" s="6"/>
      <c r="V1577" s="6"/>
      <c r="W1577" s="6"/>
      <c r="X1577" s="6"/>
      <c r="Y1577" s="4" t="s">
        <v>10740</v>
      </c>
      <c r="Z1577" s="6"/>
      <c r="AA1577" s="5" t="s">
        <v>10741</v>
      </c>
    </row>
    <row r="1578" ht="14.25">
      <c r="B1578" s="4" t="s">
        <v>10742</v>
      </c>
      <c r="C1578" s="4" t="s">
        <v>222</v>
      </c>
      <c r="D1578" s="4" t="s">
        <v>10743</v>
      </c>
      <c r="E1578" s="4" t="s">
        <v>10744</v>
      </c>
      <c r="F1578" s="4" t="s">
        <v>10745</v>
      </c>
      <c r="G1578" s="4" t="s">
        <v>10746</v>
      </c>
      <c r="H1578" s="4" t="str">
        <f>IFERROR(__XLUDF.DUMMYFUNCTION("PROPER(REGEXREPLACE(G155,""[^A-Za-z]+ "",""""))"),"Isis")</f>
        <v>Isis</v>
      </c>
      <c r="I1578" s="5" t="s">
        <v>10747</v>
      </c>
      <c r="J1578" s="4" t="s">
        <v>39</v>
      </c>
      <c r="K1578" s="4" t="s">
        <v>9160</v>
      </c>
      <c r="L1578" s="4" t="s">
        <v>29</v>
      </c>
      <c r="M1578" s="4" t="s">
        <v>2602</v>
      </c>
      <c r="N1578" s="4" t="str">
        <f>IFERROR(__XLUDF.DUMMYFUNCTION("VLOOKUP(M155,IMPORTRANGE(""https://docs.google.com/spreadsheets/d/1opm6ZNvGZ7KditA9TuJwrZ25eFLfTNIkrNnY6mhV5Eg"",""list!A1:C115""),3,TRUE)"),"le secteur de la tech")</f>
        <v xml:space="preserve">le secteur de la tech</v>
      </c>
      <c r="O1578" s="4" t="s">
        <v>10748</v>
      </c>
      <c r="P1578" s="4">
        <v>13</v>
      </c>
      <c r="Q1578" s="4" t="s">
        <v>10749</v>
      </c>
      <c r="R1578" s="4" t="s">
        <v>9460</v>
      </c>
      <c r="S1578" s="4" t="s">
        <v>29</v>
      </c>
      <c r="T1578" s="5" t="s">
        <v>10750</v>
      </c>
      <c r="U1578" s="6"/>
      <c r="V1578" s="6"/>
      <c r="W1578" s="6"/>
      <c r="X1578" s="6"/>
      <c r="Y1578" s="4" t="s">
        <v>10751</v>
      </c>
      <c r="Z1578" s="6"/>
      <c r="AA1578" s="5" t="s">
        <v>10752</v>
      </c>
    </row>
    <row r="1579" ht="14.25">
      <c r="B1579" s="4" t="s">
        <v>10753</v>
      </c>
      <c r="C1579" s="4" t="s">
        <v>222</v>
      </c>
      <c r="D1579" s="4" t="s">
        <v>10754</v>
      </c>
      <c r="E1579" s="4" t="s">
        <v>10755</v>
      </c>
      <c r="F1579" s="4" t="s">
        <v>10756</v>
      </c>
      <c r="G1579" s="4" t="s">
        <v>10757</v>
      </c>
      <c r="H1579" s="4" t="str">
        <f>IFERROR(__XLUDF.DUMMYFUNCTION("PROPER(REGEXREPLACE(G156,""[^A-Za-z]+ "",""""))"),"Phenisys")</f>
        <v>Phenisys</v>
      </c>
      <c r="I1579" s="5" t="s">
        <v>10758</v>
      </c>
      <c r="J1579" s="4" t="s">
        <v>185</v>
      </c>
      <c r="K1579" s="4" t="s">
        <v>9193</v>
      </c>
      <c r="L1579" s="4" t="s">
        <v>29</v>
      </c>
      <c r="M1579" s="4" t="s">
        <v>2602</v>
      </c>
      <c r="N1579" s="4" t="str">
        <f>IFERROR(__XLUDF.DUMMYFUNCTION("VLOOKUP(M156,IMPORTRANGE(""https://docs.google.com/spreadsheets/d/1opm6ZNvGZ7KditA9TuJwrZ25eFLfTNIkrNnY6mhV5Eg"",""list!A1:C115""),3,TRUE)"),"le secteur de la tech")</f>
        <v xml:space="preserve">le secteur de la tech</v>
      </c>
      <c r="O1579" s="4" t="s">
        <v>10759</v>
      </c>
      <c r="P1579" s="4">
        <v>17</v>
      </c>
      <c r="Q1579" s="4" t="s">
        <v>185</v>
      </c>
      <c r="R1579" s="4" t="s">
        <v>9193</v>
      </c>
      <c r="S1579" s="4" t="s">
        <v>29</v>
      </c>
      <c r="T1579" s="5" t="s">
        <v>10760</v>
      </c>
      <c r="U1579" s="6"/>
      <c r="V1579" s="6"/>
      <c r="W1579" s="6"/>
      <c r="X1579" s="6"/>
      <c r="Y1579" s="4" t="s">
        <v>10761</v>
      </c>
      <c r="Z1579" s="6"/>
      <c r="AA1579" s="5" t="s">
        <v>10762</v>
      </c>
    </row>
    <row r="1580" ht="14.25">
      <c r="B1580" s="4" t="s">
        <v>10763</v>
      </c>
      <c r="C1580" s="4" t="s">
        <v>222</v>
      </c>
      <c r="D1580" s="4" t="s">
        <v>10764</v>
      </c>
      <c r="E1580" s="4" t="s">
        <v>10765</v>
      </c>
      <c r="F1580" s="4" t="s">
        <v>7716</v>
      </c>
      <c r="G1580" s="4" t="s">
        <v>10766</v>
      </c>
      <c r="H1580" s="4" t="str">
        <f>IFERROR(__XLUDF.DUMMYFUNCTION("PROPER(REGEXREPLACE(G157,""[^A-Za-z]+ "",""""))"),"Alfa-Safety")</f>
        <v>Alfa-Safety</v>
      </c>
      <c r="I1580" s="5" t="s">
        <v>10767</v>
      </c>
      <c r="J1580" s="4" t="s">
        <v>39</v>
      </c>
      <c r="K1580" s="4" t="s">
        <v>9160</v>
      </c>
      <c r="L1580" s="4" t="s">
        <v>29</v>
      </c>
      <c r="M1580" s="4" t="s">
        <v>2602</v>
      </c>
      <c r="N1580" s="4" t="str">
        <f>IFERROR(__XLUDF.DUMMYFUNCTION("VLOOKUP(M157,IMPORTRANGE(""https://docs.google.com/spreadsheets/d/1opm6ZNvGZ7KditA9TuJwrZ25eFLfTNIkrNnY6mhV5Eg"",""list!A1:C115""),3,TRUE)"),"le secteur de la tech")</f>
        <v xml:space="preserve">le secteur de la tech</v>
      </c>
      <c r="O1580" s="4" t="s">
        <v>10768</v>
      </c>
      <c r="P1580" s="4">
        <v>22</v>
      </c>
      <c r="Q1580" s="4" t="s">
        <v>1711</v>
      </c>
      <c r="R1580" s="4" t="s">
        <v>9350</v>
      </c>
      <c r="S1580" s="4" t="s">
        <v>29</v>
      </c>
      <c r="T1580" s="5" t="s">
        <v>10769</v>
      </c>
      <c r="U1580" s="6"/>
      <c r="V1580" s="6"/>
      <c r="W1580" s="6"/>
      <c r="X1580" s="6"/>
      <c r="Y1580" s="4" t="s">
        <v>10770</v>
      </c>
      <c r="Z1580" s="6"/>
      <c r="AA1580" s="5" t="s">
        <v>10771</v>
      </c>
    </row>
    <row r="1581" ht="14.25">
      <c r="B1581" s="4" t="s">
        <v>10772</v>
      </c>
      <c r="C1581" s="4" t="s">
        <v>3516</v>
      </c>
      <c r="D1581" s="4" t="s">
        <v>10773</v>
      </c>
      <c r="E1581" s="4" t="s">
        <v>10774</v>
      </c>
      <c r="F1581" s="4" t="s">
        <v>10775</v>
      </c>
      <c r="G1581" s="4" t="s">
        <v>10776</v>
      </c>
      <c r="H1581" s="4" t="str">
        <f>IFERROR(__XLUDF.DUMMYFUNCTION("PROPER(REGEXREPLACE(G158,""[^A-Za-z]+ "",""""))"),"Olacommunication")</f>
        <v>Olacommunication</v>
      </c>
      <c r="I1581" s="5" t="s">
        <v>10777</v>
      </c>
      <c r="J1581" s="4" t="s">
        <v>39</v>
      </c>
      <c r="K1581" s="4" t="s">
        <v>9160</v>
      </c>
      <c r="L1581" s="4" t="s">
        <v>29</v>
      </c>
      <c r="M1581" s="4" t="s">
        <v>2602</v>
      </c>
      <c r="N1581" s="4" t="str">
        <f>IFERROR(__XLUDF.DUMMYFUNCTION("VLOOKUP(M158,IMPORTRANGE(""https://docs.google.com/spreadsheets/d/1opm6ZNvGZ7KditA9TuJwrZ25eFLfTNIkrNnY6mhV5Eg"",""list!A1:C115""),3,TRUE)"),"le secteur de la tech")</f>
        <v xml:space="preserve">le secteur de la tech</v>
      </c>
      <c r="O1581" s="4" t="s">
        <v>10778</v>
      </c>
      <c r="P1581" s="4">
        <v>10</v>
      </c>
      <c r="Q1581" s="4" t="s">
        <v>39</v>
      </c>
      <c r="R1581" s="4" t="s">
        <v>9160</v>
      </c>
      <c r="S1581" s="4" t="s">
        <v>29</v>
      </c>
      <c r="T1581" s="5" t="s">
        <v>10779</v>
      </c>
      <c r="U1581" s="6"/>
      <c r="V1581" s="6"/>
      <c r="W1581" s="6"/>
      <c r="X1581" s="6"/>
      <c r="Y1581" s="4" t="s">
        <v>10780</v>
      </c>
      <c r="Z1581" s="6"/>
      <c r="AA1581" s="5" t="s">
        <v>10781</v>
      </c>
    </row>
    <row r="1582" ht="14.25">
      <c r="B1582" s="4" t="s">
        <v>10782</v>
      </c>
      <c r="C1582" s="4" t="s">
        <v>1725</v>
      </c>
      <c r="D1582" s="4" t="s">
        <v>10783</v>
      </c>
      <c r="E1582" s="4" t="s">
        <v>10784</v>
      </c>
      <c r="F1582" s="4" t="s">
        <v>7185</v>
      </c>
      <c r="G1582" s="4" t="s">
        <v>10785</v>
      </c>
      <c r="H1582" s="4" t="str">
        <f>IFERROR(__XLUDF.DUMMYFUNCTION("PROPER(REGEXREPLACE(G159,""[^A-Za-z]+ "",""""))"),"Inter'Face")</f>
        <v>Inter'Face</v>
      </c>
      <c r="I1582" s="5" t="s">
        <v>10786</v>
      </c>
      <c r="J1582" s="4" t="s">
        <v>423</v>
      </c>
      <c r="K1582" s="4" t="s">
        <v>9193</v>
      </c>
      <c r="L1582" s="4" t="s">
        <v>29</v>
      </c>
      <c r="M1582" s="4" t="s">
        <v>4067</v>
      </c>
      <c r="N1582" s="4" t="str">
        <f>IFERROR(__XLUDF.DUMMYFUNCTION("VLOOKUP(M159,IMPORTRANGE(""https://docs.google.com/spreadsheets/d/1opm6ZNvGZ7KditA9TuJwrZ25eFLfTNIkrNnY6mhV5Eg"",""list!A1:C115""),3,TRUE)"),"le secteur du conseil en management")</f>
        <v xml:space="preserve">le secteur du conseil en management</v>
      </c>
      <c r="O1582" s="6"/>
      <c r="P1582" s="4">
        <v>14</v>
      </c>
      <c r="Q1582" s="4" t="s">
        <v>10787</v>
      </c>
      <c r="R1582" s="4" t="s">
        <v>9193</v>
      </c>
      <c r="S1582" s="4" t="s">
        <v>29</v>
      </c>
      <c r="T1582" s="5" t="s">
        <v>10788</v>
      </c>
      <c r="U1582" s="6"/>
      <c r="V1582" s="6"/>
      <c r="W1582" s="6"/>
      <c r="X1582" s="6"/>
      <c r="Y1582" s="4" t="s">
        <v>10789</v>
      </c>
      <c r="Z1582" s="6"/>
      <c r="AA1582" s="5" t="s">
        <v>10790</v>
      </c>
    </row>
    <row r="1583" ht="14.25">
      <c r="B1583" s="4" t="s">
        <v>10791</v>
      </c>
      <c r="C1583" s="4" t="s">
        <v>245</v>
      </c>
      <c r="D1583" s="4" t="s">
        <v>10792</v>
      </c>
      <c r="E1583" s="4" t="s">
        <v>10793</v>
      </c>
      <c r="F1583" s="4" t="s">
        <v>10794</v>
      </c>
      <c r="G1583" s="4" t="s">
        <v>10795</v>
      </c>
      <c r="H1583" s="4" t="str">
        <f>IFERROR(__XLUDF.DUMMYFUNCTION("PROPER(REGEXREPLACE(G160,""[^A-Za-z]+ "",""""))"),"Lyde Conseil")</f>
        <v xml:space="preserve">Lyde Conseil</v>
      </c>
      <c r="I1583" s="5" t="s">
        <v>10796</v>
      </c>
      <c r="J1583" s="4" t="s">
        <v>39</v>
      </c>
      <c r="K1583" s="4" t="s">
        <v>9160</v>
      </c>
      <c r="L1583" s="4" t="s">
        <v>29</v>
      </c>
      <c r="M1583" s="4" t="s">
        <v>4067</v>
      </c>
      <c r="N1583" s="4" t="str">
        <f>IFERROR(__XLUDF.DUMMYFUNCTION("VLOOKUP(M160,IMPORTRANGE(""https://docs.google.com/spreadsheets/d/1opm6ZNvGZ7KditA9TuJwrZ25eFLfTNIkrNnY6mhV5Eg"",""list!A1:C115""),3,TRUE)"),"le secteur du conseil en management")</f>
        <v xml:space="preserve">le secteur du conseil en management</v>
      </c>
      <c r="O1583" s="4" t="s">
        <v>10797</v>
      </c>
      <c r="P1583" s="4">
        <v>18</v>
      </c>
      <c r="Q1583" s="4" t="s">
        <v>10798</v>
      </c>
      <c r="R1583" s="4" t="s">
        <v>9160</v>
      </c>
      <c r="S1583" s="4" t="s">
        <v>29</v>
      </c>
      <c r="T1583" s="5" t="s">
        <v>10799</v>
      </c>
      <c r="U1583" s="6"/>
      <c r="V1583" s="6"/>
      <c r="W1583" s="6"/>
      <c r="X1583" s="6"/>
      <c r="Y1583" s="4" t="s">
        <v>10800</v>
      </c>
      <c r="Z1583" s="6"/>
      <c r="AA1583" s="5" t="s">
        <v>10801</v>
      </c>
    </row>
    <row r="1584" ht="14.25">
      <c r="B1584" s="4" t="s">
        <v>10802</v>
      </c>
      <c r="C1584" s="4" t="s">
        <v>245</v>
      </c>
      <c r="D1584" s="4" t="s">
        <v>10803</v>
      </c>
      <c r="E1584" s="4" t="s">
        <v>10804</v>
      </c>
      <c r="F1584" s="4" t="s">
        <v>7759</v>
      </c>
      <c r="G1584" s="4" t="s">
        <v>10805</v>
      </c>
      <c r="H1584" s="4" t="str">
        <f>IFERROR(__XLUDF.DUMMYFUNCTION("PROPER(REGEXREPLACE(G161,""[^A-Za-z]+ "",""""))"),"Sofida")</f>
        <v>Sofida</v>
      </c>
      <c r="I1584" s="5" t="s">
        <v>10806</v>
      </c>
      <c r="J1584" s="4" t="s">
        <v>10807</v>
      </c>
      <c r="K1584" s="4" t="s">
        <v>9281</v>
      </c>
      <c r="L1584" s="4" t="s">
        <v>29</v>
      </c>
      <c r="M1584" s="4" t="s">
        <v>9239</v>
      </c>
      <c r="N1584" s="4" t="str">
        <f>IFERROR(__XLUDF.DUMMYFUNCTION("VLOOKUP(M161,IMPORTRANGE(""https://docs.google.com/spreadsheets/d/1opm6ZNvGZ7KditA9TuJwrZ25eFLfTNIkrNnY6mhV5Eg"",""list!A1:C115""),3,TRUE)"),"le secteur de la construction")</f>
        <v xml:space="preserve">le secteur de la construction</v>
      </c>
      <c r="O1584" s="4" t="s">
        <v>10808</v>
      </c>
      <c r="P1584" s="4">
        <v>14</v>
      </c>
      <c r="Q1584" s="4" t="s">
        <v>10809</v>
      </c>
      <c r="R1584" s="4" t="s">
        <v>9281</v>
      </c>
      <c r="S1584" s="4" t="s">
        <v>29</v>
      </c>
      <c r="T1584" s="5" t="s">
        <v>10810</v>
      </c>
      <c r="U1584" s="6"/>
      <c r="V1584" s="6"/>
      <c r="W1584" s="6"/>
      <c r="X1584" s="6"/>
      <c r="Y1584" s="4" t="s">
        <v>10811</v>
      </c>
      <c r="Z1584" s="6"/>
      <c r="AA1584" s="5" t="s">
        <v>10812</v>
      </c>
    </row>
    <row r="1585" ht="14.25">
      <c r="B1585" s="4" t="s">
        <v>10813</v>
      </c>
      <c r="C1585" s="4" t="s">
        <v>2483</v>
      </c>
      <c r="D1585" s="4" t="s">
        <v>10814</v>
      </c>
      <c r="E1585" s="4" t="s">
        <v>10815</v>
      </c>
      <c r="F1585" s="4" t="s">
        <v>10816</v>
      </c>
      <c r="G1585" s="4" t="s">
        <v>10817</v>
      </c>
      <c r="H1585" s="4" t="str">
        <f>IFERROR(__XLUDF.DUMMYFUNCTION("PROPER(REGEXREPLACE(G162,""[^A-Za-z]+ "",""""))"),"Iasagora")</f>
        <v>Iasagora</v>
      </c>
      <c r="I1585" s="5" t="s">
        <v>10818</v>
      </c>
      <c r="J1585" s="4" t="s">
        <v>39</v>
      </c>
      <c r="K1585" s="4" t="s">
        <v>9160</v>
      </c>
      <c r="L1585" s="4" t="s">
        <v>29</v>
      </c>
      <c r="M1585" s="4" t="s">
        <v>4067</v>
      </c>
      <c r="N1585" s="4" t="str">
        <f>IFERROR(__XLUDF.DUMMYFUNCTION("VLOOKUP(M162,IMPORTRANGE(""https://docs.google.com/spreadsheets/d/1opm6ZNvGZ7KditA9TuJwrZ25eFLfTNIkrNnY6mhV5Eg"",""list!A1:C115""),3,TRUE)"),"le secteur du conseil en management")</f>
        <v xml:space="preserve">le secteur du conseil en management</v>
      </c>
      <c r="O1585" s="4" t="s">
        <v>10819</v>
      </c>
      <c r="P1585" s="4">
        <v>10</v>
      </c>
      <c r="Q1585" s="4" t="s">
        <v>39</v>
      </c>
      <c r="R1585" s="4" t="s">
        <v>9160</v>
      </c>
      <c r="S1585" s="4" t="s">
        <v>29</v>
      </c>
      <c r="T1585" s="5" t="s">
        <v>10820</v>
      </c>
      <c r="U1585" s="6"/>
      <c r="V1585" s="6"/>
      <c r="W1585" s="6"/>
      <c r="X1585" s="6"/>
      <c r="Y1585" s="4" t="s">
        <v>10821</v>
      </c>
      <c r="Z1585" s="6"/>
      <c r="AA1585" s="5" t="s">
        <v>10822</v>
      </c>
    </row>
    <row r="1586" ht="14.25">
      <c r="B1586" s="4" t="s">
        <v>10823</v>
      </c>
      <c r="C1586" s="4" t="s">
        <v>2483</v>
      </c>
      <c r="D1586" s="4" t="s">
        <v>10824</v>
      </c>
      <c r="E1586" s="4" t="s">
        <v>10825</v>
      </c>
      <c r="F1586" s="4" t="s">
        <v>2636</v>
      </c>
      <c r="G1586" s="4" t="s">
        <v>10826</v>
      </c>
      <c r="H1586" s="4" t="str">
        <f>IFERROR(__XLUDF.DUMMYFUNCTION("PROPER(REGEXREPLACE(G163,""[^A-Za-z]+ "",""""))"),"Mazette !")</f>
        <v xml:space="preserve">Mazette !</v>
      </c>
      <c r="I1586" s="4" t="s">
        <v>10827</v>
      </c>
      <c r="J1586" s="4" t="s">
        <v>1745</v>
      </c>
      <c r="K1586" s="4" t="s">
        <v>9460</v>
      </c>
      <c r="L1586" s="4" t="s">
        <v>29</v>
      </c>
      <c r="M1586" s="4" t="s">
        <v>4067</v>
      </c>
      <c r="N1586" s="4" t="str">
        <f>IFERROR(__XLUDF.DUMMYFUNCTION("VLOOKUP(M163,IMPORTRANGE(""https://docs.google.com/spreadsheets/d/1opm6ZNvGZ7KditA9TuJwrZ25eFLfTNIkrNnY6mhV5Eg"",""list!A1:C115""),3,TRUE)"),"le secteur du conseil en management")</f>
        <v xml:space="preserve">le secteur du conseil en management</v>
      </c>
      <c r="O1586" s="4" t="s">
        <v>10828</v>
      </c>
      <c r="P1586" s="4">
        <v>14</v>
      </c>
      <c r="Q1586" s="4" t="s">
        <v>1745</v>
      </c>
      <c r="R1586" s="4" t="s">
        <v>10829</v>
      </c>
      <c r="S1586" s="4" t="s">
        <v>29</v>
      </c>
      <c r="T1586" s="5" t="s">
        <v>10830</v>
      </c>
      <c r="U1586" s="6"/>
      <c r="V1586" s="6"/>
      <c r="W1586" s="6"/>
      <c r="X1586" s="6"/>
      <c r="Y1586" s="4" t="s">
        <v>10831</v>
      </c>
      <c r="Z1586" s="6"/>
      <c r="AA1586" s="5" t="s">
        <v>10832</v>
      </c>
    </row>
    <row r="1587" ht="14.25">
      <c r="B1587" s="4" t="s">
        <v>10833</v>
      </c>
      <c r="C1587" s="4" t="s">
        <v>222</v>
      </c>
      <c r="D1587" s="4" t="s">
        <v>10834</v>
      </c>
      <c r="E1587" s="4" t="s">
        <v>10835</v>
      </c>
      <c r="F1587" s="4" t="s">
        <v>7759</v>
      </c>
      <c r="G1587" s="4" t="s">
        <v>10836</v>
      </c>
      <c r="H1587" s="4" t="str">
        <f>IFERROR(__XLUDF.DUMMYFUNCTION("PROPER(REGEXREPLACE(G164,""[^A-Za-z]+ "",""""))"),"Tec2E")</f>
        <v>Tec2E</v>
      </c>
      <c r="I1587" s="5" t="s">
        <v>10837</v>
      </c>
      <c r="J1587" s="4" t="s">
        <v>9330</v>
      </c>
      <c r="K1587" s="4" t="s">
        <v>9193</v>
      </c>
      <c r="L1587" s="4" t="s">
        <v>29</v>
      </c>
      <c r="M1587" s="4" t="s">
        <v>9239</v>
      </c>
      <c r="N1587" s="4" t="str">
        <f>IFERROR(__XLUDF.DUMMYFUNCTION("VLOOKUP(M164,IMPORTRANGE(""https://docs.google.com/spreadsheets/d/1opm6ZNvGZ7KditA9TuJwrZ25eFLfTNIkrNnY6mhV5Eg"",""list!A1:C115""),3,TRUE)"),"le secteur de la construction")</f>
        <v xml:space="preserve">le secteur de la construction</v>
      </c>
      <c r="O1587" s="4" t="s">
        <v>10838</v>
      </c>
      <c r="P1587" s="4">
        <v>34</v>
      </c>
      <c r="Q1587" s="4" t="s">
        <v>9330</v>
      </c>
      <c r="R1587" s="4" t="s">
        <v>9193</v>
      </c>
      <c r="S1587" s="4" t="s">
        <v>29</v>
      </c>
      <c r="T1587" s="5" t="s">
        <v>10839</v>
      </c>
      <c r="U1587" s="6"/>
      <c r="V1587" s="6"/>
      <c r="W1587" s="6"/>
      <c r="X1587" s="6"/>
      <c r="Y1587" s="4" t="s">
        <v>10840</v>
      </c>
      <c r="Z1587" s="6"/>
      <c r="AA1587" s="5" t="s">
        <v>10841</v>
      </c>
    </row>
    <row r="1588" ht="14.25">
      <c r="B1588" s="4" t="s">
        <v>10842</v>
      </c>
      <c r="C1588" s="4" t="s">
        <v>10843</v>
      </c>
      <c r="D1588" s="4" t="s">
        <v>10844</v>
      </c>
      <c r="E1588" s="4" t="s">
        <v>10845</v>
      </c>
      <c r="F1588" s="4" t="s">
        <v>9582</v>
      </c>
      <c r="G1588" s="4" t="s">
        <v>10846</v>
      </c>
      <c r="H1588" s="4" t="str">
        <f>IFERROR(__XLUDF.DUMMYFUNCTION("PROPER(REGEXREPLACE(G165,""[^A-Za-z]+ "",""""))"),"Altheo")</f>
        <v>Altheo</v>
      </c>
      <c r="I1588" s="5" t="s">
        <v>10847</v>
      </c>
      <c r="J1588" s="4" t="s">
        <v>39</v>
      </c>
      <c r="K1588" s="4" t="s">
        <v>9160</v>
      </c>
      <c r="L1588" s="4" t="s">
        <v>29</v>
      </c>
      <c r="M1588" s="4" t="s">
        <v>4067</v>
      </c>
      <c r="N1588" s="4" t="str">
        <f>IFERROR(__XLUDF.DUMMYFUNCTION("VLOOKUP(M165,IMPORTRANGE(""https://docs.google.com/spreadsheets/d/1opm6ZNvGZ7KditA9TuJwrZ25eFLfTNIkrNnY6mhV5Eg"",""list!A1:C115""),3,TRUE)"),"le secteur du conseil en management")</f>
        <v xml:space="preserve">le secteur du conseil en management</v>
      </c>
      <c r="O1588" s="4" t="s">
        <v>10848</v>
      </c>
      <c r="P1588" s="4">
        <v>11</v>
      </c>
      <c r="Q1588" s="4" t="s">
        <v>39</v>
      </c>
      <c r="R1588" s="4" t="s">
        <v>9160</v>
      </c>
      <c r="S1588" s="4" t="s">
        <v>29</v>
      </c>
      <c r="T1588" s="5" t="s">
        <v>10849</v>
      </c>
      <c r="U1588" s="5" t="s">
        <v>10850</v>
      </c>
      <c r="V1588" s="5" t="s">
        <v>10851</v>
      </c>
      <c r="W1588" s="6"/>
      <c r="X1588" s="6"/>
      <c r="Y1588" s="4" t="s">
        <v>10852</v>
      </c>
      <c r="Z1588" s="6"/>
      <c r="AA1588" s="5" t="s">
        <v>10853</v>
      </c>
    </row>
    <row r="1589" ht="14.25">
      <c r="B1589" s="4" t="s">
        <v>10854</v>
      </c>
      <c r="C1589" s="4" t="s">
        <v>222</v>
      </c>
      <c r="D1589" s="4" t="s">
        <v>10855</v>
      </c>
      <c r="E1589" s="4" t="s">
        <v>10856</v>
      </c>
      <c r="F1589" s="4" t="s">
        <v>172</v>
      </c>
      <c r="G1589" s="4" t="s">
        <v>10857</v>
      </c>
      <c r="H1589" s="4" t="str">
        <f>IFERROR(__XLUDF.DUMMYFUNCTION("PROPER(REGEXREPLACE(G166,""[^A-Za-z]+ "",""""))"),"Idkom")</f>
        <v>Idkom</v>
      </c>
      <c r="I1589" s="5" t="s">
        <v>10858</v>
      </c>
      <c r="J1589" s="6"/>
      <c r="K1589" s="6"/>
      <c r="L1589" s="4" t="s">
        <v>29</v>
      </c>
      <c r="M1589" s="4" t="s">
        <v>10639</v>
      </c>
      <c r="N1589" s="4" t="str">
        <f>IFERROR(__XLUDF.DUMMYFUNCTION("VLOOKUP(M166,IMPORTRANGE(""https://docs.google.com/spreadsheets/d/1opm6ZNvGZ7KditA9TuJwrZ25eFLfTNIkrNnY6mhV5Eg"",""list!A1:C115""),3,TRUE)"),"le secteur de la communication")</f>
        <v xml:space="preserve">le secteur de la communication</v>
      </c>
      <c r="O1589" s="6"/>
      <c r="P1589" s="4">
        <v>10</v>
      </c>
      <c r="Q1589" s="4" t="s">
        <v>10859</v>
      </c>
      <c r="R1589" s="4" t="s">
        <v>9473</v>
      </c>
      <c r="S1589" s="4" t="s">
        <v>29</v>
      </c>
      <c r="T1589" s="5" t="s">
        <v>10860</v>
      </c>
      <c r="U1589" s="6"/>
      <c r="V1589" s="5" t="s">
        <v>10861</v>
      </c>
      <c r="W1589" s="6"/>
      <c r="X1589" s="6"/>
      <c r="Y1589" s="6"/>
      <c r="Z1589" s="6"/>
      <c r="AA1589" s="5" t="s">
        <v>10862</v>
      </c>
    </row>
    <row r="1590" ht="14.25">
      <c r="B1590" s="4" t="s">
        <v>10863</v>
      </c>
      <c r="C1590" s="4" t="s">
        <v>10864</v>
      </c>
      <c r="D1590" s="4" t="s">
        <v>10865</v>
      </c>
      <c r="E1590" s="4" t="s">
        <v>10866</v>
      </c>
      <c r="F1590" s="4" t="s">
        <v>2636</v>
      </c>
      <c r="G1590" s="4" t="s">
        <v>10867</v>
      </c>
      <c r="H1590" s="4" t="str">
        <f>IFERROR(__XLUDF.DUMMYFUNCTION("PROPER(REGEXREPLACE(G167,""[^A-Za-z]+ "",""""))"),"La Coop Conseil")</f>
        <v xml:space="preserve">La Coop Conseil</v>
      </c>
      <c r="I1590" s="5" t="s">
        <v>10868</v>
      </c>
      <c r="J1590" s="4" t="s">
        <v>39</v>
      </c>
      <c r="K1590" s="4" t="s">
        <v>9160</v>
      </c>
      <c r="L1590" s="4" t="s">
        <v>29</v>
      </c>
      <c r="M1590" s="4" t="s">
        <v>4067</v>
      </c>
      <c r="N1590" s="4" t="str">
        <f>IFERROR(__XLUDF.DUMMYFUNCTION("VLOOKUP(M167,IMPORTRANGE(""https://docs.google.com/spreadsheets/d/1opm6ZNvGZ7KditA9TuJwrZ25eFLfTNIkrNnY6mhV5Eg"",""list!A1:C115""),3,TRUE)"),"le secteur du conseil en management")</f>
        <v xml:space="preserve">le secteur du conseil en management</v>
      </c>
      <c r="O1590" s="4" t="s">
        <v>10869</v>
      </c>
      <c r="P1590" s="4">
        <v>36</v>
      </c>
      <c r="Q1590" s="4" t="s">
        <v>39</v>
      </c>
      <c r="R1590" s="4" t="s">
        <v>9160</v>
      </c>
      <c r="S1590" s="4" t="s">
        <v>29</v>
      </c>
      <c r="T1590" s="5" t="s">
        <v>10870</v>
      </c>
      <c r="U1590" s="6"/>
      <c r="V1590" s="6"/>
      <c r="W1590" s="6"/>
      <c r="X1590" s="6"/>
      <c r="Y1590" s="4" t="s">
        <v>10871</v>
      </c>
      <c r="Z1590" s="6"/>
      <c r="AA1590" s="5" t="s">
        <v>10872</v>
      </c>
    </row>
    <row r="1591" ht="14.25">
      <c r="B1591" s="4" t="s">
        <v>10873</v>
      </c>
      <c r="C1591" s="4" t="s">
        <v>10864</v>
      </c>
      <c r="D1591" s="4" t="s">
        <v>10874</v>
      </c>
      <c r="E1591" s="4" t="s">
        <v>10875</v>
      </c>
      <c r="F1591" s="4" t="s">
        <v>10876</v>
      </c>
      <c r="G1591" s="4" t="s">
        <v>10877</v>
      </c>
      <c r="H1591" s="4" t="str">
        <f>IFERROR(__XLUDF.DUMMYFUNCTION("PROPER(REGEXREPLACE(G168,""[^A-Za-z]+ "",""""))"),"Packitoo")</f>
        <v>Packitoo</v>
      </c>
      <c r="I1591" s="5" t="s">
        <v>10878</v>
      </c>
      <c r="J1591" s="4" t="s">
        <v>6489</v>
      </c>
      <c r="K1591" s="4" t="s">
        <v>10390</v>
      </c>
      <c r="L1591" s="4" t="s">
        <v>29</v>
      </c>
      <c r="M1591" s="4" t="s">
        <v>2602</v>
      </c>
      <c r="N1591" s="4" t="str">
        <f>IFERROR(__XLUDF.DUMMYFUNCTION("VLOOKUP(M168,IMPORTRANGE(""https://docs.google.com/spreadsheets/d/1opm6ZNvGZ7KditA9TuJwrZ25eFLfTNIkrNnY6mhV5Eg"",""list!A1:C115""),3,TRUE)"),"le secteur de la tech")</f>
        <v xml:space="preserve">le secteur de la tech</v>
      </c>
      <c r="O1591" s="4" t="s">
        <v>10879</v>
      </c>
      <c r="P1591" s="4">
        <v>11</v>
      </c>
      <c r="Q1591" s="4" t="s">
        <v>6489</v>
      </c>
      <c r="R1591" s="4" t="s">
        <v>10390</v>
      </c>
      <c r="S1591" s="4" t="s">
        <v>29</v>
      </c>
      <c r="T1591" s="5" t="s">
        <v>10880</v>
      </c>
      <c r="U1591" s="6"/>
      <c r="V1591" s="6"/>
      <c r="W1591" s="6"/>
      <c r="X1591" s="6"/>
      <c r="Y1591" s="4" t="s">
        <v>10881</v>
      </c>
      <c r="Z1591" s="6"/>
      <c r="AA1591" s="5" t="s">
        <v>10882</v>
      </c>
    </row>
    <row r="1592" ht="14.25">
      <c r="B1592" s="4" t="s">
        <v>10883</v>
      </c>
      <c r="C1592" s="4" t="s">
        <v>769</v>
      </c>
      <c r="D1592" s="4" t="s">
        <v>10884</v>
      </c>
      <c r="E1592" s="4" t="s">
        <v>10885</v>
      </c>
      <c r="F1592" s="4" t="s">
        <v>10886</v>
      </c>
      <c r="G1592" s="4" t="s">
        <v>10887</v>
      </c>
      <c r="H1592" s="4" t="str">
        <f>IFERROR(__XLUDF.DUMMYFUNCTION("PROPER(REGEXREPLACE(G169,""[^A-Za-z]+ "",""""))"),"Code Lutin")</f>
        <v xml:space="preserve">Code Lutin</v>
      </c>
      <c r="I1592" s="5" t="s">
        <v>10888</v>
      </c>
      <c r="J1592" s="4" t="s">
        <v>1711</v>
      </c>
      <c r="K1592" s="4" t="s">
        <v>9350</v>
      </c>
      <c r="L1592" s="4" t="s">
        <v>29</v>
      </c>
      <c r="M1592" s="4" t="s">
        <v>2602</v>
      </c>
      <c r="N1592" s="4" t="str">
        <f>IFERROR(__XLUDF.DUMMYFUNCTION("VLOOKUP(M169,IMPORTRANGE(""https://docs.google.com/spreadsheets/d/1opm6ZNvGZ7KditA9TuJwrZ25eFLfTNIkrNnY6mhV5Eg"",""list!A1:C115""),3,TRUE)"),"le secteur de la tech")</f>
        <v xml:space="preserve">le secteur de la tech</v>
      </c>
      <c r="O1592" s="4" t="s">
        <v>10889</v>
      </c>
      <c r="P1592" s="4">
        <v>18</v>
      </c>
      <c r="Q1592" s="4" t="s">
        <v>10890</v>
      </c>
      <c r="R1592" s="4" t="s">
        <v>9350</v>
      </c>
      <c r="S1592" s="4" t="s">
        <v>29</v>
      </c>
      <c r="T1592" s="5" t="s">
        <v>10891</v>
      </c>
      <c r="U1592" s="6"/>
      <c r="V1592" s="6"/>
      <c r="W1592" s="6"/>
      <c r="X1592" s="6"/>
      <c r="Y1592" s="4" t="s">
        <v>10892</v>
      </c>
      <c r="Z1592" s="6"/>
      <c r="AA1592" s="5" t="s">
        <v>10893</v>
      </c>
    </row>
    <row r="1593" ht="14.25">
      <c r="B1593" s="4" t="s">
        <v>10894</v>
      </c>
      <c r="C1593" s="4" t="s">
        <v>1667</v>
      </c>
      <c r="D1593" s="4" t="s">
        <v>10895</v>
      </c>
      <c r="E1593" s="4" t="s">
        <v>10896</v>
      </c>
      <c r="F1593" s="4" t="s">
        <v>10897</v>
      </c>
      <c r="G1593" s="4" t="s">
        <v>10898</v>
      </c>
      <c r="H1593" s="4" t="str">
        <f>IFERROR(__XLUDF.DUMMYFUNCTION("PROPER(REGEXREPLACE(G170,""[^A-Za-z]+ "",""""))"),"Electronie")</f>
        <v>Electronie</v>
      </c>
      <c r="I1593" s="5" t="s">
        <v>10899</v>
      </c>
      <c r="J1593" s="4" t="s">
        <v>49</v>
      </c>
      <c r="K1593" s="4" t="s">
        <v>9251</v>
      </c>
      <c r="L1593" s="4" t="s">
        <v>29</v>
      </c>
      <c r="M1593" s="4" t="s">
        <v>10215</v>
      </c>
      <c r="N1593" s="4" t="str">
        <f>IFERROR(__XLUDF.DUMMYFUNCTION("VLOOKUP(M170,IMPORTRANGE(""https://docs.google.com/spreadsheets/d/1opm6ZNvGZ7KditA9TuJwrZ25eFLfTNIkrNnY6mhV5Eg"",""list!A1:C115""),3,TRUE)"),"le secteur de l'électrique et électronique")</f>
        <v xml:space="preserve">le secteur de l'électrique et électronique</v>
      </c>
      <c r="O1593" s="4" t="s">
        <v>10900</v>
      </c>
      <c r="P1593" s="4">
        <v>19</v>
      </c>
      <c r="Q1593" s="4" t="s">
        <v>10227</v>
      </c>
      <c r="R1593" s="4" t="s">
        <v>9251</v>
      </c>
      <c r="S1593" s="4" t="s">
        <v>29</v>
      </c>
      <c r="T1593" s="5" t="s">
        <v>10901</v>
      </c>
      <c r="U1593" s="6"/>
      <c r="V1593" s="6"/>
      <c r="W1593" s="6"/>
      <c r="X1593" s="6"/>
      <c r="Y1593" s="4" t="s">
        <v>10902</v>
      </c>
      <c r="Z1593" s="6"/>
      <c r="AA1593" s="5" t="s">
        <v>10903</v>
      </c>
    </row>
    <row r="1594" ht="14.25">
      <c r="B1594" s="4" t="s">
        <v>10904</v>
      </c>
      <c r="C1594" s="4" t="s">
        <v>10905</v>
      </c>
      <c r="D1594" s="4" t="s">
        <v>10906</v>
      </c>
      <c r="E1594" s="4" t="s">
        <v>10907</v>
      </c>
      <c r="F1594" s="4" t="s">
        <v>10908</v>
      </c>
      <c r="G1594" s="4" t="s">
        <v>10909</v>
      </c>
      <c r="H1594" s="4" t="str">
        <f>IFERROR(__XLUDF.DUMMYFUNCTION("PROPER(REGEXREPLACE(G171,""[^A-Za-z]+ "",""""))"),"Darwin")</f>
        <v>Darwin</v>
      </c>
      <c r="I1594" s="5" t="s">
        <v>10910</v>
      </c>
      <c r="J1594" s="4" t="s">
        <v>39</v>
      </c>
      <c r="K1594" s="4" t="s">
        <v>9160</v>
      </c>
      <c r="L1594" s="4" t="s">
        <v>29</v>
      </c>
      <c r="M1594" s="4" t="s">
        <v>2602</v>
      </c>
      <c r="N1594" s="4" t="str">
        <f>IFERROR(__XLUDF.DUMMYFUNCTION("VLOOKUP(M171,IMPORTRANGE(""https://docs.google.com/spreadsheets/d/1opm6ZNvGZ7KditA9TuJwrZ25eFLfTNIkrNnY6mhV5Eg"",""list!A1:C115""),3,TRUE)"),"le secteur de la tech")</f>
        <v xml:space="preserve">le secteur de la tech</v>
      </c>
      <c r="O1594" s="4" t="s">
        <v>10911</v>
      </c>
      <c r="P1594" s="4">
        <v>11</v>
      </c>
      <c r="Q1594" s="4" t="s">
        <v>39</v>
      </c>
      <c r="R1594" s="4" t="s">
        <v>9160</v>
      </c>
      <c r="S1594" s="4" t="s">
        <v>29</v>
      </c>
      <c r="T1594" s="5" t="s">
        <v>10912</v>
      </c>
      <c r="U1594" s="6"/>
      <c r="V1594" s="6"/>
      <c r="W1594" s="6"/>
      <c r="X1594" s="6"/>
      <c r="Y1594" s="4" t="s">
        <v>10913</v>
      </c>
      <c r="Z1594" s="6"/>
      <c r="AA1594" s="5" t="s">
        <v>10914</v>
      </c>
    </row>
    <row r="1595" ht="14.25">
      <c r="B1595" s="4" t="s">
        <v>10915</v>
      </c>
      <c r="C1595" s="4" t="s">
        <v>5001</v>
      </c>
      <c r="D1595" s="4" t="s">
        <v>10916</v>
      </c>
      <c r="E1595" s="4" t="s">
        <v>10917</v>
      </c>
      <c r="F1595" s="4" t="s">
        <v>172</v>
      </c>
      <c r="G1595" s="4" t="s">
        <v>10918</v>
      </c>
      <c r="H1595" s="4" t="str">
        <f>IFERROR(__XLUDF.DUMMYFUNCTION("PROPER(REGEXREPLACE(G172,""[^A-Za-z]+ "",""""))"),"Clarisys")</f>
        <v>Clarisys</v>
      </c>
      <c r="I1595" s="5" t="s">
        <v>10919</v>
      </c>
      <c r="J1595" s="4" t="s">
        <v>83</v>
      </c>
      <c r="K1595" s="4" t="s">
        <v>9460</v>
      </c>
      <c r="L1595" s="4" t="s">
        <v>29</v>
      </c>
      <c r="M1595" s="4" t="s">
        <v>2602</v>
      </c>
      <c r="N1595" s="4" t="str">
        <f>IFERROR(__XLUDF.DUMMYFUNCTION("VLOOKUP(M172,IMPORTRANGE(""https://docs.google.com/spreadsheets/d/1opm6ZNvGZ7KditA9TuJwrZ25eFLfTNIkrNnY6mhV5Eg"",""list!A1:C115""),3,TRUE)"),"le secteur de la tech")</f>
        <v xml:space="preserve">le secteur de la tech</v>
      </c>
      <c r="O1595" s="4" t="s">
        <v>10920</v>
      </c>
      <c r="P1595" s="4">
        <v>45</v>
      </c>
      <c r="Q1595" s="4" t="s">
        <v>83</v>
      </c>
      <c r="R1595" s="4" t="s">
        <v>9460</v>
      </c>
      <c r="S1595" s="4" t="s">
        <v>29</v>
      </c>
      <c r="T1595" s="5" t="s">
        <v>10921</v>
      </c>
      <c r="U1595" s="6"/>
      <c r="V1595" s="6"/>
      <c r="W1595" s="6"/>
      <c r="X1595" s="6"/>
      <c r="Y1595" s="4" t="s">
        <v>10922</v>
      </c>
      <c r="Z1595" s="6"/>
      <c r="AA1595" s="5" t="s">
        <v>10923</v>
      </c>
    </row>
    <row r="1596" ht="14.25">
      <c r="B1596" s="4" t="s">
        <v>10924</v>
      </c>
      <c r="C1596" s="4" t="s">
        <v>5001</v>
      </c>
      <c r="D1596" s="4" t="s">
        <v>10925</v>
      </c>
      <c r="E1596" s="4" t="s">
        <v>10926</v>
      </c>
      <c r="F1596" s="4" t="s">
        <v>10927</v>
      </c>
      <c r="G1596" s="4">
        <v>1843</v>
      </c>
      <c r="H1596" s="4" t="s">
        <v>10928</v>
      </c>
      <c r="I1596" s="5" t="s">
        <v>10929</v>
      </c>
      <c r="J1596" s="6"/>
      <c r="K1596" s="6"/>
      <c r="L1596" s="4" t="s">
        <v>29</v>
      </c>
      <c r="M1596" s="4" t="s">
        <v>2602</v>
      </c>
      <c r="N1596" s="4" t="str">
        <f>IFERROR(__XLUDF.DUMMYFUNCTION("VLOOKUP(M173,IMPORTRANGE(""https://docs.google.com/spreadsheets/d/1opm6ZNvGZ7KditA9TuJwrZ25eFLfTNIkrNnY6mhV5Eg"",""list!A1:C115""),3,TRUE)"),"le secteur de la tech")</f>
        <v xml:space="preserve">le secteur de la tech</v>
      </c>
      <c r="O1596" s="4" t="s">
        <v>10930</v>
      </c>
      <c r="P1596" s="4">
        <v>17</v>
      </c>
      <c r="Q1596" s="4" t="s">
        <v>39</v>
      </c>
      <c r="R1596" s="4" t="s">
        <v>9160</v>
      </c>
      <c r="S1596" s="4" t="s">
        <v>29</v>
      </c>
      <c r="T1596" s="5" t="s">
        <v>10931</v>
      </c>
      <c r="U1596" s="6"/>
      <c r="V1596" s="6"/>
      <c r="W1596" s="6"/>
      <c r="X1596" s="6"/>
      <c r="Y1596" s="4" t="s">
        <v>10932</v>
      </c>
      <c r="Z1596" s="6"/>
      <c r="AA1596" s="5" t="s">
        <v>10933</v>
      </c>
    </row>
    <row r="1597" ht="14.25">
      <c r="B1597" s="4" t="s">
        <v>10934</v>
      </c>
      <c r="C1597" s="4" t="s">
        <v>5001</v>
      </c>
      <c r="D1597" s="4" t="s">
        <v>10935</v>
      </c>
      <c r="E1597" s="4" t="s">
        <v>10936</v>
      </c>
      <c r="F1597" s="4" t="s">
        <v>10937</v>
      </c>
      <c r="G1597" s="4" t="s">
        <v>10938</v>
      </c>
      <c r="H1597" s="4" t="str">
        <f>IFERROR(__XLUDF.DUMMYFUNCTION("PROPER(REGEXREPLACE(G174,""[^A-Za-z]+ "",""""))"),"Stellar //")</f>
        <v xml:space="preserve">Stellar //</v>
      </c>
      <c r="I1597" s="5" t="s">
        <v>10939</v>
      </c>
      <c r="J1597" s="4" t="s">
        <v>39</v>
      </c>
      <c r="K1597" s="4" t="s">
        <v>9160</v>
      </c>
      <c r="L1597" s="4" t="s">
        <v>29</v>
      </c>
      <c r="M1597" s="4" t="s">
        <v>9184</v>
      </c>
      <c r="N1597" s="4" t="str">
        <f>IFERROR(__XLUDF.DUMMYFUNCTION("VLOOKUP(M174,IMPORTRANGE(""https://docs.google.com/spreadsheets/d/1opm6ZNvGZ7KditA9TuJwrZ25eFLfTNIkrNnY6mhV5Eg"",""list!A1:C115""),3,TRUE)"),"le secteur des télécommunications")</f>
        <v xml:space="preserve">le secteur des télécommunications</v>
      </c>
      <c r="O1597" s="4" t="s">
        <v>10940</v>
      </c>
      <c r="P1597" s="4">
        <v>23</v>
      </c>
      <c r="Q1597" s="4" t="s">
        <v>243</v>
      </c>
      <c r="R1597" s="4" t="s">
        <v>9864</v>
      </c>
      <c r="S1597" s="4" t="s">
        <v>29</v>
      </c>
      <c r="T1597" s="5" t="s">
        <v>10941</v>
      </c>
      <c r="U1597" s="6"/>
      <c r="V1597" s="6"/>
      <c r="W1597" s="6"/>
      <c r="X1597" s="6"/>
      <c r="Y1597" s="4" t="s">
        <v>10942</v>
      </c>
      <c r="Z1597" s="6"/>
      <c r="AA1597" s="5" t="s">
        <v>10943</v>
      </c>
    </row>
    <row r="1598" ht="14.25">
      <c r="B1598" s="4" t="s">
        <v>10944</v>
      </c>
      <c r="C1598" s="4" t="s">
        <v>10945</v>
      </c>
      <c r="D1598" s="4" t="s">
        <v>10946</v>
      </c>
      <c r="E1598" s="4" t="s">
        <v>10947</v>
      </c>
      <c r="F1598" s="4" t="s">
        <v>1231</v>
      </c>
      <c r="G1598" s="5" t="s">
        <v>10948</v>
      </c>
      <c r="H1598" s="5" t="str">
        <f>IFERROR(__XLUDF.DUMMYFUNCTION("PROPER(REGEXREPLACE(G175,""[^A-Za-z]+ "",""""))"),"Komin.Io")</f>
        <v>Komin.Io</v>
      </c>
      <c r="I1598" s="5" t="s">
        <v>10949</v>
      </c>
      <c r="J1598" s="4" t="s">
        <v>39</v>
      </c>
      <c r="K1598" s="4" t="s">
        <v>9160</v>
      </c>
      <c r="L1598" s="4" t="s">
        <v>29</v>
      </c>
      <c r="M1598" s="4" t="s">
        <v>10950</v>
      </c>
      <c r="N1598" s="4" t="str">
        <f>IFERROR(__XLUDF.DUMMYFUNCTION("VLOOKUP(M175,IMPORTRANGE(""https://docs.google.com/spreadsheets/d/1opm6ZNvGZ7KditA9TuJwrZ25eFLfTNIkrNnY6mhV5Eg"",""list!A1:C115""),3,TRUE)"),"le secteur de la tech")</f>
        <v xml:space="preserve">le secteur de la tech</v>
      </c>
      <c r="O1598" s="4" t="s">
        <v>10951</v>
      </c>
      <c r="P1598" s="4">
        <v>11</v>
      </c>
      <c r="Q1598" s="4" t="s">
        <v>39</v>
      </c>
      <c r="R1598" s="4" t="s">
        <v>9160</v>
      </c>
      <c r="S1598" s="4" t="s">
        <v>29</v>
      </c>
      <c r="T1598" s="5" t="s">
        <v>10952</v>
      </c>
      <c r="U1598" s="5" t="s">
        <v>10953</v>
      </c>
      <c r="V1598" s="6"/>
      <c r="W1598" s="6"/>
      <c r="X1598" s="6"/>
      <c r="Y1598" s="4" t="s">
        <v>10954</v>
      </c>
      <c r="Z1598" s="6"/>
      <c r="AA1598" s="5" t="s">
        <v>10955</v>
      </c>
    </row>
    <row r="1599" ht="14.25">
      <c r="B1599" s="4" t="s">
        <v>10956</v>
      </c>
      <c r="C1599" s="4" t="s">
        <v>7559</v>
      </c>
      <c r="D1599" s="4" t="s">
        <v>10957</v>
      </c>
      <c r="E1599" s="4" t="s">
        <v>10958</v>
      </c>
      <c r="F1599" s="4" t="s">
        <v>10959</v>
      </c>
      <c r="G1599" s="4" t="s">
        <v>10960</v>
      </c>
      <c r="H1599" s="4" t="str">
        <f>IFERROR(__XLUDF.DUMMYFUNCTION("PROPER(REGEXREPLACE(G176,""[^A-Za-z]+ "",""""))"),"Cacv")</f>
        <v>Cacv</v>
      </c>
      <c r="I1599" s="5" t="s">
        <v>10961</v>
      </c>
      <c r="J1599" s="4" t="s">
        <v>39</v>
      </c>
      <c r="K1599" s="4" t="s">
        <v>9160</v>
      </c>
      <c r="L1599" s="4" t="s">
        <v>29</v>
      </c>
      <c r="M1599" s="4" t="s">
        <v>4525</v>
      </c>
      <c r="N1599" s="4" t="str">
        <f>IFERROR(__XLUDF.DUMMYFUNCTION("VLOOKUP(M176,IMPORTRANGE(""https://docs.google.com/spreadsheets/d/1opm6ZNvGZ7KditA9TuJwrZ25eFLfTNIkrNnY6mhV5Eg"",""list!A1:C115""),3,TRUE)"),"le secteur du retail")</f>
        <v xml:space="preserve">le secteur du retail</v>
      </c>
      <c r="O1599" s="4" t="s">
        <v>10962</v>
      </c>
      <c r="P1599" s="4">
        <v>34</v>
      </c>
      <c r="Q1599" s="4" t="s">
        <v>10963</v>
      </c>
      <c r="R1599" s="4" t="s">
        <v>9160</v>
      </c>
      <c r="S1599" s="4" t="s">
        <v>29</v>
      </c>
      <c r="T1599" s="5" t="s">
        <v>10964</v>
      </c>
      <c r="U1599" s="6"/>
      <c r="V1599" s="6"/>
      <c r="W1599" s="6"/>
      <c r="X1599" s="6"/>
      <c r="Y1599" s="4" t="s">
        <v>10965</v>
      </c>
      <c r="Z1599" s="6"/>
      <c r="AA1599" s="5" t="s">
        <v>10966</v>
      </c>
    </row>
    <row r="1600" ht="14.25">
      <c r="B1600" s="4" t="s">
        <v>10967</v>
      </c>
      <c r="C1600" s="4" t="s">
        <v>571</v>
      </c>
      <c r="D1600" s="4" t="s">
        <v>5265</v>
      </c>
      <c r="E1600" s="4" t="s">
        <v>10968</v>
      </c>
      <c r="F1600" s="4" t="s">
        <v>7759</v>
      </c>
      <c r="G1600" s="4" t="s">
        <v>10969</v>
      </c>
      <c r="H1600" s="4" t="str">
        <f>IFERROR(__XLUDF.DUMMYFUNCTION("PROPER(REGEXREPLACE(G177,""[^A-Za-z]+ "",""""))"),"Cybel Extension")</f>
        <v xml:space="preserve">Cybel Extension</v>
      </c>
      <c r="I1600" s="5" t="s">
        <v>10970</v>
      </c>
      <c r="J1600" s="4" t="s">
        <v>1826</v>
      </c>
      <c r="K1600" s="4" t="s">
        <v>9227</v>
      </c>
      <c r="L1600" s="4" t="s">
        <v>29</v>
      </c>
      <c r="M1600" s="4" t="s">
        <v>9239</v>
      </c>
      <c r="N1600" s="4" t="str">
        <f>IFERROR(__XLUDF.DUMMYFUNCTION("VLOOKUP(M177,IMPORTRANGE(""https://docs.google.com/spreadsheets/d/1opm6ZNvGZ7KditA9TuJwrZ25eFLfTNIkrNnY6mhV5Eg"",""list!A1:C115""),3,TRUE)"),"le secteur de la construction")</f>
        <v xml:space="preserve">le secteur de la construction</v>
      </c>
      <c r="O1600" s="4" t="s">
        <v>10971</v>
      </c>
      <c r="P1600" s="4">
        <v>37</v>
      </c>
      <c r="Q1600" s="4" t="s">
        <v>10972</v>
      </c>
      <c r="R1600" s="4" t="s">
        <v>10973</v>
      </c>
      <c r="S1600" s="4" t="s">
        <v>29</v>
      </c>
      <c r="T1600" s="5" t="s">
        <v>10974</v>
      </c>
      <c r="U1600" s="6"/>
      <c r="V1600" s="6"/>
      <c r="W1600" s="6"/>
      <c r="X1600" s="6"/>
      <c r="Y1600" s="4" t="s">
        <v>10975</v>
      </c>
      <c r="Z1600" s="6"/>
      <c r="AA1600" s="5" t="s">
        <v>10976</v>
      </c>
    </row>
    <row r="1601" ht="14.25">
      <c r="B1601" s="4" t="s">
        <v>10977</v>
      </c>
      <c r="C1601" s="4" t="s">
        <v>1153</v>
      </c>
      <c r="D1601" s="4" t="s">
        <v>10978</v>
      </c>
      <c r="E1601" s="4" t="s">
        <v>10979</v>
      </c>
      <c r="F1601" s="4" t="s">
        <v>10980</v>
      </c>
      <c r="G1601" s="4" t="s">
        <v>10981</v>
      </c>
      <c r="H1601" s="4" t="str">
        <f>IFERROR(__XLUDF.DUMMYFUNCTION("PROPER(REGEXREPLACE(G178,""[^A-Za-z]+ "",""""))"),"Aliatem Consulting")</f>
        <v xml:space="preserve">Aliatem Consulting</v>
      </c>
      <c r="I1601" s="5" t="s">
        <v>10982</v>
      </c>
      <c r="J1601" s="4" t="s">
        <v>185</v>
      </c>
      <c r="K1601" s="4" t="s">
        <v>9193</v>
      </c>
      <c r="L1601" s="4" t="s">
        <v>29</v>
      </c>
      <c r="M1601" s="4" t="s">
        <v>4067</v>
      </c>
      <c r="N1601" s="4" t="str">
        <f>IFERROR(__XLUDF.DUMMYFUNCTION("VLOOKUP(M178,IMPORTRANGE(""https://docs.google.com/spreadsheets/d/1opm6ZNvGZ7KditA9TuJwrZ25eFLfTNIkrNnY6mhV5Eg"",""list!A1:C115""),3,TRUE)"),"le secteur du conseil en management")</f>
        <v xml:space="preserve">le secteur du conseil en management</v>
      </c>
      <c r="O1601" s="6"/>
      <c r="P1601" s="4">
        <v>12</v>
      </c>
      <c r="Q1601" s="4" t="s">
        <v>10983</v>
      </c>
      <c r="R1601" s="4" t="s">
        <v>9172</v>
      </c>
      <c r="S1601" s="4" t="s">
        <v>29</v>
      </c>
      <c r="T1601" s="5" t="s">
        <v>10984</v>
      </c>
      <c r="U1601" s="6"/>
      <c r="V1601" s="6"/>
      <c r="W1601" s="6"/>
      <c r="X1601" s="6"/>
      <c r="Y1601" s="4" t="s">
        <v>10985</v>
      </c>
      <c r="Z1601" s="6"/>
      <c r="AA1601" s="5" t="s">
        <v>10986</v>
      </c>
    </row>
    <row r="1602" ht="14.25">
      <c r="B1602" s="4" t="s">
        <v>10987</v>
      </c>
      <c r="C1602" s="4" t="s">
        <v>571</v>
      </c>
      <c r="D1602" s="4" t="s">
        <v>10988</v>
      </c>
      <c r="E1602" s="4" t="s">
        <v>10989</v>
      </c>
      <c r="F1602" s="4" t="s">
        <v>10990</v>
      </c>
      <c r="G1602" s="4" t="s">
        <v>10991</v>
      </c>
      <c r="H1602" s="4" t="str">
        <f>IFERROR(__XLUDF.DUMMYFUNCTION("PROPER(REGEXREPLACE(G179,""[^A-Za-z]+ "",""""))"),"Idcapt")</f>
        <v>Idcapt</v>
      </c>
      <c r="I1602" s="5" t="s">
        <v>10992</v>
      </c>
      <c r="J1602" s="4" t="s">
        <v>3848</v>
      </c>
      <c r="K1602" s="4" t="s">
        <v>9251</v>
      </c>
      <c r="L1602" s="4" t="s">
        <v>29</v>
      </c>
      <c r="M1602" s="4" t="s">
        <v>2602</v>
      </c>
      <c r="N1602" s="4" t="str">
        <f>IFERROR(__XLUDF.DUMMYFUNCTION("VLOOKUP(M179,IMPORTRANGE(""https://docs.google.com/spreadsheets/d/1opm6ZNvGZ7KditA9TuJwrZ25eFLfTNIkrNnY6mhV5Eg"",""list!A1:C115""),3,TRUE)"),"le secteur de la tech")</f>
        <v xml:space="preserve">le secteur de la tech</v>
      </c>
      <c r="O1602" s="4" t="s">
        <v>10993</v>
      </c>
      <c r="P1602" s="4">
        <v>10</v>
      </c>
      <c r="Q1602" s="4" t="s">
        <v>3848</v>
      </c>
      <c r="R1602" s="4" t="s">
        <v>9251</v>
      </c>
      <c r="S1602" s="4" t="s">
        <v>29</v>
      </c>
      <c r="T1602" s="5" t="s">
        <v>10994</v>
      </c>
      <c r="U1602" s="5" t="s">
        <v>10995</v>
      </c>
      <c r="V1602" s="6"/>
      <c r="W1602" s="6"/>
      <c r="X1602" s="6"/>
      <c r="Y1602" s="4" t="s">
        <v>10996</v>
      </c>
      <c r="Z1602" s="6"/>
      <c r="AA1602" s="5" t="s">
        <v>10997</v>
      </c>
    </row>
    <row r="1603" ht="14.25">
      <c r="B1603" s="4" t="s">
        <v>10998</v>
      </c>
      <c r="C1603" s="4" t="s">
        <v>604</v>
      </c>
      <c r="D1603" s="4" t="s">
        <v>10999</v>
      </c>
      <c r="E1603" s="4" t="s">
        <v>11000</v>
      </c>
      <c r="F1603" s="4" t="s">
        <v>3775</v>
      </c>
      <c r="G1603" s="4" t="s">
        <v>11001</v>
      </c>
      <c r="H1603" s="4" t="str">
        <f>IFERROR(__XLUDF.DUMMYFUNCTION("PROPER(REGEXREPLACE(G180,""[^A-Za-z]+ "",""""))"),"Siana")</f>
        <v>Siana</v>
      </c>
      <c r="I1603" s="4" t="s">
        <v>11002</v>
      </c>
      <c r="J1603" s="4" t="s">
        <v>243</v>
      </c>
      <c r="K1603" s="4" t="s">
        <v>9864</v>
      </c>
      <c r="L1603" s="4" t="s">
        <v>29</v>
      </c>
      <c r="M1603" s="4" t="s">
        <v>2602</v>
      </c>
      <c r="N1603" s="4" t="str">
        <f>IFERROR(__XLUDF.DUMMYFUNCTION("VLOOKUP(M180,IMPORTRANGE(""https://docs.google.com/spreadsheets/d/1opm6ZNvGZ7KditA9TuJwrZ25eFLfTNIkrNnY6mhV5Eg"",""list!A1:C115""),3,TRUE)"),"le secteur de la tech")</f>
        <v xml:space="preserve">le secteur de la tech</v>
      </c>
      <c r="O1603" s="6"/>
      <c r="P1603" s="4">
        <v>11</v>
      </c>
      <c r="Q1603" s="4" t="s">
        <v>39</v>
      </c>
      <c r="R1603" s="4" t="s">
        <v>9160</v>
      </c>
      <c r="S1603" s="4" t="s">
        <v>29</v>
      </c>
      <c r="T1603" s="5" t="s">
        <v>11003</v>
      </c>
      <c r="U1603" s="6"/>
      <c r="V1603" s="5" t="s">
        <v>9981</v>
      </c>
      <c r="W1603" s="5" t="s">
        <v>11004</v>
      </c>
      <c r="X1603" s="6"/>
      <c r="Y1603" s="4" t="s">
        <v>11005</v>
      </c>
      <c r="Z1603" s="6"/>
      <c r="AA1603" s="5" t="s">
        <v>11006</v>
      </c>
    </row>
    <row r="1604" ht="14.25">
      <c r="B1604" s="4" t="s">
        <v>11007</v>
      </c>
      <c r="C1604" s="4" t="s">
        <v>4245</v>
      </c>
      <c r="D1604" s="4" t="s">
        <v>11008</v>
      </c>
      <c r="E1604" s="4" t="s">
        <v>11009</v>
      </c>
      <c r="F1604" s="4" t="s">
        <v>87</v>
      </c>
      <c r="G1604" s="4" t="s">
        <v>11010</v>
      </c>
      <c r="H1604" s="4" t="str">
        <f>IFERROR(__XLUDF.DUMMYFUNCTION("PROPER(REGEXREPLACE(G181,""[^A-Za-z]+ "",""""))"),"Reconomia")</f>
        <v>Reconomia</v>
      </c>
      <c r="I1604" s="5" t="s">
        <v>11011</v>
      </c>
      <c r="J1604" s="4" t="s">
        <v>11012</v>
      </c>
      <c r="K1604" s="4" t="s">
        <v>9281</v>
      </c>
      <c r="L1604" s="4" t="s">
        <v>29</v>
      </c>
      <c r="M1604" s="4" t="s">
        <v>4525</v>
      </c>
      <c r="N1604" s="4" t="str">
        <f>IFERROR(__XLUDF.DUMMYFUNCTION("VLOOKUP(M181,IMPORTRANGE(""https://docs.google.com/spreadsheets/d/1opm6ZNvGZ7KditA9TuJwrZ25eFLfTNIkrNnY6mhV5Eg"",""list!A1:C115""),3,TRUE)"),"le secteur du retail")</f>
        <v xml:space="preserve">le secteur du retail</v>
      </c>
      <c r="O1604" s="4" t="s">
        <v>11013</v>
      </c>
      <c r="P1604" s="4">
        <v>33</v>
      </c>
      <c r="Q1604" s="4" t="s">
        <v>11012</v>
      </c>
      <c r="R1604" s="4" t="s">
        <v>9281</v>
      </c>
      <c r="S1604" s="4" t="s">
        <v>29</v>
      </c>
      <c r="T1604" s="5" t="s">
        <v>11014</v>
      </c>
      <c r="U1604" s="6"/>
      <c r="V1604" s="6"/>
      <c r="W1604" s="6"/>
      <c r="X1604" s="6"/>
      <c r="Y1604" s="4" t="s">
        <v>11015</v>
      </c>
      <c r="Z1604" s="6"/>
      <c r="AA1604" s="5" t="s">
        <v>11016</v>
      </c>
    </row>
    <row r="1605" ht="14.25">
      <c r="B1605" s="4" t="s">
        <v>11017</v>
      </c>
      <c r="C1605" s="4" t="s">
        <v>4245</v>
      </c>
      <c r="D1605" s="4" t="s">
        <v>11018</v>
      </c>
      <c r="E1605" s="4" t="s">
        <v>11019</v>
      </c>
      <c r="F1605" s="4" t="s">
        <v>9456</v>
      </c>
      <c r="G1605" s="4" t="s">
        <v>11020</v>
      </c>
      <c r="H1605" s="4" t="str">
        <f>IFERROR(__XLUDF.DUMMYFUNCTION("PROPER(REGEXREPLACE(G182,""[^A-Za-z]+ "",""""))"),"Prospactive")</f>
        <v>Prospactive</v>
      </c>
      <c r="I1605" s="5" t="s">
        <v>11021</v>
      </c>
      <c r="J1605" s="4" t="s">
        <v>562</v>
      </c>
      <c r="K1605" s="4" t="s">
        <v>11022</v>
      </c>
      <c r="L1605" s="4" t="s">
        <v>29</v>
      </c>
      <c r="M1605" s="4" t="s">
        <v>4067</v>
      </c>
      <c r="N1605" s="4" t="str">
        <f>IFERROR(__XLUDF.DUMMYFUNCTION("VLOOKUP(M182,IMPORTRANGE(""https://docs.google.com/spreadsheets/d/1opm6ZNvGZ7KditA9TuJwrZ25eFLfTNIkrNnY6mhV5Eg"",""list!A1:C115""),3,TRUE)"),"le secteur du conseil en management")</f>
        <v xml:space="preserve">le secteur du conseil en management</v>
      </c>
      <c r="O1605" s="4" t="s">
        <v>11023</v>
      </c>
      <c r="P1605" s="4">
        <v>25</v>
      </c>
      <c r="Q1605" s="4" t="s">
        <v>149</v>
      </c>
      <c r="R1605" s="4" t="s">
        <v>9473</v>
      </c>
      <c r="S1605" s="4" t="s">
        <v>29</v>
      </c>
      <c r="T1605" s="5" t="s">
        <v>11024</v>
      </c>
      <c r="U1605" s="6"/>
      <c r="V1605" s="6"/>
      <c r="W1605" s="6"/>
      <c r="X1605" s="6"/>
      <c r="Y1605" s="4" t="s">
        <v>11025</v>
      </c>
      <c r="Z1605" s="6"/>
      <c r="AA1605" s="5" t="s">
        <v>11026</v>
      </c>
    </row>
    <row r="1606" ht="14.25">
      <c r="B1606" s="4" t="s">
        <v>11027</v>
      </c>
      <c r="C1606" s="4" t="s">
        <v>4245</v>
      </c>
      <c r="D1606" s="4" t="s">
        <v>11028</v>
      </c>
      <c r="E1606" s="4" t="s">
        <v>11029</v>
      </c>
      <c r="F1606" s="4" t="s">
        <v>1130</v>
      </c>
      <c r="G1606" s="4" t="s">
        <v>11030</v>
      </c>
      <c r="H1606" s="4" t="str">
        <f>IFERROR(__XLUDF.DUMMYFUNCTION("PROPER(REGEXREPLACE(G183,""[^A-Za-z]+ "",""""))"),"Action Beton Coupe")</f>
        <v xml:space="preserve">Action Beton Coupe</v>
      </c>
      <c r="I1606" s="5" t="s">
        <v>11031</v>
      </c>
      <c r="J1606" s="4" t="s">
        <v>11032</v>
      </c>
      <c r="K1606" s="4" t="s">
        <v>9251</v>
      </c>
      <c r="L1606" s="4" t="s">
        <v>29</v>
      </c>
      <c r="M1606" s="4" t="s">
        <v>9239</v>
      </c>
      <c r="N1606" s="4" t="str">
        <f>IFERROR(__XLUDF.DUMMYFUNCTION("VLOOKUP(M183,IMPORTRANGE(""https://docs.google.com/spreadsheets/d/1opm6ZNvGZ7KditA9TuJwrZ25eFLfTNIkrNnY6mhV5Eg"",""list!A1:C115""),3,TRUE)"),"le secteur de la construction")</f>
        <v xml:space="preserve">le secteur de la construction</v>
      </c>
      <c r="O1606" s="6"/>
      <c r="P1606" s="4">
        <v>11</v>
      </c>
      <c r="Q1606" s="4" t="s">
        <v>11033</v>
      </c>
      <c r="R1606" s="4" t="s">
        <v>9251</v>
      </c>
      <c r="S1606" s="4" t="s">
        <v>29</v>
      </c>
      <c r="T1606" s="5" t="s">
        <v>11034</v>
      </c>
      <c r="U1606" s="6"/>
      <c r="V1606" s="5" t="s">
        <v>11035</v>
      </c>
      <c r="W1606" s="6"/>
      <c r="X1606" s="6"/>
      <c r="Y1606" s="4" t="s">
        <v>11036</v>
      </c>
      <c r="Z1606" s="6"/>
      <c r="AA1606" s="5" t="s">
        <v>11037</v>
      </c>
    </row>
    <row r="1607" ht="14.25">
      <c r="B1607" s="4" t="s">
        <v>11038</v>
      </c>
      <c r="C1607" s="4" t="s">
        <v>1153</v>
      </c>
      <c r="D1607" s="4" t="s">
        <v>11039</v>
      </c>
      <c r="E1607" s="4" t="s">
        <v>11040</v>
      </c>
      <c r="F1607" s="4" t="s">
        <v>7759</v>
      </c>
      <c r="G1607" s="4" t="s">
        <v>11041</v>
      </c>
      <c r="H1607" s="4" t="str">
        <f>IFERROR(__XLUDF.DUMMYFUNCTION("PROPER(REGEXREPLACE(G184,""[^A-Za-z]+ "",""""))"),"Atlantic Environnement")</f>
        <v xml:space="preserve">Atlantic Environnement</v>
      </c>
      <c r="I1607" s="5" t="s">
        <v>11042</v>
      </c>
      <c r="J1607" s="4" t="s">
        <v>1711</v>
      </c>
      <c r="K1607" s="4" t="s">
        <v>9350</v>
      </c>
      <c r="L1607" s="4" t="s">
        <v>29</v>
      </c>
      <c r="M1607" s="4" t="s">
        <v>9239</v>
      </c>
      <c r="N1607" s="4" t="str">
        <f>IFERROR(__XLUDF.DUMMYFUNCTION("VLOOKUP(M184,IMPORTRANGE(""https://docs.google.com/spreadsheets/d/1opm6ZNvGZ7KditA9TuJwrZ25eFLfTNIkrNnY6mhV5Eg"",""list!A1:C115""),3,TRUE)"),"le secteur de la construction")</f>
        <v xml:space="preserve">le secteur de la construction</v>
      </c>
      <c r="O1607" s="4" t="s">
        <v>11043</v>
      </c>
      <c r="P1607" s="4">
        <v>10</v>
      </c>
      <c r="Q1607" s="4" t="s">
        <v>11044</v>
      </c>
      <c r="R1607" s="4" t="s">
        <v>9350</v>
      </c>
      <c r="S1607" s="4" t="s">
        <v>29</v>
      </c>
      <c r="T1607" s="5" t="s">
        <v>11045</v>
      </c>
      <c r="U1607" s="6"/>
      <c r="V1607" s="6"/>
      <c r="W1607" s="6"/>
      <c r="X1607" s="6"/>
      <c r="Y1607" s="4" t="s">
        <v>11046</v>
      </c>
      <c r="Z1607" s="6"/>
      <c r="AA1607" s="5" t="s">
        <v>11047</v>
      </c>
    </row>
    <row r="1608" ht="14.25">
      <c r="B1608" s="4" t="s">
        <v>11048</v>
      </c>
      <c r="C1608" s="4" t="s">
        <v>1153</v>
      </c>
      <c r="D1608" s="4" t="s">
        <v>11049</v>
      </c>
      <c r="E1608" s="4" t="s">
        <v>11050</v>
      </c>
      <c r="F1608" s="4" t="s">
        <v>87</v>
      </c>
      <c r="G1608" s="4" t="s">
        <v>11051</v>
      </c>
      <c r="H1608" s="4" t="str">
        <f>IFERROR(__XLUDF.DUMMYFUNCTION("PROPER(REGEXREPLACE(G185,""[^A-Za-z]+ "",""""))"),"Climate Innov")</f>
        <v xml:space="preserve">Climate Innov</v>
      </c>
      <c r="I1608" s="5" t="s">
        <v>11052</v>
      </c>
      <c r="J1608" s="4" t="s">
        <v>49</v>
      </c>
      <c r="K1608" s="4" t="s">
        <v>9251</v>
      </c>
      <c r="L1608" s="4" t="s">
        <v>29</v>
      </c>
      <c r="M1608" s="4" t="s">
        <v>2602</v>
      </c>
      <c r="N1608" s="4" t="str">
        <f>IFERROR(__XLUDF.DUMMYFUNCTION("VLOOKUP(M185,IMPORTRANGE(""https://docs.google.com/spreadsheets/d/1opm6ZNvGZ7KditA9TuJwrZ25eFLfTNIkrNnY6mhV5Eg"",""list!A1:C115""),3,TRUE)"),"le secteur de la tech")</f>
        <v xml:space="preserve">le secteur de la tech</v>
      </c>
      <c r="O1608" s="6"/>
      <c r="P1608" s="4">
        <v>16</v>
      </c>
      <c r="Q1608" s="4" t="s">
        <v>49</v>
      </c>
      <c r="R1608" s="4" t="s">
        <v>9251</v>
      </c>
      <c r="S1608" s="4" t="s">
        <v>29</v>
      </c>
      <c r="T1608" s="5" t="s">
        <v>11053</v>
      </c>
      <c r="U1608" s="6"/>
      <c r="V1608" s="6"/>
      <c r="W1608" s="6"/>
      <c r="X1608" s="6"/>
      <c r="Y1608" s="4" t="s">
        <v>11054</v>
      </c>
      <c r="Z1608" s="6"/>
      <c r="AA1608" s="5" t="s">
        <v>11055</v>
      </c>
    </row>
    <row r="1609" ht="14.25">
      <c r="B1609" s="4" t="s">
        <v>11056</v>
      </c>
      <c r="C1609" s="4" t="s">
        <v>1153</v>
      </c>
      <c r="D1609" s="4" t="s">
        <v>11057</v>
      </c>
      <c r="E1609" s="4" t="s">
        <v>11058</v>
      </c>
      <c r="F1609" s="4" t="s">
        <v>11059</v>
      </c>
      <c r="G1609" s="4" t="s">
        <v>11060</v>
      </c>
      <c r="H1609" s="4" t="str">
        <f>IFERROR(__XLUDF.DUMMYFUNCTION("PROPER(REGEXREPLACE(G186,""[^A-Za-z]+ "",""""))"),"Lex Persona")</f>
        <v xml:space="preserve">Lex Persona</v>
      </c>
      <c r="I1609" s="5" t="s">
        <v>11061</v>
      </c>
      <c r="J1609" s="4" t="s">
        <v>11062</v>
      </c>
      <c r="K1609" s="4" t="s">
        <v>9215</v>
      </c>
      <c r="L1609" s="4" t="s">
        <v>29</v>
      </c>
      <c r="M1609" s="4" t="s">
        <v>2602</v>
      </c>
      <c r="N1609" s="4" t="str">
        <f>IFERROR(__XLUDF.DUMMYFUNCTION("VLOOKUP(M186,IMPORTRANGE(""https://docs.google.com/spreadsheets/d/1opm6ZNvGZ7KditA9TuJwrZ25eFLfTNIkrNnY6mhV5Eg"",""list!A1:C115""),3,TRUE)"),"le secteur de la tech")</f>
        <v xml:space="preserve">le secteur de la tech</v>
      </c>
      <c r="O1609" s="4" t="s">
        <v>11063</v>
      </c>
      <c r="P1609" s="4">
        <v>41</v>
      </c>
      <c r="Q1609" s="4" t="s">
        <v>11062</v>
      </c>
      <c r="R1609" s="4" t="s">
        <v>9215</v>
      </c>
      <c r="S1609" s="4" t="s">
        <v>29</v>
      </c>
      <c r="T1609" s="5" t="s">
        <v>11064</v>
      </c>
      <c r="U1609" s="5" t="s">
        <v>11065</v>
      </c>
      <c r="V1609" s="5" t="s">
        <v>11066</v>
      </c>
      <c r="W1609" s="6"/>
      <c r="X1609" s="6"/>
      <c r="Y1609" s="4" t="s">
        <v>11067</v>
      </c>
      <c r="Z1609" s="6"/>
      <c r="AA1609" s="5" t="s">
        <v>11068</v>
      </c>
    </row>
    <row r="1610" ht="14.25">
      <c r="B1610" s="4" t="s">
        <v>11069</v>
      </c>
      <c r="C1610" s="4" t="s">
        <v>1153</v>
      </c>
      <c r="D1610" s="4" t="s">
        <v>11070</v>
      </c>
      <c r="E1610" s="4" t="s">
        <v>11071</v>
      </c>
      <c r="F1610" s="4" t="s">
        <v>11072</v>
      </c>
      <c r="G1610" s="4" t="s">
        <v>11073</v>
      </c>
      <c r="H1610" s="4" t="str">
        <f>IFERROR(__XLUDF.DUMMYFUNCTION("PROPER(REGEXREPLACE(G187,""[^A-Za-z]+ "",""""))"),"Evo Métrologie")</f>
        <v xml:space="preserve">Evo Métrologie</v>
      </c>
      <c r="I1610" s="5" t="s">
        <v>11074</v>
      </c>
      <c r="J1610" s="4" t="s">
        <v>1204</v>
      </c>
      <c r="K1610" s="4" t="s">
        <v>9460</v>
      </c>
      <c r="L1610" s="4" t="s">
        <v>29</v>
      </c>
      <c r="M1610" s="4" t="s">
        <v>4525</v>
      </c>
      <c r="N1610" s="4" t="str">
        <f>IFERROR(__XLUDF.DUMMYFUNCTION("VLOOKUP(M187,IMPORTRANGE(""https://docs.google.com/spreadsheets/d/1opm6ZNvGZ7KditA9TuJwrZ25eFLfTNIkrNnY6mhV5Eg"",""list!A1:C115""),3,TRUE)"),"le secteur du retail")</f>
        <v xml:space="preserve">le secteur du retail</v>
      </c>
      <c r="O1610" s="6"/>
      <c r="P1610" s="4">
        <v>10</v>
      </c>
      <c r="Q1610" s="4" t="s">
        <v>11075</v>
      </c>
      <c r="R1610" s="4" t="s">
        <v>9460</v>
      </c>
      <c r="S1610" s="4" t="s">
        <v>29</v>
      </c>
      <c r="T1610" s="5" t="s">
        <v>11076</v>
      </c>
      <c r="U1610" s="6"/>
      <c r="V1610" s="5" t="s">
        <v>11077</v>
      </c>
      <c r="W1610" s="6"/>
      <c r="X1610" s="6"/>
      <c r="Y1610" s="4" t="s">
        <v>11078</v>
      </c>
      <c r="Z1610" s="6"/>
      <c r="AA1610" s="5" t="s">
        <v>11079</v>
      </c>
    </row>
    <row r="1611" ht="14.25">
      <c r="B1611" s="4" t="s">
        <v>11080</v>
      </c>
      <c r="C1611" s="4" t="s">
        <v>1153</v>
      </c>
      <c r="D1611" s="4" t="s">
        <v>5745</v>
      </c>
      <c r="E1611" s="4" t="s">
        <v>11081</v>
      </c>
      <c r="F1611" s="4" t="s">
        <v>172</v>
      </c>
      <c r="G1611" s="4" t="s">
        <v>11082</v>
      </c>
      <c r="H1611" s="4" t="str">
        <f>IFERROR(__XLUDF.DUMMYFUNCTION("PROPER(REGEXREPLACE(G188,""[^A-Za-z]+ "",""""))"),"Armtek")</f>
        <v>Armtek</v>
      </c>
      <c r="I1611" s="5" t="s">
        <v>11083</v>
      </c>
      <c r="J1611" s="4" t="s">
        <v>11084</v>
      </c>
      <c r="K1611" s="4" t="s">
        <v>9226</v>
      </c>
      <c r="L1611" s="4" t="s">
        <v>29</v>
      </c>
      <c r="M1611" s="4" t="s">
        <v>2602</v>
      </c>
      <c r="N1611" s="4" t="str">
        <f>IFERROR(__XLUDF.DUMMYFUNCTION("VLOOKUP(M188,IMPORTRANGE(""https://docs.google.com/spreadsheets/d/1opm6ZNvGZ7KditA9TuJwrZ25eFLfTNIkrNnY6mhV5Eg"",""list!A1:C115""),3,TRUE)"),"le secteur de la tech")</f>
        <v xml:space="preserve">le secteur de la tech</v>
      </c>
      <c r="O1611" s="4" t="s">
        <v>11085</v>
      </c>
      <c r="P1611" s="4">
        <v>34</v>
      </c>
      <c r="Q1611" s="4" t="s">
        <v>651</v>
      </c>
      <c r="R1611" s="4" t="s">
        <v>9215</v>
      </c>
      <c r="S1611" s="4" t="s">
        <v>29</v>
      </c>
      <c r="T1611" s="5" t="s">
        <v>11086</v>
      </c>
      <c r="U1611" s="6"/>
      <c r="V1611" s="6"/>
      <c r="W1611" s="6"/>
      <c r="X1611" s="6"/>
      <c r="Y1611" s="4" t="s">
        <v>11087</v>
      </c>
      <c r="Z1611" s="6"/>
      <c r="AA1611" s="5" t="s">
        <v>11088</v>
      </c>
    </row>
    <row r="1612" ht="14.25">
      <c r="B1612" s="4" t="s">
        <v>11089</v>
      </c>
      <c r="C1612" s="4" t="s">
        <v>1153</v>
      </c>
      <c r="D1612" s="4" t="s">
        <v>11090</v>
      </c>
      <c r="E1612" s="4" t="s">
        <v>11091</v>
      </c>
      <c r="F1612" s="4" t="s">
        <v>172</v>
      </c>
      <c r="G1612" s="4" t="s">
        <v>11092</v>
      </c>
      <c r="H1612" s="4" t="str">
        <f>IFERROR(__XLUDF.DUMMYFUNCTION("PROPER(REGEXREPLACE(G189,""[^A-Za-z]+ "",""""))"),"Proactif Call Center")</f>
        <v xml:space="preserve">Proactif Call Center</v>
      </c>
      <c r="I1612" s="5" t="s">
        <v>11093</v>
      </c>
      <c r="J1612" s="4" t="s">
        <v>185</v>
      </c>
      <c r="K1612" s="4" t="s">
        <v>9193</v>
      </c>
      <c r="L1612" s="4" t="s">
        <v>29</v>
      </c>
      <c r="M1612" s="4" t="s">
        <v>9161</v>
      </c>
      <c r="N1612" s="4" t="str">
        <f>IFERROR(__XLUDF.DUMMYFUNCTION("VLOOKUP(M189,IMPORTRANGE(""https://docs.google.com/spreadsheets/d/1opm6ZNvGZ7KditA9TuJwrZ25eFLfTNIkrNnY6mhV5Eg"",""list!A1:C115""),3,TRUE)"),"le secteur du marketing")</f>
        <v xml:space="preserve">le secteur du marketing</v>
      </c>
      <c r="O1612" s="4" t="s">
        <v>11094</v>
      </c>
      <c r="P1612" s="4">
        <v>21</v>
      </c>
      <c r="Q1612" s="6"/>
      <c r="R1612" s="6"/>
      <c r="S1612" s="4" t="s">
        <v>9969</v>
      </c>
      <c r="T1612" s="5" t="s">
        <v>11095</v>
      </c>
      <c r="U1612" s="6"/>
      <c r="V1612" s="6"/>
      <c r="W1612" s="6"/>
      <c r="X1612" s="6"/>
      <c r="Y1612" s="4" t="s">
        <v>11096</v>
      </c>
      <c r="Z1612" s="6"/>
      <c r="AA1612" s="5" t="s">
        <v>11097</v>
      </c>
    </row>
    <row r="1613" ht="14.25">
      <c r="B1613" s="4" t="s">
        <v>11098</v>
      </c>
      <c r="C1613" s="4" t="s">
        <v>1153</v>
      </c>
      <c r="D1613" s="4" t="s">
        <v>11099</v>
      </c>
      <c r="E1613" s="4" t="s">
        <v>11100</v>
      </c>
      <c r="F1613" s="4" t="s">
        <v>112</v>
      </c>
      <c r="G1613" s="4" t="s">
        <v>11101</v>
      </c>
      <c r="H1613" s="4" t="str">
        <f>IFERROR(__XLUDF.DUMMYFUNCTION("PROPER(REGEXREPLACE(G190,""[^A-Za-z]+ "",""""))"),"Styléo")</f>
        <v>Styléo</v>
      </c>
      <c r="I1613" s="5" t="s">
        <v>11102</v>
      </c>
      <c r="J1613" s="4" t="s">
        <v>11103</v>
      </c>
      <c r="K1613" s="4" t="s">
        <v>9251</v>
      </c>
      <c r="L1613" s="4" t="s">
        <v>29</v>
      </c>
      <c r="M1613" s="4" t="s">
        <v>2602</v>
      </c>
      <c r="N1613" s="4" t="str">
        <f>IFERROR(__XLUDF.DUMMYFUNCTION("VLOOKUP(M190,IMPORTRANGE(""https://docs.google.com/spreadsheets/d/1opm6ZNvGZ7KditA9TuJwrZ25eFLfTNIkrNnY6mhV5Eg"",""list!A1:C115""),3,TRUE)"),"le secteur de la tech")</f>
        <v xml:space="preserve">le secteur de la tech</v>
      </c>
      <c r="O1613" s="4" t="s">
        <v>11104</v>
      </c>
      <c r="P1613" s="4">
        <v>10</v>
      </c>
      <c r="Q1613" s="4" t="s">
        <v>11103</v>
      </c>
      <c r="R1613" s="4" t="s">
        <v>9251</v>
      </c>
      <c r="S1613" s="4" t="s">
        <v>29</v>
      </c>
      <c r="T1613" s="5" t="s">
        <v>11105</v>
      </c>
      <c r="U1613" s="6"/>
      <c r="V1613" s="5" t="s">
        <v>11106</v>
      </c>
      <c r="W1613" s="6"/>
      <c r="X1613" s="6"/>
      <c r="Y1613" s="4" t="s">
        <v>11107</v>
      </c>
      <c r="Z1613" s="6"/>
      <c r="AA1613" s="5" t="s">
        <v>11108</v>
      </c>
    </row>
    <row r="1614" ht="14.25">
      <c r="B1614" s="4" t="s">
        <v>11109</v>
      </c>
      <c r="C1614" s="4" t="s">
        <v>1153</v>
      </c>
      <c r="D1614" s="4" t="s">
        <v>11110</v>
      </c>
      <c r="E1614" s="4" t="s">
        <v>11111</v>
      </c>
      <c r="F1614" s="4" t="s">
        <v>7185</v>
      </c>
      <c r="G1614" s="4" t="s">
        <v>11112</v>
      </c>
      <c r="H1614" s="4" t="str">
        <f>IFERROR(__XLUDF.DUMMYFUNCTION("PROPER(REGEXREPLACE(G191,""[^A-Za-z]+ "",""""))"),"Mti")</f>
        <v>Mti</v>
      </c>
      <c r="I1614" s="5" t="s">
        <v>11113</v>
      </c>
      <c r="J1614" s="4" t="s">
        <v>6777</v>
      </c>
      <c r="K1614" s="4" t="s">
        <v>11114</v>
      </c>
      <c r="L1614" s="4" t="s">
        <v>29</v>
      </c>
      <c r="M1614" s="4" t="s">
        <v>10066</v>
      </c>
      <c r="N1614" s="4" t="str">
        <f>IFERROR(__XLUDF.DUMMYFUNCTION("VLOOKUP(M191,IMPORTRANGE(""https://docs.google.com/spreadsheets/d/1opm6ZNvGZ7KditA9TuJwrZ25eFLfTNIkrNnY6mhV5Eg"",""list!A1:C115""),3,TRUE)"),"le secteur de la tech")</f>
        <v xml:space="preserve">le secteur de la tech</v>
      </c>
      <c r="O1614" s="4" t="s">
        <v>11115</v>
      </c>
      <c r="P1614" s="4">
        <v>11</v>
      </c>
      <c r="Q1614" s="4" t="s">
        <v>6777</v>
      </c>
      <c r="R1614" s="4" t="s">
        <v>9864</v>
      </c>
      <c r="S1614" s="4" t="s">
        <v>29</v>
      </c>
      <c r="T1614" s="5" t="s">
        <v>11116</v>
      </c>
      <c r="U1614" s="6"/>
      <c r="V1614" s="6"/>
      <c r="W1614" s="6"/>
      <c r="X1614" s="6"/>
      <c r="Y1614" s="4" t="s">
        <v>11117</v>
      </c>
      <c r="Z1614" s="6"/>
      <c r="AA1614" s="5" t="s">
        <v>11118</v>
      </c>
    </row>
    <row r="1615" ht="14.25">
      <c r="B1615" s="4" t="s">
        <v>11119</v>
      </c>
      <c r="C1615" s="4" t="s">
        <v>1153</v>
      </c>
      <c r="D1615" s="4" t="s">
        <v>11120</v>
      </c>
      <c r="E1615" s="4" t="s">
        <v>11121</v>
      </c>
      <c r="F1615" s="4" t="s">
        <v>11122</v>
      </c>
      <c r="G1615" s="4" t="s">
        <v>11123</v>
      </c>
      <c r="H1615" s="4" t="str">
        <f>IFERROR(__XLUDF.DUMMYFUNCTION("PROPER(REGEXREPLACE(G192,""[^A-Za-z]+ "",""""))"),"Smile Wanted Group")</f>
        <v xml:space="preserve">Smile Wanted Group</v>
      </c>
      <c r="I1615" s="5" t="s">
        <v>11124</v>
      </c>
      <c r="J1615" s="4" t="s">
        <v>39</v>
      </c>
      <c r="K1615" s="4" t="s">
        <v>9160</v>
      </c>
      <c r="L1615" s="4" t="s">
        <v>29</v>
      </c>
      <c r="M1615" s="4" t="s">
        <v>2602</v>
      </c>
      <c r="N1615" s="4" t="str">
        <f>IFERROR(__XLUDF.DUMMYFUNCTION("VLOOKUP(M192,IMPORTRANGE(""https://docs.google.com/spreadsheets/d/1opm6ZNvGZ7KditA9TuJwrZ25eFLfTNIkrNnY6mhV5Eg"",""list!A1:C115""),3,TRUE)"),"le secteur de la tech")</f>
        <v xml:space="preserve">le secteur de la tech</v>
      </c>
      <c r="O1615" s="4" t="s">
        <v>11125</v>
      </c>
      <c r="P1615" s="4">
        <v>16</v>
      </c>
      <c r="Q1615" s="4" t="s">
        <v>39</v>
      </c>
      <c r="R1615" s="4" t="s">
        <v>9160</v>
      </c>
      <c r="S1615" s="4" t="s">
        <v>29</v>
      </c>
      <c r="T1615" s="5" t="s">
        <v>11126</v>
      </c>
      <c r="U1615" s="6"/>
      <c r="V1615" s="6"/>
      <c r="W1615" s="6"/>
      <c r="X1615" s="6"/>
      <c r="Y1615" s="4" t="s">
        <v>11127</v>
      </c>
      <c r="Z1615" s="6"/>
      <c r="AA1615" s="5" t="s">
        <v>11128</v>
      </c>
    </row>
    <row r="1616" ht="14.25">
      <c r="B1616" s="4" t="s">
        <v>11129</v>
      </c>
      <c r="C1616" s="4" t="s">
        <v>1153</v>
      </c>
      <c r="D1616" s="4" t="s">
        <v>11130</v>
      </c>
      <c r="E1616" s="4" t="s">
        <v>11131</v>
      </c>
      <c r="F1616" s="4" t="s">
        <v>172</v>
      </c>
      <c r="G1616" s="4" t="s">
        <v>11132</v>
      </c>
      <c r="H1616" s="4" t="str">
        <f>IFERROR(__XLUDF.DUMMYFUNCTION("PROPER(REGEXREPLACE(G193,""[^A-Za-z]+ "",""""))"),"Sas Merlot")</f>
        <v xml:space="preserve">Sas Merlot</v>
      </c>
      <c r="I1616" s="5" t="s">
        <v>11133</v>
      </c>
      <c r="J1616" s="4" t="s">
        <v>10717</v>
      </c>
      <c r="K1616" s="4" t="s">
        <v>9864</v>
      </c>
      <c r="L1616" s="4" t="s">
        <v>29</v>
      </c>
      <c r="M1616" s="4" t="s">
        <v>9239</v>
      </c>
      <c r="N1616" s="4" t="str">
        <f>IFERROR(__XLUDF.DUMMYFUNCTION("VLOOKUP(M193,IMPORTRANGE(""https://docs.google.com/spreadsheets/d/1opm6ZNvGZ7KditA9TuJwrZ25eFLfTNIkrNnY6mhV5Eg"",""list!A1:C115""),3,TRUE)"),"le secteur de la construction")</f>
        <v xml:space="preserve">le secteur de la construction</v>
      </c>
      <c r="O1616" s="6"/>
      <c r="P1616" s="4">
        <v>18</v>
      </c>
      <c r="Q1616" s="4" t="s">
        <v>10717</v>
      </c>
      <c r="R1616" s="4" t="s">
        <v>9864</v>
      </c>
      <c r="S1616" s="4" t="s">
        <v>29</v>
      </c>
      <c r="T1616" s="5" t="s">
        <v>11134</v>
      </c>
      <c r="U1616" s="6"/>
      <c r="V1616" s="5" t="s">
        <v>11135</v>
      </c>
      <c r="W1616" s="6"/>
      <c r="X1616" s="6"/>
      <c r="Y1616" s="4" t="s">
        <v>11136</v>
      </c>
      <c r="Z1616" s="6"/>
      <c r="AA1616" s="5" t="s">
        <v>11137</v>
      </c>
    </row>
    <row r="1617" ht="14.25">
      <c r="B1617" s="4" t="s">
        <v>11138</v>
      </c>
      <c r="C1617" s="4" t="s">
        <v>7525</v>
      </c>
      <c r="D1617" s="4" t="s">
        <v>11139</v>
      </c>
      <c r="E1617" s="4" t="s">
        <v>11140</v>
      </c>
      <c r="F1617" s="4" t="s">
        <v>11141</v>
      </c>
      <c r="G1617" s="4" t="s">
        <v>11142</v>
      </c>
      <c r="H1617" s="4" t="str">
        <f>IFERROR(__XLUDF.DUMMYFUNCTION("PROPER(REGEXREPLACE(G194,""[^A-Za-z]+ "",""""))"),"Avenir Dirigeant")</f>
        <v xml:space="preserve">Avenir Dirigeant</v>
      </c>
      <c r="I1617" s="5" t="s">
        <v>11143</v>
      </c>
      <c r="J1617" s="4" t="s">
        <v>39</v>
      </c>
      <c r="K1617" s="4" t="s">
        <v>9160</v>
      </c>
      <c r="L1617" s="4" t="s">
        <v>29</v>
      </c>
      <c r="M1617" s="4" t="s">
        <v>4067</v>
      </c>
      <c r="N1617" s="4" t="str">
        <f>IFERROR(__XLUDF.DUMMYFUNCTION("VLOOKUP(M194,IMPORTRANGE(""https://docs.google.com/spreadsheets/d/1opm6ZNvGZ7KditA9TuJwrZ25eFLfTNIkrNnY6mhV5Eg"",""list!A1:C115""),3,TRUE)"),"le secteur du conseil en management")</f>
        <v xml:space="preserve">le secteur du conseil en management</v>
      </c>
      <c r="O1617" s="4" t="s">
        <v>11144</v>
      </c>
      <c r="P1617" s="4">
        <v>10</v>
      </c>
      <c r="Q1617" s="4" t="s">
        <v>39</v>
      </c>
      <c r="R1617" s="4" t="s">
        <v>9160</v>
      </c>
      <c r="S1617" s="4" t="s">
        <v>29</v>
      </c>
      <c r="T1617" s="5" t="s">
        <v>11145</v>
      </c>
      <c r="U1617" s="5" t="s">
        <v>11146</v>
      </c>
      <c r="V1617" s="5" t="s">
        <v>11147</v>
      </c>
      <c r="W1617" s="6"/>
      <c r="X1617" s="6"/>
      <c r="Y1617" s="4" t="s">
        <v>11148</v>
      </c>
      <c r="Z1617" s="6"/>
      <c r="AA1617" s="5" t="s">
        <v>11149</v>
      </c>
    </row>
    <row r="1618" ht="14.25">
      <c r="B1618" s="4" t="s">
        <v>11150</v>
      </c>
      <c r="C1618" s="4" t="s">
        <v>1153</v>
      </c>
      <c r="D1618" s="4" t="s">
        <v>11151</v>
      </c>
      <c r="E1618" s="4" t="s">
        <v>11152</v>
      </c>
      <c r="F1618" s="4" t="s">
        <v>11153</v>
      </c>
      <c r="G1618" s="4" t="s">
        <v>11154</v>
      </c>
      <c r="H1618" s="4" t="str">
        <f>IFERROR(__XLUDF.DUMMYFUNCTION("PROPER(REGEXREPLACE(G195,""[^A-Za-z]+ "",""""))"),"Baron Sas")</f>
        <v xml:space="preserve">Baron Sas</v>
      </c>
      <c r="I1618" s="5" t="s">
        <v>11155</v>
      </c>
      <c r="J1618" s="4" t="s">
        <v>6480</v>
      </c>
      <c r="K1618" s="4" t="s">
        <v>9281</v>
      </c>
      <c r="L1618" s="4" t="s">
        <v>29</v>
      </c>
      <c r="M1618" s="4" t="s">
        <v>10215</v>
      </c>
      <c r="N1618" s="4" t="str">
        <f>IFERROR(__XLUDF.DUMMYFUNCTION("VLOOKUP(M195,IMPORTRANGE(""https://docs.google.com/spreadsheets/d/1opm6ZNvGZ7KditA9TuJwrZ25eFLfTNIkrNnY6mhV5Eg"",""list!A1:C115""),3,TRUE)"),"le secteur de l'électrique et électronique")</f>
        <v xml:space="preserve">le secteur de l'électrique et électronique</v>
      </c>
      <c r="O1618" s="4" t="s">
        <v>11156</v>
      </c>
      <c r="P1618" s="4">
        <v>20</v>
      </c>
      <c r="Q1618" s="4" t="s">
        <v>11157</v>
      </c>
      <c r="R1618" s="4" t="s">
        <v>9484</v>
      </c>
      <c r="S1618" s="4" t="s">
        <v>29</v>
      </c>
      <c r="T1618" s="5" t="s">
        <v>11158</v>
      </c>
      <c r="U1618" s="6"/>
      <c r="V1618" s="6"/>
      <c r="W1618" s="6"/>
      <c r="X1618" s="6"/>
      <c r="Y1618" s="4" t="s">
        <v>11159</v>
      </c>
      <c r="Z1618" s="6"/>
      <c r="AA1618" s="5" t="s">
        <v>11160</v>
      </c>
    </row>
    <row r="1619" ht="14.25">
      <c r="B1619" s="4" t="s">
        <v>11161</v>
      </c>
      <c r="C1619" s="4" t="s">
        <v>4986</v>
      </c>
      <c r="D1619" s="4" t="s">
        <v>11162</v>
      </c>
      <c r="E1619" s="4" t="s">
        <v>11163</v>
      </c>
      <c r="F1619" s="4" t="s">
        <v>11164</v>
      </c>
      <c r="G1619" s="4" t="s">
        <v>10659</v>
      </c>
      <c r="H1619" s="4" t="str">
        <f>IFERROR(__XLUDF.DUMMYFUNCTION("PROPER(REGEXREPLACE(G196,""[^A-Za-z]+ "",""""))"),"Vakom Le Sens De L'Humain")</f>
        <v xml:space="preserve">Vakom Le Sens De L'Humain</v>
      </c>
      <c r="I1619" s="5" t="s">
        <v>10660</v>
      </c>
      <c r="J1619" s="4" t="s">
        <v>83</v>
      </c>
      <c r="K1619" s="4" t="s">
        <v>9460</v>
      </c>
      <c r="L1619" s="4" t="s">
        <v>29</v>
      </c>
      <c r="M1619" s="4" t="s">
        <v>4067</v>
      </c>
      <c r="N1619" s="4" t="str">
        <f>IFERROR(__XLUDF.DUMMYFUNCTION("VLOOKUP(M196,IMPORTRANGE(""https://docs.google.com/spreadsheets/d/1opm6ZNvGZ7KditA9TuJwrZ25eFLfTNIkrNnY6mhV5Eg"",""list!A1:C115""),3,TRUE)"),"le secteur du conseil en management")</f>
        <v xml:space="preserve">le secteur du conseil en management</v>
      </c>
      <c r="O1619" s="4" t="s">
        <v>10662</v>
      </c>
      <c r="P1619" s="4">
        <v>49</v>
      </c>
      <c r="Q1619" s="4" t="s">
        <v>492</v>
      </c>
      <c r="R1619" s="4" t="s">
        <v>9267</v>
      </c>
      <c r="S1619" s="4" t="s">
        <v>29</v>
      </c>
      <c r="T1619" s="5" t="s">
        <v>10663</v>
      </c>
      <c r="U1619" s="6"/>
      <c r="V1619" s="5" t="s">
        <v>10664</v>
      </c>
      <c r="W1619" s="6"/>
      <c r="X1619" s="6"/>
      <c r="Y1619" s="4" t="s">
        <v>10665</v>
      </c>
      <c r="Z1619" s="6"/>
      <c r="AA1619" s="5" t="s">
        <v>11165</v>
      </c>
    </row>
    <row r="1620" ht="14.25">
      <c r="B1620" s="4" t="s">
        <v>11166</v>
      </c>
      <c r="C1620" s="4" t="s">
        <v>4986</v>
      </c>
      <c r="D1620" s="4" t="s">
        <v>11167</v>
      </c>
      <c r="E1620" s="4" t="s">
        <v>11168</v>
      </c>
      <c r="F1620" s="4" t="s">
        <v>198</v>
      </c>
      <c r="G1620" s="4" t="s">
        <v>11169</v>
      </c>
      <c r="H1620" s="4" t="str">
        <f>IFERROR(__XLUDF.DUMMYFUNCTION("PROPER(REGEXREPLACE(G197,""[^A-Za-z]+ "",""""))"),"Wondercrushact4U Group")</f>
        <v xml:space="preserve">Wondercrushact4U Group</v>
      </c>
      <c r="I1620" s="5" t="s">
        <v>11170</v>
      </c>
      <c r="J1620" s="4" t="s">
        <v>1711</v>
      </c>
      <c r="K1620" s="4" t="s">
        <v>9350</v>
      </c>
      <c r="L1620" s="4" t="s">
        <v>29</v>
      </c>
      <c r="M1620" s="4" t="s">
        <v>9161</v>
      </c>
      <c r="N1620" s="4" t="str">
        <f>IFERROR(__XLUDF.DUMMYFUNCTION("VLOOKUP(M197,IMPORTRANGE(""https://docs.google.com/spreadsheets/d/1opm6ZNvGZ7KditA9TuJwrZ25eFLfTNIkrNnY6mhV5Eg"",""list!A1:C115""),3,TRUE)"),"le secteur du marketing")</f>
        <v xml:space="preserve">le secteur du marketing</v>
      </c>
      <c r="O1620" s="6"/>
      <c r="P1620" s="4">
        <v>16</v>
      </c>
      <c r="Q1620" s="4" t="s">
        <v>11171</v>
      </c>
      <c r="R1620" s="4" t="s">
        <v>9350</v>
      </c>
      <c r="S1620" s="4" t="s">
        <v>29</v>
      </c>
      <c r="T1620" s="5" t="s">
        <v>11172</v>
      </c>
      <c r="U1620" s="6"/>
      <c r="V1620" s="6"/>
      <c r="W1620" s="6"/>
      <c r="X1620" s="6"/>
      <c r="Y1620" s="4" t="s">
        <v>11173</v>
      </c>
      <c r="Z1620" s="6"/>
      <c r="AA1620" s="5" t="s">
        <v>11174</v>
      </c>
    </row>
    <row r="1621" ht="14.25">
      <c r="B1621" s="4" t="s">
        <v>11175</v>
      </c>
      <c r="C1621" s="4" t="s">
        <v>4986</v>
      </c>
      <c r="D1621" s="4" t="s">
        <v>11176</v>
      </c>
      <c r="E1621" s="4" t="s">
        <v>11177</v>
      </c>
      <c r="F1621" s="4" t="s">
        <v>11178</v>
      </c>
      <c r="G1621" s="4" t="s">
        <v>11179</v>
      </c>
      <c r="H1621" s="4" t="str">
        <f>IFERROR(__XLUDF.DUMMYFUNCTION("PROPER(REGEXREPLACE(G198,""[^A-Za-z]+ "",""""))"),"La Maison Plisson")</f>
        <v xml:space="preserve">La Maison Plisson</v>
      </c>
      <c r="I1621" s="5" t="s">
        <v>11180</v>
      </c>
      <c r="J1621" s="4" t="s">
        <v>39</v>
      </c>
      <c r="K1621" s="4" t="s">
        <v>9160</v>
      </c>
      <c r="L1621" s="4" t="s">
        <v>29</v>
      </c>
      <c r="M1621" s="4" t="s">
        <v>4525</v>
      </c>
      <c r="N1621" s="4" t="str">
        <f>IFERROR(__XLUDF.DUMMYFUNCTION("VLOOKUP(M198,IMPORTRANGE(""https://docs.google.com/spreadsheets/d/1opm6ZNvGZ7KditA9TuJwrZ25eFLfTNIkrNnY6mhV5Eg"",""list!A1:C115""),3,TRUE)"),"le secteur du retail")</f>
        <v xml:space="preserve">le secteur du retail</v>
      </c>
      <c r="O1621" s="4" t="s">
        <v>11181</v>
      </c>
      <c r="P1621" s="4">
        <v>28</v>
      </c>
      <c r="Q1621" s="4" t="s">
        <v>39</v>
      </c>
      <c r="R1621" s="4" t="s">
        <v>9160</v>
      </c>
      <c r="S1621" s="4" t="s">
        <v>29</v>
      </c>
      <c r="T1621" s="5" t="s">
        <v>11182</v>
      </c>
      <c r="U1621" s="6"/>
      <c r="V1621" s="6"/>
      <c r="W1621" s="6"/>
      <c r="X1621" s="6"/>
      <c r="Y1621" s="4" t="s">
        <v>11183</v>
      </c>
      <c r="Z1621" s="6"/>
      <c r="AA1621" s="5" t="s">
        <v>11184</v>
      </c>
    </row>
    <row r="1622" ht="14.25">
      <c r="B1622" s="4" t="s">
        <v>11185</v>
      </c>
      <c r="C1622" s="4" t="s">
        <v>4986</v>
      </c>
      <c r="D1622" s="4" t="s">
        <v>11186</v>
      </c>
      <c r="E1622" s="4" t="s">
        <v>11187</v>
      </c>
      <c r="F1622" s="4" t="s">
        <v>11188</v>
      </c>
      <c r="G1622" s="4" t="s">
        <v>11189</v>
      </c>
      <c r="H1622" s="4" t="str">
        <f>IFERROR(__XLUDF.DUMMYFUNCTION("PROPER(REGEXREPLACE(G199,""[^A-Za-z]+ "",""""))"),"Tempeos")</f>
        <v>Tempeos</v>
      </c>
      <c r="I1622" s="5" t="s">
        <v>11190</v>
      </c>
      <c r="J1622" s="4" t="s">
        <v>11191</v>
      </c>
      <c r="K1622" s="4" t="s">
        <v>9460</v>
      </c>
      <c r="L1622" s="4" t="s">
        <v>29</v>
      </c>
      <c r="M1622" s="4" t="s">
        <v>4067</v>
      </c>
      <c r="N1622" s="4" t="str">
        <f>IFERROR(__XLUDF.DUMMYFUNCTION("VLOOKUP(M199,IMPORTRANGE(""https://docs.google.com/spreadsheets/d/1opm6ZNvGZ7KditA9TuJwrZ25eFLfTNIkrNnY6mhV5Eg"",""list!A1:C115""),3,TRUE)"),"le secteur du conseil en management")</f>
        <v xml:space="preserve">le secteur du conseil en management</v>
      </c>
      <c r="O1622" s="4" t="s">
        <v>11192</v>
      </c>
      <c r="P1622" s="4">
        <v>32</v>
      </c>
      <c r="Q1622" s="4" t="s">
        <v>731</v>
      </c>
      <c r="R1622" s="4" t="s">
        <v>9227</v>
      </c>
      <c r="S1622" s="4" t="s">
        <v>29</v>
      </c>
      <c r="T1622" s="5" t="s">
        <v>11193</v>
      </c>
      <c r="U1622" s="6"/>
      <c r="V1622" s="6"/>
      <c r="W1622" s="6"/>
      <c r="X1622" s="6"/>
      <c r="Y1622" s="4" t="s">
        <v>11194</v>
      </c>
      <c r="Z1622" s="6"/>
      <c r="AA1622" s="5" t="s">
        <v>11195</v>
      </c>
    </row>
    <row r="1623" ht="14.25">
      <c r="B1623" s="4" t="s">
        <v>11196</v>
      </c>
      <c r="C1623" s="4" t="s">
        <v>7525</v>
      </c>
      <c r="D1623" s="4" t="s">
        <v>11197</v>
      </c>
      <c r="E1623" s="4" t="s">
        <v>11198</v>
      </c>
      <c r="F1623" s="4" t="s">
        <v>11199</v>
      </c>
      <c r="G1623" s="4" t="s">
        <v>11200</v>
      </c>
      <c r="H1623" s="4" t="str">
        <f>IFERROR(__XLUDF.DUMMYFUNCTION("PROPER(REGEXREPLACE(G200,""[^A-Za-z]+ "",""""))"),"Agro Alimentaire Conseil")</f>
        <v xml:space="preserve">Agro Alimentaire Conseil</v>
      </c>
      <c r="I1623" s="6"/>
      <c r="J1623" s="4" t="s">
        <v>11201</v>
      </c>
      <c r="K1623" s="4" t="s">
        <v>9193</v>
      </c>
      <c r="L1623" s="4" t="s">
        <v>29</v>
      </c>
      <c r="M1623" s="4" t="s">
        <v>4067</v>
      </c>
      <c r="N1623" s="4" t="str">
        <f>IFERROR(__XLUDF.DUMMYFUNCTION("VLOOKUP(M200,IMPORTRANGE(""https://docs.google.com/spreadsheets/d/1opm6ZNvGZ7KditA9TuJwrZ25eFLfTNIkrNnY6mhV5Eg"",""list!A1:C115""),3,TRUE)"),"le secteur du conseil en management")</f>
        <v xml:space="preserve">le secteur du conseil en management</v>
      </c>
      <c r="O1623" s="6"/>
      <c r="P1623" s="4">
        <v>49</v>
      </c>
      <c r="Q1623" s="4" t="s">
        <v>11201</v>
      </c>
      <c r="R1623" s="4" t="s">
        <v>9193</v>
      </c>
      <c r="S1623" s="4" t="s">
        <v>29</v>
      </c>
      <c r="T1623" s="5" t="s">
        <v>11202</v>
      </c>
      <c r="U1623" s="6"/>
      <c r="V1623" s="6"/>
      <c r="W1623" s="6"/>
      <c r="X1623" s="6"/>
      <c r="Y1623" s="4" t="s">
        <v>11203</v>
      </c>
      <c r="Z1623" s="6"/>
      <c r="AA1623" s="5" t="s">
        <v>11204</v>
      </c>
    </row>
    <row r="1624" ht="14.25">
      <c r="B1624" s="4" t="s">
        <v>11205</v>
      </c>
      <c r="C1624" s="4" t="s">
        <v>7525</v>
      </c>
      <c r="D1624" s="4" t="s">
        <v>11206</v>
      </c>
      <c r="E1624" s="4" t="s">
        <v>11207</v>
      </c>
      <c r="F1624" s="4" t="s">
        <v>426</v>
      </c>
      <c r="G1624" s="4" t="s">
        <v>11208</v>
      </c>
      <c r="H1624" s="4" t="str">
        <f>IFERROR(__XLUDF.DUMMYFUNCTION("PROPER(REGEXREPLACE(G201,""[^A-Za-z]+ "",""""))"),"Elips Solution")</f>
        <v xml:space="preserve">Elips Solution</v>
      </c>
      <c r="I1624" s="5" t="s">
        <v>11209</v>
      </c>
      <c r="J1624" s="6"/>
      <c r="K1624" s="6"/>
      <c r="L1624" s="4" t="s">
        <v>29</v>
      </c>
      <c r="M1624" s="4" t="s">
        <v>2602</v>
      </c>
      <c r="N1624" s="4" t="str">
        <f>IFERROR(__XLUDF.DUMMYFUNCTION("VLOOKUP(M201,IMPORTRANGE(""https://docs.google.com/spreadsheets/d/1opm6ZNvGZ7KditA9TuJwrZ25eFLfTNIkrNnY6mhV5Eg"",""list!A1:C115""),3,TRUE)"),"le secteur de la tech")</f>
        <v xml:space="preserve">le secteur de la tech</v>
      </c>
      <c r="O1624" s="6"/>
      <c r="P1624" s="4">
        <v>17</v>
      </c>
      <c r="Q1624" s="4" t="s">
        <v>6954</v>
      </c>
      <c r="R1624" s="4" t="s">
        <v>10370</v>
      </c>
      <c r="S1624" s="4" t="s">
        <v>29</v>
      </c>
      <c r="T1624" s="5" t="s">
        <v>11210</v>
      </c>
      <c r="U1624" s="6"/>
      <c r="V1624" s="6"/>
      <c r="W1624" s="6"/>
      <c r="X1624" s="6"/>
      <c r="Y1624" s="4" t="s">
        <v>11211</v>
      </c>
      <c r="Z1624" s="6"/>
      <c r="AA1624" s="5" t="s">
        <v>11212</v>
      </c>
    </row>
    <row r="1625" ht="14.25">
      <c r="B1625" s="4" t="s">
        <v>11213</v>
      </c>
      <c r="C1625" s="4" t="s">
        <v>604</v>
      </c>
      <c r="D1625" s="4" t="s">
        <v>11214</v>
      </c>
      <c r="E1625" s="4" t="s">
        <v>11215</v>
      </c>
      <c r="F1625" s="4" t="s">
        <v>341</v>
      </c>
      <c r="G1625" s="4" t="s">
        <v>11216</v>
      </c>
      <c r="H1625" s="4" t="str">
        <f>IFERROR(__XLUDF.DUMMYFUNCTION("PROPER(REGEXREPLACE(G202,""[^A-Za-z]+ "",""""))"),"Os-Consultech")</f>
        <v>Os-Consultech</v>
      </c>
      <c r="I1625" s="5" t="s">
        <v>11217</v>
      </c>
      <c r="J1625" s="4" t="s">
        <v>11218</v>
      </c>
      <c r="K1625" s="4" t="s">
        <v>9278</v>
      </c>
      <c r="L1625" s="4" t="s">
        <v>29</v>
      </c>
      <c r="M1625" s="4" t="s">
        <v>2602</v>
      </c>
      <c r="N1625" s="4" t="str">
        <f>IFERROR(__XLUDF.DUMMYFUNCTION("VLOOKUP(M202,IMPORTRANGE(""https://docs.google.com/spreadsheets/d/1opm6ZNvGZ7KditA9TuJwrZ25eFLfTNIkrNnY6mhV5Eg"",""list!A1:C115""),3,TRUE)"),"le secteur de la tech")</f>
        <v xml:space="preserve">le secteur de la tech</v>
      </c>
      <c r="O1625" s="4" t="s">
        <v>11219</v>
      </c>
      <c r="P1625" s="4">
        <v>13</v>
      </c>
      <c r="Q1625" s="4" t="s">
        <v>10537</v>
      </c>
      <c r="R1625" s="4" t="s">
        <v>9281</v>
      </c>
      <c r="S1625" s="4" t="s">
        <v>29</v>
      </c>
      <c r="T1625" s="5" t="s">
        <v>11220</v>
      </c>
      <c r="U1625" s="6"/>
      <c r="V1625" s="6"/>
      <c r="W1625" s="6"/>
      <c r="X1625" s="6"/>
      <c r="Y1625" s="4" t="s">
        <v>11221</v>
      </c>
      <c r="Z1625" s="6"/>
      <c r="AA1625" s="5" t="s">
        <v>11222</v>
      </c>
    </row>
    <row r="1626" ht="14.25">
      <c r="B1626" s="4" t="s">
        <v>11223</v>
      </c>
      <c r="C1626" s="4" t="s">
        <v>1153</v>
      </c>
      <c r="D1626" s="4" t="s">
        <v>11224</v>
      </c>
      <c r="E1626" s="4" t="s">
        <v>11225</v>
      </c>
      <c r="F1626" s="4" t="s">
        <v>1231</v>
      </c>
      <c r="G1626" s="4" t="s">
        <v>9447</v>
      </c>
      <c r="H1626" s="4" t="str">
        <f>IFERROR(__XLUDF.DUMMYFUNCTION("PROPER(REGEXREPLACE(G203,""[^A-Za-z]+ "",""""))"),"Opstim")</f>
        <v>Opstim</v>
      </c>
      <c r="I1626" s="5" t="s">
        <v>9448</v>
      </c>
      <c r="J1626" s="4" t="s">
        <v>39</v>
      </c>
      <c r="K1626" s="4" t="s">
        <v>9160</v>
      </c>
      <c r="L1626" s="4" t="s">
        <v>29</v>
      </c>
      <c r="M1626" s="4" t="s">
        <v>2602</v>
      </c>
      <c r="N1626" s="4" t="str">
        <f>IFERROR(__XLUDF.DUMMYFUNCTION("VLOOKUP(M203,IMPORTRANGE(""https://docs.google.com/spreadsheets/d/1opm6ZNvGZ7KditA9TuJwrZ25eFLfTNIkrNnY6mhV5Eg"",""list!A1:C115""),3,TRUE)"),"le secteur de la tech")</f>
        <v xml:space="preserve">le secteur de la tech</v>
      </c>
      <c r="O1626" s="4" t="s">
        <v>9449</v>
      </c>
      <c r="P1626" s="4">
        <v>22</v>
      </c>
      <c r="Q1626" s="4" t="s">
        <v>39</v>
      </c>
      <c r="R1626" s="4" t="s">
        <v>9160</v>
      </c>
      <c r="S1626" s="4" t="s">
        <v>29</v>
      </c>
      <c r="T1626" s="5" t="s">
        <v>9450</v>
      </c>
      <c r="U1626" s="6"/>
      <c r="V1626" s="6"/>
      <c r="W1626" s="6"/>
      <c r="X1626" s="6"/>
      <c r="Y1626" s="4" t="s">
        <v>9451</v>
      </c>
      <c r="Z1626" s="6"/>
      <c r="AA1626" s="5" t="s">
        <v>11226</v>
      </c>
    </row>
    <row r="1627" ht="14.25">
      <c r="B1627" s="4" t="s">
        <v>11227</v>
      </c>
      <c r="C1627" s="4" t="s">
        <v>571</v>
      </c>
      <c r="D1627" s="4" t="s">
        <v>8599</v>
      </c>
      <c r="E1627" s="4" t="s">
        <v>11228</v>
      </c>
      <c r="F1627" s="4" t="s">
        <v>11229</v>
      </c>
      <c r="G1627" s="4" t="s">
        <v>11230</v>
      </c>
      <c r="H1627" s="4" t="str">
        <f>IFERROR(__XLUDF.DUMMYFUNCTION("PROPER(REGEXREPLACE(G204,""[^A-Za-z]+ "",""""))"),"Prime Analytics")</f>
        <v xml:space="preserve">Prime Analytics</v>
      </c>
      <c r="I1627" s="5" t="s">
        <v>11231</v>
      </c>
      <c r="J1627" s="4" t="s">
        <v>39</v>
      </c>
      <c r="K1627" s="4" t="s">
        <v>9160</v>
      </c>
      <c r="L1627" s="4" t="s">
        <v>29</v>
      </c>
      <c r="M1627" s="4" t="s">
        <v>2602</v>
      </c>
      <c r="N1627" s="4" t="str">
        <f>IFERROR(__XLUDF.DUMMYFUNCTION("VLOOKUP(M204,IMPORTRANGE(""https://docs.google.com/spreadsheets/d/1opm6ZNvGZ7KditA9TuJwrZ25eFLfTNIkrNnY6mhV5Eg"",""list!A1:C115""),3,TRUE)"),"le secteur de la tech")</f>
        <v xml:space="preserve">le secteur de la tech</v>
      </c>
      <c r="O1627" s="4" t="s">
        <v>11232</v>
      </c>
      <c r="P1627" s="4">
        <v>36</v>
      </c>
      <c r="Q1627" s="4" t="s">
        <v>1419</v>
      </c>
      <c r="R1627" s="4" t="s">
        <v>9160</v>
      </c>
      <c r="S1627" s="4" t="s">
        <v>29</v>
      </c>
      <c r="T1627" s="5" t="s">
        <v>11233</v>
      </c>
      <c r="U1627" s="6"/>
      <c r="V1627" s="5" t="s">
        <v>11234</v>
      </c>
      <c r="W1627" s="6"/>
      <c r="X1627" s="6"/>
      <c r="Y1627" s="4" t="s">
        <v>11235</v>
      </c>
      <c r="Z1627" s="6"/>
      <c r="AA1627" s="5" t="s">
        <v>11236</v>
      </c>
    </row>
    <row r="1628" ht="14.25">
      <c r="B1628" s="4" t="s">
        <v>11237</v>
      </c>
      <c r="C1628" s="4" t="s">
        <v>571</v>
      </c>
      <c r="D1628" s="4" t="s">
        <v>2165</v>
      </c>
      <c r="E1628" s="4" t="s">
        <v>11238</v>
      </c>
      <c r="F1628" s="4" t="s">
        <v>11239</v>
      </c>
      <c r="G1628" s="4" t="s">
        <v>11240</v>
      </c>
      <c r="H1628" s="4" t="str">
        <f>IFERROR(__XLUDF.DUMMYFUNCTION("PROPER(REGEXREPLACE(G205,""[^A-Za-z]+ "",""""))"),"Pierrenoël")</f>
        <v>Pierrenoël</v>
      </c>
      <c r="I1628" s="5" t="s">
        <v>11241</v>
      </c>
      <c r="J1628" s="4" t="s">
        <v>39</v>
      </c>
      <c r="K1628" s="4" t="s">
        <v>9160</v>
      </c>
      <c r="L1628" s="4" t="s">
        <v>29</v>
      </c>
      <c r="M1628" s="4" t="s">
        <v>9239</v>
      </c>
      <c r="N1628" s="4" t="str">
        <f>IFERROR(__XLUDF.DUMMYFUNCTION("VLOOKUP(M205,IMPORTRANGE(""https://docs.google.com/spreadsheets/d/1opm6ZNvGZ7KditA9TuJwrZ25eFLfTNIkrNnY6mhV5Eg"",""list!A1:C115""),3,TRUE)"),"le secteur de la construction")</f>
        <v xml:space="preserve">le secteur de la construction</v>
      </c>
      <c r="O1628" s="4" t="s">
        <v>11242</v>
      </c>
      <c r="P1628" s="4">
        <v>24</v>
      </c>
      <c r="Q1628" s="4" t="s">
        <v>4009</v>
      </c>
      <c r="R1628" s="4" t="s">
        <v>9160</v>
      </c>
      <c r="S1628" s="4" t="s">
        <v>29</v>
      </c>
      <c r="T1628" s="5" t="s">
        <v>11243</v>
      </c>
      <c r="U1628" s="6"/>
      <c r="V1628" s="6"/>
      <c r="W1628" s="6"/>
      <c r="X1628" s="6"/>
      <c r="Y1628" s="4" t="s">
        <v>11244</v>
      </c>
      <c r="Z1628" s="6"/>
      <c r="AA1628" s="5" t="s">
        <v>11245</v>
      </c>
    </row>
    <row r="1629" ht="14.25">
      <c r="B1629" s="4" t="s">
        <v>11246</v>
      </c>
      <c r="C1629" s="4" t="s">
        <v>571</v>
      </c>
      <c r="D1629" s="4" t="s">
        <v>6037</v>
      </c>
      <c r="E1629" s="4" t="s">
        <v>11247</v>
      </c>
      <c r="F1629" s="4" t="s">
        <v>1950</v>
      </c>
      <c r="G1629" s="4" t="s">
        <v>11248</v>
      </c>
      <c r="H1629" s="4" t="str">
        <f>IFERROR(__XLUDF.DUMMYFUNCTION("PROPER(REGEXREPLACE(G206,""[^A-Za-z]+ "",""""))"),"Groupemen")</f>
        <v>Groupemen</v>
      </c>
      <c r="I1629" s="6"/>
      <c r="J1629" s="4" t="s">
        <v>482</v>
      </c>
      <c r="K1629" s="4" t="s">
        <v>9460</v>
      </c>
      <c r="L1629" s="4" t="s">
        <v>29</v>
      </c>
      <c r="M1629" s="4" t="s">
        <v>4525</v>
      </c>
      <c r="N1629" s="4" t="str">
        <f>IFERROR(__XLUDF.DUMMYFUNCTION("VLOOKUP(M206,IMPORTRANGE(""https://docs.google.com/spreadsheets/d/1opm6ZNvGZ7KditA9TuJwrZ25eFLfTNIkrNnY6mhV5Eg"",""list!A1:C115""),3,TRUE)"),"le secteur du retail")</f>
        <v xml:space="preserve">le secteur du retail</v>
      </c>
      <c r="O1629" s="6"/>
      <c r="P1629" s="4">
        <v>30</v>
      </c>
      <c r="Q1629" s="4" t="s">
        <v>1204</v>
      </c>
      <c r="R1629" s="4" t="s">
        <v>10829</v>
      </c>
      <c r="S1629" s="4" t="s">
        <v>29</v>
      </c>
      <c r="T1629" s="5" t="s">
        <v>11249</v>
      </c>
      <c r="U1629" s="6"/>
      <c r="V1629" s="6"/>
      <c r="W1629" s="6"/>
      <c r="X1629" s="6"/>
      <c r="Y1629" s="4" t="s">
        <v>11250</v>
      </c>
      <c r="Z1629" s="6"/>
      <c r="AA1629" s="5" t="s">
        <v>11251</v>
      </c>
    </row>
    <row r="1630" ht="14.25">
      <c r="B1630" s="4" t="s">
        <v>11252</v>
      </c>
      <c r="C1630" s="4" t="s">
        <v>571</v>
      </c>
      <c r="D1630" s="4" t="s">
        <v>11253</v>
      </c>
      <c r="E1630" s="4" t="s">
        <v>11254</v>
      </c>
      <c r="F1630" s="4" t="s">
        <v>9410</v>
      </c>
      <c r="G1630" s="4" t="s">
        <v>11255</v>
      </c>
      <c r="H1630" s="4" t="str">
        <f>IFERROR(__XLUDF.DUMMYFUNCTION("PROPER(REGEXREPLACE(G207,""[^A-Za-z]+ "",""""))"),"Chrymelie")</f>
        <v>Chrymelie</v>
      </c>
      <c r="I1630" s="5" t="s">
        <v>11256</v>
      </c>
      <c r="J1630" s="4" t="s">
        <v>39</v>
      </c>
      <c r="K1630" s="4" t="s">
        <v>9160</v>
      </c>
      <c r="L1630" s="4" t="s">
        <v>29</v>
      </c>
      <c r="M1630" s="4" t="s">
        <v>4067</v>
      </c>
      <c r="N1630" s="4" t="str">
        <f>IFERROR(__XLUDF.DUMMYFUNCTION("VLOOKUP(M207,IMPORTRANGE(""https://docs.google.com/spreadsheets/d/1opm6ZNvGZ7KditA9TuJwrZ25eFLfTNIkrNnY6mhV5Eg"",""list!A1:C115""),3,TRUE)"),"le secteur du conseil en management")</f>
        <v xml:space="preserve">le secteur du conseil en management</v>
      </c>
      <c r="O1630" s="4" t="s">
        <v>11257</v>
      </c>
      <c r="P1630" s="4">
        <v>12</v>
      </c>
      <c r="Q1630" s="4" t="s">
        <v>39</v>
      </c>
      <c r="R1630" s="4" t="s">
        <v>9160</v>
      </c>
      <c r="S1630" s="4" t="s">
        <v>29</v>
      </c>
      <c r="T1630" s="5" t="s">
        <v>11258</v>
      </c>
      <c r="U1630" s="6"/>
      <c r="V1630" s="5" t="s">
        <v>11259</v>
      </c>
      <c r="W1630" s="6"/>
      <c r="X1630" s="6"/>
      <c r="Y1630" s="4" t="s">
        <v>11260</v>
      </c>
      <c r="Z1630" s="6"/>
      <c r="AA1630" s="5" t="s">
        <v>11261</v>
      </c>
    </row>
    <row r="1631" ht="14.25">
      <c r="B1631" s="4" t="s">
        <v>11262</v>
      </c>
      <c r="C1631" s="4" t="s">
        <v>11263</v>
      </c>
      <c r="D1631" s="4" t="s">
        <v>3319</v>
      </c>
      <c r="E1631" s="4" t="s">
        <v>11264</v>
      </c>
      <c r="F1631" s="4" t="s">
        <v>2636</v>
      </c>
      <c r="G1631" s="4" t="s">
        <v>11265</v>
      </c>
      <c r="H1631" s="4" t="str">
        <f>IFERROR(__XLUDF.DUMMYFUNCTION("PROPER(REGEXREPLACE(G208,""[^A-Za-z]+ "",""""))"),"Junior Imt Nord Europe")</f>
        <v xml:space="preserve">Junior Imt Nord Europe</v>
      </c>
      <c r="I1631" s="5" t="s">
        <v>11266</v>
      </c>
      <c r="J1631" s="4" t="s">
        <v>11267</v>
      </c>
      <c r="K1631" s="4" t="s">
        <v>9160</v>
      </c>
      <c r="L1631" s="4" t="s">
        <v>29</v>
      </c>
      <c r="M1631" s="4" t="s">
        <v>4067</v>
      </c>
      <c r="N1631" s="4" t="str">
        <f>IFERROR(__XLUDF.DUMMYFUNCTION("VLOOKUP(M208,IMPORTRANGE(""https://docs.google.com/spreadsheets/d/1opm6ZNvGZ7KditA9TuJwrZ25eFLfTNIkrNnY6mhV5Eg"",""list!A1:C115""),3,TRUE)"),"le secteur du conseil en management")</f>
        <v xml:space="preserve">le secteur du conseil en management</v>
      </c>
      <c r="O1631" s="6"/>
      <c r="P1631" s="4">
        <v>50</v>
      </c>
      <c r="Q1631" s="4" t="s">
        <v>9852</v>
      </c>
      <c r="R1631" s="4" t="s">
        <v>9281</v>
      </c>
      <c r="S1631" s="4" t="s">
        <v>29</v>
      </c>
      <c r="T1631" s="5" t="s">
        <v>11268</v>
      </c>
      <c r="U1631" s="6"/>
      <c r="V1631" s="5" t="s">
        <v>11269</v>
      </c>
      <c r="W1631" s="6"/>
      <c r="X1631" s="6"/>
      <c r="Y1631" s="4" t="s">
        <v>11270</v>
      </c>
      <c r="Z1631" s="6"/>
      <c r="AA1631" s="5" t="s">
        <v>11271</v>
      </c>
    </row>
    <row r="1632" ht="14.25">
      <c r="B1632" s="4" t="s">
        <v>11272</v>
      </c>
      <c r="C1632" s="4" t="s">
        <v>3909</v>
      </c>
      <c r="D1632" s="4" t="s">
        <v>11273</v>
      </c>
      <c r="E1632" s="4" t="s">
        <v>11274</v>
      </c>
      <c r="F1632" s="4" t="s">
        <v>7759</v>
      </c>
      <c r="G1632" s="4" t="s">
        <v>11275</v>
      </c>
      <c r="H1632" s="4" t="str">
        <f>IFERROR(__XLUDF.DUMMYFUNCTION("PROPER(REGEXREPLACE(G209,""[^A-Za-z]+ "",""""))"),"Zanier")</f>
        <v>Zanier</v>
      </c>
      <c r="I1632" s="5" t="s">
        <v>11276</v>
      </c>
      <c r="J1632" s="4" t="s">
        <v>39</v>
      </c>
      <c r="K1632" s="4" t="s">
        <v>9160</v>
      </c>
      <c r="L1632" s="4" t="s">
        <v>29</v>
      </c>
      <c r="M1632" s="4" t="s">
        <v>9239</v>
      </c>
      <c r="N1632" s="4" t="str">
        <f>IFERROR(__XLUDF.DUMMYFUNCTION("VLOOKUP(M209,IMPORTRANGE(""https://docs.google.com/spreadsheets/d/1opm6ZNvGZ7KditA9TuJwrZ25eFLfTNIkrNnY6mhV5Eg"",""list!A1:C115""),3,TRUE)"),"le secteur de la construction")</f>
        <v xml:space="preserve">le secteur de la construction</v>
      </c>
      <c r="O1632" s="4" t="s">
        <v>11277</v>
      </c>
      <c r="P1632" s="4">
        <v>23</v>
      </c>
      <c r="Q1632" s="4" t="s">
        <v>11278</v>
      </c>
      <c r="R1632" s="4" t="s">
        <v>9160</v>
      </c>
      <c r="S1632" s="4" t="s">
        <v>29</v>
      </c>
      <c r="T1632" s="5" t="s">
        <v>11279</v>
      </c>
      <c r="U1632" s="6"/>
      <c r="V1632" s="6"/>
      <c r="W1632" s="6"/>
      <c r="X1632" s="6"/>
      <c r="Y1632" s="4" t="s">
        <v>11280</v>
      </c>
      <c r="Z1632" s="6"/>
      <c r="AA1632" s="5" t="s">
        <v>11281</v>
      </c>
    </row>
    <row r="1633" ht="14.25">
      <c r="B1633" s="4" t="s">
        <v>11282</v>
      </c>
      <c r="C1633" s="4" t="s">
        <v>8057</v>
      </c>
      <c r="D1633" s="4" t="s">
        <v>11283</v>
      </c>
      <c r="E1633" s="4" t="s">
        <v>11284</v>
      </c>
      <c r="F1633" s="4" t="s">
        <v>62</v>
      </c>
      <c r="G1633" s="4" t="s">
        <v>11285</v>
      </c>
      <c r="H1633" s="4" t="str">
        <f>IFERROR(__XLUDF.DUMMYFUNCTION("PROPER(REGEXREPLACE(G210,""[^A-Za-z]+ "",""""))"),"Wemoms")</f>
        <v>Wemoms</v>
      </c>
      <c r="I1633" s="5" t="s">
        <v>11286</v>
      </c>
      <c r="J1633" s="4" t="s">
        <v>39</v>
      </c>
      <c r="K1633" s="4" t="s">
        <v>9160</v>
      </c>
      <c r="L1633" s="4" t="s">
        <v>29</v>
      </c>
      <c r="M1633" s="4" t="s">
        <v>2602</v>
      </c>
      <c r="N1633" s="4" t="str">
        <f>IFERROR(__XLUDF.DUMMYFUNCTION("VLOOKUP(M210,IMPORTRANGE(""https://docs.google.com/spreadsheets/d/1opm6ZNvGZ7KditA9TuJwrZ25eFLfTNIkrNnY6mhV5Eg"",""list!A1:C115""),3,TRUE)"),"le secteur de la tech")</f>
        <v xml:space="preserve">le secteur de la tech</v>
      </c>
      <c r="O1633" s="4" t="s">
        <v>11287</v>
      </c>
      <c r="P1633" s="4">
        <v>49</v>
      </c>
      <c r="Q1633" s="4" t="s">
        <v>39</v>
      </c>
      <c r="R1633" s="4" t="s">
        <v>9160</v>
      </c>
      <c r="S1633" s="4" t="s">
        <v>29</v>
      </c>
      <c r="T1633" s="5" t="s">
        <v>11288</v>
      </c>
      <c r="U1633" s="5" t="s">
        <v>11289</v>
      </c>
      <c r="V1633" s="5" t="s">
        <v>11290</v>
      </c>
      <c r="W1633" s="6"/>
      <c r="X1633" s="6"/>
      <c r="Y1633" s="4" t="s">
        <v>11291</v>
      </c>
      <c r="Z1633" s="6"/>
      <c r="AA1633" s="5" t="s">
        <v>11292</v>
      </c>
    </row>
    <row r="1634" ht="14.25">
      <c r="B1634" s="4" t="s">
        <v>11293</v>
      </c>
      <c r="C1634" s="4" t="s">
        <v>7559</v>
      </c>
      <c r="D1634" s="4" t="s">
        <v>11294</v>
      </c>
      <c r="E1634" s="4" t="s">
        <v>11295</v>
      </c>
      <c r="F1634" s="4" t="s">
        <v>11296</v>
      </c>
      <c r="G1634" s="4" t="s">
        <v>11297</v>
      </c>
      <c r="H1634" s="4" t="str">
        <f>IFERROR(__XLUDF.DUMMYFUNCTION("PROPER(REGEXREPLACE(G211,""[^A-Za-z]+ "",""""))"),"Trf Retail")</f>
        <v xml:space="preserve">Trf Retail</v>
      </c>
      <c r="I1634" s="5" t="s">
        <v>11298</v>
      </c>
      <c r="J1634" s="4" t="s">
        <v>39</v>
      </c>
      <c r="K1634" s="4" t="s">
        <v>9160</v>
      </c>
      <c r="L1634" s="4" t="s">
        <v>29</v>
      </c>
      <c r="M1634" s="4" t="s">
        <v>2602</v>
      </c>
      <c r="N1634" s="4" t="str">
        <f>IFERROR(__XLUDF.DUMMYFUNCTION("VLOOKUP(M211,IMPORTRANGE(""https://docs.google.com/spreadsheets/d/1opm6ZNvGZ7KditA9TuJwrZ25eFLfTNIkrNnY6mhV5Eg"",""list!A1:C115""),3,TRUE)"),"le secteur de la tech")</f>
        <v xml:space="preserve">le secteur de la tech</v>
      </c>
      <c r="O1634" s="4" t="s">
        <v>11299</v>
      </c>
      <c r="P1634" s="4">
        <v>18</v>
      </c>
      <c r="Q1634" s="4" t="s">
        <v>482</v>
      </c>
      <c r="R1634" s="4" t="s">
        <v>9460</v>
      </c>
      <c r="S1634" s="4" t="s">
        <v>29</v>
      </c>
      <c r="T1634" s="5" t="s">
        <v>11300</v>
      </c>
      <c r="U1634" s="5" t="s">
        <v>11301</v>
      </c>
      <c r="V1634" s="5" t="s">
        <v>11302</v>
      </c>
      <c r="W1634" s="6"/>
      <c r="X1634" s="6"/>
      <c r="Y1634" s="4" t="s">
        <v>11303</v>
      </c>
      <c r="Z1634" s="6"/>
      <c r="AA1634" s="5" t="s">
        <v>11304</v>
      </c>
    </row>
    <row r="1635" ht="14.25">
      <c r="B1635" s="4" t="s">
        <v>11305</v>
      </c>
      <c r="C1635" s="4" t="s">
        <v>7559</v>
      </c>
      <c r="D1635" s="4" t="s">
        <v>11306</v>
      </c>
      <c r="E1635" s="4" t="s">
        <v>11307</v>
      </c>
      <c r="F1635" s="4" t="s">
        <v>9890</v>
      </c>
      <c r="G1635" s="4" t="s">
        <v>11308</v>
      </c>
      <c r="H1635" s="4" t="str">
        <f>IFERROR(__XLUDF.DUMMYFUNCTION("PROPER(REGEXREPLACE(G212,""[^A-Za-z]+ "",""""))"),"Mixity")</f>
        <v>Mixity</v>
      </c>
      <c r="I1635" s="5" t="s">
        <v>11309</v>
      </c>
      <c r="J1635" s="4" t="s">
        <v>39</v>
      </c>
      <c r="K1635" s="4" t="s">
        <v>9160</v>
      </c>
      <c r="L1635" s="4" t="s">
        <v>29</v>
      </c>
      <c r="M1635" s="4" t="s">
        <v>4067</v>
      </c>
      <c r="N1635" s="4" t="str">
        <f>IFERROR(__XLUDF.DUMMYFUNCTION("VLOOKUP(M212,IMPORTRANGE(""https://docs.google.com/spreadsheets/d/1opm6ZNvGZ7KditA9TuJwrZ25eFLfTNIkrNnY6mhV5Eg"",""list!A1:C115""),3,TRUE)"),"le secteur du conseil en management")</f>
        <v xml:space="preserve">le secteur du conseil en management</v>
      </c>
      <c r="O1635" s="4" t="s">
        <v>11310</v>
      </c>
      <c r="P1635" s="4">
        <v>17</v>
      </c>
      <c r="Q1635" s="4" t="s">
        <v>1711</v>
      </c>
      <c r="R1635" s="4" t="s">
        <v>9350</v>
      </c>
      <c r="S1635" s="4" t="s">
        <v>29</v>
      </c>
      <c r="T1635" s="5" t="s">
        <v>11311</v>
      </c>
      <c r="U1635" s="5" t="s">
        <v>11312</v>
      </c>
      <c r="V1635" s="5" t="s">
        <v>11313</v>
      </c>
      <c r="W1635" s="6"/>
      <c r="X1635" s="6"/>
      <c r="Y1635" s="4" t="s">
        <v>11314</v>
      </c>
      <c r="Z1635" s="6"/>
      <c r="AA1635" s="5" t="s">
        <v>11315</v>
      </c>
    </row>
    <row r="1636" ht="14.25">
      <c r="B1636" s="4" t="s">
        <v>11316</v>
      </c>
      <c r="C1636" s="4" t="s">
        <v>11317</v>
      </c>
      <c r="D1636" s="4" t="s">
        <v>7559</v>
      </c>
      <c r="E1636" s="4" t="s">
        <v>11318</v>
      </c>
      <c r="F1636" s="4" t="s">
        <v>5500</v>
      </c>
      <c r="G1636" s="4" t="s">
        <v>11319</v>
      </c>
      <c r="H1636" s="4" t="str">
        <f>IFERROR(__XLUDF.DUMMYFUNCTION("PROPER(REGEXREPLACE(G213,""[^A-Za-z]+ "",""""))"),"Aquasys")</f>
        <v>Aquasys</v>
      </c>
      <c r="I1636" s="5" t="s">
        <v>11320</v>
      </c>
      <c r="J1636" s="4" t="s">
        <v>11321</v>
      </c>
      <c r="K1636" s="4" t="s">
        <v>9160</v>
      </c>
      <c r="L1636" s="4" t="s">
        <v>29</v>
      </c>
      <c r="M1636" s="4" t="s">
        <v>2602</v>
      </c>
      <c r="N1636" s="4" t="str">
        <f>IFERROR(__XLUDF.DUMMYFUNCTION("VLOOKUP(M213,IMPORTRANGE(""https://docs.google.com/spreadsheets/d/1opm6ZNvGZ7KditA9TuJwrZ25eFLfTNIkrNnY6mhV5Eg"",""list!A1:C115""),3,TRUE)"),"le secteur de la tech")</f>
        <v xml:space="preserve">le secteur de la tech</v>
      </c>
      <c r="O1636" s="4" t="s">
        <v>11322</v>
      </c>
      <c r="P1636" s="4">
        <v>29</v>
      </c>
      <c r="Q1636" s="4" t="s">
        <v>11323</v>
      </c>
      <c r="R1636" s="4" t="s">
        <v>9350</v>
      </c>
      <c r="S1636" s="4" t="s">
        <v>29</v>
      </c>
      <c r="T1636" s="5" t="s">
        <v>11324</v>
      </c>
      <c r="U1636" s="5" t="s">
        <v>11325</v>
      </c>
      <c r="V1636" s="5" t="s">
        <v>11326</v>
      </c>
      <c r="W1636" s="6"/>
      <c r="X1636" s="6"/>
      <c r="Y1636" s="4" t="s">
        <v>11327</v>
      </c>
      <c r="Z1636" s="6"/>
      <c r="AA1636" s="5" t="s">
        <v>11328</v>
      </c>
    </row>
    <row r="1637" ht="14.25">
      <c r="B1637" s="4" t="s">
        <v>11329</v>
      </c>
      <c r="C1637" s="4" t="s">
        <v>4932</v>
      </c>
      <c r="D1637" s="4" t="s">
        <v>11330</v>
      </c>
      <c r="E1637" s="4" t="s">
        <v>11331</v>
      </c>
      <c r="F1637" s="4" t="s">
        <v>2068</v>
      </c>
      <c r="G1637" s="4" t="s">
        <v>11332</v>
      </c>
      <c r="H1637" s="4" t="str">
        <f>IFERROR(__XLUDF.DUMMYFUNCTION("PROPER(REGEXREPLACE(G214,""[^A-Za-z]+ "",""""))"),"Farinez'Vous")</f>
        <v>Farinez'Vous</v>
      </c>
      <c r="I1637" s="5" t="s">
        <v>11333</v>
      </c>
      <c r="J1637" s="4" t="s">
        <v>39</v>
      </c>
      <c r="K1637" s="4" t="s">
        <v>9160</v>
      </c>
      <c r="L1637" s="4" t="s">
        <v>29</v>
      </c>
      <c r="M1637" s="4" t="s">
        <v>4525</v>
      </c>
      <c r="N1637" s="4" t="str">
        <f>IFERROR(__XLUDF.DUMMYFUNCTION("VLOOKUP(M214,IMPORTRANGE(""https://docs.google.com/spreadsheets/d/1opm6ZNvGZ7KditA9TuJwrZ25eFLfTNIkrNnY6mhV5Eg"",""list!A1:C115""),3,TRUE)"),"le secteur du retail")</f>
        <v xml:space="preserve">le secteur du retail</v>
      </c>
      <c r="O1637" s="6"/>
      <c r="P1637" s="4">
        <v>10</v>
      </c>
      <c r="Q1637" s="4" t="s">
        <v>39</v>
      </c>
      <c r="R1637" s="4" t="s">
        <v>9160</v>
      </c>
      <c r="S1637" s="4" t="s">
        <v>29</v>
      </c>
      <c r="T1637" s="5" t="s">
        <v>11334</v>
      </c>
      <c r="U1637" s="6"/>
      <c r="V1637" s="6"/>
      <c r="W1637" s="6"/>
      <c r="X1637" s="6"/>
      <c r="Y1637" s="4" t="s">
        <v>11335</v>
      </c>
      <c r="Z1637" s="6"/>
      <c r="AA1637" s="5" t="s">
        <v>11336</v>
      </c>
    </row>
    <row r="1638" ht="14.25">
      <c r="B1638" s="4" t="s">
        <v>11337</v>
      </c>
      <c r="C1638" s="4" t="s">
        <v>11338</v>
      </c>
      <c r="D1638" s="4" t="s">
        <v>11339</v>
      </c>
      <c r="E1638" s="4" t="s">
        <v>11340</v>
      </c>
      <c r="F1638" s="4" t="s">
        <v>4586</v>
      </c>
      <c r="G1638" s="4" t="s">
        <v>11341</v>
      </c>
      <c r="H1638" s="4" t="str">
        <f>IFERROR(__XLUDF.DUMMYFUNCTION("PROPER(REGEXREPLACE(G215,""[^A-Za-z]+ "",""""))"),"Good Buy Media")</f>
        <v xml:space="preserve">Good Buy Media</v>
      </c>
      <c r="I1638" s="5" t="s">
        <v>11342</v>
      </c>
      <c r="J1638" s="4" t="s">
        <v>1826</v>
      </c>
      <c r="K1638" s="4" t="s">
        <v>9227</v>
      </c>
      <c r="L1638" s="4" t="s">
        <v>29</v>
      </c>
      <c r="M1638" s="4" t="s">
        <v>9161</v>
      </c>
      <c r="N1638" s="4" t="str">
        <f>IFERROR(__XLUDF.DUMMYFUNCTION("VLOOKUP(M215,IMPORTRANGE(""https://docs.google.com/spreadsheets/d/1opm6ZNvGZ7KditA9TuJwrZ25eFLfTNIkrNnY6mhV5Eg"",""list!A1:C115""),3,TRUE)"),"le secteur du marketing")</f>
        <v xml:space="preserve">le secteur du marketing</v>
      </c>
      <c r="O1638" s="4" t="s">
        <v>11343</v>
      </c>
      <c r="P1638" s="4">
        <v>18</v>
      </c>
      <c r="Q1638" s="4" t="s">
        <v>11344</v>
      </c>
      <c r="R1638" s="4" t="s">
        <v>9227</v>
      </c>
      <c r="S1638" s="4" t="s">
        <v>29</v>
      </c>
      <c r="T1638" s="5" t="s">
        <v>11345</v>
      </c>
      <c r="U1638" s="6"/>
      <c r="V1638" s="5" t="s">
        <v>11346</v>
      </c>
      <c r="W1638" s="6"/>
      <c r="X1638" s="6"/>
      <c r="Y1638" s="4" t="s">
        <v>11347</v>
      </c>
      <c r="Z1638" s="6"/>
      <c r="AA1638" s="5" t="s">
        <v>11348</v>
      </c>
    </row>
    <row r="1639" ht="14.25">
      <c r="B1639" s="4" t="s">
        <v>11349</v>
      </c>
      <c r="C1639" s="4" t="s">
        <v>4986</v>
      </c>
      <c r="D1639" s="4" t="s">
        <v>11350</v>
      </c>
      <c r="E1639" s="4" t="s">
        <v>11351</v>
      </c>
      <c r="F1639" s="4" t="s">
        <v>164</v>
      </c>
      <c r="G1639" s="4" t="s">
        <v>11352</v>
      </c>
      <c r="H1639" s="4" t="str">
        <f>IFERROR(__XLUDF.DUMMYFUNCTION("PROPER(REGEXREPLACE(G216,""[^A-Za-z]+ "",""""))"),"Cdr Construction")</f>
        <v xml:space="preserve">Cdr Construction</v>
      </c>
      <c r="I1639" s="5" t="s">
        <v>11353</v>
      </c>
      <c r="J1639" s="4" t="s">
        <v>9237</v>
      </c>
      <c r="K1639" s="4" t="s">
        <v>9238</v>
      </c>
      <c r="L1639" s="4" t="s">
        <v>29</v>
      </c>
      <c r="M1639" s="4" t="s">
        <v>9239</v>
      </c>
      <c r="N1639" s="4" t="str">
        <f>IFERROR(__XLUDF.DUMMYFUNCTION("VLOOKUP(M216,IMPORTRANGE(""https://docs.google.com/spreadsheets/d/1opm6ZNvGZ7KditA9TuJwrZ25eFLfTNIkrNnY6mhV5Eg"",""list!A1:C115""),3,TRUE)"),"le secteur de la construction")</f>
        <v xml:space="preserve">le secteur de la construction</v>
      </c>
      <c r="O1639" s="4" t="s">
        <v>11354</v>
      </c>
      <c r="P1639" s="4">
        <v>49</v>
      </c>
      <c r="Q1639" s="4" t="s">
        <v>11355</v>
      </c>
      <c r="R1639" s="4" t="s">
        <v>9193</v>
      </c>
      <c r="S1639" s="4" t="s">
        <v>29</v>
      </c>
      <c r="T1639" s="5" t="s">
        <v>11356</v>
      </c>
      <c r="U1639" s="6"/>
      <c r="V1639" s="6"/>
      <c r="W1639" s="6"/>
      <c r="X1639" s="6"/>
      <c r="Y1639" s="4" t="s">
        <v>11357</v>
      </c>
      <c r="Z1639" s="6"/>
      <c r="AA1639" s="5" t="s">
        <v>11358</v>
      </c>
    </row>
    <row r="1640" ht="14.25">
      <c r="B1640" s="4" t="s">
        <v>11359</v>
      </c>
      <c r="C1640" s="4" t="s">
        <v>1861</v>
      </c>
      <c r="D1640" s="4" t="s">
        <v>11360</v>
      </c>
      <c r="E1640" s="4" t="s">
        <v>11361</v>
      </c>
      <c r="F1640" s="4" t="s">
        <v>11362</v>
      </c>
      <c r="G1640" s="4" t="s">
        <v>11363</v>
      </c>
      <c r="H1640" s="4" t="str">
        <f>IFERROR(__XLUDF.DUMMYFUNCTION("PROPER(REGEXREPLACE(G217,""[^A-Za-z]+ "",""""))"),"La Mediosphère")</f>
        <v xml:space="preserve">La Mediosphère</v>
      </c>
      <c r="I1640" s="5" t="s">
        <v>11364</v>
      </c>
      <c r="J1640" s="4" t="s">
        <v>185</v>
      </c>
      <c r="K1640" s="4" t="s">
        <v>9193</v>
      </c>
      <c r="L1640" s="4" t="s">
        <v>29</v>
      </c>
      <c r="M1640" s="4" t="s">
        <v>9239</v>
      </c>
      <c r="N1640" s="4" t="str">
        <f>IFERROR(__XLUDF.DUMMYFUNCTION("VLOOKUP(M217,IMPORTRANGE(""https://docs.google.com/spreadsheets/d/1opm6ZNvGZ7KditA9TuJwrZ25eFLfTNIkrNnY6mhV5Eg"",""list!A1:C115""),3,TRUE)"),"le secteur de la construction")</f>
        <v xml:space="preserve">le secteur de la construction</v>
      </c>
      <c r="O1640" s="4" t="s">
        <v>11365</v>
      </c>
      <c r="P1640" s="4">
        <v>12</v>
      </c>
      <c r="Q1640" s="4" t="s">
        <v>185</v>
      </c>
      <c r="R1640" s="4" t="s">
        <v>9193</v>
      </c>
      <c r="S1640" s="4" t="s">
        <v>29</v>
      </c>
      <c r="T1640" s="5" t="s">
        <v>11366</v>
      </c>
      <c r="U1640" s="6"/>
      <c r="V1640" s="6"/>
      <c r="W1640" s="6"/>
      <c r="X1640" s="6"/>
      <c r="Y1640" s="4" t="s">
        <v>11367</v>
      </c>
      <c r="Z1640" s="6"/>
      <c r="AA1640" s="5" t="s">
        <v>11368</v>
      </c>
    </row>
    <row r="1641" ht="14.25">
      <c r="B1641" s="4" t="s">
        <v>11369</v>
      </c>
      <c r="C1641" s="4" t="s">
        <v>808</v>
      </c>
      <c r="D1641" s="4" t="s">
        <v>11370</v>
      </c>
      <c r="E1641" s="4" t="s">
        <v>11371</v>
      </c>
      <c r="F1641" s="4" t="s">
        <v>112</v>
      </c>
      <c r="G1641" s="4" t="s">
        <v>11372</v>
      </c>
      <c r="H1641" s="4" t="str">
        <f>IFERROR(__XLUDF.DUMMYFUNCTION("PROPER(REGEXREPLACE(G218,""[^A-Za-z]+ "",""""))"),"Globalp Contractant Général")</f>
        <v xml:space="preserve">Globalp Contractant Général</v>
      </c>
      <c r="I1641" s="5" t="s">
        <v>11373</v>
      </c>
      <c r="J1641" s="6"/>
      <c r="K1641" s="6"/>
      <c r="L1641" s="4" t="s">
        <v>29</v>
      </c>
      <c r="M1641" s="4" t="s">
        <v>9239</v>
      </c>
      <c r="N1641" s="4" t="str">
        <f>IFERROR(__XLUDF.DUMMYFUNCTION("VLOOKUP(M218,IMPORTRANGE(""https://docs.google.com/spreadsheets/d/1opm6ZNvGZ7KditA9TuJwrZ25eFLfTNIkrNnY6mhV5Eg"",""list!A1:C115""),3,TRUE)"),"le secteur de la construction")</f>
        <v xml:space="preserve">le secteur de la construction</v>
      </c>
      <c r="O1641" s="4" t="s">
        <v>11374</v>
      </c>
      <c r="P1641" s="4">
        <v>10</v>
      </c>
      <c r="Q1641" s="4" t="s">
        <v>11375</v>
      </c>
      <c r="R1641" s="4" t="s">
        <v>9193</v>
      </c>
      <c r="S1641" s="4" t="s">
        <v>29</v>
      </c>
      <c r="T1641" s="5" t="s">
        <v>11376</v>
      </c>
      <c r="U1641" s="6"/>
      <c r="V1641" s="6"/>
      <c r="W1641" s="6"/>
      <c r="X1641" s="6"/>
      <c r="Y1641" s="4" t="s">
        <v>11377</v>
      </c>
      <c r="Z1641" s="6"/>
      <c r="AA1641" s="5" t="s">
        <v>11378</v>
      </c>
    </row>
    <row r="1642" ht="14.25">
      <c r="B1642" s="4" t="s">
        <v>11379</v>
      </c>
      <c r="C1642" s="4" t="s">
        <v>1562</v>
      </c>
      <c r="D1642" s="4" t="s">
        <v>11380</v>
      </c>
      <c r="E1642" s="4" t="s">
        <v>11381</v>
      </c>
      <c r="F1642" s="4" t="s">
        <v>112</v>
      </c>
      <c r="G1642" s="4" t="s">
        <v>11382</v>
      </c>
      <c r="H1642" s="4" t="str">
        <f>IFERROR(__XLUDF.DUMMYFUNCTION("PROPER(REGEXREPLACE(G219,""[^A-Za-z]+ "",""""))"),"Eixa")</f>
        <v>Eixa</v>
      </c>
      <c r="I1642" s="5" t="s">
        <v>11383</v>
      </c>
      <c r="J1642" s="4" t="s">
        <v>39</v>
      </c>
      <c r="K1642" s="4" t="s">
        <v>9160</v>
      </c>
      <c r="L1642" s="4" t="s">
        <v>29</v>
      </c>
      <c r="M1642" s="4" t="s">
        <v>9239</v>
      </c>
      <c r="N1642" s="4" t="str">
        <f>IFERROR(__XLUDF.DUMMYFUNCTION("VLOOKUP(M219,IMPORTRANGE(""https://docs.google.com/spreadsheets/d/1opm6ZNvGZ7KditA9TuJwrZ25eFLfTNIkrNnY6mhV5Eg"",""list!A1:C115""),3,TRUE)"),"le secteur de la construction")</f>
        <v xml:space="preserve">le secteur de la construction</v>
      </c>
      <c r="O1642" s="4" t="s">
        <v>11384</v>
      </c>
      <c r="P1642" s="4">
        <v>17</v>
      </c>
      <c r="Q1642" s="4" t="s">
        <v>39</v>
      </c>
      <c r="R1642" s="4" t="s">
        <v>9160</v>
      </c>
      <c r="S1642" s="4" t="s">
        <v>29</v>
      </c>
      <c r="T1642" s="5" t="s">
        <v>11385</v>
      </c>
      <c r="U1642" s="6"/>
      <c r="V1642" s="6"/>
      <c r="W1642" s="6"/>
      <c r="X1642" s="6"/>
      <c r="Y1642" s="4" t="s">
        <v>11386</v>
      </c>
      <c r="Z1642" s="6"/>
      <c r="AA1642" s="5" t="s">
        <v>11387</v>
      </c>
    </row>
    <row r="1643" ht="14.25">
      <c r="B1643" s="4" t="s">
        <v>11388</v>
      </c>
      <c r="C1643" s="4" t="s">
        <v>1562</v>
      </c>
      <c r="D1643" s="4" t="s">
        <v>6037</v>
      </c>
      <c r="E1643" s="4" t="s">
        <v>11389</v>
      </c>
      <c r="F1643" s="4" t="s">
        <v>112</v>
      </c>
      <c r="G1643" s="4" t="s">
        <v>11390</v>
      </c>
      <c r="H1643" s="4" t="str">
        <f>IFERROR(__XLUDF.DUMMYFUNCTION("PROPER(REGEXREPLACE(G220,""[^A-Za-z]+ "",""""))"),"Logikap Editor Of The Solution Anikit")</f>
        <v xml:space="preserve">Logikap Editor Of The Solution Anikit</v>
      </c>
      <c r="I1643" s="5" t="s">
        <v>11391</v>
      </c>
      <c r="J1643" s="4" t="s">
        <v>83</v>
      </c>
      <c r="K1643" s="4" t="s">
        <v>9460</v>
      </c>
      <c r="L1643" s="4" t="s">
        <v>29</v>
      </c>
      <c r="M1643" s="4" t="s">
        <v>2602</v>
      </c>
      <c r="N1643" s="4" t="str">
        <f>IFERROR(__XLUDF.DUMMYFUNCTION("VLOOKUP(M220,IMPORTRANGE(""https://docs.google.com/spreadsheets/d/1opm6ZNvGZ7KditA9TuJwrZ25eFLfTNIkrNnY6mhV5Eg"",""list!A1:C115""),3,TRUE)"),"le secteur de la tech")</f>
        <v xml:space="preserve">le secteur de la tech</v>
      </c>
      <c r="O1643" s="4" t="s">
        <v>11392</v>
      </c>
      <c r="P1643" s="4">
        <v>13</v>
      </c>
      <c r="Q1643" s="4" t="s">
        <v>83</v>
      </c>
      <c r="R1643" s="4" t="s">
        <v>9460</v>
      </c>
      <c r="S1643" s="4" t="s">
        <v>29</v>
      </c>
      <c r="T1643" s="5" t="s">
        <v>11393</v>
      </c>
      <c r="U1643" s="6"/>
      <c r="V1643" s="6"/>
      <c r="W1643" s="6"/>
      <c r="X1643" s="6"/>
      <c r="Y1643" s="4" t="s">
        <v>11394</v>
      </c>
      <c r="Z1643" s="6"/>
      <c r="AA1643" s="5" t="s">
        <v>11395</v>
      </c>
    </row>
    <row r="1644" ht="14.25">
      <c r="B1644" s="4" t="s">
        <v>11396</v>
      </c>
      <c r="C1644" s="4" t="s">
        <v>4177</v>
      </c>
      <c r="D1644" s="4" t="s">
        <v>11397</v>
      </c>
      <c r="E1644" s="4" t="s">
        <v>11398</v>
      </c>
      <c r="F1644" s="4" t="s">
        <v>164</v>
      </c>
      <c r="G1644" s="4" t="s">
        <v>11399</v>
      </c>
      <c r="H1644" s="4" t="str">
        <f>IFERROR(__XLUDF.DUMMYFUNCTION("PROPER(REGEXREPLACE(G221,""[^A-Za-z]+ "",""""))"),"Kadys")</f>
        <v>Kadys</v>
      </c>
      <c r="I1644" s="5" t="s">
        <v>11400</v>
      </c>
      <c r="J1644" s="4" t="s">
        <v>11401</v>
      </c>
      <c r="K1644" s="4" t="s">
        <v>9460</v>
      </c>
      <c r="L1644" s="4" t="s">
        <v>29</v>
      </c>
      <c r="M1644" s="4" t="s">
        <v>2602</v>
      </c>
      <c r="N1644" s="4" t="str">
        <f>IFERROR(__XLUDF.DUMMYFUNCTION("VLOOKUP(M221,IMPORTRANGE(""https://docs.google.com/spreadsheets/d/1opm6ZNvGZ7KditA9TuJwrZ25eFLfTNIkrNnY6mhV5Eg"",""list!A1:C115""),3,TRUE)"),"le secteur de la tech")</f>
        <v xml:space="preserve">le secteur de la tech</v>
      </c>
      <c r="O1644" s="4" t="s">
        <v>11402</v>
      </c>
      <c r="P1644" s="4">
        <v>19</v>
      </c>
      <c r="Q1644" s="4" t="s">
        <v>11401</v>
      </c>
      <c r="R1644" s="4" t="s">
        <v>9463</v>
      </c>
      <c r="S1644" s="4" t="s">
        <v>29</v>
      </c>
      <c r="T1644" s="5" t="s">
        <v>11403</v>
      </c>
      <c r="U1644" s="6"/>
      <c r="V1644" s="6"/>
      <c r="W1644" s="6"/>
      <c r="X1644" s="6"/>
      <c r="Y1644" s="4" t="s">
        <v>11404</v>
      </c>
      <c r="Z1644" s="6"/>
      <c r="AA1644" s="5" t="s">
        <v>11405</v>
      </c>
    </row>
    <row r="1645" ht="14.25">
      <c r="B1645" s="4" t="s">
        <v>11406</v>
      </c>
      <c r="C1645" s="4" t="s">
        <v>808</v>
      </c>
      <c r="D1645" s="4" t="s">
        <v>11407</v>
      </c>
      <c r="E1645" s="4" t="s">
        <v>11408</v>
      </c>
      <c r="F1645" s="4" t="s">
        <v>7759</v>
      </c>
      <c r="G1645" s="4" t="s">
        <v>11409</v>
      </c>
      <c r="H1645" s="4" t="str">
        <f>IFERROR(__XLUDF.DUMMYFUNCTION("PROPER(REGEXREPLACE(G222,""[^A-Za-z]+ "",""""))"),"Moncelec")</f>
        <v>Moncelec</v>
      </c>
      <c r="I1645" s="5" t="s">
        <v>11410</v>
      </c>
      <c r="J1645" s="6"/>
      <c r="K1645" s="4" t="s">
        <v>9160</v>
      </c>
      <c r="L1645" s="4" t="s">
        <v>29</v>
      </c>
      <c r="M1645" s="4" t="s">
        <v>10215</v>
      </c>
      <c r="N1645" s="4" t="str">
        <f>IFERROR(__XLUDF.DUMMYFUNCTION("VLOOKUP(M222,IMPORTRANGE(""https://docs.google.com/spreadsheets/d/1opm6ZNvGZ7KditA9TuJwrZ25eFLfTNIkrNnY6mhV5Eg"",""list!A1:C115""),3,TRUE)"),"le secteur de l'électrique et électronique")</f>
        <v xml:space="preserve">le secteur de l'électrique et électronique</v>
      </c>
      <c r="O1645" s="4" t="s">
        <v>11411</v>
      </c>
      <c r="P1645" s="4">
        <v>10</v>
      </c>
      <c r="Q1645" s="4" t="s">
        <v>11412</v>
      </c>
      <c r="R1645" s="4" t="s">
        <v>9160</v>
      </c>
      <c r="S1645" s="4" t="s">
        <v>29</v>
      </c>
      <c r="T1645" s="5" t="s">
        <v>11413</v>
      </c>
      <c r="U1645" s="6"/>
      <c r="V1645" s="6"/>
      <c r="W1645" s="6"/>
      <c r="X1645" s="6"/>
      <c r="Y1645" s="4" t="s">
        <v>11414</v>
      </c>
      <c r="Z1645" s="6"/>
      <c r="AA1645" s="5" t="s">
        <v>11415</v>
      </c>
    </row>
    <row r="1646" ht="14.25">
      <c r="B1646" s="4" t="s">
        <v>11416</v>
      </c>
      <c r="C1646" s="4" t="s">
        <v>11417</v>
      </c>
      <c r="D1646" s="4" t="s">
        <v>11418</v>
      </c>
      <c r="E1646" s="4" t="s">
        <v>11419</v>
      </c>
      <c r="F1646" s="4" t="s">
        <v>11420</v>
      </c>
      <c r="G1646" s="4" t="s">
        <v>11421</v>
      </c>
      <c r="H1646" s="4" t="str">
        <f>IFERROR(__XLUDF.DUMMYFUNCTION("PROPER(REGEXREPLACE(G223,""[^A-Za-z]+ "",""""))"),"Moderlab")</f>
        <v>Moderlab</v>
      </c>
      <c r="I1646" s="5" t="s">
        <v>11422</v>
      </c>
      <c r="J1646" s="4" t="s">
        <v>39</v>
      </c>
      <c r="K1646" s="4" t="s">
        <v>9160</v>
      </c>
      <c r="L1646" s="4" t="s">
        <v>29</v>
      </c>
      <c r="M1646" s="4" t="s">
        <v>2602</v>
      </c>
      <c r="N1646" s="4" t="str">
        <f>IFERROR(__XLUDF.DUMMYFUNCTION("VLOOKUP(M223,IMPORTRANGE(""https://docs.google.com/spreadsheets/d/1opm6ZNvGZ7KditA9TuJwrZ25eFLfTNIkrNnY6mhV5Eg"",""list!A1:C115""),3,TRUE)"),"le secteur de la tech")</f>
        <v xml:space="preserve">le secteur de la tech</v>
      </c>
      <c r="O1646" s="4" t="s">
        <v>11423</v>
      </c>
      <c r="P1646" s="4">
        <v>21</v>
      </c>
      <c r="Q1646" s="4" t="s">
        <v>39</v>
      </c>
      <c r="R1646" s="4" t="s">
        <v>9160</v>
      </c>
      <c r="S1646" s="4" t="s">
        <v>29</v>
      </c>
      <c r="T1646" s="5" t="s">
        <v>11424</v>
      </c>
      <c r="U1646" s="6"/>
      <c r="V1646" s="5" t="s">
        <v>11425</v>
      </c>
      <c r="W1646" s="6"/>
      <c r="X1646" s="6"/>
      <c r="Y1646" s="4" t="s">
        <v>11426</v>
      </c>
      <c r="Z1646" s="6"/>
      <c r="AA1646" s="5" t="s">
        <v>11427</v>
      </c>
    </row>
    <row r="1647" ht="14.25">
      <c r="B1647" s="4" t="s">
        <v>11428</v>
      </c>
      <c r="C1647" s="4" t="s">
        <v>808</v>
      </c>
      <c r="D1647" s="4" t="s">
        <v>11429</v>
      </c>
      <c r="E1647" s="4" t="s">
        <v>11430</v>
      </c>
      <c r="F1647" s="4" t="s">
        <v>7759</v>
      </c>
      <c r="G1647" s="4" t="s">
        <v>11431</v>
      </c>
      <c r="H1647" s="4" t="str">
        <f>IFERROR(__XLUDF.DUMMYFUNCTION("PROPER(REGEXREPLACE(G224,""[^A-Za-z]+ "",""""))"),"Saspo Nova Construction")</f>
        <v xml:space="preserve">Saspo Nova Construction</v>
      </c>
      <c r="I1647" s="5" t="s">
        <v>11432</v>
      </c>
      <c r="J1647" s="4" t="s">
        <v>6489</v>
      </c>
      <c r="K1647" s="4" t="s">
        <v>10390</v>
      </c>
      <c r="L1647" s="4" t="s">
        <v>29</v>
      </c>
      <c r="M1647" s="4" t="s">
        <v>9239</v>
      </c>
      <c r="N1647" s="4" t="str">
        <f>IFERROR(__XLUDF.DUMMYFUNCTION("VLOOKUP(M224,IMPORTRANGE(""https://docs.google.com/spreadsheets/d/1opm6ZNvGZ7KditA9TuJwrZ25eFLfTNIkrNnY6mhV5Eg"",""list!A1:C115""),3,TRUE)"),"le secteur de la construction")</f>
        <v xml:space="preserve">le secteur de la construction</v>
      </c>
      <c r="O1647" s="4" t="s">
        <v>11433</v>
      </c>
      <c r="P1647" s="4">
        <v>17</v>
      </c>
      <c r="Q1647" s="4" t="s">
        <v>11434</v>
      </c>
      <c r="R1647" s="4" t="s">
        <v>9864</v>
      </c>
      <c r="S1647" s="4" t="s">
        <v>29</v>
      </c>
      <c r="T1647" s="5" t="s">
        <v>11435</v>
      </c>
      <c r="U1647" s="6"/>
      <c r="V1647" s="6"/>
      <c r="W1647" s="6"/>
      <c r="X1647" s="6"/>
      <c r="Y1647" s="4" t="s">
        <v>11436</v>
      </c>
      <c r="Z1647" s="6"/>
      <c r="AA1647" s="5" t="s">
        <v>11437</v>
      </c>
    </row>
    <row r="1648" ht="14.25">
      <c r="B1648" s="4" t="s">
        <v>11438</v>
      </c>
      <c r="C1648" s="4" t="s">
        <v>1562</v>
      </c>
      <c r="D1648" s="4" t="s">
        <v>11439</v>
      </c>
      <c r="E1648" s="4" t="s">
        <v>11440</v>
      </c>
      <c r="F1648" s="4" t="s">
        <v>11441</v>
      </c>
      <c r="G1648" s="4" t="s">
        <v>11442</v>
      </c>
      <c r="H1648" s="4" t="str">
        <f>IFERROR(__XLUDF.DUMMYFUNCTION("PROPER(REGEXREPLACE(G225,""[^A-Za-z]+ "",""""))"),"Apsys Business Partner")</f>
        <v xml:space="preserve">Apsys Business Partner</v>
      </c>
      <c r="I1648" s="5" t="s">
        <v>11443</v>
      </c>
      <c r="J1648" s="4" t="s">
        <v>39</v>
      </c>
      <c r="K1648" s="4" t="s">
        <v>9160</v>
      </c>
      <c r="L1648" s="4" t="s">
        <v>29</v>
      </c>
      <c r="M1648" s="4" t="s">
        <v>2602</v>
      </c>
      <c r="N1648" s="4" t="str">
        <f>IFERROR(__XLUDF.DUMMYFUNCTION("VLOOKUP(M225,IMPORTRANGE(""https://docs.google.com/spreadsheets/d/1opm6ZNvGZ7KditA9TuJwrZ25eFLfTNIkrNnY6mhV5Eg"",""list!A1:C115""),3,TRUE)"),"le secteur de la tech")</f>
        <v xml:space="preserve">le secteur de la tech</v>
      </c>
      <c r="O1648" s="4" t="s">
        <v>11444</v>
      </c>
      <c r="P1648" s="4">
        <v>18</v>
      </c>
      <c r="Q1648" s="4" t="s">
        <v>11445</v>
      </c>
      <c r="R1648" s="4" t="s">
        <v>9160</v>
      </c>
      <c r="S1648" s="4" t="s">
        <v>29</v>
      </c>
      <c r="T1648" s="5" t="s">
        <v>11446</v>
      </c>
      <c r="U1648" s="5" t="s">
        <v>11447</v>
      </c>
      <c r="V1648" s="6"/>
      <c r="W1648" s="6"/>
      <c r="X1648" s="6"/>
      <c r="Y1648" s="4" t="s">
        <v>11448</v>
      </c>
      <c r="Z1648" s="6"/>
      <c r="AA1648" s="5" t="s">
        <v>11449</v>
      </c>
    </row>
    <row r="1649" ht="14.25">
      <c r="B1649" s="4" t="s">
        <v>11450</v>
      </c>
      <c r="C1649" s="4" t="s">
        <v>11451</v>
      </c>
      <c r="D1649" s="4" t="s">
        <v>11452</v>
      </c>
      <c r="E1649" s="4" t="s">
        <v>11453</v>
      </c>
      <c r="F1649" s="4" t="s">
        <v>11454</v>
      </c>
      <c r="G1649" s="4" t="s">
        <v>11455</v>
      </c>
      <c r="H1649" s="4" t="str">
        <f>IFERROR(__XLUDF.DUMMYFUNCTION("PROPER(REGEXREPLACE(G226,""[^A-Za-z]+ "",""""))"),"Assetsman")</f>
        <v>Assetsman</v>
      </c>
      <c r="I1649" s="5" t="s">
        <v>11456</v>
      </c>
      <c r="J1649" s="4" t="s">
        <v>39</v>
      </c>
      <c r="K1649" s="4" t="s">
        <v>9160</v>
      </c>
      <c r="L1649" s="4" t="s">
        <v>29</v>
      </c>
      <c r="M1649" s="4" t="s">
        <v>4067</v>
      </c>
      <c r="N1649" s="4" t="str">
        <f>IFERROR(__XLUDF.DUMMYFUNCTION("VLOOKUP(M226,IMPORTRANGE(""https://docs.google.com/spreadsheets/d/1opm6ZNvGZ7KditA9TuJwrZ25eFLfTNIkrNnY6mhV5Eg"",""list!A1:C115""),3,TRUE)"),"le secteur du conseil en management")</f>
        <v xml:space="preserve">le secteur du conseil en management</v>
      </c>
      <c r="O1649" s="4" t="s">
        <v>11457</v>
      </c>
      <c r="P1649" s="4">
        <v>15</v>
      </c>
      <c r="Q1649" s="4" t="s">
        <v>2734</v>
      </c>
      <c r="R1649" s="4" t="s">
        <v>9160</v>
      </c>
      <c r="S1649" s="4" t="s">
        <v>29</v>
      </c>
      <c r="T1649" s="5" t="s">
        <v>11458</v>
      </c>
      <c r="U1649" s="6"/>
      <c r="V1649" s="5" t="s">
        <v>11459</v>
      </c>
      <c r="W1649" s="6"/>
      <c r="X1649" s="6"/>
      <c r="Y1649" s="4" t="s">
        <v>11460</v>
      </c>
      <c r="Z1649" s="6"/>
      <c r="AA1649" s="5" t="s">
        <v>11461</v>
      </c>
    </row>
    <row r="1650" ht="14.25">
      <c r="B1650" s="4" t="s">
        <v>11462</v>
      </c>
      <c r="C1650" s="4" t="s">
        <v>11463</v>
      </c>
      <c r="D1650" s="4" t="s">
        <v>11464</v>
      </c>
      <c r="E1650" s="4" t="s">
        <v>11465</v>
      </c>
      <c r="F1650" s="4" t="s">
        <v>11466</v>
      </c>
      <c r="G1650" s="4" t="s">
        <v>11467</v>
      </c>
      <c r="H1650" s="4" t="str">
        <f>IFERROR(__XLUDF.DUMMYFUNCTION("PROPER(REGEXREPLACE(G227,""[^A-Za-z]+ "",""""))"),"Black Oak")</f>
        <v xml:space="preserve">Black Oak</v>
      </c>
      <c r="I1650" s="5" t="s">
        <v>11468</v>
      </c>
      <c r="J1650" s="6"/>
      <c r="K1650" s="6"/>
      <c r="L1650" s="4" t="s">
        <v>29</v>
      </c>
      <c r="M1650" s="4" t="s">
        <v>2602</v>
      </c>
      <c r="N1650" s="4" t="str">
        <f>IFERROR(__XLUDF.DUMMYFUNCTION("VLOOKUP(M227,IMPORTRANGE(""https://docs.google.com/spreadsheets/d/1opm6ZNvGZ7KditA9TuJwrZ25eFLfTNIkrNnY6mhV5Eg"",""list!A1:C115""),3,TRUE)"),"le secteur de la tech")</f>
        <v xml:space="preserve">le secteur de la tech</v>
      </c>
      <c r="O1650" s="4" t="s">
        <v>11469</v>
      </c>
      <c r="P1650" s="4">
        <v>10</v>
      </c>
      <c r="Q1650" s="4" t="s">
        <v>185</v>
      </c>
      <c r="R1650" s="4" t="s">
        <v>9193</v>
      </c>
      <c r="S1650" s="4" t="s">
        <v>29</v>
      </c>
      <c r="T1650" s="5" t="s">
        <v>11470</v>
      </c>
      <c r="U1650" s="6"/>
      <c r="V1650" s="6"/>
      <c r="W1650" s="6"/>
      <c r="X1650" s="6"/>
      <c r="Y1650" s="4" t="s">
        <v>11471</v>
      </c>
      <c r="Z1650" s="6"/>
      <c r="AA1650" s="5" t="s">
        <v>11472</v>
      </c>
    </row>
    <row r="1651" ht="14.25">
      <c r="B1651" s="4" t="s">
        <v>11473</v>
      </c>
      <c r="C1651" s="4" t="s">
        <v>1562</v>
      </c>
      <c r="D1651" s="4" t="s">
        <v>11474</v>
      </c>
      <c r="E1651" s="4" t="s">
        <v>11475</v>
      </c>
      <c r="F1651" s="4" t="s">
        <v>11476</v>
      </c>
      <c r="G1651" s="4" t="s">
        <v>11477</v>
      </c>
      <c r="H1651" s="4" t="str">
        <f>IFERROR(__XLUDF.DUMMYFUNCTION("PROPER(REGEXREPLACE(G228,""[^A-Za-z]+ "",""""))"),"Cristelfrance")</f>
        <v>Cristelfrance</v>
      </c>
      <c r="I1651" s="5" t="s">
        <v>11478</v>
      </c>
      <c r="J1651" s="4" t="s">
        <v>11479</v>
      </c>
      <c r="K1651" s="4" t="s">
        <v>9473</v>
      </c>
      <c r="L1651" s="4" t="s">
        <v>29</v>
      </c>
      <c r="M1651" s="4" t="s">
        <v>4525</v>
      </c>
      <c r="N1651" s="4" t="str">
        <f>IFERROR(__XLUDF.DUMMYFUNCTION("VLOOKUP(M228,IMPORTRANGE(""https://docs.google.com/spreadsheets/d/1opm6ZNvGZ7KditA9TuJwrZ25eFLfTNIkrNnY6mhV5Eg"",""list!A1:C115""),3,TRUE)"),"le secteur du retail")</f>
        <v xml:space="preserve">le secteur du retail</v>
      </c>
      <c r="O1651" s="6"/>
      <c r="P1651" s="4">
        <v>48</v>
      </c>
      <c r="Q1651" s="4" t="s">
        <v>11479</v>
      </c>
      <c r="R1651" s="4" t="s">
        <v>9473</v>
      </c>
      <c r="S1651" s="4" t="s">
        <v>29</v>
      </c>
      <c r="T1651" s="5" t="s">
        <v>11480</v>
      </c>
      <c r="U1651" s="5" t="s">
        <v>11481</v>
      </c>
      <c r="V1651" s="5" t="s">
        <v>11482</v>
      </c>
      <c r="W1651" s="6"/>
      <c r="X1651" s="6"/>
      <c r="Y1651" s="4" t="s">
        <v>11483</v>
      </c>
      <c r="Z1651" s="6"/>
      <c r="AA1651" s="5" t="s">
        <v>11484</v>
      </c>
    </row>
    <row r="1652" ht="14.25">
      <c r="B1652" s="4" t="s">
        <v>11485</v>
      </c>
      <c r="C1652" s="4" t="s">
        <v>4177</v>
      </c>
      <c r="D1652" s="4" t="s">
        <v>1485</v>
      </c>
      <c r="E1652" s="4" t="s">
        <v>11486</v>
      </c>
      <c r="F1652" s="4" t="s">
        <v>11487</v>
      </c>
      <c r="G1652" s="4" t="s">
        <v>11488</v>
      </c>
      <c r="H1652" s="4" t="str">
        <f>IFERROR(__XLUDF.DUMMYFUNCTION("PROPER(REGEXREPLACE(G229,""[^A-Za-z]+ "",""""))"),"Rossel Advertising France")</f>
        <v xml:space="preserve">Rossel Advertising France</v>
      </c>
      <c r="I1652" s="6"/>
      <c r="J1652" s="4" t="s">
        <v>39</v>
      </c>
      <c r="K1652" s="4" t="s">
        <v>9160</v>
      </c>
      <c r="L1652" s="4" t="s">
        <v>29</v>
      </c>
      <c r="M1652" s="4" t="s">
        <v>9161</v>
      </c>
      <c r="N1652" s="4" t="str">
        <f>IFERROR(__XLUDF.DUMMYFUNCTION("VLOOKUP(M229,IMPORTRANGE(""https://docs.google.com/spreadsheets/d/1opm6ZNvGZ7KditA9TuJwrZ25eFLfTNIkrNnY6mhV5Eg"",""list!A1:C115""),3,TRUE)"),"le secteur du marketing")</f>
        <v xml:space="preserve">le secteur du marketing</v>
      </c>
      <c r="O1652" s="4" t="s">
        <v>11489</v>
      </c>
      <c r="P1652" s="4">
        <v>37</v>
      </c>
      <c r="Q1652" s="4" t="s">
        <v>846</v>
      </c>
      <c r="R1652" s="4" t="s">
        <v>9281</v>
      </c>
      <c r="S1652" s="4" t="s">
        <v>29</v>
      </c>
      <c r="T1652" s="5" t="s">
        <v>11490</v>
      </c>
      <c r="U1652" s="6"/>
      <c r="V1652" s="6"/>
      <c r="W1652" s="6"/>
      <c r="X1652" s="6"/>
      <c r="Y1652" s="4" t="s">
        <v>11491</v>
      </c>
      <c r="Z1652" s="6"/>
      <c r="AA1652" s="5" t="s">
        <v>11492</v>
      </c>
    </row>
    <row r="1653" ht="14.25">
      <c r="B1653" s="4" t="s">
        <v>11493</v>
      </c>
      <c r="C1653" s="4" t="s">
        <v>808</v>
      </c>
      <c r="D1653" s="4" t="s">
        <v>10353</v>
      </c>
      <c r="E1653" s="4" t="s">
        <v>11494</v>
      </c>
      <c r="F1653" s="4" t="s">
        <v>9849</v>
      </c>
      <c r="G1653" s="4" t="s">
        <v>11495</v>
      </c>
      <c r="H1653" s="4" t="str">
        <f>IFERROR(__XLUDF.DUMMYFUNCTION("PROPER(REGEXREPLACE(G230,""[^A-Za-z]+ "",""""))"),"Ccl Construction Sas")</f>
        <v xml:space="preserve">Ccl Construction Sas</v>
      </c>
      <c r="I1653" s="5" t="s">
        <v>11496</v>
      </c>
      <c r="J1653" s="4" t="s">
        <v>1826</v>
      </c>
      <c r="K1653" s="4" t="s">
        <v>9227</v>
      </c>
      <c r="L1653" s="4" t="s">
        <v>29</v>
      </c>
      <c r="M1653" s="4" t="s">
        <v>9239</v>
      </c>
      <c r="N1653" s="4" t="str">
        <f>IFERROR(__XLUDF.DUMMYFUNCTION("VLOOKUP(M230,IMPORTRANGE(""https://docs.google.com/spreadsheets/d/1opm6ZNvGZ7KditA9TuJwrZ25eFLfTNIkrNnY6mhV5Eg"",""list!A1:C115""),3,TRUE)"),"le secteur de la construction")</f>
        <v xml:space="preserve">le secteur de la construction</v>
      </c>
      <c r="O1653" s="4" t="s">
        <v>11497</v>
      </c>
      <c r="P1653" s="4">
        <v>35</v>
      </c>
      <c r="Q1653" s="6"/>
      <c r="R1653" s="6"/>
      <c r="S1653" s="4" t="s">
        <v>29</v>
      </c>
      <c r="T1653" s="5" t="s">
        <v>11498</v>
      </c>
      <c r="U1653" s="6"/>
      <c r="V1653" s="6"/>
      <c r="W1653" s="6"/>
      <c r="X1653" s="6"/>
      <c r="Y1653" s="4" t="s">
        <v>11499</v>
      </c>
      <c r="Z1653" s="6"/>
      <c r="AA1653" s="5" t="s">
        <v>11500</v>
      </c>
    </row>
    <row r="1654" ht="14.25">
      <c r="B1654" s="4" t="s">
        <v>11501</v>
      </c>
      <c r="C1654" s="4" t="s">
        <v>1207</v>
      </c>
      <c r="D1654" s="4" t="s">
        <v>785</v>
      </c>
      <c r="E1654" s="4" t="s">
        <v>11502</v>
      </c>
      <c r="F1654" s="4" t="s">
        <v>11503</v>
      </c>
      <c r="G1654" s="4" t="s">
        <v>11504</v>
      </c>
      <c r="H1654" s="4" t="str">
        <f>IFERROR(__XLUDF.DUMMYFUNCTION("PROPER(REGEXREPLACE(G231,""[^A-Za-z]+ "",""""))"),"Ikimo")</f>
        <v>Ikimo</v>
      </c>
      <c r="I1654" s="4" t="s">
        <v>11505</v>
      </c>
      <c r="J1654" s="4" t="s">
        <v>10088</v>
      </c>
      <c r="K1654" s="4" t="s">
        <v>9251</v>
      </c>
      <c r="L1654" s="4" t="s">
        <v>29</v>
      </c>
      <c r="M1654" s="4" t="s">
        <v>2602</v>
      </c>
      <c r="N1654" s="4" t="str">
        <f>IFERROR(__XLUDF.DUMMYFUNCTION("VLOOKUP(M231,IMPORTRANGE(""https://docs.google.com/spreadsheets/d/1opm6ZNvGZ7KditA9TuJwrZ25eFLfTNIkrNnY6mhV5Eg"",""list!A1:C115""),3,TRUE)"),"le secteur de la tech")</f>
        <v xml:space="preserve">le secteur de la tech</v>
      </c>
      <c r="O1654" s="4" t="s">
        <v>11506</v>
      </c>
      <c r="P1654" s="4">
        <v>11</v>
      </c>
      <c r="Q1654" s="4" t="s">
        <v>10088</v>
      </c>
      <c r="R1654" s="4" t="s">
        <v>9251</v>
      </c>
      <c r="S1654" s="4" t="s">
        <v>29</v>
      </c>
      <c r="T1654" s="5" t="s">
        <v>11507</v>
      </c>
      <c r="U1654" s="6"/>
      <c r="V1654" s="6"/>
      <c r="W1654" s="6"/>
      <c r="X1654" s="6"/>
      <c r="Y1654" s="4" t="s">
        <v>11508</v>
      </c>
      <c r="Z1654" s="6"/>
      <c r="AA1654" s="5" t="s">
        <v>11509</v>
      </c>
    </row>
    <row r="1655" ht="14.25">
      <c r="B1655" s="4" t="s">
        <v>11510</v>
      </c>
      <c r="C1655" s="4" t="s">
        <v>808</v>
      </c>
      <c r="D1655" s="4" t="s">
        <v>9827</v>
      </c>
      <c r="E1655" s="4" t="s">
        <v>11511</v>
      </c>
      <c r="F1655" s="4" t="s">
        <v>11476</v>
      </c>
      <c r="G1655" s="4" t="s">
        <v>11512</v>
      </c>
      <c r="H1655" s="4" t="str">
        <f>IFERROR(__XLUDF.DUMMYFUNCTION("PROPER(REGEXREPLACE(G232,""[^A-Za-z]+ "",""""))"),"Gstag")</f>
        <v>Gstag</v>
      </c>
      <c r="I1655" s="5" t="s">
        <v>11513</v>
      </c>
      <c r="J1655" s="6"/>
      <c r="K1655" s="6"/>
      <c r="L1655" s="4" t="s">
        <v>29</v>
      </c>
      <c r="M1655" s="4" t="s">
        <v>10215</v>
      </c>
      <c r="N1655" s="4" t="str">
        <f>IFERROR(__XLUDF.DUMMYFUNCTION("VLOOKUP(M232,IMPORTRANGE(""https://docs.google.com/spreadsheets/d/1opm6ZNvGZ7KditA9TuJwrZ25eFLfTNIkrNnY6mhV5Eg"",""list!A1:C115""),3,TRUE)"),"le secteur de l'électrique et électronique")</f>
        <v xml:space="preserve">le secteur de l'électrique et électronique</v>
      </c>
      <c r="O1655" s="4" t="s">
        <v>11514</v>
      </c>
      <c r="P1655" s="4">
        <v>13</v>
      </c>
      <c r="Q1655" s="4" t="s">
        <v>11515</v>
      </c>
      <c r="R1655" s="4" t="s">
        <v>9251</v>
      </c>
      <c r="S1655" s="4" t="s">
        <v>29</v>
      </c>
      <c r="T1655" s="5" t="s">
        <v>11516</v>
      </c>
      <c r="U1655" s="5" t="s">
        <v>11517</v>
      </c>
      <c r="V1655" s="6"/>
      <c r="W1655" s="6"/>
      <c r="X1655" s="6"/>
      <c r="Y1655" s="4" t="s">
        <v>11518</v>
      </c>
      <c r="Z1655" s="6"/>
      <c r="AA1655" s="5" t="s">
        <v>11519</v>
      </c>
    </row>
    <row r="1656" ht="14.25">
      <c r="B1656" s="4" t="s">
        <v>11520</v>
      </c>
      <c r="C1656" s="4" t="s">
        <v>1579</v>
      </c>
      <c r="D1656" s="4" t="s">
        <v>11521</v>
      </c>
      <c r="E1656" s="4" t="s">
        <v>11522</v>
      </c>
      <c r="F1656" s="4" t="s">
        <v>7759</v>
      </c>
      <c r="G1656" s="4" t="s">
        <v>11523</v>
      </c>
      <c r="H1656" s="4" t="str">
        <f>IFERROR(__XLUDF.DUMMYFUNCTION("PROPER(REGEXREPLACE(G233,""[^A-Za-z]+ "",""""))"),"Ynov'It Groupe")</f>
        <v xml:space="preserve">Ynov'It Groupe</v>
      </c>
      <c r="I1656" s="5" t="s">
        <v>11524</v>
      </c>
      <c r="J1656" s="4" t="s">
        <v>11525</v>
      </c>
      <c r="K1656" s="4" t="s">
        <v>9193</v>
      </c>
      <c r="L1656" s="4" t="s">
        <v>29</v>
      </c>
      <c r="M1656" s="4" t="s">
        <v>2602</v>
      </c>
      <c r="N1656" s="4" t="str">
        <f>IFERROR(__XLUDF.DUMMYFUNCTION("VLOOKUP(M233,IMPORTRANGE(""https://docs.google.com/spreadsheets/d/1opm6ZNvGZ7KditA9TuJwrZ25eFLfTNIkrNnY6mhV5Eg"",""list!A1:C115""),3,TRUE)"),"le secteur de la tech")</f>
        <v xml:space="preserve">le secteur de la tech</v>
      </c>
      <c r="O1656" s="4" t="s">
        <v>11526</v>
      </c>
      <c r="P1656" s="4">
        <v>44</v>
      </c>
      <c r="Q1656" s="4" t="s">
        <v>831</v>
      </c>
      <c r="R1656" s="4" t="s">
        <v>9193</v>
      </c>
      <c r="S1656" s="4" t="s">
        <v>29</v>
      </c>
      <c r="T1656" s="5" t="s">
        <v>11527</v>
      </c>
      <c r="U1656" s="6"/>
      <c r="V1656" s="6"/>
      <c r="W1656" s="6"/>
      <c r="X1656" s="6"/>
      <c r="Y1656" s="4" t="s">
        <v>11528</v>
      </c>
      <c r="Z1656" s="6"/>
      <c r="AA1656" s="5" t="s">
        <v>11529</v>
      </c>
    </row>
    <row r="1657" ht="14.25">
      <c r="B1657" s="4" t="s">
        <v>11530</v>
      </c>
      <c r="C1657" s="4" t="s">
        <v>11531</v>
      </c>
      <c r="D1657" s="4" t="s">
        <v>11532</v>
      </c>
      <c r="E1657" s="4" t="s">
        <v>11533</v>
      </c>
      <c r="F1657" s="4" t="s">
        <v>11534</v>
      </c>
      <c r="G1657" s="5" t="s">
        <v>11535</v>
      </c>
      <c r="H1657" s="5" t="str">
        <f>IFERROR(__XLUDF.DUMMYFUNCTION("PROPER(REGEXREPLACE(G234,""[^A-Za-z]+ "",""""))"),"Peregrine.Ai")</f>
        <v>Peregrine.Ai</v>
      </c>
      <c r="I1657" s="5" t="s">
        <v>11536</v>
      </c>
      <c r="J1657" s="4" t="s">
        <v>11537</v>
      </c>
      <c r="K1657" s="4" t="s">
        <v>9160</v>
      </c>
      <c r="L1657" s="4" t="s">
        <v>29</v>
      </c>
      <c r="M1657" s="4" t="s">
        <v>2602</v>
      </c>
      <c r="N1657" s="4" t="str">
        <f>IFERROR(__XLUDF.DUMMYFUNCTION("VLOOKUP(M234,IMPORTRANGE(""https://docs.google.com/spreadsheets/d/1opm6ZNvGZ7KditA9TuJwrZ25eFLfTNIkrNnY6mhV5Eg"",""list!A1:C115""),3,TRUE)"),"le secteur de la tech")</f>
        <v xml:space="preserve">le secteur de la tech</v>
      </c>
      <c r="O1657" s="6"/>
      <c r="P1657" s="4">
        <v>28</v>
      </c>
      <c r="Q1657" s="4" t="s">
        <v>11538</v>
      </c>
      <c r="R1657" s="4" t="s">
        <v>11538</v>
      </c>
      <c r="S1657" s="4" t="s">
        <v>595</v>
      </c>
      <c r="T1657" s="5" t="s">
        <v>11539</v>
      </c>
      <c r="U1657" s="6"/>
      <c r="V1657" s="6"/>
      <c r="W1657" s="6"/>
      <c r="X1657" s="6"/>
      <c r="Y1657" s="4" t="s">
        <v>11540</v>
      </c>
      <c r="Z1657" s="6"/>
      <c r="AA1657" s="5" t="s">
        <v>11541</v>
      </c>
    </row>
    <row r="1658" ht="14.25">
      <c r="B1658" s="4" t="s">
        <v>11542</v>
      </c>
      <c r="C1658" s="4" t="s">
        <v>2311</v>
      </c>
      <c r="D1658" s="4" t="s">
        <v>11543</v>
      </c>
      <c r="E1658" s="4" t="s">
        <v>11544</v>
      </c>
      <c r="F1658" s="4" t="s">
        <v>11545</v>
      </c>
      <c r="G1658" s="4" t="s">
        <v>11546</v>
      </c>
      <c r="H1658" s="4" t="str">
        <f>IFERROR(__XLUDF.DUMMYFUNCTION("PROPER(REGEXREPLACE(G235,""[^A-Za-z]+ "",""""))"),"Theraxel")</f>
        <v>Theraxel</v>
      </c>
      <c r="I1658" s="5" t="s">
        <v>11547</v>
      </c>
      <c r="J1658" s="4" t="s">
        <v>9472</v>
      </c>
      <c r="K1658" s="4" t="s">
        <v>9473</v>
      </c>
      <c r="L1658" s="4" t="s">
        <v>29</v>
      </c>
      <c r="M1658" s="4" t="s">
        <v>4067</v>
      </c>
      <c r="N1658" s="4" t="str">
        <f>IFERROR(__XLUDF.DUMMYFUNCTION("VLOOKUP(M235,IMPORTRANGE(""https://docs.google.com/spreadsheets/d/1opm6ZNvGZ7KditA9TuJwrZ25eFLfTNIkrNnY6mhV5Eg"",""list!A1:C115""),3,TRUE)"),"le secteur du conseil en management")</f>
        <v xml:space="preserve">le secteur du conseil en management</v>
      </c>
      <c r="O1658" s="6"/>
      <c r="P1658" s="4">
        <v>30</v>
      </c>
      <c r="Q1658" s="4" t="s">
        <v>9472</v>
      </c>
      <c r="R1658" s="4" t="s">
        <v>11548</v>
      </c>
      <c r="S1658" s="4" t="s">
        <v>29</v>
      </c>
      <c r="T1658" s="5" t="s">
        <v>11549</v>
      </c>
      <c r="U1658" s="6"/>
      <c r="V1658" s="6"/>
      <c r="W1658" s="6"/>
      <c r="X1658" s="6"/>
      <c r="Y1658" s="4" t="s">
        <v>11550</v>
      </c>
      <c r="Z1658" s="6"/>
      <c r="AA1658" s="5" t="s">
        <v>11551</v>
      </c>
    </row>
    <row r="1659" ht="14.25">
      <c r="B1659" s="4" t="s">
        <v>11552</v>
      </c>
      <c r="C1659" s="4" t="s">
        <v>2311</v>
      </c>
      <c r="D1659" s="4" t="s">
        <v>11553</v>
      </c>
      <c r="E1659" s="4" t="s">
        <v>11554</v>
      </c>
      <c r="F1659" s="4" t="s">
        <v>11555</v>
      </c>
      <c r="G1659" s="4" t="s">
        <v>11556</v>
      </c>
      <c r="H1659" s="4" t="str">
        <f>IFERROR(__XLUDF.DUMMYFUNCTION("PROPER(REGEXREPLACE(G236,""[^A-Za-z]+ "",""""))"),"Spirit Advisors")</f>
        <v xml:space="preserve">Spirit Advisors</v>
      </c>
      <c r="I1659" s="5" t="s">
        <v>11557</v>
      </c>
      <c r="J1659" s="4" t="s">
        <v>39</v>
      </c>
      <c r="K1659" s="4" t="s">
        <v>9160</v>
      </c>
      <c r="L1659" s="4" t="s">
        <v>29</v>
      </c>
      <c r="M1659" s="4" t="s">
        <v>4067</v>
      </c>
      <c r="N1659" s="4" t="str">
        <f>IFERROR(__XLUDF.DUMMYFUNCTION("VLOOKUP(M236,IMPORTRANGE(""https://docs.google.com/spreadsheets/d/1opm6ZNvGZ7KditA9TuJwrZ25eFLfTNIkrNnY6mhV5Eg"",""list!A1:C115""),3,TRUE)"),"le secteur du conseil en management")</f>
        <v xml:space="preserve">le secteur du conseil en management</v>
      </c>
      <c r="O1659" s="4" t="s">
        <v>11558</v>
      </c>
      <c r="P1659" s="4">
        <v>21</v>
      </c>
      <c r="Q1659" s="4" t="s">
        <v>39</v>
      </c>
      <c r="R1659" s="4" t="s">
        <v>9160</v>
      </c>
      <c r="S1659" s="4" t="s">
        <v>29</v>
      </c>
      <c r="T1659" s="5" t="s">
        <v>11559</v>
      </c>
      <c r="U1659" s="6"/>
      <c r="V1659" s="6"/>
      <c r="W1659" s="6"/>
      <c r="X1659" s="6"/>
      <c r="Y1659" s="4" t="s">
        <v>11560</v>
      </c>
      <c r="Z1659" s="6"/>
      <c r="AA1659" s="5" t="s">
        <v>11561</v>
      </c>
    </row>
    <row r="1660" ht="14.25">
      <c r="B1660" s="4" t="s">
        <v>11562</v>
      </c>
      <c r="C1660" s="4" t="s">
        <v>1562</v>
      </c>
      <c r="D1660" s="4" t="s">
        <v>7032</v>
      </c>
      <c r="E1660" s="4" t="s">
        <v>11563</v>
      </c>
      <c r="F1660" s="4" t="s">
        <v>7759</v>
      </c>
      <c r="G1660" s="4" t="s">
        <v>11564</v>
      </c>
      <c r="H1660" s="4" t="str">
        <f>IFERROR(__XLUDF.DUMMYFUNCTION("PROPER(REGEXREPLACE(G237,""[^A-Za-z]+ "",""""))"),"Groupe Fivo")</f>
        <v xml:space="preserve">Groupe Fivo</v>
      </c>
      <c r="I1660" s="5" t="s">
        <v>11565</v>
      </c>
      <c r="J1660" s="4" t="s">
        <v>492</v>
      </c>
      <c r="K1660" s="4" t="s">
        <v>9226</v>
      </c>
      <c r="L1660" s="4" t="s">
        <v>29</v>
      </c>
      <c r="M1660" s="4" t="s">
        <v>4525</v>
      </c>
      <c r="N1660" s="4" t="str">
        <f>IFERROR(__XLUDF.DUMMYFUNCTION("VLOOKUP(M237,IMPORTRANGE(""https://docs.google.com/spreadsheets/d/1opm6ZNvGZ7KditA9TuJwrZ25eFLfTNIkrNnY6mhV5Eg"",""list!A1:C115""),3,TRUE)"),"le secteur du retail")</f>
        <v xml:space="preserve">le secteur du retail</v>
      </c>
      <c r="O1660" s="4" t="s">
        <v>11566</v>
      </c>
      <c r="P1660" s="4">
        <v>17</v>
      </c>
      <c r="Q1660" s="4" t="s">
        <v>11567</v>
      </c>
      <c r="R1660" s="4" t="s">
        <v>9160</v>
      </c>
      <c r="S1660" s="4" t="s">
        <v>29</v>
      </c>
      <c r="T1660" s="5" t="s">
        <v>11568</v>
      </c>
      <c r="U1660" s="6"/>
      <c r="V1660" s="5" t="s">
        <v>11569</v>
      </c>
      <c r="W1660" s="6"/>
      <c r="X1660" s="6"/>
      <c r="Y1660" s="4" t="s">
        <v>11570</v>
      </c>
      <c r="Z1660" s="6"/>
      <c r="AA1660" s="5" t="s">
        <v>11571</v>
      </c>
    </row>
    <row r="1661" ht="14.25">
      <c r="B1661" s="4" t="s">
        <v>11572</v>
      </c>
      <c r="C1661" s="4" t="s">
        <v>1579</v>
      </c>
      <c r="D1661" s="4" t="s">
        <v>11573</v>
      </c>
      <c r="E1661" s="4" t="s">
        <v>11574</v>
      </c>
      <c r="F1661" s="4" t="s">
        <v>3090</v>
      </c>
      <c r="G1661" s="4" t="s">
        <v>11575</v>
      </c>
      <c r="H1661" s="4" t="str">
        <f>IFERROR(__XLUDF.DUMMYFUNCTION("PROPER(REGEXREPLACE(G238,""[^A-Za-z]+ "",""""))"),"Datapilot")</f>
        <v>Datapilot</v>
      </c>
      <c r="I1661" s="5" t="s">
        <v>11576</v>
      </c>
      <c r="J1661" s="6"/>
      <c r="K1661" s="6"/>
      <c r="L1661" s="4" t="s">
        <v>29</v>
      </c>
      <c r="M1661" s="4" t="s">
        <v>2602</v>
      </c>
      <c r="N1661" s="4" t="str">
        <f>IFERROR(__XLUDF.DUMMYFUNCTION("VLOOKUP(M238,IMPORTRANGE(""https://docs.google.com/spreadsheets/d/1opm6ZNvGZ7KditA9TuJwrZ25eFLfTNIkrNnY6mhV5Eg"",""list!A1:C115""),3,TRUE)"),"le secteur de la tech")</f>
        <v xml:space="preserve">le secteur de la tech</v>
      </c>
      <c r="O1661" s="4" t="s">
        <v>11577</v>
      </c>
      <c r="P1661" s="4">
        <v>11</v>
      </c>
      <c r="Q1661" s="4" t="s">
        <v>11578</v>
      </c>
      <c r="R1661" s="4" t="s">
        <v>11579</v>
      </c>
      <c r="S1661" s="4" t="s">
        <v>11580</v>
      </c>
      <c r="T1661" s="5" t="s">
        <v>11581</v>
      </c>
      <c r="U1661" s="6"/>
      <c r="V1661" s="6"/>
      <c r="W1661" s="6"/>
      <c r="X1661" s="6"/>
      <c r="Y1661" s="4" t="s">
        <v>11582</v>
      </c>
      <c r="Z1661" s="6"/>
      <c r="AA1661" s="5" t="s">
        <v>11583</v>
      </c>
    </row>
    <row r="1662" ht="14.25">
      <c r="B1662" s="4" t="s">
        <v>11584</v>
      </c>
      <c r="C1662" s="4" t="s">
        <v>1562</v>
      </c>
      <c r="D1662" s="4" t="s">
        <v>11585</v>
      </c>
      <c r="E1662" s="4" t="s">
        <v>11586</v>
      </c>
      <c r="F1662" s="4" t="s">
        <v>1130</v>
      </c>
      <c r="G1662" s="4" t="s">
        <v>11587</v>
      </c>
      <c r="H1662" s="4" t="str">
        <f>IFERROR(__XLUDF.DUMMYFUNCTION("PROPER(REGEXREPLACE(G239,""[^A-Za-z]+ "",""""))"),"Atpr")</f>
        <v>Atpr</v>
      </c>
      <c r="I1662" s="5" t="s">
        <v>11588</v>
      </c>
      <c r="J1662" s="4" t="s">
        <v>11589</v>
      </c>
      <c r="K1662" s="4" t="s">
        <v>9864</v>
      </c>
      <c r="L1662" s="4" t="s">
        <v>29</v>
      </c>
      <c r="M1662" s="4" t="s">
        <v>4067</v>
      </c>
      <c r="N1662" s="4" t="str">
        <f>IFERROR(__XLUDF.DUMMYFUNCTION("VLOOKUP(M239,IMPORTRANGE(""https://docs.google.com/spreadsheets/d/1opm6ZNvGZ7KditA9TuJwrZ25eFLfTNIkrNnY6mhV5Eg"",""list!A1:C115""),3,TRUE)"),"le secteur du conseil en management")</f>
        <v xml:space="preserve">le secteur du conseil en management</v>
      </c>
      <c r="O1662" s="4" t="s">
        <v>11590</v>
      </c>
      <c r="P1662" s="4">
        <v>10</v>
      </c>
      <c r="Q1662" s="4" t="s">
        <v>11589</v>
      </c>
      <c r="R1662" s="4" t="s">
        <v>9864</v>
      </c>
      <c r="S1662" s="4" t="s">
        <v>29</v>
      </c>
      <c r="T1662" s="5" t="s">
        <v>11591</v>
      </c>
      <c r="U1662" s="6"/>
      <c r="V1662" s="6"/>
      <c r="W1662" s="6"/>
      <c r="X1662" s="6"/>
      <c r="Y1662" s="4" t="s">
        <v>11592</v>
      </c>
      <c r="Z1662" s="6"/>
      <c r="AA1662" s="5" t="s">
        <v>11593</v>
      </c>
    </row>
    <row r="1663" ht="14.25">
      <c r="B1663" s="4" t="s">
        <v>11594</v>
      </c>
      <c r="C1663" s="4" t="s">
        <v>1562</v>
      </c>
      <c r="D1663" s="4" t="s">
        <v>279</v>
      </c>
      <c r="E1663" s="4" t="s">
        <v>11595</v>
      </c>
      <c r="F1663" s="4" t="s">
        <v>7759</v>
      </c>
      <c r="G1663" s="4" t="s">
        <v>11596</v>
      </c>
      <c r="H1663" s="4" t="str">
        <f>IFERROR(__XLUDF.DUMMYFUNCTION("PROPER(REGEXREPLACE(G240,""[^A-Za-z]+ "",""""))"),"Technopoint")</f>
        <v>Technopoint</v>
      </c>
      <c r="I1663" s="5" t="s">
        <v>11597</v>
      </c>
      <c r="J1663" s="4" t="s">
        <v>11598</v>
      </c>
      <c r="K1663" s="4" t="s">
        <v>9160</v>
      </c>
      <c r="L1663" s="4" t="s">
        <v>29</v>
      </c>
      <c r="M1663" s="4" t="s">
        <v>10215</v>
      </c>
      <c r="N1663" s="4" t="str">
        <f>IFERROR(__XLUDF.DUMMYFUNCTION("VLOOKUP(M240,IMPORTRANGE(""https://docs.google.com/spreadsheets/d/1opm6ZNvGZ7KditA9TuJwrZ25eFLfTNIkrNnY6mhV5Eg"",""list!A1:C115""),3,TRUE)"),"le secteur de l'électrique et électronique")</f>
        <v xml:space="preserve">le secteur de l'électrique et électronique</v>
      </c>
      <c r="O1663" s="4" t="s">
        <v>11599</v>
      </c>
      <c r="P1663" s="4">
        <v>27</v>
      </c>
      <c r="Q1663" s="4" t="s">
        <v>11600</v>
      </c>
      <c r="R1663" s="4" t="s">
        <v>9340</v>
      </c>
      <c r="S1663" s="4" t="s">
        <v>29</v>
      </c>
      <c r="T1663" s="5" t="s">
        <v>11601</v>
      </c>
      <c r="U1663" s="6"/>
      <c r="V1663" s="6"/>
      <c r="W1663" s="6"/>
      <c r="X1663" s="6"/>
      <c r="Y1663" s="4" t="s">
        <v>11602</v>
      </c>
      <c r="Z1663" s="6"/>
      <c r="AA1663" s="5" t="s">
        <v>11603</v>
      </c>
    </row>
    <row r="1664" ht="14.25">
      <c r="B1664" s="4" t="s">
        <v>11604</v>
      </c>
      <c r="C1664" s="4" t="s">
        <v>1562</v>
      </c>
      <c r="D1664" s="4" t="s">
        <v>11605</v>
      </c>
      <c r="E1664" s="4" t="s">
        <v>11606</v>
      </c>
      <c r="F1664" s="4" t="s">
        <v>11607</v>
      </c>
      <c r="G1664" s="4" t="s">
        <v>11608</v>
      </c>
      <c r="H1664" s="4" t="str">
        <f>IFERROR(__XLUDF.DUMMYFUNCTION("PROPER(REGEXREPLACE(G241,""[^A-Za-z]+ "",""""))"),"La Maison D'Alfred")</f>
        <v xml:space="preserve">La Maison D'Alfred</v>
      </c>
      <c r="I1664" s="6"/>
      <c r="J1664" s="4" t="s">
        <v>846</v>
      </c>
      <c r="K1664" s="4" t="s">
        <v>9281</v>
      </c>
      <c r="L1664" s="4" t="s">
        <v>29</v>
      </c>
      <c r="M1664" s="4" t="s">
        <v>4067</v>
      </c>
      <c r="N1664" s="4" t="str">
        <f>IFERROR(__XLUDF.DUMMYFUNCTION("VLOOKUP(M241,IMPORTRANGE(""https://docs.google.com/spreadsheets/d/1opm6ZNvGZ7KditA9TuJwrZ25eFLfTNIkrNnY6mhV5Eg"",""list!A1:C115""),3,TRUE)"),"le secteur du conseil en management")</f>
        <v xml:space="preserve">le secteur du conseil en management</v>
      </c>
      <c r="O1664" s="4" t="s">
        <v>11609</v>
      </c>
      <c r="P1664" s="4">
        <v>13</v>
      </c>
      <c r="Q1664" s="4" t="s">
        <v>9280</v>
      </c>
      <c r="R1664" s="4" t="s">
        <v>9281</v>
      </c>
      <c r="S1664" s="4" t="s">
        <v>29</v>
      </c>
      <c r="T1664" s="5" t="s">
        <v>11610</v>
      </c>
      <c r="U1664" s="6"/>
      <c r="V1664" s="6"/>
      <c r="W1664" s="5" t="s">
        <v>11611</v>
      </c>
      <c r="X1664" s="6"/>
      <c r="Y1664" s="4" t="s">
        <v>11612</v>
      </c>
      <c r="Z1664" s="6"/>
      <c r="AA1664" s="5" t="s">
        <v>11613</v>
      </c>
    </row>
    <row r="1665" ht="14.25">
      <c r="B1665" s="4" t="s">
        <v>11614</v>
      </c>
      <c r="C1665" s="4" t="s">
        <v>3744</v>
      </c>
      <c r="D1665" s="4" t="s">
        <v>11615</v>
      </c>
      <c r="E1665" s="4" t="s">
        <v>11616</v>
      </c>
      <c r="F1665" s="4" t="s">
        <v>10555</v>
      </c>
      <c r="G1665" s="4" t="s">
        <v>11617</v>
      </c>
      <c r="H1665" s="4" t="str">
        <f>IFERROR(__XLUDF.DUMMYFUNCTION("PROPER(REGEXREPLACE(G242,""[^A-Za-z]+ "",""""))"),"Pléiades")</f>
        <v>Pléiades</v>
      </c>
      <c r="I1665" s="4" t="s">
        <v>11618</v>
      </c>
      <c r="J1665" s="4" t="s">
        <v>39</v>
      </c>
      <c r="K1665" s="4" t="s">
        <v>9160</v>
      </c>
      <c r="L1665" s="4" t="s">
        <v>29</v>
      </c>
      <c r="M1665" s="4" t="s">
        <v>4067</v>
      </c>
      <c r="N1665" s="4" t="str">
        <f>IFERROR(__XLUDF.DUMMYFUNCTION("VLOOKUP(M242,IMPORTRANGE(""https://docs.google.com/spreadsheets/d/1opm6ZNvGZ7KditA9TuJwrZ25eFLfTNIkrNnY6mhV5Eg"",""list!A1:C115""),3,TRUE)"),"le secteur du conseil en management")</f>
        <v xml:space="preserve">le secteur du conseil en management</v>
      </c>
      <c r="O1665" s="4" t="s">
        <v>11619</v>
      </c>
      <c r="P1665" s="4">
        <v>12</v>
      </c>
      <c r="Q1665" s="4" t="s">
        <v>39</v>
      </c>
      <c r="R1665" s="4" t="s">
        <v>9160</v>
      </c>
      <c r="S1665" s="4" t="s">
        <v>29</v>
      </c>
      <c r="T1665" s="5" t="s">
        <v>11620</v>
      </c>
      <c r="U1665" s="6"/>
      <c r="V1665" s="6"/>
      <c r="W1665" s="6"/>
      <c r="X1665" s="6"/>
      <c r="Y1665" s="4" t="s">
        <v>11621</v>
      </c>
      <c r="Z1665" s="6"/>
      <c r="AA1665" s="5" t="s">
        <v>11622</v>
      </c>
    </row>
    <row r="1666" ht="14.25">
      <c r="B1666" s="4" t="s">
        <v>11623</v>
      </c>
      <c r="C1666" s="4" t="s">
        <v>808</v>
      </c>
      <c r="D1666" s="4" t="s">
        <v>11624</v>
      </c>
      <c r="E1666" s="4" t="s">
        <v>11625</v>
      </c>
      <c r="F1666" s="4" t="s">
        <v>112</v>
      </c>
      <c r="G1666" s="4" t="s">
        <v>11626</v>
      </c>
      <c r="H1666" s="4" t="str">
        <f>IFERROR(__XLUDF.DUMMYFUNCTION("PROPER(REGEXREPLACE(G243,""[^A-Za-z]+ "",""""))"),"Inentech")</f>
        <v>Inentech</v>
      </c>
      <c r="I1666" s="5" t="s">
        <v>11627</v>
      </c>
      <c r="J1666" s="4" t="s">
        <v>11628</v>
      </c>
      <c r="K1666" s="4" t="s">
        <v>9281</v>
      </c>
      <c r="L1666" s="4" t="s">
        <v>29</v>
      </c>
      <c r="M1666" s="4" t="s">
        <v>2602</v>
      </c>
      <c r="N1666" s="4" t="str">
        <f>IFERROR(__XLUDF.DUMMYFUNCTION("VLOOKUP(M243,IMPORTRANGE(""https://docs.google.com/spreadsheets/d/1opm6ZNvGZ7KditA9TuJwrZ25eFLfTNIkrNnY6mhV5Eg"",""list!A1:C115""),3,TRUE)"),"le secteur de la tech")</f>
        <v xml:space="preserve">le secteur de la tech</v>
      </c>
      <c r="O1666" s="4" t="s">
        <v>11629</v>
      </c>
      <c r="P1666" s="4">
        <v>20</v>
      </c>
      <c r="Q1666" s="4" t="s">
        <v>10963</v>
      </c>
      <c r="R1666" s="4" t="s">
        <v>9160</v>
      </c>
      <c r="S1666" s="4" t="s">
        <v>29</v>
      </c>
      <c r="T1666" s="5" t="s">
        <v>11630</v>
      </c>
      <c r="U1666" s="6"/>
      <c r="V1666" s="6"/>
      <c r="W1666" s="6"/>
      <c r="X1666" s="6"/>
      <c r="Y1666" s="4" t="s">
        <v>11631</v>
      </c>
      <c r="Z1666" s="6"/>
      <c r="AA1666" s="5" t="s">
        <v>11632</v>
      </c>
    </row>
    <row r="1667" ht="14.25">
      <c r="B1667" s="4" t="s">
        <v>11633</v>
      </c>
      <c r="C1667" s="4" t="s">
        <v>808</v>
      </c>
      <c r="D1667" s="4" t="s">
        <v>11634</v>
      </c>
      <c r="E1667" s="4" t="s">
        <v>11635</v>
      </c>
      <c r="F1667" s="4" t="s">
        <v>341</v>
      </c>
      <c r="G1667" s="4" t="s">
        <v>11636</v>
      </c>
      <c r="H1667" s="4" t="str">
        <f>IFERROR(__XLUDF.DUMMYFUNCTION("PROPER(REGEXREPLACE(G244,""[^A-Za-z]+ "",""""))"),"Nuabee")</f>
        <v>Nuabee</v>
      </c>
      <c r="I1667" s="5" t="s">
        <v>11637</v>
      </c>
      <c r="J1667" s="4" t="s">
        <v>185</v>
      </c>
      <c r="K1667" s="4" t="s">
        <v>9172</v>
      </c>
      <c r="L1667" s="4" t="s">
        <v>29</v>
      </c>
      <c r="M1667" s="4" t="s">
        <v>2602</v>
      </c>
      <c r="N1667" s="4" t="str">
        <f>IFERROR(__XLUDF.DUMMYFUNCTION("VLOOKUP(M244,IMPORTRANGE(""https://docs.google.com/spreadsheets/d/1opm6ZNvGZ7KditA9TuJwrZ25eFLfTNIkrNnY6mhV5Eg"",""list!A1:C115""),3,TRUE)"),"le secteur de la tech")</f>
        <v xml:space="preserve">le secteur de la tech</v>
      </c>
      <c r="O1667" s="4" t="s">
        <v>11638</v>
      </c>
      <c r="P1667" s="4">
        <v>11</v>
      </c>
      <c r="Q1667" s="4" t="s">
        <v>185</v>
      </c>
      <c r="R1667" s="4" t="s">
        <v>9193</v>
      </c>
      <c r="S1667" s="4" t="s">
        <v>29</v>
      </c>
      <c r="T1667" s="5" t="s">
        <v>11639</v>
      </c>
      <c r="U1667" s="6"/>
      <c r="V1667" s="6"/>
      <c r="W1667" s="6"/>
      <c r="X1667" s="6"/>
      <c r="Y1667" s="4" t="s">
        <v>11640</v>
      </c>
      <c r="Z1667" s="6"/>
      <c r="AA1667" s="5" t="s">
        <v>11641</v>
      </c>
    </row>
    <row r="1668" ht="14.25">
      <c r="B1668" s="4" t="s">
        <v>11642</v>
      </c>
      <c r="C1668" s="4" t="s">
        <v>808</v>
      </c>
      <c r="D1668" s="4" t="s">
        <v>11643</v>
      </c>
      <c r="E1668" s="4" t="s">
        <v>11644</v>
      </c>
      <c r="F1668" s="4" t="s">
        <v>120</v>
      </c>
      <c r="G1668" s="4" t="s">
        <v>11645</v>
      </c>
      <c r="H1668" s="4" t="str">
        <f>IFERROR(__XLUDF.DUMMYFUNCTION("PROPER(REGEXREPLACE(G245,""[^A-Za-z]+ "",""""))"),"Mobileo Telecom")</f>
        <v xml:space="preserve">Mobileo Telecom</v>
      </c>
      <c r="I1668" s="5" t="s">
        <v>11646</v>
      </c>
      <c r="J1668" s="4" t="s">
        <v>39</v>
      </c>
      <c r="K1668" s="4" t="s">
        <v>9160</v>
      </c>
      <c r="L1668" s="4" t="s">
        <v>29</v>
      </c>
      <c r="M1668" s="4" t="s">
        <v>9184</v>
      </c>
      <c r="N1668" s="4" t="str">
        <f>IFERROR(__XLUDF.DUMMYFUNCTION("VLOOKUP(M245,IMPORTRANGE(""https://docs.google.com/spreadsheets/d/1opm6ZNvGZ7KditA9TuJwrZ25eFLfTNIkrNnY6mhV5Eg"",""list!A1:C115""),3,TRUE)"),"le secteur des télécommunications")</f>
        <v xml:space="preserve">le secteur des télécommunications</v>
      </c>
      <c r="O1668" s="4" t="s">
        <v>11647</v>
      </c>
      <c r="P1668" s="4">
        <v>18</v>
      </c>
      <c r="Q1668" s="6"/>
      <c r="R1668" s="6"/>
      <c r="S1668" s="6"/>
      <c r="T1668" s="5" t="s">
        <v>11648</v>
      </c>
      <c r="U1668" s="6"/>
      <c r="V1668" s="6"/>
      <c r="W1668" s="6"/>
      <c r="X1668" s="6"/>
      <c r="Y1668" s="4" t="s">
        <v>11649</v>
      </c>
      <c r="Z1668" s="6"/>
      <c r="AA1668" s="5" t="s">
        <v>11650</v>
      </c>
    </row>
    <row r="1669" ht="14.25">
      <c r="B1669" s="4" t="s">
        <v>11651</v>
      </c>
      <c r="C1669" s="4" t="s">
        <v>808</v>
      </c>
      <c r="D1669" s="4" t="s">
        <v>4132</v>
      </c>
      <c r="E1669" s="4" t="s">
        <v>11652</v>
      </c>
      <c r="F1669" s="4" t="s">
        <v>11653</v>
      </c>
      <c r="G1669" s="4" t="s">
        <v>10176</v>
      </c>
      <c r="H1669" s="4" t="str">
        <f>IFERROR(__XLUDF.DUMMYFUNCTION("PROPER(REGEXREPLACE(G246,""[^A-Za-z]+ "",""""))"),"Dc Pilot France")</f>
        <v xml:space="preserve">Dc Pilot France</v>
      </c>
      <c r="I1669" s="5" t="s">
        <v>10177</v>
      </c>
      <c r="J1669" s="4" t="s">
        <v>11654</v>
      </c>
      <c r="K1669" s="4" t="s">
        <v>9160</v>
      </c>
      <c r="L1669" s="4" t="s">
        <v>29</v>
      </c>
      <c r="M1669" s="4" t="s">
        <v>4067</v>
      </c>
      <c r="N1669" s="4" t="str">
        <f>IFERROR(__XLUDF.DUMMYFUNCTION("VLOOKUP(M246,IMPORTRANGE(""https://docs.google.com/spreadsheets/d/1opm6ZNvGZ7KditA9TuJwrZ25eFLfTNIkrNnY6mhV5Eg"",""list!A1:C115""),3,TRUE)"),"le secteur du conseil en management")</f>
        <v xml:space="preserve">le secteur du conseil en management</v>
      </c>
      <c r="O1669" s="4" t="s">
        <v>10179</v>
      </c>
      <c r="P1669" s="4">
        <v>21</v>
      </c>
      <c r="Q1669" s="4" t="s">
        <v>651</v>
      </c>
      <c r="R1669" s="4" t="s">
        <v>9215</v>
      </c>
      <c r="S1669" s="4" t="s">
        <v>29</v>
      </c>
      <c r="T1669" s="5" t="s">
        <v>10180</v>
      </c>
      <c r="U1669" s="5" t="s">
        <v>10181</v>
      </c>
      <c r="V1669" s="5" t="s">
        <v>10182</v>
      </c>
      <c r="W1669" s="6"/>
      <c r="X1669" s="6"/>
      <c r="Y1669" s="4" t="s">
        <v>10183</v>
      </c>
      <c r="Z1669" s="6"/>
      <c r="AA1669" s="5" t="s">
        <v>11655</v>
      </c>
    </row>
    <row r="1670" ht="14.25">
      <c r="B1670" s="4" t="s">
        <v>11656</v>
      </c>
      <c r="C1670" s="4" t="s">
        <v>808</v>
      </c>
      <c r="D1670" s="4" t="s">
        <v>7725</v>
      </c>
      <c r="E1670" s="4" t="s">
        <v>11657</v>
      </c>
      <c r="F1670" s="4" t="s">
        <v>7185</v>
      </c>
      <c r="G1670" s="4" t="s">
        <v>11658</v>
      </c>
      <c r="H1670" s="4" t="str">
        <f>IFERROR(__XLUDF.DUMMYFUNCTION("PROPER(REGEXREPLACE(G247,""[^A-Za-z]+ "",""""))"),"Leclere Sas")</f>
        <v xml:space="preserve">Leclere Sas</v>
      </c>
      <c r="I1670" s="5" t="s">
        <v>11659</v>
      </c>
      <c r="J1670" s="6"/>
      <c r="K1670" s="4" t="s">
        <v>9193</v>
      </c>
      <c r="L1670" s="4" t="s">
        <v>29</v>
      </c>
      <c r="M1670" s="4" t="s">
        <v>4525</v>
      </c>
      <c r="N1670" s="4" t="str">
        <f>IFERROR(__XLUDF.DUMMYFUNCTION("VLOOKUP(M247,IMPORTRANGE(""https://docs.google.com/spreadsheets/d/1opm6ZNvGZ7KditA9TuJwrZ25eFLfTNIkrNnY6mhV5Eg"",""list!A1:C115""),3,TRUE)"),"le secteur du retail")</f>
        <v xml:space="preserve">le secteur du retail</v>
      </c>
      <c r="O1670" s="4" t="s">
        <v>11660</v>
      </c>
      <c r="P1670" s="4">
        <v>40</v>
      </c>
      <c r="Q1670" s="4" t="s">
        <v>1150</v>
      </c>
      <c r="R1670" s="4" t="s">
        <v>9193</v>
      </c>
      <c r="S1670" s="4" t="s">
        <v>29</v>
      </c>
      <c r="T1670" s="5" t="s">
        <v>11661</v>
      </c>
      <c r="U1670" s="6"/>
      <c r="V1670" s="5" t="s">
        <v>11662</v>
      </c>
      <c r="W1670" s="6"/>
      <c r="X1670" s="6"/>
      <c r="Y1670" s="4" t="s">
        <v>11663</v>
      </c>
      <c r="Z1670" s="6"/>
      <c r="AA1670" s="5" t="s">
        <v>11664</v>
      </c>
    </row>
    <row r="1671" ht="14.25">
      <c r="B1671" s="4" t="s">
        <v>11665</v>
      </c>
      <c r="C1671" s="4" t="s">
        <v>808</v>
      </c>
      <c r="D1671" s="4" t="s">
        <v>11666</v>
      </c>
      <c r="E1671" s="4" t="s">
        <v>11667</v>
      </c>
      <c r="F1671" s="4" t="s">
        <v>172</v>
      </c>
      <c r="G1671" s="4" t="s">
        <v>11668</v>
      </c>
      <c r="H1671" s="4" t="str">
        <f>IFERROR(__XLUDF.DUMMYFUNCTION("PROPER(REGEXREPLACE(G248,""[^A-Za-z]+ "",""""))"),"Drdata")</f>
        <v>Drdata</v>
      </c>
      <c r="I1671" s="5" t="s">
        <v>11669</v>
      </c>
      <c r="J1671" s="4" t="s">
        <v>39</v>
      </c>
      <c r="K1671" s="4" t="s">
        <v>9160</v>
      </c>
      <c r="L1671" s="4" t="s">
        <v>29</v>
      </c>
      <c r="M1671" s="4" t="s">
        <v>2602</v>
      </c>
      <c r="N1671" s="4" t="str">
        <f>IFERROR(__XLUDF.DUMMYFUNCTION("VLOOKUP(M248,IMPORTRANGE(""https://docs.google.com/spreadsheets/d/1opm6ZNvGZ7KditA9TuJwrZ25eFLfTNIkrNnY6mhV5Eg"",""list!A1:C115""),3,TRUE)"),"le secteur de la tech")</f>
        <v xml:space="preserve">le secteur de la tech</v>
      </c>
      <c r="O1671" s="4" t="s">
        <v>11670</v>
      </c>
      <c r="P1671" s="4">
        <v>10</v>
      </c>
      <c r="Q1671" s="4" t="s">
        <v>39</v>
      </c>
      <c r="R1671" s="4" t="s">
        <v>9160</v>
      </c>
      <c r="S1671" s="4" t="s">
        <v>29</v>
      </c>
      <c r="T1671" s="5" t="s">
        <v>11671</v>
      </c>
      <c r="U1671" s="6"/>
      <c r="V1671" s="6"/>
      <c r="W1671" s="6"/>
      <c r="X1671" s="6"/>
      <c r="Y1671" s="4" t="s">
        <v>11672</v>
      </c>
      <c r="Z1671" s="6"/>
      <c r="AA1671" s="5" t="s">
        <v>11673</v>
      </c>
    </row>
    <row r="1672" ht="14.25">
      <c r="B1672" s="4" t="s">
        <v>11674</v>
      </c>
      <c r="C1672" s="4" t="s">
        <v>808</v>
      </c>
      <c r="D1672" s="4" t="s">
        <v>11675</v>
      </c>
      <c r="E1672" s="4" t="s">
        <v>11676</v>
      </c>
      <c r="F1672" s="4" t="s">
        <v>7185</v>
      </c>
      <c r="G1672" s="4" t="s">
        <v>11677</v>
      </c>
      <c r="H1672" s="4" t="str">
        <f>IFERROR(__XLUDF.DUMMYFUNCTION("PROPER(REGEXREPLACE(G249,""[^A-Za-z]+ "",""""))"),"Bimer Services")</f>
        <v xml:space="preserve">Bimer Services</v>
      </c>
      <c r="I1672" s="5" t="s">
        <v>11678</v>
      </c>
      <c r="J1672" s="4" t="s">
        <v>482</v>
      </c>
      <c r="K1672" s="4" t="s">
        <v>9460</v>
      </c>
      <c r="L1672" s="4" t="s">
        <v>29</v>
      </c>
      <c r="M1672" s="4" t="s">
        <v>2602</v>
      </c>
      <c r="N1672" s="4" t="str">
        <f>IFERROR(__XLUDF.DUMMYFUNCTION("VLOOKUP(M249,IMPORTRANGE(""https://docs.google.com/spreadsheets/d/1opm6ZNvGZ7KditA9TuJwrZ25eFLfTNIkrNnY6mhV5Eg"",""list!A1:C115""),3,TRUE)"),"le secteur de la tech")</f>
        <v xml:space="preserve">le secteur de la tech</v>
      </c>
      <c r="O1672" s="4" t="s">
        <v>11679</v>
      </c>
      <c r="P1672" s="4">
        <v>17</v>
      </c>
      <c r="Q1672" s="4" t="s">
        <v>482</v>
      </c>
      <c r="R1672" s="4" t="s">
        <v>9460</v>
      </c>
      <c r="S1672" s="4" t="s">
        <v>29</v>
      </c>
      <c r="T1672" s="5" t="s">
        <v>11680</v>
      </c>
      <c r="U1672" s="6"/>
      <c r="V1672" s="6"/>
      <c r="W1672" s="6"/>
      <c r="X1672" s="6"/>
      <c r="Y1672" s="4" t="s">
        <v>11681</v>
      </c>
      <c r="Z1672" s="6"/>
      <c r="AA1672" s="5" t="s">
        <v>11682</v>
      </c>
    </row>
    <row r="1673" ht="14.25">
      <c r="B1673" s="4" t="s">
        <v>11683</v>
      </c>
      <c r="C1673" s="4" t="s">
        <v>6229</v>
      </c>
      <c r="D1673" s="4" t="s">
        <v>808</v>
      </c>
      <c r="E1673" s="4" t="s">
        <v>11684</v>
      </c>
      <c r="F1673" s="4" t="s">
        <v>7759</v>
      </c>
      <c r="G1673" s="4" t="s">
        <v>11685</v>
      </c>
      <c r="H1673" s="4" t="str">
        <f>IFERROR(__XLUDF.DUMMYFUNCTION("PROPER(REGEXREPLACE(G250,""[^A-Za-z]+ "",""""))"),"Digitizme")</f>
        <v>Digitizme</v>
      </c>
      <c r="I1673" s="5" t="s">
        <v>11686</v>
      </c>
      <c r="J1673" s="4" t="s">
        <v>185</v>
      </c>
      <c r="K1673" s="4" t="s">
        <v>9193</v>
      </c>
      <c r="L1673" s="4" t="s">
        <v>29</v>
      </c>
      <c r="M1673" s="4" t="s">
        <v>2602</v>
      </c>
      <c r="N1673" s="4" t="str">
        <f>IFERROR(__XLUDF.DUMMYFUNCTION("VLOOKUP(M250,IMPORTRANGE(""https://docs.google.com/spreadsheets/d/1opm6ZNvGZ7KditA9TuJwrZ25eFLfTNIkrNnY6mhV5Eg"",""list!A1:C115""),3,TRUE)"),"le secteur de la tech")</f>
        <v xml:space="preserve">le secteur de la tech</v>
      </c>
      <c r="O1673" s="6"/>
      <c r="P1673" s="4">
        <v>15</v>
      </c>
      <c r="Q1673" s="4" t="s">
        <v>185</v>
      </c>
      <c r="R1673" s="4" t="s">
        <v>9193</v>
      </c>
      <c r="S1673" s="4" t="s">
        <v>29</v>
      </c>
      <c r="T1673" s="5" t="s">
        <v>11687</v>
      </c>
      <c r="U1673" s="6"/>
      <c r="V1673" s="6"/>
      <c r="W1673" s="6"/>
      <c r="X1673" s="6"/>
      <c r="Y1673" s="4" t="s">
        <v>11688</v>
      </c>
      <c r="Z1673" s="6"/>
      <c r="AA1673" s="5" t="s">
        <v>11689</v>
      </c>
    </row>
    <row r="1674" ht="14.25">
      <c r="B1674" s="4" t="s">
        <v>11690</v>
      </c>
      <c r="C1674" s="4" t="s">
        <v>808</v>
      </c>
      <c r="D1674" s="4" t="s">
        <v>11691</v>
      </c>
      <c r="E1674" s="4" t="s">
        <v>11692</v>
      </c>
      <c r="F1674" s="4" t="s">
        <v>11693</v>
      </c>
      <c r="G1674" s="4" t="s">
        <v>11694</v>
      </c>
      <c r="H1674" s="4" t="str">
        <f>IFERROR(__XLUDF.DUMMYFUNCTION("PROPER(REGEXREPLACE(G251,""[^A-Za-z]+ "",""""))"),"Tab France")</f>
        <v xml:space="preserve">Tab France</v>
      </c>
      <c r="I1674" s="5" t="s">
        <v>11695</v>
      </c>
      <c r="J1674" s="4" t="s">
        <v>243</v>
      </c>
      <c r="K1674" s="4" t="s">
        <v>9864</v>
      </c>
      <c r="L1674" s="4" t="s">
        <v>29</v>
      </c>
      <c r="M1674" s="4" t="s">
        <v>4067</v>
      </c>
      <c r="N1674" s="4" t="str">
        <f>IFERROR(__XLUDF.DUMMYFUNCTION("VLOOKUP(M251,IMPORTRANGE(""https://docs.google.com/spreadsheets/d/1opm6ZNvGZ7KditA9TuJwrZ25eFLfTNIkrNnY6mhV5Eg"",""list!A1:C115""),3,TRUE)"),"le secteur du conseil en management")</f>
        <v xml:space="preserve">le secteur du conseil en management</v>
      </c>
      <c r="O1674" s="4" t="s">
        <v>11696</v>
      </c>
      <c r="P1674" s="4">
        <v>15</v>
      </c>
      <c r="Q1674" s="4" t="s">
        <v>39</v>
      </c>
      <c r="R1674" s="4" t="s">
        <v>9160</v>
      </c>
      <c r="S1674" s="4" t="s">
        <v>29</v>
      </c>
      <c r="T1674" s="5" t="s">
        <v>11697</v>
      </c>
      <c r="U1674" s="6"/>
      <c r="V1674" s="6"/>
      <c r="W1674" s="6"/>
      <c r="X1674" s="6"/>
      <c r="Y1674" s="4" t="s">
        <v>11698</v>
      </c>
      <c r="Z1674" s="6"/>
      <c r="AA1674" s="5" t="s">
        <v>11699</v>
      </c>
    </row>
    <row r="1675" ht="14.25">
      <c r="B1675" s="4" t="s">
        <v>11700</v>
      </c>
      <c r="C1675" s="4" t="s">
        <v>11701</v>
      </c>
      <c r="D1675" s="4" t="s">
        <v>11702</v>
      </c>
      <c r="E1675" s="4" t="s">
        <v>11703</v>
      </c>
      <c r="F1675" s="4" t="s">
        <v>112</v>
      </c>
      <c r="G1675" s="4" t="s">
        <v>11704</v>
      </c>
      <c r="H1675" s="4" t="str">
        <f>IFERROR(__XLUDF.DUMMYFUNCTION("PROPER(REGEXREPLACE(G252,""[^A-Za-z]+ "",""""))"),"Groupe Innov")</f>
        <v xml:space="preserve">Groupe Innov</v>
      </c>
      <c r="I1675" s="5" t="s">
        <v>11705</v>
      </c>
      <c r="J1675" s="6"/>
      <c r="K1675" s="4" t="s">
        <v>9160</v>
      </c>
      <c r="L1675" s="4" t="s">
        <v>29</v>
      </c>
      <c r="M1675" s="4" t="s">
        <v>4525</v>
      </c>
      <c r="N1675" s="4" t="str">
        <f>IFERROR(__XLUDF.DUMMYFUNCTION("VLOOKUP(M252,IMPORTRANGE(""https://docs.google.com/spreadsheets/d/1opm6ZNvGZ7KditA9TuJwrZ25eFLfTNIkrNnY6mhV5Eg"",""list!A1:C115""),3,TRUE)"),"le secteur du retail")</f>
        <v xml:space="preserve">le secteur du retail</v>
      </c>
      <c r="O1675" s="6"/>
      <c r="P1675" s="4">
        <v>21</v>
      </c>
      <c r="Q1675" s="4" t="s">
        <v>5668</v>
      </c>
      <c r="R1675" s="4" t="s">
        <v>9160</v>
      </c>
      <c r="S1675" s="4" t="s">
        <v>29</v>
      </c>
      <c r="T1675" s="5" t="s">
        <v>11706</v>
      </c>
      <c r="U1675" s="6"/>
      <c r="V1675" s="6"/>
      <c r="W1675" s="6"/>
      <c r="X1675" s="6"/>
      <c r="Y1675" s="4" t="s">
        <v>11707</v>
      </c>
      <c r="Z1675" s="6"/>
      <c r="AA1675" s="5" t="s">
        <v>11708</v>
      </c>
    </row>
    <row r="1676" ht="14.25">
      <c r="B1676" s="4" t="s">
        <v>11709</v>
      </c>
      <c r="C1676" s="4" t="s">
        <v>11710</v>
      </c>
      <c r="D1676" s="4" t="s">
        <v>11711</v>
      </c>
      <c r="E1676" s="4" t="s">
        <v>11712</v>
      </c>
      <c r="F1676" s="4" t="s">
        <v>11713</v>
      </c>
      <c r="G1676" s="4" t="s">
        <v>11714</v>
      </c>
      <c r="H1676" s="4" t="str">
        <f>IFERROR(__XLUDF.DUMMYFUNCTION("PROPER(REGEXREPLACE(G253,""[^A-Za-z]+ "",""""))"),"Eutech")</f>
        <v>Eutech</v>
      </c>
      <c r="I1676" s="5" t="s">
        <v>11715</v>
      </c>
      <c r="J1676" s="4" t="s">
        <v>11716</v>
      </c>
      <c r="K1676" s="4" t="s">
        <v>11022</v>
      </c>
      <c r="L1676" s="4" t="s">
        <v>29</v>
      </c>
      <c r="M1676" s="4" t="s">
        <v>2602</v>
      </c>
      <c r="N1676" s="4" t="str">
        <f>IFERROR(__XLUDF.DUMMYFUNCTION("VLOOKUP(M253,IMPORTRANGE(""https://docs.google.com/spreadsheets/d/1opm6ZNvGZ7KditA9TuJwrZ25eFLfTNIkrNnY6mhV5Eg"",""list!A1:C115""),3,TRUE)"),"le secteur de la tech")</f>
        <v xml:space="preserve">le secteur de la tech</v>
      </c>
      <c r="O1676" s="6"/>
      <c r="P1676" s="4">
        <v>17</v>
      </c>
      <c r="Q1676" s="4" t="s">
        <v>11716</v>
      </c>
      <c r="R1676" s="4" t="s">
        <v>9215</v>
      </c>
      <c r="S1676" s="4" t="s">
        <v>29</v>
      </c>
      <c r="T1676" s="5" t="s">
        <v>11717</v>
      </c>
      <c r="U1676" s="6"/>
      <c r="V1676" s="6"/>
      <c r="W1676" s="6"/>
      <c r="X1676" s="6"/>
      <c r="Y1676" s="4" t="s">
        <v>11718</v>
      </c>
      <c r="Z1676" s="6"/>
      <c r="AA1676" s="5" t="s">
        <v>11719</v>
      </c>
    </row>
    <row r="1677" ht="14.25">
      <c r="B1677" s="4" t="s">
        <v>11720</v>
      </c>
      <c r="C1677" s="4" t="s">
        <v>1861</v>
      </c>
      <c r="D1677" s="4" t="s">
        <v>11721</v>
      </c>
      <c r="E1677" s="4" t="s">
        <v>11722</v>
      </c>
      <c r="F1677" s="4" t="s">
        <v>1231</v>
      </c>
      <c r="G1677" s="4" t="s">
        <v>11723</v>
      </c>
      <c r="H1677" s="4" t="str">
        <f>IFERROR(__XLUDF.DUMMYFUNCTION("PROPER(REGEXREPLACE(G254,""[^A-Za-z]+ "",""""))"),"Regata")</f>
        <v>Regata</v>
      </c>
      <c r="I1677" s="5" t="s">
        <v>11724</v>
      </c>
      <c r="J1677" s="6"/>
      <c r="K1677" s="6"/>
      <c r="L1677" s="4" t="s">
        <v>29</v>
      </c>
      <c r="M1677" s="4" t="s">
        <v>2602</v>
      </c>
      <c r="N1677" s="4" t="str">
        <f>IFERROR(__XLUDF.DUMMYFUNCTION("VLOOKUP(M254,IMPORTRANGE(""https://docs.google.com/spreadsheets/d/1opm6ZNvGZ7KditA9TuJwrZ25eFLfTNIkrNnY6mhV5Eg"",""list!A1:C115""),3,TRUE)"),"le secteur de la tech")</f>
        <v xml:space="preserve">le secteur de la tech</v>
      </c>
      <c r="O1677" s="4" t="s">
        <v>11725</v>
      </c>
      <c r="P1677" s="4">
        <v>18</v>
      </c>
      <c r="Q1677" s="4" t="s">
        <v>1711</v>
      </c>
      <c r="R1677" s="4" t="s">
        <v>9350</v>
      </c>
      <c r="S1677" s="4" t="s">
        <v>29</v>
      </c>
      <c r="T1677" s="5" t="s">
        <v>11726</v>
      </c>
      <c r="U1677" s="6"/>
      <c r="V1677" s="5" t="s">
        <v>11727</v>
      </c>
      <c r="W1677" s="6"/>
      <c r="X1677" s="6"/>
      <c r="Y1677" s="4" t="s">
        <v>11728</v>
      </c>
      <c r="Z1677" s="6"/>
      <c r="AA1677" s="5" t="s">
        <v>11729</v>
      </c>
    </row>
    <row r="1678" ht="14.25">
      <c r="B1678" s="4" t="s">
        <v>11730</v>
      </c>
      <c r="C1678" s="4" t="s">
        <v>1861</v>
      </c>
      <c r="D1678" s="4" t="s">
        <v>867</v>
      </c>
      <c r="E1678" s="4" t="s">
        <v>11722</v>
      </c>
      <c r="F1678" s="4" t="s">
        <v>1231</v>
      </c>
      <c r="G1678" s="4" t="s">
        <v>11723</v>
      </c>
      <c r="H1678" s="4" t="str">
        <f>IFERROR(__XLUDF.DUMMYFUNCTION("PROPER(REGEXREPLACE(G255,""[^A-Za-z]+ "",""""))"),"Regata")</f>
        <v>Regata</v>
      </c>
      <c r="I1678" s="5" t="s">
        <v>11724</v>
      </c>
      <c r="J1678" s="4" t="s">
        <v>1711</v>
      </c>
      <c r="K1678" s="4" t="s">
        <v>9350</v>
      </c>
      <c r="L1678" s="4" t="s">
        <v>29</v>
      </c>
      <c r="M1678" s="4" t="s">
        <v>2602</v>
      </c>
      <c r="N1678" s="4" t="str">
        <f>IFERROR(__XLUDF.DUMMYFUNCTION("VLOOKUP(M255,IMPORTRANGE(""https://docs.google.com/spreadsheets/d/1opm6ZNvGZ7KditA9TuJwrZ25eFLfTNIkrNnY6mhV5Eg"",""list!A1:C115""),3,TRUE)"),"le secteur de la tech")</f>
        <v xml:space="preserve">le secteur de la tech</v>
      </c>
      <c r="O1678" s="4" t="s">
        <v>11725</v>
      </c>
      <c r="P1678" s="4">
        <v>18</v>
      </c>
      <c r="Q1678" s="4" t="s">
        <v>1711</v>
      </c>
      <c r="R1678" s="4" t="s">
        <v>9350</v>
      </c>
      <c r="S1678" s="4" t="s">
        <v>29</v>
      </c>
      <c r="T1678" s="5" t="s">
        <v>11726</v>
      </c>
      <c r="U1678" s="6"/>
      <c r="V1678" s="5" t="s">
        <v>11727</v>
      </c>
      <c r="W1678" s="6"/>
      <c r="X1678" s="6"/>
      <c r="Y1678" s="4" t="s">
        <v>11728</v>
      </c>
      <c r="Z1678" s="6"/>
      <c r="AA1678" s="5" t="s">
        <v>11731</v>
      </c>
    </row>
    <row r="1679" ht="14.25">
      <c r="B1679" s="4" t="s">
        <v>11732</v>
      </c>
      <c r="C1679" s="4" t="s">
        <v>1861</v>
      </c>
      <c r="D1679" s="4" t="s">
        <v>3257</v>
      </c>
      <c r="E1679" s="4" t="s">
        <v>11733</v>
      </c>
      <c r="F1679" s="4" t="s">
        <v>341</v>
      </c>
      <c r="G1679" s="4" t="s">
        <v>11734</v>
      </c>
      <c r="H1679" s="4" t="str">
        <f>IFERROR(__XLUDF.DUMMYFUNCTION("PROPER(REGEXREPLACE(G256,""[^A-Za-z]+ "",""""))"),"Supercolor")</f>
        <v>Supercolor</v>
      </c>
      <c r="I1679" s="4" t="s">
        <v>11735</v>
      </c>
      <c r="J1679" s="4" t="s">
        <v>83</v>
      </c>
      <c r="K1679" s="4" t="s">
        <v>9460</v>
      </c>
      <c r="L1679" s="4" t="s">
        <v>29</v>
      </c>
      <c r="M1679" s="4" t="s">
        <v>11736</v>
      </c>
      <c r="N1679" s="4" t="str">
        <f>IFERROR(__XLUDF.DUMMYFUNCTION("VLOOKUP(M256,IMPORTRANGE(""https://docs.google.com/spreadsheets/d/1opm6ZNvGZ7KditA9TuJwrZ25eFLfTNIkrNnY6mhV5Eg"",""list!A1:C115""),3,TRUE)"),"le secteur de la tech")</f>
        <v xml:space="preserve">le secteur de la tech</v>
      </c>
      <c r="O1679" s="4" t="s">
        <v>11737</v>
      </c>
      <c r="P1679" s="4">
        <v>10</v>
      </c>
      <c r="Q1679" s="4" t="s">
        <v>83</v>
      </c>
      <c r="R1679" s="4" t="s">
        <v>9460</v>
      </c>
      <c r="S1679" s="4" t="s">
        <v>29</v>
      </c>
      <c r="T1679" s="5" t="s">
        <v>11738</v>
      </c>
      <c r="U1679" s="5" t="s">
        <v>11739</v>
      </c>
      <c r="V1679" s="5" t="s">
        <v>11740</v>
      </c>
      <c r="W1679" s="6"/>
      <c r="X1679" s="6"/>
      <c r="Y1679" s="4" t="s">
        <v>11741</v>
      </c>
      <c r="Z1679" s="6"/>
      <c r="AA1679" s="5" t="s">
        <v>11742</v>
      </c>
    </row>
    <row r="1680" ht="14.25">
      <c r="B1680" s="4" t="s">
        <v>11743</v>
      </c>
      <c r="C1680" s="4" t="s">
        <v>2932</v>
      </c>
      <c r="D1680" s="4" t="s">
        <v>11744</v>
      </c>
      <c r="E1680" s="4" t="s">
        <v>11745</v>
      </c>
      <c r="F1680" s="4" t="s">
        <v>7759</v>
      </c>
      <c r="G1680" s="4" t="s">
        <v>11746</v>
      </c>
      <c r="H1680" s="4" t="str">
        <f>IFERROR(__XLUDF.DUMMYFUNCTION("PROPER(REGEXREPLACE(G257,""[^A-Za-z]+ "",""""))"),"Groupe Freecom")</f>
        <v xml:space="preserve">Groupe Freecom</v>
      </c>
      <c r="I1680" s="5" t="s">
        <v>11747</v>
      </c>
      <c r="J1680" s="4" t="s">
        <v>11716</v>
      </c>
      <c r="K1680" s="4" t="s">
        <v>11022</v>
      </c>
      <c r="L1680" s="4" t="s">
        <v>29</v>
      </c>
      <c r="M1680" s="4" t="s">
        <v>9184</v>
      </c>
      <c r="N1680" s="4" t="str">
        <f>IFERROR(__XLUDF.DUMMYFUNCTION("VLOOKUP(M257,IMPORTRANGE(""https://docs.google.com/spreadsheets/d/1opm6ZNvGZ7KditA9TuJwrZ25eFLfTNIkrNnY6mhV5Eg"",""list!A1:C115""),3,TRUE)"),"le secteur des télécommunications")</f>
        <v xml:space="preserve">le secteur des télécommunications</v>
      </c>
      <c r="O1680" s="4" t="s">
        <v>11748</v>
      </c>
      <c r="P1680" s="4">
        <v>40</v>
      </c>
      <c r="Q1680" s="4" t="s">
        <v>11749</v>
      </c>
      <c r="R1680" s="4" t="s">
        <v>11022</v>
      </c>
      <c r="S1680" s="4" t="s">
        <v>29</v>
      </c>
      <c r="T1680" s="5" t="s">
        <v>11750</v>
      </c>
      <c r="U1680" s="6"/>
      <c r="V1680" s="5" t="s">
        <v>11751</v>
      </c>
      <c r="W1680" s="6"/>
      <c r="X1680" s="6"/>
      <c r="Y1680" s="4" t="s">
        <v>11752</v>
      </c>
      <c r="Z1680" s="6"/>
      <c r="AA1680" s="5" t="s">
        <v>11753</v>
      </c>
    </row>
    <row r="1681" ht="14.25">
      <c r="B1681" s="4" t="s">
        <v>11754</v>
      </c>
      <c r="C1681" s="4" t="s">
        <v>11755</v>
      </c>
      <c r="D1681" s="4" t="s">
        <v>11756</v>
      </c>
      <c r="E1681" s="4" t="s">
        <v>11757</v>
      </c>
      <c r="F1681" s="4" t="s">
        <v>2636</v>
      </c>
      <c r="G1681" s="4" t="s">
        <v>11758</v>
      </c>
      <c r="H1681" s="4" t="str">
        <f>IFERROR(__XLUDF.DUMMYFUNCTION("PROPER(REGEXREPLACE(G258,""[^A-Za-z]+ "",""""))"),"Alpha-Cim")</f>
        <v>Alpha-Cim</v>
      </c>
      <c r="I1681" s="5" t="s">
        <v>11759</v>
      </c>
      <c r="J1681" s="6"/>
      <c r="K1681" s="4" t="s">
        <v>9160</v>
      </c>
      <c r="L1681" s="4" t="s">
        <v>29</v>
      </c>
      <c r="M1681" s="4" t="s">
        <v>2602</v>
      </c>
      <c r="N1681" s="4" t="str">
        <f>IFERROR(__XLUDF.DUMMYFUNCTION("VLOOKUP(M258,IMPORTRANGE(""https://docs.google.com/spreadsheets/d/1opm6ZNvGZ7KditA9TuJwrZ25eFLfTNIkrNnY6mhV5Eg"",""list!A1:C115""),3,TRUE)"),"le secteur de la tech")</f>
        <v xml:space="preserve">le secteur de la tech</v>
      </c>
      <c r="O1681" s="4" t="s">
        <v>11760</v>
      </c>
      <c r="P1681" s="4">
        <v>40</v>
      </c>
      <c r="Q1681" s="4" t="s">
        <v>11761</v>
      </c>
      <c r="R1681" s="4" t="s">
        <v>9160</v>
      </c>
      <c r="S1681" s="4" t="s">
        <v>29</v>
      </c>
      <c r="T1681" s="5" t="s">
        <v>11762</v>
      </c>
      <c r="U1681" s="6"/>
      <c r="V1681" s="6"/>
      <c r="W1681" s="6"/>
      <c r="X1681" s="6"/>
      <c r="Y1681" s="4" t="s">
        <v>11763</v>
      </c>
      <c r="Z1681" s="6"/>
      <c r="AA1681" s="5" t="s">
        <v>11764</v>
      </c>
    </row>
    <row r="1682" ht="14.25">
      <c r="B1682" s="4" t="s">
        <v>11765</v>
      </c>
      <c r="C1682" s="4" t="s">
        <v>11766</v>
      </c>
      <c r="D1682" s="4" t="s">
        <v>11767</v>
      </c>
      <c r="E1682" s="4" t="s">
        <v>11768</v>
      </c>
      <c r="F1682" s="4" t="s">
        <v>11769</v>
      </c>
      <c r="G1682" s="4" t="s">
        <v>11770</v>
      </c>
      <c r="H1682" s="4" t="str">
        <f>IFERROR(__XLUDF.DUMMYFUNCTION("PROPER(REGEXREPLACE(G259,""[^A-Za-z]+ "",""""))"),"Nivalis Conseil")</f>
        <v xml:space="preserve">Nivalis Conseil</v>
      </c>
      <c r="I1682" s="5" t="s">
        <v>11771</v>
      </c>
      <c r="J1682" s="4" t="s">
        <v>39</v>
      </c>
      <c r="K1682" s="4" t="s">
        <v>9160</v>
      </c>
      <c r="L1682" s="4" t="s">
        <v>29</v>
      </c>
      <c r="M1682" s="4" t="s">
        <v>4067</v>
      </c>
      <c r="N1682" s="4" t="str">
        <f>IFERROR(__XLUDF.DUMMYFUNCTION("VLOOKUP(M259,IMPORTRANGE(""https://docs.google.com/spreadsheets/d/1opm6ZNvGZ7KditA9TuJwrZ25eFLfTNIkrNnY6mhV5Eg"",""list!A1:C115""),3,TRUE)"),"le secteur du conseil en management")</f>
        <v xml:space="preserve">le secteur du conseil en management</v>
      </c>
      <c r="O1682" s="4" t="s">
        <v>11772</v>
      </c>
      <c r="P1682" s="4">
        <v>18</v>
      </c>
      <c r="Q1682" s="4" t="s">
        <v>39</v>
      </c>
      <c r="R1682" s="4" t="s">
        <v>9160</v>
      </c>
      <c r="S1682" s="4" t="s">
        <v>29</v>
      </c>
      <c r="T1682" s="5" t="s">
        <v>11773</v>
      </c>
      <c r="U1682" s="6"/>
      <c r="V1682" s="5" t="s">
        <v>11774</v>
      </c>
      <c r="W1682" s="6"/>
      <c r="X1682" s="6"/>
      <c r="Y1682" s="4" t="s">
        <v>11775</v>
      </c>
      <c r="Z1682" s="6"/>
      <c r="AA1682" s="5" t="s">
        <v>11776</v>
      </c>
    </row>
    <row r="1683" ht="14.25">
      <c r="B1683" s="4" t="s">
        <v>11777</v>
      </c>
      <c r="C1683" s="4" t="s">
        <v>5716</v>
      </c>
      <c r="D1683" s="4" t="s">
        <v>11778</v>
      </c>
      <c r="E1683" s="4" t="s">
        <v>11779</v>
      </c>
      <c r="F1683" s="4" t="s">
        <v>112</v>
      </c>
      <c r="G1683" s="4" t="s">
        <v>11780</v>
      </c>
      <c r="H1683" s="4" t="str">
        <f>IFERROR(__XLUDF.DUMMYFUNCTION("PROPER(REGEXREPLACE(G260,""[^A-Za-z]+ "",""""))"),"Itelia Télécom")</f>
        <v xml:space="preserve">Itelia Télécom</v>
      </c>
      <c r="I1683" s="5" t="s">
        <v>11781</v>
      </c>
      <c r="J1683" s="4" t="s">
        <v>1745</v>
      </c>
      <c r="K1683" s="4" t="s">
        <v>10829</v>
      </c>
      <c r="L1683" s="4" t="s">
        <v>29</v>
      </c>
      <c r="M1683" s="4" t="s">
        <v>9184</v>
      </c>
      <c r="N1683" s="4" t="str">
        <f>IFERROR(__XLUDF.DUMMYFUNCTION("VLOOKUP(M260,IMPORTRANGE(""https://docs.google.com/spreadsheets/d/1opm6ZNvGZ7KditA9TuJwrZ25eFLfTNIkrNnY6mhV5Eg"",""list!A1:C115""),3,TRUE)"),"le secteur des télécommunications")</f>
        <v xml:space="preserve">le secteur des télécommunications</v>
      </c>
      <c r="O1683" s="4" t="s">
        <v>11782</v>
      </c>
      <c r="P1683" s="4">
        <v>24</v>
      </c>
      <c r="Q1683" s="6"/>
      <c r="R1683" s="6"/>
      <c r="S1683" s="4" t="s">
        <v>29</v>
      </c>
      <c r="T1683" s="5" t="s">
        <v>11783</v>
      </c>
      <c r="U1683" s="6"/>
      <c r="V1683" s="5" t="s">
        <v>11784</v>
      </c>
      <c r="W1683" s="6"/>
      <c r="X1683" s="6"/>
      <c r="Y1683" s="4" t="s">
        <v>11785</v>
      </c>
      <c r="Z1683" s="6"/>
      <c r="AA1683" s="5" t="s">
        <v>11786</v>
      </c>
    </row>
    <row r="1684" ht="14.25">
      <c r="B1684" s="4" t="s">
        <v>11787</v>
      </c>
      <c r="C1684" s="4" t="s">
        <v>1198</v>
      </c>
      <c r="D1684" s="4" t="s">
        <v>11788</v>
      </c>
      <c r="E1684" s="4" t="s">
        <v>11789</v>
      </c>
      <c r="F1684" s="4" t="s">
        <v>11790</v>
      </c>
      <c r="G1684" s="4" t="s">
        <v>11791</v>
      </c>
      <c r="H1684" s="4" t="str">
        <f>IFERROR(__XLUDF.DUMMYFUNCTION("PROPER(REGEXREPLACE(G261,""[^A-Za-z]+ "",""""))"),"Btr")</f>
        <v>Btr</v>
      </c>
      <c r="I1684" s="5" t="s">
        <v>11792</v>
      </c>
      <c r="J1684" s="4" t="s">
        <v>295</v>
      </c>
      <c r="K1684" s="4" t="s">
        <v>9251</v>
      </c>
      <c r="L1684" s="4" t="s">
        <v>29</v>
      </c>
      <c r="M1684" s="4" t="s">
        <v>9184</v>
      </c>
      <c r="N1684" s="4" t="str">
        <f>IFERROR(__XLUDF.DUMMYFUNCTION("VLOOKUP(M261,IMPORTRANGE(""https://docs.google.com/spreadsheets/d/1opm6ZNvGZ7KditA9TuJwrZ25eFLfTNIkrNnY6mhV5Eg"",""list!A1:C115""),3,TRUE)"),"le secteur des télécommunications")</f>
        <v xml:space="preserve">le secteur des télécommunications</v>
      </c>
      <c r="O1684" s="4" t="s">
        <v>11793</v>
      </c>
      <c r="P1684" s="4">
        <v>12</v>
      </c>
      <c r="Q1684" s="4" t="s">
        <v>7965</v>
      </c>
      <c r="R1684" s="4" t="s">
        <v>9251</v>
      </c>
      <c r="S1684" s="4" t="s">
        <v>29</v>
      </c>
      <c r="T1684" s="5" t="s">
        <v>11794</v>
      </c>
      <c r="U1684" s="6"/>
      <c r="V1684" s="6"/>
      <c r="W1684" s="6"/>
      <c r="X1684" s="6"/>
      <c r="Y1684" s="4" t="s">
        <v>11795</v>
      </c>
      <c r="Z1684" s="6"/>
      <c r="AA1684" s="5" t="s">
        <v>11796</v>
      </c>
    </row>
    <row r="1685" ht="14.25">
      <c r="B1685" s="4" t="s">
        <v>11797</v>
      </c>
      <c r="C1685" s="4" t="s">
        <v>1027</v>
      </c>
      <c r="D1685" s="4" t="s">
        <v>1853</v>
      </c>
      <c r="E1685" s="4" t="s">
        <v>11798</v>
      </c>
      <c r="F1685" s="4" t="s">
        <v>11799</v>
      </c>
      <c r="G1685" s="4" t="s">
        <v>11800</v>
      </c>
      <c r="H1685" s="4" t="str">
        <f>IFERROR(__XLUDF.DUMMYFUNCTION("PROPER(REGEXREPLACE(G262,""[^A-Za-z]+ "",""""))"),"Ge3D")</f>
        <v>Ge3D</v>
      </c>
      <c r="I1685" s="5" t="s">
        <v>11801</v>
      </c>
      <c r="J1685" s="4" t="s">
        <v>39</v>
      </c>
      <c r="K1685" s="4" t="s">
        <v>9160</v>
      </c>
      <c r="L1685" s="4" t="s">
        <v>29</v>
      </c>
      <c r="M1685" s="4" t="s">
        <v>9239</v>
      </c>
      <c r="N1685" s="4" t="str">
        <f>IFERROR(__XLUDF.DUMMYFUNCTION("VLOOKUP(M262,IMPORTRANGE(""https://docs.google.com/spreadsheets/d/1opm6ZNvGZ7KditA9TuJwrZ25eFLfTNIkrNnY6mhV5Eg"",""list!A1:C115""),3,TRUE)"),"le secteur de la construction")</f>
        <v xml:space="preserve">le secteur de la construction</v>
      </c>
      <c r="O1685" s="4" t="s">
        <v>11802</v>
      </c>
      <c r="P1685" s="4">
        <v>15</v>
      </c>
      <c r="Q1685" s="4" t="s">
        <v>39</v>
      </c>
      <c r="R1685" s="4" t="s">
        <v>9160</v>
      </c>
      <c r="S1685" s="4" t="s">
        <v>29</v>
      </c>
      <c r="T1685" s="5" t="s">
        <v>11803</v>
      </c>
      <c r="U1685" s="6"/>
      <c r="V1685" s="6"/>
      <c r="W1685" s="6"/>
      <c r="X1685" s="6"/>
      <c r="Y1685" s="4" t="s">
        <v>11804</v>
      </c>
      <c r="Z1685" s="6"/>
      <c r="AA1685" s="5" t="s">
        <v>11805</v>
      </c>
    </row>
    <row r="1686" ht="14.25">
      <c r="B1686" s="4" t="s">
        <v>11806</v>
      </c>
      <c r="C1686" s="4" t="s">
        <v>3797</v>
      </c>
      <c r="D1686" s="4" t="s">
        <v>11807</v>
      </c>
      <c r="E1686" s="4" t="s">
        <v>11808</v>
      </c>
      <c r="F1686" s="4" t="s">
        <v>5158</v>
      </c>
      <c r="G1686" s="4" t="s">
        <v>11809</v>
      </c>
      <c r="H1686" s="4" t="str">
        <f>IFERROR(__XLUDF.DUMMYFUNCTION("PROPER(REGEXREPLACE(G263,""[^A-Za-z]+ "",""""))"),"Stellagroup")</f>
        <v>Stellagroup</v>
      </c>
      <c r="I1686" s="4" t="s">
        <v>11810</v>
      </c>
      <c r="J1686" s="4" t="s">
        <v>11811</v>
      </c>
      <c r="K1686" s="4" t="s">
        <v>9193</v>
      </c>
      <c r="L1686" s="4" t="s">
        <v>29</v>
      </c>
      <c r="M1686" s="4" t="s">
        <v>9239</v>
      </c>
      <c r="N1686" s="4" t="str">
        <f>IFERROR(__XLUDF.DUMMYFUNCTION("VLOOKUP(M263,IMPORTRANGE(""https://docs.google.com/spreadsheets/d/1opm6ZNvGZ7KditA9TuJwrZ25eFLfTNIkrNnY6mhV5Eg"",""list!A1:C115""),3,TRUE)"),"le secteur de la construction")</f>
        <v xml:space="preserve">le secteur de la construction</v>
      </c>
      <c r="O1686" s="4" t="s">
        <v>11812</v>
      </c>
      <c r="P1686" s="4">
        <v>37</v>
      </c>
      <c r="Q1686" s="4" t="s">
        <v>423</v>
      </c>
      <c r="R1686" s="4" t="s">
        <v>9172</v>
      </c>
      <c r="S1686" s="4" t="s">
        <v>29</v>
      </c>
      <c r="T1686" s="5" t="s">
        <v>11813</v>
      </c>
      <c r="U1686" s="6"/>
      <c r="V1686" s="6"/>
      <c r="W1686" s="6"/>
      <c r="X1686" s="6"/>
      <c r="Y1686" s="4" t="s">
        <v>11814</v>
      </c>
      <c r="Z1686" s="6"/>
      <c r="AA1686" s="5" t="s">
        <v>11815</v>
      </c>
    </row>
    <row r="1687" ht="14.25">
      <c r="B1687" s="4" t="s">
        <v>11816</v>
      </c>
      <c r="C1687" s="4" t="s">
        <v>955</v>
      </c>
      <c r="D1687" s="4" t="s">
        <v>11817</v>
      </c>
      <c r="E1687" s="4" t="s">
        <v>11818</v>
      </c>
      <c r="F1687" s="4" t="s">
        <v>7759</v>
      </c>
      <c r="G1687" s="4" t="s">
        <v>11819</v>
      </c>
      <c r="H1687" s="4" t="str">
        <f>IFERROR(__XLUDF.DUMMYFUNCTION("PROPER(REGEXREPLACE(G264,""[^A-Za-z]+ "",""""))"),"Isitecc")</f>
        <v>Isitecc</v>
      </c>
      <c r="I1687" s="6"/>
      <c r="J1687" s="4" t="s">
        <v>11820</v>
      </c>
      <c r="K1687" s="4" t="s">
        <v>9193</v>
      </c>
      <c r="L1687" s="4" t="s">
        <v>29</v>
      </c>
      <c r="M1687" s="4" t="s">
        <v>2602</v>
      </c>
      <c r="N1687" s="4" t="str">
        <f>IFERROR(__XLUDF.DUMMYFUNCTION("VLOOKUP(M264,IMPORTRANGE(""https://docs.google.com/spreadsheets/d/1opm6ZNvGZ7KditA9TuJwrZ25eFLfTNIkrNnY6mhV5Eg"",""list!A1:C115""),3,TRUE)"),"le secteur de la tech")</f>
        <v xml:space="preserve">le secteur de la tech</v>
      </c>
      <c r="O1687" s="4" t="s">
        <v>11821</v>
      </c>
      <c r="P1687" s="4">
        <v>14</v>
      </c>
      <c r="Q1687" s="4" t="s">
        <v>11820</v>
      </c>
      <c r="R1687" s="4" t="s">
        <v>9193</v>
      </c>
      <c r="S1687" s="4" t="s">
        <v>29</v>
      </c>
      <c r="T1687" s="5" t="s">
        <v>11822</v>
      </c>
      <c r="U1687" s="6"/>
      <c r="V1687" s="6"/>
      <c r="W1687" s="6"/>
      <c r="X1687" s="6"/>
      <c r="Y1687" s="4" t="s">
        <v>11823</v>
      </c>
      <c r="Z1687" s="6"/>
      <c r="AA1687" s="5" t="s">
        <v>11824</v>
      </c>
    </row>
    <row r="1688" ht="14.25">
      <c r="B1688" s="4" t="s">
        <v>11825</v>
      </c>
      <c r="C1688" s="4" t="s">
        <v>5716</v>
      </c>
      <c r="D1688" s="4" t="s">
        <v>11826</v>
      </c>
      <c r="E1688" s="4" t="s">
        <v>11827</v>
      </c>
      <c r="F1688" s="4" t="s">
        <v>10202</v>
      </c>
      <c r="G1688" s="4" t="s">
        <v>11828</v>
      </c>
      <c r="H1688" s="4" t="str">
        <f>IFERROR(__XLUDF.DUMMYFUNCTION("PROPER(REGEXREPLACE(G265,""[^A-Za-z]+ "",""""))"),"We Are Hanabi")</f>
        <v xml:space="preserve">We Are Hanabi</v>
      </c>
      <c r="I1688" s="5" t="s">
        <v>11829</v>
      </c>
      <c r="J1688" s="4" t="s">
        <v>39</v>
      </c>
      <c r="K1688" s="4" t="s">
        <v>9160</v>
      </c>
      <c r="L1688" s="4" t="s">
        <v>29</v>
      </c>
      <c r="M1688" s="4" t="s">
        <v>2602</v>
      </c>
      <c r="N1688" s="4" t="str">
        <f>IFERROR(__XLUDF.DUMMYFUNCTION("VLOOKUP(M265,IMPORTRANGE(""https://docs.google.com/spreadsheets/d/1opm6ZNvGZ7KditA9TuJwrZ25eFLfTNIkrNnY6mhV5Eg"",""list!A1:C115""),3,TRUE)"),"le secteur de la tech")</f>
        <v xml:space="preserve">le secteur de la tech</v>
      </c>
      <c r="O1688" s="4" t="s">
        <v>11830</v>
      </c>
      <c r="P1688" s="4">
        <v>10</v>
      </c>
      <c r="Q1688" s="4" t="s">
        <v>39</v>
      </c>
      <c r="R1688" s="4" t="s">
        <v>9160</v>
      </c>
      <c r="S1688" s="4" t="s">
        <v>29</v>
      </c>
      <c r="T1688" s="5" t="s">
        <v>11831</v>
      </c>
      <c r="U1688" s="6"/>
      <c r="V1688" s="6"/>
      <c r="W1688" s="6"/>
      <c r="X1688" s="6"/>
      <c r="Y1688" s="4" t="s">
        <v>11832</v>
      </c>
      <c r="Z1688" s="6"/>
      <c r="AA1688" s="5" t="s">
        <v>11833</v>
      </c>
    </row>
    <row r="1689" ht="14.25">
      <c r="B1689" s="4" t="s">
        <v>11834</v>
      </c>
      <c r="C1689" s="4" t="s">
        <v>5716</v>
      </c>
      <c r="D1689" s="4" t="s">
        <v>11835</v>
      </c>
      <c r="E1689" s="4" t="s">
        <v>11836</v>
      </c>
      <c r="F1689" s="4" t="s">
        <v>112</v>
      </c>
      <c r="G1689" s="4" t="s">
        <v>11837</v>
      </c>
      <c r="H1689" s="4" t="str">
        <f>IFERROR(__XLUDF.DUMMYFUNCTION("PROPER(REGEXREPLACE(G266,""[^A-Za-z]+ "",""""))"),"Phoenix Fleet Expert")</f>
        <v xml:space="preserve">Phoenix Fleet Expert</v>
      </c>
      <c r="I1689" s="5" t="s">
        <v>11838</v>
      </c>
      <c r="J1689" s="4" t="s">
        <v>39</v>
      </c>
      <c r="K1689" s="4" t="s">
        <v>9160</v>
      </c>
      <c r="L1689" s="4" t="s">
        <v>29</v>
      </c>
      <c r="M1689" s="4" t="s">
        <v>2602</v>
      </c>
      <c r="N1689" s="4" t="str">
        <f>IFERROR(__XLUDF.DUMMYFUNCTION("VLOOKUP(M266,IMPORTRANGE(""https://docs.google.com/spreadsheets/d/1opm6ZNvGZ7KditA9TuJwrZ25eFLfTNIkrNnY6mhV5Eg"",""list!A1:C115""),3,TRUE)"),"le secteur de la tech")</f>
        <v xml:space="preserve">le secteur de la tech</v>
      </c>
      <c r="O1689" s="4" t="s">
        <v>11839</v>
      </c>
      <c r="P1689" s="4">
        <v>22</v>
      </c>
      <c r="Q1689" s="4" t="s">
        <v>11840</v>
      </c>
      <c r="R1689" s="4" t="s">
        <v>9160</v>
      </c>
      <c r="S1689" s="4" t="s">
        <v>29</v>
      </c>
      <c r="T1689" s="5" t="s">
        <v>11841</v>
      </c>
      <c r="U1689" s="6"/>
      <c r="V1689" s="6"/>
      <c r="W1689" s="6"/>
      <c r="X1689" s="6"/>
      <c r="Y1689" s="4" t="s">
        <v>11842</v>
      </c>
      <c r="Z1689" s="6"/>
      <c r="AA1689" s="5" t="s">
        <v>11843</v>
      </c>
    </row>
    <row r="1690" ht="14.25">
      <c r="B1690" s="4" t="s">
        <v>11844</v>
      </c>
      <c r="C1690" s="4" t="s">
        <v>5716</v>
      </c>
      <c r="D1690" s="4" t="s">
        <v>11845</v>
      </c>
      <c r="E1690" s="4" t="s">
        <v>11846</v>
      </c>
      <c r="F1690" s="4" t="s">
        <v>7759</v>
      </c>
      <c r="G1690" s="4" t="s">
        <v>11847</v>
      </c>
      <c r="H1690" s="4" t="str">
        <f>IFERROR(__XLUDF.DUMMYFUNCTION("PROPER(REGEXREPLACE(G267,""[^A-Za-z]+ "",""""))"),"Qonex")</f>
        <v>Qonex</v>
      </c>
      <c r="I1690" s="5" t="s">
        <v>11848</v>
      </c>
      <c r="J1690" s="4" t="s">
        <v>1711</v>
      </c>
      <c r="K1690" s="4" t="s">
        <v>9350</v>
      </c>
      <c r="L1690" s="4" t="s">
        <v>29</v>
      </c>
      <c r="M1690" s="4" t="s">
        <v>2602</v>
      </c>
      <c r="N1690" s="4" t="str">
        <f>IFERROR(__XLUDF.DUMMYFUNCTION("VLOOKUP(M267,IMPORTRANGE(""https://docs.google.com/spreadsheets/d/1opm6ZNvGZ7KditA9TuJwrZ25eFLfTNIkrNnY6mhV5Eg"",""list!A1:C115""),3,TRUE)"),"le secteur de la tech")</f>
        <v xml:space="preserve">le secteur de la tech</v>
      </c>
      <c r="O1690" s="4" t="s">
        <v>11849</v>
      </c>
      <c r="P1690" s="4">
        <v>32</v>
      </c>
      <c r="Q1690" s="4" t="s">
        <v>1711</v>
      </c>
      <c r="R1690" s="4" t="s">
        <v>9350</v>
      </c>
      <c r="S1690" s="4" t="s">
        <v>29</v>
      </c>
      <c r="T1690" s="5" t="s">
        <v>11850</v>
      </c>
      <c r="U1690" s="6"/>
      <c r="V1690" s="6"/>
      <c r="W1690" s="6"/>
      <c r="X1690" s="6"/>
      <c r="Y1690" s="4" t="s">
        <v>11851</v>
      </c>
      <c r="Z1690" s="6"/>
      <c r="AA1690" s="5" t="s">
        <v>11852</v>
      </c>
    </row>
    <row r="1691" ht="14.25">
      <c r="B1691" s="4" t="s">
        <v>11853</v>
      </c>
      <c r="C1691" s="4" t="s">
        <v>5716</v>
      </c>
      <c r="D1691" s="4" t="s">
        <v>11854</v>
      </c>
      <c r="E1691" s="4" t="s">
        <v>11855</v>
      </c>
      <c r="F1691" s="4" t="s">
        <v>7759</v>
      </c>
      <c r="G1691" s="4" t="s">
        <v>11856</v>
      </c>
      <c r="H1691" s="4" t="str">
        <f>IFERROR(__XLUDF.DUMMYFUNCTION("PROPER(REGEXREPLACE(G268,""[^A-Za-z]+ "",""""))"),"Visionsi")</f>
        <v>Visionsi</v>
      </c>
      <c r="I1691" s="5" t="s">
        <v>11857</v>
      </c>
      <c r="J1691" s="4" t="s">
        <v>149</v>
      </c>
      <c r="K1691" s="4" t="s">
        <v>9473</v>
      </c>
      <c r="L1691" s="4" t="s">
        <v>29</v>
      </c>
      <c r="M1691" s="4" t="s">
        <v>2602</v>
      </c>
      <c r="N1691" s="4" t="str">
        <f>IFERROR(__XLUDF.DUMMYFUNCTION("VLOOKUP(M268,IMPORTRANGE(""https://docs.google.com/spreadsheets/d/1opm6ZNvGZ7KditA9TuJwrZ25eFLfTNIkrNnY6mhV5Eg"",""list!A1:C115""),3,TRUE)"),"le secteur de la tech")</f>
        <v xml:space="preserve">le secteur de la tech</v>
      </c>
      <c r="O1691" s="6"/>
      <c r="P1691" s="4">
        <v>11</v>
      </c>
      <c r="Q1691" s="4" t="s">
        <v>149</v>
      </c>
      <c r="R1691" s="4" t="s">
        <v>11858</v>
      </c>
      <c r="S1691" s="4" t="s">
        <v>29</v>
      </c>
      <c r="T1691" s="5" t="s">
        <v>11859</v>
      </c>
      <c r="U1691" s="6"/>
      <c r="V1691" s="6"/>
      <c r="W1691" s="6"/>
      <c r="X1691" s="6"/>
      <c r="Y1691" s="4" t="s">
        <v>11860</v>
      </c>
      <c r="Z1691" s="6"/>
      <c r="AA1691" s="5" t="s">
        <v>11861</v>
      </c>
    </row>
    <row r="1692" ht="14.25">
      <c r="B1692" s="4" t="s">
        <v>11862</v>
      </c>
      <c r="C1692" s="4" t="s">
        <v>6788</v>
      </c>
      <c r="D1692" s="4" t="s">
        <v>11863</v>
      </c>
      <c r="E1692" s="4" t="s">
        <v>11864</v>
      </c>
      <c r="F1692" s="4" t="s">
        <v>11865</v>
      </c>
      <c r="G1692" s="4" t="s">
        <v>11866</v>
      </c>
      <c r="H1692" s="4" t="str">
        <f>IFERROR(__XLUDF.DUMMYFUNCTION("PROPER(REGEXREPLACE(G269,""[^A-Za-z]+ "",""""))"),"Ecom Cs")</f>
        <v xml:space="preserve">Ecom Cs</v>
      </c>
      <c r="I1692" s="5" t="s">
        <v>11867</v>
      </c>
      <c r="J1692" s="6"/>
      <c r="K1692" s="6"/>
      <c r="L1692" s="4" t="s">
        <v>29</v>
      </c>
      <c r="M1692" s="4" t="s">
        <v>2602</v>
      </c>
      <c r="N1692" s="4" t="str">
        <f>IFERROR(__XLUDF.DUMMYFUNCTION("VLOOKUP(M269,IMPORTRANGE(""https://docs.google.com/spreadsheets/d/1opm6ZNvGZ7KditA9TuJwrZ25eFLfTNIkrNnY6mhV5Eg"",""list!A1:C115""),3,TRUE)"),"le secteur de la tech")</f>
        <v xml:space="preserve">le secteur de la tech</v>
      </c>
      <c r="O1692" s="4" t="s">
        <v>11868</v>
      </c>
      <c r="P1692" s="4">
        <v>39</v>
      </c>
      <c r="Q1692" s="4" t="s">
        <v>39</v>
      </c>
      <c r="R1692" s="4" t="s">
        <v>9160</v>
      </c>
      <c r="S1692" s="4" t="s">
        <v>29</v>
      </c>
      <c r="T1692" s="5" t="s">
        <v>11869</v>
      </c>
      <c r="U1692" s="6"/>
      <c r="V1692" s="6"/>
      <c r="W1692" s="6"/>
      <c r="X1692" s="6"/>
      <c r="Y1692" s="4" t="s">
        <v>11870</v>
      </c>
      <c r="Z1692" s="6"/>
      <c r="AA1692" s="5" t="s">
        <v>11871</v>
      </c>
    </row>
    <row r="1693" ht="14.25">
      <c r="B1693" s="4" t="s">
        <v>11872</v>
      </c>
      <c r="C1693" s="4" t="s">
        <v>11873</v>
      </c>
      <c r="D1693" s="4" t="s">
        <v>11874</v>
      </c>
      <c r="E1693" s="4" t="s">
        <v>11875</v>
      </c>
      <c r="F1693" s="4" t="s">
        <v>460</v>
      </c>
      <c r="G1693" s="4" t="s">
        <v>11876</v>
      </c>
      <c r="H1693" s="4" t="str">
        <f>IFERROR(__XLUDF.DUMMYFUNCTION("PROPER(REGEXREPLACE(G270,""[^A-Za-z]+ "",""""))"),"Valocîme")</f>
        <v>Valocîme</v>
      </c>
      <c r="I1693" s="5" t="s">
        <v>11877</v>
      </c>
      <c r="J1693" s="4" t="s">
        <v>39</v>
      </c>
      <c r="K1693" s="4" t="s">
        <v>9160</v>
      </c>
      <c r="L1693" s="4" t="s">
        <v>29</v>
      </c>
      <c r="M1693" s="4" t="s">
        <v>9184</v>
      </c>
      <c r="N1693" s="4" t="str">
        <f>IFERROR(__XLUDF.DUMMYFUNCTION("VLOOKUP(M270,IMPORTRANGE(""https://docs.google.com/spreadsheets/d/1opm6ZNvGZ7KditA9TuJwrZ25eFLfTNIkrNnY6mhV5Eg"",""list!A1:C115""),3,TRUE)"),"le secteur des télécommunications")</f>
        <v xml:space="preserve">le secteur des télécommunications</v>
      </c>
      <c r="O1693" s="6"/>
      <c r="P1693" s="4">
        <v>45</v>
      </c>
      <c r="Q1693" s="4" t="s">
        <v>11878</v>
      </c>
      <c r="R1693" s="4" t="s">
        <v>9160</v>
      </c>
      <c r="S1693" s="4" t="s">
        <v>29</v>
      </c>
      <c r="T1693" s="5" t="s">
        <v>11879</v>
      </c>
      <c r="U1693" s="6"/>
      <c r="V1693" s="6"/>
      <c r="W1693" s="6"/>
      <c r="X1693" s="6"/>
      <c r="Y1693" s="4" t="s">
        <v>11880</v>
      </c>
      <c r="Z1693" s="6"/>
      <c r="AA1693" s="5" t="s">
        <v>11881</v>
      </c>
    </row>
    <row r="1694" ht="14.25">
      <c r="B1694" s="4" t="s">
        <v>11882</v>
      </c>
      <c r="C1694" s="4" t="s">
        <v>1198</v>
      </c>
      <c r="D1694" s="4" t="s">
        <v>11883</v>
      </c>
      <c r="E1694" s="4" t="s">
        <v>11884</v>
      </c>
      <c r="F1694" s="4" t="s">
        <v>487</v>
      </c>
      <c r="G1694" s="4" t="s">
        <v>11885</v>
      </c>
      <c r="H1694" s="4" t="str">
        <f>IFERROR(__XLUDF.DUMMYFUNCTION("PROPER(REGEXREPLACE(G271,""[^A-Za-z]+ "",""""))"),"Sprid Peinture")</f>
        <v xml:space="preserve">Sprid Peinture</v>
      </c>
      <c r="I1694" s="5" t="s">
        <v>11886</v>
      </c>
      <c r="J1694" s="4" t="s">
        <v>11887</v>
      </c>
      <c r="K1694" s="4" t="s">
        <v>9281</v>
      </c>
      <c r="L1694" s="4" t="s">
        <v>29</v>
      </c>
      <c r="M1694" s="4" t="s">
        <v>9239</v>
      </c>
      <c r="N1694" s="4" t="str">
        <f>IFERROR(__XLUDF.DUMMYFUNCTION("VLOOKUP(M271,IMPORTRANGE(""https://docs.google.com/spreadsheets/d/1opm6ZNvGZ7KditA9TuJwrZ25eFLfTNIkrNnY6mhV5Eg"",""list!A1:C115""),3,TRUE)"),"le secteur de la construction")</f>
        <v xml:space="preserve">le secteur de la construction</v>
      </c>
      <c r="O1694" s="6"/>
      <c r="P1694" s="4">
        <v>15</v>
      </c>
      <c r="Q1694" s="4" t="s">
        <v>11888</v>
      </c>
      <c r="R1694" s="4" t="s">
        <v>9731</v>
      </c>
      <c r="S1694" s="4" t="s">
        <v>29</v>
      </c>
      <c r="T1694" s="5" t="s">
        <v>11889</v>
      </c>
      <c r="U1694" s="6"/>
      <c r="V1694" s="6"/>
      <c r="W1694" s="6"/>
      <c r="X1694" s="6"/>
      <c r="Y1694" s="6"/>
      <c r="Z1694" s="6"/>
      <c r="AA1694" s="5" t="s">
        <v>11890</v>
      </c>
    </row>
    <row r="1695" ht="14.25">
      <c r="B1695" s="4" t="s">
        <v>11891</v>
      </c>
      <c r="C1695" s="4" t="s">
        <v>11892</v>
      </c>
      <c r="D1695" s="4" t="s">
        <v>11893</v>
      </c>
      <c r="E1695" s="4" t="s">
        <v>11894</v>
      </c>
      <c r="F1695" s="4" t="s">
        <v>11895</v>
      </c>
      <c r="G1695" s="4" t="s">
        <v>11896</v>
      </c>
      <c r="H1695" s="4" t="str">
        <f>IFERROR(__XLUDF.DUMMYFUNCTION("PROPER(REGEXREPLACE(G272,""[^A-Za-z]+ "",""""))"),"Régate")</f>
        <v>Régate</v>
      </c>
      <c r="I1695" s="5" t="s">
        <v>11897</v>
      </c>
      <c r="J1695" s="4" t="s">
        <v>11898</v>
      </c>
      <c r="K1695" s="4" t="s">
        <v>9460</v>
      </c>
      <c r="L1695" s="4" t="s">
        <v>29</v>
      </c>
      <c r="M1695" s="4" t="s">
        <v>4067</v>
      </c>
      <c r="N1695" s="4" t="str">
        <f>IFERROR(__XLUDF.DUMMYFUNCTION("VLOOKUP(M272,IMPORTRANGE(""https://docs.google.com/spreadsheets/d/1opm6ZNvGZ7KditA9TuJwrZ25eFLfTNIkrNnY6mhV5Eg"",""list!A1:C115""),3,TRUE)"),"le secteur du conseil en management")</f>
        <v xml:space="preserve">le secteur du conseil en management</v>
      </c>
      <c r="O1695" s="4" t="s">
        <v>11899</v>
      </c>
      <c r="P1695" s="4">
        <v>26</v>
      </c>
      <c r="Q1695" s="4" t="s">
        <v>10661</v>
      </c>
      <c r="R1695" s="4" t="s">
        <v>9254</v>
      </c>
      <c r="S1695" s="4" t="s">
        <v>29</v>
      </c>
      <c r="T1695" s="5" t="s">
        <v>11900</v>
      </c>
      <c r="U1695" s="6"/>
      <c r="V1695" s="5" t="s">
        <v>11901</v>
      </c>
      <c r="W1695" s="6"/>
      <c r="X1695" s="6"/>
      <c r="Y1695" s="4" t="s">
        <v>11902</v>
      </c>
      <c r="Z1695" s="6"/>
      <c r="AA1695" s="5" t="s">
        <v>11903</v>
      </c>
    </row>
    <row r="1696" ht="14.25">
      <c r="B1696" s="4" t="s">
        <v>11904</v>
      </c>
      <c r="C1696" s="4" t="s">
        <v>11766</v>
      </c>
      <c r="D1696" s="4" t="s">
        <v>11905</v>
      </c>
      <c r="E1696" s="4" t="s">
        <v>11906</v>
      </c>
      <c r="F1696" s="4" t="s">
        <v>198</v>
      </c>
      <c r="G1696" s="4" t="s">
        <v>11907</v>
      </c>
      <c r="H1696" s="4" t="str">
        <f>IFERROR(__XLUDF.DUMMYFUNCTION("PROPER(REGEXREPLACE(G273,""[^A-Za-z]+ "",""""))"),"Pod")</f>
        <v>Pod</v>
      </c>
      <c r="I1696" s="4" t="s">
        <v>11908</v>
      </c>
      <c r="J1696" s="4" t="s">
        <v>39</v>
      </c>
      <c r="K1696" s="4" t="s">
        <v>9160</v>
      </c>
      <c r="L1696" s="4" t="s">
        <v>29</v>
      </c>
      <c r="M1696" s="4" t="s">
        <v>4067</v>
      </c>
      <c r="N1696" s="4" t="str">
        <f>IFERROR(__XLUDF.DUMMYFUNCTION("VLOOKUP(M273,IMPORTRANGE(""https://docs.google.com/spreadsheets/d/1opm6ZNvGZ7KditA9TuJwrZ25eFLfTNIkrNnY6mhV5Eg"",""list!A1:C115""),3,TRUE)"),"le secteur du conseil en management")</f>
        <v xml:space="preserve">le secteur du conseil en management</v>
      </c>
      <c r="O1696" s="4" t="s">
        <v>11909</v>
      </c>
      <c r="P1696" s="4">
        <v>21</v>
      </c>
      <c r="Q1696" s="4" t="s">
        <v>39</v>
      </c>
      <c r="R1696" s="4" t="s">
        <v>9160</v>
      </c>
      <c r="S1696" s="4" t="s">
        <v>29</v>
      </c>
      <c r="T1696" s="5" t="s">
        <v>11910</v>
      </c>
      <c r="U1696" s="6"/>
      <c r="V1696" s="6"/>
      <c r="W1696" s="6"/>
      <c r="X1696" s="6"/>
      <c r="Y1696" s="4" t="s">
        <v>11911</v>
      </c>
      <c r="Z1696" s="6"/>
      <c r="AA1696" s="5" t="s">
        <v>11912</v>
      </c>
    </row>
    <row r="1697" ht="14.25">
      <c r="B1697" s="4" t="s">
        <v>11913</v>
      </c>
      <c r="C1697" s="4" t="s">
        <v>1198</v>
      </c>
      <c r="D1697" s="4" t="s">
        <v>2932</v>
      </c>
      <c r="E1697" s="4" t="s">
        <v>11914</v>
      </c>
      <c r="F1697" s="4" t="s">
        <v>11915</v>
      </c>
      <c r="G1697" s="4" t="s">
        <v>11916</v>
      </c>
      <c r="H1697" s="4" t="str">
        <f>IFERROR(__XLUDF.DUMMYFUNCTION("PROPER(REGEXREPLACE(G274,""[^A-Za-z]+ "",""""))"),"Concorde Associes")</f>
        <v xml:space="preserve">Concorde Associes</v>
      </c>
      <c r="I1697" s="5" t="s">
        <v>11917</v>
      </c>
      <c r="J1697" s="4" t="s">
        <v>39</v>
      </c>
      <c r="K1697" s="4" t="s">
        <v>9160</v>
      </c>
      <c r="L1697" s="4" t="s">
        <v>29</v>
      </c>
      <c r="M1697" s="4" t="s">
        <v>4067</v>
      </c>
      <c r="N1697" s="4" t="str">
        <f>IFERROR(__XLUDF.DUMMYFUNCTION("VLOOKUP(M274,IMPORTRANGE(""https://docs.google.com/spreadsheets/d/1opm6ZNvGZ7KditA9TuJwrZ25eFLfTNIkrNnY6mhV5Eg"",""list!A1:C115""),3,TRUE)"),"le secteur du conseil en management")</f>
        <v xml:space="preserve">le secteur du conseil en management</v>
      </c>
      <c r="O1697" s="6"/>
      <c r="P1697" s="4">
        <v>9</v>
      </c>
      <c r="Q1697" s="4" t="s">
        <v>39</v>
      </c>
      <c r="R1697" s="4" t="s">
        <v>9160</v>
      </c>
      <c r="S1697" s="4" t="s">
        <v>29</v>
      </c>
      <c r="T1697" s="5" t="s">
        <v>11918</v>
      </c>
      <c r="U1697" s="6"/>
      <c r="V1697" s="6"/>
      <c r="W1697" s="6"/>
      <c r="X1697" s="6"/>
      <c r="Y1697" s="4" t="s">
        <v>11919</v>
      </c>
      <c r="Z1697" s="6"/>
      <c r="AA1697" s="5" t="s">
        <v>11920</v>
      </c>
    </row>
    <row r="1698" ht="14.25">
      <c r="B1698" s="4" t="s">
        <v>11921</v>
      </c>
      <c r="C1698" s="4" t="s">
        <v>2932</v>
      </c>
      <c r="D1698" s="4" t="s">
        <v>11922</v>
      </c>
      <c r="E1698" s="4" t="s">
        <v>11923</v>
      </c>
      <c r="F1698" s="4" t="s">
        <v>172</v>
      </c>
      <c r="G1698" s="4" t="s">
        <v>11924</v>
      </c>
      <c r="H1698" s="4" t="str">
        <f>IFERROR(__XLUDF.DUMMYFUNCTION("PROPER(REGEXREPLACE(G275,""[^A-Za-z]+ "",""""))"),"Digitaliance")</f>
        <v>Digitaliance</v>
      </c>
      <c r="I1698" s="5" t="s">
        <v>11925</v>
      </c>
      <c r="J1698" s="4" t="s">
        <v>562</v>
      </c>
      <c r="K1698" s="4" t="s">
        <v>9215</v>
      </c>
      <c r="L1698" s="4" t="s">
        <v>29</v>
      </c>
      <c r="M1698" s="4" t="s">
        <v>2602</v>
      </c>
      <c r="N1698" s="4" t="str">
        <f>IFERROR(__XLUDF.DUMMYFUNCTION("VLOOKUP(M275,IMPORTRANGE(""https://docs.google.com/spreadsheets/d/1opm6ZNvGZ7KditA9TuJwrZ25eFLfTNIkrNnY6mhV5Eg"",""list!A1:C115""),3,TRUE)"),"le secteur de la tech")</f>
        <v xml:space="preserve">le secteur de la tech</v>
      </c>
      <c r="O1698" s="4" t="s">
        <v>11926</v>
      </c>
      <c r="P1698" s="4">
        <v>29</v>
      </c>
      <c r="Q1698" s="4" t="s">
        <v>11927</v>
      </c>
      <c r="R1698" s="4" t="s">
        <v>9215</v>
      </c>
      <c r="S1698" s="4" t="s">
        <v>29</v>
      </c>
      <c r="T1698" s="5" t="s">
        <v>11928</v>
      </c>
      <c r="U1698" s="6"/>
      <c r="V1698" s="6"/>
      <c r="W1698" s="6"/>
      <c r="X1698" s="6"/>
      <c r="Y1698" s="4" t="s">
        <v>11929</v>
      </c>
      <c r="Z1698" s="6"/>
      <c r="AA1698" s="5" t="s">
        <v>11930</v>
      </c>
    </row>
    <row r="1699" ht="14.25">
      <c r="B1699" s="4" t="s">
        <v>11931</v>
      </c>
      <c r="C1699" s="4" t="s">
        <v>679</v>
      </c>
      <c r="D1699" s="4" t="s">
        <v>11932</v>
      </c>
      <c r="E1699" s="4" t="s">
        <v>11933</v>
      </c>
      <c r="F1699" s="4" t="s">
        <v>112</v>
      </c>
      <c r="G1699" s="4" t="s">
        <v>11934</v>
      </c>
      <c r="H1699" s="4" t="str">
        <f>IFERROR(__XLUDF.DUMMYFUNCTION("PROPER(REGEXREPLACE(G276,""[^A-Za-z]+ "",""""))"),"Neotess")</f>
        <v>Neotess</v>
      </c>
      <c r="I1699" s="5" t="s">
        <v>11935</v>
      </c>
      <c r="J1699" s="4" t="s">
        <v>831</v>
      </c>
      <c r="K1699" s="4" t="s">
        <v>9193</v>
      </c>
      <c r="L1699" s="4" t="s">
        <v>29</v>
      </c>
      <c r="M1699" s="4" t="s">
        <v>2602</v>
      </c>
      <c r="N1699" s="4" t="str">
        <f>IFERROR(__XLUDF.DUMMYFUNCTION("VLOOKUP(M276,IMPORTRANGE(""https://docs.google.com/spreadsheets/d/1opm6ZNvGZ7KditA9TuJwrZ25eFLfTNIkrNnY6mhV5Eg"",""list!A1:C115""),3,TRUE)"),"le secteur de la tech")</f>
        <v xml:space="preserve">le secteur de la tech</v>
      </c>
      <c r="O1699" s="4" t="s">
        <v>11936</v>
      </c>
      <c r="P1699" s="4">
        <v>14</v>
      </c>
      <c r="Q1699" s="4" t="s">
        <v>831</v>
      </c>
      <c r="R1699" s="4" t="s">
        <v>9193</v>
      </c>
      <c r="S1699" s="4" t="s">
        <v>29</v>
      </c>
      <c r="T1699" s="5" t="s">
        <v>11937</v>
      </c>
      <c r="U1699" s="5" t="s">
        <v>11938</v>
      </c>
      <c r="V1699" s="5" t="s">
        <v>11939</v>
      </c>
      <c r="W1699" s="6"/>
      <c r="X1699" s="6"/>
      <c r="Y1699" s="4" t="s">
        <v>11940</v>
      </c>
      <c r="Z1699" s="6"/>
      <c r="AA1699" s="5" t="s">
        <v>11941</v>
      </c>
    </row>
    <row r="1700" ht="14.25">
      <c r="B1700" s="4" t="s">
        <v>11942</v>
      </c>
      <c r="C1700" s="4" t="s">
        <v>679</v>
      </c>
      <c r="D1700" s="4" t="s">
        <v>11943</v>
      </c>
      <c r="E1700" s="4" t="s">
        <v>11944</v>
      </c>
      <c r="F1700" s="4" t="s">
        <v>112</v>
      </c>
      <c r="G1700" s="4" t="s">
        <v>11945</v>
      </c>
      <c r="H1700" s="4" t="str">
        <f>IFERROR(__XLUDF.DUMMYFUNCTION("PROPER(REGEXREPLACE(G277,""[^A-Za-z]+ "",""""))"),"Telesure")</f>
        <v>Telesure</v>
      </c>
      <c r="I1700" s="6"/>
      <c r="J1700" s="4" t="s">
        <v>11946</v>
      </c>
      <c r="K1700" s="4" t="s">
        <v>9251</v>
      </c>
      <c r="L1700" s="4" t="s">
        <v>29</v>
      </c>
      <c r="M1700" s="4" t="s">
        <v>9184</v>
      </c>
      <c r="N1700" s="4" t="str">
        <f>IFERROR(__XLUDF.DUMMYFUNCTION("VLOOKUP(M277,IMPORTRANGE(""https://docs.google.com/spreadsheets/d/1opm6ZNvGZ7KditA9TuJwrZ25eFLfTNIkrNnY6mhV5Eg"",""list!A1:C115""),3,TRUE)"),"le secteur des télécommunications")</f>
        <v xml:space="preserve">le secteur des télécommunications</v>
      </c>
      <c r="O1700" s="6"/>
      <c r="P1700" s="4">
        <v>15</v>
      </c>
      <c r="Q1700" s="4" t="s">
        <v>11946</v>
      </c>
      <c r="R1700" s="4" t="s">
        <v>9251</v>
      </c>
      <c r="S1700" s="4" t="s">
        <v>29</v>
      </c>
      <c r="T1700" s="5" t="s">
        <v>11947</v>
      </c>
      <c r="U1700" s="6"/>
      <c r="V1700" s="6"/>
      <c r="W1700" s="6"/>
      <c r="X1700" s="6"/>
      <c r="Y1700" s="4" t="s">
        <v>11945</v>
      </c>
      <c r="Z1700" s="6"/>
      <c r="AA1700" s="5" t="s">
        <v>11948</v>
      </c>
    </row>
    <row r="1701" ht="14.25">
      <c r="B1701" s="4" t="s">
        <v>11949</v>
      </c>
      <c r="C1701" s="4" t="s">
        <v>2372</v>
      </c>
      <c r="D1701" s="4" t="s">
        <v>11950</v>
      </c>
      <c r="E1701" s="4" t="s">
        <v>11951</v>
      </c>
      <c r="F1701" s="4" t="s">
        <v>10432</v>
      </c>
      <c r="G1701" s="4" t="s">
        <v>11952</v>
      </c>
      <c r="H1701" s="4" t="str">
        <f>IFERROR(__XLUDF.DUMMYFUNCTION("PROPER(REGEXREPLACE(G278,""[^A-Za-z]+ "",""""))"),"Icd International")</f>
        <v xml:space="preserve">Icd International</v>
      </c>
      <c r="I1701" s="5" t="s">
        <v>11953</v>
      </c>
      <c r="J1701" s="4" t="s">
        <v>39</v>
      </c>
      <c r="K1701" s="4" t="s">
        <v>9160</v>
      </c>
      <c r="L1701" s="4" t="s">
        <v>29</v>
      </c>
      <c r="M1701" s="4" t="s">
        <v>2602</v>
      </c>
      <c r="N1701" s="4" t="str">
        <f>IFERROR(__XLUDF.DUMMYFUNCTION("VLOOKUP(M278,IMPORTRANGE(""https://docs.google.com/spreadsheets/d/1opm6ZNvGZ7KditA9TuJwrZ25eFLfTNIkrNnY6mhV5Eg"",""list!A1:C115""),3,TRUE)"),"le secteur de la tech")</f>
        <v xml:space="preserve">le secteur de la tech</v>
      </c>
      <c r="O1701" s="4" t="s">
        <v>11954</v>
      </c>
      <c r="P1701" s="4">
        <v>40</v>
      </c>
      <c r="Q1701" s="4" t="s">
        <v>10139</v>
      </c>
      <c r="R1701" s="4" t="s">
        <v>9160</v>
      </c>
      <c r="S1701" s="4" t="s">
        <v>29</v>
      </c>
      <c r="T1701" s="5" t="s">
        <v>11955</v>
      </c>
      <c r="U1701" s="6"/>
      <c r="V1701" s="6"/>
      <c r="W1701" s="6"/>
      <c r="X1701" s="6"/>
      <c r="Y1701" s="4" t="s">
        <v>11956</v>
      </c>
      <c r="Z1701" s="6"/>
      <c r="AA1701" s="5" t="s">
        <v>11957</v>
      </c>
    </row>
    <row r="1702" ht="14.25">
      <c r="B1702" s="4" t="s">
        <v>11958</v>
      </c>
      <c r="C1702" s="4" t="s">
        <v>2372</v>
      </c>
      <c r="D1702" s="4" t="s">
        <v>11959</v>
      </c>
      <c r="E1702" s="4" t="s">
        <v>11960</v>
      </c>
      <c r="F1702" s="4" t="s">
        <v>2636</v>
      </c>
      <c r="G1702" s="4" t="s">
        <v>11961</v>
      </c>
      <c r="H1702" s="4" t="str">
        <f>IFERROR(__XLUDF.DUMMYFUNCTION("PROPER(REGEXREPLACE(G279,""[^A-Za-z]+ "",""""))"),"Enence")</f>
        <v>Enence</v>
      </c>
      <c r="I1702" s="5" t="s">
        <v>11962</v>
      </c>
      <c r="J1702" s="4" t="s">
        <v>295</v>
      </c>
      <c r="K1702" s="4" t="s">
        <v>9251</v>
      </c>
      <c r="L1702" s="4" t="s">
        <v>29</v>
      </c>
      <c r="M1702" s="4" t="s">
        <v>4067</v>
      </c>
      <c r="N1702" s="4" t="str">
        <f>IFERROR(__XLUDF.DUMMYFUNCTION("VLOOKUP(M279,IMPORTRANGE(""https://docs.google.com/spreadsheets/d/1opm6ZNvGZ7KditA9TuJwrZ25eFLfTNIkrNnY6mhV5Eg"",""list!A1:C115""),3,TRUE)"),"le secteur du conseil en management")</f>
        <v xml:space="preserve">le secteur du conseil en management</v>
      </c>
      <c r="O1702" s="4" t="s">
        <v>11963</v>
      </c>
      <c r="P1702" s="4">
        <v>34</v>
      </c>
      <c r="Q1702" s="4" t="s">
        <v>11033</v>
      </c>
      <c r="R1702" s="4" t="s">
        <v>9251</v>
      </c>
      <c r="S1702" s="4" t="s">
        <v>29</v>
      </c>
      <c r="T1702" s="5" t="s">
        <v>11964</v>
      </c>
      <c r="U1702" s="5" t="s">
        <v>11965</v>
      </c>
      <c r="V1702" s="6"/>
      <c r="W1702" s="6"/>
      <c r="X1702" s="6"/>
      <c r="Y1702" s="4" t="s">
        <v>11966</v>
      </c>
      <c r="Z1702" s="6"/>
      <c r="AA1702" s="5" t="s">
        <v>11967</v>
      </c>
    </row>
    <row r="1703" ht="14.25">
      <c r="B1703" s="4" t="s">
        <v>11968</v>
      </c>
      <c r="C1703" s="4" t="s">
        <v>2372</v>
      </c>
      <c r="D1703" s="4" t="s">
        <v>11969</v>
      </c>
      <c r="E1703" s="4" t="s">
        <v>11970</v>
      </c>
      <c r="F1703" s="4" t="s">
        <v>164</v>
      </c>
      <c r="G1703" s="4" t="s">
        <v>11971</v>
      </c>
      <c r="H1703" s="4" t="str">
        <f>IFERROR(__XLUDF.DUMMYFUNCTION("PROPER(REGEXREPLACE(G280,""[^A-Za-z]+ "",""""))"),"Izhak Interact Agency")</f>
        <v xml:space="preserve">Izhak Interact Agency</v>
      </c>
      <c r="I1703" s="5" t="s">
        <v>11972</v>
      </c>
      <c r="J1703" s="4" t="s">
        <v>651</v>
      </c>
      <c r="K1703" s="4" t="s">
        <v>9215</v>
      </c>
      <c r="L1703" s="4" t="s">
        <v>29</v>
      </c>
      <c r="M1703" s="4" t="s">
        <v>9161</v>
      </c>
      <c r="N1703" s="4" t="str">
        <f>IFERROR(__XLUDF.DUMMYFUNCTION("VLOOKUP(M280,IMPORTRANGE(""https://docs.google.com/spreadsheets/d/1opm6ZNvGZ7KditA9TuJwrZ25eFLfTNIkrNnY6mhV5Eg"",""list!A1:C115""),3,TRUE)"),"le secteur du marketing")</f>
        <v xml:space="preserve">le secteur du marketing</v>
      </c>
      <c r="O1703" s="4" t="s">
        <v>11973</v>
      </c>
      <c r="P1703" s="4">
        <v>42</v>
      </c>
      <c r="Q1703" s="4" t="s">
        <v>651</v>
      </c>
      <c r="R1703" s="4" t="s">
        <v>9215</v>
      </c>
      <c r="S1703" s="4" t="s">
        <v>29</v>
      </c>
      <c r="T1703" s="5" t="s">
        <v>11974</v>
      </c>
      <c r="U1703" s="5" t="s">
        <v>11975</v>
      </c>
      <c r="V1703" s="5" t="s">
        <v>11976</v>
      </c>
      <c r="W1703" s="6"/>
      <c r="X1703" s="6"/>
      <c r="Y1703" s="4" t="s">
        <v>11977</v>
      </c>
      <c r="Z1703" s="6"/>
      <c r="AA1703" s="5" t="s">
        <v>11978</v>
      </c>
    </row>
    <row r="1704" ht="14.25">
      <c r="B1704" s="4" t="s">
        <v>11979</v>
      </c>
      <c r="C1704" s="4" t="s">
        <v>1027</v>
      </c>
      <c r="D1704" s="4" t="s">
        <v>11980</v>
      </c>
      <c r="E1704" s="4" t="s">
        <v>11981</v>
      </c>
      <c r="F1704" s="4" t="s">
        <v>341</v>
      </c>
      <c r="G1704" s="4" t="s">
        <v>11982</v>
      </c>
      <c r="H1704" s="4" t="str">
        <f>IFERROR(__XLUDF.DUMMYFUNCTION("PROPER(REGEXREPLACE(G281,""[^A-Za-z]+ "",""""))"),"Lunabee Studio")</f>
        <v xml:space="preserve">Lunabee Studio</v>
      </c>
      <c r="I1704" s="4" t="s">
        <v>11983</v>
      </c>
      <c r="J1704" s="4" t="s">
        <v>774</v>
      </c>
      <c r="K1704" s="4" t="s">
        <v>9193</v>
      </c>
      <c r="L1704" s="4" t="s">
        <v>29</v>
      </c>
      <c r="M1704" s="4" t="s">
        <v>2602</v>
      </c>
      <c r="N1704" s="4" t="str">
        <f>IFERROR(__XLUDF.DUMMYFUNCTION("VLOOKUP(M281,IMPORTRANGE(""https://docs.google.com/spreadsheets/d/1opm6ZNvGZ7KditA9TuJwrZ25eFLfTNIkrNnY6mhV5Eg"",""list!A1:C115""),3,TRUE)"),"le secteur de la tech")</f>
        <v xml:space="preserve">le secteur de la tech</v>
      </c>
      <c r="O1704" s="4" t="s">
        <v>11984</v>
      </c>
      <c r="P1704" s="4">
        <v>21</v>
      </c>
      <c r="Q1704" s="4" t="s">
        <v>774</v>
      </c>
      <c r="R1704" s="4" t="s">
        <v>9193</v>
      </c>
      <c r="S1704" s="4" t="s">
        <v>29</v>
      </c>
      <c r="T1704" s="5" t="s">
        <v>11985</v>
      </c>
      <c r="U1704" s="5" t="s">
        <v>11986</v>
      </c>
      <c r="V1704" s="5" t="s">
        <v>11987</v>
      </c>
      <c r="W1704" s="6"/>
      <c r="X1704" s="6"/>
      <c r="Y1704" s="4" t="s">
        <v>11988</v>
      </c>
      <c r="Z1704" s="6"/>
      <c r="AA1704" s="5" t="s">
        <v>11989</v>
      </c>
    </row>
    <row r="1705" ht="14.25">
      <c r="B1705" s="4" t="s">
        <v>11990</v>
      </c>
      <c r="C1705" s="4" t="s">
        <v>1027</v>
      </c>
      <c r="D1705" s="4" t="s">
        <v>11991</v>
      </c>
      <c r="E1705" s="4" t="s">
        <v>11992</v>
      </c>
      <c r="F1705" s="4" t="s">
        <v>112</v>
      </c>
      <c r="G1705" s="4" t="s">
        <v>11993</v>
      </c>
      <c r="H1705" s="4" t="str">
        <f>IFERROR(__XLUDF.DUMMYFUNCTION("PROPER(REGEXREPLACE(G282,""[^A-Za-z]+ "",""""))"),"Hozzeo Group")</f>
        <v xml:space="preserve">Hozzeo Group</v>
      </c>
      <c r="I1705" s="5" t="s">
        <v>11994</v>
      </c>
      <c r="J1705" s="4" t="s">
        <v>185</v>
      </c>
      <c r="K1705" s="4" t="s">
        <v>9193</v>
      </c>
      <c r="L1705" s="4" t="s">
        <v>29</v>
      </c>
      <c r="M1705" s="4" t="s">
        <v>2602</v>
      </c>
      <c r="N1705" s="4" t="str">
        <f>IFERROR(__XLUDF.DUMMYFUNCTION("VLOOKUP(M282,IMPORTRANGE(""https://docs.google.com/spreadsheets/d/1opm6ZNvGZ7KditA9TuJwrZ25eFLfTNIkrNnY6mhV5Eg"",""list!A1:C115""),3,TRUE)"),"le secteur de la tech")</f>
        <v xml:space="preserve">le secteur de la tech</v>
      </c>
      <c r="O1705" s="4" t="s">
        <v>11995</v>
      </c>
      <c r="P1705" s="4">
        <v>15</v>
      </c>
      <c r="Q1705" s="4" t="s">
        <v>185</v>
      </c>
      <c r="R1705" s="4" t="s">
        <v>9193</v>
      </c>
      <c r="S1705" s="4" t="s">
        <v>29</v>
      </c>
      <c r="T1705" s="5" t="s">
        <v>11996</v>
      </c>
      <c r="U1705" s="6"/>
      <c r="V1705" s="6"/>
      <c r="W1705" s="6"/>
      <c r="X1705" s="6"/>
      <c r="Y1705" s="4" t="s">
        <v>11997</v>
      </c>
      <c r="Z1705" s="6"/>
      <c r="AA1705" s="5" t="s">
        <v>11998</v>
      </c>
    </row>
    <row r="1706" ht="14.25">
      <c r="B1706" s="4" t="s">
        <v>11999</v>
      </c>
      <c r="C1706" s="4" t="s">
        <v>1027</v>
      </c>
      <c r="D1706" s="4" t="s">
        <v>12000</v>
      </c>
      <c r="E1706" s="4" t="s">
        <v>12001</v>
      </c>
      <c r="F1706" s="4" t="s">
        <v>12002</v>
      </c>
      <c r="G1706" s="4" t="s">
        <v>12003</v>
      </c>
      <c r="H1706" s="4" t="str">
        <f>IFERROR(__XLUDF.DUMMYFUNCTION("PROPER(REGEXREPLACE(G283,""[^A-Za-z]+ "",""""))"),"Astridsen")</f>
        <v>Astridsen</v>
      </c>
      <c r="I1706" s="5" t="s">
        <v>12004</v>
      </c>
      <c r="J1706" s="4" t="s">
        <v>6603</v>
      </c>
      <c r="K1706" s="4" t="s">
        <v>9160</v>
      </c>
      <c r="L1706" s="4" t="s">
        <v>29</v>
      </c>
      <c r="M1706" s="4" t="s">
        <v>4067</v>
      </c>
      <c r="N1706" s="4" t="str">
        <f>IFERROR(__XLUDF.DUMMYFUNCTION("VLOOKUP(M283,IMPORTRANGE(""https://docs.google.com/spreadsheets/d/1opm6ZNvGZ7KditA9TuJwrZ25eFLfTNIkrNnY6mhV5Eg"",""list!A1:C115""),3,TRUE)"),"le secteur du conseil en management")</f>
        <v xml:space="preserve">le secteur du conseil en management</v>
      </c>
      <c r="O1706" s="6"/>
      <c r="P1706" s="4">
        <v>12</v>
      </c>
      <c r="Q1706" s="4" t="s">
        <v>39</v>
      </c>
      <c r="R1706" s="4" t="s">
        <v>9160</v>
      </c>
      <c r="S1706" s="4" t="s">
        <v>29</v>
      </c>
      <c r="T1706" s="5" t="s">
        <v>12005</v>
      </c>
      <c r="U1706" s="6"/>
      <c r="V1706" s="6"/>
      <c r="W1706" s="6"/>
      <c r="X1706" s="6"/>
      <c r="Y1706" s="4" t="s">
        <v>12006</v>
      </c>
      <c r="Z1706" s="6"/>
      <c r="AA1706" s="5" t="s">
        <v>12007</v>
      </c>
    </row>
    <row r="1707" ht="14.25">
      <c r="B1707" s="4" t="s">
        <v>12008</v>
      </c>
      <c r="C1707" s="4" t="s">
        <v>11766</v>
      </c>
      <c r="D1707" s="4" t="s">
        <v>12009</v>
      </c>
      <c r="E1707" s="4" t="s">
        <v>12010</v>
      </c>
      <c r="F1707" s="4" t="s">
        <v>2636</v>
      </c>
      <c r="G1707" s="4" t="s">
        <v>12011</v>
      </c>
      <c r="H1707" s="4" t="str">
        <f>IFERROR(__XLUDF.DUMMYFUNCTION("PROPER(REGEXREPLACE(G284,""[^A-Za-z]+ "",""""))"),"Cti")</f>
        <v>Cti</v>
      </c>
      <c r="I1707" s="5" t="s">
        <v>12012</v>
      </c>
      <c r="J1707" s="4" t="s">
        <v>140</v>
      </c>
      <c r="K1707" s="4" t="s">
        <v>9160</v>
      </c>
      <c r="L1707" s="4" t="s">
        <v>29</v>
      </c>
      <c r="M1707" s="4" t="s">
        <v>12013</v>
      </c>
      <c r="N1707" s="4" t="str">
        <f>IFERROR(__XLUDF.DUMMYFUNCTION("VLOOKUP(M284,IMPORTRANGE(""https://docs.google.com/spreadsheets/d/1opm6ZNvGZ7KditA9TuJwrZ25eFLfTNIkrNnY6mhV5Eg"",""list!A1:C115""),3,TRUE)"),"le secteur de l'industrie textile")</f>
        <v xml:space="preserve">le secteur de l'industrie textile</v>
      </c>
      <c r="O1707" s="4" t="s">
        <v>12014</v>
      </c>
      <c r="P1707" s="4">
        <v>27</v>
      </c>
      <c r="Q1707" s="4" t="s">
        <v>1419</v>
      </c>
      <c r="R1707" s="4" t="s">
        <v>9160</v>
      </c>
      <c r="S1707" s="4" t="s">
        <v>29</v>
      </c>
      <c r="T1707" s="5" t="s">
        <v>12015</v>
      </c>
      <c r="U1707" s="6"/>
      <c r="V1707" s="5" t="s">
        <v>12016</v>
      </c>
      <c r="W1707" s="6"/>
      <c r="X1707" s="6"/>
      <c r="Y1707" s="4" t="s">
        <v>12017</v>
      </c>
      <c r="Z1707" s="6"/>
      <c r="AA1707" s="5" t="s">
        <v>12018</v>
      </c>
    </row>
    <row r="1708" ht="14.25">
      <c r="B1708" s="4" t="s">
        <v>12019</v>
      </c>
      <c r="C1708" s="4" t="s">
        <v>12020</v>
      </c>
      <c r="D1708" s="4" t="s">
        <v>12021</v>
      </c>
      <c r="E1708" s="4" t="s">
        <v>12022</v>
      </c>
      <c r="F1708" s="4" t="s">
        <v>112</v>
      </c>
      <c r="G1708" s="4" t="s">
        <v>12023</v>
      </c>
      <c r="H1708" s="4" t="str">
        <f>IFERROR(__XLUDF.DUMMYFUNCTION("PROPER(REGEXREPLACE(G285,""[^A-Za-z]+ "",""""))"),"Tecodata")</f>
        <v>Tecodata</v>
      </c>
      <c r="I1708" s="5" t="s">
        <v>12024</v>
      </c>
      <c r="J1708" s="4" t="s">
        <v>2186</v>
      </c>
      <c r="K1708" s="4" t="s">
        <v>9864</v>
      </c>
      <c r="L1708" s="4" t="s">
        <v>29</v>
      </c>
      <c r="M1708" s="4" t="s">
        <v>2602</v>
      </c>
      <c r="N1708" s="4" t="str">
        <f>IFERROR(__XLUDF.DUMMYFUNCTION("VLOOKUP(M285,IMPORTRANGE(""https://docs.google.com/spreadsheets/d/1opm6ZNvGZ7KditA9TuJwrZ25eFLfTNIkrNnY6mhV5Eg"",""list!A1:C115""),3,TRUE)"),"le secteur de la tech")</f>
        <v xml:space="preserve">le secteur de la tech</v>
      </c>
      <c r="O1708" s="4" t="s">
        <v>12025</v>
      </c>
      <c r="P1708" s="4">
        <v>19</v>
      </c>
      <c r="Q1708" s="4" t="s">
        <v>12026</v>
      </c>
      <c r="R1708" s="4" t="s">
        <v>9864</v>
      </c>
      <c r="S1708" s="4" t="s">
        <v>29</v>
      </c>
      <c r="T1708" s="5" t="s">
        <v>12027</v>
      </c>
      <c r="U1708" s="6"/>
      <c r="V1708" s="6"/>
      <c r="W1708" s="6"/>
      <c r="X1708" s="6"/>
      <c r="Y1708" s="4" t="s">
        <v>12028</v>
      </c>
      <c r="Z1708" s="6"/>
      <c r="AA1708" s="5" t="s">
        <v>12029</v>
      </c>
    </row>
    <row r="1709" ht="14.25">
      <c r="B1709" s="4" t="s">
        <v>12030</v>
      </c>
      <c r="C1709" s="4" t="s">
        <v>679</v>
      </c>
      <c r="D1709" s="4" t="s">
        <v>12031</v>
      </c>
      <c r="E1709" s="4" t="s">
        <v>12032</v>
      </c>
      <c r="F1709" s="4" t="s">
        <v>87</v>
      </c>
      <c r="G1709" s="4" t="s">
        <v>12033</v>
      </c>
      <c r="H1709" s="4" t="str">
        <f>IFERROR(__XLUDF.DUMMYFUNCTION("PROPER(REGEXREPLACE(G286,""[^A-Za-z]+ "",""""))"),"Ygl Consulting")</f>
        <v xml:space="preserve">Ygl Consulting</v>
      </c>
      <c r="I1709" s="5" t="s">
        <v>12034</v>
      </c>
      <c r="J1709" s="4" t="s">
        <v>4009</v>
      </c>
      <c r="K1709" s="4" t="s">
        <v>9160</v>
      </c>
      <c r="L1709" s="4" t="s">
        <v>29</v>
      </c>
      <c r="M1709" s="4" t="s">
        <v>2602</v>
      </c>
      <c r="N1709" s="4" t="str">
        <f>IFERROR(__XLUDF.DUMMYFUNCTION("VLOOKUP(M286,IMPORTRANGE(""https://docs.google.com/spreadsheets/d/1opm6ZNvGZ7KditA9TuJwrZ25eFLfTNIkrNnY6mhV5Eg"",""list!A1:C115""),3,TRUE)"),"le secteur de la tech")</f>
        <v xml:space="preserve">le secteur de la tech</v>
      </c>
      <c r="O1709" s="4" t="s">
        <v>12035</v>
      </c>
      <c r="P1709" s="4">
        <v>23</v>
      </c>
      <c r="Q1709" s="4" t="s">
        <v>4009</v>
      </c>
      <c r="R1709" s="4" t="s">
        <v>9160</v>
      </c>
      <c r="S1709" s="4" t="s">
        <v>29</v>
      </c>
      <c r="T1709" s="5" t="s">
        <v>12036</v>
      </c>
      <c r="U1709" s="5" t="s">
        <v>12037</v>
      </c>
      <c r="V1709" s="5" t="s">
        <v>12038</v>
      </c>
      <c r="W1709" s="6"/>
      <c r="X1709" s="6"/>
      <c r="Y1709" s="4" t="s">
        <v>12039</v>
      </c>
      <c r="Z1709" s="6"/>
      <c r="AA1709" s="5" t="s">
        <v>12040</v>
      </c>
    </row>
    <row r="1710" ht="14.25">
      <c r="B1710" s="4" t="s">
        <v>12041</v>
      </c>
      <c r="C1710" s="4" t="s">
        <v>679</v>
      </c>
      <c r="D1710" s="4" t="s">
        <v>12042</v>
      </c>
      <c r="E1710" s="4" t="s">
        <v>12043</v>
      </c>
      <c r="F1710" s="4" t="s">
        <v>112</v>
      </c>
      <c r="G1710" s="4" t="s">
        <v>12044</v>
      </c>
      <c r="H1710" s="4" t="str">
        <f>IFERROR(__XLUDF.DUMMYFUNCTION("PROPER(REGEXREPLACE(G287,""[^A-Za-z]+ "",""""))"),"Market Office")</f>
        <v xml:space="preserve">Market Office</v>
      </c>
      <c r="I1710" s="5" t="s">
        <v>12045</v>
      </c>
      <c r="J1710" s="4" t="s">
        <v>39</v>
      </c>
      <c r="K1710" s="4" t="s">
        <v>9160</v>
      </c>
      <c r="L1710" s="4" t="s">
        <v>29</v>
      </c>
      <c r="M1710" s="4" t="s">
        <v>4525</v>
      </c>
      <c r="N1710" s="4" t="str">
        <f>IFERROR(__XLUDF.DUMMYFUNCTION("VLOOKUP(M287,IMPORTRANGE(""https://docs.google.com/spreadsheets/d/1opm6ZNvGZ7KditA9TuJwrZ25eFLfTNIkrNnY6mhV5Eg"",""list!A1:C115""),3,TRUE)"),"le secteur du retail")</f>
        <v xml:space="preserve">le secteur du retail</v>
      </c>
      <c r="O1710" s="4" t="s">
        <v>12046</v>
      </c>
      <c r="P1710" s="4">
        <v>12</v>
      </c>
      <c r="Q1710" s="4" t="s">
        <v>39</v>
      </c>
      <c r="R1710" s="4" t="s">
        <v>9160</v>
      </c>
      <c r="S1710" s="4" t="s">
        <v>29</v>
      </c>
      <c r="T1710" s="5" t="s">
        <v>12047</v>
      </c>
      <c r="U1710" s="6"/>
      <c r="V1710" s="5" t="s">
        <v>12048</v>
      </c>
      <c r="W1710" s="6"/>
      <c r="X1710" s="6"/>
      <c r="Y1710" s="4" t="s">
        <v>12049</v>
      </c>
      <c r="Z1710" s="6"/>
      <c r="AA1710" s="5" t="s">
        <v>12050</v>
      </c>
    </row>
    <row r="1711" ht="14.25">
      <c r="B1711" s="4" t="s">
        <v>12051</v>
      </c>
      <c r="C1711" s="4" t="s">
        <v>679</v>
      </c>
      <c r="D1711" s="4" t="s">
        <v>12052</v>
      </c>
      <c r="E1711" s="4" t="s">
        <v>12053</v>
      </c>
      <c r="F1711" s="4" t="s">
        <v>12054</v>
      </c>
      <c r="G1711" s="4" t="s">
        <v>12055</v>
      </c>
      <c r="H1711" s="4" t="str">
        <f>IFERROR(__XLUDF.DUMMYFUNCTION("PROPER(REGEXREPLACE(G288,""[^A-Za-z]+ "",""""))"),"Moove-Si")</f>
        <v>Moove-Si</v>
      </c>
      <c r="I1711" s="5" t="s">
        <v>12056</v>
      </c>
      <c r="J1711" s="4" t="s">
        <v>651</v>
      </c>
      <c r="K1711" s="4" t="s">
        <v>9215</v>
      </c>
      <c r="L1711" s="4" t="s">
        <v>29</v>
      </c>
      <c r="M1711" s="4" t="s">
        <v>2602</v>
      </c>
      <c r="N1711" s="4" t="str">
        <f>IFERROR(__XLUDF.DUMMYFUNCTION("VLOOKUP(M288,IMPORTRANGE(""https://docs.google.com/spreadsheets/d/1opm6ZNvGZ7KditA9TuJwrZ25eFLfTNIkrNnY6mhV5Eg"",""list!A1:C115""),3,TRUE)"),"le secteur de la tech")</f>
        <v xml:space="preserve">le secteur de la tech</v>
      </c>
      <c r="O1711" s="4" t="s">
        <v>12057</v>
      </c>
      <c r="P1711" s="4">
        <v>19</v>
      </c>
      <c r="Q1711" s="4" t="s">
        <v>12058</v>
      </c>
      <c r="R1711" s="4" t="s">
        <v>9215</v>
      </c>
      <c r="S1711" s="4" t="s">
        <v>29</v>
      </c>
      <c r="T1711" s="5" t="s">
        <v>12059</v>
      </c>
      <c r="U1711" s="6"/>
      <c r="V1711" s="6"/>
      <c r="W1711" s="6"/>
      <c r="X1711" s="6"/>
      <c r="Y1711" s="4" t="s">
        <v>12060</v>
      </c>
      <c r="Z1711" s="6"/>
      <c r="AA1711" s="5" t="s">
        <v>12061</v>
      </c>
    </row>
    <row r="1712" ht="14.25">
      <c r="B1712" s="4" t="s">
        <v>12062</v>
      </c>
      <c r="C1712" s="4" t="s">
        <v>679</v>
      </c>
      <c r="D1712" s="4" t="s">
        <v>12063</v>
      </c>
      <c r="E1712" s="4" t="s">
        <v>12064</v>
      </c>
      <c r="F1712" s="4" t="s">
        <v>7759</v>
      </c>
      <c r="G1712" s="4" t="s">
        <v>12065</v>
      </c>
      <c r="H1712" s="4" t="str">
        <f>IFERROR(__XLUDF.DUMMYFUNCTION("PROPER(REGEXREPLACE(G289,""[^A-Za-z]+ "",""""))"),"Cira Technologie")</f>
        <v xml:space="preserve">Cira Technologie</v>
      </c>
      <c r="I1712" s="5" t="s">
        <v>12066</v>
      </c>
      <c r="J1712" s="6"/>
      <c r="K1712" s="6"/>
      <c r="L1712" s="4" t="s">
        <v>29</v>
      </c>
      <c r="M1712" s="4" t="s">
        <v>10215</v>
      </c>
      <c r="N1712" s="4" t="str">
        <f>IFERROR(__XLUDF.DUMMYFUNCTION("VLOOKUP(M289,IMPORTRANGE(""https://docs.google.com/spreadsheets/d/1opm6ZNvGZ7KditA9TuJwrZ25eFLfTNIkrNnY6mhV5Eg"",""list!A1:C115""),3,TRUE)"),"le secteur de l'électrique et électronique")</f>
        <v xml:space="preserve">le secteur de l'électrique et électronique</v>
      </c>
      <c r="O1712" s="4" t="s">
        <v>12067</v>
      </c>
      <c r="P1712" s="4">
        <v>18</v>
      </c>
      <c r="Q1712" s="4" t="s">
        <v>12068</v>
      </c>
      <c r="R1712" s="4" t="s">
        <v>9193</v>
      </c>
      <c r="S1712" s="4" t="s">
        <v>29</v>
      </c>
      <c r="T1712" s="5" t="s">
        <v>12069</v>
      </c>
      <c r="U1712" s="6"/>
      <c r="V1712" s="6"/>
      <c r="W1712" s="6"/>
      <c r="X1712" s="6"/>
      <c r="Y1712" s="4" t="s">
        <v>12070</v>
      </c>
      <c r="Z1712" s="6"/>
      <c r="AA1712" s="5" t="s">
        <v>12071</v>
      </c>
    </row>
    <row r="1713" ht="14.25">
      <c r="B1713" s="4" t="s">
        <v>12072</v>
      </c>
      <c r="C1713" s="4" t="s">
        <v>12073</v>
      </c>
      <c r="D1713" s="4" t="s">
        <v>12074</v>
      </c>
      <c r="E1713" s="4" t="s">
        <v>12075</v>
      </c>
      <c r="F1713" s="4" t="s">
        <v>12076</v>
      </c>
      <c r="G1713" s="4" t="s">
        <v>12077</v>
      </c>
      <c r="H1713" s="4" t="str">
        <f>IFERROR(__XLUDF.DUMMYFUNCTION("PROPER(REGEXREPLACE(G290,""[^A-Za-z]+ "",""""))"),"The Overlap Factory")</f>
        <v xml:space="preserve">The Overlap Factory</v>
      </c>
      <c r="I1713" s="5" t="s">
        <v>12078</v>
      </c>
      <c r="J1713" s="4" t="s">
        <v>39</v>
      </c>
      <c r="K1713" s="4" t="s">
        <v>9160</v>
      </c>
      <c r="L1713" s="4" t="s">
        <v>29</v>
      </c>
      <c r="M1713" s="4" t="s">
        <v>2602</v>
      </c>
      <c r="N1713" s="4" t="str">
        <f>IFERROR(__XLUDF.DUMMYFUNCTION("VLOOKUP(M290,IMPORTRANGE(""https://docs.google.com/spreadsheets/d/1opm6ZNvGZ7KditA9TuJwrZ25eFLfTNIkrNnY6mhV5Eg"",""list!A1:C115""),3,TRUE)"),"le secteur de la tech")</f>
        <v xml:space="preserve">le secteur de la tech</v>
      </c>
      <c r="O1713" s="4" t="s">
        <v>12079</v>
      </c>
      <c r="P1713" s="4">
        <v>14</v>
      </c>
      <c r="Q1713" s="4" t="s">
        <v>39</v>
      </c>
      <c r="R1713" s="4" t="s">
        <v>9160</v>
      </c>
      <c r="S1713" s="4" t="s">
        <v>29</v>
      </c>
      <c r="T1713" s="5" t="s">
        <v>12080</v>
      </c>
      <c r="U1713" s="6"/>
      <c r="V1713" s="6"/>
      <c r="W1713" s="6"/>
      <c r="X1713" s="6"/>
      <c r="Y1713" s="4" t="s">
        <v>12081</v>
      </c>
      <c r="Z1713" s="6"/>
      <c r="AA1713" s="5" t="s">
        <v>12082</v>
      </c>
    </row>
    <row r="1714" ht="14.25">
      <c r="B1714" s="4" t="s">
        <v>12083</v>
      </c>
      <c r="C1714" s="4" t="s">
        <v>2932</v>
      </c>
      <c r="D1714" s="4" t="s">
        <v>12084</v>
      </c>
      <c r="E1714" s="4" t="s">
        <v>12085</v>
      </c>
      <c r="F1714" s="4" t="s">
        <v>87</v>
      </c>
      <c r="G1714" s="4" t="s">
        <v>12086</v>
      </c>
      <c r="H1714" s="4" t="str">
        <f>IFERROR(__XLUDF.DUMMYFUNCTION("PROPER(REGEXREPLACE(G291,""[^A-Za-z]+ "",""""))"),"Ducatillon")</f>
        <v>Ducatillon</v>
      </c>
      <c r="I1714" s="5" t="s">
        <v>12087</v>
      </c>
      <c r="J1714" s="4" t="s">
        <v>846</v>
      </c>
      <c r="K1714" s="4" t="s">
        <v>9281</v>
      </c>
      <c r="L1714" s="4" t="s">
        <v>29</v>
      </c>
      <c r="M1714" s="4" t="s">
        <v>4525</v>
      </c>
      <c r="N1714" s="4" t="str">
        <f>IFERROR(__XLUDF.DUMMYFUNCTION("VLOOKUP(M291,IMPORTRANGE(""https://docs.google.com/spreadsheets/d/1opm6ZNvGZ7KditA9TuJwrZ25eFLfTNIkrNnY6mhV5Eg"",""list!A1:C115""),3,TRUE)"),"le secteur du retail")</f>
        <v xml:space="preserve">le secteur du retail</v>
      </c>
      <c r="O1714" s="6"/>
      <c r="P1714" s="4">
        <v>47</v>
      </c>
      <c r="Q1714" s="4" t="s">
        <v>10537</v>
      </c>
      <c r="R1714" s="4" t="s">
        <v>9281</v>
      </c>
      <c r="S1714" s="4" t="s">
        <v>29</v>
      </c>
      <c r="T1714" s="5" t="s">
        <v>12088</v>
      </c>
      <c r="U1714" s="6"/>
      <c r="V1714" s="5" t="s">
        <v>12089</v>
      </c>
      <c r="W1714" s="6"/>
      <c r="X1714" s="6"/>
      <c r="Y1714" s="4" t="s">
        <v>12090</v>
      </c>
      <c r="Z1714" s="6"/>
      <c r="AA1714" s="5" t="s">
        <v>12091</v>
      </c>
    </row>
    <row r="1715" ht="14.25">
      <c r="B1715" s="4" t="s">
        <v>12092</v>
      </c>
      <c r="C1715" s="4" t="s">
        <v>2932</v>
      </c>
      <c r="D1715" s="4" t="s">
        <v>5579</v>
      </c>
      <c r="E1715" s="4" t="s">
        <v>12093</v>
      </c>
      <c r="F1715" s="4" t="s">
        <v>7759</v>
      </c>
      <c r="G1715" s="4" t="s">
        <v>12094</v>
      </c>
      <c r="H1715" s="4" t="str">
        <f>IFERROR(__XLUDF.DUMMYFUNCTION("PROPER(REGEXREPLACE(G292,""[^A-Za-z]+ "",""""))"),"Modalb")</f>
        <v>Modalb</v>
      </c>
      <c r="I1715" s="5" t="s">
        <v>12095</v>
      </c>
      <c r="J1715" s="4" t="s">
        <v>1711</v>
      </c>
      <c r="K1715" s="4" t="s">
        <v>9350</v>
      </c>
      <c r="L1715" s="4" t="s">
        <v>29</v>
      </c>
      <c r="M1715" s="4" t="s">
        <v>2602</v>
      </c>
      <c r="N1715" s="4" t="str">
        <f>IFERROR(__XLUDF.DUMMYFUNCTION("VLOOKUP(M292,IMPORTRANGE(""https://docs.google.com/spreadsheets/d/1opm6ZNvGZ7KditA9TuJwrZ25eFLfTNIkrNnY6mhV5Eg"",""list!A1:C115""),3,TRUE)"),"le secteur de la tech")</f>
        <v xml:space="preserve">le secteur de la tech</v>
      </c>
      <c r="O1715" s="6"/>
      <c r="P1715" s="4">
        <v>12</v>
      </c>
      <c r="Q1715" s="4" t="s">
        <v>1711</v>
      </c>
      <c r="R1715" s="4" t="s">
        <v>9350</v>
      </c>
      <c r="S1715" s="4" t="s">
        <v>29</v>
      </c>
      <c r="T1715" s="5" t="s">
        <v>12096</v>
      </c>
      <c r="U1715" s="5" t="s">
        <v>12097</v>
      </c>
      <c r="V1715" s="6"/>
      <c r="W1715" s="6"/>
      <c r="X1715" s="6"/>
      <c r="Y1715" s="4" t="s">
        <v>12098</v>
      </c>
      <c r="Z1715" s="6"/>
      <c r="AA1715" s="5" t="s">
        <v>12099</v>
      </c>
    </row>
    <row r="1716" ht="14.25">
      <c r="B1716" s="4" t="s">
        <v>12100</v>
      </c>
      <c r="C1716" s="4" t="s">
        <v>2932</v>
      </c>
      <c r="D1716" s="4" t="s">
        <v>12101</v>
      </c>
      <c r="E1716" s="4" t="s">
        <v>12102</v>
      </c>
      <c r="F1716" s="4" t="s">
        <v>120</v>
      </c>
      <c r="G1716" s="4" t="s">
        <v>12103</v>
      </c>
      <c r="H1716" s="4" t="str">
        <f>IFERROR(__XLUDF.DUMMYFUNCTION("PROPER(REGEXREPLACE(G293,""[^A-Za-z]+ "",""""))"),"Getalead")</f>
        <v>Getalead</v>
      </c>
      <c r="I1716" s="5" t="s">
        <v>12104</v>
      </c>
      <c r="J1716" s="4" t="s">
        <v>11878</v>
      </c>
      <c r="K1716" s="4" t="s">
        <v>9160</v>
      </c>
      <c r="L1716" s="4" t="s">
        <v>29</v>
      </c>
      <c r="M1716" s="4" t="s">
        <v>4067</v>
      </c>
      <c r="N1716" s="4" t="str">
        <f>IFERROR(__XLUDF.DUMMYFUNCTION("VLOOKUP(M293,IMPORTRANGE(""https://docs.google.com/spreadsheets/d/1opm6ZNvGZ7KditA9TuJwrZ25eFLfTNIkrNnY6mhV5Eg"",""list!A1:C115""),3,TRUE)"),"le secteur du conseil en management")</f>
        <v xml:space="preserve">le secteur du conseil en management</v>
      </c>
      <c r="O1716" s="4" t="s">
        <v>12105</v>
      </c>
      <c r="P1716" s="4">
        <v>11</v>
      </c>
      <c r="Q1716" s="4" t="s">
        <v>39</v>
      </c>
      <c r="R1716" s="4" t="s">
        <v>9160</v>
      </c>
      <c r="S1716" s="4" t="s">
        <v>29</v>
      </c>
      <c r="T1716" s="5" t="s">
        <v>12106</v>
      </c>
      <c r="U1716" s="6"/>
      <c r="V1716" s="6"/>
      <c r="W1716" s="6"/>
      <c r="X1716" s="6"/>
      <c r="Y1716" s="4" t="s">
        <v>12107</v>
      </c>
      <c r="Z1716" s="6"/>
      <c r="AA1716" s="5" t="s">
        <v>12108</v>
      </c>
    </row>
    <row r="1717" ht="14.25">
      <c r="B1717" s="4" t="s">
        <v>12109</v>
      </c>
      <c r="C1717" s="4" t="s">
        <v>2932</v>
      </c>
      <c r="D1717" s="4" t="s">
        <v>12110</v>
      </c>
      <c r="E1717" s="4" t="s">
        <v>12111</v>
      </c>
      <c r="F1717" s="4" t="s">
        <v>2911</v>
      </c>
      <c r="G1717" s="4" t="s">
        <v>12112</v>
      </c>
      <c r="H1717" s="4" t="str">
        <f>IFERROR(__XLUDF.DUMMYFUNCTION("PROPER(REGEXREPLACE(G294,""[^A-Za-z]+ "",""""))"),"Tamtam")</f>
        <v>Tamtam</v>
      </c>
      <c r="I1717" s="5" t="s">
        <v>12113</v>
      </c>
      <c r="J1717" s="4" t="s">
        <v>39</v>
      </c>
      <c r="K1717" s="4" t="s">
        <v>9160</v>
      </c>
      <c r="L1717" s="4" t="s">
        <v>29</v>
      </c>
      <c r="M1717" s="4" t="s">
        <v>2602</v>
      </c>
      <c r="N1717" s="4" t="str">
        <f>IFERROR(__XLUDF.DUMMYFUNCTION("VLOOKUP(M294,IMPORTRANGE(""https://docs.google.com/spreadsheets/d/1opm6ZNvGZ7KditA9TuJwrZ25eFLfTNIkrNnY6mhV5Eg"",""list!A1:C115""),3,TRUE)"),"le secteur de la tech")</f>
        <v xml:space="preserve">le secteur de la tech</v>
      </c>
      <c r="O1717" s="4" t="s">
        <v>12114</v>
      </c>
      <c r="P1717" s="4">
        <v>16</v>
      </c>
      <c r="Q1717" s="6"/>
      <c r="R1717" s="6"/>
      <c r="S1717" s="6"/>
      <c r="T1717" s="5" t="s">
        <v>12115</v>
      </c>
      <c r="U1717" s="6"/>
      <c r="V1717" s="6"/>
      <c r="W1717" s="6"/>
      <c r="X1717" s="6"/>
      <c r="Y1717" s="4" t="s">
        <v>12116</v>
      </c>
      <c r="Z1717" s="6"/>
      <c r="AA1717" s="5" t="s">
        <v>12117</v>
      </c>
    </row>
    <row r="1718" ht="14.25">
      <c r="B1718" s="4" t="s">
        <v>12118</v>
      </c>
      <c r="C1718" s="4" t="s">
        <v>12119</v>
      </c>
      <c r="D1718" s="4" t="s">
        <v>12120</v>
      </c>
      <c r="E1718" s="4" t="s">
        <v>12121</v>
      </c>
      <c r="F1718" s="4" t="s">
        <v>12122</v>
      </c>
      <c r="G1718" s="4" t="s">
        <v>12123</v>
      </c>
      <c r="H1718" s="4" t="str">
        <f>IFERROR(__XLUDF.DUMMYFUNCTION("PROPER(REGEXREPLACE(G295,""[^A-Za-z]+ "",""""))"),"Vp France")</f>
        <v xml:space="preserve">Vp France</v>
      </c>
      <c r="I1718" s="5" t="s">
        <v>12124</v>
      </c>
      <c r="J1718" s="4" t="s">
        <v>482</v>
      </c>
      <c r="K1718" s="4" t="s">
        <v>9460</v>
      </c>
      <c r="L1718" s="4" t="s">
        <v>29</v>
      </c>
      <c r="M1718" s="4" t="s">
        <v>4525</v>
      </c>
      <c r="N1718" s="4" t="str">
        <f>IFERROR(__XLUDF.DUMMYFUNCTION("VLOOKUP(M295,IMPORTRANGE(""https://docs.google.com/spreadsheets/d/1opm6ZNvGZ7KditA9TuJwrZ25eFLfTNIkrNnY6mhV5Eg"",""list!A1:C115""),3,TRUE)"),"le secteur du retail")</f>
        <v xml:space="preserve">le secteur du retail</v>
      </c>
      <c r="O1718" s="4" t="s">
        <v>12125</v>
      </c>
      <c r="P1718" s="4">
        <v>12</v>
      </c>
      <c r="Q1718" s="4" t="s">
        <v>12126</v>
      </c>
      <c r="R1718" s="4" t="s">
        <v>10829</v>
      </c>
      <c r="S1718" s="4" t="s">
        <v>29</v>
      </c>
      <c r="T1718" s="5" t="s">
        <v>12127</v>
      </c>
      <c r="U1718" s="6"/>
      <c r="V1718" s="5" t="s">
        <v>12128</v>
      </c>
      <c r="W1718" s="6"/>
      <c r="X1718" s="6"/>
      <c r="Y1718" s="4" t="s">
        <v>12129</v>
      </c>
      <c r="Z1718" s="6"/>
      <c r="AA1718" s="5" t="s">
        <v>12130</v>
      </c>
    </row>
    <row r="1719" ht="14.25">
      <c r="B1719" s="4" t="s">
        <v>12131</v>
      </c>
      <c r="C1719" s="4" t="s">
        <v>1198</v>
      </c>
      <c r="D1719" s="4" t="s">
        <v>12132</v>
      </c>
      <c r="E1719" s="4" t="s">
        <v>12133</v>
      </c>
      <c r="F1719" s="4" t="s">
        <v>12134</v>
      </c>
      <c r="G1719" s="4" t="s">
        <v>12135</v>
      </c>
      <c r="H1719" s="4" t="str">
        <f>IFERROR(__XLUDF.DUMMYFUNCTION("PROPER(REGEXREPLACE(G296,""[^A-Za-z]+ "",""""))"),"Enovea")</f>
        <v>Enovea</v>
      </c>
      <c r="I1719" s="5" t="s">
        <v>12136</v>
      </c>
      <c r="J1719" s="4" t="s">
        <v>716</v>
      </c>
      <c r="K1719" s="4" t="s">
        <v>9251</v>
      </c>
      <c r="L1719" s="4" t="s">
        <v>29</v>
      </c>
      <c r="M1719" s="4" t="s">
        <v>2602</v>
      </c>
      <c r="N1719" s="4" t="str">
        <f>IFERROR(__XLUDF.DUMMYFUNCTION("VLOOKUP(M296,IMPORTRANGE(""https://docs.google.com/spreadsheets/d/1opm6ZNvGZ7KditA9TuJwrZ25eFLfTNIkrNnY6mhV5Eg"",""list!A1:C115""),3,TRUE)"),"le secteur de la tech")</f>
        <v xml:space="preserve">le secteur de la tech</v>
      </c>
      <c r="O1719" s="4" t="s">
        <v>12137</v>
      </c>
      <c r="P1719" s="4">
        <v>50</v>
      </c>
      <c r="Q1719" s="4" t="s">
        <v>12138</v>
      </c>
      <c r="R1719" s="4" t="s">
        <v>9267</v>
      </c>
      <c r="S1719" s="4" t="s">
        <v>29</v>
      </c>
      <c r="T1719" s="5" t="s">
        <v>12139</v>
      </c>
      <c r="U1719" s="6"/>
      <c r="V1719" s="6"/>
      <c r="W1719" s="6"/>
      <c r="X1719" s="6"/>
      <c r="Y1719" s="4" t="s">
        <v>12140</v>
      </c>
      <c r="Z1719" s="6"/>
      <c r="AA1719" s="5" t="s">
        <v>12141</v>
      </c>
    </row>
    <row r="1720" ht="14.25">
      <c r="B1720" s="4" t="s">
        <v>12142</v>
      </c>
      <c r="C1720" s="4" t="s">
        <v>1198</v>
      </c>
      <c r="D1720" s="4" t="s">
        <v>12143</v>
      </c>
      <c r="E1720" s="4" t="s">
        <v>12144</v>
      </c>
      <c r="F1720" s="4" t="s">
        <v>12145</v>
      </c>
      <c r="G1720" s="4" t="s">
        <v>12146</v>
      </c>
      <c r="H1720" s="4" t="str">
        <f>IFERROR(__XLUDF.DUMMYFUNCTION("PROPER(REGEXREPLACE(G297,""[^A-Za-z]+ "",""""))"),"Origalys Electrochem")</f>
        <v xml:space="preserve">Origalys Electrochem</v>
      </c>
      <c r="I1720" s="5" t="s">
        <v>12147</v>
      </c>
      <c r="J1720" s="4" t="s">
        <v>185</v>
      </c>
      <c r="K1720" s="4" t="s">
        <v>9193</v>
      </c>
      <c r="L1720" s="4" t="s">
        <v>29</v>
      </c>
      <c r="M1720" s="4" t="s">
        <v>10215</v>
      </c>
      <c r="N1720" s="4" t="str">
        <f>IFERROR(__XLUDF.DUMMYFUNCTION("VLOOKUP(M297,IMPORTRANGE(""https://docs.google.com/spreadsheets/d/1opm6ZNvGZ7KditA9TuJwrZ25eFLfTNIkrNnY6mhV5Eg"",""list!A1:C115""),3,TRUE)"),"le secteur de l'électrique et électronique")</f>
        <v xml:space="preserve">le secteur de l'électrique et électronique</v>
      </c>
      <c r="O1720" s="4" t="s">
        <v>12148</v>
      </c>
      <c r="P1720" s="4">
        <v>17</v>
      </c>
      <c r="Q1720" s="4" t="s">
        <v>12149</v>
      </c>
      <c r="R1720" s="4" t="s">
        <v>9172</v>
      </c>
      <c r="S1720" s="4" t="s">
        <v>29</v>
      </c>
      <c r="T1720" s="5" t="s">
        <v>12150</v>
      </c>
      <c r="U1720" s="5" t="s">
        <v>12151</v>
      </c>
      <c r="V1720" s="5" t="s">
        <v>12152</v>
      </c>
      <c r="W1720" s="6"/>
      <c r="X1720" s="6"/>
      <c r="Y1720" s="4" t="s">
        <v>12153</v>
      </c>
      <c r="Z1720" s="6"/>
      <c r="AA1720" s="5" t="s">
        <v>12154</v>
      </c>
    </row>
    <row r="1721" ht="14.25">
      <c r="B1721" s="4" t="s">
        <v>12155</v>
      </c>
      <c r="C1721" s="4" t="s">
        <v>1198</v>
      </c>
      <c r="D1721" s="4" t="s">
        <v>12156</v>
      </c>
      <c r="E1721" s="4" t="s">
        <v>12157</v>
      </c>
      <c r="F1721" s="4" t="s">
        <v>7759</v>
      </c>
      <c r="G1721" s="4" t="s">
        <v>12158</v>
      </c>
      <c r="H1721" s="4" t="str">
        <f>IFERROR(__XLUDF.DUMMYFUNCTION("PROPER(REGEXREPLACE(G298,""[^A-Za-z]+ "",""""))"),"Virage Group")</f>
        <v xml:space="preserve">Virage Group</v>
      </c>
      <c r="I1721" s="5" t="s">
        <v>12159</v>
      </c>
      <c r="J1721" s="4" t="s">
        <v>1711</v>
      </c>
      <c r="K1721" s="4" t="s">
        <v>9350</v>
      </c>
      <c r="L1721" s="4" t="s">
        <v>29</v>
      </c>
      <c r="M1721" s="4" t="s">
        <v>2602</v>
      </c>
      <c r="N1721" s="4" t="str">
        <f>IFERROR(__XLUDF.DUMMYFUNCTION("VLOOKUP(M298,IMPORTRANGE(""https://docs.google.com/spreadsheets/d/1opm6ZNvGZ7KditA9TuJwrZ25eFLfTNIkrNnY6mhV5Eg"",""list!A1:C115""),3,TRUE)"),"le secteur de la tech")</f>
        <v xml:space="preserve">le secteur de la tech</v>
      </c>
      <c r="O1721" s="4" t="s">
        <v>12160</v>
      </c>
      <c r="P1721" s="4">
        <v>47</v>
      </c>
      <c r="Q1721" s="4" t="s">
        <v>1711</v>
      </c>
      <c r="R1721" s="4" t="s">
        <v>9350</v>
      </c>
      <c r="S1721" s="4" t="s">
        <v>29</v>
      </c>
      <c r="T1721" s="5" t="s">
        <v>12161</v>
      </c>
      <c r="U1721" s="5" t="s">
        <v>12162</v>
      </c>
      <c r="V1721" s="5" t="s">
        <v>12163</v>
      </c>
      <c r="W1721" s="6"/>
      <c r="X1721" s="6"/>
      <c r="Y1721" s="4" t="s">
        <v>12164</v>
      </c>
      <c r="Z1721" s="6"/>
      <c r="AA1721" s="5" t="s">
        <v>12165</v>
      </c>
    </row>
    <row r="1722" ht="14.25">
      <c r="B1722" s="4" t="s">
        <v>12166</v>
      </c>
      <c r="C1722" s="4" t="s">
        <v>1198</v>
      </c>
      <c r="D1722" s="4" t="s">
        <v>12167</v>
      </c>
      <c r="E1722" s="4" t="s">
        <v>12168</v>
      </c>
      <c r="F1722" s="4" t="s">
        <v>12169</v>
      </c>
      <c r="G1722" s="4" t="s">
        <v>12170</v>
      </c>
      <c r="H1722" s="4" t="str">
        <f>IFERROR(__XLUDF.DUMMYFUNCTION("PROPER(REGEXREPLACE(G299,""[^A-Za-z]+ "",""""))"),"Aoc")</f>
        <v>Aoc</v>
      </c>
      <c r="I1722" s="5" t="s">
        <v>12171</v>
      </c>
      <c r="J1722" s="4" t="s">
        <v>846</v>
      </c>
      <c r="K1722" s="4" t="s">
        <v>9281</v>
      </c>
      <c r="L1722" s="4" t="s">
        <v>29</v>
      </c>
      <c r="M1722" s="4" t="s">
        <v>2602</v>
      </c>
      <c r="N1722" s="4" t="str">
        <f>IFERROR(__XLUDF.DUMMYFUNCTION("VLOOKUP(M299,IMPORTRANGE(""https://docs.google.com/spreadsheets/d/1opm6ZNvGZ7KditA9TuJwrZ25eFLfTNIkrNnY6mhV5Eg"",""list!A1:C115""),3,TRUE)"),"le secteur de la tech")</f>
        <v xml:space="preserve">le secteur de la tech</v>
      </c>
      <c r="O1722" s="6"/>
      <c r="P1722" s="4">
        <v>33</v>
      </c>
      <c r="Q1722" s="4" t="s">
        <v>6339</v>
      </c>
      <c r="R1722" s="4" t="s">
        <v>9281</v>
      </c>
      <c r="S1722" s="4" t="s">
        <v>29</v>
      </c>
      <c r="T1722" s="5" t="s">
        <v>12172</v>
      </c>
      <c r="U1722" s="6"/>
      <c r="V1722" s="6"/>
      <c r="W1722" s="6"/>
      <c r="X1722" s="6"/>
      <c r="Y1722" s="4" t="s">
        <v>12173</v>
      </c>
      <c r="Z1722" s="6"/>
      <c r="AA1722" s="5" t="s">
        <v>12174</v>
      </c>
    </row>
    <row r="1723" ht="14.25">
      <c r="B1723" s="4" t="s">
        <v>12175</v>
      </c>
      <c r="C1723" s="4" t="s">
        <v>1198</v>
      </c>
      <c r="D1723" s="4" t="s">
        <v>12176</v>
      </c>
      <c r="E1723" s="4" t="s">
        <v>12177</v>
      </c>
      <c r="F1723" s="4" t="s">
        <v>7759</v>
      </c>
      <c r="G1723" s="4" t="s">
        <v>12178</v>
      </c>
      <c r="H1723" s="4" t="str">
        <f>IFERROR(__XLUDF.DUMMYFUNCTION("PROPER(REGEXREPLACE(G300,""[^A-Za-z]+ "",""""))"),"Quadrinov Agencement")</f>
        <v xml:space="preserve">Quadrinov Agencement</v>
      </c>
      <c r="I1723" s="5" t="s">
        <v>12179</v>
      </c>
      <c r="J1723" s="4" t="s">
        <v>1711</v>
      </c>
      <c r="K1723" s="4" t="s">
        <v>9350</v>
      </c>
      <c r="L1723" s="4" t="s">
        <v>29</v>
      </c>
      <c r="M1723" s="4" t="s">
        <v>9239</v>
      </c>
      <c r="N1723" s="4" t="str">
        <f>IFERROR(__XLUDF.DUMMYFUNCTION("VLOOKUP(M300,IMPORTRANGE(""https://docs.google.com/spreadsheets/d/1opm6ZNvGZ7KditA9TuJwrZ25eFLfTNIkrNnY6mhV5Eg"",""list!A1:C115""),3,TRUE)"),"le secteur de la construction")</f>
        <v xml:space="preserve">le secteur de la construction</v>
      </c>
      <c r="O1723" s="4" t="s">
        <v>12180</v>
      </c>
      <c r="P1723" s="4">
        <v>12</v>
      </c>
      <c r="Q1723" s="4" t="s">
        <v>1711</v>
      </c>
      <c r="R1723" s="4" t="s">
        <v>9350</v>
      </c>
      <c r="S1723" s="4" t="s">
        <v>29</v>
      </c>
      <c r="T1723" s="5" t="s">
        <v>12181</v>
      </c>
      <c r="U1723" s="6"/>
      <c r="V1723" s="6"/>
      <c r="W1723" s="6"/>
      <c r="X1723" s="6"/>
      <c r="Y1723" s="4" t="s">
        <v>12182</v>
      </c>
      <c r="Z1723" s="6"/>
      <c r="AA1723" s="5" t="s">
        <v>12183</v>
      </c>
    </row>
    <row r="1724" ht="14.25">
      <c r="B1724" s="4" t="s">
        <v>12184</v>
      </c>
      <c r="C1724" s="4" t="s">
        <v>1198</v>
      </c>
      <c r="D1724" s="4" t="s">
        <v>12185</v>
      </c>
      <c r="E1724" s="4" t="s">
        <v>12186</v>
      </c>
      <c r="F1724" s="4" t="s">
        <v>7759</v>
      </c>
      <c r="G1724" s="4" t="s">
        <v>12187</v>
      </c>
      <c r="H1724" s="4" t="str">
        <f>IFERROR(__XLUDF.DUMMYFUNCTION("PROPER(REGEXREPLACE(G301,""[^A-Za-z]+ "",""""))"),"Prodigyus")</f>
        <v>Prodigyus</v>
      </c>
      <c r="I1724" s="5" t="s">
        <v>12188</v>
      </c>
      <c r="J1724" s="4" t="s">
        <v>846</v>
      </c>
      <c r="K1724" s="4" t="s">
        <v>9281</v>
      </c>
      <c r="L1724" s="4" t="s">
        <v>29</v>
      </c>
      <c r="M1724" s="4" t="s">
        <v>2602</v>
      </c>
      <c r="N1724" s="4" t="str">
        <f>IFERROR(__XLUDF.DUMMYFUNCTION("VLOOKUP(M301,IMPORTRANGE(""https://docs.google.com/spreadsheets/d/1opm6ZNvGZ7KditA9TuJwrZ25eFLfTNIkrNnY6mhV5Eg"",""list!A1:C115""),3,TRUE)"),"le secteur de la tech")</f>
        <v xml:space="preserve">le secteur de la tech</v>
      </c>
      <c r="O1724" s="6"/>
      <c r="P1724" s="4">
        <v>33</v>
      </c>
      <c r="Q1724" s="4" t="s">
        <v>12189</v>
      </c>
      <c r="R1724" s="4" t="s">
        <v>9281</v>
      </c>
      <c r="S1724" s="4" t="s">
        <v>29</v>
      </c>
      <c r="T1724" s="5" t="s">
        <v>12190</v>
      </c>
      <c r="U1724" s="6"/>
      <c r="V1724" s="6"/>
      <c r="W1724" s="6"/>
      <c r="X1724" s="6"/>
      <c r="Y1724" s="4" t="s">
        <v>12191</v>
      </c>
      <c r="Z1724" s="6"/>
      <c r="AA1724" s="5" t="s">
        <v>12192</v>
      </c>
    </row>
    <row r="1725" ht="14.25">
      <c r="B1725" s="4" t="s">
        <v>12193</v>
      </c>
      <c r="C1725" s="4" t="s">
        <v>1198</v>
      </c>
      <c r="D1725" s="4" t="s">
        <v>12194</v>
      </c>
      <c r="E1725" s="4" t="s">
        <v>12195</v>
      </c>
      <c r="F1725" s="4" t="s">
        <v>112</v>
      </c>
      <c r="G1725" s="4" t="s">
        <v>12196</v>
      </c>
      <c r="H1725" s="4" t="str">
        <f>IFERROR(__XLUDF.DUMMYFUNCTION("PROPER(REGEXREPLACE(G302,""[^A-Za-z]+ "",""""))"),"Lumens-Box")</f>
        <v>Lumens-Box</v>
      </c>
      <c r="I1725" s="5" t="s">
        <v>12197</v>
      </c>
      <c r="J1725" s="4" t="s">
        <v>12198</v>
      </c>
      <c r="K1725" s="4" t="s">
        <v>9160</v>
      </c>
      <c r="L1725" s="4" t="s">
        <v>29</v>
      </c>
      <c r="M1725" s="4" t="s">
        <v>2602</v>
      </c>
      <c r="N1725" s="4" t="str">
        <f>IFERROR(__XLUDF.DUMMYFUNCTION("VLOOKUP(M302,IMPORTRANGE(""https://docs.google.com/spreadsheets/d/1opm6ZNvGZ7KditA9TuJwrZ25eFLfTNIkrNnY6mhV5Eg"",""list!A1:C115""),3,TRUE)"),"le secteur de la tech")</f>
        <v xml:space="preserve">le secteur de la tech</v>
      </c>
      <c r="O1725" s="4" t="s">
        <v>12199</v>
      </c>
      <c r="P1725" s="4">
        <v>17</v>
      </c>
      <c r="Q1725" s="4" t="s">
        <v>12198</v>
      </c>
      <c r="R1725" s="4" t="s">
        <v>9160</v>
      </c>
      <c r="S1725" s="4" t="s">
        <v>29</v>
      </c>
      <c r="T1725" s="5" t="s">
        <v>12200</v>
      </c>
      <c r="U1725" s="6"/>
      <c r="V1725" s="6"/>
      <c r="W1725" s="6"/>
      <c r="X1725" s="6"/>
      <c r="Y1725" s="4" t="s">
        <v>12201</v>
      </c>
      <c r="Z1725" s="6"/>
      <c r="AA1725" s="5" t="s">
        <v>12202</v>
      </c>
    </row>
    <row r="1726" ht="14.25">
      <c r="B1726" s="4" t="s">
        <v>12203</v>
      </c>
      <c r="C1726" s="4" t="s">
        <v>1198</v>
      </c>
      <c r="D1726" s="4" t="s">
        <v>12204</v>
      </c>
      <c r="E1726" s="4" t="s">
        <v>12205</v>
      </c>
      <c r="F1726" s="4" t="s">
        <v>12206</v>
      </c>
      <c r="G1726" s="4" t="s">
        <v>12207</v>
      </c>
      <c r="H1726" s="4" t="str">
        <f>IFERROR(__XLUDF.DUMMYFUNCTION("PROPER(REGEXREPLACE(G303,""[^A-Za-z]+ "",""""))"),"Impulsion Consulting")</f>
        <v xml:space="preserve">Impulsion Consulting</v>
      </c>
      <c r="I1726" s="5" t="s">
        <v>12208</v>
      </c>
      <c r="J1726" s="4" t="s">
        <v>12209</v>
      </c>
      <c r="K1726" s="4" t="s">
        <v>12210</v>
      </c>
      <c r="L1726" s="4" t="s">
        <v>29</v>
      </c>
      <c r="M1726" s="4" t="s">
        <v>4067</v>
      </c>
      <c r="N1726" s="4" t="str">
        <f>IFERROR(__XLUDF.DUMMYFUNCTION("VLOOKUP(M303,IMPORTRANGE(""https://docs.google.com/spreadsheets/d/1opm6ZNvGZ7KditA9TuJwrZ25eFLfTNIkrNnY6mhV5Eg"",""list!A1:C115""),3,TRUE)"),"le secteur du conseil en management")</f>
        <v xml:space="preserve">le secteur du conseil en management</v>
      </c>
      <c r="O1726" s="4" t="s">
        <v>12211</v>
      </c>
      <c r="P1726" s="4">
        <v>20</v>
      </c>
      <c r="Q1726" s="4" t="s">
        <v>12209</v>
      </c>
      <c r="R1726" s="4" t="s">
        <v>9473</v>
      </c>
      <c r="S1726" s="4" t="s">
        <v>29</v>
      </c>
      <c r="T1726" s="5" t="s">
        <v>12212</v>
      </c>
      <c r="U1726" s="6"/>
      <c r="V1726" s="6"/>
      <c r="W1726" s="6"/>
      <c r="X1726" s="6"/>
      <c r="Y1726" s="4" t="s">
        <v>12213</v>
      </c>
      <c r="Z1726" s="6"/>
      <c r="AA1726" s="5" t="s">
        <v>12214</v>
      </c>
    </row>
    <row r="1727" ht="14.25">
      <c r="B1727" s="4" t="s">
        <v>12215</v>
      </c>
      <c r="C1727" s="4" t="s">
        <v>1198</v>
      </c>
      <c r="D1727" s="4" t="s">
        <v>12216</v>
      </c>
      <c r="E1727" s="4" t="s">
        <v>12217</v>
      </c>
      <c r="F1727" s="4" t="s">
        <v>12218</v>
      </c>
      <c r="G1727" s="4" t="s">
        <v>12219</v>
      </c>
      <c r="H1727" s="4" t="str">
        <f>IFERROR(__XLUDF.DUMMYFUNCTION("PROPER(REGEXREPLACE(G304,""[^A-Za-z]+ "",""""))"),"Bothier")</f>
        <v>Bothier</v>
      </c>
      <c r="I1727" s="5" t="s">
        <v>12220</v>
      </c>
      <c r="J1727" s="4" t="s">
        <v>12221</v>
      </c>
      <c r="K1727" s="4" t="s">
        <v>9251</v>
      </c>
      <c r="L1727" s="4" t="s">
        <v>29</v>
      </c>
      <c r="M1727" s="4" t="s">
        <v>9239</v>
      </c>
      <c r="N1727" s="4" t="str">
        <f>IFERROR(__XLUDF.DUMMYFUNCTION("VLOOKUP(M304,IMPORTRANGE(""https://docs.google.com/spreadsheets/d/1opm6ZNvGZ7KditA9TuJwrZ25eFLfTNIkrNnY6mhV5Eg"",""list!A1:C115""),3,TRUE)"),"le secteur de la construction")</f>
        <v xml:space="preserve">le secteur de la construction</v>
      </c>
      <c r="O1727" s="4" t="s">
        <v>12222</v>
      </c>
      <c r="P1727" s="4">
        <v>15</v>
      </c>
      <c r="Q1727" s="4" t="s">
        <v>12221</v>
      </c>
      <c r="R1727" s="4" t="s">
        <v>9251</v>
      </c>
      <c r="S1727" s="4" t="s">
        <v>29</v>
      </c>
      <c r="T1727" s="5" t="s">
        <v>12223</v>
      </c>
      <c r="U1727" s="6"/>
      <c r="V1727" s="5" t="s">
        <v>12224</v>
      </c>
      <c r="W1727" s="6"/>
      <c r="X1727" s="6"/>
      <c r="Y1727" s="4" t="s">
        <v>12225</v>
      </c>
      <c r="Z1727" s="6"/>
      <c r="AA1727" s="5" t="s">
        <v>12226</v>
      </c>
    </row>
    <row r="1728" ht="14.25">
      <c r="B1728" s="4" t="s">
        <v>12227</v>
      </c>
      <c r="C1728" s="4" t="s">
        <v>1198</v>
      </c>
      <c r="D1728" s="4" t="s">
        <v>12228</v>
      </c>
      <c r="E1728" s="4" t="s">
        <v>12229</v>
      </c>
      <c r="F1728" s="4" t="s">
        <v>172</v>
      </c>
      <c r="G1728" s="4" t="s">
        <v>12230</v>
      </c>
      <c r="H1728" s="4" t="str">
        <f>IFERROR(__XLUDF.DUMMYFUNCTION("PROPER(REGEXREPLACE(G305,""[^A-Za-z]+ "",""""))"),"Hedimag")</f>
        <v>Hedimag</v>
      </c>
      <c r="I1728" s="5" t="s">
        <v>12231</v>
      </c>
      <c r="J1728" s="4" t="s">
        <v>12232</v>
      </c>
      <c r="K1728" s="4" t="s">
        <v>9281</v>
      </c>
      <c r="L1728" s="4" t="s">
        <v>29</v>
      </c>
      <c r="M1728" s="4" t="s">
        <v>4525</v>
      </c>
      <c r="N1728" s="4" t="str">
        <f>IFERROR(__XLUDF.DUMMYFUNCTION("VLOOKUP(M305,IMPORTRANGE(""https://docs.google.com/spreadsheets/d/1opm6ZNvGZ7KditA9TuJwrZ25eFLfTNIkrNnY6mhV5Eg"",""list!A1:C115""),3,TRUE)"),"le secteur du retail")</f>
        <v xml:space="preserve">le secteur du retail</v>
      </c>
      <c r="O1728" s="4" t="s">
        <v>12233</v>
      </c>
      <c r="P1728" s="4">
        <v>25</v>
      </c>
      <c r="Q1728" s="4" t="s">
        <v>12232</v>
      </c>
      <c r="R1728" s="4" t="s">
        <v>9281</v>
      </c>
      <c r="S1728" s="4" t="s">
        <v>29</v>
      </c>
      <c r="T1728" s="5" t="s">
        <v>12234</v>
      </c>
      <c r="U1728" s="6"/>
      <c r="V1728" s="6"/>
      <c r="W1728" s="6"/>
      <c r="X1728" s="6"/>
      <c r="Y1728" s="4" t="s">
        <v>12235</v>
      </c>
      <c r="Z1728" s="6"/>
      <c r="AA1728" s="5" t="s">
        <v>12236</v>
      </c>
    </row>
    <row r="1729" ht="14.25">
      <c r="B1729" s="4" t="s">
        <v>12237</v>
      </c>
      <c r="C1729" s="4" t="s">
        <v>1198</v>
      </c>
      <c r="D1729" s="4" t="s">
        <v>12238</v>
      </c>
      <c r="E1729" s="4" t="s">
        <v>12239</v>
      </c>
      <c r="F1729" s="4" t="s">
        <v>12240</v>
      </c>
      <c r="G1729" s="4" t="s">
        <v>12241</v>
      </c>
      <c r="H1729" s="4" t="str">
        <f>IFERROR(__XLUDF.DUMMYFUNCTION("PROPER(REGEXREPLACE(G306,""[^A-Za-z]+ "",""""))"),"Jumbo Mana")</f>
        <v xml:space="preserve">Jumbo Mana</v>
      </c>
      <c r="I1729" s="5" t="s">
        <v>12242</v>
      </c>
      <c r="J1729" s="6"/>
      <c r="K1729" s="6"/>
      <c r="L1729" s="4" t="s">
        <v>29</v>
      </c>
      <c r="M1729" s="4" t="s">
        <v>2602</v>
      </c>
      <c r="N1729" s="4" t="str">
        <f>IFERROR(__XLUDF.DUMMYFUNCTION("VLOOKUP(M306,IMPORTRANGE(""https://docs.google.com/spreadsheets/d/1opm6ZNvGZ7KditA9TuJwrZ25eFLfTNIkrNnY6mhV5Eg"",""list!A1:C115""),3,TRUE)"),"le secteur de la tech")</f>
        <v xml:space="preserve">le secteur de la tech</v>
      </c>
      <c r="O1729" s="4" t="s">
        <v>12243</v>
      </c>
      <c r="P1729" s="4">
        <v>15</v>
      </c>
      <c r="Q1729" s="4" t="s">
        <v>12058</v>
      </c>
      <c r="R1729" s="4" t="s">
        <v>9215</v>
      </c>
      <c r="S1729" s="4" t="s">
        <v>29</v>
      </c>
      <c r="T1729" s="5" t="s">
        <v>12244</v>
      </c>
      <c r="U1729" s="6"/>
      <c r="V1729" s="6"/>
      <c r="W1729" s="6"/>
      <c r="X1729" s="6"/>
      <c r="Y1729" s="4" t="s">
        <v>12245</v>
      </c>
      <c r="Z1729" s="6"/>
      <c r="AA1729" s="5" t="s">
        <v>12246</v>
      </c>
    </row>
    <row r="1730" ht="14.25">
      <c r="B1730" s="4" t="s">
        <v>12247</v>
      </c>
      <c r="C1730" s="4" t="s">
        <v>2877</v>
      </c>
      <c r="D1730" s="4" t="s">
        <v>9900</v>
      </c>
      <c r="E1730" s="4" t="s">
        <v>12248</v>
      </c>
      <c r="F1730" s="4" t="s">
        <v>2636</v>
      </c>
      <c r="G1730" s="4" t="s">
        <v>12249</v>
      </c>
      <c r="H1730" s="4" t="str">
        <f>IFERROR(__XLUDF.DUMMYFUNCTION("PROPER(REGEXREPLACE(G307,""[^A-Za-z]+ "",""""))"),"D-Codes")</f>
        <v>D-Codes</v>
      </c>
      <c r="I1730" s="5" t="s">
        <v>12250</v>
      </c>
      <c r="J1730" s="4" t="s">
        <v>1419</v>
      </c>
      <c r="K1730" s="4" t="s">
        <v>9160</v>
      </c>
      <c r="L1730" s="4" t="s">
        <v>29</v>
      </c>
      <c r="M1730" s="4" t="s">
        <v>4067</v>
      </c>
      <c r="N1730" s="4" t="str">
        <f>IFERROR(__XLUDF.DUMMYFUNCTION("VLOOKUP(M307,IMPORTRANGE(""https://docs.google.com/spreadsheets/d/1opm6ZNvGZ7KditA9TuJwrZ25eFLfTNIkrNnY6mhV5Eg"",""list!A1:C115""),3,TRUE)"),"le secteur du conseil en management")</f>
        <v xml:space="preserve">le secteur du conseil en management</v>
      </c>
      <c r="O1730" s="6"/>
      <c r="P1730" s="4">
        <v>15</v>
      </c>
      <c r="Q1730" s="4" t="s">
        <v>1419</v>
      </c>
      <c r="R1730" s="4" t="s">
        <v>9160</v>
      </c>
      <c r="S1730" s="4" t="s">
        <v>29</v>
      </c>
      <c r="T1730" s="5" t="s">
        <v>12251</v>
      </c>
      <c r="U1730" s="6"/>
      <c r="V1730" s="6"/>
      <c r="W1730" s="6"/>
      <c r="X1730" s="6"/>
      <c r="Y1730" s="4" t="s">
        <v>12252</v>
      </c>
      <c r="Z1730" s="6"/>
      <c r="AA1730" s="5" t="s">
        <v>12253</v>
      </c>
    </row>
    <row r="1731" ht="14.25">
      <c r="B1731" s="4" t="s">
        <v>12254</v>
      </c>
      <c r="C1731" s="4" t="s">
        <v>12119</v>
      </c>
      <c r="D1731" s="4" t="s">
        <v>12255</v>
      </c>
      <c r="E1731" s="4" t="s">
        <v>12256</v>
      </c>
      <c r="F1731" s="4" t="s">
        <v>12257</v>
      </c>
      <c r="G1731" s="4" t="s">
        <v>12258</v>
      </c>
      <c r="H1731" s="4" t="str">
        <f>IFERROR(__XLUDF.DUMMYFUNCTION("PROPER(REGEXREPLACE(G308,""[^A-Za-z]+ "",""""))"),"Planisphère Info")</f>
        <v xml:space="preserve">Planisphère Info</v>
      </c>
      <c r="I1731" s="5" t="s">
        <v>12259</v>
      </c>
      <c r="J1731" s="4" t="s">
        <v>11103</v>
      </c>
      <c r="K1731" s="4" t="s">
        <v>9251</v>
      </c>
      <c r="L1731" s="4" t="s">
        <v>29</v>
      </c>
      <c r="M1731" s="4" t="s">
        <v>2602</v>
      </c>
      <c r="N1731" s="4" t="str">
        <f>IFERROR(__XLUDF.DUMMYFUNCTION("VLOOKUP(M308,IMPORTRANGE(""https://docs.google.com/spreadsheets/d/1opm6ZNvGZ7KditA9TuJwrZ25eFLfTNIkrNnY6mhV5Eg"",""list!A1:C115""),3,TRUE)"),"le secteur de la tech")</f>
        <v xml:space="preserve">le secteur de la tech</v>
      </c>
      <c r="O1731" s="4" t="s">
        <v>12260</v>
      </c>
      <c r="P1731" s="4">
        <v>19</v>
      </c>
      <c r="Q1731" s="4" t="s">
        <v>11103</v>
      </c>
      <c r="R1731" s="4" t="s">
        <v>9251</v>
      </c>
      <c r="S1731" s="4" t="s">
        <v>29</v>
      </c>
      <c r="T1731" s="5" t="s">
        <v>12261</v>
      </c>
      <c r="U1731" s="5" t="s">
        <v>12262</v>
      </c>
      <c r="V1731" s="6"/>
      <c r="W1731" s="6"/>
      <c r="X1731" s="6"/>
      <c r="Y1731" s="4" t="s">
        <v>12263</v>
      </c>
      <c r="Z1731" s="6"/>
      <c r="AA1731" s="5" t="s">
        <v>12264</v>
      </c>
    </row>
    <row r="1732" ht="14.25">
      <c r="B1732" s="4" t="s">
        <v>12265</v>
      </c>
      <c r="C1732" s="4" t="s">
        <v>679</v>
      </c>
      <c r="D1732" s="4" t="s">
        <v>12266</v>
      </c>
      <c r="E1732" s="4" t="s">
        <v>12267</v>
      </c>
      <c r="F1732" s="4" t="s">
        <v>7759</v>
      </c>
      <c r="G1732" s="4" t="s">
        <v>12268</v>
      </c>
      <c r="H1732" s="4" t="str">
        <f>IFERROR(__XLUDF.DUMMYFUNCTION("PROPER(REGEXREPLACE(G309,""[^A-Za-z]+ "",""""))"),"Alobees")</f>
        <v>Alobees</v>
      </c>
      <c r="I1732" s="5" t="s">
        <v>12269</v>
      </c>
      <c r="J1732" s="4" t="s">
        <v>39</v>
      </c>
      <c r="K1732" s="4" t="s">
        <v>9160</v>
      </c>
      <c r="L1732" s="4" t="s">
        <v>29</v>
      </c>
      <c r="M1732" s="4" t="s">
        <v>2602</v>
      </c>
      <c r="N1732" s="4" t="str">
        <f>IFERROR(__XLUDF.DUMMYFUNCTION("VLOOKUP(M309,IMPORTRANGE(""https://docs.google.com/spreadsheets/d/1opm6ZNvGZ7KditA9TuJwrZ25eFLfTNIkrNnY6mhV5Eg"",""list!A1:C115""),3,TRUE)"),"le secteur de la tech")</f>
        <v xml:space="preserve">le secteur de la tech</v>
      </c>
      <c r="O1732" s="4" t="s">
        <v>12270</v>
      </c>
      <c r="P1732" s="4">
        <v>25</v>
      </c>
      <c r="Q1732" s="4" t="s">
        <v>39</v>
      </c>
      <c r="R1732" s="4" t="s">
        <v>9160</v>
      </c>
      <c r="S1732" s="4" t="s">
        <v>29</v>
      </c>
      <c r="T1732" s="5" t="s">
        <v>12271</v>
      </c>
      <c r="U1732" s="5" t="s">
        <v>12272</v>
      </c>
      <c r="V1732" s="5" t="s">
        <v>12273</v>
      </c>
      <c r="W1732" s="6"/>
      <c r="X1732" s="6"/>
      <c r="Y1732" s="4" t="s">
        <v>12274</v>
      </c>
      <c r="Z1732" s="6"/>
      <c r="AA1732" s="5" t="s">
        <v>12275</v>
      </c>
    </row>
    <row r="1733" ht="14.25">
      <c r="B1733" s="4" t="s">
        <v>12276</v>
      </c>
      <c r="C1733" s="4" t="s">
        <v>1198</v>
      </c>
      <c r="D1733" s="4" t="s">
        <v>20</v>
      </c>
      <c r="E1733" s="4" t="s">
        <v>12277</v>
      </c>
      <c r="F1733" s="4" t="s">
        <v>7759</v>
      </c>
      <c r="G1733" s="4" t="s">
        <v>12278</v>
      </c>
      <c r="H1733" s="4" t="str">
        <f>IFERROR(__XLUDF.DUMMYFUNCTION("PROPER(REGEXREPLACE(G310,""[^A-Za-z]+ "",""""))"),"Eb16")</f>
        <v>Eb16</v>
      </c>
      <c r="I1733" s="5" t="s">
        <v>12279</v>
      </c>
      <c r="J1733" s="6"/>
      <c r="K1733" s="4" t="s">
        <v>9864</v>
      </c>
      <c r="L1733" s="4" t="s">
        <v>29</v>
      </c>
      <c r="M1733" s="4" t="s">
        <v>4525</v>
      </c>
      <c r="N1733" s="4" t="str">
        <f>IFERROR(__XLUDF.DUMMYFUNCTION("VLOOKUP(M310,IMPORTRANGE(""https://docs.google.com/spreadsheets/d/1opm6ZNvGZ7KditA9TuJwrZ25eFLfTNIkrNnY6mhV5Eg"",""list!A1:C115""),3,TRUE)"),"le secteur du retail")</f>
        <v xml:space="preserve">le secteur du retail</v>
      </c>
      <c r="O1733" s="4" t="s">
        <v>12280</v>
      </c>
      <c r="P1733" s="4">
        <v>14</v>
      </c>
      <c r="Q1733" s="4" t="s">
        <v>12281</v>
      </c>
      <c r="R1733" s="4" t="s">
        <v>9864</v>
      </c>
      <c r="S1733" s="4" t="s">
        <v>29</v>
      </c>
      <c r="T1733" s="5" t="s">
        <v>12282</v>
      </c>
      <c r="U1733" s="6"/>
      <c r="V1733" s="6"/>
      <c r="W1733" s="6"/>
      <c r="X1733" s="6"/>
      <c r="Y1733" s="4" t="s">
        <v>12283</v>
      </c>
      <c r="Z1733" s="6"/>
      <c r="AA1733" s="5" t="s">
        <v>12284</v>
      </c>
    </row>
    <row r="1734" ht="14.25">
      <c r="B1734" s="4" t="s">
        <v>12285</v>
      </c>
      <c r="C1734" s="4" t="s">
        <v>2932</v>
      </c>
      <c r="D1734" s="4" t="s">
        <v>12286</v>
      </c>
      <c r="E1734" s="4" t="s">
        <v>12287</v>
      </c>
      <c r="F1734" s="4" t="s">
        <v>112</v>
      </c>
      <c r="G1734" s="4" t="s">
        <v>12288</v>
      </c>
      <c r="H1734" s="4" t="str">
        <f>IFERROR(__XLUDF.DUMMYFUNCTION("PROPER(REGEXREPLACE(G311,""[^A-Za-z]+ "",""""))"),"Vld")</f>
        <v>Vld</v>
      </c>
      <c r="I1734" s="5" t="s">
        <v>12289</v>
      </c>
      <c r="J1734" s="4" t="s">
        <v>39</v>
      </c>
      <c r="K1734" s="4" t="s">
        <v>9160</v>
      </c>
      <c r="L1734" s="4" t="s">
        <v>29</v>
      </c>
      <c r="M1734" s="4" t="s">
        <v>4525</v>
      </c>
      <c r="N1734" s="4" t="str">
        <f>IFERROR(__XLUDF.DUMMYFUNCTION("VLOOKUP(M311,IMPORTRANGE(""https://docs.google.com/spreadsheets/d/1opm6ZNvGZ7KditA9TuJwrZ25eFLfTNIkrNnY6mhV5Eg"",""list!A1:C115""),3,TRUE)"),"le secteur du retail")</f>
        <v xml:space="preserve">le secteur du retail</v>
      </c>
      <c r="O1734" s="4" t="s">
        <v>12290</v>
      </c>
      <c r="P1734" s="4">
        <v>15</v>
      </c>
      <c r="Q1734" s="4" t="s">
        <v>12291</v>
      </c>
      <c r="R1734" s="4" t="s">
        <v>9160</v>
      </c>
      <c r="S1734" s="4" t="s">
        <v>29</v>
      </c>
      <c r="T1734" s="5" t="s">
        <v>12292</v>
      </c>
      <c r="U1734" s="6"/>
      <c r="V1734" s="6"/>
      <c r="W1734" s="6"/>
      <c r="X1734" s="6"/>
      <c r="Y1734" s="4" t="s">
        <v>12293</v>
      </c>
      <c r="Z1734" s="6"/>
      <c r="AA1734" s="5" t="s">
        <v>12294</v>
      </c>
    </row>
    <row r="1735" ht="14.25">
      <c r="B1735" s="4" t="s">
        <v>12295</v>
      </c>
      <c r="C1735" s="4" t="s">
        <v>355</v>
      </c>
      <c r="D1735" s="4" t="s">
        <v>12296</v>
      </c>
      <c r="E1735" s="4" t="s">
        <v>12297</v>
      </c>
      <c r="F1735" s="4" t="s">
        <v>7759</v>
      </c>
      <c r="G1735" s="4" t="s">
        <v>12298</v>
      </c>
      <c r="H1735" s="4" t="str">
        <f>IFERROR(__XLUDF.DUMMYFUNCTION("PROPER(REGEXREPLACE(G312,""[^A-Za-z]+ "",""""))"),"Arcade")</f>
        <v>Arcade</v>
      </c>
      <c r="I1735" s="5" t="s">
        <v>12299</v>
      </c>
      <c r="J1735" s="4" t="s">
        <v>12300</v>
      </c>
      <c r="K1735" s="4" t="s">
        <v>9460</v>
      </c>
      <c r="L1735" s="4" t="s">
        <v>29</v>
      </c>
      <c r="M1735" s="4" t="s">
        <v>2602</v>
      </c>
      <c r="N1735" s="4" t="str">
        <f>IFERROR(__XLUDF.DUMMYFUNCTION("VLOOKUP(M312,IMPORTRANGE(""https://docs.google.com/spreadsheets/d/1opm6ZNvGZ7KditA9TuJwrZ25eFLfTNIkrNnY6mhV5Eg"",""list!A1:C115""),3,TRUE)"),"le secteur de la tech")</f>
        <v xml:space="preserve">le secteur de la tech</v>
      </c>
      <c r="O1735" s="4" t="s">
        <v>12301</v>
      </c>
      <c r="P1735" s="4">
        <v>26</v>
      </c>
      <c r="Q1735" s="4" t="s">
        <v>12300</v>
      </c>
      <c r="R1735" s="4" t="s">
        <v>9460</v>
      </c>
      <c r="S1735" s="4" t="s">
        <v>29</v>
      </c>
      <c r="T1735" s="5" t="s">
        <v>12302</v>
      </c>
      <c r="U1735" s="6"/>
      <c r="V1735" s="5" t="s">
        <v>12303</v>
      </c>
      <c r="W1735" s="6"/>
      <c r="X1735" s="6"/>
      <c r="Y1735" s="4" t="s">
        <v>12304</v>
      </c>
      <c r="Z1735" s="6"/>
      <c r="AA1735" s="5" t="s">
        <v>12305</v>
      </c>
    </row>
    <row r="1736" ht="14.25">
      <c r="B1736" s="4" t="s">
        <v>12306</v>
      </c>
      <c r="C1736" s="4" t="s">
        <v>12307</v>
      </c>
      <c r="D1736" s="4" t="s">
        <v>12308</v>
      </c>
      <c r="E1736" s="4" t="s">
        <v>12309</v>
      </c>
      <c r="F1736" s="4" t="s">
        <v>2636</v>
      </c>
      <c r="G1736" s="4" t="s">
        <v>12310</v>
      </c>
      <c r="H1736" s="4" t="str">
        <f>IFERROR(__XLUDF.DUMMYFUNCTION("PROPER(REGEXREPLACE(G313,""[^A-Za-z]+ "",""""))"),"Sgame")</f>
        <v>Sgame</v>
      </c>
      <c r="I1736" s="5" t="s">
        <v>12311</v>
      </c>
      <c r="J1736" s="4" t="s">
        <v>12312</v>
      </c>
      <c r="K1736" s="4" t="s">
        <v>9193</v>
      </c>
      <c r="L1736" s="4" t="s">
        <v>29</v>
      </c>
      <c r="M1736" s="4" t="s">
        <v>10215</v>
      </c>
      <c r="N1736" s="4" t="str">
        <f>IFERROR(__XLUDF.DUMMYFUNCTION("VLOOKUP(M313,IMPORTRANGE(""https://docs.google.com/spreadsheets/d/1opm6ZNvGZ7KditA9TuJwrZ25eFLfTNIkrNnY6mhV5Eg"",""list!A1:C115""),3,TRUE)"),"le secteur de l'électrique et électronique")</f>
        <v xml:space="preserve">le secteur de l'électrique et électronique</v>
      </c>
      <c r="O1736" s="4" t="s">
        <v>12313</v>
      </c>
      <c r="P1736" s="4">
        <v>14</v>
      </c>
      <c r="Q1736" s="4" t="s">
        <v>12312</v>
      </c>
      <c r="R1736" s="4" t="s">
        <v>9172</v>
      </c>
      <c r="S1736" s="4" t="s">
        <v>29</v>
      </c>
      <c r="T1736" s="5" t="s">
        <v>12314</v>
      </c>
      <c r="U1736" s="6"/>
      <c r="V1736" s="6"/>
      <c r="W1736" s="6"/>
      <c r="X1736" s="6"/>
      <c r="Y1736" s="4" t="s">
        <v>12315</v>
      </c>
      <c r="Z1736" s="6"/>
      <c r="AA1736" s="5" t="s">
        <v>12316</v>
      </c>
    </row>
    <row r="1737" ht="14.25">
      <c r="B1737" s="4" t="s">
        <v>12317</v>
      </c>
      <c r="C1737" s="4" t="s">
        <v>355</v>
      </c>
      <c r="D1737" s="4" t="s">
        <v>12318</v>
      </c>
      <c r="E1737" s="4" t="s">
        <v>12319</v>
      </c>
      <c r="F1737" s="4" t="s">
        <v>172</v>
      </c>
      <c r="G1737" s="4" t="s">
        <v>12320</v>
      </c>
      <c r="H1737" s="4" t="str">
        <f>IFERROR(__XLUDF.DUMMYFUNCTION("PROPER(REGEXREPLACE(G314,""[^A-Za-z]+ "",""""))"),"Entreprise Septentrionale De Construction")</f>
        <v xml:space="preserve">Entreprise Septentrionale De Construction</v>
      </c>
      <c r="I1737" s="5" t="s">
        <v>12321</v>
      </c>
      <c r="J1737" s="4" t="s">
        <v>846</v>
      </c>
      <c r="K1737" s="4" t="s">
        <v>9278</v>
      </c>
      <c r="L1737" s="4" t="s">
        <v>29</v>
      </c>
      <c r="M1737" s="4" t="s">
        <v>9239</v>
      </c>
      <c r="N1737" s="4" t="str">
        <f>IFERROR(__XLUDF.DUMMYFUNCTION("VLOOKUP(M314,IMPORTRANGE(""https://docs.google.com/spreadsheets/d/1opm6ZNvGZ7KditA9TuJwrZ25eFLfTNIkrNnY6mhV5Eg"",""list!A1:C115""),3,TRUE)"),"le secteur de la construction")</f>
        <v xml:space="preserve">le secteur de la construction</v>
      </c>
      <c r="O1737" s="6"/>
      <c r="P1737" s="4">
        <v>48</v>
      </c>
      <c r="Q1737" s="4" t="s">
        <v>12322</v>
      </c>
      <c r="R1737" s="4" t="s">
        <v>9278</v>
      </c>
      <c r="S1737" s="4" t="s">
        <v>29</v>
      </c>
      <c r="T1737" s="5" t="s">
        <v>12323</v>
      </c>
      <c r="U1737" s="6"/>
      <c r="V1737" s="6"/>
      <c r="W1737" s="6"/>
      <c r="X1737" s="6"/>
      <c r="Y1737" s="4" t="s">
        <v>12324</v>
      </c>
      <c r="Z1737" s="6"/>
      <c r="AA1737" s="5" t="s">
        <v>12325</v>
      </c>
    </row>
    <row r="1738" ht="14.25">
      <c r="B1738" s="4" t="s">
        <v>12326</v>
      </c>
      <c r="C1738" s="4" t="s">
        <v>12327</v>
      </c>
      <c r="D1738" s="4" t="s">
        <v>12328</v>
      </c>
      <c r="E1738" s="4" t="s">
        <v>12329</v>
      </c>
      <c r="F1738" s="4" t="s">
        <v>12330</v>
      </c>
      <c r="G1738" s="4" t="s">
        <v>12331</v>
      </c>
      <c r="H1738" s="4" t="str">
        <f>IFERROR(__XLUDF.DUMMYFUNCTION("PROPER(REGEXREPLACE(G315,""[^A-Za-z]+ "",""""))"),"Groupe Koncept Komet")</f>
        <v xml:space="preserve">Groupe Koncept Komet</v>
      </c>
      <c r="I1738" s="5" t="s">
        <v>12332</v>
      </c>
      <c r="J1738" s="4" t="s">
        <v>83</v>
      </c>
      <c r="K1738" s="4" t="s">
        <v>9460</v>
      </c>
      <c r="L1738" s="4" t="s">
        <v>29</v>
      </c>
      <c r="M1738" s="4" t="s">
        <v>2602</v>
      </c>
      <c r="N1738" s="4" t="str">
        <f>IFERROR(__XLUDF.DUMMYFUNCTION("VLOOKUP(M315,IMPORTRANGE(""https://docs.google.com/spreadsheets/d/1opm6ZNvGZ7KditA9TuJwrZ25eFLfTNIkrNnY6mhV5Eg"",""list!A1:C115""),3,TRUE)"),"le secteur de la tech")</f>
        <v xml:space="preserve">le secteur de la tech</v>
      </c>
      <c r="O1738" s="4" t="s">
        <v>12333</v>
      </c>
      <c r="P1738" s="4">
        <v>40</v>
      </c>
      <c r="Q1738" s="4" t="s">
        <v>83</v>
      </c>
      <c r="R1738" s="4" t="s">
        <v>9460</v>
      </c>
      <c r="S1738" s="4" t="s">
        <v>29</v>
      </c>
      <c r="T1738" s="5" t="s">
        <v>12334</v>
      </c>
      <c r="U1738" s="6"/>
      <c r="V1738" s="6"/>
      <c r="W1738" s="6"/>
      <c r="X1738" s="6"/>
      <c r="Y1738" s="4" t="s">
        <v>12335</v>
      </c>
      <c r="Z1738" s="6"/>
      <c r="AA1738" s="5" t="s">
        <v>12336</v>
      </c>
    </row>
    <row r="1739" ht="14.25">
      <c r="B1739" s="4" t="s">
        <v>12337</v>
      </c>
      <c r="C1739" s="4" t="s">
        <v>2201</v>
      </c>
      <c r="D1739" s="4" t="s">
        <v>12338</v>
      </c>
      <c r="E1739" s="4" t="s">
        <v>12339</v>
      </c>
      <c r="F1739" s="4" t="s">
        <v>12340</v>
      </c>
      <c r="G1739" s="4" t="s">
        <v>12341</v>
      </c>
      <c r="H1739" s="4" t="str">
        <f>IFERROR(__XLUDF.DUMMYFUNCTION("PROPER(REGEXREPLACE(G316,""[^A-Za-z]+ "",""""))"),"Agence 4Août")</f>
        <v xml:space="preserve">Agence 4Août</v>
      </c>
      <c r="I1739" s="5" t="s">
        <v>12342</v>
      </c>
      <c r="J1739" s="4" t="s">
        <v>39</v>
      </c>
      <c r="K1739" s="4" t="s">
        <v>9160</v>
      </c>
      <c r="L1739" s="4" t="s">
        <v>29</v>
      </c>
      <c r="M1739" s="4" t="s">
        <v>9161</v>
      </c>
      <c r="N1739" s="4" t="str">
        <f>IFERROR(__XLUDF.DUMMYFUNCTION("VLOOKUP(M316,IMPORTRANGE(""https://docs.google.com/spreadsheets/d/1opm6ZNvGZ7KditA9TuJwrZ25eFLfTNIkrNnY6mhV5Eg"",""list!A1:C115""),3,TRUE)"),"le secteur du marketing")</f>
        <v xml:space="preserve">le secteur du marketing</v>
      </c>
      <c r="O1739" s="4" t="s">
        <v>12343</v>
      </c>
      <c r="P1739" s="4">
        <v>24</v>
      </c>
      <c r="Q1739" s="4" t="s">
        <v>39</v>
      </c>
      <c r="R1739" s="4" t="s">
        <v>9160</v>
      </c>
      <c r="S1739" s="4" t="s">
        <v>29</v>
      </c>
      <c r="T1739" s="5" t="s">
        <v>12344</v>
      </c>
      <c r="U1739" s="6"/>
      <c r="V1739" s="5" t="s">
        <v>12345</v>
      </c>
      <c r="W1739" s="6"/>
      <c r="X1739" s="6"/>
      <c r="Y1739" s="4" t="s">
        <v>12346</v>
      </c>
      <c r="Z1739" s="6"/>
      <c r="AA1739" s="5" t="s">
        <v>12347</v>
      </c>
    </row>
    <row r="1740" ht="14.25">
      <c r="B1740" s="4" t="s">
        <v>12348</v>
      </c>
      <c r="C1740" s="4" t="s">
        <v>12349</v>
      </c>
      <c r="D1740" s="4" t="s">
        <v>12350</v>
      </c>
      <c r="E1740" s="4" t="s">
        <v>12351</v>
      </c>
      <c r="F1740" s="4" t="s">
        <v>426</v>
      </c>
      <c r="G1740" s="4" t="s">
        <v>12352</v>
      </c>
      <c r="H1740" s="4" t="str">
        <f>IFERROR(__XLUDF.DUMMYFUNCTION("PROPER(REGEXREPLACE(G317,""[^A-Za-z]+ "",""""))"),"Smart Group")</f>
        <v xml:space="preserve">Smart Group</v>
      </c>
      <c r="I1740" s="5" t="s">
        <v>12353</v>
      </c>
      <c r="J1740" s="6"/>
      <c r="K1740" s="6"/>
      <c r="L1740" s="4" t="s">
        <v>29</v>
      </c>
      <c r="M1740" s="4" t="s">
        <v>4067</v>
      </c>
      <c r="N1740" s="4" t="str">
        <f>IFERROR(__XLUDF.DUMMYFUNCTION("VLOOKUP(M317,IMPORTRANGE(""https://docs.google.com/spreadsheets/d/1opm6ZNvGZ7KditA9TuJwrZ25eFLfTNIkrNnY6mhV5Eg"",""list!A1:C115""),3,TRUE)"),"le secteur du conseil en management")</f>
        <v xml:space="preserve">le secteur du conseil en management</v>
      </c>
      <c r="O1740" s="4" t="s">
        <v>12354</v>
      </c>
      <c r="P1740" s="4">
        <v>15</v>
      </c>
      <c r="Q1740" s="4" t="s">
        <v>39</v>
      </c>
      <c r="R1740" s="4" t="s">
        <v>9160</v>
      </c>
      <c r="S1740" s="4" t="s">
        <v>29</v>
      </c>
      <c r="T1740" s="5" t="s">
        <v>12355</v>
      </c>
      <c r="U1740" s="6"/>
      <c r="V1740" s="6"/>
      <c r="W1740" s="6"/>
      <c r="X1740" s="6"/>
      <c r="Y1740" s="4" t="s">
        <v>12356</v>
      </c>
      <c r="Z1740" s="6"/>
      <c r="AA1740" s="5" t="s">
        <v>12357</v>
      </c>
    </row>
    <row r="1741" ht="14.25">
      <c r="B1741" s="4" t="s">
        <v>12358</v>
      </c>
      <c r="C1741" s="4" t="s">
        <v>1442</v>
      </c>
      <c r="D1741" s="4" t="s">
        <v>1485</v>
      </c>
      <c r="E1741" s="4" t="s">
        <v>12359</v>
      </c>
      <c r="F1741" s="4" t="s">
        <v>10908</v>
      </c>
      <c r="G1741" s="4" t="s">
        <v>12360</v>
      </c>
      <c r="H1741" s="4" t="str">
        <f>IFERROR(__XLUDF.DUMMYFUNCTION("PROPER(REGEXREPLACE(G318,""[^A-Za-z]+ "",""""))"),"Sairen")</f>
        <v>Sairen</v>
      </c>
      <c r="I1741" s="5" t="s">
        <v>12361</v>
      </c>
      <c r="J1741" s="4" t="s">
        <v>1419</v>
      </c>
      <c r="K1741" s="4" t="s">
        <v>9160</v>
      </c>
      <c r="L1741" s="4" t="s">
        <v>29</v>
      </c>
      <c r="M1741" s="4" t="s">
        <v>2602</v>
      </c>
      <c r="N1741" s="4" t="str">
        <f>IFERROR(__XLUDF.DUMMYFUNCTION("VLOOKUP(M318,IMPORTRANGE(""https://docs.google.com/spreadsheets/d/1opm6ZNvGZ7KditA9TuJwrZ25eFLfTNIkrNnY6mhV5Eg"",""list!A1:C115""),3,TRUE)"),"le secteur de la tech")</f>
        <v xml:space="preserve">le secteur de la tech</v>
      </c>
      <c r="O1741" s="6"/>
      <c r="P1741" s="4">
        <v>13</v>
      </c>
      <c r="Q1741" s="4" t="s">
        <v>39</v>
      </c>
      <c r="R1741" s="4" t="s">
        <v>9160</v>
      </c>
      <c r="S1741" s="4" t="s">
        <v>29</v>
      </c>
      <c r="T1741" s="5" t="s">
        <v>12362</v>
      </c>
      <c r="U1741" s="6"/>
      <c r="V1741" s="6"/>
      <c r="W1741" s="6"/>
      <c r="X1741" s="6"/>
      <c r="Y1741" s="4" t="s">
        <v>12363</v>
      </c>
      <c r="Z1741" s="6"/>
      <c r="AA1741" s="5" t="s">
        <v>12364</v>
      </c>
    </row>
    <row r="1742" ht="14.25">
      <c r="B1742" s="4" t="s">
        <v>12365</v>
      </c>
      <c r="C1742" s="4" t="s">
        <v>12366</v>
      </c>
      <c r="D1742" s="4" t="s">
        <v>12367</v>
      </c>
      <c r="E1742" s="4" t="s">
        <v>12368</v>
      </c>
      <c r="F1742" s="4" t="s">
        <v>9582</v>
      </c>
      <c r="G1742" s="4" t="s">
        <v>12369</v>
      </c>
      <c r="H1742" s="4" t="str">
        <f>IFERROR(__XLUDF.DUMMYFUNCTION("PROPER(REGEXREPLACE(G319,""[^A-Za-z]+ "",""""))"),"Margueritecie")</f>
        <v>Margueritecie</v>
      </c>
      <c r="I1742" s="5" t="s">
        <v>12370</v>
      </c>
      <c r="J1742" s="4" t="s">
        <v>1589</v>
      </c>
      <c r="K1742" s="4" t="s">
        <v>9227</v>
      </c>
      <c r="L1742" s="4" t="s">
        <v>29</v>
      </c>
      <c r="M1742" s="4" t="s">
        <v>4525</v>
      </c>
      <c r="N1742" s="4" t="str">
        <f>IFERROR(__XLUDF.DUMMYFUNCTION("VLOOKUP(M319,IMPORTRANGE(""https://docs.google.com/spreadsheets/d/1opm6ZNvGZ7KditA9TuJwrZ25eFLfTNIkrNnY6mhV5Eg"",""list!A1:C115""),3,TRUE)"),"le secteur du retail")</f>
        <v xml:space="preserve">le secteur du retail</v>
      </c>
      <c r="O1742" s="6"/>
      <c r="P1742" s="4">
        <v>11</v>
      </c>
      <c r="Q1742" s="4" t="s">
        <v>1589</v>
      </c>
      <c r="R1742" s="4" t="s">
        <v>9227</v>
      </c>
      <c r="S1742" s="4" t="s">
        <v>29</v>
      </c>
      <c r="T1742" s="5" t="s">
        <v>12371</v>
      </c>
      <c r="U1742" s="5" t="s">
        <v>12372</v>
      </c>
      <c r="V1742" s="5" t="s">
        <v>12373</v>
      </c>
      <c r="W1742" s="6"/>
      <c r="X1742" s="6"/>
      <c r="Y1742" s="4" t="s">
        <v>12374</v>
      </c>
      <c r="Z1742" s="6"/>
      <c r="AA1742" s="5" t="s">
        <v>12375</v>
      </c>
    </row>
    <row r="1743" ht="14.25">
      <c r="B1743" s="4" t="s">
        <v>12376</v>
      </c>
      <c r="C1743" s="4" t="s">
        <v>2201</v>
      </c>
      <c r="D1743" s="4" t="s">
        <v>5265</v>
      </c>
      <c r="E1743" s="4" t="s">
        <v>12377</v>
      </c>
      <c r="F1743" s="4" t="s">
        <v>164</v>
      </c>
      <c r="G1743" s="4" t="s">
        <v>12378</v>
      </c>
      <c r="H1743" s="4" t="str">
        <f>IFERROR(__XLUDF.DUMMYFUNCTION("PROPER(REGEXREPLACE(G320,""[^A-Za-z]+ "",""""))"),"Adeliom")</f>
        <v>Adeliom</v>
      </c>
      <c r="I1743" s="5" t="s">
        <v>12379</v>
      </c>
      <c r="J1743" s="4" t="s">
        <v>10088</v>
      </c>
      <c r="K1743" s="4" t="s">
        <v>9251</v>
      </c>
      <c r="L1743" s="4" t="s">
        <v>29</v>
      </c>
      <c r="M1743" s="4" t="s">
        <v>2602</v>
      </c>
      <c r="N1743" s="4" t="str">
        <f>IFERROR(__XLUDF.DUMMYFUNCTION("VLOOKUP(M320,IMPORTRANGE(""https://docs.google.com/spreadsheets/d/1opm6ZNvGZ7KditA9TuJwrZ25eFLfTNIkrNnY6mhV5Eg"",""list!A1:C115""),3,TRUE)"),"le secteur de la tech")</f>
        <v xml:space="preserve">le secteur de la tech</v>
      </c>
      <c r="O1743" s="4" t="s">
        <v>12380</v>
      </c>
      <c r="P1743" s="4">
        <v>35</v>
      </c>
      <c r="Q1743" s="4" t="s">
        <v>651</v>
      </c>
      <c r="R1743" s="4" t="s">
        <v>9215</v>
      </c>
      <c r="S1743" s="4" t="s">
        <v>29</v>
      </c>
      <c r="T1743" s="5" t="s">
        <v>12381</v>
      </c>
      <c r="U1743" s="5" t="s">
        <v>12382</v>
      </c>
      <c r="V1743" s="5" t="s">
        <v>12383</v>
      </c>
      <c r="W1743" s="6"/>
      <c r="X1743" s="6"/>
      <c r="Y1743" s="4" t="s">
        <v>12384</v>
      </c>
      <c r="Z1743" s="6"/>
      <c r="AA1743" s="5" t="s">
        <v>12385</v>
      </c>
    </row>
    <row r="1744" ht="14.25">
      <c r="B1744" s="4" t="s">
        <v>12386</v>
      </c>
      <c r="C1744" s="4" t="s">
        <v>12387</v>
      </c>
      <c r="D1744" s="4" t="s">
        <v>12388</v>
      </c>
      <c r="E1744" s="4" t="s">
        <v>12389</v>
      </c>
      <c r="F1744" s="4" t="s">
        <v>9456</v>
      </c>
      <c r="G1744" s="4" t="s">
        <v>12390</v>
      </c>
      <c r="H1744" s="4" t="str">
        <f>IFERROR(__XLUDF.DUMMYFUNCTION("PROPER(REGEXREPLACE(G321,""[^A-Za-z]+ "",""""))"),"Oriolchauffage Climatisationplomberie [Saint-Étiennefrance]")</f>
        <v xml:space="preserve">Oriolchauffage Climatisationplomberie [Saint-Étiennefrance]</v>
      </c>
      <c r="I1744" s="5" t="s">
        <v>12391</v>
      </c>
      <c r="J1744" s="4" t="s">
        <v>831</v>
      </c>
      <c r="K1744" s="4" t="s">
        <v>9193</v>
      </c>
      <c r="L1744" s="4" t="s">
        <v>29</v>
      </c>
      <c r="M1744" s="4" t="s">
        <v>9239</v>
      </c>
      <c r="N1744" s="4" t="str">
        <f>IFERROR(__XLUDF.DUMMYFUNCTION("VLOOKUP(M321,IMPORTRANGE(""https://docs.google.com/spreadsheets/d/1opm6ZNvGZ7KditA9TuJwrZ25eFLfTNIkrNnY6mhV5Eg"",""list!A1:C115""),3,TRUE)"),"le secteur de la construction")</f>
        <v xml:space="preserve">le secteur de la construction</v>
      </c>
      <c r="O1744" s="6"/>
      <c r="P1744" s="4">
        <v>32</v>
      </c>
      <c r="Q1744" s="4" t="s">
        <v>831</v>
      </c>
      <c r="R1744" s="4" t="s">
        <v>9172</v>
      </c>
      <c r="S1744" s="4" t="s">
        <v>29</v>
      </c>
      <c r="T1744" s="5" t="s">
        <v>12392</v>
      </c>
      <c r="U1744" s="6"/>
      <c r="V1744" s="6"/>
      <c r="W1744" s="6"/>
      <c r="X1744" s="6"/>
      <c r="Y1744" s="4" t="s">
        <v>12393</v>
      </c>
      <c r="Z1744" s="6"/>
      <c r="AA1744" s="5" t="s">
        <v>12394</v>
      </c>
    </row>
    <row r="1745" ht="14.25">
      <c r="B1745" s="4" t="s">
        <v>12395</v>
      </c>
      <c r="C1745" s="4" t="s">
        <v>12396</v>
      </c>
      <c r="D1745" s="4" t="s">
        <v>12397</v>
      </c>
      <c r="E1745" s="4" t="s">
        <v>12398</v>
      </c>
      <c r="F1745" s="4" t="s">
        <v>112</v>
      </c>
      <c r="G1745" s="4" t="s">
        <v>12399</v>
      </c>
      <c r="H1745" s="4" t="str">
        <f>IFERROR(__XLUDF.DUMMYFUNCTION("PROPER(REGEXREPLACE(G322,""[^A-Za-z]+ "",""""))"),"Groupe Energies")</f>
        <v xml:space="preserve">Groupe Energies</v>
      </c>
      <c r="I1745" s="5" t="s">
        <v>12400</v>
      </c>
      <c r="J1745" s="4" t="s">
        <v>1015</v>
      </c>
      <c r="K1745" s="4" t="s">
        <v>9251</v>
      </c>
      <c r="L1745" s="4" t="s">
        <v>29</v>
      </c>
      <c r="M1745" s="4" t="s">
        <v>9239</v>
      </c>
      <c r="N1745" s="4" t="str">
        <f>IFERROR(__XLUDF.DUMMYFUNCTION("VLOOKUP(M322,IMPORTRANGE(""https://docs.google.com/spreadsheets/d/1opm6ZNvGZ7KditA9TuJwrZ25eFLfTNIkrNnY6mhV5Eg"",""list!A1:C115""),3,TRUE)"),"le secteur de la construction")</f>
        <v xml:space="preserve">le secteur de la construction</v>
      </c>
      <c r="O1745" s="4" t="s">
        <v>12401</v>
      </c>
      <c r="P1745" s="4">
        <v>11</v>
      </c>
      <c r="Q1745" s="4" t="s">
        <v>1015</v>
      </c>
      <c r="R1745" s="4" t="s">
        <v>9251</v>
      </c>
      <c r="S1745" s="4" t="s">
        <v>29</v>
      </c>
      <c r="T1745" s="5" t="s">
        <v>12402</v>
      </c>
      <c r="U1745" s="6"/>
      <c r="V1745" s="6"/>
      <c r="W1745" s="6"/>
      <c r="X1745" s="6"/>
      <c r="Y1745" s="4" t="s">
        <v>12403</v>
      </c>
      <c r="Z1745" s="6"/>
      <c r="AA1745" s="5" t="s">
        <v>12404</v>
      </c>
    </row>
    <row r="1746" ht="14.25">
      <c r="B1746" s="4" t="s">
        <v>12405</v>
      </c>
      <c r="C1746" s="4" t="s">
        <v>1740</v>
      </c>
      <c r="D1746" s="4" t="s">
        <v>12406</v>
      </c>
      <c r="E1746" s="4" t="s">
        <v>12407</v>
      </c>
      <c r="F1746" s="4" t="s">
        <v>3326</v>
      </c>
      <c r="G1746" s="4" t="s">
        <v>12408</v>
      </c>
      <c r="H1746" s="4" t="str">
        <f>IFERROR(__XLUDF.DUMMYFUNCTION("PROPER(REGEXREPLACE(G323,""[^A-Za-z]+ "",""""))"),"Lianeo")</f>
        <v>Lianeo</v>
      </c>
      <c r="I1746" s="5" t="s">
        <v>12409</v>
      </c>
      <c r="J1746" s="4" t="s">
        <v>39</v>
      </c>
      <c r="K1746" s="4" t="s">
        <v>9160</v>
      </c>
      <c r="L1746" s="4" t="s">
        <v>29</v>
      </c>
      <c r="M1746" s="4" t="s">
        <v>2602</v>
      </c>
      <c r="N1746" s="4" t="str">
        <f>IFERROR(__XLUDF.DUMMYFUNCTION("VLOOKUP(M323,IMPORTRANGE(""https://docs.google.com/spreadsheets/d/1opm6ZNvGZ7KditA9TuJwrZ25eFLfTNIkrNnY6mhV5Eg"",""list!A1:C115""),3,TRUE)"),"le secteur de la tech")</f>
        <v xml:space="preserve">le secteur de la tech</v>
      </c>
      <c r="O1746" s="4" t="s">
        <v>12410</v>
      </c>
      <c r="P1746" s="4">
        <v>15</v>
      </c>
      <c r="Q1746" s="4" t="s">
        <v>39</v>
      </c>
      <c r="R1746" s="4" t="s">
        <v>9160</v>
      </c>
      <c r="S1746" s="4" t="s">
        <v>29</v>
      </c>
      <c r="T1746" s="5" t="s">
        <v>12411</v>
      </c>
      <c r="U1746" s="6"/>
      <c r="V1746" s="6"/>
      <c r="W1746" s="6"/>
      <c r="X1746" s="6"/>
      <c r="Y1746" s="4" t="s">
        <v>12412</v>
      </c>
      <c r="Z1746" s="6"/>
      <c r="AA1746" s="5" t="s">
        <v>12413</v>
      </c>
    </row>
    <row r="1747" ht="14.25">
      <c r="B1747" s="4" t="s">
        <v>12414</v>
      </c>
      <c r="C1747" s="4" t="s">
        <v>1740</v>
      </c>
      <c r="D1747" s="4" t="s">
        <v>12415</v>
      </c>
      <c r="E1747" s="4" t="s">
        <v>12416</v>
      </c>
      <c r="F1747" s="4" t="s">
        <v>1231</v>
      </c>
      <c r="G1747" s="4" t="s">
        <v>12417</v>
      </c>
      <c r="H1747" s="4" t="str">
        <f>IFERROR(__XLUDF.DUMMYFUNCTION("PROPER(REGEXREPLACE(G324,""[^A-Za-z]+ "",""""))"),"Aletiq")</f>
        <v>Aletiq</v>
      </c>
      <c r="I1747" s="5" t="s">
        <v>12418</v>
      </c>
      <c r="J1747" s="4" t="s">
        <v>39</v>
      </c>
      <c r="K1747" s="4" t="s">
        <v>9160</v>
      </c>
      <c r="L1747" s="4" t="s">
        <v>29</v>
      </c>
      <c r="M1747" s="4" t="s">
        <v>2602</v>
      </c>
      <c r="N1747" s="4" t="str">
        <f>IFERROR(__XLUDF.DUMMYFUNCTION("VLOOKUP(M324,IMPORTRANGE(""https://docs.google.com/spreadsheets/d/1opm6ZNvGZ7KditA9TuJwrZ25eFLfTNIkrNnY6mhV5Eg"",""list!A1:C115""),3,TRUE)"),"le secteur de la tech")</f>
        <v xml:space="preserve">le secteur de la tech</v>
      </c>
      <c r="O1747" s="6"/>
      <c r="P1747" s="4">
        <v>23</v>
      </c>
      <c r="Q1747" s="4" t="s">
        <v>39</v>
      </c>
      <c r="R1747" s="4" t="s">
        <v>9160</v>
      </c>
      <c r="S1747" s="4" t="s">
        <v>29</v>
      </c>
      <c r="T1747" s="5" t="s">
        <v>12419</v>
      </c>
      <c r="U1747" s="6"/>
      <c r="V1747" s="6"/>
      <c r="W1747" s="6"/>
      <c r="X1747" s="6"/>
      <c r="Y1747" s="4" t="s">
        <v>12420</v>
      </c>
      <c r="Z1747" s="6"/>
      <c r="AA1747" s="5" t="s">
        <v>12421</v>
      </c>
    </row>
    <row r="1748" ht="14.25">
      <c r="B1748" s="4" t="s">
        <v>12422</v>
      </c>
      <c r="C1748" s="4" t="s">
        <v>6844</v>
      </c>
      <c r="D1748" s="4" t="s">
        <v>12423</v>
      </c>
      <c r="E1748" s="4" t="s">
        <v>12424</v>
      </c>
      <c r="F1748" s="4" t="s">
        <v>5500</v>
      </c>
      <c r="G1748" s="4" t="s">
        <v>12425</v>
      </c>
      <c r="H1748" s="4" t="str">
        <f>IFERROR(__XLUDF.DUMMYFUNCTION("PROPER(REGEXREPLACE(G325,""[^A-Za-z]+ "",""""))"),"Arjuna")</f>
        <v>Arjuna</v>
      </c>
      <c r="I1748" s="5" t="s">
        <v>12426</v>
      </c>
      <c r="J1748" s="4" t="s">
        <v>39</v>
      </c>
      <c r="K1748" s="4" t="s">
        <v>9160</v>
      </c>
      <c r="L1748" s="4" t="s">
        <v>29</v>
      </c>
      <c r="M1748" s="4" t="s">
        <v>4067</v>
      </c>
      <c r="N1748" s="4" t="str">
        <f>IFERROR(__XLUDF.DUMMYFUNCTION("VLOOKUP(M325,IMPORTRANGE(""https://docs.google.com/spreadsheets/d/1opm6ZNvGZ7KditA9TuJwrZ25eFLfTNIkrNnY6mhV5Eg"",""list!A1:C115""),3,TRUE)"),"le secteur du conseil en management")</f>
        <v xml:space="preserve">le secteur du conseil en management</v>
      </c>
      <c r="O1748" s="4" t="s">
        <v>12427</v>
      </c>
      <c r="P1748" s="4">
        <v>36</v>
      </c>
      <c r="Q1748" s="4" t="s">
        <v>10798</v>
      </c>
      <c r="R1748" s="4" t="s">
        <v>9160</v>
      </c>
      <c r="S1748" s="4" t="s">
        <v>29</v>
      </c>
      <c r="T1748" s="5" t="s">
        <v>12428</v>
      </c>
      <c r="U1748" s="6"/>
      <c r="V1748" s="6"/>
      <c r="W1748" s="6"/>
      <c r="X1748" s="6"/>
      <c r="Y1748" s="4" t="s">
        <v>12429</v>
      </c>
      <c r="Z1748" s="6"/>
      <c r="AA1748" s="5" t="s">
        <v>12430</v>
      </c>
    </row>
    <row r="1749" ht="14.25">
      <c r="B1749" s="4" t="s">
        <v>12431</v>
      </c>
      <c r="C1749" s="4" t="s">
        <v>4993</v>
      </c>
      <c r="D1749" s="4" t="s">
        <v>12432</v>
      </c>
      <c r="E1749" s="4" t="s">
        <v>12433</v>
      </c>
      <c r="F1749" s="4" t="s">
        <v>341</v>
      </c>
      <c r="G1749" s="4" t="s">
        <v>12434</v>
      </c>
      <c r="H1749" s="4" t="str">
        <f>IFERROR(__XLUDF.DUMMYFUNCTION("PROPER(REGEXREPLACE(G326,""[^A-Za-z]+ "",""""))"),"Ubikap")</f>
        <v>Ubikap</v>
      </c>
      <c r="I1749" s="5" t="s">
        <v>12435</v>
      </c>
      <c r="J1749" s="4" t="s">
        <v>185</v>
      </c>
      <c r="K1749" s="4" t="s">
        <v>9193</v>
      </c>
      <c r="L1749" s="4" t="s">
        <v>29</v>
      </c>
      <c r="M1749" s="4" t="s">
        <v>2602</v>
      </c>
      <c r="N1749" s="4" t="str">
        <f>IFERROR(__XLUDF.DUMMYFUNCTION("VLOOKUP(M326,IMPORTRANGE(""https://docs.google.com/spreadsheets/d/1opm6ZNvGZ7KditA9TuJwrZ25eFLfTNIkrNnY6mhV5Eg"",""list!A1:C115""),3,TRUE)"),"le secteur de la tech")</f>
        <v xml:space="preserve">le secteur de la tech</v>
      </c>
      <c r="O1749" s="4" t="s">
        <v>12436</v>
      </c>
      <c r="P1749" s="4">
        <v>11</v>
      </c>
      <c r="Q1749" s="4" t="s">
        <v>185</v>
      </c>
      <c r="R1749" s="4" t="s">
        <v>9193</v>
      </c>
      <c r="S1749" s="4" t="s">
        <v>29</v>
      </c>
      <c r="T1749" s="5" t="s">
        <v>12437</v>
      </c>
      <c r="U1749" s="6"/>
      <c r="V1749" s="6"/>
      <c r="W1749" s="6"/>
      <c r="X1749" s="6"/>
      <c r="Y1749" s="4" t="s">
        <v>12438</v>
      </c>
      <c r="Z1749" s="6"/>
      <c r="AA1749" s="5" t="s">
        <v>12439</v>
      </c>
    </row>
    <row r="1750" ht="14.25">
      <c r="B1750" s="4" t="s">
        <v>12440</v>
      </c>
      <c r="C1750" s="4" t="s">
        <v>12327</v>
      </c>
      <c r="D1750" s="4" t="s">
        <v>12441</v>
      </c>
      <c r="E1750" s="4" t="s">
        <v>12442</v>
      </c>
      <c r="F1750" s="4" t="s">
        <v>9456</v>
      </c>
      <c r="G1750" s="4" t="s">
        <v>12443</v>
      </c>
      <c r="H1750" s="4" t="str">
        <f>IFERROR(__XLUDF.DUMMYFUNCTION("PROPER(REGEXREPLACE(G327,""[^A-Za-z]+ "",""""))"),"Cap Manager")</f>
        <v xml:space="preserve">Cap Manager</v>
      </c>
      <c r="I1750" s="5" t="s">
        <v>12444</v>
      </c>
      <c r="J1750" s="4" t="s">
        <v>12445</v>
      </c>
      <c r="K1750" s="4" t="s">
        <v>9460</v>
      </c>
      <c r="L1750" s="4" t="s">
        <v>29</v>
      </c>
      <c r="M1750" s="4" t="s">
        <v>4067</v>
      </c>
      <c r="N1750" s="4" t="str">
        <f>IFERROR(__XLUDF.DUMMYFUNCTION("VLOOKUP(M327,IMPORTRANGE(""https://docs.google.com/spreadsheets/d/1opm6ZNvGZ7KditA9TuJwrZ25eFLfTNIkrNnY6mhV5Eg"",""list!A1:C115""),3,TRUE)"),"le secteur du conseil en management")</f>
        <v xml:space="preserve">le secteur du conseil en management</v>
      </c>
      <c r="O1750" s="4" t="s">
        <v>12446</v>
      </c>
      <c r="P1750" s="4">
        <v>10</v>
      </c>
      <c r="Q1750" s="4" t="s">
        <v>12445</v>
      </c>
      <c r="R1750" s="4" t="s">
        <v>9254</v>
      </c>
      <c r="S1750" s="4" t="s">
        <v>29</v>
      </c>
      <c r="T1750" s="5" t="s">
        <v>12447</v>
      </c>
      <c r="U1750" s="6"/>
      <c r="V1750" s="5" t="s">
        <v>12448</v>
      </c>
      <c r="W1750" s="6"/>
      <c r="X1750" s="6"/>
      <c r="Y1750" s="4" t="s">
        <v>12449</v>
      </c>
      <c r="Z1750" s="6"/>
      <c r="AA1750" s="5" t="s">
        <v>12450</v>
      </c>
    </row>
    <row r="1751" ht="14.25">
      <c r="B1751" s="4" t="s">
        <v>12451</v>
      </c>
      <c r="C1751" s="4" t="s">
        <v>12452</v>
      </c>
      <c r="D1751" s="4" t="s">
        <v>963</v>
      </c>
      <c r="E1751" s="4" t="s">
        <v>12453</v>
      </c>
      <c r="F1751" s="4" t="s">
        <v>265</v>
      </c>
      <c r="G1751" s="4" t="s">
        <v>12454</v>
      </c>
      <c r="H1751" s="4" t="str">
        <f>IFERROR(__XLUDF.DUMMYFUNCTION("PROPER(REGEXREPLACE(G328,""[^A-Za-z]+ "",""""))"),"Tabsters")</f>
        <v>Tabsters</v>
      </c>
      <c r="I1751" s="5" t="s">
        <v>12455</v>
      </c>
      <c r="J1751" s="4" t="s">
        <v>39</v>
      </c>
      <c r="K1751" s="4" t="s">
        <v>9160</v>
      </c>
      <c r="L1751" s="4" t="s">
        <v>29</v>
      </c>
      <c r="M1751" s="4" t="s">
        <v>2602</v>
      </c>
      <c r="N1751" s="4" t="str">
        <f>IFERROR(__XLUDF.DUMMYFUNCTION("VLOOKUP(M328,IMPORTRANGE(""https://docs.google.com/spreadsheets/d/1opm6ZNvGZ7KditA9TuJwrZ25eFLfTNIkrNnY6mhV5Eg"",""list!A1:C115""),3,TRUE)"),"le secteur de la tech")</f>
        <v xml:space="preserve">le secteur de la tech</v>
      </c>
      <c r="O1751" s="6"/>
      <c r="P1751" s="4">
        <v>19</v>
      </c>
      <c r="Q1751" s="4" t="s">
        <v>39</v>
      </c>
      <c r="R1751" s="4" t="s">
        <v>9160</v>
      </c>
      <c r="S1751" s="4" t="s">
        <v>29</v>
      </c>
      <c r="T1751" s="5" t="s">
        <v>12456</v>
      </c>
      <c r="U1751" s="6"/>
      <c r="V1751" s="6"/>
      <c r="W1751" s="6"/>
      <c r="X1751" s="6"/>
      <c r="Y1751" s="4" t="s">
        <v>12457</v>
      </c>
      <c r="Z1751" s="6"/>
      <c r="AA1751" s="5" t="s">
        <v>12458</v>
      </c>
    </row>
    <row r="1752" ht="14.25">
      <c r="B1752" s="4" t="s">
        <v>12459</v>
      </c>
      <c r="C1752" s="4" t="s">
        <v>12460</v>
      </c>
      <c r="D1752" s="4" t="s">
        <v>12461</v>
      </c>
      <c r="E1752" s="4" t="s">
        <v>12462</v>
      </c>
      <c r="F1752" s="4" t="s">
        <v>112</v>
      </c>
      <c r="G1752" s="4" t="s">
        <v>12463</v>
      </c>
      <c r="H1752" s="4" t="str">
        <f>IFERROR(__XLUDF.DUMMYFUNCTION("PROPER(REGEXREPLACE(G329,""[^A-Za-z]+ "",""""))"),"Sprint Je")</f>
        <v xml:space="preserve">Sprint Je</v>
      </c>
      <c r="I1752" s="5" t="s">
        <v>12464</v>
      </c>
      <c r="J1752" s="4" t="s">
        <v>39</v>
      </c>
      <c r="K1752" s="4" t="s">
        <v>9160</v>
      </c>
      <c r="L1752" s="4" t="s">
        <v>29</v>
      </c>
      <c r="M1752" s="4" t="s">
        <v>2602</v>
      </c>
      <c r="N1752" s="4" t="str">
        <f>IFERROR(__XLUDF.DUMMYFUNCTION("VLOOKUP(M329,IMPORTRANGE(""https://docs.google.com/spreadsheets/d/1opm6ZNvGZ7KditA9TuJwrZ25eFLfTNIkrNnY6mhV5Eg"",""list!A1:C115""),3,TRUE)"),"le secteur de la tech")</f>
        <v xml:space="preserve">le secteur de la tech</v>
      </c>
      <c r="O1752" s="4" t="s">
        <v>12465</v>
      </c>
      <c r="P1752" s="4">
        <v>44</v>
      </c>
      <c r="Q1752" s="4" t="s">
        <v>12466</v>
      </c>
      <c r="R1752" s="4" t="s">
        <v>9160</v>
      </c>
      <c r="S1752" s="4" t="s">
        <v>29</v>
      </c>
      <c r="T1752" s="5" t="s">
        <v>12467</v>
      </c>
      <c r="U1752" s="6"/>
      <c r="V1752" s="5" t="s">
        <v>12468</v>
      </c>
      <c r="W1752" s="6"/>
      <c r="X1752" s="6"/>
      <c r="Y1752" s="4" t="s">
        <v>12469</v>
      </c>
      <c r="Z1752" s="6"/>
      <c r="AA1752" s="5" t="s">
        <v>12470</v>
      </c>
    </row>
    <row r="1753" ht="14.25">
      <c r="B1753" s="4" t="s">
        <v>12471</v>
      </c>
      <c r="C1753" s="4" t="s">
        <v>355</v>
      </c>
      <c r="D1753" s="4" t="s">
        <v>12472</v>
      </c>
      <c r="E1753" s="4" t="s">
        <v>12473</v>
      </c>
      <c r="F1753" s="4" t="s">
        <v>9456</v>
      </c>
      <c r="G1753" s="5" t="s">
        <v>12474</v>
      </c>
      <c r="H1753" s="5" t="str">
        <f>IFERROR(__XLUDF.DUMMYFUNCTION("PROPER(REGEXREPLACE(G330,""[^A-Za-z]+ "",""""))"),"Lacentrale-Eco.Com")</f>
        <v>Lacentrale-Eco.Com</v>
      </c>
      <c r="I1753" s="5" t="s">
        <v>12475</v>
      </c>
      <c r="J1753" s="4" t="s">
        <v>12149</v>
      </c>
      <c r="K1753" s="4" t="s">
        <v>9193</v>
      </c>
      <c r="L1753" s="4" t="s">
        <v>29</v>
      </c>
      <c r="M1753" s="4" t="s">
        <v>9239</v>
      </c>
      <c r="N1753" s="4" t="str">
        <f>IFERROR(__XLUDF.DUMMYFUNCTION("VLOOKUP(M330,IMPORTRANGE(""https://docs.google.com/spreadsheets/d/1opm6ZNvGZ7KditA9TuJwrZ25eFLfTNIkrNnY6mhV5Eg"",""list!A1:C115""),3,TRUE)"),"le secteur de la construction")</f>
        <v xml:space="preserve">le secteur de la construction</v>
      </c>
      <c r="O1753" s="4" t="s">
        <v>12476</v>
      </c>
      <c r="P1753" s="4">
        <v>11</v>
      </c>
      <c r="Q1753" s="4" t="s">
        <v>12149</v>
      </c>
      <c r="R1753" s="4" t="s">
        <v>9193</v>
      </c>
      <c r="S1753" s="4" t="s">
        <v>29</v>
      </c>
      <c r="T1753" s="5" t="s">
        <v>12477</v>
      </c>
      <c r="U1753" s="6"/>
      <c r="V1753" s="5" t="s">
        <v>12478</v>
      </c>
      <c r="W1753" s="6"/>
      <c r="X1753" s="6"/>
      <c r="Y1753" s="4" t="s">
        <v>12479</v>
      </c>
      <c r="Z1753" s="6"/>
      <c r="AA1753" s="5" t="s">
        <v>12480</v>
      </c>
    </row>
    <row r="1754" ht="14.25">
      <c r="B1754" s="4" t="s">
        <v>12481</v>
      </c>
      <c r="C1754" s="4" t="s">
        <v>4800</v>
      </c>
      <c r="D1754" s="4" t="s">
        <v>12482</v>
      </c>
      <c r="E1754" s="4" t="s">
        <v>12483</v>
      </c>
      <c r="F1754" s="4" t="s">
        <v>12484</v>
      </c>
      <c r="G1754" s="4" t="s">
        <v>12485</v>
      </c>
      <c r="H1754" s="4" t="str">
        <f>IFERROR(__XLUDF.DUMMYFUNCTION("PROPER(REGEXREPLACE(G331,""[^A-Za-z]+ "",""""))"),"Groupe Maestra")</f>
        <v xml:space="preserve">Groupe Maestra</v>
      </c>
      <c r="I1754" s="5" t="s">
        <v>12486</v>
      </c>
      <c r="J1754" s="4" t="s">
        <v>12487</v>
      </c>
      <c r="K1754" s="4" t="s">
        <v>9251</v>
      </c>
      <c r="L1754" s="4" t="s">
        <v>29</v>
      </c>
      <c r="M1754" s="4" t="s">
        <v>2602</v>
      </c>
      <c r="N1754" s="4" t="str">
        <f>IFERROR(__XLUDF.DUMMYFUNCTION("VLOOKUP(M331,IMPORTRANGE(""https://docs.google.com/spreadsheets/d/1opm6ZNvGZ7KditA9TuJwrZ25eFLfTNIkrNnY6mhV5Eg"",""list!A1:C115""),3,TRUE)"),"le secteur de la tech")</f>
        <v xml:space="preserve">le secteur de la tech</v>
      </c>
      <c r="O1754" s="4" t="s">
        <v>12488</v>
      </c>
      <c r="P1754" s="4">
        <v>16</v>
      </c>
      <c r="Q1754" s="4" t="s">
        <v>12487</v>
      </c>
      <c r="R1754" s="4" t="s">
        <v>9251</v>
      </c>
      <c r="S1754" s="4" t="s">
        <v>29</v>
      </c>
      <c r="T1754" s="5" t="s">
        <v>12489</v>
      </c>
      <c r="U1754" s="6"/>
      <c r="V1754" s="6"/>
      <c r="W1754" s="6"/>
      <c r="X1754" s="6"/>
      <c r="Y1754" s="4" t="s">
        <v>12490</v>
      </c>
      <c r="Z1754" s="6"/>
      <c r="AA1754" s="5" t="s">
        <v>12491</v>
      </c>
    </row>
    <row r="1755" ht="14.25">
      <c r="B1755" s="4" t="s">
        <v>12492</v>
      </c>
      <c r="C1755" s="4" t="s">
        <v>4800</v>
      </c>
      <c r="D1755" s="4" t="s">
        <v>12493</v>
      </c>
      <c r="E1755" s="4" t="s">
        <v>12494</v>
      </c>
      <c r="F1755" s="4" t="s">
        <v>7759</v>
      </c>
      <c r="G1755" s="4" t="s">
        <v>12495</v>
      </c>
      <c r="H1755" s="4" t="str">
        <f>IFERROR(__XLUDF.DUMMYFUNCTION("PROPER(REGEXREPLACE(G332,""[^A-Za-z]+ "",""""))"),"Retour De Plage")</f>
        <v xml:space="preserve">Retour De Plage</v>
      </c>
      <c r="I1755" s="5" t="s">
        <v>12496</v>
      </c>
      <c r="J1755" s="4" t="s">
        <v>12497</v>
      </c>
      <c r="K1755" s="4" t="s">
        <v>9864</v>
      </c>
      <c r="L1755" s="4" t="s">
        <v>29</v>
      </c>
      <c r="M1755" s="4" t="s">
        <v>4525</v>
      </c>
      <c r="N1755" s="4" t="str">
        <f>IFERROR(__XLUDF.DUMMYFUNCTION("VLOOKUP(M332,IMPORTRANGE(""https://docs.google.com/spreadsheets/d/1opm6ZNvGZ7KditA9TuJwrZ25eFLfTNIkrNnY6mhV5Eg"",""list!A1:C115""),3,TRUE)"),"le secteur du retail")</f>
        <v xml:space="preserve">le secteur du retail</v>
      </c>
      <c r="O1755" s="4" t="s">
        <v>12498</v>
      </c>
      <c r="P1755" s="4">
        <v>45</v>
      </c>
      <c r="Q1755" s="4" t="s">
        <v>12497</v>
      </c>
      <c r="R1755" s="4" t="s">
        <v>9864</v>
      </c>
      <c r="S1755" s="4" t="s">
        <v>29</v>
      </c>
      <c r="T1755" s="5" t="s">
        <v>12499</v>
      </c>
      <c r="U1755" s="6"/>
      <c r="V1755" s="5" t="s">
        <v>12500</v>
      </c>
      <c r="W1755" s="6"/>
      <c r="X1755" s="6"/>
      <c r="Y1755" s="4" t="s">
        <v>12501</v>
      </c>
      <c r="Z1755" s="6"/>
      <c r="AA1755" s="5" t="s">
        <v>12502</v>
      </c>
    </row>
    <row r="1756" ht="14.25">
      <c r="B1756" s="4" t="s">
        <v>12503</v>
      </c>
      <c r="C1756" s="4" t="s">
        <v>4800</v>
      </c>
      <c r="D1756" s="4" t="s">
        <v>2208</v>
      </c>
      <c r="E1756" s="4" t="s">
        <v>12504</v>
      </c>
      <c r="F1756" s="4" t="s">
        <v>426</v>
      </c>
      <c r="G1756" s="4" t="s">
        <v>12505</v>
      </c>
      <c r="H1756" s="4" t="str">
        <f>IFERROR(__XLUDF.DUMMYFUNCTION("PROPER(REGEXREPLACE(G333,""[^A-Za-z]+ "",""""))"),"La Boutique Du Feu")</f>
        <v xml:space="preserve">La Boutique Du Feu</v>
      </c>
      <c r="I1756" s="5" t="s">
        <v>12506</v>
      </c>
      <c r="J1756" s="4" t="s">
        <v>243</v>
      </c>
      <c r="K1756" s="4" t="s">
        <v>9864</v>
      </c>
      <c r="L1756" s="4" t="s">
        <v>29</v>
      </c>
      <c r="M1756" s="4" t="s">
        <v>9239</v>
      </c>
      <c r="N1756" s="4" t="str">
        <f>IFERROR(__XLUDF.DUMMYFUNCTION("VLOOKUP(M333,IMPORTRANGE(""https://docs.google.com/spreadsheets/d/1opm6ZNvGZ7KditA9TuJwrZ25eFLfTNIkrNnY6mhV5Eg"",""list!A1:C115""),3,TRUE)"),"le secteur de la construction")</f>
        <v xml:space="preserve">le secteur de la construction</v>
      </c>
      <c r="O1756" s="6"/>
      <c r="P1756" s="4">
        <v>11</v>
      </c>
      <c r="Q1756" s="4" t="s">
        <v>12507</v>
      </c>
      <c r="R1756" s="4" t="s">
        <v>9864</v>
      </c>
      <c r="S1756" s="4" t="s">
        <v>29</v>
      </c>
      <c r="T1756" s="5" t="s">
        <v>12508</v>
      </c>
      <c r="U1756" s="6"/>
      <c r="V1756" s="6"/>
      <c r="W1756" s="6"/>
      <c r="X1756" s="6"/>
      <c r="Y1756" s="4" t="s">
        <v>12509</v>
      </c>
      <c r="Z1756" s="6"/>
      <c r="AA1756" s="5" t="s">
        <v>12510</v>
      </c>
    </row>
    <row r="1757" ht="14.25">
      <c r="B1757" s="4" t="s">
        <v>12511</v>
      </c>
      <c r="C1757" s="4" t="s">
        <v>840</v>
      </c>
      <c r="D1757" s="4" t="s">
        <v>12512</v>
      </c>
      <c r="E1757" s="4" t="s">
        <v>12513</v>
      </c>
      <c r="F1757" s="4" t="s">
        <v>62</v>
      </c>
      <c r="G1757" s="4" t="s">
        <v>12514</v>
      </c>
      <c r="H1757" s="4" t="str">
        <f>IFERROR(__XLUDF.DUMMYFUNCTION("PROPER(REGEXREPLACE(G334,""[^A-Za-z]+ "",""""))"),"Grk")</f>
        <v>Grk</v>
      </c>
      <c r="I1757" s="5" t="s">
        <v>12515</v>
      </c>
      <c r="J1757" s="6"/>
      <c r="K1757" s="6"/>
      <c r="L1757" s="4" t="s">
        <v>29</v>
      </c>
      <c r="M1757" s="4" t="s">
        <v>4067</v>
      </c>
      <c r="N1757" s="4" t="str">
        <f>IFERROR(__XLUDF.DUMMYFUNCTION("VLOOKUP(M334,IMPORTRANGE(""https://docs.google.com/spreadsheets/d/1opm6ZNvGZ7KditA9TuJwrZ25eFLfTNIkrNnY6mhV5Eg"",""list!A1:C115""),3,TRUE)"),"le secteur du conseil en management")</f>
        <v xml:space="preserve">le secteur du conseil en management</v>
      </c>
      <c r="O1757" s="4" t="s">
        <v>12516</v>
      </c>
      <c r="P1757" s="4">
        <v>10</v>
      </c>
      <c r="Q1757" s="4" t="s">
        <v>295</v>
      </c>
      <c r="R1757" s="4" t="s">
        <v>9251</v>
      </c>
      <c r="S1757" s="4" t="s">
        <v>29</v>
      </c>
      <c r="T1757" s="5" t="s">
        <v>12517</v>
      </c>
      <c r="U1757" s="6"/>
      <c r="V1757" s="6"/>
      <c r="W1757" s="6"/>
      <c r="X1757" s="6"/>
      <c r="Y1757" s="4" t="s">
        <v>12518</v>
      </c>
      <c r="Z1757" s="6"/>
      <c r="AA1757" s="5" t="s">
        <v>12519</v>
      </c>
    </row>
    <row r="1758" ht="14.25">
      <c r="B1758" s="4" t="s">
        <v>12520</v>
      </c>
      <c r="C1758" s="4" t="s">
        <v>355</v>
      </c>
      <c r="D1758" s="4" t="s">
        <v>12521</v>
      </c>
      <c r="E1758" s="4" t="s">
        <v>12522</v>
      </c>
      <c r="F1758" s="4" t="s">
        <v>7185</v>
      </c>
      <c r="G1758" s="4" t="s">
        <v>12523</v>
      </c>
      <c r="H1758" s="4" t="str">
        <f>IFERROR(__XLUDF.DUMMYFUNCTION("PROPER(REGEXREPLACE(G335,""[^A-Za-z]+ "",""""))"),"Tecb")</f>
        <v>Tecb</v>
      </c>
      <c r="I1758" s="5" t="s">
        <v>12524</v>
      </c>
      <c r="J1758" s="4" t="s">
        <v>846</v>
      </c>
      <c r="K1758" s="4" t="s">
        <v>9281</v>
      </c>
      <c r="L1758" s="4" t="s">
        <v>29</v>
      </c>
      <c r="M1758" s="4" t="s">
        <v>2602</v>
      </c>
      <c r="N1758" s="4" t="str">
        <f>IFERROR(__XLUDF.DUMMYFUNCTION("VLOOKUP(M335,IMPORTRANGE(""https://docs.google.com/spreadsheets/d/1opm6ZNvGZ7KditA9TuJwrZ25eFLfTNIkrNnY6mhV5Eg"",""list!A1:C115""),3,TRUE)"),"le secteur de la tech")</f>
        <v xml:space="preserve">le secteur de la tech</v>
      </c>
      <c r="O1758" s="6"/>
      <c r="P1758" s="4">
        <v>19</v>
      </c>
      <c r="Q1758" s="4" t="s">
        <v>846</v>
      </c>
      <c r="R1758" s="4" t="s">
        <v>9281</v>
      </c>
      <c r="S1758" s="4" t="s">
        <v>29</v>
      </c>
      <c r="T1758" s="5" t="s">
        <v>12525</v>
      </c>
      <c r="U1758" s="6"/>
      <c r="V1758" s="5" t="s">
        <v>12526</v>
      </c>
      <c r="W1758" s="6"/>
      <c r="X1758" s="6"/>
      <c r="Y1758" s="4" t="s">
        <v>12527</v>
      </c>
      <c r="Z1758" s="6"/>
      <c r="AA1758" s="5" t="s">
        <v>12528</v>
      </c>
    </row>
    <row r="1759" ht="14.25">
      <c r="B1759" s="4" t="s">
        <v>12529</v>
      </c>
      <c r="C1759" s="4" t="s">
        <v>840</v>
      </c>
      <c r="D1759" s="4" t="s">
        <v>12530</v>
      </c>
      <c r="E1759" s="4" t="s">
        <v>12531</v>
      </c>
      <c r="F1759" s="4" t="s">
        <v>281</v>
      </c>
      <c r="G1759" s="4" t="s">
        <v>12532</v>
      </c>
      <c r="H1759" s="4" t="str">
        <f>IFERROR(__XLUDF.DUMMYFUNCTION("PROPER(REGEXREPLACE(G336,""[^A-Za-z]+ "",""""))"),"Melis Technology")</f>
        <v xml:space="preserve">Melis Technology</v>
      </c>
      <c r="I1759" s="5" t="s">
        <v>12533</v>
      </c>
      <c r="J1759" s="6"/>
      <c r="K1759" s="6"/>
      <c r="L1759" s="4" t="s">
        <v>29</v>
      </c>
      <c r="M1759" s="4" t="s">
        <v>2602</v>
      </c>
      <c r="N1759" s="4" t="str">
        <f>IFERROR(__XLUDF.DUMMYFUNCTION("VLOOKUP(M336,IMPORTRANGE(""https://docs.google.com/spreadsheets/d/1opm6ZNvGZ7KditA9TuJwrZ25eFLfTNIkrNnY6mhV5Eg"",""list!A1:C115""),3,TRUE)"),"le secteur de la tech")</f>
        <v xml:space="preserve">le secteur de la tech</v>
      </c>
      <c r="O1759" s="4" t="s">
        <v>12534</v>
      </c>
      <c r="P1759" s="4">
        <v>15</v>
      </c>
      <c r="Q1759" s="4" t="s">
        <v>39</v>
      </c>
      <c r="R1759" s="4" t="s">
        <v>9160</v>
      </c>
      <c r="S1759" s="4" t="s">
        <v>29</v>
      </c>
      <c r="T1759" s="5" t="s">
        <v>12535</v>
      </c>
      <c r="U1759" s="5" t="s">
        <v>12536</v>
      </c>
      <c r="V1759" s="5" t="s">
        <v>12537</v>
      </c>
      <c r="W1759" s="6"/>
      <c r="X1759" s="6"/>
      <c r="Y1759" s="4" t="s">
        <v>12538</v>
      </c>
      <c r="Z1759" s="6"/>
      <c r="AA1759" s="5" t="s">
        <v>12539</v>
      </c>
    </row>
    <row r="1760" ht="14.25">
      <c r="B1760" s="4" t="s">
        <v>12540</v>
      </c>
      <c r="C1760" s="4" t="s">
        <v>1853</v>
      </c>
      <c r="D1760" s="4" t="s">
        <v>12541</v>
      </c>
      <c r="E1760" s="4" t="s">
        <v>12542</v>
      </c>
      <c r="F1760" s="4" t="s">
        <v>7759</v>
      </c>
      <c r="G1760" s="4" t="s">
        <v>12543</v>
      </c>
      <c r="H1760" s="4" t="str">
        <f>IFERROR(__XLUDF.DUMMYFUNCTION("PROPER(REGEXREPLACE(G337,""[^A-Za-z]+ "",""""))"),"Glinche Automobiles")</f>
        <v xml:space="preserve">Glinche Automobiles</v>
      </c>
      <c r="I1760" s="5" t="s">
        <v>12544</v>
      </c>
      <c r="J1760" s="4" t="s">
        <v>2650</v>
      </c>
      <c r="K1760" s="4" t="s">
        <v>9350</v>
      </c>
      <c r="L1760" s="4" t="s">
        <v>29</v>
      </c>
      <c r="M1760" s="4" t="s">
        <v>4525</v>
      </c>
      <c r="N1760" s="4" t="str">
        <f>IFERROR(__XLUDF.DUMMYFUNCTION("VLOOKUP(M337,IMPORTRANGE(""https://docs.google.com/spreadsheets/d/1opm6ZNvGZ7KditA9TuJwrZ25eFLfTNIkrNnY6mhV5Eg"",""list!A1:C115""),3,TRUE)"),"le secteur du retail")</f>
        <v xml:space="preserve">le secteur du retail</v>
      </c>
      <c r="O1760" s="4" t="s">
        <v>12545</v>
      </c>
      <c r="P1760" s="4">
        <v>40</v>
      </c>
      <c r="Q1760" s="4" t="s">
        <v>12546</v>
      </c>
      <c r="R1760" s="4" t="s">
        <v>9350</v>
      </c>
      <c r="S1760" s="4" t="s">
        <v>29</v>
      </c>
      <c r="T1760" s="5" t="s">
        <v>12547</v>
      </c>
      <c r="U1760" s="6"/>
      <c r="V1760" s="6"/>
      <c r="W1760" s="6"/>
      <c r="X1760" s="6"/>
      <c r="Y1760" s="4" t="s">
        <v>12548</v>
      </c>
      <c r="Z1760" s="6"/>
      <c r="AA1760" s="5" t="s">
        <v>12549</v>
      </c>
    </row>
    <row r="1761" ht="14.25">
      <c r="B1761" s="4" t="s">
        <v>12550</v>
      </c>
      <c r="C1761" s="4" t="s">
        <v>4800</v>
      </c>
      <c r="D1761" s="4" t="s">
        <v>12551</v>
      </c>
      <c r="E1761" s="4" t="s">
        <v>12552</v>
      </c>
      <c r="F1761" s="4" t="s">
        <v>12553</v>
      </c>
      <c r="G1761" s="4" t="s">
        <v>12554</v>
      </c>
      <c r="H1761" s="4" t="str">
        <f>IFERROR(__XLUDF.DUMMYFUNCTION("PROPER(REGEXREPLACE(G338,""[^A-Za-z]+ "",""""))"),"Adquat")</f>
        <v>Adquat</v>
      </c>
      <c r="I1761" s="5" t="s">
        <v>12555</v>
      </c>
      <c r="J1761" s="4" t="s">
        <v>12556</v>
      </c>
      <c r="K1761" s="4" t="s">
        <v>9193</v>
      </c>
      <c r="L1761" s="4" t="s">
        <v>29</v>
      </c>
      <c r="M1761" s="4" t="s">
        <v>2602</v>
      </c>
      <c r="N1761" s="4" t="str">
        <f>IFERROR(__XLUDF.DUMMYFUNCTION("VLOOKUP(M338,IMPORTRANGE(""https://docs.google.com/spreadsheets/d/1opm6ZNvGZ7KditA9TuJwrZ25eFLfTNIkrNnY6mhV5Eg"",""list!A1:C115""),3,TRUE)"),"le secteur de la tech")</f>
        <v xml:space="preserve">le secteur de la tech</v>
      </c>
      <c r="O1761" s="4" t="s">
        <v>12557</v>
      </c>
      <c r="P1761" s="4">
        <v>12</v>
      </c>
      <c r="Q1761" s="4" t="s">
        <v>12556</v>
      </c>
      <c r="R1761" s="4" t="s">
        <v>9172</v>
      </c>
      <c r="S1761" s="4" t="s">
        <v>29</v>
      </c>
      <c r="T1761" s="5" t="s">
        <v>12558</v>
      </c>
      <c r="U1761" s="6"/>
      <c r="V1761" s="5" t="s">
        <v>12559</v>
      </c>
      <c r="W1761" s="6"/>
      <c r="X1761" s="6"/>
      <c r="Y1761" s="4" t="s">
        <v>12560</v>
      </c>
      <c r="Z1761" s="6"/>
      <c r="AA1761" s="5" t="s">
        <v>12561</v>
      </c>
    </row>
    <row r="1762" ht="14.25">
      <c r="B1762" s="4" t="s">
        <v>12562</v>
      </c>
      <c r="C1762" s="4" t="s">
        <v>2503</v>
      </c>
      <c r="D1762" s="4" t="s">
        <v>12563</v>
      </c>
      <c r="E1762" s="4" t="s">
        <v>12564</v>
      </c>
      <c r="F1762" s="4" t="s">
        <v>12565</v>
      </c>
      <c r="G1762" s="4" t="s">
        <v>12566</v>
      </c>
      <c r="H1762" s="4" t="str">
        <f>IFERROR(__XLUDF.DUMMYFUNCTION("PROPER(REGEXREPLACE(G339,""[^A-Za-z]+ "",""""))"),"Karma Partners")</f>
        <v xml:space="preserve">Karma Partners</v>
      </c>
      <c r="I1762" s="5" t="s">
        <v>12567</v>
      </c>
      <c r="J1762" s="4" t="s">
        <v>39</v>
      </c>
      <c r="K1762" s="4" t="s">
        <v>9160</v>
      </c>
      <c r="L1762" s="4" t="s">
        <v>29</v>
      </c>
      <c r="M1762" s="4" t="s">
        <v>2602</v>
      </c>
      <c r="N1762" s="4" t="str">
        <f>IFERROR(__XLUDF.DUMMYFUNCTION("VLOOKUP(M339,IMPORTRANGE(""https://docs.google.com/spreadsheets/d/1opm6ZNvGZ7KditA9TuJwrZ25eFLfTNIkrNnY6mhV5Eg"",""list!A1:C115""),3,TRUE)"),"le secteur de la tech")</f>
        <v xml:space="preserve">le secteur de la tech</v>
      </c>
      <c r="O1762" s="4" t="s">
        <v>12568</v>
      </c>
      <c r="P1762" s="4">
        <v>18</v>
      </c>
      <c r="Q1762" s="4" t="s">
        <v>39</v>
      </c>
      <c r="R1762" s="4" t="s">
        <v>9160</v>
      </c>
      <c r="S1762" s="4" t="s">
        <v>29</v>
      </c>
      <c r="T1762" s="5" t="s">
        <v>12569</v>
      </c>
      <c r="U1762" s="6"/>
      <c r="V1762" s="6"/>
      <c r="W1762" s="6"/>
      <c r="X1762" s="6"/>
      <c r="Y1762" s="4" t="s">
        <v>12570</v>
      </c>
      <c r="Z1762" s="6"/>
      <c r="AA1762" s="5" t="s">
        <v>12571</v>
      </c>
    </row>
    <row r="1763" ht="14.25">
      <c r="B1763" s="4" t="s">
        <v>12572</v>
      </c>
      <c r="C1763" s="4" t="s">
        <v>12573</v>
      </c>
      <c r="D1763" s="4" t="s">
        <v>12574</v>
      </c>
      <c r="E1763" s="4" t="s">
        <v>12575</v>
      </c>
      <c r="F1763" s="4" t="s">
        <v>12576</v>
      </c>
      <c r="G1763" s="4" t="s">
        <v>12577</v>
      </c>
      <c r="H1763" s="4" t="str">
        <f>IFERROR(__XLUDF.DUMMYFUNCTION("PROPER(REGEXREPLACE(G340,""[^A-Za-z]+ "",""""))"),"Air Cloud")</f>
        <v xml:space="preserve">Air Cloud</v>
      </c>
      <c r="I1763" s="5" t="s">
        <v>12578</v>
      </c>
      <c r="J1763" s="4" t="s">
        <v>651</v>
      </c>
      <c r="K1763" s="4" t="s">
        <v>9215</v>
      </c>
      <c r="L1763" s="4" t="s">
        <v>29</v>
      </c>
      <c r="M1763" s="4" t="s">
        <v>9461</v>
      </c>
      <c r="N1763" s="4" t="str">
        <f>IFERROR(__XLUDF.DUMMYFUNCTION("VLOOKUP(M340,IMPORTRANGE(""https://docs.google.com/spreadsheets/d/1opm6ZNvGZ7KditA9TuJwrZ25eFLfTNIkrNnY6mhV5Eg"",""list!A1:C115""),3,TRUE)"),"le secteur des services d'information")</f>
        <v xml:space="preserve">le secteur des services d'information</v>
      </c>
      <c r="O1763" s="4" t="s">
        <v>12579</v>
      </c>
      <c r="P1763" s="4">
        <v>23</v>
      </c>
      <c r="Q1763" s="4" t="s">
        <v>12580</v>
      </c>
      <c r="R1763" s="4" t="s">
        <v>12581</v>
      </c>
      <c r="S1763" s="4" t="s">
        <v>29</v>
      </c>
      <c r="T1763" s="5" t="s">
        <v>12582</v>
      </c>
      <c r="U1763" s="6"/>
      <c r="V1763" s="6"/>
      <c r="W1763" s="6"/>
      <c r="X1763" s="6"/>
      <c r="Y1763" s="4" t="s">
        <v>12583</v>
      </c>
      <c r="Z1763" s="6"/>
      <c r="AA1763" s="5" t="s">
        <v>12584</v>
      </c>
    </row>
    <row r="1764" ht="14.25">
      <c r="B1764" s="4" t="s">
        <v>12585</v>
      </c>
      <c r="C1764" s="4" t="s">
        <v>4800</v>
      </c>
      <c r="D1764" s="4" t="s">
        <v>7121</v>
      </c>
      <c r="E1764" s="4" t="s">
        <v>12586</v>
      </c>
      <c r="F1764" s="4" t="s">
        <v>12587</v>
      </c>
      <c r="G1764" s="4" t="s">
        <v>12588</v>
      </c>
      <c r="H1764" s="4" t="str">
        <f>IFERROR(__XLUDF.DUMMYFUNCTION("PROPER(REGEXREPLACE(G341,""[^A-Za-z]+ "",""""))"),"Cap Consulting")</f>
        <v xml:space="preserve">Cap Consulting</v>
      </c>
      <c r="I1764" s="5" t="s">
        <v>12589</v>
      </c>
      <c r="J1764" s="4" t="s">
        <v>185</v>
      </c>
      <c r="K1764" s="4" t="s">
        <v>9193</v>
      </c>
      <c r="L1764" s="4" t="s">
        <v>29</v>
      </c>
      <c r="M1764" s="4" t="s">
        <v>2602</v>
      </c>
      <c r="N1764" s="4" t="str">
        <f>IFERROR(__XLUDF.DUMMYFUNCTION("VLOOKUP(M341,IMPORTRANGE(""https://docs.google.com/spreadsheets/d/1opm6ZNvGZ7KditA9TuJwrZ25eFLfTNIkrNnY6mhV5Eg"",""list!A1:C115""),3,TRUE)"),"le secteur de la tech")</f>
        <v xml:space="preserve">le secteur de la tech</v>
      </c>
      <c r="O1764" s="4" t="s">
        <v>12590</v>
      </c>
      <c r="P1764" s="4">
        <v>12</v>
      </c>
      <c r="Q1764" s="4" t="s">
        <v>185</v>
      </c>
      <c r="R1764" s="4" t="s">
        <v>9193</v>
      </c>
      <c r="S1764" s="4" t="s">
        <v>29</v>
      </c>
      <c r="T1764" s="5" t="s">
        <v>12591</v>
      </c>
      <c r="U1764" s="6"/>
      <c r="V1764" s="5" t="s">
        <v>12592</v>
      </c>
      <c r="W1764" s="6"/>
      <c r="X1764" s="6"/>
      <c r="Y1764" s="4" t="s">
        <v>12593</v>
      </c>
      <c r="Z1764" s="6"/>
      <c r="AA1764" s="5" t="s">
        <v>12594</v>
      </c>
    </row>
    <row r="1765" ht="14.25">
      <c r="B1765" s="4" t="s">
        <v>12595</v>
      </c>
      <c r="C1765" s="4" t="s">
        <v>355</v>
      </c>
      <c r="D1765" s="4" t="s">
        <v>12596</v>
      </c>
      <c r="E1765" s="4" t="s">
        <v>12597</v>
      </c>
      <c r="F1765" s="4" t="s">
        <v>12598</v>
      </c>
      <c r="G1765" s="4" t="s">
        <v>12599</v>
      </c>
      <c r="H1765" s="4" t="str">
        <f>IFERROR(__XLUDF.DUMMYFUNCTION("PROPER(REGEXREPLACE(G342,""[^A-Za-z]+ "",""""))"),"Sns Solutions")</f>
        <v xml:space="preserve">Sns Solutions</v>
      </c>
      <c r="I1765" s="5" t="s">
        <v>12600</v>
      </c>
      <c r="J1765" s="4" t="s">
        <v>12601</v>
      </c>
      <c r="K1765" s="4" t="s">
        <v>10390</v>
      </c>
      <c r="L1765" s="4" t="s">
        <v>29</v>
      </c>
      <c r="M1765" s="4" t="s">
        <v>2602</v>
      </c>
      <c r="N1765" s="4" t="str">
        <f>IFERROR(__XLUDF.DUMMYFUNCTION("VLOOKUP(M342,IMPORTRANGE(""https://docs.google.com/spreadsheets/d/1opm6ZNvGZ7KditA9TuJwrZ25eFLfTNIkrNnY6mhV5Eg"",""list!A1:C115""),3,TRUE)"),"le secteur de la tech")</f>
        <v xml:space="preserve">le secteur de la tech</v>
      </c>
      <c r="O1765" s="4" t="s">
        <v>12602</v>
      </c>
      <c r="P1765" s="4">
        <v>24</v>
      </c>
      <c r="Q1765" s="4" t="s">
        <v>295</v>
      </c>
      <c r="R1765" s="4" t="s">
        <v>9251</v>
      </c>
      <c r="S1765" s="4" t="s">
        <v>29</v>
      </c>
      <c r="T1765" s="5" t="s">
        <v>12603</v>
      </c>
      <c r="U1765" s="5" t="s">
        <v>12604</v>
      </c>
      <c r="V1765" s="5" t="s">
        <v>12605</v>
      </c>
      <c r="W1765" s="6"/>
      <c r="X1765" s="6"/>
      <c r="Y1765" s="4" t="s">
        <v>12606</v>
      </c>
      <c r="Z1765" s="6"/>
      <c r="AA1765" s="5" t="s">
        <v>12607</v>
      </c>
    </row>
    <row r="1766" ht="14.25">
      <c r="B1766" s="4" t="s">
        <v>12608</v>
      </c>
      <c r="C1766" s="4" t="s">
        <v>525</v>
      </c>
      <c r="D1766" s="4" t="s">
        <v>12609</v>
      </c>
      <c r="E1766" s="4" t="s">
        <v>12610</v>
      </c>
      <c r="F1766" s="4" t="s">
        <v>12611</v>
      </c>
      <c r="G1766" s="4" t="s">
        <v>12612</v>
      </c>
      <c r="H1766" s="4" t="str">
        <f>IFERROR(__XLUDF.DUMMYFUNCTION("PROPER(REGEXREPLACE(G343,""[^A-Za-z]+ "",""""))"),"The Big Whale")</f>
        <v xml:space="preserve">The Big Whale</v>
      </c>
      <c r="I1766" s="5" t="s">
        <v>12613</v>
      </c>
      <c r="J1766" s="4" t="s">
        <v>39</v>
      </c>
      <c r="K1766" s="4" t="s">
        <v>9160</v>
      </c>
      <c r="L1766" s="4" t="s">
        <v>29</v>
      </c>
      <c r="M1766" s="4" t="s">
        <v>9184</v>
      </c>
      <c r="N1766" s="4" t="str">
        <f>IFERROR(__XLUDF.DUMMYFUNCTION("VLOOKUP(M343,IMPORTRANGE(""https://docs.google.com/spreadsheets/d/1opm6ZNvGZ7KditA9TuJwrZ25eFLfTNIkrNnY6mhV5Eg"",""list!A1:C115""),3,TRUE)"),"le secteur des télécommunications")</f>
        <v xml:space="preserve">le secteur des télécommunications</v>
      </c>
      <c r="O1766" s="6"/>
      <c r="P1766" s="4">
        <v>34</v>
      </c>
      <c r="Q1766" s="4" t="s">
        <v>39</v>
      </c>
      <c r="R1766" s="4" t="s">
        <v>9160</v>
      </c>
      <c r="S1766" s="4" t="s">
        <v>29</v>
      </c>
      <c r="T1766" s="5" t="s">
        <v>12614</v>
      </c>
      <c r="U1766" s="6"/>
      <c r="V1766" s="6"/>
      <c r="W1766" s="6"/>
      <c r="X1766" s="6"/>
      <c r="Y1766" s="4" t="s">
        <v>12615</v>
      </c>
      <c r="Z1766" s="6"/>
      <c r="AA1766" s="5" t="s">
        <v>12616</v>
      </c>
    </row>
    <row r="1767" ht="14.25">
      <c r="B1767" s="4" t="s">
        <v>12617</v>
      </c>
      <c r="C1767" s="4" t="s">
        <v>525</v>
      </c>
      <c r="D1767" s="4" t="s">
        <v>12618</v>
      </c>
      <c r="E1767" s="4" t="s">
        <v>12619</v>
      </c>
      <c r="F1767" s="4" t="s">
        <v>12620</v>
      </c>
      <c r="G1767" s="4" t="s">
        <v>12621</v>
      </c>
      <c r="H1767" s="4" t="str">
        <f>IFERROR(__XLUDF.DUMMYFUNCTION("PROPER(REGEXREPLACE(G344,""[^A-Za-z]+ "",""""))"),"Express Luck Europe Electric.")</f>
        <v xml:space="preserve">Express Luck Europe Electric.</v>
      </c>
      <c r="I1767" s="5" t="s">
        <v>12622</v>
      </c>
      <c r="J1767" s="4" t="s">
        <v>83</v>
      </c>
      <c r="K1767" s="4" t="s">
        <v>9460</v>
      </c>
      <c r="L1767" s="4" t="s">
        <v>29</v>
      </c>
      <c r="M1767" s="4" t="s">
        <v>10215</v>
      </c>
      <c r="N1767" s="4" t="str">
        <f>IFERROR(__XLUDF.DUMMYFUNCTION("VLOOKUP(M344,IMPORTRANGE(""https://docs.google.com/spreadsheets/d/1opm6ZNvGZ7KditA9TuJwrZ25eFLfTNIkrNnY6mhV5Eg"",""list!A1:C115""),3,TRUE)"),"le secteur de l'électrique et électronique")</f>
        <v xml:space="preserve">le secteur de l'électrique et électronique</v>
      </c>
      <c r="O1767" s="4" t="s">
        <v>12623</v>
      </c>
      <c r="P1767" s="4">
        <v>28</v>
      </c>
      <c r="Q1767" s="4" t="s">
        <v>12624</v>
      </c>
      <c r="R1767" s="6"/>
      <c r="S1767" s="4" t="s">
        <v>12625</v>
      </c>
      <c r="T1767" s="5" t="s">
        <v>12626</v>
      </c>
      <c r="U1767" s="6"/>
      <c r="V1767" s="6"/>
      <c r="W1767" s="6"/>
      <c r="X1767" s="6"/>
      <c r="Y1767" s="4" t="s">
        <v>12627</v>
      </c>
      <c r="Z1767" s="6"/>
      <c r="AA1767" s="5" t="s">
        <v>12628</v>
      </c>
    </row>
    <row r="1768" ht="14.25">
      <c r="B1768" s="4" t="s">
        <v>12629</v>
      </c>
      <c r="C1768" s="4" t="s">
        <v>525</v>
      </c>
      <c r="D1768" s="4" t="s">
        <v>12630</v>
      </c>
      <c r="E1768" s="4" t="s">
        <v>12631</v>
      </c>
      <c r="F1768" s="4" t="s">
        <v>12632</v>
      </c>
      <c r="G1768" s="4" t="s">
        <v>12633</v>
      </c>
      <c r="H1768" s="4" t="str">
        <f>IFERROR(__XLUDF.DUMMYFUNCTION("PROPER(REGEXREPLACE(G345,""[^A-Za-z]+ "",""""))"),"Rich-Id")</f>
        <v>Rich-Id</v>
      </c>
      <c r="I1768" s="5" t="s">
        <v>12634</v>
      </c>
      <c r="J1768" s="4" t="s">
        <v>39</v>
      </c>
      <c r="K1768" s="4" t="s">
        <v>9160</v>
      </c>
      <c r="L1768" s="4" t="s">
        <v>29</v>
      </c>
      <c r="M1768" s="4" t="s">
        <v>2602</v>
      </c>
      <c r="N1768" s="4" t="str">
        <f>IFERROR(__XLUDF.DUMMYFUNCTION("VLOOKUP(M345,IMPORTRANGE(""https://docs.google.com/spreadsheets/d/1opm6ZNvGZ7KditA9TuJwrZ25eFLfTNIkrNnY6mhV5Eg"",""list!A1:C115""),3,TRUE)"),"le secteur de la tech")</f>
        <v xml:space="preserve">le secteur de la tech</v>
      </c>
      <c r="O1768" s="6"/>
      <c r="P1768" s="4">
        <v>17</v>
      </c>
      <c r="Q1768" s="4" t="s">
        <v>39</v>
      </c>
      <c r="R1768" s="4" t="s">
        <v>9160</v>
      </c>
      <c r="S1768" s="4" t="s">
        <v>29</v>
      </c>
      <c r="T1768" s="5" t="s">
        <v>12635</v>
      </c>
      <c r="U1768" s="6"/>
      <c r="V1768" s="6"/>
      <c r="W1768" s="6"/>
      <c r="X1768" s="6"/>
      <c r="Y1768" s="4" t="s">
        <v>12636</v>
      </c>
      <c r="Z1768" s="6"/>
      <c r="AA1768" s="5" t="s">
        <v>12637</v>
      </c>
    </row>
    <row r="1769" ht="14.25">
      <c r="B1769" s="4" t="s">
        <v>12638</v>
      </c>
      <c r="C1769" s="4" t="s">
        <v>2201</v>
      </c>
      <c r="D1769" s="4" t="s">
        <v>12639</v>
      </c>
      <c r="E1769" s="4" t="s">
        <v>12640</v>
      </c>
      <c r="F1769" s="4" t="s">
        <v>2636</v>
      </c>
      <c r="G1769" s="4" t="s">
        <v>12641</v>
      </c>
      <c r="H1769" s="4" t="str">
        <f>IFERROR(__XLUDF.DUMMYFUNCTION("PROPER(REGEXREPLACE(G346,""[^A-Za-z]+ "",""""))"),"Solone Engineering Solutions")</f>
        <v xml:space="preserve">Solone Engineering Solutions</v>
      </c>
      <c r="I1769" s="5" t="s">
        <v>12642</v>
      </c>
      <c r="J1769" s="4" t="s">
        <v>39</v>
      </c>
      <c r="K1769" s="4" t="s">
        <v>9160</v>
      </c>
      <c r="L1769" s="4" t="s">
        <v>29</v>
      </c>
      <c r="M1769" s="4" t="s">
        <v>4067</v>
      </c>
      <c r="N1769" s="4" t="str">
        <f>IFERROR(__XLUDF.DUMMYFUNCTION("VLOOKUP(M346,IMPORTRANGE(""https://docs.google.com/spreadsheets/d/1opm6ZNvGZ7KditA9TuJwrZ25eFLfTNIkrNnY6mhV5Eg"",""list!A1:C115""),3,TRUE)"),"le secteur du conseil en management")</f>
        <v xml:space="preserve">le secteur du conseil en management</v>
      </c>
      <c r="O1769" s="4" t="s">
        <v>12643</v>
      </c>
      <c r="P1769" s="4">
        <v>13</v>
      </c>
      <c r="Q1769" s="4" t="s">
        <v>39</v>
      </c>
      <c r="R1769" s="4" t="s">
        <v>9160</v>
      </c>
      <c r="S1769" s="4" t="s">
        <v>29</v>
      </c>
      <c r="T1769" s="5" t="s">
        <v>12644</v>
      </c>
      <c r="U1769" s="6"/>
      <c r="V1769" s="6"/>
      <c r="W1769" s="6"/>
      <c r="X1769" s="6"/>
      <c r="Y1769" s="4" t="s">
        <v>12645</v>
      </c>
      <c r="Z1769" s="6"/>
      <c r="AA1769" s="5" t="s">
        <v>12646</v>
      </c>
    </row>
    <row r="1770" ht="14.25">
      <c r="B1770" s="4" t="s">
        <v>12647</v>
      </c>
      <c r="C1770" s="4" t="s">
        <v>12648</v>
      </c>
      <c r="D1770" s="4" t="s">
        <v>12649</v>
      </c>
      <c r="E1770" s="4" t="s">
        <v>12650</v>
      </c>
      <c r="F1770" s="4" t="s">
        <v>112</v>
      </c>
      <c r="G1770" s="4" t="s">
        <v>12651</v>
      </c>
      <c r="H1770" s="4" t="str">
        <f>IFERROR(__XLUDF.DUMMYFUNCTION("PROPER(REGEXREPLACE(G347,""[^A-Za-z]+ "",""""))"),"Aei")</f>
        <v>Aei</v>
      </c>
      <c r="I1770" s="5" t="s">
        <v>12652</v>
      </c>
      <c r="J1770" s="4" t="s">
        <v>243</v>
      </c>
      <c r="K1770" s="4" t="s">
        <v>9864</v>
      </c>
      <c r="L1770" s="4" t="s">
        <v>29</v>
      </c>
      <c r="M1770" s="4" t="s">
        <v>2602</v>
      </c>
      <c r="N1770" s="4" t="str">
        <f>IFERROR(__XLUDF.DUMMYFUNCTION("VLOOKUP(M347,IMPORTRANGE(""https://docs.google.com/spreadsheets/d/1opm6ZNvGZ7KditA9TuJwrZ25eFLfTNIkrNnY6mhV5Eg"",""list!A1:C115""),3,TRUE)"),"le secteur de la tech")</f>
        <v xml:space="preserve">le secteur de la tech</v>
      </c>
      <c r="O1770" s="4" t="s">
        <v>12653</v>
      </c>
      <c r="P1770" s="4">
        <v>35</v>
      </c>
      <c r="Q1770" s="4" t="s">
        <v>12601</v>
      </c>
      <c r="R1770" s="4" t="s">
        <v>9864</v>
      </c>
      <c r="S1770" s="4" t="s">
        <v>29</v>
      </c>
      <c r="T1770" s="5" t="s">
        <v>12654</v>
      </c>
      <c r="U1770" s="6"/>
      <c r="V1770" s="6"/>
      <c r="W1770" s="6"/>
      <c r="X1770" s="6"/>
      <c r="Y1770" s="4" t="s">
        <v>12655</v>
      </c>
      <c r="Z1770" s="6"/>
      <c r="AA1770" s="5" t="s">
        <v>12656</v>
      </c>
    </row>
    <row r="1771" ht="14.25">
      <c r="B1771" s="4" t="s">
        <v>12657</v>
      </c>
      <c r="C1771" s="4" t="s">
        <v>355</v>
      </c>
      <c r="D1771" s="4" t="s">
        <v>12658</v>
      </c>
      <c r="E1771" s="4" t="s">
        <v>12659</v>
      </c>
      <c r="F1771" s="4" t="s">
        <v>112</v>
      </c>
      <c r="G1771" s="4" t="s">
        <v>12660</v>
      </c>
      <c r="H1771" s="4" t="str">
        <f>IFERROR(__XLUDF.DUMMYFUNCTION("PROPER(REGEXREPLACE(G348,""[^A-Za-z]+ "",""""))"),"Eurisol Constructions Frigorifiques")</f>
        <v xml:space="preserve">Eurisol Constructions Frigorifiques</v>
      </c>
      <c r="I1771" s="5" t="s">
        <v>12661</v>
      </c>
      <c r="J1771" s="4" t="s">
        <v>3666</v>
      </c>
      <c r="K1771" s="4" t="s">
        <v>9281</v>
      </c>
      <c r="L1771" s="4" t="s">
        <v>29</v>
      </c>
      <c r="M1771" s="4" t="s">
        <v>9239</v>
      </c>
      <c r="N1771" s="4" t="str">
        <f>IFERROR(__XLUDF.DUMMYFUNCTION("VLOOKUP(M348,IMPORTRANGE(""https://docs.google.com/spreadsheets/d/1opm6ZNvGZ7KditA9TuJwrZ25eFLfTNIkrNnY6mhV5Eg"",""list!A1:C115""),3,TRUE)"),"le secteur de la construction")</f>
        <v xml:space="preserve">le secteur de la construction</v>
      </c>
      <c r="O1771" s="4" t="s">
        <v>12662</v>
      </c>
      <c r="P1771" s="4">
        <v>13</v>
      </c>
      <c r="Q1771" s="4" t="s">
        <v>3666</v>
      </c>
      <c r="R1771" s="4" t="s">
        <v>9281</v>
      </c>
      <c r="S1771" s="4" t="s">
        <v>29</v>
      </c>
      <c r="T1771" s="5" t="s">
        <v>12663</v>
      </c>
      <c r="U1771" s="6"/>
      <c r="V1771" s="6"/>
      <c r="W1771" s="6"/>
      <c r="X1771" s="6"/>
      <c r="Y1771" s="4" t="s">
        <v>12664</v>
      </c>
      <c r="Z1771" s="6"/>
      <c r="AA1771" s="5" t="s">
        <v>12665</v>
      </c>
    </row>
    <row r="1772" ht="14.25">
      <c r="B1772" s="4" t="s">
        <v>12666</v>
      </c>
      <c r="C1772" s="4" t="s">
        <v>355</v>
      </c>
      <c r="D1772" s="4" t="s">
        <v>10421</v>
      </c>
      <c r="E1772" s="4" t="s">
        <v>12667</v>
      </c>
      <c r="F1772" s="4" t="s">
        <v>12668</v>
      </c>
      <c r="G1772" s="4" t="s">
        <v>10424</v>
      </c>
      <c r="H1772" s="4" t="str">
        <f>IFERROR(__XLUDF.DUMMYFUNCTION("PROPER(REGEXREPLACE(G349,""[^A-Za-z]+ "",""""))"),"Groupe Bardec")</f>
        <v xml:space="preserve">Groupe Bardec</v>
      </c>
      <c r="I1772" s="6"/>
      <c r="J1772" s="4" t="s">
        <v>12669</v>
      </c>
      <c r="K1772" s="4" t="s">
        <v>10736</v>
      </c>
      <c r="L1772" s="4" t="s">
        <v>29</v>
      </c>
      <c r="M1772" s="4" t="s">
        <v>9239</v>
      </c>
      <c r="N1772" s="4" t="str">
        <f>IFERROR(__XLUDF.DUMMYFUNCTION("VLOOKUP(M349,IMPORTRANGE(""https://docs.google.com/spreadsheets/d/1opm6ZNvGZ7KditA9TuJwrZ25eFLfTNIkrNnY6mhV5Eg"",""list!A1:C115""),3,TRUE)"),"le secteur de la construction")</f>
        <v xml:space="preserve">le secteur de la construction</v>
      </c>
      <c r="O1772" s="4" t="s">
        <v>10425</v>
      </c>
      <c r="P1772" s="4">
        <v>10</v>
      </c>
      <c r="Q1772" s="4" t="s">
        <v>7531</v>
      </c>
      <c r="R1772" s="4" t="s">
        <v>9798</v>
      </c>
      <c r="S1772" s="4" t="s">
        <v>29</v>
      </c>
      <c r="T1772" s="5" t="s">
        <v>10426</v>
      </c>
      <c r="U1772" s="6"/>
      <c r="V1772" s="6"/>
      <c r="W1772" s="6"/>
      <c r="X1772" s="6"/>
      <c r="Y1772" s="4" t="s">
        <v>10427</v>
      </c>
      <c r="Z1772" s="6"/>
      <c r="AA1772" s="5" t="s">
        <v>12670</v>
      </c>
    </row>
    <row r="1773" ht="14.25">
      <c r="B1773" s="4" t="s">
        <v>12671</v>
      </c>
      <c r="C1773" s="4" t="s">
        <v>355</v>
      </c>
      <c r="D1773" s="4" t="s">
        <v>12672</v>
      </c>
      <c r="E1773" s="4" t="s">
        <v>12673</v>
      </c>
      <c r="F1773" s="4" t="s">
        <v>112</v>
      </c>
      <c r="G1773" s="4" t="s">
        <v>12674</v>
      </c>
      <c r="H1773" s="4" t="str">
        <f>IFERROR(__XLUDF.DUMMYFUNCTION("PROPER(REGEXREPLACE(G350,""[^A-Za-z]+ "",""""))"),"Bpr Security")</f>
        <v xml:space="preserve">Bpr Security</v>
      </c>
      <c r="I1773" s="5" t="s">
        <v>12675</v>
      </c>
      <c r="J1773" s="4" t="s">
        <v>185</v>
      </c>
      <c r="K1773" s="4" t="s">
        <v>9193</v>
      </c>
      <c r="L1773" s="4" t="s">
        <v>29</v>
      </c>
      <c r="M1773" s="4" t="s">
        <v>4067</v>
      </c>
      <c r="N1773" s="4" t="str">
        <f>IFERROR(__XLUDF.DUMMYFUNCTION("VLOOKUP(M350,IMPORTRANGE(""https://docs.google.com/spreadsheets/d/1opm6ZNvGZ7KditA9TuJwrZ25eFLfTNIkrNnY6mhV5Eg"",""list!A1:C115""),3,TRUE)"),"le secteur du conseil en management")</f>
        <v xml:space="preserve">le secteur du conseil en management</v>
      </c>
      <c r="O1773" s="4" t="s">
        <v>12676</v>
      </c>
      <c r="P1773" s="4">
        <v>12</v>
      </c>
      <c r="Q1773" s="4" t="s">
        <v>185</v>
      </c>
      <c r="R1773" s="4" t="s">
        <v>9172</v>
      </c>
      <c r="S1773" s="4" t="s">
        <v>29</v>
      </c>
      <c r="T1773" s="5" t="s">
        <v>12677</v>
      </c>
      <c r="U1773" s="6"/>
      <c r="V1773" s="6"/>
      <c r="W1773" s="6"/>
      <c r="X1773" s="6"/>
      <c r="Y1773" s="4" t="s">
        <v>12678</v>
      </c>
      <c r="Z1773" s="6"/>
      <c r="AA1773" s="5" t="s">
        <v>12679</v>
      </c>
    </row>
    <row r="1774" ht="14.25">
      <c r="B1774" s="4" t="s">
        <v>12680</v>
      </c>
      <c r="C1774" s="4" t="s">
        <v>355</v>
      </c>
      <c r="D1774" s="4" t="s">
        <v>12681</v>
      </c>
      <c r="E1774" s="4" t="s">
        <v>12682</v>
      </c>
      <c r="F1774" s="4" t="s">
        <v>12683</v>
      </c>
      <c r="G1774" s="4" t="s">
        <v>12684</v>
      </c>
      <c r="H1774" s="4" t="str">
        <f>IFERROR(__XLUDF.DUMMYFUNCTION("PROPER(REGEXREPLACE(G351,""[^A-Za-z]+ "",""""))"),"Inov Team")</f>
        <v xml:space="preserve">Inov Team</v>
      </c>
      <c r="I1774" s="5" t="s">
        <v>12685</v>
      </c>
      <c r="J1774" s="4" t="s">
        <v>49</v>
      </c>
      <c r="K1774" s="4" t="s">
        <v>9251</v>
      </c>
      <c r="L1774" s="4" t="s">
        <v>29</v>
      </c>
      <c r="M1774" s="4" t="s">
        <v>2602</v>
      </c>
      <c r="N1774" s="4" t="str">
        <f>IFERROR(__XLUDF.DUMMYFUNCTION("VLOOKUP(M351,IMPORTRANGE(""https://docs.google.com/spreadsheets/d/1opm6ZNvGZ7KditA9TuJwrZ25eFLfTNIkrNnY6mhV5Eg"",""list!A1:C115""),3,TRUE)"),"le secteur de la tech")</f>
        <v xml:space="preserve">le secteur de la tech</v>
      </c>
      <c r="O1774" s="4" t="s">
        <v>12686</v>
      </c>
      <c r="P1774" s="4">
        <v>42</v>
      </c>
      <c r="Q1774" s="4" t="s">
        <v>12687</v>
      </c>
      <c r="R1774" s="4" t="s">
        <v>9251</v>
      </c>
      <c r="S1774" s="4" t="s">
        <v>29</v>
      </c>
      <c r="T1774" s="5" t="s">
        <v>12688</v>
      </c>
      <c r="U1774" s="6"/>
      <c r="V1774" s="6"/>
      <c r="W1774" s="6"/>
      <c r="X1774" s="6"/>
      <c r="Y1774" s="4" t="s">
        <v>12689</v>
      </c>
      <c r="Z1774" s="6"/>
      <c r="AA1774" s="5" t="s">
        <v>12690</v>
      </c>
    </row>
    <row r="1775" ht="14.25">
      <c r="B1775" s="4" t="s">
        <v>12691</v>
      </c>
      <c r="C1775" s="4" t="s">
        <v>355</v>
      </c>
      <c r="D1775" s="4" t="s">
        <v>12692</v>
      </c>
      <c r="E1775" s="4" t="s">
        <v>12693</v>
      </c>
      <c r="F1775" s="4" t="s">
        <v>9849</v>
      </c>
      <c r="G1775" s="4" t="s">
        <v>10176</v>
      </c>
      <c r="H1775" s="4" t="str">
        <f>IFERROR(__XLUDF.DUMMYFUNCTION("PROPER(REGEXREPLACE(G352,""[^A-Za-z]+ "",""""))"),"Dc Pilot France")</f>
        <v xml:space="preserve">Dc Pilot France</v>
      </c>
      <c r="I1775" s="5" t="s">
        <v>10177</v>
      </c>
      <c r="J1775" s="4" t="s">
        <v>2499</v>
      </c>
      <c r="K1775" s="4" t="s">
        <v>9251</v>
      </c>
      <c r="L1775" s="4" t="s">
        <v>29</v>
      </c>
      <c r="M1775" s="4" t="s">
        <v>4067</v>
      </c>
      <c r="N1775" s="4" t="str">
        <f>IFERROR(__XLUDF.DUMMYFUNCTION("VLOOKUP(M352,IMPORTRANGE(""https://docs.google.com/spreadsheets/d/1opm6ZNvGZ7KditA9TuJwrZ25eFLfTNIkrNnY6mhV5Eg"",""list!A1:C115""),3,TRUE)"),"le secteur du conseil en management")</f>
        <v xml:space="preserve">le secteur du conseil en management</v>
      </c>
      <c r="O1775" s="4" t="s">
        <v>10179</v>
      </c>
      <c r="P1775" s="4">
        <v>21</v>
      </c>
      <c r="Q1775" s="4" t="s">
        <v>651</v>
      </c>
      <c r="R1775" s="4" t="s">
        <v>9215</v>
      </c>
      <c r="S1775" s="4" t="s">
        <v>29</v>
      </c>
      <c r="T1775" s="5" t="s">
        <v>10180</v>
      </c>
      <c r="U1775" s="5" t="s">
        <v>10181</v>
      </c>
      <c r="V1775" s="5" t="s">
        <v>10182</v>
      </c>
      <c r="W1775" s="6"/>
      <c r="X1775" s="6"/>
      <c r="Y1775" s="4" t="s">
        <v>10183</v>
      </c>
      <c r="Z1775" s="6"/>
      <c r="AA1775" s="5" t="s">
        <v>12694</v>
      </c>
    </row>
    <row r="1776" ht="14.25">
      <c r="B1776" s="4" t="s">
        <v>12695</v>
      </c>
      <c r="C1776" s="4" t="s">
        <v>355</v>
      </c>
      <c r="D1776" s="4" t="s">
        <v>12696</v>
      </c>
      <c r="E1776" s="4" t="s">
        <v>12697</v>
      </c>
      <c r="F1776" s="4" t="s">
        <v>87</v>
      </c>
      <c r="G1776" s="4" t="s">
        <v>12698</v>
      </c>
      <c r="H1776" s="4" t="str">
        <f>IFERROR(__XLUDF.DUMMYFUNCTION("PROPER(REGEXREPLACE(G353,""[^A-Za-z]+ "",""""))"),"Communication Qualité")</f>
        <v xml:space="preserve">Communication Qualité</v>
      </c>
      <c r="I1776" s="5" t="s">
        <v>12699</v>
      </c>
      <c r="J1776" s="6"/>
      <c r="K1776" s="6"/>
      <c r="L1776" s="4" t="s">
        <v>29</v>
      </c>
      <c r="M1776" s="4" t="s">
        <v>5048</v>
      </c>
      <c r="N1776" s="4" t="str">
        <f>IFERROR(__XLUDF.DUMMYFUNCTION("VLOOKUP(M353,IMPORTRANGE(""https://docs.google.com/spreadsheets/d/1opm6ZNvGZ7KditA9TuJwrZ25eFLfTNIkrNnY6mhV5Eg"",""list!A1:C115""),3,TRUE)"),"le secteur de la formation pro et du coaching")</f>
        <v xml:space="preserve">le secteur de la formation pro et du coaching</v>
      </c>
      <c r="O1776" s="4" t="s">
        <v>12700</v>
      </c>
      <c r="P1776" s="4">
        <v>12</v>
      </c>
      <c r="Q1776" s="4" t="s">
        <v>39</v>
      </c>
      <c r="R1776" s="4" t="s">
        <v>9160</v>
      </c>
      <c r="S1776" s="4" t="s">
        <v>29</v>
      </c>
      <c r="T1776" s="5" t="s">
        <v>12701</v>
      </c>
      <c r="U1776" s="6"/>
      <c r="V1776" s="6"/>
      <c r="W1776" s="6"/>
      <c r="X1776" s="6"/>
      <c r="Y1776" s="4" t="s">
        <v>12702</v>
      </c>
      <c r="Z1776" s="6"/>
      <c r="AA1776" s="5" t="s">
        <v>12703</v>
      </c>
    </row>
    <row r="1777" ht="14.25">
      <c r="B1777" s="4" t="s">
        <v>12704</v>
      </c>
      <c r="C1777" s="4" t="s">
        <v>355</v>
      </c>
      <c r="D1777" s="4" t="s">
        <v>12705</v>
      </c>
      <c r="E1777" s="4" t="s">
        <v>12706</v>
      </c>
      <c r="F1777" s="4" t="s">
        <v>1231</v>
      </c>
      <c r="G1777" s="4" t="s">
        <v>12707</v>
      </c>
      <c r="H1777" s="4" t="str">
        <f>IFERROR(__XLUDF.DUMMYFUNCTION("PROPER(REGEXREPLACE(G354,""[^A-Za-z]+ "",""""))"),"Babbar.Tech")</f>
        <v>Babbar.Tech</v>
      </c>
      <c r="I1777" s="4" t="s">
        <v>12708</v>
      </c>
      <c r="J1777" s="4" t="s">
        <v>12709</v>
      </c>
      <c r="K1777" s="4" t="s">
        <v>9160</v>
      </c>
      <c r="L1777" s="4" t="s">
        <v>29</v>
      </c>
      <c r="M1777" s="4" t="s">
        <v>2602</v>
      </c>
      <c r="N1777" s="4" t="str">
        <f>IFERROR(__XLUDF.DUMMYFUNCTION("VLOOKUP(M354,IMPORTRANGE(""https://docs.google.com/spreadsheets/d/1opm6ZNvGZ7KditA9TuJwrZ25eFLfTNIkrNnY6mhV5Eg"",""list!A1:C115""),3,TRUE)"),"le secteur de la tech")</f>
        <v xml:space="preserve">le secteur de la tech</v>
      </c>
      <c r="O1777" s="6"/>
      <c r="P1777" s="4">
        <v>15</v>
      </c>
      <c r="Q1777" s="4" t="s">
        <v>12710</v>
      </c>
      <c r="R1777" s="4" t="s">
        <v>9226</v>
      </c>
      <c r="S1777" s="4" t="s">
        <v>29</v>
      </c>
      <c r="T1777" s="5" t="s">
        <v>12711</v>
      </c>
      <c r="U1777" s="5" t="s">
        <v>12712</v>
      </c>
      <c r="V1777" s="6"/>
      <c r="W1777" s="6"/>
      <c r="X1777" s="6"/>
      <c r="Y1777" s="4" t="s">
        <v>12713</v>
      </c>
      <c r="Z1777" s="6"/>
      <c r="AA1777" s="5" t="s">
        <v>12714</v>
      </c>
    </row>
    <row r="1778" ht="14.25">
      <c r="B1778" s="4" t="s">
        <v>12715</v>
      </c>
      <c r="C1778" s="4" t="s">
        <v>355</v>
      </c>
      <c r="D1778" s="4" t="s">
        <v>12716</v>
      </c>
      <c r="E1778" s="4" t="s">
        <v>12717</v>
      </c>
      <c r="F1778" s="4" t="s">
        <v>7759</v>
      </c>
      <c r="G1778" s="4" t="s">
        <v>12718</v>
      </c>
      <c r="H1778" s="4" t="str">
        <f>IFERROR(__XLUDF.DUMMYFUNCTION("PROPER(REGEXREPLACE(G355,""[^A-Za-z]+ "",""""))"),"Amhappy")</f>
        <v>Amhappy</v>
      </c>
      <c r="I1778" s="5" t="s">
        <v>12719</v>
      </c>
      <c r="J1778" s="4" t="s">
        <v>9237</v>
      </c>
      <c r="K1778" s="4" t="s">
        <v>9193</v>
      </c>
      <c r="L1778" s="4" t="s">
        <v>29</v>
      </c>
      <c r="M1778" s="4" t="s">
        <v>2602</v>
      </c>
      <c r="N1778" s="4" t="str">
        <f>IFERROR(__XLUDF.DUMMYFUNCTION("VLOOKUP(M355,IMPORTRANGE(""https://docs.google.com/spreadsheets/d/1opm6ZNvGZ7KditA9TuJwrZ25eFLfTNIkrNnY6mhV5Eg"",""list!A1:C115""),3,TRUE)"),"le secteur de la tech")</f>
        <v xml:space="preserve">le secteur de la tech</v>
      </c>
      <c r="O1778" s="4" t="s">
        <v>12720</v>
      </c>
      <c r="P1778" s="4">
        <v>22</v>
      </c>
      <c r="Q1778" s="4" t="s">
        <v>12721</v>
      </c>
      <c r="R1778" s="4" t="s">
        <v>9226</v>
      </c>
      <c r="S1778" s="4" t="s">
        <v>29</v>
      </c>
      <c r="T1778" s="5" t="s">
        <v>12722</v>
      </c>
      <c r="U1778" s="6"/>
      <c r="V1778" s="5" t="s">
        <v>12723</v>
      </c>
      <c r="W1778" s="6"/>
      <c r="X1778" s="6"/>
      <c r="Y1778" s="4" t="s">
        <v>12724</v>
      </c>
      <c r="Z1778" s="6"/>
      <c r="AA1778" s="5" t="s">
        <v>12725</v>
      </c>
    </row>
    <row r="1779" ht="14.25">
      <c r="B1779" s="4" t="s">
        <v>12726</v>
      </c>
      <c r="C1779" s="4" t="s">
        <v>355</v>
      </c>
      <c r="D1779" s="4" t="s">
        <v>12727</v>
      </c>
      <c r="E1779" s="4" t="s">
        <v>12728</v>
      </c>
      <c r="F1779" s="4" t="s">
        <v>112</v>
      </c>
      <c r="G1779" s="4" t="s">
        <v>12729</v>
      </c>
      <c r="H1779" s="4" t="str">
        <f>IFERROR(__XLUDF.DUMMYFUNCTION("PROPER(REGEXREPLACE(G356,""[^A-Za-z]+ "",""""))"),"Capeoni")</f>
        <v>Capeoni</v>
      </c>
      <c r="I1779" s="5" t="s">
        <v>12730</v>
      </c>
      <c r="J1779" s="4" t="s">
        <v>12731</v>
      </c>
      <c r="K1779" s="4" t="s">
        <v>9281</v>
      </c>
      <c r="L1779" s="4" t="s">
        <v>29</v>
      </c>
      <c r="M1779" s="4" t="s">
        <v>2602</v>
      </c>
      <c r="N1779" s="4" t="str">
        <f>IFERROR(__XLUDF.DUMMYFUNCTION("VLOOKUP(M356,IMPORTRANGE(""https://docs.google.com/spreadsheets/d/1opm6ZNvGZ7KditA9TuJwrZ25eFLfTNIkrNnY6mhV5Eg"",""list!A1:C115""),3,TRUE)"),"le secteur de la tech")</f>
        <v xml:space="preserve">le secteur de la tech</v>
      </c>
      <c r="O1779" s="4" t="s">
        <v>12732</v>
      </c>
      <c r="P1779" s="4">
        <v>11</v>
      </c>
      <c r="Q1779" s="4" t="s">
        <v>12733</v>
      </c>
      <c r="R1779" s="4" t="s">
        <v>9281</v>
      </c>
      <c r="S1779" s="4" t="s">
        <v>29</v>
      </c>
      <c r="T1779" s="5" t="s">
        <v>12734</v>
      </c>
      <c r="U1779" s="6"/>
      <c r="V1779" s="6"/>
      <c r="W1779" s="6"/>
      <c r="X1779" s="6"/>
      <c r="Y1779" s="4" t="s">
        <v>12735</v>
      </c>
      <c r="Z1779" s="6"/>
      <c r="AA1779" s="5" t="s">
        <v>12736</v>
      </c>
    </row>
    <row r="1780" ht="14.25">
      <c r="B1780" s="4" t="s">
        <v>12737</v>
      </c>
      <c r="C1780" s="4" t="s">
        <v>355</v>
      </c>
      <c r="D1780" s="4" t="s">
        <v>12738</v>
      </c>
      <c r="E1780" s="4" t="s">
        <v>12739</v>
      </c>
      <c r="F1780" s="4" t="s">
        <v>12740</v>
      </c>
      <c r="G1780" s="4" t="s">
        <v>12741</v>
      </c>
      <c r="H1780" s="4" t="str">
        <f>IFERROR(__XLUDF.DUMMYFUNCTION("PROPER(REGEXREPLACE(G357,""[^A-Za-z]+ "",""""))"),"Fcinq")</f>
        <v>Fcinq</v>
      </c>
      <c r="I1780" s="5" t="s">
        <v>12742</v>
      </c>
      <c r="J1780" s="4" t="s">
        <v>39</v>
      </c>
      <c r="K1780" s="4" t="s">
        <v>9160</v>
      </c>
      <c r="L1780" s="4" t="s">
        <v>29</v>
      </c>
      <c r="M1780" s="4" t="s">
        <v>9161</v>
      </c>
      <c r="N1780" s="4" t="str">
        <f>IFERROR(__XLUDF.DUMMYFUNCTION("VLOOKUP(M357,IMPORTRANGE(""https://docs.google.com/spreadsheets/d/1opm6ZNvGZ7KditA9TuJwrZ25eFLfTNIkrNnY6mhV5Eg"",""list!A1:C115""),3,TRUE)"),"le secteur du marketing")</f>
        <v xml:space="preserve">le secteur du marketing</v>
      </c>
      <c r="O1780" s="4" t="s">
        <v>12743</v>
      </c>
      <c r="P1780" s="4">
        <v>26</v>
      </c>
      <c r="Q1780" s="4" t="s">
        <v>39</v>
      </c>
      <c r="R1780" s="4" t="s">
        <v>9160</v>
      </c>
      <c r="S1780" s="4" t="s">
        <v>29</v>
      </c>
      <c r="T1780" s="5" t="s">
        <v>12744</v>
      </c>
      <c r="U1780" s="5" t="s">
        <v>12745</v>
      </c>
      <c r="V1780" s="5" t="s">
        <v>12746</v>
      </c>
      <c r="W1780" s="6"/>
      <c r="X1780" s="6"/>
      <c r="Y1780" s="4" t="s">
        <v>12747</v>
      </c>
      <c r="Z1780" s="6"/>
      <c r="AA1780" s="5" t="s">
        <v>12748</v>
      </c>
    </row>
    <row r="1781" ht="14.25">
      <c r="B1781" s="4" t="s">
        <v>12749</v>
      </c>
      <c r="C1781" s="4" t="s">
        <v>355</v>
      </c>
      <c r="D1781" s="4" t="s">
        <v>12750</v>
      </c>
      <c r="E1781" s="4" t="s">
        <v>12751</v>
      </c>
      <c r="F1781" s="4" t="s">
        <v>12752</v>
      </c>
      <c r="G1781" s="4" t="s">
        <v>12753</v>
      </c>
      <c r="H1781" s="4" t="str">
        <f>IFERROR(__XLUDF.DUMMYFUNCTION("PROPER(REGEXREPLACE(G358,""[^A-Za-z]+ "",""""))"),"Hypergrowth Partners")</f>
        <v xml:space="preserve">Hypergrowth Partners</v>
      </c>
      <c r="I1781" s="5" t="s">
        <v>12754</v>
      </c>
      <c r="J1781" s="6"/>
      <c r="K1781" s="6"/>
      <c r="L1781" s="4" t="s">
        <v>29</v>
      </c>
      <c r="M1781" s="4" t="s">
        <v>9161</v>
      </c>
      <c r="N1781" s="4" t="str">
        <f>IFERROR(__XLUDF.DUMMYFUNCTION("VLOOKUP(M358,IMPORTRANGE(""https://docs.google.com/spreadsheets/d/1opm6ZNvGZ7KditA9TuJwrZ25eFLfTNIkrNnY6mhV5Eg"",""list!A1:C115""),3,TRUE)"),"le secteur du marketing")</f>
        <v xml:space="preserve">le secteur du marketing</v>
      </c>
      <c r="O1781" s="4" t="s">
        <v>12755</v>
      </c>
      <c r="P1781" s="4">
        <v>25</v>
      </c>
      <c r="Q1781" s="4" t="s">
        <v>12756</v>
      </c>
      <c r="R1781" s="4" t="s">
        <v>12757</v>
      </c>
      <c r="S1781" s="4" t="s">
        <v>1261</v>
      </c>
      <c r="T1781" s="5" t="s">
        <v>12758</v>
      </c>
      <c r="U1781" s="5" t="s">
        <v>12759</v>
      </c>
      <c r="V1781" s="6"/>
      <c r="W1781" s="5" t="s">
        <v>12760</v>
      </c>
      <c r="X1781" s="6"/>
      <c r="Y1781" s="4" t="s">
        <v>12761</v>
      </c>
      <c r="Z1781" s="6"/>
      <c r="AA1781" s="5" t="s">
        <v>12762</v>
      </c>
    </row>
    <row r="1782" ht="14.25">
      <c r="B1782" s="4" t="s">
        <v>12763</v>
      </c>
      <c r="C1782" s="4" t="s">
        <v>355</v>
      </c>
      <c r="D1782" s="4" t="s">
        <v>12764</v>
      </c>
      <c r="E1782" s="4" t="s">
        <v>12765</v>
      </c>
      <c r="F1782" s="4" t="s">
        <v>7759</v>
      </c>
      <c r="G1782" s="4" t="s">
        <v>12766</v>
      </c>
      <c r="H1782" s="4" t="str">
        <f>IFERROR(__XLUDF.DUMMYFUNCTION("PROPER(REGEXREPLACE(G359,""[^A-Za-z]+ "",""""))"),"Koban")</f>
        <v>Koban</v>
      </c>
      <c r="I1782" s="4" t="s">
        <v>12767</v>
      </c>
      <c r="J1782" s="4" t="s">
        <v>185</v>
      </c>
      <c r="K1782" s="4" t="s">
        <v>9193</v>
      </c>
      <c r="L1782" s="4" t="s">
        <v>29</v>
      </c>
      <c r="M1782" s="4" t="s">
        <v>2602</v>
      </c>
      <c r="N1782" s="4" t="str">
        <f>IFERROR(__XLUDF.DUMMYFUNCTION("VLOOKUP(M359,IMPORTRANGE(""https://docs.google.com/spreadsheets/d/1opm6ZNvGZ7KditA9TuJwrZ25eFLfTNIkrNnY6mhV5Eg"",""list!A1:C115""),3,TRUE)"),"le secteur de la tech")</f>
        <v xml:space="preserve">le secteur de la tech</v>
      </c>
      <c r="O1782" s="4" t="s">
        <v>12768</v>
      </c>
      <c r="P1782" s="4">
        <v>13</v>
      </c>
      <c r="Q1782" s="4" t="s">
        <v>12769</v>
      </c>
      <c r="R1782" s="4" t="s">
        <v>9193</v>
      </c>
      <c r="S1782" s="4" t="s">
        <v>29</v>
      </c>
      <c r="T1782" s="5" t="s">
        <v>12770</v>
      </c>
      <c r="U1782" s="6"/>
      <c r="V1782" s="6"/>
      <c r="W1782" s="6"/>
      <c r="X1782" s="6"/>
      <c r="Y1782" s="4" t="s">
        <v>12771</v>
      </c>
      <c r="Z1782" s="6"/>
      <c r="AA1782" s="5" t="s">
        <v>12772</v>
      </c>
    </row>
    <row r="1783" ht="14.25">
      <c r="B1783" s="4" t="s">
        <v>12773</v>
      </c>
      <c r="C1783" s="4" t="s">
        <v>355</v>
      </c>
      <c r="D1783" s="4" t="s">
        <v>12774</v>
      </c>
      <c r="E1783" s="4" t="s">
        <v>12775</v>
      </c>
      <c r="F1783" s="4" t="s">
        <v>172</v>
      </c>
      <c r="G1783" s="4" t="s">
        <v>12776</v>
      </c>
      <c r="H1783" s="4" t="str">
        <f>IFERROR(__XLUDF.DUMMYFUNCTION("PROPER(REGEXREPLACE(G360,""[^A-Za-z]+ "",""""))"),"Nuances")</f>
        <v>Nuances</v>
      </c>
      <c r="I1783" s="5" t="s">
        <v>12777</v>
      </c>
      <c r="J1783" s="4" t="s">
        <v>39</v>
      </c>
      <c r="K1783" s="4" t="s">
        <v>9160</v>
      </c>
      <c r="L1783" s="4" t="s">
        <v>29</v>
      </c>
      <c r="M1783" s="4" t="s">
        <v>9161</v>
      </c>
      <c r="N1783" s="4" t="str">
        <f>IFERROR(__XLUDF.DUMMYFUNCTION("VLOOKUP(M360,IMPORTRANGE(""https://docs.google.com/spreadsheets/d/1opm6ZNvGZ7KditA9TuJwrZ25eFLfTNIkrNnY6mhV5Eg"",""list!A1:C115""),3,TRUE)"),"le secteur du marketing")</f>
        <v xml:space="preserve">le secteur du marketing</v>
      </c>
      <c r="O1783" s="4" t="s">
        <v>12778</v>
      </c>
      <c r="P1783" s="4">
        <v>12</v>
      </c>
      <c r="Q1783" s="4" t="s">
        <v>12779</v>
      </c>
      <c r="R1783" s="4" t="s">
        <v>9160</v>
      </c>
      <c r="S1783" s="4" t="s">
        <v>29</v>
      </c>
      <c r="T1783" s="5" t="s">
        <v>12780</v>
      </c>
      <c r="U1783" s="6"/>
      <c r="V1783" s="6"/>
      <c r="W1783" s="6"/>
      <c r="X1783" s="6"/>
      <c r="Y1783" s="4" t="s">
        <v>12781</v>
      </c>
      <c r="Z1783" s="6"/>
      <c r="AA1783" s="5" t="s">
        <v>12782</v>
      </c>
    </row>
    <row r="1784" ht="14.25">
      <c r="B1784" s="4" t="s">
        <v>12783</v>
      </c>
      <c r="C1784" s="4" t="s">
        <v>355</v>
      </c>
      <c r="D1784" s="4" t="s">
        <v>12784</v>
      </c>
      <c r="E1784" s="4" t="s">
        <v>12785</v>
      </c>
      <c r="F1784" s="4" t="s">
        <v>1231</v>
      </c>
      <c r="G1784" s="4" t="s">
        <v>11723</v>
      </c>
      <c r="H1784" s="4" t="str">
        <f>IFERROR(__XLUDF.DUMMYFUNCTION("PROPER(REGEXREPLACE(G361,""[^A-Za-z]+ "",""""))"),"Regata")</f>
        <v>Regata</v>
      </c>
      <c r="I1784" s="5" t="s">
        <v>11724</v>
      </c>
      <c r="J1784" s="4" t="s">
        <v>1711</v>
      </c>
      <c r="K1784" s="4" t="s">
        <v>9350</v>
      </c>
      <c r="L1784" s="4" t="s">
        <v>29</v>
      </c>
      <c r="M1784" s="4" t="s">
        <v>2602</v>
      </c>
      <c r="N1784" s="4" t="str">
        <f>IFERROR(__XLUDF.DUMMYFUNCTION("VLOOKUP(M361,IMPORTRANGE(""https://docs.google.com/spreadsheets/d/1opm6ZNvGZ7KditA9TuJwrZ25eFLfTNIkrNnY6mhV5Eg"",""list!A1:C115""),3,TRUE)"),"le secteur de la tech")</f>
        <v xml:space="preserve">le secteur de la tech</v>
      </c>
      <c r="O1784" s="4" t="s">
        <v>11725</v>
      </c>
      <c r="P1784" s="4">
        <v>18</v>
      </c>
      <c r="Q1784" s="4" t="s">
        <v>1711</v>
      </c>
      <c r="R1784" s="4" t="s">
        <v>9350</v>
      </c>
      <c r="S1784" s="4" t="s">
        <v>29</v>
      </c>
      <c r="T1784" s="5" t="s">
        <v>11726</v>
      </c>
      <c r="U1784" s="6"/>
      <c r="V1784" s="5" t="s">
        <v>11727</v>
      </c>
      <c r="W1784" s="6"/>
      <c r="X1784" s="6"/>
      <c r="Y1784" s="4" t="s">
        <v>11728</v>
      </c>
      <c r="Z1784" s="6"/>
      <c r="AA1784" s="5" t="s">
        <v>12786</v>
      </c>
    </row>
    <row r="1785" ht="14.25">
      <c r="B1785" s="4" t="s">
        <v>12787</v>
      </c>
      <c r="C1785" s="4" t="s">
        <v>2503</v>
      </c>
      <c r="D1785" s="4" t="s">
        <v>12788</v>
      </c>
      <c r="E1785" s="4" t="s">
        <v>12789</v>
      </c>
      <c r="F1785" s="4" t="s">
        <v>12790</v>
      </c>
      <c r="G1785" s="4" t="s">
        <v>12791</v>
      </c>
      <c r="H1785" s="4" t="str">
        <f>IFERROR(__XLUDF.DUMMYFUNCTION("PROPER(REGEXREPLACE(G362,""[^A-Za-z]+ "",""""))"),"Altivec")</f>
        <v>Altivec</v>
      </c>
      <c r="I1785" s="5" t="s">
        <v>12792</v>
      </c>
      <c r="J1785" s="4" t="s">
        <v>2903</v>
      </c>
      <c r="K1785" s="4" t="s">
        <v>9193</v>
      </c>
      <c r="L1785" s="4" t="s">
        <v>29</v>
      </c>
      <c r="M1785" s="4" t="s">
        <v>9239</v>
      </c>
      <c r="N1785" s="4" t="str">
        <f>IFERROR(__XLUDF.DUMMYFUNCTION("VLOOKUP(M362,IMPORTRANGE(""https://docs.google.com/spreadsheets/d/1opm6ZNvGZ7KditA9TuJwrZ25eFLfTNIkrNnY6mhV5Eg"",""list!A1:C115""),3,TRUE)"),"le secteur de la construction")</f>
        <v xml:space="preserve">le secteur de la construction</v>
      </c>
      <c r="O1785" s="4" t="s">
        <v>12793</v>
      </c>
      <c r="P1785" s="4">
        <v>13</v>
      </c>
      <c r="Q1785" s="4" t="s">
        <v>12794</v>
      </c>
      <c r="R1785" s="4" t="s">
        <v>9172</v>
      </c>
      <c r="S1785" s="4" t="s">
        <v>29</v>
      </c>
      <c r="T1785" s="5" t="s">
        <v>12795</v>
      </c>
      <c r="U1785" s="5" t="s">
        <v>12796</v>
      </c>
      <c r="V1785" s="5" t="s">
        <v>12797</v>
      </c>
      <c r="W1785" s="6"/>
      <c r="X1785" s="6"/>
      <c r="Y1785" s="4" t="s">
        <v>12798</v>
      </c>
      <c r="Z1785" s="6"/>
      <c r="AA1785" s="5" t="s">
        <v>12799</v>
      </c>
    </row>
    <row r="1786" ht="14.25">
      <c r="B1786" s="4" t="s">
        <v>12800</v>
      </c>
      <c r="C1786" s="4" t="s">
        <v>4500</v>
      </c>
      <c r="D1786" s="4" t="s">
        <v>12801</v>
      </c>
      <c r="E1786" s="4" t="s">
        <v>12802</v>
      </c>
      <c r="F1786" s="4" t="s">
        <v>1231</v>
      </c>
      <c r="G1786" s="4" t="s">
        <v>12803</v>
      </c>
      <c r="H1786" s="4" t="str">
        <f>IFERROR(__XLUDF.DUMMYFUNCTION("PROPER(REGEXREPLACE(G363,""[^A-Za-z]+ "",""""))"),"Getwelcom")</f>
        <v>Getwelcom</v>
      </c>
      <c r="I1786" s="5" t="s">
        <v>12804</v>
      </c>
      <c r="J1786" s="4" t="s">
        <v>39</v>
      </c>
      <c r="K1786" s="4" t="s">
        <v>9160</v>
      </c>
      <c r="L1786" s="4" t="s">
        <v>29</v>
      </c>
      <c r="M1786" s="4" t="s">
        <v>2602</v>
      </c>
      <c r="N1786" s="4" t="str">
        <f>IFERROR(__XLUDF.DUMMYFUNCTION("VLOOKUP(M363,IMPORTRANGE(""https://docs.google.com/spreadsheets/d/1opm6ZNvGZ7KditA9TuJwrZ25eFLfTNIkrNnY6mhV5Eg"",""list!A1:C115""),3,TRUE)"),"le secteur de la tech")</f>
        <v xml:space="preserve">le secteur de la tech</v>
      </c>
      <c r="O1786" s="4" t="s">
        <v>12805</v>
      </c>
      <c r="P1786" s="4">
        <v>11</v>
      </c>
      <c r="Q1786" s="4" t="s">
        <v>39</v>
      </c>
      <c r="R1786" s="4" t="s">
        <v>9160</v>
      </c>
      <c r="S1786" s="4" t="s">
        <v>29</v>
      </c>
      <c r="T1786" s="5" t="s">
        <v>12806</v>
      </c>
      <c r="U1786" s="6"/>
      <c r="V1786" s="6"/>
      <c r="W1786" s="6"/>
      <c r="X1786" s="6"/>
      <c r="Y1786" s="4" t="s">
        <v>12807</v>
      </c>
      <c r="Z1786" s="6"/>
      <c r="AA1786" s="5" t="s">
        <v>12808</v>
      </c>
    </row>
    <row r="1787" ht="14.25">
      <c r="B1787" s="4" t="s">
        <v>12809</v>
      </c>
      <c r="C1787" s="4" t="s">
        <v>1853</v>
      </c>
      <c r="D1787" s="4" t="s">
        <v>10668</v>
      </c>
      <c r="E1787" s="4" t="s">
        <v>12810</v>
      </c>
      <c r="F1787" s="4" t="s">
        <v>12811</v>
      </c>
      <c r="G1787" s="4" t="s">
        <v>12812</v>
      </c>
      <c r="H1787" s="4" t="str">
        <f>IFERROR(__XLUDF.DUMMYFUNCTION("PROPER(REGEXREPLACE(G364,""[^A-Za-z]+ "",""""))"),"Pôle Aquanova")</f>
        <v xml:space="preserve">Pôle Aquanova</v>
      </c>
      <c r="I1787" s="5" t="s">
        <v>12813</v>
      </c>
      <c r="J1787" s="6"/>
      <c r="K1787" s="4" t="s">
        <v>9350</v>
      </c>
      <c r="L1787" s="4" t="s">
        <v>29</v>
      </c>
      <c r="M1787" s="4" t="s">
        <v>4067</v>
      </c>
      <c r="N1787" s="4" t="str">
        <f>IFERROR(__XLUDF.DUMMYFUNCTION("VLOOKUP(M364,IMPORTRANGE(""https://docs.google.com/spreadsheets/d/1opm6ZNvGZ7KditA9TuJwrZ25eFLfTNIkrNnY6mhV5Eg"",""list!A1:C115""),3,TRUE)"),"le secteur du conseil en management")</f>
        <v xml:space="preserve">le secteur du conseil en management</v>
      </c>
      <c r="O1787" s="4" t="s">
        <v>12814</v>
      </c>
      <c r="P1787" s="4">
        <v>23</v>
      </c>
      <c r="Q1787" s="4" t="s">
        <v>12815</v>
      </c>
      <c r="R1787" s="4" t="s">
        <v>9215</v>
      </c>
      <c r="S1787" s="4" t="s">
        <v>29</v>
      </c>
      <c r="T1787" s="5" t="s">
        <v>12816</v>
      </c>
      <c r="U1787" s="6"/>
      <c r="V1787" s="6"/>
      <c r="W1787" s="6"/>
      <c r="X1787" s="6"/>
      <c r="Y1787" s="4" t="s">
        <v>12817</v>
      </c>
      <c r="Z1787" s="6"/>
      <c r="AA1787" s="5" t="s">
        <v>12818</v>
      </c>
    </row>
    <row r="1788" ht="14.25">
      <c r="B1788" s="4" t="s">
        <v>12819</v>
      </c>
      <c r="C1788" s="4" t="s">
        <v>1853</v>
      </c>
      <c r="D1788" s="4" t="s">
        <v>12820</v>
      </c>
      <c r="E1788" s="4" t="s">
        <v>12821</v>
      </c>
      <c r="F1788" s="4" t="s">
        <v>12822</v>
      </c>
      <c r="G1788" s="4" t="s">
        <v>12823</v>
      </c>
      <c r="H1788" s="4" t="str">
        <f>IFERROR(__XLUDF.DUMMYFUNCTION("PROPER(REGEXREPLACE(G365,""[^A-Za-z]+ "",""""))"),"Asco-Ascenseurs")</f>
        <v>Asco-Ascenseurs</v>
      </c>
      <c r="I1788" s="5" t="s">
        <v>12824</v>
      </c>
      <c r="J1788" s="4" t="s">
        <v>12825</v>
      </c>
      <c r="K1788" s="4" t="s">
        <v>9160</v>
      </c>
      <c r="L1788" s="4" t="s">
        <v>29</v>
      </c>
      <c r="M1788" s="4" t="s">
        <v>9239</v>
      </c>
      <c r="N1788" s="4" t="str">
        <f>IFERROR(__XLUDF.DUMMYFUNCTION("VLOOKUP(M365,IMPORTRANGE(""https://docs.google.com/spreadsheets/d/1opm6ZNvGZ7KditA9TuJwrZ25eFLfTNIkrNnY6mhV5Eg"",""list!A1:C115""),3,TRUE)"),"le secteur de la construction")</f>
        <v xml:space="preserve">le secteur de la construction</v>
      </c>
      <c r="O1788" s="4" t="s">
        <v>12826</v>
      </c>
      <c r="P1788" s="4">
        <v>11</v>
      </c>
      <c r="Q1788" s="4" t="s">
        <v>12825</v>
      </c>
      <c r="R1788" s="4" t="s">
        <v>9160</v>
      </c>
      <c r="S1788" s="4" t="s">
        <v>29</v>
      </c>
      <c r="T1788" s="5" t="s">
        <v>12827</v>
      </c>
      <c r="U1788" s="6"/>
      <c r="V1788" s="6"/>
      <c r="W1788" s="6"/>
      <c r="X1788" s="6"/>
      <c r="Y1788" s="4" t="s">
        <v>12828</v>
      </c>
      <c r="Z1788" s="6"/>
      <c r="AA1788" s="5" t="s">
        <v>12829</v>
      </c>
    </row>
    <row r="1789" ht="14.25">
      <c r="B1789" s="4" t="s">
        <v>12830</v>
      </c>
      <c r="C1789" s="4" t="s">
        <v>7714</v>
      </c>
      <c r="D1789" s="4" t="s">
        <v>12831</v>
      </c>
      <c r="E1789" s="4" t="s">
        <v>12832</v>
      </c>
      <c r="F1789" s="4" t="s">
        <v>7759</v>
      </c>
      <c r="G1789" s="4" t="s">
        <v>12833</v>
      </c>
      <c r="H1789" s="4" t="str">
        <f>IFERROR(__XLUDF.DUMMYFUNCTION("PROPER(REGEXREPLACE(G366,""[^A-Za-z]+ "",""""))"),"Ambois")</f>
        <v>Ambois</v>
      </c>
      <c r="I1789" s="5" t="s">
        <v>12834</v>
      </c>
      <c r="J1789" s="4" t="s">
        <v>12835</v>
      </c>
      <c r="K1789" s="4" t="s">
        <v>9281</v>
      </c>
      <c r="L1789" s="4" t="s">
        <v>29</v>
      </c>
      <c r="M1789" s="4" t="s">
        <v>9239</v>
      </c>
      <c r="N1789" s="4" t="str">
        <f>IFERROR(__XLUDF.DUMMYFUNCTION("VLOOKUP(M366,IMPORTRANGE(""https://docs.google.com/spreadsheets/d/1opm6ZNvGZ7KditA9TuJwrZ25eFLfTNIkrNnY6mhV5Eg"",""list!A1:C115""),3,TRUE)"),"le secteur de la construction")</f>
        <v xml:space="preserve">le secteur de la construction</v>
      </c>
      <c r="O1789" s="4" t="s">
        <v>12836</v>
      </c>
      <c r="P1789" s="4">
        <v>12</v>
      </c>
      <c r="Q1789" s="4" t="s">
        <v>12837</v>
      </c>
      <c r="R1789" s="4" t="s">
        <v>9281</v>
      </c>
      <c r="S1789" s="4" t="s">
        <v>29</v>
      </c>
      <c r="T1789" s="5" t="s">
        <v>12838</v>
      </c>
      <c r="U1789" s="6"/>
      <c r="V1789" s="6"/>
      <c r="W1789" s="6"/>
      <c r="X1789" s="6"/>
      <c r="Y1789" s="4" t="s">
        <v>12839</v>
      </c>
      <c r="Z1789" s="6"/>
      <c r="AA1789" s="5" t="s">
        <v>12840</v>
      </c>
    </row>
    <row r="1790" ht="14.25">
      <c r="B1790" s="4" t="s">
        <v>12841</v>
      </c>
      <c r="C1790" s="4" t="s">
        <v>7714</v>
      </c>
      <c r="D1790" s="4" t="s">
        <v>12842</v>
      </c>
      <c r="E1790" s="4" t="s">
        <v>12843</v>
      </c>
      <c r="F1790" s="4" t="s">
        <v>12844</v>
      </c>
      <c r="G1790" s="4" t="s">
        <v>12845</v>
      </c>
      <c r="H1790" s="4" t="str">
        <f>IFERROR(__XLUDF.DUMMYFUNCTION("PROPER(REGEXREPLACE(G367,""[^A-Za-z]+ "",""""))"),"Ksi Partners")</f>
        <v xml:space="preserve">Ksi Partners</v>
      </c>
      <c r="I1790" s="5" t="s">
        <v>12846</v>
      </c>
      <c r="J1790" s="4" t="s">
        <v>39</v>
      </c>
      <c r="K1790" s="4" t="s">
        <v>9160</v>
      </c>
      <c r="L1790" s="4" t="s">
        <v>29</v>
      </c>
      <c r="M1790" s="4" t="s">
        <v>4067</v>
      </c>
      <c r="N1790" s="4" t="str">
        <f>IFERROR(__XLUDF.DUMMYFUNCTION("VLOOKUP(M367,IMPORTRANGE(""https://docs.google.com/spreadsheets/d/1opm6ZNvGZ7KditA9TuJwrZ25eFLfTNIkrNnY6mhV5Eg"",""list!A1:C115""),3,TRUE)"),"le secteur du conseil en management")</f>
        <v xml:space="preserve">le secteur du conseil en management</v>
      </c>
      <c r="O1790" s="4" t="s">
        <v>12847</v>
      </c>
      <c r="P1790" s="4">
        <v>10</v>
      </c>
      <c r="Q1790" s="4" t="s">
        <v>39</v>
      </c>
      <c r="R1790" s="4" t="s">
        <v>9160</v>
      </c>
      <c r="S1790" s="4" t="s">
        <v>29</v>
      </c>
      <c r="T1790" s="5" t="s">
        <v>12848</v>
      </c>
      <c r="U1790" s="6"/>
      <c r="V1790" s="6"/>
      <c r="W1790" s="6"/>
      <c r="X1790" s="6"/>
      <c r="Y1790" s="4" t="s">
        <v>12849</v>
      </c>
      <c r="Z1790" s="6"/>
      <c r="AA1790" s="5" t="s">
        <v>12850</v>
      </c>
    </row>
    <row r="1791" ht="14.25">
      <c r="B1791" s="4" t="s">
        <v>12851</v>
      </c>
      <c r="C1791" s="4" t="s">
        <v>2436</v>
      </c>
      <c r="D1791" s="4" t="s">
        <v>12852</v>
      </c>
      <c r="E1791" s="4" t="s">
        <v>12853</v>
      </c>
      <c r="F1791" s="4" t="s">
        <v>12854</v>
      </c>
      <c r="G1791" s="4" t="s">
        <v>12855</v>
      </c>
      <c r="H1791" s="4" t="str">
        <f>IFERROR(__XLUDF.DUMMYFUNCTION("PROPER(REGEXREPLACE(G368,""[^A-Za-z]+ "",""""))"),"Vipros")</f>
        <v>Vipros</v>
      </c>
      <c r="I1791" s="5" t="s">
        <v>12856</v>
      </c>
      <c r="J1791" s="6"/>
      <c r="K1791" s="6"/>
      <c r="L1791" s="4" t="s">
        <v>29</v>
      </c>
      <c r="M1791" s="4" t="s">
        <v>4067</v>
      </c>
      <c r="N1791" s="4" t="str">
        <f>IFERROR(__XLUDF.DUMMYFUNCTION("VLOOKUP(M368,IMPORTRANGE(""https://docs.google.com/spreadsheets/d/1opm6ZNvGZ7KditA9TuJwrZ25eFLfTNIkrNnY6mhV5Eg"",""list!A1:C115""),3,TRUE)"),"le secteur du conseil en management")</f>
        <v xml:space="preserve">le secteur du conseil en management</v>
      </c>
      <c r="O1791" s="4" t="s">
        <v>12857</v>
      </c>
      <c r="P1791" s="4">
        <v>15</v>
      </c>
      <c r="Q1791" s="4" t="s">
        <v>12058</v>
      </c>
      <c r="R1791" s="4" t="s">
        <v>9215</v>
      </c>
      <c r="S1791" s="4" t="s">
        <v>29</v>
      </c>
      <c r="T1791" s="5" t="s">
        <v>12858</v>
      </c>
      <c r="U1791" s="6"/>
      <c r="V1791" s="6"/>
      <c r="W1791" s="6"/>
      <c r="X1791" s="6"/>
      <c r="Y1791" s="4" t="s">
        <v>12859</v>
      </c>
      <c r="Z1791" s="6"/>
      <c r="AA1791" s="5" t="s">
        <v>12860</v>
      </c>
    </row>
    <row r="1792" ht="14.25">
      <c r="B1792" s="4" t="s">
        <v>12861</v>
      </c>
      <c r="C1792" s="4" t="s">
        <v>2436</v>
      </c>
      <c r="D1792" s="4" t="s">
        <v>12862</v>
      </c>
      <c r="E1792" s="4" t="s">
        <v>12863</v>
      </c>
      <c r="F1792" s="4" t="s">
        <v>341</v>
      </c>
      <c r="G1792" s="4" t="s">
        <v>12864</v>
      </c>
      <c r="H1792" s="4" t="str">
        <f>IFERROR(__XLUDF.DUMMYFUNCTION("PROPER(REGEXREPLACE(G369,""[^A-Za-z]+ "",""""))"),"Sas Itguard")</f>
        <v xml:space="preserve">Sas Itguard</v>
      </c>
      <c r="I1792" s="5" t="s">
        <v>12865</v>
      </c>
      <c r="J1792" s="4" t="s">
        <v>10141</v>
      </c>
      <c r="K1792" s="4" t="s">
        <v>9160</v>
      </c>
      <c r="L1792" s="4" t="s">
        <v>29</v>
      </c>
      <c r="M1792" s="4" t="s">
        <v>2602</v>
      </c>
      <c r="N1792" s="4" t="str">
        <f>IFERROR(__XLUDF.DUMMYFUNCTION("VLOOKUP(M369,IMPORTRANGE(""https://docs.google.com/spreadsheets/d/1opm6ZNvGZ7KditA9TuJwrZ25eFLfTNIkrNnY6mhV5Eg"",""list!A1:C115""),3,TRUE)"),"le secteur de la tech")</f>
        <v xml:space="preserve">le secteur de la tech</v>
      </c>
      <c r="O1792" s="6"/>
      <c r="P1792" s="4">
        <v>11</v>
      </c>
      <c r="Q1792" s="4" t="s">
        <v>10141</v>
      </c>
      <c r="R1792" s="4" t="s">
        <v>9160</v>
      </c>
      <c r="S1792" s="4" t="s">
        <v>29</v>
      </c>
      <c r="T1792" s="5" t="s">
        <v>12866</v>
      </c>
      <c r="U1792" s="6"/>
      <c r="V1792" s="6"/>
      <c r="W1792" s="6"/>
      <c r="X1792" s="6"/>
      <c r="Y1792" s="4" t="s">
        <v>12867</v>
      </c>
      <c r="Z1792" s="6"/>
      <c r="AA1792" s="5" t="s">
        <v>12868</v>
      </c>
    </row>
    <row r="1793" ht="14.25">
      <c r="B1793" s="4" t="s">
        <v>12869</v>
      </c>
      <c r="C1793" s="4" t="s">
        <v>12870</v>
      </c>
      <c r="D1793" s="4" t="s">
        <v>12871</v>
      </c>
      <c r="E1793" s="4" t="s">
        <v>12872</v>
      </c>
      <c r="F1793" s="4" t="s">
        <v>12873</v>
      </c>
      <c r="G1793" s="4" t="s">
        <v>12874</v>
      </c>
      <c r="H1793" s="4" t="str">
        <f>IFERROR(__XLUDF.DUMMYFUNCTION("PROPER(REGEXREPLACE(G370,""[^A-Za-z]+ "",""""))"),"Spellz")</f>
        <v>Spellz</v>
      </c>
      <c r="I1793" s="5" t="s">
        <v>12875</v>
      </c>
      <c r="J1793" s="4" t="s">
        <v>39</v>
      </c>
      <c r="K1793" s="4" t="s">
        <v>9160</v>
      </c>
      <c r="L1793" s="4" t="s">
        <v>29</v>
      </c>
      <c r="M1793" s="4" t="s">
        <v>2602</v>
      </c>
      <c r="N1793" s="4" t="str">
        <f>IFERROR(__XLUDF.DUMMYFUNCTION("VLOOKUP(M370,IMPORTRANGE(""https://docs.google.com/spreadsheets/d/1opm6ZNvGZ7KditA9TuJwrZ25eFLfTNIkrNnY6mhV5Eg"",""list!A1:C115""),3,TRUE)"),"le secteur de la tech")</f>
        <v xml:space="preserve">le secteur de la tech</v>
      </c>
      <c r="O1793" s="6"/>
      <c r="P1793" s="4">
        <v>12</v>
      </c>
      <c r="Q1793" s="4" t="s">
        <v>39</v>
      </c>
      <c r="R1793" s="4" t="s">
        <v>9160</v>
      </c>
      <c r="S1793" s="4" t="s">
        <v>29</v>
      </c>
      <c r="T1793" s="5" t="s">
        <v>12876</v>
      </c>
      <c r="U1793" s="6"/>
      <c r="V1793" s="6"/>
      <c r="W1793" s="6"/>
      <c r="X1793" s="6"/>
      <c r="Y1793" s="4" t="s">
        <v>12877</v>
      </c>
      <c r="Z1793" s="6"/>
      <c r="AA1793" s="5" t="s">
        <v>12878</v>
      </c>
    </row>
    <row r="1794" ht="14.25">
      <c r="B1794" s="4" t="s">
        <v>12879</v>
      </c>
      <c r="C1794" s="4" t="s">
        <v>12880</v>
      </c>
      <c r="D1794" s="4" t="s">
        <v>12881</v>
      </c>
      <c r="E1794" s="4" t="s">
        <v>12882</v>
      </c>
      <c r="F1794" s="4" t="s">
        <v>2645</v>
      </c>
      <c r="G1794" s="4" t="s">
        <v>12883</v>
      </c>
      <c r="H1794" s="4" t="str">
        <f>IFERROR(__XLUDF.DUMMYFUNCTION("PROPER(REGEXREPLACE(G371,""[^A-Za-z]+ "",""""))"),"Rhis Solutions")</f>
        <v xml:space="preserve">Rhis Solutions</v>
      </c>
      <c r="I1794" s="6"/>
      <c r="J1794" s="4" t="s">
        <v>6603</v>
      </c>
      <c r="K1794" s="4" t="s">
        <v>9160</v>
      </c>
      <c r="L1794" s="4" t="s">
        <v>29</v>
      </c>
      <c r="M1794" s="4" t="s">
        <v>2602</v>
      </c>
      <c r="N1794" s="4" t="str">
        <f>IFERROR(__XLUDF.DUMMYFUNCTION("VLOOKUP(M371,IMPORTRANGE(""https://docs.google.com/spreadsheets/d/1opm6ZNvGZ7KditA9TuJwrZ25eFLfTNIkrNnY6mhV5Eg"",""list!A1:C115""),3,TRUE)"),"le secteur de la tech")</f>
        <v xml:space="preserve">le secteur de la tech</v>
      </c>
      <c r="O1794" s="4" t="s">
        <v>12884</v>
      </c>
      <c r="P1794" s="4">
        <v>24</v>
      </c>
      <c r="Q1794" s="4" t="s">
        <v>6603</v>
      </c>
      <c r="R1794" s="4" t="s">
        <v>9160</v>
      </c>
      <c r="S1794" s="4" t="s">
        <v>29</v>
      </c>
      <c r="T1794" s="5" t="s">
        <v>12885</v>
      </c>
      <c r="U1794" s="6"/>
      <c r="V1794" s="6"/>
      <c r="W1794" s="6"/>
      <c r="X1794" s="6"/>
      <c r="Y1794" s="4" t="s">
        <v>12886</v>
      </c>
      <c r="Z1794" s="6"/>
      <c r="AA1794" s="5" t="s">
        <v>12887</v>
      </c>
    </row>
    <row r="1795" ht="14.25">
      <c r="B1795" s="4" t="s">
        <v>12888</v>
      </c>
      <c r="C1795" s="4" t="s">
        <v>4469</v>
      </c>
      <c r="D1795" s="4" t="s">
        <v>12889</v>
      </c>
      <c r="E1795" s="4" t="s">
        <v>12890</v>
      </c>
      <c r="F1795" s="4" t="s">
        <v>12257</v>
      </c>
      <c r="G1795" s="4" t="s">
        <v>10659</v>
      </c>
      <c r="H1795" s="4" t="str">
        <f>IFERROR(__XLUDF.DUMMYFUNCTION("PROPER(REGEXREPLACE(G372,""[^A-Za-z]+ "",""""))"),"Vakom Le Sens De L'Humain")</f>
        <v xml:space="preserve">Vakom Le Sens De L'Humain</v>
      </c>
      <c r="I1795" s="5" t="s">
        <v>10660</v>
      </c>
      <c r="J1795" s="4" t="s">
        <v>12891</v>
      </c>
      <c r="K1795" s="4" t="s">
        <v>9281</v>
      </c>
      <c r="L1795" s="4" t="s">
        <v>29</v>
      </c>
      <c r="M1795" s="4" t="s">
        <v>4067</v>
      </c>
      <c r="N1795" s="4" t="str">
        <f>IFERROR(__XLUDF.DUMMYFUNCTION("VLOOKUP(M372,IMPORTRANGE(""https://docs.google.com/spreadsheets/d/1opm6ZNvGZ7KditA9TuJwrZ25eFLfTNIkrNnY6mhV5Eg"",""list!A1:C115""),3,TRUE)"),"le secteur du conseil en management")</f>
        <v xml:space="preserve">le secteur du conseil en management</v>
      </c>
      <c r="O1795" s="4" t="s">
        <v>10662</v>
      </c>
      <c r="P1795" s="4">
        <v>49</v>
      </c>
      <c r="Q1795" s="4" t="s">
        <v>492</v>
      </c>
      <c r="R1795" s="4" t="s">
        <v>9267</v>
      </c>
      <c r="S1795" s="4" t="s">
        <v>29</v>
      </c>
      <c r="T1795" s="5" t="s">
        <v>10663</v>
      </c>
      <c r="U1795" s="6"/>
      <c r="V1795" s="5" t="s">
        <v>10664</v>
      </c>
      <c r="W1795" s="6"/>
      <c r="X1795" s="6"/>
      <c r="Y1795" s="4" t="s">
        <v>10665</v>
      </c>
      <c r="Z1795" s="6"/>
      <c r="AA1795" s="5" t="s">
        <v>12892</v>
      </c>
    </row>
    <row r="1796" ht="14.25">
      <c r="B1796" s="4" t="s">
        <v>12893</v>
      </c>
      <c r="C1796" s="4" t="s">
        <v>785</v>
      </c>
      <c r="D1796" s="4" t="s">
        <v>12894</v>
      </c>
      <c r="E1796" s="4" t="s">
        <v>12895</v>
      </c>
      <c r="F1796" s="4" t="s">
        <v>112</v>
      </c>
      <c r="G1796" s="4" t="s">
        <v>12896</v>
      </c>
      <c r="H1796" s="4" t="str">
        <f>IFERROR(__XLUDF.DUMMYFUNCTION("PROPER(REGEXREPLACE(G373,""[^A-Za-z]+ "",""""))"),"Archery Dataanalytics")</f>
        <v xml:space="preserve">Archery Dataanalytics</v>
      </c>
      <c r="I1796" s="5" t="s">
        <v>12897</v>
      </c>
      <c r="J1796" s="4" t="s">
        <v>3898</v>
      </c>
      <c r="K1796" s="4" t="s">
        <v>10736</v>
      </c>
      <c r="L1796" s="4" t="s">
        <v>29</v>
      </c>
      <c r="M1796" s="4" t="s">
        <v>2602</v>
      </c>
      <c r="N1796" s="4" t="str">
        <f>IFERROR(__XLUDF.DUMMYFUNCTION("VLOOKUP(M373,IMPORTRANGE(""https://docs.google.com/spreadsheets/d/1opm6ZNvGZ7KditA9TuJwrZ25eFLfTNIkrNnY6mhV5Eg"",""list!A1:C115""),3,TRUE)"),"le secteur de la tech")</f>
        <v xml:space="preserve">le secteur de la tech</v>
      </c>
      <c r="O1796" s="4" t="s">
        <v>12898</v>
      </c>
      <c r="P1796" s="4">
        <v>13</v>
      </c>
      <c r="Q1796" s="4" t="s">
        <v>3898</v>
      </c>
      <c r="R1796" s="4" t="s">
        <v>10736</v>
      </c>
      <c r="S1796" s="4" t="s">
        <v>29</v>
      </c>
      <c r="T1796" s="5" t="s">
        <v>12899</v>
      </c>
      <c r="U1796" s="6"/>
      <c r="V1796" s="6"/>
      <c r="W1796" s="6"/>
      <c r="X1796" s="6"/>
      <c r="Y1796" s="4" t="s">
        <v>12900</v>
      </c>
      <c r="Z1796" s="6"/>
      <c r="AA1796" s="5" t="s">
        <v>12901</v>
      </c>
    </row>
    <row r="1797" ht="14.25">
      <c r="B1797" s="4" t="s">
        <v>12902</v>
      </c>
      <c r="C1797" s="4" t="s">
        <v>661</v>
      </c>
      <c r="D1797" s="4" t="s">
        <v>12903</v>
      </c>
      <c r="E1797" s="4" t="s">
        <v>12904</v>
      </c>
      <c r="F1797" s="4" t="s">
        <v>12905</v>
      </c>
      <c r="G1797" s="4" t="s">
        <v>12906</v>
      </c>
      <c r="H1797" s="4" t="str">
        <f>IFERROR(__XLUDF.DUMMYFUNCTION("PROPER(REGEXREPLACE(G374,""[^A-Za-z]+ "",""""))"),"Établissements Lavrut")</f>
        <v xml:space="preserve">Établissements Lavrut</v>
      </c>
      <c r="I1797" s="5" t="s">
        <v>12907</v>
      </c>
      <c r="J1797" s="4" t="s">
        <v>39</v>
      </c>
      <c r="K1797" s="4" t="s">
        <v>9160</v>
      </c>
      <c r="L1797" s="4" t="s">
        <v>29</v>
      </c>
      <c r="M1797" s="4" t="s">
        <v>4525</v>
      </c>
      <c r="N1797" s="4" t="str">
        <f>IFERROR(__XLUDF.DUMMYFUNCTION("VLOOKUP(M374,IMPORTRANGE(""https://docs.google.com/spreadsheets/d/1opm6ZNvGZ7KditA9TuJwrZ25eFLfTNIkrNnY6mhV5Eg"",""list!A1:C115""),3,TRUE)"),"le secteur du retail")</f>
        <v xml:space="preserve">le secteur du retail</v>
      </c>
      <c r="O1797" s="6"/>
      <c r="P1797" s="4">
        <v>13</v>
      </c>
      <c r="Q1797" s="4" t="s">
        <v>39</v>
      </c>
      <c r="R1797" s="4" t="s">
        <v>9160</v>
      </c>
      <c r="S1797" s="4" t="s">
        <v>29</v>
      </c>
      <c r="T1797" s="5" t="s">
        <v>12908</v>
      </c>
      <c r="U1797" s="6"/>
      <c r="V1797" s="6"/>
      <c r="W1797" s="6"/>
      <c r="X1797" s="6"/>
      <c r="Y1797" s="4" t="s">
        <v>12909</v>
      </c>
      <c r="Z1797" s="6"/>
      <c r="AA1797" s="5" t="s">
        <v>12910</v>
      </c>
    </row>
    <row r="1798" ht="14.25">
      <c r="B1798" s="4" t="s">
        <v>12911</v>
      </c>
      <c r="C1798" s="4" t="s">
        <v>6945</v>
      </c>
      <c r="D1798" s="4" t="s">
        <v>12912</v>
      </c>
      <c r="E1798" s="4" t="s">
        <v>12913</v>
      </c>
      <c r="F1798" s="4" t="s">
        <v>12914</v>
      </c>
      <c r="G1798" s="4" t="s">
        <v>12915</v>
      </c>
      <c r="H1798" s="4" t="str">
        <f>IFERROR(__XLUDF.DUMMYFUNCTION("PROPER(REGEXREPLACE(G375,""[^A-Za-z]+ "",""""))"),"Avantage Business Crm")</f>
        <v xml:space="preserve">Avantage Business Crm</v>
      </c>
      <c r="I1798" s="5" t="s">
        <v>12916</v>
      </c>
      <c r="J1798" s="4" t="s">
        <v>12917</v>
      </c>
      <c r="K1798" s="4" t="s">
        <v>9193</v>
      </c>
      <c r="L1798" s="4" t="s">
        <v>29</v>
      </c>
      <c r="M1798" s="4" t="s">
        <v>2602</v>
      </c>
      <c r="N1798" s="4" t="str">
        <f>IFERROR(__XLUDF.DUMMYFUNCTION("VLOOKUP(M375,IMPORTRANGE(""https://docs.google.com/spreadsheets/d/1opm6ZNvGZ7KditA9TuJwrZ25eFLfTNIkrNnY6mhV5Eg"",""list!A1:C115""),3,TRUE)"),"le secteur de la tech")</f>
        <v xml:space="preserve">le secteur de la tech</v>
      </c>
      <c r="O1798" s="4" t="s">
        <v>12918</v>
      </c>
      <c r="P1798" s="4">
        <v>11</v>
      </c>
      <c r="Q1798" s="4" t="s">
        <v>12917</v>
      </c>
      <c r="R1798" s="4" t="s">
        <v>9193</v>
      </c>
      <c r="S1798" s="4" t="s">
        <v>29</v>
      </c>
      <c r="T1798" s="5" t="s">
        <v>12919</v>
      </c>
      <c r="U1798" s="6"/>
      <c r="V1798" s="6"/>
      <c r="W1798" s="6"/>
      <c r="X1798" s="6"/>
      <c r="Y1798" s="4" t="s">
        <v>12920</v>
      </c>
      <c r="Z1798" s="6"/>
      <c r="AA1798" s="5" t="s">
        <v>12921</v>
      </c>
    </row>
    <row r="1799" ht="14.25">
      <c r="B1799" s="4" t="s">
        <v>12922</v>
      </c>
      <c r="C1799" s="4" t="s">
        <v>785</v>
      </c>
      <c r="D1799" s="4" t="s">
        <v>12923</v>
      </c>
      <c r="E1799" s="4" t="s">
        <v>12924</v>
      </c>
      <c r="F1799" s="4" t="s">
        <v>112</v>
      </c>
      <c r="G1799" s="4" t="s">
        <v>12925</v>
      </c>
      <c r="H1799" s="4" t="str">
        <f>IFERROR(__XLUDF.DUMMYFUNCTION("PROPER(REGEXREPLACE(G376,""[^A-Za-z]+ "",""""))"),"Groupe Amourdedieu")</f>
        <v xml:space="preserve">Groupe Amourdedieu</v>
      </c>
      <c r="I1799" s="5" t="s">
        <v>12926</v>
      </c>
      <c r="J1799" s="4" t="s">
        <v>12927</v>
      </c>
      <c r="K1799" s="4" t="s">
        <v>9251</v>
      </c>
      <c r="L1799" s="4" t="s">
        <v>29</v>
      </c>
      <c r="M1799" s="4" t="s">
        <v>9239</v>
      </c>
      <c r="N1799" s="4" t="str">
        <f>IFERROR(__XLUDF.DUMMYFUNCTION("VLOOKUP(M376,IMPORTRANGE(""https://docs.google.com/spreadsheets/d/1opm6ZNvGZ7KditA9TuJwrZ25eFLfTNIkrNnY6mhV5Eg"",""list!A1:C115""),3,TRUE)"),"le secteur de la construction")</f>
        <v xml:space="preserve">le secteur de la construction</v>
      </c>
      <c r="O1799" s="4" t="s">
        <v>12928</v>
      </c>
      <c r="P1799" s="4">
        <v>27</v>
      </c>
      <c r="Q1799" s="6"/>
      <c r="R1799" s="6"/>
      <c r="S1799" s="6"/>
      <c r="T1799" s="5" t="s">
        <v>12929</v>
      </c>
      <c r="U1799" s="6"/>
      <c r="V1799" s="6"/>
      <c r="W1799" s="6"/>
      <c r="X1799" s="6"/>
      <c r="Y1799" s="4" t="s">
        <v>12930</v>
      </c>
      <c r="Z1799" s="6"/>
      <c r="AA1799" s="5" t="s">
        <v>12931</v>
      </c>
    </row>
    <row r="1800" ht="14.25">
      <c r="B1800" s="4" t="s">
        <v>12932</v>
      </c>
      <c r="C1800" s="4" t="s">
        <v>402</v>
      </c>
      <c r="D1800" s="4" t="s">
        <v>12933</v>
      </c>
      <c r="E1800" s="4" t="s">
        <v>12934</v>
      </c>
      <c r="F1800" s="4" t="s">
        <v>5829</v>
      </c>
      <c r="G1800" s="4" t="s">
        <v>12935</v>
      </c>
      <c r="H1800" s="4" t="str">
        <f>IFERROR(__XLUDF.DUMMYFUNCTION("PROPER(REGEXREPLACE(G377,""[^A-Za-z]+ "",""""))"),"Skilz")</f>
        <v>Skilz</v>
      </c>
      <c r="I1800" s="5" t="s">
        <v>12936</v>
      </c>
      <c r="J1800" s="6"/>
      <c r="K1800" s="6"/>
      <c r="L1800" s="4" t="s">
        <v>29</v>
      </c>
      <c r="M1800" s="4" t="s">
        <v>10639</v>
      </c>
      <c r="N1800" s="4" t="str">
        <f>IFERROR(__XLUDF.DUMMYFUNCTION("VLOOKUP(M377,IMPORTRANGE(""https://docs.google.com/spreadsheets/d/1opm6ZNvGZ7KditA9TuJwrZ25eFLfTNIkrNnY6mhV5Eg"",""list!A1:C115""),3,TRUE)"),"le secteur de la communication")</f>
        <v xml:space="preserve">le secteur de la communication</v>
      </c>
      <c r="O1800" s="6"/>
      <c r="P1800" s="4">
        <v>10</v>
      </c>
      <c r="Q1800" s="4" t="s">
        <v>39</v>
      </c>
      <c r="R1800" s="4" t="s">
        <v>9160</v>
      </c>
      <c r="S1800" s="4" t="s">
        <v>29</v>
      </c>
      <c r="T1800" s="5" t="s">
        <v>12937</v>
      </c>
      <c r="U1800" s="6"/>
      <c r="V1800" s="6"/>
      <c r="W1800" s="6"/>
      <c r="X1800" s="6"/>
      <c r="Y1800" s="4" t="s">
        <v>12938</v>
      </c>
      <c r="Z1800" s="6"/>
      <c r="AA1800" s="5" t="s">
        <v>12939</v>
      </c>
    </row>
    <row r="1801" ht="14.25">
      <c r="B1801" s="4" t="s">
        <v>12940</v>
      </c>
      <c r="C1801" s="4" t="s">
        <v>548</v>
      </c>
      <c r="D1801" s="4" t="s">
        <v>12941</v>
      </c>
      <c r="E1801" s="4" t="s">
        <v>12942</v>
      </c>
      <c r="F1801" s="4" t="s">
        <v>12943</v>
      </c>
      <c r="G1801" s="4" t="s">
        <v>12944</v>
      </c>
      <c r="H1801" s="4" t="str">
        <f>IFERROR(__XLUDF.DUMMYFUNCTION("PROPER(REGEXREPLACE(G378,""[^A-Za-z]+ "",""""))"),"Innovation Fluides")</f>
        <v xml:space="preserve">Innovation Fluides</v>
      </c>
      <c r="I1801" s="5" t="s">
        <v>12945</v>
      </c>
      <c r="J1801" s="6"/>
      <c r="K1801" s="4" t="s">
        <v>9160</v>
      </c>
      <c r="L1801" s="4" t="s">
        <v>29</v>
      </c>
      <c r="M1801" s="4" t="s">
        <v>9239</v>
      </c>
      <c r="N1801" s="4" t="str">
        <f>IFERROR(__XLUDF.DUMMYFUNCTION("VLOOKUP(M378,IMPORTRANGE(""https://docs.google.com/spreadsheets/d/1opm6ZNvGZ7KditA9TuJwrZ25eFLfTNIkrNnY6mhV5Eg"",""list!A1:C115""),3,TRUE)"),"le secteur de la construction")</f>
        <v xml:space="preserve">le secteur de la construction</v>
      </c>
      <c r="O1801" s="6"/>
      <c r="P1801" s="4">
        <v>14</v>
      </c>
      <c r="Q1801" s="4" t="s">
        <v>12946</v>
      </c>
      <c r="R1801" s="4" t="s">
        <v>9160</v>
      </c>
      <c r="S1801" s="4" t="s">
        <v>29</v>
      </c>
      <c r="T1801" s="5" t="s">
        <v>12947</v>
      </c>
      <c r="U1801" s="6"/>
      <c r="V1801" s="6"/>
      <c r="W1801" s="6"/>
      <c r="X1801" s="6"/>
      <c r="Y1801" s="4" t="s">
        <v>12948</v>
      </c>
      <c r="Z1801" s="6"/>
      <c r="AA1801" s="5" t="s">
        <v>12949</v>
      </c>
    </row>
    <row r="1802" ht="14.25">
      <c r="B1802" s="4" t="s">
        <v>12950</v>
      </c>
      <c r="C1802" s="4" t="s">
        <v>313</v>
      </c>
      <c r="D1802" s="4" t="s">
        <v>12951</v>
      </c>
      <c r="E1802" s="4" t="s">
        <v>12952</v>
      </c>
      <c r="F1802" s="4" t="s">
        <v>7759</v>
      </c>
      <c r="G1802" s="4" t="s">
        <v>12953</v>
      </c>
      <c r="H1802" s="4" t="str">
        <f>IFERROR(__XLUDF.DUMMYFUNCTION("PROPER(REGEXREPLACE(G379,""[^A-Za-z]+ "",""""))"),"Koders")</f>
        <v>Koders</v>
      </c>
      <c r="I1802" s="5" t="s">
        <v>12954</v>
      </c>
      <c r="J1802" s="4" t="s">
        <v>1507</v>
      </c>
      <c r="K1802" s="4" t="s">
        <v>9193</v>
      </c>
      <c r="L1802" s="4" t="s">
        <v>29</v>
      </c>
      <c r="M1802" s="4" t="s">
        <v>2602</v>
      </c>
      <c r="N1802" s="4" t="str">
        <f>IFERROR(__XLUDF.DUMMYFUNCTION("VLOOKUP(M379,IMPORTRANGE(""https://docs.google.com/spreadsheets/d/1opm6ZNvGZ7KditA9TuJwrZ25eFLfTNIkrNnY6mhV5Eg"",""list!A1:C115""),3,TRUE)"),"le secteur de la tech")</f>
        <v xml:space="preserve">le secteur de la tech</v>
      </c>
      <c r="O1802" s="4" t="s">
        <v>12955</v>
      </c>
      <c r="P1802" s="4">
        <v>19</v>
      </c>
      <c r="Q1802" s="4" t="s">
        <v>1507</v>
      </c>
      <c r="R1802" s="4" t="s">
        <v>9193</v>
      </c>
      <c r="S1802" s="4" t="s">
        <v>29</v>
      </c>
      <c r="T1802" s="5" t="s">
        <v>12956</v>
      </c>
      <c r="U1802" s="6"/>
      <c r="V1802" s="5" t="s">
        <v>12957</v>
      </c>
      <c r="W1802" s="5" t="s">
        <v>12958</v>
      </c>
      <c r="X1802" s="6"/>
      <c r="Y1802" s="4" t="s">
        <v>12959</v>
      </c>
      <c r="Z1802" s="6"/>
      <c r="AA1802" s="5" t="s">
        <v>12960</v>
      </c>
    </row>
    <row r="1803" ht="14.25">
      <c r="B1803" s="4" t="s">
        <v>12961</v>
      </c>
      <c r="C1803" s="4" t="s">
        <v>4115</v>
      </c>
      <c r="D1803" s="4" t="s">
        <v>12962</v>
      </c>
      <c r="E1803" s="4" t="s">
        <v>12963</v>
      </c>
      <c r="F1803" s="4" t="s">
        <v>112</v>
      </c>
      <c r="G1803" s="4" t="s">
        <v>12964</v>
      </c>
      <c r="H1803" s="4" t="str">
        <f>IFERROR(__XLUDF.DUMMYFUNCTION("PROPER(REGEXREPLACE(G380,""[^A-Za-z]+ "",""""))"),"Olysta")</f>
        <v>Olysta</v>
      </c>
      <c r="I1803" s="5" t="s">
        <v>12965</v>
      </c>
      <c r="J1803" s="4" t="s">
        <v>10265</v>
      </c>
      <c r="K1803" s="4" t="s">
        <v>9193</v>
      </c>
      <c r="L1803" s="4" t="s">
        <v>29</v>
      </c>
      <c r="M1803" s="4" t="s">
        <v>2602</v>
      </c>
      <c r="N1803" s="4" t="str">
        <f>IFERROR(__XLUDF.DUMMYFUNCTION("VLOOKUP(M380,IMPORTRANGE(""https://docs.google.com/spreadsheets/d/1opm6ZNvGZ7KditA9TuJwrZ25eFLfTNIkrNnY6mhV5Eg"",""list!A1:C115""),3,TRUE)"),"le secteur de la tech")</f>
        <v xml:space="preserve">le secteur de la tech</v>
      </c>
      <c r="O1803" s="6"/>
      <c r="P1803" s="4">
        <v>10</v>
      </c>
      <c r="Q1803" s="4" t="s">
        <v>12966</v>
      </c>
      <c r="R1803" s="4" t="s">
        <v>9193</v>
      </c>
      <c r="S1803" s="4" t="s">
        <v>29</v>
      </c>
      <c r="T1803" s="5" t="s">
        <v>12967</v>
      </c>
      <c r="U1803" s="6"/>
      <c r="V1803" s="5" t="s">
        <v>9981</v>
      </c>
      <c r="W1803" s="6"/>
      <c r="X1803" s="6"/>
      <c r="Y1803" s="4" t="s">
        <v>12968</v>
      </c>
      <c r="Z1803" s="6"/>
      <c r="AA1803" s="5" t="s">
        <v>12969</v>
      </c>
    </row>
    <row r="1804" ht="14.25">
      <c r="B1804" s="4" t="s">
        <v>12970</v>
      </c>
      <c r="C1804" s="4" t="s">
        <v>661</v>
      </c>
      <c r="D1804" s="4" t="s">
        <v>12971</v>
      </c>
      <c r="E1804" s="4" t="s">
        <v>12972</v>
      </c>
      <c r="F1804" s="4" t="s">
        <v>112</v>
      </c>
      <c r="G1804" s="4" t="s">
        <v>12973</v>
      </c>
      <c r="H1804" s="4" t="str">
        <f>IFERROR(__XLUDF.DUMMYFUNCTION("PROPER(REGEXREPLACE(G381,""[^A-Za-z]+ "",""""))"),"Meta 2E")</f>
        <v xml:space="preserve">Meta 2E</v>
      </c>
      <c r="I1804" s="5" t="s">
        <v>12974</v>
      </c>
      <c r="J1804" s="4" t="s">
        <v>831</v>
      </c>
      <c r="K1804" s="4" t="s">
        <v>9193</v>
      </c>
      <c r="L1804" s="4" t="s">
        <v>29</v>
      </c>
      <c r="M1804" s="4" t="s">
        <v>2602</v>
      </c>
      <c r="N1804" s="4" t="str">
        <f>IFERROR(__XLUDF.DUMMYFUNCTION("VLOOKUP(M381,IMPORTRANGE(""https://docs.google.com/spreadsheets/d/1opm6ZNvGZ7KditA9TuJwrZ25eFLfTNIkrNnY6mhV5Eg"",""list!A1:C115""),3,TRUE)"),"le secteur de la tech")</f>
        <v xml:space="preserve">le secteur de la tech</v>
      </c>
      <c r="O1804" s="4" t="s">
        <v>12975</v>
      </c>
      <c r="P1804" s="4">
        <v>24</v>
      </c>
      <c r="Q1804" s="4" t="s">
        <v>831</v>
      </c>
      <c r="R1804" s="4" t="s">
        <v>9193</v>
      </c>
      <c r="S1804" s="4" t="s">
        <v>29</v>
      </c>
      <c r="T1804" s="5" t="s">
        <v>12976</v>
      </c>
      <c r="U1804" s="5" t="s">
        <v>12977</v>
      </c>
      <c r="V1804" s="6"/>
      <c r="W1804" s="6"/>
      <c r="X1804" s="6"/>
      <c r="Y1804" s="4" t="s">
        <v>12978</v>
      </c>
      <c r="Z1804" s="6"/>
      <c r="AA1804" s="5" t="s">
        <v>12979</v>
      </c>
    </row>
    <row r="1805" ht="14.25">
      <c r="B1805" s="4" t="s">
        <v>12980</v>
      </c>
      <c r="C1805" s="4" t="s">
        <v>6945</v>
      </c>
      <c r="D1805" s="4" t="s">
        <v>12981</v>
      </c>
      <c r="E1805" s="4" t="s">
        <v>12982</v>
      </c>
      <c r="F1805" s="4" t="s">
        <v>12983</v>
      </c>
      <c r="G1805" s="4" t="s">
        <v>12984</v>
      </c>
      <c r="H1805" s="4" t="str">
        <f>IFERROR(__XLUDF.DUMMYFUNCTION("PROPER(REGEXREPLACE(G382,""[^A-Za-z]+ "",""""))"),"L'Atelier Maison")</f>
        <v xml:space="preserve">L'Atelier Maison</v>
      </c>
      <c r="I1805" s="4" t="s">
        <v>12985</v>
      </c>
      <c r="J1805" s="6"/>
      <c r="K1805" s="6"/>
      <c r="L1805" s="4" t="s">
        <v>29</v>
      </c>
      <c r="M1805" s="4" t="s">
        <v>4525</v>
      </c>
      <c r="N1805" s="4" t="str">
        <f>IFERROR(__XLUDF.DUMMYFUNCTION("VLOOKUP(M382,IMPORTRANGE(""https://docs.google.com/spreadsheets/d/1opm6ZNvGZ7KditA9TuJwrZ25eFLfTNIkrNnY6mhV5Eg"",""list!A1:C115""),3,TRUE)"),"le secteur du retail")</f>
        <v xml:space="preserve">le secteur du retail</v>
      </c>
      <c r="O1805" s="6"/>
      <c r="P1805" s="4">
        <v>14</v>
      </c>
      <c r="Q1805" s="4" t="s">
        <v>12986</v>
      </c>
      <c r="R1805" s="4" t="s">
        <v>9193</v>
      </c>
      <c r="S1805" s="4" t="s">
        <v>29</v>
      </c>
      <c r="T1805" s="5" t="s">
        <v>12987</v>
      </c>
      <c r="U1805" s="6"/>
      <c r="V1805" s="6"/>
      <c r="W1805" s="6"/>
      <c r="X1805" s="6"/>
      <c r="Y1805" s="4" t="s">
        <v>12988</v>
      </c>
      <c r="Z1805" s="6"/>
      <c r="AA1805" s="5" t="s">
        <v>12989</v>
      </c>
    </row>
    <row r="1806" ht="14.25">
      <c r="B1806" s="4" t="s">
        <v>12990</v>
      </c>
      <c r="C1806" s="4" t="s">
        <v>931</v>
      </c>
      <c r="D1806" s="4" t="s">
        <v>12991</v>
      </c>
      <c r="E1806" s="4" t="s">
        <v>12992</v>
      </c>
      <c r="F1806" s="4" t="s">
        <v>7759</v>
      </c>
      <c r="G1806" s="4" t="s">
        <v>12993</v>
      </c>
      <c r="H1806" s="4" t="str">
        <f>IFERROR(__XLUDF.DUMMYFUNCTION("PROPER(REGEXREPLACE(G383,""[^A-Za-z]+ "",""""))"),"Procall-Telecom")</f>
        <v>Procall-Telecom</v>
      </c>
      <c r="I1806" s="5" t="s">
        <v>12994</v>
      </c>
      <c r="J1806" s="4" t="s">
        <v>716</v>
      </c>
      <c r="K1806" s="4" t="s">
        <v>9251</v>
      </c>
      <c r="L1806" s="4" t="s">
        <v>29</v>
      </c>
      <c r="M1806" s="4" t="s">
        <v>9184</v>
      </c>
      <c r="N1806" s="4" t="str">
        <f>IFERROR(__XLUDF.DUMMYFUNCTION("VLOOKUP(M383,IMPORTRANGE(""https://docs.google.com/spreadsheets/d/1opm6ZNvGZ7KditA9TuJwrZ25eFLfTNIkrNnY6mhV5Eg"",""list!A1:C115""),3,TRUE)"),"le secteur des télécommunications")</f>
        <v xml:space="preserve">le secteur des télécommunications</v>
      </c>
      <c r="O1806" s="6"/>
      <c r="P1806" s="4">
        <v>13</v>
      </c>
      <c r="Q1806" s="4" t="s">
        <v>716</v>
      </c>
      <c r="R1806" s="4" t="s">
        <v>9251</v>
      </c>
      <c r="S1806" s="4" t="s">
        <v>29</v>
      </c>
      <c r="T1806" s="5" t="s">
        <v>12995</v>
      </c>
      <c r="U1806" s="6"/>
      <c r="V1806" s="6"/>
      <c r="W1806" s="6"/>
      <c r="X1806" s="6"/>
      <c r="Y1806" s="4" t="s">
        <v>12996</v>
      </c>
      <c r="Z1806" s="6"/>
      <c r="AA1806" s="5" t="s">
        <v>12997</v>
      </c>
    </row>
    <row r="1807" ht="14.25">
      <c r="B1807" s="4" t="s">
        <v>12998</v>
      </c>
      <c r="C1807" s="4" t="s">
        <v>548</v>
      </c>
      <c r="D1807" s="4" t="s">
        <v>12999</v>
      </c>
      <c r="E1807" s="4" t="s">
        <v>13000</v>
      </c>
      <c r="F1807" s="4" t="s">
        <v>13001</v>
      </c>
      <c r="G1807" s="4" t="s">
        <v>13002</v>
      </c>
      <c r="H1807" s="4" t="str">
        <f>IFERROR(__XLUDF.DUMMYFUNCTION("PROPER(REGEXREPLACE(G384,""[^A-Za-z]+ "",""""))"),"Nj Partners")</f>
        <v xml:space="preserve">Nj Partners</v>
      </c>
      <c r="I1807" s="5" t="s">
        <v>13003</v>
      </c>
      <c r="J1807" s="4" t="s">
        <v>9402</v>
      </c>
      <c r="K1807" s="4" t="s">
        <v>9160</v>
      </c>
      <c r="L1807" s="4" t="s">
        <v>29</v>
      </c>
      <c r="M1807" s="4" t="s">
        <v>4525</v>
      </c>
      <c r="N1807" s="4" t="str">
        <f>IFERROR(__XLUDF.DUMMYFUNCTION("VLOOKUP(M384,IMPORTRANGE(""https://docs.google.com/spreadsheets/d/1opm6ZNvGZ7KditA9TuJwrZ25eFLfTNIkrNnY6mhV5Eg"",""list!A1:C115""),3,TRUE)"),"le secteur du retail")</f>
        <v xml:space="preserve">le secteur du retail</v>
      </c>
      <c r="O1807" s="4" t="s">
        <v>13004</v>
      </c>
      <c r="P1807" s="4">
        <v>22</v>
      </c>
      <c r="Q1807" s="4" t="s">
        <v>13005</v>
      </c>
      <c r="R1807" s="4" t="s">
        <v>9160</v>
      </c>
      <c r="S1807" s="4" t="s">
        <v>29</v>
      </c>
      <c r="T1807" s="5" t="s">
        <v>13006</v>
      </c>
      <c r="U1807" s="6"/>
      <c r="V1807" s="6"/>
      <c r="W1807" s="6"/>
      <c r="X1807" s="6"/>
      <c r="Y1807" s="4" t="s">
        <v>13007</v>
      </c>
      <c r="Z1807" s="6"/>
      <c r="AA1807" s="5" t="s">
        <v>13008</v>
      </c>
    </row>
    <row r="1808" ht="14.25">
      <c r="B1808" s="4" t="s">
        <v>13009</v>
      </c>
      <c r="C1808" s="4" t="s">
        <v>13010</v>
      </c>
      <c r="D1808" s="4" t="s">
        <v>13011</v>
      </c>
      <c r="E1808" s="4" t="s">
        <v>13012</v>
      </c>
      <c r="F1808" s="4" t="s">
        <v>12565</v>
      </c>
      <c r="G1808" s="4" t="s">
        <v>12566</v>
      </c>
      <c r="H1808" s="4" t="str">
        <f>IFERROR(__XLUDF.DUMMYFUNCTION("PROPER(REGEXREPLACE(G385,""[^A-Za-z]+ "",""""))"),"Karma Partners")</f>
        <v xml:space="preserve">Karma Partners</v>
      </c>
      <c r="I1808" s="5" t="s">
        <v>12567</v>
      </c>
      <c r="J1808" s="4" t="s">
        <v>39</v>
      </c>
      <c r="K1808" s="4" t="s">
        <v>9160</v>
      </c>
      <c r="L1808" s="4" t="s">
        <v>29</v>
      </c>
      <c r="M1808" s="4" t="s">
        <v>2602</v>
      </c>
      <c r="N1808" s="4" t="str">
        <f>IFERROR(__XLUDF.DUMMYFUNCTION("VLOOKUP(M385,IMPORTRANGE(""https://docs.google.com/spreadsheets/d/1opm6ZNvGZ7KditA9TuJwrZ25eFLfTNIkrNnY6mhV5Eg"",""list!A1:C115""),3,TRUE)"),"le secteur de la tech")</f>
        <v xml:space="preserve">le secteur de la tech</v>
      </c>
      <c r="O1808" s="4" t="s">
        <v>12568</v>
      </c>
      <c r="P1808" s="4">
        <v>18</v>
      </c>
      <c r="Q1808" s="4" t="s">
        <v>39</v>
      </c>
      <c r="R1808" s="4" t="s">
        <v>9160</v>
      </c>
      <c r="S1808" s="4" t="s">
        <v>29</v>
      </c>
      <c r="T1808" s="5" t="s">
        <v>12569</v>
      </c>
      <c r="U1808" s="6"/>
      <c r="V1808" s="6"/>
      <c r="W1808" s="6"/>
      <c r="X1808" s="6"/>
      <c r="Y1808" s="4" t="s">
        <v>12570</v>
      </c>
      <c r="Z1808" s="6"/>
      <c r="AA1808" s="5" t="s">
        <v>13013</v>
      </c>
    </row>
    <row r="1809" ht="14.25">
      <c r="B1809" s="4" t="s">
        <v>13014</v>
      </c>
      <c r="C1809" s="4" t="s">
        <v>785</v>
      </c>
      <c r="D1809" s="4" t="s">
        <v>2326</v>
      </c>
      <c r="E1809" s="4" t="s">
        <v>13015</v>
      </c>
      <c r="F1809" s="4" t="s">
        <v>112</v>
      </c>
      <c r="G1809" s="4" t="s">
        <v>13016</v>
      </c>
      <c r="H1809" s="4" t="str">
        <f>IFERROR(__XLUDF.DUMMYFUNCTION("PROPER(REGEXREPLACE(G386,""[^A-Za-z]+ "",""""))"),"Xotis")</f>
        <v>Xotis</v>
      </c>
      <c r="I1809" s="5" t="s">
        <v>13017</v>
      </c>
      <c r="J1809" s="4" t="s">
        <v>13018</v>
      </c>
      <c r="K1809" s="4" t="s">
        <v>9281</v>
      </c>
      <c r="L1809" s="4" t="s">
        <v>29</v>
      </c>
      <c r="M1809" s="4" t="s">
        <v>2602</v>
      </c>
      <c r="N1809" s="4" t="str">
        <f>IFERROR(__XLUDF.DUMMYFUNCTION("VLOOKUP(M386,IMPORTRANGE(""https://docs.google.com/spreadsheets/d/1opm6ZNvGZ7KditA9TuJwrZ25eFLfTNIkrNnY6mhV5Eg"",""list!A1:C115""),3,TRUE)"),"le secteur de la tech")</f>
        <v xml:space="preserve">le secteur de la tech</v>
      </c>
      <c r="O1809" s="4" t="s">
        <v>13019</v>
      </c>
      <c r="P1809" s="4">
        <v>16</v>
      </c>
      <c r="Q1809" s="4" t="s">
        <v>13018</v>
      </c>
      <c r="R1809" s="4" t="s">
        <v>9281</v>
      </c>
      <c r="S1809" s="4" t="s">
        <v>29</v>
      </c>
      <c r="T1809" s="5" t="s">
        <v>13020</v>
      </c>
      <c r="U1809" s="5" t="s">
        <v>13021</v>
      </c>
      <c r="V1809" s="5" t="s">
        <v>13022</v>
      </c>
      <c r="W1809" s="6"/>
      <c r="X1809" s="6"/>
      <c r="Y1809" s="4" t="s">
        <v>13023</v>
      </c>
      <c r="Z1809" s="6"/>
      <c r="AA1809" s="5" t="s">
        <v>13024</v>
      </c>
    </row>
    <row r="1810" ht="14.25">
      <c r="B1810" s="4" t="s">
        <v>13025</v>
      </c>
      <c r="C1810" s="4" t="s">
        <v>2138</v>
      </c>
      <c r="D1810" s="4" t="s">
        <v>13026</v>
      </c>
      <c r="E1810" s="4" t="s">
        <v>13027</v>
      </c>
      <c r="F1810" s="4" t="s">
        <v>13028</v>
      </c>
      <c r="G1810" s="4" t="s">
        <v>13029</v>
      </c>
      <c r="H1810" s="4" t="str">
        <f>IFERROR(__XLUDF.DUMMYFUNCTION("PROPER(REGEXREPLACE(G387,""[^A-Za-z]+ "",""""))"),"Jems Group")</f>
        <v xml:space="preserve">Jems Group</v>
      </c>
      <c r="I1810" s="5" t="s">
        <v>13030</v>
      </c>
      <c r="J1810" s="4" t="s">
        <v>243</v>
      </c>
      <c r="K1810" s="4" t="s">
        <v>9864</v>
      </c>
      <c r="L1810" s="4" t="s">
        <v>29</v>
      </c>
      <c r="M1810" s="4" t="s">
        <v>2602</v>
      </c>
      <c r="N1810" s="4" t="str">
        <f>IFERROR(__XLUDF.DUMMYFUNCTION("VLOOKUP(M387,IMPORTRANGE(""https://docs.google.com/spreadsheets/d/1opm6ZNvGZ7KditA9TuJwrZ25eFLfTNIkrNnY6mhV5Eg"",""list!A1:C115""),3,TRUE)"),"le secteur de la tech")</f>
        <v xml:space="preserve">le secteur de la tech</v>
      </c>
      <c r="O1810" s="4" t="s">
        <v>13031</v>
      </c>
      <c r="P1810" s="4">
        <v>650</v>
      </c>
      <c r="Q1810" s="4" t="s">
        <v>140</v>
      </c>
      <c r="R1810" s="4" t="s">
        <v>9160</v>
      </c>
      <c r="S1810" s="4" t="s">
        <v>29</v>
      </c>
      <c r="T1810" s="5" t="s">
        <v>13032</v>
      </c>
      <c r="U1810" s="5" t="s">
        <v>13033</v>
      </c>
      <c r="V1810" s="5" t="s">
        <v>13034</v>
      </c>
      <c r="W1810" s="6"/>
      <c r="X1810" s="6"/>
      <c r="Y1810" s="4" t="s">
        <v>13035</v>
      </c>
      <c r="Z1810" s="6"/>
      <c r="AA1810" s="5" t="s">
        <v>13036</v>
      </c>
    </row>
    <row r="1811" ht="14.25">
      <c r="B1811" s="4" t="s">
        <v>13037</v>
      </c>
      <c r="C1811" s="4" t="s">
        <v>548</v>
      </c>
      <c r="D1811" s="4" t="s">
        <v>13038</v>
      </c>
      <c r="E1811" s="4" t="s">
        <v>13039</v>
      </c>
      <c r="F1811" s="4" t="s">
        <v>13040</v>
      </c>
      <c r="G1811" s="4" t="s">
        <v>13041</v>
      </c>
      <c r="H1811" s="4" t="str">
        <f>IFERROR(__XLUDF.DUMMYFUNCTION("PROPER(REGEXREPLACE(G388,""[^A-Za-z]+ "",""""))"),"Sinfi")</f>
        <v>Sinfi</v>
      </c>
      <c r="I1811" s="5" t="s">
        <v>13042</v>
      </c>
      <c r="J1811" s="4" t="s">
        <v>11716</v>
      </c>
      <c r="K1811" s="4" t="s">
        <v>9215</v>
      </c>
      <c r="L1811" s="4" t="s">
        <v>29</v>
      </c>
      <c r="M1811" s="4" t="s">
        <v>2602</v>
      </c>
      <c r="N1811" s="4" t="str">
        <f>IFERROR(__XLUDF.DUMMYFUNCTION("VLOOKUP(M388,IMPORTRANGE(""https://docs.google.com/spreadsheets/d/1opm6ZNvGZ7KditA9TuJwrZ25eFLfTNIkrNnY6mhV5Eg"",""list!A1:C115""),3,TRUE)"),"le secteur de la tech")</f>
        <v xml:space="preserve">le secteur de la tech</v>
      </c>
      <c r="O1811" s="4" t="s">
        <v>13043</v>
      </c>
      <c r="P1811" s="4">
        <v>33</v>
      </c>
      <c r="Q1811" s="4" t="s">
        <v>11749</v>
      </c>
      <c r="R1811" s="4" t="s">
        <v>9215</v>
      </c>
      <c r="S1811" s="4" t="s">
        <v>29</v>
      </c>
      <c r="T1811" s="5" t="s">
        <v>13044</v>
      </c>
      <c r="U1811" s="6"/>
      <c r="V1811" s="5" t="s">
        <v>13045</v>
      </c>
      <c r="W1811" s="6"/>
      <c r="X1811" s="6"/>
      <c r="Y1811" s="4" t="s">
        <v>13046</v>
      </c>
      <c r="Z1811" s="6"/>
      <c r="AA1811" s="5" t="s">
        <v>13047</v>
      </c>
    </row>
    <row r="1812" ht="14.25">
      <c r="B1812" s="4" t="s">
        <v>13048</v>
      </c>
      <c r="C1812" s="4" t="s">
        <v>13049</v>
      </c>
      <c r="D1812" s="4" t="s">
        <v>13050</v>
      </c>
      <c r="E1812" s="4" t="s">
        <v>13051</v>
      </c>
      <c r="F1812" s="4" t="s">
        <v>13052</v>
      </c>
      <c r="G1812" s="4" t="s">
        <v>13053</v>
      </c>
      <c r="H1812" s="4" t="str">
        <f>IFERROR(__XLUDF.DUMMYFUNCTION("PROPER(REGEXREPLACE(G389,""[^A-Za-z]+ "",""""))"),"Businessharmonist")</f>
        <v>Businessharmonist</v>
      </c>
      <c r="I1812" s="5" t="s">
        <v>13054</v>
      </c>
      <c r="J1812" s="4" t="s">
        <v>39</v>
      </c>
      <c r="K1812" s="4" t="s">
        <v>9160</v>
      </c>
      <c r="L1812" s="4" t="s">
        <v>29</v>
      </c>
      <c r="M1812" s="4" t="s">
        <v>4067</v>
      </c>
      <c r="N1812" s="4" t="str">
        <f>IFERROR(__XLUDF.DUMMYFUNCTION("VLOOKUP(M389,IMPORTRANGE(""https://docs.google.com/spreadsheets/d/1opm6ZNvGZ7KditA9TuJwrZ25eFLfTNIkrNnY6mhV5Eg"",""list!A1:C115""),3,TRUE)"),"le secteur du conseil en management")</f>
        <v xml:space="preserve">le secteur du conseil en management</v>
      </c>
      <c r="O1812" s="4" t="s">
        <v>13055</v>
      </c>
      <c r="P1812" s="4">
        <v>26</v>
      </c>
      <c r="Q1812" s="4" t="s">
        <v>39</v>
      </c>
      <c r="R1812" s="4" t="s">
        <v>9160</v>
      </c>
      <c r="S1812" s="4" t="s">
        <v>29</v>
      </c>
      <c r="T1812" s="5" t="s">
        <v>13056</v>
      </c>
      <c r="U1812" s="5" t="s">
        <v>13057</v>
      </c>
      <c r="V1812" s="5" t="s">
        <v>13058</v>
      </c>
      <c r="W1812" s="6"/>
      <c r="X1812" s="6"/>
      <c r="Y1812" s="4" t="s">
        <v>13059</v>
      </c>
      <c r="Z1812" s="6"/>
      <c r="AA1812" s="5" t="s">
        <v>13060</v>
      </c>
    </row>
    <row r="1813" ht="14.25">
      <c r="B1813" s="4" t="s">
        <v>13061</v>
      </c>
      <c r="C1813" s="4" t="s">
        <v>1454</v>
      </c>
      <c r="D1813" s="4" t="s">
        <v>13062</v>
      </c>
      <c r="E1813" s="4" t="s">
        <v>13063</v>
      </c>
      <c r="F1813" s="4" t="s">
        <v>172</v>
      </c>
      <c r="G1813" s="4" t="s">
        <v>13064</v>
      </c>
      <c r="H1813" s="4" t="str">
        <f>IFERROR(__XLUDF.DUMMYFUNCTION("PROPER(REGEXREPLACE(G390,""[^A-Za-z]+ "",""""))"),"Adriver")</f>
        <v>Adriver</v>
      </c>
      <c r="I1813" s="5" t="s">
        <v>13065</v>
      </c>
      <c r="J1813" s="6"/>
      <c r="K1813" s="6"/>
      <c r="L1813" s="4" t="s">
        <v>29</v>
      </c>
      <c r="M1813" s="4" t="s">
        <v>9161</v>
      </c>
      <c r="N1813" s="4" t="str">
        <f>IFERROR(__XLUDF.DUMMYFUNCTION("VLOOKUP(M390,IMPORTRANGE(""https://docs.google.com/spreadsheets/d/1opm6ZNvGZ7KditA9TuJwrZ25eFLfTNIkrNnY6mhV5Eg"",""list!A1:C115""),3,TRUE)"),"le secteur du marketing")</f>
        <v xml:space="preserve">le secteur du marketing</v>
      </c>
      <c r="O1813" s="6"/>
      <c r="P1813" s="4">
        <v>17</v>
      </c>
      <c r="Q1813" s="4" t="s">
        <v>39</v>
      </c>
      <c r="R1813" s="4" t="s">
        <v>9160</v>
      </c>
      <c r="S1813" s="4" t="s">
        <v>29</v>
      </c>
      <c r="T1813" s="5" t="s">
        <v>13066</v>
      </c>
      <c r="U1813" s="6"/>
      <c r="V1813" s="6"/>
      <c r="W1813" s="6"/>
      <c r="X1813" s="6"/>
      <c r="Y1813" s="4" t="s">
        <v>13067</v>
      </c>
      <c r="Z1813" s="6"/>
      <c r="AA1813" s="5" t="s">
        <v>13068</v>
      </c>
    </row>
    <row r="1814" ht="14.25">
      <c r="B1814" s="4" t="s">
        <v>13069</v>
      </c>
      <c r="C1814" s="4" t="s">
        <v>1454</v>
      </c>
      <c r="D1814" s="4" t="s">
        <v>13070</v>
      </c>
      <c r="E1814" s="4" t="s">
        <v>13071</v>
      </c>
      <c r="F1814" s="4" t="s">
        <v>13072</v>
      </c>
      <c r="G1814" s="4" t="s">
        <v>13073</v>
      </c>
      <c r="H1814" s="4" t="str">
        <f>IFERROR(__XLUDF.DUMMYFUNCTION("PROPER(REGEXREPLACE(G391,""[^A-Za-z]+ "",""""))"),"Ob Consulting")</f>
        <v xml:space="preserve">Ob Consulting</v>
      </c>
      <c r="I1814" s="4" t="s">
        <v>13074</v>
      </c>
      <c r="J1814" s="4" t="s">
        <v>13075</v>
      </c>
      <c r="K1814" s="4" t="s">
        <v>9193</v>
      </c>
      <c r="L1814" s="4" t="s">
        <v>29</v>
      </c>
      <c r="M1814" s="4" t="s">
        <v>4067</v>
      </c>
      <c r="N1814" s="4" t="str">
        <f>IFERROR(__XLUDF.DUMMYFUNCTION("VLOOKUP(M391,IMPORTRANGE(""https://docs.google.com/spreadsheets/d/1opm6ZNvGZ7KditA9TuJwrZ25eFLfTNIkrNnY6mhV5Eg"",""list!A1:C115""),3,TRUE)"),"le secteur du conseil en management")</f>
        <v xml:space="preserve">le secteur du conseil en management</v>
      </c>
      <c r="O1814" s="4" t="s">
        <v>13076</v>
      </c>
      <c r="P1814" s="4">
        <v>19</v>
      </c>
      <c r="Q1814" s="4" t="s">
        <v>1419</v>
      </c>
      <c r="R1814" s="4" t="s">
        <v>9160</v>
      </c>
      <c r="S1814" s="4" t="s">
        <v>29</v>
      </c>
      <c r="T1814" s="5" t="s">
        <v>13077</v>
      </c>
      <c r="U1814" s="6"/>
      <c r="V1814" s="5" t="s">
        <v>13078</v>
      </c>
      <c r="W1814" s="6"/>
      <c r="X1814" s="6"/>
      <c r="Y1814" s="4" t="s">
        <v>13079</v>
      </c>
      <c r="Z1814" s="6"/>
      <c r="AA1814" s="5" t="s">
        <v>13080</v>
      </c>
    </row>
    <row r="1815" ht="14.25">
      <c r="B1815" s="4" t="s">
        <v>13081</v>
      </c>
      <c r="C1815" s="4" t="s">
        <v>4969</v>
      </c>
      <c r="D1815" s="4" t="s">
        <v>13082</v>
      </c>
      <c r="E1815" s="4" t="s">
        <v>13083</v>
      </c>
      <c r="F1815" s="4" t="s">
        <v>120</v>
      </c>
      <c r="G1815" s="4" t="s">
        <v>13084</v>
      </c>
      <c r="H1815" s="4" t="str">
        <f>IFERROR(__XLUDF.DUMMYFUNCTION("PROPER(REGEXREPLACE(G392,""[^A-Za-z]+ "",""""))"),"Fullenrich")</f>
        <v>Fullenrich</v>
      </c>
      <c r="I1815" s="5" t="s">
        <v>13085</v>
      </c>
      <c r="J1815" s="4" t="s">
        <v>39</v>
      </c>
      <c r="K1815" s="4" t="s">
        <v>9160</v>
      </c>
      <c r="L1815" s="4" t="s">
        <v>29</v>
      </c>
      <c r="M1815" s="4" t="s">
        <v>2602</v>
      </c>
      <c r="N1815" s="4" t="str">
        <f>IFERROR(__XLUDF.DUMMYFUNCTION("VLOOKUP(M392,IMPORTRANGE(""https://docs.google.com/spreadsheets/d/1opm6ZNvGZ7KditA9TuJwrZ25eFLfTNIkrNnY6mhV5Eg"",""list!A1:C115""),3,TRUE)"),"le secteur de la tech")</f>
        <v xml:space="preserve">le secteur de la tech</v>
      </c>
      <c r="O1815" s="4" t="s">
        <v>13086</v>
      </c>
      <c r="P1815" s="4">
        <v>14</v>
      </c>
      <c r="Q1815" s="4" t="s">
        <v>12756</v>
      </c>
      <c r="R1815" s="4" t="s">
        <v>12757</v>
      </c>
      <c r="S1815" s="4" t="s">
        <v>1261</v>
      </c>
      <c r="T1815" s="5" t="s">
        <v>13087</v>
      </c>
      <c r="U1815" s="6"/>
      <c r="V1815" s="6"/>
      <c r="W1815" s="6"/>
      <c r="X1815" s="6"/>
      <c r="Y1815" s="4" t="s">
        <v>13088</v>
      </c>
      <c r="Z1815" s="6"/>
      <c r="AA1815" s="5" t="s">
        <v>13089</v>
      </c>
    </row>
    <row r="1816" ht="14.25">
      <c r="B1816" s="4" t="s">
        <v>13090</v>
      </c>
      <c r="C1816" s="4" t="s">
        <v>13091</v>
      </c>
      <c r="D1816" s="4" t="s">
        <v>13092</v>
      </c>
      <c r="E1816" s="4" t="s">
        <v>13093</v>
      </c>
      <c r="F1816" s="4" t="s">
        <v>7759</v>
      </c>
      <c r="G1816" s="4" t="s">
        <v>13094</v>
      </c>
      <c r="H1816" s="4" t="str">
        <f>IFERROR(__XLUDF.DUMMYFUNCTION("PROPER(REGEXREPLACE(G393,""[^A-Za-z]+ "",""""))"),"Axis Électronique")</f>
        <v xml:space="preserve">Axis Électronique</v>
      </c>
      <c r="I1816" s="5" t="s">
        <v>13095</v>
      </c>
      <c r="J1816" s="4" t="s">
        <v>13096</v>
      </c>
      <c r="K1816" s="4" t="s">
        <v>9226</v>
      </c>
      <c r="L1816" s="4" t="s">
        <v>29</v>
      </c>
      <c r="M1816" s="4" t="s">
        <v>10215</v>
      </c>
      <c r="N1816" s="4" t="str">
        <f>IFERROR(__XLUDF.DUMMYFUNCTION("VLOOKUP(M393,IMPORTRANGE(""https://docs.google.com/spreadsheets/d/1opm6ZNvGZ7KditA9TuJwrZ25eFLfTNIkrNnY6mhV5Eg"",""list!A1:C115""),3,TRUE)"),"le secteur de l'électrique et électronique")</f>
        <v xml:space="preserve">le secteur de l'électrique et électronique</v>
      </c>
      <c r="O1816" s="4" t="s">
        <v>13097</v>
      </c>
      <c r="P1816" s="4">
        <v>12</v>
      </c>
      <c r="Q1816" s="4" t="s">
        <v>13098</v>
      </c>
      <c r="R1816" s="4" t="s">
        <v>9350</v>
      </c>
      <c r="S1816" s="4" t="s">
        <v>29</v>
      </c>
      <c r="T1816" s="5" t="s">
        <v>13099</v>
      </c>
      <c r="U1816" s="6"/>
      <c r="V1816" s="6"/>
      <c r="W1816" s="6"/>
      <c r="X1816" s="6"/>
      <c r="Y1816" s="4" t="s">
        <v>13100</v>
      </c>
      <c r="Z1816" s="6"/>
      <c r="AA1816" s="5" t="s">
        <v>13101</v>
      </c>
    </row>
    <row r="1817" ht="14.25">
      <c r="B1817" s="4" t="s">
        <v>13102</v>
      </c>
      <c r="C1817" s="4" t="s">
        <v>769</v>
      </c>
      <c r="D1817" s="4" t="s">
        <v>13103</v>
      </c>
      <c r="E1817" s="4" t="s">
        <v>13104</v>
      </c>
      <c r="F1817" s="4" t="s">
        <v>87</v>
      </c>
      <c r="G1817" s="4" t="s">
        <v>13105</v>
      </c>
      <c r="H1817" s="4" t="str">
        <f>IFERROR(__XLUDF.DUMMYFUNCTION("PROPER(REGEXREPLACE(G394,""[^A-Za-z]+ "",""""))"),"Coperbee")</f>
        <v>Coperbee</v>
      </c>
      <c r="I1817" s="5" t="s">
        <v>13106</v>
      </c>
      <c r="J1817" s="4" t="s">
        <v>13107</v>
      </c>
      <c r="K1817" s="4" t="s">
        <v>9460</v>
      </c>
      <c r="L1817" s="4" t="s">
        <v>29</v>
      </c>
      <c r="M1817" s="4" t="s">
        <v>2602</v>
      </c>
      <c r="N1817" s="4" t="str">
        <f>IFERROR(__XLUDF.DUMMYFUNCTION("VLOOKUP(M394,IMPORTRANGE(""https://docs.google.com/spreadsheets/d/1opm6ZNvGZ7KditA9TuJwrZ25eFLfTNIkrNnY6mhV5Eg"",""list!A1:C115""),3,TRUE)"),"le secteur de la tech")</f>
        <v xml:space="preserve">le secteur de la tech</v>
      </c>
      <c r="O1817" s="4" t="s">
        <v>13108</v>
      </c>
      <c r="P1817" s="4">
        <v>37</v>
      </c>
      <c r="Q1817" s="4" t="s">
        <v>13109</v>
      </c>
      <c r="R1817" s="4" t="s">
        <v>9460</v>
      </c>
      <c r="S1817" s="4" t="s">
        <v>29</v>
      </c>
      <c r="T1817" s="5" t="s">
        <v>13110</v>
      </c>
      <c r="U1817" s="6"/>
      <c r="V1817" s="5" t="s">
        <v>13111</v>
      </c>
      <c r="W1817" s="6"/>
      <c r="X1817" s="6"/>
      <c r="Y1817" s="4" t="s">
        <v>13112</v>
      </c>
      <c r="Z1817" s="6"/>
      <c r="AA1817" s="5" t="s">
        <v>13113</v>
      </c>
    </row>
    <row r="1818" ht="14.25">
      <c r="B1818" s="4" t="s">
        <v>13114</v>
      </c>
      <c r="C1818" s="4" t="s">
        <v>2242</v>
      </c>
      <c r="D1818" s="4" t="s">
        <v>7198</v>
      </c>
      <c r="E1818" s="4" t="s">
        <v>13115</v>
      </c>
      <c r="F1818" s="4" t="s">
        <v>13116</v>
      </c>
      <c r="G1818" s="4" t="s">
        <v>13117</v>
      </c>
      <c r="H1818" s="4" t="str">
        <f>IFERROR(__XLUDF.DUMMYFUNCTION("PROPER(REGEXREPLACE(G395,""[^A-Za-z]+ "",""""))"),"Adaptiv Systems")</f>
        <v xml:space="preserve">Adaptiv Systems</v>
      </c>
      <c r="I1818" s="4" t="s">
        <v>13118</v>
      </c>
      <c r="J1818" s="4" t="s">
        <v>39</v>
      </c>
      <c r="K1818" s="4" t="s">
        <v>9160</v>
      </c>
      <c r="L1818" s="4" t="s">
        <v>29</v>
      </c>
      <c r="M1818" s="4" t="s">
        <v>10215</v>
      </c>
      <c r="N1818" s="4" t="str">
        <f>IFERROR(__XLUDF.DUMMYFUNCTION("VLOOKUP(M395,IMPORTRANGE(""https://docs.google.com/spreadsheets/d/1opm6ZNvGZ7KditA9TuJwrZ25eFLfTNIkrNnY6mhV5Eg"",""list!A1:C115""),3,TRUE)"),"le secteur de l'électrique et électronique")</f>
        <v xml:space="preserve">le secteur de l'électrique et électronique</v>
      </c>
      <c r="O1818" s="4" t="s">
        <v>13119</v>
      </c>
      <c r="P1818" s="4">
        <v>14</v>
      </c>
      <c r="Q1818" s="4" t="s">
        <v>13120</v>
      </c>
      <c r="R1818" s="4" t="s">
        <v>13121</v>
      </c>
      <c r="S1818" s="4" t="s">
        <v>4318</v>
      </c>
      <c r="T1818" s="5" t="s">
        <v>13122</v>
      </c>
      <c r="U1818" s="5" t="s">
        <v>13123</v>
      </c>
      <c r="V1818" s="5" t="s">
        <v>13124</v>
      </c>
      <c r="W1818" s="6"/>
      <c r="X1818" s="6"/>
      <c r="Y1818" s="4" t="s">
        <v>13125</v>
      </c>
      <c r="Z1818" s="6"/>
      <c r="AA1818" s="5" t="s">
        <v>13126</v>
      </c>
    </row>
    <row r="1819" ht="14.25">
      <c r="B1819" s="4" t="s">
        <v>13127</v>
      </c>
      <c r="C1819" s="4" t="s">
        <v>548</v>
      </c>
      <c r="D1819" s="4" t="s">
        <v>13128</v>
      </c>
      <c r="E1819" s="4" t="s">
        <v>13129</v>
      </c>
      <c r="F1819" s="4" t="s">
        <v>120</v>
      </c>
      <c r="G1819" s="4" t="s">
        <v>13130</v>
      </c>
      <c r="H1819" s="4" t="str">
        <f>IFERROR(__XLUDF.DUMMYFUNCTION("PROPER(REGEXREPLACE(G396,""[^A-Za-z]+ "",""""))"),"D&amp;A Trust")</f>
        <v xml:space="preserve">D&amp;A Trust</v>
      </c>
      <c r="I1819" s="5" t="s">
        <v>13131</v>
      </c>
      <c r="J1819" s="6"/>
      <c r="K1819" s="6"/>
      <c r="L1819" s="4" t="s">
        <v>29</v>
      </c>
      <c r="M1819" s="4" t="s">
        <v>2602</v>
      </c>
      <c r="N1819" s="4" t="str">
        <f>IFERROR(__XLUDF.DUMMYFUNCTION("VLOOKUP(M396,IMPORTRANGE(""https://docs.google.com/spreadsheets/d/1opm6ZNvGZ7KditA9TuJwrZ25eFLfTNIkrNnY6mhV5Eg"",""list!A1:C115""),3,TRUE)"),"le secteur de la tech")</f>
        <v xml:space="preserve">le secteur de la tech</v>
      </c>
      <c r="O1819" s="6"/>
      <c r="P1819" s="4">
        <v>10</v>
      </c>
      <c r="Q1819" s="4" t="s">
        <v>13132</v>
      </c>
      <c r="R1819" s="4" t="s">
        <v>13133</v>
      </c>
      <c r="S1819" s="4" t="s">
        <v>848</v>
      </c>
      <c r="T1819" s="5" t="s">
        <v>13134</v>
      </c>
      <c r="U1819" s="6"/>
      <c r="V1819" s="6"/>
      <c r="W1819" s="6"/>
      <c r="X1819" s="6"/>
      <c r="Y1819" s="4" t="s">
        <v>13135</v>
      </c>
      <c r="Z1819" s="6"/>
      <c r="AA1819" s="5" t="s">
        <v>13136</v>
      </c>
    </row>
    <row r="1820" ht="14.25">
      <c r="B1820" s="4" t="s">
        <v>13137</v>
      </c>
      <c r="C1820" s="4" t="s">
        <v>548</v>
      </c>
      <c r="D1820" s="4" t="s">
        <v>13138</v>
      </c>
      <c r="E1820" s="4" t="s">
        <v>13139</v>
      </c>
      <c r="F1820" s="4" t="s">
        <v>13140</v>
      </c>
      <c r="G1820" s="4" t="s">
        <v>13141</v>
      </c>
      <c r="H1820" s="4" t="str">
        <f>IFERROR(__XLUDF.DUMMYFUNCTION("PROPER(REGEXREPLACE(G397,""[^A-Za-z]+ "",""""))"),"R4Innov")</f>
        <v>R4Innov</v>
      </c>
      <c r="I1820" s="5" t="s">
        <v>13142</v>
      </c>
      <c r="J1820" s="6"/>
      <c r="K1820" s="4" t="s">
        <v>9160</v>
      </c>
      <c r="L1820" s="4" t="s">
        <v>29</v>
      </c>
      <c r="M1820" s="4" t="s">
        <v>4067</v>
      </c>
      <c r="N1820" s="4" t="str">
        <f>IFERROR(__XLUDF.DUMMYFUNCTION("VLOOKUP(M397,IMPORTRANGE(""https://docs.google.com/spreadsheets/d/1opm6ZNvGZ7KditA9TuJwrZ25eFLfTNIkrNnY6mhV5Eg"",""list!A1:C115""),3,TRUE)"),"le secteur du conseil en management")</f>
        <v xml:space="preserve">le secteur du conseil en management</v>
      </c>
      <c r="O1820" s="6"/>
      <c r="P1820" s="4">
        <v>14</v>
      </c>
      <c r="Q1820" s="4" t="s">
        <v>39</v>
      </c>
      <c r="R1820" s="4" t="s">
        <v>9160</v>
      </c>
      <c r="S1820" s="4" t="s">
        <v>29</v>
      </c>
      <c r="T1820" s="5" t="s">
        <v>13143</v>
      </c>
      <c r="U1820" s="6"/>
      <c r="V1820" s="6"/>
      <c r="W1820" s="6"/>
      <c r="X1820" s="6"/>
      <c r="Y1820" s="4" t="s">
        <v>13144</v>
      </c>
      <c r="Z1820" s="6"/>
      <c r="AA1820" s="5" t="s">
        <v>13145</v>
      </c>
    </row>
    <row r="1821" ht="14.25">
      <c r="B1821" s="4" t="s">
        <v>13146</v>
      </c>
      <c r="C1821" s="4" t="s">
        <v>661</v>
      </c>
      <c r="D1821" s="4" t="s">
        <v>13147</v>
      </c>
      <c r="E1821" s="4" t="s">
        <v>13148</v>
      </c>
      <c r="F1821" s="4" t="s">
        <v>13149</v>
      </c>
      <c r="G1821" s="4" t="s">
        <v>13150</v>
      </c>
      <c r="H1821" s="4" t="str">
        <f>IFERROR(__XLUDF.DUMMYFUNCTION("PROPER(REGEXREPLACE(G398,""[^A-Za-z]+ "",""""))"),"Expert Activ Spécialiste En Développement Commercial")</f>
        <v xml:space="preserve">Expert Activ Spécialiste En Développement Commercial</v>
      </c>
      <c r="I1821" s="5" t="s">
        <v>13151</v>
      </c>
      <c r="J1821" s="4" t="s">
        <v>39</v>
      </c>
      <c r="K1821" s="4" t="s">
        <v>9160</v>
      </c>
      <c r="L1821" s="4" t="s">
        <v>29</v>
      </c>
      <c r="M1821" s="4" t="s">
        <v>4067</v>
      </c>
      <c r="N1821" s="4" t="str">
        <f>IFERROR(__XLUDF.DUMMYFUNCTION("VLOOKUP(M398,IMPORTRANGE(""https://docs.google.com/spreadsheets/d/1opm6ZNvGZ7KditA9TuJwrZ25eFLfTNIkrNnY6mhV5Eg"",""list!A1:C115""),3,TRUE)"),"le secteur du conseil en management")</f>
        <v xml:space="preserve">le secteur du conseil en management</v>
      </c>
      <c r="O1821" s="4" t="s">
        <v>13152</v>
      </c>
      <c r="P1821" s="4">
        <v>27</v>
      </c>
      <c r="Q1821" s="4" t="s">
        <v>39</v>
      </c>
      <c r="R1821" s="4" t="s">
        <v>9160</v>
      </c>
      <c r="S1821" s="4" t="s">
        <v>29</v>
      </c>
      <c r="T1821" s="5" t="s">
        <v>13153</v>
      </c>
      <c r="U1821" s="5" t="s">
        <v>13154</v>
      </c>
      <c r="V1821" s="5" t="s">
        <v>13155</v>
      </c>
      <c r="W1821" s="6"/>
      <c r="X1821" s="6"/>
      <c r="Y1821" s="4" t="s">
        <v>13156</v>
      </c>
      <c r="Z1821" s="6"/>
      <c r="AA1821" s="5" t="s">
        <v>13157</v>
      </c>
    </row>
    <row r="1822" ht="14.25">
      <c r="B1822" s="4" t="s">
        <v>13158</v>
      </c>
      <c r="C1822" s="4" t="s">
        <v>661</v>
      </c>
      <c r="D1822" s="4" t="s">
        <v>13159</v>
      </c>
      <c r="E1822" s="4" t="s">
        <v>13160</v>
      </c>
      <c r="F1822" s="4" t="s">
        <v>112</v>
      </c>
      <c r="G1822" s="4" t="s">
        <v>13161</v>
      </c>
      <c r="H1822" s="4" t="str">
        <f>IFERROR(__XLUDF.DUMMYFUNCTION("PROPER(REGEXREPLACE(G399,""[^A-Za-z]+ "",""""))"),"Kapito Consulting")</f>
        <v xml:space="preserve">Kapito Consulting</v>
      </c>
      <c r="I1822" s="5" t="s">
        <v>13162</v>
      </c>
      <c r="J1822" s="4" t="s">
        <v>39</v>
      </c>
      <c r="K1822" s="4" t="s">
        <v>9160</v>
      </c>
      <c r="L1822" s="4" t="s">
        <v>29</v>
      </c>
      <c r="M1822" s="4" t="s">
        <v>2602</v>
      </c>
      <c r="N1822" s="4" t="str">
        <f>IFERROR(__XLUDF.DUMMYFUNCTION("VLOOKUP(M399,IMPORTRANGE(""https://docs.google.com/spreadsheets/d/1opm6ZNvGZ7KditA9TuJwrZ25eFLfTNIkrNnY6mhV5Eg"",""list!A1:C115""),3,TRUE)"),"le secteur de la tech")</f>
        <v xml:space="preserve">le secteur de la tech</v>
      </c>
      <c r="O1822" s="6"/>
      <c r="P1822" s="4">
        <v>11</v>
      </c>
      <c r="Q1822" s="4" t="s">
        <v>39</v>
      </c>
      <c r="R1822" s="4" t="s">
        <v>9160</v>
      </c>
      <c r="S1822" s="4" t="s">
        <v>29</v>
      </c>
      <c r="T1822" s="5" t="s">
        <v>13163</v>
      </c>
      <c r="U1822" s="5" t="s">
        <v>13164</v>
      </c>
      <c r="V1822" s="6"/>
      <c r="W1822" s="6"/>
      <c r="X1822" s="6"/>
      <c r="Y1822" s="4" t="s">
        <v>13165</v>
      </c>
      <c r="Z1822" s="6"/>
      <c r="AA1822" s="5" t="s">
        <v>13166</v>
      </c>
    </row>
    <row r="1823" ht="14.25">
      <c r="B1823" s="4" t="s">
        <v>13167</v>
      </c>
      <c r="C1823" s="4" t="s">
        <v>661</v>
      </c>
      <c r="D1823" s="4" t="s">
        <v>13168</v>
      </c>
      <c r="E1823" s="4" t="s">
        <v>13169</v>
      </c>
      <c r="F1823" s="4" t="s">
        <v>112</v>
      </c>
      <c r="G1823" s="4" t="s">
        <v>13170</v>
      </c>
      <c r="H1823" s="4" t="str">
        <f>IFERROR(__XLUDF.DUMMYFUNCTION("PROPER(REGEXREPLACE(G400,""[^A-Za-z]+ "",""""))"),"Maison Banquiz")</f>
        <v xml:space="preserve">Maison Banquiz</v>
      </c>
      <c r="I1823" s="5" t="s">
        <v>13171</v>
      </c>
      <c r="J1823" s="4" t="s">
        <v>83</v>
      </c>
      <c r="K1823" s="4" t="s">
        <v>9460</v>
      </c>
      <c r="L1823" s="4" t="s">
        <v>29</v>
      </c>
      <c r="M1823" s="4" t="s">
        <v>4525</v>
      </c>
      <c r="N1823" s="4" t="str">
        <f>IFERROR(__XLUDF.DUMMYFUNCTION("VLOOKUP(M400,IMPORTRANGE(""https://docs.google.com/spreadsheets/d/1opm6ZNvGZ7KditA9TuJwrZ25eFLfTNIkrNnY6mhV5Eg"",""list!A1:C115""),3,TRUE)"),"le secteur du retail")</f>
        <v xml:space="preserve">le secteur du retail</v>
      </c>
      <c r="O1823" s="6"/>
      <c r="P1823" s="4">
        <v>11</v>
      </c>
      <c r="Q1823" s="4" t="s">
        <v>13172</v>
      </c>
      <c r="R1823" s="4" t="s">
        <v>9460</v>
      </c>
      <c r="S1823" s="4" t="s">
        <v>29</v>
      </c>
      <c r="T1823" s="5" t="s">
        <v>13173</v>
      </c>
      <c r="U1823" s="6"/>
      <c r="V1823" s="6"/>
      <c r="W1823" s="6"/>
      <c r="X1823" s="6"/>
      <c r="Y1823" s="4" t="s">
        <v>13174</v>
      </c>
      <c r="Z1823" s="6"/>
      <c r="AA1823" s="5" t="s">
        <v>13175</v>
      </c>
    </row>
    <row r="1824" ht="14.25">
      <c r="B1824" s="4" t="s">
        <v>13176</v>
      </c>
      <c r="C1824" s="4" t="s">
        <v>661</v>
      </c>
      <c r="D1824" s="4" t="s">
        <v>13177</v>
      </c>
      <c r="E1824" s="4" t="s">
        <v>13178</v>
      </c>
      <c r="F1824" s="4" t="s">
        <v>112</v>
      </c>
      <c r="G1824" s="4" t="s">
        <v>13179</v>
      </c>
      <c r="H1824" s="4" t="str">
        <f>IFERROR(__XLUDF.DUMMYFUNCTION("PROPER(REGEXREPLACE(G401,""[^A-Za-z]+ "",""""))"),"Fauconnet Ingenierie Sas")</f>
        <v xml:space="preserve">Fauconnet Ingenierie Sas</v>
      </c>
      <c r="I1824" s="5" t="s">
        <v>13180</v>
      </c>
      <c r="J1824" s="4" t="s">
        <v>11716</v>
      </c>
      <c r="K1824" s="4" t="s">
        <v>9215</v>
      </c>
      <c r="L1824" s="4" t="s">
        <v>29</v>
      </c>
      <c r="M1824" s="4" t="s">
        <v>2602</v>
      </c>
      <c r="N1824" s="4" t="str">
        <f>IFERROR(__XLUDF.DUMMYFUNCTION("VLOOKUP(M401,IMPORTRANGE(""https://docs.google.com/spreadsheets/d/1opm6ZNvGZ7KditA9TuJwrZ25eFLfTNIkrNnY6mhV5Eg"",""list!A1:C115""),3,TRUE)"),"le secteur de la tech")</f>
        <v xml:space="preserve">le secteur de la tech</v>
      </c>
      <c r="O1824" s="4" t="s">
        <v>13181</v>
      </c>
      <c r="P1824" s="4">
        <v>22</v>
      </c>
      <c r="Q1824" s="4" t="s">
        <v>13182</v>
      </c>
      <c r="R1824" s="4" t="s">
        <v>9215</v>
      </c>
      <c r="S1824" s="4" t="s">
        <v>29</v>
      </c>
      <c r="T1824" s="5" t="s">
        <v>13183</v>
      </c>
      <c r="U1824" s="5" t="s">
        <v>13184</v>
      </c>
      <c r="V1824" s="5" t="s">
        <v>13185</v>
      </c>
      <c r="W1824" s="6"/>
      <c r="X1824" s="6"/>
      <c r="Y1824" s="4" t="s">
        <v>13186</v>
      </c>
      <c r="Z1824" s="6"/>
      <c r="AA1824" s="5" t="s">
        <v>13187</v>
      </c>
    </row>
    <row r="1825" ht="14.25">
      <c r="B1825" s="4" t="s">
        <v>13188</v>
      </c>
      <c r="C1825" s="4" t="s">
        <v>13189</v>
      </c>
      <c r="D1825" s="4" t="s">
        <v>13190</v>
      </c>
      <c r="E1825" s="4" t="s">
        <v>13191</v>
      </c>
      <c r="F1825" s="4" t="s">
        <v>164</v>
      </c>
      <c r="G1825" s="4" t="s">
        <v>13192</v>
      </c>
      <c r="H1825" s="4" t="str">
        <f>IFERROR(__XLUDF.DUMMYFUNCTION("PROPER(REGEXREPLACE(G402,""[^A-Za-z]+ "",""""))"),"Monti")</f>
        <v>Monti</v>
      </c>
      <c r="I1825" s="5" t="s">
        <v>13193</v>
      </c>
      <c r="J1825" s="4" t="s">
        <v>13194</v>
      </c>
      <c r="K1825" s="4" t="s">
        <v>9160</v>
      </c>
      <c r="L1825" s="4" t="s">
        <v>29</v>
      </c>
      <c r="M1825" s="4" t="s">
        <v>9239</v>
      </c>
      <c r="N1825" s="4" t="str">
        <f>IFERROR(__XLUDF.DUMMYFUNCTION("VLOOKUP(M402,IMPORTRANGE(""https://docs.google.com/spreadsheets/d/1opm6ZNvGZ7KditA9TuJwrZ25eFLfTNIkrNnY6mhV5Eg"",""list!A1:C115""),3,TRUE)"),"le secteur de la construction")</f>
        <v xml:space="preserve">le secteur de la construction</v>
      </c>
      <c r="O1825" s="4" t="s">
        <v>13195</v>
      </c>
      <c r="P1825" s="4">
        <v>27</v>
      </c>
      <c r="Q1825" s="4" t="s">
        <v>13194</v>
      </c>
      <c r="R1825" s="4" t="s">
        <v>9160</v>
      </c>
      <c r="S1825" s="4" t="s">
        <v>29</v>
      </c>
      <c r="T1825" s="5" t="s">
        <v>13196</v>
      </c>
      <c r="U1825" s="6"/>
      <c r="V1825" s="5" t="s">
        <v>13197</v>
      </c>
      <c r="W1825" s="6"/>
      <c r="X1825" s="6"/>
      <c r="Y1825" s="4" t="s">
        <v>13198</v>
      </c>
      <c r="Z1825" s="6"/>
      <c r="AA1825" s="5" t="s">
        <v>13199</v>
      </c>
    </row>
    <row r="1826" ht="14.25">
      <c r="B1826" s="4" t="s">
        <v>13200</v>
      </c>
      <c r="C1826" s="4" t="s">
        <v>13189</v>
      </c>
      <c r="D1826" s="4" t="s">
        <v>13201</v>
      </c>
      <c r="E1826" s="4" t="s">
        <v>13202</v>
      </c>
      <c r="F1826" s="4" t="s">
        <v>172</v>
      </c>
      <c r="G1826" s="4" t="s">
        <v>13203</v>
      </c>
      <c r="H1826" s="4" t="str">
        <f>IFERROR(__XLUDF.DUMMYFUNCTION("PROPER(REGEXREPLACE(G403,""[^A-Za-z]+ "",""""))"),"Projim")</f>
        <v>Projim</v>
      </c>
      <c r="I1826" s="5" t="s">
        <v>13204</v>
      </c>
      <c r="J1826" s="4" t="s">
        <v>39</v>
      </c>
      <c r="K1826" s="4" t="s">
        <v>9160</v>
      </c>
      <c r="L1826" s="4" t="s">
        <v>29</v>
      </c>
      <c r="M1826" s="4" t="s">
        <v>4293</v>
      </c>
      <c r="N1826" s="4" t="str">
        <f>IFERROR(__XLUDF.DUMMYFUNCTION("VLOOKUP(M403,IMPORTRANGE(""https://docs.google.com/spreadsheets/d/1opm6ZNvGZ7KditA9TuJwrZ25eFLfTNIkrNnY6mhV5Eg"",""list!A1:C115""),3,TRUE)"),"le secteur de l'immobilier")</f>
        <v xml:space="preserve">le secteur de l'immobilier</v>
      </c>
      <c r="O1826" s="4" t="s">
        <v>13205</v>
      </c>
      <c r="P1826" s="4">
        <v>11</v>
      </c>
      <c r="Q1826" s="4" t="s">
        <v>13206</v>
      </c>
      <c r="R1826" s="4" t="s">
        <v>9160</v>
      </c>
      <c r="S1826" s="4" t="s">
        <v>29</v>
      </c>
      <c r="T1826" s="5" t="s">
        <v>13207</v>
      </c>
      <c r="U1826" s="6"/>
      <c r="V1826" s="6"/>
      <c r="W1826" s="6"/>
      <c r="X1826" s="6"/>
      <c r="Y1826" s="4" t="s">
        <v>13208</v>
      </c>
      <c r="Z1826" s="6"/>
      <c r="AA1826" s="5" t="s">
        <v>13209</v>
      </c>
    </row>
    <row r="1827" ht="14.25">
      <c r="B1827" s="4" t="s">
        <v>13210</v>
      </c>
      <c r="C1827" s="4" t="s">
        <v>3371</v>
      </c>
      <c r="D1827" s="4" t="s">
        <v>13211</v>
      </c>
      <c r="E1827" s="4" t="s">
        <v>13212</v>
      </c>
      <c r="F1827" s="4" t="s">
        <v>7759</v>
      </c>
      <c r="G1827" s="4" t="s">
        <v>13213</v>
      </c>
      <c r="H1827" s="4" t="str">
        <f>IFERROR(__XLUDF.DUMMYFUNCTION("PROPER(REGEXREPLACE(G404,""[^A-Za-z]+ "",""""))"),"Métal Performances")</f>
        <v xml:space="preserve">Métal Performances</v>
      </c>
      <c r="I1827" s="5" t="s">
        <v>13214</v>
      </c>
      <c r="J1827" s="4" t="s">
        <v>1826</v>
      </c>
      <c r="K1827" s="4" t="s">
        <v>9227</v>
      </c>
      <c r="L1827" s="4" t="s">
        <v>29</v>
      </c>
      <c r="M1827" s="4" t="s">
        <v>4525</v>
      </c>
      <c r="N1827" s="4" t="str">
        <f>IFERROR(__XLUDF.DUMMYFUNCTION("VLOOKUP(M404,IMPORTRANGE(""https://docs.google.com/spreadsheets/d/1opm6ZNvGZ7KditA9TuJwrZ25eFLfTNIkrNnY6mhV5Eg"",""list!A1:C115""),3,TRUE)"),"le secteur du retail")</f>
        <v xml:space="preserve">le secteur du retail</v>
      </c>
      <c r="O1827" s="4" t="s">
        <v>13215</v>
      </c>
      <c r="P1827" s="4">
        <v>27</v>
      </c>
      <c r="Q1827" s="4" t="s">
        <v>13216</v>
      </c>
      <c r="R1827" s="4" t="s">
        <v>9227</v>
      </c>
      <c r="S1827" s="4" t="s">
        <v>29</v>
      </c>
      <c r="T1827" s="5" t="s">
        <v>13217</v>
      </c>
      <c r="U1827" s="6"/>
      <c r="V1827" s="6"/>
      <c r="W1827" s="6"/>
      <c r="X1827" s="6"/>
      <c r="Y1827" s="4" t="s">
        <v>13218</v>
      </c>
      <c r="Z1827" s="6"/>
      <c r="AA1827" s="5" t="s">
        <v>13219</v>
      </c>
    </row>
    <row r="1828" ht="14.25">
      <c r="B1828" s="4" t="s">
        <v>13220</v>
      </c>
      <c r="C1828" s="4" t="s">
        <v>1454</v>
      </c>
      <c r="D1828" s="4" t="s">
        <v>13221</v>
      </c>
      <c r="E1828" s="4" t="s">
        <v>13222</v>
      </c>
      <c r="F1828" s="4" t="s">
        <v>1231</v>
      </c>
      <c r="G1828" s="4" t="s">
        <v>13223</v>
      </c>
      <c r="H1828" s="4" t="str">
        <f>IFERROR(__XLUDF.DUMMYFUNCTION("PROPER(REGEXREPLACE(G405,""[^A-Za-z]+ "",""""))"),"Optimistik")</f>
        <v>Optimistik</v>
      </c>
      <c r="I1828" s="5" t="s">
        <v>13224</v>
      </c>
      <c r="J1828" s="4" t="s">
        <v>39</v>
      </c>
      <c r="K1828" s="4" t="s">
        <v>9160</v>
      </c>
      <c r="L1828" s="4" t="s">
        <v>29</v>
      </c>
      <c r="M1828" s="4" t="s">
        <v>2602</v>
      </c>
      <c r="N1828" s="4" t="str">
        <f>IFERROR(__XLUDF.DUMMYFUNCTION("VLOOKUP(M405,IMPORTRANGE(""https://docs.google.com/spreadsheets/d/1opm6ZNvGZ7KditA9TuJwrZ25eFLfTNIkrNnY6mhV5Eg"",""list!A1:C115""),3,TRUE)"),"le secteur de la tech")</f>
        <v xml:space="preserve">le secteur de la tech</v>
      </c>
      <c r="O1828" s="4" t="s">
        <v>13225</v>
      </c>
      <c r="P1828" s="4">
        <v>26</v>
      </c>
      <c r="Q1828" s="4" t="s">
        <v>774</v>
      </c>
      <c r="R1828" s="4" t="s">
        <v>9172</v>
      </c>
      <c r="S1828" s="4" t="s">
        <v>29</v>
      </c>
      <c r="T1828" s="5" t="s">
        <v>13226</v>
      </c>
      <c r="U1828" s="6"/>
      <c r="V1828" s="6"/>
      <c r="W1828" s="6"/>
      <c r="X1828" s="6"/>
      <c r="Y1828" s="4" t="s">
        <v>13227</v>
      </c>
      <c r="Z1828" s="6"/>
      <c r="AA1828" s="5" t="s">
        <v>13228</v>
      </c>
    </row>
    <row r="1829" ht="14.25">
      <c r="B1829" s="4" t="s">
        <v>13229</v>
      </c>
      <c r="C1829" s="4" t="s">
        <v>661</v>
      </c>
      <c r="D1829" s="4" t="s">
        <v>13230</v>
      </c>
      <c r="E1829" s="4" t="s">
        <v>13231</v>
      </c>
      <c r="F1829" s="4" t="s">
        <v>13232</v>
      </c>
      <c r="G1829" s="4" t="s">
        <v>13233</v>
      </c>
      <c r="H1829" s="4" t="str">
        <f>IFERROR(__XLUDF.DUMMYFUNCTION("PROPER(REGEXREPLACE(G406,""[^A-Za-z]+ "",""""))"),"Viadirect")</f>
        <v>Viadirect</v>
      </c>
      <c r="I1829" s="5" t="s">
        <v>13234</v>
      </c>
      <c r="J1829" s="4" t="s">
        <v>39</v>
      </c>
      <c r="K1829" s="4" t="s">
        <v>9160</v>
      </c>
      <c r="L1829" s="4" t="s">
        <v>29</v>
      </c>
      <c r="M1829" s="4" t="s">
        <v>2602</v>
      </c>
      <c r="N1829" s="4" t="str">
        <f>IFERROR(__XLUDF.DUMMYFUNCTION("VLOOKUP(M406,IMPORTRANGE(""https://docs.google.com/spreadsheets/d/1opm6ZNvGZ7KditA9TuJwrZ25eFLfTNIkrNnY6mhV5Eg"",""list!A1:C115""),3,TRUE)"),"le secteur de la tech")</f>
        <v xml:space="preserve">le secteur de la tech</v>
      </c>
      <c r="O1829" s="4" t="s">
        <v>13235</v>
      </c>
      <c r="P1829" s="4">
        <v>45</v>
      </c>
      <c r="Q1829" s="4" t="s">
        <v>39</v>
      </c>
      <c r="R1829" s="4" t="s">
        <v>9160</v>
      </c>
      <c r="S1829" s="4" t="s">
        <v>29</v>
      </c>
      <c r="T1829" s="5" t="s">
        <v>13236</v>
      </c>
      <c r="U1829" s="6"/>
      <c r="V1829" s="6"/>
      <c r="W1829" s="6"/>
      <c r="X1829" s="6"/>
      <c r="Y1829" s="4" t="s">
        <v>13237</v>
      </c>
      <c r="Z1829" s="6"/>
      <c r="AA1829" s="5" t="s">
        <v>13238</v>
      </c>
    </row>
    <row r="1830" ht="14.25">
      <c r="B1830" s="4" t="s">
        <v>13239</v>
      </c>
      <c r="C1830" s="4" t="s">
        <v>13240</v>
      </c>
      <c r="D1830" s="4" t="s">
        <v>13241</v>
      </c>
      <c r="E1830" s="4" t="s">
        <v>13242</v>
      </c>
      <c r="F1830" s="4" t="s">
        <v>13243</v>
      </c>
      <c r="G1830" s="4" t="s">
        <v>13244</v>
      </c>
      <c r="H1830" s="4" t="str">
        <f>IFERROR(__XLUDF.DUMMYFUNCTION("PROPER(REGEXREPLACE(G407,""[^A-Za-z]+ "",""""))"),"Alliance Économie")</f>
        <v xml:space="preserve">Alliance Économie</v>
      </c>
      <c r="I1830" s="5" t="s">
        <v>13245</v>
      </c>
      <c r="J1830" s="6"/>
      <c r="K1830" s="6"/>
      <c r="L1830" s="4" t="s">
        <v>29</v>
      </c>
      <c r="M1830" s="4" t="s">
        <v>9239</v>
      </c>
      <c r="N1830" s="4" t="str">
        <f>IFERROR(__XLUDF.DUMMYFUNCTION("VLOOKUP(M407,IMPORTRANGE(""https://docs.google.com/spreadsheets/d/1opm6ZNvGZ7KditA9TuJwrZ25eFLfTNIkrNnY6mhV5Eg"",""list!A1:C115""),3,TRUE)"),"le secteur de la construction")</f>
        <v xml:space="preserve">le secteur de la construction</v>
      </c>
      <c r="O1830" s="4" t="s">
        <v>13246</v>
      </c>
      <c r="P1830" s="4">
        <v>50</v>
      </c>
      <c r="Q1830" s="4" t="s">
        <v>39</v>
      </c>
      <c r="R1830" s="4" t="s">
        <v>9160</v>
      </c>
      <c r="S1830" s="4" t="s">
        <v>29</v>
      </c>
      <c r="T1830" s="5" t="s">
        <v>13247</v>
      </c>
      <c r="U1830" s="6"/>
      <c r="V1830" s="6"/>
      <c r="W1830" s="6"/>
      <c r="X1830" s="6"/>
      <c r="Y1830" s="4" t="s">
        <v>13248</v>
      </c>
      <c r="Z1830" s="6"/>
      <c r="AA1830" s="5" t="s">
        <v>13249</v>
      </c>
    </row>
    <row r="1831" ht="14.25">
      <c r="B1831" s="4" t="s">
        <v>13250</v>
      </c>
      <c r="C1831" s="4" t="s">
        <v>3371</v>
      </c>
      <c r="D1831" s="4" t="s">
        <v>4132</v>
      </c>
      <c r="E1831" s="4" t="s">
        <v>13251</v>
      </c>
      <c r="F1831" s="4" t="s">
        <v>13252</v>
      </c>
      <c r="G1831" s="4" t="s">
        <v>13253</v>
      </c>
      <c r="H1831" s="4" t="str">
        <f>IFERROR(__XLUDF.DUMMYFUNCTION("PROPER(REGEXREPLACE(G408,""[^A-Za-z]+ "",""""))"),"Certifopaccertificateur Qualiopi")</f>
        <v xml:space="preserve">Certifopaccertificateur Qualiopi</v>
      </c>
      <c r="I1831" s="5" t="s">
        <v>13254</v>
      </c>
      <c r="J1831" s="4" t="s">
        <v>13255</v>
      </c>
      <c r="K1831" s="4" t="s">
        <v>9193</v>
      </c>
      <c r="L1831" s="4" t="s">
        <v>29</v>
      </c>
      <c r="M1831" s="4" t="s">
        <v>4067</v>
      </c>
      <c r="N1831" s="4" t="str">
        <f>IFERROR(__XLUDF.DUMMYFUNCTION("VLOOKUP(M408,IMPORTRANGE(""https://docs.google.com/spreadsheets/d/1opm6ZNvGZ7KditA9TuJwrZ25eFLfTNIkrNnY6mhV5Eg"",""list!A1:C115""),3,TRUE)"),"le secteur du conseil en management")</f>
        <v xml:space="preserve">le secteur du conseil en management</v>
      </c>
      <c r="O1831" s="4" t="s">
        <v>13256</v>
      </c>
      <c r="P1831" s="4">
        <v>38</v>
      </c>
      <c r="Q1831" s="4" t="s">
        <v>13255</v>
      </c>
      <c r="R1831" s="4" t="s">
        <v>9193</v>
      </c>
      <c r="S1831" s="4" t="s">
        <v>29</v>
      </c>
      <c r="T1831" s="5" t="s">
        <v>13257</v>
      </c>
      <c r="U1831" s="6"/>
      <c r="V1831" s="6"/>
      <c r="W1831" s="6"/>
      <c r="X1831" s="6"/>
      <c r="Y1831" s="4" t="s">
        <v>13258</v>
      </c>
      <c r="Z1831" s="6"/>
      <c r="AA1831" s="5" t="s">
        <v>13259</v>
      </c>
    </row>
    <row r="1832" ht="14.25">
      <c r="B1832" s="4" t="s">
        <v>13260</v>
      </c>
      <c r="C1832" s="4" t="s">
        <v>931</v>
      </c>
      <c r="D1832" s="4" t="s">
        <v>13261</v>
      </c>
      <c r="E1832" s="4" t="s">
        <v>13262</v>
      </c>
      <c r="F1832" s="4" t="s">
        <v>7759</v>
      </c>
      <c r="G1832" s="4" t="s">
        <v>13263</v>
      </c>
      <c r="H1832" s="4" t="str">
        <f>IFERROR(__XLUDF.DUMMYFUNCTION("PROPER(REGEXREPLACE(G409,""[^A-Za-z]+ "",""""))"),"Iteka")</f>
        <v>Iteka</v>
      </c>
      <c r="I1832" s="5" t="s">
        <v>13264</v>
      </c>
      <c r="J1832" s="4" t="s">
        <v>13265</v>
      </c>
      <c r="K1832" s="4" t="s">
        <v>9281</v>
      </c>
      <c r="L1832" s="4" t="s">
        <v>29</v>
      </c>
      <c r="M1832" s="4" t="s">
        <v>9264</v>
      </c>
      <c r="N1832" s="4" t="str">
        <f>IFERROR(__XLUDF.DUMMYFUNCTION("VLOOKUP(M409,IMPORTRANGE(""https://docs.google.com/spreadsheets/d/1opm6ZNvGZ7KditA9TuJwrZ25eFLfTNIkrNnY6mhV5Eg"",""list!A1:C115""),3,TRUE)"),"le secteur de la sécurité informatique")</f>
        <v xml:space="preserve">le secteur de la sécurité informatique</v>
      </c>
      <c r="O1832" s="6"/>
      <c r="P1832" s="4">
        <v>19</v>
      </c>
      <c r="Q1832" s="6"/>
      <c r="R1832" s="6"/>
      <c r="S1832" s="6"/>
      <c r="T1832" s="5" t="s">
        <v>13266</v>
      </c>
      <c r="U1832" s="6"/>
      <c r="V1832" s="6"/>
      <c r="W1832" s="6"/>
      <c r="X1832" s="6"/>
      <c r="Y1832" s="4" t="s">
        <v>13267</v>
      </c>
      <c r="Z1832" s="6"/>
      <c r="AA1832" s="5" t="s">
        <v>13268</v>
      </c>
    </row>
    <row r="1833" ht="14.25">
      <c r="B1833" s="4" t="s">
        <v>13269</v>
      </c>
      <c r="C1833" s="4" t="s">
        <v>13270</v>
      </c>
      <c r="D1833" s="4" t="s">
        <v>13271</v>
      </c>
      <c r="E1833" s="4" t="s">
        <v>13272</v>
      </c>
      <c r="F1833" s="4" t="s">
        <v>778</v>
      </c>
      <c r="G1833" s="4" t="s">
        <v>13273</v>
      </c>
      <c r="H1833" s="4" t="str">
        <f>IFERROR(__XLUDF.DUMMYFUNCTION("PROPER(REGEXREPLACE(G410,""[^A-Za-z]+ "",""""))"),"Twin")</f>
        <v>Twin</v>
      </c>
      <c r="I1833" s="5" t="s">
        <v>13274</v>
      </c>
      <c r="J1833" s="4" t="s">
        <v>39</v>
      </c>
      <c r="K1833" s="4" t="s">
        <v>9160</v>
      </c>
      <c r="L1833" s="4" t="s">
        <v>29</v>
      </c>
      <c r="M1833" s="4" t="s">
        <v>2602</v>
      </c>
      <c r="N1833" s="4" t="str">
        <f>IFERROR(__XLUDF.DUMMYFUNCTION("VLOOKUP(M410,IMPORTRANGE(""https://docs.google.com/spreadsheets/d/1opm6ZNvGZ7KditA9TuJwrZ25eFLfTNIkrNnY6mhV5Eg"",""list!A1:C115""),3,TRUE)"),"le secteur de la tech")</f>
        <v xml:space="preserve">le secteur de la tech</v>
      </c>
      <c r="O1833" s="4" t="s">
        <v>13275</v>
      </c>
      <c r="P1833" s="4">
        <v>17</v>
      </c>
      <c r="Q1833" s="4" t="s">
        <v>39</v>
      </c>
      <c r="R1833" s="4" t="s">
        <v>9160</v>
      </c>
      <c r="S1833" s="4" t="s">
        <v>29</v>
      </c>
      <c r="T1833" s="5" t="s">
        <v>13276</v>
      </c>
      <c r="U1833" s="6"/>
      <c r="V1833" s="6"/>
      <c r="W1833" s="6"/>
      <c r="X1833" s="6"/>
      <c r="Y1833" s="4" t="s">
        <v>13277</v>
      </c>
      <c r="Z1833" s="6"/>
      <c r="AA1833" s="5" t="s">
        <v>13278</v>
      </c>
    </row>
    <row r="1834" ht="14.25">
      <c r="B1834" s="4" t="s">
        <v>13279</v>
      </c>
      <c r="C1834" s="4" t="s">
        <v>450</v>
      </c>
      <c r="D1834" s="4" t="s">
        <v>13280</v>
      </c>
      <c r="E1834" s="4" t="s">
        <v>13281</v>
      </c>
      <c r="F1834" s="4" t="s">
        <v>9849</v>
      </c>
      <c r="G1834" s="4" t="s">
        <v>13282</v>
      </c>
      <c r="H1834" s="4" t="str">
        <f>IFERROR(__XLUDF.DUMMYFUNCTION("PROPER(REGEXREPLACE(G411,""[^A-Za-z]+ "",""""))"),"Youday Crm")</f>
        <v xml:space="preserve">Youday Crm</v>
      </c>
      <c r="I1834" s="5" t="s">
        <v>13283</v>
      </c>
      <c r="J1834" s="4" t="s">
        <v>1711</v>
      </c>
      <c r="K1834" s="4" t="s">
        <v>9350</v>
      </c>
      <c r="L1834" s="4" t="s">
        <v>29</v>
      </c>
      <c r="M1834" s="4" t="s">
        <v>2602</v>
      </c>
      <c r="N1834" s="4" t="str">
        <f>IFERROR(__XLUDF.DUMMYFUNCTION("VLOOKUP(M411,IMPORTRANGE(""https://docs.google.com/spreadsheets/d/1opm6ZNvGZ7KditA9TuJwrZ25eFLfTNIkrNnY6mhV5Eg"",""list!A1:C115""),3,TRUE)"),"le secteur de la tech")</f>
        <v xml:space="preserve">le secteur de la tech</v>
      </c>
      <c r="O1834" s="4" t="s">
        <v>13284</v>
      </c>
      <c r="P1834" s="4">
        <v>13</v>
      </c>
      <c r="Q1834" s="4" t="s">
        <v>1711</v>
      </c>
      <c r="R1834" s="4" t="s">
        <v>9350</v>
      </c>
      <c r="S1834" s="4" t="s">
        <v>29</v>
      </c>
      <c r="T1834" s="5" t="s">
        <v>13285</v>
      </c>
      <c r="U1834" s="6"/>
      <c r="V1834" s="6"/>
      <c r="W1834" s="6"/>
      <c r="X1834" s="6"/>
      <c r="Y1834" s="4" t="s">
        <v>13286</v>
      </c>
      <c r="Z1834" s="6"/>
      <c r="AA1834" s="5" t="s">
        <v>13287</v>
      </c>
    </row>
    <row r="1835" ht="14.25">
      <c r="B1835" s="4" t="s">
        <v>13288</v>
      </c>
      <c r="C1835" s="4" t="s">
        <v>4491</v>
      </c>
      <c r="D1835" s="4" t="s">
        <v>13289</v>
      </c>
      <c r="E1835" s="4" t="s">
        <v>13290</v>
      </c>
      <c r="F1835" s="4" t="s">
        <v>13291</v>
      </c>
      <c r="G1835" s="4" t="s">
        <v>13292</v>
      </c>
      <c r="H1835" s="4" t="str">
        <f>IFERROR(__XLUDF.DUMMYFUNCTION("PROPER(REGEXREPLACE(G412,""[^A-Za-z]+ "",""""))"),"Andrrénovation")</f>
        <v>Andrrénovation</v>
      </c>
      <c r="I1835" s="5" t="s">
        <v>13293</v>
      </c>
      <c r="J1835" s="4" t="s">
        <v>13294</v>
      </c>
      <c r="K1835" s="4" t="s">
        <v>9281</v>
      </c>
      <c r="L1835" s="4" t="s">
        <v>29</v>
      </c>
      <c r="M1835" s="4" t="s">
        <v>9239</v>
      </c>
      <c r="N1835" s="4" t="str">
        <f>IFERROR(__XLUDF.DUMMYFUNCTION("VLOOKUP(M412,IMPORTRANGE(""https://docs.google.com/spreadsheets/d/1opm6ZNvGZ7KditA9TuJwrZ25eFLfTNIkrNnY6mhV5Eg"",""list!A1:C115""),3,TRUE)"),"le secteur de la construction")</f>
        <v xml:space="preserve">le secteur de la construction</v>
      </c>
      <c r="O1835" s="4" t="s">
        <v>13295</v>
      </c>
      <c r="P1835" s="4">
        <v>17</v>
      </c>
      <c r="Q1835" s="6"/>
      <c r="R1835" s="4" t="s">
        <v>9281</v>
      </c>
      <c r="S1835" s="4" t="s">
        <v>29</v>
      </c>
      <c r="T1835" s="5" t="s">
        <v>13296</v>
      </c>
      <c r="U1835" s="6"/>
      <c r="V1835" s="6"/>
      <c r="W1835" s="6"/>
      <c r="X1835" s="6"/>
      <c r="Y1835" s="4" t="s">
        <v>13297</v>
      </c>
      <c r="Z1835" s="6"/>
      <c r="AA1835" s="5" t="s">
        <v>13298</v>
      </c>
    </row>
    <row r="1836" ht="14.25">
      <c r="B1836" s="4" t="s">
        <v>13299</v>
      </c>
      <c r="C1836" s="4" t="s">
        <v>13300</v>
      </c>
      <c r="D1836" s="4" t="s">
        <v>13301</v>
      </c>
      <c r="E1836" s="4" t="s">
        <v>13302</v>
      </c>
      <c r="F1836" s="4" t="s">
        <v>13303</v>
      </c>
      <c r="G1836" s="4" t="s">
        <v>13304</v>
      </c>
      <c r="H1836" s="4" t="str">
        <f>IFERROR(__XLUDF.DUMMYFUNCTION("PROPER(REGEXREPLACE(G413,""[^A-Za-z]+ "",""""))"),"Cogifor")</f>
        <v>Cogifor</v>
      </c>
      <c r="I1836" s="5" t="s">
        <v>13305</v>
      </c>
      <c r="J1836" s="4" t="s">
        <v>39</v>
      </c>
      <c r="K1836" s="4" t="s">
        <v>9160</v>
      </c>
      <c r="L1836" s="4" t="s">
        <v>29</v>
      </c>
      <c r="M1836" s="4" t="s">
        <v>2602</v>
      </c>
      <c r="N1836" s="4" t="str">
        <f>IFERROR(__XLUDF.DUMMYFUNCTION("VLOOKUP(M413,IMPORTRANGE(""https://docs.google.com/spreadsheets/d/1opm6ZNvGZ7KditA9TuJwrZ25eFLfTNIkrNnY6mhV5Eg"",""list!A1:C115""),3,TRUE)"),"le secteur de la tech")</f>
        <v xml:space="preserve">le secteur de la tech</v>
      </c>
      <c r="O1836" s="4" t="s">
        <v>13306</v>
      </c>
      <c r="P1836" s="4">
        <v>12</v>
      </c>
      <c r="Q1836" s="4" t="s">
        <v>39</v>
      </c>
      <c r="R1836" s="4" t="s">
        <v>9160</v>
      </c>
      <c r="S1836" s="4" t="s">
        <v>29</v>
      </c>
      <c r="T1836" s="5" t="s">
        <v>13307</v>
      </c>
      <c r="U1836" s="6"/>
      <c r="V1836" s="6"/>
      <c r="W1836" s="6"/>
      <c r="X1836" s="6"/>
      <c r="Y1836" s="4" t="s">
        <v>13308</v>
      </c>
      <c r="Z1836" s="6"/>
      <c r="AA1836" s="5" t="s">
        <v>13309</v>
      </c>
    </row>
    <row r="1837" ht="14.25">
      <c r="B1837" s="4" t="s">
        <v>13310</v>
      </c>
      <c r="C1837" s="4" t="s">
        <v>4115</v>
      </c>
      <c r="D1837" s="4" t="s">
        <v>13311</v>
      </c>
      <c r="E1837" s="4" t="s">
        <v>13312</v>
      </c>
      <c r="F1837" s="4" t="s">
        <v>7759</v>
      </c>
      <c r="G1837" s="4" t="s">
        <v>13313</v>
      </c>
      <c r="H1837" s="4" t="str">
        <f>IFERROR(__XLUDF.DUMMYFUNCTION("PROPER(REGEXREPLACE(G414,""[^A-Za-z]+ "",""""))"),"Jhh Applications")</f>
        <v xml:space="preserve">Jhh Applications</v>
      </c>
      <c r="I1837" s="5" t="s">
        <v>13314</v>
      </c>
      <c r="J1837" s="4" t="s">
        <v>243</v>
      </c>
      <c r="K1837" s="4" t="s">
        <v>9864</v>
      </c>
      <c r="L1837" s="4" t="s">
        <v>29</v>
      </c>
      <c r="M1837" s="4" t="s">
        <v>2602</v>
      </c>
      <c r="N1837" s="4" t="str">
        <f>IFERROR(__XLUDF.DUMMYFUNCTION("VLOOKUP(M414,IMPORTRANGE(""https://docs.google.com/spreadsheets/d/1opm6ZNvGZ7KditA9TuJwrZ25eFLfTNIkrNnY6mhV5Eg"",""list!A1:C115""),3,TRUE)"),"le secteur de la tech")</f>
        <v xml:space="preserve">le secteur de la tech</v>
      </c>
      <c r="O1837" s="4" t="s">
        <v>13315</v>
      </c>
      <c r="P1837" s="4">
        <v>45</v>
      </c>
      <c r="Q1837" s="4" t="s">
        <v>243</v>
      </c>
      <c r="R1837" s="4" t="s">
        <v>9864</v>
      </c>
      <c r="S1837" s="4" t="s">
        <v>29</v>
      </c>
      <c r="T1837" s="5" t="s">
        <v>13316</v>
      </c>
      <c r="U1837" s="6"/>
      <c r="V1837" s="6"/>
      <c r="W1837" s="6"/>
      <c r="X1837" s="6"/>
      <c r="Y1837" s="4" t="s">
        <v>13317</v>
      </c>
      <c r="Z1837" s="6"/>
      <c r="AA1837" s="5" t="s">
        <v>13318</v>
      </c>
    </row>
    <row r="1838" ht="14.25">
      <c r="B1838" s="4" t="s">
        <v>13319</v>
      </c>
      <c r="C1838" s="4" t="s">
        <v>4115</v>
      </c>
      <c r="D1838" s="4" t="s">
        <v>13320</v>
      </c>
      <c r="E1838" s="4" t="s">
        <v>13321</v>
      </c>
      <c r="F1838" s="4" t="s">
        <v>13322</v>
      </c>
      <c r="G1838" s="4" t="s">
        <v>13323</v>
      </c>
      <c r="H1838" s="4" t="str">
        <f>IFERROR(__XLUDF.DUMMYFUNCTION("PROPER(REGEXREPLACE(G415,""[^A-Za-z]+ "",""""))"),"Temporis Loire Sud")</f>
        <v xml:space="preserve">Temporis Loire Sud</v>
      </c>
      <c r="I1838" s="6"/>
      <c r="J1838" s="4" t="s">
        <v>831</v>
      </c>
      <c r="K1838" s="4" t="s">
        <v>9193</v>
      </c>
      <c r="L1838" s="4" t="s">
        <v>29</v>
      </c>
      <c r="M1838" s="4" t="s">
        <v>4067</v>
      </c>
      <c r="N1838" s="4" t="str">
        <f>IFERROR(__XLUDF.DUMMYFUNCTION("VLOOKUP(M415,IMPORTRANGE(""https://docs.google.com/spreadsheets/d/1opm6ZNvGZ7KditA9TuJwrZ25eFLfTNIkrNnY6mhV5Eg"",""list!A1:C115""),3,TRUE)"),"le secteur du conseil en management")</f>
        <v xml:space="preserve">le secteur du conseil en management</v>
      </c>
      <c r="O1838" s="4" t="s">
        <v>13324</v>
      </c>
      <c r="P1838" s="4">
        <v>14</v>
      </c>
      <c r="Q1838" s="4" t="s">
        <v>831</v>
      </c>
      <c r="R1838" s="4" t="s">
        <v>9193</v>
      </c>
      <c r="S1838" s="4" t="s">
        <v>29</v>
      </c>
      <c r="T1838" s="5" t="s">
        <v>13325</v>
      </c>
      <c r="U1838" s="6"/>
      <c r="V1838" s="6"/>
      <c r="W1838" s="6"/>
      <c r="X1838" s="6"/>
      <c r="Y1838" s="4" t="s">
        <v>13326</v>
      </c>
      <c r="Z1838" s="6"/>
      <c r="AA1838" s="5" t="s">
        <v>13327</v>
      </c>
    </row>
    <row r="1839" ht="14.25">
      <c r="B1839" s="4" t="s">
        <v>13328</v>
      </c>
      <c r="C1839" s="4" t="s">
        <v>4115</v>
      </c>
      <c r="D1839" s="4" t="s">
        <v>13329</v>
      </c>
      <c r="E1839" s="4" t="s">
        <v>13330</v>
      </c>
      <c r="F1839" s="4" t="s">
        <v>13331</v>
      </c>
      <c r="G1839" s="4" t="s">
        <v>13332</v>
      </c>
      <c r="H1839" s="4" t="str">
        <f>IFERROR(__XLUDF.DUMMYFUNCTION("PROPER(REGEXREPLACE(G416,""[^A-Za-z]+ "",""""))"),"Toutateam")</f>
        <v>Toutateam</v>
      </c>
      <c r="I1839" s="5" t="s">
        <v>13333</v>
      </c>
      <c r="J1839" s="4" t="s">
        <v>5376</v>
      </c>
      <c r="K1839" s="4" t="s">
        <v>9227</v>
      </c>
      <c r="L1839" s="4" t="s">
        <v>29</v>
      </c>
      <c r="M1839" s="4" t="s">
        <v>4067</v>
      </c>
      <c r="N1839" s="4" t="str">
        <f>IFERROR(__XLUDF.DUMMYFUNCTION("VLOOKUP(M416,IMPORTRANGE(""https://docs.google.com/spreadsheets/d/1opm6ZNvGZ7KditA9TuJwrZ25eFLfTNIkrNnY6mhV5Eg"",""list!A1:C115""),3,TRUE)"),"le secteur du conseil en management")</f>
        <v xml:space="preserve">le secteur du conseil en management</v>
      </c>
      <c r="O1839" s="6"/>
      <c r="P1839" s="4">
        <v>12</v>
      </c>
      <c r="Q1839" s="4" t="s">
        <v>5376</v>
      </c>
      <c r="R1839" s="4" t="s">
        <v>9227</v>
      </c>
      <c r="S1839" s="4" t="s">
        <v>29</v>
      </c>
      <c r="T1839" s="5" t="s">
        <v>13334</v>
      </c>
      <c r="U1839" s="6"/>
      <c r="V1839" s="6"/>
      <c r="W1839" s="6"/>
      <c r="X1839" s="6"/>
      <c r="Y1839" s="4" t="s">
        <v>13335</v>
      </c>
      <c r="Z1839" s="6"/>
      <c r="AA1839" s="5" t="s">
        <v>13336</v>
      </c>
    </row>
    <row r="1840" ht="14.25">
      <c r="B1840" s="4" t="s">
        <v>13337</v>
      </c>
      <c r="C1840" s="4" t="s">
        <v>2340</v>
      </c>
      <c r="D1840" s="4" t="s">
        <v>20</v>
      </c>
      <c r="E1840" s="4" t="s">
        <v>13338</v>
      </c>
      <c r="F1840" s="4" t="s">
        <v>12169</v>
      </c>
      <c r="G1840" s="4" t="s">
        <v>13339</v>
      </c>
      <c r="H1840" s="4" t="str">
        <f>IFERROR(__XLUDF.DUMMYFUNCTION("PROPER(REGEXREPLACE(G417,""[^A-Za-z]+ "",""""))"),"Slash Consulting")</f>
        <v xml:space="preserve">Slash Consulting</v>
      </c>
      <c r="I1840" s="5" t="s">
        <v>13340</v>
      </c>
      <c r="J1840" s="4" t="s">
        <v>846</v>
      </c>
      <c r="K1840" s="4" t="s">
        <v>9281</v>
      </c>
      <c r="L1840" s="4" t="s">
        <v>29</v>
      </c>
      <c r="M1840" s="4" t="s">
        <v>2602</v>
      </c>
      <c r="N1840" s="4" t="str">
        <f>IFERROR(__XLUDF.DUMMYFUNCTION("VLOOKUP(M417,IMPORTRANGE(""https://docs.google.com/spreadsheets/d/1opm6ZNvGZ7KditA9TuJwrZ25eFLfTNIkrNnY6mhV5Eg"",""list!A1:C115""),3,TRUE)"),"le secteur de la tech")</f>
        <v xml:space="preserve">le secteur de la tech</v>
      </c>
      <c r="O1840" s="4" t="s">
        <v>13341</v>
      </c>
      <c r="P1840" s="4">
        <v>21</v>
      </c>
      <c r="Q1840" s="4" t="s">
        <v>846</v>
      </c>
      <c r="R1840" s="4" t="s">
        <v>9281</v>
      </c>
      <c r="S1840" s="4" t="s">
        <v>29</v>
      </c>
      <c r="T1840" s="5" t="s">
        <v>13342</v>
      </c>
      <c r="U1840" s="6"/>
      <c r="V1840" s="6"/>
      <c r="W1840" s="6"/>
      <c r="X1840" s="6"/>
      <c r="Y1840" s="4" t="s">
        <v>13343</v>
      </c>
      <c r="Z1840" s="6"/>
      <c r="AA1840" s="5" t="s">
        <v>13344</v>
      </c>
    </row>
    <row r="1841" ht="14.25">
      <c r="B1841" s="4" t="s">
        <v>13345</v>
      </c>
      <c r="C1841" s="4" t="s">
        <v>2340</v>
      </c>
      <c r="D1841" s="4" t="s">
        <v>13346</v>
      </c>
      <c r="E1841" s="4" t="s">
        <v>13347</v>
      </c>
      <c r="F1841" s="4" t="s">
        <v>13348</v>
      </c>
      <c r="G1841" s="4" t="s">
        <v>13349</v>
      </c>
      <c r="H1841" s="4" t="str">
        <f>IFERROR(__XLUDF.DUMMYFUNCTION("PROPER(REGEXREPLACE(G418,""[^A-Za-z]+ "",""""))"),"Saalz")</f>
        <v>Saalz</v>
      </c>
      <c r="I1841" s="5" t="s">
        <v>13350</v>
      </c>
      <c r="J1841" s="4" t="s">
        <v>13351</v>
      </c>
      <c r="K1841" s="4" t="s">
        <v>9193</v>
      </c>
      <c r="L1841" s="4" t="s">
        <v>29</v>
      </c>
      <c r="M1841" s="4" t="s">
        <v>2602</v>
      </c>
      <c r="N1841" s="4" t="str">
        <f>IFERROR(__XLUDF.DUMMYFUNCTION("VLOOKUP(M418,IMPORTRANGE(""https://docs.google.com/spreadsheets/d/1opm6ZNvGZ7KditA9TuJwrZ25eFLfTNIkrNnY6mhV5Eg"",""list!A1:C115""),3,TRUE)"),"le secteur de la tech")</f>
        <v xml:space="preserve">le secteur de la tech</v>
      </c>
      <c r="O1841" s="6"/>
      <c r="P1841" s="4">
        <v>10</v>
      </c>
      <c r="Q1841" s="6"/>
      <c r="R1841" s="6"/>
      <c r="S1841" s="6"/>
      <c r="T1841" s="5" t="s">
        <v>13352</v>
      </c>
      <c r="U1841" s="6"/>
      <c r="V1841" s="6"/>
      <c r="W1841" s="6"/>
      <c r="X1841" s="6"/>
      <c r="Y1841" s="6"/>
      <c r="Z1841" s="6"/>
      <c r="AA1841" s="5" t="s">
        <v>13353</v>
      </c>
    </row>
    <row r="1842" ht="14.25">
      <c r="B1842" s="4" t="s">
        <v>13354</v>
      </c>
      <c r="C1842" s="4" t="s">
        <v>13355</v>
      </c>
      <c r="D1842" s="4" t="s">
        <v>13356</v>
      </c>
      <c r="E1842" s="4" t="s">
        <v>13357</v>
      </c>
      <c r="F1842" s="4" t="s">
        <v>9849</v>
      </c>
      <c r="G1842" s="4" t="s">
        <v>13358</v>
      </c>
      <c r="H1842" s="4" t="str">
        <f>IFERROR(__XLUDF.DUMMYFUNCTION("PROPER(REGEXREPLACE(G419,""[^A-Za-z]+ "",""""))"),"Celia Creation")</f>
        <v xml:space="preserve">Celia Creation</v>
      </c>
      <c r="I1842" s="5" t="s">
        <v>13359</v>
      </c>
      <c r="J1842" s="4" t="s">
        <v>13360</v>
      </c>
      <c r="K1842" s="4" t="s">
        <v>9460</v>
      </c>
      <c r="L1842" s="4" t="s">
        <v>29</v>
      </c>
      <c r="M1842" s="4" t="s">
        <v>9239</v>
      </c>
      <c r="N1842" s="4" t="str">
        <f>IFERROR(__XLUDF.DUMMYFUNCTION("VLOOKUP(M419,IMPORTRANGE(""https://docs.google.com/spreadsheets/d/1opm6ZNvGZ7KditA9TuJwrZ25eFLfTNIkrNnY6mhV5Eg"",""list!A1:C115""),3,TRUE)"),"le secteur de la construction")</f>
        <v xml:space="preserve">le secteur de la construction</v>
      </c>
      <c r="O1842" s="6"/>
      <c r="P1842" s="4">
        <v>22</v>
      </c>
      <c r="Q1842" s="4" t="s">
        <v>13360</v>
      </c>
      <c r="R1842" s="4" t="s">
        <v>9463</v>
      </c>
      <c r="S1842" s="4" t="s">
        <v>29</v>
      </c>
      <c r="T1842" s="5" t="s">
        <v>13361</v>
      </c>
      <c r="U1842" s="6"/>
      <c r="V1842" s="5" t="s">
        <v>13362</v>
      </c>
      <c r="W1842" s="6"/>
      <c r="X1842" s="6"/>
      <c r="Y1842" s="4" t="s">
        <v>13363</v>
      </c>
      <c r="Z1842" s="6"/>
      <c r="AA1842" s="5" t="s">
        <v>13364</v>
      </c>
    </row>
    <row r="1843" ht="14.25">
      <c r="B1843" s="4" t="s">
        <v>13365</v>
      </c>
      <c r="C1843" s="4" t="s">
        <v>2598</v>
      </c>
      <c r="D1843" s="4" t="s">
        <v>13366</v>
      </c>
      <c r="E1843" s="4" t="s">
        <v>13367</v>
      </c>
      <c r="F1843" s="4" t="s">
        <v>62</v>
      </c>
      <c r="G1843" s="4" t="s">
        <v>13368</v>
      </c>
      <c r="H1843" s="4" t="str">
        <f>IFERROR(__XLUDF.DUMMYFUNCTION("PROPER(REGEXREPLACE(G420,""[^A-Za-z]+ "",""""))"),"Quicktalk")</f>
        <v>Quicktalk</v>
      </c>
      <c r="I1843" s="5" t="s">
        <v>13369</v>
      </c>
      <c r="J1843" s="4" t="s">
        <v>185</v>
      </c>
      <c r="K1843" s="4" t="s">
        <v>9193</v>
      </c>
      <c r="L1843" s="4" t="s">
        <v>29</v>
      </c>
      <c r="M1843" s="4" t="s">
        <v>9184</v>
      </c>
      <c r="N1843" s="4" t="str">
        <f>IFERROR(__XLUDF.DUMMYFUNCTION("VLOOKUP(M420,IMPORTRANGE(""https://docs.google.com/spreadsheets/d/1opm6ZNvGZ7KditA9TuJwrZ25eFLfTNIkrNnY6mhV5Eg"",""list!A1:C115""),3,TRUE)"),"le secteur des télécommunications")</f>
        <v xml:space="preserve">le secteur des télécommunications</v>
      </c>
      <c r="O1843" s="6"/>
      <c r="P1843" s="4">
        <v>10</v>
      </c>
      <c r="Q1843" s="4" t="s">
        <v>13370</v>
      </c>
      <c r="R1843" s="4" t="s">
        <v>13371</v>
      </c>
      <c r="S1843" s="4" t="s">
        <v>1261</v>
      </c>
      <c r="T1843" s="5" t="s">
        <v>13372</v>
      </c>
      <c r="U1843" s="6"/>
      <c r="V1843" s="6"/>
      <c r="W1843" s="6"/>
      <c r="X1843" s="6"/>
      <c r="Y1843" s="4" t="s">
        <v>13373</v>
      </c>
      <c r="Z1843" s="6"/>
      <c r="AA1843" s="5" t="s">
        <v>13374</v>
      </c>
    </row>
    <row r="1844" ht="14.25">
      <c r="B1844" s="4" t="s">
        <v>13375</v>
      </c>
      <c r="C1844" s="4" t="s">
        <v>13376</v>
      </c>
      <c r="D1844" s="4" t="s">
        <v>13377</v>
      </c>
      <c r="E1844" s="4" t="s">
        <v>13378</v>
      </c>
      <c r="F1844" s="4" t="s">
        <v>13379</v>
      </c>
      <c r="G1844" s="4" t="s">
        <v>13380</v>
      </c>
      <c r="H1844" s="4" t="str">
        <f>IFERROR(__XLUDF.DUMMYFUNCTION("PROPER(REGEXREPLACE(G421,""[^A-Za-z]+ "",""""))"),"Statera")</f>
        <v>Statera</v>
      </c>
      <c r="I1844" s="5" t="s">
        <v>13381</v>
      </c>
      <c r="J1844" s="4" t="s">
        <v>39</v>
      </c>
      <c r="K1844" s="4" t="s">
        <v>9160</v>
      </c>
      <c r="L1844" s="4" t="s">
        <v>29</v>
      </c>
      <c r="M1844" s="4" t="s">
        <v>2602</v>
      </c>
      <c r="N1844" s="4" t="str">
        <f>IFERROR(__XLUDF.DUMMYFUNCTION("VLOOKUP(M421,IMPORTRANGE(""https://docs.google.com/spreadsheets/d/1opm6ZNvGZ7KditA9TuJwrZ25eFLfTNIkrNnY6mhV5Eg"",""list!A1:C115""),3,TRUE)"),"le secteur de la tech")</f>
        <v xml:space="preserve">le secteur de la tech</v>
      </c>
      <c r="O1844" s="4" t="s">
        <v>13382</v>
      </c>
      <c r="P1844" s="4">
        <v>37</v>
      </c>
      <c r="Q1844" s="4" t="s">
        <v>1419</v>
      </c>
      <c r="R1844" s="4" t="s">
        <v>9160</v>
      </c>
      <c r="S1844" s="4" t="s">
        <v>29</v>
      </c>
      <c r="T1844" s="5" t="s">
        <v>13383</v>
      </c>
      <c r="U1844" s="6"/>
      <c r="V1844" s="6"/>
      <c r="W1844" s="6"/>
      <c r="X1844" s="6"/>
      <c r="Y1844" s="4" t="s">
        <v>13384</v>
      </c>
      <c r="Z1844" s="6"/>
      <c r="AA1844" s="5" t="s">
        <v>13385</v>
      </c>
    </row>
    <row r="1845" ht="14.25">
      <c r="B1845" s="4" t="s">
        <v>13386</v>
      </c>
      <c r="C1845" s="4" t="s">
        <v>785</v>
      </c>
      <c r="D1845" s="4" t="s">
        <v>13387</v>
      </c>
      <c r="E1845" s="4" t="s">
        <v>13388</v>
      </c>
      <c r="F1845" s="4" t="s">
        <v>13389</v>
      </c>
      <c r="G1845" s="4" t="s">
        <v>13390</v>
      </c>
      <c r="H1845" s="4" t="str">
        <f>IFERROR(__XLUDF.DUMMYFUNCTION("PROPER(REGEXREPLACE(G422,""[^A-Za-z]+ "",""""))"),"Gotel")</f>
        <v>Gotel</v>
      </c>
      <c r="I1845" s="5" t="s">
        <v>13391</v>
      </c>
      <c r="J1845" s="4" t="s">
        <v>831</v>
      </c>
      <c r="K1845" s="4" t="s">
        <v>9172</v>
      </c>
      <c r="L1845" s="4" t="s">
        <v>29</v>
      </c>
      <c r="M1845" s="4" t="s">
        <v>9184</v>
      </c>
      <c r="N1845" s="4" t="str">
        <f>IFERROR(__XLUDF.DUMMYFUNCTION("VLOOKUP(M422,IMPORTRANGE(""https://docs.google.com/spreadsheets/d/1opm6ZNvGZ7KditA9TuJwrZ25eFLfTNIkrNnY6mhV5Eg"",""list!A1:C115""),3,TRUE)"),"le secteur des télécommunications")</f>
        <v xml:space="preserve">le secteur des télécommunications</v>
      </c>
      <c r="O1845" s="4" t="s">
        <v>13392</v>
      </c>
      <c r="P1845" s="4">
        <v>11</v>
      </c>
      <c r="Q1845" s="4" t="s">
        <v>13393</v>
      </c>
      <c r="R1845" s="4" t="s">
        <v>9238</v>
      </c>
      <c r="S1845" s="4" t="s">
        <v>29</v>
      </c>
      <c r="T1845" s="5" t="s">
        <v>13394</v>
      </c>
      <c r="U1845" s="6"/>
      <c r="V1845" s="6"/>
      <c r="W1845" s="6"/>
      <c r="X1845" s="6"/>
      <c r="Y1845" s="4" t="s">
        <v>13395</v>
      </c>
      <c r="Z1845" s="6"/>
      <c r="AA1845" s="5" t="s">
        <v>13396</v>
      </c>
    </row>
    <row r="1846" ht="14.25">
      <c r="B1846" s="4" t="s">
        <v>13397</v>
      </c>
      <c r="C1846" s="4" t="s">
        <v>785</v>
      </c>
      <c r="D1846" s="4" t="s">
        <v>13398</v>
      </c>
      <c r="E1846" s="4" t="s">
        <v>13399</v>
      </c>
      <c r="F1846" s="4" t="s">
        <v>112</v>
      </c>
      <c r="G1846" s="4" t="s">
        <v>13400</v>
      </c>
      <c r="H1846" s="4" t="str">
        <f>IFERROR(__XLUDF.DUMMYFUNCTION("PROPER(REGEXREPLACE(G423,""[^A-Za-z]+ "",""""))"),"Maisons Terre D'Oc")</f>
        <v xml:space="preserve">Maisons Terre D'Oc</v>
      </c>
      <c r="I1846" s="5" t="s">
        <v>13401</v>
      </c>
      <c r="J1846" s="4" t="s">
        <v>13402</v>
      </c>
      <c r="K1846" s="4" t="s">
        <v>9460</v>
      </c>
      <c r="L1846" s="4" t="s">
        <v>29</v>
      </c>
      <c r="M1846" s="4" t="s">
        <v>9239</v>
      </c>
      <c r="N1846" s="4" t="str">
        <f>IFERROR(__XLUDF.DUMMYFUNCTION("VLOOKUP(M423,IMPORTRANGE(""https://docs.google.com/spreadsheets/d/1opm6ZNvGZ7KditA9TuJwrZ25eFLfTNIkrNnY6mhV5Eg"",""list!A1:C115""),3,TRUE)"),"le secteur de la construction")</f>
        <v xml:space="preserve">le secteur de la construction</v>
      </c>
      <c r="O1846" s="6"/>
      <c r="P1846" s="4">
        <v>24</v>
      </c>
      <c r="Q1846" s="4" t="s">
        <v>10661</v>
      </c>
      <c r="R1846" s="4" t="s">
        <v>9254</v>
      </c>
      <c r="S1846" s="4" t="s">
        <v>29</v>
      </c>
      <c r="T1846" s="5" t="s">
        <v>13403</v>
      </c>
      <c r="U1846" s="6"/>
      <c r="V1846" s="6"/>
      <c r="W1846" s="6"/>
      <c r="X1846" s="6"/>
      <c r="Y1846" s="4" t="s">
        <v>13404</v>
      </c>
      <c r="Z1846" s="6"/>
      <c r="AA1846" s="5" t="s">
        <v>13405</v>
      </c>
    </row>
    <row r="1847" ht="14.25">
      <c r="B1847" s="4" t="s">
        <v>13406</v>
      </c>
      <c r="C1847" s="4" t="s">
        <v>402</v>
      </c>
      <c r="D1847" s="4" t="s">
        <v>13407</v>
      </c>
      <c r="E1847" s="4" t="s">
        <v>13408</v>
      </c>
      <c r="F1847" s="4" t="s">
        <v>13409</v>
      </c>
      <c r="G1847" s="4" t="s">
        <v>13410</v>
      </c>
      <c r="H1847" s="4" t="str">
        <f>IFERROR(__XLUDF.DUMMYFUNCTION("PROPER(REGEXREPLACE(G424,""[^A-Za-z]+ "",""""))"),"Frame")</f>
        <v>Frame</v>
      </c>
      <c r="I1847" s="5" t="s">
        <v>13411</v>
      </c>
      <c r="J1847" s="4" t="s">
        <v>39</v>
      </c>
      <c r="K1847" s="4" t="s">
        <v>9160</v>
      </c>
      <c r="L1847" s="4" t="s">
        <v>29</v>
      </c>
      <c r="M1847" s="4" t="s">
        <v>4067</v>
      </c>
      <c r="N1847" s="4" t="str">
        <f>IFERROR(__XLUDF.DUMMYFUNCTION("VLOOKUP(M424,IMPORTRANGE(""https://docs.google.com/spreadsheets/d/1opm6ZNvGZ7KditA9TuJwrZ25eFLfTNIkrNnY6mhV5Eg"",""list!A1:C115""),3,TRUE)"),"le secteur du conseil en management")</f>
        <v xml:space="preserve">le secteur du conseil en management</v>
      </c>
      <c r="O1847" s="6"/>
      <c r="P1847" s="4">
        <v>24</v>
      </c>
      <c r="Q1847" s="4" t="s">
        <v>39</v>
      </c>
      <c r="R1847" s="4" t="s">
        <v>9160</v>
      </c>
      <c r="S1847" s="4" t="s">
        <v>29</v>
      </c>
      <c r="T1847" s="5" t="s">
        <v>13412</v>
      </c>
      <c r="U1847" s="6"/>
      <c r="V1847" s="6"/>
      <c r="W1847" s="6"/>
      <c r="X1847" s="6"/>
      <c r="Y1847" s="4" t="s">
        <v>13413</v>
      </c>
      <c r="Z1847" s="6"/>
      <c r="AA1847" s="5" t="s">
        <v>13414</v>
      </c>
    </row>
    <row r="1848" ht="14.25">
      <c r="B1848" s="4" t="s">
        <v>13415</v>
      </c>
      <c r="C1848" s="4" t="s">
        <v>1999</v>
      </c>
      <c r="D1848" s="4" t="s">
        <v>13416</v>
      </c>
      <c r="E1848" s="4" t="s">
        <v>13417</v>
      </c>
      <c r="F1848" s="4" t="s">
        <v>341</v>
      </c>
      <c r="G1848" s="4" t="s">
        <v>13418</v>
      </c>
      <c r="H1848" s="4" t="str">
        <f>IFERROR(__XLUDF.DUMMYFUNCTION("PROPER(REGEXREPLACE(G425,""[^A-Za-z]+ "",""""))"),"Epicerie L'Ideal")</f>
        <v xml:space="preserve">Epicerie L'Ideal</v>
      </c>
      <c r="I1848" s="5" t="s">
        <v>13419</v>
      </c>
      <c r="J1848" s="4" t="s">
        <v>295</v>
      </c>
      <c r="K1848" s="4" t="s">
        <v>9251</v>
      </c>
      <c r="L1848" s="4" t="s">
        <v>29</v>
      </c>
      <c r="M1848" s="4" t="s">
        <v>4525</v>
      </c>
      <c r="N1848" s="4" t="str">
        <f>IFERROR(__XLUDF.DUMMYFUNCTION("VLOOKUP(M425,IMPORTRANGE(""https://docs.google.com/spreadsheets/d/1opm6ZNvGZ7KditA9TuJwrZ25eFLfTNIkrNnY6mhV5Eg"",""list!A1:C115""),3,TRUE)"),"le secteur du retail")</f>
        <v xml:space="preserve">le secteur du retail</v>
      </c>
      <c r="O1848" s="4" t="s">
        <v>13420</v>
      </c>
      <c r="P1848" s="4">
        <v>10</v>
      </c>
      <c r="Q1848" s="4" t="s">
        <v>295</v>
      </c>
      <c r="R1848" s="4" t="s">
        <v>9251</v>
      </c>
      <c r="S1848" s="4" t="s">
        <v>29</v>
      </c>
      <c r="T1848" s="5" t="s">
        <v>13421</v>
      </c>
      <c r="U1848" s="6"/>
      <c r="V1848" s="6"/>
      <c r="W1848" s="6"/>
      <c r="X1848" s="6"/>
      <c r="Y1848" s="4" t="s">
        <v>13422</v>
      </c>
      <c r="Z1848" s="6"/>
      <c r="AA1848" s="5" t="s">
        <v>13423</v>
      </c>
    </row>
    <row r="1849" ht="14.25">
      <c r="B1849" s="4" t="s">
        <v>13424</v>
      </c>
      <c r="C1849" s="4" t="s">
        <v>1009</v>
      </c>
      <c r="D1849" s="4" t="s">
        <v>13425</v>
      </c>
      <c r="E1849" s="4" t="s">
        <v>13426</v>
      </c>
      <c r="F1849" s="4" t="s">
        <v>13427</v>
      </c>
      <c r="G1849" s="4" t="s">
        <v>13428</v>
      </c>
      <c r="H1849" s="4" t="str">
        <f>IFERROR(__XLUDF.DUMMYFUNCTION("PROPER(REGEXREPLACE(G426,""[^A-Za-z]+ "",""""))"),"Coven")</f>
        <v>Coven</v>
      </c>
      <c r="I1849" s="5" t="s">
        <v>13429</v>
      </c>
      <c r="J1849" s="4" t="s">
        <v>243</v>
      </c>
      <c r="K1849" s="4" t="s">
        <v>9864</v>
      </c>
      <c r="L1849" s="4" t="s">
        <v>29</v>
      </c>
      <c r="M1849" s="4" t="s">
        <v>4067</v>
      </c>
      <c r="N1849" s="4" t="str">
        <f>IFERROR(__XLUDF.DUMMYFUNCTION("VLOOKUP(M426,IMPORTRANGE(""https://docs.google.com/spreadsheets/d/1opm6ZNvGZ7KditA9TuJwrZ25eFLfTNIkrNnY6mhV5Eg"",""list!A1:C115""),3,TRUE)"),"le secteur du conseil en management")</f>
        <v xml:space="preserve">le secteur du conseil en management</v>
      </c>
      <c r="O1849" s="4" t="s">
        <v>13430</v>
      </c>
      <c r="P1849" s="4">
        <v>17</v>
      </c>
      <c r="Q1849" s="4" t="s">
        <v>243</v>
      </c>
      <c r="R1849" s="4" t="s">
        <v>9864</v>
      </c>
      <c r="S1849" s="4" t="s">
        <v>29</v>
      </c>
      <c r="T1849" s="5" t="s">
        <v>13431</v>
      </c>
      <c r="U1849" s="5" t="s">
        <v>13432</v>
      </c>
      <c r="V1849" s="5" t="s">
        <v>13433</v>
      </c>
      <c r="W1849" s="6"/>
      <c r="X1849" s="6"/>
      <c r="Y1849" s="4" t="s">
        <v>13434</v>
      </c>
      <c r="Z1849" s="6"/>
      <c r="AA1849" s="5" t="s">
        <v>13435</v>
      </c>
    </row>
    <row r="1850" ht="14.25">
      <c r="B1850" s="4" t="s">
        <v>13436</v>
      </c>
      <c r="C1850" s="4" t="s">
        <v>785</v>
      </c>
      <c r="D1850" s="4" t="s">
        <v>13437</v>
      </c>
      <c r="E1850" s="4" t="s">
        <v>13438</v>
      </c>
      <c r="F1850" s="4" t="s">
        <v>7759</v>
      </c>
      <c r="G1850" s="4" t="s">
        <v>13439</v>
      </c>
      <c r="H1850" s="4" t="str">
        <f>IFERROR(__XLUDF.DUMMYFUNCTION("PROPER(REGEXREPLACE(G427,""[^A-Za-z]+ "",""""))"),"Uni-Vision")</f>
        <v>Uni-Vision</v>
      </c>
      <c r="I1850" s="5" t="s">
        <v>13440</v>
      </c>
      <c r="J1850" s="4" t="s">
        <v>13441</v>
      </c>
      <c r="K1850" s="4" t="s">
        <v>9350</v>
      </c>
      <c r="L1850" s="4" t="s">
        <v>29</v>
      </c>
      <c r="M1850" s="4" t="s">
        <v>2602</v>
      </c>
      <c r="N1850" s="4" t="str">
        <f>IFERROR(__XLUDF.DUMMYFUNCTION("VLOOKUP(M427,IMPORTRANGE(""https://docs.google.com/spreadsheets/d/1opm6ZNvGZ7KditA9TuJwrZ25eFLfTNIkrNnY6mhV5Eg"",""list!A1:C115""),3,TRUE)"),"le secteur de la tech")</f>
        <v xml:space="preserve">le secteur de la tech</v>
      </c>
      <c r="O1850" s="4" t="s">
        <v>13442</v>
      </c>
      <c r="P1850" s="4">
        <v>10</v>
      </c>
      <c r="Q1850" s="4" t="s">
        <v>13441</v>
      </c>
      <c r="R1850" s="4" t="s">
        <v>9350</v>
      </c>
      <c r="S1850" s="4" t="s">
        <v>29</v>
      </c>
      <c r="T1850" s="5" t="s">
        <v>13443</v>
      </c>
      <c r="U1850" s="6"/>
      <c r="V1850" s="5" t="s">
        <v>13444</v>
      </c>
      <c r="W1850" s="6"/>
      <c r="X1850" s="6"/>
      <c r="Y1850" s="4" t="s">
        <v>13445</v>
      </c>
      <c r="Z1850" s="6"/>
      <c r="AA1850" s="5" t="s">
        <v>13446</v>
      </c>
    </row>
    <row r="1851" ht="14.25">
      <c r="B1851" s="4" t="s">
        <v>13447</v>
      </c>
      <c r="C1851" s="4" t="s">
        <v>785</v>
      </c>
      <c r="D1851" s="4" t="s">
        <v>13448</v>
      </c>
      <c r="E1851" s="4" t="s">
        <v>13449</v>
      </c>
      <c r="F1851" s="4" t="s">
        <v>13450</v>
      </c>
      <c r="G1851" s="4" t="s">
        <v>13451</v>
      </c>
      <c r="H1851" s="4" t="str">
        <f>IFERROR(__XLUDF.DUMMYFUNCTION("PROPER(REGEXREPLACE(G428,""[^A-Za-z]+ "",""""))"),"Carmen Conseil")</f>
        <v xml:space="preserve">Carmen Conseil</v>
      </c>
      <c r="I1851" s="5" t="s">
        <v>13452</v>
      </c>
      <c r="J1851" s="4" t="s">
        <v>13453</v>
      </c>
      <c r="K1851" s="4" t="s">
        <v>9864</v>
      </c>
      <c r="L1851" s="4" t="s">
        <v>29</v>
      </c>
      <c r="M1851" s="4" t="s">
        <v>4067</v>
      </c>
      <c r="N1851" s="4" t="str">
        <f>IFERROR(__XLUDF.DUMMYFUNCTION("VLOOKUP(M428,IMPORTRANGE(""https://docs.google.com/spreadsheets/d/1opm6ZNvGZ7KditA9TuJwrZ25eFLfTNIkrNnY6mhV5Eg"",""list!A1:C115""),3,TRUE)"),"le secteur du conseil en management")</f>
        <v xml:space="preserve">le secteur du conseil en management</v>
      </c>
      <c r="O1851" s="6"/>
      <c r="P1851" s="4">
        <v>11</v>
      </c>
      <c r="Q1851" s="4" t="s">
        <v>13454</v>
      </c>
      <c r="R1851" s="4" t="s">
        <v>9864</v>
      </c>
      <c r="S1851" s="4" t="s">
        <v>29</v>
      </c>
      <c r="T1851" s="5" t="s">
        <v>13455</v>
      </c>
      <c r="U1851" s="6"/>
      <c r="V1851" s="6"/>
      <c r="W1851" s="6"/>
      <c r="X1851" s="6"/>
      <c r="Y1851" s="4" t="s">
        <v>13456</v>
      </c>
      <c r="Z1851" s="6"/>
      <c r="AA1851" s="5" t="s">
        <v>13457</v>
      </c>
    </row>
    <row r="1852" ht="14.25">
      <c r="B1852" s="4" t="s">
        <v>13458</v>
      </c>
      <c r="C1852" s="4" t="s">
        <v>785</v>
      </c>
      <c r="D1852" s="4" t="s">
        <v>13459</v>
      </c>
      <c r="E1852" s="4" t="s">
        <v>13460</v>
      </c>
      <c r="F1852" s="4" t="s">
        <v>112</v>
      </c>
      <c r="G1852" s="4" t="s">
        <v>13461</v>
      </c>
      <c r="H1852" s="4" t="str">
        <f>IFERROR(__XLUDF.DUMMYFUNCTION("PROPER(REGEXREPLACE(G429,""[^A-Za-z]+ "",""""))"),"Beesap")</f>
        <v>Beesap</v>
      </c>
      <c r="I1852" s="5" t="s">
        <v>13462</v>
      </c>
      <c r="J1852" s="4" t="s">
        <v>846</v>
      </c>
      <c r="K1852" s="4" t="s">
        <v>9278</v>
      </c>
      <c r="L1852" s="4" t="s">
        <v>29</v>
      </c>
      <c r="M1852" s="4" t="s">
        <v>2602</v>
      </c>
      <c r="N1852" s="4" t="str">
        <f>IFERROR(__XLUDF.DUMMYFUNCTION("VLOOKUP(M429,IMPORTRANGE(""https://docs.google.com/spreadsheets/d/1opm6ZNvGZ7KditA9TuJwrZ25eFLfTNIkrNnY6mhV5Eg"",""list!A1:C115""),3,TRUE)"),"le secteur de la tech")</f>
        <v xml:space="preserve">le secteur de la tech</v>
      </c>
      <c r="O1852" s="4" t="s">
        <v>13463</v>
      </c>
      <c r="P1852" s="4">
        <v>5</v>
      </c>
      <c r="Q1852" s="4" t="s">
        <v>846</v>
      </c>
      <c r="R1852" s="4" t="s">
        <v>9278</v>
      </c>
      <c r="S1852" s="4" t="s">
        <v>29</v>
      </c>
      <c r="T1852" s="5" t="s">
        <v>13464</v>
      </c>
      <c r="U1852" s="6"/>
      <c r="V1852" s="6"/>
      <c r="W1852" s="6"/>
      <c r="X1852" s="6"/>
      <c r="Y1852" s="4" t="s">
        <v>13465</v>
      </c>
      <c r="Z1852" s="6"/>
      <c r="AA1852" s="5" t="s">
        <v>13466</v>
      </c>
    </row>
    <row r="1853" ht="14.25">
      <c r="B1853" s="4" t="s">
        <v>13467</v>
      </c>
      <c r="C1853" s="4" t="s">
        <v>785</v>
      </c>
      <c r="D1853" s="4" t="s">
        <v>13468</v>
      </c>
      <c r="E1853" s="4" t="s">
        <v>13469</v>
      </c>
      <c r="F1853" s="4" t="s">
        <v>247</v>
      </c>
      <c r="G1853" s="4" t="s">
        <v>13470</v>
      </c>
      <c r="H1853" s="4" t="str">
        <f>IFERROR(__XLUDF.DUMMYFUNCTION("PROPER(REGEXREPLACE(G430,""[^A-Za-z]+ "",""""))"),"Lumiscaphe")</f>
        <v>Lumiscaphe</v>
      </c>
      <c r="I1853" s="5" t="s">
        <v>13471</v>
      </c>
      <c r="J1853" s="4" t="s">
        <v>13472</v>
      </c>
      <c r="K1853" s="4" t="s">
        <v>9864</v>
      </c>
      <c r="L1853" s="4" t="s">
        <v>29</v>
      </c>
      <c r="M1853" s="4" t="s">
        <v>2602</v>
      </c>
      <c r="N1853" s="4" t="str">
        <f>IFERROR(__XLUDF.DUMMYFUNCTION("VLOOKUP(M430,IMPORTRANGE(""https://docs.google.com/spreadsheets/d/1opm6ZNvGZ7KditA9TuJwrZ25eFLfTNIkrNnY6mhV5Eg"",""list!A1:C115""),3,TRUE)"),"le secteur de la tech")</f>
        <v xml:space="preserve">le secteur de la tech</v>
      </c>
      <c r="O1853" s="4" t="s">
        <v>13473</v>
      </c>
      <c r="P1853" s="4">
        <v>21</v>
      </c>
      <c r="Q1853" s="4" t="s">
        <v>13472</v>
      </c>
      <c r="R1853" s="4" t="s">
        <v>9864</v>
      </c>
      <c r="S1853" s="4" t="s">
        <v>29</v>
      </c>
      <c r="T1853" s="5" t="s">
        <v>13474</v>
      </c>
      <c r="U1853" s="5" t="s">
        <v>13475</v>
      </c>
      <c r="V1853" s="6"/>
      <c r="W1853" s="6"/>
      <c r="X1853" s="6"/>
      <c r="Y1853" s="4" t="s">
        <v>13476</v>
      </c>
      <c r="Z1853" s="6"/>
      <c r="AA1853" s="5" t="s">
        <v>13477</v>
      </c>
    </row>
    <row r="1854" ht="14.25">
      <c r="B1854" s="4" t="s">
        <v>13478</v>
      </c>
      <c r="C1854" s="4" t="s">
        <v>785</v>
      </c>
      <c r="D1854" s="4" t="s">
        <v>13479</v>
      </c>
      <c r="E1854" s="4" t="s">
        <v>13480</v>
      </c>
      <c r="F1854" s="4" t="s">
        <v>13481</v>
      </c>
      <c r="G1854" s="4" t="s">
        <v>13482</v>
      </c>
      <c r="H1854" s="4" t="str">
        <f>IFERROR(__XLUDF.DUMMYFUNCTION("PROPER(REGEXREPLACE(G431,""[^A-Za-z]+ "",""""))"),"Mrit France")</f>
        <v xml:space="preserve">Mrit France</v>
      </c>
      <c r="I1854" s="5" t="s">
        <v>13483</v>
      </c>
      <c r="J1854" s="4" t="s">
        <v>1711</v>
      </c>
      <c r="K1854" s="4" t="s">
        <v>9350</v>
      </c>
      <c r="L1854" s="4" t="s">
        <v>29</v>
      </c>
      <c r="M1854" s="4" t="s">
        <v>2602</v>
      </c>
      <c r="N1854" s="4" t="str">
        <f>IFERROR(__XLUDF.DUMMYFUNCTION("VLOOKUP(M431,IMPORTRANGE(""https://docs.google.com/spreadsheets/d/1opm6ZNvGZ7KditA9TuJwrZ25eFLfTNIkrNnY6mhV5Eg"",""list!A1:C115""),3,TRUE)"),"le secteur de la tech")</f>
        <v xml:space="preserve">le secteur de la tech</v>
      </c>
      <c r="O1854" s="6"/>
      <c r="P1854" s="4">
        <v>13</v>
      </c>
      <c r="Q1854" s="4" t="s">
        <v>11171</v>
      </c>
      <c r="R1854" s="4" t="s">
        <v>9350</v>
      </c>
      <c r="S1854" s="4" t="s">
        <v>29</v>
      </c>
      <c r="T1854" s="5" t="s">
        <v>13484</v>
      </c>
      <c r="U1854" s="6"/>
      <c r="V1854" s="6"/>
      <c r="W1854" s="6"/>
      <c r="X1854" s="6"/>
      <c r="Y1854" s="4" t="s">
        <v>13485</v>
      </c>
      <c r="Z1854" s="6"/>
      <c r="AA1854" s="5" t="s">
        <v>13486</v>
      </c>
    </row>
    <row r="1855" ht="14.25">
      <c r="B1855" s="4" t="s">
        <v>13487</v>
      </c>
      <c r="C1855" s="4" t="s">
        <v>785</v>
      </c>
      <c r="D1855" s="4" t="s">
        <v>8330</v>
      </c>
      <c r="E1855" s="4" t="s">
        <v>13488</v>
      </c>
      <c r="F1855" s="4" t="s">
        <v>13489</v>
      </c>
      <c r="G1855" s="4" t="s">
        <v>13490</v>
      </c>
      <c r="H1855" s="4" t="str">
        <f>IFERROR(__XLUDF.DUMMYFUNCTION("PROPER(REGEXREPLACE(G432,""[^A-Za-z]+ "",""""))"),"Calumino")</f>
        <v>Calumino</v>
      </c>
      <c r="I1855" s="5" t="s">
        <v>13491</v>
      </c>
      <c r="J1855" s="4" t="s">
        <v>13492</v>
      </c>
      <c r="K1855" s="4" t="s">
        <v>9193</v>
      </c>
      <c r="L1855" s="4" t="s">
        <v>29</v>
      </c>
      <c r="M1855" s="4" t="s">
        <v>10215</v>
      </c>
      <c r="N1855" s="4" t="str">
        <f>IFERROR(__XLUDF.DUMMYFUNCTION("VLOOKUP(M432,IMPORTRANGE(""https://docs.google.com/spreadsheets/d/1opm6ZNvGZ7KditA9TuJwrZ25eFLfTNIkrNnY6mhV5Eg"",""list!A1:C115""),3,TRUE)"),"le secteur de l'électrique et électronique")</f>
        <v xml:space="preserve">le secteur de l'électrique et électronique</v>
      </c>
      <c r="O1855" s="4" t="s">
        <v>13493</v>
      </c>
      <c r="P1855" s="4">
        <v>41</v>
      </c>
      <c r="Q1855" s="4" t="s">
        <v>13494</v>
      </c>
      <c r="R1855" s="4" t="s">
        <v>13495</v>
      </c>
      <c r="S1855" s="4" t="s">
        <v>4340</v>
      </c>
      <c r="T1855" s="5" t="s">
        <v>13496</v>
      </c>
      <c r="U1855" s="6"/>
      <c r="V1855" s="5" t="s">
        <v>13497</v>
      </c>
      <c r="W1855" s="6"/>
      <c r="X1855" s="6"/>
      <c r="Y1855" s="4" t="s">
        <v>13498</v>
      </c>
      <c r="Z1855" s="6"/>
      <c r="AA1855" s="5" t="s">
        <v>13499</v>
      </c>
    </row>
    <row r="1856" ht="14.25">
      <c r="B1856" s="4" t="s">
        <v>13500</v>
      </c>
      <c r="C1856" s="4" t="s">
        <v>785</v>
      </c>
      <c r="D1856" s="4" t="s">
        <v>13501</v>
      </c>
      <c r="E1856" s="4" t="s">
        <v>13502</v>
      </c>
      <c r="F1856" s="4" t="s">
        <v>247</v>
      </c>
      <c r="G1856" s="4" t="s">
        <v>13503</v>
      </c>
      <c r="H1856" s="4" t="str">
        <f>IFERROR(__XLUDF.DUMMYFUNCTION("PROPER(REGEXREPLACE(G433,""[^A-Za-z]+ "",""""))"),"Fanprime")</f>
        <v>Fanprime</v>
      </c>
      <c r="I1856" s="5" t="s">
        <v>13504</v>
      </c>
      <c r="J1856" s="4" t="s">
        <v>39</v>
      </c>
      <c r="K1856" s="4" t="s">
        <v>9160</v>
      </c>
      <c r="L1856" s="4" t="s">
        <v>29</v>
      </c>
      <c r="M1856" s="4" t="s">
        <v>2602</v>
      </c>
      <c r="N1856" s="4" t="str">
        <f>IFERROR(__XLUDF.DUMMYFUNCTION("VLOOKUP(M433,IMPORTRANGE(""https://docs.google.com/spreadsheets/d/1opm6ZNvGZ7KditA9TuJwrZ25eFLfTNIkrNnY6mhV5Eg"",""list!A1:C115""),3,TRUE)"),"le secteur de la tech")</f>
        <v xml:space="preserve">le secteur de la tech</v>
      </c>
      <c r="O1856" s="4" t="s">
        <v>13505</v>
      </c>
      <c r="P1856" s="4">
        <v>14</v>
      </c>
      <c r="Q1856" s="4" t="s">
        <v>39</v>
      </c>
      <c r="R1856" s="4" t="s">
        <v>9160</v>
      </c>
      <c r="S1856" s="4" t="s">
        <v>29</v>
      </c>
      <c r="T1856" s="5" t="s">
        <v>13506</v>
      </c>
      <c r="U1856" s="5" t="s">
        <v>13507</v>
      </c>
      <c r="V1856" s="6"/>
      <c r="W1856" s="6"/>
      <c r="X1856" s="6"/>
      <c r="Y1856" s="4" t="s">
        <v>13508</v>
      </c>
      <c r="Z1856" s="6"/>
      <c r="AA1856" s="5" t="s">
        <v>13509</v>
      </c>
    </row>
    <row r="1857" ht="14.25">
      <c r="B1857" s="4" t="s">
        <v>13510</v>
      </c>
      <c r="C1857" s="4" t="s">
        <v>785</v>
      </c>
      <c r="D1857" s="4" t="s">
        <v>13511</v>
      </c>
      <c r="E1857" s="4" t="s">
        <v>13512</v>
      </c>
      <c r="F1857" s="4" t="s">
        <v>7185</v>
      </c>
      <c r="G1857" s="4" t="s">
        <v>13513</v>
      </c>
      <c r="H1857" s="4" t="str">
        <f>IFERROR(__XLUDF.DUMMYFUNCTION("PROPER(REGEXREPLACE(G434,""[^A-Za-z]+ "",""""))"),"Guermonprez Storesfermetures")</f>
        <v xml:space="preserve">Guermonprez Storesfermetures</v>
      </c>
      <c r="I1857" s="5" t="s">
        <v>13514</v>
      </c>
      <c r="J1857" s="4" t="s">
        <v>846</v>
      </c>
      <c r="K1857" s="4" t="s">
        <v>9278</v>
      </c>
      <c r="L1857" s="4" t="s">
        <v>29</v>
      </c>
      <c r="M1857" s="4" t="s">
        <v>9239</v>
      </c>
      <c r="N1857" s="4" t="str">
        <f>IFERROR(__XLUDF.DUMMYFUNCTION("VLOOKUP(M434,IMPORTRANGE(""https://docs.google.com/spreadsheets/d/1opm6ZNvGZ7KditA9TuJwrZ25eFLfTNIkrNnY6mhV5Eg"",""list!A1:C115""),3,TRUE)"),"le secteur de la construction")</f>
        <v xml:space="preserve">le secteur de la construction</v>
      </c>
      <c r="O1857" s="6"/>
      <c r="P1857" s="4">
        <v>31</v>
      </c>
      <c r="Q1857" s="4" t="s">
        <v>846</v>
      </c>
      <c r="R1857" s="4" t="s">
        <v>9281</v>
      </c>
      <c r="S1857" s="4" t="s">
        <v>29</v>
      </c>
      <c r="T1857" s="5" t="s">
        <v>13515</v>
      </c>
      <c r="U1857" s="6"/>
      <c r="V1857" s="5" t="s">
        <v>13516</v>
      </c>
      <c r="W1857" s="6"/>
      <c r="X1857" s="6"/>
      <c r="Y1857" s="4" t="s">
        <v>13517</v>
      </c>
      <c r="Z1857" s="6"/>
      <c r="AA1857" s="5" t="s">
        <v>13518</v>
      </c>
    </row>
    <row r="1858" ht="14.25">
      <c r="B1858" s="4" t="s">
        <v>13519</v>
      </c>
      <c r="C1858" s="4" t="s">
        <v>785</v>
      </c>
      <c r="D1858" s="4" t="s">
        <v>13520</v>
      </c>
      <c r="E1858" s="4" t="s">
        <v>13521</v>
      </c>
      <c r="F1858" s="4" t="s">
        <v>7759</v>
      </c>
      <c r="G1858" s="4" t="s">
        <v>13522</v>
      </c>
      <c r="H1858" s="4" t="str">
        <f>IFERROR(__XLUDF.DUMMYFUNCTION("PROPER(REGEXREPLACE(G435,""[^A-Za-z]+ "",""""))"),"Rénoouest")</f>
        <v>Rénoouest</v>
      </c>
      <c r="I1858" s="5" t="s">
        <v>13523</v>
      </c>
      <c r="J1858" s="4" t="s">
        <v>1711</v>
      </c>
      <c r="K1858" s="4" t="s">
        <v>9350</v>
      </c>
      <c r="L1858" s="4" t="s">
        <v>29</v>
      </c>
      <c r="M1858" s="4" t="s">
        <v>9239</v>
      </c>
      <c r="N1858" s="4" t="str">
        <f>IFERROR(__XLUDF.DUMMYFUNCTION("VLOOKUP(M435,IMPORTRANGE(""https://docs.google.com/spreadsheets/d/1opm6ZNvGZ7KditA9TuJwrZ25eFLfTNIkrNnY6mhV5Eg"",""list!A1:C115""),3,TRUE)"),"le secteur de la construction")</f>
        <v xml:space="preserve">le secteur de la construction</v>
      </c>
      <c r="O1858" s="4" t="s">
        <v>13524</v>
      </c>
      <c r="P1858" s="4">
        <v>21</v>
      </c>
      <c r="Q1858" s="4" t="s">
        <v>13525</v>
      </c>
      <c r="R1858" s="4" t="s">
        <v>9350</v>
      </c>
      <c r="S1858" s="4" t="s">
        <v>29</v>
      </c>
      <c r="T1858" s="5" t="s">
        <v>13526</v>
      </c>
      <c r="U1858" s="6"/>
      <c r="V1858" s="6"/>
      <c r="W1858" s="6"/>
      <c r="X1858" s="6"/>
      <c r="Y1858" s="4" t="s">
        <v>13527</v>
      </c>
      <c r="Z1858" s="6"/>
      <c r="AA1858" s="5" t="s">
        <v>13528</v>
      </c>
    </row>
    <row r="1859" ht="14.25">
      <c r="B1859" s="4" t="s">
        <v>13529</v>
      </c>
      <c r="C1859" s="4" t="s">
        <v>785</v>
      </c>
      <c r="D1859" s="4" t="s">
        <v>13530</v>
      </c>
      <c r="E1859" s="4" t="s">
        <v>13531</v>
      </c>
      <c r="F1859" s="4" t="s">
        <v>8042</v>
      </c>
      <c r="G1859" s="4" t="s">
        <v>13532</v>
      </c>
      <c r="H1859" s="4" t="str">
        <f>IFERROR(__XLUDF.DUMMYFUNCTION("PROPER(REGEXREPLACE(G436,""[^A-Za-z]+ "",""""))"),"Sociacom")</f>
        <v>Sociacom</v>
      </c>
      <c r="I1859" s="5" t="s">
        <v>13533</v>
      </c>
      <c r="J1859" s="6"/>
      <c r="K1859" s="4" t="s">
        <v>9160</v>
      </c>
      <c r="L1859" s="4" t="s">
        <v>29</v>
      </c>
      <c r="M1859" s="4" t="s">
        <v>4067</v>
      </c>
      <c r="N1859" s="4" t="str">
        <f>IFERROR(__XLUDF.DUMMYFUNCTION("VLOOKUP(M436,IMPORTRANGE(""https://docs.google.com/spreadsheets/d/1opm6ZNvGZ7KditA9TuJwrZ25eFLfTNIkrNnY6mhV5Eg"",""list!A1:C115""),3,TRUE)"),"le secteur du conseil en management")</f>
        <v xml:space="preserve">le secteur du conseil en management</v>
      </c>
      <c r="O1859" s="4" t="s">
        <v>13534</v>
      </c>
      <c r="P1859" s="4">
        <v>12</v>
      </c>
      <c r="Q1859" s="4" t="s">
        <v>13535</v>
      </c>
      <c r="R1859" s="4" t="s">
        <v>9160</v>
      </c>
      <c r="S1859" s="4" t="s">
        <v>29</v>
      </c>
      <c r="T1859" s="5" t="s">
        <v>13536</v>
      </c>
      <c r="U1859" s="6"/>
      <c r="V1859" s="5" t="s">
        <v>13537</v>
      </c>
      <c r="W1859" s="6"/>
      <c r="X1859" s="6"/>
      <c r="Y1859" s="4" t="s">
        <v>13538</v>
      </c>
      <c r="Z1859" s="6"/>
      <c r="AA1859" s="5" t="s">
        <v>13539</v>
      </c>
    </row>
    <row r="1860" ht="14.25">
      <c r="B1860" s="4" t="s">
        <v>13540</v>
      </c>
      <c r="C1860" s="4" t="s">
        <v>1815</v>
      </c>
      <c r="D1860" s="4" t="s">
        <v>13541</v>
      </c>
      <c r="E1860" s="4" t="s">
        <v>13542</v>
      </c>
      <c r="F1860" s="4" t="s">
        <v>13543</v>
      </c>
      <c r="G1860" s="4" t="s">
        <v>13544</v>
      </c>
      <c r="H1860" s="4" t="str">
        <f>IFERROR(__XLUDF.DUMMYFUNCTION("PROPER(REGEXREPLACE(G437,""[^A-Za-z]+ "",""""))"),"Sémawé")</f>
        <v>Sémawé</v>
      </c>
      <c r="I1860" s="5" t="s">
        <v>13545</v>
      </c>
      <c r="J1860" s="4" t="s">
        <v>1507</v>
      </c>
      <c r="K1860" s="4" t="s">
        <v>9193</v>
      </c>
      <c r="L1860" s="4" t="s">
        <v>29</v>
      </c>
      <c r="M1860" s="4" t="s">
        <v>4067</v>
      </c>
      <c r="N1860" s="4" t="str">
        <f>IFERROR(__XLUDF.DUMMYFUNCTION("VLOOKUP(M437,IMPORTRANGE(""https://docs.google.com/spreadsheets/d/1opm6ZNvGZ7KditA9TuJwrZ25eFLfTNIkrNnY6mhV5Eg"",""list!A1:C115""),3,TRUE)"),"le secteur du conseil en management")</f>
        <v xml:space="preserve">le secteur du conseil en management</v>
      </c>
      <c r="O1860" s="4" t="s">
        <v>13546</v>
      </c>
      <c r="P1860" s="4">
        <v>11</v>
      </c>
      <c r="Q1860" s="4" t="s">
        <v>1507</v>
      </c>
      <c r="R1860" s="4" t="s">
        <v>9193</v>
      </c>
      <c r="S1860" s="4" t="s">
        <v>29</v>
      </c>
      <c r="T1860" s="5" t="s">
        <v>13547</v>
      </c>
      <c r="U1860" s="6"/>
      <c r="V1860" s="6"/>
      <c r="W1860" s="6"/>
      <c r="X1860" s="6"/>
      <c r="Y1860" s="4" t="s">
        <v>13548</v>
      </c>
      <c r="Z1860" s="6"/>
      <c r="AA1860" s="5" t="s">
        <v>13549</v>
      </c>
    </row>
    <row r="1861" ht="14.25">
      <c r="B1861" s="4" t="s">
        <v>13550</v>
      </c>
      <c r="C1861" s="4" t="s">
        <v>893</v>
      </c>
      <c r="D1861" s="4" t="s">
        <v>5071</v>
      </c>
      <c r="E1861" s="4" t="s">
        <v>13551</v>
      </c>
      <c r="F1861" s="4" t="s">
        <v>13552</v>
      </c>
      <c r="G1861" s="4" t="s">
        <v>13553</v>
      </c>
      <c r="H1861" s="4" t="str">
        <f>IFERROR(__XLUDF.DUMMYFUNCTION("PROPER(REGEXREPLACE(G438,""[^A-Za-z]+ "",""""))"),"Abelya Partners")</f>
        <v xml:space="preserve">Abelya Partners</v>
      </c>
      <c r="I1861" s="5" t="s">
        <v>13554</v>
      </c>
      <c r="J1861" s="4" t="s">
        <v>39</v>
      </c>
      <c r="K1861" s="4" t="s">
        <v>9160</v>
      </c>
      <c r="L1861" s="4" t="s">
        <v>29</v>
      </c>
      <c r="M1861" s="4" t="s">
        <v>4067</v>
      </c>
      <c r="N1861" s="4" t="str">
        <f>IFERROR(__XLUDF.DUMMYFUNCTION("VLOOKUP(M438,IMPORTRANGE(""https://docs.google.com/spreadsheets/d/1opm6ZNvGZ7KditA9TuJwrZ25eFLfTNIkrNnY6mhV5Eg"",""list!A1:C115""),3,TRUE)"),"le secteur du conseil en management")</f>
        <v xml:space="preserve">le secteur du conseil en management</v>
      </c>
      <c r="O1861" s="4" t="s">
        <v>13555</v>
      </c>
      <c r="P1861" s="4">
        <v>15</v>
      </c>
      <c r="Q1861" s="4" t="s">
        <v>39</v>
      </c>
      <c r="R1861" s="4" t="s">
        <v>9160</v>
      </c>
      <c r="S1861" s="4" t="s">
        <v>29</v>
      </c>
      <c r="T1861" s="5" t="s">
        <v>13556</v>
      </c>
      <c r="U1861" s="6"/>
      <c r="V1861" s="6"/>
      <c r="W1861" s="6"/>
      <c r="X1861" s="6"/>
      <c r="Y1861" s="4" t="s">
        <v>13557</v>
      </c>
      <c r="Z1861" s="6"/>
      <c r="AA1861" s="5" t="s">
        <v>13558</v>
      </c>
    </row>
    <row r="1862" ht="14.25">
      <c r="B1862" s="4" t="s">
        <v>13559</v>
      </c>
      <c r="C1862" s="4" t="s">
        <v>13560</v>
      </c>
      <c r="D1862" s="4" t="s">
        <v>13561</v>
      </c>
      <c r="E1862" s="4" t="s">
        <v>13562</v>
      </c>
      <c r="F1862" s="4" t="s">
        <v>365</v>
      </c>
      <c r="G1862" s="4" t="s">
        <v>13563</v>
      </c>
      <c r="H1862" s="4" t="str">
        <f>IFERROR(__XLUDF.DUMMYFUNCTION("PROPER(REGEXREPLACE(G439,""[^A-Za-z]+ "",""""))"),"2Concert")</f>
        <v>2Concert</v>
      </c>
      <c r="I1862" s="5" t="s">
        <v>13564</v>
      </c>
      <c r="J1862" s="4" t="s">
        <v>243</v>
      </c>
      <c r="K1862" s="4" t="s">
        <v>9864</v>
      </c>
      <c r="L1862" s="4" t="s">
        <v>29</v>
      </c>
      <c r="M1862" s="4" t="s">
        <v>10639</v>
      </c>
      <c r="N1862" s="4" t="str">
        <f>IFERROR(__XLUDF.DUMMYFUNCTION("VLOOKUP(M439,IMPORTRANGE(""https://docs.google.com/spreadsheets/d/1opm6ZNvGZ7KditA9TuJwrZ25eFLfTNIkrNnY6mhV5Eg"",""list!A1:C115""),3,TRUE)"),"le secteur de la communication")</f>
        <v xml:space="preserve">le secteur de la communication</v>
      </c>
      <c r="O1862" s="6"/>
      <c r="P1862" s="4">
        <v>12</v>
      </c>
      <c r="Q1862" s="4" t="s">
        <v>243</v>
      </c>
      <c r="R1862" s="4" t="s">
        <v>10098</v>
      </c>
      <c r="S1862" s="4" t="s">
        <v>29</v>
      </c>
      <c r="T1862" s="5" t="s">
        <v>13565</v>
      </c>
      <c r="U1862" s="6"/>
      <c r="V1862" s="6"/>
      <c r="W1862" s="6"/>
      <c r="X1862" s="6"/>
      <c r="Y1862" s="4" t="s">
        <v>13566</v>
      </c>
      <c r="Z1862" s="6"/>
      <c r="AA1862" s="5" t="s">
        <v>13567</v>
      </c>
    </row>
    <row r="1863" ht="14.25">
      <c r="B1863" s="4" t="s">
        <v>13568</v>
      </c>
      <c r="C1863" s="4" t="s">
        <v>6967</v>
      </c>
      <c r="D1863" s="4" t="s">
        <v>13569</v>
      </c>
      <c r="E1863" s="4" t="s">
        <v>13570</v>
      </c>
      <c r="F1863" s="4" t="s">
        <v>172</v>
      </c>
      <c r="G1863" s="4" t="s">
        <v>13571</v>
      </c>
      <c r="H1863" s="4" t="str">
        <f>IFERROR(__XLUDF.DUMMYFUNCTION("PROPER(REGEXREPLACE(G440,""[^A-Za-z]+ "",""""))"),"Profilculture")</f>
        <v>Profilculture</v>
      </c>
      <c r="I1863" s="5" t="s">
        <v>13572</v>
      </c>
      <c r="J1863" s="6"/>
      <c r="K1863" s="4" t="s">
        <v>9160</v>
      </c>
      <c r="L1863" s="4" t="s">
        <v>29</v>
      </c>
      <c r="M1863" s="4" t="s">
        <v>4067</v>
      </c>
      <c r="N1863" s="4" t="str">
        <f>IFERROR(__XLUDF.DUMMYFUNCTION("VLOOKUP(M440,IMPORTRANGE(""https://docs.google.com/spreadsheets/d/1opm6ZNvGZ7KditA9TuJwrZ25eFLfTNIkrNnY6mhV5Eg"",""list!A1:C115""),3,TRUE)"),"le secteur du conseil en management")</f>
        <v xml:space="preserve">le secteur du conseil en management</v>
      </c>
      <c r="O1863" s="4" t="s">
        <v>13573</v>
      </c>
      <c r="P1863" s="4">
        <v>27</v>
      </c>
      <c r="Q1863" s="4" t="s">
        <v>39</v>
      </c>
      <c r="R1863" s="4" t="s">
        <v>9160</v>
      </c>
      <c r="S1863" s="4" t="s">
        <v>29</v>
      </c>
      <c r="T1863" s="5" t="s">
        <v>13574</v>
      </c>
      <c r="U1863" s="6"/>
      <c r="V1863" s="6"/>
      <c r="W1863" s="6"/>
      <c r="X1863" s="6"/>
      <c r="Y1863" s="4" t="s">
        <v>13575</v>
      </c>
      <c r="Z1863" s="6"/>
      <c r="AA1863" s="5" t="s">
        <v>13576</v>
      </c>
    </row>
    <row r="1864" ht="14.25">
      <c r="B1864" s="4" t="s">
        <v>13577</v>
      </c>
      <c r="C1864" s="4" t="s">
        <v>6967</v>
      </c>
      <c r="D1864" s="4" t="s">
        <v>13578</v>
      </c>
      <c r="E1864" s="4" t="s">
        <v>13579</v>
      </c>
      <c r="F1864" s="4" t="s">
        <v>9849</v>
      </c>
      <c r="G1864" s="4" t="s">
        <v>13580</v>
      </c>
      <c r="H1864" s="4" t="str">
        <f>IFERROR(__XLUDF.DUMMYFUNCTION("PROPER(REGEXREPLACE(G441,""[^A-Za-z]+ "",""""))"),"3S2I")</f>
        <v>3S2I</v>
      </c>
      <c r="I1864" s="5" t="s">
        <v>13581</v>
      </c>
      <c r="J1864" s="4" t="s">
        <v>49</v>
      </c>
      <c r="K1864" s="4" t="s">
        <v>9251</v>
      </c>
      <c r="L1864" s="4" t="s">
        <v>29</v>
      </c>
      <c r="M1864" s="4" t="s">
        <v>2602</v>
      </c>
      <c r="N1864" s="4" t="str">
        <f>IFERROR(__XLUDF.DUMMYFUNCTION("VLOOKUP(M441,IMPORTRANGE(""https://docs.google.com/spreadsheets/d/1opm6ZNvGZ7KditA9TuJwrZ25eFLfTNIkrNnY6mhV5Eg"",""list!A1:C115""),3,TRUE)"),"le secteur de la tech")</f>
        <v xml:space="preserve">le secteur de la tech</v>
      </c>
      <c r="O1864" s="4" t="s">
        <v>13582</v>
      </c>
      <c r="P1864" s="4">
        <v>20</v>
      </c>
      <c r="Q1864" s="4" t="s">
        <v>49</v>
      </c>
      <c r="R1864" s="4" t="s">
        <v>9251</v>
      </c>
      <c r="S1864" s="4" t="s">
        <v>29</v>
      </c>
      <c r="T1864" s="5" t="s">
        <v>13583</v>
      </c>
      <c r="U1864" s="6"/>
      <c r="V1864" s="6"/>
      <c r="W1864" s="6"/>
      <c r="X1864" s="6"/>
      <c r="Y1864" s="4" t="s">
        <v>13584</v>
      </c>
      <c r="Z1864" s="6"/>
      <c r="AA1864" s="5" t="s">
        <v>13585</v>
      </c>
    </row>
    <row r="1865" ht="14.25">
      <c r="B1865" s="4" t="s">
        <v>13586</v>
      </c>
      <c r="C1865" s="4" t="s">
        <v>6967</v>
      </c>
      <c r="D1865" s="4" t="s">
        <v>13587</v>
      </c>
      <c r="E1865" s="4" t="s">
        <v>13588</v>
      </c>
      <c r="F1865" s="4" t="s">
        <v>13589</v>
      </c>
      <c r="G1865" s="4" t="s">
        <v>13590</v>
      </c>
      <c r="H1865" s="4" t="str">
        <f>IFERROR(__XLUDF.DUMMYFUNCTION("PROPER(REGEXREPLACE(G442,""[^A-Za-z]+ "",""""))"),"Flowlity")</f>
        <v>Flowlity</v>
      </c>
      <c r="I1865" s="5" t="s">
        <v>13591</v>
      </c>
      <c r="J1865" s="4" t="s">
        <v>39</v>
      </c>
      <c r="K1865" s="4" t="s">
        <v>9160</v>
      </c>
      <c r="L1865" s="4" t="s">
        <v>29</v>
      </c>
      <c r="M1865" s="4" t="s">
        <v>2602</v>
      </c>
      <c r="N1865" s="4" t="str">
        <f>IFERROR(__XLUDF.DUMMYFUNCTION("VLOOKUP(M442,IMPORTRANGE(""https://docs.google.com/spreadsheets/d/1opm6ZNvGZ7KditA9TuJwrZ25eFLfTNIkrNnY6mhV5Eg"",""list!A1:C115""),3,TRUE)"),"le secteur de la tech")</f>
        <v xml:space="preserve">le secteur de la tech</v>
      </c>
      <c r="O1865" s="4" t="s">
        <v>13592</v>
      </c>
      <c r="P1865" s="4">
        <v>22</v>
      </c>
      <c r="Q1865" s="4" t="s">
        <v>39</v>
      </c>
      <c r="R1865" s="4" t="s">
        <v>9160</v>
      </c>
      <c r="S1865" s="4" t="s">
        <v>29</v>
      </c>
      <c r="T1865" s="5" t="s">
        <v>13593</v>
      </c>
      <c r="U1865" s="5" t="s">
        <v>13594</v>
      </c>
      <c r="V1865" s="5" t="s">
        <v>9981</v>
      </c>
      <c r="W1865" s="6"/>
      <c r="X1865" s="6"/>
      <c r="Y1865" s="4" t="s">
        <v>13595</v>
      </c>
      <c r="Z1865" s="6"/>
      <c r="AA1865" s="5" t="s">
        <v>13596</v>
      </c>
    </row>
    <row r="1866" ht="14.25">
      <c r="B1866" s="4" t="s">
        <v>13597</v>
      </c>
      <c r="C1866" s="4" t="s">
        <v>893</v>
      </c>
      <c r="D1866" s="4" t="s">
        <v>13598</v>
      </c>
      <c r="E1866" s="4" t="s">
        <v>13599</v>
      </c>
      <c r="F1866" s="4" t="s">
        <v>1231</v>
      </c>
      <c r="G1866" s="4" t="s">
        <v>13600</v>
      </c>
      <c r="H1866" s="4" t="str">
        <f>IFERROR(__XLUDF.DUMMYFUNCTION("PROPER(REGEXREPLACE(G443,""[^A-Za-z]+ "",""""))"),"Mercateam")</f>
        <v>Mercateam</v>
      </c>
      <c r="I1866" s="4" t="s">
        <v>13601</v>
      </c>
      <c r="J1866" s="4" t="s">
        <v>39</v>
      </c>
      <c r="K1866" s="4" t="s">
        <v>9160</v>
      </c>
      <c r="L1866" s="4" t="s">
        <v>29</v>
      </c>
      <c r="M1866" s="4" t="s">
        <v>2602</v>
      </c>
      <c r="N1866" s="4" t="str">
        <f>IFERROR(__XLUDF.DUMMYFUNCTION("VLOOKUP(M443,IMPORTRANGE(""https://docs.google.com/spreadsheets/d/1opm6ZNvGZ7KditA9TuJwrZ25eFLfTNIkrNnY6mhV5Eg"",""list!A1:C115""),3,TRUE)"),"le secteur de la tech")</f>
        <v xml:space="preserve">le secteur de la tech</v>
      </c>
      <c r="O1866" s="4" t="s">
        <v>13602</v>
      </c>
      <c r="P1866" s="4">
        <v>48</v>
      </c>
      <c r="Q1866" s="4" t="s">
        <v>39</v>
      </c>
      <c r="R1866" s="4" t="s">
        <v>9160</v>
      </c>
      <c r="S1866" s="4" t="s">
        <v>29</v>
      </c>
      <c r="T1866" s="5" t="s">
        <v>13603</v>
      </c>
      <c r="U1866" s="6"/>
      <c r="V1866" s="6"/>
      <c r="W1866" s="6"/>
      <c r="X1866" s="6"/>
      <c r="Y1866" s="4" t="s">
        <v>13604</v>
      </c>
      <c r="Z1866" s="6"/>
      <c r="AA1866" s="5" t="s">
        <v>13605</v>
      </c>
    </row>
    <row r="1867" ht="14.25">
      <c r="B1867" s="4" t="s">
        <v>13606</v>
      </c>
      <c r="C1867" s="4" t="s">
        <v>13607</v>
      </c>
      <c r="D1867" s="4" t="s">
        <v>13608</v>
      </c>
      <c r="E1867" s="4" t="s">
        <v>13609</v>
      </c>
      <c r="F1867" s="4" t="s">
        <v>315</v>
      </c>
      <c r="G1867" s="4" t="s">
        <v>13610</v>
      </c>
      <c r="H1867" s="4" t="str">
        <f>IFERROR(__XLUDF.DUMMYFUNCTION("PROPER(REGEXREPLACE(G444,""[^A-Za-z]+ "",""""))"),"Qualibooth")</f>
        <v>Qualibooth</v>
      </c>
      <c r="I1867" s="5" t="s">
        <v>13611</v>
      </c>
      <c r="J1867" s="4" t="s">
        <v>39</v>
      </c>
      <c r="K1867" s="4" t="s">
        <v>9160</v>
      </c>
      <c r="L1867" s="4" t="s">
        <v>29</v>
      </c>
      <c r="M1867" s="4" t="s">
        <v>2602</v>
      </c>
      <c r="N1867" s="4" t="str">
        <f>IFERROR(__XLUDF.DUMMYFUNCTION("VLOOKUP(M444,IMPORTRANGE(""https://docs.google.com/spreadsheets/d/1opm6ZNvGZ7KditA9TuJwrZ25eFLfTNIkrNnY6mhV5Eg"",""list!A1:C115""),3,TRUE)"),"le secteur de la tech")</f>
        <v xml:space="preserve">le secteur de la tech</v>
      </c>
      <c r="O1867" s="6"/>
      <c r="P1867" s="4">
        <v>12</v>
      </c>
      <c r="Q1867" s="4" t="s">
        <v>13612</v>
      </c>
      <c r="R1867" s="4" t="s">
        <v>13613</v>
      </c>
      <c r="S1867" s="4" t="s">
        <v>3495</v>
      </c>
      <c r="T1867" s="5" t="s">
        <v>13614</v>
      </c>
      <c r="U1867" s="6"/>
      <c r="V1867" s="6"/>
      <c r="W1867" s="6"/>
      <c r="X1867" s="6"/>
      <c r="Y1867" s="4" t="s">
        <v>13615</v>
      </c>
      <c r="Z1867" s="6"/>
      <c r="AA1867" s="5" t="s">
        <v>13616</v>
      </c>
    </row>
    <row r="1868" ht="14.25">
      <c r="B1868" s="4" t="s">
        <v>13617</v>
      </c>
      <c r="C1868" s="4" t="s">
        <v>7877</v>
      </c>
      <c r="D1868" s="4" t="s">
        <v>13618</v>
      </c>
      <c r="E1868" s="4" t="s">
        <v>13619</v>
      </c>
      <c r="F1868" s="4" t="s">
        <v>112</v>
      </c>
      <c r="G1868" s="4" t="s">
        <v>13620</v>
      </c>
      <c r="H1868" s="4" t="str">
        <f>IFERROR(__XLUDF.DUMMYFUNCTION("PROPER(REGEXREPLACE(G445,""[^A-Za-z]+ "",""""))"),"Ambiances Tp")</f>
        <v xml:space="preserve">Ambiances Tp</v>
      </c>
      <c r="I1868" s="5" t="s">
        <v>13621</v>
      </c>
      <c r="J1868" s="4" t="s">
        <v>846</v>
      </c>
      <c r="K1868" s="4" t="s">
        <v>9278</v>
      </c>
      <c r="L1868" s="4" t="s">
        <v>29</v>
      </c>
      <c r="M1868" s="4" t="s">
        <v>9239</v>
      </c>
      <c r="N1868" s="4" t="str">
        <f>IFERROR(__XLUDF.DUMMYFUNCTION("VLOOKUP(M445,IMPORTRANGE(""https://docs.google.com/spreadsheets/d/1opm6ZNvGZ7KditA9TuJwrZ25eFLfTNIkrNnY6mhV5Eg"",""list!A1:C115""),3,TRUE)"),"le secteur de la construction")</f>
        <v xml:space="preserve">le secteur de la construction</v>
      </c>
      <c r="O1868" s="4" t="s">
        <v>13622</v>
      </c>
      <c r="P1868" s="4">
        <v>17</v>
      </c>
      <c r="Q1868" s="4" t="s">
        <v>13623</v>
      </c>
      <c r="R1868" s="4" t="s">
        <v>9281</v>
      </c>
      <c r="S1868" s="4" t="s">
        <v>29</v>
      </c>
      <c r="T1868" s="5" t="s">
        <v>13624</v>
      </c>
      <c r="U1868" s="6"/>
      <c r="V1868" s="5" t="s">
        <v>13625</v>
      </c>
      <c r="W1868" s="6"/>
      <c r="X1868" s="6"/>
      <c r="Y1868" s="4" t="s">
        <v>13626</v>
      </c>
      <c r="Z1868" s="6"/>
      <c r="AA1868" s="5" t="s">
        <v>13627</v>
      </c>
    </row>
    <row r="1869" ht="14.25">
      <c r="B1869" s="4" t="s">
        <v>13628</v>
      </c>
      <c r="C1869" s="4" t="s">
        <v>13629</v>
      </c>
      <c r="D1869" s="4" t="s">
        <v>13630</v>
      </c>
      <c r="E1869" s="4" t="s">
        <v>13631</v>
      </c>
      <c r="F1869" s="4" t="s">
        <v>2911</v>
      </c>
      <c r="G1869" s="5" t="s">
        <v>13632</v>
      </c>
      <c r="H1869" s="5" t="str">
        <f>IFERROR(__XLUDF.DUMMYFUNCTION("PROPER(REGEXREPLACE(G446,""[^A-Za-z]+ "",""""))"),"Moksa.Ai")</f>
        <v>Moksa.Ai</v>
      </c>
      <c r="I1869" s="5" t="s">
        <v>13633</v>
      </c>
      <c r="J1869" s="4" t="s">
        <v>39</v>
      </c>
      <c r="K1869" s="4" t="s">
        <v>9160</v>
      </c>
      <c r="L1869" s="4" t="s">
        <v>29</v>
      </c>
      <c r="M1869" s="4" t="s">
        <v>2602</v>
      </c>
      <c r="N1869" s="4" t="str">
        <f>IFERROR(__XLUDF.DUMMYFUNCTION("VLOOKUP(M446,IMPORTRANGE(""https://docs.google.com/spreadsheets/d/1opm6ZNvGZ7KditA9TuJwrZ25eFLfTNIkrNnY6mhV5Eg"",""list!A1:C115""),3,TRUE)"),"le secteur de la tech")</f>
        <v xml:space="preserve">le secteur de la tech</v>
      </c>
      <c r="O1869" s="4" t="s">
        <v>13634</v>
      </c>
      <c r="P1869" s="4">
        <v>19</v>
      </c>
      <c r="Q1869" s="6"/>
      <c r="R1869" s="4" t="s">
        <v>13635</v>
      </c>
      <c r="S1869" s="4" t="s">
        <v>1261</v>
      </c>
      <c r="T1869" s="5" t="s">
        <v>13636</v>
      </c>
      <c r="U1869" s="5" t="s">
        <v>13637</v>
      </c>
      <c r="V1869" s="5" t="s">
        <v>13638</v>
      </c>
      <c r="W1869" s="6"/>
      <c r="X1869" s="6"/>
      <c r="Y1869" s="4" t="s">
        <v>13639</v>
      </c>
      <c r="Z1869" s="6"/>
      <c r="AA1869" s="5" t="s">
        <v>13640</v>
      </c>
    </row>
    <row r="1870" ht="14.25">
      <c r="B1870" s="4" t="s">
        <v>13641</v>
      </c>
      <c r="C1870" s="4" t="s">
        <v>1404</v>
      </c>
      <c r="D1870" s="4" t="s">
        <v>13642</v>
      </c>
      <c r="E1870" s="4" t="s">
        <v>13643</v>
      </c>
      <c r="F1870" s="4" t="s">
        <v>13644</v>
      </c>
      <c r="G1870" s="4" t="s">
        <v>13645</v>
      </c>
      <c r="H1870" s="4" t="str">
        <f>IFERROR(__XLUDF.DUMMYFUNCTION("PROPER(REGEXREPLACE(G447,""[^A-Za-z]+ "",""""))"),"Abarnou")</f>
        <v>Abarnou</v>
      </c>
      <c r="I1870" s="5" t="s">
        <v>13646</v>
      </c>
      <c r="J1870" s="4" t="s">
        <v>13647</v>
      </c>
      <c r="K1870" s="4" t="s">
        <v>9226</v>
      </c>
      <c r="L1870" s="4" t="s">
        <v>29</v>
      </c>
      <c r="M1870" s="4" t="s">
        <v>10215</v>
      </c>
      <c r="N1870" s="4" t="str">
        <f>IFERROR(__XLUDF.DUMMYFUNCTION("VLOOKUP(M447,IMPORTRANGE(""https://docs.google.com/spreadsheets/d/1opm6ZNvGZ7KditA9TuJwrZ25eFLfTNIkrNnY6mhV5Eg"",""list!A1:C115""),3,TRUE)"),"le secteur de l'électrique et électronique")</f>
        <v xml:space="preserve">le secteur de l'électrique et électronique</v>
      </c>
      <c r="O1870" s="4" t="s">
        <v>13648</v>
      </c>
      <c r="P1870" s="4">
        <v>14</v>
      </c>
      <c r="Q1870" s="4" t="s">
        <v>13647</v>
      </c>
      <c r="R1870" s="4" t="s">
        <v>9267</v>
      </c>
      <c r="S1870" s="4" t="s">
        <v>29</v>
      </c>
      <c r="T1870" s="5" t="s">
        <v>13649</v>
      </c>
      <c r="U1870" s="5" t="s">
        <v>13650</v>
      </c>
      <c r="V1870" s="6"/>
      <c r="W1870" s="6"/>
      <c r="X1870" s="6"/>
      <c r="Y1870" s="4" t="s">
        <v>13651</v>
      </c>
      <c r="Z1870" s="6"/>
      <c r="AA1870" s="5" t="s">
        <v>13652</v>
      </c>
    </row>
    <row r="1871" ht="14.25">
      <c r="B1871" s="4" t="s">
        <v>13653</v>
      </c>
      <c r="C1871" s="4" t="s">
        <v>13654</v>
      </c>
      <c r="D1871" s="4" t="s">
        <v>13655</v>
      </c>
      <c r="E1871" s="4" t="s">
        <v>13656</v>
      </c>
      <c r="F1871" s="4" t="s">
        <v>2645</v>
      </c>
      <c r="G1871" s="4" t="s">
        <v>13657</v>
      </c>
      <c r="H1871" s="4" t="str">
        <f>IFERROR(__XLUDF.DUMMYFUNCTION("PROPER(REGEXREPLACE(G448,""[^A-Za-z]+ "",""""))"),"La Maison Française")</f>
        <v xml:space="preserve">La Maison Française</v>
      </c>
      <c r="I1871" s="5" t="s">
        <v>13658</v>
      </c>
      <c r="J1871" s="4" t="s">
        <v>295</v>
      </c>
      <c r="K1871" s="4" t="s">
        <v>9251</v>
      </c>
      <c r="L1871" s="4" t="s">
        <v>29</v>
      </c>
      <c r="M1871" s="4" t="s">
        <v>4525</v>
      </c>
      <c r="N1871" s="4" t="str">
        <f>IFERROR(__XLUDF.DUMMYFUNCTION("VLOOKUP(M448,IMPORTRANGE(""https://docs.google.com/spreadsheets/d/1opm6ZNvGZ7KditA9TuJwrZ25eFLfTNIkrNnY6mhV5Eg"",""list!A1:C115""),3,TRUE)"),"le secteur du retail")</f>
        <v xml:space="preserve">le secteur du retail</v>
      </c>
      <c r="O1871" s="6"/>
      <c r="P1871" s="4">
        <v>23</v>
      </c>
      <c r="Q1871" s="4" t="s">
        <v>1015</v>
      </c>
      <c r="R1871" s="4" t="s">
        <v>9251</v>
      </c>
      <c r="S1871" s="4" t="s">
        <v>29</v>
      </c>
      <c r="T1871" s="5" t="s">
        <v>13659</v>
      </c>
      <c r="U1871" s="6"/>
      <c r="V1871" s="6"/>
      <c r="W1871" s="6"/>
      <c r="X1871" s="6"/>
      <c r="Y1871" s="4" t="s">
        <v>2431</v>
      </c>
      <c r="Z1871" s="6"/>
      <c r="AA1871" s="5" t="s">
        <v>13660</v>
      </c>
    </row>
    <row r="1872" ht="14.25">
      <c r="B1872" s="4" t="s">
        <v>13661</v>
      </c>
      <c r="C1872" s="4" t="s">
        <v>76</v>
      </c>
      <c r="D1872" s="4" t="s">
        <v>13662</v>
      </c>
      <c r="E1872" s="4" t="s">
        <v>13663</v>
      </c>
      <c r="F1872" s="4" t="s">
        <v>112</v>
      </c>
      <c r="G1872" s="4" t="s">
        <v>13664</v>
      </c>
      <c r="H1872" s="4" t="str">
        <f>IFERROR(__XLUDF.DUMMYFUNCTION("PROPER(REGEXREPLACE(G449,""[^A-Za-z]+ "",""""))"),"Kleva Facilities Management")</f>
        <v xml:space="preserve">Kleva Facilities Management</v>
      </c>
      <c r="I1872" s="5" t="s">
        <v>13665</v>
      </c>
      <c r="J1872" s="4" t="s">
        <v>12445</v>
      </c>
      <c r="K1872" s="4" t="s">
        <v>9460</v>
      </c>
      <c r="L1872" s="4" t="s">
        <v>29</v>
      </c>
      <c r="M1872" s="4" t="s">
        <v>9239</v>
      </c>
      <c r="N1872" s="4" t="str">
        <f>IFERROR(__XLUDF.DUMMYFUNCTION("VLOOKUP(M449,IMPORTRANGE(""https://docs.google.com/spreadsheets/d/1opm6ZNvGZ7KditA9TuJwrZ25eFLfTNIkrNnY6mhV5Eg"",""list!A1:C115""),3,TRUE)"),"le secteur de la construction")</f>
        <v xml:space="preserve">le secteur de la construction</v>
      </c>
      <c r="O1872" s="4" t="s">
        <v>13666</v>
      </c>
      <c r="P1872" s="4">
        <v>12</v>
      </c>
      <c r="Q1872" s="4" t="s">
        <v>12445</v>
      </c>
      <c r="R1872" s="4" t="s">
        <v>9463</v>
      </c>
      <c r="S1872" s="4" t="s">
        <v>29</v>
      </c>
      <c r="T1872" s="5" t="s">
        <v>13667</v>
      </c>
      <c r="U1872" s="6"/>
      <c r="V1872" s="6"/>
      <c r="W1872" s="6"/>
      <c r="X1872" s="6"/>
      <c r="Y1872" s="4" t="s">
        <v>13668</v>
      </c>
      <c r="Z1872" s="6"/>
      <c r="AA1872" s="5" t="s">
        <v>13669</v>
      </c>
    </row>
    <row r="1873" ht="14.25">
      <c r="B1873" s="4" t="s">
        <v>13670</v>
      </c>
      <c r="C1873" s="4" t="s">
        <v>76</v>
      </c>
      <c r="D1873" s="4" t="s">
        <v>13671</v>
      </c>
      <c r="E1873" s="4" t="s">
        <v>13672</v>
      </c>
      <c r="F1873" s="4" t="s">
        <v>112</v>
      </c>
      <c r="G1873" s="4" t="s">
        <v>13673</v>
      </c>
      <c r="H1873" s="4" t="str">
        <f>IFERROR(__XLUDF.DUMMYFUNCTION("PROPER(REGEXREPLACE(G450,""[^A-Za-z]+ "",""""))"),"E For Ia")</f>
        <v xml:space="preserve">E For Ia</v>
      </c>
      <c r="I1873" s="5" t="s">
        <v>13674</v>
      </c>
      <c r="J1873" s="4" t="s">
        <v>83</v>
      </c>
      <c r="K1873" s="4" t="s">
        <v>9460</v>
      </c>
      <c r="L1873" s="4" t="s">
        <v>29</v>
      </c>
      <c r="M1873" s="4" t="s">
        <v>2602</v>
      </c>
      <c r="N1873" s="4" t="str">
        <f>IFERROR(__XLUDF.DUMMYFUNCTION("VLOOKUP(M450,IMPORTRANGE(""https://docs.google.com/spreadsheets/d/1opm6ZNvGZ7KditA9TuJwrZ25eFLfTNIkrNnY6mhV5Eg"",""list!A1:C115""),3,TRUE)"),"le secteur de la tech")</f>
        <v xml:space="preserve">le secteur de la tech</v>
      </c>
      <c r="O1873" s="4" t="s">
        <v>13675</v>
      </c>
      <c r="P1873" s="4">
        <v>10</v>
      </c>
      <c r="Q1873" s="4" t="s">
        <v>13676</v>
      </c>
      <c r="R1873" s="4" t="s">
        <v>9463</v>
      </c>
      <c r="S1873" s="4" t="s">
        <v>29</v>
      </c>
      <c r="T1873" s="5" t="s">
        <v>13677</v>
      </c>
      <c r="U1873" s="6"/>
      <c r="V1873" s="6"/>
      <c r="W1873" s="6"/>
      <c r="X1873" s="6"/>
      <c r="Y1873" s="4" t="s">
        <v>13678</v>
      </c>
      <c r="Z1873" s="6"/>
      <c r="AA1873" s="5" t="s">
        <v>13679</v>
      </c>
    </row>
    <row r="1874" ht="14.25">
      <c r="B1874" s="4" t="s">
        <v>13680</v>
      </c>
      <c r="C1874" s="4" t="s">
        <v>5103</v>
      </c>
      <c r="D1874" s="4" t="s">
        <v>13681</v>
      </c>
      <c r="E1874" s="4" t="s">
        <v>13682</v>
      </c>
      <c r="F1874" s="4" t="s">
        <v>13683</v>
      </c>
      <c r="G1874" s="4" t="s">
        <v>13684</v>
      </c>
      <c r="H1874" s="4" t="str">
        <f>IFERROR(__XLUDF.DUMMYFUNCTION("PROPER(REGEXREPLACE(G451,""[^A-Za-z]+ "",""""))"),"Centres De Gestion Du Stress")</f>
        <v xml:space="preserve">Centres De Gestion Du Stress</v>
      </c>
      <c r="I1874" s="5" t="s">
        <v>13685</v>
      </c>
      <c r="J1874" s="4" t="s">
        <v>1142</v>
      </c>
      <c r="K1874" s="4" t="s">
        <v>9193</v>
      </c>
      <c r="L1874" s="4" t="s">
        <v>29</v>
      </c>
      <c r="M1874" s="4" t="s">
        <v>4067</v>
      </c>
      <c r="N1874" s="4" t="str">
        <f>IFERROR(__XLUDF.DUMMYFUNCTION("VLOOKUP(M451,IMPORTRANGE(""https://docs.google.com/spreadsheets/d/1opm6ZNvGZ7KditA9TuJwrZ25eFLfTNIkrNnY6mhV5Eg"",""list!A1:C115""),3,TRUE)"),"le secteur du conseil en management")</f>
        <v xml:space="preserve">le secteur du conseil en management</v>
      </c>
      <c r="O1874" s="4" t="s">
        <v>13686</v>
      </c>
      <c r="P1874" s="4">
        <v>24</v>
      </c>
      <c r="Q1874" s="4" t="s">
        <v>1142</v>
      </c>
      <c r="R1874" s="4" t="s">
        <v>9193</v>
      </c>
      <c r="S1874" s="4" t="s">
        <v>29</v>
      </c>
      <c r="T1874" s="5" t="s">
        <v>13687</v>
      </c>
      <c r="U1874" s="6"/>
      <c r="V1874" s="6"/>
      <c r="W1874" s="6"/>
      <c r="X1874" s="6"/>
      <c r="Y1874" s="4" t="s">
        <v>13688</v>
      </c>
      <c r="Z1874" s="6"/>
      <c r="AA1874" s="5" t="s">
        <v>13689</v>
      </c>
    </row>
    <row r="1875" ht="14.25">
      <c r="B1875" s="4" t="s">
        <v>13690</v>
      </c>
      <c r="C1875" s="4" t="s">
        <v>13691</v>
      </c>
      <c r="D1875" s="4" t="s">
        <v>13692</v>
      </c>
      <c r="E1875" s="4" t="s">
        <v>13693</v>
      </c>
      <c r="F1875" s="4" t="s">
        <v>7759</v>
      </c>
      <c r="G1875" s="4" t="s">
        <v>13694</v>
      </c>
      <c r="H1875" s="4" t="str">
        <f>IFERROR(__XLUDF.DUMMYFUNCTION("PROPER(REGEXREPLACE(G452,""[^A-Za-z]+ "",""""))"),"Ls Work")</f>
        <v xml:space="preserve">Ls Work</v>
      </c>
      <c r="I1875" s="5" t="s">
        <v>13695</v>
      </c>
      <c r="J1875" s="4" t="s">
        <v>13696</v>
      </c>
      <c r="K1875" s="4" t="s">
        <v>9160</v>
      </c>
      <c r="L1875" s="4" t="s">
        <v>29</v>
      </c>
      <c r="M1875" s="4" t="s">
        <v>9239</v>
      </c>
      <c r="N1875" s="4" t="str">
        <f>IFERROR(__XLUDF.DUMMYFUNCTION("VLOOKUP(M452,IMPORTRANGE(""https://docs.google.com/spreadsheets/d/1opm6ZNvGZ7KditA9TuJwrZ25eFLfTNIkrNnY6mhV5Eg"",""list!A1:C115""),3,TRUE)"),"le secteur de la construction")</f>
        <v xml:space="preserve">le secteur de la construction</v>
      </c>
      <c r="O1875" s="4" t="s">
        <v>13697</v>
      </c>
      <c r="P1875" s="4">
        <v>12</v>
      </c>
      <c r="Q1875" s="4" t="s">
        <v>13696</v>
      </c>
      <c r="R1875" s="4" t="s">
        <v>9160</v>
      </c>
      <c r="S1875" s="4" t="s">
        <v>29</v>
      </c>
      <c r="T1875" s="5" t="s">
        <v>13698</v>
      </c>
      <c r="U1875" s="6"/>
      <c r="V1875" s="6"/>
      <c r="W1875" s="6"/>
      <c r="X1875" s="6"/>
      <c r="Y1875" s="4" t="s">
        <v>13699</v>
      </c>
      <c r="Z1875" s="6"/>
      <c r="AA1875" s="5" t="s">
        <v>13700</v>
      </c>
    </row>
    <row r="1876" ht="14.25">
      <c r="B1876" s="4" t="s">
        <v>13701</v>
      </c>
      <c r="C1876" s="4" t="s">
        <v>971</v>
      </c>
      <c r="D1876" s="4" t="s">
        <v>13702</v>
      </c>
      <c r="E1876" s="4" t="s">
        <v>13703</v>
      </c>
      <c r="F1876" s="4" t="s">
        <v>7759</v>
      </c>
      <c r="G1876" s="4" t="s">
        <v>13704</v>
      </c>
      <c r="H1876" s="4" t="str">
        <f>IFERROR(__XLUDF.DUMMYFUNCTION("PROPER(REGEXREPLACE(G453,""[^A-Za-z]+ "",""""))"),"Kemtec Engineering")</f>
        <v xml:space="preserve">Kemtec Engineering</v>
      </c>
      <c r="I1876" s="5" t="s">
        <v>13705</v>
      </c>
      <c r="J1876" s="4" t="s">
        <v>185</v>
      </c>
      <c r="K1876" s="4" t="s">
        <v>9193</v>
      </c>
      <c r="L1876" s="4" t="s">
        <v>29</v>
      </c>
      <c r="M1876" s="4" t="s">
        <v>4067</v>
      </c>
      <c r="N1876" s="4" t="str">
        <f>IFERROR(__XLUDF.DUMMYFUNCTION("VLOOKUP(M453,IMPORTRANGE(""https://docs.google.com/spreadsheets/d/1opm6ZNvGZ7KditA9TuJwrZ25eFLfTNIkrNnY6mhV5Eg"",""list!A1:C115""),3,TRUE)"),"le secteur du conseil en management")</f>
        <v xml:space="preserve">le secteur du conseil en management</v>
      </c>
      <c r="O1876" s="4" t="s">
        <v>13706</v>
      </c>
      <c r="P1876" s="4">
        <v>44</v>
      </c>
      <c r="Q1876" s="4" t="s">
        <v>2824</v>
      </c>
      <c r="R1876" s="4" t="s">
        <v>9172</v>
      </c>
      <c r="S1876" s="4" t="s">
        <v>29</v>
      </c>
      <c r="T1876" s="5" t="s">
        <v>13707</v>
      </c>
      <c r="U1876" s="6"/>
      <c r="V1876" s="6"/>
      <c r="W1876" s="6"/>
      <c r="X1876" s="6"/>
      <c r="Y1876" s="4" t="s">
        <v>13708</v>
      </c>
      <c r="Z1876" s="6"/>
      <c r="AA1876" s="5" t="s">
        <v>13709</v>
      </c>
    </row>
    <row r="1877" ht="14.25">
      <c r="B1877" s="4" t="s">
        <v>13710</v>
      </c>
      <c r="C1877" s="4" t="s">
        <v>2516</v>
      </c>
      <c r="D1877" s="4" t="s">
        <v>13711</v>
      </c>
      <c r="E1877" s="4" t="s">
        <v>13712</v>
      </c>
      <c r="F1877" s="4" t="s">
        <v>7759</v>
      </c>
      <c r="G1877" s="4" t="s">
        <v>13713</v>
      </c>
      <c r="H1877" s="4" t="str">
        <f>IFERROR(__XLUDF.DUMMYFUNCTION("PROPER(REGEXREPLACE(G454,""[^A-Za-z]+ "",""""))"),"Cbh")</f>
        <v>Cbh</v>
      </c>
      <c r="I1877" s="5" t="s">
        <v>13714</v>
      </c>
      <c r="J1877" s="4" t="s">
        <v>13715</v>
      </c>
      <c r="K1877" s="4" t="s">
        <v>9227</v>
      </c>
      <c r="L1877" s="4" t="s">
        <v>29</v>
      </c>
      <c r="M1877" s="4" t="s">
        <v>9239</v>
      </c>
      <c r="N1877" s="4" t="str">
        <f>IFERROR(__XLUDF.DUMMYFUNCTION("VLOOKUP(M454,IMPORTRANGE(""https://docs.google.com/spreadsheets/d/1opm6ZNvGZ7KditA9TuJwrZ25eFLfTNIkrNnY6mhV5Eg"",""list!A1:C115""),3,TRUE)"),"le secteur de la construction")</f>
        <v xml:space="preserve">le secteur de la construction</v>
      </c>
      <c r="O1877" s="4" t="s">
        <v>13716</v>
      </c>
      <c r="P1877" s="4">
        <v>21</v>
      </c>
      <c r="Q1877" s="4" t="s">
        <v>13715</v>
      </c>
      <c r="R1877" s="4" t="s">
        <v>9227</v>
      </c>
      <c r="S1877" s="4" t="s">
        <v>29</v>
      </c>
      <c r="T1877" s="5" t="s">
        <v>13717</v>
      </c>
      <c r="U1877" s="6"/>
      <c r="V1877" s="6"/>
      <c r="W1877" s="6"/>
      <c r="X1877" s="6"/>
      <c r="Y1877" s="4" t="s">
        <v>13718</v>
      </c>
      <c r="Z1877" s="6"/>
      <c r="AA1877" s="5" t="s">
        <v>13719</v>
      </c>
    </row>
    <row r="1878" ht="14.25">
      <c r="B1878" s="4" t="s">
        <v>13720</v>
      </c>
      <c r="C1878" s="4" t="s">
        <v>971</v>
      </c>
      <c r="D1878" s="4" t="s">
        <v>13721</v>
      </c>
      <c r="E1878" s="4" t="s">
        <v>13722</v>
      </c>
      <c r="F1878" s="4" t="s">
        <v>1950</v>
      </c>
      <c r="G1878" s="4" t="s">
        <v>13723</v>
      </c>
      <c r="H1878" s="4" t="str">
        <f>IFERROR(__XLUDF.DUMMYFUNCTION("PROPER(REGEXREPLACE(G455,""[^A-Za-z]+ "",""""))"),"Radian")</f>
        <v>Radian</v>
      </c>
      <c r="I1878" s="5" t="s">
        <v>13724</v>
      </c>
      <c r="J1878" s="4" t="s">
        <v>13725</v>
      </c>
      <c r="K1878" s="4" t="s">
        <v>9215</v>
      </c>
      <c r="L1878" s="4" t="s">
        <v>29</v>
      </c>
      <c r="M1878" s="4" t="s">
        <v>10215</v>
      </c>
      <c r="N1878" s="4" t="str">
        <f>IFERROR(__XLUDF.DUMMYFUNCTION("VLOOKUP(M455,IMPORTRANGE(""https://docs.google.com/spreadsheets/d/1opm6ZNvGZ7KditA9TuJwrZ25eFLfTNIkrNnY6mhV5Eg"",""list!A1:C115""),3,TRUE)"),"le secteur de l'électrique et électronique")</f>
        <v xml:space="preserve">le secteur de l'électrique et électronique</v>
      </c>
      <c r="O1878" s="4" t="s">
        <v>13726</v>
      </c>
      <c r="P1878" s="4">
        <v>28</v>
      </c>
      <c r="Q1878" s="4" t="s">
        <v>39</v>
      </c>
      <c r="R1878" s="4" t="s">
        <v>9160</v>
      </c>
      <c r="S1878" s="4" t="s">
        <v>29</v>
      </c>
      <c r="T1878" s="5" t="s">
        <v>13727</v>
      </c>
      <c r="U1878" s="6"/>
      <c r="V1878" s="6"/>
      <c r="W1878" s="6"/>
      <c r="X1878" s="6"/>
      <c r="Y1878" s="4" t="s">
        <v>13728</v>
      </c>
      <c r="Z1878" s="6"/>
      <c r="AA1878" s="5" t="s">
        <v>13729</v>
      </c>
    </row>
    <row r="1879" ht="14.25">
      <c r="B1879" s="4" t="s">
        <v>13730</v>
      </c>
      <c r="C1879" s="4" t="s">
        <v>2932</v>
      </c>
      <c r="D1879" s="4" t="s">
        <v>13731</v>
      </c>
      <c r="E1879" s="4" t="s">
        <v>13732</v>
      </c>
      <c r="F1879" s="4" t="s">
        <v>341</v>
      </c>
      <c r="G1879" s="4" t="s">
        <v>13733</v>
      </c>
      <c r="H1879" s="4" t="str">
        <f>IFERROR(__XLUDF.DUMMYFUNCTION("PROPER(REGEXREPLACE(G456,""[^A-Za-z]+ "",""""))"),"Galerie Downtown")</f>
        <v xml:space="preserve">Galerie Downtown</v>
      </c>
      <c r="I1879" s="5" t="s">
        <v>13734</v>
      </c>
      <c r="J1879" s="4" t="s">
        <v>39</v>
      </c>
      <c r="K1879" s="4" t="s">
        <v>9160</v>
      </c>
      <c r="L1879" s="4" t="s">
        <v>29</v>
      </c>
      <c r="M1879" s="4" t="s">
        <v>4525</v>
      </c>
      <c r="N1879" s="4" t="str">
        <f>IFERROR(__XLUDF.DUMMYFUNCTION("VLOOKUP(M456,IMPORTRANGE(""https://docs.google.com/spreadsheets/d/1opm6ZNvGZ7KditA9TuJwrZ25eFLfTNIkrNnY6mhV5Eg"",""list!A1:C115""),3,TRUE)"),"le secteur du retail")</f>
        <v xml:space="preserve">le secteur du retail</v>
      </c>
      <c r="O1879" s="4" t="s">
        <v>13735</v>
      </c>
      <c r="P1879" s="4">
        <v>10</v>
      </c>
      <c r="Q1879" s="4" t="s">
        <v>39</v>
      </c>
      <c r="R1879" s="4" t="s">
        <v>9160</v>
      </c>
      <c r="S1879" s="4" t="s">
        <v>29</v>
      </c>
      <c r="T1879" s="5" t="s">
        <v>13736</v>
      </c>
      <c r="U1879" s="6"/>
      <c r="V1879" s="6"/>
      <c r="W1879" s="6"/>
      <c r="X1879" s="6"/>
      <c r="Y1879" s="4" t="s">
        <v>13737</v>
      </c>
      <c r="Z1879" s="6"/>
      <c r="AA1879" s="5" t="s">
        <v>13738</v>
      </c>
    </row>
    <row r="1880" ht="14.25">
      <c r="B1880" s="4" t="s">
        <v>13739</v>
      </c>
      <c r="C1880" s="4" t="s">
        <v>2119</v>
      </c>
      <c r="D1880" s="4" t="s">
        <v>13740</v>
      </c>
      <c r="E1880" s="4" t="s">
        <v>13741</v>
      </c>
      <c r="F1880" s="4" t="s">
        <v>112</v>
      </c>
      <c r="G1880" s="4" t="s">
        <v>13742</v>
      </c>
      <c r="H1880" s="4" t="str">
        <f>IFERROR(__XLUDF.DUMMYFUNCTION("PROPER(REGEXREPLACE(G457,""[^A-Za-z]+ "",""""))"),"Atelier Pras")</f>
        <v xml:space="preserve">Atelier Pras</v>
      </c>
      <c r="I1880" s="5" t="s">
        <v>13743</v>
      </c>
      <c r="J1880" s="4" t="s">
        <v>4009</v>
      </c>
      <c r="K1880" s="4" t="s">
        <v>9160</v>
      </c>
      <c r="L1880" s="4" t="s">
        <v>29</v>
      </c>
      <c r="M1880" s="4" t="s">
        <v>4525</v>
      </c>
      <c r="N1880" s="4" t="str">
        <f>IFERROR(__XLUDF.DUMMYFUNCTION("VLOOKUP(M457,IMPORTRANGE(""https://docs.google.com/spreadsheets/d/1opm6ZNvGZ7KditA9TuJwrZ25eFLfTNIkrNnY6mhV5Eg"",""list!A1:C115""),3,TRUE)"),"le secteur du retail")</f>
        <v xml:space="preserve">le secteur du retail</v>
      </c>
      <c r="O1880" s="4" t="s">
        <v>13744</v>
      </c>
      <c r="P1880" s="4">
        <v>18</v>
      </c>
      <c r="Q1880" s="4" t="s">
        <v>4009</v>
      </c>
      <c r="R1880" s="4" t="s">
        <v>9160</v>
      </c>
      <c r="S1880" s="4" t="s">
        <v>29</v>
      </c>
      <c r="T1880" s="5" t="s">
        <v>13745</v>
      </c>
      <c r="U1880" s="6"/>
      <c r="V1880" s="5" t="s">
        <v>13746</v>
      </c>
      <c r="W1880" s="6"/>
      <c r="X1880" s="6"/>
      <c r="Y1880" s="4" t="s">
        <v>13747</v>
      </c>
      <c r="Z1880" s="6"/>
      <c r="AA1880" s="5" t="s">
        <v>13748</v>
      </c>
    </row>
    <row r="1881" ht="14.25">
      <c r="B1881" s="4" t="s">
        <v>13749</v>
      </c>
      <c r="C1881" s="4" t="s">
        <v>2589</v>
      </c>
      <c r="D1881" s="4" t="s">
        <v>13750</v>
      </c>
      <c r="E1881" s="4" t="s">
        <v>13751</v>
      </c>
      <c r="F1881" s="4" t="s">
        <v>13752</v>
      </c>
      <c r="G1881" s="4" t="s">
        <v>13753</v>
      </c>
      <c r="H1881" s="4" t="str">
        <f>IFERROR(__XLUDF.DUMMYFUNCTION("PROPER(REGEXREPLACE(G458,""[^A-Za-z]+ "",""""))"),"2Lp Consulting")</f>
        <v xml:space="preserve">2Lp Consulting</v>
      </c>
      <c r="I1881" s="5" t="s">
        <v>13754</v>
      </c>
      <c r="J1881" s="4" t="s">
        <v>39</v>
      </c>
      <c r="K1881" s="4" t="s">
        <v>9160</v>
      </c>
      <c r="L1881" s="4" t="s">
        <v>29</v>
      </c>
      <c r="M1881" s="4" t="s">
        <v>4067</v>
      </c>
      <c r="N1881" s="4" t="str">
        <f>IFERROR(__XLUDF.DUMMYFUNCTION("VLOOKUP(M458,IMPORTRANGE(""https://docs.google.com/spreadsheets/d/1opm6ZNvGZ7KditA9TuJwrZ25eFLfTNIkrNnY6mhV5Eg"",""list!A1:C115""),3,TRUE)"),"le secteur du conseil en management")</f>
        <v xml:space="preserve">le secteur du conseil en management</v>
      </c>
      <c r="O1881" s="6"/>
      <c r="P1881" s="4">
        <v>10</v>
      </c>
      <c r="Q1881" s="4" t="s">
        <v>39</v>
      </c>
      <c r="R1881" s="4" t="s">
        <v>9160</v>
      </c>
      <c r="S1881" s="4" t="s">
        <v>29</v>
      </c>
      <c r="T1881" s="5" t="s">
        <v>13755</v>
      </c>
      <c r="U1881" s="6"/>
      <c r="V1881" s="6"/>
      <c r="W1881" s="6"/>
      <c r="X1881" s="6"/>
      <c r="Y1881" s="4" t="s">
        <v>13756</v>
      </c>
      <c r="Z1881" s="6"/>
      <c r="AA1881" s="5" t="s">
        <v>13757</v>
      </c>
    </row>
    <row r="1882" ht="14.25">
      <c r="B1882" s="4" t="s">
        <v>13758</v>
      </c>
      <c r="C1882" s="4" t="s">
        <v>1001</v>
      </c>
      <c r="D1882" s="4" t="s">
        <v>1732</v>
      </c>
      <c r="E1882" s="4" t="s">
        <v>13759</v>
      </c>
      <c r="F1882" s="4" t="s">
        <v>13760</v>
      </c>
      <c r="G1882" s="4" t="s">
        <v>13761</v>
      </c>
      <c r="H1882" s="4" t="str">
        <f>IFERROR(__XLUDF.DUMMYFUNCTION("PROPER(REGEXREPLACE(G459,""[^A-Za-z]+ "",""""))"),"Umeo")</f>
        <v>Umeo</v>
      </c>
      <c r="I1882" s="4" t="s">
        <v>13762</v>
      </c>
      <c r="J1882" s="6"/>
      <c r="K1882" s="6"/>
      <c r="L1882" s="4" t="s">
        <v>29</v>
      </c>
      <c r="M1882" s="4" t="s">
        <v>4067</v>
      </c>
      <c r="N1882" s="4" t="str">
        <f>IFERROR(__XLUDF.DUMMYFUNCTION("VLOOKUP(M459,IMPORTRANGE(""https://docs.google.com/spreadsheets/d/1opm6ZNvGZ7KditA9TuJwrZ25eFLfTNIkrNnY6mhV5Eg"",""list!A1:C115""),3,TRUE)"),"le secteur du conseil en management")</f>
        <v xml:space="preserve">le secteur du conseil en management</v>
      </c>
      <c r="O1882" s="4" t="s">
        <v>13763</v>
      </c>
      <c r="P1882" s="4">
        <v>12</v>
      </c>
      <c r="Q1882" s="4" t="s">
        <v>185</v>
      </c>
      <c r="R1882" s="4" t="s">
        <v>9193</v>
      </c>
      <c r="S1882" s="4" t="s">
        <v>29</v>
      </c>
      <c r="T1882" s="5" t="s">
        <v>13764</v>
      </c>
      <c r="U1882" s="6"/>
      <c r="V1882" s="6"/>
      <c r="W1882" s="6"/>
      <c r="X1882" s="6"/>
      <c r="Y1882" s="4" t="s">
        <v>13765</v>
      </c>
      <c r="Z1882" s="6"/>
      <c r="AA1882" s="5" t="s">
        <v>13766</v>
      </c>
    </row>
    <row r="1883" ht="14.25">
      <c r="B1883" s="4" t="s">
        <v>13767</v>
      </c>
      <c r="C1883" s="4" t="s">
        <v>76</v>
      </c>
      <c r="D1883" s="4" t="s">
        <v>13768</v>
      </c>
      <c r="E1883" s="4" t="s">
        <v>13769</v>
      </c>
      <c r="F1883" s="4" t="s">
        <v>13770</v>
      </c>
      <c r="G1883" s="4" t="s">
        <v>13771</v>
      </c>
      <c r="H1883" s="4" t="str">
        <f>IFERROR(__XLUDF.DUMMYFUNCTION("PROPER(REGEXREPLACE(G460,""[^A-Za-z]+ "",""""))"),"Synergee")</f>
        <v>Synergee</v>
      </c>
      <c r="I1883" s="5" t="s">
        <v>13772</v>
      </c>
      <c r="J1883" s="4" t="s">
        <v>13773</v>
      </c>
      <c r="K1883" s="4" t="s">
        <v>9160</v>
      </c>
      <c r="L1883" s="4" t="s">
        <v>29</v>
      </c>
      <c r="M1883" s="4" t="s">
        <v>2602</v>
      </c>
      <c r="N1883" s="4" t="str">
        <f>IFERROR(__XLUDF.DUMMYFUNCTION("VLOOKUP(M460,IMPORTRANGE(""https://docs.google.com/spreadsheets/d/1opm6ZNvGZ7KditA9TuJwrZ25eFLfTNIkrNnY6mhV5Eg"",""list!A1:C115""),3,TRUE)"),"le secteur de la tech")</f>
        <v xml:space="preserve">le secteur de la tech</v>
      </c>
      <c r="O1883" s="4" t="s">
        <v>13774</v>
      </c>
      <c r="P1883" s="4">
        <v>39</v>
      </c>
      <c r="Q1883" s="4" t="s">
        <v>1878</v>
      </c>
      <c r="R1883" s="4" t="s">
        <v>9160</v>
      </c>
      <c r="S1883" s="4" t="s">
        <v>29</v>
      </c>
      <c r="T1883" s="5" t="s">
        <v>13775</v>
      </c>
      <c r="U1883" s="5" t="s">
        <v>13776</v>
      </c>
      <c r="V1883" s="5" t="s">
        <v>13777</v>
      </c>
      <c r="W1883" s="5" t="s">
        <v>13778</v>
      </c>
      <c r="X1883" s="6"/>
      <c r="Y1883" s="4" t="s">
        <v>13779</v>
      </c>
      <c r="Z1883" s="6"/>
      <c r="AA1883" s="5" t="s">
        <v>13780</v>
      </c>
    </row>
    <row r="1884" ht="14.25">
      <c r="B1884" s="4" t="s">
        <v>13781</v>
      </c>
      <c r="C1884" s="4" t="s">
        <v>76</v>
      </c>
      <c r="D1884" s="4" t="s">
        <v>13782</v>
      </c>
      <c r="E1884" s="4" t="s">
        <v>13783</v>
      </c>
      <c r="F1884" s="4" t="s">
        <v>112</v>
      </c>
      <c r="G1884" s="4" t="s">
        <v>13784</v>
      </c>
      <c r="H1884" s="4" t="str">
        <f>IFERROR(__XLUDF.DUMMYFUNCTION("PROPER(REGEXREPLACE(G461,""[^A-Za-z]+ "",""""))"),"Ceribois")</f>
        <v>Ceribois</v>
      </c>
      <c r="I1884" s="5" t="s">
        <v>13785</v>
      </c>
      <c r="J1884" s="6"/>
      <c r="K1884" s="4" t="s">
        <v>9193</v>
      </c>
      <c r="L1884" s="4" t="s">
        <v>29</v>
      </c>
      <c r="M1884" s="4" t="s">
        <v>4067</v>
      </c>
      <c r="N1884" s="4" t="str">
        <f>IFERROR(__XLUDF.DUMMYFUNCTION("VLOOKUP(M461,IMPORTRANGE(""https://docs.google.com/spreadsheets/d/1opm6ZNvGZ7KditA9TuJwrZ25eFLfTNIkrNnY6mhV5Eg"",""list!A1:C115""),3,TRUE)"),"le secteur du conseil en management")</f>
        <v xml:space="preserve">le secteur du conseil en management</v>
      </c>
      <c r="O1884" s="4" t="s">
        <v>13786</v>
      </c>
      <c r="P1884" s="4">
        <v>19</v>
      </c>
      <c r="Q1884" s="4" t="s">
        <v>1150</v>
      </c>
      <c r="R1884" s="4" t="s">
        <v>9193</v>
      </c>
      <c r="S1884" s="4" t="s">
        <v>29</v>
      </c>
      <c r="T1884" s="5" t="s">
        <v>13787</v>
      </c>
      <c r="U1884" s="6"/>
      <c r="V1884" s="6"/>
      <c r="W1884" s="6"/>
      <c r="X1884" s="6"/>
      <c r="Y1884" s="4" t="s">
        <v>13788</v>
      </c>
      <c r="Z1884" s="6"/>
      <c r="AA1884" s="5" t="s">
        <v>13789</v>
      </c>
    </row>
    <row r="1885" ht="14.25">
      <c r="B1885" s="4" t="s">
        <v>13790</v>
      </c>
      <c r="C1885" s="4" t="s">
        <v>76</v>
      </c>
      <c r="D1885" s="4" t="s">
        <v>13791</v>
      </c>
      <c r="E1885" s="4" t="s">
        <v>13792</v>
      </c>
      <c r="F1885" s="4" t="s">
        <v>112</v>
      </c>
      <c r="G1885" s="4" t="s">
        <v>13793</v>
      </c>
      <c r="H1885" s="4" t="str">
        <f>IFERROR(__XLUDF.DUMMYFUNCTION("PROPER(REGEXREPLACE(G462,""[^A-Za-z]+ "",""""))"),"Eco Valorisation")</f>
        <v xml:space="preserve">Eco Valorisation</v>
      </c>
      <c r="I1885" s="6"/>
      <c r="J1885" s="4" t="s">
        <v>5565</v>
      </c>
      <c r="K1885" s="4" t="s">
        <v>9798</v>
      </c>
      <c r="L1885" s="4" t="s">
        <v>29</v>
      </c>
      <c r="M1885" s="4" t="s">
        <v>9239</v>
      </c>
      <c r="N1885" s="4" t="str">
        <f>IFERROR(__XLUDF.DUMMYFUNCTION("VLOOKUP(M462,IMPORTRANGE(""https://docs.google.com/spreadsheets/d/1opm6ZNvGZ7KditA9TuJwrZ25eFLfTNIkrNnY6mhV5Eg"",""list!A1:C115""),3,TRUE)"),"le secteur de la construction")</f>
        <v xml:space="preserve">le secteur de la construction</v>
      </c>
      <c r="O1885" s="6"/>
      <c r="P1885" s="4">
        <v>21</v>
      </c>
      <c r="Q1885" s="4" t="s">
        <v>13794</v>
      </c>
      <c r="R1885" s="4" t="s">
        <v>10736</v>
      </c>
      <c r="S1885" s="4" t="s">
        <v>29</v>
      </c>
      <c r="T1885" s="5" t="s">
        <v>13795</v>
      </c>
      <c r="U1885" s="6"/>
      <c r="V1885" s="6"/>
      <c r="W1885" s="6"/>
      <c r="X1885" s="6"/>
      <c r="Y1885" s="6"/>
      <c r="Z1885" s="6"/>
      <c r="AA1885" s="5" t="s">
        <v>13796</v>
      </c>
    </row>
    <row r="1886" ht="14.25">
      <c r="B1886" s="4" t="s">
        <v>13797</v>
      </c>
      <c r="C1886" s="4" t="s">
        <v>76</v>
      </c>
      <c r="D1886" s="4" t="s">
        <v>13798</v>
      </c>
      <c r="E1886" s="4" t="s">
        <v>13799</v>
      </c>
      <c r="F1886" s="4" t="s">
        <v>13800</v>
      </c>
      <c r="G1886" s="4" t="s">
        <v>13801</v>
      </c>
      <c r="H1886" s="4" t="str">
        <f>IFERROR(__XLUDF.DUMMYFUNCTION("PROPER(REGEXREPLACE(G463,""[^A-Za-z]+ "",""""))"),"Leuville Objects")</f>
        <v xml:space="preserve">Leuville Objects</v>
      </c>
      <c r="I1886" s="5" t="s">
        <v>13802</v>
      </c>
      <c r="J1886" s="4" t="s">
        <v>39</v>
      </c>
      <c r="K1886" s="4" t="s">
        <v>9160</v>
      </c>
      <c r="L1886" s="4" t="s">
        <v>29</v>
      </c>
      <c r="M1886" s="4" t="s">
        <v>2602</v>
      </c>
      <c r="N1886" s="4" t="str">
        <f>IFERROR(__XLUDF.DUMMYFUNCTION("VLOOKUP(M463,IMPORTRANGE(""https://docs.google.com/spreadsheets/d/1opm6ZNvGZ7KditA9TuJwrZ25eFLfTNIkrNnY6mhV5Eg"",""list!A1:C115""),3,TRUE)"),"le secteur de la tech")</f>
        <v xml:space="preserve">le secteur de la tech</v>
      </c>
      <c r="O1886" s="6"/>
      <c r="P1886" s="4">
        <v>12</v>
      </c>
      <c r="Q1886" s="4" t="s">
        <v>2734</v>
      </c>
      <c r="R1886" s="4" t="s">
        <v>9160</v>
      </c>
      <c r="S1886" s="4" t="s">
        <v>29</v>
      </c>
      <c r="T1886" s="5" t="s">
        <v>13803</v>
      </c>
      <c r="U1886" s="6"/>
      <c r="V1886" s="5" t="s">
        <v>13804</v>
      </c>
      <c r="W1886" s="6"/>
      <c r="X1886" s="6"/>
      <c r="Y1886" s="4" t="s">
        <v>13805</v>
      </c>
      <c r="Z1886" s="6"/>
      <c r="AA1886" s="5" t="s">
        <v>13806</v>
      </c>
    </row>
    <row r="1887" ht="14.25">
      <c r="B1887" s="4" t="s">
        <v>13807</v>
      </c>
      <c r="C1887" s="4" t="s">
        <v>76</v>
      </c>
      <c r="D1887" s="4" t="s">
        <v>13808</v>
      </c>
      <c r="E1887" s="4" t="s">
        <v>13809</v>
      </c>
      <c r="F1887" s="4" t="s">
        <v>7759</v>
      </c>
      <c r="G1887" s="4" t="s">
        <v>13810</v>
      </c>
      <c r="H1887" s="4" t="str">
        <f>IFERROR(__XLUDF.DUMMYFUNCTION("PROPER(REGEXREPLACE(G464,""[^A-Za-z]+ "",""""))"),"Maelström Group")</f>
        <v xml:space="preserve">Maelström Group</v>
      </c>
      <c r="I1887" s="4" t="s">
        <v>13811</v>
      </c>
      <c r="J1887" s="4" t="s">
        <v>2186</v>
      </c>
      <c r="K1887" s="4" t="s">
        <v>9864</v>
      </c>
      <c r="L1887" s="4" t="s">
        <v>29</v>
      </c>
      <c r="M1887" s="4" t="s">
        <v>9239</v>
      </c>
      <c r="N1887" s="4" t="str">
        <f>IFERROR(__XLUDF.DUMMYFUNCTION("VLOOKUP(M464,IMPORTRANGE(""https://docs.google.com/spreadsheets/d/1opm6ZNvGZ7KditA9TuJwrZ25eFLfTNIkrNnY6mhV5Eg"",""list!A1:C115""),3,TRUE)"),"le secteur de la construction")</f>
        <v xml:space="preserve">le secteur de la construction</v>
      </c>
      <c r="O1887" s="6"/>
      <c r="P1887" s="4">
        <v>21</v>
      </c>
      <c r="Q1887" s="4" t="s">
        <v>13812</v>
      </c>
      <c r="R1887" s="4" t="s">
        <v>9864</v>
      </c>
      <c r="S1887" s="4" t="s">
        <v>29</v>
      </c>
      <c r="T1887" s="5" t="s">
        <v>13813</v>
      </c>
      <c r="U1887" s="6"/>
      <c r="V1887" s="5" t="s">
        <v>13814</v>
      </c>
      <c r="W1887" s="6"/>
      <c r="X1887" s="6"/>
      <c r="Y1887" s="4" t="s">
        <v>13815</v>
      </c>
      <c r="Z1887" s="6"/>
      <c r="AA1887" s="5" t="s">
        <v>13816</v>
      </c>
    </row>
    <row r="1888" ht="14.25">
      <c r="B1888" s="4" t="s">
        <v>13817</v>
      </c>
      <c r="C1888" s="4" t="s">
        <v>76</v>
      </c>
      <c r="D1888" s="4" t="s">
        <v>13818</v>
      </c>
      <c r="E1888" s="4" t="s">
        <v>13819</v>
      </c>
      <c r="F1888" s="4" t="s">
        <v>62</v>
      </c>
      <c r="G1888" s="4" t="s">
        <v>13820</v>
      </c>
      <c r="H1888" s="4" t="str">
        <f>IFERROR(__XLUDF.DUMMYFUNCTION("PROPER(REGEXREPLACE(G465,""[^A-Za-z]+ "",""""))"),"Bloom Ppm")</f>
        <v xml:space="preserve">Bloom Ppm</v>
      </c>
      <c r="I1888" s="5" t="s">
        <v>13821</v>
      </c>
      <c r="J1888" s="4" t="s">
        <v>2174</v>
      </c>
      <c r="K1888" s="4" t="s">
        <v>9193</v>
      </c>
      <c r="L1888" s="4" t="s">
        <v>29</v>
      </c>
      <c r="M1888" s="4" t="s">
        <v>4067</v>
      </c>
      <c r="N1888" s="4" t="str">
        <f>IFERROR(__XLUDF.DUMMYFUNCTION("VLOOKUP(M465,IMPORTRANGE(""https://docs.google.com/spreadsheets/d/1opm6ZNvGZ7KditA9TuJwrZ25eFLfTNIkrNnY6mhV5Eg"",""list!A1:C115""),3,TRUE)"),"le secteur du conseil en management")</f>
        <v xml:space="preserve">le secteur du conseil en management</v>
      </c>
      <c r="O1888" s="4" t="s">
        <v>13822</v>
      </c>
      <c r="P1888" s="4">
        <v>20</v>
      </c>
      <c r="Q1888" s="4" t="s">
        <v>185</v>
      </c>
      <c r="R1888" s="4" t="s">
        <v>9193</v>
      </c>
      <c r="S1888" s="4" t="s">
        <v>29</v>
      </c>
      <c r="T1888" s="5" t="s">
        <v>13823</v>
      </c>
      <c r="U1888" s="6"/>
      <c r="V1888" s="6"/>
      <c r="W1888" s="6"/>
      <c r="X1888" s="6"/>
      <c r="Y1888" s="4" t="s">
        <v>13824</v>
      </c>
      <c r="Z1888" s="6"/>
      <c r="AA1888" s="5" t="s">
        <v>13825</v>
      </c>
    </row>
    <row r="1889" ht="14.25">
      <c r="B1889" s="4" t="s">
        <v>13826</v>
      </c>
      <c r="C1889" s="4" t="s">
        <v>76</v>
      </c>
      <c r="D1889" s="4" t="s">
        <v>13827</v>
      </c>
      <c r="E1889" s="4" t="s">
        <v>13828</v>
      </c>
      <c r="F1889" s="4" t="s">
        <v>172</v>
      </c>
      <c r="G1889" s="4" t="s">
        <v>13829</v>
      </c>
      <c r="H1889" s="4" t="str">
        <f>IFERROR(__XLUDF.DUMMYFUNCTION("PROPER(REGEXREPLACE(G466,""[^A-Za-z]+ "",""""))"),"Concret")</f>
        <v>Concret</v>
      </c>
      <c r="I1889" s="5" t="s">
        <v>13830</v>
      </c>
      <c r="J1889" s="6"/>
      <c r="K1889" s="4" t="s">
        <v>9864</v>
      </c>
      <c r="L1889" s="4" t="s">
        <v>29</v>
      </c>
      <c r="M1889" s="4" t="s">
        <v>4067</v>
      </c>
      <c r="N1889" s="4" t="str">
        <f>IFERROR(__XLUDF.DUMMYFUNCTION("VLOOKUP(M466,IMPORTRANGE(""https://docs.google.com/spreadsheets/d/1opm6ZNvGZ7KditA9TuJwrZ25eFLfTNIkrNnY6mhV5Eg"",""list!A1:C115""),3,TRUE)"),"le secteur du conseil en management")</f>
        <v xml:space="preserve">le secteur du conseil en management</v>
      </c>
      <c r="O1889" s="4" t="s">
        <v>13831</v>
      </c>
      <c r="P1889" s="4">
        <v>25</v>
      </c>
      <c r="Q1889" s="4" t="s">
        <v>1723</v>
      </c>
      <c r="R1889" s="4" t="s">
        <v>9864</v>
      </c>
      <c r="S1889" s="4" t="s">
        <v>29</v>
      </c>
      <c r="T1889" s="5" t="s">
        <v>13832</v>
      </c>
      <c r="U1889" s="6"/>
      <c r="V1889" s="6"/>
      <c r="W1889" s="6"/>
      <c r="X1889" s="6"/>
      <c r="Y1889" s="4" t="s">
        <v>13833</v>
      </c>
      <c r="Z1889" s="6"/>
      <c r="AA1889" s="5" t="s">
        <v>13834</v>
      </c>
    </row>
    <row r="1890" ht="14.25">
      <c r="B1890" s="4" t="s">
        <v>13835</v>
      </c>
      <c r="C1890" s="4" t="s">
        <v>76</v>
      </c>
      <c r="D1890" s="4" t="s">
        <v>13836</v>
      </c>
      <c r="E1890" s="4" t="s">
        <v>13837</v>
      </c>
      <c r="F1890" s="4" t="s">
        <v>9456</v>
      </c>
      <c r="G1890" s="4" t="s">
        <v>13838</v>
      </c>
      <c r="H1890" s="4" t="str">
        <f>IFERROR(__XLUDF.DUMMYFUNCTION("PROPER(REGEXREPLACE(G467,""[^A-Za-z]+ "",""""))"),"Capiconsult")</f>
        <v>Capiconsult</v>
      </c>
      <c r="I1890" s="5" t="s">
        <v>13839</v>
      </c>
      <c r="J1890" s="6"/>
      <c r="K1890" s="6"/>
      <c r="L1890" s="4" t="s">
        <v>29</v>
      </c>
      <c r="M1890" s="4" t="s">
        <v>4067</v>
      </c>
      <c r="N1890" s="4" t="str">
        <f>IFERROR(__XLUDF.DUMMYFUNCTION("VLOOKUP(M467,IMPORTRANGE(""https://docs.google.com/spreadsheets/d/1opm6ZNvGZ7KditA9TuJwrZ25eFLfTNIkrNnY6mhV5Eg"",""list!A1:C115""),3,TRUE)"),"le secteur du conseil en management")</f>
        <v xml:space="preserve">le secteur du conseil en management</v>
      </c>
      <c r="O1890" s="4" t="s">
        <v>13840</v>
      </c>
      <c r="P1890" s="4">
        <v>22</v>
      </c>
      <c r="Q1890" s="4" t="s">
        <v>13841</v>
      </c>
      <c r="R1890" s="4" t="s">
        <v>10390</v>
      </c>
      <c r="S1890" s="4" t="s">
        <v>29</v>
      </c>
      <c r="T1890" s="5" t="s">
        <v>13842</v>
      </c>
      <c r="U1890" s="6"/>
      <c r="V1890" s="5" t="s">
        <v>13843</v>
      </c>
      <c r="W1890" s="6"/>
      <c r="X1890" s="6"/>
      <c r="Y1890" s="4" t="s">
        <v>13844</v>
      </c>
      <c r="Z1890" s="6"/>
      <c r="AA1890" s="5" t="s">
        <v>13845</v>
      </c>
    </row>
    <row r="1891" ht="14.25">
      <c r="B1891" s="4" t="s">
        <v>13846</v>
      </c>
      <c r="C1891" s="4" t="s">
        <v>76</v>
      </c>
      <c r="D1891" s="4" t="s">
        <v>13847</v>
      </c>
      <c r="E1891" s="4" t="s">
        <v>13848</v>
      </c>
      <c r="F1891" s="4" t="s">
        <v>13849</v>
      </c>
      <c r="G1891" s="4" t="s">
        <v>13850</v>
      </c>
      <c r="H1891" s="4" t="str">
        <f>IFERROR(__XLUDF.DUMMYFUNCTION("PROPER(REGEXREPLACE(G468,""[^A-Za-z]+ "",""""))"),"Air Formation")</f>
        <v xml:space="preserve">Air Formation</v>
      </c>
      <c r="I1891" s="5" t="s">
        <v>13851</v>
      </c>
      <c r="J1891" s="4" t="s">
        <v>13852</v>
      </c>
      <c r="K1891" s="4" t="s">
        <v>9460</v>
      </c>
      <c r="L1891" s="4" t="s">
        <v>29</v>
      </c>
      <c r="M1891" s="4" t="s">
        <v>5048</v>
      </c>
      <c r="N1891" s="4" t="str">
        <f>IFERROR(__XLUDF.DUMMYFUNCTION("VLOOKUP(M468,IMPORTRANGE(""https://docs.google.com/spreadsheets/d/1opm6ZNvGZ7KditA9TuJwrZ25eFLfTNIkrNnY6mhV5Eg"",""list!A1:C115""),3,TRUE)"),"le secteur de la formation pro et du coaching")</f>
        <v xml:space="preserve">le secteur de la formation pro et du coaching</v>
      </c>
      <c r="O1891" s="4" t="s">
        <v>13853</v>
      </c>
      <c r="P1891" s="4">
        <v>39</v>
      </c>
      <c r="Q1891" s="4" t="s">
        <v>13852</v>
      </c>
      <c r="R1891" s="4" t="s">
        <v>9463</v>
      </c>
      <c r="S1891" s="4" t="s">
        <v>29</v>
      </c>
      <c r="T1891" s="5" t="s">
        <v>13854</v>
      </c>
      <c r="U1891" s="5" t="s">
        <v>13855</v>
      </c>
      <c r="V1891" s="5" t="s">
        <v>13856</v>
      </c>
      <c r="W1891" s="6"/>
      <c r="X1891" s="6"/>
      <c r="Y1891" s="4" t="s">
        <v>13857</v>
      </c>
      <c r="Z1891" s="6"/>
      <c r="AA1891" s="5" t="s">
        <v>13858</v>
      </c>
    </row>
    <row r="1892" ht="14.25">
      <c r="B1892" s="4" t="s">
        <v>13859</v>
      </c>
      <c r="C1892" s="4" t="s">
        <v>76</v>
      </c>
      <c r="D1892" s="4" t="s">
        <v>13860</v>
      </c>
      <c r="E1892" s="4" t="s">
        <v>13861</v>
      </c>
      <c r="F1892" s="4" t="s">
        <v>13862</v>
      </c>
      <c r="G1892" s="4" t="s">
        <v>13863</v>
      </c>
      <c r="H1892" s="4" t="str">
        <f>IFERROR(__XLUDF.DUMMYFUNCTION("PROPER(REGEXREPLACE(G469,""[^A-Za-z]+ "",""""))"),"Clarity")</f>
        <v>Clarity</v>
      </c>
      <c r="I1892" s="4" t="s">
        <v>13864</v>
      </c>
      <c r="J1892" s="4" t="s">
        <v>39</v>
      </c>
      <c r="K1892" s="4" t="s">
        <v>9160</v>
      </c>
      <c r="L1892" s="4" t="s">
        <v>29</v>
      </c>
      <c r="M1892" s="4" t="s">
        <v>2602</v>
      </c>
      <c r="N1892" s="4" t="str">
        <f>IFERROR(__XLUDF.DUMMYFUNCTION("VLOOKUP(M469,IMPORTRANGE(""https://docs.google.com/spreadsheets/d/1opm6ZNvGZ7KditA9TuJwrZ25eFLfTNIkrNnY6mhV5Eg"",""list!A1:C115""),3,TRUE)"),"le secteur de la tech")</f>
        <v xml:space="preserve">le secteur de la tech</v>
      </c>
      <c r="O1892" s="4" t="s">
        <v>13865</v>
      </c>
      <c r="P1892" s="4">
        <v>23</v>
      </c>
      <c r="Q1892" s="4" t="s">
        <v>39</v>
      </c>
      <c r="R1892" s="4" t="s">
        <v>9160</v>
      </c>
      <c r="S1892" s="4" t="s">
        <v>29</v>
      </c>
      <c r="T1892" s="5" t="s">
        <v>13866</v>
      </c>
      <c r="U1892" s="6"/>
      <c r="V1892" s="6"/>
      <c r="W1892" s="6"/>
      <c r="X1892" s="6"/>
      <c r="Y1892" s="4" t="s">
        <v>13867</v>
      </c>
      <c r="Z1892" s="6"/>
      <c r="AA1892" s="5" t="s">
        <v>13868</v>
      </c>
    </row>
    <row r="1893" ht="14.25">
      <c r="B1893" s="4" t="s">
        <v>13869</v>
      </c>
      <c r="C1893" s="4" t="s">
        <v>76</v>
      </c>
      <c r="D1893" s="4" t="s">
        <v>13870</v>
      </c>
      <c r="E1893" s="4" t="s">
        <v>13871</v>
      </c>
      <c r="F1893" s="4" t="s">
        <v>172</v>
      </c>
      <c r="G1893" s="4" t="s">
        <v>13872</v>
      </c>
      <c r="H1893" s="4" t="str">
        <f>IFERROR(__XLUDF.DUMMYFUNCTION("PROPER(REGEXREPLACE(G470,""[^A-Za-z]+ "",""""))"),"Lizee Sas")</f>
        <v xml:space="preserve">Lizee Sas</v>
      </c>
      <c r="I1893" s="5" t="s">
        <v>13873</v>
      </c>
      <c r="J1893" s="4" t="s">
        <v>49</v>
      </c>
      <c r="K1893" s="4" t="s">
        <v>9251</v>
      </c>
      <c r="L1893" s="4" t="s">
        <v>29</v>
      </c>
      <c r="M1893" s="4" t="s">
        <v>9239</v>
      </c>
      <c r="N1893" s="4" t="str">
        <f>IFERROR(__XLUDF.DUMMYFUNCTION("VLOOKUP(M470,IMPORTRANGE(""https://docs.google.com/spreadsheets/d/1opm6ZNvGZ7KditA9TuJwrZ25eFLfTNIkrNnY6mhV5Eg"",""list!A1:C115""),3,TRUE)"),"le secteur de la construction")</f>
        <v xml:space="preserve">le secteur de la construction</v>
      </c>
      <c r="O1893" s="4" t="s">
        <v>13874</v>
      </c>
      <c r="P1893" s="4">
        <v>15</v>
      </c>
      <c r="Q1893" s="4" t="s">
        <v>13875</v>
      </c>
      <c r="R1893" s="4" t="s">
        <v>9251</v>
      </c>
      <c r="S1893" s="4" t="s">
        <v>29</v>
      </c>
      <c r="T1893" s="5" t="s">
        <v>13876</v>
      </c>
      <c r="U1893" s="6"/>
      <c r="V1893" s="5" t="s">
        <v>13877</v>
      </c>
      <c r="W1893" s="6"/>
      <c r="X1893" s="6"/>
      <c r="Y1893" s="4" t="s">
        <v>13878</v>
      </c>
      <c r="Z1893" s="6"/>
      <c r="AA1893" s="5" t="s">
        <v>13879</v>
      </c>
    </row>
    <row r="1894" ht="14.25">
      <c r="B1894" s="4" t="s">
        <v>13880</v>
      </c>
      <c r="C1894" s="4" t="s">
        <v>76</v>
      </c>
      <c r="D1894" s="4" t="s">
        <v>13881</v>
      </c>
      <c r="E1894" s="4" t="s">
        <v>13882</v>
      </c>
      <c r="F1894" s="4" t="s">
        <v>13883</v>
      </c>
      <c r="G1894" s="4" t="s">
        <v>13884</v>
      </c>
      <c r="H1894" s="4" t="str">
        <f>IFERROR(__XLUDF.DUMMYFUNCTION("PROPER(REGEXREPLACE(G471,""[^A-Za-z]+ "",""""))"),"Ttc Testing")</f>
        <v xml:space="preserve">Ttc Testing</v>
      </c>
      <c r="I1894" s="5" t="s">
        <v>13885</v>
      </c>
      <c r="J1894" s="6"/>
      <c r="K1894" s="4" t="s">
        <v>9160</v>
      </c>
      <c r="L1894" s="4" t="s">
        <v>29</v>
      </c>
      <c r="M1894" s="4" t="s">
        <v>2602</v>
      </c>
      <c r="N1894" s="4" t="str">
        <f>IFERROR(__XLUDF.DUMMYFUNCTION("VLOOKUP(M471,IMPORTRANGE(""https://docs.google.com/spreadsheets/d/1opm6ZNvGZ7KditA9TuJwrZ25eFLfTNIkrNnY6mhV5Eg"",""list!A1:C115""),3,TRUE)"),"le secteur de la tech")</f>
        <v xml:space="preserve">le secteur de la tech</v>
      </c>
      <c r="O1894" s="4" t="s">
        <v>13886</v>
      </c>
      <c r="P1894" s="4">
        <v>27</v>
      </c>
      <c r="Q1894" s="4" t="s">
        <v>1419</v>
      </c>
      <c r="R1894" s="4" t="s">
        <v>9160</v>
      </c>
      <c r="S1894" s="4" t="s">
        <v>29</v>
      </c>
      <c r="T1894" s="5" t="s">
        <v>13887</v>
      </c>
      <c r="U1894" s="6"/>
      <c r="V1894" s="6"/>
      <c r="W1894" s="6"/>
      <c r="X1894" s="6"/>
      <c r="Y1894" s="4" t="s">
        <v>13888</v>
      </c>
      <c r="Z1894" s="6"/>
      <c r="AA1894" s="5" t="s">
        <v>13889</v>
      </c>
    </row>
    <row r="1895" ht="14.25">
      <c r="B1895" s="4" t="s">
        <v>13890</v>
      </c>
      <c r="C1895" s="4" t="s">
        <v>76</v>
      </c>
      <c r="D1895" s="4" t="s">
        <v>13891</v>
      </c>
      <c r="E1895" s="4" t="s">
        <v>13892</v>
      </c>
      <c r="F1895" s="4" t="s">
        <v>120</v>
      </c>
      <c r="G1895" s="4" t="s">
        <v>13893</v>
      </c>
      <c r="H1895" s="4" t="str">
        <f>IFERROR(__XLUDF.DUMMYFUNCTION("PROPER(REGEXREPLACE(G472,""[^A-Za-z]+ "",""""))"),"Wake Me Up")</f>
        <v xml:space="preserve">Wake Me Up</v>
      </c>
      <c r="I1895" s="5" t="s">
        <v>13894</v>
      </c>
      <c r="J1895" s="4" t="s">
        <v>39</v>
      </c>
      <c r="K1895" s="4" t="s">
        <v>9160</v>
      </c>
      <c r="L1895" s="4" t="s">
        <v>29</v>
      </c>
      <c r="M1895" s="4" t="s">
        <v>9161</v>
      </c>
      <c r="N1895" s="4" t="str">
        <f>IFERROR(__XLUDF.DUMMYFUNCTION("VLOOKUP(M472,IMPORTRANGE(""https://docs.google.com/spreadsheets/d/1opm6ZNvGZ7KditA9TuJwrZ25eFLfTNIkrNnY6mhV5Eg"",""list!A1:C115""),3,TRUE)"),"le secteur du marketing")</f>
        <v xml:space="preserve">le secteur du marketing</v>
      </c>
      <c r="O1895" s="4" t="s">
        <v>13895</v>
      </c>
      <c r="P1895" s="4">
        <v>15</v>
      </c>
      <c r="Q1895" s="4" t="s">
        <v>39</v>
      </c>
      <c r="R1895" s="4" t="s">
        <v>9160</v>
      </c>
      <c r="S1895" s="4" t="s">
        <v>29</v>
      </c>
      <c r="T1895" s="5" t="s">
        <v>13896</v>
      </c>
      <c r="U1895" s="5" t="s">
        <v>13897</v>
      </c>
      <c r="V1895" s="5" t="s">
        <v>13898</v>
      </c>
      <c r="W1895" s="6"/>
      <c r="X1895" s="6"/>
      <c r="Y1895" s="4" t="s">
        <v>13899</v>
      </c>
      <c r="Z1895" s="6"/>
      <c r="AA1895" s="5" t="s">
        <v>13900</v>
      </c>
    </row>
    <row r="1896" ht="14.25">
      <c r="B1896" s="4" t="s">
        <v>13901</v>
      </c>
      <c r="C1896" s="4" t="s">
        <v>13902</v>
      </c>
      <c r="D1896" s="4" t="s">
        <v>13903</v>
      </c>
      <c r="E1896" s="4" t="s">
        <v>13904</v>
      </c>
      <c r="F1896" s="4" t="s">
        <v>13905</v>
      </c>
      <c r="G1896" s="4" t="s">
        <v>13906</v>
      </c>
      <c r="H1896" s="4" t="str">
        <f>IFERROR(__XLUDF.DUMMYFUNCTION("PROPER(REGEXREPLACE(G473,""[^A-Za-z]+ "",""""))"),"Glaz")</f>
        <v>Glaz</v>
      </c>
      <c r="I1896" s="5" t="s">
        <v>13907</v>
      </c>
      <c r="J1896" s="4" t="s">
        <v>1589</v>
      </c>
      <c r="K1896" s="4" t="s">
        <v>9227</v>
      </c>
      <c r="L1896" s="4" t="s">
        <v>29</v>
      </c>
      <c r="M1896" s="4" t="s">
        <v>4067</v>
      </c>
      <c r="N1896" s="4" t="str">
        <f>IFERROR(__XLUDF.DUMMYFUNCTION("VLOOKUP(M473,IMPORTRANGE(""https://docs.google.com/spreadsheets/d/1opm6ZNvGZ7KditA9TuJwrZ25eFLfTNIkrNnY6mhV5Eg"",""list!A1:C115""),3,TRUE)"),"le secteur du conseil en management")</f>
        <v xml:space="preserve">le secteur du conseil en management</v>
      </c>
      <c r="O1896" s="6"/>
      <c r="P1896" s="4">
        <v>20</v>
      </c>
      <c r="Q1896" s="4" t="s">
        <v>13908</v>
      </c>
      <c r="R1896" s="4" t="s">
        <v>10973</v>
      </c>
      <c r="S1896" s="4" t="s">
        <v>29</v>
      </c>
      <c r="T1896" s="5" t="s">
        <v>13909</v>
      </c>
      <c r="U1896" s="6"/>
      <c r="V1896" s="5" t="s">
        <v>13910</v>
      </c>
      <c r="W1896" s="6"/>
      <c r="X1896" s="6"/>
      <c r="Y1896" s="4" t="s">
        <v>13911</v>
      </c>
      <c r="Z1896" s="6"/>
      <c r="AA1896" s="5" t="s">
        <v>13912</v>
      </c>
    </row>
    <row r="1897" ht="14.25">
      <c r="B1897" s="4" t="s">
        <v>13913</v>
      </c>
      <c r="C1897" s="4" t="s">
        <v>76</v>
      </c>
      <c r="D1897" s="4" t="s">
        <v>13914</v>
      </c>
      <c r="E1897" s="4" t="s">
        <v>13915</v>
      </c>
      <c r="F1897" s="4" t="s">
        <v>13916</v>
      </c>
      <c r="G1897" s="4" t="s">
        <v>13917</v>
      </c>
      <c r="H1897" s="4" t="str">
        <f>IFERROR(__XLUDF.DUMMYFUNCTION("PROPER(REGEXREPLACE(G474,""[^A-Za-z]+ "",""""))"),"Benett Portage")</f>
        <v xml:space="preserve">Benett Portage</v>
      </c>
      <c r="I1897" s="5" t="s">
        <v>13918</v>
      </c>
      <c r="J1897" s="4" t="s">
        <v>651</v>
      </c>
      <c r="K1897" s="4" t="s">
        <v>9215</v>
      </c>
      <c r="L1897" s="4" t="s">
        <v>29</v>
      </c>
      <c r="M1897" s="4" t="s">
        <v>4067</v>
      </c>
      <c r="N1897" s="4" t="str">
        <f>IFERROR(__XLUDF.DUMMYFUNCTION("VLOOKUP(M474,IMPORTRANGE(""https://docs.google.com/spreadsheets/d/1opm6ZNvGZ7KditA9TuJwrZ25eFLfTNIkrNnY6mhV5Eg"",""list!A1:C115""),3,TRUE)"),"le secteur du conseil en management")</f>
        <v xml:space="preserve">le secteur du conseil en management</v>
      </c>
      <c r="O1897" s="4" t="s">
        <v>13919</v>
      </c>
      <c r="P1897" s="4">
        <v>15</v>
      </c>
      <c r="Q1897" s="4" t="s">
        <v>651</v>
      </c>
      <c r="R1897" s="4" t="s">
        <v>12581</v>
      </c>
      <c r="S1897" s="4" t="s">
        <v>29</v>
      </c>
      <c r="T1897" s="5" t="s">
        <v>13920</v>
      </c>
      <c r="U1897" s="5" t="s">
        <v>13921</v>
      </c>
      <c r="V1897" s="5" t="s">
        <v>13922</v>
      </c>
      <c r="W1897" s="6"/>
      <c r="X1897" s="6"/>
      <c r="Y1897" s="4" t="s">
        <v>13923</v>
      </c>
      <c r="Z1897" s="6"/>
      <c r="AA1897" s="5" t="s">
        <v>13924</v>
      </c>
    </row>
    <row r="1898" ht="14.25">
      <c r="B1898" s="4" t="s">
        <v>13925</v>
      </c>
      <c r="C1898" s="4" t="s">
        <v>76</v>
      </c>
      <c r="D1898" s="4" t="s">
        <v>13926</v>
      </c>
      <c r="E1898" s="4" t="s">
        <v>13927</v>
      </c>
      <c r="F1898" s="4" t="s">
        <v>112</v>
      </c>
      <c r="G1898" s="4" t="s">
        <v>13928</v>
      </c>
      <c r="H1898" s="4" t="str">
        <f>IFERROR(__XLUDF.DUMMYFUNCTION("PROPER(REGEXREPLACE(G475,""[^A-Za-z]+ "",""""))"),"Bmpb France")</f>
        <v xml:space="preserve">Bmpb France</v>
      </c>
      <c r="I1898" s="5" t="s">
        <v>13929</v>
      </c>
      <c r="J1898" s="6"/>
      <c r="K1898" s="6"/>
      <c r="L1898" s="4" t="s">
        <v>29</v>
      </c>
      <c r="M1898" s="4" t="s">
        <v>4067</v>
      </c>
      <c r="N1898" s="4" t="str">
        <f>IFERROR(__XLUDF.DUMMYFUNCTION("VLOOKUP(M475,IMPORTRANGE(""https://docs.google.com/spreadsheets/d/1opm6ZNvGZ7KditA9TuJwrZ25eFLfTNIkrNnY6mhV5Eg"",""list!A1:C115""),3,TRUE)"),"le secteur du conseil en management")</f>
        <v xml:space="preserve">le secteur du conseil en management</v>
      </c>
      <c r="O1898" s="4" t="s">
        <v>13930</v>
      </c>
      <c r="P1898" s="4">
        <v>10</v>
      </c>
      <c r="Q1898" s="4" t="s">
        <v>13931</v>
      </c>
      <c r="R1898" s="4" t="s">
        <v>9172</v>
      </c>
      <c r="S1898" s="4" t="s">
        <v>29</v>
      </c>
      <c r="T1898" s="5" t="s">
        <v>13932</v>
      </c>
      <c r="U1898" s="6"/>
      <c r="V1898" s="6"/>
      <c r="W1898" s="6"/>
      <c r="X1898" s="6"/>
      <c r="Y1898" s="4" t="s">
        <v>13933</v>
      </c>
      <c r="Z1898" s="6"/>
      <c r="AA1898" s="5" t="s">
        <v>13934</v>
      </c>
    </row>
    <row r="1899" ht="14.25">
      <c r="B1899" s="4" t="s">
        <v>13935</v>
      </c>
      <c r="C1899" s="4" t="s">
        <v>13936</v>
      </c>
      <c r="D1899" s="4" t="s">
        <v>13937</v>
      </c>
      <c r="E1899" s="4" t="s">
        <v>13938</v>
      </c>
      <c r="F1899" s="4" t="s">
        <v>164</v>
      </c>
      <c r="G1899" s="4" t="s">
        <v>13939</v>
      </c>
      <c r="H1899" s="4" t="str">
        <f>IFERROR(__XLUDF.DUMMYFUNCTION("PROPER(REGEXREPLACE(G476,""[^A-Za-z]+ "",""""))"),"Egalitla Page")</f>
        <v xml:space="preserve">Egalitla Page</v>
      </c>
      <c r="I1899" s="5" t="s">
        <v>13940</v>
      </c>
      <c r="J1899" s="4" t="s">
        <v>482</v>
      </c>
      <c r="K1899" s="4" t="s">
        <v>9460</v>
      </c>
      <c r="L1899" s="4" t="s">
        <v>29</v>
      </c>
      <c r="M1899" s="4" t="s">
        <v>4067</v>
      </c>
      <c r="N1899" s="4" t="str">
        <f>IFERROR(__XLUDF.DUMMYFUNCTION("VLOOKUP(M476,IMPORTRANGE(""https://docs.google.com/spreadsheets/d/1opm6ZNvGZ7KditA9TuJwrZ25eFLfTNIkrNnY6mhV5Eg"",""list!A1:C115""),3,TRUE)"),"le secteur du conseil en management")</f>
        <v xml:space="preserve">le secteur du conseil en management</v>
      </c>
      <c r="O1899" s="4" t="s">
        <v>13941</v>
      </c>
      <c r="P1899" s="4">
        <v>18</v>
      </c>
      <c r="Q1899" s="4" t="s">
        <v>482</v>
      </c>
      <c r="R1899" s="4" t="s">
        <v>9460</v>
      </c>
      <c r="S1899" s="4" t="s">
        <v>29</v>
      </c>
      <c r="T1899" s="5" t="s">
        <v>13942</v>
      </c>
      <c r="U1899" s="6"/>
      <c r="V1899" s="6"/>
      <c r="W1899" s="6"/>
      <c r="X1899" s="6"/>
      <c r="Y1899" s="4" t="s">
        <v>13943</v>
      </c>
      <c r="Z1899" s="6"/>
      <c r="AA1899" s="5" t="s">
        <v>13944</v>
      </c>
    </row>
    <row r="1900" ht="14.25">
      <c r="B1900" s="4" t="s">
        <v>13945</v>
      </c>
      <c r="C1900" s="4" t="s">
        <v>13936</v>
      </c>
      <c r="D1900" s="4" t="s">
        <v>13946</v>
      </c>
      <c r="E1900" s="4" t="s">
        <v>13947</v>
      </c>
      <c r="F1900" s="4" t="s">
        <v>13948</v>
      </c>
      <c r="G1900" s="4" t="s">
        <v>13949</v>
      </c>
      <c r="H1900" s="4" t="str">
        <f>IFERROR(__XLUDF.DUMMYFUNCTION("PROPER(REGEXREPLACE(G477,""[^A-Za-z]+ "",""""))"),"Copleni")</f>
        <v>Copleni</v>
      </c>
      <c r="I1900" s="5" t="s">
        <v>13950</v>
      </c>
      <c r="J1900" s="4" t="s">
        <v>39</v>
      </c>
      <c r="K1900" s="4" t="s">
        <v>9160</v>
      </c>
      <c r="L1900" s="4" t="s">
        <v>29</v>
      </c>
      <c r="M1900" s="4" t="s">
        <v>5048</v>
      </c>
      <c r="N1900" s="4" t="str">
        <f>IFERROR(__XLUDF.DUMMYFUNCTION("VLOOKUP(M477,IMPORTRANGE(""https://docs.google.com/spreadsheets/d/1opm6ZNvGZ7KditA9TuJwrZ25eFLfTNIkrNnY6mhV5Eg"",""list!A1:C115""),3,TRUE)"),"le secteur de la formation pro et du coaching")</f>
        <v xml:space="preserve">le secteur de la formation pro et du coaching</v>
      </c>
      <c r="O1900" s="4" t="s">
        <v>13951</v>
      </c>
      <c r="P1900" s="4">
        <v>12</v>
      </c>
      <c r="Q1900" s="4" t="s">
        <v>13952</v>
      </c>
      <c r="R1900" s="4" t="s">
        <v>9160</v>
      </c>
      <c r="S1900" s="4" t="s">
        <v>29</v>
      </c>
      <c r="T1900" s="5" t="s">
        <v>13953</v>
      </c>
      <c r="U1900" s="6"/>
      <c r="V1900" s="6"/>
      <c r="W1900" s="6"/>
      <c r="X1900" s="6"/>
      <c r="Y1900" s="4" t="s">
        <v>13954</v>
      </c>
      <c r="Z1900" s="6"/>
      <c r="AA1900" s="5" t="s">
        <v>13955</v>
      </c>
    </row>
    <row r="1901" ht="14.25">
      <c r="B1901" s="4" t="s">
        <v>13956</v>
      </c>
      <c r="C1901" s="4" t="s">
        <v>4188</v>
      </c>
      <c r="D1901" s="4" t="s">
        <v>13957</v>
      </c>
      <c r="E1901" s="4" t="s">
        <v>13958</v>
      </c>
      <c r="F1901" s="4" t="s">
        <v>112</v>
      </c>
      <c r="G1901" s="4" t="s">
        <v>13959</v>
      </c>
      <c r="H1901" s="4" t="str">
        <f>IFERROR(__XLUDF.DUMMYFUNCTION("PROPER(REGEXREPLACE(G478,""[^A-Za-z]+ "",""""))"),"Kairios")</f>
        <v>Kairios</v>
      </c>
      <c r="I1901" s="5" t="s">
        <v>13960</v>
      </c>
      <c r="J1901" s="4" t="s">
        <v>185</v>
      </c>
      <c r="K1901" s="4" t="s">
        <v>9193</v>
      </c>
      <c r="L1901" s="4" t="s">
        <v>29</v>
      </c>
      <c r="M1901" s="4" t="s">
        <v>2602</v>
      </c>
      <c r="N1901" s="4" t="str">
        <f>IFERROR(__XLUDF.DUMMYFUNCTION("VLOOKUP(M478,IMPORTRANGE(""https://docs.google.com/spreadsheets/d/1opm6ZNvGZ7KditA9TuJwrZ25eFLfTNIkrNnY6mhV5Eg"",""list!A1:C115""),3,TRUE)"),"le secteur de la tech")</f>
        <v xml:space="preserve">le secteur de la tech</v>
      </c>
      <c r="O1901" s="4" t="s">
        <v>13961</v>
      </c>
      <c r="P1901" s="4">
        <v>11</v>
      </c>
      <c r="Q1901" s="4" t="s">
        <v>185</v>
      </c>
      <c r="R1901" s="4" t="s">
        <v>9193</v>
      </c>
      <c r="S1901" s="4" t="s">
        <v>29</v>
      </c>
      <c r="T1901" s="5" t="s">
        <v>13962</v>
      </c>
      <c r="U1901" s="6"/>
      <c r="V1901" s="6"/>
      <c r="W1901" s="6"/>
      <c r="X1901" s="6"/>
      <c r="Y1901" s="4" t="s">
        <v>13963</v>
      </c>
      <c r="Z1901" s="6"/>
      <c r="AA1901" s="5" t="s">
        <v>13964</v>
      </c>
    </row>
    <row r="1902" ht="14.25">
      <c r="B1902" s="4" t="s">
        <v>13965</v>
      </c>
      <c r="C1902" s="4" t="s">
        <v>4188</v>
      </c>
      <c r="D1902" s="4" t="s">
        <v>886</v>
      </c>
      <c r="E1902" s="4" t="s">
        <v>13966</v>
      </c>
      <c r="F1902" s="4" t="s">
        <v>112</v>
      </c>
      <c r="G1902" s="4" t="s">
        <v>13967</v>
      </c>
      <c r="H1902" s="4" t="str">
        <f>IFERROR(__XLUDF.DUMMYFUNCTION("PROPER(REGEXREPLACE(G479,""[^A-Za-z]+ "",""""))"),"Inotekk")</f>
        <v>Inotekk</v>
      </c>
      <c r="I1902" s="5" t="s">
        <v>13968</v>
      </c>
      <c r="J1902" s="4" t="s">
        <v>49</v>
      </c>
      <c r="K1902" s="4" t="s">
        <v>9251</v>
      </c>
      <c r="L1902" s="4" t="s">
        <v>29</v>
      </c>
      <c r="M1902" s="4" t="s">
        <v>2602</v>
      </c>
      <c r="N1902" s="4" t="str">
        <f>IFERROR(__XLUDF.DUMMYFUNCTION("VLOOKUP(M479,IMPORTRANGE(""https://docs.google.com/spreadsheets/d/1opm6ZNvGZ7KditA9TuJwrZ25eFLfTNIkrNnY6mhV5Eg"",""list!A1:C115""),3,TRUE)"),"le secteur de la tech")</f>
        <v xml:space="preserve">le secteur de la tech</v>
      </c>
      <c r="O1902" s="4" t="s">
        <v>13969</v>
      </c>
      <c r="P1902" s="4">
        <v>12</v>
      </c>
      <c r="Q1902" s="4" t="s">
        <v>5456</v>
      </c>
      <c r="R1902" s="4" t="s">
        <v>9251</v>
      </c>
      <c r="S1902" s="4" t="s">
        <v>29</v>
      </c>
      <c r="T1902" s="5" t="s">
        <v>13970</v>
      </c>
      <c r="U1902" s="6"/>
      <c r="V1902" s="6"/>
      <c r="W1902" s="6"/>
      <c r="X1902" s="6"/>
      <c r="Y1902" s="4" t="s">
        <v>13971</v>
      </c>
      <c r="Z1902" s="6"/>
      <c r="AA1902" s="5" t="s">
        <v>13972</v>
      </c>
    </row>
    <row r="1903" ht="14.25">
      <c r="B1903" s="4" t="s">
        <v>13973</v>
      </c>
      <c r="C1903" s="4" t="s">
        <v>4188</v>
      </c>
      <c r="D1903" s="4" t="s">
        <v>13974</v>
      </c>
      <c r="E1903" s="4" t="s">
        <v>13975</v>
      </c>
      <c r="F1903" s="4" t="s">
        <v>13976</v>
      </c>
      <c r="G1903" s="4" t="s">
        <v>13977</v>
      </c>
      <c r="H1903" s="4" t="str">
        <f>IFERROR(__XLUDF.DUMMYFUNCTION("PROPER(REGEXREPLACE(G480,""[^A-Za-z]+ "",""""))"),"Nomiks")</f>
        <v>Nomiks</v>
      </c>
      <c r="I1903" s="5" t="s">
        <v>13978</v>
      </c>
      <c r="J1903" s="4" t="s">
        <v>2149</v>
      </c>
      <c r="K1903" s="4" t="s">
        <v>9864</v>
      </c>
      <c r="L1903" s="4" t="s">
        <v>29</v>
      </c>
      <c r="M1903" s="4" t="s">
        <v>2602</v>
      </c>
      <c r="N1903" s="4" t="str">
        <f>IFERROR(__XLUDF.DUMMYFUNCTION("VLOOKUP(M480,IMPORTRANGE(""https://docs.google.com/spreadsheets/d/1opm6ZNvGZ7KditA9TuJwrZ25eFLfTNIkrNnY6mhV5Eg"",""list!A1:C115""),3,TRUE)"),"le secteur de la tech")</f>
        <v xml:space="preserve">le secteur de la tech</v>
      </c>
      <c r="O1903" s="4" t="s">
        <v>13979</v>
      </c>
      <c r="P1903" s="4">
        <v>21</v>
      </c>
      <c r="Q1903" s="4" t="s">
        <v>8086</v>
      </c>
      <c r="R1903" s="4" t="s">
        <v>8086</v>
      </c>
      <c r="S1903" s="4" t="s">
        <v>1938</v>
      </c>
      <c r="T1903" s="5" t="s">
        <v>13980</v>
      </c>
      <c r="U1903" s="6"/>
      <c r="V1903" s="6"/>
      <c r="W1903" s="6"/>
      <c r="X1903" s="6"/>
      <c r="Y1903" s="4" t="s">
        <v>13981</v>
      </c>
      <c r="Z1903" s="6"/>
      <c r="AA1903" s="5" t="s">
        <v>13982</v>
      </c>
    </row>
    <row r="1904" ht="14.25">
      <c r="B1904" s="4" t="s">
        <v>13983</v>
      </c>
      <c r="C1904" s="4" t="s">
        <v>7198</v>
      </c>
      <c r="D1904" s="4" t="s">
        <v>13984</v>
      </c>
      <c r="E1904" s="4" t="s">
        <v>13985</v>
      </c>
      <c r="F1904" s="4" t="s">
        <v>112</v>
      </c>
      <c r="G1904" s="4" t="s">
        <v>13986</v>
      </c>
      <c r="H1904" s="4" t="str">
        <f>IFERROR(__XLUDF.DUMMYFUNCTION("PROPER(REGEXREPLACE(G481,""[^A-Za-z]+ "",""""))"),"Roche Et Cie")</f>
        <v xml:space="preserve">Roche Et Cie</v>
      </c>
      <c r="I1904" s="5" t="s">
        <v>13987</v>
      </c>
      <c r="J1904" s="4" t="s">
        <v>7619</v>
      </c>
      <c r="K1904" s="4" t="s">
        <v>9193</v>
      </c>
      <c r="L1904" s="4" t="s">
        <v>29</v>
      </c>
      <c r="M1904" s="4" t="s">
        <v>9239</v>
      </c>
      <c r="N1904" s="4" t="str">
        <f>IFERROR(__XLUDF.DUMMYFUNCTION("VLOOKUP(M481,IMPORTRANGE(""https://docs.google.com/spreadsheets/d/1opm6ZNvGZ7KditA9TuJwrZ25eFLfTNIkrNnY6mhV5Eg"",""list!A1:C115""),3,TRUE)"),"le secteur de la construction")</f>
        <v xml:space="preserve">le secteur de la construction</v>
      </c>
      <c r="O1904" s="6"/>
      <c r="P1904" s="4">
        <v>41</v>
      </c>
      <c r="Q1904" s="4" t="s">
        <v>7619</v>
      </c>
      <c r="R1904" s="4" t="s">
        <v>9193</v>
      </c>
      <c r="S1904" s="4" t="s">
        <v>29</v>
      </c>
      <c r="T1904" s="5" t="s">
        <v>13988</v>
      </c>
      <c r="U1904" s="6"/>
      <c r="V1904" s="6"/>
      <c r="W1904" s="6"/>
      <c r="X1904" s="6"/>
      <c r="Y1904" s="4" t="s">
        <v>13989</v>
      </c>
      <c r="Z1904" s="6"/>
      <c r="AA1904" s="5" t="s">
        <v>13990</v>
      </c>
    </row>
    <row r="1905" ht="14.25">
      <c r="B1905" s="4" t="s">
        <v>13991</v>
      </c>
      <c r="C1905" s="4" t="s">
        <v>971</v>
      </c>
      <c r="D1905" s="4" t="s">
        <v>13992</v>
      </c>
      <c r="E1905" s="4" t="s">
        <v>13993</v>
      </c>
      <c r="F1905" s="4" t="s">
        <v>13994</v>
      </c>
      <c r="G1905" s="4" t="s">
        <v>13995</v>
      </c>
      <c r="H1905" s="4" t="str">
        <f>IFERROR(__XLUDF.DUMMYFUNCTION("PROPER(REGEXREPLACE(G482,""[^A-Za-z]+ "",""""))"),"Diamart Consulting")</f>
        <v xml:space="preserve">Diamart Consulting</v>
      </c>
      <c r="I1905" s="5" t="s">
        <v>13996</v>
      </c>
      <c r="J1905" s="4" t="s">
        <v>39</v>
      </c>
      <c r="K1905" s="4" t="s">
        <v>9160</v>
      </c>
      <c r="L1905" s="4" t="s">
        <v>29</v>
      </c>
      <c r="M1905" s="4" t="s">
        <v>4067</v>
      </c>
      <c r="N1905" s="4" t="str">
        <f>IFERROR(__XLUDF.DUMMYFUNCTION("VLOOKUP(M482,IMPORTRANGE(""https://docs.google.com/spreadsheets/d/1opm6ZNvGZ7KditA9TuJwrZ25eFLfTNIkrNnY6mhV5Eg"",""list!A1:C115""),3,TRUE)"),"le secteur du conseil en management")</f>
        <v xml:space="preserve">le secteur du conseil en management</v>
      </c>
      <c r="O1905" s="4" t="s">
        <v>13997</v>
      </c>
      <c r="P1905" s="4">
        <v>15</v>
      </c>
      <c r="Q1905" s="4" t="s">
        <v>39</v>
      </c>
      <c r="R1905" s="4" t="s">
        <v>9160</v>
      </c>
      <c r="S1905" s="4" t="s">
        <v>29</v>
      </c>
      <c r="T1905" s="5" t="s">
        <v>13998</v>
      </c>
      <c r="U1905" s="5" t="s">
        <v>13999</v>
      </c>
      <c r="V1905" s="6"/>
      <c r="W1905" s="6"/>
      <c r="X1905" s="6"/>
      <c r="Y1905" s="4" t="s">
        <v>14000</v>
      </c>
      <c r="Z1905" s="6"/>
      <c r="AA1905" s="5" t="s">
        <v>14001</v>
      </c>
    </row>
    <row r="1906" ht="14.25">
      <c r="B1906" s="4" t="s">
        <v>14002</v>
      </c>
      <c r="C1906" s="4" t="s">
        <v>4188</v>
      </c>
      <c r="D1906" s="4" t="s">
        <v>14003</v>
      </c>
      <c r="E1906" s="4" t="s">
        <v>14004</v>
      </c>
      <c r="F1906" s="4" t="s">
        <v>1130</v>
      </c>
      <c r="G1906" s="4" t="s">
        <v>14005</v>
      </c>
      <c r="H1906" s="4" t="str">
        <f>IFERROR(__XLUDF.DUMMYFUNCTION("PROPER(REGEXREPLACE(G483,""[^A-Za-z]+ "",""""))"),"Asba Drums")</f>
        <v xml:space="preserve">Asba Drums</v>
      </c>
      <c r="I1906" s="5" t="s">
        <v>14006</v>
      </c>
      <c r="J1906" s="4" t="s">
        <v>185</v>
      </c>
      <c r="K1906" s="4" t="s">
        <v>9193</v>
      </c>
      <c r="L1906" s="4" t="s">
        <v>29</v>
      </c>
      <c r="M1906" s="4" t="s">
        <v>4525</v>
      </c>
      <c r="N1906" s="4" t="str">
        <f>IFERROR(__XLUDF.DUMMYFUNCTION("VLOOKUP(M483,IMPORTRANGE(""https://docs.google.com/spreadsheets/d/1opm6ZNvGZ7KditA9TuJwrZ25eFLfTNIkrNnY6mhV5Eg"",""list!A1:C115""),3,TRUE)"),"le secteur du retail")</f>
        <v xml:space="preserve">le secteur du retail</v>
      </c>
      <c r="O1906" s="6"/>
      <c r="P1906" s="4">
        <v>11</v>
      </c>
      <c r="Q1906" s="4" t="s">
        <v>185</v>
      </c>
      <c r="R1906" s="4" t="s">
        <v>9193</v>
      </c>
      <c r="S1906" s="4" t="s">
        <v>29</v>
      </c>
      <c r="T1906" s="5" t="s">
        <v>14007</v>
      </c>
      <c r="U1906" s="6"/>
      <c r="V1906" s="6"/>
      <c r="W1906" s="6"/>
      <c r="X1906" s="6"/>
      <c r="Y1906" s="4" t="s">
        <v>14008</v>
      </c>
      <c r="Z1906" s="6"/>
      <c r="AA1906" s="5" t="s">
        <v>14009</v>
      </c>
    </row>
    <row r="1907" ht="14.25">
      <c r="B1907" s="4" t="s">
        <v>14010</v>
      </c>
      <c r="C1907" s="4" t="s">
        <v>76</v>
      </c>
      <c r="D1907" s="4" t="s">
        <v>14011</v>
      </c>
      <c r="E1907" s="4" t="s">
        <v>14012</v>
      </c>
      <c r="F1907" s="4" t="s">
        <v>14013</v>
      </c>
      <c r="G1907" s="4" t="s">
        <v>14014</v>
      </c>
      <c r="H1907" s="4" t="str">
        <f>IFERROR(__XLUDF.DUMMYFUNCTION("PROPER(REGEXREPLACE(G484,""[^A-Za-z]+ "",""""))"),"Priism")</f>
        <v>Priism</v>
      </c>
      <c r="I1907" s="5" t="s">
        <v>14015</v>
      </c>
      <c r="J1907" s="4" t="s">
        <v>12917</v>
      </c>
      <c r="K1907" s="4" t="s">
        <v>9193</v>
      </c>
      <c r="L1907" s="4" t="s">
        <v>29</v>
      </c>
      <c r="M1907" s="4" t="s">
        <v>2602</v>
      </c>
      <c r="N1907" s="4" t="str">
        <f>IFERROR(__XLUDF.DUMMYFUNCTION("VLOOKUP(M484,IMPORTRANGE(""https://docs.google.com/spreadsheets/d/1opm6ZNvGZ7KditA9TuJwrZ25eFLfTNIkrNnY6mhV5Eg"",""list!A1:C115""),3,TRUE)"),"le secteur de la tech")</f>
        <v xml:space="preserve">le secteur de la tech</v>
      </c>
      <c r="O1907" s="4" t="s">
        <v>14016</v>
      </c>
      <c r="P1907" s="4">
        <v>14</v>
      </c>
      <c r="Q1907" s="4" t="s">
        <v>12917</v>
      </c>
      <c r="R1907" s="4" t="s">
        <v>9193</v>
      </c>
      <c r="S1907" s="4" t="s">
        <v>29</v>
      </c>
      <c r="T1907" s="5" t="s">
        <v>14017</v>
      </c>
      <c r="U1907" s="5" t="s">
        <v>14018</v>
      </c>
      <c r="V1907" s="5" t="s">
        <v>14019</v>
      </c>
      <c r="W1907" s="6"/>
      <c r="X1907" s="6"/>
      <c r="Y1907" s="4" t="s">
        <v>14020</v>
      </c>
      <c r="Z1907" s="6"/>
      <c r="AA1907" s="5" t="s">
        <v>14021</v>
      </c>
    </row>
    <row r="1908" ht="14.25">
      <c r="B1908" s="4" t="s">
        <v>14022</v>
      </c>
      <c r="C1908" s="4" t="s">
        <v>2516</v>
      </c>
      <c r="D1908" s="4" t="s">
        <v>14023</v>
      </c>
      <c r="E1908" s="4" t="s">
        <v>14024</v>
      </c>
      <c r="F1908" s="4" t="s">
        <v>7759</v>
      </c>
      <c r="G1908" s="4" t="s">
        <v>14025</v>
      </c>
      <c r="H1908" s="4" t="str">
        <f>IFERROR(__XLUDF.DUMMYFUNCTION("PROPER(REGEXREPLACE(G485,""[^A-Za-z]+ "",""""))"),"Techcare")</f>
        <v>Techcare</v>
      </c>
      <c r="I1908" s="5" t="s">
        <v>14026</v>
      </c>
      <c r="J1908" s="4" t="s">
        <v>295</v>
      </c>
      <c r="K1908" s="4" t="s">
        <v>9251</v>
      </c>
      <c r="L1908" s="4" t="s">
        <v>29</v>
      </c>
      <c r="M1908" s="4" t="s">
        <v>2602</v>
      </c>
      <c r="N1908" s="4" t="str">
        <f>IFERROR(__XLUDF.DUMMYFUNCTION("VLOOKUP(M485,IMPORTRANGE(""https://docs.google.com/spreadsheets/d/1opm6ZNvGZ7KditA9TuJwrZ25eFLfTNIkrNnY6mhV5Eg"",""list!A1:C115""),3,TRUE)"),"le secteur de la tech")</f>
        <v xml:space="preserve">le secteur de la tech</v>
      </c>
      <c r="O1908" s="6"/>
      <c r="P1908" s="4">
        <v>10</v>
      </c>
      <c r="Q1908" s="4" t="s">
        <v>295</v>
      </c>
      <c r="R1908" s="4" t="s">
        <v>9251</v>
      </c>
      <c r="S1908" s="4" t="s">
        <v>29</v>
      </c>
      <c r="T1908" s="5" t="s">
        <v>14027</v>
      </c>
      <c r="U1908" s="6"/>
      <c r="V1908" s="5" t="s">
        <v>14028</v>
      </c>
      <c r="W1908" s="6"/>
      <c r="X1908" s="6"/>
      <c r="Y1908" s="4" t="s">
        <v>14029</v>
      </c>
      <c r="Z1908" s="6"/>
      <c r="AA1908" s="5" t="s">
        <v>14030</v>
      </c>
    </row>
    <row r="1909" ht="14.25">
      <c r="B1909" s="4" t="s">
        <v>14031</v>
      </c>
      <c r="C1909" s="4" t="s">
        <v>2516</v>
      </c>
      <c r="D1909" s="4" t="s">
        <v>14032</v>
      </c>
      <c r="E1909" s="4" t="s">
        <v>14033</v>
      </c>
      <c r="F1909" s="4" t="s">
        <v>112</v>
      </c>
      <c r="G1909" s="4" t="s">
        <v>14034</v>
      </c>
      <c r="H1909" s="4" t="str">
        <f>IFERROR(__XLUDF.DUMMYFUNCTION("PROPER(REGEXREPLACE(G486,""[^A-Za-z]+ "",""""))"),"Ux-Key")</f>
        <v>Ux-Key</v>
      </c>
      <c r="I1909" s="5" t="s">
        <v>14035</v>
      </c>
      <c r="J1909" s="4" t="s">
        <v>4922</v>
      </c>
      <c r="K1909" s="4" t="s">
        <v>9340</v>
      </c>
      <c r="L1909" s="4" t="s">
        <v>29</v>
      </c>
      <c r="M1909" s="4" t="s">
        <v>2602</v>
      </c>
      <c r="N1909" s="4" t="str">
        <f>IFERROR(__XLUDF.DUMMYFUNCTION("VLOOKUP(M486,IMPORTRANGE(""https://docs.google.com/spreadsheets/d/1opm6ZNvGZ7KditA9TuJwrZ25eFLfTNIkrNnY6mhV5Eg"",""list!A1:C115""),3,TRUE)"),"le secteur de la tech")</f>
        <v xml:space="preserve">le secteur de la tech</v>
      </c>
      <c r="O1909" s="6"/>
      <c r="P1909" s="4">
        <v>16</v>
      </c>
      <c r="Q1909" s="4" t="s">
        <v>4922</v>
      </c>
      <c r="R1909" s="4" t="s">
        <v>9215</v>
      </c>
      <c r="S1909" s="4" t="s">
        <v>29</v>
      </c>
      <c r="T1909" s="5" t="s">
        <v>14036</v>
      </c>
      <c r="U1909" s="6"/>
      <c r="V1909" s="6"/>
      <c r="W1909" s="6"/>
      <c r="X1909" s="6"/>
      <c r="Y1909" s="4" t="s">
        <v>14037</v>
      </c>
      <c r="Z1909" s="6"/>
      <c r="AA1909" s="5" t="s">
        <v>14038</v>
      </c>
    </row>
    <row r="1910" ht="14.25">
      <c r="B1910" s="4" t="s">
        <v>14039</v>
      </c>
      <c r="C1910" s="4" t="s">
        <v>2516</v>
      </c>
      <c r="D1910" s="4" t="s">
        <v>14040</v>
      </c>
      <c r="E1910" s="4" t="s">
        <v>14041</v>
      </c>
      <c r="F1910" s="4" t="s">
        <v>62</v>
      </c>
      <c r="G1910" s="4" t="s">
        <v>14042</v>
      </c>
      <c r="H1910" s="4" t="str">
        <f>IFERROR(__XLUDF.DUMMYFUNCTION("PROPER(REGEXREPLACE(G487,""[^A-Za-z]+ "",""""))"),"Bii Group")</f>
        <v xml:space="preserve">Bii Group</v>
      </c>
      <c r="I1910" s="5" t="s">
        <v>14043</v>
      </c>
      <c r="J1910" s="6"/>
      <c r="K1910" s="6"/>
      <c r="L1910" s="4" t="s">
        <v>29</v>
      </c>
      <c r="M1910" s="4" t="s">
        <v>4067</v>
      </c>
      <c r="N1910" s="4" t="str">
        <f>IFERROR(__XLUDF.DUMMYFUNCTION("VLOOKUP(M487,IMPORTRANGE(""https://docs.google.com/spreadsheets/d/1opm6ZNvGZ7KditA9TuJwrZ25eFLfTNIkrNnY6mhV5Eg"",""list!A1:C115""),3,TRUE)"),"le secteur du conseil en management")</f>
        <v xml:space="preserve">le secteur du conseil en management</v>
      </c>
      <c r="O1910" s="6"/>
      <c r="P1910" s="4">
        <v>14</v>
      </c>
      <c r="Q1910" s="4" t="s">
        <v>14044</v>
      </c>
      <c r="R1910" s="4" t="s">
        <v>14045</v>
      </c>
      <c r="S1910" s="4" t="s">
        <v>14046</v>
      </c>
      <c r="T1910" s="5" t="s">
        <v>14047</v>
      </c>
      <c r="U1910" s="6"/>
      <c r="V1910" s="6"/>
      <c r="W1910" s="6"/>
      <c r="X1910" s="6"/>
      <c r="Y1910" s="4" t="s">
        <v>14048</v>
      </c>
      <c r="Z1910" s="6"/>
      <c r="AA1910" s="5" t="s">
        <v>14049</v>
      </c>
    </row>
    <row r="1911" ht="14.25">
      <c r="B1911" s="4" t="s">
        <v>14050</v>
      </c>
      <c r="C1911" s="4" t="s">
        <v>2516</v>
      </c>
      <c r="D1911" s="4" t="s">
        <v>14051</v>
      </c>
      <c r="E1911" s="4" t="s">
        <v>14052</v>
      </c>
      <c r="F1911" s="4" t="s">
        <v>7759</v>
      </c>
      <c r="G1911" s="4" t="s">
        <v>14053</v>
      </c>
      <c r="H1911" s="4" t="str">
        <f>IFERROR(__XLUDF.DUMMYFUNCTION("PROPER(REGEXREPLACE(G488,""[^A-Za-z]+ "",""""))"),"Ar2C")</f>
        <v>Ar2C</v>
      </c>
      <c r="I1911" s="5" t="s">
        <v>14054</v>
      </c>
      <c r="J1911" s="4" t="s">
        <v>9237</v>
      </c>
      <c r="K1911" s="4" t="s">
        <v>9193</v>
      </c>
      <c r="L1911" s="4" t="s">
        <v>29</v>
      </c>
      <c r="M1911" s="4" t="s">
        <v>9239</v>
      </c>
      <c r="N1911" s="4" t="str">
        <f>IFERROR(__XLUDF.DUMMYFUNCTION("VLOOKUP(M488,IMPORTRANGE(""https://docs.google.com/spreadsheets/d/1opm6ZNvGZ7KditA9TuJwrZ25eFLfTNIkrNnY6mhV5Eg"",""list!A1:C115""),3,TRUE)"),"le secteur de la construction")</f>
        <v xml:space="preserve">le secteur de la construction</v>
      </c>
      <c r="O1911" s="6"/>
      <c r="P1911" s="4">
        <v>14</v>
      </c>
      <c r="Q1911" s="4" t="s">
        <v>14055</v>
      </c>
      <c r="R1911" s="4" t="s">
        <v>9193</v>
      </c>
      <c r="S1911" s="4" t="s">
        <v>29</v>
      </c>
      <c r="T1911" s="5" t="s">
        <v>14056</v>
      </c>
      <c r="U1911" s="6"/>
      <c r="V1911" s="6"/>
      <c r="W1911" s="6"/>
      <c r="X1911" s="6"/>
      <c r="Y1911" s="4" t="s">
        <v>14057</v>
      </c>
      <c r="Z1911" s="6"/>
      <c r="AA1911" s="5" t="s">
        <v>14058</v>
      </c>
    </row>
    <row r="1912" ht="14.25">
      <c r="B1912" s="4" t="s">
        <v>14059</v>
      </c>
      <c r="C1912" s="4" t="s">
        <v>2516</v>
      </c>
      <c r="D1912" s="4" t="s">
        <v>14060</v>
      </c>
      <c r="E1912" s="4" t="s">
        <v>14061</v>
      </c>
      <c r="F1912" s="4" t="s">
        <v>112</v>
      </c>
      <c r="G1912" s="4" t="s">
        <v>14062</v>
      </c>
      <c r="H1912" s="4" t="str">
        <f>IFERROR(__XLUDF.DUMMYFUNCTION("PROPER(REGEXREPLACE(G489,""[^A-Za-z]+ "",""""))"),"Omneo Solutions")</f>
        <v xml:space="preserve">Omneo Solutions</v>
      </c>
      <c r="I1912" s="5" t="s">
        <v>14063</v>
      </c>
      <c r="J1912" s="4" t="s">
        <v>846</v>
      </c>
      <c r="K1912" s="4" t="s">
        <v>9278</v>
      </c>
      <c r="L1912" s="4" t="s">
        <v>29</v>
      </c>
      <c r="M1912" s="4" t="s">
        <v>2602</v>
      </c>
      <c r="N1912" s="4" t="str">
        <f>IFERROR(__XLUDF.DUMMYFUNCTION("VLOOKUP(M489,IMPORTRANGE(""https://docs.google.com/spreadsheets/d/1opm6ZNvGZ7KditA9TuJwrZ25eFLfTNIkrNnY6mhV5Eg"",""list!A1:C115""),3,TRUE)"),"le secteur de la tech")</f>
        <v xml:space="preserve">le secteur de la tech</v>
      </c>
      <c r="O1912" s="4" t="s">
        <v>14064</v>
      </c>
      <c r="P1912" s="4">
        <v>14</v>
      </c>
      <c r="Q1912" s="4" t="s">
        <v>846</v>
      </c>
      <c r="R1912" s="4" t="s">
        <v>9281</v>
      </c>
      <c r="S1912" s="4" t="s">
        <v>29</v>
      </c>
      <c r="T1912" s="5" t="s">
        <v>14065</v>
      </c>
      <c r="U1912" s="6"/>
      <c r="V1912" s="6"/>
      <c r="W1912" s="6"/>
      <c r="X1912" s="6"/>
      <c r="Y1912" s="4" t="s">
        <v>14066</v>
      </c>
      <c r="Z1912" s="6"/>
      <c r="AA1912" s="5" t="s">
        <v>14067</v>
      </c>
    </row>
    <row r="1913" ht="14.25">
      <c r="B1913" s="4" t="s">
        <v>14068</v>
      </c>
      <c r="C1913" s="4" t="s">
        <v>14069</v>
      </c>
      <c r="D1913" s="4" t="s">
        <v>14070</v>
      </c>
      <c r="E1913" s="4" t="s">
        <v>14071</v>
      </c>
      <c r="F1913" s="4" t="s">
        <v>14072</v>
      </c>
      <c r="G1913" s="4" t="s">
        <v>14073</v>
      </c>
      <c r="H1913" s="4" t="str">
        <f>IFERROR(__XLUDF.DUMMYFUNCTION("PROPER(REGEXREPLACE(G490,""[^A-Za-z]+ "",""""))"),"I Love Events")</f>
        <v xml:space="preserve">I Love Events</v>
      </c>
      <c r="I1913" s="5" t="s">
        <v>14074</v>
      </c>
      <c r="J1913" s="4" t="s">
        <v>39</v>
      </c>
      <c r="K1913" s="4" t="s">
        <v>9160</v>
      </c>
      <c r="L1913" s="4" t="s">
        <v>29</v>
      </c>
      <c r="M1913" s="4" t="s">
        <v>10639</v>
      </c>
      <c r="N1913" s="4" t="str">
        <f>IFERROR(__XLUDF.DUMMYFUNCTION("VLOOKUP(M490,IMPORTRANGE(""https://docs.google.com/spreadsheets/d/1opm6ZNvGZ7KditA9TuJwrZ25eFLfTNIkrNnY6mhV5Eg"",""list!A1:C115""),3,TRUE)"),"le secteur de la communication")</f>
        <v xml:space="preserve">le secteur de la communication</v>
      </c>
      <c r="O1913" s="4" t="s">
        <v>14075</v>
      </c>
      <c r="P1913" s="4">
        <v>16</v>
      </c>
      <c r="Q1913" s="4" t="s">
        <v>39</v>
      </c>
      <c r="R1913" s="4" t="s">
        <v>9160</v>
      </c>
      <c r="S1913" s="4" t="s">
        <v>29</v>
      </c>
      <c r="T1913" s="5" t="s">
        <v>14076</v>
      </c>
      <c r="U1913" s="6"/>
      <c r="V1913" s="6"/>
      <c r="W1913" s="6"/>
      <c r="X1913" s="6"/>
      <c r="Y1913" s="4" t="s">
        <v>14077</v>
      </c>
      <c r="Z1913" s="6"/>
      <c r="AA1913" s="5" t="s">
        <v>14078</v>
      </c>
    </row>
    <row r="1914" ht="14.25">
      <c r="B1914" s="4" t="s">
        <v>14079</v>
      </c>
      <c r="C1914" s="4" t="s">
        <v>579</v>
      </c>
      <c r="D1914" s="4" t="s">
        <v>3850</v>
      </c>
      <c r="E1914" s="4" t="s">
        <v>14080</v>
      </c>
      <c r="F1914" s="4" t="s">
        <v>14081</v>
      </c>
      <c r="G1914" s="4" t="s">
        <v>14082</v>
      </c>
      <c r="H1914" s="4" t="str">
        <f>IFERROR(__XLUDF.DUMMYFUNCTION("PROPER(REGEXREPLACE(G491,""[^A-Za-z]+ "",""""))"),"Crisotech")</f>
        <v>Crisotech</v>
      </c>
      <c r="I1914" s="5" t="s">
        <v>14083</v>
      </c>
      <c r="J1914" s="4" t="s">
        <v>39</v>
      </c>
      <c r="K1914" s="4" t="s">
        <v>9160</v>
      </c>
      <c r="L1914" s="4" t="s">
        <v>29</v>
      </c>
      <c r="M1914" s="4" t="s">
        <v>4067</v>
      </c>
      <c r="N1914" s="4" t="str">
        <f>IFERROR(__XLUDF.DUMMYFUNCTION("VLOOKUP(M491,IMPORTRANGE(""https://docs.google.com/spreadsheets/d/1opm6ZNvGZ7KditA9TuJwrZ25eFLfTNIkrNnY6mhV5Eg"",""list!A1:C115""),3,TRUE)"),"le secteur du conseil en management")</f>
        <v xml:space="preserve">le secteur du conseil en management</v>
      </c>
      <c r="O1914" s="4" t="s">
        <v>14084</v>
      </c>
      <c r="P1914" s="4">
        <v>21</v>
      </c>
      <c r="Q1914" s="4" t="s">
        <v>39</v>
      </c>
      <c r="R1914" s="4" t="s">
        <v>9160</v>
      </c>
      <c r="S1914" s="4" t="s">
        <v>29</v>
      </c>
      <c r="T1914" s="5" t="s">
        <v>14085</v>
      </c>
      <c r="U1914" s="6"/>
      <c r="V1914" s="6"/>
      <c r="W1914" s="6"/>
      <c r="X1914" s="6"/>
      <c r="Y1914" s="4" t="s">
        <v>14086</v>
      </c>
      <c r="Z1914" s="6"/>
      <c r="AA1914" s="5" t="s">
        <v>14087</v>
      </c>
    </row>
    <row r="1915" ht="14.25">
      <c r="B1915" s="4" t="s">
        <v>14088</v>
      </c>
      <c r="C1915" s="4" t="s">
        <v>76</v>
      </c>
      <c r="D1915" s="4" t="s">
        <v>14089</v>
      </c>
      <c r="E1915" s="4" t="s">
        <v>14090</v>
      </c>
      <c r="F1915" s="4" t="s">
        <v>7759</v>
      </c>
      <c r="G1915" s="4" t="s">
        <v>14091</v>
      </c>
      <c r="H1915" s="4" t="str">
        <f>IFERROR(__XLUDF.DUMMYFUNCTION("PROPER(REGEXREPLACE(G492,""[^A-Za-z]+ "",""""))"),"Dcom-Solutions")</f>
        <v>Dcom-Solutions</v>
      </c>
      <c r="I1915" s="5" t="s">
        <v>14092</v>
      </c>
      <c r="J1915" s="4" t="s">
        <v>6777</v>
      </c>
      <c r="K1915" s="4" t="s">
        <v>9864</v>
      </c>
      <c r="L1915" s="4" t="s">
        <v>29</v>
      </c>
      <c r="M1915" s="4" t="s">
        <v>9184</v>
      </c>
      <c r="N1915" s="4" t="str">
        <f>IFERROR(__XLUDF.DUMMYFUNCTION("VLOOKUP(M492,IMPORTRANGE(""https://docs.google.com/spreadsheets/d/1opm6ZNvGZ7KditA9TuJwrZ25eFLfTNIkrNnY6mhV5Eg"",""list!A1:C115""),3,TRUE)"),"le secteur des télécommunications")</f>
        <v xml:space="preserve">le secteur des télécommunications</v>
      </c>
      <c r="O1915" s="4" t="s">
        <v>14093</v>
      </c>
      <c r="P1915" s="4">
        <v>12</v>
      </c>
      <c r="Q1915" s="4" t="s">
        <v>14094</v>
      </c>
      <c r="R1915" s="4" t="s">
        <v>11114</v>
      </c>
      <c r="S1915" s="4" t="s">
        <v>29</v>
      </c>
      <c r="T1915" s="5" t="s">
        <v>14095</v>
      </c>
      <c r="U1915" s="6"/>
      <c r="V1915" s="6"/>
      <c r="W1915" s="6"/>
      <c r="X1915" s="6"/>
      <c r="Y1915" s="4" t="s">
        <v>14096</v>
      </c>
      <c r="Z1915" s="6"/>
      <c r="AA1915" s="5" t="s">
        <v>14097</v>
      </c>
    </row>
    <row r="1916" ht="14.25">
      <c r="B1916" s="4" t="s">
        <v>14098</v>
      </c>
      <c r="C1916" s="4" t="s">
        <v>76</v>
      </c>
      <c r="D1916" s="4" t="s">
        <v>14099</v>
      </c>
      <c r="E1916" s="4" t="s">
        <v>14100</v>
      </c>
      <c r="F1916" s="4" t="s">
        <v>7759</v>
      </c>
      <c r="G1916" s="4" t="s">
        <v>14101</v>
      </c>
      <c r="H1916" s="4" t="str">
        <f>IFERROR(__XLUDF.DUMMYFUNCTION("PROPER(REGEXREPLACE(G493,""[^A-Za-z]+ "",""""))"),"Les Constructions Du Belon")</f>
        <v xml:space="preserve">Les Constructions Du Belon</v>
      </c>
      <c r="I1916" s="6"/>
      <c r="J1916" s="4" t="s">
        <v>14102</v>
      </c>
      <c r="K1916" s="4" t="s">
        <v>9227</v>
      </c>
      <c r="L1916" s="4" t="s">
        <v>29</v>
      </c>
      <c r="M1916" s="4" t="s">
        <v>9239</v>
      </c>
      <c r="N1916" s="4" t="str">
        <f>IFERROR(__XLUDF.DUMMYFUNCTION("VLOOKUP(M493,IMPORTRANGE(""https://docs.google.com/spreadsheets/d/1opm6ZNvGZ7KditA9TuJwrZ25eFLfTNIkrNnY6mhV5Eg"",""list!A1:C115""),3,TRUE)"),"le secteur de la construction")</f>
        <v xml:space="preserve">le secteur de la construction</v>
      </c>
      <c r="O1916" s="4" t="s">
        <v>14103</v>
      </c>
      <c r="P1916" s="4">
        <v>38</v>
      </c>
      <c r="Q1916" s="4" t="s">
        <v>14102</v>
      </c>
      <c r="R1916" s="4" t="s">
        <v>9227</v>
      </c>
      <c r="S1916" s="4" t="s">
        <v>29</v>
      </c>
      <c r="T1916" s="5" t="s">
        <v>14104</v>
      </c>
      <c r="U1916" s="5" t="s">
        <v>14105</v>
      </c>
      <c r="V1916" s="5" t="s">
        <v>14106</v>
      </c>
      <c r="W1916" s="6"/>
      <c r="X1916" s="6"/>
      <c r="Y1916" s="4" t="s">
        <v>14107</v>
      </c>
      <c r="Z1916" s="6"/>
      <c r="AA1916" s="5" t="s">
        <v>14108</v>
      </c>
    </row>
    <row r="1917" ht="14.25">
      <c r="B1917" s="4" t="s">
        <v>14109</v>
      </c>
      <c r="C1917" s="4" t="s">
        <v>7188</v>
      </c>
      <c r="D1917" s="4" t="s">
        <v>14110</v>
      </c>
      <c r="E1917" s="4" t="s">
        <v>14111</v>
      </c>
      <c r="F1917" s="4" t="s">
        <v>172</v>
      </c>
      <c r="G1917" s="4" t="s">
        <v>14112</v>
      </c>
      <c r="H1917" s="4" t="str">
        <f>IFERROR(__XLUDF.DUMMYFUNCTION("PROPER(REGEXREPLACE(G494,""[^A-Za-z]+ "",""""))"),"Feedmax")</f>
        <v>Feedmax</v>
      </c>
      <c r="I1917" s="5" t="s">
        <v>14113</v>
      </c>
      <c r="J1917" s="4" t="s">
        <v>39</v>
      </c>
      <c r="K1917" s="4" t="s">
        <v>9160</v>
      </c>
      <c r="L1917" s="4" t="s">
        <v>29</v>
      </c>
      <c r="M1917" s="4" t="s">
        <v>2602</v>
      </c>
      <c r="N1917" s="4" t="str">
        <f>IFERROR(__XLUDF.DUMMYFUNCTION("VLOOKUP(M494,IMPORTRANGE(""https://docs.google.com/spreadsheets/d/1opm6ZNvGZ7KditA9TuJwrZ25eFLfTNIkrNnY6mhV5Eg"",""list!A1:C115""),3,TRUE)"),"le secteur de la tech")</f>
        <v xml:space="preserve">le secteur de la tech</v>
      </c>
      <c r="O1917" s="6"/>
      <c r="P1917" s="4">
        <v>10</v>
      </c>
      <c r="Q1917" s="4" t="s">
        <v>39</v>
      </c>
      <c r="R1917" s="4" t="s">
        <v>9160</v>
      </c>
      <c r="S1917" s="4" t="s">
        <v>29</v>
      </c>
      <c r="T1917" s="5" t="s">
        <v>14114</v>
      </c>
      <c r="U1917" s="6"/>
      <c r="V1917" s="6"/>
      <c r="W1917" s="6"/>
      <c r="X1917" s="6"/>
      <c r="Y1917" s="4" t="s">
        <v>14115</v>
      </c>
      <c r="Z1917" s="6"/>
      <c r="AA1917" s="5" t="s">
        <v>14116</v>
      </c>
    </row>
    <row r="1918" ht="14.25">
      <c r="B1918" s="4" t="s">
        <v>14117</v>
      </c>
      <c r="C1918" s="4" t="s">
        <v>2119</v>
      </c>
      <c r="D1918" s="4" t="s">
        <v>14118</v>
      </c>
      <c r="E1918" s="4" t="s">
        <v>14119</v>
      </c>
      <c r="F1918" s="4" t="s">
        <v>5953</v>
      </c>
      <c r="G1918" s="4" t="s">
        <v>14120</v>
      </c>
      <c r="H1918" s="4" t="str">
        <f>IFERROR(__XLUDF.DUMMYFUNCTION("PROPER(REGEXREPLACE(G495,""[^A-Za-z]+ "",""""))"),"Tout Faire Côte D'Azur")</f>
        <v xml:space="preserve">Tout Faire Côte D'Azur</v>
      </c>
      <c r="I1918" s="6"/>
      <c r="J1918" s="4" t="s">
        <v>49</v>
      </c>
      <c r="K1918" s="4" t="s">
        <v>9251</v>
      </c>
      <c r="L1918" s="4" t="s">
        <v>29</v>
      </c>
      <c r="M1918" s="4" t="s">
        <v>4525</v>
      </c>
      <c r="N1918" s="4" t="str">
        <f>IFERROR(__XLUDF.DUMMYFUNCTION("VLOOKUP(M495,IMPORTRANGE(""https://docs.google.com/spreadsheets/d/1opm6ZNvGZ7KditA9TuJwrZ25eFLfTNIkrNnY6mhV5Eg"",""list!A1:C115""),3,TRUE)"),"le secteur du retail")</f>
        <v xml:space="preserve">le secteur du retail</v>
      </c>
      <c r="O1918" s="4" t="s">
        <v>14121</v>
      </c>
      <c r="P1918" s="4">
        <v>27</v>
      </c>
      <c r="Q1918" s="4" t="s">
        <v>4485</v>
      </c>
      <c r="R1918" s="4" t="s">
        <v>9251</v>
      </c>
      <c r="S1918" s="4" t="s">
        <v>29</v>
      </c>
      <c r="T1918" s="5" t="s">
        <v>14122</v>
      </c>
      <c r="U1918" s="6"/>
      <c r="V1918" s="6"/>
      <c r="W1918" s="6"/>
      <c r="X1918" s="6"/>
      <c r="Y1918" s="4" t="s">
        <v>14123</v>
      </c>
      <c r="Z1918" s="6"/>
      <c r="AA1918" s="5" t="s">
        <v>14124</v>
      </c>
    </row>
    <row r="1919" ht="14.25">
      <c r="B1919" s="4" t="s">
        <v>14125</v>
      </c>
      <c r="C1919" s="4" t="s">
        <v>963</v>
      </c>
      <c r="D1919" s="4" t="s">
        <v>14126</v>
      </c>
      <c r="E1919" s="4" t="s">
        <v>14127</v>
      </c>
      <c r="F1919" s="4" t="s">
        <v>7759</v>
      </c>
      <c r="G1919" s="4" t="s">
        <v>14128</v>
      </c>
      <c r="H1919" s="4" t="str">
        <f>IFERROR(__XLUDF.DUMMYFUNCTION("PROPER(REGEXREPLACE(G496,""[^A-Za-z]+ "",""""))"),"Sngi")</f>
        <v>Sngi</v>
      </c>
      <c r="I1919" s="5" t="s">
        <v>14129</v>
      </c>
      <c r="J1919" s="4" t="s">
        <v>185</v>
      </c>
      <c r="K1919" s="4" t="s">
        <v>9193</v>
      </c>
      <c r="L1919" s="4" t="s">
        <v>29</v>
      </c>
      <c r="M1919" s="4" t="s">
        <v>9239</v>
      </c>
      <c r="N1919" s="4" t="str">
        <f>IFERROR(__XLUDF.DUMMYFUNCTION("VLOOKUP(M496,IMPORTRANGE(""https://docs.google.com/spreadsheets/d/1opm6ZNvGZ7KditA9TuJwrZ25eFLfTNIkrNnY6mhV5Eg"",""list!A1:C115""),3,TRUE)"),"le secteur de la construction")</f>
        <v xml:space="preserve">le secteur de la construction</v>
      </c>
      <c r="O1919" s="6"/>
      <c r="P1919" s="4">
        <v>12</v>
      </c>
      <c r="Q1919" s="6"/>
      <c r="R1919" s="6"/>
      <c r="S1919" s="4" t="s">
        <v>29</v>
      </c>
      <c r="T1919" s="5" t="s">
        <v>14130</v>
      </c>
      <c r="U1919" s="6"/>
      <c r="V1919" s="6"/>
      <c r="W1919" s="6"/>
      <c r="X1919" s="6"/>
      <c r="Y1919" s="4" t="s">
        <v>14131</v>
      </c>
      <c r="Z1919" s="6"/>
      <c r="AA1919" s="5" t="s">
        <v>14132</v>
      </c>
    </row>
    <row r="1920" ht="14.25">
      <c r="B1920" s="4" t="s">
        <v>14133</v>
      </c>
      <c r="C1920" s="4" t="s">
        <v>170</v>
      </c>
      <c r="D1920" s="4" t="s">
        <v>14134</v>
      </c>
      <c r="E1920" s="4" t="s">
        <v>14135</v>
      </c>
      <c r="F1920" s="4" t="s">
        <v>172</v>
      </c>
      <c r="G1920" s="4" t="s">
        <v>14136</v>
      </c>
      <c r="H1920" s="4" t="str">
        <f>IFERROR(__XLUDF.DUMMYFUNCTION("PROPER(REGEXREPLACE(G497,""[^A-Za-z]+ "",""""))"),"Club Santpremium")</f>
        <v xml:space="preserve">Club Santpremium</v>
      </c>
      <c r="I1920" s="5" t="s">
        <v>14137</v>
      </c>
      <c r="J1920" s="4" t="s">
        <v>14138</v>
      </c>
      <c r="K1920" s="4" t="s">
        <v>9281</v>
      </c>
      <c r="L1920" s="4" t="s">
        <v>29</v>
      </c>
      <c r="M1920" s="4" t="s">
        <v>4067</v>
      </c>
      <c r="N1920" s="4" t="str">
        <f>IFERROR(__XLUDF.DUMMYFUNCTION("VLOOKUP(M497,IMPORTRANGE(""https://docs.google.com/spreadsheets/d/1opm6ZNvGZ7KditA9TuJwrZ25eFLfTNIkrNnY6mhV5Eg"",""list!A1:C115""),3,TRUE)"),"le secteur du conseil en management")</f>
        <v xml:space="preserve">le secteur du conseil en management</v>
      </c>
      <c r="O1920" s="4" t="s">
        <v>14139</v>
      </c>
      <c r="P1920" s="4">
        <v>12</v>
      </c>
      <c r="Q1920" s="4" t="s">
        <v>10537</v>
      </c>
      <c r="R1920" s="4" t="s">
        <v>9281</v>
      </c>
      <c r="S1920" s="4" t="s">
        <v>29</v>
      </c>
      <c r="T1920" s="5" t="s">
        <v>14140</v>
      </c>
      <c r="U1920" s="6"/>
      <c r="V1920" s="5" t="s">
        <v>9981</v>
      </c>
      <c r="W1920" s="6"/>
      <c r="X1920" s="6"/>
      <c r="Y1920" s="4" t="s">
        <v>14141</v>
      </c>
      <c r="Z1920" s="6"/>
      <c r="AA1920" s="5" t="s">
        <v>14142</v>
      </c>
    </row>
    <row r="1921" ht="14.25">
      <c r="B1921" s="4" t="s">
        <v>14143</v>
      </c>
      <c r="C1921" s="4" t="s">
        <v>2119</v>
      </c>
      <c r="D1921" s="4" t="s">
        <v>14144</v>
      </c>
      <c r="E1921" s="4" t="s">
        <v>14145</v>
      </c>
      <c r="F1921" s="4" t="s">
        <v>112</v>
      </c>
      <c r="G1921" s="4" t="s">
        <v>14146</v>
      </c>
      <c r="H1921" s="4" t="str">
        <f>IFERROR(__XLUDF.DUMMYFUNCTION("PROPER(REGEXREPLACE(G498,""[^A-Za-z]+ "",""""))"),"Zeroptical Groupe")</f>
        <v xml:space="preserve">Zeroptical Groupe</v>
      </c>
      <c r="I1921" s="5" t="s">
        <v>14147</v>
      </c>
      <c r="J1921" s="4" t="s">
        <v>295</v>
      </c>
      <c r="K1921" s="4" t="s">
        <v>9251</v>
      </c>
      <c r="L1921" s="4" t="s">
        <v>29</v>
      </c>
      <c r="M1921" s="4" t="s">
        <v>4525</v>
      </c>
      <c r="N1921" s="4" t="str">
        <f>IFERROR(__XLUDF.DUMMYFUNCTION("VLOOKUP(M498,IMPORTRANGE(""https://docs.google.com/spreadsheets/d/1opm6ZNvGZ7KditA9TuJwrZ25eFLfTNIkrNnY6mhV5Eg"",""list!A1:C115""),3,TRUE)"),"le secteur du retail")</f>
        <v xml:space="preserve">le secteur du retail</v>
      </c>
      <c r="O1921" s="6"/>
      <c r="P1921" s="4">
        <v>21</v>
      </c>
      <c r="Q1921" s="4" t="s">
        <v>39</v>
      </c>
      <c r="R1921" s="4" t="s">
        <v>9160</v>
      </c>
      <c r="S1921" s="4" t="s">
        <v>29</v>
      </c>
      <c r="T1921" s="5" t="s">
        <v>14148</v>
      </c>
      <c r="U1921" s="6"/>
      <c r="V1921" s="5" t="s">
        <v>14149</v>
      </c>
      <c r="W1921" s="6"/>
      <c r="X1921" s="6"/>
      <c r="Y1921" s="4" t="s">
        <v>14150</v>
      </c>
      <c r="Z1921" s="6"/>
      <c r="AA1921" s="5" t="s">
        <v>14151</v>
      </c>
    </row>
    <row r="1922" ht="14.25">
      <c r="B1922" s="4" t="s">
        <v>14152</v>
      </c>
      <c r="C1922" s="4" t="s">
        <v>3191</v>
      </c>
      <c r="D1922" s="4" t="s">
        <v>14153</v>
      </c>
      <c r="E1922" s="4" t="s">
        <v>14154</v>
      </c>
      <c r="F1922" s="4" t="s">
        <v>14155</v>
      </c>
      <c r="G1922" s="4" t="s">
        <v>13553</v>
      </c>
      <c r="H1922" s="4" t="str">
        <f>IFERROR(__XLUDF.DUMMYFUNCTION("PROPER(REGEXREPLACE(G499,""[^A-Za-z]+ "",""""))"),"Abelya Partners")</f>
        <v xml:space="preserve">Abelya Partners</v>
      </c>
      <c r="I1922" s="5" t="s">
        <v>13554</v>
      </c>
      <c r="J1922" s="6"/>
      <c r="K1922" s="6"/>
      <c r="L1922" s="4" t="s">
        <v>29</v>
      </c>
      <c r="M1922" s="4" t="s">
        <v>4067</v>
      </c>
      <c r="N1922" s="4" t="str">
        <f>IFERROR(__XLUDF.DUMMYFUNCTION("VLOOKUP(M499,IMPORTRANGE(""https://docs.google.com/spreadsheets/d/1opm6ZNvGZ7KditA9TuJwrZ25eFLfTNIkrNnY6mhV5Eg"",""list!A1:C115""),3,TRUE)"),"le secteur du conseil en management")</f>
        <v xml:space="preserve">le secteur du conseil en management</v>
      </c>
      <c r="O1922" s="4" t="s">
        <v>13555</v>
      </c>
      <c r="P1922" s="4">
        <v>15</v>
      </c>
      <c r="Q1922" s="4" t="s">
        <v>39</v>
      </c>
      <c r="R1922" s="4" t="s">
        <v>9160</v>
      </c>
      <c r="S1922" s="4" t="s">
        <v>29</v>
      </c>
      <c r="T1922" s="5" t="s">
        <v>13556</v>
      </c>
      <c r="U1922" s="6"/>
      <c r="V1922" s="6"/>
      <c r="W1922" s="6"/>
      <c r="X1922" s="6"/>
      <c r="Y1922" s="4" t="s">
        <v>13557</v>
      </c>
      <c r="Z1922" s="6"/>
      <c r="AA1922" s="5" t="s">
        <v>14156</v>
      </c>
    </row>
    <row r="1923" ht="14.25">
      <c r="B1923" s="4" t="s">
        <v>14157</v>
      </c>
      <c r="C1923" s="4" t="s">
        <v>5579</v>
      </c>
      <c r="D1923" s="4" t="s">
        <v>1183</v>
      </c>
      <c r="E1923" s="4" t="s">
        <v>14158</v>
      </c>
      <c r="F1923" s="4" t="s">
        <v>14159</v>
      </c>
      <c r="G1923" s="4" t="s">
        <v>14160</v>
      </c>
      <c r="H1923" s="4" t="str">
        <f>IFERROR(__XLUDF.DUMMYFUNCTION("PROPER(REGEXREPLACE(G500,""[^A-Za-z]+ "",""""))"),"Janus France")</f>
        <v xml:space="preserve">Janus France</v>
      </c>
      <c r="I1923" s="5" t="s">
        <v>14161</v>
      </c>
      <c r="J1923" s="4" t="s">
        <v>14162</v>
      </c>
      <c r="K1923" s="4" t="s">
        <v>9281</v>
      </c>
      <c r="L1923" s="4" t="s">
        <v>29</v>
      </c>
      <c r="M1923" s="4" t="s">
        <v>9239</v>
      </c>
      <c r="N1923" s="4" t="str">
        <f>IFERROR(__XLUDF.DUMMYFUNCTION("VLOOKUP(M500,IMPORTRANGE(""https://docs.google.com/spreadsheets/d/1opm6ZNvGZ7KditA9TuJwrZ25eFLfTNIkrNnY6mhV5Eg"",""list!A1:C115""),3,TRUE)"),"le secteur de la construction")</f>
        <v xml:space="preserve">le secteur de la construction</v>
      </c>
      <c r="O1923" s="4" t="s">
        <v>14163</v>
      </c>
      <c r="P1923" s="4">
        <v>15</v>
      </c>
      <c r="Q1923" s="4" t="s">
        <v>4857</v>
      </c>
      <c r="R1923" s="4" t="s">
        <v>9281</v>
      </c>
      <c r="S1923" s="4" t="s">
        <v>29</v>
      </c>
      <c r="T1923" s="5" t="s">
        <v>14164</v>
      </c>
      <c r="U1923" s="5" t="s">
        <v>14165</v>
      </c>
      <c r="V1923" s="5" t="s">
        <v>14166</v>
      </c>
      <c r="W1923" s="6"/>
      <c r="X1923" s="6"/>
      <c r="Y1923" s="4" t="s">
        <v>14167</v>
      </c>
      <c r="Z1923" s="6"/>
      <c r="AA1923" s="5" t="s">
        <v>14168</v>
      </c>
    </row>
    <row r="1924" ht="14.25">
      <c r="B1924" s="4" t="s">
        <v>14169</v>
      </c>
      <c r="C1924" s="4" t="s">
        <v>3411</v>
      </c>
      <c r="D1924" s="4" t="s">
        <v>14170</v>
      </c>
      <c r="E1924" s="4" t="s">
        <v>14171</v>
      </c>
      <c r="F1924" s="4" t="s">
        <v>14172</v>
      </c>
      <c r="G1924" s="4" t="s">
        <v>14173</v>
      </c>
      <c r="H1924" s="4" t="str">
        <f>IFERROR(__XLUDF.DUMMYFUNCTION("PROPER(REGEXREPLACE(G501,""[^A-Za-z]+ "",""""))"),"Cap Cession France")</f>
        <v xml:space="preserve">Cap Cession France</v>
      </c>
      <c r="I1924" s="5" t="s">
        <v>14174</v>
      </c>
      <c r="J1924" s="4" t="s">
        <v>49</v>
      </c>
      <c r="K1924" s="4" t="s">
        <v>9251</v>
      </c>
      <c r="L1924" s="4" t="s">
        <v>29</v>
      </c>
      <c r="M1924" s="4" t="s">
        <v>4067</v>
      </c>
      <c r="N1924" s="4" t="str">
        <f>IFERROR(__XLUDF.DUMMYFUNCTION("VLOOKUP(M501,IMPORTRANGE(""https://docs.google.com/spreadsheets/d/1opm6ZNvGZ7KditA9TuJwrZ25eFLfTNIkrNnY6mhV5Eg"",""list!A1:C115""),3,TRUE)"),"le secteur du conseil en management")</f>
        <v xml:space="preserve">le secteur du conseil en management</v>
      </c>
      <c r="O1924" s="4" t="s">
        <v>14175</v>
      </c>
      <c r="P1924" s="4">
        <v>40</v>
      </c>
      <c r="Q1924" s="4" t="s">
        <v>49</v>
      </c>
      <c r="R1924" s="4" t="s">
        <v>9251</v>
      </c>
      <c r="S1924" s="4" t="s">
        <v>29</v>
      </c>
      <c r="T1924" s="5" t="s">
        <v>14176</v>
      </c>
      <c r="U1924" s="6"/>
      <c r="V1924" s="6"/>
      <c r="W1924" s="6"/>
      <c r="X1924" s="6"/>
      <c r="Y1924" s="4" t="s">
        <v>5069</v>
      </c>
      <c r="Z1924" s="6"/>
      <c r="AA1924" s="5" t="s">
        <v>14177</v>
      </c>
    </row>
    <row r="1925" ht="14.25">
      <c r="B1925" s="4" t="s">
        <v>14178</v>
      </c>
      <c r="C1925" s="4" t="s">
        <v>1605</v>
      </c>
      <c r="D1925" s="4" t="s">
        <v>14179</v>
      </c>
      <c r="E1925" s="4" t="s">
        <v>14180</v>
      </c>
      <c r="F1925" s="4" t="s">
        <v>1130</v>
      </c>
      <c r="G1925" s="4" t="s">
        <v>14181</v>
      </c>
      <c r="H1925" s="4" t="str">
        <f>IFERROR(__XLUDF.DUMMYFUNCTION("PROPER(REGEXREPLACE(G502,""[^A-Za-z]+ "",""""))"),"Axe-Ing")</f>
        <v>Axe-Ing</v>
      </c>
      <c r="I1925" s="5" t="s">
        <v>14182</v>
      </c>
      <c r="J1925" s="4" t="s">
        <v>39</v>
      </c>
      <c r="K1925" s="4" t="s">
        <v>9160</v>
      </c>
      <c r="L1925" s="4" t="s">
        <v>29</v>
      </c>
      <c r="M1925" s="4" t="s">
        <v>9239</v>
      </c>
      <c r="N1925" s="4" t="str">
        <f>IFERROR(__XLUDF.DUMMYFUNCTION("VLOOKUP(M502,IMPORTRANGE(""https://docs.google.com/spreadsheets/d/1opm6ZNvGZ7KditA9TuJwrZ25eFLfTNIkrNnY6mhV5Eg"",""list!A1:C115""),3,TRUE)"),"le secteur de la construction")</f>
        <v xml:space="preserve">le secteur de la construction</v>
      </c>
      <c r="O1925" s="6"/>
      <c r="P1925" s="4">
        <v>13</v>
      </c>
      <c r="Q1925" s="4" t="s">
        <v>14183</v>
      </c>
      <c r="R1925" s="4" t="s">
        <v>9160</v>
      </c>
      <c r="S1925" s="4" t="s">
        <v>29</v>
      </c>
      <c r="T1925" s="5" t="s">
        <v>14184</v>
      </c>
      <c r="U1925" s="6"/>
      <c r="V1925" s="6"/>
      <c r="W1925" s="6"/>
      <c r="X1925" s="6"/>
      <c r="Y1925" s="4" t="s">
        <v>14185</v>
      </c>
      <c r="Z1925" s="6"/>
      <c r="AA1925" s="5" t="s">
        <v>14186</v>
      </c>
    </row>
    <row r="1926" ht="14.25">
      <c r="B1926" s="4" t="s">
        <v>14187</v>
      </c>
      <c r="C1926" s="4" t="s">
        <v>2119</v>
      </c>
      <c r="D1926" s="4" t="s">
        <v>14188</v>
      </c>
      <c r="E1926" s="4" t="s">
        <v>14189</v>
      </c>
      <c r="F1926" s="4" t="s">
        <v>172</v>
      </c>
      <c r="G1926" s="4" t="s">
        <v>14190</v>
      </c>
      <c r="H1926" s="4" t="str">
        <f>IFERROR(__XLUDF.DUMMYFUNCTION("PROPER(REGEXREPLACE(G503,""[^A-Za-z]+ "",""""))"),"Rosenberg Vendome")</f>
        <v xml:space="preserve">Rosenberg Vendome</v>
      </c>
      <c r="I1926" s="5" t="s">
        <v>14191</v>
      </c>
      <c r="J1926" s="4" t="s">
        <v>14192</v>
      </c>
      <c r="K1926" s="4" t="s">
        <v>9798</v>
      </c>
      <c r="L1926" s="4" t="s">
        <v>29</v>
      </c>
      <c r="M1926" s="4" t="s">
        <v>10215</v>
      </c>
      <c r="N1926" s="4" t="str">
        <f>IFERROR(__XLUDF.DUMMYFUNCTION("VLOOKUP(M503,IMPORTRANGE(""https://docs.google.com/spreadsheets/d/1opm6ZNvGZ7KditA9TuJwrZ25eFLfTNIkrNnY6mhV5Eg"",""list!A1:C115""),3,TRUE)"),"le secteur de l'électrique et électronique")</f>
        <v xml:space="preserve">le secteur de l'électrique et électronique</v>
      </c>
      <c r="O1926" s="4" t="s">
        <v>14193</v>
      </c>
      <c r="P1926" s="4">
        <v>38</v>
      </c>
      <c r="Q1926" s="4" t="s">
        <v>14194</v>
      </c>
      <c r="R1926" s="4" t="s">
        <v>9798</v>
      </c>
      <c r="S1926" s="4" t="s">
        <v>29</v>
      </c>
      <c r="T1926" s="5" t="s">
        <v>14195</v>
      </c>
      <c r="U1926" s="6"/>
      <c r="V1926" s="5" t="s">
        <v>14196</v>
      </c>
      <c r="W1926" s="6"/>
      <c r="X1926" s="6"/>
      <c r="Y1926" s="4" t="s">
        <v>14197</v>
      </c>
      <c r="Z1926" s="6"/>
      <c r="AA1926" s="5" t="s">
        <v>14198</v>
      </c>
    </row>
    <row r="1927" ht="14.25">
      <c r="B1927" s="4" t="s">
        <v>14199</v>
      </c>
      <c r="C1927" s="4" t="s">
        <v>2119</v>
      </c>
      <c r="D1927" s="4" t="s">
        <v>14200</v>
      </c>
      <c r="E1927" s="4" t="s">
        <v>14201</v>
      </c>
      <c r="F1927" s="4" t="s">
        <v>14202</v>
      </c>
      <c r="G1927" s="4" t="s">
        <v>14203</v>
      </c>
      <c r="H1927" s="4" t="str">
        <f>IFERROR(__XLUDF.DUMMYFUNCTION("PROPER(REGEXREPLACE(G504,""[^A-Za-z]+ "",""""))"),"Axe International")</f>
        <v xml:space="preserve">Axe International</v>
      </c>
      <c r="I1927" s="5" t="s">
        <v>14204</v>
      </c>
      <c r="J1927" s="4" t="s">
        <v>39</v>
      </c>
      <c r="K1927" s="4" t="s">
        <v>9160</v>
      </c>
      <c r="L1927" s="4" t="s">
        <v>29</v>
      </c>
      <c r="M1927" s="4" t="s">
        <v>9184</v>
      </c>
      <c r="N1927" s="4" t="str">
        <f>IFERROR(__XLUDF.DUMMYFUNCTION("VLOOKUP(M504,IMPORTRANGE(""https://docs.google.com/spreadsheets/d/1opm6ZNvGZ7KditA9TuJwrZ25eFLfTNIkrNnY6mhV5Eg"",""list!A1:C115""),3,TRUE)"),"le secteur des télécommunications")</f>
        <v xml:space="preserve">le secteur des télécommunications</v>
      </c>
      <c r="O1927" s="4" t="s">
        <v>14205</v>
      </c>
      <c r="P1927" s="4">
        <v>12</v>
      </c>
      <c r="Q1927" s="4" t="s">
        <v>14206</v>
      </c>
      <c r="R1927" s="4" t="s">
        <v>9160</v>
      </c>
      <c r="S1927" s="4" t="s">
        <v>29</v>
      </c>
      <c r="T1927" s="5" t="s">
        <v>14207</v>
      </c>
      <c r="U1927" s="6"/>
      <c r="V1927" s="5" t="s">
        <v>14208</v>
      </c>
      <c r="W1927" s="6"/>
      <c r="X1927" s="6"/>
      <c r="Y1927" s="4" t="s">
        <v>14209</v>
      </c>
      <c r="Z1927" s="6"/>
      <c r="AA1927" s="5" t="s">
        <v>14210</v>
      </c>
    </row>
    <row r="1928" ht="14.25">
      <c r="B1928" s="4" t="s">
        <v>14211</v>
      </c>
      <c r="C1928" s="4" t="s">
        <v>2771</v>
      </c>
      <c r="D1928" s="4" t="s">
        <v>14212</v>
      </c>
      <c r="E1928" s="4" t="s">
        <v>14213</v>
      </c>
      <c r="F1928" s="4" t="s">
        <v>14214</v>
      </c>
      <c r="G1928" s="4" t="s">
        <v>14215</v>
      </c>
      <c r="H1928" s="4" t="str">
        <f>IFERROR(__XLUDF.DUMMYFUNCTION("PROPER(REGEXREPLACE(G505,""[^A-Za-z]+ "",""""))"),"Idem Sas")</f>
        <v xml:space="preserve">Idem Sas</v>
      </c>
      <c r="I1928" s="5" t="s">
        <v>14216</v>
      </c>
      <c r="J1928" s="4" t="s">
        <v>13294</v>
      </c>
      <c r="K1928" s="4" t="s">
        <v>9281</v>
      </c>
      <c r="L1928" s="4" t="s">
        <v>29</v>
      </c>
      <c r="M1928" s="4" t="s">
        <v>9239</v>
      </c>
      <c r="N1928" s="4" t="str">
        <f>IFERROR(__XLUDF.DUMMYFUNCTION("VLOOKUP(M505,IMPORTRANGE(""https://docs.google.com/spreadsheets/d/1opm6ZNvGZ7KditA9TuJwrZ25eFLfTNIkrNnY6mhV5Eg"",""list!A1:C115""),3,TRUE)"),"le secteur de la construction")</f>
        <v xml:space="preserve">le secteur de la construction</v>
      </c>
      <c r="O1928" s="6"/>
      <c r="P1928" s="4">
        <v>27</v>
      </c>
      <c r="Q1928" s="4" t="s">
        <v>13294</v>
      </c>
      <c r="R1928" s="4" t="s">
        <v>9731</v>
      </c>
      <c r="S1928" s="4" t="s">
        <v>29</v>
      </c>
      <c r="T1928" s="5" t="s">
        <v>14217</v>
      </c>
      <c r="U1928" s="6"/>
      <c r="V1928" s="6"/>
      <c r="W1928" s="6"/>
      <c r="X1928" s="6"/>
      <c r="Y1928" s="4" t="s">
        <v>14218</v>
      </c>
      <c r="Z1928" s="6"/>
      <c r="AA1928" s="5" t="s">
        <v>14219</v>
      </c>
    </row>
    <row r="1929" ht="14.25">
      <c r="B1929" s="4" t="s">
        <v>14220</v>
      </c>
      <c r="C1929" s="4" t="s">
        <v>3142</v>
      </c>
      <c r="D1929" s="4" t="s">
        <v>14221</v>
      </c>
      <c r="E1929" s="4" t="s">
        <v>14222</v>
      </c>
      <c r="F1929" s="4" t="s">
        <v>14223</v>
      </c>
      <c r="G1929" s="4" t="s">
        <v>14224</v>
      </c>
      <c r="H1929" s="4" t="str">
        <f>IFERROR(__XLUDF.DUMMYFUNCTION("PROPER(REGEXREPLACE(G506,""[^A-Za-z]+ "",""""))"),"Insepti")</f>
        <v>Insepti</v>
      </c>
      <c r="I1929" s="5" t="s">
        <v>14225</v>
      </c>
      <c r="J1929" s="4" t="s">
        <v>846</v>
      </c>
      <c r="K1929" s="4" t="s">
        <v>9278</v>
      </c>
      <c r="L1929" s="4" t="s">
        <v>29</v>
      </c>
      <c r="M1929" s="4" t="s">
        <v>2602</v>
      </c>
      <c r="N1929" s="4" t="str">
        <f>IFERROR(__XLUDF.DUMMYFUNCTION("VLOOKUP(M506,IMPORTRANGE(""https://docs.google.com/spreadsheets/d/1opm6ZNvGZ7KditA9TuJwrZ25eFLfTNIkrNnY6mhV5Eg"",""list!A1:C115""),3,TRUE)"),"le secteur de la tech")</f>
        <v xml:space="preserve">le secteur de la tech</v>
      </c>
      <c r="O1929" s="4" t="s">
        <v>14226</v>
      </c>
      <c r="P1929" s="4">
        <v>23</v>
      </c>
      <c r="Q1929" s="4" t="s">
        <v>10537</v>
      </c>
      <c r="R1929" s="4" t="s">
        <v>9281</v>
      </c>
      <c r="S1929" s="4" t="s">
        <v>29</v>
      </c>
      <c r="T1929" s="5" t="s">
        <v>14227</v>
      </c>
      <c r="U1929" s="5" t="s">
        <v>14228</v>
      </c>
      <c r="V1929" s="6"/>
      <c r="W1929" s="6"/>
      <c r="X1929" s="6"/>
      <c r="Y1929" s="4" t="s">
        <v>14229</v>
      </c>
      <c r="Z1929" s="6"/>
      <c r="AA1929" s="5" t="s">
        <v>14230</v>
      </c>
    </row>
    <row r="1930" ht="14.25">
      <c r="B1930" s="4" t="s">
        <v>14231</v>
      </c>
      <c r="C1930" s="4" t="s">
        <v>4522</v>
      </c>
      <c r="D1930" s="4" t="s">
        <v>14232</v>
      </c>
      <c r="E1930" s="4" t="s">
        <v>14233</v>
      </c>
      <c r="F1930" s="4" t="s">
        <v>1130</v>
      </c>
      <c r="G1930" s="4" t="s">
        <v>14234</v>
      </c>
      <c r="H1930" s="4" t="str">
        <f>IFERROR(__XLUDF.DUMMYFUNCTION("PROPER(REGEXREPLACE(G507,""[^A-Za-z]+ "",""""))"),"Royal Service")</f>
        <v xml:space="preserve">Royal Service</v>
      </c>
      <c r="I1930" s="5" t="s">
        <v>14235</v>
      </c>
      <c r="J1930" s="4" t="s">
        <v>14236</v>
      </c>
      <c r="K1930" s="4" t="s">
        <v>9160</v>
      </c>
      <c r="L1930" s="4" t="s">
        <v>29</v>
      </c>
      <c r="M1930" s="4" t="s">
        <v>4525</v>
      </c>
      <c r="N1930" s="4" t="str">
        <f>IFERROR(__XLUDF.DUMMYFUNCTION("VLOOKUP(M507,IMPORTRANGE(""https://docs.google.com/spreadsheets/d/1opm6ZNvGZ7KditA9TuJwrZ25eFLfTNIkrNnY6mhV5Eg"",""list!A1:C115""),3,TRUE)"),"le secteur du retail")</f>
        <v xml:space="preserve">le secteur du retail</v>
      </c>
      <c r="O1930" s="6"/>
      <c r="P1930" s="4">
        <v>25</v>
      </c>
      <c r="Q1930" s="4" t="s">
        <v>14237</v>
      </c>
      <c r="R1930" s="4" t="s">
        <v>9160</v>
      </c>
      <c r="S1930" s="4" t="s">
        <v>29</v>
      </c>
      <c r="T1930" s="5" t="s">
        <v>14238</v>
      </c>
      <c r="U1930" s="6"/>
      <c r="V1930" s="5" t="s">
        <v>14239</v>
      </c>
      <c r="W1930" s="6"/>
      <c r="X1930" s="6"/>
      <c r="Y1930" s="4" t="s">
        <v>14240</v>
      </c>
      <c r="Z1930" s="6"/>
      <c r="AA1930" s="5" t="s">
        <v>14241</v>
      </c>
    </row>
    <row r="1931" ht="14.25">
      <c r="B1931" s="4" t="s">
        <v>14242</v>
      </c>
      <c r="C1931" s="4" t="s">
        <v>425</v>
      </c>
      <c r="D1931" s="4" t="s">
        <v>14243</v>
      </c>
      <c r="E1931" s="4" t="s">
        <v>14244</v>
      </c>
      <c r="F1931" s="4" t="s">
        <v>1130</v>
      </c>
      <c r="G1931" s="4" t="s">
        <v>14245</v>
      </c>
      <c r="H1931" s="4" t="str">
        <f>IFERROR(__XLUDF.DUMMYFUNCTION("PROPER(REGEXREPLACE(G508,""[^A-Za-z]+ "",""""))"),"Creo France")</f>
        <v xml:space="preserve">Creo France</v>
      </c>
      <c r="I1931" s="5" t="s">
        <v>14246</v>
      </c>
      <c r="J1931" s="6"/>
      <c r="K1931" s="6"/>
      <c r="L1931" s="4" t="s">
        <v>29</v>
      </c>
      <c r="M1931" s="4" t="s">
        <v>9239</v>
      </c>
      <c r="N1931" s="4" t="str">
        <f>IFERROR(__XLUDF.DUMMYFUNCTION("VLOOKUP(M508,IMPORTRANGE(""https://docs.google.com/spreadsheets/d/1opm6ZNvGZ7KditA9TuJwrZ25eFLfTNIkrNnY6mhV5Eg"",""list!A1:C115""),3,TRUE)"),"le secteur de la construction")</f>
        <v xml:space="preserve">le secteur de la construction</v>
      </c>
      <c r="O1931" s="6"/>
      <c r="P1931" s="4">
        <v>10</v>
      </c>
      <c r="Q1931" s="6"/>
      <c r="R1931" s="6"/>
      <c r="S1931" s="6"/>
      <c r="T1931" s="5" t="s">
        <v>14247</v>
      </c>
      <c r="U1931" s="6"/>
      <c r="V1931" s="6"/>
      <c r="W1931" s="6"/>
      <c r="X1931" s="6"/>
      <c r="Y1931" s="4" t="s">
        <v>14248</v>
      </c>
      <c r="Z1931" s="6"/>
      <c r="AA1931" s="5" t="s">
        <v>14249</v>
      </c>
    </row>
    <row r="1932" ht="14.25">
      <c r="B1932" s="4" t="s">
        <v>14250</v>
      </c>
      <c r="C1932" s="4" t="s">
        <v>14251</v>
      </c>
      <c r="D1932" s="4" t="s">
        <v>14252</v>
      </c>
      <c r="E1932" s="4" t="s">
        <v>14253</v>
      </c>
      <c r="F1932" s="4" t="s">
        <v>14254</v>
      </c>
      <c r="G1932" s="4" t="s">
        <v>14255</v>
      </c>
      <c r="H1932" s="4" t="str">
        <f>IFERROR(__XLUDF.DUMMYFUNCTION("PROPER(REGEXREPLACE(G509,""[^A-Za-z]+ "",""""))"),"Qpq International")</f>
        <v xml:space="preserve">Qpq International</v>
      </c>
      <c r="I1932" s="4" t="s">
        <v>14256</v>
      </c>
      <c r="J1932" s="6"/>
      <c r="K1932" s="6"/>
      <c r="L1932" s="4" t="s">
        <v>29</v>
      </c>
      <c r="M1932" s="4" t="s">
        <v>14257</v>
      </c>
      <c r="N1932" s="4" t="str">
        <f>IFERROR(__XLUDF.DUMMYFUNCTION("VLOOKUP(M509,IMPORTRANGE(""https://docs.google.com/spreadsheets/d/1opm6ZNvGZ7KditA9TuJwrZ25eFLfTNIkrNnY6mhV5Eg"",""list!A1:C115""),3,TRUE)"),"le secteur de l'investissement")</f>
        <v xml:space="preserve">le secteur de l'investissement</v>
      </c>
      <c r="O1932" s="4" t="s">
        <v>14258</v>
      </c>
      <c r="P1932" s="4">
        <v>22</v>
      </c>
      <c r="Q1932" s="4" t="s">
        <v>14259</v>
      </c>
      <c r="R1932" s="4" t="s">
        <v>14259</v>
      </c>
      <c r="S1932" s="4" t="s">
        <v>6166</v>
      </c>
      <c r="T1932" s="5" t="s">
        <v>14260</v>
      </c>
      <c r="U1932" s="6"/>
      <c r="V1932" s="6"/>
      <c r="W1932" s="6"/>
      <c r="X1932" s="6"/>
      <c r="Y1932" s="4" t="s">
        <v>14261</v>
      </c>
      <c r="Z1932" s="6"/>
      <c r="AA1932" s="5" t="s">
        <v>14262</v>
      </c>
    </row>
    <row r="1933" ht="14.25">
      <c r="B1933" s="4" t="s">
        <v>14263</v>
      </c>
      <c r="C1933" s="4" t="s">
        <v>14264</v>
      </c>
      <c r="D1933" s="4" t="s">
        <v>14265</v>
      </c>
      <c r="E1933" s="4" t="s">
        <v>14266</v>
      </c>
      <c r="F1933" s="4" t="s">
        <v>14267</v>
      </c>
      <c r="G1933" s="4" t="s">
        <v>14268</v>
      </c>
      <c r="H1933" s="4" t="str">
        <f>IFERROR(__XLUDF.DUMMYFUNCTION("PROPER(REGEXREPLACE(G510,""[^A-Za-z]+ "",""""))"),"Guidap")</f>
        <v>Guidap</v>
      </c>
      <c r="I1933" s="5" t="s">
        <v>14269</v>
      </c>
      <c r="J1933" s="4" t="s">
        <v>83</v>
      </c>
      <c r="K1933" s="4" t="s">
        <v>9460</v>
      </c>
      <c r="L1933" s="4" t="s">
        <v>29</v>
      </c>
      <c r="M1933" s="4" t="s">
        <v>2602</v>
      </c>
      <c r="N1933" s="4" t="str">
        <f>IFERROR(__XLUDF.DUMMYFUNCTION("VLOOKUP(M510,IMPORTRANGE(""https://docs.google.com/spreadsheets/d/1opm6ZNvGZ7KditA9TuJwrZ25eFLfTNIkrNnY6mhV5Eg"",""list!A1:C115""),3,TRUE)"),"le secteur de la tech")</f>
        <v xml:space="preserve">le secteur de la tech</v>
      </c>
      <c r="O1933" s="4" t="s">
        <v>14270</v>
      </c>
      <c r="P1933" s="4">
        <v>12</v>
      </c>
      <c r="Q1933" s="4" t="s">
        <v>83</v>
      </c>
      <c r="R1933" s="4" t="s">
        <v>9460</v>
      </c>
      <c r="S1933" s="4" t="s">
        <v>29</v>
      </c>
      <c r="T1933" s="5" t="s">
        <v>14271</v>
      </c>
      <c r="U1933" s="6"/>
      <c r="V1933" s="5" t="s">
        <v>14272</v>
      </c>
      <c r="W1933" s="6"/>
      <c r="X1933" s="6"/>
      <c r="Y1933" s="4" t="s">
        <v>14273</v>
      </c>
      <c r="Z1933" s="6"/>
      <c r="AA1933" s="5" t="s">
        <v>14274</v>
      </c>
    </row>
    <row r="1934" ht="14.25">
      <c r="B1934" s="4" t="s">
        <v>14275</v>
      </c>
      <c r="C1934" s="4" t="s">
        <v>14276</v>
      </c>
      <c r="D1934" s="4" t="s">
        <v>14277</v>
      </c>
      <c r="E1934" s="4" t="s">
        <v>14278</v>
      </c>
      <c r="F1934" s="4" t="s">
        <v>13589</v>
      </c>
      <c r="G1934" s="4" t="s">
        <v>14279</v>
      </c>
      <c r="H1934" s="4" t="str">
        <f>IFERROR(__XLUDF.DUMMYFUNCTION("PROPER(REGEXREPLACE(G511,""[^A-Za-z]+ "",""""))"),"Tuleap")</f>
        <v>Tuleap</v>
      </c>
      <c r="I1934" s="5" t="s">
        <v>14280</v>
      </c>
      <c r="J1934" s="4" t="s">
        <v>185</v>
      </c>
      <c r="K1934" s="4" t="s">
        <v>9193</v>
      </c>
      <c r="L1934" s="4" t="s">
        <v>29</v>
      </c>
      <c r="M1934" s="4" t="s">
        <v>2602</v>
      </c>
      <c r="N1934" s="4" t="str">
        <f>IFERROR(__XLUDF.DUMMYFUNCTION("VLOOKUP(M511,IMPORTRANGE(""https://docs.google.com/spreadsheets/d/1opm6ZNvGZ7KditA9TuJwrZ25eFLfTNIkrNnY6mhV5Eg"",""list!A1:C115""),3,TRUE)"),"le secteur de la tech")</f>
        <v xml:space="preserve">le secteur de la tech</v>
      </c>
      <c r="O1934" s="4" t="s">
        <v>14281</v>
      </c>
      <c r="P1934" s="4">
        <v>19</v>
      </c>
      <c r="Q1934" s="4" t="s">
        <v>14282</v>
      </c>
      <c r="R1934" s="4" t="s">
        <v>9193</v>
      </c>
      <c r="S1934" s="4" t="s">
        <v>29</v>
      </c>
      <c r="T1934" s="5" t="s">
        <v>14283</v>
      </c>
      <c r="U1934" s="5" t="s">
        <v>14284</v>
      </c>
      <c r="V1934" s="6"/>
      <c r="W1934" s="6"/>
      <c r="X1934" s="6"/>
      <c r="Y1934" s="4" t="s">
        <v>14285</v>
      </c>
      <c r="Z1934" s="6"/>
      <c r="AA1934" s="5" t="s">
        <v>14286</v>
      </c>
    </row>
    <row r="1935" ht="14.25">
      <c r="B1935" s="4" t="s">
        <v>14287</v>
      </c>
      <c r="C1935" s="4" t="s">
        <v>2119</v>
      </c>
      <c r="D1935" s="4" t="s">
        <v>14288</v>
      </c>
      <c r="E1935" s="4" t="s">
        <v>14289</v>
      </c>
      <c r="F1935" s="4" t="s">
        <v>112</v>
      </c>
      <c r="G1935" s="4" t="s">
        <v>14290</v>
      </c>
      <c r="H1935" s="4" t="str">
        <f>IFERROR(__XLUDF.DUMMYFUNCTION("PROPER(REGEXREPLACE(G512,""[^A-Za-z]+ "",""""))"),"Veriqloud")</f>
        <v>Veriqloud</v>
      </c>
      <c r="I1935" s="5" t="s">
        <v>14291</v>
      </c>
      <c r="J1935" s="4" t="s">
        <v>9403</v>
      </c>
      <c r="K1935" s="4" t="s">
        <v>9160</v>
      </c>
      <c r="L1935" s="4" t="s">
        <v>29</v>
      </c>
      <c r="M1935" s="4" t="s">
        <v>2602</v>
      </c>
      <c r="N1935" s="4" t="str">
        <f>IFERROR(__XLUDF.DUMMYFUNCTION("VLOOKUP(M512,IMPORTRANGE(""https://docs.google.com/spreadsheets/d/1opm6ZNvGZ7KditA9TuJwrZ25eFLfTNIkrNnY6mhV5Eg"",""list!A1:C115""),3,TRUE)"),"le secteur de la tech")</f>
        <v xml:space="preserve">le secteur de la tech</v>
      </c>
      <c r="O1935" s="4" t="s">
        <v>14292</v>
      </c>
      <c r="P1935" s="4">
        <v>21</v>
      </c>
      <c r="Q1935" s="4" t="s">
        <v>39</v>
      </c>
      <c r="R1935" s="4" t="s">
        <v>9160</v>
      </c>
      <c r="S1935" s="4" t="s">
        <v>29</v>
      </c>
      <c r="T1935" s="5" t="s">
        <v>14293</v>
      </c>
      <c r="U1935" s="6"/>
      <c r="V1935" s="6"/>
      <c r="W1935" s="6"/>
      <c r="X1935" s="6"/>
      <c r="Y1935" s="4" t="s">
        <v>14294</v>
      </c>
      <c r="Z1935" s="6"/>
      <c r="AA1935" s="5" t="s">
        <v>14295</v>
      </c>
    </row>
    <row r="1936" ht="14.25">
      <c r="B1936" s="4" t="s">
        <v>14296</v>
      </c>
      <c r="C1936" s="4" t="s">
        <v>2119</v>
      </c>
      <c r="D1936" s="4" t="s">
        <v>14297</v>
      </c>
      <c r="E1936" s="4" t="s">
        <v>14298</v>
      </c>
      <c r="F1936" s="4" t="s">
        <v>14299</v>
      </c>
      <c r="G1936" s="4" t="s">
        <v>14300</v>
      </c>
      <c r="H1936" s="4" t="str">
        <f>IFERROR(__XLUDF.DUMMYFUNCTION("PROPER(REGEXREPLACE(G513,""[^A-Za-z]+ "",""""))"),"Netensia")</f>
        <v>Netensia</v>
      </c>
      <c r="I1936" s="5" t="s">
        <v>14301</v>
      </c>
      <c r="J1936" s="4" t="s">
        <v>731</v>
      </c>
      <c r="K1936" s="4" t="s">
        <v>9227</v>
      </c>
      <c r="L1936" s="4" t="s">
        <v>29</v>
      </c>
      <c r="M1936" s="4" t="s">
        <v>2602</v>
      </c>
      <c r="N1936" s="4" t="str">
        <f>IFERROR(__XLUDF.DUMMYFUNCTION("VLOOKUP(M513,IMPORTRANGE(""https://docs.google.com/spreadsheets/d/1opm6ZNvGZ7KditA9TuJwrZ25eFLfTNIkrNnY6mhV5Eg"",""list!A1:C115""),3,TRUE)"),"le secteur de la tech")</f>
        <v xml:space="preserve">le secteur de la tech</v>
      </c>
      <c r="O1936" s="4" t="s">
        <v>14302</v>
      </c>
      <c r="P1936" s="4">
        <v>10</v>
      </c>
      <c r="Q1936" s="4" t="s">
        <v>731</v>
      </c>
      <c r="R1936" s="4" t="s">
        <v>10973</v>
      </c>
      <c r="S1936" s="4" t="s">
        <v>29</v>
      </c>
      <c r="T1936" s="5" t="s">
        <v>14303</v>
      </c>
      <c r="U1936" s="5" t="s">
        <v>14304</v>
      </c>
      <c r="V1936" s="5" t="s">
        <v>14305</v>
      </c>
      <c r="W1936" s="6"/>
      <c r="X1936" s="6"/>
      <c r="Y1936" s="4" t="s">
        <v>14306</v>
      </c>
      <c r="Z1936" s="6"/>
      <c r="AA1936" s="5" t="s">
        <v>14307</v>
      </c>
    </row>
    <row r="1937" ht="14.25">
      <c r="B1937" s="4" t="s">
        <v>14308</v>
      </c>
      <c r="C1937" s="4" t="s">
        <v>2119</v>
      </c>
      <c r="D1937" s="4" t="s">
        <v>14309</v>
      </c>
      <c r="E1937" s="4" t="s">
        <v>14310</v>
      </c>
      <c r="F1937" s="4" t="s">
        <v>14311</v>
      </c>
      <c r="G1937" s="4" t="s">
        <v>14312</v>
      </c>
      <c r="H1937" s="4" t="str">
        <f>IFERROR(__XLUDF.DUMMYFUNCTION("PROPER(REGEXREPLACE(G514,""[^A-Za-z]+ "",""""))"),"Extend Business Consulting")</f>
        <v xml:space="preserve">Extend Business Consulting</v>
      </c>
      <c r="I1937" s="5" t="s">
        <v>14313</v>
      </c>
      <c r="J1937" s="4" t="s">
        <v>39</v>
      </c>
      <c r="K1937" s="4" t="s">
        <v>9160</v>
      </c>
      <c r="L1937" s="4" t="s">
        <v>29</v>
      </c>
      <c r="M1937" s="4" t="s">
        <v>4067</v>
      </c>
      <c r="N1937" s="4" t="str">
        <f>IFERROR(__XLUDF.DUMMYFUNCTION("VLOOKUP(M514,IMPORTRANGE(""https://docs.google.com/spreadsheets/d/1opm6ZNvGZ7KditA9TuJwrZ25eFLfTNIkrNnY6mhV5Eg"",""list!A1:C115""),3,TRUE)"),"le secteur du conseil en management")</f>
        <v xml:space="preserve">le secteur du conseil en management</v>
      </c>
      <c r="O1937" s="4" t="s">
        <v>14314</v>
      </c>
      <c r="P1937" s="4">
        <v>13</v>
      </c>
      <c r="Q1937" s="4" t="s">
        <v>39</v>
      </c>
      <c r="R1937" s="4" t="s">
        <v>9160</v>
      </c>
      <c r="S1937" s="4" t="s">
        <v>29</v>
      </c>
      <c r="T1937" s="5" t="s">
        <v>14315</v>
      </c>
      <c r="U1937" s="6"/>
      <c r="V1937" s="5" t="s">
        <v>14316</v>
      </c>
      <c r="W1937" s="6"/>
      <c r="X1937" s="6"/>
      <c r="Y1937" s="4" t="s">
        <v>14317</v>
      </c>
      <c r="Z1937" s="6"/>
      <c r="AA1937" s="5" t="s">
        <v>14318</v>
      </c>
    </row>
    <row r="1938" ht="14.25">
      <c r="B1938" s="4" t="s">
        <v>14319</v>
      </c>
      <c r="C1938" s="4" t="s">
        <v>2119</v>
      </c>
      <c r="D1938" s="4" t="s">
        <v>14320</v>
      </c>
      <c r="E1938" s="4" t="s">
        <v>14321</v>
      </c>
      <c r="F1938" s="4" t="s">
        <v>14322</v>
      </c>
      <c r="G1938" s="4" t="s">
        <v>14323</v>
      </c>
      <c r="H1938" s="4" t="str">
        <f>IFERROR(__XLUDF.DUMMYFUNCTION("PROPER(REGEXREPLACE(G515,""[^A-Za-z]+ "",""""))"),"Abil-It")</f>
        <v>Abil-It</v>
      </c>
      <c r="I1938" s="5" t="s">
        <v>14324</v>
      </c>
      <c r="J1938" s="4" t="s">
        <v>39</v>
      </c>
      <c r="K1938" s="4" t="s">
        <v>9160</v>
      </c>
      <c r="L1938" s="4" t="s">
        <v>29</v>
      </c>
      <c r="M1938" s="4" t="s">
        <v>2602</v>
      </c>
      <c r="N1938" s="4" t="str">
        <f>IFERROR(__XLUDF.DUMMYFUNCTION("VLOOKUP(M515,IMPORTRANGE(""https://docs.google.com/spreadsheets/d/1opm6ZNvGZ7KditA9TuJwrZ25eFLfTNIkrNnY6mhV5Eg"",""list!A1:C115""),3,TRUE)"),"le secteur de la tech")</f>
        <v xml:space="preserve">le secteur de la tech</v>
      </c>
      <c r="O1938" s="4" t="s">
        <v>14325</v>
      </c>
      <c r="P1938" s="4">
        <v>19</v>
      </c>
      <c r="Q1938" s="4" t="s">
        <v>1419</v>
      </c>
      <c r="R1938" s="4" t="s">
        <v>9160</v>
      </c>
      <c r="S1938" s="4" t="s">
        <v>29</v>
      </c>
      <c r="T1938" s="5" t="s">
        <v>14326</v>
      </c>
      <c r="U1938" s="6"/>
      <c r="V1938" s="6"/>
      <c r="W1938" s="6"/>
      <c r="X1938" s="6"/>
      <c r="Y1938" s="4" t="s">
        <v>14327</v>
      </c>
      <c r="Z1938" s="6"/>
      <c r="AA1938" s="5" t="s">
        <v>14328</v>
      </c>
    </row>
    <row r="1939" ht="14.25">
      <c r="B1939" s="4" t="s">
        <v>14329</v>
      </c>
      <c r="C1939" s="4" t="s">
        <v>2119</v>
      </c>
      <c r="D1939" s="4" t="s">
        <v>14330</v>
      </c>
      <c r="E1939" s="4" t="s">
        <v>14331</v>
      </c>
      <c r="F1939" s="4" t="s">
        <v>468</v>
      </c>
      <c r="G1939" s="4" t="s">
        <v>14332</v>
      </c>
      <c r="H1939" s="4" t="str">
        <f>IFERROR(__XLUDF.DUMMYFUNCTION("PROPER(REGEXREPLACE(G516,""[^A-Za-z]+ "",""""))"),"Sogilis Level Up Together !")</f>
        <v xml:space="preserve">Sogilis Level Up Together !</v>
      </c>
      <c r="I1939" s="5" t="s">
        <v>14333</v>
      </c>
      <c r="J1939" s="4" t="s">
        <v>1507</v>
      </c>
      <c r="K1939" s="4" t="s">
        <v>9193</v>
      </c>
      <c r="L1939" s="4" t="s">
        <v>29</v>
      </c>
      <c r="M1939" s="4" t="s">
        <v>2602</v>
      </c>
      <c r="N1939" s="4" t="str">
        <f>IFERROR(__XLUDF.DUMMYFUNCTION("VLOOKUP(M516,IMPORTRANGE(""https://docs.google.com/spreadsheets/d/1opm6ZNvGZ7KditA9TuJwrZ25eFLfTNIkrNnY6mhV5Eg"",""list!A1:C115""),3,TRUE)"),"le secteur de la tech")</f>
        <v xml:space="preserve">le secteur de la tech</v>
      </c>
      <c r="O1939" s="4" t="s">
        <v>14334</v>
      </c>
      <c r="P1939" s="4">
        <v>50</v>
      </c>
      <c r="Q1939" s="4" t="s">
        <v>1507</v>
      </c>
      <c r="R1939" s="4" t="s">
        <v>9172</v>
      </c>
      <c r="S1939" s="4" t="s">
        <v>29</v>
      </c>
      <c r="T1939" s="5" t="s">
        <v>14335</v>
      </c>
      <c r="U1939" s="5" t="s">
        <v>14336</v>
      </c>
      <c r="V1939" s="5" t="s">
        <v>14337</v>
      </c>
      <c r="W1939" s="6"/>
      <c r="X1939" s="6"/>
      <c r="Y1939" s="4" t="s">
        <v>14338</v>
      </c>
      <c r="Z1939" s="6"/>
      <c r="AA1939" s="5" t="s">
        <v>14339</v>
      </c>
    </row>
    <row r="1940" ht="14.25">
      <c r="B1940" s="4" t="s">
        <v>14340</v>
      </c>
      <c r="C1940" s="4" t="s">
        <v>8428</v>
      </c>
      <c r="D1940" s="4" t="s">
        <v>14341</v>
      </c>
      <c r="E1940" s="4" t="s">
        <v>14342</v>
      </c>
      <c r="F1940" s="4" t="s">
        <v>14343</v>
      </c>
      <c r="G1940" s="4" t="s">
        <v>14344</v>
      </c>
      <c r="H1940" s="4" t="str">
        <f>IFERROR(__XLUDF.DUMMYFUNCTION("PROPER(REGEXREPLACE(G517,""[^A-Za-z]+ "",""""))"),"Gradius Remanufacturing")</f>
        <v xml:space="preserve">Gradius Remanufacturing</v>
      </c>
      <c r="I1940" s="5" t="s">
        <v>14345</v>
      </c>
      <c r="J1940" s="4" t="s">
        <v>14346</v>
      </c>
      <c r="K1940" s="4" t="s">
        <v>9193</v>
      </c>
      <c r="L1940" s="4" t="s">
        <v>29</v>
      </c>
      <c r="M1940" s="4" t="s">
        <v>14347</v>
      </c>
      <c r="N1940" s="4" t="str">
        <f>IFERROR(__XLUDF.DUMMYFUNCTION("VLOOKUP(M517,IMPORTRANGE(""https://docs.google.com/spreadsheets/d/1opm6ZNvGZ7KditA9TuJwrZ25eFLfTNIkrNnY6mhV5Eg"",""list!A1:C115""),3,TRUE)"),"le secteur de la machinerie")</f>
        <v xml:space="preserve">le secteur de la machinerie</v>
      </c>
      <c r="O1940" s="4" t="s">
        <v>14348</v>
      </c>
      <c r="P1940" s="4">
        <v>9</v>
      </c>
      <c r="Q1940" s="4" t="s">
        <v>14349</v>
      </c>
      <c r="R1940" s="4" t="s">
        <v>9193</v>
      </c>
      <c r="S1940" s="4" t="s">
        <v>29</v>
      </c>
      <c r="T1940" s="5" t="s">
        <v>14350</v>
      </c>
      <c r="U1940" s="6"/>
      <c r="V1940" s="5" t="s">
        <v>14351</v>
      </c>
      <c r="W1940" s="6"/>
      <c r="X1940" s="6"/>
      <c r="Y1940" s="4" t="s">
        <v>14352</v>
      </c>
      <c r="Z1940" s="6"/>
      <c r="AA1940" s="5" t="s">
        <v>14353</v>
      </c>
    </row>
    <row r="1941" ht="14.25">
      <c r="B1941" s="4" t="s">
        <v>14354</v>
      </c>
      <c r="C1941" s="4" t="s">
        <v>1499</v>
      </c>
      <c r="D1941" s="4" t="s">
        <v>14355</v>
      </c>
      <c r="E1941" s="4" t="s">
        <v>14356</v>
      </c>
      <c r="F1941" s="4" t="s">
        <v>1130</v>
      </c>
      <c r="G1941" s="4" t="s">
        <v>14357</v>
      </c>
      <c r="H1941" s="4" t="str">
        <f>IFERROR(__XLUDF.DUMMYFUNCTION("PROPER(REGEXREPLACE(G518,""[^A-Za-z]+ "",""""))"),"Resocom")</f>
        <v>Resocom</v>
      </c>
      <c r="I1941" s="5" t="s">
        <v>14358</v>
      </c>
      <c r="J1941" s="4" t="s">
        <v>39</v>
      </c>
      <c r="K1941" s="4" t="s">
        <v>9160</v>
      </c>
      <c r="L1941" s="4" t="s">
        <v>29</v>
      </c>
      <c r="M1941" s="4" t="s">
        <v>4067</v>
      </c>
      <c r="N1941" s="4" t="str">
        <f>IFERROR(__XLUDF.DUMMYFUNCTION("VLOOKUP(M518,IMPORTRANGE(""https://docs.google.com/spreadsheets/d/1opm6ZNvGZ7KditA9TuJwrZ25eFLfTNIkrNnY6mhV5Eg"",""list!A1:C115""),3,TRUE)"),"le secteur du conseil en management")</f>
        <v xml:space="preserve">le secteur du conseil en management</v>
      </c>
      <c r="O1941" s="4" t="s">
        <v>14359</v>
      </c>
      <c r="P1941" s="4">
        <v>13</v>
      </c>
      <c r="Q1941" s="4" t="s">
        <v>39</v>
      </c>
      <c r="R1941" s="4" t="s">
        <v>9160</v>
      </c>
      <c r="S1941" s="4" t="s">
        <v>29</v>
      </c>
      <c r="T1941" s="5" t="s">
        <v>14360</v>
      </c>
      <c r="U1941" s="6"/>
      <c r="V1941" s="5" t="s">
        <v>14361</v>
      </c>
      <c r="W1941" s="6"/>
      <c r="X1941" s="6"/>
      <c r="Y1941" s="4" t="s">
        <v>14362</v>
      </c>
      <c r="Z1941" s="6"/>
      <c r="AA1941" s="5" t="s">
        <v>14363</v>
      </c>
    </row>
    <row r="1942" ht="14.25">
      <c r="B1942" s="4" t="s">
        <v>14364</v>
      </c>
      <c r="C1942" s="4" t="s">
        <v>1499</v>
      </c>
      <c r="D1942" s="4" t="s">
        <v>14365</v>
      </c>
      <c r="E1942" s="4" t="s">
        <v>14366</v>
      </c>
      <c r="F1942" s="4" t="s">
        <v>164</v>
      </c>
      <c r="G1942" s="4" t="s">
        <v>14367</v>
      </c>
      <c r="H1942" s="4" t="str">
        <f>IFERROR(__XLUDF.DUMMYFUNCTION("PROPER(REGEXREPLACE(G519,""[^A-Za-z]+ "",""""))"),"Makeo")</f>
        <v>Makeo</v>
      </c>
      <c r="I1942" s="5" t="s">
        <v>14368</v>
      </c>
      <c r="J1942" s="4" t="s">
        <v>13441</v>
      </c>
      <c r="K1942" s="4" t="s">
        <v>9350</v>
      </c>
      <c r="L1942" s="4" t="s">
        <v>29</v>
      </c>
      <c r="M1942" s="4" t="s">
        <v>2602</v>
      </c>
      <c r="N1942" s="4" t="str">
        <f>IFERROR(__XLUDF.DUMMYFUNCTION("VLOOKUP(M519,IMPORTRANGE(""https://docs.google.com/spreadsheets/d/1opm6ZNvGZ7KditA9TuJwrZ25eFLfTNIkrNnY6mhV5Eg"",""list!A1:C115""),3,TRUE)"),"le secteur de la tech")</f>
        <v xml:space="preserve">le secteur de la tech</v>
      </c>
      <c r="O1942" s="4" t="s">
        <v>14369</v>
      </c>
      <c r="P1942" s="4">
        <v>14</v>
      </c>
      <c r="Q1942" s="4" t="s">
        <v>13441</v>
      </c>
      <c r="R1942" s="4" t="s">
        <v>9350</v>
      </c>
      <c r="S1942" s="4" t="s">
        <v>29</v>
      </c>
      <c r="T1942" s="5" t="s">
        <v>14370</v>
      </c>
      <c r="U1942" s="6"/>
      <c r="V1942" s="6"/>
      <c r="W1942" s="6"/>
      <c r="X1942" s="6"/>
      <c r="Y1942" s="4" t="s">
        <v>14371</v>
      </c>
      <c r="Z1942" s="6"/>
      <c r="AA1942" s="5" t="s">
        <v>14372</v>
      </c>
    </row>
    <row r="1943" ht="14.25">
      <c r="B1943" s="4" t="s">
        <v>14373</v>
      </c>
      <c r="C1943" s="4" t="s">
        <v>1499</v>
      </c>
      <c r="D1943" s="4" t="s">
        <v>14374</v>
      </c>
      <c r="E1943" s="4" t="s">
        <v>14375</v>
      </c>
      <c r="F1943" s="4" t="s">
        <v>14376</v>
      </c>
      <c r="G1943" s="4" t="s">
        <v>14377</v>
      </c>
      <c r="H1943" s="4" t="str">
        <f>IFERROR(__XLUDF.DUMMYFUNCTION("PROPER(REGEXREPLACE(G520,""[^A-Za-z]+ "",""""))"),"Apya")</f>
        <v>Apya</v>
      </c>
      <c r="I1943" s="5" t="s">
        <v>14378</v>
      </c>
      <c r="J1943" s="4" t="s">
        <v>39</v>
      </c>
      <c r="K1943" s="4" t="s">
        <v>9160</v>
      </c>
      <c r="L1943" s="4" t="s">
        <v>29</v>
      </c>
      <c r="M1943" s="4" t="s">
        <v>4067</v>
      </c>
      <c r="N1943" s="4" t="str">
        <f>IFERROR(__XLUDF.DUMMYFUNCTION("VLOOKUP(M520,IMPORTRANGE(""https://docs.google.com/spreadsheets/d/1opm6ZNvGZ7KditA9TuJwrZ25eFLfTNIkrNnY6mhV5Eg"",""list!A1:C115""),3,TRUE)"),"le secteur du conseil en management")</f>
        <v xml:space="preserve">le secteur du conseil en management</v>
      </c>
      <c r="O1943" s="4" t="s">
        <v>14379</v>
      </c>
      <c r="P1943" s="4">
        <v>17</v>
      </c>
      <c r="Q1943" s="4" t="s">
        <v>39</v>
      </c>
      <c r="R1943" s="4" t="s">
        <v>9160</v>
      </c>
      <c r="S1943" s="4" t="s">
        <v>29</v>
      </c>
      <c r="T1943" s="5" t="s">
        <v>14380</v>
      </c>
      <c r="U1943" s="6"/>
      <c r="V1943" s="6"/>
      <c r="W1943" s="6"/>
      <c r="X1943" s="6"/>
      <c r="Y1943" s="4" t="s">
        <v>14381</v>
      </c>
      <c r="Z1943" s="6"/>
      <c r="AA1943" s="5" t="s">
        <v>14382</v>
      </c>
    </row>
    <row r="1944" ht="14.25">
      <c r="B1944" s="4" t="s">
        <v>14383</v>
      </c>
      <c r="C1944" s="4" t="s">
        <v>1499</v>
      </c>
      <c r="D1944" s="4" t="s">
        <v>14384</v>
      </c>
      <c r="E1944" s="4" t="s">
        <v>14385</v>
      </c>
      <c r="F1944" s="4" t="s">
        <v>14386</v>
      </c>
      <c r="G1944" s="4" t="s">
        <v>14387</v>
      </c>
      <c r="H1944" s="4" t="str">
        <f>IFERROR(__XLUDF.DUMMYFUNCTION("PROPER(REGEXREPLACE(G521,""[^A-Za-z]+ "",""""))"),"Axess Développement")</f>
        <v xml:space="preserve">Axess Développement</v>
      </c>
      <c r="I1944" s="5" t="s">
        <v>14388</v>
      </c>
      <c r="J1944" s="4" t="s">
        <v>1015</v>
      </c>
      <c r="K1944" s="4" t="s">
        <v>9251</v>
      </c>
      <c r="L1944" s="4" t="s">
        <v>29</v>
      </c>
      <c r="M1944" s="4" t="s">
        <v>4067</v>
      </c>
      <c r="N1944" s="4" t="str">
        <f>IFERROR(__XLUDF.DUMMYFUNCTION("VLOOKUP(M521,IMPORTRANGE(""https://docs.google.com/spreadsheets/d/1opm6ZNvGZ7KditA9TuJwrZ25eFLfTNIkrNnY6mhV5Eg"",""list!A1:C115""),3,TRUE)"),"le secteur du conseil en management")</f>
        <v xml:space="preserve">le secteur du conseil en management</v>
      </c>
      <c r="O1944" s="6"/>
      <c r="P1944" s="4">
        <v>10</v>
      </c>
      <c r="Q1944" s="4" t="s">
        <v>1015</v>
      </c>
      <c r="R1944" s="4" t="s">
        <v>9251</v>
      </c>
      <c r="S1944" s="4" t="s">
        <v>29</v>
      </c>
      <c r="T1944" s="5" t="s">
        <v>14389</v>
      </c>
      <c r="U1944" s="6"/>
      <c r="V1944" s="6"/>
      <c r="W1944" s="6"/>
      <c r="X1944" s="6"/>
      <c r="Y1944" s="4" t="s">
        <v>14390</v>
      </c>
      <c r="Z1944" s="6"/>
      <c r="AA1944" s="5" t="s">
        <v>14391</v>
      </c>
    </row>
    <row r="1945" ht="14.25">
      <c r="B1945" s="4" t="s">
        <v>14392</v>
      </c>
      <c r="C1945" s="4" t="s">
        <v>1499</v>
      </c>
      <c r="D1945" s="4" t="s">
        <v>14393</v>
      </c>
      <c r="E1945" s="4" t="s">
        <v>14394</v>
      </c>
      <c r="F1945" s="4" t="s">
        <v>365</v>
      </c>
      <c r="G1945" s="4" t="s">
        <v>14395</v>
      </c>
      <c r="H1945" s="4" t="str">
        <f>IFERROR(__XLUDF.DUMMYFUNCTION("PROPER(REGEXREPLACE(G522,""[^A-Za-z]+ "",""""))"),"Ezacae")</f>
        <v>Ezacae</v>
      </c>
      <c r="I1945" s="5" t="s">
        <v>14396</v>
      </c>
      <c r="J1945" s="4" t="s">
        <v>39</v>
      </c>
      <c r="K1945" s="4" t="s">
        <v>9160</v>
      </c>
      <c r="L1945" s="4" t="s">
        <v>29</v>
      </c>
      <c r="M1945" s="4" t="s">
        <v>2602</v>
      </c>
      <c r="N1945" s="4" t="str">
        <f>IFERROR(__XLUDF.DUMMYFUNCTION("VLOOKUP(M522,IMPORTRANGE(""https://docs.google.com/spreadsheets/d/1opm6ZNvGZ7KditA9TuJwrZ25eFLfTNIkrNnY6mhV5Eg"",""list!A1:C115""),3,TRUE)"),"le secteur de la tech")</f>
        <v xml:space="preserve">le secteur de la tech</v>
      </c>
      <c r="O1945" s="4" t="s">
        <v>14397</v>
      </c>
      <c r="P1945" s="4">
        <v>11</v>
      </c>
      <c r="Q1945" s="4" t="s">
        <v>14398</v>
      </c>
      <c r="R1945" s="4" t="s">
        <v>9267</v>
      </c>
      <c r="S1945" s="4" t="s">
        <v>29</v>
      </c>
      <c r="T1945" s="5" t="s">
        <v>14399</v>
      </c>
      <c r="U1945" s="6"/>
      <c r="V1945" s="6"/>
      <c r="W1945" s="6"/>
      <c r="X1945" s="6"/>
      <c r="Y1945" s="4" t="s">
        <v>14400</v>
      </c>
      <c r="Z1945" s="6"/>
      <c r="AA1945" s="5" t="s">
        <v>14401</v>
      </c>
    </row>
    <row r="1946" ht="14.25">
      <c r="B1946" s="4" t="s">
        <v>14402</v>
      </c>
      <c r="C1946" s="4" t="s">
        <v>14403</v>
      </c>
      <c r="D1946" s="4" t="s">
        <v>14404</v>
      </c>
      <c r="E1946" s="4" t="s">
        <v>14405</v>
      </c>
      <c r="F1946" s="4" t="s">
        <v>14406</v>
      </c>
      <c r="G1946" s="4" t="s">
        <v>14407</v>
      </c>
      <c r="H1946" s="4" t="str">
        <f>IFERROR(__XLUDF.DUMMYFUNCTION("PROPER(REGEXREPLACE(G523,""[^A-Za-z]+ "",""""))"),"Agence Cube")</f>
        <v xml:space="preserve">Agence Cube</v>
      </c>
      <c r="I1946" s="5" t="s">
        <v>14408</v>
      </c>
      <c r="J1946" s="4" t="s">
        <v>585</v>
      </c>
      <c r="K1946" s="4" t="s">
        <v>9160</v>
      </c>
      <c r="L1946" s="4" t="s">
        <v>29</v>
      </c>
      <c r="M1946" s="4" t="s">
        <v>2602</v>
      </c>
      <c r="N1946" s="4" t="str">
        <f>IFERROR(__XLUDF.DUMMYFUNCTION("VLOOKUP(M523,IMPORTRANGE(""https://docs.google.com/spreadsheets/d/1opm6ZNvGZ7KditA9TuJwrZ25eFLfTNIkrNnY6mhV5Eg"",""list!A1:C115""),3,TRUE)"),"le secteur de la tech")</f>
        <v xml:space="preserve">le secteur de la tech</v>
      </c>
      <c r="O1946" s="4" t="s">
        <v>14409</v>
      </c>
      <c r="P1946" s="4">
        <v>26</v>
      </c>
      <c r="Q1946" s="4" t="s">
        <v>39</v>
      </c>
      <c r="R1946" s="4" t="s">
        <v>9160</v>
      </c>
      <c r="S1946" s="4" t="s">
        <v>29</v>
      </c>
      <c r="T1946" s="5" t="s">
        <v>14410</v>
      </c>
      <c r="U1946" s="6"/>
      <c r="V1946" s="6"/>
      <c r="W1946" s="6"/>
      <c r="X1946" s="6"/>
      <c r="Y1946" s="4" t="s">
        <v>14411</v>
      </c>
      <c r="Z1946" s="6"/>
      <c r="AA1946" s="5" t="s">
        <v>14412</v>
      </c>
    </row>
    <row r="1947" ht="14.25">
      <c r="B1947" s="4" t="s">
        <v>14413</v>
      </c>
      <c r="C1947" s="4" t="s">
        <v>14414</v>
      </c>
      <c r="D1947" s="4" t="s">
        <v>1888</v>
      </c>
      <c r="E1947" s="4" t="s">
        <v>14415</v>
      </c>
      <c r="F1947" s="4" t="s">
        <v>2636</v>
      </c>
      <c r="G1947" s="4" t="s">
        <v>14416</v>
      </c>
      <c r="H1947" s="4" t="str">
        <f>IFERROR(__XLUDF.DUMMYFUNCTION("PROPER(REGEXREPLACE(G524,""[^A-Za-z]+ "",""""))"),"France Mentor")</f>
        <v xml:space="preserve">France Mentor</v>
      </c>
      <c r="I1947" s="5" t="s">
        <v>14417</v>
      </c>
      <c r="J1947" s="4" t="s">
        <v>39</v>
      </c>
      <c r="K1947" s="4" t="s">
        <v>9160</v>
      </c>
      <c r="L1947" s="4" t="s">
        <v>29</v>
      </c>
      <c r="M1947" s="4" t="s">
        <v>4067</v>
      </c>
      <c r="N1947" s="4" t="str">
        <f>IFERROR(__XLUDF.DUMMYFUNCTION("VLOOKUP(M524,IMPORTRANGE(""https://docs.google.com/spreadsheets/d/1opm6ZNvGZ7KditA9TuJwrZ25eFLfTNIkrNnY6mhV5Eg"",""list!A1:C115""),3,TRUE)"),"le secteur du conseil en management")</f>
        <v xml:space="preserve">le secteur du conseil en management</v>
      </c>
      <c r="O1947" s="4" t="s">
        <v>14418</v>
      </c>
      <c r="P1947" s="4">
        <v>17</v>
      </c>
      <c r="Q1947" s="4" t="s">
        <v>39</v>
      </c>
      <c r="R1947" s="4" t="s">
        <v>9160</v>
      </c>
      <c r="S1947" s="4" t="s">
        <v>29</v>
      </c>
      <c r="T1947" s="5" t="s">
        <v>14419</v>
      </c>
      <c r="U1947" s="6"/>
      <c r="V1947" s="6"/>
      <c r="W1947" s="6"/>
      <c r="X1947" s="6"/>
      <c r="Y1947" s="4" t="s">
        <v>14420</v>
      </c>
      <c r="Z1947" s="6"/>
      <c r="AA1947" s="5" t="s">
        <v>14421</v>
      </c>
    </row>
    <row r="1948" ht="14.25">
      <c r="B1948" s="4" t="s">
        <v>14422</v>
      </c>
      <c r="C1948" s="4" t="s">
        <v>14423</v>
      </c>
      <c r="D1948" s="4" t="s">
        <v>14424</v>
      </c>
      <c r="E1948" s="4" t="s">
        <v>14425</v>
      </c>
      <c r="F1948" s="4" t="s">
        <v>62</v>
      </c>
      <c r="G1948" s="4" t="s">
        <v>14426</v>
      </c>
      <c r="H1948" s="4" t="str">
        <f>IFERROR(__XLUDF.DUMMYFUNCTION("PROPER(REGEXREPLACE(G525,""[^A-Za-z]+ "",""""))"),"Wiregate")</f>
        <v>Wiregate</v>
      </c>
      <c r="I1948" s="5" t="s">
        <v>14427</v>
      </c>
      <c r="J1948" s="4" t="s">
        <v>14428</v>
      </c>
      <c r="K1948" s="4" t="s">
        <v>9193</v>
      </c>
      <c r="L1948" s="4" t="s">
        <v>29</v>
      </c>
      <c r="M1948" s="4" t="s">
        <v>2602</v>
      </c>
      <c r="N1948" s="4" t="str">
        <f>IFERROR(__XLUDF.DUMMYFUNCTION("VLOOKUP(M525,IMPORTRANGE(""https://docs.google.com/spreadsheets/d/1opm6ZNvGZ7KditA9TuJwrZ25eFLfTNIkrNnY6mhV5Eg"",""list!A1:C115""),3,TRUE)"),"le secteur de la tech")</f>
        <v xml:space="preserve">le secteur de la tech</v>
      </c>
      <c r="O1948" s="4" t="s">
        <v>14429</v>
      </c>
      <c r="P1948" s="4">
        <v>19</v>
      </c>
      <c r="Q1948" s="4" t="s">
        <v>14430</v>
      </c>
      <c r="R1948" s="4" t="s">
        <v>14430</v>
      </c>
      <c r="S1948" s="4" t="s">
        <v>14431</v>
      </c>
      <c r="T1948" s="5" t="s">
        <v>14432</v>
      </c>
      <c r="U1948" s="5" t="s">
        <v>14433</v>
      </c>
      <c r="V1948" s="5" t="s">
        <v>14434</v>
      </c>
      <c r="W1948" s="6"/>
      <c r="X1948" s="6"/>
      <c r="Y1948" s="4" t="s">
        <v>14435</v>
      </c>
      <c r="Z1948" s="6"/>
      <c r="AA1948" s="5" t="s">
        <v>14436</v>
      </c>
    </row>
    <row r="1949" ht="14.25">
      <c r="B1949" s="4" t="s">
        <v>14437</v>
      </c>
      <c r="C1949" s="4" t="s">
        <v>3540</v>
      </c>
      <c r="D1949" s="4" t="s">
        <v>14438</v>
      </c>
      <c r="E1949" s="4" t="s">
        <v>14439</v>
      </c>
      <c r="F1949" s="4" t="s">
        <v>2645</v>
      </c>
      <c r="G1949" s="4" t="s">
        <v>14440</v>
      </c>
      <c r="H1949" s="4" t="str">
        <f>IFERROR(__XLUDF.DUMMYFUNCTION("PROPER(REGEXREPLACE(G526,""[^A-Za-z]+ "",""""))"),"Box'N Services")</f>
        <v xml:space="preserve">Box'N Services</v>
      </c>
      <c r="I1949" s="5" t="s">
        <v>14441</v>
      </c>
      <c r="J1949" s="4" t="s">
        <v>1711</v>
      </c>
      <c r="K1949" s="4" t="s">
        <v>9350</v>
      </c>
      <c r="L1949" s="4" t="s">
        <v>29</v>
      </c>
      <c r="M1949" s="4" t="s">
        <v>4067</v>
      </c>
      <c r="N1949" s="4" t="str">
        <f>IFERROR(__XLUDF.DUMMYFUNCTION("VLOOKUP(M526,IMPORTRANGE(""https://docs.google.com/spreadsheets/d/1opm6ZNvGZ7KditA9TuJwrZ25eFLfTNIkrNnY6mhV5Eg"",""list!A1:C115""),3,TRUE)"),"le secteur du conseil en management")</f>
        <v xml:space="preserve">le secteur du conseil en management</v>
      </c>
      <c r="O1949" s="4" t="s">
        <v>14442</v>
      </c>
      <c r="P1949" s="4">
        <v>13</v>
      </c>
      <c r="Q1949" s="4" t="s">
        <v>14443</v>
      </c>
      <c r="R1949" s="4" t="s">
        <v>9350</v>
      </c>
      <c r="S1949" s="4" t="s">
        <v>29</v>
      </c>
      <c r="T1949" s="5" t="s">
        <v>14444</v>
      </c>
      <c r="U1949" s="6"/>
      <c r="V1949" s="6"/>
      <c r="W1949" s="6"/>
      <c r="X1949" s="6"/>
      <c r="Y1949" s="4" t="s">
        <v>14445</v>
      </c>
      <c r="Z1949" s="6"/>
      <c r="AA1949" s="5" t="s">
        <v>14446</v>
      </c>
    </row>
    <row r="1950" ht="14.25">
      <c r="B1950" s="4" t="s">
        <v>14447</v>
      </c>
      <c r="C1950" s="4" t="s">
        <v>14448</v>
      </c>
      <c r="D1950" s="4" t="s">
        <v>14449</v>
      </c>
      <c r="E1950" s="4" t="s">
        <v>14450</v>
      </c>
      <c r="F1950" s="4" t="s">
        <v>1130</v>
      </c>
      <c r="G1950" s="4" t="s">
        <v>14451</v>
      </c>
      <c r="H1950" s="4" t="str">
        <f>IFERROR(__XLUDF.DUMMYFUNCTION("PROPER(REGEXREPLACE(G527,""[^A-Za-z]+ "",""""))"),"Aum Biosync")</f>
        <v xml:space="preserve">Aum Biosync</v>
      </c>
      <c r="I1950" s="5" t="s">
        <v>14452</v>
      </c>
      <c r="J1950" s="4" t="s">
        <v>14453</v>
      </c>
      <c r="K1950" s="4" t="s">
        <v>9473</v>
      </c>
      <c r="L1950" s="4" t="s">
        <v>29</v>
      </c>
      <c r="M1950" s="4" t="s">
        <v>2602</v>
      </c>
      <c r="N1950" s="4" t="str">
        <f>IFERROR(__XLUDF.DUMMYFUNCTION("VLOOKUP(M527,IMPORTRANGE(""https://docs.google.com/spreadsheets/d/1opm6ZNvGZ7KditA9TuJwrZ25eFLfTNIkrNnY6mhV5Eg"",""list!A1:C115""),3,TRUE)"),"le secteur de la tech")</f>
        <v xml:space="preserve">le secteur de la tech</v>
      </c>
      <c r="O1950" s="4" t="s">
        <v>14454</v>
      </c>
      <c r="P1950" s="4">
        <v>18</v>
      </c>
      <c r="Q1950" s="4" t="s">
        <v>14453</v>
      </c>
      <c r="R1950" s="4" t="s">
        <v>9473</v>
      </c>
      <c r="S1950" s="4" t="s">
        <v>29</v>
      </c>
      <c r="T1950" s="5" t="s">
        <v>14455</v>
      </c>
      <c r="U1950" s="6"/>
      <c r="V1950" s="6"/>
      <c r="W1950" s="6"/>
      <c r="X1950" s="6"/>
      <c r="Y1950" s="4" t="s">
        <v>14456</v>
      </c>
      <c r="Z1950" s="6"/>
      <c r="AA1950" s="5" t="s">
        <v>14457</v>
      </c>
    </row>
    <row r="1951" ht="14.25">
      <c r="B1951" s="4" t="s">
        <v>14458</v>
      </c>
      <c r="C1951" s="4" t="s">
        <v>4132</v>
      </c>
      <c r="D1951" s="4" t="s">
        <v>14459</v>
      </c>
      <c r="E1951" s="4" t="s">
        <v>14460</v>
      </c>
      <c r="F1951" s="4" t="s">
        <v>7759</v>
      </c>
      <c r="G1951" s="4" t="s">
        <v>14461</v>
      </c>
      <c r="H1951" s="4" t="str">
        <f>IFERROR(__XLUDF.DUMMYFUNCTION("PROPER(REGEXREPLACE(G528,""[^A-Za-z]+ "",""""))"),"Eco In Pack")</f>
        <v xml:space="preserve">Eco In Pack</v>
      </c>
      <c r="I1951" s="5" t="s">
        <v>14462</v>
      </c>
      <c r="J1951" s="4" t="s">
        <v>3709</v>
      </c>
      <c r="K1951" s="4" t="s">
        <v>9864</v>
      </c>
      <c r="L1951" s="4" t="s">
        <v>29</v>
      </c>
      <c r="M1951" s="4" t="s">
        <v>4067</v>
      </c>
      <c r="N1951" s="4" t="str">
        <f>IFERROR(__XLUDF.DUMMYFUNCTION("VLOOKUP(M528,IMPORTRANGE(""https://docs.google.com/spreadsheets/d/1opm6ZNvGZ7KditA9TuJwrZ25eFLfTNIkrNnY6mhV5Eg"",""list!A1:C115""),3,TRUE)"),"le secteur du conseil en management")</f>
        <v xml:space="preserve">le secteur du conseil en management</v>
      </c>
      <c r="O1951" s="4" t="s">
        <v>14463</v>
      </c>
      <c r="P1951" s="4">
        <v>11</v>
      </c>
      <c r="Q1951" s="4" t="s">
        <v>3709</v>
      </c>
      <c r="R1951" s="4" t="s">
        <v>9864</v>
      </c>
      <c r="S1951" s="4" t="s">
        <v>29</v>
      </c>
      <c r="T1951" s="5" t="s">
        <v>14464</v>
      </c>
      <c r="U1951" s="6"/>
      <c r="V1951" s="6"/>
      <c r="W1951" s="6"/>
      <c r="X1951" s="6"/>
      <c r="Y1951" s="4" t="s">
        <v>14465</v>
      </c>
      <c r="Z1951" s="6"/>
      <c r="AA1951" s="5" t="s">
        <v>14466</v>
      </c>
    </row>
    <row r="1952" ht="14.25">
      <c r="B1952" s="4" t="s">
        <v>14467</v>
      </c>
      <c r="C1952" s="4" t="s">
        <v>4132</v>
      </c>
      <c r="D1952" s="4" t="s">
        <v>14468</v>
      </c>
      <c r="E1952" s="4" t="s">
        <v>14469</v>
      </c>
      <c r="F1952" s="4" t="s">
        <v>14470</v>
      </c>
      <c r="G1952" s="4" t="s">
        <v>14471</v>
      </c>
      <c r="H1952" s="4" t="str">
        <f>IFERROR(__XLUDF.DUMMYFUNCTION("PROPER(REGEXREPLACE(G529,""[^A-Za-z]+ "",""""))"),"Cit&amp;Vive")</f>
        <v>Cit&amp;Vive</v>
      </c>
      <c r="I1952" s="5" t="s">
        <v>14472</v>
      </c>
      <c r="J1952" s="4" t="s">
        <v>39</v>
      </c>
      <c r="K1952" s="4" t="s">
        <v>9160</v>
      </c>
      <c r="L1952" s="4" t="s">
        <v>29</v>
      </c>
      <c r="M1952" s="4" t="s">
        <v>4067</v>
      </c>
      <c r="N1952" s="4" t="str">
        <f>IFERROR(__XLUDF.DUMMYFUNCTION("VLOOKUP(M529,IMPORTRANGE(""https://docs.google.com/spreadsheets/d/1opm6ZNvGZ7KditA9TuJwrZ25eFLfTNIkrNnY6mhV5Eg"",""list!A1:C115""),3,TRUE)"),"le secteur du conseil en management")</f>
        <v xml:space="preserve">le secteur du conseil en management</v>
      </c>
      <c r="O1952" s="6"/>
      <c r="P1952" s="4">
        <v>1</v>
      </c>
      <c r="Q1952" s="4" t="s">
        <v>39</v>
      </c>
      <c r="R1952" s="4" t="s">
        <v>9160</v>
      </c>
      <c r="S1952" s="4" t="s">
        <v>29</v>
      </c>
      <c r="T1952" s="5" t="s">
        <v>14473</v>
      </c>
      <c r="U1952" s="6"/>
      <c r="V1952" s="6"/>
      <c r="W1952" s="6"/>
      <c r="X1952" s="6"/>
      <c r="Y1952" s="4" t="s">
        <v>14474</v>
      </c>
      <c r="Z1952" s="6"/>
      <c r="AA1952" s="5" t="s">
        <v>14475</v>
      </c>
    </row>
    <row r="1953" ht="14.25">
      <c r="B1953" s="4" t="s">
        <v>14476</v>
      </c>
      <c r="C1953" s="4" t="s">
        <v>4132</v>
      </c>
      <c r="D1953" s="4" t="s">
        <v>14477</v>
      </c>
      <c r="E1953" s="4" t="s">
        <v>14478</v>
      </c>
      <c r="F1953" s="4" t="s">
        <v>14479</v>
      </c>
      <c r="G1953" s="4" t="s">
        <v>14480</v>
      </c>
      <c r="H1953" s="4" t="str">
        <f>IFERROR(__XLUDF.DUMMYFUNCTION("PROPER(REGEXREPLACE(G530,""[^A-Za-z]+ "",""""))"),"Glanceable")</f>
        <v>Glanceable</v>
      </c>
      <c r="I1953" s="5" t="s">
        <v>14481</v>
      </c>
      <c r="J1953" s="4" t="s">
        <v>39</v>
      </c>
      <c r="K1953" s="4" t="s">
        <v>9160</v>
      </c>
      <c r="L1953" s="4" t="s">
        <v>29</v>
      </c>
      <c r="M1953" s="4" t="s">
        <v>2602</v>
      </c>
      <c r="N1953" s="4" t="str">
        <f>IFERROR(__XLUDF.DUMMYFUNCTION("VLOOKUP(M530,IMPORTRANGE(""https://docs.google.com/spreadsheets/d/1opm6ZNvGZ7KditA9TuJwrZ25eFLfTNIkrNnY6mhV5Eg"",""list!A1:C115""),3,TRUE)"),"le secteur de la tech")</f>
        <v xml:space="preserve">le secteur de la tech</v>
      </c>
      <c r="O1953" s="6"/>
      <c r="P1953" s="4">
        <v>25</v>
      </c>
      <c r="Q1953" s="4" t="s">
        <v>39</v>
      </c>
      <c r="R1953" s="4" t="s">
        <v>9160</v>
      </c>
      <c r="S1953" s="4" t="s">
        <v>29</v>
      </c>
      <c r="T1953" s="5" t="s">
        <v>14482</v>
      </c>
      <c r="U1953" s="6"/>
      <c r="V1953" s="6"/>
      <c r="W1953" s="6"/>
      <c r="X1953" s="6"/>
      <c r="Y1953" s="4" t="s">
        <v>14483</v>
      </c>
      <c r="Z1953" s="6"/>
      <c r="AA1953" s="5" t="s">
        <v>14484</v>
      </c>
    </row>
    <row r="1954" ht="14.25">
      <c r="B1954" s="4" t="s">
        <v>14485</v>
      </c>
      <c r="C1954" s="4" t="s">
        <v>4132</v>
      </c>
      <c r="D1954" s="4" t="s">
        <v>14486</v>
      </c>
      <c r="E1954" s="4" t="s">
        <v>14487</v>
      </c>
      <c r="F1954" s="4" t="s">
        <v>120</v>
      </c>
      <c r="G1954" s="4" t="s">
        <v>14488</v>
      </c>
      <c r="H1954" s="4" t="str">
        <f>IFERROR(__XLUDF.DUMMYFUNCTION("PROPER(REGEXREPLACE(G531,""[^A-Za-z]+ "",""""))"),"Solpedinn")</f>
        <v>Solpedinn</v>
      </c>
      <c r="I1954" s="5" t="s">
        <v>14489</v>
      </c>
      <c r="J1954" s="4" t="s">
        <v>39</v>
      </c>
      <c r="K1954" s="4" t="s">
        <v>9160</v>
      </c>
      <c r="L1954" s="4" t="s">
        <v>29</v>
      </c>
      <c r="M1954" s="4" t="s">
        <v>2602</v>
      </c>
      <c r="N1954" s="4" t="str">
        <f>IFERROR(__XLUDF.DUMMYFUNCTION("VLOOKUP(M531,IMPORTRANGE(""https://docs.google.com/spreadsheets/d/1opm6ZNvGZ7KditA9TuJwrZ25eFLfTNIkrNnY6mhV5Eg"",""list!A1:C115""),3,TRUE)"),"le secteur de la tech")</f>
        <v xml:space="preserve">le secteur de la tech</v>
      </c>
      <c r="O1954" s="4" t="s">
        <v>14490</v>
      </c>
      <c r="P1954" s="4">
        <v>16</v>
      </c>
      <c r="Q1954" s="4" t="s">
        <v>39</v>
      </c>
      <c r="R1954" s="4" t="s">
        <v>9160</v>
      </c>
      <c r="S1954" s="4" t="s">
        <v>29</v>
      </c>
      <c r="T1954" s="5" t="s">
        <v>14491</v>
      </c>
      <c r="U1954" s="6"/>
      <c r="V1954" s="6"/>
      <c r="W1954" s="6"/>
      <c r="X1954" s="6"/>
      <c r="Y1954" s="4" t="s">
        <v>14492</v>
      </c>
      <c r="Z1954" s="6"/>
      <c r="AA1954" s="5" t="s">
        <v>14493</v>
      </c>
    </row>
    <row r="1955" ht="14.25">
      <c r="B1955" s="4" t="s">
        <v>14494</v>
      </c>
      <c r="C1955" s="4" t="s">
        <v>963</v>
      </c>
      <c r="D1955" s="4" t="s">
        <v>1973</v>
      </c>
      <c r="E1955" s="4" t="s">
        <v>14495</v>
      </c>
      <c r="F1955" s="4" t="s">
        <v>7759</v>
      </c>
      <c r="G1955" s="4" t="s">
        <v>14496</v>
      </c>
      <c r="H1955" s="4" t="str">
        <f>IFERROR(__XLUDF.DUMMYFUNCTION("PROPER(REGEXREPLACE(G532,""[^A-Za-z]+ "",""""))"),"Bihannic")</f>
        <v>Bihannic</v>
      </c>
      <c r="I1955" s="5" t="s">
        <v>14497</v>
      </c>
      <c r="J1955" s="4" t="s">
        <v>14498</v>
      </c>
      <c r="K1955" s="4" t="s">
        <v>9227</v>
      </c>
      <c r="L1955" s="4" t="s">
        <v>29</v>
      </c>
      <c r="M1955" s="4" t="s">
        <v>9239</v>
      </c>
      <c r="N1955" s="4" t="str">
        <f>IFERROR(__XLUDF.DUMMYFUNCTION("VLOOKUP(M532,IMPORTRANGE(""https://docs.google.com/spreadsheets/d/1opm6ZNvGZ7KditA9TuJwrZ25eFLfTNIkrNnY6mhV5Eg"",""list!A1:C115""),3,TRUE)"),"le secteur de la construction")</f>
        <v xml:space="preserve">le secteur de la construction</v>
      </c>
      <c r="O1955" s="4" t="s">
        <v>14499</v>
      </c>
      <c r="P1955" s="4">
        <v>27</v>
      </c>
      <c r="Q1955" s="4" t="s">
        <v>439</v>
      </c>
      <c r="R1955" s="4" t="s">
        <v>10973</v>
      </c>
      <c r="S1955" s="4" t="s">
        <v>29</v>
      </c>
      <c r="T1955" s="5" t="s">
        <v>14500</v>
      </c>
      <c r="U1955" s="6"/>
      <c r="V1955" s="6"/>
      <c r="W1955" s="6"/>
      <c r="X1955" s="6"/>
      <c r="Y1955" s="4" t="s">
        <v>14501</v>
      </c>
      <c r="Z1955" s="6"/>
      <c r="AA1955" s="5" t="s">
        <v>14502</v>
      </c>
    </row>
    <row r="1956" ht="14.25">
      <c r="B1956" s="4" t="s">
        <v>14503</v>
      </c>
      <c r="C1956" s="4" t="s">
        <v>963</v>
      </c>
      <c r="D1956" s="4" t="s">
        <v>14504</v>
      </c>
      <c r="E1956" s="4" t="s">
        <v>14505</v>
      </c>
      <c r="F1956" s="4" t="s">
        <v>3969</v>
      </c>
      <c r="G1956" s="4" t="s">
        <v>14506</v>
      </c>
      <c r="H1956" s="4" t="str">
        <f>IFERROR(__XLUDF.DUMMYFUNCTION("PROPER(REGEXREPLACE(G533,""[^A-Za-z]+ "",""""))"),"Ieva Partners")</f>
        <v xml:space="preserve">Ieva Partners</v>
      </c>
      <c r="I1956" s="5" t="s">
        <v>14507</v>
      </c>
      <c r="J1956" s="6"/>
      <c r="K1956" s="6"/>
      <c r="L1956" s="4" t="s">
        <v>29</v>
      </c>
      <c r="M1956" s="4" t="s">
        <v>4067</v>
      </c>
      <c r="N1956" s="4" t="str">
        <f>IFERROR(__XLUDF.DUMMYFUNCTION("VLOOKUP(M533,IMPORTRANGE(""https://docs.google.com/spreadsheets/d/1opm6ZNvGZ7KditA9TuJwrZ25eFLfTNIkrNnY6mhV5Eg"",""list!A1:C115""),3,TRUE)"),"le secteur du conseil en management")</f>
        <v xml:space="preserve">le secteur du conseil en management</v>
      </c>
      <c r="O1956" s="4" t="s">
        <v>14508</v>
      </c>
      <c r="P1956" s="4">
        <v>15</v>
      </c>
      <c r="Q1956" s="4" t="s">
        <v>39</v>
      </c>
      <c r="R1956" s="4" t="s">
        <v>9160</v>
      </c>
      <c r="S1956" s="4" t="s">
        <v>29</v>
      </c>
      <c r="T1956" s="5" t="s">
        <v>14509</v>
      </c>
      <c r="U1956" s="6"/>
      <c r="V1956" s="6"/>
      <c r="W1956" s="6"/>
      <c r="X1956" s="6"/>
      <c r="Y1956" s="4" t="s">
        <v>14510</v>
      </c>
      <c r="Z1956" s="6"/>
      <c r="AA1956" s="5" t="s">
        <v>14511</v>
      </c>
    </row>
    <row r="1957" ht="14.25">
      <c r="B1957" s="4" t="s">
        <v>14512</v>
      </c>
      <c r="C1957" s="4" t="s">
        <v>963</v>
      </c>
      <c r="D1957" s="4" t="s">
        <v>14513</v>
      </c>
      <c r="E1957" s="4" t="s">
        <v>14514</v>
      </c>
      <c r="F1957" s="4" t="s">
        <v>14515</v>
      </c>
      <c r="G1957" s="4" t="s">
        <v>14516</v>
      </c>
      <c r="H1957" s="4" t="str">
        <f>IFERROR(__XLUDF.DUMMYFUNCTION("PROPER(REGEXREPLACE(G534,""[^A-Za-z]+ "",""""))"),"Lmgroup")</f>
        <v>Lmgroup</v>
      </c>
      <c r="I1957" s="5" t="s">
        <v>14517</v>
      </c>
      <c r="J1957" s="4" t="s">
        <v>243</v>
      </c>
      <c r="K1957" s="4" t="s">
        <v>9864</v>
      </c>
      <c r="L1957" s="4" t="s">
        <v>29</v>
      </c>
      <c r="M1957" s="4" t="s">
        <v>4525</v>
      </c>
      <c r="N1957" s="4" t="str">
        <f>IFERROR(__XLUDF.DUMMYFUNCTION("VLOOKUP(M534,IMPORTRANGE(""https://docs.google.com/spreadsheets/d/1opm6ZNvGZ7KditA9TuJwrZ25eFLfTNIkrNnY6mhV5Eg"",""list!A1:C115""),3,TRUE)"),"le secteur du retail")</f>
        <v xml:space="preserve">le secteur du retail</v>
      </c>
      <c r="O1957" s="4" t="s">
        <v>14518</v>
      </c>
      <c r="P1957" s="4">
        <v>27</v>
      </c>
      <c r="Q1957" s="4" t="s">
        <v>243</v>
      </c>
      <c r="R1957" s="4" t="s">
        <v>9864</v>
      </c>
      <c r="S1957" s="4" t="s">
        <v>29</v>
      </c>
      <c r="T1957" s="5" t="s">
        <v>14519</v>
      </c>
      <c r="U1957" s="5" t="s">
        <v>14520</v>
      </c>
      <c r="V1957" s="5" t="s">
        <v>14521</v>
      </c>
      <c r="W1957" s="6"/>
      <c r="X1957" s="6"/>
      <c r="Y1957" s="4" t="s">
        <v>14522</v>
      </c>
      <c r="Z1957" s="6"/>
      <c r="AA1957" s="5" t="s">
        <v>14523</v>
      </c>
    </row>
    <row r="1958" ht="14.25">
      <c r="B1958" s="4" t="s">
        <v>14524</v>
      </c>
      <c r="C1958" s="4" t="s">
        <v>963</v>
      </c>
      <c r="D1958" s="4" t="s">
        <v>14525</v>
      </c>
      <c r="E1958" s="4" t="s">
        <v>14526</v>
      </c>
      <c r="F1958" s="4" t="s">
        <v>1231</v>
      </c>
      <c r="G1958" s="4" t="s">
        <v>14527</v>
      </c>
      <c r="H1958" s="4" t="str">
        <f>IFERROR(__XLUDF.DUMMYFUNCTION("PROPER(REGEXREPLACE(G535,""[^A-Za-z]+ "",""""))"),"Homeys")</f>
        <v>Homeys</v>
      </c>
      <c r="I1958" s="5" t="s">
        <v>14528</v>
      </c>
      <c r="J1958" s="4" t="s">
        <v>39</v>
      </c>
      <c r="K1958" s="4" t="s">
        <v>9160</v>
      </c>
      <c r="L1958" s="4" t="s">
        <v>29</v>
      </c>
      <c r="M1958" s="4" t="s">
        <v>2602</v>
      </c>
      <c r="N1958" s="4" t="str">
        <f>IFERROR(__XLUDF.DUMMYFUNCTION("VLOOKUP(M535,IMPORTRANGE(""https://docs.google.com/spreadsheets/d/1opm6ZNvGZ7KditA9TuJwrZ25eFLfTNIkrNnY6mhV5Eg"",""list!A1:C115""),3,TRUE)"),"le secteur de la tech")</f>
        <v xml:space="preserve">le secteur de la tech</v>
      </c>
      <c r="O1958" s="4" t="s">
        <v>14529</v>
      </c>
      <c r="P1958" s="4">
        <v>14</v>
      </c>
      <c r="Q1958" s="4" t="s">
        <v>39</v>
      </c>
      <c r="R1958" s="4" t="s">
        <v>9160</v>
      </c>
      <c r="S1958" s="4" t="s">
        <v>29</v>
      </c>
      <c r="T1958" s="5" t="s">
        <v>14530</v>
      </c>
      <c r="U1958" s="5" t="s">
        <v>14531</v>
      </c>
      <c r="V1958" s="6"/>
      <c r="W1958" s="6"/>
      <c r="X1958" s="6"/>
      <c r="Y1958" s="4" t="s">
        <v>14532</v>
      </c>
      <c r="Z1958" s="6"/>
      <c r="AA1958" s="5" t="s">
        <v>14533</v>
      </c>
    </row>
    <row r="1959" ht="14.25">
      <c r="B1959" s="4" t="s">
        <v>14534</v>
      </c>
      <c r="C1959" s="4" t="s">
        <v>206</v>
      </c>
      <c r="D1959" s="4" t="s">
        <v>14535</v>
      </c>
      <c r="E1959" s="4" t="s">
        <v>14536</v>
      </c>
      <c r="F1959" s="4" t="s">
        <v>172</v>
      </c>
      <c r="G1959" s="4" t="s">
        <v>14537</v>
      </c>
      <c r="H1959" s="4" t="str">
        <f>IFERROR(__XLUDF.DUMMYFUNCTION("PROPER(REGEXREPLACE(G536,""[^A-Za-z]+ "",""""))"),"Logiciel Drsanté")</f>
        <v xml:space="preserve">Logiciel Drsanté</v>
      </c>
      <c r="I1959" s="5" t="s">
        <v>14538</v>
      </c>
      <c r="J1959" s="4" t="s">
        <v>243</v>
      </c>
      <c r="K1959" s="4" t="s">
        <v>9864</v>
      </c>
      <c r="L1959" s="4" t="s">
        <v>29</v>
      </c>
      <c r="M1959" s="4" t="s">
        <v>2602</v>
      </c>
      <c r="N1959" s="4" t="str">
        <f>IFERROR(__XLUDF.DUMMYFUNCTION("VLOOKUP(M536,IMPORTRANGE(""https://docs.google.com/spreadsheets/d/1opm6ZNvGZ7KditA9TuJwrZ25eFLfTNIkrNnY6mhV5Eg"",""list!A1:C115""),3,TRUE)"),"le secteur de la tech")</f>
        <v xml:space="preserve">le secteur de la tech</v>
      </c>
      <c r="O1959" s="4" t="s">
        <v>14539</v>
      </c>
      <c r="P1959" s="4">
        <v>25</v>
      </c>
      <c r="Q1959" s="4" t="s">
        <v>243</v>
      </c>
      <c r="R1959" s="4" t="s">
        <v>9864</v>
      </c>
      <c r="S1959" s="4" t="s">
        <v>29</v>
      </c>
      <c r="T1959" s="5" t="s">
        <v>14540</v>
      </c>
      <c r="U1959" s="6"/>
      <c r="V1959" s="5" t="s">
        <v>14541</v>
      </c>
      <c r="W1959" s="6"/>
      <c r="X1959" s="6"/>
      <c r="Y1959" s="4" t="s">
        <v>14542</v>
      </c>
      <c r="Z1959" s="6"/>
      <c r="AA1959" s="5" t="s">
        <v>14543</v>
      </c>
    </row>
    <row r="1960" ht="14.25">
      <c r="B1960" s="4" t="s">
        <v>14544</v>
      </c>
      <c r="C1960" s="4" t="s">
        <v>206</v>
      </c>
      <c r="D1960" s="4" t="s">
        <v>14545</v>
      </c>
      <c r="E1960" s="4" t="s">
        <v>14546</v>
      </c>
      <c r="F1960" s="4" t="s">
        <v>14547</v>
      </c>
      <c r="G1960" s="4" t="s">
        <v>14548</v>
      </c>
      <c r="H1960" s="4" t="str">
        <f>IFERROR(__XLUDF.DUMMYFUNCTION("PROPER(REGEXREPLACE(G537,""[^A-Za-z]+ "",""""))"),"Mello Matelas")</f>
        <v xml:space="preserve">Mello Matelas</v>
      </c>
      <c r="I1960" s="5" t="s">
        <v>14549</v>
      </c>
      <c r="J1960" s="4" t="s">
        <v>651</v>
      </c>
      <c r="K1960" s="4" t="s">
        <v>9215</v>
      </c>
      <c r="L1960" s="4" t="s">
        <v>29</v>
      </c>
      <c r="M1960" s="4" t="s">
        <v>4525</v>
      </c>
      <c r="N1960" s="4" t="str">
        <f>IFERROR(__XLUDF.DUMMYFUNCTION("VLOOKUP(M537,IMPORTRANGE(""https://docs.google.com/spreadsheets/d/1opm6ZNvGZ7KditA9TuJwrZ25eFLfTNIkrNnY6mhV5Eg"",""list!A1:C115""),3,TRUE)"),"le secteur du retail")</f>
        <v xml:space="preserve">le secteur du retail</v>
      </c>
      <c r="O1960" s="6"/>
      <c r="P1960" s="4">
        <v>10</v>
      </c>
      <c r="Q1960" s="4" t="s">
        <v>651</v>
      </c>
      <c r="R1960" s="4" t="s">
        <v>9215</v>
      </c>
      <c r="S1960" s="4" t="s">
        <v>29</v>
      </c>
      <c r="T1960" s="5" t="s">
        <v>14550</v>
      </c>
      <c r="U1960" s="6"/>
      <c r="V1960" s="6"/>
      <c r="W1960" s="6"/>
      <c r="X1960" s="6"/>
      <c r="Y1960" s="4" t="s">
        <v>14551</v>
      </c>
      <c r="Z1960" s="6"/>
      <c r="AA1960" s="5" t="s">
        <v>14552</v>
      </c>
    </row>
    <row r="1961" ht="14.25">
      <c r="B1961" s="4" t="s">
        <v>14553</v>
      </c>
      <c r="C1961" s="4" t="s">
        <v>206</v>
      </c>
      <c r="D1961" s="4" t="s">
        <v>14554</v>
      </c>
      <c r="E1961" s="4" t="s">
        <v>14555</v>
      </c>
      <c r="F1961" s="4" t="s">
        <v>120</v>
      </c>
      <c r="G1961" s="4" t="s">
        <v>14556</v>
      </c>
      <c r="H1961" s="4" t="str">
        <f>IFERROR(__XLUDF.DUMMYFUNCTION("PROPER(REGEXREPLACE(G538,""[^A-Za-z]+ "",""""))"),"Placeshaker")</f>
        <v>Placeshaker</v>
      </c>
      <c r="I1961" s="5" t="s">
        <v>14557</v>
      </c>
      <c r="J1961" s="4" t="s">
        <v>39</v>
      </c>
      <c r="K1961" s="4" t="s">
        <v>9160</v>
      </c>
      <c r="L1961" s="4" t="s">
        <v>29</v>
      </c>
      <c r="M1961" s="4" t="s">
        <v>9239</v>
      </c>
      <c r="N1961" s="4" t="str">
        <f>IFERROR(__XLUDF.DUMMYFUNCTION("VLOOKUP(M538,IMPORTRANGE(""https://docs.google.com/spreadsheets/d/1opm6ZNvGZ7KditA9TuJwrZ25eFLfTNIkrNnY6mhV5Eg"",""list!A1:C115""),3,TRUE)"),"le secteur de la construction")</f>
        <v xml:space="preserve">le secteur de la construction</v>
      </c>
      <c r="O1961" s="4" t="s">
        <v>14558</v>
      </c>
      <c r="P1961" s="4">
        <v>31</v>
      </c>
      <c r="Q1961" s="4" t="s">
        <v>914</v>
      </c>
      <c r="R1961" s="4" t="s">
        <v>9160</v>
      </c>
      <c r="S1961" s="4" t="s">
        <v>29</v>
      </c>
      <c r="T1961" s="5" t="s">
        <v>14559</v>
      </c>
      <c r="U1961" s="6"/>
      <c r="V1961" s="6"/>
      <c r="W1961" s="6"/>
      <c r="X1961" s="6"/>
      <c r="Y1961" s="4" t="s">
        <v>14560</v>
      </c>
      <c r="Z1961" s="6"/>
      <c r="AA1961" s="5" t="s">
        <v>14561</v>
      </c>
    </row>
    <row r="1962" ht="14.25">
      <c r="B1962" s="4" t="s">
        <v>14562</v>
      </c>
      <c r="C1962" s="4" t="s">
        <v>1062</v>
      </c>
      <c r="D1962" s="4" t="s">
        <v>14563</v>
      </c>
      <c r="E1962" s="4" t="s">
        <v>14564</v>
      </c>
      <c r="F1962" s="4" t="s">
        <v>7759</v>
      </c>
      <c r="G1962" s="4" t="s">
        <v>14565</v>
      </c>
      <c r="H1962" s="4" t="str">
        <f>IFERROR(__XLUDF.DUMMYFUNCTION("PROPER(REGEXREPLACE(G539,""[^A-Za-z]+ "",""""))"),"E-Nova")</f>
        <v>E-Nova</v>
      </c>
      <c r="I1962" s="5" t="s">
        <v>14566</v>
      </c>
      <c r="J1962" s="4" t="s">
        <v>1419</v>
      </c>
      <c r="K1962" s="4" t="s">
        <v>9160</v>
      </c>
      <c r="L1962" s="4" t="s">
        <v>29</v>
      </c>
      <c r="M1962" s="4" t="s">
        <v>4525</v>
      </c>
      <c r="N1962" s="4" t="str">
        <f>IFERROR(__XLUDF.DUMMYFUNCTION("VLOOKUP(M539,IMPORTRANGE(""https://docs.google.com/spreadsheets/d/1opm6ZNvGZ7KditA9TuJwrZ25eFLfTNIkrNnY6mhV5Eg"",""list!A1:C115""),3,TRUE)"),"le secteur du retail")</f>
        <v xml:space="preserve">le secteur du retail</v>
      </c>
      <c r="O1962" s="4" t="s">
        <v>14567</v>
      </c>
      <c r="P1962" s="4">
        <v>18</v>
      </c>
      <c r="Q1962" s="4" t="s">
        <v>1419</v>
      </c>
      <c r="R1962" s="4" t="s">
        <v>9160</v>
      </c>
      <c r="S1962" s="4" t="s">
        <v>29</v>
      </c>
      <c r="T1962" s="5" t="s">
        <v>14568</v>
      </c>
      <c r="U1962" s="6"/>
      <c r="V1962" s="6"/>
      <c r="W1962" s="6"/>
      <c r="X1962" s="6"/>
      <c r="Y1962" s="4" t="s">
        <v>14569</v>
      </c>
      <c r="Z1962" s="6"/>
      <c r="AA1962" s="5" t="s">
        <v>14570</v>
      </c>
    </row>
    <row r="1963" ht="14.25">
      <c r="B1963" s="4" t="s">
        <v>14571</v>
      </c>
      <c r="C1963" s="4" t="s">
        <v>170</v>
      </c>
      <c r="D1963" s="4" t="s">
        <v>14572</v>
      </c>
      <c r="E1963" s="4" t="s">
        <v>14573</v>
      </c>
      <c r="F1963" s="4" t="s">
        <v>14574</v>
      </c>
      <c r="G1963" s="4" t="s">
        <v>14575</v>
      </c>
      <c r="H1963" s="4" t="str">
        <f>IFERROR(__XLUDF.DUMMYFUNCTION("PROPER(REGEXREPLACE(G540,""[^A-Za-z]+ "",""""))"),"Atm Consulting")</f>
        <v xml:space="preserve">Atm Consulting</v>
      </c>
      <c r="I1963" s="5" t="s">
        <v>14576</v>
      </c>
      <c r="J1963" s="4" t="s">
        <v>1150</v>
      </c>
      <c r="K1963" s="4" t="s">
        <v>9193</v>
      </c>
      <c r="L1963" s="4" t="s">
        <v>29</v>
      </c>
      <c r="M1963" s="4" t="s">
        <v>2602</v>
      </c>
      <c r="N1963" s="4" t="str">
        <f>IFERROR(__XLUDF.DUMMYFUNCTION("VLOOKUP(M540,IMPORTRANGE(""https://docs.google.com/spreadsheets/d/1opm6ZNvGZ7KditA9TuJwrZ25eFLfTNIkrNnY6mhV5Eg"",""list!A1:C115""),3,TRUE)"),"le secteur de la tech")</f>
        <v xml:space="preserve">le secteur de la tech</v>
      </c>
      <c r="O1963" s="4" t="s">
        <v>14577</v>
      </c>
      <c r="P1963" s="4">
        <v>25</v>
      </c>
      <c r="Q1963" s="4" t="s">
        <v>1150</v>
      </c>
      <c r="R1963" s="4" t="s">
        <v>9193</v>
      </c>
      <c r="S1963" s="4" t="s">
        <v>29</v>
      </c>
      <c r="T1963" s="5" t="s">
        <v>14578</v>
      </c>
      <c r="U1963" s="6"/>
      <c r="V1963" s="6"/>
      <c r="W1963" s="6"/>
      <c r="X1963" s="6"/>
      <c r="Y1963" s="4" t="s">
        <v>14579</v>
      </c>
      <c r="Z1963" s="6"/>
      <c r="AA1963" s="5" t="s">
        <v>14580</v>
      </c>
    </row>
    <row r="1964" ht="14.25">
      <c r="B1964" s="4" t="s">
        <v>14581</v>
      </c>
      <c r="C1964" s="4" t="s">
        <v>170</v>
      </c>
      <c r="D1964" s="4" t="s">
        <v>14582</v>
      </c>
      <c r="E1964" s="4" t="s">
        <v>14583</v>
      </c>
      <c r="F1964" s="4" t="s">
        <v>14584</v>
      </c>
      <c r="G1964" s="4" t="s">
        <v>14585</v>
      </c>
      <c r="H1964" s="4" t="str">
        <f>IFERROR(__XLUDF.DUMMYFUNCTION("PROPER(REGEXREPLACE(G541,""[^A-Za-z]+ "",""""))"),"Ibc Dialog")</f>
        <v xml:space="preserve">Ibc Dialog</v>
      </c>
      <c r="I1964" s="5" t="s">
        <v>14586</v>
      </c>
      <c r="J1964" s="4" t="s">
        <v>6954</v>
      </c>
      <c r="K1964" s="4" t="s">
        <v>9484</v>
      </c>
      <c r="L1964" s="4" t="s">
        <v>29</v>
      </c>
      <c r="M1964" s="4" t="s">
        <v>9264</v>
      </c>
      <c r="N1964" s="4" t="str">
        <f>IFERROR(__XLUDF.DUMMYFUNCTION("VLOOKUP(M541,IMPORTRANGE(""https://docs.google.com/spreadsheets/d/1opm6ZNvGZ7KditA9TuJwrZ25eFLfTNIkrNnY6mhV5Eg"",""list!A1:C115""),3,TRUE)"),"le secteur de la sécurité informatique")</f>
        <v xml:space="preserve">le secteur de la sécurité informatique</v>
      </c>
      <c r="O1964" s="4" t="s">
        <v>14587</v>
      </c>
      <c r="P1964" s="4">
        <v>22</v>
      </c>
      <c r="Q1964" s="4" t="s">
        <v>14588</v>
      </c>
      <c r="R1964" s="4" t="s">
        <v>9226</v>
      </c>
      <c r="S1964" s="4" t="s">
        <v>29</v>
      </c>
      <c r="T1964" s="5" t="s">
        <v>14589</v>
      </c>
      <c r="U1964" s="6"/>
      <c r="V1964" s="6"/>
      <c r="W1964" s="6"/>
      <c r="X1964" s="6"/>
      <c r="Y1964" s="4" t="s">
        <v>14590</v>
      </c>
      <c r="Z1964" s="6"/>
      <c r="AA1964" s="5" t="s">
        <v>14591</v>
      </c>
    </row>
    <row r="1965" ht="14.25">
      <c r="B1965" s="4" t="s">
        <v>14592</v>
      </c>
      <c r="C1965" s="4" t="s">
        <v>170</v>
      </c>
      <c r="D1965" s="4" t="s">
        <v>7518</v>
      </c>
      <c r="E1965" s="4" t="s">
        <v>14593</v>
      </c>
      <c r="F1965" s="4" t="s">
        <v>9849</v>
      </c>
      <c r="G1965" s="4" t="s">
        <v>14594</v>
      </c>
      <c r="H1965" s="4" t="str">
        <f>IFERROR(__XLUDF.DUMMYFUNCTION("PROPER(REGEXREPLACE(G542,""[^A-Za-z]+ "",""""))"),"Forlabs")</f>
        <v>Forlabs</v>
      </c>
      <c r="I1965" s="5" t="s">
        <v>14595</v>
      </c>
      <c r="J1965" s="4" t="s">
        <v>6954</v>
      </c>
      <c r="K1965" s="4" t="s">
        <v>9484</v>
      </c>
      <c r="L1965" s="4" t="s">
        <v>29</v>
      </c>
      <c r="M1965" s="4" t="s">
        <v>2602</v>
      </c>
      <c r="N1965" s="4" t="str">
        <f>IFERROR(__XLUDF.DUMMYFUNCTION("VLOOKUP(M542,IMPORTRANGE(""https://docs.google.com/spreadsheets/d/1opm6ZNvGZ7KditA9TuJwrZ25eFLfTNIkrNnY6mhV5Eg"",""list!A1:C115""),3,TRUE)"),"le secteur de la tech")</f>
        <v xml:space="preserve">le secteur de la tech</v>
      </c>
      <c r="O1965" s="4" t="s">
        <v>14596</v>
      </c>
      <c r="P1965" s="4">
        <v>11</v>
      </c>
      <c r="Q1965" s="4" t="s">
        <v>14597</v>
      </c>
      <c r="R1965" s="4" t="s">
        <v>9484</v>
      </c>
      <c r="S1965" s="4" t="s">
        <v>29</v>
      </c>
      <c r="T1965" s="5" t="s">
        <v>14598</v>
      </c>
      <c r="U1965" s="6"/>
      <c r="V1965" s="6"/>
      <c r="W1965" s="6"/>
      <c r="X1965" s="6"/>
      <c r="Y1965" s="4" t="s">
        <v>14599</v>
      </c>
      <c r="Z1965" s="6"/>
      <c r="AA1965" s="5" t="s">
        <v>14600</v>
      </c>
    </row>
    <row r="1966" ht="14.25">
      <c r="B1966" s="4" t="s">
        <v>14601</v>
      </c>
      <c r="C1966" s="4" t="s">
        <v>170</v>
      </c>
      <c r="D1966" s="4" t="s">
        <v>14602</v>
      </c>
      <c r="E1966" s="4" t="s">
        <v>14603</v>
      </c>
      <c r="F1966" s="4" t="s">
        <v>1231</v>
      </c>
      <c r="G1966" s="4" t="s">
        <v>14604</v>
      </c>
      <c r="H1966" s="4" t="str">
        <f>IFERROR(__XLUDF.DUMMYFUNCTION("PROPER(REGEXREPLACE(G543,""[^A-Za-z]+ "",""""))"),"Petitscommerces")</f>
        <v>Petitscommerces</v>
      </c>
      <c r="I1966" s="5" t="s">
        <v>14605</v>
      </c>
      <c r="J1966" s="4" t="s">
        <v>39</v>
      </c>
      <c r="K1966" s="4" t="s">
        <v>9160</v>
      </c>
      <c r="L1966" s="4" t="s">
        <v>29</v>
      </c>
      <c r="M1966" s="4" t="s">
        <v>11736</v>
      </c>
      <c r="N1966" s="4" t="str">
        <f>IFERROR(__XLUDF.DUMMYFUNCTION("VLOOKUP(M543,IMPORTRANGE(""https://docs.google.com/spreadsheets/d/1opm6ZNvGZ7KditA9TuJwrZ25eFLfTNIkrNnY6mhV5Eg"",""list!A1:C115""),3,TRUE)"),"le secteur de la tech")</f>
        <v xml:space="preserve">le secteur de la tech</v>
      </c>
      <c r="O1966" s="4" t="s">
        <v>14606</v>
      </c>
      <c r="P1966" s="4">
        <v>10</v>
      </c>
      <c r="Q1966" s="4" t="s">
        <v>39</v>
      </c>
      <c r="R1966" s="4" t="s">
        <v>9160</v>
      </c>
      <c r="S1966" s="4" t="s">
        <v>29</v>
      </c>
      <c r="T1966" s="5" t="s">
        <v>14607</v>
      </c>
      <c r="U1966" s="5" t="s">
        <v>14608</v>
      </c>
      <c r="V1966" s="5" t="s">
        <v>14609</v>
      </c>
      <c r="W1966" s="6"/>
      <c r="X1966" s="6"/>
      <c r="Y1966" s="4" t="s">
        <v>14610</v>
      </c>
      <c r="Z1966" s="6"/>
      <c r="AA1966" s="5" t="s">
        <v>14611</v>
      </c>
    </row>
    <row r="1967" ht="14.25">
      <c r="B1967" s="4" t="s">
        <v>14612</v>
      </c>
      <c r="C1967" s="4" t="s">
        <v>170</v>
      </c>
      <c r="D1967" s="4" t="s">
        <v>14613</v>
      </c>
      <c r="E1967" s="4" t="s">
        <v>14614</v>
      </c>
      <c r="F1967" s="4" t="s">
        <v>9849</v>
      </c>
      <c r="G1967" s="4" t="s">
        <v>14615</v>
      </c>
      <c r="H1967" s="4" t="str">
        <f>IFERROR(__XLUDF.DUMMYFUNCTION("PROPER(REGEXREPLACE(G544,""[^A-Za-z]+ "",""""))"),"Protextyl")</f>
        <v>Protextyl</v>
      </c>
      <c r="I1967" s="5" t="s">
        <v>14616</v>
      </c>
      <c r="J1967" s="4" t="s">
        <v>14617</v>
      </c>
      <c r="K1967" s="4" t="s">
        <v>9350</v>
      </c>
      <c r="L1967" s="4" t="s">
        <v>29</v>
      </c>
      <c r="M1967" s="4" t="s">
        <v>4525</v>
      </c>
      <c r="N1967" s="4" t="str">
        <f>IFERROR(__XLUDF.DUMMYFUNCTION("VLOOKUP(M544,IMPORTRANGE(""https://docs.google.com/spreadsheets/d/1opm6ZNvGZ7KditA9TuJwrZ25eFLfTNIkrNnY6mhV5Eg"",""list!A1:C115""),3,TRUE)"),"le secteur du retail")</f>
        <v xml:space="preserve">le secteur du retail</v>
      </c>
      <c r="O1967" s="4" t="s">
        <v>14618</v>
      </c>
      <c r="P1967" s="4">
        <v>27</v>
      </c>
      <c r="Q1967" s="4" t="s">
        <v>1711</v>
      </c>
      <c r="R1967" s="4" t="s">
        <v>9350</v>
      </c>
      <c r="S1967" s="4" t="s">
        <v>29</v>
      </c>
      <c r="T1967" s="5" t="s">
        <v>14619</v>
      </c>
      <c r="U1967" s="6"/>
      <c r="V1967" s="5" t="s">
        <v>14620</v>
      </c>
      <c r="W1967" s="6"/>
      <c r="X1967" s="6"/>
      <c r="Y1967" s="4" t="s">
        <v>14621</v>
      </c>
      <c r="Z1967" s="6"/>
      <c r="AA1967" s="5" t="s">
        <v>14622</v>
      </c>
    </row>
    <row r="1968" ht="14.25">
      <c r="B1968" s="4" t="s">
        <v>14623</v>
      </c>
      <c r="C1968" s="4" t="s">
        <v>2119</v>
      </c>
      <c r="D1968" s="4" t="s">
        <v>14624</v>
      </c>
      <c r="E1968" s="4" t="s">
        <v>14625</v>
      </c>
      <c r="F1968" s="4" t="s">
        <v>172</v>
      </c>
      <c r="G1968" s="4" t="s">
        <v>14626</v>
      </c>
      <c r="H1968" s="4" t="str">
        <f>IFERROR(__XLUDF.DUMMYFUNCTION("PROPER(REGEXREPLACE(G545,""[^A-Za-z]+ "",""""))"),"Mb Promotion")</f>
        <v xml:space="preserve">Mb Promotion</v>
      </c>
      <c r="I1968" s="5" t="s">
        <v>14627</v>
      </c>
      <c r="J1968" s="4" t="s">
        <v>14628</v>
      </c>
      <c r="K1968" s="4" t="s">
        <v>9460</v>
      </c>
      <c r="L1968" s="4" t="s">
        <v>29</v>
      </c>
      <c r="M1968" s="4" t="s">
        <v>9161</v>
      </c>
      <c r="N1968" s="4" t="str">
        <f>IFERROR(__XLUDF.DUMMYFUNCTION("VLOOKUP(M545,IMPORTRANGE(""https://docs.google.com/spreadsheets/d/1opm6ZNvGZ7KditA9TuJwrZ25eFLfTNIkrNnY6mhV5Eg"",""list!A1:C115""),3,TRUE)"),"le secteur du marketing")</f>
        <v xml:space="preserve">le secteur du marketing</v>
      </c>
      <c r="O1968" s="4" t="s">
        <v>14629</v>
      </c>
      <c r="P1968" s="4">
        <v>17</v>
      </c>
      <c r="Q1968" s="4" t="s">
        <v>14630</v>
      </c>
      <c r="R1968" s="4" t="s">
        <v>14631</v>
      </c>
      <c r="S1968" s="4" t="s">
        <v>4318</v>
      </c>
      <c r="T1968" s="5" t="s">
        <v>14632</v>
      </c>
      <c r="U1968" s="6"/>
      <c r="V1968" s="5" t="s">
        <v>14633</v>
      </c>
      <c r="W1968" s="6"/>
      <c r="X1968" s="6"/>
      <c r="Y1968" s="4" t="s">
        <v>14634</v>
      </c>
      <c r="Z1968" s="6"/>
      <c r="AA1968" s="5" t="s">
        <v>14635</v>
      </c>
    </row>
    <row r="1969" ht="14.25">
      <c r="B1969" s="4" t="s">
        <v>14636</v>
      </c>
      <c r="C1969" s="4" t="s">
        <v>963</v>
      </c>
      <c r="D1969" s="4" t="s">
        <v>14637</v>
      </c>
      <c r="E1969" s="4" t="s">
        <v>14638</v>
      </c>
      <c r="F1969" s="4" t="s">
        <v>112</v>
      </c>
      <c r="G1969" s="4" t="s">
        <v>14639</v>
      </c>
      <c r="H1969" s="4" t="str">
        <f>IFERROR(__XLUDF.DUMMYFUNCTION("PROPER(REGEXREPLACE(G546,""[^A-Za-z]+ "",""""))"),"Mare Nostrum Advising Groupe")</f>
        <v xml:space="preserve">Mare Nostrum Advising Groupe</v>
      </c>
      <c r="I1969" s="5" t="s">
        <v>14640</v>
      </c>
      <c r="J1969" s="4" t="s">
        <v>39</v>
      </c>
      <c r="K1969" s="4" t="s">
        <v>9160</v>
      </c>
      <c r="L1969" s="4" t="s">
        <v>29</v>
      </c>
      <c r="M1969" s="4" t="s">
        <v>2602</v>
      </c>
      <c r="N1969" s="4" t="str">
        <f>IFERROR(__XLUDF.DUMMYFUNCTION("VLOOKUP(M546,IMPORTRANGE(""https://docs.google.com/spreadsheets/d/1opm6ZNvGZ7KditA9TuJwrZ25eFLfTNIkrNnY6mhV5Eg"",""list!A1:C115""),3,TRUE)"),"le secteur de la tech")</f>
        <v xml:space="preserve">le secteur de la tech</v>
      </c>
      <c r="O1969" s="4" t="s">
        <v>14641</v>
      </c>
      <c r="P1969" s="4">
        <v>10</v>
      </c>
      <c r="Q1969" s="4" t="s">
        <v>295</v>
      </c>
      <c r="R1969" s="4" t="s">
        <v>9251</v>
      </c>
      <c r="S1969" s="4" t="s">
        <v>29</v>
      </c>
      <c r="T1969" s="5" t="s">
        <v>14642</v>
      </c>
      <c r="U1969" s="6"/>
      <c r="V1969" s="6"/>
      <c r="W1969" s="6"/>
      <c r="X1969" s="6"/>
      <c r="Y1969" s="4" t="s">
        <v>14643</v>
      </c>
      <c r="Z1969" s="6"/>
      <c r="AA1969" s="5" t="s">
        <v>14644</v>
      </c>
    </row>
    <row r="1970" ht="14.25">
      <c r="B1970" s="4" t="s">
        <v>14645</v>
      </c>
      <c r="C1970" s="4" t="s">
        <v>5579</v>
      </c>
      <c r="D1970" s="4" t="s">
        <v>14646</v>
      </c>
      <c r="E1970" s="4" t="s">
        <v>14647</v>
      </c>
      <c r="F1970" s="4" t="s">
        <v>112</v>
      </c>
      <c r="G1970" s="4" t="s">
        <v>14648</v>
      </c>
      <c r="H1970" s="4" t="str">
        <f>IFERROR(__XLUDF.DUMMYFUNCTION("PROPER(REGEXREPLACE(G547,""[^A-Za-z]+ "",""""))"),"Diginove Sas")</f>
        <v xml:space="preserve">Diginove Sas</v>
      </c>
      <c r="I1970" s="6"/>
      <c r="J1970" s="4" t="s">
        <v>14649</v>
      </c>
      <c r="K1970" s="4" t="s">
        <v>9251</v>
      </c>
      <c r="L1970" s="4" t="s">
        <v>29</v>
      </c>
      <c r="M1970" s="4" t="s">
        <v>2602</v>
      </c>
      <c r="N1970" s="4" t="str">
        <f>IFERROR(__XLUDF.DUMMYFUNCTION("VLOOKUP(M547,IMPORTRANGE(""https://docs.google.com/spreadsheets/d/1opm6ZNvGZ7KditA9TuJwrZ25eFLfTNIkrNnY6mhV5Eg"",""list!A1:C115""),3,TRUE)"),"le secteur de la tech")</f>
        <v xml:space="preserve">le secteur de la tech</v>
      </c>
      <c r="O1970" s="6"/>
      <c r="P1970" s="4">
        <v>10</v>
      </c>
      <c r="Q1970" s="4" t="s">
        <v>1015</v>
      </c>
      <c r="R1970" s="4" t="s">
        <v>9251</v>
      </c>
      <c r="S1970" s="4" t="s">
        <v>29</v>
      </c>
      <c r="T1970" s="5" t="s">
        <v>14650</v>
      </c>
      <c r="U1970" s="6"/>
      <c r="V1970" s="6"/>
      <c r="W1970" s="6"/>
      <c r="X1970" s="6"/>
      <c r="Y1970" s="4" t="s">
        <v>14651</v>
      </c>
      <c r="Z1970" s="6"/>
      <c r="AA1970" s="5" t="s">
        <v>14652</v>
      </c>
    </row>
    <row r="1971" ht="14.25">
      <c r="B1971" s="4" t="s">
        <v>14653</v>
      </c>
      <c r="C1971" s="4" t="s">
        <v>14654</v>
      </c>
      <c r="D1971" s="4" t="s">
        <v>14655</v>
      </c>
      <c r="E1971" s="4" t="s">
        <v>14656</v>
      </c>
      <c r="F1971" s="4" t="s">
        <v>2636</v>
      </c>
      <c r="G1971" s="4" t="s">
        <v>14657</v>
      </c>
      <c r="H1971" s="4" t="str">
        <f>IFERROR(__XLUDF.DUMMYFUNCTION("PROPER(REGEXREPLACE(G548,""[^A-Za-z]+ "",""""))"),"Beemo Technologie")</f>
        <v xml:space="preserve">Beemo Technologie</v>
      </c>
      <c r="I1971" s="5" t="s">
        <v>14658</v>
      </c>
      <c r="J1971" s="4" t="s">
        <v>14659</v>
      </c>
      <c r="K1971" s="4" t="s">
        <v>9460</v>
      </c>
      <c r="L1971" s="4" t="s">
        <v>29</v>
      </c>
      <c r="M1971" s="4" t="s">
        <v>2602</v>
      </c>
      <c r="N1971" s="4" t="str">
        <f>IFERROR(__XLUDF.DUMMYFUNCTION("VLOOKUP(M548,IMPORTRANGE(""https://docs.google.com/spreadsheets/d/1opm6ZNvGZ7KditA9TuJwrZ25eFLfTNIkrNnY6mhV5Eg"",""list!A1:C115""),3,TRUE)"),"le secteur de la tech")</f>
        <v xml:space="preserve">le secteur de la tech</v>
      </c>
      <c r="O1971" s="4" t="s">
        <v>14660</v>
      </c>
      <c r="P1971" s="4">
        <v>23</v>
      </c>
      <c r="Q1971" s="4" t="s">
        <v>14659</v>
      </c>
      <c r="R1971" s="4" t="s">
        <v>10829</v>
      </c>
      <c r="S1971" s="4" t="s">
        <v>29</v>
      </c>
      <c r="T1971" s="5" t="s">
        <v>14661</v>
      </c>
      <c r="U1971" s="5" t="s">
        <v>14662</v>
      </c>
      <c r="V1971" s="5" t="s">
        <v>14663</v>
      </c>
      <c r="W1971" s="6"/>
      <c r="X1971" s="6"/>
      <c r="Y1971" s="4" t="s">
        <v>14664</v>
      </c>
      <c r="Z1971" s="6"/>
      <c r="AA1971" s="5" t="s">
        <v>14665</v>
      </c>
    </row>
    <row r="1972" ht="14.25">
      <c r="B1972" s="4" t="s">
        <v>14666</v>
      </c>
      <c r="C1972" s="4" t="s">
        <v>5579</v>
      </c>
      <c r="D1972" s="4" t="s">
        <v>14667</v>
      </c>
      <c r="E1972" s="4" t="s">
        <v>14668</v>
      </c>
      <c r="F1972" s="4" t="s">
        <v>112</v>
      </c>
      <c r="G1972" s="4" t="s">
        <v>14669</v>
      </c>
      <c r="H1972" s="4" t="str">
        <f>IFERROR(__XLUDF.DUMMYFUNCTION("PROPER(REGEXREPLACE(G549,""[^A-Za-z]+ "",""""))"),"Docks Du Bureau")</f>
        <v xml:space="preserve">Docks Du Bureau</v>
      </c>
      <c r="I1972" s="5" t="s">
        <v>14670</v>
      </c>
      <c r="J1972" s="4" t="s">
        <v>83</v>
      </c>
      <c r="K1972" s="4" t="s">
        <v>9460</v>
      </c>
      <c r="L1972" s="4" t="s">
        <v>29</v>
      </c>
      <c r="M1972" s="4" t="s">
        <v>4525</v>
      </c>
      <c r="N1972" s="4" t="str">
        <f>IFERROR(__XLUDF.DUMMYFUNCTION("VLOOKUP(M549,IMPORTRANGE(""https://docs.google.com/spreadsheets/d/1opm6ZNvGZ7KditA9TuJwrZ25eFLfTNIkrNnY6mhV5Eg"",""list!A1:C115""),3,TRUE)"),"le secteur du retail")</f>
        <v xml:space="preserve">le secteur du retail</v>
      </c>
      <c r="O1972" s="6"/>
      <c r="P1972" s="4">
        <v>16</v>
      </c>
      <c r="Q1972" s="4" t="s">
        <v>83</v>
      </c>
      <c r="R1972" s="4" t="s">
        <v>9460</v>
      </c>
      <c r="S1972" s="4" t="s">
        <v>29</v>
      </c>
      <c r="T1972" s="5" t="s">
        <v>14671</v>
      </c>
      <c r="U1972" s="6"/>
      <c r="V1972" s="5" t="s">
        <v>14672</v>
      </c>
      <c r="W1972" s="6"/>
      <c r="X1972" s="6"/>
      <c r="Y1972" s="4" t="s">
        <v>14673</v>
      </c>
      <c r="Z1972" s="6"/>
      <c r="AA1972" s="5" t="s">
        <v>14674</v>
      </c>
    </row>
    <row r="1973" ht="14.25">
      <c r="B1973" s="4" t="s">
        <v>14675</v>
      </c>
      <c r="C1973" s="4" t="s">
        <v>14276</v>
      </c>
      <c r="D1973" s="4" t="s">
        <v>14676</v>
      </c>
      <c r="E1973" s="4" t="s">
        <v>14677</v>
      </c>
      <c r="F1973" s="4" t="s">
        <v>7759</v>
      </c>
      <c r="G1973" s="4" t="s">
        <v>14678</v>
      </c>
      <c r="H1973" s="4" t="str">
        <f>IFERROR(__XLUDF.DUMMYFUNCTION("PROPER(REGEXREPLACE(G550,""[^A-Za-z]+ "",""""))"),"Finopsys")</f>
        <v>Finopsys</v>
      </c>
      <c r="I1973" s="5" t="s">
        <v>14679</v>
      </c>
      <c r="J1973" s="4" t="s">
        <v>295</v>
      </c>
      <c r="K1973" s="4" t="s">
        <v>9251</v>
      </c>
      <c r="L1973" s="4" t="s">
        <v>29</v>
      </c>
      <c r="M1973" s="4" t="s">
        <v>2602</v>
      </c>
      <c r="N1973" s="4" t="str">
        <f>IFERROR(__XLUDF.DUMMYFUNCTION("VLOOKUP(M550,IMPORTRANGE(""https://docs.google.com/spreadsheets/d/1opm6ZNvGZ7KditA9TuJwrZ25eFLfTNIkrNnY6mhV5Eg"",""list!A1:C115""),3,TRUE)"),"le secteur de la tech")</f>
        <v xml:space="preserve">le secteur de la tech</v>
      </c>
      <c r="O1973" s="4" t="s">
        <v>14680</v>
      </c>
      <c r="P1973" s="4">
        <v>36</v>
      </c>
      <c r="Q1973" s="4" t="s">
        <v>14649</v>
      </c>
      <c r="R1973" s="4" t="s">
        <v>9251</v>
      </c>
      <c r="S1973" s="4" t="s">
        <v>29</v>
      </c>
      <c r="T1973" s="5" t="s">
        <v>14681</v>
      </c>
      <c r="U1973" s="5" t="s">
        <v>14682</v>
      </c>
      <c r="V1973" s="5" t="s">
        <v>14683</v>
      </c>
      <c r="W1973" s="6"/>
      <c r="X1973" s="6"/>
      <c r="Y1973" s="4" t="s">
        <v>14684</v>
      </c>
      <c r="Z1973" s="6"/>
      <c r="AA1973" s="5" t="s">
        <v>14685</v>
      </c>
    </row>
    <row r="1974" ht="14.25">
      <c r="B1974" s="4" t="s">
        <v>14686</v>
      </c>
      <c r="C1974" s="4" t="s">
        <v>3002</v>
      </c>
      <c r="D1974" s="4" t="s">
        <v>14687</v>
      </c>
      <c r="E1974" s="4" t="s">
        <v>14688</v>
      </c>
      <c r="F1974" s="4" t="s">
        <v>14689</v>
      </c>
      <c r="G1974" s="4" t="s">
        <v>14690</v>
      </c>
      <c r="H1974" s="4" t="str">
        <f>IFERROR(__XLUDF.DUMMYFUNCTION("PROPER(REGEXREPLACE(G551,""[^A-Za-z]+ "",""""))"),"Data Links")</f>
        <v xml:space="preserve">Data Links</v>
      </c>
      <c r="I1974" s="5" t="s">
        <v>14691</v>
      </c>
      <c r="J1974" s="4" t="s">
        <v>39</v>
      </c>
      <c r="K1974" s="4" t="s">
        <v>9160</v>
      </c>
      <c r="L1974" s="4" t="s">
        <v>29</v>
      </c>
      <c r="M1974" s="4" t="s">
        <v>2602</v>
      </c>
      <c r="N1974" s="4" t="str">
        <f>IFERROR(__XLUDF.DUMMYFUNCTION("VLOOKUP(M551,IMPORTRANGE(""https://docs.google.com/spreadsheets/d/1opm6ZNvGZ7KditA9TuJwrZ25eFLfTNIkrNnY6mhV5Eg"",""list!A1:C115""),3,TRUE)"),"le secteur de la tech")</f>
        <v xml:space="preserve">le secteur de la tech</v>
      </c>
      <c r="O1974" s="4" t="s">
        <v>14692</v>
      </c>
      <c r="P1974" s="4">
        <v>20</v>
      </c>
      <c r="Q1974" s="4" t="s">
        <v>5668</v>
      </c>
      <c r="R1974" s="4" t="s">
        <v>9160</v>
      </c>
      <c r="S1974" s="4" t="s">
        <v>29</v>
      </c>
      <c r="T1974" s="5" t="s">
        <v>14693</v>
      </c>
      <c r="U1974" s="6"/>
      <c r="V1974" s="5" t="s">
        <v>14694</v>
      </c>
      <c r="W1974" s="6"/>
      <c r="X1974" s="6"/>
      <c r="Y1974" s="4" t="s">
        <v>14695</v>
      </c>
      <c r="Z1974" s="6"/>
      <c r="AA1974" s="5" t="s">
        <v>14696</v>
      </c>
    </row>
    <row r="1975" ht="14.25">
      <c r="B1975" s="4" t="s">
        <v>14697</v>
      </c>
      <c r="C1975" s="4" t="s">
        <v>2119</v>
      </c>
      <c r="D1975" s="4" t="s">
        <v>14698</v>
      </c>
      <c r="E1975" s="4" t="s">
        <v>14699</v>
      </c>
      <c r="F1975" s="4" t="s">
        <v>14700</v>
      </c>
      <c r="G1975" s="4" t="s">
        <v>14701</v>
      </c>
      <c r="H1975" s="4" t="str">
        <f>IFERROR(__XLUDF.DUMMYFUNCTION("PROPER(REGEXREPLACE(G552,""[^A-Za-z]+ "",""""))"),"Aufiges")</f>
        <v>Aufiges</v>
      </c>
      <c r="I1975" s="5" t="s">
        <v>14702</v>
      </c>
      <c r="J1975" s="6"/>
      <c r="K1975" s="4" t="s">
        <v>9160</v>
      </c>
      <c r="L1975" s="4" t="s">
        <v>29</v>
      </c>
      <c r="M1975" s="4" t="s">
        <v>4067</v>
      </c>
      <c r="N1975" s="4" t="str">
        <f>IFERROR(__XLUDF.DUMMYFUNCTION("VLOOKUP(M552,IMPORTRANGE(""https://docs.google.com/spreadsheets/d/1opm6ZNvGZ7KditA9TuJwrZ25eFLfTNIkrNnY6mhV5Eg"",""list!A1:C115""),3,TRUE)"),"le secteur du conseil en management")</f>
        <v xml:space="preserve">le secteur du conseil en management</v>
      </c>
      <c r="O1975" s="4" t="s">
        <v>14703</v>
      </c>
      <c r="P1975" s="4">
        <v>13</v>
      </c>
      <c r="Q1975" s="4" t="s">
        <v>14704</v>
      </c>
      <c r="R1975" s="4" t="s">
        <v>9160</v>
      </c>
      <c r="S1975" s="4" t="s">
        <v>29</v>
      </c>
      <c r="T1975" s="5" t="s">
        <v>14705</v>
      </c>
      <c r="U1975" s="6"/>
      <c r="V1975" s="6"/>
      <c r="W1975" s="6"/>
      <c r="X1975" s="6"/>
      <c r="Y1975" s="4" t="s">
        <v>14706</v>
      </c>
      <c r="Z1975" s="6"/>
      <c r="AA1975" s="5" t="s">
        <v>14707</v>
      </c>
    </row>
    <row r="1976" ht="14.25">
      <c r="B1976" s="4" t="s">
        <v>14708</v>
      </c>
      <c r="C1976" s="4" t="s">
        <v>5873</v>
      </c>
      <c r="D1976" s="4" t="s">
        <v>14709</v>
      </c>
      <c r="E1976" s="4" t="s">
        <v>14710</v>
      </c>
      <c r="F1976" s="4" t="s">
        <v>112</v>
      </c>
      <c r="G1976" s="4" t="s">
        <v>14711</v>
      </c>
      <c r="H1976" s="4" t="str">
        <f>IFERROR(__XLUDF.DUMMYFUNCTION("PROPER(REGEXREPLACE(G553,""[^A-Za-z]+ "",""""))"),"Groupe Arj")</f>
        <v xml:space="preserve">Groupe Arj</v>
      </c>
      <c r="I1976" s="5" t="s">
        <v>14712</v>
      </c>
      <c r="J1976" s="6"/>
      <c r="K1976" s="6"/>
      <c r="L1976" s="4" t="s">
        <v>29</v>
      </c>
      <c r="M1976" s="4" t="s">
        <v>2602</v>
      </c>
      <c r="N1976" s="4" t="str">
        <f>IFERROR(__XLUDF.DUMMYFUNCTION("VLOOKUP(M553,IMPORTRANGE(""https://docs.google.com/spreadsheets/d/1opm6ZNvGZ7KditA9TuJwrZ25eFLfTNIkrNnY6mhV5Eg"",""list!A1:C115""),3,TRUE)"),"le secteur de la tech")</f>
        <v xml:space="preserve">le secteur de la tech</v>
      </c>
      <c r="O1976" s="4" t="s">
        <v>14713</v>
      </c>
      <c r="P1976" s="4">
        <v>15</v>
      </c>
      <c r="Q1976" s="4" t="s">
        <v>4257</v>
      </c>
      <c r="R1976" s="4" t="s">
        <v>9160</v>
      </c>
      <c r="S1976" s="4" t="s">
        <v>29</v>
      </c>
      <c r="T1976" s="5" t="s">
        <v>14714</v>
      </c>
      <c r="U1976" s="6"/>
      <c r="V1976" s="5" t="s">
        <v>14715</v>
      </c>
      <c r="W1976" s="6"/>
      <c r="X1976" s="6"/>
      <c r="Y1976" s="4" t="s">
        <v>14716</v>
      </c>
      <c r="Z1976" s="6"/>
      <c r="AA1976" s="5" t="s">
        <v>14717</v>
      </c>
    </row>
    <row r="1977" ht="14.25">
      <c r="B1977" s="4" t="s">
        <v>14718</v>
      </c>
      <c r="C1977" s="4" t="s">
        <v>1605</v>
      </c>
      <c r="D1977" s="4" t="s">
        <v>14719</v>
      </c>
      <c r="E1977" s="4" t="s">
        <v>14720</v>
      </c>
      <c r="F1977" s="4" t="s">
        <v>112</v>
      </c>
      <c r="G1977" s="4" t="s">
        <v>14721</v>
      </c>
      <c r="H1977" s="4" t="str">
        <f>IFERROR(__XLUDF.DUMMYFUNCTION("PROPER(REGEXREPLACE(G554,""[^A-Za-z]+ "",""""))"),"Andex International")</f>
        <v xml:space="preserve">Andex International</v>
      </c>
      <c r="I1977" s="5" t="s">
        <v>14722</v>
      </c>
      <c r="J1977" s="4" t="s">
        <v>39</v>
      </c>
      <c r="K1977" s="4" t="s">
        <v>9160</v>
      </c>
      <c r="L1977" s="4" t="s">
        <v>29</v>
      </c>
      <c r="M1977" s="4" t="s">
        <v>2602</v>
      </c>
      <c r="N1977" s="4" t="str">
        <f>IFERROR(__XLUDF.DUMMYFUNCTION("VLOOKUP(M554,IMPORTRANGE(""https://docs.google.com/spreadsheets/d/1opm6ZNvGZ7KditA9TuJwrZ25eFLfTNIkrNnY6mhV5Eg"",""list!A1:C115""),3,TRUE)"),"le secteur de la tech")</f>
        <v xml:space="preserve">le secteur de la tech</v>
      </c>
      <c r="O1977" s="4" t="s">
        <v>14723</v>
      </c>
      <c r="P1977" s="4">
        <v>33</v>
      </c>
      <c r="Q1977" s="4" t="s">
        <v>39</v>
      </c>
      <c r="R1977" s="4" t="s">
        <v>9160</v>
      </c>
      <c r="S1977" s="4" t="s">
        <v>29</v>
      </c>
      <c r="T1977" s="5" t="s">
        <v>14724</v>
      </c>
      <c r="U1977" s="6"/>
      <c r="V1977" s="6"/>
      <c r="W1977" s="6"/>
      <c r="X1977" s="6"/>
      <c r="Y1977" s="4" t="s">
        <v>14725</v>
      </c>
      <c r="Z1977" s="6"/>
      <c r="AA1977" s="5" t="s">
        <v>14726</v>
      </c>
    </row>
    <row r="1978" ht="14.25">
      <c r="B1978" s="4" t="s">
        <v>14727</v>
      </c>
      <c r="C1978" s="4" t="s">
        <v>7518</v>
      </c>
      <c r="D1978" s="4" t="s">
        <v>14728</v>
      </c>
      <c r="E1978" s="4" t="s">
        <v>14729</v>
      </c>
      <c r="F1978" s="4" t="s">
        <v>503</v>
      </c>
      <c r="G1978" s="4" t="s">
        <v>12360</v>
      </c>
      <c r="H1978" s="4" t="str">
        <f>IFERROR(__XLUDF.DUMMYFUNCTION("PROPER(REGEXREPLACE(G555,""[^A-Za-z]+ "",""""))"),"Sairen")</f>
        <v>Sairen</v>
      </c>
      <c r="I1978" s="5" t="s">
        <v>12361</v>
      </c>
      <c r="J1978" s="6"/>
      <c r="K1978" s="6"/>
      <c r="L1978" s="4" t="s">
        <v>29</v>
      </c>
      <c r="M1978" s="4" t="s">
        <v>2602</v>
      </c>
      <c r="N1978" s="4" t="str">
        <f>IFERROR(__XLUDF.DUMMYFUNCTION("VLOOKUP(M555,IMPORTRANGE(""https://docs.google.com/spreadsheets/d/1opm6ZNvGZ7KditA9TuJwrZ25eFLfTNIkrNnY6mhV5Eg"",""list!A1:C115""),3,TRUE)"),"le secteur de la tech")</f>
        <v xml:space="preserve">le secteur de la tech</v>
      </c>
      <c r="O1978" s="6"/>
      <c r="P1978" s="4">
        <v>13</v>
      </c>
      <c r="Q1978" s="4" t="s">
        <v>39</v>
      </c>
      <c r="R1978" s="4" t="s">
        <v>9160</v>
      </c>
      <c r="S1978" s="4" t="s">
        <v>29</v>
      </c>
      <c r="T1978" s="5" t="s">
        <v>12362</v>
      </c>
      <c r="U1978" s="6"/>
      <c r="V1978" s="6"/>
      <c r="W1978" s="6"/>
      <c r="X1978" s="6"/>
      <c r="Y1978" s="4" t="s">
        <v>12363</v>
      </c>
      <c r="Z1978" s="6"/>
      <c r="AA1978" s="5" t="s">
        <v>14730</v>
      </c>
    </row>
    <row r="1979" ht="14.25">
      <c r="B1979" s="4" t="s">
        <v>14731</v>
      </c>
      <c r="C1979" s="4" t="s">
        <v>963</v>
      </c>
      <c r="D1979" s="4" t="s">
        <v>14732</v>
      </c>
      <c r="E1979" s="4" t="s">
        <v>14733</v>
      </c>
      <c r="F1979" s="4" t="s">
        <v>5400</v>
      </c>
      <c r="G1979" s="4" t="s">
        <v>14734</v>
      </c>
      <c r="H1979" s="4" t="str">
        <f>IFERROR(__XLUDF.DUMMYFUNCTION("PROPER(REGEXREPLACE(G556,""[^A-Za-z]+ "",""""))"),"Tryba Energy")</f>
        <v xml:space="preserve">Tryba Energy</v>
      </c>
      <c r="I1979" s="5" t="s">
        <v>14735</v>
      </c>
      <c r="J1979" s="4" t="s">
        <v>14736</v>
      </c>
      <c r="K1979" s="4" t="s">
        <v>9215</v>
      </c>
      <c r="L1979" s="4" t="s">
        <v>29</v>
      </c>
      <c r="M1979" s="4" t="s">
        <v>4067</v>
      </c>
      <c r="N1979" s="4" t="str">
        <f>IFERROR(__XLUDF.DUMMYFUNCTION("VLOOKUP(M556,IMPORTRANGE(""https://docs.google.com/spreadsheets/d/1opm6ZNvGZ7KditA9TuJwrZ25eFLfTNIkrNnY6mhV5Eg"",""list!A1:C115""),3,TRUE)"),"le secteur du conseil en management")</f>
        <v xml:space="preserve">le secteur du conseil en management</v>
      </c>
      <c r="O1979" s="6"/>
      <c r="P1979" s="4">
        <v>25</v>
      </c>
      <c r="Q1979" s="4" t="s">
        <v>14736</v>
      </c>
      <c r="R1979" s="4" t="s">
        <v>12581</v>
      </c>
      <c r="S1979" s="4" t="s">
        <v>29</v>
      </c>
      <c r="T1979" s="5" t="s">
        <v>14737</v>
      </c>
      <c r="U1979" s="6"/>
      <c r="V1979" s="6"/>
      <c r="W1979" s="6"/>
      <c r="X1979" s="6"/>
      <c r="Y1979" s="4" t="s">
        <v>14738</v>
      </c>
      <c r="Z1979" s="6"/>
      <c r="AA1979" s="5" t="s">
        <v>14739</v>
      </c>
    </row>
    <row r="1980" ht="14.25">
      <c r="B1980" s="4" t="s">
        <v>14740</v>
      </c>
      <c r="C1980" s="4" t="s">
        <v>14741</v>
      </c>
      <c r="D1980" s="4" t="s">
        <v>14742</v>
      </c>
      <c r="E1980" s="4" t="s">
        <v>14743</v>
      </c>
      <c r="F1980" s="4" t="s">
        <v>365</v>
      </c>
      <c r="G1980" s="4" t="s">
        <v>11907</v>
      </c>
      <c r="H1980" s="4" t="str">
        <f>IFERROR(__XLUDF.DUMMYFUNCTION("PROPER(REGEXREPLACE(G557,""[^A-Za-z]+ "",""""))"),"Pod")</f>
        <v>Pod</v>
      </c>
      <c r="I1980" s="4" t="s">
        <v>11908</v>
      </c>
      <c r="J1980" s="4" t="s">
        <v>1711</v>
      </c>
      <c r="K1980" s="4" t="s">
        <v>9350</v>
      </c>
      <c r="L1980" s="4" t="s">
        <v>29</v>
      </c>
      <c r="M1980" s="4" t="s">
        <v>4067</v>
      </c>
      <c r="N1980" s="4" t="str">
        <f>IFERROR(__XLUDF.DUMMYFUNCTION("VLOOKUP(M557,IMPORTRANGE(""https://docs.google.com/spreadsheets/d/1opm6ZNvGZ7KditA9TuJwrZ25eFLfTNIkrNnY6mhV5Eg"",""list!A1:C115""),3,TRUE)"),"le secteur du conseil en management")</f>
        <v xml:space="preserve">le secteur du conseil en management</v>
      </c>
      <c r="O1980" s="4" t="s">
        <v>11909</v>
      </c>
      <c r="P1980" s="4">
        <v>21</v>
      </c>
      <c r="Q1980" s="4" t="s">
        <v>39</v>
      </c>
      <c r="R1980" s="4" t="s">
        <v>9160</v>
      </c>
      <c r="S1980" s="4" t="s">
        <v>29</v>
      </c>
      <c r="T1980" s="5" t="s">
        <v>11910</v>
      </c>
      <c r="U1980" s="6"/>
      <c r="V1980" s="6"/>
      <c r="W1980" s="6"/>
      <c r="X1980" s="6"/>
      <c r="Y1980" s="4" t="s">
        <v>11911</v>
      </c>
      <c r="Z1980" s="6"/>
      <c r="AA1980" s="5" t="s">
        <v>14744</v>
      </c>
    </row>
    <row r="1981" ht="14.25">
      <c r="B1981" s="4" t="s">
        <v>14745</v>
      </c>
      <c r="C1981" s="4" t="s">
        <v>3002</v>
      </c>
      <c r="D1981" s="4" t="s">
        <v>14746</v>
      </c>
      <c r="E1981" s="4" t="s">
        <v>14747</v>
      </c>
      <c r="F1981" s="4" t="s">
        <v>14748</v>
      </c>
      <c r="G1981" s="4" t="s">
        <v>14749</v>
      </c>
      <c r="H1981" s="4" t="str">
        <f>IFERROR(__XLUDF.DUMMYFUNCTION("PROPER(REGEXREPLACE(G558,""[^A-Za-z]+ "",""""))"),"Quick-Off")</f>
        <v>Quick-Off</v>
      </c>
      <c r="I1981" s="5" t="s">
        <v>14750</v>
      </c>
      <c r="J1981" s="4" t="s">
        <v>14751</v>
      </c>
      <c r="K1981" s="4" t="s">
        <v>9193</v>
      </c>
      <c r="L1981" s="4" t="s">
        <v>29</v>
      </c>
      <c r="M1981" s="4" t="s">
        <v>2602</v>
      </c>
      <c r="N1981" s="4" t="str">
        <f>IFERROR(__XLUDF.DUMMYFUNCTION("VLOOKUP(M558,IMPORTRANGE(""https://docs.google.com/spreadsheets/d/1opm6ZNvGZ7KditA9TuJwrZ25eFLfTNIkrNnY6mhV5Eg"",""list!A1:C115""),3,TRUE)"),"le secteur de la tech")</f>
        <v xml:space="preserve">le secteur de la tech</v>
      </c>
      <c r="O1981" s="4" t="s">
        <v>14752</v>
      </c>
      <c r="P1981" s="4">
        <v>17</v>
      </c>
      <c r="Q1981" s="4" t="s">
        <v>185</v>
      </c>
      <c r="R1981" s="4" t="s">
        <v>9193</v>
      </c>
      <c r="S1981" s="4" t="s">
        <v>29</v>
      </c>
      <c r="T1981" s="5" t="s">
        <v>14753</v>
      </c>
      <c r="U1981" s="6"/>
      <c r="V1981" s="5" t="s">
        <v>14754</v>
      </c>
      <c r="W1981" s="6"/>
      <c r="X1981" s="6"/>
      <c r="Y1981" s="4" t="s">
        <v>14755</v>
      </c>
      <c r="Z1981" s="6"/>
      <c r="AA1981" s="5" t="s">
        <v>14756</v>
      </c>
    </row>
    <row r="1982" ht="14.25">
      <c r="B1982" s="4" t="s">
        <v>14757</v>
      </c>
      <c r="C1982" s="4" t="s">
        <v>5579</v>
      </c>
      <c r="D1982" s="4" t="s">
        <v>14758</v>
      </c>
      <c r="E1982" s="4" t="s">
        <v>14759</v>
      </c>
      <c r="F1982" s="4" t="s">
        <v>14760</v>
      </c>
      <c r="G1982" s="4" t="s">
        <v>14761</v>
      </c>
      <c r="H1982" s="4" t="str">
        <f>IFERROR(__XLUDF.DUMMYFUNCTION("PROPER(REGEXREPLACE(G559,""[^A-Za-z]+ "",""""))"),"Wikane")</f>
        <v>Wikane</v>
      </c>
      <c r="I1982" s="5" t="s">
        <v>14762</v>
      </c>
      <c r="J1982" s="4" t="s">
        <v>83</v>
      </c>
      <c r="K1982" s="4" t="s">
        <v>9460</v>
      </c>
      <c r="L1982" s="4" t="s">
        <v>29</v>
      </c>
      <c r="M1982" s="4" t="s">
        <v>4067</v>
      </c>
      <c r="N1982" s="4" t="str">
        <f>IFERROR(__XLUDF.DUMMYFUNCTION("VLOOKUP(M559,IMPORTRANGE(""https://docs.google.com/spreadsheets/d/1opm6ZNvGZ7KditA9TuJwrZ25eFLfTNIkrNnY6mhV5Eg"",""list!A1:C115""),3,TRUE)"),"le secteur du conseil en management")</f>
        <v xml:space="preserve">le secteur du conseil en management</v>
      </c>
      <c r="O1982" s="4" t="s">
        <v>14763</v>
      </c>
      <c r="P1982" s="4">
        <v>39</v>
      </c>
      <c r="Q1982" s="4" t="s">
        <v>39</v>
      </c>
      <c r="R1982" s="4" t="s">
        <v>9160</v>
      </c>
      <c r="S1982" s="4" t="s">
        <v>29</v>
      </c>
      <c r="T1982" s="5" t="s">
        <v>14764</v>
      </c>
      <c r="U1982" s="6"/>
      <c r="V1982" s="6"/>
      <c r="W1982" s="6"/>
      <c r="X1982" s="6"/>
      <c r="Y1982" s="4" t="s">
        <v>14765</v>
      </c>
      <c r="Z1982" s="6"/>
      <c r="AA1982" s="5" t="s">
        <v>14766</v>
      </c>
    </row>
    <row r="1983" ht="14.25">
      <c r="B1983" s="4" t="s">
        <v>14767</v>
      </c>
      <c r="C1983" s="4" t="s">
        <v>5891</v>
      </c>
      <c r="D1983" s="4" t="s">
        <v>14768</v>
      </c>
      <c r="E1983" s="4" t="s">
        <v>14769</v>
      </c>
      <c r="F1983" s="4" t="s">
        <v>172</v>
      </c>
      <c r="G1983" s="4" t="s">
        <v>14770</v>
      </c>
      <c r="H1983" s="4" t="str">
        <f>IFERROR(__XLUDF.DUMMYFUNCTION("PROPER(REGEXREPLACE(G560,""[^A-Za-z]+ "",""""))"),"Ose Engineering")</f>
        <v xml:space="preserve">Ose Engineering</v>
      </c>
      <c r="I1983" s="5" t="s">
        <v>14771</v>
      </c>
      <c r="J1983" s="4" t="s">
        <v>423</v>
      </c>
      <c r="K1983" s="4" t="s">
        <v>9193</v>
      </c>
      <c r="L1983" s="4" t="s">
        <v>29</v>
      </c>
      <c r="M1983" s="4" t="s">
        <v>2602</v>
      </c>
      <c r="N1983" s="4" t="str">
        <f>IFERROR(__XLUDF.DUMMYFUNCTION("VLOOKUP(M560,IMPORTRANGE(""https://docs.google.com/spreadsheets/d/1opm6ZNvGZ7KditA9TuJwrZ25eFLfTNIkrNnY6mhV5Eg"",""list!A1:C115""),3,TRUE)"),"le secteur de la tech")</f>
        <v xml:space="preserve">le secteur de la tech</v>
      </c>
      <c r="O1983" s="4" t="s">
        <v>14772</v>
      </c>
      <c r="P1983" s="4">
        <v>42</v>
      </c>
      <c r="Q1983" s="6"/>
      <c r="R1983" s="6"/>
      <c r="S1983" s="6"/>
      <c r="T1983" s="5" t="s">
        <v>14773</v>
      </c>
      <c r="U1983" s="6"/>
      <c r="V1983" s="6"/>
      <c r="W1983" s="6"/>
      <c r="X1983" s="6"/>
      <c r="Y1983" s="4" t="s">
        <v>14774</v>
      </c>
      <c r="Z1983" s="6"/>
      <c r="AA1983" s="5" t="s">
        <v>14775</v>
      </c>
    </row>
    <row r="1984" ht="14.25">
      <c r="B1984" s="4" t="s">
        <v>14776</v>
      </c>
      <c r="C1984" s="4" t="s">
        <v>14777</v>
      </c>
      <c r="D1984" s="4" t="s">
        <v>14778</v>
      </c>
      <c r="E1984" s="4" t="s">
        <v>14779</v>
      </c>
      <c r="F1984" s="4" t="s">
        <v>14780</v>
      </c>
      <c r="G1984" s="4" t="s">
        <v>14781</v>
      </c>
      <c r="H1984" s="4" t="str">
        <f>IFERROR(__XLUDF.DUMMYFUNCTION("PROPER(REGEXREPLACE(G561,""[^A-Za-z]+ "",""""))"),"Meric Sas")</f>
        <v xml:space="preserve">Meric Sas</v>
      </c>
      <c r="I1984" s="5" t="s">
        <v>14782</v>
      </c>
      <c r="J1984" s="4" t="s">
        <v>2174</v>
      </c>
      <c r="K1984" s="4" t="s">
        <v>9193</v>
      </c>
      <c r="L1984" s="4" t="s">
        <v>29</v>
      </c>
      <c r="M1984" s="4" t="s">
        <v>10167</v>
      </c>
      <c r="N1984" s="4" t="str">
        <f>IFERROR(__XLUDF.DUMMYFUNCTION("VLOOKUP(M561,IMPORTRANGE(""https://docs.google.com/spreadsheets/d/1opm6ZNvGZ7KditA9TuJwrZ25eFLfTNIkrNnY6mhV5Eg"",""list!A1:C115""),3,TRUE)"),"le secteur de l'architecture et de l'urbanisme")</f>
        <v xml:space="preserve">le secteur de l'architecture et de l'urbanisme</v>
      </c>
      <c r="O1984" s="4" t="s">
        <v>14783</v>
      </c>
      <c r="P1984" s="4">
        <v>19</v>
      </c>
      <c r="Q1984" s="4" t="s">
        <v>14784</v>
      </c>
      <c r="R1984" s="4" t="s">
        <v>9193</v>
      </c>
      <c r="S1984" s="4" t="s">
        <v>29</v>
      </c>
      <c r="T1984" s="5" t="s">
        <v>14785</v>
      </c>
      <c r="U1984" s="6"/>
      <c r="V1984" s="6"/>
      <c r="W1984" s="6"/>
      <c r="X1984" s="6"/>
      <c r="Y1984" s="4" t="s">
        <v>14786</v>
      </c>
      <c r="Z1984" s="6"/>
      <c r="AA1984" s="5" t="s">
        <v>14787</v>
      </c>
    </row>
    <row r="1985" ht="14.25">
      <c r="B1985" s="4" t="s">
        <v>14788</v>
      </c>
      <c r="C1985" s="4" t="s">
        <v>2119</v>
      </c>
      <c r="D1985" s="4" t="s">
        <v>10764</v>
      </c>
      <c r="E1985" s="4" t="s">
        <v>14789</v>
      </c>
      <c r="F1985" s="4" t="s">
        <v>14790</v>
      </c>
      <c r="G1985" s="4" t="s">
        <v>14791</v>
      </c>
      <c r="H1985" s="4" t="str">
        <f>IFERROR(__XLUDF.DUMMYFUNCTION("PROPER(REGEXREPLACE(G562,""[^A-Za-z]+ "",""""))"),"Tech'Innove")</f>
        <v>Tech'Innove</v>
      </c>
      <c r="I1985" s="5" t="s">
        <v>14792</v>
      </c>
      <c r="J1985" s="4" t="s">
        <v>185</v>
      </c>
      <c r="K1985" s="4" t="s">
        <v>9193</v>
      </c>
      <c r="L1985" s="4" t="s">
        <v>29</v>
      </c>
      <c r="M1985" s="4" t="s">
        <v>4067</v>
      </c>
      <c r="N1985" s="4" t="str">
        <f>IFERROR(__XLUDF.DUMMYFUNCTION("VLOOKUP(M562,IMPORTRANGE(""https://docs.google.com/spreadsheets/d/1opm6ZNvGZ7KditA9TuJwrZ25eFLfTNIkrNnY6mhV5Eg"",""list!A1:C115""),3,TRUE)"),"le secteur du conseil en management")</f>
        <v xml:space="preserve">le secteur du conseil en management</v>
      </c>
      <c r="O1985" s="4" t="s">
        <v>14793</v>
      </c>
      <c r="P1985" s="4">
        <v>16</v>
      </c>
      <c r="Q1985" s="4" t="s">
        <v>185</v>
      </c>
      <c r="R1985" s="4" t="s">
        <v>9172</v>
      </c>
      <c r="S1985" s="4" t="s">
        <v>29</v>
      </c>
      <c r="T1985" s="5" t="s">
        <v>14794</v>
      </c>
      <c r="U1985" s="5" t="s">
        <v>14795</v>
      </c>
      <c r="V1985" s="5" t="s">
        <v>14796</v>
      </c>
      <c r="W1985" s="6"/>
      <c r="X1985" s="6"/>
      <c r="Y1985" s="4" t="s">
        <v>14797</v>
      </c>
      <c r="Z1985" s="6"/>
      <c r="AA1985" s="5" t="s">
        <v>14798</v>
      </c>
    </row>
    <row r="1986" ht="14.25">
      <c r="B1986" s="4" t="s">
        <v>14799</v>
      </c>
      <c r="C1986" s="4" t="s">
        <v>3540</v>
      </c>
      <c r="D1986" s="4" t="s">
        <v>14800</v>
      </c>
      <c r="E1986" s="4" t="s">
        <v>14801</v>
      </c>
      <c r="F1986" s="4" t="s">
        <v>1162</v>
      </c>
      <c r="G1986" s="4" t="s">
        <v>14802</v>
      </c>
      <c r="H1986" s="4" t="str">
        <f>IFERROR(__XLUDF.DUMMYFUNCTION("PROPER(REGEXREPLACE(G563,""[^A-Za-z]+ "",""""))"),"Antana")</f>
        <v>Antana</v>
      </c>
      <c r="I1986" s="5" t="s">
        <v>14803</v>
      </c>
      <c r="J1986" s="4" t="s">
        <v>39</v>
      </c>
      <c r="K1986" s="4" t="s">
        <v>9160</v>
      </c>
      <c r="L1986" s="4" t="s">
        <v>29</v>
      </c>
      <c r="M1986" s="4" t="s">
        <v>9264</v>
      </c>
      <c r="N1986" s="4" t="str">
        <f>IFERROR(__XLUDF.DUMMYFUNCTION("VLOOKUP(M563,IMPORTRANGE(""https://docs.google.com/spreadsheets/d/1opm6ZNvGZ7KditA9TuJwrZ25eFLfTNIkrNnY6mhV5Eg"",""list!A1:C115""),3,TRUE)"),"le secteur de la sécurité informatique")</f>
        <v xml:space="preserve">le secteur de la sécurité informatique</v>
      </c>
      <c r="O1986" s="4" t="s">
        <v>14804</v>
      </c>
      <c r="P1986" s="4">
        <v>13</v>
      </c>
      <c r="Q1986" s="4" t="s">
        <v>14805</v>
      </c>
      <c r="R1986" s="4" t="s">
        <v>9160</v>
      </c>
      <c r="S1986" s="4" t="s">
        <v>29</v>
      </c>
      <c r="T1986" s="5" t="s">
        <v>14806</v>
      </c>
      <c r="U1986" s="5" t="s">
        <v>14807</v>
      </c>
      <c r="V1986" s="5" t="s">
        <v>14808</v>
      </c>
      <c r="W1986" s="6"/>
      <c r="X1986" s="6"/>
      <c r="Y1986" s="4" t="s">
        <v>14809</v>
      </c>
      <c r="Z1986" s="6"/>
      <c r="AA1986" s="5" t="s">
        <v>14810</v>
      </c>
    </row>
    <row r="1987" ht="14.25">
      <c r="B1987" s="4" t="s">
        <v>14811</v>
      </c>
      <c r="C1987" s="4" t="s">
        <v>5579</v>
      </c>
      <c r="D1987" s="4" t="s">
        <v>14812</v>
      </c>
      <c r="E1987" s="4" t="s">
        <v>14813</v>
      </c>
      <c r="F1987" s="4" t="s">
        <v>14814</v>
      </c>
      <c r="G1987" s="4" t="s">
        <v>14815</v>
      </c>
      <c r="H1987" s="4" t="str">
        <f>IFERROR(__XLUDF.DUMMYFUNCTION("PROPER(REGEXREPLACE(G564,""[^A-Za-z]+ "",""""))"),"Fastor Gie")</f>
        <v xml:space="preserve">Fastor Gie</v>
      </c>
      <c r="I1987" s="5" t="s">
        <v>14816</v>
      </c>
      <c r="J1987" s="4" t="s">
        <v>14817</v>
      </c>
      <c r="K1987" s="4" t="s">
        <v>9226</v>
      </c>
      <c r="L1987" s="4" t="s">
        <v>29</v>
      </c>
      <c r="M1987" s="4" t="s">
        <v>2602</v>
      </c>
      <c r="N1987" s="4" t="str">
        <f>IFERROR(__XLUDF.DUMMYFUNCTION("VLOOKUP(M564,IMPORTRANGE(""https://docs.google.com/spreadsheets/d/1opm6ZNvGZ7KditA9TuJwrZ25eFLfTNIkrNnY6mhV5Eg"",""list!A1:C115""),3,TRUE)"),"le secteur de la tech")</f>
        <v xml:space="preserve">le secteur de la tech</v>
      </c>
      <c r="O1987" s="6"/>
      <c r="P1987" s="4">
        <v>12</v>
      </c>
      <c r="Q1987" s="4" t="s">
        <v>14817</v>
      </c>
      <c r="R1987" s="4" t="s">
        <v>9226</v>
      </c>
      <c r="S1987" s="4" t="s">
        <v>29</v>
      </c>
      <c r="T1987" s="5" t="s">
        <v>14818</v>
      </c>
      <c r="U1987" s="6"/>
      <c r="V1987" s="6"/>
      <c r="W1987" s="6"/>
      <c r="X1987" s="6"/>
      <c r="Y1987" s="4" t="s">
        <v>14819</v>
      </c>
      <c r="Z1987" s="6"/>
      <c r="AA1987" s="5" t="s">
        <v>14820</v>
      </c>
    </row>
    <row r="1988" ht="14.25">
      <c r="B1988" s="4" t="s">
        <v>14821</v>
      </c>
      <c r="C1988" s="4" t="s">
        <v>3142</v>
      </c>
      <c r="D1988" s="4" t="s">
        <v>14822</v>
      </c>
      <c r="E1988" s="4" t="s">
        <v>14823</v>
      </c>
      <c r="F1988" s="4" t="s">
        <v>14824</v>
      </c>
      <c r="G1988" s="4" t="s">
        <v>14825</v>
      </c>
      <c r="H1988" s="4" t="str">
        <f>IFERROR(__XLUDF.DUMMYFUNCTION("PROPER(REGEXREPLACE(G565,""[^A-Za-z]+ "",""""))"),"Tds Global Technologiescyber Networksecurity Talent Profiler")</f>
        <v xml:space="preserve">Tds Global Technologiescyber Networksecurity Talent Profiler</v>
      </c>
      <c r="I1988" s="5" t="s">
        <v>14826</v>
      </c>
      <c r="J1988" s="4" t="s">
        <v>39</v>
      </c>
      <c r="K1988" s="4" t="s">
        <v>9160</v>
      </c>
      <c r="L1988" s="4" t="s">
        <v>29</v>
      </c>
      <c r="M1988" s="4" t="s">
        <v>2602</v>
      </c>
      <c r="N1988" s="4" t="str">
        <f>IFERROR(__XLUDF.DUMMYFUNCTION("VLOOKUP(M565,IMPORTRANGE(""https://docs.google.com/spreadsheets/d/1opm6ZNvGZ7KditA9TuJwrZ25eFLfTNIkrNnY6mhV5Eg"",""list!A1:C115""),3,TRUE)"),"le secteur de la tech")</f>
        <v xml:space="preserve">le secteur de la tech</v>
      </c>
      <c r="O1988" s="6"/>
      <c r="P1988" s="4">
        <v>38</v>
      </c>
      <c r="Q1988" s="4" t="s">
        <v>8537</v>
      </c>
      <c r="R1988" s="4" t="s">
        <v>9160</v>
      </c>
      <c r="S1988" s="4" t="s">
        <v>29</v>
      </c>
      <c r="T1988" s="5" t="s">
        <v>14827</v>
      </c>
      <c r="U1988" s="6"/>
      <c r="V1988" s="6"/>
      <c r="W1988" s="6"/>
      <c r="X1988" s="6"/>
      <c r="Y1988" s="4" t="s">
        <v>14828</v>
      </c>
      <c r="Z1988" s="6"/>
      <c r="AA1988" s="5" t="s">
        <v>14829</v>
      </c>
    </row>
    <row r="1989" ht="14.25">
      <c r="B1989" s="4" t="s">
        <v>14830</v>
      </c>
      <c r="C1989" s="4" t="s">
        <v>3142</v>
      </c>
      <c r="D1989" s="4" t="s">
        <v>14831</v>
      </c>
      <c r="E1989" s="4" t="s">
        <v>14832</v>
      </c>
      <c r="F1989" s="4" t="s">
        <v>112</v>
      </c>
      <c r="G1989" s="4" t="s">
        <v>14833</v>
      </c>
      <c r="H1989" s="4" t="str">
        <f>IFERROR(__XLUDF.DUMMYFUNCTION("PROPER(REGEXREPLACE(G566,""[^A-Za-z]+ "",""""))"),"Vialcom Retail Solution")</f>
        <v xml:space="preserve">Vialcom Retail Solution</v>
      </c>
      <c r="I1989" s="5" t="s">
        <v>14834</v>
      </c>
      <c r="J1989" s="4" t="s">
        <v>9967</v>
      </c>
      <c r="K1989" s="4" t="s">
        <v>9160</v>
      </c>
      <c r="L1989" s="4" t="s">
        <v>29</v>
      </c>
      <c r="M1989" s="4" t="s">
        <v>9239</v>
      </c>
      <c r="N1989" s="4" t="str">
        <f>IFERROR(__XLUDF.DUMMYFUNCTION("VLOOKUP(M566,IMPORTRANGE(""https://docs.google.com/spreadsheets/d/1opm6ZNvGZ7KditA9TuJwrZ25eFLfTNIkrNnY6mhV5Eg"",""list!A1:C115""),3,TRUE)"),"le secteur de la construction")</f>
        <v xml:space="preserve">le secteur de la construction</v>
      </c>
      <c r="O1989" s="4" t="s">
        <v>14835</v>
      </c>
      <c r="P1989" s="4">
        <v>10</v>
      </c>
      <c r="Q1989" s="4" t="s">
        <v>2110</v>
      </c>
      <c r="R1989" s="4" t="s">
        <v>9160</v>
      </c>
      <c r="S1989" s="4" t="s">
        <v>29</v>
      </c>
      <c r="T1989" s="5" t="s">
        <v>14836</v>
      </c>
      <c r="U1989" s="6"/>
      <c r="V1989" s="6"/>
      <c r="W1989" s="6"/>
      <c r="X1989" s="6"/>
      <c r="Y1989" s="4" t="s">
        <v>14837</v>
      </c>
      <c r="Z1989" s="6"/>
      <c r="AA1989" s="5" t="s">
        <v>14838</v>
      </c>
    </row>
    <row r="1990" ht="14.25">
      <c r="B1990" s="4" t="s">
        <v>14839</v>
      </c>
      <c r="C1990" s="4" t="s">
        <v>5873</v>
      </c>
      <c r="D1990" s="4" t="s">
        <v>10222</v>
      </c>
      <c r="E1990" s="4" t="s">
        <v>14840</v>
      </c>
      <c r="F1990" s="4" t="s">
        <v>14841</v>
      </c>
      <c r="G1990" s="4" t="s">
        <v>14842</v>
      </c>
      <c r="H1990" s="4" t="str">
        <f>IFERROR(__XLUDF.DUMMYFUNCTION("PROPER(REGEXREPLACE(G567,""[^A-Za-z]+ "",""""))"),"Maisons Mag")</f>
        <v xml:space="preserve">Maisons Mag</v>
      </c>
      <c r="I1990" s="5" t="s">
        <v>14843</v>
      </c>
      <c r="J1990" s="4" t="s">
        <v>11355</v>
      </c>
      <c r="K1990" s="4" t="s">
        <v>9193</v>
      </c>
      <c r="L1990" s="4" t="s">
        <v>29</v>
      </c>
      <c r="M1990" s="4" t="s">
        <v>9239</v>
      </c>
      <c r="N1990" s="4" t="str">
        <f>IFERROR(__XLUDF.DUMMYFUNCTION("VLOOKUP(M567,IMPORTRANGE(""https://docs.google.com/spreadsheets/d/1opm6ZNvGZ7KditA9TuJwrZ25eFLfTNIkrNnY6mhV5Eg"",""list!A1:C115""),3,TRUE)"),"le secteur de la construction")</f>
        <v xml:space="preserve">le secteur de la construction</v>
      </c>
      <c r="O1990" s="4" t="s">
        <v>14844</v>
      </c>
      <c r="P1990" s="4">
        <v>12</v>
      </c>
      <c r="Q1990" s="4" t="s">
        <v>14845</v>
      </c>
      <c r="R1990" s="4" t="s">
        <v>9193</v>
      </c>
      <c r="S1990" s="4" t="s">
        <v>29</v>
      </c>
      <c r="T1990" s="5" t="s">
        <v>14846</v>
      </c>
      <c r="U1990" s="6"/>
      <c r="V1990" s="5" t="s">
        <v>14847</v>
      </c>
      <c r="W1990" s="6"/>
      <c r="X1990" s="6"/>
      <c r="Y1990" s="4" t="s">
        <v>14848</v>
      </c>
      <c r="Z1990" s="6"/>
      <c r="AA1990" s="5" t="s">
        <v>14849</v>
      </c>
    </row>
    <row r="1991" ht="14.25">
      <c r="B1991" s="4" t="s">
        <v>14850</v>
      </c>
      <c r="C1991" s="4" t="s">
        <v>14851</v>
      </c>
      <c r="D1991" s="4" t="s">
        <v>14852</v>
      </c>
      <c r="E1991" s="4" t="s">
        <v>14853</v>
      </c>
      <c r="F1991" s="4" t="s">
        <v>112</v>
      </c>
      <c r="G1991" s="4" t="s">
        <v>14854</v>
      </c>
      <c r="H1991" s="4" t="str">
        <f>IFERROR(__XLUDF.DUMMYFUNCTION("PROPER(REGEXREPLACE(G568,""[^A-Za-z]+ "",""""))"),"Groupe D'Ingénierie")</f>
        <v xml:space="preserve">Groupe D'Ingénierie</v>
      </c>
      <c r="I1991" s="5" t="s">
        <v>14855</v>
      </c>
      <c r="J1991" s="4" t="s">
        <v>39</v>
      </c>
      <c r="K1991" s="4" t="s">
        <v>9160</v>
      </c>
      <c r="L1991" s="4" t="s">
        <v>29</v>
      </c>
      <c r="M1991" s="4" t="s">
        <v>9239</v>
      </c>
      <c r="N1991" s="4" t="str">
        <f>IFERROR(__XLUDF.DUMMYFUNCTION("VLOOKUP(M568,IMPORTRANGE(""https://docs.google.com/spreadsheets/d/1opm6ZNvGZ7KditA9TuJwrZ25eFLfTNIkrNnY6mhV5Eg"",""list!A1:C115""),3,TRUE)"),"le secteur de la construction")</f>
        <v xml:space="preserve">le secteur de la construction</v>
      </c>
      <c r="O1991" s="4" t="s">
        <v>14856</v>
      </c>
      <c r="P1991" s="4">
        <v>11</v>
      </c>
      <c r="Q1991" s="4" t="s">
        <v>39</v>
      </c>
      <c r="R1991" s="4" t="s">
        <v>9160</v>
      </c>
      <c r="S1991" s="4" t="s">
        <v>29</v>
      </c>
      <c r="T1991" s="5" t="s">
        <v>14857</v>
      </c>
      <c r="U1991" s="6"/>
      <c r="V1991" s="6"/>
      <c r="W1991" s="6"/>
      <c r="X1991" s="6"/>
      <c r="Y1991" s="4" t="s">
        <v>14858</v>
      </c>
      <c r="Z1991" s="6"/>
      <c r="AA1991" s="5" t="s">
        <v>14859</v>
      </c>
    </row>
    <row r="1992" ht="14.25">
      <c r="B1992" s="4" t="s">
        <v>14860</v>
      </c>
      <c r="C1992" s="4" t="s">
        <v>2119</v>
      </c>
      <c r="D1992" s="4" t="s">
        <v>14861</v>
      </c>
      <c r="E1992" s="4" t="s">
        <v>14862</v>
      </c>
      <c r="F1992" s="4" t="s">
        <v>7759</v>
      </c>
      <c r="G1992" s="4" t="s">
        <v>14863</v>
      </c>
      <c r="H1992" s="4" t="str">
        <f>IFERROR(__XLUDF.DUMMYFUNCTION("PROPER(REGEXREPLACE(G569,""[^A-Za-z]+ "",""""))"),"Widip Sas")</f>
        <v xml:space="preserve">Widip Sas</v>
      </c>
      <c r="I1992" s="5" t="s">
        <v>14864</v>
      </c>
      <c r="J1992" s="4" t="s">
        <v>10050</v>
      </c>
      <c r="K1992" s="4" t="s">
        <v>9193</v>
      </c>
      <c r="L1992" s="4" t="s">
        <v>29</v>
      </c>
      <c r="M1992" s="4" t="s">
        <v>2602</v>
      </c>
      <c r="N1992" s="4" t="str">
        <f>IFERROR(__XLUDF.DUMMYFUNCTION("VLOOKUP(M569,IMPORTRANGE(""https://docs.google.com/spreadsheets/d/1opm6ZNvGZ7KditA9TuJwrZ25eFLfTNIkrNnY6mhV5Eg"",""list!A1:C115""),3,TRUE)"),"le secteur de la tech")</f>
        <v xml:space="preserve">le secteur de la tech</v>
      </c>
      <c r="O1992" s="4" t="s">
        <v>14865</v>
      </c>
      <c r="P1992" s="4">
        <v>25</v>
      </c>
      <c r="Q1992" s="4" t="s">
        <v>14784</v>
      </c>
      <c r="R1992" s="4" t="s">
        <v>9193</v>
      </c>
      <c r="S1992" s="4" t="s">
        <v>29</v>
      </c>
      <c r="T1992" s="5" t="s">
        <v>14866</v>
      </c>
      <c r="U1992" s="6"/>
      <c r="V1992" s="5" t="s">
        <v>14867</v>
      </c>
      <c r="W1992" s="6"/>
      <c r="X1992" s="6"/>
      <c r="Y1992" s="4" t="s">
        <v>14868</v>
      </c>
      <c r="Z1992" s="6"/>
      <c r="AA1992" s="5" t="s">
        <v>14869</v>
      </c>
    </row>
    <row r="1993" ht="14.25">
      <c r="B1993" s="4" t="s">
        <v>14870</v>
      </c>
      <c r="C1993" s="4" t="s">
        <v>14871</v>
      </c>
      <c r="D1993" s="4" t="s">
        <v>3165</v>
      </c>
      <c r="E1993" s="4" t="s">
        <v>14872</v>
      </c>
      <c r="F1993" s="4" t="s">
        <v>14873</v>
      </c>
      <c r="G1993" s="4" t="s">
        <v>14874</v>
      </c>
      <c r="H1993" s="4" t="str">
        <f>IFERROR(__XLUDF.DUMMYFUNCTION("PROPER(REGEXREPLACE(G570,""[^A-Za-z]+ "",""""))"),"Cqs")</f>
        <v>Cqs</v>
      </c>
      <c r="I1993" s="5" t="s">
        <v>14875</v>
      </c>
      <c r="J1993" s="4" t="s">
        <v>49</v>
      </c>
      <c r="K1993" s="4" t="s">
        <v>9251</v>
      </c>
      <c r="L1993" s="4" t="s">
        <v>29</v>
      </c>
      <c r="M1993" s="4" t="s">
        <v>4067</v>
      </c>
      <c r="N1993" s="4" t="str">
        <f>IFERROR(__XLUDF.DUMMYFUNCTION("VLOOKUP(M570,IMPORTRANGE(""https://docs.google.com/spreadsheets/d/1opm6ZNvGZ7KditA9TuJwrZ25eFLfTNIkrNnY6mhV5Eg"",""list!A1:C115""),3,TRUE)"),"le secteur du conseil en management")</f>
        <v xml:space="preserve">le secteur du conseil en management</v>
      </c>
      <c r="O1993" s="4" t="s">
        <v>14876</v>
      </c>
      <c r="P1993" s="4">
        <v>15</v>
      </c>
      <c r="Q1993" s="4" t="s">
        <v>49</v>
      </c>
      <c r="R1993" s="4" t="s">
        <v>9251</v>
      </c>
      <c r="S1993" s="4" t="s">
        <v>29</v>
      </c>
      <c r="T1993" s="5" t="s">
        <v>14877</v>
      </c>
      <c r="U1993" s="6"/>
      <c r="V1993" s="6"/>
      <c r="W1993" s="6"/>
      <c r="X1993" s="6"/>
      <c r="Y1993" s="4" t="s">
        <v>14878</v>
      </c>
      <c r="Z1993" s="6"/>
      <c r="AA1993" s="5" t="s">
        <v>14879</v>
      </c>
    </row>
    <row r="1994" ht="14.25">
      <c r="B1994" s="4" t="s">
        <v>14880</v>
      </c>
      <c r="C1994" s="4" t="s">
        <v>3002</v>
      </c>
      <c r="D1994" s="4" t="s">
        <v>14881</v>
      </c>
      <c r="E1994" s="4" t="s">
        <v>14882</v>
      </c>
      <c r="F1994" s="4" t="s">
        <v>9849</v>
      </c>
      <c r="G1994" s="4" t="s">
        <v>14883</v>
      </c>
      <c r="H1994" s="4" t="str">
        <f>IFERROR(__XLUDF.DUMMYFUNCTION("PROPER(REGEXREPLACE(G571,""[^A-Za-z]+ "",""""))"),"Novances It")</f>
        <v xml:space="preserve">Novances It</v>
      </c>
      <c r="I1994" s="5" t="s">
        <v>14884</v>
      </c>
      <c r="J1994" s="4" t="s">
        <v>185</v>
      </c>
      <c r="K1994" s="4" t="s">
        <v>9172</v>
      </c>
      <c r="L1994" s="4" t="s">
        <v>29</v>
      </c>
      <c r="M1994" s="4" t="s">
        <v>9264</v>
      </c>
      <c r="N1994" s="4" t="str">
        <f>IFERROR(__XLUDF.DUMMYFUNCTION("VLOOKUP(M571,IMPORTRANGE(""https://docs.google.com/spreadsheets/d/1opm6ZNvGZ7KditA9TuJwrZ25eFLfTNIkrNnY6mhV5Eg"",""list!A1:C115""),3,TRUE)"),"le secteur de la sécurité informatique")</f>
        <v xml:space="preserve">le secteur de la sécurité informatique</v>
      </c>
      <c r="O1994" s="4" t="s">
        <v>14885</v>
      </c>
      <c r="P1994" s="4">
        <v>19</v>
      </c>
      <c r="Q1994" s="4" t="s">
        <v>14886</v>
      </c>
      <c r="R1994" s="4" t="s">
        <v>9193</v>
      </c>
      <c r="S1994" s="4" t="s">
        <v>29</v>
      </c>
      <c r="T1994" s="5" t="s">
        <v>14887</v>
      </c>
      <c r="U1994" s="5" t="s">
        <v>14888</v>
      </c>
      <c r="V1994" s="6"/>
      <c r="W1994" s="6"/>
      <c r="X1994" s="6"/>
      <c r="Y1994" s="4" t="s">
        <v>14889</v>
      </c>
      <c r="Z1994" s="6"/>
      <c r="AA1994" s="5" t="s">
        <v>14890</v>
      </c>
    </row>
    <row r="1995" ht="14.25">
      <c r="B1995" s="4" t="s">
        <v>14891</v>
      </c>
      <c r="C1995" s="4" t="s">
        <v>2119</v>
      </c>
      <c r="D1995" s="4" t="s">
        <v>14892</v>
      </c>
      <c r="E1995" s="4" t="s">
        <v>14893</v>
      </c>
      <c r="F1995" s="4" t="s">
        <v>7759</v>
      </c>
      <c r="G1995" s="4" t="s">
        <v>14894</v>
      </c>
      <c r="H1995" s="4" t="str">
        <f>IFERROR(__XLUDF.DUMMYFUNCTION("PROPER(REGEXREPLACE(G572,""[^A-Za-z]+ "",""""))"),"Groupe Schubel")</f>
        <v xml:space="preserve">Groupe Schubel</v>
      </c>
      <c r="I1995" s="5" t="s">
        <v>14895</v>
      </c>
      <c r="J1995" s="4" t="s">
        <v>39</v>
      </c>
      <c r="K1995" s="4" t="s">
        <v>9160</v>
      </c>
      <c r="L1995" s="4" t="s">
        <v>29</v>
      </c>
      <c r="M1995" s="4" t="s">
        <v>9239</v>
      </c>
      <c r="N1995" s="4" t="str">
        <f>IFERROR(__XLUDF.DUMMYFUNCTION("VLOOKUP(M572,IMPORTRANGE(""https://docs.google.com/spreadsheets/d/1opm6ZNvGZ7KditA9TuJwrZ25eFLfTNIkrNnY6mhV5Eg"",""list!A1:C115""),3,TRUE)"),"le secteur de la construction")</f>
        <v xml:space="preserve">le secteur de la construction</v>
      </c>
      <c r="O1995" s="4" t="s">
        <v>14896</v>
      </c>
      <c r="P1995" s="4">
        <v>37</v>
      </c>
      <c r="Q1995" s="6"/>
      <c r="R1995" s="4" t="s">
        <v>9160</v>
      </c>
      <c r="S1995" s="4" t="s">
        <v>29</v>
      </c>
      <c r="T1995" s="5" t="s">
        <v>14897</v>
      </c>
      <c r="U1995" s="6"/>
      <c r="V1995" s="6"/>
      <c r="W1995" s="6"/>
      <c r="X1995" s="6"/>
      <c r="Y1995" s="4" t="s">
        <v>14898</v>
      </c>
      <c r="Z1995" s="6"/>
      <c r="AA1995" s="5" t="s">
        <v>14899</v>
      </c>
    </row>
    <row r="1996" ht="14.25">
      <c r="B1996" s="4" t="s">
        <v>14900</v>
      </c>
      <c r="C1996" s="4" t="s">
        <v>4012</v>
      </c>
      <c r="D1996" s="4" t="s">
        <v>14901</v>
      </c>
      <c r="E1996" s="4" t="s">
        <v>14902</v>
      </c>
      <c r="F1996" s="4" t="s">
        <v>112</v>
      </c>
      <c r="G1996" s="4" t="s">
        <v>14903</v>
      </c>
      <c r="H1996" s="4" t="str">
        <f>IFERROR(__XLUDF.DUMMYFUNCTION("PROPER(REGEXREPLACE(G573,""[^A-Za-z]+ "",""""))"),"Tnt")</f>
        <v>Tnt</v>
      </c>
      <c r="I1996" s="5" t="s">
        <v>14904</v>
      </c>
      <c r="J1996" s="4" t="s">
        <v>295</v>
      </c>
      <c r="K1996" s="4" t="s">
        <v>9251</v>
      </c>
      <c r="L1996" s="4" t="s">
        <v>29</v>
      </c>
      <c r="M1996" s="4" t="s">
        <v>9184</v>
      </c>
      <c r="N1996" s="4" t="str">
        <f>IFERROR(__XLUDF.DUMMYFUNCTION("VLOOKUP(M573,IMPORTRANGE(""https://docs.google.com/spreadsheets/d/1opm6ZNvGZ7KditA9TuJwrZ25eFLfTNIkrNnY6mhV5Eg"",""list!A1:C115""),3,TRUE)"),"le secteur des télécommunications")</f>
        <v xml:space="preserve">le secteur des télécommunications</v>
      </c>
      <c r="O1996" s="4" t="s">
        <v>14905</v>
      </c>
      <c r="P1996" s="4">
        <v>17</v>
      </c>
      <c r="Q1996" s="4" t="s">
        <v>7965</v>
      </c>
      <c r="R1996" s="4" t="s">
        <v>9251</v>
      </c>
      <c r="S1996" s="4" t="s">
        <v>29</v>
      </c>
      <c r="T1996" s="5" t="s">
        <v>14906</v>
      </c>
      <c r="U1996" s="6"/>
      <c r="V1996" s="5" t="s">
        <v>14907</v>
      </c>
      <c r="W1996" s="6"/>
      <c r="X1996" s="6"/>
      <c r="Y1996" s="4" t="s">
        <v>14908</v>
      </c>
      <c r="Z1996" s="6"/>
      <c r="AA1996" s="5" t="s">
        <v>14909</v>
      </c>
    </row>
    <row r="1997" ht="14.25">
      <c r="B1997" s="4" t="s">
        <v>14910</v>
      </c>
      <c r="C1997" s="4" t="s">
        <v>5951</v>
      </c>
      <c r="D1997" s="4" t="s">
        <v>14911</v>
      </c>
      <c r="E1997" s="4" t="s">
        <v>14912</v>
      </c>
      <c r="F1997" s="4" t="s">
        <v>112</v>
      </c>
      <c r="G1997" s="4" t="s">
        <v>14913</v>
      </c>
      <c r="H1997" s="4" t="str">
        <f>IFERROR(__XLUDF.DUMMYFUNCTION("PROPER(REGEXREPLACE(G574,""[^A-Za-z]+ "",""""))"),"Ocamlpro")</f>
        <v>Ocamlpro</v>
      </c>
      <c r="I1997" s="5" t="s">
        <v>14914</v>
      </c>
      <c r="J1997" s="4" t="s">
        <v>39</v>
      </c>
      <c r="K1997" s="4" t="s">
        <v>9160</v>
      </c>
      <c r="L1997" s="4" t="s">
        <v>29</v>
      </c>
      <c r="M1997" s="4" t="s">
        <v>2602</v>
      </c>
      <c r="N1997" s="4" t="str">
        <f>IFERROR(__XLUDF.DUMMYFUNCTION("VLOOKUP(M574,IMPORTRANGE(""https://docs.google.com/spreadsheets/d/1opm6ZNvGZ7KditA9TuJwrZ25eFLfTNIkrNnY6mhV5Eg"",""list!A1:C115""),3,TRUE)"),"le secteur de la tech")</f>
        <v xml:space="preserve">le secteur de la tech</v>
      </c>
      <c r="O1997" s="4" t="s">
        <v>14915</v>
      </c>
      <c r="P1997" s="4">
        <v>19</v>
      </c>
      <c r="Q1997" s="4" t="s">
        <v>39</v>
      </c>
      <c r="R1997" s="4" t="s">
        <v>9160</v>
      </c>
      <c r="S1997" s="4" t="s">
        <v>29</v>
      </c>
      <c r="T1997" s="5" t="s">
        <v>14916</v>
      </c>
      <c r="U1997" s="5" t="s">
        <v>14917</v>
      </c>
      <c r="V1997" s="5" t="s">
        <v>14918</v>
      </c>
      <c r="W1997" s="6"/>
      <c r="X1997" s="6"/>
      <c r="Y1997" s="4" t="s">
        <v>14919</v>
      </c>
      <c r="Z1997" s="6"/>
      <c r="AA1997" s="5" t="s">
        <v>14920</v>
      </c>
    </row>
    <row r="1998" ht="14.25">
      <c r="B1998" s="4" t="s">
        <v>14921</v>
      </c>
      <c r="C1998" s="4" t="s">
        <v>2119</v>
      </c>
      <c r="D1998" s="4" t="s">
        <v>14922</v>
      </c>
      <c r="E1998" s="4" t="s">
        <v>14923</v>
      </c>
      <c r="F1998" s="4" t="s">
        <v>341</v>
      </c>
      <c r="G1998" s="4" t="s">
        <v>14924</v>
      </c>
      <c r="H1998" s="4" t="str">
        <f>IFERROR(__XLUDF.DUMMYFUNCTION("PROPER(REGEXREPLACE(G575,""[^A-Za-z]+ "",""""))"),"Comin Desk Cybersécuritet Télécoms")</f>
        <v xml:space="preserve">Comin Desk Cybersécuritet Télécoms</v>
      </c>
      <c r="I1998" s="5" t="s">
        <v>14925</v>
      </c>
      <c r="J1998" s="4" t="s">
        <v>4296</v>
      </c>
      <c r="K1998" s="4" t="s">
        <v>9160</v>
      </c>
      <c r="L1998" s="4" t="s">
        <v>29</v>
      </c>
      <c r="M1998" s="4" t="s">
        <v>2602</v>
      </c>
      <c r="N1998" s="4" t="str">
        <f>IFERROR(__XLUDF.DUMMYFUNCTION("VLOOKUP(M575,IMPORTRANGE(""https://docs.google.com/spreadsheets/d/1opm6ZNvGZ7KditA9TuJwrZ25eFLfTNIkrNnY6mhV5Eg"",""list!A1:C115""),3,TRUE)"),"le secteur de la tech")</f>
        <v xml:space="preserve">le secteur de la tech</v>
      </c>
      <c r="O1998" s="4" t="s">
        <v>14926</v>
      </c>
      <c r="P1998" s="4">
        <v>10</v>
      </c>
      <c r="Q1998" s="4" t="s">
        <v>14927</v>
      </c>
      <c r="R1998" s="4" t="s">
        <v>9160</v>
      </c>
      <c r="S1998" s="4" t="s">
        <v>29</v>
      </c>
      <c r="T1998" s="5" t="s">
        <v>14928</v>
      </c>
      <c r="U1998" s="6"/>
      <c r="V1998" s="6"/>
      <c r="W1998" s="6"/>
      <c r="X1998" s="6"/>
      <c r="Y1998" s="4" t="s">
        <v>14929</v>
      </c>
      <c r="Z1998" s="6"/>
      <c r="AA1998" s="5" t="s">
        <v>14930</v>
      </c>
    </row>
    <row r="1999" ht="14.25">
      <c r="B1999" s="4" t="s">
        <v>14931</v>
      </c>
      <c r="C1999" s="4" t="s">
        <v>110</v>
      </c>
      <c r="D1999" s="4" t="s">
        <v>14932</v>
      </c>
      <c r="E1999" s="4" t="s">
        <v>14933</v>
      </c>
      <c r="F1999" s="4" t="s">
        <v>7759</v>
      </c>
      <c r="G1999" s="4" t="s">
        <v>14934</v>
      </c>
      <c r="H1999" s="4" t="str">
        <f>IFERROR(__XLUDF.DUMMYFUNCTION("PROPER(REGEXREPLACE(G576,""[^A-Za-z]+ "",""""))"),"Georgeault")</f>
        <v>Georgeault</v>
      </c>
      <c r="I1999" s="5" t="s">
        <v>14935</v>
      </c>
      <c r="J1999" s="4" t="s">
        <v>14936</v>
      </c>
      <c r="K1999" s="4" t="s">
        <v>9227</v>
      </c>
      <c r="L1999" s="4" t="s">
        <v>29</v>
      </c>
      <c r="M1999" s="4" t="s">
        <v>9239</v>
      </c>
      <c r="N1999" s="4" t="str">
        <f>IFERROR(__XLUDF.DUMMYFUNCTION("VLOOKUP(M576,IMPORTRANGE(""https://docs.google.com/spreadsheets/d/1opm6ZNvGZ7KditA9TuJwrZ25eFLfTNIkrNnY6mhV5Eg"",""list!A1:C115""),3,TRUE)"),"le secteur de la construction")</f>
        <v xml:space="preserve">le secteur de la construction</v>
      </c>
      <c r="O1999" s="4" t="s">
        <v>14937</v>
      </c>
      <c r="P1999" s="4">
        <v>33</v>
      </c>
      <c r="Q1999" s="4" t="s">
        <v>14936</v>
      </c>
      <c r="R1999" s="4" t="s">
        <v>9227</v>
      </c>
      <c r="S1999" s="4" t="s">
        <v>29</v>
      </c>
      <c r="T1999" s="5" t="s">
        <v>14938</v>
      </c>
      <c r="U1999" s="6"/>
      <c r="V1999" s="6"/>
      <c r="W1999" s="6"/>
      <c r="X1999" s="6"/>
      <c r="Y1999" s="4" t="s">
        <v>14939</v>
      </c>
      <c r="Z1999" s="6"/>
      <c r="AA1999" s="5" t="s">
        <v>14940</v>
      </c>
    </row>
    <row r="2000" ht="14.25">
      <c r="B2000" s="4" t="s">
        <v>14941</v>
      </c>
      <c r="C2000" s="4" t="s">
        <v>14942</v>
      </c>
      <c r="D2000" s="4" t="s">
        <v>14943</v>
      </c>
      <c r="E2000" s="4" t="s">
        <v>14944</v>
      </c>
      <c r="F2000" s="4" t="s">
        <v>2636</v>
      </c>
      <c r="G2000" s="4" t="s">
        <v>14945</v>
      </c>
      <c r="H2000" s="4" t="str">
        <f>IFERROR(__XLUDF.DUMMYFUNCTION("PROPER(REGEXREPLACE(G577,""[^A-Za-z]+ "",""""))"),"Trust Id")</f>
        <v xml:space="preserve">Trust Id</v>
      </c>
      <c r="I2000" s="5" t="s">
        <v>14946</v>
      </c>
      <c r="J2000" s="4" t="s">
        <v>14947</v>
      </c>
      <c r="K2000" s="4" t="s">
        <v>9160</v>
      </c>
      <c r="L2000" s="4" t="s">
        <v>29</v>
      </c>
      <c r="M2000" s="4" t="s">
        <v>2602</v>
      </c>
      <c r="N2000" s="4" t="str">
        <f>IFERROR(__XLUDF.DUMMYFUNCTION("VLOOKUP(M577,IMPORTRANGE(""https://docs.google.com/spreadsheets/d/1opm6ZNvGZ7KditA9TuJwrZ25eFLfTNIkrNnY6mhV5Eg"",""list!A1:C115""),3,TRUE)"),"le secteur de la tech")</f>
        <v xml:space="preserve">le secteur de la tech</v>
      </c>
      <c r="O2000" s="6"/>
      <c r="P2000" s="4">
        <v>12</v>
      </c>
      <c r="Q2000" s="4" t="s">
        <v>14947</v>
      </c>
      <c r="R2000" s="4" t="s">
        <v>9160</v>
      </c>
      <c r="S2000" s="4" t="s">
        <v>29</v>
      </c>
      <c r="T2000" s="5" t="s">
        <v>14948</v>
      </c>
      <c r="U2000" s="5" t="s">
        <v>14949</v>
      </c>
      <c r="V2000" s="6"/>
      <c r="W2000" s="6"/>
      <c r="X2000" s="6"/>
      <c r="Y2000" s="4" t="s">
        <v>14950</v>
      </c>
      <c r="Z2000" s="6"/>
      <c r="AA2000" s="5" t="s">
        <v>14951</v>
      </c>
    </row>
    <row r="2001" ht="14.25">
      <c r="B2001" s="4" t="s">
        <v>14952</v>
      </c>
      <c r="C2001" s="4" t="s">
        <v>110</v>
      </c>
      <c r="D2001" s="4" t="s">
        <v>6037</v>
      </c>
      <c r="E2001" s="4" t="s">
        <v>14953</v>
      </c>
      <c r="F2001" s="4" t="s">
        <v>14954</v>
      </c>
      <c r="G2001" s="4" t="s">
        <v>14955</v>
      </c>
      <c r="H2001" s="4" t="str">
        <f>IFERROR(__XLUDF.DUMMYFUNCTION("PROPER(REGEXREPLACE(G578,""[^A-Za-z]+ "",""""))"),"Panicentre")</f>
        <v>Panicentre</v>
      </c>
      <c r="I2001" s="5" t="s">
        <v>14956</v>
      </c>
      <c r="J2001" s="4" t="s">
        <v>14957</v>
      </c>
      <c r="K2001" s="4" t="s">
        <v>9798</v>
      </c>
      <c r="L2001" s="4" t="s">
        <v>29</v>
      </c>
      <c r="M2001" s="4" t="s">
        <v>4525</v>
      </c>
      <c r="N2001" s="4" t="str">
        <f>IFERROR(__XLUDF.DUMMYFUNCTION("VLOOKUP(M578,IMPORTRANGE(""https://docs.google.com/spreadsheets/d/1opm6ZNvGZ7KditA9TuJwrZ25eFLfTNIkrNnY6mhV5Eg"",""list!A1:C115""),3,TRUE)"),"le secteur du retail")</f>
        <v xml:space="preserve">le secteur du retail</v>
      </c>
      <c r="O2001" s="4" t="s">
        <v>14958</v>
      </c>
      <c r="P2001" s="4">
        <v>10</v>
      </c>
      <c r="Q2001" s="4" t="s">
        <v>14957</v>
      </c>
      <c r="R2001" s="4" t="s">
        <v>10736</v>
      </c>
      <c r="S2001" s="4" t="s">
        <v>29</v>
      </c>
      <c r="T2001" s="5" t="s">
        <v>14959</v>
      </c>
      <c r="U2001" s="6"/>
      <c r="V2001" s="5" t="s">
        <v>14960</v>
      </c>
      <c r="W2001" s="6"/>
      <c r="X2001" s="6"/>
      <c r="Y2001" s="4" t="s">
        <v>14961</v>
      </c>
      <c r="Z2001" s="6"/>
      <c r="AA2001" s="5" t="s">
        <v>14962</v>
      </c>
    </row>
    <row r="2002" ht="14.25">
      <c r="B2002" s="4" t="s">
        <v>14963</v>
      </c>
      <c r="C2002" s="4" t="s">
        <v>14964</v>
      </c>
      <c r="D2002" s="4" t="s">
        <v>14965</v>
      </c>
      <c r="E2002" s="4" t="s">
        <v>14966</v>
      </c>
      <c r="F2002" s="4" t="s">
        <v>112</v>
      </c>
      <c r="G2002" s="4" t="s">
        <v>14967</v>
      </c>
      <c r="H2002" s="4" t="str">
        <f>IFERROR(__XLUDF.DUMMYFUNCTION("PROPER(REGEXREPLACE(G579,""[^A-Za-z]+ "",""""))"),"Izaktech")</f>
        <v>Izaktech</v>
      </c>
      <c r="I2002" s="5" t="s">
        <v>14968</v>
      </c>
      <c r="J2002" s="4" t="s">
        <v>185</v>
      </c>
      <c r="K2002" s="4" t="s">
        <v>9193</v>
      </c>
      <c r="L2002" s="4" t="s">
        <v>29</v>
      </c>
      <c r="M2002" s="4" t="s">
        <v>4525</v>
      </c>
      <c r="N2002" s="4" t="str">
        <f>IFERROR(__XLUDF.DUMMYFUNCTION("VLOOKUP(M579,IMPORTRANGE(""https://docs.google.com/spreadsheets/d/1opm6ZNvGZ7KditA9TuJwrZ25eFLfTNIkrNnY6mhV5Eg"",""list!A1:C115""),3,TRUE)"),"le secteur du retail")</f>
        <v xml:space="preserve">le secteur du retail</v>
      </c>
      <c r="O2002" s="6"/>
      <c r="P2002" s="4">
        <v>10</v>
      </c>
      <c r="Q2002" s="4" t="s">
        <v>14969</v>
      </c>
      <c r="R2002" s="4" t="s">
        <v>9193</v>
      </c>
      <c r="S2002" s="4" t="s">
        <v>29</v>
      </c>
      <c r="T2002" s="5" t="s">
        <v>14970</v>
      </c>
      <c r="U2002" s="6"/>
      <c r="V2002" s="6"/>
      <c r="W2002" s="6"/>
      <c r="X2002" s="6"/>
      <c r="Y2002" s="4" t="s">
        <v>14971</v>
      </c>
      <c r="Z2002" s="6"/>
      <c r="AA2002" s="5" t="s">
        <v>14972</v>
      </c>
    </row>
    <row r="2003" ht="14.25">
      <c r="B2003" s="4" t="s">
        <v>14973</v>
      </c>
      <c r="C2003" s="4" t="s">
        <v>110</v>
      </c>
      <c r="D2003" s="4" t="s">
        <v>14974</v>
      </c>
      <c r="E2003" s="4" t="s">
        <v>14975</v>
      </c>
      <c r="F2003" s="4" t="s">
        <v>9849</v>
      </c>
      <c r="G2003" s="4" t="s">
        <v>14976</v>
      </c>
      <c r="H2003" s="4" t="str">
        <f>IFERROR(__XLUDF.DUMMYFUNCTION("PROPER(REGEXREPLACE(G580,""[^A-Za-z]+ "",""""))"),"Tpb Flooring France")</f>
        <v xml:space="preserve">Tpb Flooring France</v>
      </c>
      <c r="I2003" s="5" t="s">
        <v>14977</v>
      </c>
      <c r="J2003" s="4" t="s">
        <v>14978</v>
      </c>
      <c r="K2003" s="4" t="s">
        <v>9215</v>
      </c>
      <c r="L2003" s="4" t="s">
        <v>29</v>
      </c>
      <c r="M2003" s="4" t="s">
        <v>9239</v>
      </c>
      <c r="N2003" s="4" t="str">
        <f>IFERROR(__XLUDF.DUMMYFUNCTION("VLOOKUP(M580,IMPORTRANGE(""https://docs.google.com/spreadsheets/d/1opm6ZNvGZ7KditA9TuJwrZ25eFLfTNIkrNnY6mhV5Eg"",""list!A1:C115""),3,TRUE)"),"le secteur de la construction")</f>
        <v xml:space="preserve">le secteur de la construction</v>
      </c>
      <c r="O2003" s="6"/>
      <c r="P2003" s="4">
        <v>13</v>
      </c>
      <c r="Q2003" s="4" t="s">
        <v>14979</v>
      </c>
      <c r="R2003" s="4" t="s">
        <v>9215</v>
      </c>
      <c r="S2003" s="4" t="s">
        <v>29</v>
      </c>
      <c r="T2003" s="5" t="s">
        <v>14980</v>
      </c>
      <c r="U2003" s="6"/>
      <c r="V2003" s="6"/>
      <c r="W2003" s="6"/>
      <c r="X2003" s="6"/>
      <c r="Y2003" s="4" t="s">
        <v>14981</v>
      </c>
      <c r="Z2003" s="6"/>
      <c r="AA2003" s="5" t="s">
        <v>14982</v>
      </c>
    </row>
    <row r="2004" ht="14.25">
      <c r="B2004" s="4" t="s">
        <v>14983</v>
      </c>
      <c r="C2004" s="4" t="s">
        <v>14964</v>
      </c>
      <c r="D2004" s="4" t="s">
        <v>14984</v>
      </c>
      <c r="E2004" s="4" t="s">
        <v>14985</v>
      </c>
      <c r="F2004" s="4" t="s">
        <v>7759</v>
      </c>
      <c r="G2004" s="4" t="s">
        <v>14986</v>
      </c>
      <c r="H2004" s="4" t="str">
        <f>IFERROR(__XLUDF.DUMMYFUNCTION("PROPER(REGEXREPLACE(G581,""[^A-Za-z]+ "",""""))"),"Framboise Consulting")</f>
        <v xml:space="preserve">Framboise Consulting</v>
      </c>
      <c r="I2004" s="4" t="s">
        <v>14987</v>
      </c>
      <c r="J2004" s="4" t="s">
        <v>14988</v>
      </c>
      <c r="K2004" s="4" t="s">
        <v>9193</v>
      </c>
      <c r="L2004" s="4" t="s">
        <v>29</v>
      </c>
      <c r="M2004" s="4" t="s">
        <v>4067</v>
      </c>
      <c r="N2004" s="4" t="str">
        <f>IFERROR(__XLUDF.DUMMYFUNCTION("VLOOKUP(M581,IMPORTRANGE(""https://docs.google.com/spreadsheets/d/1opm6ZNvGZ7KditA9TuJwrZ25eFLfTNIkrNnY6mhV5Eg"",""list!A1:C115""),3,TRUE)"),"le secteur du conseil en management")</f>
        <v xml:space="preserve">le secteur du conseil en management</v>
      </c>
      <c r="O2004" s="4" t="s">
        <v>14989</v>
      </c>
      <c r="P2004" s="4">
        <v>42</v>
      </c>
      <c r="Q2004" s="4" t="s">
        <v>9702</v>
      </c>
      <c r="R2004" s="4" t="s">
        <v>9172</v>
      </c>
      <c r="S2004" s="4" t="s">
        <v>29</v>
      </c>
      <c r="T2004" s="5" t="s">
        <v>14990</v>
      </c>
      <c r="U2004" s="6"/>
      <c r="V2004" s="6"/>
      <c r="W2004" s="6"/>
      <c r="X2004" s="6"/>
      <c r="Y2004" s="4" t="s">
        <v>14991</v>
      </c>
      <c r="Z2004" s="6"/>
      <c r="AA2004" s="5" t="s">
        <v>14992</v>
      </c>
    </row>
    <row r="2005" ht="14.25">
      <c r="B2005" s="4" t="s">
        <v>14993</v>
      </c>
      <c r="C2005" s="4" t="s">
        <v>8660</v>
      </c>
      <c r="D2005" s="4" t="s">
        <v>14994</v>
      </c>
      <c r="E2005" s="4" t="s">
        <v>14995</v>
      </c>
      <c r="F2005" s="4" t="s">
        <v>14996</v>
      </c>
      <c r="G2005" s="4" t="s">
        <v>14997</v>
      </c>
      <c r="H2005" s="4" t="str">
        <f>IFERROR(__XLUDF.DUMMYFUNCTION("PROPER(REGEXREPLACE(G582,""[^A-Za-z]+ "",""""))"),"Safari Technologies")</f>
        <v xml:space="preserve">Safari Technologies</v>
      </c>
      <c r="I2005" s="5" t="s">
        <v>14998</v>
      </c>
      <c r="J2005" s="6"/>
      <c r="K2005" s="6"/>
      <c r="L2005" s="4" t="s">
        <v>29</v>
      </c>
      <c r="M2005" s="4" t="s">
        <v>2602</v>
      </c>
      <c r="N2005" s="4" t="str">
        <f>IFERROR(__XLUDF.DUMMYFUNCTION("VLOOKUP(M582,IMPORTRANGE(""https://docs.google.com/spreadsheets/d/1opm6ZNvGZ7KditA9TuJwrZ25eFLfTNIkrNnY6mhV5Eg"",""list!A1:C115""),3,TRUE)"),"le secteur de la tech")</f>
        <v xml:space="preserve">le secteur de la tech</v>
      </c>
      <c r="O2005" s="4" t="s">
        <v>14999</v>
      </c>
      <c r="P2005" s="4">
        <v>21</v>
      </c>
      <c r="Q2005" s="4" t="s">
        <v>4009</v>
      </c>
      <c r="R2005" s="4" t="s">
        <v>9160</v>
      </c>
      <c r="S2005" s="4" t="s">
        <v>29</v>
      </c>
      <c r="T2005" s="5" t="s">
        <v>15000</v>
      </c>
      <c r="U2005" s="6"/>
      <c r="V2005" s="6"/>
      <c r="W2005" s="6"/>
      <c r="X2005" s="6"/>
      <c r="Y2005" s="4" t="s">
        <v>15001</v>
      </c>
      <c r="Z2005" s="6"/>
      <c r="AA2005" s="5" t="s">
        <v>15002</v>
      </c>
    </row>
    <row r="2006" ht="14.25">
      <c r="B2006" s="4" t="s">
        <v>15003</v>
      </c>
      <c r="C2006" s="4" t="s">
        <v>5444</v>
      </c>
      <c r="D2006" s="4" t="s">
        <v>15004</v>
      </c>
      <c r="E2006" s="4" t="s">
        <v>15005</v>
      </c>
      <c r="F2006" s="4" t="s">
        <v>7759</v>
      </c>
      <c r="G2006" s="4" t="s">
        <v>15006</v>
      </c>
      <c r="H2006" s="4" t="str">
        <f>IFERROR(__XLUDF.DUMMYFUNCTION("PROPER(REGEXREPLACE(G583,""[^A-Za-z]+ "",""""))"),"Klc Construction")</f>
        <v xml:space="preserve">Klc Construction</v>
      </c>
      <c r="I2006" s="5" t="s">
        <v>15007</v>
      </c>
      <c r="J2006" s="4" t="s">
        <v>39</v>
      </c>
      <c r="K2006" s="4" t="s">
        <v>9160</v>
      </c>
      <c r="L2006" s="4" t="s">
        <v>29</v>
      </c>
      <c r="M2006" s="4" t="s">
        <v>9239</v>
      </c>
      <c r="N2006" s="4" t="str">
        <f>IFERROR(__XLUDF.DUMMYFUNCTION("VLOOKUP(M583,IMPORTRANGE(""https://docs.google.com/spreadsheets/d/1opm6ZNvGZ7KditA9TuJwrZ25eFLfTNIkrNnY6mhV5Eg"",""list!A1:C115""),3,TRUE)"),"le secteur de la construction")</f>
        <v xml:space="preserve">le secteur de la construction</v>
      </c>
      <c r="O2006" s="4" t="s">
        <v>15008</v>
      </c>
      <c r="P2006" s="4">
        <v>46</v>
      </c>
      <c r="Q2006" s="4" t="s">
        <v>15009</v>
      </c>
      <c r="R2006" s="4" t="s">
        <v>9160</v>
      </c>
      <c r="S2006" s="4" t="s">
        <v>29</v>
      </c>
      <c r="T2006" s="5" t="s">
        <v>15010</v>
      </c>
      <c r="U2006" s="6"/>
      <c r="V2006" s="6"/>
      <c r="W2006" s="6"/>
      <c r="X2006" s="6"/>
      <c r="Y2006" s="4" t="s">
        <v>15011</v>
      </c>
      <c r="Z2006" s="6"/>
      <c r="AA2006" s="5" t="s">
        <v>15012</v>
      </c>
    </row>
    <row r="2007" ht="14.25">
      <c r="B2007" s="4" t="s">
        <v>15013</v>
      </c>
      <c r="C2007" s="4" t="s">
        <v>986</v>
      </c>
      <c r="D2007" s="4" t="s">
        <v>15014</v>
      </c>
      <c r="E2007" s="4" t="s">
        <v>15015</v>
      </c>
      <c r="F2007" s="4" t="s">
        <v>7759</v>
      </c>
      <c r="G2007" s="4" t="s">
        <v>15016</v>
      </c>
      <c r="H2007" s="4" t="str">
        <f>IFERROR(__XLUDF.DUMMYFUNCTION("PROPER(REGEXREPLACE(G584,""[^A-Za-z]+ "",""""))"),"Cepelec")</f>
        <v>Cepelec</v>
      </c>
      <c r="I2007" s="5" t="s">
        <v>15017</v>
      </c>
      <c r="J2007" s="4" t="s">
        <v>15018</v>
      </c>
      <c r="K2007" s="4" t="s">
        <v>9193</v>
      </c>
      <c r="L2007" s="4" t="s">
        <v>29</v>
      </c>
      <c r="M2007" s="4" t="s">
        <v>10215</v>
      </c>
      <c r="N2007" s="4" t="str">
        <f>IFERROR(__XLUDF.DUMMYFUNCTION("VLOOKUP(M584,IMPORTRANGE(""https://docs.google.com/spreadsheets/d/1opm6ZNvGZ7KditA9TuJwrZ25eFLfTNIkrNnY6mhV5Eg"",""list!A1:C115""),3,TRUE)"),"le secteur de l'électrique et électronique")</f>
        <v xml:space="preserve">le secteur de l'électrique et électronique</v>
      </c>
      <c r="O2007" s="4" t="s">
        <v>15019</v>
      </c>
      <c r="P2007" s="4">
        <v>15</v>
      </c>
      <c r="Q2007" s="4" t="s">
        <v>15018</v>
      </c>
      <c r="R2007" s="4" t="s">
        <v>9193</v>
      </c>
      <c r="S2007" s="4" t="s">
        <v>29</v>
      </c>
      <c r="T2007" s="5" t="s">
        <v>15020</v>
      </c>
      <c r="U2007" s="6"/>
      <c r="V2007" s="5" t="s">
        <v>15021</v>
      </c>
      <c r="W2007" s="6"/>
      <c r="X2007" s="6"/>
      <c r="Y2007" s="4" t="s">
        <v>15022</v>
      </c>
      <c r="Z2007" s="6"/>
      <c r="AA2007" s="5" t="s">
        <v>15023</v>
      </c>
    </row>
    <row r="2008" ht="14.25">
      <c r="B2008" s="4" t="s">
        <v>15024</v>
      </c>
      <c r="C2008" s="4" t="s">
        <v>2909</v>
      </c>
      <c r="D2008" s="4" t="s">
        <v>15025</v>
      </c>
      <c r="E2008" s="4" t="s">
        <v>15026</v>
      </c>
      <c r="F2008" s="4" t="s">
        <v>7759</v>
      </c>
      <c r="G2008" s="4" t="s">
        <v>15027</v>
      </c>
      <c r="H2008" s="4" t="str">
        <f>IFERROR(__XLUDF.DUMMYFUNCTION("PROPER(REGEXREPLACE(G585,""[^A-Za-z]+ "",""""))"),"Ty Services")</f>
        <v xml:space="preserve">Ty Services</v>
      </c>
      <c r="I2008" s="5" t="s">
        <v>15028</v>
      </c>
      <c r="J2008" s="4" t="s">
        <v>15029</v>
      </c>
      <c r="K2008" s="4" t="s">
        <v>9227</v>
      </c>
      <c r="L2008" s="4" t="s">
        <v>29</v>
      </c>
      <c r="M2008" s="4" t="s">
        <v>9239</v>
      </c>
      <c r="N2008" s="4" t="str">
        <f>IFERROR(__XLUDF.DUMMYFUNCTION("VLOOKUP(M585,IMPORTRANGE(""https://docs.google.com/spreadsheets/d/1opm6ZNvGZ7KditA9TuJwrZ25eFLfTNIkrNnY6mhV5Eg"",""list!A1:C115""),3,TRUE)"),"le secteur de la construction")</f>
        <v xml:space="preserve">le secteur de la construction</v>
      </c>
      <c r="O2008" s="4" t="s">
        <v>15030</v>
      </c>
      <c r="P2008" s="4">
        <v>16</v>
      </c>
      <c r="Q2008" s="4" t="s">
        <v>15029</v>
      </c>
      <c r="R2008" s="4" t="s">
        <v>9227</v>
      </c>
      <c r="S2008" s="4" t="s">
        <v>29</v>
      </c>
      <c r="T2008" s="5" t="s">
        <v>15031</v>
      </c>
      <c r="U2008" s="5" t="s">
        <v>15032</v>
      </c>
      <c r="V2008" s="5" t="s">
        <v>15033</v>
      </c>
      <c r="W2008" s="6"/>
      <c r="X2008" s="6"/>
      <c r="Y2008" s="4" t="s">
        <v>15034</v>
      </c>
      <c r="Z2008" s="6"/>
      <c r="AA2008" s="5" t="s">
        <v>15035</v>
      </c>
    </row>
    <row r="2009" ht="14.25">
      <c r="B2009" s="4" t="s">
        <v>15036</v>
      </c>
      <c r="C2009" s="4" t="s">
        <v>2909</v>
      </c>
      <c r="D2009" s="4" t="s">
        <v>15037</v>
      </c>
      <c r="E2009" s="4" t="s">
        <v>15038</v>
      </c>
      <c r="F2009" s="4" t="s">
        <v>247</v>
      </c>
      <c r="G2009" s="4" t="s">
        <v>15039</v>
      </c>
      <c r="H2009" s="4" t="str">
        <f>IFERROR(__XLUDF.DUMMYFUNCTION("PROPER(REGEXREPLACE(G586,""[^A-Za-z]+ "",""""))"),"Grof")</f>
        <v>Grof</v>
      </c>
      <c r="I2009" s="5" t="s">
        <v>15040</v>
      </c>
      <c r="J2009" s="6"/>
      <c r="K2009" s="4" t="s">
        <v>9160</v>
      </c>
      <c r="L2009" s="4" t="s">
        <v>29</v>
      </c>
      <c r="M2009" s="4" t="s">
        <v>4067</v>
      </c>
      <c r="N2009" s="4" t="str">
        <f>IFERROR(__XLUDF.DUMMYFUNCTION("VLOOKUP(M586,IMPORTRANGE(""https://docs.google.com/spreadsheets/d/1opm6ZNvGZ7KditA9TuJwrZ25eFLfTNIkrNnY6mhV5Eg"",""list!A1:C115""),3,TRUE)"),"le secteur du conseil en management")</f>
        <v xml:space="preserve">le secteur du conseil en management</v>
      </c>
      <c r="O2009" s="4" t="s">
        <v>15041</v>
      </c>
      <c r="P2009" s="4">
        <v>14</v>
      </c>
      <c r="Q2009" s="4" t="s">
        <v>39</v>
      </c>
      <c r="R2009" s="4" t="s">
        <v>9160</v>
      </c>
      <c r="S2009" s="4" t="s">
        <v>29</v>
      </c>
      <c r="T2009" s="5" t="s">
        <v>15042</v>
      </c>
      <c r="U2009" s="6"/>
      <c r="V2009" s="6"/>
      <c r="W2009" s="6"/>
      <c r="X2009" s="6"/>
      <c r="Y2009" s="4" t="s">
        <v>15043</v>
      </c>
      <c r="Z2009" s="6"/>
      <c r="AA2009" s="5" t="s">
        <v>15044</v>
      </c>
    </row>
    <row r="2010" ht="14.25">
      <c r="B2010" s="4" t="s">
        <v>15045</v>
      </c>
      <c r="C2010" s="4" t="s">
        <v>15046</v>
      </c>
      <c r="D2010" s="4" t="s">
        <v>15047</v>
      </c>
      <c r="E2010" s="4" t="s">
        <v>15048</v>
      </c>
      <c r="F2010" s="4" t="s">
        <v>15049</v>
      </c>
      <c r="G2010" s="4" t="s">
        <v>15050</v>
      </c>
      <c r="H2010" s="4" t="str">
        <f>IFERROR(__XLUDF.DUMMYFUNCTION("PROPER(REGEXREPLACE(G587,""[^A-Za-z]+ "",""""))"),"Mobius Réemploi")</f>
        <v xml:space="preserve">Mobius Réemploi</v>
      </c>
      <c r="I2010" s="5" t="s">
        <v>15051</v>
      </c>
      <c r="J2010" s="4" t="s">
        <v>39</v>
      </c>
      <c r="K2010" s="4" t="s">
        <v>9160</v>
      </c>
      <c r="L2010" s="4" t="s">
        <v>29</v>
      </c>
      <c r="M2010" s="4" t="s">
        <v>9239</v>
      </c>
      <c r="N2010" s="4" t="str">
        <f>IFERROR(__XLUDF.DUMMYFUNCTION("VLOOKUP(M587,IMPORTRANGE(""https://docs.google.com/spreadsheets/d/1opm6ZNvGZ7KditA9TuJwrZ25eFLfTNIkrNnY6mhV5Eg"",""list!A1:C115""),3,TRUE)"),"le secteur de la construction")</f>
        <v xml:space="preserve">le secteur de la construction</v>
      </c>
      <c r="O2010" s="4" t="s">
        <v>15052</v>
      </c>
      <c r="P2010" s="4">
        <v>13</v>
      </c>
      <c r="Q2010" s="4" t="s">
        <v>39</v>
      </c>
      <c r="R2010" s="4" t="s">
        <v>9160</v>
      </c>
      <c r="S2010" s="4" t="s">
        <v>29</v>
      </c>
      <c r="T2010" s="5" t="s">
        <v>15053</v>
      </c>
      <c r="U2010" s="6"/>
      <c r="V2010" s="5" t="s">
        <v>15054</v>
      </c>
      <c r="W2010" s="6"/>
      <c r="X2010" s="6"/>
      <c r="Y2010" s="4" t="s">
        <v>15055</v>
      </c>
      <c r="Z2010" s="6"/>
      <c r="AA2010" s="5" t="s">
        <v>15056</v>
      </c>
    </row>
    <row r="2011" ht="14.25">
      <c r="B2011" s="4" t="s">
        <v>15057</v>
      </c>
      <c r="C2011" s="4" t="s">
        <v>15058</v>
      </c>
      <c r="D2011" s="4" t="s">
        <v>15059</v>
      </c>
      <c r="E2011" s="4" t="s">
        <v>15060</v>
      </c>
      <c r="F2011" s="4" t="s">
        <v>15061</v>
      </c>
      <c r="G2011" s="4" t="s">
        <v>15062</v>
      </c>
      <c r="H2011" s="4" t="str">
        <f>IFERROR(__XLUDF.DUMMYFUNCTION("PROPER(REGEXREPLACE(G588,""[^A-Za-z]+ "",""""))"),"Phedon")</f>
        <v>Phedon</v>
      </c>
      <c r="I2011" s="5" t="s">
        <v>15063</v>
      </c>
      <c r="J2011" s="4" t="s">
        <v>651</v>
      </c>
      <c r="K2011" s="4" t="s">
        <v>9215</v>
      </c>
      <c r="L2011" s="4" t="s">
        <v>29</v>
      </c>
      <c r="M2011" s="4" t="s">
        <v>4067</v>
      </c>
      <c r="N2011" s="4" t="str">
        <f>IFERROR(__XLUDF.DUMMYFUNCTION("VLOOKUP(M588,IMPORTRANGE(""https://docs.google.com/spreadsheets/d/1opm6ZNvGZ7KditA9TuJwrZ25eFLfTNIkrNnY6mhV5Eg"",""list!A1:C115""),3,TRUE)"),"le secteur du conseil en management")</f>
        <v xml:space="preserve">le secteur du conseil en management</v>
      </c>
      <c r="O2011" s="4" t="s">
        <v>15064</v>
      </c>
      <c r="P2011" s="4">
        <v>10</v>
      </c>
      <c r="Q2011" s="4" t="s">
        <v>651</v>
      </c>
      <c r="R2011" s="4" t="s">
        <v>12581</v>
      </c>
      <c r="S2011" s="4" t="s">
        <v>29</v>
      </c>
      <c r="T2011" s="5" t="s">
        <v>15065</v>
      </c>
      <c r="U2011" s="6"/>
      <c r="V2011" s="5" t="s">
        <v>15066</v>
      </c>
      <c r="W2011" s="6"/>
      <c r="X2011" s="6"/>
      <c r="Y2011" s="4" t="s">
        <v>15067</v>
      </c>
      <c r="Z2011" s="6"/>
      <c r="AA2011" s="5" t="s">
        <v>15068</v>
      </c>
    </row>
    <row r="2012" ht="14.25">
      <c r="B2012" s="4" t="s">
        <v>15069</v>
      </c>
      <c r="C2012" s="4" t="s">
        <v>15070</v>
      </c>
      <c r="D2012" s="4" t="s">
        <v>15071</v>
      </c>
      <c r="E2012" s="4" t="s">
        <v>15072</v>
      </c>
      <c r="F2012" s="4" t="s">
        <v>7759</v>
      </c>
      <c r="G2012" s="4" t="s">
        <v>15073</v>
      </c>
      <c r="H2012" s="4" t="str">
        <f>IFERROR(__XLUDF.DUMMYFUNCTION("PROPER(REGEXREPLACE(G589,""[^A-Za-z]+ "",""""))"),"Dnt Versailles")</f>
        <v xml:space="preserve">Dnt Versailles</v>
      </c>
      <c r="I2012" s="5" t="s">
        <v>15074</v>
      </c>
      <c r="J2012" s="4" t="s">
        <v>2734</v>
      </c>
      <c r="K2012" s="4" t="s">
        <v>9160</v>
      </c>
      <c r="L2012" s="4" t="s">
        <v>29</v>
      </c>
      <c r="M2012" s="4" t="s">
        <v>9239</v>
      </c>
      <c r="N2012" s="4" t="str">
        <f>IFERROR(__XLUDF.DUMMYFUNCTION("VLOOKUP(M589,IMPORTRANGE(""https://docs.google.com/spreadsheets/d/1opm6ZNvGZ7KditA9TuJwrZ25eFLfTNIkrNnY6mhV5Eg"",""list!A1:C115""),3,TRUE)"),"le secteur de la construction")</f>
        <v xml:space="preserve">le secteur de la construction</v>
      </c>
      <c r="O2012" s="4" t="s">
        <v>15075</v>
      </c>
      <c r="P2012" s="4">
        <v>32</v>
      </c>
      <c r="Q2012" s="4" t="s">
        <v>2734</v>
      </c>
      <c r="R2012" s="4" t="s">
        <v>9160</v>
      </c>
      <c r="S2012" s="4" t="s">
        <v>29</v>
      </c>
      <c r="T2012" s="5" t="s">
        <v>15076</v>
      </c>
      <c r="U2012" s="6"/>
      <c r="V2012" s="6"/>
      <c r="W2012" s="6"/>
      <c r="X2012" s="6"/>
      <c r="Y2012" s="4" t="s">
        <v>15077</v>
      </c>
      <c r="Z2012" s="6"/>
      <c r="AA2012" s="5" t="s">
        <v>15078</v>
      </c>
    </row>
    <row r="2013" ht="14.25">
      <c r="B2013" s="4" t="s">
        <v>15079</v>
      </c>
      <c r="C2013" s="4" t="s">
        <v>15070</v>
      </c>
      <c r="D2013" s="4" t="s">
        <v>15080</v>
      </c>
      <c r="E2013" s="4" t="s">
        <v>15081</v>
      </c>
      <c r="F2013" s="4" t="s">
        <v>15082</v>
      </c>
      <c r="G2013" s="4" t="s">
        <v>15083</v>
      </c>
      <c r="H2013" s="4" t="str">
        <f>IFERROR(__XLUDF.DUMMYFUNCTION("PROPER(REGEXREPLACE(G590,""[^A-Za-z]+ "",""""))"),"Kokan")</f>
        <v>Kokan</v>
      </c>
      <c r="I2013" s="5" t="s">
        <v>15084</v>
      </c>
      <c r="J2013" s="4" t="s">
        <v>39</v>
      </c>
      <c r="K2013" s="4" t="s">
        <v>9160</v>
      </c>
      <c r="L2013" s="4" t="s">
        <v>29</v>
      </c>
      <c r="M2013" s="4" t="s">
        <v>4067</v>
      </c>
      <c r="N2013" s="4" t="str">
        <f>IFERROR(__XLUDF.DUMMYFUNCTION("VLOOKUP(M590,IMPORTRANGE(""https://docs.google.com/spreadsheets/d/1opm6ZNvGZ7KditA9TuJwrZ25eFLfTNIkrNnY6mhV5Eg"",""list!A1:C115""),3,TRUE)"),"le secteur du conseil en management")</f>
        <v xml:space="preserve">le secteur du conseil en management</v>
      </c>
      <c r="O2013" s="4" t="s">
        <v>15085</v>
      </c>
      <c r="P2013" s="4">
        <v>29</v>
      </c>
      <c r="Q2013" s="4" t="s">
        <v>39</v>
      </c>
      <c r="R2013" s="4" t="s">
        <v>9160</v>
      </c>
      <c r="S2013" s="4" t="s">
        <v>29</v>
      </c>
      <c r="T2013" s="5" t="s">
        <v>15086</v>
      </c>
      <c r="U2013" s="5" t="s">
        <v>15087</v>
      </c>
      <c r="V2013" s="6"/>
      <c r="W2013" s="6"/>
      <c r="X2013" s="6"/>
      <c r="Y2013" s="4" t="s">
        <v>15088</v>
      </c>
      <c r="Z2013" s="6"/>
      <c r="AA2013" s="5" t="s">
        <v>15089</v>
      </c>
    </row>
    <row r="2014" ht="14.25">
      <c r="B2014" s="4" t="s">
        <v>15090</v>
      </c>
      <c r="C2014" s="4" t="s">
        <v>110</v>
      </c>
      <c r="D2014" s="4" t="s">
        <v>15091</v>
      </c>
      <c r="E2014" s="4" t="s">
        <v>15092</v>
      </c>
      <c r="F2014" s="4" t="s">
        <v>15093</v>
      </c>
      <c r="G2014" s="4" t="s">
        <v>15094</v>
      </c>
      <c r="H2014" s="4" t="str">
        <f>IFERROR(__XLUDF.DUMMYFUNCTION("PROPER(REGEXREPLACE(G591,""[^A-Za-z]+ "",""""))"),"Ags Cloud")</f>
        <v xml:space="preserve">Ags Cloud</v>
      </c>
      <c r="I2014" s="5" t="s">
        <v>15095</v>
      </c>
      <c r="J2014" s="4" t="s">
        <v>482</v>
      </c>
      <c r="K2014" s="4" t="s">
        <v>9460</v>
      </c>
      <c r="L2014" s="4" t="s">
        <v>29</v>
      </c>
      <c r="M2014" s="4" t="s">
        <v>2602</v>
      </c>
      <c r="N2014" s="4" t="str">
        <f>IFERROR(__XLUDF.DUMMYFUNCTION("VLOOKUP(M591,IMPORTRANGE(""https://docs.google.com/spreadsheets/d/1opm6ZNvGZ7KditA9TuJwrZ25eFLfTNIkrNnY6mhV5Eg"",""list!A1:C115""),3,TRUE)"),"le secteur de la tech")</f>
        <v xml:space="preserve">le secteur de la tech</v>
      </c>
      <c r="O2014" s="4" t="s">
        <v>15096</v>
      </c>
      <c r="P2014" s="4">
        <v>15</v>
      </c>
      <c r="Q2014" s="4" t="s">
        <v>15097</v>
      </c>
      <c r="R2014" s="4" t="s">
        <v>10829</v>
      </c>
      <c r="S2014" s="4" t="s">
        <v>29</v>
      </c>
      <c r="T2014" s="5" t="s">
        <v>15098</v>
      </c>
      <c r="U2014" s="5" t="s">
        <v>15099</v>
      </c>
      <c r="V2014" s="5" t="s">
        <v>15100</v>
      </c>
      <c r="W2014" s="6"/>
      <c r="X2014" s="6"/>
      <c r="Y2014" s="4" t="s">
        <v>15101</v>
      </c>
      <c r="Z2014" s="6"/>
      <c r="AA2014" s="5" t="s">
        <v>15102</v>
      </c>
    </row>
    <row r="2015" ht="14.25">
      <c r="B2015" s="4" t="s">
        <v>15103</v>
      </c>
      <c r="C2015" s="4" t="s">
        <v>110</v>
      </c>
      <c r="D2015" s="4" t="s">
        <v>15104</v>
      </c>
      <c r="E2015" s="4" t="s">
        <v>15105</v>
      </c>
      <c r="F2015" s="4" t="s">
        <v>15106</v>
      </c>
      <c r="G2015" s="4" t="s">
        <v>15107</v>
      </c>
      <c r="H2015" s="4" t="str">
        <f>IFERROR(__XLUDF.DUMMYFUNCTION("PROPER(REGEXREPLACE(G592,""[^A-Za-z]+ "",""""))"),"Operametrix")</f>
        <v>Operametrix</v>
      </c>
      <c r="I2015" s="5" t="s">
        <v>15108</v>
      </c>
      <c r="J2015" s="4" t="s">
        <v>83</v>
      </c>
      <c r="K2015" s="4" t="s">
        <v>9460</v>
      </c>
      <c r="L2015" s="4" t="s">
        <v>29</v>
      </c>
      <c r="M2015" s="4" t="s">
        <v>2602</v>
      </c>
      <c r="N2015" s="4" t="str">
        <f>IFERROR(__XLUDF.DUMMYFUNCTION("VLOOKUP(M592,IMPORTRANGE(""https://docs.google.com/spreadsheets/d/1opm6ZNvGZ7KditA9TuJwrZ25eFLfTNIkrNnY6mhV5Eg"",""list!A1:C115""),3,TRUE)"),"le secteur de la tech")</f>
        <v xml:space="preserve">le secteur de la tech</v>
      </c>
      <c r="O2015" s="4" t="s">
        <v>15109</v>
      </c>
      <c r="P2015" s="4">
        <v>14</v>
      </c>
      <c r="Q2015" s="4" t="s">
        <v>12445</v>
      </c>
      <c r="R2015" s="4" t="s">
        <v>9463</v>
      </c>
      <c r="S2015" s="4" t="s">
        <v>29</v>
      </c>
      <c r="T2015" s="5" t="s">
        <v>15110</v>
      </c>
      <c r="U2015" s="6"/>
      <c r="V2015" s="6"/>
      <c r="W2015" s="6"/>
      <c r="X2015" s="6"/>
      <c r="Y2015" s="4" t="s">
        <v>15111</v>
      </c>
      <c r="Z2015" s="6"/>
      <c r="AA2015" s="5" t="s">
        <v>15112</v>
      </c>
    </row>
    <row r="2016" ht="14.25">
      <c r="B2016" s="4" t="s">
        <v>15113</v>
      </c>
      <c r="C2016" s="4" t="s">
        <v>110</v>
      </c>
      <c r="D2016" s="4" t="s">
        <v>948</v>
      </c>
      <c r="E2016" s="4" t="s">
        <v>15114</v>
      </c>
      <c r="F2016" s="4" t="s">
        <v>112</v>
      </c>
      <c r="G2016" s="4" t="s">
        <v>15115</v>
      </c>
      <c r="H2016" s="4" t="str">
        <f>IFERROR(__XLUDF.DUMMYFUNCTION("PROPER(REGEXREPLACE(G593,""[^A-Za-z]+ "",""""))"),"Smart Painting")</f>
        <v xml:space="preserve">Smart Painting</v>
      </c>
      <c r="I2016" s="5" t="s">
        <v>15116</v>
      </c>
      <c r="J2016" s="4" t="s">
        <v>12794</v>
      </c>
      <c r="K2016" s="4" t="s">
        <v>9193</v>
      </c>
      <c r="L2016" s="4" t="s">
        <v>29</v>
      </c>
      <c r="M2016" s="4" t="s">
        <v>9239</v>
      </c>
      <c r="N2016" s="4" t="str">
        <f>IFERROR(__XLUDF.DUMMYFUNCTION("VLOOKUP(M593,IMPORTRANGE(""https://docs.google.com/spreadsheets/d/1opm6ZNvGZ7KditA9TuJwrZ25eFLfTNIkrNnY6mhV5Eg"",""list!A1:C115""),3,TRUE)"),"le secteur de la construction")</f>
        <v xml:space="preserve">le secteur de la construction</v>
      </c>
      <c r="O2016" s="6"/>
      <c r="P2016" s="4">
        <v>13</v>
      </c>
      <c r="Q2016" s="4" t="s">
        <v>12794</v>
      </c>
      <c r="R2016" s="4" t="s">
        <v>9172</v>
      </c>
      <c r="S2016" s="4" t="s">
        <v>29</v>
      </c>
      <c r="T2016" s="5" t="s">
        <v>15117</v>
      </c>
      <c r="U2016" s="6"/>
      <c r="V2016" s="6"/>
      <c r="W2016" s="6"/>
      <c r="X2016" s="6"/>
      <c r="Y2016" s="4" t="s">
        <v>15118</v>
      </c>
      <c r="Z2016" s="6"/>
      <c r="AA2016" s="5" t="s">
        <v>15119</v>
      </c>
    </row>
    <row r="2017" ht="14.25">
      <c r="B2017" s="4" t="s">
        <v>15120</v>
      </c>
      <c r="C2017" s="4" t="s">
        <v>110</v>
      </c>
      <c r="D2017" s="4" t="s">
        <v>15121</v>
      </c>
      <c r="E2017" s="4" t="s">
        <v>15122</v>
      </c>
      <c r="F2017" s="4" t="s">
        <v>172</v>
      </c>
      <c r="G2017" s="4" t="s">
        <v>15123</v>
      </c>
      <c r="H2017" s="4" t="str">
        <f>IFERROR(__XLUDF.DUMMYFUNCTION("PROPER(REGEXREPLACE(G594,""[^A-Za-z]+ "",""""))"),"Sireos")</f>
        <v>Sireos</v>
      </c>
      <c r="I2017" s="5" t="s">
        <v>15124</v>
      </c>
      <c r="J2017" s="4" t="s">
        <v>9809</v>
      </c>
      <c r="K2017" s="4" t="s">
        <v>9460</v>
      </c>
      <c r="L2017" s="4" t="s">
        <v>29</v>
      </c>
      <c r="M2017" s="4" t="s">
        <v>9239</v>
      </c>
      <c r="N2017" s="4" t="str">
        <f>IFERROR(__XLUDF.DUMMYFUNCTION("VLOOKUP(M594,IMPORTRANGE(""https://docs.google.com/spreadsheets/d/1opm6ZNvGZ7KditA9TuJwrZ25eFLfTNIkrNnY6mhV5Eg"",""list!A1:C115""),3,TRUE)"),"le secteur de la construction")</f>
        <v xml:space="preserve">le secteur de la construction</v>
      </c>
      <c r="O2017" s="4" t="s">
        <v>15125</v>
      </c>
      <c r="P2017" s="4">
        <v>38</v>
      </c>
      <c r="Q2017" s="4" t="s">
        <v>15126</v>
      </c>
      <c r="R2017" s="4" t="s">
        <v>9460</v>
      </c>
      <c r="S2017" s="4" t="s">
        <v>29</v>
      </c>
      <c r="T2017" s="5" t="s">
        <v>15127</v>
      </c>
      <c r="U2017" s="6"/>
      <c r="V2017" s="6"/>
      <c r="W2017" s="6"/>
      <c r="X2017" s="6"/>
      <c r="Y2017" s="4" t="s">
        <v>15128</v>
      </c>
      <c r="Z2017" s="6"/>
      <c r="AA2017" s="5" t="s">
        <v>15129</v>
      </c>
    </row>
    <row r="2018" ht="14.25">
      <c r="B2018" s="4" t="s">
        <v>15130</v>
      </c>
      <c r="C2018" s="4" t="s">
        <v>110</v>
      </c>
      <c r="D2018" s="4" t="s">
        <v>15131</v>
      </c>
      <c r="E2018" s="4" t="s">
        <v>15132</v>
      </c>
      <c r="F2018" s="4" t="s">
        <v>13450</v>
      </c>
      <c r="G2018" s="4" t="s">
        <v>15133</v>
      </c>
      <c r="H2018" s="4" t="str">
        <f>IFERROR(__XLUDF.DUMMYFUNCTION("PROPER(REGEXREPLACE(G595,""[^A-Za-z]+ "",""""))"),"Rue Du Store")</f>
        <v xml:space="preserve">Rue Du Store</v>
      </c>
      <c r="I2018" s="5" t="s">
        <v>15134</v>
      </c>
      <c r="J2018" s="4" t="s">
        <v>5565</v>
      </c>
      <c r="K2018" s="4" t="s">
        <v>9798</v>
      </c>
      <c r="L2018" s="4" t="s">
        <v>29</v>
      </c>
      <c r="M2018" s="4" t="s">
        <v>4525</v>
      </c>
      <c r="N2018" s="4" t="str">
        <f>IFERROR(__XLUDF.DUMMYFUNCTION("VLOOKUP(M595,IMPORTRANGE(""https://docs.google.com/spreadsheets/d/1opm6ZNvGZ7KditA9TuJwrZ25eFLfTNIkrNnY6mhV5Eg"",""list!A1:C115""),3,TRUE)"),"le secteur du retail")</f>
        <v xml:space="preserve">le secteur du retail</v>
      </c>
      <c r="O2018" s="6"/>
      <c r="P2018" s="4">
        <v>12</v>
      </c>
      <c r="Q2018" s="4" t="s">
        <v>15135</v>
      </c>
      <c r="R2018" s="4" t="s">
        <v>10736</v>
      </c>
      <c r="S2018" s="4" t="s">
        <v>29</v>
      </c>
      <c r="T2018" s="5" t="s">
        <v>15136</v>
      </c>
      <c r="U2018" s="6"/>
      <c r="V2018" s="5" t="s">
        <v>15137</v>
      </c>
      <c r="W2018" s="6"/>
      <c r="X2018" s="6"/>
      <c r="Y2018" s="4" t="s">
        <v>15138</v>
      </c>
      <c r="Z2018" s="6"/>
      <c r="AA2018" s="5" t="s">
        <v>15139</v>
      </c>
    </row>
    <row r="2019" ht="14.25">
      <c r="B2019" s="4" t="s">
        <v>15140</v>
      </c>
      <c r="C2019" s="4" t="s">
        <v>110</v>
      </c>
      <c r="D2019" s="4" t="s">
        <v>15141</v>
      </c>
      <c r="E2019" s="4" t="s">
        <v>15142</v>
      </c>
      <c r="F2019" s="4" t="s">
        <v>15143</v>
      </c>
      <c r="G2019" s="4" t="s">
        <v>15144</v>
      </c>
      <c r="H2019" s="4" t="str">
        <f>IFERROR(__XLUDF.DUMMYFUNCTION("PROPER(REGEXREPLACE(G596,""[^A-Za-z]+ "",""""))"),"Qorum Secur'Num")</f>
        <v xml:space="preserve">Qorum Secur'Num</v>
      </c>
      <c r="I2019" s="5" t="s">
        <v>15145</v>
      </c>
      <c r="J2019" s="4" t="s">
        <v>39</v>
      </c>
      <c r="K2019" s="4" t="s">
        <v>9160</v>
      </c>
      <c r="L2019" s="4" t="s">
        <v>29</v>
      </c>
      <c r="M2019" s="4" t="s">
        <v>2602</v>
      </c>
      <c r="N2019" s="4" t="str">
        <f>IFERROR(__XLUDF.DUMMYFUNCTION("VLOOKUP(M596,IMPORTRANGE(""https://docs.google.com/spreadsheets/d/1opm6ZNvGZ7KditA9TuJwrZ25eFLfTNIkrNnY6mhV5Eg"",""list!A1:C115""),3,TRUE)"),"le secteur de la tech")</f>
        <v xml:space="preserve">le secteur de la tech</v>
      </c>
      <c r="O2019" s="4" t="s">
        <v>15146</v>
      </c>
      <c r="P2019" s="4">
        <v>40</v>
      </c>
      <c r="Q2019" s="4" t="s">
        <v>15147</v>
      </c>
      <c r="R2019" s="4" t="s">
        <v>9160</v>
      </c>
      <c r="S2019" s="4" t="s">
        <v>29</v>
      </c>
      <c r="T2019" s="5" t="s">
        <v>15148</v>
      </c>
      <c r="U2019" s="6"/>
      <c r="V2019" s="6"/>
      <c r="W2019" s="6"/>
      <c r="X2019" s="6"/>
      <c r="Y2019" s="4" t="s">
        <v>15149</v>
      </c>
      <c r="Z2019" s="6"/>
      <c r="AA2019" s="5" t="s">
        <v>15150</v>
      </c>
    </row>
    <row r="2020" ht="14.25">
      <c r="B2020" s="4" t="s">
        <v>15151</v>
      </c>
      <c r="C2020" s="4" t="s">
        <v>110</v>
      </c>
      <c r="D2020" s="4" t="s">
        <v>15152</v>
      </c>
      <c r="E2020" s="4" t="s">
        <v>15153</v>
      </c>
      <c r="F2020" s="4" t="s">
        <v>9456</v>
      </c>
      <c r="G2020" s="4" t="s">
        <v>15154</v>
      </c>
      <c r="H2020" s="4" t="str">
        <f>IFERROR(__XLUDF.DUMMYFUNCTION("PROPER(REGEXREPLACE(G597,""[^A-Za-z]+ "",""""))"),"Essenc!El")</f>
        <v>Essenc!El</v>
      </c>
      <c r="I2020" s="5" t="s">
        <v>15155</v>
      </c>
      <c r="J2020" s="4" t="s">
        <v>185</v>
      </c>
      <c r="K2020" s="4" t="s">
        <v>9172</v>
      </c>
      <c r="L2020" s="4" t="s">
        <v>29</v>
      </c>
      <c r="M2020" s="4" t="s">
        <v>4525</v>
      </c>
      <c r="N2020" s="4" t="str">
        <f>IFERROR(__XLUDF.DUMMYFUNCTION("VLOOKUP(M597,IMPORTRANGE(""https://docs.google.com/spreadsheets/d/1opm6ZNvGZ7KditA9TuJwrZ25eFLfTNIkrNnY6mhV5Eg"",""list!A1:C115""),3,TRUE)"),"le secteur du retail")</f>
        <v xml:space="preserve">le secteur du retail</v>
      </c>
      <c r="O2020" s="6"/>
      <c r="P2020" s="4">
        <v>31</v>
      </c>
      <c r="Q2020" s="4" t="s">
        <v>15156</v>
      </c>
      <c r="R2020" s="4" t="s">
        <v>9193</v>
      </c>
      <c r="S2020" s="4" t="s">
        <v>29</v>
      </c>
      <c r="T2020" s="5" t="s">
        <v>15157</v>
      </c>
      <c r="U2020" s="6"/>
      <c r="V2020" s="6"/>
      <c r="W2020" s="6"/>
      <c r="X2020" s="6"/>
      <c r="Y2020" s="4" t="s">
        <v>15158</v>
      </c>
      <c r="Z2020" s="6"/>
      <c r="AA2020" s="5" t="s">
        <v>15159</v>
      </c>
    </row>
    <row r="2021" ht="14.25">
      <c r="B2021" s="4" t="s">
        <v>15160</v>
      </c>
      <c r="C2021" s="4" t="s">
        <v>110</v>
      </c>
      <c r="D2021" s="4" t="s">
        <v>15161</v>
      </c>
      <c r="E2021" s="4" t="s">
        <v>15162</v>
      </c>
      <c r="F2021" s="4" t="s">
        <v>120</v>
      </c>
      <c r="G2021" s="4" t="s">
        <v>12003</v>
      </c>
      <c r="H2021" s="4" t="str">
        <f>IFERROR(__XLUDF.DUMMYFUNCTION("PROPER(REGEXREPLACE(G598,""[^A-Za-z]+ "",""""))"),"Astridsen")</f>
        <v>Astridsen</v>
      </c>
      <c r="I2021" s="5" t="s">
        <v>12004</v>
      </c>
      <c r="J2021" s="4" t="s">
        <v>6603</v>
      </c>
      <c r="K2021" s="4" t="s">
        <v>9160</v>
      </c>
      <c r="L2021" s="4" t="s">
        <v>29</v>
      </c>
      <c r="M2021" s="4" t="s">
        <v>4067</v>
      </c>
      <c r="N2021" s="4" t="str">
        <f>IFERROR(__XLUDF.DUMMYFUNCTION("VLOOKUP(M598,IMPORTRANGE(""https://docs.google.com/spreadsheets/d/1opm6ZNvGZ7KditA9TuJwrZ25eFLfTNIkrNnY6mhV5Eg"",""list!A1:C115""),3,TRUE)"),"le secteur du conseil en management")</f>
        <v xml:space="preserve">le secteur du conseil en management</v>
      </c>
      <c r="O2021" s="6"/>
      <c r="P2021" s="4">
        <v>12</v>
      </c>
      <c r="Q2021" s="4" t="s">
        <v>39</v>
      </c>
      <c r="R2021" s="4" t="s">
        <v>9160</v>
      </c>
      <c r="S2021" s="4" t="s">
        <v>29</v>
      </c>
      <c r="T2021" s="5" t="s">
        <v>12005</v>
      </c>
      <c r="U2021" s="6"/>
      <c r="V2021" s="6"/>
      <c r="W2021" s="6"/>
      <c r="X2021" s="6"/>
      <c r="Y2021" s="4" t="s">
        <v>12006</v>
      </c>
      <c r="Z2021" s="6"/>
      <c r="AA2021" s="5" t="s">
        <v>15163</v>
      </c>
    </row>
    <row r="2022" ht="14.25">
      <c r="B2022" s="4" t="s">
        <v>15164</v>
      </c>
      <c r="C2022" s="4" t="s">
        <v>110</v>
      </c>
      <c r="D2022" s="4" t="s">
        <v>15165</v>
      </c>
      <c r="E2022" s="4" t="s">
        <v>15166</v>
      </c>
      <c r="F2022" s="4" t="s">
        <v>15167</v>
      </c>
      <c r="G2022" s="4" t="s">
        <v>15168</v>
      </c>
      <c r="H2022" s="4" t="str">
        <f>IFERROR(__XLUDF.DUMMYFUNCTION("PROPER(REGEXREPLACE(G599,""[^A-Za-z]+ "",""""))"),"Makin'Ov")</f>
        <v>Makin'Ov</v>
      </c>
      <c r="I2022" s="5" t="s">
        <v>15169</v>
      </c>
      <c r="J2022" s="6"/>
      <c r="K2022" s="6"/>
      <c r="L2022" s="4" t="s">
        <v>29</v>
      </c>
      <c r="M2022" s="4" t="s">
        <v>4067</v>
      </c>
      <c r="N2022" s="4" t="str">
        <f>IFERROR(__XLUDF.DUMMYFUNCTION("VLOOKUP(M599,IMPORTRANGE(""https://docs.google.com/spreadsheets/d/1opm6ZNvGZ7KditA9TuJwrZ25eFLfTNIkrNnY6mhV5Eg"",""list!A1:C115""),3,TRUE)"),"le secteur du conseil en management")</f>
        <v xml:space="preserve">le secteur du conseil en management</v>
      </c>
      <c r="O2022" s="4" t="s">
        <v>15170</v>
      </c>
      <c r="P2022" s="4">
        <v>13</v>
      </c>
      <c r="Q2022" s="4" t="s">
        <v>39</v>
      </c>
      <c r="R2022" s="4" t="s">
        <v>9160</v>
      </c>
      <c r="S2022" s="4" t="s">
        <v>29</v>
      </c>
      <c r="T2022" s="5" t="s">
        <v>15171</v>
      </c>
      <c r="U2022" s="6"/>
      <c r="V2022" s="6"/>
      <c r="W2022" s="6"/>
      <c r="X2022" s="6"/>
      <c r="Y2022" s="4" t="s">
        <v>15172</v>
      </c>
      <c r="Z2022" s="6"/>
      <c r="AA2022" s="5" t="s">
        <v>15173</v>
      </c>
    </row>
    <row r="2023" ht="14.25">
      <c r="B2023" s="4" t="s">
        <v>15174</v>
      </c>
      <c r="C2023" s="4" t="s">
        <v>110</v>
      </c>
      <c r="D2023" s="4" t="s">
        <v>15175</v>
      </c>
      <c r="E2023" s="4" t="s">
        <v>15176</v>
      </c>
      <c r="F2023" s="4" t="s">
        <v>87</v>
      </c>
      <c r="G2023" s="4" t="s">
        <v>15177</v>
      </c>
      <c r="H2023" s="4" t="str">
        <f>IFERROR(__XLUDF.DUMMYFUNCTION("PROPER(REGEXREPLACE(G600,""[^A-Za-z]+ "",""""))"),"Streammind")</f>
        <v>Streammind</v>
      </c>
      <c r="I2023" s="5" t="s">
        <v>15178</v>
      </c>
      <c r="J2023" s="4" t="s">
        <v>39</v>
      </c>
      <c r="K2023" s="4" t="s">
        <v>9160</v>
      </c>
      <c r="L2023" s="4" t="s">
        <v>29</v>
      </c>
      <c r="M2023" s="4" t="s">
        <v>2602</v>
      </c>
      <c r="N2023" s="4" t="str">
        <f>IFERROR(__XLUDF.DUMMYFUNCTION("VLOOKUP(M600,IMPORTRANGE(""https://docs.google.com/spreadsheets/d/1opm6ZNvGZ7KditA9TuJwrZ25eFLfTNIkrNnY6mhV5Eg"",""list!A1:C115""),3,TRUE)"),"le secteur de la tech")</f>
        <v xml:space="preserve">le secteur de la tech</v>
      </c>
      <c r="O2023" s="4" t="s">
        <v>15179</v>
      </c>
      <c r="P2023" s="4">
        <v>23</v>
      </c>
      <c r="Q2023" s="4" t="s">
        <v>39</v>
      </c>
      <c r="R2023" s="4" t="s">
        <v>9160</v>
      </c>
      <c r="S2023" s="4" t="s">
        <v>29</v>
      </c>
      <c r="T2023" s="5" t="s">
        <v>15180</v>
      </c>
      <c r="U2023" s="5" t="s">
        <v>15181</v>
      </c>
      <c r="V2023" s="5" t="s">
        <v>15182</v>
      </c>
      <c r="W2023" s="6"/>
      <c r="X2023" s="6"/>
      <c r="Y2023" s="4" t="s">
        <v>15183</v>
      </c>
      <c r="Z2023" s="6"/>
      <c r="AA2023" s="5" t="s">
        <v>15184</v>
      </c>
    </row>
    <row r="2024" ht="14.25">
      <c r="B2024" s="4" t="s">
        <v>15185</v>
      </c>
      <c r="C2024" s="4" t="s">
        <v>110</v>
      </c>
      <c r="D2024" s="4" t="s">
        <v>15186</v>
      </c>
      <c r="E2024" s="4" t="s">
        <v>15187</v>
      </c>
      <c r="F2024" s="4" t="s">
        <v>172</v>
      </c>
      <c r="G2024" s="4" t="s">
        <v>15188</v>
      </c>
      <c r="H2024" s="4" t="str">
        <f>IFERROR(__XLUDF.DUMMYFUNCTION("PROPER(REGEXREPLACE(G601,""[^A-Za-z]+ "",""""))"),"Keyboss Group")</f>
        <v xml:space="preserve">Keyboss Group</v>
      </c>
      <c r="I2024" s="5" t="s">
        <v>15189</v>
      </c>
      <c r="J2024" s="4" t="s">
        <v>39</v>
      </c>
      <c r="K2024" s="4" t="s">
        <v>9160</v>
      </c>
      <c r="L2024" s="4" t="s">
        <v>29</v>
      </c>
      <c r="M2024" s="4" t="s">
        <v>4067</v>
      </c>
      <c r="N2024" s="4" t="str">
        <f>IFERROR(__XLUDF.DUMMYFUNCTION("VLOOKUP(M601,IMPORTRANGE(""https://docs.google.com/spreadsheets/d/1opm6ZNvGZ7KditA9TuJwrZ25eFLfTNIkrNnY6mhV5Eg"",""list!A1:C115""),3,TRUE)"),"le secteur du conseil en management")</f>
        <v xml:space="preserve">le secteur du conseil en management</v>
      </c>
      <c r="O2024" s="4" t="s">
        <v>15190</v>
      </c>
      <c r="P2024" s="4">
        <v>13</v>
      </c>
      <c r="Q2024" s="4" t="s">
        <v>39</v>
      </c>
      <c r="R2024" s="4" t="s">
        <v>9160</v>
      </c>
      <c r="S2024" s="4" t="s">
        <v>29</v>
      </c>
      <c r="T2024" s="5" t="s">
        <v>15191</v>
      </c>
      <c r="U2024" s="6"/>
      <c r="V2024" s="6"/>
      <c r="W2024" s="6"/>
      <c r="X2024" s="6"/>
      <c r="Y2024" s="4" t="s">
        <v>15192</v>
      </c>
      <c r="Z2024" s="6"/>
      <c r="AA2024" s="5" t="s">
        <v>15193</v>
      </c>
    </row>
    <row r="2025" ht="14.25">
      <c r="B2025" s="4" t="s">
        <v>15194</v>
      </c>
      <c r="C2025" s="4" t="s">
        <v>110</v>
      </c>
      <c r="D2025" s="4" t="s">
        <v>15195</v>
      </c>
      <c r="E2025" s="4" t="s">
        <v>15196</v>
      </c>
      <c r="F2025" s="4" t="s">
        <v>15197</v>
      </c>
      <c r="G2025" s="4" t="s">
        <v>15198</v>
      </c>
      <c r="H2025" s="4" t="str">
        <f>IFERROR(__XLUDF.DUMMYFUNCTION("PROPER(REGEXREPLACE(G602,""[^A-Za-z]+ "",""""))"),"Ceteam")</f>
        <v>Ceteam</v>
      </c>
      <c r="I2025" s="4" t="s">
        <v>15199</v>
      </c>
      <c r="J2025" s="6"/>
      <c r="K2025" s="6"/>
      <c r="L2025" s="4" t="s">
        <v>29</v>
      </c>
      <c r="M2025" s="4" t="s">
        <v>9239</v>
      </c>
      <c r="N2025" s="4" t="str">
        <f>IFERROR(__XLUDF.DUMMYFUNCTION("VLOOKUP(M602,IMPORTRANGE(""https://docs.google.com/spreadsheets/d/1opm6ZNvGZ7KditA9TuJwrZ25eFLfTNIkrNnY6mhV5Eg"",""list!A1:C115""),3,TRUE)"),"le secteur de la construction")</f>
        <v xml:space="preserve">le secteur de la construction</v>
      </c>
      <c r="O2025" s="4" t="s">
        <v>15200</v>
      </c>
      <c r="P2025" s="4">
        <v>10</v>
      </c>
      <c r="Q2025" s="4" t="s">
        <v>7619</v>
      </c>
      <c r="R2025" s="4" t="s">
        <v>9193</v>
      </c>
      <c r="S2025" s="4" t="s">
        <v>29</v>
      </c>
      <c r="T2025" s="5" t="s">
        <v>15201</v>
      </c>
      <c r="U2025" s="6"/>
      <c r="V2025" s="6"/>
      <c r="W2025" s="6"/>
      <c r="X2025" s="6"/>
      <c r="Y2025" s="4" t="s">
        <v>15202</v>
      </c>
      <c r="Z2025" s="6"/>
      <c r="AA2025" s="5" t="s">
        <v>15203</v>
      </c>
    </row>
    <row r="2026" ht="14.25">
      <c r="B2026" s="4" t="s">
        <v>15204</v>
      </c>
      <c r="C2026" s="4" t="s">
        <v>110</v>
      </c>
      <c r="D2026" s="4" t="s">
        <v>10412</v>
      </c>
      <c r="E2026" s="4" t="s">
        <v>15205</v>
      </c>
      <c r="F2026" s="4" t="s">
        <v>7759</v>
      </c>
      <c r="G2026" s="4" t="s">
        <v>13150</v>
      </c>
      <c r="H2026" s="4" t="str">
        <f>IFERROR(__XLUDF.DUMMYFUNCTION("PROPER(REGEXREPLACE(G603,""[^A-Za-z]+ "",""""))"),"Expert Activ Spécialiste En Développement Commercial")</f>
        <v xml:space="preserve">Expert Activ Spécialiste En Développement Commercial</v>
      </c>
      <c r="I2026" s="5" t="s">
        <v>13151</v>
      </c>
      <c r="J2026" s="4" t="s">
        <v>7531</v>
      </c>
      <c r="K2026" s="4" t="s">
        <v>9798</v>
      </c>
      <c r="L2026" s="4" t="s">
        <v>29</v>
      </c>
      <c r="M2026" s="4" t="s">
        <v>4067</v>
      </c>
      <c r="N2026" s="4" t="str">
        <f>IFERROR(__XLUDF.DUMMYFUNCTION("VLOOKUP(M603,IMPORTRANGE(""https://docs.google.com/spreadsheets/d/1opm6ZNvGZ7KditA9TuJwrZ25eFLfTNIkrNnY6mhV5Eg"",""list!A1:C115""),3,TRUE)"),"le secteur du conseil en management")</f>
        <v xml:space="preserve">le secteur du conseil en management</v>
      </c>
      <c r="O2026" s="4" t="s">
        <v>13152</v>
      </c>
      <c r="P2026" s="4">
        <v>27</v>
      </c>
      <c r="Q2026" s="4" t="s">
        <v>39</v>
      </c>
      <c r="R2026" s="4" t="s">
        <v>9160</v>
      </c>
      <c r="S2026" s="4" t="s">
        <v>29</v>
      </c>
      <c r="T2026" s="5" t="s">
        <v>13153</v>
      </c>
      <c r="U2026" s="5" t="s">
        <v>13154</v>
      </c>
      <c r="V2026" s="5" t="s">
        <v>13155</v>
      </c>
      <c r="W2026" s="6"/>
      <c r="X2026" s="6"/>
      <c r="Y2026" s="4" t="s">
        <v>13156</v>
      </c>
      <c r="Z2026" s="6"/>
      <c r="AA2026" s="5" t="s">
        <v>15206</v>
      </c>
    </row>
    <row r="2027" ht="14.25">
      <c r="B2027" s="4" t="s">
        <v>15207</v>
      </c>
      <c r="C2027" s="4" t="s">
        <v>110</v>
      </c>
      <c r="D2027" s="4" t="s">
        <v>15208</v>
      </c>
      <c r="E2027" s="4" t="s">
        <v>15209</v>
      </c>
      <c r="F2027" s="4" t="s">
        <v>9456</v>
      </c>
      <c r="G2027" s="4" t="s">
        <v>15210</v>
      </c>
      <c r="H2027" s="4" t="str">
        <f>IFERROR(__XLUDF.DUMMYFUNCTION("PROPER(REGEXREPLACE(G604,""[^A-Za-z]+ "",""""))"),"Eurostudio Infographie")</f>
        <v xml:space="preserve">Eurostudio Infographie</v>
      </c>
      <c r="I2027" s="5" t="s">
        <v>15211</v>
      </c>
      <c r="J2027" s="4" t="s">
        <v>39</v>
      </c>
      <c r="K2027" s="4" t="s">
        <v>9160</v>
      </c>
      <c r="L2027" s="4" t="s">
        <v>29</v>
      </c>
      <c r="M2027" s="4" t="s">
        <v>2602</v>
      </c>
      <c r="N2027" s="4" t="str">
        <f>IFERROR(__XLUDF.DUMMYFUNCTION("VLOOKUP(M604,IMPORTRANGE(""https://docs.google.com/spreadsheets/d/1opm6ZNvGZ7KditA9TuJwrZ25eFLfTNIkrNnY6mhV5Eg"",""list!A1:C115""),3,TRUE)"),"le secteur de la tech")</f>
        <v xml:space="preserve">le secteur de la tech</v>
      </c>
      <c r="O2027" s="4" t="s">
        <v>15212</v>
      </c>
      <c r="P2027" s="4">
        <v>15</v>
      </c>
      <c r="Q2027" s="4" t="s">
        <v>39</v>
      </c>
      <c r="R2027" s="4" t="s">
        <v>9160</v>
      </c>
      <c r="S2027" s="4" t="s">
        <v>29</v>
      </c>
      <c r="T2027" s="5" t="s">
        <v>15213</v>
      </c>
      <c r="U2027" s="5" t="s">
        <v>15214</v>
      </c>
      <c r="V2027" s="5" t="s">
        <v>15215</v>
      </c>
      <c r="W2027" s="6"/>
      <c r="X2027" s="6"/>
      <c r="Y2027" s="4" t="s">
        <v>15216</v>
      </c>
      <c r="Z2027" s="6"/>
      <c r="AA2027" s="5" t="s">
        <v>15217</v>
      </c>
    </row>
    <row r="2028" ht="14.25">
      <c r="B2028" s="4" t="s">
        <v>15218</v>
      </c>
      <c r="C2028" s="4" t="s">
        <v>110</v>
      </c>
      <c r="D2028" s="4" t="s">
        <v>15219</v>
      </c>
      <c r="E2028" s="4" t="s">
        <v>15220</v>
      </c>
      <c r="F2028" s="4" t="s">
        <v>112</v>
      </c>
      <c r="G2028" s="4" t="s">
        <v>15221</v>
      </c>
      <c r="H2028" s="4" t="str">
        <f>IFERROR(__XLUDF.DUMMYFUNCTION("PROPER(REGEXREPLACE(G605,""[^A-Za-z]+ "",""""))"),"Pwa Assurance")</f>
        <v xml:space="preserve">Pwa Assurance</v>
      </c>
      <c r="I2028" s="5" t="s">
        <v>15222</v>
      </c>
      <c r="J2028" s="6"/>
      <c r="K2028" s="6"/>
      <c r="L2028" s="4" t="s">
        <v>29</v>
      </c>
      <c r="M2028" s="4" t="s">
        <v>2602</v>
      </c>
      <c r="N2028" s="4" t="str">
        <f>IFERROR(__XLUDF.DUMMYFUNCTION("VLOOKUP(M605,IMPORTRANGE(""https://docs.google.com/spreadsheets/d/1opm6ZNvGZ7KditA9TuJwrZ25eFLfTNIkrNnY6mhV5Eg"",""list!A1:C115""),3,TRUE)"),"le secteur de la tech")</f>
        <v xml:space="preserve">le secteur de la tech</v>
      </c>
      <c r="O2028" s="4" t="s">
        <v>15223</v>
      </c>
      <c r="P2028" s="4">
        <v>15</v>
      </c>
      <c r="Q2028" s="4" t="s">
        <v>185</v>
      </c>
      <c r="R2028" s="4" t="s">
        <v>9193</v>
      </c>
      <c r="S2028" s="4" t="s">
        <v>29</v>
      </c>
      <c r="T2028" s="5" t="s">
        <v>15224</v>
      </c>
      <c r="U2028" s="6"/>
      <c r="V2028" s="6"/>
      <c r="W2028" s="6"/>
      <c r="X2028" s="6"/>
      <c r="Y2028" s="4" t="s">
        <v>15225</v>
      </c>
      <c r="Z2028" s="6"/>
      <c r="AA2028" s="5" t="s">
        <v>15226</v>
      </c>
    </row>
    <row r="2029" ht="14.25">
      <c r="B2029" s="4" t="s">
        <v>15227</v>
      </c>
      <c r="C2029" s="4" t="s">
        <v>110</v>
      </c>
      <c r="D2029" s="4" t="s">
        <v>15228</v>
      </c>
      <c r="E2029" s="4" t="s">
        <v>15229</v>
      </c>
      <c r="F2029" s="4" t="s">
        <v>172</v>
      </c>
      <c r="G2029" s="4" t="s">
        <v>15230</v>
      </c>
      <c r="H2029" s="4" t="str">
        <f>IFERROR(__XLUDF.DUMMYFUNCTION("PROPER(REGEXREPLACE(G606,""[^A-Za-z]+ "",""""))"),"Actusite")</f>
        <v>Actusite</v>
      </c>
      <c r="I2029" s="5" t="s">
        <v>15231</v>
      </c>
      <c r="J2029" s="4" t="s">
        <v>39</v>
      </c>
      <c r="K2029" s="4" t="s">
        <v>9160</v>
      </c>
      <c r="L2029" s="4" t="s">
        <v>29</v>
      </c>
      <c r="M2029" s="4" t="s">
        <v>2602</v>
      </c>
      <c r="N2029" s="4" t="str">
        <f>IFERROR(__XLUDF.DUMMYFUNCTION("VLOOKUP(M606,IMPORTRANGE(""https://docs.google.com/spreadsheets/d/1opm6ZNvGZ7KditA9TuJwrZ25eFLfTNIkrNnY6mhV5Eg"",""list!A1:C115""),3,TRUE)"),"le secteur de la tech")</f>
        <v xml:space="preserve">le secteur de la tech</v>
      </c>
      <c r="O2029" s="4" t="s">
        <v>15232</v>
      </c>
      <c r="P2029" s="4">
        <v>23</v>
      </c>
      <c r="Q2029" s="4" t="s">
        <v>39</v>
      </c>
      <c r="R2029" s="4" t="s">
        <v>9160</v>
      </c>
      <c r="S2029" s="4" t="s">
        <v>29</v>
      </c>
      <c r="T2029" s="5" t="s">
        <v>15233</v>
      </c>
      <c r="U2029" s="5" t="s">
        <v>15234</v>
      </c>
      <c r="V2029" s="5" t="s">
        <v>15235</v>
      </c>
      <c r="W2029" s="6"/>
      <c r="X2029" s="6"/>
      <c r="Y2029" s="4" t="s">
        <v>15236</v>
      </c>
      <c r="Z2029" s="6"/>
      <c r="AA2029" s="5" t="s">
        <v>15237</v>
      </c>
    </row>
    <row r="2030" ht="14.25">
      <c r="B2030" s="4" t="s">
        <v>15238</v>
      </c>
      <c r="C2030" s="4" t="s">
        <v>110</v>
      </c>
      <c r="D2030" s="4" t="s">
        <v>15239</v>
      </c>
      <c r="E2030" s="4" t="s">
        <v>15240</v>
      </c>
      <c r="F2030" s="4" t="s">
        <v>120</v>
      </c>
      <c r="G2030" s="4" t="s">
        <v>15241</v>
      </c>
      <c r="H2030" s="4" t="str">
        <f>IFERROR(__XLUDF.DUMMYFUNCTION("PROPER(REGEXREPLACE(G607,""[^A-Za-z]+ "",""""))"),"Beau Comme Un Camion")</f>
        <v xml:space="preserve">Beau Comme Un Camion</v>
      </c>
      <c r="I2030" s="5" t="s">
        <v>15242</v>
      </c>
      <c r="J2030" s="4" t="s">
        <v>9253</v>
      </c>
      <c r="K2030" s="4" t="s">
        <v>9460</v>
      </c>
      <c r="L2030" s="4" t="s">
        <v>29</v>
      </c>
      <c r="M2030" s="4" t="s">
        <v>4525</v>
      </c>
      <c r="N2030" s="4" t="str">
        <f>IFERROR(__XLUDF.DUMMYFUNCTION("VLOOKUP(M607,IMPORTRANGE(""https://docs.google.com/spreadsheets/d/1opm6ZNvGZ7KditA9TuJwrZ25eFLfTNIkrNnY6mhV5Eg"",""list!A1:C115""),3,TRUE)"),"le secteur du retail")</f>
        <v xml:space="preserve">le secteur du retail</v>
      </c>
      <c r="O2030" s="6"/>
      <c r="P2030" s="4">
        <v>14</v>
      </c>
      <c r="Q2030" s="4" t="s">
        <v>9253</v>
      </c>
      <c r="R2030" s="4" t="s">
        <v>9460</v>
      </c>
      <c r="S2030" s="4" t="s">
        <v>29</v>
      </c>
      <c r="T2030" s="5" t="s">
        <v>15243</v>
      </c>
      <c r="U2030" s="6"/>
      <c r="V2030" s="5" t="s">
        <v>15244</v>
      </c>
      <c r="W2030" s="6"/>
      <c r="X2030" s="6"/>
      <c r="Y2030" s="4" t="s">
        <v>15245</v>
      </c>
      <c r="Z2030" s="6"/>
      <c r="AA2030" s="5" t="s">
        <v>15246</v>
      </c>
    </row>
    <row r="2031" ht="14.25">
      <c r="B2031" s="4" t="s">
        <v>15247</v>
      </c>
      <c r="C2031" s="4" t="s">
        <v>110</v>
      </c>
      <c r="D2031" s="4" t="s">
        <v>15248</v>
      </c>
      <c r="E2031" s="4" t="s">
        <v>15249</v>
      </c>
      <c r="F2031" s="4" t="s">
        <v>1130</v>
      </c>
      <c r="G2031" s="4" t="s">
        <v>15250</v>
      </c>
      <c r="H2031" s="4" t="str">
        <f>IFERROR(__XLUDF.DUMMYFUNCTION("PROPER(REGEXREPLACE(G608,""[^A-Za-z]+ "",""""))"),"Logis Conseil")</f>
        <v xml:space="preserve">Logis Conseil</v>
      </c>
      <c r="I2031" s="5" t="s">
        <v>15251</v>
      </c>
      <c r="J2031" s="4" t="s">
        <v>13402</v>
      </c>
      <c r="K2031" s="4" t="s">
        <v>9460</v>
      </c>
      <c r="L2031" s="4" t="s">
        <v>29</v>
      </c>
      <c r="M2031" s="4" t="s">
        <v>9239</v>
      </c>
      <c r="N2031" s="4" t="str">
        <f>IFERROR(__XLUDF.DUMMYFUNCTION("VLOOKUP(M608,IMPORTRANGE(""https://docs.google.com/spreadsheets/d/1opm6ZNvGZ7KditA9TuJwrZ25eFLfTNIkrNnY6mhV5Eg"",""list!A1:C115""),3,TRUE)"),"le secteur de la construction")</f>
        <v xml:space="preserve">le secteur de la construction</v>
      </c>
      <c r="O2031" s="6"/>
      <c r="P2031" s="4">
        <v>14</v>
      </c>
      <c r="Q2031" s="4" t="s">
        <v>15252</v>
      </c>
      <c r="R2031" s="4" t="s">
        <v>9460</v>
      </c>
      <c r="S2031" s="4" t="s">
        <v>29</v>
      </c>
      <c r="T2031" s="5" t="s">
        <v>15253</v>
      </c>
      <c r="U2031" s="6"/>
      <c r="V2031" s="5" t="s">
        <v>15254</v>
      </c>
      <c r="W2031" s="6"/>
      <c r="X2031" s="6"/>
      <c r="Y2031" s="4" t="s">
        <v>15255</v>
      </c>
      <c r="Z2031" s="6"/>
      <c r="AA2031" s="5" t="s">
        <v>15256</v>
      </c>
    </row>
    <row r="2032" ht="14.25">
      <c r="B2032" s="4" t="s">
        <v>15257</v>
      </c>
      <c r="C2032" s="4" t="s">
        <v>110</v>
      </c>
      <c r="D2032" s="4" t="s">
        <v>15258</v>
      </c>
      <c r="E2032" s="4" t="s">
        <v>15259</v>
      </c>
      <c r="F2032" s="4" t="s">
        <v>15260</v>
      </c>
      <c r="G2032" s="4" t="s">
        <v>15261</v>
      </c>
      <c r="H2032" s="4" t="str">
        <f>IFERROR(__XLUDF.DUMMYFUNCTION("PROPER(REGEXREPLACE(G609,""[^A-Za-z]+ "",""""))"),"Lws")</f>
        <v>Lws</v>
      </c>
      <c r="I2032" s="5" t="s">
        <v>15262</v>
      </c>
      <c r="J2032" s="4" t="s">
        <v>39</v>
      </c>
      <c r="K2032" s="4" t="s">
        <v>9160</v>
      </c>
      <c r="L2032" s="4" t="s">
        <v>29</v>
      </c>
      <c r="M2032" s="4" t="s">
        <v>2602</v>
      </c>
      <c r="N2032" s="4" t="str">
        <f>IFERROR(__XLUDF.DUMMYFUNCTION("VLOOKUP(M609,IMPORTRANGE(""https://docs.google.com/spreadsheets/d/1opm6ZNvGZ7KditA9TuJwrZ25eFLfTNIkrNnY6mhV5Eg"",""list!A1:C115""),3,TRUE)"),"le secteur de la tech")</f>
        <v xml:space="preserve">le secteur de la tech</v>
      </c>
      <c r="O2032" s="4" t="s">
        <v>15263</v>
      </c>
      <c r="P2032" s="4">
        <v>18</v>
      </c>
      <c r="Q2032" s="4" t="s">
        <v>39</v>
      </c>
      <c r="R2032" s="4" t="s">
        <v>9160</v>
      </c>
      <c r="S2032" s="4" t="s">
        <v>29</v>
      </c>
      <c r="T2032" s="5" t="s">
        <v>15264</v>
      </c>
      <c r="U2032" s="5" t="s">
        <v>15265</v>
      </c>
      <c r="V2032" s="5" t="s">
        <v>15266</v>
      </c>
      <c r="W2032" s="6"/>
      <c r="X2032" s="6"/>
      <c r="Y2032" s="4" t="s">
        <v>15267</v>
      </c>
      <c r="Z2032" s="6"/>
      <c r="AA2032" s="5" t="s">
        <v>15268</v>
      </c>
    </row>
    <row r="2033" ht="14.25">
      <c r="B2033" s="4" t="s">
        <v>15269</v>
      </c>
      <c r="C2033" s="4" t="s">
        <v>110</v>
      </c>
      <c r="D2033" s="4" t="s">
        <v>15270</v>
      </c>
      <c r="E2033" s="4" t="s">
        <v>15271</v>
      </c>
      <c r="F2033" s="4" t="s">
        <v>9849</v>
      </c>
      <c r="G2033" s="4" t="s">
        <v>15272</v>
      </c>
      <c r="H2033" s="4" t="str">
        <f>IFERROR(__XLUDF.DUMMYFUNCTION("PROPER(REGEXREPLACE(G610,""[^A-Za-z]+ "",""""))"),"Toolapp")</f>
        <v>Toolapp</v>
      </c>
      <c r="I2033" s="5" t="s">
        <v>15273</v>
      </c>
      <c r="J2033" s="4" t="s">
        <v>1711</v>
      </c>
      <c r="K2033" s="4" t="s">
        <v>9350</v>
      </c>
      <c r="L2033" s="4" t="s">
        <v>29</v>
      </c>
      <c r="M2033" s="4" t="s">
        <v>2602</v>
      </c>
      <c r="N2033" s="4" t="str">
        <f>IFERROR(__XLUDF.DUMMYFUNCTION("VLOOKUP(M610,IMPORTRANGE(""https://docs.google.com/spreadsheets/d/1opm6ZNvGZ7KditA9TuJwrZ25eFLfTNIkrNnY6mhV5Eg"",""list!A1:C115""),3,TRUE)"),"le secteur de la tech")</f>
        <v xml:space="preserve">le secteur de la tech</v>
      </c>
      <c r="O2033" s="4" t="s">
        <v>15274</v>
      </c>
      <c r="P2033" s="4">
        <v>10</v>
      </c>
      <c r="Q2033" s="4" t="s">
        <v>1711</v>
      </c>
      <c r="R2033" s="4" t="s">
        <v>9350</v>
      </c>
      <c r="S2033" s="4" t="s">
        <v>29</v>
      </c>
      <c r="T2033" s="5" t="s">
        <v>15275</v>
      </c>
      <c r="U2033" s="6"/>
      <c r="V2033" s="6"/>
      <c r="W2033" s="6"/>
      <c r="X2033" s="6"/>
      <c r="Y2033" s="4" t="s">
        <v>15276</v>
      </c>
      <c r="Z2033" s="6"/>
      <c r="AA2033" s="5" t="s">
        <v>15277</v>
      </c>
    </row>
    <row r="2034" ht="14.25">
      <c r="B2034" s="4" t="s">
        <v>15278</v>
      </c>
      <c r="C2034" s="4" t="s">
        <v>110</v>
      </c>
      <c r="D2034" s="4" t="s">
        <v>8970</v>
      </c>
      <c r="E2034" s="4" t="s">
        <v>15279</v>
      </c>
      <c r="F2034" s="4" t="s">
        <v>15280</v>
      </c>
      <c r="G2034" s="4" t="s">
        <v>15281</v>
      </c>
      <c r="H2034" s="4" t="str">
        <f>IFERROR(__XLUDF.DUMMYFUNCTION("PROPER(REGEXREPLACE(G611,""[^A-Za-z]+ "",""""))"),"Le Lit National")</f>
        <v xml:space="preserve">Le Lit National</v>
      </c>
      <c r="I2034" s="5" t="s">
        <v>15282</v>
      </c>
      <c r="J2034" s="4" t="s">
        <v>39</v>
      </c>
      <c r="K2034" s="4" t="s">
        <v>9160</v>
      </c>
      <c r="L2034" s="4" t="s">
        <v>29</v>
      </c>
      <c r="M2034" s="4" t="s">
        <v>4525</v>
      </c>
      <c r="N2034" s="4" t="str">
        <f>IFERROR(__XLUDF.DUMMYFUNCTION("VLOOKUP(M611,IMPORTRANGE(""https://docs.google.com/spreadsheets/d/1opm6ZNvGZ7KditA9TuJwrZ25eFLfTNIkrNnY6mhV5Eg"",""list!A1:C115""),3,TRUE)"),"le secteur du retail")</f>
        <v xml:space="preserve">le secteur du retail</v>
      </c>
      <c r="O2034" s="4" t="s">
        <v>15283</v>
      </c>
      <c r="P2034" s="4">
        <v>12</v>
      </c>
      <c r="Q2034" s="4" t="s">
        <v>39</v>
      </c>
      <c r="R2034" s="4" t="s">
        <v>9160</v>
      </c>
      <c r="S2034" s="4" t="s">
        <v>29</v>
      </c>
      <c r="T2034" s="5" t="s">
        <v>15284</v>
      </c>
      <c r="U2034" s="6"/>
      <c r="V2034" s="6"/>
      <c r="W2034" s="6"/>
      <c r="X2034" s="6"/>
      <c r="Y2034" s="4" t="s">
        <v>15285</v>
      </c>
      <c r="Z2034" s="6"/>
      <c r="AA2034" s="5" t="s">
        <v>15286</v>
      </c>
    </row>
    <row r="2035" ht="14.25">
      <c r="B2035" s="4" t="s">
        <v>15287</v>
      </c>
      <c r="C2035" s="4" t="s">
        <v>110</v>
      </c>
      <c r="D2035" s="4" t="s">
        <v>2304</v>
      </c>
      <c r="E2035" s="4" t="s">
        <v>15288</v>
      </c>
      <c r="F2035" s="4" t="s">
        <v>15289</v>
      </c>
      <c r="G2035" s="4" t="s">
        <v>15290</v>
      </c>
      <c r="H2035" s="4" t="str">
        <f>IFERROR(__XLUDF.DUMMYFUNCTION("PROPER(REGEXREPLACE(G612,""[^A-Za-z]+ "",""""))"),"Apik")</f>
        <v>Apik</v>
      </c>
      <c r="I2035" s="4" t="s">
        <v>15291</v>
      </c>
      <c r="J2035" s="4" t="s">
        <v>15292</v>
      </c>
      <c r="K2035" s="4" t="s">
        <v>10736</v>
      </c>
      <c r="L2035" s="4" t="s">
        <v>29</v>
      </c>
      <c r="M2035" s="4" t="s">
        <v>2602</v>
      </c>
      <c r="N2035" s="4" t="str">
        <f>IFERROR(__XLUDF.DUMMYFUNCTION("VLOOKUP(M612,IMPORTRANGE(""https://docs.google.com/spreadsheets/d/1opm6ZNvGZ7KditA9TuJwrZ25eFLfTNIkrNnY6mhV5Eg"",""list!A1:C115""),3,TRUE)"),"le secteur de la tech")</f>
        <v xml:space="preserve">le secteur de la tech</v>
      </c>
      <c r="O2035" s="4" t="s">
        <v>15293</v>
      </c>
      <c r="P2035" s="4">
        <v>46</v>
      </c>
      <c r="Q2035" s="4" t="s">
        <v>15294</v>
      </c>
      <c r="R2035" s="4" t="s">
        <v>10973</v>
      </c>
      <c r="S2035" s="4" t="s">
        <v>29</v>
      </c>
      <c r="T2035" s="5" t="s">
        <v>15295</v>
      </c>
      <c r="U2035" s="6"/>
      <c r="V2035" s="5" t="s">
        <v>15296</v>
      </c>
      <c r="W2035" s="6"/>
      <c r="X2035" s="6"/>
      <c r="Y2035" s="4" t="s">
        <v>15297</v>
      </c>
      <c r="Z2035" s="6"/>
      <c r="AA2035" s="5" t="s">
        <v>15298</v>
      </c>
    </row>
    <row r="2036" ht="14.25">
      <c r="B2036" s="4" t="s">
        <v>15299</v>
      </c>
      <c r="C2036" s="4" t="s">
        <v>1454</v>
      </c>
      <c r="D2036" s="4" t="s">
        <v>15300</v>
      </c>
      <c r="E2036" s="4" t="s">
        <v>15301</v>
      </c>
      <c r="F2036" s="4" t="s">
        <v>15302</v>
      </c>
      <c r="G2036" s="4" t="s">
        <v>15303</v>
      </c>
      <c r="H2036" s="4" t="str">
        <f>IFERROR(__XLUDF.DUMMYFUNCTION("PROPER(REGEXREPLACE(G613,""[^A-Za-z]+ "",""""))"),"Usabilis")</f>
        <v>Usabilis</v>
      </c>
      <c r="I2036" s="5" t="s">
        <v>15304</v>
      </c>
      <c r="J2036" s="4" t="s">
        <v>39</v>
      </c>
      <c r="K2036" s="4" t="s">
        <v>9160</v>
      </c>
      <c r="L2036" s="4" t="s">
        <v>29</v>
      </c>
      <c r="M2036" s="4" t="s">
        <v>2602</v>
      </c>
      <c r="N2036" s="4" t="str">
        <f>IFERROR(__XLUDF.DUMMYFUNCTION("VLOOKUP(M613,IMPORTRANGE(""https://docs.google.com/spreadsheets/d/1opm6ZNvGZ7KditA9TuJwrZ25eFLfTNIkrNnY6mhV5Eg"",""list!A1:C115""),3,TRUE)"),"le secteur de la tech")</f>
        <v xml:space="preserve">le secteur de la tech</v>
      </c>
      <c r="O2036" s="4" t="s">
        <v>15305</v>
      </c>
      <c r="P2036" s="4">
        <v>18</v>
      </c>
      <c r="Q2036" s="4" t="s">
        <v>9403</v>
      </c>
      <c r="R2036" s="4" t="s">
        <v>9160</v>
      </c>
      <c r="S2036" s="4" t="s">
        <v>29</v>
      </c>
      <c r="T2036" s="5" t="s">
        <v>15306</v>
      </c>
      <c r="U2036" s="5" t="s">
        <v>15307</v>
      </c>
      <c r="V2036" s="5" t="s">
        <v>15308</v>
      </c>
      <c r="W2036" s="6"/>
      <c r="X2036" s="6"/>
      <c r="Y2036" s="4" t="s">
        <v>15309</v>
      </c>
      <c r="Z2036" s="6"/>
      <c r="AA2036" s="5" t="s">
        <v>15310</v>
      </c>
    </row>
    <row r="2037" ht="14.25">
      <c r="B2037" s="4" t="s">
        <v>15311</v>
      </c>
      <c r="C2037" s="4" t="s">
        <v>15312</v>
      </c>
      <c r="D2037" s="4" t="s">
        <v>15313</v>
      </c>
      <c r="E2037" s="4" t="s">
        <v>15314</v>
      </c>
      <c r="F2037" s="4" t="s">
        <v>13001</v>
      </c>
      <c r="G2037" s="4" t="s">
        <v>13002</v>
      </c>
      <c r="H2037" s="4" t="str">
        <f>IFERROR(__XLUDF.DUMMYFUNCTION("PROPER(REGEXREPLACE(G614,""[^A-Za-z]+ "",""""))"),"Nj Partners")</f>
        <v xml:space="preserve">Nj Partners</v>
      </c>
      <c r="I2037" s="5" t="s">
        <v>13003</v>
      </c>
      <c r="J2037" s="4" t="s">
        <v>39</v>
      </c>
      <c r="K2037" s="4" t="s">
        <v>9160</v>
      </c>
      <c r="L2037" s="4" t="s">
        <v>29</v>
      </c>
      <c r="M2037" s="4" t="s">
        <v>4525</v>
      </c>
      <c r="N2037" s="4" t="str">
        <f>IFERROR(__XLUDF.DUMMYFUNCTION("VLOOKUP(M614,IMPORTRANGE(""https://docs.google.com/spreadsheets/d/1opm6ZNvGZ7KditA9TuJwrZ25eFLfTNIkrNnY6mhV5Eg"",""list!A1:C115""),3,TRUE)"),"le secteur du retail")</f>
        <v xml:space="preserve">le secteur du retail</v>
      </c>
      <c r="O2037" s="4" t="s">
        <v>13004</v>
      </c>
      <c r="P2037" s="4">
        <v>22</v>
      </c>
      <c r="Q2037" s="4" t="s">
        <v>13005</v>
      </c>
      <c r="R2037" s="4" t="s">
        <v>9160</v>
      </c>
      <c r="S2037" s="4" t="s">
        <v>29</v>
      </c>
      <c r="T2037" s="5" t="s">
        <v>13006</v>
      </c>
      <c r="U2037" s="6"/>
      <c r="V2037" s="6"/>
      <c r="W2037" s="6"/>
      <c r="X2037" s="6"/>
      <c r="Y2037" s="4" t="s">
        <v>13007</v>
      </c>
      <c r="Z2037" s="6"/>
      <c r="AA2037" s="5" t="s">
        <v>15315</v>
      </c>
    </row>
    <row r="2038" ht="14.25">
      <c r="B2038" s="4" t="s">
        <v>15316</v>
      </c>
      <c r="C2038" s="4" t="s">
        <v>110</v>
      </c>
      <c r="D2038" s="4" t="s">
        <v>15317</v>
      </c>
      <c r="E2038" s="4" t="s">
        <v>15318</v>
      </c>
      <c r="F2038" s="4" t="s">
        <v>7759</v>
      </c>
      <c r="G2038" s="4" t="s">
        <v>15319</v>
      </c>
      <c r="H2038" s="4" t="str">
        <f>IFERROR(__XLUDF.DUMMYFUNCTION("PROPER(REGEXREPLACE(G615,""[^A-Za-z]+ "",""""))"),"Piazza Coffrages")</f>
        <v xml:space="preserve">Piazza Coffrages</v>
      </c>
      <c r="I2038" s="5" t="s">
        <v>15320</v>
      </c>
      <c r="J2038" s="4" t="s">
        <v>846</v>
      </c>
      <c r="K2038" s="4" t="s">
        <v>9278</v>
      </c>
      <c r="L2038" s="4" t="s">
        <v>29</v>
      </c>
      <c r="M2038" s="4" t="s">
        <v>9239</v>
      </c>
      <c r="N2038" s="4" t="str">
        <f>IFERROR(__XLUDF.DUMMYFUNCTION("VLOOKUP(M615,IMPORTRANGE(""https://docs.google.com/spreadsheets/d/1opm6ZNvGZ7KditA9TuJwrZ25eFLfTNIkrNnY6mhV5Eg"",""list!A1:C115""),3,TRUE)"),"le secteur de la construction")</f>
        <v xml:space="preserve">le secteur de la construction</v>
      </c>
      <c r="O2038" s="4" t="s">
        <v>15321</v>
      </c>
      <c r="P2038" s="4">
        <v>15</v>
      </c>
      <c r="Q2038" s="4" t="s">
        <v>15322</v>
      </c>
      <c r="R2038" s="4" t="s">
        <v>9281</v>
      </c>
      <c r="S2038" s="4" t="s">
        <v>29</v>
      </c>
      <c r="T2038" s="5" t="s">
        <v>15323</v>
      </c>
      <c r="U2038" s="6"/>
      <c r="V2038" s="5" t="s">
        <v>15324</v>
      </c>
      <c r="W2038" s="6"/>
      <c r="X2038" s="6"/>
      <c r="Y2038" s="4" t="s">
        <v>15325</v>
      </c>
      <c r="Z2038" s="6"/>
      <c r="AA2038" s="5" t="s">
        <v>15326</v>
      </c>
    </row>
    <row r="2039" ht="14.25">
      <c r="B2039" s="4" t="s">
        <v>15327</v>
      </c>
      <c r="C2039" s="4" t="s">
        <v>330</v>
      </c>
      <c r="D2039" s="4" t="s">
        <v>5587</v>
      </c>
      <c r="E2039" s="4" t="s">
        <v>15328</v>
      </c>
      <c r="F2039" s="4" t="s">
        <v>15329</v>
      </c>
      <c r="G2039" s="4" t="s">
        <v>15330</v>
      </c>
      <c r="H2039" s="4" t="str">
        <f>IFERROR(__XLUDF.DUMMYFUNCTION("PROPER(REGEXREPLACE(G616,""[^A-Za-z]+ "",""""))"),"Optalor")</f>
        <v>Optalor</v>
      </c>
      <c r="I2039" s="5" t="s">
        <v>15331</v>
      </c>
      <c r="J2039" s="4" t="s">
        <v>1780</v>
      </c>
      <c r="K2039" s="4" t="s">
        <v>9215</v>
      </c>
      <c r="L2039" s="4" t="s">
        <v>29</v>
      </c>
      <c r="M2039" s="4" t="s">
        <v>4525</v>
      </c>
      <c r="N2039" s="4" t="str">
        <f>IFERROR(__XLUDF.DUMMYFUNCTION("VLOOKUP(M616,IMPORTRANGE(""https://docs.google.com/spreadsheets/d/1opm6ZNvGZ7KditA9TuJwrZ25eFLfTNIkrNnY6mhV5Eg"",""list!A1:C115""),3,TRUE)"),"le secteur du retail")</f>
        <v xml:space="preserve">le secteur du retail</v>
      </c>
      <c r="O2039" s="6"/>
      <c r="P2039" s="4">
        <v>22</v>
      </c>
      <c r="Q2039" s="4" t="s">
        <v>15332</v>
      </c>
      <c r="R2039" s="4" t="s">
        <v>9215</v>
      </c>
      <c r="S2039" s="4" t="s">
        <v>29</v>
      </c>
      <c r="T2039" s="5" t="s">
        <v>15333</v>
      </c>
      <c r="U2039" s="6"/>
      <c r="V2039" s="6"/>
      <c r="W2039" s="6"/>
      <c r="X2039" s="6"/>
      <c r="Y2039" s="4" t="s">
        <v>15334</v>
      </c>
      <c r="Z2039" s="6"/>
      <c r="AA2039" s="5" t="s">
        <v>15335</v>
      </c>
    </row>
    <row r="2040" ht="14.25">
      <c r="B2040" s="4" t="s">
        <v>15336</v>
      </c>
      <c r="C2040" s="4" t="s">
        <v>330</v>
      </c>
      <c r="D2040" s="4" t="s">
        <v>15337</v>
      </c>
      <c r="E2040" s="4" t="s">
        <v>15338</v>
      </c>
      <c r="F2040" s="4" t="s">
        <v>172</v>
      </c>
      <c r="G2040" s="4" t="s">
        <v>15339</v>
      </c>
      <c r="H2040" s="4" t="str">
        <f>IFERROR(__XLUDF.DUMMYFUNCTION("PROPER(REGEXREPLACE(G617,""[^A-Za-z]+ "",""""))"),"Eyes Up")</f>
        <v xml:space="preserve">Eyes Up</v>
      </c>
      <c r="I2040" s="6"/>
      <c r="J2040" s="6"/>
      <c r="K2040" s="6"/>
      <c r="L2040" s="4" t="s">
        <v>29</v>
      </c>
      <c r="M2040" s="4" t="s">
        <v>9161</v>
      </c>
      <c r="N2040" s="4" t="str">
        <f>IFERROR(__XLUDF.DUMMYFUNCTION("VLOOKUP(M617,IMPORTRANGE(""https://docs.google.com/spreadsheets/d/1opm6ZNvGZ7KditA9TuJwrZ25eFLfTNIkrNnY6mhV5Eg"",""list!A1:C115""),3,TRUE)"),"le secteur du marketing")</f>
        <v xml:space="preserve">le secteur du marketing</v>
      </c>
      <c r="O2040" s="4" t="s">
        <v>15340</v>
      </c>
      <c r="P2040" s="4">
        <v>16</v>
      </c>
      <c r="Q2040" s="4" t="s">
        <v>482</v>
      </c>
      <c r="R2040" s="4" t="s">
        <v>10829</v>
      </c>
      <c r="S2040" s="4" t="s">
        <v>29</v>
      </c>
      <c r="T2040" s="5" t="s">
        <v>15341</v>
      </c>
      <c r="U2040" s="6"/>
      <c r="V2040" s="6"/>
      <c r="W2040" s="6"/>
      <c r="X2040" s="6"/>
      <c r="Y2040" s="4" t="s">
        <v>15342</v>
      </c>
      <c r="Z2040" s="6"/>
      <c r="AA2040" s="5" t="s">
        <v>15343</v>
      </c>
    </row>
    <row r="2041" ht="14.25">
      <c r="B2041" s="4" t="s">
        <v>15344</v>
      </c>
      <c r="C2041" s="4" t="s">
        <v>330</v>
      </c>
      <c r="D2041" s="4" t="s">
        <v>6717</v>
      </c>
      <c r="E2041" s="4" t="s">
        <v>15345</v>
      </c>
      <c r="F2041" s="4" t="s">
        <v>9456</v>
      </c>
      <c r="G2041" s="4" t="s">
        <v>15346</v>
      </c>
      <c r="H2041" s="4" t="str">
        <f>IFERROR(__XLUDF.DUMMYFUNCTION("PROPER(REGEXREPLACE(G618,""[^A-Za-z]+ "",""""))"),"Coordef Ingénierie")</f>
        <v xml:space="preserve">Coordef Ingénierie</v>
      </c>
      <c r="I2041" s="6"/>
      <c r="J2041" s="4" t="s">
        <v>39</v>
      </c>
      <c r="K2041" s="4" t="s">
        <v>9160</v>
      </c>
      <c r="L2041" s="4" t="s">
        <v>29</v>
      </c>
      <c r="M2041" s="4" t="s">
        <v>9239</v>
      </c>
      <c r="N2041" s="4" t="str">
        <f>IFERROR(__XLUDF.DUMMYFUNCTION("VLOOKUP(M618,IMPORTRANGE(""https://docs.google.com/spreadsheets/d/1opm6ZNvGZ7KditA9TuJwrZ25eFLfTNIkrNnY6mhV5Eg"",""list!A1:C115""),3,TRUE)"),"le secteur de la construction")</f>
        <v xml:space="preserve">le secteur de la construction</v>
      </c>
      <c r="O2041" s="4" t="s">
        <v>15347</v>
      </c>
      <c r="P2041" s="4">
        <v>41</v>
      </c>
      <c r="Q2041" s="4" t="s">
        <v>15348</v>
      </c>
      <c r="R2041" s="4" t="s">
        <v>9160</v>
      </c>
      <c r="S2041" s="4" t="s">
        <v>29</v>
      </c>
      <c r="T2041" s="5" t="s">
        <v>15349</v>
      </c>
      <c r="U2041" s="6"/>
      <c r="V2041" s="6"/>
      <c r="W2041" s="6"/>
      <c r="X2041" s="6"/>
      <c r="Y2041" s="4" t="s">
        <v>15350</v>
      </c>
      <c r="Z2041" s="6"/>
      <c r="AA2041" s="5" t="s">
        <v>15351</v>
      </c>
    </row>
    <row r="2042" ht="14.25">
      <c r="B2042" s="4" t="s">
        <v>15352</v>
      </c>
      <c r="C2042" s="4" t="s">
        <v>330</v>
      </c>
      <c r="D2042" s="4" t="s">
        <v>15353</v>
      </c>
      <c r="E2042" s="4" t="s">
        <v>15354</v>
      </c>
      <c r="F2042" s="4" t="s">
        <v>15355</v>
      </c>
      <c r="G2042" s="4" t="s">
        <v>15356</v>
      </c>
      <c r="H2042" s="4" t="str">
        <f>IFERROR(__XLUDF.DUMMYFUNCTION("PROPER(REGEXREPLACE(G619,""[^A-Za-z]+ "",""""))"),"E-Nergy")</f>
        <v>E-Nergy</v>
      </c>
      <c r="I2042" s="5" t="s">
        <v>15357</v>
      </c>
      <c r="J2042" s="4" t="s">
        <v>185</v>
      </c>
      <c r="K2042" s="4" t="s">
        <v>9193</v>
      </c>
      <c r="L2042" s="4" t="s">
        <v>29</v>
      </c>
      <c r="M2042" s="4" t="s">
        <v>4067</v>
      </c>
      <c r="N2042" s="4" t="str">
        <f>IFERROR(__XLUDF.DUMMYFUNCTION("VLOOKUP(M619,IMPORTRANGE(""https://docs.google.com/spreadsheets/d/1opm6ZNvGZ7KditA9TuJwrZ25eFLfTNIkrNnY6mhV5Eg"",""list!A1:C115""),3,TRUE)"),"le secteur du conseil en management")</f>
        <v xml:space="preserve">le secteur du conseil en management</v>
      </c>
      <c r="O2042" s="4" t="s">
        <v>15358</v>
      </c>
      <c r="P2042" s="4">
        <v>16</v>
      </c>
      <c r="Q2042" s="4" t="s">
        <v>6603</v>
      </c>
      <c r="R2042" s="4" t="s">
        <v>9160</v>
      </c>
      <c r="S2042" s="4" t="s">
        <v>29</v>
      </c>
      <c r="T2042" s="5" t="s">
        <v>15359</v>
      </c>
      <c r="U2042" s="6"/>
      <c r="V2042" s="6"/>
      <c r="W2042" s="6"/>
      <c r="X2042" s="6"/>
      <c r="Y2042" s="4" t="s">
        <v>15360</v>
      </c>
      <c r="Z2042" s="6"/>
      <c r="AA2042" s="5" t="s">
        <v>15361</v>
      </c>
    </row>
    <row r="2043" ht="14.25">
      <c r="B2043" s="4" t="s">
        <v>15362</v>
      </c>
      <c r="C2043" s="4" t="s">
        <v>330</v>
      </c>
      <c r="D2043" s="4" t="s">
        <v>76</v>
      </c>
      <c r="E2043" s="4" t="s">
        <v>15363</v>
      </c>
      <c r="F2043" s="4" t="s">
        <v>7759</v>
      </c>
      <c r="G2043" s="4" t="s">
        <v>10659</v>
      </c>
      <c r="H2043" s="4" t="str">
        <f>IFERROR(__XLUDF.DUMMYFUNCTION("PROPER(REGEXREPLACE(G620,""[^A-Za-z]+ "",""""))"),"Vakom Le Sens De L'Humain")</f>
        <v xml:space="preserve">Vakom Le Sens De L'Humain</v>
      </c>
      <c r="I2043" s="5" t="s">
        <v>10660</v>
      </c>
      <c r="J2043" s="4" t="s">
        <v>731</v>
      </c>
      <c r="K2043" s="4" t="s">
        <v>9227</v>
      </c>
      <c r="L2043" s="4" t="s">
        <v>29</v>
      </c>
      <c r="M2043" s="4" t="s">
        <v>4067</v>
      </c>
      <c r="N2043" s="4" t="str">
        <f>IFERROR(__XLUDF.DUMMYFUNCTION("VLOOKUP(M620,IMPORTRANGE(""https://docs.google.com/spreadsheets/d/1opm6ZNvGZ7KditA9TuJwrZ25eFLfTNIkrNnY6mhV5Eg"",""list!A1:C115""),3,TRUE)"),"le secteur du conseil en management")</f>
        <v xml:space="preserve">le secteur du conseil en management</v>
      </c>
      <c r="O2043" s="4" t="s">
        <v>10662</v>
      </c>
      <c r="P2043" s="4">
        <v>49</v>
      </c>
      <c r="Q2043" s="4" t="s">
        <v>492</v>
      </c>
      <c r="R2043" s="4" t="s">
        <v>9267</v>
      </c>
      <c r="S2043" s="4" t="s">
        <v>29</v>
      </c>
      <c r="T2043" s="5" t="s">
        <v>10663</v>
      </c>
      <c r="U2043" s="6"/>
      <c r="V2043" s="5" t="s">
        <v>10664</v>
      </c>
      <c r="W2043" s="6"/>
      <c r="X2043" s="6"/>
      <c r="Y2043" s="4" t="s">
        <v>10665</v>
      </c>
      <c r="Z2043" s="6"/>
      <c r="AA2043" s="5" t="s">
        <v>15364</v>
      </c>
    </row>
    <row r="2044" ht="14.25">
      <c r="B2044" s="4" t="s">
        <v>15365</v>
      </c>
      <c r="C2044" s="4" t="s">
        <v>330</v>
      </c>
      <c r="D2044" s="4" t="s">
        <v>15366</v>
      </c>
      <c r="E2044" s="4" t="s">
        <v>15367</v>
      </c>
      <c r="F2044" s="4" t="s">
        <v>12122</v>
      </c>
      <c r="G2044" s="4" t="s">
        <v>15368</v>
      </c>
      <c r="H2044" s="4" t="str">
        <f>IFERROR(__XLUDF.DUMMYFUNCTION("PROPER(REGEXREPLACE(G621,""[^A-Za-z]+ "",""""))"),"Printsys")</f>
        <v>Printsys</v>
      </c>
      <c r="I2044" s="6"/>
      <c r="J2044" s="4" t="s">
        <v>13441</v>
      </c>
      <c r="K2044" s="4" t="s">
        <v>9350</v>
      </c>
      <c r="L2044" s="4" t="s">
        <v>29</v>
      </c>
      <c r="M2044" s="4" t="s">
        <v>4525</v>
      </c>
      <c r="N2044" s="4" t="str">
        <f>IFERROR(__XLUDF.DUMMYFUNCTION("VLOOKUP(M621,IMPORTRANGE(""https://docs.google.com/spreadsheets/d/1opm6ZNvGZ7KditA9TuJwrZ25eFLfTNIkrNnY6mhV5Eg"",""list!A1:C115""),3,TRUE)"),"le secteur du retail")</f>
        <v xml:space="preserve">le secteur du retail</v>
      </c>
      <c r="O2044" s="4" t="s">
        <v>15369</v>
      </c>
      <c r="P2044" s="4">
        <v>12</v>
      </c>
      <c r="Q2044" s="4" t="s">
        <v>15370</v>
      </c>
      <c r="R2044" s="4" t="s">
        <v>9350</v>
      </c>
      <c r="S2044" s="4" t="s">
        <v>29</v>
      </c>
      <c r="T2044" s="5" t="s">
        <v>15371</v>
      </c>
      <c r="U2044" s="6"/>
      <c r="V2044" s="6"/>
      <c r="W2044" s="6"/>
      <c r="X2044" s="6"/>
      <c r="Y2044" s="4" t="s">
        <v>15372</v>
      </c>
      <c r="Z2044" s="6"/>
      <c r="AA2044" s="5" t="s">
        <v>15373</v>
      </c>
    </row>
    <row r="2045" ht="14.25">
      <c r="B2045" s="4" t="s">
        <v>15374</v>
      </c>
      <c r="C2045" s="4" t="s">
        <v>330</v>
      </c>
      <c r="D2045" s="4" t="s">
        <v>15375</v>
      </c>
      <c r="E2045" s="4" t="s">
        <v>15376</v>
      </c>
      <c r="F2045" s="4" t="s">
        <v>112</v>
      </c>
      <c r="G2045" s="4" t="s">
        <v>15377</v>
      </c>
      <c r="H2045" s="4" t="str">
        <f>IFERROR(__XLUDF.DUMMYFUNCTION("PROPER(REGEXREPLACE(G622,""[^A-Za-z]+ "",""""))"),"Fives Prosim")</f>
        <v xml:space="preserve">Fives Prosim</v>
      </c>
      <c r="I2045" s="5" t="s">
        <v>15378</v>
      </c>
      <c r="J2045" s="4" t="s">
        <v>10699</v>
      </c>
      <c r="K2045" s="4" t="s">
        <v>9460</v>
      </c>
      <c r="L2045" s="4" t="s">
        <v>29</v>
      </c>
      <c r="M2045" s="4" t="s">
        <v>2602</v>
      </c>
      <c r="N2045" s="4" t="str">
        <f>IFERROR(__XLUDF.DUMMYFUNCTION("VLOOKUP(M622,IMPORTRANGE(""https://docs.google.com/spreadsheets/d/1opm6ZNvGZ7KditA9TuJwrZ25eFLfTNIkrNnY6mhV5Eg"",""list!A1:C115""),3,TRUE)"),"le secteur de la tech")</f>
        <v xml:space="preserve">le secteur de la tech</v>
      </c>
      <c r="O2045" s="4" t="s">
        <v>15379</v>
      </c>
      <c r="P2045" s="4">
        <v>28</v>
      </c>
      <c r="Q2045" s="4" t="s">
        <v>10699</v>
      </c>
      <c r="R2045" s="4" t="s">
        <v>9460</v>
      </c>
      <c r="S2045" s="4" t="s">
        <v>29</v>
      </c>
      <c r="T2045" s="5" t="s">
        <v>15380</v>
      </c>
      <c r="U2045" s="5" t="s">
        <v>15381</v>
      </c>
      <c r="V2045" s="6"/>
      <c r="W2045" s="6"/>
      <c r="X2045" s="6"/>
      <c r="Y2045" s="4" t="s">
        <v>15382</v>
      </c>
      <c r="Z2045" s="6"/>
      <c r="AA2045" s="5" t="s">
        <v>15383</v>
      </c>
    </row>
    <row r="2046" ht="14.25">
      <c r="B2046" s="4" t="s">
        <v>15384</v>
      </c>
      <c r="C2046" s="4" t="s">
        <v>330</v>
      </c>
      <c r="D2046" s="4" t="s">
        <v>15385</v>
      </c>
      <c r="E2046" s="4" t="s">
        <v>15386</v>
      </c>
      <c r="F2046" s="4" t="s">
        <v>7759</v>
      </c>
      <c r="G2046" s="4" t="s">
        <v>15387</v>
      </c>
      <c r="H2046" s="4" t="str">
        <f>IFERROR(__XLUDF.DUMMYFUNCTION("PROPER(REGEXREPLACE(G623,""[^A-Za-z]+ "",""""))"),"Accomplir")</f>
        <v>Accomplir</v>
      </c>
      <c r="I2046" s="5" t="s">
        <v>15388</v>
      </c>
      <c r="J2046" s="4" t="s">
        <v>1711</v>
      </c>
      <c r="K2046" s="4" t="s">
        <v>9350</v>
      </c>
      <c r="L2046" s="4" t="s">
        <v>29</v>
      </c>
      <c r="M2046" s="4" t="s">
        <v>4067</v>
      </c>
      <c r="N2046" s="4" t="str">
        <f>IFERROR(__XLUDF.DUMMYFUNCTION("VLOOKUP(M623,IMPORTRANGE(""https://docs.google.com/spreadsheets/d/1opm6ZNvGZ7KditA9TuJwrZ25eFLfTNIkrNnY6mhV5Eg"",""list!A1:C115""),3,TRUE)"),"le secteur du conseil en management")</f>
        <v xml:space="preserve">le secteur du conseil en management</v>
      </c>
      <c r="O2046" s="4" t="s">
        <v>15389</v>
      </c>
      <c r="P2046" s="4">
        <v>10</v>
      </c>
      <c r="Q2046" s="4" t="s">
        <v>1711</v>
      </c>
      <c r="R2046" s="4" t="s">
        <v>9350</v>
      </c>
      <c r="S2046" s="4" t="s">
        <v>29</v>
      </c>
      <c r="T2046" s="5" t="s">
        <v>15390</v>
      </c>
      <c r="U2046" s="6"/>
      <c r="V2046" s="6"/>
      <c r="W2046" s="6"/>
      <c r="X2046" s="6"/>
      <c r="Y2046" s="4" t="s">
        <v>15391</v>
      </c>
      <c r="Z2046" s="6"/>
      <c r="AA2046" s="5" t="s">
        <v>15392</v>
      </c>
    </row>
    <row r="2047" ht="14.25">
      <c r="B2047" s="4" t="s">
        <v>15393</v>
      </c>
      <c r="C2047" s="4" t="s">
        <v>330</v>
      </c>
      <c r="D2047" s="4" t="s">
        <v>15394</v>
      </c>
      <c r="E2047" s="4" t="s">
        <v>15395</v>
      </c>
      <c r="F2047" s="4" t="s">
        <v>15396</v>
      </c>
      <c r="G2047" s="5" t="s">
        <v>15397</v>
      </c>
      <c r="H2047" s="5" t="str">
        <f>IFERROR(__XLUDF.DUMMYFUNCTION("PROPER(REGEXREPLACE(G624,""[^A-Za-z]+ "",""""))"),"Circularity.Fr")</f>
        <v>Circularity.Fr</v>
      </c>
      <c r="I2047" s="5" t="s">
        <v>15398</v>
      </c>
      <c r="J2047" s="4" t="s">
        <v>39</v>
      </c>
      <c r="K2047" s="4" t="s">
        <v>9160</v>
      </c>
      <c r="L2047" s="4" t="s">
        <v>29</v>
      </c>
      <c r="M2047" s="4" t="s">
        <v>4067</v>
      </c>
      <c r="N2047" s="4" t="str">
        <f>IFERROR(__XLUDF.DUMMYFUNCTION("VLOOKUP(M624,IMPORTRANGE(""https://docs.google.com/spreadsheets/d/1opm6ZNvGZ7KditA9TuJwrZ25eFLfTNIkrNnY6mhV5Eg"",""list!A1:C115""),3,TRUE)"),"le secteur du conseil en management")</f>
        <v xml:space="preserve">le secteur du conseil en management</v>
      </c>
      <c r="O2047" s="4" t="s">
        <v>15399</v>
      </c>
      <c r="P2047" s="4">
        <v>35</v>
      </c>
      <c r="Q2047" s="4" t="s">
        <v>39</v>
      </c>
      <c r="R2047" s="4" t="s">
        <v>9160</v>
      </c>
      <c r="S2047" s="4" t="s">
        <v>29</v>
      </c>
      <c r="T2047" s="5" t="s">
        <v>15400</v>
      </c>
      <c r="U2047" s="6"/>
      <c r="V2047" s="6"/>
      <c r="W2047" s="6"/>
      <c r="X2047" s="6"/>
      <c r="Y2047" s="4" t="s">
        <v>15401</v>
      </c>
      <c r="Z2047" s="6"/>
      <c r="AA2047" s="5" t="s">
        <v>15402</v>
      </c>
    </row>
    <row r="2048" ht="14.25">
      <c r="B2048" s="4" t="s">
        <v>15403</v>
      </c>
      <c r="C2048" s="4" t="s">
        <v>330</v>
      </c>
      <c r="D2048" s="4" t="s">
        <v>15404</v>
      </c>
      <c r="E2048" s="4" t="s">
        <v>15405</v>
      </c>
      <c r="F2048" s="4" t="s">
        <v>15406</v>
      </c>
      <c r="G2048" s="4" t="s">
        <v>15407</v>
      </c>
      <c r="H2048" s="4" t="str">
        <f>IFERROR(__XLUDF.DUMMYFUNCTION("PROPER(REGEXREPLACE(G625,""[^A-Za-z]+ "",""""))"),"Fms Fermetures Menuiseries Schoch")</f>
        <v xml:space="preserve">Fms Fermetures Menuiseries Schoch</v>
      </c>
      <c r="I2048" s="5" t="s">
        <v>15408</v>
      </c>
      <c r="J2048" s="4" t="s">
        <v>651</v>
      </c>
      <c r="K2048" s="4" t="s">
        <v>9215</v>
      </c>
      <c r="L2048" s="4" t="s">
        <v>29</v>
      </c>
      <c r="M2048" s="4" t="s">
        <v>9239</v>
      </c>
      <c r="N2048" s="4" t="str">
        <f>IFERROR(__XLUDF.DUMMYFUNCTION("VLOOKUP(M625,IMPORTRANGE(""https://docs.google.com/spreadsheets/d/1opm6ZNvGZ7KditA9TuJwrZ25eFLfTNIkrNnY6mhV5Eg"",""list!A1:C115""),3,TRUE)"),"le secteur de la construction")</f>
        <v xml:space="preserve">le secteur de la construction</v>
      </c>
      <c r="O2048" s="4" t="s">
        <v>15409</v>
      </c>
      <c r="P2048" s="4">
        <v>41</v>
      </c>
      <c r="Q2048" s="4" t="s">
        <v>5742</v>
      </c>
      <c r="R2048" s="4" t="s">
        <v>9215</v>
      </c>
      <c r="S2048" s="4" t="s">
        <v>29</v>
      </c>
      <c r="T2048" s="5" t="s">
        <v>15410</v>
      </c>
      <c r="U2048" s="6"/>
      <c r="V2048" s="6"/>
      <c r="W2048" s="6"/>
      <c r="X2048" s="6"/>
      <c r="Y2048" s="4" t="s">
        <v>15411</v>
      </c>
      <c r="Z2048" s="6"/>
      <c r="AA2048" s="5" t="s">
        <v>15412</v>
      </c>
    </row>
    <row r="2049" ht="14.25">
      <c r="B2049" s="4" t="s">
        <v>15413</v>
      </c>
      <c r="C2049" s="4" t="s">
        <v>330</v>
      </c>
      <c r="D2049" s="4" t="s">
        <v>15414</v>
      </c>
      <c r="E2049" s="4" t="s">
        <v>15415</v>
      </c>
      <c r="F2049" s="4" t="s">
        <v>15416</v>
      </c>
      <c r="G2049" s="4" t="s">
        <v>15417</v>
      </c>
      <c r="H2049" s="4" t="str">
        <f>IFERROR(__XLUDF.DUMMYFUNCTION("PROPER(REGEXREPLACE(G626,""[^A-Za-z]+ "",""""))"),"Groupe Boulle")</f>
        <v xml:space="preserve">Groupe Boulle</v>
      </c>
      <c r="I2049" s="5" t="s">
        <v>15418</v>
      </c>
      <c r="J2049" s="4" t="s">
        <v>651</v>
      </c>
      <c r="K2049" s="4" t="s">
        <v>9215</v>
      </c>
      <c r="L2049" s="4" t="s">
        <v>29</v>
      </c>
      <c r="M2049" s="4" t="s">
        <v>4293</v>
      </c>
      <c r="N2049" s="4" t="str">
        <f>IFERROR(__XLUDF.DUMMYFUNCTION("VLOOKUP(M626,IMPORTRANGE(""https://docs.google.com/spreadsheets/d/1opm6ZNvGZ7KditA9TuJwrZ25eFLfTNIkrNnY6mhV5Eg"",""list!A1:C115""),3,TRUE)"),"le secteur de l'immobilier")</f>
        <v xml:space="preserve">le secteur de l'immobilier</v>
      </c>
      <c r="O2049" s="4" t="s">
        <v>15419</v>
      </c>
      <c r="P2049" s="4">
        <v>39</v>
      </c>
      <c r="Q2049" s="4" t="s">
        <v>15420</v>
      </c>
      <c r="R2049" s="4" t="s">
        <v>12581</v>
      </c>
      <c r="S2049" s="4" t="s">
        <v>29</v>
      </c>
      <c r="T2049" s="5" t="s">
        <v>15421</v>
      </c>
      <c r="U2049" s="6"/>
      <c r="V2049" s="5" t="s">
        <v>15422</v>
      </c>
      <c r="W2049" s="6"/>
      <c r="X2049" s="6"/>
      <c r="Y2049" s="4" t="s">
        <v>15423</v>
      </c>
      <c r="Z2049" s="6"/>
      <c r="AA2049" s="5" t="s">
        <v>15424</v>
      </c>
    </row>
    <row r="2050" ht="14.25">
      <c r="B2050" s="4" t="s">
        <v>15425</v>
      </c>
      <c r="C2050" s="4" t="s">
        <v>330</v>
      </c>
      <c r="D2050" s="4" t="s">
        <v>15426</v>
      </c>
      <c r="E2050" s="4" t="s">
        <v>15427</v>
      </c>
      <c r="F2050" s="4" t="s">
        <v>112</v>
      </c>
      <c r="G2050" s="4" t="s">
        <v>15428</v>
      </c>
      <c r="H2050" s="4" t="str">
        <f>IFERROR(__XLUDF.DUMMYFUNCTION("PROPER(REGEXREPLACE(G627,""[^A-Za-z]+ "",""""))"),"Dc2Scale")</f>
        <v>Dc2Scale</v>
      </c>
      <c r="I2050" s="5" t="s">
        <v>15429</v>
      </c>
      <c r="J2050" s="4" t="s">
        <v>15430</v>
      </c>
      <c r="K2050" s="4" t="s">
        <v>9227</v>
      </c>
      <c r="L2050" s="4" t="s">
        <v>29</v>
      </c>
      <c r="M2050" s="4" t="s">
        <v>9184</v>
      </c>
      <c r="N2050" s="4" t="str">
        <f>IFERROR(__XLUDF.DUMMYFUNCTION("VLOOKUP(M627,IMPORTRANGE(""https://docs.google.com/spreadsheets/d/1opm6ZNvGZ7KditA9TuJwrZ25eFLfTNIkrNnY6mhV5Eg"",""list!A1:C115""),3,TRUE)"),"le secteur des télécommunications")</f>
        <v xml:space="preserve">le secteur des télécommunications</v>
      </c>
      <c r="O2050" s="4" t="s">
        <v>15431</v>
      </c>
      <c r="P2050" s="4">
        <v>13</v>
      </c>
      <c r="Q2050" s="4" t="s">
        <v>13696</v>
      </c>
      <c r="R2050" s="4" t="s">
        <v>9160</v>
      </c>
      <c r="S2050" s="4" t="s">
        <v>29</v>
      </c>
      <c r="T2050" s="5" t="s">
        <v>15432</v>
      </c>
      <c r="U2050" s="6"/>
      <c r="V2050" s="6"/>
      <c r="W2050" s="6"/>
      <c r="X2050" s="6"/>
      <c r="Y2050" s="4" t="s">
        <v>15433</v>
      </c>
      <c r="Z2050" s="6"/>
      <c r="AA2050" s="5" t="s">
        <v>15434</v>
      </c>
    </row>
    <row r="2051" ht="14.25">
      <c r="B2051" s="4" t="s">
        <v>15435</v>
      </c>
      <c r="C2051" s="4" t="s">
        <v>15436</v>
      </c>
      <c r="D2051" s="4" t="s">
        <v>15437</v>
      </c>
      <c r="E2051" s="4" t="s">
        <v>15438</v>
      </c>
      <c r="F2051" s="4" t="s">
        <v>62</v>
      </c>
      <c r="G2051" s="4" t="s">
        <v>15439</v>
      </c>
      <c r="H2051" s="4" t="str">
        <f>IFERROR(__XLUDF.DUMMYFUNCTION("PROPER(REGEXREPLACE(G628,""[^A-Za-z]+ "",""""))"),"Wizya")</f>
        <v>Wizya</v>
      </c>
      <c r="I2051" s="5" t="s">
        <v>15440</v>
      </c>
      <c r="J2051" s="4" t="s">
        <v>39</v>
      </c>
      <c r="K2051" s="4" t="s">
        <v>9160</v>
      </c>
      <c r="L2051" s="4" t="s">
        <v>29</v>
      </c>
      <c r="M2051" s="4" t="s">
        <v>2602</v>
      </c>
      <c r="N2051" s="4" t="str">
        <f>IFERROR(__XLUDF.DUMMYFUNCTION("VLOOKUP(M628,IMPORTRANGE(""https://docs.google.com/spreadsheets/d/1opm6ZNvGZ7KditA9TuJwrZ25eFLfTNIkrNnY6mhV5Eg"",""list!A1:C115""),3,TRUE)"),"le secteur de la tech")</f>
        <v xml:space="preserve">le secteur de la tech</v>
      </c>
      <c r="O2051" s="4" t="s">
        <v>15441</v>
      </c>
      <c r="P2051" s="4">
        <v>26</v>
      </c>
      <c r="Q2051" s="4" t="s">
        <v>39</v>
      </c>
      <c r="R2051" s="4" t="s">
        <v>9160</v>
      </c>
      <c r="S2051" s="4" t="s">
        <v>29</v>
      </c>
      <c r="T2051" s="5" t="s">
        <v>15442</v>
      </c>
      <c r="U2051" s="6"/>
      <c r="V2051" s="6"/>
      <c r="W2051" s="6"/>
      <c r="X2051" s="6"/>
      <c r="Y2051" s="4" t="s">
        <v>15443</v>
      </c>
      <c r="Z2051" s="6"/>
      <c r="AA2051" s="5" t="s">
        <v>15444</v>
      </c>
    </row>
    <row r="2052" ht="14.25">
      <c r="B2052" s="4" t="s">
        <v>15445</v>
      </c>
      <c r="C2052" s="4" t="s">
        <v>330</v>
      </c>
      <c r="D2052" s="4" t="s">
        <v>15446</v>
      </c>
      <c r="E2052" s="4" t="s">
        <v>15447</v>
      </c>
      <c r="F2052" s="4" t="s">
        <v>112</v>
      </c>
      <c r="G2052" s="4" t="s">
        <v>15448</v>
      </c>
      <c r="H2052" s="4" t="str">
        <f>IFERROR(__XLUDF.DUMMYFUNCTION("PROPER(REGEXREPLACE(G629,""[^A-Za-z]+ "",""""))"),"Sequence Informatique")</f>
        <v xml:space="preserve">Sequence Informatique</v>
      </c>
      <c r="I2052" s="5" t="s">
        <v>15449</v>
      </c>
      <c r="J2052" s="4" t="s">
        <v>10327</v>
      </c>
      <c r="K2052" s="4" t="s">
        <v>9460</v>
      </c>
      <c r="L2052" s="4" t="s">
        <v>29</v>
      </c>
      <c r="M2052" s="4" t="s">
        <v>2602</v>
      </c>
      <c r="N2052" s="4" t="str">
        <f>IFERROR(__XLUDF.DUMMYFUNCTION("VLOOKUP(M629,IMPORTRANGE(""https://docs.google.com/spreadsheets/d/1opm6ZNvGZ7KditA9TuJwrZ25eFLfTNIkrNnY6mhV5Eg"",""list!A1:C115""),3,TRUE)"),"le secteur de la tech")</f>
        <v xml:space="preserve">le secteur de la tech</v>
      </c>
      <c r="O2052" s="4" t="s">
        <v>15450</v>
      </c>
      <c r="P2052" s="4">
        <v>33</v>
      </c>
      <c r="Q2052" s="4" t="s">
        <v>9403</v>
      </c>
      <c r="R2052" s="4" t="s">
        <v>9160</v>
      </c>
      <c r="S2052" s="4" t="s">
        <v>29</v>
      </c>
      <c r="T2052" s="5" t="s">
        <v>15451</v>
      </c>
      <c r="U2052" s="6"/>
      <c r="V2052" s="6"/>
      <c r="W2052" s="6"/>
      <c r="X2052" s="6"/>
      <c r="Y2052" s="4" t="s">
        <v>15452</v>
      </c>
      <c r="Z2052" s="6"/>
      <c r="AA2052" s="5" t="s">
        <v>15453</v>
      </c>
    </row>
    <row r="2053" ht="14.25">
      <c r="B2053" s="4" t="s">
        <v>15454</v>
      </c>
      <c r="C2053" s="4" t="s">
        <v>15455</v>
      </c>
      <c r="D2053" s="4" t="s">
        <v>15456</v>
      </c>
      <c r="E2053" s="4" t="s">
        <v>15457</v>
      </c>
      <c r="F2053" s="4" t="s">
        <v>15458</v>
      </c>
      <c r="G2053" s="4" t="s">
        <v>15459</v>
      </c>
      <c r="H2053" s="4" t="str">
        <f>IFERROR(__XLUDF.DUMMYFUNCTION("PROPER(REGEXREPLACE(G630,""[^A-Za-z]+ "",""""))"),"Reboot Conseil")</f>
        <v xml:space="preserve">Reboot Conseil</v>
      </c>
      <c r="I2053" s="5" t="s">
        <v>15460</v>
      </c>
      <c r="J2053" s="4" t="s">
        <v>651</v>
      </c>
      <c r="K2053" s="4" t="s">
        <v>9215</v>
      </c>
      <c r="L2053" s="4" t="s">
        <v>29</v>
      </c>
      <c r="M2053" s="4" t="s">
        <v>2602</v>
      </c>
      <c r="N2053" s="4" t="str">
        <f>IFERROR(__XLUDF.DUMMYFUNCTION("VLOOKUP(M630,IMPORTRANGE(""https://docs.google.com/spreadsheets/d/1opm6ZNvGZ7KditA9TuJwrZ25eFLfTNIkrNnY6mhV5Eg"",""list!A1:C115""),3,TRUE)"),"le secteur de la tech")</f>
        <v xml:space="preserve">le secteur de la tech</v>
      </c>
      <c r="O2053" s="4" t="s">
        <v>15461</v>
      </c>
      <c r="P2053" s="4">
        <v>36</v>
      </c>
      <c r="Q2053" s="4" t="s">
        <v>651</v>
      </c>
      <c r="R2053" s="4" t="s">
        <v>12581</v>
      </c>
      <c r="S2053" s="4" t="s">
        <v>29</v>
      </c>
      <c r="T2053" s="5" t="s">
        <v>15462</v>
      </c>
      <c r="U2053" s="6"/>
      <c r="V2053" s="6"/>
      <c r="W2053" s="6"/>
      <c r="X2053" s="6"/>
      <c r="Y2053" s="4" t="s">
        <v>15463</v>
      </c>
      <c r="Z2053" s="6"/>
      <c r="AA2053" s="5" t="s">
        <v>15464</v>
      </c>
    </row>
    <row r="2054" ht="14.25">
      <c r="B2054" s="4" t="s">
        <v>15465</v>
      </c>
      <c r="C2054" s="4" t="s">
        <v>15466</v>
      </c>
      <c r="D2054" s="4" t="s">
        <v>15467</v>
      </c>
      <c r="E2054" s="4" t="s">
        <v>15468</v>
      </c>
      <c r="F2054" s="4" t="s">
        <v>15469</v>
      </c>
      <c r="G2054" s="4" t="s">
        <v>15470</v>
      </c>
      <c r="H2054" s="4" t="str">
        <f>IFERROR(__XLUDF.DUMMYFUNCTION("PROPER(REGEXREPLACE(G631,""[^A-Za-z]+ "",""""))"),"Eurêka Agence D’Attractivitde L’Eure En Normandie")</f>
        <v xml:space="preserve">Eurêka Agence D’Attractivitde L’Eure En Normandie</v>
      </c>
      <c r="I2054" s="5" t="s">
        <v>15471</v>
      </c>
      <c r="J2054" s="4" t="s">
        <v>11084</v>
      </c>
      <c r="K2054" s="4" t="s">
        <v>9226</v>
      </c>
      <c r="L2054" s="4" t="s">
        <v>29</v>
      </c>
      <c r="M2054" s="4" t="s">
        <v>10639</v>
      </c>
      <c r="N2054" s="4" t="str">
        <f>IFERROR(__XLUDF.DUMMYFUNCTION("VLOOKUP(M631,IMPORTRANGE(""https://docs.google.com/spreadsheets/d/1opm6ZNvGZ7KditA9TuJwrZ25eFLfTNIkrNnY6mhV5Eg"",""list!A1:C115""),3,TRUE)"),"le secteur de la communication")</f>
        <v xml:space="preserve">le secteur de la communication</v>
      </c>
      <c r="O2054" s="6"/>
      <c r="P2054" s="4">
        <v>20</v>
      </c>
      <c r="Q2054" s="4" t="s">
        <v>11084</v>
      </c>
      <c r="R2054" s="4" t="s">
        <v>9226</v>
      </c>
      <c r="S2054" s="4" t="s">
        <v>29</v>
      </c>
      <c r="T2054" s="5" t="s">
        <v>15472</v>
      </c>
      <c r="U2054" s="5" t="s">
        <v>15473</v>
      </c>
      <c r="V2054" s="5" t="s">
        <v>15474</v>
      </c>
      <c r="W2054" s="6"/>
      <c r="X2054" s="6"/>
      <c r="Y2054" s="4" t="s">
        <v>15475</v>
      </c>
      <c r="Z2054" s="6"/>
      <c r="AA2054" s="5" t="s">
        <v>15476</v>
      </c>
    </row>
    <row r="2055" ht="14.25">
      <c r="B2055" s="4" t="s">
        <v>15477</v>
      </c>
      <c r="C2055" s="4" t="s">
        <v>15478</v>
      </c>
      <c r="D2055" s="4" t="s">
        <v>15479</v>
      </c>
      <c r="E2055" s="4" t="s">
        <v>15480</v>
      </c>
      <c r="F2055" s="4" t="s">
        <v>2911</v>
      </c>
      <c r="G2055" s="4" t="s">
        <v>15481</v>
      </c>
      <c r="H2055" s="4" t="str">
        <f>IFERROR(__XLUDF.DUMMYFUNCTION("PROPER(REGEXREPLACE(G632,""[^A-Za-z]+ "",""""))"),"Steerlab")</f>
        <v>Steerlab</v>
      </c>
      <c r="I2055" s="5" t="s">
        <v>15482</v>
      </c>
      <c r="J2055" s="4" t="s">
        <v>39</v>
      </c>
      <c r="K2055" s="4" t="s">
        <v>9160</v>
      </c>
      <c r="L2055" s="4" t="s">
        <v>29</v>
      </c>
      <c r="M2055" s="4" t="s">
        <v>2602</v>
      </c>
      <c r="N2055" s="4" t="str">
        <f>IFERROR(__XLUDF.DUMMYFUNCTION("VLOOKUP(M632,IMPORTRANGE(""https://docs.google.com/spreadsheets/d/1opm6ZNvGZ7KditA9TuJwrZ25eFLfTNIkrNnY6mhV5Eg"",""list!A1:C115""),3,TRUE)"),"le secteur de la tech")</f>
        <v xml:space="preserve">le secteur de la tech</v>
      </c>
      <c r="O2055" s="6"/>
      <c r="P2055" s="4">
        <v>11</v>
      </c>
      <c r="Q2055" s="6"/>
      <c r="R2055" s="6"/>
      <c r="S2055" s="6"/>
      <c r="T2055" s="5" t="s">
        <v>15483</v>
      </c>
      <c r="U2055" s="6"/>
      <c r="V2055" s="6"/>
      <c r="W2055" s="6"/>
      <c r="X2055" s="6"/>
      <c r="Y2055" s="4" t="s">
        <v>15484</v>
      </c>
      <c r="Z2055" s="6"/>
      <c r="AA2055" s="5" t="s">
        <v>15485</v>
      </c>
    </row>
    <row r="2056" ht="14.25">
      <c r="B2056" s="4" t="s">
        <v>15486</v>
      </c>
      <c r="C2056" s="4" t="s">
        <v>330</v>
      </c>
      <c r="D2056" s="4" t="s">
        <v>15487</v>
      </c>
      <c r="E2056" s="4" t="s">
        <v>15488</v>
      </c>
      <c r="F2056" s="4" t="s">
        <v>7759</v>
      </c>
      <c r="G2056" s="4" t="s">
        <v>15489</v>
      </c>
      <c r="H2056" s="4" t="str">
        <f>IFERROR(__XLUDF.DUMMYFUNCTION("PROPER(REGEXREPLACE(G633,""[^A-Za-z]+ "",""""))"),"Scob")</f>
        <v>Scob</v>
      </c>
      <c r="I2056" s="5" t="s">
        <v>15490</v>
      </c>
      <c r="J2056" s="4" t="s">
        <v>1826</v>
      </c>
      <c r="K2056" s="4" t="s">
        <v>9227</v>
      </c>
      <c r="L2056" s="4" t="s">
        <v>29</v>
      </c>
      <c r="M2056" s="4" t="s">
        <v>9239</v>
      </c>
      <c r="N2056" s="4" t="str">
        <f>IFERROR(__XLUDF.DUMMYFUNCTION("VLOOKUP(M633,IMPORTRANGE(""https://docs.google.com/spreadsheets/d/1opm6ZNvGZ7KditA9TuJwrZ25eFLfTNIkrNnY6mhV5Eg"",""list!A1:C115""),3,TRUE)"),"le secteur de la construction")</f>
        <v xml:space="preserve">le secteur de la construction</v>
      </c>
      <c r="O2056" s="4" t="s">
        <v>15491</v>
      </c>
      <c r="P2056" s="4">
        <v>50</v>
      </c>
      <c r="Q2056" s="4" t="s">
        <v>15492</v>
      </c>
      <c r="R2056" s="4" t="s">
        <v>9227</v>
      </c>
      <c r="S2056" s="4" t="s">
        <v>29</v>
      </c>
      <c r="T2056" s="5" t="s">
        <v>15493</v>
      </c>
      <c r="U2056" s="6"/>
      <c r="V2056" s="6"/>
      <c r="W2056" s="6"/>
      <c r="X2056" s="6"/>
      <c r="Y2056" s="4" t="s">
        <v>15494</v>
      </c>
      <c r="Z2056" s="6"/>
      <c r="AA2056" s="5" t="s">
        <v>15495</v>
      </c>
    </row>
    <row r="2057" ht="14.25">
      <c r="B2057" s="4" t="s">
        <v>15496</v>
      </c>
      <c r="C2057" s="4" t="s">
        <v>1215</v>
      </c>
      <c r="D2057" s="4" t="s">
        <v>15497</v>
      </c>
      <c r="E2057" s="4" t="s">
        <v>15498</v>
      </c>
      <c r="F2057" s="4" t="s">
        <v>1130</v>
      </c>
      <c r="G2057" s="4" t="s">
        <v>15499</v>
      </c>
      <c r="H2057" s="4" t="str">
        <f>IFERROR(__XLUDF.DUMMYFUNCTION("PROPER(REGEXREPLACE(G634,""[^A-Za-z]+ "",""""))"),"Novapage")</f>
        <v>Novapage</v>
      </c>
      <c r="I2057" s="5" t="s">
        <v>15500</v>
      </c>
      <c r="J2057" s="4" t="s">
        <v>11401</v>
      </c>
      <c r="K2057" s="4" t="s">
        <v>9460</v>
      </c>
      <c r="L2057" s="4" t="s">
        <v>29</v>
      </c>
      <c r="M2057" s="4" t="s">
        <v>4525</v>
      </c>
      <c r="N2057" s="4" t="str">
        <f>IFERROR(__XLUDF.DUMMYFUNCTION("VLOOKUP(M634,IMPORTRANGE(""https://docs.google.com/spreadsheets/d/1opm6ZNvGZ7KditA9TuJwrZ25eFLfTNIkrNnY6mhV5Eg"",""list!A1:C115""),3,TRUE)"),"le secteur du retail")</f>
        <v xml:space="preserve">le secteur du retail</v>
      </c>
      <c r="O2057" s="4" t="s">
        <v>15501</v>
      </c>
      <c r="P2057" s="4">
        <v>23</v>
      </c>
      <c r="Q2057" s="4" t="s">
        <v>11401</v>
      </c>
      <c r="R2057" s="4" t="s">
        <v>9463</v>
      </c>
      <c r="S2057" s="4" t="s">
        <v>29</v>
      </c>
      <c r="T2057" s="5" t="s">
        <v>15502</v>
      </c>
      <c r="U2057" s="6"/>
      <c r="V2057" s="6"/>
      <c r="W2057" s="6"/>
      <c r="X2057" s="6"/>
      <c r="Y2057" s="4" t="s">
        <v>15503</v>
      </c>
      <c r="Z2057" s="6"/>
      <c r="AA2057" s="5" t="s">
        <v>15504</v>
      </c>
    </row>
    <row r="2058" ht="14.25">
      <c r="B2058" s="4" t="s">
        <v>15505</v>
      </c>
      <c r="C2058" s="4" t="s">
        <v>866</v>
      </c>
      <c r="D2058" s="4" t="s">
        <v>15506</v>
      </c>
      <c r="E2058" s="4" t="s">
        <v>15507</v>
      </c>
      <c r="F2058" s="4" t="s">
        <v>265</v>
      </c>
      <c r="G2058" s="4" t="s">
        <v>15508</v>
      </c>
      <c r="H2058" s="4" t="str">
        <f>IFERROR(__XLUDF.DUMMYFUNCTION("PROPER(REGEXREPLACE(G635,""[^A-Za-z]+ "",""""))"),"Micr'Eau")</f>
        <v>Micr'Eau</v>
      </c>
      <c r="I2058" s="5" t="s">
        <v>15509</v>
      </c>
      <c r="J2058" s="4" t="s">
        <v>39</v>
      </c>
      <c r="K2058" s="4" t="s">
        <v>9160</v>
      </c>
      <c r="L2058" s="4" t="s">
        <v>29</v>
      </c>
      <c r="M2058" s="4" t="s">
        <v>4067</v>
      </c>
      <c r="N2058" s="4" t="str">
        <f>IFERROR(__XLUDF.DUMMYFUNCTION("VLOOKUP(M635,IMPORTRANGE(""https://docs.google.com/spreadsheets/d/1opm6ZNvGZ7KditA9TuJwrZ25eFLfTNIkrNnY6mhV5Eg"",""list!A1:C115""),3,TRUE)"),"le secteur du conseil en management")</f>
        <v xml:space="preserve">le secteur du conseil en management</v>
      </c>
      <c r="O2058" s="4" t="s">
        <v>15510</v>
      </c>
      <c r="P2058" s="4">
        <v>19</v>
      </c>
      <c r="Q2058" s="4" t="s">
        <v>39</v>
      </c>
      <c r="R2058" s="4" t="s">
        <v>9160</v>
      </c>
      <c r="S2058" s="4" t="s">
        <v>29</v>
      </c>
      <c r="T2058" s="5" t="s">
        <v>15511</v>
      </c>
      <c r="U2058" s="6"/>
      <c r="V2058" s="6"/>
      <c r="W2058" s="6"/>
      <c r="X2058" s="6"/>
      <c r="Y2058" s="4" t="s">
        <v>15512</v>
      </c>
      <c r="Z2058" s="6"/>
      <c r="AA2058" s="5" t="s">
        <v>15513</v>
      </c>
    </row>
    <row r="2059" ht="14.25">
      <c r="B2059" s="4" t="s">
        <v>15514</v>
      </c>
      <c r="C2059" s="4" t="s">
        <v>866</v>
      </c>
      <c r="D2059" s="4" t="s">
        <v>15515</v>
      </c>
      <c r="E2059" s="4" t="s">
        <v>15516</v>
      </c>
      <c r="F2059" s="4" t="s">
        <v>15517</v>
      </c>
      <c r="G2059" s="4" t="s">
        <v>15518</v>
      </c>
      <c r="H2059" s="4" t="str">
        <f>IFERROR(__XLUDF.DUMMYFUNCTION("PROPER(REGEXREPLACE(G636,""[^A-Za-z]+ "",""""))"),"Ffie")</f>
        <v>Ffie</v>
      </c>
      <c r="I2059" s="5" t="s">
        <v>15519</v>
      </c>
      <c r="J2059" s="4" t="s">
        <v>39</v>
      </c>
      <c r="K2059" s="4" t="s">
        <v>9160</v>
      </c>
      <c r="L2059" s="4" t="s">
        <v>29</v>
      </c>
      <c r="M2059" s="4" t="s">
        <v>9239</v>
      </c>
      <c r="N2059" s="4" t="str">
        <f>IFERROR(__XLUDF.DUMMYFUNCTION("VLOOKUP(M636,IMPORTRANGE(""https://docs.google.com/spreadsheets/d/1opm6ZNvGZ7KditA9TuJwrZ25eFLfTNIkrNnY6mhV5Eg"",""list!A1:C115""),3,TRUE)"),"le secteur de la construction")</f>
        <v xml:space="preserve">le secteur de la construction</v>
      </c>
      <c r="O2059" s="4" t="s">
        <v>15520</v>
      </c>
      <c r="P2059" s="4">
        <v>34</v>
      </c>
      <c r="Q2059" s="4" t="s">
        <v>39</v>
      </c>
      <c r="R2059" s="4" t="s">
        <v>9160</v>
      </c>
      <c r="S2059" s="4" t="s">
        <v>29</v>
      </c>
      <c r="T2059" s="5" t="s">
        <v>15521</v>
      </c>
      <c r="U2059" s="6"/>
      <c r="V2059" s="6"/>
      <c r="W2059" s="6"/>
      <c r="X2059" s="6"/>
      <c r="Y2059" s="4" t="s">
        <v>15522</v>
      </c>
      <c r="Z2059" s="6"/>
      <c r="AA2059" s="5" t="s">
        <v>15523</v>
      </c>
    </row>
    <row r="2060" ht="14.25">
      <c r="B2060" s="4" t="s">
        <v>15524</v>
      </c>
      <c r="C2060" s="4" t="s">
        <v>6634</v>
      </c>
      <c r="D2060" s="4" t="s">
        <v>15525</v>
      </c>
      <c r="E2060" s="4" t="s">
        <v>15526</v>
      </c>
      <c r="F2060" s="4" t="s">
        <v>15527</v>
      </c>
      <c r="G2060" s="4" t="s">
        <v>15528</v>
      </c>
      <c r="H2060" s="4" t="str">
        <f>IFERROR(__XLUDF.DUMMYFUNCTION("PROPER(REGEXREPLACE(G637,""[^A-Za-z]+ "",""""))"),"Adaliance")</f>
        <v>Adaliance</v>
      </c>
      <c r="I2060" s="5" t="s">
        <v>15529</v>
      </c>
      <c r="J2060" s="6"/>
      <c r="K2060" s="4" t="s">
        <v>9160</v>
      </c>
      <c r="L2060" s="4" t="s">
        <v>29</v>
      </c>
      <c r="M2060" s="4" t="s">
        <v>4067</v>
      </c>
      <c r="N2060" s="4" t="str">
        <f>IFERROR(__XLUDF.DUMMYFUNCTION("VLOOKUP(M637,IMPORTRANGE(""https://docs.google.com/spreadsheets/d/1opm6ZNvGZ7KditA9TuJwrZ25eFLfTNIkrNnY6mhV5Eg"",""list!A1:C115""),3,TRUE)"),"le secteur du conseil en management")</f>
        <v xml:space="preserve">le secteur du conseil en management</v>
      </c>
      <c r="O2060" s="4" t="s">
        <v>15530</v>
      </c>
      <c r="P2060" s="4">
        <v>15</v>
      </c>
      <c r="Q2060" s="4" t="s">
        <v>6603</v>
      </c>
      <c r="R2060" s="4" t="s">
        <v>9160</v>
      </c>
      <c r="S2060" s="4" t="s">
        <v>29</v>
      </c>
      <c r="T2060" s="5" t="s">
        <v>15531</v>
      </c>
      <c r="U2060" s="5" t="s">
        <v>15532</v>
      </c>
      <c r="V2060" s="6"/>
      <c r="W2060" s="6"/>
      <c r="X2060" s="6"/>
      <c r="Y2060" s="4" t="s">
        <v>15533</v>
      </c>
      <c r="Z2060" s="6"/>
      <c r="AA2060" s="5" t="s">
        <v>15534</v>
      </c>
    </row>
    <row r="2061" ht="14.25">
      <c r="B2061" s="4" t="s">
        <v>15535</v>
      </c>
      <c r="C2061" s="4" t="s">
        <v>866</v>
      </c>
      <c r="D2061" s="4" t="s">
        <v>15536</v>
      </c>
      <c r="E2061" s="4" t="s">
        <v>15537</v>
      </c>
      <c r="F2061" s="4" t="s">
        <v>7759</v>
      </c>
      <c r="G2061" s="4" t="s">
        <v>15538</v>
      </c>
      <c r="H2061" s="4" t="str">
        <f>IFERROR(__XLUDF.DUMMYFUNCTION("PROPER(REGEXREPLACE(G638,""[^A-Za-z]+ "",""""))"),"Exens Ingénierie")</f>
        <v xml:space="preserve">Exens Ingénierie</v>
      </c>
      <c r="I2061" s="5" t="s">
        <v>15539</v>
      </c>
      <c r="J2061" s="4" t="s">
        <v>185</v>
      </c>
      <c r="K2061" s="4" t="s">
        <v>9193</v>
      </c>
      <c r="L2061" s="4" t="s">
        <v>29</v>
      </c>
      <c r="M2061" s="4" t="s">
        <v>4067</v>
      </c>
      <c r="N2061" s="4" t="str">
        <f>IFERROR(__XLUDF.DUMMYFUNCTION("VLOOKUP(M638,IMPORTRANGE(""https://docs.google.com/spreadsheets/d/1opm6ZNvGZ7KditA9TuJwrZ25eFLfTNIkrNnY6mhV5Eg"",""list!A1:C115""),3,TRUE)"),"le secteur du conseil en management")</f>
        <v xml:space="preserve">le secteur du conseil en management</v>
      </c>
      <c r="O2061" s="4" t="s">
        <v>15540</v>
      </c>
      <c r="P2061" s="4">
        <v>15</v>
      </c>
      <c r="Q2061" s="4" t="s">
        <v>2174</v>
      </c>
      <c r="R2061" s="4" t="s">
        <v>9193</v>
      </c>
      <c r="S2061" s="4" t="s">
        <v>29</v>
      </c>
      <c r="T2061" s="5" t="s">
        <v>15541</v>
      </c>
      <c r="U2061" s="6"/>
      <c r="V2061" s="6"/>
      <c r="W2061" s="6"/>
      <c r="X2061" s="6"/>
      <c r="Y2061" s="4" t="s">
        <v>15542</v>
      </c>
      <c r="Z2061" s="6"/>
      <c r="AA2061" s="5" t="s">
        <v>15543</v>
      </c>
    </row>
    <row r="2062" ht="14.25">
      <c r="B2062" s="4" t="s">
        <v>15544</v>
      </c>
      <c r="C2062" s="4" t="s">
        <v>15545</v>
      </c>
      <c r="D2062" s="4" t="s">
        <v>7505</v>
      </c>
      <c r="E2062" s="4" t="s">
        <v>15546</v>
      </c>
      <c r="F2062" s="4" t="s">
        <v>2636</v>
      </c>
      <c r="G2062" s="4" t="s">
        <v>15547</v>
      </c>
      <c r="H2062" s="4" t="str">
        <f>IFERROR(__XLUDF.DUMMYFUNCTION("PROPER(REGEXREPLACE(G639,""[^A-Za-z]+ "",""""))"),"Aucae")</f>
        <v>Aucae</v>
      </c>
      <c r="I2062" s="5" t="s">
        <v>15548</v>
      </c>
      <c r="J2062" s="4" t="s">
        <v>83</v>
      </c>
      <c r="K2062" s="4" t="s">
        <v>9460</v>
      </c>
      <c r="L2062" s="4" t="s">
        <v>29</v>
      </c>
      <c r="M2062" s="4" t="s">
        <v>2602</v>
      </c>
      <c r="N2062" s="4" t="str">
        <f>IFERROR(__XLUDF.DUMMYFUNCTION("VLOOKUP(M639,IMPORTRANGE(""https://docs.google.com/spreadsheets/d/1opm6ZNvGZ7KditA9TuJwrZ25eFLfTNIkrNnY6mhV5Eg"",""list!A1:C115""),3,TRUE)"),"le secteur de la tech")</f>
        <v xml:space="preserve">le secteur de la tech</v>
      </c>
      <c r="O2062" s="6"/>
      <c r="P2062" s="4">
        <v>10</v>
      </c>
      <c r="Q2062" s="4" t="s">
        <v>83</v>
      </c>
      <c r="R2062" s="4" t="s">
        <v>9460</v>
      </c>
      <c r="S2062" s="4" t="s">
        <v>29</v>
      </c>
      <c r="T2062" s="5" t="s">
        <v>15549</v>
      </c>
      <c r="U2062" s="5" t="s">
        <v>15550</v>
      </c>
      <c r="V2062" s="6"/>
      <c r="W2062" s="6"/>
      <c r="X2062" s="6"/>
      <c r="Y2062" s="4" t="s">
        <v>15551</v>
      </c>
      <c r="Z2062" s="6"/>
      <c r="AA2062" s="5" t="s">
        <v>15552</v>
      </c>
    </row>
    <row r="2063" ht="14.25">
      <c r="B2063" s="4" t="s">
        <v>15553</v>
      </c>
      <c r="C2063" s="4" t="s">
        <v>3019</v>
      </c>
      <c r="D2063" s="4" t="s">
        <v>12852</v>
      </c>
      <c r="E2063" s="4" t="s">
        <v>15554</v>
      </c>
      <c r="F2063" s="4" t="s">
        <v>7759</v>
      </c>
      <c r="G2063" s="4" t="s">
        <v>15555</v>
      </c>
      <c r="H2063" s="4" t="str">
        <f>IFERROR(__XLUDF.DUMMYFUNCTION("PROPER(REGEXREPLACE(G640,""[^A-Za-z]+ "",""""))"),"Horizons-Group")</f>
        <v>Horizons-Group</v>
      </c>
      <c r="I2063" s="5" t="s">
        <v>15556</v>
      </c>
      <c r="J2063" s="4" t="s">
        <v>185</v>
      </c>
      <c r="K2063" s="4" t="s">
        <v>9193</v>
      </c>
      <c r="L2063" s="4" t="s">
        <v>29</v>
      </c>
      <c r="M2063" s="4" t="s">
        <v>2602</v>
      </c>
      <c r="N2063" s="4" t="str">
        <f>IFERROR(__XLUDF.DUMMYFUNCTION("VLOOKUP(M640,IMPORTRANGE(""https://docs.google.com/spreadsheets/d/1opm6ZNvGZ7KditA9TuJwrZ25eFLfTNIkrNnY6mhV5Eg"",""list!A1:C115""),3,TRUE)"),"le secteur de la tech")</f>
        <v xml:space="preserve">le secteur de la tech</v>
      </c>
      <c r="O2063" s="4" t="s">
        <v>15557</v>
      </c>
      <c r="P2063" s="4">
        <v>16</v>
      </c>
      <c r="Q2063" s="4" t="s">
        <v>15558</v>
      </c>
      <c r="R2063" s="4" t="s">
        <v>9193</v>
      </c>
      <c r="S2063" s="4" t="s">
        <v>29</v>
      </c>
      <c r="T2063" s="5" t="s">
        <v>15559</v>
      </c>
      <c r="U2063" s="5" t="s">
        <v>15560</v>
      </c>
      <c r="V2063" s="6"/>
      <c r="W2063" s="6"/>
      <c r="X2063" s="6"/>
      <c r="Y2063" s="4" t="s">
        <v>15561</v>
      </c>
      <c r="Z2063" s="6"/>
      <c r="AA2063" s="5" t="s">
        <v>15562</v>
      </c>
    </row>
    <row r="2064" ht="14.25">
      <c r="B2064" s="4" t="s">
        <v>15563</v>
      </c>
      <c r="C2064" s="4" t="s">
        <v>15564</v>
      </c>
      <c r="D2064" s="4" t="s">
        <v>15565</v>
      </c>
      <c r="E2064" s="4" t="s">
        <v>15566</v>
      </c>
      <c r="F2064" s="4" t="s">
        <v>15567</v>
      </c>
      <c r="G2064" s="4" t="s">
        <v>15568</v>
      </c>
      <c r="H2064" s="4" t="str">
        <f>IFERROR(__XLUDF.DUMMYFUNCTION("PROPER(REGEXREPLACE(G641,""[^A-Za-z]+ "",""""))"),"Tco")</f>
        <v>Tco</v>
      </c>
      <c r="I2064" s="5" t="s">
        <v>15569</v>
      </c>
      <c r="J2064" s="4" t="s">
        <v>185</v>
      </c>
      <c r="K2064" s="4" t="s">
        <v>9193</v>
      </c>
      <c r="L2064" s="4" t="s">
        <v>29</v>
      </c>
      <c r="M2064" s="4" t="s">
        <v>4067</v>
      </c>
      <c r="N2064" s="4" t="str">
        <f>IFERROR(__XLUDF.DUMMYFUNCTION("VLOOKUP(M641,IMPORTRANGE(""https://docs.google.com/spreadsheets/d/1opm6ZNvGZ7KditA9TuJwrZ25eFLfTNIkrNnY6mhV5Eg"",""list!A1:C115""),3,TRUE)"),"le secteur du conseil en management")</f>
        <v xml:space="preserve">le secteur du conseil en management</v>
      </c>
      <c r="O2064" s="4" t="s">
        <v>15570</v>
      </c>
      <c r="P2064" s="4">
        <v>12</v>
      </c>
      <c r="Q2064" s="4" t="s">
        <v>185</v>
      </c>
      <c r="R2064" s="4" t="s">
        <v>9193</v>
      </c>
      <c r="S2064" s="4" t="s">
        <v>29</v>
      </c>
      <c r="T2064" s="5" t="s">
        <v>15571</v>
      </c>
      <c r="U2064" s="6"/>
      <c r="V2064" s="5" t="s">
        <v>15572</v>
      </c>
      <c r="W2064" s="6"/>
      <c r="X2064" s="6"/>
      <c r="Y2064" s="4" t="s">
        <v>15573</v>
      </c>
      <c r="Z2064" s="6"/>
      <c r="AA2064" s="5" t="s">
        <v>15574</v>
      </c>
    </row>
    <row r="2065" ht="14.25">
      <c r="B2065" s="4" t="s">
        <v>15575</v>
      </c>
      <c r="C2065" s="4" t="s">
        <v>1596</v>
      </c>
      <c r="D2065" s="4" t="s">
        <v>15576</v>
      </c>
      <c r="E2065" s="4" t="s">
        <v>15577</v>
      </c>
      <c r="F2065" s="4" t="s">
        <v>15578</v>
      </c>
      <c r="G2065" s="4" t="s">
        <v>15579</v>
      </c>
      <c r="H2065" s="4" t="str">
        <f>IFERROR(__XLUDF.DUMMYFUNCTION("PROPER(REGEXREPLACE(G642,""[^A-Za-z]+ "",""""))"),"Pertimm")</f>
        <v>Pertimm</v>
      </c>
      <c r="I2065" s="5" t="s">
        <v>15580</v>
      </c>
      <c r="J2065" s="4" t="s">
        <v>39</v>
      </c>
      <c r="K2065" s="4" t="s">
        <v>9160</v>
      </c>
      <c r="L2065" s="4" t="s">
        <v>29</v>
      </c>
      <c r="M2065" s="4" t="s">
        <v>2602</v>
      </c>
      <c r="N2065" s="4" t="str">
        <f>IFERROR(__XLUDF.DUMMYFUNCTION("VLOOKUP(M642,IMPORTRANGE(""https://docs.google.com/spreadsheets/d/1opm6ZNvGZ7KditA9TuJwrZ25eFLfTNIkrNnY6mhV5Eg"",""list!A1:C115""),3,TRUE)"),"le secteur de la tech")</f>
        <v xml:space="preserve">le secteur de la tech</v>
      </c>
      <c r="O2065" s="4" t="s">
        <v>15581</v>
      </c>
      <c r="P2065" s="4">
        <v>11</v>
      </c>
      <c r="Q2065" s="4" t="s">
        <v>5668</v>
      </c>
      <c r="R2065" s="4" t="s">
        <v>9160</v>
      </c>
      <c r="S2065" s="4" t="s">
        <v>29</v>
      </c>
      <c r="T2065" s="5" t="s">
        <v>15582</v>
      </c>
      <c r="U2065" s="5" t="s">
        <v>15583</v>
      </c>
      <c r="V2065" s="5" t="s">
        <v>9981</v>
      </c>
      <c r="W2065" s="6"/>
      <c r="X2065" s="6"/>
      <c r="Y2065" s="4" t="s">
        <v>15584</v>
      </c>
      <c r="Z2065" s="6"/>
      <c r="AA2065" s="5" t="s">
        <v>15585</v>
      </c>
    </row>
    <row r="2066" ht="14.25">
      <c r="B2066" s="4" t="s">
        <v>15586</v>
      </c>
      <c r="C2066" s="4" t="s">
        <v>1596</v>
      </c>
      <c r="D2066" s="4" t="s">
        <v>15587</v>
      </c>
      <c r="E2066" s="4" t="s">
        <v>15588</v>
      </c>
      <c r="F2066" s="4" t="s">
        <v>7759</v>
      </c>
      <c r="G2066" s="4" t="s">
        <v>15589</v>
      </c>
      <c r="H2066" s="4" t="str">
        <f>IFERROR(__XLUDF.DUMMYFUNCTION("PROPER(REGEXREPLACE(G643,""[^A-Za-z]+ "",""""))"),"Robbe Menuiserie Domotique")</f>
        <v xml:space="preserve">Robbe Menuiserie Domotique</v>
      </c>
      <c r="I2066" s="5" t="s">
        <v>15590</v>
      </c>
      <c r="J2066" s="4" t="s">
        <v>15591</v>
      </c>
      <c r="K2066" s="4" t="s">
        <v>9281</v>
      </c>
      <c r="L2066" s="4" t="s">
        <v>29</v>
      </c>
      <c r="M2066" s="4" t="s">
        <v>9239</v>
      </c>
      <c r="N2066" s="4" t="str">
        <f>IFERROR(__XLUDF.DUMMYFUNCTION("VLOOKUP(M643,IMPORTRANGE(""https://docs.google.com/spreadsheets/d/1opm6ZNvGZ7KditA9TuJwrZ25eFLfTNIkrNnY6mhV5Eg"",""list!A1:C115""),3,TRUE)"),"le secteur de la construction")</f>
        <v xml:space="preserve">le secteur de la construction</v>
      </c>
      <c r="O2066" s="4" t="s">
        <v>15592</v>
      </c>
      <c r="P2066" s="4">
        <v>13</v>
      </c>
      <c r="Q2066" s="4" t="s">
        <v>15593</v>
      </c>
      <c r="R2066" s="4" t="s">
        <v>9281</v>
      </c>
      <c r="S2066" s="4" t="s">
        <v>29</v>
      </c>
      <c r="T2066" s="5" t="s">
        <v>15594</v>
      </c>
      <c r="U2066" s="6"/>
      <c r="V2066" s="6"/>
      <c r="W2066" s="6"/>
      <c r="X2066" s="6"/>
      <c r="Y2066" s="4" t="s">
        <v>15595</v>
      </c>
      <c r="Z2066" s="6"/>
      <c r="AA2066" s="5" t="s">
        <v>15596</v>
      </c>
    </row>
    <row r="2067" ht="14.25">
      <c r="B2067" s="4" t="s">
        <v>15597</v>
      </c>
      <c r="C2067" s="4" t="s">
        <v>1596</v>
      </c>
      <c r="D2067" s="4" t="s">
        <v>15598</v>
      </c>
      <c r="E2067" s="4" t="s">
        <v>15599</v>
      </c>
      <c r="F2067" s="4" t="s">
        <v>7759</v>
      </c>
      <c r="G2067" s="4" t="s">
        <v>15600</v>
      </c>
      <c r="H2067" s="4" t="str">
        <f>IFERROR(__XLUDF.DUMMYFUNCTION("PROPER(REGEXREPLACE(G644,""[^A-Za-z]+ "",""""))"),"Afcb")</f>
        <v>Afcb</v>
      </c>
      <c r="I2067" s="5" t="s">
        <v>15601</v>
      </c>
      <c r="J2067" s="4" t="s">
        <v>39</v>
      </c>
      <c r="K2067" s="4" t="s">
        <v>9160</v>
      </c>
      <c r="L2067" s="4" t="s">
        <v>29</v>
      </c>
      <c r="M2067" s="4" t="s">
        <v>4525</v>
      </c>
      <c r="N2067" s="4" t="str">
        <f>IFERROR(__XLUDF.DUMMYFUNCTION("VLOOKUP(M644,IMPORTRANGE(""https://docs.google.com/spreadsheets/d/1opm6ZNvGZ7KditA9TuJwrZ25eFLfTNIkrNnY6mhV5Eg"",""list!A1:C115""),3,TRUE)"),"le secteur du retail")</f>
        <v xml:space="preserve">le secteur du retail</v>
      </c>
      <c r="O2067" s="4" t="s">
        <v>15602</v>
      </c>
      <c r="P2067" s="4">
        <v>14</v>
      </c>
      <c r="Q2067" s="4" t="s">
        <v>8537</v>
      </c>
      <c r="R2067" s="4" t="s">
        <v>9160</v>
      </c>
      <c r="S2067" s="4" t="s">
        <v>29</v>
      </c>
      <c r="T2067" s="5" t="s">
        <v>15603</v>
      </c>
      <c r="U2067" s="5" t="s">
        <v>15604</v>
      </c>
      <c r="V2067" s="5" t="s">
        <v>15605</v>
      </c>
      <c r="W2067" s="6"/>
      <c r="X2067" s="6"/>
      <c r="Y2067" s="4" t="s">
        <v>15606</v>
      </c>
      <c r="Z2067" s="6"/>
      <c r="AA2067" s="5" t="s">
        <v>15607</v>
      </c>
    </row>
    <row r="2068" ht="14.25">
      <c r="B2068" s="4" t="s">
        <v>15608</v>
      </c>
      <c r="C2068" s="4" t="s">
        <v>1596</v>
      </c>
      <c r="D2068" s="4" t="s">
        <v>15609</v>
      </c>
      <c r="E2068" s="4" t="s">
        <v>15610</v>
      </c>
      <c r="F2068" s="4" t="s">
        <v>1130</v>
      </c>
      <c r="G2068" s="4" t="s">
        <v>15611</v>
      </c>
      <c r="H2068" s="4" t="str">
        <f>IFERROR(__XLUDF.DUMMYFUNCTION("PROPER(REGEXREPLACE(G645,""[^A-Za-z]+ "",""""))"),"Mcm")</f>
        <v>Mcm</v>
      </c>
      <c r="I2068" s="5" t="s">
        <v>15612</v>
      </c>
      <c r="J2068" s="4" t="s">
        <v>185</v>
      </c>
      <c r="K2068" s="4" t="s">
        <v>9193</v>
      </c>
      <c r="L2068" s="4" t="s">
        <v>29</v>
      </c>
      <c r="M2068" s="4" t="s">
        <v>4525</v>
      </c>
      <c r="N2068" s="4" t="str">
        <f>IFERROR(__XLUDF.DUMMYFUNCTION("VLOOKUP(M645,IMPORTRANGE(""https://docs.google.com/spreadsheets/d/1opm6ZNvGZ7KditA9TuJwrZ25eFLfTNIkrNnY6mhV5Eg"",""list!A1:C115""),3,TRUE)"),"le secteur du retail")</f>
        <v xml:space="preserve">le secteur du retail</v>
      </c>
      <c r="O2068" s="6"/>
      <c r="P2068" s="4">
        <v>10</v>
      </c>
      <c r="Q2068" s="4" t="s">
        <v>15613</v>
      </c>
      <c r="R2068" s="4" t="s">
        <v>9193</v>
      </c>
      <c r="S2068" s="4" t="s">
        <v>29</v>
      </c>
      <c r="T2068" s="5" t="s">
        <v>15614</v>
      </c>
      <c r="U2068" s="6"/>
      <c r="V2068" s="6"/>
      <c r="W2068" s="6"/>
      <c r="X2068" s="6"/>
      <c r="Y2068" s="4" t="s">
        <v>15615</v>
      </c>
      <c r="Z2068" s="6"/>
      <c r="AA2068" s="5" t="s">
        <v>15616</v>
      </c>
    </row>
    <row r="2069" ht="14.25">
      <c r="B2069" s="4" t="s">
        <v>15617</v>
      </c>
      <c r="C2069" s="4" t="s">
        <v>1596</v>
      </c>
      <c r="D2069" s="4" t="s">
        <v>15618</v>
      </c>
      <c r="E2069" s="4" t="s">
        <v>15619</v>
      </c>
      <c r="F2069" s="4" t="s">
        <v>15620</v>
      </c>
      <c r="G2069" s="4" t="s">
        <v>15621</v>
      </c>
      <c r="H2069" s="4" t="str">
        <f>IFERROR(__XLUDF.DUMMYFUNCTION("PROPER(REGEXREPLACE(G646,""[^A-Za-z]+ "",""""))"),"Galaed")</f>
        <v>Galaed</v>
      </c>
      <c r="I2069" s="5" t="s">
        <v>15622</v>
      </c>
      <c r="J2069" s="6"/>
      <c r="K2069" s="6"/>
      <c r="L2069" s="4" t="s">
        <v>29</v>
      </c>
      <c r="M2069" s="4" t="s">
        <v>10215</v>
      </c>
      <c r="N2069" s="4" t="str">
        <f>IFERROR(__XLUDF.DUMMYFUNCTION("VLOOKUP(M646,IMPORTRANGE(""https://docs.google.com/spreadsheets/d/1opm6ZNvGZ7KditA9TuJwrZ25eFLfTNIkrNnY6mhV5Eg"",""list!A1:C115""),3,TRUE)"),"le secteur de l'électrique et électronique")</f>
        <v xml:space="preserve">le secteur de l'électrique et électronique</v>
      </c>
      <c r="O2069" s="6"/>
      <c r="P2069" s="4">
        <v>24</v>
      </c>
      <c r="Q2069" s="4" t="s">
        <v>11191</v>
      </c>
      <c r="R2069" s="4" t="s">
        <v>9460</v>
      </c>
      <c r="S2069" s="4" t="s">
        <v>29</v>
      </c>
      <c r="T2069" s="5" t="s">
        <v>15623</v>
      </c>
      <c r="U2069" s="6"/>
      <c r="V2069" s="6"/>
      <c r="W2069" s="6"/>
      <c r="X2069" s="6"/>
      <c r="Y2069" s="4" t="s">
        <v>15624</v>
      </c>
      <c r="Z2069" s="6"/>
      <c r="AA2069" s="5" t="s">
        <v>15625</v>
      </c>
    </row>
    <row r="2070" ht="14.25">
      <c r="B2070" s="4" t="s">
        <v>15626</v>
      </c>
      <c r="C2070" s="4" t="s">
        <v>1387</v>
      </c>
      <c r="D2070" s="4" t="s">
        <v>8999</v>
      </c>
      <c r="E2070" s="4" t="s">
        <v>15627</v>
      </c>
      <c r="F2070" s="4" t="s">
        <v>9849</v>
      </c>
      <c r="G2070" s="4" t="s">
        <v>15628</v>
      </c>
      <c r="H2070" s="4" t="str">
        <f>IFERROR(__XLUDF.DUMMYFUNCTION("PROPER(REGEXREPLACE(G647,""[^A-Za-z]+ "",""""))"),"Begt")</f>
        <v>Begt</v>
      </c>
      <c r="I2070" s="5" t="s">
        <v>15629</v>
      </c>
      <c r="J2070" s="4" t="s">
        <v>10807</v>
      </c>
      <c r="K2070" s="4" t="s">
        <v>9281</v>
      </c>
      <c r="L2070" s="4" t="s">
        <v>29</v>
      </c>
      <c r="M2070" s="4" t="s">
        <v>9239</v>
      </c>
      <c r="N2070" s="4" t="str">
        <f>IFERROR(__XLUDF.DUMMYFUNCTION("VLOOKUP(M647,IMPORTRANGE(""https://docs.google.com/spreadsheets/d/1opm6ZNvGZ7KditA9TuJwrZ25eFLfTNIkrNnY6mhV5Eg"",""list!A1:C115""),3,TRUE)"),"le secteur de la construction")</f>
        <v xml:space="preserve">le secteur de la construction</v>
      </c>
      <c r="O2070" s="4" t="s">
        <v>15630</v>
      </c>
      <c r="P2070" s="4">
        <v>43</v>
      </c>
      <c r="Q2070" s="4" t="s">
        <v>10807</v>
      </c>
      <c r="R2070" s="4" t="s">
        <v>9731</v>
      </c>
      <c r="S2070" s="4" t="s">
        <v>29</v>
      </c>
      <c r="T2070" s="5" t="s">
        <v>15631</v>
      </c>
      <c r="U2070" s="6"/>
      <c r="V2070" s="6"/>
      <c r="W2070" s="6"/>
      <c r="X2070" s="6"/>
      <c r="Y2070" s="4" t="s">
        <v>15632</v>
      </c>
      <c r="Z2070" s="6"/>
      <c r="AA2070" s="5" t="s">
        <v>15633</v>
      </c>
    </row>
    <row r="2071" ht="14.25">
      <c r="B2071" s="4" t="s">
        <v>15634</v>
      </c>
      <c r="C2071" s="4" t="s">
        <v>1387</v>
      </c>
      <c r="D2071" s="4" t="s">
        <v>15635</v>
      </c>
      <c r="E2071" s="4" t="s">
        <v>15636</v>
      </c>
      <c r="F2071" s="4" t="s">
        <v>7185</v>
      </c>
      <c r="G2071" s="4" t="s">
        <v>15637</v>
      </c>
      <c r="H2071" s="4" t="str">
        <f>IFERROR(__XLUDF.DUMMYFUNCTION("PROPER(REGEXREPLACE(G648,""[^A-Za-z]+ "",""""))"),"Sereem")</f>
        <v>Sereem</v>
      </c>
      <c r="I2071" s="5" t="s">
        <v>15638</v>
      </c>
      <c r="J2071" s="4" t="s">
        <v>39</v>
      </c>
      <c r="K2071" s="4" t="s">
        <v>9160</v>
      </c>
      <c r="L2071" s="4" t="s">
        <v>29</v>
      </c>
      <c r="M2071" s="4" t="s">
        <v>10215</v>
      </c>
      <c r="N2071" s="4" t="str">
        <f>IFERROR(__XLUDF.DUMMYFUNCTION("VLOOKUP(M648,IMPORTRANGE(""https://docs.google.com/spreadsheets/d/1opm6ZNvGZ7KditA9TuJwrZ25eFLfTNIkrNnY6mhV5Eg"",""list!A1:C115""),3,TRUE)"),"le secteur de l'électrique et électronique")</f>
        <v xml:space="preserve">le secteur de l'électrique et électronique</v>
      </c>
      <c r="O2071" s="6"/>
      <c r="P2071" s="4">
        <v>10</v>
      </c>
      <c r="Q2071" s="4" t="s">
        <v>10141</v>
      </c>
      <c r="R2071" s="4" t="s">
        <v>9160</v>
      </c>
      <c r="S2071" s="4" t="s">
        <v>29</v>
      </c>
      <c r="T2071" s="5" t="s">
        <v>15639</v>
      </c>
      <c r="U2071" s="6"/>
      <c r="V2071" s="6"/>
      <c r="W2071" s="6"/>
      <c r="X2071" s="6"/>
      <c r="Y2071" s="4" t="s">
        <v>15640</v>
      </c>
      <c r="Z2071" s="6"/>
      <c r="AA2071" s="5" t="s">
        <v>15641</v>
      </c>
    </row>
    <row r="2072" ht="14.25">
      <c r="B2072" s="4" t="s">
        <v>15642</v>
      </c>
      <c r="C2072" s="4" t="s">
        <v>1387</v>
      </c>
      <c r="D2072" s="4" t="s">
        <v>15643</v>
      </c>
      <c r="E2072" s="4" t="s">
        <v>15644</v>
      </c>
      <c r="F2072" s="4" t="s">
        <v>1231</v>
      </c>
      <c r="G2072" s="4" t="s">
        <v>15645</v>
      </c>
      <c r="H2072" s="4" t="str">
        <f>IFERROR(__XLUDF.DUMMYFUNCTION("PROPER(REGEXREPLACE(G649,""[^A-Za-z]+ "",""""))"),"Lapala")</f>
        <v>Lapala</v>
      </c>
      <c r="I2072" s="5" t="s">
        <v>15646</v>
      </c>
      <c r="J2072" s="4" t="s">
        <v>39</v>
      </c>
      <c r="K2072" s="4" t="s">
        <v>9160</v>
      </c>
      <c r="L2072" s="4" t="s">
        <v>29</v>
      </c>
      <c r="M2072" s="4" t="s">
        <v>2602</v>
      </c>
      <c r="N2072" s="4" t="str">
        <f>IFERROR(__XLUDF.DUMMYFUNCTION("VLOOKUP(M649,IMPORTRANGE(""https://docs.google.com/spreadsheets/d/1opm6ZNvGZ7KditA9TuJwrZ25eFLfTNIkrNnY6mhV5Eg"",""list!A1:C115""),3,TRUE)"),"le secteur de la tech")</f>
        <v xml:space="preserve">le secteur de la tech</v>
      </c>
      <c r="O2072" s="4" t="s">
        <v>15647</v>
      </c>
      <c r="P2072" s="4">
        <v>10</v>
      </c>
      <c r="Q2072" s="4" t="s">
        <v>1826</v>
      </c>
      <c r="R2072" s="4" t="s">
        <v>9227</v>
      </c>
      <c r="S2072" s="4" t="s">
        <v>29</v>
      </c>
      <c r="T2072" s="5" t="s">
        <v>15648</v>
      </c>
      <c r="U2072" s="5" t="s">
        <v>15649</v>
      </c>
      <c r="V2072" s="6"/>
      <c r="W2072" s="6"/>
      <c r="X2072" s="6"/>
      <c r="Y2072" s="4" t="s">
        <v>15650</v>
      </c>
      <c r="Z2072" s="6"/>
      <c r="AA2072" s="5" t="s">
        <v>15651</v>
      </c>
    </row>
    <row r="2073" ht="14.25">
      <c r="B2073" s="4" t="s">
        <v>15652</v>
      </c>
      <c r="C2073" s="4" t="s">
        <v>1387</v>
      </c>
      <c r="D2073" s="4" t="s">
        <v>15653</v>
      </c>
      <c r="E2073" s="4" t="s">
        <v>15654</v>
      </c>
      <c r="F2073" s="4" t="s">
        <v>15655</v>
      </c>
      <c r="G2073" s="4" t="s">
        <v>15656</v>
      </c>
      <c r="H2073" s="4" t="str">
        <f>IFERROR(__XLUDF.DUMMYFUNCTION("PROPER(REGEXREPLACE(G650,""[^A-Za-z]+ "",""""))"),"Volta Software")</f>
        <v xml:space="preserve">Volta Software</v>
      </c>
      <c r="I2073" s="5" t="s">
        <v>15657</v>
      </c>
      <c r="J2073" s="4" t="s">
        <v>39</v>
      </c>
      <c r="K2073" s="4" t="s">
        <v>9160</v>
      </c>
      <c r="L2073" s="4" t="s">
        <v>29</v>
      </c>
      <c r="M2073" s="4" t="s">
        <v>2602</v>
      </c>
      <c r="N2073" s="4" t="str">
        <f>IFERROR(__XLUDF.DUMMYFUNCTION("VLOOKUP(M650,IMPORTRANGE(""https://docs.google.com/spreadsheets/d/1opm6ZNvGZ7KditA9TuJwrZ25eFLfTNIkrNnY6mhV5Eg"",""list!A1:C115""),3,TRUE)"),"le secteur de la tech")</f>
        <v xml:space="preserve">le secteur de la tech</v>
      </c>
      <c r="O2073" s="4" t="s">
        <v>15658</v>
      </c>
      <c r="P2073" s="4">
        <v>11</v>
      </c>
      <c r="Q2073" s="4" t="s">
        <v>12551</v>
      </c>
      <c r="R2073" s="4" t="s">
        <v>15659</v>
      </c>
      <c r="S2073" s="4" t="s">
        <v>2388</v>
      </c>
      <c r="T2073" s="5" t="s">
        <v>15660</v>
      </c>
      <c r="U2073" s="6"/>
      <c r="V2073" s="6"/>
      <c r="W2073" s="6"/>
      <c r="X2073" s="6"/>
      <c r="Y2073" s="4" t="s">
        <v>15661</v>
      </c>
      <c r="Z2073" s="6"/>
      <c r="AA2073" s="5" t="s">
        <v>15662</v>
      </c>
    </row>
    <row r="2074" ht="14.25">
      <c r="B2074" s="4" t="s">
        <v>15663</v>
      </c>
      <c r="C2074" s="4" t="s">
        <v>4236</v>
      </c>
      <c r="D2074" s="4" t="s">
        <v>7714</v>
      </c>
      <c r="E2074" s="4" t="s">
        <v>15664</v>
      </c>
      <c r="F2074" s="4" t="s">
        <v>164</v>
      </c>
      <c r="G2074" s="4" t="s">
        <v>15665</v>
      </c>
      <c r="H2074" s="4" t="str">
        <f>IFERROR(__XLUDF.DUMMYFUNCTION("PROPER(REGEXREPLACE(G651,""[^A-Za-z]+ "",""""))"),"Delaval")</f>
        <v>Delaval</v>
      </c>
      <c r="I2074" s="5" t="s">
        <v>15666</v>
      </c>
      <c r="J2074" s="4" t="s">
        <v>15667</v>
      </c>
      <c r="K2074" s="4" t="s">
        <v>9160</v>
      </c>
      <c r="L2074" s="4" t="s">
        <v>29</v>
      </c>
      <c r="M2074" s="4" t="s">
        <v>9239</v>
      </c>
      <c r="N2074" s="4" t="str">
        <f>IFERROR(__XLUDF.DUMMYFUNCTION("VLOOKUP(M651,IMPORTRANGE(""https://docs.google.com/spreadsheets/d/1opm6ZNvGZ7KditA9TuJwrZ25eFLfTNIkrNnY6mhV5Eg"",""list!A1:C115""),3,TRUE)"),"le secteur de la construction")</f>
        <v xml:space="preserve">le secteur de la construction</v>
      </c>
      <c r="O2074" s="4" t="s">
        <v>15668</v>
      </c>
      <c r="P2074" s="4">
        <v>35</v>
      </c>
      <c r="Q2074" s="4" t="s">
        <v>7827</v>
      </c>
      <c r="R2074" s="4" t="s">
        <v>9160</v>
      </c>
      <c r="S2074" s="4" t="s">
        <v>29</v>
      </c>
      <c r="T2074" s="5" t="s">
        <v>15669</v>
      </c>
      <c r="U2074" s="6"/>
      <c r="V2074" s="6"/>
      <c r="W2074" s="6"/>
      <c r="X2074" s="6"/>
      <c r="Y2074" s="4" t="s">
        <v>15670</v>
      </c>
      <c r="Z2074" s="6"/>
      <c r="AA2074" s="5" t="s">
        <v>15671</v>
      </c>
    </row>
    <row r="2075" ht="14.25">
      <c r="B2075" s="4" t="s">
        <v>15672</v>
      </c>
      <c r="C2075" s="4" t="s">
        <v>1215</v>
      </c>
      <c r="D2075" s="4" t="s">
        <v>15673</v>
      </c>
      <c r="E2075" s="4" t="s">
        <v>15674</v>
      </c>
      <c r="F2075" s="4" t="s">
        <v>7185</v>
      </c>
      <c r="G2075" s="4" t="s">
        <v>15675</v>
      </c>
      <c r="H2075" s="4" t="str">
        <f>IFERROR(__XLUDF.DUMMYFUNCTION("PROPER(REGEXREPLACE(G652,""[^A-Za-z]+ "",""""))"),"Weodeo")</f>
        <v>Weodeo</v>
      </c>
      <c r="I2075" s="5" t="s">
        <v>15676</v>
      </c>
      <c r="J2075" s="4" t="s">
        <v>39</v>
      </c>
      <c r="K2075" s="4" t="s">
        <v>9160</v>
      </c>
      <c r="L2075" s="4" t="s">
        <v>29</v>
      </c>
      <c r="M2075" s="4" t="s">
        <v>9264</v>
      </c>
      <c r="N2075" s="4" t="str">
        <f>IFERROR(__XLUDF.DUMMYFUNCTION("VLOOKUP(M652,IMPORTRANGE(""https://docs.google.com/spreadsheets/d/1opm6ZNvGZ7KditA9TuJwrZ25eFLfTNIkrNnY6mhV5Eg"",""list!A1:C115""),3,TRUE)"),"le secteur de la sécurité informatique")</f>
        <v xml:space="preserve">le secteur de la sécurité informatique</v>
      </c>
      <c r="O2075" s="4" t="s">
        <v>15677</v>
      </c>
      <c r="P2075" s="4">
        <v>14</v>
      </c>
      <c r="Q2075" s="4" t="s">
        <v>39</v>
      </c>
      <c r="R2075" s="4" t="s">
        <v>9160</v>
      </c>
      <c r="S2075" s="4" t="s">
        <v>29</v>
      </c>
      <c r="T2075" s="5" t="s">
        <v>15678</v>
      </c>
      <c r="U2075" s="6"/>
      <c r="V2075" s="6"/>
      <c r="W2075" s="6"/>
      <c r="X2075" s="6"/>
      <c r="Y2075" s="4" t="s">
        <v>15679</v>
      </c>
      <c r="Z2075" s="6"/>
      <c r="AA2075" s="5" t="s">
        <v>15680</v>
      </c>
    </row>
    <row r="2076" ht="14.25">
      <c r="B2076" s="4" t="s">
        <v>15681</v>
      </c>
      <c r="C2076" s="4" t="s">
        <v>485</v>
      </c>
      <c r="D2076" s="4" t="s">
        <v>15682</v>
      </c>
      <c r="E2076" s="4" t="s">
        <v>15683</v>
      </c>
      <c r="F2076" s="4" t="s">
        <v>7759</v>
      </c>
      <c r="G2076" s="4" t="s">
        <v>12833</v>
      </c>
      <c r="H2076" s="4" t="str">
        <f>IFERROR(__XLUDF.DUMMYFUNCTION("PROPER(REGEXREPLACE(G653,""[^A-Za-z]+ "",""""))"),"Ambois")</f>
        <v>Ambois</v>
      </c>
      <c r="I2076" s="5" t="s">
        <v>12834</v>
      </c>
      <c r="J2076" s="6"/>
      <c r="K2076" s="6"/>
      <c r="L2076" s="4" t="s">
        <v>29</v>
      </c>
      <c r="M2076" s="4" t="s">
        <v>9239</v>
      </c>
      <c r="N2076" s="4" t="str">
        <f>IFERROR(__XLUDF.DUMMYFUNCTION("VLOOKUP(M653,IMPORTRANGE(""https://docs.google.com/spreadsheets/d/1opm6ZNvGZ7KditA9TuJwrZ25eFLfTNIkrNnY6mhV5Eg"",""list!A1:C115""),3,TRUE)"),"le secteur de la construction")</f>
        <v xml:space="preserve">le secteur de la construction</v>
      </c>
      <c r="O2076" s="4" t="s">
        <v>12836</v>
      </c>
      <c r="P2076" s="4">
        <v>12</v>
      </c>
      <c r="Q2076" s="4" t="s">
        <v>12837</v>
      </c>
      <c r="R2076" s="4" t="s">
        <v>9281</v>
      </c>
      <c r="S2076" s="4" t="s">
        <v>29</v>
      </c>
      <c r="T2076" s="5" t="s">
        <v>12838</v>
      </c>
      <c r="U2076" s="6"/>
      <c r="V2076" s="6"/>
      <c r="W2076" s="6"/>
      <c r="X2076" s="6"/>
      <c r="Y2076" s="4" t="s">
        <v>12839</v>
      </c>
      <c r="Z2076" s="6"/>
      <c r="AA2076" s="5" t="s">
        <v>15684</v>
      </c>
    </row>
    <row r="2077" ht="14.25">
      <c r="B2077" s="4" t="s">
        <v>15685</v>
      </c>
      <c r="C2077" s="4" t="s">
        <v>1596</v>
      </c>
      <c r="D2077" s="4" t="s">
        <v>15686</v>
      </c>
      <c r="E2077" s="4" t="s">
        <v>15687</v>
      </c>
      <c r="F2077" s="4" t="s">
        <v>1130</v>
      </c>
      <c r="G2077" s="4" t="s">
        <v>15688</v>
      </c>
      <c r="H2077" s="4" t="str">
        <f>IFERROR(__XLUDF.DUMMYFUNCTION("PROPER(REGEXREPLACE(G654,""[^A-Za-z]+ "",""""))"),"Partner Talent")</f>
        <v xml:space="preserve">Partner Talent</v>
      </c>
      <c r="I2077" s="5" t="s">
        <v>15689</v>
      </c>
      <c r="J2077" s="4" t="s">
        <v>846</v>
      </c>
      <c r="K2077" s="4" t="s">
        <v>9278</v>
      </c>
      <c r="L2077" s="4" t="s">
        <v>29</v>
      </c>
      <c r="M2077" s="4" t="s">
        <v>2602</v>
      </c>
      <c r="N2077" s="4" t="str">
        <f>IFERROR(__XLUDF.DUMMYFUNCTION("VLOOKUP(M654,IMPORTRANGE(""https://docs.google.com/spreadsheets/d/1opm6ZNvGZ7KditA9TuJwrZ25eFLfTNIkrNnY6mhV5Eg"",""list!A1:C115""),3,TRUE)"),"le secteur de la tech")</f>
        <v xml:space="preserve">le secteur de la tech</v>
      </c>
      <c r="O2077" s="4" t="s">
        <v>15690</v>
      </c>
      <c r="P2077" s="4">
        <v>10</v>
      </c>
      <c r="Q2077" s="4" t="s">
        <v>846</v>
      </c>
      <c r="R2077" s="4" t="s">
        <v>9278</v>
      </c>
      <c r="S2077" s="4" t="s">
        <v>29</v>
      </c>
      <c r="T2077" s="5" t="s">
        <v>15691</v>
      </c>
      <c r="U2077" s="5" t="s">
        <v>15692</v>
      </c>
      <c r="V2077" s="6"/>
      <c r="W2077" s="6"/>
      <c r="X2077" s="6"/>
      <c r="Y2077" s="4" t="s">
        <v>15693</v>
      </c>
      <c r="Z2077" s="6"/>
      <c r="AA2077" s="5" t="s">
        <v>15694</v>
      </c>
    </row>
    <row r="2078" ht="14.25">
      <c r="B2078" s="4" t="s">
        <v>15695</v>
      </c>
      <c r="C2078" s="4" t="s">
        <v>222</v>
      </c>
      <c r="D2078" s="4" t="s">
        <v>15696</v>
      </c>
      <c r="E2078" s="4" t="s">
        <v>15697</v>
      </c>
      <c r="F2078" s="4" t="s">
        <v>172</v>
      </c>
      <c r="G2078" s="4" t="s">
        <v>15698</v>
      </c>
      <c r="H2078" s="4" t="str">
        <f>IFERROR(__XLUDF.DUMMYFUNCTION("PROPER(REGEXREPLACE(G655,""[^A-Za-z]+ "",""""))"),"Oz Alu")</f>
        <v xml:space="preserve">Oz Alu</v>
      </c>
      <c r="I2078" s="5" t="s">
        <v>15699</v>
      </c>
      <c r="J2078" s="4" t="s">
        <v>6480</v>
      </c>
      <c r="K2078" s="4" t="s">
        <v>9281</v>
      </c>
      <c r="L2078" s="4" t="s">
        <v>29</v>
      </c>
      <c r="M2078" s="4" t="s">
        <v>4525</v>
      </c>
      <c r="N2078" s="4" t="str">
        <f>IFERROR(__XLUDF.DUMMYFUNCTION("VLOOKUP(M655,IMPORTRANGE(""https://docs.google.com/spreadsheets/d/1opm6ZNvGZ7KditA9TuJwrZ25eFLfTNIkrNnY6mhV5Eg"",""list!A1:C115""),3,TRUE)"),"le secteur du retail")</f>
        <v xml:space="preserve">le secteur du retail</v>
      </c>
      <c r="O2078" s="6"/>
      <c r="P2078" s="4">
        <v>18</v>
      </c>
      <c r="Q2078" s="4" t="s">
        <v>6480</v>
      </c>
      <c r="R2078" s="4" t="s">
        <v>9281</v>
      </c>
      <c r="S2078" s="4" t="s">
        <v>29</v>
      </c>
      <c r="T2078" s="5" t="s">
        <v>15700</v>
      </c>
      <c r="U2078" s="6"/>
      <c r="V2078" s="6"/>
      <c r="W2078" s="6"/>
      <c r="X2078" s="6"/>
      <c r="Y2078" s="4" t="s">
        <v>15701</v>
      </c>
      <c r="Z2078" s="6"/>
      <c r="AA2078" s="5" t="s">
        <v>15702</v>
      </c>
    </row>
    <row r="2079" ht="14.25">
      <c r="B2079" s="4" t="s">
        <v>15703</v>
      </c>
      <c r="C2079" s="4" t="s">
        <v>76</v>
      </c>
      <c r="D2079" s="4" t="s">
        <v>11439</v>
      </c>
      <c r="E2079" s="4" t="s">
        <v>15704</v>
      </c>
      <c r="F2079" s="4" t="s">
        <v>112</v>
      </c>
      <c r="G2079" s="4" t="s">
        <v>15705</v>
      </c>
      <c r="H2079" s="4" t="str">
        <f>IFERROR(__XLUDF.DUMMYFUNCTION("PROPER(REGEXREPLACE(G656,""[^A-Za-z]+ "",""""))"),"Sbi")</f>
        <v>Sbi</v>
      </c>
      <c r="I2079" s="5" t="s">
        <v>15706</v>
      </c>
      <c r="J2079" s="4" t="s">
        <v>39</v>
      </c>
      <c r="K2079" s="4" t="s">
        <v>9160</v>
      </c>
      <c r="L2079" s="4" t="s">
        <v>29</v>
      </c>
      <c r="M2079" s="4" t="s">
        <v>10167</v>
      </c>
      <c r="N2079" s="4" t="str">
        <f>IFERROR(__XLUDF.DUMMYFUNCTION("VLOOKUP(M656,IMPORTRANGE(""https://docs.google.com/spreadsheets/d/1opm6ZNvGZ7KditA9TuJwrZ25eFLfTNIkrNnY6mhV5Eg"",""list!A1:C115""),3,TRUE)"),"le secteur de l'architecture et de l'urbanisme")</f>
        <v xml:space="preserve">le secteur de l'architecture et de l'urbanisme</v>
      </c>
      <c r="O2079" s="4" t="s">
        <v>15707</v>
      </c>
      <c r="P2079" s="4">
        <v>11</v>
      </c>
      <c r="Q2079" s="4" t="s">
        <v>15708</v>
      </c>
      <c r="R2079" s="4" t="s">
        <v>9160</v>
      </c>
      <c r="S2079" s="4" t="s">
        <v>29</v>
      </c>
      <c r="T2079" s="5" t="s">
        <v>15709</v>
      </c>
      <c r="U2079" s="6"/>
      <c r="V2079" s="5" t="s">
        <v>15710</v>
      </c>
      <c r="W2079" s="6"/>
      <c r="X2079" s="6"/>
      <c r="Y2079" s="4" t="s">
        <v>15711</v>
      </c>
      <c r="Z2079" s="6"/>
      <c r="AA2079" s="5" t="s">
        <v>15712</v>
      </c>
    </row>
    <row r="2080" ht="14.25">
      <c r="B2080" s="4" t="s">
        <v>15713</v>
      </c>
      <c r="C2080" s="4" t="s">
        <v>1215</v>
      </c>
      <c r="D2080" s="4" t="s">
        <v>9996</v>
      </c>
      <c r="E2080" s="4" t="s">
        <v>15714</v>
      </c>
      <c r="F2080" s="4" t="s">
        <v>15715</v>
      </c>
      <c r="G2080" s="4" t="s">
        <v>9999</v>
      </c>
      <c r="H2080" s="4" t="str">
        <f>IFERROR(__XLUDF.DUMMYFUNCTION("PROPER(REGEXREPLACE(G657,""[^A-Za-z]+ "",""""))"),"Hpdia")</f>
        <v>Hpdia</v>
      </c>
      <c r="I2080" s="5" t="s">
        <v>10000</v>
      </c>
      <c r="J2080" s="4" t="s">
        <v>1015</v>
      </c>
      <c r="K2080" s="4" t="s">
        <v>9251</v>
      </c>
      <c r="L2080" s="4" t="s">
        <v>29</v>
      </c>
      <c r="M2080" s="4" t="s">
        <v>2602</v>
      </c>
      <c r="N2080" s="4" t="str">
        <f>IFERROR(__XLUDF.DUMMYFUNCTION("VLOOKUP(M657,IMPORTRANGE(""https://docs.google.com/spreadsheets/d/1opm6ZNvGZ7KditA9TuJwrZ25eFLfTNIkrNnY6mhV5Eg"",""list!A1:C115""),3,TRUE)"),"le secteur de la tech")</f>
        <v xml:space="preserve">le secteur de la tech</v>
      </c>
      <c r="O2080" s="6"/>
      <c r="P2080" s="4">
        <v>11</v>
      </c>
      <c r="Q2080" s="4" t="s">
        <v>1015</v>
      </c>
      <c r="R2080" s="4" t="s">
        <v>9251</v>
      </c>
      <c r="S2080" s="4" t="s">
        <v>29</v>
      </c>
      <c r="T2080" s="5" t="s">
        <v>10001</v>
      </c>
      <c r="U2080" s="6"/>
      <c r="V2080" s="6"/>
      <c r="W2080" s="6"/>
      <c r="X2080" s="6"/>
      <c r="Y2080" s="4" t="s">
        <v>10002</v>
      </c>
      <c r="Z2080" s="6"/>
      <c r="AA2080" s="5" t="s">
        <v>15716</v>
      </c>
    </row>
    <row r="2081" ht="14.25">
      <c r="B2081" s="4" t="s">
        <v>15717</v>
      </c>
      <c r="C2081" s="4" t="s">
        <v>1215</v>
      </c>
      <c r="D2081" s="4" t="s">
        <v>15718</v>
      </c>
      <c r="E2081" s="4" t="s">
        <v>15719</v>
      </c>
      <c r="F2081" s="4" t="s">
        <v>7759</v>
      </c>
      <c r="G2081" s="4" t="s">
        <v>15720</v>
      </c>
      <c r="H2081" s="4" t="str">
        <f>IFERROR(__XLUDF.DUMMYFUNCTION("PROPER(REGEXREPLACE(G658,""[^A-Za-z]+ "",""""))"),"Covateam")</f>
        <v>Covateam</v>
      </c>
      <c r="I2081" s="5" t="s">
        <v>15721</v>
      </c>
      <c r="J2081" s="4" t="s">
        <v>15722</v>
      </c>
      <c r="K2081" s="4" t="s">
        <v>9193</v>
      </c>
      <c r="L2081" s="4" t="s">
        <v>29</v>
      </c>
      <c r="M2081" s="4" t="s">
        <v>2602</v>
      </c>
      <c r="N2081" s="4" t="str">
        <f>IFERROR(__XLUDF.DUMMYFUNCTION("VLOOKUP(M658,IMPORTRANGE(""https://docs.google.com/spreadsheets/d/1opm6ZNvGZ7KditA9TuJwrZ25eFLfTNIkrNnY6mhV5Eg"",""list!A1:C115""),3,TRUE)"),"le secteur de la tech")</f>
        <v xml:space="preserve">le secteur de la tech</v>
      </c>
      <c r="O2081" s="4" t="s">
        <v>15723</v>
      </c>
      <c r="P2081" s="4">
        <v>12</v>
      </c>
      <c r="Q2081" s="4" t="s">
        <v>15724</v>
      </c>
      <c r="R2081" s="4" t="s">
        <v>9193</v>
      </c>
      <c r="S2081" s="4" t="s">
        <v>29</v>
      </c>
      <c r="T2081" s="5" t="s">
        <v>15725</v>
      </c>
      <c r="U2081" s="6"/>
      <c r="V2081" s="6"/>
      <c r="W2081" s="6"/>
      <c r="X2081" s="6"/>
      <c r="Y2081" s="4" t="s">
        <v>15726</v>
      </c>
      <c r="Z2081" s="6"/>
      <c r="AA2081" s="5" t="s">
        <v>15727</v>
      </c>
    </row>
    <row r="2082" ht="14.25">
      <c r="B2082" s="4" t="s">
        <v>15728</v>
      </c>
      <c r="C2082" s="4" t="s">
        <v>1215</v>
      </c>
      <c r="D2082" s="4" t="s">
        <v>15729</v>
      </c>
      <c r="E2082" s="4" t="s">
        <v>15730</v>
      </c>
      <c r="F2082" s="4" t="s">
        <v>15731</v>
      </c>
      <c r="G2082" s="4" t="s">
        <v>15732</v>
      </c>
      <c r="H2082" s="4" t="str">
        <f>IFERROR(__XLUDF.DUMMYFUNCTION("PROPER(REGEXREPLACE(G659,""[^A-Za-z]+ "",""""))"),"Telemedicine Technologies")</f>
        <v xml:space="preserve">Telemedicine Technologies</v>
      </c>
      <c r="I2082" s="5" t="s">
        <v>15733</v>
      </c>
      <c r="J2082" s="4" t="s">
        <v>6603</v>
      </c>
      <c r="K2082" s="4" t="s">
        <v>9160</v>
      </c>
      <c r="L2082" s="4" t="s">
        <v>29</v>
      </c>
      <c r="M2082" s="4" t="s">
        <v>2602</v>
      </c>
      <c r="N2082" s="4" t="str">
        <f>IFERROR(__XLUDF.DUMMYFUNCTION("VLOOKUP(M659,IMPORTRANGE(""https://docs.google.com/spreadsheets/d/1opm6ZNvGZ7KditA9TuJwrZ25eFLfTNIkrNnY6mhV5Eg"",""list!A1:C115""),3,TRUE)"),"le secteur de la tech")</f>
        <v xml:space="preserve">le secteur de la tech</v>
      </c>
      <c r="O2082" s="4" t="s">
        <v>15734</v>
      </c>
      <c r="P2082" s="4">
        <v>33</v>
      </c>
      <c r="Q2082" s="4" t="s">
        <v>6603</v>
      </c>
      <c r="R2082" s="4" t="s">
        <v>9160</v>
      </c>
      <c r="S2082" s="4" t="s">
        <v>29</v>
      </c>
      <c r="T2082" s="5" t="s">
        <v>15735</v>
      </c>
      <c r="U2082" s="5" t="s">
        <v>15736</v>
      </c>
      <c r="V2082" s="5" t="s">
        <v>15737</v>
      </c>
      <c r="W2082" s="6"/>
      <c r="X2082" s="6"/>
      <c r="Y2082" s="4" t="s">
        <v>15738</v>
      </c>
      <c r="Z2082" s="6"/>
      <c r="AA2082" s="5" t="s">
        <v>15739</v>
      </c>
    </row>
    <row r="2083" ht="14.25">
      <c r="B2083" s="4" t="s">
        <v>15740</v>
      </c>
      <c r="C2083" s="4" t="s">
        <v>1215</v>
      </c>
      <c r="D2083" s="4" t="s">
        <v>15741</v>
      </c>
      <c r="E2083" s="4" t="s">
        <v>15742</v>
      </c>
      <c r="F2083" s="4" t="s">
        <v>7759</v>
      </c>
      <c r="G2083" s="4" t="s">
        <v>15743</v>
      </c>
      <c r="H2083" s="4" t="str">
        <f>IFERROR(__XLUDF.DUMMYFUNCTION("PROPER(REGEXREPLACE(G660,""[^A-Za-z]+ "",""""))"),"Toptech France")</f>
        <v xml:space="preserve">Toptech France</v>
      </c>
      <c r="I2083" s="4" t="s">
        <v>15744</v>
      </c>
      <c r="J2083" s="6"/>
      <c r="K2083" s="6"/>
      <c r="L2083" s="4" t="s">
        <v>29</v>
      </c>
      <c r="M2083" s="4" t="s">
        <v>4067</v>
      </c>
      <c r="N2083" s="4" t="str">
        <f>IFERROR(__XLUDF.DUMMYFUNCTION("VLOOKUP(M660,IMPORTRANGE(""https://docs.google.com/spreadsheets/d/1opm6ZNvGZ7KditA9TuJwrZ25eFLfTNIkrNnY6mhV5Eg"",""list!A1:C115""),3,TRUE)"),"le secteur du conseil en management")</f>
        <v xml:space="preserve">le secteur du conseil en management</v>
      </c>
      <c r="O2083" s="4" t="s">
        <v>15745</v>
      </c>
      <c r="P2083" s="4">
        <v>40</v>
      </c>
      <c r="Q2083" s="4" t="s">
        <v>15746</v>
      </c>
      <c r="R2083" s="4" t="s">
        <v>9473</v>
      </c>
      <c r="S2083" s="4" t="s">
        <v>29</v>
      </c>
      <c r="T2083" s="5" t="s">
        <v>15747</v>
      </c>
      <c r="U2083" s="6"/>
      <c r="V2083" s="6"/>
      <c r="W2083" s="6"/>
      <c r="X2083" s="6"/>
      <c r="Y2083" s="4" t="s">
        <v>15748</v>
      </c>
      <c r="Z2083" s="6"/>
      <c r="AA2083" s="5" t="s">
        <v>15749</v>
      </c>
    </row>
    <row r="2084" ht="14.25">
      <c r="B2084" s="4" t="s">
        <v>15750</v>
      </c>
      <c r="C2084" s="4" t="s">
        <v>1215</v>
      </c>
      <c r="D2084" s="4" t="s">
        <v>7669</v>
      </c>
      <c r="E2084" s="4" t="s">
        <v>15751</v>
      </c>
      <c r="F2084" s="4" t="s">
        <v>7185</v>
      </c>
      <c r="G2084" s="4" t="s">
        <v>15752</v>
      </c>
      <c r="H2084" s="4" t="str">
        <f>IFERROR(__XLUDF.DUMMYFUNCTION("PROPER(REGEXREPLACE(G661,""[^A-Za-z]+ "",""""))"),"E-Volve Academy")</f>
        <v xml:space="preserve">E-Volve Academy</v>
      </c>
      <c r="I2084" s="6"/>
      <c r="J2084" s="4" t="s">
        <v>846</v>
      </c>
      <c r="K2084" s="4" t="s">
        <v>9278</v>
      </c>
      <c r="L2084" s="4" t="s">
        <v>29</v>
      </c>
      <c r="M2084" s="4" t="s">
        <v>5048</v>
      </c>
      <c r="N2084" s="4" t="str">
        <f>IFERROR(__XLUDF.DUMMYFUNCTION("VLOOKUP(M661,IMPORTRANGE(""https://docs.google.com/spreadsheets/d/1opm6ZNvGZ7KditA9TuJwrZ25eFLfTNIkrNnY6mhV5Eg"",""list!A1:C115""),3,TRUE)"),"le secteur de la formation pro et du coaching")</f>
        <v xml:space="preserve">le secteur de la formation pro et du coaching</v>
      </c>
      <c r="O2084" s="4" t="s">
        <v>15753</v>
      </c>
      <c r="P2084" s="4">
        <v>2</v>
      </c>
      <c r="Q2084" s="4" t="s">
        <v>9280</v>
      </c>
      <c r="R2084" s="4" t="s">
        <v>9281</v>
      </c>
      <c r="S2084" s="4" t="s">
        <v>29</v>
      </c>
      <c r="T2084" s="5" t="s">
        <v>15754</v>
      </c>
      <c r="U2084" s="6"/>
      <c r="V2084" s="6"/>
      <c r="W2084" s="6"/>
      <c r="X2084" s="6"/>
      <c r="Y2084" s="4" t="s">
        <v>15755</v>
      </c>
      <c r="Z2084" s="6"/>
      <c r="AA2084" s="5" t="s">
        <v>15756</v>
      </c>
    </row>
    <row r="2085" ht="14.25">
      <c r="B2085" s="4" t="s">
        <v>15757</v>
      </c>
      <c r="C2085" s="4" t="s">
        <v>1215</v>
      </c>
      <c r="D2085" s="4" t="s">
        <v>15758</v>
      </c>
      <c r="E2085" s="4" t="s">
        <v>15759</v>
      </c>
      <c r="F2085" s="4" t="s">
        <v>172</v>
      </c>
      <c r="G2085" s="4" t="s">
        <v>15760</v>
      </c>
      <c r="H2085" s="4" t="str">
        <f>IFERROR(__XLUDF.DUMMYFUNCTION("PROPER(REGEXREPLACE(G662,""[^A-Za-z]+ "",""""))"),"Everest Isolation")</f>
        <v xml:space="preserve">Everest Isolation</v>
      </c>
      <c r="I2085" s="5" t="s">
        <v>15761</v>
      </c>
      <c r="J2085" s="4" t="s">
        <v>15762</v>
      </c>
      <c r="K2085" s="4" t="s">
        <v>9251</v>
      </c>
      <c r="L2085" s="4" t="s">
        <v>29</v>
      </c>
      <c r="M2085" s="4" t="s">
        <v>9239</v>
      </c>
      <c r="N2085" s="4" t="str">
        <f>IFERROR(__XLUDF.DUMMYFUNCTION("VLOOKUP(M662,IMPORTRANGE(""https://docs.google.com/spreadsheets/d/1opm6ZNvGZ7KditA9TuJwrZ25eFLfTNIkrNnY6mhV5Eg"",""list!A1:C115""),3,TRUE)"),"le secteur de la construction")</f>
        <v xml:space="preserve">le secteur de la construction</v>
      </c>
      <c r="O2085" s="4" t="s">
        <v>15763</v>
      </c>
      <c r="P2085" s="4">
        <v>21</v>
      </c>
      <c r="Q2085" s="4" t="s">
        <v>15762</v>
      </c>
      <c r="R2085" s="4" t="s">
        <v>9251</v>
      </c>
      <c r="S2085" s="4" t="s">
        <v>29</v>
      </c>
      <c r="T2085" s="5" t="s">
        <v>15764</v>
      </c>
      <c r="U2085" s="6"/>
      <c r="V2085" s="5" t="s">
        <v>15765</v>
      </c>
      <c r="W2085" s="6"/>
      <c r="X2085" s="6"/>
      <c r="Y2085" s="4" t="s">
        <v>15766</v>
      </c>
      <c r="Z2085" s="6"/>
      <c r="AA2085" s="5" t="s">
        <v>15767</v>
      </c>
    </row>
    <row r="2086" ht="14.25">
      <c r="B2086" s="4" t="s">
        <v>15768</v>
      </c>
      <c r="C2086" s="4" t="s">
        <v>808</v>
      </c>
      <c r="D2086" s="4" t="s">
        <v>15769</v>
      </c>
      <c r="E2086" s="4" t="s">
        <v>15770</v>
      </c>
      <c r="F2086" s="4" t="s">
        <v>172</v>
      </c>
      <c r="G2086" s="4" t="s">
        <v>15771</v>
      </c>
      <c r="H2086" s="4" t="str">
        <f>IFERROR(__XLUDF.DUMMYFUNCTION("PROPER(REGEXREPLACE(G663,""[^A-Za-z]+ "",""""))"),"Wattohm Air Solutions")</f>
        <v xml:space="preserve">Wattohm Air Solutions</v>
      </c>
      <c r="I2086" s="5" t="s">
        <v>15772</v>
      </c>
      <c r="J2086" s="4" t="s">
        <v>3016</v>
      </c>
      <c r="K2086" s="4" t="s">
        <v>9473</v>
      </c>
      <c r="L2086" s="4" t="s">
        <v>29</v>
      </c>
      <c r="M2086" s="4" t="s">
        <v>4525</v>
      </c>
      <c r="N2086" s="4" t="str">
        <f>IFERROR(__XLUDF.DUMMYFUNCTION("VLOOKUP(M663,IMPORTRANGE(""https://docs.google.com/spreadsheets/d/1opm6ZNvGZ7KditA9TuJwrZ25eFLfTNIkrNnY6mhV5Eg"",""list!A1:C115""),3,TRUE)"),"le secteur du retail")</f>
        <v xml:space="preserve">le secteur du retail</v>
      </c>
      <c r="O2086" s="4" t="s">
        <v>15773</v>
      </c>
      <c r="P2086" s="4">
        <v>18</v>
      </c>
      <c r="Q2086" s="4" t="s">
        <v>3016</v>
      </c>
      <c r="R2086" s="4" t="s">
        <v>9473</v>
      </c>
      <c r="S2086" s="4" t="s">
        <v>29</v>
      </c>
      <c r="T2086" s="5" t="s">
        <v>15774</v>
      </c>
      <c r="U2086" s="6"/>
      <c r="V2086" s="6"/>
      <c r="W2086" s="6"/>
      <c r="X2086" s="6"/>
      <c r="Y2086" s="4" t="s">
        <v>15775</v>
      </c>
      <c r="Z2086" s="6"/>
      <c r="AA2086" s="5" t="s">
        <v>15776</v>
      </c>
    </row>
    <row r="2087" ht="14.25">
      <c r="B2087" s="4" t="s">
        <v>15777</v>
      </c>
      <c r="C2087" s="4" t="s">
        <v>15778</v>
      </c>
      <c r="D2087" s="4" t="s">
        <v>10412</v>
      </c>
      <c r="E2087" s="4" t="s">
        <v>15779</v>
      </c>
      <c r="F2087" s="4" t="s">
        <v>15780</v>
      </c>
      <c r="G2087" s="4" t="s">
        <v>12718</v>
      </c>
      <c r="H2087" s="4" t="str">
        <f>IFERROR(__XLUDF.DUMMYFUNCTION("PROPER(REGEXREPLACE(G664,""[^A-Za-z]+ "",""""))"),"Amhappy")</f>
        <v>Amhappy</v>
      </c>
      <c r="I2087" s="5" t="s">
        <v>12719</v>
      </c>
      <c r="J2087" s="4" t="s">
        <v>492</v>
      </c>
      <c r="K2087" s="4" t="s">
        <v>9267</v>
      </c>
      <c r="L2087" s="4" t="s">
        <v>29</v>
      </c>
      <c r="M2087" s="4" t="s">
        <v>2602</v>
      </c>
      <c r="N2087" s="4" t="str">
        <f>IFERROR(__XLUDF.DUMMYFUNCTION("VLOOKUP(M664,IMPORTRANGE(""https://docs.google.com/spreadsheets/d/1opm6ZNvGZ7KditA9TuJwrZ25eFLfTNIkrNnY6mhV5Eg"",""list!A1:C115""),3,TRUE)"),"le secteur de la tech")</f>
        <v xml:space="preserve">le secteur de la tech</v>
      </c>
      <c r="O2087" s="4" t="s">
        <v>12720</v>
      </c>
      <c r="P2087" s="4">
        <v>22</v>
      </c>
      <c r="Q2087" s="4" t="s">
        <v>12721</v>
      </c>
      <c r="R2087" s="4" t="s">
        <v>9226</v>
      </c>
      <c r="S2087" s="4" t="s">
        <v>29</v>
      </c>
      <c r="T2087" s="5" t="s">
        <v>12722</v>
      </c>
      <c r="U2087" s="6"/>
      <c r="V2087" s="5" t="s">
        <v>12723</v>
      </c>
      <c r="W2087" s="6"/>
      <c r="X2087" s="6"/>
      <c r="Y2087" s="4" t="s">
        <v>12724</v>
      </c>
      <c r="Z2087" s="6"/>
      <c r="AA2087" s="5" t="s">
        <v>15781</v>
      </c>
    </row>
    <row r="2088" ht="14.25">
      <c r="B2088" s="4" t="s">
        <v>15782</v>
      </c>
      <c r="C2088" s="4" t="s">
        <v>485</v>
      </c>
      <c r="D2088" s="4" t="s">
        <v>15783</v>
      </c>
      <c r="E2088" s="4" t="s">
        <v>15784</v>
      </c>
      <c r="F2088" s="4" t="s">
        <v>15785</v>
      </c>
      <c r="G2088" s="4" t="s">
        <v>15786</v>
      </c>
      <c r="H2088" s="4" t="str">
        <f>IFERROR(__XLUDF.DUMMYFUNCTION("PROPER(REGEXREPLACE(G665,""[^A-Za-z]+ "",""""))"),"Agrisight")</f>
        <v>Agrisight</v>
      </c>
      <c r="I2088" s="5" t="s">
        <v>15787</v>
      </c>
      <c r="J2088" s="4" t="s">
        <v>39</v>
      </c>
      <c r="K2088" s="4" t="s">
        <v>9160</v>
      </c>
      <c r="L2088" s="4" t="s">
        <v>29</v>
      </c>
      <c r="M2088" s="4" t="s">
        <v>2602</v>
      </c>
      <c r="N2088" s="4" t="str">
        <f>IFERROR(__XLUDF.DUMMYFUNCTION("VLOOKUP(M665,IMPORTRANGE(""https://docs.google.com/spreadsheets/d/1opm6ZNvGZ7KditA9TuJwrZ25eFLfTNIkrNnY6mhV5Eg"",""list!A1:C115""),3,TRUE)"),"le secteur de la tech")</f>
        <v xml:space="preserve">le secteur de la tech</v>
      </c>
      <c r="O2088" s="6"/>
      <c r="P2088" s="4">
        <v>17</v>
      </c>
      <c r="Q2088" s="4" t="s">
        <v>39</v>
      </c>
      <c r="R2088" s="4" t="s">
        <v>9160</v>
      </c>
      <c r="S2088" s="4" t="s">
        <v>29</v>
      </c>
      <c r="T2088" s="5" t="s">
        <v>15788</v>
      </c>
      <c r="U2088" s="6"/>
      <c r="V2088" s="6"/>
      <c r="W2088" s="6"/>
      <c r="X2088" s="6"/>
      <c r="Y2088" s="4" t="s">
        <v>15789</v>
      </c>
      <c r="Z2088" s="6"/>
      <c r="AA2088" s="5" t="s">
        <v>15790</v>
      </c>
    </row>
    <row r="2089" ht="14.25">
      <c r="B2089" s="4" t="s">
        <v>15791</v>
      </c>
      <c r="C2089" s="4" t="s">
        <v>485</v>
      </c>
      <c r="D2089" s="4" t="s">
        <v>10792</v>
      </c>
      <c r="E2089" s="4" t="s">
        <v>15792</v>
      </c>
      <c r="F2089" s="4" t="s">
        <v>15793</v>
      </c>
      <c r="G2089" s="4" t="s">
        <v>15794</v>
      </c>
      <c r="H2089" s="4" t="str">
        <f>IFERROR(__XLUDF.DUMMYFUNCTION("PROPER(REGEXREPLACE(G666,""[^A-Za-z]+ "",""""))"),"Génie Des Lieux By Watt")</f>
        <v xml:space="preserve">Génie Des Lieux By Watt</v>
      </c>
      <c r="I2089" s="5" t="s">
        <v>15795</v>
      </c>
      <c r="J2089" s="4" t="s">
        <v>39</v>
      </c>
      <c r="K2089" s="4" t="s">
        <v>9160</v>
      </c>
      <c r="L2089" s="4" t="s">
        <v>29</v>
      </c>
      <c r="M2089" s="4" t="s">
        <v>4067</v>
      </c>
      <c r="N2089" s="4" t="str">
        <f>IFERROR(__XLUDF.DUMMYFUNCTION("VLOOKUP(M666,IMPORTRANGE(""https://docs.google.com/spreadsheets/d/1opm6ZNvGZ7KditA9TuJwrZ25eFLfTNIkrNnY6mhV5Eg"",""list!A1:C115""),3,TRUE)"),"le secteur du conseil en management")</f>
        <v xml:space="preserve">le secteur du conseil en management</v>
      </c>
      <c r="O2089" s="4" t="s">
        <v>15796</v>
      </c>
      <c r="P2089" s="4">
        <v>50</v>
      </c>
      <c r="Q2089" s="4" t="s">
        <v>39</v>
      </c>
      <c r="R2089" s="4" t="s">
        <v>9160</v>
      </c>
      <c r="S2089" s="4" t="s">
        <v>29</v>
      </c>
      <c r="T2089" s="5" t="s">
        <v>15797</v>
      </c>
      <c r="U2089" s="5" t="s">
        <v>15798</v>
      </c>
      <c r="V2089" s="6"/>
      <c r="W2089" s="6"/>
      <c r="X2089" s="6"/>
      <c r="Y2089" s="4" t="s">
        <v>15799</v>
      </c>
      <c r="Z2089" s="6"/>
      <c r="AA2089" s="5" t="s">
        <v>15800</v>
      </c>
    </row>
    <row r="2090" ht="14.25">
      <c r="B2090" s="4" t="s">
        <v>15801</v>
      </c>
      <c r="C2090" s="4" t="s">
        <v>485</v>
      </c>
      <c r="D2090" s="4" t="s">
        <v>15802</v>
      </c>
      <c r="E2090" s="4" t="s">
        <v>15803</v>
      </c>
      <c r="F2090" s="4" t="s">
        <v>15804</v>
      </c>
      <c r="G2090" s="4" t="s">
        <v>15805</v>
      </c>
      <c r="H2090" s="4" t="str">
        <f>IFERROR(__XLUDF.DUMMYFUNCTION("PROPER(REGEXREPLACE(G667,""[^A-Za-z]+ "",""""))"),"Ingenium Animalis")</f>
        <v xml:space="preserve">Ingenium Animalis</v>
      </c>
      <c r="I2090" s="5" t="s">
        <v>15806</v>
      </c>
      <c r="J2090" s="4" t="s">
        <v>15807</v>
      </c>
      <c r="K2090" s="4" t="s">
        <v>9193</v>
      </c>
      <c r="L2090" s="4" t="s">
        <v>29</v>
      </c>
      <c r="M2090" s="4" t="s">
        <v>2602</v>
      </c>
      <c r="N2090" s="4" t="str">
        <f>IFERROR(__XLUDF.DUMMYFUNCTION("VLOOKUP(M667,IMPORTRANGE(""https://docs.google.com/spreadsheets/d/1opm6ZNvGZ7KditA9TuJwrZ25eFLfTNIkrNnY6mhV5Eg"",""list!A1:C115""),3,TRUE)"),"le secteur de la tech")</f>
        <v xml:space="preserve">le secteur de la tech</v>
      </c>
      <c r="O2090" s="4" t="s">
        <v>15808</v>
      </c>
      <c r="P2090" s="4">
        <v>50</v>
      </c>
      <c r="Q2090" s="4" t="s">
        <v>585</v>
      </c>
      <c r="R2090" s="4" t="s">
        <v>9160</v>
      </c>
      <c r="S2090" s="4" t="s">
        <v>29</v>
      </c>
      <c r="T2090" s="5" t="s">
        <v>15809</v>
      </c>
      <c r="U2090" s="6"/>
      <c r="V2090" s="6"/>
      <c r="W2090" s="6"/>
      <c r="X2090" s="6"/>
      <c r="Y2090" s="4" t="s">
        <v>15810</v>
      </c>
      <c r="Z2090" s="6"/>
      <c r="AA2090" s="5" t="s">
        <v>15811</v>
      </c>
    </row>
    <row r="2091" ht="14.25">
      <c r="B2091" s="4" t="s">
        <v>15812</v>
      </c>
      <c r="C2091" s="4" t="s">
        <v>485</v>
      </c>
      <c r="D2091" s="4" t="s">
        <v>15813</v>
      </c>
      <c r="E2091" s="4" t="s">
        <v>15814</v>
      </c>
      <c r="F2091" s="4" t="s">
        <v>15815</v>
      </c>
      <c r="G2091" s="5" t="s">
        <v>15397</v>
      </c>
      <c r="H2091" s="5" t="str">
        <f>IFERROR(__XLUDF.DUMMYFUNCTION("PROPER(REGEXREPLACE(G668,""[^A-Za-z]+ "",""""))"),"Circularity.Fr")</f>
        <v>Circularity.Fr</v>
      </c>
      <c r="I2091" s="5" t="s">
        <v>15398</v>
      </c>
      <c r="J2091" s="4" t="s">
        <v>39</v>
      </c>
      <c r="K2091" s="4" t="s">
        <v>9160</v>
      </c>
      <c r="L2091" s="4" t="s">
        <v>29</v>
      </c>
      <c r="M2091" s="4" t="s">
        <v>4067</v>
      </c>
      <c r="N2091" s="4" t="str">
        <f>IFERROR(__XLUDF.DUMMYFUNCTION("VLOOKUP(M668,IMPORTRANGE(""https://docs.google.com/spreadsheets/d/1opm6ZNvGZ7KditA9TuJwrZ25eFLfTNIkrNnY6mhV5Eg"",""list!A1:C115""),3,TRUE)"),"le secteur du conseil en management")</f>
        <v xml:space="preserve">le secteur du conseil en management</v>
      </c>
      <c r="O2091" s="4" t="s">
        <v>15399</v>
      </c>
      <c r="P2091" s="4">
        <v>35</v>
      </c>
      <c r="Q2091" s="4" t="s">
        <v>39</v>
      </c>
      <c r="R2091" s="4" t="s">
        <v>9160</v>
      </c>
      <c r="S2091" s="4" t="s">
        <v>29</v>
      </c>
      <c r="T2091" s="5" t="s">
        <v>15400</v>
      </c>
      <c r="U2091" s="6"/>
      <c r="V2091" s="6"/>
      <c r="W2091" s="6"/>
      <c r="X2091" s="6"/>
      <c r="Y2091" s="4" t="s">
        <v>15401</v>
      </c>
      <c r="Z2091" s="6"/>
      <c r="AA2091" s="5" t="s">
        <v>15816</v>
      </c>
    </row>
    <row r="2092" ht="14.25">
      <c r="B2092" s="4" t="s">
        <v>15817</v>
      </c>
      <c r="C2092" s="4" t="s">
        <v>485</v>
      </c>
      <c r="D2092" s="4" t="s">
        <v>15818</v>
      </c>
      <c r="E2092" s="4" t="s">
        <v>15819</v>
      </c>
      <c r="F2092" s="4" t="s">
        <v>9849</v>
      </c>
      <c r="G2092" s="4" t="s">
        <v>13323</v>
      </c>
      <c r="H2092" s="4" t="str">
        <f>IFERROR(__XLUDF.DUMMYFUNCTION("PROPER(REGEXREPLACE(G669,""[^A-Za-z]+ "",""""))"),"Temporis Loire Sud")</f>
        <v xml:space="preserve">Temporis Loire Sud</v>
      </c>
      <c r="I2092" s="6"/>
      <c r="J2092" s="4" t="s">
        <v>15820</v>
      </c>
      <c r="K2092" s="4" t="s">
        <v>9193</v>
      </c>
      <c r="L2092" s="4" t="s">
        <v>29</v>
      </c>
      <c r="M2092" s="4" t="s">
        <v>4067</v>
      </c>
      <c r="N2092" s="4" t="str">
        <f>IFERROR(__XLUDF.DUMMYFUNCTION("VLOOKUP(M669,IMPORTRANGE(""https://docs.google.com/spreadsheets/d/1opm6ZNvGZ7KditA9TuJwrZ25eFLfTNIkrNnY6mhV5Eg"",""list!A1:C115""),3,TRUE)"),"le secteur du conseil en management")</f>
        <v xml:space="preserve">le secteur du conseil en management</v>
      </c>
      <c r="O2092" s="4" t="s">
        <v>13324</v>
      </c>
      <c r="P2092" s="4">
        <v>14</v>
      </c>
      <c r="Q2092" s="4" t="s">
        <v>831</v>
      </c>
      <c r="R2092" s="4" t="s">
        <v>9193</v>
      </c>
      <c r="S2092" s="4" t="s">
        <v>29</v>
      </c>
      <c r="T2092" s="5" t="s">
        <v>13325</v>
      </c>
      <c r="U2092" s="6"/>
      <c r="V2092" s="6"/>
      <c r="W2092" s="6"/>
      <c r="X2092" s="6"/>
      <c r="Y2092" s="4" t="s">
        <v>13326</v>
      </c>
      <c r="Z2092" s="6"/>
      <c r="AA2092" s="5" t="s">
        <v>15821</v>
      </c>
    </row>
    <row r="2093" ht="14.25">
      <c r="B2093" s="4" t="s">
        <v>15822</v>
      </c>
      <c r="C2093" s="4" t="s">
        <v>485</v>
      </c>
      <c r="D2093" s="4" t="s">
        <v>15823</v>
      </c>
      <c r="E2093" s="4" t="s">
        <v>15824</v>
      </c>
      <c r="F2093" s="4" t="s">
        <v>112</v>
      </c>
      <c r="G2093" s="4" t="s">
        <v>15825</v>
      </c>
      <c r="H2093" s="4" t="str">
        <f>IFERROR(__XLUDF.DUMMYFUNCTION("PROPER(REGEXREPLACE(G670,""[^A-Za-z]+ "",""""))"),"Eglise Et Innovation Numérique")</f>
        <v xml:space="preserve">Eglise Et Innovation Numérique</v>
      </c>
      <c r="I2093" s="5" t="s">
        <v>15826</v>
      </c>
      <c r="J2093" s="4" t="s">
        <v>39</v>
      </c>
      <c r="K2093" s="4" t="s">
        <v>9160</v>
      </c>
      <c r="L2093" s="4" t="s">
        <v>29</v>
      </c>
      <c r="M2093" s="4" t="s">
        <v>2602</v>
      </c>
      <c r="N2093" s="4" t="str">
        <f>IFERROR(__XLUDF.DUMMYFUNCTION("VLOOKUP(M670,IMPORTRANGE(""https://docs.google.com/spreadsheets/d/1opm6ZNvGZ7KditA9TuJwrZ25eFLfTNIkrNnY6mhV5Eg"",""list!A1:C115""),3,TRUE)"),"le secteur de la tech")</f>
        <v xml:space="preserve">le secteur de la tech</v>
      </c>
      <c r="O2093" s="4" t="s">
        <v>15827</v>
      </c>
      <c r="P2093" s="4">
        <v>27</v>
      </c>
      <c r="Q2093" s="4" t="s">
        <v>39</v>
      </c>
      <c r="R2093" s="4" t="s">
        <v>9160</v>
      </c>
      <c r="S2093" s="4" t="s">
        <v>29</v>
      </c>
      <c r="T2093" s="5" t="s">
        <v>15828</v>
      </c>
      <c r="U2093" s="6"/>
      <c r="V2093" s="5" t="s">
        <v>15829</v>
      </c>
      <c r="W2093" s="6"/>
      <c r="X2093" s="6"/>
      <c r="Y2093" s="4" t="s">
        <v>15830</v>
      </c>
      <c r="Z2093" s="6"/>
      <c r="AA2093" s="5" t="s">
        <v>15831</v>
      </c>
    </row>
    <row r="2094" ht="14.25">
      <c r="B2094" s="4" t="s">
        <v>15832</v>
      </c>
      <c r="C2094" s="4" t="s">
        <v>4236</v>
      </c>
      <c r="D2094" s="4" t="s">
        <v>15833</v>
      </c>
      <c r="E2094" s="4" t="s">
        <v>15834</v>
      </c>
      <c r="F2094" s="4" t="s">
        <v>15835</v>
      </c>
      <c r="G2094" s="4" t="s">
        <v>15836</v>
      </c>
      <c r="H2094" s="4" t="str">
        <f>IFERROR(__XLUDF.DUMMYFUNCTION("PROPER(REGEXREPLACE(G671,""[^A-Za-z]+ "",""""))"),"By Pauline")</f>
        <v xml:space="preserve">By Pauline</v>
      </c>
      <c r="I2094" s="5" t="s">
        <v>15837</v>
      </c>
      <c r="J2094" s="4" t="s">
        <v>39</v>
      </c>
      <c r="K2094" s="4" t="s">
        <v>9160</v>
      </c>
      <c r="L2094" s="4" t="s">
        <v>29</v>
      </c>
      <c r="M2094" s="4" t="s">
        <v>4525</v>
      </c>
      <c r="N2094" s="4" t="str">
        <f>IFERROR(__XLUDF.DUMMYFUNCTION("VLOOKUP(M671,IMPORTRANGE(""https://docs.google.com/spreadsheets/d/1opm6ZNvGZ7KditA9TuJwrZ25eFLfTNIkrNnY6mhV5Eg"",""list!A1:C115""),3,TRUE)"),"le secteur du retail")</f>
        <v xml:space="preserve">le secteur du retail</v>
      </c>
      <c r="O2094" s="4" t="s">
        <v>15838</v>
      </c>
      <c r="P2094" s="4">
        <v>10</v>
      </c>
      <c r="Q2094" s="4" t="s">
        <v>140</v>
      </c>
      <c r="R2094" s="4" t="s">
        <v>9160</v>
      </c>
      <c r="S2094" s="4" t="s">
        <v>29</v>
      </c>
      <c r="T2094" s="5" t="s">
        <v>15839</v>
      </c>
      <c r="U2094" s="5" t="s">
        <v>15840</v>
      </c>
      <c r="V2094" s="5" t="s">
        <v>15841</v>
      </c>
      <c r="W2094" s="6"/>
      <c r="X2094" s="6"/>
      <c r="Y2094" s="4" t="s">
        <v>15842</v>
      </c>
      <c r="Z2094" s="6"/>
      <c r="AA2094" s="5" t="s">
        <v>15843</v>
      </c>
    </row>
    <row r="2095" ht="14.25">
      <c r="B2095" s="4" t="s">
        <v>15844</v>
      </c>
      <c r="C2095" s="4" t="s">
        <v>1215</v>
      </c>
      <c r="D2095" s="4" t="s">
        <v>15845</v>
      </c>
      <c r="E2095" s="4" t="s">
        <v>15846</v>
      </c>
      <c r="F2095" s="4" t="s">
        <v>112</v>
      </c>
      <c r="G2095" s="4" t="s">
        <v>15847</v>
      </c>
      <c r="H2095" s="4" t="str">
        <f>IFERROR(__XLUDF.DUMMYFUNCTION("PROPER(REGEXREPLACE(G672,""[^A-Za-z]+ "",""""))"),"Sms Management")</f>
        <v xml:space="preserve">Sms Management</v>
      </c>
      <c r="I2095" s="5" t="s">
        <v>15848</v>
      </c>
      <c r="J2095" s="4" t="s">
        <v>39</v>
      </c>
      <c r="K2095" s="4" t="s">
        <v>9160</v>
      </c>
      <c r="L2095" s="4" t="s">
        <v>29</v>
      </c>
      <c r="M2095" s="4" t="s">
        <v>2602</v>
      </c>
      <c r="N2095" s="4" t="str">
        <f>IFERROR(__XLUDF.DUMMYFUNCTION("VLOOKUP(M672,IMPORTRANGE(""https://docs.google.com/spreadsheets/d/1opm6ZNvGZ7KditA9TuJwrZ25eFLfTNIkrNnY6mhV5Eg"",""list!A1:C115""),3,TRUE)"),"le secteur de la tech")</f>
        <v xml:space="preserve">le secteur de la tech</v>
      </c>
      <c r="O2095" s="4" t="s">
        <v>15849</v>
      </c>
      <c r="P2095" s="4">
        <v>20</v>
      </c>
      <c r="Q2095" s="4" t="s">
        <v>9195</v>
      </c>
      <c r="R2095" s="4" t="s">
        <v>9160</v>
      </c>
      <c r="S2095" s="4" t="s">
        <v>29</v>
      </c>
      <c r="T2095" s="5" t="s">
        <v>15850</v>
      </c>
      <c r="U2095" s="6"/>
      <c r="V2095" s="6"/>
      <c r="W2095" s="6"/>
      <c r="X2095" s="6"/>
      <c r="Y2095" s="4" t="s">
        <v>15851</v>
      </c>
      <c r="Z2095" s="6"/>
      <c r="AA2095" s="5" t="s">
        <v>15852</v>
      </c>
    </row>
    <row r="2096" ht="14.25">
      <c r="B2096" s="4" t="s">
        <v>15853</v>
      </c>
      <c r="C2096" s="4" t="s">
        <v>670</v>
      </c>
      <c r="D2096" s="4" t="s">
        <v>15854</v>
      </c>
      <c r="E2096" s="4" t="s">
        <v>15855</v>
      </c>
      <c r="F2096" s="4" t="s">
        <v>7759</v>
      </c>
      <c r="G2096" s="4" t="s">
        <v>15856</v>
      </c>
      <c r="H2096" s="4" t="str">
        <f>IFERROR(__XLUDF.DUMMYFUNCTION("PROPER(REGEXREPLACE(G673,""[^A-Za-z]+ "",""""))"),"Apsecurity")</f>
        <v>Apsecurity</v>
      </c>
      <c r="I2096" s="5" t="s">
        <v>15857</v>
      </c>
      <c r="J2096" s="4" t="s">
        <v>15858</v>
      </c>
      <c r="K2096" s="4" t="s">
        <v>9215</v>
      </c>
      <c r="L2096" s="4" t="s">
        <v>29</v>
      </c>
      <c r="M2096" s="4" t="s">
        <v>9264</v>
      </c>
      <c r="N2096" s="4" t="str">
        <f>IFERROR(__XLUDF.DUMMYFUNCTION("VLOOKUP(M673,IMPORTRANGE(""https://docs.google.com/spreadsheets/d/1opm6ZNvGZ7KditA9TuJwrZ25eFLfTNIkrNnY6mhV5Eg"",""list!A1:C115""),3,TRUE)"),"le secteur de la sécurité informatique")</f>
        <v xml:space="preserve">le secteur de la sécurité informatique</v>
      </c>
      <c r="O2096" s="4" t="s">
        <v>15859</v>
      </c>
      <c r="P2096" s="4">
        <v>10</v>
      </c>
      <c r="Q2096" s="4" t="s">
        <v>15858</v>
      </c>
      <c r="R2096" s="4" t="s">
        <v>9215</v>
      </c>
      <c r="S2096" s="4" t="s">
        <v>29</v>
      </c>
      <c r="T2096" s="5" t="s">
        <v>15860</v>
      </c>
      <c r="U2096" s="6"/>
      <c r="V2096" s="6"/>
      <c r="W2096" s="6"/>
      <c r="X2096" s="6"/>
      <c r="Y2096" s="4" t="s">
        <v>15861</v>
      </c>
      <c r="Z2096" s="6"/>
      <c r="AA2096" s="5" t="s">
        <v>15862</v>
      </c>
    </row>
    <row r="2097" ht="14.25">
      <c r="B2097" s="4" t="s">
        <v>15863</v>
      </c>
      <c r="C2097" s="4" t="s">
        <v>866</v>
      </c>
      <c r="D2097" s="4" t="s">
        <v>8802</v>
      </c>
      <c r="E2097" s="4" t="s">
        <v>15864</v>
      </c>
      <c r="F2097" s="4" t="s">
        <v>15865</v>
      </c>
      <c r="G2097" s="4" t="s">
        <v>15866</v>
      </c>
      <c r="H2097" s="4" t="str">
        <f>IFERROR(__XLUDF.DUMMYFUNCTION("PROPER(REGEXREPLACE(G674,""[^A-Za-z]+ "",""""))"),"Data New Road")</f>
        <v xml:space="preserve">Data New Road</v>
      </c>
      <c r="I2097" s="5" t="s">
        <v>15867</v>
      </c>
      <c r="J2097" s="4" t="s">
        <v>185</v>
      </c>
      <c r="K2097" s="4" t="s">
        <v>9193</v>
      </c>
      <c r="L2097" s="4" t="s">
        <v>29</v>
      </c>
      <c r="M2097" s="4" t="s">
        <v>2602</v>
      </c>
      <c r="N2097" s="4" t="str">
        <f>IFERROR(__XLUDF.DUMMYFUNCTION("VLOOKUP(M674,IMPORTRANGE(""https://docs.google.com/spreadsheets/d/1opm6ZNvGZ7KditA9TuJwrZ25eFLfTNIkrNnY6mhV5Eg"",""list!A1:C115""),3,TRUE)"),"le secteur de la tech")</f>
        <v xml:space="preserve">le secteur de la tech</v>
      </c>
      <c r="O2097" s="6"/>
      <c r="P2097" s="4">
        <v>12</v>
      </c>
      <c r="Q2097" s="4" t="s">
        <v>2174</v>
      </c>
      <c r="R2097" s="4" t="s">
        <v>9193</v>
      </c>
      <c r="S2097" s="4" t="s">
        <v>29</v>
      </c>
      <c r="T2097" s="5" t="s">
        <v>15868</v>
      </c>
      <c r="U2097" s="6"/>
      <c r="V2097" s="6"/>
      <c r="W2097" s="6"/>
      <c r="X2097" s="6"/>
      <c r="Y2097" s="4" t="s">
        <v>15869</v>
      </c>
      <c r="Z2097" s="6"/>
      <c r="AA2097" s="5" t="s">
        <v>15870</v>
      </c>
    </row>
    <row r="2098" ht="14.25">
      <c r="B2098" s="4" t="s">
        <v>15871</v>
      </c>
      <c r="C2098" s="4" t="s">
        <v>15872</v>
      </c>
      <c r="D2098" s="4" t="s">
        <v>15873</v>
      </c>
      <c r="E2098" s="4" t="s">
        <v>15874</v>
      </c>
      <c r="F2098" s="4" t="s">
        <v>15875</v>
      </c>
      <c r="G2098" s="4" t="s">
        <v>11608</v>
      </c>
      <c r="H2098" s="4" t="str">
        <f>IFERROR(__XLUDF.DUMMYFUNCTION("PROPER(REGEXREPLACE(G675,""[^A-Za-z]+ "",""""))"),"La Maison D'Alfred")</f>
        <v xml:space="preserve">La Maison D'Alfred</v>
      </c>
      <c r="I2098" s="6"/>
      <c r="J2098" s="6"/>
      <c r="K2098" s="6"/>
      <c r="L2098" s="4" t="s">
        <v>29</v>
      </c>
      <c r="M2098" s="4" t="s">
        <v>4067</v>
      </c>
      <c r="N2098" s="4" t="str">
        <f>IFERROR(__XLUDF.DUMMYFUNCTION("VLOOKUP(M675,IMPORTRANGE(""https://docs.google.com/spreadsheets/d/1opm6ZNvGZ7KditA9TuJwrZ25eFLfTNIkrNnY6mhV5Eg"",""list!A1:C115""),3,TRUE)"),"le secteur du conseil en management")</f>
        <v xml:space="preserve">le secteur du conseil en management</v>
      </c>
      <c r="O2098" s="4" t="s">
        <v>11609</v>
      </c>
      <c r="P2098" s="4">
        <v>13</v>
      </c>
      <c r="Q2098" s="4" t="s">
        <v>9280</v>
      </c>
      <c r="R2098" s="4" t="s">
        <v>9281</v>
      </c>
      <c r="S2098" s="4" t="s">
        <v>29</v>
      </c>
      <c r="T2098" s="5" t="s">
        <v>11610</v>
      </c>
      <c r="U2098" s="6"/>
      <c r="V2098" s="6"/>
      <c r="W2098" s="6"/>
      <c r="X2098" s="6"/>
      <c r="Y2098" s="4" t="s">
        <v>11612</v>
      </c>
      <c r="Z2098" s="6"/>
      <c r="AA2098" s="5" t="s">
        <v>15876</v>
      </c>
    </row>
    <row r="2099" ht="14.25">
      <c r="B2099" s="4" t="s">
        <v>15877</v>
      </c>
      <c r="C2099" s="4" t="s">
        <v>1215</v>
      </c>
      <c r="D2099" s="4" t="s">
        <v>15878</v>
      </c>
      <c r="E2099" s="4" t="s">
        <v>15879</v>
      </c>
      <c r="F2099" s="4" t="s">
        <v>5158</v>
      </c>
      <c r="G2099" s="4" t="s">
        <v>15880</v>
      </c>
      <c r="H2099" s="4" t="str">
        <f>IFERROR(__XLUDF.DUMMYFUNCTION("PROPER(REGEXREPLACE(G676,""[^A-Za-z]+ "",""""))"),"Finopia")</f>
        <v>Finopia</v>
      </c>
      <c r="I2099" s="5" t="s">
        <v>15881</v>
      </c>
      <c r="J2099" s="6"/>
      <c r="K2099" s="6"/>
      <c r="L2099" s="4" t="s">
        <v>29</v>
      </c>
      <c r="M2099" s="4" t="s">
        <v>4067</v>
      </c>
      <c r="N2099" s="4" t="str">
        <f>IFERROR(__XLUDF.DUMMYFUNCTION("VLOOKUP(M676,IMPORTRANGE(""https://docs.google.com/spreadsheets/d/1opm6ZNvGZ7KditA9TuJwrZ25eFLfTNIkrNnY6mhV5Eg"",""list!A1:C115""),3,TRUE)"),"le secteur du conseil en management")</f>
        <v xml:space="preserve">le secteur du conseil en management</v>
      </c>
      <c r="O2099" s="4" t="s">
        <v>15882</v>
      </c>
      <c r="P2099" s="4">
        <v>10</v>
      </c>
      <c r="Q2099" s="4" t="s">
        <v>4009</v>
      </c>
      <c r="R2099" s="4" t="s">
        <v>15883</v>
      </c>
      <c r="S2099" s="4" t="s">
        <v>15884</v>
      </c>
      <c r="T2099" s="5" t="s">
        <v>15885</v>
      </c>
      <c r="U2099" s="6"/>
      <c r="V2099" s="6"/>
      <c r="W2099" s="6"/>
      <c r="X2099" s="6"/>
      <c r="Y2099" s="4" t="s">
        <v>15886</v>
      </c>
      <c r="Z2099" s="6"/>
      <c r="AA2099" s="5" t="s">
        <v>15887</v>
      </c>
    </row>
    <row r="2100" ht="14.25">
      <c r="B2100" s="4" t="s">
        <v>15888</v>
      </c>
      <c r="C2100" s="4" t="s">
        <v>4236</v>
      </c>
      <c r="D2100" s="4" t="s">
        <v>15889</v>
      </c>
      <c r="E2100" s="4" t="s">
        <v>15890</v>
      </c>
      <c r="F2100" s="4" t="s">
        <v>15891</v>
      </c>
      <c r="G2100" s="4" t="s">
        <v>15892</v>
      </c>
      <c r="H2100" s="4" t="str">
        <f>IFERROR(__XLUDF.DUMMYFUNCTION("PROPER(REGEXREPLACE(G677,""[^A-Za-z]+ "",""""))"),"Autonomii")</f>
        <v>Autonomii</v>
      </c>
      <c r="I2100" s="5" t="s">
        <v>15893</v>
      </c>
      <c r="J2100" s="4" t="s">
        <v>39</v>
      </c>
      <c r="K2100" s="4" t="s">
        <v>9160</v>
      </c>
      <c r="L2100" s="4" t="s">
        <v>29</v>
      </c>
      <c r="M2100" s="4" t="s">
        <v>4067</v>
      </c>
      <c r="N2100" s="4" t="str">
        <f>IFERROR(__XLUDF.DUMMYFUNCTION("VLOOKUP(M677,IMPORTRANGE(""https://docs.google.com/spreadsheets/d/1opm6ZNvGZ7KditA9TuJwrZ25eFLfTNIkrNnY6mhV5Eg"",""list!A1:C115""),3,TRUE)"),"le secteur du conseil en management")</f>
        <v xml:space="preserve">le secteur du conseil en management</v>
      </c>
      <c r="O2100" s="6"/>
      <c r="P2100" s="4">
        <v>28</v>
      </c>
      <c r="Q2100" s="4" t="s">
        <v>15894</v>
      </c>
      <c r="R2100" s="4" t="s">
        <v>9160</v>
      </c>
      <c r="S2100" s="4" t="s">
        <v>29</v>
      </c>
      <c r="T2100" s="5" t="s">
        <v>15895</v>
      </c>
      <c r="U2100" s="6"/>
      <c r="V2100" s="6"/>
      <c r="W2100" s="6"/>
      <c r="X2100" s="6"/>
      <c r="Y2100" s="4" t="s">
        <v>15896</v>
      </c>
      <c r="Z2100" s="6"/>
      <c r="AA2100" s="5" t="s">
        <v>15897</v>
      </c>
    </row>
    <row r="2101" ht="14.25">
      <c r="B2101" s="4" t="s">
        <v>15898</v>
      </c>
      <c r="C2101" s="4" t="s">
        <v>485</v>
      </c>
      <c r="D2101" s="4" t="s">
        <v>15899</v>
      </c>
      <c r="E2101" s="4" t="s">
        <v>15900</v>
      </c>
      <c r="F2101" s="4" t="s">
        <v>172</v>
      </c>
      <c r="G2101" s="4" t="s">
        <v>15901</v>
      </c>
      <c r="H2101" s="4" t="str">
        <f>IFERROR(__XLUDF.DUMMYFUNCTION("PROPER(REGEXREPLACE(G678,""[^A-Za-z]+ "",""""))"),"L'Opticien Qui Bouge France")</f>
        <v xml:space="preserve">L'Opticien Qui Bouge France</v>
      </c>
      <c r="I2101" s="5" t="s">
        <v>15902</v>
      </c>
      <c r="J2101" s="4" t="s">
        <v>15903</v>
      </c>
      <c r="K2101" s="4" t="s">
        <v>9864</v>
      </c>
      <c r="L2101" s="4" t="s">
        <v>29</v>
      </c>
      <c r="M2101" s="4" t="s">
        <v>4525</v>
      </c>
      <c r="N2101" s="4" t="str">
        <f>IFERROR(__XLUDF.DUMMYFUNCTION("VLOOKUP(M678,IMPORTRANGE(""https://docs.google.com/spreadsheets/d/1opm6ZNvGZ7KditA9TuJwrZ25eFLfTNIkrNnY6mhV5Eg"",""list!A1:C115""),3,TRUE)"),"le secteur du retail")</f>
        <v xml:space="preserve">le secteur du retail</v>
      </c>
      <c r="O2101" s="4" t="s">
        <v>15904</v>
      </c>
      <c r="P2101" s="4">
        <v>41</v>
      </c>
      <c r="Q2101" s="4" t="s">
        <v>12445</v>
      </c>
      <c r="R2101" s="4" t="s">
        <v>9460</v>
      </c>
      <c r="S2101" s="4" t="s">
        <v>29</v>
      </c>
      <c r="T2101" s="5" t="s">
        <v>15905</v>
      </c>
      <c r="U2101" s="6"/>
      <c r="V2101" s="5" t="s">
        <v>15906</v>
      </c>
      <c r="W2101" s="6"/>
      <c r="X2101" s="6"/>
      <c r="Y2101" s="4" t="s">
        <v>15907</v>
      </c>
      <c r="Z2101" s="6"/>
      <c r="AA2101" s="5" t="s">
        <v>15908</v>
      </c>
    </row>
    <row r="2102" ht="14.25">
      <c r="B2102" s="4" t="s">
        <v>15909</v>
      </c>
      <c r="C2102" s="4" t="s">
        <v>710</v>
      </c>
      <c r="D2102" s="4" t="s">
        <v>15910</v>
      </c>
      <c r="E2102" s="4" t="s">
        <v>15911</v>
      </c>
      <c r="F2102" s="4" t="s">
        <v>15912</v>
      </c>
      <c r="G2102" s="4" t="s">
        <v>15913</v>
      </c>
      <c r="H2102" s="4" t="str">
        <f>IFERROR(__XLUDF.DUMMYFUNCTION("PROPER(REGEXREPLACE(G679,""[^A-Za-z]+ "",""""))"),"Oblige")</f>
        <v>Oblige</v>
      </c>
      <c r="I2102" s="5" t="s">
        <v>15914</v>
      </c>
      <c r="J2102" s="4" t="s">
        <v>39</v>
      </c>
      <c r="K2102" s="4" t="s">
        <v>9160</v>
      </c>
      <c r="L2102" s="4" t="s">
        <v>29</v>
      </c>
      <c r="M2102" s="4" t="s">
        <v>2602</v>
      </c>
      <c r="N2102" s="4" t="str">
        <f>IFERROR(__XLUDF.DUMMYFUNCTION("VLOOKUP(M679,IMPORTRANGE(""https://docs.google.com/spreadsheets/d/1opm6ZNvGZ7KditA9TuJwrZ25eFLfTNIkrNnY6mhV5Eg"",""list!A1:C115""),3,TRUE)"),"le secteur de la tech")</f>
        <v xml:space="preserve">le secteur de la tech</v>
      </c>
      <c r="O2102" s="4" t="s">
        <v>15915</v>
      </c>
      <c r="P2102" s="4">
        <v>10</v>
      </c>
      <c r="Q2102" s="4" t="s">
        <v>4943</v>
      </c>
      <c r="R2102" s="4" t="s">
        <v>9798</v>
      </c>
      <c r="S2102" s="4" t="s">
        <v>29</v>
      </c>
      <c r="T2102" s="5" t="s">
        <v>15916</v>
      </c>
      <c r="U2102" s="5" t="s">
        <v>15917</v>
      </c>
      <c r="V2102" s="5" t="s">
        <v>9981</v>
      </c>
      <c r="W2102" s="6"/>
      <c r="X2102" s="6"/>
      <c r="Y2102" s="4" t="s">
        <v>15918</v>
      </c>
      <c r="Z2102" s="6"/>
      <c r="AA2102" s="5" t="s">
        <v>15919</v>
      </c>
    </row>
    <row r="2103" ht="14.25">
      <c r="B2103" s="4" t="s">
        <v>15920</v>
      </c>
      <c r="C2103" s="4" t="s">
        <v>710</v>
      </c>
      <c r="D2103" s="4" t="s">
        <v>15921</v>
      </c>
      <c r="E2103" s="4" t="s">
        <v>15922</v>
      </c>
      <c r="F2103" s="4" t="s">
        <v>2745</v>
      </c>
      <c r="G2103" s="4" t="s">
        <v>15923</v>
      </c>
      <c r="H2103" s="4" t="str">
        <f>IFERROR(__XLUDF.DUMMYFUNCTION("PROPER(REGEXREPLACE(G680,""[^A-Za-z]+ "",""""))"),"Ideel")</f>
        <v>Ideel</v>
      </c>
      <c r="I2103" s="5" t="s">
        <v>15924</v>
      </c>
      <c r="J2103" s="4" t="s">
        <v>39</v>
      </c>
      <c r="K2103" s="4" t="s">
        <v>9160</v>
      </c>
      <c r="L2103" s="4" t="s">
        <v>29</v>
      </c>
      <c r="M2103" s="4" t="s">
        <v>4067</v>
      </c>
      <c r="N2103" s="4" t="str">
        <f>IFERROR(__XLUDF.DUMMYFUNCTION("VLOOKUP(M680,IMPORTRANGE(""https://docs.google.com/spreadsheets/d/1opm6ZNvGZ7KditA9TuJwrZ25eFLfTNIkrNnY6mhV5Eg"",""list!A1:C115""),3,TRUE)"),"le secteur du conseil en management")</f>
        <v xml:space="preserve">le secteur du conseil en management</v>
      </c>
      <c r="O2103" s="4" t="s">
        <v>15925</v>
      </c>
      <c r="P2103" s="4">
        <v>29</v>
      </c>
      <c r="Q2103" s="4" t="s">
        <v>39</v>
      </c>
      <c r="R2103" s="4" t="s">
        <v>9160</v>
      </c>
      <c r="S2103" s="4" t="s">
        <v>29</v>
      </c>
      <c r="T2103" s="5" t="s">
        <v>15926</v>
      </c>
      <c r="U2103" s="5" t="s">
        <v>15927</v>
      </c>
      <c r="V2103" s="5" t="s">
        <v>15928</v>
      </c>
      <c r="W2103" s="6"/>
      <c r="X2103" s="6"/>
      <c r="Y2103" s="4" t="s">
        <v>15929</v>
      </c>
      <c r="Z2103" s="6"/>
      <c r="AA2103" s="5" t="s">
        <v>15930</v>
      </c>
    </row>
    <row r="2104" ht="14.25">
      <c r="B2104" s="4" t="s">
        <v>15931</v>
      </c>
      <c r="C2104" s="4" t="s">
        <v>255</v>
      </c>
      <c r="D2104" s="4" t="s">
        <v>4132</v>
      </c>
      <c r="E2104" s="4" t="s">
        <v>15932</v>
      </c>
      <c r="F2104" s="4" t="s">
        <v>112</v>
      </c>
      <c r="G2104" s="4" t="s">
        <v>15933</v>
      </c>
      <c r="H2104" s="4" t="str">
        <f>IFERROR(__XLUDF.DUMMYFUNCTION("PROPER(REGEXREPLACE(G681,""[^A-Za-z]+ "",""""))"),"Digital Factory Telecom")</f>
        <v xml:space="preserve">Digital Factory Telecom</v>
      </c>
      <c r="I2104" s="5" t="s">
        <v>15934</v>
      </c>
      <c r="J2104" s="4" t="s">
        <v>9195</v>
      </c>
      <c r="K2104" s="4" t="s">
        <v>9160</v>
      </c>
      <c r="L2104" s="4" t="s">
        <v>29</v>
      </c>
      <c r="M2104" s="4" t="s">
        <v>9184</v>
      </c>
      <c r="N2104" s="4" t="str">
        <f>IFERROR(__XLUDF.DUMMYFUNCTION("VLOOKUP(M681,IMPORTRANGE(""https://docs.google.com/spreadsheets/d/1opm6ZNvGZ7KditA9TuJwrZ25eFLfTNIkrNnY6mhV5Eg"",""list!A1:C115""),3,TRUE)"),"le secteur des télécommunications")</f>
        <v xml:space="preserve">le secteur des télécommunications</v>
      </c>
      <c r="O2104" s="6"/>
      <c r="P2104" s="4">
        <v>15</v>
      </c>
      <c r="Q2104" s="4" t="s">
        <v>1878</v>
      </c>
      <c r="R2104" s="4" t="s">
        <v>9160</v>
      </c>
      <c r="S2104" s="4" t="s">
        <v>29</v>
      </c>
      <c r="T2104" s="5" t="s">
        <v>15935</v>
      </c>
      <c r="U2104" s="5" t="s">
        <v>15936</v>
      </c>
      <c r="V2104" s="5" t="s">
        <v>15937</v>
      </c>
      <c r="W2104" s="6"/>
      <c r="X2104" s="6"/>
      <c r="Y2104" s="4" t="s">
        <v>15938</v>
      </c>
      <c r="Z2104" s="6"/>
      <c r="AA2104" s="5" t="s">
        <v>15939</v>
      </c>
    </row>
    <row r="2105" ht="14.25">
      <c r="B2105" s="4" t="s">
        <v>15940</v>
      </c>
      <c r="C2105" s="4" t="s">
        <v>118</v>
      </c>
      <c r="D2105" s="4" t="s">
        <v>6382</v>
      </c>
      <c r="E2105" s="4" t="s">
        <v>15941</v>
      </c>
      <c r="F2105" s="4" t="s">
        <v>112</v>
      </c>
      <c r="G2105" s="4" t="s">
        <v>15942</v>
      </c>
      <c r="H2105" s="4" t="str">
        <f>IFERROR(__XLUDF.DUMMYFUNCTION("PROPER(REGEXREPLACE(G682,""[^A-Za-z]+ "",""""))"),"22Eme Siecle")</f>
        <v xml:space="preserve">22Eme Siecle</v>
      </c>
      <c r="I2105" s="5" t="s">
        <v>15943</v>
      </c>
      <c r="J2105" s="6"/>
      <c r="K2105" s="4" t="s">
        <v>9160</v>
      </c>
      <c r="L2105" s="4" t="s">
        <v>29</v>
      </c>
      <c r="M2105" s="4" t="s">
        <v>10639</v>
      </c>
      <c r="N2105" s="4" t="str">
        <f>IFERROR(__XLUDF.DUMMYFUNCTION("VLOOKUP(M682,IMPORTRANGE(""https://docs.google.com/spreadsheets/d/1opm6ZNvGZ7KditA9TuJwrZ25eFLfTNIkrNnY6mhV5Eg"",""list!A1:C115""),3,TRUE)"),"le secteur de la communication")</f>
        <v xml:space="preserve">le secteur de la communication</v>
      </c>
      <c r="O2105" s="4" t="s">
        <v>15944</v>
      </c>
      <c r="P2105" s="4">
        <v>10</v>
      </c>
      <c r="Q2105" s="4" t="s">
        <v>15945</v>
      </c>
      <c r="R2105" s="4" t="s">
        <v>9160</v>
      </c>
      <c r="S2105" s="4" t="s">
        <v>29</v>
      </c>
      <c r="T2105" s="5" t="s">
        <v>15946</v>
      </c>
      <c r="U2105" s="6"/>
      <c r="V2105" s="6"/>
      <c r="W2105" s="6"/>
      <c r="X2105" s="6"/>
      <c r="Y2105" s="4" t="s">
        <v>15947</v>
      </c>
      <c r="Z2105" s="6"/>
      <c r="AA2105" s="5" t="s">
        <v>15948</v>
      </c>
    </row>
    <row r="2106" ht="14.25">
      <c r="B2106" s="4" t="s">
        <v>15949</v>
      </c>
      <c r="C2106" s="4" t="s">
        <v>118</v>
      </c>
      <c r="D2106" s="4" t="s">
        <v>15950</v>
      </c>
      <c r="E2106" s="4" t="s">
        <v>15951</v>
      </c>
      <c r="F2106" s="4" t="s">
        <v>1231</v>
      </c>
      <c r="G2106" s="4" t="s">
        <v>15952</v>
      </c>
      <c r="H2106" s="4" t="str">
        <f>IFERROR(__XLUDF.DUMMYFUNCTION("PROPER(REGEXREPLACE(G683,""[^A-Za-z]+ "",""""))"),"Baback")</f>
        <v>Baback</v>
      </c>
      <c r="I2106" s="5" t="s">
        <v>15953</v>
      </c>
      <c r="J2106" s="4" t="s">
        <v>39</v>
      </c>
      <c r="K2106" s="4" t="s">
        <v>9160</v>
      </c>
      <c r="L2106" s="4" t="s">
        <v>29</v>
      </c>
      <c r="M2106" s="4" t="s">
        <v>2602</v>
      </c>
      <c r="N2106" s="4" t="str">
        <f>IFERROR(__XLUDF.DUMMYFUNCTION("VLOOKUP(M683,IMPORTRANGE(""https://docs.google.com/spreadsheets/d/1opm6ZNvGZ7KditA9TuJwrZ25eFLfTNIkrNnY6mhV5Eg"",""list!A1:C115""),3,TRUE)"),"le secteur de la tech")</f>
        <v xml:space="preserve">le secteur de la tech</v>
      </c>
      <c r="O2106" s="6"/>
      <c r="P2106" s="4">
        <v>10</v>
      </c>
      <c r="Q2106" s="4" t="s">
        <v>39</v>
      </c>
      <c r="R2106" s="4" t="s">
        <v>9160</v>
      </c>
      <c r="S2106" s="4" t="s">
        <v>29</v>
      </c>
      <c r="T2106" s="5" t="s">
        <v>15954</v>
      </c>
      <c r="U2106" s="6"/>
      <c r="V2106" s="6"/>
      <c r="W2106" s="6"/>
      <c r="X2106" s="6"/>
      <c r="Y2106" s="4" t="s">
        <v>15955</v>
      </c>
      <c r="Z2106" s="6"/>
      <c r="AA2106" s="5" t="s">
        <v>15956</v>
      </c>
    </row>
    <row r="2107" ht="14.25">
      <c r="B2107" s="4" t="s">
        <v>15957</v>
      </c>
      <c r="C2107" s="4" t="s">
        <v>118</v>
      </c>
      <c r="D2107" s="4" t="s">
        <v>15958</v>
      </c>
      <c r="E2107" s="4" t="s">
        <v>15959</v>
      </c>
      <c r="F2107" s="4" t="s">
        <v>15960</v>
      </c>
      <c r="G2107" s="4" t="s">
        <v>15961</v>
      </c>
      <c r="H2107" s="4" t="str">
        <f>IFERROR(__XLUDF.DUMMYFUNCTION("PROPER(REGEXREPLACE(G684,""[^A-Za-z]+ "",""""))"),"Maison Raphaël")</f>
        <v xml:space="preserve">Maison Raphaël</v>
      </c>
      <c r="I2107" s="5" t="s">
        <v>15962</v>
      </c>
      <c r="J2107" s="4" t="s">
        <v>49</v>
      </c>
      <c r="K2107" s="4" t="s">
        <v>9251</v>
      </c>
      <c r="L2107" s="4" t="s">
        <v>29</v>
      </c>
      <c r="M2107" s="4" t="s">
        <v>4525</v>
      </c>
      <c r="N2107" s="4" t="str">
        <f>IFERROR(__XLUDF.DUMMYFUNCTION("VLOOKUP(M684,IMPORTRANGE(""https://docs.google.com/spreadsheets/d/1opm6ZNvGZ7KditA9TuJwrZ25eFLfTNIkrNnY6mhV5Eg"",""list!A1:C115""),3,TRUE)"),"le secteur du retail")</f>
        <v xml:space="preserve">le secteur du retail</v>
      </c>
      <c r="O2107" s="4" t="s">
        <v>15963</v>
      </c>
      <c r="P2107" s="4">
        <v>10</v>
      </c>
      <c r="Q2107" s="4" t="s">
        <v>39</v>
      </c>
      <c r="R2107" s="4" t="s">
        <v>9160</v>
      </c>
      <c r="S2107" s="4" t="s">
        <v>29</v>
      </c>
      <c r="T2107" s="5" t="s">
        <v>15964</v>
      </c>
      <c r="U2107" s="6"/>
      <c r="V2107" s="6"/>
      <c r="W2107" s="6"/>
      <c r="X2107" s="6"/>
      <c r="Y2107" s="4" t="s">
        <v>15965</v>
      </c>
      <c r="Z2107" s="6"/>
      <c r="AA2107" s="5" t="s">
        <v>15966</v>
      </c>
    </row>
    <row r="2108" ht="14.25">
      <c r="B2108" s="4" t="s">
        <v>15967</v>
      </c>
      <c r="C2108" s="4" t="s">
        <v>15968</v>
      </c>
      <c r="D2108" s="4" t="s">
        <v>15969</v>
      </c>
      <c r="E2108" s="4" t="s">
        <v>15970</v>
      </c>
      <c r="F2108" s="4" t="s">
        <v>112</v>
      </c>
      <c r="G2108" s="4" t="s">
        <v>15971</v>
      </c>
      <c r="H2108" s="4" t="str">
        <f>IFERROR(__XLUDF.DUMMYFUNCTION("PROPER(REGEXREPLACE(G685,""[^A-Za-z]+ "",""""))"),"Cristal")</f>
        <v>Cristal</v>
      </c>
      <c r="I2108" s="5" t="s">
        <v>15972</v>
      </c>
      <c r="J2108" s="4" t="s">
        <v>39</v>
      </c>
      <c r="K2108" s="4" t="s">
        <v>9160</v>
      </c>
      <c r="L2108" s="4" t="s">
        <v>29</v>
      </c>
      <c r="M2108" s="4" t="s">
        <v>2602</v>
      </c>
      <c r="N2108" s="4" t="str">
        <f>IFERROR(__XLUDF.DUMMYFUNCTION("VLOOKUP(M685,IMPORTRANGE(""https://docs.google.com/spreadsheets/d/1opm6ZNvGZ7KditA9TuJwrZ25eFLfTNIkrNnY6mhV5Eg"",""list!A1:C115""),3,TRUE)"),"le secteur de la tech")</f>
        <v xml:space="preserve">le secteur de la tech</v>
      </c>
      <c r="O2108" s="4" t="s">
        <v>15973</v>
      </c>
      <c r="P2108" s="4">
        <v>11</v>
      </c>
      <c r="Q2108" s="4" t="s">
        <v>15974</v>
      </c>
      <c r="R2108" s="4" t="s">
        <v>9160</v>
      </c>
      <c r="S2108" s="4" t="s">
        <v>29</v>
      </c>
      <c r="T2108" s="5" t="s">
        <v>15975</v>
      </c>
      <c r="U2108" s="5" t="s">
        <v>15976</v>
      </c>
      <c r="V2108" s="5" t="s">
        <v>15977</v>
      </c>
      <c r="W2108" s="6"/>
      <c r="X2108" s="6"/>
      <c r="Y2108" s="4" t="s">
        <v>15978</v>
      </c>
      <c r="Z2108" s="6"/>
      <c r="AA2108" s="5" t="s">
        <v>15979</v>
      </c>
    </row>
    <row r="2109" ht="14.25">
      <c r="B2109" s="4" t="s">
        <v>15980</v>
      </c>
      <c r="C2109" s="4" t="s">
        <v>15981</v>
      </c>
      <c r="D2109" s="4" t="s">
        <v>15982</v>
      </c>
      <c r="E2109" s="4" t="s">
        <v>15983</v>
      </c>
      <c r="F2109" s="4" t="s">
        <v>112</v>
      </c>
      <c r="G2109" s="4" t="s">
        <v>15984</v>
      </c>
      <c r="H2109" s="4" t="str">
        <f>IFERROR(__XLUDF.DUMMYFUNCTION("PROPER(REGEXREPLACE(G686,""[^A-Za-z]+ "",""""))"),"Fibre Alpha")</f>
        <v xml:space="preserve">Fibre Alpha</v>
      </c>
      <c r="I2109" s="5" t="s">
        <v>15985</v>
      </c>
      <c r="J2109" s="4" t="s">
        <v>10141</v>
      </c>
      <c r="K2109" s="4" t="s">
        <v>9160</v>
      </c>
      <c r="L2109" s="4" t="s">
        <v>29</v>
      </c>
      <c r="M2109" s="4" t="s">
        <v>9184</v>
      </c>
      <c r="N2109" s="4" t="str">
        <f>IFERROR(__XLUDF.DUMMYFUNCTION("VLOOKUP(M686,IMPORTRANGE(""https://docs.google.com/spreadsheets/d/1opm6ZNvGZ7KditA9TuJwrZ25eFLfTNIkrNnY6mhV5Eg"",""list!A1:C115""),3,TRUE)"),"le secteur des télécommunications")</f>
        <v xml:space="preserve">le secteur des télécommunications</v>
      </c>
      <c r="O2109" s="6"/>
      <c r="P2109" s="4">
        <v>22</v>
      </c>
      <c r="Q2109" s="4" t="s">
        <v>10141</v>
      </c>
      <c r="R2109" s="4" t="s">
        <v>9160</v>
      </c>
      <c r="S2109" s="4" t="s">
        <v>29</v>
      </c>
      <c r="T2109" s="5" t="s">
        <v>15986</v>
      </c>
      <c r="U2109" s="6"/>
      <c r="V2109" s="6"/>
      <c r="W2109" s="6"/>
      <c r="X2109" s="6"/>
      <c r="Y2109" s="4" t="s">
        <v>15987</v>
      </c>
      <c r="Z2109" s="6"/>
      <c r="AA2109" s="5" t="s">
        <v>15988</v>
      </c>
    </row>
    <row r="2110" ht="14.25">
      <c r="B2110" s="4" t="s">
        <v>15989</v>
      </c>
      <c r="C2110" s="4" t="s">
        <v>15990</v>
      </c>
      <c r="D2110" s="4" t="s">
        <v>15991</v>
      </c>
      <c r="E2110" s="4" t="s">
        <v>15992</v>
      </c>
      <c r="F2110" s="4" t="s">
        <v>9849</v>
      </c>
      <c r="G2110" s="4" t="s">
        <v>15993</v>
      </c>
      <c r="H2110" s="4" t="str">
        <f>IFERROR(__XLUDF.DUMMYFUNCTION("PROPER(REGEXREPLACE(G687,""[^A-Za-z]+ "",""""))"),"Tec3H")</f>
        <v>Tec3H</v>
      </c>
      <c r="I2110" s="5" t="s">
        <v>15994</v>
      </c>
      <c r="J2110" s="4" t="s">
        <v>15995</v>
      </c>
      <c r="K2110" s="4" t="s">
        <v>9227</v>
      </c>
      <c r="L2110" s="4" t="s">
        <v>29</v>
      </c>
      <c r="M2110" s="4" t="s">
        <v>2602</v>
      </c>
      <c r="N2110" s="4" t="str">
        <f>IFERROR(__XLUDF.DUMMYFUNCTION("VLOOKUP(M687,IMPORTRANGE(""https://docs.google.com/spreadsheets/d/1opm6ZNvGZ7KditA9TuJwrZ25eFLfTNIkrNnY6mhV5Eg"",""list!A1:C115""),3,TRUE)"),"le secteur de la tech")</f>
        <v xml:space="preserve">le secteur de la tech</v>
      </c>
      <c r="O2110" s="4" t="s">
        <v>15996</v>
      </c>
      <c r="P2110" s="4">
        <v>17</v>
      </c>
      <c r="Q2110" s="4" t="s">
        <v>15997</v>
      </c>
      <c r="R2110" s="4" t="s">
        <v>10973</v>
      </c>
      <c r="S2110" s="4" t="s">
        <v>29</v>
      </c>
      <c r="T2110" s="5" t="s">
        <v>15998</v>
      </c>
      <c r="U2110" s="5" t="s">
        <v>15999</v>
      </c>
      <c r="V2110" s="5" t="s">
        <v>16000</v>
      </c>
      <c r="W2110" s="6"/>
      <c r="X2110" s="6"/>
      <c r="Y2110" s="4" t="s">
        <v>16001</v>
      </c>
      <c r="Z2110" s="6"/>
      <c r="AA2110" s="5" t="s">
        <v>16002</v>
      </c>
    </row>
    <row r="2111" ht="14.25">
      <c r="B2111" s="4" t="s">
        <v>16003</v>
      </c>
      <c r="C2111" s="4" t="s">
        <v>5252</v>
      </c>
      <c r="D2111" s="4" t="s">
        <v>1324</v>
      </c>
      <c r="E2111" s="4" t="s">
        <v>16004</v>
      </c>
      <c r="F2111" s="4" t="s">
        <v>16005</v>
      </c>
      <c r="G2111" s="4" t="s">
        <v>16006</v>
      </c>
      <c r="H2111" s="4" t="str">
        <f>IFERROR(__XLUDF.DUMMYFUNCTION("PROPER(REGEXREPLACE(G688,""[^A-Za-z]+ "",""""))"),"Nextmove")</f>
        <v>Nextmove</v>
      </c>
      <c r="I2111" s="5" t="s">
        <v>16007</v>
      </c>
      <c r="J2111" s="4" t="s">
        <v>39</v>
      </c>
      <c r="K2111" s="4" t="s">
        <v>9160</v>
      </c>
      <c r="L2111" s="4" t="s">
        <v>29</v>
      </c>
      <c r="M2111" s="4" t="s">
        <v>4067</v>
      </c>
      <c r="N2111" s="4" t="str">
        <f>IFERROR(__XLUDF.DUMMYFUNCTION("VLOOKUP(M688,IMPORTRANGE(""https://docs.google.com/spreadsheets/d/1opm6ZNvGZ7KditA9TuJwrZ25eFLfTNIkrNnY6mhV5Eg"",""list!A1:C115""),3,TRUE)"),"le secteur du conseil en management")</f>
        <v xml:space="preserve">le secteur du conseil en management</v>
      </c>
      <c r="O2111" s="4" t="s">
        <v>16008</v>
      </c>
      <c r="P2111" s="4">
        <v>47</v>
      </c>
      <c r="Q2111" s="4" t="s">
        <v>16009</v>
      </c>
      <c r="R2111" s="4" t="s">
        <v>9226</v>
      </c>
      <c r="S2111" s="4" t="s">
        <v>29</v>
      </c>
      <c r="T2111" s="5" t="s">
        <v>16010</v>
      </c>
      <c r="U2111" s="6"/>
      <c r="V2111" s="6"/>
      <c r="W2111" s="6"/>
      <c r="X2111" s="6"/>
      <c r="Y2111" s="4" t="s">
        <v>16011</v>
      </c>
      <c r="Z2111" s="6"/>
      <c r="AA2111" s="5" t="s">
        <v>16012</v>
      </c>
    </row>
    <row r="2112" ht="14.25">
      <c r="B2112" s="4" t="s">
        <v>16013</v>
      </c>
      <c r="C2112" s="4" t="s">
        <v>5252</v>
      </c>
      <c r="D2112" s="4" t="s">
        <v>16014</v>
      </c>
      <c r="E2112" s="4" t="s">
        <v>16015</v>
      </c>
      <c r="F2112" s="4" t="s">
        <v>8042</v>
      </c>
      <c r="G2112" s="4" t="s">
        <v>16016</v>
      </c>
      <c r="H2112" s="4" t="str">
        <f>IFERROR(__XLUDF.DUMMYFUNCTION("PROPER(REGEXREPLACE(G689,""[^A-Za-z]+ "",""""))"),"Turnk")</f>
        <v>Turnk</v>
      </c>
      <c r="I2112" s="5" t="s">
        <v>16017</v>
      </c>
      <c r="J2112" s="4" t="s">
        <v>39</v>
      </c>
      <c r="K2112" s="4" t="s">
        <v>9160</v>
      </c>
      <c r="L2112" s="4" t="s">
        <v>29</v>
      </c>
      <c r="M2112" s="4" t="s">
        <v>2602</v>
      </c>
      <c r="N2112" s="4" t="str">
        <f>IFERROR(__XLUDF.DUMMYFUNCTION("VLOOKUP(M689,IMPORTRANGE(""https://docs.google.com/spreadsheets/d/1opm6ZNvGZ7KditA9TuJwrZ25eFLfTNIkrNnY6mhV5Eg"",""list!A1:C115""),3,TRUE)"),"le secteur de la tech")</f>
        <v xml:space="preserve">le secteur de la tech</v>
      </c>
      <c r="O2112" s="4" t="s">
        <v>16018</v>
      </c>
      <c r="P2112" s="4">
        <v>23</v>
      </c>
      <c r="Q2112" s="4" t="s">
        <v>243</v>
      </c>
      <c r="R2112" s="4" t="s">
        <v>10390</v>
      </c>
      <c r="S2112" s="4" t="s">
        <v>29</v>
      </c>
      <c r="T2112" s="5" t="s">
        <v>16019</v>
      </c>
      <c r="U2112" s="6"/>
      <c r="V2112" s="6"/>
      <c r="W2112" s="6"/>
      <c r="X2112" s="6"/>
      <c r="Y2112" s="4" t="s">
        <v>16020</v>
      </c>
      <c r="Z2112" s="6"/>
      <c r="AA2112" s="5" t="s">
        <v>16021</v>
      </c>
    </row>
    <row r="2113" ht="14.25">
      <c r="B2113" s="4" t="s">
        <v>16022</v>
      </c>
      <c r="C2113" s="4" t="s">
        <v>3165</v>
      </c>
      <c r="D2113" s="4" t="s">
        <v>16023</v>
      </c>
      <c r="E2113" s="4" t="s">
        <v>16024</v>
      </c>
      <c r="F2113" s="4" t="s">
        <v>7759</v>
      </c>
      <c r="G2113" s="4" t="s">
        <v>16025</v>
      </c>
      <c r="H2113" s="4" t="str">
        <f>IFERROR(__XLUDF.DUMMYFUNCTION("PROPER(REGEXREPLACE(G690,""[^A-Za-z]+ "",""""))"),"I3Konnect")</f>
        <v>I3Konnect</v>
      </c>
      <c r="I2113" s="5" t="s">
        <v>16026</v>
      </c>
      <c r="J2113" s="4" t="s">
        <v>1711</v>
      </c>
      <c r="K2113" s="4" t="s">
        <v>9350</v>
      </c>
      <c r="L2113" s="4" t="s">
        <v>29</v>
      </c>
      <c r="M2113" s="4" t="s">
        <v>2602</v>
      </c>
      <c r="N2113" s="4" t="str">
        <f>IFERROR(__XLUDF.DUMMYFUNCTION("VLOOKUP(M690,IMPORTRANGE(""https://docs.google.com/spreadsheets/d/1opm6ZNvGZ7KditA9TuJwrZ25eFLfTNIkrNnY6mhV5Eg"",""list!A1:C115""),3,TRUE)"),"le secteur de la tech")</f>
        <v xml:space="preserve">le secteur de la tech</v>
      </c>
      <c r="O2113" s="4" t="s">
        <v>16027</v>
      </c>
      <c r="P2113" s="4">
        <v>13</v>
      </c>
      <c r="Q2113" s="4" t="s">
        <v>8318</v>
      </c>
      <c r="R2113" s="4" t="s">
        <v>9350</v>
      </c>
      <c r="S2113" s="4" t="s">
        <v>29</v>
      </c>
      <c r="T2113" s="5" t="s">
        <v>16028</v>
      </c>
      <c r="U2113" s="6"/>
      <c r="V2113" s="6"/>
      <c r="W2113" s="6"/>
      <c r="X2113" s="6"/>
      <c r="Y2113" s="4" t="s">
        <v>16029</v>
      </c>
      <c r="Z2113" s="6"/>
      <c r="AA2113" s="5" t="s">
        <v>16030</v>
      </c>
    </row>
    <row r="2114" ht="14.25">
      <c r="B2114" s="4" t="s">
        <v>16031</v>
      </c>
      <c r="C2114" s="4" t="s">
        <v>279</v>
      </c>
      <c r="D2114" s="4" t="s">
        <v>16032</v>
      </c>
      <c r="E2114" s="4" t="s">
        <v>16033</v>
      </c>
      <c r="F2114" s="4" t="s">
        <v>16034</v>
      </c>
      <c r="G2114" s="4" t="s">
        <v>16035</v>
      </c>
      <c r="H2114" s="4" t="str">
        <f>IFERROR(__XLUDF.DUMMYFUNCTION("PROPER(REGEXREPLACE(G691,""[^A-Za-z]+ "",""""))"),"Everdata")</f>
        <v>Everdata</v>
      </c>
      <c r="I2114" s="5" t="s">
        <v>16036</v>
      </c>
      <c r="J2114" s="4" t="s">
        <v>6848</v>
      </c>
      <c r="K2114" s="4" t="s">
        <v>9160</v>
      </c>
      <c r="L2114" s="4" t="s">
        <v>29</v>
      </c>
      <c r="M2114" s="4" t="s">
        <v>2602</v>
      </c>
      <c r="N2114" s="4" t="str">
        <f>IFERROR(__XLUDF.DUMMYFUNCTION("VLOOKUP(M691,IMPORTRANGE(""https://docs.google.com/spreadsheets/d/1opm6ZNvGZ7KditA9TuJwrZ25eFLfTNIkrNnY6mhV5Eg"",""list!A1:C115""),3,TRUE)"),"le secteur de la tech")</f>
        <v xml:space="preserve">le secteur de la tech</v>
      </c>
      <c r="O2114" s="4" t="s">
        <v>16037</v>
      </c>
      <c r="P2114" s="4">
        <v>16</v>
      </c>
      <c r="Q2114" s="4" t="s">
        <v>6848</v>
      </c>
      <c r="R2114" s="4" t="s">
        <v>9160</v>
      </c>
      <c r="S2114" s="4" t="s">
        <v>29</v>
      </c>
      <c r="T2114" s="5" t="s">
        <v>16038</v>
      </c>
      <c r="U2114" s="6"/>
      <c r="V2114" s="6"/>
      <c r="W2114" s="6"/>
      <c r="X2114" s="6"/>
      <c r="Y2114" s="4" t="s">
        <v>16039</v>
      </c>
      <c r="Z2114" s="6"/>
      <c r="AA2114" s="5" t="s">
        <v>16040</v>
      </c>
    </row>
    <row r="2115" ht="14.25">
      <c r="B2115" s="4" t="s">
        <v>16041</v>
      </c>
      <c r="C2115" s="4" t="s">
        <v>118</v>
      </c>
      <c r="D2115" s="4" t="s">
        <v>16042</v>
      </c>
      <c r="E2115" s="4" t="s">
        <v>16043</v>
      </c>
      <c r="F2115" s="4" t="s">
        <v>16044</v>
      </c>
      <c r="G2115" s="4" t="s">
        <v>16045</v>
      </c>
      <c r="H2115" s="4" t="str">
        <f>IFERROR(__XLUDF.DUMMYFUNCTION("PROPER(REGEXREPLACE(G692,""[^A-Za-z]+ "",""""))"),"Talenco Formations")</f>
        <v xml:space="preserve">Talenco Formations</v>
      </c>
      <c r="I2115" s="5" t="s">
        <v>16046</v>
      </c>
      <c r="J2115" s="4" t="s">
        <v>39</v>
      </c>
      <c r="K2115" s="4" t="s">
        <v>9160</v>
      </c>
      <c r="L2115" s="4" t="s">
        <v>29</v>
      </c>
      <c r="M2115" s="4" t="s">
        <v>4067</v>
      </c>
      <c r="N2115" s="4" t="str">
        <f>IFERROR(__XLUDF.DUMMYFUNCTION("VLOOKUP(M692,IMPORTRANGE(""https://docs.google.com/spreadsheets/d/1opm6ZNvGZ7KditA9TuJwrZ25eFLfTNIkrNnY6mhV5Eg"",""list!A1:C115""),3,TRUE)"),"le secteur du conseil en management")</f>
        <v xml:space="preserve">le secteur du conseil en management</v>
      </c>
      <c r="O2115" s="4" t="s">
        <v>16047</v>
      </c>
      <c r="P2115" s="4">
        <v>21</v>
      </c>
      <c r="Q2115" s="4" t="s">
        <v>39</v>
      </c>
      <c r="R2115" s="4" t="s">
        <v>9160</v>
      </c>
      <c r="S2115" s="4" t="s">
        <v>29</v>
      </c>
      <c r="T2115" s="5" t="s">
        <v>16048</v>
      </c>
      <c r="U2115" s="5" t="s">
        <v>16049</v>
      </c>
      <c r="V2115" s="5" t="s">
        <v>16050</v>
      </c>
      <c r="W2115" s="6"/>
      <c r="X2115" s="6"/>
      <c r="Y2115" s="4" t="s">
        <v>16051</v>
      </c>
      <c r="Z2115" s="6"/>
      <c r="AA2115" s="5" t="s">
        <v>16052</v>
      </c>
    </row>
    <row r="2116" ht="14.25">
      <c r="B2116" s="4" t="s">
        <v>16053</v>
      </c>
      <c r="C2116" s="4" t="s">
        <v>15990</v>
      </c>
      <c r="D2116" s="4" t="s">
        <v>16054</v>
      </c>
      <c r="E2116" s="4" t="s">
        <v>16055</v>
      </c>
      <c r="F2116" s="4" t="s">
        <v>112</v>
      </c>
      <c r="G2116" s="4" t="s">
        <v>16056</v>
      </c>
      <c r="H2116" s="4" t="str">
        <f>IFERROR(__XLUDF.DUMMYFUNCTION("PROPER(REGEXREPLACE(G693,""[^A-Za-z]+ "",""""))"),"Evogest Logest")</f>
        <v xml:space="preserve">Evogest Logest</v>
      </c>
      <c r="I2116" s="5" t="s">
        <v>16057</v>
      </c>
      <c r="J2116" s="6"/>
      <c r="K2116" s="4" t="s">
        <v>9160</v>
      </c>
      <c r="L2116" s="4" t="s">
        <v>29</v>
      </c>
      <c r="M2116" s="4" t="s">
        <v>2602</v>
      </c>
      <c r="N2116" s="4" t="str">
        <f>IFERROR(__XLUDF.DUMMYFUNCTION("VLOOKUP(M693,IMPORTRANGE(""https://docs.google.com/spreadsheets/d/1opm6ZNvGZ7KditA9TuJwrZ25eFLfTNIkrNnY6mhV5Eg"",""list!A1:C115""),3,TRUE)"),"le secteur de la tech")</f>
        <v xml:space="preserve">le secteur de la tech</v>
      </c>
      <c r="O2116" s="4" t="s">
        <v>16058</v>
      </c>
      <c r="P2116" s="4">
        <v>19</v>
      </c>
      <c r="Q2116" s="4" t="s">
        <v>16059</v>
      </c>
      <c r="R2116" s="4" t="s">
        <v>9160</v>
      </c>
      <c r="S2116" s="4" t="s">
        <v>29</v>
      </c>
      <c r="T2116" s="5" t="s">
        <v>16060</v>
      </c>
      <c r="U2116" s="6"/>
      <c r="V2116" s="5" t="s">
        <v>16061</v>
      </c>
      <c r="W2116" s="6"/>
      <c r="X2116" s="6"/>
      <c r="Y2116" s="4" t="s">
        <v>16062</v>
      </c>
      <c r="Z2116" s="6"/>
      <c r="AA2116" s="5" t="s">
        <v>16063</v>
      </c>
    </row>
    <row r="2117" ht="14.25">
      <c r="B2117" s="4" t="s">
        <v>16064</v>
      </c>
      <c r="C2117" s="4" t="s">
        <v>6390</v>
      </c>
      <c r="D2117" s="4" t="s">
        <v>16065</v>
      </c>
      <c r="E2117" s="4" t="s">
        <v>16066</v>
      </c>
      <c r="F2117" s="4" t="s">
        <v>16067</v>
      </c>
      <c r="G2117" s="4" t="s">
        <v>16068</v>
      </c>
      <c r="H2117" s="4" t="str">
        <f>IFERROR(__XLUDF.DUMMYFUNCTION("PROPER(REGEXREPLACE(G694,""[^A-Za-z]+ "",""""))"),"Placeme")</f>
        <v>Placeme</v>
      </c>
      <c r="I2117" s="5" t="s">
        <v>16069</v>
      </c>
      <c r="J2117" s="4" t="s">
        <v>83</v>
      </c>
      <c r="K2117" s="4" t="s">
        <v>9460</v>
      </c>
      <c r="L2117" s="4" t="s">
        <v>29</v>
      </c>
      <c r="M2117" s="4" t="s">
        <v>2602</v>
      </c>
      <c r="N2117" s="4" t="str">
        <f>IFERROR(__XLUDF.DUMMYFUNCTION("VLOOKUP(M694,IMPORTRANGE(""https://docs.google.com/spreadsheets/d/1opm6ZNvGZ7KditA9TuJwrZ25eFLfTNIkrNnY6mhV5Eg"",""list!A1:C115""),3,TRUE)"),"le secteur de la tech")</f>
        <v xml:space="preserve">le secteur de la tech</v>
      </c>
      <c r="O2117" s="4" t="s">
        <v>16070</v>
      </c>
      <c r="P2117" s="4">
        <v>14</v>
      </c>
      <c r="Q2117" s="4" t="s">
        <v>83</v>
      </c>
      <c r="R2117" s="4" t="s">
        <v>9463</v>
      </c>
      <c r="S2117" s="4" t="s">
        <v>29</v>
      </c>
      <c r="T2117" s="5" t="s">
        <v>16071</v>
      </c>
      <c r="U2117" s="5" t="s">
        <v>16072</v>
      </c>
      <c r="V2117" s="5" t="s">
        <v>16073</v>
      </c>
      <c r="W2117" s="6"/>
      <c r="X2117" s="6"/>
      <c r="Y2117" s="4" t="s">
        <v>16074</v>
      </c>
      <c r="Z2117" s="6"/>
      <c r="AA2117" s="5" t="s">
        <v>16075</v>
      </c>
    </row>
    <row r="2118" ht="14.25">
      <c r="B2118" s="4" t="s">
        <v>16076</v>
      </c>
      <c r="C2118" s="4" t="s">
        <v>255</v>
      </c>
      <c r="D2118" s="4" t="s">
        <v>16077</v>
      </c>
      <c r="E2118" s="4" t="s">
        <v>16078</v>
      </c>
      <c r="F2118" s="4" t="s">
        <v>16079</v>
      </c>
      <c r="G2118" s="4" t="s">
        <v>16080</v>
      </c>
      <c r="H2118" s="4" t="str">
        <f>IFERROR(__XLUDF.DUMMYFUNCTION("PROPER(REGEXREPLACE(G695,""[^A-Za-z]+ "",""""))"),"Aprex Solutions")</f>
        <v xml:space="preserve">Aprex Solutions</v>
      </c>
      <c r="I2118" s="5" t="s">
        <v>16081</v>
      </c>
      <c r="J2118" s="4" t="s">
        <v>1780</v>
      </c>
      <c r="K2118" s="4" t="s">
        <v>9215</v>
      </c>
      <c r="L2118" s="4" t="s">
        <v>29</v>
      </c>
      <c r="M2118" s="4" t="s">
        <v>2602</v>
      </c>
      <c r="N2118" s="4" t="str">
        <f>IFERROR(__XLUDF.DUMMYFUNCTION("VLOOKUP(M695,IMPORTRANGE(""https://docs.google.com/spreadsheets/d/1opm6ZNvGZ7KditA9TuJwrZ25eFLfTNIkrNnY6mhV5Eg"",""list!A1:C115""),3,TRUE)"),"le secteur de la tech")</f>
        <v xml:space="preserve">le secteur de la tech</v>
      </c>
      <c r="O2118" s="4" t="s">
        <v>16082</v>
      </c>
      <c r="P2118" s="4">
        <v>21</v>
      </c>
      <c r="Q2118" s="4" t="s">
        <v>1780</v>
      </c>
      <c r="R2118" s="4" t="s">
        <v>9215</v>
      </c>
      <c r="S2118" s="4" t="s">
        <v>29</v>
      </c>
      <c r="T2118" s="5" t="s">
        <v>16083</v>
      </c>
      <c r="U2118" s="6"/>
      <c r="V2118" s="6"/>
      <c r="W2118" s="6"/>
      <c r="X2118" s="6"/>
      <c r="Y2118" s="4" t="s">
        <v>16084</v>
      </c>
      <c r="Z2118" s="6"/>
      <c r="AA2118" s="5" t="s">
        <v>16085</v>
      </c>
    </row>
    <row r="2119" ht="14.25">
      <c r="B2119" s="4" t="s">
        <v>16086</v>
      </c>
      <c r="C2119" s="4" t="s">
        <v>255</v>
      </c>
      <c r="D2119" s="4" t="s">
        <v>16087</v>
      </c>
      <c r="E2119" s="4" t="s">
        <v>16088</v>
      </c>
      <c r="F2119" s="4" t="s">
        <v>9456</v>
      </c>
      <c r="G2119" s="4" t="s">
        <v>16089</v>
      </c>
      <c r="H2119" s="4" t="str">
        <f>IFERROR(__XLUDF.DUMMYFUNCTION("PROPER(REGEXREPLACE(G696,""[^A-Za-z]+ "",""""))"),"Mpm My Project Manager")</f>
        <v xml:space="preserve">Mpm My Project Manager</v>
      </c>
      <c r="I2119" s="5" t="s">
        <v>16090</v>
      </c>
      <c r="J2119" s="4" t="s">
        <v>846</v>
      </c>
      <c r="K2119" s="4" t="s">
        <v>9278</v>
      </c>
      <c r="L2119" s="4" t="s">
        <v>29</v>
      </c>
      <c r="M2119" s="4" t="s">
        <v>9239</v>
      </c>
      <c r="N2119" s="4" t="str">
        <f>IFERROR(__XLUDF.DUMMYFUNCTION("VLOOKUP(M696,IMPORTRANGE(""https://docs.google.com/spreadsheets/d/1opm6ZNvGZ7KditA9TuJwrZ25eFLfTNIkrNnY6mhV5Eg"",""list!A1:C115""),3,TRUE)"),"le secteur de la construction")</f>
        <v xml:space="preserve">le secteur de la construction</v>
      </c>
      <c r="O2119" s="4" t="s">
        <v>16091</v>
      </c>
      <c r="P2119" s="4">
        <v>19</v>
      </c>
      <c r="Q2119" s="4" t="s">
        <v>6339</v>
      </c>
      <c r="R2119" s="4" t="s">
        <v>9281</v>
      </c>
      <c r="S2119" s="4" t="s">
        <v>29</v>
      </c>
      <c r="T2119" s="5" t="s">
        <v>16092</v>
      </c>
      <c r="U2119" s="6"/>
      <c r="V2119" s="6"/>
      <c r="W2119" s="6"/>
      <c r="X2119" s="6"/>
      <c r="Y2119" s="4" t="s">
        <v>16093</v>
      </c>
      <c r="Z2119" s="6"/>
      <c r="AA2119" s="5" t="s">
        <v>16094</v>
      </c>
    </row>
    <row r="2120" ht="14.25">
      <c r="B2120" s="4" t="s">
        <v>16095</v>
      </c>
      <c r="C2120" s="4" t="s">
        <v>255</v>
      </c>
      <c r="D2120" s="4" t="s">
        <v>16096</v>
      </c>
      <c r="E2120" s="4" t="s">
        <v>16097</v>
      </c>
      <c r="F2120" s="4" t="s">
        <v>341</v>
      </c>
      <c r="G2120" s="4" t="s">
        <v>16098</v>
      </c>
      <c r="H2120" s="4" t="str">
        <f>IFERROR(__XLUDF.DUMMYFUNCTION("PROPER(REGEXREPLACE(G697,""[^A-Za-z]+ "",""""))"),"Kiviak Technologies")</f>
        <v xml:space="preserve">Kiviak Technologies</v>
      </c>
      <c r="I2120" s="5" t="s">
        <v>16099</v>
      </c>
      <c r="J2120" s="4" t="s">
        <v>3848</v>
      </c>
      <c r="K2120" s="4" t="s">
        <v>9251</v>
      </c>
      <c r="L2120" s="4" t="s">
        <v>29</v>
      </c>
      <c r="M2120" s="4" t="s">
        <v>2602</v>
      </c>
      <c r="N2120" s="4" t="str">
        <f>IFERROR(__XLUDF.DUMMYFUNCTION("VLOOKUP(M697,IMPORTRANGE(""https://docs.google.com/spreadsheets/d/1opm6ZNvGZ7KditA9TuJwrZ25eFLfTNIkrNnY6mhV5Eg"",""list!A1:C115""),3,TRUE)"),"le secteur de la tech")</f>
        <v xml:space="preserve">le secteur de la tech</v>
      </c>
      <c r="O2120" s="6"/>
      <c r="P2120" s="4">
        <v>12</v>
      </c>
      <c r="Q2120" s="4" t="s">
        <v>3848</v>
      </c>
      <c r="R2120" s="4" t="s">
        <v>9251</v>
      </c>
      <c r="S2120" s="4" t="s">
        <v>29</v>
      </c>
      <c r="T2120" s="5" t="s">
        <v>16100</v>
      </c>
      <c r="U2120" s="6"/>
      <c r="V2120" s="6"/>
      <c r="W2120" s="6"/>
      <c r="X2120" s="6"/>
      <c r="Y2120" s="4" t="s">
        <v>16101</v>
      </c>
      <c r="Z2120" s="6"/>
      <c r="AA2120" s="5" t="s">
        <v>16102</v>
      </c>
    </row>
    <row r="2121" ht="14.25">
      <c r="B2121" s="4" t="s">
        <v>16103</v>
      </c>
      <c r="C2121" s="4" t="s">
        <v>255</v>
      </c>
      <c r="D2121" s="4" t="s">
        <v>16104</v>
      </c>
      <c r="E2121" s="4" t="s">
        <v>16105</v>
      </c>
      <c r="F2121" s="4" t="s">
        <v>16106</v>
      </c>
      <c r="G2121" s="4" t="s">
        <v>16107</v>
      </c>
      <c r="H2121" s="4" t="str">
        <f>IFERROR(__XLUDF.DUMMYFUNCTION("PROPER(REGEXREPLACE(G698,""[^A-Za-z]+ "",""""))"),"Izigroup")</f>
        <v>Izigroup</v>
      </c>
      <c r="I2121" s="6"/>
      <c r="J2121" s="4" t="s">
        <v>185</v>
      </c>
      <c r="K2121" s="4" t="s">
        <v>9193</v>
      </c>
      <c r="L2121" s="4" t="s">
        <v>29</v>
      </c>
      <c r="M2121" s="4" t="s">
        <v>4067</v>
      </c>
      <c r="N2121" s="4" t="str">
        <f>IFERROR(__XLUDF.DUMMYFUNCTION("VLOOKUP(M698,IMPORTRANGE(""https://docs.google.com/spreadsheets/d/1opm6ZNvGZ7KditA9TuJwrZ25eFLfTNIkrNnY6mhV5Eg"",""list!A1:C115""),3,TRUE)"),"le secteur du conseil en management")</f>
        <v xml:space="preserve">le secteur du conseil en management</v>
      </c>
      <c r="O2121" s="6"/>
      <c r="P2121" s="4">
        <v>14</v>
      </c>
      <c r="Q2121" s="4" t="s">
        <v>185</v>
      </c>
      <c r="R2121" s="4" t="s">
        <v>9193</v>
      </c>
      <c r="S2121" s="4" t="s">
        <v>29</v>
      </c>
      <c r="T2121" s="5" t="s">
        <v>16108</v>
      </c>
      <c r="U2121" s="6"/>
      <c r="V2121" s="6"/>
      <c r="W2121" s="6"/>
      <c r="X2121" s="6"/>
      <c r="Y2121" s="4" t="s">
        <v>16109</v>
      </c>
      <c r="Z2121" s="6"/>
      <c r="AA2121" s="5" t="s">
        <v>16110</v>
      </c>
    </row>
    <row r="2122" ht="14.25">
      <c r="B2122" s="4" t="s">
        <v>16111</v>
      </c>
      <c r="C2122" s="4" t="s">
        <v>255</v>
      </c>
      <c r="D2122" s="4" t="s">
        <v>16112</v>
      </c>
      <c r="E2122" s="4" t="s">
        <v>16113</v>
      </c>
      <c r="F2122" s="4" t="s">
        <v>1231</v>
      </c>
      <c r="G2122" s="4" t="s">
        <v>16114</v>
      </c>
      <c r="H2122" s="4" t="str">
        <f>IFERROR(__XLUDF.DUMMYFUNCTION("PROPER(REGEXREPLACE(G699,""[^A-Za-z]+ "",""""))"),"Capture Solutions")</f>
        <v xml:space="preserve">Capture Solutions</v>
      </c>
      <c r="I2122" s="5" t="s">
        <v>16115</v>
      </c>
      <c r="J2122" s="4" t="s">
        <v>11278</v>
      </c>
      <c r="K2122" s="4" t="s">
        <v>9160</v>
      </c>
      <c r="L2122" s="4" t="s">
        <v>29</v>
      </c>
      <c r="M2122" s="4" t="s">
        <v>4525</v>
      </c>
      <c r="N2122" s="4" t="str">
        <f>IFERROR(__XLUDF.DUMMYFUNCTION("VLOOKUP(M699,IMPORTRANGE(""https://docs.google.com/spreadsheets/d/1opm6ZNvGZ7KditA9TuJwrZ25eFLfTNIkrNnY6mhV5Eg"",""list!A1:C115""),3,TRUE)"),"le secteur du retail")</f>
        <v xml:space="preserve">le secteur du retail</v>
      </c>
      <c r="O2122" s="4" t="s">
        <v>16116</v>
      </c>
      <c r="P2122" s="4">
        <v>12</v>
      </c>
      <c r="Q2122" s="4" t="s">
        <v>11278</v>
      </c>
      <c r="R2122" s="4" t="s">
        <v>9160</v>
      </c>
      <c r="S2122" s="4" t="s">
        <v>29</v>
      </c>
      <c r="T2122" s="5" t="s">
        <v>16117</v>
      </c>
      <c r="U2122" s="6"/>
      <c r="V2122" s="6"/>
      <c r="W2122" s="6"/>
      <c r="X2122" s="6"/>
      <c r="Y2122" s="4" t="s">
        <v>16118</v>
      </c>
      <c r="Z2122" s="6"/>
      <c r="AA2122" s="5" t="s">
        <v>16119</v>
      </c>
    </row>
    <row r="2123" ht="14.25">
      <c r="B2123" s="4" t="s">
        <v>16120</v>
      </c>
      <c r="C2123" s="4" t="s">
        <v>255</v>
      </c>
      <c r="D2123" s="4" t="s">
        <v>16121</v>
      </c>
      <c r="E2123" s="4" t="s">
        <v>16122</v>
      </c>
      <c r="F2123" s="4" t="s">
        <v>120</v>
      </c>
      <c r="G2123" s="4" t="s">
        <v>16123</v>
      </c>
      <c r="H2123" s="4" t="str">
        <f>IFERROR(__XLUDF.DUMMYFUNCTION("PROPER(REGEXREPLACE(G700,""[^A-Za-z]+ "",""""))"),"Tremplin Numerique")</f>
        <v xml:space="preserve">Tremplin Numerique</v>
      </c>
      <c r="I2123" s="5" t="s">
        <v>16124</v>
      </c>
      <c r="J2123" s="4" t="s">
        <v>482</v>
      </c>
      <c r="K2123" s="4" t="s">
        <v>9460</v>
      </c>
      <c r="L2123" s="4" t="s">
        <v>29</v>
      </c>
      <c r="M2123" s="4" t="s">
        <v>9161</v>
      </c>
      <c r="N2123" s="4" t="str">
        <f>IFERROR(__XLUDF.DUMMYFUNCTION("VLOOKUP(M700,IMPORTRANGE(""https://docs.google.com/spreadsheets/d/1opm6ZNvGZ7KditA9TuJwrZ25eFLfTNIkrNnY6mhV5Eg"",""list!A1:C115""),3,TRUE)"),"le secteur du marketing")</f>
        <v xml:space="preserve">le secteur du marketing</v>
      </c>
      <c r="O2123" s="4" t="s">
        <v>16125</v>
      </c>
      <c r="P2123" s="4">
        <v>10</v>
      </c>
      <c r="Q2123" s="4" t="s">
        <v>16126</v>
      </c>
      <c r="R2123" s="4" t="s">
        <v>16127</v>
      </c>
      <c r="S2123" s="4" t="s">
        <v>16128</v>
      </c>
      <c r="T2123" s="5" t="s">
        <v>16129</v>
      </c>
      <c r="U2123" s="6"/>
      <c r="V2123" s="6"/>
      <c r="W2123" s="6"/>
      <c r="X2123" s="6"/>
      <c r="Y2123" s="4" t="s">
        <v>16130</v>
      </c>
      <c r="Z2123" s="6"/>
      <c r="AA2123" s="5" t="s">
        <v>16131</v>
      </c>
    </row>
    <row r="2124" ht="14.25">
      <c r="B2124" s="4" t="s">
        <v>16132</v>
      </c>
      <c r="C2124" s="4" t="s">
        <v>16133</v>
      </c>
      <c r="D2124" s="4" t="s">
        <v>16134</v>
      </c>
      <c r="E2124" s="4" t="s">
        <v>16135</v>
      </c>
      <c r="F2124" s="4" t="s">
        <v>120</v>
      </c>
      <c r="G2124" s="4" t="s">
        <v>16136</v>
      </c>
      <c r="H2124" s="4" t="str">
        <f>IFERROR(__XLUDF.DUMMYFUNCTION("PROPER(REGEXREPLACE(G701,""[^A-Za-z]+ "",""""))"),"Timicmac")</f>
        <v>Timicmac</v>
      </c>
      <c r="I2124" s="5" t="s">
        <v>16137</v>
      </c>
      <c r="J2124" s="4" t="s">
        <v>439</v>
      </c>
      <c r="K2124" s="4" t="s">
        <v>9227</v>
      </c>
      <c r="L2124" s="4" t="s">
        <v>29</v>
      </c>
      <c r="M2124" s="4" t="s">
        <v>4525</v>
      </c>
      <c r="N2124" s="4" t="str">
        <f>IFERROR(__XLUDF.DUMMYFUNCTION("VLOOKUP(M701,IMPORTRANGE(""https://docs.google.com/spreadsheets/d/1opm6ZNvGZ7KditA9TuJwrZ25eFLfTNIkrNnY6mhV5Eg"",""list!A1:C115""),3,TRUE)"),"le secteur du retail")</f>
        <v xml:space="preserve">le secteur du retail</v>
      </c>
      <c r="O2124" s="4" t="s">
        <v>16138</v>
      </c>
      <c r="P2124" s="4">
        <v>12</v>
      </c>
      <c r="Q2124" s="4" t="s">
        <v>16139</v>
      </c>
      <c r="R2124" s="4" t="s">
        <v>10973</v>
      </c>
      <c r="S2124" s="4" t="s">
        <v>29</v>
      </c>
      <c r="T2124" s="5" t="s">
        <v>16140</v>
      </c>
      <c r="U2124" s="6"/>
      <c r="V2124" s="5" t="s">
        <v>16141</v>
      </c>
      <c r="W2124" s="6"/>
      <c r="X2124" s="6"/>
      <c r="Y2124" s="4" t="s">
        <v>16142</v>
      </c>
      <c r="Z2124" s="6"/>
      <c r="AA2124" s="5" t="s">
        <v>16143</v>
      </c>
    </row>
    <row r="2125" ht="14.25">
      <c r="B2125" s="4" t="s">
        <v>16144</v>
      </c>
      <c r="C2125" s="4" t="s">
        <v>16145</v>
      </c>
      <c r="D2125" s="4" t="s">
        <v>16146</v>
      </c>
      <c r="E2125" s="4" t="s">
        <v>16147</v>
      </c>
      <c r="F2125" s="4" t="s">
        <v>16148</v>
      </c>
      <c r="G2125" s="4" t="s">
        <v>16149</v>
      </c>
      <c r="H2125" s="4" t="str">
        <f>IFERROR(__XLUDF.DUMMYFUNCTION("PROPER(REGEXREPLACE(G702,""[^A-Za-z]+ "",""""))"),"Deltacad")</f>
        <v>Deltacad</v>
      </c>
      <c r="I2125" s="5" t="s">
        <v>16150</v>
      </c>
      <c r="J2125" s="6"/>
      <c r="K2125" s="6"/>
      <c r="L2125" s="4" t="s">
        <v>29</v>
      </c>
      <c r="M2125" s="4" t="s">
        <v>2602</v>
      </c>
      <c r="N2125" s="4" t="str">
        <f>IFERROR(__XLUDF.DUMMYFUNCTION("VLOOKUP(M702,IMPORTRANGE(""https://docs.google.com/spreadsheets/d/1opm6ZNvGZ7KditA9TuJwrZ25eFLfTNIkrNnY6mhV5Eg"",""list!A1:C115""),3,TRUE)"),"le secteur de la tech")</f>
        <v xml:space="preserve">le secteur de la tech</v>
      </c>
      <c r="O2125" s="4" t="s">
        <v>16151</v>
      </c>
      <c r="P2125" s="4">
        <v>15</v>
      </c>
      <c r="Q2125" s="4" t="s">
        <v>16152</v>
      </c>
      <c r="R2125" s="4" t="s">
        <v>9281</v>
      </c>
      <c r="S2125" s="4" t="s">
        <v>29</v>
      </c>
      <c r="T2125" s="5" t="s">
        <v>16153</v>
      </c>
      <c r="U2125" s="6"/>
      <c r="V2125" s="6"/>
      <c r="W2125" s="6"/>
      <c r="X2125" s="6"/>
      <c r="Y2125" s="4" t="s">
        <v>16154</v>
      </c>
      <c r="Z2125" s="6"/>
      <c r="AA2125" s="5" t="s">
        <v>16155</v>
      </c>
    </row>
    <row r="2126" ht="14.25">
      <c r="B2126" s="4" t="s">
        <v>16156</v>
      </c>
      <c r="C2126" s="4" t="s">
        <v>118</v>
      </c>
      <c r="D2126" s="4" t="s">
        <v>16157</v>
      </c>
      <c r="E2126" s="4" t="s">
        <v>16158</v>
      </c>
      <c r="F2126" s="4" t="s">
        <v>7759</v>
      </c>
      <c r="G2126" s="4" t="s">
        <v>16159</v>
      </c>
      <c r="H2126" s="4" t="str">
        <f>IFERROR(__XLUDF.DUMMYFUNCTION("PROPER(REGEXREPLACE(G703,""[^A-Za-z]+ "",""""))"),"Agence Web Lemon Interactive")</f>
        <v xml:space="preserve">Agence Web Lemon Interactive</v>
      </c>
      <c r="I2126" s="5" t="s">
        <v>16160</v>
      </c>
      <c r="J2126" s="4" t="s">
        <v>846</v>
      </c>
      <c r="K2126" s="4" t="s">
        <v>9281</v>
      </c>
      <c r="L2126" s="4" t="s">
        <v>29</v>
      </c>
      <c r="M2126" s="4" t="s">
        <v>2602</v>
      </c>
      <c r="N2126" s="4" t="str">
        <f>IFERROR(__XLUDF.DUMMYFUNCTION("VLOOKUP(M703,IMPORTRANGE(""https://docs.google.com/spreadsheets/d/1opm6ZNvGZ7KditA9TuJwrZ25eFLfTNIkrNnY6mhV5Eg"",""list!A1:C115""),3,TRUE)"),"le secteur de la tech")</f>
        <v xml:space="preserve">le secteur de la tech</v>
      </c>
      <c r="O2126" s="4" t="s">
        <v>16161</v>
      </c>
      <c r="P2126" s="4">
        <v>34</v>
      </c>
      <c r="Q2126" s="4" t="s">
        <v>10537</v>
      </c>
      <c r="R2126" s="4" t="s">
        <v>9281</v>
      </c>
      <c r="S2126" s="4" t="s">
        <v>29</v>
      </c>
      <c r="T2126" s="5" t="s">
        <v>16162</v>
      </c>
      <c r="U2126" s="5" t="s">
        <v>16163</v>
      </c>
      <c r="V2126" s="5" t="s">
        <v>16164</v>
      </c>
      <c r="W2126" s="6"/>
      <c r="X2126" s="6"/>
      <c r="Y2126" s="4" t="s">
        <v>16165</v>
      </c>
      <c r="Z2126" s="6"/>
      <c r="AA2126" s="5" t="s">
        <v>16166</v>
      </c>
    </row>
    <row r="2127" ht="14.25">
      <c r="B2127" s="4" t="s">
        <v>16167</v>
      </c>
      <c r="C2127" s="4" t="s">
        <v>6744</v>
      </c>
      <c r="D2127" s="4" t="s">
        <v>16168</v>
      </c>
      <c r="E2127" s="4" t="s">
        <v>16169</v>
      </c>
      <c r="F2127" s="4" t="s">
        <v>9582</v>
      </c>
      <c r="G2127" s="4" t="s">
        <v>16170</v>
      </c>
      <c r="H2127" s="4" t="str">
        <f>IFERROR(__XLUDF.DUMMYFUNCTION("PROPER(REGEXREPLACE(G704,""[^A-Za-z]+ "",""""))"),"Scaning")</f>
        <v>Scaning</v>
      </c>
      <c r="I2127" s="5" t="s">
        <v>16171</v>
      </c>
      <c r="J2127" s="4" t="s">
        <v>1826</v>
      </c>
      <c r="K2127" s="4" t="s">
        <v>9227</v>
      </c>
      <c r="L2127" s="4" t="s">
        <v>29</v>
      </c>
      <c r="M2127" s="4" t="s">
        <v>9161</v>
      </c>
      <c r="N2127" s="4" t="str">
        <f>IFERROR(__XLUDF.DUMMYFUNCTION("VLOOKUP(M704,IMPORTRANGE(""https://docs.google.com/spreadsheets/d/1opm6ZNvGZ7KditA9TuJwrZ25eFLfTNIkrNnY6mhV5Eg"",""list!A1:C115""),3,TRUE)"),"le secteur du marketing")</f>
        <v xml:space="preserve">le secteur du marketing</v>
      </c>
      <c r="O2127" s="6"/>
      <c r="P2127" s="4">
        <v>22</v>
      </c>
      <c r="Q2127" s="4" t="s">
        <v>1826</v>
      </c>
      <c r="R2127" s="4" t="s">
        <v>9227</v>
      </c>
      <c r="S2127" s="4" t="s">
        <v>29</v>
      </c>
      <c r="T2127" s="5" t="s">
        <v>16172</v>
      </c>
      <c r="U2127" s="6"/>
      <c r="V2127" s="6"/>
      <c r="W2127" s="6"/>
      <c r="X2127" s="6"/>
      <c r="Y2127" s="4" t="s">
        <v>16173</v>
      </c>
      <c r="Z2127" s="6"/>
      <c r="AA2127" s="5" t="s">
        <v>16174</v>
      </c>
    </row>
    <row r="2128" ht="14.25">
      <c r="B2128" s="4" t="s">
        <v>16175</v>
      </c>
      <c r="C2128" s="4" t="s">
        <v>622</v>
      </c>
      <c r="D2128" s="4" t="s">
        <v>16176</v>
      </c>
      <c r="E2128" s="4" t="s">
        <v>16177</v>
      </c>
      <c r="F2128" s="4" t="s">
        <v>16178</v>
      </c>
      <c r="G2128" s="4" t="s">
        <v>16179</v>
      </c>
      <c r="H2128" s="4" t="str">
        <f>IFERROR(__XLUDF.DUMMYFUNCTION("PROPER(REGEXREPLACE(G705,""[^A-Za-z]+ "",""""))"),"Hamel Géomètres-Experts")</f>
        <v xml:space="preserve">Hamel Géomètres-Experts</v>
      </c>
      <c r="I2128" s="5" t="s">
        <v>16180</v>
      </c>
      <c r="J2128" s="4" t="s">
        <v>1826</v>
      </c>
      <c r="K2128" s="4" t="s">
        <v>9227</v>
      </c>
      <c r="L2128" s="4" t="s">
        <v>29</v>
      </c>
      <c r="M2128" s="4" t="s">
        <v>2602</v>
      </c>
      <c r="N2128" s="4" t="str">
        <f>IFERROR(__XLUDF.DUMMYFUNCTION("VLOOKUP(M705,IMPORTRANGE(""https://docs.google.com/spreadsheets/d/1opm6ZNvGZ7KditA9TuJwrZ25eFLfTNIkrNnY6mhV5Eg"",""list!A1:C115""),3,TRUE)"),"le secteur de la tech")</f>
        <v xml:space="preserve">le secteur de la tech</v>
      </c>
      <c r="O2128" s="4" t="s">
        <v>16181</v>
      </c>
      <c r="P2128" s="4">
        <v>25</v>
      </c>
      <c r="Q2128" s="4" t="s">
        <v>16182</v>
      </c>
      <c r="R2128" s="4" t="s">
        <v>9227</v>
      </c>
      <c r="S2128" s="4" t="s">
        <v>29</v>
      </c>
      <c r="T2128" s="5" t="s">
        <v>16183</v>
      </c>
      <c r="U2128" s="6"/>
      <c r="V2128" s="6"/>
      <c r="W2128" s="6"/>
      <c r="X2128" s="6"/>
      <c r="Y2128" s="4" t="s">
        <v>16184</v>
      </c>
      <c r="Z2128" s="6"/>
      <c r="AA2128" s="5" t="s">
        <v>16185</v>
      </c>
    </row>
    <row r="2129" ht="14.25">
      <c r="B2129" s="4" t="s">
        <v>16186</v>
      </c>
      <c r="C2129" s="4" t="s">
        <v>16187</v>
      </c>
      <c r="D2129" s="4" t="s">
        <v>16188</v>
      </c>
      <c r="E2129" s="4" t="s">
        <v>16189</v>
      </c>
      <c r="F2129" s="4" t="s">
        <v>62</v>
      </c>
      <c r="G2129" s="4" t="s">
        <v>16190</v>
      </c>
      <c r="H2129" s="4" t="str">
        <f>IFERROR(__XLUDF.DUMMYFUNCTION("PROPER(REGEXREPLACE(G706,""[^A-Za-z]+ "",""""))"),"Geobox Telematics")</f>
        <v xml:space="preserve">Geobox Telematics</v>
      </c>
      <c r="I2129" s="5" t="s">
        <v>16191</v>
      </c>
      <c r="J2129" s="4" t="s">
        <v>12291</v>
      </c>
      <c r="K2129" s="4" t="s">
        <v>9160</v>
      </c>
      <c r="L2129" s="4" t="s">
        <v>29</v>
      </c>
      <c r="M2129" s="4" t="s">
        <v>9184</v>
      </c>
      <c r="N2129" s="4" t="str">
        <f>IFERROR(__XLUDF.DUMMYFUNCTION("VLOOKUP(M706,IMPORTRANGE(""https://docs.google.com/spreadsheets/d/1opm6ZNvGZ7KditA9TuJwrZ25eFLfTNIkrNnY6mhV5Eg"",""list!A1:C115""),3,TRUE)"),"le secteur des télécommunications")</f>
        <v xml:space="preserve">le secteur des télécommunications</v>
      </c>
      <c r="O2129" s="6"/>
      <c r="P2129" s="4">
        <v>10</v>
      </c>
      <c r="Q2129" s="4" t="s">
        <v>39</v>
      </c>
      <c r="R2129" s="4" t="s">
        <v>9160</v>
      </c>
      <c r="S2129" s="4" t="s">
        <v>29</v>
      </c>
      <c r="T2129" s="5" t="s">
        <v>16192</v>
      </c>
      <c r="U2129" s="6"/>
      <c r="V2129" s="6"/>
      <c r="W2129" s="6"/>
      <c r="X2129" s="6"/>
      <c r="Y2129" s="4" t="s">
        <v>16193</v>
      </c>
      <c r="Z2129" s="6"/>
      <c r="AA2129" s="5" t="s">
        <v>16194</v>
      </c>
    </row>
    <row r="2130" ht="14.25">
      <c r="B2130" s="4" t="s">
        <v>16195</v>
      </c>
      <c r="C2130" s="4" t="s">
        <v>16196</v>
      </c>
      <c r="D2130" s="4" t="s">
        <v>16197</v>
      </c>
      <c r="E2130" s="4" t="s">
        <v>16198</v>
      </c>
      <c r="F2130" s="4" t="s">
        <v>112</v>
      </c>
      <c r="G2130" s="4" t="s">
        <v>16199</v>
      </c>
      <c r="H2130" s="4" t="str">
        <f>IFERROR(__XLUDF.DUMMYFUNCTION("PROPER(REGEXREPLACE(G707,""[^A-Za-z]+ "",""""))"),"Phenix")</f>
        <v>Phenix</v>
      </c>
      <c r="I2130" s="5" t="s">
        <v>16200</v>
      </c>
      <c r="J2130" s="4" t="s">
        <v>39</v>
      </c>
      <c r="K2130" s="4" t="s">
        <v>9160</v>
      </c>
      <c r="L2130" s="4" t="s">
        <v>29</v>
      </c>
      <c r="M2130" s="4" t="s">
        <v>9184</v>
      </c>
      <c r="N2130" s="4" t="str">
        <f>IFERROR(__XLUDF.DUMMYFUNCTION("VLOOKUP(M707,IMPORTRANGE(""https://docs.google.com/spreadsheets/d/1opm6ZNvGZ7KditA9TuJwrZ25eFLfTNIkrNnY6mhV5Eg"",""list!A1:C115""),3,TRUE)"),"le secteur des télécommunications")</f>
        <v xml:space="preserve">le secteur des télécommunications</v>
      </c>
      <c r="O2130" s="4" t="s">
        <v>16201</v>
      </c>
      <c r="P2130" s="4">
        <v>13</v>
      </c>
      <c r="Q2130" s="4" t="s">
        <v>16202</v>
      </c>
      <c r="R2130" s="4" t="s">
        <v>9160</v>
      </c>
      <c r="S2130" s="4" t="s">
        <v>29</v>
      </c>
      <c r="T2130" s="5" t="s">
        <v>16203</v>
      </c>
      <c r="U2130" s="6"/>
      <c r="V2130" s="6"/>
      <c r="W2130" s="6"/>
      <c r="X2130" s="6"/>
      <c r="Y2130" s="4" t="s">
        <v>16204</v>
      </c>
      <c r="Z2130" s="6"/>
      <c r="AA2130" s="5" t="s">
        <v>16205</v>
      </c>
    </row>
    <row r="2131" ht="14.25">
      <c r="B2131" s="4" t="s">
        <v>16206</v>
      </c>
      <c r="C2131" s="4" t="s">
        <v>1619</v>
      </c>
      <c r="D2131" s="4" t="s">
        <v>16207</v>
      </c>
      <c r="E2131" s="4" t="s">
        <v>16208</v>
      </c>
      <c r="F2131" s="4" t="s">
        <v>16209</v>
      </c>
      <c r="G2131" s="4" t="s">
        <v>16210</v>
      </c>
      <c r="H2131" s="4" t="str">
        <f>IFERROR(__XLUDF.DUMMYFUNCTION("PROPER(REGEXREPLACE(G708,""[^A-Za-z]+ "",""""))"),"Cohésens")</f>
        <v>Cohésens</v>
      </c>
      <c r="I2131" s="5" t="s">
        <v>16211</v>
      </c>
      <c r="J2131" s="4" t="s">
        <v>562</v>
      </c>
      <c r="K2131" s="4" t="s">
        <v>9215</v>
      </c>
      <c r="L2131" s="4" t="s">
        <v>29</v>
      </c>
      <c r="M2131" s="4" t="s">
        <v>9239</v>
      </c>
      <c r="N2131" s="4" t="str">
        <f>IFERROR(__XLUDF.DUMMYFUNCTION("VLOOKUP(M708,IMPORTRANGE(""https://docs.google.com/spreadsheets/d/1opm6ZNvGZ7KditA9TuJwrZ25eFLfTNIkrNnY6mhV5Eg"",""list!A1:C115""),3,TRUE)"),"le secteur de la construction")</f>
        <v xml:space="preserve">le secteur de la construction</v>
      </c>
      <c r="O2131" s="6"/>
      <c r="P2131" s="4">
        <v>12</v>
      </c>
      <c r="Q2131" s="4" t="s">
        <v>16212</v>
      </c>
      <c r="R2131" s="4" t="s">
        <v>9215</v>
      </c>
      <c r="S2131" s="4" t="s">
        <v>29</v>
      </c>
      <c r="T2131" s="5" t="s">
        <v>16213</v>
      </c>
      <c r="U2131" s="6"/>
      <c r="V2131" s="6"/>
      <c r="W2131" s="6"/>
      <c r="X2131" s="6"/>
      <c r="Y2131" s="4" t="s">
        <v>16214</v>
      </c>
      <c r="Z2131" s="6"/>
      <c r="AA2131" s="5" t="s">
        <v>16215</v>
      </c>
    </row>
    <row r="2132" ht="14.25">
      <c r="B2132" s="4" t="s">
        <v>16216</v>
      </c>
      <c r="C2132" s="4" t="s">
        <v>322</v>
      </c>
      <c r="D2132" s="4" t="s">
        <v>16217</v>
      </c>
      <c r="E2132" s="4" t="s">
        <v>16218</v>
      </c>
      <c r="F2132" s="4" t="s">
        <v>172</v>
      </c>
      <c r="G2132" s="4" t="s">
        <v>16219</v>
      </c>
      <c r="H2132" s="4" t="str">
        <f>IFERROR(__XLUDF.DUMMYFUNCTION("PROPER(REGEXREPLACE(G709,""[^A-Za-z]+ "",""""))"),"Tci")</f>
        <v>Tci</v>
      </c>
      <c r="I2132" s="5" t="s">
        <v>16220</v>
      </c>
      <c r="J2132" s="4" t="s">
        <v>492</v>
      </c>
      <c r="K2132" s="4" t="s">
        <v>9267</v>
      </c>
      <c r="L2132" s="4" t="s">
        <v>29</v>
      </c>
      <c r="M2132" s="4" t="s">
        <v>9239</v>
      </c>
      <c r="N2132" s="4" t="str">
        <f>IFERROR(__XLUDF.DUMMYFUNCTION("VLOOKUP(M709,IMPORTRANGE(""https://docs.google.com/spreadsheets/d/1opm6ZNvGZ7KditA9TuJwrZ25eFLfTNIkrNnY6mhV5Eg"",""list!A1:C115""),3,TRUE)"),"le secteur de la construction")</f>
        <v xml:space="preserve">le secteur de la construction</v>
      </c>
      <c r="O2132" s="4" t="s">
        <v>16221</v>
      </c>
      <c r="P2132" s="4">
        <v>17</v>
      </c>
      <c r="Q2132" s="4" t="s">
        <v>11084</v>
      </c>
      <c r="R2132" s="4" t="s">
        <v>9226</v>
      </c>
      <c r="S2132" s="4" t="s">
        <v>29</v>
      </c>
      <c r="T2132" s="5" t="s">
        <v>16222</v>
      </c>
      <c r="U2132" s="5" t="s">
        <v>16223</v>
      </c>
      <c r="V2132" s="6"/>
      <c r="W2132" s="6"/>
      <c r="X2132" s="6"/>
      <c r="Y2132" s="4" t="s">
        <v>16224</v>
      </c>
      <c r="Z2132" s="6"/>
      <c r="AA2132" s="5" t="s">
        <v>16225</v>
      </c>
    </row>
    <row r="2133" ht="14.25">
      <c r="B2133" s="4" t="s">
        <v>16226</v>
      </c>
      <c r="C2133" s="4" t="s">
        <v>322</v>
      </c>
      <c r="D2133" s="4" t="s">
        <v>16227</v>
      </c>
      <c r="E2133" s="4" t="s">
        <v>16228</v>
      </c>
      <c r="F2133" s="4" t="s">
        <v>7759</v>
      </c>
      <c r="G2133" s="4" t="s">
        <v>16229</v>
      </c>
      <c r="H2133" s="4" t="str">
        <f>IFERROR(__XLUDF.DUMMYFUNCTION("PROPER(REGEXREPLACE(G710,""[^A-Za-z]+ "",""""))"),"Spécinov")</f>
        <v>Spécinov</v>
      </c>
      <c r="I2133" s="5" t="s">
        <v>16230</v>
      </c>
      <c r="J2133" s="4" t="s">
        <v>1312</v>
      </c>
      <c r="K2133" s="4" t="s">
        <v>9350</v>
      </c>
      <c r="L2133" s="4" t="s">
        <v>29</v>
      </c>
      <c r="M2133" s="4" t="s">
        <v>2602</v>
      </c>
      <c r="N2133" s="4" t="str">
        <f>IFERROR(__XLUDF.DUMMYFUNCTION("VLOOKUP(M710,IMPORTRANGE(""https://docs.google.com/spreadsheets/d/1opm6ZNvGZ7KditA9TuJwrZ25eFLfTNIkrNnY6mhV5Eg"",""list!A1:C115""),3,TRUE)"),"le secteur de la tech")</f>
        <v xml:space="preserve">le secteur de la tech</v>
      </c>
      <c r="O2133" s="4" t="s">
        <v>16231</v>
      </c>
      <c r="P2133" s="4">
        <v>23</v>
      </c>
      <c r="Q2133" s="4" t="s">
        <v>16232</v>
      </c>
      <c r="R2133" s="4" t="s">
        <v>9350</v>
      </c>
      <c r="S2133" s="4" t="s">
        <v>29</v>
      </c>
      <c r="T2133" s="5" t="s">
        <v>16233</v>
      </c>
      <c r="U2133" s="6"/>
      <c r="V2133" s="6"/>
      <c r="W2133" s="6"/>
      <c r="X2133" s="6"/>
      <c r="Y2133" s="4" t="s">
        <v>16234</v>
      </c>
      <c r="Z2133" s="6"/>
      <c r="AA2133" s="5" t="s">
        <v>16235</v>
      </c>
    </row>
    <row r="2134" ht="14.25">
      <c r="B2134" s="4" t="s">
        <v>16236</v>
      </c>
      <c r="C2134" s="4" t="s">
        <v>622</v>
      </c>
      <c r="D2134" s="4" t="s">
        <v>16237</v>
      </c>
      <c r="E2134" s="4" t="s">
        <v>16238</v>
      </c>
      <c r="F2134" s="4" t="s">
        <v>16239</v>
      </c>
      <c r="G2134" s="4" t="s">
        <v>16240</v>
      </c>
      <c r="H2134" s="4" t="str">
        <f>IFERROR(__XLUDF.DUMMYFUNCTION("PROPER(REGEXREPLACE(G711,""[^A-Za-z]+ "",""""))"),"Groupe Acb Concessionnaire Xerox")</f>
        <v xml:space="preserve">Groupe Acb Concessionnaire Xerox</v>
      </c>
      <c r="I2134" s="5" t="s">
        <v>16241</v>
      </c>
      <c r="J2134" s="4" t="s">
        <v>16242</v>
      </c>
      <c r="K2134" s="4" t="s">
        <v>9172</v>
      </c>
      <c r="L2134" s="4" t="s">
        <v>29</v>
      </c>
      <c r="M2134" s="4" t="s">
        <v>4525</v>
      </c>
      <c r="N2134" s="4" t="str">
        <f>IFERROR(__XLUDF.DUMMYFUNCTION("VLOOKUP(M711,IMPORTRANGE(""https://docs.google.com/spreadsheets/d/1opm6ZNvGZ7KditA9TuJwrZ25eFLfTNIkrNnY6mhV5Eg"",""list!A1:C115""),3,TRUE)"),"le secteur du retail")</f>
        <v xml:space="preserve">le secteur du retail</v>
      </c>
      <c r="O2134" s="4" t="s">
        <v>16243</v>
      </c>
      <c r="P2134" s="4">
        <v>28</v>
      </c>
      <c r="Q2134" s="4" t="s">
        <v>423</v>
      </c>
      <c r="R2134" s="4" t="s">
        <v>9193</v>
      </c>
      <c r="S2134" s="4" t="s">
        <v>29</v>
      </c>
      <c r="T2134" s="5" t="s">
        <v>16244</v>
      </c>
      <c r="U2134" s="6"/>
      <c r="V2134" s="5" t="s">
        <v>16245</v>
      </c>
      <c r="W2134" s="6"/>
      <c r="X2134" s="6"/>
      <c r="Y2134" s="4" t="s">
        <v>16246</v>
      </c>
      <c r="Z2134" s="6"/>
      <c r="AA2134" s="5" t="s">
        <v>16247</v>
      </c>
    </row>
    <row r="2135" ht="14.25">
      <c r="B2135" s="4" t="s">
        <v>16248</v>
      </c>
      <c r="C2135" s="4" t="s">
        <v>322</v>
      </c>
      <c r="D2135" s="4" t="s">
        <v>16249</v>
      </c>
      <c r="E2135" s="4" t="s">
        <v>16250</v>
      </c>
      <c r="F2135" s="4" t="s">
        <v>112</v>
      </c>
      <c r="G2135" s="4" t="s">
        <v>16251</v>
      </c>
      <c r="H2135" s="4" t="str">
        <f>IFERROR(__XLUDF.DUMMYFUNCTION("PROPER(REGEXREPLACE(G712,""[^A-Za-z]+ "",""""))"),"Gindro S.A.S")</f>
        <v xml:space="preserve">Gindro S.A.S</v>
      </c>
      <c r="I2135" s="5" t="s">
        <v>16252</v>
      </c>
      <c r="J2135" s="4" t="s">
        <v>12209</v>
      </c>
      <c r="K2135" s="4" t="s">
        <v>12210</v>
      </c>
      <c r="L2135" s="4" t="s">
        <v>29</v>
      </c>
      <c r="M2135" s="4" t="s">
        <v>4525</v>
      </c>
      <c r="N2135" s="4" t="str">
        <f>IFERROR(__XLUDF.DUMMYFUNCTION("VLOOKUP(M712,IMPORTRANGE(""https://docs.google.com/spreadsheets/d/1opm6ZNvGZ7KditA9TuJwrZ25eFLfTNIkrNnY6mhV5Eg"",""list!A1:C115""),3,TRUE)"),"le secteur du retail")</f>
        <v xml:space="preserve">le secteur du retail</v>
      </c>
      <c r="O2135" s="4" t="s">
        <v>16253</v>
      </c>
      <c r="P2135" s="4">
        <v>10</v>
      </c>
      <c r="Q2135" s="4" t="s">
        <v>16254</v>
      </c>
      <c r="R2135" s="4" t="s">
        <v>9473</v>
      </c>
      <c r="S2135" s="4" t="s">
        <v>29</v>
      </c>
      <c r="T2135" s="5" t="s">
        <v>16255</v>
      </c>
      <c r="U2135" s="6"/>
      <c r="V2135" s="6"/>
      <c r="W2135" s="6"/>
      <c r="X2135" s="6"/>
      <c r="Y2135" s="4" t="s">
        <v>16256</v>
      </c>
      <c r="Z2135" s="6"/>
      <c r="AA2135" s="5" t="s">
        <v>16257</v>
      </c>
    </row>
    <row r="2136" ht="14.25">
      <c r="B2136" s="4" t="s">
        <v>16258</v>
      </c>
      <c r="C2136" s="4" t="s">
        <v>622</v>
      </c>
      <c r="D2136" s="4" t="s">
        <v>16259</v>
      </c>
      <c r="E2136" s="4" t="s">
        <v>16260</v>
      </c>
      <c r="F2136" s="4" t="s">
        <v>16261</v>
      </c>
      <c r="G2136" s="4" t="s">
        <v>11694</v>
      </c>
      <c r="H2136" s="4" t="str">
        <f>IFERROR(__XLUDF.DUMMYFUNCTION("PROPER(REGEXREPLACE(G713,""[^A-Za-z]+ "",""""))"),"Tab France")</f>
        <v xml:space="preserve">Tab France</v>
      </c>
      <c r="I2136" s="5" t="s">
        <v>11695</v>
      </c>
      <c r="J2136" s="4" t="s">
        <v>83</v>
      </c>
      <c r="K2136" s="4" t="s">
        <v>9460</v>
      </c>
      <c r="L2136" s="4" t="s">
        <v>29</v>
      </c>
      <c r="M2136" s="4" t="s">
        <v>4067</v>
      </c>
      <c r="N2136" s="4" t="str">
        <f>IFERROR(__XLUDF.DUMMYFUNCTION("VLOOKUP(M713,IMPORTRANGE(""https://docs.google.com/spreadsheets/d/1opm6ZNvGZ7KditA9TuJwrZ25eFLfTNIkrNnY6mhV5Eg"",""list!A1:C115""),3,TRUE)"),"le secteur du conseil en management")</f>
        <v xml:space="preserve">le secteur du conseil en management</v>
      </c>
      <c r="O2136" s="4" t="s">
        <v>11696</v>
      </c>
      <c r="P2136" s="4">
        <v>15</v>
      </c>
      <c r="Q2136" s="4" t="s">
        <v>39</v>
      </c>
      <c r="R2136" s="4" t="s">
        <v>9160</v>
      </c>
      <c r="S2136" s="4" t="s">
        <v>29</v>
      </c>
      <c r="T2136" s="5" t="s">
        <v>11697</v>
      </c>
      <c r="U2136" s="6"/>
      <c r="V2136" s="6"/>
      <c r="W2136" s="6"/>
      <c r="X2136" s="6"/>
      <c r="Y2136" s="4" t="s">
        <v>11698</v>
      </c>
      <c r="Z2136" s="6"/>
      <c r="AA2136" s="5" t="s">
        <v>16262</v>
      </c>
    </row>
    <row r="2137" ht="14.25">
      <c r="B2137" s="4" t="s">
        <v>16263</v>
      </c>
      <c r="C2137" s="4" t="s">
        <v>622</v>
      </c>
      <c r="D2137" s="4" t="s">
        <v>16264</v>
      </c>
      <c r="E2137" s="4" t="s">
        <v>16265</v>
      </c>
      <c r="F2137" s="4" t="s">
        <v>9849</v>
      </c>
      <c r="G2137" s="4" t="s">
        <v>9327</v>
      </c>
      <c r="H2137" s="4" t="str">
        <f>IFERROR(__XLUDF.DUMMYFUNCTION("PROPER(REGEXREPLACE(G714,""[^A-Za-z]+ "",""""))"),"Healabs")</f>
        <v>Healabs</v>
      </c>
      <c r="I2137" s="5" t="s">
        <v>9328</v>
      </c>
      <c r="J2137" s="4" t="s">
        <v>185</v>
      </c>
      <c r="K2137" s="4" t="s">
        <v>9193</v>
      </c>
      <c r="L2137" s="4" t="s">
        <v>29</v>
      </c>
      <c r="M2137" s="4" t="s">
        <v>2602</v>
      </c>
      <c r="N2137" s="4" t="str">
        <f>IFERROR(__XLUDF.DUMMYFUNCTION("VLOOKUP(M714,IMPORTRANGE(""https://docs.google.com/spreadsheets/d/1opm6ZNvGZ7KditA9TuJwrZ25eFLfTNIkrNnY6mhV5Eg"",""list!A1:C115""),3,TRUE)"),"le secteur de la tech")</f>
        <v xml:space="preserve">le secteur de la tech</v>
      </c>
      <c r="O2137" s="4" t="s">
        <v>9329</v>
      </c>
      <c r="P2137" s="4">
        <v>14</v>
      </c>
      <c r="Q2137" s="4" t="s">
        <v>9330</v>
      </c>
      <c r="R2137" s="4" t="s">
        <v>9193</v>
      </c>
      <c r="S2137" s="4" t="s">
        <v>29</v>
      </c>
      <c r="T2137" s="5" t="s">
        <v>9331</v>
      </c>
      <c r="U2137" s="6"/>
      <c r="V2137" s="6"/>
      <c r="W2137" s="6"/>
      <c r="X2137" s="6"/>
      <c r="Y2137" s="4" t="s">
        <v>9332</v>
      </c>
      <c r="Z2137" s="6"/>
      <c r="AA2137" s="5" t="s">
        <v>16266</v>
      </c>
    </row>
    <row r="2138" ht="14.25">
      <c r="B2138" s="4" t="s">
        <v>16267</v>
      </c>
      <c r="C2138" s="4" t="s">
        <v>6744</v>
      </c>
      <c r="D2138" s="4" t="s">
        <v>16268</v>
      </c>
      <c r="E2138" s="4" t="s">
        <v>16269</v>
      </c>
      <c r="F2138" s="4" t="s">
        <v>2645</v>
      </c>
      <c r="G2138" s="4" t="s">
        <v>16270</v>
      </c>
      <c r="H2138" s="4" t="str">
        <f>IFERROR(__XLUDF.DUMMYFUNCTION("PROPER(REGEXREPLACE(G715,""[^A-Za-z]+ "",""""))"),"Ad And Cofrance")</f>
        <v xml:space="preserve">Ad And Cofrance</v>
      </c>
      <c r="I2138" s="5" t="s">
        <v>16271</v>
      </c>
      <c r="J2138" s="4" t="s">
        <v>83</v>
      </c>
      <c r="K2138" s="4" t="s">
        <v>9460</v>
      </c>
      <c r="L2138" s="4" t="s">
        <v>29</v>
      </c>
      <c r="M2138" s="4" t="s">
        <v>4067</v>
      </c>
      <c r="N2138" s="4" t="str">
        <f>IFERROR(__XLUDF.DUMMYFUNCTION("VLOOKUP(M715,IMPORTRANGE(""https://docs.google.com/spreadsheets/d/1opm6ZNvGZ7KditA9TuJwrZ25eFLfTNIkrNnY6mhV5Eg"",""list!A1:C115""),3,TRUE)"),"le secteur du conseil en management")</f>
        <v xml:space="preserve">le secteur du conseil en management</v>
      </c>
      <c r="O2138" s="4" t="s">
        <v>16272</v>
      </c>
      <c r="P2138" s="4">
        <v>15</v>
      </c>
      <c r="Q2138" s="4" t="s">
        <v>12445</v>
      </c>
      <c r="R2138" s="4" t="s">
        <v>9463</v>
      </c>
      <c r="S2138" s="4" t="s">
        <v>29</v>
      </c>
      <c r="T2138" s="5" t="s">
        <v>16273</v>
      </c>
      <c r="U2138" s="5" t="s">
        <v>16274</v>
      </c>
      <c r="V2138" s="5" t="s">
        <v>16275</v>
      </c>
      <c r="W2138" s="6"/>
      <c r="X2138" s="6"/>
      <c r="Y2138" s="4" t="s">
        <v>16276</v>
      </c>
      <c r="Z2138" s="6"/>
      <c r="AA2138" s="5" t="s">
        <v>16277</v>
      </c>
    </row>
    <row r="2139" ht="14.25">
      <c r="B2139" s="4" t="s">
        <v>16278</v>
      </c>
      <c r="C2139" s="4" t="s">
        <v>1704</v>
      </c>
      <c r="D2139" s="4" t="s">
        <v>279</v>
      </c>
      <c r="E2139" s="4" t="s">
        <v>16279</v>
      </c>
      <c r="F2139" s="4" t="s">
        <v>468</v>
      </c>
      <c r="G2139" s="4" t="s">
        <v>16280</v>
      </c>
      <c r="H2139" s="4" t="str">
        <f>IFERROR(__XLUDF.DUMMYFUNCTION("PROPER(REGEXREPLACE(G716,""[^A-Za-z]+ "",""""))"),"Novéha")</f>
        <v>Novéha</v>
      </c>
      <c r="I2139" s="5" t="s">
        <v>16281</v>
      </c>
      <c r="J2139" s="4" t="s">
        <v>1711</v>
      </c>
      <c r="K2139" s="4" t="s">
        <v>9350</v>
      </c>
      <c r="L2139" s="4" t="s">
        <v>29</v>
      </c>
      <c r="M2139" s="4" t="s">
        <v>4067</v>
      </c>
      <c r="N2139" s="4" t="str">
        <f>IFERROR(__XLUDF.DUMMYFUNCTION("VLOOKUP(M716,IMPORTRANGE(""https://docs.google.com/spreadsheets/d/1opm6ZNvGZ7KditA9TuJwrZ25eFLfTNIkrNnY6mhV5Eg"",""list!A1:C115""),3,TRUE)"),"le secteur du conseil en management")</f>
        <v xml:space="preserve">le secteur du conseil en management</v>
      </c>
      <c r="O2139" s="4" t="s">
        <v>16282</v>
      </c>
      <c r="P2139" s="4">
        <v>26</v>
      </c>
      <c r="Q2139" s="4" t="s">
        <v>16283</v>
      </c>
      <c r="R2139" s="4" t="s">
        <v>9350</v>
      </c>
      <c r="S2139" s="4" t="s">
        <v>29</v>
      </c>
      <c r="T2139" s="5" t="s">
        <v>16284</v>
      </c>
      <c r="U2139" s="6"/>
      <c r="V2139" s="6"/>
      <c r="W2139" s="6"/>
      <c r="X2139" s="6"/>
      <c r="Y2139" s="4" t="s">
        <v>16285</v>
      </c>
      <c r="Z2139" s="6"/>
      <c r="AA2139" s="5" t="s">
        <v>16286</v>
      </c>
    </row>
    <row r="2140" ht="14.25">
      <c r="B2140" s="4" t="s">
        <v>16287</v>
      </c>
      <c r="C2140" s="4" t="s">
        <v>322</v>
      </c>
      <c r="D2140" s="4" t="s">
        <v>16288</v>
      </c>
      <c r="E2140" s="4" t="s">
        <v>16289</v>
      </c>
      <c r="F2140" s="4" t="s">
        <v>112</v>
      </c>
      <c r="G2140" s="4" t="s">
        <v>16290</v>
      </c>
      <c r="H2140" s="4" t="str">
        <f>IFERROR(__XLUDF.DUMMYFUNCTION("PROPER(REGEXREPLACE(G717,""[^A-Za-z]+ "",""""))"),"Le Store Parisien")</f>
        <v xml:space="preserve">Le Store Parisien</v>
      </c>
      <c r="I2140" s="5" t="s">
        <v>16291</v>
      </c>
      <c r="J2140" s="4" t="s">
        <v>39</v>
      </c>
      <c r="K2140" s="4" t="s">
        <v>9160</v>
      </c>
      <c r="L2140" s="4" t="s">
        <v>29</v>
      </c>
      <c r="M2140" s="4" t="s">
        <v>4525</v>
      </c>
      <c r="N2140" s="4" t="str">
        <f>IFERROR(__XLUDF.DUMMYFUNCTION("VLOOKUP(M717,IMPORTRANGE(""https://docs.google.com/spreadsheets/d/1opm6ZNvGZ7KditA9TuJwrZ25eFLfTNIkrNnY6mhV5Eg"",""list!A1:C115""),3,TRUE)"),"le secteur du retail")</f>
        <v xml:space="preserve">le secteur du retail</v>
      </c>
      <c r="O2140" s="4" t="s">
        <v>16292</v>
      </c>
      <c r="P2140" s="4">
        <v>22</v>
      </c>
      <c r="Q2140" s="4" t="s">
        <v>39</v>
      </c>
      <c r="R2140" s="4" t="s">
        <v>9160</v>
      </c>
      <c r="S2140" s="4" t="s">
        <v>29</v>
      </c>
      <c r="T2140" s="5" t="s">
        <v>16293</v>
      </c>
      <c r="U2140" s="6"/>
      <c r="V2140" s="5" t="s">
        <v>9981</v>
      </c>
      <c r="W2140" s="6"/>
      <c r="X2140" s="6"/>
      <c r="Y2140" s="4" t="s">
        <v>16294</v>
      </c>
      <c r="Z2140" s="6"/>
      <c r="AA2140" s="5" t="s">
        <v>16295</v>
      </c>
    </row>
    <row r="2141" ht="14.25">
      <c r="B2141" s="4" t="s">
        <v>16296</v>
      </c>
      <c r="C2141" s="4" t="s">
        <v>16297</v>
      </c>
      <c r="D2141" s="4" t="s">
        <v>16298</v>
      </c>
      <c r="E2141" s="4" t="s">
        <v>16299</v>
      </c>
      <c r="F2141" s="4" t="s">
        <v>112</v>
      </c>
      <c r="G2141" s="4" t="s">
        <v>16300</v>
      </c>
      <c r="H2141" s="4" t="str">
        <f>IFERROR(__XLUDF.DUMMYFUNCTION("PROPER(REGEXREPLACE(G718,""[^A-Za-z]+ "",""""))"),"Action Btp Travaux Publics")</f>
        <v xml:space="preserve">Action Btp Travaux Publics</v>
      </c>
      <c r="I2141" s="5" t="s">
        <v>16301</v>
      </c>
      <c r="J2141" s="4" t="s">
        <v>16302</v>
      </c>
      <c r="K2141" s="4" t="s">
        <v>9160</v>
      </c>
      <c r="L2141" s="4" t="s">
        <v>29</v>
      </c>
      <c r="M2141" s="4" t="s">
        <v>9239</v>
      </c>
      <c r="N2141" s="4" t="str">
        <f>IFERROR(__XLUDF.DUMMYFUNCTION("VLOOKUP(M718,IMPORTRANGE(""https://docs.google.com/spreadsheets/d/1opm6ZNvGZ7KditA9TuJwrZ25eFLfTNIkrNnY6mhV5Eg"",""list!A1:C115""),3,TRUE)"),"le secteur de la construction")</f>
        <v xml:space="preserve">le secteur de la construction</v>
      </c>
      <c r="O2141" s="4" t="s">
        <v>16303</v>
      </c>
      <c r="P2141" s="4">
        <v>10</v>
      </c>
      <c r="Q2141" s="4" t="s">
        <v>16302</v>
      </c>
      <c r="R2141" s="4" t="s">
        <v>9160</v>
      </c>
      <c r="S2141" s="4" t="s">
        <v>29</v>
      </c>
      <c r="T2141" s="5" t="s">
        <v>16304</v>
      </c>
      <c r="U2141" s="6"/>
      <c r="V2141" s="6"/>
      <c r="W2141" s="6"/>
      <c r="X2141" s="6"/>
      <c r="Y2141" s="4" t="s">
        <v>16305</v>
      </c>
      <c r="Z2141" s="6"/>
      <c r="AA2141" s="5" t="s">
        <v>16306</v>
      </c>
    </row>
    <row r="2142" ht="14.25">
      <c r="B2142" s="4" t="s">
        <v>16307</v>
      </c>
      <c r="C2142" s="4" t="s">
        <v>8524</v>
      </c>
      <c r="D2142" s="4" t="s">
        <v>16308</v>
      </c>
      <c r="E2142" s="4" t="s">
        <v>16309</v>
      </c>
      <c r="F2142" s="4" t="s">
        <v>7759</v>
      </c>
      <c r="G2142" s="4" t="s">
        <v>16310</v>
      </c>
      <c r="H2142" s="4" t="str">
        <f>IFERROR(__XLUDF.DUMMYFUNCTION("PROPER(REGEXREPLACE(G719,""[^A-Za-z]+ "",""""))"),"Sti Bureautique")</f>
        <v xml:space="preserve">Sti Bureautique</v>
      </c>
      <c r="I2142" s="5" t="s">
        <v>16311</v>
      </c>
      <c r="J2142" s="4" t="s">
        <v>16312</v>
      </c>
      <c r="K2142" s="4" t="s">
        <v>9215</v>
      </c>
      <c r="L2142" s="4" t="s">
        <v>29</v>
      </c>
      <c r="M2142" s="4" t="s">
        <v>2602</v>
      </c>
      <c r="N2142" s="4" t="str">
        <f>IFERROR(__XLUDF.DUMMYFUNCTION("VLOOKUP(M719,IMPORTRANGE(""https://docs.google.com/spreadsheets/d/1opm6ZNvGZ7KditA9TuJwrZ25eFLfTNIkrNnY6mhV5Eg"",""list!A1:C115""),3,TRUE)"),"le secteur de la tech")</f>
        <v xml:space="preserve">le secteur de la tech</v>
      </c>
      <c r="O2142" s="4" t="s">
        <v>16313</v>
      </c>
      <c r="P2142" s="4">
        <v>29</v>
      </c>
      <c r="Q2142" s="4" t="s">
        <v>16314</v>
      </c>
      <c r="R2142" s="4" t="s">
        <v>9215</v>
      </c>
      <c r="S2142" s="4" t="s">
        <v>29</v>
      </c>
      <c r="T2142" s="5" t="s">
        <v>16315</v>
      </c>
      <c r="U2142" s="6"/>
      <c r="V2142" s="6"/>
      <c r="W2142" s="6"/>
      <c r="X2142" s="6"/>
      <c r="Y2142" s="4" t="s">
        <v>16316</v>
      </c>
      <c r="Z2142" s="6"/>
      <c r="AA2142" s="5" t="s">
        <v>16317</v>
      </c>
    </row>
    <row r="2143" ht="14.25">
      <c r="B2143" s="4" t="s">
        <v>16318</v>
      </c>
      <c r="C2143" s="4" t="s">
        <v>16196</v>
      </c>
      <c r="D2143" s="4" t="s">
        <v>16319</v>
      </c>
      <c r="E2143" s="4" t="s">
        <v>16320</v>
      </c>
      <c r="F2143" s="4" t="s">
        <v>1130</v>
      </c>
      <c r="G2143" s="4" t="s">
        <v>16321</v>
      </c>
      <c r="H2143" s="4" t="str">
        <f>IFERROR(__XLUDF.DUMMYFUNCTION("PROPER(REGEXREPLACE(G720,""[^A-Za-z]+ "",""""))"),"Procal")</f>
        <v>Procal</v>
      </c>
      <c r="I2143" s="5" t="s">
        <v>16322</v>
      </c>
      <c r="J2143" s="4" t="s">
        <v>651</v>
      </c>
      <c r="K2143" s="4" t="s">
        <v>9215</v>
      </c>
      <c r="L2143" s="4" t="s">
        <v>29</v>
      </c>
      <c r="M2143" s="4" t="s">
        <v>2602</v>
      </c>
      <c r="N2143" s="4" t="str">
        <f>IFERROR(__XLUDF.DUMMYFUNCTION("VLOOKUP(M720,IMPORTRANGE(""https://docs.google.com/spreadsheets/d/1opm6ZNvGZ7KditA9TuJwrZ25eFLfTNIkrNnY6mhV5Eg"",""list!A1:C115""),3,TRUE)"),"le secteur de la tech")</f>
        <v xml:space="preserve">le secteur de la tech</v>
      </c>
      <c r="O2143" s="4" t="s">
        <v>16323</v>
      </c>
      <c r="P2143" s="4">
        <v>23</v>
      </c>
      <c r="Q2143" s="4" t="s">
        <v>16324</v>
      </c>
      <c r="R2143" s="4" t="s">
        <v>9215</v>
      </c>
      <c r="S2143" s="4" t="s">
        <v>29</v>
      </c>
      <c r="T2143" s="5" t="s">
        <v>16325</v>
      </c>
      <c r="U2143" s="6"/>
      <c r="V2143" s="6"/>
      <c r="W2143" s="6"/>
      <c r="X2143" s="6"/>
      <c r="Y2143" s="4" t="s">
        <v>16326</v>
      </c>
      <c r="Z2143" s="6"/>
      <c r="AA2143" s="5" t="s">
        <v>16327</v>
      </c>
    </row>
    <row r="2144" ht="14.25">
      <c r="B2144" s="4" t="s">
        <v>16328</v>
      </c>
      <c r="C2144" s="4" t="s">
        <v>16329</v>
      </c>
      <c r="D2144" s="4" t="s">
        <v>16330</v>
      </c>
      <c r="E2144" s="4" t="s">
        <v>16331</v>
      </c>
      <c r="F2144" s="4" t="s">
        <v>13589</v>
      </c>
      <c r="G2144" s="4" t="s">
        <v>16332</v>
      </c>
      <c r="H2144" s="4" t="str">
        <f>IFERROR(__XLUDF.DUMMYFUNCTION("PROPER(REGEXREPLACE(G721,""[^A-Za-z]+ "",""""))"),"Rocapine")</f>
        <v>Rocapine</v>
      </c>
      <c r="I2144" s="5" t="s">
        <v>16333</v>
      </c>
      <c r="J2144" s="4" t="s">
        <v>39</v>
      </c>
      <c r="K2144" s="4" t="s">
        <v>9160</v>
      </c>
      <c r="L2144" s="4" t="s">
        <v>29</v>
      </c>
      <c r="M2144" s="4" t="s">
        <v>2602</v>
      </c>
      <c r="N2144" s="4" t="str">
        <f>IFERROR(__XLUDF.DUMMYFUNCTION("VLOOKUP(M721,IMPORTRANGE(""https://docs.google.com/spreadsheets/d/1opm6ZNvGZ7KditA9TuJwrZ25eFLfTNIkrNnY6mhV5Eg"",""list!A1:C115""),3,TRUE)"),"le secteur de la tech")</f>
        <v xml:space="preserve">le secteur de la tech</v>
      </c>
      <c r="O2144" s="6"/>
      <c r="P2144" s="4">
        <v>14</v>
      </c>
      <c r="Q2144" s="6"/>
      <c r="R2144" s="6"/>
      <c r="S2144" s="6"/>
      <c r="T2144" s="5" t="s">
        <v>16334</v>
      </c>
      <c r="U2144" s="6"/>
      <c r="V2144" s="6"/>
      <c r="W2144" s="6"/>
      <c r="X2144" s="6"/>
      <c r="Y2144" s="4" t="s">
        <v>16335</v>
      </c>
      <c r="Z2144" s="6"/>
      <c r="AA2144" s="5" t="s">
        <v>16336</v>
      </c>
    </row>
    <row r="2145" ht="14.25">
      <c r="B2145" s="4" t="s">
        <v>16337</v>
      </c>
      <c r="C2145" s="4" t="s">
        <v>1704</v>
      </c>
      <c r="D2145" s="4" t="s">
        <v>6318</v>
      </c>
      <c r="E2145" s="4" t="s">
        <v>16338</v>
      </c>
      <c r="F2145" s="4" t="s">
        <v>7759</v>
      </c>
      <c r="G2145" s="4" t="s">
        <v>16339</v>
      </c>
      <c r="H2145" s="4" t="str">
        <f>IFERROR(__XLUDF.DUMMYFUNCTION("PROPER(REGEXREPLACE(G722,""[^A-Za-z]+ "",""""))"),"Concessions Mouton")</f>
        <v xml:space="preserve">Concessions Mouton</v>
      </c>
      <c r="I2145" s="5" t="s">
        <v>16340</v>
      </c>
      <c r="J2145" s="4" t="s">
        <v>16341</v>
      </c>
      <c r="K2145" s="4" t="s">
        <v>9227</v>
      </c>
      <c r="L2145" s="4" t="s">
        <v>29</v>
      </c>
      <c r="M2145" s="4" t="s">
        <v>4525</v>
      </c>
      <c r="N2145" s="4" t="str">
        <f>IFERROR(__XLUDF.DUMMYFUNCTION("VLOOKUP(M722,IMPORTRANGE(""https://docs.google.com/spreadsheets/d/1opm6ZNvGZ7KditA9TuJwrZ25eFLfTNIkrNnY6mhV5Eg"",""list!A1:C115""),3,TRUE)"),"le secteur du retail")</f>
        <v xml:space="preserve">le secteur du retail</v>
      </c>
      <c r="O2145" s="4" t="s">
        <v>16342</v>
      </c>
      <c r="P2145" s="4">
        <v>21</v>
      </c>
      <c r="Q2145" s="4" t="s">
        <v>16341</v>
      </c>
      <c r="R2145" s="4" t="s">
        <v>9227</v>
      </c>
      <c r="S2145" s="4" t="s">
        <v>29</v>
      </c>
      <c r="T2145" s="5" t="s">
        <v>16343</v>
      </c>
      <c r="U2145" s="6"/>
      <c r="V2145" s="5" t="s">
        <v>16344</v>
      </c>
      <c r="W2145" s="6"/>
      <c r="X2145" s="6"/>
      <c r="Y2145" s="4" t="s">
        <v>16345</v>
      </c>
      <c r="Z2145" s="6"/>
      <c r="AA2145" s="5" t="s">
        <v>16346</v>
      </c>
    </row>
    <row r="2146" ht="14.25">
      <c r="B2146" s="4" t="s">
        <v>16347</v>
      </c>
      <c r="C2146" s="4" t="s">
        <v>1704</v>
      </c>
      <c r="D2146" s="4" t="s">
        <v>16348</v>
      </c>
      <c r="E2146" s="4" t="s">
        <v>16349</v>
      </c>
      <c r="F2146" s="4" t="s">
        <v>9456</v>
      </c>
      <c r="G2146" s="4" t="s">
        <v>16350</v>
      </c>
      <c r="H2146" s="4" t="str">
        <f>IFERROR(__XLUDF.DUMMYFUNCTION("PROPER(REGEXREPLACE(G723,""[^A-Za-z]+ "",""""))"),"French Custom-Made Staircases Manufacturer")</f>
        <v xml:space="preserve">French Custom-Made Staircases Manufacturer</v>
      </c>
      <c r="I2146" s="5" t="s">
        <v>16351</v>
      </c>
      <c r="J2146" s="4" t="s">
        <v>15292</v>
      </c>
      <c r="K2146" s="4" t="s">
        <v>10736</v>
      </c>
      <c r="L2146" s="4" t="s">
        <v>29</v>
      </c>
      <c r="M2146" s="4" t="s">
        <v>4525</v>
      </c>
      <c r="N2146" s="4" t="str">
        <f>IFERROR(__XLUDF.DUMMYFUNCTION("VLOOKUP(M723,IMPORTRANGE(""https://docs.google.com/spreadsheets/d/1opm6ZNvGZ7KditA9TuJwrZ25eFLfTNIkrNnY6mhV5Eg"",""list!A1:C115""),3,TRUE)"),"le secteur du retail")</f>
        <v xml:space="preserve">le secteur du retail</v>
      </c>
      <c r="O2146" s="4" t="s">
        <v>16352</v>
      </c>
      <c r="P2146" s="4">
        <v>28</v>
      </c>
      <c r="Q2146" s="4" t="s">
        <v>16353</v>
      </c>
      <c r="R2146" s="4" t="s">
        <v>9798</v>
      </c>
      <c r="S2146" s="4" t="s">
        <v>29</v>
      </c>
      <c r="T2146" s="5" t="s">
        <v>16354</v>
      </c>
      <c r="U2146" s="5" t="s">
        <v>16355</v>
      </c>
      <c r="V2146" s="5" t="s">
        <v>16356</v>
      </c>
      <c r="W2146" s="6"/>
      <c r="X2146" s="6"/>
      <c r="Y2146" s="4" t="s">
        <v>16357</v>
      </c>
      <c r="Z2146" s="6"/>
      <c r="AA2146" s="5" t="s">
        <v>16358</v>
      </c>
    </row>
    <row r="2147" ht="14.25">
      <c r="B2147" s="4" t="s">
        <v>16359</v>
      </c>
      <c r="C2147" s="4" t="s">
        <v>1704</v>
      </c>
      <c r="D2147" s="4" t="s">
        <v>16360</v>
      </c>
      <c r="E2147" s="4" t="s">
        <v>16361</v>
      </c>
      <c r="F2147" s="4" t="s">
        <v>16362</v>
      </c>
      <c r="G2147" s="4" t="s">
        <v>16363</v>
      </c>
      <c r="H2147" s="4" t="str">
        <f>IFERROR(__XLUDF.DUMMYFUNCTION("PROPER(REGEXREPLACE(G724,""[^A-Za-z]+ "",""""))"),"Wemet")</f>
        <v>Wemet</v>
      </c>
      <c r="I2147" s="5" t="s">
        <v>16364</v>
      </c>
      <c r="J2147" s="4" t="s">
        <v>83</v>
      </c>
      <c r="K2147" s="4" t="s">
        <v>9460</v>
      </c>
      <c r="L2147" s="4" t="s">
        <v>29</v>
      </c>
      <c r="M2147" s="4" t="s">
        <v>4525</v>
      </c>
      <c r="N2147" s="4" t="str">
        <f>IFERROR(__XLUDF.DUMMYFUNCTION("VLOOKUP(M724,IMPORTRANGE(""https://docs.google.com/spreadsheets/d/1opm6ZNvGZ7KditA9TuJwrZ25eFLfTNIkrNnY6mhV5Eg"",""list!A1:C115""),3,TRUE)"),"le secteur du retail")</f>
        <v xml:space="preserve">le secteur du retail</v>
      </c>
      <c r="O2147" s="4" t="s">
        <v>16365</v>
      </c>
      <c r="P2147" s="4">
        <v>17</v>
      </c>
      <c r="Q2147" s="4" t="s">
        <v>83</v>
      </c>
      <c r="R2147" s="4" t="s">
        <v>9460</v>
      </c>
      <c r="S2147" s="4" t="s">
        <v>29</v>
      </c>
      <c r="T2147" s="5" t="s">
        <v>16366</v>
      </c>
      <c r="U2147" s="5" t="s">
        <v>16367</v>
      </c>
      <c r="V2147" s="5" t="s">
        <v>16368</v>
      </c>
      <c r="W2147" s="6"/>
      <c r="X2147" s="6"/>
      <c r="Y2147" s="4" t="s">
        <v>16369</v>
      </c>
      <c r="Z2147" s="6"/>
      <c r="AA2147" s="5" t="s">
        <v>16370</v>
      </c>
    </row>
    <row r="2148" ht="14.25">
      <c r="B2148" s="4" t="s">
        <v>16371</v>
      </c>
      <c r="C2148" s="4" t="s">
        <v>5907</v>
      </c>
      <c r="D2148" s="4" t="s">
        <v>963</v>
      </c>
      <c r="E2148" s="4" t="s">
        <v>16372</v>
      </c>
      <c r="F2148" s="4" t="s">
        <v>16373</v>
      </c>
      <c r="G2148" s="4" t="s">
        <v>16374</v>
      </c>
      <c r="H2148" s="4" t="str">
        <f>IFERROR(__XLUDF.DUMMYFUNCTION("PROPER(REGEXREPLACE(G725,""[^A-Za-z]+ "",""""))"),"Datachainby Adobis Group")</f>
        <v xml:space="preserve">Datachainby Adobis Group</v>
      </c>
      <c r="I2148" s="5" t="s">
        <v>16375</v>
      </c>
      <c r="J2148" s="4" t="s">
        <v>1507</v>
      </c>
      <c r="K2148" s="4" t="s">
        <v>9193</v>
      </c>
      <c r="L2148" s="4" t="s">
        <v>29</v>
      </c>
      <c r="M2148" s="4" t="s">
        <v>2602</v>
      </c>
      <c r="N2148" s="4" t="str">
        <f>IFERROR(__XLUDF.DUMMYFUNCTION("VLOOKUP(M725,IMPORTRANGE(""https://docs.google.com/spreadsheets/d/1opm6ZNvGZ7KditA9TuJwrZ25eFLfTNIkrNnY6mhV5Eg"",""list!A1:C115""),3,TRUE)"),"le secteur de la tech")</f>
        <v xml:space="preserve">le secteur de la tech</v>
      </c>
      <c r="O2148" s="4" t="s">
        <v>16376</v>
      </c>
      <c r="P2148" s="4">
        <v>16</v>
      </c>
      <c r="Q2148" s="4" t="s">
        <v>16377</v>
      </c>
      <c r="R2148" s="4" t="s">
        <v>9193</v>
      </c>
      <c r="S2148" s="4" t="s">
        <v>29</v>
      </c>
      <c r="T2148" s="5" t="s">
        <v>16378</v>
      </c>
      <c r="U2148" s="5" t="s">
        <v>16379</v>
      </c>
      <c r="V2148" s="6"/>
      <c r="W2148" s="6"/>
      <c r="X2148" s="6"/>
      <c r="Y2148" s="4" t="s">
        <v>16380</v>
      </c>
      <c r="Z2148" s="6"/>
      <c r="AA2148" s="5" t="s">
        <v>16381</v>
      </c>
    </row>
    <row r="2149" ht="14.25">
      <c r="B2149" s="4" t="s">
        <v>16382</v>
      </c>
      <c r="C2149" s="4" t="s">
        <v>7914</v>
      </c>
      <c r="D2149" s="4" t="s">
        <v>16383</v>
      </c>
      <c r="E2149" s="4" t="s">
        <v>16384</v>
      </c>
      <c r="F2149" s="4" t="s">
        <v>16385</v>
      </c>
      <c r="G2149" s="4" t="s">
        <v>13150</v>
      </c>
      <c r="H2149" s="4" t="str">
        <f>IFERROR(__XLUDF.DUMMYFUNCTION("PROPER(REGEXREPLACE(G726,""[^A-Za-z]+ "",""""))"),"Expert Activ Spécialiste En Développement Commercial")</f>
        <v xml:space="preserve">Expert Activ Spécialiste En Développement Commercial</v>
      </c>
      <c r="I2149" s="5" t="s">
        <v>13151</v>
      </c>
      <c r="J2149" s="4" t="s">
        <v>16386</v>
      </c>
      <c r="K2149" s="4" t="s">
        <v>9864</v>
      </c>
      <c r="L2149" s="4" t="s">
        <v>29</v>
      </c>
      <c r="M2149" s="4" t="s">
        <v>4067</v>
      </c>
      <c r="N2149" s="4" t="str">
        <f>IFERROR(__XLUDF.DUMMYFUNCTION("VLOOKUP(M726,IMPORTRANGE(""https://docs.google.com/spreadsheets/d/1opm6ZNvGZ7KditA9TuJwrZ25eFLfTNIkrNnY6mhV5Eg"",""list!A1:C115""),3,TRUE)"),"le secteur du conseil en management")</f>
        <v xml:space="preserve">le secteur du conseil en management</v>
      </c>
      <c r="O2149" s="4" t="s">
        <v>13152</v>
      </c>
      <c r="P2149" s="4">
        <v>27</v>
      </c>
      <c r="Q2149" s="4" t="s">
        <v>39</v>
      </c>
      <c r="R2149" s="4" t="s">
        <v>9160</v>
      </c>
      <c r="S2149" s="4" t="s">
        <v>29</v>
      </c>
      <c r="T2149" s="5" t="s">
        <v>13153</v>
      </c>
      <c r="U2149" s="5" t="s">
        <v>13154</v>
      </c>
      <c r="V2149" s="5" t="s">
        <v>13155</v>
      </c>
      <c r="W2149" s="6"/>
      <c r="X2149" s="6"/>
      <c r="Y2149" s="4" t="s">
        <v>13156</v>
      </c>
      <c r="Z2149" s="6"/>
      <c r="AA2149" s="5" t="s">
        <v>16387</v>
      </c>
    </row>
    <row r="2150" ht="14.25">
      <c r="B2150" s="4" t="s">
        <v>16388</v>
      </c>
      <c r="C2150" s="4" t="s">
        <v>7914</v>
      </c>
      <c r="D2150" s="4" t="s">
        <v>16389</v>
      </c>
      <c r="E2150" s="4" t="s">
        <v>16390</v>
      </c>
      <c r="F2150" s="4" t="s">
        <v>16391</v>
      </c>
      <c r="G2150" s="4" t="s">
        <v>10464</v>
      </c>
      <c r="H2150" s="4" t="str">
        <f>IFERROR(__XLUDF.DUMMYFUNCTION("PROPER(REGEXREPLACE(G727,""[^A-Za-z]+ "",""""))"),"Metamorphose Groupe")</f>
        <v xml:space="preserve">Metamorphose Groupe</v>
      </c>
      <c r="I2150" s="5" t="s">
        <v>10465</v>
      </c>
      <c r="J2150" s="6"/>
      <c r="K2150" s="6"/>
      <c r="L2150" s="4" t="s">
        <v>29</v>
      </c>
      <c r="M2150" s="4" t="s">
        <v>4067</v>
      </c>
      <c r="N2150" s="4" t="str">
        <f>IFERROR(__XLUDF.DUMMYFUNCTION("VLOOKUP(M727,IMPORTRANGE(""https://docs.google.com/spreadsheets/d/1opm6ZNvGZ7KditA9TuJwrZ25eFLfTNIkrNnY6mhV5Eg"",""list!A1:C115""),3,TRUE)"),"le secteur du conseil en management")</f>
        <v xml:space="preserve">le secteur du conseil en management</v>
      </c>
      <c r="O2150" s="4" t="s">
        <v>10466</v>
      </c>
      <c r="P2150" s="4">
        <v>21</v>
      </c>
      <c r="Q2150" s="4" t="s">
        <v>39</v>
      </c>
      <c r="R2150" s="4" t="s">
        <v>9160</v>
      </c>
      <c r="S2150" s="4" t="s">
        <v>29</v>
      </c>
      <c r="T2150" s="5" t="s">
        <v>10467</v>
      </c>
      <c r="U2150" s="6"/>
      <c r="V2150" s="6"/>
      <c r="W2150" s="6"/>
      <c r="X2150" s="6"/>
      <c r="Y2150" s="4" t="s">
        <v>5069</v>
      </c>
      <c r="Z2150" s="6"/>
      <c r="AA2150" s="5" t="s">
        <v>16392</v>
      </c>
    </row>
    <row r="2151" ht="14.25">
      <c r="B2151" s="4" t="s">
        <v>16393</v>
      </c>
      <c r="C2151" s="4" t="s">
        <v>7914</v>
      </c>
      <c r="D2151" s="4" t="s">
        <v>16394</v>
      </c>
      <c r="E2151" s="4" t="s">
        <v>16395</v>
      </c>
      <c r="F2151" s="4" t="s">
        <v>9582</v>
      </c>
      <c r="G2151" s="4" t="s">
        <v>16396</v>
      </c>
      <c r="H2151" s="4" t="str">
        <f>IFERROR(__XLUDF.DUMMYFUNCTION("PROPER(REGEXREPLACE(G728,""[^A-Za-z]+ "",""""))"),"Ipset")</f>
        <v>Ipset</v>
      </c>
      <c r="I2151" s="5" t="s">
        <v>16397</v>
      </c>
      <c r="J2151" s="4" t="s">
        <v>16398</v>
      </c>
      <c r="K2151" s="4" t="s">
        <v>9193</v>
      </c>
      <c r="L2151" s="4" t="s">
        <v>29</v>
      </c>
      <c r="M2151" s="4" t="s">
        <v>9184</v>
      </c>
      <c r="N2151" s="4" t="str">
        <f>IFERROR(__XLUDF.DUMMYFUNCTION("VLOOKUP(M728,IMPORTRANGE(""https://docs.google.com/spreadsheets/d/1opm6ZNvGZ7KditA9TuJwrZ25eFLfTNIkrNnY6mhV5Eg"",""list!A1:C115""),3,TRUE)"),"le secteur des télécommunications")</f>
        <v xml:space="preserve">le secteur des télécommunications</v>
      </c>
      <c r="O2151" s="4" t="s">
        <v>16399</v>
      </c>
      <c r="P2151" s="4">
        <v>32</v>
      </c>
      <c r="Q2151" s="4" t="s">
        <v>16398</v>
      </c>
      <c r="R2151" s="4" t="s">
        <v>9193</v>
      </c>
      <c r="S2151" s="4" t="s">
        <v>29</v>
      </c>
      <c r="T2151" s="5" t="s">
        <v>16400</v>
      </c>
      <c r="U2151" s="6"/>
      <c r="V2151" s="6"/>
      <c r="W2151" s="6"/>
      <c r="X2151" s="6"/>
      <c r="Y2151" s="4" t="s">
        <v>16401</v>
      </c>
      <c r="Z2151" s="6"/>
      <c r="AA2151" s="5" t="s">
        <v>16402</v>
      </c>
    </row>
    <row r="2152" ht="14.25">
      <c r="B2152" s="4" t="s">
        <v>16403</v>
      </c>
      <c r="C2152" s="4" t="s">
        <v>5671</v>
      </c>
      <c r="D2152" s="4" t="s">
        <v>16404</v>
      </c>
      <c r="E2152" s="4" t="s">
        <v>16405</v>
      </c>
      <c r="F2152" s="4" t="s">
        <v>16406</v>
      </c>
      <c r="G2152" s="4" t="s">
        <v>16407</v>
      </c>
      <c r="H2152" s="4" t="str">
        <f>IFERROR(__XLUDF.DUMMYFUNCTION("PROPER(REGEXREPLACE(G729,""[^A-Za-z]+ "",""""))"),"Forwards Advisory")</f>
        <v xml:space="preserve">Forwards Advisory</v>
      </c>
      <c r="I2152" s="5" t="s">
        <v>16408</v>
      </c>
      <c r="J2152" s="4" t="s">
        <v>295</v>
      </c>
      <c r="K2152" s="4" t="s">
        <v>9251</v>
      </c>
      <c r="L2152" s="4" t="s">
        <v>29</v>
      </c>
      <c r="M2152" s="4" t="s">
        <v>4067</v>
      </c>
      <c r="N2152" s="4" t="str">
        <f>IFERROR(__XLUDF.DUMMYFUNCTION("VLOOKUP(M729,IMPORTRANGE(""https://docs.google.com/spreadsheets/d/1opm6ZNvGZ7KditA9TuJwrZ25eFLfTNIkrNnY6mhV5Eg"",""list!A1:C115""),3,TRUE)"),"le secteur du conseil en management")</f>
        <v xml:space="preserve">le secteur du conseil en management</v>
      </c>
      <c r="O2152" s="4" t="s">
        <v>16409</v>
      </c>
      <c r="P2152" s="4">
        <v>17</v>
      </c>
      <c r="Q2152" s="4" t="s">
        <v>295</v>
      </c>
      <c r="R2152" s="4" t="s">
        <v>9251</v>
      </c>
      <c r="S2152" s="4" t="s">
        <v>29</v>
      </c>
      <c r="T2152" s="5" t="s">
        <v>16410</v>
      </c>
      <c r="U2152" s="6"/>
      <c r="V2152" s="6"/>
      <c r="W2152" s="6"/>
      <c r="X2152" s="6"/>
      <c r="Y2152" s="4" t="s">
        <v>16411</v>
      </c>
      <c r="Z2152" s="6"/>
      <c r="AA2152" s="5" t="s">
        <v>16412</v>
      </c>
    </row>
    <row r="2153" ht="14.25">
      <c r="B2153" s="4" t="s">
        <v>16413</v>
      </c>
      <c r="C2153" s="4" t="s">
        <v>6356</v>
      </c>
      <c r="D2153" s="4" t="s">
        <v>16414</v>
      </c>
      <c r="E2153" s="4" t="s">
        <v>16415</v>
      </c>
      <c r="F2153" s="4" t="s">
        <v>16416</v>
      </c>
      <c r="G2153" s="4" t="s">
        <v>10659</v>
      </c>
      <c r="H2153" s="4" t="str">
        <f>IFERROR(__XLUDF.DUMMYFUNCTION("PROPER(REGEXREPLACE(G730,""[^A-Za-z]+ "",""""))"),"Vakom Le Sens De L'Humain")</f>
        <v xml:space="preserve">Vakom Le Sens De L'Humain</v>
      </c>
      <c r="I2153" s="5" t="s">
        <v>10660</v>
      </c>
      <c r="J2153" s="4" t="s">
        <v>15292</v>
      </c>
      <c r="K2153" s="4" t="s">
        <v>10736</v>
      </c>
      <c r="L2153" s="4" t="s">
        <v>29</v>
      </c>
      <c r="M2153" s="4" t="s">
        <v>4067</v>
      </c>
      <c r="N2153" s="4" t="str">
        <f>IFERROR(__XLUDF.DUMMYFUNCTION("VLOOKUP(M730,IMPORTRANGE(""https://docs.google.com/spreadsheets/d/1opm6ZNvGZ7KditA9TuJwrZ25eFLfTNIkrNnY6mhV5Eg"",""list!A1:C115""),3,TRUE)"),"le secteur du conseil en management")</f>
        <v xml:space="preserve">le secteur du conseil en management</v>
      </c>
      <c r="O2153" s="4" t="s">
        <v>10662</v>
      </c>
      <c r="P2153" s="4">
        <v>49</v>
      </c>
      <c r="Q2153" s="4" t="s">
        <v>492</v>
      </c>
      <c r="R2153" s="4" t="s">
        <v>9267</v>
      </c>
      <c r="S2153" s="4" t="s">
        <v>29</v>
      </c>
      <c r="T2153" s="5" t="s">
        <v>10663</v>
      </c>
      <c r="U2153" s="6"/>
      <c r="V2153" s="5" t="s">
        <v>10664</v>
      </c>
      <c r="W2153" s="6"/>
      <c r="X2153" s="6"/>
      <c r="Y2153" s="4" t="s">
        <v>10665</v>
      </c>
      <c r="Z2153" s="6"/>
      <c r="AA2153" s="5" t="s">
        <v>16417</v>
      </c>
    </row>
    <row r="2154" ht="14.25">
      <c r="B2154" s="4" t="s">
        <v>16418</v>
      </c>
      <c r="C2154" s="4" t="s">
        <v>622</v>
      </c>
      <c r="D2154" s="4" t="s">
        <v>16419</v>
      </c>
      <c r="E2154" s="4" t="s">
        <v>16420</v>
      </c>
      <c r="F2154" s="4" t="s">
        <v>1130</v>
      </c>
      <c r="G2154" s="4" t="s">
        <v>16421</v>
      </c>
      <c r="H2154" s="4" t="str">
        <f>IFERROR(__XLUDF.DUMMYFUNCTION("PROPER(REGEXREPLACE(G731,""[^A-Za-z]+ "",""""))"),"Ipercom")</f>
        <v>Ipercom</v>
      </c>
      <c r="I2154" s="5" t="s">
        <v>16422</v>
      </c>
      <c r="J2154" s="4" t="s">
        <v>243</v>
      </c>
      <c r="K2154" s="4" t="s">
        <v>10390</v>
      </c>
      <c r="L2154" s="4" t="s">
        <v>29</v>
      </c>
      <c r="M2154" s="4" t="s">
        <v>2602</v>
      </c>
      <c r="N2154" s="4" t="str">
        <f>IFERROR(__XLUDF.DUMMYFUNCTION("VLOOKUP(M731,IMPORTRANGE(""https://docs.google.com/spreadsheets/d/1opm6ZNvGZ7KditA9TuJwrZ25eFLfTNIkrNnY6mhV5Eg"",""list!A1:C115""),3,TRUE)"),"le secteur de la tech")</f>
        <v xml:space="preserve">le secteur de la tech</v>
      </c>
      <c r="O2154" s="4" t="s">
        <v>16423</v>
      </c>
      <c r="P2154" s="4">
        <v>17</v>
      </c>
      <c r="Q2154" s="4" t="s">
        <v>16424</v>
      </c>
      <c r="R2154" s="4" t="s">
        <v>9864</v>
      </c>
      <c r="S2154" s="4" t="s">
        <v>29</v>
      </c>
      <c r="T2154" s="5" t="s">
        <v>16425</v>
      </c>
      <c r="U2154" s="6"/>
      <c r="V2154" s="6"/>
      <c r="W2154" s="6"/>
      <c r="X2154" s="6"/>
      <c r="Y2154" s="4" t="s">
        <v>16426</v>
      </c>
      <c r="Z2154" s="6"/>
      <c r="AA2154" s="5" t="s">
        <v>16427</v>
      </c>
    </row>
    <row r="2155" ht="14.25">
      <c r="B2155" s="4" t="s">
        <v>16428</v>
      </c>
      <c r="C2155" s="4" t="s">
        <v>298</v>
      </c>
      <c r="D2155" s="4" t="s">
        <v>16429</v>
      </c>
      <c r="E2155" s="4" t="s">
        <v>16430</v>
      </c>
      <c r="F2155" s="4" t="s">
        <v>16431</v>
      </c>
      <c r="G2155" s="4" t="s">
        <v>10659</v>
      </c>
      <c r="H2155" s="4" t="str">
        <f>IFERROR(__XLUDF.DUMMYFUNCTION("PROPER(REGEXREPLACE(G732,""[^A-Za-z]+ "",""""))"),"Vakom Le Sens De L'Humain")</f>
        <v xml:space="preserve">Vakom Le Sens De L'Humain</v>
      </c>
      <c r="I2155" s="5" t="s">
        <v>10660</v>
      </c>
      <c r="J2155" s="4" t="s">
        <v>846</v>
      </c>
      <c r="K2155" s="4" t="s">
        <v>9278</v>
      </c>
      <c r="L2155" s="4" t="s">
        <v>29</v>
      </c>
      <c r="M2155" s="4" t="s">
        <v>4067</v>
      </c>
      <c r="N2155" s="4" t="str">
        <f>IFERROR(__XLUDF.DUMMYFUNCTION("VLOOKUP(M732,IMPORTRANGE(""https://docs.google.com/spreadsheets/d/1opm6ZNvGZ7KditA9TuJwrZ25eFLfTNIkrNnY6mhV5Eg"",""list!A1:C115""),3,TRUE)"),"le secteur du conseil en management")</f>
        <v xml:space="preserve">le secteur du conseil en management</v>
      </c>
      <c r="O2155" s="4" t="s">
        <v>10662</v>
      </c>
      <c r="P2155" s="4">
        <v>49</v>
      </c>
      <c r="Q2155" s="4" t="s">
        <v>492</v>
      </c>
      <c r="R2155" s="4" t="s">
        <v>9267</v>
      </c>
      <c r="S2155" s="4" t="s">
        <v>29</v>
      </c>
      <c r="T2155" s="5" t="s">
        <v>10663</v>
      </c>
      <c r="U2155" s="6"/>
      <c r="V2155" s="5" t="s">
        <v>10664</v>
      </c>
      <c r="W2155" s="6"/>
      <c r="X2155" s="6"/>
      <c r="Y2155" s="4" t="s">
        <v>10665</v>
      </c>
      <c r="Z2155" s="6"/>
      <c r="AA2155" s="5" t="s">
        <v>16432</v>
      </c>
    </row>
    <row r="2156" ht="14.25">
      <c r="B2156" s="4" t="s">
        <v>16433</v>
      </c>
      <c r="C2156" s="4" t="s">
        <v>322</v>
      </c>
      <c r="D2156" s="4" t="s">
        <v>866</v>
      </c>
      <c r="E2156" s="4" t="s">
        <v>16434</v>
      </c>
      <c r="F2156" s="4" t="s">
        <v>7759</v>
      </c>
      <c r="G2156" s="4" t="s">
        <v>16435</v>
      </c>
      <c r="H2156" s="4" t="str">
        <f>IFERROR(__XLUDF.DUMMYFUNCTION("PROPER(REGEXREPLACE(G733,""[^A-Za-z]+ "",""""))"),"2S Computing")</f>
        <v xml:space="preserve">2S Computing</v>
      </c>
      <c r="I2156" s="5" t="s">
        <v>16436</v>
      </c>
      <c r="J2156" s="4" t="s">
        <v>295</v>
      </c>
      <c r="K2156" s="4" t="s">
        <v>9251</v>
      </c>
      <c r="L2156" s="4" t="s">
        <v>29</v>
      </c>
      <c r="M2156" s="4" t="s">
        <v>2602</v>
      </c>
      <c r="N2156" s="4" t="str">
        <f>IFERROR(__XLUDF.DUMMYFUNCTION("VLOOKUP(M733,IMPORTRANGE(""https://docs.google.com/spreadsheets/d/1opm6ZNvGZ7KditA9TuJwrZ25eFLfTNIkrNnY6mhV5Eg"",""list!A1:C115""),3,TRUE)"),"le secteur de la tech")</f>
        <v xml:space="preserve">le secteur de la tech</v>
      </c>
      <c r="O2156" s="4" t="s">
        <v>16437</v>
      </c>
      <c r="P2156" s="4">
        <v>28</v>
      </c>
      <c r="Q2156" s="4" t="s">
        <v>16438</v>
      </c>
      <c r="R2156" s="4" t="s">
        <v>9251</v>
      </c>
      <c r="S2156" s="4" t="s">
        <v>29</v>
      </c>
      <c r="T2156" s="5" t="s">
        <v>16439</v>
      </c>
      <c r="U2156" s="5" t="s">
        <v>16440</v>
      </c>
      <c r="V2156" s="5" t="s">
        <v>16441</v>
      </c>
      <c r="W2156" s="6"/>
      <c r="X2156" s="6"/>
      <c r="Y2156" s="4" t="s">
        <v>16442</v>
      </c>
      <c r="Z2156" s="6"/>
      <c r="AA2156" s="5" t="s">
        <v>16443</v>
      </c>
    </row>
    <row r="2157" ht="14.25">
      <c r="B2157" s="4" t="s">
        <v>16444</v>
      </c>
      <c r="C2157" s="4" t="s">
        <v>322</v>
      </c>
      <c r="D2157" s="4" t="s">
        <v>16445</v>
      </c>
      <c r="E2157" s="4" t="s">
        <v>16446</v>
      </c>
      <c r="F2157" s="4" t="s">
        <v>12122</v>
      </c>
      <c r="G2157" s="4" t="s">
        <v>16447</v>
      </c>
      <c r="H2157" s="4" t="str">
        <f>IFERROR(__XLUDF.DUMMYFUNCTION("PROPER(REGEXREPLACE(G734,""[^A-Za-z]+ "",""""))"),"Pbs Construction")</f>
        <v xml:space="preserve">Pbs Construction</v>
      </c>
      <c r="I2157" s="5" t="s">
        <v>16448</v>
      </c>
      <c r="J2157" s="4" t="s">
        <v>4922</v>
      </c>
      <c r="K2157" s="4" t="s">
        <v>9340</v>
      </c>
      <c r="L2157" s="4" t="s">
        <v>29</v>
      </c>
      <c r="M2157" s="4" t="s">
        <v>9239</v>
      </c>
      <c r="N2157" s="4" t="str">
        <f>IFERROR(__XLUDF.DUMMYFUNCTION("VLOOKUP(M734,IMPORTRANGE(""https://docs.google.com/spreadsheets/d/1opm6ZNvGZ7KditA9TuJwrZ25eFLfTNIkrNnY6mhV5Eg"",""list!A1:C115""),3,TRUE)"),"le secteur de la construction")</f>
        <v xml:space="preserve">le secteur de la construction</v>
      </c>
      <c r="O2157" s="6"/>
      <c r="P2157" s="4">
        <v>15</v>
      </c>
      <c r="Q2157" s="4" t="s">
        <v>4922</v>
      </c>
      <c r="R2157" s="4" t="s">
        <v>9215</v>
      </c>
      <c r="S2157" s="4" t="s">
        <v>29</v>
      </c>
      <c r="T2157" s="5" t="s">
        <v>16449</v>
      </c>
      <c r="U2157" s="6"/>
      <c r="V2157" s="6"/>
      <c r="W2157" s="6"/>
      <c r="X2157" s="6"/>
      <c r="Y2157" s="4" t="s">
        <v>16450</v>
      </c>
      <c r="Z2157" s="6"/>
      <c r="AA2157" s="5" t="s">
        <v>16451</v>
      </c>
    </row>
    <row r="2158" ht="14.25">
      <c r="B2158" s="4" t="s">
        <v>16452</v>
      </c>
      <c r="C2158" s="4" t="s">
        <v>322</v>
      </c>
      <c r="D2158" s="4" t="s">
        <v>1726</v>
      </c>
      <c r="E2158" s="4" t="s">
        <v>16453</v>
      </c>
      <c r="F2158" s="4" t="s">
        <v>62</v>
      </c>
      <c r="G2158" s="4" t="s">
        <v>16454</v>
      </c>
      <c r="H2158" s="4" t="str">
        <f>IFERROR(__XLUDF.DUMMYFUNCTION("PROPER(REGEXREPLACE(G735,""[^A-Za-z]+ "",""""))"),"Optera")</f>
        <v>Optera</v>
      </c>
      <c r="I2158" s="5" t="s">
        <v>16455</v>
      </c>
      <c r="J2158" s="4" t="s">
        <v>16456</v>
      </c>
      <c r="K2158" s="4" t="s">
        <v>9864</v>
      </c>
      <c r="L2158" s="4" t="s">
        <v>29</v>
      </c>
      <c r="M2158" s="4" t="s">
        <v>4067</v>
      </c>
      <c r="N2158" s="4" t="str">
        <f>IFERROR(__XLUDF.DUMMYFUNCTION("VLOOKUP(M735,IMPORTRANGE(""https://docs.google.com/spreadsheets/d/1opm6ZNvGZ7KditA9TuJwrZ25eFLfTNIkrNnY6mhV5Eg"",""list!A1:C115""),3,TRUE)"),"le secteur du conseil en management")</f>
        <v xml:space="preserve">le secteur du conseil en management</v>
      </c>
      <c r="O2158" s="4" t="s">
        <v>16457</v>
      </c>
      <c r="P2158" s="4">
        <v>14</v>
      </c>
      <c r="Q2158" s="4" t="s">
        <v>16458</v>
      </c>
      <c r="R2158" s="4" t="s">
        <v>10390</v>
      </c>
      <c r="S2158" s="4" t="s">
        <v>29</v>
      </c>
      <c r="T2158" s="5" t="s">
        <v>16459</v>
      </c>
      <c r="U2158" s="6"/>
      <c r="V2158" s="6"/>
      <c r="W2158" s="6"/>
      <c r="X2158" s="6"/>
      <c r="Y2158" s="4" t="s">
        <v>16460</v>
      </c>
      <c r="Z2158" s="6"/>
      <c r="AA2158" s="5" t="s">
        <v>16461</v>
      </c>
    </row>
    <row r="2159" ht="14.25">
      <c r="B2159" s="4" t="s">
        <v>16462</v>
      </c>
      <c r="C2159" s="4" t="s">
        <v>322</v>
      </c>
      <c r="D2159" s="4" t="s">
        <v>16463</v>
      </c>
      <c r="E2159" s="4" t="s">
        <v>16464</v>
      </c>
      <c r="F2159" s="4" t="s">
        <v>16465</v>
      </c>
      <c r="G2159" s="4" t="s">
        <v>16466</v>
      </c>
      <c r="H2159" s="4" t="str">
        <f>IFERROR(__XLUDF.DUMMYFUNCTION("PROPER(REGEXREPLACE(G736,""[^A-Za-z]+ "",""""))"),"Cloud-Iam")</f>
        <v>Cloud-Iam</v>
      </c>
      <c r="I2159" s="5" t="s">
        <v>16467</v>
      </c>
      <c r="J2159" s="4" t="s">
        <v>1826</v>
      </c>
      <c r="K2159" s="4" t="s">
        <v>9227</v>
      </c>
      <c r="L2159" s="4" t="s">
        <v>29</v>
      </c>
      <c r="M2159" s="4" t="s">
        <v>9264</v>
      </c>
      <c r="N2159" s="4" t="str">
        <f>IFERROR(__XLUDF.DUMMYFUNCTION("VLOOKUP(M736,IMPORTRANGE(""https://docs.google.com/spreadsheets/d/1opm6ZNvGZ7KditA9TuJwrZ25eFLfTNIkrNnY6mhV5Eg"",""list!A1:C115""),3,TRUE)"),"le secteur de la sécurité informatique")</f>
        <v xml:space="preserve">le secteur de la sécurité informatique</v>
      </c>
      <c r="O2159" s="4" t="s">
        <v>16468</v>
      </c>
      <c r="P2159" s="4">
        <v>11</v>
      </c>
      <c r="Q2159" s="4" t="s">
        <v>1826</v>
      </c>
      <c r="R2159" s="4" t="s">
        <v>9227</v>
      </c>
      <c r="S2159" s="4" t="s">
        <v>29</v>
      </c>
      <c r="T2159" s="5" t="s">
        <v>16469</v>
      </c>
      <c r="U2159" s="5" t="s">
        <v>16470</v>
      </c>
      <c r="V2159" s="6"/>
      <c r="W2159" s="6"/>
      <c r="X2159" s="6"/>
      <c r="Y2159" s="4" t="s">
        <v>16471</v>
      </c>
      <c r="Z2159" s="6"/>
      <c r="AA2159" s="5" t="s">
        <v>16472</v>
      </c>
    </row>
    <row r="2160" ht="14.25">
      <c r="B2160" s="4" t="s">
        <v>16473</v>
      </c>
      <c r="C2160" s="4" t="s">
        <v>322</v>
      </c>
      <c r="D2160" s="4" t="s">
        <v>16474</v>
      </c>
      <c r="E2160" s="4" t="s">
        <v>16475</v>
      </c>
      <c r="F2160" s="4" t="s">
        <v>7759</v>
      </c>
      <c r="G2160" s="4" t="s">
        <v>16476</v>
      </c>
      <c r="H2160" s="4" t="str">
        <f>IFERROR(__XLUDF.DUMMYFUNCTION("PROPER(REGEXREPLACE(G737,""[^A-Za-z]+ "",""""))"),"Ezio Simplifie Les Dépenses Pour Les Aidants Professionnels")</f>
        <v xml:space="preserve">Ezio Simplifie Les Dépenses Pour Les Aidants Professionnels</v>
      </c>
      <c r="I2160" s="4" t="s">
        <v>16477</v>
      </c>
      <c r="J2160" s="4" t="s">
        <v>4303</v>
      </c>
      <c r="K2160" s="4" t="s">
        <v>9350</v>
      </c>
      <c r="L2160" s="4" t="s">
        <v>29</v>
      </c>
      <c r="M2160" s="4" t="s">
        <v>2602</v>
      </c>
      <c r="N2160" s="4" t="str">
        <f>IFERROR(__XLUDF.DUMMYFUNCTION("VLOOKUP(M737,IMPORTRANGE(""https://docs.google.com/spreadsheets/d/1opm6ZNvGZ7KditA9TuJwrZ25eFLfTNIkrNnY6mhV5Eg"",""list!A1:C115""),3,TRUE)"),"le secteur de la tech")</f>
        <v xml:space="preserve">le secteur de la tech</v>
      </c>
      <c r="O2160" s="4" t="s">
        <v>16478</v>
      </c>
      <c r="P2160" s="4">
        <v>11</v>
      </c>
      <c r="Q2160" s="4" t="s">
        <v>16479</v>
      </c>
      <c r="R2160" s="4" t="s">
        <v>9350</v>
      </c>
      <c r="S2160" s="4" t="s">
        <v>29</v>
      </c>
      <c r="T2160" s="5" t="s">
        <v>16480</v>
      </c>
      <c r="U2160" s="6"/>
      <c r="V2160" s="5" t="s">
        <v>16481</v>
      </c>
      <c r="W2160" s="6"/>
      <c r="X2160" s="6"/>
      <c r="Y2160" s="4" t="s">
        <v>16482</v>
      </c>
      <c r="Z2160" s="6"/>
      <c r="AA2160" s="5" t="s">
        <v>16483</v>
      </c>
    </row>
    <row r="2161" ht="14.25">
      <c r="B2161" s="4" t="s">
        <v>16484</v>
      </c>
      <c r="C2161" s="4" t="s">
        <v>322</v>
      </c>
      <c r="D2161" s="4" t="s">
        <v>16485</v>
      </c>
      <c r="E2161" s="4" t="s">
        <v>16486</v>
      </c>
      <c r="F2161" s="4" t="s">
        <v>172</v>
      </c>
      <c r="G2161" s="4" t="s">
        <v>16487</v>
      </c>
      <c r="H2161" s="4" t="str">
        <f>IFERROR(__XLUDF.DUMMYFUNCTION("PROPER(REGEXREPLACE(G738,""[^A-Za-z]+ "",""""))"),"Harmony Home")</f>
        <v xml:space="preserve">Harmony Home</v>
      </c>
      <c r="I2161" s="5" t="s">
        <v>16488</v>
      </c>
      <c r="J2161" s="4" t="s">
        <v>482</v>
      </c>
      <c r="K2161" s="4" t="s">
        <v>9460</v>
      </c>
      <c r="L2161" s="4" t="s">
        <v>29</v>
      </c>
      <c r="M2161" s="4" t="s">
        <v>9239</v>
      </c>
      <c r="N2161" s="4" t="str">
        <f>IFERROR(__XLUDF.DUMMYFUNCTION("VLOOKUP(M738,IMPORTRANGE(""https://docs.google.com/spreadsheets/d/1opm6ZNvGZ7KditA9TuJwrZ25eFLfTNIkrNnY6mhV5Eg"",""list!A1:C115""),3,TRUE)"),"le secteur de la construction")</f>
        <v xml:space="preserve">le secteur de la construction</v>
      </c>
      <c r="O2161" s="6"/>
      <c r="P2161" s="4">
        <v>13</v>
      </c>
      <c r="Q2161" s="4" t="s">
        <v>16489</v>
      </c>
      <c r="R2161" s="4" t="s">
        <v>10829</v>
      </c>
      <c r="S2161" s="4" t="s">
        <v>29</v>
      </c>
      <c r="T2161" s="5" t="s">
        <v>16490</v>
      </c>
      <c r="U2161" s="6"/>
      <c r="V2161" s="6"/>
      <c r="W2161" s="6"/>
      <c r="X2161" s="6"/>
      <c r="Y2161" s="4" t="s">
        <v>16491</v>
      </c>
      <c r="Z2161" s="6"/>
      <c r="AA2161" s="5" t="s">
        <v>16492</v>
      </c>
    </row>
    <row r="2162" ht="14.25">
      <c r="B2162" s="4" t="s">
        <v>16493</v>
      </c>
      <c r="C2162" s="4" t="s">
        <v>322</v>
      </c>
      <c r="D2162" s="4" t="s">
        <v>16494</v>
      </c>
      <c r="E2162" s="4" t="s">
        <v>16495</v>
      </c>
      <c r="F2162" s="4" t="s">
        <v>7759</v>
      </c>
      <c r="G2162" s="4" t="s">
        <v>16496</v>
      </c>
      <c r="H2162" s="4" t="str">
        <f>IFERROR(__XLUDF.DUMMYFUNCTION("PROPER(REGEXREPLACE(G739,""[^A-Za-z]+ "",""""))"),"Horezo")</f>
        <v>Horezo</v>
      </c>
      <c r="I2162" s="5" t="s">
        <v>16497</v>
      </c>
      <c r="J2162" s="4" t="s">
        <v>2499</v>
      </c>
      <c r="K2162" s="4" t="s">
        <v>9251</v>
      </c>
      <c r="L2162" s="4" t="s">
        <v>29</v>
      </c>
      <c r="M2162" s="4" t="s">
        <v>2602</v>
      </c>
      <c r="N2162" s="4" t="str">
        <f>IFERROR(__XLUDF.DUMMYFUNCTION("VLOOKUP(M739,IMPORTRANGE(""https://docs.google.com/spreadsheets/d/1opm6ZNvGZ7KditA9TuJwrZ25eFLfTNIkrNnY6mhV5Eg"",""list!A1:C115""),3,TRUE)"),"le secteur de la tech")</f>
        <v xml:space="preserve">le secteur de la tech</v>
      </c>
      <c r="O2162" s="4" t="s">
        <v>16498</v>
      </c>
      <c r="P2162" s="4">
        <v>11</v>
      </c>
      <c r="Q2162" s="4" t="s">
        <v>10358</v>
      </c>
      <c r="R2162" s="4" t="s">
        <v>9251</v>
      </c>
      <c r="S2162" s="4" t="s">
        <v>29</v>
      </c>
      <c r="T2162" s="5" t="s">
        <v>16499</v>
      </c>
      <c r="U2162" s="6"/>
      <c r="V2162" s="6"/>
      <c r="W2162" s="6"/>
      <c r="X2162" s="6"/>
      <c r="Y2162" s="4" t="s">
        <v>16500</v>
      </c>
      <c r="Z2162" s="6"/>
      <c r="AA2162" s="5" t="s">
        <v>16501</v>
      </c>
    </row>
    <row r="2163" ht="14.25">
      <c r="B2163" s="4" t="s">
        <v>16502</v>
      </c>
      <c r="C2163" s="4" t="s">
        <v>322</v>
      </c>
      <c r="D2163" s="6"/>
      <c r="E2163" s="4" t="s">
        <v>16503</v>
      </c>
      <c r="F2163" s="4" t="s">
        <v>172</v>
      </c>
      <c r="G2163" s="4" t="s">
        <v>16504</v>
      </c>
      <c r="H2163" s="4" t="str">
        <f>IFERROR(__XLUDF.DUMMYFUNCTION("PROPER(REGEXREPLACE(G740,""[^A-Za-z]+ "",""""))"),"Vu Du Web")</f>
        <v xml:space="preserve">Vu Du Web</v>
      </c>
      <c r="I2163" s="5" t="s">
        <v>16505</v>
      </c>
      <c r="J2163" s="4" t="s">
        <v>482</v>
      </c>
      <c r="K2163" s="4" t="s">
        <v>9460</v>
      </c>
      <c r="L2163" s="4" t="s">
        <v>29</v>
      </c>
      <c r="M2163" s="4" t="s">
        <v>2602</v>
      </c>
      <c r="N2163" s="4" t="str">
        <f>IFERROR(__XLUDF.DUMMYFUNCTION("VLOOKUP(M740,IMPORTRANGE(""https://docs.google.com/spreadsheets/d/1opm6ZNvGZ7KditA9TuJwrZ25eFLfTNIkrNnY6mhV5Eg"",""list!A1:C115""),3,TRUE)"),"le secteur de la tech")</f>
        <v xml:space="preserve">le secteur de la tech</v>
      </c>
      <c r="O2163" s="4" t="s">
        <v>16506</v>
      </c>
      <c r="P2163" s="4">
        <v>25</v>
      </c>
      <c r="Q2163" s="4" t="s">
        <v>482</v>
      </c>
      <c r="R2163" s="4" t="s">
        <v>9460</v>
      </c>
      <c r="S2163" s="4" t="s">
        <v>29</v>
      </c>
      <c r="T2163" s="5" t="s">
        <v>16507</v>
      </c>
      <c r="U2163" s="5" t="s">
        <v>16508</v>
      </c>
      <c r="V2163" s="5" t="s">
        <v>16509</v>
      </c>
      <c r="W2163" s="6"/>
      <c r="X2163" s="6"/>
      <c r="Y2163" s="4" t="s">
        <v>16510</v>
      </c>
      <c r="Z2163" s="6"/>
      <c r="AA2163" s="5" t="s">
        <v>16511</v>
      </c>
    </row>
    <row r="2164" ht="14.25">
      <c r="B2164" s="4" t="s">
        <v>16512</v>
      </c>
      <c r="C2164" s="4" t="s">
        <v>215</v>
      </c>
      <c r="D2164" s="4" t="s">
        <v>16513</v>
      </c>
      <c r="E2164" s="4" t="s">
        <v>16514</v>
      </c>
      <c r="F2164" s="4" t="s">
        <v>16515</v>
      </c>
      <c r="G2164" s="4" t="s">
        <v>16516</v>
      </c>
      <c r="H2164" s="4" t="str">
        <f>IFERROR(__XLUDF.DUMMYFUNCTION("PROPER(REGEXREPLACE(G741,""[^A-Za-z]+ "",""""))"),"Diadao")</f>
        <v>Diadao</v>
      </c>
      <c r="I2164" s="5" t="s">
        <v>16517</v>
      </c>
      <c r="J2164" s="6"/>
      <c r="K2164" s="4" t="s">
        <v>9460</v>
      </c>
      <c r="L2164" s="4" t="s">
        <v>29</v>
      </c>
      <c r="M2164" s="4" t="s">
        <v>9161</v>
      </c>
      <c r="N2164" s="4" t="str">
        <f>IFERROR(__XLUDF.DUMMYFUNCTION("VLOOKUP(M741,IMPORTRANGE(""https://docs.google.com/spreadsheets/d/1opm6ZNvGZ7KditA9TuJwrZ25eFLfTNIkrNnY6mhV5Eg"",""list!A1:C115""),3,TRUE)"),"le secteur du marketing")</f>
        <v xml:space="preserve">le secteur du marketing</v>
      </c>
      <c r="O2164" s="4" t="s">
        <v>16518</v>
      </c>
      <c r="P2164" s="4">
        <v>21</v>
      </c>
      <c r="Q2164" s="4" t="s">
        <v>15097</v>
      </c>
      <c r="R2164" s="4" t="s">
        <v>9460</v>
      </c>
      <c r="S2164" s="4" t="s">
        <v>29</v>
      </c>
      <c r="T2164" s="5" t="s">
        <v>16519</v>
      </c>
      <c r="U2164" s="6"/>
      <c r="V2164" s="5" t="s">
        <v>16520</v>
      </c>
      <c r="W2164" s="6"/>
      <c r="X2164" s="6"/>
      <c r="Y2164" s="4" t="s">
        <v>16521</v>
      </c>
      <c r="Z2164" s="6"/>
      <c r="AA2164" s="5" t="s">
        <v>16522</v>
      </c>
    </row>
    <row r="2165" ht="14.25">
      <c r="B2165" s="4" t="s">
        <v>16523</v>
      </c>
      <c r="C2165" s="4" t="s">
        <v>215</v>
      </c>
      <c r="D2165" s="4" t="s">
        <v>16524</v>
      </c>
      <c r="E2165" s="4" t="s">
        <v>16525</v>
      </c>
      <c r="F2165" s="4" t="s">
        <v>1162</v>
      </c>
      <c r="G2165" s="4" t="s">
        <v>16526</v>
      </c>
      <c r="H2165" s="4" t="str">
        <f>IFERROR(__XLUDF.DUMMYFUNCTION("PROPER(REGEXREPLACE(G742,""[^A-Za-z]+ "",""""))"),"Jbs Ecole De Coaching")</f>
        <v xml:space="preserve">Jbs Ecole De Coaching</v>
      </c>
      <c r="I2165" s="5" t="s">
        <v>16527</v>
      </c>
      <c r="J2165" s="4" t="s">
        <v>185</v>
      </c>
      <c r="K2165" s="4" t="s">
        <v>9193</v>
      </c>
      <c r="L2165" s="4" t="s">
        <v>29</v>
      </c>
      <c r="M2165" s="4" t="s">
        <v>4067</v>
      </c>
      <c r="N2165" s="4" t="str">
        <f>IFERROR(__XLUDF.DUMMYFUNCTION("VLOOKUP(M742,IMPORTRANGE(""https://docs.google.com/spreadsheets/d/1opm6ZNvGZ7KditA9TuJwrZ25eFLfTNIkrNnY6mhV5Eg"",""list!A1:C115""),3,TRUE)"),"le secteur du conseil en management")</f>
        <v xml:space="preserve">le secteur du conseil en management</v>
      </c>
      <c r="O2165" s="4" t="s">
        <v>16528</v>
      </c>
      <c r="P2165" s="4">
        <v>12</v>
      </c>
      <c r="Q2165" s="4" t="s">
        <v>185</v>
      </c>
      <c r="R2165" s="4" t="s">
        <v>9193</v>
      </c>
      <c r="S2165" s="4" t="s">
        <v>29</v>
      </c>
      <c r="T2165" s="5" t="s">
        <v>16529</v>
      </c>
      <c r="U2165" s="5" t="s">
        <v>16530</v>
      </c>
      <c r="V2165" s="5" t="s">
        <v>9981</v>
      </c>
      <c r="W2165" s="6"/>
      <c r="X2165" s="6"/>
      <c r="Y2165" s="4" t="s">
        <v>16531</v>
      </c>
      <c r="Z2165" s="6"/>
      <c r="AA2165" s="5" t="s">
        <v>16532</v>
      </c>
    </row>
    <row r="2166" ht="14.25">
      <c r="B2166" s="4" t="s">
        <v>16533</v>
      </c>
      <c r="C2166" s="4" t="s">
        <v>378</v>
      </c>
      <c r="D2166" s="4" t="s">
        <v>16534</v>
      </c>
      <c r="E2166" s="4" t="s">
        <v>16535</v>
      </c>
      <c r="F2166" s="4" t="s">
        <v>16536</v>
      </c>
      <c r="G2166" s="4" t="s">
        <v>16537</v>
      </c>
      <c r="H2166" s="4" t="str">
        <f>IFERROR(__XLUDF.DUMMYFUNCTION("PROPER(REGEXREPLACE(G743,""[^A-Za-z]+ "",""""))"),"Immaterra")</f>
        <v>Immaterra</v>
      </c>
      <c r="I2166" s="5" t="s">
        <v>16538</v>
      </c>
      <c r="J2166" s="4" t="s">
        <v>1568</v>
      </c>
      <c r="K2166" s="4" t="s">
        <v>9251</v>
      </c>
      <c r="L2166" s="4" t="s">
        <v>29</v>
      </c>
      <c r="M2166" s="4" t="s">
        <v>4067</v>
      </c>
      <c r="N2166" s="4" t="str">
        <f>IFERROR(__XLUDF.DUMMYFUNCTION("VLOOKUP(M743,IMPORTRANGE(""https://docs.google.com/spreadsheets/d/1opm6ZNvGZ7KditA9TuJwrZ25eFLfTNIkrNnY6mhV5Eg"",""list!A1:C115""),3,TRUE)"),"le secteur du conseil en management")</f>
        <v xml:space="preserve">le secteur du conseil en management</v>
      </c>
      <c r="O2166" s="4" t="s">
        <v>16539</v>
      </c>
      <c r="P2166" s="4">
        <v>12</v>
      </c>
      <c r="Q2166" s="4" t="s">
        <v>5456</v>
      </c>
      <c r="R2166" s="4" t="s">
        <v>9251</v>
      </c>
      <c r="S2166" s="4" t="s">
        <v>29</v>
      </c>
      <c r="T2166" s="5" t="s">
        <v>16540</v>
      </c>
      <c r="U2166" s="6"/>
      <c r="V2166" s="6"/>
      <c r="W2166" s="6"/>
      <c r="X2166" s="6"/>
      <c r="Y2166" s="4" t="s">
        <v>16541</v>
      </c>
      <c r="Z2166" s="6"/>
      <c r="AA2166" s="5" t="s">
        <v>16542</v>
      </c>
    </row>
    <row r="2167" ht="14.25">
      <c r="B2167" s="4" t="s">
        <v>16543</v>
      </c>
      <c r="C2167" s="4" t="s">
        <v>16544</v>
      </c>
      <c r="D2167" s="4" t="s">
        <v>16545</v>
      </c>
      <c r="E2167" s="4" t="s">
        <v>16546</v>
      </c>
      <c r="F2167" s="4" t="s">
        <v>87</v>
      </c>
      <c r="G2167" s="4" t="s">
        <v>16547</v>
      </c>
      <c r="H2167" s="4" t="str">
        <f>IFERROR(__XLUDF.DUMMYFUNCTION("PROPER(REGEXREPLACE(G744,""[^A-Za-z]+ "",""""))"),"Hype Notice")</f>
        <v xml:space="preserve">Hype Notice</v>
      </c>
      <c r="I2167" s="5" t="s">
        <v>16548</v>
      </c>
      <c r="J2167" s="4" t="s">
        <v>39</v>
      </c>
      <c r="K2167" s="4" t="s">
        <v>9160</v>
      </c>
      <c r="L2167" s="4" t="s">
        <v>29</v>
      </c>
      <c r="M2167" s="4" t="s">
        <v>9161</v>
      </c>
      <c r="N2167" s="4" t="str">
        <f>IFERROR(__XLUDF.DUMMYFUNCTION("VLOOKUP(M744,IMPORTRANGE(""https://docs.google.com/spreadsheets/d/1opm6ZNvGZ7KditA9TuJwrZ25eFLfTNIkrNnY6mhV5Eg"",""list!A1:C115""),3,TRUE)"),"le secteur du marketing")</f>
        <v xml:space="preserve">le secteur du marketing</v>
      </c>
      <c r="O2167" s="4" t="s">
        <v>16549</v>
      </c>
      <c r="P2167" s="4">
        <v>10</v>
      </c>
      <c r="Q2167" s="4" t="s">
        <v>39</v>
      </c>
      <c r="R2167" s="4" t="s">
        <v>9160</v>
      </c>
      <c r="S2167" s="4" t="s">
        <v>29</v>
      </c>
      <c r="T2167" s="5" t="s">
        <v>16550</v>
      </c>
      <c r="U2167" s="6"/>
      <c r="V2167" s="6"/>
      <c r="W2167" s="6"/>
      <c r="X2167" s="6"/>
      <c r="Y2167" s="4" t="s">
        <v>16551</v>
      </c>
      <c r="Z2167" s="6"/>
      <c r="AA2167" s="5" t="s">
        <v>16552</v>
      </c>
    </row>
    <row r="2168" ht="14.25">
      <c r="B2168" s="4" t="s">
        <v>16553</v>
      </c>
      <c r="C2168" s="4" t="s">
        <v>322</v>
      </c>
      <c r="D2168" s="4" t="s">
        <v>16554</v>
      </c>
      <c r="E2168" s="4" t="s">
        <v>16555</v>
      </c>
      <c r="F2168" s="4" t="s">
        <v>9456</v>
      </c>
      <c r="G2168" s="4" t="s">
        <v>16556</v>
      </c>
      <c r="H2168" s="4" t="str">
        <f>IFERROR(__XLUDF.DUMMYFUNCTION("PROPER(REGEXREPLACE(G745,""[^A-Za-z]+ "",""""))"),"Altitude Ts")</f>
        <v xml:space="preserve">Altitude Ts</v>
      </c>
      <c r="I2168" s="5" t="s">
        <v>16557</v>
      </c>
      <c r="J2168" s="4" t="s">
        <v>11525</v>
      </c>
      <c r="K2168" s="4" t="s">
        <v>9193</v>
      </c>
      <c r="L2168" s="4" t="s">
        <v>29</v>
      </c>
      <c r="M2168" s="4" t="s">
        <v>9239</v>
      </c>
      <c r="N2168" s="4" t="str">
        <f>IFERROR(__XLUDF.DUMMYFUNCTION("VLOOKUP(M745,IMPORTRANGE(""https://docs.google.com/spreadsheets/d/1opm6ZNvGZ7KditA9TuJwrZ25eFLfTNIkrNnY6mhV5Eg"",""list!A1:C115""),3,TRUE)"),"le secteur de la construction")</f>
        <v xml:space="preserve">le secteur de la construction</v>
      </c>
      <c r="O2168" s="6"/>
      <c r="P2168" s="4">
        <v>17</v>
      </c>
      <c r="Q2168" s="4" t="s">
        <v>16558</v>
      </c>
      <c r="R2168" s="4" t="s">
        <v>9193</v>
      </c>
      <c r="S2168" s="4" t="s">
        <v>29</v>
      </c>
      <c r="T2168" s="5" t="s">
        <v>16559</v>
      </c>
      <c r="U2168" s="6"/>
      <c r="V2168" s="5" t="s">
        <v>16560</v>
      </c>
      <c r="W2168" s="6"/>
      <c r="X2168" s="6"/>
      <c r="Y2168" s="4" t="s">
        <v>16561</v>
      </c>
      <c r="Z2168" s="6"/>
      <c r="AA2168" s="5" t="s">
        <v>16562</v>
      </c>
    </row>
    <row r="2169" ht="14.25">
      <c r="B2169" s="4" t="s">
        <v>16563</v>
      </c>
      <c r="C2169" s="4" t="s">
        <v>16564</v>
      </c>
      <c r="D2169" s="4" t="s">
        <v>16565</v>
      </c>
      <c r="E2169" s="4" t="s">
        <v>16566</v>
      </c>
      <c r="F2169" s="4" t="s">
        <v>120</v>
      </c>
      <c r="G2169" s="4" t="s">
        <v>16567</v>
      </c>
      <c r="H2169" s="4" t="str">
        <f>IFERROR(__XLUDF.DUMMYFUNCTION("PROPER(REGEXREPLACE(G746,""[^A-Za-z]+ "",""""))"),"Henko Consulting")</f>
        <v xml:space="preserve">Henko Consulting</v>
      </c>
      <c r="I2169" s="5" t="s">
        <v>16568</v>
      </c>
      <c r="J2169" s="4" t="s">
        <v>39</v>
      </c>
      <c r="K2169" s="4" t="s">
        <v>9160</v>
      </c>
      <c r="L2169" s="4" t="s">
        <v>29</v>
      </c>
      <c r="M2169" s="4" t="s">
        <v>4067</v>
      </c>
      <c r="N2169" s="4" t="str">
        <f>IFERROR(__XLUDF.DUMMYFUNCTION("VLOOKUP(M746,IMPORTRANGE(""https://docs.google.com/spreadsheets/d/1opm6ZNvGZ7KditA9TuJwrZ25eFLfTNIkrNnY6mhV5Eg"",""list!A1:C115""),3,TRUE)"),"le secteur du conseil en management")</f>
        <v xml:space="preserve">le secteur du conseil en management</v>
      </c>
      <c r="O2169" s="4" t="s">
        <v>16569</v>
      </c>
      <c r="P2169" s="4">
        <v>14</v>
      </c>
      <c r="Q2169" s="4" t="s">
        <v>1419</v>
      </c>
      <c r="R2169" s="4" t="s">
        <v>9160</v>
      </c>
      <c r="S2169" s="4" t="s">
        <v>29</v>
      </c>
      <c r="T2169" s="5" t="s">
        <v>16570</v>
      </c>
      <c r="U2169" s="6"/>
      <c r="V2169" s="6"/>
      <c r="W2169" s="6"/>
      <c r="X2169" s="6"/>
      <c r="Y2169" s="4" t="s">
        <v>16571</v>
      </c>
      <c r="Z2169" s="6"/>
      <c r="AA2169" s="5" t="s">
        <v>16572</v>
      </c>
    </row>
    <row r="2170" ht="14.25">
      <c r="B2170" s="4" t="s">
        <v>16573</v>
      </c>
      <c r="C2170" s="4" t="s">
        <v>1619</v>
      </c>
      <c r="D2170" s="4" t="s">
        <v>16574</v>
      </c>
      <c r="E2170" s="4" t="s">
        <v>16575</v>
      </c>
      <c r="F2170" s="4" t="s">
        <v>16576</v>
      </c>
      <c r="G2170" s="4" t="s">
        <v>16577</v>
      </c>
      <c r="H2170" s="4" t="str">
        <f>IFERROR(__XLUDF.DUMMYFUNCTION("PROPER(REGEXREPLACE(G747,""[^A-Za-z]+ "",""""))"),"Kleidi")</f>
        <v>Kleidi</v>
      </c>
      <c r="I2170" s="5" t="s">
        <v>16578</v>
      </c>
      <c r="J2170" s="4" t="s">
        <v>6954</v>
      </c>
      <c r="K2170" s="4" t="s">
        <v>9484</v>
      </c>
      <c r="L2170" s="4" t="s">
        <v>29</v>
      </c>
      <c r="M2170" s="4" t="s">
        <v>4293</v>
      </c>
      <c r="N2170" s="4" t="str">
        <f>IFERROR(__XLUDF.DUMMYFUNCTION("VLOOKUP(M747,IMPORTRANGE(""https://docs.google.com/spreadsheets/d/1opm6ZNvGZ7KditA9TuJwrZ25eFLfTNIkrNnY6mhV5Eg"",""list!A1:C115""),3,TRUE)"),"le secteur de l'immobilier")</f>
        <v xml:space="preserve">le secteur de l'immobilier</v>
      </c>
      <c r="O2170" s="4" t="s">
        <v>16579</v>
      </c>
      <c r="P2170" s="4">
        <v>15</v>
      </c>
      <c r="Q2170" s="4" t="s">
        <v>492</v>
      </c>
      <c r="R2170" s="4" t="s">
        <v>9267</v>
      </c>
      <c r="S2170" s="4" t="s">
        <v>29</v>
      </c>
      <c r="T2170" s="5" t="s">
        <v>16580</v>
      </c>
      <c r="U2170" s="6"/>
      <c r="V2170" s="6"/>
      <c r="W2170" s="6"/>
      <c r="X2170" s="6"/>
      <c r="Y2170" s="4" t="s">
        <v>16581</v>
      </c>
      <c r="Z2170" s="6"/>
      <c r="AA2170" s="5" t="s">
        <v>16582</v>
      </c>
    </row>
    <row r="2171" ht="14.25">
      <c r="B2171" s="4" t="s">
        <v>16583</v>
      </c>
      <c r="C2171" s="4" t="s">
        <v>1619</v>
      </c>
      <c r="D2171" s="4" t="s">
        <v>16584</v>
      </c>
      <c r="E2171" s="4" t="s">
        <v>16585</v>
      </c>
      <c r="F2171" s="4" t="s">
        <v>341</v>
      </c>
      <c r="G2171" s="4" t="s">
        <v>10483</v>
      </c>
      <c r="H2171" s="4" t="str">
        <f>IFERROR(__XLUDF.DUMMYFUNCTION("PROPER(REGEXREPLACE(G748,""[^A-Za-z]+ "",""""))"),"Agence-S")</f>
        <v>Agence-S</v>
      </c>
      <c r="I2171" s="5" t="s">
        <v>10484</v>
      </c>
      <c r="J2171" s="4" t="s">
        <v>3848</v>
      </c>
      <c r="K2171" s="4" t="s">
        <v>9251</v>
      </c>
      <c r="L2171" s="4" t="s">
        <v>29</v>
      </c>
      <c r="M2171" s="4" t="s">
        <v>4067</v>
      </c>
      <c r="N2171" s="4" t="str">
        <f>IFERROR(__XLUDF.DUMMYFUNCTION("VLOOKUP(M748,IMPORTRANGE(""https://docs.google.com/spreadsheets/d/1opm6ZNvGZ7KditA9TuJwrZ25eFLfTNIkrNnY6mhV5Eg"",""list!A1:C115""),3,TRUE)"),"le secteur du conseil en management")</f>
        <v xml:space="preserve">le secteur du conseil en management</v>
      </c>
      <c r="O2171" s="4" t="s">
        <v>10485</v>
      </c>
      <c r="P2171" s="4">
        <v>10</v>
      </c>
      <c r="Q2171" s="4" t="s">
        <v>3848</v>
      </c>
      <c r="R2171" s="4" t="s">
        <v>9251</v>
      </c>
      <c r="S2171" s="4" t="s">
        <v>29</v>
      </c>
      <c r="T2171" s="5" t="s">
        <v>10486</v>
      </c>
      <c r="U2171" s="6"/>
      <c r="V2171" s="6"/>
      <c r="W2171" s="6"/>
      <c r="X2171" s="6"/>
      <c r="Y2171" s="4" t="s">
        <v>10487</v>
      </c>
      <c r="Z2171" s="6"/>
      <c r="AA2171" s="5" t="s">
        <v>16586</v>
      </c>
    </row>
    <row r="2172" ht="14.25">
      <c r="B2172" s="4" t="s">
        <v>16587</v>
      </c>
      <c r="C2172" s="4" t="s">
        <v>1619</v>
      </c>
      <c r="D2172" s="4" t="s">
        <v>16588</v>
      </c>
      <c r="E2172" s="4" t="s">
        <v>16589</v>
      </c>
      <c r="F2172" s="4" t="s">
        <v>172</v>
      </c>
      <c r="G2172" s="4" t="s">
        <v>16590</v>
      </c>
      <c r="H2172" s="4" t="str">
        <f>IFERROR(__XLUDF.DUMMYFUNCTION("PROPER(REGEXREPLACE(G749,""[^A-Za-z]+ "",""""))"),"Digitalisim")</f>
        <v>Digitalisim</v>
      </c>
      <c r="I2172" s="5" t="s">
        <v>16591</v>
      </c>
      <c r="J2172" s="6"/>
      <c r="K2172" s="6"/>
      <c r="L2172" s="4" t="s">
        <v>29</v>
      </c>
      <c r="M2172" s="4" t="s">
        <v>2602</v>
      </c>
      <c r="N2172" s="4" t="str">
        <f>IFERROR(__XLUDF.DUMMYFUNCTION("VLOOKUP(M749,IMPORTRANGE(""https://docs.google.com/spreadsheets/d/1opm6ZNvGZ7KditA9TuJwrZ25eFLfTNIkrNnY6mhV5Eg"",""list!A1:C115""),3,TRUE)"),"le secteur de la tech")</f>
        <v xml:space="preserve">le secteur de la tech</v>
      </c>
      <c r="O2172" s="4" t="s">
        <v>16592</v>
      </c>
      <c r="P2172" s="4">
        <v>28</v>
      </c>
      <c r="Q2172" s="4" t="s">
        <v>185</v>
      </c>
      <c r="R2172" s="4" t="s">
        <v>9193</v>
      </c>
      <c r="S2172" s="4" t="s">
        <v>29</v>
      </c>
      <c r="T2172" s="5" t="s">
        <v>16593</v>
      </c>
      <c r="U2172" s="6"/>
      <c r="V2172" s="6"/>
      <c r="W2172" s="6"/>
      <c r="X2172" s="6"/>
      <c r="Y2172" s="4" t="s">
        <v>16594</v>
      </c>
      <c r="Z2172" s="6"/>
      <c r="AA2172" s="5" t="s">
        <v>16595</v>
      </c>
    </row>
    <row r="2173" ht="14.25">
      <c r="B2173" s="4" t="s">
        <v>16596</v>
      </c>
      <c r="C2173" s="4" t="s">
        <v>1619</v>
      </c>
      <c r="D2173" s="4" t="s">
        <v>16597</v>
      </c>
      <c r="E2173" s="4" t="s">
        <v>16598</v>
      </c>
      <c r="F2173" s="4" t="s">
        <v>5158</v>
      </c>
      <c r="G2173" s="4" t="s">
        <v>16599</v>
      </c>
      <c r="H2173" s="4" t="str">
        <f>IFERROR(__XLUDF.DUMMYFUNCTION("PROPER(REGEXREPLACE(G750,""[^A-Za-z]+ "",""""))"),"Waybox")</f>
        <v>Waybox</v>
      </c>
      <c r="I2173" s="5" t="s">
        <v>16600</v>
      </c>
      <c r="J2173" s="4" t="s">
        <v>846</v>
      </c>
      <c r="K2173" s="4" t="s">
        <v>9278</v>
      </c>
      <c r="L2173" s="4" t="s">
        <v>29</v>
      </c>
      <c r="M2173" s="4" t="s">
        <v>9264</v>
      </c>
      <c r="N2173" s="4" t="str">
        <f>IFERROR(__XLUDF.DUMMYFUNCTION("VLOOKUP(M750,IMPORTRANGE(""https://docs.google.com/spreadsheets/d/1opm6ZNvGZ7KditA9TuJwrZ25eFLfTNIkrNnY6mhV5Eg"",""list!A1:C115""),3,TRUE)"),"le secteur de la sécurité informatique")</f>
        <v xml:space="preserve">le secteur de la sécurité informatique</v>
      </c>
      <c r="O2173" s="4" t="s">
        <v>16601</v>
      </c>
      <c r="P2173" s="4">
        <v>20</v>
      </c>
      <c r="Q2173" s="4" t="s">
        <v>846</v>
      </c>
      <c r="R2173" s="4" t="s">
        <v>9278</v>
      </c>
      <c r="S2173" s="4" t="s">
        <v>29</v>
      </c>
      <c r="T2173" s="5" t="s">
        <v>16602</v>
      </c>
      <c r="U2173" s="6"/>
      <c r="V2173" s="6"/>
      <c r="W2173" s="6"/>
      <c r="X2173" s="6"/>
      <c r="Y2173" s="4" t="s">
        <v>16603</v>
      </c>
      <c r="Z2173" s="6"/>
      <c r="AA2173" s="5" t="s">
        <v>16604</v>
      </c>
    </row>
    <row r="2174" ht="14.25">
      <c r="B2174" s="4" t="s">
        <v>16605</v>
      </c>
      <c r="C2174" s="4" t="s">
        <v>16606</v>
      </c>
      <c r="D2174" s="4" t="s">
        <v>16607</v>
      </c>
      <c r="E2174" s="4" t="s">
        <v>16608</v>
      </c>
      <c r="F2174" s="4" t="s">
        <v>16609</v>
      </c>
      <c r="G2174" s="4" t="s">
        <v>16610</v>
      </c>
      <c r="H2174" s="4" t="str">
        <f>IFERROR(__XLUDF.DUMMYFUNCTION("PROPER(REGEXREPLACE(G751,""[^A-Za-z]+ "",""""))"),"Invicta Software")</f>
        <v xml:space="preserve">Invicta Software</v>
      </c>
      <c r="I2174" s="5" t="s">
        <v>16611</v>
      </c>
      <c r="J2174" s="4" t="s">
        <v>39</v>
      </c>
      <c r="K2174" s="4" t="s">
        <v>9160</v>
      </c>
      <c r="L2174" s="4" t="s">
        <v>29</v>
      </c>
      <c r="M2174" s="4" t="s">
        <v>2602</v>
      </c>
      <c r="N2174" s="4" t="str">
        <f>IFERROR(__XLUDF.DUMMYFUNCTION("VLOOKUP(M751,IMPORTRANGE(""https://docs.google.com/spreadsheets/d/1opm6ZNvGZ7KditA9TuJwrZ25eFLfTNIkrNnY6mhV5Eg"",""list!A1:C115""),3,TRUE)"),"le secteur de la tech")</f>
        <v xml:space="preserve">le secteur de la tech</v>
      </c>
      <c r="O2174" s="4" t="s">
        <v>16612</v>
      </c>
      <c r="P2174" s="4">
        <v>15</v>
      </c>
      <c r="Q2174" s="4" t="s">
        <v>16613</v>
      </c>
      <c r="R2174" s="4" t="s">
        <v>12757</v>
      </c>
      <c r="S2174" s="4" t="s">
        <v>1261</v>
      </c>
      <c r="T2174" s="5" t="s">
        <v>16614</v>
      </c>
      <c r="U2174" s="5" t="s">
        <v>16615</v>
      </c>
      <c r="V2174" s="5" t="s">
        <v>16616</v>
      </c>
      <c r="W2174" s="6"/>
      <c r="X2174" s="6"/>
      <c r="Y2174" s="4" t="s">
        <v>16617</v>
      </c>
      <c r="Z2174" s="6"/>
      <c r="AA2174" s="5" t="s">
        <v>16618</v>
      </c>
    </row>
    <row r="2175" ht="14.25">
      <c r="B2175" s="4" t="s">
        <v>16619</v>
      </c>
      <c r="C2175" s="4" t="s">
        <v>6356</v>
      </c>
      <c r="D2175" s="4" t="s">
        <v>16620</v>
      </c>
      <c r="E2175" s="4" t="s">
        <v>16621</v>
      </c>
      <c r="F2175" s="4" t="s">
        <v>10566</v>
      </c>
      <c r="G2175" s="4" t="s">
        <v>10567</v>
      </c>
      <c r="H2175" s="4" t="str">
        <f>IFERROR(__XLUDF.DUMMYFUNCTION("PROPER(REGEXREPLACE(G752,""[^A-Za-z]+ "",""""))"),"Coreoz")</f>
        <v>Coreoz</v>
      </c>
      <c r="I2175" s="5" t="s">
        <v>10568</v>
      </c>
      <c r="J2175" s="6"/>
      <c r="K2175" s="4" t="s">
        <v>9160</v>
      </c>
      <c r="L2175" s="4" t="s">
        <v>29</v>
      </c>
      <c r="M2175" s="4" t="s">
        <v>2602</v>
      </c>
      <c r="N2175" s="4" t="str">
        <f>IFERROR(__XLUDF.DUMMYFUNCTION("VLOOKUP(M752,IMPORTRANGE(""https://docs.google.com/spreadsheets/d/1opm6ZNvGZ7KditA9TuJwrZ25eFLfTNIkrNnY6mhV5Eg"",""list!A1:C115""),3,TRUE)"),"le secteur de la tech")</f>
        <v xml:space="preserve">le secteur de la tech</v>
      </c>
      <c r="O2175" s="4" t="s">
        <v>10569</v>
      </c>
      <c r="P2175" s="4">
        <v>44</v>
      </c>
      <c r="Q2175" s="4" t="s">
        <v>39</v>
      </c>
      <c r="R2175" s="4" t="s">
        <v>9160</v>
      </c>
      <c r="S2175" s="4" t="s">
        <v>29</v>
      </c>
      <c r="T2175" s="5" t="s">
        <v>10570</v>
      </c>
      <c r="U2175" s="6"/>
      <c r="V2175" s="6"/>
      <c r="W2175" s="6"/>
      <c r="X2175" s="6"/>
      <c r="Y2175" s="4" t="s">
        <v>10571</v>
      </c>
      <c r="Z2175" s="6"/>
      <c r="AA2175" s="5" t="s">
        <v>16622</v>
      </c>
    </row>
    <row r="2176" ht="14.25">
      <c r="B2176" s="4" t="s">
        <v>16623</v>
      </c>
      <c r="C2176" s="4" t="s">
        <v>1619</v>
      </c>
      <c r="D2176" s="4" t="s">
        <v>16624</v>
      </c>
      <c r="E2176" s="4" t="s">
        <v>16625</v>
      </c>
      <c r="F2176" s="4" t="s">
        <v>112</v>
      </c>
      <c r="G2176" s="4" t="s">
        <v>16626</v>
      </c>
      <c r="H2176" s="4" t="str">
        <f>IFERROR(__XLUDF.DUMMYFUNCTION("PROPER(REGEXREPLACE(G753,""[^A-Za-z]+ "",""""))"),"Hatmada Group")</f>
        <v xml:space="preserve">Hatmada Group</v>
      </c>
      <c r="I2176" s="5" t="s">
        <v>16627</v>
      </c>
      <c r="J2176" s="4" t="s">
        <v>140</v>
      </c>
      <c r="K2176" s="4" t="s">
        <v>9160</v>
      </c>
      <c r="L2176" s="4" t="s">
        <v>29</v>
      </c>
      <c r="M2176" s="4" t="s">
        <v>4067</v>
      </c>
      <c r="N2176" s="4" t="str">
        <f>IFERROR(__XLUDF.DUMMYFUNCTION("VLOOKUP(M753,IMPORTRANGE(""https://docs.google.com/spreadsheets/d/1opm6ZNvGZ7KditA9TuJwrZ25eFLfTNIkrNnY6mhV5Eg"",""list!A1:C115""),3,TRUE)"),"le secteur du conseil en management")</f>
        <v xml:space="preserve">le secteur du conseil en management</v>
      </c>
      <c r="O2176" s="4" t="s">
        <v>16628</v>
      </c>
      <c r="P2176" s="4">
        <v>10</v>
      </c>
      <c r="Q2176" s="4" t="s">
        <v>39</v>
      </c>
      <c r="R2176" s="4" t="s">
        <v>9160</v>
      </c>
      <c r="S2176" s="4" t="s">
        <v>29</v>
      </c>
      <c r="T2176" s="5" t="s">
        <v>16629</v>
      </c>
      <c r="U2176" s="6"/>
      <c r="V2176" s="6"/>
      <c r="W2176" s="6"/>
      <c r="X2176" s="6"/>
      <c r="Y2176" s="4" t="s">
        <v>16630</v>
      </c>
      <c r="Z2176" s="6"/>
      <c r="AA2176" s="5" t="s">
        <v>16631</v>
      </c>
    </row>
    <row r="2177" ht="14.25">
      <c r="B2177" s="4" t="s">
        <v>16632</v>
      </c>
      <c r="C2177" s="4" t="s">
        <v>16633</v>
      </c>
      <c r="D2177" s="4" t="s">
        <v>16634</v>
      </c>
      <c r="E2177" s="4" t="s">
        <v>16635</v>
      </c>
      <c r="F2177" s="4" t="s">
        <v>13389</v>
      </c>
      <c r="G2177" s="4" t="s">
        <v>16636</v>
      </c>
      <c r="H2177" s="4" t="str">
        <f>IFERROR(__XLUDF.DUMMYFUNCTION("PROPER(REGEXREPLACE(G754,""[^A-Za-z]+ "",""""))"),"Endogène")</f>
        <v>Endogène</v>
      </c>
      <c r="I2177" s="4" t="s">
        <v>16637</v>
      </c>
      <c r="J2177" s="4" t="s">
        <v>295</v>
      </c>
      <c r="K2177" s="4" t="s">
        <v>9251</v>
      </c>
      <c r="L2177" s="4" t="s">
        <v>29</v>
      </c>
      <c r="M2177" s="4" t="s">
        <v>4067</v>
      </c>
      <c r="N2177" s="4" t="str">
        <f>IFERROR(__XLUDF.DUMMYFUNCTION("VLOOKUP(M754,IMPORTRANGE(""https://docs.google.com/spreadsheets/d/1opm6ZNvGZ7KditA9TuJwrZ25eFLfTNIkrNnY6mhV5Eg"",""list!A1:C115""),3,TRUE)"),"le secteur du conseil en management")</f>
        <v xml:space="preserve">le secteur du conseil en management</v>
      </c>
      <c r="O2177" s="6"/>
      <c r="P2177" s="4">
        <v>12</v>
      </c>
      <c r="Q2177" s="4" t="s">
        <v>185</v>
      </c>
      <c r="R2177" s="4" t="s">
        <v>9193</v>
      </c>
      <c r="S2177" s="4" t="s">
        <v>29</v>
      </c>
      <c r="T2177" s="5" t="s">
        <v>16638</v>
      </c>
      <c r="U2177" s="6"/>
      <c r="V2177" s="6"/>
      <c r="W2177" s="6"/>
      <c r="X2177" s="6"/>
      <c r="Y2177" s="4" t="s">
        <v>16639</v>
      </c>
      <c r="Z2177" s="6"/>
      <c r="AA2177" s="5" t="s">
        <v>16640</v>
      </c>
    </row>
    <row r="2178" ht="14.25">
      <c r="B2178" s="4" t="s">
        <v>16641</v>
      </c>
      <c r="C2178" s="4" t="s">
        <v>16642</v>
      </c>
      <c r="D2178" s="4" t="s">
        <v>16643</v>
      </c>
      <c r="E2178" s="4" t="s">
        <v>16644</v>
      </c>
      <c r="F2178" s="4" t="s">
        <v>16645</v>
      </c>
      <c r="G2178" s="4" t="s">
        <v>16646</v>
      </c>
      <c r="H2178" s="4" t="str">
        <f>IFERROR(__XLUDF.DUMMYFUNCTION("PROPER(REGEXREPLACE(G755,""[^A-Za-z]+ "",""""))"),"Corma")</f>
        <v>Corma</v>
      </c>
      <c r="I2178" s="5" t="s">
        <v>16647</v>
      </c>
      <c r="J2178" s="4" t="s">
        <v>39</v>
      </c>
      <c r="K2178" s="4" t="s">
        <v>9160</v>
      </c>
      <c r="L2178" s="4" t="s">
        <v>29</v>
      </c>
      <c r="M2178" s="4" t="s">
        <v>2602</v>
      </c>
      <c r="N2178" s="4" t="str">
        <f>IFERROR(__XLUDF.DUMMYFUNCTION("VLOOKUP(M755,IMPORTRANGE(""https://docs.google.com/spreadsheets/d/1opm6ZNvGZ7KditA9TuJwrZ25eFLfTNIkrNnY6mhV5Eg"",""list!A1:C115""),3,TRUE)"),"le secteur de la tech")</f>
        <v xml:space="preserve">le secteur de la tech</v>
      </c>
      <c r="O2178" s="4" t="s">
        <v>16648</v>
      </c>
      <c r="P2178" s="4">
        <v>22</v>
      </c>
      <c r="Q2178" s="4" t="s">
        <v>39</v>
      </c>
      <c r="R2178" s="4" t="s">
        <v>9160</v>
      </c>
      <c r="S2178" s="4" t="s">
        <v>29</v>
      </c>
      <c r="T2178" s="5" t="s">
        <v>16649</v>
      </c>
      <c r="U2178" s="5" t="s">
        <v>16650</v>
      </c>
      <c r="V2178" s="6"/>
      <c r="W2178" s="6"/>
      <c r="X2178" s="6"/>
      <c r="Y2178" s="4" t="s">
        <v>16651</v>
      </c>
      <c r="Z2178" s="6"/>
      <c r="AA2178" s="5" t="s">
        <v>16652</v>
      </c>
    </row>
    <row r="2179" ht="14.25">
      <c r="B2179" s="4" t="s">
        <v>16653</v>
      </c>
      <c r="C2179" s="4" t="s">
        <v>7246</v>
      </c>
      <c r="D2179" s="4" t="s">
        <v>16654</v>
      </c>
      <c r="E2179" s="4" t="s">
        <v>16655</v>
      </c>
      <c r="F2179" s="4" t="s">
        <v>9456</v>
      </c>
      <c r="G2179" s="4" t="s">
        <v>16656</v>
      </c>
      <c r="H2179" s="4" t="str">
        <f>IFERROR(__XLUDF.DUMMYFUNCTION("PROPER(REGEXREPLACE(G756,""[^A-Za-z]+ "",""""))"),"Dare Done")</f>
        <v xml:space="preserve">Dare Done</v>
      </c>
      <c r="I2179" s="5" t="s">
        <v>16657</v>
      </c>
      <c r="J2179" s="6"/>
      <c r="K2179" s="6"/>
      <c r="L2179" s="4" t="s">
        <v>29</v>
      </c>
      <c r="M2179" s="4" t="s">
        <v>4067</v>
      </c>
      <c r="N2179" s="4" t="str">
        <f>IFERROR(__XLUDF.DUMMYFUNCTION("VLOOKUP(M756,IMPORTRANGE(""https://docs.google.com/spreadsheets/d/1opm6ZNvGZ7KditA9TuJwrZ25eFLfTNIkrNnY6mhV5Eg"",""list!A1:C115""),3,TRUE)"),"le secteur du conseil en management")</f>
        <v xml:space="preserve">le secteur du conseil en management</v>
      </c>
      <c r="O2179" s="6"/>
      <c r="P2179" s="4">
        <v>13</v>
      </c>
      <c r="Q2179" s="4" t="s">
        <v>15558</v>
      </c>
      <c r="R2179" s="4" t="s">
        <v>9193</v>
      </c>
      <c r="S2179" s="4" t="s">
        <v>29</v>
      </c>
      <c r="T2179" s="5" t="s">
        <v>16658</v>
      </c>
      <c r="U2179" s="6"/>
      <c r="V2179" s="6"/>
      <c r="W2179" s="6"/>
      <c r="X2179" s="6"/>
      <c r="Y2179" s="4" t="s">
        <v>16659</v>
      </c>
      <c r="Z2179" s="6"/>
      <c r="AA2179" s="5" t="s">
        <v>16660</v>
      </c>
    </row>
    <row r="2180" ht="14.25">
      <c r="B2180" s="4" t="s">
        <v>16661</v>
      </c>
      <c r="C2180" s="4" t="s">
        <v>298</v>
      </c>
      <c r="D2180" s="4" t="s">
        <v>16662</v>
      </c>
      <c r="E2180" s="4" t="s">
        <v>16663</v>
      </c>
      <c r="F2180" s="4" t="s">
        <v>16664</v>
      </c>
      <c r="G2180" s="4" t="s">
        <v>16665</v>
      </c>
      <c r="H2180" s="4" t="str">
        <f>IFERROR(__XLUDF.DUMMYFUNCTION("PROPER(REGEXREPLACE(G757,""[^A-Za-z]+ "",""""))"),"Ozeo Consulting")</f>
        <v xml:space="preserve">Ozeo Consulting</v>
      </c>
      <c r="I2180" s="5" t="s">
        <v>16666</v>
      </c>
      <c r="J2180" s="4" t="s">
        <v>846</v>
      </c>
      <c r="K2180" s="4" t="s">
        <v>9278</v>
      </c>
      <c r="L2180" s="4" t="s">
        <v>29</v>
      </c>
      <c r="M2180" s="4" t="s">
        <v>2602</v>
      </c>
      <c r="N2180" s="4" t="str">
        <f>IFERROR(__XLUDF.DUMMYFUNCTION("VLOOKUP(M757,IMPORTRANGE(""https://docs.google.com/spreadsheets/d/1opm6ZNvGZ7KditA9TuJwrZ25eFLfTNIkrNnY6mhV5Eg"",""list!A1:C115""),3,TRUE)"),"le secteur de la tech")</f>
        <v xml:space="preserve">le secteur de la tech</v>
      </c>
      <c r="O2180" s="6"/>
      <c r="P2180" s="4">
        <v>25</v>
      </c>
      <c r="Q2180" s="4" t="s">
        <v>846</v>
      </c>
      <c r="R2180" s="4" t="s">
        <v>9278</v>
      </c>
      <c r="S2180" s="4" t="s">
        <v>29</v>
      </c>
      <c r="T2180" s="5" t="s">
        <v>16667</v>
      </c>
      <c r="U2180" s="6"/>
      <c r="V2180" s="6"/>
      <c r="W2180" s="6"/>
      <c r="X2180" s="6"/>
      <c r="Y2180" s="4" t="s">
        <v>16668</v>
      </c>
      <c r="Z2180" s="6"/>
      <c r="AA2180" s="5" t="s">
        <v>16669</v>
      </c>
    </row>
    <row r="2181" ht="14.25">
      <c r="B2181" s="4" t="s">
        <v>16670</v>
      </c>
      <c r="C2181" s="4" t="s">
        <v>16671</v>
      </c>
      <c r="D2181" s="4" t="s">
        <v>298</v>
      </c>
      <c r="E2181" s="4" t="s">
        <v>16672</v>
      </c>
      <c r="F2181" s="4" t="s">
        <v>16673</v>
      </c>
      <c r="G2181" s="4" t="s">
        <v>16674</v>
      </c>
      <c r="H2181" s="4" t="str">
        <f>IFERROR(__XLUDF.DUMMYFUNCTION("PROPER(REGEXREPLACE(G758,""[^A-Za-z]+ "",""""))"),"Tempoco")</f>
        <v>Tempoco</v>
      </c>
      <c r="I2181" s="5" t="s">
        <v>16675</v>
      </c>
      <c r="J2181" s="4" t="s">
        <v>39</v>
      </c>
      <c r="K2181" s="4" t="s">
        <v>9160</v>
      </c>
      <c r="L2181" s="4" t="s">
        <v>29</v>
      </c>
      <c r="M2181" s="4" t="s">
        <v>4067</v>
      </c>
      <c r="N2181" s="4" t="str">
        <f>IFERROR(__XLUDF.DUMMYFUNCTION("VLOOKUP(M758,IMPORTRANGE(""https://docs.google.com/spreadsheets/d/1opm6ZNvGZ7KditA9TuJwrZ25eFLfTNIkrNnY6mhV5Eg"",""list!A1:C115""),3,TRUE)"),"le secteur du conseil en management")</f>
        <v xml:space="preserve">le secteur du conseil en management</v>
      </c>
      <c r="O2181" s="6"/>
      <c r="P2181" s="4">
        <v>16</v>
      </c>
      <c r="Q2181" s="4" t="s">
        <v>39</v>
      </c>
      <c r="R2181" s="4" t="s">
        <v>9160</v>
      </c>
      <c r="S2181" s="4" t="s">
        <v>29</v>
      </c>
      <c r="T2181" s="5" t="s">
        <v>16676</v>
      </c>
      <c r="U2181" s="6"/>
      <c r="V2181" s="6"/>
      <c r="W2181" s="6"/>
      <c r="X2181" s="6"/>
      <c r="Y2181" s="4" t="s">
        <v>16677</v>
      </c>
      <c r="Z2181" s="6"/>
      <c r="AA2181" s="5" t="s">
        <v>16678</v>
      </c>
    </row>
    <row r="2182" ht="14.25">
      <c r="B2182" s="4" t="s">
        <v>16679</v>
      </c>
      <c r="C2182" s="4" t="s">
        <v>622</v>
      </c>
      <c r="D2182" s="4" t="s">
        <v>16680</v>
      </c>
      <c r="E2182" s="4" t="s">
        <v>16681</v>
      </c>
      <c r="F2182" s="4" t="s">
        <v>112</v>
      </c>
      <c r="G2182" s="4" t="s">
        <v>16682</v>
      </c>
      <c r="H2182" s="4" t="str">
        <f>IFERROR(__XLUDF.DUMMYFUNCTION("PROPER(REGEXREPLACE(G759,""[^A-Za-z]+ "",""""))"),"Gematique")</f>
        <v>Gematique</v>
      </c>
      <c r="I2182" s="5" t="s">
        <v>16683</v>
      </c>
      <c r="J2182" s="4" t="s">
        <v>16684</v>
      </c>
      <c r="K2182" s="4" t="s">
        <v>9864</v>
      </c>
      <c r="L2182" s="4" t="s">
        <v>29</v>
      </c>
      <c r="M2182" s="4" t="s">
        <v>2602</v>
      </c>
      <c r="N2182" s="4" t="str">
        <f>IFERROR(__XLUDF.DUMMYFUNCTION("VLOOKUP(M759,IMPORTRANGE(""https://docs.google.com/spreadsheets/d/1opm6ZNvGZ7KditA9TuJwrZ25eFLfTNIkrNnY6mhV5Eg"",""list!A1:C115""),3,TRUE)"),"le secteur de la tech")</f>
        <v xml:space="preserve">le secteur de la tech</v>
      </c>
      <c r="O2182" s="6"/>
      <c r="P2182" s="4">
        <v>15</v>
      </c>
      <c r="Q2182" s="4" t="s">
        <v>16684</v>
      </c>
      <c r="R2182" s="4" t="s">
        <v>9864</v>
      </c>
      <c r="S2182" s="4" t="s">
        <v>29</v>
      </c>
      <c r="T2182" s="5" t="s">
        <v>16685</v>
      </c>
      <c r="U2182" s="6"/>
      <c r="V2182" s="6"/>
      <c r="W2182" s="6"/>
      <c r="X2182" s="6"/>
      <c r="Y2182" s="4" t="s">
        <v>16686</v>
      </c>
      <c r="Z2182" s="6"/>
      <c r="AA2182" s="5" t="s">
        <v>16687</v>
      </c>
    </row>
    <row r="2183" ht="14.25">
      <c r="B2183" s="4" t="s">
        <v>16688</v>
      </c>
      <c r="C2183" s="4" t="s">
        <v>622</v>
      </c>
      <c r="D2183" s="4" t="s">
        <v>16689</v>
      </c>
      <c r="E2183" s="4" t="s">
        <v>16690</v>
      </c>
      <c r="F2183" s="4" t="s">
        <v>112</v>
      </c>
      <c r="G2183" s="4" t="s">
        <v>16691</v>
      </c>
      <c r="H2183" s="4" t="str">
        <f>IFERROR(__XLUDF.DUMMYFUNCTION("PROPER(REGEXREPLACE(G760,""[^A-Za-z]+ "",""""))"),"Avm Intégration")</f>
        <v xml:space="preserve">Avm Intégration</v>
      </c>
      <c r="I2183" s="5" t="s">
        <v>16692</v>
      </c>
      <c r="J2183" s="4" t="s">
        <v>39</v>
      </c>
      <c r="K2183" s="4" t="s">
        <v>9160</v>
      </c>
      <c r="L2183" s="4" t="s">
        <v>29</v>
      </c>
      <c r="M2183" s="4" t="s">
        <v>2602</v>
      </c>
      <c r="N2183" s="4" t="str">
        <f>IFERROR(__XLUDF.DUMMYFUNCTION("VLOOKUP(M760,IMPORTRANGE(""https://docs.google.com/spreadsheets/d/1opm6ZNvGZ7KditA9TuJwrZ25eFLfTNIkrNnY6mhV5Eg"",""list!A1:C115""),3,TRUE)"),"le secteur de la tech")</f>
        <v xml:space="preserve">le secteur de la tech</v>
      </c>
      <c r="O2183" s="4" t="s">
        <v>16693</v>
      </c>
      <c r="P2183" s="4">
        <v>20</v>
      </c>
      <c r="Q2183" s="4" t="s">
        <v>16694</v>
      </c>
      <c r="R2183" s="4" t="s">
        <v>9160</v>
      </c>
      <c r="S2183" s="4" t="s">
        <v>29</v>
      </c>
      <c r="T2183" s="5" t="s">
        <v>16695</v>
      </c>
      <c r="U2183" s="6"/>
      <c r="V2183" s="6"/>
      <c r="W2183" s="6"/>
      <c r="X2183" s="6"/>
      <c r="Y2183" s="4" t="s">
        <v>16696</v>
      </c>
      <c r="Z2183" s="6"/>
      <c r="AA2183" s="5" t="s">
        <v>16697</v>
      </c>
    </row>
    <row r="2184" ht="14.25">
      <c r="B2184" s="4" t="s">
        <v>16698</v>
      </c>
      <c r="C2184" s="4" t="s">
        <v>7914</v>
      </c>
      <c r="D2184" s="4" t="s">
        <v>12415</v>
      </c>
      <c r="E2184" s="4" t="s">
        <v>16699</v>
      </c>
      <c r="F2184" s="4" t="s">
        <v>11503</v>
      </c>
      <c r="G2184" s="4" t="s">
        <v>16700</v>
      </c>
      <c r="H2184" s="4" t="str">
        <f>IFERROR(__XLUDF.DUMMYFUNCTION("PROPER(REGEXREPLACE(G761,""[^A-Za-z]+ "",""""))"),"Frisbee Profiling")</f>
        <v xml:space="preserve">Frisbee Profiling</v>
      </c>
      <c r="I2184" s="5" t="s">
        <v>16701</v>
      </c>
      <c r="J2184" s="6"/>
      <c r="K2184" s="4" t="s">
        <v>9160</v>
      </c>
      <c r="L2184" s="4" t="s">
        <v>29</v>
      </c>
      <c r="M2184" s="4" t="s">
        <v>2602</v>
      </c>
      <c r="N2184" s="4" t="str">
        <f>IFERROR(__XLUDF.DUMMYFUNCTION("VLOOKUP(M761,IMPORTRANGE(""https://docs.google.com/spreadsheets/d/1opm6ZNvGZ7KditA9TuJwrZ25eFLfTNIkrNnY6mhV5Eg"",""list!A1:C115""),3,TRUE)"),"le secteur de la tech")</f>
        <v xml:space="preserve">le secteur de la tech</v>
      </c>
      <c r="O2184" s="4" t="s">
        <v>16702</v>
      </c>
      <c r="P2184" s="4">
        <v>11</v>
      </c>
      <c r="Q2184" s="4" t="s">
        <v>6603</v>
      </c>
      <c r="R2184" s="4" t="s">
        <v>9160</v>
      </c>
      <c r="S2184" s="4" t="s">
        <v>29</v>
      </c>
      <c r="T2184" s="5" t="s">
        <v>16703</v>
      </c>
      <c r="U2184" s="5" t="s">
        <v>16704</v>
      </c>
      <c r="V2184" s="5" t="s">
        <v>16705</v>
      </c>
      <c r="W2184" s="6"/>
      <c r="X2184" s="6"/>
      <c r="Y2184" s="4" t="s">
        <v>16706</v>
      </c>
      <c r="Z2184" s="6"/>
      <c r="AA2184" s="5" t="s">
        <v>16707</v>
      </c>
    </row>
    <row r="2185" ht="14.25">
      <c r="B2185" s="4" t="s">
        <v>16708</v>
      </c>
      <c r="C2185" s="4" t="s">
        <v>322</v>
      </c>
      <c r="D2185" s="4" t="s">
        <v>16709</v>
      </c>
      <c r="E2185" s="4" t="s">
        <v>16710</v>
      </c>
      <c r="F2185" s="4" t="s">
        <v>16711</v>
      </c>
      <c r="G2185" s="4" t="s">
        <v>16712</v>
      </c>
      <c r="H2185" s="4" t="str">
        <f>IFERROR(__XLUDF.DUMMYFUNCTION("PROPER(REGEXREPLACE(G762,""[^A-Za-z]+ "",""""))"),"Réseau National Hyg Up")</f>
        <v xml:space="preserve">Réseau National Hyg Up</v>
      </c>
      <c r="I2185" s="5" t="s">
        <v>16713</v>
      </c>
      <c r="J2185" s="4" t="s">
        <v>1711</v>
      </c>
      <c r="K2185" s="4" t="s">
        <v>9350</v>
      </c>
      <c r="L2185" s="4" t="s">
        <v>29</v>
      </c>
      <c r="M2185" s="4" t="s">
        <v>2639</v>
      </c>
      <c r="N2185" s="4" t="str">
        <f>IFERROR(__XLUDF.DUMMYFUNCTION("VLOOKUP(M762,IMPORTRANGE(""https://docs.google.com/spreadsheets/d/1opm6ZNvGZ7KditA9TuJwrZ25eFLfTNIkrNnY6mhV5Eg"",""list!A1:C115""),3,TRUE)"),"le secteur du commerce de gros")</f>
        <v xml:space="preserve">le secteur du commerce de gros</v>
      </c>
      <c r="O2185" s="4" t="s">
        <v>16714</v>
      </c>
      <c r="P2185" s="4">
        <v>45</v>
      </c>
      <c r="Q2185" s="4" t="s">
        <v>1711</v>
      </c>
      <c r="R2185" s="4" t="s">
        <v>9350</v>
      </c>
      <c r="S2185" s="4" t="s">
        <v>29</v>
      </c>
      <c r="T2185" s="5" t="s">
        <v>16715</v>
      </c>
      <c r="U2185" s="5" t="s">
        <v>16716</v>
      </c>
      <c r="V2185" s="5" t="s">
        <v>16717</v>
      </c>
      <c r="W2185" s="6"/>
      <c r="X2185" s="6"/>
      <c r="Y2185" s="4" t="s">
        <v>16718</v>
      </c>
      <c r="Z2185" s="6"/>
      <c r="AA2185" s="5" t="s">
        <v>16719</v>
      </c>
    </row>
    <row r="2186" ht="14.25">
      <c r="B2186" s="4" t="s">
        <v>16720</v>
      </c>
      <c r="C2186" s="4" t="s">
        <v>16721</v>
      </c>
      <c r="D2186" s="4" t="s">
        <v>16722</v>
      </c>
      <c r="E2186" s="4" t="s">
        <v>16723</v>
      </c>
      <c r="F2186" s="4" t="s">
        <v>16724</v>
      </c>
      <c r="G2186" s="4" t="s">
        <v>16725</v>
      </c>
      <c r="H2186" s="4" t="str">
        <f>IFERROR(__XLUDF.DUMMYFUNCTION("PROPER(REGEXREPLACE(G763,""[^A-Za-z]+ "",""""))"),"Sphère Télécomopérateur Téléphonique Internettéléphonie Fixe Et Mobile3Cx Platinium")</f>
        <v xml:space="preserve">Sphère Télécomopérateur Téléphonique Internettéléphonie Fixe Et Mobile3Cx Platinium</v>
      </c>
      <c r="I2186" s="5" t="s">
        <v>16726</v>
      </c>
      <c r="J2186" s="6"/>
      <c r="K2186" s="4" t="s">
        <v>9281</v>
      </c>
      <c r="L2186" s="4" t="s">
        <v>29</v>
      </c>
      <c r="M2186" s="4" t="s">
        <v>9184</v>
      </c>
      <c r="N2186" s="4" t="str">
        <f>IFERROR(__XLUDF.DUMMYFUNCTION("VLOOKUP(M763,IMPORTRANGE(""https://docs.google.com/spreadsheets/d/1opm6ZNvGZ7KditA9TuJwrZ25eFLfTNIkrNnY6mhV5Eg"",""list!A1:C115""),3,TRUE)"),"le secteur des télécommunications")</f>
        <v xml:space="preserve">le secteur des télécommunications</v>
      </c>
      <c r="O2186" s="4" t="s">
        <v>16727</v>
      </c>
      <c r="P2186" s="4">
        <v>17</v>
      </c>
      <c r="Q2186" s="4" t="s">
        <v>16728</v>
      </c>
      <c r="R2186" s="4" t="s">
        <v>9278</v>
      </c>
      <c r="S2186" s="4" t="s">
        <v>29</v>
      </c>
      <c r="T2186" s="5" t="s">
        <v>16729</v>
      </c>
      <c r="U2186" s="5" t="s">
        <v>16730</v>
      </c>
      <c r="V2186" s="5" t="s">
        <v>16731</v>
      </c>
      <c r="W2186" s="6"/>
      <c r="X2186" s="6"/>
      <c r="Y2186" s="4" t="s">
        <v>16732</v>
      </c>
      <c r="Z2186" s="6"/>
      <c r="AA2186" s="5" t="s">
        <v>16733</v>
      </c>
    </row>
    <row r="2187" ht="14.25">
      <c r="B2187" s="4" t="s">
        <v>16734</v>
      </c>
      <c r="C2187" s="4" t="s">
        <v>622</v>
      </c>
      <c r="D2187" s="4" t="s">
        <v>16735</v>
      </c>
      <c r="E2187" s="4" t="s">
        <v>16736</v>
      </c>
      <c r="F2187" s="4" t="s">
        <v>16737</v>
      </c>
      <c r="G2187" s="4" t="s">
        <v>10464</v>
      </c>
      <c r="H2187" s="4" t="str">
        <f>IFERROR(__XLUDF.DUMMYFUNCTION("PROPER(REGEXREPLACE(G764,""[^A-Za-z]+ "",""""))"),"Metamorphose Groupe")</f>
        <v xml:space="preserve">Metamorphose Groupe</v>
      </c>
      <c r="I2187" s="5" t="s">
        <v>10465</v>
      </c>
      <c r="J2187" s="6"/>
      <c r="K2187" s="6"/>
      <c r="L2187" s="4" t="s">
        <v>29</v>
      </c>
      <c r="M2187" s="4" t="s">
        <v>4067</v>
      </c>
      <c r="N2187" s="4" t="str">
        <f>IFERROR(__XLUDF.DUMMYFUNCTION("VLOOKUP(M764,IMPORTRANGE(""https://docs.google.com/spreadsheets/d/1opm6ZNvGZ7KditA9TuJwrZ25eFLfTNIkrNnY6mhV5Eg"",""list!A1:C115""),3,TRUE)"),"le secteur du conseil en management")</f>
        <v xml:space="preserve">le secteur du conseil en management</v>
      </c>
      <c r="O2187" s="4" t="s">
        <v>10466</v>
      </c>
      <c r="P2187" s="4">
        <v>21</v>
      </c>
      <c r="Q2187" s="4" t="s">
        <v>39</v>
      </c>
      <c r="R2187" s="4" t="s">
        <v>9160</v>
      </c>
      <c r="S2187" s="4" t="s">
        <v>29</v>
      </c>
      <c r="T2187" s="5" t="s">
        <v>10467</v>
      </c>
      <c r="U2187" s="6"/>
      <c r="V2187" s="6"/>
      <c r="W2187" s="6"/>
      <c r="X2187" s="6"/>
      <c r="Y2187" s="4" t="s">
        <v>5069</v>
      </c>
      <c r="Z2187" s="6"/>
      <c r="AA2187" s="5" t="s">
        <v>16738</v>
      </c>
    </row>
    <row r="2188" ht="14.25">
      <c r="B2188" s="4" t="s">
        <v>16739</v>
      </c>
      <c r="C2188" s="4" t="s">
        <v>622</v>
      </c>
      <c r="D2188" s="4" t="s">
        <v>16740</v>
      </c>
      <c r="E2188" s="4" t="s">
        <v>16741</v>
      </c>
      <c r="F2188" s="4" t="s">
        <v>112</v>
      </c>
      <c r="G2188" s="4" t="s">
        <v>16742</v>
      </c>
      <c r="H2188" s="4" t="str">
        <f>IFERROR(__XLUDF.DUMMYFUNCTION("PROPER(REGEXREPLACE(G765,""[^A-Za-z]+ "",""""))"),"Smc Consulting It")</f>
        <v xml:space="preserve">Smc Consulting It</v>
      </c>
      <c r="I2188" s="5" t="s">
        <v>16743</v>
      </c>
      <c r="J2188" s="4" t="s">
        <v>39</v>
      </c>
      <c r="K2188" s="4" t="s">
        <v>9160</v>
      </c>
      <c r="L2188" s="4" t="s">
        <v>29</v>
      </c>
      <c r="M2188" s="4" t="s">
        <v>2602</v>
      </c>
      <c r="N2188" s="4" t="str">
        <f>IFERROR(__XLUDF.DUMMYFUNCTION("VLOOKUP(M765,IMPORTRANGE(""https://docs.google.com/spreadsheets/d/1opm6ZNvGZ7KditA9TuJwrZ25eFLfTNIkrNnY6mhV5Eg"",""list!A1:C115""),3,TRUE)"),"le secteur de la tech")</f>
        <v xml:space="preserve">le secteur de la tech</v>
      </c>
      <c r="O2188" s="4" t="s">
        <v>16744</v>
      </c>
      <c r="P2188" s="4">
        <v>17</v>
      </c>
      <c r="Q2188" s="4" t="s">
        <v>1446</v>
      </c>
      <c r="R2188" s="4" t="s">
        <v>9160</v>
      </c>
      <c r="S2188" s="4" t="s">
        <v>29</v>
      </c>
      <c r="T2188" s="5" t="s">
        <v>16745</v>
      </c>
      <c r="U2188" s="5" t="s">
        <v>16746</v>
      </c>
      <c r="V2188" s="6"/>
      <c r="W2188" s="6"/>
      <c r="X2188" s="6"/>
      <c r="Y2188" s="4" t="s">
        <v>16747</v>
      </c>
      <c r="Z2188" s="6"/>
      <c r="AA2188" s="5" t="s">
        <v>16748</v>
      </c>
    </row>
    <row r="2189" ht="14.25">
      <c r="B2189" s="4" t="s">
        <v>16749</v>
      </c>
      <c r="C2189" s="4" t="s">
        <v>622</v>
      </c>
      <c r="D2189" s="4" t="s">
        <v>16750</v>
      </c>
      <c r="E2189" s="4" t="s">
        <v>16751</v>
      </c>
      <c r="F2189" s="4" t="s">
        <v>16752</v>
      </c>
      <c r="G2189" s="4" t="s">
        <v>16753</v>
      </c>
      <c r="H2189" s="4" t="str">
        <f>IFERROR(__XLUDF.DUMMYFUNCTION("PROPER(REGEXREPLACE(G766,""[^A-Za-z]+ "",""""))"),"Moneythor")</f>
        <v>Moneythor</v>
      </c>
      <c r="I2189" s="5" t="s">
        <v>16754</v>
      </c>
      <c r="J2189" s="6"/>
      <c r="K2189" s="6"/>
      <c r="L2189" s="4" t="s">
        <v>29</v>
      </c>
      <c r="M2189" s="4" t="s">
        <v>2602</v>
      </c>
      <c r="N2189" s="4" t="str">
        <f>IFERROR(__XLUDF.DUMMYFUNCTION("VLOOKUP(M766,IMPORTRANGE(""https://docs.google.com/spreadsheets/d/1opm6ZNvGZ7KditA9TuJwrZ25eFLfTNIkrNnY6mhV5Eg"",""list!A1:C115""),3,TRUE)"),"le secteur de la tech")</f>
        <v xml:space="preserve">le secteur de la tech</v>
      </c>
      <c r="O2189" s="4" t="s">
        <v>16755</v>
      </c>
      <c r="P2189" s="4">
        <v>29</v>
      </c>
      <c r="Q2189" s="4" t="s">
        <v>8427</v>
      </c>
      <c r="R2189" s="4" t="s">
        <v>8427</v>
      </c>
      <c r="S2189" s="4" t="s">
        <v>8427</v>
      </c>
      <c r="T2189" s="5" t="s">
        <v>16756</v>
      </c>
      <c r="U2189" s="5" t="s">
        <v>16757</v>
      </c>
      <c r="V2189" s="5" t="s">
        <v>16758</v>
      </c>
      <c r="W2189" s="6"/>
      <c r="X2189" s="6"/>
      <c r="Y2189" s="4" t="s">
        <v>16759</v>
      </c>
      <c r="Z2189" s="6"/>
      <c r="AA2189" s="5" t="s">
        <v>16760</v>
      </c>
    </row>
    <row r="2190" ht="14.25">
      <c r="B2190" s="4" t="s">
        <v>16761</v>
      </c>
      <c r="C2190" s="4" t="s">
        <v>622</v>
      </c>
      <c r="D2190" s="4" t="s">
        <v>16762</v>
      </c>
      <c r="E2190" s="4" t="s">
        <v>16763</v>
      </c>
      <c r="F2190" s="4" t="s">
        <v>112</v>
      </c>
      <c r="G2190" s="4" t="s">
        <v>16764</v>
      </c>
      <c r="H2190" s="4" t="str">
        <f>IFERROR(__XLUDF.DUMMYFUNCTION("PROPER(REGEXREPLACE(G767,""[^A-Za-z]+ "",""""))"),"Maison Pernet")</f>
        <v xml:space="preserve">Maison Pernet</v>
      </c>
      <c r="I2190" s="5" t="s">
        <v>16765</v>
      </c>
      <c r="J2190" s="4" t="s">
        <v>16766</v>
      </c>
      <c r="K2190" s="4" t="s">
        <v>9473</v>
      </c>
      <c r="L2190" s="4" t="s">
        <v>29</v>
      </c>
      <c r="M2190" s="4" t="s">
        <v>4525</v>
      </c>
      <c r="N2190" s="4" t="str">
        <f>IFERROR(__XLUDF.DUMMYFUNCTION("VLOOKUP(M767,IMPORTRANGE(""https://docs.google.com/spreadsheets/d/1opm6ZNvGZ7KditA9TuJwrZ25eFLfTNIkrNnY6mhV5Eg"",""list!A1:C115""),3,TRUE)"),"le secteur du retail")</f>
        <v xml:space="preserve">le secteur du retail</v>
      </c>
      <c r="O2190" s="6"/>
      <c r="P2190" s="4">
        <v>10</v>
      </c>
      <c r="Q2190" s="6"/>
      <c r="R2190" s="6"/>
      <c r="S2190" s="6"/>
      <c r="T2190" s="5" t="s">
        <v>16767</v>
      </c>
      <c r="U2190" s="6"/>
      <c r="V2190" s="5" t="s">
        <v>16768</v>
      </c>
      <c r="W2190" s="6"/>
      <c r="X2190" s="6"/>
      <c r="Y2190" s="6"/>
      <c r="Z2190" s="6"/>
      <c r="AA2190" s="5" t="s">
        <v>16769</v>
      </c>
    </row>
    <row r="2191" ht="14.25">
      <c r="B2191" s="4" t="s">
        <v>16770</v>
      </c>
      <c r="C2191" s="4" t="s">
        <v>622</v>
      </c>
      <c r="D2191" s="4" t="s">
        <v>16771</v>
      </c>
      <c r="E2191" s="4" t="s">
        <v>16772</v>
      </c>
      <c r="F2191" s="4" t="s">
        <v>7759</v>
      </c>
      <c r="G2191" s="4" t="s">
        <v>16773</v>
      </c>
      <c r="H2191" s="4" t="str">
        <f>IFERROR(__XLUDF.DUMMYFUNCTION("PROPER(REGEXREPLACE(G768,""[^A-Za-z]+ "",""""))"),"Optesys Conseil")</f>
        <v xml:space="preserve">Optesys Conseil</v>
      </c>
      <c r="I2191" s="5" t="s">
        <v>16774</v>
      </c>
      <c r="J2191" s="4" t="s">
        <v>10276</v>
      </c>
      <c r="K2191" s="4" t="s">
        <v>9350</v>
      </c>
      <c r="L2191" s="4" t="s">
        <v>29</v>
      </c>
      <c r="M2191" s="4" t="s">
        <v>4067</v>
      </c>
      <c r="N2191" s="4" t="str">
        <f>IFERROR(__XLUDF.DUMMYFUNCTION("VLOOKUP(M768,IMPORTRANGE(""https://docs.google.com/spreadsheets/d/1opm6ZNvGZ7KditA9TuJwrZ25eFLfTNIkrNnY6mhV5Eg"",""list!A1:C115""),3,TRUE)"),"le secteur du conseil en management")</f>
        <v xml:space="preserve">le secteur du conseil en management</v>
      </c>
      <c r="O2191" s="4" t="s">
        <v>16775</v>
      </c>
      <c r="P2191" s="4">
        <v>11</v>
      </c>
      <c r="Q2191" s="4" t="s">
        <v>10276</v>
      </c>
      <c r="R2191" s="4" t="s">
        <v>9350</v>
      </c>
      <c r="S2191" s="4" t="s">
        <v>29</v>
      </c>
      <c r="T2191" s="5" t="s">
        <v>16776</v>
      </c>
      <c r="U2191" s="6"/>
      <c r="V2191" s="6"/>
      <c r="W2191" s="6"/>
      <c r="X2191" s="6"/>
      <c r="Y2191" s="4" t="s">
        <v>16777</v>
      </c>
      <c r="Z2191" s="6"/>
      <c r="AA2191" s="5" t="s">
        <v>16778</v>
      </c>
    </row>
    <row r="2192" ht="14.25">
      <c r="B2192" s="4" t="s">
        <v>16779</v>
      </c>
      <c r="C2192" s="4" t="s">
        <v>622</v>
      </c>
      <c r="D2192" s="4" t="s">
        <v>16780</v>
      </c>
      <c r="E2192" s="4" t="s">
        <v>16781</v>
      </c>
      <c r="F2192" s="4" t="s">
        <v>112</v>
      </c>
      <c r="G2192" s="4" t="s">
        <v>16782</v>
      </c>
      <c r="H2192" s="4" t="str">
        <f>IFERROR(__XLUDF.DUMMYFUNCTION("PROPER(REGEXREPLACE(G769,""[^A-Za-z]+ "",""""))"),"Cids France")</f>
        <v xml:space="preserve">Cids France</v>
      </c>
      <c r="I2192" s="5" t="s">
        <v>16783</v>
      </c>
      <c r="J2192" s="4" t="s">
        <v>16784</v>
      </c>
      <c r="K2192" s="4" t="s">
        <v>9864</v>
      </c>
      <c r="L2192" s="4" t="s">
        <v>29</v>
      </c>
      <c r="M2192" s="4" t="s">
        <v>4525</v>
      </c>
      <c r="N2192" s="4" t="str">
        <f>IFERROR(__XLUDF.DUMMYFUNCTION("VLOOKUP(M769,IMPORTRANGE(""https://docs.google.com/spreadsheets/d/1opm6ZNvGZ7KditA9TuJwrZ25eFLfTNIkrNnY6mhV5Eg"",""list!A1:C115""),3,TRUE)"),"le secteur du retail")</f>
        <v xml:space="preserve">le secteur du retail</v>
      </c>
      <c r="O2192" s="6"/>
      <c r="P2192" s="4">
        <v>20</v>
      </c>
      <c r="Q2192" s="4" t="s">
        <v>16784</v>
      </c>
      <c r="R2192" s="4" t="s">
        <v>10390</v>
      </c>
      <c r="S2192" s="4" t="s">
        <v>29</v>
      </c>
      <c r="T2192" s="5" t="s">
        <v>16785</v>
      </c>
      <c r="U2192" s="6"/>
      <c r="V2192" s="6"/>
      <c r="W2192" s="6"/>
      <c r="X2192" s="6"/>
      <c r="Y2192" s="4" t="s">
        <v>16786</v>
      </c>
      <c r="Z2192" s="6"/>
      <c r="AA2192" s="5" t="s">
        <v>16787</v>
      </c>
    </row>
    <row r="2193" ht="14.25">
      <c r="B2193" s="4" t="s">
        <v>16788</v>
      </c>
      <c r="C2193" s="4" t="s">
        <v>622</v>
      </c>
      <c r="D2193" s="4" t="s">
        <v>16789</v>
      </c>
      <c r="E2193" s="4" t="s">
        <v>16790</v>
      </c>
      <c r="F2193" s="4" t="s">
        <v>16791</v>
      </c>
      <c r="G2193" s="4" t="s">
        <v>16792</v>
      </c>
      <c r="H2193" s="4" t="str">
        <f>IFERROR(__XLUDF.DUMMYFUNCTION("PROPER(REGEXREPLACE(G770,""[^A-Za-z]+ "",""""))"),"Hoji Ventures")</f>
        <v xml:space="preserve">Hoji Ventures</v>
      </c>
      <c r="I2193" s="5" t="s">
        <v>16793</v>
      </c>
      <c r="J2193" s="4" t="s">
        <v>774</v>
      </c>
      <c r="K2193" s="4" t="s">
        <v>9193</v>
      </c>
      <c r="L2193" s="4" t="s">
        <v>29</v>
      </c>
      <c r="M2193" s="4" t="s">
        <v>2602</v>
      </c>
      <c r="N2193" s="4" t="str">
        <f>IFERROR(__XLUDF.DUMMYFUNCTION("VLOOKUP(M770,IMPORTRANGE(""https://docs.google.com/spreadsheets/d/1opm6ZNvGZ7KditA9TuJwrZ25eFLfTNIkrNnY6mhV5Eg"",""list!A1:C115""),3,TRUE)"),"le secteur de la tech")</f>
        <v xml:space="preserve">le secteur de la tech</v>
      </c>
      <c r="O2193" s="4" t="s">
        <v>16794</v>
      </c>
      <c r="P2193" s="4">
        <v>11</v>
      </c>
      <c r="Q2193" s="4" t="s">
        <v>185</v>
      </c>
      <c r="R2193" s="4" t="s">
        <v>9193</v>
      </c>
      <c r="S2193" s="4" t="s">
        <v>29</v>
      </c>
      <c r="T2193" s="5" t="s">
        <v>16795</v>
      </c>
      <c r="U2193" s="6"/>
      <c r="V2193" s="6"/>
      <c r="W2193" s="6"/>
      <c r="X2193" s="6"/>
      <c r="Y2193" s="4" t="s">
        <v>16796</v>
      </c>
      <c r="Z2193" s="6"/>
      <c r="AA2193" s="5" t="s">
        <v>16797</v>
      </c>
    </row>
    <row r="2194" ht="14.25">
      <c r="B2194" s="4" t="s">
        <v>16798</v>
      </c>
      <c r="C2194" s="4" t="s">
        <v>7273</v>
      </c>
      <c r="D2194" s="4" t="s">
        <v>16799</v>
      </c>
      <c r="E2194" s="4" t="s">
        <v>16800</v>
      </c>
      <c r="F2194" s="4" t="s">
        <v>16801</v>
      </c>
      <c r="G2194" s="4" t="s">
        <v>16802</v>
      </c>
      <c r="H2194" s="4" t="str">
        <f>IFERROR(__XLUDF.DUMMYFUNCTION("PROPER(REGEXREPLACE(G771,""[^A-Za-z]+ "",""""))"),"Sn2Osociétnumérique De L’Ouest")</f>
        <v xml:space="preserve">Sn2Osociétnumérique De L’Ouest</v>
      </c>
      <c r="I2194" s="5" t="s">
        <v>16803</v>
      </c>
      <c r="J2194" s="4" t="s">
        <v>16804</v>
      </c>
      <c r="K2194" s="4" t="s">
        <v>9350</v>
      </c>
      <c r="L2194" s="4" t="s">
        <v>29</v>
      </c>
      <c r="M2194" s="4" t="s">
        <v>4525</v>
      </c>
      <c r="N2194" s="4" t="str">
        <f>IFERROR(__XLUDF.DUMMYFUNCTION("VLOOKUP(M771,IMPORTRANGE(""https://docs.google.com/spreadsheets/d/1opm6ZNvGZ7KditA9TuJwrZ25eFLfTNIkrNnY6mhV5Eg"",""list!A1:C115""),3,TRUE)"),"le secteur du retail")</f>
        <v xml:space="preserve">le secteur du retail</v>
      </c>
      <c r="O2194" s="4" t="s">
        <v>16805</v>
      </c>
      <c r="P2194" s="4">
        <v>14</v>
      </c>
      <c r="Q2194" s="4" t="s">
        <v>16806</v>
      </c>
      <c r="R2194" s="4" t="s">
        <v>9350</v>
      </c>
      <c r="S2194" s="4" t="s">
        <v>29</v>
      </c>
      <c r="T2194" s="5" t="s">
        <v>16807</v>
      </c>
      <c r="U2194" s="6"/>
      <c r="V2194" s="5" t="s">
        <v>16808</v>
      </c>
      <c r="W2194" s="6"/>
      <c r="X2194" s="6"/>
      <c r="Y2194" s="4" t="s">
        <v>16809</v>
      </c>
      <c r="Z2194" s="6"/>
      <c r="AA2194" s="5" t="s">
        <v>16810</v>
      </c>
    </row>
    <row r="2195" ht="14.25">
      <c r="B2195" s="4" t="s">
        <v>16811</v>
      </c>
      <c r="C2195" s="4" t="s">
        <v>16812</v>
      </c>
      <c r="D2195" s="4" t="s">
        <v>16813</v>
      </c>
      <c r="E2195" s="4" t="s">
        <v>16814</v>
      </c>
      <c r="F2195" s="4" t="s">
        <v>1130</v>
      </c>
      <c r="G2195" s="4" t="s">
        <v>16815</v>
      </c>
      <c r="H2195" s="4" t="str">
        <f>IFERROR(__XLUDF.DUMMYFUNCTION("PROPER(REGEXREPLACE(G772,""[^A-Za-z]+ "",""""))"),"Dryft By Tannous Transport")</f>
        <v xml:space="preserve">Dryft By Tannous Transport</v>
      </c>
      <c r="I2195" s="5" t="s">
        <v>16816</v>
      </c>
      <c r="J2195" s="4" t="s">
        <v>431</v>
      </c>
      <c r="K2195" s="4" t="s">
        <v>9160</v>
      </c>
      <c r="L2195" s="4" t="s">
        <v>29</v>
      </c>
      <c r="M2195" s="4" t="s">
        <v>2602</v>
      </c>
      <c r="N2195" s="4" t="str">
        <f>IFERROR(__XLUDF.DUMMYFUNCTION("VLOOKUP(M772,IMPORTRANGE(""https://docs.google.com/spreadsheets/d/1opm6ZNvGZ7KditA9TuJwrZ25eFLfTNIkrNnY6mhV5Eg"",""list!A1:C115""),3,TRUE)"),"le secteur de la tech")</f>
        <v xml:space="preserve">le secteur de la tech</v>
      </c>
      <c r="O2195" s="4" t="s">
        <v>16817</v>
      </c>
      <c r="P2195" s="4">
        <v>14</v>
      </c>
      <c r="Q2195" s="4" t="s">
        <v>16818</v>
      </c>
      <c r="R2195" s="4" t="s">
        <v>9160</v>
      </c>
      <c r="S2195" s="4" t="s">
        <v>29</v>
      </c>
      <c r="T2195" s="5" t="s">
        <v>16819</v>
      </c>
      <c r="U2195" s="6"/>
      <c r="V2195" s="6"/>
      <c r="W2195" s="6"/>
      <c r="X2195" s="6"/>
      <c r="Y2195" s="4" t="s">
        <v>16820</v>
      </c>
      <c r="Z2195" s="6"/>
      <c r="AA2195" s="5" t="s">
        <v>16821</v>
      </c>
    </row>
    <row r="2196" ht="14.25">
      <c r="B2196" s="4" t="s">
        <v>16822</v>
      </c>
      <c r="C2196" s="4" t="s">
        <v>6356</v>
      </c>
      <c r="D2196" s="4" t="s">
        <v>16823</v>
      </c>
      <c r="E2196" s="4" t="s">
        <v>16824</v>
      </c>
      <c r="F2196" s="4" t="s">
        <v>112</v>
      </c>
      <c r="G2196" s="4" t="s">
        <v>16825</v>
      </c>
      <c r="H2196" s="4" t="str">
        <f>IFERROR(__XLUDF.DUMMYFUNCTION("PROPER(REGEXREPLACE(G773,""[^A-Za-z]+ "",""""))"),"Myral")</f>
        <v>Myral</v>
      </c>
      <c r="I2196" s="5" t="s">
        <v>16826</v>
      </c>
      <c r="J2196" s="4" t="s">
        <v>16827</v>
      </c>
      <c r="K2196" s="4" t="s">
        <v>9473</v>
      </c>
      <c r="L2196" s="4" t="s">
        <v>29</v>
      </c>
      <c r="M2196" s="4" t="s">
        <v>9239</v>
      </c>
      <c r="N2196" s="4" t="str">
        <f>IFERROR(__XLUDF.DUMMYFUNCTION("VLOOKUP(M773,IMPORTRANGE(""https://docs.google.com/spreadsheets/d/1opm6ZNvGZ7KditA9TuJwrZ25eFLfTNIkrNnY6mhV5Eg"",""list!A1:C115""),3,TRUE)"),"le secteur de la construction")</f>
        <v xml:space="preserve">le secteur de la construction</v>
      </c>
      <c r="O2196" s="4" t="s">
        <v>16828</v>
      </c>
      <c r="P2196" s="4">
        <v>38</v>
      </c>
      <c r="Q2196" s="4" t="s">
        <v>16827</v>
      </c>
      <c r="R2196" s="4" t="s">
        <v>9473</v>
      </c>
      <c r="S2196" s="4" t="s">
        <v>29</v>
      </c>
      <c r="T2196" s="5" t="s">
        <v>16829</v>
      </c>
      <c r="U2196" s="6"/>
      <c r="V2196" s="6"/>
      <c r="W2196" s="6"/>
      <c r="X2196" s="6"/>
      <c r="Y2196" s="4" t="s">
        <v>16830</v>
      </c>
      <c r="Z2196" s="6"/>
      <c r="AA2196" s="5" t="s">
        <v>16831</v>
      </c>
    </row>
    <row r="2197" ht="14.25">
      <c r="B2197" s="4" t="s">
        <v>16832</v>
      </c>
      <c r="C2197" s="4" t="s">
        <v>6356</v>
      </c>
      <c r="D2197" s="4" t="s">
        <v>16833</v>
      </c>
      <c r="E2197" s="4" t="s">
        <v>16834</v>
      </c>
      <c r="F2197" s="4" t="s">
        <v>1162</v>
      </c>
      <c r="G2197" s="4" t="s">
        <v>16835</v>
      </c>
      <c r="H2197" s="4" t="str">
        <f>IFERROR(__XLUDF.DUMMYFUNCTION("PROPER(REGEXREPLACE(G774,""[^A-Za-z]+ "",""""))"),"Recyclivre")</f>
        <v>Recyclivre</v>
      </c>
      <c r="I2197" s="6"/>
      <c r="J2197" s="6"/>
      <c r="K2197" s="4" t="s">
        <v>9160</v>
      </c>
      <c r="L2197" s="4" t="s">
        <v>29</v>
      </c>
      <c r="M2197" s="4" t="s">
        <v>4525</v>
      </c>
      <c r="N2197" s="4" t="str">
        <f>IFERROR(__XLUDF.DUMMYFUNCTION("VLOOKUP(M774,IMPORTRANGE(""https://docs.google.com/spreadsheets/d/1opm6ZNvGZ7KditA9TuJwrZ25eFLfTNIkrNnY6mhV5Eg"",""list!A1:C115""),3,TRUE)"),"le secteur du retail")</f>
        <v xml:space="preserve">le secteur du retail</v>
      </c>
      <c r="O2197" s="6"/>
      <c r="P2197" s="4">
        <v>27</v>
      </c>
      <c r="Q2197" s="4" t="s">
        <v>39</v>
      </c>
      <c r="R2197" s="4" t="s">
        <v>9160</v>
      </c>
      <c r="S2197" s="4" t="s">
        <v>29</v>
      </c>
      <c r="T2197" s="5" t="s">
        <v>16836</v>
      </c>
      <c r="U2197" s="6"/>
      <c r="V2197" s="6"/>
      <c r="W2197" s="6"/>
      <c r="X2197" s="6"/>
      <c r="Y2197" s="4" t="s">
        <v>16837</v>
      </c>
      <c r="Z2197" s="6"/>
      <c r="AA2197" s="5" t="s">
        <v>16838</v>
      </c>
    </row>
    <row r="2198" ht="14.25">
      <c r="B2198" s="4" t="s">
        <v>16839</v>
      </c>
      <c r="C2198" s="4" t="s">
        <v>6356</v>
      </c>
      <c r="D2198" s="4" t="s">
        <v>16840</v>
      </c>
      <c r="E2198" s="4" t="s">
        <v>16841</v>
      </c>
      <c r="F2198" s="4" t="s">
        <v>9456</v>
      </c>
      <c r="G2198" s="4" t="s">
        <v>16842</v>
      </c>
      <c r="H2198" s="4" t="str">
        <f>IFERROR(__XLUDF.DUMMYFUNCTION("PROPER(REGEXREPLACE(G775,""[^A-Za-z]+ "",""""))"),"Add-On")</f>
        <v>Add-On</v>
      </c>
      <c r="I2198" s="5" t="s">
        <v>16843</v>
      </c>
      <c r="J2198" s="4" t="s">
        <v>39</v>
      </c>
      <c r="K2198" s="4" t="s">
        <v>9160</v>
      </c>
      <c r="L2198" s="4" t="s">
        <v>29</v>
      </c>
      <c r="M2198" s="4" t="s">
        <v>2602</v>
      </c>
      <c r="N2198" s="4" t="str">
        <f>IFERROR(__XLUDF.DUMMYFUNCTION("VLOOKUP(M775,IMPORTRANGE(""https://docs.google.com/spreadsheets/d/1opm6ZNvGZ7KditA9TuJwrZ25eFLfTNIkrNnY6mhV5Eg"",""list!A1:C115""),3,TRUE)"),"le secteur de la tech")</f>
        <v xml:space="preserve">le secteur de la tech</v>
      </c>
      <c r="O2198" s="4" t="s">
        <v>16844</v>
      </c>
      <c r="P2198" s="4">
        <v>31</v>
      </c>
      <c r="Q2198" s="4" t="s">
        <v>16845</v>
      </c>
      <c r="R2198" s="4" t="s">
        <v>9160</v>
      </c>
      <c r="S2198" s="4" t="s">
        <v>29</v>
      </c>
      <c r="T2198" s="5" t="s">
        <v>16846</v>
      </c>
      <c r="U2198" s="6"/>
      <c r="V2198" s="5" t="s">
        <v>16847</v>
      </c>
      <c r="W2198" s="6"/>
      <c r="X2198" s="6"/>
      <c r="Y2198" s="4" t="s">
        <v>16848</v>
      </c>
      <c r="Z2198" s="6"/>
      <c r="AA2198" s="5" t="s">
        <v>16849</v>
      </c>
    </row>
    <row r="2199" ht="14.25">
      <c r="B2199" s="4" t="s">
        <v>16850</v>
      </c>
      <c r="C2199" s="4" t="s">
        <v>6356</v>
      </c>
      <c r="D2199" s="4" t="s">
        <v>7525</v>
      </c>
      <c r="E2199" s="4" t="s">
        <v>16851</v>
      </c>
      <c r="F2199" s="4" t="s">
        <v>14547</v>
      </c>
      <c r="G2199" s="4" t="s">
        <v>16852</v>
      </c>
      <c r="H2199" s="4" t="str">
        <f>IFERROR(__XLUDF.DUMMYFUNCTION("PROPER(REGEXREPLACE(G776,""[^A-Za-z]+ "",""""))"),"Triple-D")</f>
        <v>Triple-D</v>
      </c>
      <c r="I2199" s="5" t="s">
        <v>16853</v>
      </c>
      <c r="J2199" s="6"/>
      <c r="K2199" s="4" t="s">
        <v>9160</v>
      </c>
      <c r="L2199" s="4" t="s">
        <v>29</v>
      </c>
      <c r="M2199" s="4" t="s">
        <v>4525</v>
      </c>
      <c r="N2199" s="4" t="str">
        <f>IFERROR(__XLUDF.DUMMYFUNCTION("VLOOKUP(M776,IMPORTRANGE(""https://docs.google.com/spreadsheets/d/1opm6ZNvGZ7KditA9TuJwrZ25eFLfTNIkrNnY6mhV5Eg"",""list!A1:C115""),3,TRUE)"),"le secteur du retail")</f>
        <v xml:space="preserve">le secteur du retail</v>
      </c>
      <c r="O2199" s="4" t="s">
        <v>16854</v>
      </c>
      <c r="P2199" s="4">
        <v>23</v>
      </c>
      <c r="Q2199" s="4" t="s">
        <v>9967</v>
      </c>
      <c r="R2199" s="4" t="s">
        <v>9160</v>
      </c>
      <c r="S2199" s="4" t="s">
        <v>29</v>
      </c>
      <c r="T2199" s="5" t="s">
        <v>16855</v>
      </c>
      <c r="U2199" s="6"/>
      <c r="V2199" s="5" t="s">
        <v>16856</v>
      </c>
      <c r="W2199" s="6"/>
      <c r="X2199" s="6"/>
      <c r="Y2199" s="4" t="s">
        <v>16857</v>
      </c>
      <c r="Z2199" s="6"/>
      <c r="AA2199" s="5" t="s">
        <v>16858</v>
      </c>
    </row>
    <row r="2200" ht="14.25">
      <c r="B2200" s="4" t="s">
        <v>16859</v>
      </c>
      <c r="C2200" s="4" t="s">
        <v>16860</v>
      </c>
      <c r="D2200" s="4" t="s">
        <v>16861</v>
      </c>
      <c r="E2200" s="4" t="s">
        <v>16862</v>
      </c>
      <c r="F2200" s="4" t="s">
        <v>16863</v>
      </c>
      <c r="G2200" s="4" t="s">
        <v>16864</v>
      </c>
      <c r="H2200" s="4" t="str">
        <f>IFERROR(__XLUDF.DUMMYFUNCTION("PROPER(REGEXREPLACE(G777,""[^A-Za-z]+ "",""""))"),"Funepro")</f>
        <v>Funepro</v>
      </c>
      <c r="I2200" s="5" t="s">
        <v>16865</v>
      </c>
      <c r="J2200" s="4" t="s">
        <v>16866</v>
      </c>
      <c r="K2200" s="4" t="s">
        <v>9350</v>
      </c>
      <c r="L2200" s="4" t="s">
        <v>29</v>
      </c>
      <c r="M2200" s="4" t="s">
        <v>4525</v>
      </c>
      <c r="N2200" s="4" t="str">
        <f>IFERROR(__XLUDF.DUMMYFUNCTION("VLOOKUP(M777,IMPORTRANGE(""https://docs.google.com/spreadsheets/d/1opm6ZNvGZ7KditA9TuJwrZ25eFLfTNIkrNnY6mhV5Eg"",""list!A1:C115""),3,TRUE)"),"le secteur du retail")</f>
        <v xml:space="preserve">le secteur du retail</v>
      </c>
      <c r="O2200" s="4" t="s">
        <v>16867</v>
      </c>
      <c r="P2200" s="4">
        <v>28</v>
      </c>
      <c r="Q2200" s="4" t="s">
        <v>16866</v>
      </c>
      <c r="R2200" s="4" t="s">
        <v>9350</v>
      </c>
      <c r="S2200" s="4" t="s">
        <v>29</v>
      </c>
      <c r="T2200" s="5" t="s">
        <v>16868</v>
      </c>
      <c r="U2200" s="6"/>
      <c r="V2200" s="6"/>
      <c r="W2200" s="6"/>
      <c r="X2200" s="6"/>
      <c r="Y2200" s="4" t="s">
        <v>16869</v>
      </c>
      <c r="Z2200" s="6"/>
      <c r="AA2200" s="5" t="s">
        <v>16870</v>
      </c>
    </row>
    <row r="2201" ht="14.25">
      <c r="B2201" s="4" t="s">
        <v>16871</v>
      </c>
      <c r="C2201" s="4" t="s">
        <v>6744</v>
      </c>
      <c r="D2201" s="4" t="s">
        <v>16872</v>
      </c>
      <c r="E2201" s="4" t="s">
        <v>16873</v>
      </c>
      <c r="F2201" s="4" t="s">
        <v>16874</v>
      </c>
      <c r="G2201" s="4" t="s">
        <v>16875</v>
      </c>
      <c r="H2201" s="4" t="str">
        <f>IFERROR(__XLUDF.DUMMYFUNCTION("PROPER(REGEXREPLACE(G778,""[^A-Za-z]+ "",""""))"),"Move In Med")</f>
        <v xml:space="preserve">Move In Med</v>
      </c>
      <c r="I2201" s="6"/>
      <c r="J2201" s="4" t="s">
        <v>482</v>
      </c>
      <c r="K2201" s="4" t="s">
        <v>9460</v>
      </c>
      <c r="L2201" s="4" t="s">
        <v>29</v>
      </c>
      <c r="M2201" s="4" t="s">
        <v>2602</v>
      </c>
      <c r="N2201" s="4" t="str">
        <f>IFERROR(__XLUDF.DUMMYFUNCTION("VLOOKUP(M778,IMPORTRANGE(""https://docs.google.com/spreadsheets/d/1opm6ZNvGZ7KditA9TuJwrZ25eFLfTNIkrNnY6mhV5Eg"",""list!A1:C115""),3,TRUE)"),"le secteur de la tech")</f>
        <v xml:space="preserve">le secteur de la tech</v>
      </c>
      <c r="O2201" s="4" t="s">
        <v>16876</v>
      </c>
      <c r="P2201" s="4">
        <v>20</v>
      </c>
      <c r="Q2201" s="4" t="s">
        <v>16877</v>
      </c>
      <c r="R2201" s="4" t="s">
        <v>10829</v>
      </c>
      <c r="S2201" s="4" t="s">
        <v>29</v>
      </c>
      <c r="T2201" s="5" t="s">
        <v>16878</v>
      </c>
      <c r="U2201" s="6"/>
      <c r="V2201" s="6"/>
      <c r="W2201" s="6"/>
      <c r="X2201" s="6"/>
      <c r="Y2201" s="4" t="s">
        <v>16879</v>
      </c>
      <c r="Z2201" s="6"/>
      <c r="AA2201" s="5" t="s">
        <v>16880</v>
      </c>
    </row>
    <row r="2202" ht="14.25">
      <c r="B2202" s="4" t="s">
        <v>16881</v>
      </c>
      <c r="C2202" s="4" t="s">
        <v>6744</v>
      </c>
      <c r="D2202" s="4" t="s">
        <v>16882</v>
      </c>
      <c r="E2202" s="4" t="s">
        <v>16883</v>
      </c>
      <c r="F2202" s="4" t="s">
        <v>16884</v>
      </c>
      <c r="G2202" s="4" t="s">
        <v>16885</v>
      </c>
      <c r="H2202" s="4" t="str">
        <f>IFERROR(__XLUDF.DUMMYFUNCTION("PROPER(REGEXREPLACE(G779,""[^A-Za-z]+ "",""""))"),"Altam")</f>
        <v>Altam</v>
      </c>
      <c r="I2202" s="5" t="s">
        <v>16886</v>
      </c>
      <c r="J2202" s="6"/>
      <c r="K2202" s="6"/>
      <c r="L2202" s="4" t="s">
        <v>29</v>
      </c>
      <c r="M2202" s="4" t="s">
        <v>2602</v>
      </c>
      <c r="N2202" s="4" t="str">
        <f>IFERROR(__XLUDF.DUMMYFUNCTION("VLOOKUP(M779,IMPORTRANGE(""https://docs.google.com/spreadsheets/d/1opm6ZNvGZ7KditA9TuJwrZ25eFLfTNIkrNnY6mhV5Eg"",""list!A1:C115""),3,TRUE)"),"le secteur de la tech")</f>
        <v xml:space="preserve">le secteur de la tech</v>
      </c>
      <c r="O2202" s="4" t="s">
        <v>16887</v>
      </c>
      <c r="P2202" s="4">
        <v>41</v>
      </c>
      <c r="Q2202" s="4" t="s">
        <v>39</v>
      </c>
      <c r="R2202" s="4" t="s">
        <v>9160</v>
      </c>
      <c r="S2202" s="4" t="s">
        <v>29</v>
      </c>
      <c r="T2202" s="5" t="s">
        <v>16888</v>
      </c>
      <c r="U2202" s="6"/>
      <c r="V2202" s="5" t="s">
        <v>16889</v>
      </c>
      <c r="W2202" s="6"/>
      <c r="X2202" s="6"/>
      <c r="Y2202" s="4" t="s">
        <v>16890</v>
      </c>
      <c r="Z2202" s="6"/>
      <c r="AA2202" s="5" t="s">
        <v>16891</v>
      </c>
    </row>
    <row r="2203" ht="14.25">
      <c r="B2203" s="4" t="s">
        <v>16892</v>
      </c>
      <c r="C2203" s="4" t="s">
        <v>1583</v>
      </c>
      <c r="D2203" s="4" t="s">
        <v>16893</v>
      </c>
      <c r="E2203" s="4" t="s">
        <v>16894</v>
      </c>
      <c r="F2203" s="4" t="s">
        <v>7759</v>
      </c>
      <c r="G2203" s="4" t="s">
        <v>16895</v>
      </c>
      <c r="H2203" s="4" t="str">
        <f>IFERROR(__XLUDF.DUMMYFUNCTION("PROPER(REGEXREPLACE(G780,""[^A-Za-z]+ "",""""))"),"Eclipse Diffusion")</f>
        <v xml:space="preserve">Eclipse Diffusion</v>
      </c>
      <c r="I2203" s="5" t="s">
        <v>16896</v>
      </c>
      <c r="J2203" s="4" t="s">
        <v>492</v>
      </c>
      <c r="K2203" s="4" t="s">
        <v>9267</v>
      </c>
      <c r="L2203" s="4" t="s">
        <v>29</v>
      </c>
      <c r="M2203" s="4" t="s">
        <v>4525</v>
      </c>
      <c r="N2203" s="4" t="str">
        <f>IFERROR(__XLUDF.DUMMYFUNCTION("VLOOKUP(M780,IMPORTRANGE(""https://docs.google.com/spreadsheets/d/1opm6ZNvGZ7KditA9TuJwrZ25eFLfTNIkrNnY6mhV5Eg"",""list!A1:C115""),3,TRUE)"),"le secteur du retail")</f>
        <v xml:space="preserve">le secteur du retail</v>
      </c>
      <c r="O2203" s="4" t="s">
        <v>16897</v>
      </c>
      <c r="P2203" s="4">
        <v>12</v>
      </c>
      <c r="Q2203" s="4" t="s">
        <v>492</v>
      </c>
      <c r="R2203" s="4" t="s">
        <v>9267</v>
      </c>
      <c r="S2203" s="4" t="s">
        <v>29</v>
      </c>
      <c r="T2203" s="5" t="s">
        <v>16898</v>
      </c>
      <c r="U2203" s="6"/>
      <c r="V2203" s="6"/>
      <c r="W2203" s="6"/>
      <c r="X2203" s="6"/>
      <c r="Y2203" s="4" t="s">
        <v>16899</v>
      </c>
      <c r="Z2203" s="6"/>
      <c r="AA2203" s="5" t="s">
        <v>16900</v>
      </c>
    </row>
    <row r="2204" ht="14.25">
      <c r="B2204" s="4" t="s">
        <v>16901</v>
      </c>
      <c r="C2204" s="4" t="s">
        <v>1583</v>
      </c>
      <c r="D2204" s="4" t="s">
        <v>11407</v>
      </c>
      <c r="E2204" s="4" t="s">
        <v>16902</v>
      </c>
      <c r="F2204" s="4" t="s">
        <v>7759</v>
      </c>
      <c r="G2204" s="4" t="s">
        <v>16903</v>
      </c>
      <c r="H2204" s="4" t="str">
        <f>IFERROR(__XLUDF.DUMMYFUNCTION("PROPER(REGEXREPLACE(G781,""[^A-Za-z]+ "",""""))"),"Performances Lba")</f>
        <v xml:space="preserve">Performances Lba</v>
      </c>
      <c r="I2204" s="5" t="s">
        <v>16904</v>
      </c>
      <c r="J2204" s="6"/>
      <c r="K2204" s="4" t="s">
        <v>9160</v>
      </c>
      <c r="L2204" s="4" t="s">
        <v>29</v>
      </c>
      <c r="M2204" s="4" t="s">
        <v>9239</v>
      </c>
      <c r="N2204" s="4" t="str">
        <f>IFERROR(__XLUDF.DUMMYFUNCTION("VLOOKUP(M781,IMPORTRANGE(""https://docs.google.com/spreadsheets/d/1opm6ZNvGZ7KditA9TuJwrZ25eFLfTNIkrNnY6mhV5Eg"",""list!A1:C115""),3,TRUE)"),"le secteur de la construction")</f>
        <v xml:space="preserve">le secteur de la construction</v>
      </c>
      <c r="O2204" s="4" t="s">
        <v>16905</v>
      </c>
      <c r="P2204" s="4">
        <v>12</v>
      </c>
      <c r="Q2204" s="4" t="s">
        <v>140</v>
      </c>
      <c r="R2204" s="4" t="s">
        <v>9160</v>
      </c>
      <c r="S2204" s="4" t="s">
        <v>29</v>
      </c>
      <c r="T2204" s="5" t="s">
        <v>16906</v>
      </c>
      <c r="U2204" s="6"/>
      <c r="V2204" s="5" t="s">
        <v>16907</v>
      </c>
      <c r="W2204" s="6"/>
      <c r="X2204" s="6"/>
      <c r="Y2204" s="4" t="s">
        <v>16908</v>
      </c>
      <c r="Z2204" s="6"/>
      <c r="AA2204" s="5" t="s">
        <v>16909</v>
      </c>
    </row>
    <row r="2205" ht="14.25">
      <c r="B2205" s="4" t="s">
        <v>16910</v>
      </c>
      <c r="C2205" s="4" t="s">
        <v>20</v>
      </c>
      <c r="D2205" s="4" t="s">
        <v>16911</v>
      </c>
      <c r="E2205" s="4" t="s">
        <v>16912</v>
      </c>
      <c r="F2205" s="4" t="s">
        <v>16913</v>
      </c>
      <c r="G2205" s="4" t="s">
        <v>16914</v>
      </c>
      <c r="H2205" s="4" t="str">
        <f>IFERROR(__XLUDF.DUMMYFUNCTION("PROPER(REGEXREPLACE(G782,""[^A-Za-z]+ "",""""))"),"Groupe Allure Auto")</f>
        <v xml:space="preserve">Groupe Allure Auto</v>
      </c>
      <c r="I2205" s="5" t="s">
        <v>16915</v>
      </c>
      <c r="J2205" s="4" t="s">
        <v>6480</v>
      </c>
      <c r="K2205" s="4" t="s">
        <v>9281</v>
      </c>
      <c r="L2205" s="4" t="s">
        <v>29</v>
      </c>
      <c r="M2205" s="4" t="s">
        <v>4525</v>
      </c>
      <c r="N2205" s="4" t="str">
        <f>IFERROR(__XLUDF.DUMMYFUNCTION("VLOOKUP(M782,IMPORTRANGE(""https://docs.google.com/spreadsheets/d/1opm6ZNvGZ7KditA9TuJwrZ25eFLfTNIkrNnY6mhV5Eg"",""list!A1:C115""),3,TRUE)"),"le secteur du retail")</f>
        <v xml:space="preserve">le secteur du retail</v>
      </c>
      <c r="O2205" s="4" t="s">
        <v>16916</v>
      </c>
      <c r="P2205" s="4">
        <v>19</v>
      </c>
      <c r="Q2205" s="4" t="s">
        <v>6480</v>
      </c>
      <c r="R2205" s="4" t="s">
        <v>9731</v>
      </c>
      <c r="S2205" s="4" t="s">
        <v>29</v>
      </c>
      <c r="T2205" s="5" t="s">
        <v>16917</v>
      </c>
      <c r="U2205" s="6"/>
      <c r="V2205" s="6"/>
      <c r="W2205" s="6"/>
      <c r="X2205" s="6"/>
      <c r="Y2205" s="4" t="s">
        <v>16918</v>
      </c>
      <c r="Z2205" s="6"/>
      <c r="AA2205" s="5" t="s">
        <v>16919</v>
      </c>
    </row>
    <row r="2206" ht="14.25">
      <c r="B2206" s="4" t="s">
        <v>16920</v>
      </c>
      <c r="C2206" s="4" t="s">
        <v>16921</v>
      </c>
      <c r="D2206" s="4" t="s">
        <v>16922</v>
      </c>
      <c r="E2206" s="4" t="s">
        <v>16923</v>
      </c>
      <c r="F2206" s="4" t="s">
        <v>112</v>
      </c>
      <c r="G2206" s="4" t="s">
        <v>16924</v>
      </c>
      <c r="H2206" s="4" t="str">
        <f>IFERROR(__XLUDF.DUMMYFUNCTION("PROPER(REGEXREPLACE(G783,""[^A-Za-z]+ "",""""))"),"Jeece")</f>
        <v>Jeece</v>
      </c>
      <c r="I2206" s="5" t="s">
        <v>16925</v>
      </c>
      <c r="J2206" s="6"/>
      <c r="K2206" s="6"/>
      <c r="L2206" s="4" t="s">
        <v>29</v>
      </c>
      <c r="M2206" s="4" t="s">
        <v>2602</v>
      </c>
      <c r="N2206" s="4" t="str">
        <f>IFERROR(__XLUDF.DUMMYFUNCTION("VLOOKUP(M783,IMPORTRANGE(""https://docs.google.com/spreadsheets/d/1opm6ZNvGZ7KditA9TuJwrZ25eFLfTNIkrNnY6mhV5Eg"",""list!A1:C115""),3,TRUE)"),"le secteur de la tech")</f>
        <v xml:space="preserve">le secteur de la tech</v>
      </c>
      <c r="O2206" s="4" t="s">
        <v>16926</v>
      </c>
      <c r="P2206" s="4">
        <v>44</v>
      </c>
      <c r="Q2206" s="4" t="s">
        <v>39</v>
      </c>
      <c r="R2206" s="4" t="s">
        <v>9160</v>
      </c>
      <c r="S2206" s="4" t="s">
        <v>29</v>
      </c>
      <c r="T2206" s="5" t="s">
        <v>16927</v>
      </c>
      <c r="U2206" s="5" t="s">
        <v>16928</v>
      </c>
      <c r="V2206" s="5" t="s">
        <v>16929</v>
      </c>
      <c r="W2206" s="6"/>
      <c r="X2206" s="6"/>
      <c r="Y2206" s="4" t="s">
        <v>16930</v>
      </c>
      <c r="Z2206" s="6"/>
      <c r="AA2206" s="5" t="s">
        <v>16931</v>
      </c>
    </row>
    <row r="2207" ht="14.25">
      <c r="B2207" s="4" t="s">
        <v>16932</v>
      </c>
      <c r="C2207" s="4" t="s">
        <v>6931</v>
      </c>
      <c r="D2207" s="4" t="s">
        <v>16933</v>
      </c>
      <c r="E2207" s="4" t="s">
        <v>16934</v>
      </c>
      <c r="F2207" s="4" t="s">
        <v>87</v>
      </c>
      <c r="G2207" s="4" t="s">
        <v>16935</v>
      </c>
      <c r="H2207" s="4" t="str">
        <f>IFERROR(__XLUDF.DUMMYFUNCTION("PROPER(REGEXREPLACE(G784,""[^A-Za-z]+ "",""""))"),"Bloomflow")</f>
        <v>Bloomflow</v>
      </c>
      <c r="I2207" s="5" t="s">
        <v>16936</v>
      </c>
      <c r="J2207" s="4" t="s">
        <v>39</v>
      </c>
      <c r="K2207" s="4" t="s">
        <v>9160</v>
      </c>
      <c r="L2207" s="4" t="s">
        <v>29</v>
      </c>
      <c r="M2207" s="4" t="s">
        <v>2602</v>
      </c>
      <c r="N2207" s="4" t="str">
        <f>IFERROR(__XLUDF.DUMMYFUNCTION("VLOOKUP(M784,IMPORTRANGE(""https://docs.google.com/spreadsheets/d/1opm6ZNvGZ7KditA9TuJwrZ25eFLfTNIkrNnY6mhV5Eg"",""list!A1:C115""),3,TRUE)"),"le secteur de la tech")</f>
        <v xml:space="preserve">le secteur de la tech</v>
      </c>
      <c r="O2207" s="4" t="s">
        <v>16937</v>
      </c>
      <c r="P2207" s="4">
        <v>36</v>
      </c>
      <c r="Q2207" s="4" t="s">
        <v>39</v>
      </c>
      <c r="R2207" s="4" t="s">
        <v>9160</v>
      </c>
      <c r="S2207" s="4" t="s">
        <v>29</v>
      </c>
      <c r="T2207" s="5" t="s">
        <v>16938</v>
      </c>
      <c r="U2207" s="6"/>
      <c r="V2207" s="6"/>
      <c r="W2207" s="6"/>
      <c r="X2207" s="6"/>
      <c r="Y2207" s="4" t="s">
        <v>16939</v>
      </c>
      <c r="Z2207" s="6"/>
      <c r="AA2207" s="5" t="s">
        <v>16940</v>
      </c>
    </row>
    <row r="2208" ht="14.25">
      <c r="B2208" s="4" t="s">
        <v>16941</v>
      </c>
      <c r="C2208" s="4" t="s">
        <v>2348</v>
      </c>
      <c r="D2208" s="4" t="s">
        <v>16942</v>
      </c>
      <c r="E2208" s="4" t="s">
        <v>16943</v>
      </c>
      <c r="F2208" s="4" t="s">
        <v>1072</v>
      </c>
      <c r="G2208" s="4" t="s">
        <v>16944</v>
      </c>
      <c r="H2208" s="4" t="str">
        <f>IFERROR(__XLUDF.DUMMYFUNCTION("PROPER(REGEXREPLACE(G785,""[^A-Za-z]+ "",""""))"),"Inch")</f>
        <v>Inch</v>
      </c>
      <c r="I2208" s="5" t="s">
        <v>16945</v>
      </c>
      <c r="J2208" s="4" t="s">
        <v>39</v>
      </c>
      <c r="K2208" s="4" t="s">
        <v>9160</v>
      </c>
      <c r="L2208" s="4" t="s">
        <v>29</v>
      </c>
      <c r="M2208" s="4" t="s">
        <v>2602</v>
      </c>
      <c r="N2208" s="4" t="str">
        <f>IFERROR(__XLUDF.DUMMYFUNCTION("VLOOKUP(M785,IMPORTRANGE(""https://docs.google.com/spreadsheets/d/1opm6ZNvGZ7KditA9TuJwrZ25eFLfTNIkrNnY6mhV5Eg"",""list!A1:C115""),3,TRUE)"),"le secteur de la tech")</f>
        <v xml:space="preserve">le secteur de la tech</v>
      </c>
      <c r="O2208" s="4" t="s">
        <v>16946</v>
      </c>
      <c r="P2208" s="4">
        <v>24</v>
      </c>
      <c r="Q2208" s="4" t="s">
        <v>39</v>
      </c>
      <c r="R2208" s="4" t="s">
        <v>9160</v>
      </c>
      <c r="S2208" s="4" t="s">
        <v>29</v>
      </c>
      <c r="T2208" s="5" t="s">
        <v>16947</v>
      </c>
      <c r="U2208" s="5" t="s">
        <v>16948</v>
      </c>
      <c r="V2208" s="5" t="s">
        <v>16949</v>
      </c>
      <c r="W2208" s="6"/>
      <c r="X2208" s="6"/>
      <c r="Y2208" s="4" t="s">
        <v>16950</v>
      </c>
      <c r="Z2208" s="6"/>
      <c r="AA2208" s="5" t="s">
        <v>16951</v>
      </c>
    </row>
    <row r="2209" ht="14.25">
      <c r="B2209" s="4" t="s">
        <v>16952</v>
      </c>
      <c r="C2209" s="4" t="s">
        <v>1583</v>
      </c>
      <c r="D2209" s="4" t="s">
        <v>16953</v>
      </c>
      <c r="E2209" s="4" t="s">
        <v>16954</v>
      </c>
      <c r="F2209" s="4" t="s">
        <v>9456</v>
      </c>
      <c r="G2209" s="4" t="s">
        <v>16955</v>
      </c>
      <c r="H2209" s="4" t="str">
        <f>IFERROR(__XLUDF.DUMMYFUNCTION("PROPER(REGEXREPLACE(G786,""[^A-Za-z]+ "",""""))"),"Vdi Telecom")</f>
        <v xml:space="preserve">Vdi Telecom</v>
      </c>
      <c r="I2209" s="5" t="s">
        <v>16956</v>
      </c>
      <c r="J2209" s="4" t="s">
        <v>185</v>
      </c>
      <c r="K2209" s="4" t="s">
        <v>9193</v>
      </c>
      <c r="L2209" s="4" t="s">
        <v>29</v>
      </c>
      <c r="M2209" s="4" t="s">
        <v>9184</v>
      </c>
      <c r="N2209" s="4" t="str">
        <f>IFERROR(__XLUDF.DUMMYFUNCTION("VLOOKUP(M786,IMPORTRANGE(""https://docs.google.com/spreadsheets/d/1opm6ZNvGZ7KditA9TuJwrZ25eFLfTNIkrNnY6mhV5Eg"",""list!A1:C115""),3,TRUE)"),"le secteur des télécommunications")</f>
        <v xml:space="preserve">le secteur des télécommunications</v>
      </c>
      <c r="O2209" s="4" t="s">
        <v>16957</v>
      </c>
      <c r="P2209" s="4">
        <v>21</v>
      </c>
      <c r="Q2209" s="4" t="s">
        <v>185</v>
      </c>
      <c r="R2209" s="4" t="s">
        <v>9193</v>
      </c>
      <c r="S2209" s="4" t="s">
        <v>29</v>
      </c>
      <c r="T2209" s="5" t="s">
        <v>16958</v>
      </c>
      <c r="U2209" s="6"/>
      <c r="V2209" s="6"/>
      <c r="W2209" s="6"/>
      <c r="X2209" s="6"/>
      <c r="Y2209" s="4" t="s">
        <v>16959</v>
      </c>
      <c r="Z2209" s="6"/>
      <c r="AA2209" s="5" t="s">
        <v>16960</v>
      </c>
    </row>
    <row r="2210" ht="14.25">
      <c r="B2210" s="4" t="s">
        <v>16961</v>
      </c>
      <c r="C2210" s="4" t="s">
        <v>1583</v>
      </c>
      <c r="D2210" s="4" t="s">
        <v>16962</v>
      </c>
      <c r="E2210" s="4" t="s">
        <v>16963</v>
      </c>
      <c r="F2210" s="4" t="s">
        <v>7759</v>
      </c>
      <c r="G2210" s="4" t="s">
        <v>16964</v>
      </c>
      <c r="H2210" s="4" t="str">
        <f>IFERROR(__XLUDF.DUMMYFUNCTION("PROPER(REGEXREPLACE(G787,""[^A-Za-z]+ "",""""))"),"Msc Construction Metallique")</f>
        <v xml:space="preserve">Msc Construction Metallique</v>
      </c>
      <c r="I2210" s="5" t="s">
        <v>16965</v>
      </c>
      <c r="J2210" s="4" t="s">
        <v>6954</v>
      </c>
      <c r="K2210" s="4" t="s">
        <v>9484</v>
      </c>
      <c r="L2210" s="4" t="s">
        <v>29</v>
      </c>
      <c r="M2210" s="4" t="s">
        <v>9239</v>
      </c>
      <c r="N2210" s="4" t="str">
        <f>IFERROR(__XLUDF.DUMMYFUNCTION("VLOOKUP(M787,IMPORTRANGE(""https://docs.google.com/spreadsheets/d/1opm6ZNvGZ7KditA9TuJwrZ25eFLfTNIkrNnY6mhV5Eg"",""list!A1:C115""),3,TRUE)"),"le secteur de la construction")</f>
        <v xml:space="preserve">le secteur de la construction</v>
      </c>
      <c r="O2210" s="6"/>
      <c r="P2210" s="4">
        <v>22</v>
      </c>
      <c r="Q2210" s="4" t="s">
        <v>16966</v>
      </c>
      <c r="R2210" s="4" t="s">
        <v>10370</v>
      </c>
      <c r="S2210" s="4" t="s">
        <v>29</v>
      </c>
      <c r="T2210" s="5" t="s">
        <v>16967</v>
      </c>
      <c r="U2210" s="6"/>
      <c r="V2210" s="6"/>
      <c r="W2210" s="6"/>
      <c r="X2210" s="6"/>
      <c r="Y2210" s="4" t="s">
        <v>16968</v>
      </c>
      <c r="Z2210" s="6"/>
      <c r="AA2210" s="5" t="s">
        <v>16969</v>
      </c>
    </row>
    <row r="2211" ht="14.25">
      <c r="B2211" s="4" t="s">
        <v>16970</v>
      </c>
      <c r="C2211" s="4" t="s">
        <v>1583</v>
      </c>
      <c r="D2211" s="4" t="s">
        <v>16971</v>
      </c>
      <c r="E2211" s="4" t="s">
        <v>16972</v>
      </c>
      <c r="F2211" s="4" t="s">
        <v>14584</v>
      </c>
      <c r="G2211" s="4" t="s">
        <v>16973</v>
      </c>
      <c r="H2211" s="4" t="str">
        <f>IFERROR(__XLUDF.DUMMYFUNCTION("PROPER(REGEXREPLACE(G788,""[^A-Za-z]+ "",""""))"),"Illinks")</f>
        <v>Illinks</v>
      </c>
      <c r="I2211" s="5" t="s">
        <v>16974</v>
      </c>
      <c r="J2211" s="4" t="s">
        <v>16314</v>
      </c>
      <c r="K2211" s="4" t="s">
        <v>12581</v>
      </c>
      <c r="L2211" s="4" t="s">
        <v>29</v>
      </c>
      <c r="M2211" s="4" t="s">
        <v>2602</v>
      </c>
      <c r="N2211" s="4" t="str">
        <f>IFERROR(__XLUDF.DUMMYFUNCTION("VLOOKUP(M788,IMPORTRANGE(""https://docs.google.com/spreadsheets/d/1opm6ZNvGZ7KditA9TuJwrZ25eFLfTNIkrNnY6mhV5Eg"",""list!A1:C115""),3,TRUE)"),"le secteur de la tech")</f>
        <v xml:space="preserve">le secteur de la tech</v>
      </c>
      <c r="O2211" s="4" t="s">
        <v>16975</v>
      </c>
      <c r="P2211" s="4">
        <v>15</v>
      </c>
      <c r="Q2211" s="4" t="s">
        <v>10699</v>
      </c>
      <c r="R2211" s="4" t="s">
        <v>9463</v>
      </c>
      <c r="S2211" s="4" t="s">
        <v>29</v>
      </c>
      <c r="T2211" s="5" t="s">
        <v>16976</v>
      </c>
      <c r="U2211" s="6"/>
      <c r="V2211" s="6"/>
      <c r="W2211" s="6"/>
      <c r="X2211" s="6"/>
      <c r="Y2211" s="4" t="s">
        <v>16977</v>
      </c>
      <c r="Z2211" s="6"/>
      <c r="AA2211" s="5" t="s">
        <v>16978</v>
      </c>
    </row>
    <row r="2212" ht="14.25">
      <c r="B2212" s="4" t="s">
        <v>16979</v>
      </c>
      <c r="C2212" s="4" t="s">
        <v>1583</v>
      </c>
      <c r="D2212" s="4" t="s">
        <v>16980</v>
      </c>
      <c r="E2212" s="4" t="s">
        <v>16981</v>
      </c>
      <c r="F2212" s="4" t="s">
        <v>9849</v>
      </c>
      <c r="G2212" s="4" t="s">
        <v>13580</v>
      </c>
      <c r="H2212" s="4" t="str">
        <f>IFERROR(__XLUDF.DUMMYFUNCTION("PROPER(REGEXREPLACE(G789,""[^A-Za-z]+ "",""""))"),"3S2I")</f>
        <v>3S2I</v>
      </c>
      <c r="I2212" s="5" t="s">
        <v>13581</v>
      </c>
      <c r="J2212" s="4" t="s">
        <v>49</v>
      </c>
      <c r="K2212" s="4" t="s">
        <v>9251</v>
      </c>
      <c r="L2212" s="4" t="s">
        <v>29</v>
      </c>
      <c r="M2212" s="4" t="s">
        <v>2602</v>
      </c>
      <c r="N2212" s="4" t="str">
        <f>IFERROR(__XLUDF.DUMMYFUNCTION("VLOOKUP(M789,IMPORTRANGE(""https://docs.google.com/spreadsheets/d/1opm6ZNvGZ7KditA9TuJwrZ25eFLfTNIkrNnY6mhV5Eg"",""list!A1:C115""),3,TRUE)"),"le secteur de la tech")</f>
        <v xml:space="preserve">le secteur de la tech</v>
      </c>
      <c r="O2212" s="4" t="s">
        <v>13582</v>
      </c>
      <c r="P2212" s="4">
        <v>20</v>
      </c>
      <c r="Q2212" s="4" t="s">
        <v>49</v>
      </c>
      <c r="R2212" s="4" t="s">
        <v>9251</v>
      </c>
      <c r="S2212" s="4" t="s">
        <v>29</v>
      </c>
      <c r="T2212" s="5" t="s">
        <v>13583</v>
      </c>
      <c r="U2212" s="6"/>
      <c r="V2212" s="6"/>
      <c r="W2212" s="6"/>
      <c r="X2212" s="6"/>
      <c r="Y2212" s="4" t="s">
        <v>13584</v>
      </c>
      <c r="Z2212" s="6"/>
      <c r="AA2212" s="5" t="s">
        <v>16982</v>
      </c>
    </row>
    <row r="2213" ht="14.25">
      <c r="B2213" s="4" t="s">
        <v>16983</v>
      </c>
      <c r="C2213" s="4" t="s">
        <v>1583</v>
      </c>
      <c r="D2213" s="4" t="s">
        <v>16984</v>
      </c>
      <c r="E2213" s="4" t="s">
        <v>16985</v>
      </c>
      <c r="F2213" s="4" t="s">
        <v>16986</v>
      </c>
      <c r="G2213" s="4" t="s">
        <v>16987</v>
      </c>
      <c r="H2213" s="4" t="str">
        <f>IFERROR(__XLUDF.DUMMYFUNCTION("PROPER(REGEXREPLACE(G790,""[^A-Za-z]+ "",""""))"),"Ageris Group")</f>
        <v xml:space="preserve">Ageris Group</v>
      </c>
      <c r="I2213" s="5" t="s">
        <v>16988</v>
      </c>
      <c r="J2213" s="4" t="s">
        <v>4922</v>
      </c>
      <c r="K2213" s="4" t="s">
        <v>9215</v>
      </c>
      <c r="L2213" s="4" t="s">
        <v>29</v>
      </c>
      <c r="M2213" s="4" t="s">
        <v>4067</v>
      </c>
      <c r="N2213" s="4" t="str">
        <f>IFERROR(__XLUDF.DUMMYFUNCTION("VLOOKUP(M790,IMPORTRANGE(""https://docs.google.com/spreadsheets/d/1opm6ZNvGZ7KditA9TuJwrZ25eFLfTNIkrNnY6mhV5Eg"",""list!A1:C115""),3,TRUE)"),"le secteur du conseil en management")</f>
        <v xml:space="preserve">le secteur du conseil en management</v>
      </c>
      <c r="O2213" s="4" t="s">
        <v>16989</v>
      </c>
      <c r="P2213" s="4">
        <v>10</v>
      </c>
      <c r="Q2213" s="4" t="s">
        <v>4922</v>
      </c>
      <c r="R2213" s="4" t="s">
        <v>9215</v>
      </c>
      <c r="S2213" s="4" t="s">
        <v>29</v>
      </c>
      <c r="T2213" s="5" t="s">
        <v>16990</v>
      </c>
      <c r="U2213" s="5" t="s">
        <v>16991</v>
      </c>
      <c r="V2213" s="5" t="s">
        <v>16992</v>
      </c>
      <c r="W2213" s="6"/>
      <c r="X2213" s="6"/>
      <c r="Y2213" s="4" t="s">
        <v>16993</v>
      </c>
      <c r="Z2213" s="6"/>
      <c r="AA2213" s="5" t="s">
        <v>16994</v>
      </c>
    </row>
    <row r="2214" ht="14.25">
      <c r="B2214" s="4" t="s">
        <v>16995</v>
      </c>
      <c r="C2214" s="4" t="s">
        <v>20</v>
      </c>
      <c r="D2214" s="4" t="s">
        <v>16996</v>
      </c>
      <c r="E2214" s="4" t="s">
        <v>16997</v>
      </c>
      <c r="F2214" s="4" t="s">
        <v>9431</v>
      </c>
      <c r="G2214" s="4" t="s">
        <v>9432</v>
      </c>
      <c r="H2214" s="4" t="str">
        <f>IFERROR(__XLUDF.DUMMYFUNCTION("PROPER(REGEXREPLACE(G791,""[^A-Za-z]+ "",""""))"),"Shodo Nantes")</f>
        <v xml:space="preserve">Shodo Nantes</v>
      </c>
      <c r="I2214" s="6"/>
      <c r="J2214" s="4" t="s">
        <v>1826</v>
      </c>
      <c r="K2214" s="4" t="s">
        <v>9227</v>
      </c>
      <c r="L2214" s="4" t="s">
        <v>29</v>
      </c>
      <c r="M2214" s="4" t="s">
        <v>2602</v>
      </c>
      <c r="N2214" s="4" t="str">
        <f>IFERROR(__XLUDF.DUMMYFUNCTION("VLOOKUP(M791,IMPORTRANGE(""https://docs.google.com/spreadsheets/d/1opm6ZNvGZ7KditA9TuJwrZ25eFLfTNIkrNnY6mhV5Eg"",""list!A1:C115""),3,TRUE)"),"le secteur de la tech")</f>
        <v xml:space="preserve">le secteur de la tech</v>
      </c>
      <c r="O2214" s="6"/>
      <c r="P2214" s="4">
        <v>21</v>
      </c>
      <c r="Q2214" s="4" t="s">
        <v>1711</v>
      </c>
      <c r="R2214" s="4" t="s">
        <v>9350</v>
      </c>
      <c r="S2214" s="4" t="s">
        <v>29</v>
      </c>
      <c r="T2214" s="5" t="s">
        <v>9433</v>
      </c>
      <c r="U2214" s="6"/>
      <c r="V2214" s="6"/>
      <c r="W2214" s="6"/>
      <c r="X2214" s="6"/>
      <c r="Y2214" s="4" t="s">
        <v>9434</v>
      </c>
      <c r="Z2214" s="6"/>
      <c r="AA2214" s="5" t="s">
        <v>16998</v>
      </c>
    </row>
    <row r="2215" ht="14.25">
      <c r="B2215" s="4" t="s">
        <v>16999</v>
      </c>
      <c r="C2215" s="4" t="s">
        <v>20</v>
      </c>
      <c r="D2215" s="4" t="s">
        <v>17000</v>
      </c>
      <c r="E2215" s="4" t="s">
        <v>17001</v>
      </c>
      <c r="F2215" s="4" t="s">
        <v>172</v>
      </c>
      <c r="G2215" s="4" t="s">
        <v>17002</v>
      </c>
      <c r="H2215" s="4" t="str">
        <f>IFERROR(__XLUDF.DUMMYFUNCTION("PROPER(REGEXREPLACE(G792,""[^A-Za-z]+ "",""""))"),"Cube")</f>
        <v>Cube</v>
      </c>
      <c r="I2215" s="5" t="s">
        <v>17003</v>
      </c>
      <c r="J2215" s="4" t="s">
        <v>39</v>
      </c>
      <c r="K2215" s="4" t="s">
        <v>9160</v>
      </c>
      <c r="L2215" s="4" t="s">
        <v>29</v>
      </c>
      <c r="M2215" s="4" t="s">
        <v>9239</v>
      </c>
      <c r="N2215" s="4" t="str">
        <f>IFERROR(__XLUDF.DUMMYFUNCTION("VLOOKUP(M792,IMPORTRANGE(""https://docs.google.com/spreadsheets/d/1opm6ZNvGZ7KditA9TuJwrZ25eFLfTNIkrNnY6mhV5Eg"",""list!A1:C115""),3,TRUE)"),"le secteur de la construction")</f>
        <v xml:space="preserve">le secteur de la construction</v>
      </c>
      <c r="O2215" s="4" t="s">
        <v>17004</v>
      </c>
      <c r="P2215" s="4">
        <v>12</v>
      </c>
      <c r="Q2215" s="4" t="s">
        <v>39</v>
      </c>
      <c r="R2215" s="4" t="s">
        <v>9160</v>
      </c>
      <c r="S2215" s="4" t="s">
        <v>29</v>
      </c>
      <c r="T2215" s="5" t="s">
        <v>17005</v>
      </c>
      <c r="U2215" s="6"/>
      <c r="V2215" s="6"/>
      <c r="W2215" s="6"/>
      <c r="X2215" s="6"/>
      <c r="Y2215" s="4" t="s">
        <v>17006</v>
      </c>
      <c r="Z2215" s="6"/>
      <c r="AA2215" s="5" t="s">
        <v>17007</v>
      </c>
    </row>
    <row r="2216" ht="14.25">
      <c r="B2216" s="4" t="s">
        <v>17008</v>
      </c>
      <c r="C2216" s="4" t="s">
        <v>20</v>
      </c>
      <c r="D2216" s="4" t="s">
        <v>17009</v>
      </c>
      <c r="E2216" s="4" t="s">
        <v>17010</v>
      </c>
      <c r="F2216" s="4" t="s">
        <v>7759</v>
      </c>
      <c r="G2216" s="4" t="s">
        <v>17011</v>
      </c>
      <c r="H2216" s="4" t="str">
        <f>IFERROR(__XLUDF.DUMMYFUNCTION("PROPER(REGEXREPLACE(G793,""[^A-Za-z]+ "",""""))"),"Sgrignolo")</f>
        <v>Sgrignolo</v>
      </c>
      <c r="I2216" s="5" t="s">
        <v>17012</v>
      </c>
      <c r="J2216" s="4" t="s">
        <v>11716</v>
      </c>
      <c r="K2216" s="4" t="s">
        <v>9215</v>
      </c>
      <c r="L2216" s="4" t="s">
        <v>29</v>
      </c>
      <c r="M2216" s="4" t="s">
        <v>10215</v>
      </c>
      <c r="N2216" s="4" t="str">
        <f>IFERROR(__XLUDF.DUMMYFUNCTION("VLOOKUP(M793,IMPORTRANGE(""https://docs.google.com/spreadsheets/d/1opm6ZNvGZ7KditA9TuJwrZ25eFLfTNIkrNnY6mhV5Eg"",""list!A1:C115""),3,TRUE)"),"le secteur de l'électrique et électronique")</f>
        <v xml:space="preserve">le secteur de l'électrique et électronique</v>
      </c>
      <c r="O2216" s="4" t="s">
        <v>17013</v>
      </c>
      <c r="P2216" s="4">
        <v>16</v>
      </c>
      <c r="Q2216" s="6"/>
      <c r="R2216" s="6"/>
      <c r="S2216" s="4" t="s">
        <v>29</v>
      </c>
      <c r="T2216" s="5" t="s">
        <v>17014</v>
      </c>
      <c r="U2216" s="6"/>
      <c r="V2216" s="5" t="s">
        <v>17015</v>
      </c>
      <c r="W2216" s="6"/>
      <c r="X2216" s="6"/>
      <c r="Y2216" s="4" t="s">
        <v>17016</v>
      </c>
      <c r="Z2216" s="6"/>
      <c r="AA2216" s="5" t="s">
        <v>17017</v>
      </c>
    </row>
    <row r="2217" ht="14.25">
      <c r="B2217" s="4" t="s">
        <v>17018</v>
      </c>
      <c r="C2217" s="4" t="s">
        <v>20</v>
      </c>
      <c r="D2217" s="4" t="s">
        <v>17019</v>
      </c>
      <c r="E2217" s="4" t="s">
        <v>17020</v>
      </c>
      <c r="F2217" s="4" t="s">
        <v>112</v>
      </c>
      <c r="G2217" s="4" t="s">
        <v>17021</v>
      </c>
      <c r="H2217" s="4" t="str">
        <f>IFERROR(__XLUDF.DUMMYFUNCTION("PROPER(REGEXREPLACE(G794,""[^A-Za-z]+ "",""""))"),"Ingely")</f>
        <v>Ingely</v>
      </c>
      <c r="I2217" s="5" t="s">
        <v>17022</v>
      </c>
      <c r="J2217" s="4" t="s">
        <v>6777</v>
      </c>
      <c r="K2217" s="4" t="s">
        <v>11114</v>
      </c>
      <c r="L2217" s="4" t="s">
        <v>29</v>
      </c>
      <c r="M2217" s="4" t="s">
        <v>2602</v>
      </c>
      <c r="N2217" s="4" t="str">
        <f>IFERROR(__XLUDF.DUMMYFUNCTION("VLOOKUP(M794,IMPORTRANGE(""https://docs.google.com/spreadsheets/d/1opm6ZNvGZ7KditA9TuJwrZ25eFLfTNIkrNnY6mhV5Eg"",""list!A1:C115""),3,TRUE)"),"le secteur de la tech")</f>
        <v xml:space="preserve">le secteur de la tech</v>
      </c>
      <c r="O2217" s="4" t="s">
        <v>17023</v>
      </c>
      <c r="P2217" s="4">
        <v>12</v>
      </c>
      <c r="Q2217" s="4" t="s">
        <v>17024</v>
      </c>
      <c r="R2217" s="4" t="s">
        <v>9350</v>
      </c>
      <c r="S2217" s="4" t="s">
        <v>29</v>
      </c>
      <c r="T2217" s="5" t="s">
        <v>17025</v>
      </c>
      <c r="U2217" s="6"/>
      <c r="V2217" s="6"/>
      <c r="W2217" s="6"/>
      <c r="X2217" s="6"/>
      <c r="Y2217" s="4" t="s">
        <v>17026</v>
      </c>
      <c r="Z2217" s="6"/>
      <c r="AA2217" s="5" t="s">
        <v>17027</v>
      </c>
    </row>
    <row r="2218" ht="14.25">
      <c r="B2218" s="4" t="s">
        <v>17028</v>
      </c>
      <c r="C2218" s="4" t="s">
        <v>20</v>
      </c>
      <c r="D2218" s="4" t="s">
        <v>17029</v>
      </c>
      <c r="E2218" s="4" t="s">
        <v>17030</v>
      </c>
      <c r="F2218" s="4" t="s">
        <v>17031</v>
      </c>
      <c r="G2218" s="4" t="s">
        <v>17032</v>
      </c>
      <c r="H2218" s="4" t="str">
        <f>IFERROR(__XLUDF.DUMMYFUNCTION("PROPER(REGEXREPLACE(G795,""[^A-Za-z]+ "",""""))"),"Suricats Consulting")</f>
        <v xml:space="preserve">Suricats Consulting</v>
      </c>
      <c r="I2218" s="5" t="s">
        <v>17033</v>
      </c>
      <c r="J2218" s="4" t="s">
        <v>140</v>
      </c>
      <c r="K2218" s="4" t="s">
        <v>9160</v>
      </c>
      <c r="L2218" s="4" t="s">
        <v>29</v>
      </c>
      <c r="M2218" s="4" t="s">
        <v>4067</v>
      </c>
      <c r="N2218" s="4" t="str">
        <f>IFERROR(__XLUDF.DUMMYFUNCTION("VLOOKUP(M795,IMPORTRANGE(""https://docs.google.com/spreadsheets/d/1opm6ZNvGZ7KditA9TuJwrZ25eFLfTNIkrNnY6mhV5Eg"",""list!A1:C115""),3,TRUE)"),"le secteur du conseil en management")</f>
        <v xml:space="preserve">le secteur du conseil en management</v>
      </c>
      <c r="O2218" s="4" t="s">
        <v>17034</v>
      </c>
      <c r="P2218" s="4">
        <v>50</v>
      </c>
      <c r="Q2218" s="4" t="s">
        <v>39</v>
      </c>
      <c r="R2218" s="4" t="s">
        <v>9160</v>
      </c>
      <c r="S2218" s="4" t="s">
        <v>29</v>
      </c>
      <c r="T2218" s="5" t="s">
        <v>17035</v>
      </c>
      <c r="U2218" s="5" t="s">
        <v>17036</v>
      </c>
      <c r="V2218" s="6"/>
      <c r="W2218" s="6"/>
      <c r="X2218" s="6"/>
      <c r="Y2218" s="4" t="s">
        <v>17037</v>
      </c>
      <c r="Z2218" s="6"/>
      <c r="AA2218" s="5" t="s">
        <v>17038</v>
      </c>
    </row>
    <row r="2219" ht="14.25">
      <c r="B2219" s="4" t="s">
        <v>17039</v>
      </c>
      <c r="C2219" s="4" t="s">
        <v>20</v>
      </c>
      <c r="D2219" s="4" t="s">
        <v>17040</v>
      </c>
      <c r="E2219" s="4" t="s">
        <v>17041</v>
      </c>
      <c r="F2219" s="4" t="s">
        <v>17042</v>
      </c>
      <c r="G2219" s="4" t="s">
        <v>14565</v>
      </c>
      <c r="H2219" s="4" t="str">
        <f>IFERROR(__XLUDF.DUMMYFUNCTION("PROPER(REGEXREPLACE(G796,""[^A-Za-z]+ "",""""))"),"E-Nova")</f>
        <v>E-Nova</v>
      </c>
      <c r="I2219" s="5" t="s">
        <v>14566</v>
      </c>
      <c r="J2219" s="6"/>
      <c r="K2219" s="6"/>
      <c r="L2219" s="4" t="s">
        <v>29</v>
      </c>
      <c r="M2219" s="4" t="s">
        <v>4525</v>
      </c>
      <c r="N2219" s="4" t="str">
        <f>IFERROR(__XLUDF.DUMMYFUNCTION("VLOOKUP(M796,IMPORTRANGE(""https://docs.google.com/spreadsheets/d/1opm6ZNvGZ7KditA9TuJwrZ25eFLfTNIkrNnY6mhV5Eg"",""list!A1:C115""),3,TRUE)"),"le secteur du retail")</f>
        <v xml:space="preserve">le secteur du retail</v>
      </c>
      <c r="O2219" s="4" t="s">
        <v>14567</v>
      </c>
      <c r="P2219" s="4">
        <v>18</v>
      </c>
      <c r="Q2219" s="4" t="s">
        <v>1419</v>
      </c>
      <c r="R2219" s="4" t="s">
        <v>9160</v>
      </c>
      <c r="S2219" s="4" t="s">
        <v>29</v>
      </c>
      <c r="T2219" s="5" t="s">
        <v>14568</v>
      </c>
      <c r="U2219" s="6"/>
      <c r="V2219" s="6"/>
      <c r="W2219" s="6"/>
      <c r="X2219" s="6"/>
      <c r="Y2219" s="4" t="s">
        <v>14569</v>
      </c>
      <c r="Z2219" s="6"/>
      <c r="AA2219" s="5" t="s">
        <v>17043</v>
      </c>
    </row>
    <row r="2220" ht="14.25">
      <c r="B2220" s="4" t="s">
        <v>17044</v>
      </c>
      <c r="C2220" s="4" t="s">
        <v>20</v>
      </c>
      <c r="D2220" s="4" t="s">
        <v>17045</v>
      </c>
      <c r="E2220" s="4" t="s">
        <v>17046</v>
      </c>
      <c r="F2220" s="4" t="s">
        <v>172</v>
      </c>
      <c r="G2220" s="4" t="s">
        <v>17047</v>
      </c>
      <c r="H2220" s="4" t="str">
        <f>IFERROR(__XLUDF.DUMMYFUNCTION("PROPER(REGEXREPLACE(G797,""[^A-Za-z]+ "",""""))"),"Tfm Marketing")</f>
        <v xml:space="preserve">Tfm Marketing</v>
      </c>
      <c r="I2220" s="5" t="s">
        <v>17048</v>
      </c>
      <c r="J2220" s="4" t="s">
        <v>6954</v>
      </c>
      <c r="K2220" s="4" t="s">
        <v>9484</v>
      </c>
      <c r="L2220" s="4" t="s">
        <v>29</v>
      </c>
      <c r="M2220" s="4" t="s">
        <v>4067</v>
      </c>
      <c r="N2220" s="4" t="str">
        <f>IFERROR(__XLUDF.DUMMYFUNCTION("VLOOKUP(M797,IMPORTRANGE(""https://docs.google.com/spreadsheets/d/1opm6ZNvGZ7KditA9TuJwrZ25eFLfTNIkrNnY6mhV5Eg"",""list!A1:C115""),3,TRUE)"),"le secteur du conseil en management")</f>
        <v xml:space="preserve">le secteur du conseil en management</v>
      </c>
      <c r="O2220" s="4" t="s">
        <v>17049</v>
      </c>
      <c r="P2220" s="4">
        <v>10</v>
      </c>
      <c r="Q2220" s="4" t="s">
        <v>17050</v>
      </c>
      <c r="R2220" s="4" t="s">
        <v>9484</v>
      </c>
      <c r="S2220" s="4" t="s">
        <v>29</v>
      </c>
      <c r="T2220" s="5" t="s">
        <v>17051</v>
      </c>
      <c r="U2220" s="6"/>
      <c r="V2220" s="6"/>
      <c r="W2220" s="6"/>
      <c r="X2220" s="6"/>
      <c r="Y2220" s="4" t="s">
        <v>17052</v>
      </c>
      <c r="Z2220" s="6"/>
      <c r="AA2220" s="5" t="s">
        <v>17053</v>
      </c>
    </row>
    <row r="2221" ht="14.25">
      <c r="B2221" s="4" t="s">
        <v>17054</v>
      </c>
      <c r="C2221" s="4" t="s">
        <v>20</v>
      </c>
      <c r="D2221" s="4" t="s">
        <v>17055</v>
      </c>
      <c r="E2221" s="4" t="s">
        <v>17056</v>
      </c>
      <c r="F2221" s="4" t="s">
        <v>7759</v>
      </c>
      <c r="G2221" s="4" t="s">
        <v>17057</v>
      </c>
      <c r="H2221" s="4" t="str">
        <f>IFERROR(__XLUDF.DUMMYFUNCTION("PROPER(REGEXREPLACE(G798,""[^A-Za-z]+ "",""""))"),"Ns2B")</f>
        <v>Ns2B</v>
      </c>
      <c r="I2221" s="5" t="s">
        <v>17058</v>
      </c>
      <c r="J2221" s="4" t="s">
        <v>39</v>
      </c>
      <c r="K2221" s="4" t="s">
        <v>9160</v>
      </c>
      <c r="L2221" s="4" t="s">
        <v>29</v>
      </c>
      <c r="M2221" s="4" t="s">
        <v>2602</v>
      </c>
      <c r="N2221" s="4" t="str">
        <f>IFERROR(__XLUDF.DUMMYFUNCTION("VLOOKUP(M798,IMPORTRANGE(""https://docs.google.com/spreadsheets/d/1opm6ZNvGZ7KditA9TuJwrZ25eFLfTNIkrNnY6mhV5Eg"",""list!A1:C115""),3,TRUE)"),"le secteur de la tech")</f>
        <v xml:space="preserve">le secteur de la tech</v>
      </c>
      <c r="O2221" s="4" t="s">
        <v>17059</v>
      </c>
      <c r="P2221" s="4">
        <v>12</v>
      </c>
      <c r="Q2221" s="4" t="s">
        <v>11445</v>
      </c>
      <c r="R2221" s="4" t="s">
        <v>9160</v>
      </c>
      <c r="S2221" s="4" t="s">
        <v>29</v>
      </c>
      <c r="T2221" s="5" t="s">
        <v>17060</v>
      </c>
      <c r="U2221" s="6"/>
      <c r="V2221" s="5" t="s">
        <v>17061</v>
      </c>
      <c r="W2221" s="6"/>
      <c r="X2221" s="6"/>
      <c r="Y2221" s="4" t="s">
        <v>17062</v>
      </c>
      <c r="Z2221" s="6"/>
      <c r="AA2221" s="5" t="s">
        <v>17063</v>
      </c>
    </row>
    <row r="2222" ht="14.25">
      <c r="B2222" s="4" t="s">
        <v>17064</v>
      </c>
      <c r="C2222" s="4" t="s">
        <v>20</v>
      </c>
      <c r="D2222" s="4" t="s">
        <v>52</v>
      </c>
      <c r="E2222" s="4" t="s">
        <v>17065</v>
      </c>
      <c r="F2222" s="4" t="s">
        <v>17066</v>
      </c>
      <c r="G2222" s="4" t="s">
        <v>17067</v>
      </c>
      <c r="H2222" s="4" t="str">
        <f>IFERROR(__XLUDF.DUMMYFUNCTION("PROPER(REGEXREPLACE(G799,""[^A-Za-z]+ "",""""))"),"La Cantine Des Talents")</f>
        <v xml:space="preserve">La Cantine Des Talents</v>
      </c>
      <c r="I2222" s="5" t="s">
        <v>17068</v>
      </c>
      <c r="J2222" s="4" t="s">
        <v>39</v>
      </c>
      <c r="K2222" s="4" t="s">
        <v>9160</v>
      </c>
      <c r="L2222" s="4" t="s">
        <v>29</v>
      </c>
      <c r="M2222" s="4" t="s">
        <v>2602</v>
      </c>
      <c r="N2222" s="4" t="str">
        <f>IFERROR(__XLUDF.DUMMYFUNCTION("VLOOKUP(M799,IMPORTRANGE(""https://docs.google.com/spreadsheets/d/1opm6ZNvGZ7KditA9TuJwrZ25eFLfTNIkrNnY6mhV5Eg"",""list!A1:C115""),3,TRUE)"),"le secteur de la tech")</f>
        <v xml:space="preserve">le secteur de la tech</v>
      </c>
      <c r="O2222" s="4" t="s">
        <v>17069</v>
      </c>
      <c r="P2222" s="4">
        <v>12</v>
      </c>
      <c r="Q2222" s="4" t="s">
        <v>1312</v>
      </c>
      <c r="R2222" s="4" t="s">
        <v>9350</v>
      </c>
      <c r="S2222" s="4" t="s">
        <v>29</v>
      </c>
      <c r="T2222" s="5" t="s">
        <v>17070</v>
      </c>
      <c r="U2222" s="6"/>
      <c r="V2222" s="5" t="s">
        <v>9981</v>
      </c>
      <c r="W2222" s="6"/>
      <c r="X2222" s="6"/>
      <c r="Y2222" s="6"/>
      <c r="Z2222" s="6"/>
      <c r="AA2222" s="5" t="s">
        <v>17071</v>
      </c>
    </row>
    <row r="2223" ht="14.25">
      <c r="B2223" s="4" t="s">
        <v>17072</v>
      </c>
      <c r="C2223" s="4" t="s">
        <v>20</v>
      </c>
      <c r="D2223" s="4" t="s">
        <v>17073</v>
      </c>
      <c r="E2223" s="4" t="s">
        <v>17074</v>
      </c>
      <c r="F2223" s="4" t="s">
        <v>9456</v>
      </c>
      <c r="G2223" s="4" t="s">
        <v>17075</v>
      </c>
      <c r="H2223" s="4" t="str">
        <f>IFERROR(__XLUDF.DUMMYFUNCTION("PROPER(REGEXREPLACE(G800,""[^A-Za-z]+ "",""""))"),"Localease")</f>
        <v>Localease</v>
      </c>
      <c r="I2223" s="5" t="s">
        <v>17076</v>
      </c>
      <c r="J2223" s="4" t="s">
        <v>11103</v>
      </c>
      <c r="K2223" s="4" t="s">
        <v>9251</v>
      </c>
      <c r="L2223" s="4" t="s">
        <v>29</v>
      </c>
      <c r="M2223" s="4" t="s">
        <v>4525</v>
      </c>
      <c r="N2223" s="4" t="str">
        <f>IFERROR(__XLUDF.DUMMYFUNCTION("VLOOKUP(M800,IMPORTRANGE(""https://docs.google.com/spreadsheets/d/1opm6ZNvGZ7KditA9TuJwrZ25eFLfTNIkrNnY6mhV5Eg"",""list!A1:C115""),3,TRUE)"),"le secteur du retail")</f>
        <v xml:space="preserve">le secteur du retail</v>
      </c>
      <c r="O2223" s="4" t="s">
        <v>17077</v>
      </c>
      <c r="P2223" s="4">
        <v>12</v>
      </c>
      <c r="Q2223" s="4" t="s">
        <v>11103</v>
      </c>
      <c r="R2223" s="4" t="s">
        <v>9251</v>
      </c>
      <c r="S2223" s="4" t="s">
        <v>29</v>
      </c>
      <c r="T2223" s="5" t="s">
        <v>17078</v>
      </c>
      <c r="U2223" s="5" t="s">
        <v>17079</v>
      </c>
      <c r="V2223" s="5" t="s">
        <v>17080</v>
      </c>
      <c r="W2223" s="6"/>
      <c r="X2223" s="6"/>
      <c r="Y2223" s="4" t="s">
        <v>17081</v>
      </c>
      <c r="Z2223" s="6"/>
      <c r="AA2223" s="5" t="s">
        <v>17082</v>
      </c>
    </row>
    <row r="2224" ht="14.25">
      <c r="B2224" s="4" t="s">
        <v>17083</v>
      </c>
      <c r="C2224" s="4" t="s">
        <v>17084</v>
      </c>
      <c r="D2224" s="4" t="s">
        <v>6333</v>
      </c>
      <c r="E2224" s="4" t="s">
        <v>17085</v>
      </c>
      <c r="F2224" s="4" t="s">
        <v>17086</v>
      </c>
      <c r="G2224" s="4" t="s">
        <v>17087</v>
      </c>
      <c r="H2224" s="4" t="str">
        <f>IFERROR(__XLUDF.DUMMYFUNCTION("PROPER(REGEXREPLACE(G801,""[^A-Za-z]+ "",""""))"),"Bonnes Manières")</f>
        <v xml:space="preserve">Bonnes Manières</v>
      </c>
      <c r="I2224" s="5" t="s">
        <v>17088</v>
      </c>
      <c r="J2224" s="4" t="s">
        <v>17089</v>
      </c>
      <c r="K2224" s="4" t="s">
        <v>9193</v>
      </c>
      <c r="L2224" s="4" t="s">
        <v>29</v>
      </c>
      <c r="M2224" s="4" t="s">
        <v>4067</v>
      </c>
      <c r="N2224" s="4" t="str">
        <f>IFERROR(__XLUDF.DUMMYFUNCTION("VLOOKUP(M801,IMPORTRANGE(""https://docs.google.com/spreadsheets/d/1opm6ZNvGZ7KditA9TuJwrZ25eFLfTNIkrNnY6mhV5Eg"",""list!A1:C115""),3,TRUE)"),"le secteur du conseil en management")</f>
        <v xml:space="preserve">le secteur du conseil en management</v>
      </c>
      <c r="O2224" s="4" t="s">
        <v>17090</v>
      </c>
      <c r="P2224" s="4">
        <v>16</v>
      </c>
      <c r="Q2224" s="4" t="s">
        <v>2174</v>
      </c>
      <c r="R2224" s="4" t="s">
        <v>9172</v>
      </c>
      <c r="S2224" s="4" t="s">
        <v>29</v>
      </c>
      <c r="T2224" s="5" t="s">
        <v>17091</v>
      </c>
      <c r="U2224" s="6"/>
      <c r="V2224" s="6"/>
      <c r="W2224" s="6"/>
      <c r="X2224" s="6"/>
      <c r="Y2224" s="4" t="s">
        <v>17092</v>
      </c>
      <c r="Z2224" s="6"/>
      <c r="AA2224" s="5" t="s">
        <v>17093</v>
      </c>
    </row>
    <row r="2225" ht="14.25">
      <c r="B2225" s="4" t="s">
        <v>17094</v>
      </c>
      <c r="C2225" s="4" t="s">
        <v>7307</v>
      </c>
      <c r="D2225" s="4" t="s">
        <v>17095</v>
      </c>
      <c r="E2225" s="4" t="s">
        <v>17096</v>
      </c>
      <c r="F2225" s="4" t="s">
        <v>17097</v>
      </c>
      <c r="G2225" s="4" t="s">
        <v>17098</v>
      </c>
      <c r="H2225" s="4" t="str">
        <f>IFERROR(__XLUDF.DUMMYFUNCTION("PROPER(REGEXREPLACE(G802,""[^A-Za-z]+ "",""""))"),"Athome Solution")</f>
        <v xml:space="preserve">Athome Solution</v>
      </c>
      <c r="I2225" s="5" t="s">
        <v>17099</v>
      </c>
      <c r="J2225" s="4" t="s">
        <v>243</v>
      </c>
      <c r="K2225" s="4" t="s">
        <v>9864</v>
      </c>
      <c r="L2225" s="4" t="s">
        <v>29</v>
      </c>
      <c r="M2225" s="4" t="s">
        <v>2602</v>
      </c>
      <c r="N2225" s="4" t="str">
        <f>IFERROR(__XLUDF.DUMMYFUNCTION("VLOOKUP(M802,IMPORTRANGE(""https://docs.google.com/spreadsheets/d/1opm6ZNvGZ7KditA9TuJwrZ25eFLfTNIkrNnY6mhV5Eg"",""list!A1:C115""),3,TRUE)"),"le secteur de la tech")</f>
        <v xml:space="preserve">le secteur de la tech</v>
      </c>
      <c r="O2225" s="4" t="s">
        <v>17100</v>
      </c>
      <c r="P2225" s="4">
        <v>16</v>
      </c>
      <c r="Q2225" s="4" t="s">
        <v>243</v>
      </c>
      <c r="R2225" s="4" t="s">
        <v>9864</v>
      </c>
      <c r="S2225" s="4" t="s">
        <v>29</v>
      </c>
      <c r="T2225" s="5" t="s">
        <v>17101</v>
      </c>
      <c r="U2225" s="6"/>
      <c r="V2225" s="6"/>
      <c r="W2225" s="6"/>
      <c r="X2225" s="6"/>
      <c r="Y2225" s="4" t="s">
        <v>17102</v>
      </c>
      <c r="Z2225" s="6"/>
      <c r="AA2225" s="5" t="s">
        <v>17103</v>
      </c>
    </row>
    <row r="2226" ht="14.25">
      <c r="B2226" s="4" t="s">
        <v>17104</v>
      </c>
      <c r="C2226" s="4" t="s">
        <v>6931</v>
      </c>
      <c r="D2226" s="4" t="s">
        <v>17105</v>
      </c>
      <c r="E2226" s="4" t="s">
        <v>17106</v>
      </c>
      <c r="F2226" s="4" t="s">
        <v>112</v>
      </c>
      <c r="G2226" s="4" t="s">
        <v>17107</v>
      </c>
      <c r="H2226" s="4" t="str">
        <f>IFERROR(__XLUDF.DUMMYFUNCTION("PROPER(REGEXREPLACE(G803,""[^A-Za-z]+ "",""""))"),"Tkorp")</f>
        <v>Tkorp</v>
      </c>
      <c r="I2226" s="5" t="s">
        <v>17108</v>
      </c>
      <c r="J2226" s="4" t="s">
        <v>39</v>
      </c>
      <c r="K2226" s="4" t="s">
        <v>9160</v>
      </c>
      <c r="L2226" s="4" t="s">
        <v>29</v>
      </c>
      <c r="M2226" s="4" t="s">
        <v>2602</v>
      </c>
      <c r="N2226" s="4" t="str">
        <f>IFERROR(__XLUDF.DUMMYFUNCTION("VLOOKUP(M803,IMPORTRANGE(""https://docs.google.com/spreadsheets/d/1opm6ZNvGZ7KditA9TuJwrZ25eFLfTNIkrNnY6mhV5Eg"",""list!A1:C115""),3,TRUE)"),"le secteur de la tech")</f>
        <v xml:space="preserve">le secteur de la tech</v>
      </c>
      <c r="O2226" s="4" t="s">
        <v>17109</v>
      </c>
      <c r="P2226" s="4">
        <v>11</v>
      </c>
      <c r="Q2226" s="4" t="s">
        <v>1419</v>
      </c>
      <c r="R2226" s="4" t="s">
        <v>9160</v>
      </c>
      <c r="S2226" s="4" t="s">
        <v>29</v>
      </c>
      <c r="T2226" s="5" t="s">
        <v>17110</v>
      </c>
      <c r="U2226" s="6"/>
      <c r="V2226" s="6"/>
      <c r="W2226" s="6"/>
      <c r="X2226" s="6"/>
      <c r="Y2226" s="4" t="s">
        <v>17111</v>
      </c>
      <c r="Z2226" s="6"/>
      <c r="AA2226" s="5" t="s">
        <v>17112</v>
      </c>
    </row>
    <row r="2227" ht="14.25">
      <c r="B2227" s="4" t="s">
        <v>17113</v>
      </c>
      <c r="C2227" s="4" t="s">
        <v>20</v>
      </c>
      <c r="D2227" s="4" t="s">
        <v>17114</v>
      </c>
      <c r="E2227" s="4" t="s">
        <v>17115</v>
      </c>
      <c r="F2227" s="4" t="s">
        <v>7759</v>
      </c>
      <c r="G2227" s="4" t="s">
        <v>17116</v>
      </c>
      <c r="H2227" s="4" t="str">
        <f>IFERROR(__XLUDF.DUMMYFUNCTION("PROPER(REGEXREPLACE(G804,""[^A-Za-z]+ "",""""))"),"Toiture Parisienne")</f>
        <v xml:space="preserve">Toiture Parisienne</v>
      </c>
      <c r="I2227" s="5" t="s">
        <v>17117</v>
      </c>
      <c r="J2227" s="4" t="s">
        <v>39</v>
      </c>
      <c r="K2227" s="4" t="s">
        <v>9160</v>
      </c>
      <c r="L2227" s="4" t="s">
        <v>29</v>
      </c>
      <c r="M2227" s="4" t="s">
        <v>9239</v>
      </c>
      <c r="N2227" s="4" t="str">
        <f>IFERROR(__XLUDF.DUMMYFUNCTION("VLOOKUP(M804,IMPORTRANGE(""https://docs.google.com/spreadsheets/d/1opm6ZNvGZ7KditA9TuJwrZ25eFLfTNIkrNnY6mhV5Eg"",""list!A1:C115""),3,TRUE)"),"le secteur de la construction")</f>
        <v xml:space="preserve">le secteur de la construction</v>
      </c>
      <c r="O2227" s="6"/>
      <c r="P2227" s="4">
        <v>24</v>
      </c>
      <c r="Q2227" s="4" t="s">
        <v>39</v>
      </c>
      <c r="R2227" s="4" t="s">
        <v>9160</v>
      </c>
      <c r="S2227" s="4" t="s">
        <v>29</v>
      </c>
      <c r="T2227" s="5" t="s">
        <v>17118</v>
      </c>
      <c r="U2227" s="5" t="s">
        <v>17119</v>
      </c>
      <c r="V2227" s="5" t="s">
        <v>17120</v>
      </c>
      <c r="W2227" s="6"/>
      <c r="X2227" s="6"/>
      <c r="Y2227" s="4" t="s">
        <v>17121</v>
      </c>
      <c r="Z2227" s="6"/>
      <c r="AA2227" s="5" t="s">
        <v>17122</v>
      </c>
    </row>
    <row r="2228" ht="14.25">
      <c r="B2228" s="4" t="s">
        <v>17123</v>
      </c>
      <c r="C2228" s="4" t="s">
        <v>17124</v>
      </c>
      <c r="D2228" s="4" t="s">
        <v>17125</v>
      </c>
      <c r="E2228" s="4" t="s">
        <v>17126</v>
      </c>
      <c r="F2228" s="4" t="s">
        <v>112</v>
      </c>
      <c r="G2228" s="4" t="s">
        <v>17127</v>
      </c>
      <c r="H2228" s="4" t="str">
        <f>IFERROR(__XLUDF.DUMMYFUNCTION("PROPER(REGEXREPLACE(G805,""[^A-Za-z]+ "",""""))"),"Newslot")</f>
        <v>Newslot</v>
      </c>
      <c r="I2228" s="5" t="s">
        <v>17128</v>
      </c>
      <c r="J2228" s="4" t="s">
        <v>1015</v>
      </c>
      <c r="K2228" s="4" t="s">
        <v>9251</v>
      </c>
      <c r="L2228" s="4" t="s">
        <v>29</v>
      </c>
      <c r="M2228" s="4" t="s">
        <v>2602</v>
      </c>
      <c r="N2228" s="4" t="str">
        <f>IFERROR(__XLUDF.DUMMYFUNCTION("VLOOKUP(M805,IMPORTRANGE(""https://docs.google.com/spreadsheets/d/1opm6ZNvGZ7KditA9TuJwrZ25eFLfTNIkrNnY6mhV5Eg"",""list!A1:C115""),3,TRUE)"),"le secteur de la tech")</f>
        <v xml:space="preserve">le secteur de la tech</v>
      </c>
      <c r="O2228" s="6"/>
      <c r="P2228" s="4">
        <v>10</v>
      </c>
      <c r="Q2228" s="4" t="s">
        <v>39</v>
      </c>
      <c r="R2228" s="4" t="s">
        <v>9160</v>
      </c>
      <c r="S2228" s="4" t="s">
        <v>29</v>
      </c>
      <c r="T2228" s="5" t="s">
        <v>17129</v>
      </c>
      <c r="U2228" s="6"/>
      <c r="V2228" s="6"/>
      <c r="W2228" s="6"/>
      <c r="X2228" s="6"/>
      <c r="Y2228" s="4" t="s">
        <v>17130</v>
      </c>
      <c r="Z2228" s="6"/>
      <c r="AA2228" s="5" t="s">
        <v>17131</v>
      </c>
    </row>
    <row r="2229" ht="14.25">
      <c r="B2229" s="4" t="s">
        <v>17132</v>
      </c>
      <c r="C2229" s="4" t="s">
        <v>1844</v>
      </c>
      <c r="D2229" s="4" t="s">
        <v>11167</v>
      </c>
      <c r="E2229" s="4" t="s">
        <v>17133</v>
      </c>
      <c r="F2229" s="4" t="s">
        <v>17134</v>
      </c>
      <c r="G2229" s="4" t="s">
        <v>17135</v>
      </c>
      <c r="H2229" s="4" t="str">
        <f>IFERROR(__XLUDF.DUMMYFUNCTION("PROPER(REGEXREPLACE(G806,""[^A-Za-z]+ "",""""))"),"Bleu122")</f>
        <v>Bleu122</v>
      </c>
      <c r="I2229" s="5" t="s">
        <v>17136</v>
      </c>
      <c r="J2229" s="4" t="s">
        <v>83</v>
      </c>
      <c r="K2229" s="4" t="s">
        <v>9460</v>
      </c>
      <c r="L2229" s="4" t="s">
        <v>29</v>
      </c>
      <c r="M2229" s="4" t="s">
        <v>2602</v>
      </c>
      <c r="N2229" s="4" t="str">
        <f>IFERROR(__XLUDF.DUMMYFUNCTION("VLOOKUP(M806,IMPORTRANGE(""https://docs.google.com/spreadsheets/d/1opm6ZNvGZ7KditA9TuJwrZ25eFLfTNIkrNnY6mhV5Eg"",""list!A1:C115""),3,TRUE)"),"le secteur de la tech")</f>
        <v xml:space="preserve">le secteur de la tech</v>
      </c>
      <c r="O2229" s="4" t="s">
        <v>17137</v>
      </c>
      <c r="P2229" s="4">
        <v>16</v>
      </c>
      <c r="Q2229" s="4" t="s">
        <v>83</v>
      </c>
      <c r="R2229" s="4" t="s">
        <v>9460</v>
      </c>
      <c r="S2229" s="4" t="s">
        <v>29</v>
      </c>
      <c r="T2229" s="5" t="s">
        <v>17138</v>
      </c>
      <c r="U2229" s="5" t="s">
        <v>17139</v>
      </c>
      <c r="V2229" s="5" t="s">
        <v>17140</v>
      </c>
      <c r="W2229" s="6"/>
      <c r="X2229" s="6"/>
      <c r="Y2229" s="4" t="s">
        <v>17141</v>
      </c>
      <c r="Z2229" s="6"/>
      <c r="AA2229" s="5" t="s">
        <v>17142</v>
      </c>
    </row>
    <row r="2230" ht="14.25">
      <c r="B2230" s="4" t="s">
        <v>17143</v>
      </c>
      <c r="C2230" s="4" t="s">
        <v>17144</v>
      </c>
      <c r="D2230" s="4" t="s">
        <v>17145</v>
      </c>
      <c r="E2230" s="4" t="s">
        <v>17146</v>
      </c>
      <c r="F2230" s="4" t="s">
        <v>9456</v>
      </c>
      <c r="G2230" s="4" t="s">
        <v>17147</v>
      </c>
      <c r="H2230" s="4" t="str">
        <f>IFERROR(__XLUDF.DUMMYFUNCTION("PROPER(REGEXREPLACE(G807,""[^A-Za-z]+ "",""""))"),"Bim Ingenierie")</f>
        <v xml:space="preserve">Bim Ingenierie</v>
      </c>
      <c r="I2230" s="5" t="s">
        <v>17148</v>
      </c>
      <c r="J2230" s="4" t="s">
        <v>17149</v>
      </c>
      <c r="K2230" s="4" t="s">
        <v>9160</v>
      </c>
      <c r="L2230" s="4" t="s">
        <v>29</v>
      </c>
      <c r="M2230" s="4" t="s">
        <v>9239</v>
      </c>
      <c r="N2230" s="4" t="str">
        <f>IFERROR(__XLUDF.DUMMYFUNCTION("VLOOKUP(M807,IMPORTRANGE(""https://docs.google.com/spreadsheets/d/1opm6ZNvGZ7KditA9TuJwrZ25eFLfTNIkrNnY6mhV5Eg"",""list!A1:C115""),3,TRUE)"),"le secteur de la construction")</f>
        <v xml:space="preserve">le secteur de la construction</v>
      </c>
      <c r="O2230" s="6"/>
      <c r="P2230" s="4">
        <v>12</v>
      </c>
      <c r="Q2230" s="4" t="s">
        <v>17149</v>
      </c>
      <c r="R2230" s="4" t="s">
        <v>9160</v>
      </c>
      <c r="S2230" s="4" t="s">
        <v>29</v>
      </c>
      <c r="T2230" s="5" t="s">
        <v>17150</v>
      </c>
      <c r="U2230" s="6"/>
      <c r="V2230" s="6"/>
      <c r="W2230" s="6"/>
      <c r="X2230" s="6"/>
      <c r="Y2230" s="4" t="s">
        <v>17151</v>
      </c>
      <c r="Z2230" s="6"/>
      <c r="AA2230" s="5" t="s">
        <v>17152</v>
      </c>
    </row>
    <row r="2231" ht="14.25">
      <c r="B2231" s="4" t="s">
        <v>17153</v>
      </c>
      <c r="C2231" s="4" t="s">
        <v>4132</v>
      </c>
      <c r="D2231" s="4" t="s">
        <v>17154</v>
      </c>
      <c r="E2231" s="4" t="s">
        <v>17155</v>
      </c>
      <c r="F2231" s="4" t="s">
        <v>9849</v>
      </c>
      <c r="G2231" s="4" t="s">
        <v>17156</v>
      </c>
      <c r="H2231" s="4" t="str">
        <f>IFERROR(__XLUDF.DUMMYFUNCTION("PROPER(REGEXREPLACE(G808,""[^A-Za-z]+ "",""""))"),"Bonhomme Métallerie")</f>
        <v xml:space="preserve">Bonhomme Métallerie</v>
      </c>
      <c r="I2231" s="5" t="s">
        <v>17157</v>
      </c>
      <c r="J2231" s="4" t="s">
        <v>17158</v>
      </c>
      <c r="K2231" s="4" t="s">
        <v>9193</v>
      </c>
      <c r="L2231" s="4" t="s">
        <v>29</v>
      </c>
      <c r="M2231" s="4" t="s">
        <v>9239</v>
      </c>
      <c r="N2231" s="4" t="str">
        <f>IFERROR(__XLUDF.DUMMYFUNCTION("VLOOKUP(M808,IMPORTRANGE(""https://docs.google.com/spreadsheets/d/1opm6ZNvGZ7KditA9TuJwrZ25eFLfTNIkrNnY6mhV5Eg"",""list!A1:C115""),3,TRUE)"),"le secteur de la construction")</f>
        <v xml:space="preserve">le secteur de la construction</v>
      </c>
      <c r="O2231" s="4" t="s">
        <v>17159</v>
      </c>
      <c r="P2231" s="4">
        <v>14</v>
      </c>
      <c r="Q2231" s="4" t="s">
        <v>17158</v>
      </c>
      <c r="R2231" s="4" t="s">
        <v>9172</v>
      </c>
      <c r="S2231" s="4" t="s">
        <v>29</v>
      </c>
      <c r="T2231" s="5" t="s">
        <v>17160</v>
      </c>
      <c r="U2231" s="6"/>
      <c r="V2231" s="6"/>
      <c r="W2231" s="6"/>
      <c r="X2231" s="6"/>
      <c r="Y2231" s="4" t="s">
        <v>17161</v>
      </c>
      <c r="Z2231" s="6"/>
      <c r="AA2231" s="5" t="s">
        <v>17162</v>
      </c>
    </row>
    <row r="2232" ht="14.25">
      <c r="B2232" s="4" t="s">
        <v>17163</v>
      </c>
      <c r="C2232" s="4" t="s">
        <v>76</v>
      </c>
      <c r="D2232" s="4" t="s">
        <v>17164</v>
      </c>
      <c r="E2232" s="4" t="s">
        <v>17165</v>
      </c>
      <c r="F2232" s="4" t="s">
        <v>7759</v>
      </c>
      <c r="G2232" s="4" t="s">
        <v>17166</v>
      </c>
      <c r="H2232" s="4" t="str">
        <f>IFERROR(__XLUDF.DUMMYFUNCTION("PROPER(REGEXREPLACE(G809,""[^A-Za-z]+ "",""""))"),"Cena Ingénierie")</f>
        <v xml:space="preserve">Cena Ingénierie</v>
      </c>
      <c r="I2232" s="5" t="s">
        <v>17167</v>
      </c>
      <c r="J2232" s="4" t="s">
        <v>774</v>
      </c>
      <c r="K2232" s="4" t="s">
        <v>9193</v>
      </c>
      <c r="L2232" s="4" t="s">
        <v>29</v>
      </c>
      <c r="M2232" s="4" t="s">
        <v>9239</v>
      </c>
      <c r="N2232" s="4" t="str">
        <f>IFERROR(__XLUDF.DUMMYFUNCTION("VLOOKUP(M809,IMPORTRANGE(""https://docs.google.com/spreadsheets/d/1opm6ZNvGZ7KditA9TuJwrZ25eFLfTNIkrNnY6mhV5Eg"",""list!A1:C115""),3,TRUE)"),"le secteur de la construction")</f>
        <v xml:space="preserve">le secteur de la construction</v>
      </c>
      <c r="O2232" s="4" t="s">
        <v>17168</v>
      </c>
      <c r="P2232" s="4">
        <v>12</v>
      </c>
      <c r="Q2232" s="4" t="s">
        <v>17169</v>
      </c>
      <c r="R2232" s="4" t="s">
        <v>9864</v>
      </c>
      <c r="S2232" s="4" t="s">
        <v>29</v>
      </c>
      <c r="T2232" s="5" t="s">
        <v>17170</v>
      </c>
      <c r="U2232" s="6"/>
      <c r="V2232" s="6"/>
      <c r="W2232" s="6"/>
      <c r="X2232" s="6"/>
      <c r="Y2232" s="4" t="s">
        <v>17171</v>
      </c>
      <c r="Z2232" s="6"/>
      <c r="AA2232" s="5" t="s">
        <v>17172</v>
      </c>
    </row>
    <row r="2233" ht="14.25">
      <c r="B2233" s="4" t="s">
        <v>17173</v>
      </c>
      <c r="C2233" s="4" t="s">
        <v>20</v>
      </c>
      <c r="D2233" s="4" t="s">
        <v>9847</v>
      </c>
      <c r="E2233" s="4" t="s">
        <v>17174</v>
      </c>
      <c r="F2233" s="4" t="s">
        <v>9849</v>
      </c>
      <c r="G2233" s="4" t="s">
        <v>9850</v>
      </c>
      <c r="H2233" s="4" t="str">
        <f>IFERROR(__XLUDF.DUMMYFUNCTION("PROPER(REGEXREPLACE(G810,""[^A-Za-z]+ "",""""))"),"Tetra Up")</f>
        <v xml:space="preserve">Tetra Up</v>
      </c>
      <c r="I2233" s="5" t="s">
        <v>9851</v>
      </c>
      <c r="J2233" s="4" t="s">
        <v>846</v>
      </c>
      <c r="K2233" s="4" t="s">
        <v>9278</v>
      </c>
      <c r="L2233" s="4" t="s">
        <v>29</v>
      </c>
      <c r="M2233" s="4" t="s">
        <v>2602</v>
      </c>
      <c r="N2233" s="4" t="str">
        <f>IFERROR(__XLUDF.DUMMYFUNCTION("VLOOKUP(M810,IMPORTRANGE(""https://docs.google.com/spreadsheets/d/1opm6ZNvGZ7KditA9TuJwrZ25eFLfTNIkrNnY6mhV5Eg"",""list!A1:C115""),3,TRUE)"),"le secteur de la tech")</f>
        <v xml:space="preserve">le secteur de la tech</v>
      </c>
      <c r="O2233" s="4" t="s">
        <v>9853</v>
      </c>
      <c r="P2233" s="4">
        <v>17</v>
      </c>
      <c r="Q2233" s="4" t="s">
        <v>9852</v>
      </c>
      <c r="R2233" s="4" t="s">
        <v>9278</v>
      </c>
      <c r="S2233" s="4" t="s">
        <v>29</v>
      </c>
      <c r="T2233" s="5" t="s">
        <v>9854</v>
      </c>
      <c r="U2233" s="5" t="s">
        <v>9855</v>
      </c>
      <c r="V2233" s="5" t="s">
        <v>9856</v>
      </c>
      <c r="W2233" s="6"/>
      <c r="X2233" s="6"/>
      <c r="Y2233" s="4" t="s">
        <v>9857</v>
      </c>
      <c r="Z2233" s="6"/>
      <c r="AA2233" s="5" t="s">
        <v>17175</v>
      </c>
    </row>
    <row r="2234" ht="14.25">
      <c r="B2234" s="4" t="s">
        <v>17176</v>
      </c>
      <c r="C2234" s="4" t="s">
        <v>2348</v>
      </c>
      <c r="D2234" s="4" t="s">
        <v>17177</v>
      </c>
      <c r="E2234" s="4" t="s">
        <v>17178</v>
      </c>
      <c r="F2234" s="4" t="s">
        <v>468</v>
      </c>
      <c r="G2234" s="4" t="s">
        <v>17179</v>
      </c>
      <c r="H2234" s="4" t="str">
        <f>IFERROR(__XLUDF.DUMMYFUNCTION("PROPER(REGEXREPLACE(G811,""[^A-Za-z]+ "",""""))"),"Norgatec Consulting")</f>
        <v xml:space="preserve">Norgatec Consulting</v>
      </c>
      <c r="I2234" s="5" t="s">
        <v>17180</v>
      </c>
      <c r="J2234" s="4" t="s">
        <v>846</v>
      </c>
      <c r="K2234" s="4" t="s">
        <v>9281</v>
      </c>
      <c r="L2234" s="4" t="s">
        <v>29</v>
      </c>
      <c r="M2234" s="4" t="s">
        <v>4067</v>
      </c>
      <c r="N2234" s="4" t="str">
        <f>IFERROR(__XLUDF.DUMMYFUNCTION("VLOOKUP(M811,IMPORTRANGE(""https://docs.google.com/spreadsheets/d/1opm6ZNvGZ7KditA9TuJwrZ25eFLfTNIkrNnY6mhV5Eg"",""list!A1:C115""),3,TRUE)"),"le secteur du conseil en management")</f>
        <v xml:space="preserve">le secteur du conseil en management</v>
      </c>
      <c r="O2234" s="4" t="s">
        <v>17181</v>
      </c>
      <c r="P2234" s="4">
        <v>24</v>
      </c>
      <c r="Q2234" s="4" t="s">
        <v>10537</v>
      </c>
      <c r="R2234" s="4" t="s">
        <v>9278</v>
      </c>
      <c r="S2234" s="4" t="s">
        <v>29</v>
      </c>
      <c r="T2234" s="5" t="s">
        <v>17182</v>
      </c>
      <c r="U2234" s="6"/>
      <c r="V2234" s="6"/>
      <c r="W2234" s="6"/>
      <c r="X2234" s="6"/>
      <c r="Y2234" s="4" t="s">
        <v>17183</v>
      </c>
      <c r="Z2234" s="6"/>
      <c r="AA2234" s="5" t="s">
        <v>17184</v>
      </c>
    </row>
    <row r="2235" ht="14.25">
      <c r="B2235" s="4" t="s">
        <v>17185</v>
      </c>
      <c r="C2235" s="4" t="s">
        <v>17186</v>
      </c>
      <c r="D2235" s="4" t="s">
        <v>17187</v>
      </c>
      <c r="E2235" s="4" t="s">
        <v>17188</v>
      </c>
      <c r="F2235" s="4" t="s">
        <v>62</v>
      </c>
      <c r="G2235" s="4" t="s">
        <v>17189</v>
      </c>
      <c r="H2235" s="4" t="str">
        <f>IFERROR(__XLUDF.DUMMYFUNCTION("PROPER(REGEXREPLACE(G812,""[^A-Za-z]+ "",""""))"),"Firecell")</f>
        <v>Firecell</v>
      </c>
      <c r="I2235" s="5" t="s">
        <v>17190</v>
      </c>
      <c r="J2235" s="4" t="s">
        <v>49</v>
      </c>
      <c r="K2235" s="4" t="s">
        <v>9251</v>
      </c>
      <c r="L2235" s="4" t="s">
        <v>29</v>
      </c>
      <c r="M2235" s="4" t="s">
        <v>9184</v>
      </c>
      <c r="N2235" s="4" t="str">
        <f>IFERROR(__XLUDF.DUMMYFUNCTION("VLOOKUP(M812,IMPORTRANGE(""https://docs.google.com/spreadsheets/d/1opm6ZNvGZ7KditA9TuJwrZ25eFLfTNIkrNnY6mhV5Eg"",""list!A1:C115""),3,TRUE)"),"le secteur des télécommunications")</f>
        <v xml:space="preserve">le secteur des télécommunications</v>
      </c>
      <c r="O2235" s="6"/>
      <c r="P2235" s="4">
        <v>38</v>
      </c>
      <c r="Q2235" s="4" t="s">
        <v>49</v>
      </c>
      <c r="R2235" s="4" t="s">
        <v>9251</v>
      </c>
      <c r="S2235" s="4" t="s">
        <v>29</v>
      </c>
      <c r="T2235" s="5" t="s">
        <v>17191</v>
      </c>
      <c r="U2235" s="5" t="s">
        <v>17192</v>
      </c>
      <c r="V2235" s="5" t="s">
        <v>17193</v>
      </c>
      <c r="W2235" s="6"/>
      <c r="X2235" s="6"/>
      <c r="Y2235" s="4" t="s">
        <v>17194</v>
      </c>
      <c r="Z2235" s="6"/>
      <c r="AA2235" s="5" t="s">
        <v>17195</v>
      </c>
    </row>
    <row r="2236" ht="14.25">
      <c r="B2236" s="4" t="s">
        <v>17196</v>
      </c>
      <c r="C2236" s="4" t="s">
        <v>52</v>
      </c>
      <c r="D2236" s="4" t="s">
        <v>12238</v>
      </c>
      <c r="E2236" s="4" t="s">
        <v>17197</v>
      </c>
      <c r="F2236" s="4" t="s">
        <v>112</v>
      </c>
      <c r="G2236" s="4" t="s">
        <v>17198</v>
      </c>
      <c r="H2236" s="4" t="str">
        <f>IFERROR(__XLUDF.DUMMYFUNCTION("PROPER(REGEXREPLACE(G813,""[^A-Za-z]+ "",""""))"),"Proxima It")</f>
        <v xml:space="preserve">Proxima It</v>
      </c>
      <c r="I2236" s="5" t="s">
        <v>17199</v>
      </c>
      <c r="J2236" s="4" t="s">
        <v>185</v>
      </c>
      <c r="K2236" s="4" t="s">
        <v>9172</v>
      </c>
      <c r="L2236" s="4" t="s">
        <v>29</v>
      </c>
      <c r="M2236" s="4" t="s">
        <v>2602</v>
      </c>
      <c r="N2236" s="4" t="str">
        <f>IFERROR(__XLUDF.DUMMYFUNCTION("VLOOKUP(M813,IMPORTRANGE(""https://docs.google.com/spreadsheets/d/1opm6ZNvGZ7KditA9TuJwrZ25eFLfTNIkrNnY6mhV5Eg"",""list!A1:C115""),3,TRUE)"),"le secteur de la tech")</f>
        <v xml:space="preserve">le secteur de la tech</v>
      </c>
      <c r="O2236" s="4" t="s">
        <v>17200</v>
      </c>
      <c r="P2236" s="4">
        <v>12</v>
      </c>
      <c r="Q2236" s="4" t="s">
        <v>185</v>
      </c>
      <c r="R2236" s="4" t="s">
        <v>9193</v>
      </c>
      <c r="S2236" s="4" t="s">
        <v>29</v>
      </c>
      <c r="T2236" s="5" t="s">
        <v>17201</v>
      </c>
      <c r="U2236" s="6"/>
      <c r="V2236" s="6"/>
      <c r="W2236" s="6"/>
      <c r="X2236" s="6"/>
      <c r="Y2236" s="4" t="s">
        <v>17202</v>
      </c>
      <c r="Z2236" s="6"/>
      <c r="AA2236" s="5" t="s">
        <v>17203</v>
      </c>
    </row>
    <row r="2237" ht="14.25">
      <c r="B2237" s="4" t="s">
        <v>17204</v>
      </c>
      <c r="C2237" s="4" t="s">
        <v>17205</v>
      </c>
      <c r="D2237" s="4" t="s">
        <v>17206</v>
      </c>
      <c r="E2237" s="4" t="s">
        <v>17207</v>
      </c>
      <c r="F2237" s="4" t="s">
        <v>112</v>
      </c>
      <c r="G2237" s="4" t="s">
        <v>17208</v>
      </c>
      <c r="H2237" s="4" t="str">
        <f>IFERROR(__XLUDF.DUMMYFUNCTION("PROPER(REGEXREPLACE(G814,""[^A-Za-z]+ "",""""))"),"Corexalys")</f>
        <v>Corexalys</v>
      </c>
      <c r="I2237" s="5" t="s">
        <v>17209</v>
      </c>
      <c r="J2237" s="6"/>
      <c r="K2237" s="6"/>
      <c r="L2237" s="4" t="s">
        <v>29</v>
      </c>
      <c r="M2237" s="4" t="s">
        <v>2602</v>
      </c>
      <c r="N2237" s="4" t="str">
        <f>IFERROR(__XLUDF.DUMMYFUNCTION("VLOOKUP(M814,IMPORTRANGE(""https://docs.google.com/spreadsheets/d/1opm6ZNvGZ7KditA9TuJwrZ25eFLfTNIkrNnY6mhV5Eg"",""list!A1:C115""),3,TRUE)"),"le secteur de la tech")</f>
        <v xml:space="preserve">le secteur de la tech</v>
      </c>
      <c r="O2237" s="6"/>
      <c r="P2237" s="4">
        <v>14</v>
      </c>
      <c r="Q2237" s="4" t="s">
        <v>39</v>
      </c>
      <c r="R2237" s="4" t="s">
        <v>9160</v>
      </c>
      <c r="S2237" s="4" t="s">
        <v>29</v>
      </c>
      <c r="T2237" s="5" t="s">
        <v>17210</v>
      </c>
      <c r="U2237" s="6"/>
      <c r="V2237" s="6"/>
      <c r="W2237" s="6"/>
      <c r="X2237" s="6"/>
      <c r="Y2237" s="4" t="s">
        <v>17211</v>
      </c>
      <c r="Z2237" s="6"/>
      <c r="AA2237" s="5" t="s">
        <v>17212</v>
      </c>
    </row>
    <row r="2238" ht="14.25">
      <c r="B2238" s="4" t="s">
        <v>17213</v>
      </c>
      <c r="C2238" s="4" t="s">
        <v>17214</v>
      </c>
      <c r="D2238" s="4" t="s">
        <v>485</v>
      </c>
      <c r="E2238" s="4" t="s">
        <v>17215</v>
      </c>
      <c r="F2238" s="4" t="s">
        <v>17216</v>
      </c>
      <c r="G2238" s="4" t="s">
        <v>17217</v>
      </c>
      <c r="H2238" s="4" t="str">
        <f>IFERROR(__XLUDF.DUMMYFUNCTION("PROPER(REGEXREPLACE(G815,""[^A-Za-z]+ "",""""))"),"Minds")</f>
        <v>Minds</v>
      </c>
      <c r="I2238" s="5" t="s">
        <v>17218</v>
      </c>
      <c r="J2238" s="4" t="s">
        <v>39</v>
      </c>
      <c r="K2238" s="4" t="s">
        <v>9160</v>
      </c>
      <c r="L2238" s="4" t="s">
        <v>29</v>
      </c>
      <c r="M2238" s="4" t="s">
        <v>4067</v>
      </c>
      <c r="N2238" s="4" t="str">
        <f>IFERROR(__XLUDF.DUMMYFUNCTION("VLOOKUP(M815,IMPORTRANGE(""https://docs.google.com/spreadsheets/d/1opm6ZNvGZ7KditA9TuJwrZ25eFLfTNIkrNnY6mhV5Eg"",""list!A1:C115""),3,TRUE)"),"le secteur du conseil en management")</f>
        <v xml:space="preserve">le secteur du conseil en management</v>
      </c>
      <c r="O2238" s="4" t="s">
        <v>17219</v>
      </c>
      <c r="P2238" s="4">
        <v>21</v>
      </c>
      <c r="Q2238" s="4" t="s">
        <v>39</v>
      </c>
      <c r="R2238" s="4" t="s">
        <v>9160</v>
      </c>
      <c r="S2238" s="4" t="s">
        <v>29</v>
      </c>
      <c r="T2238" s="5" t="s">
        <v>17220</v>
      </c>
      <c r="U2238" s="6"/>
      <c r="V2238" s="5" t="s">
        <v>17221</v>
      </c>
      <c r="W2238" s="6"/>
      <c r="X2238" s="6"/>
      <c r="Y2238" s="4" t="s">
        <v>17222</v>
      </c>
      <c r="Z2238" s="6"/>
      <c r="AA2238" s="5" t="s">
        <v>17223</v>
      </c>
    </row>
    <row r="2239" ht="14.25">
      <c r="B2239" s="4" t="s">
        <v>17224</v>
      </c>
      <c r="C2239" s="4" t="s">
        <v>17225</v>
      </c>
      <c r="D2239" s="4" t="s">
        <v>17226</v>
      </c>
      <c r="E2239" s="4" t="s">
        <v>17227</v>
      </c>
      <c r="F2239" s="4" t="s">
        <v>879</v>
      </c>
      <c r="G2239" s="4" t="s">
        <v>17228</v>
      </c>
      <c r="H2239" s="4" t="str">
        <f>IFERROR(__XLUDF.DUMMYFUNCTION("PROPER(REGEXREPLACE(G816,""[^A-Za-z]+ "",""""))"),"Nomattitude")</f>
        <v>Nomattitude</v>
      </c>
      <c r="I2239" s="5" t="s">
        <v>17229</v>
      </c>
      <c r="J2239" s="4" t="s">
        <v>83</v>
      </c>
      <c r="K2239" s="4" t="s">
        <v>9460</v>
      </c>
      <c r="L2239" s="4" t="s">
        <v>29</v>
      </c>
      <c r="M2239" s="4" t="s">
        <v>2602</v>
      </c>
      <c r="N2239" s="4" t="str">
        <f>IFERROR(__XLUDF.DUMMYFUNCTION("VLOOKUP(M816,IMPORTRANGE(""https://docs.google.com/spreadsheets/d/1opm6ZNvGZ7KditA9TuJwrZ25eFLfTNIkrNnY6mhV5Eg"",""list!A1:C115""),3,TRUE)"),"le secteur de la tech")</f>
        <v xml:space="preserve">le secteur de la tech</v>
      </c>
      <c r="O2239" s="4" t="s">
        <v>17230</v>
      </c>
      <c r="P2239" s="4">
        <v>17</v>
      </c>
      <c r="Q2239" s="4" t="s">
        <v>17231</v>
      </c>
      <c r="R2239" s="4" t="s">
        <v>9460</v>
      </c>
      <c r="S2239" s="4" t="s">
        <v>29</v>
      </c>
      <c r="T2239" s="5" t="s">
        <v>17232</v>
      </c>
      <c r="U2239" s="6"/>
      <c r="V2239" s="6"/>
      <c r="W2239" s="6"/>
      <c r="X2239" s="6"/>
      <c r="Y2239" s="4" t="s">
        <v>17233</v>
      </c>
      <c r="Z2239" s="6"/>
      <c r="AA2239" s="5" t="s">
        <v>17234</v>
      </c>
    </row>
    <row r="2240" ht="14.25">
      <c r="B2240" s="4" t="s">
        <v>17235</v>
      </c>
      <c r="C2240" s="4" t="s">
        <v>17236</v>
      </c>
      <c r="D2240" s="4" t="s">
        <v>17237</v>
      </c>
      <c r="E2240" s="4" t="s">
        <v>17238</v>
      </c>
      <c r="F2240" s="4" t="s">
        <v>172</v>
      </c>
      <c r="G2240" s="4" t="s">
        <v>17239</v>
      </c>
      <c r="H2240" s="4" t="str">
        <f>IFERROR(__XLUDF.DUMMYFUNCTION("PROPER(REGEXREPLACE(G817,""[^A-Za-z]+ "",""""))"),"Csb.School")</f>
        <v>Csb.School</v>
      </c>
      <c r="I2240" s="4" t="s">
        <v>17240</v>
      </c>
      <c r="J2240" s="4" t="s">
        <v>185</v>
      </c>
      <c r="K2240" s="4" t="s">
        <v>9193</v>
      </c>
      <c r="L2240" s="4" t="s">
        <v>29</v>
      </c>
      <c r="M2240" s="4" t="s">
        <v>9264</v>
      </c>
      <c r="N2240" s="4" t="str">
        <f>IFERROR(__XLUDF.DUMMYFUNCTION("VLOOKUP(M817,IMPORTRANGE(""https://docs.google.com/spreadsheets/d/1opm6ZNvGZ7KditA9TuJwrZ25eFLfTNIkrNnY6mhV5Eg"",""list!A1:C115""),3,TRUE)"),"le secteur de la sécurité informatique")</f>
        <v xml:space="preserve">le secteur de la sécurité informatique</v>
      </c>
      <c r="O2240" s="4" t="s">
        <v>17241</v>
      </c>
      <c r="P2240" s="4">
        <v>36</v>
      </c>
      <c r="Q2240" s="4" t="s">
        <v>185</v>
      </c>
      <c r="R2240" s="4" t="s">
        <v>9193</v>
      </c>
      <c r="S2240" s="4" t="s">
        <v>29</v>
      </c>
      <c r="T2240" s="5" t="s">
        <v>17242</v>
      </c>
      <c r="U2240" s="6"/>
      <c r="V2240" s="6"/>
      <c r="W2240" s="6"/>
      <c r="X2240" s="6"/>
      <c r="Y2240" s="4" t="s">
        <v>17243</v>
      </c>
      <c r="Z2240" s="6"/>
      <c r="AA2240" s="5" t="s">
        <v>17244</v>
      </c>
    </row>
    <row r="2241" ht="14.25">
      <c r="B2241" s="4" t="s">
        <v>17245</v>
      </c>
      <c r="C2241" s="4" t="s">
        <v>17236</v>
      </c>
      <c r="D2241" s="4" t="s">
        <v>17246</v>
      </c>
      <c r="E2241" s="4" t="s">
        <v>17247</v>
      </c>
      <c r="F2241" s="4" t="s">
        <v>17248</v>
      </c>
      <c r="G2241" s="4" t="s">
        <v>17249</v>
      </c>
      <c r="H2241" s="4" t="str">
        <f>IFERROR(__XLUDF.DUMMYFUNCTION("PROPER(REGEXREPLACE(G818,""[^A-Za-z]+ "",""""))"),"Genius Loci")</f>
        <v xml:space="preserve">Genius Loci</v>
      </c>
      <c r="I2241" s="5" t="s">
        <v>17250</v>
      </c>
      <c r="J2241" s="4" t="s">
        <v>1745</v>
      </c>
      <c r="K2241" s="4" t="s">
        <v>9460</v>
      </c>
      <c r="L2241" s="4" t="s">
        <v>29</v>
      </c>
      <c r="M2241" s="4" t="s">
        <v>9239</v>
      </c>
      <c r="N2241" s="4" t="str">
        <f>IFERROR(__XLUDF.DUMMYFUNCTION("VLOOKUP(M818,IMPORTRANGE(""https://docs.google.com/spreadsheets/d/1opm6ZNvGZ7KditA9TuJwrZ25eFLfTNIkrNnY6mhV5Eg"",""list!A1:C115""),3,TRUE)"),"le secteur de la construction")</f>
        <v xml:space="preserve">le secteur de la construction</v>
      </c>
      <c r="O2241" s="4" t="s">
        <v>17251</v>
      </c>
      <c r="P2241" s="4">
        <v>15</v>
      </c>
      <c r="Q2241" s="4" t="s">
        <v>1745</v>
      </c>
      <c r="R2241" s="4" t="s">
        <v>9460</v>
      </c>
      <c r="S2241" s="4" t="s">
        <v>29</v>
      </c>
      <c r="T2241" s="5" t="s">
        <v>17252</v>
      </c>
      <c r="U2241" s="6"/>
      <c r="V2241" s="5" t="s">
        <v>17253</v>
      </c>
      <c r="W2241" s="6"/>
      <c r="X2241" s="6"/>
      <c r="Y2241" s="4" t="s">
        <v>17254</v>
      </c>
      <c r="Z2241" s="6"/>
      <c r="AA2241" s="5" t="s">
        <v>17255</v>
      </c>
    </row>
    <row r="2242" ht="14.25">
      <c r="B2242" s="4" t="s">
        <v>17256</v>
      </c>
      <c r="C2242" s="4" t="s">
        <v>17257</v>
      </c>
      <c r="D2242" s="4" t="s">
        <v>17258</v>
      </c>
      <c r="E2242" s="4" t="s">
        <v>17259</v>
      </c>
      <c r="F2242" s="4" t="s">
        <v>62</v>
      </c>
      <c r="G2242" s="4" t="s">
        <v>17260</v>
      </c>
      <c r="H2242" s="4" t="str">
        <f>IFERROR(__XLUDF.DUMMYFUNCTION("PROPER(REGEXREPLACE(G819,""[^A-Za-z]+ "",""""))"),"Sama")</f>
        <v>Sama</v>
      </c>
      <c r="I2242" s="5" t="s">
        <v>17261</v>
      </c>
      <c r="J2242" s="4" t="s">
        <v>17262</v>
      </c>
      <c r="K2242" s="4" t="s">
        <v>9193</v>
      </c>
      <c r="L2242" s="4" t="s">
        <v>29</v>
      </c>
      <c r="M2242" s="4" t="s">
        <v>2602</v>
      </c>
      <c r="N2242" s="4" t="str">
        <f>IFERROR(__XLUDF.DUMMYFUNCTION("VLOOKUP(M819,IMPORTRANGE(""https://docs.google.com/spreadsheets/d/1opm6ZNvGZ7KditA9TuJwrZ25eFLfTNIkrNnY6mhV5Eg"",""list!A1:C115""),3,TRUE)"),"le secteur de la tech")</f>
        <v xml:space="preserve">le secteur de la tech</v>
      </c>
      <c r="O2242" s="6"/>
      <c r="P2242" s="4">
        <v>10</v>
      </c>
      <c r="Q2242" s="6"/>
      <c r="R2242" s="4" t="s">
        <v>17263</v>
      </c>
      <c r="S2242" s="4" t="s">
        <v>1548</v>
      </c>
      <c r="T2242" s="5" t="s">
        <v>17264</v>
      </c>
      <c r="U2242" s="6"/>
      <c r="V2242" s="6"/>
      <c r="W2242" s="6"/>
      <c r="X2242" s="6"/>
      <c r="Y2242" s="4" t="s">
        <v>17265</v>
      </c>
      <c r="Z2242" s="6"/>
      <c r="AA2242" s="5" t="s">
        <v>17266</v>
      </c>
    </row>
    <row r="2243" ht="14.25">
      <c r="B2243" s="4" t="s">
        <v>17267</v>
      </c>
      <c r="C2243" s="4" t="s">
        <v>178</v>
      </c>
      <c r="D2243" s="4" t="s">
        <v>17268</v>
      </c>
      <c r="E2243" s="4" t="s">
        <v>17269</v>
      </c>
      <c r="F2243" s="4" t="s">
        <v>17270</v>
      </c>
      <c r="G2243" s="4" t="s">
        <v>17271</v>
      </c>
      <c r="H2243" s="4" t="str">
        <f>IFERROR(__XLUDF.DUMMYFUNCTION("PROPER(REGEXREPLACE(G820,""[^A-Za-z]+ "",""""))"),"Thewatchdog")</f>
        <v>Thewatchdog</v>
      </c>
      <c r="I2243" s="5" t="s">
        <v>17272</v>
      </c>
      <c r="J2243" s="4" t="s">
        <v>39</v>
      </c>
      <c r="K2243" s="4" t="s">
        <v>9160</v>
      </c>
      <c r="L2243" s="4" t="s">
        <v>29</v>
      </c>
      <c r="M2243" s="4" t="s">
        <v>2602</v>
      </c>
      <c r="N2243" s="4" t="str">
        <f>IFERROR(__XLUDF.DUMMYFUNCTION("VLOOKUP(M820,IMPORTRANGE(""https://docs.google.com/spreadsheets/d/1opm6ZNvGZ7KditA9TuJwrZ25eFLfTNIkrNnY6mhV5Eg"",""list!A1:C115""),3,TRUE)"),"le secteur de la tech")</f>
        <v xml:space="preserve">le secteur de la tech</v>
      </c>
      <c r="O2243" s="4" t="s">
        <v>17273</v>
      </c>
      <c r="P2243" s="4">
        <v>12</v>
      </c>
      <c r="Q2243" s="4" t="s">
        <v>140</v>
      </c>
      <c r="R2243" s="4" t="s">
        <v>9160</v>
      </c>
      <c r="S2243" s="4" t="s">
        <v>29</v>
      </c>
      <c r="T2243" s="5" t="s">
        <v>17274</v>
      </c>
      <c r="U2243" s="6"/>
      <c r="V2243" s="6"/>
      <c r="W2243" s="6"/>
      <c r="X2243" s="6"/>
      <c r="Y2243" s="4" t="s">
        <v>17275</v>
      </c>
      <c r="Z2243" s="6"/>
      <c r="AA2243" s="5" t="s">
        <v>17276</v>
      </c>
    </row>
    <row r="2244" ht="14.25">
      <c r="B2244" s="4" t="s">
        <v>17277</v>
      </c>
      <c r="C2244" s="4" t="s">
        <v>1732</v>
      </c>
      <c r="D2244" s="4" t="s">
        <v>17278</v>
      </c>
      <c r="E2244" s="4" t="s">
        <v>17279</v>
      </c>
      <c r="F2244" s="4" t="s">
        <v>112</v>
      </c>
      <c r="G2244" s="4" t="s">
        <v>17280</v>
      </c>
      <c r="H2244" s="4" t="str">
        <f>IFERROR(__XLUDF.DUMMYFUNCTION("PROPER(REGEXREPLACE(G821,""[^A-Za-z]+ "",""""))"),"L.M.C.S")</f>
        <v>L.M.C.S</v>
      </c>
      <c r="I2244" s="5" t="s">
        <v>17281</v>
      </c>
      <c r="J2244" s="4" t="s">
        <v>12445</v>
      </c>
      <c r="K2244" s="4" t="s">
        <v>9460</v>
      </c>
      <c r="L2244" s="4" t="s">
        <v>29</v>
      </c>
      <c r="M2244" s="4" t="s">
        <v>4525</v>
      </c>
      <c r="N2244" s="4" t="str">
        <f>IFERROR(__XLUDF.DUMMYFUNCTION("VLOOKUP(M821,IMPORTRANGE(""https://docs.google.com/spreadsheets/d/1opm6ZNvGZ7KditA9TuJwrZ25eFLfTNIkrNnY6mhV5Eg"",""list!A1:C115""),3,TRUE)"),"le secteur du retail")</f>
        <v xml:space="preserve">le secteur du retail</v>
      </c>
      <c r="O2244" s="6"/>
      <c r="P2244" s="4">
        <v>10</v>
      </c>
      <c r="Q2244" s="4" t="s">
        <v>12445</v>
      </c>
      <c r="R2244" s="4" t="s">
        <v>9460</v>
      </c>
      <c r="S2244" s="4" t="s">
        <v>29</v>
      </c>
      <c r="T2244" s="5" t="s">
        <v>17282</v>
      </c>
      <c r="U2244" s="6"/>
      <c r="V2244" s="5" t="s">
        <v>17283</v>
      </c>
      <c r="W2244" s="6"/>
      <c r="X2244" s="6"/>
      <c r="Y2244" s="4" t="s">
        <v>17284</v>
      </c>
      <c r="Z2244" s="6"/>
      <c r="AA2244" s="5" t="s">
        <v>17285</v>
      </c>
    </row>
    <row r="2245" ht="14.25">
      <c r="B2245" s="4" t="s">
        <v>17286</v>
      </c>
      <c r="C2245" s="4" t="s">
        <v>1732</v>
      </c>
      <c r="D2245" s="4" t="s">
        <v>17287</v>
      </c>
      <c r="E2245" s="4" t="s">
        <v>17288</v>
      </c>
      <c r="F2245" s="4" t="s">
        <v>9849</v>
      </c>
      <c r="G2245" s="4" t="s">
        <v>16636</v>
      </c>
      <c r="H2245" s="4" t="str">
        <f>IFERROR(__XLUDF.DUMMYFUNCTION("PROPER(REGEXREPLACE(G822,""[^A-Za-z]+ "",""""))"),"Endogène")</f>
        <v>Endogène</v>
      </c>
      <c r="I2245" s="4" t="s">
        <v>16637</v>
      </c>
      <c r="J2245" s="4" t="s">
        <v>185</v>
      </c>
      <c r="K2245" s="4" t="s">
        <v>9193</v>
      </c>
      <c r="L2245" s="4" t="s">
        <v>29</v>
      </c>
      <c r="M2245" s="4" t="s">
        <v>4067</v>
      </c>
      <c r="N2245" s="4" t="str">
        <f>IFERROR(__XLUDF.DUMMYFUNCTION("VLOOKUP(M822,IMPORTRANGE(""https://docs.google.com/spreadsheets/d/1opm6ZNvGZ7KditA9TuJwrZ25eFLfTNIkrNnY6mhV5Eg"",""list!A1:C115""),3,TRUE)"),"le secteur du conseil en management")</f>
        <v xml:space="preserve">le secteur du conseil en management</v>
      </c>
      <c r="O2245" s="6"/>
      <c r="P2245" s="4">
        <v>12</v>
      </c>
      <c r="Q2245" s="4" t="s">
        <v>185</v>
      </c>
      <c r="R2245" s="4" t="s">
        <v>9193</v>
      </c>
      <c r="S2245" s="4" t="s">
        <v>29</v>
      </c>
      <c r="T2245" s="5" t="s">
        <v>16638</v>
      </c>
      <c r="U2245" s="6"/>
      <c r="V2245" s="6"/>
      <c r="W2245" s="6"/>
      <c r="X2245" s="6"/>
      <c r="Y2245" s="4" t="s">
        <v>16639</v>
      </c>
      <c r="Z2245" s="6"/>
      <c r="AA2245" s="5" t="s">
        <v>17289</v>
      </c>
    </row>
    <row r="2246" ht="14.25">
      <c r="B2246" s="4" t="s">
        <v>17290</v>
      </c>
      <c r="C2246" s="4" t="s">
        <v>1732</v>
      </c>
      <c r="D2246" s="4" t="s">
        <v>17291</v>
      </c>
      <c r="E2246" s="4" t="s">
        <v>17292</v>
      </c>
      <c r="F2246" s="4" t="s">
        <v>17293</v>
      </c>
      <c r="G2246" s="4" t="s">
        <v>17294</v>
      </c>
      <c r="H2246" s="4" t="str">
        <f>IFERROR(__XLUDF.DUMMYFUNCTION("PROPER(REGEXREPLACE(G823,""[^A-Za-z]+ "",""""))"),"Ks2")</f>
        <v>Ks2</v>
      </c>
      <c r="I2246" s="5" t="s">
        <v>17295</v>
      </c>
      <c r="J2246" s="4" t="s">
        <v>1312</v>
      </c>
      <c r="K2246" s="4" t="s">
        <v>9350</v>
      </c>
      <c r="L2246" s="4" t="s">
        <v>29</v>
      </c>
      <c r="M2246" s="4" t="s">
        <v>2602</v>
      </c>
      <c r="N2246" s="4" t="str">
        <f>IFERROR(__XLUDF.DUMMYFUNCTION("VLOOKUP(M823,IMPORTRANGE(""https://docs.google.com/spreadsheets/d/1opm6ZNvGZ7KditA9TuJwrZ25eFLfTNIkrNnY6mhV5Eg"",""list!A1:C115""),3,TRUE)"),"le secteur de la tech")</f>
        <v xml:space="preserve">le secteur de la tech</v>
      </c>
      <c r="O2246" s="4" t="s">
        <v>17296</v>
      </c>
      <c r="P2246" s="4">
        <v>15</v>
      </c>
      <c r="Q2246" s="4" t="s">
        <v>1312</v>
      </c>
      <c r="R2246" s="4" t="s">
        <v>9350</v>
      </c>
      <c r="S2246" s="4" t="s">
        <v>29</v>
      </c>
      <c r="T2246" s="5" t="s">
        <v>17297</v>
      </c>
      <c r="U2246" s="6"/>
      <c r="V2246" s="6"/>
      <c r="W2246" s="6"/>
      <c r="X2246" s="6"/>
      <c r="Y2246" s="4" t="s">
        <v>17298</v>
      </c>
      <c r="Z2246" s="6"/>
      <c r="AA2246" s="5" t="s">
        <v>17299</v>
      </c>
    </row>
    <row r="2247" ht="14.25">
      <c r="B2247" s="4" t="s">
        <v>17300</v>
      </c>
      <c r="C2247" s="4" t="s">
        <v>1732</v>
      </c>
      <c r="D2247" s="4" t="s">
        <v>17301</v>
      </c>
      <c r="E2247" s="4" t="s">
        <v>17302</v>
      </c>
      <c r="F2247" s="4" t="s">
        <v>17303</v>
      </c>
      <c r="G2247" s="4" t="s">
        <v>17304</v>
      </c>
      <c r="H2247" s="4" t="str">
        <f>IFERROR(__XLUDF.DUMMYFUNCTION("PROPER(REGEXREPLACE(G824,""[^A-Za-z]+ "",""""))"),"Berga")</f>
        <v>Berga</v>
      </c>
      <c r="I2247" s="5" t="s">
        <v>17305</v>
      </c>
      <c r="J2247" s="4" t="s">
        <v>185</v>
      </c>
      <c r="K2247" s="4" t="s">
        <v>9193</v>
      </c>
      <c r="L2247" s="4" t="s">
        <v>29</v>
      </c>
      <c r="M2247" s="4" t="s">
        <v>9239</v>
      </c>
      <c r="N2247" s="4" t="str">
        <f>IFERROR(__XLUDF.DUMMYFUNCTION("VLOOKUP(M824,IMPORTRANGE(""https://docs.google.com/spreadsheets/d/1opm6ZNvGZ7KditA9TuJwrZ25eFLfTNIkrNnY6mhV5Eg"",""list!A1:C115""),3,TRUE)"),"le secteur de la construction")</f>
        <v xml:space="preserve">le secteur de la construction</v>
      </c>
      <c r="O2247" s="4" t="s">
        <v>17306</v>
      </c>
      <c r="P2247" s="4">
        <v>13</v>
      </c>
      <c r="Q2247" s="4" t="s">
        <v>185</v>
      </c>
      <c r="R2247" s="4" t="s">
        <v>9172</v>
      </c>
      <c r="S2247" s="4" t="s">
        <v>29</v>
      </c>
      <c r="T2247" s="5" t="s">
        <v>17307</v>
      </c>
      <c r="U2247" s="6"/>
      <c r="V2247" s="6"/>
      <c r="W2247" s="6"/>
      <c r="X2247" s="6"/>
      <c r="Y2247" s="4" t="s">
        <v>17308</v>
      </c>
      <c r="Z2247" s="6"/>
      <c r="AA2247" s="5" t="s">
        <v>17309</v>
      </c>
    </row>
    <row r="2248" ht="14.25">
      <c r="B2248" s="4" t="s">
        <v>17310</v>
      </c>
      <c r="C2248" s="4" t="s">
        <v>1732</v>
      </c>
      <c r="D2248" s="4" t="s">
        <v>17311</v>
      </c>
      <c r="E2248" s="4" t="s">
        <v>17312</v>
      </c>
      <c r="F2248" s="4" t="s">
        <v>17313</v>
      </c>
      <c r="G2248" s="4" t="s">
        <v>17314</v>
      </c>
      <c r="H2248" s="4" t="str">
        <f>IFERROR(__XLUDF.DUMMYFUNCTION("PROPER(REGEXREPLACE(G825,""[^A-Za-z]+ "",""""))"),"Awinsi")</f>
        <v>Awinsi</v>
      </c>
      <c r="I2248" s="5" t="s">
        <v>17315</v>
      </c>
      <c r="J2248" s="6"/>
      <c r="K2248" s="4" t="s">
        <v>9251</v>
      </c>
      <c r="L2248" s="4" t="s">
        <v>29</v>
      </c>
      <c r="M2248" s="4" t="s">
        <v>4067</v>
      </c>
      <c r="N2248" s="4" t="str">
        <f>IFERROR(__XLUDF.DUMMYFUNCTION("VLOOKUP(M825,IMPORTRANGE(""https://docs.google.com/spreadsheets/d/1opm6ZNvGZ7KditA9TuJwrZ25eFLfTNIkrNnY6mhV5Eg"",""list!A1:C115""),3,TRUE)"),"le secteur du conseil en management")</f>
        <v xml:space="preserve">le secteur du conseil en management</v>
      </c>
      <c r="O2248" s="4" t="s">
        <v>17316</v>
      </c>
      <c r="P2248" s="4">
        <v>14</v>
      </c>
      <c r="Q2248" s="4" t="s">
        <v>39</v>
      </c>
      <c r="R2248" s="4" t="s">
        <v>9160</v>
      </c>
      <c r="S2248" s="4" t="s">
        <v>29</v>
      </c>
      <c r="T2248" s="5" t="s">
        <v>17317</v>
      </c>
      <c r="U2248" s="5" t="s">
        <v>17318</v>
      </c>
      <c r="V2248" s="5" t="s">
        <v>17319</v>
      </c>
      <c r="W2248" s="6"/>
      <c r="X2248" s="6"/>
      <c r="Y2248" s="4" t="s">
        <v>17320</v>
      </c>
      <c r="Z2248" s="6"/>
      <c r="AA2248" s="5" t="s">
        <v>17321</v>
      </c>
    </row>
    <row r="2249" ht="14.25">
      <c r="B2249" s="4" t="s">
        <v>17322</v>
      </c>
      <c r="C2249" s="4" t="s">
        <v>1732</v>
      </c>
      <c r="D2249" s="4" t="s">
        <v>17323</v>
      </c>
      <c r="E2249" s="4" t="s">
        <v>17324</v>
      </c>
      <c r="F2249" s="4" t="s">
        <v>7759</v>
      </c>
      <c r="G2249" s="4" t="s">
        <v>17325</v>
      </c>
      <c r="H2249" s="4" t="str">
        <f>IFERROR(__XLUDF.DUMMYFUNCTION("PROPER(REGEXREPLACE(G826,""[^A-Za-z]+ "",""""))"),"Bosmy")</f>
        <v>Bosmy</v>
      </c>
      <c r="I2249" s="5" t="s">
        <v>17326</v>
      </c>
      <c r="J2249" s="4" t="s">
        <v>492</v>
      </c>
      <c r="K2249" s="4" t="s">
        <v>9267</v>
      </c>
      <c r="L2249" s="4" t="s">
        <v>29</v>
      </c>
      <c r="M2249" s="4" t="s">
        <v>9239</v>
      </c>
      <c r="N2249" s="4" t="str">
        <f>IFERROR(__XLUDF.DUMMYFUNCTION("VLOOKUP(M826,IMPORTRANGE(""https://docs.google.com/spreadsheets/d/1opm6ZNvGZ7KditA9TuJwrZ25eFLfTNIkrNnY6mhV5Eg"",""list!A1:C115""),3,TRUE)"),"le secteur de la construction")</f>
        <v xml:space="preserve">le secteur de la construction</v>
      </c>
      <c r="O2249" s="6"/>
      <c r="P2249" s="4">
        <v>39</v>
      </c>
      <c r="Q2249" s="4" t="s">
        <v>17327</v>
      </c>
      <c r="R2249" s="4" t="s">
        <v>10370</v>
      </c>
      <c r="S2249" s="4" t="s">
        <v>29</v>
      </c>
      <c r="T2249" s="5" t="s">
        <v>17328</v>
      </c>
      <c r="U2249" s="6"/>
      <c r="V2249" s="5" t="s">
        <v>17329</v>
      </c>
      <c r="W2249" s="6"/>
      <c r="X2249" s="6"/>
      <c r="Y2249" s="4">
        <v>1</v>
      </c>
      <c r="Z2249" s="6"/>
      <c r="AA2249" s="5" t="s">
        <v>17330</v>
      </c>
    </row>
    <row r="2250" ht="14.25">
      <c r="B2250" s="4" t="s">
        <v>17331</v>
      </c>
      <c r="C2250" s="4" t="s">
        <v>1732</v>
      </c>
      <c r="D2250" s="4" t="s">
        <v>1648</v>
      </c>
      <c r="E2250" s="4" t="s">
        <v>17332</v>
      </c>
      <c r="F2250" s="4" t="s">
        <v>17333</v>
      </c>
      <c r="G2250" s="4" t="s">
        <v>9839</v>
      </c>
      <c r="H2250" s="4" t="str">
        <f>IFERROR(__XLUDF.DUMMYFUNCTION("PROPER(REGEXREPLACE(G827,""[^A-Za-z]+ "",""""))"),"Sidekicks")</f>
        <v>Sidekicks</v>
      </c>
      <c r="I2250" s="5" t="s">
        <v>9840</v>
      </c>
      <c r="J2250" s="6"/>
      <c r="K2250" s="6"/>
      <c r="L2250" s="4" t="s">
        <v>29</v>
      </c>
      <c r="M2250" s="4" t="s">
        <v>4067</v>
      </c>
      <c r="N2250" s="4" t="str">
        <f>IFERROR(__XLUDF.DUMMYFUNCTION("VLOOKUP(M827,IMPORTRANGE(""https://docs.google.com/spreadsheets/d/1opm6ZNvGZ7KditA9TuJwrZ25eFLfTNIkrNnY6mhV5Eg"",""list!A1:C115""),3,TRUE)"),"le secteur du conseil en management")</f>
        <v xml:space="preserve">le secteur du conseil en management</v>
      </c>
      <c r="O2250" s="4" t="s">
        <v>9841</v>
      </c>
      <c r="P2250" s="4">
        <v>12</v>
      </c>
      <c r="Q2250" s="4" t="s">
        <v>39</v>
      </c>
      <c r="R2250" s="4" t="s">
        <v>9160</v>
      </c>
      <c r="S2250" s="4" t="s">
        <v>29</v>
      </c>
      <c r="T2250" s="5" t="s">
        <v>9842</v>
      </c>
      <c r="U2250" s="6"/>
      <c r="V2250" s="6"/>
      <c r="W2250" s="6"/>
      <c r="X2250" s="6"/>
      <c r="Y2250" s="4" t="s">
        <v>9844</v>
      </c>
      <c r="Z2250" s="6"/>
      <c r="AA2250" s="5" t="s">
        <v>17334</v>
      </c>
    </row>
    <row r="2251" ht="14.25">
      <c r="B2251" s="4" t="s">
        <v>17335</v>
      </c>
      <c r="C2251" s="4" t="s">
        <v>1732</v>
      </c>
      <c r="D2251" s="4" t="s">
        <v>17336</v>
      </c>
      <c r="E2251" s="4" t="s">
        <v>17337</v>
      </c>
      <c r="F2251" s="4" t="s">
        <v>7759</v>
      </c>
      <c r="G2251" s="4" t="s">
        <v>17338</v>
      </c>
      <c r="H2251" s="4" t="str">
        <f>IFERROR(__XLUDF.DUMMYFUNCTION("PROPER(REGEXREPLACE(G828,""[^A-Za-z]+ "",""""))"),"Va Telecom")</f>
        <v xml:space="preserve">Va Telecom</v>
      </c>
      <c r="I2251" s="5" t="s">
        <v>17339</v>
      </c>
      <c r="J2251" s="4" t="s">
        <v>1711</v>
      </c>
      <c r="K2251" s="4" t="s">
        <v>9350</v>
      </c>
      <c r="L2251" s="4" t="s">
        <v>29</v>
      </c>
      <c r="M2251" s="4" t="s">
        <v>9184</v>
      </c>
      <c r="N2251" s="4" t="str">
        <f>IFERROR(__XLUDF.DUMMYFUNCTION("VLOOKUP(M828,IMPORTRANGE(""https://docs.google.com/spreadsheets/d/1opm6ZNvGZ7KditA9TuJwrZ25eFLfTNIkrNnY6mhV5Eg"",""list!A1:C115""),3,TRUE)"),"le secteur des télécommunications")</f>
        <v xml:space="preserve">le secteur des télécommunications</v>
      </c>
      <c r="O2251" s="4" t="s">
        <v>17340</v>
      </c>
      <c r="P2251" s="4">
        <v>27</v>
      </c>
      <c r="Q2251" s="4" t="s">
        <v>11171</v>
      </c>
      <c r="R2251" s="4" t="s">
        <v>9350</v>
      </c>
      <c r="S2251" s="4" t="s">
        <v>29</v>
      </c>
      <c r="T2251" s="5" t="s">
        <v>17341</v>
      </c>
      <c r="U2251" s="6"/>
      <c r="V2251" s="6"/>
      <c r="W2251" s="6"/>
      <c r="X2251" s="6"/>
      <c r="Y2251" s="4" t="s">
        <v>17342</v>
      </c>
      <c r="Z2251" s="6"/>
      <c r="AA2251" s="5" t="s">
        <v>17343</v>
      </c>
    </row>
    <row r="2252" ht="14.25">
      <c r="B2252" s="4" t="s">
        <v>17344</v>
      </c>
      <c r="C2252" s="4" t="s">
        <v>1732</v>
      </c>
      <c r="D2252" s="4" t="s">
        <v>17345</v>
      </c>
      <c r="E2252" s="4" t="s">
        <v>17346</v>
      </c>
      <c r="F2252" s="4" t="s">
        <v>17347</v>
      </c>
      <c r="G2252" s="4" t="s">
        <v>17348</v>
      </c>
      <c r="H2252" s="4" t="str">
        <f>IFERROR(__XLUDF.DUMMYFUNCTION("PROPER(REGEXREPLACE(G829,""[^A-Za-z]+ "",""""))"),"Cre'Actuel")</f>
        <v>Cre'Actuel</v>
      </c>
      <c r="I2252" s="5" t="s">
        <v>17349</v>
      </c>
      <c r="J2252" s="4" t="s">
        <v>17350</v>
      </c>
      <c r="K2252" s="4" t="s">
        <v>9227</v>
      </c>
      <c r="L2252" s="4" t="s">
        <v>29</v>
      </c>
      <c r="M2252" s="4" t="s">
        <v>9239</v>
      </c>
      <c r="N2252" s="4" t="str">
        <f>IFERROR(__XLUDF.DUMMYFUNCTION("VLOOKUP(M829,IMPORTRANGE(""https://docs.google.com/spreadsheets/d/1opm6ZNvGZ7KditA9TuJwrZ25eFLfTNIkrNnY6mhV5Eg"",""list!A1:C115""),3,TRUE)"),"le secteur de la construction")</f>
        <v xml:space="preserve">le secteur de la construction</v>
      </c>
      <c r="O2252" s="6"/>
      <c r="P2252" s="4">
        <v>24</v>
      </c>
      <c r="Q2252" s="4" t="s">
        <v>5329</v>
      </c>
      <c r="R2252" s="4" t="s">
        <v>9227</v>
      </c>
      <c r="S2252" s="4" t="s">
        <v>29</v>
      </c>
      <c r="T2252" s="5" t="s">
        <v>17351</v>
      </c>
      <c r="U2252" s="6"/>
      <c r="V2252" s="5" t="s">
        <v>17352</v>
      </c>
      <c r="W2252" s="6"/>
      <c r="X2252" s="6"/>
      <c r="Y2252" s="4" t="s">
        <v>17353</v>
      </c>
      <c r="Z2252" s="6"/>
      <c r="AA2252" s="5" t="s">
        <v>17354</v>
      </c>
    </row>
    <row r="2253" ht="14.25">
      <c r="B2253" s="4" t="s">
        <v>17355</v>
      </c>
      <c r="C2253" s="4" t="s">
        <v>3752</v>
      </c>
      <c r="D2253" s="4" t="s">
        <v>539</v>
      </c>
      <c r="E2253" s="4" t="s">
        <v>17356</v>
      </c>
      <c r="F2253" s="4" t="s">
        <v>198</v>
      </c>
      <c r="G2253" s="4" t="s">
        <v>17357</v>
      </c>
      <c r="H2253" s="4" t="str">
        <f>IFERROR(__XLUDF.DUMMYFUNCTION("PROPER(REGEXREPLACE(G830,""[^A-Za-z]+ "",""""))"),"Ekipea")</f>
        <v>Ekipea</v>
      </c>
      <c r="I2253" s="6"/>
      <c r="J2253" s="4" t="s">
        <v>17358</v>
      </c>
      <c r="K2253" s="4" t="s">
        <v>9215</v>
      </c>
      <c r="L2253" s="4" t="s">
        <v>29</v>
      </c>
      <c r="M2253" s="4" t="s">
        <v>2602</v>
      </c>
      <c r="N2253" s="4" t="str">
        <f>IFERROR(__XLUDF.DUMMYFUNCTION("VLOOKUP(M830,IMPORTRANGE(""https://docs.google.com/spreadsheets/d/1opm6ZNvGZ7KditA9TuJwrZ25eFLfTNIkrNnY6mhV5Eg"",""list!A1:C115""),3,TRUE)"),"le secteur de la tech")</f>
        <v xml:space="preserve">le secteur de la tech</v>
      </c>
      <c r="O2253" s="6"/>
      <c r="P2253" s="4">
        <v>13</v>
      </c>
      <c r="Q2253" s="4" t="s">
        <v>17359</v>
      </c>
      <c r="R2253" s="4" t="s">
        <v>9215</v>
      </c>
      <c r="S2253" s="4" t="s">
        <v>29</v>
      </c>
      <c r="T2253" s="5" t="s">
        <v>17360</v>
      </c>
      <c r="U2253" s="6"/>
      <c r="V2253" s="6"/>
      <c r="W2253" s="6"/>
      <c r="X2253" s="6"/>
      <c r="Y2253" s="6"/>
      <c r="Z2253" s="6"/>
      <c r="AA2253" s="5" t="s">
        <v>17361</v>
      </c>
    </row>
    <row r="2254" ht="14.25">
      <c r="B2254" s="4" t="s">
        <v>17362</v>
      </c>
      <c r="C2254" s="4" t="s">
        <v>3752</v>
      </c>
      <c r="D2254" s="4" t="s">
        <v>17363</v>
      </c>
      <c r="E2254" s="4" t="s">
        <v>17364</v>
      </c>
      <c r="F2254" s="4" t="s">
        <v>2636</v>
      </c>
      <c r="G2254" s="4" t="s">
        <v>17365</v>
      </c>
      <c r="H2254" s="4" t="str">
        <f>IFERROR(__XLUDF.DUMMYFUNCTION("PROPER(REGEXREPLACE(G831,""[^A-Za-z]+ "",""""))"),"Agroqual Laboratoire")</f>
        <v xml:space="preserve">Agroqual Laboratoire</v>
      </c>
      <c r="I2254" s="5" t="s">
        <v>17366</v>
      </c>
      <c r="J2254" s="4" t="s">
        <v>6954</v>
      </c>
      <c r="K2254" s="4" t="s">
        <v>9484</v>
      </c>
      <c r="L2254" s="4" t="s">
        <v>29</v>
      </c>
      <c r="M2254" s="4" t="s">
        <v>4067</v>
      </c>
      <c r="N2254" s="4" t="str">
        <f>IFERROR(__XLUDF.DUMMYFUNCTION("VLOOKUP(M831,IMPORTRANGE(""https://docs.google.com/spreadsheets/d/1opm6ZNvGZ7KditA9TuJwrZ25eFLfTNIkrNnY6mhV5Eg"",""list!A1:C115""),3,TRUE)"),"le secteur du conseil en management")</f>
        <v xml:space="preserve">le secteur du conseil en management</v>
      </c>
      <c r="O2254" s="4" t="s">
        <v>17367</v>
      </c>
      <c r="P2254" s="4">
        <v>15</v>
      </c>
      <c r="Q2254" s="4" t="s">
        <v>17368</v>
      </c>
      <c r="R2254" s="4" t="s">
        <v>9484</v>
      </c>
      <c r="S2254" s="4" t="s">
        <v>29</v>
      </c>
      <c r="T2254" s="5" t="s">
        <v>17369</v>
      </c>
      <c r="U2254" s="6"/>
      <c r="V2254" s="6"/>
      <c r="W2254" s="6"/>
      <c r="X2254" s="6"/>
      <c r="Y2254" s="4" t="s">
        <v>17370</v>
      </c>
      <c r="Z2254" s="6"/>
      <c r="AA2254" s="5" t="s">
        <v>17371</v>
      </c>
    </row>
    <row r="2255" ht="14.25">
      <c r="B2255" s="4" t="s">
        <v>17372</v>
      </c>
      <c r="C2255" s="4" t="s">
        <v>3752</v>
      </c>
      <c r="D2255" s="4" t="s">
        <v>2105</v>
      </c>
      <c r="E2255" s="4" t="s">
        <v>17373</v>
      </c>
      <c r="F2255" s="4" t="s">
        <v>17374</v>
      </c>
      <c r="G2255" s="4" t="s">
        <v>17375</v>
      </c>
      <c r="H2255" s="4" t="str">
        <f>IFERROR(__XLUDF.DUMMYFUNCTION("PROPER(REGEXREPLACE(G832,""[^A-Za-z]+ "",""""))"),"Lcom")</f>
        <v>Lcom</v>
      </c>
      <c r="I2255" s="5" t="s">
        <v>17376</v>
      </c>
      <c r="J2255" s="4" t="s">
        <v>2650</v>
      </c>
      <c r="K2255" s="4" t="s">
        <v>9350</v>
      </c>
      <c r="L2255" s="4" t="s">
        <v>29</v>
      </c>
      <c r="M2255" s="4" t="s">
        <v>9161</v>
      </c>
      <c r="N2255" s="4" t="str">
        <f>IFERROR(__XLUDF.DUMMYFUNCTION("VLOOKUP(M832,IMPORTRANGE(""https://docs.google.com/spreadsheets/d/1opm6ZNvGZ7KditA9TuJwrZ25eFLfTNIkrNnY6mhV5Eg"",""list!A1:C115""),3,TRUE)"),"le secteur du marketing")</f>
        <v xml:space="preserve">le secteur du marketing</v>
      </c>
      <c r="O2255" s="4" t="s">
        <v>17377</v>
      </c>
      <c r="P2255" s="4">
        <v>25</v>
      </c>
      <c r="Q2255" s="4" t="s">
        <v>2650</v>
      </c>
      <c r="R2255" s="4" t="s">
        <v>9350</v>
      </c>
      <c r="S2255" s="4" t="s">
        <v>29</v>
      </c>
      <c r="T2255" s="5" t="s">
        <v>17378</v>
      </c>
      <c r="U2255" s="6"/>
      <c r="V2255" s="5" t="s">
        <v>17379</v>
      </c>
      <c r="W2255" s="6"/>
      <c r="X2255" s="6"/>
      <c r="Y2255" s="4" t="s">
        <v>17380</v>
      </c>
      <c r="Z2255" s="6"/>
      <c r="AA2255" s="5" t="s">
        <v>17381</v>
      </c>
    </row>
    <row r="2256" ht="14.25">
      <c r="B2256" s="4" t="s">
        <v>17382</v>
      </c>
      <c r="C2256" s="4" t="s">
        <v>17383</v>
      </c>
      <c r="D2256" s="4" t="s">
        <v>17384</v>
      </c>
      <c r="E2256" s="4" t="s">
        <v>17385</v>
      </c>
      <c r="F2256" s="4" t="s">
        <v>1130</v>
      </c>
      <c r="G2256" s="4" t="s">
        <v>17386</v>
      </c>
      <c r="H2256" s="4" t="str">
        <f>IFERROR(__XLUDF.DUMMYFUNCTION("PROPER(REGEXREPLACE(G833,""[^A-Za-z]+ "",""""))"),"Infotem")</f>
        <v>Infotem</v>
      </c>
      <c r="I2256" s="5" t="s">
        <v>17387</v>
      </c>
      <c r="J2256" s="4" t="s">
        <v>39</v>
      </c>
      <c r="K2256" s="4" t="s">
        <v>9160</v>
      </c>
      <c r="L2256" s="4" t="s">
        <v>29</v>
      </c>
      <c r="M2256" s="4" t="s">
        <v>2602</v>
      </c>
      <c r="N2256" s="4" t="str">
        <f>IFERROR(__XLUDF.DUMMYFUNCTION("VLOOKUP(M833,IMPORTRANGE(""https://docs.google.com/spreadsheets/d/1opm6ZNvGZ7KditA9TuJwrZ25eFLfTNIkrNnY6mhV5Eg"",""list!A1:C115""),3,TRUE)"),"le secteur de la tech")</f>
        <v xml:space="preserve">le secteur de la tech</v>
      </c>
      <c r="O2256" s="4" t="s">
        <v>17388</v>
      </c>
      <c r="P2256" s="4">
        <v>33</v>
      </c>
      <c r="Q2256" s="4" t="s">
        <v>39</v>
      </c>
      <c r="R2256" s="4" t="s">
        <v>9160</v>
      </c>
      <c r="S2256" s="4" t="s">
        <v>29</v>
      </c>
      <c r="T2256" s="5" t="s">
        <v>17389</v>
      </c>
      <c r="U2256" s="6"/>
      <c r="V2256" s="6"/>
      <c r="W2256" s="6"/>
      <c r="X2256" s="6"/>
      <c r="Y2256" s="4" t="s">
        <v>17390</v>
      </c>
      <c r="Z2256" s="6"/>
      <c r="AA2256" s="5" t="s">
        <v>17391</v>
      </c>
    </row>
    <row r="2257" ht="14.25">
      <c r="B2257" s="4" t="s">
        <v>17392</v>
      </c>
      <c r="C2257" s="4" t="s">
        <v>17383</v>
      </c>
      <c r="D2257" s="4" t="s">
        <v>17393</v>
      </c>
      <c r="E2257" s="4" t="s">
        <v>17394</v>
      </c>
      <c r="F2257" s="4" t="s">
        <v>17395</v>
      </c>
      <c r="G2257" s="4" t="s">
        <v>17396</v>
      </c>
      <c r="H2257" s="4" t="str">
        <f>IFERROR(__XLUDF.DUMMYFUNCTION("PROPER(REGEXREPLACE(G834,""[^A-Za-z]+ "",""""))"),"La Fabrikid")</f>
        <v xml:space="preserve">La Fabrikid</v>
      </c>
      <c r="I2257" s="5" t="s">
        <v>17397</v>
      </c>
      <c r="J2257" s="4" t="s">
        <v>651</v>
      </c>
      <c r="K2257" s="4" t="s">
        <v>9215</v>
      </c>
      <c r="L2257" s="4" t="s">
        <v>29</v>
      </c>
      <c r="M2257" s="4" t="s">
        <v>2602</v>
      </c>
      <c r="N2257" s="4" t="str">
        <f>IFERROR(__XLUDF.DUMMYFUNCTION("VLOOKUP(M834,IMPORTRANGE(""https://docs.google.com/spreadsheets/d/1opm6ZNvGZ7KditA9TuJwrZ25eFLfTNIkrNnY6mhV5Eg"",""list!A1:C115""),3,TRUE)"),"le secteur de la tech")</f>
        <v xml:space="preserve">le secteur de la tech</v>
      </c>
      <c r="O2257" s="6"/>
      <c r="P2257" s="4">
        <v>23</v>
      </c>
      <c r="Q2257" s="4" t="s">
        <v>17398</v>
      </c>
      <c r="R2257" s="4" t="s">
        <v>9215</v>
      </c>
      <c r="S2257" s="4" t="s">
        <v>29</v>
      </c>
      <c r="T2257" s="5" t="s">
        <v>17399</v>
      </c>
      <c r="U2257" s="6"/>
      <c r="V2257" s="6"/>
      <c r="W2257" s="6"/>
      <c r="X2257" s="6"/>
      <c r="Y2257" s="4" t="s">
        <v>17400</v>
      </c>
      <c r="Z2257" s="6"/>
      <c r="AA2257" s="5" t="s">
        <v>17401</v>
      </c>
    </row>
    <row r="2258" ht="14.25">
      <c r="B2258" s="4" t="s">
        <v>17402</v>
      </c>
      <c r="C2258" s="4" t="s">
        <v>17403</v>
      </c>
      <c r="D2258" s="4" t="s">
        <v>17404</v>
      </c>
      <c r="E2258" s="4" t="s">
        <v>17405</v>
      </c>
      <c r="F2258" s="4" t="s">
        <v>7759</v>
      </c>
      <c r="G2258" s="4" t="s">
        <v>17406</v>
      </c>
      <c r="H2258" s="4" t="str">
        <f>IFERROR(__XLUDF.DUMMYFUNCTION("PROPER(REGEXREPLACE(G835,""[^A-Za-z]+ "",""""))"),"Kadolis")</f>
        <v>Kadolis</v>
      </c>
      <c r="I2258" s="5" t="s">
        <v>17407</v>
      </c>
      <c r="J2258" s="4" t="s">
        <v>1312</v>
      </c>
      <c r="K2258" s="4" t="s">
        <v>9350</v>
      </c>
      <c r="L2258" s="4" t="s">
        <v>29</v>
      </c>
      <c r="M2258" s="4" t="s">
        <v>4525</v>
      </c>
      <c r="N2258" s="4" t="str">
        <f>IFERROR(__XLUDF.DUMMYFUNCTION("VLOOKUP(M835,IMPORTRANGE(""https://docs.google.com/spreadsheets/d/1opm6ZNvGZ7KditA9TuJwrZ25eFLfTNIkrNnY6mhV5Eg"",""list!A1:C115""),3,TRUE)"),"le secteur du retail")</f>
        <v xml:space="preserve">le secteur du retail</v>
      </c>
      <c r="O2258" s="4" t="s">
        <v>17408</v>
      </c>
      <c r="P2258" s="4">
        <v>15</v>
      </c>
      <c r="Q2258" s="4" t="s">
        <v>1312</v>
      </c>
      <c r="R2258" s="4" t="s">
        <v>9350</v>
      </c>
      <c r="S2258" s="4" t="s">
        <v>29</v>
      </c>
      <c r="T2258" s="5" t="s">
        <v>17409</v>
      </c>
      <c r="U2258" s="5" t="s">
        <v>17410</v>
      </c>
      <c r="V2258" s="5" t="s">
        <v>17411</v>
      </c>
      <c r="W2258" s="6"/>
      <c r="X2258" s="6"/>
      <c r="Y2258" s="4" t="s">
        <v>17412</v>
      </c>
      <c r="Z2258" s="6"/>
      <c r="AA2258" s="5" t="s">
        <v>17413</v>
      </c>
    </row>
    <row r="2259" ht="14.25">
      <c r="B2259" s="4" t="s">
        <v>17414</v>
      </c>
      <c r="C2259" s="4" t="s">
        <v>1732</v>
      </c>
      <c r="D2259" s="4" t="s">
        <v>7032</v>
      </c>
      <c r="E2259" s="4" t="s">
        <v>17415</v>
      </c>
      <c r="F2259" s="4" t="s">
        <v>17416</v>
      </c>
      <c r="G2259" s="4" t="s">
        <v>17417</v>
      </c>
      <c r="H2259" s="4" t="str">
        <f>IFERROR(__XLUDF.DUMMYFUNCTION("PROPER(REGEXREPLACE(G836,""[^A-Za-z]+ "",""""))"),"Ets_Derbez")</f>
        <v>Ets_Derbez</v>
      </c>
      <c r="I2259" s="5" t="s">
        <v>17418</v>
      </c>
      <c r="J2259" s="4" t="s">
        <v>2680</v>
      </c>
      <c r="K2259" s="4" t="s">
        <v>9251</v>
      </c>
      <c r="L2259" s="4" t="s">
        <v>29</v>
      </c>
      <c r="M2259" s="4" t="s">
        <v>4525</v>
      </c>
      <c r="N2259" s="4" t="str">
        <f>IFERROR(__XLUDF.DUMMYFUNCTION("VLOOKUP(M836,IMPORTRANGE(""https://docs.google.com/spreadsheets/d/1opm6ZNvGZ7KditA9TuJwrZ25eFLfTNIkrNnY6mhV5Eg"",""list!A1:C115""),3,TRUE)"),"le secteur du retail")</f>
        <v xml:space="preserve">le secteur du retail</v>
      </c>
      <c r="O2259" s="4" t="s">
        <v>17419</v>
      </c>
      <c r="P2259" s="4">
        <v>20</v>
      </c>
      <c r="Q2259" s="4" t="s">
        <v>2680</v>
      </c>
      <c r="R2259" s="4" t="s">
        <v>9251</v>
      </c>
      <c r="S2259" s="4" t="s">
        <v>29</v>
      </c>
      <c r="T2259" s="5" t="s">
        <v>17420</v>
      </c>
      <c r="U2259" s="6"/>
      <c r="V2259" s="6"/>
      <c r="W2259" s="6"/>
      <c r="X2259" s="6"/>
      <c r="Y2259" s="4" t="s">
        <v>17421</v>
      </c>
      <c r="Z2259" s="6"/>
      <c r="AA2259" s="5" t="s">
        <v>17422</v>
      </c>
    </row>
    <row r="2260" ht="14.25">
      <c r="B2260" s="4" t="s">
        <v>17423</v>
      </c>
      <c r="C2260" s="4" t="s">
        <v>17236</v>
      </c>
      <c r="D2260" s="4" t="s">
        <v>17424</v>
      </c>
      <c r="E2260" s="4" t="s">
        <v>17425</v>
      </c>
      <c r="F2260" s="4" t="s">
        <v>1231</v>
      </c>
      <c r="G2260" s="4" t="s">
        <v>17426</v>
      </c>
      <c r="H2260" s="4" t="str">
        <f>IFERROR(__XLUDF.DUMMYFUNCTION("PROPER(REGEXREPLACE(G837,""[^A-Za-z]+ "",""""))"),"La Bouquinerie Du Sart")</f>
        <v xml:space="preserve">La Bouquinerie Du Sart</v>
      </c>
      <c r="I2260" s="5" t="s">
        <v>17427</v>
      </c>
      <c r="J2260" s="4" t="s">
        <v>10537</v>
      </c>
      <c r="K2260" s="4" t="s">
        <v>9281</v>
      </c>
      <c r="L2260" s="4" t="s">
        <v>29</v>
      </c>
      <c r="M2260" s="4" t="s">
        <v>4525</v>
      </c>
      <c r="N2260" s="4" t="str">
        <f>IFERROR(__XLUDF.DUMMYFUNCTION("VLOOKUP(M837,IMPORTRANGE(""https://docs.google.com/spreadsheets/d/1opm6ZNvGZ7KditA9TuJwrZ25eFLfTNIkrNnY6mhV5Eg"",""list!A1:C115""),3,TRUE)"),"le secteur du retail")</f>
        <v xml:space="preserve">le secteur du retail</v>
      </c>
      <c r="O2260" s="6"/>
      <c r="P2260" s="4">
        <v>22</v>
      </c>
      <c r="Q2260" s="4" t="s">
        <v>10537</v>
      </c>
      <c r="R2260" s="4" t="s">
        <v>9281</v>
      </c>
      <c r="S2260" s="4" t="s">
        <v>29</v>
      </c>
      <c r="T2260" s="5" t="s">
        <v>17428</v>
      </c>
      <c r="U2260" s="5" t="s">
        <v>17429</v>
      </c>
      <c r="V2260" s="5" t="s">
        <v>17430</v>
      </c>
      <c r="W2260" s="6"/>
      <c r="X2260" s="6"/>
      <c r="Y2260" s="4" t="s">
        <v>17431</v>
      </c>
      <c r="Z2260" s="6"/>
      <c r="AA2260" s="5" t="s">
        <v>17432</v>
      </c>
    </row>
    <row r="2261" ht="14.25">
      <c r="B2261" s="4" t="s">
        <v>17433</v>
      </c>
      <c r="C2261" s="4" t="s">
        <v>17434</v>
      </c>
      <c r="D2261" s="4" t="s">
        <v>17435</v>
      </c>
      <c r="E2261" s="4" t="s">
        <v>17436</v>
      </c>
      <c r="F2261" s="4" t="s">
        <v>3188</v>
      </c>
      <c r="G2261" s="4" t="s">
        <v>17437</v>
      </c>
      <c r="H2261" s="4" t="str">
        <f>IFERROR(__XLUDF.DUMMYFUNCTION("PROPER(REGEXREPLACE(G838,""[^A-Za-z]+ "",""""))"),"Nefture")</f>
        <v>Nefture</v>
      </c>
      <c r="I2261" s="5" t="s">
        <v>17438</v>
      </c>
      <c r="J2261" s="4" t="s">
        <v>39</v>
      </c>
      <c r="K2261" s="4" t="s">
        <v>9160</v>
      </c>
      <c r="L2261" s="4" t="s">
        <v>29</v>
      </c>
      <c r="M2261" s="4" t="s">
        <v>2602</v>
      </c>
      <c r="N2261" s="4" t="str">
        <f>IFERROR(__XLUDF.DUMMYFUNCTION("VLOOKUP(M838,IMPORTRANGE(""https://docs.google.com/spreadsheets/d/1opm6ZNvGZ7KditA9TuJwrZ25eFLfTNIkrNnY6mhV5Eg"",""list!A1:C115""),3,TRUE)"),"le secteur de la tech")</f>
        <v xml:space="preserve">le secteur de la tech</v>
      </c>
      <c r="O2261" s="4" t="s">
        <v>17439</v>
      </c>
      <c r="P2261" s="4">
        <v>10</v>
      </c>
      <c r="Q2261" s="4" t="s">
        <v>39</v>
      </c>
      <c r="R2261" s="4" t="s">
        <v>9160</v>
      </c>
      <c r="S2261" s="4" t="s">
        <v>29</v>
      </c>
      <c r="T2261" s="5" t="s">
        <v>17440</v>
      </c>
      <c r="U2261" s="6"/>
      <c r="V2261" s="6"/>
      <c r="W2261" s="6"/>
      <c r="X2261" s="6"/>
      <c r="Y2261" s="4" t="s">
        <v>17441</v>
      </c>
      <c r="Z2261" s="6"/>
      <c r="AA2261" s="5" t="s">
        <v>17442</v>
      </c>
    </row>
    <row r="2262" ht="14.25">
      <c r="B2262" s="4" t="s">
        <v>17443</v>
      </c>
      <c r="C2262" s="4" t="s">
        <v>5688</v>
      </c>
      <c r="D2262" s="4" t="s">
        <v>17444</v>
      </c>
      <c r="E2262" s="4" t="s">
        <v>17445</v>
      </c>
      <c r="F2262" s="4" t="s">
        <v>112</v>
      </c>
      <c r="G2262" s="4" t="s">
        <v>17446</v>
      </c>
      <c r="H2262" s="4" t="str">
        <f>IFERROR(__XLUDF.DUMMYFUNCTION("PROPER(REGEXREPLACE(G839,""[^A-Za-z]+ "",""""))"),"Kouka")</f>
        <v>Kouka</v>
      </c>
      <c r="I2262" s="5" t="s">
        <v>17447</v>
      </c>
      <c r="J2262" s="6"/>
      <c r="K2262" s="4" t="s">
        <v>9160</v>
      </c>
      <c r="L2262" s="4" t="s">
        <v>29</v>
      </c>
      <c r="M2262" s="4" t="s">
        <v>2602</v>
      </c>
      <c r="N2262" s="4" t="str">
        <f>IFERROR(__XLUDF.DUMMYFUNCTION("VLOOKUP(M839,IMPORTRANGE(""https://docs.google.com/spreadsheets/d/1opm6ZNvGZ7KditA9TuJwrZ25eFLfTNIkrNnY6mhV5Eg"",""list!A1:C115""),3,TRUE)"),"le secteur de la tech")</f>
        <v xml:space="preserve">le secteur de la tech</v>
      </c>
      <c r="O2262" s="6"/>
      <c r="P2262" s="4">
        <v>28</v>
      </c>
      <c r="Q2262" s="4" t="s">
        <v>39</v>
      </c>
      <c r="R2262" s="4" t="s">
        <v>9160</v>
      </c>
      <c r="S2262" s="4" t="s">
        <v>29</v>
      </c>
      <c r="T2262" s="5" t="s">
        <v>17448</v>
      </c>
      <c r="U2262" s="6"/>
      <c r="V2262" s="6"/>
      <c r="W2262" s="6"/>
      <c r="X2262" s="6"/>
      <c r="Y2262" s="4" t="s">
        <v>17449</v>
      </c>
      <c r="Z2262" s="6"/>
      <c r="AA2262" s="5" t="s">
        <v>17450</v>
      </c>
    </row>
    <row r="2263" ht="14.25">
      <c r="B2263" s="4" t="s">
        <v>17451</v>
      </c>
      <c r="C2263" s="4" t="s">
        <v>17452</v>
      </c>
      <c r="D2263" s="4" t="s">
        <v>17453</v>
      </c>
      <c r="E2263" s="4" t="s">
        <v>17454</v>
      </c>
      <c r="F2263" s="4" t="s">
        <v>7759</v>
      </c>
      <c r="G2263" s="4" t="s">
        <v>17455</v>
      </c>
      <c r="H2263" s="4" t="str">
        <f>IFERROR(__XLUDF.DUMMYFUNCTION("PROPER(REGEXREPLACE(G840,""[^A-Za-z]+ "",""""))"),"Netconcept")</f>
        <v>Netconcept</v>
      </c>
      <c r="I2263" s="5" t="s">
        <v>17456</v>
      </c>
      <c r="J2263" s="4" t="s">
        <v>651</v>
      </c>
      <c r="K2263" s="4" t="s">
        <v>9215</v>
      </c>
      <c r="L2263" s="4" t="s">
        <v>29</v>
      </c>
      <c r="M2263" s="4" t="s">
        <v>9239</v>
      </c>
      <c r="N2263" s="4" t="str">
        <f>IFERROR(__XLUDF.DUMMYFUNCTION("VLOOKUP(M840,IMPORTRANGE(""https://docs.google.com/spreadsheets/d/1opm6ZNvGZ7KditA9TuJwrZ25eFLfTNIkrNnY6mhV5Eg"",""list!A1:C115""),3,TRUE)"),"le secteur de la construction")</f>
        <v xml:space="preserve">le secteur de la construction</v>
      </c>
      <c r="O2263" s="4" t="s">
        <v>17457</v>
      </c>
      <c r="P2263" s="4">
        <v>16</v>
      </c>
      <c r="Q2263" s="4" t="s">
        <v>5742</v>
      </c>
      <c r="R2263" s="4" t="s">
        <v>12581</v>
      </c>
      <c r="S2263" s="4" t="s">
        <v>29</v>
      </c>
      <c r="T2263" s="5" t="s">
        <v>17458</v>
      </c>
      <c r="U2263" s="6"/>
      <c r="V2263" s="6"/>
      <c r="W2263" s="6"/>
      <c r="X2263" s="6"/>
      <c r="Y2263" s="4" t="s">
        <v>17459</v>
      </c>
      <c r="Z2263" s="6"/>
      <c r="AA2263" s="5" t="s">
        <v>17460</v>
      </c>
    </row>
    <row r="2264" ht="14.25">
      <c r="B2264" s="4" t="s">
        <v>17461</v>
      </c>
      <c r="C2264" s="4" t="s">
        <v>2409</v>
      </c>
      <c r="D2264" s="4" t="s">
        <v>17462</v>
      </c>
      <c r="E2264" s="4" t="s">
        <v>17463</v>
      </c>
      <c r="F2264" s="4" t="s">
        <v>1072</v>
      </c>
      <c r="G2264" s="4" t="s">
        <v>17464</v>
      </c>
      <c r="H2264" s="4" t="str">
        <f>IFERROR(__XLUDF.DUMMYFUNCTION("PROPER(REGEXREPLACE(G841,""[^A-Za-z]+ "",""""))"),"Phacet")</f>
        <v>Phacet</v>
      </c>
      <c r="I2264" s="5" t="s">
        <v>17465</v>
      </c>
      <c r="J2264" s="4" t="s">
        <v>39</v>
      </c>
      <c r="K2264" s="4" t="s">
        <v>9160</v>
      </c>
      <c r="L2264" s="4" t="s">
        <v>29</v>
      </c>
      <c r="M2264" s="4" t="s">
        <v>10950</v>
      </c>
      <c r="N2264" s="4" t="str">
        <f>IFERROR(__XLUDF.DUMMYFUNCTION("VLOOKUP(M841,IMPORTRANGE(""https://docs.google.com/spreadsheets/d/1opm6ZNvGZ7KditA9TuJwrZ25eFLfTNIkrNnY6mhV5Eg"",""list!A1:C115""),3,TRUE)"),"le secteur de la tech")</f>
        <v xml:space="preserve">le secteur de la tech</v>
      </c>
      <c r="O2264" s="4" t="s">
        <v>17466</v>
      </c>
      <c r="P2264" s="4">
        <v>28</v>
      </c>
      <c r="Q2264" s="6"/>
      <c r="R2264" s="6"/>
      <c r="S2264" s="6"/>
      <c r="T2264" s="5" t="s">
        <v>17467</v>
      </c>
      <c r="U2264" s="6"/>
      <c r="V2264" s="6"/>
      <c r="W2264" s="6"/>
      <c r="X2264" s="6"/>
      <c r="Y2264" s="4" t="s">
        <v>17468</v>
      </c>
      <c r="Z2264" s="6"/>
      <c r="AA2264" s="5" t="s">
        <v>17469</v>
      </c>
    </row>
    <row r="2265" ht="14.25">
      <c r="B2265" s="4" t="s">
        <v>17470</v>
      </c>
      <c r="C2265" s="4" t="s">
        <v>2419</v>
      </c>
      <c r="D2265" s="4" t="s">
        <v>17471</v>
      </c>
      <c r="E2265" s="4" t="s">
        <v>17472</v>
      </c>
      <c r="F2265" s="4" t="s">
        <v>62</v>
      </c>
      <c r="G2265" s="4" t="s">
        <v>17473</v>
      </c>
      <c r="H2265" s="4" t="str">
        <f>IFERROR(__XLUDF.DUMMYFUNCTION("PROPER(REGEXREPLACE(G842,""[^A-Za-z]+ "",""""))"),"Duo")</f>
        <v>Duo</v>
      </c>
      <c r="I2265" s="5" t="s">
        <v>17474</v>
      </c>
      <c r="J2265" s="4" t="s">
        <v>1419</v>
      </c>
      <c r="K2265" s="4" t="s">
        <v>9160</v>
      </c>
      <c r="L2265" s="4" t="s">
        <v>29</v>
      </c>
      <c r="M2265" s="4" t="s">
        <v>2602</v>
      </c>
      <c r="N2265" s="4" t="str">
        <f>IFERROR(__XLUDF.DUMMYFUNCTION("VLOOKUP(M842,IMPORTRANGE(""https://docs.google.com/spreadsheets/d/1opm6ZNvGZ7KditA9TuJwrZ25eFLfTNIkrNnY6mhV5Eg"",""list!A1:C115""),3,TRUE)"),"le secteur de la tech")</f>
        <v xml:space="preserve">le secteur de la tech</v>
      </c>
      <c r="O2265" s="4" t="s">
        <v>17475</v>
      </c>
      <c r="P2265" s="4">
        <v>10</v>
      </c>
      <c r="Q2265" s="4" t="s">
        <v>39</v>
      </c>
      <c r="R2265" s="4" t="s">
        <v>9160</v>
      </c>
      <c r="S2265" s="4" t="s">
        <v>29</v>
      </c>
      <c r="T2265" s="5" t="s">
        <v>17476</v>
      </c>
      <c r="U2265" s="6"/>
      <c r="V2265" s="6"/>
      <c r="W2265" s="6"/>
      <c r="X2265" s="6"/>
      <c r="Y2265" s="4" t="s">
        <v>17477</v>
      </c>
      <c r="Z2265" s="6"/>
      <c r="AA2265" s="5" t="s">
        <v>17478</v>
      </c>
    </row>
    <row r="2266" ht="14.25">
      <c r="B2266" s="4" t="s">
        <v>17479</v>
      </c>
      <c r="C2266" s="4" t="s">
        <v>2419</v>
      </c>
      <c r="D2266" s="4" t="s">
        <v>17480</v>
      </c>
      <c r="E2266" s="4" t="s">
        <v>17481</v>
      </c>
      <c r="F2266" s="4" t="s">
        <v>120</v>
      </c>
      <c r="G2266" s="4" t="s">
        <v>17482</v>
      </c>
      <c r="H2266" s="4" t="str">
        <f>IFERROR(__XLUDF.DUMMYFUNCTION("PROPER(REGEXREPLACE(G843,""[^A-Za-z]+ "",""""))"),"Komugi")</f>
        <v>Komugi</v>
      </c>
      <c r="I2266" s="5" t="s">
        <v>17483</v>
      </c>
      <c r="J2266" s="4" t="s">
        <v>17484</v>
      </c>
      <c r="K2266" s="4" t="s">
        <v>9193</v>
      </c>
      <c r="L2266" s="4" t="s">
        <v>29</v>
      </c>
      <c r="M2266" s="4" t="s">
        <v>2602</v>
      </c>
      <c r="N2266" s="4" t="str">
        <f>IFERROR(__XLUDF.DUMMYFUNCTION("VLOOKUP(M843,IMPORTRANGE(""https://docs.google.com/spreadsheets/d/1opm6ZNvGZ7KditA9TuJwrZ25eFLfTNIkrNnY6mhV5Eg"",""list!A1:C115""),3,TRUE)"),"le secteur de la tech")</f>
        <v xml:space="preserve">le secteur de la tech</v>
      </c>
      <c r="O2266" s="4" t="s">
        <v>17485</v>
      </c>
      <c r="P2266" s="4">
        <v>22</v>
      </c>
      <c r="Q2266" s="4" t="s">
        <v>17484</v>
      </c>
      <c r="R2266" s="4" t="s">
        <v>9193</v>
      </c>
      <c r="S2266" s="4" t="s">
        <v>29</v>
      </c>
      <c r="T2266" s="5" t="s">
        <v>17486</v>
      </c>
      <c r="U2266" s="6"/>
      <c r="V2266" s="6"/>
      <c r="W2266" s="6"/>
      <c r="X2266" s="6"/>
      <c r="Y2266" s="4" t="s">
        <v>17487</v>
      </c>
      <c r="Z2266" s="6"/>
      <c r="AA2266" s="5" t="s">
        <v>17488</v>
      </c>
    </row>
    <row r="2267" ht="14.25">
      <c r="B2267" s="4" t="s">
        <v>17489</v>
      </c>
      <c r="C2267" s="4" t="s">
        <v>2419</v>
      </c>
      <c r="D2267" s="4" t="s">
        <v>17490</v>
      </c>
      <c r="E2267" s="4" t="s">
        <v>17491</v>
      </c>
      <c r="F2267" s="4" t="s">
        <v>17492</v>
      </c>
      <c r="G2267" s="4" t="s">
        <v>17493</v>
      </c>
      <c r="H2267" s="4" t="str">
        <f>IFERROR(__XLUDF.DUMMYFUNCTION("PROPER(REGEXREPLACE(G844,""[^A-Za-z]+ "",""""))"),"Leanco")</f>
        <v>Leanco</v>
      </c>
      <c r="I2267" s="5" t="s">
        <v>17494</v>
      </c>
      <c r="J2267" s="4" t="s">
        <v>1711</v>
      </c>
      <c r="K2267" s="4" t="s">
        <v>9350</v>
      </c>
      <c r="L2267" s="4" t="s">
        <v>29</v>
      </c>
      <c r="M2267" s="4" t="s">
        <v>2602</v>
      </c>
      <c r="N2267" s="4" t="str">
        <f>IFERROR(__XLUDF.DUMMYFUNCTION("VLOOKUP(M844,IMPORTRANGE(""https://docs.google.com/spreadsheets/d/1opm6ZNvGZ7KditA9TuJwrZ25eFLfTNIkrNnY6mhV5Eg"",""list!A1:C115""),3,TRUE)"),"le secteur de la tech")</f>
        <v xml:space="preserve">le secteur de la tech</v>
      </c>
      <c r="O2267" s="4" t="s">
        <v>17495</v>
      </c>
      <c r="P2267" s="4">
        <v>11</v>
      </c>
      <c r="Q2267" s="4" t="s">
        <v>1711</v>
      </c>
      <c r="R2267" s="4" t="s">
        <v>9350</v>
      </c>
      <c r="S2267" s="4" t="s">
        <v>29</v>
      </c>
      <c r="T2267" s="5" t="s">
        <v>17496</v>
      </c>
      <c r="U2267" s="6"/>
      <c r="V2267" s="6"/>
      <c r="W2267" s="6"/>
      <c r="X2267" s="6"/>
      <c r="Y2267" s="4" t="s">
        <v>17497</v>
      </c>
      <c r="Z2267" s="6"/>
      <c r="AA2267" s="5" t="s">
        <v>17498</v>
      </c>
    </row>
    <row r="2268" ht="14.25">
      <c r="B2268" s="4" t="s">
        <v>17499</v>
      </c>
      <c r="C2268" s="4" t="s">
        <v>17500</v>
      </c>
      <c r="D2268" s="4" t="s">
        <v>17501</v>
      </c>
      <c r="E2268" s="4" t="s">
        <v>17502</v>
      </c>
      <c r="F2268" s="4" t="s">
        <v>172</v>
      </c>
      <c r="G2268" s="4" t="s">
        <v>17503</v>
      </c>
      <c r="H2268" s="4" t="str">
        <f>IFERROR(__XLUDF.DUMMYFUNCTION("PROPER(REGEXREPLACE(G845,""[^A-Za-z]+ "",""""))"),"Sogev")</f>
        <v>Sogev</v>
      </c>
      <c r="I2268" s="5" t="s">
        <v>17504</v>
      </c>
      <c r="J2268" s="4" t="s">
        <v>1015</v>
      </c>
      <c r="K2268" s="4" t="s">
        <v>9251</v>
      </c>
      <c r="L2268" s="4" t="s">
        <v>29</v>
      </c>
      <c r="M2268" s="4" t="s">
        <v>9239</v>
      </c>
      <c r="N2268" s="4" t="str">
        <f>IFERROR(__XLUDF.DUMMYFUNCTION("VLOOKUP(M845,IMPORTRANGE(""https://docs.google.com/spreadsheets/d/1opm6ZNvGZ7KditA9TuJwrZ25eFLfTNIkrNnY6mhV5Eg"",""list!A1:C115""),3,TRUE)"),"le secteur de la construction")</f>
        <v xml:space="preserve">le secteur de la construction</v>
      </c>
      <c r="O2268" s="6"/>
      <c r="P2268" s="4">
        <v>18</v>
      </c>
      <c r="Q2268" s="4" t="s">
        <v>1015</v>
      </c>
      <c r="R2268" s="4" t="s">
        <v>9251</v>
      </c>
      <c r="S2268" s="4" t="s">
        <v>29</v>
      </c>
      <c r="T2268" s="5" t="s">
        <v>17505</v>
      </c>
      <c r="U2268" s="6"/>
      <c r="V2268" s="6"/>
      <c r="W2268" s="6"/>
      <c r="X2268" s="6"/>
      <c r="Y2268" s="4" t="s">
        <v>17506</v>
      </c>
      <c r="Z2268" s="6"/>
      <c r="AA2268" s="5" t="s">
        <v>17507</v>
      </c>
    </row>
    <row r="2269" ht="14.25">
      <c r="B2269" s="4" t="s">
        <v>17508</v>
      </c>
      <c r="C2269" s="4" t="s">
        <v>2652</v>
      </c>
      <c r="D2269" s="4" t="s">
        <v>17509</v>
      </c>
      <c r="E2269" s="4" t="s">
        <v>17510</v>
      </c>
      <c r="F2269" s="4" t="s">
        <v>112</v>
      </c>
      <c r="G2269" s="4" t="s">
        <v>17511</v>
      </c>
      <c r="H2269" s="4" t="str">
        <f>IFERROR(__XLUDF.DUMMYFUNCTION("PROPER(REGEXREPLACE(G846,""[^A-Za-z]+ "",""""))"),"Amg-It")</f>
        <v>Amg-It</v>
      </c>
      <c r="I2269" s="5" t="s">
        <v>17512</v>
      </c>
      <c r="J2269" s="4" t="s">
        <v>17513</v>
      </c>
      <c r="K2269" s="4" t="s">
        <v>9160</v>
      </c>
      <c r="L2269" s="4" t="s">
        <v>29</v>
      </c>
      <c r="M2269" s="4" t="s">
        <v>2602</v>
      </c>
      <c r="N2269" s="4" t="str">
        <f>IFERROR(__XLUDF.DUMMYFUNCTION("VLOOKUP(M846,IMPORTRANGE(""https://docs.google.com/spreadsheets/d/1opm6ZNvGZ7KditA9TuJwrZ25eFLfTNIkrNnY6mhV5Eg"",""list!A1:C115""),3,TRUE)"),"le secteur de la tech")</f>
        <v xml:space="preserve">le secteur de la tech</v>
      </c>
      <c r="O2269" s="4" t="s">
        <v>17514</v>
      </c>
      <c r="P2269" s="4">
        <v>21</v>
      </c>
      <c r="Q2269" s="4" t="s">
        <v>13773</v>
      </c>
      <c r="R2269" s="4" t="s">
        <v>9160</v>
      </c>
      <c r="S2269" s="4" t="s">
        <v>29</v>
      </c>
      <c r="T2269" s="5" t="s">
        <v>17515</v>
      </c>
      <c r="U2269" s="6"/>
      <c r="V2269" s="6"/>
      <c r="W2269" s="6"/>
      <c r="X2269" s="6"/>
      <c r="Y2269" s="4" t="s">
        <v>17516</v>
      </c>
      <c r="Z2269" s="6"/>
      <c r="AA2269" s="5" t="s">
        <v>17517</v>
      </c>
    </row>
    <row r="2270" ht="14.25">
      <c r="B2270" s="4" t="s">
        <v>17518</v>
      </c>
      <c r="C2270" s="4" t="s">
        <v>2652</v>
      </c>
      <c r="D2270" s="4" t="s">
        <v>17519</v>
      </c>
      <c r="E2270" s="4" t="s">
        <v>17520</v>
      </c>
      <c r="F2270" s="4" t="s">
        <v>17521</v>
      </c>
      <c r="G2270" s="4" t="s">
        <v>13977</v>
      </c>
      <c r="H2270" s="4" t="str">
        <f>IFERROR(__XLUDF.DUMMYFUNCTION("PROPER(REGEXREPLACE(G847,""[^A-Za-z]+ "",""""))"),"Nomiks")</f>
        <v>Nomiks</v>
      </c>
      <c r="I2270" s="5" t="s">
        <v>13978</v>
      </c>
      <c r="J2270" s="4" t="s">
        <v>6489</v>
      </c>
      <c r="K2270" s="4" t="s">
        <v>10390</v>
      </c>
      <c r="L2270" s="4" t="s">
        <v>29</v>
      </c>
      <c r="M2270" s="4" t="s">
        <v>2602</v>
      </c>
      <c r="N2270" s="4" t="str">
        <f>IFERROR(__XLUDF.DUMMYFUNCTION("VLOOKUP(M847,IMPORTRANGE(""https://docs.google.com/spreadsheets/d/1opm6ZNvGZ7KditA9TuJwrZ25eFLfTNIkrNnY6mhV5Eg"",""list!A1:C115""),3,TRUE)"),"le secteur de la tech")</f>
        <v xml:space="preserve">le secteur de la tech</v>
      </c>
      <c r="O2270" s="4" t="s">
        <v>13979</v>
      </c>
      <c r="P2270" s="4">
        <v>21</v>
      </c>
      <c r="Q2270" s="4" t="s">
        <v>8086</v>
      </c>
      <c r="R2270" s="4" t="s">
        <v>8086</v>
      </c>
      <c r="S2270" s="4" t="s">
        <v>1938</v>
      </c>
      <c r="T2270" s="5" t="s">
        <v>13980</v>
      </c>
      <c r="U2270" s="6"/>
      <c r="V2270" s="6"/>
      <c r="W2270" s="6"/>
      <c r="X2270" s="6"/>
      <c r="Y2270" s="4" t="s">
        <v>13981</v>
      </c>
      <c r="Z2270" s="6"/>
      <c r="AA2270" s="5" t="s">
        <v>17522</v>
      </c>
    </row>
    <row r="2271" ht="14.25">
      <c r="B2271" s="4" t="s">
        <v>17523</v>
      </c>
      <c r="C2271" s="4" t="s">
        <v>17524</v>
      </c>
      <c r="D2271" s="4" t="s">
        <v>17525</v>
      </c>
      <c r="E2271" s="4" t="s">
        <v>17526</v>
      </c>
      <c r="F2271" s="4" t="s">
        <v>17527</v>
      </c>
      <c r="G2271" s="4" t="s">
        <v>17528</v>
      </c>
      <c r="H2271" s="4" t="str">
        <f>IFERROR(__XLUDF.DUMMYFUNCTION("PROPER(REGEXREPLACE(G848,""[^A-Za-z]+ "",""""))"),"Cicadom")</f>
        <v>Cicadom</v>
      </c>
      <c r="I2271" s="5" t="s">
        <v>17529</v>
      </c>
      <c r="J2271" s="4" t="s">
        <v>5265</v>
      </c>
      <c r="K2271" s="4" t="s">
        <v>9193</v>
      </c>
      <c r="L2271" s="4" t="s">
        <v>29</v>
      </c>
      <c r="M2271" s="4" t="s">
        <v>4525</v>
      </c>
      <c r="N2271" s="4" t="str">
        <f>IFERROR(__XLUDF.DUMMYFUNCTION("VLOOKUP(M848,IMPORTRANGE(""https://docs.google.com/spreadsheets/d/1opm6ZNvGZ7KditA9TuJwrZ25eFLfTNIkrNnY6mhV5Eg"",""list!A1:C115""),3,TRUE)"),"le secteur du retail")</f>
        <v xml:space="preserve">le secteur du retail</v>
      </c>
      <c r="O2271" s="6"/>
      <c r="P2271" s="4">
        <v>32</v>
      </c>
      <c r="Q2271" s="4" t="s">
        <v>5265</v>
      </c>
      <c r="R2271" s="4" t="s">
        <v>9172</v>
      </c>
      <c r="S2271" s="4" t="s">
        <v>29</v>
      </c>
      <c r="T2271" s="5" t="s">
        <v>17530</v>
      </c>
      <c r="U2271" s="6"/>
      <c r="V2271" s="6"/>
      <c r="W2271" s="6"/>
      <c r="X2271" s="6"/>
      <c r="Y2271" s="4" t="s">
        <v>17531</v>
      </c>
      <c r="Z2271" s="6"/>
      <c r="AA2271" s="5" t="s">
        <v>17532</v>
      </c>
    </row>
    <row r="2272" ht="14.25">
      <c r="B2272" s="4" t="s">
        <v>17533</v>
      </c>
      <c r="C2272" s="4" t="s">
        <v>1353</v>
      </c>
      <c r="D2272" s="4" t="s">
        <v>12397</v>
      </c>
      <c r="E2272" s="4" t="s">
        <v>17534</v>
      </c>
      <c r="F2272" s="4" t="s">
        <v>7759</v>
      </c>
      <c r="G2272" s="4" t="s">
        <v>17535</v>
      </c>
      <c r="H2272" s="4" t="str">
        <f>IFERROR(__XLUDF.DUMMYFUNCTION("PROPER(REGEXREPLACE(G849,""[^A-Za-z]+ "",""""))"),"Only Toit")</f>
        <v xml:space="preserve">Only Toit</v>
      </c>
      <c r="I2272" s="5" t="s">
        <v>17536</v>
      </c>
      <c r="J2272" s="4" t="s">
        <v>185</v>
      </c>
      <c r="K2272" s="4" t="s">
        <v>9193</v>
      </c>
      <c r="L2272" s="4" t="s">
        <v>29</v>
      </c>
      <c r="M2272" s="4" t="s">
        <v>9239</v>
      </c>
      <c r="N2272" s="4" t="str">
        <f>IFERROR(__XLUDF.DUMMYFUNCTION("VLOOKUP(M849,IMPORTRANGE(""https://docs.google.com/spreadsheets/d/1opm6ZNvGZ7KditA9TuJwrZ25eFLfTNIkrNnY6mhV5Eg"",""list!A1:C115""),3,TRUE)"),"le secteur de la construction")</f>
        <v xml:space="preserve">le secteur de la construction</v>
      </c>
      <c r="O2272" s="6"/>
      <c r="P2272" s="4">
        <v>15</v>
      </c>
      <c r="Q2272" s="4" t="s">
        <v>17537</v>
      </c>
      <c r="R2272" s="4" t="s">
        <v>9172</v>
      </c>
      <c r="S2272" s="4" t="s">
        <v>29</v>
      </c>
      <c r="T2272" s="5" t="s">
        <v>17538</v>
      </c>
      <c r="U2272" s="6"/>
      <c r="V2272" s="6"/>
      <c r="W2272" s="6"/>
      <c r="X2272" s="6"/>
      <c r="Y2272" s="4" t="s">
        <v>17539</v>
      </c>
      <c r="Z2272" s="6"/>
      <c r="AA2272" s="5" t="s">
        <v>17540</v>
      </c>
    </row>
    <row r="2273" ht="14.25">
      <c r="B2273" s="4" t="s">
        <v>17541</v>
      </c>
      <c r="C2273" s="4" t="s">
        <v>1353</v>
      </c>
      <c r="D2273" s="4" t="s">
        <v>17542</v>
      </c>
      <c r="E2273" s="4" t="s">
        <v>17543</v>
      </c>
      <c r="F2273" s="4" t="s">
        <v>17544</v>
      </c>
      <c r="G2273" s="4" t="s">
        <v>17545</v>
      </c>
      <c r="H2273" s="4" t="str">
        <f>IFERROR(__XLUDF.DUMMYFUNCTION("PROPER(REGEXREPLACE(G850,""[^A-Za-z]+ "",""""))"),"Auguste Et Ferdinand")</f>
        <v xml:space="preserve">Auguste Et Ferdinand</v>
      </c>
      <c r="I2273" s="5" t="s">
        <v>17546</v>
      </c>
      <c r="J2273" s="4" t="s">
        <v>17547</v>
      </c>
      <c r="K2273" s="4" t="s">
        <v>9281</v>
      </c>
      <c r="L2273" s="4" t="s">
        <v>29</v>
      </c>
      <c r="M2273" s="4" t="s">
        <v>4525</v>
      </c>
      <c r="N2273" s="4" t="str">
        <f>IFERROR(__XLUDF.DUMMYFUNCTION("VLOOKUP(M850,IMPORTRANGE(""https://docs.google.com/spreadsheets/d/1opm6ZNvGZ7KditA9TuJwrZ25eFLfTNIkrNnY6mhV5Eg"",""list!A1:C115""),3,TRUE)"),"le secteur du retail")</f>
        <v xml:space="preserve">le secteur du retail</v>
      </c>
      <c r="O2273" s="4" t="s">
        <v>17548</v>
      </c>
      <c r="P2273" s="4">
        <v>33</v>
      </c>
      <c r="Q2273" s="4" t="s">
        <v>12835</v>
      </c>
      <c r="R2273" s="4" t="s">
        <v>9281</v>
      </c>
      <c r="S2273" s="4" t="s">
        <v>29</v>
      </c>
      <c r="T2273" s="5" t="s">
        <v>17549</v>
      </c>
      <c r="U2273" s="6"/>
      <c r="V2273" s="5" t="s">
        <v>17550</v>
      </c>
      <c r="W2273" s="6"/>
      <c r="X2273" s="6"/>
      <c r="Y2273" s="4" t="s">
        <v>17551</v>
      </c>
      <c r="Z2273" s="6"/>
      <c r="AA2273" s="5" t="s">
        <v>17552</v>
      </c>
    </row>
    <row r="2274" ht="14.25">
      <c r="B2274" s="4" t="s">
        <v>17553</v>
      </c>
      <c r="C2274" s="4" t="s">
        <v>2652</v>
      </c>
      <c r="D2274" s="4" t="s">
        <v>17554</v>
      </c>
      <c r="E2274" s="4" t="s">
        <v>17555</v>
      </c>
      <c r="F2274" s="4" t="s">
        <v>341</v>
      </c>
      <c r="G2274" s="4" t="s">
        <v>17556</v>
      </c>
      <c r="H2274" s="4" t="str">
        <f>IFERROR(__XLUDF.DUMMYFUNCTION("PROPER(REGEXREPLACE(G851,""[^A-Za-z]+ "",""""))"),"Triskell Consulting")</f>
        <v xml:space="preserve">Triskell Consulting</v>
      </c>
      <c r="I2274" s="5" t="s">
        <v>17557</v>
      </c>
      <c r="J2274" s="4" t="s">
        <v>39</v>
      </c>
      <c r="K2274" s="4" t="s">
        <v>9160</v>
      </c>
      <c r="L2274" s="4" t="s">
        <v>29</v>
      </c>
      <c r="M2274" s="4" t="s">
        <v>2602</v>
      </c>
      <c r="N2274" s="4" t="str">
        <f>IFERROR(__XLUDF.DUMMYFUNCTION("VLOOKUP(M851,IMPORTRANGE(""https://docs.google.com/spreadsheets/d/1opm6ZNvGZ7KditA9TuJwrZ25eFLfTNIkrNnY6mhV5Eg"",""list!A1:C115""),3,TRUE)"),"le secteur de la tech")</f>
        <v xml:space="preserve">le secteur de la tech</v>
      </c>
      <c r="O2274" s="4" t="s">
        <v>17558</v>
      </c>
      <c r="P2274" s="4">
        <v>26</v>
      </c>
      <c r="Q2274" s="4" t="s">
        <v>15147</v>
      </c>
      <c r="R2274" s="4" t="s">
        <v>9160</v>
      </c>
      <c r="S2274" s="4" t="s">
        <v>29</v>
      </c>
      <c r="T2274" s="5" t="s">
        <v>17559</v>
      </c>
      <c r="U2274" s="6"/>
      <c r="V2274" s="6"/>
      <c r="W2274" s="6"/>
      <c r="X2274" s="6"/>
      <c r="Y2274" s="4" t="s">
        <v>17560</v>
      </c>
      <c r="Z2274" s="6"/>
      <c r="AA2274" s="5" t="s">
        <v>17561</v>
      </c>
    </row>
    <row r="2275" ht="14.25">
      <c r="B2275" s="4" t="s">
        <v>17562</v>
      </c>
      <c r="C2275" s="4" t="s">
        <v>17563</v>
      </c>
      <c r="D2275" s="4" t="s">
        <v>17564</v>
      </c>
      <c r="E2275" s="4" t="s">
        <v>17565</v>
      </c>
      <c r="F2275" s="4" t="s">
        <v>17566</v>
      </c>
      <c r="G2275" s="4" t="s">
        <v>17567</v>
      </c>
      <c r="H2275" s="4" t="str">
        <f>IFERROR(__XLUDF.DUMMYFUNCTION("PROPER(REGEXREPLACE(G852,""[^A-Za-z]+ "",""""))"),"Cogis Networks")</f>
        <v xml:space="preserve">Cogis Networks</v>
      </c>
      <c r="I2275" s="5" t="s">
        <v>17568</v>
      </c>
      <c r="J2275" s="6"/>
      <c r="K2275" s="6"/>
      <c r="L2275" s="4" t="s">
        <v>29</v>
      </c>
      <c r="M2275" s="4" t="s">
        <v>2602</v>
      </c>
      <c r="N2275" s="4" t="str">
        <f>IFERROR(__XLUDF.DUMMYFUNCTION("VLOOKUP(M852,IMPORTRANGE(""https://docs.google.com/spreadsheets/d/1opm6ZNvGZ7KditA9TuJwrZ25eFLfTNIkrNnY6mhV5Eg"",""list!A1:C115""),3,TRUE)"),"le secteur de la tech")</f>
        <v xml:space="preserve">le secteur de la tech</v>
      </c>
      <c r="O2275" s="4" t="s">
        <v>17569</v>
      </c>
      <c r="P2275" s="4">
        <v>15</v>
      </c>
      <c r="Q2275" s="4" t="s">
        <v>17570</v>
      </c>
      <c r="R2275" s="4" t="s">
        <v>9160</v>
      </c>
      <c r="S2275" s="4" t="s">
        <v>29</v>
      </c>
      <c r="T2275" s="5" t="s">
        <v>17571</v>
      </c>
      <c r="U2275" s="5" t="s">
        <v>17572</v>
      </c>
      <c r="V2275" s="6"/>
      <c r="W2275" s="6"/>
      <c r="X2275" s="6"/>
      <c r="Y2275" s="4" t="s">
        <v>17573</v>
      </c>
      <c r="Z2275" s="6"/>
      <c r="AA2275" s="5" t="s">
        <v>17574</v>
      </c>
    </row>
    <row r="2276" ht="14.25">
      <c r="B2276" s="4" t="s">
        <v>17575</v>
      </c>
      <c r="C2276" s="4" t="s">
        <v>17576</v>
      </c>
      <c r="D2276" s="4" t="s">
        <v>17577</v>
      </c>
      <c r="E2276" s="4" t="s">
        <v>17578</v>
      </c>
      <c r="F2276" s="4" t="s">
        <v>17579</v>
      </c>
      <c r="G2276" s="4" t="s">
        <v>17580</v>
      </c>
      <c r="H2276" s="4" t="str">
        <f>IFERROR(__XLUDF.DUMMYFUNCTION("PROPER(REGEXREPLACE(G853,""[^A-Za-z]+ "",""""))"),"Redstrings")</f>
        <v>Redstrings</v>
      </c>
      <c r="I2276" s="5" t="s">
        <v>17581</v>
      </c>
      <c r="J2276" s="4" t="s">
        <v>465</v>
      </c>
      <c r="K2276" s="4" t="s">
        <v>9251</v>
      </c>
      <c r="L2276" s="4" t="s">
        <v>29</v>
      </c>
      <c r="M2276" s="4" t="s">
        <v>2602</v>
      </c>
      <c r="N2276" s="4" t="str">
        <f>IFERROR(__XLUDF.DUMMYFUNCTION("VLOOKUP(M853,IMPORTRANGE(""https://docs.google.com/spreadsheets/d/1opm6ZNvGZ7KditA9TuJwrZ25eFLfTNIkrNnY6mhV5Eg"",""list!A1:C115""),3,TRUE)"),"le secteur de la tech")</f>
        <v xml:space="preserve">le secteur de la tech</v>
      </c>
      <c r="O2276" s="4" t="s">
        <v>17582</v>
      </c>
      <c r="P2276" s="4">
        <v>10</v>
      </c>
      <c r="Q2276" s="4" t="s">
        <v>17583</v>
      </c>
      <c r="R2276" s="4" t="s">
        <v>17584</v>
      </c>
      <c r="S2276" s="4" t="s">
        <v>4952</v>
      </c>
      <c r="T2276" s="5" t="s">
        <v>17585</v>
      </c>
      <c r="U2276" s="6"/>
      <c r="V2276" s="6"/>
      <c r="W2276" s="6"/>
      <c r="X2276" s="6"/>
      <c r="Y2276" s="4" t="s">
        <v>17586</v>
      </c>
      <c r="Z2276" s="6"/>
      <c r="AA2276" s="5" t="s">
        <v>17587</v>
      </c>
    </row>
    <row r="2277" ht="14.25">
      <c r="B2277" s="4" t="s">
        <v>17588</v>
      </c>
      <c r="C2277" s="4" t="s">
        <v>8045</v>
      </c>
      <c r="D2277" s="4" t="s">
        <v>17589</v>
      </c>
      <c r="E2277" s="4" t="s">
        <v>17590</v>
      </c>
      <c r="F2277" s="4" t="s">
        <v>341</v>
      </c>
      <c r="G2277" s="5" t="s">
        <v>17591</v>
      </c>
      <c r="H2277" s="5" t="str">
        <f>IFERROR(__XLUDF.DUMMYFUNCTION("PROPER(REGEXREPLACE(G854,""[^A-Za-z]+ "",""""))"),"Paybystep.Com")</f>
        <v>Paybystep.Com</v>
      </c>
      <c r="I2277" s="5" t="s">
        <v>17591</v>
      </c>
      <c r="J2277" s="6"/>
      <c r="K2277" s="6"/>
      <c r="L2277" s="4" t="s">
        <v>29</v>
      </c>
      <c r="M2277" s="4" t="s">
        <v>2602</v>
      </c>
      <c r="N2277" s="4" t="str">
        <f>IFERROR(__XLUDF.DUMMYFUNCTION("VLOOKUP(M854,IMPORTRANGE(""https://docs.google.com/spreadsheets/d/1opm6ZNvGZ7KditA9TuJwrZ25eFLfTNIkrNnY6mhV5Eg"",""list!A1:C115""),3,TRUE)"),"le secteur de la tech")</f>
        <v xml:space="preserve">le secteur de la tech</v>
      </c>
      <c r="O2277" s="6"/>
      <c r="P2277" s="4">
        <v>10</v>
      </c>
      <c r="Q2277" s="4" t="s">
        <v>6603</v>
      </c>
      <c r="R2277" s="4" t="s">
        <v>9160</v>
      </c>
      <c r="S2277" s="4" t="s">
        <v>29</v>
      </c>
      <c r="T2277" s="5" t="s">
        <v>17592</v>
      </c>
      <c r="U2277" s="6"/>
      <c r="V2277" s="6"/>
      <c r="W2277" s="6"/>
      <c r="X2277" s="6"/>
      <c r="Y2277" s="4" t="s">
        <v>17593</v>
      </c>
      <c r="Z2277" s="6"/>
      <c r="AA2277" s="5" t="s">
        <v>17594</v>
      </c>
    </row>
    <row r="2278" ht="14.25">
      <c r="B2278" s="4" t="s">
        <v>17595</v>
      </c>
      <c r="C2278" s="4" t="s">
        <v>8049</v>
      </c>
      <c r="D2278" s="4" t="s">
        <v>17596</v>
      </c>
      <c r="E2278" s="4" t="s">
        <v>17597</v>
      </c>
      <c r="F2278" s="4" t="s">
        <v>7759</v>
      </c>
      <c r="G2278" s="4" t="s">
        <v>10659</v>
      </c>
      <c r="H2278" s="4" t="str">
        <f>IFERROR(__XLUDF.DUMMYFUNCTION("PROPER(REGEXREPLACE(G855,""[^A-Za-z]+ "",""""))"),"Vakom Le Sens De L'Humain")</f>
        <v xml:space="preserve">Vakom Le Sens De L'Humain</v>
      </c>
      <c r="I2278" s="5" t="s">
        <v>10660</v>
      </c>
      <c r="J2278" s="4" t="s">
        <v>14453</v>
      </c>
      <c r="K2278" s="4" t="s">
        <v>9473</v>
      </c>
      <c r="L2278" s="4" t="s">
        <v>29</v>
      </c>
      <c r="M2278" s="4" t="s">
        <v>4067</v>
      </c>
      <c r="N2278" s="4" t="str">
        <f>IFERROR(__XLUDF.DUMMYFUNCTION("VLOOKUP(M855,IMPORTRANGE(""https://docs.google.com/spreadsheets/d/1opm6ZNvGZ7KditA9TuJwrZ25eFLfTNIkrNnY6mhV5Eg"",""list!A1:C115""),3,TRUE)"),"le secteur du conseil en management")</f>
        <v xml:space="preserve">le secteur du conseil en management</v>
      </c>
      <c r="O2278" s="4" t="s">
        <v>10662</v>
      </c>
      <c r="P2278" s="4">
        <v>49</v>
      </c>
      <c r="Q2278" s="4" t="s">
        <v>492</v>
      </c>
      <c r="R2278" s="4" t="s">
        <v>9267</v>
      </c>
      <c r="S2278" s="4" t="s">
        <v>29</v>
      </c>
      <c r="T2278" s="5" t="s">
        <v>10663</v>
      </c>
      <c r="U2278" s="6"/>
      <c r="V2278" s="5" t="s">
        <v>10664</v>
      </c>
      <c r="W2278" s="6"/>
      <c r="X2278" s="6"/>
      <c r="Y2278" s="4" t="s">
        <v>10665</v>
      </c>
      <c r="Z2278" s="6"/>
      <c r="AA2278" s="5" t="s">
        <v>17598</v>
      </c>
    </row>
    <row r="2279" ht="14.25">
      <c r="B2279" s="4" t="s">
        <v>17599</v>
      </c>
      <c r="C2279" s="4" t="s">
        <v>8049</v>
      </c>
      <c r="D2279" s="4" t="s">
        <v>17600</v>
      </c>
      <c r="E2279" s="4" t="s">
        <v>17601</v>
      </c>
      <c r="F2279" s="4" t="s">
        <v>7185</v>
      </c>
      <c r="G2279" s="4" t="s">
        <v>17602</v>
      </c>
      <c r="H2279" s="4" t="str">
        <f>IFERROR(__XLUDF.DUMMYFUNCTION("PROPER(REGEXREPLACE(G856,""[^A-Za-z]+ "",""""))"),"Proneo Certification")</f>
        <v xml:space="preserve">Proneo Certification</v>
      </c>
      <c r="I2279" s="5" t="s">
        <v>17603</v>
      </c>
      <c r="J2279" s="4" t="s">
        <v>39</v>
      </c>
      <c r="K2279" s="4" t="s">
        <v>9160</v>
      </c>
      <c r="L2279" s="4" t="s">
        <v>29</v>
      </c>
      <c r="M2279" s="4" t="s">
        <v>4067</v>
      </c>
      <c r="N2279" s="4" t="str">
        <f>IFERROR(__XLUDF.DUMMYFUNCTION("VLOOKUP(M856,IMPORTRANGE(""https://docs.google.com/spreadsheets/d/1opm6ZNvGZ7KditA9TuJwrZ25eFLfTNIkrNnY6mhV5Eg"",""list!A1:C115""),3,TRUE)"),"le secteur du conseil en management")</f>
        <v xml:space="preserve">le secteur du conseil en management</v>
      </c>
      <c r="O2279" s="4" t="s">
        <v>17604</v>
      </c>
      <c r="P2279" s="4">
        <v>19</v>
      </c>
      <c r="Q2279" s="4" t="s">
        <v>39</v>
      </c>
      <c r="R2279" s="4" t="s">
        <v>9160</v>
      </c>
      <c r="S2279" s="4" t="s">
        <v>29</v>
      </c>
      <c r="T2279" s="5" t="s">
        <v>17605</v>
      </c>
      <c r="U2279" s="6"/>
      <c r="V2279" s="5" t="s">
        <v>17606</v>
      </c>
      <c r="W2279" s="6"/>
      <c r="X2279" s="6"/>
      <c r="Y2279" s="4" t="s">
        <v>17607</v>
      </c>
      <c r="Z2279" s="6"/>
      <c r="AA2279" s="5" t="s">
        <v>17608</v>
      </c>
    </row>
    <row r="2280" ht="14.25">
      <c r="B2280" s="4" t="s">
        <v>17609</v>
      </c>
      <c r="C2280" s="4" t="s">
        <v>8049</v>
      </c>
      <c r="D2280" s="4" t="s">
        <v>1314</v>
      </c>
      <c r="E2280" s="4" t="s">
        <v>17610</v>
      </c>
      <c r="F2280" s="4" t="s">
        <v>17611</v>
      </c>
      <c r="G2280" s="4" t="s">
        <v>17612</v>
      </c>
      <c r="H2280" s="4" t="str">
        <f>IFERROR(__XLUDF.DUMMYFUNCTION("PROPER(REGEXREPLACE(G857,""[^A-Za-z]+ "",""""))"),"Cabinet Ace")</f>
        <v xml:space="preserve">Cabinet Ace</v>
      </c>
      <c r="I2280" s="5" t="s">
        <v>17613</v>
      </c>
      <c r="J2280" s="4" t="s">
        <v>1312</v>
      </c>
      <c r="K2280" s="4" t="s">
        <v>9350</v>
      </c>
      <c r="L2280" s="4" t="s">
        <v>29</v>
      </c>
      <c r="M2280" s="4" t="s">
        <v>4067</v>
      </c>
      <c r="N2280" s="4" t="str">
        <f>IFERROR(__XLUDF.DUMMYFUNCTION("VLOOKUP(M857,IMPORTRANGE(""https://docs.google.com/spreadsheets/d/1opm6ZNvGZ7KditA9TuJwrZ25eFLfTNIkrNnY6mhV5Eg"",""list!A1:C115""),3,TRUE)"),"le secteur du conseil en management")</f>
        <v xml:space="preserve">le secteur du conseil en management</v>
      </c>
      <c r="O2280" s="4" t="s">
        <v>17614</v>
      </c>
      <c r="P2280" s="4">
        <v>12</v>
      </c>
      <c r="Q2280" s="6"/>
      <c r="R2280" s="4" t="s">
        <v>9350</v>
      </c>
      <c r="S2280" s="4" t="s">
        <v>29</v>
      </c>
      <c r="T2280" s="5" t="s">
        <v>17615</v>
      </c>
      <c r="U2280" s="6"/>
      <c r="V2280" s="5" t="s">
        <v>17616</v>
      </c>
      <c r="W2280" s="6"/>
      <c r="X2280" s="6"/>
      <c r="Y2280" s="4" t="s">
        <v>17617</v>
      </c>
      <c r="Z2280" s="6"/>
      <c r="AA2280" s="5" t="s">
        <v>17618</v>
      </c>
    </row>
    <row r="2281" ht="14.25">
      <c r="B2281" s="8"/>
      <c r="C2281" s="8"/>
      <c r="D2281" s="8"/>
      <c r="E2281" s="8"/>
      <c r="F2281" s="8"/>
      <c r="G2281" s="9"/>
      <c r="H2281" s="8"/>
      <c r="I2281" s="8"/>
      <c r="J2281" s="10"/>
      <c r="K2281" s="10"/>
      <c r="L2281" s="8"/>
      <c r="M2281" s="8"/>
      <c r="N2281" s="8"/>
      <c r="O2281" s="8"/>
      <c r="P2281" s="8"/>
      <c r="Q2281" s="8"/>
      <c r="R2281" s="8"/>
      <c r="S2281" s="8"/>
      <c r="T2281" s="8"/>
      <c r="U2281" s="8"/>
      <c r="V2281" s="8"/>
      <c r="W2281" s="8"/>
      <c r="X2281" s="8"/>
      <c r="Y2281" s="8"/>
    </row>
    <row r="2282" ht="14.25">
      <c r="B2282" s="8"/>
      <c r="C2282" s="8"/>
      <c r="D2282" s="8"/>
      <c r="E2282" s="8"/>
      <c r="F2282" s="8"/>
      <c r="G2282" s="9"/>
      <c r="H2282" s="8"/>
      <c r="I2282" s="8"/>
      <c r="J2282" s="10"/>
      <c r="K2282" s="10"/>
      <c r="L2282" s="8"/>
      <c r="M2282" s="8"/>
      <c r="N2282" s="8"/>
      <c r="O2282" s="8"/>
      <c r="P2282" s="8"/>
      <c r="Q2282" s="8"/>
      <c r="R2282" s="8"/>
      <c r="S2282" s="8"/>
      <c r="T2282" s="8"/>
      <c r="U2282" s="8"/>
      <c r="V2282" s="8"/>
      <c r="W2282" s="8"/>
      <c r="X2282" s="8"/>
      <c r="Y2282" s="8"/>
    </row>
    <row r="2283" ht="14.25">
      <c r="B2283" s="8"/>
      <c r="C2283" s="8"/>
      <c r="D2283" s="8"/>
      <c r="E2283" s="8"/>
      <c r="F2283" s="8"/>
      <c r="G2283" s="9"/>
      <c r="H2283" s="8"/>
      <c r="I2283" s="8"/>
      <c r="J2283" s="10"/>
      <c r="K2283" s="10"/>
      <c r="L2283" s="8"/>
      <c r="M2283" s="8"/>
      <c r="N2283" s="8"/>
      <c r="O2283" s="8"/>
      <c r="P2283" s="8"/>
      <c r="Q2283" s="8"/>
      <c r="R2283" s="8"/>
      <c r="S2283" s="8"/>
      <c r="T2283" s="8"/>
      <c r="U2283" s="8"/>
      <c r="V2283" s="8"/>
      <c r="W2283" s="8"/>
      <c r="X2283" s="8"/>
      <c r="Y2283" s="8"/>
    </row>
    <row r="2284" ht="14.25">
      <c r="B2284" s="8"/>
      <c r="C2284" s="8"/>
      <c r="D2284" s="8"/>
      <c r="E2284" s="8"/>
      <c r="F2284" s="8"/>
      <c r="G2284" s="9"/>
      <c r="H2284" s="8"/>
      <c r="I2284" s="8"/>
      <c r="J2284" s="10"/>
      <c r="K2284" s="10"/>
      <c r="L2284" s="8"/>
      <c r="M2284" s="8"/>
      <c r="N2284" s="8"/>
      <c r="O2284" s="8"/>
      <c r="P2284" s="8"/>
      <c r="Q2284" s="8"/>
      <c r="R2284" s="8"/>
      <c r="S2284" s="8"/>
      <c r="T2284" s="8"/>
      <c r="U2284" s="8"/>
      <c r="V2284" s="8"/>
      <c r="W2284" s="8"/>
      <c r="X2284" s="8"/>
      <c r="Y2284" s="8"/>
    </row>
    <row r="2285" ht="14.25">
      <c r="B2285" s="12" t="s">
        <v>1</v>
      </c>
      <c r="C2285" s="12" t="s">
        <v>2</v>
      </c>
      <c r="D2285" s="12" t="s">
        <v>3</v>
      </c>
      <c r="E2285" s="12" t="s">
        <v>4</v>
      </c>
      <c r="F2285" s="12" t="s">
        <v>17619</v>
      </c>
      <c r="G2285" s="12" t="s">
        <v>5</v>
      </c>
      <c r="H2285" s="12" t="s">
        <v>6</v>
      </c>
      <c r="I2285" s="12" t="s">
        <v>17620</v>
      </c>
      <c r="J2285" s="12" t="s">
        <v>7</v>
      </c>
      <c r="K2285" s="12" t="s">
        <v>8</v>
      </c>
      <c r="L2285" s="12" t="s">
        <v>9</v>
      </c>
      <c r="M2285" s="12" t="s">
        <v>10</v>
      </c>
      <c r="N2285" s="12" t="s">
        <v>11</v>
      </c>
      <c r="O2285" s="12" t="s">
        <v>12</v>
      </c>
      <c r="P2285" s="12" t="s">
        <v>13</v>
      </c>
      <c r="Q2285" s="12" t="s">
        <v>14</v>
      </c>
      <c r="R2285" s="12"/>
      <c r="S2285" s="12" t="s">
        <v>16</v>
      </c>
      <c r="T2285" s="12" t="s">
        <v>17</v>
      </c>
      <c r="U2285" s="12" t="s">
        <v>18</v>
      </c>
      <c r="V2285" s="12" t="s">
        <v>19</v>
      </c>
      <c r="W2285" s="12"/>
      <c r="X2285" s="12"/>
      <c r="Y2285" s="12"/>
      <c r="Z2285" s="12"/>
      <c r="AA2285" s="12"/>
    </row>
    <row r="2286" ht="14.25">
      <c r="B2286" s="4" t="s">
        <v>95</v>
      </c>
      <c r="C2286" s="4" t="s">
        <v>17621</v>
      </c>
      <c r="D2286" s="4" t="s">
        <v>112</v>
      </c>
      <c r="E2286" s="4" t="s">
        <v>17622</v>
      </c>
      <c r="F2286" s="4" t="str">
        <f>IFERROR(__XLUDF.DUMMYFUNCTION("PROPER(REGEXREPLACE(D2,""[^A-Za-z]+ "",""""))"),"Icn Junior Conseil")</f>
        <v xml:space="preserve">Icn Junior Conseil</v>
      </c>
      <c r="G2286" s="4" t="s">
        <v>17623</v>
      </c>
      <c r="H2286" s="4">
        <v>21</v>
      </c>
      <c r="I2286" s="4" t="s">
        <v>4067</v>
      </c>
      <c r="J2286" s="4"/>
      <c r="K2286" s="5" t="s">
        <v>17624</v>
      </c>
      <c r="L2286" s="5" t="s">
        <v>17625</v>
      </c>
      <c r="M2286" s="4" t="s">
        <v>15147</v>
      </c>
      <c r="N2286" s="4" t="s">
        <v>29</v>
      </c>
      <c r="O2286" s="4" t="s">
        <v>3198</v>
      </c>
      <c r="P2286" s="4" t="s">
        <v>29</v>
      </c>
      <c r="Q2286" s="6"/>
      <c r="R2286" s="6"/>
      <c r="S2286" s="6"/>
      <c r="T2286" s="6"/>
      <c r="U2286" s="6"/>
      <c r="V2286" s="6"/>
      <c r="W2286" s="6"/>
      <c r="X2286" s="6"/>
      <c r="Y2286" s="6"/>
      <c r="Z2286" s="6"/>
      <c r="AA2286" s="6"/>
    </row>
    <row r="2287" ht="14.25">
      <c r="B2287" s="4" t="s">
        <v>110</v>
      </c>
      <c r="C2287" s="4" t="s">
        <v>17626</v>
      </c>
      <c r="D2287" s="4" t="s">
        <v>468</v>
      </c>
      <c r="E2287" s="4" t="s">
        <v>17627</v>
      </c>
      <c r="F2287" s="4" t="str">
        <f>IFERROR(__XLUDF.DUMMYFUNCTION("PROPER(REGEXREPLACE(D3,""[^A-Za-z]+ "",""""))"),"My Retail Box")</f>
        <v xml:space="preserve">My Retail Box</v>
      </c>
      <c r="G2287" s="4" t="s">
        <v>17628</v>
      </c>
      <c r="H2287" s="4">
        <v>170</v>
      </c>
      <c r="I2287" s="4" t="s">
        <v>4525</v>
      </c>
      <c r="J2287" s="4"/>
      <c r="K2287" s="5" t="s">
        <v>17629</v>
      </c>
      <c r="L2287" s="5" t="s">
        <v>17630</v>
      </c>
      <c r="M2287" s="4" t="s">
        <v>17631</v>
      </c>
      <c r="N2287" s="4" t="s">
        <v>29</v>
      </c>
      <c r="O2287" s="4" t="s">
        <v>17632</v>
      </c>
      <c r="P2287" s="4" t="s">
        <v>29</v>
      </c>
      <c r="Q2287" s="6"/>
      <c r="R2287" s="6"/>
      <c r="S2287" s="6"/>
      <c r="T2287" s="6"/>
      <c r="U2287" s="6"/>
      <c r="V2287" s="6"/>
      <c r="W2287" s="6"/>
      <c r="X2287" s="6"/>
      <c r="Y2287" s="6"/>
      <c r="Z2287" s="6"/>
      <c r="AA2287" s="6"/>
    </row>
    <row r="2288" ht="14.25">
      <c r="B2288" s="4" t="s">
        <v>2508</v>
      </c>
      <c r="C2288" s="4" t="s">
        <v>17633</v>
      </c>
      <c r="D2288" s="4" t="s">
        <v>17634</v>
      </c>
      <c r="E2288" s="4" t="s">
        <v>17635</v>
      </c>
      <c r="F2288" s="4" t="str">
        <f>IFERROR(__XLUDF.DUMMYFUNCTION("PROPER(REGEXREPLACE(D4,""[^A-Za-z]+ "",""""))"),"Polymex")</f>
        <v>Polymex</v>
      </c>
      <c r="G2288" s="4" t="s">
        <v>17636</v>
      </c>
      <c r="H2288" s="4">
        <v>18</v>
      </c>
      <c r="I2288" s="4" t="s">
        <v>4067</v>
      </c>
      <c r="J2288" s="4" t="str">
        <f>IFERROR(__XLUDF.DUMMYFUNCTION("VLOOKUP(H4,IMPORTRANGE(""https://docs.google.com/spreadsheets/d/1opm6ZNvGZ7KditA9TuJwrZ25eFLfTNIkrNnY6mhV5Eg"",""list!A1:C115""),3,TRUE)"),"le secteur du conseil en management")</f>
        <v xml:space="preserve">le secteur du conseil en management</v>
      </c>
      <c r="K2288" s="5" t="s">
        <v>17637</v>
      </c>
      <c r="L2288" s="5" t="s">
        <v>17638</v>
      </c>
      <c r="M2288" s="4" t="s">
        <v>295</v>
      </c>
      <c r="N2288" s="4" t="s">
        <v>29</v>
      </c>
      <c r="O2288" s="4" t="s">
        <v>17639</v>
      </c>
      <c r="P2288" s="4" t="s">
        <v>29</v>
      </c>
      <c r="Q2288" s="4" t="s">
        <v>17640</v>
      </c>
      <c r="R2288" s="6"/>
      <c r="S2288" s="6"/>
      <c r="T2288" s="6"/>
      <c r="U2288" s="6"/>
      <c r="V2288" s="6"/>
      <c r="W2288" s="6"/>
      <c r="X2288" s="6"/>
      <c r="Y2288" s="6"/>
      <c r="Z2288" s="6"/>
      <c r="AA2288" s="6"/>
    </row>
    <row r="2289" ht="14.25">
      <c r="B2289" s="4" t="s">
        <v>17641</v>
      </c>
      <c r="C2289" s="4" t="s">
        <v>17642</v>
      </c>
      <c r="D2289" s="4" t="s">
        <v>164</v>
      </c>
      <c r="E2289" s="4" t="s">
        <v>17643</v>
      </c>
      <c r="F2289" s="4" t="str">
        <f>IFERROR(__XLUDF.DUMMYFUNCTION("PROPER(REGEXREPLACE(D5,""[^A-Za-z]+ "",""""))"),"Temps D'Avance")</f>
        <v xml:space="preserve">Temps D'Avance</v>
      </c>
      <c r="G2289" s="4" t="s">
        <v>17644</v>
      </c>
      <c r="H2289" s="4">
        <v>48</v>
      </c>
      <c r="I2289" s="4" t="s">
        <v>4067</v>
      </c>
      <c r="J2289" s="4" t="str">
        <f>IFERROR(__XLUDF.DUMMYFUNCTION("VLOOKUP(H5,IMPORTRANGE(""https://docs.google.com/spreadsheets/d/1opm6ZNvGZ7KditA9TuJwrZ25eFLfTNIkrNnY6mhV5Eg"",""list!A1:C115""),3,TRUE)"),"le secteur du conseil en management")</f>
        <v xml:space="preserve">le secteur du conseil en management</v>
      </c>
      <c r="K2289" s="5" t="s">
        <v>17645</v>
      </c>
      <c r="L2289" s="5" t="s">
        <v>17646</v>
      </c>
      <c r="M2289" s="4" t="s">
        <v>17647</v>
      </c>
      <c r="N2289" s="4" t="s">
        <v>29</v>
      </c>
      <c r="O2289" s="4" t="s">
        <v>17648</v>
      </c>
      <c r="P2289" s="4" t="s">
        <v>29</v>
      </c>
      <c r="Q2289" s="4" t="s">
        <v>17649</v>
      </c>
      <c r="R2289" s="6"/>
      <c r="S2289" s="6"/>
      <c r="T2289" s="6"/>
      <c r="U2289" s="6"/>
      <c r="V2289" s="6"/>
      <c r="W2289" s="6"/>
      <c r="X2289" s="6"/>
      <c r="Y2289" s="6"/>
      <c r="Z2289" s="6"/>
      <c r="AA2289" s="6"/>
    </row>
    <row r="2290" ht="14.25">
      <c r="B2290" s="4" t="s">
        <v>5406</v>
      </c>
      <c r="C2290" s="4" t="s">
        <v>17650</v>
      </c>
      <c r="D2290" s="4" t="s">
        <v>17651</v>
      </c>
      <c r="E2290" s="4" t="s">
        <v>17652</v>
      </c>
      <c r="F2290" s="4" t="str">
        <f>IFERROR(__XLUDF.DUMMYFUNCTION("PROPER(REGEXREPLACE(D6,""[^A-Za-z]+ "",""""))"),"Newage")</f>
        <v>Newage</v>
      </c>
      <c r="G2290" s="4" t="s">
        <v>17653</v>
      </c>
      <c r="H2290" s="4">
        <v>49</v>
      </c>
      <c r="I2290" s="4" t="s">
        <v>2602</v>
      </c>
      <c r="J2290" s="4" t="str">
        <f>IFERROR(__XLUDF.DUMMYFUNCTION("VLOOKUP(H6,IMPORTRANGE(""https://docs.google.com/spreadsheets/d/1opm6ZNvGZ7KditA9TuJwrZ25eFLfTNIkrNnY6mhV5Eg"",""list!A1:C115""),3,TRUE)"),"le secteur de la tech")</f>
        <v xml:space="preserve">le secteur de la tech</v>
      </c>
      <c r="K2290" s="5" t="s">
        <v>17654</v>
      </c>
      <c r="L2290" s="5" t="s">
        <v>17655</v>
      </c>
      <c r="M2290" s="4" t="s">
        <v>1878</v>
      </c>
      <c r="N2290" s="4" t="s">
        <v>29</v>
      </c>
      <c r="O2290" s="4" t="s">
        <v>7387</v>
      </c>
      <c r="P2290" s="4" t="s">
        <v>29</v>
      </c>
      <c r="Q2290" s="6"/>
      <c r="R2290" s="6"/>
      <c r="S2290" s="6"/>
      <c r="T2290" s="6"/>
      <c r="U2290" s="6"/>
      <c r="V2290" s="6"/>
      <c r="W2290" s="6"/>
      <c r="X2290" s="6"/>
      <c r="Y2290" s="6"/>
      <c r="Z2290" s="6"/>
      <c r="AA2290" s="6"/>
    </row>
    <row r="2291" ht="14.25">
      <c r="B2291" s="4" t="s">
        <v>330</v>
      </c>
      <c r="C2291" s="4" t="s">
        <v>4933</v>
      </c>
      <c r="D2291" s="4" t="s">
        <v>17656</v>
      </c>
      <c r="E2291" s="4" t="s">
        <v>17657</v>
      </c>
      <c r="F2291" s="4" t="str">
        <f>IFERROR(__XLUDF.DUMMYFUNCTION("PROPER(REGEXREPLACE(D7,""[^A-Za-z]+ "",""""))"),"Innokin France")</f>
        <v xml:space="preserve">Innokin France</v>
      </c>
      <c r="G2291" s="4" t="s">
        <v>17658</v>
      </c>
      <c r="H2291" s="4">
        <v>21</v>
      </c>
      <c r="I2291" s="4" t="s">
        <v>10215</v>
      </c>
      <c r="J2291" s="4" t="str">
        <f>IFERROR(__XLUDF.DUMMYFUNCTION("VLOOKUP(H7,IMPORTRANGE(""https://docs.google.com/spreadsheets/d/1opm6ZNvGZ7KditA9TuJwrZ25eFLfTNIkrNnY6mhV5Eg"",""list!A1:C115""),3,TRUE)"),"le secteur de l'électrique et électronique")</f>
        <v xml:space="preserve">le secteur de l'électrique et électronique</v>
      </c>
      <c r="K2291" s="5" t="s">
        <v>17659</v>
      </c>
      <c r="L2291" s="5" t="s">
        <v>17660</v>
      </c>
      <c r="M2291" s="4" t="s">
        <v>846</v>
      </c>
      <c r="N2291" s="4" t="s">
        <v>29</v>
      </c>
      <c r="O2291" s="4" t="s">
        <v>17661</v>
      </c>
      <c r="P2291" s="4" t="s">
        <v>29</v>
      </c>
      <c r="Q2291" s="6"/>
      <c r="R2291" s="6"/>
      <c r="S2291" s="6"/>
      <c r="T2291" s="6"/>
      <c r="U2291" s="6"/>
      <c r="V2291" s="6"/>
      <c r="W2291" s="6"/>
      <c r="X2291" s="6"/>
      <c r="Y2291" s="6"/>
      <c r="Z2291" s="6"/>
      <c r="AA2291" s="6"/>
    </row>
    <row r="2292" ht="14.25">
      <c r="B2292" s="4" t="s">
        <v>17662</v>
      </c>
      <c r="C2292" s="4" t="s">
        <v>17663</v>
      </c>
      <c r="D2292" s="4" t="s">
        <v>17664</v>
      </c>
      <c r="E2292" s="4" t="s">
        <v>17665</v>
      </c>
      <c r="F2292" s="4" t="str">
        <f>IFERROR(__XLUDF.DUMMYFUNCTION("PROPER(REGEXREPLACE(D8,""[^A-Za-z]+ "",""""))"),"Overspeed")</f>
        <v>Overspeed</v>
      </c>
      <c r="G2292" s="4" t="s">
        <v>17666</v>
      </c>
      <c r="H2292" s="4">
        <v>12</v>
      </c>
      <c r="I2292" s="4" t="s">
        <v>10215</v>
      </c>
      <c r="J2292" s="4"/>
      <c r="K2292" s="5" t="s">
        <v>17667</v>
      </c>
      <c r="L2292" s="5" t="s">
        <v>17668</v>
      </c>
      <c r="M2292" s="4" t="s">
        <v>492</v>
      </c>
      <c r="N2292" s="4" t="s">
        <v>29</v>
      </c>
      <c r="O2292" s="4" t="s">
        <v>17669</v>
      </c>
      <c r="P2292" s="4" t="s">
        <v>29</v>
      </c>
      <c r="Q2292" s="6"/>
      <c r="R2292" s="6"/>
      <c r="S2292" s="6"/>
      <c r="T2292" s="6"/>
      <c r="U2292" s="6"/>
      <c r="V2292" s="6"/>
      <c r="W2292" s="6"/>
      <c r="X2292" s="6"/>
      <c r="Y2292" s="6"/>
      <c r="Z2292" s="6"/>
      <c r="AA2292" s="6"/>
    </row>
    <row r="2293" ht="14.25">
      <c r="B2293" s="4" t="s">
        <v>5728</v>
      </c>
      <c r="C2293" s="4" t="s">
        <v>17670</v>
      </c>
      <c r="D2293" s="4" t="s">
        <v>172</v>
      </c>
      <c r="E2293" s="4" t="s">
        <v>17671</v>
      </c>
      <c r="F2293" s="4" t="str">
        <f>IFERROR(__XLUDF.DUMMYFUNCTION("PROPER(REGEXREPLACE(D9,""[^A-Za-z]+ "",""""))"),"Gedivote")</f>
        <v>Gedivote</v>
      </c>
      <c r="G2293" s="4" t="s">
        <v>17672</v>
      </c>
      <c r="H2293" s="4">
        <v>26</v>
      </c>
      <c r="I2293" s="4" t="s">
        <v>2602</v>
      </c>
      <c r="J2293" s="4" t="str">
        <f>IFERROR(__XLUDF.DUMMYFUNCTION("VLOOKUP(H9,IMPORTRANGE(""https://docs.google.com/spreadsheets/d/1opm6ZNvGZ7KditA9TuJwrZ25eFLfTNIkrNnY6mhV5Eg"",""list!A1:C115""),3,TRUE)"),"le secteur de la tech")</f>
        <v xml:space="preserve">le secteur de la tech</v>
      </c>
      <c r="K2293" s="5" t="s">
        <v>17673</v>
      </c>
      <c r="L2293" s="5" t="s">
        <v>17674</v>
      </c>
      <c r="M2293" s="4" t="s">
        <v>1826</v>
      </c>
      <c r="N2293" s="4" t="s">
        <v>29</v>
      </c>
      <c r="O2293" s="4" t="s">
        <v>17675</v>
      </c>
      <c r="P2293" s="4" t="s">
        <v>29</v>
      </c>
      <c r="Q2293" s="4" t="s">
        <v>17676</v>
      </c>
      <c r="R2293" s="6"/>
      <c r="S2293" s="6"/>
      <c r="T2293" s="6"/>
      <c r="U2293" s="6"/>
      <c r="V2293" s="6"/>
      <c r="W2293" s="6"/>
      <c r="X2293" s="6"/>
      <c r="Y2293" s="6"/>
      <c r="Z2293" s="6"/>
      <c r="AA2293" s="6"/>
    </row>
    <row r="2294" ht="14.25">
      <c r="B2294" s="4" t="s">
        <v>279</v>
      </c>
      <c r="C2294" s="4" t="s">
        <v>17677</v>
      </c>
      <c r="D2294" s="4" t="s">
        <v>172</v>
      </c>
      <c r="E2294" s="4" t="s">
        <v>17678</v>
      </c>
      <c r="F2294" s="4" t="str">
        <f>IFERROR(__XLUDF.DUMMYFUNCTION("PROPER(REGEXREPLACE(D10,""[^A-Za-z]+ "",""""))"),"Le Moulin Des Affaires")</f>
        <v xml:space="preserve">Le Moulin Des Affaires</v>
      </c>
      <c r="G2294" s="4" t="s">
        <v>17679</v>
      </c>
      <c r="H2294" s="4">
        <v>11</v>
      </c>
      <c r="I2294" s="4" t="s">
        <v>4525</v>
      </c>
      <c r="J2294" s="4" t="str">
        <f>IFERROR(__XLUDF.DUMMYFUNCTION("VLOOKUP(H10,IMPORTRANGE(""https://docs.google.com/spreadsheets/d/1opm6ZNvGZ7KditA9TuJwrZ25eFLfTNIkrNnY6mhV5Eg"",""list!A1:C115""),3,TRUE)"),"le secteur du retail")</f>
        <v xml:space="preserve">le secteur du retail</v>
      </c>
      <c r="K2294" s="5" t="s">
        <v>17680</v>
      </c>
      <c r="L2294" s="5" t="s">
        <v>17681</v>
      </c>
      <c r="M2294" s="4" t="s">
        <v>17682</v>
      </c>
      <c r="N2294" s="4" t="s">
        <v>29</v>
      </c>
      <c r="O2294" s="4" t="s">
        <v>17683</v>
      </c>
      <c r="P2294" s="4" t="s">
        <v>29</v>
      </c>
      <c r="Q2294" s="4" t="s">
        <v>17684</v>
      </c>
      <c r="R2294" s="6"/>
      <c r="S2294" s="6"/>
      <c r="T2294" s="6"/>
      <c r="U2294" s="6"/>
      <c r="V2294" s="6"/>
      <c r="W2294" s="6"/>
      <c r="X2294" s="6"/>
      <c r="Y2294" s="6"/>
      <c r="Z2294" s="6"/>
      <c r="AA2294" s="6"/>
    </row>
    <row r="2295" ht="14.25">
      <c r="B2295" s="4" t="s">
        <v>2299</v>
      </c>
      <c r="C2295" s="4" t="s">
        <v>17685</v>
      </c>
      <c r="D2295" s="4" t="s">
        <v>17686</v>
      </c>
      <c r="E2295" s="4" t="s">
        <v>11961</v>
      </c>
      <c r="F2295" s="4" t="str">
        <f>IFERROR(__XLUDF.DUMMYFUNCTION("PROPER(REGEXREPLACE(D11,""[^A-Za-z]+ "",""""))"),"Enence")</f>
        <v>Enence</v>
      </c>
      <c r="G2295" s="4" t="s">
        <v>17687</v>
      </c>
      <c r="H2295" s="4">
        <v>34</v>
      </c>
      <c r="I2295" s="4" t="s">
        <v>4067</v>
      </c>
      <c r="J2295" s="4" t="str">
        <f>IFERROR(__XLUDF.DUMMYFUNCTION("VLOOKUP(H11,IMPORTRANGE(""https://docs.google.com/spreadsheets/d/1opm6ZNvGZ7KditA9TuJwrZ25eFLfTNIkrNnY6mhV5Eg"",""list!A1:C115""),3,TRUE)"),"le secteur du conseil en management")</f>
        <v xml:space="preserve">le secteur du conseil en management</v>
      </c>
      <c r="K2295" s="5" t="s">
        <v>17688</v>
      </c>
      <c r="L2295" s="5" t="s">
        <v>17689</v>
      </c>
      <c r="M2295" s="4" t="s">
        <v>17690</v>
      </c>
      <c r="N2295" s="4" t="s">
        <v>29</v>
      </c>
      <c r="O2295" s="4" t="s">
        <v>17691</v>
      </c>
      <c r="P2295" s="4" t="s">
        <v>29</v>
      </c>
      <c r="Q2295" s="4" t="s">
        <v>11966</v>
      </c>
      <c r="R2295" s="6"/>
      <c r="S2295" s="6"/>
      <c r="T2295" s="6"/>
      <c r="U2295" s="6"/>
      <c r="V2295" s="6"/>
      <c r="W2295" s="6"/>
      <c r="X2295" s="6"/>
      <c r="Y2295" s="6"/>
      <c r="Z2295" s="6"/>
      <c r="AA2295" s="6"/>
    </row>
    <row r="2296" ht="14.25">
      <c r="B2296" s="4" t="s">
        <v>1596</v>
      </c>
      <c r="C2296" s="4" t="s">
        <v>17692</v>
      </c>
      <c r="D2296" s="4" t="s">
        <v>112</v>
      </c>
      <c r="E2296" s="4" t="s">
        <v>17693</v>
      </c>
      <c r="F2296" s="4" t="str">
        <f>IFERROR(__XLUDF.DUMMYFUNCTION("PROPER(REGEXREPLACE(D12,""[^A-Za-z]+ "",""""))"),"Abc Liv")</f>
        <v xml:space="preserve">Abc Liv</v>
      </c>
      <c r="G2296" s="4" t="s">
        <v>17694</v>
      </c>
      <c r="H2296" s="4">
        <v>18</v>
      </c>
      <c r="I2296" s="4" t="s">
        <v>4067</v>
      </c>
      <c r="J2296" s="4"/>
      <c r="K2296" s="5" t="s">
        <v>17695</v>
      </c>
      <c r="L2296" s="5" t="s">
        <v>17696</v>
      </c>
      <c r="M2296" s="4" t="s">
        <v>39</v>
      </c>
      <c r="N2296" s="4" t="s">
        <v>29</v>
      </c>
      <c r="O2296" s="4" t="s">
        <v>17697</v>
      </c>
      <c r="P2296" s="4" t="s">
        <v>29</v>
      </c>
      <c r="Q2296" s="4" t="s">
        <v>17698</v>
      </c>
      <c r="R2296" s="6"/>
      <c r="S2296" s="6"/>
      <c r="T2296" s="6"/>
      <c r="U2296" s="6"/>
      <c r="V2296" s="6"/>
      <c r="W2296" s="6"/>
      <c r="X2296" s="6"/>
      <c r="Y2296" s="6"/>
      <c r="Z2296" s="6"/>
      <c r="AA2296" s="6"/>
    </row>
    <row r="2297" ht="14.25">
      <c r="B2297" s="4" t="s">
        <v>7223</v>
      </c>
      <c r="C2297" s="4" t="s">
        <v>17699</v>
      </c>
      <c r="D2297" s="4" t="s">
        <v>688</v>
      </c>
      <c r="E2297" s="4" t="s">
        <v>17700</v>
      </c>
      <c r="F2297" s="4" t="str">
        <f>IFERROR(__XLUDF.DUMMYFUNCTION("PROPER(REGEXREPLACE(D13,""[^A-Za-z]+ "",""""))"),"Make Me Win")</f>
        <v xml:space="preserve">Make Me Win</v>
      </c>
      <c r="G2297" s="4" t="s">
        <v>17701</v>
      </c>
      <c r="H2297" s="4">
        <v>11</v>
      </c>
      <c r="I2297" s="4" t="s">
        <v>2602</v>
      </c>
      <c r="J2297" s="4" t="str">
        <f>IFERROR(__XLUDF.DUMMYFUNCTION("VLOOKUP(H13,IMPORTRANGE(""https://docs.google.com/spreadsheets/d/1opm6ZNvGZ7KditA9TuJwrZ25eFLfTNIkrNnY6mhV5Eg"",""list!A1:C115""),3,TRUE)"),"le secteur de la tech")</f>
        <v xml:space="preserve">le secteur de la tech</v>
      </c>
      <c r="K2297" s="5" t="s">
        <v>17702</v>
      </c>
      <c r="L2297" s="5" t="s">
        <v>17703</v>
      </c>
      <c r="M2297" s="4" t="s">
        <v>39</v>
      </c>
      <c r="N2297" s="4" t="s">
        <v>29</v>
      </c>
      <c r="O2297" s="4" t="s">
        <v>17704</v>
      </c>
      <c r="P2297" s="4" t="s">
        <v>29</v>
      </c>
      <c r="Q2297" s="6"/>
      <c r="R2297" s="6"/>
      <c r="S2297" s="6"/>
      <c r="T2297" s="6"/>
      <c r="U2297" s="6"/>
      <c r="V2297" s="6"/>
      <c r="W2297" s="6"/>
      <c r="X2297" s="6"/>
      <c r="Y2297" s="6"/>
      <c r="Z2297" s="6"/>
      <c r="AA2297" s="6"/>
    </row>
    <row r="2298" ht="14.25">
      <c r="B2298" s="4" t="s">
        <v>6788</v>
      </c>
      <c r="C2298" s="4" t="s">
        <v>17705</v>
      </c>
      <c r="D2298" s="4" t="s">
        <v>2281</v>
      </c>
      <c r="E2298" s="4" t="s">
        <v>17706</v>
      </c>
      <c r="F2298" s="4" t="str">
        <f>IFERROR(__XLUDF.DUMMYFUNCTION("PROPER(REGEXREPLACE(D14,""[^A-Za-z]+ "",""""))"),"Serenicity")</f>
        <v>Serenicity</v>
      </c>
      <c r="G2298" s="4" t="s">
        <v>17707</v>
      </c>
      <c r="H2298" s="4">
        <v>12</v>
      </c>
      <c r="I2298" s="4" t="s">
        <v>9264</v>
      </c>
      <c r="J2298" s="4" t="str">
        <f>IFERROR(__XLUDF.DUMMYFUNCTION("VLOOKUP(H14,IMPORTRANGE(""https://docs.google.com/spreadsheets/d/1opm6ZNvGZ7KditA9TuJwrZ25eFLfTNIkrNnY6mhV5Eg"",""list!A1:C115""),3,TRUE)"),"le secteur de la sécurité informatique")</f>
        <v xml:space="preserve">le secteur de la sécurité informatique</v>
      </c>
      <c r="K2298" s="5" t="s">
        <v>17708</v>
      </c>
      <c r="L2298" s="5" t="s">
        <v>17709</v>
      </c>
      <c r="M2298" s="4" t="s">
        <v>831</v>
      </c>
      <c r="N2298" s="4" t="s">
        <v>29</v>
      </c>
      <c r="O2298" s="4" t="s">
        <v>17710</v>
      </c>
      <c r="P2298" s="4" t="s">
        <v>29</v>
      </c>
      <c r="Q2298" s="6"/>
      <c r="R2298" s="6"/>
      <c r="S2298" s="6"/>
      <c r="T2298" s="6"/>
      <c r="U2298" s="6"/>
      <c r="V2298" s="6"/>
      <c r="W2298" s="6"/>
      <c r="X2298" s="6"/>
      <c r="Y2298" s="6"/>
      <c r="Z2298" s="6"/>
      <c r="AA2298" s="6"/>
    </row>
    <row r="2299" ht="14.25">
      <c r="B2299" s="4" t="s">
        <v>5111</v>
      </c>
      <c r="C2299" s="4" t="s">
        <v>17711</v>
      </c>
      <c r="D2299" s="4" t="s">
        <v>2636</v>
      </c>
      <c r="E2299" s="4" t="s">
        <v>17712</v>
      </c>
      <c r="F2299" s="4" t="str">
        <f>IFERROR(__XLUDF.DUMMYFUNCTION("PROPER(REGEXREPLACE(D15,""[^A-Za-z]+ "",""""))"),"Influences")</f>
        <v>Influences</v>
      </c>
      <c r="G2299" s="4" t="s">
        <v>17713</v>
      </c>
      <c r="H2299" s="4">
        <v>20</v>
      </c>
      <c r="I2299" s="4" t="s">
        <v>10639</v>
      </c>
      <c r="J2299" s="4" t="str">
        <f>IFERROR(__XLUDF.DUMMYFUNCTION("VLOOKUP(H15,IMPORTRANGE(""https://docs.google.com/spreadsheets/d/1opm6ZNvGZ7KditA9TuJwrZ25eFLfTNIkrNnY6mhV5Eg"",""list!A1:C115""),3,TRUE)"),"le secteur de la communication")</f>
        <v xml:space="preserve">le secteur de la communication</v>
      </c>
      <c r="K2299" s="5" t="s">
        <v>17714</v>
      </c>
      <c r="L2299" s="5" t="s">
        <v>17715</v>
      </c>
      <c r="M2299" s="4" t="s">
        <v>39</v>
      </c>
      <c r="N2299" s="4" t="s">
        <v>29</v>
      </c>
      <c r="O2299" s="4" t="s">
        <v>17716</v>
      </c>
      <c r="P2299" s="4" t="s">
        <v>29</v>
      </c>
      <c r="Q2299" s="4" t="s">
        <v>17717</v>
      </c>
      <c r="R2299" s="6"/>
      <c r="S2299" s="6"/>
      <c r="T2299" s="6"/>
      <c r="U2299" s="6"/>
      <c r="V2299" s="6"/>
      <c r="W2299" s="6"/>
      <c r="X2299" s="6"/>
      <c r="Y2299" s="6"/>
      <c r="Z2299" s="6"/>
      <c r="AA2299" s="6"/>
    </row>
    <row r="2300" ht="14.25">
      <c r="B2300" s="4" t="s">
        <v>12327</v>
      </c>
      <c r="C2300" s="4" t="s">
        <v>17718</v>
      </c>
      <c r="D2300" s="4" t="s">
        <v>426</v>
      </c>
      <c r="E2300" s="4" t="s">
        <v>17719</v>
      </c>
      <c r="F2300" s="4" t="str">
        <f>IFERROR(__XLUDF.DUMMYFUNCTION("PROPER(REGEXREPLACE(D16,""[^A-Za-z]+ "",""""))"),"Serlabo")</f>
        <v>Serlabo</v>
      </c>
      <c r="G2300" s="4" t="s">
        <v>17720</v>
      </c>
      <c r="H2300" s="4">
        <v>26</v>
      </c>
      <c r="I2300" s="4" t="s">
        <v>4525</v>
      </c>
      <c r="J2300" s="4" t="str">
        <f>IFERROR(__XLUDF.DUMMYFUNCTION("VLOOKUP(H16,IMPORTRANGE(""https://docs.google.com/spreadsheets/d/1opm6ZNvGZ7KditA9TuJwrZ25eFLfTNIkrNnY6mhV5Eg"",""list!A1:C115""),3,TRUE)"),"le secteur du retail")</f>
        <v xml:space="preserve">le secteur du retail</v>
      </c>
      <c r="K2300" s="5" t="s">
        <v>17721</v>
      </c>
      <c r="L2300" s="5" t="s">
        <v>17722</v>
      </c>
      <c r="M2300" s="4" t="s">
        <v>17723</v>
      </c>
      <c r="N2300" s="4" t="s">
        <v>29</v>
      </c>
      <c r="O2300" s="4" t="s">
        <v>17724</v>
      </c>
      <c r="P2300" s="4" t="s">
        <v>29</v>
      </c>
      <c r="Q2300" s="6"/>
      <c r="R2300" s="6"/>
      <c r="S2300" s="6"/>
      <c r="T2300" s="6"/>
      <c r="U2300" s="6"/>
      <c r="V2300" s="6"/>
      <c r="W2300" s="6"/>
      <c r="X2300" s="6"/>
      <c r="Y2300" s="6"/>
      <c r="Z2300" s="6"/>
      <c r="AA2300" s="6"/>
    </row>
    <row r="2301" ht="14.25">
      <c r="B2301" s="4" t="s">
        <v>661</v>
      </c>
      <c r="C2301" s="4" t="s">
        <v>17725</v>
      </c>
      <c r="D2301" s="4" t="s">
        <v>87</v>
      </c>
      <c r="E2301" s="4" t="s">
        <v>17726</v>
      </c>
      <c r="F2301" s="4" t="str">
        <f>IFERROR(__XLUDF.DUMMYFUNCTION("PROPER(REGEXREPLACE(D17,""[^A-Za-z]+ "",""""))"),"Cerealog")</f>
        <v>Cerealog</v>
      </c>
      <c r="G2301" s="4" t="s">
        <v>17727</v>
      </c>
      <c r="H2301" s="4">
        <v>44</v>
      </c>
      <c r="I2301" s="4" t="s">
        <v>2602</v>
      </c>
      <c r="J2301" s="4" t="str">
        <f>IFERROR(__XLUDF.DUMMYFUNCTION("VLOOKUP(H17,IMPORTRANGE(""https://docs.google.com/spreadsheets/d/1opm6ZNvGZ7KditA9TuJwrZ25eFLfTNIkrNnY6mhV5Eg"",""list!A1:C115""),3,TRUE)"),"le secteur de la tech")</f>
        <v xml:space="preserve">le secteur de la tech</v>
      </c>
      <c r="K2301" s="5" t="s">
        <v>17728</v>
      </c>
      <c r="L2301" s="5" t="s">
        <v>17729</v>
      </c>
      <c r="M2301" s="4" t="s">
        <v>2186</v>
      </c>
      <c r="N2301" s="4" t="s">
        <v>29</v>
      </c>
      <c r="O2301" s="4" t="s">
        <v>17730</v>
      </c>
      <c r="P2301" s="4" t="s">
        <v>29</v>
      </c>
      <c r="Q2301" s="6"/>
      <c r="R2301" s="6"/>
      <c r="S2301" s="6"/>
      <c r="T2301" s="6"/>
      <c r="U2301" s="6"/>
      <c r="V2301" s="6"/>
      <c r="W2301" s="6"/>
      <c r="X2301" s="6"/>
      <c r="Y2301" s="6"/>
      <c r="Z2301" s="6"/>
      <c r="AA2301" s="6"/>
    </row>
    <row r="2302" ht="14.25">
      <c r="B2302" s="4" t="s">
        <v>95</v>
      </c>
      <c r="C2302" s="4" t="s">
        <v>17731</v>
      </c>
      <c r="D2302" s="4" t="s">
        <v>172</v>
      </c>
      <c r="E2302" s="4" t="s">
        <v>17732</v>
      </c>
      <c r="F2302" s="4" t="str">
        <f>IFERROR(__XLUDF.DUMMYFUNCTION("PROPER(REGEXREPLACE(D18,""[^A-Za-z]+ "",""""))"),"Safehear")</f>
        <v>Safehear</v>
      </c>
      <c r="G2302" s="4" t="s">
        <v>17733</v>
      </c>
      <c r="H2302" s="4">
        <v>12</v>
      </c>
      <c r="I2302" s="4" t="s">
        <v>2602</v>
      </c>
      <c r="J2302" s="4" t="str">
        <f>IFERROR(__XLUDF.DUMMYFUNCTION("VLOOKUP(H18,IMPORTRANGE(""https://docs.google.com/spreadsheets/d/1opm6ZNvGZ7KditA9TuJwrZ25eFLfTNIkrNnY6mhV5Eg"",""list!A1:C115""),3,TRUE)"),"le secteur de la tech")</f>
        <v xml:space="preserve">le secteur de la tech</v>
      </c>
      <c r="K2302" s="5" t="s">
        <v>17734</v>
      </c>
      <c r="L2302" s="5" t="s">
        <v>17735</v>
      </c>
      <c r="M2302" s="4" t="s">
        <v>185</v>
      </c>
      <c r="N2302" s="4" t="s">
        <v>29</v>
      </c>
      <c r="O2302" s="4" t="s">
        <v>17736</v>
      </c>
      <c r="P2302" s="4" t="s">
        <v>29</v>
      </c>
      <c r="Q2302" s="4" t="s">
        <v>17737</v>
      </c>
      <c r="R2302" s="6"/>
      <c r="S2302" s="6"/>
      <c r="T2302" s="6"/>
      <c r="U2302" s="6"/>
      <c r="V2302" s="6"/>
      <c r="W2302" s="6"/>
      <c r="X2302" s="6"/>
      <c r="Y2302" s="6"/>
      <c r="Z2302" s="6"/>
      <c r="AA2302" s="6"/>
    </row>
    <row r="2303" ht="14.25">
      <c r="B2303" s="4" t="s">
        <v>330</v>
      </c>
      <c r="C2303" s="4" t="s">
        <v>17738</v>
      </c>
      <c r="D2303" s="4" t="s">
        <v>315</v>
      </c>
      <c r="E2303" s="4" t="s">
        <v>17739</v>
      </c>
      <c r="F2303" s="4" t="str">
        <f>IFERROR(__XLUDF.DUMMYFUNCTION("PROPER(REGEXREPLACE(D19,""[^A-Za-z]+ "",""""))"),"Ubikwi")</f>
        <v>Ubikwi</v>
      </c>
      <c r="G2303" s="4" t="s">
        <v>17740</v>
      </c>
      <c r="H2303" s="4">
        <v>13</v>
      </c>
      <c r="I2303" s="4" t="s">
        <v>2602</v>
      </c>
      <c r="J2303" s="4" t="str">
        <f>IFERROR(__XLUDF.DUMMYFUNCTION("VLOOKUP(H19,IMPORTRANGE(""https://docs.google.com/spreadsheets/d/1opm6ZNvGZ7KditA9TuJwrZ25eFLfTNIkrNnY6mhV5Eg"",""list!A1:C115""),3,TRUE)"),"le secteur de la tech")</f>
        <v xml:space="preserve">le secteur de la tech</v>
      </c>
      <c r="K2303" s="5" t="s">
        <v>17741</v>
      </c>
      <c r="L2303" s="5" t="s">
        <v>17742</v>
      </c>
      <c r="M2303" s="4" t="s">
        <v>39</v>
      </c>
      <c r="N2303" s="4" t="s">
        <v>29</v>
      </c>
      <c r="O2303" s="4" t="s">
        <v>7599</v>
      </c>
      <c r="P2303" s="4" t="s">
        <v>29</v>
      </c>
      <c r="Q2303" s="4" t="s">
        <v>17743</v>
      </c>
      <c r="R2303" s="6"/>
      <c r="S2303" s="6"/>
      <c r="T2303" s="6"/>
      <c r="U2303" s="6"/>
      <c r="V2303" s="6"/>
      <c r="W2303" s="6"/>
      <c r="X2303" s="6"/>
      <c r="Y2303" s="6"/>
      <c r="Z2303" s="6"/>
      <c r="AA2303" s="6"/>
    </row>
    <row r="2304" ht="14.25">
      <c r="B2304" s="4" t="s">
        <v>622</v>
      </c>
      <c r="C2304" s="4" t="s">
        <v>17744</v>
      </c>
      <c r="D2304" s="4" t="s">
        <v>5400</v>
      </c>
      <c r="E2304" s="4" t="s">
        <v>17745</v>
      </c>
      <c r="F2304" s="4" t="str">
        <f>IFERROR(__XLUDF.DUMMYFUNCTION("PROPER(REGEXREPLACE(D20,""[^A-Za-z]+ "",""""))"),"Global Concept")</f>
        <v xml:space="preserve">Global Concept</v>
      </c>
      <c r="G2304" s="4" t="s">
        <v>17746</v>
      </c>
      <c r="H2304" s="4">
        <v>24</v>
      </c>
      <c r="I2304" s="4" t="s">
        <v>9184</v>
      </c>
      <c r="J2304" s="4" t="str">
        <f>IFERROR(__XLUDF.DUMMYFUNCTION("VLOOKUP(H20,IMPORTRANGE(""https://docs.google.com/spreadsheets/d/1opm6ZNvGZ7KditA9TuJwrZ25eFLfTNIkrNnY6mhV5Eg"",""list!A1:C115""),3,TRUE)"),"le secteur des télécommunications")</f>
        <v xml:space="preserve">le secteur des télécommunications</v>
      </c>
      <c r="K2304" s="5" t="s">
        <v>17747</v>
      </c>
      <c r="L2304" s="5" t="s">
        <v>17748</v>
      </c>
      <c r="M2304" s="4" t="s">
        <v>7827</v>
      </c>
      <c r="N2304" s="4" t="s">
        <v>29</v>
      </c>
      <c r="O2304" s="4" t="s">
        <v>17749</v>
      </c>
      <c r="P2304" s="4" t="s">
        <v>29</v>
      </c>
      <c r="Q2304" s="4" t="s">
        <v>17750</v>
      </c>
      <c r="R2304" s="6"/>
      <c r="S2304" s="6"/>
      <c r="T2304" s="6"/>
      <c r="U2304" s="6"/>
      <c r="V2304" s="6"/>
      <c r="W2304" s="6"/>
      <c r="X2304" s="6"/>
      <c r="Y2304" s="6"/>
      <c r="Z2304" s="6"/>
      <c r="AA2304" s="6"/>
    </row>
    <row r="2305" ht="14.25">
      <c r="B2305" s="4" t="s">
        <v>661</v>
      </c>
      <c r="C2305" s="4" t="s">
        <v>17751</v>
      </c>
      <c r="D2305" s="4" t="s">
        <v>44</v>
      </c>
      <c r="E2305" s="4" t="s">
        <v>10697</v>
      </c>
      <c r="F2305" s="4" t="str">
        <f>IFERROR(__XLUDF.DUMMYFUNCTION("PROPER(REGEXREPLACE(D21,""[^A-Za-z]+ "",""""))"),"The Seed Crew")</f>
        <v xml:space="preserve">The Seed Crew</v>
      </c>
      <c r="G2305" s="4" t="s">
        <v>17752</v>
      </c>
      <c r="H2305" s="4">
        <v>11</v>
      </c>
      <c r="I2305" s="4" t="s">
        <v>4067</v>
      </c>
      <c r="J2305" s="4" t="str">
        <f>IFERROR(__XLUDF.DUMMYFUNCTION("VLOOKUP(H21,IMPORTRANGE(""https://docs.google.com/spreadsheets/d/1opm6ZNvGZ7KditA9TuJwrZ25eFLfTNIkrNnY6mhV5Eg"",""list!A1:C115""),3,TRUE)"),"le secteur du conseil en management")</f>
        <v xml:space="preserve">le secteur du conseil en management</v>
      </c>
      <c r="K2305" s="5" t="s">
        <v>17753</v>
      </c>
      <c r="L2305" s="5" t="s">
        <v>17754</v>
      </c>
      <c r="M2305" s="6"/>
      <c r="N2305" s="4" t="s">
        <v>29</v>
      </c>
      <c r="O2305" s="4" t="s">
        <v>84</v>
      </c>
      <c r="P2305" s="4" t="s">
        <v>29</v>
      </c>
      <c r="Q2305" s="4" t="s">
        <v>10702</v>
      </c>
      <c r="R2305" s="6"/>
      <c r="S2305" s="6"/>
      <c r="T2305" s="6"/>
      <c r="U2305" s="6"/>
      <c r="V2305" s="6"/>
      <c r="W2305" s="6"/>
      <c r="X2305" s="6"/>
      <c r="Y2305" s="6"/>
      <c r="Z2305" s="6"/>
      <c r="AA2305" s="6"/>
    </row>
    <row r="2306" ht="14.25">
      <c r="B2306" s="4" t="s">
        <v>971</v>
      </c>
      <c r="C2306" s="4" t="s">
        <v>17755</v>
      </c>
      <c r="D2306" s="4" t="s">
        <v>172</v>
      </c>
      <c r="E2306" s="4" t="s">
        <v>17756</v>
      </c>
      <c r="F2306" s="4" t="str">
        <f>IFERROR(__XLUDF.DUMMYFUNCTION("PROPER(REGEXREPLACE(D22,""[^A-Za-z]+ "",""""))"),"Id3I")</f>
        <v>Id3I</v>
      </c>
      <c r="G2306" s="4" t="s">
        <v>17757</v>
      </c>
      <c r="H2306" s="4">
        <v>19</v>
      </c>
      <c r="I2306" s="4" t="s">
        <v>2602</v>
      </c>
      <c r="J2306" s="4" t="str">
        <f>IFERROR(__XLUDF.DUMMYFUNCTION("VLOOKUP(H22,IMPORTRANGE(""https://docs.google.com/spreadsheets/d/1opm6ZNvGZ7KditA9TuJwrZ25eFLfTNIkrNnY6mhV5Eg"",""list!A1:C115""),3,TRUE)"),"le secteur de la tech")</f>
        <v xml:space="preserve">le secteur de la tech</v>
      </c>
      <c r="K2306" s="5" t="s">
        <v>17758</v>
      </c>
      <c r="L2306" s="5" t="s">
        <v>17759</v>
      </c>
      <c r="M2306" s="4" t="s">
        <v>15430</v>
      </c>
      <c r="N2306" s="4" t="s">
        <v>29</v>
      </c>
      <c r="O2306" s="4" t="s">
        <v>17760</v>
      </c>
      <c r="P2306" s="4" t="s">
        <v>29</v>
      </c>
      <c r="Q2306" s="4" t="s">
        <v>17761</v>
      </c>
      <c r="R2306" s="6"/>
      <c r="S2306" s="6"/>
      <c r="T2306" s="6"/>
      <c r="U2306" s="6"/>
      <c r="V2306" s="6"/>
      <c r="W2306" s="6"/>
      <c r="X2306" s="6"/>
      <c r="Y2306" s="6"/>
      <c r="Z2306" s="6"/>
      <c r="AA2306" s="6"/>
    </row>
    <row r="2307" ht="14.25">
      <c r="B2307" s="4" t="s">
        <v>7246</v>
      </c>
      <c r="C2307" s="4" t="s">
        <v>7198</v>
      </c>
      <c r="D2307" s="4" t="s">
        <v>112</v>
      </c>
      <c r="E2307" s="4" t="s">
        <v>17762</v>
      </c>
      <c r="F2307" s="4" t="str">
        <f>IFERROR(__XLUDF.DUMMYFUNCTION("PROPER(REGEXREPLACE(D23,""[^A-Za-z]+ "",""""))"),"Image")</f>
        <v>Image</v>
      </c>
      <c r="G2307" s="4" t="s">
        <v>17763</v>
      </c>
      <c r="H2307" s="4">
        <v>11</v>
      </c>
      <c r="I2307" s="4" t="s">
        <v>9161</v>
      </c>
      <c r="J2307" s="4" t="str">
        <f>IFERROR(__XLUDF.DUMMYFUNCTION("VLOOKUP(H23,IMPORTRANGE(""https://docs.google.com/spreadsheets/d/1opm6ZNvGZ7KditA9TuJwrZ25eFLfTNIkrNnY6mhV5Eg"",""list!A1:C115""),3,TRUE)"),"le secteur du marketing")</f>
        <v xml:space="preserve">le secteur du marketing</v>
      </c>
      <c r="K2307" s="5" t="s">
        <v>17764</v>
      </c>
      <c r="L2307" s="5" t="s">
        <v>17765</v>
      </c>
      <c r="M2307" s="4" t="s">
        <v>39</v>
      </c>
      <c r="N2307" s="4" t="s">
        <v>29</v>
      </c>
      <c r="O2307" s="4" t="s">
        <v>17766</v>
      </c>
      <c r="P2307" s="4" t="s">
        <v>1261</v>
      </c>
      <c r="Q2307" s="6"/>
      <c r="R2307" s="6"/>
      <c r="S2307" s="6"/>
      <c r="T2307" s="6"/>
      <c r="U2307" s="6"/>
      <c r="V2307" s="6"/>
      <c r="W2307" s="6"/>
      <c r="X2307" s="6"/>
      <c r="Y2307" s="6"/>
      <c r="Z2307" s="6"/>
      <c r="AA2307" s="6"/>
    </row>
    <row r="2308" ht="14.25">
      <c r="B2308" s="4" t="s">
        <v>817</v>
      </c>
      <c r="C2308" s="4" t="s">
        <v>17767</v>
      </c>
      <c r="D2308" s="4" t="s">
        <v>17768</v>
      </c>
      <c r="E2308" s="4" t="s">
        <v>17769</v>
      </c>
      <c r="F2308" s="4" t="str">
        <f>IFERROR(__XLUDF.DUMMYFUNCTION("PROPER(REGEXREPLACE(D24,""[^A-Za-z]+ "",""""))"),"A2L Consultants")</f>
        <v xml:space="preserve">A2L Consultants</v>
      </c>
      <c r="G2308" s="4" t="s">
        <v>17770</v>
      </c>
      <c r="H2308" s="4">
        <v>26</v>
      </c>
      <c r="I2308" s="4" t="s">
        <v>4067</v>
      </c>
      <c r="J2308" s="4" t="str">
        <f>IFERROR(__XLUDF.DUMMYFUNCTION("VLOOKUP(H24,IMPORTRANGE(""https://docs.google.com/spreadsheets/d/1opm6ZNvGZ7KditA9TuJwrZ25eFLfTNIkrNnY6mhV5Eg"",""list!A1:C115""),3,TRUE)"),"le secteur du conseil en management")</f>
        <v xml:space="preserve">le secteur du conseil en management</v>
      </c>
      <c r="K2308" s="5" t="s">
        <v>17771</v>
      </c>
      <c r="L2308" s="5" t="s">
        <v>17772</v>
      </c>
      <c r="M2308" s="4" t="s">
        <v>39</v>
      </c>
      <c r="N2308" s="4" t="s">
        <v>29</v>
      </c>
      <c r="O2308" s="4" t="s">
        <v>17773</v>
      </c>
      <c r="P2308" s="4" t="s">
        <v>29</v>
      </c>
      <c r="Q2308" s="6"/>
      <c r="R2308" s="6"/>
      <c r="S2308" s="6"/>
      <c r="T2308" s="6"/>
      <c r="U2308" s="6"/>
      <c r="V2308" s="6"/>
      <c r="W2308" s="6"/>
      <c r="X2308" s="6"/>
      <c r="Y2308" s="6"/>
      <c r="Z2308" s="6"/>
      <c r="AA2308" s="6"/>
    </row>
    <row r="2309" ht="14.25">
      <c r="B2309" s="4" t="s">
        <v>17774</v>
      </c>
      <c r="C2309" s="4" t="s">
        <v>17775</v>
      </c>
      <c r="D2309" s="4" t="s">
        <v>688</v>
      </c>
      <c r="E2309" s="4" t="s">
        <v>17776</v>
      </c>
      <c r="F2309" s="4" t="str">
        <f>IFERROR(__XLUDF.DUMMYFUNCTION("PROPER(REGEXREPLACE(D25,""[^A-Za-z]+ "",""""))"),"Av Concept Products")</f>
        <v xml:space="preserve">Av Concept Products</v>
      </c>
      <c r="G2309" s="4" t="s">
        <v>17777</v>
      </c>
      <c r="H2309" s="4">
        <v>10</v>
      </c>
      <c r="I2309" s="4" t="s">
        <v>10215</v>
      </c>
      <c r="J2309" s="4" t="str">
        <f>IFERROR(__XLUDF.DUMMYFUNCTION("VLOOKUP(H25,IMPORTRANGE(""https://docs.google.com/spreadsheets/d/1opm6ZNvGZ7KditA9TuJwrZ25eFLfTNIkrNnY6mhV5Eg"",""list!A1:C115""),3,TRUE)"),"le secteur de l'électrique et électronique")</f>
        <v xml:space="preserve">le secteur de l'électrique et électronique</v>
      </c>
      <c r="K2309" s="5" t="s">
        <v>17778</v>
      </c>
      <c r="L2309" s="5" t="s">
        <v>17779</v>
      </c>
      <c r="M2309" s="4" t="s">
        <v>39</v>
      </c>
      <c r="N2309" s="4" t="s">
        <v>29</v>
      </c>
      <c r="O2309" s="4" t="s">
        <v>17780</v>
      </c>
      <c r="P2309" s="4" t="s">
        <v>29</v>
      </c>
      <c r="Q2309" s="6"/>
      <c r="R2309" s="6"/>
      <c r="S2309" s="6"/>
      <c r="T2309" s="6"/>
      <c r="U2309" s="6"/>
      <c r="V2309" s="6"/>
      <c r="W2309" s="6"/>
      <c r="X2309" s="6"/>
      <c r="Y2309" s="6"/>
      <c r="Z2309" s="6"/>
      <c r="AA2309" s="6"/>
    </row>
    <row r="2310" ht="14.25">
      <c r="B2310" s="4" t="s">
        <v>2589</v>
      </c>
      <c r="C2310" s="4" t="s">
        <v>17781</v>
      </c>
      <c r="D2310" s="4" t="s">
        <v>164</v>
      </c>
      <c r="E2310" s="4" t="s">
        <v>17782</v>
      </c>
      <c r="F2310" s="4" t="str">
        <f>IFERROR(__XLUDF.DUMMYFUNCTION("PROPER(REGEXREPLACE(D26,""[^A-Za-z]+ "",""""))"),"Vap Concept")</f>
        <v xml:space="preserve">Vap Concept</v>
      </c>
      <c r="G2310" s="4" t="s">
        <v>17783</v>
      </c>
      <c r="H2310" s="6"/>
      <c r="I2310" s="6"/>
      <c r="J2310" s="6"/>
      <c r="K2310" s="5" t="s">
        <v>17784</v>
      </c>
      <c r="L2310" s="5" t="s">
        <v>17785</v>
      </c>
      <c r="M2310" s="4" t="s">
        <v>10515</v>
      </c>
      <c r="N2310" s="4" t="s">
        <v>29</v>
      </c>
      <c r="O2310" s="4" t="s">
        <v>17786</v>
      </c>
      <c r="P2310" s="4" t="s">
        <v>29</v>
      </c>
      <c r="Q2310" s="6"/>
      <c r="R2310" s="6"/>
      <c r="S2310" s="6"/>
      <c r="T2310" s="6"/>
      <c r="U2310" s="6"/>
      <c r="V2310" s="6"/>
      <c r="W2310" s="6"/>
      <c r="X2310" s="6"/>
      <c r="Y2310" s="6"/>
      <c r="Z2310" s="6"/>
      <c r="AA2310" s="6"/>
    </row>
    <row r="2311" ht="14.25">
      <c r="B2311" s="4" t="s">
        <v>17787</v>
      </c>
      <c r="C2311" s="4" t="s">
        <v>17788</v>
      </c>
      <c r="D2311" s="4" t="s">
        <v>17789</v>
      </c>
      <c r="E2311" s="4" t="s">
        <v>9711</v>
      </c>
      <c r="F2311" s="4" t="str">
        <f>IFERROR(__XLUDF.DUMMYFUNCTION("PROPER(REGEXREPLACE(D27,""[^A-Za-z]+ "",""""))"),"X-Gil")</f>
        <v>X-Gil</v>
      </c>
      <c r="G2311" s="4" t="s">
        <v>17790</v>
      </c>
      <c r="H2311" s="4">
        <v>36</v>
      </c>
      <c r="I2311" s="4" t="s">
        <v>2602</v>
      </c>
      <c r="J2311" s="4" t="str">
        <f>IFERROR(__XLUDF.DUMMYFUNCTION("VLOOKUP(H27,IMPORTRANGE(""https://docs.google.com/spreadsheets/d/1opm6ZNvGZ7KditA9TuJwrZ25eFLfTNIkrNnY6mhV5Eg"",""list!A1:C115""),3,TRUE)"),"le secteur de la tech")</f>
        <v xml:space="preserve">le secteur de la tech</v>
      </c>
      <c r="K2311" s="5" t="s">
        <v>17791</v>
      </c>
      <c r="L2311" s="5" t="s">
        <v>17792</v>
      </c>
      <c r="M2311" s="4" t="s">
        <v>185</v>
      </c>
      <c r="N2311" s="4" t="s">
        <v>29</v>
      </c>
      <c r="O2311" s="4" t="s">
        <v>17793</v>
      </c>
      <c r="P2311" s="4" t="s">
        <v>29</v>
      </c>
      <c r="Q2311" s="4" t="s">
        <v>9715</v>
      </c>
      <c r="R2311" s="6"/>
      <c r="S2311" s="6"/>
      <c r="T2311" s="6"/>
      <c r="U2311" s="6"/>
      <c r="V2311" s="6"/>
      <c r="W2311" s="6"/>
      <c r="X2311" s="6"/>
      <c r="Y2311" s="6"/>
      <c r="Z2311" s="6"/>
      <c r="AA2311" s="6"/>
    </row>
    <row r="2312" ht="14.25">
      <c r="B2312" s="4" t="s">
        <v>1562</v>
      </c>
      <c r="C2312" s="4" t="s">
        <v>17794</v>
      </c>
      <c r="D2312" s="4" t="s">
        <v>17795</v>
      </c>
      <c r="E2312" s="4" t="s">
        <v>17796</v>
      </c>
      <c r="F2312" s="4" t="str">
        <f>IFERROR(__XLUDF.DUMMYFUNCTION("PROPER(REGEXREPLACE(D28,""[^A-Za-z]+ "",""""))"),"Loupi Lighting")</f>
        <v xml:space="preserve">Loupi Lighting</v>
      </c>
      <c r="G2312" s="4" t="s">
        <v>17797</v>
      </c>
      <c r="H2312" s="4">
        <v>16</v>
      </c>
      <c r="I2312" s="4" t="s">
        <v>10215</v>
      </c>
      <c r="J2312" s="4"/>
      <c r="K2312" s="5" t="s">
        <v>17798</v>
      </c>
      <c r="L2312" s="5" t="s">
        <v>17799</v>
      </c>
      <c r="M2312" s="6"/>
      <c r="N2312" s="4" t="s">
        <v>29</v>
      </c>
      <c r="O2312" s="4" t="s">
        <v>17800</v>
      </c>
      <c r="P2312" s="4" t="s">
        <v>29</v>
      </c>
      <c r="Q2312" s="4" t="s">
        <v>17801</v>
      </c>
      <c r="R2312" s="6"/>
      <c r="S2312" s="6"/>
      <c r="T2312" s="6"/>
      <c r="U2312" s="6"/>
      <c r="V2312" s="6"/>
      <c r="W2312" s="6"/>
      <c r="X2312" s="6"/>
      <c r="Y2312" s="6"/>
      <c r="Z2312" s="6"/>
      <c r="AA2312" s="6"/>
    </row>
    <row r="2313" ht="14.25">
      <c r="B2313" s="4" t="s">
        <v>17802</v>
      </c>
      <c r="C2313" s="4" t="s">
        <v>17803</v>
      </c>
      <c r="D2313" s="4" t="s">
        <v>87</v>
      </c>
      <c r="E2313" s="4" t="s">
        <v>9292</v>
      </c>
      <c r="F2313" s="4" t="str">
        <f>IFERROR(__XLUDF.DUMMYFUNCTION("PROPER(REGEXREPLACE(D29,""[^A-Za-z]+ "",""""))"),"Cynoia")</f>
        <v>Cynoia</v>
      </c>
      <c r="G2313" s="4" t="s">
        <v>17804</v>
      </c>
      <c r="H2313" s="4">
        <v>29</v>
      </c>
      <c r="I2313" s="4" t="s">
        <v>2602</v>
      </c>
      <c r="J2313" s="4"/>
      <c r="K2313" s="5" t="s">
        <v>17805</v>
      </c>
      <c r="L2313" s="5" t="s">
        <v>17806</v>
      </c>
      <c r="M2313" s="4" t="s">
        <v>295</v>
      </c>
      <c r="N2313" s="4" t="s">
        <v>29</v>
      </c>
      <c r="O2313" s="4" t="s">
        <v>17807</v>
      </c>
      <c r="P2313" s="4" t="s">
        <v>29</v>
      </c>
      <c r="Q2313" s="4" t="s">
        <v>9298</v>
      </c>
      <c r="R2313" s="6"/>
      <c r="S2313" s="6"/>
      <c r="T2313" s="6"/>
      <c r="U2313" s="6"/>
      <c r="V2313" s="6"/>
      <c r="W2313" s="6"/>
      <c r="X2313" s="6"/>
      <c r="Y2313" s="6"/>
      <c r="Z2313" s="6"/>
      <c r="AA2313" s="6"/>
    </row>
    <row r="2314" ht="14.25">
      <c r="B2314" s="4" t="s">
        <v>206</v>
      </c>
      <c r="C2314" s="4" t="s">
        <v>17808</v>
      </c>
      <c r="D2314" s="4" t="s">
        <v>10202</v>
      </c>
      <c r="E2314" s="4" t="s">
        <v>17809</v>
      </c>
      <c r="F2314" s="4" t="str">
        <f>IFERROR(__XLUDF.DUMMYFUNCTION("PROPER(REGEXREPLACE(D30,""[^A-Za-z]+ "",""""))"),"Altermès")</f>
        <v>Altermès</v>
      </c>
      <c r="G2314" s="4" t="s">
        <v>17810</v>
      </c>
      <c r="H2314" s="4">
        <v>16</v>
      </c>
      <c r="I2314" s="4" t="s">
        <v>4067</v>
      </c>
      <c r="J2314" s="4" t="str">
        <f>IFERROR(__XLUDF.DUMMYFUNCTION("VLOOKUP(H30,IMPORTRANGE(""https://docs.google.com/spreadsheets/d/1opm6ZNvGZ7KditA9TuJwrZ25eFLfTNIkrNnY6mhV5Eg"",""list!A1:C115""),3,TRUE)"),"le secteur du conseil en management")</f>
        <v xml:space="preserve">le secteur du conseil en management</v>
      </c>
      <c r="K2314" s="5" t="s">
        <v>17811</v>
      </c>
      <c r="L2314" s="5" t="s">
        <v>17812</v>
      </c>
      <c r="M2314" s="4" t="s">
        <v>39</v>
      </c>
      <c r="N2314" s="4" t="s">
        <v>29</v>
      </c>
      <c r="O2314" s="4" t="s">
        <v>17813</v>
      </c>
      <c r="P2314" s="4" t="s">
        <v>29</v>
      </c>
      <c r="Q2314" s="4" t="s">
        <v>17814</v>
      </c>
      <c r="R2314" s="6"/>
      <c r="S2314" s="6"/>
      <c r="T2314" s="6"/>
      <c r="U2314" s="6"/>
      <c r="V2314" s="6"/>
      <c r="W2314" s="6"/>
      <c r="X2314" s="6"/>
      <c r="Y2314" s="6"/>
      <c r="Z2314" s="6"/>
      <c r="AA2314" s="6"/>
    </row>
    <row r="2315" ht="14.25">
      <c r="B2315" s="4" t="s">
        <v>1027</v>
      </c>
      <c r="C2315" s="4" t="s">
        <v>17301</v>
      </c>
      <c r="D2315" s="4" t="s">
        <v>503</v>
      </c>
      <c r="E2315" s="4" t="s">
        <v>17815</v>
      </c>
      <c r="F2315" s="4" t="str">
        <f>IFERROR(__XLUDF.DUMMYFUNCTION("PROPER(REGEXREPLACE(D31,""[^A-Za-z]+ "",""""))"),"Property Filter")</f>
        <v xml:space="preserve">Property Filter</v>
      </c>
      <c r="G2315" s="4" t="s">
        <v>17816</v>
      </c>
      <c r="H2315" s="4">
        <v>16</v>
      </c>
      <c r="I2315" s="4" t="s">
        <v>2602</v>
      </c>
      <c r="J2315" s="4" t="str">
        <f>IFERROR(__XLUDF.DUMMYFUNCTION("VLOOKUP(H31,IMPORTRANGE(""https://docs.google.com/spreadsheets/d/1opm6ZNvGZ7KditA9TuJwrZ25eFLfTNIkrNnY6mhV5Eg"",""list!A1:C115""),3,TRUE)"),"le secteur de la tech")</f>
        <v xml:space="preserve">le secteur de la tech</v>
      </c>
      <c r="K2315" s="5" t="s">
        <v>17817</v>
      </c>
      <c r="L2315" s="5" t="s">
        <v>17818</v>
      </c>
      <c r="M2315" s="4" t="s">
        <v>423</v>
      </c>
      <c r="N2315" s="4" t="s">
        <v>29</v>
      </c>
      <c r="O2315" s="4" t="s">
        <v>17819</v>
      </c>
      <c r="P2315" s="4" t="s">
        <v>1548</v>
      </c>
      <c r="Q2315" s="4" t="s">
        <v>17820</v>
      </c>
      <c r="R2315" s="6"/>
      <c r="S2315" s="6"/>
      <c r="T2315" s="6"/>
      <c r="U2315" s="6"/>
      <c r="V2315" s="6"/>
      <c r="W2315" s="6"/>
      <c r="X2315" s="6"/>
      <c r="Y2315" s="6"/>
      <c r="Z2315" s="6"/>
      <c r="AA2315" s="6"/>
    </row>
    <row r="2316" ht="14.25">
      <c r="B2316" s="4" t="s">
        <v>330</v>
      </c>
      <c r="C2316" s="4" t="s">
        <v>8904</v>
      </c>
      <c r="D2316" s="4" t="s">
        <v>17821</v>
      </c>
      <c r="E2316" s="4" t="s">
        <v>17822</v>
      </c>
      <c r="F2316" s="4" t="str">
        <f>IFERROR(__XLUDF.DUMMYFUNCTION("PROPER(REGEXREPLACE(D32,""[^A-Za-z]+ "",""""))"),"We Do It Better")</f>
        <v xml:space="preserve">We Do It Better</v>
      </c>
      <c r="G2316" s="4" t="s">
        <v>17823</v>
      </c>
      <c r="H2316" s="4">
        <v>12</v>
      </c>
      <c r="I2316" s="4" t="s">
        <v>2602</v>
      </c>
      <c r="J2316" s="4"/>
      <c r="K2316" s="5" t="s">
        <v>17824</v>
      </c>
      <c r="L2316" s="5" t="s">
        <v>17825</v>
      </c>
      <c r="M2316" s="4" t="s">
        <v>39</v>
      </c>
      <c r="N2316" s="4" t="s">
        <v>29</v>
      </c>
      <c r="O2316" s="4" t="s">
        <v>17826</v>
      </c>
      <c r="P2316" s="4" t="s">
        <v>29</v>
      </c>
      <c r="Q2316" s="4" t="s">
        <v>17827</v>
      </c>
      <c r="R2316" s="6"/>
      <c r="S2316" s="6"/>
      <c r="T2316" s="6"/>
      <c r="U2316" s="6"/>
      <c r="V2316" s="6"/>
      <c r="W2316" s="6"/>
      <c r="X2316" s="6"/>
      <c r="Y2316" s="6"/>
      <c r="Z2316" s="6"/>
      <c r="AA2316" s="6"/>
    </row>
    <row r="2317" ht="14.25">
      <c r="B2317" s="4" t="s">
        <v>13376</v>
      </c>
      <c r="C2317" s="4" t="s">
        <v>17828</v>
      </c>
      <c r="D2317" s="4" t="s">
        <v>13589</v>
      </c>
      <c r="E2317" s="4" t="s">
        <v>17829</v>
      </c>
      <c r="F2317" s="4" t="str">
        <f>IFERROR(__XLUDF.DUMMYFUNCTION("PROPER(REGEXREPLACE(D33,""[^A-Za-z]+ "",""""))"),"Kaizzen")</f>
        <v>Kaizzen</v>
      </c>
      <c r="G2317" s="4" t="s">
        <v>17830</v>
      </c>
      <c r="H2317" s="4">
        <v>27</v>
      </c>
      <c r="I2317" s="4" t="s">
        <v>2602</v>
      </c>
      <c r="J2317" s="4"/>
      <c r="K2317" s="5" t="s">
        <v>17831</v>
      </c>
      <c r="L2317" s="5" t="s">
        <v>17832</v>
      </c>
      <c r="M2317" s="4" t="s">
        <v>185</v>
      </c>
      <c r="N2317" s="4" t="s">
        <v>29</v>
      </c>
      <c r="O2317" s="4" t="s">
        <v>17833</v>
      </c>
      <c r="P2317" s="4" t="s">
        <v>29</v>
      </c>
      <c r="Q2317" s="6"/>
      <c r="R2317" s="6"/>
      <c r="S2317" s="6"/>
      <c r="T2317" s="6"/>
      <c r="U2317" s="6"/>
      <c r="V2317" s="6"/>
      <c r="W2317" s="6"/>
      <c r="X2317" s="6"/>
      <c r="Y2317" s="6"/>
      <c r="Z2317" s="6"/>
      <c r="AA2317" s="6"/>
    </row>
    <row r="2318" ht="14.25">
      <c r="B2318" s="4" t="s">
        <v>1667</v>
      </c>
      <c r="C2318" s="4" t="s">
        <v>17834</v>
      </c>
      <c r="D2318" s="4" t="s">
        <v>17835</v>
      </c>
      <c r="E2318" s="4" t="s">
        <v>17836</v>
      </c>
      <c r="F2318" s="4" t="str">
        <f>IFERROR(__XLUDF.DUMMYFUNCTION("PROPER(REGEXREPLACE(D34,""[^A-Za-z]+ "",""""))"),"Seqino")</f>
        <v>Seqino</v>
      </c>
      <c r="G2318" s="4" t="s">
        <v>17837</v>
      </c>
      <c r="H2318" s="4">
        <v>15</v>
      </c>
      <c r="I2318" s="4" t="s">
        <v>2602</v>
      </c>
      <c r="J2318" s="4" t="str">
        <f>IFERROR(__XLUDF.DUMMYFUNCTION("VLOOKUP(H34,IMPORTRANGE(""https://docs.google.com/spreadsheets/d/1opm6ZNvGZ7KditA9TuJwrZ25eFLfTNIkrNnY6mhV5Eg"",""list!A1:C115""),3,TRUE)"),"le secteur de la tech")</f>
        <v xml:space="preserve">le secteur de la tech</v>
      </c>
      <c r="K2318" s="5" t="s">
        <v>17838</v>
      </c>
      <c r="L2318" s="5" t="s">
        <v>17839</v>
      </c>
      <c r="M2318" s="6"/>
      <c r="N2318" s="4" t="s">
        <v>29</v>
      </c>
      <c r="O2318" s="4" t="s">
        <v>67</v>
      </c>
      <c r="P2318" s="4" t="s">
        <v>29</v>
      </c>
      <c r="Q2318" s="4" t="s">
        <v>17840</v>
      </c>
      <c r="R2318" s="6"/>
      <c r="S2318" s="6"/>
      <c r="T2318" s="6"/>
      <c r="U2318" s="6"/>
      <c r="V2318" s="6"/>
      <c r="W2318" s="6"/>
      <c r="X2318" s="6"/>
      <c r="Y2318" s="6"/>
      <c r="Z2318" s="6"/>
      <c r="AA2318" s="6"/>
    </row>
    <row r="2319" ht="14.25">
      <c r="B2319" s="4" t="s">
        <v>17841</v>
      </c>
      <c r="C2319" s="4" t="s">
        <v>17842</v>
      </c>
      <c r="D2319" s="4" t="s">
        <v>17843</v>
      </c>
      <c r="E2319" s="4" t="s">
        <v>14825</v>
      </c>
      <c r="F2319" s="4" t="str">
        <f>IFERROR(__XLUDF.DUMMYFUNCTION("PROPER(REGEXREPLACE(D35,""[^A-Za-z]+ "",""""))"),"Tds Global Technologiescyber Networksecurity Talent Profiler")</f>
        <v xml:space="preserve">Tds Global Technologiescyber Networksecurity Talent Profiler</v>
      </c>
      <c r="G2319" s="4" t="s">
        <v>17844</v>
      </c>
      <c r="H2319" s="4">
        <v>38</v>
      </c>
      <c r="I2319" s="4" t="s">
        <v>2602</v>
      </c>
      <c r="J2319" s="4"/>
      <c r="K2319" s="5" t="s">
        <v>17845</v>
      </c>
      <c r="L2319" s="5" t="s">
        <v>17846</v>
      </c>
      <c r="M2319" s="4" t="s">
        <v>39</v>
      </c>
      <c r="N2319" s="4" t="s">
        <v>29</v>
      </c>
      <c r="O2319" s="4" t="s">
        <v>17847</v>
      </c>
      <c r="P2319" s="4" t="s">
        <v>29</v>
      </c>
      <c r="Q2319" s="4" t="s">
        <v>14828</v>
      </c>
      <c r="R2319" s="6"/>
      <c r="S2319" s="6"/>
      <c r="T2319" s="6"/>
      <c r="U2319" s="6"/>
      <c r="V2319" s="6"/>
      <c r="W2319" s="6"/>
      <c r="X2319" s="6"/>
      <c r="Y2319" s="6"/>
      <c r="Z2319" s="6"/>
      <c r="AA2319" s="6"/>
    </row>
    <row r="2320" ht="14.25">
      <c r="B2320" s="4" t="s">
        <v>4425</v>
      </c>
      <c r="C2320" s="4" t="s">
        <v>17848</v>
      </c>
      <c r="D2320" s="4" t="s">
        <v>247</v>
      </c>
      <c r="E2320" s="4" t="s">
        <v>17849</v>
      </c>
      <c r="F2320" s="4" t="str">
        <f>IFERROR(__XLUDF.DUMMYFUNCTION("PROPER(REGEXREPLACE(D36,""[^A-Za-z]+ "",""""))"),"Blurizon")</f>
        <v>Blurizon</v>
      </c>
      <c r="G2320" s="4" t="s">
        <v>17850</v>
      </c>
      <c r="H2320" s="4">
        <v>13</v>
      </c>
      <c r="I2320" s="4" t="s">
        <v>4067</v>
      </c>
      <c r="J2320" s="4"/>
      <c r="K2320" s="5" t="s">
        <v>17851</v>
      </c>
      <c r="L2320" s="5" t="s">
        <v>17852</v>
      </c>
      <c r="M2320" s="4" t="s">
        <v>5456</v>
      </c>
      <c r="N2320" s="4" t="s">
        <v>29</v>
      </c>
      <c r="O2320" s="4" t="s">
        <v>5457</v>
      </c>
      <c r="P2320" s="4" t="s">
        <v>29</v>
      </c>
      <c r="Q2320" s="4" t="s">
        <v>17853</v>
      </c>
      <c r="R2320" s="6"/>
      <c r="S2320" s="6"/>
      <c r="T2320" s="6"/>
      <c r="U2320" s="6"/>
      <c r="V2320" s="6"/>
      <c r="W2320" s="6"/>
      <c r="X2320" s="6"/>
      <c r="Y2320" s="6"/>
      <c r="Z2320" s="6"/>
      <c r="AA2320" s="6"/>
    </row>
    <row r="2321" ht="14.25">
      <c r="B2321" s="4" t="s">
        <v>1732</v>
      </c>
      <c r="C2321" s="4" t="s">
        <v>17854</v>
      </c>
      <c r="D2321" s="4" t="s">
        <v>17855</v>
      </c>
      <c r="E2321" s="4" t="s">
        <v>17856</v>
      </c>
      <c r="F2321" s="4" t="str">
        <f>IFERROR(__XLUDF.DUMMYFUNCTION("PROPER(REGEXREPLACE(D37,""[^A-Za-z]+ "",""""))"),"Probabl")</f>
        <v>Probabl</v>
      </c>
      <c r="G2321" s="4" t="s">
        <v>17857</v>
      </c>
      <c r="H2321" s="4">
        <v>46</v>
      </c>
      <c r="I2321" s="4" t="s">
        <v>2602</v>
      </c>
      <c r="J2321" s="4" t="str">
        <f>IFERROR(__XLUDF.DUMMYFUNCTION("VLOOKUP(H37,IMPORTRANGE(""https://docs.google.com/spreadsheets/d/1opm6ZNvGZ7KditA9TuJwrZ25eFLfTNIkrNnY6mhV5Eg"",""list!A1:C115""),3,TRUE)"),"le secteur de la tech")</f>
        <v xml:space="preserve">le secteur de la tech</v>
      </c>
      <c r="K2321" s="5" t="s">
        <v>17858</v>
      </c>
      <c r="L2321" s="5" t="s">
        <v>17859</v>
      </c>
      <c r="M2321" s="4" t="s">
        <v>39</v>
      </c>
      <c r="N2321" s="4" t="s">
        <v>29</v>
      </c>
      <c r="O2321" s="4" t="s">
        <v>67</v>
      </c>
      <c r="P2321" s="4" t="s">
        <v>29</v>
      </c>
      <c r="Q2321" s="4" t="s">
        <v>17860</v>
      </c>
      <c r="R2321" s="6"/>
      <c r="S2321" s="6"/>
      <c r="T2321" s="6"/>
      <c r="U2321" s="6"/>
      <c r="V2321" s="6"/>
      <c r="W2321" s="6"/>
      <c r="X2321" s="6"/>
      <c r="Y2321" s="6"/>
      <c r="Z2321" s="6"/>
      <c r="AA2321" s="6"/>
    </row>
    <row r="2322" ht="14.25">
      <c r="B2322" s="4" t="s">
        <v>5728</v>
      </c>
      <c r="C2322" s="4" t="s">
        <v>6844</v>
      </c>
      <c r="D2322" s="4" t="s">
        <v>17861</v>
      </c>
      <c r="E2322" s="4" t="s">
        <v>17862</v>
      </c>
      <c r="F2322" s="4" t="str">
        <f>IFERROR(__XLUDF.DUMMYFUNCTION("PROPER(REGEXREPLACE(D38,""[^A-Za-z]+ "",""""))"),"Hive Consulting")</f>
        <v xml:space="preserve">Hive Consulting</v>
      </c>
      <c r="G2322" s="4" t="s">
        <v>17863</v>
      </c>
      <c r="H2322" s="4">
        <v>42</v>
      </c>
      <c r="I2322" s="4" t="s">
        <v>4067</v>
      </c>
      <c r="J2322" s="4"/>
      <c r="K2322" s="5" t="s">
        <v>17864</v>
      </c>
      <c r="L2322" s="5" t="s">
        <v>17865</v>
      </c>
      <c r="M2322" s="4" t="s">
        <v>83</v>
      </c>
      <c r="N2322" s="4" t="s">
        <v>29</v>
      </c>
      <c r="O2322" s="4" t="s">
        <v>346</v>
      </c>
      <c r="P2322" s="4" t="s">
        <v>29</v>
      </c>
      <c r="Q2322" s="4" t="s">
        <v>17866</v>
      </c>
      <c r="R2322" s="6"/>
      <c r="S2322" s="6"/>
      <c r="T2322" s="6"/>
      <c r="U2322" s="6"/>
      <c r="V2322" s="6"/>
      <c r="W2322" s="6"/>
      <c r="X2322" s="6"/>
      <c r="Y2322" s="6"/>
      <c r="Z2322" s="6"/>
      <c r="AA2322" s="6"/>
    </row>
    <row r="2323" ht="14.25">
      <c r="B2323" s="4" t="s">
        <v>17867</v>
      </c>
      <c r="C2323" s="4" t="s">
        <v>17868</v>
      </c>
      <c r="D2323" s="4" t="s">
        <v>17869</v>
      </c>
      <c r="E2323" s="4" t="s">
        <v>17870</v>
      </c>
      <c r="F2323" s="4" t="str">
        <f>IFERROR(__XLUDF.DUMMYFUNCTION("PROPER(REGEXREPLACE(D39,""[^A-Za-z]+ "",""""))"),"Flexoo")</f>
        <v>Flexoo</v>
      </c>
      <c r="G2323" s="4" t="s">
        <v>17871</v>
      </c>
      <c r="H2323" s="4">
        <v>25</v>
      </c>
      <c r="I2323" s="4" t="s">
        <v>10215</v>
      </c>
      <c r="J2323" s="4"/>
      <c r="K2323" s="5" t="s">
        <v>17872</v>
      </c>
      <c r="L2323" s="5" t="s">
        <v>17873</v>
      </c>
      <c r="M2323" s="4" t="s">
        <v>7883</v>
      </c>
      <c r="N2323" s="4" t="s">
        <v>29</v>
      </c>
      <c r="O2323" s="4" t="s">
        <v>17874</v>
      </c>
      <c r="P2323" s="4" t="s">
        <v>595</v>
      </c>
      <c r="Q2323" s="6"/>
      <c r="R2323" s="6"/>
      <c r="S2323" s="6"/>
      <c r="T2323" s="6"/>
      <c r="U2323" s="6"/>
      <c r="V2323" s="6"/>
      <c r="W2323" s="6"/>
      <c r="X2323" s="6"/>
      <c r="Y2323" s="6"/>
      <c r="Z2323" s="6"/>
      <c r="AA2323" s="6"/>
    </row>
    <row r="2324" ht="14.25">
      <c r="B2324" s="4" t="s">
        <v>17875</v>
      </c>
      <c r="C2324" s="4" t="s">
        <v>17876</v>
      </c>
      <c r="D2324" s="4" t="s">
        <v>112</v>
      </c>
      <c r="E2324" s="4" t="s">
        <v>17877</v>
      </c>
      <c r="F2324" s="4" t="str">
        <f>IFERROR(__XLUDF.DUMMYFUNCTION("PROPER(REGEXREPLACE(D40,""[^A-Za-z]+ "",""""))"),"Sunnikan")</f>
        <v>Sunnikan</v>
      </c>
      <c r="G2324" s="4" t="s">
        <v>17878</v>
      </c>
      <c r="H2324" s="4">
        <v>15</v>
      </c>
      <c r="I2324" s="4" t="s">
        <v>4067</v>
      </c>
      <c r="J2324" s="4"/>
      <c r="K2324" s="5" t="s">
        <v>17879</v>
      </c>
      <c r="L2324" s="5" t="s">
        <v>17880</v>
      </c>
      <c r="M2324" s="6"/>
      <c r="N2324" s="4" t="s">
        <v>29</v>
      </c>
      <c r="O2324" s="4" t="s">
        <v>17881</v>
      </c>
      <c r="P2324" s="4" t="s">
        <v>29</v>
      </c>
      <c r="Q2324" s="4" t="s">
        <v>17882</v>
      </c>
      <c r="R2324" s="6"/>
      <c r="S2324" s="6"/>
      <c r="T2324" s="6"/>
      <c r="U2324" s="6"/>
      <c r="V2324" s="6"/>
      <c r="W2324" s="6"/>
      <c r="X2324" s="6"/>
      <c r="Y2324" s="6"/>
      <c r="Z2324" s="6"/>
      <c r="AA2324" s="6"/>
    </row>
    <row r="2325" ht="14.25">
      <c r="B2325" s="4" t="s">
        <v>1667</v>
      </c>
      <c r="C2325" s="4" t="s">
        <v>17883</v>
      </c>
      <c r="D2325" s="4" t="s">
        <v>2911</v>
      </c>
      <c r="E2325" s="4" t="s">
        <v>17884</v>
      </c>
      <c r="F2325" s="4" t="str">
        <f>IFERROR(__XLUDF.DUMMYFUNCTION("PROPER(REGEXREPLACE(D41,""[^A-Za-z]+ "",""""))"),"Cad")</f>
        <v>Cad</v>
      </c>
      <c r="G2325" s="4" t="s">
        <v>17885</v>
      </c>
      <c r="H2325" s="4">
        <v>25</v>
      </c>
      <c r="I2325" s="4" t="s">
        <v>2602</v>
      </c>
      <c r="J2325" s="4" t="str">
        <f>IFERROR(__XLUDF.DUMMYFUNCTION("VLOOKUP(H41,IMPORTRANGE(""https://docs.google.com/spreadsheets/d/1opm6ZNvGZ7KditA9TuJwrZ25eFLfTNIkrNnY6mhV5Eg"",""list!A1:C115""),3,TRUE)"),"le secteur de la tech")</f>
        <v xml:space="preserve">le secteur de la tech</v>
      </c>
      <c r="K2325" s="5" t="s">
        <v>17886</v>
      </c>
      <c r="L2325" s="5" t="s">
        <v>17887</v>
      </c>
      <c r="M2325" s="4" t="s">
        <v>39</v>
      </c>
      <c r="N2325" s="4" t="s">
        <v>29</v>
      </c>
      <c r="O2325" s="4" t="s">
        <v>611</v>
      </c>
      <c r="P2325" s="4" t="s">
        <v>29</v>
      </c>
      <c r="Q2325" s="4" t="s">
        <v>17888</v>
      </c>
      <c r="R2325" s="6"/>
      <c r="S2325" s="6"/>
      <c r="T2325" s="6"/>
      <c r="U2325" s="6"/>
      <c r="V2325" s="6"/>
      <c r="W2325" s="6"/>
      <c r="X2325" s="6"/>
      <c r="Y2325" s="6"/>
      <c r="Z2325" s="6"/>
      <c r="AA2325" s="6"/>
    </row>
    <row r="2326" ht="14.25">
      <c r="B2326" s="4" t="s">
        <v>1153</v>
      </c>
      <c r="C2326" s="4" t="s">
        <v>17889</v>
      </c>
      <c r="D2326" s="4" t="s">
        <v>17890</v>
      </c>
      <c r="E2326" s="4" t="s">
        <v>17891</v>
      </c>
      <c r="F2326" s="4" t="str">
        <f>IFERROR(__XLUDF.DUMMYFUNCTION("PROPER(REGEXREPLACE(D42,""[^A-Za-z]+ "",""""))"),"Unknowns")</f>
        <v>Unknowns</v>
      </c>
      <c r="G2326" s="4" t="s">
        <v>17892</v>
      </c>
      <c r="H2326" s="4">
        <v>17</v>
      </c>
      <c r="I2326" s="4" t="s">
        <v>4067</v>
      </c>
      <c r="J2326" s="4"/>
      <c r="K2326" s="5" t="s">
        <v>17893</v>
      </c>
      <c r="L2326" s="5" t="s">
        <v>17894</v>
      </c>
      <c r="M2326" s="4" t="s">
        <v>39</v>
      </c>
      <c r="N2326" s="4" t="s">
        <v>29</v>
      </c>
      <c r="O2326" s="4" t="s">
        <v>17895</v>
      </c>
      <c r="P2326" s="4" t="s">
        <v>29</v>
      </c>
      <c r="Q2326" s="4" t="s">
        <v>17896</v>
      </c>
      <c r="R2326" s="6"/>
      <c r="S2326" s="6"/>
      <c r="T2326" s="6"/>
      <c r="U2326" s="6"/>
      <c r="V2326" s="6"/>
      <c r="W2326" s="6"/>
      <c r="X2326" s="6"/>
      <c r="Y2326" s="6"/>
      <c r="Z2326" s="6"/>
      <c r="AA2326" s="6"/>
    </row>
    <row r="2327" ht="14.25">
      <c r="B2327" s="4" t="s">
        <v>768</v>
      </c>
      <c r="C2327" s="4" t="s">
        <v>17897</v>
      </c>
      <c r="D2327" s="4" t="s">
        <v>965</v>
      </c>
      <c r="E2327" s="4" t="s">
        <v>17898</v>
      </c>
      <c r="F2327" s="4" t="str">
        <f>IFERROR(__XLUDF.DUMMYFUNCTION("PROPER(REGEXREPLACE(D43,""[^A-Za-z]+ "",""""))"),"Elevenact")</f>
        <v>Elevenact</v>
      </c>
      <c r="G2327" s="4" t="s">
        <v>17899</v>
      </c>
      <c r="H2327" s="4">
        <v>25</v>
      </c>
      <c r="I2327" s="4" t="s">
        <v>4067</v>
      </c>
      <c r="J2327" s="4" t="str">
        <f>IFERROR(__XLUDF.DUMMYFUNCTION("VLOOKUP(H43,IMPORTRANGE(""https://docs.google.com/spreadsheets/d/1opm6ZNvGZ7KditA9TuJwrZ25eFLfTNIkrNnY6mhV5Eg"",""list!A1:C115""),3,TRUE)"),"le secteur du conseil en management")</f>
        <v xml:space="preserve">le secteur du conseil en management</v>
      </c>
      <c r="K2327" s="5" t="s">
        <v>17900</v>
      </c>
      <c r="L2327" s="5" t="s">
        <v>17901</v>
      </c>
      <c r="M2327" s="6"/>
      <c r="N2327" s="4" t="s">
        <v>29</v>
      </c>
      <c r="O2327" s="6"/>
      <c r="P2327" s="6"/>
      <c r="Q2327" s="4" t="s">
        <v>17902</v>
      </c>
      <c r="R2327" s="6"/>
      <c r="S2327" s="6"/>
      <c r="T2327" s="6"/>
      <c r="U2327" s="6"/>
      <c r="V2327" s="6"/>
      <c r="W2327" s="6"/>
      <c r="X2327" s="6"/>
      <c r="Y2327" s="6"/>
      <c r="Z2327" s="6"/>
      <c r="AA2327" s="6"/>
    </row>
    <row r="2328" ht="14.25">
      <c r="B2328" s="4" t="s">
        <v>1592</v>
      </c>
      <c r="C2328" s="4" t="s">
        <v>17903</v>
      </c>
      <c r="D2328" s="4" t="s">
        <v>17904</v>
      </c>
      <c r="E2328" s="4" t="s">
        <v>17905</v>
      </c>
      <c r="F2328" s="4" t="str">
        <f>IFERROR(__XLUDF.DUMMYFUNCTION("PROPER(REGEXREPLACE(D44,""[^A-Za-z]+ "",""""))"),"Dock")</f>
        <v>Dock</v>
      </c>
      <c r="G2328" s="4" t="s">
        <v>17906</v>
      </c>
      <c r="H2328" s="4">
        <v>21</v>
      </c>
      <c r="I2328" s="4" t="s">
        <v>2602</v>
      </c>
      <c r="J2328" s="4"/>
      <c r="K2328" s="5" t="s">
        <v>17907</v>
      </c>
      <c r="L2328" s="5" t="s">
        <v>17908</v>
      </c>
      <c r="M2328" s="4" t="s">
        <v>243</v>
      </c>
      <c r="N2328" s="4" t="s">
        <v>29</v>
      </c>
      <c r="O2328" s="4" t="s">
        <v>17909</v>
      </c>
      <c r="P2328" s="4" t="s">
        <v>1261</v>
      </c>
      <c r="Q2328" s="4" t="s">
        <v>17910</v>
      </c>
      <c r="R2328" s="6"/>
      <c r="S2328" s="6"/>
      <c r="T2328" s="6"/>
      <c r="U2328" s="6"/>
      <c r="V2328" s="6"/>
      <c r="W2328" s="6"/>
      <c r="X2328" s="6"/>
      <c r="Y2328" s="6"/>
      <c r="Z2328" s="6"/>
      <c r="AA2328" s="6"/>
    </row>
    <row r="2329" ht="14.25">
      <c r="B2329" s="4" t="s">
        <v>17911</v>
      </c>
      <c r="C2329" s="4" t="s">
        <v>8428</v>
      </c>
      <c r="D2329" s="4" t="s">
        <v>172</v>
      </c>
      <c r="E2329" s="4" t="s">
        <v>17912</v>
      </c>
      <c r="F2329" s="4" t="str">
        <f>IFERROR(__XLUDF.DUMMYFUNCTION("PROPER(REGEXREPLACE(D45,""[^A-Za-z]+ "",""""))"),"Feel And Clic")</f>
        <v xml:space="preserve">Feel And Clic</v>
      </c>
      <c r="G2329" s="4" t="s">
        <v>17913</v>
      </c>
      <c r="H2329" s="4">
        <v>26</v>
      </c>
      <c r="I2329" s="4" t="s">
        <v>2602</v>
      </c>
      <c r="J2329" s="4"/>
      <c r="K2329" s="5" t="s">
        <v>17914</v>
      </c>
      <c r="L2329" s="5" t="s">
        <v>17915</v>
      </c>
      <c r="M2329" s="6"/>
      <c r="N2329" s="4" t="s">
        <v>29</v>
      </c>
      <c r="O2329" s="4" t="s">
        <v>17916</v>
      </c>
      <c r="P2329" s="4" t="s">
        <v>29</v>
      </c>
      <c r="Q2329" s="4" t="s">
        <v>17917</v>
      </c>
      <c r="R2329" s="6"/>
      <c r="S2329" s="6"/>
      <c r="T2329" s="6"/>
      <c r="U2329" s="6"/>
      <c r="V2329" s="6"/>
      <c r="W2329" s="6"/>
      <c r="X2329" s="6"/>
      <c r="Y2329" s="6"/>
      <c r="Z2329" s="6"/>
      <c r="AA2329" s="6"/>
    </row>
    <row r="2330" ht="14.25">
      <c r="B2330" s="4" t="s">
        <v>17918</v>
      </c>
      <c r="C2330" s="4" t="s">
        <v>17919</v>
      </c>
      <c r="D2330" s="4" t="s">
        <v>17920</v>
      </c>
      <c r="E2330" s="4" t="s">
        <v>17921</v>
      </c>
      <c r="F2330" s="4" t="str">
        <f>IFERROR(__XLUDF.DUMMYFUNCTION("PROPER(REGEXREPLACE(D46,""[^A-Za-z]+ "",""""))"),"Tidyup")</f>
        <v>Tidyup</v>
      </c>
      <c r="G2330" s="4" t="s">
        <v>17922</v>
      </c>
      <c r="H2330" s="4">
        <v>11</v>
      </c>
      <c r="I2330" s="4" t="s">
        <v>2602</v>
      </c>
      <c r="J2330" s="4"/>
      <c r="K2330" s="5" t="s">
        <v>17923</v>
      </c>
      <c r="L2330" s="5" t="s">
        <v>17924</v>
      </c>
      <c r="M2330" s="4" t="s">
        <v>17925</v>
      </c>
      <c r="N2330" s="4" t="s">
        <v>29</v>
      </c>
      <c r="O2330" s="4" t="s">
        <v>783</v>
      </c>
      <c r="P2330" s="4" t="s">
        <v>29</v>
      </c>
      <c r="Q2330" s="4" t="s">
        <v>17926</v>
      </c>
      <c r="R2330" s="6"/>
      <c r="S2330" s="6"/>
      <c r="T2330" s="6"/>
      <c r="U2330" s="6"/>
      <c r="V2330" s="6"/>
      <c r="W2330" s="6"/>
      <c r="X2330" s="6"/>
      <c r="Y2330" s="6"/>
      <c r="Z2330" s="6"/>
      <c r="AA2330" s="6"/>
    </row>
    <row r="2331" ht="14.25">
      <c r="B2331" s="4" t="s">
        <v>20</v>
      </c>
      <c r="C2331" s="4" t="s">
        <v>17927</v>
      </c>
      <c r="D2331" s="4" t="s">
        <v>17928</v>
      </c>
      <c r="E2331" s="4" t="s">
        <v>17929</v>
      </c>
      <c r="F2331" s="4" t="str">
        <f>IFERROR(__XLUDF.DUMMYFUNCTION("PROPER(REGEXREPLACE(D47,""[^A-Za-z]+ "",""""))"),"Kermap")</f>
        <v>Kermap</v>
      </c>
      <c r="G2331" s="4" t="s">
        <v>17930</v>
      </c>
      <c r="H2331" s="4">
        <v>20</v>
      </c>
      <c r="I2331" s="4" t="s">
        <v>2602</v>
      </c>
      <c r="J2331" s="4" t="str">
        <f>IFERROR(__XLUDF.DUMMYFUNCTION("VLOOKUP(H47,IMPORTRANGE(""https://docs.google.com/spreadsheets/d/1opm6ZNvGZ7KditA9TuJwrZ25eFLfTNIkrNnY6mhV5Eg"",""list!A1:C115""),3,TRUE)"),"le secteur de la tech")</f>
        <v xml:space="preserve">le secteur de la tech</v>
      </c>
      <c r="K2331" s="5" t="s">
        <v>17931</v>
      </c>
      <c r="L2331" s="5" t="s">
        <v>17932</v>
      </c>
      <c r="M2331" s="6"/>
      <c r="N2331" s="4" t="s">
        <v>29</v>
      </c>
      <c r="O2331" s="4" t="s">
        <v>17933</v>
      </c>
      <c r="P2331" s="4" t="s">
        <v>29</v>
      </c>
      <c r="Q2331" s="4" t="s">
        <v>17934</v>
      </c>
      <c r="R2331" s="6"/>
      <c r="S2331" s="6"/>
      <c r="T2331" s="6"/>
      <c r="U2331" s="6"/>
      <c r="V2331" s="6"/>
      <c r="W2331" s="6"/>
      <c r="X2331" s="6"/>
      <c r="Y2331" s="6"/>
      <c r="Z2331" s="6"/>
      <c r="AA2331" s="6"/>
    </row>
    <row r="2332" ht="14.25">
      <c r="B2332" s="4" t="s">
        <v>785</v>
      </c>
      <c r="C2332" s="4" t="s">
        <v>17935</v>
      </c>
      <c r="D2332" s="4" t="s">
        <v>281</v>
      </c>
      <c r="E2332" s="4" t="s">
        <v>17936</v>
      </c>
      <c r="F2332" s="4" t="str">
        <f>IFERROR(__XLUDF.DUMMYFUNCTION("PROPER(REGEXREPLACE(D48,""[^A-Za-z]+ "",""""))"),"Linoa")</f>
        <v>Linoa</v>
      </c>
      <c r="G2332" s="4" t="s">
        <v>17937</v>
      </c>
      <c r="H2332" s="4">
        <v>11</v>
      </c>
      <c r="I2332" s="4" t="s">
        <v>2602</v>
      </c>
      <c r="J2332" s="4"/>
      <c r="K2332" s="5" t="s">
        <v>17938</v>
      </c>
      <c r="L2332" s="5" t="s">
        <v>17939</v>
      </c>
      <c r="M2332" s="4" t="s">
        <v>39</v>
      </c>
      <c r="N2332" s="4" t="s">
        <v>29</v>
      </c>
      <c r="O2332" s="4" t="s">
        <v>17940</v>
      </c>
      <c r="P2332" s="4" t="s">
        <v>29</v>
      </c>
      <c r="Q2332" s="6"/>
      <c r="R2332" s="6"/>
      <c r="S2332" s="6"/>
      <c r="T2332" s="6"/>
      <c r="U2332" s="6"/>
      <c r="V2332" s="6"/>
      <c r="W2332" s="6"/>
      <c r="X2332" s="6"/>
      <c r="Y2332" s="6"/>
      <c r="Z2332" s="6"/>
      <c r="AA2332" s="6"/>
    </row>
    <row r="2333" ht="14.25">
      <c r="B2333" s="4" t="s">
        <v>52</v>
      </c>
      <c r="C2333" s="4" t="s">
        <v>17941</v>
      </c>
      <c r="D2333" s="4" t="s">
        <v>688</v>
      </c>
      <c r="E2333" s="4" t="s">
        <v>17942</v>
      </c>
      <c r="F2333" s="4" t="str">
        <f>IFERROR(__XLUDF.DUMMYFUNCTION("PROPER(REGEXREPLACE(D49,""[^A-Za-z]+ "",""""))"),"Valala")</f>
        <v>Valala</v>
      </c>
      <c r="G2333" s="4" t="s">
        <v>17943</v>
      </c>
      <c r="H2333" s="4">
        <v>10</v>
      </c>
      <c r="I2333" s="4" t="s">
        <v>4067</v>
      </c>
      <c r="J2333" s="4" t="str">
        <f>IFERROR(__XLUDF.DUMMYFUNCTION("VLOOKUP(H49,IMPORTRANGE(""https://docs.google.com/spreadsheets/d/1opm6ZNvGZ7KditA9TuJwrZ25eFLfTNIkrNnY6mhV5Eg"",""list!A1:C115""),3,TRUE)"),"le secteur du conseil en management")</f>
        <v xml:space="preserve">le secteur du conseil en management</v>
      </c>
      <c r="K2333" s="5" t="s">
        <v>17944</v>
      </c>
      <c r="L2333" s="5" t="s">
        <v>17945</v>
      </c>
      <c r="M2333" s="4" t="s">
        <v>243</v>
      </c>
      <c r="N2333" s="4" t="s">
        <v>29</v>
      </c>
      <c r="O2333" s="4" t="s">
        <v>4385</v>
      </c>
      <c r="P2333" s="4" t="s">
        <v>29</v>
      </c>
      <c r="Q2333" s="4" t="s">
        <v>17946</v>
      </c>
      <c r="R2333" s="6"/>
      <c r="S2333" s="6"/>
      <c r="T2333" s="6"/>
      <c r="U2333" s="6"/>
      <c r="V2333" s="6"/>
      <c r="W2333" s="6"/>
      <c r="X2333" s="6"/>
      <c r="Y2333" s="6"/>
      <c r="Z2333" s="6"/>
      <c r="AA2333" s="6"/>
    </row>
    <row r="2334" ht="14.25">
      <c r="B2334" s="4" t="s">
        <v>17947</v>
      </c>
      <c r="C2334" s="4" t="s">
        <v>17948</v>
      </c>
      <c r="D2334" s="4" t="s">
        <v>44</v>
      </c>
      <c r="E2334" s="4" t="s">
        <v>17949</v>
      </c>
      <c r="F2334" s="4" t="str">
        <f>IFERROR(__XLUDF.DUMMYFUNCTION("PROPER(REGEXREPLACE(D50,""[^A-Za-z]+ "",""""))"),"Xrm Consulting")</f>
        <v xml:space="preserve">Xrm Consulting</v>
      </c>
      <c r="G2334" s="4" t="s">
        <v>17950</v>
      </c>
      <c r="H2334" s="4">
        <v>12</v>
      </c>
      <c r="I2334" s="4" t="s">
        <v>2602</v>
      </c>
      <c r="J2334" s="4"/>
      <c r="K2334" s="5" t="s">
        <v>17951</v>
      </c>
      <c r="L2334" s="5" t="s">
        <v>17952</v>
      </c>
      <c r="M2334" s="6"/>
      <c r="N2334" s="4" t="s">
        <v>29</v>
      </c>
      <c r="O2334" s="4" t="s">
        <v>17953</v>
      </c>
      <c r="P2334" s="4" t="s">
        <v>29</v>
      </c>
      <c r="Q2334" s="4" t="s">
        <v>17954</v>
      </c>
      <c r="R2334" s="6"/>
      <c r="S2334" s="6"/>
      <c r="T2334" s="6"/>
      <c r="U2334" s="6"/>
      <c r="V2334" s="6"/>
      <c r="W2334" s="6"/>
      <c r="X2334" s="6"/>
      <c r="Y2334" s="6"/>
      <c r="Z2334" s="6"/>
      <c r="AA2334" s="6"/>
    </row>
    <row r="2335" ht="14.25">
      <c r="B2335" s="4" t="s">
        <v>4132</v>
      </c>
      <c r="C2335" s="4" t="s">
        <v>17955</v>
      </c>
      <c r="D2335" s="4" t="s">
        <v>17956</v>
      </c>
      <c r="E2335" s="4" t="s">
        <v>17957</v>
      </c>
      <c r="F2335" s="4" t="str">
        <f>IFERROR(__XLUDF.DUMMYFUNCTION("PROPER(REGEXREPLACE(D51,""[^A-Za-z]+ "",""""))"),"Urban Gaming")</f>
        <v xml:space="preserve">Urban Gaming</v>
      </c>
      <c r="G2335" s="4" t="s">
        <v>17958</v>
      </c>
      <c r="H2335" s="4">
        <v>20</v>
      </c>
      <c r="I2335" s="4" t="s">
        <v>2602</v>
      </c>
      <c r="J2335" s="4"/>
      <c r="K2335" s="5" t="s">
        <v>17959</v>
      </c>
      <c r="L2335" s="5" t="s">
        <v>17960</v>
      </c>
      <c r="M2335" s="4" t="s">
        <v>39</v>
      </c>
      <c r="N2335" s="4" t="s">
        <v>29</v>
      </c>
      <c r="O2335" s="4" t="s">
        <v>17961</v>
      </c>
      <c r="P2335" s="4" t="s">
        <v>29</v>
      </c>
      <c r="Q2335" s="4" t="s">
        <v>17962</v>
      </c>
      <c r="R2335" s="6"/>
      <c r="S2335" s="6"/>
      <c r="T2335" s="6"/>
      <c r="U2335" s="6"/>
      <c r="V2335" s="6"/>
      <c r="W2335" s="6"/>
      <c r="X2335" s="6"/>
      <c r="Y2335" s="6"/>
      <c r="Z2335" s="6"/>
      <c r="AA2335" s="6"/>
    </row>
    <row r="2336" ht="14.25">
      <c r="B2336" s="4" t="s">
        <v>5891</v>
      </c>
      <c r="C2336" s="4" t="s">
        <v>17963</v>
      </c>
      <c r="D2336" s="4" t="s">
        <v>172</v>
      </c>
      <c r="E2336" s="4" t="s">
        <v>16080</v>
      </c>
      <c r="F2336" s="4" t="str">
        <f>IFERROR(__XLUDF.DUMMYFUNCTION("PROPER(REGEXREPLACE(D52,""[^A-Za-z]+ "",""""))"),"Aprex Solutions")</f>
        <v xml:space="preserve">Aprex Solutions</v>
      </c>
      <c r="G2336" s="4" t="s">
        <v>17964</v>
      </c>
      <c r="H2336" s="4">
        <v>21</v>
      </c>
      <c r="I2336" s="4" t="s">
        <v>2602</v>
      </c>
      <c r="J2336" s="4"/>
      <c r="K2336" s="5" t="s">
        <v>17965</v>
      </c>
      <c r="L2336" s="5" t="s">
        <v>17966</v>
      </c>
      <c r="M2336" s="4" t="s">
        <v>4922</v>
      </c>
      <c r="N2336" s="4" t="s">
        <v>29</v>
      </c>
      <c r="O2336" s="4" t="s">
        <v>17967</v>
      </c>
      <c r="P2336" s="4" t="s">
        <v>29</v>
      </c>
      <c r="Q2336" s="4" t="s">
        <v>16084</v>
      </c>
      <c r="R2336" s="6"/>
      <c r="S2336" s="6"/>
      <c r="T2336" s="6"/>
      <c r="U2336" s="6"/>
      <c r="V2336" s="6"/>
      <c r="W2336" s="6"/>
      <c r="X2336" s="6"/>
      <c r="Y2336" s="6"/>
      <c r="Z2336" s="6"/>
      <c r="AA2336" s="6"/>
    </row>
    <row r="2337" ht="14.25">
      <c r="B2337" s="4" t="s">
        <v>17968</v>
      </c>
      <c r="C2337" s="4" t="s">
        <v>17969</v>
      </c>
      <c r="D2337" s="4" t="s">
        <v>44</v>
      </c>
      <c r="E2337" s="4" t="s">
        <v>17970</v>
      </c>
      <c r="F2337" s="4" t="str">
        <f>IFERROR(__XLUDF.DUMMYFUNCTION("PROPER(REGEXREPLACE(D53,""[^A-Za-z]+ "",""""))"),"Marketincrew")</f>
        <v>Marketincrew</v>
      </c>
      <c r="G2337" s="4" t="s">
        <v>17971</v>
      </c>
      <c r="H2337" s="4">
        <v>32</v>
      </c>
      <c r="I2337" s="4" t="s">
        <v>9161</v>
      </c>
      <c r="J2337" s="4" t="str">
        <f>IFERROR(__XLUDF.DUMMYFUNCTION("VLOOKUP(H53,IMPORTRANGE(""https://docs.google.com/spreadsheets/d/1opm6ZNvGZ7KditA9TuJwrZ25eFLfTNIkrNnY6mhV5Eg"",""list!A1:C115""),3,TRUE)"),"le secteur du marketing")</f>
        <v xml:space="preserve">le secteur du marketing</v>
      </c>
      <c r="K2337" s="5" t="s">
        <v>17972</v>
      </c>
      <c r="L2337" s="5" t="s">
        <v>17973</v>
      </c>
      <c r="M2337" s="4" t="s">
        <v>185</v>
      </c>
      <c r="N2337" s="4" t="s">
        <v>29</v>
      </c>
      <c r="O2337" s="4" t="s">
        <v>17974</v>
      </c>
      <c r="P2337" s="4" t="s">
        <v>1828</v>
      </c>
      <c r="Q2337" s="4" t="s">
        <v>17975</v>
      </c>
      <c r="R2337" s="6"/>
      <c r="S2337" s="6"/>
      <c r="T2337" s="6"/>
      <c r="U2337" s="6"/>
      <c r="V2337" s="6"/>
      <c r="W2337" s="6"/>
      <c r="X2337" s="6"/>
      <c r="Y2337" s="6"/>
      <c r="Z2337" s="6"/>
      <c r="AA2337" s="6"/>
    </row>
    <row r="2338" ht="14.25">
      <c r="B2338" s="4" t="s">
        <v>661</v>
      </c>
      <c r="C2338" s="4" t="s">
        <v>17976</v>
      </c>
      <c r="D2338" s="4" t="s">
        <v>17977</v>
      </c>
      <c r="E2338" s="4" t="s">
        <v>17978</v>
      </c>
      <c r="F2338" s="4" t="str">
        <f>IFERROR(__XLUDF.DUMMYFUNCTION("PROPER(REGEXREPLACE(D54,""[^A-Za-z]+ "",""""))"),"Abcsr")</f>
        <v>Abcsr</v>
      </c>
      <c r="G2338" s="4" t="s">
        <v>17979</v>
      </c>
      <c r="H2338" s="4">
        <v>9</v>
      </c>
      <c r="I2338" s="4" t="s">
        <v>2602</v>
      </c>
      <c r="J2338" s="4"/>
      <c r="K2338" s="5" t="s">
        <v>17980</v>
      </c>
      <c r="L2338" s="5" t="s">
        <v>17981</v>
      </c>
      <c r="M2338" s="4" t="s">
        <v>13535</v>
      </c>
      <c r="N2338" s="4" t="s">
        <v>29</v>
      </c>
      <c r="O2338" s="4" t="s">
        <v>17982</v>
      </c>
      <c r="P2338" s="4" t="s">
        <v>29</v>
      </c>
      <c r="Q2338" s="4" t="s">
        <v>17983</v>
      </c>
      <c r="R2338" s="6"/>
      <c r="S2338" s="6"/>
      <c r="T2338" s="6"/>
      <c r="U2338" s="6"/>
      <c r="V2338" s="6"/>
      <c r="W2338" s="6"/>
      <c r="X2338" s="6"/>
      <c r="Y2338" s="6"/>
      <c r="Z2338" s="6"/>
      <c r="AA2338" s="6"/>
    </row>
    <row r="2339" ht="14.25">
      <c r="B2339" s="4" t="s">
        <v>17984</v>
      </c>
      <c r="C2339" s="4" t="s">
        <v>17985</v>
      </c>
      <c r="D2339" s="4" t="s">
        <v>315</v>
      </c>
      <c r="E2339" s="4" t="s">
        <v>17986</v>
      </c>
      <c r="F2339" s="4" t="str">
        <f>IFERROR(__XLUDF.DUMMYFUNCTION("PROPER(REGEXREPLACE(D55,""[^A-Za-z]+ "",""""))"),"The Pipeline")</f>
        <v xml:space="preserve">The Pipeline</v>
      </c>
      <c r="G2339" s="4" t="s">
        <v>17987</v>
      </c>
      <c r="H2339" s="4">
        <v>35</v>
      </c>
      <c r="I2339" s="4" t="s">
        <v>4067</v>
      </c>
      <c r="J2339" s="4" t="str">
        <f>IFERROR(__XLUDF.DUMMYFUNCTION("VLOOKUP(H55,IMPORTRANGE(""https://docs.google.com/spreadsheets/d/1opm6ZNvGZ7KditA9TuJwrZ25eFLfTNIkrNnY6mhV5Eg"",""list!A1:C115""),3,TRUE)"),"le secteur du conseil en management")</f>
        <v xml:space="preserve">le secteur du conseil en management</v>
      </c>
      <c r="K2339" s="5" t="s">
        <v>17988</v>
      </c>
      <c r="L2339" s="5" t="s">
        <v>17989</v>
      </c>
      <c r="M2339" s="4" t="s">
        <v>17990</v>
      </c>
      <c r="N2339" s="4" t="s">
        <v>29</v>
      </c>
      <c r="O2339" s="4" t="s">
        <v>17991</v>
      </c>
      <c r="P2339" s="4" t="s">
        <v>1548</v>
      </c>
      <c r="Q2339" s="4" t="s">
        <v>17992</v>
      </c>
      <c r="R2339" s="6"/>
      <c r="S2339" s="6"/>
      <c r="T2339" s="6"/>
      <c r="U2339" s="6"/>
      <c r="V2339" s="6"/>
      <c r="W2339" s="6"/>
      <c r="X2339" s="6"/>
      <c r="Y2339" s="6"/>
      <c r="Z2339" s="6"/>
      <c r="AA2339" s="6"/>
    </row>
    <row r="2340" ht="14.25">
      <c r="B2340" s="4" t="s">
        <v>118</v>
      </c>
      <c r="C2340" s="4" t="s">
        <v>17993</v>
      </c>
      <c r="D2340" s="4" t="s">
        <v>17994</v>
      </c>
      <c r="E2340" s="5" t="s">
        <v>17995</v>
      </c>
      <c r="F2340" s="4" t="str">
        <f>IFERROR(__XLUDF.DUMMYFUNCTION("PROPER(REGEXREPLACE(D56,""[^A-Za-z]+ "",""""))"),"Alfred-Eyes")</f>
        <v>Alfred-Eyes</v>
      </c>
      <c r="G2340" s="4" t="s">
        <v>17996</v>
      </c>
      <c r="H2340" s="4">
        <v>14</v>
      </c>
      <c r="I2340" s="4" t="s">
        <v>2602</v>
      </c>
      <c r="J2340" s="4"/>
      <c r="K2340" s="5" t="s">
        <v>17997</v>
      </c>
      <c r="L2340" s="5" t="s">
        <v>17998</v>
      </c>
      <c r="M2340" s="4" t="s">
        <v>39</v>
      </c>
      <c r="N2340" s="4" t="s">
        <v>29</v>
      </c>
      <c r="O2340" s="4" t="s">
        <v>67</v>
      </c>
      <c r="P2340" s="4" t="s">
        <v>29</v>
      </c>
      <c r="Q2340" s="4" t="s">
        <v>17999</v>
      </c>
      <c r="R2340" s="6"/>
      <c r="S2340" s="6"/>
      <c r="T2340" s="6"/>
      <c r="U2340" s="6"/>
      <c r="V2340" s="6"/>
      <c r="W2340" s="6"/>
      <c r="X2340" s="6"/>
      <c r="Y2340" s="6"/>
      <c r="Z2340" s="6"/>
      <c r="AA2340" s="6"/>
    </row>
    <row r="2341" ht="14.25">
      <c r="B2341" s="4" t="s">
        <v>222</v>
      </c>
      <c r="C2341" s="4" t="s">
        <v>18000</v>
      </c>
      <c r="D2341" s="4" t="s">
        <v>460</v>
      </c>
      <c r="E2341" s="4" t="s">
        <v>18001</v>
      </c>
      <c r="F2341" s="4" t="str">
        <f>IFERROR(__XLUDF.DUMMYFUNCTION("PROPER(REGEXREPLACE(D57,""[^A-Za-z]+ "",""""))"),"Tcat")</f>
        <v>Tcat</v>
      </c>
      <c r="G2341" s="4" t="s">
        <v>18002</v>
      </c>
      <c r="H2341" s="4">
        <v>50</v>
      </c>
      <c r="I2341" s="4" t="s">
        <v>2602</v>
      </c>
      <c r="J2341" s="4"/>
      <c r="K2341" s="5" t="s">
        <v>18003</v>
      </c>
      <c r="L2341" s="5" t="s">
        <v>18004</v>
      </c>
      <c r="M2341" s="4" t="s">
        <v>11716</v>
      </c>
      <c r="N2341" s="4" t="s">
        <v>29</v>
      </c>
      <c r="O2341" s="4" t="s">
        <v>1548</v>
      </c>
      <c r="P2341" s="4" t="s">
        <v>1548</v>
      </c>
      <c r="Q2341" s="4" t="s">
        <v>18005</v>
      </c>
      <c r="R2341" s="6"/>
      <c r="S2341" s="6"/>
      <c r="T2341" s="6"/>
      <c r="U2341" s="6"/>
      <c r="V2341" s="6"/>
      <c r="W2341" s="6"/>
      <c r="X2341" s="6"/>
      <c r="Y2341" s="6"/>
      <c r="Z2341" s="6"/>
      <c r="AA2341" s="6"/>
    </row>
    <row r="2342" ht="14.25">
      <c r="B2342" s="4" t="s">
        <v>170</v>
      </c>
      <c r="C2342" s="4" t="s">
        <v>18006</v>
      </c>
      <c r="D2342" s="4" t="s">
        <v>247</v>
      </c>
      <c r="E2342" s="4" t="s">
        <v>18007</v>
      </c>
      <c r="F2342" s="4" t="str">
        <f>IFERROR(__XLUDF.DUMMYFUNCTION("PROPER(REGEXREPLACE(D58,""[^A-Za-z]+ "",""""))"),"Rubix Consulting")</f>
        <v xml:space="preserve">Rubix Consulting</v>
      </c>
      <c r="G2342" s="4" t="s">
        <v>18008</v>
      </c>
      <c r="H2342" s="4">
        <v>19</v>
      </c>
      <c r="I2342" s="4" t="s">
        <v>2602</v>
      </c>
      <c r="J2342" s="4" t="str">
        <f>IFERROR(__XLUDF.DUMMYFUNCTION("VLOOKUP(H58,IMPORTRANGE(""https://docs.google.com/spreadsheets/d/1opm6ZNvGZ7KditA9TuJwrZ25eFLfTNIkrNnY6mhV5Eg"",""list!A1:C115""),3,TRUE)"),"le secteur de la tech")</f>
        <v xml:space="preserve">le secteur de la tech</v>
      </c>
      <c r="K2342" s="5" t="s">
        <v>18009</v>
      </c>
      <c r="L2342" s="5" t="s">
        <v>18010</v>
      </c>
      <c r="M2342" s="4" t="s">
        <v>1711</v>
      </c>
      <c r="N2342" s="4" t="s">
        <v>29</v>
      </c>
      <c r="O2342" s="4" t="s">
        <v>1712</v>
      </c>
      <c r="P2342" s="4" t="s">
        <v>29</v>
      </c>
      <c r="Q2342" s="4" t="s">
        <v>18011</v>
      </c>
      <c r="R2342" s="6"/>
      <c r="S2342" s="6"/>
      <c r="T2342" s="6"/>
      <c r="U2342" s="6"/>
      <c r="V2342" s="6"/>
      <c r="W2342" s="6"/>
      <c r="X2342" s="6"/>
      <c r="Y2342" s="6"/>
      <c r="Z2342" s="6"/>
      <c r="AA2342" s="6"/>
    </row>
    <row r="2343" ht="14.25">
      <c r="B2343" s="4" t="s">
        <v>963</v>
      </c>
      <c r="C2343" s="4" t="s">
        <v>3319</v>
      </c>
      <c r="D2343" s="4" t="s">
        <v>172</v>
      </c>
      <c r="E2343" s="4" t="s">
        <v>18012</v>
      </c>
      <c r="F2343" s="4" t="str">
        <f>IFERROR(__XLUDF.DUMMYFUNCTION("PROPER(REGEXREPLACE(D59,""[^A-Za-z]+ "",""""))"),"Setics")</f>
        <v>Setics</v>
      </c>
      <c r="G2343" s="4" t="s">
        <v>18013</v>
      </c>
      <c r="H2343" s="4">
        <v>45</v>
      </c>
      <c r="I2343" s="4" t="s">
        <v>9184</v>
      </c>
      <c r="J2343" s="4" t="str">
        <f>IFERROR(__XLUDF.DUMMYFUNCTION("VLOOKUP(H59,IMPORTRANGE(""https://docs.google.com/spreadsheets/d/1opm6ZNvGZ7KditA9TuJwrZ25eFLfTNIkrNnY6mhV5Eg"",""list!A1:C115""),3,TRUE)"),"le secteur des télécommunications")</f>
        <v xml:space="preserve">le secteur des télécommunications</v>
      </c>
      <c r="K2343" s="5" t="s">
        <v>18014</v>
      </c>
      <c r="L2343" s="5" t="s">
        <v>18015</v>
      </c>
      <c r="M2343" s="6"/>
      <c r="N2343" s="4" t="s">
        <v>29</v>
      </c>
      <c r="O2343" s="4" t="s">
        <v>18016</v>
      </c>
      <c r="P2343" s="4" t="s">
        <v>29</v>
      </c>
      <c r="Q2343" s="4" t="s">
        <v>18017</v>
      </c>
      <c r="R2343" s="6"/>
      <c r="S2343" s="6"/>
      <c r="T2343" s="6"/>
      <c r="U2343" s="6"/>
      <c r="V2343" s="6"/>
      <c r="W2343" s="6"/>
      <c r="X2343" s="6"/>
      <c r="Y2343" s="6"/>
      <c r="Z2343" s="6"/>
      <c r="AA2343" s="6"/>
    </row>
    <row r="2344" ht="14.25">
      <c r="B2344" s="4" t="s">
        <v>290</v>
      </c>
      <c r="C2344" s="4" t="s">
        <v>18018</v>
      </c>
      <c r="D2344" s="4" t="s">
        <v>460</v>
      </c>
      <c r="E2344" s="4" t="s">
        <v>18019</v>
      </c>
      <c r="F2344" s="4" t="str">
        <f>IFERROR(__XLUDF.DUMMYFUNCTION("PROPER(REGEXREPLACE(D60,""[^A-Za-z]+ "",""""))"),"Yacast")</f>
        <v>Yacast</v>
      </c>
      <c r="G2344" s="4" t="s">
        <v>18020</v>
      </c>
      <c r="H2344" s="4">
        <v>33</v>
      </c>
      <c r="I2344" s="4" t="s">
        <v>2602</v>
      </c>
      <c r="J2344" s="4" t="str">
        <f>IFERROR(__XLUDF.DUMMYFUNCTION("VLOOKUP(H60,IMPORTRANGE(""https://docs.google.com/spreadsheets/d/1opm6ZNvGZ7KditA9TuJwrZ25eFLfTNIkrNnY6mhV5Eg"",""list!A1:C115""),3,TRUE)"),"le secteur de la tech")</f>
        <v xml:space="preserve">le secteur de la tech</v>
      </c>
      <c r="K2344" s="5" t="s">
        <v>18021</v>
      </c>
      <c r="L2344" s="5" t="s">
        <v>18022</v>
      </c>
      <c r="M2344" s="4" t="s">
        <v>39</v>
      </c>
      <c r="N2344" s="4" t="s">
        <v>29</v>
      </c>
      <c r="O2344" s="4" t="s">
        <v>18023</v>
      </c>
      <c r="P2344" s="4" t="s">
        <v>29</v>
      </c>
      <c r="Q2344" s="6"/>
      <c r="R2344" s="6"/>
      <c r="S2344" s="6"/>
      <c r="T2344" s="6"/>
      <c r="U2344" s="6"/>
      <c r="V2344" s="6"/>
      <c r="W2344" s="6"/>
      <c r="X2344" s="6"/>
      <c r="Y2344" s="6"/>
      <c r="Z2344" s="6"/>
      <c r="AA2344" s="6"/>
    </row>
    <row r="2345" ht="14.25">
      <c r="B2345" s="4" t="s">
        <v>785</v>
      </c>
      <c r="C2345" s="4" t="s">
        <v>95</v>
      </c>
      <c r="D2345" s="4" t="s">
        <v>87</v>
      </c>
      <c r="E2345" s="4" t="s">
        <v>18024</v>
      </c>
      <c r="F2345" s="4" t="str">
        <f>IFERROR(__XLUDF.DUMMYFUNCTION("PROPER(REGEXREPLACE(D61,""[^A-Za-z]+ "",""""))"),"6Netic")</f>
        <v>6Netic</v>
      </c>
      <c r="G2345" s="4" t="s">
        <v>18025</v>
      </c>
      <c r="H2345" s="4">
        <v>12</v>
      </c>
      <c r="I2345" s="4" t="s">
        <v>2602</v>
      </c>
      <c r="J2345" s="4"/>
      <c r="K2345" s="5" t="s">
        <v>18026</v>
      </c>
      <c r="L2345" s="5" t="s">
        <v>18027</v>
      </c>
      <c r="M2345" s="4" t="s">
        <v>562</v>
      </c>
      <c r="N2345" s="4" t="s">
        <v>29</v>
      </c>
      <c r="O2345" s="4" t="s">
        <v>457</v>
      </c>
      <c r="P2345" s="4" t="s">
        <v>29</v>
      </c>
      <c r="Q2345" s="4" t="s">
        <v>18028</v>
      </c>
      <c r="R2345" s="6"/>
      <c r="S2345" s="6"/>
      <c r="T2345" s="6"/>
      <c r="U2345" s="6"/>
      <c r="V2345" s="6"/>
      <c r="W2345" s="6"/>
      <c r="X2345" s="6"/>
      <c r="Y2345" s="6"/>
      <c r="Z2345" s="6"/>
      <c r="AA2345" s="6"/>
    </row>
    <row r="2346" ht="14.25">
      <c r="B2346" s="4" t="s">
        <v>808</v>
      </c>
      <c r="C2346" s="4" t="s">
        <v>18029</v>
      </c>
      <c r="D2346" s="4" t="s">
        <v>18030</v>
      </c>
      <c r="E2346" s="4" t="s">
        <v>18031</v>
      </c>
      <c r="F2346" s="4" t="str">
        <f>IFERROR(__XLUDF.DUMMYFUNCTION("PROPER(REGEXREPLACE(D62,""[^A-Za-z]+ "",""""))"),"Intoo")</f>
        <v>Intoo</v>
      </c>
      <c r="G2346" s="4" t="s">
        <v>18032</v>
      </c>
      <c r="H2346" s="4">
        <v>10</v>
      </c>
      <c r="I2346" s="4" t="s">
        <v>2602</v>
      </c>
      <c r="J2346" s="4" t="str">
        <f>IFERROR(__XLUDF.DUMMYFUNCTION("VLOOKUP(H62,IMPORTRANGE(""https://docs.google.com/spreadsheets/d/1opm6ZNvGZ7KditA9TuJwrZ25eFLfTNIkrNnY6mhV5Eg"",""list!A1:C115""),3,TRUE)"),"le secteur de la tech")</f>
        <v xml:space="preserve">le secteur de la tech</v>
      </c>
      <c r="K2346" s="5" t="s">
        <v>18033</v>
      </c>
      <c r="L2346" s="5" t="s">
        <v>18034</v>
      </c>
      <c r="M2346" s="4" t="s">
        <v>1780</v>
      </c>
      <c r="N2346" s="4" t="s">
        <v>29</v>
      </c>
      <c r="O2346" s="4" t="s">
        <v>18035</v>
      </c>
      <c r="P2346" s="4" t="s">
        <v>29</v>
      </c>
      <c r="Q2346" s="4" t="s">
        <v>18036</v>
      </c>
      <c r="R2346" s="6"/>
      <c r="S2346" s="6"/>
      <c r="T2346" s="6"/>
      <c r="U2346" s="6"/>
      <c r="V2346" s="6"/>
      <c r="W2346" s="6"/>
      <c r="X2346" s="6"/>
      <c r="Y2346" s="6"/>
      <c r="Z2346" s="6"/>
      <c r="AA2346" s="6"/>
    </row>
    <row r="2347" ht="14.25">
      <c r="B2347" s="4" t="s">
        <v>18037</v>
      </c>
      <c r="C2347" s="4" t="s">
        <v>18038</v>
      </c>
      <c r="D2347" s="4" t="s">
        <v>1240</v>
      </c>
      <c r="E2347" s="4" t="s">
        <v>18039</v>
      </c>
      <c r="F2347" s="4" t="str">
        <f>IFERROR(__XLUDF.DUMMYFUNCTION("PROPER(REGEXREPLACE(D63,""[^A-Za-z]+ "",""""))"),"Ochy")</f>
        <v>Ochy</v>
      </c>
      <c r="G2347" s="4" t="s">
        <v>18040</v>
      </c>
      <c r="H2347" s="4">
        <v>15</v>
      </c>
      <c r="I2347" s="4" t="s">
        <v>2602</v>
      </c>
      <c r="J2347" s="4"/>
      <c r="K2347" s="5" t="s">
        <v>18041</v>
      </c>
      <c r="L2347" s="5" t="s">
        <v>18042</v>
      </c>
      <c r="M2347" s="4" t="s">
        <v>1826</v>
      </c>
      <c r="N2347" s="4" t="s">
        <v>29</v>
      </c>
      <c r="O2347" s="4" t="s">
        <v>2286</v>
      </c>
      <c r="P2347" s="4" t="s">
        <v>29</v>
      </c>
      <c r="Q2347" s="4" t="s">
        <v>18043</v>
      </c>
      <c r="R2347" s="6"/>
      <c r="S2347" s="6"/>
      <c r="T2347" s="6"/>
      <c r="U2347" s="6"/>
      <c r="V2347" s="6"/>
      <c r="W2347" s="6"/>
      <c r="X2347" s="6"/>
      <c r="Y2347" s="6"/>
      <c r="Z2347" s="6"/>
      <c r="AA2347" s="6"/>
    </row>
    <row r="2348" ht="14.25">
      <c r="B2348" s="4" t="s">
        <v>5029</v>
      </c>
      <c r="C2348" s="4" t="s">
        <v>18044</v>
      </c>
      <c r="D2348" s="4" t="s">
        <v>112</v>
      </c>
      <c r="E2348" s="4" t="s">
        <v>18045</v>
      </c>
      <c r="F2348" s="4" t="str">
        <f>IFERROR(__XLUDF.DUMMYFUNCTION("PROPER(REGEXREPLACE(D64,""[^A-Za-z]+ "",""""))"),"Phaino")</f>
        <v>Phaino</v>
      </c>
      <c r="G2348" s="4" t="s">
        <v>18046</v>
      </c>
      <c r="H2348" s="4">
        <v>13</v>
      </c>
      <c r="I2348" s="4" t="s">
        <v>4067</v>
      </c>
      <c r="J2348" s="4" t="str">
        <f>IFERROR(__XLUDF.DUMMYFUNCTION("VLOOKUP(H64,IMPORTRANGE(""https://docs.google.com/spreadsheets/d/1opm6ZNvGZ7KditA9TuJwrZ25eFLfTNIkrNnY6mhV5Eg"",""list!A1:C115""),3,TRUE)"),"le secteur du conseil en management")</f>
        <v xml:space="preserve">le secteur du conseil en management</v>
      </c>
      <c r="K2348" s="5" t="s">
        <v>18047</v>
      </c>
      <c r="L2348" s="5" t="s">
        <v>18048</v>
      </c>
      <c r="M2348" s="4" t="s">
        <v>482</v>
      </c>
      <c r="N2348" s="4" t="s">
        <v>29</v>
      </c>
      <c r="O2348" s="4" t="s">
        <v>18049</v>
      </c>
      <c r="P2348" s="4" t="s">
        <v>848</v>
      </c>
      <c r="Q2348" s="6"/>
      <c r="R2348" s="6"/>
      <c r="S2348" s="6"/>
      <c r="T2348" s="6"/>
      <c r="U2348" s="6"/>
      <c r="V2348" s="6"/>
      <c r="W2348" s="6"/>
      <c r="X2348" s="6"/>
      <c r="Y2348" s="6"/>
      <c r="Z2348" s="6"/>
      <c r="AA2348" s="6"/>
    </row>
    <row r="2349" ht="14.25">
      <c r="B2349" s="4" t="s">
        <v>9043</v>
      </c>
      <c r="C2349" s="4" t="s">
        <v>18050</v>
      </c>
      <c r="D2349" s="4" t="s">
        <v>341</v>
      </c>
      <c r="E2349" s="4" t="s">
        <v>18051</v>
      </c>
      <c r="F2349" s="4" t="str">
        <f>IFERROR(__XLUDF.DUMMYFUNCTION("PROPER(REGEXREPLACE(D65,""[^A-Za-z]+ "",""""))"),"Sport Santdomicile")</f>
        <v xml:space="preserve">Sport Santdomicile</v>
      </c>
      <c r="G2349" s="4" t="s">
        <v>18052</v>
      </c>
      <c r="H2349" s="4">
        <v>12</v>
      </c>
      <c r="I2349" s="4" t="s">
        <v>2602</v>
      </c>
      <c r="J2349" s="4" t="str">
        <f>IFERROR(__XLUDF.DUMMYFUNCTION("VLOOKUP(H65,IMPORTRANGE(""https://docs.google.com/spreadsheets/d/1opm6ZNvGZ7KditA9TuJwrZ25eFLfTNIkrNnY6mhV5Eg"",""list!A1:C115""),3,TRUE)"),"le secteur de la tech")</f>
        <v xml:space="preserve">le secteur de la tech</v>
      </c>
      <c r="K2349" s="5" t="s">
        <v>18053</v>
      </c>
      <c r="L2349" s="5" t="s">
        <v>18054</v>
      </c>
      <c r="M2349" s="4" t="s">
        <v>18055</v>
      </c>
      <c r="N2349" s="4" t="s">
        <v>29</v>
      </c>
      <c r="O2349" s="4" t="s">
        <v>18056</v>
      </c>
      <c r="P2349" s="4" t="s">
        <v>29</v>
      </c>
      <c r="Q2349" s="4" t="s">
        <v>18057</v>
      </c>
      <c r="R2349" s="6"/>
      <c r="S2349" s="6"/>
      <c r="T2349" s="6"/>
      <c r="U2349" s="6"/>
      <c r="V2349" s="6"/>
      <c r="W2349" s="6"/>
      <c r="X2349" s="6"/>
      <c r="Y2349" s="6"/>
      <c r="Z2349" s="6"/>
      <c r="AA2349" s="6"/>
    </row>
    <row r="2350" ht="14.25">
      <c r="B2350" s="4" t="s">
        <v>18058</v>
      </c>
      <c r="C2350" s="4" t="s">
        <v>18059</v>
      </c>
      <c r="D2350" s="4" t="s">
        <v>18060</v>
      </c>
      <c r="E2350" s="4" t="s">
        <v>18061</v>
      </c>
      <c r="F2350" s="4" t="str">
        <f>IFERROR(__XLUDF.DUMMYFUNCTION("PROPER(REGEXREPLACE(D66,""[^A-Za-z]+ "",""""))"),"Skillwise")</f>
        <v>Skillwise</v>
      </c>
      <c r="G2350" s="4" t="s">
        <v>18062</v>
      </c>
      <c r="H2350" s="4">
        <v>36</v>
      </c>
      <c r="I2350" s="4" t="s">
        <v>18063</v>
      </c>
      <c r="J2350" s="4"/>
      <c r="K2350" s="5" t="s">
        <v>18064</v>
      </c>
      <c r="L2350" s="5" t="s">
        <v>18065</v>
      </c>
      <c r="M2350" s="4" t="s">
        <v>39</v>
      </c>
      <c r="N2350" s="4" t="s">
        <v>29</v>
      </c>
      <c r="O2350" s="4" t="s">
        <v>18066</v>
      </c>
      <c r="P2350" s="4" t="s">
        <v>29</v>
      </c>
      <c r="Q2350" s="4" t="s">
        <v>18067</v>
      </c>
      <c r="R2350" s="6"/>
      <c r="S2350" s="6"/>
      <c r="T2350" s="6"/>
      <c r="U2350" s="6"/>
      <c r="V2350" s="6"/>
      <c r="W2350" s="6"/>
      <c r="X2350" s="6"/>
      <c r="Y2350" s="6"/>
      <c r="Z2350" s="6"/>
      <c r="AA2350" s="6"/>
    </row>
    <row r="2351" ht="14.25">
      <c r="B2351" s="4" t="s">
        <v>18068</v>
      </c>
      <c r="C2351" s="4" t="s">
        <v>18069</v>
      </c>
      <c r="D2351" s="4" t="s">
        <v>18070</v>
      </c>
      <c r="E2351" s="4" t="s">
        <v>18071</v>
      </c>
      <c r="F2351" s="4" t="str">
        <f>IFERROR(__XLUDF.DUMMYFUNCTION("PROPER(REGEXREPLACE(D67,""[^A-Za-z]+ "",""""))"),"Social Cut Agency")</f>
        <v xml:space="preserve">Social Cut Agency</v>
      </c>
      <c r="G2351" s="4" t="s">
        <v>18072</v>
      </c>
      <c r="H2351" s="4">
        <v>18</v>
      </c>
      <c r="I2351" s="4" t="s">
        <v>9161</v>
      </c>
      <c r="J2351" s="4" t="str">
        <f>IFERROR(__XLUDF.DUMMYFUNCTION("VLOOKUP(H67,IMPORTRANGE(""https://docs.google.com/spreadsheets/d/1opm6ZNvGZ7KditA9TuJwrZ25eFLfTNIkrNnY6mhV5Eg"",""list!A1:C115""),3,TRUE)"),"le secteur du marketing")</f>
        <v xml:space="preserve">le secteur du marketing</v>
      </c>
      <c r="K2351" s="5" t="s">
        <v>18073</v>
      </c>
      <c r="L2351" s="5" t="s">
        <v>18074</v>
      </c>
      <c r="M2351" s="4" t="s">
        <v>39</v>
      </c>
      <c r="N2351" s="4" t="s">
        <v>29</v>
      </c>
      <c r="O2351" s="4" t="s">
        <v>18075</v>
      </c>
      <c r="P2351" s="4" t="s">
        <v>29</v>
      </c>
      <c r="Q2351" s="4" t="s">
        <v>18076</v>
      </c>
      <c r="R2351" s="6"/>
      <c r="S2351" s="6"/>
      <c r="T2351" s="6"/>
      <c r="U2351" s="6"/>
      <c r="V2351" s="6"/>
      <c r="W2351" s="6"/>
      <c r="X2351" s="6"/>
      <c r="Y2351" s="6"/>
      <c r="Z2351" s="6"/>
      <c r="AA2351" s="6"/>
    </row>
    <row r="2352" ht="14.25">
      <c r="B2352" s="4" t="s">
        <v>710</v>
      </c>
      <c r="C2352" s="4" t="s">
        <v>18077</v>
      </c>
      <c r="D2352" s="4" t="s">
        <v>62</v>
      </c>
      <c r="E2352" s="4" t="s">
        <v>18078</v>
      </c>
      <c r="F2352" s="4" t="str">
        <f>IFERROR(__XLUDF.DUMMYFUNCTION("PROPER(REGEXREPLACE(D68,""[^A-Za-z]+ "",""""))"),"Octoperf")</f>
        <v>Octoperf</v>
      </c>
      <c r="G2352" s="4" t="s">
        <v>18079</v>
      </c>
      <c r="H2352" s="4">
        <v>12</v>
      </c>
      <c r="I2352" s="4" t="s">
        <v>2602</v>
      </c>
      <c r="J2352" s="4" t="str">
        <f>IFERROR(__XLUDF.DUMMYFUNCTION("VLOOKUP(H68,IMPORTRANGE(""https://docs.google.com/spreadsheets/d/1opm6ZNvGZ7KditA9TuJwrZ25eFLfTNIkrNnY6mhV5Eg"",""list!A1:C115""),3,TRUE)"),"le secteur de la tech")</f>
        <v xml:space="preserve">le secteur de la tech</v>
      </c>
      <c r="K2352" s="5" t="s">
        <v>18080</v>
      </c>
      <c r="L2352" s="5" t="s">
        <v>18081</v>
      </c>
      <c r="M2352" s="4" t="s">
        <v>295</v>
      </c>
      <c r="N2352" s="4" t="s">
        <v>29</v>
      </c>
      <c r="O2352" s="4" t="s">
        <v>18082</v>
      </c>
      <c r="P2352" s="4" t="s">
        <v>29</v>
      </c>
      <c r="Q2352" s="4" t="s">
        <v>18083</v>
      </c>
      <c r="R2352" s="6"/>
      <c r="S2352" s="6"/>
      <c r="T2352" s="6"/>
      <c r="U2352" s="6"/>
      <c r="V2352" s="6"/>
      <c r="W2352" s="6"/>
      <c r="X2352" s="6"/>
      <c r="Y2352" s="6"/>
      <c r="Z2352" s="6"/>
      <c r="AA2352" s="6"/>
    </row>
    <row r="2353" ht="14.25">
      <c r="B2353" s="4" t="s">
        <v>7901</v>
      </c>
      <c r="C2353" s="4" t="s">
        <v>18084</v>
      </c>
      <c r="D2353" s="4" t="s">
        <v>5158</v>
      </c>
      <c r="E2353" s="4" t="s">
        <v>18085</v>
      </c>
      <c r="F2353" s="4" t="str">
        <f>IFERROR(__XLUDF.DUMMYFUNCTION("PROPER(REGEXREPLACE(D69,""[^A-Za-z]+ "",""""))"),"Telesio")</f>
        <v>Telesio</v>
      </c>
      <c r="G2353" s="4" t="s">
        <v>18086</v>
      </c>
      <c r="H2353" s="4">
        <v>58</v>
      </c>
      <c r="I2353" s="4" t="s">
        <v>2602</v>
      </c>
      <c r="J2353" s="4"/>
      <c r="K2353" s="5" t="s">
        <v>18087</v>
      </c>
      <c r="L2353" s="5" t="s">
        <v>18088</v>
      </c>
      <c r="M2353" s="4" t="s">
        <v>39</v>
      </c>
      <c r="N2353" s="4" t="s">
        <v>29</v>
      </c>
      <c r="O2353" s="4" t="s">
        <v>18089</v>
      </c>
      <c r="P2353" s="4" t="s">
        <v>29</v>
      </c>
      <c r="Q2353" s="4" t="s">
        <v>18090</v>
      </c>
      <c r="R2353" s="6"/>
      <c r="S2353" s="6"/>
      <c r="T2353" s="6"/>
      <c r="U2353" s="6"/>
      <c r="V2353" s="6"/>
      <c r="W2353" s="6"/>
      <c r="X2353" s="6"/>
      <c r="Y2353" s="6"/>
      <c r="Z2353" s="6"/>
      <c r="AA2353" s="6"/>
    </row>
    <row r="2354" ht="14.25">
      <c r="B2354" s="4" t="s">
        <v>95</v>
      </c>
      <c r="C2354" s="4" t="s">
        <v>18091</v>
      </c>
      <c r="D2354" s="4" t="s">
        <v>1072</v>
      </c>
      <c r="E2354" s="4" t="s">
        <v>18092</v>
      </c>
      <c r="F2354" s="4" t="str">
        <f>IFERROR(__XLUDF.DUMMYFUNCTION("PROPER(REGEXREPLACE(D70,""[^A-Za-z]+ "",""""))"),"Nucleon Security")</f>
        <v xml:space="preserve">Nucleon Security</v>
      </c>
      <c r="G2354" s="4" t="s">
        <v>18093</v>
      </c>
      <c r="H2354" s="4">
        <v>17</v>
      </c>
      <c r="I2354" s="4" t="s">
        <v>9264</v>
      </c>
      <c r="J2354" s="4" t="str">
        <f>IFERROR(__XLUDF.DUMMYFUNCTION("VLOOKUP(H70,IMPORTRANGE(""https://docs.google.com/spreadsheets/d/1opm6ZNvGZ7KditA9TuJwrZ25eFLfTNIkrNnY6mhV5Eg"",""list!A1:C115""),3,TRUE)"),"le secteur de la sécurité informatique")</f>
        <v xml:space="preserve">le secteur de la sécurité informatique</v>
      </c>
      <c r="K2354" s="5" t="s">
        <v>18094</v>
      </c>
      <c r="L2354" s="5" t="s">
        <v>18095</v>
      </c>
      <c r="M2354" s="4" t="s">
        <v>39</v>
      </c>
      <c r="N2354" s="4" t="s">
        <v>29</v>
      </c>
      <c r="O2354" s="4" t="s">
        <v>67</v>
      </c>
      <c r="P2354" s="4" t="s">
        <v>29</v>
      </c>
      <c r="Q2354" s="4" t="s">
        <v>18096</v>
      </c>
      <c r="R2354" s="6"/>
      <c r="S2354" s="6"/>
      <c r="T2354" s="6"/>
      <c r="U2354" s="6"/>
      <c r="V2354" s="6"/>
      <c r="W2354" s="6"/>
      <c r="X2354" s="6"/>
      <c r="Y2354" s="6"/>
      <c r="Z2354" s="6"/>
      <c r="AA2354" s="6"/>
    </row>
    <row r="2355" ht="14.25">
      <c r="B2355" s="4" t="s">
        <v>1592</v>
      </c>
      <c r="C2355" s="4" t="s">
        <v>18097</v>
      </c>
      <c r="D2355" s="4" t="s">
        <v>172</v>
      </c>
      <c r="E2355" s="4" t="s">
        <v>18098</v>
      </c>
      <c r="F2355" s="4" t="str">
        <f>IFERROR(__XLUDF.DUMMYFUNCTION("PROPER(REGEXREPLACE(D71,""[^A-Za-z]+ "",""""))"),"Altsis")</f>
        <v>Altsis</v>
      </c>
      <c r="G2355" s="4" t="s">
        <v>18099</v>
      </c>
      <c r="H2355" s="4">
        <v>11</v>
      </c>
      <c r="I2355" s="4" t="s">
        <v>2602</v>
      </c>
      <c r="J2355" s="4" t="str">
        <f>IFERROR(__XLUDF.DUMMYFUNCTION("VLOOKUP(H71,IMPORTRANGE(""https://docs.google.com/spreadsheets/d/1opm6ZNvGZ7KditA9TuJwrZ25eFLfTNIkrNnY6mhV5Eg"",""list!A1:C115""),3,TRUE)"),"le secteur de la tech")</f>
        <v xml:space="preserve">le secteur de la tech</v>
      </c>
      <c r="K2355" s="5" t="s">
        <v>18100</v>
      </c>
      <c r="L2355" s="5" t="s">
        <v>18101</v>
      </c>
      <c r="M2355" s="4" t="s">
        <v>18102</v>
      </c>
      <c r="N2355" s="4" t="s">
        <v>29</v>
      </c>
      <c r="O2355" s="4" t="s">
        <v>18103</v>
      </c>
      <c r="P2355" s="4" t="s">
        <v>29</v>
      </c>
      <c r="Q2355" s="4" t="s">
        <v>18104</v>
      </c>
      <c r="R2355" s="6"/>
      <c r="S2355" s="6"/>
      <c r="T2355" s="6"/>
      <c r="U2355" s="6"/>
      <c r="V2355" s="6"/>
      <c r="W2355" s="6"/>
      <c r="X2355" s="6"/>
      <c r="Y2355" s="6"/>
      <c r="Z2355" s="6"/>
      <c r="AA2355" s="6"/>
    </row>
    <row r="2356" ht="14.25">
      <c r="B2356" s="4" t="s">
        <v>2932</v>
      </c>
      <c r="C2356" s="4" t="s">
        <v>18105</v>
      </c>
      <c r="D2356" s="4" t="s">
        <v>18106</v>
      </c>
      <c r="E2356" s="4" t="s">
        <v>18107</v>
      </c>
      <c r="F2356" s="4" t="str">
        <f>IFERROR(__XLUDF.DUMMYFUNCTION("PROPER(REGEXREPLACE(D72,""[^A-Za-z]+ "",""""))"),"Trajectives")</f>
        <v>Trajectives</v>
      </c>
      <c r="G2356" s="4" t="s">
        <v>18108</v>
      </c>
      <c r="H2356" s="4">
        <v>21</v>
      </c>
      <c r="I2356" s="4" t="s">
        <v>4067</v>
      </c>
      <c r="J2356" s="4"/>
      <c r="K2356" s="5" t="s">
        <v>18109</v>
      </c>
      <c r="L2356" s="5" t="s">
        <v>18110</v>
      </c>
      <c r="M2356" s="6"/>
      <c r="N2356" s="4" t="s">
        <v>29</v>
      </c>
      <c r="O2356" s="4" t="s">
        <v>18111</v>
      </c>
      <c r="P2356" s="4" t="s">
        <v>29</v>
      </c>
      <c r="Q2356" s="4" t="s">
        <v>18112</v>
      </c>
      <c r="R2356" s="6"/>
      <c r="S2356" s="6"/>
      <c r="T2356" s="6"/>
      <c r="U2356" s="6"/>
      <c r="V2356" s="6"/>
      <c r="W2356" s="6"/>
      <c r="X2356" s="6"/>
      <c r="Y2356" s="6"/>
      <c r="Z2356" s="6"/>
      <c r="AA2356" s="6"/>
    </row>
    <row r="2357" ht="14.25">
      <c r="B2357" s="4" t="s">
        <v>1153</v>
      </c>
      <c r="C2357" s="4" t="s">
        <v>18113</v>
      </c>
      <c r="D2357" s="4" t="s">
        <v>18114</v>
      </c>
      <c r="E2357" s="4" t="s">
        <v>18115</v>
      </c>
      <c r="F2357" s="4" t="str">
        <f>IFERROR(__XLUDF.DUMMYFUNCTION("PROPER(REGEXREPLACE(D73,""[^A-Za-z]+ "",""""))"),"Weekera")</f>
        <v>Weekera</v>
      </c>
      <c r="G2357" s="4" t="s">
        <v>18116</v>
      </c>
      <c r="H2357" s="4">
        <v>18</v>
      </c>
      <c r="I2357" s="4" t="s">
        <v>2602</v>
      </c>
      <c r="J2357" s="4" t="str">
        <f>IFERROR(__XLUDF.DUMMYFUNCTION("VLOOKUP(H73,IMPORTRANGE(""https://docs.google.com/spreadsheets/d/1opm6ZNvGZ7KditA9TuJwrZ25eFLfTNIkrNnY6mhV5Eg"",""list!A1:C115""),3,TRUE)"),"le secteur de la tech")</f>
        <v xml:space="preserve">le secteur de la tech</v>
      </c>
      <c r="K2357" s="5" t="s">
        <v>18117</v>
      </c>
      <c r="L2357" s="5" t="s">
        <v>18118</v>
      </c>
      <c r="M2357" s="4" t="s">
        <v>39</v>
      </c>
      <c r="N2357" s="4" t="s">
        <v>29</v>
      </c>
      <c r="O2357" s="4" t="s">
        <v>18119</v>
      </c>
      <c r="P2357" s="4" t="s">
        <v>29</v>
      </c>
      <c r="Q2357" s="4" t="s">
        <v>18120</v>
      </c>
      <c r="R2357" s="6"/>
      <c r="S2357" s="6"/>
      <c r="T2357" s="6"/>
      <c r="U2357" s="6"/>
      <c r="V2357" s="6"/>
      <c r="W2357" s="6"/>
      <c r="X2357" s="6"/>
      <c r="Y2357" s="6"/>
      <c r="Z2357" s="6"/>
      <c r="AA2357" s="6"/>
    </row>
    <row r="2358" ht="14.25">
      <c r="B2358" s="4" t="s">
        <v>768</v>
      </c>
      <c r="C2358" s="4" t="s">
        <v>18121</v>
      </c>
      <c r="D2358" s="4" t="s">
        <v>44</v>
      </c>
      <c r="E2358" s="4" t="s">
        <v>18122</v>
      </c>
      <c r="F2358" s="4" t="str">
        <f>IFERROR(__XLUDF.DUMMYFUNCTION("PROPER(REGEXREPLACE(D74,""[^A-Za-z]+ "",""""))"),"Cycloid")</f>
        <v>Cycloid</v>
      </c>
      <c r="G2358" s="4" t="s">
        <v>18123</v>
      </c>
      <c r="H2358" s="4">
        <v>27</v>
      </c>
      <c r="I2358" s="4" t="s">
        <v>2602</v>
      </c>
      <c r="J2358" s="4" t="str">
        <f>IFERROR(__XLUDF.DUMMYFUNCTION("VLOOKUP(H74,IMPORTRANGE(""https://docs.google.com/spreadsheets/d/1opm6ZNvGZ7KditA9TuJwrZ25eFLfTNIkrNnY6mhV5Eg"",""list!A1:C115""),3,TRUE)"),"le secteur de la tech")</f>
        <v xml:space="preserve">le secteur de la tech</v>
      </c>
      <c r="K2358" s="5" t="s">
        <v>18124</v>
      </c>
      <c r="L2358" s="5" t="s">
        <v>18125</v>
      </c>
      <c r="M2358" s="4" t="s">
        <v>39</v>
      </c>
      <c r="N2358" s="4" t="s">
        <v>29</v>
      </c>
      <c r="O2358" s="4" t="s">
        <v>18126</v>
      </c>
      <c r="P2358" s="4" t="s">
        <v>29</v>
      </c>
      <c r="Q2358" s="4" t="s">
        <v>18127</v>
      </c>
      <c r="R2358" s="6"/>
      <c r="S2358" s="6"/>
      <c r="T2358" s="6"/>
      <c r="U2358" s="6"/>
      <c r="V2358" s="6"/>
      <c r="W2358" s="6"/>
      <c r="X2358" s="6"/>
      <c r="Y2358" s="6"/>
      <c r="Z2358" s="6"/>
      <c r="AA2358" s="6"/>
    </row>
    <row r="2359" ht="14.25">
      <c r="B2359" s="4" t="s">
        <v>622</v>
      </c>
      <c r="C2359" s="4" t="s">
        <v>18128</v>
      </c>
      <c r="D2359" s="4" t="s">
        <v>172</v>
      </c>
      <c r="E2359" s="4" t="s">
        <v>18129</v>
      </c>
      <c r="F2359" s="4" t="str">
        <f>IFERROR(__XLUDF.DUMMYFUNCTION("PROPER(REGEXREPLACE(D75,""[^A-Za-z]+ "",""""))"),"Scs Sentinel")</f>
        <v xml:space="preserve">Scs Sentinel</v>
      </c>
      <c r="G2359" s="4" t="s">
        <v>18130</v>
      </c>
      <c r="H2359" s="4">
        <v>43</v>
      </c>
      <c r="I2359" s="4" t="s">
        <v>4525</v>
      </c>
      <c r="J2359" s="4" t="str">
        <f>IFERROR(__XLUDF.DUMMYFUNCTION("VLOOKUP(H75,IMPORTRANGE(""https://docs.google.com/spreadsheets/d/1opm6ZNvGZ7KditA9TuJwrZ25eFLfTNIkrNnY6mhV5Eg"",""list!A1:C115""),3,TRUE)"),"le secteur du retail")</f>
        <v xml:space="preserve">le secteur du retail</v>
      </c>
      <c r="K2359" s="5" t="s">
        <v>18131</v>
      </c>
      <c r="L2359" s="5" t="s">
        <v>18132</v>
      </c>
      <c r="M2359" s="4" t="s">
        <v>1711</v>
      </c>
      <c r="N2359" s="4" t="s">
        <v>29</v>
      </c>
      <c r="O2359" s="4" t="s">
        <v>18133</v>
      </c>
      <c r="P2359" s="4" t="s">
        <v>29</v>
      </c>
      <c r="Q2359" s="4" t="s">
        <v>18134</v>
      </c>
      <c r="R2359" s="6"/>
      <c r="S2359" s="6"/>
      <c r="T2359" s="6"/>
      <c r="U2359" s="6"/>
      <c r="V2359" s="6"/>
      <c r="W2359" s="6"/>
      <c r="X2359" s="6"/>
      <c r="Y2359" s="6"/>
      <c r="Z2359" s="6"/>
      <c r="AA2359" s="6"/>
    </row>
    <row r="2360" ht="14.25">
      <c r="B2360" s="4" t="s">
        <v>6626</v>
      </c>
      <c r="C2360" s="4" t="s">
        <v>1198</v>
      </c>
      <c r="D2360" s="4" t="s">
        <v>487</v>
      </c>
      <c r="E2360" s="4" t="s">
        <v>18135</v>
      </c>
      <c r="F2360" s="4" t="str">
        <f>IFERROR(__XLUDF.DUMMYFUNCTION("PROPER(REGEXREPLACE(D76,""[^A-Za-z]+ "",""""))"),"Techline It")</f>
        <v xml:space="preserve">Techline It</v>
      </c>
      <c r="G2360" s="4" t="s">
        <v>18136</v>
      </c>
      <c r="H2360" s="4">
        <v>19</v>
      </c>
      <c r="I2360" s="4" t="s">
        <v>2602</v>
      </c>
      <c r="J2360" s="4"/>
      <c r="K2360" s="5" t="s">
        <v>18137</v>
      </c>
      <c r="L2360" s="5" t="s">
        <v>18138</v>
      </c>
      <c r="M2360" s="4" t="s">
        <v>1446</v>
      </c>
      <c r="N2360" s="4" t="s">
        <v>29</v>
      </c>
      <c r="O2360" s="4" t="s">
        <v>18139</v>
      </c>
      <c r="P2360" s="4" t="s">
        <v>29</v>
      </c>
      <c r="Q2360" s="6"/>
      <c r="R2360" s="6"/>
      <c r="S2360" s="6"/>
      <c r="T2360" s="6"/>
      <c r="U2360" s="6"/>
      <c r="V2360" s="6"/>
      <c r="W2360" s="6"/>
      <c r="X2360" s="6"/>
      <c r="Y2360" s="6"/>
      <c r="Z2360" s="6"/>
      <c r="AA2360" s="6"/>
    </row>
    <row r="2361" ht="14.25">
      <c r="B2361" s="4" t="s">
        <v>1027</v>
      </c>
      <c r="C2361" s="4" t="s">
        <v>4189</v>
      </c>
      <c r="D2361" s="4" t="s">
        <v>18140</v>
      </c>
      <c r="E2361" s="4" t="s">
        <v>18141</v>
      </c>
      <c r="F2361" s="4" t="str">
        <f>IFERROR(__XLUDF.DUMMYFUNCTION("PROPER(REGEXREPLACE(D77,""[^A-Za-z]+ "",""""))"),"Seif")</f>
        <v>Seif</v>
      </c>
      <c r="G2361" s="4" t="s">
        <v>18142</v>
      </c>
      <c r="H2361" s="4">
        <v>29</v>
      </c>
      <c r="I2361" s="4" t="s">
        <v>2602</v>
      </c>
      <c r="J2361" s="4" t="str">
        <f>IFERROR(__XLUDF.DUMMYFUNCTION("VLOOKUP(H77,IMPORTRANGE(""https://docs.google.com/spreadsheets/d/1opm6ZNvGZ7KditA9TuJwrZ25eFLfTNIkrNnY6mhV5Eg"",""list!A1:C115""),3,TRUE)"),"le secteur de la tech")</f>
        <v xml:space="preserve">le secteur de la tech</v>
      </c>
      <c r="K2361" s="5" t="s">
        <v>18143</v>
      </c>
      <c r="L2361" s="5" t="s">
        <v>18144</v>
      </c>
      <c r="M2361" s="4" t="s">
        <v>1711</v>
      </c>
      <c r="N2361" s="4" t="s">
        <v>29</v>
      </c>
      <c r="O2361" s="4" t="s">
        <v>18145</v>
      </c>
      <c r="P2361" s="4" t="s">
        <v>29</v>
      </c>
      <c r="Q2361" s="4" t="s">
        <v>18146</v>
      </c>
      <c r="R2361" s="6"/>
      <c r="S2361" s="6"/>
      <c r="T2361" s="6"/>
      <c r="U2361" s="6"/>
      <c r="V2361" s="6"/>
      <c r="W2361" s="6"/>
      <c r="X2361" s="6"/>
      <c r="Y2361" s="6"/>
      <c r="Z2361" s="6"/>
      <c r="AA2361" s="6"/>
    </row>
    <row r="2362" ht="14.25">
      <c r="B2362" s="4" t="s">
        <v>769</v>
      </c>
      <c r="C2362" s="4" t="s">
        <v>18147</v>
      </c>
      <c r="D2362" s="4" t="s">
        <v>18148</v>
      </c>
      <c r="E2362" s="4" t="s">
        <v>18149</v>
      </c>
      <c r="F2362" s="4" t="str">
        <f>IFERROR(__XLUDF.DUMMYFUNCTION("PROPER(REGEXREPLACE(D78,""[^A-Za-z]+ "",""""))"),"Limestreams")</f>
        <v>Limestreams</v>
      </c>
      <c r="G2362" s="4" t="s">
        <v>18150</v>
      </c>
      <c r="H2362" s="4">
        <v>15</v>
      </c>
      <c r="I2362" s="4" t="s">
        <v>4067</v>
      </c>
      <c r="J2362" s="4" t="str">
        <f>IFERROR(__XLUDF.DUMMYFUNCTION("VLOOKUP(H78,IMPORTRANGE(""https://docs.google.com/spreadsheets/d/1opm6ZNvGZ7KditA9TuJwrZ25eFLfTNIkrNnY6mhV5Eg"",""list!A1:C115""),3,TRUE)"),"le secteur du conseil en management")</f>
        <v xml:space="preserve">le secteur du conseil en management</v>
      </c>
      <c r="K2362" s="5" t="s">
        <v>18151</v>
      </c>
      <c r="L2362" s="5" t="s">
        <v>18152</v>
      </c>
      <c r="M2362" s="4" t="s">
        <v>39</v>
      </c>
      <c r="N2362" s="4" t="s">
        <v>29</v>
      </c>
      <c r="O2362" s="4" t="s">
        <v>18153</v>
      </c>
      <c r="P2362" s="4" t="s">
        <v>29</v>
      </c>
      <c r="Q2362" s="4" t="s">
        <v>18154</v>
      </c>
      <c r="R2362" s="6"/>
      <c r="S2362" s="6"/>
      <c r="T2362" s="6"/>
      <c r="U2362" s="6"/>
      <c r="V2362" s="6"/>
      <c r="W2362" s="6"/>
      <c r="X2362" s="6"/>
      <c r="Y2362" s="6"/>
      <c r="Z2362" s="6"/>
      <c r="AA2362" s="6"/>
    </row>
    <row r="2363" ht="14.25">
      <c r="B2363" s="4" t="s">
        <v>85</v>
      </c>
      <c r="C2363" s="4" t="s">
        <v>18155</v>
      </c>
      <c r="D2363" s="4" t="s">
        <v>164</v>
      </c>
      <c r="E2363" s="4" t="s">
        <v>18156</v>
      </c>
      <c r="F2363" s="4" t="str">
        <f>IFERROR(__XLUDF.DUMMYFUNCTION("PROPER(REGEXREPLACE(D79,""[^A-Za-z]+ "",""""))"),"Hexawin")</f>
        <v>Hexawin</v>
      </c>
      <c r="G2363" s="4" t="s">
        <v>18157</v>
      </c>
      <c r="H2363" s="4">
        <v>27</v>
      </c>
      <c r="I2363" s="4" t="s">
        <v>2602</v>
      </c>
      <c r="J2363" s="4" t="str">
        <f>IFERROR(__XLUDF.DUMMYFUNCTION("VLOOKUP(H79,IMPORTRANGE(""https://docs.google.com/spreadsheets/d/1opm6ZNvGZ7KditA9TuJwrZ25eFLfTNIkrNnY6mhV5Eg"",""list!A1:C115""),3,TRUE)"),"le secteur de la tech")</f>
        <v xml:space="preserve">le secteur de la tech</v>
      </c>
      <c r="K2363" s="5" t="s">
        <v>18158</v>
      </c>
      <c r="L2363" s="5" t="s">
        <v>18159</v>
      </c>
      <c r="M2363" s="4" t="s">
        <v>1015</v>
      </c>
      <c r="N2363" s="4" t="s">
        <v>29</v>
      </c>
      <c r="O2363" s="4" t="s">
        <v>18160</v>
      </c>
      <c r="P2363" s="4" t="s">
        <v>29</v>
      </c>
      <c r="Q2363" s="4" t="s">
        <v>18161</v>
      </c>
      <c r="R2363" s="6"/>
      <c r="S2363" s="6"/>
      <c r="T2363" s="6"/>
      <c r="U2363" s="6"/>
      <c r="V2363" s="6"/>
      <c r="W2363" s="6"/>
      <c r="X2363" s="6"/>
      <c r="Y2363" s="6"/>
      <c r="Z2363" s="6"/>
      <c r="AA2363" s="6"/>
    </row>
    <row r="2364" ht="14.25">
      <c r="B2364" s="4" t="s">
        <v>7897</v>
      </c>
      <c r="C2364" s="4" t="s">
        <v>18162</v>
      </c>
      <c r="D2364" s="4" t="s">
        <v>426</v>
      </c>
      <c r="E2364" s="4" t="s">
        <v>18163</v>
      </c>
      <c r="F2364" s="4" t="str">
        <f>IFERROR(__XLUDF.DUMMYFUNCTION("PROPER(REGEXREPLACE(D80,""[^A-Za-z]+ "",""""))"),"Avanguard")</f>
        <v>Avanguard</v>
      </c>
      <c r="G2364" s="4" t="s">
        <v>18164</v>
      </c>
      <c r="H2364" s="4">
        <v>33</v>
      </c>
      <c r="I2364" s="4" t="s">
        <v>2602</v>
      </c>
      <c r="J2364" s="4"/>
      <c r="K2364" s="5" t="s">
        <v>18165</v>
      </c>
      <c r="L2364" s="5" t="s">
        <v>18166</v>
      </c>
      <c r="M2364" s="6"/>
      <c r="N2364" s="4" t="s">
        <v>29</v>
      </c>
      <c r="O2364" s="6"/>
      <c r="P2364" s="6"/>
      <c r="Q2364" s="4" t="s">
        <v>18167</v>
      </c>
      <c r="R2364" s="6"/>
      <c r="S2364" s="6"/>
      <c r="T2364" s="6"/>
      <c r="U2364" s="6"/>
      <c r="V2364" s="6"/>
      <c r="W2364" s="6"/>
      <c r="X2364" s="6"/>
      <c r="Y2364" s="6"/>
      <c r="Z2364" s="6"/>
      <c r="AA2364" s="6"/>
    </row>
    <row r="2365" ht="14.25">
      <c r="B2365" s="4" t="s">
        <v>18168</v>
      </c>
      <c r="C2365" s="4" t="s">
        <v>18169</v>
      </c>
      <c r="D2365" s="4" t="s">
        <v>62</v>
      </c>
      <c r="E2365" s="4" t="s">
        <v>18170</v>
      </c>
      <c r="F2365" s="4" t="str">
        <f>IFERROR(__XLUDF.DUMMYFUNCTION("PROPER(REGEXREPLACE(D81,""[^A-Za-z]+ "",""""))"),"Techops")</f>
        <v>Techops</v>
      </c>
      <c r="G2365" s="4" t="s">
        <v>18171</v>
      </c>
      <c r="H2365" s="4">
        <v>20</v>
      </c>
      <c r="I2365" s="4" t="s">
        <v>2602</v>
      </c>
      <c r="J2365" s="4"/>
      <c r="K2365" s="5" t="s">
        <v>18172</v>
      </c>
      <c r="L2365" s="5" t="s">
        <v>18173</v>
      </c>
      <c r="M2365" s="4" t="s">
        <v>39</v>
      </c>
      <c r="N2365" s="4" t="s">
        <v>29</v>
      </c>
      <c r="O2365" s="4" t="s">
        <v>611</v>
      </c>
      <c r="P2365" s="4" t="s">
        <v>29</v>
      </c>
      <c r="Q2365" s="6"/>
      <c r="R2365" s="6"/>
      <c r="S2365" s="6"/>
      <c r="T2365" s="6"/>
      <c r="U2365" s="6"/>
      <c r="V2365" s="6"/>
      <c r="W2365" s="6"/>
      <c r="X2365" s="6"/>
      <c r="Y2365" s="6"/>
      <c r="Z2365" s="6"/>
      <c r="AA2365" s="6"/>
    </row>
    <row r="2366" ht="14.25">
      <c r="B2366" s="4" t="s">
        <v>1153</v>
      </c>
      <c r="C2366" s="4" t="s">
        <v>18174</v>
      </c>
      <c r="D2366" s="4" t="s">
        <v>18175</v>
      </c>
      <c r="E2366" s="4" t="s">
        <v>18176</v>
      </c>
      <c r="F2366" s="4" t="str">
        <f>IFERROR(__XLUDF.DUMMYFUNCTION("PROPER(REGEXREPLACE(D82,""[^A-Za-z]+ "",""""))"),"Wizzinvest")</f>
        <v>Wizzinvest</v>
      </c>
      <c r="G2366" s="4" t="s">
        <v>18177</v>
      </c>
      <c r="H2366" s="4">
        <v>18</v>
      </c>
      <c r="I2366" s="4" t="s">
        <v>2602</v>
      </c>
      <c r="J2366" s="4"/>
      <c r="K2366" s="5" t="s">
        <v>18178</v>
      </c>
      <c r="L2366" s="5" t="s">
        <v>18179</v>
      </c>
      <c r="M2366" s="4" t="s">
        <v>39</v>
      </c>
      <c r="N2366" s="4" t="s">
        <v>29</v>
      </c>
      <c r="O2366" s="4" t="s">
        <v>18180</v>
      </c>
      <c r="P2366" s="4" t="s">
        <v>29</v>
      </c>
      <c r="Q2366" s="4" t="s">
        <v>18181</v>
      </c>
      <c r="R2366" s="6"/>
      <c r="S2366" s="6"/>
      <c r="T2366" s="6"/>
      <c r="U2366" s="6"/>
      <c r="V2366" s="6"/>
      <c r="W2366" s="6"/>
      <c r="X2366" s="6"/>
      <c r="Y2366" s="6"/>
      <c r="Z2366" s="6"/>
      <c r="AA2366" s="6"/>
    </row>
    <row r="2367" ht="14.25">
      <c r="B2367" s="4" t="s">
        <v>1215</v>
      </c>
      <c r="C2367" s="4" t="s">
        <v>18182</v>
      </c>
      <c r="D2367" s="4" t="s">
        <v>18183</v>
      </c>
      <c r="E2367" s="4" t="s">
        <v>18184</v>
      </c>
      <c r="F2367" s="4" t="str">
        <f>IFERROR(__XLUDF.DUMMYFUNCTION("PROPER(REGEXREPLACE(D83,""[^A-Za-z]+ "",""""))"),"Scents")</f>
        <v>Scents</v>
      </c>
      <c r="G2367" s="4" t="s">
        <v>18185</v>
      </c>
      <c r="H2367" s="4">
        <v>20</v>
      </c>
      <c r="I2367" s="4" t="s">
        <v>9161</v>
      </c>
      <c r="J2367" s="4" t="str">
        <f>IFERROR(__XLUDF.DUMMYFUNCTION("VLOOKUP(H83,IMPORTRANGE(""https://docs.google.com/spreadsheets/d/1opm6ZNvGZ7KditA9TuJwrZ25eFLfTNIkrNnY6mhV5Eg"",""list!A1:C115""),3,TRUE)"),"le secteur du marketing")</f>
        <v xml:space="preserve">le secteur du marketing</v>
      </c>
      <c r="K2367" s="5" t="s">
        <v>18186</v>
      </c>
      <c r="L2367" s="5" t="s">
        <v>18187</v>
      </c>
      <c r="M2367" s="4" t="s">
        <v>39</v>
      </c>
      <c r="N2367" s="4" t="s">
        <v>29</v>
      </c>
      <c r="O2367" s="4" t="s">
        <v>18188</v>
      </c>
      <c r="P2367" s="4" t="s">
        <v>2953</v>
      </c>
      <c r="Q2367" s="4" t="s">
        <v>18189</v>
      </c>
      <c r="R2367" s="6"/>
      <c r="S2367" s="6"/>
      <c r="T2367" s="6"/>
      <c r="U2367" s="6"/>
      <c r="V2367" s="6"/>
      <c r="W2367" s="6"/>
      <c r="X2367" s="6"/>
      <c r="Y2367" s="6"/>
      <c r="Z2367" s="6"/>
      <c r="AA2367" s="6"/>
    </row>
    <row r="2368" ht="14.25">
      <c r="B2368" s="4" t="s">
        <v>222</v>
      </c>
      <c r="C2368" s="4" t="s">
        <v>330</v>
      </c>
      <c r="D2368" s="4" t="s">
        <v>18190</v>
      </c>
      <c r="E2368" s="4" t="s">
        <v>18191</v>
      </c>
      <c r="F2368" s="4" t="str">
        <f>IFERROR(__XLUDF.DUMMYFUNCTION("PROPER(REGEXREPLACE(D84,""[^A-Za-z]+ "",""""))"),"Prodeo")</f>
        <v>Prodeo</v>
      </c>
      <c r="G2368" s="4" t="s">
        <v>18192</v>
      </c>
      <c r="H2368" s="4">
        <v>9</v>
      </c>
      <c r="I2368" s="4" t="s">
        <v>2602</v>
      </c>
      <c r="J2368" s="4" t="str">
        <f>IFERROR(__XLUDF.DUMMYFUNCTION("VLOOKUP(H84,IMPORTRANGE(""https://docs.google.com/spreadsheets/d/1opm6ZNvGZ7KditA9TuJwrZ25eFLfTNIkrNnY6mhV5Eg"",""list!A1:C115""),3,TRUE)"),"le secteur de la tech")</f>
        <v xml:space="preserve">le secteur de la tech</v>
      </c>
      <c r="K2368" s="5" t="s">
        <v>18193</v>
      </c>
      <c r="L2368" s="5" t="s">
        <v>18194</v>
      </c>
      <c r="M2368" s="4" t="s">
        <v>6954</v>
      </c>
      <c r="N2368" s="4" t="s">
        <v>29</v>
      </c>
      <c r="O2368" s="4" t="s">
        <v>18195</v>
      </c>
      <c r="P2368" s="4" t="s">
        <v>29</v>
      </c>
      <c r="Q2368" s="4" t="s">
        <v>18196</v>
      </c>
      <c r="R2368" s="6"/>
      <c r="S2368" s="6"/>
      <c r="T2368" s="6"/>
      <c r="U2368" s="6"/>
      <c r="V2368" s="6"/>
      <c r="W2368" s="6"/>
      <c r="X2368" s="6"/>
      <c r="Y2368" s="6"/>
      <c r="Z2368" s="6"/>
      <c r="AA2368" s="6"/>
    </row>
    <row r="2369" ht="14.25">
      <c r="B2369" s="4" t="s">
        <v>622</v>
      </c>
      <c r="C2369" s="4" t="s">
        <v>18197</v>
      </c>
      <c r="D2369" s="4" t="s">
        <v>172</v>
      </c>
      <c r="E2369" s="4" t="s">
        <v>18198</v>
      </c>
      <c r="F2369" s="4" t="str">
        <f>IFERROR(__XLUDF.DUMMYFUNCTION("PROPER(REGEXREPLACE(D85,""[^A-Za-z]+ "",""""))"),"Raimond Sas")</f>
        <v xml:space="preserve">Raimond Sas</v>
      </c>
      <c r="G2369" s="4" t="s">
        <v>18199</v>
      </c>
      <c r="H2369" s="4">
        <v>30</v>
      </c>
      <c r="I2369" s="4" t="s">
        <v>4525</v>
      </c>
      <c r="J2369" s="4" t="str">
        <f>IFERROR(__XLUDF.DUMMYFUNCTION("VLOOKUP(H85,IMPORTRANGE(""https://docs.google.com/spreadsheets/d/1opm6ZNvGZ7KditA9TuJwrZ25eFLfTNIkrNnY6mhV5Eg"",""list!A1:C115""),3,TRUE)"),"le secteur du retail")</f>
        <v xml:space="preserve">le secteur du retail</v>
      </c>
      <c r="K2369" s="5" t="s">
        <v>18200</v>
      </c>
      <c r="L2369" s="5" t="s">
        <v>18201</v>
      </c>
      <c r="M2369" s="4" t="s">
        <v>18202</v>
      </c>
      <c r="N2369" s="4" t="s">
        <v>29</v>
      </c>
      <c r="O2369" s="4" t="s">
        <v>18203</v>
      </c>
      <c r="P2369" s="4" t="s">
        <v>29</v>
      </c>
      <c r="Q2369" s="4" t="s">
        <v>18204</v>
      </c>
      <c r="R2369" s="6"/>
      <c r="S2369" s="6"/>
      <c r="T2369" s="6"/>
      <c r="U2369" s="6"/>
      <c r="V2369" s="6"/>
      <c r="W2369" s="6"/>
      <c r="X2369" s="6"/>
      <c r="Y2369" s="6"/>
      <c r="Z2369" s="6"/>
      <c r="AA2369" s="6"/>
    </row>
    <row r="2370" ht="14.25">
      <c r="B2370" s="4" t="s">
        <v>1404</v>
      </c>
      <c r="C2370" s="4" t="s">
        <v>18205</v>
      </c>
      <c r="D2370" s="4" t="s">
        <v>18206</v>
      </c>
      <c r="E2370" s="4" t="s">
        <v>18207</v>
      </c>
      <c r="F2370" s="4" t="str">
        <f>IFERROR(__XLUDF.DUMMYFUNCTION("PROPER(REGEXREPLACE(D86,""[^A-Za-z]+ "",""""))"),"Séance Publique")</f>
        <v xml:space="preserve">Séance Publique</v>
      </c>
      <c r="G2370" s="4" t="s">
        <v>18208</v>
      </c>
      <c r="H2370" s="4">
        <v>22</v>
      </c>
      <c r="I2370" s="4" t="s">
        <v>10639</v>
      </c>
      <c r="J2370" s="4"/>
      <c r="K2370" s="5" t="s">
        <v>18209</v>
      </c>
      <c r="L2370" s="5" t="s">
        <v>18210</v>
      </c>
      <c r="M2370" s="4" t="s">
        <v>39</v>
      </c>
      <c r="N2370" s="4" t="s">
        <v>29</v>
      </c>
      <c r="O2370" s="4" t="s">
        <v>18211</v>
      </c>
      <c r="P2370" s="4" t="s">
        <v>29</v>
      </c>
      <c r="Q2370" s="4" t="s">
        <v>18212</v>
      </c>
      <c r="R2370" s="6"/>
      <c r="S2370" s="6"/>
      <c r="T2370" s="6"/>
      <c r="U2370" s="6"/>
      <c r="V2370" s="6"/>
      <c r="W2370" s="6"/>
      <c r="X2370" s="6"/>
      <c r="Y2370" s="6"/>
      <c r="Z2370" s="6"/>
      <c r="AA2370" s="6"/>
    </row>
    <row r="2371" ht="14.25">
      <c r="B2371" s="4" t="s">
        <v>222</v>
      </c>
      <c r="C2371" s="4" t="s">
        <v>18213</v>
      </c>
      <c r="D2371" s="4" t="s">
        <v>18214</v>
      </c>
      <c r="E2371" s="4" t="s">
        <v>18215</v>
      </c>
      <c r="F2371" s="4" t="str">
        <f>IFERROR(__XLUDF.DUMMYFUNCTION("PROPER(REGEXREPLACE(D87,""[^A-Za-z]+ "",""""))"),"Origin")</f>
        <v>Origin</v>
      </c>
      <c r="G2371" s="4" t="s">
        <v>18216</v>
      </c>
      <c r="H2371" s="4">
        <v>10</v>
      </c>
      <c r="I2371" s="4" t="s">
        <v>2602</v>
      </c>
      <c r="J2371" s="4"/>
      <c r="K2371" s="5" t="s">
        <v>18217</v>
      </c>
      <c r="L2371" s="5" t="s">
        <v>18218</v>
      </c>
      <c r="M2371" s="4" t="s">
        <v>39</v>
      </c>
      <c r="N2371" s="4" t="s">
        <v>29</v>
      </c>
      <c r="O2371" s="4" t="s">
        <v>18219</v>
      </c>
      <c r="P2371" s="4" t="s">
        <v>29</v>
      </c>
      <c r="Q2371" s="4" t="s">
        <v>18220</v>
      </c>
      <c r="R2371" s="6"/>
      <c r="S2371" s="6"/>
      <c r="T2371" s="6"/>
      <c r="U2371" s="6"/>
      <c r="V2371" s="6"/>
      <c r="W2371" s="6"/>
      <c r="X2371" s="6"/>
      <c r="Y2371" s="6"/>
      <c r="Z2371" s="6"/>
      <c r="AA2371" s="6"/>
    </row>
    <row r="2372" ht="14.25">
      <c r="B2372" s="4" t="s">
        <v>322</v>
      </c>
      <c r="C2372" s="4" t="s">
        <v>18221</v>
      </c>
      <c r="D2372" s="4" t="s">
        <v>172</v>
      </c>
      <c r="E2372" s="4" t="s">
        <v>18222</v>
      </c>
      <c r="F2372" s="4" t="str">
        <f>IFERROR(__XLUDF.DUMMYFUNCTION("PROPER(REGEXREPLACE(D88,""[^A-Za-z]+ "",""""))"),"Thera Soft")</f>
        <v xml:space="preserve">Thera Soft</v>
      </c>
      <c r="G2372" s="4" t="s">
        <v>18223</v>
      </c>
      <c r="H2372" s="4">
        <v>11</v>
      </c>
      <c r="I2372" s="4" t="s">
        <v>2602</v>
      </c>
      <c r="J2372" s="4" t="str">
        <f>IFERROR(__XLUDF.DUMMYFUNCTION("VLOOKUP(H88,IMPORTRANGE(""https://docs.google.com/spreadsheets/d/1opm6ZNvGZ7KditA9TuJwrZ25eFLfTNIkrNnY6mhV5Eg"",""list!A1:C115""),3,TRUE)"),"le secteur de la tech")</f>
        <v xml:space="preserve">le secteur de la tech</v>
      </c>
      <c r="K2372" s="5" t="s">
        <v>18224</v>
      </c>
      <c r="L2372" s="5" t="s">
        <v>18225</v>
      </c>
      <c r="M2372" s="4" t="s">
        <v>6412</v>
      </c>
      <c r="N2372" s="4" t="s">
        <v>29</v>
      </c>
      <c r="O2372" s="4" t="s">
        <v>18226</v>
      </c>
      <c r="P2372" s="4" t="s">
        <v>29</v>
      </c>
      <c r="Q2372" s="6"/>
      <c r="R2372" s="6"/>
      <c r="S2372" s="6"/>
      <c r="T2372" s="6"/>
      <c r="U2372" s="6"/>
      <c r="V2372" s="6"/>
      <c r="W2372" s="6"/>
      <c r="X2372" s="6"/>
      <c r="Y2372" s="6"/>
      <c r="Z2372" s="6"/>
      <c r="AA2372" s="6"/>
    </row>
    <row r="2373" ht="14.25">
      <c r="B2373" s="4" t="s">
        <v>18227</v>
      </c>
      <c r="C2373" s="4" t="s">
        <v>83</v>
      </c>
      <c r="D2373" s="4" t="s">
        <v>341</v>
      </c>
      <c r="E2373" s="4" t="s">
        <v>18228</v>
      </c>
      <c r="F2373" s="4" t="str">
        <f>IFERROR(__XLUDF.DUMMYFUNCTION("PROPER(REGEXREPLACE(D89,""[^A-Za-z]+ "",""""))"),"Rbmg")</f>
        <v>Rbmg</v>
      </c>
      <c r="G2373" s="4" t="s">
        <v>18229</v>
      </c>
      <c r="H2373" s="4">
        <v>28</v>
      </c>
      <c r="I2373" s="4" t="s">
        <v>4067</v>
      </c>
      <c r="J2373" s="4"/>
      <c r="K2373" s="5" t="s">
        <v>18230</v>
      </c>
      <c r="L2373" s="5" t="s">
        <v>18231</v>
      </c>
      <c r="M2373" s="4" t="s">
        <v>83</v>
      </c>
      <c r="N2373" s="4" t="s">
        <v>29</v>
      </c>
      <c r="O2373" s="4" t="s">
        <v>18232</v>
      </c>
      <c r="P2373" s="4" t="s">
        <v>29</v>
      </c>
      <c r="Q2373" s="4" t="s">
        <v>18233</v>
      </c>
      <c r="R2373" s="6"/>
      <c r="S2373" s="6"/>
      <c r="T2373" s="6"/>
      <c r="U2373" s="6"/>
      <c r="V2373" s="6"/>
      <c r="W2373" s="6"/>
      <c r="X2373" s="6"/>
      <c r="Y2373" s="6"/>
      <c r="Z2373" s="6"/>
      <c r="AA2373" s="6"/>
    </row>
    <row r="2374" ht="14.25">
      <c r="B2374" s="4" t="s">
        <v>4132</v>
      </c>
      <c r="C2374" s="4" t="s">
        <v>18234</v>
      </c>
      <c r="D2374" s="4" t="s">
        <v>315</v>
      </c>
      <c r="E2374" s="4" t="s">
        <v>18235</v>
      </c>
      <c r="F2374" s="4" t="str">
        <f>IFERROR(__XLUDF.DUMMYFUNCTION("PROPER(REGEXREPLACE(D90,""[^A-Za-z]+ "",""""))"),"Instaply")</f>
        <v>Instaply</v>
      </c>
      <c r="G2374" s="4" t="s">
        <v>18236</v>
      </c>
      <c r="H2374" s="4">
        <v>12</v>
      </c>
      <c r="I2374" s="4" t="s">
        <v>2602</v>
      </c>
      <c r="J2374" s="4"/>
      <c r="K2374" s="5" t="s">
        <v>18237</v>
      </c>
      <c r="L2374" s="5" t="s">
        <v>18238</v>
      </c>
      <c r="M2374" s="4" t="s">
        <v>846</v>
      </c>
      <c r="N2374" s="4" t="s">
        <v>29</v>
      </c>
      <c r="O2374" s="4" t="s">
        <v>5865</v>
      </c>
      <c r="P2374" s="4" t="s">
        <v>29</v>
      </c>
      <c r="Q2374" s="4" t="s">
        <v>18239</v>
      </c>
      <c r="R2374" s="6"/>
      <c r="S2374" s="6"/>
      <c r="T2374" s="6"/>
      <c r="U2374" s="6"/>
      <c r="V2374" s="6"/>
      <c r="W2374" s="6"/>
      <c r="X2374" s="6"/>
      <c r="Y2374" s="6"/>
      <c r="Z2374" s="6"/>
      <c r="AA2374" s="6"/>
    </row>
    <row r="2375" ht="14.25">
      <c r="B2375" s="4" t="s">
        <v>18240</v>
      </c>
      <c r="C2375" s="4" t="s">
        <v>18241</v>
      </c>
      <c r="D2375" s="4" t="s">
        <v>18242</v>
      </c>
      <c r="E2375" s="4" t="s">
        <v>18243</v>
      </c>
      <c r="F2375" s="4" t="str">
        <f>IFERROR(__XLUDF.DUMMYFUNCTION("PROPER(REGEXREPLACE(D91,""[^A-Za-z]+ "",""""))"),"Relogate")</f>
        <v>Relogate</v>
      </c>
      <c r="G2375" s="4" t="s">
        <v>18244</v>
      </c>
      <c r="H2375" s="4">
        <v>15</v>
      </c>
      <c r="I2375" s="4" t="s">
        <v>4067</v>
      </c>
      <c r="J2375" s="4"/>
      <c r="K2375" s="5" t="s">
        <v>18245</v>
      </c>
      <c r="L2375" s="5" t="s">
        <v>18246</v>
      </c>
      <c r="M2375" s="4" t="s">
        <v>8160</v>
      </c>
      <c r="N2375" s="4" t="s">
        <v>29</v>
      </c>
      <c r="O2375" s="4" t="s">
        <v>18247</v>
      </c>
      <c r="P2375" s="4" t="s">
        <v>29</v>
      </c>
      <c r="Q2375" s="4" t="s">
        <v>18248</v>
      </c>
      <c r="R2375" s="6"/>
      <c r="S2375" s="6"/>
      <c r="T2375" s="6"/>
      <c r="U2375" s="6"/>
      <c r="V2375" s="6"/>
      <c r="W2375" s="6"/>
      <c r="X2375" s="6"/>
      <c r="Y2375" s="6"/>
      <c r="Z2375" s="6"/>
      <c r="AA2375" s="6"/>
    </row>
    <row r="2376" ht="14.25">
      <c r="B2376" s="4" t="s">
        <v>3165</v>
      </c>
      <c r="C2376" s="4" t="s">
        <v>18249</v>
      </c>
      <c r="D2376" s="4" t="s">
        <v>487</v>
      </c>
      <c r="E2376" s="4" t="s">
        <v>18250</v>
      </c>
      <c r="F2376" s="4" t="str">
        <f>IFERROR(__XLUDF.DUMMYFUNCTION("PROPER(REGEXREPLACE(D92,""[^A-Za-z]+ "",""""))"),"Mk Tendos Télécoms Consulting")</f>
        <v xml:space="preserve">Mk Tendos Télécoms Consulting</v>
      </c>
      <c r="G2376" s="4" t="s">
        <v>18251</v>
      </c>
      <c r="H2376" s="4">
        <v>11</v>
      </c>
      <c r="I2376" s="4" t="s">
        <v>2602</v>
      </c>
      <c r="J2376" s="4" t="str">
        <f>IFERROR(__XLUDF.DUMMYFUNCTION("VLOOKUP(H92,IMPORTRANGE(""https://docs.google.com/spreadsheets/d/1opm6ZNvGZ7KditA9TuJwrZ25eFLfTNIkrNnY6mhV5Eg"",""list!A1:C115""),3,TRUE)"),"le secteur de la tech")</f>
        <v xml:space="preserve">le secteur de la tech</v>
      </c>
      <c r="K2376" s="5" t="s">
        <v>18252</v>
      </c>
      <c r="L2376" s="5" t="s">
        <v>18253</v>
      </c>
      <c r="M2376" s="4" t="s">
        <v>18254</v>
      </c>
      <c r="N2376" s="4" t="s">
        <v>29</v>
      </c>
      <c r="O2376" s="4" t="s">
        <v>18255</v>
      </c>
      <c r="P2376" s="4" t="s">
        <v>29</v>
      </c>
      <c r="Q2376" s="4" t="s">
        <v>18256</v>
      </c>
      <c r="R2376" s="6"/>
      <c r="S2376" s="6"/>
      <c r="T2376" s="6"/>
      <c r="U2376" s="6"/>
      <c r="V2376" s="6"/>
      <c r="W2376" s="6"/>
      <c r="X2376" s="6"/>
      <c r="Y2376" s="6"/>
      <c r="Z2376" s="6"/>
      <c r="AA2376" s="6"/>
    </row>
    <row r="2377" ht="14.25">
      <c r="B2377" s="4" t="s">
        <v>18257</v>
      </c>
      <c r="C2377" s="4" t="s">
        <v>18258</v>
      </c>
      <c r="D2377" s="4" t="s">
        <v>18259</v>
      </c>
      <c r="E2377" s="4" t="s">
        <v>18260</v>
      </c>
      <c r="F2377" s="4" t="str">
        <f>IFERROR(__XLUDF.DUMMYFUNCTION("PROPER(REGEXREPLACE(D93,""[^A-Za-z]+ "",""""))"),"Talentech Group")</f>
        <v xml:space="preserve">Talentech Group</v>
      </c>
      <c r="G2377" s="4" t="s">
        <v>18261</v>
      </c>
      <c r="H2377" s="4">
        <v>29</v>
      </c>
      <c r="I2377" s="4" t="s">
        <v>2602</v>
      </c>
      <c r="J2377" s="4"/>
      <c r="K2377" s="5" t="s">
        <v>18262</v>
      </c>
      <c r="L2377" s="5" t="s">
        <v>18263</v>
      </c>
      <c r="M2377" s="4" t="s">
        <v>18264</v>
      </c>
      <c r="N2377" s="4" t="s">
        <v>29</v>
      </c>
      <c r="O2377" s="4" t="s">
        <v>67</v>
      </c>
      <c r="P2377" s="4" t="s">
        <v>29</v>
      </c>
      <c r="Q2377" s="4" t="s">
        <v>18265</v>
      </c>
      <c r="R2377" s="6"/>
      <c r="S2377" s="6"/>
      <c r="T2377" s="6"/>
      <c r="U2377" s="6"/>
      <c r="V2377" s="6"/>
      <c r="W2377" s="6"/>
      <c r="X2377" s="6"/>
      <c r="Y2377" s="6"/>
      <c r="Z2377" s="6"/>
      <c r="AA2377" s="6"/>
    </row>
    <row r="2378" ht="14.25">
      <c r="B2378" s="4" t="s">
        <v>734</v>
      </c>
      <c r="C2378" s="4" t="s">
        <v>16860</v>
      </c>
      <c r="D2378" s="4" t="s">
        <v>18266</v>
      </c>
      <c r="E2378" s="4" t="s">
        <v>18267</v>
      </c>
      <c r="F2378" s="4" t="str">
        <f>IFERROR(__XLUDF.DUMMYFUNCTION("PROPER(REGEXREPLACE(D94,""[^A-Za-z]+ "",""""))"),"Olvid")</f>
        <v>Olvid</v>
      </c>
      <c r="G2378" s="4" t="s">
        <v>18268</v>
      </c>
      <c r="H2378" s="4">
        <v>15</v>
      </c>
      <c r="I2378" s="4" t="s">
        <v>9264</v>
      </c>
      <c r="J2378" s="4"/>
      <c r="K2378" s="5" t="s">
        <v>18269</v>
      </c>
      <c r="L2378" s="5" t="s">
        <v>18270</v>
      </c>
      <c r="M2378" s="4" t="s">
        <v>39</v>
      </c>
      <c r="N2378" s="4" t="s">
        <v>29</v>
      </c>
      <c r="O2378" s="4" t="s">
        <v>18271</v>
      </c>
      <c r="P2378" s="4" t="s">
        <v>29</v>
      </c>
      <c r="Q2378" s="6"/>
      <c r="R2378" s="6"/>
      <c r="S2378" s="6"/>
      <c r="T2378" s="6"/>
      <c r="U2378" s="6"/>
      <c r="V2378" s="6"/>
      <c r="W2378" s="6"/>
      <c r="X2378" s="6"/>
      <c r="Y2378" s="6"/>
      <c r="Z2378" s="6"/>
      <c r="AA2378" s="6"/>
    </row>
    <row r="2379" ht="14.25">
      <c r="B2379" s="4" t="s">
        <v>18272</v>
      </c>
      <c r="C2379" s="4" t="s">
        <v>18273</v>
      </c>
      <c r="D2379" s="4" t="s">
        <v>4660</v>
      </c>
      <c r="E2379" s="4" t="s">
        <v>18274</v>
      </c>
      <c r="F2379" s="4" t="str">
        <f>IFERROR(__XLUDF.DUMMYFUNCTION("PROPER(REGEXREPLACE(D95,""[^A-Za-z]+ "",""""))"),"Nijta")</f>
        <v>Nijta</v>
      </c>
      <c r="G2379" s="4" t="s">
        <v>18275</v>
      </c>
      <c r="H2379" s="4">
        <v>10</v>
      </c>
      <c r="I2379" s="4" t="s">
        <v>2602</v>
      </c>
      <c r="J2379" s="4" t="str">
        <f>IFERROR(__XLUDF.DUMMYFUNCTION("VLOOKUP(H95,IMPORTRANGE(""https://docs.google.com/spreadsheets/d/1opm6ZNvGZ7KditA9TuJwrZ25eFLfTNIkrNnY6mhV5Eg"",""list!A1:C115""),3,TRUE)"),"le secteur de la tech")</f>
        <v xml:space="preserve">le secteur de la tech</v>
      </c>
      <c r="K2379" s="5" t="s">
        <v>18276</v>
      </c>
      <c r="L2379" s="5" t="s">
        <v>18277</v>
      </c>
      <c r="M2379" s="4" t="s">
        <v>846</v>
      </c>
      <c r="N2379" s="4" t="s">
        <v>29</v>
      </c>
      <c r="O2379" s="4" t="s">
        <v>18278</v>
      </c>
      <c r="P2379" s="4" t="s">
        <v>29</v>
      </c>
      <c r="Q2379" s="4" t="s">
        <v>18279</v>
      </c>
      <c r="R2379" s="6"/>
      <c r="S2379" s="6"/>
      <c r="T2379" s="6"/>
      <c r="U2379" s="6"/>
      <c r="V2379" s="6"/>
      <c r="W2379" s="6"/>
      <c r="X2379" s="6"/>
      <c r="Y2379" s="6"/>
      <c r="Z2379" s="6"/>
      <c r="AA2379" s="6"/>
    </row>
    <row r="2380" ht="14.25">
      <c r="B2380" s="4" t="s">
        <v>222</v>
      </c>
      <c r="C2380" s="4" t="s">
        <v>3850</v>
      </c>
      <c r="D2380" s="4" t="s">
        <v>18280</v>
      </c>
      <c r="E2380" s="4" t="s">
        <v>18281</v>
      </c>
      <c r="F2380" s="4" t="str">
        <f>IFERROR(__XLUDF.DUMMYFUNCTION("PROPER(REGEXREPLACE(D96,""[^A-Za-z]+ "",""""))"),"Id4Us")</f>
        <v>Id4Us</v>
      </c>
      <c r="G2380" s="4" t="s">
        <v>18282</v>
      </c>
      <c r="H2380" s="4">
        <v>20</v>
      </c>
      <c r="I2380" s="4" t="s">
        <v>10215</v>
      </c>
      <c r="J2380" s="4" t="str">
        <f>IFERROR(__XLUDF.DUMMYFUNCTION("VLOOKUP(H96,IMPORTRANGE(""https://docs.google.com/spreadsheets/d/1opm6ZNvGZ7KditA9TuJwrZ25eFLfTNIkrNnY6mhV5Eg"",""list!A1:C115""),3,TRUE)"),"le secteur de l'électrique et électronique")</f>
        <v xml:space="preserve">le secteur de l'électrique et électronique</v>
      </c>
      <c r="K2380" s="5" t="s">
        <v>18283</v>
      </c>
      <c r="L2380" s="5" t="s">
        <v>18284</v>
      </c>
      <c r="M2380" s="4" t="s">
        <v>1507</v>
      </c>
      <c r="N2380" s="4" t="s">
        <v>29</v>
      </c>
      <c r="O2380" s="6"/>
      <c r="P2380" s="6"/>
      <c r="Q2380" s="6"/>
      <c r="R2380" s="6"/>
      <c r="S2380" s="6"/>
      <c r="T2380" s="6"/>
      <c r="U2380" s="6"/>
      <c r="V2380" s="6"/>
      <c r="W2380" s="6"/>
      <c r="X2380" s="6"/>
      <c r="Y2380" s="6"/>
      <c r="Z2380" s="6"/>
      <c r="AA2380" s="6"/>
    </row>
    <row r="2381" ht="14.25">
      <c r="B2381" s="4" t="s">
        <v>18285</v>
      </c>
      <c r="C2381" s="4" t="s">
        <v>18286</v>
      </c>
      <c r="D2381" s="4" t="s">
        <v>672</v>
      </c>
      <c r="E2381" s="4" t="s">
        <v>18287</v>
      </c>
      <c r="F2381" s="4" t="str">
        <f>IFERROR(__XLUDF.DUMMYFUNCTION("PROPER(REGEXREPLACE(D97,""[^A-Za-z]+ "",""""))"),"Spoke")</f>
        <v>Spoke</v>
      </c>
      <c r="G2381" s="4" t="s">
        <v>18288</v>
      </c>
      <c r="H2381" s="4">
        <v>16</v>
      </c>
      <c r="I2381" s="4" t="s">
        <v>10639</v>
      </c>
      <c r="J2381" s="4"/>
      <c r="K2381" s="5" t="s">
        <v>18289</v>
      </c>
      <c r="L2381" s="5" t="s">
        <v>18290</v>
      </c>
      <c r="M2381" s="6"/>
      <c r="N2381" s="4" t="s">
        <v>29</v>
      </c>
      <c r="O2381" s="4" t="s">
        <v>18291</v>
      </c>
      <c r="P2381" s="4" t="s">
        <v>4340</v>
      </c>
      <c r="Q2381" s="6"/>
      <c r="R2381" s="6"/>
      <c r="S2381" s="6"/>
      <c r="T2381" s="6"/>
      <c r="U2381" s="6"/>
      <c r="V2381" s="6"/>
      <c r="W2381" s="6"/>
      <c r="X2381" s="6"/>
      <c r="Y2381" s="6"/>
      <c r="Z2381" s="6"/>
      <c r="AA2381" s="6"/>
    </row>
    <row r="2382" ht="14.25">
      <c r="B2382" s="4" t="s">
        <v>4961</v>
      </c>
      <c r="C2382" s="4" t="s">
        <v>18292</v>
      </c>
      <c r="D2382" s="4" t="s">
        <v>87</v>
      </c>
      <c r="E2382" s="4" t="s">
        <v>18293</v>
      </c>
      <c r="F2382" s="4" t="str">
        <f>IFERROR(__XLUDF.DUMMYFUNCTION("PROPER(REGEXREPLACE(D98,""[^A-Za-z]+ "",""""))"),"Galago")</f>
        <v>Galago</v>
      </c>
      <c r="G2382" s="4" t="s">
        <v>18294</v>
      </c>
      <c r="H2382" s="4">
        <v>12</v>
      </c>
      <c r="I2382" s="4" t="s">
        <v>9161</v>
      </c>
      <c r="J2382" s="4" t="str">
        <f>IFERROR(__XLUDF.DUMMYFUNCTION("VLOOKUP(H98,IMPORTRANGE(""https://docs.google.com/spreadsheets/d/1opm6ZNvGZ7KditA9TuJwrZ25eFLfTNIkrNnY6mhV5Eg"",""list!A1:C115""),3,TRUE)"),"le secteur du marketing")</f>
        <v xml:space="preserve">le secteur du marketing</v>
      </c>
      <c r="K2382" s="5" t="s">
        <v>18295</v>
      </c>
      <c r="L2382" s="5" t="s">
        <v>18296</v>
      </c>
      <c r="M2382" s="4" t="s">
        <v>18297</v>
      </c>
      <c r="N2382" s="4" t="s">
        <v>29</v>
      </c>
      <c r="O2382" s="6"/>
      <c r="P2382" s="6"/>
      <c r="Q2382" s="4" t="s">
        <v>18298</v>
      </c>
      <c r="R2382" s="6"/>
      <c r="S2382" s="6"/>
      <c r="T2382" s="6"/>
      <c r="U2382" s="6"/>
      <c r="V2382" s="6"/>
      <c r="W2382" s="6"/>
      <c r="X2382" s="6"/>
      <c r="Y2382" s="6"/>
      <c r="Z2382" s="6"/>
      <c r="AA2382" s="6"/>
    </row>
    <row r="2383" ht="14.25">
      <c r="B2383" s="4" t="s">
        <v>18299</v>
      </c>
      <c r="C2383" s="4" t="s">
        <v>18300</v>
      </c>
      <c r="D2383" s="4" t="s">
        <v>120</v>
      </c>
      <c r="E2383" s="4" t="s">
        <v>18301</v>
      </c>
      <c r="F2383" s="4" t="str">
        <f>IFERROR(__XLUDF.DUMMYFUNCTION("PROPER(REGEXREPLACE(D99,""[^A-Za-z]+ "",""""))"),"Ugc Factory")</f>
        <v xml:space="preserve">Ugc Factory</v>
      </c>
      <c r="G2383" s="4" t="s">
        <v>18302</v>
      </c>
      <c r="H2383" s="4">
        <v>45</v>
      </c>
      <c r="I2383" s="4" t="s">
        <v>9161</v>
      </c>
      <c r="J2383" s="4" t="str">
        <f>IFERROR(__XLUDF.DUMMYFUNCTION("VLOOKUP(H99,IMPORTRANGE(""https://docs.google.com/spreadsheets/d/1opm6ZNvGZ7KditA9TuJwrZ25eFLfTNIkrNnY6mhV5Eg"",""list!A1:C115""),3,TRUE)"),"le secteur du marketing")</f>
        <v xml:space="preserve">le secteur du marketing</v>
      </c>
      <c r="K2383" s="5" t="s">
        <v>18303</v>
      </c>
      <c r="L2383" s="5" t="s">
        <v>18304</v>
      </c>
      <c r="M2383" s="4" t="s">
        <v>185</v>
      </c>
      <c r="N2383" s="4" t="s">
        <v>29</v>
      </c>
      <c r="O2383" s="4" t="s">
        <v>18305</v>
      </c>
      <c r="P2383" s="4" t="s">
        <v>1261</v>
      </c>
      <c r="Q2383" s="4" t="s">
        <v>18306</v>
      </c>
      <c r="R2383" s="6"/>
      <c r="S2383" s="6"/>
      <c r="T2383" s="6"/>
      <c r="U2383" s="6"/>
      <c r="V2383" s="6"/>
      <c r="W2383" s="6"/>
      <c r="X2383" s="6"/>
      <c r="Y2383" s="6"/>
      <c r="Z2383" s="6"/>
      <c r="AA2383" s="6"/>
    </row>
    <row r="2384" ht="14.25">
      <c r="B2384" s="4" t="s">
        <v>322</v>
      </c>
      <c r="C2384" s="4" t="s">
        <v>18307</v>
      </c>
      <c r="D2384" s="4" t="s">
        <v>315</v>
      </c>
      <c r="E2384" s="4" t="s">
        <v>18308</v>
      </c>
      <c r="F2384" s="4" t="str">
        <f>IFERROR(__XLUDF.DUMMYFUNCTION("PROPER(REGEXREPLACE(D100,""[^A-Za-z]+ "",""""))"),"Cameros")</f>
        <v>Cameros</v>
      </c>
      <c r="G2384" s="4" t="s">
        <v>18309</v>
      </c>
      <c r="H2384" s="4">
        <v>11</v>
      </c>
      <c r="I2384" s="4" t="s">
        <v>2602</v>
      </c>
      <c r="J2384" s="4"/>
      <c r="K2384" s="5" t="s">
        <v>18310</v>
      </c>
      <c r="L2384" s="5" t="s">
        <v>18311</v>
      </c>
      <c r="M2384" s="4" t="s">
        <v>12209</v>
      </c>
      <c r="N2384" s="4" t="s">
        <v>29</v>
      </c>
      <c r="O2384" s="4" t="s">
        <v>18312</v>
      </c>
      <c r="P2384" s="4" t="s">
        <v>29</v>
      </c>
      <c r="Q2384" s="6"/>
      <c r="R2384" s="6"/>
      <c r="S2384" s="6"/>
      <c r="T2384" s="6"/>
      <c r="U2384" s="6"/>
      <c r="V2384" s="6"/>
      <c r="W2384" s="6"/>
      <c r="X2384" s="6"/>
      <c r="Y2384" s="6"/>
      <c r="Z2384" s="6"/>
      <c r="AA2384" s="6"/>
    </row>
    <row r="2385" ht="14.25">
      <c r="B2385" s="4" t="s">
        <v>9922</v>
      </c>
      <c r="C2385" s="4" t="s">
        <v>18313</v>
      </c>
      <c r="D2385" s="4" t="s">
        <v>18314</v>
      </c>
      <c r="E2385" s="4" t="s">
        <v>18315</v>
      </c>
      <c r="F2385" s="4" t="str">
        <f>IFERROR(__XLUDF.DUMMYFUNCTION("PROPER(REGEXREPLACE(D101,""[^A-Za-z]+ "",""""))"),"Openfire")</f>
        <v>Openfire</v>
      </c>
      <c r="G2385" s="4" t="s">
        <v>18316</v>
      </c>
      <c r="H2385" s="4">
        <v>21</v>
      </c>
      <c r="I2385" s="4" t="s">
        <v>2602</v>
      </c>
      <c r="J2385" s="4" t="str">
        <f>IFERROR(__XLUDF.DUMMYFUNCTION("VLOOKUP(H101,IMPORTRANGE(""https://docs.google.com/spreadsheets/d/1opm6ZNvGZ7KditA9TuJwrZ25eFLfTNIkrNnY6mhV5Eg"",""list!A1:C115""),3,TRUE)"),"le secteur de la tech")</f>
        <v xml:space="preserve">le secteur de la tech</v>
      </c>
      <c r="K2385" s="5" t="s">
        <v>18317</v>
      </c>
      <c r="L2385" s="5" t="s">
        <v>18318</v>
      </c>
      <c r="M2385" s="4" t="s">
        <v>1826</v>
      </c>
      <c r="N2385" s="4" t="s">
        <v>29</v>
      </c>
      <c r="O2385" s="4" t="s">
        <v>18319</v>
      </c>
      <c r="P2385" s="4" t="s">
        <v>29</v>
      </c>
      <c r="Q2385" s="4" t="s">
        <v>18320</v>
      </c>
      <c r="R2385" s="6"/>
      <c r="S2385" s="6"/>
      <c r="T2385" s="6"/>
      <c r="U2385" s="6"/>
      <c r="V2385" s="6"/>
      <c r="W2385" s="6"/>
      <c r="X2385" s="6"/>
      <c r="Y2385" s="6"/>
      <c r="Z2385" s="6"/>
      <c r="AA2385" s="6"/>
    </row>
    <row r="2386" ht="14.25">
      <c r="B2386" s="4" t="s">
        <v>630</v>
      </c>
      <c r="C2386" s="4" t="s">
        <v>11585</v>
      </c>
      <c r="D2386" s="4" t="s">
        <v>112</v>
      </c>
      <c r="E2386" s="4" t="s">
        <v>18321</v>
      </c>
      <c r="F2386" s="4" t="str">
        <f>IFERROR(__XLUDF.DUMMYFUNCTION("PROPER(REGEXREPLACE(D102,""[^A-Za-z]+ "",""""))"),"Pragmatic Solution Sas")</f>
        <v xml:space="preserve">Pragmatic Solution Sas</v>
      </c>
      <c r="G2386" s="4" t="s">
        <v>18322</v>
      </c>
      <c r="H2386" s="4">
        <v>24</v>
      </c>
      <c r="I2386" s="4" t="s">
        <v>4067</v>
      </c>
      <c r="J2386" s="4" t="str">
        <f>IFERROR(__XLUDF.DUMMYFUNCTION("VLOOKUP(H102,IMPORTRANGE(""https://docs.google.com/spreadsheets/d/1opm6ZNvGZ7KditA9TuJwrZ25eFLfTNIkrNnY6mhV5Eg"",""list!A1:C115""),3,TRUE)"),"le secteur du conseil en management")</f>
        <v xml:space="preserve">le secteur du conseil en management</v>
      </c>
      <c r="K2386" s="5" t="s">
        <v>18323</v>
      </c>
      <c r="L2386" s="5" t="s">
        <v>18324</v>
      </c>
      <c r="M2386" s="6"/>
      <c r="N2386" s="4" t="s">
        <v>29</v>
      </c>
      <c r="O2386" s="6"/>
      <c r="P2386" s="6"/>
      <c r="Q2386" s="4" t="s">
        <v>18325</v>
      </c>
      <c r="R2386" s="6"/>
      <c r="S2386" s="6"/>
      <c r="T2386" s="6"/>
      <c r="U2386" s="6"/>
      <c r="V2386" s="6"/>
      <c r="W2386" s="6"/>
      <c r="X2386" s="6"/>
      <c r="Y2386" s="6"/>
      <c r="Z2386" s="6"/>
      <c r="AA2386" s="6"/>
    </row>
    <row r="2387" ht="14.25">
      <c r="B2387" s="4" t="s">
        <v>18326</v>
      </c>
      <c r="C2387" s="4" t="s">
        <v>5915</v>
      </c>
      <c r="D2387" s="4" t="s">
        <v>112</v>
      </c>
      <c r="E2387" s="4" t="s">
        <v>18327</v>
      </c>
      <c r="F2387" s="4" t="str">
        <f>IFERROR(__XLUDF.DUMMYFUNCTION("PROPER(REGEXREPLACE(D103,""[^A-Za-z]+ "",""""))"),"Abpost")</f>
        <v>Abpost</v>
      </c>
      <c r="G2387" s="4" t="s">
        <v>18328</v>
      </c>
      <c r="H2387" s="4">
        <v>24</v>
      </c>
      <c r="I2387" s="4" t="s">
        <v>4067</v>
      </c>
      <c r="J2387" s="4"/>
      <c r="K2387" s="5" t="s">
        <v>18329</v>
      </c>
      <c r="L2387" s="5" t="s">
        <v>18330</v>
      </c>
      <c r="M2387" s="4" t="s">
        <v>1826</v>
      </c>
      <c r="N2387" s="4" t="s">
        <v>29</v>
      </c>
      <c r="O2387" s="4" t="s">
        <v>18331</v>
      </c>
      <c r="P2387" s="4" t="s">
        <v>29</v>
      </c>
      <c r="Q2387" s="4" t="s">
        <v>18332</v>
      </c>
      <c r="R2387" s="6"/>
      <c r="S2387" s="6"/>
      <c r="T2387" s="6"/>
      <c r="U2387" s="6"/>
      <c r="V2387" s="6"/>
      <c r="W2387" s="6"/>
      <c r="X2387" s="6"/>
      <c r="Y2387" s="6"/>
      <c r="Z2387" s="6"/>
      <c r="AA2387" s="6"/>
    </row>
    <row r="2388" ht="14.25">
      <c r="B2388" s="4" t="s">
        <v>5252</v>
      </c>
      <c r="C2388" s="4" t="s">
        <v>18333</v>
      </c>
      <c r="D2388" s="4" t="s">
        <v>44</v>
      </c>
      <c r="E2388" s="4" t="s">
        <v>18334</v>
      </c>
      <c r="F2388" s="4" t="str">
        <f>IFERROR(__XLUDF.DUMMYFUNCTION("PROPER(REGEXREPLACE(D104,""[^A-Za-z]+ "",""""))"),"Bonx")</f>
        <v>Bonx</v>
      </c>
      <c r="G2388" s="4" t="s">
        <v>18335</v>
      </c>
      <c r="H2388" s="4">
        <v>23</v>
      </c>
      <c r="I2388" s="4" t="s">
        <v>2602</v>
      </c>
      <c r="J2388" s="4" t="str">
        <f>IFERROR(__XLUDF.DUMMYFUNCTION("VLOOKUP(H104,IMPORTRANGE(""https://docs.google.com/spreadsheets/d/1opm6ZNvGZ7KditA9TuJwrZ25eFLfTNIkrNnY6mhV5Eg"",""list!A1:C115""),3,TRUE)"),"le secteur de la tech")</f>
        <v xml:space="preserve">le secteur de la tech</v>
      </c>
      <c r="K2388" s="5" t="s">
        <v>18336</v>
      </c>
      <c r="L2388" s="5" t="s">
        <v>18337</v>
      </c>
      <c r="M2388" s="6"/>
      <c r="N2388" s="4" t="s">
        <v>29</v>
      </c>
      <c r="O2388" s="4" t="s">
        <v>346</v>
      </c>
      <c r="P2388" s="4" t="s">
        <v>29</v>
      </c>
      <c r="Q2388" s="4" t="s">
        <v>18338</v>
      </c>
      <c r="R2388" s="6"/>
      <c r="S2388" s="6"/>
      <c r="T2388" s="6"/>
      <c r="U2388" s="6"/>
      <c r="V2388" s="6"/>
      <c r="W2388" s="6"/>
      <c r="X2388" s="6"/>
      <c r="Y2388" s="6"/>
      <c r="Z2388" s="6"/>
      <c r="AA2388" s="6"/>
    </row>
    <row r="2389" ht="14.25">
      <c r="B2389" s="4" t="s">
        <v>245</v>
      </c>
      <c r="C2389" s="4" t="s">
        <v>6451</v>
      </c>
      <c r="D2389" s="4" t="s">
        <v>112</v>
      </c>
      <c r="E2389" s="4" t="s">
        <v>18339</v>
      </c>
      <c r="F2389" s="4" t="str">
        <f>IFERROR(__XLUDF.DUMMYFUNCTION("PROPER(REGEXREPLACE(D105,""[^A-Za-z]+ "",""""))"),"Thuria")</f>
        <v>Thuria</v>
      </c>
      <c r="G2389" s="4" t="s">
        <v>18340</v>
      </c>
      <c r="H2389" s="4">
        <v>43</v>
      </c>
      <c r="I2389" s="4" t="s">
        <v>9161</v>
      </c>
      <c r="J2389" s="4"/>
      <c r="K2389" s="5" t="s">
        <v>18341</v>
      </c>
      <c r="L2389" s="5" t="s">
        <v>18342</v>
      </c>
      <c r="M2389" s="4" t="s">
        <v>651</v>
      </c>
      <c r="N2389" s="4" t="s">
        <v>29</v>
      </c>
      <c r="O2389" s="4" t="s">
        <v>18343</v>
      </c>
      <c r="P2389" s="4" t="s">
        <v>29</v>
      </c>
      <c r="Q2389" s="4" t="s">
        <v>18344</v>
      </c>
      <c r="R2389" s="6"/>
      <c r="S2389" s="6"/>
      <c r="T2389" s="6"/>
      <c r="U2389" s="6"/>
      <c r="V2389" s="6"/>
      <c r="W2389" s="6"/>
      <c r="X2389" s="6"/>
      <c r="Y2389" s="6"/>
      <c r="Z2389" s="6"/>
      <c r="AA2389" s="6"/>
    </row>
    <row r="2390" ht="14.25">
      <c r="B2390" s="4" t="s">
        <v>5001</v>
      </c>
      <c r="C2390" s="4" t="s">
        <v>18345</v>
      </c>
      <c r="D2390" s="4" t="s">
        <v>172</v>
      </c>
      <c r="E2390" s="4" t="s">
        <v>18346</v>
      </c>
      <c r="F2390" s="4" t="str">
        <f>IFERROR(__XLUDF.DUMMYFUNCTION("PROPER(REGEXREPLACE(D106,""[^A-Za-z]+ "",""""))"),"Cfi Tech")</f>
        <v xml:space="preserve">Cfi Tech</v>
      </c>
      <c r="G2390" s="4" t="s">
        <v>18347</v>
      </c>
      <c r="H2390" s="4">
        <v>27</v>
      </c>
      <c r="I2390" s="4" t="s">
        <v>2602</v>
      </c>
      <c r="J2390" s="4" t="str">
        <f>IFERROR(__XLUDF.DUMMYFUNCTION("VLOOKUP(H106,IMPORTRANGE(""https://docs.google.com/spreadsheets/d/1opm6ZNvGZ7KditA9TuJwrZ25eFLfTNIkrNnY6mhV5Eg"",""list!A1:C115""),3,TRUE)"),"le secteur de la tech")</f>
        <v xml:space="preserve">le secteur de la tech</v>
      </c>
      <c r="K2390" s="5" t="s">
        <v>18348</v>
      </c>
      <c r="L2390" s="5" t="s">
        <v>18349</v>
      </c>
      <c r="M2390" s="6"/>
      <c r="N2390" s="4" t="s">
        <v>29</v>
      </c>
      <c r="O2390" s="4" t="s">
        <v>18350</v>
      </c>
      <c r="P2390" s="4" t="s">
        <v>29</v>
      </c>
      <c r="Q2390" s="6"/>
      <c r="R2390" s="6"/>
      <c r="S2390" s="6"/>
      <c r="T2390" s="6"/>
      <c r="U2390" s="6"/>
      <c r="V2390" s="6"/>
      <c r="W2390" s="6"/>
      <c r="X2390" s="6"/>
      <c r="Y2390" s="6"/>
      <c r="Z2390" s="6"/>
      <c r="AA2390" s="6"/>
    </row>
    <row r="2391" ht="14.25">
      <c r="B2391" s="4" t="s">
        <v>18351</v>
      </c>
      <c r="C2391" s="4" t="s">
        <v>18352</v>
      </c>
      <c r="D2391" s="4" t="s">
        <v>281</v>
      </c>
      <c r="E2391" s="4" t="s">
        <v>18353</v>
      </c>
      <c r="F2391" s="4" t="str">
        <f>IFERROR(__XLUDF.DUMMYFUNCTION("PROPER(REGEXREPLACE(D107,""[^A-Za-z]+ "",""""))"),"Presentid")</f>
        <v>Presentid</v>
      </c>
      <c r="G2391" s="4" t="s">
        <v>18354</v>
      </c>
      <c r="H2391" s="4">
        <v>11</v>
      </c>
      <c r="I2391" s="4" t="s">
        <v>2602</v>
      </c>
      <c r="J2391" s="4" t="str">
        <f>IFERROR(__XLUDF.DUMMYFUNCTION("VLOOKUP(H107,IMPORTRANGE(""https://docs.google.com/spreadsheets/d/1opm6ZNvGZ7KditA9TuJwrZ25eFLfTNIkrNnY6mhV5Eg"",""list!A1:C115""),3,TRUE)"),"le secteur de la tech")</f>
        <v xml:space="preserve">le secteur de la tech</v>
      </c>
      <c r="K2391" s="5" t="s">
        <v>18355</v>
      </c>
      <c r="L2391" s="5" t="s">
        <v>18356</v>
      </c>
      <c r="M2391" s="4" t="s">
        <v>39</v>
      </c>
      <c r="N2391" s="4" t="s">
        <v>29</v>
      </c>
      <c r="O2391" s="4" t="s">
        <v>1158</v>
      </c>
      <c r="P2391" s="4" t="s">
        <v>29</v>
      </c>
      <c r="Q2391" s="4" t="s">
        <v>18357</v>
      </c>
      <c r="R2391" s="6"/>
      <c r="S2391" s="6"/>
      <c r="T2391" s="6"/>
      <c r="U2391" s="6"/>
      <c r="V2391" s="6"/>
      <c r="W2391" s="6"/>
      <c r="X2391" s="6"/>
      <c r="Y2391" s="6"/>
      <c r="Z2391" s="6"/>
      <c r="AA2391" s="6"/>
    </row>
    <row r="2392" ht="14.25">
      <c r="B2392" s="4" t="s">
        <v>1324</v>
      </c>
      <c r="C2392" s="4" t="s">
        <v>18358</v>
      </c>
      <c r="D2392" s="4" t="s">
        <v>18359</v>
      </c>
      <c r="E2392" s="4" t="s">
        <v>18360</v>
      </c>
      <c r="F2392" s="4" t="str">
        <f>IFERROR(__XLUDF.DUMMYFUNCTION("PROPER(REGEXREPLACE(D108,""[^A-Za-z]+ "",""""))"),"Blackfox")</f>
        <v>Blackfox</v>
      </c>
      <c r="G2392" s="4" t="s">
        <v>18361</v>
      </c>
      <c r="H2392" s="4">
        <v>11</v>
      </c>
      <c r="I2392" s="4" t="s">
        <v>4067</v>
      </c>
      <c r="J2392" s="4"/>
      <c r="K2392" s="5" t="s">
        <v>18362</v>
      </c>
      <c r="L2392" s="5" t="s">
        <v>18363</v>
      </c>
      <c r="M2392" s="6"/>
      <c r="N2392" s="4" t="s">
        <v>29</v>
      </c>
      <c r="O2392" s="4" t="s">
        <v>18364</v>
      </c>
      <c r="P2392" s="4" t="s">
        <v>29</v>
      </c>
      <c r="Q2392" s="4" t="s">
        <v>18365</v>
      </c>
      <c r="R2392" s="6"/>
      <c r="S2392" s="6"/>
      <c r="T2392" s="6"/>
      <c r="U2392" s="6"/>
      <c r="V2392" s="6"/>
      <c r="W2392" s="6"/>
      <c r="X2392" s="6"/>
      <c r="Y2392" s="6"/>
      <c r="Z2392" s="6"/>
      <c r="AA2392" s="6"/>
    </row>
    <row r="2393" ht="14.25">
      <c r="B2393" s="4" t="s">
        <v>525</v>
      </c>
      <c r="C2393" s="4" t="s">
        <v>18366</v>
      </c>
      <c r="D2393" s="4" t="s">
        <v>87</v>
      </c>
      <c r="E2393" s="4" t="s">
        <v>18367</v>
      </c>
      <c r="F2393" s="4" t="str">
        <f>IFERROR(__XLUDF.DUMMYFUNCTION("PROPER(REGEXREPLACE(D109,""[^A-Za-z]+ "",""""))"),"Icilundi")</f>
        <v>Icilundi</v>
      </c>
      <c r="G2393" s="4" t="s">
        <v>18368</v>
      </c>
      <c r="H2393" s="4">
        <v>34</v>
      </c>
      <c r="I2393" s="4" t="s">
        <v>4067</v>
      </c>
      <c r="J2393" s="4"/>
      <c r="K2393" s="5" t="s">
        <v>18369</v>
      </c>
      <c r="L2393" s="5" t="s">
        <v>18370</v>
      </c>
      <c r="M2393" s="4" t="s">
        <v>1711</v>
      </c>
      <c r="N2393" s="4" t="s">
        <v>29</v>
      </c>
      <c r="O2393" s="4" t="s">
        <v>18371</v>
      </c>
      <c r="P2393" s="4" t="s">
        <v>29</v>
      </c>
      <c r="Q2393" s="6"/>
      <c r="R2393" s="6"/>
      <c r="S2393" s="6"/>
      <c r="T2393" s="6"/>
      <c r="U2393" s="6"/>
      <c r="V2393" s="6"/>
      <c r="W2393" s="6"/>
      <c r="X2393" s="6"/>
      <c r="Y2393" s="6"/>
      <c r="Z2393" s="6"/>
      <c r="AA2393" s="6"/>
    </row>
    <row r="2394" ht="14.25">
      <c r="B2394" s="4" t="s">
        <v>1114</v>
      </c>
      <c r="C2394" s="4" t="s">
        <v>18372</v>
      </c>
      <c r="D2394" s="4" t="s">
        <v>18373</v>
      </c>
      <c r="E2394" s="4" t="s">
        <v>18374</v>
      </c>
      <c r="F2394" s="4" t="str">
        <f>IFERROR(__XLUDF.DUMMYFUNCTION("PROPER(REGEXREPLACE(D110,""[^A-Za-z]+ "",""""))"),"Vayetek")</f>
        <v>Vayetek</v>
      </c>
      <c r="G2394" s="4" t="s">
        <v>18375</v>
      </c>
      <c r="H2394" s="4">
        <v>9</v>
      </c>
      <c r="I2394" s="4" t="s">
        <v>2602</v>
      </c>
      <c r="J2394" s="4"/>
      <c r="K2394" s="5" t="s">
        <v>18376</v>
      </c>
      <c r="L2394" s="5" t="s">
        <v>18377</v>
      </c>
      <c r="M2394" s="4" t="s">
        <v>39</v>
      </c>
      <c r="N2394" s="4" t="s">
        <v>29</v>
      </c>
      <c r="O2394" s="4" t="s">
        <v>18378</v>
      </c>
      <c r="P2394" s="4" t="s">
        <v>9969</v>
      </c>
      <c r="Q2394" s="6"/>
      <c r="R2394" s="6"/>
      <c r="S2394" s="6"/>
      <c r="T2394" s="6"/>
      <c r="U2394" s="6"/>
      <c r="V2394" s="6"/>
      <c r="W2394" s="6"/>
      <c r="X2394" s="6"/>
      <c r="Y2394" s="6"/>
      <c r="Z2394" s="6"/>
      <c r="AA2394" s="6"/>
    </row>
    <row r="2395" ht="14.25">
      <c r="B2395" s="4" t="s">
        <v>4522</v>
      </c>
      <c r="C2395" s="4" t="s">
        <v>18379</v>
      </c>
      <c r="D2395" s="4" t="s">
        <v>18380</v>
      </c>
      <c r="E2395" s="4" t="s">
        <v>18381</v>
      </c>
      <c r="F2395" s="4" t="str">
        <f>IFERROR(__XLUDF.DUMMYFUNCTION("PROPER(REGEXREPLACE(D111,""[^A-Za-z]+ "",""""))"),"Groupe Iteractii")</f>
        <v xml:space="preserve">Groupe Iteractii</v>
      </c>
      <c r="G2395" s="4" t="s">
        <v>18382</v>
      </c>
      <c r="H2395" s="4">
        <v>35</v>
      </c>
      <c r="I2395" s="4" t="s">
        <v>9161</v>
      </c>
      <c r="J2395" s="4" t="str">
        <f>IFERROR(__XLUDF.DUMMYFUNCTION("VLOOKUP(H111,IMPORTRANGE(""https://docs.google.com/spreadsheets/d/1opm6ZNvGZ7KditA9TuJwrZ25eFLfTNIkrNnY6mhV5Eg"",""list!A1:C115""),3,TRUE)"),"le secteur du marketing")</f>
        <v xml:space="preserve">le secteur du marketing</v>
      </c>
      <c r="K2395" s="5" t="s">
        <v>18383</v>
      </c>
      <c r="L2395" s="5" t="s">
        <v>18384</v>
      </c>
      <c r="M2395" s="4" t="s">
        <v>10661</v>
      </c>
      <c r="N2395" s="4" t="s">
        <v>29</v>
      </c>
      <c r="O2395" s="4" t="s">
        <v>18385</v>
      </c>
      <c r="P2395" s="4" t="s">
        <v>29</v>
      </c>
      <c r="Q2395" s="4" t="s">
        <v>18386</v>
      </c>
      <c r="R2395" s="6"/>
      <c r="S2395" s="6"/>
      <c r="T2395" s="6"/>
      <c r="U2395" s="6"/>
      <c r="V2395" s="6"/>
      <c r="W2395" s="6"/>
      <c r="X2395" s="6"/>
      <c r="Y2395" s="6"/>
      <c r="Z2395" s="6"/>
      <c r="AA2395" s="6"/>
    </row>
    <row r="2396" ht="14.25">
      <c r="B2396" s="4" t="s">
        <v>330</v>
      </c>
      <c r="C2396" s="4" t="s">
        <v>18387</v>
      </c>
      <c r="D2396" s="4" t="s">
        <v>172</v>
      </c>
      <c r="E2396" s="4" t="s">
        <v>18388</v>
      </c>
      <c r="F2396" s="4" t="str">
        <f>IFERROR(__XLUDF.DUMMYFUNCTION("PROPER(REGEXREPLACE(D112,""[^A-Za-z]+ "",""""))"),"Suricate")</f>
        <v>Suricate</v>
      </c>
      <c r="G2396" s="4" t="s">
        <v>18389</v>
      </c>
      <c r="H2396" s="4">
        <v>27</v>
      </c>
      <c r="I2396" s="4" t="s">
        <v>9264</v>
      </c>
      <c r="J2396" s="4"/>
      <c r="K2396" s="5" t="s">
        <v>18390</v>
      </c>
      <c r="L2396" s="5" t="s">
        <v>18391</v>
      </c>
      <c r="M2396" s="6"/>
      <c r="N2396" s="4" t="s">
        <v>29</v>
      </c>
      <c r="O2396" s="4" t="s">
        <v>3759</v>
      </c>
      <c r="P2396" s="4" t="s">
        <v>29</v>
      </c>
      <c r="Q2396" s="4" t="s">
        <v>18392</v>
      </c>
      <c r="R2396" s="6"/>
      <c r="S2396" s="6"/>
      <c r="T2396" s="6"/>
      <c r="U2396" s="6"/>
      <c r="V2396" s="6"/>
      <c r="W2396" s="6"/>
      <c r="X2396" s="6"/>
      <c r="Y2396" s="6"/>
      <c r="Z2396" s="6"/>
      <c r="AA2396" s="6"/>
    </row>
    <row r="2397" ht="14.25">
      <c r="B2397" s="4" t="s">
        <v>808</v>
      </c>
      <c r="C2397" s="4" t="s">
        <v>18393</v>
      </c>
      <c r="D2397" s="4" t="s">
        <v>426</v>
      </c>
      <c r="E2397" s="4" t="s">
        <v>18394</v>
      </c>
      <c r="F2397" s="4" t="str">
        <f>IFERROR(__XLUDF.DUMMYFUNCTION("PROPER(REGEXREPLACE(D113,""[^A-Za-z]+ "",""""))"),"Agence Manitoba Praxis")</f>
        <v xml:space="preserve">Agence Manitoba Praxis</v>
      </c>
      <c r="G2397" s="4" t="s">
        <v>18395</v>
      </c>
      <c r="H2397" s="4">
        <v>30</v>
      </c>
      <c r="I2397" s="4" t="s">
        <v>9161</v>
      </c>
      <c r="J2397" s="4" t="str">
        <f>IFERROR(__XLUDF.DUMMYFUNCTION("VLOOKUP(H113,IMPORTRANGE(""https://docs.google.com/spreadsheets/d/1opm6ZNvGZ7KditA9TuJwrZ25eFLfTNIkrNnY6mhV5Eg"",""list!A1:C115""),3,TRUE)"),"le secteur du marketing")</f>
        <v xml:space="preserve">le secteur du marketing</v>
      </c>
      <c r="K2397" s="5" t="s">
        <v>18396</v>
      </c>
      <c r="L2397" s="5" t="s">
        <v>18397</v>
      </c>
      <c r="M2397" s="4" t="s">
        <v>39</v>
      </c>
      <c r="N2397" s="4" t="s">
        <v>29</v>
      </c>
      <c r="O2397" s="4" t="s">
        <v>18398</v>
      </c>
      <c r="P2397" s="4" t="s">
        <v>29</v>
      </c>
      <c r="Q2397" s="4" t="s">
        <v>18399</v>
      </c>
      <c r="R2397" s="6"/>
      <c r="S2397" s="6"/>
      <c r="T2397" s="6"/>
      <c r="U2397" s="6"/>
      <c r="V2397" s="6"/>
      <c r="W2397" s="6"/>
      <c r="X2397" s="6"/>
      <c r="Y2397" s="6"/>
      <c r="Z2397" s="6"/>
      <c r="AA2397" s="6"/>
    </row>
    <row r="2398" ht="14.25">
      <c r="B2398" s="4" t="s">
        <v>6309</v>
      </c>
      <c r="C2398" s="4" t="s">
        <v>18400</v>
      </c>
      <c r="D2398" s="4" t="s">
        <v>18401</v>
      </c>
      <c r="E2398" s="4" t="s">
        <v>18402</v>
      </c>
      <c r="F2398" s="4" t="str">
        <f>IFERROR(__XLUDF.DUMMYFUNCTION("PROPER(REGEXREPLACE(D114,""[^A-Za-z]+ "",""""))"),"Galileo Protocol")</f>
        <v xml:space="preserve">Galileo Protocol</v>
      </c>
      <c r="G2398" s="4" t="s">
        <v>18403</v>
      </c>
      <c r="H2398" s="4">
        <v>21</v>
      </c>
      <c r="I2398" s="4" t="s">
        <v>2602</v>
      </c>
      <c r="J2398" s="4" t="str">
        <f>IFERROR(__XLUDF.DUMMYFUNCTION("VLOOKUP(H114,IMPORTRANGE(""https://docs.google.com/spreadsheets/d/1opm6ZNvGZ7KditA9TuJwrZ25eFLfTNIkrNnY6mhV5Eg"",""list!A1:C115""),3,TRUE)"),"le secteur de la tech")</f>
        <v xml:space="preserve">le secteur de la tech</v>
      </c>
      <c r="K2398" s="5" t="s">
        <v>18404</v>
      </c>
      <c r="L2398" s="5" t="s">
        <v>18405</v>
      </c>
      <c r="M2398" s="4" t="s">
        <v>39</v>
      </c>
      <c r="N2398" s="4" t="s">
        <v>29</v>
      </c>
      <c r="O2398" s="4" t="s">
        <v>67</v>
      </c>
      <c r="P2398" s="4" t="s">
        <v>29</v>
      </c>
      <c r="Q2398" s="4" t="s">
        <v>18406</v>
      </c>
      <c r="R2398" s="6"/>
      <c r="S2398" s="6"/>
      <c r="T2398" s="6"/>
      <c r="U2398" s="6"/>
      <c r="V2398" s="6"/>
      <c r="W2398" s="6"/>
      <c r="X2398" s="6"/>
      <c r="Y2398" s="6"/>
      <c r="Z2398" s="6"/>
      <c r="AA2398" s="6"/>
    </row>
    <row r="2399" ht="14.25">
      <c r="B2399" s="4" t="s">
        <v>18407</v>
      </c>
      <c r="C2399" s="4" t="s">
        <v>18408</v>
      </c>
      <c r="D2399" s="4" t="s">
        <v>18409</v>
      </c>
      <c r="E2399" s="4" t="s">
        <v>18410</v>
      </c>
      <c r="F2399" s="4" t="str">
        <f>IFERROR(__XLUDF.DUMMYFUNCTION("PROPER(REGEXREPLACE(D115,""[^A-Za-z]+ "",""""))"),"1G-Link")</f>
        <v>1G-Link</v>
      </c>
      <c r="G2399" s="4" t="s">
        <v>18411</v>
      </c>
      <c r="H2399" s="4">
        <v>47</v>
      </c>
      <c r="I2399" s="4" t="s">
        <v>4067</v>
      </c>
      <c r="J2399" s="4" t="str">
        <f>IFERROR(__XLUDF.DUMMYFUNCTION("VLOOKUP(H115,IMPORTRANGE(""https://docs.google.com/spreadsheets/d/1opm6ZNvGZ7KditA9TuJwrZ25eFLfTNIkrNnY6mhV5Eg"",""list!A1:C115""),3,TRUE)"),"le secteur du conseil en management")</f>
        <v xml:space="preserve">le secteur du conseil en management</v>
      </c>
      <c r="K2399" s="5" t="s">
        <v>18412</v>
      </c>
      <c r="L2399" s="5" t="s">
        <v>18413</v>
      </c>
      <c r="M2399" s="4" t="s">
        <v>39</v>
      </c>
      <c r="N2399" s="4" t="s">
        <v>29</v>
      </c>
      <c r="O2399" s="4" t="s">
        <v>18414</v>
      </c>
      <c r="P2399" s="4" t="s">
        <v>29</v>
      </c>
      <c r="Q2399" s="4" t="s">
        <v>18415</v>
      </c>
      <c r="R2399" s="6"/>
      <c r="S2399" s="6"/>
      <c r="T2399" s="6"/>
      <c r="U2399" s="6"/>
      <c r="V2399" s="6"/>
      <c r="W2399" s="6"/>
      <c r="X2399" s="6"/>
      <c r="Y2399" s="6"/>
      <c r="Z2399" s="6"/>
      <c r="AA2399" s="6"/>
    </row>
    <row r="2400" ht="14.25">
      <c r="B2400" s="4" t="s">
        <v>18416</v>
      </c>
      <c r="C2400" s="4" t="s">
        <v>8341</v>
      </c>
      <c r="D2400" s="4" t="s">
        <v>18417</v>
      </c>
      <c r="E2400" s="4" t="s">
        <v>18418</v>
      </c>
      <c r="F2400" s="4" t="str">
        <f>IFERROR(__XLUDF.DUMMYFUNCTION("PROPER(REGEXREPLACE(D116,""[^A-Za-z]+ "",""""))"),"2Gezer")</f>
        <v>2Gezer</v>
      </c>
      <c r="G2400" s="4" t="s">
        <v>18419</v>
      </c>
      <c r="H2400" s="4">
        <v>26</v>
      </c>
      <c r="I2400" s="4" t="s">
        <v>9461</v>
      </c>
      <c r="J2400" s="4"/>
      <c r="K2400" s="5" t="s">
        <v>18420</v>
      </c>
      <c r="L2400" s="5" t="s">
        <v>18421</v>
      </c>
      <c r="M2400" s="4" t="s">
        <v>243</v>
      </c>
      <c r="N2400" s="4" t="s">
        <v>29</v>
      </c>
      <c r="O2400" s="4" t="s">
        <v>18422</v>
      </c>
      <c r="P2400" s="4" t="s">
        <v>29</v>
      </c>
      <c r="Q2400" s="4" t="s">
        <v>18423</v>
      </c>
      <c r="R2400" s="6"/>
      <c r="S2400" s="6"/>
      <c r="T2400" s="6"/>
      <c r="U2400" s="6"/>
      <c r="V2400" s="6"/>
      <c r="W2400" s="6"/>
      <c r="X2400" s="6"/>
      <c r="Y2400" s="6"/>
      <c r="Z2400" s="6"/>
      <c r="AA2400" s="6"/>
    </row>
    <row r="2401" ht="14.25">
      <c r="B2401" s="4" t="s">
        <v>18424</v>
      </c>
      <c r="C2401" s="4" t="s">
        <v>18425</v>
      </c>
      <c r="D2401" s="4" t="s">
        <v>18426</v>
      </c>
      <c r="E2401" s="4" t="s">
        <v>18427</v>
      </c>
      <c r="F2401" s="4" t="str">
        <f>IFERROR(__XLUDF.DUMMYFUNCTION("PROPER(REGEXREPLACE(D117,""[^A-Za-z]+ "",""""))"),"Lyko")</f>
        <v>Lyko</v>
      </c>
      <c r="G2401" s="4" t="s">
        <v>18428</v>
      </c>
      <c r="H2401" s="4">
        <v>7</v>
      </c>
      <c r="I2401" s="4" t="s">
        <v>2602</v>
      </c>
      <c r="J2401" s="4" t="str">
        <f>IFERROR(__XLUDF.DUMMYFUNCTION("VLOOKUP(H117,IMPORTRANGE(""https://docs.google.com/spreadsheets/d/1opm6ZNvGZ7KditA9TuJwrZ25eFLfTNIkrNnY6mhV5Eg"",""list!A1:C115""),3,TRUE)"),"le secteur de la tech")</f>
        <v xml:space="preserve">le secteur de la tech</v>
      </c>
      <c r="K2401" s="5" t="s">
        <v>18429</v>
      </c>
      <c r="L2401" s="5" t="s">
        <v>18430</v>
      </c>
      <c r="M2401" s="4" t="s">
        <v>185</v>
      </c>
      <c r="N2401" s="4" t="s">
        <v>29</v>
      </c>
      <c r="O2401" s="4" t="s">
        <v>18431</v>
      </c>
      <c r="P2401" s="4" t="s">
        <v>29</v>
      </c>
      <c r="Q2401" s="4" t="s">
        <v>18432</v>
      </c>
      <c r="R2401" s="6"/>
      <c r="S2401" s="6"/>
      <c r="T2401" s="6"/>
      <c r="U2401" s="6"/>
      <c r="V2401" s="6"/>
      <c r="W2401" s="6"/>
      <c r="X2401" s="6"/>
      <c r="Y2401" s="6"/>
      <c r="Z2401" s="6"/>
      <c r="AA2401" s="6"/>
    </row>
    <row r="2402" ht="14.25">
      <c r="B2402" s="4" t="s">
        <v>18433</v>
      </c>
      <c r="C2402" s="4" t="s">
        <v>18434</v>
      </c>
      <c r="D2402" s="4" t="s">
        <v>426</v>
      </c>
      <c r="E2402" s="4" t="s">
        <v>18435</v>
      </c>
      <c r="F2402" s="4" t="str">
        <f>IFERROR(__XLUDF.DUMMYFUNCTION("PROPER(REGEXREPLACE(D118,""[^A-Za-z]+ "",""""))"),"Well'D")</f>
        <v>Well'D</v>
      </c>
      <c r="G2402" s="4" t="s">
        <v>18436</v>
      </c>
      <c r="H2402" s="4">
        <v>24</v>
      </c>
      <c r="I2402" s="4" t="s">
        <v>2602</v>
      </c>
      <c r="J2402" s="4"/>
      <c r="K2402" s="5" t="s">
        <v>18437</v>
      </c>
      <c r="L2402" s="5" t="s">
        <v>18438</v>
      </c>
      <c r="M2402" s="4" t="s">
        <v>39</v>
      </c>
      <c r="N2402" s="4" t="s">
        <v>29</v>
      </c>
      <c r="O2402" s="4" t="s">
        <v>18439</v>
      </c>
      <c r="P2402" s="4" t="s">
        <v>29</v>
      </c>
      <c r="Q2402" s="6"/>
      <c r="R2402" s="6"/>
      <c r="S2402" s="6"/>
      <c r="T2402" s="6"/>
      <c r="U2402" s="6"/>
      <c r="V2402" s="6"/>
      <c r="W2402" s="6"/>
      <c r="X2402" s="6"/>
      <c r="Y2402" s="6"/>
      <c r="Z2402" s="6"/>
      <c r="AA2402" s="6"/>
    </row>
    <row r="2403" ht="14.25">
      <c r="B2403" s="4" t="s">
        <v>670</v>
      </c>
      <c r="C2403" s="4" t="s">
        <v>18440</v>
      </c>
      <c r="D2403" s="4" t="s">
        <v>18441</v>
      </c>
      <c r="E2403" s="4" t="s">
        <v>18442</v>
      </c>
      <c r="F2403" s="4" t="str">
        <f>IFERROR(__XLUDF.DUMMYFUNCTION("PROPER(REGEXREPLACE(D119,""[^A-Za-z]+ "",""""))"),"Degest")</f>
        <v>Degest</v>
      </c>
      <c r="G2403" s="4" t="s">
        <v>18443</v>
      </c>
      <c r="H2403" s="4">
        <v>26</v>
      </c>
      <c r="I2403" s="4" t="s">
        <v>4067</v>
      </c>
      <c r="J2403" s="4"/>
      <c r="K2403" s="5" t="s">
        <v>18444</v>
      </c>
      <c r="L2403" s="5" t="s">
        <v>18445</v>
      </c>
      <c r="M2403" s="4" t="s">
        <v>39</v>
      </c>
      <c r="N2403" s="4" t="s">
        <v>29</v>
      </c>
      <c r="O2403" s="4" t="s">
        <v>18446</v>
      </c>
      <c r="P2403" s="4" t="s">
        <v>29</v>
      </c>
      <c r="Q2403" s="4" t="s">
        <v>18447</v>
      </c>
      <c r="R2403" s="6"/>
      <c r="S2403" s="6"/>
      <c r="T2403" s="6"/>
      <c r="U2403" s="6"/>
      <c r="V2403" s="6"/>
      <c r="W2403" s="6"/>
      <c r="X2403" s="6"/>
      <c r="Y2403" s="6"/>
      <c r="Z2403" s="6"/>
      <c r="AA2403" s="6"/>
    </row>
    <row r="2404" ht="14.25">
      <c r="B2404" s="4" t="s">
        <v>571</v>
      </c>
      <c r="C2404" s="4" t="s">
        <v>14646</v>
      </c>
      <c r="D2404" s="4" t="s">
        <v>172</v>
      </c>
      <c r="E2404" s="4" t="s">
        <v>18448</v>
      </c>
      <c r="F2404" s="4" t="str">
        <f>IFERROR(__XLUDF.DUMMYFUNCTION("PROPER(REGEXREPLACE(D120,""[^A-Za-z]+ "",""""))"),"Algosecure")</f>
        <v>Algosecure</v>
      </c>
      <c r="G2404" s="4" t="s">
        <v>18449</v>
      </c>
      <c r="H2404" s="4">
        <v>42</v>
      </c>
      <c r="I2404" s="4" t="s">
        <v>2602</v>
      </c>
      <c r="J2404" s="4"/>
      <c r="K2404" s="5" t="s">
        <v>18450</v>
      </c>
      <c r="L2404" s="5" t="s">
        <v>18451</v>
      </c>
      <c r="M2404" s="6"/>
      <c r="N2404" s="4" t="s">
        <v>29</v>
      </c>
      <c r="O2404" s="4" t="s">
        <v>18452</v>
      </c>
      <c r="P2404" s="4" t="s">
        <v>29</v>
      </c>
      <c r="Q2404" s="4" t="s">
        <v>18453</v>
      </c>
      <c r="R2404" s="6"/>
      <c r="S2404" s="6"/>
      <c r="T2404" s="6"/>
      <c r="U2404" s="6"/>
      <c r="V2404" s="6"/>
      <c r="W2404" s="6"/>
      <c r="X2404" s="6"/>
      <c r="Y2404" s="6"/>
      <c r="Z2404" s="6"/>
      <c r="AA2404" s="6"/>
    </row>
    <row r="2405" ht="14.25">
      <c r="B2405" s="4" t="s">
        <v>330</v>
      </c>
      <c r="C2405" s="4" t="s">
        <v>18454</v>
      </c>
      <c r="D2405" s="4" t="s">
        <v>8042</v>
      </c>
      <c r="E2405" s="4" t="s">
        <v>18455</v>
      </c>
      <c r="F2405" s="4" t="str">
        <f>IFERROR(__XLUDF.DUMMYFUNCTION("PROPER(REGEXREPLACE(D121,""[^A-Za-z]+ "",""""))"),"Global Concept")</f>
        <v xml:space="preserve">Global Concept</v>
      </c>
      <c r="G2405" s="4" t="s">
        <v>18456</v>
      </c>
      <c r="H2405" s="4">
        <v>46</v>
      </c>
      <c r="I2405" s="4" t="s">
        <v>9161</v>
      </c>
      <c r="J2405" s="4"/>
      <c r="K2405" s="5" t="s">
        <v>18457</v>
      </c>
      <c r="L2405" s="5" t="s">
        <v>18458</v>
      </c>
      <c r="M2405" s="6"/>
      <c r="N2405" s="4" t="s">
        <v>29</v>
      </c>
      <c r="O2405" s="4" t="s">
        <v>18459</v>
      </c>
      <c r="P2405" s="4" t="s">
        <v>29</v>
      </c>
      <c r="Q2405" s="4" t="s">
        <v>18460</v>
      </c>
      <c r="R2405" s="6"/>
      <c r="S2405" s="6"/>
      <c r="T2405" s="6"/>
      <c r="U2405" s="6"/>
      <c r="V2405" s="6"/>
      <c r="W2405" s="6"/>
      <c r="X2405" s="6"/>
      <c r="Y2405" s="6"/>
      <c r="Z2405" s="6"/>
      <c r="AA2405" s="6"/>
    </row>
    <row r="2406" ht="14.25">
      <c r="B2406" s="4" t="s">
        <v>18461</v>
      </c>
      <c r="C2406" s="4" t="s">
        <v>18462</v>
      </c>
      <c r="D2406" s="4" t="s">
        <v>18463</v>
      </c>
      <c r="E2406" s="4" t="s">
        <v>15923</v>
      </c>
      <c r="F2406" s="4" t="str">
        <f>IFERROR(__XLUDF.DUMMYFUNCTION("PROPER(REGEXREPLACE(D122,""[^A-Za-z]+ "",""""))"),"Ideel")</f>
        <v>Ideel</v>
      </c>
      <c r="G2406" s="4" t="s">
        <v>18464</v>
      </c>
      <c r="H2406" s="4">
        <v>30</v>
      </c>
      <c r="I2406" s="4" t="s">
        <v>4067</v>
      </c>
      <c r="J2406" s="4" t="str">
        <f>IFERROR(__XLUDF.DUMMYFUNCTION("VLOOKUP(H122,IMPORTRANGE(""https://docs.google.com/spreadsheets/d/1opm6ZNvGZ7KditA9TuJwrZ25eFLfTNIkrNnY6mhV5Eg"",""list!A1:C115""),3,TRUE)"),"le secteur du conseil en management")</f>
        <v xml:space="preserve">le secteur du conseil en management</v>
      </c>
      <c r="K2406" s="5" t="s">
        <v>18465</v>
      </c>
      <c r="L2406" s="5" t="s">
        <v>18466</v>
      </c>
      <c r="M2406" s="4" t="s">
        <v>39</v>
      </c>
      <c r="N2406" s="4" t="s">
        <v>29</v>
      </c>
      <c r="O2406" s="4" t="s">
        <v>18467</v>
      </c>
      <c r="P2406" s="4" t="s">
        <v>29</v>
      </c>
      <c r="Q2406" s="4" t="s">
        <v>15929</v>
      </c>
      <c r="R2406" s="6"/>
      <c r="S2406" s="6"/>
      <c r="T2406" s="6"/>
      <c r="U2406" s="6"/>
      <c r="V2406" s="6"/>
      <c r="W2406" s="6"/>
      <c r="X2406" s="6"/>
      <c r="Y2406" s="6"/>
      <c r="Z2406" s="6"/>
      <c r="AA2406" s="6"/>
    </row>
    <row r="2407" ht="14.25">
      <c r="B2407" s="4" t="s">
        <v>1324</v>
      </c>
      <c r="C2407" s="4" t="s">
        <v>18468</v>
      </c>
      <c r="D2407" s="4" t="s">
        <v>18469</v>
      </c>
      <c r="E2407" s="4" t="s">
        <v>18470</v>
      </c>
      <c r="F2407" s="4" t="str">
        <f>IFERROR(__XLUDF.DUMMYFUNCTION("PROPER(REGEXREPLACE(D123,""[^A-Za-z]+ "",""""))"),"Ido")</f>
        <v>Ido</v>
      </c>
      <c r="G2407" s="4" t="s">
        <v>18471</v>
      </c>
      <c r="H2407" s="4">
        <v>12</v>
      </c>
      <c r="I2407" s="4" t="s">
        <v>2602</v>
      </c>
      <c r="J2407" s="4" t="str">
        <f>IFERROR(__XLUDF.DUMMYFUNCTION("VLOOKUP(H123,IMPORTRANGE(""https://docs.google.com/spreadsheets/d/1opm6ZNvGZ7KditA9TuJwrZ25eFLfTNIkrNnY6mhV5Eg"",""list!A1:C115""),3,TRUE)"),"le secteur de la tech")</f>
        <v xml:space="preserve">le secteur de la tech</v>
      </c>
      <c r="K2407" s="5" t="s">
        <v>18472</v>
      </c>
      <c r="L2407" s="5" t="s">
        <v>18473</v>
      </c>
      <c r="M2407" s="4" t="s">
        <v>423</v>
      </c>
      <c r="N2407" s="4" t="s">
        <v>29</v>
      </c>
      <c r="O2407" s="4" t="s">
        <v>1283</v>
      </c>
      <c r="P2407" s="4" t="s">
        <v>29</v>
      </c>
      <c r="Q2407" s="4" t="s">
        <v>18474</v>
      </c>
      <c r="R2407" s="6"/>
      <c r="S2407" s="6"/>
      <c r="T2407" s="6"/>
      <c r="U2407" s="6"/>
      <c r="V2407" s="6"/>
      <c r="W2407" s="6"/>
      <c r="X2407" s="6"/>
      <c r="Y2407" s="6"/>
      <c r="Z2407" s="6"/>
      <c r="AA2407" s="6"/>
    </row>
    <row r="2408" ht="14.25">
      <c r="B2408" s="4" t="s">
        <v>18475</v>
      </c>
      <c r="C2408" s="4" t="s">
        <v>18476</v>
      </c>
      <c r="D2408" s="4" t="s">
        <v>120</v>
      </c>
      <c r="E2408" s="4" t="s">
        <v>10127</v>
      </c>
      <c r="F2408" s="4" t="str">
        <f>IFERROR(__XLUDF.DUMMYFUNCTION("PROPER(REGEXREPLACE(D124,""[^A-Za-z]+ "",""""))"),"Uni5")</f>
        <v>Uni5</v>
      </c>
      <c r="G2408" s="4" t="s">
        <v>18477</v>
      </c>
      <c r="H2408" s="4">
        <v>31</v>
      </c>
      <c r="I2408" s="4" t="s">
        <v>2602</v>
      </c>
      <c r="J2408" s="4"/>
      <c r="K2408" s="5" t="s">
        <v>18478</v>
      </c>
      <c r="L2408" s="5" t="s">
        <v>18479</v>
      </c>
      <c r="M2408" s="4" t="s">
        <v>39</v>
      </c>
      <c r="N2408" s="4" t="s">
        <v>29</v>
      </c>
      <c r="O2408" s="4" t="s">
        <v>18364</v>
      </c>
      <c r="P2408" s="4" t="s">
        <v>29</v>
      </c>
      <c r="Q2408" s="6"/>
      <c r="R2408" s="6"/>
      <c r="S2408" s="6"/>
      <c r="T2408" s="6"/>
      <c r="U2408" s="6"/>
      <c r="V2408" s="6"/>
      <c r="W2408" s="6"/>
      <c r="X2408" s="6"/>
      <c r="Y2408" s="6"/>
      <c r="Z2408" s="6"/>
      <c r="AA2408" s="6"/>
    </row>
    <row r="2409" ht="14.25">
      <c r="B2409" s="4" t="s">
        <v>5579</v>
      </c>
      <c r="C2409" s="4" t="s">
        <v>18480</v>
      </c>
      <c r="D2409" s="4" t="s">
        <v>62</v>
      </c>
      <c r="E2409" s="4" t="s">
        <v>18481</v>
      </c>
      <c r="F2409" s="4" t="str">
        <f>IFERROR(__XLUDF.DUMMYFUNCTION("PROPER(REGEXREPLACE(D125,""[^A-Za-z]+ "",""""))"),"Krialys")</f>
        <v>Krialys</v>
      </c>
      <c r="G2409" s="4" t="s">
        <v>18482</v>
      </c>
      <c r="H2409" s="4">
        <v>20</v>
      </c>
      <c r="I2409" s="4" t="s">
        <v>2602</v>
      </c>
      <c r="J2409" s="4"/>
      <c r="K2409" s="5" t="s">
        <v>18483</v>
      </c>
      <c r="L2409" s="5" t="s">
        <v>18484</v>
      </c>
      <c r="M2409" s="4" t="s">
        <v>18485</v>
      </c>
      <c r="N2409" s="4" t="s">
        <v>29</v>
      </c>
      <c r="O2409" s="4" t="s">
        <v>18486</v>
      </c>
      <c r="P2409" s="4" t="s">
        <v>29</v>
      </c>
      <c r="Q2409" s="4" t="s">
        <v>18487</v>
      </c>
      <c r="R2409" s="6"/>
      <c r="S2409" s="6"/>
      <c r="T2409" s="6"/>
      <c r="U2409" s="6"/>
      <c r="V2409" s="6"/>
      <c r="W2409" s="6"/>
      <c r="X2409" s="6"/>
      <c r="Y2409" s="6"/>
      <c r="Z2409" s="6"/>
      <c r="AA2409" s="6"/>
    </row>
    <row r="2410" ht="14.25">
      <c r="B2410" s="4" t="s">
        <v>622</v>
      </c>
      <c r="C2410" s="4" t="s">
        <v>18488</v>
      </c>
      <c r="D2410" s="4" t="s">
        <v>44</v>
      </c>
      <c r="E2410" s="4" t="s">
        <v>18489</v>
      </c>
      <c r="F2410" s="4" t="str">
        <f>IFERROR(__XLUDF.DUMMYFUNCTION("PROPER(REGEXREPLACE(D126,""[^A-Za-z]+ "",""""))"),"Valuequest")</f>
        <v>Valuequest</v>
      </c>
      <c r="G2410" s="4" t="s">
        <v>18490</v>
      </c>
      <c r="H2410" s="4">
        <v>11</v>
      </c>
      <c r="I2410" s="4" t="s">
        <v>4067</v>
      </c>
      <c r="J2410" s="4" t="str">
        <f>IFERROR(__XLUDF.DUMMYFUNCTION("VLOOKUP(H126,IMPORTRANGE(""https://docs.google.com/spreadsheets/d/1opm6ZNvGZ7KditA9TuJwrZ25eFLfTNIkrNnY6mhV5Eg"",""list!A1:C115""),3,TRUE)"),"le secteur du conseil en management")</f>
        <v xml:space="preserve">le secteur du conseil en management</v>
      </c>
      <c r="K2410" s="5" t="s">
        <v>18491</v>
      </c>
      <c r="L2410" s="5" t="s">
        <v>18492</v>
      </c>
      <c r="M2410" s="4" t="s">
        <v>39</v>
      </c>
      <c r="N2410" s="4" t="s">
        <v>29</v>
      </c>
      <c r="O2410" s="4" t="s">
        <v>18493</v>
      </c>
      <c r="P2410" s="4" t="s">
        <v>29</v>
      </c>
      <c r="Q2410" s="4" t="s">
        <v>18494</v>
      </c>
      <c r="R2410" s="6"/>
      <c r="S2410" s="6"/>
      <c r="T2410" s="6"/>
      <c r="U2410" s="6"/>
      <c r="V2410" s="6"/>
      <c r="W2410" s="6"/>
      <c r="X2410" s="6"/>
      <c r="Y2410" s="6"/>
      <c r="Z2410" s="6"/>
      <c r="AA2410" s="6"/>
    </row>
    <row r="2411" ht="14.25">
      <c r="B2411" s="4" t="s">
        <v>450</v>
      </c>
      <c r="C2411" s="4" t="s">
        <v>18495</v>
      </c>
      <c r="D2411" s="4" t="s">
        <v>18496</v>
      </c>
      <c r="E2411" s="4" t="s">
        <v>18497</v>
      </c>
      <c r="F2411" s="4" t="str">
        <f>IFERROR(__XLUDF.DUMMYFUNCTION("PROPER(REGEXREPLACE(D127,""[^A-Za-z]+ "",""""))"),"Le Centre")</f>
        <v xml:space="preserve">Le Centre</v>
      </c>
      <c r="G2411" s="4" t="s">
        <v>18498</v>
      </c>
      <c r="H2411" s="6"/>
      <c r="I2411" s="6"/>
      <c r="J2411" s="6"/>
      <c r="K2411" s="5" t="s">
        <v>18499</v>
      </c>
      <c r="L2411" s="5" t="s">
        <v>18500</v>
      </c>
      <c r="M2411" s="4" t="s">
        <v>39</v>
      </c>
      <c r="N2411" s="4" t="s">
        <v>29</v>
      </c>
      <c r="O2411" s="6"/>
      <c r="P2411" s="6"/>
      <c r="Q2411" s="6"/>
      <c r="R2411" s="6"/>
      <c r="S2411" s="6"/>
      <c r="T2411" s="6"/>
      <c r="U2411" s="6"/>
      <c r="V2411" s="6"/>
      <c r="W2411" s="6"/>
      <c r="X2411" s="6"/>
      <c r="Y2411" s="6"/>
      <c r="Z2411" s="6"/>
      <c r="AA2411" s="6"/>
    </row>
    <row r="2412" ht="14.25">
      <c r="B2412" s="4" t="s">
        <v>808</v>
      </c>
      <c r="C2412" s="4" t="s">
        <v>18501</v>
      </c>
      <c r="D2412" s="4" t="s">
        <v>18502</v>
      </c>
      <c r="E2412" s="4" t="s">
        <v>18503</v>
      </c>
      <c r="F2412" s="4" t="str">
        <f>IFERROR(__XLUDF.DUMMYFUNCTION("PROPER(REGEXREPLACE(D128,""[^A-Za-z]+ "",""""))"),"Merciapp")</f>
        <v>Merciapp</v>
      </c>
      <c r="G2412" s="4" t="s">
        <v>18504</v>
      </c>
      <c r="H2412" s="4">
        <v>42</v>
      </c>
      <c r="I2412" s="4" t="s">
        <v>2602</v>
      </c>
      <c r="J2412" s="4" t="str">
        <f>IFERROR(__XLUDF.DUMMYFUNCTION("VLOOKUP(H128,IMPORTRANGE(""https://docs.google.com/spreadsheets/d/1opm6ZNvGZ7KditA9TuJwrZ25eFLfTNIkrNnY6mhV5Eg"",""list!A1:C115""),3,TRUE)"),"le secteur de la tech")</f>
        <v xml:space="preserve">le secteur de la tech</v>
      </c>
      <c r="K2412" s="5" t="s">
        <v>18505</v>
      </c>
      <c r="L2412" s="5" t="s">
        <v>18506</v>
      </c>
      <c r="M2412" s="4" t="s">
        <v>39</v>
      </c>
      <c r="N2412" s="4" t="s">
        <v>29</v>
      </c>
      <c r="O2412" s="4" t="s">
        <v>67</v>
      </c>
      <c r="P2412" s="4" t="s">
        <v>29</v>
      </c>
      <c r="Q2412" s="4" t="s">
        <v>18507</v>
      </c>
      <c r="R2412" s="6"/>
      <c r="S2412" s="6"/>
      <c r="T2412" s="6"/>
      <c r="U2412" s="6"/>
      <c r="V2412" s="6"/>
      <c r="W2412" s="6"/>
      <c r="X2412" s="6"/>
      <c r="Y2412" s="6"/>
      <c r="Z2412" s="6"/>
      <c r="AA2412" s="6"/>
    </row>
    <row r="2413" ht="14.25">
      <c r="B2413" s="4" t="s">
        <v>2119</v>
      </c>
      <c r="C2413" s="4" t="s">
        <v>18508</v>
      </c>
      <c r="D2413" s="4" t="s">
        <v>18509</v>
      </c>
      <c r="E2413" s="4" t="s">
        <v>11694</v>
      </c>
      <c r="F2413" s="4" t="str">
        <f>IFERROR(__XLUDF.DUMMYFUNCTION("PROPER(REGEXREPLACE(D129,""[^A-Za-z]+ "",""""))"),"Tab France")</f>
        <v xml:space="preserve">Tab France</v>
      </c>
      <c r="G2413" s="4" t="s">
        <v>18510</v>
      </c>
      <c r="H2413" s="4">
        <v>15</v>
      </c>
      <c r="I2413" s="4" t="s">
        <v>4067</v>
      </c>
      <c r="J2413" s="4"/>
      <c r="K2413" s="5" t="s">
        <v>18511</v>
      </c>
      <c r="L2413" s="5" t="s">
        <v>18512</v>
      </c>
      <c r="M2413" s="4" t="s">
        <v>39</v>
      </c>
      <c r="N2413" s="4" t="s">
        <v>29</v>
      </c>
      <c r="O2413" s="4" t="s">
        <v>18513</v>
      </c>
      <c r="P2413" s="4" t="s">
        <v>29</v>
      </c>
      <c r="Q2413" s="4" t="s">
        <v>18514</v>
      </c>
      <c r="R2413" s="6"/>
      <c r="S2413" s="6"/>
      <c r="T2413" s="6"/>
      <c r="U2413" s="6"/>
      <c r="V2413" s="6"/>
      <c r="W2413" s="6"/>
      <c r="X2413" s="6"/>
      <c r="Y2413" s="6"/>
      <c r="Z2413" s="6"/>
      <c r="AA2413" s="6"/>
    </row>
    <row r="2414" ht="14.25">
      <c r="B2414" s="4" t="s">
        <v>4341</v>
      </c>
      <c r="C2414" s="4" t="s">
        <v>18515</v>
      </c>
      <c r="D2414" s="4" t="s">
        <v>17869</v>
      </c>
      <c r="E2414" s="4" t="s">
        <v>18516</v>
      </c>
      <c r="F2414" s="4" t="str">
        <f>IFERROR(__XLUDF.DUMMYFUNCTION("PROPER(REGEXREPLACE(D130,""[^A-Za-z]+ "",""""))"),"Redstone Solution")</f>
        <v xml:space="preserve">Redstone Solution</v>
      </c>
      <c r="G2414" s="4" t="s">
        <v>18517</v>
      </c>
      <c r="H2414" s="4">
        <v>15</v>
      </c>
      <c r="I2414" s="4" t="s">
        <v>2602</v>
      </c>
      <c r="J2414" s="4" t="str">
        <f>IFERROR(__XLUDF.DUMMYFUNCTION("VLOOKUP(H130,IMPORTRANGE(""https://docs.google.com/spreadsheets/d/1opm6ZNvGZ7KditA9TuJwrZ25eFLfTNIkrNnY6mhV5Eg"",""list!A1:C115""),3,TRUE)"),"le secteur de la tech")</f>
        <v xml:space="preserve">le secteur de la tech</v>
      </c>
      <c r="K2414" s="5" t="s">
        <v>18518</v>
      </c>
      <c r="L2414" s="5" t="s">
        <v>18519</v>
      </c>
      <c r="M2414" s="6"/>
      <c r="N2414" s="4" t="s">
        <v>29</v>
      </c>
      <c r="O2414" s="4" t="s">
        <v>29</v>
      </c>
      <c r="P2414" s="4" t="s">
        <v>29</v>
      </c>
      <c r="Q2414" s="4" t="s">
        <v>18520</v>
      </c>
      <c r="R2414" s="6"/>
      <c r="S2414" s="6"/>
      <c r="T2414" s="6"/>
      <c r="U2414" s="6"/>
      <c r="V2414" s="6"/>
      <c r="W2414" s="6"/>
      <c r="X2414" s="6"/>
      <c r="Y2414" s="6"/>
      <c r="Z2414" s="6"/>
      <c r="AA2414" s="6"/>
    </row>
    <row r="2415" ht="14.25">
      <c r="B2415" s="4" t="s">
        <v>525</v>
      </c>
      <c r="C2415" s="4" t="s">
        <v>18521</v>
      </c>
      <c r="D2415" s="4" t="s">
        <v>4442</v>
      </c>
      <c r="E2415" s="4" t="s">
        <v>18522</v>
      </c>
      <c r="F2415" s="4" t="str">
        <f>IFERROR(__XLUDF.DUMMYFUNCTION("PROPER(REGEXREPLACE(D131,""[^A-Za-z]+ "",""""))"),"Cyber Test")</f>
        <v xml:space="preserve">Cyber Test</v>
      </c>
      <c r="G2415" s="4" t="s">
        <v>18523</v>
      </c>
      <c r="H2415" s="4">
        <v>25</v>
      </c>
      <c r="I2415" s="4" t="s">
        <v>9264</v>
      </c>
      <c r="J2415" s="4" t="str">
        <f>IFERROR(__XLUDF.DUMMYFUNCTION("VLOOKUP(H131,IMPORTRANGE(""https://docs.google.com/spreadsheets/d/1opm6ZNvGZ7KditA9TuJwrZ25eFLfTNIkrNnY6mhV5Eg"",""list!A1:C115""),3,TRUE)"),"le secteur de la sécurité informatique")</f>
        <v xml:space="preserve">le secteur de la sécurité informatique</v>
      </c>
      <c r="K2415" s="5" t="s">
        <v>18524</v>
      </c>
      <c r="L2415" s="5" t="s">
        <v>18525</v>
      </c>
      <c r="M2415" s="6"/>
      <c r="N2415" s="4" t="s">
        <v>29</v>
      </c>
      <c r="O2415" s="4" t="s">
        <v>18526</v>
      </c>
      <c r="P2415" s="4" t="s">
        <v>29</v>
      </c>
      <c r="Q2415" s="6"/>
      <c r="R2415" s="6"/>
      <c r="S2415" s="6"/>
      <c r="T2415" s="6"/>
      <c r="U2415" s="6"/>
      <c r="V2415" s="6"/>
      <c r="W2415" s="6"/>
      <c r="X2415" s="6"/>
      <c r="Y2415" s="6"/>
      <c r="Z2415" s="6"/>
      <c r="AA2415" s="6"/>
    </row>
    <row r="2416" ht="14.25">
      <c r="B2416" s="4" t="s">
        <v>18527</v>
      </c>
      <c r="C2416" s="4" t="s">
        <v>18528</v>
      </c>
      <c r="D2416" s="4" t="s">
        <v>18529</v>
      </c>
      <c r="E2416" s="4" t="s">
        <v>18530</v>
      </c>
      <c r="F2416" s="4" t="str">
        <f>IFERROR(__XLUDF.DUMMYFUNCTION("PROPER(REGEXREPLACE(D132,""[^A-Za-z]+ "",""""))"),"Serieously")</f>
        <v>Serieously</v>
      </c>
      <c r="G2416" s="4" t="s">
        <v>18531</v>
      </c>
      <c r="H2416" s="4">
        <v>23</v>
      </c>
      <c r="I2416" s="4" t="s">
        <v>9184</v>
      </c>
      <c r="J2416" s="4" t="str">
        <f>IFERROR(__XLUDF.DUMMYFUNCTION("VLOOKUP(H132,IMPORTRANGE(""https://docs.google.com/spreadsheets/d/1opm6ZNvGZ7KditA9TuJwrZ25eFLfTNIkrNnY6mhV5Eg"",""list!A1:C115""),3,TRUE)"),"le secteur des télécommunications")</f>
        <v xml:space="preserve">le secteur des télécommunications</v>
      </c>
      <c r="K2416" s="5" t="s">
        <v>18532</v>
      </c>
      <c r="L2416" s="5" t="s">
        <v>18533</v>
      </c>
      <c r="M2416" s="4" t="s">
        <v>39</v>
      </c>
      <c r="N2416" s="4" t="s">
        <v>29</v>
      </c>
      <c r="O2416" s="4" t="s">
        <v>18534</v>
      </c>
      <c r="P2416" s="4" t="s">
        <v>29</v>
      </c>
      <c r="Q2416" s="4" t="s">
        <v>18535</v>
      </c>
      <c r="R2416" s="6"/>
      <c r="S2416" s="6"/>
      <c r="T2416" s="6"/>
      <c r="U2416" s="6"/>
      <c r="V2416" s="6"/>
      <c r="W2416" s="6"/>
      <c r="X2416" s="6"/>
      <c r="Y2416" s="6"/>
      <c r="Z2416" s="6"/>
      <c r="AA2416" s="6"/>
    </row>
    <row r="2417" ht="14.25">
      <c r="B2417" s="4" t="s">
        <v>752</v>
      </c>
      <c r="C2417" s="4" t="s">
        <v>18536</v>
      </c>
      <c r="D2417" s="4" t="s">
        <v>18537</v>
      </c>
      <c r="E2417" s="4" t="s">
        <v>18538</v>
      </c>
      <c r="F2417" s="4" t="str">
        <f>IFERROR(__XLUDF.DUMMYFUNCTION("PROPER(REGEXREPLACE(D133,""[^A-Za-z]+ "",""""))"),"Zbre")</f>
        <v>Zbre</v>
      </c>
      <c r="G2417" s="4" t="s">
        <v>18539</v>
      </c>
      <c r="H2417" s="4">
        <v>11</v>
      </c>
      <c r="I2417" s="4" t="s">
        <v>2602</v>
      </c>
      <c r="J2417" s="4" t="str">
        <f>IFERROR(__XLUDF.DUMMYFUNCTION("VLOOKUP(H133,IMPORTRANGE(""https://docs.google.com/spreadsheets/d/1opm6ZNvGZ7KditA9TuJwrZ25eFLfTNIkrNnY6mhV5Eg"",""list!A1:C115""),3,TRUE)"),"le secteur de la tech")</f>
        <v xml:space="preserve">le secteur de la tech</v>
      </c>
      <c r="K2417" s="5" t="s">
        <v>18540</v>
      </c>
      <c r="L2417" s="5" t="s">
        <v>18541</v>
      </c>
      <c r="M2417" s="4" t="s">
        <v>39</v>
      </c>
      <c r="N2417" s="4" t="s">
        <v>29</v>
      </c>
      <c r="O2417" s="4" t="s">
        <v>18542</v>
      </c>
      <c r="P2417" s="4" t="s">
        <v>29</v>
      </c>
      <c r="Q2417" s="4" t="s">
        <v>18543</v>
      </c>
      <c r="R2417" s="6"/>
      <c r="S2417" s="6"/>
      <c r="T2417" s="6"/>
      <c r="U2417" s="6"/>
      <c r="V2417" s="6"/>
      <c r="W2417" s="6"/>
      <c r="X2417" s="6"/>
      <c r="Y2417" s="6"/>
      <c r="Z2417" s="6"/>
      <c r="AA2417" s="6"/>
    </row>
    <row r="2418" ht="14.25">
      <c r="B2418" s="4" t="s">
        <v>2299</v>
      </c>
      <c r="C2418" s="4" t="s">
        <v>18544</v>
      </c>
      <c r="D2418" s="4" t="s">
        <v>18545</v>
      </c>
      <c r="E2418" s="4" t="s">
        <v>18546</v>
      </c>
      <c r="F2418" s="4" t="str">
        <f>IFERROR(__XLUDF.DUMMYFUNCTION("PROPER(REGEXREPLACE(D134,""[^A-Za-z]+ "",""""))"),"Greencityzen")</f>
        <v>Greencityzen</v>
      </c>
      <c r="G2418" s="4" t="s">
        <v>18547</v>
      </c>
      <c r="H2418" s="4">
        <v>13</v>
      </c>
      <c r="I2418" s="4" t="s">
        <v>10215</v>
      </c>
      <c r="J2418" s="4"/>
      <c r="K2418" s="5" t="s">
        <v>18548</v>
      </c>
      <c r="L2418" s="5" t="s">
        <v>18549</v>
      </c>
      <c r="M2418" s="4" t="s">
        <v>295</v>
      </c>
      <c r="N2418" s="4" t="s">
        <v>29</v>
      </c>
      <c r="O2418" s="4" t="s">
        <v>18550</v>
      </c>
      <c r="P2418" s="4" t="s">
        <v>29</v>
      </c>
      <c r="Q2418" s="4" t="s">
        <v>18551</v>
      </c>
      <c r="R2418" s="6"/>
      <c r="S2418" s="6"/>
      <c r="T2418" s="6"/>
      <c r="U2418" s="6"/>
      <c r="V2418" s="6"/>
      <c r="W2418" s="6"/>
      <c r="X2418" s="6"/>
      <c r="Y2418" s="6"/>
      <c r="Z2418" s="6"/>
      <c r="AA2418" s="6"/>
    </row>
    <row r="2419" ht="14.25">
      <c r="B2419" s="4" t="s">
        <v>2398</v>
      </c>
      <c r="C2419" s="4" t="s">
        <v>18552</v>
      </c>
      <c r="D2419" s="4" t="s">
        <v>18553</v>
      </c>
      <c r="E2419" s="4" t="s">
        <v>18554</v>
      </c>
      <c r="F2419" s="4" t="str">
        <f>IFERROR(__XLUDF.DUMMYFUNCTION("PROPER(REGEXREPLACE(D135,""[^A-Za-z]+ "",""""))"),"Sealk")</f>
        <v>Sealk</v>
      </c>
      <c r="G2419" s="4" t="s">
        <v>18555</v>
      </c>
      <c r="H2419" s="4">
        <v>13</v>
      </c>
      <c r="I2419" s="4" t="s">
        <v>9461</v>
      </c>
      <c r="J2419" s="4" t="str">
        <f>IFERROR(__XLUDF.DUMMYFUNCTION("VLOOKUP(H135,IMPORTRANGE(""https://docs.google.com/spreadsheets/d/1opm6ZNvGZ7KditA9TuJwrZ25eFLfTNIkrNnY6mhV5Eg"",""list!A1:C115""),3,TRUE)"),"le secteur des services d'information")</f>
        <v xml:space="preserve">le secteur des services d'information</v>
      </c>
      <c r="K2419" s="5" t="s">
        <v>18556</v>
      </c>
      <c r="L2419" s="5" t="s">
        <v>18557</v>
      </c>
      <c r="M2419" s="6"/>
      <c r="N2419" s="4" t="s">
        <v>29</v>
      </c>
      <c r="O2419" s="4" t="s">
        <v>4649</v>
      </c>
      <c r="P2419" s="4" t="s">
        <v>29</v>
      </c>
      <c r="Q2419" s="4" t="s">
        <v>18558</v>
      </c>
      <c r="R2419" s="6"/>
      <c r="S2419" s="6"/>
      <c r="T2419" s="6"/>
      <c r="U2419" s="6"/>
      <c r="V2419" s="6"/>
      <c r="W2419" s="6"/>
      <c r="X2419" s="6"/>
      <c r="Y2419" s="6"/>
      <c r="Z2419" s="6"/>
      <c r="AA2419" s="6"/>
    </row>
    <row r="2420" ht="14.25">
      <c r="B2420" s="4" t="s">
        <v>18559</v>
      </c>
      <c r="C2420" s="4" t="s">
        <v>18560</v>
      </c>
      <c r="D2420" s="4" t="s">
        <v>18561</v>
      </c>
      <c r="E2420" s="4" t="s">
        <v>18562</v>
      </c>
      <c r="F2420" s="4" t="str">
        <f>IFERROR(__XLUDF.DUMMYFUNCTION("PROPER(REGEXREPLACE(D136,""[^A-Za-z]+ "",""""))"),"Verdikt")</f>
        <v>Verdikt</v>
      </c>
      <c r="G2420" s="4" t="s">
        <v>18563</v>
      </c>
      <c r="H2420" s="4">
        <v>16</v>
      </c>
      <c r="I2420" s="4" t="s">
        <v>2602</v>
      </c>
      <c r="J2420" s="4" t="str">
        <f>IFERROR(__XLUDF.DUMMYFUNCTION("VLOOKUP(H136,IMPORTRANGE(""https://docs.google.com/spreadsheets/d/1opm6ZNvGZ7KditA9TuJwrZ25eFLfTNIkrNnY6mhV5Eg"",""list!A1:C115""),3,TRUE)"),"le secteur de la tech")</f>
        <v xml:space="preserve">le secteur de la tech</v>
      </c>
      <c r="K2420" s="5" t="s">
        <v>18564</v>
      </c>
      <c r="L2420" s="5" t="s">
        <v>18565</v>
      </c>
      <c r="M2420" s="4" t="s">
        <v>39</v>
      </c>
      <c r="N2420" s="4" t="s">
        <v>29</v>
      </c>
      <c r="O2420" s="4" t="s">
        <v>18566</v>
      </c>
      <c r="P2420" s="4" t="s">
        <v>29</v>
      </c>
      <c r="Q2420" s="4" t="s">
        <v>18567</v>
      </c>
      <c r="R2420" s="6"/>
      <c r="S2420" s="6"/>
      <c r="T2420" s="6"/>
      <c r="U2420" s="6"/>
      <c r="V2420" s="6"/>
      <c r="W2420" s="6"/>
      <c r="X2420" s="6"/>
      <c r="Y2420" s="6"/>
      <c r="Z2420" s="6"/>
      <c r="AA2420" s="6"/>
    </row>
    <row r="2421" ht="14.25">
      <c r="B2421" s="4" t="s">
        <v>670</v>
      </c>
      <c r="C2421" s="4" t="s">
        <v>18568</v>
      </c>
      <c r="D2421" s="4" t="s">
        <v>18569</v>
      </c>
      <c r="E2421" s="4" t="s">
        <v>18570</v>
      </c>
      <c r="F2421" s="4" t="str">
        <f>IFERROR(__XLUDF.DUMMYFUNCTION("PROPER(REGEXREPLACE(D137,""[^A-Za-z]+ "",""""))"),"Witik")</f>
        <v>Witik</v>
      </c>
      <c r="G2421" s="4" t="s">
        <v>18571</v>
      </c>
      <c r="H2421" s="4">
        <v>27</v>
      </c>
      <c r="I2421" s="4" t="s">
        <v>2602</v>
      </c>
      <c r="J2421" s="4" t="str">
        <f>IFERROR(__XLUDF.DUMMYFUNCTION("VLOOKUP(H137,IMPORTRANGE(""https://docs.google.com/spreadsheets/d/1opm6ZNvGZ7KditA9TuJwrZ25eFLfTNIkrNnY6mhV5Eg"",""list!A1:C115""),3,TRUE)"),"le secteur de la tech")</f>
        <v xml:space="preserve">le secteur de la tech</v>
      </c>
      <c r="K2421" s="5" t="s">
        <v>18572</v>
      </c>
      <c r="L2421" s="5" t="s">
        <v>18573</v>
      </c>
      <c r="M2421" s="4" t="s">
        <v>39</v>
      </c>
      <c r="N2421" s="4" t="s">
        <v>29</v>
      </c>
      <c r="O2421" s="4" t="s">
        <v>18574</v>
      </c>
      <c r="P2421" s="4" t="s">
        <v>29</v>
      </c>
      <c r="Q2421" s="4" t="s">
        <v>18575</v>
      </c>
      <c r="R2421" s="6"/>
      <c r="S2421" s="6"/>
      <c r="T2421" s="6"/>
      <c r="U2421" s="6"/>
      <c r="V2421" s="6"/>
      <c r="W2421" s="6"/>
      <c r="X2421" s="6"/>
      <c r="Y2421" s="6"/>
      <c r="Z2421" s="6"/>
      <c r="AA2421" s="6"/>
    </row>
    <row r="2422" ht="14.25">
      <c r="B2422" s="4" t="s">
        <v>2398</v>
      </c>
      <c r="C2422" s="4" t="s">
        <v>18576</v>
      </c>
      <c r="D2422" s="4" t="s">
        <v>18577</v>
      </c>
      <c r="E2422" s="4" t="s">
        <v>18578</v>
      </c>
      <c r="F2422" s="4" t="str">
        <f>IFERROR(__XLUDF.DUMMYFUNCTION("PROPER(REGEXREPLACE(D138,""[^A-Za-z]+ "",""""))"),"Cog'X")</f>
        <v>Cog'X</v>
      </c>
      <c r="G2422" s="4" t="s">
        <v>18579</v>
      </c>
      <c r="H2422" s="4">
        <v>12</v>
      </c>
      <c r="I2422" s="4" t="s">
        <v>4067</v>
      </c>
      <c r="J2422" s="4" t="str">
        <f>IFERROR(__XLUDF.DUMMYFUNCTION("VLOOKUP(H138,IMPORTRANGE(""https://docs.google.com/spreadsheets/d/1opm6ZNvGZ7KditA9TuJwrZ25eFLfTNIkrNnY6mhV5Eg"",""list!A1:C115""),3,TRUE)"),"le secteur du conseil en management")</f>
        <v xml:space="preserve">le secteur du conseil en management</v>
      </c>
      <c r="K2422" s="5" t="s">
        <v>18580</v>
      </c>
      <c r="L2422" s="5" t="s">
        <v>18581</v>
      </c>
      <c r="M2422" s="4" t="s">
        <v>243</v>
      </c>
      <c r="N2422" s="4" t="s">
        <v>29</v>
      </c>
      <c r="O2422" s="4" t="s">
        <v>18582</v>
      </c>
      <c r="P2422" s="4" t="s">
        <v>29</v>
      </c>
      <c r="Q2422" s="4" t="s">
        <v>18583</v>
      </c>
      <c r="R2422" s="6"/>
      <c r="S2422" s="6"/>
      <c r="T2422" s="6"/>
      <c r="U2422" s="6"/>
      <c r="V2422" s="6"/>
      <c r="W2422" s="6"/>
      <c r="X2422" s="6"/>
      <c r="Y2422" s="6"/>
      <c r="Z2422" s="6"/>
      <c r="AA2422" s="6"/>
    </row>
    <row r="2423" ht="14.25">
      <c r="B2423" s="4" t="s">
        <v>1387</v>
      </c>
      <c r="C2423" s="4" t="s">
        <v>18584</v>
      </c>
      <c r="D2423" s="4" t="s">
        <v>3216</v>
      </c>
      <c r="E2423" s="4" t="s">
        <v>18585</v>
      </c>
      <c r="F2423" s="4" t="str">
        <f>IFERROR(__XLUDF.DUMMYFUNCTION("PROPER(REGEXREPLACE(D139,""[^A-Za-z]+ "",""""))"),"Wemanity Maroc")</f>
        <v xml:space="preserve">Wemanity Maroc</v>
      </c>
      <c r="G2423" s="4" t="s">
        <v>18586</v>
      </c>
      <c r="H2423" s="4">
        <v>29</v>
      </c>
      <c r="I2423" s="4" t="s">
        <v>2602</v>
      </c>
      <c r="J2423" s="4" t="str">
        <f>IFERROR(__XLUDF.DUMMYFUNCTION("VLOOKUP(H139,IMPORTRANGE(""https://docs.google.com/spreadsheets/d/1opm6ZNvGZ7KditA9TuJwrZ25eFLfTNIkrNnY6mhV5Eg"",""list!A1:C115""),3,TRUE)"),"le secteur de la tech")</f>
        <v xml:space="preserve">le secteur de la tech</v>
      </c>
      <c r="K2423" s="5" t="s">
        <v>18587</v>
      </c>
      <c r="L2423" s="5" t="s">
        <v>18588</v>
      </c>
      <c r="M2423" s="4" t="s">
        <v>39</v>
      </c>
      <c r="N2423" s="4" t="s">
        <v>29</v>
      </c>
      <c r="O2423" s="4" t="s">
        <v>18589</v>
      </c>
      <c r="P2423" s="4" t="s">
        <v>848</v>
      </c>
      <c r="Q2423" s="6"/>
      <c r="R2423" s="6"/>
      <c r="S2423" s="6"/>
      <c r="T2423" s="6"/>
      <c r="U2423" s="6"/>
      <c r="V2423" s="6"/>
      <c r="W2423" s="6"/>
      <c r="X2423" s="6"/>
      <c r="Y2423" s="6"/>
      <c r="Z2423" s="6"/>
      <c r="AA2423" s="6"/>
    </row>
    <row r="2424" ht="14.25">
      <c r="B2424" s="4" t="s">
        <v>31</v>
      </c>
      <c r="C2424" s="4" t="s">
        <v>18590</v>
      </c>
      <c r="D2424" s="4" t="s">
        <v>87</v>
      </c>
      <c r="E2424" s="4" t="s">
        <v>18591</v>
      </c>
      <c r="F2424" s="4" t="str">
        <f>IFERROR(__XLUDF.DUMMYFUNCTION("PROPER(REGEXREPLACE(D140,""[^A-Za-z]+ "",""""))"),"Objetrama")</f>
        <v>Objetrama</v>
      </c>
      <c r="G2424" s="4" t="s">
        <v>18592</v>
      </c>
      <c r="H2424" s="4">
        <v>46</v>
      </c>
      <c r="I2424" s="4" t="s">
        <v>9161</v>
      </c>
      <c r="J2424" s="4"/>
      <c r="K2424" s="5" t="s">
        <v>18593</v>
      </c>
      <c r="L2424" s="5" t="s">
        <v>18594</v>
      </c>
      <c r="M2424" s="4" t="s">
        <v>651</v>
      </c>
      <c r="N2424" s="4" t="s">
        <v>29</v>
      </c>
      <c r="O2424" s="4" t="s">
        <v>18595</v>
      </c>
      <c r="P2424" s="4" t="s">
        <v>29</v>
      </c>
      <c r="Q2424" s="4" t="s">
        <v>18596</v>
      </c>
      <c r="R2424" s="6"/>
      <c r="S2424" s="6"/>
      <c r="T2424" s="6"/>
      <c r="U2424" s="6"/>
      <c r="V2424" s="6"/>
      <c r="W2424" s="6"/>
      <c r="X2424" s="6"/>
      <c r="Y2424" s="6"/>
      <c r="Z2424" s="6"/>
      <c r="AA2424" s="6"/>
    </row>
    <row r="2425" ht="14.25">
      <c r="B2425" s="4" t="s">
        <v>785</v>
      </c>
      <c r="C2425" s="4" t="s">
        <v>18597</v>
      </c>
      <c r="D2425" s="4" t="s">
        <v>62</v>
      </c>
      <c r="E2425" s="4" t="s">
        <v>18598</v>
      </c>
      <c r="F2425" s="4" t="str">
        <f>IFERROR(__XLUDF.DUMMYFUNCTION("PROPER(REGEXREPLACE(D141,""[^A-Za-z]+ "",""""))"),"Keymind")</f>
        <v>Keymind</v>
      </c>
      <c r="G2425" s="4" t="s">
        <v>18599</v>
      </c>
      <c r="H2425" s="4">
        <v>25</v>
      </c>
      <c r="I2425" s="4" t="s">
        <v>4067</v>
      </c>
      <c r="J2425" s="4" t="str">
        <f>IFERROR(__XLUDF.DUMMYFUNCTION("VLOOKUP(H141,IMPORTRANGE(""https://docs.google.com/spreadsheets/d/1opm6ZNvGZ7KditA9TuJwrZ25eFLfTNIkrNnY6mhV5Eg"",""list!A1:C115""),3,TRUE)"),"le secteur du conseil en management")</f>
        <v xml:space="preserve">le secteur du conseil en management</v>
      </c>
      <c r="K2425" s="5" t="s">
        <v>18600</v>
      </c>
      <c r="L2425" s="5" t="s">
        <v>18601</v>
      </c>
      <c r="M2425" s="4" t="s">
        <v>39</v>
      </c>
      <c r="N2425" s="4" t="s">
        <v>29</v>
      </c>
      <c r="O2425" s="4" t="s">
        <v>67</v>
      </c>
      <c r="P2425" s="4" t="s">
        <v>29</v>
      </c>
      <c r="Q2425" s="4" t="s">
        <v>18602</v>
      </c>
      <c r="R2425" s="6"/>
      <c r="S2425" s="6"/>
      <c r="T2425" s="6"/>
      <c r="U2425" s="6"/>
      <c r="V2425" s="6"/>
      <c r="W2425" s="6"/>
      <c r="X2425" s="6"/>
      <c r="Y2425" s="6"/>
      <c r="Z2425" s="6"/>
      <c r="AA2425" s="6"/>
    </row>
    <row r="2426" ht="14.25">
      <c r="B2426" s="4" t="s">
        <v>661</v>
      </c>
      <c r="C2426" s="4" t="s">
        <v>18603</v>
      </c>
      <c r="D2426" s="4" t="s">
        <v>487</v>
      </c>
      <c r="E2426" s="4" t="s">
        <v>18604</v>
      </c>
      <c r="F2426" s="4" t="str">
        <f>IFERROR(__XLUDF.DUMMYFUNCTION("PROPER(REGEXREPLACE(D142,""[^A-Za-z]+ "",""""))"),"Reor L'Atelier Des Transitions")</f>
        <v xml:space="preserve">Reor L'Atelier Des Transitions</v>
      </c>
      <c r="G2426" s="4" t="s">
        <v>18605</v>
      </c>
      <c r="H2426" s="4">
        <v>19</v>
      </c>
      <c r="I2426" s="4" t="s">
        <v>4067</v>
      </c>
      <c r="J2426" s="4"/>
      <c r="K2426" s="5" t="s">
        <v>18606</v>
      </c>
      <c r="L2426" s="5" t="s">
        <v>18607</v>
      </c>
      <c r="M2426" s="4" t="s">
        <v>39</v>
      </c>
      <c r="N2426" s="4" t="s">
        <v>29</v>
      </c>
      <c r="O2426" s="4" t="s">
        <v>18608</v>
      </c>
      <c r="P2426" s="4" t="s">
        <v>29</v>
      </c>
      <c r="Q2426" s="6"/>
      <c r="R2426" s="6"/>
      <c r="S2426" s="6"/>
      <c r="T2426" s="6"/>
      <c r="U2426" s="6"/>
      <c r="V2426" s="6"/>
      <c r="W2426" s="6"/>
      <c r="X2426" s="6"/>
      <c r="Y2426" s="6"/>
      <c r="Z2426" s="6"/>
      <c r="AA2426" s="6"/>
    </row>
    <row r="2427" ht="14.25">
      <c r="B2427" s="4" t="s">
        <v>1583</v>
      </c>
      <c r="C2427" s="4" t="s">
        <v>18609</v>
      </c>
      <c r="D2427" s="4" t="s">
        <v>18610</v>
      </c>
      <c r="E2427" s="4" t="s">
        <v>18611</v>
      </c>
      <c r="F2427" s="4" t="str">
        <f>IFERROR(__XLUDF.DUMMYFUNCTION("PROPER(REGEXREPLACE(D143,""[^A-Za-z]+ "",""""))"),"Ava")</f>
        <v>Ava</v>
      </c>
      <c r="G2427" s="4" t="s">
        <v>18612</v>
      </c>
      <c r="H2427" s="4">
        <v>11</v>
      </c>
      <c r="I2427" s="4" t="s">
        <v>2602</v>
      </c>
      <c r="J2427" s="4"/>
      <c r="K2427" s="5" t="s">
        <v>18613</v>
      </c>
      <c r="L2427" s="5" t="s">
        <v>18614</v>
      </c>
      <c r="M2427" s="4" t="s">
        <v>185</v>
      </c>
      <c r="N2427" s="4" t="s">
        <v>29</v>
      </c>
      <c r="O2427" s="4" t="s">
        <v>125</v>
      </c>
      <c r="P2427" s="4" t="s">
        <v>29</v>
      </c>
      <c r="Q2427" s="4" t="s">
        <v>18615</v>
      </c>
      <c r="R2427" s="6"/>
      <c r="S2427" s="6"/>
      <c r="T2427" s="6"/>
      <c r="U2427" s="6"/>
      <c r="V2427" s="6"/>
      <c r="W2427" s="6"/>
      <c r="X2427" s="6"/>
      <c r="Y2427" s="6"/>
      <c r="Z2427" s="6"/>
      <c r="AA2427" s="6"/>
    </row>
    <row r="2428" ht="14.25">
      <c r="B2428" s="4" t="s">
        <v>18616</v>
      </c>
      <c r="C2428" s="4" t="s">
        <v>1697</v>
      </c>
      <c r="D2428" s="4" t="s">
        <v>503</v>
      </c>
      <c r="E2428" s="4" t="s">
        <v>18617</v>
      </c>
      <c r="F2428" s="4" t="str">
        <f>IFERROR(__XLUDF.DUMMYFUNCTION("PROPER(REGEXREPLACE(D144,""[^A-Za-z]+ "",""""))"),"Rollee")</f>
        <v>Rollee</v>
      </c>
      <c r="G2428" s="4" t="s">
        <v>18618</v>
      </c>
      <c r="H2428" s="4">
        <v>26</v>
      </c>
      <c r="I2428" s="4" t="s">
        <v>2602</v>
      </c>
      <c r="J2428" s="4" t="str">
        <f>IFERROR(__XLUDF.DUMMYFUNCTION("VLOOKUP(H144,IMPORTRANGE(""https://docs.google.com/spreadsheets/d/1opm6ZNvGZ7KditA9TuJwrZ25eFLfTNIkrNnY6mhV5Eg"",""list!A1:C115""),3,TRUE)"),"le secteur de la tech")</f>
        <v xml:space="preserve">le secteur de la tech</v>
      </c>
      <c r="K2428" s="5" t="s">
        <v>18619</v>
      </c>
      <c r="L2428" s="5" t="s">
        <v>18620</v>
      </c>
      <c r="M2428" s="4" t="s">
        <v>12487</v>
      </c>
      <c r="N2428" s="4" t="s">
        <v>29</v>
      </c>
      <c r="O2428" s="4" t="s">
        <v>17982</v>
      </c>
      <c r="P2428" s="4" t="s">
        <v>29</v>
      </c>
      <c r="Q2428" s="4" t="s">
        <v>18621</v>
      </c>
      <c r="R2428" s="6"/>
      <c r="S2428" s="6"/>
      <c r="T2428" s="6"/>
      <c r="U2428" s="6"/>
      <c r="V2428" s="6"/>
      <c r="W2428" s="6"/>
      <c r="X2428" s="6"/>
      <c r="Y2428" s="6"/>
      <c r="Z2428" s="6"/>
      <c r="AA2428" s="6"/>
    </row>
    <row r="2429" ht="14.25">
      <c r="B2429" s="4" t="s">
        <v>18622</v>
      </c>
      <c r="C2429" s="4" t="s">
        <v>18623</v>
      </c>
      <c r="D2429" s="4" t="s">
        <v>172</v>
      </c>
      <c r="E2429" s="4" t="s">
        <v>18624</v>
      </c>
      <c r="F2429" s="4" t="str">
        <f>IFERROR(__XLUDF.DUMMYFUNCTION("PROPER(REGEXREPLACE(D145,""[^A-Za-z]+ "",""""))"),"Cafom")</f>
        <v>Cafom</v>
      </c>
      <c r="G2429" s="4" t="s">
        <v>18625</v>
      </c>
      <c r="H2429" s="4">
        <v>65</v>
      </c>
      <c r="I2429" s="4" t="s">
        <v>4525</v>
      </c>
      <c r="J2429" s="4"/>
      <c r="K2429" s="5" t="s">
        <v>18626</v>
      </c>
      <c r="L2429" s="5" t="s">
        <v>18627</v>
      </c>
      <c r="M2429" s="4" t="s">
        <v>39</v>
      </c>
      <c r="N2429" s="4" t="s">
        <v>29</v>
      </c>
      <c r="O2429" s="4" t="s">
        <v>18628</v>
      </c>
      <c r="P2429" s="4" t="s">
        <v>29</v>
      </c>
      <c r="Q2429" s="6"/>
      <c r="R2429" s="6"/>
      <c r="S2429" s="6"/>
      <c r="T2429" s="6"/>
      <c r="U2429" s="6"/>
      <c r="V2429" s="6"/>
      <c r="W2429" s="6"/>
      <c r="X2429" s="6"/>
      <c r="Y2429" s="6"/>
      <c r="Z2429" s="6"/>
      <c r="AA2429" s="6"/>
    </row>
    <row r="2430" ht="14.25">
      <c r="B2430" s="4" t="s">
        <v>1215</v>
      </c>
      <c r="C2430" s="4" t="s">
        <v>18629</v>
      </c>
      <c r="D2430" s="4" t="s">
        <v>18630</v>
      </c>
      <c r="E2430" s="4" t="s">
        <v>18631</v>
      </c>
      <c r="F2430" s="4" t="str">
        <f>IFERROR(__XLUDF.DUMMYFUNCTION("PROPER(REGEXREPLACE(D146,""[^A-Za-z]+ "",""""))"),"Louss")</f>
        <v>Louss</v>
      </c>
      <c r="G2430" s="4" t="s">
        <v>18632</v>
      </c>
      <c r="H2430" s="4">
        <v>11</v>
      </c>
      <c r="I2430" s="4" t="s">
        <v>10215</v>
      </c>
      <c r="J2430" s="4"/>
      <c r="K2430" s="5" t="s">
        <v>18633</v>
      </c>
      <c r="L2430" s="5" t="s">
        <v>18634</v>
      </c>
      <c r="M2430" s="4" t="s">
        <v>149</v>
      </c>
      <c r="N2430" s="4" t="s">
        <v>29</v>
      </c>
      <c r="O2430" s="4" t="s">
        <v>18635</v>
      </c>
      <c r="P2430" s="4" t="s">
        <v>29</v>
      </c>
      <c r="Q2430" s="4" t="s">
        <v>18636</v>
      </c>
      <c r="R2430" s="6"/>
      <c r="S2430" s="6"/>
      <c r="T2430" s="6"/>
      <c r="U2430" s="6"/>
      <c r="V2430" s="6"/>
      <c r="W2430" s="6"/>
      <c r="X2430" s="6"/>
      <c r="Y2430" s="6"/>
      <c r="Z2430" s="6"/>
      <c r="AA2430" s="6"/>
    </row>
    <row r="2431" ht="14.25">
      <c r="B2431" s="4" t="s">
        <v>6967</v>
      </c>
      <c r="C2431" s="4" t="s">
        <v>18637</v>
      </c>
      <c r="D2431" s="4" t="s">
        <v>18638</v>
      </c>
      <c r="E2431" s="4" t="s">
        <v>18639</v>
      </c>
      <c r="F2431" s="4" t="str">
        <f>IFERROR(__XLUDF.DUMMYFUNCTION("PROPER(REGEXREPLACE(D147,""[^A-Za-z]+ "",""""))"),"Klac")</f>
        <v>Klac</v>
      </c>
      <c r="G2431" s="4" t="s">
        <v>18640</v>
      </c>
      <c r="H2431" s="6"/>
      <c r="I2431" s="6"/>
      <c r="J2431" s="6"/>
      <c r="K2431" s="5" t="s">
        <v>18641</v>
      </c>
      <c r="L2431" s="5" t="s">
        <v>18642</v>
      </c>
      <c r="M2431" s="4" t="s">
        <v>39</v>
      </c>
      <c r="N2431" s="4" t="s">
        <v>29</v>
      </c>
      <c r="O2431" s="4" t="s">
        <v>546</v>
      </c>
      <c r="P2431" s="4" t="s">
        <v>29</v>
      </c>
      <c r="Q2431" s="6"/>
      <c r="R2431" s="6"/>
      <c r="S2431" s="6"/>
      <c r="T2431" s="6"/>
      <c r="U2431" s="6"/>
      <c r="V2431" s="6"/>
      <c r="W2431" s="6"/>
      <c r="X2431" s="6"/>
      <c r="Y2431" s="6"/>
      <c r="Z2431" s="6"/>
      <c r="AA2431" s="6"/>
    </row>
    <row r="2432" ht="14.25">
      <c r="B2432" s="4" t="s">
        <v>630</v>
      </c>
      <c r="C2432" s="4" t="s">
        <v>18643</v>
      </c>
      <c r="D2432" s="4" t="s">
        <v>487</v>
      </c>
      <c r="E2432" s="4" t="s">
        <v>18644</v>
      </c>
      <c r="F2432" s="4" t="str">
        <f>IFERROR(__XLUDF.DUMMYFUNCTION("PROPER(REGEXREPLACE(D148,""[^A-Za-z]+ "",""""))"),"Inforgestion")</f>
        <v>Inforgestion</v>
      </c>
      <c r="G2432" s="4" t="s">
        <v>18645</v>
      </c>
      <c r="H2432" s="4">
        <v>13</v>
      </c>
      <c r="I2432" s="4" t="s">
        <v>2602</v>
      </c>
      <c r="J2432" s="4" t="str">
        <f>IFERROR(__XLUDF.DUMMYFUNCTION("VLOOKUP(H148,IMPORTRANGE(""https://docs.google.com/spreadsheets/d/1opm6ZNvGZ7KditA9TuJwrZ25eFLfTNIkrNnY6mhV5Eg"",""list!A1:C115""),3,TRUE)"),"le secteur de la tech")</f>
        <v xml:space="preserve">le secteur de la tech</v>
      </c>
      <c r="K2432" s="5" t="s">
        <v>18646</v>
      </c>
      <c r="L2432" s="5" t="s">
        <v>18647</v>
      </c>
      <c r="M2432" s="4" t="s">
        <v>18648</v>
      </c>
      <c r="N2432" s="4" t="s">
        <v>29</v>
      </c>
      <c r="O2432" s="4" t="s">
        <v>18649</v>
      </c>
      <c r="P2432" s="4" t="s">
        <v>29</v>
      </c>
      <c r="Q2432" s="4" t="s">
        <v>18650</v>
      </c>
      <c r="R2432" s="6"/>
      <c r="S2432" s="6"/>
      <c r="T2432" s="6"/>
      <c r="U2432" s="6"/>
      <c r="V2432" s="6"/>
      <c r="W2432" s="6"/>
      <c r="X2432" s="6"/>
      <c r="Y2432" s="6"/>
      <c r="Z2432" s="6"/>
      <c r="AA2432" s="6"/>
    </row>
    <row r="2433" ht="14.25">
      <c r="B2433" s="4" t="s">
        <v>1667</v>
      </c>
      <c r="C2433" s="4" t="s">
        <v>18651</v>
      </c>
      <c r="D2433" s="4" t="s">
        <v>172</v>
      </c>
      <c r="E2433" s="4" t="s">
        <v>18652</v>
      </c>
      <c r="F2433" s="4" t="str">
        <f>IFERROR(__XLUDF.DUMMYFUNCTION("PROPER(REGEXREPLACE(D149,""[^A-Za-z]+ "",""""))"),"Korine Olivier")</f>
        <v xml:space="preserve">Korine Olivier</v>
      </c>
      <c r="G2433" s="4" t="s">
        <v>18653</v>
      </c>
      <c r="H2433" s="4">
        <v>34</v>
      </c>
      <c r="I2433" s="4" t="s">
        <v>4293</v>
      </c>
      <c r="J2433" s="4" t="str">
        <f>IFERROR(__XLUDF.DUMMYFUNCTION("VLOOKUP(H149,IMPORTRANGE(""https://docs.google.com/spreadsheets/d/1opm6ZNvGZ7KditA9TuJwrZ25eFLfTNIkrNnY6mhV5Eg"",""list!A1:C115""),3,TRUE)"),"le secteur de l'immobilier")</f>
        <v xml:space="preserve">le secteur de l'immobilier</v>
      </c>
      <c r="K2433" s="5" t="s">
        <v>18654</v>
      </c>
      <c r="L2433" s="5" t="s">
        <v>18655</v>
      </c>
      <c r="M2433" s="4" t="s">
        <v>1015</v>
      </c>
      <c r="N2433" s="4" t="s">
        <v>29</v>
      </c>
      <c r="O2433" s="4" t="s">
        <v>18656</v>
      </c>
      <c r="P2433" s="4" t="s">
        <v>29</v>
      </c>
      <c r="Q2433" s="4" t="s">
        <v>18657</v>
      </c>
      <c r="R2433" s="6"/>
      <c r="S2433" s="6"/>
      <c r="T2433" s="6"/>
      <c r="U2433" s="6"/>
      <c r="V2433" s="6"/>
      <c r="W2433" s="6"/>
      <c r="X2433" s="6"/>
      <c r="Y2433" s="6"/>
      <c r="Z2433" s="6"/>
      <c r="AA2433" s="6"/>
    </row>
    <row r="2434" ht="14.25">
      <c r="B2434" s="4" t="s">
        <v>1861</v>
      </c>
      <c r="C2434" s="4" t="s">
        <v>18658</v>
      </c>
      <c r="D2434" s="4" t="s">
        <v>172</v>
      </c>
      <c r="E2434" s="4" t="s">
        <v>18659</v>
      </c>
      <c r="F2434" s="4" t="str">
        <f>IFERROR(__XLUDF.DUMMYFUNCTION("PROPER(REGEXREPLACE(D150,""[^A-Za-z]+ "",""""))"),"Sas Mainini")</f>
        <v xml:space="preserve">Sas Mainini</v>
      </c>
      <c r="G2434" s="4" t="s">
        <v>18660</v>
      </c>
      <c r="H2434" s="4">
        <v>10</v>
      </c>
      <c r="I2434" s="4" t="s">
        <v>4525</v>
      </c>
      <c r="J2434" s="4" t="str">
        <f>IFERROR(__XLUDF.DUMMYFUNCTION("VLOOKUP(H150,IMPORTRANGE(""https://docs.google.com/spreadsheets/d/1opm6ZNvGZ7KditA9TuJwrZ25eFLfTNIkrNnY6mhV5Eg"",""list!A1:C115""),3,TRUE)"),"le secteur du retail")</f>
        <v xml:space="preserve">le secteur du retail</v>
      </c>
      <c r="K2434" s="5" t="s">
        <v>18661</v>
      </c>
      <c r="L2434" s="5" t="s">
        <v>18662</v>
      </c>
      <c r="M2434" s="6"/>
      <c r="N2434" s="4" t="s">
        <v>29</v>
      </c>
      <c r="O2434" s="4" t="s">
        <v>18663</v>
      </c>
      <c r="P2434" s="4" t="s">
        <v>29</v>
      </c>
      <c r="Q2434" s="4" t="s">
        <v>18664</v>
      </c>
      <c r="R2434" s="6"/>
      <c r="S2434" s="6"/>
      <c r="T2434" s="6"/>
      <c r="U2434" s="6"/>
      <c r="V2434" s="6"/>
      <c r="W2434" s="6"/>
      <c r="X2434" s="6"/>
      <c r="Y2434" s="6"/>
      <c r="Z2434" s="6"/>
      <c r="AA2434" s="6"/>
    </row>
    <row r="2435" ht="14.25">
      <c r="B2435" s="4" t="s">
        <v>840</v>
      </c>
      <c r="C2435" s="4" t="s">
        <v>18665</v>
      </c>
      <c r="D2435" s="4" t="s">
        <v>18666</v>
      </c>
      <c r="E2435" s="4" t="s">
        <v>18667</v>
      </c>
      <c r="F2435" s="4" t="str">
        <f>IFERROR(__XLUDF.DUMMYFUNCTION("PROPER(REGEXREPLACE(D151,""[^A-Za-z]+ "",""""))"),"Cantoriel")</f>
        <v>Cantoriel</v>
      </c>
      <c r="G2435" s="4" t="s">
        <v>18668</v>
      </c>
      <c r="H2435" s="4">
        <v>30</v>
      </c>
      <c r="I2435" s="4" t="s">
        <v>2602</v>
      </c>
      <c r="J2435" s="4" t="str">
        <f>IFERROR(__XLUDF.DUMMYFUNCTION("VLOOKUP(H151,IMPORTRANGE(""https://docs.google.com/spreadsheets/d/1opm6ZNvGZ7KditA9TuJwrZ25eFLfTNIkrNnY6mhV5Eg"",""list!A1:C115""),3,TRUE)"),"le secteur de la tech")</f>
        <v xml:space="preserve">le secteur de la tech</v>
      </c>
      <c r="K2435" s="5" t="s">
        <v>18669</v>
      </c>
      <c r="L2435" s="5" t="s">
        <v>18670</v>
      </c>
      <c r="M2435" s="4" t="s">
        <v>1711</v>
      </c>
      <c r="N2435" s="4" t="s">
        <v>29</v>
      </c>
      <c r="O2435" s="4" t="s">
        <v>18671</v>
      </c>
      <c r="P2435" s="4" t="s">
        <v>29</v>
      </c>
      <c r="Q2435" s="6"/>
      <c r="R2435" s="6"/>
      <c r="S2435" s="6"/>
      <c r="T2435" s="6"/>
      <c r="U2435" s="6"/>
      <c r="V2435" s="6"/>
      <c r="W2435" s="6"/>
      <c r="X2435" s="6"/>
      <c r="Y2435" s="6"/>
      <c r="Z2435" s="6"/>
      <c r="AA2435" s="6"/>
    </row>
    <row r="2436" ht="14.25">
      <c r="B2436" s="4" t="s">
        <v>17841</v>
      </c>
      <c r="C2436" s="4" t="s">
        <v>18672</v>
      </c>
      <c r="D2436" s="4" t="s">
        <v>18673</v>
      </c>
      <c r="E2436" s="4" t="s">
        <v>18674</v>
      </c>
      <c r="F2436" s="4" t="str">
        <f>IFERROR(__XLUDF.DUMMYFUNCTION("PROPER(REGEXREPLACE(D152,""[^A-Za-z]+ "",""""))"),"Agaphone")</f>
        <v>Agaphone</v>
      </c>
      <c r="G2436" s="4" t="s">
        <v>18675</v>
      </c>
      <c r="H2436" s="4">
        <v>35</v>
      </c>
      <c r="I2436" s="4" t="s">
        <v>9184</v>
      </c>
      <c r="J2436" s="4" t="str">
        <f>IFERROR(__XLUDF.DUMMYFUNCTION("VLOOKUP(H152,IMPORTRANGE(""https://docs.google.com/spreadsheets/d/1opm6ZNvGZ7KditA9TuJwrZ25eFLfTNIkrNnY6mhV5Eg"",""list!A1:C115""),3,TRUE)"),"le secteur des télécommunications")</f>
        <v xml:space="preserve">le secteur des télécommunications</v>
      </c>
      <c r="K2436" s="5" t="s">
        <v>18676</v>
      </c>
      <c r="L2436" s="5" t="s">
        <v>18677</v>
      </c>
      <c r="M2436" s="4" t="s">
        <v>39</v>
      </c>
      <c r="N2436" s="4" t="s">
        <v>29</v>
      </c>
      <c r="O2436" s="4" t="s">
        <v>18678</v>
      </c>
      <c r="P2436" s="4" t="s">
        <v>29</v>
      </c>
      <c r="Q2436" s="4" t="s">
        <v>18679</v>
      </c>
      <c r="R2436" s="6"/>
      <c r="S2436" s="6"/>
      <c r="T2436" s="6"/>
      <c r="U2436" s="6"/>
      <c r="V2436" s="6"/>
      <c r="W2436" s="6"/>
      <c r="X2436" s="6"/>
      <c r="Y2436" s="6"/>
      <c r="Z2436" s="6"/>
      <c r="AA2436" s="6"/>
    </row>
    <row r="2437" ht="14.25">
      <c r="B2437" s="4" t="s">
        <v>670</v>
      </c>
      <c r="C2437" s="4" t="s">
        <v>18680</v>
      </c>
      <c r="D2437" s="4" t="s">
        <v>172</v>
      </c>
      <c r="E2437" s="4" t="s">
        <v>18681</v>
      </c>
      <c r="F2437" s="4" t="str">
        <f>IFERROR(__XLUDF.DUMMYFUNCTION("PROPER(REGEXREPLACE(D153,""[^A-Za-z]+ "",""""))"),"Multicam")</f>
        <v>Multicam</v>
      </c>
      <c r="G2437" s="4" t="s">
        <v>18682</v>
      </c>
      <c r="H2437" s="4">
        <v>30</v>
      </c>
      <c r="I2437" s="4" t="s">
        <v>2602</v>
      </c>
      <c r="J2437" s="4"/>
      <c r="K2437" s="5" t="s">
        <v>18683</v>
      </c>
      <c r="L2437" s="5" t="s">
        <v>18684</v>
      </c>
      <c r="M2437" s="4" t="s">
        <v>39</v>
      </c>
      <c r="N2437" s="4" t="s">
        <v>29</v>
      </c>
      <c r="O2437" s="4" t="s">
        <v>18685</v>
      </c>
      <c r="P2437" s="4" t="s">
        <v>29</v>
      </c>
      <c r="Q2437" s="4" t="s">
        <v>18686</v>
      </c>
      <c r="R2437" s="6"/>
      <c r="S2437" s="6"/>
      <c r="T2437" s="6"/>
      <c r="U2437" s="6"/>
      <c r="V2437" s="6"/>
      <c r="W2437" s="6"/>
      <c r="X2437" s="6"/>
      <c r="Y2437" s="6"/>
      <c r="Z2437" s="6"/>
      <c r="AA2437" s="6"/>
    </row>
    <row r="2438" ht="14.25">
      <c r="B2438" s="4" t="s">
        <v>7714</v>
      </c>
      <c r="C2438" s="4" t="s">
        <v>18687</v>
      </c>
      <c r="D2438" s="4" t="s">
        <v>44</v>
      </c>
      <c r="E2438" s="4" t="s">
        <v>18688</v>
      </c>
      <c r="F2438" s="4" t="str">
        <f>IFERROR(__XLUDF.DUMMYFUNCTION("PROPER(REGEXREPLACE(D154,""[^A-Za-z]+ "",""""))"),"Piter Solution Vms")</f>
        <v xml:space="preserve">Piter Solution Vms</v>
      </c>
      <c r="G2438" s="4" t="s">
        <v>18689</v>
      </c>
      <c r="H2438" s="4">
        <v>17</v>
      </c>
      <c r="I2438" s="4" t="s">
        <v>2602</v>
      </c>
      <c r="J2438" s="4"/>
      <c r="K2438" s="5" t="s">
        <v>18690</v>
      </c>
      <c r="L2438" s="5" t="s">
        <v>18691</v>
      </c>
      <c r="M2438" s="4" t="s">
        <v>18692</v>
      </c>
      <c r="N2438" s="4" t="s">
        <v>29</v>
      </c>
      <c r="O2438" s="4" t="s">
        <v>1712</v>
      </c>
      <c r="P2438" s="4" t="s">
        <v>29</v>
      </c>
      <c r="Q2438" s="4" t="s">
        <v>18693</v>
      </c>
      <c r="R2438" s="6"/>
      <c r="S2438" s="6"/>
      <c r="T2438" s="6"/>
      <c r="U2438" s="6"/>
      <c r="V2438" s="6"/>
      <c r="W2438" s="6"/>
      <c r="X2438" s="6"/>
      <c r="Y2438" s="6"/>
      <c r="Z2438" s="6"/>
      <c r="AA2438" s="6"/>
    </row>
    <row r="2439" ht="14.25">
      <c r="B2439" s="4" t="s">
        <v>630</v>
      </c>
      <c r="C2439" s="4" t="s">
        <v>18694</v>
      </c>
      <c r="D2439" s="4" t="s">
        <v>18695</v>
      </c>
      <c r="E2439" s="4" t="s">
        <v>18696</v>
      </c>
      <c r="F2439" s="4" t="str">
        <f>IFERROR(__XLUDF.DUMMYFUNCTION("PROPER(REGEXREPLACE(D155,""[^A-Za-z]+ "",""""))"),"Dojo")</f>
        <v>Dojo</v>
      </c>
      <c r="G2439" s="4" t="s">
        <v>18697</v>
      </c>
      <c r="H2439" s="4">
        <v>12</v>
      </c>
      <c r="I2439" s="4" t="s">
        <v>18698</v>
      </c>
      <c r="J2439" s="4"/>
      <c r="K2439" s="5" t="s">
        <v>18699</v>
      </c>
      <c r="L2439" s="5" t="s">
        <v>18700</v>
      </c>
      <c r="M2439" s="4" t="s">
        <v>185</v>
      </c>
      <c r="N2439" s="4" t="s">
        <v>29</v>
      </c>
      <c r="O2439" s="4" t="s">
        <v>18701</v>
      </c>
      <c r="P2439" s="4" t="s">
        <v>29</v>
      </c>
      <c r="Q2439" s="6"/>
      <c r="R2439" s="6"/>
      <c r="S2439" s="6"/>
      <c r="T2439" s="6"/>
      <c r="U2439" s="6"/>
      <c r="V2439" s="6"/>
      <c r="W2439" s="6"/>
      <c r="X2439" s="6"/>
      <c r="Y2439" s="6"/>
      <c r="Z2439" s="6"/>
      <c r="AA2439" s="6"/>
    </row>
    <row r="2440" ht="14.25">
      <c r="B2440" s="4" t="s">
        <v>18702</v>
      </c>
      <c r="C2440" s="4" t="s">
        <v>1948</v>
      </c>
      <c r="D2440" s="4" t="s">
        <v>172</v>
      </c>
      <c r="E2440" s="4" t="s">
        <v>18703</v>
      </c>
      <c r="F2440" s="4" t="str">
        <f>IFERROR(__XLUDF.DUMMYFUNCTION("PROPER(REGEXREPLACE(D156,""[^A-Za-z]+ "",""""))"),"Click2Buy")</f>
        <v>Click2Buy</v>
      </c>
      <c r="G2440" s="4" t="s">
        <v>18704</v>
      </c>
      <c r="H2440" s="4">
        <v>45</v>
      </c>
      <c r="I2440" s="4" t="s">
        <v>2602</v>
      </c>
      <c r="J2440" s="4"/>
      <c r="K2440" s="5" t="s">
        <v>18705</v>
      </c>
      <c r="L2440" s="5" t="s">
        <v>18706</v>
      </c>
      <c r="M2440" s="4" t="s">
        <v>846</v>
      </c>
      <c r="N2440" s="4" t="s">
        <v>29</v>
      </c>
      <c r="O2440" s="4" t="s">
        <v>18707</v>
      </c>
      <c r="P2440" s="4" t="s">
        <v>29</v>
      </c>
      <c r="Q2440" s="4" t="s">
        <v>18708</v>
      </c>
      <c r="R2440" s="6"/>
      <c r="S2440" s="6"/>
      <c r="T2440" s="6"/>
      <c r="U2440" s="6"/>
      <c r="V2440" s="6"/>
      <c r="W2440" s="6"/>
      <c r="X2440" s="6"/>
      <c r="Y2440" s="6"/>
      <c r="Z2440" s="6"/>
      <c r="AA2440" s="6"/>
    </row>
    <row r="2441" ht="14.25">
      <c r="B2441" s="4" t="s">
        <v>170</v>
      </c>
      <c r="C2441" s="4" t="s">
        <v>18709</v>
      </c>
      <c r="D2441" s="4" t="s">
        <v>18710</v>
      </c>
      <c r="E2441" s="4" t="s">
        <v>18711</v>
      </c>
      <c r="F2441" s="4" t="str">
        <f>IFERROR(__XLUDF.DUMMYFUNCTION("PROPER(REGEXREPLACE(D157,""[^A-Za-z]+ "",""""))"),"Tshoko")</f>
        <v>Tshoko</v>
      </c>
      <c r="G2441" s="4" t="s">
        <v>18712</v>
      </c>
      <c r="H2441" s="4">
        <v>13</v>
      </c>
      <c r="I2441" s="4" t="s">
        <v>9161</v>
      </c>
      <c r="J2441" s="4" t="str">
        <f>IFERROR(__XLUDF.DUMMYFUNCTION("VLOOKUP(H157,IMPORTRANGE(""https://docs.google.com/spreadsheets/d/1opm6ZNvGZ7KditA9TuJwrZ25eFLfTNIkrNnY6mhV5Eg"",""list!A1:C115""),3,TRUE)"),"le secteur du marketing")</f>
        <v xml:space="preserve">le secteur du marketing</v>
      </c>
      <c r="K2441" s="5" t="s">
        <v>18713</v>
      </c>
      <c r="L2441" s="5" t="s">
        <v>18714</v>
      </c>
      <c r="M2441" s="4" t="s">
        <v>185</v>
      </c>
      <c r="N2441" s="4" t="s">
        <v>29</v>
      </c>
      <c r="O2441" s="4" t="s">
        <v>18715</v>
      </c>
      <c r="P2441" s="4" t="s">
        <v>29</v>
      </c>
      <c r="Q2441" s="4" t="s">
        <v>18716</v>
      </c>
      <c r="R2441" s="6"/>
      <c r="S2441" s="6"/>
      <c r="T2441" s="6"/>
      <c r="U2441" s="6"/>
      <c r="V2441" s="6"/>
      <c r="W2441" s="6"/>
      <c r="X2441" s="6"/>
      <c r="Y2441" s="6"/>
      <c r="Z2441" s="6"/>
      <c r="AA2441" s="6"/>
    </row>
    <row r="2442" ht="14.25">
      <c r="B2442" s="4" t="s">
        <v>4245</v>
      </c>
      <c r="C2442" s="4" t="s">
        <v>18717</v>
      </c>
      <c r="D2442" s="4" t="s">
        <v>18718</v>
      </c>
      <c r="E2442" s="4" t="s">
        <v>18719</v>
      </c>
      <c r="F2442" s="4" t="str">
        <f>IFERROR(__XLUDF.DUMMYFUNCTION("PROPER(REGEXREPLACE(D158,""[^A-Za-z]+ "",""""))"),"Sphere Energy")</f>
        <v xml:space="preserve">Sphere Energy</v>
      </c>
      <c r="G2442" s="4" t="s">
        <v>18720</v>
      </c>
      <c r="H2442" s="4">
        <v>19</v>
      </c>
      <c r="I2442" s="4" t="s">
        <v>18721</v>
      </c>
      <c r="J2442" s="4"/>
      <c r="K2442" s="5" t="s">
        <v>18722</v>
      </c>
      <c r="L2442" s="5" t="s">
        <v>18723</v>
      </c>
      <c r="M2442" s="4" t="s">
        <v>39</v>
      </c>
      <c r="N2442" s="4" t="s">
        <v>29</v>
      </c>
      <c r="O2442" s="4" t="s">
        <v>18724</v>
      </c>
      <c r="P2442" s="4" t="s">
        <v>595</v>
      </c>
      <c r="Q2442" s="4" t="s">
        <v>18725</v>
      </c>
      <c r="R2442" s="6"/>
      <c r="S2442" s="6"/>
      <c r="T2442" s="6"/>
      <c r="U2442" s="6"/>
      <c r="V2442" s="6"/>
      <c r="W2442" s="6"/>
      <c r="X2442" s="6"/>
      <c r="Y2442" s="6"/>
      <c r="Z2442" s="6"/>
      <c r="AA2442" s="6"/>
    </row>
    <row r="2443" ht="14.25">
      <c r="B2443" s="4" t="s">
        <v>2508</v>
      </c>
      <c r="C2443" s="4" t="s">
        <v>9500</v>
      </c>
      <c r="D2443" s="4" t="s">
        <v>9532</v>
      </c>
      <c r="E2443" s="4" t="s">
        <v>18726</v>
      </c>
      <c r="F2443" s="4" t="str">
        <f>IFERROR(__XLUDF.DUMMYFUNCTION("PROPER(REGEXREPLACE(D159,""[^A-Za-z]+ "",""""))"),"Gcom")</f>
        <v>Gcom</v>
      </c>
      <c r="G2443" s="4" t="s">
        <v>18727</v>
      </c>
      <c r="H2443" s="4">
        <v>10</v>
      </c>
      <c r="I2443" s="4" t="s">
        <v>10639</v>
      </c>
      <c r="J2443" s="4" t="str">
        <f>IFERROR(__XLUDF.DUMMYFUNCTION("VLOOKUP(H159,IMPORTRANGE(""https://docs.google.com/spreadsheets/d/1opm6ZNvGZ7KditA9TuJwrZ25eFLfTNIkrNnY6mhV5Eg"",""list!A1:C115""),3,TRUE)"),"le secteur de la communication")</f>
        <v xml:space="preserve">le secteur de la communication</v>
      </c>
      <c r="K2443" s="5" t="s">
        <v>18728</v>
      </c>
      <c r="L2443" s="5" t="s">
        <v>18729</v>
      </c>
      <c r="M2443" s="4" t="s">
        <v>243</v>
      </c>
      <c r="N2443" s="4" t="s">
        <v>29</v>
      </c>
      <c r="O2443" s="4" t="s">
        <v>4385</v>
      </c>
      <c r="P2443" s="4" t="s">
        <v>29</v>
      </c>
      <c r="Q2443" s="4" t="s">
        <v>18730</v>
      </c>
      <c r="R2443" s="6"/>
      <c r="S2443" s="6"/>
      <c r="T2443" s="6"/>
      <c r="U2443" s="6"/>
      <c r="V2443" s="6"/>
      <c r="W2443" s="6"/>
      <c r="X2443" s="6"/>
      <c r="Y2443" s="6"/>
      <c r="Z2443" s="6"/>
      <c r="AA2443" s="6"/>
    </row>
    <row r="2444" ht="14.25">
      <c r="B2444" s="4" t="s">
        <v>18731</v>
      </c>
      <c r="C2444" s="4" t="s">
        <v>18732</v>
      </c>
      <c r="D2444" s="4" t="s">
        <v>426</v>
      </c>
      <c r="E2444" s="4" t="s">
        <v>18733</v>
      </c>
      <c r="F2444" s="4" t="str">
        <f>IFERROR(__XLUDF.DUMMYFUNCTION("PROPER(REGEXREPLACE(D160,""[^A-Za-z]+ "",""""))"),"Arobas")</f>
        <v>Arobas</v>
      </c>
      <c r="G2444" s="4" t="s">
        <v>18734</v>
      </c>
      <c r="H2444" s="4">
        <v>16</v>
      </c>
      <c r="I2444" s="4" t="s">
        <v>4067</v>
      </c>
      <c r="J2444" s="4"/>
      <c r="K2444" s="5" t="s">
        <v>18735</v>
      </c>
      <c r="L2444" s="5" t="s">
        <v>18736</v>
      </c>
      <c r="M2444" s="4" t="s">
        <v>185</v>
      </c>
      <c r="N2444" s="4" t="s">
        <v>29</v>
      </c>
      <c r="O2444" s="4" t="s">
        <v>18737</v>
      </c>
      <c r="P2444" s="4" t="s">
        <v>29</v>
      </c>
      <c r="Q2444" s="6"/>
      <c r="R2444" s="6"/>
      <c r="S2444" s="6"/>
      <c r="T2444" s="6"/>
      <c r="U2444" s="6"/>
      <c r="V2444" s="6"/>
      <c r="W2444" s="6"/>
      <c r="X2444" s="6"/>
      <c r="Y2444" s="6"/>
      <c r="Z2444" s="6"/>
      <c r="AA2444" s="6"/>
    </row>
    <row r="2445" ht="14.25">
      <c r="B2445" s="4" t="s">
        <v>579</v>
      </c>
      <c r="C2445" s="4" t="s">
        <v>18738</v>
      </c>
      <c r="D2445" s="4" t="s">
        <v>120</v>
      </c>
      <c r="E2445" s="4" t="s">
        <v>18739</v>
      </c>
      <c r="F2445" s="4" t="str">
        <f>IFERROR(__XLUDF.DUMMYFUNCTION("PROPER(REGEXREPLACE(D161,""[^A-Za-z]+ "",""""))"),"Halles Modernes")</f>
        <v xml:space="preserve">Halles Modernes</v>
      </c>
      <c r="G2445" s="4" t="s">
        <v>18740</v>
      </c>
      <c r="H2445" s="4">
        <v>18</v>
      </c>
      <c r="I2445" s="4" t="s">
        <v>4525</v>
      </c>
      <c r="J2445" s="4"/>
      <c r="K2445" s="5" t="s">
        <v>18741</v>
      </c>
      <c r="L2445" s="5" t="s">
        <v>18742</v>
      </c>
      <c r="M2445" s="4" t="s">
        <v>846</v>
      </c>
      <c r="N2445" s="4" t="s">
        <v>29</v>
      </c>
      <c r="O2445" s="4" t="s">
        <v>18743</v>
      </c>
      <c r="P2445" s="4" t="s">
        <v>29</v>
      </c>
      <c r="Q2445" s="4" t="s">
        <v>18744</v>
      </c>
      <c r="R2445" s="6"/>
      <c r="S2445" s="6"/>
      <c r="T2445" s="6"/>
      <c r="U2445" s="6"/>
      <c r="V2445" s="6"/>
      <c r="W2445" s="6"/>
      <c r="X2445" s="6"/>
      <c r="Y2445" s="6"/>
      <c r="Z2445" s="6"/>
      <c r="AA2445" s="6"/>
    </row>
    <row r="2446" ht="14.25">
      <c r="B2446" s="4" t="s">
        <v>622</v>
      </c>
      <c r="C2446" s="4" t="s">
        <v>18745</v>
      </c>
      <c r="D2446" s="4" t="s">
        <v>18746</v>
      </c>
      <c r="E2446" s="4" t="s">
        <v>18747</v>
      </c>
      <c r="F2446" s="4" t="str">
        <f>IFERROR(__XLUDF.DUMMYFUNCTION("PROPER(REGEXREPLACE(D162,""[^A-Za-z]+ "",""""))"),"Codex International")</f>
        <v xml:space="preserve">Codex International</v>
      </c>
      <c r="G2446" s="4" t="s">
        <v>18748</v>
      </c>
      <c r="H2446" s="4">
        <v>10</v>
      </c>
      <c r="I2446" s="4" t="s">
        <v>4525</v>
      </c>
      <c r="J2446" s="4"/>
      <c r="K2446" s="5" t="s">
        <v>18749</v>
      </c>
      <c r="L2446" s="5" t="s">
        <v>18750</v>
      </c>
      <c r="M2446" s="4" t="s">
        <v>39</v>
      </c>
      <c r="N2446" s="4" t="s">
        <v>29</v>
      </c>
      <c r="O2446" s="4" t="s">
        <v>18751</v>
      </c>
      <c r="P2446" s="4" t="s">
        <v>29</v>
      </c>
      <c r="Q2446" s="4" t="s">
        <v>18752</v>
      </c>
      <c r="R2446" s="6"/>
      <c r="S2446" s="6"/>
      <c r="T2446" s="6"/>
      <c r="U2446" s="6"/>
      <c r="V2446" s="6"/>
      <c r="W2446" s="6"/>
      <c r="X2446" s="6"/>
      <c r="Y2446" s="6"/>
      <c r="Z2446" s="6"/>
      <c r="AA2446" s="6"/>
    </row>
    <row r="2447" ht="14.25">
      <c r="B2447" s="4" t="s">
        <v>1596</v>
      </c>
      <c r="C2447" s="4" t="s">
        <v>18753</v>
      </c>
      <c r="D2447" s="4" t="s">
        <v>112</v>
      </c>
      <c r="E2447" s="4" t="s">
        <v>18754</v>
      </c>
      <c r="F2447" s="4" t="str">
        <f>IFERROR(__XLUDF.DUMMYFUNCTION("PROPER(REGEXREPLACE(D163,""[^A-Za-z]+ "",""""))"),"Réseau Entreprendre Lorraine")</f>
        <v xml:space="preserve">Réseau Entreprendre Lorraine</v>
      </c>
      <c r="G2447" s="4" t="s">
        <v>18755</v>
      </c>
      <c r="H2447" s="4">
        <v>11</v>
      </c>
      <c r="I2447" s="4" t="s">
        <v>4067</v>
      </c>
      <c r="J2447" s="4" t="str">
        <f>IFERROR(__XLUDF.DUMMYFUNCTION("VLOOKUP(H163,IMPORTRANGE(""https://docs.google.com/spreadsheets/d/1opm6ZNvGZ7KditA9TuJwrZ25eFLfTNIkrNnY6mhV5Eg"",""list!A1:C115""),3,TRUE)"),"le secteur du conseil en management")</f>
        <v xml:space="preserve">le secteur du conseil en management</v>
      </c>
      <c r="K2447" s="5" t="s">
        <v>18756</v>
      </c>
      <c r="L2447" s="5" t="s">
        <v>18757</v>
      </c>
      <c r="M2447" s="4" t="s">
        <v>18758</v>
      </c>
      <c r="N2447" s="4" t="s">
        <v>29</v>
      </c>
      <c r="O2447" s="4" t="s">
        <v>18759</v>
      </c>
      <c r="P2447" s="4" t="s">
        <v>29</v>
      </c>
      <c r="Q2447" s="6"/>
      <c r="R2447" s="6"/>
      <c r="S2447" s="6"/>
      <c r="T2447" s="6"/>
      <c r="U2447" s="6"/>
      <c r="V2447" s="6"/>
      <c r="W2447" s="6"/>
      <c r="X2447" s="6"/>
      <c r="Y2447" s="6"/>
      <c r="Z2447" s="6"/>
      <c r="AA2447" s="6"/>
    </row>
    <row r="2448" ht="14.25">
      <c r="B2448" s="4" t="s">
        <v>986</v>
      </c>
      <c r="C2448" s="4" t="s">
        <v>18760</v>
      </c>
      <c r="D2448" s="4" t="s">
        <v>18761</v>
      </c>
      <c r="E2448" s="4" t="s">
        <v>18762</v>
      </c>
      <c r="F2448" s="4" t="str">
        <f>IFERROR(__XLUDF.DUMMYFUNCTION("PROPER(REGEXREPLACE(D164,""[^A-Za-z]+ "",""""))"),"Alliance Froid Cuisine")</f>
        <v xml:space="preserve">Alliance Froid Cuisine</v>
      </c>
      <c r="G2448" s="4" t="s">
        <v>18763</v>
      </c>
      <c r="H2448" s="4">
        <v>24</v>
      </c>
      <c r="I2448" s="4" t="s">
        <v>4525</v>
      </c>
      <c r="J2448" s="4"/>
      <c r="K2448" s="5" t="s">
        <v>18764</v>
      </c>
      <c r="L2448" s="5" t="s">
        <v>18765</v>
      </c>
      <c r="M2448" s="4" t="s">
        <v>1826</v>
      </c>
      <c r="N2448" s="4" t="s">
        <v>29</v>
      </c>
      <c r="O2448" s="4" t="s">
        <v>18766</v>
      </c>
      <c r="P2448" s="4" t="s">
        <v>29</v>
      </c>
      <c r="Q2448" s="4" t="s">
        <v>18767</v>
      </c>
      <c r="R2448" s="6"/>
      <c r="S2448" s="6"/>
      <c r="T2448" s="6"/>
      <c r="U2448" s="6"/>
      <c r="V2448" s="6"/>
      <c r="W2448" s="6"/>
      <c r="X2448" s="6"/>
      <c r="Y2448" s="6"/>
      <c r="Z2448" s="6"/>
      <c r="AA2448" s="6"/>
    </row>
    <row r="2449" ht="14.25">
      <c r="B2449" s="4" t="s">
        <v>1861</v>
      </c>
      <c r="C2449" s="4" t="s">
        <v>18768</v>
      </c>
      <c r="D2449" s="4" t="s">
        <v>18769</v>
      </c>
      <c r="E2449" s="4" t="s">
        <v>17198</v>
      </c>
      <c r="F2449" s="4" t="str">
        <f>IFERROR(__XLUDF.DUMMYFUNCTION("PROPER(REGEXREPLACE(D165,""[^A-Za-z]+ "",""""))"),"Proxima It")</f>
        <v xml:space="preserve">Proxima It</v>
      </c>
      <c r="G2449" s="4" t="s">
        <v>18770</v>
      </c>
      <c r="H2449" s="4">
        <v>8</v>
      </c>
      <c r="I2449" s="4" t="s">
        <v>2602</v>
      </c>
      <c r="J2449" s="4"/>
      <c r="K2449" s="5" t="s">
        <v>18771</v>
      </c>
      <c r="L2449" s="5" t="s">
        <v>18772</v>
      </c>
      <c r="M2449" s="4" t="s">
        <v>185</v>
      </c>
      <c r="N2449" s="4" t="s">
        <v>29</v>
      </c>
      <c r="O2449" s="4" t="s">
        <v>3725</v>
      </c>
      <c r="P2449" s="4" t="s">
        <v>29</v>
      </c>
      <c r="Q2449" s="4" t="s">
        <v>17202</v>
      </c>
      <c r="R2449" s="6"/>
      <c r="S2449" s="6"/>
      <c r="T2449" s="6"/>
      <c r="U2449" s="6"/>
      <c r="V2449" s="6"/>
      <c r="W2449" s="6"/>
      <c r="X2449" s="6"/>
      <c r="Y2449" s="6"/>
      <c r="Z2449" s="6"/>
      <c r="AA2449" s="6"/>
    </row>
    <row r="2450" ht="14.25">
      <c r="B2450" s="4" t="s">
        <v>110</v>
      </c>
      <c r="C2450" s="4" t="s">
        <v>18773</v>
      </c>
      <c r="D2450" s="4" t="s">
        <v>18774</v>
      </c>
      <c r="E2450" s="4" t="s">
        <v>18775</v>
      </c>
      <c r="F2450" s="4" t="str">
        <f>IFERROR(__XLUDF.DUMMYFUNCTION("PROPER(REGEXREPLACE(D166,""[^A-Za-z]+ "",""""))"),"Force D'Experts")</f>
        <v xml:space="preserve">Force D'Experts</v>
      </c>
      <c r="G2450" s="4" t="s">
        <v>18776</v>
      </c>
      <c r="H2450" s="4">
        <v>16</v>
      </c>
      <c r="I2450" s="4" t="s">
        <v>4067</v>
      </c>
      <c r="J2450" s="4" t="str">
        <f>IFERROR(__XLUDF.DUMMYFUNCTION("VLOOKUP(H166,IMPORTRANGE(""https://docs.google.com/spreadsheets/d/1opm6ZNvGZ7KditA9TuJwrZ25eFLfTNIkrNnY6mhV5Eg"",""list!A1:C115""),3,TRUE)"),"le secteur du conseil en management")</f>
        <v xml:space="preserve">le secteur du conseil en management</v>
      </c>
      <c r="K2450" s="5" t="s">
        <v>18777</v>
      </c>
      <c r="L2450" s="5" t="s">
        <v>18778</v>
      </c>
      <c r="M2450" s="4" t="s">
        <v>18779</v>
      </c>
      <c r="N2450" s="4" t="s">
        <v>29</v>
      </c>
      <c r="O2450" s="4" t="s">
        <v>18780</v>
      </c>
      <c r="P2450" s="4" t="s">
        <v>29</v>
      </c>
      <c r="Q2450" s="4" t="s">
        <v>18781</v>
      </c>
      <c r="R2450" s="6"/>
      <c r="S2450" s="6"/>
      <c r="T2450" s="6"/>
      <c r="U2450" s="6"/>
      <c r="V2450" s="6"/>
      <c r="W2450" s="6"/>
      <c r="X2450" s="6"/>
      <c r="Y2450" s="6"/>
      <c r="Z2450" s="6"/>
      <c r="AA2450" s="6"/>
    </row>
    <row r="2451" ht="14.25">
      <c r="B2451" s="4" t="s">
        <v>622</v>
      </c>
      <c r="C2451" s="4" t="s">
        <v>18782</v>
      </c>
      <c r="D2451" s="4" t="s">
        <v>87</v>
      </c>
      <c r="E2451" s="4" t="s">
        <v>18783</v>
      </c>
      <c r="F2451" s="4" t="str">
        <f>IFERROR(__XLUDF.DUMMYFUNCTION("PROPER(REGEXREPLACE(D167,""[^A-Za-z]+ "",""""))"),"Karbone")</f>
        <v>Karbone</v>
      </c>
      <c r="G2451" s="4" t="s">
        <v>18784</v>
      </c>
      <c r="H2451" s="4">
        <v>49</v>
      </c>
      <c r="I2451" s="4" t="s">
        <v>4067</v>
      </c>
      <c r="J2451" s="4" t="str">
        <f>IFERROR(__XLUDF.DUMMYFUNCTION("VLOOKUP(H167,IMPORTRANGE(""https://docs.google.com/spreadsheets/d/1opm6ZNvGZ7KditA9TuJwrZ25eFLfTNIkrNnY6mhV5Eg"",""list!A1:C115""),3,TRUE)"),"le secteur du conseil en management")</f>
        <v xml:space="preserve">le secteur du conseil en management</v>
      </c>
      <c r="K2451" s="5" t="s">
        <v>18785</v>
      </c>
      <c r="L2451" s="5" t="s">
        <v>18786</v>
      </c>
      <c r="M2451" s="4" t="s">
        <v>39</v>
      </c>
      <c r="N2451" s="4" t="s">
        <v>29</v>
      </c>
      <c r="O2451" s="4" t="s">
        <v>18787</v>
      </c>
      <c r="P2451" s="4" t="s">
        <v>29</v>
      </c>
      <c r="Q2451" s="6"/>
      <c r="R2451" s="6"/>
      <c r="S2451" s="6"/>
      <c r="T2451" s="6"/>
      <c r="U2451" s="6"/>
      <c r="V2451" s="6"/>
      <c r="W2451" s="6"/>
      <c r="X2451" s="6"/>
      <c r="Y2451" s="6"/>
      <c r="Z2451" s="6"/>
      <c r="AA2451" s="6"/>
    </row>
    <row r="2452" ht="14.25">
      <c r="B2452" s="4" t="s">
        <v>1387</v>
      </c>
      <c r="C2452" s="4" t="s">
        <v>18788</v>
      </c>
      <c r="D2452" s="4" t="s">
        <v>44</v>
      </c>
      <c r="E2452" s="4" t="s">
        <v>18789</v>
      </c>
      <c r="F2452" s="4" t="str">
        <f>IFERROR(__XLUDF.DUMMYFUNCTION("PROPER(REGEXREPLACE(D168,""[^A-Za-z]+ "",""""))"),"Steps")</f>
        <v>Steps</v>
      </c>
      <c r="G2452" s="4" t="s">
        <v>18790</v>
      </c>
      <c r="H2452" s="4">
        <v>13</v>
      </c>
      <c r="I2452" s="4" t="s">
        <v>4067</v>
      </c>
      <c r="J2452" s="4" t="str">
        <f>IFERROR(__XLUDF.DUMMYFUNCTION("VLOOKUP(H168,IMPORTRANGE(""https://docs.google.com/spreadsheets/d/1opm6ZNvGZ7KditA9TuJwrZ25eFLfTNIkrNnY6mhV5Eg"",""list!A1:C115""),3,TRUE)"),"le secteur du conseil en management")</f>
        <v xml:space="preserve">le secteur du conseil en management</v>
      </c>
      <c r="K2452" s="5" t="s">
        <v>18791</v>
      </c>
      <c r="L2452" s="5" t="s">
        <v>18792</v>
      </c>
      <c r="M2452" s="6"/>
      <c r="N2452" s="4" t="s">
        <v>29</v>
      </c>
      <c r="O2452" s="4" t="s">
        <v>67</v>
      </c>
      <c r="P2452" s="4" t="s">
        <v>29</v>
      </c>
      <c r="Q2452" s="4" t="s">
        <v>18793</v>
      </c>
      <c r="R2452" s="6"/>
      <c r="S2452" s="6"/>
      <c r="T2452" s="6"/>
      <c r="U2452" s="6"/>
      <c r="V2452" s="6"/>
      <c r="W2452" s="6"/>
      <c r="X2452" s="6"/>
      <c r="Y2452" s="6"/>
      <c r="Z2452" s="6"/>
      <c r="AA2452" s="6"/>
    </row>
    <row r="2453" ht="14.25">
      <c r="B2453" s="4" t="s">
        <v>630</v>
      </c>
      <c r="C2453" s="4" t="s">
        <v>18794</v>
      </c>
      <c r="D2453" s="4" t="s">
        <v>172</v>
      </c>
      <c r="E2453" s="4" t="s">
        <v>18795</v>
      </c>
      <c r="F2453" s="4" t="str">
        <f>IFERROR(__XLUDF.DUMMYFUNCTION("PROPER(REGEXREPLACE(D169,""[^A-Za-z]+ "",""""))"),"Rosace Fibre")</f>
        <v xml:space="preserve">Rosace Fibre</v>
      </c>
      <c r="G2453" s="4" t="s">
        <v>18796</v>
      </c>
      <c r="H2453" s="4">
        <v>24</v>
      </c>
      <c r="I2453" s="4" t="s">
        <v>9184</v>
      </c>
      <c r="J2453" s="4"/>
      <c r="K2453" s="5" t="s">
        <v>18797</v>
      </c>
      <c r="L2453" s="5" t="s">
        <v>18798</v>
      </c>
      <c r="M2453" s="4" t="s">
        <v>1460</v>
      </c>
      <c r="N2453" s="4" t="s">
        <v>29</v>
      </c>
      <c r="O2453" s="4" t="s">
        <v>18799</v>
      </c>
      <c r="P2453" s="4" t="s">
        <v>29</v>
      </c>
      <c r="Q2453" s="4" t="s">
        <v>18800</v>
      </c>
      <c r="R2453" s="6"/>
      <c r="S2453" s="6"/>
      <c r="T2453" s="6"/>
      <c r="U2453" s="6"/>
      <c r="V2453" s="6"/>
      <c r="W2453" s="6"/>
      <c r="X2453" s="6"/>
      <c r="Y2453" s="6"/>
      <c r="Z2453" s="6"/>
      <c r="AA2453" s="6"/>
    </row>
    <row r="2454" ht="14.25">
      <c r="B2454" s="4" t="s">
        <v>485</v>
      </c>
      <c r="C2454" s="4" t="s">
        <v>18801</v>
      </c>
      <c r="D2454" s="4" t="s">
        <v>426</v>
      </c>
      <c r="E2454" s="4" t="s">
        <v>18802</v>
      </c>
      <c r="F2454" s="4" t="str">
        <f>IFERROR(__XLUDF.DUMMYFUNCTION("PROPER(REGEXREPLACE(D170,""[^A-Za-z]+ "",""""))"),"The Boson Project")</f>
        <v xml:space="preserve">The Boson Project</v>
      </c>
      <c r="G2454" s="4" t="s">
        <v>18803</v>
      </c>
      <c r="H2454" s="4">
        <v>20</v>
      </c>
      <c r="I2454" s="4" t="s">
        <v>4067</v>
      </c>
      <c r="J2454" s="4"/>
      <c r="K2454" s="5" t="s">
        <v>18804</v>
      </c>
      <c r="L2454" s="5" t="s">
        <v>18805</v>
      </c>
      <c r="M2454" s="4" t="s">
        <v>39</v>
      </c>
      <c r="N2454" s="4" t="s">
        <v>29</v>
      </c>
      <c r="O2454" s="4" t="s">
        <v>18806</v>
      </c>
      <c r="P2454" s="4" t="s">
        <v>29</v>
      </c>
      <c r="Q2454" s="6"/>
      <c r="R2454" s="6"/>
      <c r="S2454" s="6"/>
      <c r="T2454" s="6"/>
      <c r="U2454" s="6"/>
      <c r="V2454" s="6"/>
      <c r="W2454" s="6"/>
      <c r="X2454" s="6"/>
      <c r="Y2454" s="6"/>
      <c r="Z2454" s="6"/>
      <c r="AA2454" s="6"/>
    </row>
    <row r="2455" ht="14.25">
      <c r="B2455" s="4" t="s">
        <v>604</v>
      </c>
      <c r="C2455" s="4" t="s">
        <v>18807</v>
      </c>
      <c r="D2455" s="4" t="s">
        <v>5031</v>
      </c>
      <c r="E2455" s="4" t="s">
        <v>18808</v>
      </c>
      <c r="F2455" s="4" t="str">
        <f>IFERROR(__XLUDF.DUMMYFUNCTION("PROPER(REGEXREPLACE(D171,""[^A-Za-z]+ "",""""))"),"Innowide")</f>
        <v>Innowide</v>
      </c>
      <c r="G2455" s="4" t="s">
        <v>18809</v>
      </c>
      <c r="H2455" s="4">
        <v>12</v>
      </c>
      <c r="I2455" s="4" t="s">
        <v>4067</v>
      </c>
      <c r="J2455" s="4"/>
      <c r="K2455" s="5" t="s">
        <v>18810</v>
      </c>
      <c r="L2455" s="5" t="s">
        <v>18811</v>
      </c>
      <c r="M2455" s="4" t="s">
        <v>39</v>
      </c>
      <c r="N2455" s="4" t="s">
        <v>29</v>
      </c>
      <c r="O2455" s="4" t="s">
        <v>18812</v>
      </c>
      <c r="P2455" s="4" t="s">
        <v>29</v>
      </c>
      <c r="Q2455" s="4" t="s">
        <v>18813</v>
      </c>
      <c r="R2455" s="6"/>
      <c r="S2455" s="6"/>
      <c r="T2455" s="6"/>
      <c r="U2455" s="6"/>
      <c r="V2455" s="6"/>
      <c r="W2455" s="6"/>
      <c r="X2455" s="6"/>
      <c r="Y2455" s="6"/>
      <c r="Z2455" s="6"/>
      <c r="AA2455" s="6"/>
    </row>
    <row r="2456" ht="14.25">
      <c r="B2456" s="4" t="s">
        <v>18814</v>
      </c>
      <c r="C2456" s="4" t="s">
        <v>18815</v>
      </c>
      <c r="D2456" s="4" t="s">
        <v>18816</v>
      </c>
      <c r="E2456" s="4" t="s">
        <v>18817</v>
      </c>
      <c r="F2456" s="4" t="str">
        <f>IFERROR(__XLUDF.DUMMYFUNCTION("PROPER(REGEXREPLACE(D172,""[^A-Za-z]+ "",""""))"),"Vertical M2M")</f>
        <v xml:space="preserve">Vertical M2M</v>
      </c>
      <c r="G2456" s="4" t="s">
        <v>18818</v>
      </c>
      <c r="H2456" s="4">
        <v>8</v>
      </c>
      <c r="I2456" s="4" t="s">
        <v>2602</v>
      </c>
      <c r="J2456" s="4"/>
      <c r="K2456" s="5" t="s">
        <v>18819</v>
      </c>
      <c r="L2456" s="5" t="s">
        <v>18820</v>
      </c>
      <c r="M2456" s="4" t="s">
        <v>39</v>
      </c>
      <c r="N2456" s="4" t="s">
        <v>29</v>
      </c>
      <c r="O2456" s="4" t="s">
        <v>18821</v>
      </c>
      <c r="P2456" s="4" t="s">
        <v>29</v>
      </c>
      <c r="Q2456" s="4" t="s">
        <v>18822</v>
      </c>
      <c r="R2456" s="6"/>
      <c r="S2456" s="6"/>
      <c r="T2456" s="6"/>
      <c r="U2456" s="6"/>
      <c r="V2456" s="6"/>
      <c r="W2456" s="6"/>
      <c r="X2456" s="6"/>
      <c r="Y2456" s="6"/>
      <c r="Z2456" s="6"/>
      <c r="AA2456" s="6"/>
    </row>
    <row r="2457" ht="14.25">
      <c r="B2457" s="4" t="s">
        <v>808</v>
      </c>
      <c r="C2457" s="4" t="s">
        <v>18823</v>
      </c>
      <c r="D2457" s="4" t="s">
        <v>8146</v>
      </c>
      <c r="E2457" s="4" t="s">
        <v>18824</v>
      </c>
      <c r="F2457" s="4" t="str">
        <f>IFERROR(__XLUDF.DUMMYFUNCTION("PROPER(REGEXREPLACE(D173,""[^A-Za-z]+ "",""""))"),"Touchflows")</f>
        <v>Touchflows</v>
      </c>
      <c r="G2457" s="4" t="s">
        <v>18825</v>
      </c>
      <c r="H2457" s="4">
        <v>12</v>
      </c>
      <c r="I2457" s="4" t="s">
        <v>2602</v>
      </c>
      <c r="J2457" s="4"/>
      <c r="K2457" s="5" t="s">
        <v>18826</v>
      </c>
      <c r="L2457" s="5" t="s">
        <v>18827</v>
      </c>
      <c r="M2457" s="4" t="s">
        <v>39</v>
      </c>
      <c r="N2457" s="4" t="s">
        <v>29</v>
      </c>
      <c r="O2457" s="4" t="s">
        <v>18828</v>
      </c>
      <c r="P2457" s="4" t="s">
        <v>29</v>
      </c>
      <c r="Q2457" s="4" t="s">
        <v>18829</v>
      </c>
      <c r="R2457" s="6"/>
      <c r="S2457" s="6"/>
      <c r="T2457" s="6"/>
      <c r="U2457" s="6"/>
      <c r="V2457" s="6"/>
      <c r="W2457" s="6"/>
      <c r="X2457" s="6"/>
      <c r="Y2457" s="6"/>
      <c r="Z2457" s="6"/>
      <c r="AA2457" s="6"/>
    </row>
    <row r="2458" ht="14.25">
      <c r="B2458" s="4" t="s">
        <v>8555</v>
      </c>
      <c r="C2458" s="4" t="s">
        <v>18830</v>
      </c>
      <c r="D2458" s="4" t="s">
        <v>18831</v>
      </c>
      <c r="E2458" s="4" t="s">
        <v>18832</v>
      </c>
      <c r="F2458" s="4" t="str">
        <f>IFERROR(__XLUDF.DUMMYFUNCTION("PROPER(REGEXREPLACE(D174,""[^A-Za-z]+ "",""""))"),"E-Idols Agency")</f>
        <v xml:space="preserve">E-Idols Agency</v>
      </c>
      <c r="G2458" s="4" t="s">
        <v>18833</v>
      </c>
      <c r="H2458" s="4">
        <v>20</v>
      </c>
      <c r="I2458" s="4" t="s">
        <v>9161</v>
      </c>
      <c r="J2458" s="4"/>
      <c r="K2458" s="5" t="s">
        <v>18834</v>
      </c>
      <c r="L2458" s="5" t="s">
        <v>18835</v>
      </c>
      <c r="M2458" s="4" t="s">
        <v>39</v>
      </c>
      <c r="N2458" s="4" t="s">
        <v>29</v>
      </c>
      <c r="O2458" s="4" t="s">
        <v>18836</v>
      </c>
      <c r="P2458" s="4" t="s">
        <v>18837</v>
      </c>
      <c r="Q2458" s="6"/>
      <c r="R2458" s="6"/>
      <c r="S2458" s="6"/>
      <c r="T2458" s="6"/>
      <c r="U2458" s="6"/>
      <c r="V2458" s="6"/>
      <c r="W2458" s="6"/>
      <c r="X2458" s="6"/>
      <c r="Y2458" s="6"/>
      <c r="Z2458" s="6"/>
      <c r="AA2458" s="6"/>
    </row>
    <row r="2459" ht="14.25">
      <c r="B2459" s="4" t="s">
        <v>18838</v>
      </c>
      <c r="C2459" s="4" t="s">
        <v>18839</v>
      </c>
      <c r="D2459" s="4" t="s">
        <v>18840</v>
      </c>
      <c r="E2459" s="4" t="s">
        <v>18841</v>
      </c>
      <c r="F2459" s="4" t="str">
        <f>IFERROR(__XLUDF.DUMMYFUNCTION("PROPER(REGEXREPLACE(D175,""[^A-Za-z]+ "",""""))"),"Cantoo")</f>
        <v>Cantoo</v>
      </c>
      <c r="G2459" s="4" t="s">
        <v>18842</v>
      </c>
      <c r="H2459" s="4">
        <v>17</v>
      </c>
      <c r="I2459" s="4" t="s">
        <v>2602</v>
      </c>
      <c r="J2459" s="4" t="str">
        <f>IFERROR(__XLUDF.DUMMYFUNCTION("VLOOKUP(H175,IMPORTRANGE(""https://docs.google.com/spreadsheets/d/1opm6ZNvGZ7KditA9TuJwrZ25eFLfTNIkrNnY6mhV5Eg"",""list!A1:C115""),3,TRUE)"),"le secteur de la tech")</f>
        <v xml:space="preserve">le secteur de la tech</v>
      </c>
      <c r="K2459" s="5" t="s">
        <v>18843</v>
      </c>
      <c r="L2459" s="5" t="s">
        <v>18844</v>
      </c>
      <c r="M2459" s="4" t="s">
        <v>846</v>
      </c>
      <c r="N2459" s="4" t="s">
        <v>29</v>
      </c>
      <c r="O2459" s="4" t="s">
        <v>18845</v>
      </c>
      <c r="P2459" s="4" t="s">
        <v>29</v>
      </c>
      <c r="Q2459" s="6"/>
      <c r="R2459" s="6"/>
      <c r="S2459" s="6"/>
      <c r="T2459" s="6"/>
      <c r="U2459" s="6"/>
      <c r="V2459" s="6"/>
      <c r="W2459" s="6"/>
      <c r="X2459" s="6"/>
      <c r="Y2459" s="6"/>
      <c r="Z2459" s="6"/>
      <c r="AA2459" s="6"/>
    </row>
    <row r="2460" ht="14.25">
      <c r="B2460" s="4" t="s">
        <v>17984</v>
      </c>
      <c r="C2460" s="4" t="s">
        <v>18846</v>
      </c>
      <c r="D2460" s="4" t="s">
        <v>71</v>
      </c>
      <c r="E2460" s="4" t="s">
        <v>18847</v>
      </c>
      <c r="F2460" s="4" t="str">
        <f>IFERROR(__XLUDF.DUMMYFUNCTION("PROPER(REGEXREPLACE(D176,""[^A-Za-z]+ "",""""))"),"Sonnet")</f>
        <v>Sonnet</v>
      </c>
      <c r="G2460" s="4" t="s">
        <v>18848</v>
      </c>
      <c r="H2460" s="4">
        <v>10</v>
      </c>
      <c r="I2460" s="4" t="s">
        <v>2602</v>
      </c>
      <c r="J2460" s="4" t="str">
        <f>IFERROR(__XLUDF.DUMMYFUNCTION("VLOOKUP(H176,IMPORTRANGE(""https://docs.google.com/spreadsheets/d/1opm6ZNvGZ7KditA9TuJwrZ25eFLfTNIkrNnY6mhV5Eg"",""list!A1:C115""),3,TRUE)"),"le secteur de la tech")</f>
        <v xml:space="preserve">le secteur de la tech</v>
      </c>
      <c r="K2460" s="5" t="s">
        <v>18849</v>
      </c>
      <c r="L2460" s="5" t="s">
        <v>18850</v>
      </c>
      <c r="M2460" s="4" t="s">
        <v>39</v>
      </c>
      <c r="N2460" s="4" t="s">
        <v>29</v>
      </c>
      <c r="O2460" s="4" t="s">
        <v>18851</v>
      </c>
      <c r="P2460" s="4" t="s">
        <v>1261</v>
      </c>
      <c r="Q2460" s="4" t="s">
        <v>18852</v>
      </c>
      <c r="R2460" s="6"/>
      <c r="S2460" s="6"/>
      <c r="T2460" s="6"/>
      <c r="U2460" s="6"/>
      <c r="V2460" s="6"/>
      <c r="W2460" s="6"/>
      <c r="X2460" s="6"/>
      <c r="Y2460" s="6"/>
      <c r="Z2460" s="6"/>
      <c r="AA2460" s="6"/>
    </row>
    <row r="2461" ht="14.25">
      <c r="B2461" s="4" t="s">
        <v>670</v>
      </c>
      <c r="C2461" s="4" t="s">
        <v>18853</v>
      </c>
      <c r="D2461" s="4" t="s">
        <v>22</v>
      </c>
      <c r="E2461" s="4" t="s">
        <v>402</v>
      </c>
      <c r="F2461" s="4" t="str">
        <f>IFERROR(__XLUDF.DUMMYFUNCTION("PROPER(REGEXREPLACE(D177,""[^A-Za-z]+ "",""""))"),"Jules")</f>
        <v>Jules</v>
      </c>
      <c r="G2461" s="4" t="s">
        <v>18854</v>
      </c>
      <c r="H2461" s="4">
        <v>37</v>
      </c>
      <c r="I2461" s="4" t="s">
        <v>2602</v>
      </c>
      <c r="J2461" s="4" t="str">
        <f>IFERROR(__XLUDF.DUMMYFUNCTION("VLOOKUP(H177,IMPORTRANGE(""https://docs.google.com/spreadsheets/d/1opm6ZNvGZ7KditA9TuJwrZ25eFLfTNIkrNnY6mhV5Eg"",""list!A1:C115""),3,TRUE)"),"le secteur de la tech")</f>
        <v xml:space="preserve">le secteur de la tech</v>
      </c>
      <c r="K2461" s="5" t="s">
        <v>18855</v>
      </c>
      <c r="L2461" s="5" t="s">
        <v>18856</v>
      </c>
      <c r="M2461" s="4" t="s">
        <v>39</v>
      </c>
      <c r="N2461" s="4" t="s">
        <v>29</v>
      </c>
      <c r="O2461" s="4" t="s">
        <v>18857</v>
      </c>
      <c r="P2461" s="4" t="s">
        <v>2666</v>
      </c>
      <c r="Q2461" s="6"/>
      <c r="R2461" s="6"/>
      <c r="S2461" s="6"/>
      <c r="T2461" s="6"/>
      <c r="U2461" s="6"/>
      <c r="V2461" s="6"/>
      <c r="W2461" s="6"/>
      <c r="X2461" s="6"/>
      <c r="Y2461" s="6"/>
      <c r="Z2461" s="6"/>
      <c r="AA2461" s="6"/>
    </row>
    <row r="2462" ht="14.25">
      <c r="B2462" s="4" t="s">
        <v>2925</v>
      </c>
      <c r="C2462" s="4" t="s">
        <v>18858</v>
      </c>
      <c r="D2462" s="4" t="s">
        <v>18859</v>
      </c>
      <c r="E2462" s="4" t="s">
        <v>18860</v>
      </c>
      <c r="F2462" s="4" t="str">
        <f>IFERROR(__XLUDF.DUMMYFUNCTION("PROPER(REGEXREPLACE(D178,""[^A-Za-z]+ "",""""))"),"Majorian")</f>
        <v>Majorian</v>
      </c>
      <c r="G2462" s="4" t="s">
        <v>18861</v>
      </c>
      <c r="H2462" s="4">
        <v>39</v>
      </c>
      <c r="I2462" s="4" t="s">
        <v>4067</v>
      </c>
      <c r="J2462" s="4"/>
      <c r="K2462" s="5" t="s">
        <v>18862</v>
      </c>
      <c r="L2462" s="5" t="s">
        <v>18863</v>
      </c>
      <c r="M2462" s="4" t="s">
        <v>39</v>
      </c>
      <c r="N2462" s="4" t="s">
        <v>29</v>
      </c>
      <c r="O2462" s="4" t="s">
        <v>6520</v>
      </c>
      <c r="P2462" s="4" t="s">
        <v>29</v>
      </c>
      <c r="Q2462" s="6"/>
      <c r="R2462" s="6"/>
      <c r="S2462" s="6"/>
      <c r="T2462" s="6"/>
      <c r="U2462" s="6"/>
      <c r="V2462" s="6"/>
      <c r="W2462" s="6"/>
      <c r="X2462" s="6"/>
      <c r="Y2462" s="6"/>
      <c r="Z2462" s="6"/>
      <c r="AA2462" s="6"/>
    </row>
    <row r="2463" ht="14.25">
      <c r="B2463" s="4" t="s">
        <v>18864</v>
      </c>
      <c r="C2463" s="4" t="s">
        <v>9953</v>
      </c>
      <c r="D2463" s="4" t="s">
        <v>18865</v>
      </c>
      <c r="E2463" s="4" t="s">
        <v>18866</v>
      </c>
      <c r="F2463" s="4" t="str">
        <f>IFERROR(__XLUDF.DUMMYFUNCTION("PROPER(REGEXREPLACE(D179,""[^A-Za-z]+ "",""""))"),"Akassaa")</f>
        <v>Akassaa</v>
      </c>
      <c r="G2463" s="4" t="s">
        <v>18867</v>
      </c>
      <c r="H2463" s="4">
        <v>13</v>
      </c>
      <c r="I2463" s="4" t="s">
        <v>2602</v>
      </c>
      <c r="J2463" s="4"/>
      <c r="K2463" s="5" t="s">
        <v>18868</v>
      </c>
      <c r="L2463" s="5" t="s">
        <v>18869</v>
      </c>
      <c r="M2463" s="4" t="s">
        <v>39</v>
      </c>
      <c r="N2463" s="4" t="s">
        <v>29</v>
      </c>
      <c r="O2463" s="4" t="s">
        <v>18870</v>
      </c>
      <c r="P2463" s="4" t="s">
        <v>29</v>
      </c>
      <c r="Q2463" s="4" t="s">
        <v>18871</v>
      </c>
      <c r="R2463" s="6"/>
      <c r="S2463" s="6"/>
      <c r="T2463" s="6"/>
      <c r="U2463" s="6"/>
      <c r="V2463" s="6"/>
      <c r="W2463" s="6"/>
      <c r="X2463" s="6"/>
      <c r="Y2463" s="6"/>
      <c r="Z2463" s="6"/>
      <c r="AA2463" s="6"/>
    </row>
    <row r="2464" ht="14.25">
      <c r="B2464" s="4" t="s">
        <v>6844</v>
      </c>
      <c r="C2464" s="4" t="s">
        <v>18872</v>
      </c>
      <c r="D2464" s="4" t="s">
        <v>18873</v>
      </c>
      <c r="E2464" s="5" t="s">
        <v>18874</v>
      </c>
      <c r="F2464" s="4" t="str">
        <f>IFERROR(__XLUDF.DUMMYFUNCTION("PROPER(REGEXREPLACE(D180,""[^A-Za-z]+ "",""""))"),"Chaindesk")</f>
        <v>Chaindesk</v>
      </c>
      <c r="G2464" s="4" t="s">
        <v>18875</v>
      </c>
      <c r="H2464" s="4">
        <v>10</v>
      </c>
      <c r="I2464" s="4" t="s">
        <v>2602</v>
      </c>
      <c r="J2464" s="4" t="str">
        <f>IFERROR(__XLUDF.DUMMYFUNCTION("VLOOKUP(H180,IMPORTRANGE(""https://docs.google.com/spreadsheets/d/1opm6ZNvGZ7KditA9TuJwrZ25eFLfTNIkrNnY6mhV5Eg"",""list!A1:C115""),3,TRUE)"),"le secteur de la tech")</f>
        <v xml:space="preserve">le secteur de la tech</v>
      </c>
      <c r="K2464" s="5" t="s">
        <v>18876</v>
      </c>
      <c r="L2464" s="5" t="s">
        <v>18877</v>
      </c>
      <c r="M2464" s="4" t="s">
        <v>39</v>
      </c>
      <c r="N2464" s="4" t="s">
        <v>29</v>
      </c>
      <c r="O2464" s="4" t="s">
        <v>67</v>
      </c>
      <c r="P2464" s="4" t="s">
        <v>29</v>
      </c>
      <c r="Q2464" s="4" t="s">
        <v>18878</v>
      </c>
      <c r="R2464" s="6"/>
      <c r="S2464" s="6"/>
      <c r="T2464" s="6"/>
      <c r="U2464" s="6"/>
      <c r="V2464" s="6"/>
      <c r="W2464" s="6"/>
      <c r="X2464" s="6"/>
      <c r="Y2464" s="6"/>
      <c r="Z2464" s="6"/>
      <c r="AA2464" s="6"/>
    </row>
    <row r="2465" ht="14.25">
      <c r="B2465" s="4" t="s">
        <v>1215</v>
      </c>
      <c r="C2465" s="4" t="s">
        <v>18879</v>
      </c>
      <c r="D2465" s="4" t="s">
        <v>247</v>
      </c>
      <c r="E2465" s="4" t="s">
        <v>18880</v>
      </c>
      <c r="F2465" s="4" t="str">
        <f>IFERROR(__XLUDF.DUMMYFUNCTION("PROPER(REGEXREPLACE(D181,""[^A-Za-z]+ "",""""))"),"Howard")</f>
        <v>Howard</v>
      </c>
      <c r="G2465" s="4" t="s">
        <v>18881</v>
      </c>
      <c r="H2465" s="4">
        <v>22</v>
      </c>
      <c r="I2465" s="4" t="s">
        <v>4067</v>
      </c>
      <c r="J2465" s="4" t="str">
        <f>IFERROR(__XLUDF.DUMMYFUNCTION("VLOOKUP(H181,IMPORTRANGE(""https://docs.google.com/spreadsheets/d/1opm6ZNvGZ7KditA9TuJwrZ25eFLfTNIkrNnY6mhV5Eg"",""list!A1:C115""),3,TRUE)"),"le secteur du conseil en management")</f>
        <v xml:space="preserve">le secteur du conseil en management</v>
      </c>
      <c r="K2465" s="5" t="s">
        <v>18882</v>
      </c>
      <c r="L2465" s="5" t="s">
        <v>18883</v>
      </c>
      <c r="M2465" s="4" t="s">
        <v>39</v>
      </c>
      <c r="N2465" s="4" t="s">
        <v>29</v>
      </c>
      <c r="O2465" s="4" t="s">
        <v>18884</v>
      </c>
      <c r="P2465" s="4" t="s">
        <v>29</v>
      </c>
      <c r="Q2465" s="4" t="s">
        <v>18885</v>
      </c>
      <c r="R2465" s="6"/>
      <c r="S2465" s="6"/>
      <c r="T2465" s="6"/>
      <c r="U2465" s="6"/>
      <c r="V2465" s="6"/>
      <c r="W2465" s="6"/>
      <c r="X2465" s="6"/>
      <c r="Y2465" s="6"/>
      <c r="Z2465" s="6"/>
      <c r="AA2465" s="6"/>
    </row>
    <row r="2466" ht="14.25">
      <c r="B2466" s="4" t="s">
        <v>2299</v>
      </c>
      <c r="C2466" s="4" t="s">
        <v>18886</v>
      </c>
      <c r="D2466" s="4" t="s">
        <v>468</v>
      </c>
      <c r="E2466" s="4" t="s">
        <v>18887</v>
      </c>
      <c r="F2466" s="4" t="str">
        <f>IFERROR(__XLUDF.DUMMYFUNCTION("PROPER(REGEXREPLACE(D182,""[^A-Za-z]+ "",""""))"),"Ubi Bene")</f>
        <v xml:space="preserve">Ubi Bene</v>
      </c>
      <c r="G2466" s="4" t="s">
        <v>18888</v>
      </c>
      <c r="H2466" s="4">
        <v>40</v>
      </c>
      <c r="I2466" s="4" t="s">
        <v>9161</v>
      </c>
      <c r="J2466" s="4" t="str">
        <f>IFERROR(__XLUDF.DUMMYFUNCTION("VLOOKUP(H182,IMPORTRANGE(""https://docs.google.com/spreadsheets/d/1opm6ZNvGZ7KditA9TuJwrZ25eFLfTNIkrNnY6mhV5Eg"",""list!A1:C115""),3,TRUE)"),"le secteur du marketing")</f>
        <v xml:space="preserve">le secteur du marketing</v>
      </c>
      <c r="K2466" s="5" t="s">
        <v>18889</v>
      </c>
      <c r="L2466" s="5" t="s">
        <v>18890</v>
      </c>
      <c r="M2466" s="4" t="s">
        <v>39</v>
      </c>
      <c r="N2466" s="4" t="s">
        <v>29</v>
      </c>
      <c r="O2466" s="4" t="s">
        <v>18891</v>
      </c>
      <c r="P2466" s="4" t="s">
        <v>29</v>
      </c>
      <c r="Q2466" s="4" t="s">
        <v>18892</v>
      </c>
      <c r="R2466" s="6"/>
      <c r="S2466" s="6"/>
      <c r="T2466" s="6"/>
      <c r="U2466" s="6"/>
      <c r="V2466" s="6"/>
      <c r="W2466" s="6"/>
      <c r="X2466" s="6"/>
      <c r="Y2466" s="6"/>
      <c r="Z2466" s="6"/>
      <c r="AA2466" s="6"/>
    </row>
    <row r="2467" ht="14.25">
      <c r="B2467" s="4" t="s">
        <v>4522</v>
      </c>
      <c r="C2467" s="4" t="s">
        <v>18893</v>
      </c>
      <c r="D2467" s="4" t="s">
        <v>281</v>
      </c>
      <c r="E2467" s="4" t="s">
        <v>18894</v>
      </c>
      <c r="F2467" s="4" t="str">
        <f>IFERROR(__XLUDF.DUMMYFUNCTION("PROPER(REGEXREPLACE(D183,""[^A-Za-z]+ "",""""))"),"Opti Digital")</f>
        <v xml:space="preserve">Opti Digital</v>
      </c>
      <c r="G2467" s="4" t="s">
        <v>18895</v>
      </c>
      <c r="H2467" s="4">
        <v>34</v>
      </c>
      <c r="I2467" s="4" t="s">
        <v>9161</v>
      </c>
      <c r="J2467" s="4" t="str">
        <f>IFERROR(__XLUDF.DUMMYFUNCTION("VLOOKUP(H183,IMPORTRANGE(""https://docs.google.com/spreadsheets/d/1opm6ZNvGZ7KditA9TuJwrZ25eFLfTNIkrNnY6mhV5Eg"",""list!A1:C115""),3,TRUE)"),"le secteur du marketing")</f>
        <v xml:space="preserve">le secteur du marketing</v>
      </c>
      <c r="K2467" s="5" t="s">
        <v>18896</v>
      </c>
      <c r="L2467" s="5" t="s">
        <v>18897</v>
      </c>
      <c r="M2467" s="6"/>
      <c r="N2467" s="4" t="s">
        <v>29</v>
      </c>
      <c r="O2467" s="4" t="s">
        <v>18898</v>
      </c>
      <c r="P2467" s="4" t="s">
        <v>29</v>
      </c>
      <c r="Q2467" s="4" t="s">
        <v>18899</v>
      </c>
      <c r="R2467" s="6"/>
      <c r="S2467" s="6"/>
      <c r="T2467" s="6"/>
      <c r="U2467" s="6"/>
      <c r="V2467" s="6"/>
      <c r="W2467" s="6"/>
      <c r="X2467" s="6"/>
      <c r="Y2467" s="6"/>
      <c r="Z2467" s="6"/>
      <c r="AA2467" s="6"/>
    </row>
    <row r="2468" ht="14.25">
      <c r="B2468" s="4" t="s">
        <v>579</v>
      </c>
      <c r="C2468" s="4" t="s">
        <v>18900</v>
      </c>
      <c r="D2468" s="4" t="s">
        <v>120</v>
      </c>
      <c r="E2468" s="4" t="s">
        <v>18901</v>
      </c>
      <c r="F2468" s="4" t="str">
        <f>IFERROR(__XLUDF.DUMMYFUNCTION("PROPER(REGEXREPLACE(D184,""[^A-Za-z]+ "",""""))"),"Anaba")</f>
        <v>Anaba</v>
      </c>
      <c r="G2468" s="4" t="s">
        <v>18902</v>
      </c>
      <c r="H2468" s="4">
        <v>15</v>
      </c>
      <c r="I2468" s="4" t="s">
        <v>2602</v>
      </c>
      <c r="J2468" s="4" t="str">
        <f>IFERROR(__XLUDF.DUMMYFUNCTION("VLOOKUP(H184,IMPORTRANGE(""https://docs.google.com/spreadsheets/d/1opm6ZNvGZ7KditA9TuJwrZ25eFLfTNIkrNnY6mhV5Eg"",""list!A1:C115""),3,TRUE)"),"le secteur de la tech")</f>
        <v xml:space="preserve">le secteur de la tech</v>
      </c>
      <c r="K2468" s="5" t="s">
        <v>18903</v>
      </c>
      <c r="L2468" s="5" t="s">
        <v>18904</v>
      </c>
      <c r="M2468" s="4" t="s">
        <v>39</v>
      </c>
      <c r="N2468" s="4" t="s">
        <v>29</v>
      </c>
      <c r="O2468" s="4" t="s">
        <v>18905</v>
      </c>
      <c r="P2468" s="4" t="s">
        <v>29</v>
      </c>
      <c r="Q2468" s="4" t="s">
        <v>18906</v>
      </c>
      <c r="R2468" s="6"/>
      <c r="S2468" s="6"/>
      <c r="T2468" s="6"/>
      <c r="U2468" s="6"/>
      <c r="V2468" s="6"/>
      <c r="W2468" s="6"/>
      <c r="X2468" s="6"/>
      <c r="Y2468" s="6"/>
      <c r="Z2468" s="6"/>
      <c r="AA2468" s="6"/>
    </row>
    <row r="2469" ht="14.25">
      <c r="B2469" s="4" t="s">
        <v>1562</v>
      </c>
      <c r="C2469" s="4" t="s">
        <v>18907</v>
      </c>
      <c r="D2469" s="4" t="s">
        <v>18908</v>
      </c>
      <c r="E2469" s="4" t="s">
        <v>18909</v>
      </c>
      <c r="F2469" s="4" t="str">
        <f>IFERROR(__XLUDF.DUMMYFUNCTION("PROPER(REGEXREPLACE(D185,""[^A-Za-z]+ "",""""))"),"Co.Devenir")</f>
        <v>Co.Devenir</v>
      </c>
      <c r="G2469" s="4" t="s">
        <v>18910</v>
      </c>
      <c r="H2469" s="4">
        <v>11</v>
      </c>
      <c r="I2469" s="4" t="s">
        <v>4067</v>
      </c>
      <c r="J2469" s="4" t="str">
        <f>IFERROR(__XLUDF.DUMMYFUNCTION("VLOOKUP(H185,IMPORTRANGE(""https://docs.google.com/spreadsheets/d/1opm6ZNvGZ7KditA9TuJwrZ25eFLfTNIkrNnY6mhV5Eg"",""list!A1:C115""),3,TRUE)"),"le secteur du conseil en management")</f>
        <v xml:space="preserve">le secteur du conseil en management</v>
      </c>
      <c r="K2469" s="5" t="s">
        <v>18911</v>
      </c>
      <c r="L2469" s="5" t="s">
        <v>18912</v>
      </c>
      <c r="M2469" s="4" t="s">
        <v>39</v>
      </c>
      <c r="N2469" s="4" t="s">
        <v>29</v>
      </c>
      <c r="O2469" s="4" t="s">
        <v>67</v>
      </c>
      <c r="P2469" s="4" t="s">
        <v>29</v>
      </c>
      <c r="Q2469" s="4" t="s">
        <v>18913</v>
      </c>
      <c r="R2469" s="6"/>
      <c r="S2469" s="6"/>
      <c r="T2469" s="6"/>
      <c r="U2469" s="6"/>
      <c r="V2469" s="6"/>
      <c r="W2469" s="6"/>
      <c r="X2469" s="6"/>
      <c r="Y2469" s="6"/>
      <c r="Z2469" s="6"/>
      <c r="AA2469" s="6"/>
    </row>
    <row r="2470" ht="14.25">
      <c r="B2470" s="4" t="s">
        <v>322</v>
      </c>
      <c r="C2470" s="4" t="s">
        <v>18914</v>
      </c>
      <c r="D2470" s="4" t="s">
        <v>5500</v>
      </c>
      <c r="E2470" s="4" t="s">
        <v>18915</v>
      </c>
      <c r="F2470" s="4" t="str">
        <f>IFERROR(__XLUDF.DUMMYFUNCTION("PROPER(REGEXREPLACE(D186,""[^A-Za-z]+ "",""""))"),"Adigital")</f>
        <v>Adigital</v>
      </c>
      <c r="G2470" s="4" t="s">
        <v>18916</v>
      </c>
      <c r="H2470" s="4">
        <v>7</v>
      </c>
      <c r="I2470" s="4" t="s">
        <v>10639</v>
      </c>
      <c r="J2470" s="4"/>
      <c r="K2470" s="5" t="s">
        <v>18917</v>
      </c>
      <c r="L2470" s="5" t="s">
        <v>18918</v>
      </c>
      <c r="M2470" s="4" t="s">
        <v>39</v>
      </c>
      <c r="N2470" s="4" t="s">
        <v>29</v>
      </c>
      <c r="O2470" s="4" t="s">
        <v>18919</v>
      </c>
      <c r="P2470" s="4" t="s">
        <v>29</v>
      </c>
      <c r="Q2470" s="4" t="s">
        <v>18920</v>
      </c>
      <c r="R2470" s="6"/>
      <c r="S2470" s="6"/>
      <c r="T2470" s="6"/>
      <c r="U2470" s="6"/>
      <c r="V2470" s="6"/>
      <c r="W2470" s="6"/>
      <c r="X2470" s="6"/>
      <c r="Y2470" s="6"/>
      <c r="Z2470" s="6"/>
      <c r="AA2470" s="6"/>
    </row>
    <row r="2471" ht="14.25">
      <c r="B2471" s="4" t="s">
        <v>622</v>
      </c>
      <c r="C2471" s="4" t="s">
        <v>18921</v>
      </c>
      <c r="D2471" s="4" t="s">
        <v>44</v>
      </c>
      <c r="E2471" s="4" t="s">
        <v>18922</v>
      </c>
      <c r="F2471" s="4" t="str">
        <f>IFERROR(__XLUDF.DUMMYFUNCTION("PROPER(REGEXREPLACE(D187,""[^A-Za-z]+ "",""""))"),"Tenderfacts")</f>
        <v>Tenderfacts</v>
      </c>
      <c r="G2471" s="4" t="s">
        <v>18923</v>
      </c>
      <c r="H2471" s="4">
        <v>10</v>
      </c>
      <c r="I2471" s="4" t="s">
        <v>2602</v>
      </c>
      <c r="J2471" s="4" t="str">
        <f>IFERROR(__XLUDF.DUMMYFUNCTION("VLOOKUP(H187,IMPORTRANGE(""https://docs.google.com/spreadsheets/d/1opm6ZNvGZ7KditA9TuJwrZ25eFLfTNIkrNnY6mhV5Eg"",""list!A1:C115""),3,TRUE)"),"le secteur de la tech")</f>
        <v xml:space="preserve">le secteur de la tech</v>
      </c>
      <c r="K2471" s="5" t="s">
        <v>18924</v>
      </c>
      <c r="L2471" s="5" t="s">
        <v>18925</v>
      </c>
      <c r="M2471" s="4" t="s">
        <v>39</v>
      </c>
      <c r="N2471" s="4" t="s">
        <v>29</v>
      </c>
      <c r="O2471" s="4" t="s">
        <v>6396</v>
      </c>
      <c r="P2471" s="4" t="s">
        <v>29</v>
      </c>
      <c r="Q2471" s="6"/>
      <c r="R2471" s="6"/>
      <c r="S2471" s="6"/>
      <c r="T2471" s="6"/>
      <c r="U2471" s="6"/>
      <c r="V2471" s="6"/>
      <c r="W2471" s="6"/>
      <c r="X2471" s="6"/>
      <c r="Y2471" s="6"/>
      <c r="Z2471" s="6"/>
      <c r="AA2471" s="6"/>
    </row>
    <row r="2472" ht="14.25">
      <c r="B2472" s="4" t="s">
        <v>2652</v>
      </c>
      <c r="C2472" s="4" t="s">
        <v>6443</v>
      </c>
      <c r="D2472" s="4" t="s">
        <v>265</v>
      </c>
      <c r="E2472" s="4" t="s">
        <v>18926</v>
      </c>
      <c r="F2472" s="4" t="str">
        <f>IFERROR(__XLUDF.DUMMYFUNCTION("PROPER(REGEXREPLACE(D188,""[^A-Za-z]+ "",""""))"),"Teelt")</f>
        <v>Teelt</v>
      </c>
      <c r="G2472" s="4" t="s">
        <v>18927</v>
      </c>
      <c r="H2472" s="4">
        <v>10</v>
      </c>
      <c r="I2472" s="4" t="s">
        <v>2602</v>
      </c>
      <c r="J2472" s="4" t="str">
        <f>IFERROR(__XLUDF.DUMMYFUNCTION("VLOOKUP(H188,IMPORTRANGE(""https://docs.google.com/spreadsheets/d/1opm6ZNvGZ7KditA9TuJwrZ25eFLfTNIkrNnY6mhV5Eg"",""list!A1:C115""),3,TRUE)"),"le secteur de la tech")</f>
        <v xml:space="preserve">le secteur de la tech</v>
      </c>
      <c r="K2472" s="5" t="s">
        <v>18928</v>
      </c>
      <c r="L2472" s="5" t="s">
        <v>18929</v>
      </c>
      <c r="M2472" s="4" t="s">
        <v>39</v>
      </c>
      <c r="N2472" s="4" t="s">
        <v>29</v>
      </c>
      <c r="O2472" s="4" t="s">
        <v>18467</v>
      </c>
      <c r="P2472" s="4" t="s">
        <v>29</v>
      </c>
      <c r="Q2472" s="4" t="s">
        <v>18930</v>
      </c>
      <c r="R2472" s="6"/>
      <c r="S2472" s="6"/>
      <c r="T2472" s="6"/>
      <c r="U2472" s="6"/>
      <c r="V2472" s="6"/>
      <c r="W2472" s="6"/>
      <c r="X2472" s="6"/>
      <c r="Y2472" s="6"/>
      <c r="Z2472" s="6"/>
      <c r="AA2472" s="6"/>
    </row>
    <row r="2473" ht="14.25">
      <c r="B2473" s="4" t="s">
        <v>206</v>
      </c>
      <c r="C2473" s="4" t="s">
        <v>18931</v>
      </c>
      <c r="D2473" s="4" t="s">
        <v>112</v>
      </c>
      <c r="E2473" s="4" t="s">
        <v>10898</v>
      </c>
      <c r="F2473" s="4" t="str">
        <f>IFERROR(__XLUDF.DUMMYFUNCTION("PROPER(REGEXREPLACE(D189,""[^A-Za-z]+ "",""""))"),"Electronie")</f>
        <v>Electronie</v>
      </c>
      <c r="G2473" s="4" t="s">
        <v>18932</v>
      </c>
      <c r="H2473" s="4">
        <v>19</v>
      </c>
      <c r="I2473" s="4" t="s">
        <v>10215</v>
      </c>
      <c r="J2473" s="4"/>
      <c r="K2473" s="5" t="s">
        <v>18933</v>
      </c>
      <c r="L2473" s="5" t="s">
        <v>18934</v>
      </c>
      <c r="M2473" s="4" t="s">
        <v>10227</v>
      </c>
      <c r="N2473" s="4" t="s">
        <v>29</v>
      </c>
      <c r="O2473" s="4" t="s">
        <v>18935</v>
      </c>
      <c r="P2473" s="4" t="s">
        <v>29</v>
      </c>
      <c r="Q2473" s="4" t="s">
        <v>10902</v>
      </c>
      <c r="R2473" s="6"/>
      <c r="S2473" s="6"/>
      <c r="T2473" s="6"/>
      <c r="U2473" s="6"/>
      <c r="V2473" s="6"/>
      <c r="W2473" s="6"/>
      <c r="X2473" s="6"/>
      <c r="Y2473" s="6"/>
      <c r="Z2473" s="6"/>
      <c r="AA2473" s="6"/>
    </row>
    <row r="2474" ht="14.25">
      <c r="B2474" s="4" t="s">
        <v>8966</v>
      </c>
      <c r="C2474" s="4" t="s">
        <v>18936</v>
      </c>
      <c r="D2474" s="4" t="s">
        <v>172</v>
      </c>
      <c r="E2474" s="4" t="s">
        <v>18937</v>
      </c>
      <c r="F2474" s="4" t="str">
        <f>IFERROR(__XLUDF.DUMMYFUNCTION("PROPER(REGEXREPLACE(D190,""[^A-Za-z]+ "",""""))"),"Bsd Group")</f>
        <v xml:space="preserve">Bsd Group</v>
      </c>
      <c r="G2474" s="4" t="s">
        <v>18938</v>
      </c>
      <c r="H2474" s="4">
        <v>36</v>
      </c>
      <c r="I2474" s="4" t="s">
        <v>9161</v>
      </c>
      <c r="J2474" s="4" t="str">
        <f>IFERROR(__XLUDF.DUMMYFUNCTION("VLOOKUP(H190,IMPORTRANGE(""https://docs.google.com/spreadsheets/d/1opm6ZNvGZ7KditA9TuJwrZ25eFLfTNIkrNnY6mhV5Eg"",""list!A1:C115""),3,TRUE)"),"le secteur du marketing")</f>
        <v xml:space="preserve">le secteur du marketing</v>
      </c>
      <c r="K2474" s="5" t="s">
        <v>18939</v>
      </c>
      <c r="L2474" s="5" t="s">
        <v>18940</v>
      </c>
      <c r="M2474" s="4" t="s">
        <v>9402</v>
      </c>
      <c r="N2474" s="4" t="s">
        <v>29</v>
      </c>
      <c r="O2474" s="4" t="s">
        <v>18941</v>
      </c>
      <c r="P2474" s="4" t="s">
        <v>8313</v>
      </c>
      <c r="Q2474" s="4" t="s">
        <v>18942</v>
      </c>
      <c r="R2474" s="6"/>
      <c r="S2474" s="6"/>
      <c r="T2474" s="6"/>
      <c r="U2474" s="6"/>
      <c r="V2474" s="6"/>
      <c r="W2474" s="6"/>
      <c r="X2474" s="6"/>
      <c r="Y2474" s="6"/>
      <c r="Z2474" s="6"/>
      <c r="AA2474" s="6"/>
    </row>
    <row r="2475" ht="14.25">
      <c r="B2475" s="4" t="s">
        <v>1767</v>
      </c>
      <c r="C2475" s="4" t="s">
        <v>18943</v>
      </c>
      <c r="D2475" s="4" t="s">
        <v>778</v>
      </c>
      <c r="E2475" s="4" t="s">
        <v>18944</v>
      </c>
      <c r="F2475" s="4" t="str">
        <f>IFERROR(__XLUDF.DUMMYFUNCTION("PROPER(REGEXREPLACE(D191,""[^A-Za-z]+ "",""""))"),"The Cross Product")</f>
        <v xml:space="preserve">The Cross Product</v>
      </c>
      <c r="G2475" s="4" t="s">
        <v>18945</v>
      </c>
      <c r="H2475" s="4">
        <v>11</v>
      </c>
      <c r="I2475" s="4" t="s">
        <v>2602</v>
      </c>
      <c r="J2475" s="4"/>
      <c r="K2475" s="5" t="s">
        <v>18946</v>
      </c>
      <c r="L2475" s="5" t="s">
        <v>18947</v>
      </c>
      <c r="M2475" s="4" t="s">
        <v>39</v>
      </c>
      <c r="N2475" s="4" t="s">
        <v>29</v>
      </c>
      <c r="O2475" s="4" t="s">
        <v>18948</v>
      </c>
      <c r="P2475" s="4" t="s">
        <v>29</v>
      </c>
      <c r="Q2475" s="4" t="s">
        <v>18949</v>
      </c>
      <c r="R2475" s="6"/>
      <c r="S2475" s="6"/>
      <c r="T2475" s="6"/>
      <c r="U2475" s="6"/>
      <c r="V2475" s="6"/>
      <c r="W2475" s="6"/>
      <c r="X2475" s="6"/>
      <c r="Y2475" s="6"/>
      <c r="Z2475" s="6"/>
      <c r="AA2475" s="6"/>
    </row>
    <row r="2476" ht="14.25">
      <c r="B2476" s="4" t="s">
        <v>622</v>
      </c>
      <c r="C2476" s="4" t="s">
        <v>18950</v>
      </c>
      <c r="D2476" s="4" t="s">
        <v>172</v>
      </c>
      <c r="E2476" s="4" t="s">
        <v>18951</v>
      </c>
      <c r="F2476" s="4" t="str">
        <f>IFERROR(__XLUDF.DUMMYFUNCTION("PROPER(REGEXREPLACE(D192,""[^A-Za-z]+ "",""""))"),"Actimac Groupe")</f>
        <v xml:space="preserve">Actimac Groupe</v>
      </c>
      <c r="G2476" s="4" t="s">
        <v>18952</v>
      </c>
      <c r="H2476" s="4">
        <v>34</v>
      </c>
      <c r="I2476" s="4" t="s">
        <v>2602</v>
      </c>
      <c r="J2476" s="4" t="str">
        <f>IFERROR(__XLUDF.DUMMYFUNCTION("VLOOKUP(H192,IMPORTRANGE(""https://docs.google.com/spreadsheets/d/1opm6ZNvGZ7KditA9TuJwrZ25eFLfTNIkrNnY6mhV5Eg"",""list!A1:C115""),3,TRUE)"),"le secteur de la tech")</f>
        <v xml:space="preserve">le secteur de la tech</v>
      </c>
      <c r="K2476" s="5" t="s">
        <v>18953</v>
      </c>
      <c r="L2476" s="5" t="s">
        <v>18954</v>
      </c>
      <c r="M2476" s="4" t="s">
        <v>6954</v>
      </c>
      <c r="N2476" s="4" t="s">
        <v>29</v>
      </c>
      <c r="O2476" s="4" t="s">
        <v>18955</v>
      </c>
      <c r="P2476" s="4" t="s">
        <v>29</v>
      </c>
      <c r="Q2476" s="4" t="s">
        <v>18956</v>
      </c>
      <c r="R2476" s="6"/>
      <c r="S2476" s="6"/>
      <c r="T2476" s="6"/>
      <c r="U2476" s="6"/>
      <c r="V2476" s="6"/>
      <c r="W2476" s="6"/>
      <c r="X2476" s="6"/>
      <c r="Y2476" s="6"/>
      <c r="Z2476" s="6"/>
      <c r="AA2476" s="6"/>
    </row>
    <row r="2477" ht="14.25">
      <c r="B2477" s="4" t="s">
        <v>548</v>
      </c>
      <c r="C2477" s="4" t="s">
        <v>18957</v>
      </c>
      <c r="D2477" s="4" t="s">
        <v>18958</v>
      </c>
      <c r="E2477" s="4" t="s">
        <v>18959</v>
      </c>
      <c r="F2477" s="4" t="str">
        <f>IFERROR(__XLUDF.DUMMYFUNCTION("PROPER(REGEXREPLACE(D193,""[^A-Za-z]+ "",""""))"),"Bulwark Studios")</f>
        <v xml:space="preserve">Bulwark Studios</v>
      </c>
      <c r="G2477" s="4" t="s">
        <v>18960</v>
      </c>
      <c r="H2477" s="4">
        <v>17</v>
      </c>
      <c r="I2477" s="4" t="s">
        <v>18961</v>
      </c>
      <c r="J2477" s="4"/>
      <c r="K2477" s="5" t="s">
        <v>18962</v>
      </c>
      <c r="L2477" s="5" t="s">
        <v>18963</v>
      </c>
      <c r="M2477" s="6"/>
      <c r="N2477" s="4" t="s">
        <v>29</v>
      </c>
      <c r="O2477" s="4" t="s">
        <v>18964</v>
      </c>
      <c r="P2477" s="4" t="s">
        <v>29</v>
      </c>
      <c r="Q2477" s="6"/>
      <c r="R2477" s="6"/>
      <c r="S2477" s="6"/>
      <c r="T2477" s="6"/>
      <c r="U2477" s="6"/>
      <c r="V2477" s="6"/>
      <c r="W2477" s="6"/>
      <c r="X2477" s="6"/>
      <c r="Y2477" s="6"/>
      <c r="Z2477" s="6"/>
      <c r="AA2477" s="6"/>
    </row>
    <row r="2478" ht="14.25">
      <c r="B2478" s="4" t="s">
        <v>3072</v>
      </c>
      <c r="C2478" s="4" t="s">
        <v>9794</v>
      </c>
      <c r="D2478" s="4" t="s">
        <v>426</v>
      </c>
      <c r="E2478" s="4" t="s">
        <v>18965</v>
      </c>
      <c r="F2478" s="4" t="str">
        <f>IFERROR(__XLUDF.DUMMYFUNCTION("PROPER(REGEXREPLACE(D194,""[^A-Za-z]+ "",""""))"),"Tertia Solutions")</f>
        <v xml:space="preserve">Tertia Solutions</v>
      </c>
      <c r="G2478" s="4" t="s">
        <v>18966</v>
      </c>
      <c r="H2478" s="4">
        <v>38</v>
      </c>
      <c r="I2478" s="4" t="s">
        <v>4525</v>
      </c>
      <c r="J2478" s="4" t="str">
        <f>IFERROR(__XLUDF.DUMMYFUNCTION("VLOOKUP(H194,IMPORTRANGE(""https://docs.google.com/spreadsheets/d/1opm6ZNvGZ7KditA9TuJwrZ25eFLfTNIkrNnY6mhV5Eg"",""list!A1:C115""),3,TRUE)"),"le secteur du retail")</f>
        <v xml:space="preserve">le secteur du retail</v>
      </c>
      <c r="K2478" s="5" t="s">
        <v>18967</v>
      </c>
      <c r="L2478" s="5" t="s">
        <v>18968</v>
      </c>
      <c r="M2478" s="4" t="s">
        <v>651</v>
      </c>
      <c r="N2478" s="4" t="s">
        <v>29</v>
      </c>
      <c r="O2478" s="4" t="s">
        <v>18969</v>
      </c>
      <c r="P2478" s="4" t="s">
        <v>29</v>
      </c>
      <c r="Q2478" s="4" t="s">
        <v>18970</v>
      </c>
      <c r="R2478" s="6"/>
      <c r="S2478" s="6"/>
      <c r="T2478" s="6"/>
      <c r="U2478" s="6"/>
      <c r="V2478" s="6"/>
      <c r="W2478" s="6"/>
      <c r="X2478" s="6"/>
      <c r="Y2478" s="6"/>
      <c r="Z2478" s="6"/>
      <c r="AA2478" s="6"/>
    </row>
    <row r="2479" ht="14.25">
      <c r="B2479" s="4" t="s">
        <v>4800</v>
      </c>
      <c r="C2479" s="4" t="s">
        <v>18971</v>
      </c>
      <c r="D2479" s="4" t="s">
        <v>18972</v>
      </c>
      <c r="E2479" s="4" t="s">
        <v>18973</v>
      </c>
      <c r="F2479" s="4" t="str">
        <f>IFERROR(__XLUDF.DUMMYFUNCTION("PROPER(REGEXREPLACE(D195,""[^A-Za-z]+ "",""""))"),"Silverteam")</f>
        <v>Silverteam</v>
      </c>
      <c r="G2479" s="4" t="s">
        <v>18974</v>
      </c>
      <c r="H2479" s="4">
        <v>29</v>
      </c>
      <c r="I2479" s="4" t="s">
        <v>4067</v>
      </c>
      <c r="J2479" s="4"/>
      <c r="K2479" s="5" t="s">
        <v>18975</v>
      </c>
      <c r="L2479" s="5" t="s">
        <v>18976</v>
      </c>
      <c r="M2479" s="4" t="s">
        <v>15147</v>
      </c>
      <c r="N2479" s="4" t="s">
        <v>29</v>
      </c>
      <c r="O2479" s="4" t="s">
        <v>18977</v>
      </c>
      <c r="P2479" s="4" t="s">
        <v>29</v>
      </c>
      <c r="Q2479" s="6"/>
      <c r="R2479" s="6"/>
      <c r="S2479" s="6"/>
      <c r="T2479" s="6"/>
      <c r="U2479" s="6"/>
      <c r="V2479" s="6"/>
      <c r="W2479" s="6"/>
      <c r="X2479" s="6"/>
      <c r="Y2479" s="6"/>
      <c r="Z2479" s="6"/>
      <c r="AA2479" s="6"/>
    </row>
    <row r="2480" ht="14.25">
      <c r="B2480" s="4" t="s">
        <v>525</v>
      </c>
      <c r="C2480" s="4" t="s">
        <v>18978</v>
      </c>
      <c r="D2480" s="4" t="s">
        <v>18979</v>
      </c>
      <c r="E2480" s="4" t="s">
        <v>18980</v>
      </c>
      <c r="F2480" s="4" t="str">
        <f>IFERROR(__XLUDF.DUMMYFUNCTION("PROPER(REGEXREPLACE(D196,""[^A-Za-z]+ "",""""))"),"Shop My Influence")</f>
        <v xml:space="preserve">Shop My Influence</v>
      </c>
      <c r="G2480" s="4" t="s">
        <v>18981</v>
      </c>
      <c r="H2480" s="4">
        <v>37</v>
      </c>
      <c r="I2480" s="4" t="s">
        <v>9161</v>
      </c>
      <c r="J2480" s="4"/>
      <c r="K2480" s="5" t="s">
        <v>18982</v>
      </c>
      <c r="L2480" s="5" t="s">
        <v>18983</v>
      </c>
      <c r="M2480" s="4" t="s">
        <v>39</v>
      </c>
      <c r="N2480" s="4" t="s">
        <v>29</v>
      </c>
      <c r="O2480" s="4" t="s">
        <v>18984</v>
      </c>
      <c r="P2480" s="4" t="s">
        <v>29</v>
      </c>
      <c r="Q2480" s="4" t="s">
        <v>18985</v>
      </c>
      <c r="R2480" s="6"/>
      <c r="S2480" s="6"/>
      <c r="T2480" s="6"/>
      <c r="U2480" s="6"/>
      <c r="V2480" s="6"/>
      <c r="W2480" s="6"/>
      <c r="X2480" s="6"/>
      <c r="Y2480" s="6"/>
      <c r="Z2480" s="6"/>
      <c r="AA2480" s="6"/>
    </row>
    <row r="2481" ht="14.25">
      <c r="B2481" s="4" t="s">
        <v>4115</v>
      </c>
      <c r="C2481" s="4" t="s">
        <v>18986</v>
      </c>
      <c r="D2481" s="4" t="s">
        <v>18987</v>
      </c>
      <c r="E2481" s="4" t="s">
        <v>18988</v>
      </c>
      <c r="F2481" s="4" t="str">
        <f>IFERROR(__XLUDF.DUMMYFUNCTION("PROPER(REGEXREPLACE(D197,""[^A-Za-z]+ "",""""))"),"Samsys")</f>
        <v>Samsys</v>
      </c>
      <c r="G2481" s="4" t="s">
        <v>18989</v>
      </c>
      <c r="H2481" s="4">
        <v>9</v>
      </c>
      <c r="I2481" s="4" t="s">
        <v>10215</v>
      </c>
      <c r="J2481" s="4"/>
      <c r="K2481" s="5" t="s">
        <v>18990</v>
      </c>
      <c r="L2481" s="5" t="s">
        <v>18991</v>
      </c>
      <c r="M2481" s="4" t="s">
        <v>846</v>
      </c>
      <c r="N2481" s="4" t="s">
        <v>29</v>
      </c>
      <c r="O2481" s="4" t="s">
        <v>18845</v>
      </c>
      <c r="P2481" s="4" t="s">
        <v>29</v>
      </c>
      <c r="Q2481" s="4" t="s">
        <v>18992</v>
      </c>
      <c r="R2481" s="6"/>
      <c r="S2481" s="6"/>
      <c r="T2481" s="6"/>
      <c r="U2481" s="6"/>
      <c r="V2481" s="6"/>
      <c r="W2481" s="6"/>
      <c r="X2481" s="6"/>
      <c r="Y2481" s="6"/>
      <c r="Z2481" s="6"/>
      <c r="AA2481" s="6"/>
    </row>
    <row r="2482" ht="14.25">
      <c r="B2482" s="4" t="s">
        <v>52</v>
      </c>
      <c r="C2482" s="4" t="s">
        <v>18993</v>
      </c>
      <c r="D2482" s="4" t="s">
        <v>62</v>
      </c>
      <c r="E2482" s="4" t="s">
        <v>18994</v>
      </c>
      <c r="F2482" s="4" t="str">
        <f>IFERROR(__XLUDF.DUMMYFUNCTION("PROPER(REGEXREPLACE(D198,""[^A-Za-z]+ "",""""))"),"Joosnabhan")</f>
        <v>Joosnabhan</v>
      </c>
      <c r="G2482" s="4" t="s">
        <v>18995</v>
      </c>
      <c r="H2482" s="4">
        <v>10</v>
      </c>
      <c r="I2482" s="4" t="s">
        <v>9161</v>
      </c>
      <c r="J2482" s="4" t="str">
        <f>IFERROR(__XLUDF.DUMMYFUNCTION("VLOOKUP(H198,IMPORTRANGE(""https://docs.google.com/spreadsheets/d/1opm6ZNvGZ7KditA9TuJwrZ25eFLfTNIkrNnY6mhV5Eg"",""list!A1:C115""),3,TRUE)"),"le secteur du marketing")</f>
        <v xml:space="preserve">le secteur du marketing</v>
      </c>
      <c r="K2482" s="5" t="s">
        <v>18996</v>
      </c>
      <c r="L2482" s="5" t="s">
        <v>18997</v>
      </c>
      <c r="M2482" s="6"/>
      <c r="N2482" s="4" t="s">
        <v>29</v>
      </c>
      <c r="O2482" s="4" t="s">
        <v>18998</v>
      </c>
      <c r="P2482" s="4" t="s">
        <v>29</v>
      </c>
      <c r="Q2482" s="4" t="s">
        <v>18999</v>
      </c>
      <c r="R2482" s="6"/>
      <c r="S2482" s="6"/>
      <c r="T2482" s="6"/>
      <c r="U2482" s="6"/>
      <c r="V2482" s="6"/>
      <c r="W2482" s="6"/>
      <c r="X2482" s="6"/>
      <c r="Y2482" s="6"/>
      <c r="Z2482" s="6"/>
      <c r="AA2482" s="6"/>
    </row>
    <row r="2483" ht="14.25">
      <c r="B2483" s="4" t="s">
        <v>222</v>
      </c>
      <c r="C2483" s="4" t="s">
        <v>1183</v>
      </c>
      <c r="D2483" s="4" t="s">
        <v>19000</v>
      </c>
      <c r="E2483" s="4" t="s">
        <v>19001</v>
      </c>
      <c r="F2483" s="4" t="str">
        <f>IFERROR(__XLUDF.DUMMYFUNCTION("PROPER(REGEXREPLACE(D199,""[^A-Za-z]+ "",""""))"),"Humanim Life Sciences")</f>
        <v xml:space="preserve">Humanim Life Sciences</v>
      </c>
      <c r="G2483" s="4" t="s">
        <v>19002</v>
      </c>
      <c r="H2483" s="4">
        <v>10</v>
      </c>
      <c r="I2483" s="4" t="s">
        <v>4067</v>
      </c>
      <c r="J2483" s="4" t="str">
        <f>IFERROR(__XLUDF.DUMMYFUNCTION("VLOOKUP(H199,IMPORTRANGE(""https://docs.google.com/spreadsheets/d/1opm6ZNvGZ7KditA9TuJwrZ25eFLfTNIkrNnY6mhV5Eg"",""list!A1:C115""),3,TRUE)"),"le secteur du conseil en management")</f>
        <v xml:space="preserve">le secteur du conseil en management</v>
      </c>
      <c r="K2483" s="5" t="s">
        <v>19003</v>
      </c>
      <c r="L2483" s="5" t="s">
        <v>19004</v>
      </c>
      <c r="M2483" s="4" t="s">
        <v>39</v>
      </c>
      <c r="N2483" s="4" t="s">
        <v>29</v>
      </c>
      <c r="O2483" s="4" t="s">
        <v>19005</v>
      </c>
      <c r="P2483" s="4" t="s">
        <v>29</v>
      </c>
      <c r="Q2483" s="6"/>
      <c r="R2483" s="6"/>
      <c r="S2483" s="6"/>
      <c r="T2483" s="6"/>
      <c r="U2483" s="6"/>
      <c r="V2483" s="6"/>
      <c r="W2483" s="6"/>
      <c r="X2483" s="6"/>
      <c r="Y2483" s="6"/>
      <c r="Z2483" s="6"/>
      <c r="AA2483" s="6"/>
    </row>
    <row r="2484" ht="14.25">
      <c r="B2484" s="4" t="s">
        <v>3540</v>
      </c>
      <c r="C2484" s="4" t="s">
        <v>19006</v>
      </c>
      <c r="D2484" s="4" t="s">
        <v>164</v>
      </c>
      <c r="E2484" s="4" t="s">
        <v>19007</v>
      </c>
      <c r="F2484" s="4" t="str">
        <f>IFERROR(__XLUDF.DUMMYFUNCTION("PROPER(REGEXREPLACE(D200,""[^A-Za-z]+ "",""""))"),"Ibex")</f>
        <v>Ibex</v>
      </c>
      <c r="G2484" s="4" t="s">
        <v>19008</v>
      </c>
      <c r="H2484" s="4">
        <v>28</v>
      </c>
      <c r="I2484" s="4" t="s">
        <v>2602</v>
      </c>
      <c r="J2484" s="4" t="str">
        <f>IFERROR(__XLUDF.DUMMYFUNCTION("VLOOKUP(H200,IMPORTRANGE(""https://docs.google.com/spreadsheets/d/1opm6ZNvGZ7KditA9TuJwrZ25eFLfTNIkrNnY6mhV5Eg"",""list!A1:C115""),3,TRUE)"),"le secteur de la tech")</f>
        <v xml:space="preserve">le secteur de la tech</v>
      </c>
      <c r="K2484" s="5" t="s">
        <v>19009</v>
      </c>
      <c r="L2484" s="5" t="s">
        <v>19010</v>
      </c>
      <c r="M2484" s="4" t="s">
        <v>39</v>
      </c>
      <c r="N2484" s="4" t="s">
        <v>29</v>
      </c>
      <c r="O2484" s="4" t="s">
        <v>929</v>
      </c>
      <c r="P2484" s="4" t="s">
        <v>29</v>
      </c>
      <c r="Q2484" s="6"/>
      <c r="R2484" s="6"/>
      <c r="S2484" s="6"/>
      <c r="T2484" s="6"/>
      <c r="U2484" s="6"/>
      <c r="V2484" s="6"/>
      <c r="W2484" s="6"/>
      <c r="X2484" s="6"/>
      <c r="Y2484" s="6"/>
      <c r="Z2484" s="6"/>
      <c r="AA2484" s="6"/>
    </row>
    <row r="2485" ht="14.25">
      <c r="B2485" s="4" t="s">
        <v>2348</v>
      </c>
      <c r="C2485" s="4" t="s">
        <v>19011</v>
      </c>
      <c r="D2485" s="4" t="s">
        <v>341</v>
      </c>
      <c r="E2485" s="4" t="s">
        <v>19012</v>
      </c>
      <c r="F2485" s="4" t="str">
        <f>IFERROR(__XLUDF.DUMMYFUNCTION("PROPER(REGEXREPLACE(D201,""[^A-Za-z]+ "",""""))"),"Ikighia")</f>
        <v>Ikighia</v>
      </c>
      <c r="G2485" s="4" t="s">
        <v>19013</v>
      </c>
      <c r="H2485" s="4">
        <v>35</v>
      </c>
      <c r="I2485" s="4" t="s">
        <v>2602</v>
      </c>
      <c r="J2485" s="4" t="str">
        <f>IFERROR(__XLUDF.DUMMYFUNCTION("VLOOKUP(H201,IMPORTRANGE(""https://docs.google.com/spreadsheets/d/1opm6ZNvGZ7KditA9TuJwrZ25eFLfTNIkrNnY6mhV5Eg"",""list!A1:C115""),3,TRUE)"),"le secteur de la tech")</f>
        <v xml:space="preserve">le secteur de la tech</v>
      </c>
      <c r="K2485" s="5" t="s">
        <v>19014</v>
      </c>
      <c r="L2485" s="5" t="s">
        <v>19015</v>
      </c>
      <c r="M2485" s="4" t="s">
        <v>846</v>
      </c>
      <c r="N2485" s="4" t="s">
        <v>29</v>
      </c>
      <c r="O2485" s="4" t="s">
        <v>19016</v>
      </c>
      <c r="P2485" s="4" t="s">
        <v>29</v>
      </c>
      <c r="Q2485" s="6"/>
      <c r="R2485" s="6"/>
      <c r="S2485" s="6"/>
      <c r="T2485" s="6"/>
      <c r="U2485" s="6"/>
      <c r="V2485" s="6"/>
      <c r="W2485" s="6"/>
      <c r="X2485" s="6"/>
      <c r="Y2485" s="6"/>
      <c r="Z2485" s="6"/>
      <c r="AA2485" s="6"/>
    </row>
    <row r="2486" ht="14.25">
      <c r="B2486" s="4" t="s">
        <v>670</v>
      </c>
      <c r="C2486" s="4" t="s">
        <v>867</v>
      </c>
      <c r="D2486" s="4" t="s">
        <v>19017</v>
      </c>
      <c r="E2486" s="4" t="s">
        <v>19018</v>
      </c>
      <c r="F2486" s="4" t="str">
        <f>IFERROR(__XLUDF.DUMMYFUNCTION("PROPER(REGEXREPLACE(D202,""[^A-Za-z]+ "",""""))"),"Erium")</f>
        <v>Erium</v>
      </c>
      <c r="G2486" s="4" t="s">
        <v>19019</v>
      </c>
      <c r="H2486" s="4">
        <v>36</v>
      </c>
      <c r="I2486" s="4" t="s">
        <v>2602</v>
      </c>
      <c r="J2486" s="4" t="str">
        <f>IFERROR(__XLUDF.DUMMYFUNCTION("VLOOKUP(H202,IMPORTRANGE(""https://docs.google.com/spreadsheets/d/1opm6ZNvGZ7KditA9TuJwrZ25eFLfTNIkrNnY6mhV5Eg"",""list!A1:C115""),3,TRUE)"),"le secteur de la tech")</f>
        <v xml:space="preserve">le secteur de la tech</v>
      </c>
      <c r="K2486" s="5" t="s">
        <v>19020</v>
      </c>
      <c r="L2486" s="5" t="s">
        <v>19021</v>
      </c>
      <c r="M2486" s="6"/>
      <c r="N2486" s="4" t="s">
        <v>29</v>
      </c>
      <c r="O2486" s="4" t="s">
        <v>19022</v>
      </c>
      <c r="P2486" s="4" t="s">
        <v>29</v>
      </c>
      <c r="Q2486" s="4" t="s">
        <v>19023</v>
      </c>
      <c r="R2486" s="6"/>
      <c r="S2486" s="6"/>
      <c r="T2486" s="6"/>
      <c r="U2486" s="6"/>
      <c r="V2486" s="6"/>
      <c r="W2486" s="6"/>
      <c r="X2486" s="6"/>
      <c r="Y2486" s="6"/>
      <c r="Z2486" s="6"/>
      <c r="AA2486" s="6"/>
    </row>
    <row r="2487" ht="14.25">
      <c r="B2487" s="4" t="s">
        <v>622</v>
      </c>
      <c r="C2487" s="4" t="s">
        <v>19024</v>
      </c>
      <c r="D2487" s="4" t="s">
        <v>120</v>
      </c>
      <c r="E2487" s="4" t="s">
        <v>19025</v>
      </c>
      <c r="F2487" s="4" t="str">
        <f>IFERROR(__XLUDF.DUMMYFUNCTION("PROPER(REGEXREPLACE(D203,""[^A-Za-z]+ "",""""))"),"Caeli Energie")</f>
        <v xml:space="preserve">Caeli Energie</v>
      </c>
      <c r="G2487" s="4" t="s">
        <v>19026</v>
      </c>
      <c r="H2487" s="4">
        <v>37</v>
      </c>
      <c r="I2487" s="4" t="s">
        <v>10215</v>
      </c>
      <c r="J2487" s="4" t="str">
        <f>IFERROR(__XLUDF.DUMMYFUNCTION("VLOOKUP(H203,IMPORTRANGE(""https://docs.google.com/spreadsheets/d/1opm6ZNvGZ7KditA9TuJwrZ25eFLfTNIkrNnY6mhV5Eg"",""list!A1:C115""),3,TRUE)"),"le secteur de l'électrique et électronique")</f>
        <v xml:space="preserve">le secteur de l'électrique et électronique</v>
      </c>
      <c r="K2487" s="5" t="s">
        <v>19027</v>
      </c>
      <c r="L2487" s="5" t="s">
        <v>19028</v>
      </c>
      <c r="M2487" s="4" t="s">
        <v>5265</v>
      </c>
      <c r="N2487" s="4" t="s">
        <v>29</v>
      </c>
      <c r="O2487" s="4" t="s">
        <v>1851</v>
      </c>
      <c r="P2487" s="4" t="s">
        <v>29</v>
      </c>
      <c r="Q2487" s="4" t="s">
        <v>19029</v>
      </c>
      <c r="R2487" s="6"/>
      <c r="S2487" s="6"/>
      <c r="T2487" s="6"/>
      <c r="U2487" s="6"/>
      <c r="V2487" s="6"/>
      <c r="W2487" s="6"/>
      <c r="X2487" s="6"/>
      <c r="Y2487" s="6"/>
      <c r="Z2487" s="6"/>
      <c r="AA2487" s="6"/>
    </row>
    <row r="2488" ht="14.25">
      <c r="B2488" s="4" t="s">
        <v>20</v>
      </c>
      <c r="C2488" s="4" t="s">
        <v>19030</v>
      </c>
      <c r="D2488" s="4" t="s">
        <v>19031</v>
      </c>
      <c r="E2488" s="4" t="s">
        <v>19032</v>
      </c>
      <c r="F2488" s="4" t="str">
        <f>IFERROR(__XLUDF.DUMMYFUNCTION("PROPER(REGEXREPLACE(D204,""[^A-Za-z]+ "",""""))"),"Simplicité")</f>
        <v>Simplicité</v>
      </c>
      <c r="G2488" s="4" t="s">
        <v>19033</v>
      </c>
      <c r="H2488" s="4">
        <v>12</v>
      </c>
      <c r="I2488" s="4" t="s">
        <v>2602</v>
      </c>
      <c r="J2488" s="4" t="str">
        <f>IFERROR(__XLUDF.DUMMYFUNCTION("VLOOKUP(H204,IMPORTRANGE(""https://docs.google.com/spreadsheets/d/1opm6ZNvGZ7KditA9TuJwrZ25eFLfTNIkrNnY6mhV5Eg"",""list!A1:C115""),3,TRUE)"),"le secteur de la tech")</f>
        <v xml:space="preserve">le secteur de la tech</v>
      </c>
      <c r="K2488" s="5" t="s">
        <v>19034</v>
      </c>
      <c r="L2488" s="5" t="s">
        <v>19035</v>
      </c>
      <c r="M2488" s="6"/>
      <c r="N2488" s="4" t="s">
        <v>29</v>
      </c>
      <c r="O2488" s="4" t="s">
        <v>19036</v>
      </c>
      <c r="P2488" s="4" t="s">
        <v>29</v>
      </c>
      <c r="Q2488" s="4" t="s">
        <v>19037</v>
      </c>
      <c r="R2488" s="6"/>
      <c r="S2488" s="6"/>
      <c r="T2488" s="6"/>
      <c r="U2488" s="6"/>
      <c r="V2488" s="6"/>
      <c r="W2488" s="6"/>
      <c r="X2488" s="6"/>
      <c r="Y2488" s="6"/>
      <c r="Z2488" s="6"/>
      <c r="AA2488" s="6"/>
    </row>
    <row r="2489" ht="14.25">
      <c r="B2489" s="4" t="s">
        <v>1732</v>
      </c>
      <c r="C2489" s="4" t="s">
        <v>19038</v>
      </c>
      <c r="D2489" s="4" t="s">
        <v>5400</v>
      </c>
      <c r="E2489" s="4" t="s">
        <v>19039</v>
      </c>
      <c r="F2489" s="4" t="str">
        <f>IFERROR(__XLUDF.DUMMYFUNCTION("PROPER(REGEXREPLACE(D205,""[^A-Za-z]+ "",""""))"),"Eslnetwork")</f>
        <v>Eslnetwork</v>
      </c>
      <c r="G2489" s="4" t="s">
        <v>19040</v>
      </c>
      <c r="H2489" s="4">
        <v>40</v>
      </c>
      <c r="I2489" s="4" t="s">
        <v>4067</v>
      </c>
      <c r="J2489" s="4" t="str">
        <f>IFERROR(__XLUDF.DUMMYFUNCTION("VLOOKUP(H205,IMPORTRANGE(""https://docs.google.com/spreadsheets/d/1opm6ZNvGZ7KditA9TuJwrZ25eFLfTNIkrNnY6mhV5Eg"",""list!A1:C115""),3,TRUE)"),"le secteur du conseil en management")</f>
        <v xml:space="preserve">le secteur du conseil en management</v>
      </c>
      <c r="K2489" s="5" t="s">
        <v>19041</v>
      </c>
      <c r="L2489" s="5" t="s">
        <v>19042</v>
      </c>
      <c r="M2489" s="6"/>
      <c r="N2489" s="4" t="s">
        <v>29</v>
      </c>
      <c r="O2489" s="4" t="s">
        <v>19043</v>
      </c>
      <c r="P2489" s="4" t="s">
        <v>29</v>
      </c>
      <c r="Q2489" s="4" t="s">
        <v>19044</v>
      </c>
      <c r="R2489" s="6"/>
      <c r="S2489" s="6"/>
      <c r="T2489" s="6"/>
      <c r="U2489" s="6"/>
      <c r="V2489" s="6"/>
      <c r="W2489" s="6"/>
      <c r="X2489" s="6"/>
      <c r="Y2489" s="6"/>
      <c r="Z2489" s="6"/>
      <c r="AA2489" s="6"/>
    </row>
    <row r="2490" ht="14.25">
      <c r="B2490" s="4" t="s">
        <v>215</v>
      </c>
      <c r="C2490" s="4" t="s">
        <v>19045</v>
      </c>
      <c r="D2490" s="4" t="s">
        <v>19046</v>
      </c>
      <c r="E2490" s="4" t="s">
        <v>19047</v>
      </c>
      <c r="F2490" s="4" t="str">
        <f>IFERROR(__XLUDF.DUMMYFUNCTION("PROPER(REGEXREPLACE(D206,""[^A-Za-z]+ "",""""))"),"Ito33")</f>
        <v>Ito33</v>
      </c>
      <c r="G2490" s="4" t="s">
        <v>19048</v>
      </c>
      <c r="H2490" s="4">
        <v>20</v>
      </c>
      <c r="I2490" s="4" t="s">
        <v>2602</v>
      </c>
      <c r="J2490" s="4"/>
      <c r="K2490" s="5" t="s">
        <v>19049</v>
      </c>
      <c r="L2490" s="5" t="s">
        <v>19050</v>
      </c>
      <c r="M2490" s="4" t="s">
        <v>39</v>
      </c>
      <c r="N2490" s="4" t="s">
        <v>29</v>
      </c>
      <c r="O2490" s="4" t="s">
        <v>19051</v>
      </c>
      <c r="P2490" s="4" t="s">
        <v>29</v>
      </c>
      <c r="Q2490" s="6"/>
      <c r="R2490" s="6"/>
      <c r="S2490" s="6"/>
      <c r="T2490" s="6"/>
      <c r="U2490" s="6"/>
      <c r="V2490" s="6"/>
      <c r="W2490" s="6"/>
      <c r="X2490" s="6"/>
      <c r="Y2490" s="6"/>
      <c r="Z2490" s="6"/>
      <c r="AA2490" s="6"/>
    </row>
    <row r="2491" ht="14.25">
      <c r="B2491" s="4" t="s">
        <v>19052</v>
      </c>
      <c r="C2491" s="4" t="s">
        <v>19053</v>
      </c>
      <c r="D2491" s="4" t="s">
        <v>19054</v>
      </c>
      <c r="E2491" s="4" t="s">
        <v>19055</v>
      </c>
      <c r="F2491" s="4" t="str">
        <f>IFERROR(__XLUDF.DUMMYFUNCTION("PROPER(REGEXREPLACE(D207,""[^A-Za-z]+ "",""""))"),"Plus Games")</f>
        <v xml:space="preserve">Plus Games</v>
      </c>
      <c r="G2491" s="4" t="s">
        <v>19056</v>
      </c>
      <c r="H2491" s="4">
        <v>7</v>
      </c>
      <c r="I2491" s="4" t="s">
        <v>18961</v>
      </c>
      <c r="J2491" s="4"/>
      <c r="K2491" s="5" t="s">
        <v>19057</v>
      </c>
      <c r="L2491" s="5" t="s">
        <v>19058</v>
      </c>
      <c r="M2491" s="4" t="s">
        <v>1507</v>
      </c>
      <c r="N2491" s="4" t="s">
        <v>29</v>
      </c>
      <c r="O2491" s="4" t="s">
        <v>19059</v>
      </c>
      <c r="P2491" s="4" t="s">
        <v>29</v>
      </c>
      <c r="Q2491" s="4" t="s">
        <v>19060</v>
      </c>
      <c r="R2491" s="6"/>
      <c r="S2491" s="6"/>
      <c r="T2491" s="6"/>
      <c r="U2491" s="6"/>
      <c r="V2491" s="6"/>
      <c r="W2491" s="6"/>
      <c r="X2491" s="6"/>
      <c r="Y2491" s="6"/>
      <c r="Z2491" s="6"/>
      <c r="AA2491" s="6"/>
    </row>
    <row r="2492" ht="14.25">
      <c r="B2492" s="4" t="s">
        <v>485</v>
      </c>
      <c r="C2492" s="4" t="s">
        <v>19061</v>
      </c>
      <c r="D2492" s="4" t="s">
        <v>19062</v>
      </c>
      <c r="E2492" s="4" t="s">
        <v>19063</v>
      </c>
      <c r="F2492" s="4" t="str">
        <f>IFERROR(__XLUDF.DUMMYFUNCTION("PROPER(REGEXREPLACE(D208,""[^A-Za-z]+ "",""""))"),"Doctibike")</f>
        <v>Doctibike</v>
      </c>
      <c r="G2492" s="4" t="s">
        <v>19064</v>
      </c>
      <c r="H2492" s="4">
        <v>13</v>
      </c>
      <c r="I2492" s="4" t="s">
        <v>4525</v>
      </c>
      <c r="J2492" s="4" t="str">
        <f>IFERROR(__XLUDF.DUMMYFUNCTION("VLOOKUP(H208,IMPORTRANGE(""https://docs.google.com/spreadsheets/d/1opm6ZNvGZ7KditA9TuJwrZ25eFLfTNIkrNnY6mhV5Eg"",""list!A1:C115""),3,TRUE)"),"le secteur du retail")</f>
        <v xml:space="preserve">le secteur du retail</v>
      </c>
      <c r="K2492" s="5" t="s">
        <v>19065</v>
      </c>
      <c r="L2492" s="5" t="s">
        <v>19066</v>
      </c>
      <c r="M2492" s="4" t="s">
        <v>2174</v>
      </c>
      <c r="N2492" s="4" t="s">
        <v>29</v>
      </c>
      <c r="O2492" s="4" t="s">
        <v>19067</v>
      </c>
      <c r="P2492" s="4" t="s">
        <v>29</v>
      </c>
      <c r="Q2492" s="4" t="s">
        <v>19068</v>
      </c>
      <c r="R2492" s="6"/>
      <c r="S2492" s="6"/>
      <c r="T2492" s="6"/>
      <c r="U2492" s="6"/>
      <c r="V2492" s="6"/>
      <c r="W2492" s="6"/>
      <c r="X2492" s="6"/>
      <c r="Y2492" s="6"/>
      <c r="Z2492" s="6"/>
      <c r="AA2492" s="6"/>
    </row>
    <row r="2493" ht="14.25">
      <c r="B2493" s="4" t="s">
        <v>4425</v>
      </c>
      <c r="C2493" s="4" t="s">
        <v>19069</v>
      </c>
      <c r="D2493" s="4" t="s">
        <v>19070</v>
      </c>
      <c r="E2493" s="4" t="s">
        <v>19071</v>
      </c>
      <c r="F2493" s="4" t="str">
        <f>IFERROR(__XLUDF.DUMMYFUNCTION("PROPER(REGEXREPLACE(D209,""[^A-Za-z]+ "",""""))"),"Mcd")</f>
        <v>Mcd</v>
      </c>
      <c r="G2493" s="4" t="s">
        <v>19072</v>
      </c>
      <c r="H2493" s="4">
        <v>17</v>
      </c>
      <c r="I2493" s="4" t="s">
        <v>10639</v>
      </c>
      <c r="J2493" s="4"/>
      <c r="K2493" s="5" t="s">
        <v>19073</v>
      </c>
      <c r="L2493" s="5" t="s">
        <v>19074</v>
      </c>
      <c r="M2493" s="4" t="s">
        <v>846</v>
      </c>
      <c r="N2493" s="4" t="s">
        <v>29</v>
      </c>
      <c r="O2493" s="4" t="s">
        <v>19075</v>
      </c>
      <c r="P2493" s="4" t="s">
        <v>29</v>
      </c>
      <c r="Q2493" s="6"/>
      <c r="R2493" s="6"/>
      <c r="S2493" s="6"/>
      <c r="T2493" s="6"/>
      <c r="U2493" s="6"/>
      <c r="V2493" s="6"/>
      <c r="W2493" s="6"/>
      <c r="X2493" s="6"/>
      <c r="Y2493" s="6"/>
      <c r="Z2493" s="6"/>
      <c r="AA2493" s="6"/>
    </row>
    <row r="2494" ht="14.25">
      <c r="B2494" s="4" t="s">
        <v>5716</v>
      </c>
      <c r="C2494" s="4" t="s">
        <v>19076</v>
      </c>
      <c r="D2494" s="4" t="s">
        <v>19077</v>
      </c>
      <c r="E2494" s="4" t="s">
        <v>19078</v>
      </c>
      <c r="F2494" s="4" t="str">
        <f>IFERROR(__XLUDF.DUMMYFUNCTION("PROPER(REGEXREPLACE(D210,""[^A-Za-z]+ "",""""))"),"Happy Unity")</f>
        <v xml:space="preserve">Happy Unity</v>
      </c>
      <c r="G2494" s="4" t="s">
        <v>19079</v>
      </c>
      <c r="H2494" s="4">
        <v>10</v>
      </c>
      <c r="I2494" s="4" t="s">
        <v>4067</v>
      </c>
      <c r="J2494" s="4" t="str">
        <f>IFERROR(__XLUDF.DUMMYFUNCTION("VLOOKUP(H210,IMPORTRANGE(""https://docs.google.com/spreadsheets/d/1opm6ZNvGZ7KditA9TuJwrZ25eFLfTNIkrNnY6mhV5Eg"",""list!A1:C115""),3,TRUE)"),"le secteur du conseil en management")</f>
        <v xml:space="preserve">le secteur du conseil en management</v>
      </c>
      <c r="K2494" s="5" t="s">
        <v>19080</v>
      </c>
      <c r="L2494" s="5" t="s">
        <v>19081</v>
      </c>
      <c r="M2494" s="4" t="s">
        <v>6339</v>
      </c>
      <c r="N2494" s="4" t="s">
        <v>29</v>
      </c>
      <c r="O2494" s="4" t="s">
        <v>19082</v>
      </c>
      <c r="P2494" s="4" t="s">
        <v>29</v>
      </c>
      <c r="Q2494" s="4" t="s">
        <v>19083</v>
      </c>
      <c r="R2494" s="6"/>
      <c r="S2494" s="6"/>
      <c r="T2494" s="6"/>
      <c r="U2494" s="6"/>
      <c r="V2494" s="6"/>
      <c r="W2494" s="6"/>
      <c r="X2494" s="6"/>
      <c r="Y2494" s="6"/>
      <c r="Z2494" s="6"/>
      <c r="AA2494" s="6"/>
    </row>
    <row r="2495" ht="14.25">
      <c r="B2495" s="4" t="s">
        <v>222</v>
      </c>
      <c r="C2495" s="4" t="s">
        <v>19084</v>
      </c>
      <c r="D2495" s="4" t="s">
        <v>19085</v>
      </c>
      <c r="E2495" s="4" t="s">
        <v>19086</v>
      </c>
      <c r="F2495" s="4" t="str">
        <f>IFERROR(__XLUDF.DUMMYFUNCTION("PROPER(REGEXREPLACE(D211,""[^A-Za-z]+ "",""""))"),"Lovin")</f>
        <v>Lovin</v>
      </c>
      <c r="G2495" s="4" t="s">
        <v>19087</v>
      </c>
      <c r="H2495" s="4">
        <v>25</v>
      </c>
      <c r="I2495" s="4" t="s">
        <v>19088</v>
      </c>
      <c r="J2495" s="4" t="str">
        <f>IFERROR(__XLUDF.DUMMYFUNCTION("VLOOKUP(H211,IMPORTRANGE(""https://docs.google.com/spreadsheets/d/1opm6ZNvGZ7KditA9TuJwrZ25eFLfTNIkrNnY6mhV5Eg"",""list!A1:C115""),3,TRUE)"),"le secteur des médias en ligne")</f>
        <v xml:space="preserve">le secteur des médias en ligne</v>
      </c>
      <c r="K2495" s="5" t="s">
        <v>19089</v>
      </c>
      <c r="L2495" s="5" t="s">
        <v>19090</v>
      </c>
      <c r="M2495" s="4" t="s">
        <v>1507</v>
      </c>
      <c r="N2495" s="4" t="s">
        <v>29</v>
      </c>
      <c r="O2495" s="4" t="s">
        <v>19091</v>
      </c>
      <c r="P2495" s="4" t="s">
        <v>19092</v>
      </c>
      <c r="Q2495" s="6"/>
      <c r="R2495" s="6"/>
      <c r="S2495" s="6"/>
      <c r="T2495" s="6"/>
      <c r="U2495" s="6"/>
      <c r="V2495" s="6"/>
      <c r="W2495" s="6"/>
      <c r="X2495" s="6"/>
      <c r="Y2495" s="6"/>
      <c r="Z2495" s="6"/>
      <c r="AA2495" s="6"/>
    </row>
    <row r="2496" ht="14.25">
      <c r="B2496" s="4" t="s">
        <v>8944</v>
      </c>
      <c r="C2496" s="4" t="s">
        <v>19093</v>
      </c>
      <c r="D2496" s="4" t="s">
        <v>172</v>
      </c>
      <c r="E2496" s="4" t="s">
        <v>16240</v>
      </c>
      <c r="F2496" s="4" t="str">
        <f>IFERROR(__XLUDF.DUMMYFUNCTION("PROPER(REGEXREPLACE(D212,""[^A-Za-z]+ "",""""))"),"Groupe Acb Concessionnaire Xerox")</f>
        <v xml:space="preserve">Groupe Acb Concessionnaire Xerox</v>
      </c>
      <c r="G2496" s="4" t="s">
        <v>19094</v>
      </c>
      <c r="H2496" s="4">
        <v>28</v>
      </c>
      <c r="I2496" s="4" t="s">
        <v>4525</v>
      </c>
      <c r="J2496" s="4"/>
      <c r="K2496" s="5" t="s">
        <v>19095</v>
      </c>
      <c r="L2496" s="5" t="s">
        <v>19096</v>
      </c>
      <c r="M2496" s="4" t="s">
        <v>423</v>
      </c>
      <c r="N2496" s="4" t="s">
        <v>29</v>
      </c>
      <c r="O2496" s="4" t="s">
        <v>19097</v>
      </c>
      <c r="P2496" s="4" t="s">
        <v>29</v>
      </c>
      <c r="Q2496" s="4" t="s">
        <v>16246</v>
      </c>
      <c r="R2496" s="6"/>
      <c r="S2496" s="6"/>
      <c r="T2496" s="6"/>
      <c r="U2496" s="6"/>
      <c r="V2496" s="6"/>
      <c r="W2496" s="6"/>
      <c r="X2496" s="6"/>
      <c r="Y2496" s="6"/>
      <c r="Z2496" s="6"/>
      <c r="AA2496" s="6"/>
    </row>
    <row r="2497" ht="14.25">
      <c r="B2497" s="4" t="s">
        <v>866</v>
      </c>
      <c r="C2497" s="4" t="s">
        <v>19098</v>
      </c>
      <c r="D2497" s="4" t="s">
        <v>172</v>
      </c>
      <c r="E2497" s="4" t="s">
        <v>19099</v>
      </c>
      <c r="F2497" s="4" t="str">
        <f>IFERROR(__XLUDF.DUMMYFUNCTION("PROPER(REGEXREPLACE(D213,""[^A-Za-z]+ "",""""))"),"Florevie")</f>
        <v>Florevie</v>
      </c>
      <c r="G2497" s="4" t="s">
        <v>19100</v>
      </c>
      <c r="H2497" s="4">
        <v>17</v>
      </c>
      <c r="I2497" s="4" t="s">
        <v>4293</v>
      </c>
      <c r="J2497" s="4"/>
      <c r="K2497" s="5" t="s">
        <v>19101</v>
      </c>
      <c r="L2497" s="5" t="s">
        <v>19102</v>
      </c>
      <c r="M2497" s="4" t="s">
        <v>846</v>
      </c>
      <c r="N2497" s="4" t="s">
        <v>29</v>
      </c>
      <c r="O2497" s="4" t="s">
        <v>19103</v>
      </c>
      <c r="P2497" s="4" t="s">
        <v>29</v>
      </c>
      <c r="Q2497" s="6"/>
      <c r="R2497" s="6"/>
      <c r="S2497" s="6"/>
      <c r="T2497" s="6"/>
      <c r="U2497" s="6"/>
      <c r="V2497" s="6"/>
      <c r="W2497" s="6"/>
      <c r="X2497" s="6"/>
      <c r="Y2497" s="6"/>
      <c r="Z2497" s="6"/>
      <c r="AA2497" s="6"/>
    </row>
    <row r="2498" ht="14.25">
      <c r="B2498" s="4" t="s">
        <v>1667</v>
      </c>
      <c r="C2498" s="4" t="s">
        <v>15718</v>
      </c>
      <c r="D2498" s="4" t="s">
        <v>172</v>
      </c>
      <c r="E2498" s="4" t="s">
        <v>19104</v>
      </c>
      <c r="F2498" s="4" t="str">
        <f>IFERROR(__XLUDF.DUMMYFUNCTION("PROPER(REGEXREPLACE(D214,""[^A-Za-z]+ "",""""))"),"Campion")</f>
        <v>Campion</v>
      </c>
      <c r="G2498" s="4" t="s">
        <v>19105</v>
      </c>
      <c r="H2498" s="4">
        <v>27</v>
      </c>
      <c r="I2498" s="4" t="s">
        <v>2602</v>
      </c>
      <c r="J2498" s="4"/>
      <c r="K2498" s="5" t="s">
        <v>19106</v>
      </c>
      <c r="L2498" s="5" t="s">
        <v>19107</v>
      </c>
      <c r="M2498" s="4" t="s">
        <v>19108</v>
      </c>
      <c r="N2498" s="4" t="s">
        <v>29</v>
      </c>
      <c r="O2498" s="4" t="s">
        <v>19109</v>
      </c>
      <c r="P2498" s="4" t="s">
        <v>1261</v>
      </c>
      <c r="Q2498" s="6"/>
      <c r="R2498" s="6"/>
      <c r="S2498" s="6"/>
      <c r="T2498" s="6"/>
      <c r="U2498" s="6"/>
      <c r="V2498" s="6"/>
      <c r="W2498" s="6"/>
      <c r="X2498" s="6"/>
      <c r="Y2498" s="6"/>
      <c r="Z2498" s="6"/>
      <c r="AA2498" s="6"/>
    </row>
    <row r="2499" ht="14.25">
      <c r="B2499" s="4" t="s">
        <v>13010</v>
      </c>
      <c r="C2499" s="4" t="s">
        <v>19110</v>
      </c>
      <c r="D2499" s="4" t="s">
        <v>19111</v>
      </c>
      <c r="E2499" s="4" t="s">
        <v>19112</v>
      </c>
      <c r="F2499" s="4" t="str">
        <f>IFERROR(__XLUDF.DUMMYFUNCTION("PROPER(REGEXREPLACE(D215,""[^A-Za-z]+ "",""""))"),"Mepi Editeur D'Innovations Industrielles")</f>
        <v xml:space="preserve">Mepi Editeur D'Innovations Industrielles</v>
      </c>
      <c r="G2499" s="4" t="s">
        <v>19113</v>
      </c>
      <c r="H2499" s="4">
        <v>10</v>
      </c>
      <c r="I2499" s="4" t="s">
        <v>4067</v>
      </c>
      <c r="J2499" s="4"/>
      <c r="K2499" s="5" t="s">
        <v>19114</v>
      </c>
      <c r="L2499" s="5" t="s">
        <v>19115</v>
      </c>
      <c r="M2499" s="4" t="s">
        <v>19116</v>
      </c>
      <c r="N2499" s="4" t="s">
        <v>29</v>
      </c>
      <c r="O2499" s="4" t="s">
        <v>19117</v>
      </c>
      <c r="P2499" s="4" t="s">
        <v>29</v>
      </c>
      <c r="Q2499" s="4" t="s">
        <v>19118</v>
      </c>
      <c r="R2499" s="6"/>
      <c r="S2499" s="6"/>
      <c r="T2499" s="6"/>
      <c r="U2499" s="6"/>
      <c r="V2499" s="6"/>
      <c r="W2499" s="6"/>
      <c r="X2499" s="6"/>
      <c r="Y2499" s="6"/>
      <c r="Z2499" s="6"/>
      <c r="AA2499" s="6"/>
    </row>
    <row r="2500" ht="14.25">
      <c r="B2500" s="4" t="s">
        <v>31</v>
      </c>
      <c r="C2500" s="4" t="s">
        <v>19119</v>
      </c>
      <c r="D2500" s="4" t="s">
        <v>62</v>
      </c>
      <c r="E2500" s="4" t="s">
        <v>19120</v>
      </c>
      <c r="F2500" s="4" t="str">
        <f>IFERROR(__XLUDF.DUMMYFUNCTION("PROPER(REGEXREPLACE(D216,""[^A-Za-z]+ "",""""))"),"Findorder")</f>
        <v>Findorder</v>
      </c>
      <c r="G2500" s="4" t="s">
        <v>19121</v>
      </c>
      <c r="H2500" s="4">
        <v>15</v>
      </c>
      <c r="I2500" s="4" t="s">
        <v>2602</v>
      </c>
      <c r="J2500" s="4" t="str">
        <f>IFERROR(__XLUDF.DUMMYFUNCTION("VLOOKUP(H216,IMPORTRANGE(""https://docs.google.com/spreadsheets/d/1opm6ZNvGZ7KditA9TuJwrZ25eFLfTNIkrNnY6mhV5Eg"",""list!A1:C115""),3,TRUE)"),"le secteur de la tech")</f>
        <v xml:space="preserve">le secteur de la tech</v>
      </c>
      <c r="K2500" s="5" t="s">
        <v>19122</v>
      </c>
      <c r="L2500" s="5" t="s">
        <v>19123</v>
      </c>
      <c r="M2500" s="4" t="s">
        <v>39</v>
      </c>
      <c r="N2500" s="4" t="s">
        <v>29</v>
      </c>
      <c r="O2500" s="4" t="s">
        <v>19124</v>
      </c>
      <c r="P2500" s="4" t="s">
        <v>29</v>
      </c>
      <c r="Q2500" s="6"/>
      <c r="R2500" s="6"/>
      <c r="S2500" s="6"/>
      <c r="T2500" s="6"/>
      <c r="U2500" s="6"/>
      <c r="V2500" s="6"/>
      <c r="W2500" s="6"/>
      <c r="X2500" s="6"/>
      <c r="Y2500" s="6"/>
      <c r="Z2500" s="6"/>
      <c r="AA2500" s="6"/>
    </row>
    <row r="2501" ht="14.25">
      <c r="B2501" s="4" t="s">
        <v>2242</v>
      </c>
      <c r="C2501" s="4" t="s">
        <v>19125</v>
      </c>
      <c r="D2501" s="4" t="s">
        <v>172</v>
      </c>
      <c r="E2501" s="4" t="s">
        <v>19126</v>
      </c>
      <c r="F2501" s="4" t="str">
        <f>IFERROR(__XLUDF.DUMMYFUNCTION("PROPER(REGEXREPLACE(D217,""[^A-Za-z]+ "",""""))"),"Enso Groupe")</f>
        <v xml:space="preserve">Enso Groupe</v>
      </c>
      <c r="G2501" s="4" t="s">
        <v>19127</v>
      </c>
      <c r="H2501" s="4">
        <v>69</v>
      </c>
      <c r="I2501" s="4" t="s">
        <v>2602</v>
      </c>
      <c r="J2501" s="4" t="str">
        <f>IFERROR(__XLUDF.DUMMYFUNCTION("VLOOKUP(H217,IMPORTRANGE(""https://docs.google.com/spreadsheets/d/1opm6ZNvGZ7KditA9TuJwrZ25eFLfTNIkrNnY6mhV5Eg"",""list!A1:C115""),3,TRUE)"),"le secteur de la tech")</f>
        <v xml:space="preserve">le secteur de la tech</v>
      </c>
      <c r="K2501" s="5" t="s">
        <v>19128</v>
      </c>
      <c r="L2501" s="5" t="s">
        <v>19129</v>
      </c>
      <c r="M2501" s="4" t="s">
        <v>16312</v>
      </c>
      <c r="N2501" s="4" t="s">
        <v>29</v>
      </c>
      <c r="O2501" s="4" t="s">
        <v>19130</v>
      </c>
      <c r="P2501" s="4" t="s">
        <v>29</v>
      </c>
      <c r="Q2501" s="4" t="s">
        <v>19131</v>
      </c>
      <c r="R2501" s="6"/>
      <c r="S2501" s="6"/>
      <c r="T2501" s="6"/>
      <c r="U2501" s="6"/>
      <c r="V2501" s="6"/>
      <c r="W2501" s="6"/>
      <c r="X2501" s="6"/>
      <c r="Y2501" s="6"/>
      <c r="Z2501" s="6"/>
      <c r="AA2501" s="6"/>
    </row>
    <row r="2502" ht="14.25">
      <c r="B2502" s="4" t="s">
        <v>19132</v>
      </c>
      <c r="C2502" s="4" t="s">
        <v>19133</v>
      </c>
      <c r="D2502" s="4" t="s">
        <v>19134</v>
      </c>
      <c r="E2502" s="4" t="s">
        <v>19135</v>
      </c>
      <c r="F2502" s="4" t="str">
        <f>IFERROR(__XLUDF.DUMMYFUNCTION("PROPER(REGEXREPLACE(D218,""[^A-Za-z]+ "",""""))"),"Opsyre")</f>
        <v>Opsyre</v>
      </c>
      <c r="G2502" s="4" t="s">
        <v>19136</v>
      </c>
      <c r="H2502" s="4">
        <v>10</v>
      </c>
      <c r="I2502" s="4" t="s">
        <v>2602</v>
      </c>
      <c r="J2502" s="4"/>
      <c r="K2502" s="5" t="s">
        <v>19137</v>
      </c>
      <c r="L2502" s="5" t="s">
        <v>19138</v>
      </c>
      <c r="M2502" s="4" t="s">
        <v>39</v>
      </c>
      <c r="N2502" s="4" t="s">
        <v>29</v>
      </c>
      <c r="O2502" s="4" t="s">
        <v>19139</v>
      </c>
      <c r="P2502" s="4" t="s">
        <v>29</v>
      </c>
      <c r="Q2502" s="4" t="s">
        <v>19140</v>
      </c>
      <c r="R2502" s="6"/>
      <c r="S2502" s="6"/>
      <c r="T2502" s="6"/>
      <c r="U2502" s="6"/>
      <c r="V2502" s="6"/>
      <c r="W2502" s="6"/>
      <c r="X2502" s="6"/>
      <c r="Y2502" s="6"/>
      <c r="Z2502" s="6"/>
      <c r="AA2502" s="6"/>
    </row>
    <row r="2503" ht="14.25">
      <c r="B2503" s="4" t="s">
        <v>17911</v>
      </c>
      <c r="C2503" s="4" t="s">
        <v>19141</v>
      </c>
      <c r="D2503" s="4" t="s">
        <v>19142</v>
      </c>
      <c r="E2503" s="4" t="s">
        <v>19143</v>
      </c>
      <c r="F2503" s="4" t="str">
        <f>IFERROR(__XLUDF.DUMMYFUNCTION("PROPER(REGEXREPLACE(D219,""[^A-Za-z]+ "",""""))"),"Lanteas")</f>
        <v>Lanteas</v>
      </c>
      <c r="G2503" s="4" t="s">
        <v>19144</v>
      </c>
      <c r="H2503" s="4">
        <v>19</v>
      </c>
      <c r="I2503" s="4" t="s">
        <v>2602</v>
      </c>
      <c r="J2503" s="4"/>
      <c r="K2503" s="5" t="s">
        <v>19145</v>
      </c>
      <c r="L2503" s="5" t="s">
        <v>19146</v>
      </c>
      <c r="M2503" s="6"/>
      <c r="N2503" s="4" t="s">
        <v>29</v>
      </c>
      <c r="O2503" s="4" t="s">
        <v>3036</v>
      </c>
      <c r="P2503" s="4" t="s">
        <v>29</v>
      </c>
      <c r="Q2503" s="4" t="s">
        <v>19147</v>
      </c>
      <c r="R2503" s="6"/>
      <c r="S2503" s="6"/>
      <c r="T2503" s="6"/>
      <c r="U2503" s="6"/>
      <c r="V2503" s="6"/>
      <c r="W2503" s="6"/>
      <c r="X2503" s="6"/>
      <c r="Y2503" s="6"/>
      <c r="Z2503" s="6"/>
      <c r="AA2503" s="6"/>
    </row>
    <row r="2504" ht="14.25">
      <c r="B2504" s="4" t="s">
        <v>1861</v>
      </c>
      <c r="C2504" s="4" t="s">
        <v>19148</v>
      </c>
      <c r="D2504" s="4" t="s">
        <v>172</v>
      </c>
      <c r="E2504" s="4" t="s">
        <v>19149</v>
      </c>
      <c r="F2504" s="4" t="str">
        <f>IFERROR(__XLUDF.DUMMYFUNCTION("PROPER(REGEXREPLACE(D220,""[^A-Za-z]+ "",""""))"),"Bolmin Profils")</f>
        <v xml:space="preserve">Bolmin Profils</v>
      </c>
      <c r="G2504" s="4" t="s">
        <v>19150</v>
      </c>
      <c r="H2504" s="4">
        <v>39</v>
      </c>
      <c r="I2504" s="4" t="s">
        <v>4525</v>
      </c>
      <c r="J2504" s="4" t="str">
        <f>IFERROR(__XLUDF.DUMMYFUNCTION("VLOOKUP(H220,IMPORTRANGE(""https://docs.google.com/spreadsheets/d/1opm6ZNvGZ7KditA9TuJwrZ25eFLfTNIkrNnY6mhV5Eg"",""list!A1:C115""),3,TRUE)"),"le secteur du retail")</f>
        <v xml:space="preserve">le secteur du retail</v>
      </c>
      <c r="K2504" s="5" t="s">
        <v>19151</v>
      </c>
      <c r="L2504" s="5" t="s">
        <v>19152</v>
      </c>
      <c r="M2504" s="6"/>
      <c r="N2504" s="4" t="s">
        <v>29</v>
      </c>
      <c r="O2504" s="4" t="s">
        <v>19153</v>
      </c>
      <c r="P2504" s="4" t="s">
        <v>29</v>
      </c>
      <c r="Q2504" s="6"/>
      <c r="R2504" s="6"/>
      <c r="S2504" s="6"/>
      <c r="T2504" s="6"/>
      <c r="U2504" s="6"/>
      <c r="V2504" s="6"/>
      <c r="W2504" s="6"/>
      <c r="X2504" s="6"/>
      <c r="Y2504" s="6"/>
      <c r="Z2504" s="6"/>
      <c r="AA2504" s="6"/>
    </row>
    <row r="2505" ht="14.25">
      <c r="B2505" s="4" t="s">
        <v>330</v>
      </c>
      <c r="C2505" s="4" t="s">
        <v>19154</v>
      </c>
      <c r="D2505" s="4" t="s">
        <v>426</v>
      </c>
      <c r="E2505" s="4" t="s">
        <v>19155</v>
      </c>
      <c r="F2505" s="4" t="str">
        <f>IFERROR(__XLUDF.DUMMYFUNCTION("PROPER(REGEXREPLACE(D221,""[^A-Za-z]+ "",""""))"),"Artik Consulting")</f>
        <v xml:space="preserve">Artik Consulting</v>
      </c>
      <c r="G2505" s="4" t="s">
        <v>19156</v>
      </c>
      <c r="H2505" s="4">
        <v>51</v>
      </c>
      <c r="I2505" s="4" t="s">
        <v>2602</v>
      </c>
      <c r="J2505" s="4" t="str">
        <f>IFERROR(__XLUDF.DUMMYFUNCTION("VLOOKUP(H221,IMPORTRANGE(""https://docs.google.com/spreadsheets/d/1opm6ZNvGZ7KditA9TuJwrZ25eFLfTNIkrNnY6mhV5Eg"",""list!A1:C115""),3,TRUE)"),"le secteur de la tech")</f>
        <v xml:space="preserve">le secteur de la tech</v>
      </c>
      <c r="K2505" s="5" t="s">
        <v>19157</v>
      </c>
      <c r="L2505" s="5" t="s">
        <v>19158</v>
      </c>
      <c r="M2505" s="6"/>
      <c r="N2505" s="4" t="s">
        <v>29</v>
      </c>
      <c r="O2505" s="4" t="s">
        <v>19159</v>
      </c>
      <c r="P2505" s="4" t="s">
        <v>29</v>
      </c>
      <c r="Q2505" s="4" t="s">
        <v>19160</v>
      </c>
      <c r="R2505" s="6"/>
      <c r="S2505" s="6"/>
      <c r="T2505" s="6"/>
      <c r="U2505" s="6"/>
      <c r="V2505" s="6"/>
      <c r="W2505" s="6"/>
      <c r="X2505" s="6"/>
      <c r="Y2505" s="6"/>
      <c r="Z2505" s="6"/>
      <c r="AA2505" s="6"/>
    </row>
    <row r="2506" ht="14.25">
      <c r="B2506" s="4" t="s">
        <v>19161</v>
      </c>
      <c r="C2506" s="4" t="s">
        <v>19162</v>
      </c>
      <c r="D2506" s="4" t="s">
        <v>19163</v>
      </c>
      <c r="E2506" s="4" t="s">
        <v>19164</v>
      </c>
      <c r="F2506" s="4" t="str">
        <f>IFERROR(__XLUDF.DUMMYFUNCTION("PROPER(REGEXREPLACE(D222,""[^A-Za-z]+ "",""""))"),"Exceenis")</f>
        <v>Exceenis</v>
      </c>
      <c r="G2506" s="4" t="s">
        <v>19165</v>
      </c>
      <c r="H2506" s="4">
        <v>15</v>
      </c>
      <c r="I2506" s="4" t="s">
        <v>10215</v>
      </c>
      <c r="J2506" s="4" t="str">
        <f>IFERROR(__XLUDF.DUMMYFUNCTION("VLOOKUP(H222,IMPORTRANGE(""https://docs.google.com/spreadsheets/d/1opm6ZNvGZ7KditA9TuJwrZ25eFLfTNIkrNnY6mhV5Eg"",""list!A1:C115""),3,TRUE)"),"le secteur de l'électrique et électronique")</f>
        <v xml:space="preserve">le secteur de l'électrique et électronique</v>
      </c>
      <c r="K2506" s="5" t="s">
        <v>19166</v>
      </c>
      <c r="L2506" s="5" t="s">
        <v>19167</v>
      </c>
      <c r="M2506" s="4" t="s">
        <v>39</v>
      </c>
      <c r="N2506" s="4" t="s">
        <v>29</v>
      </c>
      <c r="O2506" s="4" t="s">
        <v>67</v>
      </c>
      <c r="P2506" s="4" t="s">
        <v>29</v>
      </c>
      <c r="Q2506" s="6"/>
      <c r="R2506" s="6"/>
      <c r="S2506" s="6"/>
      <c r="T2506" s="6"/>
      <c r="U2506" s="6"/>
      <c r="V2506" s="6"/>
      <c r="W2506" s="6"/>
      <c r="X2506" s="6"/>
      <c r="Y2506" s="6"/>
      <c r="Z2506" s="6"/>
      <c r="AA2506" s="6"/>
    </row>
    <row r="2507" ht="14.25">
      <c r="B2507" s="4" t="s">
        <v>134</v>
      </c>
      <c r="C2507" s="4" t="s">
        <v>19168</v>
      </c>
      <c r="D2507" s="4" t="s">
        <v>16645</v>
      </c>
      <c r="E2507" s="4" t="s">
        <v>15070</v>
      </c>
      <c r="F2507" s="4" t="str">
        <f>IFERROR(__XLUDF.DUMMYFUNCTION("PROPER(REGEXREPLACE(D223,""[^A-Za-z]+ "",""""))"),"Nelson")</f>
        <v>Nelson</v>
      </c>
      <c r="G2507" s="4" t="s">
        <v>19169</v>
      </c>
      <c r="H2507" s="4">
        <v>22</v>
      </c>
      <c r="I2507" s="4" t="s">
        <v>2602</v>
      </c>
      <c r="J2507" s="4"/>
      <c r="K2507" s="5" t="s">
        <v>19170</v>
      </c>
      <c r="L2507" s="5" t="s">
        <v>19171</v>
      </c>
      <c r="M2507" s="4" t="s">
        <v>39</v>
      </c>
      <c r="N2507" s="4" t="s">
        <v>29</v>
      </c>
      <c r="O2507" s="4" t="s">
        <v>67</v>
      </c>
      <c r="P2507" s="4" t="s">
        <v>29</v>
      </c>
      <c r="Q2507" s="6"/>
      <c r="R2507" s="6"/>
      <c r="S2507" s="6"/>
      <c r="T2507" s="6"/>
      <c r="U2507" s="6"/>
      <c r="V2507" s="6"/>
      <c r="W2507" s="6"/>
      <c r="X2507" s="6"/>
      <c r="Y2507" s="6"/>
      <c r="Z2507" s="6"/>
      <c r="AA2507" s="6"/>
    </row>
    <row r="2508" ht="14.25">
      <c r="B2508" s="4" t="s">
        <v>4204</v>
      </c>
      <c r="C2508" s="4" t="s">
        <v>19172</v>
      </c>
      <c r="D2508" s="4" t="s">
        <v>112</v>
      </c>
      <c r="E2508" s="4" t="s">
        <v>19173</v>
      </c>
      <c r="F2508" s="4" t="str">
        <f>IFERROR(__XLUDF.DUMMYFUNCTION("PROPER(REGEXREPLACE(D224,""[^A-Za-z]+ "",""""))"),"Europe Études")</f>
        <v xml:space="preserve">Europe Études</v>
      </c>
      <c r="G2508" s="4" t="s">
        <v>19174</v>
      </c>
      <c r="H2508" s="4">
        <v>13</v>
      </c>
      <c r="I2508" s="4" t="s">
        <v>19175</v>
      </c>
      <c r="J2508" s="4"/>
      <c r="K2508" s="5" t="s">
        <v>19176</v>
      </c>
      <c r="L2508" s="5" t="s">
        <v>19177</v>
      </c>
      <c r="M2508" s="4" t="s">
        <v>12058</v>
      </c>
      <c r="N2508" s="4" t="s">
        <v>29</v>
      </c>
      <c r="O2508" s="4" t="s">
        <v>19178</v>
      </c>
      <c r="P2508" s="4" t="s">
        <v>29</v>
      </c>
      <c r="Q2508" s="6"/>
      <c r="R2508" s="6"/>
      <c r="S2508" s="6"/>
      <c r="T2508" s="6"/>
      <c r="U2508" s="6"/>
      <c r="V2508" s="6"/>
      <c r="W2508" s="6"/>
      <c r="X2508" s="6"/>
      <c r="Y2508" s="6"/>
      <c r="Z2508" s="6"/>
      <c r="AA2508" s="6"/>
    </row>
    <row r="2509" ht="14.25">
      <c r="B2509" s="4" t="s">
        <v>4850</v>
      </c>
      <c r="C2509" s="4" t="s">
        <v>19179</v>
      </c>
      <c r="D2509" s="4" t="s">
        <v>62</v>
      </c>
      <c r="E2509" s="4" t="s">
        <v>19180</v>
      </c>
      <c r="F2509" s="4" t="str">
        <f>IFERROR(__XLUDF.DUMMYFUNCTION("PROPER(REGEXREPLACE(D225,""[^A-Za-z]+ "",""""))"),"Numix")</f>
        <v>Numix</v>
      </c>
      <c r="G2509" s="4" t="s">
        <v>19181</v>
      </c>
      <c r="H2509" s="4">
        <v>18</v>
      </c>
      <c r="I2509" s="4" t="s">
        <v>2602</v>
      </c>
      <c r="J2509" s="4" t="str">
        <f>IFERROR(__XLUDF.DUMMYFUNCTION("VLOOKUP(H225,IMPORTRANGE(""https://docs.google.com/spreadsheets/d/1opm6ZNvGZ7KditA9TuJwrZ25eFLfTNIkrNnY6mhV5Eg"",""list!A1:C115""),3,TRUE)"),"le secteur de la tech")</f>
        <v xml:space="preserve">le secteur de la tech</v>
      </c>
      <c r="K2509" s="5" t="s">
        <v>19182</v>
      </c>
      <c r="L2509" s="5" t="s">
        <v>19183</v>
      </c>
      <c r="M2509" s="4" t="s">
        <v>16314</v>
      </c>
      <c r="N2509" s="4" t="s">
        <v>29</v>
      </c>
      <c r="O2509" s="4" t="s">
        <v>19184</v>
      </c>
      <c r="P2509" s="4" t="s">
        <v>29</v>
      </c>
      <c r="Q2509" s="4" t="s">
        <v>19185</v>
      </c>
      <c r="R2509" s="6"/>
      <c r="S2509" s="6"/>
      <c r="T2509" s="6"/>
      <c r="U2509" s="6"/>
      <c r="V2509" s="6"/>
      <c r="W2509" s="6"/>
      <c r="X2509" s="6"/>
      <c r="Y2509" s="6"/>
      <c r="Z2509" s="6"/>
      <c r="AA2509" s="6"/>
    </row>
    <row r="2510" ht="14.25">
      <c r="B2510" s="4" t="s">
        <v>734</v>
      </c>
      <c r="C2510" s="4" t="s">
        <v>19186</v>
      </c>
      <c r="D2510" s="4" t="s">
        <v>71</v>
      </c>
      <c r="E2510" s="4" t="s">
        <v>19187</v>
      </c>
      <c r="F2510" s="4" t="str">
        <f>IFERROR(__XLUDF.DUMMYFUNCTION("PROPER(REGEXREPLACE(D226,""[^A-Za-z]+ "",""""))"),"Horrea")</f>
        <v>Horrea</v>
      </c>
      <c r="G2510" s="4" t="s">
        <v>19188</v>
      </c>
      <c r="H2510" s="4">
        <v>24</v>
      </c>
      <c r="I2510" s="4" t="s">
        <v>4067</v>
      </c>
      <c r="J2510" s="4" t="str">
        <f>IFERROR(__XLUDF.DUMMYFUNCTION("VLOOKUP(H226,IMPORTRANGE(""https://docs.google.com/spreadsheets/d/1opm6ZNvGZ7KditA9TuJwrZ25eFLfTNIkrNnY6mhV5Eg"",""list!A1:C115""),3,TRUE)"),"le secteur du conseil en management")</f>
        <v xml:space="preserve">le secteur du conseil en management</v>
      </c>
      <c r="K2510" s="5" t="s">
        <v>19189</v>
      </c>
      <c r="L2510" s="5" t="s">
        <v>19190</v>
      </c>
      <c r="M2510" s="4" t="s">
        <v>39</v>
      </c>
      <c r="N2510" s="4" t="s">
        <v>29</v>
      </c>
      <c r="O2510" s="4" t="s">
        <v>67</v>
      </c>
      <c r="P2510" s="4" t="s">
        <v>29</v>
      </c>
      <c r="Q2510" s="4" t="s">
        <v>19191</v>
      </c>
      <c r="R2510" s="6"/>
      <c r="S2510" s="6"/>
      <c r="T2510" s="6"/>
      <c r="U2510" s="6"/>
      <c r="V2510" s="6"/>
      <c r="W2510" s="6"/>
      <c r="X2510" s="6"/>
      <c r="Y2510" s="6"/>
      <c r="Z2510" s="6"/>
      <c r="AA2510" s="6"/>
    </row>
    <row r="2511" ht="14.25">
      <c r="B2511" s="4" t="s">
        <v>1696</v>
      </c>
      <c r="C2511" s="4" t="s">
        <v>19192</v>
      </c>
      <c r="D2511" s="4" t="s">
        <v>365</v>
      </c>
      <c r="E2511" s="4" t="s">
        <v>19193</v>
      </c>
      <c r="F2511" s="4" t="str">
        <f>IFERROR(__XLUDF.DUMMYFUNCTION("PROPER(REGEXREPLACE(D227,""[^A-Za-z]+ "",""""))"),"L'Équipage Agency")</f>
        <v xml:space="preserve">L'Équipage Agency</v>
      </c>
      <c r="G2511" s="4" t="s">
        <v>19194</v>
      </c>
      <c r="H2511" s="4">
        <v>13</v>
      </c>
      <c r="I2511" s="4" t="s">
        <v>9161</v>
      </c>
      <c r="J2511" s="4"/>
      <c r="K2511" s="5" t="s">
        <v>19195</v>
      </c>
      <c r="L2511" s="5" t="s">
        <v>19196</v>
      </c>
      <c r="M2511" s="4" t="s">
        <v>14978</v>
      </c>
      <c r="N2511" s="4" t="s">
        <v>29</v>
      </c>
      <c r="O2511" s="4" t="s">
        <v>19197</v>
      </c>
      <c r="P2511" s="4" t="s">
        <v>29</v>
      </c>
      <c r="Q2511" s="4" t="s">
        <v>19198</v>
      </c>
      <c r="R2511" s="6"/>
      <c r="S2511" s="6"/>
      <c r="T2511" s="6"/>
      <c r="U2511" s="6"/>
      <c r="V2511" s="6"/>
      <c r="W2511" s="6"/>
      <c r="X2511" s="6"/>
      <c r="Y2511" s="6"/>
      <c r="Z2511" s="6"/>
      <c r="AA2511" s="6"/>
    </row>
    <row r="2512" ht="14.25">
      <c r="B2512" s="4" t="s">
        <v>1253</v>
      </c>
      <c r="C2512" s="4" t="s">
        <v>19199</v>
      </c>
      <c r="D2512" s="4" t="s">
        <v>19200</v>
      </c>
      <c r="E2512" s="4" t="s">
        <v>19201</v>
      </c>
      <c r="F2512" s="4" t="str">
        <f>IFERROR(__XLUDF.DUMMYFUNCTION("PROPER(REGEXREPLACE(D228,""[^A-Za-z]+ "",""""))"),"Ivacom")</f>
        <v>Ivacom</v>
      </c>
      <c r="G2512" s="4" t="s">
        <v>19202</v>
      </c>
      <c r="H2512" s="4">
        <v>22</v>
      </c>
      <c r="I2512" s="4" t="s">
        <v>9184</v>
      </c>
      <c r="J2512" s="4" t="str">
        <f>IFERROR(__XLUDF.DUMMYFUNCTION("VLOOKUP(H228,IMPORTRANGE(""https://docs.google.com/spreadsheets/d/1opm6ZNvGZ7KditA9TuJwrZ25eFLfTNIkrNnY6mhV5Eg"",""list!A1:C115""),3,TRUE)"),"le secteur des télécommunications")</f>
        <v xml:space="preserve">le secteur des télécommunications</v>
      </c>
      <c r="K2512" s="5" t="s">
        <v>19203</v>
      </c>
      <c r="L2512" s="5" t="s">
        <v>19204</v>
      </c>
      <c r="M2512" s="4" t="s">
        <v>1780</v>
      </c>
      <c r="N2512" s="4" t="s">
        <v>29</v>
      </c>
      <c r="O2512" s="4" t="s">
        <v>19205</v>
      </c>
      <c r="P2512" s="4" t="s">
        <v>29</v>
      </c>
      <c r="Q2512" s="4" t="s">
        <v>19206</v>
      </c>
      <c r="R2512" s="6"/>
      <c r="S2512" s="6"/>
      <c r="T2512" s="6"/>
      <c r="U2512" s="6"/>
      <c r="V2512" s="6"/>
      <c r="W2512" s="6"/>
      <c r="X2512" s="6"/>
      <c r="Y2512" s="6"/>
      <c r="Z2512" s="6"/>
      <c r="AA2512" s="6"/>
    </row>
    <row r="2513" ht="14.25">
      <c r="B2513" s="4" t="s">
        <v>604</v>
      </c>
      <c r="C2513" s="4" t="s">
        <v>14144</v>
      </c>
      <c r="D2513" s="4" t="s">
        <v>19207</v>
      </c>
      <c r="E2513" s="4" t="s">
        <v>19208</v>
      </c>
      <c r="F2513" s="4" t="str">
        <f>IFERROR(__XLUDF.DUMMYFUNCTION("PROPER(REGEXREPLACE(D229,""[^A-Za-z]+ "",""""))"),"Dreamit By Astek")</f>
        <v xml:space="preserve">Dreamit By Astek</v>
      </c>
      <c r="G2513" s="4" t="s">
        <v>19209</v>
      </c>
      <c r="H2513" s="4">
        <v>21</v>
      </c>
      <c r="I2513" s="4" t="s">
        <v>9264</v>
      </c>
      <c r="J2513" s="4"/>
      <c r="K2513" s="5" t="s">
        <v>19210</v>
      </c>
      <c r="L2513" s="5" t="s">
        <v>19211</v>
      </c>
      <c r="M2513" s="4" t="s">
        <v>39</v>
      </c>
      <c r="N2513" s="4" t="s">
        <v>29</v>
      </c>
      <c r="O2513" s="4" t="s">
        <v>19212</v>
      </c>
      <c r="P2513" s="4" t="s">
        <v>29</v>
      </c>
      <c r="Q2513" s="4" t="s">
        <v>19213</v>
      </c>
      <c r="R2513" s="6"/>
      <c r="S2513" s="6"/>
      <c r="T2513" s="6"/>
      <c r="U2513" s="6"/>
      <c r="V2513" s="6"/>
      <c r="W2513" s="6"/>
      <c r="X2513" s="6"/>
      <c r="Y2513" s="6"/>
      <c r="Z2513" s="6"/>
      <c r="AA2513" s="6"/>
    </row>
    <row r="2514" ht="14.25">
      <c r="B2514" s="4" t="s">
        <v>19214</v>
      </c>
      <c r="C2514" s="4" t="s">
        <v>19215</v>
      </c>
      <c r="D2514" s="4" t="s">
        <v>5681</v>
      </c>
      <c r="E2514" s="4" t="s">
        <v>19216</v>
      </c>
      <c r="F2514" s="4" t="str">
        <f>IFERROR(__XLUDF.DUMMYFUNCTION("PROPER(REGEXREPLACE(D230,""[^A-Za-z]+ "",""""))"),"Rapid Delivery Analytics")</f>
        <v xml:space="preserve">Rapid Delivery Analytics</v>
      </c>
      <c r="G2514" s="4" t="s">
        <v>19217</v>
      </c>
      <c r="H2514" s="4">
        <v>16</v>
      </c>
      <c r="I2514" s="4" t="s">
        <v>2602</v>
      </c>
      <c r="J2514" s="4"/>
      <c r="K2514" s="5" t="s">
        <v>19218</v>
      </c>
      <c r="L2514" s="5" t="s">
        <v>19219</v>
      </c>
      <c r="M2514" s="4" t="s">
        <v>39</v>
      </c>
      <c r="N2514" s="4" t="s">
        <v>29</v>
      </c>
      <c r="O2514" s="4" t="s">
        <v>67</v>
      </c>
      <c r="P2514" s="4" t="s">
        <v>29</v>
      </c>
      <c r="Q2514" s="6"/>
      <c r="R2514" s="6"/>
      <c r="S2514" s="6"/>
      <c r="T2514" s="6"/>
      <c r="U2514" s="6"/>
      <c r="V2514" s="6"/>
      <c r="W2514" s="6"/>
      <c r="X2514" s="6"/>
      <c r="Y2514" s="6"/>
      <c r="Z2514" s="6"/>
      <c r="AA2514" s="6"/>
    </row>
    <row r="2515" ht="14.25">
      <c r="B2515" s="4" t="s">
        <v>6626</v>
      </c>
      <c r="C2515" s="4" t="s">
        <v>19220</v>
      </c>
      <c r="D2515" s="4" t="s">
        <v>19221</v>
      </c>
      <c r="E2515" s="4" t="s">
        <v>19222</v>
      </c>
      <c r="F2515" s="4" t="str">
        <f>IFERROR(__XLUDF.DUMMYFUNCTION("PROPER(REGEXREPLACE(D231,""[^A-Za-z]+ "",""""))"),"Proconect")</f>
        <v>Proconect</v>
      </c>
      <c r="G2515" s="4" t="s">
        <v>19223</v>
      </c>
      <c r="H2515" s="4">
        <v>42</v>
      </c>
      <c r="I2515" s="4" t="s">
        <v>10215</v>
      </c>
      <c r="J2515" s="4" t="str">
        <f>IFERROR(__XLUDF.DUMMYFUNCTION("VLOOKUP(H231,IMPORTRANGE(""https://docs.google.com/spreadsheets/d/1opm6ZNvGZ7KditA9TuJwrZ25eFLfTNIkrNnY6mhV5Eg"",""list!A1:C115""),3,TRUE)"),"le secteur de l'électrique et électronique")</f>
        <v xml:space="preserve">le secteur de l'électrique et électronique</v>
      </c>
      <c r="K2515" s="5" t="s">
        <v>19224</v>
      </c>
      <c r="L2515" s="5" t="s">
        <v>19225</v>
      </c>
      <c r="M2515" s="4" t="s">
        <v>19226</v>
      </c>
      <c r="N2515" s="4" t="s">
        <v>29</v>
      </c>
      <c r="O2515" s="4" t="s">
        <v>1712</v>
      </c>
      <c r="P2515" s="4" t="s">
        <v>29</v>
      </c>
      <c r="Q2515" s="4" t="s">
        <v>19227</v>
      </c>
      <c r="R2515" s="6"/>
      <c r="S2515" s="6"/>
      <c r="T2515" s="6"/>
      <c r="U2515" s="6"/>
      <c r="V2515" s="6"/>
      <c r="W2515" s="6"/>
      <c r="X2515" s="6"/>
      <c r="Y2515" s="6"/>
      <c r="Z2515" s="6"/>
      <c r="AA2515" s="6"/>
    </row>
    <row r="2516" ht="14.25">
      <c r="B2516" s="4" t="s">
        <v>19228</v>
      </c>
      <c r="C2516" s="4" t="s">
        <v>19229</v>
      </c>
      <c r="D2516" s="4" t="s">
        <v>62</v>
      </c>
      <c r="E2516" s="4" t="s">
        <v>19230</v>
      </c>
      <c r="F2516" s="4" t="str">
        <f>IFERROR(__XLUDF.DUMMYFUNCTION("PROPER(REGEXREPLACE(D232,""[^A-Za-z]+ "",""""))"),"Training You")</f>
        <v xml:space="preserve">Training You</v>
      </c>
      <c r="G2516" s="4" t="s">
        <v>19231</v>
      </c>
      <c r="H2516" s="4">
        <v>20</v>
      </c>
      <c r="I2516" s="4" t="s">
        <v>5048</v>
      </c>
      <c r="J2516" s="4" t="str">
        <f>IFERROR(__XLUDF.DUMMYFUNCTION("VLOOKUP(H232,IMPORTRANGE(""https://docs.google.com/spreadsheets/d/1opm6ZNvGZ7KditA9TuJwrZ25eFLfTNIkrNnY6mhV5Eg"",""list!A1:C115""),3,TRUE)"),"le secteur de la formation pro et du coaching")</f>
        <v xml:space="preserve">le secteur de la formation pro et du coaching</v>
      </c>
      <c r="K2516" s="5" t="s">
        <v>19232</v>
      </c>
      <c r="L2516" s="5" t="s">
        <v>19233</v>
      </c>
      <c r="M2516" s="4" t="s">
        <v>39</v>
      </c>
      <c r="N2516" s="4" t="s">
        <v>29</v>
      </c>
      <c r="O2516" s="4" t="s">
        <v>67</v>
      </c>
      <c r="P2516" s="4" t="s">
        <v>29</v>
      </c>
      <c r="Q2516" s="4" t="s">
        <v>19234</v>
      </c>
      <c r="R2516" s="6"/>
      <c r="S2516" s="6"/>
      <c r="T2516" s="6"/>
      <c r="U2516" s="6"/>
      <c r="V2516" s="6"/>
      <c r="W2516" s="6"/>
      <c r="X2516" s="6"/>
      <c r="Y2516" s="6"/>
      <c r="Z2516" s="6"/>
      <c r="AA2516" s="6"/>
    </row>
    <row r="2517" ht="14.25">
      <c r="B2517" s="4" t="s">
        <v>604</v>
      </c>
      <c r="C2517" s="4" t="s">
        <v>19235</v>
      </c>
      <c r="D2517" s="4" t="s">
        <v>19236</v>
      </c>
      <c r="E2517" s="4" t="s">
        <v>19237</v>
      </c>
      <c r="F2517" s="4" t="str">
        <f>IFERROR(__XLUDF.DUMMYFUNCTION("PROPER(REGEXREPLACE(D233,""[^A-Za-z]+ "",""""))"),"Exorde Labs")</f>
        <v xml:space="preserve">Exorde Labs</v>
      </c>
      <c r="G2517" s="4" t="s">
        <v>19238</v>
      </c>
      <c r="H2517" s="4">
        <v>9</v>
      </c>
      <c r="I2517" s="4" t="s">
        <v>2602</v>
      </c>
      <c r="J2517" s="4" t="str">
        <f>IFERROR(__XLUDF.DUMMYFUNCTION("VLOOKUP(H233,IMPORTRANGE(""https://docs.google.com/spreadsheets/d/1opm6ZNvGZ7KditA9TuJwrZ25eFLfTNIkrNnY6mhV5Eg"",""list!A1:C115""),3,TRUE)"),"le secteur de la tech")</f>
        <v xml:space="preserve">le secteur de la tech</v>
      </c>
      <c r="K2517" s="5" t="s">
        <v>19239</v>
      </c>
      <c r="L2517" s="5" t="s">
        <v>19240</v>
      </c>
      <c r="M2517" s="4" t="s">
        <v>243</v>
      </c>
      <c r="N2517" s="4" t="s">
        <v>29</v>
      </c>
      <c r="O2517" s="4" t="s">
        <v>125</v>
      </c>
      <c r="P2517" s="4" t="s">
        <v>29</v>
      </c>
      <c r="Q2517" s="4" t="s">
        <v>19241</v>
      </c>
      <c r="R2517" s="6"/>
      <c r="S2517" s="6"/>
      <c r="T2517" s="6"/>
      <c r="U2517" s="6"/>
      <c r="V2517" s="6"/>
      <c r="W2517" s="6"/>
      <c r="X2517" s="6"/>
      <c r="Y2517" s="6"/>
      <c r="Z2517" s="6"/>
      <c r="AA2517" s="6"/>
    </row>
    <row r="2518" ht="14.25">
      <c r="B2518" s="4" t="s">
        <v>19242</v>
      </c>
      <c r="C2518" s="4" t="s">
        <v>19243</v>
      </c>
      <c r="D2518" s="4" t="s">
        <v>10202</v>
      </c>
      <c r="E2518" s="4" t="s">
        <v>19244</v>
      </c>
      <c r="F2518" s="4" t="str">
        <f>IFERROR(__XLUDF.DUMMYFUNCTION("PROPER(REGEXREPLACE(D234,""[^A-Za-z]+ "",""""))"),"Abelya")</f>
        <v>Abelya</v>
      </c>
      <c r="G2518" s="4" t="s">
        <v>19245</v>
      </c>
      <c r="H2518" s="4">
        <v>15</v>
      </c>
      <c r="I2518" s="4" t="s">
        <v>4067</v>
      </c>
      <c r="J2518" s="4"/>
      <c r="K2518" s="5" t="s">
        <v>19246</v>
      </c>
      <c r="L2518" s="5" t="s">
        <v>19247</v>
      </c>
      <c r="M2518" s="4" t="s">
        <v>39</v>
      </c>
      <c r="N2518" s="4" t="s">
        <v>29</v>
      </c>
      <c r="O2518" s="4" t="s">
        <v>19248</v>
      </c>
      <c r="P2518" s="4" t="s">
        <v>29</v>
      </c>
      <c r="Q2518" s="4" t="s">
        <v>13557</v>
      </c>
      <c r="R2518" s="6"/>
      <c r="S2518" s="6"/>
      <c r="T2518" s="6"/>
      <c r="U2518" s="6"/>
      <c r="V2518" s="6"/>
      <c r="W2518" s="6"/>
      <c r="X2518" s="6"/>
      <c r="Y2518" s="6"/>
      <c r="Z2518" s="6"/>
      <c r="AA2518" s="6"/>
    </row>
    <row r="2519" ht="14.25">
      <c r="B2519" s="4" t="s">
        <v>4012</v>
      </c>
      <c r="C2519" s="4" t="s">
        <v>6844</v>
      </c>
      <c r="D2519" s="4" t="s">
        <v>172</v>
      </c>
      <c r="E2519" s="4" t="s">
        <v>19249</v>
      </c>
      <c r="F2519" s="4" t="str">
        <f>IFERROR(__XLUDF.DUMMYFUNCTION("PROPER(REGEXREPLACE(D235,""[^A-Za-z]+ "",""""))"),"Zemper France")</f>
        <v xml:space="preserve">Zemper France</v>
      </c>
      <c r="G2519" s="4" t="s">
        <v>19250</v>
      </c>
      <c r="H2519" s="4">
        <v>15</v>
      </c>
      <c r="I2519" s="4" t="s">
        <v>10215</v>
      </c>
      <c r="J2519" s="4"/>
      <c r="K2519" s="5" t="s">
        <v>19251</v>
      </c>
      <c r="L2519" s="5" t="s">
        <v>19252</v>
      </c>
      <c r="M2519" s="4" t="s">
        <v>423</v>
      </c>
      <c r="N2519" s="4" t="s">
        <v>29</v>
      </c>
      <c r="O2519" s="4" t="s">
        <v>19253</v>
      </c>
      <c r="P2519" s="4" t="s">
        <v>29</v>
      </c>
      <c r="Q2519" s="6"/>
      <c r="R2519" s="6"/>
      <c r="S2519" s="6"/>
      <c r="T2519" s="6"/>
      <c r="U2519" s="6"/>
      <c r="V2519" s="6"/>
      <c r="W2519" s="6"/>
      <c r="X2519" s="6"/>
      <c r="Y2519" s="6"/>
      <c r="Z2519" s="6"/>
      <c r="AA2519" s="6"/>
    </row>
    <row r="2520" ht="14.25">
      <c r="B2520" s="4" t="s">
        <v>7331</v>
      </c>
      <c r="C2520" s="4" t="s">
        <v>19254</v>
      </c>
      <c r="D2520" s="4" t="s">
        <v>19255</v>
      </c>
      <c r="E2520" s="4" t="s">
        <v>19256</v>
      </c>
      <c r="F2520" s="4" t="str">
        <f>IFERROR(__XLUDF.DUMMYFUNCTION("PROPER(REGEXREPLACE(D236,""[^A-Za-z]+ "",""""))"),"Resecum")</f>
        <v>Resecum</v>
      </c>
      <c r="G2520" s="4" t="s">
        <v>19257</v>
      </c>
      <c r="H2520" s="4">
        <v>16</v>
      </c>
      <c r="I2520" s="4" t="s">
        <v>4067</v>
      </c>
      <c r="J2520" s="4"/>
      <c r="K2520" s="5" t="s">
        <v>19258</v>
      </c>
      <c r="L2520" s="5" t="s">
        <v>19259</v>
      </c>
      <c r="M2520" s="4" t="s">
        <v>1711</v>
      </c>
      <c r="N2520" s="4" t="s">
        <v>29</v>
      </c>
      <c r="O2520" s="4" t="s">
        <v>19260</v>
      </c>
      <c r="P2520" s="4" t="s">
        <v>29</v>
      </c>
      <c r="Q2520" s="6"/>
      <c r="R2520" s="6"/>
      <c r="S2520" s="6"/>
      <c r="T2520" s="6"/>
      <c r="U2520" s="6"/>
      <c r="V2520" s="6"/>
      <c r="W2520" s="6"/>
      <c r="X2520" s="6"/>
      <c r="Y2520" s="6"/>
      <c r="Z2520" s="6"/>
      <c r="AA2520" s="6"/>
    </row>
    <row r="2521" ht="14.25">
      <c r="B2521" s="4" t="s">
        <v>19261</v>
      </c>
      <c r="C2521" s="4" t="s">
        <v>19262</v>
      </c>
      <c r="D2521" s="4" t="s">
        <v>2266</v>
      </c>
      <c r="E2521" s="4" t="s">
        <v>19263</v>
      </c>
      <c r="F2521" s="4" t="str">
        <f>IFERROR(__XLUDF.DUMMYFUNCTION("PROPER(REGEXREPLACE(D237,""[^A-Za-z]+ "",""""))"),"Ludotic")</f>
        <v>Ludotic</v>
      </c>
      <c r="G2521" s="4" t="s">
        <v>19264</v>
      </c>
      <c r="H2521" s="4">
        <v>26</v>
      </c>
      <c r="I2521" s="4" t="s">
        <v>2602</v>
      </c>
      <c r="J2521" s="4" t="str">
        <f>IFERROR(__XLUDF.DUMMYFUNCTION("VLOOKUP(H237,IMPORTRANGE(""https://docs.google.com/spreadsheets/d/1opm6ZNvGZ7KditA9TuJwrZ25eFLfTNIkrNnY6mhV5Eg"",""list!A1:C115""),3,TRUE)"),"le secteur de la tech")</f>
        <v xml:space="preserve">le secteur de la tech</v>
      </c>
      <c r="K2521" s="5" t="s">
        <v>19265</v>
      </c>
      <c r="L2521" s="5" t="s">
        <v>19266</v>
      </c>
      <c r="M2521" s="4" t="s">
        <v>5456</v>
      </c>
      <c r="N2521" s="4" t="s">
        <v>29</v>
      </c>
      <c r="O2521" s="4" t="s">
        <v>19267</v>
      </c>
      <c r="P2521" s="4" t="s">
        <v>29</v>
      </c>
      <c r="Q2521" s="4" t="s">
        <v>19268</v>
      </c>
      <c r="R2521" s="6"/>
      <c r="S2521" s="6"/>
      <c r="T2521" s="6"/>
      <c r="U2521" s="6"/>
      <c r="V2521" s="6"/>
      <c r="W2521" s="6"/>
      <c r="X2521" s="6"/>
      <c r="Y2521" s="6"/>
      <c r="Z2521" s="6"/>
      <c r="AA2521" s="6"/>
    </row>
    <row r="2522" ht="14.25">
      <c r="B2522" s="4" t="s">
        <v>734</v>
      </c>
      <c r="C2522" s="4" t="s">
        <v>19269</v>
      </c>
      <c r="D2522" s="4" t="s">
        <v>44</v>
      </c>
      <c r="E2522" s="4" t="s">
        <v>19270</v>
      </c>
      <c r="F2522" s="4" t="str">
        <f>IFERROR(__XLUDF.DUMMYFUNCTION("PROPER(REGEXREPLACE(D238,""[^A-Za-z]+ "",""""))"),"Senso")</f>
        <v>Senso</v>
      </c>
      <c r="G2522" s="4" t="s">
        <v>19271</v>
      </c>
      <c r="H2522" s="4">
        <v>18</v>
      </c>
      <c r="I2522" s="4" t="s">
        <v>2602</v>
      </c>
      <c r="J2522" s="4" t="str">
        <f>IFERROR(__XLUDF.DUMMYFUNCTION("VLOOKUP(H238,IMPORTRANGE(""https://docs.google.com/spreadsheets/d/1opm6ZNvGZ7KditA9TuJwrZ25eFLfTNIkrNnY6mhV5Eg"",""list!A1:C115""),3,TRUE)"),"le secteur de la tech")</f>
        <v xml:space="preserve">le secteur de la tech</v>
      </c>
      <c r="K2522" s="5" t="s">
        <v>19272</v>
      </c>
      <c r="L2522" s="5" t="s">
        <v>19273</v>
      </c>
      <c r="M2522" s="4" t="s">
        <v>39</v>
      </c>
      <c r="N2522" s="4" t="s">
        <v>29</v>
      </c>
      <c r="O2522" s="4" t="s">
        <v>19274</v>
      </c>
      <c r="P2522" s="4" t="s">
        <v>2666</v>
      </c>
      <c r="Q2522" s="4" t="s">
        <v>19275</v>
      </c>
      <c r="R2522" s="6"/>
      <c r="S2522" s="6"/>
      <c r="T2522" s="6"/>
      <c r="U2522" s="6"/>
      <c r="V2522" s="6"/>
      <c r="W2522" s="6"/>
      <c r="X2522" s="6"/>
      <c r="Y2522" s="6"/>
      <c r="Z2522" s="6"/>
      <c r="AA2522" s="6"/>
    </row>
    <row r="2523" ht="14.25">
      <c r="B2523" s="4" t="s">
        <v>76</v>
      </c>
      <c r="C2523" s="4" t="s">
        <v>1485</v>
      </c>
      <c r="D2523" s="4" t="s">
        <v>19276</v>
      </c>
      <c r="E2523" s="4" t="s">
        <v>19277</v>
      </c>
      <c r="F2523" s="4" t="str">
        <f>IFERROR(__XLUDF.DUMMYFUNCTION("PROPER(REGEXREPLACE(D239,""[^A-Za-z]+ "",""""))"),"Weeflow")</f>
        <v>Weeflow</v>
      </c>
      <c r="G2523" s="4" t="s">
        <v>19278</v>
      </c>
      <c r="H2523" s="4">
        <v>10</v>
      </c>
      <c r="I2523" s="4" t="s">
        <v>2602</v>
      </c>
      <c r="J2523" s="4" t="str">
        <f>IFERROR(__XLUDF.DUMMYFUNCTION("VLOOKUP(H239,IMPORTRANGE(""https://docs.google.com/spreadsheets/d/1opm6ZNvGZ7KditA9TuJwrZ25eFLfTNIkrNnY6mhV5Eg"",""list!A1:C115""),3,TRUE)"),"le secteur de la tech")</f>
        <v xml:space="preserve">le secteur de la tech</v>
      </c>
      <c r="K2523" s="5" t="s">
        <v>19279</v>
      </c>
      <c r="L2523" s="5" t="s">
        <v>19280</v>
      </c>
      <c r="M2523" s="4" t="s">
        <v>1446</v>
      </c>
      <c r="N2523" s="4" t="s">
        <v>29</v>
      </c>
      <c r="O2523" s="4" t="s">
        <v>19281</v>
      </c>
      <c r="P2523" s="4" t="s">
        <v>29</v>
      </c>
      <c r="Q2523" s="4" t="s">
        <v>19282</v>
      </c>
      <c r="R2523" s="6"/>
      <c r="S2523" s="6"/>
      <c r="T2523" s="6"/>
      <c r="U2523" s="6"/>
      <c r="V2523" s="6"/>
      <c r="W2523" s="6"/>
      <c r="X2523" s="6"/>
      <c r="Y2523" s="6"/>
      <c r="Z2523" s="6"/>
      <c r="AA2523" s="6"/>
    </row>
    <row r="2524" ht="14.25">
      <c r="B2524" s="4" t="s">
        <v>4012</v>
      </c>
      <c r="C2524" s="4" t="s">
        <v>19283</v>
      </c>
      <c r="D2524" s="4" t="s">
        <v>172</v>
      </c>
      <c r="E2524" s="4" t="s">
        <v>19284</v>
      </c>
      <c r="F2524" s="4" t="str">
        <f>IFERROR(__XLUDF.DUMMYFUNCTION("PROPER(REGEXREPLACE(D240,""[^A-Za-z]+ "",""""))"),"Arco Information")</f>
        <v xml:space="preserve">Arco Information</v>
      </c>
      <c r="G2524" s="4" t="s">
        <v>19285</v>
      </c>
      <c r="H2524" s="4">
        <v>48</v>
      </c>
      <c r="I2524" s="4" t="s">
        <v>2602</v>
      </c>
      <c r="J2524" s="4" t="str">
        <f>IFERROR(__XLUDF.DUMMYFUNCTION("VLOOKUP(H240,IMPORTRANGE(""https://docs.google.com/spreadsheets/d/1opm6ZNvGZ7KditA9TuJwrZ25eFLfTNIkrNnY6mhV5Eg"",""list!A1:C115""),3,TRUE)"),"le secteur de la tech")</f>
        <v xml:space="preserve">le secteur de la tech</v>
      </c>
      <c r="K2524" s="5" t="s">
        <v>19286</v>
      </c>
      <c r="L2524" s="5" t="s">
        <v>19287</v>
      </c>
      <c r="M2524" s="6"/>
      <c r="N2524" s="4" t="s">
        <v>29</v>
      </c>
      <c r="O2524" s="4" t="s">
        <v>19288</v>
      </c>
      <c r="P2524" s="4" t="s">
        <v>2953</v>
      </c>
      <c r="Q2524" s="4" t="s">
        <v>19289</v>
      </c>
      <c r="R2524" s="6"/>
      <c r="S2524" s="6"/>
      <c r="T2524" s="6"/>
      <c r="U2524" s="6"/>
      <c r="V2524" s="6"/>
      <c r="W2524" s="6"/>
      <c r="X2524" s="6"/>
      <c r="Y2524" s="6"/>
      <c r="Z2524" s="6"/>
      <c r="AA2524" s="6"/>
    </row>
    <row r="2525" ht="14.25">
      <c r="B2525" s="4" t="s">
        <v>986</v>
      </c>
      <c r="C2525" s="4" t="s">
        <v>2932</v>
      </c>
      <c r="D2525" s="4" t="s">
        <v>19290</v>
      </c>
      <c r="E2525" s="4" t="s">
        <v>19291</v>
      </c>
      <c r="F2525" s="4" t="str">
        <f>IFERROR(__XLUDF.DUMMYFUNCTION("PROPER(REGEXREPLACE(D241,""[^A-Za-z]+ "",""""))"),"Myspeaker France")</f>
        <v xml:space="preserve">Myspeaker France</v>
      </c>
      <c r="G2525" s="4" t="s">
        <v>19292</v>
      </c>
      <c r="H2525" s="4">
        <v>12</v>
      </c>
      <c r="I2525" s="4" t="s">
        <v>4067</v>
      </c>
      <c r="J2525" s="4"/>
      <c r="K2525" s="5" t="s">
        <v>19293</v>
      </c>
      <c r="L2525" s="5" t="s">
        <v>19294</v>
      </c>
      <c r="M2525" s="4" t="s">
        <v>39</v>
      </c>
      <c r="N2525" s="4" t="s">
        <v>29</v>
      </c>
      <c r="O2525" s="4" t="s">
        <v>1084</v>
      </c>
      <c r="P2525" s="4" t="s">
        <v>29</v>
      </c>
      <c r="Q2525" s="4" t="s">
        <v>19295</v>
      </c>
      <c r="R2525" s="6"/>
      <c r="S2525" s="6"/>
      <c r="T2525" s="6"/>
      <c r="U2525" s="6"/>
      <c r="V2525" s="6"/>
      <c r="W2525" s="6"/>
      <c r="X2525" s="6"/>
      <c r="Y2525" s="6"/>
      <c r="Z2525" s="6"/>
      <c r="AA2525" s="6"/>
    </row>
    <row r="2526" ht="14.25">
      <c r="B2526" s="4" t="s">
        <v>485</v>
      </c>
      <c r="C2526" s="4" t="s">
        <v>19296</v>
      </c>
      <c r="D2526" s="4" t="s">
        <v>19297</v>
      </c>
      <c r="E2526" s="4" t="s">
        <v>19298</v>
      </c>
      <c r="F2526" s="4" t="str">
        <f>IFERROR(__XLUDF.DUMMYFUNCTION("PROPER(REGEXREPLACE(D242,""[^A-Za-z]+ "",""""))"),"Capnor")</f>
        <v>Capnor</v>
      </c>
      <c r="G2526" s="4" t="s">
        <v>19299</v>
      </c>
      <c r="H2526" s="4">
        <v>10</v>
      </c>
      <c r="I2526" s="4" t="s">
        <v>4525</v>
      </c>
      <c r="J2526" s="4"/>
      <c r="K2526" s="5" t="s">
        <v>19300</v>
      </c>
      <c r="L2526" s="5" t="s">
        <v>19301</v>
      </c>
      <c r="M2526" s="4" t="s">
        <v>846</v>
      </c>
      <c r="N2526" s="4" t="s">
        <v>29</v>
      </c>
      <c r="O2526" s="4" t="s">
        <v>19302</v>
      </c>
      <c r="P2526" s="4" t="s">
        <v>29</v>
      </c>
      <c r="Q2526" s="4" t="s">
        <v>19303</v>
      </c>
      <c r="R2526" s="6"/>
      <c r="S2526" s="6"/>
      <c r="T2526" s="6"/>
      <c r="U2526" s="6"/>
      <c r="V2526" s="6"/>
      <c r="W2526" s="6"/>
      <c r="X2526" s="6"/>
      <c r="Y2526" s="6"/>
      <c r="Z2526" s="6"/>
      <c r="AA2526" s="6"/>
    </row>
    <row r="2527" ht="14.25">
      <c r="B2527" s="4" t="s">
        <v>19304</v>
      </c>
      <c r="C2527" s="4" t="s">
        <v>19305</v>
      </c>
      <c r="D2527" s="4" t="s">
        <v>19306</v>
      </c>
      <c r="E2527" s="4" t="s">
        <v>19307</v>
      </c>
      <c r="F2527" s="4" t="str">
        <f>IFERROR(__XLUDF.DUMMYFUNCTION("PROPER(REGEXREPLACE(D243,""[^A-Za-z]+ "",""""))"),"Stratos")</f>
        <v>Stratos</v>
      </c>
      <c r="G2527" s="4" t="s">
        <v>19308</v>
      </c>
      <c r="H2527" s="4">
        <v>12</v>
      </c>
      <c r="I2527" s="4" t="s">
        <v>2602</v>
      </c>
      <c r="J2527" s="4"/>
      <c r="K2527" s="5" t="s">
        <v>19309</v>
      </c>
      <c r="L2527" s="5" t="s">
        <v>19310</v>
      </c>
      <c r="M2527" s="6"/>
      <c r="N2527" s="4" t="s">
        <v>29</v>
      </c>
      <c r="O2527" s="4" t="s">
        <v>67</v>
      </c>
      <c r="P2527" s="4" t="s">
        <v>29</v>
      </c>
      <c r="Q2527" s="4" t="s">
        <v>19311</v>
      </c>
      <c r="R2527" s="6"/>
      <c r="S2527" s="6"/>
      <c r="T2527" s="6"/>
      <c r="U2527" s="6"/>
      <c r="V2527" s="6"/>
      <c r="W2527" s="6"/>
      <c r="X2527" s="6"/>
      <c r="Y2527" s="6"/>
      <c r="Z2527" s="6"/>
      <c r="AA2527" s="6"/>
    </row>
    <row r="2528" ht="14.25">
      <c r="B2528" s="4" t="s">
        <v>548</v>
      </c>
      <c r="C2528" s="4" t="s">
        <v>19312</v>
      </c>
      <c r="D2528" s="4" t="s">
        <v>281</v>
      </c>
      <c r="E2528" s="4" t="s">
        <v>19313</v>
      </c>
      <c r="F2528" s="4" t="str">
        <f>IFERROR(__XLUDF.DUMMYFUNCTION("PROPER(REGEXREPLACE(D244,""[^A-Za-z]+ "",""""))"),"The Mobile-First Company")</f>
        <v xml:space="preserve">The Mobile-First Company</v>
      </c>
      <c r="G2528" s="4" t="s">
        <v>19314</v>
      </c>
      <c r="H2528" s="4">
        <v>33</v>
      </c>
      <c r="I2528" s="4" t="s">
        <v>2602</v>
      </c>
      <c r="J2528" s="4" t="str">
        <f>IFERROR(__XLUDF.DUMMYFUNCTION("VLOOKUP(H244,IMPORTRANGE(""https://docs.google.com/spreadsheets/d/1opm6ZNvGZ7KditA9TuJwrZ25eFLfTNIkrNnY6mhV5Eg"",""list!A1:C115""),3,TRUE)"),"le secteur de la tech")</f>
        <v xml:space="preserve">le secteur de la tech</v>
      </c>
      <c r="K2528" s="5" t="s">
        <v>19315</v>
      </c>
      <c r="L2528" s="5" t="s">
        <v>19316</v>
      </c>
      <c r="M2528" s="4" t="s">
        <v>39</v>
      </c>
      <c r="N2528" s="4" t="s">
        <v>29</v>
      </c>
      <c r="O2528" s="4" t="s">
        <v>19317</v>
      </c>
      <c r="P2528" s="4" t="s">
        <v>29</v>
      </c>
      <c r="Q2528" s="4" t="s">
        <v>19318</v>
      </c>
      <c r="R2528" s="6"/>
      <c r="S2528" s="6"/>
      <c r="T2528" s="6"/>
      <c r="U2528" s="6"/>
      <c r="V2528" s="6"/>
      <c r="W2528" s="6"/>
      <c r="X2528" s="6"/>
      <c r="Y2528" s="6"/>
      <c r="Z2528" s="6"/>
      <c r="AA2528" s="6"/>
    </row>
    <row r="2529" ht="14.25">
      <c r="B2529" s="4" t="s">
        <v>785</v>
      </c>
      <c r="C2529" s="4" t="s">
        <v>9500</v>
      </c>
      <c r="D2529" s="4" t="s">
        <v>19319</v>
      </c>
      <c r="E2529" s="4" t="s">
        <v>18726</v>
      </c>
      <c r="F2529" s="4" t="str">
        <f>IFERROR(__XLUDF.DUMMYFUNCTION("PROPER(REGEXREPLACE(D245,""[^A-Za-z]+ "",""""))"),"Gcom")</f>
        <v>Gcom</v>
      </c>
      <c r="G2529" s="4" t="s">
        <v>19320</v>
      </c>
      <c r="H2529" s="4">
        <v>10</v>
      </c>
      <c r="I2529" s="4" t="s">
        <v>10639</v>
      </c>
      <c r="J2529" s="4"/>
      <c r="K2529" s="5" t="s">
        <v>19321</v>
      </c>
      <c r="L2529" s="5" t="s">
        <v>18729</v>
      </c>
      <c r="M2529" s="4" t="s">
        <v>16314</v>
      </c>
      <c r="N2529" s="4" t="s">
        <v>29</v>
      </c>
      <c r="O2529" s="4" t="s">
        <v>4385</v>
      </c>
      <c r="P2529" s="4" t="s">
        <v>29</v>
      </c>
      <c r="Q2529" s="4" t="s">
        <v>18730</v>
      </c>
      <c r="R2529" s="6"/>
      <c r="S2529" s="6"/>
      <c r="T2529" s="6"/>
      <c r="U2529" s="6"/>
      <c r="V2529" s="6"/>
      <c r="W2529" s="6"/>
      <c r="X2529" s="6"/>
      <c r="Y2529" s="6"/>
      <c r="Z2529" s="6"/>
      <c r="AA2529" s="6"/>
    </row>
    <row r="2530" ht="14.25">
      <c r="B2530" s="4" t="s">
        <v>206</v>
      </c>
      <c r="C2530" s="4" t="s">
        <v>19322</v>
      </c>
      <c r="D2530" s="4" t="s">
        <v>19323</v>
      </c>
      <c r="E2530" s="5" t="s">
        <v>19324</v>
      </c>
      <c r="F2530" s="4" t="str">
        <f>IFERROR(__XLUDF.DUMMYFUNCTION("PROPER(REGEXREPLACE(D246,""[^A-Za-z]+ "",""""))"),"Monkey Patch")</f>
        <v xml:space="preserve">Monkey Patch</v>
      </c>
      <c r="G2530" s="4" t="s">
        <v>19325</v>
      </c>
      <c r="H2530" s="4">
        <v>10</v>
      </c>
      <c r="I2530" s="4" t="s">
        <v>2602</v>
      </c>
      <c r="J2530" s="4" t="str">
        <f>IFERROR(__XLUDF.DUMMYFUNCTION("VLOOKUP(H246,IMPORTRANGE(""https://docs.google.com/spreadsheets/d/1opm6ZNvGZ7KditA9TuJwrZ25eFLfTNIkrNnY6mhV5Eg"",""list!A1:C115""),3,TRUE)"),"le secteur de la tech")</f>
        <v xml:space="preserve">le secteur de la tech</v>
      </c>
      <c r="K2530" s="5" t="s">
        <v>19326</v>
      </c>
      <c r="L2530" s="5" t="s">
        <v>19327</v>
      </c>
      <c r="M2530" s="4" t="s">
        <v>83</v>
      </c>
      <c r="N2530" s="4" t="s">
        <v>29</v>
      </c>
      <c r="O2530" s="4" t="s">
        <v>84</v>
      </c>
      <c r="P2530" s="4" t="s">
        <v>29</v>
      </c>
      <c r="Q2530" s="4" t="s">
        <v>19328</v>
      </c>
      <c r="R2530" s="6"/>
      <c r="S2530" s="6"/>
      <c r="T2530" s="6"/>
      <c r="U2530" s="6"/>
      <c r="V2530" s="6"/>
      <c r="W2530" s="6"/>
      <c r="X2530" s="6"/>
      <c r="Y2530" s="6"/>
      <c r="Z2530" s="6"/>
      <c r="AA2530" s="6"/>
    </row>
    <row r="2531" ht="14.25">
      <c r="B2531" s="4" t="s">
        <v>76</v>
      </c>
      <c r="C2531" s="4" t="s">
        <v>19329</v>
      </c>
      <c r="D2531" s="4" t="s">
        <v>9532</v>
      </c>
      <c r="E2531" s="4" t="s">
        <v>19330</v>
      </c>
      <c r="F2531" s="4" t="str">
        <f>IFERROR(__XLUDF.DUMMYFUNCTION("PROPER(REGEXREPLACE(D247,""[^A-Za-z]+ "",""""))"),"Agence Point 11")</f>
        <v xml:space="preserve">Agence Point 11</v>
      </c>
      <c r="G2531" s="4" t="s">
        <v>19331</v>
      </c>
      <c r="H2531" s="4">
        <v>32</v>
      </c>
      <c r="I2531" s="4" t="s">
        <v>9161</v>
      </c>
      <c r="J2531" s="4" t="str">
        <f>IFERROR(__XLUDF.DUMMYFUNCTION("VLOOKUP(H247,IMPORTRANGE(""https://docs.google.com/spreadsheets/d/1opm6ZNvGZ7KditA9TuJwrZ25eFLfTNIkrNnY6mhV5Eg"",""list!A1:C115""),3,TRUE)"),"le secteur du marketing")</f>
        <v xml:space="preserve">le secteur du marketing</v>
      </c>
      <c r="K2531" s="5" t="s">
        <v>19332</v>
      </c>
      <c r="L2531" s="5" t="s">
        <v>19333</v>
      </c>
      <c r="M2531" s="4" t="s">
        <v>39</v>
      </c>
      <c r="N2531" s="4" t="s">
        <v>29</v>
      </c>
      <c r="O2531" s="4" t="s">
        <v>19334</v>
      </c>
      <c r="P2531" s="4" t="s">
        <v>29</v>
      </c>
      <c r="Q2531" s="4" t="s">
        <v>19335</v>
      </c>
      <c r="R2531" s="6"/>
      <c r="S2531" s="6"/>
      <c r="T2531" s="6"/>
      <c r="U2531" s="6"/>
      <c r="V2531" s="6"/>
      <c r="W2531" s="6"/>
      <c r="X2531" s="6"/>
      <c r="Y2531" s="6"/>
      <c r="Z2531" s="6"/>
      <c r="AA2531" s="6"/>
    </row>
    <row r="2532" ht="14.25">
      <c r="B2532" s="4" t="s">
        <v>20</v>
      </c>
      <c r="C2532" s="4" t="s">
        <v>19336</v>
      </c>
      <c r="D2532" s="4" t="s">
        <v>19337</v>
      </c>
      <c r="E2532" s="4" t="s">
        <v>19338</v>
      </c>
      <c r="F2532" s="4" t="str">
        <f>IFERROR(__XLUDF.DUMMYFUNCTION("PROPER(REGEXREPLACE(D248,""[^A-Za-z]+ "",""""))"),"Do Pharma")</f>
        <v xml:space="preserve">Do Pharma</v>
      </c>
      <c r="G2532" s="4" t="s">
        <v>19339</v>
      </c>
      <c r="H2532" s="4">
        <v>26</v>
      </c>
      <c r="I2532" s="4" t="s">
        <v>4525</v>
      </c>
      <c r="J2532" s="4"/>
      <c r="K2532" s="5" t="s">
        <v>19340</v>
      </c>
      <c r="L2532" s="5" t="s">
        <v>19341</v>
      </c>
      <c r="M2532" s="4" t="s">
        <v>39</v>
      </c>
      <c r="N2532" s="4" t="s">
        <v>29</v>
      </c>
      <c r="O2532" s="4" t="s">
        <v>19342</v>
      </c>
      <c r="P2532" s="4" t="s">
        <v>29</v>
      </c>
      <c r="Q2532" s="4" t="s">
        <v>19343</v>
      </c>
      <c r="R2532" s="6"/>
      <c r="S2532" s="6"/>
      <c r="T2532" s="6"/>
      <c r="U2532" s="6"/>
      <c r="V2532" s="6"/>
      <c r="W2532" s="6"/>
      <c r="X2532" s="6"/>
      <c r="Y2532" s="6"/>
      <c r="Z2532" s="6"/>
      <c r="AA2532" s="6"/>
    </row>
    <row r="2533" ht="14.25">
      <c r="B2533" s="4" t="s">
        <v>5716</v>
      </c>
      <c r="C2533" s="4" t="s">
        <v>19344</v>
      </c>
      <c r="D2533" s="4" t="s">
        <v>5500</v>
      </c>
      <c r="E2533" s="4" t="s">
        <v>19345</v>
      </c>
      <c r="F2533" s="4" t="str">
        <f>IFERROR(__XLUDF.DUMMYFUNCTION("PROPER(REGEXREPLACE(D249,""[^A-Za-z]+ "",""""))"),"Ekost")</f>
        <v>Ekost</v>
      </c>
      <c r="G2533" s="4" t="s">
        <v>19346</v>
      </c>
      <c r="H2533" s="4">
        <v>12</v>
      </c>
      <c r="I2533" s="4" t="s">
        <v>2602</v>
      </c>
      <c r="J2533" s="4"/>
      <c r="K2533" s="5" t="s">
        <v>19347</v>
      </c>
      <c r="L2533" s="5" t="s">
        <v>19348</v>
      </c>
      <c r="M2533" s="6"/>
      <c r="N2533" s="4" t="s">
        <v>29</v>
      </c>
      <c r="O2533" s="4" t="s">
        <v>19349</v>
      </c>
      <c r="P2533" s="4" t="s">
        <v>29</v>
      </c>
      <c r="Q2533" s="4" t="s">
        <v>19350</v>
      </c>
      <c r="R2533" s="6"/>
      <c r="S2533" s="6"/>
      <c r="T2533" s="6"/>
      <c r="U2533" s="6"/>
      <c r="V2533" s="6"/>
      <c r="W2533" s="6"/>
      <c r="X2533" s="6"/>
      <c r="Y2533" s="6"/>
      <c r="Z2533" s="6"/>
      <c r="AA2533" s="6"/>
    </row>
    <row r="2534" ht="14.25">
      <c r="B2534" s="4" t="s">
        <v>2932</v>
      </c>
      <c r="C2534" s="4" t="s">
        <v>19351</v>
      </c>
      <c r="D2534" s="4" t="s">
        <v>87</v>
      </c>
      <c r="E2534" s="4" t="s">
        <v>19352</v>
      </c>
      <c r="F2534" s="4" t="str">
        <f>IFERROR(__XLUDF.DUMMYFUNCTION("PROPER(REGEXREPLACE(D250,""[^A-Za-z]+ "",""""))"),"Feedier")</f>
        <v>Feedier</v>
      </c>
      <c r="G2534" s="4" t="s">
        <v>19353</v>
      </c>
      <c r="H2534" s="4">
        <v>27</v>
      </c>
      <c r="I2534" s="4" t="s">
        <v>2602</v>
      </c>
      <c r="J2534" s="4"/>
      <c r="K2534" s="5" t="s">
        <v>19354</v>
      </c>
      <c r="L2534" s="5" t="s">
        <v>19355</v>
      </c>
      <c r="M2534" s="4" t="s">
        <v>846</v>
      </c>
      <c r="N2534" s="4" t="s">
        <v>29</v>
      </c>
      <c r="O2534" s="4" t="s">
        <v>18845</v>
      </c>
      <c r="P2534" s="4" t="s">
        <v>29</v>
      </c>
      <c r="Q2534" s="6"/>
      <c r="R2534" s="6"/>
      <c r="S2534" s="6"/>
      <c r="T2534" s="6"/>
      <c r="U2534" s="6"/>
      <c r="V2534" s="6"/>
      <c r="W2534" s="6"/>
      <c r="X2534" s="6"/>
      <c r="Y2534" s="6"/>
      <c r="Z2534" s="6"/>
      <c r="AA2534" s="6"/>
    </row>
    <row r="2535" ht="14.25">
      <c r="B2535" s="4" t="s">
        <v>2299</v>
      </c>
      <c r="C2535" s="4" t="s">
        <v>19356</v>
      </c>
      <c r="D2535" s="4" t="s">
        <v>19357</v>
      </c>
      <c r="E2535" s="4" t="s">
        <v>19358</v>
      </c>
      <c r="F2535" s="4" t="str">
        <f>IFERROR(__XLUDF.DUMMYFUNCTION("PROPER(REGEXREPLACE(D251,""[^A-Za-z]+ "",""""))"),"Withinsales")</f>
        <v>Withinsales</v>
      </c>
      <c r="G2535" s="4" t="s">
        <v>19359</v>
      </c>
      <c r="H2535" s="4">
        <v>10</v>
      </c>
      <c r="I2535" s="4" t="s">
        <v>4067</v>
      </c>
      <c r="J2535" s="4" t="str">
        <f>IFERROR(__XLUDF.DUMMYFUNCTION("VLOOKUP(H251,IMPORTRANGE(""https://docs.google.com/spreadsheets/d/1opm6ZNvGZ7KditA9TuJwrZ25eFLfTNIkrNnY6mhV5Eg"",""list!A1:C115""),3,TRUE)"),"le secteur du conseil en management")</f>
        <v xml:space="preserve">le secteur du conseil en management</v>
      </c>
      <c r="K2535" s="5" t="s">
        <v>19360</v>
      </c>
      <c r="L2535" s="5" t="s">
        <v>19361</v>
      </c>
      <c r="M2535" s="4" t="s">
        <v>7827</v>
      </c>
      <c r="N2535" s="4" t="s">
        <v>29</v>
      </c>
      <c r="O2535" s="4" t="s">
        <v>611</v>
      </c>
      <c r="P2535" s="4" t="s">
        <v>29</v>
      </c>
      <c r="Q2535" s="4" t="s">
        <v>19362</v>
      </c>
      <c r="R2535" s="6"/>
      <c r="S2535" s="6"/>
      <c r="T2535" s="6"/>
      <c r="U2535" s="6"/>
      <c r="V2535" s="6"/>
      <c r="W2535" s="6"/>
      <c r="X2535" s="6"/>
      <c r="Y2535" s="6"/>
      <c r="Z2535" s="6"/>
      <c r="AA2535" s="6"/>
    </row>
    <row r="2536" ht="14.25">
      <c r="B2536" s="4" t="s">
        <v>110</v>
      </c>
      <c r="C2536" s="4" t="s">
        <v>19363</v>
      </c>
      <c r="D2536" s="4" t="s">
        <v>5588</v>
      </c>
      <c r="E2536" s="4" t="s">
        <v>19364</v>
      </c>
      <c r="F2536" s="4" t="str">
        <f>IFERROR(__XLUDF.DUMMYFUNCTION("PROPER(REGEXREPLACE(D252,""[^A-Za-z]+ "",""""))"),"Hoppr")</f>
        <v>Hoppr</v>
      </c>
      <c r="G2536" s="4" t="s">
        <v>19365</v>
      </c>
      <c r="H2536" s="4">
        <v>17</v>
      </c>
      <c r="I2536" s="4" t="s">
        <v>2602</v>
      </c>
      <c r="J2536" s="4"/>
      <c r="K2536" s="5" t="s">
        <v>19366</v>
      </c>
      <c r="L2536" s="5" t="s">
        <v>19367</v>
      </c>
      <c r="M2536" s="4" t="s">
        <v>846</v>
      </c>
      <c r="N2536" s="4" t="s">
        <v>29</v>
      </c>
      <c r="O2536" s="4" t="s">
        <v>5865</v>
      </c>
      <c r="P2536" s="4" t="s">
        <v>29</v>
      </c>
      <c r="Q2536" s="6"/>
      <c r="R2536" s="6"/>
      <c r="S2536" s="6"/>
      <c r="T2536" s="6"/>
      <c r="U2536" s="6"/>
      <c r="V2536" s="6"/>
      <c r="W2536" s="6"/>
      <c r="X2536" s="6"/>
      <c r="Y2536" s="6"/>
      <c r="Z2536" s="6"/>
      <c r="AA2536" s="6"/>
    </row>
    <row r="2537" ht="14.25">
      <c r="B2537" s="4" t="s">
        <v>19368</v>
      </c>
      <c r="C2537" s="4" t="s">
        <v>4986</v>
      </c>
      <c r="D2537" s="4" t="s">
        <v>19369</v>
      </c>
      <c r="E2537" s="4" t="s">
        <v>19370</v>
      </c>
      <c r="F2537" s="4" t="str">
        <f>IFERROR(__XLUDF.DUMMYFUNCTION("PROPER(REGEXREPLACE(D253,""[^A-Za-z]+ "",""""))"),"Numerize")</f>
        <v>Numerize</v>
      </c>
      <c r="G2537" s="4" t="s">
        <v>19371</v>
      </c>
      <c r="H2537" s="4">
        <v>18</v>
      </c>
      <c r="I2537" s="4" t="s">
        <v>2602</v>
      </c>
      <c r="J2537" s="4"/>
      <c r="K2537" s="5" t="s">
        <v>19372</v>
      </c>
      <c r="L2537" s="5" t="s">
        <v>19373</v>
      </c>
      <c r="M2537" s="4" t="s">
        <v>651</v>
      </c>
      <c r="N2537" s="4" t="s">
        <v>29</v>
      </c>
      <c r="O2537" s="4" t="s">
        <v>19374</v>
      </c>
      <c r="P2537" s="4" t="s">
        <v>29</v>
      </c>
      <c r="Q2537" s="4" t="s">
        <v>19375</v>
      </c>
      <c r="R2537" s="6"/>
      <c r="S2537" s="6"/>
      <c r="T2537" s="6"/>
      <c r="U2537" s="6"/>
      <c r="V2537" s="6"/>
      <c r="W2537" s="6"/>
      <c r="X2537" s="6"/>
      <c r="Y2537" s="6"/>
      <c r="Z2537" s="6"/>
      <c r="AA2537" s="6"/>
    </row>
    <row r="2538" ht="14.25">
      <c r="B2538" s="4" t="s">
        <v>206</v>
      </c>
      <c r="C2538" s="4" t="s">
        <v>3548</v>
      </c>
      <c r="D2538" s="4" t="s">
        <v>19376</v>
      </c>
      <c r="E2538" s="4" t="s">
        <v>19377</v>
      </c>
      <c r="F2538" s="4" t="str">
        <f>IFERROR(__XLUDF.DUMMYFUNCTION("PROPER(REGEXREPLACE(D254,""[^A-Za-z]+ "",""""))"),"Lysint")</f>
        <v>Lysint</v>
      </c>
      <c r="G2538" s="4" t="s">
        <v>19378</v>
      </c>
      <c r="H2538" s="4">
        <v>13</v>
      </c>
      <c r="I2538" s="4" t="s">
        <v>2602</v>
      </c>
      <c r="J2538" s="4" t="str">
        <f>IFERROR(__XLUDF.DUMMYFUNCTION("VLOOKUP(H254,IMPORTRANGE(""https://docs.google.com/spreadsheets/d/1opm6ZNvGZ7KditA9TuJwrZ25eFLfTNIkrNnY6mhV5Eg"",""list!A1:C115""),3,TRUE)"),"le secteur de la tech")</f>
        <v xml:space="preserve">le secteur de la tech</v>
      </c>
      <c r="K2538" s="5" t="s">
        <v>19379</v>
      </c>
      <c r="L2538" s="5" t="s">
        <v>19380</v>
      </c>
      <c r="M2538" s="4" t="s">
        <v>39</v>
      </c>
      <c r="N2538" s="4" t="s">
        <v>29</v>
      </c>
      <c r="O2538" s="4" t="s">
        <v>19381</v>
      </c>
      <c r="P2538" s="4" t="s">
        <v>29</v>
      </c>
      <c r="Q2538" s="6"/>
      <c r="R2538" s="6"/>
      <c r="S2538" s="6"/>
      <c r="T2538" s="6"/>
      <c r="U2538" s="6"/>
      <c r="V2538" s="6"/>
      <c r="W2538" s="6"/>
      <c r="X2538" s="6"/>
      <c r="Y2538" s="6"/>
      <c r="Z2538" s="6"/>
      <c r="AA2538" s="6"/>
    </row>
    <row r="2539" ht="14.25">
      <c r="B2539" s="4" t="s">
        <v>3516</v>
      </c>
      <c r="C2539" s="4" t="s">
        <v>19382</v>
      </c>
      <c r="D2539" s="4" t="s">
        <v>19383</v>
      </c>
      <c r="E2539" s="4" t="s">
        <v>19384</v>
      </c>
      <c r="F2539" s="4" t="str">
        <f>IFERROR(__XLUDF.DUMMYFUNCTION("PROPER(REGEXREPLACE(D255,""[^A-Za-z]+ "",""""))"),"Pathway")</f>
        <v>Pathway</v>
      </c>
      <c r="G2539" s="4" t="s">
        <v>19385</v>
      </c>
      <c r="H2539" s="4">
        <v>34</v>
      </c>
      <c r="I2539" s="4" t="s">
        <v>2602</v>
      </c>
      <c r="J2539" s="4" t="str">
        <f>IFERROR(__XLUDF.DUMMYFUNCTION("VLOOKUP(H255,IMPORTRANGE(""https://docs.google.com/spreadsheets/d/1opm6ZNvGZ7KditA9TuJwrZ25eFLfTNIkrNnY6mhV5Eg"",""list!A1:C115""),3,TRUE)"),"le secteur de la tech")</f>
        <v xml:space="preserve">le secteur de la tech</v>
      </c>
      <c r="K2539" s="5" t="s">
        <v>19386</v>
      </c>
      <c r="L2539" s="5" t="s">
        <v>19387</v>
      </c>
      <c r="M2539" s="4" t="s">
        <v>39</v>
      </c>
      <c r="N2539" s="4" t="s">
        <v>29</v>
      </c>
      <c r="O2539" s="4" t="s">
        <v>19388</v>
      </c>
      <c r="P2539" s="4" t="s">
        <v>29</v>
      </c>
      <c r="Q2539" s="4" t="s">
        <v>19389</v>
      </c>
      <c r="R2539" s="6"/>
      <c r="S2539" s="6"/>
      <c r="T2539" s="6"/>
      <c r="U2539" s="6"/>
      <c r="V2539" s="6"/>
      <c r="W2539" s="6"/>
      <c r="X2539" s="6"/>
      <c r="Y2539" s="6"/>
      <c r="Z2539" s="6"/>
      <c r="AA2539" s="6"/>
    </row>
    <row r="2540" ht="14.25">
      <c r="B2540" s="4" t="s">
        <v>1215</v>
      </c>
      <c r="C2540" s="4" t="s">
        <v>19390</v>
      </c>
      <c r="D2540" s="4" t="s">
        <v>172</v>
      </c>
      <c r="E2540" s="4" t="s">
        <v>19391</v>
      </c>
      <c r="F2540" s="4" t="str">
        <f>IFERROR(__XLUDF.DUMMYFUNCTION("PROPER(REGEXREPLACE(D256,""[^A-Za-z]+ "",""""))"),"Axone")</f>
        <v>Axone</v>
      </c>
      <c r="G2540" s="4" t="s">
        <v>19392</v>
      </c>
      <c r="H2540" s="4">
        <v>22</v>
      </c>
      <c r="I2540" s="4" t="s">
        <v>2602</v>
      </c>
      <c r="J2540" s="4"/>
      <c r="K2540" s="5" t="s">
        <v>19393</v>
      </c>
      <c r="L2540" s="5" t="s">
        <v>19394</v>
      </c>
      <c r="M2540" s="4" t="s">
        <v>13773</v>
      </c>
      <c r="N2540" s="4" t="s">
        <v>29</v>
      </c>
      <c r="O2540" s="4" t="s">
        <v>19395</v>
      </c>
      <c r="P2540" s="4" t="s">
        <v>29</v>
      </c>
      <c r="Q2540" s="6"/>
      <c r="R2540" s="6"/>
      <c r="S2540" s="6"/>
      <c r="T2540" s="6"/>
      <c r="U2540" s="6"/>
      <c r="V2540" s="6"/>
      <c r="W2540" s="6"/>
      <c r="X2540" s="6"/>
      <c r="Y2540" s="6"/>
      <c r="Z2540" s="6"/>
      <c r="AA2540" s="6"/>
    </row>
    <row r="2541" ht="14.25">
      <c r="B2541" s="4" t="s">
        <v>19396</v>
      </c>
      <c r="C2541" s="4" t="s">
        <v>19397</v>
      </c>
      <c r="D2541" s="4" t="s">
        <v>2911</v>
      </c>
      <c r="E2541" s="4" t="s">
        <v>19398</v>
      </c>
      <c r="F2541" s="4" t="str">
        <f>IFERROR(__XLUDF.DUMMYFUNCTION("PROPER(REGEXREPLACE(D257,""[^A-Za-z]+ "",""""))"),"Arago")</f>
        <v>Arago</v>
      </c>
      <c r="G2541" s="4" t="s">
        <v>19399</v>
      </c>
      <c r="H2541" s="4">
        <v>32</v>
      </c>
      <c r="I2541" s="4" t="s">
        <v>9161</v>
      </c>
      <c r="J2541" s="4"/>
      <c r="K2541" s="5" t="s">
        <v>19400</v>
      </c>
      <c r="L2541" s="5" t="s">
        <v>19401</v>
      </c>
      <c r="M2541" s="4" t="s">
        <v>39</v>
      </c>
      <c r="N2541" s="4" t="s">
        <v>29</v>
      </c>
      <c r="O2541" s="4" t="s">
        <v>19402</v>
      </c>
      <c r="P2541" s="4" t="s">
        <v>29</v>
      </c>
      <c r="Q2541" s="4" t="s">
        <v>19403</v>
      </c>
      <c r="R2541" s="6"/>
      <c r="S2541" s="6"/>
      <c r="T2541" s="6"/>
      <c r="U2541" s="6"/>
      <c r="V2541" s="6"/>
      <c r="W2541" s="6"/>
      <c r="X2541" s="6"/>
      <c r="Y2541" s="6"/>
      <c r="Z2541" s="6"/>
      <c r="AA2541" s="6"/>
    </row>
    <row r="2542" ht="14.25">
      <c r="B2542" s="4" t="s">
        <v>110</v>
      </c>
      <c r="C2542" s="4" t="s">
        <v>19404</v>
      </c>
      <c r="D2542" s="4" t="s">
        <v>426</v>
      </c>
      <c r="E2542" s="4" t="s">
        <v>19405</v>
      </c>
      <c r="F2542" s="4" t="str">
        <f>IFERROR(__XLUDF.DUMMYFUNCTION("PROPER(REGEXREPLACE(D258,""[^A-Za-z]+ "",""""))"),"Huet Location")</f>
        <v xml:space="preserve">Huet Location</v>
      </c>
      <c r="G2542" s="4" t="s">
        <v>19406</v>
      </c>
      <c r="H2542" s="4">
        <v>32</v>
      </c>
      <c r="I2542" s="4" t="s">
        <v>4525</v>
      </c>
      <c r="J2542" s="4" t="str">
        <f>IFERROR(__XLUDF.DUMMYFUNCTION("VLOOKUP(H258,IMPORTRANGE(""https://docs.google.com/spreadsheets/d/1opm6ZNvGZ7KditA9TuJwrZ25eFLfTNIkrNnY6mhV5Eg"",""list!A1:C115""),3,TRUE)"),"le secteur du retail")</f>
        <v xml:space="preserve">le secteur du retail</v>
      </c>
      <c r="K2542" s="5" t="s">
        <v>19407</v>
      </c>
      <c r="L2542" s="5" t="s">
        <v>19408</v>
      </c>
      <c r="M2542" s="6"/>
      <c r="N2542" s="4" t="s">
        <v>29</v>
      </c>
      <c r="O2542" s="4" t="s">
        <v>19409</v>
      </c>
      <c r="P2542" s="4" t="s">
        <v>29</v>
      </c>
      <c r="Q2542" s="4" t="s">
        <v>19410</v>
      </c>
      <c r="R2542" s="6"/>
      <c r="S2542" s="6"/>
      <c r="T2542" s="6"/>
      <c r="U2542" s="6"/>
      <c r="V2542" s="6"/>
      <c r="W2542" s="6"/>
      <c r="X2542" s="6"/>
      <c r="Y2542" s="6"/>
      <c r="Z2542" s="6"/>
      <c r="AA2542" s="6"/>
    </row>
    <row r="2543" ht="14.25">
      <c r="B2543" s="4" t="s">
        <v>6967</v>
      </c>
      <c r="C2543" s="4" t="s">
        <v>19411</v>
      </c>
      <c r="D2543" s="4" t="s">
        <v>172</v>
      </c>
      <c r="E2543" s="4" t="s">
        <v>19412</v>
      </c>
      <c r="F2543" s="4" t="str">
        <f>IFERROR(__XLUDF.DUMMYFUNCTION("PROPER(REGEXREPLACE(D259,""[^A-Za-z]+ "",""""))"),"Phenix Electronique")</f>
        <v xml:space="preserve">Phenix Electronique</v>
      </c>
      <c r="G2543" s="4" t="s">
        <v>19413</v>
      </c>
      <c r="H2543" s="4">
        <v>34</v>
      </c>
      <c r="I2543" s="4" t="s">
        <v>10215</v>
      </c>
      <c r="J2543" s="4" t="str">
        <f>IFERROR(__XLUDF.DUMMYFUNCTION("VLOOKUP(H259,IMPORTRANGE(""https://docs.google.com/spreadsheets/d/1opm6ZNvGZ7KditA9TuJwrZ25eFLfTNIkrNnY6mhV5Eg"",""list!A1:C115""),3,TRUE)"),"le secteur de l'électrique et électronique")</f>
        <v xml:space="preserve">le secteur de l'électrique et électronique</v>
      </c>
      <c r="K2543" s="5" t="s">
        <v>19414</v>
      </c>
      <c r="L2543" s="5" t="s">
        <v>19415</v>
      </c>
      <c r="M2543" s="4" t="s">
        <v>6412</v>
      </c>
      <c r="N2543" s="4" t="s">
        <v>29</v>
      </c>
      <c r="O2543" s="4" t="s">
        <v>19416</v>
      </c>
      <c r="P2543" s="4" t="s">
        <v>29</v>
      </c>
      <c r="Q2543" s="6"/>
      <c r="R2543" s="6"/>
      <c r="S2543" s="6"/>
      <c r="T2543" s="6"/>
      <c r="U2543" s="6"/>
      <c r="V2543" s="6"/>
      <c r="W2543" s="6"/>
      <c r="X2543" s="6"/>
      <c r="Y2543" s="6"/>
      <c r="Z2543" s="6"/>
      <c r="AA2543" s="6"/>
    </row>
    <row r="2544" ht="14.25">
      <c r="B2544" s="4" t="s">
        <v>485</v>
      </c>
      <c r="C2544" s="4" t="s">
        <v>19417</v>
      </c>
      <c r="D2544" s="4" t="s">
        <v>62</v>
      </c>
      <c r="E2544" s="4" t="s">
        <v>19418</v>
      </c>
      <c r="F2544" s="4" t="str">
        <f>IFERROR(__XLUDF.DUMMYFUNCTION("PROPER(REGEXREPLACE(D260,""[^A-Za-z]+ "",""""))"),"Hygie")</f>
        <v>Hygie</v>
      </c>
      <c r="G2544" s="4" t="s">
        <v>19419</v>
      </c>
      <c r="H2544" s="4">
        <v>12</v>
      </c>
      <c r="I2544" s="4" t="s">
        <v>2602</v>
      </c>
      <c r="J2544" s="4" t="str">
        <f>IFERROR(__XLUDF.DUMMYFUNCTION("VLOOKUP(H260,IMPORTRANGE(""https://docs.google.com/spreadsheets/d/1opm6ZNvGZ7KditA9TuJwrZ25eFLfTNIkrNnY6mhV5Eg"",""list!A1:C115""),3,TRUE)"),"le secteur de la tech")</f>
        <v xml:space="preserve">le secteur de la tech</v>
      </c>
      <c r="K2544" s="5" t="s">
        <v>19420</v>
      </c>
      <c r="L2544" s="5" t="s">
        <v>19421</v>
      </c>
      <c r="M2544" s="6"/>
      <c r="N2544" s="4" t="s">
        <v>29</v>
      </c>
      <c r="O2544" s="4" t="s">
        <v>67</v>
      </c>
      <c r="P2544" s="4" t="s">
        <v>29</v>
      </c>
      <c r="Q2544" s="4" t="s">
        <v>19422</v>
      </c>
      <c r="R2544" s="6"/>
      <c r="S2544" s="6"/>
      <c r="T2544" s="6"/>
      <c r="U2544" s="6"/>
      <c r="V2544" s="6"/>
      <c r="W2544" s="6"/>
      <c r="X2544" s="6"/>
      <c r="Y2544" s="6"/>
      <c r="Z2544" s="6"/>
      <c r="AA2544" s="6"/>
    </row>
    <row r="2545" ht="14.25">
      <c r="B2545" s="4" t="s">
        <v>6967</v>
      </c>
      <c r="C2545" s="4" t="s">
        <v>19423</v>
      </c>
      <c r="D2545" s="4" t="s">
        <v>172</v>
      </c>
      <c r="E2545" s="4" t="s">
        <v>19424</v>
      </c>
      <c r="F2545" s="4" t="str">
        <f>IFERROR(__XLUDF.DUMMYFUNCTION("PROPER(REGEXREPLACE(D261,""[^A-Za-z]+ "",""""))"),"Weedo It")</f>
        <v xml:space="preserve">Weedo It</v>
      </c>
      <c r="G2545" s="4" t="s">
        <v>19425</v>
      </c>
      <c r="H2545" s="4">
        <v>24</v>
      </c>
      <c r="I2545" s="4" t="s">
        <v>9161</v>
      </c>
      <c r="J2545" s="4"/>
      <c r="K2545" s="5" t="s">
        <v>19426</v>
      </c>
      <c r="L2545" s="5" t="s">
        <v>19427</v>
      </c>
      <c r="M2545" s="4" t="s">
        <v>185</v>
      </c>
      <c r="N2545" s="4" t="s">
        <v>29</v>
      </c>
      <c r="O2545" s="4" t="s">
        <v>19428</v>
      </c>
      <c r="P2545" s="4" t="s">
        <v>29</v>
      </c>
      <c r="Q2545" s="4" t="s">
        <v>19429</v>
      </c>
      <c r="R2545" s="6"/>
      <c r="S2545" s="6"/>
      <c r="T2545" s="6"/>
      <c r="U2545" s="6"/>
      <c r="V2545" s="6"/>
      <c r="W2545" s="6"/>
      <c r="X2545" s="6"/>
      <c r="Y2545" s="6"/>
      <c r="Z2545" s="6"/>
      <c r="AA2545" s="6"/>
    </row>
    <row r="2546" ht="14.25">
      <c r="B2546" s="4" t="s">
        <v>170</v>
      </c>
      <c r="C2546" s="4" t="s">
        <v>19430</v>
      </c>
      <c r="D2546" s="4" t="s">
        <v>17579</v>
      </c>
      <c r="E2546" s="4" t="s">
        <v>19431</v>
      </c>
      <c r="F2546" s="4" t="str">
        <f>IFERROR(__XLUDF.DUMMYFUNCTION("PROPER(REGEXREPLACE(D262,""[^A-Za-z]+ "",""""))"),"Spaycial")</f>
        <v>Spaycial</v>
      </c>
      <c r="G2546" s="4" t="s">
        <v>19432</v>
      </c>
      <c r="H2546" s="4">
        <v>16</v>
      </c>
      <c r="I2546" s="4" t="s">
        <v>2602</v>
      </c>
      <c r="J2546" s="4"/>
      <c r="K2546" s="5" t="s">
        <v>19433</v>
      </c>
      <c r="L2546" s="5" t="s">
        <v>19434</v>
      </c>
      <c r="M2546" s="4" t="s">
        <v>39</v>
      </c>
      <c r="N2546" s="4" t="s">
        <v>29</v>
      </c>
      <c r="O2546" s="4" t="s">
        <v>19435</v>
      </c>
      <c r="P2546" s="4" t="s">
        <v>29</v>
      </c>
      <c r="Q2546" s="4" t="s">
        <v>19436</v>
      </c>
      <c r="R2546" s="6"/>
      <c r="S2546" s="6"/>
      <c r="T2546" s="6"/>
      <c r="U2546" s="6"/>
      <c r="V2546" s="6"/>
      <c r="W2546" s="6"/>
      <c r="X2546" s="6"/>
      <c r="Y2546" s="6"/>
      <c r="Z2546" s="6"/>
      <c r="AA2546" s="6"/>
    </row>
    <row r="2547" ht="14.25">
      <c r="B2547" s="4" t="s">
        <v>76</v>
      </c>
      <c r="C2547" s="4" t="s">
        <v>19437</v>
      </c>
      <c r="D2547" s="4" t="s">
        <v>19438</v>
      </c>
      <c r="E2547" s="4" t="s">
        <v>19439</v>
      </c>
      <c r="F2547" s="4" t="str">
        <f>IFERROR(__XLUDF.DUMMYFUNCTION("PROPER(REGEXREPLACE(D263,""[^A-Za-z]+ "",""""))"),"Kpa6T")</f>
        <v>Kpa6T</v>
      </c>
      <c r="G2547" s="4" t="s">
        <v>19440</v>
      </c>
      <c r="H2547" s="4">
        <v>14</v>
      </c>
      <c r="I2547" s="4" t="s">
        <v>2602</v>
      </c>
      <c r="J2547" s="4"/>
      <c r="K2547" s="5" t="s">
        <v>19441</v>
      </c>
      <c r="L2547" s="5" t="s">
        <v>19442</v>
      </c>
      <c r="M2547" s="6"/>
      <c r="N2547" s="4" t="s">
        <v>29</v>
      </c>
      <c r="O2547" s="4" t="s">
        <v>19443</v>
      </c>
      <c r="P2547" s="4" t="s">
        <v>29</v>
      </c>
      <c r="Q2547" s="6"/>
      <c r="R2547" s="6"/>
      <c r="S2547" s="6"/>
      <c r="T2547" s="6"/>
      <c r="U2547" s="6"/>
      <c r="V2547" s="6"/>
      <c r="W2547" s="6"/>
      <c r="X2547" s="6"/>
      <c r="Y2547" s="6"/>
      <c r="Z2547" s="6"/>
      <c r="AA2547" s="6"/>
    </row>
    <row r="2548" ht="14.25">
      <c r="B2548" s="4" t="s">
        <v>6040</v>
      </c>
      <c r="C2548" s="4" t="s">
        <v>19444</v>
      </c>
      <c r="D2548" s="4" t="s">
        <v>19445</v>
      </c>
      <c r="E2548" s="4" t="s">
        <v>19446</v>
      </c>
      <c r="F2548" s="4" t="str">
        <f>IFERROR(__XLUDF.DUMMYFUNCTION("PROPER(REGEXREPLACE(D264,""[^A-Za-z]+ "",""""))"),"Eshard")</f>
        <v>Eshard</v>
      </c>
      <c r="G2548" s="4" t="s">
        <v>19447</v>
      </c>
      <c r="H2548" s="4">
        <v>40</v>
      </c>
      <c r="I2548" s="4" t="s">
        <v>9264</v>
      </c>
      <c r="J2548" s="4"/>
      <c r="K2548" s="5" t="s">
        <v>19448</v>
      </c>
      <c r="L2548" s="5" t="s">
        <v>19449</v>
      </c>
      <c r="M2548" s="4" t="s">
        <v>243</v>
      </c>
      <c r="N2548" s="4" t="s">
        <v>29</v>
      </c>
      <c r="O2548" s="4" t="s">
        <v>19450</v>
      </c>
      <c r="P2548" s="4" t="s">
        <v>29</v>
      </c>
      <c r="Q2548" s="4" t="s">
        <v>19451</v>
      </c>
      <c r="R2548" s="6"/>
      <c r="S2548" s="6"/>
      <c r="T2548" s="6"/>
      <c r="U2548" s="6"/>
      <c r="V2548" s="6"/>
      <c r="W2548" s="6"/>
      <c r="X2548" s="6"/>
      <c r="Y2548" s="6"/>
      <c r="Z2548" s="6"/>
      <c r="AA2548" s="6"/>
    </row>
    <row r="2549" ht="14.25">
      <c r="B2549" s="4" t="s">
        <v>874</v>
      </c>
      <c r="C2549" s="4" t="s">
        <v>19452</v>
      </c>
      <c r="D2549" s="4" t="s">
        <v>9410</v>
      </c>
      <c r="E2549" s="4" t="s">
        <v>9750</v>
      </c>
      <c r="F2549" s="4" t="str">
        <f>IFERROR(__XLUDF.DUMMYFUNCTION("PROPER(REGEXREPLACE(D265,""[^A-Za-z]+ "",""""))"),"Quintet")</f>
        <v>Quintet</v>
      </c>
      <c r="G2549" s="4" t="s">
        <v>19453</v>
      </c>
      <c r="H2549" s="4">
        <v>11</v>
      </c>
      <c r="I2549" s="4" t="s">
        <v>4067</v>
      </c>
      <c r="J2549" s="4" t="str">
        <f>IFERROR(__XLUDF.DUMMYFUNCTION("VLOOKUP(H265,IMPORTRANGE(""https://docs.google.com/spreadsheets/d/1opm6ZNvGZ7KditA9TuJwrZ25eFLfTNIkrNnY6mhV5Eg"",""list!A1:C115""),3,TRUE)"),"le secteur du conseil en management")</f>
        <v xml:space="preserve">le secteur du conseil en management</v>
      </c>
      <c r="K2549" s="5" t="s">
        <v>19454</v>
      </c>
      <c r="L2549" s="5" t="s">
        <v>19455</v>
      </c>
      <c r="M2549" s="4" t="s">
        <v>39</v>
      </c>
      <c r="N2549" s="4" t="s">
        <v>29</v>
      </c>
      <c r="O2549" s="6"/>
      <c r="P2549" s="6"/>
      <c r="Q2549" s="6"/>
      <c r="R2549" s="6"/>
      <c r="S2549" s="6"/>
      <c r="T2549" s="6"/>
      <c r="U2549" s="6"/>
      <c r="V2549" s="6"/>
      <c r="W2549" s="6"/>
      <c r="X2549" s="6"/>
      <c r="Y2549" s="6"/>
      <c r="Z2549" s="6"/>
      <c r="AA2549" s="6"/>
    </row>
    <row r="2550" ht="14.25">
      <c r="B2550" s="4" t="s">
        <v>1583</v>
      </c>
      <c r="C2550" s="4" t="s">
        <v>19456</v>
      </c>
      <c r="D2550" s="4" t="s">
        <v>5500</v>
      </c>
      <c r="E2550" s="4" t="s">
        <v>19457</v>
      </c>
      <c r="F2550" s="4" t="str">
        <f>IFERROR(__XLUDF.DUMMYFUNCTION("PROPER(REGEXREPLACE(D266,""[^A-Za-z]+ "",""""))"),"Latour Media Group")</f>
        <v xml:space="preserve">Latour Media Group</v>
      </c>
      <c r="G2550" s="4" t="s">
        <v>19458</v>
      </c>
      <c r="H2550" s="4">
        <v>19</v>
      </c>
      <c r="I2550" s="4" t="s">
        <v>2602</v>
      </c>
      <c r="J2550" s="4" t="str">
        <f>IFERROR(__XLUDF.DUMMYFUNCTION("VLOOKUP(H266,IMPORTRANGE(""https://docs.google.com/spreadsheets/d/1opm6ZNvGZ7KditA9TuJwrZ25eFLfTNIkrNnY6mhV5Eg"",""list!A1:C115""),3,TRUE)"),"le secteur de la tech")</f>
        <v xml:space="preserve">le secteur de la tech</v>
      </c>
      <c r="K2550" s="5" t="s">
        <v>19459</v>
      </c>
      <c r="L2550" s="5" t="s">
        <v>19460</v>
      </c>
      <c r="M2550" s="4" t="s">
        <v>39</v>
      </c>
      <c r="N2550" s="4" t="s">
        <v>29</v>
      </c>
      <c r="O2550" s="6"/>
      <c r="P2550" s="6"/>
      <c r="Q2550" s="6"/>
      <c r="R2550" s="6"/>
      <c r="S2550" s="6"/>
      <c r="T2550" s="6"/>
      <c r="U2550" s="6"/>
      <c r="V2550" s="6"/>
      <c r="W2550" s="6"/>
      <c r="X2550" s="6"/>
      <c r="Y2550" s="6"/>
      <c r="Z2550" s="6"/>
      <c r="AA2550" s="6"/>
    </row>
    <row r="2551" ht="14.25">
      <c r="B2551" s="4" t="s">
        <v>3359</v>
      </c>
      <c r="C2551" s="4" t="s">
        <v>19461</v>
      </c>
      <c r="D2551" s="4" t="s">
        <v>19462</v>
      </c>
      <c r="E2551" s="4" t="s">
        <v>19463</v>
      </c>
      <c r="F2551" s="4" t="str">
        <f>IFERROR(__XLUDF.DUMMYFUNCTION("PROPER(REGEXREPLACE(D267,""[^A-Za-z]+ "",""""))"),"Link Consulting Sas")</f>
        <v xml:space="preserve">Link Consulting Sas</v>
      </c>
      <c r="G2551" s="4" t="s">
        <v>19464</v>
      </c>
      <c r="H2551" s="4">
        <v>28</v>
      </c>
      <c r="I2551" s="4" t="s">
        <v>2602</v>
      </c>
      <c r="J2551" s="4"/>
      <c r="K2551" s="5" t="s">
        <v>19465</v>
      </c>
      <c r="L2551" s="5" t="s">
        <v>19466</v>
      </c>
      <c r="M2551" s="4" t="s">
        <v>83</v>
      </c>
      <c r="N2551" s="4" t="s">
        <v>29</v>
      </c>
      <c r="O2551" s="4" t="s">
        <v>346</v>
      </c>
      <c r="P2551" s="4" t="s">
        <v>29</v>
      </c>
      <c r="Q2551" s="4" t="s">
        <v>19467</v>
      </c>
      <c r="R2551" s="6"/>
      <c r="S2551" s="6"/>
      <c r="T2551" s="6"/>
      <c r="U2551" s="6"/>
      <c r="V2551" s="6"/>
      <c r="W2551" s="6"/>
      <c r="X2551" s="6"/>
      <c r="Y2551" s="6"/>
      <c r="Z2551" s="6"/>
      <c r="AA2551" s="6"/>
    </row>
    <row r="2552" ht="14.25">
      <c r="B2552" s="4" t="s">
        <v>955</v>
      </c>
      <c r="C2552" s="4" t="s">
        <v>19468</v>
      </c>
      <c r="D2552" s="4" t="s">
        <v>19469</v>
      </c>
      <c r="E2552" s="4" t="s">
        <v>19470</v>
      </c>
      <c r="F2552" s="4" t="str">
        <f>IFERROR(__XLUDF.DUMMYFUNCTION("PROPER(REGEXREPLACE(D268,""[^A-Za-z]+ "",""""))"),"Spread")</f>
        <v>Spread</v>
      </c>
      <c r="G2552" s="4" t="s">
        <v>19471</v>
      </c>
      <c r="H2552" s="4">
        <v>46</v>
      </c>
      <c r="I2552" s="4" t="s">
        <v>2602</v>
      </c>
      <c r="J2552" s="4"/>
      <c r="K2552" s="5" t="s">
        <v>19472</v>
      </c>
      <c r="L2552" s="5" t="s">
        <v>19473</v>
      </c>
      <c r="M2552" s="4" t="s">
        <v>1826</v>
      </c>
      <c r="N2552" s="4" t="s">
        <v>29</v>
      </c>
      <c r="O2552" s="4" t="s">
        <v>19474</v>
      </c>
      <c r="P2552" s="4" t="s">
        <v>29</v>
      </c>
      <c r="Q2552" s="4" t="s">
        <v>19475</v>
      </c>
      <c r="R2552" s="6"/>
      <c r="S2552" s="6"/>
      <c r="T2552" s="6"/>
      <c r="U2552" s="6"/>
      <c r="V2552" s="6"/>
      <c r="W2552" s="6"/>
      <c r="X2552" s="6"/>
      <c r="Y2552" s="6"/>
      <c r="Z2552" s="6"/>
      <c r="AA2552" s="6"/>
    </row>
    <row r="2553" ht="14.25">
      <c r="B2553" s="4" t="s">
        <v>19476</v>
      </c>
      <c r="C2553" s="4" t="s">
        <v>19477</v>
      </c>
      <c r="D2553" s="4" t="s">
        <v>120</v>
      </c>
      <c r="E2553" s="4" t="s">
        <v>19478</v>
      </c>
      <c r="F2553" s="4" t="str">
        <f>IFERROR(__XLUDF.DUMMYFUNCTION("PROPER(REGEXREPLACE(D269,""[^A-Za-z]+ "",""""))"),"Rallye Du Cœur")</f>
        <v xml:space="preserve">Rallye Du Cœur</v>
      </c>
      <c r="G2553" s="4" t="s">
        <v>19479</v>
      </c>
      <c r="H2553" s="4">
        <v>12</v>
      </c>
      <c r="I2553" s="4" t="s">
        <v>10639</v>
      </c>
      <c r="J2553" s="4" t="str">
        <f>IFERROR(__XLUDF.DUMMYFUNCTION("VLOOKUP(H269,IMPORTRANGE(""https://docs.google.com/spreadsheets/d/1opm6ZNvGZ7KditA9TuJwrZ25eFLfTNIkrNnY6mhV5Eg"",""list!A1:C115""),3,TRUE)"),"le secteur de la communication")</f>
        <v xml:space="preserve">le secteur de la communication</v>
      </c>
      <c r="K2553" s="5" t="s">
        <v>19480</v>
      </c>
      <c r="L2553" s="5" t="s">
        <v>19481</v>
      </c>
      <c r="M2553" s="4" t="s">
        <v>39</v>
      </c>
      <c r="N2553" s="4" t="s">
        <v>29</v>
      </c>
      <c r="O2553" s="4" t="s">
        <v>1712</v>
      </c>
      <c r="P2553" s="4" t="s">
        <v>29</v>
      </c>
      <c r="Q2553" s="6"/>
      <c r="R2553" s="6"/>
      <c r="S2553" s="6"/>
      <c r="T2553" s="6"/>
      <c r="U2553" s="6"/>
      <c r="V2553" s="6"/>
      <c r="W2553" s="6"/>
      <c r="X2553" s="6"/>
      <c r="Y2553" s="6"/>
      <c r="Z2553" s="6"/>
      <c r="AA2553" s="6"/>
    </row>
    <row r="2554" ht="14.25">
      <c r="B2554" s="4" t="s">
        <v>442</v>
      </c>
      <c r="C2554" s="4" t="s">
        <v>19482</v>
      </c>
      <c r="D2554" s="4" t="s">
        <v>19483</v>
      </c>
      <c r="E2554" s="4" t="s">
        <v>18228</v>
      </c>
      <c r="F2554" s="4" t="str">
        <f>IFERROR(__XLUDF.DUMMYFUNCTION("PROPER(REGEXREPLACE(D270,""[^A-Za-z]+ "",""""))"),"Rbmg")</f>
        <v>Rbmg</v>
      </c>
      <c r="G2554" s="4" t="s">
        <v>19484</v>
      </c>
      <c r="H2554" s="4">
        <v>28</v>
      </c>
      <c r="I2554" s="4" t="s">
        <v>4067</v>
      </c>
      <c r="J2554" s="4" t="str">
        <f>IFERROR(__XLUDF.DUMMYFUNCTION("VLOOKUP(H270,IMPORTRANGE(""https://docs.google.com/spreadsheets/d/1opm6ZNvGZ7KditA9TuJwrZ25eFLfTNIkrNnY6mhV5Eg"",""list!A1:C115""),3,TRUE)"),"le secteur du conseil en management")</f>
        <v xml:space="preserve">le secteur du conseil en management</v>
      </c>
      <c r="K2554" s="5" t="s">
        <v>19485</v>
      </c>
      <c r="L2554" s="5" t="s">
        <v>18231</v>
      </c>
      <c r="M2554" s="4" t="s">
        <v>39</v>
      </c>
      <c r="N2554" s="4" t="s">
        <v>29</v>
      </c>
      <c r="O2554" s="4" t="s">
        <v>18232</v>
      </c>
      <c r="P2554" s="4" t="s">
        <v>29</v>
      </c>
      <c r="Q2554" s="4" t="s">
        <v>18233</v>
      </c>
      <c r="R2554" s="6"/>
      <c r="S2554" s="6"/>
      <c r="T2554" s="6"/>
      <c r="U2554" s="6"/>
      <c r="V2554" s="6"/>
      <c r="W2554" s="6"/>
      <c r="X2554" s="6"/>
      <c r="Y2554" s="6"/>
      <c r="Z2554" s="6"/>
      <c r="AA2554" s="6"/>
    </row>
    <row r="2555" ht="14.25">
      <c r="B2555" s="4" t="s">
        <v>110</v>
      </c>
      <c r="C2555" s="4" t="s">
        <v>19486</v>
      </c>
      <c r="D2555" s="4" t="s">
        <v>62</v>
      </c>
      <c r="E2555" s="4" t="s">
        <v>19487</v>
      </c>
      <c r="F2555" s="4" t="str">
        <f>IFERROR(__XLUDF.DUMMYFUNCTION("PROPER(REGEXREPLACE(D271,""[^A-Za-z]+ "",""""))"),"Ého.Link")</f>
        <v>Ého.Link</v>
      </c>
      <c r="G2555" s="4" t="s">
        <v>19488</v>
      </c>
      <c r="H2555" s="4">
        <v>17</v>
      </c>
      <c r="I2555" s="4" t="s">
        <v>9264</v>
      </c>
      <c r="J2555" s="4" t="str">
        <f>IFERROR(__XLUDF.DUMMYFUNCTION("VLOOKUP(H271,IMPORTRANGE(""https://docs.google.com/spreadsheets/d/1opm6ZNvGZ7KditA9TuJwrZ25eFLfTNIkrNnY6mhV5Eg"",""list!A1:C115""),3,TRUE)"),"le secteur de la sécurité informatique")</f>
        <v xml:space="preserve">le secteur de la sécurité informatique</v>
      </c>
      <c r="K2555" s="5" t="s">
        <v>19489</v>
      </c>
      <c r="L2555" s="5" t="s">
        <v>19490</v>
      </c>
      <c r="M2555" s="4" t="s">
        <v>295</v>
      </c>
      <c r="N2555" s="4" t="s">
        <v>29</v>
      </c>
      <c r="O2555" s="4" t="s">
        <v>19491</v>
      </c>
      <c r="P2555" s="4" t="s">
        <v>29</v>
      </c>
      <c r="Q2555" s="6"/>
      <c r="R2555" s="6"/>
      <c r="S2555" s="6"/>
      <c r="T2555" s="6"/>
      <c r="U2555" s="6"/>
      <c r="V2555" s="6"/>
      <c r="W2555" s="6"/>
      <c r="X2555" s="6"/>
      <c r="Y2555" s="6"/>
      <c r="Z2555" s="6"/>
      <c r="AA2555" s="6"/>
    </row>
    <row r="2556" ht="14.25">
      <c r="B2556" s="4" t="s">
        <v>2419</v>
      </c>
      <c r="C2556" s="4" t="s">
        <v>19492</v>
      </c>
      <c r="D2556" s="4" t="s">
        <v>172</v>
      </c>
      <c r="E2556" s="4" t="s">
        <v>19493</v>
      </c>
      <c r="F2556" s="4" t="str">
        <f>IFERROR(__XLUDF.DUMMYFUNCTION("PROPER(REGEXREPLACE(D272,""[^A-Za-z]+ "",""""))"),"Behring Water")</f>
        <v xml:space="preserve">Behring Water</v>
      </c>
      <c r="G2556" s="4" t="s">
        <v>19494</v>
      </c>
      <c r="H2556" s="4">
        <v>39</v>
      </c>
      <c r="I2556" s="4" t="s">
        <v>4525</v>
      </c>
      <c r="J2556" s="4"/>
      <c r="K2556" s="5" t="s">
        <v>19495</v>
      </c>
      <c r="L2556" s="5" t="s">
        <v>19496</v>
      </c>
      <c r="M2556" s="4" t="s">
        <v>1507</v>
      </c>
      <c r="N2556" s="4" t="s">
        <v>29</v>
      </c>
      <c r="O2556" s="4" t="s">
        <v>19497</v>
      </c>
      <c r="P2556" s="4" t="s">
        <v>29</v>
      </c>
      <c r="Q2556" s="4" t="s">
        <v>19498</v>
      </c>
      <c r="R2556" s="6"/>
      <c r="S2556" s="6"/>
      <c r="T2556" s="6"/>
      <c r="U2556" s="6"/>
      <c r="V2556" s="6"/>
      <c r="W2556" s="6"/>
      <c r="X2556" s="6"/>
      <c r="Y2556" s="6"/>
      <c r="Z2556" s="6"/>
      <c r="AA2556" s="6"/>
    </row>
    <row r="2557" ht="14.25">
      <c r="B2557" s="4" t="s">
        <v>1562</v>
      </c>
      <c r="C2557" s="4" t="s">
        <v>19499</v>
      </c>
      <c r="D2557" s="4" t="s">
        <v>172</v>
      </c>
      <c r="E2557" s="4" t="s">
        <v>19500</v>
      </c>
      <c r="F2557" s="4" t="str">
        <f>IFERROR(__XLUDF.DUMMYFUNCTION("PROPER(REGEXREPLACE(D273,""[^A-Za-z]+ "",""""))"),"Capmonetique")</f>
        <v>Capmonetique</v>
      </c>
      <c r="G2557" s="4" t="s">
        <v>19501</v>
      </c>
      <c r="H2557" s="4">
        <v>27</v>
      </c>
      <c r="I2557" s="4" t="s">
        <v>2602</v>
      </c>
      <c r="J2557" s="4" t="str">
        <f>IFERROR(__XLUDF.DUMMYFUNCTION("VLOOKUP(H273,IMPORTRANGE(""https://docs.google.com/spreadsheets/d/1opm6ZNvGZ7KditA9TuJwrZ25eFLfTNIkrNnY6mhV5Eg"",""list!A1:C115""),3,TRUE)"),"le secteur de la tech")</f>
        <v xml:space="preserve">le secteur de la tech</v>
      </c>
      <c r="K2557" s="5" t="s">
        <v>19502</v>
      </c>
      <c r="L2557" s="5" t="s">
        <v>19503</v>
      </c>
      <c r="M2557" s="4" t="s">
        <v>19504</v>
      </c>
      <c r="N2557" s="4" t="s">
        <v>29</v>
      </c>
      <c r="O2557" s="4" t="s">
        <v>19505</v>
      </c>
      <c r="P2557" s="4" t="s">
        <v>29</v>
      </c>
      <c r="Q2557" s="4" t="s">
        <v>19506</v>
      </c>
      <c r="R2557" s="6"/>
      <c r="S2557" s="6"/>
      <c r="T2557" s="6"/>
      <c r="U2557" s="6"/>
      <c r="V2557" s="6"/>
      <c r="W2557" s="6"/>
      <c r="X2557" s="6"/>
      <c r="Y2557" s="6"/>
      <c r="Z2557" s="6"/>
      <c r="AA2557" s="6"/>
    </row>
    <row r="2558" ht="14.25">
      <c r="B2558" s="4" t="s">
        <v>19507</v>
      </c>
      <c r="C2558" s="4" t="s">
        <v>19508</v>
      </c>
      <c r="D2558" s="4" t="s">
        <v>14223</v>
      </c>
      <c r="E2558" s="4" t="s">
        <v>19509</v>
      </c>
      <c r="F2558" s="4" t="str">
        <f>IFERROR(__XLUDF.DUMMYFUNCTION("PROPER(REGEXREPLACE(D274,""[^A-Za-z]+ "",""""))"),"Émérya")</f>
        <v>Émérya</v>
      </c>
      <c r="G2558" s="4" t="s">
        <v>19510</v>
      </c>
      <c r="H2558" s="4">
        <v>19</v>
      </c>
      <c r="I2558" s="4" t="s">
        <v>2602</v>
      </c>
      <c r="J2558" s="4" t="str">
        <f>IFERROR(__XLUDF.DUMMYFUNCTION("VLOOKUP(H274,IMPORTRANGE(""https://docs.google.com/spreadsheets/d/1opm6ZNvGZ7KditA9TuJwrZ25eFLfTNIkrNnY6mhV5Eg"",""list!A1:C115""),3,TRUE)"),"le secteur de la tech")</f>
        <v xml:space="preserve">le secteur de la tech</v>
      </c>
      <c r="K2558" s="5" t="s">
        <v>19511</v>
      </c>
      <c r="L2558" s="5" t="s">
        <v>19512</v>
      </c>
      <c r="M2558" s="4" t="s">
        <v>39</v>
      </c>
      <c r="N2558" s="4" t="s">
        <v>29</v>
      </c>
      <c r="O2558" s="4" t="s">
        <v>19513</v>
      </c>
      <c r="P2558" s="4" t="s">
        <v>29</v>
      </c>
      <c r="Q2558" s="4" t="s">
        <v>19514</v>
      </c>
      <c r="R2558" s="6"/>
      <c r="S2558" s="6"/>
      <c r="T2558" s="6"/>
      <c r="U2558" s="6"/>
      <c r="V2558" s="6"/>
      <c r="W2558" s="6"/>
      <c r="X2558" s="6"/>
      <c r="Y2558" s="6"/>
      <c r="Z2558" s="6"/>
      <c r="AA2558" s="6"/>
    </row>
    <row r="2559" ht="14.25">
      <c r="B2559" s="4" t="s">
        <v>19515</v>
      </c>
      <c r="C2559" s="4" t="s">
        <v>19516</v>
      </c>
      <c r="D2559" s="4" t="s">
        <v>19517</v>
      </c>
      <c r="E2559" s="4" t="s">
        <v>19518</v>
      </c>
      <c r="F2559" s="4" t="str">
        <f>IFERROR(__XLUDF.DUMMYFUNCTION("PROPER(REGEXREPLACE(D275,""[^A-Za-z]+ "",""""))"),"Idoya")</f>
        <v>Idoya</v>
      </c>
      <c r="G2559" s="4" t="s">
        <v>19519</v>
      </c>
      <c r="H2559" s="4">
        <v>16</v>
      </c>
      <c r="I2559" s="4" t="s">
        <v>4067</v>
      </c>
      <c r="J2559" s="4" t="str">
        <f>IFERROR(__XLUDF.DUMMYFUNCTION("VLOOKUP(H275,IMPORTRANGE(""https://docs.google.com/spreadsheets/d/1opm6ZNvGZ7KditA9TuJwrZ25eFLfTNIkrNnY6mhV5Eg"",""list!A1:C115""),3,TRUE)"),"le secteur du conseil en management")</f>
        <v xml:space="preserve">le secteur du conseil en management</v>
      </c>
      <c r="K2559" s="5" t="s">
        <v>19520</v>
      </c>
      <c r="L2559" s="5" t="s">
        <v>19521</v>
      </c>
      <c r="M2559" s="4" t="s">
        <v>39</v>
      </c>
      <c r="N2559" s="4" t="s">
        <v>29</v>
      </c>
      <c r="O2559" s="4" t="s">
        <v>67</v>
      </c>
      <c r="P2559" s="4" t="s">
        <v>29</v>
      </c>
      <c r="Q2559" s="4" t="s">
        <v>19522</v>
      </c>
      <c r="R2559" s="6"/>
      <c r="S2559" s="6"/>
      <c r="T2559" s="6"/>
      <c r="U2559" s="6"/>
      <c r="V2559" s="6"/>
      <c r="W2559" s="6"/>
      <c r="X2559" s="6"/>
      <c r="Y2559" s="6"/>
      <c r="Z2559" s="6"/>
      <c r="AA2559" s="6"/>
    </row>
    <row r="2560" ht="14.25">
      <c r="B2560" s="4" t="s">
        <v>2419</v>
      </c>
      <c r="C2560" s="4" t="s">
        <v>19523</v>
      </c>
      <c r="D2560" s="4" t="s">
        <v>19524</v>
      </c>
      <c r="E2560" s="4" t="s">
        <v>19525</v>
      </c>
      <c r="F2560" s="4" t="str">
        <f>IFERROR(__XLUDF.DUMMYFUNCTION("PROPER(REGEXREPLACE(D276,""[^A-Za-z]+ "",""""))"),"It-Logiq")</f>
        <v>It-Logiq</v>
      </c>
      <c r="G2560" s="4" t="s">
        <v>19526</v>
      </c>
      <c r="H2560" s="4">
        <v>12</v>
      </c>
      <c r="I2560" s="4" t="s">
        <v>9184</v>
      </c>
      <c r="J2560" s="4"/>
      <c r="K2560" s="5" t="s">
        <v>19527</v>
      </c>
      <c r="L2560" s="5" t="s">
        <v>19528</v>
      </c>
      <c r="M2560" s="4" t="s">
        <v>39</v>
      </c>
      <c r="N2560" s="4" t="s">
        <v>29</v>
      </c>
      <c r="O2560" s="4" t="s">
        <v>19529</v>
      </c>
      <c r="P2560" s="4" t="s">
        <v>29</v>
      </c>
      <c r="Q2560" s="6"/>
      <c r="R2560" s="6"/>
      <c r="S2560" s="6"/>
      <c r="T2560" s="6"/>
      <c r="U2560" s="6"/>
      <c r="V2560" s="6"/>
      <c r="W2560" s="6"/>
      <c r="X2560" s="6"/>
      <c r="Y2560" s="6"/>
      <c r="Z2560" s="6"/>
      <c r="AA2560" s="6"/>
    </row>
    <row r="2561" ht="14.25">
      <c r="B2561" s="4" t="s">
        <v>15478</v>
      </c>
      <c r="C2561" s="4" t="s">
        <v>19530</v>
      </c>
      <c r="D2561" s="4" t="s">
        <v>503</v>
      </c>
      <c r="E2561" s="4" t="s">
        <v>19531</v>
      </c>
      <c r="F2561" s="4" t="str">
        <f>IFERROR(__XLUDF.DUMMYFUNCTION("PROPER(REGEXREPLACE(D277,""[^A-Za-z]+ "",""""))"),"Techso Group")</f>
        <v xml:space="preserve">Techso Group</v>
      </c>
      <c r="G2561" s="4" t="s">
        <v>19532</v>
      </c>
      <c r="H2561" s="4">
        <v>43</v>
      </c>
      <c r="I2561" s="4" t="s">
        <v>9264</v>
      </c>
      <c r="J2561" s="4" t="str">
        <f>IFERROR(__XLUDF.DUMMYFUNCTION("VLOOKUP(H277,IMPORTRANGE(""https://docs.google.com/spreadsheets/d/1opm6ZNvGZ7KditA9TuJwrZ25eFLfTNIkrNnY6mhV5Eg"",""list!A1:C115""),3,TRUE)"),"le secteur de la sécurité informatique")</f>
        <v xml:space="preserve">le secteur de la sécurité informatique</v>
      </c>
      <c r="K2561" s="5" t="s">
        <v>19533</v>
      </c>
      <c r="L2561" s="5" t="s">
        <v>19534</v>
      </c>
      <c r="M2561" s="4" t="s">
        <v>7827</v>
      </c>
      <c r="N2561" s="4" t="s">
        <v>29</v>
      </c>
      <c r="O2561" s="4" t="s">
        <v>19535</v>
      </c>
      <c r="P2561" s="4" t="s">
        <v>848</v>
      </c>
      <c r="Q2561" s="6"/>
      <c r="R2561" s="6"/>
      <c r="S2561" s="6"/>
      <c r="T2561" s="6"/>
      <c r="U2561" s="6"/>
      <c r="V2561" s="6"/>
      <c r="W2561" s="6"/>
      <c r="X2561" s="6"/>
      <c r="Y2561" s="6"/>
      <c r="Z2561" s="6"/>
      <c r="AA2561" s="6"/>
    </row>
    <row r="2562" ht="14.25">
      <c r="B2562" s="4" t="s">
        <v>19536</v>
      </c>
      <c r="C2562" s="4" t="s">
        <v>16196</v>
      </c>
      <c r="D2562" s="4" t="s">
        <v>19537</v>
      </c>
      <c r="E2562" s="4" t="s">
        <v>19538</v>
      </c>
      <c r="F2562" s="4" t="str">
        <f>IFERROR(__XLUDF.DUMMYFUNCTION("PROPER(REGEXREPLACE(D278,""[^A-Za-z]+ "",""""))"),"Groupe Elan")</f>
        <v xml:space="preserve">Groupe Elan</v>
      </c>
      <c r="G2562" s="4" t="s">
        <v>19539</v>
      </c>
      <c r="H2562" s="4">
        <v>24</v>
      </c>
      <c r="I2562" s="4" t="s">
        <v>4067</v>
      </c>
      <c r="J2562" s="4"/>
      <c r="K2562" s="5" t="s">
        <v>19540</v>
      </c>
      <c r="L2562" s="5" t="s">
        <v>19541</v>
      </c>
      <c r="M2562" s="4" t="s">
        <v>423</v>
      </c>
      <c r="N2562" s="4" t="s">
        <v>29</v>
      </c>
      <c r="O2562" s="4" t="s">
        <v>19542</v>
      </c>
      <c r="P2562" s="4" t="s">
        <v>29</v>
      </c>
      <c r="Q2562" s="6"/>
      <c r="R2562" s="6"/>
      <c r="S2562" s="6"/>
      <c r="T2562" s="6"/>
      <c r="U2562" s="6"/>
      <c r="V2562" s="6"/>
      <c r="W2562" s="6"/>
      <c r="X2562" s="6"/>
      <c r="Y2562" s="6"/>
      <c r="Z2562" s="6"/>
      <c r="AA2562" s="6"/>
    </row>
    <row r="2563" ht="14.25">
      <c r="B2563" s="4" t="s">
        <v>2652</v>
      </c>
      <c r="C2563" s="4" t="s">
        <v>19543</v>
      </c>
      <c r="D2563" s="4" t="s">
        <v>19544</v>
      </c>
      <c r="E2563" s="4" t="s">
        <v>18598</v>
      </c>
      <c r="F2563" s="4" t="str">
        <f>IFERROR(__XLUDF.DUMMYFUNCTION("PROPER(REGEXREPLACE(D279,""[^A-Za-z]+ "",""""))"),"Keymind")</f>
        <v>Keymind</v>
      </c>
      <c r="G2563" s="4" t="s">
        <v>19545</v>
      </c>
      <c r="H2563" s="4">
        <v>25</v>
      </c>
      <c r="I2563" s="4" t="s">
        <v>4067</v>
      </c>
      <c r="J2563" s="4"/>
      <c r="K2563" s="5" t="s">
        <v>19546</v>
      </c>
      <c r="L2563" s="5" t="s">
        <v>18601</v>
      </c>
      <c r="M2563" s="4" t="s">
        <v>39</v>
      </c>
      <c r="N2563" s="4" t="s">
        <v>29</v>
      </c>
      <c r="O2563" s="4" t="s">
        <v>67</v>
      </c>
      <c r="P2563" s="4" t="s">
        <v>29</v>
      </c>
      <c r="Q2563" s="4" t="s">
        <v>18602</v>
      </c>
      <c r="R2563" s="6"/>
      <c r="S2563" s="6"/>
      <c r="T2563" s="6"/>
      <c r="U2563" s="6"/>
      <c r="V2563" s="6"/>
      <c r="W2563" s="6"/>
      <c r="X2563" s="6"/>
      <c r="Y2563" s="6"/>
      <c r="Z2563" s="6"/>
      <c r="AA2563" s="6"/>
    </row>
    <row r="2564" ht="14.25">
      <c r="B2564" s="4" t="s">
        <v>11766</v>
      </c>
      <c r="C2564" s="4" t="s">
        <v>3997</v>
      </c>
      <c r="D2564" s="4" t="s">
        <v>19547</v>
      </c>
      <c r="E2564" s="4" t="s">
        <v>19548</v>
      </c>
      <c r="F2564" s="4" t="str">
        <f>IFERROR(__XLUDF.DUMMYFUNCTION("PROPER(REGEXREPLACE(D280,""[^A-Za-z]+ "",""""))"),"Artéva")</f>
        <v>Artéva</v>
      </c>
      <c r="G2564" s="4" t="s">
        <v>19549</v>
      </c>
      <c r="H2564" s="4">
        <v>16</v>
      </c>
      <c r="I2564" s="4" t="s">
        <v>2602</v>
      </c>
      <c r="J2564" s="4" t="str">
        <f>IFERROR(__XLUDF.DUMMYFUNCTION("VLOOKUP(H280,IMPORTRANGE(""https://docs.google.com/spreadsheets/d/1opm6ZNvGZ7KditA9TuJwrZ25eFLfTNIkrNnY6mhV5Eg"",""list!A1:C115""),3,TRUE)"),"le secteur de la tech")</f>
        <v xml:space="preserve">le secteur de la tech</v>
      </c>
      <c r="K2564" s="5" t="s">
        <v>19550</v>
      </c>
      <c r="L2564" s="5" t="s">
        <v>19551</v>
      </c>
      <c r="M2564" s="6"/>
      <c r="N2564" s="4" t="s">
        <v>29</v>
      </c>
      <c r="O2564" s="4" t="s">
        <v>19552</v>
      </c>
      <c r="P2564" s="4" t="s">
        <v>29</v>
      </c>
      <c r="Q2564" s="4" t="s">
        <v>19553</v>
      </c>
      <c r="R2564" s="6"/>
      <c r="S2564" s="6"/>
      <c r="T2564" s="6"/>
      <c r="U2564" s="6"/>
      <c r="V2564" s="6"/>
      <c r="W2564" s="6"/>
      <c r="X2564" s="6"/>
      <c r="Y2564" s="6"/>
      <c r="Z2564" s="6"/>
      <c r="AA2564" s="6"/>
    </row>
    <row r="2565" ht="14.25">
      <c r="B2565" s="4" t="s">
        <v>19554</v>
      </c>
      <c r="C2565" s="4" t="s">
        <v>19555</v>
      </c>
      <c r="D2565" s="4" t="s">
        <v>44</v>
      </c>
      <c r="E2565" s="4" t="s">
        <v>19556</v>
      </c>
      <c r="F2565" s="4" t="str">
        <f>IFERROR(__XLUDF.DUMMYFUNCTION("PROPER(REGEXREPLACE(D281,""[^A-Za-z]+ "",""""))"),"Windmill")</f>
        <v>Windmill</v>
      </c>
      <c r="G2565" s="4" t="s">
        <v>19557</v>
      </c>
      <c r="H2565" s="4">
        <v>19</v>
      </c>
      <c r="I2565" s="4" t="s">
        <v>2602</v>
      </c>
      <c r="J2565" s="4"/>
      <c r="K2565" s="5" t="s">
        <v>19558</v>
      </c>
      <c r="L2565" s="5" t="s">
        <v>19559</v>
      </c>
      <c r="M2565" s="4" t="s">
        <v>39</v>
      </c>
      <c r="N2565" s="4" t="s">
        <v>29</v>
      </c>
      <c r="O2565" s="4" t="s">
        <v>19560</v>
      </c>
      <c r="P2565" s="4" t="s">
        <v>1261</v>
      </c>
      <c r="Q2565" s="4" t="s">
        <v>19561</v>
      </c>
      <c r="R2565" s="6"/>
      <c r="S2565" s="6"/>
      <c r="T2565" s="6"/>
      <c r="U2565" s="6"/>
      <c r="V2565" s="6"/>
      <c r="W2565" s="6"/>
      <c r="X2565" s="6"/>
      <c r="Y2565" s="6"/>
      <c r="Z2565" s="6"/>
      <c r="AA2565" s="6"/>
    </row>
    <row r="2566" ht="14.25">
      <c r="B2566" s="4" t="s">
        <v>2909</v>
      </c>
      <c r="C2566" s="4" t="s">
        <v>19562</v>
      </c>
      <c r="D2566" s="4" t="s">
        <v>44</v>
      </c>
      <c r="E2566" s="4" t="s">
        <v>19563</v>
      </c>
      <c r="F2566" s="4" t="str">
        <f>IFERROR(__XLUDF.DUMMYFUNCTION("PROPER(REGEXREPLACE(D282,""[^A-Za-z]+ "",""""))"),"Cyna")</f>
        <v>Cyna</v>
      </c>
      <c r="G2566" s="4" t="s">
        <v>19564</v>
      </c>
      <c r="H2566" s="4">
        <v>31</v>
      </c>
      <c r="I2566" s="4" t="s">
        <v>2602</v>
      </c>
      <c r="J2566" s="4"/>
      <c r="K2566" s="5" t="s">
        <v>19565</v>
      </c>
      <c r="L2566" s="5" t="s">
        <v>19566</v>
      </c>
      <c r="M2566" s="4" t="s">
        <v>39</v>
      </c>
      <c r="N2566" s="4" t="s">
        <v>29</v>
      </c>
      <c r="O2566" s="4" t="s">
        <v>611</v>
      </c>
      <c r="P2566" s="4" t="s">
        <v>29</v>
      </c>
      <c r="Q2566" s="4" t="s">
        <v>19567</v>
      </c>
      <c r="R2566" s="6"/>
      <c r="S2566" s="6"/>
      <c r="T2566" s="6"/>
      <c r="U2566" s="6"/>
      <c r="V2566" s="6"/>
      <c r="W2566" s="6"/>
      <c r="X2566" s="6"/>
      <c r="Y2566" s="6"/>
      <c r="Z2566" s="6"/>
      <c r="AA2566" s="6"/>
    </row>
    <row r="2567" ht="14.25">
      <c r="B2567" s="4" t="s">
        <v>1596</v>
      </c>
      <c r="C2567" s="4" t="s">
        <v>19568</v>
      </c>
      <c r="D2567" s="4" t="s">
        <v>87</v>
      </c>
      <c r="E2567" s="4" t="s">
        <v>19569</v>
      </c>
      <c r="F2567" s="4" t="str">
        <f>IFERROR(__XLUDF.DUMMYFUNCTION("PROPER(REGEXREPLACE(D283,""[^A-Za-z]+ "",""""))"),"Itda")</f>
        <v>Itda</v>
      </c>
      <c r="G2567" s="4" t="s">
        <v>19570</v>
      </c>
      <c r="H2567" s="4">
        <v>31</v>
      </c>
      <c r="I2567" s="4" t="s">
        <v>2602</v>
      </c>
      <c r="J2567" s="4" t="str">
        <f>IFERROR(__XLUDF.DUMMYFUNCTION("VLOOKUP(H283,IMPORTRANGE(""https://docs.google.com/spreadsheets/d/1opm6ZNvGZ7KditA9TuJwrZ25eFLfTNIkrNnY6mhV5Eg"",""list!A1:C115""),3,TRUE)"),"le secteur de la tech")</f>
        <v xml:space="preserve">le secteur de la tech</v>
      </c>
      <c r="K2567" s="5" t="s">
        <v>19571</v>
      </c>
      <c r="L2567" s="5" t="s">
        <v>19572</v>
      </c>
      <c r="M2567" s="4" t="s">
        <v>482</v>
      </c>
      <c r="N2567" s="4" t="s">
        <v>29</v>
      </c>
      <c r="O2567" s="4" t="s">
        <v>19573</v>
      </c>
      <c r="P2567" s="4" t="s">
        <v>29</v>
      </c>
      <c r="Q2567" s="4" t="s">
        <v>19574</v>
      </c>
      <c r="R2567" s="6"/>
      <c r="S2567" s="6"/>
      <c r="T2567" s="6"/>
      <c r="U2567" s="6"/>
      <c r="V2567" s="6"/>
      <c r="W2567" s="6"/>
      <c r="X2567" s="6"/>
      <c r="Y2567" s="6"/>
      <c r="Z2567" s="6"/>
      <c r="AA2567" s="6"/>
    </row>
    <row r="2568" ht="14.25">
      <c r="B2568" s="4" t="s">
        <v>19575</v>
      </c>
      <c r="C2568" s="4" t="s">
        <v>19576</v>
      </c>
      <c r="D2568" s="4" t="s">
        <v>87</v>
      </c>
      <c r="E2568" s="4" t="s">
        <v>19577</v>
      </c>
      <c r="F2568" s="4" t="str">
        <f>IFERROR(__XLUDF.DUMMYFUNCTION("PROPER(REGEXREPLACE(D284,""[^A-Za-z]+ "",""""))"),"Aristee Data")</f>
        <v xml:space="preserve">Aristee Data</v>
      </c>
      <c r="G2568" s="4" t="s">
        <v>19578</v>
      </c>
      <c r="H2568" s="4">
        <v>10</v>
      </c>
      <c r="I2568" s="4" t="s">
        <v>9184</v>
      </c>
      <c r="J2568" s="4" t="str">
        <f>IFERROR(__XLUDF.DUMMYFUNCTION("VLOOKUP(H284,IMPORTRANGE(""https://docs.google.com/spreadsheets/d/1opm6ZNvGZ7KditA9TuJwrZ25eFLfTNIkrNnY6mhV5Eg"",""list!A1:C115""),3,TRUE)"),"le secteur des télécommunications")</f>
        <v xml:space="preserve">le secteur des télécommunications</v>
      </c>
      <c r="K2568" s="5" t="s">
        <v>19579</v>
      </c>
      <c r="L2568" s="5" t="s">
        <v>19580</v>
      </c>
      <c r="M2568" s="6"/>
      <c r="N2568" s="4" t="s">
        <v>29</v>
      </c>
      <c r="O2568" s="4" t="s">
        <v>19581</v>
      </c>
      <c r="P2568" s="4" t="s">
        <v>29</v>
      </c>
      <c r="Q2568" s="4" t="s">
        <v>19582</v>
      </c>
      <c r="R2568" s="6"/>
      <c r="S2568" s="6"/>
      <c r="T2568" s="6"/>
      <c r="U2568" s="6"/>
      <c r="V2568" s="6"/>
      <c r="W2568" s="6"/>
      <c r="X2568" s="6"/>
      <c r="Y2568" s="6"/>
      <c r="Z2568" s="6"/>
      <c r="AA2568" s="6"/>
    </row>
    <row r="2569" ht="14.25">
      <c r="B2569" s="4" t="s">
        <v>134</v>
      </c>
      <c r="C2569" s="4" t="s">
        <v>19583</v>
      </c>
      <c r="D2569" s="4" t="s">
        <v>19584</v>
      </c>
      <c r="E2569" s="4" t="s">
        <v>19585</v>
      </c>
      <c r="F2569" s="4" t="str">
        <f>IFERROR(__XLUDF.DUMMYFUNCTION("PROPER(REGEXREPLACE(D285,""[^A-Za-z]+ "",""""))"),"C-Risk")</f>
        <v>C-Risk</v>
      </c>
      <c r="G2569" s="4" t="s">
        <v>19586</v>
      </c>
      <c r="H2569" s="4">
        <v>20</v>
      </c>
      <c r="I2569" s="4" t="s">
        <v>2602</v>
      </c>
      <c r="J2569" s="4" t="str">
        <f>IFERROR(__XLUDF.DUMMYFUNCTION("VLOOKUP(H285,IMPORTRANGE(""https://docs.google.com/spreadsheets/d/1opm6ZNvGZ7KditA9TuJwrZ25eFLfTNIkrNnY6mhV5Eg"",""list!A1:C115""),3,TRUE)"),"le secteur de la tech")</f>
        <v xml:space="preserve">le secteur de la tech</v>
      </c>
      <c r="K2569" s="5" t="s">
        <v>19587</v>
      </c>
      <c r="L2569" s="5" t="s">
        <v>19588</v>
      </c>
      <c r="M2569" s="6"/>
      <c r="N2569" s="4" t="s">
        <v>29</v>
      </c>
      <c r="O2569" s="4" t="s">
        <v>19589</v>
      </c>
      <c r="P2569" s="4" t="s">
        <v>29</v>
      </c>
      <c r="Q2569" s="4" t="s">
        <v>19590</v>
      </c>
      <c r="R2569" s="6"/>
      <c r="S2569" s="6"/>
      <c r="T2569" s="6"/>
      <c r="U2569" s="6"/>
      <c r="V2569" s="6"/>
      <c r="W2569" s="6"/>
      <c r="X2569" s="6"/>
      <c r="Y2569" s="6"/>
      <c r="Z2569" s="6"/>
      <c r="AA2569" s="6"/>
    </row>
    <row r="2570" ht="14.25">
      <c r="B2570" s="4" t="s">
        <v>2575</v>
      </c>
      <c r="C2570" s="4" t="s">
        <v>19591</v>
      </c>
      <c r="D2570" s="4" t="s">
        <v>120</v>
      </c>
      <c r="E2570" s="4" t="s">
        <v>19592</v>
      </c>
      <c r="F2570" s="4" t="str">
        <f>IFERROR(__XLUDF.DUMMYFUNCTION("PROPER(REGEXREPLACE(D286,""[^A-Za-z]+ "",""""))"),"Fibre 2000")</f>
        <v xml:space="preserve">Fibre 2000</v>
      </c>
      <c r="G2570" s="4" t="s">
        <v>19593</v>
      </c>
      <c r="H2570" s="4">
        <v>14</v>
      </c>
      <c r="I2570" s="4" t="s">
        <v>10215</v>
      </c>
      <c r="J2570" s="4"/>
      <c r="K2570" s="5" t="s">
        <v>19594</v>
      </c>
      <c r="L2570" s="5" t="s">
        <v>19595</v>
      </c>
      <c r="M2570" s="4" t="s">
        <v>12466</v>
      </c>
      <c r="N2570" s="4" t="s">
        <v>29</v>
      </c>
      <c r="O2570" s="4" t="s">
        <v>19596</v>
      </c>
      <c r="P2570" s="4" t="s">
        <v>29</v>
      </c>
      <c r="Q2570" s="6"/>
      <c r="R2570" s="6"/>
      <c r="S2570" s="6"/>
      <c r="T2570" s="6"/>
      <c r="U2570" s="6"/>
      <c r="V2570" s="6"/>
      <c r="W2570" s="6"/>
      <c r="X2570" s="6"/>
      <c r="Y2570" s="6"/>
      <c r="Z2570" s="6"/>
      <c r="AA2570" s="6"/>
    </row>
    <row r="2571" ht="14.25">
      <c r="B2571" s="4" t="s">
        <v>525</v>
      </c>
      <c r="C2571" s="4" t="s">
        <v>19597</v>
      </c>
      <c r="D2571" s="4" t="s">
        <v>19598</v>
      </c>
      <c r="E2571" s="4" t="s">
        <v>19599</v>
      </c>
      <c r="F2571" s="4" t="str">
        <f>IFERROR(__XLUDF.DUMMYFUNCTION("PROPER(REGEXREPLACE(D287,""[^A-Za-z]+ "",""""))"),"Nurgo")</f>
        <v>Nurgo</v>
      </c>
      <c r="G2571" s="4" t="s">
        <v>19600</v>
      </c>
      <c r="H2571" s="4">
        <v>1</v>
      </c>
      <c r="I2571" s="4" t="s">
        <v>2602</v>
      </c>
      <c r="J2571" s="4"/>
      <c r="K2571" s="5" t="s">
        <v>19601</v>
      </c>
      <c r="L2571" s="5" t="s">
        <v>19602</v>
      </c>
      <c r="M2571" s="4" t="s">
        <v>492</v>
      </c>
      <c r="N2571" s="4" t="s">
        <v>29</v>
      </c>
      <c r="O2571" s="4" t="s">
        <v>29</v>
      </c>
      <c r="P2571" s="4" t="s">
        <v>29</v>
      </c>
      <c r="Q2571" s="4" t="s">
        <v>19603</v>
      </c>
      <c r="R2571" s="6"/>
      <c r="S2571" s="6"/>
      <c r="T2571" s="6"/>
      <c r="U2571" s="6"/>
      <c r="V2571" s="6"/>
      <c r="W2571" s="6"/>
      <c r="X2571" s="6"/>
      <c r="Y2571" s="6"/>
      <c r="Z2571" s="6"/>
      <c r="AA2571" s="6"/>
    </row>
    <row r="2572" ht="14.25">
      <c r="B2572" s="4" t="s">
        <v>5001</v>
      </c>
      <c r="C2572" s="4" t="s">
        <v>19604</v>
      </c>
      <c r="D2572" s="4" t="s">
        <v>1240</v>
      </c>
      <c r="E2572" s="4" t="s">
        <v>19605</v>
      </c>
      <c r="F2572" s="4" t="str">
        <f>IFERROR(__XLUDF.DUMMYFUNCTION("PROPER(REGEXREPLACE(D288,""[^A-Za-z]+ "",""""))"),"Airnity")</f>
        <v>Airnity</v>
      </c>
      <c r="G2572" s="4" t="s">
        <v>19606</v>
      </c>
      <c r="H2572" s="4">
        <v>30</v>
      </c>
      <c r="I2572" s="4" t="s">
        <v>9184</v>
      </c>
      <c r="J2572" s="4" t="str">
        <f>IFERROR(__XLUDF.DUMMYFUNCTION("VLOOKUP(H288,IMPORTRANGE(""https://docs.google.com/spreadsheets/d/1opm6ZNvGZ7KditA9TuJwrZ25eFLfTNIkrNnY6mhV5Eg"",""list!A1:C115""),3,TRUE)"),"le secteur des télécommunications")</f>
        <v xml:space="preserve">le secteur des télécommunications</v>
      </c>
      <c r="K2572" s="5" t="s">
        <v>19607</v>
      </c>
      <c r="L2572" s="5" t="s">
        <v>19608</v>
      </c>
      <c r="M2572" s="6"/>
      <c r="N2572" s="4" t="s">
        <v>29</v>
      </c>
      <c r="O2572" s="4" t="s">
        <v>19609</v>
      </c>
      <c r="P2572" s="4" t="s">
        <v>29</v>
      </c>
      <c r="Q2572" s="6"/>
      <c r="R2572" s="6"/>
      <c r="S2572" s="6"/>
      <c r="T2572" s="6"/>
      <c r="U2572" s="6"/>
      <c r="V2572" s="6"/>
      <c r="W2572" s="6"/>
      <c r="X2572" s="6"/>
      <c r="Y2572" s="6"/>
      <c r="Z2572" s="6"/>
      <c r="AA2572" s="6"/>
    </row>
    <row r="2573" ht="14.25">
      <c r="B2573" s="4" t="s">
        <v>330</v>
      </c>
      <c r="C2573" s="4" t="s">
        <v>19610</v>
      </c>
      <c r="D2573" s="4" t="s">
        <v>681</v>
      </c>
      <c r="E2573" s="4" t="s">
        <v>19611</v>
      </c>
      <c r="F2573" s="4" t="str">
        <f>IFERROR(__XLUDF.DUMMYFUNCTION("PROPER(REGEXREPLACE(D289,""[^A-Za-z]+ "",""""))"),"Data Mindset")</f>
        <v xml:space="preserve">Data Mindset</v>
      </c>
      <c r="G2573" s="4" t="s">
        <v>19612</v>
      </c>
      <c r="H2573" s="4">
        <v>10</v>
      </c>
      <c r="I2573" s="4" t="s">
        <v>2602</v>
      </c>
      <c r="J2573" s="4"/>
      <c r="K2573" s="5" t="s">
        <v>19613</v>
      </c>
      <c r="L2573" s="5" t="s">
        <v>19614</v>
      </c>
      <c r="M2573" s="4" t="s">
        <v>39</v>
      </c>
      <c r="N2573" s="4" t="s">
        <v>29</v>
      </c>
      <c r="O2573" s="4" t="s">
        <v>67</v>
      </c>
      <c r="P2573" s="4" t="s">
        <v>29</v>
      </c>
      <c r="Q2573" s="6"/>
      <c r="R2573" s="6"/>
      <c r="S2573" s="6"/>
      <c r="T2573" s="6"/>
      <c r="U2573" s="6"/>
      <c r="V2573" s="6"/>
      <c r="W2573" s="6"/>
      <c r="X2573" s="6"/>
      <c r="Y2573" s="6"/>
      <c r="Z2573" s="6"/>
      <c r="AA2573" s="6"/>
    </row>
    <row r="2574" ht="14.25">
      <c r="B2574" s="4" t="s">
        <v>19615</v>
      </c>
      <c r="C2574" s="4" t="s">
        <v>19616</v>
      </c>
      <c r="D2574" s="4" t="s">
        <v>10202</v>
      </c>
      <c r="E2574" s="4" t="s">
        <v>19617</v>
      </c>
      <c r="F2574" s="4" t="str">
        <f>IFERROR(__XLUDF.DUMMYFUNCTION("PROPER(REGEXREPLACE(D290,""[^A-Za-z]+ "",""""))"),"Kocliko")</f>
        <v>Kocliko</v>
      </c>
      <c r="G2574" s="4" t="s">
        <v>19618</v>
      </c>
      <c r="H2574" s="4">
        <v>12</v>
      </c>
      <c r="I2574" s="4" t="s">
        <v>2602</v>
      </c>
      <c r="J2574" s="4"/>
      <c r="K2574" s="5" t="s">
        <v>19619</v>
      </c>
      <c r="L2574" s="5" t="s">
        <v>19620</v>
      </c>
      <c r="M2574" s="4" t="s">
        <v>39</v>
      </c>
      <c r="N2574" s="4" t="s">
        <v>29</v>
      </c>
      <c r="O2574" s="4" t="s">
        <v>19621</v>
      </c>
      <c r="P2574" s="4" t="s">
        <v>29</v>
      </c>
      <c r="Q2574" s="4" t="s">
        <v>19622</v>
      </c>
      <c r="R2574" s="6"/>
      <c r="S2574" s="6"/>
      <c r="T2574" s="6"/>
      <c r="U2574" s="6"/>
      <c r="V2574" s="6"/>
      <c r="W2574" s="6"/>
      <c r="X2574" s="6"/>
      <c r="Y2574" s="6"/>
      <c r="Z2574" s="6"/>
      <c r="AA2574" s="6"/>
    </row>
    <row r="2575" ht="14.25">
      <c r="B2575" s="4" t="s">
        <v>279</v>
      </c>
      <c r="C2575" s="4" t="s">
        <v>19623</v>
      </c>
      <c r="D2575" s="4" t="s">
        <v>460</v>
      </c>
      <c r="E2575" s="4" t="s">
        <v>19624</v>
      </c>
      <c r="F2575" s="4" t="str">
        <f>IFERROR(__XLUDF.DUMMYFUNCTION("PROPER(REGEXREPLACE(D291,""[^A-Za-z]+ "",""""))"),"Viaaduc")</f>
        <v>Viaaduc</v>
      </c>
      <c r="G2575" s="4" t="s">
        <v>19625</v>
      </c>
      <c r="H2575" s="4">
        <v>34</v>
      </c>
      <c r="I2575" s="4" t="s">
        <v>2602</v>
      </c>
      <c r="J2575" s="4"/>
      <c r="K2575" s="5" t="s">
        <v>19626</v>
      </c>
      <c r="L2575" s="5" t="s">
        <v>19627</v>
      </c>
      <c r="M2575" s="4" t="s">
        <v>39</v>
      </c>
      <c r="N2575" s="4" t="s">
        <v>29</v>
      </c>
      <c r="O2575" s="4" t="s">
        <v>19628</v>
      </c>
      <c r="P2575" s="4" t="s">
        <v>29</v>
      </c>
      <c r="Q2575" s="4" t="s">
        <v>19629</v>
      </c>
      <c r="R2575" s="6"/>
      <c r="S2575" s="6"/>
      <c r="T2575" s="6"/>
      <c r="U2575" s="6"/>
      <c r="V2575" s="6"/>
      <c r="W2575" s="6"/>
      <c r="X2575" s="6"/>
      <c r="Y2575" s="6"/>
      <c r="Z2575" s="6"/>
      <c r="AA2575" s="6"/>
    </row>
    <row r="2576" ht="14.25">
      <c r="B2576" s="4" t="s">
        <v>2652</v>
      </c>
      <c r="C2576" s="4" t="s">
        <v>19630</v>
      </c>
      <c r="D2576" s="4" t="s">
        <v>44</v>
      </c>
      <c r="E2576" s="4" t="s">
        <v>19631</v>
      </c>
      <c r="F2576" s="4" t="str">
        <f>IFERROR(__XLUDF.DUMMYFUNCTION("PROPER(REGEXREPLACE(D292,""[^A-Za-z]+ "",""""))"),"Jiro France")</f>
        <v xml:space="preserve">Jiro France</v>
      </c>
      <c r="G2576" s="4" t="s">
        <v>19632</v>
      </c>
      <c r="H2576" s="4">
        <v>10</v>
      </c>
      <c r="I2576" s="4" t="s">
        <v>10215</v>
      </c>
      <c r="J2576" s="4"/>
      <c r="K2576" s="5" t="s">
        <v>19633</v>
      </c>
      <c r="L2576" s="5" t="s">
        <v>19634</v>
      </c>
      <c r="M2576" s="4" t="s">
        <v>846</v>
      </c>
      <c r="N2576" s="4" t="s">
        <v>29</v>
      </c>
      <c r="O2576" s="4" t="s">
        <v>5865</v>
      </c>
      <c r="P2576" s="4" t="s">
        <v>29</v>
      </c>
      <c r="Q2576" s="6"/>
      <c r="R2576" s="6"/>
      <c r="S2576" s="6"/>
      <c r="T2576" s="6"/>
      <c r="U2576" s="6"/>
      <c r="V2576" s="6"/>
      <c r="W2576" s="6"/>
      <c r="X2576" s="6"/>
      <c r="Y2576" s="6"/>
      <c r="Z2576" s="6"/>
      <c r="AA2576" s="6"/>
    </row>
    <row r="2577" ht="14.25">
      <c r="B2577" s="4" t="s">
        <v>222</v>
      </c>
      <c r="C2577" s="4" t="s">
        <v>19635</v>
      </c>
      <c r="D2577" s="4" t="s">
        <v>426</v>
      </c>
      <c r="E2577" s="4" t="s">
        <v>19636</v>
      </c>
      <c r="F2577" s="4" t="str">
        <f>IFERROR(__XLUDF.DUMMYFUNCTION("PROPER(REGEXREPLACE(D293,""[^A-Za-z]+ "",""""))"),"In/Off")</f>
        <v>In/Off</v>
      </c>
      <c r="G2577" s="4" t="s">
        <v>19637</v>
      </c>
      <c r="H2577" s="4">
        <v>12</v>
      </c>
      <c r="I2577" s="4" t="s">
        <v>4525</v>
      </c>
      <c r="J2577" s="4"/>
      <c r="K2577" s="5" t="s">
        <v>19638</v>
      </c>
      <c r="L2577" s="5" t="s">
        <v>19639</v>
      </c>
      <c r="M2577" s="4" t="s">
        <v>39</v>
      </c>
      <c r="N2577" s="4" t="s">
        <v>29</v>
      </c>
      <c r="O2577" s="4" t="s">
        <v>19640</v>
      </c>
      <c r="P2577" s="4" t="s">
        <v>29</v>
      </c>
      <c r="Q2577" s="6"/>
      <c r="R2577" s="6"/>
      <c r="S2577" s="6"/>
      <c r="T2577" s="6"/>
      <c r="U2577" s="6"/>
      <c r="V2577" s="6"/>
      <c r="W2577" s="6"/>
      <c r="X2577" s="6"/>
      <c r="Y2577" s="6"/>
      <c r="Z2577" s="6"/>
      <c r="AA2577" s="6"/>
    </row>
    <row r="2578" ht="14.25">
      <c r="B2578" s="4" t="s">
        <v>206</v>
      </c>
      <c r="C2578" s="4" t="s">
        <v>19641</v>
      </c>
      <c r="D2578" s="4" t="s">
        <v>62</v>
      </c>
      <c r="E2578" s="4" t="s">
        <v>19642</v>
      </c>
      <c r="F2578" s="4" t="str">
        <f>IFERROR(__XLUDF.DUMMYFUNCTION("PROPER(REGEXREPLACE(D294,""[^A-Za-z]+ "",""""))"),"Ipanema Consulting")</f>
        <v xml:space="preserve">Ipanema Consulting</v>
      </c>
      <c r="G2578" s="4" t="s">
        <v>19643</v>
      </c>
      <c r="H2578" s="4">
        <v>12</v>
      </c>
      <c r="I2578" s="4" t="s">
        <v>4067</v>
      </c>
      <c r="J2578" s="4"/>
      <c r="K2578" s="5" t="s">
        <v>19644</v>
      </c>
      <c r="L2578" s="5" t="s">
        <v>19645</v>
      </c>
      <c r="M2578" s="4" t="s">
        <v>39</v>
      </c>
      <c r="N2578" s="4" t="s">
        <v>29</v>
      </c>
      <c r="O2578" s="4" t="s">
        <v>19646</v>
      </c>
      <c r="P2578" s="4" t="s">
        <v>29</v>
      </c>
      <c r="Q2578" s="4" t="s">
        <v>19647</v>
      </c>
      <c r="R2578" s="6"/>
      <c r="S2578" s="6"/>
      <c r="T2578" s="6"/>
      <c r="U2578" s="6"/>
      <c r="V2578" s="6"/>
      <c r="W2578" s="6"/>
      <c r="X2578" s="6"/>
      <c r="Y2578" s="6"/>
      <c r="Z2578" s="6"/>
      <c r="AA2578" s="6"/>
    </row>
    <row r="2579" ht="14.25">
      <c r="B2579" s="4" t="s">
        <v>7004</v>
      </c>
      <c r="C2579" s="4" t="s">
        <v>19648</v>
      </c>
      <c r="D2579" s="4" t="s">
        <v>120</v>
      </c>
      <c r="E2579" s="4" t="s">
        <v>19649</v>
      </c>
      <c r="F2579" s="4" t="str">
        <f>IFERROR(__XLUDF.DUMMYFUNCTION("PROPER(REGEXREPLACE(D295,""[^A-Za-z]+ "",""""))"),"Socle")</f>
        <v>Socle</v>
      </c>
      <c r="G2579" s="4" t="s">
        <v>19650</v>
      </c>
      <c r="H2579" s="4">
        <v>21</v>
      </c>
      <c r="I2579" s="4" t="s">
        <v>2602</v>
      </c>
      <c r="J2579" s="4"/>
      <c r="K2579" s="5" t="s">
        <v>19651</v>
      </c>
      <c r="L2579" s="5" t="s">
        <v>19652</v>
      </c>
      <c r="M2579" s="4" t="s">
        <v>39</v>
      </c>
      <c r="N2579" s="4" t="s">
        <v>29</v>
      </c>
      <c r="O2579" s="4" t="s">
        <v>5694</v>
      </c>
      <c r="P2579" s="4" t="s">
        <v>29</v>
      </c>
      <c r="Q2579" s="4" t="s">
        <v>19653</v>
      </c>
      <c r="R2579" s="6"/>
      <c r="S2579" s="6"/>
      <c r="T2579" s="6"/>
      <c r="U2579" s="6"/>
      <c r="V2579" s="6"/>
      <c r="W2579" s="6"/>
      <c r="X2579" s="6"/>
      <c r="Y2579" s="6"/>
      <c r="Z2579" s="6"/>
      <c r="AA2579" s="6"/>
    </row>
    <row r="2580" ht="14.25">
      <c r="B2580" s="4" t="s">
        <v>6923</v>
      </c>
      <c r="C2580" s="4" t="s">
        <v>866</v>
      </c>
      <c r="D2580" s="4" t="s">
        <v>9410</v>
      </c>
      <c r="E2580" s="4" t="s">
        <v>19654</v>
      </c>
      <c r="F2580" s="4" t="str">
        <f>IFERROR(__XLUDF.DUMMYFUNCTION("PROPER(REGEXREPLACE(D296,""[^A-Za-z]+ "",""""))"),"Opal Consulting")</f>
        <v xml:space="preserve">Opal Consulting</v>
      </c>
      <c r="G2580" s="4" t="s">
        <v>19655</v>
      </c>
      <c r="H2580" s="4">
        <v>15</v>
      </c>
      <c r="I2580" s="4" t="s">
        <v>4067</v>
      </c>
      <c r="J2580" s="4"/>
      <c r="K2580" s="5" t="s">
        <v>19656</v>
      </c>
      <c r="L2580" s="5" t="s">
        <v>19657</v>
      </c>
      <c r="M2580" s="6"/>
      <c r="N2580" s="4" t="s">
        <v>29</v>
      </c>
      <c r="O2580" s="4" t="s">
        <v>19658</v>
      </c>
      <c r="P2580" s="4" t="s">
        <v>29</v>
      </c>
      <c r="Q2580" s="4" t="s">
        <v>19659</v>
      </c>
      <c r="R2580" s="6"/>
      <c r="S2580" s="6"/>
      <c r="T2580" s="6"/>
      <c r="U2580" s="6"/>
      <c r="V2580" s="6"/>
      <c r="W2580" s="6"/>
      <c r="X2580" s="6"/>
      <c r="Y2580" s="6"/>
      <c r="Z2580" s="6"/>
      <c r="AA2580" s="6"/>
    </row>
    <row r="2581" ht="14.25">
      <c r="B2581" s="4" t="s">
        <v>817</v>
      </c>
      <c r="C2581" s="4" t="s">
        <v>8274</v>
      </c>
      <c r="D2581" s="4" t="s">
        <v>5480</v>
      </c>
      <c r="E2581" s="4" t="s">
        <v>19660</v>
      </c>
      <c r="F2581" s="4" t="str">
        <f>IFERROR(__XLUDF.DUMMYFUNCTION("PROPER(REGEXREPLACE(D297,""[^A-Za-z]+ "",""""))"),"Groupe Edifia")</f>
        <v xml:space="preserve">Groupe Edifia</v>
      </c>
      <c r="G2581" s="4" t="s">
        <v>19661</v>
      </c>
      <c r="H2581" s="4">
        <v>26</v>
      </c>
      <c r="I2581" s="4" t="s">
        <v>4067</v>
      </c>
      <c r="J2581" s="4" t="str">
        <f>IFERROR(__XLUDF.DUMMYFUNCTION("VLOOKUP(H297,IMPORTRANGE(""https://docs.google.com/spreadsheets/d/1opm6ZNvGZ7KditA9TuJwrZ25eFLfTNIkrNnY6mhV5Eg"",""list!A1:C115""),3,TRUE)"),"le secteur du conseil en management")</f>
        <v xml:space="preserve">le secteur du conseil en management</v>
      </c>
      <c r="K2581" s="5" t="s">
        <v>19662</v>
      </c>
      <c r="L2581" s="5" t="s">
        <v>19663</v>
      </c>
      <c r="M2581" s="4" t="s">
        <v>19664</v>
      </c>
      <c r="N2581" s="4" t="s">
        <v>29</v>
      </c>
      <c r="O2581" s="4" t="s">
        <v>19665</v>
      </c>
      <c r="P2581" s="4" t="s">
        <v>29</v>
      </c>
      <c r="Q2581" s="4" t="s">
        <v>19666</v>
      </c>
      <c r="R2581" s="6"/>
      <c r="S2581" s="6"/>
      <c r="T2581" s="6"/>
      <c r="U2581" s="6"/>
      <c r="V2581" s="6"/>
      <c r="W2581" s="6"/>
      <c r="X2581" s="6"/>
      <c r="Y2581" s="6"/>
      <c r="Z2581" s="6"/>
      <c r="AA2581" s="6"/>
    </row>
    <row r="2582" ht="14.25">
      <c r="B2582" s="4" t="s">
        <v>10123</v>
      </c>
      <c r="C2582" s="4" t="s">
        <v>19667</v>
      </c>
      <c r="D2582" s="4" t="s">
        <v>19668</v>
      </c>
      <c r="E2582" s="4" t="s">
        <v>19669</v>
      </c>
      <c r="F2582" s="4" t="str">
        <f>IFERROR(__XLUDF.DUMMYFUNCTION("PROPER(REGEXREPLACE(D298,""[^A-Za-z]+ "",""""))"),"Iacom")</f>
        <v>Iacom</v>
      </c>
      <c r="G2582" s="4" t="s">
        <v>19670</v>
      </c>
      <c r="H2582" s="4">
        <v>12</v>
      </c>
      <c r="I2582" s="4" t="s">
        <v>2602</v>
      </c>
      <c r="J2582" s="4" t="str">
        <f>IFERROR(__XLUDF.DUMMYFUNCTION("VLOOKUP(H298,IMPORTRANGE(""https://docs.google.com/spreadsheets/d/1opm6ZNvGZ7KditA9TuJwrZ25eFLfTNIkrNnY6mhV5Eg"",""list!A1:C115""),3,TRUE)"),"le secteur de la tech")</f>
        <v xml:space="preserve">le secteur de la tech</v>
      </c>
      <c r="K2582" s="5" t="s">
        <v>19671</v>
      </c>
      <c r="L2582" s="5" t="s">
        <v>19672</v>
      </c>
      <c r="M2582" s="4" t="s">
        <v>39</v>
      </c>
      <c r="N2582" s="4" t="s">
        <v>29</v>
      </c>
      <c r="O2582" s="4" t="s">
        <v>19673</v>
      </c>
      <c r="P2582" s="4" t="s">
        <v>29</v>
      </c>
      <c r="Q2582" s="6"/>
      <c r="R2582" s="6"/>
      <c r="S2582" s="6"/>
      <c r="T2582" s="6"/>
      <c r="U2582" s="6"/>
      <c r="V2582" s="6"/>
      <c r="W2582" s="6"/>
      <c r="X2582" s="6"/>
      <c r="Y2582" s="6"/>
      <c r="Z2582" s="6"/>
      <c r="AA2582" s="6"/>
    </row>
    <row r="2583" ht="14.25">
      <c r="B2583" s="4" t="s">
        <v>19674</v>
      </c>
      <c r="C2583" s="4" t="s">
        <v>19675</v>
      </c>
      <c r="D2583" s="4" t="s">
        <v>19676</v>
      </c>
      <c r="E2583" s="4" t="s">
        <v>19677</v>
      </c>
      <c r="F2583" s="4" t="str">
        <f>IFERROR(__XLUDF.DUMMYFUNCTION("PROPER(REGEXREPLACE(D299,""[^A-Za-z]+ "",""""))"),"Changeons D'Allure")</f>
        <v xml:space="preserve">Changeons D'Allure</v>
      </c>
      <c r="G2583" s="4" t="s">
        <v>19678</v>
      </c>
      <c r="H2583" s="4">
        <v>13</v>
      </c>
      <c r="I2583" s="4" t="s">
        <v>4067</v>
      </c>
      <c r="J2583" s="4" t="str">
        <f>IFERROR(__XLUDF.DUMMYFUNCTION("VLOOKUP(H299,IMPORTRANGE(""https://docs.google.com/spreadsheets/d/1opm6ZNvGZ7KditA9TuJwrZ25eFLfTNIkrNnY6mhV5Eg"",""list!A1:C115""),3,TRUE)"),"le secteur du conseil en management")</f>
        <v xml:space="preserve">le secteur du conseil en management</v>
      </c>
      <c r="K2583" s="5" t="s">
        <v>19679</v>
      </c>
      <c r="L2583" s="5" t="s">
        <v>19680</v>
      </c>
      <c r="M2583" s="4" t="s">
        <v>482</v>
      </c>
      <c r="N2583" s="4" t="s">
        <v>29</v>
      </c>
      <c r="O2583" s="4" t="s">
        <v>19681</v>
      </c>
      <c r="P2583" s="4" t="s">
        <v>29</v>
      </c>
      <c r="Q2583" s="6"/>
      <c r="R2583" s="6"/>
      <c r="S2583" s="6"/>
      <c r="T2583" s="6"/>
      <c r="U2583" s="6"/>
      <c r="V2583" s="6"/>
      <c r="W2583" s="6"/>
      <c r="X2583" s="6"/>
      <c r="Y2583" s="6"/>
      <c r="Z2583" s="6"/>
      <c r="AA2583" s="6"/>
    </row>
    <row r="2584" ht="14.25">
      <c r="B2584" s="4" t="s">
        <v>19682</v>
      </c>
      <c r="C2584" s="4" t="s">
        <v>19683</v>
      </c>
      <c r="D2584" s="4" t="s">
        <v>112</v>
      </c>
      <c r="E2584" s="4" t="s">
        <v>19684</v>
      </c>
      <c r="F2584" s="4" t="str">
        <f>IFERROR(__XLUDF.DUMMYFUNCTION("PROPER(REGEXREPLACE(D300,""[^A-Za-z]+ "",""""))"),"Digital Salamander")</f>
        <v xml:space="preserve">Digital Salamander</v>
      </c>
      <c r="G2584" s="4" t="s">
        <v>19685</v>
      </c>
      <c r="H2584" s="4">
        <v>10</v>
      </c>
      <c r="I2584" s="4" t="s">
        <v>2602</v>
      </c>
      <c r="J2584" s="4" t="str">
        <f>IFERROR(__XLUDF.DUMMYFUNCTION("VLOOKUP(H300,IMPORTRANGE(""https://docs.google.com/spreadsheets/d/1opm6ZNvGZ7KditA9TuJwrZ25eFLfTNIkrNnY6mhV5Eg"",""list!A1:C115""),3,TRUE)"),"le secteur de la tech")</f>
        <v xml:space="preserve">le secteur de la tech</v>
      </c>
      <c r="K2584" s="5" t="s">
        <v>19686</v>
      </c>
      <c r="L2584" s="5" t="s">
        <v>19687</v>
      </c>
      <c r="M2584" s="4" t="s">
        <v>9967</v>
      </c>
      <c r="N2584" s="4" t="s">
        <v>29</v>
      </c>
      <c r="O2584" s="4" t="s">
        <v>19688</v>
      </c>
      <c r="P2584" s="4" t="s">
        <v>29</v>
      </c>
      <c r="Q2584" s="6"/>
      <c r="R2584" s="6"/>
      <c r="S2584" s="6"/>
      <c r="T2584" s="6"/>
      <c r="U2584" s="6"/>
      <c r="V2584" s="6"/>
      <c r="W2584" s="6"/>
      <c r="X2584" s="6"/>
      <c r="Y2584" s="6"/>
      <c r="Z2584" s="6"/>
      <c r="AA2584" s="6"/>
    </row>
    <row r="2585" ht="14.25">
      <c r="B2585" s="4" t="s">
        <v>2419</v>
      </c>
      <c r="C2585" s="4" t="s">
        <v>19689</v>
      </c>
      <c r="D2585" s="4" t="s">
        <v>468</v>
      </c>
      <c r="E2585" s="4" t="s">
        <v>19690</v>
      </c>
      <c r="F2585" s="4" t="str">
        <f>IFERROR(__XLUDF.DUMMYFUNCTION("PROPER(REGEXREPLACE(D301,""[^A-Za-z]+ "",""""))"),"Perfecto Groupe")</f>
        <v xml:space="preserve">Perfecto Groupe</v>
      </c>
      <c r="G2585" s="4" t="s">
        <v>19691</v>
      </c>
      <c r="H2585" s="4">
        <v>36</v>
      </c>
      <c r="I2585" s="4" t="s">
        <v>9161</v>
      </c>
      <c r="J2585" s="4"/>
      <c r="K2585" s="5" t="s">
        <v>19692</v>
      </c>
      <c r="L2585" s="5" t="s">
        <v>19693</v>
      </c>
      <c r="M2585" s="4" t="s">
        <v>39</v>
      </c>
      <c r="N2585" s="4" t="s">
        <v>29</v>
      </c>
      <c r="O2585" s="4" t="s">
        <v>19694</v>
      </c>
      <c r="P2585" s="4" t="s">
        <v>29</v>
      </c>
      <c r="Q2585" s="4" t="s">
        <v>19695</v>
      </c>
      <c r="R2585" s="6"/>
      <c r="S2585" s="6"/>
      <c r="T2585" s="6"/>
      <c r="U2585" s="6"/>
      <c r="V2585" s="6"/>
      <c r="W2585" s="6"/>
      <c r="X2585" s="6"/>
      <c r="Y2585" s="6"/>
      <c r="Z2585" s="6"/>
      <c r="AA2585" s="6"/>
    </row>
    <row r="2586" ht="14.25">
      <c r="B2586" s="4" t="s">
        <v>355</v>
      </c>
      <c r="C2586" s="4" t="s">
        <v>19696</v>
      </c>
      <c r="D2586" s="4" t="s">
        <v>19697</v>
      </c>
      <c r="E2586" s="4" t="s">
        <v>19698</v>
      </c>
      <c r="F2586" s="4" t="str">
        <f>IFERROR(__XLUDF.DUMMYFUNCTION("PROPER(REGEXREPLACE(D302,""[^A-Za-z]+ "",""""))"),"Gadsme")</f>
        <v>Gadsme</v>
      </c>
      <c r="G2586" s="4" t="s">
        <v>19699</v>
      </c>
      <c r="H2586" s="4">
        <v>20</v>
      </c>
      <c r="I2586" s="4" t="s">
        <v>9161</v>
      </c>
      <c r="J2586" s="4" t="str">
        <f>IFERROR(__XLUDF.DUMMYFUNCTION("VLOOKUP(H302,IMPORTRANGE(""https://docs.google.com/spreadsheets/d/1opm6ZNvGZ7KditA9TuJwrZ25eFLfTNIkrNnY6mhV5Eg"",""list!A1:C115""),3,TRUE)"),"le secteur du marketing")</f>
        <v xml:space="preserve">le secteur du marketing</v>
      </c>
      <c r="K2586" s="5" t="s">
        <v>19700</v>
      </c>
      <c r="L2586" s="5" t="s">
        <v>19701</v>
      </c>
      <c r="M2586" s="4" t="s">
        <v>39</v>
      </c>
      <c r="N2586" s="4" t="s">
        <v>29</v>
      </c>
      <c r="O2586" s="4" t="s">
        <v>19702</v>
      </c>
      <c r="P2586" s="4" t="s">
        <v>29</v>
      </c>
      <c r="Q2586" s="4" t="s">
        <v>19703</v>
      </c>
      <c r="R2586" s="6"/>
      <c r="S2586" s="6"/>
      <c r="T2586" s="6"/>
      <c r="U2586" s="6"/>
      <c r="V2586" s="6"/>
      <c r="W2586" s="6"/>
      <c r="X2586" s="6"/>
      <c r="Y2586" s="6"/>
      <c r="Z2586" s="6"/>
      <c r="AA2586" s="6"/>
    </row>
    <row r="2587" ht="14.25">
      <c r="B2587" s="4" t="s">
        <v>330</v>
      </c>
      <c r="C2587" s="4" t="s">
        <v>19704</v>
      </c>
      <c r="D2587" s="4" t="s">
        <v>460</v>
      </c>
      <c r="E2587" s="4" t="s">
        <v>19705</v>
      </c>
      <c r="F2587" s="4" t="str">
        <f>IFERROR(__XLUDF.DUMMYFUNCTION("PROPER(REGEXREPLACE(D303,""[^A-Za-z]+ "",""""))"),"Peinta")</f>
        <v>Peinta</v>
      </c>
      <c r="G2587" s="4" t="s">
        <v>19706</v>
      </c>
      <c r="H2587" s="4">
        <v>32</v>
      </c>
      <c r="I2587" s="4" t="s">
        <v>10215</v>
      </c>
      <c r="J2587" s="4" t="str">
        <f>IFERROR(__XLUDF.DUMMYFUNCTION("VLOOKUP(H303,IMPORTRANGE(""https://docs.google.com/spreadsheets/d/1opm6ZNvGZ7KditA9TuJwrZ25eFLfTNIkrNnY6mhV5Eg"",""list!A1:C115""),3,TRUE)"),"le secteur de l'électrique et électronique")</f>
        <v xml:space="preserve">le secteur de l'électrique et électronique</v>
      </c>
      <c r="K2587" s="5" t="s">
        <v>19707</v>
      </c>
      <c r="L2587" s="5" t="s">
        <v>19708</v>
      </c>
      <c r="M2587" s="4" t="s">
        <v>9237</v>
      </c>
      <c r="N2587" s="4" t="s">
        <v>29</v>
      </c>
      <c r="O2587" s="4" t="s">
        <v>19709</v>
      </c>
      <c r="P2587" s="4" t="s">
        <v>29</v>
      </c>
      <c r="Q2587" s="4" t="s">
        <v>19710</v>
      </c>
      <c r="R2587" s="6"/>
      <c r="S2587" s="6"/>
      <c r="T2587" s="6"/>
      <c r="U2587" s="6"/>
      <c r="V2587" s="6"/>
      <c r="W2587" s="6"/>
      <c r="X2587" s="6"/>
      <c r="Y2587" s="6"/>
      <c r="Z2587" s="6"/>
      <c r="AA2587" s="6"/>
    </row>
    <row r="2588" ht="14.25">
      <c r="B2588" s="4" t="s">
        <v>485</v>
      </c>
      <c r="C2588" s="4" t="s">
        <v>19711</v>
      </c>
      <c r="D2588" s="4" t="s">
        <v>87</v>
      </c>
      <c r="E2588" s="4" t="s">
        <v>19712</v>
      </c>
      <c r="F2588" s="4" t="str">
        <f>IFERROR(__XLUDF.DUMMYFUNCTION("PROPER(REGEXREPLACE(D304,""[^A-Za-z]+ "",""""))"),"Aidimpact")</f>
        <v>Aidimpact</v>
      </c>
      <c r="G2588" s="4" t="s">
        <v>19713</v>
      </c>
      <c r="H2588" s="4">
        <v>12</v>
      </c>
      <c r="I2588" s="4" t="s">
        <v>2602</v>
      </c>
      <c r="J2588" s="4" t="str">
        <f>IFERROR(__XLUDF.DUMMYFUNCTION("VLOOKUP(H304,IMPORTRANGE(""https://docs.google.com/spreadsheets/d/1opm6ZNvGZ7KditA9TuJwrZ25eFLfTNIkrNnY6mhV5Eg"",""list!A1:C115""),3,TRUE)"),"le secteur de la tech")</f>
        <v xml:space="preserve">le secteur de la tech</v>
      </c>
      <c r="K2588" s="5" t="s">
        <v>19714</v>
      </c>
      <c r="L2588" s="5" t="s">
        <v>19715</v>
      </c>
      <c r="M2588" s="4" t="s">
        <v>83</v>
      </c>
      <c r="N2588" s="4" t="s">
        <v>29</v>
      </c>
      <c r="O2588" s="4" t="s">
        <v>19716</v>
      </c>
      <c r="P2588" s="4" t="s">
        <v>29</v>
      </c>
      <c r="Q2588" s="4" t="s">
        <v>19717</v>
      </c>
      <c r="R2588" s="6"/>
      <c r="S2588" s="6"/>
      <c r="T2588" s="6"/>
      <c r="U2588" s="6"/>
      <c r="V2588" s="6"/>
      <c r="W2588" s="6"/>
      <c r="X2588" s="6"/>
      <c r="Y2588" s="6"/>
      <c r="Z2588" s="6"/>
      <c r="AA2588" s="6"/>
    </row>
    <row r="2589" ht="14.25">
      <c r="B2589" s="4" t="s">
        <v>1421</v>
      </c>
      <c r="C2589" s="4" t="s">
        <v>19718</v>
      </c>
      <c r="D2589" s="4" t="s">
        <v>164</v>
      </c>
      <c r="E2589" s="4" t="s">
        <v>19719</v>
      </c>
      <c r="F2589" s="4" t="str">
        <f>IFERROR(__XLUDF.DUMMYFUNCTION("PROPER(REGEXREPLACE(D305,""[^A-Za-z]+ "",""""))"),"Agence Bradford")</f>
        <v xml:space="preserve">Agence Bradford</v>
      </c>
      <c r="G2589" s="4" t="s">
        <v>19720</v>
      </c>
      <c r="H2589" s="4">
        <v>30</v>
      </c>
      <c r="I2589" s="4" t="s">
        <v>9161</v>
      </c>
      <c r="J2589" s="4" t="str">
        <f>IFERROR(__XLUDF.DUMMYFUNCTION("VLOOKUP(H305,IMPORTRANGE(""https://docs.google.com/spreadsheets/d/1opm6ZNvGZ7KditA9TuJwrZ25eFLfTNIkrNnY6mhV5Eg"",""list!A1:C115""),3,TRUE)"),"le secteur du marketing")</f>
        <v xml:space="preserve">le secteur du marketing</v>
      </c>
      <c r="K2589" s="5" t="s">
        <v>19721</v>
      </c>
      <c r="L2589" s="5" t="s">
        <v>19722</v>
      </c>
      <c r="M2589" s="4" t="s">
        <v>846</v>
      </c>
      <c r="N2589" s="4" t="s">
        <v>29</v>
      </c>
      <c r="O2589" s="4" t="s">
        <v>19723</v>
      </c>
      <c r="P2589" s="4" t="s">
        <v>29</v>
      </c>
      <c r="Q2589" s="4" t="s">
        <v>19724</v>
      </c>
      <c r="R2589" s="6"/>
      <c r="S2589" s="6"/>
      <c r="T2589" s="6"/>
      <c r="U2589" s="6"/>
      <c r="V2589" s="6"/>
      <c r="W2589" s="6"/>
      <c r="X2589" s="6"/>
      <c r="Y2589" s="6"/>
      <c r="Z2589" s="6"/>
      <c r="AA2589" s="6"/>
    </row>
    <row r="2590" ht="14.25">
      <c r="B2590" s="4" t="s">
        <v>279</v>
      </c>
      <c r="C2590" s="4" t="s">
        <v>19725</v>
      </c>
      <c r="D2590" s="4" t="s">
        <v>19726</v>
      </c>
      <c r="E2590" s="4" t="s">
        <v>19727</v>
      </c>
      <c r="F2590" s="4" t="str">
        <f>IFERROR(__XLUDF.DUMMYFUNCTION("PROPER(REGEXREPLACE(D306,""[^A-Za-z]+ "",""""))"),"Myprm")</f>
        <v>Myprm</v>
      </c>
      <c r="G2590" s="4" t="s">
        <v>19728</v>
      </c>
      <c r="H2590" s="4">
        <v>7</v>
      </c>
      <c r="I2590" s="4" t="s">
        <v>2602</v>
      </c>
      <c r="J2590" s="4" t="str">
        <f>IFERROR(__XLUDF.DUMMYFUNCTION("VLOOKUP(H306,IMPORTRANGE(""https://docs.google.com/spreadsheets/d/1opm6ZNvGZ7KditA9TuJwrZ25eFLfTNIkrNnY6mhV5Eg"",""list!A1:C115""),3,TRUE)"),"le secteur de la tech")</f>
        <v xml:space="preserve">le secteur de la tech</v>
      </c>
      <c r="K2590" s="5" t="s">
        <v>19729</v>
      </c>
      <c r="L2590" s="5" t="s">
        <v>19730</v>
      </c>
      <c r="M2590" s="4" t="s">
        <v>39</v>
      </c>
      <c r="N2590" s="4" t="s">
        <v>29</v>
      </c>
      <c r="O2590" s="4" t="s">
        <v>19731</v>
      </c>
      <c r="P2590" s="4" t="s">
        <v>29</v>
      </c>
      <c r="Q2590" s="6"/>
      <c r="R2590" s="6"/>
      <c r="S2590" s="6"/>
      <c r="T2590" s="6"/>
      <c r="U2590" s="6"/>
      <c r="V2590" s="6"/>
      <c r="W2590" s="6"/>
      <c r="X2590" s="6"/>
      <c r="Y2590" s="6"/>
      <c r="Z2590" s="6"/>
      <c r="AA2590" s="6"/>
    </row>
    <row r="2591" ht="14.25">
      <c r="B2591" s="4" t="s">
        <v>955</v>
      </c>
      <c r="C2591" s="4" t="s">
        <v>4245</v>
      </c>
      <c r="D2591" s="4" t="s">
        <v>172</v>
      </c>
      <c r="E2591" s="4" t="s">
        <v>19732</v>
      </c>
      <c r="F2591" s="4" t="str">
        <f>IFERROR(__XLUDF.DUMMYFUNCTION("PROPER(REGEXREPLACE(D307,""[^A-Za-z]+ "",""""))"),"Elsylog")</f>
        <v>Elsylog</v>
      </c>
      <c r="G2591" s="4" t="s">
        <v>19733</v>
      </c>
      <c r="H2591" s="4">
        <v>29</v>
      </c>
      <c r="I2591" s="4" t="s">
        <v>2602</v>
      </c>
      <c r="J2591" s="4"/>
      <c r="K2591" s="5" t="s">
        <v>19734</v>
      </c>
      <c r="L2591" s="5" t="s">
        <v>19735</v>
      </c>
      <c r="M2591" s="4" t="s">
        <v>39</v>
      </c>
      <c r="N2591" s="4" t="s">
        <v>29</v>
      </c>
      <c r="O2591" s="4" t="s">
        <v>19736</v>
      </c>
      <c r="P2591" s="4" t="s">
        <v>29</v>
      </c>
      <c r="Q2591" s="4" t="s">
        <v>19737</v>
      </c>
      <c r="R2591" s="6"/>
      <c r="S2591" s="6"/>
      <c r="T2591" s="6"/>
      <c r="U2591" s="6"/>
      <c r="V2591" s="6"/>
      <c r="W2591" s="6"/>
      <c r="X2591" s="6"/>
      <c r="Y2591" s="6"/>
      <c r="Z2591" s="6"/>
      <c r="AA2591" s="6"/>
    </row>
    <row r="2592" ht="14.25">
      <c r="B2592" s="4" t="s">
        <v>670</v>
      </c>
      <c r="C2592" s="4" t="s">
        <v>19738</v>
      </c>
      <c r="D2592" s="4" t="s">
        <v>468</v>
      </c>
      <c r="E2592" s="4" t="s">
        <v>19739</v>
      </c>
      <c r="F2592" s="4" t="str">
        <f>IFERROR(__XLUDF.DUMMYFUNCTION("PROPER(REGEXREPLACE(D308,""[^A-Za-z]+ "",""""))"),"Master Technologie")</f>
        <v xml:space="preserve">Master Technologie</v>
      </c>
      <c r="G2592" s="4" t="s">
        <v>19740</v>
      </c>
      <c r="H2592" s="4">
        <v>17</v>
      </c>
      <c r="I2592" s="4" t="s">
        <v>2602</v>
      </c>
      <c r="J2592" s="4"/>
      <c r="K2592" s="5" t="s">
        <v>19741</v>
      </c>
      <c r="L2592" s="5" t="s">
        <v>19742</v>
      </c>
      <c r="M2592" s="4" t="s">
        <v>19743</v>
      </c>
      <c r="N2592" s="4" t="s">
        <v>29</v>
      </c>
      <c r="O2592" s="4" t="s">
        <v>19744</v>
      </c>
      <c r="P2592" s="4" t="s">
        <v>29</v>
      </c>
      <c r="Q2592" s="4" t="s">
        <v>19745</v>
      </c>
      <c r="R2592" s="6"/>
      <c r="S2592" s="6"/>
      <c r="T2592" s="6"/>
      <c r="U2592" s="6"/>
      <c r="V2592" s="6"/>
      <c r="W2592" s="6"/>
      <c r="X2592" s="6"/>
      <c r="Y2592" s="6"/>
      <c r="Z2592" s="6"/>
      <c r="AA2592" s="6"/>
    </row>
    <row r="2593" ht="14.25">
      <c r="B2593" s="4" t="s">
        <v>5891</v>
      </c>
      <c r="C2593" s="4" t="s">
        <v>19746</v>
      </c>
      <c r="D2593" s="4" t="s">
        <v>19747</v>
      </c>
      <c r="E2593" s="4" t="s">
        <v>19748</v>
      </c>
      <c r="F2593" s="4" t="str">
        <f>IFERROR(__XLUDF.DUMMYFUNCTION("PROPER(REGEXREPLACE(D309,""[^A-Za-z]+ "",""""))"),"Dooh It")</f>
        <v xml:space="preserve">Dooh It</v>
      </c>
      <c r="G2593" s="4" t="s">
        <v>19749</v>
      </c>
      <c r="H2593" s="4">
        <v>16</v>
      </c>
      <c r="I2593" s="4" t="s">
        <v>9161</v>
      </c>
      <c r="J2593" s="4" t="str">
        <f>IFERROR(__XLUDF.DUMMYFUNCTION("VLOOKUP(H309,IMPORTRANGE(""https://docs.google.com/spreadsheets/d/1opm6ZNvGZ7KditA9TuJwrZ25eFLfTNIkrNnY6mhV5Eg"",""list!A1:C115""),3,TRUE)"),"le secteur du marketing")</f>
        <v xml:space="preserve">le secteur du marketing</v>
      </c>
      <c r="K2593" s="5" t="s">
        <v>19750</v>
      </c>
      <c r="L2593" s="5" t="s">
        <v>19751</v>
      </c>
      <c r="M2593" s="4" t="s">
        <v>39</v>
      </c>
      <c r="N2593" s="4" t="s">
        <v>29</v>
      </c>
      <c r="O2593" s="4" t="s">
        <v>19752</v>
      </c>
      <c r="P2593" s="4" t="s">
        <v>29</v>
      </c>
      <c r="Q2593" s="4" t="s">
        <v>19753</v>
      </c>
      <c r="R2593" s="6"/>
      <c r="S2593" s="6"/>
      <c r="T2593" s="6"/>
      <c r="U2593" s="6"/>
      <c r="V2593" s="6"/>
      <c r="W2593" s="6"/>
      <c r="X2593" s="6"/>
      <c r="Y2593" s="6"/>
      <c r="Z2593" s="6"/>
      <c r="AA2593" s="6"/>
    </row>
    <row r="2594" ht="14.25">
      <c r="B2594" s="4" t="s">
        <v>215</v>
      </c>
      <c r="C2594" s="4" t="s">
        <v>19754</v>
      </c>
      <c r="D2594" s="4" t="s">
        <v>172</v>
      </c>
      <c r="E2594" s="4" t="s">
        <v>19755</v>
      </c>
      <c r="F2594" s="4" t="str">
        <f>IFERROR(__XLUDF.DUMMYFUNCTION("PROPER(REGEXREPLACE(D310,""[^A-Za-z]+ "",""""))"),"Erica Informatique")</f>
        <v xml:space="preserve">Erica Informatique</v>
      </c>
      <c r="G2594" s="4" t="s">
        <v>19756</v>
      </c>
      <c r="H2594" s="4">
        <v>26</v>
      </c>
      <c r="I2594" s="4" t="s">
        <v>9264</v>
      </c>
      <c r="J2594" s="4"/>
      <c r="K2594" s="5" t="s">
        <v>19757</v>
      </c>
      <c r="L2594" s="5" t="s">
        <v>19758</v>
      </c>
      <c r="M2594" s="4" t="s">
        <v>49</v>
      </c>
      <c r="N2594" s="4" t="s">
        <v>29</v>
      </c>
      <c r="O2594" s="4" t="s">
        <v>19759</v>
      </c>
      <c r="P2594" s="4" t="s">
        <v>29</v>
      </c>
      <c r="Q2594" s="4" t="s">
        <v>19760</v>
      </c>
      <c r="R2594" s="6"/>
      <c r="S2594" s="6"/>
      <c r="T2594" s="6"/>
      <c r="U2594" s="6"/>
      <c r="V2594" s="6"/>
      <c r="W2594" s="6"/>
      <c r="X2594" s="6"/>
      <c r="Y2594" s="6"/>
      <c r="Z2594" s="6"/>
      <c r="AA2594" s="6"/>
    </row>
    <row r="2595" ht="14.25">
      <c r="B2595" s="4" t="s">
        <v>19761</v>
      </c>
      <c r="C2595" s="4" t="s">
        <v>19762</v>
      </c>
      <c r="D2595" s="4" t="s">
        <v>19763</v>
      </c>
      <c r="E2595" s="4" t="s">
        <v>19764</v>
      </c>
      <c r="F2595" s="4" t="str">
        <f>IFERROR(__XLUDF.DUMMYFUNCTION("PROPER(REGEXREPLACE(D311,""[^A-Za-z]+ "",""""))"),"Tokenbuilder")</f>
        <v>Tokenbuilder</v>
      </c>
      <c r="G2595" s="4" t="s">
        <v>19765</v>
      </c>
      <c r="H2595" s="4">
        <v>12</v>
      </c>
      <c r="I2595" s="4" t="s">
        <v>2602</v>
      </c>
      <c r="J2595" s="4"/>
      <c r="K2595" s="5" t="s">
        <v>19766</v>
      </c>
      <c r="L2595" s="5" t="s">
        <v>19767</v>
      </c>
      <c r="M2595" s="4" t="s">
        <v>5456</v>
      </c>
      <c r="N2595" s="4" t="s">
        <v>29</v>
      </c>
      <c r="O2595" s="4" t="s">
        <v>19768</v>
      </c>
      <c r="P2595" s="4" t="s">
        <v>19769</v>
      </c>
      <c r="Q2595" s="4" t="s">
        <v>19770</v>
      </c>
      <c r="R2595" s="6"/>
      <c r="S2595" s="6"/>
      <c r="T2595" s="6"/>
      <c r="U2595" s="6"/>
      <c r="V2595" s="6"/>
      <c r="W2595" s="6"/>
      <c r="X2595" s="6"/>
      <c r="Y2595" s="6"/>
      <c r="Z2595" s="6"/>
      <c r="AA2595" s="6"/>
    </row>
    <row r="2596" ht="14.25">
      <c r="B2596" s="4" t="s">
        <v>12119</v>
      </c>
      <c r="C2596" s="4" t="s">
        <v>2105</v>
      </c>
      <c r="D2596" s="4" t="s">
        <v>19771</v>
      </c>
      <c r="E2596" s="4" t="s">
        <v>19772</v>
      </c>
      <c r="F2596" s="4" t="str">
        <f>IFERROR(__XLUDF.DUMMYFUNCTION("PROPER(REGEXREPLACE(D312,""[^A-Za-z]+ "",""""))"),"Earlyfund")</f>
        <v>Earlyfund</v>
      </c>
      <c r="G2596" s="4" t="s">
        <v>19773</v>
      </c>
      <c r="H2596" s="4">
        <v>27</v>
      </c>
      <c r="I2596" s="4" t="s">
        <v>2629</v>
      </c>
      <c r="J2596" s="4" t="str">
        <f>IFERROR(__XLUDF.DUMMYFUNCTION("VLOOKUP(H312,IMPORTRANGE(""https://docs.google.com/spreadsheets/d/1opm6ZNvGZ7KditA9TuJwrZ25eFLfTNIkrNnY6mhV5Eg"",""list!A1:C115""),3,TRUE)"),"le secteur des services financiers")</f>
        <v xml:space="preserve">le secteur des services financiers</v>
      </c>
      <c r="K2596" s="5" t="s">
        <v>19774</v>
      </c>
      <c r="L2596" s="5" t="s">
        <v>19775</v>
      </c>
      <c r="M2596" s="6"/>
      <c r="N2596" s="4" t="s">
        <v>29</v>
      </c>
      <c r="O2596" s="4" t="s">
        <v>19776</v>
      </c>
      <c r="P2596" s="4" t="s">
        <v>29</v>
      </c>
      <c r="Q2596" s="6"/>
      <c r="R2596" s="6"/>
      <c r="S2596" s="6"/>
      <c r="T2596" s="6"/>
      <c r="U2596" s="6"/>
      <c r="V2596" s="6"/>
      <c r="W2596" s="6"/>
      <c r="X2596" s="6"/>
      <c r="Y2596" s="6"/>
      <c r="Z2596" s="6"/>
      <c r="AA2596" s="6"/>
    </row>
    <row r="2597" ht="14.25">
      <c r="B2597" s="4" t="s">
        <v>19777</v>
      </c>
      <c r="C2597" s="4" t="s">
        <v>19778</v>
      </c>
      <c r="D2597" s="4" t="s">
        <v>62</v>
      </c>
      <c r="E2597" s="4" t="s">
        <v>19779</v>
      </c>
      <c r="F2597" s="4" t="str">
        <f>IFERROR(__XLUDF.DUMMYFUNCTION("PROPER(REGEXREPLACE(D313,""[^A-Za-z]+ "",""""))"),"Oversoc")</f>
        <v>Oversoc</v>
      </c>
      <c r="G2597" s="4" t="s">
        <v>19780</v>
      </c>
      <c r="H2597" s="4">
        <v>26</v>
      </c>
      <c r="I2597" s="4" t="s">
        <v>2602</v>
      </c>
      <c r="J2597" s="4" t="str">
        <f>IFERROR(__XLUDF.DUMMYFUNCTION("VLOOKUP(H313,IMPORTRANGE(""https://docs.google.com/spreadsheets/d/1opm6ZNvGZ7KditA9TuJwrZ25eFLfTNIkrNnY6mhV5Eg"",""list!A1:C115""),3,TRUE)"),"le secteur de la tech")</f>
        <v xml:space="preserve">le secteur de la tech</v>
      </c>
      <c r="K2597" s="5" t="s">
        <v>19781</v>
      </c>
      <c r="L2597" s="5" t="s">
        <v>19782</v>
      </c>
      <c r="M2597" s="4" t="s">
        <v>846</v>
      </c>
      <c r="N2597" s="4" t="s">
        <v>29</v>
      </c>
      <c r="O2597" s="4" t="s">
        <v>5865</v>
      </c>
      <c r="P2597" s="4" t="s">
        <v>29</v>
      </c>
      <c r="Q2597" s="4" t="s">
        <v>19783</v>
      </c>
      <c r="R2597" s="6"/>
      <c r="S2597" s="6"/>
      <c r="T2597" s="6"/>
      <c r="U2597" s="6"/>
      <c r="V2597" s="6"/>
      <c r="W2597" s="6"/>
      <c r="X2597" s="6"/>
      <c r="Y2597" s="6"/>
      <c r="Z2597" s="6"/>
      <c r="AA2597" s="6"/>
    </row>
    <row r="2598" ht="14.25">
      <c r="B2598" s="4" t="s">
        <v>596</v>
      </c>
      <c r="C2598" s="4" t="s">
        <v>19784</v>
      </c>
      <c r="D2598" s="4" t="s">
        <v>17579</v>
      </c>
      <c r="E2598" s="4" t="s">
        <v>19785</v>
      </c>
      <c r="F2598" s="4" t="str">
        <f>IFERROR(__XLUDF.DUMMYFUNCTION("PROPER(REGEXREPLACE(D314,""[^A-Za-z]+ "",""""))"),"Bevolta")</f>
        <v>Bevolta</v>
      </c>
      <c r="G2598" s="4" t="s">
        <v>19786</v>
      </c>
      <c r="H2598" s="4">
        <v>9</v>
      </c>
      <c r="I2598" s="4" t="s">
        <v>2602</v>
      </c>
      <c r="J2598" s="4"/>
      <c r="K2598" s="5" t="s">
        <v>19787</v>
      </c>
      <c r="L2598" s="5" t="s">
        <v>19788</v>
      </c>
      <c r="M2598" s="4" t="s">
        <v>39</v>
      </c>
      <c r="N2598" s="4" t="s">
        <v>29</v>
      </c>
      <c r="O2598" s="4" t="s">
        <v>19789</v>
      </c>
      <c r="P2598" s="4" t="s">
        <v>29</v>
      </c>
      <c r="Q2598" s="4" t="s">
        <v>19790</v>
      </c>
      <c r="R2598" s="6"/>
      <c r="S2598" s="6"/>
      <c r="T2598" s="6"/>
      <c r="U2598" s="6"/>
      <c r="V2598" s="6"/>
      <c r="W2598" s="6"/>
      <c r="X2598" s="6"/>
      <c r="Y2598" s="6"/>
      <c r="Z2598" s="6"/>
      <c r="AA2598" s="6"/>
    </row>
    <row r="2599" ht="14.25">
      <c r="B2599" s="4" t="s">
        <v>2419</v>
      </c>
      <c r="C2599" s="4" t="s">
        <v>19791</v>
      </c>
      <c r="D2599" s="4" t="s">
        <v>19792</v>
      </c>
      <c r="E2599" s="4" t="s">
        <v>19793</v>
      </c>
      <c r="F2599" s="4" t="str">
        <f>IFERROR(__XLUDF.DUMMYFUNCTION("PROPER(REGEXREPLACE(D315,""[^A-Za-z]+ "",""""))"),"Twise Sas")</f>
        <v xml:space="preserve">Twise Sas</v>
      </c>
      <c r="G2599" s="4" t="s">
        <v>19794</v>
      </c>
      <c r="H2599" s="4">
        <v>14</v>
      </c>
      <c r="I2599" s="4" t="s">
        <v>10215</v>
      </c>
      <c r="J2599" s="4"/>
      <c r="K2599" s="5" t="s">
        <v>19795</v>
      </c>
      <c r="L2599" s="5" t="s">
        <v>19796</v>
      </c>
      <c r="M2599" s="4" t="s">
        <v>7965</v>
      </c>
      <c r="N2599" s="4" t="s">
        <v>29</v>
      </c>
      <c r="O2599" s="4" t="s">
        <v>19797</v>
      </c>
      <c r="P2599" s="4" t="s">
        <v>29</v>
      </c>
      <c r="Q2599" s="6"/>
      <c r="R2599" s="6"/>
      <c r="S2599" s="6"/>
      <c r="T2599" s="6"/>
      <c r="U2599" s="6"/>
      <c r="V2599" s="6"/>
      <c r="W2599" s="6"/>
      <c r="X2599" s="6"/>
      <c r="Y2599" s="6"/>
      <c r="Z2599" s="6"/>
      <c r="AA2599" s="6"/>
    </row>
    <row r="2600" ht="14.25">
      <c r="B2600" s="4" t="s">
        <v>19798</v>
      </c>
      <c r="C2600" s="4" t="s">
        <v>19799</v>
      </c>
      <c r="D2600" s="4" t="s">
        <v>19800</v>
      </c>
      <c r="E2600" s="4" t="s">
        <v>19801</v>
      </c>
      <c r="F2600" s="4" t="str">
        <f>IFERROR(__XLUDF.DUMMYFUNCTION("PROPER(REGEXREPLACE(D316,""[^A-Za-z]+ "",""""))"),"Randorisec")</f>
        <v>Randorisec</v>
      </c>
      <c r="G2600" s="4" t="s">
        <v>19802</v>
      </c>
      <c r="H2600" s="4">
        <v>29</v>
      </c>
      <c r="I2600" s="4" t="s">
        <v>2602</v>
      </c>
      <c r="J2600" s="4"/>
      <c r="K2600" s="5" t="s">
        <v>19803</v>
      </c>
      <c r="L2600" s="5" t="s">
        <v>19804</v>
      </c>
      <c r="M2600" s="4" t="s">
        <v>39</v>
      </c>
      <c r="N2600" s="4" t="s">
        <v>29</v>
      </c>
      <c r="O2600" s="4" t="s">
        <v>19805</v>
      </c>
      <c r="P2600" s="4" t="s">
        <v>29</v>
      </c>
      <c r="Q2600" s="4" t="s">
        <v>19806</v>
      </c>
      <c r="R2600" s="6"/>
      <c r="S2600" s="6"/>
      <c r="T2600" s="6"/>
      <c r="U2600" s="6"/>
      <c r="V2600" s="6"/>
      <c r="W2600" s="6"/>
      <c r="X2600" s="6"/>
      <c r="Y2600" s="6"/>
      <c r="Z2600" s="6"/>
      <c r="AA2600" s="6"/>
    </row>
    <row r="2601" ht="14.25">
      <c r="B2601" s="4" t="s">
        <v>1215</v>
      </c>
      <c r="C2601" s="4" t="s">
        <v>10461</v>
      </c>
      <c r="D2601" s="4" t="s">
        <v>19807</v>
      </c>
      <c r="E2601" s="4" t="s">
        <v>19808</v>
      </c>
      <c r="F2601" s="4" t="str">
        <f>IFERROR(__XLUDF.DUMMYFUNCTION("PROPER(REGEXREPLACE(D317,""[^A-Za-z]+ "",""""))"),"Agence Altimax")</f>
        <v xml:space="preserve">Agence Altimax</v>
      </c>
      <c r="G2601" s="4" t="s">
        <v>19809</v>
      </c>
      <c r="H2601" s="4">
        <v>31</v>
      </c>
      <c r="I2601" s="4" t="s">
        <v>2602</v>
      </c>
      <c r="J2601" s="4" t="str">
        <f>IFERROR(__XLUDF.DUMMYFUNCTION("VLOOKUP(H317,IMPORTRANGE(""https://docs.google.com/spreadsheets/d/1opm6ZNvGZ7KditA9TuJwrZ25eFLfTNIkrNnY6mhV5Eg"",""list!A1:C115""),3,TRUE)"),"le secteur de la tech")</f>
        <v xml:space="preserve">le secteur de la tech</v>
      </c>
      <c r="K2601" s="5" t="s">
        <v>19810</v>
      </c>
      <c r="L2601" s="5" t="s">
        <v>19811</v>
      </c>
      <c r="M2601" s="4" t="s">
        <v>423</v>
      </c>
      <c r="N2601" s="4" t="s">
        <v>29</v>
      </c>
      <c r="O2601" s="4" t="s">
        <v>19812</v>
      </c>
      <c r="P2601" s="4" t="s">
        <v>29</v>
      </c>
      <c r="Q2601" s="4" t="s">
        <v>19813</v>
      </c>
      <c r="R2601" s="6"/>
      <c r="S2601" s="6"/>
      <c r="T2601" s="6"/>
      <c r="U2601" s="6"/>
      <c r="V2601" s="6"/>
      <c r="W2601" s="6"/>
      <c r="X2601" s="6"/>
      <c r="Y2601" s="6"/>
      <c r="Z2601" s="6"/>
      <c r="AA2601" s="6"/>
    </row>
    <row r="2602" ht="14.25">
      <c r="B2602" s="4" t="s">
        <v>19814</v>
      </c>
      <c r="C2602" s="4" t="s">
        <v>19815</v>
      </c>
      <c r="D2602" s="4" t="s">
        <v>2911</v>
      </c>
      <c r="E2602" s="4" t="s">
        <v>19816</v>
      </c>
      <c r="F2602" s="4" t="str">
        <f>IFERROR(__XLUDF.DUMMYFUNCTION("PROPER(REGEXREPLACE(D318,""[^A-Za-z]+ "",""""))"),"Greenscope")</f>
        <v>Greenscope</v>
      </c>
      <c r="G2602" s="4" t="s">
        <v>19817</v>
      </c>
      <c r="H2602" s="4">
        <v>46</v>
      </c>
      <c r="I2602" s="4" t="s">
        <v>2602</v>
      </c>
      <c r="J2602" s="4"/>
      <c r="K2602" s="5" t="s">
        <v>19818</v>
      </c>
      <c r="L2602" s="5" t="s">
        <v>19819</v>
      </c>
      <c r="M2602" s="4" t="s">
        <v>39</v>
      </c>
      <c r="N2602" s="4" t="s">
        <v>29</v>
      </c>
      <c r="O2602" s="4" t="s">
        <v>67</v>
      </c>
      <c r="P2602" s="4" t="s">
        <v>29</v>
      </c>
      <c r="Q2602" s="4" t="s">
        <v>19820</v>
      </c>
      <c r="R2602" s="6"/>
      <c r="S2602" s="6"/>
      <c r="T2602" s="6"/>
      <c r="U2602" s="6"/>
      <c r="V2602" s="6"/>
      <c r="W2602" s="6"/>
      <c r="X2602" s="6"/>
      <c r="Y2602" s="6"/>
      <c r="Z2602" s="6"/>
      <c r="AA2602" s="6"/>
    </row>
    <row r="2603" ht="14.25">
      <c r="B2603" s="4" t="s">
        <v>604</v>
      </c>
      <c r="C2603" s="4" t="s">
        <v>19821</v>
      </c>
      <c r="D2603" s="4" t="s">
        <v>7992</v>
      </c>
      <c r="E2603" s="4" t="s">
        <v>19822</v>
      </c>
      <c r="F2603" s="4" t="str">
        <f>IFERROR(__XLUDF.DUMMYFUNCTION("PROPER(REGEXREPLACE(D319,""[^A-Za-z]+ "",""""))"),"Eparts'​")</f>
        <v>Eparts'​</v>
      </c>
      <c r="G2603" s="4" t="s">
        <v>19823</v>
      </c>
      <c r="H2603" s="4">
        <v>15</v>
      </c>
      <c r="I2603" s="4" t="s">
        <v>2602</v>
      </c>
      <c r="J2603" s="4" t="str">
        <f>IFERROR(__XLUDF.DUMMYFUNCTION("VLOOKUP(H319,IMPORTRANGE(""https://docs.google.com/spreadsheets/d/1opm6ZNvGZ7KditA9TuJwrZ25eFLfTNIkrNnY6mhV5Eg"",""list!A1:C115""),3,TRUE)"),"le secteur de la tech")</f>
        <v xml:space="preserve">le secteur de la tech</v>
      </c>
      <c r="K2603" s="5" t="s">
        <v>19824</v>
      </c>
      <c r="L2603" s="5" t="s">
        <v>19825</v>
      </c>
      <c r="M2603" s="4" t="s">
        <v>19826</v>
      </c>
      <c r="N2603" s="4" t="s">
        <v>29</v>
      </c>
      <c r="O2603" s="4" t="s">
        <v>19827</v>
      </c>
      <c r="P2603" s="4" t="s">
        <v>29</v>
      </c>
      <c r="Q2603" s="6"/>
      <c r="R2603" s="6"/>
      <c r="S2603" s="6"/>
      <c r="T2603" s="6"/>
      <c r="U2603" s="6"/>
      <c r="V2603" s="6"/>
      <c r="W2603" s="6"/>
      <c r="X2603" s="6"/>
      <c r="Y2603" s="6"/>
      <c r="Z2603" s="6"/>
      <c r="AA2603" s="6"/>
    </row>
    <row r="2604" ht="14.25">
      <c r="B2604" s="4" t="s">
        <v>1215</v>
      </c>
      <c r="C2604" s="4" t="s">
        <v>19828</v>
      </c>
      <c r="D2604" s="4" t="s">
        <v>112</v>
      </c>
      <c r="E2604" s="4" t="s">
        <v>19829</v>
      </c>
      <c r="F2604" s="4" t="str">
        <f>IFERROR(__XLUDF.DUMMYFUNCTION("PROPER(REGEXREPLACE(D320,""[^A-Za-z]+ "",""""))"),"Mediaclinic (Revendre")</f>
        <v xml:space="preserve">Mediaclinic (Revendre</v>
      </c>
      <c r="G2604" s="4" t="s">
        <v>19830</v>
      </c>
      <c r="H2604" s="4">
        <v>24</v>
      </c>
      <c r="I2604" s="4" t="s">
        <v>4525</v>
      </c>
      <c r="J2604" s="4"/>
      <c r="K2604" s="5" t="s">
        <v>19831</v>
      </c>
      <c r="L2604" s="5" t="s">
        <v>19832</v>
      </c>
      <c r="M2604" s="4" t="s">
        <v>19833</v>
      </c>
      <c r="N2604" s="4" t="s">
        <v>29</v>
      </c>
      <c r="O2604" s="4" t="s">
        <v>19834</v>
      </c>
      <c r="P2604" s="4" t="s">
        <v>29</v>
      </c>
      <c r="Q2604" s="4" t="s">
        <v>19835</v>
      </c>
      <c r="R2604" s="6"/>
      <c r="S2604" s="6"/>
      <c r="T2604" s="6"/>
      <c r="U2604" s="6"/>
      <c r="V2604" s="6"/>
      <c r="W2604" s="6"/>
      <c r="X2604" s="6"/>
      <c r="Y2604" s="6"/>
      <c r="Z2604" s="6"/>
      <c r="AA2604" s="6"/>
    </row>
    <row r="2605" ht="14.25">
      <c r="B2605" s="4" t="s">
        <v>3165</v>
      </c>
      <c r="C2605" s="4" t="s">
        <v>19836</v>
      </c>
      <c r="D2605" s="4" t="s">
        <v>172</v>
      </c>
      <c r="E2605" s="4" t="s">
        <v>19837</v>
      </c>
      <c r="F2605" s="4" t="str">
        <f>IFERROR(__XLUDF.DUMMYFUNCTION("PROPER(REGEXREPLACE(D321,""[^A-Za-z]+ "",""""))"),"Medical Education Corpus")</f>
        <v xml:space="preserve">Medical Education Corpus</v>
      </c>
      <c r="G2605" s="4" t="s">
        <v>19838</v>
      </c>
      <c r="H2605" s="4">
        <v>16</v>
      </c>
      <c r="I2605" s="4" t="s">
        <v>10639</v>
      </c>
      <c r="J2605" s="4"/>
      <c r="K2605" s="5" t="s">
        <v>19839</v>
      </c>
      <c r="L2605" s="5" t="s">
        <v>19840</v>
      </c>
      <c r="M2605" s="4" t="s">
        <v>39</v>
      </c>
      <c r="N2605" s="4" t="s">
        <v>29</v>
      </c>
      <c r="O2605" s="4" t="s">
        <v>67</v>
      </c>
      <c r="P2605" s="4" t="s">
        <v>29</v>
      </c>
      <c r="Q2605" s="6"/>
      <c r="R2605" s="6"/>
      <c r="S2605" s="6"/>
      <c r="T2605" s="6"/>
      <c r="U2605" s="6"/>
      <c r="V2605" s="6"/>
      <c r="W2605" s="6"/>
      <c r="X2605" s="6"/>
      <c r="Y2605" s="6"/>
      <c r="Z2605" s="6"/>
      <c r="AA2605" s="6"/>
    </row>
    <row r="2606" ht="14.25">
      <c r="B2606" s="4" t="s">
        <v>355</v>
      </c>
      <c r="C2606" s="4" t="s">
        <v>19841</v>
      </c>
      <c r="D2606" s="4" t="s">
        <v>688</v>
      </c>
      <c r="E2606" s="4" t="s">
        <v>19842</v>
      </c>
      <c r="F2606" s="4" t="str">
        <f>IFERROR(__XLUDF.DUMMYFUNCTION("PROPER(REGEXREPLACE(D322,""[^A-Za-z]+ "",""""))"),"Flying Cars Collective")</f>
        <v xml:space="preserve">Flying Cars Collective</v>
      </c>
      <c r="G2606" s="4" t="s">
        <v>19843</v>
      </c>
      <c r="H2606" s="4">
        <v>10</v>
      </c>
      <c r="I2606" s="4" t="s">
        <v>4067</v>
      </c>
      <c r="J2606" s="4" t="str">
        <f>IFERROR(__XLUDF.DUMMYFUNCTION("VLOOKUP(H322,IMPORTRANGE(""https://docs.google.com/spreadsheets/d/1opm6ZNvGZ7KditA9TuJwrZ25eFLfTNIkrNnY6mhV5Eg"",""list!A1:C115""),3,TRUE)"),"le secteur du conseil en management")</f>
        <v xml:space="preserve">le secteur du conseil en management</v>
      </c>
      <c r="K2606" s="5" t="s">
        <v>19844</v>
      </c>
      <c r="L2606" s="5" t="s">
        <v>19845</v>
      </c>
      <c r="M2606" s="4" t="s">
        <v>10139</v>
      </c>
      <c r="N2606" s="4" t="s">
        <v>29</v>
      </c>
      <c r="O2606" s="4" t="s">
        <v>19846</v>
      </c>
      <c r="P2606" s="4" t="s">
        <v>29</v>
      </c>
      <c r="Q2606" s="4" t="s">
        <v>19847</v>
      </c>
      <c r="R2606" s="6"/>
      <c r="S2606" s="6"/>
      <c r="T2606" s="6"/>
      <c r="U2606" s="6"/>
      <c r="V2606" s="6"/>
      <c r="W2606" s="6"/>
      <c r="X2606" s="6"/>
      <c r="Y2606" s="6"/>
      <c r="Z2606" s="6"/>
      <c r="AA2606" s="6"/>
    </row>
    <row r="2607" ht="14.25">
      <c r="B2607" s="4" t="s">
        <v>793</v>
      </c>
      <c r="C2607" s="4" t="s">
        <v>19848</v>
      </c>
      <c r="D2607" s="4" t="s">
        <v>879</v>
      </c>
      <c r="E2607" s="4" t="s">
        <v>19849</v>
      </c>
      <c r="F2607" s="4" t="str">
        <f>IFERROR(__XLUDF.DUMMYFUNCTION("PROPER(REGEXREPLACE(D323,""[^A-Za-z]+ "",""""))"),"Was Light")</f>
        <v xml:space="preserve">Was Light</v>
      </c>
      <c r="G2607" s="4" t="s">
        <v>19850</v>
      </c>
      <c r="H2607" s="4">
        <v>13</v>
      </c>
      <c r="I2607" s="4" t="s">
        <v>10215</v>
      </c>
      <c r="J2607" s="4"/>
      <c r="K2607" s="5" t="s">
        <v>19851</v>
      </c>
      <c r="L2607" s="5" t="s">
        <v>19852</v>
      </c>
      <c r="M2607" s="4" t="s">
        <v>185</v>
      </c>
      <c r="N2607" s="4" t="s">
        <v>29</v>
      </c>
      <c r="O2607" s="4" t="s">
        <v>19853</v>
      </c>
      <c r="P2607" s="4" t="s">
        <v>29</v>
      </c>
      <c r="Q2607" s="4" t="s">
        <v>19854</v>
      </c>
      <c r="R2607" s="6"/>
      <c r="S2607" s="6"/>
      <c r="T2607" s="6"/>
      <c r="U2607" s="6"/>
      <c r="V2607" s="6"/>
      <c r="W2607" s="6"/>
      <c r="X2607" s="6"/>
      <c r="Y2607" s="6"/>
      <c r="Z2607" s="6"/>
      <c r="AA2607" s="6"/>
    </row>
    <row r="2608" ht="14.25">
      <c r="B2608" s="4" t="s">
        <v>1596</v>
      </c>
      <c r="C2608" s="4" t="s">
        <v>19855</v>
      </c>
      <c r="D2608" s="4" t="s">
        <v>19856</v>
      </c>
      <c r="E2608" s="4" t="s">
        <v>19857</v>
      </c>
      <c r="F2608" s="4" t="str">
        <f>IFERROR(__XLUDF.DUMMYFUNCTION("PROPER(REGEXREPLACE(D324,""[^A-Za-z]+ "",""""))"),"Phone Partners Mdl")</f>
        <v xml:space="preserve">Phone Partners Mdl</v>
      </c>
      <c r="G2608" s="4" t="s">
        <v>19858</v>
      </c>
      <c r="H2608" s="4">
        <v>21</v>
      </c>
      <c r="I2608" s="4" t="s">
        <v>9161</v>
      </c>
      <c r="J2608" s="4" t="str">
        <f>IFERROR(__XLUDF.DUMMYFUNCTION("VLOOKUP(H324,IMPORTRANGE(""https://docs.google.com/spreadsheets/d/1opm6ZNvGZ7KditA9TuJwrZ25eFLfTNIkrNnY6mhV5Eg"",""list!A1:C115""),3,TRUE)"),"le secteur du marketing")</f>
        <v xml:space="preserve">le secteur du marketing</v>
      </c>
      <c r="K2608" s="5" t="s">
        <v>19859</v>
      </c>
      <c r="L2608" s="5" t="s">
        <v>19860</v>
      </c>
      <c r="M2608" s="4" t="s">
        <v>185</v>
      </c>
      <c r="N2608" s="4" t="s">
        <v>29</v>
      </c>
      <c r="O2608" s="4" t="s">
        <v>1283</v>
      </c>
      <c r="P2608" s="4" t="s">
        <v>29</v>
      </c>
      <c r="Q2608" s="4" t="s">
        <v>19861</v>
      </c>
      <c r="R2608" s="6"/>
      <c r="S2608" s="6"/>
      <c r="T2608" s="6"/>
      <c r="U2608" s="6"/>
      <c r="V2608" s="6"/>
      <c r="W2608" s="6"/>
      <c r="X2608" s="6"/>
      <c r="Y2608" s="6"/>
      <c r="Z2608" s="6"/>
      <c r="AA2608" s="6"/>
    </row>
    <row r="2609" ht="14.25">
      <c r="B2609" s="4" t="s">
        <v>19862</v>
      </c>
      <c r="C2609" s="4" t="s">
        <v>19863</v>
      </c>
      <c r="D2609" s="4" t="s">
        <v>247</v>
      </c>
      <c r="E2609" s="4" t="s">
        <v>9608</v>
      </c>
      <c r="F2609" s="4" t="str">
        <f>IFERROR(__XLUDF.DUMMYFUNCTION("PROPER(REGEXREPLACE(D325,""[^A-Za-z]+ "",""""))"),"Randomcoffee")</f>
        <v>Randomcoffee</v>
      </c>
      <c r="G2609" s="4" t="s">
        <v>19864</v>
      </c>
      <c r="H2609" s="4">
        <v>11</v>
      </c>
      <c r="I2609" s="4" t="s">
        <v>2602</v>
      </c>
      <c r="J2609" s="4" t="str">
        <f>IFERROR(__XLUDF.DUMMYFUNCTION("VLOOKUP(H325,IMPORTRANGE(""https://docs.google.com/spreadsheets/d/1opm6ZNvGZ7KditA9TuJwrZ25eFLfTNIkrNnY6mhV5Eg"",""list!A1:C115""),3,TRUE)"),"le secteur de la tech")</f>
        <v xml:space="preserve">le secteur de la tech</v>
      </c>
      <c r="K2609" s="5" t="s">
        <v>19865</v>
      </c>
      <c r="L2609" s="5" t="s">
        <v>19866</v>
      </c>
      <c r="M2609" s="6"/>
      <c r="N2609" s="4" t="s">
        <v>29</v>
      </c>
      <c r="O2609" s="4" t="s">
        <v>19867</v>
      </c>
      <c r="P2609" s="4" t="s">
        <v>29</v>
      </c>
      <c r="Q2609" s="4" t="s">
        <v>19868</v>
      </c>
      <c r="R2609" s="6"/>
      <c r="S2609" s="6"/>
      <c r="T2609" s="6"/>
      <c r="U2609" s="6"/>
      <c r="V2609" s="6"/>
      <c r="W2609" s="6"/>
      <c r="X2609" s="6"/>
      <c r="Y2609" s="6"/>
      <c r="Z2609" s="6"/>
      <c r="AA2609" s="6"/>
    </row>
    <row r="2610" ht="14.25">
      <c r="B2610" s="4" t="s">
        <v>298</v>
      </c>
      <c r="C2610" s="4" t="s">
        <v>19869</v>
      </c>
      <c r="D2610" s="4" t="s">
        <v>9582</v>
      </c>
      <c r="E2610" s="4" t="s">
        <v>19870</v>
      </c>
      <c r="F2610" s="4" t="str">
        <f>IFERROR(__XLUDF.DUMMYFUNCTION("PROPER(REGEXREPLACE(D326,""[^A-Za-z]+ "",""""))"),"Sogo Com")</f>
        <v xml:space="preserve">Sogo Com</v>
      </c>
      <c r="G2610" s="4" t="s">
        <v>19871</v>
      </c>
      <c r="H2610" s="4">
        <v>8</v>
      </c>
      <c r="I2610" s="4" t="s">
        <v>10639</v>
      </c>
      <c r="J2610" s="4"/>
      <c r="K2610" s="5" t="s">
        <v>19872</v>
      </c>
      <c r="L2610" s="5" t="s">
        <v>19873</v>
      </c>
      <c r="M2610" s="4" t="s">
        <v>774</v>
      </c>
      <c r="N2610" s="4" t="s">
        <v>29</v>
      </c>
      <c r="O2610" s="4" t="s">
        <v>19874</v>
      </c>
      <c r="P2610" s="4" t="s">
        <v>29</v>
      </c>
      <c r="Q2610" s="4" t="s">
        <v>19875</v>
      </c>
      <c r="R2610" s="6"/>
      <c r="S2610" s="6"/>
      <c r="T2610" s="6"/>
      <c r="U2610" s="6"/>
      <c r="V2610" s="6"/>
      <c r="W2610" s="6"/>
      <c r="X2610" s="6"/>
      <c r="Y2610" s="6"/>
      <c r="Z2610" s="6"/>
      <c r="AA2610" s="6"/>
    </row>
    <row r="2611" ht="14.25">
      <c r="B2611" s="4" t="s">
        <v>2242</v>
      </c>
      <c r="C2611" s="4" t="s">
        <v>19876</v>
      </c>
      <c r="D2611" s="4" t="s">
        <v>19877</v>
      </c>
      <c r="E2611" s="4" t="s">
        <v>13590</v>
      </c>
      <c r="F2611" s="4" t="str">
        <f>IFERROR(__XLUDF.DUMMYFUNCTION("PROPER(REGEXREPLACE(D327,""[^A-Za-z]+ "",""""))"),"Flowlity")</f>
        <v>Flowlity</v>
      </c>
      <c r="G2611" s="4" t="s">
        <v>19878</v>
      </c>
      <c r="H2611" s="4">
        <v>23</v>
      </c>
      <c r="I2611" s="4" t="s">
        <v>2602</v>
      </c>
      <c r="J2611" s="4" t="str">
        <f>IFERROR(__XLUDF.DUMMYFUNCTION("VLOOKUP(H327,IMPORTRANGE(""https://docs.google.com/spreadsheets/d/1opm6ZNvGZ7KditA9TuJwrZ25eFLfTNIkrNnY6mhV5Eg"",""list!A1:C115""),3,TRUE)"),"le secteur de la tech")</f>
        <v xml:space="preserve">le secteur de la tech</v>
      </c>
      <c r="K2611" s="5" t="s">
        <v>19879</v>
      </c>
      <c r="L2611" s="5" t="s">
        <v>19880</v>
      </c>
      <c r="M2611" s="4" t="s">
        <v>39</v>
      </c>
      <c r="N2611" s="4" t="s">
        <v>29</v>
      </c>
      <c r="O2611" s="4" t="s">
        <v>19881</v>
      </c>
      <c r="P2611" s="4" t="s">
        <v>29</v>
      </c>
      <c r="Q2611" s="4" t="s">
        <v>13595</v>
      </c>
      <c r="R2611" s="6"/>
      <c r="S2611" s="6"/>
      <c r="T2611" s="6"/>
      <c r="U2611" s="6"/>
      <c r="V2611" s="6"/>
      <c r="W2611" s="6"/>
      <c r="X2611" s="6"/>
      <c r="Y2611" s="6"/>
      <c r="Z2611" s="6"/>
      <c r="AA2611" s="6"/>
    </row>
    <row r="2612" ht="14.25">
      <c r="B2612" s="4" t="s">
        <v>110</v>
      </c>
      <c r="C2612" s="4" t="s">
        <v>19882</v>
      </c>
      <c r="D2612" s="4" t="s">
        <v>19883</v>
      </c>
      <c r="E2612" s="4" t="s">
        <v>19884</v>
      </c>
      <c r="F2612" s="4" t="str">
        <f>IFERROR(__XLUDF.DUMMYFUNCTION("PROPER(REGEXREPLACE(D328,""[^A-Za-z]+ "",""""))"),"Valthena")</f>
        <v>Valthena</v>
      </c>
      <c r="G2612" s="4" t="s">
        <v>19885</v>
      </c>
      <c r="H2612" s="4">
        <v>20</v>
      </c>
      <c r="I2612" s="4" t="s">
        <v>4067</v>
      </c>
      <c r="J2612" s="4"/>
      <c r="K2612" s="5" t="s">
        <v>19886</v>
      </c>
      <c r="L2612" s="5" t="s">
        <v>19887</v>
      </c>
      <c r="M2612" s="6"/>
      <c r="N2612" s="4" t="s">
        <v>29</v>
      </c>
      <c r="O2612" s="4" t="s">
        <v>19888</v>
      </c>
      <c r="P2612" s="4" t="s">
        <v>29</v>
      </c>
      <c r="Q2612" s="4" t="s">
        <v>19889</v>
      </c>
      <c r="R2612" s="6"/>
      <c r="S2612" s="6"/>
      <c r="T2612" s="6"/>
      <c r="U2612" s="6"/>
      <c r="V2612" s="6"/>
      <c r="W2612" s="6"/>
      <c r="X2612" s="6"/>
      <c r="Y2612" s="6"/>
      <c r="Z2612" s="6"/>
      <c r="AA2612" s="6"/>
    </row>
    <row r="2613" ht="14.25">
      <c r="B2613" s="4" t="s">
        <v>19890</v>
      </c>
      <c r="C2613" s="4" t="s">
        <v>19891</v>
      </c>
      <c r="D2613" s="4" t="s">
        <v>62</v>
      </c>
      <c r="E2613" s="4" t="s">
        <v>19892</v>
      </c>
      <c r="F2613" s="4" t="str">
        <f>IFERROR(__XLUDF.DUMMYFUNCTION("PROPER(REGEXREPLACE(D329,""[^A-Za-z]+ "",""""))"),"Jimo")</f>
        <v>Jimo</v>
      </c>
      <c r="G2613" s="4" t="s">
        <v>19893</v>
      </c>
      <c r="H2613" s="4">
        <v>14</v>
      </c>
      <c r="I2613" s="4" t="s">
        <v>2602</v>
      </c>
      <c r="J2613" s="4" t="str">
        <f>IFERROR(__XLUDF.DUMMYFUNCTION("VLOOKUP(H329,IMPORTRANGE(""https://docs.google.com/spreadsheets/d/1opm6ZNvGZ7KditA9TuJwrZ25eFLfTNIkrNnY6mhV5Eg"",""list!A1:C115""),3,TRUE)"),"le secteur de la tech")</f>
        <v xml:space="preserve">le secteur de la tech</v>
      </c>
      <c r="K2613" s="5" t="s">
        <v>19894</v>
      </c>
      <c r="L2613" s="5" t="s">
        <v>19895</v>
      </c>
      <c r="M2613" s="4" t="s">
        <v>1446</v>
      </c>
      <c r="N2613" s="4" t="s">
        <v>29</v>
      </c>
      <c r="O2613" s="4" t="s">
        <v>19867</v>
      </c>
      <c r="P2613" s="4" t="s">
        <v>29</v>
      </c>
      <c r="Q2613" s="4" t="s">
        <v>19896</v>
      </c>
      <c r="R2613" s="6"/>
      <c r="S2613" s="6"/>
      <c r="T2613" s="6"/>
      <c r="U2613" s="6"/>
      <c r="V2613" s="6"/>
      <c r="W2613" s="6"/>
      <c r="X2613" s="6"/>
      <c r="Y2613" s="6"/>
      <c r="Z2613" s="6"/>
      <c r="AA2613" s="6"/>
    </row>
    <row r="2614" ht="14.25">
      <c r="B2614" s="4" t="s">
        <v>110</v>
      </c>
      <c r="C2614" s="4" t="s">
        <v>7437</v>
      </c>
      <c r="D2614" s="4" t="s">
        <v>426</v>
      </c>
      <c r="E2614" s="4" t="s">
        <v>19897</v>
      </c>
      <c r="F2614" s="4" t="str">
        <f>IFERROR(__XLUDF.DUMMYFUNCTION("PROPER(REGEXREPLACE(D330,""[^A-Za-z]+ "",""""))"),"Activ'It")</f>
        <v>Activ'It</v>
      </c>
      <c r="G2614" s="4" t="s">
        <v>19898</v>
      </c>
      <c r="H2614" s="4">
        <v>23</v>
      </c>
      <c r="I2614" s="4" t="s">
        <v>2602</v>
      </c>
      <c r="J2614" s="4" t="str">
        <f>IFERROR(__XLUDF.DUMMYFUNCTION("VLOOKUP(H330,IMPORTRANGE(""https://docs.google.com/spreadsheets/d/1opm6ZNvGZ7KditA9TuJwrZ25eFLfTNIkrNnY6mhV5Eg"",""list!A1:C115""),3,TRUE)"),"le secteur de la tech")</f>
        <v xml:space="preserve">le secteur de la tech</v>
      </c>
      <c r="K2614" s="5" t="s">
        <v>19899</v>
      </c>
      <c r="L2614" s="5" t="s">
        <v>19900</v>
      </c>
      <c r="M2614" s="4" t="s">
        <v>39</v>
      </c>
      <c r="N2614" s="4" t="s">
        <v>29</v>
      </c>
      <c r="O2614" s="6"/>
      <c r="P2614" s="6"/>
      <c r="Q2614" s="4" t="s">
        <v>19901</v>
      </c>
      <c r="R2614" s="6"/>
      <c r="S2614" s="6"/>
      <c r="T2614" s="6"/>
      <c r="U2614" s="6"/>
      <c r="V2614" s="6"/>
      <c r="W2614" s="6"/>
      <c r="X2614" s="6"/>
      <c r="Y2614" s="6"/>
      <c r="Z2614" s="6"/>
      <c r="AA2614" s="6"/>
    </row>
    <row r="2615" ht="14.25">
      <c r="B2615" s="4" t="s">
        <v>1442</v>
      </c>
      <c r="C2615" s="4" t="s">
        <v>19902</v>
      </c>
      <c r="D2615" s="4" t="s">
        <v>19903</v>
      </c>
      <c r="E2615" s="4" t="s">
        <v>19904</v>
      </c>
      <c r="F2615" s="4" t="str">
        <f>IFERROR(__XLUDF.DUMMYFUNCTION("PROPER(REGEXREPLACE(D331,""[^A-Za-z]+ "",""""))"),"Seddi")</f>
        <v>Seddi</v>
      </c>
      <c r="G2615" s="4" t="s">
        <v>19905</v>
      </c>
      <c r="H2615" s="4">
        <v>32</v>
      </c>
      <c r="I2615" s="4" t="s">
        <v>2602</v>
      </c>
      <c r="J2615" s="4"/>
      <c r="K2615" s="5" t="s">
        <v>19906</v>
      </c>
      <c r="L2615" s="5" t="s">
        <v>19907</v>
      </c>
      <c r="M2615" s="4" t="s">
        <v>185</v>
      </c>
      <c r="N2615" s="4" t="s">
        <v>29</v>
      </c>
      <c r="O2615" s="4" t="s">
        <v>19908</v>
      </c>
      <c r="P2615" s="4" t="s">
        <v>1152</v>
      </c>
      <c r="Q2615" s="6"/>
      <c r="R2615" s="6"/>
      <c r="S2615" s="6"/>
      <c r="T2615" s="6"/>
      <c r="U2615" s="6"/>
      <c r="V2615" s="6"/>
      <c r="W2615" s="6"/>
      <c r="X2615" s="6"/>
      <c r="Y2615" s="6"/>
      <c r="Z2615" s="6"/>
      <c r="AA2615" s="6"/>
    </row>
    <row r="2616" ht="14.25">
      <c r="B2616" s="4" t="s">
        <v>6788</v>
      </c>
      <c r="C2616" s="4" t="s">
        <v>19909</v>
      </c>
      <c r="D2616" s="4" t="s">
        <v>19910</v>
      </c>
      <c r="E2616" s="4" t="s">
        <v>19911</v>
      </c>
      <c r="F2616" s="4" t="str">
        <f>IFERROR(__XLUDF.DUMMYFUNCTION("PROPER(REGEXREPLACE(D332,""[^A-Za-z]+ "",""""))"),"Escobe")</f>
        <v>Escobe</v>
      </c>
      <c r="G2616" s="4" t="s">
        <v>19912</v>
      </c>
      <c r="H2616" s="4">
        <v>6</v>
      </c>
      <c r="I2616" s="4" t="s">
        <v>2602</v>
      </c>
      <c r="J2616" s="4"/>
      <c r="K2616" s="5" t="s">
        <v>19913</v>
      </c>
      <c r="L2616" s="5" t="s">
        <v>19914</v>
      </c>
      <c r="M2616" s="4" t="s">
        <v>39</v>
      </c>
      <c r="N2616" s="4" t="s">
        <v>29</v>
      </c>
      <c r="O2616" s="4" t="s">
        <v>67</v>
      </c>
      <c r="P2616" s="4" t="s">
        <v>29</v>
      </c>
      <c r="Q2616" s="4" t="s">
        <v>19915</v>
      </c>
      <c r="R2616" s="6"/>
      <c r="S2616" s="6"/>
      <c r="T2616" s="6"/>
      <c r="U2616" s="6"/>
      <c r="V2616" s="6"/>
      <c r="W2616" s="6"/>
      <c r="X2616" s="6"/>
      <c r="Y2616" s="6"/>
      <c r="Z2616" s="6"/>
      <c r="AA2616" s="6"/>
    </row>
    <row r="2617" ht="14.25">
      <c r="B2617" s="4" t="s">
        <v>19916</v>
      </c>
      <c r="C2617" s="4" t="s">
        <v>19917</v>
      </c>
      <c r="D2617" s="4" t="s">
        <v>19918</v>
      </c>
      <c r="E2617" s="4" t="s">
        <v>19919</v>
      </c>
      <c r="F2617" s="4" t="str">
        <f>IFERROR(__XLUDF.DUMMYFUNCTION("PROPER(REGEXREPLACE(D333,""[^A-Za-z]+ "",""""))"),"Mycoach Pro")</f>
        <v xml:space="preserve">Mycoach Pro</v>
      </c>
      <c r="G2617" s="4" t="s">
        <v>19920</v>
      </c>
      <c r="H2617" s="4">
        <v>11</v>
      </c>
      <c r="I2617" s="4" t="s">
        <v>2602</v>
      </c>
      <c r="J2617" s="4"/>
      <c r="K2617" s="5" t="s">
        <v>19921</v>
      </c>
      <c r="L2617" s="5" t="s">
        <v>19922</v>
      </c>
      <c r="M2617" s="4" t="s">
        <v>49</v>
      </c>
      <c r="N2617" s="4" t="s">
        <v>29</v>
      </c>
      <c r="O2617" s="4" t="s">
        <v>19923</v>
      </c>
      <c r="P2617" s="4" t="s">
        <v>29</v>
      </c>
      <c r="Q2617" s="4" t="s">
        <v>19924</v>
      </c>
      <c r="R2617" s="6"/>
      <c r="S2617" s="6"/>
      <c r="T2617" s="6"/>
      <c r="U2617" s="6"/>
      <c r="V2617" s="6"/>
      <c r="W2617" s="6"/>
      <c r="X2617" s="6"/>
      <c r="Y2617" s="6"/>
      <c r="Z2617" s="6"/>
      <c r="AA2617" s="6"/>
    </row>
    <row r="2618" ht="14.25">
      <c r="B2618" s="4" t="s">
        <v>2258</v>
      </c>
      <c r="C2618" s="4" t="s">
        <v>5324</v>
      </c>
      <c r="D2618" s="4" t="s">
        <v>19925</v>
      </c>
      <c r="E2618" s="4" t="s">
        <v>19926</v>
      </c>
      <c r="F2618" s="4" t="str">
        <f>IFERROR(__XLUDF.DUMMYFUNCTION("PROPER(REGEXREPLACE(D334,""[^A-Za-z]+ "",""""))"),"Virtuallyz")</f>
        <v>Virtuallyz</v>
      </c>
      <c r="G2618" s="4" t="s">
        <v>19927</v>
      </c>
      <c r="H2618" s="4">
        <v>19</v>
      </c>
      <c r="I2618" s="4" t="s">
        <v>2602</v>
      </c>
      <c r="J2618" s="4" t="str">
        <f>IFERROR(__XLUDF.DUMMYFUNCTION("VLOOKUP(H334,IMPORTRANGE(""https://docs.google.com/spreadsheets/d/1opm6ZNvGZ7KditA9TuJwrZ25eFLfTNIkrNnY6mhV5Eg"",""list!A1:C115""),3,TRUE)"),"le secteur de la tech")</f>
        <v xml:space="preserve">le secteur de la tech</v>
      </c>
      <c r="K2618" s="5" t="s">
        <v>19928</v>
      </c>
      <c r="L2618" s="5" t="s">
        <v>19929</v>
      </c>
      <c r="M2618" s="4" t="s">
        <v>1015</v>
      </c>
      <c r="N2618" s="4" t="s">
        <v>29</v>
      </c>
      <c r="O2618" s="4" t="s">
        <v>19930</v>
      </c>
      <c r="P2618" s="4" t="s">
        <v>29</v>
      </c>
      <c r="Q2618" s="4" t="s">
        <v>19931</v>
      </c>
      <c r="R2618" s="6"/>
      <c r="S2618" s="6"/>
      <c r="T2618" s="6"/>
      <c r="U2618" s="6"/>
      <c r="V2618" s="6"/>
      <c r="W2618" s="6"/>
      <c r="X2618" s="6"/>
      <c r="Y2618" s="6"/>
      <c r="Z2618" s="6"/>
      <c r="AA2618" s="6"/>
    </row>
    <row r="2619" ht="14.25">
      <c r="B2619" s="4" t="s">
        <v>6945</v>
      </c>
      <c r="C2619" s="4" t="s">
        <v>3030</v>
      </c>
      <c r="D2619" s="4" t="s">
        <v>112</v>
      </c>
      <c r="E2619" s="4" t="s">
        <v>19932</v>
      </c>
      <c r="F2619" s="4" t="str">
        <f>IFERROR(__XLUDF.DUMMYFUNCTION("PROPER(REGEXREPLACE(D335,""[^A-Za-z]+ "",""""))"),"Adinvest Network")</f>
        <v xml:space="preserve">Adinvest Network</v>
      </c>
      <c r="G2619" s="4" t="s">
        <v>19933</v>
      </c>
      <c r="H2619" s="4">
        <v>20</v>
      </c>
      <c r="I2619" s="4" t="s">
        <v>4067</v>
      </c>
      <c r="J2619" s="4"/>
      <c r="K2619" s="5" t="s">
        <v>19934</v>
      </c>
      <c r="L2619" s="5" t="s">
        <v>19935</v>
      </c>
      <c r="M2619" s="4" t="s">
        <v>39</v>
      </c>
      <c r="N2619" s="4" t="s">
        <v>29</v>
      </c>
      <c r="O2619" s="4" t="s">
        <v>19936</v>
      </c>
      <c r="P2619" s="4" t="s">
        <v>29</v>
      </c>
      <c r="Q2619" s="6"/>
      <c r="R2619" s="6"/>
      <c r="S2619" s="6"/>
      <c r="T2619" s="6"/>
      <c r="U2619" s="6"/>
      <c r="V2619" s="6"/>
      <c r="W2619" s="6"/>
      <c r="X2619" s="6"/>
      <c r="Y2619" s="6"/>
      <c r="Z2619" s="6"/>
      <c r="AA2619" s="6"/>
    </row>
    <row r="2620" ht="14.25">
      <c r="B2620" s="4" t="s">
        <v>170</v>
      </c>
      <c r="C2620" s="4" t="s">
        <v>19937</v>
      </c>
      <c r="D2620" s="4" t="s">
        <v>19938</v>
      </c>
      <c r="E2620" s="4" t="s">
        <v>19939</v>
      </c>
      <c r="F2620" s="4" t="str">
        <f>IFERROR(__XLUDF.DUMMYFUNCTION("PROPER(REGEXREPLACE(D336,""[^A-Za-z]+ "",""""))"),"Vialife")</f>
        <v>Vialife</v>
      </c>
      <c r="G2620" s="4" t="s">
        <v>19940</v>
      </c>
      <c r="H2620" s="4">
        <v>18</v>
      </c>
      <c r="I2620" s="4" t="s">
        <v>2602</v>
      </c>
      <c r="J2620" s="4" t="str">
        <f>IFERROR(__XLUDF.DUMMYFUNCTION("VLOOKUP(H336,IMPORTRANGE(""https://docs.google.com/spreadsheets/d/1opm6ZNvGZ7KditA9TuJwrZ25eFLfTNIkrNnY6mhV5Eg"",""list!A1:C115""),3,TRUE)"),"le secteur de la tech")</f>
        <v xml:space="preserve">le secteur de la tech</v>
      </c>
      <c r="K2620" s="5" t="s">
        <v>19941</v>
      </c>
      <c r="L2620" s="5" t="s">
        <v>19942</v>
      </c>
      <c r="M2620" s="4" t="s">
        <v>39</v>
      </c>
      <c r="N2620" s="4" t="s">
        <v>29</v>
      </c>
      <c r="O2620" s="4" t="s">
        <v>19943</v>
      </c>
      <c r="P2620" s="4" t="s">
        <v>29</v>
      </c>
      <c r="Q2620" s="6"/>
      <c r="R2620" s="6"/>
      <c r="S2620" s="6"/>
      <c r="T2620" s="6"/>
      <c r="U2620" s="6"/>
      <c r="V2620" s="6"/>
      <c r="W2620" s="6"/>
      <c r="X2620" s="6"/>
      <c r="Y2620" s="6"/>
      <c r="Z2620" s="6"/>
      <c r="AA2620" s="6"/>
    </row>
    <row r="2621" ht="14.25">
      <c r="B2621" s="4" t="s">
        <v>9922</v>
      </c>
      <c r="C2621" s="4" t="s">
        <v>19944</v>
      </c>
      <c r="D2621" s="4" t="s">
        <v>19945</v>
      </c>
      <c r="E2621" s="4" t="s">
        <v>19946</v>
      </c>
      <c r="F2621" s="4" t="str">
        <f>IFERROR(__XLUDF.DUMMYFUNCTION("PROPER(REGEXREPLACE(D337,""[^A-Za-z]+ "",""""))"),"Evolio")</f>
        <v>Evolio</v>
      </c>
      <c r="G2621" s="4" t="s">
        <v>19947</v>
      </c>
      <c r="H2621" s="4">
        <v>13</v>
      </c>
      <c r="I2621" s="4" t="s">
        <v>2602</v>
      </c>
      <c r="J2621" s="4"/>
      <c r="K2621" s="5" t="s">
        <v>19948</v>
      </c>
      <c r="L2621" s="5" t="s">
        <v>19949</v>
      </c>
      <c r="M2621" s="4" t="s">
        <v>83</v>
      </c>
      <c r="N2621" s="4" t="s">
        <v>29</v>
      </c>
      <c r="O2621" s="4" t="s">
        <v>84</v>
      </c>
      <c r="P2621" s="4" t="s">
        <v>29</v>
      </c>
      <c r="Q2621" s="6"/>
      <c r="R2621" s="6"/>
      <c r="S2621" s="6"/>
      <c r="T2621" s="6"/>
      <c r="U2621" s="6"/>
      <c r="V2621" s="6"/>
      <c r="W2621" s="6"/>
      <c r="X2621" s="6"/>
      <c r="Y2621" s="6"/>
      <c r="Z2621" s="6"/>
      <c r="AA2621" s="6"/>
    </row>
    <row r="2622" ht="14.25">
      <c r="B2622" s="4" t="s">
        <v>653</v>
      </c>
      <c r="C2622" s="4" t="s">
        <v>19950</v>
      </c>
      <c r="D2622" s="4" t="s">
        <v>19951</v>
      </c>
      <c r="E2622" s="4" t="s">
        <v>19952</v>
      </c>
      <c r="F2622" s="4" t="str">
        <f>IFERROR(__XLUDF.DUMMYFUNCTION("PROPER(REGEXREPLACE(D338,""[^A-Za-z]+ "",""""))"),"Xperience.Immo")</f>
        <v>Xperience.Immo</v>
      </c>
      <c r="G2622" s="4" t="s">
        <v>19953</v>
      </c>
      <c r="H2622" s="4">
        <v>15</v>
      </c>
      <c r="I2622" s="4" t="s">
        <v>2602</v>
      </c>
      <c r="J2622" s="4" t="str">
        <f>IFERROR(__XLUDF.DUMMYFUNCTION("VLOOKUP(H338,IMPORTRANGE(""https://docs.google.com/spreadsheets/d/1opm6ZNvGZ7KditA9TuJwrZ25eFLfTNIkrNnY6mhV5Eg"",""list!A1:C115""),3,TRUE)"),"le secteur de la tech")</f>
        <v xml:space="preserve">le secteur de la tech</v>
      </c>
      <c r="K2622" s="5" t="s">
        <v>19954</v>
      </c>
      <c r="L2622" s="5" t="s">
        <v>19955</v>
      </c>
      <c r="M2622" s="4" t="s">
        <v>243</v>
      </c>
      <c r="N2622" s="4" t="s">
        <v>29</v>
      </c>
      <c r="O2622" s="4" t="s">
        <v>19956</v>
      </c>
      <c r="P2622" s="4" t="s">
        <v>29</v>
      </c>
      <c r="Q2622" s="6"/>
      <c r="R2622" s="6"/>
      <c r="S2622" s="6"/>
      <c r="T2622" s="6"/>
      <c r="U2622" s="6"/>
      <c r="V2622" s="6"/>
      <c r="W2622" s="6"/>
      <c r="X2622" s="6"/>
      <c r="Y2622" s="6"/>
      <c r="Z2622" s="6"/>
      <c r="AA2622" s="6"/>
    </row>
    <row r="2623" ht="14.25">
      <c r="B2623" s="4" t="s">
        <v>817</v>
      </c>
      <c r="C2623" s="4" t="s">
        <v>19957</v>
      </c>
      <c r="D2623" s="4" t="s">
        <v>19958</v>
      </c>
      <c r="E2623" s="4" t="s">
        <v>19959</v>
      </c>
      <c r="F2623" s="4" t="str">
        <f>IFERROR(__XLUDF.DUMMYFUNCTION("PROPER(REGEXREPLACE(D339,""[^A-Za-z]+ "",""""))"),"Whaller")</f>
        <v>Whaller</v>
      </c>
      <c r="G2623" s="4" t="s">
        <v>19960</v>
      </c>
      <c r="H2623" s="4">
        <v>19</v>
      </c>
      <c r="I2623" s="4" t="s">
        <v>2602</v>
      </c>
      <c r="J2623" s="4"/>
      <c r="K2623" s="5" t="s">
        <v>19961</v>
      </c>
      <c r="L2623" s="5" t="s">
        <v>19962</v>
      </c>
      <c r="M2623" s="4" t="s">
        <v>16341</v>
      </c>
      <c r="N2623" s="4" t="s">
        <v>29</v>
      </c>
      <c r="O2623" s="4" t="s">
        <v>19963</v>
      </c>
      <c r="P2623" s="4" t="s">
        <v>29</v>
      </c>
      <c r="Q2623" s="4" t="s">
        <v>19964</v>
      </c>
      <c r="R2623" s="6"/>
      <c r="S2623" s="6"/>
      <c r="T2623" s="6"/>
      <c r="U2623" s="6"/>
      <c r="V2623" s="6"/>
      <c r="W2623" s="6"/>
      <c r="X2623" s="6"/>
      <c r="Y2623" s="6"/>
      <c r="Z2623" s="6"/>
      <c r="AA2623" s="6"/>
    </row>
    <row r="2624" ht="14.25">
      <c r="B2624" s="4" t="s">
        <v>485</v>
      </c>
      <c r="C2624" s="4" t="s">
        <v>1866</v>
      </c>
      <c r="D2624" s="4" t="s">
        <v>172</v>
      </c>
      <c r="E2624" s="4" t="s">
        <v>19965</v>
      </c>
      <c r="F2624" s="4" t="str">
        <f>IFERROR(__XLUDF.DUMMYFUNCTION("PROPER(REGEXREPLACE(D340,""[^A-Za-z]+ "",""""))"),"Pierre Laporte Communication")</f>
        <v xml:space="preserve">Pierre Laporte Communication</v>
      </c>
      <c r="G2624" s="4" t="s">
        <v>19966</v>
      </c>
      <c r="H2624" s="4">
        <v>12</v>
      </c>
      <c r="I2624" s="4" t="s">
        <v>10639</v>
      </c>
      <c r="J2624" s="4"/>
      <c r="K2624" s="5" t="s">
        <v>19967</v>
      </c>
      <c r="L2624" s="5" t="s">
        <v>19968</v>
      </c>
      <c r="M2624" s="4" t="s">
        <v>39</v>
      </c>
      <c r="N2624" s="4" t="s">
        <v>29</v>
      </c>
      <c r="O2624" s="4" t="s">
        <v>19969</v>
      </c>
      <c r="P2624" s="4" t="s">
        <v>29</v>
      </c>
      <c r="Q2624" s="6"/>
      <c r="R2624" s="6"/>
      <c r="S2624" s="6"/>
      <c r="T2624" s="6"/>
      <c r="U2624" s="6"/>
      <c r="V2624" s="6"/>
      <c r="W2624" s="6"/>
      <c r="X2624" s="6"/>
      <c r="Y2624" s="6"/>
      <c r="Z2624" s="6"/>
      <c r="AA2624" s="6"/>
    </row>
    <row r="2625" ht="14.25">
      <c r="B2625" s="4" t="s">
        <v>95</v>
      </c>
      <c r="C2625" s="4" t="s">
        <v>19970</v>
      </c>
      <c r="D2625" s="4" t="s">
        <v>19971</v>
      </c>
      <c r="E2625" s="4" t="s">
        <v>19972</v>
      </c>
      <c r="F2625" s="4" t="str">
        <f>IFERROR(__XLUDF.DUMMYFUNCTION("PROPER(REGEXREPLACE(D341,""[^A-Za-z]+ "",""""))"),"Dood")</f>
        <v>Dood</v>
      </c>
      <c r="G2625" s="4" t="s">
        <v>19973</v>
      </c>
      <c r="H2625" s="4">
        <v>39</v>
      </c>
      <c r="I2625" s="4" t="s">
        <v>2602</v>
      </c>
      <c r="J2625" s="4"/>
      <c r="K2625" s="5" t="s">
        <v>19974</v>
      </c>
      <c r="L2625" s="5" t="s">
        <v>19975</v>
      </c>
      <c r="M2625" s="4" t="s">
        <v>19976</v>
      </c>
      <c r="N2625" s="4" t="s">
        <v>29</v>
      </c>
      <c r="O2625" s="4" t="s">
        <v>19977</v>
      </c>
      <c r="P2625" s="4" t="s">
        <v>29</v>
      </c>
      <c r="Q2625" s="6"/>
      <c r="R2625" s="6"/>
      <c r="S2625" s="6"/>
      <c r="T2625" s="6"/>
      <c r="U2625" s="6"/>
      <c r="V2625" s="6"/>
      <c r="W2625" s="6"/>
      <c r="X2625" s="6"/>
      <c r="Y2625" s="6"/>
      <c r="Z2625" s="6"/>
      <c r="AA2625" s="6"/>
    </row>
    <row r="2626" ht="14.25">
      <c r="B2626" s="4" t="s">
        <v>18616</v>
      </c>
      <c r="C2626" s="4" t="s">
        <v>19978</v>
      </c>
      <c r="D2626" s="4" t="s">
        <v>172</v>
      </c>
      <c r="E2626" s="4" t="s">
        <v>19979</v>
      </c>
      <c r="F2626" s="4" t="str">
        <f>IFERROR(__XLUDF.DUMMYFUNCTION("PROPER(REGEXREPLACE(D342,""[^A-Za-z]+ "",""""))"),"Cads-Up")</f>
        <v>Cads-Up</v>
      </c>
      <c r="G2626" s="4" t="s">
        <v>19980</v>
      </c>
      <c r="H2626" s="4">
        <v>15</v>
      </c>
      <c r="I2626" s="4" t="s">
        <v>2602</v>
      </c>
      <c r="J2626" s="4"/>
      <c r="K2626" s="5" t="s">
        <v>19981</v>
      </c>
      <c r="L2626" s="5" t="s">
        <v>19982</v>
      </c>
      <c r="M2626" s="4" t="s">
        <v>39</v>
      </c>
      <c r="N2626" s="4" t="s">
        <v>29</v>
      </c>
      <c r="O2626" s="4" t="s">
        <v>19983</v>
      </c>
      <c r="P2626" s="4" t="s">
        <v>29</v>
      </c>
      <c r="Q2626" s="6"/>
      <c r="R2626" s="6"/>
      <c r="S2626" s="6"/>
      <c r="T2626" s="6"/>
      <c r="U2626" s="6"/>
      <c r="V2626" s="6"/>
      <c r="W2626" s="6"/>
      <c r="X2626" s="6"/>
      <c r="Y2626" s="6"/>
      <c r="Z2626" s="6"/>
      <c r="AA2626" s="6"/>
    </row>
    <row r="2627" ht="14.25">
      <c r="B2627" s="4" t="s">
        <v>866</v>
      </c>
      <c r="C2627" s="4" t="s">
        <v>19984</v>
      </c>
      <c r="D2627" s="4" t="s">
        <v>172</v>
      </c>
      <c r="E2627" s="4" t="s">
        <v>19985</v>
      </c>
      <c r="F2627" s="4" t="str">
        <f>IFERROR(__XLUDF.DUMMYFUNCTION("PROPER(REGEXREPLACE(D343,""[^A-Za-z]+ "",""""))"),"Campus Numérique Montereau")</f>
        <v xml:space="preserve">Campus Numérique Montereau</v>
      </c>
      <c r="G2627" s="4" t="s">
        <v>19986</v>
      </c>
      <c r="H2627" s="4">
        <v>26</v>
      </c>
      <c r="I2627" s="4" t="s">
        <v>9184</v>
      </c>
      <c r="J2627" s="4"/>
      <c r="K2627" s="5" t="s">
        <v>19987</v>
      </c>
      <c r="L2627" s="5" t="s">
        <v>19988</v>
      </c>
      <c r="M2627" s="4" t="s">
        <v>39</v>
      </c>
      <c r="N2627" s="4" t="s">
        <v>29</v>
      </c>
      <c r="O2627" s="4" t="s">
        <v>19989</v>
      </c>
      <c r="P2627" s="4" t="s">
        <v>29</v>
      </c>
      <c r="Q2627" s="4" t="s">
        <v>19990</v>
      </c>
      <c r="R2627" s="6"/>
      <c r="S2627" s="6"/>
      <c r="T2627" s="6"/>
      <c r="U2627" s="6"/>
      <c r="V2627" s="6"/>
      <c r="W2627" s="6"/>
      <c r="X2627" s="6"/>
      <c r="Y2627" s="6"/>
      <c r="Z2627" s="6"/>
      <c r="AA2627" s="6"/>
    </row>
    <row r="2628" ht="14.25">
      <c r="B2628" s="4" t="s">
        <v>19991</v>
      </c>
      <c r="C2628" s="4" t="s">
        <v>19992</v>
      </c>
      <c r="D2628" s="4" t="s">
        <v>19993</v>
      </c>
      <c r="E2628" s="4" t="s">
        <v>19994</v>
      </c>
      <c r="F2628" s="4" t="str">
        <f>IFERROR(__XLUDF.DUMMYFUNCTION("PROPER(REGEXREPLACE(D344,""[^A-Za-z]+ "",""""))"),"Ksaar")</f>
        <v>Ksaar</v>
      </c>
      <c r="G2628" s="4" t="s">
        <v>19995</v>
      </c>
      <c r="H2628" s="4">
        <v>14</v>
      </c>
      <c r="I2628" s="4" t="s">
        <v>2602</v>
      </c>
      <c r="J2628" s="4" t="str">
        <f>IFERROR(__XLUDF.DUMMYFUNCTION("VLOOKUP(H344,IMPORTRANGE(""https://docs.google.com/spreadsheets/d/1opm6ZNvGZ7KditA9TuJwrZ25eFLfTNIkrNnY6mhV5Eg"",""list!A1:C115""),3,TRUE)"),"le secteur de la tech")</f>
        <v xml:space="preserve">le secteur de la tech</v>
      </c>
      <c r="K2628" s="5" t="s">
        <v>19996</v>
      </c>
      <c r="L2628" s="5" t="s">
        <v>19997</v>
      </c>
      <c r="M2628" s="4" t="s">
        <v>39</v>
      </c>
      <c r="N2628" s="4" t="s">
        <v>29</v>
      </c>
      <c r="O2628" s="4" t="s">
        <v>67</v>
      </c>
      <c r="P2628" s="4" t="s">
        <v>29</v>
      </c>
      <c r="Q2628" s="4" t="s">
        <v>19998</v>
      </c>
      <c r="R2628" s="6"/>
      <c r="S2628" s="6"/>
      <c r="T2628" s="6"/>
      <c r="U2628" s="6"/>
      <c r="V2628" s="6"/>
      <c r="W2628" s="6"/>
      <c r="X2628" s="6"/>
      <c r="Y2628" s="6"/>
      <c r="Z2628" s="6"/>
      <c r="AA2628" s="6"/>
    </row>
    <row r="2629" ht="14.25">
      <c r="B2629" s="4" t="s">
        <v>3967</v>
      </c>
      <c r="C2629" s="4" t="s">
        <v>18858</v>
      </c>
      <c r="D2629" s="4" t="s">
        <v>172</v>
      </c>
      <c r="E2629" s="4" t="s">
        <v>19999</v>
      </c>
      <c r="F2629" s="4" t="str">
        <f>IFERROR(__XLUDF.DUMMYFUNCTION("PROPER(REGEXREPLACE(D345,""[^A-Za-z]+ "",""""))"),"Atelier Jean-Loup Bouvier")</f>
        <v xml:space="preserve">Atelier Jean-Loup Bouvier</v>
      </c>
      <c r="G2629" s="4" t="s">
        <v>20000</v>
      </c>
      <c r="H2629" s="4">
        <v>22</v>
      </c>
      <c r="I2629" s="4" t="s">
        <v>4525</v>
      </c>
      <c r="J2629" s="4"/>
      <c r="K2629" s="5" t="s">
        <v>20001</v>
      </c>
      <c r="L2629" s="5" t="s">
        <v>20002</v>
      </c>
      <c r="M2629" s="4" t="s">
        <v>295</v>
      </c>
      <c r="N2629" s="4" t="s">
        <v>29</v>
      </c>
      <c r="O2629" s="4" t="s">
        <v>20003</v>
      </c>
      <c r="P2629" s="4" t="s">
        <v>29</v>
      </c>
      <c r="Q2629" s="4" t="s">
        <v>20004</v>
      </c>
      <c r="R2629" s="6"/>
      <c r="S2629" s="6"/>
      <c r="T2629" s="6"/>
      <c r="U2629" s="6"/>
      <c r="V2629" s="6"/>
      <c r="W2629" s="6"/>
      <c r="X2629" s="6"/>
      <c r="Y2629" s="6"/>
      <c r="Z2629" s="6"/>
      <c r="AA2629" s="6"/>
    </row>
    <row r="2630" ht="14.25">
      <c r="B2630" s="4" t="s">
        <v>10945</v>
      </c>
      <c r="C2630" s="4" t="s">
        <v>20005</v>
      </c>
      <c r="D2630" s="4" t="s">
        <v>87</v>
      </c>
      <c r="E2630" s="4" t="s">
        <v>20006</v>
      </c>
      <c r="F2630" s="4" t="str">
        <f>IFERROR(__XLUDF.DUMMYFUNCTION("PROPER(REGEXREPLACE(D346,""[^A-Za-z]+ "",""""))"),"Satodev")</f>
        <v>Satodev</v>
      </c>
      <c r="G2630" s="4" t="s">
        <v>20007</v>
      </c>
      <c r="H2630" s="4">
        <v>10</v>
      </c>
      <c r="I2630" s="4" t="s">
        <v>2602</v>
      </c>
      <c r="J2630" s="4"/>
      <c r="K2630" s="5" t="s">
        <v>20008</v>
      </c>
      <c r="L2630" s="5" t="s">
        <v>20009</v>
      </c>
      <c r="M2630" s="4" t="s">
        <v>243</v>
      </c>
      <c r="N2630" s="4" t="s">
        <v>29</v>
      </c>
      <c r="O2630" s="4" t="s">
        <v>5722</v>
      </c>
      <c r="P2630" s="4" t="s">
        <v>29</v>
      </c>
      <c r="Q2630" s="6"/>
      <c r="R2630" s="6"/>
      <c r="S2630" s="6"/>
      <c r="T2630" s="6"/>
      <c r="U2630" s="6"/>
      <c r="V2630" s="6"/>
      <c r="W2630" s="6"/>
      <c r="X2630" s="6"/>
      <c r="Y2630" s="6"/>
      <c r="Z2630" s="6"/>
      <c r="AA2630" s="6"/>
    </row>
    <row r="2631" ht="14.25">
      <c r="B2631" s="4" t="s">
        <v>1732</v>
      </c>
      <c r="C2631" s="4" t="s">
        <v>20010</v>
      </c>
      <c r="D2631" s="4" t="s">
        <v>20011</v>
      </c>
      <c r="E2631" s="4" t="s">
        <v>20012</v>
      </c>
      <c r="F2631" s="4" t="str">
        <f>IFERROR(__XLUDF.DUMMYFUNCTION("PROPER(REGEXREPLACE(D347,""[^A-Za-z]+ "",""""))"),"Skyboy")</f>
        <v>Skyboy</v>
      </c>
      <c r="G2631" s="4" t="s">
        <v>20013</v>
      </c>
      <c r="H2631" s="4">
        <v>14</v>
      </c>
      <c r="I2631" s="4" t="s">
        <v>2602</v>
      </c>
      <c r="J2631" s="4"/>
      <c r="K2631" s="5" t="s">
        <v>20014</v>
      </c>
      <c r="L2631" s="5" t="s">
        <v>20015</v>
      </c>
      <c r="M2631" s="4" t="s">
        <v>39</v>
      </c>
      <c r="N2631" s="4" t="s">
        <v>29</v>
      </c>
      <c r="O2631" s="4" t="s">
        <v>1158</v>
      </c>
      <c r="P2631" s="4" t="s">
        <v>29</v>
      </c>
      <c r="Q2631" s="4" t="s">
        <v>12081</v>
      </c>
      <c r="R2631" s="6"/>
      <c r="S2631" s="6"/>
      <c r="T2631" s="6"/>
      <c r="U2631" s="6"/>
      <c r="V2631" s="6"/>
      <c r="W2631" s="6"/>
      <c r="X2631" s="6"/>
      <c r="Y2631" s="6"/>
      <c r="Z2631" s="6"/>
      <c r="AA2631" s="6"/>
    </row>
    <row r="2632" ht="14.25">
      <c r="B2632" s="4" t="s">
        <v>12573</v>
      </c>
      <c r="C2632" s="4" t="s">
        <v>20016</v>
      </c>
      <c r="D2632" s="4" t="s">
        <v>20017</v>
      </c>
      <c r="E2632" s="4" t="s">
        <v>20018</v>
      </c>
      <c r="F2632" s="4" t="str">
        <f>IFERROR(__XLUDF.DUMMYFUNCTION("PROPER(REGEXREPLACE(D348,""[^A-Za-z]+ "",""""))"),"Soon ")</f>
        <v xml:space="preserve">Soon </v>
      </c>
      <c r="G2632" s="4" t="s">
        <v>20019</v>
      </c>
      <c r="H2632" s="4">
        <v>22</v>
      </c>
      <c r="I2632" s="4" t="s">
        <v>9161</v>
      </c>
      <c r="J2632" s="4" t="str">
        <f>IFERROR(__XLUDF.DUMMYFUNCTION("VLOOKUP(H348,IMPORTRANGE(""https://docs.google.com/spreadsheets/d/1opm6ZNvGZ7KditA9TuJwrZ25eFLfTNIkrNnY6mhV5Eg"",""list!A1:C115""),3,TRUE)"),"le secteur du marketing")</f>
        <v xml:space="preserve">le secteur du marketing</v>
      </c>
      <c r="K2632" s="5" t="s">
        <v>20020</v>
      </c>
      <c r="L2632" s="5" t="s">
        <v>20021</v>
      </c>
      <c r="M2632" s="4" t="s">
        <v>15348</v>
      </c>
      <c r="N2632" s="4" t="s">
        <v>29</v>
      </c>
      <c r="O2632" s="4" t="s">
        <v>20022</v>
      </c>
      <c r="P2632" s="4" t="s">
        <v>29</v>
      </c>
      <c r="Q2632" s="6"/>
      <c r="R2632" s="6"/>
      <c r="S2632" s="6"/>
      <c r="T2632" s="6"/>
      <c r="U2632" s="6"/>
      <c r="V2632" s="6"/>
      <c r="W2632" s="6"/>
      <c r="X2632" s="6"/>
      <c r="Y2632" s="6"/>
      <c r="Z2632" s="6"/>
      <c r="AA2632" s="6"/>
    </row>
    <row r="2633" ht="14.25">
      <c r="B2633" s="4" t="s">
        <v>20023</v>
      </c>
      <c r="C2633" s="4" t="s">
        <v>20024</v>
      </c>
      <c r="D2633" s="4" t="s">
        <v>20025</v>
      </c>
      <c r="E2633" s="4" t="s">
        <v>20026</v>
      </c>
      <c r="F2633" s="4" t="str">
        <f>IFERROR(__XLUDF.DUMMYFUNCTION("PROPER(REGEXREPLACE(D349,""[^A-Za-z]+ "",""""))"),"Vr Conseil")</f>
        <v xml:space="preserve">Vr Conseil</v>
      </c>
      <c r="G2633" s="4" t="s">
        <v>20027</v>
      </c>
      <c r="H2633" s="4">
        <v>28</v>
      </c>
      <c r="I2633" s="4" t="s">
        <v>2602</v>
      </c>
      <c r="J2633" s="4" t="str">
        <f>IFERROR(__XLUDF.DUMMYFUNCTION("VLOOKUP(H349,IMPORTRANGE(""https://docs.google.com/spreadsheets/d/1opm6ZNvGZ7KditA9TuJwrZ25eFLfTNIkrNnY6mhV5Eg"",""list!A1:C115""),3,TRUE)"),"le secteur de la tech")</f>
        <v xml:space="preserve">le secteur de la tech</v>
      </c>
      <c r="K2633" s="5" t="s">
        <v>20028</v>
      </c>
      <c r="L2633" s="5" t="s">
        <v>20029</v>
      </c>
      <c r="M2633" s="4" t="s">
        <v>39</v>
      </c>
      <c r="N2633" s="4" t="s">
        <v>29</v>
      </c>
      <c r="O2633" s="4" t="s">
        <v>20030</v>
      </c>
      <c r="P2633" s="4" t="s">
        <v>29</v>
      </c>
      <c r="Q2633" s="4" t="s">
        <v>20031</v>
      </c>
      <c r="R2633" s="6"/>
      <c r="S2633" s="6"/>
      <c r="T2633" s="6"/>
      <c r="U2633" s="6"/>
      <c r="V2633" s="6"/>
      <c r="W2633" s="6"/>
      <c r="X2633" s="6"/>
      <c r="Y2633" s="6"/>
      <c r="Z2633" s="6"/>
      <c r="AA2633" s="6"/>
    </row>
    <row r="2634" ht="14.25">
      <c r="B2634" s="4" t="s">
        <v>1387</v>
      </c>
      <c r="C2634" s="4" t="s">
        <v>20032</v>
      </c>
      <c r="D2634" s="4" t="s">
        <v>20033</v>
      </c>
      <c r="E2634" s="4" t="s">
        <v>20034</v>
      </c>
      <c r="F2634" s="4" t="str">
        <f>IFERROR(__XLUDF.DUMMYFUNCTION("PROPER(REGEXREPLACE(D350,""[^A-Za-z]+ "",""""))"),"Metalyde")</f>
        <v>Metalyde</v>
      </c>
      <c r="G2634" s="4" t="s">
        <v>20035</v>
      </c>
      <c r="H2634" s="4">
        <v>11</v>
      </c>
      <c r="I2634" s="4" t="s">
        <v>4067</v>
      </c>
      <c r="J2634" s="4"/>
      <c r="K2634" s="5" t="s">
        <v>20036</v>
      </c>
      <c r="L2634" s="5" t="s">
        <v>20037</v>
      </c>
      <c r="M2634" s="6"/>
      <c r="N2634" s="4" t="s">
        <v>29</v>
      </c>
      <c r="O2634" s="4" t="s">
        <v>20038</v>
      </c>
      <c r="P2634" s="4" t="s">
        <v>29</v>
      </c>
      <c r="Q2634" s="4" t="s">
        <v>20039</v>
      </c>
      <c r="R2634" s="6"/>
      <c r="S2634" s="6"/>
      <c r="T2634" s="6"/>
      <c r="U2634" s="6"/>
      <c r="V2634" s="6"/>
      <c r="W2634" s="6"/>
      <c r="X2634" s="6"/>
      <c r="Y2634" s="6"/>
      <c r="Z2634" s="6"/>
      <c r="AA2634" s="6"/>
    </row>
    <row r="2635" ht="14.25">
      <c r="B2635" s="4" t="s">
        <v>16921</v>
      </c>
      <c r="C2635" s="4" t="s">
        <v>20040</v>
      </c>
      <c r="D2635" s="4" t="s">
        <v>230</v>
      </c>
      <c r="E2635" s="4" t="s">
        <v>20040</v>
      </c>
      <c r="F2635" s="4" t="str">
        <f>IFERROR(__XLUDF.DUMMYFUNCTION("PROPER(REGEXREPLACE(D351,""[^A-Za-z]+ "",""""))"),"Coudac")</f>
        <v>Coudac</v>
      </c>
      <c r="G2635" s="4" t="s">
        <v>20041</v>
      </c>
      <c r="H2635" s="4">
        <v>42</v>
      </c>
      <c r="I2635" s="4" t="s">
        <v>9161</v>
      </c>
      <c r="J2635" s="4" t="str">
        <f>IFERROR(__XLUDF.DUMMYFUNCTION("VLOOKUP(H351,IMPORTRANGE(""https://docs.google.com/spreadsheets/d/1opm6ZNvGZ7KditA9TuJwrZ25eFLfTNIkrNnY6mhV5Eg"",""list!A1:C115""),3,TRUE)"),"le secteur du marketing")</f>
        <v xml:space="preserve">le secteur du marketing</v>
      </c>
      <c r="K2635" s="5" t="s">
        <v>20042</v>
      </c>
      <c r="L2635" s="5" t="s">
        <v>20043</v>
      </c>
      <c r="M2635" s="4" t="s">
        <v>6603</v>
      </c>
      <c r="N2635" s="4" t="s">
        <v>29</v>
      </c>
      <c r="O2635" s="4" t="s">
        <v>20044</v>
      </c>
      <c r="P2635" s="4" t="s">
        <v>29</v>
      </c>
      <c r="Q2635" s="4" t="s">
        <v>20045</v>
      </c>
      <c r="R2635" s="6"/>
      <c r="S2635" s="6"/>
      <c r="T2635" s="6"/>
      <c r="U2635" s="6"/>
      <c r="V2635" s="6"/>
      <c r="W2635" s="6"/>
      <c r="X2635" s="6"/>
      <c r="Y2635" s="6"/>
      <c r="Z2635" s="6"/>
      <c r="AA2635" s="6"/>
    </row>
    <row r="2636" ht="14.25">
      <c r="B2636" s="4" t="s">
        <v>3850</v>
      </c>
      <c r="C2636" s="4" t="s">
        <v>5265</v>
      </c>
      <c r="D2636" s="4" t="s">
        <v>3982</v>
      </c>
      <c r="E2636" s="4" t="s">
        <v>20046</v>
      </c>
      <c r="F2636" s="4" t="str">
        <f>IFERROR(__XLUDF.DUMMYFUNCTION("PROPER(REGEXREPLACE(D352,""[^A-Za-z]+ "",""""))"),"Interconsult")</f>
        <v>Interconsult</v>
      </c>
      <c r="G2636" s="4" t="s">
        <v>20047</v>
      </c>
      <c r="H2636" s="4">
        <v>17</v>
      </c>
      <c r="I2636" s="4" t="s">
        <v>2602</v>
      </c>
      <c r="J2636" s="4"/>
      <c r="K2636" s="5" t="s">
        <v>20048</v>
      </c>
      <c r="L2636" s="5" t="s">
        <v>20049</v>
      </c>
      <c r="M2636" s="6"/>
      <c r="N2636" s="4" t="s">
        <v>29</v>
      </c>
      <c r="O2636" s="4" t="s">
        <v>20050</v>
      </c>
      <c r="P2636" s="4" t="s">
        <v>29</v>
      </c>
      <c r="Q2636" s="4" t="s">
        <v>20051</v>
      </c>
      <c r="R2636" s="6"/>
      <c r="S2636" s="6"/>
      <c r="T2636" s="6"/>
      <c r="U2636" s="6"/>
      <c r="V2636" s="6"/>
      <c r="W2636" s="6"/>
      <c r="X2636" s="6"/>
      <c r="Y2636" s="6"/>
      <c r="Z2636" s="6"/>
      <c r="AA2636" s="6"/>
    </row>
    <row r="2637" ht="14.25">
      <c r="B2637" s="4" t="s">
        <v>20052</v>
      </c>
      <c r="C2637" s="4" t="s">
        <v>3319</v>
      </c>
      <c r="D2637" s="4" t="s">
        <v>20053</v>
      </c>
      <c r="E2637" s="4" t="s">
        <v>20054</v>
      </c>
      <c r="F2637" s="4" t="str">
        <f>IFERROR(__XLUDF.DUMMYFUNCTION("PROPER(REGEXREPLACE(D353,""[^A-Za-z]+ "",""""))"),"Evol")</f>
        <v>Evol</v>
      </c>
      <c r="G2637" s="4" t="s">
        <v>20055</v>
      </c>
      <c r="H2637" s="4">
        <v>47</v>
      </c>
      <c r="I2637" s="4" t="s">
        <v>18721</v>
      </c>
      <c r="J2637" s="4" t="str">
        <f>IFERROR(__XLUDF.DUMMYFUNCTION("VLOOKUP(H353,IMPORTRANGE(""https://docs.google.com/spreadsheets/d/1opm6ZNvGZ7KditA9TuJwrZ25eFLfTNIkrNnY6mhV5Eg"",""list!A1:C115""),3,TRUE)"),"le secteur des énergies renouvelables")</f>
        <v xml:space="preserve">le secteur des énergies renouvelables</v>
      </c>
      <c r="K2637" s="5" t="s">
        <v>20056</v>
      </c>
      <c r="L2637" s="5" t="s">
        <v>20057</v>
      </c>
      <c r="M2637" s="4" t="s">
        <v>185</v>
      </c>
      <c r="N2637" s="4" t="s">
        <v>29</v>
      </c>
      <c r="O2637" s="4" t="s">
        <v>20058</v>
      </c>
      <c r="P2637" s="4" t="s">
        <v>20059</v>
      </c>
      <c r="Q2637" s="6"/>
      <c r="R2637" s="6"/>
      <c r="S2637" s="6"/>
      <c r="T2637" s="6"/>
      <c r="U2637" s="6"/>
      <c r="V2637" s="6"/>
      <c r="W2637" s="6"/>
      <c r="X2637" s="6"/>
      <c r="Y2637" s="6"/>
      <c r="Z2637" s="6"/>
      <c r="AA2637" s="6"/>
    </row>
    <row r="2638" ht="14.25">
      <c r="B2638" s="4" t="s">
        <v>1387</v>
      </c>
      <c r="C2638" s="4" t="s">
        <v>20060</v>
      </c>
      <c r="D2638" s="4" t="s">
        <v>1240</v>
      </c>
      <c r="E2638" s="4" t="s">
        <v>12803</v>
      </c>
      <c r="F2638" s="4" t="str">
        <f>IFERROR(__XLUDF.DUMMYFUNCTION("PROPER(REGEXREPLACE(D354,""[^A-Za-z]+ "",""""))"),"Getwelcom")</f>
        <v>Getwelcom</v>
      </c>
      <c r="G2638" s="4" t="s">
        <v>20061</v>
      </c>
      <c r="H2638" s="4">
        <v>11</v>
      </c>
      <c r="I2638" s="4" t="s">
        <v>2602</v>
      </c>
      <c r="J2638" s="4" t="str">
        <f>IFERROR(__XLUDF.DUMMYFUNCTION("VLOOKUP(H354,IMPORTRANGE(""https://docs.google.com/spreadsheets/d/1opm6ZNvGZ7KditA9TuJwrZ25eFLfTNIkrNnY6mhV5Eg"",""list!A1:C115""),3,TRUE)"),"le secteur de la tech")</f>
        <v xml:space="preserve">le secteur de la tech</v>
      </c>
      <c r="K2638" s="5" t="s">
        <v>20062</v>
      </c>
      <c r="L2638" s="5" t="s">
        <v>20063</v>
      </c>
      <c r="M2638" s="4" t="s">
        <v>39</v>
      </c>
      <c r="N2638" s="4" t="s">
        <v>29</v>
      </c>
      <c r="O2638" s="4" t="s">
        <v>67</v>
      </c>
      <c r="P2638" s="4" t="s">
        <v>29</v>
      </c>
      <c r="Q2638" s="4" t="s">
        <v>12807</v>
      </c>
      <c r="R2638" s="6"/>
      <c r="S2638" s="6"/>
      <c r="T2638" s="6"/>
      <c r="U2638" s="6"/>
      <c r="V2638" s="6"/>
      <c r="W2638" s="6"/>
      <c r="X2638" s="6"/>
      <c r="Y2638" s="6"/>
      <c r="Z2638" s="6"/>
      <c r="AA2638" s="6"/>
    </row>
    <row r="2639" ht="14.25">
      <c r="B2639" s="4" t="s">
        <v>3909</v>
      </c>
      <c r="C2639" s="4" t="s">
        <v>11573</v>
      </c>
      <c r="D2639" s="4" t="s">
        <v>62</v>
      </c>
      <c r="E2639" s="4" t="s">
        <v>12612</v>
      </c>
      <c r="F2639" s="4" t="str">
        <f>IFERROR(__XLUDF.DUMMYFUNCTION("PROPER(REGEXREPLACE(D355,""[^A-Za-z]+ "",""""))"),"The Big Whale")</f>
        <v xml:space="preserve">The Big Whale</v>
      </c>
      <c r="G2639" s="4" t="s">
        <v>20064</v>
      </c>
      <c r="H2639" s="4">
        <v>34</v>
      </c>
      <c r="I2639" s="4" t="s">
        <v>9184</v>
      </c>
      <c r="J2639" s="4" t="str">
        <f>IFERROR(__XLUDF.DUMMYFUNCTION("VLOOKUP(H355,IMPORTRANGE(""https://docs.google.com/spreadsheets/d/1opm6ZNvGZ7KditA9TuJwrZ25eFLfTNIkrNnY6mhV5Eg"",""list!A1:C115""),3,TRUE)"),"le secteur des télécommunications")</f>
        <v xml:space="preserve">le secteur des télécommunications</v>
      </c>
      <c r="K2639" s="5" t="s">
        <v>20065</v>
      </c>
      <c r="L2639" s="5" t="s">
        <v>20066</v>
      </c>
      <c r="M2639" s="4" t="s">
        <v>39</v>
      </c>
      <c r="N2639" s="4" t="s">
        <v>29</v>
      </c>
      <c r="O2639" s="4" t="s">
        <v>67</v>
      </c>
      <c r="P2639" s="4" t="s">
        <v>29</v>
      </c>
      <c r="Q2639" s="4" t="s">
        <v>12615</v>
      </c>
      <c r="R2639" s="6"/>
      <c r="S2639" s="6"/>
      <c r="T2639" s="6"/>
      <c r="U2639" s="6"/>
      <c r="V2639" s="6"/>
      <c r="W2639" s="6"/>
      <c r="X2639" s="6"/>
      <c r="Y2639" s="6"/>
      <c r="Z2639" s="6"/>
      <c r="AA2639" s="6"/>
    </row>
    <row r="2640" ht="14.25">
      <c r="B2640" s="4" t="s">
        <v>20</v>
      </c>
      <c r="C2640" s="4" t="s">
        <v>20067</v>
      </c>
      <c r="D2640" s="4" t="s">
        <v>44</v>
      </c>
      <c r="E2640" s="4" t="s">
        <v>20068</v>
      </c>
      <c r="F2640" s="4" t="str">
        <f>IFERROR(__XLUDF.DUMMYFUNCTION("PROPER(REGEXREPLACE(D356,""[^A-Za-z]+ "",""""))"),"The Room")</f>
        <v xml:space="preserve">The Room</v>
      </c>
      <c r="G2640" s="4" t="s">
        <v>20069</v>
      </c>
      <c r="H2640" s="4">
        <v>38</v>
      </c>
      <c r="I2640" s="4" t="s">
        <v>9161</v>
      </c>
      <c r="J2640" s="4" t="str">
        <f>IFERROR(__XLUDF.DUMMYFUNCTION("VLOOKUP(H356,IMPORTRANGE(""https://docs.google.com/spreadsheets/d/1opm6ZNvGZ7KditA9TuJwrZ25eFLfTNIkrNnY6mhV5Eg"",""list!A1:C115""),3,TRUE)"),"le secteur du marketing")</f>
        <v xml:space="preserve">le secteur du marketing</v>
      </c>
      <c r="K2640" s="5" t="s">
        <v>20070</v>
      </c>
      <c r="L2640" s="5" t="s">
        <v>20071</v>
      </c>
      <c r="M2640" s="4" t="s">
        <v>1711</v>
      </c>
      <c r="N2640" s="4" t="s">
        <v>29</v>
      </c>
      <c r="O2640" s="4" t="s">
        <v>17766</v>
      </c>
      <c r="P2640" s="4" t="s">
        <v>1261</v>
      </c>
      <c r="Q2640" s="6"/>
      <c r="R2640" s="6"/>
      <c r="S2640" s="6"/>
      <c r="T2640" s="6"/>
      <c r="U2640" s="6"/>
      <c r="V2640" s="6"/>
      <c r="W2640" s="6"/>
      <c r="X2640" s="6"/>
      <c r="Y2640" s="6"/>
      <c r="Z2640" s="6"/>
      <c r="AA2640" s="6"/>
    </row>
    <row r="2641" ht="14.25">
      <c r="B2641" s="4" t="s">
        <v>20072</v>
      </c>
      <c r="C2641" s="4" t="s">
        <v>20073</v>
      </c>
      <c r="D2641" s="4" t="s">
        <v>20074</v>
      </c>
      <c r="E2641" s="4" t="s">
        <v>20075</v>
      </c>
      <c r="F2641" s="4" t="str">
        <f>IFERROR(__XLUDF.DUMMYFUNCTION("PROPER(REGEXREPLACE(D357,""[^A-Za-z]+ "",""""))"),"Compozit")</f>
        <v>Compozit</v>
      </c>
      <c r="G2641" s="4" t="s">
        <v>20076</v>
      </c>
      <c r="H2641" s="4">
        <v>15</v>
      </c>
      <c r="I2641" s="4" t="s">
        <v>2602</v>
      </c>
      <c r="J2641" s="4"/>
      <c r="K2641" s="5" t="s">
        <v>20077</v>
      </c>
      <c r="L2641" s="5" t="s">
        <v>20078</v>
      </c>
      <c r="M2641" s="4" t="s">
        <v>185</v>
      </c>
      <c r="N2641" s="4" t="s">
        <v>29</v>
      </c>
      <c r="O2641" s="4" t="s">
        <v>20079</v>
      </c>
      <c r="P2641" s="4" t="s">
        <v>29</v>
      </c>
      <c r="Q2641" s="6"/>
      <c r="R2641" s="6"/>
      <c r="S2641" s="6"/>
      <c r="T2641" s="6"/>
      <c r="U2641" s="6"/>
      <c r="V2641" s="6"/>
      <c r="W2641" s="6"/>
      <c r="X2641" s="6"/>
      <c r="Y2641" s="6"/>
      <c r="Z2641" s="6"/>
      <c r="AA2641" s="6"/>
    </row>
    <row r="2642" ht="14.25">
      <c r="B2642" s="4" t="s">
        <v>20080</v>
      </c>
      <c r="C2642" s="4" t="s">
        <v>20081</v>
      </c>
      <c r="D2642" s="4" t="s">
        <v>20082</v>
      </c>
      <c r="E2642" s="4" t="s">
        <v>20083</v>
      </c>
      <c r="F2642" s="4" t="str">
        <f>IFERROR(__XLUDF.DUMMYFUNCTION("PROPER(REGEXREPLACE(D358,""[^A-Za-z]+ "",""""))"),"6Cure Sas")</f>
        <v xml:space="preserve">6Cure Sas</v>
      </c>
      <c r="G2642" s="4" t="s">
        <v>20084</v>
      </c>
      <c r="H2642" s="4">
        <v>16</v>
      </c>
      <c r="I2642" s="4" t="s">
        <v>9264</v>
      </c>
      <c r="J2642" s="4"/>
      <c r="K2642" s="5" t="s">
        <v>20085</v>
      </c>
      <c r="L2642" s="5" t="s">
        <v>20086</v>
      </c>
      <c r="M2642" s="4" t="s">
        <v>651</v>
      </c>
      <c r="N2642" s="4" t="s">
        <v>29</v>
      </c>
      <c r="O2642" s="4" t="s">
        <v>20087</v>
      </c>
      <c r="P2642" s="4" t="s">
        <v>29</v>
      </c>
      <c r="Q2642" s="4" t="s">
        <v>20088</v>
      </c>
      <c r="R2642" s="6"/>
      <c r="S2642" s="6"/>
      <c r="T2642" s="6"/>
      <c r="U2642" s="6"/>
      <c r="V2642" s="6"/>
      <c r="W2642" s="6"/>
      <c r="X2642" s="6"/>
      <c r="Y2642" s="6"/>
      <c r="Z2642" s="6"/>
      <c r="AA2642" s="6"/>
    </row>
    <row r="2643" ht="14.25">
      <c r="B2643" s="4" t="s">
        <v>76</v>
      </c>
      <c r="C2643" s="4" t="s">
        <v>20089</v>
      </c>
      <c r="D2643" s="4" t="s">
        <v>172</v>
      </c>
      <c r="E2643" s="4" t="s">
        <v>20090</v>
      </c>
      <c r="F2643" s="4" t="str">
        <f>IFERROR(__XLUDF.DUMMYFUNCTION("PROPER(REGEXREPLACE(D359,""[^A-Za-z]+ "",""""))"),"Creazur France")</f>
        <v xml:space="preserve">Creazur France</v>
      </c>
      <c r="G2643" s="4" t="s">
        <v>20091</v>
      </c>
      <c r="H2643" s="4">
        <v>21</v>
      </c>
      <c r="I2643" s="4" t="s">
        <v>4525</v>
      </c>
      <c r="J2643" s="4" t="str">
        <f>IFERROR(__XLUDF.DUMMYFUNCTION("VLOOKUP(H359,IMPORTRANGE(""https://docs.google.com/spreadsheets/d/1opm6ZNvGZ7KditA9TuJwrZ25eFLfTNIkrNnY6mhV5Eg"",""list!A1:C115""),3,TRUE)"),"le secteur du retail")</f>
        <v xml:space="preserve">le secteur du retail</v>
      </c>
      <c r="K2643" s="5" t="s">
        <v>20092</v>
      </c>
      <c r="L2643" s="5" t="s">
        <v>20093</v>
      </c>
      <c r="M2643" s="4" t="s">
        <v>2186</v>
      </c>
      <c r="N2643" s="4" t="s">
        <v>29</v>
      </c>
      <c r="O2643" s="4" t="s">
        <v>20094</v>
      </c>
      <c r="P2643" s="4" t="s">
        <v>29</v>
      </c>
      <c r="Q2643" s="4" t="s">
        <v>20095</v>
      </c>
      <c r="R2643" s="6"/>
      <c r="S2643" s="6"/>
      <c r="T2643" s="6"/>
      <c r="U2643" s="6"/>
      <c r="V2643" s="6"/>
      <c r="W2643" s="6"/>
      <c r="X2643" s="6"/>
      <c r="Y2643" s="6"/>
      <c r="Z2643" s="6"/>
      <c r="AA2643" s="6"/>
    </row>
    <row r="2644" ht="14.25">
      <c r="B2644" s="4" t="s">
        <v>322</v>
      </c>
      <c r="C2644" s="4" t="s">
        <v>20096</v>
      </c>
      <c r="D2644" s="4" t="s">
        <v>20097</v>
      </c>
      <c r="E2644" s="4" t="s">
        <v>20098</v>
      </c>
      <c r="F2644" s="4" t="str">
        <f>IFERROR(__XLUDF.DUMMYFUNCTION("PROPER(REGEXREPLACE(D360,""[^A-Za-z]+ "",""""))"),"Otaree")</f>
        <v>Otaree</v>
      </c>
      <c r="G2644" s="4" t="s">
        <v>20099</v>
      </c>
      <c r="H2644" s="4">
        <v>36</v>
      </c>
      <c r="I2644" s="4" t="s">
        <v>2602</v>
      </c>
      <c r="J2644" s="4"/>
      <c r="K2644" s="5" t="s">
        <v>20100</v>
      </c>
      <c r="L2644" s="5" t="s">
        <v>20101</v>
      </c>
      <c r="M2644" s="4" t="s">
        <v>831</v>
      </c>
      <c r="N2644" s="4" t="s">
        <v>29</v>
      </c>
      <c r="O2644" s="4" t="s">
        <v>20102</v>
      </c>
      <c r="P2644" s="4" t="s">
        <v>29</v>
      </c>
      <c r="Q2644" s="4" t="s">
        <v>20103</v>
      </c>
      <c r="R2644" s="6"/>
      <c r="S2644" s="6"/>
      <c r="T2644" s="6"/>
      <c r="U2644" s="6"/>
      <c r="V2644" s="6"/>
      <c r="W2644" s="6"/>
      <c r="X2644" s="6"/>
      <c r="Y2644" s="6"/>
      <c r="Z2644" s="6"/>
      <c r="AA2644" s="6"/>
    </row>
    <row r="2645" ht="14.25">
      <c r="B2645" s="4" t="s">
        <v>6356</v>
      </c>
      <c r="C2645" s="4" t="s">
        <v>20104</v>
      </c>
      <c r="D2645" s="4" t="s">
        <v>87</v>
      </c>
      <c r="E2645" s="4" t="s">
        <v>20105</v>
      </c>
      <c r="F2645" s="4" t="str">
        <f>IFERROR(__XLUDF.DUMMYFUNCTION("PROPER(REGEXREPLACE(D361,""[^A-Za-z]+ "",""""))"),"Bipsoin")</f>
        <v>Bipsoin</v>
      </c>
      <c r="G2645" s="4" t="s">
        <v>20106</v>
      </c>
      <c r="H2645" s="4">
        <v>10</v>
      </c>
      <c r="I2645" s="4" t="s">
        <v>2602</v>
      </c>
      <c r="J2645" s="4"/>
      <c r="K2645" s="5" t="s">
        <v>20107</v>
      </c>
      <c r="L2645" s="5" t="s">
        <v>20108</v>
      </c>
      <c r="M2645" s="4" t="s">
        <v>482</v>
      </c>
      <c r="N2645" s="4" t="s">
        <v>29</v>
      </c>
      <c r="O2645" s="4" t="s">
        <v>20109</v>
      </c>
      <c r="P2645" s="4" t="s">
        <v>29</v>
      </c>
      <c r="Q2645" s="4" t="s">
        <v>20110</v>
      </c>
      <c r="R2645" s="6"/>
      <c r="S2645" s="6"/>
      <c r="T2645" s="6"/>
      <c r="U2645" s="6"/>
      <c r="V2645" s="6"/>
      <c r="W2645" s="6"/>
      <c r="X2645" s="6"/>
      <c r="Y2645" s="6"/>
      <c r="Z2645" s="6"/>
      <c r="AA2645" s="6"/>
    </row>
    <row r="2646" ht="14.25">
      <c r="B2646" s="4" t="s">
        <v>808</v>
      </c>
      <c r="C2646" s="4" t="s">
        <v>20111</v>
      </c>
      <c r="D2646" s="4" t="s">
        <v>20112</v>
      </c>
      <c r="E2646" s="4" t="s">
        <v>20113</v>
      </c>
      <c r="F2646" s="4" t="str">
        <f>IFERROR(__XLUDF.DUMMYFUNCTION("PROPER(REGEXREPLACE(D362,""[^A-Za-z]+ "",""""))"),"Gentleit")</f>
        <v>Gentleit</v>
      </c>
      <c r="G2646" s="4" t="s">
        <v>20114</v>
      </c>
      <c r="H2646" s="4">
        <v>12</v>
      </c>
      <c r="I2646" s="4" t="s">
        <v>2602</v>
      </c>
      <c r="J2646" s="4"/>
      <c r="K2646" s="5" t="s">
        <v>20115</v>
      </c>
      <c r="L2646" s="5" t="s">
        <v>20116</v>
      </c>
      <c r="M2646" s="4" t="s">
        <v>846</v>
      </c>
      <c r="N2646" s="4" t="s">
        <v>29</v>
      </c>
      <c r="O2646" s="4" t="s">
        <v>5865</v>
      </c>
      <c r="P2646" s="4" t="s">
        <v>29</v>
      </c>
      <c r="Q2646" s="4" t="s">
        <v>20117</v>
      </c>
      <c r="R2646" s="6"/>
      <c r="S2646" s="6"/>
      <c r="T2646" s="6"/>
      <c r="U2646" s="6"/>
      <c r="V2646" s="6"/>
      <c r="W2646" s="6"/>
      <c r="X2646" s="6"/>
      <c r="Y2646" s="6"/>
      <c r="Z2646" s="6"/>
      <c r="AA2646" s="6"/>
    </row>
    <row r="2647" ht="14.25">
      <c r="B2647" s="4" t="s">
        <v>20118</v>
      </c>
      <c r="C2647" s="4" t="s">
        <v>20119</v>
      </c>
      <c r="D2647" s="4" t="s">
        <v>164</v>
      </c>
      <c r="E2647" s="4" t="s">
        <v>20120</v>
      </c>
      <c r="F2647" s="4" t="str">
        <f>IFERROR(__XLUDF.DUMMYFUNCTION("PROPER(REGEXREPLACE(D363,""[^A-Za-z]+ "",""""))"),"Prime Trading")</f>
        <v xml:space="preserve">Prime Trading</v>
      </c>
      <c r="G2647" s="4" t="s">
        <v>20121</v>
      </c>
      <c r="H2647" s="4">
        <v>46</v>
      </c>
      <c r="I2647" s="4" t="s">
        <v>4525</v>
      </c>
      <c r="J2647" s="4"/>
      <c r="K2647" s="5" t="s">
        <v>20122</v>
      </c>
      <c r="L2647" s="5" t="s">
        <v>20123</v>
      </c>
      <c r="M2647" s="4" t="s">
        <v>83</v>
      </c>
      <c r="N2647" s="4" t="s">
        <v>29</v>
      </c>
      <c r="O2647" s="4" t="s">
        <v>20124</v>
      </c>
      <c r="P2647" s="4" t="s">
        <v>6136</v>
      </c>
      <c r="Q2647" s="6"/>
      <c r="R2647" s="6"/>
      <c r="S2647" s="6"/>
      <c r="T2647" s="6"/>
      <c r="U2647" s="6"/>
      <c r="V2647" s="6"/>
      <c r="W2647" s="6"/>
      <c r="X2647" s="6"/>
      <c r="Y2647" s="6"/>
      <c r="Z2647" s="6"/>
      <c r="AA2647" s="6"/>
    </row>
    <row r="2648" ht="14.25">
      <c r="B2648" s="4" t="s">
        <v>7198</v>
      </c>
      <c r="C2648" s="4" t="s">
        <v>20125</v>
      </c>
      <c r="D2648" s="4" t="s">
        <v>172</v>
      </c>
      <c r="E2648" s="4" t="s">
        <v>18455</v>
      </c>
      <c r="F2648" s="4" t="str">
        <f>IFERROR(__XLUDF.DUMMYFUNCTION("PROPER(REGEXREPLACE(D364,""[^A-Za-z]+ "",""""))"),"Global Concept")</f>
        <v xml:space="preserve">Global Concept</v>
      </c>
      <c r="G2648" s="4" t="s">
        <v>20126</v>
      </c>
      <c r="H2648" s="4">
        <v>46</v>
      </c>
      <c r="I2648" s="4" t="s">
        <v>9161</v>
      </c>
      <c r="J2648" s="4" t="str">
        <f>IFERROR(__XLUDF.DUMMYFUNCTION("VLOOKUP(H364,IMPORTRANGE(""https://docs.google.com/spreadsheets/d/1opm6ZNvGZ7KditA9TuJwrZ25eFLfTNIkrNnY6mhV5Eg"",""list!A1:C115""),3,TRUE)"),"le secteur du marketing")</f>
        <v xml:space="preserve">le secteur du marketing</v>
      </c>
      <c r="K2648" s="5" t="s">
        <v>20127</v>
      </c>
      <c r="L2648" s="5" t="s">
        <v>18458</v>
      </c>
      <c r="M2648" s="4" t="s">
        <v>492</v>
      </c>
      <c r="N2648" s="4" t="s">
        <v>29</v>
      </c>
      <c r="O2648" s="4" t="s">
        <v>18459</v>
      </c>
      <c r="P2648" s="4" t="s">
        <v>29</v>
      </c>
      <c r="Q2648" s="4" t="s">
        <v>18460</v>
      </c>
      <c r="R2648" s="6"/>
      <c r="S2648" s="6"/>
      <c r="T2648" s="6"/>
      <c r="U2648" s="6"/>
      <c r="V2648" s="6"/>
      <c r="W2648" s="6"/>
      <c r="X2648" s="6"/>
      <c r="Y2648" s="6"/>
      <c r="Z2648" s="6"/>
      <c r="AA2648" s="6"/>
    </row>
    <row r="2649" ht="14.25">
      <c r="B2649" s="4" t="s">
        <v>20128</v>
      </c>
      <c r="C2649" s="4" t="s">
        <v>20129</v>
      </c>
      <c r="D2649" s="4" t="s">
        <v>19017</v>
      </c>
      <c r="E2649" s="4" t="s">
        <v>20130</v>
      </c>
      <c r="F2649" s="4" t="str">
        <f>IFERROR(__XLUDF.DUMMYFUNCTION("PROPER(REGEXREPLACE(D365,""[^A-Za-z]+ "",""""))"),"Ichtus It")</f>
        <v xml:space="preserve">Ichtus It</v>
      </c>
      <c r="G2649" s="4" t="s">
        <v>20131</v>
      </c>
      <c r="H2649" s="4">
        <v>17</v>
      </c>
      <c r="I2649" s="4" t="s">
        <v>2602</v>
      </c>
      <c r="J2649" s="4"/>
      <c r="K2649" s="5" t="s">
        <v>20132</v>
      </c>
      <c r="L2649" s="5" t="s">
        <v>20133</v>
      </c>
      <c r="M2649" s="4" t="s">
        <v>846</v>
      </c>
      <c r="N2649" s="4" t="s">
        <v>29</v>
      </c>
      <c r="O2649" s="4" t="s">
        <v>5865</v>
      </c>
      <c r="P2649" s="4" t="s">
        <v>29</v>
      </c>
      <c r="Q2649" s="6"/>
      <c r="R2649" s="6"/>
      <c r="S2649" s="6"/>
      <c r="T2649" s="6"/>
      <c r="U2649" s="6"/>
      <c r="V2649" s="6"/>
      <c r="W2649" s="6"/>
      <c r="X2649" s="6"/>
      <c r="Y2649" s="6"/>
      <c r="Z2649" s="6"/>
      <c r="AA2649" s="6"/>
    </row>
    <row r="2650" ht="14.25">
      <c r="B2650" s="4" t="s">
        <v>7323</v>
      </c>
      <c r="C2650" s="4" t="s">
        <v>20134</v>
      </c>
      <c r="D2650" s="4" t="s">
        <v>71</v>
      </c>
      <c r="E2650" s="4" t="s">
        <v>20135</v>
      </c>
      <c r="F2650" s="4" t="str">
        <f>IFERROR(__XLUDF.DUMMYFUNCTION("PROPER(REGEXREPLACE(D366,""[^A-Za-z]+ "",""""))"),"Modulo Pi")</f>
        <v xml:space="preserve">Modulo Pi</v>
      </c>
      <c r="G2650" s="4" t="s">
        <v>20136</v>
      </c>
      <c r="H2650" s="4">
        <v>13</v>
      </c>
      <c r="I2650" s="4" t="s">
        <v>10215</v>
      </c>
      <c r="J2650" s="4" t="str">
        <f>IFERROR(__XLUDF.DUMMYFUNCTION("VLOOKUP(H366,IMPORTRANGE(""https://docs.google.com/spreadsheets/d/1opm6ZNvGZ7KditA9TuJwrZ25eFLfTNIkrNnY6mhV5Eg"",""list!A1:C115""),3,TRUE)"),"le secteur de l'électrique et électronique")</f>
        <v xml:space="preserve">le secteur de l'électrique et électronique</v>
      </c>
      <c r="K2650" s="5" t="s">
        <v>20137</v>
      </c>
      <c r="L2650" s="5" t="s">
        <v>20138</v>
      </c>
      <c r="M2650" s="4" t="s">
        <v>4009</v>
      </c>
      <c r="N2650" s="4" t="s">
        <v>29</v>
      </c>
      <c r="O2650" s="4" t="s">
        <v>20139</v>
      </c>
      <c r="P2650" s="4" t="s">
        <v>29</v>
      </c>
      <c r="Q2650" s="4" t="s">
        <v>20140</v>
      </c>
      <c r="R2650" s="6"/>
      <c r="S2650" s="6"/>
      <c r="T2650" s="6"/>
      <c r="U2650" s="6"/>
      <c r="V2650" s="6"/>
      <c r="W2650" s="6"/>
      <c r="X2650" s="6"/>
      <c r="Y2650" s="6"/>
      <c r="Z2650" s="6"/>
      <c r="AA2650" s="6"/>
    </row>
    <row r="2651" ht="14.25">
      <c r="B2651" s="4" t="s">
        <v>20</v>
      </c>
      <c r="C2651" s="4" t="s">
        <v>20141</v>
      </c>
      <c r="D2651" s="4" t="s">
        <v>172</v>
      </c>
      <c r="E2651" s="4" t="s">
        <v>20142</v>
      </c>
      <c r="F2651" s="4" t="str">
        <f>IFERROR(__XLUDF.DUMMYFUNCTION("PROPER(REGEXREPLACE(D367,""[^A-Za-z]+ "",""""))"),"Profileo")</f>
        <v>Profileo</v>
      </c>
      <c r="G2651" s="4" t="s">
        <v>20143</v>
      </c>
      <c r="H2651" s="4">
        <v>20</v>
      </c>
      <c r="I2651" s="4" t="s">
        <v>2602</v>
      </c>
      <c r="J2651" s="4" t="str">
        <f>IFERROR(__XLUDF.DUMMYFUNCTION("VLOOKUP(H367,IMPORTRANGE(""https://docs.google.com/spreadsheets/d/1opm6ZNvGZ7KditA9TuJwrZ25eFLfTNIkrNnY6mhV5Eg"",""list!A1:C115""),3,TRUE)"),"le secteur de la tech")</f>
        <v xml:space="preserve">le secteur de la tech</v>
      </c>
      <c r="K2651" s="5" t="s">
        <v>20144</v>
      </c>
      <c r="L2651" s="5" t="s">
        <v>20145</v>
      </c>
      <c r="M2651" s="4" t="s">
        <v>6061</v>
      </c>
      <c r="N2651" s="4" t="s">
        <v>29</v>
      </c>
      <c r="O2651" s="4" t="s">
        <v>20146</v>
      </c>
      <c r="P2651" s="4" t="s">
        <v>29</v>
      </c>
      <c r="Q2651" s="6"/>
      <c r="R2651" s="6"/>
      <c r="S2651" s="6"/>
      <c r="T2651" s="6"/>
      <c r="U2651" s="6"/>
      <c r="V2651" s="6"/>
      <c r="W2651" s="6"/>
      <c r="X2651" s="6"/>
      <c r="Y2651" s="6"/>
      <c r="Z2651" s="6"/>
      <c r="AA2651" s="6"/>
    </row>
    <row r="2652" ht="14.25">
      <c r="B2652" s="4" t="s">
        <v>6931</v>
      </c>
      <c r="C2652" s="4" t="s">
        <v>279</v>
      </c>
      <c r="D2652" s="4" t="s">
        <v>8042</v>
      </c>
      <c r="E2652" s="4" t="s">
        <v>12425</v>
      </c>
      <c r="F2652" s="4" t="str">
        <f>IFERROR(__XLUDF.DUMMYFUNCTION("PROPER(REGEXREPLACE(D368,""[^A-Za-z]+ "",""""))"),"Arjuna")</f>
        <v>Arjuna</v>
      </c>
      <c r="G2652" s="4" t="s">
        <v>20147</v>
      </c>
      <c r="H2652" s="4">
        <v>36</v>
      </c>
      <c r="I2652" s="4" t="s">
        <v>4067</v>
      </c>
      <c r="J2652" s="4" t="str">
        <f>IFERROR(__XLUDF.DUMMYFUNCTION("VLOOKUP(H368,IMPORTRANGE(""https://docs.google.com/spreadsheets/d/1opm6ZNvGZ7KditA9TuJwrZ25eFLfTNIkrNnY6mhV5Eg"",""list!A1:C115""),3,TRUE)"),"le secteur du conseil en management")</f>
        <v xml:space="preserve">le secteur du conseil en management</v>
      </c>
      <c r="K2652" s="5" t="s">
        <v>20148</v>
      </c>
      <c r="L2652" s="5" t="s">
        <v>20149</v>
      </c>
      <c r="M2652" s="4" t="s">
        <v>10798</v>
      </c>
      <c r="N2652" s="4" t="s">
        <v>29</v>
      </c>
      <c r="O2652" s="4" t="s">
        <v>20150</v>
      </c>
      <c r="P2652" s="4" t="s">
        <v>29</v>
      </c>
      <c r="Q2652" s="6"/>
      <c r="R2652" s="6"/>
      <c r="S2652" s="6"/>
      <c r="T2652" s="6"/>
      <c r="U2652" s="6"/>
      <c r="V2652" s="6"/>
      <c r="W2652" s="6"/>
      <c r="X2652" s="6"/>
      <c r="Y2652" s="6"/>
      <c r="Z2652" s="6"/>
      <c r="AA2652" s="6"/>
    </row>
    <row r="2653" ht="14.25">
      <c r="B2653" s="4" t="s">
        <v>874</v>
      </c>
      <c r="C2653" s="4" t="s">
        <v>20151</v>
      </c>
      <c r="D2653" s="4" t="s">
        <v>20152</v>
      </c>
      <c r="E2653" s="4" t="s">
        <v>20153</v>
      </c>
      <c r="F2653" s="4" t="str">
        <f>IFERROR(__XLUDF.DUMMYFUNCTION("PROPER(REGEXREPLACE(D369,""[^A-Za-z]+ "",""""))"),"Covline")</f>
        <v>Covline</v>
      </c>
      <c r="G2653" s="4" t="s">
        <v>20154</v>
      </c>
      <c r="H2653" s="4">
        <v>12</v>
      </c>
      <c r="I2653" s="4" t="s">
        <v>2602</v>
      </c>
      <c r="J2653" s="4" t="str">
        <f>IFERROR(__XLUDF.DUMMYFUNCTION("VLOOKUP(H369,IMPORTRANGE(""https://docs.google.com/spreadsheets/d/1opm6ZNvGZ7KditA9TuJwrZ25eFLfTNIkrNnY6mhV5Eg"",""list!A1:C115""),3,TRUE)"),"le secteur de la tech")</f>
        <v xml:space="preserve">le secteur de la tech</v>
      </c>
      <c r="K2653" s="5" t="s">
        <v>20155</v>
      </c>
      <c r="L2653" s="5" t="s">
        <v>20156</v>
      </c>
      <c r="M2653" s="4" t="s">
        <v>20157</v>
      </c>
      <c r="N2653" s="4" t="s">
        <v>29</v>
      </c>
      <c r="O2653" s="4" t="s">
        <v>20158</v>
      </c>
      <c r="P2653" s="4" t="s">
        <v>29</v>
      </c>
      <c r="Q2653" s="6"/>
      <c r="R2653" s="6"/>
      <c r="S2653" s="6"/>
      <c r="T2653" s="6"/>
      <c r="U2653" s="6"/>
      <c r="V2653" s="6"/>
      <c r="W2653" s="6"/>
      <c r="X2653" s="6"/>
      <c r="Y2653" s="6"/>
      <c r="Z2653" s="6"/>
      <c r="AA2653" s="6"/>
    </row>
    <row r="2654" ht="14.25">
      <c r="B2654" s="4" t="s">
        <v>1153</v>
      </c>
      <c r="C2654" s="4" t="s">
        <v>8046</v>
      </c>
      <c r="D2654" s="4" t="s">
        <v>20159</v>
      </c>
      <c r="E2654" s="4" t="s">
        <v>20160</v>
      </c>
      <c r="F2654" s="4" t="str">
        <f>IFERROR(__XLUDF.DUMMYFUNCTION("PROPER(REGEXREPLACE(D370,""[^A-Za-z]+ "",""""))"),"Epicnpoc")</f>
        <v>Epicnpoc</v>
      </c>
      <c r="G2654" s="4" t="s">
        <v>20161</v>
      </c>
      <c r="H2654" s="4">
        <v>14</v>
      </c>
      <c r="I2654" s="4" t="s">
        <v>2602</v>
      </c>
      <c r="J2654" s="4"/>
      <c r="K2654" s="5" t="s">
        <v>20162</v>
      </c>
      <c r="L2654" s="5" t="s">
        <v>20163</v>
      </c>
      <c r="M2654" s="4" t="s">
        <v>716</v>
      </c>
      <c r="N2654" s="4" t="s">
        <v>29</v>
      </c>
      <c r="O2654" s="4" t="s">
        <v>20164</v>
      </c>
      <c r="P2654" s="4" t="s">
        <v>29</v>
      </c>
      <c r="Q2654" s="4" t="s">
        <v>20165</v>
      </c>
      <c r="R2654" s="6"/>
      <c r="S2654" s="6"/>
      <c r="T2654" s="6"/>
      <c r="U2654" s="6"/>
      <c r="V2654" s="6"/>
      <c r="W2654" s="6"/>
      <c r="X2654" s="6"/>
      <c r="Y2654" s="6"/>
      <c r="Z2654" s="6"/>
      <c r="AA2654" s="6"/>
    </row>
    <row r="2655" ht="14.25">
      <c r="B2655" s="4" t="s">
        <v>1215</v>
      </c>
      <c r="C2655" s="4" t="s">
        <v>18069</v>
      </c>
      <c r="D2655" s="4" t="s">
        <v>11466</v>
      </c>
      <c r="E2655" s="4" t="s">
        <v>20166</v>
      </c>
      <c r="F2655" s="4" t="str">
        <f>IFERROR(__XLUDF.DUMMYFUNCTION("PROPER(REGEXREPLACE(D371,""[^A-Za-z]+ "",""""))"),"B-Ready")</f>
        <v>B-Ready</v>
      </c>
      <c r="G2655" s="4" t="s">
        <v>20167</v>
      </c>
      <c r="H2655" s="4">
        <v>20</v>
      </c>
      <c r="I2655" s="4" t="s">
        <v>4067</v>
      </c>
      <c r="J2655" s="4"/>
      <c r="K2655" s="5" t="s">
        <v>20168</v>
      </c>
      <c r="L2655" s="5" t="s">
        <v>20169</v>
      </c>
      <c r="M2655" s="4" t="s">
        <v>5449</v>
      </c>
      <c r="N2655" s="4" t="s">
        <v>29</v>
      </c>
      <c r="O2655" s="4" t="s">
        <v>20170</v>
      </c>
      <c r="P2655" s="4" t="s">
        <v>29</v>
      </c>
      <c r="Q2655" s="4" t="s">
        <v>20171</v>
      </c>
      <c r="R2655" s="6"/>
      <c r="S2655" s="6"/>
      <c r="T2655" s="6"/>
      <c r="U2655" s="6"/>
      <c r="V2655" s="6"/>
      <c r="W2655" s="6"/>
      <c r="X2655" s="6"/>
      <c r="Y2655" s="6"/>
      <c r="Z2655" s="6"/>
      <c r="AA2655" s="6"/>
    </row>
    <row r="2656" ht="14.25">
      <c r="B2656" s="4" t="s">
        <v>222</v>
      </c>
      <c r="C2656" s="4" t="s">
        <v>20172</v>
      </c>
      <c r="D2656" s="4" t="s">
        <v>20173</v>
      </c>
      <c r="E2656" s="4" t="s">
        <v>20174</v>
      </c>
      <c r="F2656" s="4" t="str">
        <f>IFERROR(__XLUDF.DUMMYFUNCTION("PROPER(REGEXREPLACE(D372,""[^A-Za-z]+ "",""""))"),"Kurrant")</f>
        <v>Kurrant</v>
      </c>
      <c r="G2656" s="4" t="s">
        <v>20175</v>
      </c>
      <c r="H2656" s="4">
        <v>10</v>
      </c>
      <c r="I2656" s="4" t="s">
        <v>2602</v>
      </c>
      <c r="J2656" s="4" t="str">
        <f>IFERROR(__XLUDF.DUMMYFUNCTION("VLOOKUP(H372,IMPORTRANGE(""https://docs.google.com/spreadsheets/d/1opm6ZNvGZ7KditA9TuJwrZ25eFLfTNIkrNnY6mhV5Eg"",""list!A1:C115""),3,TRUE)"),"le secteur de la tech")</f>
        <v xml:space="preserve">le secteur de la tech</v>
      </c>
      <c r="K2656" s="5" t="s">
        <v>20176</v>
      </c>
      <c r="L2656" s="5" t="s">
        <v>20177</v>
      </c>
      <c r="M2656" s="4" t="s">
        <v>20178</v>
      </c>
      <c r="N2656" s="4" t="s">
        <v>29</v>
      </c>
      <c r="O2656" s="4" t="s">
        <v>20179</v>
      </c>
      <c r="P2656" s="4" t="s">
        <v>8427</v>
      </c>
      <c r="Q2656" s="4" t="s">
        <v>20180</v>
      </c>
      <c r="R2656" s="6"/>
      <c r="S2656" s="6"/>
      <c r="T2656" s="6"/>
      <c r="U2656" s="6"/>
      <c r="V2656" s="6"/>
      <c r="W2656" s="6"/>
      <c r="X2656" s="6"/>
      <c r="Y2656" s="6"/>
      <c r="Z2656" s="6"/>
      <c r="AA2656" s="6"/>
    </row>
    <row r="2657" ht="14.25">
      <c r="B2657" s="4" t="s">
        <v>1596</v>
      </c>
      <c r="C2657" s="4" t="s">
        <v>15353</v>
      </c>
      <c r="D2657" s="4" t="s">
        <v>20181</v>
      </c>
      <c r="E2657" s="4" t="s">
        <v>20182</v>
      </c>
      <c r="F2657" s="4" t="str">
        <f>IFERROR(__XLUDF.DUMMYFUNCTION("PROPER(REGEXREPLACE(D373,""[^A-Za-z]+ "",""""))"),"Pg Software Europe")</f>
        <v xml:space="preserve">Pg Software Europe</v>
      </c>
      <c r="G2657" s="4" t="s">
        <v>20183</v>
      </c>
      <c r="H2657" s="4">
        <v>12</v>
      </c>
      <c r="I2657" s="4" t="s">
        <v>2602</v>
      </c>
      <c r="J2657" s="4"/>
      <c r="K2657" s="5" t="s">
        <v>20184</v>
      </c>
      <c r="L2657" s="5" t="s">
        <v>20185</v>
      </c>
      <c r="M2657" s="4" t="s">
        <v>1711</v>
      </c>
      <c r="N2657" s="4" t="s">
        <v>29</v>
      </c>
      <c r="O2657" s="4" t="s">
        <v>20186</v>
      </c>
      <c r="P2657" s="4" t="s">
        <v>29</v>
      </c>
      <c r="Q2657" s="4" t="s">
        <v>20187</v>
      </c>
      <c r="R2657" s="6"/>
      <c r="S2657" s="6"/>
      <c r="T2657" s="6"/>
      <c r="U2657" s="6"/>
      <c r="V2657" s="6"/>
      <c r="W2657" s="6"/>
      <c r="X2657" s="6"/>
      <c r="Y2657" s="6"/>
      <c r="Z2657" s="6"/>
      <c r="AA2657" s="6"/>
    </row>
    <row r="2658" ht="14.25">
      <c r="B2658" s="4" t="s">
        <v>20188</v>
      </c>
      <c r="C2658" s="4" t="s">
        <v>20189</v>
      </c>
      <c r="D2658" s="4" t="s">
        <v>172</v>
      </c>
      <c r="E2658" s="4" t="s">
        <v>20190</v>
      </c>
      <c r="F2658" s="4" t="str">
        <f>IFERROR(__XLUDF.DUMMYFUNCTION("PROPER(REGEXREPLACE(D374,""[^A-Za-z]+ "",""""))"),"Values Associates")</f>
        <v xml:space="preserve">Values Associates</v>
      </c>
      <c r="G2658" s="4" t="s">
        <v>20191</v>
      </c>
      <c r="H2658" s="4">
        <v>21</v>
      </c>
      <c r="I2658" s="4" t="s">
        <v>2602</v>
      </c>
      <c r="J2658" s="4" t="str">
        <f>IFERROR(__XLUDF.DUMMYFUNCTION("VLOOKUP(H374,IMPORTRANGE(""https://docs.google.com/spreadsheets/d/1opm6ZNvGZ7KditA9TuJwrZ25eFLfTNIkrNnY6mhV5Eg"",""list!A1:C115""),3,TRUE)"),"le secteur de la tech")</f>
        <v xml:space="preserve">le secteur de la tech</v>
      </c>
      <c r="K2658" s="5" t="s">
        <v>20192</v>
      </c>
      <c r="L2658" s="5" t="s">
        <v>20193</v>
      </c>
      <c r="M2658" s="4" t="s">
        <v>39</v>
      </c>
      <c r="N2658" s="4" t="s">
        <v>29</v>
      </c>
      <c r="O2658" s="4" t="s">
        <v>4361</v>
      </c>
      <c r="P2658" s="4" t="s">
        <v>29</v>
      </c>
      <c r="Q2658" s="4" t="s">
        <v>20194</v>
      </c>
      <c r="R2658" s="6"/>
      <c r="S2658" s="6"/>
      <c r="T2658" s="6"/>
      <c r="U2658" s="6"/>
      <c r="V2658" s="6"/>
      <c r="W2658" s="6"/>
      <c r="X2658" s="6"/>
      <c r="Y2658" s="6"/>
      <c r="Z2658" s="6"/>
      <c r="AA2658" s="6"/>
    </row>
    <row r="2659" ht="14.25">
      <c r="B2659" s="4" t="s">
        <v>1070</v>
      </c>
      <c r="C2659" s="4" t="s">
        <v>20195</v>
      </c>
      <c r="D2659" s="4" t="s">
        <v>87</v>
      </c>
      <c r="E2659" s="4" t="s">
        <v>20196</v>
      </c>
      <c r="F2659" s="4" t="str">
        <f>IFERROR(__XLUDF.DUMMYFUNCTION("PROPER(REGEXREPLACE(D375,""[^A-Za-z]+ "",""""))"),"Futurnet")</f>
        <v>Futurnet</v>
      </c>
      <c r="G2659" s="4" t="s">
        <v>20197</v>
      </c>
      <c r="H2659" s="4">
        <v>0</v>
      </c>
      <c r="I2659" s="4" t="s">
        <v>2602</v>
      </c>
      <c r="J2659" s="4"/>
      <c r="K2659" s="5" t="s">
        <v>20198</v>
      </c>
      <c r="L2659" s="5" t="s">
        <v>20199</v>
      </c>
      <c r="M2659" s="4" t="s">
        <v>39</v>
      </c>
      <c r="N2659" s="4" t="s">
        <v>29</v>
      </c>
      <c r="O2659" s="4" t="s">
        <v>20200</v>
      </c>
      <c r="P2659" s="4" t="s">
        <v>29</v>
      </c>
      <c r="Q2659" s="6"/>
      <c r="R2659" s="6"/>
      <c r="S2659" s="6"/>
      <c r="T2659" s="6"/>
      <c r="U2659" s="6"/>
      <c r="V2659" s="6"/>
      <c r="W2659" s="6"/>
      <c r="X2659" s="6"/>
      <c r="Y2659" s="6"/>
      <c r="Z2659" s="6"/>
      <c r="AA2659" s="6"/>
    </row>
    <row r="2660" ht="14.25">
      <c r="B2660" s="4" t="s">
        <v>95</v>
      </c>
      <c r="C2660" s="4" t="s">
        <v>20201</v>
      </c>
      <c r="D2660" s="4" t="s">
        <v>87</v>
      </c>
      <c r="E2660" s="4" t="s">
        <v>20202</v>
      </c>
      <c r="F2660" s="4" t="str">
        <f>IFERROR(__XLUDF.DUMMYFUNCTION("PROPER(REGEXREPLACE(D376,""[^A-Za-z]+ "",""""))"),"Conviviance")</f>
        <v>Conviviance</v>
      </c>
      <c r="G2660" s="4" t="s">
        <v>20203</v>
      </c>
      <c r="H2660" s="4">
        <v>10</v>
      </c>
      <c r="I2660" s="4" t="s">
        <v>9184</v>
      </c>
      <c r="J2660" s="4" t="str">
        <f>IFERROR(__XLUDF.DUMMYFUNCTION("VLOOKUP(H376,IMPORTRANGE(""https://docs.google.com/spreadsheets/d/1opm6ZNvGZ7KditA9TuJwrZ25eFLfTNIkrNnY6mhV5Eg"",""list!A1:C115""),3,TRUE)"),"le secteur des télécommunications")</f>
        <v xml:space="preserve">le secteur des télécommunications</v>
      </c>
      <c r="K2660" s="5" t="s">
        <v>20204</v>
      </c>
      <c r="L2660" s="5" t="s">
        <v>20205</v>
      </c>
      <c r="M2660" s="4" t="s">
        <v>39</v>
      </c>
      <c r="N2660" s="4" t="s">
        <v>29</v>
      </c>
      <c r="O2660" s="4" t="s">
        <v>20206</v>
      </c>
      <c r="P2660" s="4" t="s">
        <v>29</v>
      </c>
      <c r="Q2660" s="4" t="s">
        <v>20207</v>
      </c>
      <c r="R2660" s="6"/>
      <c r="S2660" s="6"/>
      <c r="T2660" s="6"/>
      <c r="U2660" s="6"/>
      <c r="V2660" s="6"/>
      <c r="W2660" s="6"/>
      <c r="X2660" s="6"/>
      <c r="Y2660" s="6"/>
      <c r="Z2660" s="6"/>
      <c r="AA2660" s="6"/>
    </row>
    <row r="2661" ht="14.25">
      <c r="B2661" s="4" t="s">
        <v>8944</v>
      </c>
      <c r="C2661" s="4" t="s">
        <v>20208</v>
      </c>
      <c r="D2661" s="4" t="s">
        <v>62</v>
      </c>
      <c r="E2661" s="4" t="s">
        <v>20209</v>
      </c>
      <c r="F2661" s="4" t="str">
        <f>IFERROR(__XLUDF.DUMMYFUNCTION("PROPER(REGEXREPLACE(D377,""[^A-Za-z]+ "",""""))"),"Jarvi")</f>
        <v>Jarvi</v>
      </c>
      <c r="G2661" s="4" t="s">
        <v>20210</v>
      </c>
      <c r="H2661" s="4">
        <v>33</v>
      </c>
      <c r="I2661" s="4" t="s">
        <v>2602</v>
      </c>
      <c r="J2661" s="4" t="str">
        <f>IFERROR(__XLUDF.DUMMYFUNCTION("VLOOKUP(H377,IMPORTRANGE(""https://docs.google.com/spreadsheets/d/1opm6ZNvGZ7KditA9TuJwrZ25eFLfTNIkrNnY6mhV5Eg"",""list!A1:C115""),3,TRUE)"),"le secteur de la tech")</f>
        <v xml:space="preserve">le secteur de la tech</v>
      </c>
      <c r="K2661" s="5" t="s">
        <v>20211</v>
      </c>
      <c r="L2661" s="5" t="s">
        <v>20212</v>
      </c>
      <c r="M2661" s="4" t="s">
        <v>482</v>
      </c>
      <c r="N2661" s="4" t="s">
        <v>29</v>
      </c>
      <c r="O2661" s="4" t="s">
        <v>2286</v>
      </c>
      <c r="P2661" s="4" t="s">
        <v>29</v>
      </c>
      <c r="Q2661" s="4" t="s">
        <v>20213</v>
      </c>
      <c r="R2661" s="6"/>
      <c r="S2661" s="6"/>
      <c r="T2661" s="6"/>
      <c r="U2661" s="6"/>
      <c r="V2661" s="6"/>
      <c r="W2661" s="6"/>
      <c r="X2661" s="6"/>
      <c r="Y2661" s="6"/>
      <c r="Z2661" s="6"/>
      <c r="AA2661" s="6"/>
    </row>
    <row r="2662" ht="14.25">
      <c r="B2662" s="4" t="s">
        <v>4800</v>
      </c>
      <c r="C2662" s="4" t="s">
        <v>2013</v>
      </c>
      <c r="D2662" s="4" t="s">
        <v>20214</v>
      </c>
      <c r="E2662" s="4" t="s">
        <v>20215</v>
      </c>
      <c r="F2662" s="4" t="str">
        <f>IFERROR(__XLUDF.DUMMYFUNCTION("PROPER(REGEXREPLACE(D378,""[^A-Za-z]+ "",""""))"),"Recital")</f>
        <v>Recital</v>
      </c>
      <c r="G2662" s="4" t="s">
        <v>20216</v>
      </c>
      <c r="H2662" s="4">
        <v>34</v>
      </c>
      <c r="I2662" s="4" t="s">
        <v>2602</v>
      </c>
      <c r="J2662" s="4" t="str">
        <f>IFERROR(__XLUDF.DUMMYFUNCTION("VLOOKUP(H378,IMPORTRANGE(""https://docs.google.com/spreadsheets/d/1opm6ZNvGZ7KditA9TuJwrZ25eFLfTNIkrNnY6mhV5Eg"",""list!A1:C115""),3,TRUE)"),"le secteur de la tech")</f>
        <v xml:space="preserve">le secteur de la tech</v>
      </c>
      <c r="K2662" s="5" t="s">
        <v>20217</v>
      </c>
      <c r="L2662" s="5" t="s">
        <v>20218</v>
      </c>
      <c r="M2662" s="4" t="s">
        <v>39</v>
      </c>
      <c r="N2662" s="4" t="s">
        <v>29</v>
      </c>
      <c r="O2662" s="4" t="s">
        <v>20219</v>
      </c>
      <c r="P2662" s="4" t="s">
        <v>29</v>
      </c>
      <c r="Q2662" s="4" t="s">
        <v>20220</v>
      </c>
      <c r="R2662" s="6"/>
      <c r="S2662" s="6"/>
      <c r="T2662" s="6"/>
      <c r="U2662" s="6"/>
      <c r="V2662" s="6"/>
      <c r="W2662" s="6"/>
      <c r="X2662" s="6"/>
      <c r="Y2662" s="6"/>
      <c r="Z2662" s="6"/>
      <c r="AA2662" s="6"/>
    </row>
    <row r="2663" ht="14.25">
      <c r="B2663" s="4" t="s">
        <v>3271</v>
      </c>
      <c r="C2663" s="4" t="s">
        <v>20221</v>
      </c>
      <c r="D2663" s="4" t="s">
        <v>487</v>
      </c>
      <c r="E2663" s="4" t="s">
        <v>19370</v>
      </c>
      <c r="F2663" s="4" t="str">
        <f>IFERROR(__XLUDF.DUMMYFUNCTION("PROPER(REGEXREPLACE(D379,""[^A-Za-z]+ "",""""))"),"Numerize")</f>
        <v>Numerize</v>
      </c>
      <c r="G2663" s="4" t="s">
        <v>20222</v>
      </c>
      <c r="H2663" s="4">
        <v>18</v>
      </c>
      <c r="I2663" s="4" t="s">
        <v>2602</v>
      </c>
      <c r="J2663" s="4" t="str">
        <f>IFERROR(__XLUDF.DUMMYFUNCTION("VLOOKUP(H379,IMPORTRANGE(""https://docs.google.com/spreadsheets/d/1opm6ZNvGZ7KditA9TuJwrZ25eFLfTNIkrNnY6mhV5Eg"",""list!A1:C115""),3,TRUE)"),"le secteur de la tech")</f>
        <v xml:space="preserve">le secteur de la tech</v>
      </c>
      <c r="K2663" s="5" t="s">
        <v>20223</v>
      </c>
      <c r="L2663" s="5" t="s">
        <v>19373</v>
      </c>
      <c r="M2663" s="4" t="s">
        <v>20224</v>
      </c>
      <c r="N2663" s="4" t="s">
        <v>29</v>
      </c>
      <c r="O2663" s="4" t="s">
        <v>19374</v>
      </c>
      <c r="P2663" s="4" t="s">
        <v>29</v>
      </c>
      <c r="Q2663" s="4" t="s">
        <v>19375</v>
      </c>
      <c r="R2663" s="6"/>
      <c r="S2663" s="6"/>
      <c r="T2663" s="6"/>
      <c r="U2663" s="6"/>
      <c r="V2663" s="6"/>
      <c r="W2663" s="6"/>
      <c r="X2663" s="6"/>
      <c r="Y2663" s="6"/>
      <c r="Z2663" s="6"/>
      <c r="AA2663" s="6"/>
    </row>
    <row r="2664" ht="14.25">
      <c r="B2664" s="4" t="s">
        <v>20225</v>
      </c>
      <c r="C2664" s="4" t="s">
        <v>20226</v>
      </c>
      <c r="D2664" s="4" t="s">
        <v>20227</v>
      </c>
      <c r="E2664" s="4" t="s">
        <v>20228</v>
      </c>
      <c r="F2664" s="4" t="str">
        <f>IFERROR(__XLUDF.DUMMYFUNCTION("PROPER(REGEXREPLACE(D380,""[^A-Za-z]+ "",""""))"),"Kion Consulting")</f>
        <v xml:space="preserve">Kion Consulting</v>
      </c>
      <c r="G2664" s="4" t="s">
        <v>20229</v>
      </c>
      <c r="H2664" s="4">
        <v>45</v>
      </c>
      <c r="I2664" s="4" t="s">
        <v>2602</v>
      </c>
      <c r="J2664" s="4"/>
      <c r="K2664" s="5" t="s">
        <v>20230</v>
      </c>
      <c r="L2664" s="5" t="s">
        <v>20231</v>
      </c>
      <c r="M2664" s="4" t="s">
        <v>7827</v>
      </c>
      <c r="N2664" s="4" t="s">
        <v>29</v>
      </c>
      <c r="O2664" s="4" t="s">
        <v>20232</v>
      </c>
      <c r="P2664" s="4" t="s">
        <v>20233</v>
      </c>
      <c r="Q2664" s="6"/>
      <c r="R2664" s="6"/>
      <c r="S2664" s="6"/>
      <c r="T2664" s="6"/>
      <c r="U2664" s="6"/>
      <c r="V2664" s="6"/>
      <c r="W2664" s="6"/>
      <c r="X2664" s="6"/>
      <c r="Y2664" s="6"/>
      <c r="Z2664" s="6"/>
      <c r="AA2664" s="6"/>
    </row>
    <row r="2665" ht="14.25">
      <c r="B2665" s="4" t="s">
        <v>1198</v>
      </c>
      <c r="C2665" s="4" t="s">
        <v>20234</v>
      </c>
      <c r="D2665" s="4" t="s">
        <v>20235</v>
      </c>
      <c r="E2665" s="4" t="s">
        <v>20236</v>
      </c>
      <c r="F2665" s="4" t="str">
        <f>IFERROR(__XLUDF.DUMMYFUNCTION("PROPER(REGEXREPLACE(D381,""[^A-Za-z]+ "",""""))"),"Agence Auvrayboracay")</f>
        <v xml:space="preserve">Agence Auvrayboracay</v>
      </c>
      <c r="G2665" s="4" t="s">
        <v>20237</v>
      </c>
      <c r="H2665" s="4">
        <v>6</v>
      </c>
      <c r="I2665" s="4" t="s">
        <v>10639</v>
      </c>
      <c r="J2665" s="4"/>
      <c r="K2665" s="5" t="s">
        <v>20238</v>
      </c>
      <c r="L2665" s="5" t="s">
        <v>20239</v>
      </c>
      <c r="M2665" s="4" t="s">
        <v>39</v>
      </c>
      <c r="N2665" s="4" t="s">
        <v>29</v>
      </c>
      <c r="O2665" s="4" t="s">
        <v>20240</v>
      </c>
      <c r="P2665" s="4" t="s">
        <v>29</v>
      </c>
      <c r="Q2665" s="4" t="s">
        <v>20241</v>
      </c>
      <c r="R2665" s="6"/>
      <c r="S2665" s="6"/>
      <c r="T2665" s="6"/>
      <c r="U2665" s="6"/>
      <c r="V2665" s="6"/>
      <c r="W2665" s="6"/>
      <c r="X2665" s="6"/>
      <c r="Y2665" s="6"/>
      <c r="Z2665" s="6"/>
      <c r="AA2665" s="6"/>
    </row>
    <row r="2666" ht="14.25">
      <c r="B2666" s="4" t="s">
        <v>3142</v>
      </c>
      <c r="C2666" s="4" t="s">
        <v>20242</v>
      </c>
      <c r="D2666" s="4" t="s">
        <v>20243</v>
      </c>
      <c r="E2666" s="4" t="s">
        <v>20244</v>
      </c>
      <c r="F2666" s="4" t="str">
        <f>IFERROR(__XLUDF.DUMMYFUNCTION("PROPER(REGEXREPLACE(D382,""[^A-Za-z]+ "",""""))"),"Sowhen?")</f>
        <v>Sowhen?</v>
      </c>
      <c r="G2666" s="4" t="s">
        <v>20245</v>
      </c>
      <c r="H2666" s="4">
        <v>20</v>
      </c>
      <c r="I2666" s="4" t="s">
        <v>9161</v>
      </c>
      <c r="J2666" s="4"/>
      <c r="K2666" s="5" t="s">
        <v>20246</v>
      </c>
      <c r="L2666" s="5" t="s">
        <v>20247</v>
      </c>
      <c r="M2666" s="4" t="s">
        <v>39</v>
      </c>
      <c r="N2666" s="4" t="s">
        <v>29</v>
      </c>
      <c r="O2666" s="4" t="s">
        <v>20248</v>
      </c>
      <c r="P2666" s="4" t="s">
        <v>29</v>
      </c>
      <c r="Q2666" s="6"/>
      <c r="R2666" s="6"/>
      <c r="S2666" s="6"/>
      <c r="T2666" s="6"/>
      <c r="U2666" s="6"/>
      <c r="V2666" s="6"/>
      <c r="W2666" s="6"/>
      <c r="X2666" s="6"/>
      <c r="Y2666" s="6"/>
      <c r="Z2666" s="6"/>
      <c r="AA2666" s="6"/>
    </row>
    <row r="2667" ht="14.25">
      <c r="B2667" s="4" t="s">
        <v>255</v>
      </c>
      <c r="C2667" s="4" t="s">
        <v>20249</v>
      </c>
      <c r="D2667" s="4" t="s">
        <v>20250</v>
      </c>
      <c r="E2667" s="4" t="s">
        <v>20251</v>
      </c>
      <c r="F2667" s="4" t="str">
        <f>IFERROR(__XLUDF.DUMMYFUNCTION("PROPER(REGEXREPLACE(D383,""[^A-Za-z]+ "",""""))"),"Aleop")</f>
        <v>Aleop</v>
      </c>
      <c r="G2667" s="4" t="s">
        <v>20252</v>
      </c>
      <c r="H2667" s="4">
        <v>15</v>
      </c>
      <c r="I2667" s="4" t="s">
        <v>2602</v>
      </c>
      <c r="J2667" s="4" t="str">
        <f>IFERROR(__XLUDF.DUMMYFUNCTION("VLOOKUP(H383,IMPORTRANGE(""https://docs.google.com/spreadsheets/d/1opm6ZNvGZ7KditA9TuJwrZ25eFLfTNIkrNnY6mhV5Eg"",""list!A1:C115""),3,TRUE)"),"le secteur de la tech")</f>
        <v xml:space="preserve">le secteur de la tech</v>
      </c>
      <c r="K2667" s="5" t="s">
        <v>20253</v>
      </c>
      <c r="L2667" s="5" t="s">
        <v>20254</v>
      </c>
      <c r="M2667" s="4" t="s">
        <v>20255</v>
      </c>
      <c r="N2667" s="4" t="s">
        <v>29</v>
      </c>
      <c r="O2667" s="4" t="s">
        <v>20256</v>
      </c>
      <c r="P2667" s="4" t="s">
        <v>2666</v>
      </c>
      <c r="Q2667" s="4" t="s">
        <v>20257</v>
      </c>
      <c r="R2667" s="6"/>
      <c r="S2667" s="6"/>
      <c r="T2667" s="6"/>
      <c r="U2667" s="6"/>
      <c r="V2667" s="6"/>
      <c r="W2667" s="6"/>
      <c r="X2667" s="6"/>
      <c r="Y2667" s="6"/>
      <c r="Z2667" s="6"/>
      <c r="AA2667" s="6"/>
    </row>
    <row r="2668" ht="14.25">
      <c r="B2668" s="4" t="s">
        <v>110</v>
      </c>
      <c r="C2668" s="4" t="s">
        <v>20258</v>
      </c>
      <c r="D2668" s="4" t="s">
        <v>20259</v>
      </c>
      <c r="E2668" s="4" t="s">
        <v>20260</v>
      </c>
      <c r="F2668" s="4" t="str">
        <f>IFERROR(__XLUDF.DUMMYFUNCTION("PROPER(REGEXREPLACE(D384,""[^A-Za-z]+ "",""""))"),"Aatiko Conseils")</f>
        <v xml:space="preserve">Aatiko Conseils</v>
      </c>
      <c r="G2668" s="4" t="s">
        <v>20261</v>
      </c>
      <c r="H2668" s="4">
        <v>37</v>
      </c>
      <c r="I2668" s="4" t="s">
        <v>4067</v>
      </c>
      <c r="J2668" s="4" t="str">
        <f>IFERROR(__XLUDF.DUMMYFUNCTION("VLOOKUP(H384,IMPORTRANGE(""https://docs.google.com/spreadsheets/d/1opm6ZNvGZ7KditA9TuJwrZ25eFLfTNIkrNnY6mhV5Eg"",""list!A1:C115""),3,TRUE)"),"le secteur du conseil en management")</f>
        <v xml:space="preserve">le secteur du conseil en management</v>
      </c>
      <c r="K2668" s="5" t="s">
        <v>20262</v>
      </c>
      <c r="L2668" s="5" t="s">
        <v>20263</v>
      </c>
      <c r="M2668" s="4" t="s">
        <v>185</v>
      </c>
      <c r="N2668" s="4" t="s">
        <v>29</v>
      </c>
      <c r="O2668" s="4" t="s">
        <v>20264</v>
      </c>
      <c r="P2668" s="4" t="s">
        <v>29</v>
      </c>
      <c r="Q2668" s="4" t="s">
        <v>20265</v>
      </c>
      <c r="R2668" s="6"/>
      <c r="S2668" s="6"/>
      <c r="T2668" s="6"/>
      <c r="U2668" s="6"/>
      <c r="V2668" s="6"/>
      <c r="W2668" s="6"/>
      <c r="X2668" s="6"/>
      <c r="Y2668" s="6"/>
      <c r="Z2668" s="6"/>
      <c r="AA2668" s="6"/>
    </row>
    <row r="2669" ht="14.25">
      <c r="B2669" s="4" t="s">
        <v>110</v>
      </c>
      <c r="C2669" s="4" t="s">
        <v>20266</v>
      </c>
      <c r="D2669" s="4" t="s">
        <v>1867</v>
      </c>
      <c r="E2669" s="4" t="s">
        <v>20267</v>
      </c>
      <c r="F2669" s="4" t="str">
        <f>IFERROR(__XLUDF.DUMMYFUNCTION("PROPER(REGEXREPLACE(D385,""[^A-Za-z]+ "",""""))"),"Artemis Success")</f>
        <v xml:space="preserve">Artemis Success</v>
      </c>
      <c r="G2669" s="4" t="s">
        <v>20268</v>
      </c>
      <c r="H2669" s="4">
        <v>12</v>
      </c>
      <c r="I2669" s="4" t="s">
        <v>18063</v>
      </c>
      <c r="J2669" s="4" t="str">
        <f>IFERROR(__XLUDF.DUMMYFUNCTION("VLOOKUP(H385,IMPORTRANGE(""https://docs.google.com/spreadsheets/d/1opm6ZNvGZ7KditA9TuJwrZ25eFLfTNIkrNnY6mhV5Eg"",""list!A1:C115""),3,TRUE)"),"le secteur du recrutement")</f>
        <v xml:space="preserve">le secteur du recrutement</v>
      </c>
      <c r="K2669" s="5" t="s">
        <v>20269</v>
      </c>
      <c r="L2669" s="5" t="s">
        <v>20270</v>
      </c>
      <c r="M2669" s="4" t="s">
        <v>39</v>
      </c>
      <c r="N2669" s="4" t="s">
        <v>29</v>
      </c>
      <c r="O2669" s="4" t="s">
        <v>20271</v>
      </c>
      <c r="P2669" s="4" t="s">
        <v>29</v>
      </c>
      <c r="Q2669" s="6"/>
      <c r="R2669" s="6"/>
      <c r="S2669" s="6"/>
      <c r="T2669" s="6"/>
      <c r="U2669" s="6"/>
      <c r="V2669" s="6"/>
      <c r="W2669" s="6"/>
      <c r="X2669" s="6"/>
      <c r="Y2669" s="6"/>
      <c r="Z2669" s="6"/>
      <c r="AA2669" s="6"/>
    </row>
    <row r="2670" ht="14.25">
      <c r="B2670" s="4" t="s">
        <v>2634</v>
      </c>
      <c r="C2670" s="4" t="s">
        <v>20272</v>
      </c>
      <c r="D2670" s="4" t="s">
        <v>164</v>
      </c>
      <c r="E2670" s="4" t="s">
        <v>20273</v>
      </c>
      <c r="F2670" s="4" t="str">
        <f>IFERROR(__XLUDF.DUMMYFUNCTION("PROPER(REGEXREPLACE(D386,""[^A-Za-z]+ "",""""))"),"Espace Medical 93")</f>
        <v xml:space="preserve">Espace Medical 93</v>
      </c>
      <c r="G2670" s="4" t="s">
        <v>20274</v>
      </c>
      <c r="H2670" s="6"/>
      <c r="I2670" s="6"/>
      <c r="J2670" s="6"/>
      <c r="K2670" s="5" t="s">
        <v>20275</v>
      </c>
      <c r="L2670" s="5" t="s">
        <v>20276</v>
      </c>
      <c r="M2670" s="6"/>
      <c r="N2670" s="4" t="s">
        <v>29</v>
      </c>
      <c r="O2670" s="4" t="s">
        <v>20277</v>
      </c>
      <c r="P2670" s="4" t="s">
        <v>29</v>
      </c>
      <c r="Q2670" s="6"/>
      <c r="R2670" s="6"/>
      <c r="S2670" s="6"/>
      <c r="T2670" s="6"/>
      <c r="U2670" s="6"/>
      <c r="V2670" s="6"/>
      <c r="W2670" s="6"/>
      <c r="X2670" s="6"/>
      <c r="Y2670" s="6"/>
      <c r="Z2670" s="6"/>
      <c r="AA2670" s="6"/>
    </row>
    <row r="2671" ht="14.25">
      <c r="B2671" s="4" t="s">
        <v>20278</v>
      </c>
      <c r="C2671" s="4" t="s">
        <v>20279</v>
      </c>
      <c r="D2671" s="4" t="s">
        <v>20280</v>
      </c>
      <c r="E2671" s="4" t="s">
        <v>20281</v>
      </c>
      <c r="F2671" s="4" t="str">
        <f>IFERROR(__XLUDF.DUMMYFUNCTION("PROPER(REGEXREPLACE(D387,""[^A-Za-z]+ "",""""))"),"Data-Tricks")</f>
        <v>Data-Tricks</v>
      </c>
      <c r="G2671" s="4" t="s">
        <v>20282</v>
      </c>
      <c r="H2671" s="4">
        <v>21</v>
      </c>
      <c r="I2671" s="4" t="s">
        <v>9461</v>
      </c>
      <c r="J2671" s="4"/>
      <c r="K2671" s="5" t="s">
        <v>20283</v>
      </c>
      <c r="L2671" s="5" t="s">
        <v>20284</v>
      </c>
      <c r="M2671" s="4" t="s">
        <v>39</v>
      </c>
      <c r="N2671" s="4" t="s">
        <v>29</v>
      </c>
      <c r="O2671" s="4" t="s">
        <v>20285</v>
      </c>
      <c r="P2671" s="4" t="s">
        <v>29</v>
      </c>
      <c r="Q2671" s="4" t="s">
        <v>20286</v>
      </c>
      <c r="R2671" s="6"/>
      <c r="S2671" s="6"/>
      <c r="T2671" s="6"/>
      <c r="U2671" s="6"/>
      <c r="V2671" s="6"/>
      <c r="W2671" s="6"/>
      <c r="X2671" s="6"/>
      <c r="Y2671" s="6"/>
      <c r="Z2671" s="6"/>
      <c r="AA2671" s="6"/>
    </row>
    <row r="2672" ht="14.25">
      <c r="B2672" s="4" t="s">
        <v>2516</v>
      </c>
      <c r="C2672" s="4" t="s">
        <v>20287</v>
      </c>
      <c r="D2672" s="4" t="s">
        <v>20288</v>
      </c>
      <c r="E2672" s="4" t="s">
        <v>20289</v>
      </c>
      <c r="F2672" s="4" t="str">
        <f>IFERROR(__XLUDF.DUMMYFUNCTION("PROPER(REGEXREPLACE(D388,""[^A-Za-z]+ "",""""))"),"Datama")</f>
        <v>Datama</v>
      </c>
      <c r="G2672" s="4" t="s">
        <v>20290</v>
      </c>
      <c r="H2672" s="4">
        <v>10</v>
      </c>
      <c r="I2672" s="4" t="s">
        <v>2602</v>
      </c>
      <c r="J2672" s="4"/>
      <c r="K2672" s="5" t="s">
        <v>20291</v>
      </c>
      <c r="L2672" s="5" t="s">
        <v>20292</v>
      </c>
      <c r="M2672" s="6"/>
      <c r="N2672" s="4" t="s">
        <v>29</v>
      </c>
      <c r="O2672" s="4" t="s">
        <v>18884</v>
      </c>
      <c r="P2672" s="4" t="s">
        <v>29</v>
      </c>
      <c r="Q2672" s="6"/>
      <c r="R2672" s="6"/>
      <c r="S2672" s="6"/>
      <c r="T2672" s="6"/>
      <c r="U2672" s="6"/>
      <c r="V2672" s="6"/>
      <c r="W2672" s="6"/>
      <c r="X2672" s="6"/>
      <c r="Y2672" s="6"/>
      <c r="Z2672" s="6"/>
      <c r="AA2672" s="6"/>
    </row>
    <row r="2673" ht="14.25">
      <c r="B2673" s="4" t="s">
        <v>4986</v>
      </c>
      <c r="C2673" s="4" t="s">
        <v>5532</v>
      </c>
      <c r="D2673" s="4" t="s">
        <v>20293</v>
      </c>
      <c r="E2673" s="4" t="s">
        <v>20294</v>
      </c>
      <c r="F2673" s="4" t="str">
        <f>IFERROR(__XLUDF.DUMMYFUNCTION("PROPER(REGEXREPLACE(D389,""[^A-Za-z]+ "",""""))"),"Stooly")</f>
        <v>Stooly</v>
      </c>
      <c r="G2673" s="4" t="s">
        <v>20295</v>
      </c>
      <c r="H2673" s="4">
        <v>11</v>
      </c>
      <c r="I2673" s="4" t="s">
        <v>4525</v>
      </c>
      <c r="J2673" s="4" t="str">
        <f>IFERROR(__XLUDF.DUMMYFUNCTION("VLOOKUP(H389,IMPORTRANGE(""https://docs.google.com/spreadsheets/d/1opm6ZNvGZ7KditA9TuJwrZ25eFLfTNIkrNnY6mhV5Eg"",""list!A1:C115""),3,TRUE)"),"le secteur du retail")</f>
        <v xml:space="preserve">le secteur du retail</v>
      </c>
      <c r="K2673" s="5" t="s">
        <v>20296</v>
      </c>
      <c r="L2673" s="5" t="s">
        <v>20297</v>
      </c>
      <c r="M2673" s="4" t="s">
        <v>39</v>
      </c>
      <c r="N2673" s="4" t="s">
        <v>29</v>
      </c>
      <c r="O2673" s="4" t="s">
        <v>67</v>
      </c>
      <c r="P2673" s="4" t="s">
        <v>29</v>
      </c>
      <c r="Q2673" s="4" t="s">
        <v>20298</v>
      </c>
      <c r="R2673" s="6"/>
      <c r="S2673" s="6"/>
      <c r="T2673" s="6"/>
      <c r="U2673" s="6"/>
      <c r="V2673" s="6"/>
      <c r="W2673" s="6"/>
      <c r="X2673" s="6"/>
      <c r="Y2673" s="6"/>
      <c r="Z2673" s="6"/>
      <c r="AA2673" s="6"/>
    </row>
    <row r="2674" ht="14.25">
      <c r="B2674" s="4" t="s">
        <v>20299</v>
      </c>
      <c r="C2674" s="4" t="s">
        <v>20300</v>
      </c>
      <c r="D2674" s="4" t="s">
        <v>172</v>
      </c>
      <c r="E2674" s="4" t="s">
        <v>20301</v>
      </c>
      <c r="F2674" s="4" t="str">
        <f>IFERROR(__XLUDF.DUMMYFUNCTION("PROPER(REGEXREPLACE(D390,""[^A-Za-z]+ "",""""))"),"Arcanes")</f>
        <v>Arcanes</v>
      </c>
      <c r="G2674" s="4" t="s">
        <v>20302</v>
      </c>
      <c r="H2674" s="4">
        <v>59</v>
      </c>
      <c r="I2674" s="4" t="s">
        <v>2602</v>
      </c>
      <c r="J2674" s="4" t="str">
        <f>IFERROR(__XLUDF.DUMMYFUNCTION("VLOOKUP(H390,IMPORTRANGE(""https://docs.google.com/spreadsheets/d/1opm6ZNvGZ7KditA9TuJwrZ25eFLfTNIkrNnY6mhV5Eg"",""list!A1:C115""),3,TRUE)"),"le secteur de la tech")</f>
        <v xml:space="preserve">le secteur de la tech</v>
      </c>
      <c r="K2674" s="5" t="s">
        <v>20303</v>
      </c>
      <c r="L2674" s="5" t="s">
        <v>20304</v>
      </c>
      <c r="M2674" s="4" t="s">
        <v>295</v>
      </c>
      <c r="N2674" s="4" t="s">
        <v>29</v>
      </c>
      <c r="O2674" s="4" t="s">
        <v>20305</v>
      </c>
      <c r="P2674" s="4" t="s">
        <v>29</v>
      </c>
      <c r="Q2674" s="4" t="s">
        <v>20306</v>
      </c>
      <c r="R2674" s="6"/>
      <c r="S2674" s="6"/>
      <c r="T2674" s="6"/>
      <c r="U2674" s="6"/>
      <c r="V2674" s="6"/>
      <c r="W2674" s="6"/>
      <c r="X2674" s="6"/>
      <c r="Y2674" s="6"/>
      <c r="Z2674" s="6"/>
      <c r="AA2674" s="6"/>
    </row>
    <row r="2675" ht="14.25">
      <c r="B2675" s="4" t="s">
        <v>3019</v>
      </c>
      <c r="C2675" s="4" t="s">
        <v>20307</v>
      </c>
      <c r="D2675" s="4" t="s">
        <v>87</v>
      </c>
      <c r="E2675" s="4" t="s">
        <v>20308</v>
      </c>
      <c r="F2675" s="4" t="str">
        <f>IFERROR(__XLUDF.DUMMYFUNCTION("PROPER(REGEXREPLACE(D391,""[^A-Za-z]+ "",""""))"),"Fizeau")</f>
        <v>Fizeau</v>
      </c>
      <c r="G2675" s="4" t="s">
        <v>20309</v>
      </c>
      <c r="H2675" s="6"/>
      <c r="I2675" s="6"/>
      <c r="J2675" s="6"/>
      <c r="K2675" s="5" t="s">
        <v>20310</v>
      </c>
      <c r="L2675" s="5" t="s">
        <v>20311</v>
      </c>
      <c r="M2675" s="6"/>
      <c r="N2675" s="4" t="s">
        <v>29</v>
      </c>
      <c r="O2675" s="4" t="s">
        <v>20312</v>
      </c>
      <c r="P2675" s="4" t="s">
        <v>29</v>
      </c>
      <c r="Q2675" s="6"/>
      <c r="R2675" s="6"/>
      <c r="S2675" s="6"/>
      <c r="T2675" s="6"/>
      <c r="U2675" s="6"/>
      <c r="V2675" s="6"/>
      <c r="W2675" s="6"/>
      <c r="X2675" s="6"/>
      <c r="Y2675" s="6"/>
      <c r="Z2675" s="6"/>
      <c r="AA2675" s="6"/>
    </row>
    <row r="2676" ht="14.25">
      <c r="B2676" s="4" t="s">
        <v>2299</v>
      </c>
      <c r="C2676" s="4" t="s">
        <v>20313</v>
      </c>
      <c r="D2676" s="4" t="s">
        <v>315</v>
      </c>
      <c r="E2676" s="4" t="s">
        <v>20314</v>
      </c>
      <c r="F2676" s="4" t="str">
        <f>IFERROR(__XLUDF.DUMMYFUNCTION("PROPER(REGEXREPLACE(D392,""[^A-Za-z]+ "",""""))"),"Koralplay")</f>
        <v>Koralplay</v>
      </c>
      <c r="G2676" s="4" t="s">
        <v>20315</v>
      </c>
      <c r="H2676" s="4">
        <v>45</v>
      </c>
      <c r="I2676" s="4" t="s">
        <v>2602</v>
      </c>
      <c r="J2676" s="4" t="str">
        <f>IFERROR(__XLUDF.DUMMYFUNCTION("VLOOKUP(H392,IMPORTRANGE(""https://docs.google.com/spreadsheets/d/1opm6ZNvGZ7KditA9TuJwrZ25eFLfTNIkrNnY6mhV5Eg"",""list!A1:C115""),3,TRUE)"),"le secteur de la tech")</f>
        <v xml:space="preserve">le secteur de la tech</v>
      </c>
      <c r="K2676" s="5" t="s">
        <v>20316</v>
      </c>
      <c r="L2676" s="5" t="s">
        <v>20317</v>
      </c>
      <c r="M2676" s="4" t="s">
        <v>1711</v>
      </c>
      <c r="N2676" s="4" t="s">
        <v>29</v>
      </c>
      <c r="O2676" s="4" t="s">
        <v>20318</v>
      </c>
      <c r="P2676" s="4" t="s">
        <v>29</v>
      </c>
      <c r="Q2676" s="6"/>
      <c r="R2676" s="6"/>
      <c r="S2676" s="6"/>
      <c r="T2676" s="6"/>
      <c r="U2676" s="6"/>
      <c r="V2676" s="6"/>
      <c r="W2676" s="6"/>
      <c r="X2676" s="6"/>
      <c r="Y2676" s="6"/>
      <c r="Z2676" s="6"/>
      <c r="AA2676" s="6"/>
    </row>
    <row r="2677" ht="14.25">
      <c r="B2677" s="4" t="s">
        <v>206</v>
      </c>
      <c r="C2677" s="4" t="s">
        <v>20319</v>
      </c>
      <c r="D2677" s="4" t="s">
        <v>315</v>
      </c>
      <c r="E2677" s="4" t="s">
        <v>20320</v>
      </c>
      <c r="F2677" s="4" t="str">
        <f>IFERROR(__XLUDF.DUMMYFUNCTION("PROPER(REGEXREPLACE(D393,""[^A-Za-z]+ "",""""))"),"Cryptoexperts")</f>
        <v>Cryptoexperts</v>
      </c>
      <c r="G2677" s="4" t="s">
        <v>20321</v>
      </c>
      <c r="H2677" s="4">
        <v>12</v>
      </c>
      <c r="I2677" s="4" t="s">
        <v>9264</v>
      </c>
      <c r="J2677" s="4" t="str">
        <f>IFERROR(__XLUDF.DUMMYFUNCTION("VLOOKUP(H393,IMPORTRANGE(""https://docs.google.com/spreadsheets/d/1opm6ZNvGZ7KditA9TuJwrZ25eFLfTNIkrNnY6mhV5Eg"",""list!A1:C115""),3,TRUE)"),"le secteur de la sécurité informatique")</f>
        <v xml:space="preserve">le secteur de la sécurité informatique</v>
      </c>
      <c r="K2677" s="5" t="s">
        <v>20322</v>
      </c>
      <c r="L2677" s="5" t="s">
        <v>20323</v>
      </c>
      <c r="M2677" s="4" t="s">
        <v>39</v>
      </c>
      <c r="N2677" s="4" t="s">
        <v>29</v>
      </c>
      <c r="O2677" s="4" t="s">
        <v>20324</v>
      </c>
      <c r="P2677" s="4" t="s">
        <v>29</v>
      </c>
      <c r="Q2677" s="4" t="s">
        <v>20325</v>
      </c>
      <c r="R2677" s="6"/>
      <c r="S2677" s="6"/>
      <c r="T2677" s="6"/>
      <c r="U2677" s="6"/>
      <c r="V2677" s="6"/>
      <c r="W2677" s="6"/>
      <c r="X2677" s="6"/>
      <c r="Y2677" s="6"/>
      <c r="Z2677" s="6"/>
      <c r="AA2677" s="6"/>
    </row>
    <row r="2678" ht="14.25">
      <c r="B2678" s="4" t="s">
        <v>20326</v>
      </c>
      <c r="C2678" s="4" t="s">
        <v>20327</v>
      </c>
      <c r="D2678" s="4" t="s">
        <v>3982</v>
      </c>
      <c r="E2678" s="4" t="s">
        <v>20328</v>
      </c>
      <c r="F2678" s="4" t="str">
        <f>IFERROR(__XLUDF.DUMMYFUNCTION("PROPER(REGEXREPLACE(D394,""[^A-Za-z]+ "",""""))"),"Loxos")</f>
        <v>Loxos</v>
      </c>
      <c r="G2678" s="4" t="s">
        <v>20329</v>
      </c>
      <c r="H2678" s="4">
        <v>9</v>
      </c>
      <c r="I2678" s="4" t="s">
        <v>4525</v>
      </c>
      <c r="J2678" s="4"/>
      <c r="K2678" s="5" t="s">
        <v>20330</v>
      </c>
      <c r="L2678" s="5" t="s">
        <v>20331</v>
      </c>
      <c r="M2678" s="4" t="s">
        <v>20332</v>
      </c>
      <c r="N2678" s="4" t="s">
        <v>29</v>
      </c>
      <c r="O2678" s="4" t="s">
        <v>20333</v>
      </c>
      <c r="P2678" s="4" t="s">
        <v>29</v>
      </c>
      <c r="Q2678" s="4" t="s">
        <v>20334</v>
      </c>
      <c r="R2678" s="6"/>
      <c r="S2678" s="6"/>
      <c r="T2678" s="6"/>
      <c r="U2678" s="6"/>
      <c r="V2678" s="6"/>
      <c r="W2678" s="6"/>
      <c r="X2678" s="6"/>
      <c r="Y2678" s="6"/>
      <c r="Z2678" s="6"/>
      <c r="AA2678" s="6"/>
    </row>
    <row r="2679" ht="14.25">
      <c r="B2679" s="4" t="s">
        <v>7914</v>
      </c>
      <c r="C2679" s="4" t="s">
        <v>20335</v>
      </c>
      <c r="D2679" s="4" t="s">
        <v>20336</v>
      </c>
      <c r="E2679" s="4" t="s">
        <v>20337</v>
      </c>
      <c r="F2679" s="4" t="str">
        <f>IFERROR(__XLUDF.DUMMYFUNCTION("PROPER(REGEXREPLACE(D395,""[^A-Za-z]+ "",""""))"),"Pathtech")</f>
        <v>Pathtech</v>
      </c>
      <c r="G2679" s="4" t="s">
        <v>20338</v>
      </c>
      <c r="H2679" s="4">
        <v>15</v>
      </c>
      <c r="I2679" s="4" t="s">
        <v>2602</v>
      </c>
      <c r="J2679" s="4" t="str">
        <f>IFERROR(__XLUDF.DUMMYFUNCTION("VLOOKUP(H395,IMPORTRANGE(""https://docs.google.com/spreadsheets/d/1opm6ZNvGZ7KditA9TuJwrZ25eFLfTNIkrNnY6mhV5Eg"",""list!A1:C115""),3,TRUE)"),"le secteur de la tech")</f>
        <v xml:space="preserve">le secteur de la tech</v>
      </c>
      <c r="K2679" s="5" t="s">
        <v>20339</v>
      </c>
      <c r="L2679" s="5" t="s">
        <v>20340</v>
      </c>
      <c r="M2679" s="4" t="s">
        <v>39</v>
      </c>
      <c r="N2679" s="4" t="s">
        <v>29</v>
      </c>
      <c r="O2679" s="4" t="s">
        <v>67</v>
      </c>
      <c r="P2679" s="4" t="s">
        <v>29</v>
      </c>
      <c r="Q2679" s="6"/>
      <c r="R2679" s="6"/>
      <c r="S2679" s="6"/>
      <c r="T2679" s="6"/>
      <c r="U2679" s="6"/>
      <c r="V2679" s="6"/>
      <c r="W2679" s="6"/>
      <c r="X2679" s="6"/>
      <c r="Y2679" s="6"/>
      <c r="Z2679" s="6"/>
      <c r="AA2679" s="6"/>
    </row>
    <row r="2680" ht="14.25">
      <c r="B2680" s="4" t="s">
        <v>118</v>
      </c>
      <c r="C2680" s="4" t="s">
        <v>20341</v>
      </c>
      <c r="D2680" s="4" t="s">
        <v>172</v>
      </c>
      <c r="E2680" s="4" t="s">
        <v>20342</v>
      </c>
      <c r="F2680" s="4" t="str">
        <f>IFERROR(__XLUDF.DUMMYFUNCTION("PROPER(REGEXREPLACE(D396,""[^A-Za-z]+ "",""""))"),"Doyield")</f>
        <v>Doyield</v>
      </c>
      <c r="G2680" s="4" t="s">
        <v>20343</v>
      </c>
      <c r="H2680" s="4">
        <v>39</v>
      </c>
      <c r="I2680" s="4" t="s">
        <v>4067</v>
      </c>
      <c r="J2680" s="4" t="str">
        <f>IFERROR(__XLUDF.DUMMYFUNCTION("VLOOKUP(H396,IMPORTRANGE(""https://docs.google.com/spreadsheets/d/1opm6ZNvGZ7KditA9TuJwrZ25eFLfTNIkrNnY6mhV5Eg"",""list!A1:C115""),3,TRUE)"),"le secteur du conseil en management")</f>
        <v xml:space="preserve">le secteur du conseil en management</v>
      </c>
      <c r="K2680" s="5" t="s">
        <v>20344</v>
      </c>
      <c r="L2680" s="5" t="s">
        <v>20345</v>
      </c>
      <c r="M2680" s="4" t="s">
        <v>39</v>
      </c>
      <c r="N2680" s="4" t="s">
        <v>29</v>
      </c>
      <c r="O2680" s="4" t="s">
        <v>20346</v>
      </c>
      <c r="P2680" s="4" t="s">
        <v>29</v>
      </c>
      <c r="Q2680" s="4" t="s">
        <v>20347</v>
      </c>
      <c r="R2680" s="6"/>
      <c r="S2680" s="6"/>
      <c r="T2680" s="6"/>
      <c r="U2680" s="6"/>
      <c r="V2680" s="6"/>
      <c r="W2680" s="6"/>
      <c r="X2680" s="6"/>
      <c r="Y2680" s="6"/>
      <c r="Z2680" s="6"/>
      <c r="AA2680" s="6"/>
    </row>
    <row r="2681" ht="14.25">
      <c r="B2681" s="4" t="s">
        <v>785</v>
      </c>
      <c r="C2681" s="4" t="s">
        <v>20348</v>
      </c>
      <c r="D2681" s="4" t="s">
        <v>468</v>
      </c>
      <c r="E2681" s="4" t="s">
        <v>20349</v>
      </c>
      <c r="F2681" s="4" t="str">
        <f>IFERROR(__XLUDF.DUMMYFUNCTION("PROPER(REGEXREPLACE(D397,""[^A-Za-z]+ "",""""))"),"Techcrea")</f>
        <v>Techcrea</v>
      </c>
      <c r="G2681" s="4" t="s">
        <v>20350</v>
      </c>
      <c r="H2681" s="4">
        <v>14</v>
      </c>
      <c r="I2681" s="4" t="s">
        <v>9184</v>
      </c>
      <c r="J2681" s="4" t="str">
        <f>IFERROR(__XLUDF.DUMMYFUNCTION("VLOOKUP(H397,IMPORTRANGE(""https://docs.google.com/spreadsheets/d/1opm6ZNvGZ7KditA9TuJwrZ25eFLfTNIkrNnY6mhV5Eg"",""list!A1:C115""),3,TRUE)"),"le secteur des télécommunications")</f>
        <v xml:space="preserve">le secteur des télécommunications</v>
      </c>
      <c r="K2681" s="5" t="s">
        <v>20351</v>
      </c>
      <c r="L2681" s="5" t="s">
        <v>20352</v>
      </c>
      <c r="M2681" s="4" t="s">
        <v>846</v>
      </c>
      <c r="N2681" s="4" t="s">
        <v>29</v>
      </c>
      <c r="O2681" s="4" t="s">
        <v>20353</v>
      </c>
      <c r="P2681" s="4" t="s">
        <v>29</v>
      </c>
      <c r="Q2681" s="4" t="s">
        <v>20354</v>
      </c>
      <c r="R2681" s="6"/>
      <c r="S2681" s="6"/>
      <c r="T2681" s="6"/>
      <c r="U2681" s="6"/>
      <c r="V2681" s="6"/>
      <c r="W2681" s="6"/>
      <c r="X2681" s="6"/>
      <c r="Y2681" s="6"/>
      <c r="Z2681" s="6"/>
      <c r="AA2681" s="6"/>
    </row>
    <row r="2682" ht="14.25">
      <c r="B2682" s="4" t="s">
        <v>9272</v>
      </c>
      <c r="C2682" s="4" t="s">
        <v>14613</v>
      </c>
      <c r="D2682" s="4" t="s">
        <v>164</v>
      </c>
      <c r="E2682" s="4" t="s">
        <v>20355</v>
      </c>
      <c r="F2682" s="4" t="str">
        <f>IFERROR(__XLUDF.DUMMYFUNCTION("PROPER(REGEXREPLACE(D398,""[^A-Za-z]+ "",""""))"),"Marsail")</f>
        <v>Marsail</v>
      </c>
      <c r="G2682" s="4" t="s">
        <v>20356</v>
      </c>
      <c r="H2682" s="4">
        <v>14</v>
      </c>
      <c r="I2682" s="4" t="s">
        <v>4067</v>
      </c>
      <c r="J2682" s="4"/>
      <c r="K2682" s="5" t="s">
        <v>20357</v>
      </c>
      <c r="L2682" s="5" t="s">
        <v>20358</v>
      </c>
      <c r="M2682" s="4" t="s">
        <v>295</v>
      </c>
      <c r="N2682" s="4" t="s">
        <v>29</v>
      </c>
      <c r="O2682" s="4" t="s">
        <v>20359</v>
      </c>
      <c r="P2682" s="4" t="s">
        <v>29</v>
      </c>
      <c r="Q2682" s="4" t="s">
        <v>20360</v>
      </c>
      <c r="R2682" s="6"/>
      <c r="S2682" s="6"/>
      <c r="T2682" s="6"/>
      <c r="U2682" s="6"/>
      <c r="V2682" s="6"/>
      <c r="W2682" s="6"/>
      <c r="X2682" s="6"/>
      <c r="Y2682" s="6"/>
      <c r="Z2682" s="6"/>
      <c r="AA2682" s="6"/>
    </row>
    <row r="2683" ht="14.25">
      <c r="B2683" s="4" t="s">
        <v>7525</v>
      </c>
      <c r="C2683" s="4" t="s">
        <v>20361</v>
      </c>
      <c r="D2683" s="4" t="s">
        <v>879</v>
      </c>
      <c r="E2683" s="4" t="s">
        <v>20362</v>
      </c>
      <c r="F2683" s="4" t="str">
        <f>IFERROR(__XLUDF.DUMMYFUNCTION("PROPER(REGEXREPLACE(D399,""[^A-Za-z]+ "",""""))"),"Isotrop")</f>
        <v>Isotrop</v>
      </c>
      <c r="G2683" s="4" t="s">
        <v>20363</v>
      </c>
      <c r="H2683" s="4">
        <v>10</v>
      </c>
      <c r="I2683" s="4" t="s">
        <v>2602</v>
      </c>
      <c r="J2683" s="4" t="str">
        <f>IFERROR(__XLUDF.DUMMYFUNCTION("VLOOKUP(H399,IMPORTRANGE(""https://docs.google.com/spreadsheets/d/1opm6ZNvGZ7KditA9TuJwrZ25eFLfTNIkrNnY6mhV5Eg"",""list!A1:C115""),3,TRUE)"),"le secteur de la tech")</f>
        <v xml:space="preserve">le secteur de la tech</v>
      </c>
      <c r="K2683" s="5" t="s">
        <v>20364</v>
      </c>
      <c r="L2683" s="5" t="s">
        <v>20365</v>
      </c>
      <c r="M2683" s="4" t="s">
        <v>295</v>
      </c>
      <c r="N2683" s="4" t="s">
        <v>29</v>
      </c>
      <c r="O2683" s="4" t="s">
        <v>1533</v>
      </c>
      <c r="P2683" s="4" t="s">
        <v>29</v>
      </c>
      <c r="Q2683" s="4" t="s">
        <v>20366</v>
      </c>
      <c r="R2683" s="6"/>
      <c r="S2683" s="6"/>
      <c r="T2683" s="6"/>
      <c r="U2683" s="6"/>
      <c r="V2683" s="6"/>
      <c r="W2683" s="6"/>
      <c r="X2683" s="6"/>
      <c r="Y2683" s="6"/>
      <c r="Z2683" s="6"/>
      <c r="AA2683" s="6"/>
    </row>
    <row r="2684" ht="14.25">
      <c r="B2684" s="4" t="s">
        <v>734</v>
      </c>
      <c r="C2684" s="4" t="s">
        <v>20367</v>
      </c>
      <c r="D2684" s="4" t="s">
        <v>87</v>
      </c>
      <c r="E2684" s="4" t="s">
        <v>20368</v>
      </c>
      <c r="F2684" s="4" t="str">
        <f>IFERROR(__XLUDF.DUMMYFUNCTION("PROPER(REGEXREPLACE(D400,""[^A-Za-z]+ "",""""))"),"Novasecur")</f>
        <v>Novasecur</v>
      </c>
      <c r="G2684" s="4" t="s">
        <v>20369</v>
      </c>
      <c r="H2684" s="4">
        <v>12</v>
      </c>
      <c r="I2684" s="4" t="s">
        <v>2602</v>
      </c>
      <c r="J2684" s="4"/>
      <c r="K2684" s="5" t="s">
        <v>20370</v>
      </c>
      <c r="L2684" s="5" t="s">
        <v>20371</v>
      </c>
      <c r="M2684" s="4" t="s">
        <v>39</v>
      </c>
      <c r="N2684" s="4" t="s">
        <v>29</v>
      </c>
      <c r="O2684" s="4" t="s">
        <v>20372</v>
      </c>
      <c r="P2684" s="4" t="s">
        <v>29</v>
      </c>
      <c r="Q2684" s="6"/>
      <c r="R2684" s="6"/>
      <c r="S2684" s="6"/>
      <c r="T2684" s="6"/>
      <c r="U2684" s="6"/>
      <c r="V2684" s="6"/>
      <c r="W2684" s="6"/>
      <c r="X2684" s="6"/>
      <c r="Y2684" s="6"/>
      <c r="Z2684" s="6"/>
      <c r="AA2684" s="6"/>
    </row>
    <row r="2685" ht="14.25">
      <c r="B2685" s="4" t="s">
        <v>330</v>
      </c>
      <c r="C2685" s="4" t="s">
        <v>20373</v>
      </c>
      <c r="D2685" s="4" t="s">
        <v>20374</v>
      </c>
      <c r="E2685" s="4" t="s">
        <v>20375</v>
      </c>
      <c r="F2685" s="4" t="str">
        <f>IFERROR(__XLUDF.DUMMYFUNCTION("PROPER(REGEXREPLACE(D401,""[^A-Za-z]+ "",""""))"),"My Energy Manager")</f>
        <v xml:space="preserve">My Energy Manager</v>
      </c>
      <c r="G2685" s="4" t="s">
        <v>20376</v>
      </c>
      <c r="H2685" s="4">
        <v>15</v>
      </c>
      <c r="I2685" s="4" t="s">
        <v>2602</v>
      </c>
      <c r="J2685" s="4"/>
      <c r="K2685" s="5" t="s">
        <v>20377</v>
      </c>
      <c r="L2685" s="5" t="s">
        <v>20378</v>
      </c>
      <c r="M2685" s="4" t="s">
        <v>185</v>
      </c>
      <c r="N2685" s="4" t="s">
        <v>29</v>
      </c>
      <c r="O2685" s="4" t="s">
        <v>20379</v>
      </c>
      <c r="P2685" s="4" t="s">
        <v>29</v>
      </c>
      <c r="Q2685" s="6"/>
      <c r="R2685" s="6"/>
      <c r="S2685" s="6"/>
      <c r="T2685" s="6"/>
      <c r="U2685" s="6"/>
      <c r="V2685" s="6"/>
      <c r="W2685" s="6"/>
      <c r="X2685" s="6"/>
      <c r="Y2685" s="6"/>
      <c r="Z2685" s="6"/>
      <c r="AA2685" s="6"/>
    </row>
    <row r="2686" ht="14.25">
      <c r="B2686" s="4" t="s">
        <v>9645</v>
      </c>
      <c r="C2686" s="4" t="s">
        <v>20380</v>
      </c>
      <c r="D2686" s="4" t="s">
        <v>44</v>
      </c>
      <c r="E2686" s="4" t="s">
        <v>20381</v>
      </c>
      <c r="F2686" s="4" t="str">
        <f>IFERROR(__XLUDF.DUMMYFUNCTION("PROPER(REGEXREPLACE(D402,""[^A-Za-z]+ "",""""))"),"The Wizards")</f>
        <v xml:space="preserve">The Wizards</v>
      </c>
      <c r="G2686" s="4" t="s">
        <v>20382</v>
      </c>
      <c r="H2686" s="4">
        <v>20</v>
      </c>
      <c r="I2686" s="4" t="s">
        <v>2602</v>
      </c>
      <c r="J2686" s="4"/>
      <c r="K2686" s="5" t="s">
        <v>20383</v>
      </c>
      <c r="L2686" s="5" t="s">
        <v>20384</v>
      </c>
      <c r="M2686" s="6"/>
      <c r="N2686" s="4" t="s">
        <v>29</v>
      </c>
      <c r="O2686" s="4" t="s">
        <v>20385</v>
      </c>
      <c r="P2686" s="4" t="s">
        <v>1828</v>
      </c>
      <c r="Q2686" s="6"/>
      <c r="R2686" s="6"/>
      <c r="S2686" s="6"/>
      <c r="T2686" s="6"/>
      <c r="U2686" s="6"/>
      <c r="V2686" s="6"/>
      <c r="W2686" s="6"/>
      <c r="X2686" s="6"/>
      <c r="Y2686" s="6"/>
      <c r="Z2686" s="6"/>
      <c r="AA2686" s="6"/>
    </row>
    <row r="2687" ht="14.25">
      <c r="B2687" s="4" t="s">
        <v>20386</v>
      </c>
      <c r="C2687" s="4" t="s">
        <v>43</v>
      </c>
      <c r="D2687" s="4" t="s">
        <v>20387</v>
      </c>
      <c r="E2687" s="4" t="s">
        <v>20388</v>
      </c>
      <c r="F2687" s="4" t="str">
        <f>IFERROR(__XLUDF.DUMMYFUNCTION("PROPER(REGEXREPLACE(D403,""[^A-Za-z]+ "",""""))"),"Studio Twins Paris")</f>
        <v xml:space="preserve">Studio Twins Paris</v>
      </c>
      <c r="G2687" s="4" t="s">
        <v>20389</v>
      </c>
      <c r="H2687" s="4">
        <v>13</v>
      </c>
      <c r="I2687" s="4" t="s">
        <v>2602</v>
      </c>
      <c r="J2687" s="4" t="str">
        <f>IFERROR(__XLUDF.DUMMYFUNCTION("VLOOKUP(H403,IMPORTRANGE(""https://docs.google.com/spreadsheets/d/1opm6ZNvGZ7KditA9TuJwrZ25eFLfTNIkrNnY6mhV5Eg"",""list!A1:C115""),3,TRUE)"),"le secteur de la tech")</f>
        <v xml:space="preserve">le secteur de la tech</v>
      </c>
      <c r="K2687" s="5" t="s">
        <v>20390</v>
      </c>
      <c r="L2687" s="5" t="s">
        <v>20391</v>
      </c>
      <c r="M2687" s="4" t="s">
        <v>12291</v>
      </c>
      <c r="N2687" s="4" t="s">
        <v>29</v>
      </c>
      <c r="O2687" s="4" t="s">
        <v>20392</v>
      </c>
      <c r="P2687" s="4" t="s">
        <v>29</v>
      </c>
      <c r="Q2687" s="4" t="s">
        <v>20393</v>
      </c>
      <c r="R2687" s="6"/>
      <c r="S2687" s="6"/>
      <c r="T2687" s="6"/>
      <c r="U2687" s="6"/>
      <c r="V2687" s="6"/>
      <c r="W2687" s="6"/>
      <c r="X2687" s="6"/>
      <c r="Y2687" s="6"/>
      <c r="Z2687" s="6"/>
      <c r="AA2687" s="6"/>
    </row>
    <row r="2688" ht="14.25">
      <c r="B2688" s="4" t="s">
        <v>322</v>
      </c>
      <c r="C2688" s="4" t="s">
        <v>20394</v>
      </c>
      <c r="D2688" s="4" t="s">
        <v>71</v>
      </c>
      <c r="E2688" s="4" t="s">
        <v>20395</v>
      </c>
      <c r="F2688" s="4" t="str">
        <f>IFERROR(__XLUDF.DUMMYFUNCTION("PROPER(REGEXREPLACE(D404,""[^A-Za-z]+ "",""""))"),"Sharemundo")</f>
        <v>Sharemundo</v>
      </c>
      <c r="G2688" s="4" t="s">
        <v>20396</v>
      </c>
      <c r="H2688" s="4">
        <v>12</v>
      </c>
      <c r="I2688" s="4" t="s">
        <v>4067</v>
      </c>
      <c r="J2688" s="4" t="str">
        <f>IFERROR(__XLUDF.DUMMYFUNCTION("VLOOKUP(H404,IMPORTRANGE(""https://docs.google.com/spreadsheets/d/1opm6ZNvGZ7KditA9TuJwrZ25eFLfTNIkrNnY6mhV5Eg"",""list!A1:C115""),3,TRUE)"),"le secteur du conseil en management")</f>
        <v xml:space="preserve">le secteur du conseil en management</v>
      </c>
      <c r="K2688" s="5" t="s">
        <v>20397</v>
      </c>
      <c r="L2688" s="5" t="s">
        <v>20398</v>
      </c>
      <c r="M2688" s="4" t="s">
        <v>295</v>
      </c>
      <c r="N2688" s="4" t="s">
        <v>29</v>
      </c>
      <c r="O2688" s="4" t="s">
        <v>20399</v>
      </c>
      <c r="P2688" s="4" t="s">
        <v>29</v>
      </c>
      <c r="Q2688" s="6"/>
      <c r="R2688" s="6"/>
      <c r="S2688" s="6"/>
      <c r="T2688" s="6"/>
      <c r="U2688" s="6"/>
      <c r="V2688" s="6"/>
      <c r="W2688" s="6"/>
      <c r="X2688" s="6"/>
      <c r="Y2688" s="6"/>
      <c r="Z2688" s="6"/>
      <c r="AA2688" s="6"/>
    </row>
    <row r="2689" ht="14.25">
      <c r="B2689" s="4" t="s">
        <v>1421</v>
      </c>
      <c r="C2689" s="4" t="s">
        <v>20400</v>
      </c>
      <c r="D2689" s="4" t="s">
        <v>20401</v>
      </c>
      <c r="E2689" s="4" t="s">
        <v>20402</v>
      </c>
      <c r="F2689" s="4" t="str">
        <f>IFERROR(__XLUDF.DUMMYFUNCTION("PROPER(REGEXREPLACE(D405,""[^A-Za-z]+ "",""""))"),"Bikibiki")</f>
        <v>Bikibiki</v>
      </c>
      <c r="G2689" s="4" t="s">
        <v>20403</v>
      </c>
      <c r="H2689" s="4">
        <v>14</v>
      </c>
      <c r="I2689" s="4" t="s">
        <v>9161</v>
      </c>
      <c r="J2689" s="4" t="str">
        <f>IFERROR(__XLUDF.DUMMYFUNCTION("VLOOKUP(H405,IMPORTRANGE(""https://docs.google.com/spreadsheets/d/1opm6ZNvGZ7KditA9TuJwrZ25eFLfTNIkrNnY6mhV5Eg"",""list!A1:C115""),3,TRUE)"),"le secteur du marketing")</f>
        <v xml:space="preserve">le secteur du marketing</v>
      </c>
      <c r="K2689" s="5" t="s">
        <v>20404</v>
      </c>
      <c r="L2689" s="5" t="s">
        <v>20405</v>
      </c>
      <c r="M2689" s="4" t="s">
        <v>39</v>
      </c>
      <c r="N2689" s="4" t="s">
        <v>29</v>
      </c>
      <c r="O2689" s="4" t="s">
        <v>20406</v>
      </c>
      <c r="P2689" s="4" t="s">
        <v>29</v>
      </c>
      <c r="Q2689" s="4" t="s">
        <v>20402</v>
      </c>
      <c r="R2689" s="6"/>
      <c r="S2689" s="6"/>
      <c r="T2689" s="6"/>
      <c r="U2689" s="6"/>
      <c r="V2689" s="6"/>
      <c r="W2689" s="6"/>
      <c r="X2689" s="6"/>
      <c r="Y2689" s="6"/>
      <c r="Z2689" s="6"/>
      <c r="AA2689" s="6"/>
    </row>
    <row r="2690" ht="14.25">
      <c r="B2690" s="4" t="s">
        <v>4115</v>
      </c>
      <c r="C2690" s="4" t="s">
        <v>20407</v>
      </c>
      <c r="D2690" s="4" t="s">
        <v>265</v>
      </c>
      <c r="E2690" s="4" t="s">
        <v>20408</v>
      </c>
      <c r="F2690" s="4" t="str">
        <f>IFERROR(__XLUDF.DUMMYFUNCTION("PROPER(REGEXREPLACE(D406,""[^A-Za-z]+ "",""""))"),"Younicorns")</f>
        <v>Younicorns</v>
      </c>
      <c r="G2690" s="4" t="s">
        <v>20409</v>
      </c>
      <c r="H2690" s="4">
        <v>13</v>
      </c>
      <c r="I2690" s="4" t="s">
        <v>2602</v>
      </c>
      <c r="J2690" s="4" t="str">
        <f>IFERROR(__XLUDF.DUMMYFUNCTION("VLOOKUP(H406,IMPORTRANGE(""https://docs.google.com/spreadsheets/d/1opm6ZNvGZ7KditA9TuJwrZ25eFLfTNIkrNnY6mhV5Eg"",""list!A1:C115""),3,TRUE)"),"le secteur de la tech")</f>
        <v xml:space="preserve">le secteur de la tech</v>
      </c>
      <c r="K2690" s="5" t="s">
        <v>20410</v>
      </c>
      <c r="L2690" s="5" t="s">
        <v>20411</v>
      </c>
      <c r="M2690" s="6"/>
      <c r="N2690" s="4" t="s">
        <v>29</v>
      </c>
      <c r="O2690" s="4" t="s">
        <v>20412</v>
      </c>
      <c r="P2690" s="4" t="s">
        <v>29</v>
      </c>
      <c r="Q2690" s="4" t="s">
        <v>20413</v>
      </c>
      <c r="R2690" s="6"/>
      <c r="S2690" s="6"/>
      <c r="T2690" s="6"/>
      <c r="U2690" s="6"/>
      <c r="V2690" s="6"/>
      <c r="W2690" s="6"/>
      <c r="X2690" s="6"/>
      <c r="Y2690" s="6"/>
      <c r="Z2690" s="6"/>
      <c r="AA2690" s="6"/>
    </row>
    <row r="2691" ht="14.25">
      <c r="B2691" s="4" t="s">
        <v>1215</v>
      </c>
      <c r="C2691" s="4" t="s">
        <v>20414</v>
      </c>
      <c r="D2691" s="4" t="s">
        <v>172</v>
      </c>
      <c r="E2691" s="4" t="s">
        <v>20415</v>
      </c>
      <c r="F2691" s="4" t="str">
        <f>IFERROR(__XLUDF.DUMMYFUNCTION("PROPER(REGEXREPLACE(D407,""[^A-Za-z]+ "",""""))"),"Audélor")</f>
        <v>Audélor</v>
      </c>
      <c r="G2691" s="4" t="s">
        <v>20416</v>
      </c>
      <c r="H2691" s="4">
        <v>27</v>
      </c>
      <c r="I2691" s="4" t="s">
        <v>4067</v>
      </c>
      <c r="J2691" s="4"/>
      <c r="K2691" s="5" t="s">
        <v>20417</v>
      </c>
      <c r="L2691" s="5" t="s">
        <v>20418</v>
      </c>
      <c r="M2691" s="4" t="s">
        <v>5376</v>
      </c>
      <c r="N2691" s="4" t="s">
        <v>29</v>
      </c>
      <c r="O2691" s="4" t="s">
        <v>20419</v>
      </c>
      <c r="P2691" s="4" t="s">
        <v>29</v>
      </c>
      <c r="Q2691" s="4" t="s">
        <v>20420</v>
      </c>
      <c r="R2691" s="6"/>
      <c r="S2691" s="6"/>
      <c r="T2691" s="6"/>
      <c r="U2691" s="6"/>
      <c r="V2691" s="6"/>
      <c r="W2691" s="6"/>
      <c r="X2691" s="6"/>
      <c r="Y2691" s="6"/>
      <c r="Z2691" s="6"/>
      <c r="AA2691" s="6"/>
    </row>
    <row r="2692" ht="14.25">
      <c r="B2692" s="4" t="s">
        <v>2932</v>
      </c>
      <c r="C2692" s="4" t="s">
        <v>20421</v>
      </c>
      <c r="D2692" s="4" t="s">
        <v>1130</v>
      </c>
      <c r="E2692" s="4" t="s">
        <v>20422</v>
      </c>
      <c r="F2692" s="4" t="str">
        <f>IFERROR(__XLUDF.DUMMYFUNCTION("PROPER(REGEXREPLACE(D408,""[^A-Za-z]+ "",""""))"),"Hacanthe")</f>
        <v>Hacanthe</v>
      </c>
      <c r="G2692" s="4" t="s">
        <v>20423</v>
      </c>
      <c r="H2692" s="4">
        <v>11</v>
      </c>
      <c r="I2692" s="4" t="s">
        <v>2602</v>
      </c>
      <c r="J2692" s="4" t="str">
        <f>IFERROR(__XLUDF.DUMMYFUNCTION("VLOOKUP(H408,IMPORTRANGE(""https://docs.google.com/spreadsheets/d/1opm6ZNvGZ7KditA9TuJwrZ25eFLfTNIkrNnY6mhV5Eg"",""list!A1:C115""),3,TRUE)"),"le secteur de la tech")</f>
        <v xml:space="preserve">le secteur de la tech</v>
      </c>
      <c r="K2692" s="5" t="s">
        <v>20424</v>
      </c>
      <c r="L2692" s="5" t="s">
        <v>20425</v>
      </c>
      <c r="M2692" s="4" t="s">
        <v>846</v>
      </c>
      <c r="N2692" s="4" t="s">
        <v>29</v>
      </c>
      <c r="O2692" s="4" t="s">
        <v>20426</v>
      </c>
      <c r="P2692" s="4" t="s">
        <v>29</v>
      </c>
      <c r="Q2692" s="6"/>
      <c r="R2692" s="6"/>
      <c r="S2692" s="6"/>
      <c r="T2692" s="6"/>
      <c r="U2692" s="6"/>
      <c r="V2692" s="6"/>
      <c r="W2692" s="6"/>
      <c r="X2692" s="6"/>
      <c r="Y2692" s="6"/>
      <c r="Z2692" s="6"/>
      <c r="AA2692" s="6"/>
    </row>
    <row r="2693" ht="14.25">
      <c r="B2693" s="4" t="s">
        <v>222</v>
      </c>
      <c r="C2693" s="4" t="s">
        <v>20427</v>
      </c>
      <c r="D2693" s="4" t="s">
        <v>487</v>
      </c>
      <c r="E2693" s="4" t="s">
        <v>20428</v>
      </c>
      <c r="F2693" s="4" t="str">
        <f>IFERROR(__XLUDF.DUMMYFUNCTION("PROPER(REGEXREPLACE(D409,""[^A-Za-z]+ "",""""))"),"Phiseo")</f>
        <v>Phiseo</v>
      </c>
      <c r="G2693" s="4" t="s">
        <v>20429</v>
      </c>
      <c r="H2693" s="4">
        <v>8</v>
      </c>
      <c r="I2693" s="4" t="s">
        <v>10215</v>
      </c>
      <c r="J2693" s="4"/>
      <c r="K2693" s="5" t="s">
        <v>20430</v>
      </c>
      <c r="L2693" s="5" t="s">
        <v>20431</v>
      </c>
      <c r="M2693" s="6"/>
      <c r="N2693" s="4" t="s">
        <v>29</v>
      </c>
      <c r="O2693" s="4" t="s">
        <v>20432</v>
      </c>
      <c r="P2693" s="4" t="s">
        <v>29</v>
      </c>
      <c r="Q2693" s="6"/>
      <c r="R2693" s="6"/>
      <c r="S2693" s="6"/>
      <c r="T2693" s="6"/>
      <c r="U2693" s="6"/>
      <c r="V2693" s="6"/>
      <c r="W2693" s="6"/>
      <c r="X2693" s="6"/>
      <c r="Y2693" s="6"/>
      <c r="Z2693" s="6"/>
      <c r="AA2693" s="6"/>
    </row>
    <row r="2694" ht="14.25">
      <c r="B2694" s="4" t="s">
        <v>20433</v>
      </c>
      <c r="C2694" s="4" t="s">
        <v>20434</v>
      </c>
      <c r="D2694" s="4" t="s">
        <v>20435</v>
      </c>
      <c r="E2694" s="4" t="s">
        <v>20436</v>
      </c>
      <c r="F2694" s="4" t="str">
        <f>IFERROR(__XLUDF.DUMMYFUNCTION("PROPER(REGEXREPLACE(D410,""[^A-Za-z]+ "",""""))"),"Hi Interns")</f>
        <v xml:space="preserve">Hi Interns</v>
      </c>
      <c r="G2694" s="4" t="s">
        <v>20437</v>
      </c>
      <c r="H2694" s="4">
        <v>9</v>
      </c>
      <c r="I2694" s="4" t="s">
        <v>2602</v>
      </c>
      <c r="J2694" s="4" t="str">
        <f>IFERROR(__XLUDF.DUMMYFUNCTION("VLOOKUP(H410,IMPORTRANGE(""https://docs.google.com/spreadsheets/d/1opm6ZNvGZ7KditA9TuJwrZ25eFLfTNIkrNnY6mhV5Eg"",""list!A1:C115""),3,TRUE)"),"le secteur de la tech")</f>
        <v xml:space="preserve">le secteur de la tech</v>
      </c>
      <c r="K2694" s="5" t="s">
        <v>20438</v>
      </c>
      <c r="L2694" s="5" t="s">
        <v>20439</v>
      </c>
      <c r="M2694" s="4" t="s">
        <v>39</v>
      </c>
      <c r="N2694" s="4" t="s">
        <v>29</v>
      </c>
      <c r="O2694" s="4" t="s">
        <v>20440</v>
      </c>
      <c r="P2694" s="4" t="s">
        <v>9969</v>
      </c>
      <c r="Q2694" s="4" t="s">
        <v>20441</v>
      </c>
      <c r="R2694" s="6"/>
      <c r="S2694" s="6"/>
      <c r="T2694" s="6"/>
      <c r="U2694" s="6"/>
      <c r="V2694" s="6"/>
      <c r="W2694" s="6"/>
      <c r="X2694" s="6"/>
      <c r="Y2694" s="6"/>
      <c r="Z2694" s="6"/>
      <c r="AA2694" s="6"/>
    </row>
    <row r="2695" ht="14.25">
      <c r="B2695" s="4" t="s">
        <v>2643</v>
      </c>
      <c r="C2695" s="4" t="s">
        <v>20442</v>
      </c>
      <c r="D2695" s="4" t="s">
        <v>4586</v>
      </c>
      <c r="E2695" s="4" t="s">
        <v>20443</v>
      </c>
      <c r="F2695" s="4" t="str">
        <f>IFERROR(__XLUDF.DUMMYFUNCTION("PROPER(REGEXREPLACE(D411,""[^A-Za-z]+ "",""""))"),"Dixxit")</f>
        <v>Dixxit</v>
      </c>
      <c r="G2695" s="4" t="s">
        <v>20444</v>
      </c>
      <c r="H2695" s="4">
        <v>13</v>
      </c>
      <c r="I2695" s="4" t="s">
        <v>2602</v>
      </c>
      <c r="J2695" s="4" t="str">
        <f>IFERROR(__XLUDF.DUMMYFUNCTION("VLOOKUP(H411,IMPORTRANGE(""https://docs.google.com/spreadsheets/d/1opm6ZNvGZ7KditA9TuJwrZ25eFLfTNIkrNnY6mhV5Eg"",""list!A1:C115""),3,TRUE)"),"le secteur de la tech")</f>
        <v xml:space="preserve">le secteur de la tech</v>
      </c>
      <c r="K2695" s="5" t="s">
        <v>20445</v>
      </c>
      <c r="L2695" s="5" t="s">
        <v>20446</v>
      </c>
      <c r="M2695" s="4" t="s">
        <v>83</v>
      </c>
      <c r="N2695" s="4" t="s">
        <v>29</v>
      </c>
      <c r="O2695" s="4" t="s">
        <v>20447</v>
      </c>
      <c r="P2695" s="4" t="s">
        <v>29</v>
      </c>
      <c r="Q2695" s="4" t="s">
        <v>20448</v>
      </c>
      <c r="R2695" s="6"/>
      <c r="S2695" s="6"/>
      <c r="T2695" s="6"/>
      <c r="U2695" s="6"/>
      <c r="V2695" s="6"/>
      <c r="W2695" s="6"/>
      <c r="X2695" s="6"/>
      <c r="Y2695" s="6"/>
      <c r="Z2695" s="6"/>
      <c r="AA2695" s="6"/>
    </row>
    <row r="2696" ht="14.25">
      <c r="B2696" s="4" t="s">
        <v>1027</v>
      </c>
      <c r="C2696" s="4" t="s">
        <v>13870</v>
      </c>
      <c r="D2696" s="4" t="s">
        <v>112</v>
      </c>
      <c r="E2696" s="4" t="s">
        <v>20449</v>
      </c>
      <c r="F2696" s="4" t="str">
        <f>IFERROR(__XLUDF.DUMMYFUNCTION("PROPER(REGEXREPLACE(D412,""[^A-Za-z]+ "",""""))"),"Servimac Chemille")</f>
        <v xml:space="preserve">Servimac Chemille</v>
      </c>
      <c r="G2696" s="4" t="s">
        <v>20450</v>
      </c>
      <c r="H2696" s="4">
        <v>9</v>
      </c>
      <c r="I2696" s="4" t="s">
        <v>4525</v>
      </c>
      <c r="J2696" s="4"/>
      <c r="K2696" s="5" t="s">
        <v>20451</v>
      </c>
      <c r="L2696" s="5" t="s">
        <v>20452</v>
      </c>
      <c r="M2696" s="4" t="s">
        <v>20453</v>
      </c>
      <c r="N2696" s="4" t="s">
        <v>29</v>
      </c>
      <c r="O2696" s="4" t="s">
        <v>20454</v>
      </c>
      <c r="P2696" s="4" t="s">
        <v>29</v>
      </c>
      <c r="Q2696" s="6"/>
      <c r="R2696" s="6"/>
      <c r="S2696" s="6"/>
      <c r="T2696" s="6"/>
      <c r="U2696" s="6"/>
      <c r="V2696" s="6"/>
      <c r="W2696" s="6"/>
      <c r="X2696" s="6"/>
      <c r="Y2696" s="6"/>
      <c r="Z2696" s="6"/>
      <c r="AA2696" s="6"/>
    </row>
    <row r="2697" ht="14.25">
      <c r="B2697" s="4" t="s">
        <v>6626</v>
      </c>
      <c r="C2697" s="4" t="s">
        <v>20455</v>
      </c>
      <c r="D2697" s="4" t="s">
        <v>62</v>
      </c>
      <c r="E2697" s="4" t="s">
        <v>20456</v>
      </c>
      <c r="F2697" s="4" t="str">
        <f>IFERROR(__XLUDF.DUMMYFUNCTION("PROPER(REGEXREPLACE(D413,""[^A-Za-z]+ "",""""))"),"Systemgie")</f>
        <v>Systemgie</v>
      </c>
      <c r="G2697" s="4" t="s">
        <v>20457</v>
      </c>
      <c r="H2697" s="4">
        <v>31</v>
      </c>
      <c r="I2697" s="4" t="s">
        <v>4067</v>
      </c>
      <c r="J2697" s="4"/>
      <c r="K2697" s="5" t="s">
        <v>20458</v>
      </c>
      <c r="L2697" s="5" t="s">
        <v>20459</v>
      </c>
      <c r="M2697" s="4" t="s">
        <v>1826</v>
      </c>
      <c r="N2697" s="4" t="s">
        <v>29</v>
      </c>
      <c r="O2697" s="4" t="s">
        <v>20460</v>
      </c>
      <c r="P2697" s="4" t="s">
        <v>29</v>
      </c>
      <c r="Q2697" s="6"/>
      <c r="R2697" s="6"/>
      <c r="S2697" s="6"/>
      <c r="T2697" s="6"/>
      <c r="U2697" s="6"/>
      <c r="V2697" s="6"/>
      <c r="W2697" s="6"/>
      <c r="X2697" s="6"/>
      <c r="Y2697" s="6"/>
      <c r="Z2697" s="6"/>
      <c r="AA2697" s="6"/>
    </row>
    <row r="2698" ht="14.25">
      <c r="B2698" s="4" t="s">
        <v>653</v>
      </c>
      <c r="C2698" s="4" t="s">
        <v>20461</v>
      </c>
      <c r="D2698" s="4" t="s">
        <v>87</v>
      </c>
      <c r="E2698" s="4" t="s">
        <v>20462</v>
      </c>
      <c r="F2698" s="4" t="str">
        <f>IFERROR(__XLUDF.DUMMYFUNCTION("PROPER(REGEXREPLACE(D414,""[^A-Za-z]+ "",""""))"),"Data Vibes")</f>
        <v xml:space="preserve">Data Vibes</v>
      </c>
      <c r="G2698" s="4" t="s">
        <v>20463</v>
      </c>
      <c r="H2698" s="4">
        <v>10</v>
      </c>
      <c r="I2698" s="4" t="s">
        <v>2602</v>
      </c>
      <c r="J2698" s="4" t="str">
        <f>IFERROR(__XLUDF.DUMMYFUNCTION("VLOOKUP(H414,IMPORTRANGE(""https://docs.google.com/spreadsheets/d/1opm6ZNvGZ7KditA9TuJwrZ25eFLfTNIkrNnY6mhV5Eg"",""list!A1:C115""),3,TRUE)"),"le secteur de la tech")</f>
        <v xml:space="preserve">le secteur de la tech</v>
      </c>
      <c r="K2698" s="5" t="s">
        <v>20464</v>
      </c>
      <c r="L2698" s="5" t="s">
        <v>20465</v>
      </c>
      <c r="M2698" s="4" t="s">
        <v>295</v>
      </c>
      <c r="N2698" s="4" t="s">
        <v>29</v>
      </c>
      <c r="O2698" s="4" t="s">
        <v>20466</v>
      </c>
      <c r="P2698" s="4" t="s">
        <v>29</v>
      </c>
      <c r="Q2698" s="6"/>
      <c r="R2698" s="6"/>
      <c r="S2698" s="6"/>
      <c r="T2698" s="6"/>
      <c r="U2698" s="6"/>
      <c r="V2698" s="6"/>
      <c r="W2698" s="6"/>
      <c r="X2698" s="6"/>
      <c r="Y2698" s="6"/>
      <c r="Z2698" s="6"/>
      <c r="AA2698" s="6"/>
    </row>
    <row r="2699" ht="14.25">
      <c r="B2699" s="4" t="s">
        <v>874</v>
      </c>
      <c r="C2699" s="4" t="s">
        <v>20467</v>
      </c>
      <c r="D2699" s="4" t="s">
        <v>62</v>
      </c>
      <c r="E2699" s="4" t="s">
        <v>20468</v>
      </c>
      <c r="F2699" s="4" t="str">
        <f>IFERROR(__XLUDF.DUMMYFUNCTION("PROPER(REGEXREPLACE(D415,""[^A-Za-z]+ "",""""))"),"Functori")</f>
        <v>Functori</v>
      </c>
      <c r="G2699" s="4" t="s">
        <v>20469</v>
      </c>
      <c r="H2699" s="4">
        <v>12</v>
      </c>
      <c r="I2699" s="4" t="s">
        <v>2602</v>
      </c>
      <c r="J2699" s="4"/>
      <c r="K2699" s="5" t="s">
        <v>20470</v>
      </c>
      <c r="L2699" s="5" t="s">
        <v>20471</v>
      </c>
      <c r="M2699" s="4" t="s">
        <v>2186</v>
      </c>
      <c r="N2699" s="4" t="s">
        <v>29</v>
      </c>
      <c r="O2699" s="4" t="s">
        <v>20472</v>
      </c>
      <c r="P2699" s="4" t="s">
        <v>29</v>
      </c>
      <c r="Q2699" s="4" t="s">
        <v>20473</v>
      </c>
      <c r="R2699" s="6"/>
      <c r="S2699" s="6"/>
      <c r="T2699" s="6"/>
      <c r="U2699" s="6"/>
      <c r="V2699" s="6"/>
      <c r="W2699" s="6"/>
      <c r="X2699" s="6"/>
      <c r="Y2699" s="6"/>
      <c r="Z2699" s="6"/>
      <c r="AA2699" s="6"/>
    </row>
    <row r="2700" ht="14.25">
      <c r="B2700" s="4" t="s">
        <v>1070</v>
      </c>
      <c r="C2700" s="4" t="s">
        <v>19562</v>
      </c>
      <c r="D2700" s="4" t="s">
        <v>62</v>
      </c>
      <c r="E2700" s="4" t="s">
        <v>20474</v>
      </c>
      <c r="F2700" s="4" t="str">
        <f>IFERROR(__XLUDF.DUMMYFUNCTION("PROPER(REGEXREPLACE(D416,""[^A-Za-z]+ "",""""))"),"Numeric Way")</f>
        <v xml:space="preserve">Numeric Way</v>
      </c>
      <c r="G2700" s="4" t="s">
        <v>20475</v>
      </c>
      <c r="H2700" s="4">
        <v>18</v>
      </c>
      <c r="I2700" s="4" t="s">
        <v>2602</v>
      </c>
      <c r="J2700" s="4"/>
      <c r="K2700" s="5" t="s">
        <v>20476</v>
      </c>
      <c r="L2700" s="5" t="s">
        <v>20477</v>
      </c>
      <c r="M2700" s="4" t="s">
        <v>83</v>
      </c>
      <c r="N2700" s="4" t="s">
        <v>29</v>
      </c>
      <c r="O2700" s="4" t="s">
        <v>20478</v>
      </c>
      <c r="P2700" s="4" t="s">
        <v>848</v>
      </c>
      <c r="Q2700" s="4" t="s">
        <v>20479</v>
      </c>
      <c r="R2700" s="6"/>
      <c r="S2700" s="6"/>
      <c r="T2700" s="6"/>
      <c r="U2700" s="6"/>
      <c r="V2700" s="6"/>
      <c r="W2700" s="6"/>
      <c r="X2700" s="6"/>
      <c r="Y2700" s="6"/>
      <c r="Z2700" s="6"/>
      <c r="AA2700" s="6"/>
    </row>
    <row r="2701" ht="14.25">
      <c r="B2701" s="4" t="s">
        <v>110</v>
      </c>
      <c r="C2701" s="4" t="s">
        <v>20480</v>
      </c>
      <c r="D2701" s="4" t="s">
        <v>426</v>
      </c>
      <c r="E2701" s="4" t="s">
        <v>20481</v>
      </c>
      <c r="F2701" s="4" t="str">
        <f>IFERROR(__XLUDF.DUMMYFUNCTION("PROPER(REGEXREPLACE(D417,""[^A-Za-z]+ "",""""))"),"Haxoneo")</f>
        <v>Haxoneo</v>
      </c>
      <c r="G2701" s="4" t="s">
        <v>20482</v>
      </c>
      <c r="H2701" s="4">
        <v>23</v>
      </c>
      <c r="I2701" s="4" t="s">
        <v>4525</v>
      </c>
      <c r="J2701" s="4" t="str">
        <f>IFERROR(__XLUDF.DUMMYFUNCTION("VLOOKUP(H417,IMPORTRANGE(""https://docs.google.com/spreadsheets/d/1opm6ZNvGZ7KditA9TuJwrZ25eFLfTNIkrNnY6mhV5Eg"",""list!A1:C115""),3,TRUE)"),"le secteur du retail")</f>
        <v xml:space="preserve">le secteur du retail</v>
      </c>
      <c r="K2701" s="5" t="s">
        <v>20483</v>
      </c>
      <c r="L2701" s="5" t="s">
        <v>20484</v>
      </c>
      <c r="M2701" s="4" t="s">
        <v>846</v>
      </c>
      <c r="N2701" s="4" t="s">
        <v>29</v>
      </c>
      <c r="O2701" s="4" t="s">
        <v>20485</v>
      </c>
      <c r="P2701" s="4" t="s">
        <v>29</v>
      </c>
      <c r="Q2701" s="4" t="s">
        <v>20486</v>
      </c>
      <c r="R2701" s="6"/>
      <c r="S2701" s="6"/>
      <c r="T2701" s="6"/>
      <c r="U2701" s="6"/>
      <c r="V2701" s="6"/>
      <c r="W2701" s="6"/>
      <c r="X2701" s="6"/>
      <c r="Y2701" s="6"/>
      <c r="Z2701" s="6"/>
      <c r="AA2701" s="6"/>
    </row>
    <row r="2702" ht="14.25">
      <c r="B2702" s="4" t="s">
        <v>69</v>
      </c>
      <c r="C2702" s="4" t="s">
        <v>4843</v>
      </c>
      <c r="D2702" s="4" t="s">
        <v>20487</v>
      </c>
      <c r="E2702" s="4" t="s">
        <v>20488</v>
      </c>
      <c r="F2702" s="4" t="str">
        <f>IFERROR(__XLUDF.DUMMYFUNCTION("PROPER(REGEXREPLACE(D418,""[^A-Za-z]+ "",""""))"),"Diampark")</f>
        <v>Diampark</v>
      </c>
      <c r="G2702" s="4" t="s">
        <v>20489</v>
      </c>
      <c r="H2702" s="4">
        <v>11</v>
      </c>
      <c r="I2702" s="4" t="s">
        <v>2602</v>
      </c>
      <c r="J2702" s="4"/>
      <c r="K2702" s="5" t="s">
        <v>20490</v>
      </c>
      <c r="L2702" s="5" t="s">
        <v>20491</v>
      </c>
      <c r="M2702" s="4" t="s">
        <v>39</v>
      </c>
      <c r="N2702" s="4" t="s">
        <v>29</v>
      </c>
      <c r="O2702" s="4" t="s">
        <v>67</v>
      </c>
      <c r="P2702" s="4" t="s">
        <v>29</v>
      </c>
      <c r="Q2702" s="4" t="s">
        <v>20492</v>
      </c>
      <c r="R2702" s="6"/>
      <c r="S2702" s="6"/>
      <c r="T2702" s="6"/>
      <c r="U2702" s="6"/>
      <c r="V2702" s="6"/>
      <c r="W2702" s="6"/>
      <c r="X2702" s="6"/>
      <c r="Y2702" s="6"/>
      <c r="Z2702" s="6"/>
      <c r="AA2702" s="6"/>
    </row>
    <row r="2703" ht="14.25">
      <c r="B2703" s="4" t="s">
        <v>20493</v>
      </c>
      <c r="C2703" s="4" t="s">
        <v>14355</v>
      </c>
      <c r="D2703" s="4" t="s">
        <v>71</v>
      </c>
      <c r="E2703" s="4" t="s">
        <v>11455</v>
      </c>
      <c r="F2703" s="4" t="str">
        <f>IFERROR(__XLUDF.DUMMYFUNCTION("PROPER(REGEXREPLACE(D419,""[^A-Za-z]+ "",""""))"),"Assetsman")</f>
        <v>Assetsman</v>
      </c>
      <c r="G2703" s="4" t="s">
        <v>20494</v>
      </c>
      <c r="H2703" s="4">
        <v>16</v>
      </c>
      <c r="I2703" s="4" t="s">
        <v>4067</v>
      </c>
      <c r="J2703" s="4" t="str">
        <f>IFERROR(__XLUDF.DUMMYFUNCTION("VLOOKUP(H419,IMPORTRANGE(""https://docs.google.com/spreadsheets/d/1opm6ZNvGZ7KditA9TuJwrZ25eFLfTNIkrNnY6mhV5Eg"",""list!A1:C115""),3,TRUE)"),"le secteur du conseil en management")</f>
        <v xml:space="preserve">le secteur du conseil en management</v>
      </c>
      <c r="K2703" s="5" t="s">
        <v>20495</v>
      </c>
      <c r="L2703" s="5" t="s">
        <v>20496</v>
      </c>
      <c r="M2703" s="4" t="s">
        <v>39</v>
      </c>
      <c r="N2703" s="4" t="s">
        <v>29</v>
      </c>
      <c r="O2703" s="4" t="s">
        <v>20497</v>
      </c>
      <c r="P2703" s="4" t="s">
        <v>29</v>
      </c>
      <c r="Q2703" s="4" t="s">
        <v>11460</v>
      </c>
      <c r="R2703" s="6"/>
      <c r="S2703" s="6"/>
      <c r="T2703" s="6"/>
      <c r="U2703" s="6"/>
      <c r="V2703" s="6"/>
      <c r="W2703" s="6"/>
      <c r="X2703" s="6"/>
      <c r="Y2703" s="6"/>
      <c r="Z2703" s="6"/>
      <c r="AA2703" s="6"/>
    </row>
    <row r="2704" ht="14.25">
      <c r="B2704" s="4" t="s">
        <v>4026</v>
      </c>
      <c r="C2704" s="4" t="s">
        <v>20498</v>
      </c>
      <c r="D2704" s="4" t="s">
        <v>172</v>
      </c>
      <c r="E2704" s="4" t="s">
        <v>20499</v>
      </c>
      <c r="F2704" s="4" t="str">
        <f>IFERROR(__XLUDF.DUMMYFUNCTION("PROPER(REGEXREPLACE(D420,""[^A-Za-z]+ "",""""))"),"Bcc")</f>
        <v>Bcc</v>
      </c>
      <c r="G2704" s="4" t="s">
        <v>20500</v>
      </c>
      <c r="H2704" s="4">
        <v>35</v>
      </c>
      <c r="I2704" s="4" t="s">
        <v>4067</v>
      </c>
      <c r="J2704" s="4"/>
      <c r="K2704" s="5" t="s">
        <v>20501</v>
      </c>
      <c r="L2704" s="5" t="s">
        <v>20502</v>
      </c>
      <c r="M2704" s="4" t="s">
        <v>9916</v>
      </c>
      <c r="N2704" s="4" t="s">
        <v>29</v>
      </c>
      <c r="O2704" s="4" t="s">
        <v>20503</v>
      </c>
      <c r="P2704" s="4" t="s">
        <v>29</v>
      </c>
      <c r="Q2704" s="4" t="s">
        <v>20504</v>
      </c>
      <c r="R2704" s="6"/>
      <c r="S2704" s="6"/>
      <c r="T2704" s="6"/>
      <c r="U2704" s="6"/>
      <c r="V2704" s="6"/>
      <c r="W2704" s="6"/>
      <c r="X2704" s="6"/>
      <c r="Y2704" s="6"/>
      <c r="Z2704" s="6"/>
      <c r="AA2704" s="6"/>
    </row>
    <row r="2705" ht="14.25">
      <c r="B2705" s="4" t="s">
        <v>2242</v>
      </c>
      <c r="C2705" s="4" t="s">
        <v>20505</v>
      </c>
      <c r="D2705" s="4" t="s">
        <v>172</v>
      </c>
      <c r="E2705" s="4" t="s">
        <v>20506</v>
      </c>
      <c r="F2705" s="4" t="str">
        <f>IFERROR(__XLUDF.DUMMYFUNCTION("PROPER(REGEXREPLACE(D421,""[^A-Za-z]+ "",""""))"),"Issho")</f>
        <v>Issho</v>
      </c>
      <c r="G2705" s="4" t="s">
        <v>20507</v>
      </c>
      <c r="H2705" s="4">
        <v>27</v>
      </c>
      <c r="I2705" s="4" t="s">
        <v>4067</v>
      </c>
      <c r="J2705" s="4" t="str">
        <f>IFERROR(__XLUDF.DUMMYFUNCTION("VLOOKUP(H421,IMPORTRANGE(""https://docs.google.com/spreadsheets/d/1opm6ZNvGZ7KditA9TuJwrZ25eFLfTNIkrNnY6mhV5Eg"",""list!A1:C115""),3,TRUE)"),"le secteur du conseil en management")</f>
        <v xml:space="preserve">le secteur du conseil en management</v>
      </c>
      <c r="K2705" s="5" t="s">
        <v>20508</v>
      </c>
      <c r="L2705" s="5" t="s">
        <v>20509</v>
      </c>
      <c r="M2705" s="4" t="s">
        <v>39</v>
      </c>
      <c r="N2705" s="4" t="s">
        <v>29</v>
      </c>
      <c r="O2705" s="4" t="s">
        <v>67</v>
      </c>
      <c r="P2705" s="4" t="s">
        <v>29</v>
      </c>
      <c r="Q2705" s="6"/>
      <c r="R2705" s="6"/>
      <c r="S2705" s="6"/>
      <c r="T2705" s="6"/>
      <c r="U2705" s="6"/>
      <c r="V2705" s="6"/>
      <c r="W2705" s="6"/>
      <c r="X2705" s="6"/>
      <c r="Y2705" s="6"/>
      <c r="Z2705" s="6"/>
      <c r="AA2705" s="6"/>
    </row>
    <row r="2706" ht="14.25">
      <c r="B2706" s="4" t="s">
        <v>1198</v>
      </c>
      <c r="C2706" s="4" t="s">
        <v>20510</v>
      </c>
      <c r="D2706" s="4" t="s">
        <v>87</v>
      </c>
      <c r="E2706" s="4" t="s">
        <v>20511</v>
      </c>
      <c r="F2706" s="4" t="str">
        <f>IFERROR(__XLUDF.DUMMYFUNCTION("PROPER(REGEXREPLACE(D422,""[^A-Za-z]+ "",""""))"),"Zebox")</f>
        <v>Zebox</v>
      </c>
      <c r="G2706" s="4" t="s">
        <v>20512</v>
      </c>
      <c r="H2706" s="4">
        <v>26</v>
      </c>
      <c r="I2706" s="4" t="s">
        <v>18698</v>
      </c>
      <c r="J2706" s="4"/>
      <c r="K2706" s="5" t="s">
        <v>20513</v>
      </c>
      <c r="L2706" s="5" t="s">
        <v>20514</v>
      </c>
      <c r="M2706" s="4" t="s">
        <v>295</v>
      </c>
      <c r="N2706" s="4" t="s">
        <v>29</v>
      </c>
      <c r="O2706" s="4" t="s">
        <v>20515</v>
      </c>
      <c r="P2706" s="4" t="s">
        <v>29</v>
      </c>
      <c r="Q2706" s="4" t="s">
        <v>20516</v>
      </c>
      <c r="R2706" s="6"/>
      <c r="S2706" s="6"/>
      <c r="T2706" s="6"/>
      <c r="U2706" s="6"/>
      <c r="V2706" s="6"/>
      <c r="W2706" s="6"/>
      <c r="X2706" s="6"/>
      <c r="Y2706" s="6"/>
      <c r="Z2706" s="6"/>
      <c r="AA2706" s="6"/>
    </row>
    <row r="2707" ht="14.25">
      <c r="B2707" s="4" t="s">
        <v>5252</v>
      </c>
      <c r="C2707" s="4" t="s">
        <v>20517</v>
      </c>
      <c r="D2707" s="4" t="s">
        <v>172</v>
      </c>
      <c r="E2707" s="4" t="s">
        <v>20518</v>
      </c>
      <c r="F2707" s="4" t="str">
        <f>IFERROR(__XLUDF.DUMMYFUNCTION("PROPER(REGEXREPLACE(D423,""[^A-Za-z]+ "",""""))"),"Cidi Groupe")</f>
        <v xml:space="preserve">Cidi Groupe</v>
      </c>
      <c r="G2707" s="4" t="s">
        <v>20519</v>
      </c>
      <c r="H2707" s="4">
        <v>46</v>
      </c>
      <c r="I2707" s="4" t="s">
        <v>9161</v>
      </c>
      <c r="J2707" s="4"/>
      <c r="K2707" s="5" t="s">
        <v>20520</v>
      </c>
      <c r="L2707" s="5" t="s">
        <v>20521</v>
      </c>
      <c r="M2707" s="6"/>
      <c r="N2707" s="4" t="s">
        <v>29</v>
      </c>
      <c r="O2707" s="4" t="s">
        <v>20522</v>
      </c>
      <c r="P2707" s="4" t="s">
        <v>29</v>
      </c>
      <c r="Q2707" s="6"/>
      <c r="R2707" s="6"/>
      <c r="S2707" s="6"/>
      <c r="T2707" s="6"/>
      <c r="U2707" s="6"/>
      <c r="V2707" s="6"/>
      <c r="W2707" s="6"/>
      <c r="X2707" s="6"/>
      <c r="Y2707" s="6"/>
      <c r="Z2707" s="6"/>
      <c r="AA2707" s="6"/>
    </row>
    <row r="2708" ht="14.25">
      <c r="B2708" s="4" t="s">
        <v>17911</v>
      </c>
      <c r="C2708" s="4" t="s">
        <v>20523</v>
      </c>
      <c r="D2708" s="4" t="s">
        <v>87</v>
      </c>
      <c r="E2708" s="4" t="s">
        <v>20524</v>
      </c>
      <c r="F2708" s="4" t="str">
        <f>IFERROR(__XLUDF.DUMMYFUNCTION("PROPER(REGEXREPLACE(D424,""[^A-Za-z]+ "",""""))"),"Sedere")</f>
        <v>Sedere</v>
      </c>
      <c r="G2708" s="4" t="s">
        <v>20525</v>
      </c>
      <c r="H2708" s="4">
        <v>14</v>
      </c>
      <c r="I2708" s="4" t="s">
        <v>10215</v>
      </c>
      <c r="J2708" s="4"/>
      <c r="K2708" s="5" t="s">
        <v>20526</v>
      </c>
      <c r="L2708" s="5" t="s">
        <v>20527</v>
      </c>
      <c r="M2708" s="4" t="s">
        <v>20528</v>
      </c>
      <c r="N2708" s="4" t="s">
        <v>29</v>
      </c>
      <c r="O2708" s="4" t="s">
        <v>20529</v>
      </c>
      <c r="P2708" s="4" t="s">
        <v>29</v>
      </c>
      <c r="Q2708" s="4" t="s">
        <v>20530</v>
      </c>
      <c r="R2708" s="6"/>
      <c r="S2708" s="6"/>
      <c r="T2708" s="6"/>
      <c r="U2708" s="6"/>
      <c r="V2708" s="6"/>
      <c r="W2708" s="6"/>
      <c r="X2708" s="6"/>
      <c r="Y2708" s="6"/>
      <c r="Z2708" s="6"/>
      <c r="AA2708" s="6"/>
    </row>
    <row r="2709" ht="14.25">
      <c r="B2709" s="4" t="s">
        <v>20531</v>
      </c>
      <c r="C2709" s="4" t="s">
        <v>20532</v>
      </c>
      <c r="D2709" s="4" t="s">
        <v>20533</v>
      </c>
      <c r="E2709" s="4" t="s">
        <v>20534</v>
      </c>
      <c r="F2709" s="4" t="str">
        <f>IFERROR(__XLUDF.DUMMYFUNCTION("PROPER(REGEXREPLACE(D425,""[^A-Za-z]+ "",""""))"),"Crafteam")</f>
        <v>Crafteam</v>
      </c>
      <c r="G2709" s="4" t="s">
        <v>20535</v>
      </c>
      <c r="H2709" s="4">
        <v>21</v>
      </c>
      <c r="I2709" s="4" t="s">
        <v>2602</v>
      </c>
      <c r="J2709" s="4" t="str">
        <f>IFERROR(__XLUDF.DUMMYFUNCTION("VLOOKUP(H425,IMPORTRANGE(""https://docs.google.com/spreadsheets/d/1opm6ZNvGZ7KditA9TuJwrZ25eFLfTNIkrNnY6mhV5Eg"",""list!A1:C115""),3,TRUE)"),"le secteur de la tech")</f>
        <v xml:space="preserve">le secteur de la tech</v>
      </c>
      <c r="K2709" s="5" t="s">
        <v>20536</v>
      </c>
      <c r="L2709" s="5" t="s">
        <v>20537</v>
      </c>
      <c r="M2709" s="4" t="s">
        <v>39</v>
      </c>
      <c r="N2709" s="4" t="s">
        <v>29</v>
      </c>
      <c r="O2709" s="4" t="s">
        <v>20538</v>
      </c>
      <c r="P2709" s="4" t="s">
        <v>29</v>
      </c>
      <c r="Q2709" s="6"/>
      <c r="R2709" s="6"/>
      <c r="S2709" s="6"/>
      <c r="T2709" s="6"/>
      <c r="U2709" s="6"/>
      <c r="V2709" s="6"/>
      <c r="W2709" s="6"/>
      <c r="X2709" s="6"/>
      <c r="Y2709" s="6"/>
      <c r="Z2709" s="6"/>
      <c r="AA2709" s="6"/>
    </row>
    <row r="2710" ht="14.25">
      <c r="B2710" s="4" t="s">
        <v>330</v>
      </c>
      <c r="C2710" s="4" t="s">
        <v>2119</v>
      </c>
      <c r="D2710" s="4" t="s">
        <v>20539</v>
      </c>
      <c r="E2710" s="4" t="s">
        <v>20540</v>
      </c>
      <c r="F2710" s="4" t="str">
        <f>IFERROR(__XLUDF.DUMMYFUNCTION("PROPER(REGEXREPLACE(D426,""[^A-Za-z]+ "",""""))"),"Virtualys")</f>
        <v>Virtualys</v>
      </c>
      <c r="G2710" s="4" t="s">
        <v>20541</v>
      </c>
      <c r="H2710" s="4">
        <v>11</v>
      </c>
      <c r="I2710" s="4" t="s">
        <v>2602</v>
      </c>
      <c r="J2710" s="4"/>
      <c r="K2710" s="5" t="s">
        <v>20542</v>
      </c>
      <c r="L2710" s="5" t="s">
        <v>20543</v>
      </c>
      <c r="M2710" s="4" t="s">
        <v>439</v>
      </c>
      <c r="N2710" s="4" t="s">
        <v>29</v>
      </c>
      <c r="O2710" s="4" t="s">
        <v>20544</v>
      </c>
      <c r="P2710" s="4" t="s">
        <v>29</v>
      </c>
      <c r="Q2710" s="4" t="s">
        <v>20545</v>
      </c>
      <c r="R2710" s="6"/>
      <c r="S2710" s="6"/>
      <c r="T2710" s="6"/>
      <c r="U2710" s="6"/>
      <c r="V2710" s="6"/>
      <c r="W2710" s="6"/>
      <c r="X2710" s="6"/>
      <c r="Y2710" s="6"/>
      <c r="Z2710" s="6"/>
      <c r="AA2710" s="6"/>
    </row>
    <row r="2711" ht="14.25">
      <c r="B2711" s="4" t="s">
        <v>76</v>
      </c>
      <c r="C2711" s="4" t="s">
        <v>20546</v>
      </c>
      <c r="D2711" s="4" t="s">
        <v>20547</v>
      </c>
      <c r="E2711" s="4" t="s">
        <v>20548</v>
      </c>
      <c r="F2711" s="4" t="str">
        <f>IFERROR(__XLUDF.DUMMYFUNCTION("PROPER(REGEXREPLACE(D427,""[^A-Za-z]+ "",""""))"),"Airtelis")</f>
        <v>Airtelis</v>
      </c>
      <c r="G2711" s="4" t="s">
        <v>20549</v>
      </c>
      <c r="H2711" s="4">
        <v>16</v>
      </c>
      <c r="I2711" s="4" t="s">
        <v>4067</v>
      </c>
      <c r="J2711" s="4"/>
      <c r="K2711" s="5" t="s">
        <v>20550</v>
      </c>
      <c r="L2711" s="5" t="s">
        <v>20551</v>
      </c>
      <c r="M2711" s="4" t="s">
        <v>3848</v>
      </c>
      <c r="N2711" s="4" t="s">
        <v>29</v>
      </c>
      <c r="O2711" s="4" t="s">
        <v>20552</v>
      </c>
      <c r="P2711" s="4" t="s">
        <v>29</v>
      </c>
      <c r="Q2711" s="4" t="s">
        <v>20553</v>
      </c>
      <c r="R2711" s="6"/>
      <c r="S2711" s="6"/>
      <c r="T2711" s="6"/>
      <c r="U2711" s="6"/>
      <c r="V2711" s="6"/>
      <c r="W2711" s="6"/>
      <c r="X2711" s="6"/>
      <c r="Y2711" s="6"/>
      <c r="Z2711" s="6"/>
      <c r="AA2711" s="6"/>
    </row>
    <row r="2712" ht="14.25">
      <c r="B2712" s="4" t="s">
        <v>6923</v>
      </c>
      <c r="C2712" s="4" t="s">
        <v>17842</v>
      </c>
      <c r="D2712" s="4" t="s">
        <v>20554</v>
      </c>
      <c r="E2712" s="4" t="s">
        <v>20555</v>
      </c>
      <c r="F2712" s="4" t="str">
        <f>IFERROR(__XLUDF.DUMMYFUNCTION("PROPER(REGEXREPLACE(D428,""[^A-Za-z]+ "",""""))"),"Scyllage")</f>
        <v>Scyllage</v>
      </c>
      <c r="G2712" s="4" t="s">
        <v>20556</v>
      </c>
      <c r="H2712" s="4">
        <v>10</v>
      </c>
      <c r="I2712" s="4" t="s">
        <v>20557</v>
      </c>
      <c r="J2712" s="4" t="str">
        <f>IFERROR(__XLUDF.DUMMYFUNCTION("VLOOKUP(H428,IMPORTRANGE(""https://docs.google.com/spreadsheets/d/1opm6ZNvGZ7KditA9TuJwrZ25eFLfTNIkrNnY6mhV5Eg"",""list!A1:C115""),3,TRUE)"),"le secteur des ressources humaines")</f>
        <v xml:space="preserve">le secteur des ressources humaines</v>
      </c>
      <c r="K2712" s="5" t="s">
        <v>20558</v>
      </c>
      <c r="L2712" s="5" t="s">
        <v>20559</v>
      </c>
      <c r="M2712" s="4" t="s">
        <v>39</v>
      </c>
      <c r="N2712" s="4" t="s">
        <v>29</v>
      </c>
      <c r="O2712" s="4" t="s">
        <v>20560</v>
      </c>
      <c r="P2712" s="4" t="s">
        <v>29</v>
      </c>
      <c r="Q2712" s="4" t="s">
        <v>20561</v>
      </c>
      <c r="R2712" s="6"/>
      <c r="S2712" s="6"/>
      <c r="T2712" s="6"/>
      <c r="U2712" s="6"/>
      <c r="V2712" s="6"/>
      <c r="W2712" s="6"/>
      <c r="X2712" s="6"/>
      <c r="Y2712" s="6"/>
      <c r="Z2712" s="6"/>
      <c r="AA2712" s="6"/>
    </row>
    <row r="2713" ht="14.25">
      <c r="B2713" s="4" t="s">
        <v>653</v>
      </c>
      <c r="C2713" s="4" t="s">
        <v>20562</v>
      </c>
      <c r="D2713" s="4" t="s">
        <v>20563</v>
      </c>
      <c r="E2713" s="4" t="s">
        <v>20564</v>
      </c>
      <c r="F2713" s="4" t="str">
        <f>IFERROR(__XLUDF.DUMMYFUNCTION("PROPER(REGEXREPLACE(D429,""[^A-Za-z]+ "",""""))"),"Danim")</f>
        <v>Danim</v>
      </c>
      <c r="G2713" s="4" t="s">
        <v>20565</v>
      </c>
      <c r="H2713" s="4">
        <v>44</v>
      </c>
      <c r="I2713" s="4" t="s">
        <v>2602</v>
      </c>
      <c r="J2713" s="4"/>
      <c r="K2713" s="5" t="s">
        <v>20566</v>
      </c>
      <c r="L2713" s="5" t="s">
        <v>20567</v>
      </c>
      <c r="M2713" s="4" t="s">
        <v>774</v>
      </c>
      <c r="N2713" s="4" t="s">
        <v>29</v>
      </c>
      <c r="O2713" s="4" t="s">
        <v>67</v>
      </c>
      <c r="P2713" s="4" t="s">
        <v>29</v>
      </c>
      <c r="Q2713" s="4" t="s">
        <v>20568</v>
      </c>
      <c r="R2713" s="6"/>
      <c r="S2713" s="6"/>
      <c r="T2713" s="6"/>
      <c r="U2713" s="6"/>
      <c r="V2713" s="6"/>
      <c r="W2713" s="6"/>
      <c r="X2713" s="6"/>
      <c r="Y2713" s="6"/>
      <c r="Z2713" s="6"/>
      <c r="AA2713" s="6"/>
    </row>
    <row r="2714" ht="14.25">
      <c r="B2714" s="4" t="s">
        <v>2932</v>
      </c>
      <c r="C2714" s="4" t="s">
        <v>20569</v>
      </c>
      <c r="D2714" s="4" t="s">
        <v>10444</v>
      </c>
      <c r="E2714" s="4" t="s">
        <v>20570</v>
      </c>
      <c r="F2714" s="4" t="str">
        <f>IFERROR(__XLUDF.DUMMYFUNCTION("PROPER(REGEXREPLACE(D430,""[^A-Za-z]+ "",""""))"),"Quobly")</f>
        <v>Quobly</v>
      </c>
      <c r="G2714" s="4" t="s">
        <v>20571</v>
      </c>
      <c r="H2714" s="4">
        <v>35</v>
      </c>
      <c r="I2714" s="4" t="s">
        <v>2602</v>
      </c>
      <c r="J2714" s="4" t="str">
        <f>IFERROR(__XLUDF.DUMMYFUNCTION("VLOOKUP(H430,IMPORTRANGE(""https://docs.google.com/spreadsheets/d/1opm6ZNvGZ7KditA9TuJwrZ25eFLfTNIkrNnY6mhV5Eg"",""list!A1:C115""),3,TRUE)"),"le secteur de la tech")</f>
        <v xml:space="preserve">le secteur de la tech</v>
      </c>
      <c r="K2714" s="5" t="s">
        <v>20572</v>
      </c>
      <c r="L2714" s="5" t="s">
        <v>20573</v>
      </c>
      <c r="M2714" s="4" t="s">
        <v>1507</v>
      </c>
      <c r="N2714" s="4" t="s">
        <v>29</v>
      </c>
      <c r="O2714" s="4" t="s">
        <v>1851</v>
      </c>
      <c r="P2714" s="4" t="s">
        <v>29</v>
      </c>
      <c r="Q2714" s="4" t="s">
        <v>20574</v>
      </c>
      <c r="R2714" s="6"/>
      <c r="S2714" s="6"/>
      <c r="T2714" s="6"/>
      <c r="U2714" s="6"/>
      <c r="V2714" s="6"/>
      <c r="W2714" s="6"/>
      <c r="X2714" s="6"/>
      <c r="Y2714" s="6"/>
      <c r="Z2714" s="6"/>
      <c r="AA2714" s="6"/>
    </row>
    <row r="2715" ht="14.25">
      <c r="B2715" s="4" t="s">
        <v>20575</v>
      </c>
      <c r="C2715" s="4" t="s">
        <v>20576</v>
      </c>
      <c r="D2715" s="4" t="s">
        <v>20577</v>
      </c>
      <c r="E2715" s="4" t="s">
        <v>20578</v>
      </c>
      <c r="F2715" s="4" t="str">
        <f>IFERROR(__XLUDF.DUMMYFUNCTION("PROPER(REGEXREPLACE(D431,""[^A-Za-z]+ "",""""))"),"Eas'Ia")</f>
        <v>Eas'Ia</v>
      </c>
      <c r="G2715" s="4" t="s">
        <v>20579</v>
      </c>
      <c r="H2715" s="4">
        <v>5</v>
      </c>
      <c r="I2715" s="4" t="s">
        <v>2602</v>
      </c>
      <c r="J2715" s="4"/>
      <c r="K2715" s="5" t="s">
        <v>20580</v>
      </c>
      <c r="L2715" s="5" t="s">
        <v>20581</v>
      </c>
      <c r="M2715" s="4" t="s">
        <v>10699</v>
      </c>
      <c r="N2715" s="4" t="s">
        <v>29</v>
      </c>
      <c r="O2715" s="4" t="s">
        <v>20582</v>
      </c>
      <c r="P2715" s="4" t="s">
        <v>29</v>
      </c>
      <c r="Q2715" s="6"/>
      <c r="R2715" s="6"/>
      <c r="S2715" s="6"/>
      <c r="T2715" s="6"/>
      <c r="U2715" s="6"/>
      <c r="V2715" s="6"/>
      <c r="W2715" s="6"/>
      <c r="X2715" s="6"/>
      <c r="Y2715" s="6"/>
      <c r="Z2715" s="6"/>
      <c r="AA2715" s="6"/>
    </row>
    <row r="2716" ht="14.25">
      <c r="B2716" s="4" t="s">
        <v>2932</v>
      </c>
      <c r="C2716" s="4" t="s">
        <v>20583</v>
      </c>
      <c r="D2716" s="4" t="s">
        <v>20584</v>
      </c>
      <c r="E2716" s="4" t="s">
        <v>20585</v>
      </c>
      <c r="F2716" s="4" t="str">
        <f>IFERROR(__XLUDF.DUMMYFUNCTION("PROPER(REGEXREPLACE(D432,""[^A-Za-z]+ "",""""))"),"Freya Games")</f>
        <v xml:space="preserve">Freya Games</v>
      </c>
      <c r="G2716" s="4" t="s">
        <v>20586</v>
      </c>
      <c r="H2716" s="4">
        <v>9</v>
      </c>
      <c r="I2716" s="4" t="s">
        <v>18961</v>
      </c>
      <c r="J2716" s="4"/>
      <c r="K2716" s="5" t="s">
        <v>20587</v>
      </c>
      <c r="L2716" s="5" t="s">
        <v>20588</v>
      </c>
      <c r="M2716" s="4" t="s">
        <v>16314</v>
      </c>
      <c r="N2716" s="4" t="s">
        <v>29</v>
      </c>
      <c r="O2716" s="6"/>
      <c r="P2716" s="6"/>
      <c r="Q2716" s="6"/>
      <c r="R2716" s="6"/>
      <c r="S2716" s="6"/>
      <c r="T2716" s="6"/>
      <c r="U2716" s="6"/>
      <c r="V2716" s="6"/>
      <c r="W2716" s="6"/>
      <c r="X2716" s="6"/>
      <c r="Y2716" s="6"/>
      <c r="Z2716" s="6"/>
      <c r="AA2716" s="6"/>
    </row>
    <row r="2717" ht="14.25">
      <c r="B2717" s="4" t="s">
        <v>20589</v>
      </c>
      <c r="C2717" s="4" t="s">
        <v>20590</v>
      </c>
      <c r="D2717" s="4" t="s">
        <v>20591</v>
      </c>
      <c r="E2717" s="4" t="s">
        <v>20592</v>
      </c>
      <c r="F2717" s="4" t="str">
        <f>IFERROR(__XLUDF.DUMMYFUNCTION("PROPER(REGEXREPLACE(D433,""[^A-Za-z]+ "",""""))"),"Senar")</f>
        <v>Senar</v>
      </c>
      <c r="G2717" s="4" t="s">
        <v>20593</v>
      </c>
      <c r="H2717" s="4">
        <v>15</v>
      </c>
      <c r="I2717" s="4" t="s">
        <v>2602</v>
      </c>
      <c r="J2717" s="4"/>
      <c r="K2717" s="5" t="s">
        <v>20594</v>
      </c>
      <c r="L2717" s="5" t="s">
        <v>20595</v>
      </c>
      <c r="M2717" s="4" t="s">
        <v>39</v>
      </c>
      <c r="N2717" s="4" t="s">
        <v>29</v>
      </c>
      <c r="O2717" s="4" t="s">
        <v>20596</v>
      </c>
      <c r="P2717" s="4" t="s">
        <v>1261</v>
      </c>
      <c r="Q2717" s="4" t="s">
        <v>20597</v>
      </c>
      <c r="R2717" s="6"/>
      <c r="S2717" s="6"/>
      <c r="T2717" s="6"/>
      <c r="U2717" s="6"/>
      <c r="V2717" s="6"/>
      <c r="W2717" s="6"/>
      <c r="X2717" s="6"/>
      <c r="Y2717" s="6"/>
      <c r="Z2717" s="6"/>
      <c r="AA2717" s="6"/>
    </row>
    <row r="2718" ht="14.25">
      <c r="B2718" s="4" t="s">
        <v>808</v>
      </c>
      <c r="C2718" s="4" t="s">
        <v>20598</v>
      </c>
      <c r="D2718" s="4" t="s">
        <v>426</v>
      </c>
      <c r="E2718" s="4" t="s">
        <v>20599</v>
      </c>
      <c r="F2718" s="4" t="str">
        <f>IFERROR(__XLUDF.DUMMYFUNCTION("PROPER(REGEXREPLACE(D434,""[^A-Za-z]+ "",""""))"),"Anagra")</f>
        <v>Anagra</v>
      </c>
      <c r="G2718" s="4" t="s">
        <v>20600</v>
      </c>
      <c r="H2718" s="4">
        <v>45</v>
      </c>
      <c r="I2718" s="4" t="s">
        <v>2602</v>
      </c>
      <c r="J2718" s="4" t="str">
        <f>IFERROR(__XLUDF.DUMMYFUNCTION("VLOOKUP(H434,IMPORTRANGE(""https://docs.google.com/spreadsheets/d/1opm6ZNvGZ7KditA9TuJwrZ25eFLfTNIkrNnY6mhV5Eg"",""list!A1:C115""),3,TRUE)"),"le secteur de la tech")</f>
        <v xml:space="preserve">le secteur de la tech</v>
      </c>
      <c r="K2718" s="5" t="s">
        <v>20601</v>
      </c>
      <c r="L2718" s="5" t="s">
        <v>20602</v>
      </c>
      <c r="M2718" s="4" t="s">
        <v>10139</v>
      </c>
      <c r="N2718" s="4" t="s">
        <v>29</v>
      </c>
      <c r="O2718" s="4" t="s">
        <v>20603</v>
      </c>
      <c r="P2718" s="4" t="s">
        <v>29</v>
      </c>
      <c r="Q2718" s="4" t="s">
        <v>20604</v>
      </c>
      <c r="R2718" s="6"/>
      <c r="S2718" s="6"/>
      <c r="T2718" s="6"/>
      <c r="U2718" s="6"/>
      <c r="V2718" s="6"/>
      <c r="W2718" s="6"/>
      <c r="X2718" s="6"/>
      <c r="Y2718" s="6"/>
      <c r="Z2718" s="6"/>
      <c r="AA2718" s="6"/>
    </row>
    <row r="2719" ht="14.25">
      <c r="B2719" s="4" t="s">
        <v>20605</v>
      </c>
      <c r="C2719" s="4" t="s">
        <v>6267</v>
      </c>
      <c r="D2719" s="4" t="s">
        <v>12873</v>
      </c>
      <c r="E2719" s="4" t="s">
        <v>20606</v>
      </c>
      <c r="F2719" s="4" t="str">
        <f>IFERROR(__XLUDF.DUMMYFUNCTION("PROPER(REGEXREPLACE(D435,""[^A-Za-z]+ "",""""))"),"Adaxis")</f>
        <v>Adaxis</v>
      </c>
      <c r="G2719" s="4" t="s">
        <v>20607</v>
      </c>
      <c r="H2719" s="4">
        <v>21</v>
      </c>
      <c r="I2719" s="4" t="s">
        <v>2602</v>
      </c>
      <c r="J2719" s="4" t="str">
        <f>IFERROR(__XLUDF.DUMMYFUNCTION("VLOOKUP(H435,IMPORTRANGE(""https://docs.google.com/spreadsheets/d/1opm6ZNvGZ7KditA9TuJwrZ25eFLfTNIkrNnY6mhV5Eg"",""list!A1:C115""),3,TRUE)"),"le secteur de la tech")</f>
        <v xml:space="preserve">le secteur de la tech</v>
      </c>
      <c r="K2719" s="5" t="s">
        <v>20608</v>
      </c>
      <c r="L2719" s="5" t="s">
        <v>20609</v>
      </c>
      <c r="M2719" s="4" t="s">
        <v>16456</v>
      </c>
      <c r="N2719" s="4" t="s">
        <v>29</v>
      </c>
      <c r="O2719" s="4" t="s">
        <v>20610</v>
      </c>
      <c r="P2719" s="4" t="s">
        <v>29</v>
      </c>
      <c r="Q2719" s="4" t="s">
        <v>20611</v>
      </c>
      <c r="R2719" s="6"/>
      <c r="S2719" s="6"/>
      <c r="T2719" s="6"/>
      <c r="U2719" s="6"/>
      <c r="V2719" s="6"/>
      <c r="W2719" s="6"/>
      <c r="X2719" s="6"/>
      <c r="Y2719" s="6"/>
      <c r="Z2719" s="6"/>
      <c r="AA2719" s="6"/>
    </row>
    <row r="2720" ht="14.25">
      <c r="B2720" s="4" t="s">
        <v>20612</v>
      </c>
      <c r="C2720" s="4" t="s">
        <v>20613</v>
      </c>
      <c r="D2720" s="4" t="s">
        <v>62</v>
      </c>
      <c r="E2720" s="4" t="s">
        <v>14461</v>
      </c>
      <c r="F2720" s="4" t="str">
        <f>IFERROR(__XLUDF.DUMMYFUNCTION("PROPER(REGEXREPLACE(D436,""[^A-Za-z]+ "",""""))"),"Eco In Pack")</f>
        <v xml:space="preserve">Eco In Pack</v>
      </c>
      <c r="G2720" s="4" t="s">
        <v>20614</v>
      </c>
      <c r="H2720" s="4">
        <v>11</v>
      </c>
      <c r="I2720" s="4" t="s">
        <v>4067</v>
      </c>
      <c r="J2720" s="4"/>
      <c r="K2720" s="5" t="s">
        <v>20615</v>
      </c>
      <c r="L2720" s="5" t="s">
        <v>20616</v>
      </c>
      <c r="M2720" s="6"/>
      <c r="N2720" s="4" t="s">
        <v>29</v>
      </c>
      <c r="O2720" s="4" t="s">
        <v>3710</v>
      </c>
      <c r="P2720" s="4" t="s">
        <v>29</v>
      </c>
      <c r="Q2720" s="6"/>
      <c r="R2720" s="6"/>
      <c r="S2720" s="6"/>
      <c r="T2720" s="6"/>
      <c r="U2720" s="6"/>
      <c r="V2720" s="6"/>
      <c r="W2720" s="6"/>
      <c r="X2720" s="6"/>
      <c r="Y2720" s="6"/>
      <c r="Z2720" s="6"/>
      <c r="AA2720" s="6"/>
    </row>
    <row r="2721" ht="14.25">
      <c r="B2721" s="4" t="s">
        <v>571</v>
      </c>
      <c r="C2721" s="4" t="s">
        <v>20617</v>
      </c>
      <c r="D2721" s="4" t="s">
        <v>172</v>
      </c>
      <c r="E2721" s="4" t="s">
        <v>20618</v>
      </c>
      <c r="F2721" s="4" t="str">
        <f>IFERROR(__XLUDF.DUMMYFUNCTION("PROPER(REGEXREPLACE(D437,""[^A-Za-z]+ "",""""))"),"Euromédia")</f>
        <v>Euromédia</v>
      </c>
      <c r="G2721" s="4" t="s">
        <v>20619</v>
      </c>
      <c r="H2721" s="4">
        <v>21</v>
      </c>
      <c r="I2721" s="4" t="s">
        <v>2602</v>
      </c>
      <c r="J2721" s="4"/>
      <c r="K2721" s="5" t="s">
        <v>20620</v>
      </c>
      <c r="L2721" s="5" t="s">
        <v>20621</v>
      </c>
      <c r="M2721" s="4" t="s">
        <v>20622</v>
      </c>
      <c r="N2721" s="4" t="s">
        <v>29</v>
      </c>
      <c r="O2721" s="4" t="s">
        <v>20623</v>
      </c>
      <c r="P2721" s="4" t="s">
        <v>29</v>
      </c>
      <c r="Q2721" s="6"/>
      <c r="R2721" s="6"/>
      <c r="S2721" s="6"/>
      <c r="T2721" s="6"/>
      <c r="U2721" s="6"/>
      <c r="V2721" s="6"/>
      <c r="W2721" s="6"/>
      <c r="X2721" s="6"/>
      <c r="Y2721" s="6"/>
      <c r="Z2721" s="6"/>
      <c r="AA2721" s="6"/>
    </row>
    <row r="2722" ht="14.25">
      <c r="B2722" s="4" t="s">
        <v>52</v>
      </c>
      <c r="C2722" s="4" t="s">
        <v>20624</v>
      </c>
      <c r="D2722" s="4" t="s">
        <v>22</v>
      </c>
      <c r="E2722" s="4" t="s">
        <v>20625</v>
      </c>
      <c r="F2722" s="4" t="str">
        <f>IFERROR(__XLUDF.DUMMYFUNCTION("PROPER(REGEXREPLACE(D438,""[^A-Za-z]+ "",""""))"),"Open Source Politics")</f>
        <v xml:space="preserve">Open Source Politics</v>
      </c>
      <c r="G2722" s="4" t="s">
        <v>20626</v>
      </c>
      <c r="H2722" s="4">
        <v>28</v>
      </c>
      <c r="I2722" s="4" t="s">
        <v>2602</v>
      </c>
      <c r="J2722" s="4" t="str">
        <f>IFERROR(__XLUDF.DUMMYFUNCTION("VLOOKUP(H438,IMPORTRANGE(""https://docs.google.com/spreadsheets/d/1opm6ZNvGZ7KditA9TuJwrZ25eFLfTNIkrNnY6mhV5Eg"",""list!A1:C115""),3,TRUE)"),"le secteur de la tech")</f>
        <v xml:space="preserve">le secteur de la tech</v>
      </c>
      <c r="K2722" s="5" t="s">
        <v>20627</v>
      </c>
      <c r="L2722" s="5" t="s">
        <v>20628</v>
      </c>
      <c r="M2722" s="4" t="s">
        <v>39</v>
      </c>
      <c r="N2722" s="4" t="s">
        <v>29</v>
      </c>
      <c r="O2722" s="4" t="s">
        <v>20629</v>
      </c>
      <c r="P2722" s="4" t="s">
        <v>29</v>
      </c>
      <c r="Q2722" s="6"/>
      <c r="R2722" s="6"/>
      <c r="S2722" s="6"/>
      <c r="T2722" s="6"/>
      <c r="U2722" s="6"/>
      <c r="V2722" s="6"/>
      <c r="W2722" s="6"/>
      <c r="X2722" s="6"/>
      <c r="Y2722" s="6"/>
      <c r="Z2722" s="6"/>
      <c r="AA2722" s="6"/>
    </row>
    <row r="2723" ht="14.25">
      <c r="B2723" s="4" t="s">
        <v>485</v>
      </c>
      <c r="C2723" s="4" t="s">
        <v>20630</v>
      </c>
      <c r="D2723" s="4" t="s">
        <v>230</v>
      </c>
      <c r="E2723" s="4" t="s">
        <v>20631</v>
      </c>
      <c r="F2723" s="4" t="str">
        <f>IFERROR(__XLUDF.DUMMYFUNCTION("PROPER(REGEXREPLACE(D439,""[^A-Za-z]+ "",""""))"),"Mailsoar")</f>
        <v>Mailsoar</v>
      </c>
      <c r="G2723" s="4" t="s">
        <v>20632</v>
      </c>
      <c r="H2723" s="4">
        <v>13</v>
      </c>
      <c r="I2723" s="4" t="s">
        <v>9161</v>
      </c>
      <c r="J2723" s="4" t="str">
        <f>IFERROR(__XLUDF.DUMMYFUNCTION("VLOOKUP(H439,IMPORTRANGE(""https://docs.google.com/spreadsheets/d/1opm6ZNvGZ7KditA9TuJwrZ25eFLfTNIkrNnY6mhV5Eg"",""list!A1:C115""),3,TRUE)"),"le secteur du marketing")</f>
        <v xml:space="preserve">le secteur du marketing</v>
      </c>
      <c r="K2723" s="5" t="s">
        <v>20633</v>
      </c>
      <c r="L2723" s="5" t="s">
        <v>20634</v>
      </c>
      <c r="M2723" s="4" t="s">
        <v>19976</v>
      </c>
      <c r="N2723" s="4" t="s">
        <v>29</v>
      </c>
      <c r="O2723" s="4" t="s">
        <v>125</v>
      </c>
      <c r="P2723" s="4" t="s">
        <v>29</v>
      </c>
      <c r="Q2723" s="4" t="s">
        <v>20635</v>
      </c>
      <c r="R2723" s="6"/>
      <c r="S2723" s="6"/>
      <c r="T2723" s="6"/>
      <c r="U2723" s="6"/>
      <c r="V2723" s="6"/>
      <c r="W2723" s="6"/>
      <c r="X2723" s="6"/>
      <c r="Y2723" s="6"/>
      <c r="Z2723" s="6"/>
      <c r="AA2723" s="6"/>
    </row>
    <row r="2724" ht="14.25">
      <c r="B2724" s="4" t="s">
        <v>20636</v>
      </c>
      <c r="C2724" s="4" t="s">
        <v>20637</v>
      </c>
      <c r="D2724" s="4" t="s">
        <v>18553</v>
      </c>
      <c r="E2724" s="4" t="s">
        <v>20638</v>
      </c>
      <c r="F2724" s="4" t="str">
        <f>IFERROR(__XLUDF.DUMMYFUNCTION("PROPER(REGEXREPLACE(D440,""[^A-Za-z]+ "",""""))"),"Ubility")</f>
        <v>Ubility</v>
      </c>
      <c r="G2724" s="4" t="s">
        <v>20639</v>
      </c>
      <c r="H2724" s="4">
        <v>18</v>
      </c>
      <c r="I2724" s="4" t="s">
        <v>2602</v>
      </c>
      <c r="J2724" s="4" t="str">
        <f>IFERROR(__XLUDF.DUMMYFUNCTION("VLOOKUP(H440,IMPORTRANGE(""https://docs.google.com/spreadsheets/d/1opm6ZNvGZ7KditA9TuJwrZ25eFLfTNIkrNnY6mhV5Eg"",""list!A1:C115""),3,TRUE)"),"le secteur de la tech")</f>
        <v xml:space="preserve">le secteur de la tech</v>
      </c>
      <c r="K2724" s="5" t="s">
        <v>20640</v>
      </c>
      <c r="L2724" s="5" t="s">
        <v>20641</v>
      </c>
      <c r="M2724" s="6"/>
      <c r="N2724" s="4" t="s">
        <v>29</v>
      </c>
      <c r="O2724" s="4" t="s">
        <v>20642</v>
      </c>
      <c r="P2724" s="4" t="s">
        <v>29</v>
      </c>
      <c r="Q2724" s="6"/>
      <c r="R2724" s="6"/>
      <c r="S2724" s="6"/>
      <c r="T2724" s="6"/>
      <c r="U2724" s="6"/>
      <c r="V2724" s="6"/>
      <c r="W2724" s="6"/>
      <c r="X2724" s="6"/>
      <c r="Y2724" s="6"/>
      <c r="Z2724" s="6"/>
      <c r="AA2724" s="6"/>
    </row>
    <row r="2725" ht="14.25">
      <c r="B2725" s="4" t="s">
        <v>485</v>
      </c>
      <c r="C2725" s="4" t="s">
        <v>20643</v>
      </c>
      <c r="D2725" s="4" t="s">
        <v>20644</v>
      </c>
      <c r="E2725" s="4" t="s">
        <v>20645</v>
      </c>
      <c r="F2725" s="4" t="str">
        <f>IFERROR(__XLUDF.DUMMYFUNCTION("PROPER(REGEXREPLACE(D441,""[^A-Za-z]+ "",""""))"),"Fullops")</f>
        <v>Fullops</v>
      </c>
      <c r="G2725" s="4" t="s">
        <v>20646</v>
      </c>
      <c r="H2725" s="4">
        <v>9</v>
      </c>
      <c r="I2725" s="4" t="s">
        <v>2602</v>
      </c>
      <c r="J2725" s="4" t="str">
        <f>IFERROR(__XLUDF.DUMMYFUNCTION("VLOOKUP(H441,IMPORTRANGE(""https://docs.google.com/spreadsheets/d/1opm6ZNvGZ7KditA9TuJwrZ25eFLfTNIkrNnY6mhV5Eg"",""list!A1:C115""),3,TRUE)"),"le secteur de la tech")</f>
        <v xml:space="preserve">le secteur de la tech</v>
      </c>
      <c r="K2725" s="5" t="s">
        <v>20647</v>
      </c>
      <c r="L2725" s="5" t="s">
        <v>20648</v>
      </c>
      <c r="M2725" s="4" t="s">
        <v>482</v>
      </c>
      <c r="N2725" s="4" t="s">
        <v>29</v>
      </c>
      <c r="O2725" s="4" t="s">
        <v>483</v>
      </c>
      <c r="P2725" s="4" t="s">
        <v>29</v>
      </c>
      <c r="Q2725" s="4" t="s">
        <v>20649</v>
      </c>
      <c r="R2725" s="6"/>
      <c r="S2725" s="6"/>
      <c r="T2725" s="6"/>
      <c r="U2725" s="6"/>
      <c r="V2725" s="6"/>
      <c r="W2725" s="6"/>
      <c r="X2725" s="6"/>
      <c r="Y2725" s="6"/>
      <c r="Z2725" s="6"/>
      <c r="AA2725" s="6"/>
    </row>
    <row r="2726" ht="14.25">
      <c r="B2726" s="4" t="s">
        <v>548</v>
      </c>
      <c r="C2726" s="4" t="s">
        <v>20650</v>
      </c>
      <c r="D2726" s="4" t="s">
        <v>20651</v>
      </c>
      <c r="E2726" s="4" t="s">
        <v>20652</v>
      </c>
      <c r="F2726" s="4" t="str">
        <f>IFERROR(__XLUDF.DUMMYFUNCTION("PROPER(REGEXREPLACE(D442,""[^A-Za-z]+ "",""""))"),"Buy Made Easy")</f>
        <v xml:space="preserve">Buy Made Easy</v>
      </c>
      <c r="G2726" s="4" t="s">
        <v>20653</v>
      </c>
      <c r="H2726" s="4">
        <v>21</v>
      </c>
      <c r="I2726" s="4" t="s">
        <v>4067</v>
      </c>
      <c r="J2726" s="4"/>
      <c r="K2726" s="5" t="s">
        <v>20654</v>
      </c>
      <c r="L2726" s="5" t="s">
        <v>20655</v>
      </c>
      <c r="M2726" s="4" t="s">
        <v>185</v>
      </c>
      <c r="N2726" s="4" t="s">
        <v>29</v>
      </c>
      <c r="O2726" s="4" t="s">
        <v>20656</v>
      </c>
      <c r="P2726" s="4" t="s">
        <v>29</v>
      </c>
      <c r="Q2726" s="4" t="s">
        <v>20657</v>
      </c>
      <c r="R2726" s="6"/>
      <c r="S2726" s="6"/>
      <c r="T2726" s="6"/>
      <c r="U2726" s="6"/>
      <c r="V2726" s="6"/>
      <c r="W2726" s="6"/>
      <c r="X2726" s="6"/>
      <c r="Y2726" s="6"/>
      <c r="Z2726" s="6"/>
      <c r="AA2726" s="6"/>
    </row>
    <row r="2727" ht="14.25">
      <c r="B2727" s="4" t="s">
        <v>1215</v>
      </c>
      <c r="C2727" s="4" t="s">
        <v>20658</v>
      </c>
      <c r="D2727" s="4" t="s">
        <v>87</v>
      </c>
      <c r="E2727" s="4" t="s">
        <v>20659</v>
      </c>
      <c r="F2727" s="4" t="str">
        <f>IFERROR(__XLUDF.DUMMYFUNCTION("PROPER(REGEXREPLACE(D443,""[^A-Za-z]+ "",""""))"),"Otipass")</f>
        <v>Otipass</v>
      </c>
      <c r="G2727" s="4" t="s">
        <v>20660</v>
      </c>
      <c r="H2727" s="4">
        <v>15</v>
      </c>
      <c r="I2727" s="4" t="s">
        <v>2602</v>
      </c>
      <c r="J2727" s="4"/>
      <c r="K2727" s="5" t="s">
        <v>20661</v>
      </c>
      <c r="L2727" s="5" t="s">
        <v>20662</v>
      </c>
      <c r="M2727" s="4" t="s">
        <v>20663</v>
      </c>
      <c r="N2727" s="4" t="s">
        <v>29</v>
      </c>
      <c r="O2727" s="4" t="s">
        <v>20664</v>
      </c>
      <c r="P2727" s="4" t="s">
        <v>29</v>
      </c>
      <c r="Q2727" s="4" t="s">
        <v>20665</v>
      </c>
      <c r="R2727" s="6"/>
      <c r="S2727" s="6"/>
      <c r="T2727" s="6"/>
      <c r="U2727" s="6"/>
      <c r="V2727" s="6"/>
      <c r="W2727" s="6"/>
      <c r="X2727" s="6"/>
      <c r="Y2727" s="6"/>
      <c r="Z2727" s="6"/>
      <c r="AA2727" s="6"/>
    </row>
    <row r="2728" ht="14.25">
      <c r="B2728" s="4" t="s">
        <v>222</v>
      </c>
      <c r="C2728" s="4" t="s">
        <v>20666</v>
      </c>
      <c r="D2728" s="4" t="s">
        <v>172</v>
      </c>
      <c r="E2728" s="4" t="s">
        <v>20667</v>
      </c>
      <c r="F2728" s="4" t="str">
        <f>IFERROR(__XLUDF.DUMMYFUNCTION("PROPER(REGEXREPLACE(D444,""[^A-Za-z]+ "",""""))"),"Neoaxess")</f>
        <v>Neoaxess</v>
      </c>
      <c r="G2728" s="4" t="s">
        <v>20668</v>
      </c>
      <c r="H2728" s="4">
        <v>50</v>
      </c>
      <c r="I2728" s="4" t="s">
        <v>2602</v>
      </c>
      <c r="J2728" s="4" t="str">
        <f>IFERROR(__XLUDF.DUMMYFUNCTION("VLOOKUP(H444,IMPORTRANGE(""https://docs.google.com/spreadsheets/d/1opm6ZNvGZ7KditA9TuJwrZ25eFLfTNIkrNnY6mhV5Eg"",""list!A1:C115""),3,TRUE)"),"le secteur de la tech")</f>
        <v xml:space="preserve">le secteur de la tech</v>
      </c>
      <c r="K2728" s="5" t="s">
        <v>20669</v>
      </c>
      <c r="L2728" s="5" t="s">
        <v>20670</v>
      </c>
      <c r="M2728" s="6"/>
      <c r="N2728" s="4" t="s">
        <v>29</v>
      </c>
      <c r="O2728" s="4" t="s">
        <v>20671</v>
      </c>
      <c r="P2728" s="4" t="s">
        <v>29</v>
      </c>
      <c r="Q2728" s="4" t="s">
        <v>20672</v>
      </c>
      <c r="R2728" s="6"/>
      <c r="S2728" s="6"/>
      <c r="T2728" s="6"/>
      <c r="U2728" s="6"/>
      <c r="V2728" s="6"/>
      <c r="W2728" s="6"/>
      <c r="X2728" s="6"/>
      <c r="Y2728" s="6"/>
      <c r="Z2728" s="6"/>
      <c r="AA2728" s="6"/>
    </row>
    <row r="2729" ht="14.25">
      <c r="B2729" s="4" t="s">
        <v>4800</v>
      </c>
      <c r="C2729" s="4" t="s">
        <v>7348</v>
      </c>
      <c r="D2729" s="4" t="s">
        <v>20673</v>
      </c>
      <c r="E2729" s="4" t="s">
        <v>20674</v>
      </c>
      <c r="F2729" s="4" t="str">
        <f>IFERROR(__XLUDF.DUMMYFUNCTION("PROPER(REGEXREPLACE(D445,""[^A-Za-z]+ "",""""))"),"Elzeard")</f>
        <v>Elzeard</v>
      </c>
      <c r="G2729" s="4" t="s">
        <v>20675</v>
      </c>
      <c r="H2729" s="4">
        <v>14</v>
      </c>
      <c r="I2729" s="4" t="s">
        <v>2602</v>
      </c>
      <c r="J2729" s="4"/>
      <c r="K2729" s="5" t="s">
        <v>20676</v>
      </c>
      <c r="L2729" s="5" t="s">
        <v>20677</v>
      </c>
      <c r="M2729" s="4" t="s">
        <v>83</v>
      </c>
      <c r="N2729" s="4" t="s">
        <v>29</v>
      </c>
      <c r="O2729" s="4" t="s">
        <v>20678</v>
      </c>
      <c r="P2729" s="4" t="s">
        <v>29</v>
      </c>
      <c r="Q2729" s="4" t="s">
        <v>20679</v>
      </c>
      <c r="R2729" s="6"/>
      <c r="S2729" s="6"/>
      <c r="T2729" s="6"/>
      <c r="U2729" s="6"/>
      <c r="V2729" s="6"/>
      <c r="W2729" s="6"/>
      <c r="X2729" s="6"/>
      <c r="Y2729" s="6"/>
      <c r="Z2729" s="6"/>
      <c r="AA2729" s="6"/>
    </row>
    <row r="2730" ht="14.25">
      <c r="B2730" s="4" t="s">
        <v>1499</v>
      </c>
      <c r="C2730" s="4" t="s">
        <v>20680</v>
      </c>
      <c r="D2730" s="4" t="s">
        <v>20681</v>
      </c>
      <c r="E2730" s="4" t="s">
        <v>20682</v>
      </c>
      <c r="F2730" s="4" t="str">
        <f>IFERROR(__XLUDF.DUMMYFUNCTION("PROPER(REGEXREPLACE(D446,""[^A-Za-z]+ "",""""))"),"Share It")</f>
        <v xml:space="preserve">Share It</v>
      </c>
      <c r="G2730" s="4" t="s">
        <v>20683</v>
      </c>
      <c r="H2730" s="4">
        <v>31</v>
      </c>
      <c r="I2730" s="4" t="s">
        <v>2602</v>
      </c>
      <c r="J2730" s="4"/>
      <c r="K2730" s="5" t="s">
        <v>20684</v>
      </c>
      <c r="L2730" s="5" t="s">
        <v>20685</v>
      </c>
      <c r="M2730" s="4" t="s">
        <v>39</v>
      </c>
      <c r="N2730" s="4" t="s">
        <v>29</v>
      </c>
      <c r="O2730" s="4" t="s">
        <v>20686</v>
      </c>
      <c r="P2730" s="4" t="s">
        <v>29</v>
      </c>
      <c r="Q2730" s="4" t="s">
        <v>20687</v>
      </c>
      <c r="R2730" s="6"/>
      <c r="S2730" s="6"/>
      <c r="T2730" s="6"/>
      <c r="U2730" s="6"/>
      <c r="V2730" s="6"/>
      <c r="W2730" s="6"/>
      <c r="X2730" s="6"/>
      <c r="Y2730" s="6"/>
      <c r="Z2730" s="6"/>
      <c r="AA2730" s="6"/>
    </row>
    <row r="2731" ht="14.25">
      <c r="B2731" s="4" t="s">
        <v>5716</v>
      </c>
      <c r="C2731" s="4" t="s">
        <v>20510</v>
      </c>
      <c r="D2731" s="4" t="s">
        <v>7759</v>
      </c>
      <c r="E2731" s="4" t="s">
        <v>20688</v>
      </c>
      <c r="F2731" s="4" t="str">
        <f>IFERROR(__XLUDF.DUMMYFUNCTION("PROPER(REGEXREPLACE(D447,""[^A-Za-z]+ "",""""))"),"Wedig")</f>
        <v>Wedig</v>
      </c>
      <c r="G2731" s="4" t="s">
        <v>20689</v>
      </c>
      <c r="H2731" s="4">
        <v>17</v>
      </c>
      <c r="I2731" s="4" t="s">
        <v>9161</v>
      </c>
      <c r="J2731" s="4" t="str">
        <f>IFERROR(__XLUDF.DUMMYFUNCTION("VLOOKUP(H447,IMPORTRANGE(""https://docs.google.com/spreadsheets/d/1opm6ZNvGZ7KditA9TuJwrZ25eFLfTNIkrNnY6mhV5Eg"",""list!A1:C115""),3,TRUE)"),"le secteur du marketing")</f>
        <v xml:space="preserve">le secteur du marketing</v>
      </c>
      <c r="K2731" s="5" t="s">
        <v>20690</v>
      </c>
      <c r="L2731" s="5" t="s">
        <v>20691</v>
      </c>
      <c r="M2731" s="4" t="s">
        <v>1826</v>
      </c>
      <c r="N2731" s="4" t="s">
        <v>29</v>
      </c>
      <c r="O2731" s="4" t="s">
        <v>2286</v>
      </c>
      <c r="P2731" s="4" t="s">
        <v>29</v>
      </c>
      <c r="Q2731" s="4" t="s">
        <v>20692</v>
      </c>
      <c r="R2731" s="6"/>
      <c r="S2731" s="6"/>
      <c r="T2731" s="6"/>
      <c r="U2731" s="6"/>
      <c r="V2731" s="6"/>
      <c r="W2731" s="6"/>
      <c r="X2731" s="6"/>
      <c r="Y2731" s="6"/>
      <c r="Z2731" s="6"/>
      <c r="AA2731" s="6"/>
    </row>
    <row r="2732" ht="14.25">
      <c r="B2732" s="4" t="s">
        <v>330</v>
      </c>
      <c r="C2732" s="4" t="s">
        <v>20693</v>
      </c>
      <c r="D2732" s="4" t="s">
        <v>468</v>
      </c>
      <c r="E2732" s="4" t="s">
        <v>20694</v>
      </c>
      <c r="F2732" s="4" t="str">
        <f>IFERROR(__XLUDF.DUMMYFUNCTION("PROPER(REGEXREPLACE(D448,""[^A-Za-z]+ "",""""))"),"Aethica")</f>
        <v>Aethica</v>
      </c>
      <c r="G2732" s="4" t="s">
        <v>20695</v>
      </c>
      <c r="H2732" s="4">
        <v>40</v>
      </c>
      <c r="I2732" s="4" t="s">
        <v>4293</v>
      </c>
      <c r="J2732" s="4"/>
      <c r="K2732" s="5" t="s">
        <v>20696</v>
      </c>
      <c r="L2732" s="5" t="s">
        <v>20697</v>
      </c>
      <c r="M2732" s="4" t="s">
        <v>1711</v>
      </c>
      <c r="N2732" s="4" t="s">
        <v>29</v>
      </c>
      <c r="O2732" s="4" t="s">
        <v>20698</v>
      </c>
      <c r="P2732" s="4" t="s">
        <v>29</v>
      </c>
      <c r="Q2732" s="4" t="s">
        <v>20699</v>
      </c>
      <c r="R2732" s="6"/>
      <c r="S2732" s="6"/>
      <c r="T2732" s="6"/>
      <c r="U2732" s="6"/>
      <c r="V2732" s="6"/>
      <c r="W2732" s="6"/>
      <c r="X2732" s="6"/>
      <c r="Y2732" s="6"/>
      <c r="Z2732" s="6"/>
      <c r="AA2732" s="6"/>
    </row>
    <row r="2733" ht="14.25">
      <c r="B2733" s="4" t="s">
        <v>12648</v>
      </c>
      <c r="C2733" s="4" t="s">
        <v>189</v>
      </c>
      <c r="D2733" s="4" t="s">
        <v>20700</v>
      </c>
      <c r="E2733" s="4" t="s">
        <v>20682</v>
      </c>
      <c r="F2733" s="4" t="str">
        <f>IFERROR(__XLUDF.DUMMYFUNCTION("PROPER(REGEXREPLACE(D449,""[^A-Za-z]+ "",""""))"),"Share It")</f>
        <v xml:space="preserve">Share It</v>
      </c>
      <c r="G2733" s="4" t="s">
        <v>20701</v>
      </c>
      <c r="H2733" s="4">
        <v>31</v>
      </c>
      <c r="I2733" s="4" t="s">
        <v>2602</v>
      </c>
      <c r="J2733" s="4" t="str">
        <f>IFERROR(__XLUDF.DUMMYFUNCTION("VLOOKUP(H449,IMPORTRANGE(""https://docs.google.com/spreadsheets/d/1opm6ZNvGZ7KditA9TuJwrZ25eFLfTNIkrNnY6mhV5Eg"",""list!A1:C115""),3,TRUE)"),"le secteur de la tech")</f>
        <v xml:space="preserve">le secteur de la tech</v>
      </c>
      <c r="K2733" s="5" t="s">
        <v>20702</v>
      </c>
      <c r="L2733" s="5" t="s">
        <v>20685</v>
      </c>
      <c r="M2733" s="4" t="s">
        <v>39</v>
      </c>
      <c r="N2733" s="4" t="s">
        <v>29</v>
      </c>
      <c r="O2733" s="4" t="s">
        <v>20686</v>
      </c>
      <c r="P2733" s="4" t="s">
        <v>29</v>
      </c>
      <c r="Q2733" s="4" t="s">
        <v>20687</v>
      </c>
      <c r="R2733" s="6"/>
      <c r="S2733" s="6"/>
      <c r="T2733" s="6"/>
      <c r="U2733" s="6"/>
      <c r="V2733" s="6"/>
      <c r="W2733" s="6"/>
      <c r="X2733" s="6"/>
      <c r="Y2733" s="6"/>
      <c r="Z2733" s="6"/>
      <c r="AA2733" s="6"/>
    </row>
    <row r="2734" ht="14.25">
      <c r="B2734" s="4" t="s">
        <v>1583</v>
      </c>
      <c r="C2734" s="4" t="s">
        <v>20703</v>
      </c>
      <c r="D2734" s="4" t="s">
        <v>172</v>
      </c>
      <c r="E2734" s="4" t="s">
        <v>20704</v>
      </c>
      <c r="F2734" s="4" t="str">
        <f>IFERROR(__XLUDF.DUMMYFUNCTION("PROPER(REGEXREPLACE(D450,""[^A-Za-z]+ "",""""))"),"Equadex")</f>
        <v>Equadex</v>
      </c>
      <c r="G2734" s="4" t="s">
        <v>20705</v>
      </c>
      <c r="H2734" s="4">
        <v>33</v>
      </c>
      <c r="I2734" s="4" t="s">
        <v>2602</v>
      </c>
      <c r="J2734" s="4" t="str">
        <f>IFERROR(__XLUDF.DUMMYFUNCTION("VLOOKUP(H450,IMPORTRANGE(""https://docs.google.com/spreadsheets/d/1opm6ZNvGZ7KditA9TuJwrZ25eFLfTNIkrNnY6mhV5Eg"",""list!A1:C115""),3,TRUE)"),"le secteur de la tech")</f>
        <v xml:space="preserve">le secteur de la tech</v>
      </c>
      <c r="K2734" s="5" t="s">
        <v>20706</v>
      </c>
      <c r="L2734" s="5" t="s">
        <v>20707</v>
      </c>
      <c r="M2734" s="4" t="s">
        <v>83</v>
      </c>
      <c r="N2734" s="4" t="s">
        <v>29</v>
      </c>
      <c r="O2734" s="4" t="s">
        <v>20708</v>
      </c>
      <c r="P2734" s="4" t="s">
        <v>29</v>
      </c>
      <c r="Q2734" s="6"/>
      <c r="R2734" s="6"/>
      <c r="S2734" s="6"/>
      <c r="T2734" s="6"/>
      <c r="U2734" s="6"/>
      <c r="V2734" s="6"/>
      <c r="W2734" s="6"/>
      <c r="X2734" s="6"/>
      <c r="Y2734" s="6"/>
      <c r="Z2734" s="6"/>
      <c r="AA2734" s="6"/>
    </row>
    <row r="2735" ht="14.25">
      <c r="B2735" s="4" t="s">
        <v>20709</v>
      </c>
      <c r="C2735" s="4" t="s">
        <v>18651</v>
      </c>
      <c r="D2735" s="4" t="s">
        <v>20710</v>
      </c>
      <c r="E2735" s="4" t="s">
        <v>20711</v>
      </c>
      <c r="F2735" s="4" t="str">
        <f>IFERROR(__XLUDF.DUMMYFUNCTION("PROPER(REGEXREPLACE(D451,""[^A-Za-z]+ "",""""))"),"Keiken Digital Solutions")</f>
        <v xml:space="preserve">Keiken Digital Solutions</v>
      </c>
      <c r="G2735" s="4" t="s">
        <v>20712</v>
      </c>
      <c r="H2735" s="4">
        <v>18</v>
      </c>
      <c r="I2735" s="4" t="s">
        <v>2602</v>
      </c>
      <c r="J2735" s="4"/>
      <c r="K2735" s="5" t="s">
        <v>20713</v>
      </c>
      <c r="L2735" s="5" t="s">
        <v>20714</v>
      </c>
      <c r="M2735" s="4" t="s">
        <v>39</v>
      </c>
      <c r="N2735" s="4" t="s">
        <v>29</v>
      </c>
      <c r="O2735" s="4" t="s">
        <v>1084</v>
      </c>
      <c r="P2735" s="4" t="s">
        <v>29</v>
      </c>
      <c r="Q2735" s="6"/>
      <c r="R2735" s="6"/>
      <c r="S2735" s="6"/>
      <c r="T2735" s="6"/>
      <c r="U2735" s="6"/>
      <c r="V2735" s="6"/>
      <c r="W2735" s="6"/>
      <c r="X2735" s="6"/>
      <c r="Y2735" s="6"/>
      <c r="Z2735" s="6"/>
      <c r="AA2735" s="6"/>
    </row>
    <row r="2736" ht="14.25">
      <c r="B2736" s="4" t="s">
        <v>20715</v>
      </c>
      <c r="C2736" s="4" t="s">
        <v>20716</v>
      </c>
      <c r="D2736" s="4" t="s">
        <v>20717</v>
      </c>
      <c r="E2736" s="4" t="s">
        <v>20718</v>
      </c>
      <c r="F2736" s="4" t="str">
        <f>IFERROR(__XLUDF.DUMMYFUNCTION("PROPER(REGEXREPLACE(D452,""[^A-Za-z]+ "",""""))"),"Supanotch")</f>
        <v>Supanotch</v>
      </c>
      <c r="G2736" s="4" t="s">
        <v>20719</v>
      </c>
      <c r="H2736" s="4">
        <v>10</v>
      </c>
      <c r="I2736" s="4" t="s">
        <v>4067</v>
      </c>
      <c r="J2736" s="4"/>
      <c r="K2736" s="5" t="s">
        <v>20720</v>
      </c>
      <c r="L2736" s="5" t="s">
        <v>20721</v>
      </c>
      <c r="M2736" s="6"/>
      <c r="N2736" s="4" t="s">
        <v>29</v>
      </c>
      <c r="O2736" s="4" t="s">
        <v>1625</v>
      </c>
      <c r="P2736" s="4" t="s">
        <v>29</v>
      </c>
      <c r="Q2736" s="4" t="s">
        <v>20722</v>
      </c>
      <c r="R2736" s="6"/>
      <c r="S2736" s="6"/>
      <c r="T2736" s="6"/>
      <c r="U2736" s="6"/>
      <c r="V2736" s="6"/>
      <c r="W2736" s="6"/>
      <c r="X2736" s="6"/>
      <c r="Y2736" s="6"/>
      <c r="Z2736" s="6"/>
      <c r="AA2736" s="6"/>
    </row>
    <row r="2737" ht="14.25">
      <c r="B2737" s="4" t="s">
        <v>548</v>
      </c>
      <c r="C2737" s="4" t="s">
        <v>20723</v>
      </c>
      <c r="D2737" s="4" t="s">
        <v>20724</v>
      </c>
      <c r="E2737" s="4" t="s">
        <v>9620</v>
      </c>
      <c r="F2737" s="4" t="str">
        <f>IFERROR(__XLUDF.DUMMYFUNCTION("PROPER(REGEXREPLACE(D453,""[^A-Za-z]+ "",""""))"),"Metal Gear")</f>
        <v xml:space="preserve">Metal Gear</v>
      </c>
      <c r="G2737" s="4" t="s">
        <v>20725</v>
      </c>
      <c r="H2737" s="4">
        <v>11</v>
      </c>
      <c r="I2737" s="4" t="s">
        <v>2602</v>
      </c>
      <c r="J2737" s="4"/>
      <c r="K2737" s="5" t="s">
        <v>20726</v>
      </c>
      <c r="L2737" s="5" t="s">
        <v>20727</v>
      </c>
      <c r="M2737" s="4" t="s">
        <v>185</v>
      </c>
      <c r="N2737" s="4" t="s">
        <v>29</v>
      </c>
      <c r="O2737" s="4" t="s">
        <v>67</v>
      </c>
      <c r="P2737" s="4" t="s">
        <v>29</v>
      </c>
      <c r="Q2737" s="4" t="s">
        <v>9623</v>
      </c>
      <c r="R2737" s="6"/>
      <c r="S2737" s="6"/>
      <c r="T2737" s="6"/>
      <c r="U2737" s="6"/>
      <c r="V2737" s="6"/>
      <c r="W2737" s="6"/>
      <c r="X2737" s="6"/>
      <c r="Y2737" s="6"/>
      <c r="Z2737" s="6"/>
      <c r="AA2737" s="6"/>
    </row>
    <row r="2738" ht="14.25">
      <c r="B2738" s="4" t="s">
        <v>710</v>
      </c>
      <c r="C2738" s="4" t="s">
        <v>1338</v>
      </c>
      <c r="D2738" s="4" t="s">
        <v>62</v>
      </c>
      <c r="E2738" s="4" t="s">
        <v>20728</v>
      </c>
      <c r="F2738" s="4" t="str">
        <f>IFERROR(__XLUDF.DUMMYFUNCTION("PROPER(REGEXREPLACE(D454,""[^A-Za-z]+ "",""""))"),"Objectif7")</f>
        <v>Objectif7</v>
      </c>
      <c r="G2738" s="4" t="s">
        <v>20729</v>
      </c>
      <c r="H2738" s="4">
        <v>17</v>
      </c>
      <c r="I2738" s="4" t="s">
        <v>4067</v>
      </c>
      <c r="J2738" s="4" t="str">
        <f>IFERROR(__XLUDF.DUMMYFUNCTION("VLOOKUP(H454,IMPORTRANGE(""https://docs.google.com/spreadsheets/d/1opm6ZNvGZ7KditA9TuJwrZ25eFLfTNIkrNnY6mhV5Eg"",""list!A1:C115""),3,TRUE)"),"le secteur du conseil en management")</f>
        <v xml:space="preserve">le secteur du conseil en management</v>
      </c>
      <c r="K2738" s="5" t="s">
        <v>20730</v>
      </c>
      <c r="L2738" s="5" t="s">
        <v>20731</v>
      </c>
      <c r="M2738" s="4" t="s">
        <v>1015</v>
      </c>
      <c r="N2738" s="4" t="s">
        <v>29</v>
      </c>
      <c r="O2738" s="4" t="s">
        <v>20732</v>
      </c>
      <c r="P2738" s="4" t="s">
        <v>29</v>
      </c>
      <c r="Q2738" s="4" t="s">
        <v>20733</v>
      </c>
      <c r="R2738" s="6"/>
      <c r="S2738" s="6"/>
      <c r="T2738" s="6"/>
      <c r="U2738" s="6"/>
      <c r="V2738" s="6"/>
      <c r="W2738" s="6"/>
      <c r="X2738" s="6"/>
      <c r="Y2738" s="6"/>
      <c r="Z2738" s="6"/>
      <c r="AA2738" s="6"/>
    </row>
    <row r="2739" ht="14.25">
      <c r="B2739" s="4" t="s">
        <v>20734</v>
      </c>
      <c r="C2739" s="4" t="s">
        <v>20735</v>
      </c>
      <c r="D2739" s="4" t="s">
        <v>20736</v>
      </c>
      <c r="E2739" s="4" t="s">
        <v>20737</v>
      </c>
      <c r="F2739" s="4" t="str">
        <f>IFERROR(__XLUDF.DUMMYFUNCTION("PROPER(REGEXREPLACE(D455,""[^A-Za-z]+ "",""""))"),"Contrast")</f>
        <v>Contrast</v>
      </c>
      <c r="G2739" s="4" t="s">
        <v>20738</v>
      </c>
      <c r="H2739" s="4">
        <v>19</v>
      </c>
      <c r="I2739" s="4" t="s">
        <v>2602</v>
      </c>
      <c r="J2739" s="4" t="str">
        <f>IFERROR(__XLUDF.DUMMYFUNCTION("VLOOKUP(H455,IMPORTRANGE(""https://docs.google.com/spreadsheets/d/1opm6ZNvGZ7KditA9TuJwrZ25eFLfTNIkrNnY6mhV5Eg"",""list!A1:C115""),3,TRUE)"),"le secteur de la tech")</f>
        <v xml:space="preserve">le secteur de la tech</v>
      </c>
      <c r="K2739" s="5" t="s">
        <v>20739</v>
      </c>
      <c r="L2739" s="5" t="s">
        <v>20740</v>
      </c>
      <c r="M2739" s="4" t="s">
        <v>39</v>
      </c>
      <c r="N2739" s="4" t="s">
        <v>29</v>
      </c>
      <c r="O2739" s="4" t="s">
        <v>20741</v>
      </c>
      <c r="P2739" s="4" t="s">
        <v>1548</v>
      </c>
      <c r="Q2739" s="4" t="s">
        <v>20742</v>
      </c>
      <c r="R2739" s="6"/>
      <c r="S2739" s="6"/>
      <c r="T2739" s="6"/>
      <c r="U2739" s="6"/>
      <c r="V2739" s="6"/>
      <c r="W2739" s="6"/>
      <c r="X2739" s="6"/>
      <c r="Y2739" s="6"/>
      <c r="Z2739" s="6"/>
      <c r="AA2739" s="6"/>
    </row>
    <row r="2740" ht="14.25">
      <c r="B2740" s="4" t="s">
        <v>986</v>
      </c>
      <c r="C2740" s="4" t="s">
        <v>17124</v>
      </c>
      <c r="D2740" s="4" t="s">
        <v>87</v>
      </c>
      <c r="E2740" s="4" t="s">
        <v>20743</v>
      </c>
      <c r="F2740" s="4" t="str">
        <f>IFERROR(__XLUDF.DUMMYFUNCTION("PROPER(REGEXREPLACE(D456,""[^A-Za-z]+ "",""""))"),"Purple Reality")</f>
        <v xml:space="preserve">Purple Reality</v>
      </c>
      <c r="G2740" s="4" t="s">
        <v>20744</v>
      </c>
      <c r="H2740" s="4">
        <v>10</v>
      </c>
      <c r="I2740" s="4" t="s">
        <v>2602</v>
      </c>
      <c r="J2740" s="4"/>
      <c r="K2740" s="5" t="s">
        <v>20745</v>
      </c>
      <c r="L2740" s="5" t="s">
        <v>20746</v>
      </c>
      <c r="M2740" s="4" t="s">
        <v>6412</v>
      </c>
      <c r="N2740" s="4" t="s">
        <v>29</v>
      </c>
      <c r="O2740" s="4" t="s">
        <v>20747</v>
      </c>
      <c r="P2740" s="4" t="s">
        <v>29</v>
      </c>
      <c r="Q2740" s="4" t="s">
        <v>20748</v>
      </c>
      <c r="R2740" s="6"/>
      <c r="S2740" s="6"/>
      <c r="T2740" s="6"/>
      <c r="U2740" s="6"/>
      <c r="V2740" s="6"/>
      <c r="W2740" s="6"/>
      <c r="X2740" s="6"/>
      <c r="Y2740" s="6"/>
      <c r="Z2740" s="6"/>
      <c r="AA2740" s="6"/>
    </row>
    <row r="2741" ht="14.25">
      <c r="B2741" s="4" t="s">
        <v>13091</v>
      </c>
      <c r="C2741" s="4" t="s">
        <v>4132</v>
      </c>
      <c r="D2741" s="4" t="s">
        <v>20749</v>
      </c>
      <c r="E2741" s="4" t="s">
        <v>20750</v>
      </c>
      <c r="F2741" s="4" t="str">
        <f>IFERROR(__XLUDF.DUMMYFUNCTION("PROPER(REGEXREPLACE(D457,""[^A-Za-z]+ "",""""))"),"Mentalworks")</f>
        <v>Mentalworks</v>
      </c>
      <c r="G2741" s="4" t="s">
        <v>20751</v>
      </c>
      <c r="H2741" s="4">
        <v>28</v>
      </c>
      <c r="I2741" s="4" t="s">
        <v>2602</v>
      </c>
      <c r="J2741" s="4"/>
      <c r="K2741" s="5" t="s">
        <v>20752</v>
      </c>
      <c r="L2741" s="5" t="s">
        <v>20753</v>
      </c>
      <c r="M2741" s="4" t="s">
        <v>13294</v>
      </c>
      <c r="N2741" s="4" t="s">
        <v>29</v>
      </c>
      <c r="O2741" s="4" t="s">
        <v>20754</v>
      </c>
      <c r="P2741" s="4" t="s">
        <v>29</v>
      </c>
      <c r="Q2741" s="4" t="s">
        <v>20755</v>
      </c>
      <c r="R2741" s="6"/>
      <c r="S2741" s="6"/>
      <c r="T2741" s="6"/>
      <c r="U2741" s="6"/>
      <c r="V2741" s="6"/>
      <c r="W2741" s="6"/>
      <c r="X2741" s="6"/>
      <c r="Y2741" s="6"/>
      <c r="Z2741" s="6"/>
      <c r="AA2741" s="6"/>
    </row>
    <row r="2742" ht="14.25">
      <c r="B2742" s="4" t="s">
        <v>20756</v>
      </c>
      <c r="C2742" s="4" t="s">
        <v>20757</v>
      </c>
      <c r="D2742" s="4" t="s">
        <v>44</v>
      </c>
      <c r="E2742" s="4" t="s">
        <v>20758</v>
      </c>
      <c r="F2742" s="4" t="str">
        <f>IFERROR(__XLUDF.DUMMYFUNCTION("PROPER(REGEXREPLACE(D458,""[^A-Za-z]+ "",""""))"),"Jobs On Sight International Pvt")</f>
        <v xml:space="preserve">Jobs On Sight International Pvt</v>
      </c>
      <c r="G2742" s="4" t="s">
        <v>20759</v>
      </c>
      <c r="H2742" s="4">
        <v>11</v>
      </c>
      <c r="I2742" s="4" t="s">
        <v>2602</v>
      </c>
      <c r="J2742" s="4" t="str">
        <f>IFERROR(__XLUDF.DUMMYFUNCTION("VLOOKUP(H458,IMPORTRANGE(""https://docs.google.com/spreadsheets/d/1opm6ZNvGZ7KditA9TuJwrZ25eFLfTNIkrNnY6mhV5Eg"",""list!A1:C115""),3,TRUE)"),"le secteur de la tech")</f>
        <v xml:space="preserve">le secteur de la tech</v>
      </c>
      <c r="K2742" s="5" t="s">
        <v>20760</v>
      </c>
      <c r="L2742" s="5" t="s">
        <v>20761</v>
      </c>
      <c r="M2742" s="6"/>
      <c r="N2742" s="4" t="s">
        <v>29</v>
      </c>
      <c r="O2742" s="4" t="s">
        <v>20762</v>
      </c>
      <c r="P2742" s="4" t="s">
        <v>1828</v>
      </c>
      <c r="Q2742" s="4" t="s">
        <v>20763</v>
      </c>
      <c r="R2742" s="6"/>
      <c r="S2742" s="6"/>
      <c r="T2742" s="6"/>
      <c r="U2742" s="6"/>
      <c r="V2742" s="6"/>
      <c r="W2742" s="6"/>
      <c r="X2742" s="6"/>
      <c r="Y2742" s="6"/>
      <c r="Z2742" s="6"/>
      <c r="AA2742" s="6"/>
    </row>
    <row r="2743" ht="14.25">
      <c r="B2743" s="4" t="s">
        <v>17236</v>
      </c>
      <c r="C2743" s="4" t="s">
        <v>4132</v>
      </c>
      <c r="D2743" s="4" t="s">
        <v>20764</v>
      </c>
      <c r="E2743" s="4" t="s">
        <v>20765</v>
      </c>
      <c r="F2743" s="4" t="str">
        <f>IFERROR(__XLUDF.DUMMYFUNCTION("PROPER(REGEXREPLACE(D459,""[^A-Za-z]+ "",""""))"),"Asitix")</f>
        <v>Asitix</v>
      </c>
      <c r="G2743" s="4" t="s">
        <v>20766</v>
      </c>
      <c r="H2743" s="4">
        <v>32</v>
      </c>
      <c r="I2743" s="4" t="s">
        <v>2602</v>
      </c>
      <c r="J2743" s="4"/>
      <c r="K2743" s="5" t="s">
        <v>20767</v>
      </c>
      <c r="L2743" s="5" t="s">
        <v>20768</v>
      </c>
      <c r="M2743" s="4" t="s">
        <v>846</v>
      </c>
      <c r="N2743" s="4" t="s">
        <v>29</v>
      </c>
      <c r="O2743" s="4" t="s">
        <v>20769</v>
      </c>
      <c r="P2743" s="4" t="s">
        <v>29</v>
      </c>
      <c r="Q2743" s="4" t="s">
        <v>20770</v>
      </c>
      <c r="R2743" s="6"/>
      <c r="S2743" s="6"/>
      <c r="T2743" s="6"/>
      <c r="U2743" s="6"/>
      <c r="V2743" s="6"/>
      <c r="W2743" s="6"/>
      <c r="X2743" s="6"/>
      <c r="Y2743" s="6"/>
      <c r="Z2743" s="6"/>
      <c r="AA2743" s="6"/>
    </row>
    <row r="2744" ht="14.25">
      <c r="B2744" s="4" t="s">
        <v>110</v>
      </c>
      <c r="C2744" s="4" t="s">
        <v>20771</v>
      </c>
      <c r="D2744" s="4" t="s">
        <v>20772</v>
      </c>
      <c r="E2744" s="4" t="s">
        <v>20773</v>
      </c>
      <c r="F2744" s="4" t="str">
        <f>IFERROR(__XLUDF.DUMMYFUNCTION("PROPER(REGEXREPLACE(D460,""[^A-Za-z]+ "",""""))"),"Mentor Marketing")</f>
        <v xml:space="preserve">Mentor Marketing</v>
      </c>
      <c r="G2744" s="4" t="s">
        <v>20774</v>
      </c>
      <c r="H2744" s="4">
        <v>18</v>
      </c>
      <c r="I2744" s="4" t="s">
        <v>9161</v>
      </c>
      <c r="J2744" s="4" t="str">
        <f>IFERROR(__XLUDF.DUMMYFUNCTION("VLOOKUP(H460,IMPORTRANGE(""https://docs.google.com/spreadsheets/d/1opm6ZNvGZ7KditA9TuJwrZ25eFLfTNIkrNnY6mhV5Eg"",""list!A1:C115""),3,TRUE)"),"le secteur du marketing")</f>
        <v xml:space="preserve">le secteur du marketing</v>
      </c>
      <c r="K2744" s="5" t="s">
        <v>20775</v>
      </c>
      <c r="L2744" s="5" t="s">
        <v>20776</v>
      </c>
      <c r="M2744" s="4" t="s">
        <v>49</v>
      </c>
      <c r="N2744" s="4" t="s">
        <v>29</v>
      </c>
      <c r="O2744" s="4" t="s">
        <v>20777</v>
      </c>
      <c r="P2744" s="4" t="s">
        <v>29</v>
      </c>
      <c r="Q2744" s="4" t="s">
        <v>20778</v>
      </c>
      <c r="R2744" s="6"/>
      <c r="S2744" s="6"/>
      <c r="T2744" s="6"/>
      <c r="U2744" s="6"/>
      <c r="V2744" s="6"/>
      <c r="W2744" s="6"/>
      <c r="X2744" s="6"/>
      <c r="Y2744" s="6"/>
      <c r="Z2744" s="6"/>
      <c r="AA2744" s="6"/>
    </row>
    <row r="2745" ht="14.25">
      <c r="B2745" s="4" t="s">
        <v>768</v>
      </c>
      <c r="C2745" s="4" t="s">
        <v>20779</v>
      </c>
      <c r="D2745" s="4" t="s">
        <v>20780</v>
      </c>
      <c r="E2745" s="4" t="s">
        <v>20781</v>
      </c>
      <c r="F2745" s="4" t="str">
        <f>IFERROR(__XLUDF.DUMMYFUNCTION("PROPER(REGEXREPLACE(D461,""[^A-Za-z]+ "",""""))"),"Inokufu")</f>
        <v>Inokufu</v>
      </c>
      <c r="G2745" s="4" t="s">
        <v>20782</v>
      </c>
      <c r="H2745" s="4">
        <v>15</v>
      </c>
      <c r="I2745" s="4" t="s">
        <v>2602</v>
      </c>
      <c r="J2745" s="4" t="str">
        <f>IFERROR(__XLUDF.DUMMYFUNCTION("VLOOKUP(H461,IMPORTRANGE(""https://docs.google.com/spreadsheets/d/1opm6ZNvGZ7KditA9TuJwrZ25eFLfTNIkrNnY6mhV5Eg"",""list!A1:C115""),3,TRUE)"),"le secteur de la tech")</f>
        <v xml:space="preserve">le secteur de la tech</v>
      </c>
      <c r="K2745" s="5" t="s">
        <v>20783</v>
      </c>
      <c r="L2745" s="5" t="s">
        <v>20784</v>
      </c>
      <c r="M2745" s="4" t="s">
        <v>20785</v>
      </c>
      <c r="N2745" s="4" t="s">
        <v>29</v>
      </c>
      <c r="O2745" s="4" t="s">
        <v>18715</v>
      </c>
      <c r="P2745" s="4" t="s">
        <v>29</v>
      </c>
      <c r="Q2745" s="4" t="s">
        <v>20786</v>
      </c>
      <c r="R2745" s="6"/>
      <c r="S2745" s="6"/>
      <c r="T2745" s="6"/>
      <c r="U2745" s="6"/>
      <c r="V2745" s="6"/>
      <c r="W2745" s="6"/>
      <c r="X2745" s="6"/>
      <c r="Y2745" s="6"/>
      <c r="Z2745" s="6"/>
      <c r="AA2745" s="6"/>
    </row>
    <row r="2746" ht="14.25">
      <c r="B2746" s="4" t="s">
        <v>661</v>
      </c>
      <c r="C2746" s="4" t="s">
        <v>20787</v>
      </c>
      <c r="D2746" s="4" t="s">
        <v>172</v>
      </c>
      <c r="E2746" s="4" t="s">
        <v>18215</v>
      </c>
      <c r="F2746" s="4" t="str">
        <f>IFERROR(__XLUDF.DUMMYFUNCTION("PROPER(REGEXREPLACE(D462,""[^A-Za-z]+ "",""""))"),"Origin")</f>
        <v>Origin</v>
      </c>
      <c r="G2746" s="4" t="s">
        <v>20788</v>
      </c>
      <c r="H2746" s="4">
        <v>10</v>
      </c>
      <c r="I2746" s="4" t="s">
        <v>2602</v>
      </c>
      <c r="J2746" s="4" t="str">
        <f>IFERROR(__XLUDF.DUMMYFUNCTION("VLOOKUP(H462,IMPORTRANGE(""https://docs.google.com/spreadsheets/d/1opm6ZNvGZ7KditA9TuJwrZ25eFLfTNIkrNnY6mhV5Eg"",""list!A1:C115""),3,TRUE)"),"le secteur de la tech")</f>
        <v xml:space="preserve">le secteur de la tech</v>
      </c>
      <c r="K2746" s="5" t="s">
        <v>20789</v>
      </c>
      <c r="L2746" s="5" t="s">
        <v>18218</v>
      </c>
      <c r="M2746" s="4" t="s">
        <v>39</v>
      </c>
      <c r="N2746" s="4" t="s">
        <v>29</v>
      </c>
      <c r="O2746" s="4" t="s">
        <v>18219</v>
      </c>
      <c r="P2746" s="4" t="s">
        <v>29</v>
      </c>
      <c r="Q2746" s="4" t="s">
        <v>18220</v>
      </c>
      <c r="R2746" s="6"/>
      <c r="S2746" s="6"/>
      <c r="T2746" s="6"/>
      <c r="U2746" s="6"/>
      <c r="V2746" s="6"/>
      <c r="W2746" s="6"/>
      <c r="X2746" s="6"/>
      <c r="Y2746" s="6"/>
      <c r="Z2746" s="6"/>
      <c r="AA2746" s="6"/>
    </row>
    <row r="2747" ht="14.25">
      <c r="B2747" s="4" t="s">
        <v>330</v>
      </c>
      <c r="C2747" s="4" t="s">
        <v>20790</v>
      </c>
      <c r="D2747" s="4" t="s">
        <v>172</v>
      </c>
      <c r="E2747" s="4" t="s">
        <v>15892</v>
      </c>
      <c r="F2747" s="4" t="str">
        <f>IFERROR(__XLUDF.DUMMYFUNCTION("PROPER(REGEXREPLACE(D463,""[^A-Za-z]+ "",""""))"),"Autonomii")</f>
        <v>Autonomii</v>
      </c>
      <c r="G2747" s="4" t="s">
        <v>20791</v>
      </c>
      <c r="H2747" s="4">
        <v>28</v>
      </c>
      <c r="I2747" s="4" t="s">
        <v>4067</v>
      </c>
      <c r="J2747" s="4" t="str">
        <f>IFERROR(__XLUDF.DUMMYFUNCTION("VLOOKUP(H463,IMPORTRANGE(""https://docs.google.com/spreadsheets/d/1opm6ZNvGZ7KditA9TuJwrZ25eFLfTNIkrNnY6mhV5Eg"",""list!A1:C115""),3,TRUE)"),"le secteur du conseil en management")</f>
        <v xml:space="preserve">le secteur du conseil en management</v>
      </c>
      <c r="K2747" s="5" t="s">
        <v>20792</v>
      </c>
      <c r="L2747" s="5" t="s">
        <v>20793</v>
      </c>
      <c r="M2747" s="4" t="s">
        <v>1962</v>
      </c>
      <c r="N2747" s="4" t="s">
        <v>29</v>
      </c>
      <c r="O2747" s="4" t="s">
        <v>287</v>
      </c>
      <c r="P2747" s="4" t="s">
        <v>29</v>
      </c>
      <c r="Q2747" s="4" t="s">
        <v>15896</v>
      </c>
      <c r="R2747" s="6"/>
      <c r="S2747" s="6"/>
      <c r="T2747" s="6"/>
      <c r="U2747" s="6"/>
      <c r="V2747" s="6"/>
      <c r="W2747" s="6"/>
      <c r="X2747" s="6"/>
      <c r="Y2747" s="6"/>
      <c r="Z2747" s="6"/>
      <c r="AA2747" s="6"/>
    </row>
    <row r="2748" ht="14.25">
      <c r="B2748" s="4" t="s">
        <v>95</v>
      </c>
      <c r="C2748" s="4" t="s">
        <v>20794</v>
      </c>
      <c r="D2748" s="4" t="s">
        <v>87</v>
      </c>
      <c r="E2748" s="5" t="s">
        <v>20795</v>
      </c>
      <c r="F2748" s="4" t="str">
        <f>IFERROR(__XLUDF.DUMMYFUNCTION("PROPER(REGEXREPLACE(D464,""[^A-Za-z]+ "",""""))"),"Societeinfo")</f>
        <v>Societeinfo</v>
      </c>
      <c r="G2748" s="4" t="s">
        <v>20796</v>
      </c>
      <c r="H2748" s="4">
        <v>11</v>
      </c>
      <c r="I2748" s="4" t="s">
        <v>2602</v>
      </c>
      <c r="J2748" s="4"/>
      <c r="K2748" s="5" t="s">
        <v>20797</v>
      </c>
      <c r="L2748" s="5" t="s">
        <v>20798</v>
      </c>
      <c r="M2748" s="4" t="s">
        <v>39</v>
      </c>
      <c r="N2748" s="4" t="s">
        <v>29</v>
      </c>
      <c r="O2748" s="4" t="s">
        <v>67</v>
      </c>
      <c r="P2748" s="4" t="s">
        <v>29</v>
      </c>
      <c r="Q2748" s="6"/>
      <c r="R2748" s="6"/>
      <c r="S2748" s="6"/>
      <c r="T2748" s="6"/>
      <c r="U2748" s="6"/>
      <c r="V2748" s="6"/>
      <c r="W2748" s="6"/>
      <c r="X2748" s="6"/>
      <c r="Y2748" s="6"/>
      <c r="Z2748" s="6"/>
      <c r="AA2748" s="6"/>
    </row>
    <row r="2749" ht="14.25">
      <c r="B2749" s="4" t="s">
        <v>20799</v>
      </c>
      <c r="C2749" s="4" t="s">
        <v>20800</v>
      </c>
      <c r="D2749" s="4" t="s">
        <v>112</v>
      </c>
      <c r="E2749" s="4" t="s">
        <v>20801</v>
      </c>
      <c r="F2749" s="4" t="str">
        <f>IFERROR(__XLUDF.DUMMYFUNCTION("PROPER(REGEXREPLACE(D465,""[^A-Za-z]+ "",""""))"),"Beteam")</f>
        <v>Beteam</v>
      </c>
      <c r="G2749" s="4" t="s">
        <v>20802</v>
      </c>
      <c r="H2749" s="4">
        <v>21</v>
      </c>
      <c r="I2749" s="4" t="s">
        <v>4067</v>
      </c>
      <c r="J2749" s="4"/>
      <c r="K2749" s="5" t="s">
        <v>20803</v>
      </c>
      <c r="L2749" s="5" t="s">
        <v>20804</v>
      </c>
      <c r="M2749" s="4" t="s">
        <v>39</v>
      </c>
      <c r="N2749" s="4" t="s">
        <v>29</v>
      </c>
      <c r="O2749" s="4" t="s">
        <v>20805</v>
      </c>
      <c r="P2749" s="4" t="s">
        <v>29</v>
      </c>
      <c r="Q2749" s="4" t="s">
        <v>20806</v>
      </c>
      <c r="R2749" s="6"/>
      <c r="S2749" s="6"/>
      <c r="T2749" s="6"/>
      <c r="U2749" s="6"/>
      <c r="V2749" s="6"/>
      <c r="W2749" s="6"/>
      <c r="X2749" s="6"/>
      <c r="Y2749" s="6"/>
      <c r="Z2749" s="6"/>
      <c r="AA2749" s="6"/>
    </row>
    <row r="2750" ht="14.25">
      <c r="B2750" s="4" t="s">
        <v>1009</v>
      </c>
      <c r="C2750" s="4" t="s">
        <v>20807</v>
      </c>
      <c r="D2750" s="4" t="s">
        <v>62</v>
      </c>
      <c r="E2750" s="4" t="s">
        <v>20808</v>
      </c>
      <c r="F2750" s="4" t="str">
        <f>IFERROR(__XLUDF.DUMMYFUNCTION("PROPER(REGEXREPLACE(D466,""[^A-Za-z]+ "",""""))"),"Lovell")</f>
        <v>Lovell</v>
      </c>
      <c r="G2750" s="4" t="s">
        <v>20809</v>
      </c>
      <c r="H2750" s="4">
        <v>38</v>
      </c>
      <c r="I2750" s="4" t="s">
        <v>2602</v>
      </c>
      <c r="J2750" s="4" t="str">
        <f>IFERROR(__XLUDF.DUMMYFUNCTION("VLOOKUP(H466,IMPORTRANGE(""https://docs.google.com/spreadsheets/d/1opm6ZNvGZ7KditA9TuJwrZ25eFLfTNIkrNnY6mhV5Eg"",""list!A1:C115""),3,TRUE)"),"le secteur de la tech")</f>
        <v xml:space="preserve">le secteur de la tech</v>
      </c>
      <c r="K2750" s="5" t="s">
        <v>20810</v>
      </c>
      <c r="L2750" s="5" t="s">
        <v>20811</v>
      </c>
      <c r="M2750" s="4" t="s">
        <v>39</v>
      </c>
      <c r="N2750" s="4" t="s">
        <v>29</v>
      </c>
      <c r="O2750" s="4" t="s">
        <v>20812</v>
      </c>
      <c r="P2750" s="4" t="s">
        <v>29</v>
      </c>
      <c r="Q2750" s="4" t="s">
        <v>20813</v>
      </c>
      <c r="R2750" s="6"/>
      <c r="S2750" s="6"/>
      <c r="T2750" s="6"/>
      <c r="U2750" s="6"/>
      <c r="V2750" s="6"/>
      <c r="W2750" s="6"/>
      <c r="X2750" s="6"/>
      <c r="Y2750" s="6"/>
      <c r="Z2750" s="6"/>
      <c r="AA2750" s="6"/>
    </row>
    <row r="2751" ht="14.25">
      <c r="B2751" s="4" t="s">
        <v>5728</v>
      </c>
      <c r="C2751" s="4" t="s">
        <v>20814</v>
      </c>
      <c r="D2751" s="4" t="s">
        <v>20815</v>
      </c>
      <c r="E2751" s="4" t="s">
        <v>20816</v>
      </c>
      <c r="F2751" s="4" t="str">
        <f>IFERROR(__XLUDF.DUMMYFUNCTION("PROPER(REGEXREPLACE(D467,""[^A-Za-z]+ "",""""))"),"Atoutshandicap")</f>
        <v>Atoutshandicap</v>
      </c>
      <c r="G2751" s="4" t="s">
        <v>20817</v>
      </c>
      <c r="H2751" s="4">
        <v>9</v>
      </c>
      <c r="I2751" s="4" t="s">
        <v>4067</v>
      </c>
      <c r="J2751" s="4" t="str">
        <f>IFERROR(__XLUDF.DUMMYFUNCTION("VLOOKUP(H467,IMPORTRANGE(""https://docs.google.com/spreadsheets/d/1opm6ZNvGZ7KditA9TuJwrZ25eFLfTNIkrNnY6mhV5Eg"",""list!A1:C115""),3,TRUE)"),"le secteur du conseil en management")</f>
        <v xml:space="preserve">le secteur du conseil en management</v>
      </c>
      <c r="K2751" s="5" t="s">
        <v>20818</v>
      </c>
      <c r="L2751" s="5" t="s">
        <v>20819</v>
      </c>
      <c r="M2751" s="4" t="s">
        <v>39</v>
      </c>
      <c r="N2751" s="4" t="s">
        <v>29</v>
      </c>
      <c r="O2751" s="4" t="s">
        <v>20820</v>
      </c>
      <c r="P2751" s="4" t="s">
        <v>29</v>
      </c>
      <c r="Q2751" s="4" t="s">
        <v>20821</v>
      </c>
      <c r="R2751" s="6"/>
      <c r="S2751" s="6"/>
      <c r="T2751" s="6"/>
      <c r="U2751" s="6"/>
      <c r="V2751" s="6"/>
      <c r="W2751" s="6"/>
      <c r="X2751" s="6"/>
      <c r="Y2751" s="6"/>
      <c r="Z2751" s="6"/>
      <c r="AA2751" s="6"/>
    </row>
    <row r="2752" ht="14.25">
      <c r="B2752" s="4" t="s">
        <v>20822</v>
      </c>
      <c r="C2752" s="4" t="s">
        <v>20823</v>
      </c>
      <c r="D2752" s="4" t="s">
        <v>62</v>
      </c>
      <c r="E2752" s="4" t="s">
        <v>15070</v>
      </c>
      <c r="F2752" s="4" t="str">
        <f>IFERROR(__XLUDF.DUMMYFUNCTION("PROPER(REGEXREPLACE(D468,""[^A-Za-z]+ "",""""))"),"Nelson")</f>
        <v>Nelson</v>
      </c>
      <c r="G2752" s="4" t="s">
        <v>20824</v>
      </c>
      <c r="H2752" s="4">
        <v>22</v>
      </c>
      <c r="I2752" s="4" t="s">
        <v>2602</v>
      </c>
      <c r="J2752" s="4" t="str">
        <f>IFERROR(__XLUDF.DUMMYFUNCTION("VLOOKUP(H468,IMPORTRANGE(""https://docs.google.com/spreadsheets/d/1opm6ZNvGZ7KditA9TuJwrZ25eFLfTNIkrNnY6mhV5Eg"",""list!A1:C115""),3,TRUE)"),"le secteur de la tech")</f>
        <v xml:space="preserve">le secteur de la tech</v>
      </c>
      <c r="K2752" s="5" t="s">
        <v>20825</v>
      </c>
      <c r="L2752" s="5" t="s">
        <v>19171</v>
      </c>
      <c r="M2752" s="4" t="s">
        <v>20826</v>
      </c>
      <c r="N2752" s="4" t="s">
        <v>29</v>
      </c>
      <c r="O2752" s="4" t="s">
        <v>67</v>
      </c>
      <c r="P2752" s="4" t="s">
        <v>29</v>
      </c>
      <c r="Q2752" s="6"/>
      <c r="R2752" s="6"/>
      <c r="S2752" s="6"/>
      <c r="T2752" s="6"/>
      <c r="U2752" s="6"/>
      <c r="V2752" s="6"/>
      <c r="W2752" s="6"/>
      <c r="X2752" s="6"/>
      <c r="Y2752" s="6"/>
      <c r="Z2752" s="6"/>
      <c r="AA2752" s="6"/>
    </row>
    <row r="2753" ht="14.25">
      <c r="B2753" s="4" t="s">
        <v>2419</v>
      </c>
      <c r="C2753" s="4" t="s">
        <v>20827</v>
      </c>
      <c r="D2753" s="4" t="s">
        <v>172</v>
      </c>
      <c r="E2753" s="4" t="s">
        <v>20828</v>
      </c>
      <c r="F2753" s="4" t="str">
        <f>IFERROR(__XLUDF.DUMMYFUNCTION("PROPER(REGEXREPLACE(D469,""[^A-Za-z]+ "",""""))"),"A&amp;A")</f>
        <v>A&amp;A</v>
      </c>
      <c r="G2753" s="4" t="s">
        <v>20829</v>
      </c>
      <c r="H2753" s="4">
        <v>29</v>
      </c>
      <c r="I2753" s="4" t="s">
        <v>2602</v>
      </c>
      <c r="J2753" s="4" t="str">
        <f>IFERROR(__XLUDF.DUMMYFUNCTION("VLOOKUP(H469,IMPORTRANGE(""https://docs.google.com/spreadsheets/d/1opm6ZNvGZ7KditA9TuJwrZ25eFLfTNIkrNnY6mhV5Eg"",""list!A1:C115""),3,TRUE)"),"le secteur de la tech")</f>
        <v xml:space="preserve">le secteur de la tech</v>
      </c>
      <c r="K2753" s="5" t="s">
        <v>20830</v>
      </c>
      <c r="L2753" s="5" t="s">
        <v>20831</v>
      </c>
      <c r="M2753" s="6"/>
      <c r="N2753" s="4" t="s">
        <v>29</v>
      </c>
      <c r="O2753" s="4" t="s">
        <v>20832</v>
      </c>
      <c r="P2753" s="4" t="s">
        <v>29</v>
      </c>
      <c r="Q2753" s="4" t="s">
        <v>20833</v>
      </c>
      <c r="R2753" s="6"/>
      <c r="S2753" s="6"/>
      <c r="T2753" s="6"/>
      <c r="U2753" s="6"/>
      <c r="V2753" s="6"/>
      <c r="W2753" s="6"/>
      <c r="X2753" s="6"/>
      <c r="Y2753" s="6"/>
      <c r="Z2753" s="6"/>
      <c r="AA2753" s="6"/>
    </row>
    <row r="2754" ht="14.25">
      <c r="B2754" s="4" t="s">
        <v>95</v>
      </c>
      <c r="C2754" s="4" t="s">
        <v>20834</v>
      </c>
      <c r="D2754" s="4" t="s">
        <v>20835</v>
      </c>
      <c r="E2754" s="4" t="s">
        <v>14323</v>
      </c>
      <c r="F2754" s="4" t="str">
        <f>IFERROR(__XLUDF.DUMMYFUNCTION("PROPER(REGEXREPLACE(D470,""[^A-Za-z]+ "",""""))"),"Abil-It")</f>
        <v>Abil-It</v>
      </c>
      <c r="G2754" s="4" t="s">
        <v>20836</v>
      </c>
      <c r="H2754" s="4">
        <v>19</v>
      </c>
      <c r="I2754" s="4" t="s">
        <v>2602</v>
      </c>
      <c r="J2754" s="4" t="str">
        <f>IFERROR(__XLUDF.DUMMYFUNCTION("VLOOKUP(H470,IMPORTRANGE(""https://docs.google.com/spreadsheets/d/1opm6ZNvGZ7KditA9TuJwrZ25eFLfTNIkrNnY6mhV5Eg"",""list!A1:C115""),3,TRUE)"),"le secteur de la tech")</f>
        <v xml:space="preserve">le secteur de la tech</v>
      </c>
      <c r="K2754" s="5" t="s">
        <v>20837</v>
      </c>
      <c r="L2754" s="5" t="s">
        <v>20838</v>
      </c>
      <c r="M2754" s="6"/>
      <c r="N2754" s="4" t="s">
        <v>29</v>
      </c>
      <c r="O2754" s="4" t="s">
        <v>20839</v>
      </c>
      <c r="P2754" s="4" t="s">
        <v>29</v>
      </c>
      <c r="Q2754" s="4" t="s">
        <v>14327</v>
      </c>
      <c r="R2754" s="6"/>
      <c r="S2754" s="6"/>
      <c r="T2754" s="6"/>
      <c r="U2754" s="6"/>
      <c r="V2754" s="6"/>
      <c r="W2754" s="6"/>
      <c r="X2754" s="6"/>
      <c r="Y2754" s="6"/>
      <c r="Z2754" s="6"/>
      <c r="AA2754" s="6"/>
    </row>
    <row r="2755" ht="14.25">
      <c r="B2755" s="4" t="s">
        <v>743</v>
      </c>
      <c r="C2755" s="4" t="s">
        <v>20840</v>
      </c>
      <c r="D2755" s="4" t="s">
        <v>20841</v>
      </c>
      <c r="E2755" s="4" t="s">
        <v>20842</v>
      </c>
      <c r="F2755" s="4" t="str">
        <f>IFERROR(__XLUDF.DUMMYFUNCTION("PROPER(REGEXREPLACE(D471,""[^A-Za-z]+ "",""""))"),"Infocob Solutions")</f>
        <v xml:space="preserve">Infocob Solutions</v>
      </c>
      <c r="G2755" s="4" t="s">
        <v>20843</v>
      </c>
      <c r="H2755" s="4">
        <v>34</v>
      </c>
      <c r="I2755" s="4" t="s">
        <v>2602</v>
      </c>
      <c r="J2755" s="4"/>
      <c r="K2755" s="5" t="s">
        <v>20844</v>
      </c>
      <c r="L2755" s="5" t="s">
        <v>20845</v>
      </c>
      <c r="M2755" s="4" t="s">
        <v>20846</v>
      </c>
      <c r="N2755" s="4" t="s">
        <v>29</v>
      </c>
      <c r="O2755" s="4" t="s">
        <v>20847</v>
      </c>
      <c r="P2755" s="4" t="s">
        <v>29</v>
      </c>
      <c r="Q2755" s="4" t="s">
        <v>20848</v>
      </c>
      <c r="R2755" s="6"/>
      <c r="S2755" s="6"/>
      <c r="T2755" s="6"/>
      <c r="U2755" s="6"/>
      <c r="V2755" s="6"/>
      <c r="W2755" s="6"/>
      <c r="X2755" s="6"/>
      <c r="Y2755" s="6"/>
      <c r="Z2755" s="6"/>
      <c r="AA2755" s="6"/>
    </row>
    <row r="2756" ht="14.25">
      <c r="B2756" s="4" t="s">
        <v>1198</v>
      </c>
      <c r="C2756" s="4" t="s">
        <v>20849</v>
      </c>
      <c r="D2756" s="4" t="s">
        <v>172</v>
      </c>
      <c r="E2756" s="4" t="s">
        <v>20850</v>
      </c>
      <c r="F2756" s="4" t="str">
        <f>IFERROR(__XLUDF.DUMMYFUNCTION("PROPER(REGEXREPLACE(D472,""[^A-Za-z]+ "",""""))"),"Zucchetti France")</f>
        <v xml:space="preserve">Zucchetti France</v>
      </c>
      <c r="G2756" s="4" t="s">
        <v>20851</v>
      </c>
      <c r="H2756" s="4">
        <v>39</v>
      </c>
      <c r="I2756" s="4" t="s">
        <v>2602</v>
      </c>
      <c r="J2756" s="4"/>
      <c r="K2756" s="5" t="s">
        <v>20852</v>
      </c>
      <c r="L2756" s="5" t="s">
        <v>20853</v>
      </c>
      <c r="M2756" s="6"/>
      <c r="N2756" s="4" t="s">
        <v>29</v>
      </c>
      <c r="O2756" s="4" t="s">
        <v>20854</v>
      </c>
      <c r="P2756" s="4" t="s">
        <v>29</v>
      </c>
      <c r="Q2756" s="4" t="s">
        <v>20855</v>
      </c>
      <c r="R2756" s="6"/>
      <c r="S2756" s="6"/>
      <c r="T2756" s="6"/>
      <c r="U2756" s="6"/>
      <c r="V2756" s="6"/>
      <c r="W2756" s="6"/>
      <c r="X2756" s="6"/>
      <c r="Y2756" s="6"/>
      <c r="Z2756" s="6"/>
      <c r="AA2756" s="6"/>
    </row>
    <row r="2757" ht="14.25">
      <c r="B2757" s="4" t="s">
        <v>630</v>
      </c>
      <c r="C2757" s="4" t="s">
        <v>20856</v>
      </c>
      <c r="D2757" s="4" t="s">
        <v>20857</v>
      </c>
      <c r="E2757" s="4" t="s">
        <v>19772</v>
      </c>
      <c r="F2757" s="4" t="str">
        <f>IFERROR(__XLUDF.DUMMYFUNCTION("PROPER(REGEXREPLACE(D473,""[^A-Za-z]+ "",""""))"),"Earlyfund")</f>
        <v>Earlyfund</v>
      </c>
      <c r="G2757" s="4" t="s">
        <v>20858</v>
      </c>
      <c r="H2757" s="4">
        <v>27</v>
      </c>
      <c r="I2757" s="4" t="s">
        <v>2629</v>
      </c>
      <c r="J2757" s="4"/>
      <c r="K2757" s="5" t="s">
        <v>20859</v>
      </c>
      <c r="L2757" s="5" t="s">
        <v>19775</v>
      </c>
      <c r="M2757" s="4" t="s">
        <v>83</v>
      </c>
      <c r="N2757" s="4" t="s">
        <v>29</v>
      </c>
      <c r="O2757" s="4" t="s">
        <v>19776</v>
      </c>
      <c r="P2757" s="4" t="s">
        <v>29</v>
      </c>
      <c r="Q2757" s="6"/>
      <c r="R2757" s="6"/>
      <c r="S2757" s="6"/>
      <c r="T2757" s="6"/>
      <c r="U2757" s="6"/>
      <c r="V2757" s="6"/>
      <c r="W2757" s="6"/>
      <c r="X2757" s="6"/>
      <c r="Y2757" s="6"/>
      <c r="Z2757" s="6"/>
      <c r="AA2757" s="6"/>
    </row>
    <row r="2758" ht="14.25">
      <c r="B2758" s="4" t="s">
        <v>4404</v>
      </c>
      <c r="C2758" s="4" t="s">
        <v>20860</v>
      </c>
      <c r="D2758" s="4" t="s">
        <v>20861</v>
      </c>
      <c r="E2758" s="4" t="s">
        <v>20862</v>
      </c>
      <c r="F2758" s="4" t="str">
        <f>IFERROR(__XLUDF.DUMMYFUNCTION("PROPER(REGEXREPLACE(D474,""[^A-Za-z]+ "",""""))"),"Rcdevs Security")</f>
        <v xml:space="preserve">Rcdevs Security</v>
      </c>
      <c r="G2758" s="4" t="s">
        <v>20863</v>
      </c>
      <c r="H2758" s="4">
        <v>18</v>
      </c>
      <c r="I2758" s="4" t="s">
        <v>9264</v>
      </c>
      <c r="J2758" s="4" t="str">
        <f>IFERROR(__XLUDF.DUMMYFUNCTION("VLOOKUP(H474,IMPORTRANGE(""https://docs.google.com/spreadsheets/d/1opm6ZNvGZ7KditA9TuJwrZ25eFLfTNIkrNnY6mhV5Eg"",""list!A1:C115""),3,TRUE)"),"le secteur de la sécurité informatique")</f>
        <v xml:space="preserve">le secteur de la sécurité informatique</v>
      </c>
      <c r="K2758" s="5" t="s">
        <v>20864</v>
      </c>
      <c r="L2758" s="5" t="s">
        <v>20865</v>
      </c>
      <c r="M2758" s="4" t="s">
        <v>4922</v>
      </c>
      <c r="N2758" s="4" t="s">
        <v>29</v>
      </c>
      <c r="O2758" s="4" t="s">
        <v>20866</v>
      </c>
      <c r="P2758" s="4" t="s">
        <v>1094</v>
      </c>
      <c r="Q2758" s="6"/>
      <c r="R2758" s="6"/>
      <c r="S2758" s="6"/>
      <c r="T2758" s="6"/>
      <c r="U2758" s="6"/>
      <c r="V2758" s="6"/>
      <c r="W2758" s="6"/>
      <c r="X2758" s="6"/>
      <c r="Y2758" s="6"/>
      <c r="Z2758" s="6"/>
      <c r="AA2758" s="6"/>
    </row>
    <row r="2759" ht="14.25">
      <c r="B2759" s="4" t="s">
        <v>6356</v>
      </c>
      <c r="C2759" s="4" t="s">
        <v>20867</v>
      </c>
      <c r="D2759" s="4" t="s">
        <v>265</v>
      </c>
      <c r="E2759" s="4" t="s">
        <v>20868</v>
      </c>
      <c r="F2759" s="4" t="str">
        <f>IFERROR(__XLUDF.DUMMYFUNCTION("PROPER(REGEXREPLACE(D475,""[^A-Za-z]+ "",""""))"),"Startin'Blox")</f>
        <v>Startin'Blox</v>
      </c>
      <c r="G2759" s="4" t="s">
        <v>20869</v>
      </c>
      <c r="H2759" s="4">
        <v>14</v>
      </c>
      <c r="I2759" s="4" t="s">
        <v>2602</v>
      </c>
      <c r="J2759" s="4" t="str">
        <f>IFERROR(__XLUDF.DUMMYFUNCTION("VLOOKUP(H475,IMPORTRANGE(""https://docs.google.com/spreadsheets/d/1opm6ZNvGZ7KditA9TuJwrZ25eFLfTNIkrNnY6mhV5Eg"",""list!A1:C115""),3,TRUE)"),"le secteur de la tech")</f>
        <v xml:space="preserve">le secteur de la tech</v>
      </c>
      <c r="K2759" s="5" t="s">
        <v>20870</v>
      </c>
      <c r="L2759" s="5" t="s">
        <v>20871</v>
      </c>
      <c r="M2759" s="4" t="s">
        <v>39</v>
      </c>
      <c r="N2759" s="4" t="s">
        <v>29</v>
      </c>
      <c r="O2759" s="4" t="s">
        <v>67</v>
      </c>
      <c r="P2759" s="4" t="s">
        <v>29</v>
      </c>
      <c r="Q2759" s="6"/>
      <c r="R2759" s="6"/>
      <c r="S2759" s="6"/>
      <c r="T2759" s="6"/>
      <c r="U2759" s="6"/>
      <c r="V2759" s="6"/>
      <c r="W2759" s="6"/>
      <c r="X2759" s="6"/>
      <c r="Y2759" s="6"/>
      <c r="Z2759" s="6"/>
      <c r="AA2759" s="6"/>
    </row>
    <row r="2760" ht="14.25">
      <c r="B2760" s="4" t="s">
        <v>5252</v>
      </c>
      <c r="C2760" s="4" t="s">
        <v>20872</v>
      </c>
      <c r="D2760" s="4" t="s">
        <v>879</v>
      </c>
      <c r="E2760" s="4" t="s">
        <v>20873</v>
      </c>
      <c r="F2760" s="4" t="str">
        <f>IFERROR(__XLUDF.DUMMYFUNCTION("PROPER(REGEXREPLACE(D476,""[^A-Za-z]+ "",""""))"),"Iconet")</f>
        <v>Iconet</v>
      </c>
      <c r="G2760" s="4" t="s">
        <v>20874</v>
      </c>
      <c r="H2760" s="4">
        <v>11</v>
      </c>
      <c r="I2760" s="4" t="s">
        <v>9264</v>
      </c>
      <c r="J2760" s="4" t="str">
        <f>IFERROR(__XLUDF.DUMMYFUNCTION("VLOOKUP(H476,IMPORTRANGE(""https://docs.google.com/spreadsheets/d/1opm6ZNvGZ7KditA9TuJwrZ25eFLfTNIkrNnY6mhV5Eg"",""list!A1:C115""),3,TRUE)"),"le secteur de la sécurité informatique")</f>
        <v xml:space="preserve">le secteur de la sécurité informatique</v>
      </c>
      <c r="K2760" s="5" t="s">
        <v>20875</v>
      </c>
      <c r="L2760" s="5" t="s">
        <v>20876</v>
      </c>
      <c r="M2760" s="4" t="s">
        <v>140</v>
      </c>
      <c r="N2760" s="4" t="s">
        <v>29</v>
      </c>
      <c r="O2760" s="4" t="s">
        <v>20877</v>
      </c>
      <c r="P2760" s="4" t="s">
        <v>29</v>
      </c>
      <c r="Q2760" s="4" t="s">
        <v>20878</v>
      </c>
      <c r="R2760" s="6"/>
      <c r="S2760" s="6"/>
      <c r="T2760" s="6"/>
      <c r="U2760" s="6"/>
      <c r="V2760" s="6"/>
      <c r="W2760" s="6"/>
      <c r="X2760" s="6"/>
      <c r="Y2760" s="6"/>
      <c r="Z2760" s="6"/>
      <c r="AA2760" s="6"/>
    </row>
    <row r="2761" ht="14.25">
      <c r="B2761" s="4" t="s">
        <v>3540</v>
      </c>
      <c r="C2761" s="4" t="s">
        <v>20879</v>
      </c>
      <c r="D2761" s="4" t="s">
        <v>20880</v>
      </c>
      <c r="E2761" s="4" t="s">
        <v>20881</v>
      </c>
      <c r="F2761" s="4" t="str">
        <f>IFERROR(__XLUDF.DUMMYFUNCTION("PROPER(REGEXREPLACE(D477,""[^A-Za-z]+ "",""""))"),"Pachamama")</f>
        <v>Pachamama</v>
      </c>
      <c r="G2761" s="4" t="s">
        <v>20882</v>
      </c>
      <c r="H2761" s="4">
        <v>28</v>
      </c>
      <c r="I2761" s="4" t="s">
        <v>2602</v>
      </c>
      <c r="J2761" s="4"/>
      <c r="K2761" s="5" t="s">
        <v>20883</v>
      </c>
      <c r="L2761" s="5" t="s">
        <v>20884</v>
      </c>
      <c r="M2761" s="6"/>
      <c r="N2761" s="4" t="s">
        <v>29</v>
      </c>
      <c r="O2761" s="4" t="s">
        <v>125</v>
      </c>
      <c r="P2761" s="4" t="s">
        <v>29</v>
      </c>
      <c r="Q2761" s="4" t="s">
        <v>20885</v>
      </c>
      <c r="R2761" s="6"/>
      <c r="S2761" s="6"/>
      <c r="T2761" s="6"/>
      <c r="U2761" s="6"/>
      <c r="V2761" s="6"/>
      <c r="W2761" s="6"/>
      <c r="X2761" s="6"/>
      <c r="Y2761" s="6"/>
      <c r="Z2761" s="6"/>
      <c r="AA2761" s="6"/>
    </row>
    <row r="2762" ht="14.25">
      <c r="B2762" s="4" t="s">
        <v>710</v>
      </c>
      <c r="C2762" s="4" t="s">
        <v>20886</v>
      </c>
      <c r="D2762" s="4" t="s">
        <v>5500</v>
      </c>
      <c r="E2762" s="5" t="s">
        <v>20887</v>
      </c>
      <c r="F2762" s="4" t="str">
        <f>IFERROR(__XLUDF.DUMMYFUNCTION("PROPER(REGEXREPLACE(D478,""[^A-Za-z]+ "",""""))"),"Search Factory")</f>
        <v xml:space="preserve">Search Factory</v>
      </c>
      <c r="G2762" s="4" t="s">
        <v>20888</v>
      </c>
      <c r="H2762" s="4">
        <v>32</v>
      </c>
      <c r="I2762" s="4" t="s">
        <v>9161</v>
      </c>
      <c r="J2762" s="4" t="str">
        <f>IFERROR(__XLUDF.DUMMYFUNCTION("VLOOKUP(H478,IMPORTRANGE(""https://docs.google.com/spreadsheets/d/1opm6ZNvGZ7KditA9TuJwrZ25eFLfTNIkrNnY6mhV5Eg"",""list!A1:C115""),3,TRUE)"),"le secteur du marketing")</f>
        <v xml:space="preserve">le secteur du marketing</v>
      </c>
      <c r="K2762" s="5" t="s">
        <v>20889</v>
      </c>
      <c r="L2762" s="5" t="s">
        <v>20890</v>
      </c>
      <c r="M2762" s="4" t="s">
        <v>1711</v>
      </c>
      <c r="N2762" s="4" t="s">
        <v>29</v>
      </c>
      <c r="O2762" s="4" t="s">
        <v>20891</v>
      </c>
      <c r="P2762" s="4" t="s">
        <v>29</v>
      </c>
      <c r="Q2762" s="4" t="s">
        <v>20892</v>
      </c>
      <c r="R2762" s="6"/>
      <c r="S2762" s="6"/>
      <c r="T2762" s="6"/>
      <c r="U2762" s="6"/>
      <c r="V2762" s="6"/>
      <c r="W2762" s="6"/>
      <c r="X2762" s="6"/>
      <c r="Y2762" s="6"/>
      <c r="Z2762" s="6"/>
      <c r="AA2762" s="6"/>
    </row>
    <row r="2763" ht="14.25">
      <c r="B2763" s="4" t="s">
        <v>768</v>
      </c>
      <c r="C2763" s="4" t="s">
        <v>20893</v>
      </c>
      <c r="D2763" s="4" t="s">
        <v>265</v>
      </c>
      <c r="E2763" s="4" t="s">
        <v>20894</v>
      </c>
      <c r="F2763" s="4" t="str">
        <f>IFERROR(__XLUDF.DUMMYFUNCTION("PROPER(REGEXREPLACE(D479,""[^A-Za-z]+ "",""""))"),"My Kiwi")</f>
        <v xml:space="preserve">My Kiwi</v>
      </c>
      <c r="G2763" s="4" t="s">
        <v>20895</v>
      </c>
      <c r="H2763" s="4">
        <v>39</v>
      </c>
      <c r="I2763" s="4" t="s">
        <v>2602</v>
      </c>
      <c r="J2763" s="4"/>
      <c r="K2763" s="5" t="s">
        <v>20896</v>
      </c>
      <c r="L2763" s="5" t="s">
        <v>20897</v>
      </c>
      <c r="M2763" s="6"/>
      <c r="N2763" s="4" t="s">
        <v>29</v>
      </c>
      <c r="O2763" s="4" t="s">
        <v>20898</v>
      </c>
      <c r="P2763" s="4" t="s">
        <v>29</v>
      </c>
      <c r="Q2763" s="4" t="s">
        <v>20899</v>
      </c>
      <c r="R2763" s="6"/>
      <c r="S2763" s="6"/>
      <c r="T2763" s="6"/>
      <c r="U2763" s="6"/>
      <c r="V2763" s="6"/>
      <c r="W2763" s="6"/>
      <c r="X2763" s="6"/>
      <c r="Y2763" s="6"/>
      <c r="Z2763" s="6"/>
      <c r="AA2763" s="6"/>
    </row>
    <row r="2764" ht="14.25">
      <c r="B2764" s="4" t="s">
        <v>1605</v>
      </c>
      <c r="C2764" s="4" t="s">
        <v>20900</v>
      </c>
      <c r="D2764" s="4" t="s">
        <v>341</v>
      </c>
      <c r="E2764" s="4" t="s">
        <v>20901</v>
      </c>
      <c r="F2764" s="4" t="str">
        <f>IFERROR(__XLUDF.DUMMYFUNCTION("PROPER(REGEXREPLACE(D480,""[^A-Za-z]+ "",""""))"),"Unit Consulting")</f>
        <v xml:space="preserve">Unit Consulting</v>
      </c>
      <c r="G2764" s="4" t="s">
        <v>20902</v>
      </c>
      <c r="H2764" s="4">
        <v>17</v>
      </c>
      <c r="I2764" s="4" t="s">
        <v>4067</v>
      </c>
      <c r="J2764" s="4"/>
      <c r="K2764" s="5" t="s">
        <v>20903</v>
      </c>
      <c r="L2764" s="5" t="s">
        <v>20904</v>
      </c>
      <c r="M2764" s="4" t="s">
        <v>39</v>
      </c>
      <c r="N2764" s="4" t="s">
        <v>29</v>
      </c>
      <c r="O2764" s="4" t="s">
        <v>20905</v>
      </c>
      <c r="P2764" s="4" t="s">
        <v>29</v>
      </c>
      <c r="Q2764" s="4" t="s">
        <v>20906</v>
      </c>
      <c r="R2764" s="6"/>
      <c r="S2764" s="6"/>
      <c r="T2764" s="6"/>
      <c r="U2764" s="6"/>
      <c r="V2764" s="6"/>
      <c r="W2764" s="6"/>
      <c r="X2764" s="6"/>
      <c r="Y2764" s="6"/>
      <c r="Z2764" s="6"/>
      <c r="AA2764" s="6"/>
    </row>
    <row r="2765" ht="14.25">
      <c r="B2765" s="4" t="s">
        <v>670</v>
      </c>
      <c r="C2765" s="4" t="s">
        <v>19011</v>
      </c>
      <c r="D2765" s="4" t="s">
        <v>20907</v>
      </c>
      <c r="E2765" s="4" t="s">
        <v>20908</v>
      </c>
      <c r="F2765" s="4" t="str">
        <f>IFERROR(__XLUDF.DUMMYFUNCTION("PROPER(REGEXREPLACE(D481,""[^A-Za-z]+ "",""""))"),"Docoon")</f>
        <v>Docoon</v>
      </c>
      <c r="G2765" s="4" t="s">
        <v>20909</v>
      </c>
      <c r="H2765" s="4">
        <v>26</v>
      </c>
      <c r="I2765" s="4" t="s">
        <v>2602</v>
      </c>
      <c r="J2765" s="4" t="str">
        <f>IFERROR(__XLUDF.DUMMYFUNCTION("VLOOKUP(H481,IMPORTRANGE(""https://docs.google.com/spreadsheets/d/1opm6ZNvGZ7KditA9TuJwrZ25eFLfTNIkrNnY6mhV5Eg"",""list!A1:C115""),3,TRUE)"),"le secteur de la tech")</f>
        <v xml:space="preserve">le secteur de la tech</v>
      </c>
      <c r="K2765" s="5" t="s">
        <v>20910</v>
      </c>
      <c r="L2765" s="5" t="s">
        <v>20911</v>
      </c>
      <c r="M2765" s="4" t="s">
        <v>39</v>
      </c>
      <c r="N2765" s="4" t="s">
        <v>29</v>
      </c>
      <c r="O2765" s="4" t="s">
        <v>67</v>
      </c>
      <c r="P2765" s="4" t="s">
        <v>29</v>
      </c>
      <c r="Q2765" s="4" t="s">
        <v>20912</v>
      </c>
      <c r="R2765" s="6"/>
      <c r="S2765" s="6"/>
      <c r="T2765" s="6"/>
      <c r="U2765" s="6"/>
      <c r="V2765" s="6"/>
      <c r="W2765" s="6"/>
      <c r="X2765" s="6"/>
      <c r="Y2765" s="6"/>
      <c r="Z2765" s="6"/>
      <c r="AA2765" s="6"/>
    </row>
    <row r="2766" ht="14.25">
      <c r="B2766" s="4" t="s">
        <v>1562</v>
      </c>
      <c r="C2766" s="4" t="s">
        <v>20913</v>
      </c>
      <c r="D2766" s="4" t="s">
        <v>87</v>
      </c>
      <c r="E2766" s="4" t="s">
        <v>20914</v>
      </c>
      <c r="F2766" s="4" t="str">
        <f>IFERROR(__XLUDF.DUMMYFUNCTION("PROPER(REGEXREPLACE(D482,""[^A-Za-z]+ "",""""))"),"Stop Telecom")</f>
        <v xml:space="preserve">Stop Telecom</v>
      </c>
      <c r="G2766" s="4" t="s">
        <v>20915</v>
      </c>
      <c r="H2766" s="4">
        <v>11</v>
      </c>
      <c r="I2766" s="4" t="s">
        <v>9184</v>
      </c>
      <c r="J2766" s="4" t="str">
        <f>IFERROR(__XLUDF.DUMMYFUNCTION("VLOOKUP(H482,IMPORTRANGE(""https://docs.google.com/spreadsheets/d/1opm6ZNvGZ7KditA9TuJwrZ25eFLfTNIkrNnY6mhV5Eg"",""list!A1:C115""),3,TRUE)"),"le secteur des télécommunications")</f>
        <v xml:space="preserve">le secteur des télécommunications</v>
      </c>
      <c r="K2766" s="5" t="s">
        <v>20916</v>
      </c>
      <c r="L2766" s="5" t="s">
        <v>20917</v>
      </c>
      <c r="M2766" s="4" t="s">
        <v>39</v>
      </c>
      <c r="N2766" s="4" t="s">
        <v>29</v>
      </c>
      <c r="O2766" s="4" t="s">
        <v>20918</v>
      </c>
      <c r="P2766" s="4" t="s">
        <v>29</v>
      </c>
      <c r="Q2766" s="4" t="s">
        <v>20919</v>
      </c>
      <c r="R2766" s="6"/>
      <c r="S2766" s="6"/>
      <c r="T2766" s="6"/>
      <c r="U2766" s="6"/>
      <c r="V2766" s="6"/>
      <c r="W2766" s="6"/>
      <c r="X2766" s="6"/>
      <c r="Y2766" s="6"/>
      <c r="Z2766" s="6"/>
      <c r="AA2766" s="6"/>
    </row>
    <row r="2767" ht="14.25">
      <c r="B2767" s="4" t="s">
        <v>808</v>
      </c>
      <c r="C2767" s="4" t="s">
        <v>20920</v>
      </c>
      <c r="D2767" s="4" t="s">
        <v>44</v>
      </c>
      <c r="E2767" s="4" t="s">
        <v>20921</v>
      </c>
      <c r="F2767" s="4" t="str">
        <f>IFERROR(__XLUDF.DUMMYFUNCTION("PROPER(REGEXREPLACE(D483,""[^A-Za-z]+ "",""""))"),"Lifesoft")</f>
        <v>Lifesoft</v>
      </c>
      <c r="G2767" s="4" t="s">
        <v>20922</v>
      </c>
      <c r="H2767" s="4">
        <v>14</v>
      </c>
      <c r="I2767" s="4" t="s">
        <v>2602</v>
      </c>
      <c r="J2767" s="4" t="str">
        <f>IFERROR(__XLUDF.DUMMYFUNCTION("VLOOKUP(H483,IMPORTRANGE(""https://docs.google.com/spreadsheets/d/1opm6ZNvGZ7KditA9TuJwrZ25eFLfTNIkrNnY6mhV5Eg"",""list!A1:C115""),3,TRUE)"),"le secteur de la tech")</f>
        <v xml:space="preserve">le secteur de la tech</v>
      </c>
      <c r="K2767" s="5" t="s">
        <v>20923</v>
      </c>
      <c r="L2767" s="5" t="s">
        <v>20924</v>
      </c>
      <c r="M2767" s="4" t="s">
        <v>39</v>
      </c>
      <c r="N2767" s="4" t="s">
        <v>29</v>
      </c>
      <c r="O2767" s="4" t="s">
        <v>20925</v>
      </c>
      <c r="P2767" s="4" t="s">
        <v>29</v>
      </c>
      <c r="Q2767" s="6"/>
      <c r="R2767" s="6"/>
      <c r="S2767" s="6"/>
      <c r="T2767" s="6"/>
      <c r="U2767" s="6"/>
      <c r="V2767" s="6"/>
      <c r="W2767" s="6"/>
      <c r="X2767" s="6"/>
      <c r="Y2767" s="6"/>
      <c r="Z2767" s="6"/>
      <c r="AA2767" s="6"/>
    </row>
    <row r="2768" ht="14.25">
      <c r="B2768" s="4" t="s">
        <v>785</v>
      </c>
      <c r="C2768" s="4" t="s">
        <v>20926</v>
      </c>
      <c r="D2768" s="4" t="s">
        <v>20927</v>
      </c>
      <c r="E2768" s="4" t="s">
        <v>20928</v>
      </c>
      <c r="F2768" s="4" t="str">
        <f>IFERROR(__XLUDF.DUMMYFUNCTION("PROPER(REGEXREPLACE(D484,""[^A-Za-z]+ "",""""))"),"Two-I")</f>
        <v>Two-I</v>
      </c>
      <c r="G2768" s="4" t="s">
        <v>20929</v>
      </c>
      <c r="H2768" s="4">
        <v>14</v>
      </c>
      <c r="I2768" s="4" t="s">
        <v>2602</v>
      </c>
      <c r="J2768" s="4" t="str">
        <f>IFERROR(__XLUDF.DUMMYFUNCTION("VLOOKUP(H484,IMPORTRANGE(""https://docs.google.com/spreadsheets/d/1opm6ZNvGZ7KditA9TuJwrZ25eFLfTNIkrNnY6mhV5Eg"",""list!A1:C115""),3,TRUE)"),"le secteur de la tech")</f>
        <v xml:space="preserve">le secteur de la tech</v>
      </c>
      <c r="K2768" s="5" t="s">
        <v>20930</v>
      </c>
      <c r="L2768" s="5" t="s">
        <v>20931</v>
      </c>
      <c r="M2768" s="6"/>
      <c r="N2768" s="4" t="s">
        <v>29</v>
      </c>
      <c r="O2768" s="4" t="s">
        <v>20932</v>
      </c>
      <c r="P2768" s="4" t="s">
        <v>29</v>
      </c>
      <c r="Q2768" s="4" t="s">
        <v>20933</v>
      </c>
      <c r="R2768" s="6"/>
      <c r="S2768" s="6"/>
      <c r="T2768" s="6"/>
      <c r="U2768" s="6"/>
      <c r="V2768" s="6"/>
      <c r="W2768" s="6"/>
      <c r="X2768" s="6"/>
      <c r="Y2768" s="6"/>
      <c r="Z2768" s="6"/>
      <c r="AA2768" s="6"/>
    </row>
    <row r="2769" ht="14.25">
      <c r="B2769" s="4" t="s">
        <v>2652</v>
      </c>
      <c r="C2769" s="4" t="s">
        <v>20934</v>
      </c>
      <c r="D2769" s="4" t="s">
        <v>20935</v>
      </c>
      <c r="E2769" s="4" t="s">
        <v>20936</v>
      </c>
      <c r="F2769" s="4" t="str">
        <f>IFERROR(__XLUDF.DUMMYFUNCTION("PROPER(REGEXREPLACE(D485,""[^A-Za-z]+ "",""""))"),"Touchsell")</f>
        <v>Touchsell</v>
      </c>
      <c r="G2769" s="4" t="s">
        <v>20937</v>
      </c>
      <c r="H2769" s="4">
        <v>16</v>
      </c>
      <c r="I2769" s="4" t="s">
        <v>2602</v>
      </c>
      <c r="J2769" s="4" t="str">
        <f>IFERROR(__XLUDF.DUMMYFUNCTION("VLOOKUP(H485,IMPORTRANGE(""https://docs.google.com/spreadsheets/d/1opm6ZNvGZ7KditA9TuJwrZ25eFLfTNIkrNnY6mhV5Eg"",""list!A1:C115""),3,TRUE)"),"le secteur de la tech")</f>
        <v xml:space="preserve">le secteur de la tech</v>
      </c>
      <c r="K2769" s="5" t="s">
        <v>20938</v>
      </c>
      <c r="L2769" s="5" t="s">
        <v>20939</v>
      </c>
      <c r="M2769" s="4" t="s">
        <v>39</v>
      </c>
      <c r="N2769" s="4" t="s">
        <v>29</v>
      </c>
      <c r="O2769" s="4" t="s">
        <v>20940</v>
      </c>
      <c r="P2769" s="4" t="s">
        <v>29</v>
      </c>
      <c r="Q2769" s="4" t="s">
        <v>20941</v>
      </c>
      <c r="R2769" s="6"/>
      <c r="S2769" s="6"/>
      <c r="T2769" s="6"/>
      <c r="U2769" s="6"/>
      <c r="V2769" s="6"/>
      <c r="W2769" s="6"/>
      <c r="X2769" s="6"/>
      <c r="Y2769" s="6"/>
      <c r="Z2769" s="6"/>
      <c r="AA2769" s="6"/>
    </row>
    <row r="2770" ht="14.25">
      <c r="B2770" s="4" t="s">
        <v>3280</v>
      </c>
      <c r="C2770" s="4" t="s">
        <v>20942</v>
      </c>
      <c r="D2770" s="4" t="s">
        <v>315</v>
      </c>
      <c r="E2770" s="4" t="s">
        <v>20943</v>
      </c>
      <c r="F2770" s="4" t="str">
        <f>IFERROR(__XLUDF.DUMMYFUNCTION("PROPER(REGEXREPLACE(D486,""[^A-Za-z]+ "",""""))"),"Up&amp;Charge")</f>
        <v>Up&amp;Charge</v>
      </c>
      <c r="G2770" s="4" t="s">
        <v>20944</v>
      </c>
      <c r="H2770" s="4">
        <v>15</v>
      </c>
      <c r="I2770" s="4" t="s">
        <v>10215</v>
      </c>
      <c r="J2770" s="4" t="str">
        <f>IFERROR(__XLUDF.DUMMYFUNCTION("VLOOKUP(H486,IMPORTRANGE(""https://docs.google.com/spreadsheets/d/1opm6ZNvGZ7KditA9TuJwrZ25eFLfTNIkrNnY6mhV5Eg"",""list!A1:C115""),3,TRUE)"),"le secteur de l'électrique et électronique")</f>
        <v xml:space="preserve">le secteur de l'électrique et électronique</v>
      </c>
      <c r="K2770" s="5" t="s">
        <v>20945</v>
      </c>
      <c r="L2770" s="5" t="s">
        <v>20946</v>
      </c>
      <c r="M2770" s="4" t="s">
        <v>39</v>
      </c>
      <c r="N2770" s="4" t="s">
        <v>29</v>
      </c>
      <c r="O2770" s="4" t="s">
        <v>6520</v>
      </c>
      <c r="P2770" s="4" t="s">
        <v>29</v>
      </c>
      <c r="Q2770" s="4" t="s">
        <v>20947</v>
      </c>
      <c r="R2770" s="6"/>
      <c r="S2770" s="6"/>
      <c r="T2770" s="6"/>
      <c r="U2770" s="6"/>
      <c r="V2770" s="6"/>
      <c r="W2770" s="6"/>
      <c r="X2770" s="6"/>
      <c r="Y2770" s="6"/>
      <c r="Z2770" s="6"/>
      <c r="AA2770" s="6"/>
    </row>
    <row r="2771" ht="14.25">
      <c r="B2771" s="4" t="s">
        <v>18168</v>
      </c>
      <c r="C2771" s="4" t="s">
        <v>20948</v>
      </c>
      <c r="D2771" s="4" t="s">
        <v>172</v>
      </c>
      <c r="E2771" s="4" t="s">
        <v>20949</v>
      </c>
      <c r="F2771" s="4" t="str">
        <f>IFERROR(__XLUDF.DUMMYFUNCTION("PROPER(REGEXREPLACE(D487,""[^A-Za-z]+ "",""""))"),"Ngs Distribution")</f>
        <v xml:space="preserve">Ngs Distribution</v>
      </c>
      <c r="G2771" s="4" t="s">
        <v>20950</v>
      </c>
      <c r="H2771" s="4">
        <v>13</v>
      </c>
      <c r="I2771" s="4" t="s">
        <v>9264</v>
      </c>
      <c r="J2771" s="4" t="str">
        <f>IFERROR(__XLUDF.DUMMYFUNCTION("VLOOKUP(H487,IMPORTRANGE(""https://docs.google.com/spreadsheets/d/1opm6ZNvGZ7KditA9TuJwrZ25eFLfTNIkrNnY6mhV5Eg"",""list!A1:C115""),3,TRUE)"),"le secteur de la sécurité informatique")</f>
        <v xml:space="preserve">le secteur de la sécurité informatique</v>
      </c>
      <c r="K2771" s="5" t="s">
        <v>20951</v>
      </c>
      <c r="L2771" s="5" t="s">
        <v>20952</v>
      </c>
      <c r="M2771" s="4" t="s">
        <v>39</v>
      </c>
      <c r="N2771" s="4" t="s">
        <v>29</v>
      </c>
      <c r="O2771" s="4" t="s">
        <v>20953</v>
      </c>
      <c r="P2771" s="4" t="s">
        <v>20954</v>
      </c>
      <c r="Q2771" s="6"/>
      <c r="R2771" s="6"/>
      <c r="S2771" s="6"/>
      <c r="T2771" s="6"/>
      <c r="U2771" s="6"/>
      <c r="V2771" s="6"/>
      <c r="W2771" s="6"/>
      <c r="X2771" s="6"/>
      <c r="Y2771" s="6"/>
      <c r="Z2771" s="6"/>
      <c r="AA2771" s="6"/>
    </row>
    <row r="2772" ht="14.25">
      <c r="B2772" s="4" t="s">
        <v>6923</v>
      </c>
      <c r="C2772" s="4" t="s">
        <v>867</v>
      </c>
      <c r="D2772" s="4" t="s">
        <v>172</v>
      </c>
      <c r="E2772" s="4" t="s">
        <v>20955</v>
      </c>
      <c r="F2772" s="4" t="str">
        <f>IFERROR(__XLUDF.DUMMYFUNCTION("PROPER(REGEXREPLACE(D488,""[^A-Za-z]+ "",""""))"),"Grandir Nature")</f>
        <v xml:space="preserve">Grandir Nature</v>
      </c>
      <c r="G2772" s="4" t="s">
        <v>20956</v>
      </c>
      <c r="H2772" s="4">
        <v>22</v>
      </c>
      <c r="I2772" s="4" t="s">
        <v>4525</v>
      </c>
      <c r="J2772" s="4"/>
      <c r="K2772" s="5" t="s">
        <v>20957</v>
      </c>
      <c r="L2772" s="5" t="s">
        <v>20958</v>
      </c>
      <c r="M2772" s="6"/>
      <c r="N2772" s="6"/>
      <c r="O2772" s="4" t="s">
        <v>20959</v>
      </c>
      <c r="P2772" s="4" t="s">
        <v>29</v>
      </c>
      <c r="Q2772" s="4" t="s">
        <v>20960</v>
      </c>
      <c r="R2772" s="6"/>
      <c r="S2772" s="6"/>
      <c r="T2772" s="6"/>
      <c r="U2772" s="6"/>
      <c r="V2772" s="6"/>
      <c r="W2772" s="6"/>
      <c r="X2772" s="6"/>
      <c r="Y2772" s="6"/>
      <c r="Z2772" s="6"/>
      <c r="AA2772" s="6"/>
    </row>
    <row r="2773" ht="14.25">
      <c r="B2773" s="4" t="s">
        <v>20961</v>
      </c>
      <c r="C2773" s="4" t="s">
        <v>20962</v>
      </c>
      <c r="D2773" s="4" t="s">
        <v>20963</v>
      </c>
      <c r="E2773" s="4" t="s">
        <v>20964</v>
      </c>
      <c r="F2773" s="4" t="str">
        <f>IFERROR(__XLUDF.DUMMYFUNCTION("PROPER(REGEXREPLACE(D489,""[^A-Za-z]+ "",""""))"),"Echoline")</f>
        <v>Echoline</v>
      </c>
      <c r="G2773" s="4" t="s">
        <v>20965</v>
      </c>
      <c r="H2773" s="4">
        <v>16</v>
      </c>
      <c r="I2773" s="4" t="s">
        <v>2602</v>
      </c>
      <c r="J2773" s="4" t="str">
        <f>IFERROR(__XLUDF.DUMMYFUNCTION("VLOOKUP(H489,IMPORTRANGE(""https://docs.google.com/spreadsheets/d/1opm6ZNvGZ7KditA9TuJwrZ25eFLfTNIkrNnY6mhV5Eg"",""list!A1:C115""),3,TRUE)"),"le secteur de la tech")</f>
        <v xml:space="preserve">le secteur de la tech</v>
      </c>
      <c r="K2773" s="5" t="s">
        <v>20966</v>
      </c>
      <c r="L2773" s="5" t="s">
        <v>20967</v>
      </c>
      <c r="M2773" s="6"/>
      <c r="N2773" s="4" t="s">
        <v>29</v>
      </c>
      <c r="O2773" s="4" t="s">
        <v>20968</v>
      </c>
      <c r="P2773" s="4" t="s">
        <v>29</v>
      </c>
      <c r="Q2773" s="4" t="s">
        <v>20969</v>
      </c>
      <c r="R2773" s="6"/>
      <c r="S2773" s="6"/>
      <c r="T2773" s="6"/>
      <c r="U2773" s="6"/>
      <c r="V2773" s="6"/>
      <c r="W2773" s="6"/>
      <c r="X2773" s="6"/>
      <c r="Y2773" s="6"/>
      <c r="Z2773" s="6"/>
      <c r="AA2773" s="6"/>
    </row>
    <row r="2774" ht="14.25">
      <c r="B2774" s="4" t="s">
        <v>510</v>
      </c>
      <c r="C2774" s="4" t="s">
        <v>20970</v>
      </c>
      <c r="D2774" s="4" t="s">
        <v>62</v>
      </c>
      <c r="E2774" s="4" t="s">
        <v>9839</v>
      </c>
      <c r="F2774" s="4" t="str">
        <f>IFERROR(__XLUDF.DUMMYFUNCTION("PROPER(REGEXREPLACE(D490,""[^A-Za-z]+ "",""""))"),"Sidekicks")</f>
        <v>Sidekicks</v>
      </c>
      <c r="G2774" s="4" t="s">
        <v>20971</v>
      </c>
      <c r="H2774" s="4">
        <v>12</v>
      </c>
      <c r="I2774" s="4" t="s">
        <v>4067</v>
      </c>
      <c r="J2774" s="4" t="str">
        <f>IFERROR(__XLUDF.DUMMYFUNCTION("VLOOKUP(H490,IMPORTRANGE(""https://docs.google.com/spreadsheets/d/1opm6ZNvGZ7KditA9TuJwrZ25eFLfTNIkrNnY6mhV5Eg"",""list!A1:C115""),3,TRUE)"),"le secteur du conseil en management")</f>
        <v xml:space="preserve">le secteur du conseil en management</v>
      </c>
      <c r="K2774" s="5" t="s">
        <v>20972</v>
      </c>
      <c r="L2774" s="5" t="s">
        <v>20973</v>
      </c>
      <c r="M2774" s="4" t="s">
        <v>39</v>
      </c>
      <c r="N2774" s="4" t="s">
        <v>29</v>
      </c>
      <c r="O2774" s="4" t="s">
        <v>67</v>
      </c>
      <c r="P2774" s="4" t="s">
        <v>29</v>
      </c>
      <c r="Q2774" s="4" t="s">
        <v>9844</v>
      </c>
      <c r="R2774" s="6"/>
      <c r="S2774" s="6"/>
      <c r="T2774" s="6"/>
      <c r="U2774" s="6"/>
      <c r="V2774" s="6"/>
      <c r="W2774" s="6"/>
      <c r="X2774" s="6"/>
      <c r="Y2774" s="6"/>
      <c r="Z2774" s="6"/>
      <c r="AA2774" s="6"/>
    </row>
    <row r="2775" ht="14.25">
      <c r="B2775" s="4" t="s">
        <v>5323</v>
      </c>
      <c r="C2775" s="4" t="s">
        <v>20974</v>
      </c>
      <c r="D2775" s="4" t="s">
        <v>20975</v>
      </c>
      <c r="E2775" s="4" t="s">
        <v>20976</v>
      </c>
      <c r="F2775" s="4" t="str">
        <f>IFERROR(__XLUDF.DUMMYFUNCTION("PROPER(REGEXREPLACE(D491,""[^A-Za-z]+ "",""""))"),"Greentag")</f>
        <v>Greentag</v>
      </c>
      <c r="G2775" s="4" t="s">
        <v>20977</v>
      </c>
      <c r="H2775" s="4">
        <v>16</v>
      </c>
      <c r="I2775" s="4" t="s">
        <v>4067</v>
      </c>
      <c r="J2775" s="4"/>
      <c r="K2775" s="5" t="s">
        <v>20978</v>
      </c>
      <c r="L2775" s="5" t="s">
        <v>20979</v>
      </c>
      <c r="M2775" s="4" t="s">
        <v>20980</v>
      </c>
      <c r="N2775" s="4" t="s">
        <v>29</v>
      </c>
      <c r="O2775" s="4" t="s">
        <v>20981</v>
      </c>
      <c r="P2775" s="4" t="s">
        <v>29</v>
      </c>
      <c r="Q2775" s="6"/>
      <c r="R2775" s="6"/>
      <c r="S2775" s="6"/>
      <c r="T2775" s="6"/>
      <c r="U2775" s="6"/>
      <c r="V2775" s="6"/>
      <c r="W2775" s="6"/>
      <c r="X2775" s="6"/>
      <c r="Y2775" s="6"/>
      <c r="Z2775" s="6"/>
      <c r="AA2775" s="6"/>
    </row>
    <row r="2776" ht="14.25">
      <c r="B2776" s="4" t="s">
        <v>170</v>
      </c>
      <c r="C2776" s="4" t="s">
        <v>20982</v>
      </c>
      <c r="D2776" s="4" t="s">
        <v>7981</v>
      </c>
      <c r="E2776" s="4" t="s">
        <v>20983</v>
      </c>
      <c r="F2776" s="4" t="str">
        <f>IFERROR(__XLUDF.DUMMYFUNCTION("PROPER(REGEXREPLACE(D492,""[^A-Za-z]+ "",""""))"),"Batvoice Ai")</f>
        <v xml:space="preserve">Batvoice Ai</v>
      </c>
      <c r="G2776" s="4" t="s">
        <v>20984</v>
      </c>
      <c r="H2776" s="4">
        <v>15</v>
      </c>
      <c r="I2776" s="4" t="s">
        <v>2602</v>
      </c>
      <c r="J2776" s="4" t="str">
        <f>IFERROR(__XLUDF.DUMMYFUNCTION("VLOOKUP(H492,IMPORTRANGE(""https://docs.google.com/spreadsheets/d/1opm6ZNvGZ7KditA9TuJwrZ25eFLfTNIkrNnY6mhV5Eg"",""list!A1:C115""),3,TRUE)"),"le secteur de la tech")</f>
        <v xml:space="preserve">le secteur de la tech</v>
      </c>
      <c r="K2776" s="5" t="s">
        <v>20985</v>
      </c>
      <c r="L2776" s="5" t="s">
        <v>20986</v>
      </c>
      <c r="M2776" s="4" t="s">
        <v>39</v>
      </c>
      <c r="N2776" s="4" t="s">
        <v>29</v>
      </c>
      <c r="O2776" s="4" t="s">
        <v>20987</v>
      </c>
      <c r="P2776" s="4" t="s">
        <v>29</v>
      </c>
      <c r="Q2776" s="4" t="s">
        <v>20988</v>
      </c>
      <c r="R2776" s="6"/>
      <c r="S2776" s="6"/>
      <c r="T2776" s="6"/>
      <c r="U2776" s="6"/>
      <c r="V2776" s="6"/>
      <c r="W2776" s="6"/>
      <c r="X2776" s="6"/>
      <c r="Y2776" s="6"/>
      <c r="Z2776" s="6"/>
      <c r="AA2776" s="6"/>
    </row>
    <row r="2777" ht="14.25">
      <c r="B2777" s="4" t="s">
        <v>206</v>
      </c>
      <c r="C2777" s="4" t="s">
        <v>20989</v>
      </c>
      <c r="D2777" s="4" t="s">
        <v>71</v>
      </c>
      <c r="E2777" s="4" t="s">
        <v>20990</v>
      </c>
      <c r="F2777" s="4" t="str">
        <f>IFERROR(__XLUDF.DUMMYFUNCTION("PROPER(REGEXREPLACE(D493,""[^A-Za-z]+ "",""""))"),"Goodsesame")</f>
        <v>Goodsesame</v>
      </c>
      <c r="G2777" s="4" t="s">
        <v>20991</v>
      </c>
      <c r="H2777" s="4">
        <v>10</v>
      </c>
      <c r="I2777" s="4" t="s">
        <v>4525</v>
      </c>
      <c r="J2777" s="4" t="str">
        <f>IFERROR(__XLUDF.DUMMYFUNCTION("VLOOKUP(H493,IMPORTRANGE(""https://docs.google.com/spreadsheets/d/1opm6ZNvGZ7KditA9TuJwrZ25eFLfTNIkrNnY6mhV5Eg"",""list!A1:C115""),3,TRUE)"),"le secteur du retail")</f>
        <v xml:space="preserve">le secteur du retail</v>
      </c>
      <c r="K2777" s="5" t="s">
        <v>20992</v>
      </c>
      <c r="L2777" s="5" t="s">
        <v>20993</v>
      </c>
      <c r="M2777" s="4" t="s">
        <v>39</v>
      </c>
      <c r="N2777" s="4" t="s">
        <v>29</v>
      </c>
      <c r="O2777" s="4" t="s">
        <v>20994</v>
      </c>
      <c r="P2777" s="4" t="s">
        <v>29</v>
      </c>
      <c r="Q2777" s="4" t="s">
        <v>20995</v>
      </c>
      <c r="R2777" s="6"/>
      <c r="S2777" s="6"/>
      <c r="T2777" s="6"/>
      <c r="U2777" s="6"/>
      <c r="V2777" s="6"/>
      <c r="W2777" s="6"/>
      <c r="X2777" s="6"/>
      <c r="Y2777" s="6"/>
      <c r="Z2777" s="6"/>
      <c r="AA2777" s="6"/>
    </row>
    <row r="2778" ht="14.25">
      <c r="B2778" s="4" t="s">
        <v>14423</v>
      </c>
      <c r="C2778" s="4" t="s">
        <v>20996</v>
      </c>
      <c r="D2778" s="4" t="s">
        <v>20997</v>
      </c>
      <c r="E2778" s="4" t="s">
        <v>20998</v>
      </c>
      <c r="F2778" s="4" t="str">
        <f>IFERROR(__XLUDF.DUMMYFUNCTION("PROPER(REGEXREPLACE(D494,""[^A-Za-z]+ "",""""))"),"Onwi")</f>
        <v>Onwi</v>
      </c>
      <c r="G2778" s="4" t="s">
        <v>20999</v>
      </c>
      <c r="H2778" s="4">
        <v>13</v>
      </c>
      <c r="I2778" s="4" t="s">
        <v>10215</v>
      </c>
      <c r="J2778" s="4"/>
      <c r="K2778" s="5" t="s">
        <v>21000</v>
      </c>
      <c r="L2778" s="5" t="s">
        <v>21001</v>
      </c>
      <c r="M2778" s="4" t="s">
        <v>185</v>
      </c>
      <c r="N2778" s="4" t="s">
        <v>29</v>
      </c>
      <c r="O2778" s="4" t="s">
        <v>21002</v>
      </c>
      <c r="P2778" s="4" t="s">
        <v>29</v>
      </c>
      <c r="Q2778" s="6"/>
      <c r="R2778" s="6"/>
      <c r="S2778" s="6"/>
      <c r="T2778" s="6"/>
      <c r="U2778" s="6"/>
      <c r="V2778" s="6"/>
      <c r="W2778" s="6"/>
      <c r="X2778" s="6"/>
      <c r="Y2778" s="6"/>
      <c r="Z2778" s="6"/>
      <c r="AA2778" s="6"/>
    </row>
    <row r="2779" ht="14.25">
      <c r="B2779" s="4" t="s">
        <v>21003</v>
      </c>
      <c r="C2779" s="4" t="s">
        <v>21004</v>
      </c>
      <c r="D2779" s="4" t="s">
        <v>21005</v>
      </c>
      <c r="E2779" s="4" t="s">
        <v>21006</v>
      </c>
      <c r="F2779" s="4" t="str">
        <f>IFERROR(__XLUDF.DUMMYFUNCTION("PROPER(REGEXREPLACE(D495,""[^A-Za-z]+ "",""""))"),"Lingo")</f>
        <v>Lingo</v>
      </c>
      <c r="G2779" s="4" t="s">
        <v>21007</v>
      </c>
      <c r="H2779" s="4">
        <v>49</v>
      </c>
      <c r="I2779" s="4" t="s">
        <v>2602</v>
      </c>
      <c r="J2779" s="4" t="str">
        <f>IFERROR(__XLUDF.DUMMYFUNCTION("VLOOKUP(H495,IMPORTRANGE(""https://docs.google.com/spreadsheets/d/1opm6ZNvGZ7KditA9TuJwrZ25eFLfTNIkrNnY6mhV5Eg"",""list!A1:C115""),3,TRUE)"),"le secteur de la tech")</f>
        <v xml:space="preserve">le secteur de la tech</v>
      </c>
      <c r="K2779" s="5" t="s">
        <v>21008</v>
      </c>
      <c r="L2779" s="5" t="s">
        <v>21009</v>
      </c>
      <c r="M2779" s="4" t="s">
        <v>39</v>
      </c>
      <c r="N2779" s="4" t="s">
        <v>29</v>
      </c>
      <c r="O2779" s="4" t="s">
        <v>67</v>
      </c>
      <c r="P2779" s="4" t="s">
        <v>29</v>
      </c>
      <c r="Q2779" s="4" t="s">
        <v>21010</v>
      </c>
      <c r="R2779" s="6"/>
      <c r="S2779" s="6"/>
      <c r="T2779" s="6"/>
      <c r="U2779" s="6"/>
      <c r="V2779" s="6"/>
      <c r="W2779" s="6"/>
      <c r="X2779" s="6"/>
      <c r="Y2779" s="6"/>
      <c r="Z2779" s="6"/>
      <c r="AA2779" s="6"/>
    </row>
    <row r="2780" ht="14.25">
      <c r="B2780" s="4" t="s">
        <v>893</v>
      </c>
      <c r="C2780" s="4" t="s">
        <v>21011</v>
      </c>
      <c r="D2780" s="4" t="s">
        <v>315</v>
      </c>
      <c r="E2780" s="4" t="s">
        <v>21012</v>
      </c>
      <c r="F2780" s="4" t="str">
        <f>IFERROR(__XLUDF.DUMMYFUNCTION("PROPER(REGEXREPLACE(D496,""[^A-Za-z]+ "",""""))"),"Defit")</f>
        <v>Defit</v>
      </c>
      <c r="G2780" s="4" t="s">
        <v>21013</v>
      </c>
      <c r="H2780" s="4">
        <v>23</v>
      </c>
      <c r="I2780" s="4" t="s">
        <v>2602</v>
      </c>
      <c r="J2780" s="4"/>
      <c r="K2780" s="5" t="s">
        <v>21014</v>
      </c>
      <c r="L2780" s="5" t="s">
        <v>21015</v>
      </c>
      <c r="M2780" s="4" t="s">
        <v>39</v>
      </c>
      <c r="N2780" s="4" t="s">
        <v>29</v>
      </c>
      <c r="O2780" s="4" t="s">
        <v>21016</v>
      </c>
      <c r="P2780" s="4" t="s">
        <v>8427</v>
      </c>
      <c r="Q2780" s="4" t="s">
        <v>21017</v>
      </c>
      <c r="R2780" s="6"/>
      <c r="S2780" s="6"/>
      <c r="T2780" s="6"/>
      <c r="U2780" s="6"/>
      <c r="V2780" s="6"/>
      <c r="W2780" s="6"/>
      <c r="X2780" s="6"/>
      <c r="Y2780" s="6"/>
      <c r="Z2780" s="6"/>
      <c r="AA2780" s="6"/>
    </row>
    <row r="2781" ht="14.25">
      <c r="B2781" s="4" t="s">
        <v>5029</v>
      </c>
      <c r="C2781" s="4" t="s">
        <v>21018</v>
      </c>
      <c r="D2781" s="4" t="s">
        <v>21019</v>
      </c>
      <c r="E2781" s="4" t="s">
        <v>21020</v>
      </c>
      <c r="F2781" s="4" t="str">
        <f>IFERROR(__XLUDF.DUMMYFUNCTION("PROPER(REGEXREPLACE(D497,""[^A-Za-z]+ "",""""))"),"Netwarx")</f>
        <v>Netwarx</v>
      </c>
      <c r="G2781" s="4" t="s">
        <v>21021</v>
      </c>
      <c r="H2781" s="4">
        <v>13</v>
      </c>
      <c r="I2781" s="4" t="s">
        <v>2602</v>
      </c>
      <c r="J2781" s="4" t="str">
        <f>IFERROR(__XLUDF.DUMMYFUNCTION("VLOOKUP(H497,IMPORTRANGE(""https://docs.google.com/spreadsheets/d/1opm6ZNvGZ7KditA9TuJwrZ25eFLfTNIkrNnY6mhV5Eg"",""list!A1:C115""),3,TRUE)"),"le secteur de la tech")</f>
        <v xml:space="preserve">le secteur de la tech</v>
      </c>
      <c r="K2781" s="5" t="s">
        <v>21022</v>
      </c>
      <c r="L2781" s="5" t="s">
        <v>21023</v>
      </c>
      <c r="M2781" s="4" t="s">
        <v>39</v>
      </c>
      <c r="N2781" s="4" t="s">
        <v>29</v>
      </c>
      <c r="O2781" s="4" t="s">
        <v>21024</v>
      </c>
      <c r="P2781" s="4" t="s">
        <v>29</v>
      </c>
      <c r="Q2781" s="6"/>
      <c r="R2781" s="6"/>
      <c r="S2781" s="6"/>
      <c r="T2781" s="6"/>
      <c r="U2781" s="6"/>
      <c r="V2781" s="6"/>
      <c r="W2781" s="6"/>
      <c r="X2781" s="6"/>
      <c r="Y2781" s="6"/>
      <c r="Z2781" s="6"/>
      <c r="AA2781" s="6"/>
    </row>
    <row r="2782" ht="14.25">
      <c r="B2782" s="4" t="s">
        <v>6356</v>
      </c>
      <c r="C2782" s="4" t="s">
        <v>21025</v>
      </c>
      <c r="D2782" s="4" t="s">
        <v>172</v>
      </c>
      <c r="E2782" s="4" t="s">
        <v>21026</v>
      </c>
      <c r="F2782" s="4" t="str">
        <f>IFERROR(__XLUDF.DUMMYFUNCTION("PROPER(REGEXREPLACE(D498,""[^A-Za-z]+ "",""""))"),"L'Equipeur")</f>
        <v>L'Equipeur</v>
      </c>
      <c r="G2782" s="4" t="s">
        <v>21027</v>
      </c>
      <c r="H2782" s="4">
        <v>47</v>
      </c>
      <c r="I2782" s="4" t="s">
        <v>4525</v>
      </c>
      <c r="J2782" s="4" t="str">
        <f>IFERROR(__XLUDF.DUMMYFUNCTION("VLOOKUP(H498,IMPORTRANGE(""https://docs.google.com/spreadsheets/d/1opm6ZNvGZ7KditA9TuJwrZ25eFLfTNIkrNnY6mhV5Eg"",""list!A1:C115""),3,TRUE)"),"le secteur du retail")</f>
        <v xml:space="preserve">le secteur du retail</v>
      </c>
      <c r="K2782" s="5" t="s">
        <v>21028</v>
      </c>
      <c r="L2782" s="5" t="s">
        <v>21029</v>
      </c>
      <c r="M2782" s="4" t="s">
        <v>185</v>
      </c>
      <c r="N2782" s="4" t="s">
        <v>29</v>
      </c>
      <c r="O2782" s="4" t="s">
        <v>21030</v>
      </c>
      <c r="P2782" s="4" t="s">
        <v>29</v>
      </c>
      <c r="Q2782" s="4" t="s">
        <v>21031</v>
      </c>
      <c r="R2782" s="6"/>
      <c r="S2782" s="6"/>
      <c r="T2782" s="6"/>
      <c r="U2782" s="6"/>
      <c r="V2782" s="6"/>
      <c r="W2782" s="6"/>
      <c r="X2782" s="6"/>
      <c r="Y2782" s="6"/>
      <c r="Z2782" s="6"/>
      <c r="AA2782" s="6"/>
    </row>
    <row r="2783" ht="14.25">
      <c r="B2783" s="4" t="s">
        <v>6634</v>
      </c>
      <c r="C2783" s="4" t="s">
        <v>21032</v>
      </c>
      <c r="D2783" s="4" t="s">
        <v>487</v>
      </c>
      <c r="E2783" s="4" t="s">
        <v>21033</v>
      </c>
      <c r="F2783" s="4" t="str">
        <f>IFERROR(__XLUDF.DUMMYFUNCTION("PROPER(REGEXREPLACE(D499,""[^A-Za-z]+ "",""""))"),"Vignobles Et Châteaux")</f>
        <v xml:space="preserve">Vignobles Et Châteaux</v>
      </c>
      <c r="G2783" s="4" t="s">
        <v>21034</v>
      </c>
      <c r="H2783" s="4">
        <v>19</v>
      </c>
      <c r="I2783" s="4" t="s">
        <v>4525</v>
      </c>
      <c r="J2783" s="4" t="str">
        <f>IFERROR(__XLUDF.DUMMYFUNCTION("VLOOKUP(H499,IMPORTRANGE(""https://docs.google.com/spreadsheets/d/1opm6ZNvGZ7KditA9TuJwrZ25eFLfTNIkrNnY6mhV5Eg"",""list!A1:C115""),3,TRUE)"),"le secteur du retail")</f>
        <v xml:space="preserve">le secteur du retail</v>
      </c>
      <c r="K2783" s="5" t="s">
        <v>21035</v>
      </c>
      <c r="L2783" s="5" t="s">
        <v>21036</v>
      </c>
      <c r="M2783" s="4" t="s">
        <v>243</v>
      </c>
      <c r="N2783" s="4" t="s">
        <v>29</v>
      </c>
      <c r="O2783" s="4" t="s">
        <v>21037</v>
      </c>
      <c r="P2783" s="4" t="s">
        <v>29</v>
      </c>
      <c r="Q2783" s="4" t="s">
        <v>21038</v>
      </c>
      <c r="R2783" s="6"/>
      <c r="S2783" s="6"/>
      <c r="T2783" s="6"/>
      <c r="U2783" s="6"/>
      <c r="V2783" s="6"/>
      <c r="W2783" s="6"/>
      <c r="X2783" s="6"/>
      <c r="Y2783" s="6"/>
      <c r="Z2783" s="6"/>
      <c r="AA2783" s="6"/>
    </row>
    <row r="2784" ht="14.25">
      <c r="B2784" s="4" t="s">
        <v>2258</v>
      </c>
      <c r="C2784" s="4" t="s">
        <v>21039</v>
      </c>
      <c r="D2784" s="4" t="s">
        <v>112</v>
      </c>
      <c r="E2784" s="4" t="s">
        <v>21040</v>
      </c>
      <c r="F2784" s="4" t="str">
        <f>IFERROR(__XLUDF.DUMMYFUNCTION("PROPER(REGEXREPLACE(D500,""[^A-Za-z]+ "",""""))"),"Groupe Ressources Et Changement")</f>
        <v xml:space="preserve">Groupe Ressources Et Changement</v>
      </c>
      <c r="G2784" s="4" t="s">
        <v>21041</v>
      </c>
      <c r="H2784" s="4">
        <v>22</v>
      </c>
      <c r="I2784" s="4" t="s">
        <v>4067</v>
      </c>
      <c r="J2784" s="4" t="str">
        <f>IFERROR(__XLUDF.DUMMYFUNCTION("VLOOKUP(H500,IMPORTRANGE(""https://docs.google.com/spreadsheets/d/1opm6ZNvGZ7KditA9TuJwrZ25eFLfTNIkrNnY6mhV5Eg"",""list!A1:C115""),3,TRUE)"),"le secteur du conseil en management")</f>
        <v xml:space="preserve">le secteur du conseil en management</v>
      </c>
      <c r="K2784" s="5" t="s">
        <v>21042</v>
      </c>
      <c r="L2784" s="5" t="s">
        <v>21043</v>
      </c>
      <c r="M2784" s="4" t="s">
        <v>243</v>
      </c>
      <c r="N2784" s="4" t="s">
        <v>29</v>
      </c>
      <c r="O2784" s="4" t="s">
        <v>21044</v>
      </c>
      <c r="P2784" s="4" t="s">
        <v>29</v>
      </c>
      <c r="Q2784" s="4" t="s">
        <v>21045</v>
      </c>
      <c r="R2784" s="6"/>
      <c r="S2784" s="6"/>
      <c r="T2784" s="6"/>
      <c r="U2784" s="6"/>
      <c r="V2784" s="6"/>
      <c r="W2784" s="6"/>
      <c r="X2784" s="6"/>
      <c r="Y2784" s="6"/>
      <c r="Z2784" s="6"/>
      <c r="AA2784" s="6"/>
    </row>
    <row r="2785" ht="14.25">
      <c r="B2785" s="4" t="s">
        <v>21046</v>
      </c>
      <c r="C2785" s="4" t="s">
        <v>21047</v>
      </c>
      <c r="D2785" s="4" t="s">
        <v>164</v>
      </c>
      <c r="E2785" s="4" t="s">
        <v>21048</v>
      </c>
      <c r="F2785" s="4" t="str">
        <f>IFERROR(__XLUDF.DUMMYFUNCTION("PROPER(REGEXREPLACE(D501,""[^A-Za-z]+ "",""""))"),"Europ Elec")</f>
        <v xml:space="preserve">Europ Elec</v>
      </c>
      <c r="G2785" s="4" t="s">
        <v>21049</v>
      </c>
      <c r="H2785" s="4">
        <v>14</v>
      </c>
      <c r="I2785" s="4" t="s">
        <v>10215</v>
      </c>
      <c r="J2785" s="4" t="str">
        <f>IFERROR(__XLUDF.DUMMYFUNCTION("VLOOKUP(H501,IMPORTRANGE(""https://docs.google.com/spreadsheets/d/1opm6ZNvGZ7KditA9TuJwrZ25eFLfTNIkrNnY6mhV5Eg"",""list!A1:C115""),3,TRUE)"),"le secteur de l'électrique et électronique")</f>
        <v xml:space="preserve">le secteur de l'électrique et électronique</v>
      </c>
      <c r="K2785" s="5" t="s">
        <v>21050</v>
      </c>
      <c r="L2785" s="6"/>
      <c r="M2785" s="4" t="s">
        <v>21051</v>
      </c>
      <c r="N2785" s="4" t="s">
        <v>29</v>
      </c>
      <c r="O2785" s="4" t="s">
        <v>21052</v>
      </c>
      <c r="P2785" s="4" t="s">
        <v>29</v>
      </c>
      <c r="Q2785" s="6"/>
      <c r="R2785" s="6"/>
      <c r="S2785" s="6"/>
      <c r="T2785" s="6"/>
      <c r="U2785" s="6"/>
      <c r="V2785" s="6"/>
      <c r="W2785" s="6"/>
      <c r="X2785" s="6"/>
      <c r="Y2785" s="6"/>
      <c r="Z2785" s="6"/>
      <c r="AA2785" s="6"/>
    </row>
    <row r="2786" ht="14.25">
      <c r="B2786" s="4" t="s">
        <v>2119</v>
      </c>
      <c r="C2786" s="4" t="s">
        <v>10834</v>
      </c>
      <c r="D2786" s="4" t="s">
        <v>172</v>
      </c>
      <c r="E2786" s="4" t="s">
        <v>21053</v>
      </c>
      <c r="F2786" s="4" t="str">
        <f>IFERROR(__XLUDF.DUMMYFUNCTION("PROPER(REGEXREPLACE(D502,""[^A-Za-z]+ "",""""))"),"Conex Sante")</f>
        <v xml:space="preserve">Conex Sante</v>
      </c>
      <c r="G2786" s="4" t="s">
        <v>21054</v>
      </c>
      <c r="H2786" s="4">
        <v>31</v>
      </c>
      <c r="I2786" s="4" t="s">
        <v>2602</v>
      </c>
      <c r="J2786" s="4"/>
      <c r="K2786" s="5" t="s">
        <v>21055</v>
      </c>
      <c r="L2786" s="5" t="s">
        <v>21056</v>
      </c>
      <c r="M2786" s="4" t="s">
        <v>12507</v>
      </c>
      <c r="N2786" s="4" t="s">
        <v>29</v>
      </c>
      <c r="O2786" s="4" t="s">
        <v>2478</v>
      </c>
      <c r="P2786" s="4" t="s">
        <v>29</v>
      </c>
      <c r="Q2786" s="6"/>
      <c r="R2786" s="6"/>
      <c r="S2786" s="6"/>
      <c r="T2786" s="6"/>
      <c r="U2786" s="6"/>
      <c r="V2786" s="6"/>
      <c r="W2786" s="6"/>
      <c r="X2786" s="6"/>
      <c r="Y2786" s="6"/>
      <c r="Z2786" s="6"/>
      <c r="AA2786" s="6"/>
    </row>
    <row r="2787" ht="14.25">
      <c r="B2787" s="4" t="s">
        <v>2493</v>
      </c>
      <c r="C2787" s="4" t="s">
        <v>21057</v>
      </c>
      <c r="D2787" s="4" t="s">
        <v>315</v>
      </c>
      <c r="E2787" s="4" t="s">
        <v>21058</v>
      </c>
      <c r="F2787" s="4" t="str">
        <f>IFERROR(__XLUDF.DUMMYFUNCTION("PROPER(REGEXREPLACE(D503,""[^A-Za-z]+ "",""""))"),"Sauvage111")</f>
        <v>Sauvage111</v>
      </c>
      <c r="G2787" s="4" t="s">
        <v>21059</v>
      </c>
      <c r="H2787" s="4">
        <v>12</v>
      </c>
      <c r="I2787" s="4" t="s">
        <v>9161</v>
      </c>
      <c r="J2787" s="4" t="str">
        <f>IFERROR(__XLUDF.DUMMYFUNCTION("VLOOKUP(H503,IMPORTRANGE(""https://docs.google.com/spreadsheets/d/1opm6ZNvGZ7KditA9TuJwrZ25eFLfTNIkrNnY6mhV5Eg"",""list!A1:C115""),3,TRUE)"),"le secteur du marketing")</f>
        <v xml:space="preserve">le secteur du marketing</v>
      </c>
      <c r="K2787" s="5" t="s">
        <v>21060</v>
      </c>
      <c r="L2787" s="5" t="s">
        <v>21061</v>
      </c>
      <c r="M2787" s="4" t="s">
        <v>39</v>
      </c>
      <c r="N2787" s="4" t="s">
        <v>29</v>
      </c>
      <c r="O2787" s="4" t="s">
        <v>67</v>
      </c>
      <c r="P2787" s="4" t="s">
        <v>29</v>
      </c>
      <c r="Q2787" s="6"/>
      <c r="R2787" s="6"/>
      <c r="S2787" s="6"/>
      <c r="T2787" s="6"/>
      <c r="U2787" s="6"/>
      <c r="V2787" s="6"/>
      <c r="W2787" s="6"/>
      <c r="X2787" s="6"/>
      <c r="Y2787" s="6"/>
      <c r="Z2787" s="6"/>
      <c r="AA2787" s="6"/>
    </row>
    <row r="2788" ht="14.25">
      <c r="B2788" s="4" t="s">
        <v>21062</v>
      </c>
      <c r="C2788" s="4" t="s">
        <v>2974</v>
      </c>
      <c r="D2788" s="4" t="s">
        <v>247</v>
      </c>
      <c r="E2788" s="5" t="s">
        <v>21063</v>
      </c>
      <c r="F2788" s="4" t="str">
        <f>IFERROR(__XLUDF.DUMMYFUNCTION("PROPER(REGEXREPLACE(D504,""[^A-Za-z]+ "",""""))"),"Tiilt")</f>
        <v>Tiilt</v>
      </c>
      <c r="G2788" s="4" t="s">
        <v>21064</v>
      </c>
      <c r="H2788" s="4">
        <v>11</v>
      </c>
      <c r="I2788" s="4" t="s">
        <v>2602</v>
      </c>
      <c r="J2788" s="4"/>
      <c r="K2788" s="5" t="s">
        <v>21065</v>
      </c>
      <c r="L2788" s="5" t="s">
        <v>21066</v>
      </c>
      <c r="M2788" s="4" t="s">
        <v>1780</v>
      </c>
      <c r="N2788" s="4" t="s">
        <v>29</v>
      </c>
      <c r="O2788" s="4" t="s">
        <v>21067</v>
      </c>
      <c r="P2788" s="4" t="s">
        <v>29</v>
      </c>
      <c r="Q2788" s="4" t="s">
        <v>21068</v>
      </c>
      <c r="R2788" s="6"/>
      <c r="S2788" s="6"/>
      <c r="T2788" s="6"/>
      <c r="U2788" s="6"/>
      <c r="V2788" s="6"/>
      <c r="W2788" s="6"/>
      <c r="X2788" s="6"/>
      <c r="Y2788" s="6"/>
      <c r="Z2788" s="6"/>
      <c r="AA2788" s="6"/>
    </row>
    <row r="2789" ht="14.25">
      <c r="B2789" s="4" t="s">
        <v>5111</v>
      </c>
      <c r="C2789" s="4" t="s">
        <v>21069</v>
      </c>
      <c r="D2789" s="4" t="s">
        <v>172</v>
      </c>
      <c r="E2789" s="4" t="s">
        <v>21070</v>
      </c>
      <c r="F2789" s="4" t="str">
        <f>IFERROR(__XLUDF.DUMMYFUNCTION("PROPER(REGEXREPLACE(D505,""[^A-Za-z]+ "",""""))"),"X-Log")</f>
        <v>X-Log</v>
      </c>
      <c r="G2789" s="4" t="s">
        <v>21071</v>
      </c>
      <c r="H2789" s="4">
        <v>13</v>
      </c>
      <c r="I2789" s="4" t="s">
        <v>2602</v>
      </c>
      <c r="J2789" s="4" t="str">
        <f>IFERROR(__XLUDF.DUMMYFUNCTION("VLOOKUP(H505,IMPORTRANGE(""https://docs.google.com/spreadsheets/d/1opm6ZNvGZ7KditA9TuJwrZ25eFLfTNIkrNnY6mhV5Eg"",""list!A1:C115""),3,TRUE)"),"le secteur de la tech")</f>
        <v xml:space="preserve">le secteur de la tech</v>
      </c>
      <c r="K2789" s="5" t="s">
        <v>21072</v>
      </c>
      <c r="L2789" s="5" t="s">
        <v>21073</v>
      </c>
      <c r="M2789" s="4" t="s">
        <v>39</v>
      </c>
      <c r="N2789" s="4" t="s">
        <v>29</v>
      </c>
      <c r="O2789" s="4" t="s">
        <v>21074</v>
      </c>
      <c r="P2789" s="4" t="s">
        <v>29</v>
      </c>
      <c r="Q2789" s="6"/>
      <c r="R2789" s="6"/>
      <c r="S2789" s="6"/>
      <c r="T2789" s="6"/>
      <c r="U2789" s="6"/>
      <c r="V2789" s="6"/>
      <c r="W2789" s="6"/>
      <c r="X2789" s="6"/>
      <c r="Y2789" s="6"/>
      <c r="Z2789" s="6"/>
      <c r="AA2789" s="6"/>
    </row>
    <row r="2790" ht="14.25">
      <c r="B2790" s="4" t="s">
        <v>1198</v>
      </c>
      <c r="C2790" s="4" t="s">
        <v>21075</v>
      </c>
      <c r="D2790" s="4" t="s">
        <v>3265</v>
      </c>
      <c r="E2790" s="4" t="s">
        <v>21076</v>
      </c>
      <c r="F2790" s="4" t="str">
        <f>IFERROR(__XLUDF.DUMMYFUNCTION("PROPER(REGEXREPLACE(D506,""[^A-Za-z]+ "",""""))"),"Groupeactive")</f>
        <v>Groupeactive</v>
      </c>
      <c r="G2790" s="4" t="s">
        <v>21077</v>
      </c>
      <c r="H2790" s="4">
        <v>47</v>
      </c>
      <c r="I2790" s="4" t="s">
        <v>4067</v>
      </c>
      <c r="J2790" s="4" t="str">
        <f>IFERROR(__XLUDF.DUMMYFUNCTION("VLOOKUP(H506,IMPORTRANGE(""https://docs.google.com/spreadsheets/d/1opm6ZNvGZ7KditA9TuJwrZ25eFLfTNIkrNnY6mhV5Eg"",""list!A1:C115""),3,TRUE)"),"le secteur du conseil en management")</f>
        <v xml:space="preserve">le secteur du conseil en management</v>
      </c>
      <c r="K2790" s="5" t="s">
        <v>21078</v>
      </c>
      <c r="L2790" s="5" t="s">
        <v>21079</v>
      </c>
      <c r="M2790" s="4" t="s">
        <v>149</v>
      </c>
      <c r="N2790" s="4" t="s">
        <v>29</v>
      </c>
      <c r="O2790" s="4" t="s">
        <v>21080</v>
      </c>
      <c r="P2790" s="4" t="s">
        <v>29</v>
      </c>
      <c r="Q2790" s="4" t="s">
        <v>11025</v>
      </c>
      <c r="R2790" s="6"/>
      <c r="S2790" s="6"/>
      <c r="T2790" s="6"/>
      <c r="U2790" s="6"/>
      <c r="V2790" s="6"/>
      <c r="W2790" s="6"/>
      <c r="X2790" s="6"/>
      <c r="Y2790" s="6"/>
      <c r="Z2790" s="6"/>
      <c r="AA2790" s="6"/>
    </row>
    <row r="2791" ht="14.25">
      <c r="B2791" s="4" t="s">
        <v>21081</v>
      </c>
      <c r="C2791" s="4" t="s">
        <v>21082</v>
      </c>
      <c r="D2791" s="4" t="s">
        <v>18553</v>
      </c>
      <c r="E2791" s="4" t="s">
        <v>21083</v>
      </c>
      <c r="F2791" s="4" t="str">
        <f>IFERROR(__XLUDF.DUMMYFUNCTION("PROPER(REGEXREPLACE(D507,""[^A-Za-z]+ "",""""))"),"Klart Ai")</f>
        <v xml:space="preserve">Klart Ai</v>
      </c>
      <c r="G2791" s="4" t="s">
        <v>21084</v>
      </c>
      <c r="H2791" s="4">
        <v>11</v>
      </c>
      <c r="I2791" s="4" t="s">
        <v>2602</v>
      </c>
      <c r="J2791" s="4" t="str">
        <f>IFERROR(__XLUDF.DUMMYFUNCTION("VLOOKUP(H507,IMPORTRANGE(""https://docs.google.com/spreadsheets/d/1opm6ZNvGZ7KditA9TuJwrZ25eFLfTNIkrNnY6mhV5Eg"",""list!A1:C115""),3,TRUE)"),"le secteur de la tech")</f>
        <v xml:space="preserve">le secteur de la tech</v>
      </c>
      <c r="K2791" s="5" t="s">
        <v>21085</v>
      </c>
      <c r="L2791" s="5" t="s">
        <v>21086</v>
      </c>
      <c r="M2791" s="4" t="s">
        <v>39</v>
      </c>
      <c r="N2791" s="4" t="s">
        <v>29</v>
      </c>
      <c r="O2791" s="4" t="s">
        <v>21087</v>
      </c>
      <c r="P2791" s="4" t="s">
        <v>29</v>
      </c>
      <c r="Q2791" s="4" t="s">
        <v>21088</v>
      </c>
      <c r="R2791" s="6"/>
      <c r="S2791" s="6"/>
      <c r="T2791" s="6"/>
      <c r="U2791" s="6"/>
      <c r="V2791" s="6"/>
      <c r="W2791" s="6"/>
      <c r="X2791" s="6"/>
      <c r="Y2791" s="6"/>
      <c r="Z2791" s="6"/>
      <c r="AA2791" s="6"/>
    </row>
    <row r="2792" ht="14.25">
      <c r="B2792" s="4" t="s">
        <v>21089</v>
      </c>
      <c r="C2792" s="4" t="s">
        <v>21090</v>
      </c>
      <c r="D2792" s="4" t="s">
        <v>341</v>
      </c>
      <c r="E2792" s="4" t="s">
        <v>21091</v>
      </c>
      <c r="F2792" s="4" t="str">
        <f>IFERROR(__XLUDF.DUMMYFUNCTION("PROPER(REGEXREPLACE(D508,""[^A-Za-z]+ "",""""))"),"Ipama")</f>
        <v>Ipama</v>
      </c>
      <c r="G2792" s="4" t="s">
        <v>21092</v>
      </c>
      <c r="H2792" s="4">
        <v>21</v>
      </c>
      <c r="I2792" s="4" t="s">
        <v>4067</v>
      </c>
      <c r="J2792" s="4"/>
      <c r="K2792" s="5" t="s">
        <v>21093</v>
      </c>
      <c r="L2792" s="5" t="s">
        <v>21094</v>
      </c>
      <c r="M2792" s="4" t="s">
        <v>1826</v>
      </c>
      <c r="N2792" s="4" t="s">
        <v>29</v>
      </c>
      <c r="O2792" s="4" t="s">
        <v>3403</v>
      </c>
      <c r="P2792" s="4" t="s">
        <v>29</v>
      </c>
      <c r="Q2792" s="6"/>
      <c r="R2792" s="6"/>
      <c r="S2792" s="6"/>
      <c r="T2792" s="6"/>
      <c r="U2792" s="6"/>
      <c r="V2792" s="6"/>
      <c r="W2792" s="6"/>
      <c r="X2792" s="6"/>
      <c r="Y2792" s="6"/>
      <c r="Z2792" s="6"/>
      <c r="AA2792" s="6"/>
    </row>
    <row r="2793" ht="14.25">
      <c r="B2793" s="4" t="s">
        <v>571</v>
      </c>
      <c r="C2793" s="4" t="s">
        <v>21095</v>
      </c>
      <c r="D2793" s="4" t="s">
        <v>21096</v>
      </c>
      <c r="E2793" s="4" t="s">
        <v>21097</v>
      </c>
      <c r="F2793" s="4" t="str">
        <f>IFERROR(__XLUDF.DUMMYFUNCTION("PROPER(REGEXREPLACE(D509,""[^A-Za-z]+ "",""""))"),"Citylinx")</f>
        <v>Citylinx</v>
      </c>
      <c r="G2793" s="4" t="s">
        <v>21098</v>
      </c>
      <c r="H2793" s="4">
        <v>14</v>
      </c>
      <c r="I2793" s="4" t="s">
        <v>2602</v>
      </c>
      <c r="J2793" s="4"/>
      <c r="K2793" s="5" t="s">
        <v>21099</v>
      </c>
      <c r="L2793" s="5" t="s">
        <v>21100</v>
      </c>
      <c r="M2793" s="4" t="s">
        <v>731</v>
      </c>
      <c r="N2793" s="4" t="s">
        <v>29</v>
      </c>
      <c r="O2793" s="4" t="s">
        <v>21101</v>
      </c>
      <c r="P2793" s="4" t="s">
        <v>29</v>
      </c>
      <c r="Q2793" s="6"/>
      <c r="R2793" s="6"/>
      <c r="S2793" s="6"/>
      <c r="T2793" s="6"/>
      <c r="U2793" s="6"/>
      <c r="V2793" s="6"/>
      <c r="W2793" s="6"/>
      <c r="X2793" s="6"/>
      <c r="Y2793" s="6"/>
      <c r="Z2793" s="6"/>
      <c r="AA2793" s="6"/>
    </row>
    <row r="2794" ht="14.25">
      <c r="B2794" s="4" t="s">
        <v>3002</v>
      </c>
      <c r="C2794" s="4" t="s">
        <v>5123</v>
      </c>
      <c r="D2794" s="4" t="s">
        <v>13589</v>
      </c>
      <c r="E2794" s="4" t="s">
        <v>18170</v>
      </c>
      <c r="F2794" s="4" t="str">
        <f>IFERROR(__XLUDF.DUMMYFUNCTION("PROPER(REGEXREPLACE(D510,""[^A-Za-z]+ "",""""))"),"Techops")</f>
        <v>Techops</v>
      </c>
      <c r="G2794" s="4" t="s">
        <v>21102</v>
      </c>
      <c r="H2794" s="4">
        <v>20</v>
      </c>
      <c r="I2794" s="4" t="s">
        <v>2602</v>
      </c>
      <c r="J2794" s="4" t="str">
        <f>IFERROR(__XLUDF.DUMMYFUNCTION("VLOOKUP(H510,IMPORTRANGE(""https://docs.google.com/spreadsheets/d/1opm6ZNvGZ7KditA9TuJwrZ25eFLfTNIkrNnY6mhV5Eg"",""list!A1:C115""),3,TRUE)"),"le secteur de la tech")</f>
        <v xml:space="preserve">le secteur de la tech</v>
      </c>
      <c r="K2794" s="5" t="s">
        <v>21103</v>
      </c>
      <c r="L2794" s="5" t="s">
        <v>18173</v>
      </c>
      <c r="M2794" s="4" t="s">
        <v>39</v>
      </c>
      <c r="N2794" s="4" t="s">
        <v>29</v>
      </c>
      <c r="O2794" s="4" t="s">
        <v>611</v>
      </c>
      <c r="P2794" s="4" t="s">
        <v>29</v>
      </c>
      <c r="Q2794" s="6"/>
      <c r="R2794" s="6"/>
      <c r="S2794" s="6"/>
      <c r="T2794" s="6"/>
      <c r="U2794" s="6"/>
      <c r="V2794" s="6"/>
      <c r="W2794" s="6"/>
      <c r="X2794" s="6"/>
      <c r="Y2794" s="6"/>
      <c r="Z2794" s="6"/>
      <c r="AA2794" s="6"/>
    </row>
    <row r="2795" ht="14.25">
      <c r="B2795" s="4" t="s">
        <v>21104</v>
      </c>
      <c r="C2795" s="4" t="s">
        <v>21105</v>
      </c>
      <c r="D2795" s="4" t="s">
        <v>120</v>
      </c>
      <c r="E2795" s="4" t="s">
        <v>21106</v>
      </c>
      <c r="F2795" s="4" t="str">
        <f>IFERROR(__XLUDF.DUMMYFUNCTION("PROPER(REGEXREPLACE(D511,""[^A-Za-z]+ "",""""))"),"Logia")</f>
        <v>Logia</v>
      </c>
      <c r="G2795" s="4" t="s">
        <v>21107</v>
      </c>
      <c r="H2795" s="4">
        <v>10</v>
      </c>
      <c r="I2795" s="4" t="s">
        <v>9161</v>
      </c>
      <c r="J2795" s="4" t="str">
        <f>IFERROR(__XLUDF.DUMMYFUNCTION("VLOOKUP(H511,IMPORTRANGE(""https://docs.google.com/spreadsheets/d/1opm6ZNvGZ7KditA9TuJwrZ25eFLfTNIkrNnY6mhV5Eg"",""list!A1:C115""),3,TRUE)"),"le secteur du marketing")</f>
        <v xml:space="preserve">le secteur du marketing</v>
      </c>
      <c r="K2795" s="5" t="s">
        <v>21108</v>
      </c>
      <c r="L2795" s="5" t="s">
        <v>21109</v>
      </c>
      <c r="M2795" s="4" t="s">
        <v>21110</v>
      </c>
      <c r="N2795" s="4" t="s">
        <v>29</v>
      </c>
      <c r="O2795" s="4" t="s">
        <v>21111</v>
      </c>
      <c r="P2795" s="4" t="s">
        <v>29</v>
      </c>
      <c r="Q2795" s="4" t="s">
        <v>21112</v>
      </c>
      <c r="R2795" s="6"/>
      <c r="S2795" s="6"/>
      <c r="T2795" s="6"/>
      <c r="U2795" s="6"/>
      <c r="V2795" s="6"/>
      <c r="W2795" s="6"/>
      <c r="X2795" s="6"/>
      <c r="Y2795" s="6"/>
      <c r="Z2795" s="6"/>
      <c r="AA2795" s="6"/>
    </row>
    <row r="2796" ht="14.25">
      <c r="B2796" s="4" t="s">
        <v>7559</v>
      </c>
      <c r="C2796" s="4" t="s">
        <v>1775</v>
      </c>
      <c r="D2796" s="4" t="s">
        <v>172</v>
      </c>
      <c r="E2796" s="4" t="s">
        <v>21113</v>
      </c>
      <c r="F2796" s="4" t="str">
        <f>IFERROR(__XLUDF.DUMMYFUNCTION("PROPER(REGEXREPLACE(D512,""[^A-Za-z]+ "",""""))"),"Adee Electronic")</f>
        <v xml:space="preserve">Adee Electronic</v>
      </c>
      <c r="G2796" s="4" t="s">
        <v>21114</v>
      </c>
      <c r="H2796" s="4">
        <v>32</v>
      </c>
      <c r="I2796" s="4" t="s">
        <v>10215</v>
      </c>
      <c r="J2796" s="4"/>
      <c r="K2796" s="5" t="s">
        <v>21115</v>
      </c>
      <c r="L2796" s="5" t="s">
        <v>21116</v>
      </c>
      <c r="M2796" s="4" t="s">
        <v>149</v>
      </c>
      <c r="N2796" s="4" t="s">
        <v>29</v>
      </c>
      <c r="O2796" s="4" t="s">
        <v>21117</v>
      </c>
      <c r="P2796" s="4" t="s">
        <v>29</v>
      </c>
      <c r="Q2796" s="6"/>
      <c r="R2796" s="6"/>
      <c r="S2796" s="6"/>
      <c r="T2796" s="6"/>
      <c r="U2796" s="6"/>
      <c r="V2796" s="6"/>
      <c r="W2796" s="6"/>
      <c r="X2796" s="6"/>
      <c r="Y2796" s="6"/>
      <c r="Z2796" s="6"/>
      <c r="AA2796" s="6"/>
    </row>
    <row r="2797" ht="14.25">
      <c r="B2797" s="4" t="s">
        <v>7559</v>
      </c>
      <c r="C2797" s="4" t="s">
        <v>13329</v>
      </c>
      <c r="D2797" s="4" t="s">
        <v>172</v>
      </c>
      <c r="E2797" s="4" t="s">
        <v>21118</v>
      </c>
      <c r="F2797" s="4" t="str">
        <f>IFERROR(__XLUDF.DUMMYFUNCTION("PROPER(REGEXREPLACE(D513,""[^A-Za-z]+ "",""""))"),"Abonite Consultants")</f>
        <v xml:space="preserve">Abonite Consultants</v>
      </c>
      <c r="G2797" s="4" t="s">
        <v>21119</v>
      </c>
      <c r="H2797" s="4">
        <v>9</v>
      </c>
      <c r="I2797" s="4" t="s">
        <v>2602</v>
      </c>
      <c r="J2797" s="4"/>
      <c r="K2797" s="5" t="s">
        <v>21120</v>
      </c>
      <c r="L2797" s="5" t="s">
        <v>21121</v>
      </c>
      <c r="M2797" s="4" t="s">
        <v>39</v>
      </c>
      <c r="N2797" s="4" t="s">
        <v>29</v>
      </c>
      <c r="O2797" s="4" t="s">
        <v>21122</v>
      </c>
      <c r="P2797" s="4" t="s">
        <v>29</v>
      </c>
      <c r="Q2797" s="6"/>
      <c r="R2797" s="6"/>
      <c r="S2797" s="6"/>
      <c r="T2797" s="6"/>
      <c r="U2797" s="6"/>
      <c r="V2797" s="6"/>
      <c r="W2797" s="6"/>
      <c r="X2797" s="6"/>
      <c r="Y2797" s="6"/>
      <c r="Z2797" s="6"/>
      <c r="AA2797" s="6"/>
    </row>
    <row r="2798" ht="14.25">
      <c r="B2798" s="4" t="s">
        <v>21123</v>
      </c>
      <c r="C2798" s="4" t="s">
        <v>21124</v>
      </c>
      <c r="D2798" s="4" t="s">
        <v>21125</v>
      </c>
      <c r="E2798" s="4" t="s">
        <v>21126</v>
      </c>
      <c r="F2798" s="4" t="str">
        <f>IFERROR(__XLUDF.DUMMYFUNCTION("PROPER(REGEXREPLACE(D514,""[^A-Za-z]+ "",""""))"),"Angie")</f>
        <v>Angie</v>
      </c>
      <c r="G2798" s="4" t="s">
        <v>21127</v>
      </c>
      <c r="H2798" s="4">
        <v>11</v>
      </c>
      <c r="I2798" s="4" t="s">
        <v>2602</v>
      </c>
      <c r="J2798" s="4" t="str">
        <f>IFERROR(__XLUDF.DUMMYFUNCTION("VLOOKUP(H514,IMPORTRANGE(""https://docs.google.com/spreadsheets/d/1opm6ZNvGZ7KditA9TuJwrZ25eFLfTNIkrNnY6mhV5Eg"",""list!A1:C115""),3,TRUE)"),"le secteur de la tech")</f>
        <v xml:space="preserve">le secteur de la tech</v>
      </c>
      <c r="K2798" s="5" t="s">
        <v>21128</v>
      </c>
      <c r="L2798" s="5" t="s">
        <v>21129</v>
      </c>
      <c r="M2798" s="4" t="s">
        <v>39</v>
      </c>
      <c r="N2798" s="4" t="s">
        <v>29</v>
      </c>
      <c r="O2798" s="4" t="s">
        <v>21130</v>
      </c>
      <c r="P2798" s="4" t="s">
        <v>3495</v>
      </c>
      <c r="Q2798" s="4" t="s">
        <v>21131</v>
      </c>
      <c r="R2798" s="6"/>
      <c r="S2798" s="6"/>
      <c r="T2798" s="6"/>
      <c r="U2798" s="6"/>
      <c r="V2798" s="6"/>
      <c r="W2798" s="6"/>
      <c r="X2798" s="6"/>
      <c r="Y2798" s="6"/>
      <c r="Z2798" s="6"/>
      <c r="AA2798" s="6"/>
    </row>
    <row r="2799" ht="14.25">
      <c r="B2799" s="4" t="s">
        <v>2932</v>
      </c>
      <c r="C2799" s="4" t="s">
        <v>21132</v>
      </c>
      <c r="D2799" s="4" t="s">
        <v>62</v>
      </c>
      <c r="E2799" s="4" t="s">
        <v>21133</v>
      </c>
      <c r="F2799" s="4" t="str">
        <f>IFERROR(__XLUDF.DUMMYFUNCTION("PROPER(REGEXREPLACE(D515,""[^A-Za-z]+ "",""""))"),"Loxada")</f>
        <v>Loxada</v>
      </c>
      <c r="G2799" s="4" t="s">
        <v>21134</v>
      </c>
      <c r="H2799" s="4">
        <v>10</v>
      </c>
      <c r="I2799" s="4" t="s">
        <v>9264</v>
      </c>
      <c r="J2799" s="4"/>
      <c r="K2799" s="5" t="s">
        <v>21135</v>
      </c>
      <c r="L2799" s="5" t="s">
        <v>21136</v>
      </c>
      <c r="M2799" s="4" t="s">
        <v>3049</v>
      </c>
      <c r="N2799" s="4" t="s">
        <v>29</v>
      </c>
      <c r="O2799" s="4" t="s">
        <v>21137</v>
      </c>
      <c r="P2799" s="4" t="s">
        <v>1548</v>
      </c>
      <c r="Q2799" s="4" t="s">
        <v>21138</v>
      </c>
      <c r="R2799" s="6"/>
      <c r="S2799" s="6"/>
      <c r="T2799" s="6"/>
      <c r="U2799" s="6"/>
      <c r="V2799" s="6"/>
      <c r="W2799" s="6"/>
      <c r="X2799" s="6"/>
      <c r="Y2799" s="6"/>
      <c r="Z2799" s="6"/>
      <c r="AA2799" s="6"/>
    </row>
    <row r="2800" ht="14.25">
      <c r="B2800" s="4" t="s">
        <v>21139</v>
      </c>
      <c r="C2800" s="4" t="s">
        <v>21140</v>
      </c>
      <c r="D2800" s="4" t="s">
        <v>2636</v>
      </c>
      <c r="E2800" s="4" t="s">
        <v>21141</v>
      </c>
      <c r="F2800" s="4" t="str">
        <f>IFERROR(__XLUDF.DUMMYFUNCTION("PROPER(REGEXREPLACE(D516,""[^A-Za-z]+ "",""""))"),"Derancourt")</f>
        <v>Derancourt</v>
      </c>
      <c r="G2800" s="4" t="s">
        <v>21142</v>
      </c>
      <c r="H2800" s="4">
        <v>29</v>
      </c>
      <c r="I2800" s="4" t="s">
        <v>10215</v>
      </c>
      <c r="J2800" s="4" t="str">
        <f>IFERROR(__XLUDF.DUMMYFUNCTION("VLOOKUP(H516,IMPORTRANGE(""https://docs.google.com/spreadsheets/d/1opm6ZNvGZ7KditA9TuJwrZ25eFLfTNIkrNnY6mhV5Eg"",""list!A1:C115""),3,TRUE)"),"le secteur de l'électrique et électronique")</f>
        <v xml:space="preserve">le secteur de l'électrique et électronique</v>
      </c>
      <c r="K2800" s="5" t="s">
        <v>21143</v>
      </c>
      <c r="L2800" s="5" t="s">
        <v>21144</v>
      </c>
      <c r="M2800" s="4" t="s">
        <v>21145</v>
      </c>
      <c r="N2800" s="4" t="s">
        <v>29</v>
      </c>
      <c r="O2800" s="4" t="s">
        <v>21146</v>
      </c>
      <c r="P2800" s="4" t="s">
        <v>29</v>
      </c>
      <c r="Q2800" s="4" t="s">
        <v>21147</v>
      </c>
      <c r="R2800" s="6"/>
      <c r="S2800" s="6"/>
      <c r="T2800" s="6"/>
      <c r="U2800" s="6"/>
      <c r="V2800" s="6"/>
      <c r="W2800" s="6"/>
      <c r="X2800" s="6"/>
      <c r="Y2800" s="6"/>
      <c r="Z2800" s="6"/>
      <c r="AA2800" s="6"/>
    </row>
    <row r="2801" ht="14.25">
      <c r="B2801" s="4" t="s">
        <v>6744</v>
      </c>
      <c r="C2801" s="4" t="s">
        <v>21148</v>
      </c>
      <c r="D2801" s="4" t="s">
        <v>21149</v>
      </c>
      <c r="E2801" s="4" t="s">
        <v>21150</v>
      </c>
      <c r="F2801" s="4" t="str">
        <f>IFERROR(__XLUDF.DUMMYFUNCTION("PROPER(REGEXREPLACE(D517,""[^A-Za-z]+ "",""""))"),"Albacombee")</f>
        <v>Albacombee</v>
      </c>
      <c r="G2801" s="4" t="s">
        <v>21151</v>
      </c>
      <c r="H2801" s="4">
        <v>12</v>
      </c>
      <c r="I2801" s="4" t="s">
        <v>4067</v>
      </c>
      <c r="J2801" s="4"/>
      <c r="K2801" s="5" t="s">
        <v>21152</v>
      </c>
      <c r="L2801" s="5" t="s">
        <v>21153</v>
      </c>
      <c r="M2801" s="4" t="s">
        <v>39</v>
      </c>
      <c r="N2801" s="4" t="s">
        <v>29</v>
      </c>
      <c r="O2801" s="4" t="s">
        <v>546</v>
      </c>
      <c r="P2801" s="4" t="s">
        <v>29</v>
      </c>
      <c r="Q2801" s="4" t="s">
        <v>21154</v>
      </c>
      <c r="R2801" s="6"/>
      <c r="S2801" s="6"/>
      <c r="T2801" s="6"/>
      <c r="U2801" s="6"/>
      <c r="V2801" s="6"/>
      <c r="W2801" s="6"/>
      <c r="X2801" s="6"/>
      <c r="Y2801" s="6"/>
      <c r="Z2801" s="6"/>
      <c r="AA2801" s="6"/>
    </row>
    <row r="2802" ht="14.25">
      <c r="B2802" s="4" t="s">
        <v>4800</v>
      </c>
      <c r="C2802" s="4" t="s">
        <v>21155</v>
      </c>
      <c r="D2802" s="4" t="s">
        <v>87</v>
      </c>
      <c r="E2802" s="4" t="s">
        <v>21156</v>
      </c>
      <c r="F2802" s="4" t="str">
        <f>IFERROR(__XLUDF.DUMMYFUNCTION("PROPER(REGEXREPLACE(D518,""[^A-Za-z]+ "",""""))"),"Story Jungle")</f>
        <v xml:space="preserve">Story Jungle</v>
      </c>
      <c r="G2802" s="4" t="s">
        <v>21157</v>
      </c>
      <c r="H2802" s="4">
        <v>16</v>
      </c>
      <c r="I2802" s="4" t="s">
        <v>9161</v>
      </c>
      <c r="J2802" s="4" t="str">
        <f>IFERROR(__XLUDF.DUMMYFUNCTION("VLOOKUP(H518,IMPORTRANGE(""https://docs.google.com/spreadsheets/d/1opm6ZNvGZ7KditA9TuJwrZ25eFLfTNIkrNnY6mhV5Eg"",""list!A1:C115""),3,TRUE)"),"le secteur du marketing")</f>
        <v xml:space="preserve">le secteur du marketing</v>
      </c>
      <c r="K2802" s="5" t="s">
        <v>21158</v>
      </c>
      <c r="L2802" s="5" t="s">
        <v>21159</v>
      </c>
      <c r="M2802" s="4" t="s">
        <v>39</v>
      </c>
      <c r="N2802" s="4" t="s">
        <v>29</v>
      </c>
      <c r="O2802" s="4" t="s">
        <v>21160</v>
      </c>
      <c r="P2802" s="4" t="s">
        <v>29</v>
      </c>
      <c r="Q2802" s="4" t="s">
        <v>21161</v>
      </c>
      <c r="R2802" s="6"/>
      <c r="S2802" s="6"/>
      <c r="T2802" s="6"/>
      <c r="U2802" s="6"/>
      <c r="V2802" s="6"/>
      <c r="W2802" s="6"/>
      <c r="X2802" s="6"/>
      <c r="Y2802" s="6"/>
      <c r="Z2802" s="6"/>
      <c r="AA2802" s="6"/>
    </row>
    <row r="2803" ht="14.25">
      <c r="B2803" s="4" t="s">
        <v>21162</v>
      </c>
      <c r="C2803" s="4" t="s">
        <v>743</v>
      </c>
      <c r="D2803" s="4" t="s">
        <v>172</v>
      </c>
      <c r="E2803" s="4" t="s">
        <v>21163</v>
      </c>
      <c r="F2803" s="4" t="str">
        <f>IFERROR(__XLUDF.DUMMYFUNCTION("PROPER(REGEXREPLACE(D519,""[^A-Za-z]+ "",""""))"),"Scdm")</f>
        <v>Scdm</v>
      </c>
      <c r="G2803" s="4" t="s">
        <v>21164</v>
      </c>
      <c r="H2803" s="4">
        <v>38</v>
      </c>
      <c r="I2803" s="4" t="s">
        <v>2602</v>
      </c>
      <c r="J2803" s="4"/>
      <c r="K2803" s="5" t="s">
        <v>21165</v>
      </c>
      <c r="L2803" s="5" t="s">
        <v>21166</v>
      </c>
      <c r="M2803" s="4" t="s">
        <v>39</v>
      </c>
      <c r="N2803" s="4" t="s">
        <v>29</v>
      </c>
      <c r="O2803" s="4" t="s">
        <v>21167</v>
      </c>
      <c r="P2803" s="4" t="s">
        <v>595</v>
      </c>
      <c r="Q2803" s="6"/>
      <c r="R2803" s="6"/>
      <c r="S2803" s="6"/>
      <c r="T2803" s="6"/>
      <c r="U2803" s="6"/>
      <c r="V2803" s="6"/>
      <c r="W2803" s="6"/>
      <c r="X2803" s="6"/>
      <c r="Y2803" s="6"/>
      <c r="Z2803" s="6"/>
      <c r="AA2803" s="6"/>
    </row>
    <row r="2804" ht="14.25">
      <c r="B2804" s="4" t="s">
        <v>21168</v>
      </c>
      <c r="C2804" s="4" t="s">
        <v>21169</v>
      </c>
      <c r="D2804" s="4" t="s">
        <v>21170</v>
      </c>
      <c r="E2804" s="4" t="s">
        <v>21171</v>
      </c>
      <c r="F2804" s="4" t="str">
        <f>IFERROR(__XLUDF.DUMMYFUNCTION("PROPER(REGEXREPLACE(D520,""[^A-Za-z]+ "",""""))"),"Pulso France")</f>
        <v xml:space="preserve">Pulso France</v>
      </c>
      <c r="G2804" s="4" t="s">
        <v>21172</v>
      </c>
      <c r="H2804" s="4">
        <v>15</v>
      </c>
      <c r="I2804" s="4" t="s">
        <v>4067</v>
      </c>
      <c r="J2804" s="4" t="str">
        <f>IFERROR(__XLUDF.DUMMYFUNCTION("VLOOKUP(H520,IMPORTRANGE(""https://docs.google.com/spreadsheets/d/1opm6ZNvGZ7KditA9TuJwrZ25eFLfTNIkrNnY6mhV5Eg"",""list!A1:C115""),3,TRUE)"),"le secteur du conseil en management")</f>
        <v xml:space="preserve">le secteur du conseil en management</v>
      </c>
      <c r="K2804" s="5" t="s">
        <v>21173</v>
      </c>
      <c r="L2804" s="5" t="s">
        <v>21174</v>
      </c>
      <c r="M2804" s="4" t="s">
        <v>39</v>
      </c>
      <c r="N2804" s="4" t="s">
        <v>29</v>
      </c>
      <c r="O2804" s="4" t="s">
        <v>7140</v>
      </c>
      <c r="P2804" s="4" t="s">
        <v>29</v>
      </c>
      <c r="Q2804" s="6"/>
      <c r="R2804" s="6"/>
      <c r="S2804" s="6"/>
      <c r="T2804" s="6"/>
      <c r="U2804" s="6"/>
      <c r="V2804" s="6"/>
      <c r="W2804" s="6"/>
      <c r="X2804" s="6"/>
      <c r="Y2804" s="6"/>
      <c r="Z2804" s="6"/>
      <c r="AA2804" s="6"/>
    </row>
    <row r="2805" ht="14.25">
      <c r="B2805" s="4" t="s">
        <v>7559</v>
      </c>
      <c r="C2805" s="4" t="s">
        <v>21175</v>
      </c>
      <c r="D2805" s="4" t="s">
        <v>21176</v>
      </c>
      <c r="E2805" s="4" t="s">
        <v>21177</v>
      </c>
      <c r="F2805" s="4" t="str">
        <f>IFERROR(__XLUDF.DUMMYFUNCTION("PROPER(REGEXREPLACE(D521,""[^A-Za-z]+ "",""""))"),"Ixxo")</f>
        <v>Ixxo</v>
      </c>
      <c r="G2805" s="4" t="s">
        <v>21178</v>
      </c>
      <c r="H2805" s="4">
        <v>16</v>
      </c>
      <c r="I2805" s="4" t="s">
        <v>2602</v>
      </c>
      <c r="J2805" s="4" t="str">
        <f>IFERROR(__XLUDF.DUMMYFUNCTION("VLOOKUP(H521,IMPORTRANGE(""https://docs.google.com/spreadsheets/d/1opm6ZNvGZ7KditA9TuJwrZ25eFLfTNIkrNnY6mhV5Eg"",""list!A1:C115""),3,TRUE)"),"le secteur de la tech")</f>
        <v xml:space="preserve">le secteur de la tech</v>
      </c>
      <c r="K2805" s="5" t="s">
        <v>21179</v>
      </c>
      <c r="L2805" s="5" t="s">
        <v>21180</v>
      </c>
      <c r="M2805" s="4" t="s">
        <v>185</v>
      </c>
      <c r="N2805" s="4" t="s">
        <v>29</v>
      </c>
      <c r="O2805" s="4" t="s">
        <v>21181</v>
      </c>
      <c r="P2805" s="4" t="s">
        <v>29</v>
      </c>
      <c r="Q2805" s="4" t="s">
        <v>21182</v>
      </c>
      <c r="R2805" s="6"/>
      <c r="S2805" s="6"/>
      <c r="T2805" s="6"/>
      <c r="U2805" s="6"/>
      <c r="V2805" s="6"/>
      <c r="W2805" s="6"/>
      <c r="X2805" s="6"/>
      <c r="Y2805" s="6"/>
      <c r="Z2805" s="6"/>
      <c r="AA2805" s="6"/>
    </row>
    <row r="2806" ht="14.25">
      <c r="B2806" s="4" t="s">
        <v>785</v>
      </c>
      <c r="C2806" s="4" t="s">
        <v>21183</v>
      </c>
      <c r="D2806" s="4" t="s">
        <v>21184</v>
      </c>
      <c r="E2806" s="4" t="s">
        <v>21185</v>
      </c>
      <c r="F2806" s="4" t="str">
        <f>IFERROR(__XLUDF.DUMMYFUNCTION("PROPER(REGEXREPLACE(D522,""[^A-Za-z]+ "",""""))"),"Celaneo")</f>
        <v>Celaneo</v>
      </c>
      <c r="G2806" s="4" t="s">
        <v>21186</v>
      </c>
      <c r="H2806" s="4">
        <v>45</v>
      </c>
      <c r="I2806" s="4" t="s">
        <v>2602</v>
      </c>
      <c r="J2806" s="4"/>
      <c r="K2806" s="5" t="s">
        <v>21187</v>
      </c>
      <c r="L2806" s="5" t="s">
        <v>21188</v>
      </c>
      <c r="M2806" s="4" t="s">
        <v>39</v>
      </c>
      <c r="N2806" s="4" t="s">
        <v>29</v>
      </c>
      <c r="O2806" s="4" t="s">
        <v>21189</v>
      </c>
      <c r="P2806" s="4" t="s">
        <v>29</v>
      </c>
      <c r="Q2806" s="4" t="s">
        <v>21190</v>
      </c>
      <c r="R2806" s="6"/>
      <c r="S2806" s="6"/>
      <c r="T2806" s="6"/>
      <c r="U2806" s="6"/>
      <c r="V2806" s="6"/>
      <c r="W2806" s="6"/>
      <c r="X2806" s="6"/>
      <c r="Y2806" s="6"/>
      <c r="Z2806" s="6"/>
      <c r="AA2806" s="6"/>
    </row>
    <row r="2807" ht="14.25">
      <c r="B2807" s="4" t="s">
        <v>322</v>
      </c>
      <c r="C2807" s="4" t="s">
        <v>21191</v>
      </c>
      <c r="D2807" s="4" t="s">
        <v>172</v>
      </c>
      <c r="E2807" s="4" t="s">
        <v>21192</v>
      </c>
      <c r="F2807" s="4" t="str">
        <f>IFERROR(__XLUDF.DUMMYFUNCTION("PROPER(REGEXREPLACE(D523,""[^A-Za-z]+ "",""""))"),"Pharmaflix")</f>
        <v>Pharmaflix</v>
      </c>
      <c r="G2807" s="4" t="s">
        <v>21193</v>
      </c>
      <c r="H2807" s="4">
        <v>26</v>
      </c>
      <c r="I2807" s="4" t="s">
        <v>2602</v>
      </c>
      <c r="J2807" s="4" t="str">
        <f>IFERROR(__XLUDF.DUMMYFUNCTION("VLOOKUP(H523,IMPORTRANGE(""https://docs.google.com/spreadsheets/d/1opm6ZNvGZ7KditA9TuJwrZ25eFLfTNIkrNnY6mhV5Eg"",""list!A1:C115""),3,TRUE)"),"le secteur de la tech")</f>
        <v xml:space="preserve">le secteur de la tech</v>
      </c>
      <c r="K2807" s="5" t="s">
        <v>21194</v>
      </c>
      <c r="L2807" s="5" t="s">
        <v>21195</v>
      </c>
      <c r="M2807" s="4" t="s">
        <v>39</v>
      </c>
      <c r="N2807" s="4" t="s">
        <v>29</v>
      </c>
      <c r="O2807" s="4" t="s">
        <v>67</v>
      </c>
      <c r="P2807" s="4" t="s">
        <v>29</v>
      </c>
      <c r="Q2807" s="6"/>
      <c r="R2807" s="6"/>
      <c r="S2807" s="6"/>
      <c r="T2807" s="6"/>
      <c r="U2807" s="6"/>
      <c r="V2807" s="6"/>
      <c r="W2807" s="6"/>
      <c r="X2807" s="6"/>
      <c r="Y2807" s="6"/>
      <c r="Z2807" s="6"/>
      <c r="AA2807" s="6"/>
    </row>
    <row r="2808" ht="14.25">
      <c r="B2808" s="4" t="s">
        <v>1009</v>
      </c>
      <c r="C2808" s="4" t="s">
        <v>21196</v>
      </c>
      <c r="D2808" s="4" t="s">
        <v>21197</v>
      </c>
      <c r="E2808" s="4" t="s">
        <v>21198</v>
      </c>
      <c r="F2808" s="4" t="str">
        <f>IFERROR(__XLUDF.DUMMYFUNCTION("PROPER(REGEXREPLACE(D524,""[^A-Za-z]+ "",""""))"),"Mum And The Gang")</f>
        <v xml:space="preserve">Mum And The Gang</v>
      </c>
      <c r="G2808" s="4" t="s">
        <v>21199</v>
      </c>
      <c r="H2808" s="4">
        <v>43</v>
      </c>
      <c r="I2808" s="4" t="s">
        <v>4525</v>
      </c>
      <c r="J2808" s="4"/>
      <c r="K2808" s="5" t="s">
        <v>21200</v>
      </c>
      <c r="L2808" s="5" t="s">
        <v>21201</v>
      </c>
      <c r="M2808" s="4" t="s">
        <v>39</v>
      </c>
      <c r="N2808" s="4" t="s">
        <v>29</v>
      </c>
      <c r="O2808" s="4" t="s">
        <v>21202</v>
      </c>
      <c r="P2808" s="4" t="s">
        <v>29</v>
      </c>
      <c r="Q2808" s="4" t="s">
        <v>21203</v>
      </c>
      <c r="R2808" s="6"/>
      <c r="S2808" s="6"/>
      <c r="T2808" s="6"/>
      <c r="U2808" s="6"/>
      <c r="V2808" s="6"/>
      <c r="W2808" s="6"/>
      <c r="X2808" s="6"/>
      <c r="Y2808" s="6"/>
      <c r="Z2808" s="6"/>
      <c r="AA2808" s="6"/>
    </row>
    <row r="2809" ht="14.25">
      <c r="B2809" s="4" t="s">
        <v>21204</v>
      </c>
      <c r="C2809" s="4" t="s">
        <v>21205</v>
      </c>
      <c r="D2809" s="4" t="s">
        <v>2636</v>
      </c>
      <c r="E2809" s="4" t="s">
        <v>21206</v>
      </c>
      <c r="F2809" s="4" t="str">
        <f>IFERROR(__XLUDF.DUMMYFUNCTION("PROPER(REGEXREPLACE(D525,""[^A-Za-z]+ "",""""))"),"Eb Formation")</f>
        <v xml:space="preserve">Eb Formation</v>
      </c>
      <c r="G2809" s="4" t="s">
        <v>21207</v>
      </c>
      <c r="H2809" s="4">
        <v>15</v>
      </c>
      <c r="I2809" s="4" t="s">
        <v>4525</v>
      </c>
      <c r="J2809" s="4"/>
      <c r="K2809" s="5" t="s">
        <v>21208</v>
      </c>
      <c r="L2809" s="5" t="s">
        <v>21209</v>
      </c>
      <c r="M2809" s="4" t="s">
        <v>21210</v>
      </c>
      <c r="N2809" s="4" t="s">
        <v>29</v>
      </c>
      <c r="O2809" s="4" t="s">
        <v>21211</v>
      </c>
      <c r="P2809" s="4" t="s">
        <v>29</v>
      </c>
      <c r="Q2809" s="6"/>
      <c r="R2809" s="6"/>
      <c r="S2809" s="6"/>
      <c r="T2809" s="6"/>
      <c r="U2809" s="6"/>
      <c r="V2809" s="6"/>
      <c r="W2809" s="6"/>
      <c r="X2809" s="6"/>
      <c r="Y2809" s="6"/>
      <c r="Z2809" s="6"/>
      <c r="AA2809" s="6"/>
    </row>
    <row r="2810" ht="14.25">
      <c r="B2810" s="4" t="s">
        <v>485</v>
      </c>
      <c r="C2810" s="4" t="s">
        <v>21212</v>
      </c>
      <c r="D2810" s="4" t="s">
        <v>21213</v>
      </c>
      <c r="E2810" s="4" t="s">
        <v>21214</v>
      </c>
      <c r="F2810" s="4" t="str">
        <f>IFERROR(__XLUDF.DUMMYFUNCTION("PROPER(REGEXREPLACE(D526,""[^A-Za-z]+ "",""""))"),"Intoo Habitat")</f>
        <v xml:space="preserve">Intoo Habitat</v>
      </c>
      <c r="G2810" s="4" t="s">
        <v>21215</v>
      </c>
      <c r="H2810" s="4">
        <v>36</v>
      </c>
      <c r="I2810" s="4" t="s">
        <v>4293</v>
      </c>
      <c r="J2810" s="4"/>
      <c r="K2810" s="5" t="s">
        <v>21216</v>
      </c>
      <c r="L2810" s="5" t="s">
        <v>21217</v>
      </c>
      <c r="M2810" s="4" t="s">
        <v>21218</v>
      </c>
      <c r="N2810" s="4" t="s">
        <v>29</v>
      </c>
      <c r="O2810" s="4" t="s">
        <v>21219</v>
      </c>
      <c r="P2810" s="4" t="s">
        <v>29</v>
      </c>
      <c r="Q2810" s="4" t="s">
        <v>21220</v>
      </c>
      <c r="R2810" s="6"/>
      <c r="S2810" s="6"/>
      <c r="T2810" s="6"/>
      <c r="U2810" s="6"/>
      <c r="V2810" s="6"/>
      <c r="W2810" s="6"/>
      <c r="X2810" s="6"/>
      <c r="Y2810" s="6"/>
      <c r="Z2810" s="6"/>
      <c r="AA2810" s="6"/>
    </row>
    <row r="2811" ht="14.25">
      <c r="B2811" s="4" t="s">
        <v>20</v>
      </c>
      <c r="C2811" s="4" t="s">
        <v>17718</v>
      </c>
      <c r="D2811" s="4" t="s">
        <v>21221</v>
      </c>
      <c r="E2811" s="4" t="s">
        <v>21222</v>
      </c>
      <c r="F2811" s="4" t="str">
        <f>IFERROR(__XLUDF.DUMMYFUNCTION("PROPER(REGEXREPLACE(D527,""[^A-Za-z]+ "",""""))"),"Mentor Goal")</f>
        <v xml:space="preserve">Mentor Goal</v>
      </c>
      <c r="G2811" s="4" t="s">
        <v>21223</v>
      </c>
      <c r="H2811" s="4">
        <v>17</v>
      </c>
      <c r="I2811" s="4" t="s">
        <v>2602</v>
      </c>
      <c r="J2811" s="4" t="str">
        <f>IFERROR(__XLUDF.DUMMYFUNCTION("VLOOKUP(H527,IMPORTRANGE(""https://docs.google.com/spreadsheets/d/1opm6ZNvGZ7KditA9TuJwrZ25eFLfTNIkrNnY6mhV5Eg"",""list!A1:C115""),3,TRUE)"),"le secteur de la tech")</f>
        <v xml:space="preserve">le secteur de la tech</v>
      </c>
      <c r="K2811" s="5" t="s">
        <v>21224</v>
      </c>
      <c r="L2811" s="5" t="s">
        <v>21225</v>
      </c>
      <c r="M2811" s="6"/>
      <c r="N2811" s="4" t="s">
        <v>29</v>
      </c>
      <c r="O2811" s="4" t="s">
        <v>67</v>
      </c>
      <c r="P2811" s="4" t="s">
        <v>29</v>
      </c>
      <c r="Q2811" s="4" t="s">
        <v>21226</v>
      </c>
      <c r="R2811" s="6"/>
      <c r="S2811" s="6"/>
      <c r="T2811" s="6"/>
      <c r="U2811" s="6"/>
      <c r="V2811" s="6"/>
      <c r="W2811" s="6"/>
      <c r="X2811" s="6"/>
      <c r="Y2811" s="6"/>
      <c r="Z2811" s="6"/>
      <c r="AA2811" s="6"/>
    </row>
    <row r="2812" ht="14.25">
      <c r="B2812" s="4" t="s">
        <v>2652</v>
      </c>
      <c r="C2812" s="4" t="s">
        <v>1866</v>
      </c>
      <c r="D2812" s="4" t="s">
        <v>21227</v>
      </c>
      <c r="E2812" s="4" t="s">
        <v>21228</v>
      </c>
      <c r="F2812" s="4" t="str">
        <f>IFERROR(__XLUDF.DUMMYFUNCTION("PROPER(REGEXREPLACE(D528,""[^A-Za-z]+ "",""""))"),"Activops")</f>
        <v>Activops</v>
      </c>
      <c r="G2812" s="4" t="s">
        <v>21229</v>
      </c>
      <c r="H2812" s="4">
        <v>15</v>
      </c>
      <c r="I2812" s="4" t="s">
        <v>2602</v>
      </c>
      <c r="J2812" s="4"/>
      <c r="K2812" s="5" t="s">
        <v>21230</v>
      </c>
      <c r="L2812" s="5" t="s">
        <v>21231</v>
      </c>
      <c r="M2812" s="4" t="s">
        <v>39</v>
      </c>
      <c r="N2812" s="4" t="s">
        <v>29</v>
      </c>
      <c r="O2812" s="4" t="s">
        <v>21232</v>
      </c>
      <c r="P2812" s="4" t="s">
        <v>29</v>
      </c>
      <c r="Q2812" s="4" t="s">
        <v>21233</v>
      </c>
      <c r="R2812" s="6"/>
      <c r="S2812" s="6"/>
      <c r="T2812" s="6"/>
      <c r="U2812" s="6"/>
      <c r="V2812" s="6"/>
      <c r="W2812" s="6"/>
      <c r="X2812" s="6"/>
      <c r="Y2812" s="6"/>
      <c r="Z2812" s="6"/>
      <c r="AA2812" s="6"/>
    </row>
    <row r="2813" ht="14.25">
      <c r="B2813" s="4" t="s">
        <v>4012</v>
      </c>
      <c r="C2813" s="4" t="s">
        <v>21234</v>
      </c>
      <c r="D2813" s="4" t="s">
        <v>7155</v>
      </c>
      <c r="E2813" s="4" t="s">
        <v>21235</v>
      </c>
      <c r="F2813" s="4" t="str">
        <f>IFERROR(__XLUDF.DUMMYFUNCTION("PROPER(REGEXREPLACE(D529,""[^A-Za-z]+ "",""""))"),"Wiseorga")</f>
        <v>Wiseorga</v>
      </c>
      <c r="G2813" s="4" t="s">
        <v>21236</v>
      </c>
      <c r="H2813" s="4">
        <v>13</v>
      </c>
      <c r="I2813" s="4" t="s">
        <v>4067</v>
      </c>
      <c r="J2813" s="4"/>
      <c r="K2813" s="5" t="s">
        <v>21237</v>
      </c>
      <c r="L2813" s="5" t="s">
        <v>21238</v>
      </c>
      <c r="M2813" s="4" t="s">
        <v>39</v>
      </c>
      <c r="N2813" s="4" t="s">
        <v>29</v>
      </c>
      <c r="O2813" s="4" t="s">
        <v>21239</v>
      </c>
      <c r="P2813" s="4" t="s">
        <v>29</v>
      </c>
      <c r="Q2813" s="6"/>
      <c r="R2813" s="6"/>
      <c r="S2813" s="6"/>
      <c r="T2813" s="6"/>
      <c r="U2813" s="6"/>
      <c r="V2813" s="6"/>
      <c r="W2813" s="6"/>
      <c r="X2813" s="6"/>
      <c r="Y2813" s="6"/>
      <c r="Z2813" s="6"/>
      <c r="AA2813" s="6"/>
    </row>
    <row r="2814" ht="14.25">
      <c r="B2814" s="4" t="s">
        <v>6744</v>
      </c>
      <c r="C2814" s="4" t="s">
        <v>21240</v>
      </c>
      <c r="D2814" s="4" t="s">
        <v>21241</v>
      </c>
      <c r="E2814" s="4" t="s">
        <v>21242</v>
      </c>
      <c r="F2814" s="4" t="str">
        <f>IFERROR(__XLUDF.DUMMYFUNCTION("PROPER(REGEXREPLACE(D530,""[^A-Za-z]+ "",""""))"),"Cosma Experts")</f>
        <v xml:space="preserve">Cosma Experts</v>
      </c>
      <c r="G2814" s="4" t="s">
        <v>21243</v>
      </c>
      <c r="H2814" s="4">
        <v>44</v>
      </c>
      <c r="I2814" s="4" t="s">
        <v>4067</v>
      </c>
      <c r="J2814" s="4" t="str">
        <f>IFERROR(__XLUDF.DUMMYFUNCTION("VLOOKUP(H530,IMPORTRANGE(""https://docs.google.com/spreadsheets/d/1opm6ZNvGZ7KditA9TuJwrZ25eFLfTNIkrNnY6mhV5Eg"",""list!A1:C115""),3,TRUE)"),"le secteur du conseil en management")</f>
        <v xml:space="preserve">le secteur du conseil en management</v>
      </c>
      <c r="K2814" s="5" t="s">
        <v>21244</v>
      </c>
      <c r="L2814" s="5" t="s">
        <v>21245</v>
      </c>
      <c r="M2814" s="4" t="s">
        <v>39</v>
      </c>
      <c r="N2814" s="4" t="s">
        <v>29</v>
      </c>
      <c r="O2814" s="4" t="s">
        <v>20538</v>
      </c>
      <c r="P2814" s="4" t="s">
        <v>29</v>
      </c>
      <c r="Q2814" s="4" t="s">
        <v>21246</v>
      </c>
      <c r="R2814" s="6"/>
      <c r="S2814" s="6"/>
      <c r="T2814" s="6"/>
      <c r="U2814" s="6"/>
      <c r="V2814" s="6"/>
      <c r="W2814" s="6"/>
      <c r="X2814" s="6"/>
      <c r="Y2814" s="6"/>
      <c r="Z2814" s="6"/>
      <c r="AA2814" s="6"/>
    </row>
    <row r="2815" ht="14.25">
      <c r="B2815" s="4" t="s">
        <v>322</v>
      </c>
      <c r="C2815" s="4" t="s">
        <v>21247</v>
      </c>
      <c r="D2815" s="4" t="s">
        <v>62</v>
      </c>
      <c r="E2815" s="4" t="s">
        <v>21248</v>
      </c>
      <c r="F2815" s="4" t="str">
        <f>IFERROR(__XLUDF.DUMMYFUNCTION("PROPER(REGEXREPLACE(D531,""[^A-Za-z]+ "",""""))"),"Gimbal Cube")</f>
        <v xml:space="preserve">Gimbal Cube</v>
      </c>
      <c r="G2815" s="4" t="s">
        <v>21249</v>
      </c>
      <c r="H2815" s="4">
        <v>12</v>
      </c>
      <c r="I2815" s="4" t="s">
        <v>2602</v>
      </c>
      <c r="J2815" s="4"/>
      <c r="K2815" s="5" t="s">
        <v>21250</v>
      </c>
      <c r="L2815" s="5" t="s">
        <v>21251</v>
      </c>
      <c r="M2815" s="4" t="s">
        <v>39</v>
      </c>
      <c r="N2815" s="4" t="s">
        <v>29</v>
      </c>
      <c r="O2815" s="4" t="s">
        <v>67</v>
      </c>
      <c r="P2815" s="4" t="s">
        <v>29</v>
      </c>
      <c r="Q2815" s="4" t="s">
        <v>21252</v>
      </c>
      <c r="R2815" s="6"/>
      <c r="S2815" s="6"/>
      <c r="T2815" s="6"/>
      <c r="U2815" s="6"/>
      <c r="V2815" s="6"/>
      <c r="W2815" s="6"/>
      <c r="X2815" s="6"/>
      <c r="Y2815" s="6"/>
      <c r="Z2815" s="6"/>
      <c r="AA2815" s="6"/>
    </row>
    <row r="2816" ht="14.25">
      <c r="B2816" s="4" t="s">
        <v>3651</v>
      </c>
      <c r="C2816" s="4" t="s">
        <v>21253</v>
      </c>
      <c r="D2816" s="4" t="s">
        <v>21254</v>
      </c>
      <c r="E2816" s="4" t="s">
        <v>21255</v>
      </c>
      <c r="F2816" s="4" t="str">
        <f>IFERROR(__XLUDF.DUMMYFUNCTION("PROPER(REGEXREPLACE(D532,""[^A-Za-z]+ "",""""))"),"Iridesense")</f>
        <v>Iridesense</v>
      </c>
      <c r="G2816" s="4" t="s">
        <v>21256</v>
      </c>
      <c r="H2816" s="4">
        <v>13</v>
      </c>
      <c r="I2816" s="4" t="s">
        <v>10215</v>
      </c>
      <c r="J2816" s="4"/>
      <c r="K2816" s="5" t="s">
        <v>21257</v>
      </c>
      <c r="L2816" s="5" t="s">
        <v>21258</v>
      </c>
      <c r="M2816" s="4" t="s">
        <v>21259</v>
      </c>
      <c r="N2816" s="4" t="s">
        <v>29</v>
      </c>
      <c r="O2816" s="4" t="s">
        <v>21260</v>
      </c>
      <c r="P2816" s="4" t="s">
        <v>29</v>
      </c>
      <c r="Q2816" s="4" t="s">
        <v>21261</v>
      </c>
      <c r="R2816" s="6"/>
      <c r="S2816" s="6"/>
      <c r="T2816" s="6"/>
      <c r="U2816" s="6"/>
      <c r="V2816" s="6"/>
      <c r="W2816" s="6"/>
      <c r="X2816" s="6"/>
      <c r="Y2816" s="6"/>
      <c r="Z2816" s="6"/>
      <c r="AA2816" s="6"/>
    </row>
    <row r="2817" ht="14.25">
      <c r="B2817" s="4" t="s">
        <v>222</v>
      </c>
      <c r="C2817" s="4" t="s">
        <v>10222</v>
      </c>
      <c r="D2817" s="4" t="s">
        <v>21262</v>
      </c>
      <c r="E2817" s="4" t="s">
        <v>21263</v>
      </c>
      <c r="F2817" s="4" t="str">
        <f>IFERROR(__XLUDF.DUMMYFUNCTION("PROPER(REGEXREPLACE(D533,""[^A-Za-z]+ "",""""))"),"Artify")</f>
        <v>Artify</v>
      </c>
      <c r="G2817" s="4" t="s">
        <v>21264</v>
      </c>
      <c r="H2817" s="4">
        <v>10</v>
      </c>
      <c r="I2817" s="4" t="s">
        <v>2602</v>
      </c>
      <c r="J2817" s="4"/>
      <c r="K2817" s="5" t="s">
        <v>21265</v>
      </c>
      <c r="L2817" s="5" t="s">
        <v>21266</v>
      </c>
      <c r="M2817" s="4" t="s">
        <v>39</v>
      </c>
      <c r="N2817" s="4" t="s">
        <v>29</v>
      </c>
      <c r="O2817" s="4" t="s">
        <v>21267</v>
      </c>
      <c r="P2817" s="4" t="s">
        <v>29</v>
      </c>
      <c r="Q2817" s="4" t="s">
        <v>21268</v>
      </c>
      <c r="R2817" s="6"/>
      <c r="S2817" s="6"/>
      <c r="T2817" s="6"/>
      <c r="U2817" s="6"/>
      <c r="V2817" s="6"/>
      <c r="W2817" s="6"/>
      <c r="X2817" s="6"/>
      <c r="Y2817" s="6"/>
      <c r="Z2817" s="6"/>
      <c r="AA2817" s="6"/>
    </row>
    <row r="2818" ht="14.25">
      <c r="B2818" s="4" t="s">
        <v>670</v>
      </c>
      <c r="C2818" s="4" t="s">
        <v>21269</v>
      </c>
      <c r="D2818" s="4" t="s">
        <v>71</v>
      </c>
      <c r="E2818" s="4" t="s">
        <v>21270</v>
      </c>
      <c r="F2818" s="4" t="str">
        <f>IFERROR(__XLUDF.DUMMYFUNCTION("PROPER(REGEXREPLACE(D534,""[^A-Za-z]+ "",""""))"),"Hexagroup")</f>
        <v>Hexagroup</v>
      </c>
      <c r="G2818" s="4" t="s">
        <v>21271</v>
      </c>
      <c r="H2818" s="4">
        <v>23</v>
      </c>
      <c r="I2818" s="4" t="s">
        <v>9161</v>
      </c>
      <c r="J2818" s="4" t="str">
        <f>IFERROR(__XLUDF.DUMMYFUNCTION("VLOOKUP(H534,IMPORTRANGE(""https://docs.google.com/spreadsheets/d/1opm6ZNvGZ7KditA9TuJwrZ25eFLfTNIkrNnY6mhV5Eg"",""list!A1:C115""),3,TRUE)"),"le secteur du marketing")</f>
        <v xml:space="preserve">le secteur du marketing</v>
      </c>
      <c r="K2818" s="5" t="s">
        <v>21272</v>
      </c>
      <c r="L2818" s="5" t="s">
        <v>21273</v>
      </c>
      <c r="M2818" s="4" t="s">
        <v>39</v>
      </c>
      <c r="N2818" s="4" t="s">
        <v>29</v>
      </c>
      <c r="O2818" s="4" t="s">
        <v>21274</v>
      </c>
      <c r="P2818" s="4" t="s">
        <v>1261</v>
      </c>
      <c r="Q2818" s="4" t="s">
        <v>21275</v>
      </c>
      <c r="R2818" s="6"/>
      <c r="S2818" s="6"/>
      <c r="T2818" s="6"/>
      <c r="U2818" s="6"/>
      <c r="V2818" s="6"/>
      <c r="W2818" s="6"/>
      <c r="X2818" s="6"/>
      <c r="Y2818" s="6"/>
      <c r="Z2818" s="6"/>
      <c r="AA2818" s="6"/>
    </row>
    <row r="2819" ht="14.25">
      <c r="B2819" s="4" t="s">
        <v>76</v>
      </c>
      <c r="C2819" s="4" t="s">
        <v>21276</v>
      </c>
      <c r="D2819" s="4" t="s">
        <v>21277</v>
      </c>
      <c r="E2819" s="4" t="s">
        <v>21278</v>
      </c>
      <c r="F2819" s="4" t="str">
        <f>IFERROR(__XLUDF.DUMMYFUNCTION("PROPER(REGEXREPLACE(D535,""[^A-Za-z]+ "",""""))"),"Cortexia Smartcleansustainable")</f>
        <v xml:space="preserve">Cortexia Smartcleansustainable</v>
      </c>
      <c r="G2819" s="4" t="s">
        <v>21279</v>
      </c>
      <c r="H2819" s="4">
        <v>25</v>
      </c>
      <c r="I2819" s="4" t="s">
        <v>2602</v>
      </c>
      <c r="J2819" s="4"/>
      <c r="K2819" s="5" t="s">
        <v>21280</v>
      </c>
      <c r="L2819" s="5" t="s">
        <v>21281</v>
      </c>
      <c r="M2819" s="4" t="s">
        <v>39</v>
      </c>
      <c r="N2819" s="4" t="s">
        <v>29</v>
      </c>
      <c r="O2819" s="4" t="s">
        <v>21282</v>
      </c>
      <c r="P2819" s="4" t="s">
        <v>1938</v>
      </c>
      <c r="Q2819" s="4" t="s">
        <v>21283</v>
      </c>
      <c r="R2819" s="6"/>
      <c r="S2819" s="6"/>
      <c r="T2819" s="6"/>
      <c r="U2819" s="6"/>
      <c r="V2819" s="6"/>
      <c r="W2819" s="6"/>
      <c r="X2819" s="6"/>
      <c r="Y2819" s="6"/>
      <c r="Z2819" s="6"/>
      <c r="AA2819" s="6"/>
    </row>
    <row r="2820" ht="14.25">
      <c r="B2820" s="4" t="s">
        <v>2419</v>
      </c>
      <c r="C2820" s="4" t="s">
        <v>21284</v>
      </c>
      <c r="D2820" s="4" t="s">
        <v>112</v>
      </c>
      <c r="E2820" s="4" t="s">
        <v>21285</v>
      </c>
      <c r="F2820" s="4" t="str">
        <f>IFERROR(__XLUDF.DUMMYFUNCTION("PROPER(REGEXREPLACE(D536,""[^A-Za-z]+ "",""""))"),"Be Resilient Group")</f>
        <v xml:space="preserve">Be Resilient Group</v>
      </c>
      <c r="G2820" s="4" t="s">
        <v>21286</v>
      </c>
      <c r="H2820" s="4">
        <v>16</v>
      </c>
      <c r="I2820" s="4" t="s">
        <v>4067</v>
      </c>
      <c r="J2820" s="4"/>
      <c r="K2820" s="5" t="s">
        <v>21287</v>
      </c>
      <c r="L2820" s="5" t="s">
        <v>21288</v>
      </c>
      <c r="M2820" s="4" t="s">
        <v>39</v>
      </c>
      <c r="N2820" s="4" t="s">
        <v>29</v>
      </c>
      <c r="O2820" s="4" t="s">
        <v>67</v>
      </c>
      <c r="P2820" s="4" t="s">
        <v>29</v>
      </c>
      <c r="Q2820" s="4" t="s">
        <v>21289</v>
      </c>
      <c r="R2820" s="6"/>
      <c r="S2820" s="6"/>
      <c r="T2820" s="6"/>
      <c r="U2820" s="6"/>
      <c r="V2820" s="6"/>
      <c r="W2820" s="6"/>
      <c r="X2820" s="6"/>
      <c r="Y2820" s="6"/>
      <c r="Z2820" s="6"/>
      <c r="AA2820" s="6"/>
    </row>
    <row r="2821" ht="14.25">
      <c r="B2821" s="4" t="s">
        <v>17867</v>
      </c>
      <c r="C2821" s="4" t="s">
        <v>21290</v>
      </c>
      <c r="D2821" s="4" t="s">
        <v>21291</v>
      </c>
      <c r="E2821" s="4" t="s">
        <v>21292</v>
      </c>
      <c r="F2821" s="4" t="str">
        <f>IFERROR(__XLUDF.DUMMYFUNCTION("PROPER(REGEXREPLACE(D537,""[^A-Za-z]+ "",""""))"),"Beesapps")</f>
        <v>Beesapps</v>
      </c>
      <c r="G2821" s="4" t="s">
        <v>21293</v>
      </c>
      <c r="H2821" s="4">
        <v>7</v>
      </c>
      <c r="I2821" s="4" t="s">
        <v>2602</v>
      </c>
      <c r="J2821" s="4" t="str">
        <f>IFERROR(__XLUDF.DUMMYFUNCTION("VLOOKUP(H537,IMPORTRANGE(""https://docs.google.com/spreadsheets/d/1opm6ZNvGZ7KditA9TuJwrZ25eFLfTNIkrNnY6mhV5Eg"",""list!A1:C115""),3,TRUE)"),"le secteur de la tech")</f>
        <v xml:space="preserve">le secteur de la tech</v>
      </c>
      <c r="K2821" s="5" t="s">
        <v>21294</v>
      </c>
      <c r="L2821" s="5" t="s">
        <v>21295</v>
      </c>
      <c r="M2821" s="4" t="s">
        <v>39</v>
      </c>
      <c r="N2821" s="4" t="s">
        <v>29</v>
      </c>
      <c r="O2821" s="4" t="s">
        <v>21296</v>
      </c>
      <c r="P2821" s="4" t="s">
        <v>29</v>
      </c>
      <c r="Q2821" s="6"/>
      <c r="R2821" s="6"/>
      <c r="S2821" s="6"/>
      <c r="T2821" s="6"/>
      <c r="U2821" s="6"/>
      <c r="V2821" s="6"/>
      <c r="W2821" s="6"/>
      <c r="X2821" s="6"/>
      <c r="Y2821" s="6"/>
      <c r="Z2821" s="6"/>
      <c r="AA2821" s="6"/>
    </row>
    <row r="2822" ht="14.25">
      <c r="B2822" s="4" t="s">
        <v>21297</v>
      </c>
      <c r="C2822" s="4" t="s">
        <v>21298</v>
      </c>
      <c r="D2822" s="4" t="s">
        <v>112</v>
      </c>
      <c r="E2822" s="4" t="s">
        <v>21299</v>
      </c>
      <c r="F2822" s="4" t="str">
        <f>IFERROR(__XLUDF.DUMMYFUNCTION("PROPER(REGEXREPLACE(D538,""[^A-Za-z]+ "",""""))"),"Unitconsulting")</f>
        <v>Unitconsulting</v>
      </c>
      <c r="G2822" s="4" t="s">
        <v>21300</v>
      </c>
      <c r="H2822" s="4">
        <v>17</v>
      </c>
      <c r="I2822" s="4" t="s">
        <v>4067</v>
      </c>
      <c r="J2822" s="4"/>
      <c r="K2822" s="5" t="s">
        <v>21301</v>
      </c>
      <c r="L2822" s="5" t="s">
        <v>21302</v>
      </c>
      <c r="M2822" s="4" t="s">
        <v>39</v>
      </c>
      <c r="N2822" s="4" t="s">
        <v>29</v>
      </c>
      <c r="O2822" s="4" t="s">
        <v>21303</v>
      </c>
      <c r="P2822" s="4" t="s">
        <v>29</v>
      </c>
      <c r="Q2822" s="6"/>
      <c r="R2822" s="6"/>
      <c r="S2822" s="6"/>
      <c r="T2822" s="6"/>
      <c r="U2822" s="6"/>
      <c r="V2822" s="6"/>
      <c r="W2822" s="6"/>
      <c r="X2822" s="6"/>
      <c r="Y2822" s="6"/>
      <c r="Z2822" s="6"/>
      <c r="AA2822" s="6"/>
    </row>
    <row r="2823" ht="14.25">
      <c r="B2823" s="4" t="s">
        <v>206</v>
      </c>
      <c r="C2823" s="4" t="s">
        <v>21304</v>
      </c>
      <c r="D2823" s="4" t="s">
        <v>21305</v>
      </c>
      <c r="E2823" s="4" t="s">
        <v>21306</v>
      </c>
      <c r="F2823" s="4" t="str">
        <f>IFERROR(__XLUDF.DUMMYFUNCTION("PROPER(REGEXREPLACE(D539,""[^A-Za-z]+ "",""""))"),"Schmooze")</f>
        <v>Schmooze</v>
      </c>
      <c r="G2823" s="4" t="s">
        <v>21307</v>
      </c>
      <c r="H2823" s="4">
        <v>14</v>
      </c>
      <c r="I2823" s="4" t="s">
        <v>9161</v>
      </c>
      <c r="J2823" s="4"/>
      <c r="K2823" s="5" t="s">
        <v>21308</v>
      </c>
      <c r="L2823" s="5" t="s">
        <v>21309</v>
      </c>
      <c r="M2823" s="4" t="s">
        <v>39</v>
      </c>
      <c r="N2823" s="4" t="s">
        <v>29</v>
      </c>
      <c r="O2823" s="4" t="s">
        <v>21310</v>
      </c>
      <c r="P2823" s="4" t="s">
        <v>29</v>
      </c>
      <c r="Q2823" s="4" t="s">
        <v>21311</v>
      </c>
      <c r="R2823" s="6"/>
      <c r="S2823" s="6"/>
      <c r="T2823" s="6"/>
      <c r="U2823" s="6"/>
      <c r="V2823" s="6"/>
      <c r="W2823" s="6"/>
      <c r="X2823" s="6"/>
      <c r="Y2823" s="6"/>
      <c r="Z2823" s="6"/>
      <c r="AA2823" s="6"/>
    </row>
    <row r="2824" ht="14.25">
      <c r="B2824" s="4" t="s">
        <v>808</v>
      </c>
      <c r="C2824" s="4" t="s">
        <v>21312</v>
      </c>
      <c r="D2824" s="4" t="s">
        <v>21313</v>
      </c>
      <c r="E2824" s="4" t="s">
        <v>21314</v>
      </c>
      <c r="F2824" s="4" t="str">
        <f>IFERROR(__XLUDF.DUMMYFUNCTION("PROPER(REGEXREPLACE(D540,""[^A-Za-z]+ "",""""))"),"Ekomind")</f>
        <v>Ekomind</v>
      </c>
      <c r="G2824" s="4" t="s">
        <v>21315</v>
      </c>
      <c r="H2824" s="4">
        <v>14</v>
      </c>
      <c r="I2824" s="4" t="s">
        <v>4067</v>
      </c>
      <c r="J2824" s="4" t="str">
        <f>IFERROR(__XLUDF.DUMMYFUNCTION("VLOOKUP(H540,IMPORTRANGE(""https://docs.google.com/spreadsheets/d/1opm6ZNvGZ7KditA9TuJwrZ25eFLfTNIkrNnY6mhV5Eg"",""list!A1:C115""),3,TRUE)"),"le secteur du conseil en management")</f>
        <v xml:space="preserve">le secteur du conseil en management</v>
      </c>
      <c r="K2824" s="5" t="s">
        <v>21316</v>
      </c>
      <c r="L2824" s="5" t="s">
        <v>21317</v>
      </c>
      <c r="M2824" s="4" t="s">
        <v>39</v>
      </c>
      <c r="N2824" s="4" t="s">
        <v>29</v>
      </c>
      <c r="O2824" s="4" t="s">
        <v>21318</v>
      </c>
      <c r="P2824" s="4" t="s">
        <v>29</v>
      </c>
      <c r="Q2824" s="4" t="s">
        <v>21319</v>
      </c>
      <c r="R2824" s="6"/>
      <c r="S2824" s="6"/>
      <c r="T2824" s="6"/>
      <c r="U2824" s="6"/>
      <c r="V2824" s="6"/>
      <c r="W2824" s="6"/>
      <c r="X2824" s="6"/>
      <c r="Y2824" s="6"/>
      <c r="Z2824" s="6"/>
      <c r="AA2824" s="6"/>
    </row>
    <row r="2825" ht="14.25">
      <c r="B2825" s="4" t="s">
        <v>2932</v>
      </c>
      <c r="C2825" s="4" t="s">
        <v>21320</v>
      </c>
      <c r="D2825" s="4" t="s">
        <v>21321</v>
      </c>
      <c r="E2825" s="4" t="s">
        <v>21322</v>
      </c>
      <c r="F2825" s="4" t="str">
        <f>IFERROR(__XLUDF.DUMMYFUNCTION("PROPER(REGEXREPLACE(D541,""[^A-Za-z]+ "",""""))"),"Apik")</f>
        <v>Apik</v>
      </c>
      <c r="G2825" s="4" t="s">
        <v>21323</v>
      </c>
      <c r="H2825" s="4">
        <v>12</v>
      </c>
      <c r="I2825" s="4" t="s">
        <v>9184</v>
      </c>
      <c r="J2825" s="4" t="str">
        <f>IFERROR(__XLUDF.DUMMYFUNCTION("VLOOKUP(H541,IMPORTRANGE(""https://docs.google.com/spreadsheets/d/1opm6ZNvGZ7KditA9TuJwrZ25eFLfTNIkrNnY6mhV5Eg"",""list!A1:C115""),3,TRUE)"),"le secteur des télécommunications")</f>
        <v xml:space="preserve">le secteur des télécommunications</v>
      </c>
      <c r="K2825" s="5" t="s">
        <v>21324</v>
      </c>
      <c r="L2825" s="5" t="s">
        <v>21325</v>
      </c>
      <c r="M2825" s="4" t="s">
        <v>1507</v>
      </c>
      <c r="N2825" s="4" t="s">
        <v>29</v>
      </c>
      <c r="O2825" s="4" t="s">
        <v>21326</v>
      </c>
      <c r="P2825" s="4" t="s">
        <v>29</v>
      </c>
      <c r="Q2825" s="4" t="s">
        <v>21327</v>
      </c>
      <c r="R2825" s="6"/>
      <c r="S2825" s="6"/>
      <c r="T2825" s="6"/>
      <c r="U2825" s="6"/>
      <c r="V2825" s="6"/>
      <c r="W2825" s="6"/>
      <c r="X2825" s="6"/>
      <c r="Y2825" s="6"/>
      <c r="Z2825" s="6"/>
      <c r="AA2825" s="6"/>
    </row>
    <row r="2826" ht="14.25">
      <c r="B2826" s="4" t="s">
        <v>21328</v>
      </c>
      <c r="C2826" s="4" t="s">
        <v>21329</v>
      </c>
      <c r="D2826" s="4" t="s">
        <v>62</v>
      </c>
      <c r="E2826" s="4" t="s">
        <v>21330</v>
      </c>
      <c r="F2826" s="4" t="str">
        <f>IFERROR(__XLUDF.DUMMYFUNCTION("PROPER(REGEXREPLACE(D542,""[^A-Za-z]+ "",""""))"),"First Conseil")</f>
        <v xml:space="preserve">First Conseil</v>
      </c>
      <c r="G2826" s="4" t="s">
        <v>21331</v>
      </c>
      <c r="H2826" s="4">
        <v>13</v>
      </c>
      <c r="I2826" s="4" t="s">
        <v>2602</v>
      </c>
      <c r="J2826" s="4" t="str">
        <f>IFERROR(__XLUDF.DUMMYFUNCTION("VLOOKUP(H542,IMPORTRANGE(""https://docs.google.com/spreadsheets/d/1opm6ZNvGZ7KditA9TuJwrZ25eFLfTNIkrNnY6mhV5Eg"",""list!A1:C115""),3,TRUE)"),"le secteur de la tech")</f>
        <v xml:space="preserve">le secteur de la tech</v>
      </c>
      <c r="K2826" s="5" t="s">
        <v>21332</v>
      </c>
      <c r="L2826" s="5" t="s">
        <v>21333</v>
      </c>
      <c r="M2826" s="4" t="s">
        <v>39</v>
      </c>
      <c r="N2826" s="4" t="s">
        <v>29</v>
      </c>
      <c r="O2826" s="4" t="s">
        <v>21334</v>
      </c>
      <c r="P2826" s="4" t="s">
        <v>29</v>
      </c>
      <c r="Q2826" s="6"/>
      <c r="R2826" s="6"/>
      <c r="S2826" s="6"/>
      <c r="T2826" s="6"/>
      <c r="U2826" s="6"/>
      <c r="V2826" s="6"/>
      <c r="W2826" s="6"/>
      <c r="X2826" s="6"/>
      <c r="Y2826" s="6"/>
      <c r="Z2826" s="6"/>
      <c r="AA2826" s="6"/>
    </row>
    <row r="2827" ht="14.25">
      <c r="B2827" s="4" t="s">
        <v>222</v>
      </c>
      <c r="C2827" s="4" t="s">
        <v>21155</v>
      </c>
      <c r="D2827" s="4" t="s">
        <v>21335</v>
      </c>
      <c r="E2827" s="4" t="s">
        <v>21336</v>
      </c>
      <c r="F2827" s="4" t="str">
        <f>IFERROR(__XLUDF.DUMMYFUNCTION("PROPER(REGEXREPLACE(D543,""[^A-Za-z]+ "",""""))"),"Mondeca")</f>
        <v>Mondeca</v>
      </c>
      <c r="G2827" s="4" t="s">
        <v>21337</v>
      </c>
      <c r="H2827" s="4">
        <v>18</v>
      </c>
      <c r="I2827" s="4" t="s">
        <v>2602</v>
      </c>
      <c r="J2827" s="4"/>
      <c r="K2827" s="5" t="s">
        <v>21338</v>
      </c>
      <c r="L2827" s="5" t="s">
        <v>21339</v>
      </c>
      <c r="M2827" s="4" t="s">
        <v>39</v>
      </c>
      <c r="N2827" s="4" t="s">
        <v>29</v>
      </c>
      <c r="O2827" s="4" t="s">
        <v>21340</v>
      </c>
      <c r="P2827" s="4" t="s">
        <v>29</v>
      </c>
      <c r="Q2827" s="4" t="s">
        <v>21341</v>
      </c>
      <c r="R2827" s="6"/>
      <c r="S2827" s="6"/>
      <c r="T2827" s="6"/>
      <c r="U2827" s="6"/>
      <c r="V2827" s="6"/>
      <c r="W2827" s="6"/>
      <c r="X2827" s="6"/>
      <c r="Y2827" s="6"/>
      <c r="Z2827" s="6"/>
      <c r="AA2827" s="6"/>
    </row>
    <row r="2828" ht="14.25">
      <c r="B2828" s="4" t="s">
        <v>6356</v>
      </c>
      <c r="C2828" s="4" t="s">
        <v>21342</v>
      </c>
      <c r="D2828" s="4" t="s">
        <v>172</v>
      </c>
      <c r="E2828" s="4" t="s">
        <v>21343</v>
      </c>
      <c r="F2828" s="4" t="str">
        <f>IFERROR(__XLUDF.DUMMYFUNCTION("PROPER(REGEXREPLACE(D544,""[^A-Za-z]+ "",""""))"),"Otsi")</f>
        <v>Otsi</v>
      </c>
      <c r="G2828" s="4" t="s">
        <v>21344</v>
      </c>
      <c r="H2828" s="4">
        <v>10</v>
      </c>
      <c r="I2828" s="4" t="s">
        <v>2602</v>
      </c>
      <c r="J2828" s="4"/>
      <c r="K2828" s="5" t="s">
        <v>21345</v>
      </c>
      <c r="L2828" s="5" t="s">
        <v>21346</v>
      </c>
      <c r="M2828" s="4" t="s">
        <v>11321</v>
      </c>
      <c r="N2828" s="4" t="s">
        <v>29</v>
      </c>
      <c r="O2828" s="4" t="s">
        <v>21347</v>
      </c>
      <c r="P2828" s="4" t="s">
        <v>29</v>
      </c>
      <c r="Q2828" s="4" t="s">
        <v>21348</v>
      </c>
      <c r="R2828" s="6"/>
      <c r="S2828" s="6"/>
      <c r="T2828" s="6"/>
      <c r="U2828" s="6"/>
      <c r="V2828" s="6"/>
      <c r="W2828" s="6"/>
      <c r="X2828" s="6"/>
      <c r="Y2828" s="6"/>
      <c r="Z2828" s="6"/>
      <c r="AA2828" s="6"/>
    </row>
    <row r="2829" ht="14.25">
      <c r="B2829" s="4" t="s">
        <v>3819</v>
      </c>
      <c r="C2829" s="4" t="s">
        <v>21349</v>
      </c>
      <c r="D2829" s="4" t="s">
        <v>21350</v>
      </c>
      <c r="E2829" s="4" t="s">
        <v>21351</v>
      </c>
      <c r="F2829" s="4" t="str">
        <f>IFERROR(__XLUDF.DUMMYFUNCTION("PROPER(REGEXREPLACE(D545,""[^A-Za-z]+ "",""""))"),"Hupla")</f>
        <v>Hupla</v>
      </c>
      <c r="G2829" s="4" t="s">
        <v>21352</v>
      </c>
      <c r="H2829" s="4">
        <v>16</v>
      </c>
      <c r="I2829" s="4" t="s">
        <v>4067</v>
      </c>
      <c r="J2829" s="4"/>
      <c r="K2829" s="5" t="s">
        <v>21353</v>
      </c>
      <c r="L2829" s="5" t="s">
        <v>21354</v>
      </c>
      <c r="M2829" s="4" t="s">
        <v>14704</v>
      </c>
      <c r="N2829" s="4" t="s">
        <v>29</v>
      </c>
      <c r="O2829" s="4" t="s">
        <v>21355</v>
      </c>
      <c r="P2829" s="4" t="s">
        <v>29</v>
      </c>
      <c r="Q2829" s="4" t="s">
        <v>21356</v>
      </c>
      <c r="R2829" s="6"/>
      <c r="S2829" s="6"/>
      <c r="T2829" s="6"/>
      <c r="U2829" s="6"/>
      <c r="V2829" s="6"/>
      <c r="W2829" s="6"/>
      <c r="X2829" s="6"/>
      <c r="Y2829" s="6"/>
      <c r="Z2829" s="6"/>
      <c r="AA2829" s="6"/>
    </row>
    <row r="2830" ht="14.25">
      <c r="B2830" s="4" t="s">
        <v>2138</v>
      </c>
      <c r="C2830" s="4" t="s">
        <v>21357</v>
      </c>
      <c r="D2830" s="4" t="s">
        <v>21358</v>
      </c>
      <c r="E2830" s="5" t="s">
        <v>21359</v>
      </c>
      <c r="F2830" s="5" t="str">
        <f>IFERROR(__XLUDF.DUMMYFUNCTION("PROPER(REGEXREPLACE(D546,""[^A-Za-z]+ "",""""))"),"Metav.Rs")</f>
        <v>Metav.Rs</v>
      </c>
      <c r="G2830" s="4" t="s">
        <v>21360</v>
      </c>
      <c r="H2830" s="4">
        <v>25</v>
      </c>
      <c r="I2830" s="4" t="s">
        <v>2602</v>
      </c>
      <c r="J2830" s="4"/>
      <c r="K2830" s="5" t="s">
        <v>21361</v>
      </c>
      <c r="L2830" s="5" t="s">
        <v>21362</v>
      </c>
      <c r="M2830" s="4" t="s">
        <v>21363</v>
      </c>
      <c r="N2830" s="4" t="s">
        <v>29</v>
      </c>
      <c r="O2830" s="4" t="s">
        <v>1158</v>
      </c>
      <c r="P2830" s="4" t="s">
        <v>29</v>
      </c>
      <c r="Q2830" s="6"/>
      <c r="R2830" s="6"/>
      <c r="S2830" s="6"/>
      <c r="T2830" s="6"/>
      <c r="U2830" s="6"/>
      <c r="V2830" s="6"/>
      <c r="W2830" s="6"/>
      <c r="X2830" s="6"/>
      <c r="Y2830" s="6"/>
      <c r="Z2830" s="6"/>
      <c r="AA2830" s="6"/>
    </row>
    <row r="2831" ht="14.25">
      <c r="B2831" s="4" t="s">
        <v>21364</v>
      </c>
      <c r="C2831" s="4" t="s">
        <v>21365</v>
      </c>
      <c r="D2831" s="4" t="s">
        <v>164</v>
      </c>
      <c r="E2831" s="4" t="s">
        <v>21366</v>
      </c>
      <c r="F2831" s="4" t="str">
        <f>IFERROR(__XLUDF.DUMMYFUNCTION("PROPER(REGEXREPLACE(D547,""[^A-Za-z]+ "",""""))"),"Révinax")</f>
        <v>Révinax</v>
      </c>
      <c r="G2831" s="4" t="s">
        <v>21367</v>
      </c>
      <c r="H2831" s="4">
        <v>12</v>
      </c>
      <c r="I2831" s="4" t="s">
        <v>2602</v>
      </c>
      <c r="J2831" s="4" t="str">
        <f>IFERROR(__XLUDF.DUMMYFUNCTION("VLOOKUP(H547,IMPORTRANGE(""https://docs.google.com/spreadsheets/d/1opm6ZNvGZ7KditA9TuJwrZ25eFLfTNIkrNnY6mhV5Eg"",""list!A1:C115""),3,TRUE)"),"le secteur de la tech")</f>
        <v xml:space="preserve">le secteur de la tech</v>
      </c>
      <c r="K2831" s="5" t="s">
        <v>21368</v>
      </c>
      <c r="L2831" s="5" t="s">
        <v>21369</v>
      </c>
      <c r="M2831" s="4" t="s">
        <v>83</v>
      </c>
      <c r="N2831" s="4" t="s">
        <v>29</v>
      </c>
      <c r="O2831" s="4" t="s">
        <v>21370</v>
      </c>
      <c r="P2831" s="4" t="s">
        <v>29</v>
      </c>
      <c r="Q2831" s="4" t="s">
        <v>21371</v>
      </c>
      <c r="R2831" s="6"/>
      <c r="S2831" s="6"/>
      <c r="T2831" s="6"/>
      <c r="U2831" s="6"/>
      <c r="V2831" s="6"/>
      <c r="W2831" s="6"/>
      <c r="X2831" s="6"/>
      <c r="Y2831" s="6"/>
      <c r="Z2831" s="6"/>
      <c r="AA2831" s="6"/>
    </row>
    <row r="2832" ht="14.25">
      <c r="B2832" s="4" t="s">
        <v>245</v>
      </c>
      <c r="C2832" s="4" t="s">
        <v>21372</v>
      </c>
      <c r="D2832" s="4" t="s">
        <v>21373</v>
      </c>
      <c r="E2832" s="4" t="s">
        <v>21374</v>
      </c>
      <c r="F2832" s="4" t="str">
        <f>IFERROR(__XLUDF.DUMMYFUNCTION("PROPER(REGEXREPLACE(D548,""[^A-Za-z]+ "",""""))"),"Pickers")</f>
        <v>Pickers</v>
      </c>
      <c r="G2832" s="4" t="s">
        <v>21375</v>
      </c>
      <c r="H2832" s="4">
        <v>21</v>
      </c>
      <c r="I2832" s="4" t="s">
        <v>9161</v>
      </c>
      <c r="J2832" s="4" t="str">
        <f>IFERROR(__XLUDF.DUMMYFUNCTION("VLOOKUP(H548,IMPORTRANGE(""https://docs.google.com/spreadsheets/d/1opm6ZNvGZ7KditA9TuJwrZ25eFLfTNIkrNnY6mhV5Eg"",""list!A1:C115""),3,TRUE)"),"le secteur du marketing")</f>
        <v xml:space="preserve">le secteur du marketing</v>
      </c>
      <c r="K2832" s="5" t="s">
        <v>21376</v>
      </c>
      <c r="L2832" s="5" t="s">
        <v>21377</v>
      </c>
      <c r="M2832" s="4" t="s">
        <v>39</v>
      </c>
      <c r="N2832" s="4" t="s">
        <v>29</v>
      </c>
      <c r="O2832" s="4" t="s">
        <v>21378</v>
      </c>
      <c r="P2832" s="4" t="s">
        <v>29</v>
      </c>
      <c r="Q2832" s="4" t="s">
        <v>21379</v>
      </c>
      <c r="R2832" s="6"/>
      <c r="S2832" s="6"/>
      <c r="T2832" s="6"/>
      <c r="U2832" s="6"/>
      <c r="V2832" s="6"/>
      <c r="W2832" s="6"/>
      <c r="X2832" s="6"/>
      <c r="Y2832" s="6"/>
      <c r="Z2832" s="6"/>
      <c r="AA2832" s="6"/>
    </row>
    <row r="2833" ht="14.25">
      <c r="B2833" s="4" t="s">
        <v>7559</v>
      </c>
      <c r="C2833" s="4" t="s">
        <v>21380</v>
      </c>
      <c r="D2833" s="4" t="s">
        <v>1130</v>
      </c>
      <c r="E2833" s="4" t="s">
        <v>21381</v>
      </c>
      <c r="F2833" s="4" t="str">
        <f>IFERROR(__XLUDF.DUMMYFUNCTION("PROPER(REGEXREPLACE(D549,""[^A-Za-z]+ "",""""))"),"Akoris")</f>
        <v>Akoris</v>
      </c>
      <c r="G2833" s="4" t="s">
        <v>21382</v>
      </c>
      <c r="H2833" s="4">
        <v>10</v>
      </c>
      <c r="I2833" s="4" t="s">
        <v>4067</v>
      </c>
      <c r="J2833" s="4"/>
      <c r="K2833" s="5" t="s">
        <v>21383</v>
      </c>
      <c r="L2833" s="5" t="s">
        <v>21384</v>
      </c>
      <c r="M2833" s="4" t="s">
        <v>39</v>
      </c>
      <c r="N2833" s="4" t="s">
        <v>29</v>
      </c>
      <c r="O2833" s="4" t="s">
        <v>21385</v>
      </c>
      <c r="P2833" s="4" t="s">
        <v>29</v>
      </c>
      <c r="Q2833" s="4" t="s">
        <v>21386</v>
      </c>
      <c r="R2833" s="6"/>
      <c r="S2833" s="6"/>
      <c r="T2833" s="6"/>
      <c r="U2833" s="6"/>
      <c r="V2833" s="6"/>
      <c r="W2833" s="6"/>
      <c r="X2833" s="6"/>
      <c r="Y2833" s="6"/>
      <c r="Z2833" s="6"/>
      <c r="AA2833" s="6"/>
    </row>
    <row r="2834" ht="14.25">
      <c r="B2834" s="4" t="s">
        <v>21387</v>
      </c>
      <c r="C2834" s="4" t="s">
        <v>21388</v>
      </c>
      <c r="D2834" s="4" t="s">
        <v>87</v>
      </c>
      <c r="E2834" s="4" t="s">
        <v>21389</v>
      </c>
      <c r="F2834" s="4" t="str">
        <f>IFERROR(__XLUDF.DUMMYFUNCTION("PROPER(REGEXREPLACE(D550,""[^A-Za-z]+ "",""""))"),"Eye2Scan")</f>
        <v>Eye2Scan</v>
      </c>
      <c r="G2834" s="4" t="s">
        <v>21390</v>
      </c>
      <c r="H2834" s="4">
        <v>13</v>
      </c>
      <c r="I2834" s="4" t="s">
        <v>2602</v>
      </c>
      <c r="J2834" s="4"/>
      <c r="K2834" s="5" t="s">
        <v>21391</v>
      </c>
      <c r="L2834" s="5" t="s">
        <v>21392</v>
      </c>
      <c r="M2834" s="4" t="s">
        <v>39</v>
      </c>
      <c r="N2834" s="4" t="s">
        <v>29</v>
      </c>
      <c r="O2834" s="4" t="s">
        <v>21393</v>
      </c>
      <c r="P2834" s="4" t="s">
        <v>29</v>
      </c>
      <c r="Q2834" s="4" t="s">
        <v>21394</v>
      </c>
      <c r="R2834" s="6"/>
      <c r="S2834" s="6"/>
      <c r="T2834" s="6"/>
      <c r="U2834" s="6"/>
      <c r="V2834" s="6"/>
      <c r="W2834" s="6"/>
      <c r="X2834" s="6"/>
      <c r="Y2834" s="6"/>
      <c r="Z2834" s="6"/>
      <c r="AA2834" s="6"/>
    </row>
    <row r="2835" ht="14.25">
      <c r="B2835" s="4" t="s">
        <v>21395</v>
      </c>
      <c r="C2835" s="4" t="s">
        <v>21396</v>
      </c>
      <c r="D2835" s="4" t="s">
        <v>315</v>
      </c>
      <c r="E2835" s="4" t="s">
        <v>21397</v>
      </c>
      <c r="F2835" s="4" t="str">
        <f>IFERROR(__XLUDF.DUMMYFUNCTION("PROPER(REGEXREPLACE(D551,""[^A-Za-z]+ "",""""))"),"Codezys")</f>
        <v>Codezys</v>
      </c>
      <c r="G2835" s="4" t="s">
        <v>21398</v>
      </c>
      <c r="H2835" s="4">
        <v>10</v>
      </c>
      <c r="I2835" s="4" t="s">
        <v>2602</v>
      </c>
      <c r="J2835" s="4"/>
      <c r="K2835" s="5" t="s">
        <v>21399</v>
      </c>
      <c r="L2835" s="5" t="s">
        <v>21400</v>
      </c>
      <c r="M2835" s="6"/>
      <c r="N2835" s="4" t="s">
        <v>29</v>
      </c>
      <c r="O2835" s="4" t="s">
        <v>4361</v>
      </c>
      <c r="P2835" s="4" t="s">
        <v>29</v>
      </c>
      <c r="Q2835" s="6"/>
      <c r="R2835" s="6"/>
      <c r="S2835" s="6"/>
      <c r="T2835" s="6"/>
      <c r="U2835" s="6"/>
      <c r="V2835" s="6"/>
      <c r="W2835" s="6"/>
      <c r="X2835" s="6"/>
      <c r="Y2835" s="6"/>
      <c r="Z2835" s="6"/>
      <c r="AA2835" s="6"/>
    </row>
    <row r="2836" ht="14.25">
      <c r="B2836" s="4" t="s">
        <v>4188</v>
      </c>
      <c r="C2836" s="4" t="s">
        <v>21401</v>
      </c>
      <c r="D2836" s="4" t="s">
        <v>62</v>
      </c>
      <c r="E2836" s="4" t="s">
        <v>21402</v>
      </c>
      <c r="F2836" s="4" t="str">
        <f>IFERROR(__XLUDF.DUMMYFUNCTION("PROPER(REGEXREPLACE(D552,""[^A-Za-z]+ "",""""))"),"Knock Knock")</f>
        <v xml:space="preserve">Knock Knock</v>
      </c>
      <c r="G2836" s="4" t="s">
        <v>21403</v>
      </c>
      <c r="H2836" s="4">
        <v>12</v>
      </c>
      <c r="I2836" s="4" t="s">
        <v>9264</v>
      </c>
      <c r="J2836" s="4"/>
      <c r="K2836" s="5" t="s">
        <v>21404</v>
      </c>
      <c r="L2836" s="5" t="s">
        <v>21405</v>
      </c>
      <c r="M2836" s="4" t="s">
        <v>21406</v>
      </c>
      <c r="N2836" s="4" t="s">
        <v>29</v>
      </c>
      <c r="O2836" s="4" t="s">
        <v>19956</v>
      </c>
      <c r="P2836" s="4" t="s">
        <v>29</v>
      </c>
      <c r="Q2836" s="4" t="s">
        <v>21407</v>
      </c>
      <c r="R2836" s="6"/>
      <c r="S2836" s="6"/>
      <c r="T2836" s="6"/>
      <c r="U2836" s="6"/>
      <c r="V2836" s="6"/>
      <c r="W2836" s="6"/>
      <c r="X2836" s="6"/>
      <c r="Y2836" s="6"/>
      <c r="Z2836" s="6"/>
      <c r="AA2836" s="6"/>
    </row>
    <row r="2837" ht="14.25">
      <c r="B2837" s="4" t="s">
        <v>355</v>
      </c>
      <c r="C2837" s="4" t="s">
        <v>21408</v>
      </c>
      <c r="D2837" s="4" t="s">
        <v>3775</v>
      </c>
      <c r="E2837" s="4" t="s">
        <v>21409</v>
      </c>
      <c r="F2837" s="4" t="str">
        <f>IFERROR(__XLUDF.DUMMYFUNCTION("PROPER(REGEXREPLACE(D553,""[^A-Za-z]+ "",""""))"),"Kheoos")</f>
        <v>Kheoos</v>
      </c>
      <c r="G2837" s="4" t="s">
        <v>21410</v>
      </c>
      <c r="H2837" s="4">
        <v>18</v>
      </c>
      <c r="I2837" s="4" t="s">
        <v>2602</v>
      </c>
      <c r="J2837" s="4"/>
      <c r="K2837" s="5" t="s">
        <v>21411</v>
      </c>
      <c r="L2837" s="5" t="s">
        <v>21412</v>
      </c>
      <c r="M2837" s="4" t="s">
        <v>1507</v>
      </c>
      <c r="N2837" s="4" t="s">
        <v>29</v>
      </c>
      <c r="O2837" s="4" t="s">
        <v>21413</v>
      </c>
      <c r="P2837" s="4" t="s">
        <v>29</v>
      </c>
      <c r="Q2837" s="4" t="s">
        <v>21414</v>
      </c>
      <c r="R2837" s="6"/>
      <c r="S2837" s="6"/>
      <c r="T2837" s="6"/>
      <c r="U2837" s="6"/>
      <c r="V2837" s="6"/>
      <c r="W2837" s="6"/>
      <c r="X2837" s="6"/>
      <c r="Y2837" s="6"/>
      <c r="Z2837" s="6"/>
      <c r="AA2837" s="6"/>
    </row>
    <row r="2838" ht="14.25">
      <c r="B2838" s="4" t="s">
        <v>255</v>
      </c>
      <c r="C2838" s="4" t="s">
        <v>355</v>
      </c>
      <c r="D2838" s="4" t="s">
        <v>1867</v>
      </c>
      <c r="E2838" s="4" t="s">
        <v>21415</v>
      </c>
      <c r="F2838" s="4" t="str">
        <f>IFERROR(__XLUDF.DUMMYFUNCTION("PROPER(REGEXREPLACE(D554,""[^A-Za-z]+ "",""""))"),"Sine Qua Non")</f>
        <v xml:space="preserve">Sine Qua Non</v>
      </c>
      <c r="G2838" s="4" t="s">
        <v>21416</v>
      </c>
      <c r="H2838" s="4">
        <v>14</v>
      </c>
      <c r="I2838" s="4" t="s">
        <v>2602</v>
      </c>
      <c r="J2838" s="4"/>
      <c r="K2838" s="5" t="s">
        <v>21417</v>
      </c>
      <c r="L2838" s="5" t="s">
        <v>21418</v>
      </c>
      <c r="M2838" s="4" t="s">
        <v>39</v>
      </c>
      <c r="N2838" s="4" t="s">
        <v>29</v>
      </c>
      <c r="O2838" s="4" t="s">
        <v>21419</v>
      </c>
      <c r="P2838" s="4" t="s">
        <v>29</v>
      </c>
      <c r="Q2838" s="4" t="s">
        <v>21420</v>
      </c>
      <c r="R2838" s="6"/>
      <c r="S2838" s="6"/>
      <c r="T2838" s="6"/>
      <c r="U2838" s="6"/>
      <c r="V2838" s="6"/>
      <c r="W2838" s="6"/>
      <c r="X2838" s="6"/>
      <c r="Y2838" s="6"/>
      <c r="Z2838" s="6"/>
      <c r="AA2838" s="6"/>
    </row>
    <row r="2839" ht="14.25">
      <c r="B2839" s="4" t="s">
        <v>1605</v>
      </c>
      <c r="C2839" s="4" t="s">
        <v>15969</v>
      </c>
      <c r="D2839" s="4" t="s">
        <v>21421</v>
      </c>
      <c r="E2839" s="4" t="s">
        <v>21422</v>
      </c>
      <c r="F2839" s="4" t="str">
        <f>IFERROR(__XLUDF.DUMMYFUNCTION("PROPER(REGEXREPLACE(D555,""[^A-Za-z]+ "",""""))"),"Bridgr")</f>
        <v>Bridgr</v>
      </c>
      <c r="G2839" s="4" t="s">
        <v>21423</v>
      </c>
      <c r="H2839" s="4">
        <v>11</v>
      </c>
      <c r="I2839" s="4" t="s">
        <v>2602</v>
      </c>
      <c r="J2839" s="4"/>
      <c r="K2839" s="5" t="s">
        <v>21424</v>
      </c>
      <c r="L2839" s="5" t="s">
        <v>21425</v>
      </c>
      <c r="M2839" s="4" t="s">
        <v>39</v>
      </c>
      <c r="N2839" s="4" t="s">
        <v>29</v>
      </c>
      <c r="O2839" s="4" t="s">
        <v>21426</v>
      </c>
      <c r="P2839" s="4" t="s">
        <v>2666</v>
      </c>
      <c r="Q2839" s="4" t="s">
        <v>21427</v>
      </c>
      <c r="R2839" s="6"/>
      <c r="S2839" s="6"/>
      <c r="T2839" s="6"/>
      <c r="U2839" s="6"/>
      <c r="V2839" s="6"/>
      <c r="W2839" s="6"/>
      <c r="X2839" s="6"/>
      <c r="Y2839" s="6"/>
      <c r="Z2839" s="6"/>
      <c r="AA2839" s="6"/>
    </row>
    <row r="2840" ht="14.25">
      <c r="B2840" s="4" t="s">
        <v>630</v>
      </c>
      <c r="C2840" s="4" t="s">
        <v>6147</v>
      </c>
      <c r="D2840" s="4" t="s">
        <v>44</v>
      </c>
      <c r="E2840" s="4" t="s">
        <v>21428</v>
      </c>
      <c r="F2840" s="4" t="str">
        <f>IFERROR(__XLUDF.DUMMYFUNCTION("PROPER(REGEXREPLACE(D556,""[^A-Za-z]+ "",""""))"),"Ceresys")</f>
        <v>Ceresys</v>
      </c>
      <c r="G2840" s="4" t="s">
        <v>21429</v>
      </c>
      <c r="H2840" s="4">
        <v>10</v>
      </c>
      <c r="I2840" s="4" t="s">
        <v>2602</v>
      </c>
      <c r="J2840" s="4"/>
      <c r="K2840" s="5" t="s">
        <v>21430</v>
      </c>
      <c r="L2840" s="5" t="s">
        <v>21431</v>
      </c>
      <c r="M2840" s="4" t="s">
        <v>17537</v>
      </c>
      <c r="N2840" s="4" t="s">
        <v>29</v>
      </c>
      <c r="O2840" s="4" t="s">
        <v>21432</v>
      </c>
      <c r="P2840" s="4" t="s">
        <v>29</v>
      </c>
      <c r="Q2840" s="6"/>
      <c r="R2840" s="6"/>
      <c r="S2840" s="6"/>
      <c r="T2840" s="6"/>
      <c r="U2840" s="6"/>
      <c r="V2840" s="6"/>
      <c r="W2840" s="6"/>
      <c r="X2840" s="6"/>
      <c r="Y2840" s="6"/>
      <c r="Z2840" s="6"/>
      <c r="AA2840" s="6"/>
    </row>
    <row r="2841" ht="14.25">
      <c r="B2841" s="4" t="s">
        <v>20</v>
      </c>
      <c r="C2841" s="4" t="s">
        <v>21433</v>
      </c>
      <c r="D2841" s="4" t="s">
        <v>21434</v>
      </c>
      <c r="E2841" s="4" t="s">
        <v>21435</v>
      </c>
      <c r="F2841" s="4" t="str">
        <f>IFERROR(__XLUDF.DUMMYFUNCTION("PROPER(REGEXREPLACE(D557,""[^A-Za-z]+ "",""""))"),"Alter Si")</f>
        <v xml:space="preserve">Alter Si</v>
      </c>
      <c r="G2841" s="4" t="s">
        <v>21436</v>
      </c>
      <c r="H2841" s="4">
        <v>12</v>
      </c>
      <c r="I2841" s="4" t="s">
        <v>2602</v>
      </c>
      <c r="J2841" s="4"/>
      <c r="K2841" s="5" t="s">
        <v>21437</v>
      </c>
      <c r="L2841" s="5" t="s">
        <v>21438</v>
      </c>
      <c r="M2841" s="4" t="s">
        <v>39</v>
      </c>
      <c r="N2841" s="4" t="s">
        <v>29</v>
      </c>
      <c r="O2841" s="4" t="s">
        <v>554</v>
      </c>
      <c r="P2841" s="4" t="s">
        <v>29</v>
      </c>
      <c r="Q2841" s="4" t="s">
        <v>21439</v>
      </c>
      <c r="R2841" s="6"/>
      <c r="S2841" s="6"/>
      <c r="T2841" s="6"/>
      <c r="U2841" s="6"/>
      <c r="V2841" s="6"/>
      <c r="W2841" s="6"/>
      <c r="X2841" s="6"/>
      <c r="Y2841" s="6"/>
      <c r="Z2841" s="6"/>
      <c r="AA2841" s="6"/>
    </row>
    <row r="2842" ht="14.25">
      <c r="B2842" s="4" t="s">
        <v>21440</v>
      </c>
      <c r="C2842" s="4" t="s">
        <v>21441</v>
      </c>
      <c r="D2842" s="4" t="s">
        <v>19951</v>
      </c>
      <c r="E2842" s="4" t="s">
        <v>21442</v>
      </c>
      <c r="F2842" s="4" t="str">
        <f>IFERROR(__XLUDF.DUMMYFUNCTION("PROPER(REGEXREPLACE(D558,""[^A-Za-z]+ "",""""))"),"Poolside")</f>
        <v>Poolside</v>
      </c>
      <c r="G2842" s="4" t="s">
        <v>21443</v>
      </c>
      <c r="H2842" s="4">
        <v>130</v>
      </c>
      <c r="I2842" s="4" t="s">
        <v>2602</v>
      </c>
      <c r="J2842" s="4"/>
      <c r="K2842" s="5" t="s">
        <v>21444</v>
      </c>
      <c r="L2842" s="5" t="s">
        <v>21445</v>
      </c>
      <c r="M2842" s="4" t="s">
        <v>39</v>
      </c>
      <c r="N2842" s="4" t="s">
        <v>29</v>
      </c>
      <c r="O2842" s="4" t="s">
        <v>21446</v>
      </c>
      <c r="P2842" s="4" t="s">
        <v>1261</v>
      </c>
      <c r="Q2842" s="4" t="s">
        <v>21447</v>
      </c>
      <c r="R2842" s="6"/>
      <c r="S2842" s="6"/>
      <c r="T2842" s="6"/>
      <c r="U2842" s="6"/>
      <c r="V2842" s="6"/>
      <c r="W2842" s="6"/>
      <c r="X2842" s="6"/>
      <c r="Y2842" s="6"/>
      <c r="Z2842" s="6"/>
      <c r="AA2842" s="6"/>
    </row>
    <row r="2843" ht="14.25">
      <c r="B2843" s="4" t="s">
        <v>76</v>
      </c>
      <c r="C2843" s="4" t="s">
        <v>20</v>
      </c>
      <c r="D2843" s="4" t="s">
        <v>21448</v>
      </c>
      <c r="E2843" s="4" t="s">
        <v>21449</v>
      </c>
      <c r="F2843" s="4" t="str">
        <f>IFERROR(__XLUDF.DUMMYFUNCTION("PROPER(REGEXREPLACE(D559,""[^A-Za-z]+ "",""""))"),"Qwanteos")</f>
        <v>Qwanteos</v>
      </c>
      <c r="G2843" s="4" t="s">
        <v>21450</v>
      </c>
      <c r="H2843" s="4">
        <v>10</v>
      </c>
      <c r="I2843" s="4" t="s">
        <v>2602</v>
      </c>
      <c r="J2843" s="4" t="str">
        <f>IFERROR(__XLUDF.DUMMYFUNCTION("VLOOKUP(H559,IMPORTRANGE(""https://docs.google.com/spreadsheets/d/1opm6ZNvGZ7KditA9TuJwrZ25eFLfTNIkrNnY6mhV5Eg"",""list!A1:C115""),3,TRUE)"),"le secteur de la tech")</f>
        <v xml:space="preserve">le secteur de la tech</v>
      </c>
      <c r="K2843" s="5" t="s">
        <v>21451</v>
      </c>
      <c r="L2843" s="5" t="s">
        <v>21452</v>
      </c>
      <c r="M2843" s="4" t="s">
        <v>1711</v>
      </c>
      <c r="N2843" s="4" t="s">
        <v>29</v>
      </c>
      <c r="O2843" s="4" t="s">
        <v>21453</v>
      </c>
      <c r="P2843" s="4" t="s">
        <v>21454</v>
      </c>
      <c r="Q2843" s="4" t="s">
        <v>21455</v>
      </c>
      <c r="R2843" s="6"/>
      <c r="S2843" s="6"/>
      <c r="T2843" s="6"/>
      <c r="U2843" s="6"/>
      <c r="V2843" s="6"/>
      <c r="W2843" s="6"/>
      <c r="X2843" s="6"/>
      <c r="Y2843" s="6"/>
      <c r="Z2843" s="6"/>
      <c r="AA2843" s="6"/>
    </row>
    <row r="2844" ht="14.25">
      <c r="B2844" s="4" t="s">
        <v>255</v>
      </c>
      <c r="C2844" s="4" t="s">
        <v>21456</v>
      </c>
      <c r="D2844" s="4" t="s">
        <v>18373</v>
      </c>
      <c r="E2844" s="4" t="s">
        <v>21457</v>
      </c>
      <c r="F2844" s="4" t="str">
        <f>IFERROR(__XLUDF.DUMMYFUNCTION("PROPER(REGEXREPLACE(D560,""[^A-Za-z]+ "",""""))"),"Kicklox")</f>
        <v>Kicklox</v>
      </c>
      <c r="G2844" s="4" t="s">
        <v>21458</v>
      </c>
      <c r="H2844" s="4">
        <v>28</v>
      </c>
      <c r="I2844" s="4" t="s">
        <v>2602</v>
      </c>
      <c r="J2844" s="4" t="str">
        <f>IFERROR(__XLUDF.DUMMYFUNCTION("VLOOKUP(H560,IMPORTRANGE(""https://docs.google.com/spreadsheets/d/1opm6ZNvGZ7KditA9TuJwrZ25eFLfTNIkrNnY6mhV5Eg"",""list!A1:C115""),3,TRUE)"),"le secteur de la tech")</f>
        <v xml:space="preserve">le secteur de la tech</v>
      </c>
      <c r="K2844" s="5" t="s">
        <v>21459</v>
      </c>
      <c r="L2844" s="5" t="s">
        <v>21460</v>
      </c>
      <c r="M2844" s="4" t="s">
        <v>3848</v>
      </c>
      <c r="N2844" s="4" t="s">
        <v>29</v>
      </c>
      <c r="O2844" s="4" t="s">
        <v>21461</v>
      </c>
      <c r="P2844" s="4" t="s">
        <v>29</v>
      </c>
      <c r="Q2844" s="4" t="s">
        <v>21462</v>
      </c>
      <c r="R2844" s="6"/>
      <c r="S2844" s="6"/>
      <c r="T2844" s="6"/>
      <c r="U2844" s="6"/>
      <c r="V2844" s="6"/>
      <c r="W2844" s="6"/>
      <c r="X2844" s="6"/>
      <c r="Y2844" s="6"/>
      <c r="Z2844" s="6"/>
      <c r="AA2844" s="6"/>
    </row>
    <row r="2845" ht="14.25">
      <c r="B2845" s="4" t="s">
        <v>21463</v>
      </c>
      <c r="C2845" s="4" t="s">
        <v>21464</v>
      </c>
      <c r="D2845" s="4" t="s">
        <v>71</v>
      </c>
      <c r="E2845" s="4" t="s">
        <v>21465</v>
      </c>
      <c r="F2845" s="4" t="str">
        <f>IFERROR(__XLUDF.DUMMYFUNCTION("PROPER(REGEXREPLACE(D561,""[^A-Za-z]+ "",""""))"),"Fame")</f>
        <v>Fame</v>
      </c>
      <c r="G2845" s="4" t="s">
        <v>21466</v>
      </c>
      <c r="H2845" s="4">
        <v>10</v>
      </c>
      <c r="I2845" s="4" t="s">
        <v>2602</v>
      </c>
      <c r="J2845" s="4"/>
      <c r="K2845" s="5" t="s">
        <v>21467</v>
      </c>
      <c r="L2845" s="5" t="s">
        <v>21468</v>
      </c>
      <c r="M2845" s="4" t="s">
        <v>4943</v>
      </c>
      <c r="N2845" s="4" t="s">
        <v>29</v>
      </c>
      <c r="O2845" s="4" t="s">
        <v>21469</v>
      </c>
      <c r="P2845" s="4" t="s">
        <v>29</v>
      </c>
      <c r="Q2845" s="4" t="s">
        <v>21470</v>
      </c>
      <c r="R2845" s="6"/>
      <c r="S2845" s="6"/>
      <c r="T2845" s="6"/>
      <c r="U2845" s="6"/>
      <c r="V2845" s="6"/>
      <c r="W2845" s="6"/>
      <c r="X2845" s="6"/>
      <c r="Y2845" s="6"/>
      <c r="Z2845" s="6"/>
      <c r="AA2845" s="6"/>
    </row>
    <row r="2846" ht="14.25">
      <c r="B2846" s="4" t="s">
        <v>6243</v>
      </c>
      <c r="C2846" s="4" t="s">
        <v>21471</v>
      </c>
      <c r="D2846" s="4" t="s">
        <v>21472</v>
      </c>
      <c r="E2846" s="4" t="s">
        <v>21473</v>
      </c>
      <c r="F2846" s="4" t="str">
        <f>IFERROR(__XLUDF.DUMMYFUNCTION("PROPER(REGEXREPLACE(D562,""[^A-Za-z]+ "",""""))"),"Sc Johnson Professional France")</f>
        <v xml:space="preserve">Sc Johnson Professional France</v>
      </c>
      <c r="G2846" s="4" t="s">
        <v>21474</v>
      </c>
      <c r="H2846" s="4">
        <v>37</v>
      </c>
      <c r="I2846" s="4" t="s">
        <v>4525</v>
      </c>
      <c r="J2846" s="4"/>
      <c r="K2846" s="5" t="s">
        <v>21475</v>
      </c>
      <c r="L2846" s="5" t="s">
        <v>21476</v>
      </c>
      <c r="M2846" s="4" t="s">
        <v>21477</v>
      </c>
      <c r="N2846" s="4" t="s">
        <v>29</v>
      </c>
      <c r="O2846" s="4" t="s">
        <v>21478</v>
      </c>
      <c r="P2846" s="4" t="s">
        <v>29</v>
      </c>
      <c r="Q2846" s="6"/>
      <c r="R2846" s="6"/>
      <c r="S2846" s="6"/>
      <c r="T2846" s="6"/>
      <c r="U2846" s="6"/>
      <c r="V2846" s="6"/>
      <c r="W2846" s="6"/>
      <c r="X2846" s="6"/>
      <c r="Y2846" s="6"/>
      <c r="Z2846" s="6"/>
      <c r="AA2846" s="6"/>
    </row>
    <row r="2847" ht="14.25">
      <c r="B2847" s="4" t="s">
        <v>622</v>
      </c>
      <c r="C2847" s="4" t="s">
        <v>21479</v>
      </c>
      <c r="D2847" s="4" t="s">
        <v>21480</v>
      </c>
      <c r="E2847" s="4" t="s">
        <v>21481</v>
      </c>
      <c r="F2847" s="4" t="str">
        <f>IFERROR(__XLUDF.DUMMYFUNCTION("PROPER(REGEXREPLACE(D563,""[^A-Za-z]+ "",""""))"),"Iot.Bzh")</f>
        <v>Iot.Bzh</v>
      </c>
      <c r="G2847" s="4" t="s">
        <v>21482</v>
      </c>
      <c r="H2847" s="4">
        <v>24</v>
      </c>
      <c r="I2847" s="4" t="s">
        <v>2602</v>
      </c>
      <c r="J2847" s="4"/>
      <c r="K2847" s="5" t="s">
        <v>21483</v>
      </c>
      <c r="L2847" s="5" t="s">
        <v>21484</v>
      </c>
      <c r="M2847" s="4" t="s">
        <v>731</v>
      </c>
      <c r="N2847" s="4" t="s">
        <v>29</v>
      </c>
      <c r="O2847" s="4" t="s">
        <v>21485</v>
      </c>
      <c r="P2847" s="4" t="s">
        <v>29</v>
      </c>
      <c r="Q2847" s="4" t="s">
        <v>21486</v>
      </c>
      <c r="R2847" s="6"/>
      <c r="S2847" s="6"/>
      <c r="T2847" s="6"/>
      <c r="U2847" s="6"/>
      <c r="V2847" s="6"/>
      <c r="W2847" s="6"/>
      <c r="X2847" s="6"/>
      <c r="Y2847" s="6"/>
      <c r="Z2847" s="6"/>
      <c r="AA2847" s="6"/>
    </row>
    <row r="2848" ht="14.25">
      <c r="B2848" s="4" t="s">
        <v>2909</v>
      </c>
      <c r="C2848" s="4" t="s">
        <v>21487</v>
      </c>
      <c r="D2848" s="4" t="s">
        <v>21488</v>
      </c>
      <c r="E2848" s="4" t="s">
        <v>21489</v>
      </c>
      <c r="F2848" s="4" t="str">
        <f>IFERROR(__XLUDF.DUMMYFUNCTION("PROPER(REGEXREPLACE(D564,""[^A-Za-z]+ "",""""))"),"Biolevate")</f>
        <v>Biolevate</v>
      </c>
      <c r="G2848" s="4" t="s">
        <v>21490</v>
      </c>
      <c r="H2848" s="4">
        <v>18</v>
      </c>
      <c r="I2848" s="4" t="s">
        <v>2602</v>
      </c>
      <c r="J2848" s="4"/>
      <c r="K2848" s="5" t="s">
        <v>21491</v>
      </c>
      <c r="L2848" s="5" t="s">
        <v>21492</v>
      </c>
      <c r="M2848" s="4" t="s">
        <v>21493</v>
      </c>
      <c r="N2848" s="4" t="s">
        <v>29</v>
      </c>
      <c r="O2848" s="6"/>
      <c r="P2848" s="6"/>
      <c r="Q2848" s="4" t="s">
        <v>21494</v>
      </c>
      <c r="R2848" s="6"/>
      <c r="S2848" s="6"/>
      <c r="T2848" s="6"/>
      <c r="U2848" s="6"/>
      <c r="V2848" s="6"/>
      <c r="W2848" s="6"/>
      <c r="X2848" s="6"/>
      <c r="Y2848" s="6"/>
      <c r="Z2848" s="6"/>
      <c r="AA2848" s="6"/>
    </row>
    <row r="2849" ht="14.25">
      <c r="B2849" s="4" t="s">
        <v>2119</v>
      </c>
      <c r="C2849" s="4" t="s">
        <v>17842</v>
      </c>
      <c r="D2849" s="4" t="s">
        <v>315</v>
      </c>
      <c r="E2849" s="4" t="s">
        <v>21495</v>
      </c>
      <c r="F2849" s="4" t="str">
        <f>IFERROR(__XLUDF.DUMMYFUNCTION("PROPER(REGEXREPLACE(D565,""[^A-Za-z]+ "",""""))"),"Opale Systems")</f>
        <v xml:space="preserve">Opale Systems</v>
      </c>
      <c r="G2849" s="4" t="s">
        <v>21496</v>
      </c>
      <c r="H2849" s="4">
        <v>15</v>
      </c>
      <c r="I2849" s="4" t="s">
        <v>9184</v>
      </c>
      <c r="J2849" s="4" t="str">
        <f>IFERROR(__XLUDF.DUMMYFUNCTION("VLOOKUP(H565,IMPORTRANGE(""https://docs.google.com/spreadsheets/d/1opm6ZNvGZ7KditA9TuJwrZ25eFLfTNIkrNnY6mhV5Eg"",""list!A1:C115""),3,TRUE)"),"le secteur des télécommunications")</f>
        <v xml:space="preserve">le secteur des télécommunications</v>
      </c>
      <c r="K2849" s="5" t="s">
        <v>21497</v>
      </c>
      <c r="L2849" s="5" t="s">
        <v>21498</v>
      </c>
      <c r="M2849" s="4" t="s">
        <v>49</v>
      </c>
      <c r="N2849" s="4" t="s">
        <v>29</v>
      </c>
      <c r="O2849" s="4" t="s">
        <v>21499</v>
      </c>
      <c r="P2849" s="4" t="s">
        <v>29</v>
      </c>
      <c r="Q2849" s="4" t="s">
        <v>21500</v>
      </c>
      <c r="R2849" s="6"/>
      <c r="S2849" s="6"/>
      <c r="T2849" s="6"/>
      <c r="U2849" s="6"/>
      <c r="V2849" s="6"/>
      <c r="W2849" s="6"/>
      <c r="X2849" s="6"/>
      <c r="Y2849" s="6"/>
      <c r="Z2849" s="6"/>
      <c r="AA2849" s="6"/>
    </row>
    <row r="2850" ht="14.25">
      <c r="B2850" s="4" t="s">
        <v>6945</v>
      </c>
      <c r="C2850" s="4" t="s">
        <v>9072</v>
      </c>
      <c r="D2850" s="4" t="s">
        <v>87</v>
      </c>
      <c r="E2850" s="4" t="s">
        <v>21501</v>
      </c>
      <c r="F2850" s="4" t="str">
        <f>IFERROR(__XLUDF.DUMMYFUNCTION("PROPER(REGEXREPLACE(D566,""[^A-Za-z]+ "",""""))"),"Esbd")</f>
        <v>Esbd</v>
      </c>
      <c r="G2850" s="4" t="s">
        <v>21502</v>
      </c>
      <c r="H2850" s="4">
        <v>15</v>
      </c>
      <c r="I2850" s="4" t="s">
        <v>2602</v>
      </c>
      <c r="J2850" s="4"/>
      <c r="K2850" s="5" t="s">
        <v>21503</v>
      </c>
      <c r="L2850" s="5" t="s">
        <v>21504</v>
      </c>
      <c r="M2850" s="4" t="s">
        <v>21505</v>
      </c>
      <c r="N2850" s="4" t="s">
        <v>29</v>
      </c>
      <c r="O2850" s="4" t="s">
        <v>21506</v>
      </c>
      <c r="P2850" s="4" t="s">
        <v>29</v>
      </c>
      <c r="Q2850" s="4" t="s">
        <v>21507</v>
      </c>
      <c r="R2850" s="6"/>
      <c r="S2850" s="6"/>
      <c r="T2850" s="6"/>
      <c r="U2850" s="6"/>
      <c r="V2850" s="6"/>
      <c r="W2850" s="6"/>
      <c r="X2850" s="6"/>
      <c r="Y2850" s="6"/>
      <c r="Z2850" s="6"/>
      <c r="AA2850" s="6"/>
    </row>
    <row r="2851" ht="14.25">
      <c r="B2851" s="4" t="s">
        <v>21508</v>
      </c>
      <c r="C2851" s="4" t="s">
        <v>21509</v>
      </c>
      <c r="D2851" s="4" t="s">
        <v>164</v>
      </c>
      <c r="E2851" s="4" t="s">
        <v>21510</v>
      </c>
      <c r="F2851" s="4" t="str">
        <f>IFERROR(__XLUDF.DUMMYFUNCTION("PROPER(REGEXREPLACE(D567,""[^A-Za-z]+ "",""""))"),"Ramco Sa")</f>
        <v xml:space="preserve">Ramco Sa</v>
      </c>
      <c r="G2851" s="4" t="s">
        <v>21511</v>
      </c>
      <c r="H2851" s="4">
        <v>32</v>
      </c>
      <c r="I2851" s="4" t="s">
        <v>4525</v>
      </c>
      <c r="J2851" s="4"/>
      <c r="K2851" s="5" t="s">
        <v>21512</v>
      </c>
      <c r="L2851" s="5" t="s">
        <v>21513</v>
      </c>
      <c r="M2851" s="4" t="s">
        <v>39</v>
      </c>
      <c r="N2851" s="4" t="s">
        <v>29</v>
      </c>
      <c r="O2851" s="4" t="s">
        <v>21514</v>
      </c>
      <c r="P2851" s="4" t="s">
        <v>21515</v>
      </c>
      <c r="Q2851" s="6"/>
      <c r="R2851" s="6"/>
      <c r="S2851" s="6"/>
      <c r="T2851" s="6"/>
      <c r="U2851" s="6"/>
      <c r="V2851" s="6"/>
      <c r="W2851" s="6"/>
      <c r="X2851" s="6"/>
      <c r="Y2851" s="6"/>
      <c r="Z2851" s="6"/>
      <c r="AA2851" s="6"/>
    </row>
    <row r="2852" ht="14.25">
      <c r="B2852" s="4" t="s">
        <v>330</v>
      </c>
      <c r="C2852" s="4" t="s">
        <v>21516</v>
      </c>
      <c r="D2852" s="4" t="s">
        <v>21517</v>
      </c>
      <c r="E2852" s="4" t="s">
        <v>18107</v>
      </c>
      <c r="F2852" s="4" t="str">
        <f>IFERROR(__XLUDF.DUMMYFUNCTION("PROPER(REGEXREPLACE(D568,""[^A-Za-z]+ "",""""))"),"Trajectives")</f>
        <v>Trajectives</v>
      </c>
      <c r="G2852" s="4" t="s">
        <v>21518</v>
      </c>
      <c r="H2852" s="4">
        <v>21</v>
      </c>
      <c r="I2852" s="4" t="s">
        <v>4067</v>
      </c>
      <c r="J2852" s="4" t="str">
        <f>IFERROR(__XLUDF.DUMMYFUNCTION("VLOOKUP(H568,IMPORTRANGE(""https://docs.google.com/spreadsheets/d/1opm6ZNvGZ7KditA9TuJwrZ25eFLfTNIkrNnY6mhV5Eg"",""list!A1:C115""),3,TRUE)"),"le secteur du conseil en management")</f>
        <v xml:space="preserve">le secteur du conseil en management</v>
      </c>
      <c r="K2852" s="5" t="s">
        <v>21519</v>
      </c>
      <c r="L2852" s="5" t="s">
        <v>18110</v>
      </c>
      <c r="M2852" s="4" t="s">
        <v>39</v>
      </c>
      <c r="N2852" s="4" t="s">
        <v>29</v>
      </c>
      <c r="O2852" s="4" t="s">
        <v>18111</v>
      </c>
      <c r="P2852" s="4" t="s">
        <v>29</v>
      </c>
      <c r="Q2852" s="4" t="s">
        <v>18112</v>
      </c>
      <c r="R2852" s="6"/>
      <c r="S2852" s="6"/>
      <c r="T2852" s="6"/>
      <c r="U2852" s="6"/>
      <c r="V2852" s="6"/>
      <c r="W2852" s="6"/>
      <c r="X2852" s="6"/>
      <c r="Y2852" s="6"/>
      <c r="Z2852" s="6"/>
      <c r="AA2852" s="6"/>
    </row>
    <row r="2853" ht="14.25">
      <c r="B2853" s="4" t="s">
        <v>1027</v>
      </c>
      <c r="C2853" s="4" t="s">
        <v>11439</v>
      </c>
      <c r="D2853" s="4" t="s">
        <v>172</v>
      </c>
      <c r="E2853" s="4" t="s">
        <v>21520</v>
      </c>
      <c r="F2853" s="4" t="str">
        <f>IFERROR(__XLUDF.DUMMYFUNCTION("PROPER(REGEXREPLACE(D569,""[^A-Za-z]+ "",""""))"),"Ddruid")</f>
        <v>Ddruid</v>
      </c>
      <c r="G2853" s="4" t="s">
        <v>21521</v>
      </c>
      <c r="H2853" s="4">
        <v>10</v>
      </c>
      <c r="I2853" s="4" t="s">
        <v>2602</v>
      </c>
      <c r="J2853" s="4"/>
      <c r="K2853" s="5" t="s">
        <v>21522</v>
      </c>
      <c r="L2853" s="5" t="s">
        <v>21523</v>
      </c>
      <c r="M2853" s="4" t="s">
        <v>651</v>
      </c>
      <c r="N2853" s="4" t="s">
        <v>29</v>
      </c>
      <c r="O2853" s="4" t="s">
        <v>21524</v>
      </c>
      <c r="P2853" s="4" t="s">
        <v>29</v>
      </c>
      <c r="Q2853" s="4" t="s">
        <v>21525</v>
      </c>
      <c r="R2853" s="6"/>
      <c r="S2853" s="6"/>
      <c r="T2853" s="6"/>
      <c r="U2853" s="6"/>
      <c r="V2853" s="6"/>
      <c r="W2853" s="6"/>
      <c r="X2853" s="6"/>
      <c r="Y2853" s="6"/>
      <c r="Z2853" s="6"/>
      <c r="AA2853" s="6"/>
    </row>
    <row r="2854" ht="14.25">
      <c r="B2854" s="4" t="s">
        <v>21526</v>
      </c>
      <c r="C2854" s="4" t="s">
        <v>21527</v>
      </c>
      <c r="D2854" s="4" t="s">
        <v>527</v>
      </c>
      <c r="E2854" s="4" t="s">
        <v>21528</v>
      </c>
      <c r="F2854" s="4" t="str">
        <f>IFERROR(__XLUDF.DUMMYFUNCTION("PROPER(REGEXREPLACE(D570,""[^A-Za-z]+ "",""""))"),"All'In By Lendys")</f>
        <v xml:space="preserve">All'In By Lendys</v>
      </c>
      <c r="G2854" s="4" t="s">
        <v>21529</v>
      </c>
      <c r="H2854" s="4">
        <v>16</v>
      </c>
      <c r="I2854" s="4" t="s">
        <v>4067</v>
      </c>
      <c r="J2854" s="4" t="str">
        <f>IFERROR(__XLUDF.DUMMYFUNCTION("VLOOKUP(H570,IMPORTRANGE(""https://docs.google.com/spreadsheets/d/1opm6ZNvGZ7KditA9TuJwrZ25eFLfTNIkrNnY6mhV5Eg"",""list!A1:C115""),3,TRUE)"),"le secteur du conseil en management")</f>
        <v xml:space="preserve">le secteur du conseil en management</v>
      </c>
      <c r="K2854" s="5" t="s">
        <v>21530</v>
      </c>
      <c r="L2854" s="5" t="s">
        <v>21531</v>
      </c>
      <c r="M2854" s="4" t="s">
        <v>39</v>
      </c>
      <c r="N2854" s="4" t="s">
        <v>29</v>
      </c>
      <c r="O2854" s="4" t="s">
        <v>21532</v>
      </c>
      <c r="P2854" s="4" t="s">
        <v>29</v>
      </c>
      <c r="Q2854" s="4" t="s">
        <v>21533</v>
      </c>
      <c r="R2854" s="6"/>
      <c r="S2854" s="6"/>
      <c r="T2854" s="6"/>
      <c r="U2854" s="6"/>
      <c r="V2854" s="6"/>
      <c r="W2854" s="6"/>
      <c r="X2854" s="6"/>
      <c r="Y2854" s="6"/>
      <c r="Z2854" s="6"/>
      <c r="AA2854" s="6"/>
    </row>
    <row r="2855" ht="14.25">
      <c r="B2855" s="4" t="s">
        <v>110</v>
      </c>
      <c r="C2855" s="4" t="s">
        <v>10222</v>
      </c>
      <c r="D2855" s="4" t="s">
        <v>172</v>
      </c>
      <c r="E2855" s="4" t="s">
        <v>21534</v>
      </c>
      <c r="F2855" s="4" t="str">
        <f>IFERROR(__XLUDF.DUMMYFUNCTION("PROPER(REGEXREPLACE(D571,""[^A-Za-z]+ "",""""))"),"Agaetis")</f>
        <v>Agaetis</v>
      </c>
      <c r="G2855" s="4" t="s">
        <v>21535</v>
      </c>
      <c r="H2855" s="4">
        <v>28</v>
      </c>
      <c r="I2855" s="4" t="s">
        <v>2602</v>
      </c>
      <c r="J2855" s="4"/>
      <c r="K2855" s="5" t="s">
        <v>21536</v>
      </c>
      <c r="L2855" s="5" t="s">
        <v>21537</v>
      </c>
      <c r="M2855" s="4" t="s">
        <v>9237</v>
      </c>
      <c r="N2855" s="4" t="s">
        <v>29</v>
      </c>
      <c r="O2855" s="4" t="s">
        <v>21538</v>
      </c>
      <c r="P2855" s="4" t="s">
        <v>29</v>
      </c>
      <c r="Q2855" s="4" t="s">
        <v>21539</v>
      </c>
      <c r="R2855" s="6"/>
      <c r="S2855" s="6"/>
      <c r="T2855" s="6"/>
      <c r="U2855" s="6"/>
      <c r="V2855" s="6"/>
      <c r="W2855" s="6"/>
      <c r="X2855" s="6"/>
      <c r="Y2855" s="6"/>
      <c r="Z2855" s="6"/>
      <c r="AA2855" s="6"/>
    </row>
    <row r="2856" ht="14.25">
      <c r="B2856" s="4" t="s">
        <v>2138</v>
      </c>
      <c r="C2856" s="4" t="s">
        <v>817</v>
      </c>
      <c r="D2856" s="4" t="s">
        <v>21540</v>
      </c>
      <c r="E2856" s="4" t="s">
        <v>21541</v>
      </c>
      <c r="F2856" s="4" t="str">
        <f>IFERROR(__XLUDF.DUMMYFUNCTION("PROPER(REGEXREPLACE(D572,""[^A-Za-z]+ "",""""))"),"Penergy Solutions")</f>
        <v xml:space="preserve">Penergy Solutions</v>
      </c>
      <c r="G2856" s="4" t="s">
        <v>21542</v>
      </c>
      <c r="H2856" s="4">
        <v>14</v>
      </c>
      <c r="I2856" s="4" t="s">
        <v>4067</v>
      </c>
      <c r="J2856" s="4"/>
      <c r="K2856" s="5" t="s">
        <v>21543</v>
      </c>
      <c r="L2856" s="5" t="s">
        <v>21544</v>
      </c>
      <c r="M2856" s="4" t="s">
        <v>651</v>
      </c>
      <c r="N2856" s="4" t="s">
        <v>29</v>
      </c>
      <c r="O2856" s="4" t="s">
        <v>21545</v>
      </c>
      <c r="P2856" s="4" t="s">
        <v>595</v>
      </c>
      <c r="Q2856" s="6"/>
      <c r="R2856" s="6"/>
      <c r="S2856" s="6"/>
      <c r="T2856" s="6"/>
      <c r="U2856" s="6"/>
      <c r="V2856" s="6"/>
      <c r="W2856" s="6"/>
      <c r="X2856" s="6"/>
      <c r="Y2856" s="6"/>
      <c r="Z2856" s="6"/>
      <c r="AA2856" s="6"/>
    </row>
    <row r="2857" ht="14.25">
      <c r="B2857" s="4" t="s">
        <v>20</v>
      </c>
      <c r="C2857" s="4" t="s">
        <v>21546</v>
      </c>
      <c r="D2857" s="4" t="s">
        <v>21547</v>
      </c>
      <c r="E2857" s="4" t="s">
        <v>21548</v>
      </c>
      <c r="F2857" s="4" t="str">
        <f>IFERROR(__XLUDF.DUMMYFUNCTION("PROPER(REGEXREPLACE(D573,""[^A-Za-z]+ "",""""))"),"Pyratzlabs")</f>
        <v>Pyratzlabs</v>
      </c>
      <c r="G2857" s="4" t="s">
        <v>21549</v>
      </c>
      <c r="H2857" s="4">
        <v>22</v>
      </c>
      <c r="I2857" s="4" t="s">
        <v>2602</v>
      </c>
      <c r="J2857" s="4" t="str">
        <f>IFERROR(__XLUDF.DUMMYFUNCTION("VLOOKUP(H573,IMPORTRANGE(""https://docs.google.com/spreadsheets/d/1opm6ZNvGZ7KditA9TuJwrZ25eFLfTNIkrNnY6mhV5Eg"",""list!A1:C115""),3,TRUE)"),"le secteur de la tech")</f>
        <v xml:space="preserve">le secteur de la tech</v>
      </c>
      <c r="K2857" s="5" t="s">
        <v>21550</v>
      </c>
      <c r="L2857" s="5" t="s">
        <v>21551</v>
      </c>
      <c r="M2857" s="4" t="s">
        <v>140</v>
      </c>
      <c r="N2857" s="4" t="s">
        <v>29</v>
      </c>
      <c r="O2857" s="4" t="s">
        <v>21552</v>
      </c>
      <c r="P2857" s="4" t="s">
        <v>29</v>
      </c>
      <c r="Q2857" s="4" t="s">
        <v>21553</v>
      </c>
      <c r="R2857" s="6"/>
      <c r="S2857" s="6"/>
      <c r="T2857" s="6"/>
      <c r="U2857" s="6"/>
      <c r="V2857" s="6"/>
      <c r="W2857" s="6"/>
      <c r="X2857" s="6"/>
      <c r="Y2857" s="6"/>
      <c r="Z2857" s="6"/>
      <c r="AA2857" s="6"/>
    </row>
    <row r="2858" ht="14.25">
      <c r="B2858" s="4" t="s">
        <v>2299</v>
      </c>
      <c r="C2858" s="4" t="s">
        <v>21554</v>
      </c>
      <c r="D2858" s="4" t="s">
        <v>62</v>
      </c>
      <c r="E2858" s="4" t="s">
        <v>21555</v>
      </c>
      <c r="F2858" s="4" t="str">
        <f>IFERROR(__XLUDF.DUMMYFUNCTION("PROPER(REGEXREPLACE(D574,""[^A-Za-z]+ "",""""))"),"Nfinity Labs")</f>
        <v xml:space="preserve">Nfinity Labs</v>
      </c>
      <c r="G2858" s="4" t="s">
        <v>21556</v>
      </c>
      <c r="H2858" s="4">
        <v>12</v>
      </c>
      <c r="I2858" s="4" t="s">
        <v>2602</v>
      </c>
      <c r="J2858" s="4"/>
      <c r="K2858" s="5" t="s">
        <v>21557</v>
      </c>
      <c r="L2858" s="5" t="s">
        <v>21558</v>
      </c>
      <c r="M2858" s="4" t="s">
        <v>39</v>
      </c>
      <c r="N2858" s="4" t="s">
        <v>29</v>
      </c>
      <c r="O2858" s="4" t="s">
        <v>67</v>
      </c>
      <c r="P2858" s="4" t="s">
        <v>29</v>
      </c>
      <c r="Q2858" s="4" t="s">
        <v>21559</v>
      </c>
      <c r="R2858" s="6"/>
      <c r="S2858" s="6"/>
      <c r="T2858" s="6"/>
      <c r="U2858" s="6"/>
      <c r="V2858" s="6"/>
      <c r="W2858" s="6"/>
      <c r="X2858" s="6"/>
      <c r="Y2858" s="6"/>
      <c r="Z2858" s="6"/>
      <c r="AA2858" s="6"/>
    </row>
    <row r="2859" ht="14.25">
      <c r="B2859" s="4" t="s">
        <v>7525</v>
      </c>
      <c r="C2859" s="4" t="s">
        <v>21560</v>
      </c>
      <c r="D2859" s="4" t="s">
        <v>21561</v>
      </c>
      <c r="E2859" s="4" t="s">
        <v>21562</v>
      </c>
      <c r="F2859" s="4" t="str">
        <f>IFERROR(__XLUDF.DUMMYFUNCTION("PROPER(REGEXREPLACE(D575,""[^A-Za-z]+ "",""""))"),"Sendoc")</f>
        <v>Sendoc</v>
      </c>
      <c r="G2859" s="4" t="s">
        <v>21563</v>
      </c>
      <c r="H2859" s="4">
        <v>15</v>
      </c>
      <c r="I2859" s="4" t="s">
        <v>2602</v>
      </c>
      <c r="J2859" s="4" t="str">
        <f>IFERROR(__XLUDF.DUMMYFUNCTION("VLOOKUP(H575,IMPORTRANGE(""https://docs.google.com/spreadsheets/d/1opm6ZNvGZ7KditA9TuJwrZ25eFLfTNIkrNnY6mhV5Eg"",""list!A1:C115""),3,TRUE)"),"le secteur de la tech")</f>
        <v xml:space="preserve">le secteur de la tech</v>
      </c>
      <c r="K2859" s="5" t="s">
        <v>21564</v>
      </c>
      <c r="L2859" s="5" t="s">
        <v>21565</v>
      </c>
      <c r="M2859" s="4" t="s">
        <v>18779</v>
      </c>
      <c r="N2859" s="4" t="s">
        <v>29</v>
      </c>
      <c r="O2859" s="4" t="s">
        <v>21566</v>
      </c>
      <c r="P2859" s="4" t="s">
        <v>29</v>
      </c>
      <c r="Q2859" s="4" t="s">
        <v>21567</v>
      </c>
      <c r="R2859" s="6"/>
      <c r="S2859" s="6"/>
      <c r="T2859" s="6"/>
      <c r="U2859" s="6"/>
      <c r="V2859" s="6"/>
      <c r="W2859" s="6"/>
      <c r="X2859" s="6"/>
      <c r="Y2859" s="6"/>
      <c r="Z2859" s="6"/>
      <c r="AA2859" s="6"/>
    </row>
    <row r="2860" ht="14.25">
      <c r="B2860" s="4" t="s">
        <v>2299</v>
      </c>
      <c r="C2860" s="4" t="s">
        <v>4205</v>
      </c>
      <c r="D2860" s="4" t="s">
        <v>20243</v>
      </c>
      <c r="E2860" s="4" t="s">
        <v>21568</v>
      </c>
      <c r="F2860" s="4" t="str">
        <f>IFERROR(__XLUDF.DUMMYFUNCTION("PROPER(REGEXREPLACE(D576,""[^A-Za-z]+ "",""""))"),"Cliris")</f>
        <v>Cliris</v>
      </c>
      <c r="G2860" s="4" t="s">
        <v>21569</v>
      </c>
      <c r="H2860" s="4">
        <v>16</v>
      </c>
      <c r="I2860" s="4" t="s">
        <v>2602</v>
      </c>
      <c r="J2860" s="4"/>
      <c r="K2860" s="5" t="s">
        <v>21570</v>
      </c>
      <c r="L2860" s="5" t="s">
        <v>21571</v>
      </c>
      <c r="M2860" s="4" t="s">
        <v>39</v>
      </c>
      <c r="N2860" s="4" t="s">
        <v>29</v>
      </c>
      <c r="O2860" s="4" t="s">
        <v>21572</v>
      </c>
      <c r="P2860" s="4" t="s">
        <v>29</v>
      </c>
      <c r="Q2860" s="6"/>
      <c r="R2860" s="6"/>
      <c r="S2860" s="6"/>
      <c r="T2860" s="6"/>
      <c r="U2860" s="6"/>
      <c r="V2860" s="6"/>
      <c r="W2860" s="6"/>
      <c r="X2860" s="6"/>
      <c r="Y2860" s="6"/>
      <c r="Z2860" s="6"/>
      <c r="AA2860" s="6"/>
    </row>
    <row r="2861" ht="14.25">
      <c r="B2861" s="4" t="s">
        <v>2652</v>
      </c>
      <c r="C2861" s="4" t="s">
        <v>21573</v>
      </c>
      <c r="D2861" s="4" t="s">
        <v>18441</v>
      </c>
      <c r="E2861" s="4" t="s">
        <v>21574</v>
      </c>
      <c r="F2861" s="4" t="str">
        <f>IFERROR(__XLUDF.DUMMYFUNCTION("PROPER(REGEXREPLACE(D577,""[^A-Za-z]+ "",""""))"),"O'Communication")</f>
        <v>O'Communication</v>
      </c>
      <c r="G2861" s="4" t="s">
        <v>21575</v>
      </c>
      <c r="H2861" s="4">
        <v>14</v>
      </c>
      <c r="I2861" s="4" t="s">
        <v>9161</v>
      </c>
      <c r="J2861" s="4"/>
      <c r="K2861" s="5" t="s">
        <v>21576</v>
      </c>
      <c r="L2861" s="5" t="s">
        <v>21577</v>
      </c>
      <c r="M2861" s="4" t="s">
        <v>15147</v>
      </c>
      <c r="N2861" s="4" t="s">
        <v>29</v>
      </c>
      <c r="O2861" s="4" t="s">
        <v>21578</v>
      </c>
      <c r="P2861" s="4" t="s">
        <v>29</v>
      </c>
      <c r="Q2861" s="4" t="s">
        <v>21579</v>
      </c>
      <c r="R2861" s="6"/>
      <c r="S2861" s="6"/>
      <c r="T2861" s="6"/>
      <c r="U2861" s="6"/>
      <c r="V2861" s="6"/>
      <c r="W2861" s="6"/>
      <c r="X2861" s="6"/>
      <c r="Y2861" s="6"/>
      <c r="Z2861" s="6"/>
      <c r="AA2861" s="6"/>
    </row>
    <row r="2862" ht="14.25">
      <c r="B2862" s="4" t="s">
        <v>571</v>
      </c>
      <c r="C2862" s="4" t="s">
        <v>21580</v>
      </c>
      <c r="D2862" s="4" t="s">
        <v>7155</v>
      </c>
      <c r="E2862" s="4" t="s">
        <v>21581</v>
      </c>
      <c r="F2862" s="4" t="str">
        <f>IFERROR(__XLUDF.DUMMYFUNCTION("PROPER(REGEXREPLACE(D578,""[^A-Za-z]+ "",""""))"),"Team-X")</f>
        <v>Team-X</v>
      </c>
      <c r="G2862" s="4" t="s">
        <v>21582</v>
      </c>
      <c r="H2862" s="4">
        <v>46</v>
      </c>
      <c r="I2862" s="4" t="s">
        <v>2602</v>
      </c>
      <c r="J2862" s="4"/>
      <c r="K2862" s="5" t="s">
        <v>21583</v>
      </c>
      <c r="L2862" s="5" t="s">
        <v>21584</v>
      </c>
      <c r="M2862" s="6"/>
      <c r="N2862" s="4" t="s">
        <v>29</v>
      </c>
      <c r="O2862" s="4" t="s">
        <v>21585</v>
      </c>
      <c r="P2862" s="4" t="s">
        <v>29</v>
      </c>
      <c r="Q2862" s="4" t="s">
        <v>21586</v>
      </c>
      <c r="R2862" s="6"/>
      <c r="S2862" s="6"/>
      <c r="T2862" s="6"/>
      <c r="U2862" s="6"/>
      <c r="V2862" s="6"/>
      <c r="W2862" s="6"/>
      <c r="X2862" s="6"/>
      <c r="Y2862" s="6"/>
      <c r="Z2862" s="6"/>
      <c r="AA2862" s="6"/>
    </row>
    <row r="2863" ht="14.25">
      <c r="B2863" s="4" t="s">
        <v>1062</v>
      </c>
      <c r="C2863" s="4" t="s">
        <v>21587</v>
      </c>
      <c r="D2863" s="4" t="s">
        <v>21588</v>
      </c>
      <c r="E2863" s="4" t="s">
        <v>21589</v>
      </c>
      <c r="F2863" s="4" t="str">
        <f>IFERROR(__XLUDF.DUMMYFUNCTION("PROPER(REGEXREPLACE(D579,""[^A-Za-z]+ "",""""))"),"Swappy")</f>
        <v>Swappy</v>
      </c>
      <c r="G2863" s="4" t="s">
        <v>21590</v>
      </c>
      <c r="H2863" s="4">
        <v>7</v>
      </c>
      <c r="I2863" s="4" t="s">
        <v>2602</v>
      </c>
      <c r="J2863" s="4" t="str">
        <f>IFERROR(__XLUDF.DUMMYFUNCTION("VLOOKUP(H579,IMPORTRANGE(""https://docs.google.com/spreadsheets/d/1opm6ZNvGZ7KditA9TuJwrZ25eFLfTNIkrNnY6mhV5Eg"",""list!A1:C115""),3,TRUE)"),"le secteur de la tech")</f>
        <v xml:space="preserve">le secteur de la tech</v>
      </c>
      <c r="K2863" s="5" t="s">
        <v>21591</v>
      </c>
      <c r="L2863" s="5" t="s">
        <v>21592</v>
      </c>
      <c r="M2863" s="4" t="s">
        <v>39</v>
      </c>
      <c r="N2863" s="4" t="s">
        <v>29</v>
      </c>
      <c r="O2863" s="4" t="s">
        <v>67</v>
      </c>
      <c r="P2863" s="4" t="s">
        <v>29</v>
      </c>
      <c r="Q2863" s="6"/>
      <c r="R2863" s="6"/>
      <c r="S2863" s="6"/>
      <c r="T2863" s="6"/>
      <c r="U2863" s="6"/>
      <c r="V2863" s="6"/>
      <c r="W2863" s="6"/>
      <c r="X2863" s="6"/>
      <c r="Y2863" s="6"/>
      <c r="Z2863" s="6"/>
      <c r="AA2863" s="6"/>
    </row>
    <row r="2864" ht="14.25">
      <c r="B2864" s="4" t="s">
        <v>4245</v>
      </c>
      <c r="C2864" s="4" t="s">
        <v>21593</v>
      </c>
      <c r="D2864" s="4" t="s">
        <v>172</v>
      </c>
      <c r="E2864" s="4" t="s">
        <v>21594</v>
      </c>
      <c r="F2864" s="4" t="str">
        <f>IFERROR(__XLUDF.DUMMYFUNCTION("PROPER(REGEXREPLACE(D580,""[^A-Za-z]+ "",""""))")," Intecmedia")</f>
        <v xml:space="preserve"> Intecmedia</v>
      </c>
      <c r="G2864" s="4" t="s">
        <v>21595</v>
      </c>
      <c r="H2864" s="4">
        <v>17</v>
      </c>
      <c r="I2864" s="4" t="s">
        <v>2602</v>
      </c>
      <c r="J2864" s="4"/>
      <c r="K2864" s="5" t="s">
        <v>21596</v>
      </c>
      <c r="L2864" s="5" t="s">
        <v>21597</v>
      </c>
      <c r="M2864" s="4" t="s">
        <v>21598</v>
      </c>
      <c r="N2864" s="4" t="s">
        <v>29</v>
      </c>
      <c r="O2864" s="4" t="s">
        <v>21599</v>
      </c>
      <c r="P2864" s="4" t="s">
        <v>29</v>
      </c>
      <c r="Q2864" s="4" t="s">
        <v>21600</v>
      </c>
      <c r="R2864" s="6"/>
      <c r="S2864" s="6"/>
      <c r="T2864" s="6"/>
      <c r="U2864" s="6"/>
      <c r="V2864" s="6"/>
      <c r="W2864" s="6"/>
      <c r="X2864" s="6"/>
      <c r="Y2864" s="6"/>
      <c r="Z2864" s="6"/>
      <c r="AA2864" s="6"/>
    </row>
    <row r="2865" ht="14.25">
      <c r="B2865" s="4" t="s">
        <v>21601</v>
      </c>
      <c r="C2865" s="4" t="s">
        <v>21602</v>
      </c>
      <c r="D2865" s="4" t="s">
        <v>62</v>
      </c>
      <c r="E2865" s="4" t="s">
        <v>21603</v>
      </c>
      <c r="F2865" s="4" t="str">
        <f>IFERROR(__XLUDF.DUMMYFUNCTION("PROPER(REGEXREPLACE(D581,""[^A-Za-z]+ "",""""))"),"Tremau")</f>
        <v>Tremau</v>
      </c>
      <c r="G2865" s="4" t="s">
        <v>21604</v>
      </c>
      <c r="H2865" s="4">
        <v>33</v>
      </c>
      <c r="I2865" s="4" t="s">
        <v>2602</v>
      </c>
      <c r="J2865" s="4" t="str">
        <f>IFERROR(__XLUDF.DUMMYFUNCTION("VLOOKUP(H581,IMPORTRANGE(""https://docs.google.com/spreadsheets/d/1opm6ZNvGZ7KditA9TuJwrZ25eFLfTNIkrNnY6mhV5Eg"",""list!A1:C115""),3,TRUE)"),"le secteur de la tech")</f>
        <v xml:space="preserve">le secteur de la tech</v>
      </c>
      <c r="K2865" s="5" t="s">
        <v>21605</v>
      </c>
      <c r="L2865" s="5" t="s">
        <v>21606</v>
      </c>
      <c r="M2865" s="6"/>
      <c r="N2865" s="4" t="s">
        <v>29</v>
      </c>
      <c r="O2865" s="4" t="s">
        <v>67</v>
      </c>
      <c r="P2865" s="4" t="s">
        <v>29</v>
      </c>
      <c r="Q2865" s="4" t="s">
        <v>21607</v>
      </c>
      <c r="R2865" s="6"/>
      <c r="S2865" s="6"/>
      <c r="T2865" s="6"/>
      <c r="U2865" s="6"/>
      <c r="V2865" s="6"/>
      <c r="W2865" s="6"/>
      <c r="X2865" s="6"/>
      <c r="Y2865" s="6"/>
      <c r="Z2865" s="6"/>
      <c r="AA2865" s="6"/>
    </row>
    <row r="2866" ht="14.25">
      <c r="B2866" s="4" t="s">
        <v>18559</v>
      </c>
      <c r="C2866" s="4" t="s">
        <v>21608</v>
      </c>
      <c r="D2866" s="4" t="s">
        <v>164</v>
      </c>
      <c r="E2866" s="4" t="s">
        <v>21609</v>
      </c>
      <c r="F2866" s="4" t="str">
        <f>IFERROR(__XLUDF.DUMMYFUNCTION("PROPER(REGEXREPLACE(D582,""[^A-Za-z]+ "",""""))"),"Agence Adring")</f>
        <v xml:space="preserve">Agence Adring</v>
      </c>
      <c r="G2866" s="4" t="s">
        <v>21610</v>
      </c>
      <c r="H2866" s="4">
        <v>16</v>
      </c>
      <c r="I2866" s="4" t="s">
        <v>9161</v>
      </c>
      <c r="J2866" s="4" t="str">
        <f>IFERROR(__XLUDF.DUMMYFUNCTION("VLOOKUP(H582,IMPORTRANGE(""https://docs.google.com/spreadsheets/d/1opm6ZNvGZ7KditA9TuJwrZ25eFLfTNIkrNnY6mhV5Eg"",""list!A1:C115""),3,TRUE)"),"le secteur du marketing")</f>
        <v xml:space="preserve">le secteur du marketing</v>
      </c>
      <c r="K2866" s="5" t="s">
        <v>21611</v>
      </c>
      <c r="L2866" s="5" t="s">
        <v>21612</v>
      </c>
      <c r="M2866" s="4" t="s">
        <v>1780</v>
      </c>
      <c r="N2866" s="4" t="s">
        <v>29</v>
      </c>
      <c r="O2866" s="4" t="s">
        <v>21613</v>
      </c>
      <c r="P2866" s="4" t="s">
        <v>29</v>
      </c>
      <c r="Q2866" s="4" t="s">
        <v>21614</v>
      </c>
      <c r="R2866" s="6"/>
      <c r="S2866" s="6"/>
      <c r="T2866" s="6"/>
      <c r="U2866" s="6"/>
      <c r="V2866" s="6"/>
      <c r="W2866" s="6"/>
      <c r="X2866" s="6"/>
      <c r="Y2866" s="6"/>
      <c r="Z2866" s="6"/>
      <c r="AA2866" s="6"/>
    </row>
    <row r="2867" ht="14.25">
      <c r="B2867" s="4" t="s">
        <v>255</v>
      </c>
      <c r="C2867" s="4" t="s">
        <v>21615</v>
      </c>
      <c r="D2867" s="4" t="s">
        <v>315</v>
      </c>
      <c r="E2867" s="4" t="s">
        <v>21616</v>
      </c>
      <c r="F2867" s="4" t="str">
        <f>IFERROR(__XLUDF.DUMMYFUNCTION("PROPER(REGEXREPLACE(D583,""[^A-Za-z]+ "",""""))"),"Maps System S.A")</f>
        <v xml:space="preserve">Maps System S.A</v>
      </c>
      <c r="G2867" s="4" t="s">
        <v>21617</v>
      </c>
      <c r="H2867" s="4">
        <v>36</v>
      </c>
      <c r="I2867" s="4" t="s">
        <v>2602</v>
      </c>
      <c r="J2867" s="4" t="str">
        <f>IFERROR(__XLUDF.DUMMYFUNCTION("VLOOKUP(H583,IMPORTRANGE(""https://docs.google.com/spreadsheets/d/1opm6ZNvGZ7KditA9TuJwrZ25eFLfTNIkrNnY6mhV5Eg"",""list!A1:C115""),3,TRUE)"),"le secteur de la tech")</f>
        <v xml:space="preserve">le secteur de la tech</v>
      </c>
      <c r="K2867" s="5" t="s">
        <v>21618</v>
      </c>
      <c r="L2867" s="5" t="s">
        <v>21619</v>
      </c>
      <c r="M2867" s="4" t="s">
        <v>39</v>
      </c>
      <c r="N2867" s="4" t="s">
        <v>29</v>
      </c>
      <c r="O2867" s="4" t="s">
        <v>21620</v>
      </c>
      <c r="P2867" s="4" t="s">
        <v>1094</v>
      </c>
      <c r="Q2867" s="4" t="s">
        <v>21621</v>
      </c>
      <c r="R2867" s="6"/>
      <c r="S2867" s="6"/>
      <c r="T2867" s="6"/>
      <c r="U2867" s="6"/>
      <c r="V2867" s="6"/>
      <c r="W2867" s="6"/>
      <c r="X2867" s="6"/>
      <c r="Y2867" s="6"/>
      <c r="Z2867" s="6"/>
      <c r="AA2867" s="6"/>
    </row>
    <row r="2868" ht="14.25">
      <c r="B2868" s="4" t="s">
        <v>1861</v>
      </c>
      <c r="C2868" s="4" t="s">
        <v>21622</v>
      </c>
      <c r="D2868" s="4" t="s">
        <v>21623</v>
      </c>
      <c r="E2868" s="4" t="s">
        <v>21624</v>
      </c>
      <c r="F2868" s="4" t="str">
        <f>IFERROR(__XLUDF.DUMMYFUNCTION("PROPER(REGEXREPLACE(D584,""[^A-Za-z]+ "",""""))"),"Finasens")</f>
        <v>Finasens</v>
      </c>
      <c r="G2868" s="4" t="s">
        <v>21625</v>
      </c>
      <c r="H2868" s="4">
        <v>30</v>
      </c>
      <c r="I2868" s="4" t="s">
        <v>4067</v>
      </c>
      <c r="J2868" s="4" t="str">
        <f>IFERROR(__XLUDF.DUMMYFUNCTION("VLOOKUP(H584,IMPORTRANGE(""https://docs.google.com/spreadsheets/d/1opm6ZNvGZ7KditA9TuJwrZ25eFLfTNIkrNnY6mhV5Eg"",""list!A1:C115""),3,TRUE)"),"le secteur du conseil en management")</f>
        <v xml:space="preserve">le secteur du conseil en management</v>
      </c>
      <c r="K2868" s="5" t="s">
        <v>21626</v>
      </c>
      <c r="L2868" s="5" t="s">
        <v>21627</v>
      </c>
      <c r="M2868" s="6"/>
      <c r="N2868" s="4" t="s">
        <v>29</v>
      </c>
      <c r="O2868" s="4" t="s">
        <v>546</v>
      </c>
      <c r="P2868" s="4" t="s">
        <v>29</v>
      </c>
      <c r="Q2868" s="6"/>
      <c r="R2868" s="6"/>
      <c r="S2868" s="6"/>
      <c r="T2868" s="6"/>
      <c r="U2868" s="6"/>
      <c r="V2868" s="6"/>
      <c r="W2868" s="6"/>
      <c r="X2868" s="6"/>
      <c r="Y2868" s="6"/>
      <c r="Z2868" s="6"/>
      <c r="AA2868" s="6"/>
    </row>
    <row r="2869" ht="14.25">
      <c r="B2869" s="4" t="s">
        <v>4115</v>
      </c>
      <c r="C2869" s="4" t="s">
        <v>21628</v>
      </c>
      <c r="D2869" s="4" t="s">
        <v>21629</v>
      </c>
      <c r="E2869" s="4" t="s">
        <v>21630</v>
      </c>
      <c r="F2869" s="4" t="str">
        <f>IFERROR(__XLUDF.DUMMYFUNCTION("PROPER(REGEXREPLACE(D585,""[^A-Za-z]+ "",""""))"),"Justai")</f>
        <v>Justai</v>
      </c>
      <c r="G2869" s="4" t="s">
        <v>21631</v>
      </c>
      <c r="H2869" s="4">
        <v>17</v>
      </c>
      <c r="I2869" s="4" t="s">
        <v>2602</v>
      </c>
      <c r="J2869" s="4"/>
      <c r="K2869" s="5" t="s">
        <v>21632</v>
      </c>
      <c r="L2869" s="5" t="s">
        <v>21633</v>
      </c>
      <c r="M2869" s="4" t="s">
        <v>562</v>
      </c>
      <c r="N2869" s="4" t="s">
        <v>29</v>
      </c>
      <c r="O2869" s="4" t="s">
        <v>21634</v>
      </c>
      <c r="P2869" s="4" t="s">
        <v>29</v>
      </c>
      <c r="Q2869" s="4" t="s">
        <v>21635</v>
      </c>
      <c r="R2869" s="6"/>
      <c r="S2869" s="6"/>
      <c r="T2869" s="6"/>
      <c r="U2869" s="6"/>
      <c r="V2869" s="6"/>
      <c r="W2869" s="6"/>
      <c r="X2869" s="6"/>
      <c r="Y2869" s="6"/>
      <c r="Z2869" s="6"/>
      <c r="AA2869" s="6"/>
    </row>
    <row r="2870" ht="14.25">
      <c r="B2870" s="4" t="s">
        <v>76</v>
      </c>
      <c r="C2870" s="4" t="s">
        <v>19356</v>
      </c>
      <c r="D2870" s="4" t="s">
        <v>62</v>
      </c>
      <c r="E2870" s="4" t="s">
        <v>21636</v>
      </c>
      <c r="F2870" s="4" t="str">
        <f>IFERROR(__XLUDF.DUMMYFUNCTION("PROPER(REGEXREPLACE(D586,""[^A-Za-z]+ "",""""))"),"Prodecys")</f>
        <v>Prodecys</v>
      </c>
      <c r="G2870" s="4" t="s">
        <v>21637</v>
      </c>
      <c r="H2870" s="4">
        <v>10</v>
      </c>
      <c r="I2870" s="4" t="s">
        <v>4067</v>
      </c>
      <c r="J2870" s="4" t="str">
        <f>IFERROR(__XLUDF.DUMMYFUNCTION("VLOOKUP(H586,IMPORTRANGE(""https://docs.google.com/spreadsheets/d/1opm6ZNvGZ7KditA9TuJwrZ25eFLfTNIkrNnY6mhV5Eg"",""list!A1:C115""),3,TRUE)"),"le secteur du conseil en management")</f>
        <v xml:space="preserve">le secteur du conseil en management</v>
      </c>
      <c r="K2870" s="5" t="s">
        <v>21638</v>
      </c>
      <c r="L2870" s="5" t="s">
        <v>21639</v>
      </c>
      <c r="M2870" s="4" t="s">
        <v>49</v>
      </c>
      <c r="N2870" s="4" t="s">
        <v>29</v>
      </c>
      <c r="O2870" s="4" t="s">
        <v>21640</v>
      </c>
      <c r="P2870" s="4" t="s">
        <v>29</v>
      </c>
      <c r="Q2870" s="4" t="s">
        <v>21641</v>
      </c>
      <c r="R2870" s="6"/>
      <c r="S2870" s="6"/>
      <c r="T2870" s="6"/>
      <c r="U2870" s="6"/>
      <c r="V2870" s="6"/>
      <c r="W2870" s="6"/>
      <c r="X2870" s="6"/>
      <c r="Y2870" s="6"/>
      <c r="Z2870" s="6"/>
      <c r="AA2870" s="6"/>
    </row>
    <row r="2871" ht="14.25">
      <c r="B2871" s="4" t="s">
        <v>661</v>
      </c>
      <c r="C2871" s="4" t="s">
        <v>21642</v>
      </c>
      <c r="D2871" s="4" t="s">
        <v>21643</v>
      </c>
      <c r="E2871" s="5" t="s">
        <v>21644</v>
      </c>
      <c r="F2871" s="4" t="str">
        <f>IFERROR(__XLUDF.DUMMYFUNCTION("PROPER(REGEXREPLACE(D587,""[^A-Za-z]+ "",""""))"),"Hyppies")</f>
        <v>Hyppies</v>
      </c>
      <c r="G2871" s="4" t="s">
        <v>21645</v>
      </c>
      <c r="H2871" s="4">
        <v>25</v>
      </c>
      <c r="I2871" s="4" t="s">
        <v>18063</v>
      </c>
      <c r="J2871" s="4"/>
      <c r="K2871" s="5" t="s">
        <v>21646</v>
      </c>
      <c r="L2871" s="5" t="s">
        <v>21647</v>
      </c>
      <c r="M2871" s="6"/>
      <c r="N2871" s="4" t="s">
        <v>29</v>
      </c>
      <c r="O2871" s="4" t="s">
        <v>21648</v>
      </c>
      <c r="P2871" s="4" t="s">
        <v>8427</v>
      </c>
      <c r="Q2871" s="6"/>
      <c r="R2871" s="6"/>
      <c r="S2871" s="6"/>
      <c r="T2871" s="6"/>
      <c r="U2871" s="6"/>
      <c r="V2871" s="6"/>
      <c r="W2871" s="6"/>
      <c r="X2871" s="6"/>
      <c r="Y2871" s="6"/>
      <c r="Z2871" s="6"/>
      <c r="AA2871" s="6"/>
    </row>
    <row r="2872" ht="14.25">
      <c r="B2872" s="4" t="s">
        <v>21649</v>
      </c>
      <c r="C2872" s="4" t="s">
        <v>21650</v>
      </c>
      <c r="D2872" s="4" t="s">
        <v>21651</v>
      </c>
      <c r="E2872" s="4" t="s">
        <v>21652</v>
      </c>
      <c r="F2872" s="4" t="str">
        <f>IFERROR(__XLUDF.DUMMYFUNCTION("PROPER(REGEXREPLACE(D588,""[^A-Za-z]+ "",""""))"),"Milestone Advisory")</f>
        <v xml:space="preserve">Milestone Advisory</v>
      </c>
      <c r="G2872" s="4" t="s">
        <v>21653</v>
      </c>
      <c r="H2872" s="4">
        <v>19</v>
      </c>
      <c r="I2872" s="4" t="s">
        <v>4067</v>
      </c>
      <c r="J2872" s="4"/>
      <c r="K2872" s="5" t="s">
        <v>21654</v>
      </c>
      <c r="L2872" s="5" t="s">
        <v>21655</v>
      </c>
      <c r="M2872" s="4" t="s">
        <v>39</v>
      </c>
      <c r="N2872" s="4" t="s">
        <v>29</v>
      </c>
      <c r="O2872" s="4" t="s">
        <v>21656</v>
      </c>
      <c r="P2872" s="4" t="s">
        <v>29</v>
      </c>
      <c r="Q2872" s="4" t="s">
        <v>21657</v>
      </c>
      <c r="R2872" s="6"/>
      <c r="S2872" s="6"/>
      <c r="T2872" s="6"/>
      <c r="U2872" s="6"/>
      <c r="V2872" s="6"/>
      <c r="W2872" s="6"/>
      <c r="X2872" s="6"/>
      <c r="Y2872" s="6"/>
      <c r="Z2872" s="6"/>
      <c r="AA2872" s="6"/>
    </row>
    <row r="2873" ht="14.25">
      <c r="B2873" s="4" t="s">
        <v>785</v>
      </c>
      <c r="C2873" s="4" t="s">
        <v>6489</v>
      </c>
      <c r="D2873" s="4" t="s">
        <v>112</v>
      </c>
      <c r="E2873" s="4" t="s">
        <v>21658</v>
      </c>
      <c r="F2873" s="4" t="str">
        <f>IFERROR(__XLUDF.DUMMYFUNCTION("PROPER(REGEXREPLACE(D589,""[^A-Za-z]+ "",""""))"),"Ardelec-Energie")</f>
        <v>Ardelec-Energie</v>
      </c>
      <c r="G2873" s="4" t="s">
        <v>21659</v>
      </c>
      <c r="H2873" s="4">
        <v>29</v>
      </c>
      <c r="I2873" s="4" t="s">
        <v>10215</v>
      </c>
      <c r="J2873" s="4"/>
      <c r="K2873" s="5" t="s">
        <v>21660</v>
      </c>
      <c r="L2873" s="5" t="s">
        <v>21661</v>
      </c>
      <c r="M2873" s="4" t="s">
        <v>21662</v>
      </c>
      <c r="N2873" s="4" t="s">
        <v>29</v>
      </c>
      <c r="O2873" s="4" t="s">
        <v>21663</v>
      </c>
      <c r="P2873" s="4" t="s">
        <v>29</v>
      </c>
      <c r="Q2873" s="6"/>
      <c r="R2873" s="6"/>
      <c r="S2873" s="6"/>
      <c r="T2873" s="6"/>
      <c r="U2873" s="6"/>
      <c r="V2873" s="6"/>
      <c r="W2873" s="6"/>
      <c r="X2873" s="6"/>
      <c r="Y2873" s="6"/>
      <c r="Z2873" s="6"/>
      <c r="AA2873" s="6"/>
    </row>
    <row r="2874" ht="14.25">
      <c r="B2874" s="4" t="s">
        <v>2516</v>
      </c>
      <c r="C2874" s="4" t="s">
        <v>21664</v>
      </c>
      <c r="D2874" s="4" t="s">
        <v>112</v>
      </c>
      <c r="E2874" s="4" t="s">
        <v>21665</v>
      </c>
      <c r="F2874" s="4" t="str">
        <f>IFERROR(__XLUDF.DUMMYFUNCTION("PROPER(REGEXREPLACE(D590,""[^A-Za-z]+ "",""""))"),"Philaë")</f>
        <v>Philaë</v>
      </c>
      <c r="G2874" s="4" t="s">
        <v>21666</v>
      </c>
      <c r="H2874" s="4">
        <v>10</v>
      </c>
      <c r="I2874" s="4" t="s">
        <v>2602</v>
      </c>
      <c r="J2874" s="4"/>
      <c r="K2874" s="5" t="s">
        <v>21667</v>
      </c>
      <c r="L2874" s="5" t="s">
        <v>21668</v>
      </c>
      <c r="M2874" s="4" t="s">
        <v>11344</v>
      </c>
      <c r="N2874" s="4" t="s">
        <v>29</v>
      </c>
      <c r="O2874" s="4" t="s">
        <v>21669</v>
      </c>
      <c r="P2874" s="4" t="s">
        <v>29</v>
      </c>
      <c r="Q2874" s="6"/>
      <c r="R2874" s="6"/>
      <c r="S2874" s="6"/>
      <c r="T2874" s="6"/>
      <c r="U2874" s="6"/>
      <c r="V2874" s="6"/>
      <c r="W2874" s="6"/>
      <c r="X2874" s="6"/>
      <c r="Y2874" s="6"/>
      <c r="Z2874" s="6"/>
      <c r="AA2874" s="6"/>
    </row>
    <row r="2875" ht="14.25">
      <c r="B2875" s="4" t="s">
        <v>298</v>
      </c>
      <c r="C2875" s="4" t="s">
        <v>21670</v>
      </c>
      <c r="D2875" s="4" t="s">
        <v>21671</v>
      </c>
      <c r="E2875" s="4" t="s">
        <v>21672</v>
      </c>
      <c r="F2875" s="4" t="str">
        <f>IFERROR(__XLUDF.DUMMYFUNCTION("PROPER(REGEXREPLACE(D591,""[^A-Za-z]+ "",""""))"),"Black Winch")</f>
        <v xml:space="preserve">Black Winch</v>
      </c>
      <c r="G2875" s="4" t="s">
        <v>21673</v>
      </c>
      <c r="H2875" s="4">
        <v>21</v>
      </c>
      <c r="I2875" s="4" t="s">
        <v>4067</v>
      </c>
      <c r="J2875" s="4" t="str">
        <f>IFERROR(__XLUDF.DUMMYFUNCTION("VLOOKUP(H591,IMPORTRANGE(""https://docs.google.com/spreadsheets/d/1opm6ZNvGZ7KditA9TuJwrZ25eFLfTNIkrNnY6mhV5Eg"",""list!A1:C115""),3,TRUE)"),"le secteur du conseil en management")</f>
        <v xml:space="preserve">le secteur du conseil en management</v>
      </c>
      <c r="K2875" s="5" t="s">
        <v>21674</v>
      </c>
      <c r="L2875" s="5" t="s">
        <v>21675</v>
      </c>
      <c r="M2875" s="4" t="s">
        <v>39</v>
      </c>
      <c r="N2875" s="4" t="s">
        <v>29</v>
      </c>
      <c r="O2875" s="4" t="s">
        <v>21676</v>
      </c>
      <c r="P2875" s="4" t="s">
        <v>4318</v>
      </c>
      <c r="Q2875" s="4" t="s">
        <v>21677</v>
      </c>
      <c r="R2875" s="6"/>
      <c r="S2875" s="6"/>
      <c r="T2875" s="6"/>
      <c r="U2875" s="6"/>
      <c r="V2875" s="6"/>
      <c r="W2875" s="6"/>
      <c r="X2875" s="6"/>
      <c r="Y2875" s="6"/>
      <c r="Z2875" s="6"/>
      <c r="AA2875" s="6"/>
    </row>
    <row r="2876" ht="14.25">
      <c r="B2876" s="4" t="s">
        <v>785</v>
      </c>
      <c r="C2876" s="4" t="s">
        <v>21678</v>
      </c>
      <c r="D2876" s="4" t="s">
        <v>4660</v>
      </c>
      <c r="E2876" s="4" t="s">
        <v>21679</v>
      </c>
      <c r="F2876" s="4" t="str">
        <f>IFERROR(__XLUDF.DUMMYFUNCTION("PROPER(REGEXREPLACE(D592,""[^A-Za-z]+ "",""""))"),"Neofin Advisory")</f>
        <v xml:space="preserve">Neofin Advisory</v>
      </c>
      <c r="G2876" s="4" t="s">
        <v>21680</v>
      </c>
      <c r="H2876" s="4">
        <v>13</v>
      </c>
      <c r="I2876" s="4" t="s">
        <v>4067</v>
      </c>
      <c r="J2876" s="4"/>
      <c r="K2876" s="5" t="s">
        <v>21681</v>
      </c>
      <c r="L2876" s="5" t="s">
        <v>21682</v>
      </c>
      <c r="M2876" s="4" t="s">
        <v>39</v>
      </c>
      <c r="N2876" s="4" t="s">
        <v>29</v>
      </c>
      <c r="O2876" s="4" t="s">
        <v>21683</v>
      </c>
      <c r="P2876" s="4" t="s">
        <v>1548</v>
      </c>
      <c r="Q2876" s="4" t="s">
        <v>21684</v>
      </c>
      <c r="R2876" s="6"/>
      <c r="S2876" s="6"/>
      <c r="T2876" s="6"/>
      <c r="U2876" s="6"/>
      <c r="V2876" s="6"/>
      <c r="W2876" s="6"/>
      <c r="X2876" s="6"/>
      <c r="Y2876" s="6"/>
      <c r="Z2876" s="6"/>
      <c r="AA2876" s="6"/>
    </row>
    <row r="2877" ht="14.25">
      <c r="B2877" s="4" t="s">
        <v>2409</v>
      </c>
      <c r="C2877" s="4" t="s">
        <v>21685</v>
      </c>
      <c r="D2877" s="4" t="s">
        <v>460</v>
      </c>
      <c r="E2877" s="4" t="s">
        <v>21686</v>
      </c>
      <c r="F2877" s="4" t="str">
        <f>IFERROR(__XLUDF.DUMMYFUNCTION("PROPER(REGEXREPLACE(D593,""[^A-Za-z]+ "",""""))"),"Inflight Sales Group")</f>
        <v xml:space="preserve">Inflight Sales Group</v>
      </c>
      <c r="G2877" s="4" t="s">
        <v>21687</v>
      </c>
      <c r="H2877" s="4">
        <v>19</v>
      </c>
      <c r="I2877" s="4" t="s">
        <v>4525</v>
      </c>
      <c r="J2877" s="4"/>
      <c r="K2877" s="5" t="s">
        <v>21688</v>
      </c>
      <c r="L2877" s="5" t="s">
        <v>21689</v>
      </c>
      <c r="M2877" s="4" t="s">
        <v>39</v>
      </c>
      <c r="N2877" s="4" t="s">
        <v>29</v>
      </c>
      <c r="O2877" s="4" t="s">
        <v>21690</v>
      </c>
      <c r="P2877" s="4" t="s">
        <v>21691</v>
      </c>
      <c r="Q2877" s="6"/>
      <c r="R2877" s="6"/>
      <c r="S2877" s="6"/>
      <c r="T2877" s="6"/>
      <c r="U2877" s="6"/>
      <c r="V2877" s="6"/>
      <c r="W2877" s="6"/>
      <c r="X2877" s="6"/>
      <c r="Y2877" s="6"/>
      <c r="Z2877" s="6"/>
      <c r="AA2877" s="6"/>
    </row>
    <row r="2878" ht="14.25">
      <c r="B2878" s="4" t="s">
        <v>21692</v>
      </c>
      <c r="C2878" s="4" t="s">
        <v>21693</v>
      </c>
      <c r="D2878" s="4" t="s">
        <v>5003</v>
      </c>
      <c r="E2878" s="4" t="s">
        <v>21694</v>
      </c>
      <c r="F2878" s="4" t="str">
        <f>IFERROR(__XLUDF.DUMMYFUNCTION("PROPER(REGEXREPLACE(D594,""[^A-Za-z]+ "",""""))"),"Les Couleurs Du Numérique")</f>
        <v xml:space="preserve">Les Couleurs Du Numérique</v>
      </c>
      <c r="G2878" s="4" t="s">
        <v>21695</v>
      </c>
      <c r="H2878" s="4">
        <v>10</v>
      </c>
      <c r="I2878" s="4" t="s">
        <v>2602</v>
      </c>
      <c r="J2878" s="4" t="str">
        <f>IFERROR(__XLUDF.DUMMYFUNCTION("VLOOKUP(H594,IMPORTRANGE(""https://docs.google.com/spreadsheets/d/1opm6ZNvGZ7KditA9TuJwrZ25eFLfTNIkrNnY6mhV5Eg"",""list!A1:C115""),3,TRUE)"),"le secteur de la tech")</f>
        <v xml:space="preserve">le secteur de la tech</v>
      </c>
      <c r="K2878" s="5" t="s">
        <v>21696</v>
      </c>
      <c r="L2878" s="5" t="s">
        <v>21697</v>
      </c>
      <c r="M2878" s="4" t="s">
        <v>21493</v>
      </c>
      <c r="N2878" s="4" t="s">
        <v>29</v>
      </c>
      <c r="O2878" s="4" t="s">
        <v>21698</v>
      </c>
      <c r="P2878" s="4" t="s">
        <v>29</v>
      </c>
      <c r="Q2878" s="6"/>
      <c r="R2878" s="6"/>
      <c r="S2878" s="6"/>
      <c r="T2878" s="6"/>
      <c r="U2878" s="6"/>
      <c r="V2878" s="6"/>
      <c r="W2878" s="6"/>
      <c r="X2878" s="6"/>
      <c r="Y2878" s="6"/>
      <c r="Z2878" s="6"/>
      <c r="AA2878" s="6"/>
    </row>
    <row r="2879" ht="14.25">
      <c r="B2879" s="4" t="s">
        <v>110</v>
      </c>
      <c r="C2879" s="4" t="s">
        <v>21699</v>
      </c>
      <c r="D2879" s="4" t="s">
        <v>672</v>
      </c>
      <c r="E2879" s="4" t="s">
        <v>21700</v>
      </c>
      <c r="F2879" s="4" t="str">
        <f>IFERROR(__XLUDF.DUMMYFUNCTION("PROPER(REGEXREPLACE(D595,""[^A-Za-z]+ "",""""))"),"Kabaun")</f>
        <v>Kabaun</v>
      </c>
      <c r="G2879" s="4" t="s">
        <v>21701</v>
      </c>
      <c r="H2879" s="4">
        <v>12</v>
      </c>
      <c r="I2879" s="4" t="s">
        <v>2602</v>
      </c>
      <c r="J2879" s="4" t="str">
        <f>IFERROR(__XLUDF.DUMMYFUNCTION("VLOOKUP(H595,IMPORTRANGE(""https://docs.google.com/spreadsheets/d/1opm6ZNvGZ7KditA9TuJwrZ25eFLfTNIkrNnY6mhV5Eg"",""list!A1:C115""),3,TRUE)"),"le secteur de la tech")</f>
        <v xml:space="preserve">le secteur de la tech</v>
      </c>
      <c r="K2879" s="5" t="s">
        <v>21702</v>
      </c>
      <c r="L2879" s="5" t="s">
        <v>21703</v>
      </c>
      <c r="M2879" s="4" t="s">
        <v>39</v>
      </c>
      <c r="N2879" s="4" t="s">
        <v>29</v>
      </c>
      <c r="O2879" s="4" t="s">
        <v>21704</v>
      </c>
      <c r="P2879" s="4" t="s">
        <v>29</v>
      </c>
      <c r="Q2879" s="4" t="s">
        <v>21705</v>
      </c>
      <c r="R2879" s="6"/>
      <c r="S2879" s="6"/>
      <c r="T2879" s="6"/>
      <c r="U2879" s="6"/>
      <c r="V2879" s="6"/>
      <c r="W2879" s="6"/>
      <c r="X2879" s="6"/>
      <c r="Y2879" s="6"/>
      <c r="Z2879" s="6"/>
      <c r="AA2879" s="6"/>
    </row>
    <row r="2880" ht="14.25">
      <c r="B2880" s="4" t="s">
        <v>5001</v>
      </c>
      <c r="C2880" s="4" t="s">
        <v>21706</v>
      </c>
      <c r="D2880" s="4" t="s">
        <v>21707</v>
      </c>
      <c r="E2880" s="4" t="s">
        <v>21708</v>
      </c>
      <c r="F2880" s="4" t="str">
        <f>IFERROR(__XLUDF.DUMMYFUNCTION("PROPER(REGEXREPLACE(D596,""[^A-Za-z]+ "",""""))"),"Wudo")</f>
        <v>Wudo</v>
      </c>
      <c r="G2880" s="4" t="s">
        <v>21709</v>
      </c>
      <c r="H2880" s="4">
        <v>15</v>
      </c>
      <c r="I2880" s="4" t="s">
        <v>2602</v>
      </c>
      <c r="J2880" s="4" t="str">
        <f>IFERROR(__XLUDF.DUMMYFUNCTION("VLOOKUP(H596,IMPORTRANGE(""https://docs.google.com/spreadsheets/d/1opm6ZNvGZ7KditA9TuJwrZ25eFLfTNIkrNnY6mhV5Eg"",""list!A1:C115""),3,TRUE)"),"le secteur de la tech")</f>
        <v xml:space="preserve">le secteur de la tech</v>
      </c>
      <c r="K2880" s="5" t="s">
        <v>21710</v>
      </c>
      <c r="L2880" s="5" t="s">
        <v>21711</v>
      </c>
      <c r="M2880" s="4" t="s">
        <v>7883</v>
      </c>
      <c r="N2880" s="4" t="s">
        <v>29</v>
      </c>
      <c r="O2880" s="4" t="s">
        <v>21712</v>
      </c>
      <c r="P2880" s="4" t="s">
        <v>29</v>
      </c>
      <c r="Q2880" s="4" t="s">
        <v>21713</v>
      </c>
      <c r="R2880" s="6"/>
      <c r="S2880" s="6"/>
      <c r="T2880" s="6"/>
      <c r="U2880" s="6"/>
      <c r="V2880" s="6"/>
      <c r="W2880" s="6"/>
      <c r="X2880" s="6"/>
      <c r="Y2880" s="6"/>
      <c r="Z2880" s="6"/>
      <c r="AA2880" s="6"/>
    </row>
    <row r="2881" ht="14.25">
      <c r="B2881" s="4" t="s">
        <v>5029</v>
      </c>
      <c r="C2881" s="4" t="s">
        <v>17948</v>
      </c>
      <c r="D2881" s="4" t="s">
        <v>18987</v>
      </c>
      <c r="E2881" s="4" t="s">
        <v>21714</v>
      </c>
      <c r="F2881" s="4" t="str">
        <f>IFERROR(__XLUDF.DUMMYFUNCTION("PROPER(REGEXREPLACE(D597,""[^A-Za-z]+ "",""""))"),"Skaalab")</f>
        <v>Skaalab</v>
      </c>
      <c r="G2881" s="4" t="s">
        <v>21715</v>
      </c>
      <c r="H2881" s="4">
        <v>18</v>
      </c>
      <c r="I2881" s="4" t="s">
        <v>2602</v>
      </c>
      <c r="J2881" s="4" t="str">
        <f>IFERROR(__XLUDF.DUMMYFUNCTION("VLOOKUP(H597,IMPORTRANGE(""https://docs.google.com/spreadsheets/d/1opm6ZNvGZ7KditA9TuJwrZ25eFLfTNIkrNnY6mhV5Eg"",""list!A1:C115""),3,TRUE)"),"le secteur de la tech")</f>
        <v xml:space="preserve">le secteur de la tech</v>
      </c>
      <c r="K2881" s="5" t="s">
        <v>21716</v>
      </c>
      <c r="L2881" s="5" t="s">
        <v>21717</v>
      </c>
      <c r="M2881" s="4" t="s">
        <v>39</v>
      </c>
      <c r="N2881" s="4" t="s">
        <v>29</v>
      </c>
      <c r="O2881" s="4" t="s">
        <v>21718</v>
      </c>
      <c r="P2881" s="4" t="s">
        <v>29</v>
      </c>
      <c r="Q2881" s="4" t="s">
        <v>21719</v>
      </c>
      <c r="R2881" s="6"/>
      <c r="S2881" s="6"/>
      <c r="T2881" s="6"/>
      <c r="U2881" s="6"/>
      <c r="V2881" s="6"/>
      <c r="W2881" s="6"/>
      <c r="X2881" s="6"/>
      <c r="Y2881" s="6"/>
      <c r="Z2881" s="6"/>
      <c r="AA2881" s="6"/>
    </row>
    <row r="2882" ht="14.25">
      <c r="B2882" s="4" t="s">
        <v>2303</v>
      </c>
      <c r="C2882" s="4" t="s">
        <v>21720</v>
      </c>
      <c r="D2882" s="4" t="s">
        <v>164</v>
      </c>
      <c r="E2882" s="4" t="s">
        <v>21721</v>
      </c>
      <c r="F2882" s="4" t="str">
        <f>IFERROR(__XLUDF.DUMMYFUNCTION("PROPER(REGEXREPLACE(D598,""[^A-Za-z]+ "",""""))"),"Distel Sas")</f>
        <v xml:space="preserve">Distel Sas</v>
      </c>
      <c r="G2882" s="4" t="s">
        <v>21722</v>
      </c>
      <c r="H2882" s="4">
        <v>47</v>
      </c>
      <c r="I2882" s="4" t="s">
        <v>4525</v>
      </c>
      <c r="J2882" s="4"/>
      <c r="K2882" s="5" t="s">
        <v>21723</v>
      </c>
      <c r="L2882" s="5" t="s">
        <v>21724</v>
      </c>
      <c r="M2882" s="4" t="s">
        <v>1460</v>
      </c>
      <c r="N2882" s="4" t="s">
        <v>29</v>
      </c>
      <c r="O2882" s="4" t="s">
        <v>21725</v>
      </c>
      <c r="P2882" s="4" t="s">
        <v>29</v>
      </c>
      <c r="Q2882" s="4" t="s">
        <v>21726</v>
      </c>
      <c r="R2882" s="6"/>
      <c r="S2882" s="6"/>
      <c r="T2882" s="6"/>
      <c r="U2882" s="6"/>
      <c r="V2882" s="6"/>
      <c r="W2882" s="6"/>
      <c r="X2882" s="6"/>
      <c r="Y2882" s="6"/>
      <c r="Z2882" s="6"/>
      <c r="AA2882" s="6"/>
    </row>
    <row r="2883" ht="14.25">
      <c r="B2883" s="4" t="s">
        <v>322</v>
      </c>
      <c r="C2883" s="4" t="s">
        <v>21727</v>
      </c>
      <c r="D2883" s="4" t="s">
        <v>21728</v>
      </c>
      <c r="E2883" s="4" t="s">
        <v>20964</v>
      </c>
      <c r="F2883" s="4" t="str">
        <f>IFERROR(__XLUDF.DUMMYFUNCTION("PROPER(REGEXREPLACE(D599,""[^A-Za-z]+ "",""""))"),"Echoline")</f>
        <v>Echoline</v>
      </c>
      <c r="G2883" s="4" t="s">
        <v>21729</v>
      </c>
      <c r="H2883" s="4">
        <v>16</v>
      </c>
      <c r="I2883" s="4" t="s">
        <v>2602</v>
      </c>
      <c r="J2883" s="4"/>
      <c r="K2883" s="5" t="s">
        <v>21730</v>
      </c>
      <c r="L2883" s="5" t="s">
        <v>20967</v>
      </c>
      <c r="M2883" s="4" t="s">
        <v>39</v>
      </c>
      <c r="N2883" s="4" t="s">
        <v>29</v>
      </c>
      <c r="O2883" s="4" t="s">
        <v>20968</v>
      </c>
      <c r="P2883" s="4" t="s">
        <v>29</v>
      </c>
      <c r="Q2883" s="4" t="s">
        <v>20969</v>
      </c>
      <c r="R2883" s="6"/>
      <c r="S2883" s="6"/>
      <c r="T2883" s="6"/>
      <c r="U2883" s="6"/>
      <c r="V2883" s="6"/>
      <c r="W2883" s="6"/>
      <c r="X2883" s="6"/>
      <c r="Y2883" s="6"/>
      <c r="Z2883" s="6"/>
      <c r="AA2883" s="6"/>
    </row>
    <row r="2884" ht="14.25">
      <c r="B2884" s="4" t="s">
        <v>20</v>
      </c>
      <c r="C2884" s="4" t="s">
        <v>21731</v>
      </c>
      <c r="D2884" s="4" t="s">
        <v>15197</v>
      </c>
      <c r="E2884" s="4" t="s">
        <v>21732</v>
      </c>
      <c r="F2884" s="4" t="str">
        <f>IFERROR(__XLUDF.DUMMYFUNCTION("PROPER(REGEXREPLACE(D600,""[^A-Za-z]+ "",""""))"),"Ateneos Conseil")</f>
        <v xml:space="preserve">Ateneos Conseil</v>
      </c>
      <c r="G2884" s="4" t="s">
        <v>21733</v>
      </c>
      <c r="H2884" s="4">
        <v>10</v>
      </c>
      <c r="I2884" s="4" t="s">
        <v>4067</v>
      </c>
      <c r="J2884" s="4" t="str">
        <f>IFERROR(__XLUDF.DUMMYFUNCTION("VLOOKUP(H600,IMPORTRANGE(""https://docs.google.com/spreadsheets/d/1opm6ZNvGZ7KditA9TuJwrZ25eFLfTNIkrNnY6mhV5Eg"",""list!A1:C115""),3,TRUE)"),"le secteur du conseil en management")</f>
        <v xml:space="preserve">le secteur du conseil en management</v>
      </c>
      <c r="K2884" s="5" t="s">
        <v>21734</v>
      </c>
      <c r="L2884" s="5" t="s">
        <v>21735</v>
      </c>
      <c r="M2884" s="4" t="s">
        <v>39</v>
      </c>
      <c r="N2884" s="4" t="s">
        <v>29</v>
      </c>
      <c r="O2884" s="4" t="s">
        <v>21736</v>
      </c>
      <c r="P2884" s="4" t="s">
        <v>29</v>
      </c>
      <c r="Q2884" s="4" t="s">
        <v>21737</v>
      </c>
      <c r="R2884" s="6"/>
      <c r="S2884" s="6"/>
      <c r="T2884" s="6"/>
      <c r="U2884" s="6"/>
      <c r="V2884" s="6"/>
      <c r="W2884" s="6"/>
      <c r="X2884" s="6"/>
      <c r="Y2884" s="6"/>
      <c r="Z2884" s="6"/>
      <c r="AA2884" s="6"/>
    </row>
    <row r="2885" ht="14.25">
      <c r="B2885" s="4" t="s">
        <v>21738</v>
      </c>
      <c r="C2885" s="4" t="s">
        <v>4298</v>
      </c>
      <c r="D2885" s="4" t="s">
        <v>172</v>
      </c>
      <c r="E2885" s="4" t="s">
        <v>21739</v>
      </c>
      <c r="F2885" s="4" t="str">
        <f>IFERROR(__XLUDF.DUMMYFUNCTION("PROPER(REGEXREPLACE(D601,""[^A-Za-z]+ "",""""))"),"Hotel Project Management Hpm")</f>
        <v xml:space="preserve">Hotel Project Management Hpm</v>
      </c>
      <c r="G2885" s="4" t="s">
        <v>21740</v>
      </c>
      <c r="H2885" s="4">
        <v>24</v>
      </c>
      <c r="I2885" s="4" t="s">
        <v>4293</v>
      </c>
      <c r="J2885" s="4" t="str">
        <f>IFERROR(__XLUDF.DUMMYFUNCTION("VLOOKUP(H601,IMPORTRANGE(""https://docs.google.com/spreadsheets/d/1opm6ZNvGZ7KditA9TuJwrZ25eFLfTNIkrNnY6mhV5Eg"",""list!A1:C115""),3,TRUE)"),"le secteur de l'immobilier")</f>
        <v xml:space="preserve">le secteur de l'immobilier</v>
      </c>
      <c r="K2885" s="5" t="s">
        <v>21741</v>
      </c>
      <c r="L2885" s="5" t="s">
        <v>21742</v>
      </c>
      <c r="M2885" s="4" t="s">
        <v>39</v>
      </c>
      <c r="N2885" s="4" t="s">
        <v>29</v>
      </c>
      <c r="O2885" s="4" t="s">
        <v>21743</v>
      </c>
      <c r="P2885" s="4" t="s">
        <v>29</v>
      </c>
      <c r="Q2885" s="6"/>
      <c r="R2885" s="6"/>
      <c r="S2885" s="6"/>
      <c r="T2885" s="6"/>
      <c r="U2885" s="6"/>
      <c r="V2885" s="6"/>
      <c r="W2885" s="6"/>
      <c r="X2885" s="6"/>
      <c r="Y2885" s="6"/>
      <c r="Z2885" s="6"/>
      <c r="AA2885" s="6"/>
    </row>
    <row r="2886" ht="14.25">
      <c r="B2886" s="4" t="s">
        <v>21744</v>
      </c>
      <c r="C2886" s="4" t="s">
        <v>5306</v>
      </c>
      <c r="D2886" s="4" t="s">
        <v>21745</v>
      </c>
      <c r="E2886" s="4" t="s">
        <v>21746</v>
      </c>
      <c r="F2886" s="4" t="str">
        <f>IFERROR(__XLUDF.DUMMYFUNCTION("PROPER(REGEXREPLACE(D602,""[^A-Za-z]+ "",""""))"),"Agilicom")</f>
        <v>Agilicom</v>
      </c>
      <c r="G2886" s="4" t="s">
        <v>21747</v>
      </c>
      <c r="H2886" s="4">
        <v>35</v>
      </c>
      <c r="I2886" s="4" t="s">
        <v>4067</v>
      </c>
      <c r="J2886" s="4"/>
      <c r="K2886" s="5" t="s">
        <v>21748</v>
      </c>
      <c r="L2886" s="5" t="s">
        <v>21749</v>
      </c>
      <c r="M2886" s="4" t="s">
        <v>3898</v>
      </c>
      <c r="N2886" s="4" t="s">
        <v>29</v>
      </c>
      <c r="O2886" s="4" t="s">
        <v>21750</v>
      </c>
      <c r="P2886" s="4" t="s">
        <v>29</v>
      </c>
      <c r="Q2886" s="4" t="s">
        <v>21751</v>
      </c>
      <c r="R2886" s="6"/>
      <c r="S2886" s="6"/>
      <c r="T2886" s="6"/>
      <c r="U2886" s="6"/>
      <c r="V2886" s="6"/>
      <c r="W2886" s="6"/>
      <c r="X2886" s="6"/>
      <c r="Y2886" s="6"/>
      <c r="Z2886" s="6"/>
      <c r="AA2886" s="6"/>
    </row>
    <row r="2887" ht="14.25">
      <c r="B2887" s="4" t="s">
        <v>2419</v>
      </c>
      <c r="C2887" s="4" t="s">
        <v>21752</v>
      </c>
      <c r="D2887" s="4" t="s">
        <v>426</v>
      </c>
      <c r="E2887" s="4" t="s">
        <v>21753</v>
      </c>
      <c r="F2887" s="4" t="str">
        <f>IFERROR(__XLUDF.DUMMYFUNCTION("PROPER(REGEXREPLACE(D603,""[^A-Za-z]+ "",""""))"),"Procadres International")</f>
        <v xml:space="preserve">Procadres International</v>
      </c>
      <c r="G2887" s="4" t="s">
        <v>21754</v>
      </c>
      <c r="H2887" s="4">
        <v>37</v>
      </c>
      <c r="I2887" s="4" t="s">
        <v>4067</v>
      </c>
      <c r="J2887" s="4" t="str">
        <f>IFERROR(__XLUDF.DUMMYFUNCTION("VLOOKUP(H603,IMPORTRANGE(""https://docs.google.com/spreadsheets/d/1opm6ZNvGZ7KditA9TuJwrZ25eFLfTNIkrNnY6mhV5Eg"",""list!A1:C115""),3,TRUE)"),"le secteur du conseil en management")</f>
        <v xml:space="preserve">le secteur du conseil en management</v>
      </c>
      <c r="K2887" s="5" t="s">
        <v>21755</v>
      </c>
      <c r="L2887" s="5" t="s">
        <v>21756</v>
      </c>
      <c r="M2887" s="6"/>
      <c r="N2887" s="4" t="s">
        <v>29</v>
      </c>
      <c r="O2887" s="4" t="s">
        <v>21757</v>
      </c>
      <c r="P2887" s="4" t="s">
        <v>29</v>
      </c>
      <c r="Q2887" s="4" t="s">
        <v>21758</v>
      </c>
      <c r="R2887" s="6"/>
      <c r="S2887" s="6"/>
      <c r="T2887" s="6"/>
      <c r="U2887" s="6"/>
      <c r="V2887" s="6"/>
      <c r="W2887" s="6"/>
      <c r="X2887" s="6"/>
      <c r="Y2887" s="6"/>
      <c r="Z2887" s="6"/>
      <c r="AA2887" s="6"/>
    </row>
    <row r="2888" ht="14.25">
      <c r="B2888" s="4" t="s">
        <v>15818</v>
      </c>
      <c r="C2888" s="4" t="s">
        <v>21759</v>
      </c>
      <c r="D2888" s="4" t="s">
        <v>87</v>
      </c>
      <c r="E2888" s="4" t="s">
        <v>21760</v>
      </c>
      <c r="F2888" s="4" t="str">
        <f>IFERROR(__XLUDF.DUMMYFUNCTION("PROPER(REGEXREPLACE(D604,""[^A-Za-z]+ "",""""))"),"Waapi")</f>
        <v>Waapi</v>
      </c>
      <c r="G2888" s="4" t="s">
        <v>21761</v>
      </c>
      <c r="H2888" s="4">
        <v>14</v>
      </c>
      <c r="I2888" s="4" t="s">
        <v>2602</v>
      </c>
      <c r="J2888" s="4"/>
      <c r="K2888" s="5" t="s">
        <v>21762</v>
      </c>
      <c r="L2888" s="5" t="s">
        <v>21763</v>
      </c>
      <c r="M2888" s="4" t="s">
        <v>39</v>
      </c>
      <c r="N2888" s="4" t="s">
        <v>29</v>
      </c>
      <c r="O2888" s="4" t="s">
        <v>21764</v>
      </c>
      <c r="P2888" s="4" t="s">
        <v>29</v>
      </c>
      <c r="Q2888" s="6"/>
      <c r="R2888" s="6"/>
      <c r="S2888" s="6"/>
      <c r="T2888" s="6"/>
      <c r="U2888" s="6"/>
      <c r="V2888" s="6"/>
      <c r="W2888" s="6"/>
      <c r="X2888" s="6"/>
      <c r="Y2888" s="6"/>
      <c r="Z2888" s="6"/>
      <c r="AA2888" s="6"/>
    </row>
    <row r="2889" ht="14.25">
      <c r="B2889" s="4" t="s">
        <v>622</v>
      </c>
      <c r="C2889" s="4" t="s">
        <v>21765</v>
      </c>
      <c r="D2889" s="4" t="s">
        <v>2266</v>
      </c>
      <c r="E2889" s="4" t="s">
        <v>21766</v>
      </c>
      <c r="F2889" s="4" t="str">
        <f>IFERROR(__XLUDF.DUMMYFUNCTION("PROPER(REGEXREPLACE(D605,""[^A-Za-z]+ "",""""))"),"Darwin X")</f>
        <v xml:space="preserve">Darwin X</v>
      </c>
      <c r="G2889" s="4" t="s">
        <v>21767</v>
      </c>
      <c r="H2889" s="4">
        <v>18</v>
      </c>
      <c r="I2889" s="4" t="s">
        <v>4067</v>
      </c>
      <c r="J2889" s="4"/>
      <c r="K2889" s="5" t="s">
        <v>21768</v>
      </c>
      <c r="L2889" s="5" t="s">
        <v>21769</v>
      </c>
      <c r="M2889" s="6"/>
      <c r="N2889" s="4" t="s">
        <v>29</v>
      </c>
      <c r="O2889" s="4" t="s">
        <v>67</v>
      </c>
      <c r="P2889" s="4" t="s">
        <v>29</v>
      </c>
      <c r="Q2889" s="4" t="s">
        <v>21770</v>
      </c>
      <c r="R2889" s="6"/>
      <c r="S2889" s="6"/>
      <c r="T2889" s="6"/>
      <c r="U2889" s="6"/>
      <c r="V2889" s="6"/>
      <c r="W2889" s="6"/>
      <c r="X2889" s="6"/>
      <c r="Y2889" s="6"/>
      <c r="Z2889" s="6"/>
      <c r="AA2889" s="6"/>
    </row>
    <row r="2890" ht="14.25">
      <c r="B2890" s="4" t="s">
        <v>6356</v>
      </c>
      <c r="C2890" s="4" t="s">
        <v>16833</v>
      </c>
      <c r="D2890" s="4" t="s">
        <v>247</v>
      </c>
      <c r="E2890" s="4" t="s">
        <v>21771</v>
      </c>
      <c r="F2890" s="4" t="str">
        <f>IFERROR(__XLUDF.DUMMYFUNCTION("PROPER(REGEXREPLACE(D606,""[^A-Za-z]+ "",""""))"),"Digimobee")</f>
        <v>Digimobee</v>
      </c>
      <c r="G2890" s="4" t="s">
        <v>21772</v>
      </c>
      <c r="H2890" s="4">
        <v>13</v>
      </c>
      <c r="I2890" s="4" t="s">
        <v>2602</v>
      </c>
      <c r="J2890" s="4" t="str">
        <f>IFERROR(__XLUDF.DUMMYFUNCTION("VLOOKUP(H606,IMPORTRANGE(""https://docs.google.com/spreadsheets/d/1opm6ZNvGZ7KditA9TuJwrZ25eFLfTNIkrNnY6mhV5Eg"",""list!A1:C115""),3,TRUE)"),"le secteur de la tech")</f>
        <v xml:space="preserve">le secteur de la tech</v>
      </c>
      <c r="K2890" s="5" t="s">
        <v>21773</v>
      </c>
      <c r="L2890" s="5" t="s">
        <v>21774</v>
      </c>
      <c r="M2890" s="4" t="s">
        <v>39</v>
      </c>
      <c r="N2890" s="4" t="s">
        <v>29</v>
      </c>
      <c r="O2890" s="4" t="s">
        <v>21775</v>
      </c>
      <c r="P2890" s="4" t="s">
        <v>29</v>
      </c>
      <c r="Q2890" s="6"/>
      <c r="R2890" s="6"/>
      <c r="S2890" s="6"/>
      <c r="T2890" s="6"/>
      <c r="U2890" s="6"/>
      <c r="V2890" s="6"/>
      <c r="W2890" s="6"/>
      <c r="X2890" s="6"/>
      <c r="Y2890" s="6"/>
      <c r="Z2890" s="6"/>
      <c r="AA2890" s="6"/>
    </row>
    <row r="2891" ht="14.25">
      <c r="B2891" s="4" t="s">
        <v>10945</v>
      </c>
      <c r="C2891" s="4" t="s">
        <v>21776</v>
      </c>
      <c r="D2891" s="4" t="s">
        <v>21777</v>
      </c>
      <c r="E2891" s="4" t="s">
        <v>21778</v>
      </c>
      <c r="F2891" s="4" t="str">
        <f>IFERROR(__XLUDF.DUMMYFUNCTION("PROPER(REGEXREPLACE(D607,""[^A-Za-z]+ "",""""))"),"Noop")</f>
        <v>Noop</v>
      </c>
      <c r="G2891" s="4" t="s">
        <v>21779</v>
      </c>
      <c r="H2891" s="4">
        <v>9</v>
      </c>
      <c r="I2891" s="4" t="s">
        <v>2602</v>
      </c>
      <c r="J2891" s="4"/>
      <c r="K2891" s="5" t="s">
        <v>21780</v>
      </c>
      <c r="L2891" s="5" t="s">
        <v>21781</v>
      </c>
      <c r="M2891" s="4" t="s">
        <v>39</v>
      </c>
      <c r="N2891" s="4" t="s">
        <v>29</v>
      </c>
      <c r="O2891" s="4" t="s">
        <v>21782</v>
      </c>
      <c r="P2891" s="4" t="s">
        <v>29</v>
      </c>
      <c r="Q2891" s="4" t="s">
        <v>21783</v>
      </c>
      <c r="R2891" s="6"/>
      <c r="S2891" s="6"/>
      <c r="T2891" s="6"/>
      <c r="U2891" s="6"/>
      <c r="V2891" s="6"/>
      <c r="W2891" s="6"/>
      <c r="X2891" s="6"/>
      <c r="Y2891" s="6"/>
      <c r="Z2891" s="6"/>
      <c r="AA2891" s="6"/>
    </row>
    <row r="2892" ht="14.25">
      <c r="B2892" s="4" t="s">
        <v>3142</v>
      </c>
      <c r="C2892" s="4" t="s">
        <v>21784</v>
      </c>
      <c r="D2892" s="4" t="s">
        <v>172</v>
      </c>
      <c r="E2892" s="4" t="s">
        <v>21785</v>
      </c>
      <c r="F2892" s="4" t="str">
        <f>IFERROR(__XLUDF.DUMMYFUNCTION("PROPER(REGEXREPLACE(D608,""[^A-Za-z]+ "",""""))"),"Comrungis")</f>
        <v>Comrungis</v>
      </c>
      <c r="G2892" s="4" t="s">
        <v>21786</v>
      </c>
      <c r="H2892" s="4">
        <v>8</v>
      </c>
      <c r="I2892" s="4" t="s">
        <v>9161</v>
      </c>
      <c r="J2892" s="4" t="str">
        <f>IFERROR(__XLUDF.DUMMYFUNCTION("VLOOKUP(H608,IMPORTRANGE(""https://docs.google.com/spreadsheets/d/1opm6ZNvGZ7KditA9TuJwrZ25eFLfTNIkrNnY6mhV5Eg"",""list!A1:C115""),3,TRUE)"),"le secteur du marketing")</f>
        <v xml:space="preserve">le secteur du marketing</v>
      </c>
      <c r="K2892" s="5" t="s">
        <v>21787</v>
      </c>
      <c r="L2892" s="5" t="s">
        <v>21788</v>
      </c>
      <c r="M2892" s="6"/>
      <c r="N2892" s="4" t="s">
        <v>29</v>
      </c>
      <c r="O2892" s="4" t="s">
        <v>21789</v>
      </c>
      <c r="P2892" s="4" t="s">
        <v>29</v>
      </c>
      <c r="Q2892" s="4" t="s">
        <v>21790</v>
      </c>
      <c r="R2892" s="6"/>
      <c r="S2892" s="6"/>
      <c r="T2892" s="6"/>
      <c r="U2892" s="6"/>
      <c r="V2892" s="6"/>
      <c r="W2892" s="6"/>
      <c r="X2892" s="6"/>
      <c r="Y2892" s="6"/>
      <c r="Z2892" s="6"/>
      <c r="AA2892" s="6"/>
    </row>
    <row r="2893" ht="14.25">
      <c r="B2893" s="4" t="s">
        <v>4204</v>
      </c>
      <c r="C2893" s="4" t="s">
        <v>21791</v>
      </c>
      <c r="D2893" s="4" t="s">
        <v>44</v>
      </c>
      <c r="E2893" s="4" t="s">
        <v>21792</v>
      </c>
      <c r="F2893" s="4" t="str">
        <f>IFERROR(__XLUDF.DUMMYFUNCTION("PROPER(REGEXREPLACE(D609,""[^A-Za-z]+ "",""""))"),"Rebound")</f>
        <v>Rebound</v>
      </c>
      <c r="G2893" s="4" t="s">
        <v>21793</v>
      </c>
      <c r="H2893" s="4">
        <v>14</v>
      </c>
      <c r="I2893" s="4" t="s">
        <v>18961</v>
      </c>
      <c r="J2893" s="4" t="str">
        <f>IFERROR(__XLUDF.DUMMYFUNCTION("VLOOKUP(H609,IMPORTRANGE(""https://docs.google.com/spreadsheets/d/1opm6ZNvGZ7KditA9TuJwrZ25eFLfTNIkrNnY6mhV5Eg"",""list!A1:C115""),3,TRUE)"),"le secteur des jeux vidéo")</f>
        <v xml:space="preserve">le secteur des jeux vidéo</v>
      </c>
      <c r="K2893" s="5" t="s">
        <v>21794</v>
      </c>
      <c r="L2893" s="5" t="s">
        <v>21795</v>
      </c>
      <c r="M2893" s="4" t="s">
        <v>39</v>
      </c>
      <c r="N2893" s="4" t="s">
        <v>29</v>
      </c>
      <c r="O2893" s="4" t="s">
        <v>21796</v>
      </c>
      <c r="P2893" s="4" t="s">
        <v>29</v>
      </c>
      <c r="Q2893" s="4" t="s">
        <v>21797</v>
      </c>
      <c r="R2893" s="6"/>
      <c r="S2893" s="6"/>
      <c r="T2893" s="6"/>
      <c r="U2893" s="6"/>
      <c r="V2893" s="6"/>
      <c r="W2893" s="6"/>
      <c r="X2893" s="6"/>
      <c r="Y2893" s="6"/>
      <c r="Z2893" s="6"/>
      <c r="AA2893" s="6"/>
    </row>
    <row r="2894" ht="14.25">
      <c r="B2894" s="4" t="s">
        <v>485</v>
      </c>
      <c r="C2894" s="4" t="s">
        <v>21798</v>
      </c>
      <c r="D2894" s="4" t="s">
        <v>21799</v>
      </c>
      <c r="E2894" s="4" t="s">
        <v>21800</v>
      </c>
      <c r="F2894" s="4" t="str">
        <f>IFERROR(__XLUDF.DUMMYFUNCTION("PROPER(REGEXREPLACE(D610,""[^A-Za-z]+ "",""""))"),"Comitatus")</f>
        <v>Comitatus</v>
      </c>
      <c r="G2894" s="4" t="s">
        <v>21801</v>
      </c>
      <c r="H2894" s="4">
        <v>12</v>
      </c>
      <c r="I2894" s="4" t="s">
        <v>4067</v>
      </c>
      <c r="J2894" s="4"/>
      <c r="K2894" s="5" t="s">
        <v>21802</v>
      </c>
      <c r="L2894" s="5" t="s">
        <v>21803</v>
      </c>
      <c r="M2894" s="4" t="s">
        <v>185</v>
      </c>
      <c r="N2894" s="4" t="s">
        <v>29</v>
      </c>
      <c r="O2894" s="4" t="s">
        <v>21804</v>
      </c>
      <c r="P2894" s="4" t="s">
        <v>29</v>
      </c>
      <c r="Q2894" s="4" t="s">
        <v>21805</v>
      </c>
      <c r="R2894" s="6"/>
      <c r="S2894" s="6"/>
      <c r="T2894" s="6"/>
      <c r="U2894" s="6"/>
      <c r="V2894" s="6"/>
      <c r="W2894" s="6"/>
      <c r="X2894" s="6"/>
      <c r="Y2894" s="6"/>
      <c r="Z2894" s="6"/>
      <c r="AA2894" s="6"/>
    </row>
    <row r="2895" ht="14.25">
      <c r="B2895" s="4" t="s">
        <v>4132</v>
      </c>
      <c r="C2895" s="4" t="s">
        <v>21806</v>
      </c>
      <c r="D2895" s="4" t="s">
        <v>21807</v>
      </c>
      <c r="E2895" s="4" t="s">
        <v>21808</v>
      </c>
      <c r="F2895" s="4" t="str">
        <f>IFERROR(__XLUDF.DUMMYFUNCTION("PROPER(REGEXREPLACE(D611,""[^A-Za-z]+ "",""""))"),"Super G")</f>
        <v xml:space="preserve">Super G</v>
      </c>
      <c r="G2895" s="4" t="s">
        <v>21809</v>
      </c>
      <c r="H2895" s="4">
        <v>13</v>
      </c>
      <c r="I2895" s="4" t="s">
        <v>2602</v>
      </c>
      <c r="J2895" s="4" t="str">
        <f>IFERROR(__XLUDF.DUMMYFUNCTION("VLOOKUP(H611,IMPORTRANGE(""https://docs.google.com/spreadsheets/d/1opm6ZNvGZ7KditA9TuJwrZ25eFLfTNIkrNnY6mhV5Eg"",""list!A1:C115""),3,TRUE)"),"le secteur de la tech")</f>
        <v xml:space="preserve">le secteur de la tech</v>
      </c>
      <c r="K2895" s="5" t="s">
        <v>21810</v>
      </c>
      <c r="L2895" s="5" t="s">
        <v>21811</v>
      </c>
      <c r="M2895" s="4" t="s">
        <v>39</v>
      </c>
      <c r="N2895" s="4" t="s">
        <v>29</v>
      </c>
      <c r="O2895" s="4" t="s">
        <v>21812</v>
      </c>
      <c r="P2895" s="4" t="s">
        <v>29</v>
      </c>
      <c r="Q2895" s="6"/>
      <c r="R2895" s="6"/>
      <c r="S2895" s="6"/>
      <c r="T2895" s="6"/>
      <c r="U2895" s="6"/>
      <c r="V2895" s="6"/>
      <c r="W2895" s="6"/>
      <c r="X2895" s="6"/>
      <c r="Y2895" s="6"/>
      <c r="Z2895" s="6"/>
      <c r="AA2895" s="6"/>
    </row>
    <row r="2896" ht="14.25">
      <c r="B2896" s="4" t="s">
        <v>21813</v>
      </c>
      <c r="C2896" s="4" t="s">
        <v>2410</v>
      </c>
      <c r="D2896" s="4" t="s">
        <v>2645</v>
      </c>
      <c r="E2896" s="4" t="s">
        <v>21814</v>
      </c>
      <c r="F2896" s="4" t="str">
        <f>IFERROR(__XLUDF.DUMMYFUNCTION("PROPER(REGEXREPLACE(D612,""[^A-Za-z]+ "",""""))"),"Veille Formation")</f>
        <v xml:space="preserve">Veille Formation</v>
      </c>
      <c r="G2896" s="4" t="s">
        <v>21815</v>
      </c>
      <c r="H2896" s="4">
        <v>10</v>
      </c>
      <c r="I2896" s="4" t="s">
        <v>2602</v>
      </c>
      <c r="J2896" s="4"/>
      <c r="K2896" s="5" t="s">
        <v>21816</v>
      </c>
      <c r="L2896" s="5" t="s">
        <v>21817</v>
      </c>
      <c r="M2896" s="4" t="s">
        <v>243</v>
      </c>
      <c r="N2896" s="4" t="s">
        <v>29</v>
      </c>
      <c r="O2896" s="4" t="s">
        <v>84</v>
      </c>
      <c r="P2896" s="4" t="s">
        <v>29</v>
      </c>
      <c r="Q2896" s="4" t="s">
        <v>21818</v>
      </c>
      <c r="R2896" s="6"/>
      <c r="S2896" s="6"/>
      <c r="T2896" s="6"/>
      <c r="U2896" s="6"/>
      <c r="V2896" s="6"/>
      <c r="W2896" s="6"/>
      <c r="X2896" s="6"/>
      <c r="Y2896" s="6"/>
      <c r="Z2896" s="6"/>
      <c r="AA2896" s="6"/>
    </row>
    <row r="2897" ht="14.25">
      <c r="B2897" s="4" t="s">
        <v>4012</v>
      </c>
      <c r="C2897" s="4" t="s">
        <v>21819</v>
      </c>
      <c r="D2897" s="4" t="s">
        <v>1130</v>
      </c>
      <c r="E2897" s="4" t="s">
        <v>21820</v>
      </c>
      <c r="F2897" s="4" t="str">
        <f>IFERROR(__XLUDF.DUMMYFUNCTION("PROPER(REGEXREPLACE(D613,""[^A-Za-z]+ "",""""))"),"Insmatel")</f>
        <v>Insmatel</v>
      </c>
      <c r="G2897" s="4" t="s">
        <v>21821</v>
      </c>
      <c r="H2897" s="6"/>
      <c r="I2897" s="6"/>
      <c r="J2897" s="6"/>
      <c r="K2897" s="5" t="s">
        <v>21822</v>
      </c>
      <c r="L2897" s="5" t="s">
        <v>21823</v>
      </c>
      <c r="M2897" s="4" t="s">
        <v>1780</v>
      </c>
      <c r="N2897" s="4" t="s">
        <v>29</v>
      </c>
      <c r="O2897" s="4" t="s">
        <v>21824</v>
      </c>
      <c r="P2897" s="4" t="s">
        <v>29</v>
      </c>
      <c r="Q2897" s="6"/>
      <c r="R2897" s="6"/>
      <c r="S2897" s="6"/>
      <c r="T2897" s="6"/>
      <c r="U2897" s="6"/>
      <c r="V2897" s="6"/>
      <c r="W2897" s="6"/>
      <c r="X2897" s="6"/>
      <c r="Y2897" s="6"/>
      <c r="Z2897" s="6"/>
      <c r="AA2897" s="6"/>
    </row>
    <row r="2898" ht="14.25">
      <c r="B2898" s="4" t="s">
        <v>963</v>
      </c>
      <c r="C2898" s="4" t="s">
        <v>21825</v>
      </c>
      <c r="D2898" s="4" t="s">
        <v>21826</v>
      </c>
      <c r="E2898" s="4" t="s">
        <v>21827</v>
      </c>
      <c r="F2898" s="4" t="str">
        <f>IFERROR(__XLUDF.DUMMYFUNCTION("PROPER(REGEXREPLACE(D614,""[^A-Za-z]+ "",""""))"),"Kowee")</f>
        <v>Kowee</v>
      </c>
      <c r="G2898" s="4" t="s">
        <v>21828</v>
      </c>
      <c r="H2898" s="4">
        <v>10</v>
      </c>
      <c r="I2898" s="4" t="s">
        <v>2602</v>
      </c>
      <c r="J2898" s="4" t="str">
        <f>IFERROR(__XLUDF.DUMMYFUNCTION("VLOOKUP(H614,IMPORTRANGE(""https://docs.google.com/spreadsheets/d/1opm6ZNvGZ7KditA9TuJwrZ25eFLfTNIkrNnY6mhV5Eg"",""list!A1:C115""),3,TRUE)"),"le secteur de la tech")</f>
        <v xml:space="preserve">le secteur de la tech</v>
      </c>
      <c r="K2898" s="5" t="s">
        <v>21829</v>
      </c>
      <c r="L2898" s="5" t="s">
        <v>21830</v>
      </c>
      <c r="M2898" s="4" t="s">
        <v>1419</v>
      </c>
      <c r="N2898" s="4" t="s">
        <v>29</v>
      </c>
      <c r="O2898" s="4" t="s">
        <v>21831</v>
      </c>
      <c r="P2898" s="4" t="s">
        <v>29</v>
      </c>
      <c r="Q2898" s="4" t="s">
        <v>21832</v>
      </c>
      <c r="R2898" s="6"/>
      <c r="S2898" s="6"/>
      <c r="T2898" s="6"/>
      <c r="U2898" s="6"/>
      <c r="V2898" s="6"/>
      <c r="W2898" s="6"/>
      <c r="X2898" s="6"/>
      <c r="Y2898" s="6"/>
      <c r="Z2898" s="6"/>
      <c r="AA2898" s="6"/>
    </row>
    <row r="2899" ht="14.25">
      <c r="B2899" s="4" t="s">
        <v>866</v>
      </c>
      <c r="C2899" s="4" t="s">
        <v>21833</v>
      </c>
      <c r="D2899" s="4" t="s">
        <v>112</v>
      </c>
      <c r="E2899" s="4" t="s">
        <v>21834</v>
      </c>
      <c r="F2899" s="4" t="str">
        <f>IFERROR(__XLUDF.DUMMYFUNCTION("PROPER(REGEXREPLACE(D615,""[^A-Za-z]+ "",""""))"),"Ozego")</f>
        <v>Ozego</v>
      </c>
      <c r="G2899" s="4" t="s">
        <v>21835</v>
      </c>
      <c r="H2899" s="4">
        <v>30</v>
      </c>
      <c r="I2899" s="4" t="s">
        <v>4067</v>
      </c>
      <c r="J2899" s="4"/>
      <c r="K2899" s="5" t="s">
        <v>21836</v>
      </c>
      <c r="L2899" s="5" t="s">
        <v>21837</v>
      </c>
      <c r="M2899" s="4" t="s">
        <v>1204</v>
      </c>
      <c r="N2899" s="4" t="s">
        <v>29</v>
      </c>
      <c r="O2899" s="4" t="s">
        <v>21838</v>
      </c>
      <c r="P2899" s="4" t="s">
        <v>29</v>
      </c>
      <c r="Q2899" s="4" t="s">
        <v>21839</v>
      </c>
      <c r="R2899" s="6"/>
      <c r="S2899" s="6"/>
      <c r="T2899" s="6"/>
      <c r="U2899" s="6"/>
      <c r="V2899" s="6"/>
      <c r="W2899" s="6"/>
      <c r="X2899" s="6"/>
      <c r="Y2899" s="6"/>
      <c r="Z2899" s="6"/>
      <c r="AA2899" s="6"/>
    </row>
    <row r="2900" ht="14.25">
      <c r="B2900" s="4" t="s">
        <v>986</v>
      </c>
      <c r="C2900" s="4" t="s">
        <v>21840</v>
      </c>
      <c r="D2900" s="4" t="s">
        <v>198</v>
      </c>
      <c r="E2900" s="4" t="s">
        <v>21841</v>
      </c>
      <c r="F2900" s="4" t="str">
        <f>IFERROR(__XLUDF.DUMMYFUNCTION("PROPER(REGEXREPLACE(D616,""[^A-Za-z]+ "",""""))"),"Corolle S.A.S")</f>
        <v xml:space="preserve">Corolle S.A.S</v>
      </c>
      <c r="G2900" s="4" t="s">
        <v>21842</v>
      </c>
      <c r="H2900" s="4">
        <v>19</v>
      </c>
      <c r="I2900" s="4" t="s">
        <v>4525</v>
      </c>
      <c r="J2900" s="4" t="str">
        <f>IFERROR(__XLUDF.DUMMYFUNCTION("VLOOKUP(H616,IMPORTRANGE(""https://docs.google.com/spreadsheets/d/1opm6ZNvGZ7KditA9TuJwrZ25eFLfTNIkrNnY6mhV5Eg"",""list!A1:C115""),3,TRUE)"),"le secteur du retail")</f>
        <v xml:space="preserve">le secteur du retail</v>
      </c>
      <c r="K2900" s="5" t="s">
        <v>21843</v>
      </c>
      <c r="L2900" s="5" t="s">
        <v>21844</v>
      </c>
      <c r="M2900" s="4" t="s">
        <v>3898</v>
      </c>
      <c r="N2900" s="4" t="s">
        <v>29</v>
      </c>
      <c r="O2900" s="4" t="s">
        <v>21845</v>
      </c>
      <c r="P2900" s="4" t="s">
        <v>29</v>
      </c>
      <c r="Q2900" s="4" t="s">
        <v>21846</v>
      </c>
      <c r="R2900" s="6"/>
      <c r="S2900" s="6"/>
      <c r="T2900" s="6"/>
      <c r="U2900" s="6"/>
      <c r="V2900" s="6"/>
      <c r="W2900" s="6"/>
      <c r="X2900" s="6"/>
      <c r="Y2900" s="6"/>
      <c r="Z2900" s="6"/>
      <c r="AA2900" s="6"/>
    </row>
    <row r="2901" ht="14.25">
      <c r="B2901" s="4" t="s">
        <v>355</v>
      </c>
      <c r="C2901" s="4" t="s">
        <v>21847</v>
      </c>
      <c r="D2901" s="4" t="s">
        <v>19111</v>
      </c>
      <c r="E2901" s="4" t="s">
        <v>21848</v>
      </c>
      <c r="F2901" s="4" t="str">
        <f>IFERROR(__XLUDF.DUMMYFUNCTION("PROPER(REGEXREPLACE(D617,""[^A-Za-z]+ "",""""))"),"Incwo")</f>
        <v>Incwo</v>
      </c>
      <c r="G2901" s="4" t="s">
        <v>21849</v>
      </c>
      <c r="H2901" s="4">
        <v>12</v>
      </c>
      <c r="I2901" s="4" t="s">
        <v>2602</v>
      </c>
      <c r="J2901" s="4" t="str">
        <f>IFERROR(__XLUDF.DUMMYFUNCTION("VLOOKUP(H617,IMPORTRANGE(""https://docs.google.com/spreadsheets/d/1opm6ZNvGZ7KditA9TuJwrZ25eFLfTNIkrNnY6mhV5Eg"",""list!A1:C115""),3,TRUE)"),"le secteur de la tech")</f>
        <v xml:space="preserve">le secteur de la tech</v>
      </c>
      <c r="K2901" s="5" t="s">
        <v>21850</v>
      </c>
      <c r="L2901" s="5" t="s">
        <v>21851</v>
      </c>
      <c r="M2901" s="4" t="s">
        <v>39</v>
      </c>
      <c r="N2901" s="4" t="s">
        <v>29</v>
      </c>
      <c r="O2901" s="4" t="s">
        <v>21852</v>
      </c>
      <c r="P2901" s="4" t="s">
        <v>29</v>
      </c>
      <c r="Q2901" s="4" t="s">
        <v>21853</v>
      </c>
      <c r="R2901" s="6"/>
      <c r="S2901" s="6"/>
      <c r="T2901" s="6"/>
      <c r="U2901" s="6"/>
      <c r="V2901" s="6"/>
      <c r="W2901" s="6"/>
      <c r="X2901" s="6"/>
      <c r="Y2901" s="6"/>
      <c r="Z2901" s="6"/>
      <c r="AA2901" s="6"/>
    </row>
    <row r="2902" ht="14.25">
      <c r="B2902" s="4" t="s">
        <v>21854</v>
      </c>
      <c r="C2902" s="4" t="s">
        <v>2751</v>
      </c>
      <c r="D2902" s="4" t="s">
        <v>315</v>
      </c>
      <c r="E2902" s="4" t="s">
        <v>21855</v>
      </c>
      <c r="F2902" s="4" t="str">
        <f>IFERROR(__XLUDF.DUMMYFUNCTION("PROPER(REGEXREPLACE(D618,""[^A-Za-z]+ "",""""))"),"Callbell")</f>
        <v>Callbell</v>
      </c>
      <c r="G2902" s="4" t="s">
        <v>21856</v>
      </c>
      <c r="H2902" s="4">
        <v>34</v>
      </c>
      <c r="I2902" s="4" t="s">
        <v>2602</v>
      </c>
      <c r="J2902" s="4" t="str">
        <f>IFERROR(__XLUDF.DUMMYFUNCTION("VLOOKUP(H618,IMPORTRANGE(""https://docs.google.com/spreadsheets/d/1opm6ZNvGZ7KditA9TuJwrZ25eFLfTNIkrNnY6mhV5Eg"",""list!A1:C115""),3,TRUE)"),"le secteur de la tech")</f>
        <v xml:space="preserve">le secteur de la tech</v>
      </c>
      <c r="K2902" s="5" t="s">
        <v>21857</v>
      </c>
      <c r="L2902" s="5" t="s">
        <v>21858</v>
      </c>
      <c r="M2902" s="4" t="s">
        <v>39</v>
      </c>
      <c r="N2902" s="4" t="s">
        <v>29</v>
      </c>
      <c r="O2902" s="4" t="s">
        <v>21859</v>
      </c>
      <c r="P2902" s="4" t="s">
        <v>29</v>
      </c>
      <c r="Q2902" s="6"/>
      <c r="R2902" s="6"/>
      <c r="S2902" s="6"/>
      <c r="T2902" s="6"/>
      <c r="U2902" s="6"/>
      <c r="V2902" s="6"/>
      <c r="W2902" s="6"/>
      <c r="X2902" s="6"/>
      <c r="Y2902" s="6"/>
      <c r="Z2902" s="6"/>
      <c r="AA2902" s="6"/>
    </row>
    <row r="2903" ht="14.25">
      <c r="B2903" s="4" t="s">
        <v>679</v>
      </c>
      <c r="C2903" s="4" t="s">
        <v>21860</v>
      </c>
      <c r="D2903" s="4" t="s">
        <v>172</v>
      </c>
      <c r="E2903" s="4" t="s">
        <v>21861</v>
      </c>
      <c r="F2903" s="4" t="str">
        <f>IFERROR(__XLUDF.DUMMYFUNCTION("PROPER(REGEXREPLACE(D619,""[^A-Za-z]+ "",""""))"),"Solunova")</f>
        <v>Solunova</v>
      </c>
      <c r="G2903" s="4" t="s">
        <v>21862</v>
      </c>
      <c r="H2903" s="4">
        <v>10</v>
      </c>
      <c r="I2903" s="4" t="s">
        <v>9264</v>
      </c>
      <c r="J2903" s="4" t="str">
        <f>IFERROR(__XLUDF.DUMMYFUNCTION("VLOOKUP(H619,IMPORTRANGE(""https://docs.google.com/spreadsheets/d/1opm6ZNvGZ7KditA9TuJwrZ25eFLfTNIkrNnY6mhV5Eg"",""list!A1:C115""),3,TRUE)"),"le secteur de la sécurité informatique")</f>
        <v xml:space="preserve">le secteur de la sécurité informatique</v>
      </c>
      <c r="K2903" s="5" t="s">
        <v>21863</v>
      </c>
      <c r="L2903" s="5" t="s">
        <v>21864</v>
      </c>
      <c r="M2903" s="6"/>
      <c r="N2903" s="4" t="s">
        <v>29</v>
      </c>
      <c r="O2903" s="4" t="s">
        <v>21865</v>
      </c>
      <c r="P2903" s="4" t="s">
        <v>29</v>
      </c>
      <c r="Q2903" s="6"/>
      <c r="R2903" s="6"/>
      <c r="S2903" s="6"/>
      <c r="T2903" s="6"/>
      <c r="U2903" s="6"/>
      <c r="V2903" s="6"/>
      <c r="W2903" s="6"/>
      <c r="X2903" s="6"/>
      <c r="Y2903" s="6"/>
      <c r="Z2903" s="6"/>
      <c r="AA2903" s="6"/>
    </row>
    <row r="2904" ht="14.25">
      <c r="B2904" s="4" t="s">
        <v>5001</v>
      </c>
      <c r="C2904" s="4" t="s">
        <v>14742</v>
      </c>
      <c r="D2904" s="4" t="s">
        <v>87</v>
      </c>
      <c r="E2904" s="4" t="s">
        <v>21866</v>
      </c>
      <c r="F2904" s="4" t="str">
        <f>IFERROR(__XLUDF.DUMMYFUNCTION("PROPER(REGEXREPLACE(D620,""[^A-Za-z]+ "",""""))"),"Asset World Business Solutions")</f>
        <v xml:space="preserve">Asset World Business Solutions</v>
      </c>
      <c r="G2904" s="4" t="s">
        <v>21867</v>
      </c>
      <c r="H2904" s="4">
        <v>12</v>
      </c>
      <c r="I2904" s="4" t="s">
        <v>2602</v>
      </c>
      <c r="J2904" s="4" t="str">
        <f>IFERROR(__XLUDF.DUMMYFUNCTION("VLOOKUP(H620,IMPORTRANGE(""https://docs.google.com/spreadsheets/d/1opm6ZNvGZ7KditA9TuJwrZ25eFLfTNIkrNnY6mhV5Eg"",""list!A1:C115""),3,TRUE)"),"le secteur de la tech")</f>
        <v xml:space="preserve">le secteur de la tech</v>
      </c>
      <c r="K2904" s="5" t="s">
        <v>21868</v>
      </c>
      <c r="L2904" s="5" t="s">
        <v>21869</v>
      </c>
      <c r="M2904" s="4" t="s">
        <v>39</v>
      </c>
      <c r="N2904" s="4" t="s">
        <v>29</v>
      </c>
      <c r="O2904" s="4" t="s">
        <v>21870</v>
      </c>
      <c r="P2904" s="4" t="s">
        <v>29</v>
      </c>
      <c r="Q2904" s="6"/>
      <c r="R2904" s="6"/>
      <c r="S2904" s="6"/>
      <c r="T2904" s="6"/>
      <c r="U2904" s="6"/>
      <c r="V2904" s="6"/>
      <c r="W2904" s="6"/>
      <c r="X2904" s="6"/>
      <c r="Y2904" s="6"/>
      <c r="Z2904" s="6"/>
      <c r="AA2904" s="6"/>
    </row>
    <row r="2905" ht="14.25">
      <c r="B2905" s="4" t="s">
        <v>17911</v>
      </c>
      <c r="C2905" s="4" t="s">
        <v>21871</v>
      </c>
      <c r="D2905" s="4" t="s">
        <v>87</v>
      </c>
      <c r="E2905" s="4" t="s">
        <v>21872</v>
      </c>
      <c r="F2905" s="4" t="str">
        <f>IFERROR(__XLUDF.DUMMYFUNCTION("PROPER(REGEXREPLACE(D621,""[^A-Za-z]+ "",""""))"),"Rz Consulting")</f>
        <v xml:space="preserve">Rz Consulting</v>
      </c>
      <c r="G2905" s="4" t="s">
        <v>21873</v>
      </c>
      <c r="H2905" s="4">
        <v>14</v>
      </c>
      <c r="I2905" s="4" t="s">
        <v>4067</v>
      </c>
      <c r="J2905" s="4"/>
      <c r="K2905" s="5" t="s">
        <v>21874</v>
      </c>
      <c r="L2905" s="5" t="s">
        <v>21875</v>
      </c>
      <c r="M2905" s="6"/>
      <c r="N2905" s="4" t="s">
        <v>29</v>
      </c>
      <c r="O2905" s="4" t="s">
        <v>21876</v>
      </c>
      <c r="P2905" s="4" t="s">
        <v>2666</v>
      </c>
      <c r="Q2905" s="4" t="s">
        <v>21877</v>
      </c>
      <c r="R2905" s="6"/>
      <c r="S2905" s="6"/>
      <c r="T2905" s="6"/>
      <c r="U2905" s="6"/>
      <c r="V2905" s="6"/>
      <c r="W2905" s="6"/>
      <c r="X2905" s="6"/>
      <c r="Y2905" s="6"/>
      <c r="Z2905" s="6"/>
      <c r="AA2905" s="6"/>
    </row>
    <row r="2906" ht="14.25">
      <c r="B2906" s="4" t="s">
        <v>21878</v>
      </c>
      <c r="C2906" s="4" t="s">
        <v>21879</v>
      </c>
      <c r="D2906" s="4" t="s">
        <v>265</v>
      </c>
      <c r="E2906" s="4" t="s">
        <v>21880</v>
      </c>
      <c r="F2906" s="4" t="str">
        <f>IFERROR(__XLUDF.DUMMYFUNCTION("PROPER(REGEXREPLACE(D622,""[^A-Za-z]+ "",""""))"),"Bestprhactice")</f>
        <v>Bestprhactice</v>
      </c>
      <c r="G2906" s="4" t="s">
        <v>21881</v>
      </c>
      <c r="H2906" s="4">
        <v>12</v>
      </c>
      <c r="I2906" s="4" t="s">
        <v>4067</v>
      </c>
      <c r="J2906" s="4" t="str">
        <f>IFERROR(__XLUDF.DUMMYFUNCTION("VLOOKUP(H622,IMPORTRANGE(""https://docs.google.com/spreadsheets/d/1opm6ZNvGZ7KditA9TuJwrZ25eFLfTNIkrNnY6mhV5Eg"",""list!A1:C115""),3,TRUE)"),"le secteur du conseil en management")</f>
        <v xml:space="preserve">le secteur du conseil en management</v>
      </c>
      <c r="K2906" s="5" t="s">
        <v>21882</v>
      </c>
      <c r="L2906" s="5" t="s">
        <v>21883</v>
      </c>
      <c r="M2906" s="4" t="s">
        <v>39</v>
      </c>
      <c r="N2906" s="4" t="s">
        <v>29</v>
      </c>
      <c r="O2906" s="4" t="s">
        <v>21884</v>
      </c>
      <c r="P2906" s="4" t="s">
        <v>29</v>
      </c>
      <c r="Q2906" s="4" t="s">
        <v>21885</v>
      </c>
      <c r="R2906" s="6"/>
      <c r="S2906" s="6"/>
      <c r="T2906" s="6"/>
      <c r="U2906" s="6"/>
      <c r="V2906" s="6"/>
      <c r="W2906" s="6"/>
      <c r="X2906" s="6"/>
      <c r="Y2906" s="6"/>
      <c r="Z2906" s="6"/>
      <c r="AA2906" s="6"/>
    </row>
    <row r="2907" ht="14.25">
      <c r="B2907" s="4" t="s">
        <v>2419</v>
      </c>
      <c r="C2907" s="4" t="s">
        <v>21886</v>
      </c>
      <c r="D2907" s="4" t="s">
        <v>112</v>
      </c>
      <c r="E2907" s="4" t="s">
        <v>21887</v>
      </c>
      <c r="F2907" s="4" t="str">
        <f>IFERROR(__XLUDF.DUMMYFUNCTION("PROPER(REGEXREPLACE(D623,""[^A-Za-z]+ "",""""))"),"Fem")</f>
        <v>Fem</v>
      </c>
      <c r="G2907" s="4" t="s">
        <v>21888</v>
      </c>
      <c r="H2907" s="4">
        <v>13</v>
      </c>
      <c r="I2907" s="4" t="s">
        <v>10215</v>
      </c>
      <c r="J2907" s="4" t="str">
        <f>IFERROR(__XLUDF.DUMMYFUNCTION("VLOOKUP(H623,IMPORTRANGE(""https://docs.google.com/spreadsheets/d/1opm6ZNvGZ7KditA9TuJwrZ25eFLfTNIkrNnY6mhV5Eg"",""list!A1:C115""),3,TRUE)"),"le secteur de l'électrique et électronique")</f>
        <v xml:space="preserve">le secteur de l'électrique et électronique</v>
      </c>
      <c r="K2907" s="5" t="s">
        <v>21889</v>
      </c>
      <c r="L2907" s="5" t="s">
        <v>21890</v>
      </c>
      <c r="M2907" s="4" t="s">
        <v>21891</v>
      </c>
      <c r="N2907" s="4" t="s">
        <v>29</v>
      </c>
      <c r="O2907" s="4" t="s">
        <v>21892</v>
      </c>
      <c r="P2907" s="4" t="s">
        <v>29</v>
      </c>
      <c r="Q2907" s="6"/>
      <c r="R2907" s="6"/>
      <c r="S2907" s="6"/>
      <c r="T2907" s="6"/>
      <c r="U2907" s="6"/>
      <c r="V2907" s="6"/>
      <c r="W2907" s="6"/>
      <c r="X2907" s="6"/>
      <c r="Y2907" s="6"/>
      <c r="Z2907" s="6"/>
      <c r="AA2907" s="6"/>
    </row>
    <row r="2908" ht="14.25">
      <c r="B2908" s="4" t="s">
        <v>768</v>
      </c>
      <c r="C2908" s="4" t="s">
        <v>21893</v>
      </c>
      <c r="D2908" s="4" t="s">
        <v>172</v>
      </c>
      <c r="E2908" s="4" t="s">
        <v>21894</v>
      </c>
      <c r="F2908" s="4" t="str">
        <f>IFERROR(__XLUDF.DUMMYFUNCTION("PROPER(REGEXREPLACE(D624,""[^A-Za-z]+ "",""""))"),"Power Conseils")</f>
        <v xml:space="preserve">Power Conseils</v>
      </c>
      <c r="G2908" s="4" t="s">
        <v>21895</v>
      </c>
      <c r="H2908" s="4">
        <v>14</v>
      </c>
      <c r="I2908" s="4" t="s">
        <v>4067</v>
      </c>
      <c r="J2908" s="4" t="str">
        <f>IFERROR(__XLUDF.DUMMYFUNCTION("VLOOKUP(H624,IMPORTRANGE(""https://docs.google.com/spreadsheets/d/1opm6ZNvGZ7KditA9TuJwrZ25eFLfTNIkrNnY6mhV5Eg"",""list!A1:C115""),3,TRUE)"),"le secteur du conseil en management")</f>
        <v xml:space="preserve">le secteur du conseil en management</v>
      </c>
      <c r="K2908" s="5" t="s">
        <v>21896</v>
      </c>
      <c r="L2908" s="5" t="s">
        <v>21897</v>
      </c>
      <c r="M2908" s="4" t="s">
        <v>39</v>
      </c>
      <c r="N2908" s="4" t="s">
        <v>29</v>
      </c>
      <c r="O2908" s="4" t="s">
        <v>21898</v>
      </c>
      <c r="P2908" s="4" t="s">
        <v>29</v>
      </c>
      <c r="Q2908" s="4" t="s">
        <v>21899</v>
      </c>
      <c r="R2908" s="6"/>
      <c r="S2908" s="6"/>
      <c r="T2908" s="6"/>
      <c r="U2908" s="6"/>
      <c r="V2908" s="6"/>
      <c r="W2908" s="6"/>
      <c r="X2908" s="6"/>
      <c r="Y2908" s="6"/>
      <c r="Z2908" s="6"/>
      <c r="AA2908" s="6"/>
    </row>
    <row r="2909" ht="14.25">
      <c r="B2909" s="4" t="s">
        <v>785</v>
      </c>
      <c r="C2909" s="4" t="s">
        <v>21900</v>
      </c>
      <c r="D2909" s="4" t="s">
        <v>87</v>
      </c>
      <c r="E2909" s="4" t="s">
        <v>21901</v>
      </c>
      <c r="F2909" s="4" t="str">
        <f>IFERROR(__XLUDF.DUMMYFUNCTION("PROPER(REGEXREPLACE(D625,""[^A-Za-z]+ "",""""))"),"Maitricks")</f>
        <v>Maitricks</v>
      </c>
      <c r="G2909" s="4" t="s">
        <v>21902</v>
      </c>
      <c r="H2909" s="4">
        <v>10</v>
      </c>
      <c r="I2909" s="4" t="s">
        <v>9161</v>
      </c>
      <c r="J2909" s="4" t="str">
        <f>IFERROR(__XLUDF.DUMMYFUNCTION("VLOOKUP(H625,IMPORTRANGE(""https://docs.google.com/spreadsheets/d/1opm6ZNvGZ7KditA9TuJwrZ25eFLfTNIkrNnY6mhV5Eg"",""list!A1:C115""),3,TRUE)"),"le secteur du marketing")</f>
        <v xml:space="preserve">le secteur du marketing</v>
      </c>
      <c r="K2909" s="5" t="s">
        <v>21903</v>
      </c>
      <c r="L2909" s="5" t="s">
        <v>21904</v>
      </c>
      <c r="M2909" s="4" t="s">
        <v>17484</v>
      </c>
      <c r="N2909" s="4" t="s">
        <v>29</v>
      </c>
      <c r="O2909" s="4" t="s">
        <v>67</v>
      </c>
      <c r="P2909" s="4" t="s">
        <v>29</v>
      </c>
      <c r="Q2909" s="4" t="s">
        <v>21905</v>
      </c>
      <c r="R2909" s="6"/>
      <c r="S2909" s="6"/>
      <c r="T2909" s="6"/>
      <c r="U2909" s="6"/>
      <c r="V2909" s="6"/>
      <c r="W2909" s="6"/>
      <c r="X2909" s="6"/>
      <c r="Y2909" s="6"/>
      <c r="Z2909" s="6"/>
      <c r="AA2909" s="6"/>
    </row>
    <row r="2910" ht="14.25">
      <c r="B2910" s="4" t="s">
        <v>21906</v>
      </c>
      <c r="C2910" s="4" t="s">
        <v>21907</v>
      </c>
      <c r="D2910" s="4" t="s">
        <v>172</v>
      </c>
      <c r="E2910" s="4" t="s">
        <v>21908</v>
      </c>
      <c r="F2910" s="4" t="str">
        <f>IFERROR(__XLUDF.DUMMYFUNCTION("PROPER(REGEXREPLACE(D626,""[^A-Za-z]+ "",""""))"),"Atelsys")</f>
        <v>Atelsys</v>
      </c>
      <c r="G2910" s="4" t="s">
        <v>21909</v>
      </c>
      <c r="H2910" s="4">
        <v>34</v>
      </c>
      <c r="I2910" s="4" t="s">
        <v>9184</v>
      </c>
      <c r="J2910" s="4" t="str">
        <f>IFERROR(__XLUDF.DUMMYFUNCTION("VLOOKUP(H626,IMPORTRANGE(""https://docs.google.com/spreadsheets/d/1opm6ZNvGZ7KditA9TuJwrZ25eFLfTNIkrNnY6mhV5Eg"",""list!A1:C115""),3,TRUE)"),"le secteur des télécommunications")</f>
        <v xml:space="preserve">le secteur des télécommunications</v>
      </c>
      <c r="K2910" s="5" t="s">
        <v>21910</v>
      </c>
      <c r="L2910" s="5" t="s">
        <v>21911</v>
      </c>
      <c r="M2910" s="4" t="s">
        <v>149</v>
      </c>
      <c r="N2910" s="4" t="s">
        <v>29</v>
      </c>
      <c r="O2910" s="4" t="s">
        <v>21912</v>
      </c>
      <c r="P2910" s="4" t="s">
        <v>29</v>
      </c>
      <c r="Q2910" s="4" t="s">
        <v>21913</v>
      </c>
      <c r="R2910" s="6"/>
      <c r="S2910" s="6"/>
      <c r="T2910" s="6"/>
      <c r="U2910" s="6"/>
      <c r="V2910" s="6"/>
      <c r="W2910" s="6"/>
      <c r="X2910" s="6"/>
      <c r="Y2910" s="6"/>
      <c r="Z2910" s="6"/>
      <c r="AA2910" s="6"/>
    </row>
    <row r="2911" ht="14.25">
      <c r="B2911" s="4" t="s">
        <v>485</v>
      </c>
      <c r="C2911" s="4" t="s">
        <v>21914</v>
      </c>
      <c r="D2911" s="4" t="s">
        <v>21915</v>
      </c>
      <c r="E2911" s="4" t="s">
        <v>21916</v>
      </c>
      <c r="F2911" s="4" t="str">
        <f>IFERROR(__XLUDF.DUMMYFUNCTION("PROPER(REGEXREPLACE(D627,""[^A-Za-z]+ "",""""))"),"Soteria Lab")</f>
        <v xml:space="preserve">Soteria Lab</v>
      </c>
      <c r="G2911" s="4" t="s">
        <v>21917</v>
      </c>
      <c r="H2911" s="4">
        <v>10</v>
      </c>
      <c r="I2911" s="4" t="s">
        <v>9264</v>
      </c>
      <c r="J2911" s="4" t="str">
        <f>IFERROR(__XLUDF.DUMMYFUNCTION("VLOOKUP(H627,IMPORTRANGE(""https://docs.google.com/spreadsheets/d/1opm6ZNvGZ7KditA9TuJwrZ25eFLfTNIkrNnY6mhV5Eg"",""list!A1:C115""),3,TRUE)"),"le secteur de la sécurité informatique")</f>
        <v xml:space="preserve">le secteur de la sécurité informatique</v>
      </c>
      <c r="K2911" s="5" t="s">
        <v>21918</v>
      </c>
      <c r="L2911" s="5" t="s">
        <v>21919</v>
      </c>
      <c r="M2911" s="4" t="s">
        <v>1780</v>
      </c>
      <c r="N2911" s="4" t="s">
        <v>29</v>
      </c>
      <c r="O2911" s="4" t="s">
        <v>3198</v>
      </c>
      <c r="P2911" s="4" t="s">
        <v>29</v>
      </c>
      <c r="Q2911" s="4" t="s">
        <v>21920</v>
      </c>
      <c r="R2911" s="6"/>
      <c r="S2911" s="6"/>
      <c r="T2911" s="6"/>
      <c r="U2911" s="6"/>
      <c r="V2911" s="6"/>
      <c r="W2911" s="6"/>
      <c r="X2911" s="6"/>
      <c r="Y2911" s="6"/>
      <c r="Z2911" s="6"/>
      <c r="AA2911" s="6"/>
    </row>
    <row r="2912" ht="14.25">
      <c r="B2912" s="4" t="s">
        <v>874</v>
      </c>
      <c r="C2912" s="4" t="s">
        <v>21921</v>
      </c>
      <c r="D2912" s="4" t="s">
        <v>87</v>
      </c>
      <c r="E2912" s="4" t="s">
        <v>21922</v>
      </c>
      <c r="F2912" s="4" t="str">
        <f>IFERROR(__XLUDF.DUMMYFUNCTION("PROPER(REGEXREPLACE(D628,""[^A-Za-z]+ "",""""))"),"Criann")</f>
        <v>Criann</v>
      </c>
      <c r="G2912" s="4" t="s">
        <v>21923</v>
      </c>
      <c r="H2912" s="4">
        <v>10</v>
      </c>
      <c r="I2912" s="4" t="s">
        <v>2602</v>
      </c>
      <c r="J2912" s="4" t="str">
        <f>IFERROR(__XLUDF.DUMMYFUNCTION("VLOOKUP(H628,IMPORTRANGE(""https://docs.google.com/spreadsheets/d/1opm6ZNvGZ7KditA9TuJwrZ25eFLfTNIkrNnY6mhV5Eg"",""list!A1:C115""),3,TRUE)"),"le secteur de la tech")</f>
        <v xml:space="preserve">le secteur de la tech</v>
      </c>
      <c r="K2912" s="5" t="s">
        <v>21924</v>
      </c>
      <c r="L2912" s="5" t="s">
        <v>21925</v>
      </c>
      <c r="M2912" s="4" t="s">
        <v>492</v>
      </c>
      <c r="N2912" s="4" t="s">
        <v>29</v>
      </c>
      <c r="O2912" s="4" t="s">
        <v>21926</v>
      </c>
      <c r="P2912" s="4" t="s">
        <v>29</v>
      </c>
      <c r="Q2912" s="6"/>
      <c r="R2912" s="6"/>
      <c r="S2912" s="6"/>
      <c r="T2912" s="6"/>
      <c r="U2912" s="6"/>
      <c r="V2912" s="6"/>
      <c r="W2912" s="6"/>
      <c r="X2912" s="6"/>
      <c r="Y2912" s="6"/>
      <c r="Z2912" s="6"/>
      <c r="AA2912" s="6"/>
    </row>
    <row r="2913" ht="14.25">
      <c r="B2913" s="4" t="s">
        <v>11701</v>
      </c>
      <c r="C2913" s="4" t="s">
        <v>21927</v>
      </c>
      <c r="D2913" s="4" t="s">
        <v>19877</v>
      </c>
      <c r="E2913" s="4" t="s">
        <v>19047</v>
      </c>
      <c r="F2913" s="4" t="str">
        <f>IFERROR(__XLUDF.DUMMYFUNCTION("PROPER(REGEXREPLACE(D629,""[^A-Za-z]+ "",""""))"),"Ito33")</f>
        <v>Ito33</v>
      </c>
      <c r="G2913" s="4" t="s">
        <v>21928</v>
      </c>
      <c r="H2913" s="4">
        <v>20</v>
      </c>
      <c r="I2913" s="4" t="s">
        <v>2602</v>
      </c>
      <c r="J2913" s="4"/>
      <c r="K2913" s="5" t="s">
        <v>21929</v>
      </c>
      <c r="L2913" s="5" t="s">
        <v>19050</v>
      </c>
      <c r="M2913" s="6"/>
      <c r="N2913" s="4" t="s">
        <v>29</v>
      </c>
      <c r="O2913" s="4" t="s">
        <v>19051</v>
      </c>
      <c r="P2913" s="4" t="s">
        <v>29</v>
      </c>
      <c r="Q2913" s="6"/>
      <c r="R2913" s="6"/>
      <c r="S2913" s="6"/>
      <c r="T2913" s="6"/>
      <c r="U2913" s="6"/>
      <c r="V2913" s="6"/>
      <c r="W2913" s="6"/>
      <c r="X2913" s="6"/>
      <c r="Y2913" s="6"/>
      <c r="Z2913" s="6"/>
      <c r="AA2913" s="6"/>
    </row>
    <row r="2914" ht="14.25">
      <c r="B2914" s="4" t="s">
        <v>1948</v>
      </c>
      <c r="C2914" s="4" t="s">
        <v>21930</v>
      </c>
      <c r="D2914" s="4" t="s">
        <v>112</v>
      </c>
      <c r="E2914" s="4" t="s">
        <v>21931</v>
      </c>
      <c r="F2914" s="4" t="str">
        <f>IFERROR(__XLUDF.DUMMYFUNCTION("PROPER(REGEXREPLACE(D630,""[^A-Za-z]+ "",""""))"),"Bzhunt")</f>
        <v>Bzhunt</v>
      </c>
      <c r="G2914" s="4" t="s">
        <v>21932</v>
      </c>
      <c r="H2914" s="4">
        <v>14</v>
      </c>
      <c r="I2914" s="4" t="s">
        <v>9264</v>
      </c>
      <c r="J2914" s="4" t="str">
        <f>IFERROR(__XLUDF.DUMMYFUNCTION("VLOOKUP(H630,IMPORTRANGE(""https://docs.google.com/spreadsheets/d/1opm6ZNvGZ7KditA9TuJwrZ25eFLfTNIkrNnY6mhV5Eg"",""list!A1:C115""),3,TRUE)"),"le secteur de la sécurité informatique")</f>
        <v xml:space="preserve">le secteur de la sécurité informatique</v>
      </c>
      <c r="K2914" s="5" t="s">
        <v>21933</v>
      </c>
      <c r="L2914" s="5" t="s">
        <v>21934</v>
      </c>
      <c r="M2914" s="4" t="s">
        <v>439</v>
      </c>
      <c r="N2914" s="4" t="s">
        <v>29</v>
      </c>
      <c r="O2914" s="4" t="s">
        <v>21935</v>
      </c>
      <c r="P2914" s="4" t="s">
        <v>29</v>
      </c>
      <c r="Q2914" s="6"/>
      <c r="R2914" s="6"/>
      <c r="S2914" s="6"/>
      <c r="T2914" s="6"/>
      <c r="U2914" s="6"/>
      <c r="V2914" s="6"/>
      <c r="W2914" s="6"/>
      <c r="X2914" s="6"/>
      <c r="Y2914" s="6"/>
      <c r="Z2914" s="6"/>
      <c r="AA2914" s="6"/>
    </row>
    <row r="2915" ht="14.25">
      <c r="B2915" s="4" t="s">
        <v>206</v>
      </c>
      <c r="C2915" s="4" t="s">
        <v>21936</v>
      </c>
      <c r="D2915" s="4" t="s">
        <v>21937</v>
      </c>
      <c r="E2915" s="4" t="s">
        <v>19884</v>
      </c>
      <c r="F2915" s="4" t="str">
        <f>IFERROR(__XLUDF.DUMMYFUNCTION("PROPER(REGEXREPLACE(D631,""[^A-Za-z]+ "",""""))"),"Valthena")</f>
        <v>Valthena</v>
      </c>
      <c r="G2915" s="4" t="s">
        <v>21938</v>
      </c>
      <c r="H2915" s="4">
        <v>20</v>
      </c>
      <c r="I2915" s="4" t="s">
        <v>4067</v>
      </c>
      <c r="J2915" s="4"/>
      <c r="K2915" s="5" t="s">
        <v>21939</v>
      </c>
      <c r="L2915" s="5" t="s">
        <v>19887</v>
      </c>
      <c r="M2915" s="4" t="s">
        <v>39</v>
      </c>
      <c r="N2915" s="4" t="s">
        <v>29</v>
      </c>
      <c r="O2915" s="4" t="s">
        <v>19888</v>
      </c>
      <c r="P2915" s="4" t="s">
        <v>29</v>
      </c>
      <c r="Q2915" s="4" t="s">
        <v>19889</v>
      </c>
      <c r="R2915" s="6"/>
      <c r="S2915" s="6"/>
      <c r="T2915" s="6"/>
      <c r="U2915" s="6"/>
      <c r="V2915" s="6"/>
      <c r="W2915" s="6"/>
      <c r="X2915" s="6"/>
      <c r="Y2915" s="6"/>
      <c r="Z2915" s="6"/>
      <c r="AA2915" s="6"/>
    </row>
    <row r="2916" ht="14.25">
      <c r="B2916" s="4" t="s">
        <v>21940</v>
      </c>
      <c r="C2916" s="4" t="s">
        <v>21941</v>
      </c>
      <c r="D2916" s="4" t="s">
        <v>21942</v>
      </c>
      <c r="E2916" s="5" t="s">
        <v>21943</v>
      </c>
      <c r="F2916" s="4" t="str">
        <f>IFERROR(__XLUDF.DUMMYFUNCTION("PROPER(REGEXREPLACE(D632,""[^A-Za-z]+ "",""""))"),"Rokodo")</f>
        <v>Rokodo</v>
      </c>
      <c r="G2916" s="4" t="s">
        <v>21944</v>
      </c>
      <c r="H2916" s="4">
        <v>25</v>
      </c>
      <c r="I2916" s="4" t="s">
        <v>2602</v>
      </c>
      <c r="J2916" s="4"/>
      <c r="K2916" s="5" t="s">
        <v>21945</v>
      </c>
      <c r="L2916" s="5" t="s">
        <v>21946</v>
      </c>
      <c r="M2916" s="4" t="s">
        <v>39</v>
      </c>
      <c r="N2916" s="4" t="s">
        <v>29</v>
      </c>
      <c r="O2916" s="4" t="s">
        <v>21947</v>
      </c>
      <c r="P2916" s="4" t="s">
        <v>29</v>
      </c>
      <c r="Q2916" s="4" t="s">
        <v>21948</v>
      </c>
      <c r="R2916" s="6"/>
      <c r="S2916" s="6"/>
      <c r="T2916" s="6"/>
      <c r="U2916" s="6"/>
      <c r="V2916" s="6"/>
      <c r="W2916" s="6"/>
      <c r="X2916" s="6"/>
      <c r="Y2916" s="6"/>
      <c r="Z2916" s="6"/>
      <c r="AA2916" s="6"/>
    </row>
    <row r="2917" ht="14.25">
      <c r="B2917" s="4" t="s">
        <v>95</v>
      </c>
      <c r="C2917" s="4" t="s">
        <v>20</v>
      </c>
      <c r="D2917" s="4" t="s">
        <v>21949</v>
      </c>
      <c r="E2917" s="4" t="s">
        <v>21950</v>
      </c>
      <c r="F2917" s="4" t="str">
        <f>IFERROR(__XLUDF.DUMMYFUNCTION("PROPER(REGEXREPLACE(D633,""[^A-Za-z]+ "",""""))"),"Eno")</f>
        <v>Eno</v>
      </c>
      <c r="G2917" s="4" t="s">
        <v>21951</v>
      </c>
      <c r="H2917" s="4">
        <v>13</v>
      </c>
      <c r="I2917" s="4" t="s">
        <v>2602</v>
      </c>
      <c r="J2917" s="4" t="str">
        <f>IFERROR(__XLUDF.DUMMYFUNCTION("VLOOKUP(H633,IMPORTRANGE(""https://docs.google.com/spreadsheets/d/1opm6ZNvGZ7KditA9TuJwrZ25eFLfTNIkrNnY6mhV5Eg"",""list!A1:C115""),3,TRUE)"),"le secteur de la tech")</f>
        <v xml:space="preserve">le secteur de la tech</v>
      </c>
      <c r="K2917" s="5" t="s">
        <v>21952</v>
      </c>
      <c r="L2917" s="5" t="s">
        <v>21953</v>
      </c>
      <c r="M2917" s="4" t="s">
        <v>2186</v>
      </c>
      <c r="N2917" s="4" t="s">
        <v>29</v>
      </c>
      <c r="O2917" s="4" t="s">
        <v>21954</v>
      </c>
      <c r="P2917" s="4" t="s">
        <v>5973</v>
      </c>
      <c r="Q2917" s="4" t="s">
        <v>21955</v>
      </c>
      <c r="R2917" s="6"/>
      <c r="S2917" s="6"/>
      <c r="T2917" s="6"/>
      <c r="U2917" s="6"/>
      <c r="V2917" s="6"/>
      <c r="W2917" s="6"/>
      <c r="X2917" s="6"/>
      <c r="Y2917" s="6"/>
      <c r="Z2917" s="6"/>
      <c r="AA2917" s="6"/>
    </row>
    <row r="2918" ht="14.25">
      <c r="B2918" s="4" t="s">
        <v>5716</v>
      </c>
      <c r="C2918" s="4" t="s">
        <v>19076</v>
      </c>
      <c r="D2918" s="4" t="s">
        <v>19077</v>
      </c>
      <c r="E2918" s="4" t="s">
        <v>19078</v>
      </c>
      <c r="F2918" s="4" t="str">
        <f>IFERROR(__XLUDF.DUMMYFUNCTION("PROPER(REGEXREPLACE(D634,""[^A-Za-z]+ "",""""))"),"Happy Unity")</f>
        <v xml:space="preserve">Happy Unity</v>
      </c>
      <c r="G2918" s="4" t="s">
        <v>19079</v>
      </c>
      <c r="H2918" s="4">
        <v>10</v>
      </c>
      <c r="I2918" s="4" t="s">
        <v>4067</v>
      </c>
      <c r="J2918" s="4"/>
      <c r="K2918" s="5" t="s">
        <v>19080</v>
      </c>
      <c r="L2918" s="5" t="s">
        <v>19081</v>
      </c>
      <c r="M2918" s="4" t="s">
        <v>6339</v>
      </c>
      <c r="N2918" s="4" t="s">
        <v>29</v>
      </c>
      <c r="O2918" s="4" t="s">
        <v>19082</v>
      </c>
      <c r="P2918" s="4" t="s">
        <v>29</v>
      </c>
      <c r="Q2918" s="4" t="s">
        <v>19083</v>
      </c>
      <c r="R2918" s="6"/>
      <c r="S2918" s="6"/>
      <c r="T2918" s="6"/>
      <c r="U2918" s="6"/>
      <c r="V2918" s="6"/>
      <c r="W2918" s="6"/>
      <c r="X2918" s="6"/>
      <c r="Y2918" s="6"/>
      <c r="Z2918" s="6"/>
      <c r="AA2918" s="6"/>
    </row>
    <row r="2919" ht="14.25">
      <c r="B2919" s="4" t="s">
        <v>622</v>
      </c>
      <c r="C2919" s="4" t="s">
        <v>21956</v>
      </c>
      <c r="D2919" s="4" t="s">
        <v>8146</v>
      </c>
      <c r="E2919" s="4" t="s">
        <v>21957</v>
      </c>
      <c r="F2919" s="4" t="str">
        <f>IFERROR(__XLUDF.DUMMYFUNCTION("PROPER(REGEXREPLACE(D635,""[^A-Za-z]+ "",""""))"),"Taroko Strategy")</f>
        <v xml:space="preserve">Taroko Strategy</v>
      </c>
      <c r="G2919" s="4" t="s">
        <v>21958</v>
      </c>
      <c r="H2919" s="4">
        <v>10</v>
      </c>
      <c r="I2919" s="4" t="s">
        <v>4067</v>
      </c>
      <c r="J2919" s="4" t="str">
        <f>IFERROR(__XLUDF.DUMMYFUNCTION("VLOOKUP(H635,IMPORTRANGE(""https://docs.google.com/spreadsheets/d/1opm6ZNvGZ7KditA9TuJwrZ25eFLfTNIkrNnY6mhV5Eg"",""list!A1:C115""),3,TRUE)"),"le secteur du conseil en management")</f>
        <v xml:space="preserve">le secteur du conseil en management</v>
      </c>
      <c r="K2919" s="5" t="s">
        <v>21959</v>
      </c>
      <c r="L2919" s="5" t="s">
        <v>21960</v>
      </c>
      <c r="M2919" s="6"/>
      <c r="N2919" s="4" t="s">
        <v>29</v>
      </c>
      <c r="O2919" s="4" t="s">
        <v>21961</v>
      </c>
      <c r="P2919" s="4" t="s">
        <v>29</v>
      </c>
      <c r="Q2919" s="4" t="s">
        <v>9834</v>
      </c>
      <c r="R2919" s="6"/>
      <c r="S2919" s="6"/>
      <c r="T2919" s="6"/>
      <c r="U2919" s="6"/>
      <c r="V2919" s="6"/>
      <c r="W2919" s="6"/>
      <c r="X2919" s="6"/>
      <c r="Y2919" s="6"/>
      <c r="Z2919" s="6"/>
      <c r="AA2919" s="6"/>
    </row>
    <row r="2920" ht="14.25">
      <c r="B2920" s="4" t="s">
        <v>110</v>
      </c>
      <c r="C2920" s="4" t="s">
        <v>21962</v>
      </c>
      <c r="D2920" s="4" t="s">
        <v>1950</v>
      </c>
      <c r="E2920" s="4" t="s">
        <v>14734</v>
      </c>
      <c r="F2920" s="4" t="str">
        <f>IFERROR(__XLUDF.DUMMYFUNCTION("PROPER(REGEXREPLACE(D636,""[^A-Za-z]+ "",""""))"),"Tryba Energy")</f>
        <v xml:space="preserve">Tryba Energy</v>
      </c>
      <c r="G2920" s="4" t="s">
        <v>21963</v>
      </c>
      <c r="H2920" s="4">
        <v>27</v>
      </c>
      <c r="I2920" s="4" t="s">
        <v>4067</v>
      </c>
      <c r="J2920" s="4"/>
      <c r="K2920" s="5" t="s">
        <v>21964</v>
      </c>
      <c r="L2920" s="5" t="s">
        <v>21965</v>
      </c>
      <c r="M2920" s="4" t="s">
        <v>185</v>
      </c>
      <c r="N2920" s="4" t="s">
        <v>29</v>
      </c>
      <c r="O2920" s="4" t="s">
        <v>21966</v>
      </c>
      <c r="P2920" s="4" t="s">
        <v>29</v>
      </c>
      <c r="Q2920" s="4" t="s">
        <v>14738</v>
      </c>
      <c r="R2920" s="6"/>
      <c r="S2920" s="6"/>
      <c r="T2920" s="6"/>
      <c r="U2920" s="6"/>
      <c r="V2920" s="6"/>
      <c r="W2920" s="6"/>
      <c r="X2920" s="6"/>
      <c r="Y2920" s="6"/>
      <c r="Z2920" s="6"/>
      <c r="AA2920" s="6"/>
    </row>
    <row r="2921" ht="14.25">
      <c r="B2921" s="4" t="s">
        <v>21967</v>
      </c>
      <c r="C2921" s="4" t="s">
        <v>1732</v>
      </c>
      <c r="D2921" s="4" t="s">
        <v>112</v>
      </c>
      <c r="E2921" s="4" t="s">
        <v>21968</v>
      </c>
      <c r="F2921" s="4" t="str">
        <f>IFERROR(__XLUDF.DUMMYFUNCTION("PROPER(REGEXREPLACE(D637,""[^A-Za-z]+ "",""""))"),"Mojovida")</f>
        <v>Mojovida</v>
      </c>
      <c r="G2921" s="4" t="s">
        <v>21969</v>
      </c>
      <c r="H2921" s="4">
        <v>62</v>
      </c>
      <c r="I2921" s="4" t="s">
        <v>2602</v>
      </c>
      <c r="J2921" s="4"/>
      <c r="K2921" s="5" t="s">
        <v>21970</v>
      </c>
      <c r="L2921" s="5" t="s">
        <v>21971</v>
      </c>
      <c r="M2921" s="4" t="s">
        <v>39</v>
      </c>
      <c r="N2921" s="4" t="s">
        <v>29</v>
      </c>
      <c r="O2921" s="4" t="s">
        <v>21972</v>
      </c>
      <c r="P2921" s="4" t="s">
        <v>29</v>
      </c>
      <c r="Q2921" s="4" t="s">
        <v>21973</v>
      </c>
      <c r="R2921" s="6"/>
      <c r="S2921" s="6"/>
      <c r="T2921" s="6"/>
      <c r="U2921" s="6"/>
      <c r="V2921" s="6"/>
      <c r="W2921" s="6"/>
      <c r="X2921" s="6"/>
      <c r="Y2921" s="6"/>
      <c r="Z2921" s="6"/>
      <c r="AA2921" s="6"/>
    </row>
    <row r="2922" ht="14.25">
      <c r="B2922" s="4" t="s">
        <v>7303</v>
      </c>
      <c r="C2922" s="4" t="s">
        <v>21974</v>
      </c>
      <c r="D2922" s="4" t="s">
        <v>120</v>
      </c>
      <c r="E2922" s="4" t="s">
        <v>21975</v>
      </c>
      <c r="F2922" s="4" t="str">
        <f>IFERROR(__XLUDF.DUMMYFUNCTION("PROPER(REGEXREPLACE(D638,""[^A-Za-z]+ "",""""))"),"Finovox")</f>
        <v>Finovox</v>
      </c>
      <c r="G2922" s="4" t="s">
        <v>21976</v>
      </c>
      <c r="H2922" s="4">
        <v>45</v>
      </c>
      <c r="I2922" s="4" t="s">
        <v>2602</v>
      </c>
      <c r="J2922" s="4" t="str">
        <f>IFERROR(__XLUDF.DUMMYFUNCTION("VLOOKUP(H638,IMPORTRANGE(""https://docs.google.com/spreadsheets/d/1opm6ZNvGZ7KditA9TuJwrZ25eFLfTNIkrNnY6mhV5Eg"",""list!A1:C115""),3,TRUE)"),"le secteur de la tech")</f>
        <v xml:space="preserve">le secteur de la tech</v>
      </c>
      <c r="K2922" s="5" t="s">
        <v>21977</v>
      </c>
      <c r="L2922" s="5" t="s">
        <v>21978</v>
      </c>
      <c r="M2922" s="6"/>
      <c r="N2922" s="4" t="s">
        <v>29</v>
      </c>
      <c r="O2922" s="4" t="s">
        <v>67</v>
      </c>
      <c r="P2922" s="4" t="s">
        <v>29</v>
      </c>
      <c r="Q2922" s="4" t="s">
        <v>21979</v>
      </c>
      <c r="R2922" s="6"/>
      <c r="S2922" s="6"/>
      <c r="T2922" s="6"/>
      <c r="U2922" s="6"/>
      <c r="V2922" s="6"/>
      <c r="W2922" s="6"/>
      <c r="X2922" s="6"/>
      <c r="Y2922" s="6"/>
      <c r="Z2922" s="6"/>
      <c r="AA2922" s="6"/>
    </row>
    <row r="2923" ht="14.25">
      <c r="B2923" s="4" t="s">
        <v>971</v>
      </c>
      <c r="C2923" s="4" t="s">
        <v>21980</v>
      </c>
      <c r="D2923" s="4" t="s">
        <v>315</v>
      </c>
      <c r="E2923" s="4" t="s">
        <v>16466</v>
      </c>
      <c r="F2923" s="4" t="str">
        <f>IFERROR(__XLUDF.DUMMYFUNCTION("PROPER(REGEXREPLACE(D639,""[^A-Za-z]+ "",""""))"),"Cloud-Iam")</f>
        <v>Cloud-Iam</v>
      </c>
      <c r="G2923" s="4" t="s">
        <v>21981</v>
      </c>
      <c r="H2923" s="4">
        <v>11</v>
      </c>
      <c r="I2923" s="4" t="s">
        <v>9264</v>
      </c>
      <c r="J2923" s="4"/>
      <c r="K2923" s="5" t="s">
        <v>21982</v>
      </c>
      <c r="L2923" s="5" t="s">
        <v>21983</v>
      </c>
      <c r="M2923" s="4" t="s">
        <v>39</v>
      </c>
      <c r="N2923" s="4" t="s">
        <v>29</v>
      </c>
      <c r="O2923" s="4" t="s">
        <v>21984</v>
      </c>
      <c r="P2923" s="4" t="s">
        <v>29</v>
      </c>
      <c r="Q2923" s="4" t="s">
        <v>16471</v>
      </c>
      <c r="R2923" s="6"/>
      <c r="S2923" s="6"/>
      <c r="T2923" s="6"/>
      <c r="U2923" s="6"/>
      <c r="V2923" s="6"/>
      <c r="W2923" s="6"/>
      <c r="X2923" s="6"/>
      <c r="Y2923" s="6"/>
      <c r="Z2923" s="6"/>
      <c r="AA2923" s="6"/>
    </row>
    <row r="2924" ht="14.25">
      <c r="B2924" s="4" t="s">
        <v>4026</v>
      </c>
      <c r="C2924" s="4" t="s">
        <v>20517</v>
      </c>
      <c r="D2924" s="4" t="s">
        <v>172</v>
      </c>
      <c r="E2924" s="4" t="s">
        <v>21985</v>
      </c>
      <c r="F2924" s="4" t="str">
        <f>IFERROR(__XLUDF.DUMMYFUNCTION("PROPER(REGEXREPLACE(D640,""[^A-Za-z]+ "",""""))"),"Entreprise Du Futur")</f>
        <v xml:space="preserve">Entreprise Du Futur</v>
      </c>
      <c r="G2924" s="4" t="s">
        <v>21986</v>
      </c>
      <c r="H2924" s="4">
        <v>54</v>
      </c>
      <c r="I2924" s="4" t="s">
        <v>2602</v>
      </c>
      <c r="J2924" s="4"/>
      <c r="K2924" s="5" t="s">
        <v>21987</v>
      </c>
      <c r="L2924" s="5" t="s">
        <v>21988</v>
      </c>
      <c r="M2924" s="4" t="s">
        <v>21989</v>
      </c>
      <c r="N2924" s="4" t="s">
        <v>29</v>
      </c>
      <c r="O2924" s="4" t="s">
        <v>21990</v>
      </c>
      <c r="P2924" s="4" t="s">
        <v>29</v>
      </c>
      <c r="Q2924" s="6"/>
      <c r="R2924" s="6"/>
      <c r="S2924" s="6"/>
      <c r="T2924" s="6"/>
      <c r="U2924" s="6"/>
      <c r="V2924" s="6"/>
      <c r="W2924" s="6"/>
      <c r="X2924" s="6"/>
      <c r="Y2924" s="6"/>
      <c r="Z2924" s="6"/>
      <c r="AA2924" s="6"/>
    </row>
    <row r="2925" ht="14.25">
      <c r="B2925" s="4" t="s">
        <v>21991</v>
      </c>
      <c r="C2925" s="4" t="s">
        <v>21992</v>
      </c>
      <c r="D2925" s="4" t="s">
        <v>62</v>
      </c>
      <c r="E2925" s="4" t="s">
        <v>21993</v>
      </c>
      <c r="F2925" s="4" t="str">
        <f>IFERROR(__XLUDF.DUMMYFUNCTION("PROPER(REGEXREPLACE(D641,""[^A-Za-z]+ "",""""))"),"Docaxess")</f>
        <v>Docaxess</v>
      </c>
      <c r="G2925" s="4" t="s">
        <v>21994</v>
      </c>
      <c r="H2925" s="4">
        <v>17</v>
      </c>
      <c r="I2925" s="4" t="s">
        <v>2602</v>
      </c>
      <c r="J2925" s="4"/>
      <c r="K2925" s="5" t="s">
        <v>21995</v>
      </c>
      <c r="L2925" s="5" t="s">
        <v>21996</v>
      </c>
      <c r="M2925" s="4" t="s">
        <v>39</v>
      </c>
      <c r="N2925" s="4" t="s">
        <v>29</v>
      </c>
      <c r="O2925" s="4" t="s">
        <v>21997</v>
      </c>
      <c r="P2925" s="4" t="s">
        <v>29</v>
      </c>
      <c r="Q2925" s="4" t="s">
        <v>21998</v>
      </c>
      <c r="R2925" s="6"/>
      <c r="S2925" s="6"/>
      <c r="T2925" s="6"/>
      <c r="U2925" s="6"/>
      <c r="V2925" s="6"/>
      <c r="W2925" s="6"/>
      <c r="X2925" s="6"/>
      <c r="Y2925" s="6"/>
      <c r="Z2925" s="6"/>
      <c r="AA2925" s="6"/>
    </row>
    <row r="2926" ht="14.25">
      <c r="B2926" s="4" t="s">
        <v>1070</v>
      </c>
      <c r="C2926" s="4" t="s">
        <v>21999</v>
      </c>
      <c r="D2926" s="4" t="s">
        <v>44</v>
      </c>
      <c r="E2926" s="4" t="s">
        <v>22000</v>
      </c>
      <c r="F2926" s="4" t="str">
        <f>IFERROR(__XLUDF.DUMMYFUNCTION("PROPER(REGEXREPLACE(D642,""[^A-Za-z]+ "",""""))"),"Dm Technology")</f>
        <v xml:space="preserve">Dm Technology</v>
      </c>
      <c r="G2926" s="4" t="s">
        <v>22001</v>
      </c>
      <c r="H2926" s="4">
        <v>24</v>
      </c>
      <c r="I2926" s="4" t="s">
        <v>2602</v>
      </c>
      <c r="J2926" s="4" t="str">
        <f>IFERROR(__XLUDF.DUMMYFUNCTION("VLOOKUP(H642,IMPORTRANGE(""https://docs.google.com/spreadsheets/d/1opm6ZNvGZ7KditA9TuJwrZ25eFLfTNIkrNnY6mhV5Eg"",""list!A1:C115""),3,TRUE)"),"le secteur de la tech")</f>
        <v xml:space="preserve">le secteur de la tech</v>
      </c>
      <c r="K2926" s="5" t="s">
        <v>22002</v>
      </c>
      <c r="L2926" s="5" t="s">
        <v>22003</v>
      </c>
      <c r="M2926" s="4" t="s">
        <v>13773</v>
      </c>
      <c r="N2926" s="4" t="s">
        <v>29</v>
      </c>
      <c r="O2926" s="4" t="s">
        <v>611</v>
      </c>
      <c r="P2926" s="4" t="s">
        <v>29</v>
      </c>
      <c r="Q2926" s="6"/>
      <c r="R2926" s="6"/>
      <c r="S2926" s="6"/>
      <c r="T2926" s="6"/>
      <c r="U2926" s="6"/>
      <c r="V2926" s="6"/>
      <c r="W2926" s="6"/>
      <c r="X2926" s="6"/>
      <c r="Y2926" s="6"/>
      <c r="Z2926" s="6"/>
      <c r="AA2926" s="6"/>
    </row>
    <row r="2927" ht="14.25">
      <c r="B2927" s="4" t="s">
        <v>893</v>
      </c>
      <c r="C2927" s="4" t="s">
        <v>22004</v>
      </c>
      <c r="D2927" s="4" t="s">
        <v>4660</v>
      </c>
      <c r="E2927" s="4" t="s">
        <v>22005</v>
      </c>
      <c r="F2927" s="4" t="str">
        <f>IFERROR(__XLUDF.DUMMYFUNCTION("PROPER(REGEXREPLACE(D643,""[^A-Za-z]+ "",""""))"),"Deeploy")</f>
        <v>Deeploy</v>
      </c>
      <c r="G2927" s="4" t="s">
        <v>22006</v>
      </c>
      <c r="H2927" s="4">
        <v>13</v>
      </c>
      <c r="I2927" s="4" t="s">
        <v>4067</v>
      </c>
      <c r="J2927" s="4" t="str">
        <f>IFERROR(__XLUDF.DUMMYFUNCTION("VLOOKUP(H643,IMPORTRANGE(""https://docs.google.com/spreadsheets/d/1opm6ZNvGZ7KditA9TuJwrZ25eFLfTNIkrNnY6mhV5Eg"",""list!A1:C115""),3,TRUE)"),"le secteur du conseil en management")</f>
        <v xml:space="preserve">le secteur du conseil en management</v>
      </c>
      <c r="K2927" s="5" t="s">
        <v>22007</v>
      </c>
      <c r="L2927" s="5" t="s">
        <v>22008</v>
      </c>
      <c r="M2927" s="4" t="s">
        <v>39</v>
      </c>
      <c r="N2927" s="4" t="s">
        <v>29</v>
      </c>
      <c r="O2927" s="4" t="s">
        <v>22009</v>
      </c>
      <c r="P2927" s="4" t="s">
        <v>29</v>
      </c>
      <c r="Q2927" s="4" t="s">
        <v>22010</v>
      </c>
      <c r="R2927" s="6"/>
      <c r="S2927" s="6"/>
      <c r="T2927" s="6"/>
      <c r="U2927" s="6"/>
      <c r="V2927" s="6"/>
      <c r="W2927" s="6"/>
      <c r="X2927" s="6"/>
      <c r="Y2927" s="6"/>
      <c r="Z2927" s="6"/>
      <c r="AA2927" s="6"/>
    </row>
    <row r="2928" ht="14.25">
      <c r="B2928" s="4" t="s">
        <v>22011</v>
      </c>
      <c r="C2928" s="4" t="s">
        <v>22012</v>
      </c>
      <c r="D2928" s="4" t="s">
        <v>22013</v>
      </c>
      <c r="E2928" s="4" t="s">
        <v>22014</v>
      </c>
      <c r="F2928" s="4" t="str">
        <f>IFERROR(__XLUDF.DUMMYFUNCTION("PROPER(REGEXREPLACE(D644,""[^A-Za-z]+ "",""""))"),"Upscale Hub")</f>
        <v xml:space="preserve">Upscale Hub</v>
      </c>
      <c r="G2928" s="4" t="s">
        <v>22015</v>
      </c>
      <c r="H2928" s="4">
        <v>11</v>
      </c>
      <c r="I2928" s="4" t="s">
        <v>2602</v>
      </c>
      <c r="J2928" s="4"/>
      <c r="K2928" s="5" t="s">
        <v>22016</v>
      </c>
      <c r="L2928" s="5" t="s">
        <v>22017</v>
      </c>
      <c r="M2928" s="4" t="s">
        <v>846</v>
      </c>
      <c r="N2928" s="4" t="s">
        <v>29</v>
      </c>
      <c r="O2928" s="6"/>
      <c r="P2928" s="6"/>
      <c r="Q2928" s="4" t="s">
        <v>22018</v>
      </c>
      <c r="R2928" s="6"/>
      <c r="S2928" s="6"/>
      <c r="T2928" s="6"/>
      <c r="U2928" s="6"/>
      <c r="V2928" s="6"/>
      <c r="W2928" s="6"/>
      <c r="X2928" s="6"/>
      <c r="Y2928" s="6"/>
      <c r="Z2928" s="6"/>
      <c r="AA2928" s="6"/>
    </row>
    <row r="2929" ht="14.25">
      <c r="B2929" s="4" t="s">
        <v>22019</v>
      </c>
      <c r="C2929" s="4" t="s">
        <v>22020</v>
      </c>
      <c r="D2929" s="4" t="s">
        <v>2911</v>
      </c>
      <c r="E2929" s="4" t="s">
        <v>22021</v>
      </c>
      <c r="F2929" s="4" t="str">
        <f>IFERROR(__XLUDF.DUMMYFUNCTION("PROPER(REGEXREPLACE(D645,""[^A-Za-z]+ "",""""))"),"Cali Intelligences")</f>
        <v xml:space="preserve">Cali Intelligences</v>
      </c>
      <c r="G2929" s="4" t="s">
        <v>22022</v>
      </c>
      <c r="H2929" s="4">
        <v>9</v>
      </c>
      <c r="I2929" s="4" t="s">
        <v>2602</v>
      </c>
      <c r="J2929" s="4"/>
      <c r="K2929" s="5" t="s">
        <v>22023</v>
      </c>
      <c r="L2929" s="5" t="s">
        <v>22024</v>
      </c>
      <c r="M2929" s="4" t="s">
        <v>243</v>
      </c>
      <c r="N2929" s="4" t="s">
        <v>29</v>
      </c>
      <c r="O2929" s="4" t="s">
        <v>22025</v>
      </c>
      <c r="P2929" s="4" t="s">
        <v>29</v>
      </c>
      <c r="Q2929" s="6"/>
      <c r="R2929" s="6"/>
      <c r="S2929" s="6"/>
      <c r="T2929" s="6"/>
      <c r="U2929" s="6"/>
      <c r="V2929" s="6"/>
      <c r="W2929" s="6"/>
      <c r="X2929" s="6"/>
      <c r="Y2929" s="6"/>
      <c r="Z2929" s="6"/>
      <c r="AA2929" s="6"/>
    </row>
    <row r="2930" ht="14.25">
      <c r="B2930" s="4" t="s">
        <v>22026</v>
      </c>
      <c r="C2930" s="4" t="s">
        <v>22027</v>
      </c>
      <c r="D2930" s="4" t="s">
        <v>87</v>
      </c>
      <c r="E2930" s="4" t="s">
        <v>22028</v>
      </c>
      <c r="F2930" s="4" t="str">
        <f>IFERROR(__XLUDF.DUMMYFUNCTION("PROPER(REGEXREPLACE(D646,""[^A-Za-z]+ "",""""))"),"Welbees")</f>
        <v>Welbees</v>
      </c>
      <c r="G2930" s="4" t="s">
        <v>22029</v>
      </c>
      <c r="H2930" s="4">
        <v>10</v>
      </c>
      <c r="I2930" s="4" t="s">
        <v>4067</v>
      </c>
      <c r="J2930" s="4"/>
      <c r="K2930" s="5" t="s">
        <v>22030</v>
      </c>
      <c r="L2930" s="5" t="s">
        <v>22031</v>
      </c>
      <c r="M2930" s="4" t="s">
        <v>39</v>
      </c>
      <c r="N2930" s="4" t="s">
        <v>29</v>
      </c>
      <c r="O2930" s="4" t="s">
        <v>22032</v>
      </c>
      <c r="P2930" s="4" t="s">
        <v>29</v>
      </c>
      <c r="Q2930" s="6"/>
      <c r="R2930" s="6"/>
      <c r="S2930" s="6"/>
      <c r="T2930" s="6"/>
      <c r="U2930" s="6"/>
      <c r="V2930" s="6"/>
      <c r="W2930" s="6"/>
      <c r="X2930" s="6"/>
      <c r="Y2930" s="6"/>
      <c r="Z2930" s="6"/>
      <c r="AA2930" s="6"/>
    </row>
    <row r="2931" ht="14.25">
      <c r="B2931" s="4" t="s">
        <v>22033</v>
      </c>
      <c r="C2931" s="4" t="s">
        <v>22034</v>
      </c>
      <c r="D2931" s="4" t="s">
        <v>172</v>
      </c>
      <c r="E2931" s="4" t="s">
        <v>22035</v>
      </c>
      <c r="F2931" s="4" t="str">
        <f>IFERROR(__XLUDF.DUMMYFUNCTION("PROPER(REGEXREPLACE(D647,""[^A-Za-z]+ "",""""))"),"Pce Mobile")</f>
        <v xml:space="preserve">Pce Mobile</v>
      </c>
      <c r="G2931" s="4" t="s">
        <v>22036</v>
      </c>
      <c r="H2931" s="4">
        <v>43</v>
      </c>
      <c r="I2931" s="4" t="s">
        <v>9184</v>
      </c>
      <c r="J2931" s="4"/>
      <c r="K2931" s="5" t="s">
        <v>22037</v>
      </c>
      <c r="L2931" s="5" t="s">
        <v>22038</v>
      </c>
      <c r="M2931" s="6"/>
      <c r="N2931" s="4" t="s">
        <v>29</v>
      </c>
      <c r="O2931" s="4" t="s">
        <v>22039</v>
      </c>
      <c r="P2931" s="4" t="s">
        <v>29</v>
      </c>
      <c r="Q2931" s="6"/>
      <c r="R2931" s="6"/>
      <c r="S2931" s="6"/>
      <c r="T2931" s="6"/>
      <c r="U2931" s="6"/>
      <c r="V2931" s="6"/>
      <c r="W2931" s="6"/>
      <c r="X2931" s="6"/>
      <c r="Y2931" s="6"/>
      <c r="Z2931" s="6"/>
      <c r="AA2931" s="6"/>
    </row>
    <row r="2932" ht="14.25">
      <c r="B2932" s="4" t="s">
        <v>76</v>
      </c>
      <c r="C2932" s="4" t="s">
        <v>22040</v>
      </c>
      <c r="D2932" s="4" t="s">
        <v>172</v>
      </c>
      <c r="E2932" s="4" t="s">
        <v>22041</v>
      </c>
      <c r="F2932" s="4" t="str">
        <f>IFERROR(__XLUDF.DUMMYFUNCTION("PROPER(REGEXREPLACE(D648,""[^A-Za-z]+ "",""""))"),"Semexval-Splm")</f>
        <v>Semexval-Splm</v>
      </c>
      <c r="G2932" s="4" t="s">
        <v>22042</v>
      </c>
      <c r="H2932" s="4">
        <v>16</v>
      </c>
      <c r="I2932" s="4" t="s">
        <v>4293</v>
      </c>
      <c r="J2932" s="4"/>
      <c r="K2932" s="5" t="s">
        <v>22043</v>
      </c>
      <c r="L2932" s="5" t="s">
        <v>22044</v>
      </c>
      <c r="M2932" s="4" t="s">
        <v>22045</v>
      </c>
      <c r="N2932" s="4" t="s">
        <v>29</v>
      </c>
      <c r="O2932" s="4" t="s">
        <v>22046</v>
      </c>
      <c r="P2932" s="4" t="s">
        <v>29</v>
      </c>
      <c r="Q2932" s="4" t="s">
        <v>22047</v>
      </c>
      <c r="R2932" s="6"/>
      <c r="S2932" s="6"/>
      <c r="T2932" s="6"/>
      <c r="U2932" s="6"/>
      <c r="V2932" s="6"/>
      <c r="W2932" s="6"/>
      <c r="X2932" s="6"/>
      <c r="Y2932" s="6"/>
      <c r="Z2932" s="6"/>
      <c r="AA2932" s="6"/>
    </row>
    <row r="2933" ht="14.25">
      <c r="B2933" s="4" t="s">
        <v>76</v>
      </c>
      <c r="C2933" s="4" t="s">
        <v>22048</v>
      </c>
      <c r="D2933" s="4" t="s">
        <v>22049</v>
      </c>
      <c r="E2933" s="4" t="s">
        <v>22050</v>
      </c>
      <c r="F2933" s="4" t="str">
        <f>IFERROR(__XLUDF.DUMMYFUNCTION("PROPER(REGEXREPLACE(D649,""[^A-Za-z]+ "",""""))"),"Viitamine")</f>
        <v>Viitamine</v>
      </c>
      <c r="G2933" s="4" t="s">
        <v>22051</v>
      </c>
      <c r="H2933" s="4">
        <v>10</v>
      </c>
      <c r="I2933" s="4" t="s">
        <v>4067</v>
      </c>
      <c r="J2933" s="4" t="str">
        <f>IFERROR(__XLUDF.DUMMYFUNCTION("VLOOKUP(H649,IMPORTRANGE(""https://docs.google.com/spreadsheets/d/1opm6ZNvGZ7KditA9TuJwrZ25eFLfTNIkrNnY6mhV5Eg"",""list!A1:C115""),3,TRUE)"),"le secteur du conseil en management")</f>
        <v xml:space="preserve">le secteur du conseil en management</v>
      </c>
      <c r="K2933" s="5" t="s">
        <v>22052</v>
      </c>
      <c r="L2933" s="5" t="s">
        <v>22053</v>
      </c>
      <c r="M2933" s="4" t="s">
        <v>39</v>
      </c>
      <c r="N2933" s="4" t="s">
        <v>29</v>
      </c>
      <c r="O2933" s="4" t="s">
        <v>22054</v>
      </c>
      <c r="P2933" s="4" t="s">
        <v>29</v>
      </c>
      <c r="Q2933" s="4" t="s">
        <v>22055</v>
      </c>
      <c r="R2933" s="6"/>
      <c r="S2933" s="6"/>
      <c r="T2933" s="6"/>
      <c r="U2933" s="6"/>
      <c r="V2933" s="6"/>
      <c r="W2933" s="6"/>
      <c r="X2933" s="6"/>
      <c r="Y2933" s="6"/>
      <c r="Z2933" s="6"/>
      <c r="AA2933" s="6"/>
    </row>
    <row r="2934" ht="14.25">
      <c r="B2934" s="4" t="s">
        <v>330</v>
      </c>
      <c r="C2934" s="4" t="s">
        <v>22056</v>
      </c>
      <c r="D2934" s="4" t="s">
        <v>22057</v>
      </c>
      <c r="E2934" s="4" t="s">
        <v>22058</v>
      </c>
      <c r="F2934" s="4" t="str">
        <f>IFERROR(__XLUDF.DUMMYFUNCTION("PROPER(REGEXREPLACE(D650,""[^A-Za-z]+ "",""""))"),"Terres Rouges")</f>
        <v xml:space="preserve">Terres Rouges</v>
      </c>
      <c r="G2934" s="4" t="s">
        <v>22059</v>
      </c>
      <c r="H2934" s="4">
        <v>18</v>
      </c>
      <c r="I2934" s="4" t="s">
        <v>9161</v>
      </c>
      <c r="J2934" s="4"/>
      <c r="K2934" s="5" t="s">
        <v>22060</v>
      </c>
      <c r="L2934" s="5" t="s">
        <v>22061</v>
      </c>
      <c r="M2934" s="4" t="s">
        <v>39</v>
      </c>
      <c r="N2934" s="4" t="s">
        <v>29</v>
      </c>
      <c r="O2934" s="4" t="s">
        <v>22062</v>
      </c>
      <c r="P2934" s="4" t="s">
        <v>29</v>
      </c>
      <c r="Q2934" s="4" t="s">
        <v>22063</v>
      </c>
      <c r="R2934" s="6"/>
      <c r="S2934" s="6"/>
      <c r="T2934" s="6"/>
      <c r="U2934" s="6"/>
      <c r="V2934" s="6"/>
      <c r="W2934" s="6"/>
      <c r="X2934" s="6"/>
      <c r="Y2934" s="6"/>
      <c r="Z2934" s="6"/>
      <c r="AA2934" s="6"/>
    </row>
    <row r="2935" ht="14.25">
      <c r="B2935" s="4" t="s">
        <v>1387</v>
      </c>
      <c r="C2935" s="4" t="s">
        <v>22064</v>
      </c>
      <c r="D2935" s="4" t="s">
        <v>44</v>
      </c>
      <c r="E2935" s="4" t="s">
        <v>22065</v>
      </c>
      <c r="F2935" s="4" t="str">
        <f>IFERROR(__XLUDF.DUMMYFUNCTION("PROPER(REGEXREPLACE(D651,""[^A-Za-z]+ "",""""))"),"Conseil 3D")</f>
        <v xml:space="preserve">Conseil 3D</v>
      </c>
      <c r="G2935" s="4" t="s">
        <v>22066</v>
      </c>
      <c r="H2935" s="4">
        <v>10</v>
      </c>
      <c r="I2935" s="4" t="s">
        <v>2602</v>
      </c>
      <c r="J2935" s="4" t="str">
        <f>IFERROR(__XLUDF.DUMMYFUNCTION("VLOOKUP(H651,IMPORTRANGE(""https://docs.google.com/spreadsheets/d/1opm6ZNvGZ7KditA9TuJwrZ25eFLfTNIkrNnY6mhV5Eg"",""list!A1:C115""),3,TRUE)"),"le secteur de la tech")</f>
        <v xml:space="preserve">le secteur de la tech</v>
      </c>
      <c r="K2935" s="5" t="s">
        <v>22067</v>
      </c>
      <c r="L2935" s="5" t="s">
        <v>22068</v>
      </c>
      <c r="M2935" s="4" t="s">
        <v>39</v>
      </c>
      <c r="N2935" s="4" t="s">
        <v>29</v>
      </c>
      <c r="O2935" s="4" t="s">
        <v>22069</v>
      </c>
      <c r="P2935" s="4" t="s">
        <v>29</v>
      </c>
      <c r="Q2935" s="4" t="s">
        <v>22070</v>
      </c>
      <c r="R2935" s="6"/>
      <c r="S2935" s="6"/>
      <c r="T2935" s="6"/>
      <c r="U2935" s="6"/>
      <c r="V2935" s="6"/>
      <c r="W2935" s="6"/>
      <c r="X2935" s="6"/>
      <c r="Y2935" s="6"/>
      <c r="Z2935" s="6"/>
      <c r="AA2935" s="6"/>
    </row>
    <row r="2936" ht="14.25">
      <c r="B2936" s="4" t="s">
        <v>5873</v>
      </c>
      <c r="C2936" s="4" t="s">
        <v>22071</v>
      </c>
      <c r="D2936" s="4" t="s">
        <v>87</v>
      </c>
      <c r="E2936" s="4" t="s">
        <v>22072</v>
      </c>
      <c r="F2936" s="4" t="str">
        <f>IFERROR(__XLUDF.DUMMYFUNCTION("PROPER(REGEXREPLACE(D652,""[^A-Za-z]+ "",""""))"),"E-Xteq")</f>
        <v>E-Xteq</v>
      </c>
      <c r="G2936" s="4" t="s">
        <v>22073</v>
      </c>
      <c r="H2936" s="4">
        <v>21</v>
      </c>
      <c r="I2936" s="4" t="s">
        <v>10215</v>
      </c>
      <c r="J2936" s="4" t="str">
        <f>IFERROR(__XLUDF.DUMMYFUNCTION("VLOOKUP(H652,IMPORTRANGE(""https://docs.google.com/spreadsheets/d/1opm6ZNvGZ7KditA9TuJwrZ25eFLfTNIkrNnY6mhV5Eg"",""list!A1:C115""),3,TRUE)"),"le secteur de l'électrique et électronique")</f>
        <v xml:space="preserve">le secteur de l'électrique et électronique</v>
      </c>
      <c r="K2936" s="5" t="s">
        <v>22074</v>
      </c>
      <c r="L2936" s="5" t="s">
        <v>22075</v>
      </c>
      <c r="M2936" s="4" t="s">
        <v>39</v>
      </c>
      <c r="N2936" s="4" t="s">
        <v>29</v>
      </c>
      <c r="O2936" s="4" t="s">
        <v>22076</v>
      </c>
      <c r="P2936" s="4" t="s">
        <v>29</v>
      </c>
      <c r="Q2936" s="4" t="s">
        <v>22077</v>
      </c>
      <c r="R2936" s="6"/>
      <c r="S2936" s="6"/>
      <c r="T2936" s="6"/>
      <c r="U2936" s="6"/>
      <c r="V2936" s="6"/>
      <c r="W2936" s="6"/>
      <c r="X2936" s="6"/>
      <c r="Y2936" s="6"/>
      <c r="Z2936" s="6"/>
      <c r="AA2936" s="6"/>
    </row>
    <row r="2937" ht="14.25">
      <c r="B2937" s="4" t="s">
        <v>330</v>
      </c>
      <c r="C2937" s="4" t="s">
        <v>22078</v>
      </c>
      <c r="D2937" s="4" t="s">
        <v>22079</v>
      </c>
      <c r="E2937" s="4" t="s">
        <v>22080</v>
      </c>
      <c r="F2937" s="4" t="str">
        <f>IFERROR(__XLUDF.DUMMYFUNCTION("PROPER(REGEXREPLACE(D653,""[^A-Za-z]+ "",""""))"),"Brentome Consulting")</f>
        <v xml:space="preserve">Brentome Consulting</v>
      </c>
      <c r="G2937" s="4" t="s">
        <v>22081</v>
      </c>
      <c r="H2937" s="4">
        <v>13</v>
      </c>
      <c r="I2937" s="4" t="s">
        <v>2602</v>
      </c>
      <c r="J2937" s="4"/>
      <c r="K2937" s="5" t="s">
        <v>22082</v>
      </c>
      <c r="L2937" s="5" t="s">
        <v>22083</v>
      </c>
      <c r="M2937" s="4" t="s">
        <v>39</v>
      </c>
      <c r="N2937" s="4" t="s">
        <v>29</v>
      </c>
      <c r="O2937" s="4" t="s">
        <v>22084</v>
      </c>
      <c r="P2937" s="4" t="s">
        <v>29</v>
      </c>
      <c r="Q2937" s="6"/>
      <c r="R2937" s="6"/>
      <c r="S2937" s="6"/>
      <c r="T2937" s="6"/>
      <c r="U2937" s="6"/>
      <c r="V2937" s="6"/>
      <c r="W2937" s="6"/>
      <c r="X2937" s="6"/>
      <c r="Y2937" s="6"/>
      <c r="Z2937" s="6"/>
      <c r="AA2937" s="6"/>
    </row>
    <row r="2938" ht="14.25">
      <c r="B2938" s="4" t="s">
        <v>1583</v>
      </c>
      <c r="C2938" s="4" t="s">
        <v>22085</v>
      </c>
      <c r="D2938" s="4" t="s">
        <v>120</v>
      </c>
      <c r="E2938" s="4" t="s">
        <v>22086</v>
      </c>
      <c r="F2938" s="4" t="str">
        <f>IFERROR(__XLUDF.DUMMYFUNCTION("PROPER(REGEXREPLACE(D654,""[^A-Za-z]+ "",""""))"),"Es'Tête")</f>
        <v>Es'Tête</v>
      </c>
      <c r="G2938" s="4" t="s">
        <v>22087</v>
      </c>
      <c r="H2938" s="4">
        <v>24</v>
      </c>
      <c r="I2938" s="4" t="s">
        <v>18063</v>
      </c>
      <c r="J2938" s="4"/>
      <c r="K2938" s="5" t="s">
        <v>22088</v>
      </c>
      <c r="L2938" s="5" t="s">
        <v>22089</v>
      </c>
      <c r="M2938" s="4" t="s">
        <v>185</v>
      </c>
      <c r="N2938" s="4" t="s">
        <v>29</v>
      </c>
      <c r="O2938" s="4" t="s">
        <v>22090</v>
      </c>
      <c r="P2938" s="4" t="s">
        <v>29</v>
      </c>
      <c r="Q2938" s="4" t="s">
        <v>22091</v>
      </c>
      <c r="R2938" s="6"/>
      <c r="S2938" s="6"/>
      <c r="T2938" s="6"/>
      <c r="U2938" s="6"/>
      <c r="V2938" s="6"/>
      <c r="W2938" s="6"/>
      <c r="X2938" s="6"/>
      <c r="Y2938" s="6"/>
      <c r="Z2938" s="6"/>
      <c r="AA2938" s="6"/>
    </row>
    <row r="2939" ht="14.25">
      <c r="B2939" s="4" t="s">
        <v>22092</v>
      </c>
      <c r="C2939" s="4" t="s">
        <v>6788</v>
      </c>
      <c r="D2939" s="4" t="s">
        <v>2911</v>
      </c>
      <c r="E2939" s="4" t="s">
        <v>22093</v>
      </c>
      <c r="F2939" s="4" t="str">
        <f>IFERROR(__XLUDF.DUMMYFUNCTION("PROPER(REGEXREPLACE(D655,""[^A-Za-z]+ "",""""))"),"Payps")</f>
        <v>Payps</v>
      </c>
      <c r="G2939" s="4" t="s">
        <v>22094</v>
      </c>
      <c r="H2939" s="4">
        <v>11</v>
      </c>
      <c r="I2939" s="4" t="s">
        <v>4525</v>
      </c>
      <c r="J2939" s="4" t="str">
        <f>IFERROR(__XLUDF.DUMMYFUNCTION("VLOOKUP(H655,IMPORTRANGE(""https://docs.google.com/spreadsheets/d/1opm6ZNvGZ7KditA9TuJwrZ25eFLfTNIkrNnY6mhV5Eg"",""list!A1:C115""),3,TRUE)"),"le secteur du retail")</f>
        <v xml:space="preserve">le secteur du retail</v>
      </c>
      <c r="K2939" s="5" t="s">
        <v>22095</v>
      </c>
      <c r="L2939" s="5" t="s">
        <v>22096</v>
      </c>
      <c r="M2939" s="4" t="s">
        <v>39</v>
      </c>
      <c r="N2939" s="4" t="s">
        <v>29</v>
      </c>
      <c r="O2939" s="4" t="s">
        <v>22097</v>
      </c>
      <c r="P2939" s="4" t="s">
        <v>29</v>
      </c>
      <c r="Q2939" s="4" t="s">
        <v>22098</v>
      </c>
      <c r="R2939" s="6"/>
      <c r="S2939" s="6"/>
      <c r="T2939" s="6"/>
      <c r="U2939" s="6"/>
      <c r="V2939" s="6"/>
      <c r="W2939" s="6"/>
      <c r="X2939" s="6"/>
      <c r="Y2939" s="6"/>
      <c r="Z2939" s="6"/>
      <c r="AA2939" s="6"/>
    </row>
    <row r="2940" ht="14.25">
      <c r="B2940" s="4" t="s">
        <v>330</v>
      </c>
      <c r="C2940" s="4" t="s">
        <v>22099</v>
      </c>
      <c r="D2940" s="4" t="s">
        <v>22100</v>
      </c>
      <c r="E2940" s="4" t="s">
        <v>22101</v>
      </c>
      <c r="F2940" s="4" t="str">
        <f>IFERROR(__XLUDF.DUMMYFUNCTION("PROPER(REGEXREPLACE(D656,""[^A-Za-z]+ "",""""))"),"Wenvision")</f>
        <v>Wenvision</v>
      </c>
      <c r="G2940" s="4" t="s">
        <v>22102</v>
      </c>
      <c r="H2940" s="4">
        <v>23</v>
      </c>
      <c r="I2940" s="4" t="s">
        <v>4067</v>
      </c>
      <c r="J2940" s="4" t="str">
        <f>IFERROR(__XLUDF.DUMMYFUNCTION("VLOOKUP(H656,IMPORTRANGE(""https://docs.google.com/spreadsheets/d/1opm6ZNvGZ7KditA9TuJwrZ25eFLfTNIkrNnY6mhV5Eg"",""list!A1:C115""),3,TRUE)"),"le secteur du conseil en management")</f>
        <v xml:space="preserve">le secteur du conseil en management</v>
      </c>
      <c r="K2940" s="5" t="s">
        <v>22103</v>
      </c>
      <c r="L2940" s="5" t="s">
        <v>22104</v>
      </c>
      <c r="M2940" s="4" t="s">
        <v>1419</v>
      </c>
      <c r="N2940" s="4" t="s">
        <v>29</v>
      </c>
      <c r="O2940" s="4" t="s">
        <v>18884</v>
      </c>
      <c r="P2940" s="4" t="s">
        <v>29</v>
      </c>
      <c r="Q2940" s="4" t="s">
        <v>22105</v>
      </c>
      <c r="R2940" s="6"/>
      <c r="S2940" s="6"/>
      <c r="T2940" s="6"/>
      <c r="U2940" s="6"/>
      <c r="V2940" s="6"/>
      <c r="W2940" s="6"/>
      <c r="X2940" s="6"/>
      <c r="Y2940" s="6"/>
      <c r="Z2940" s="6"/>
      <c r="AA2940" s="6"/>
    </row>
    <row r="2941" ht="14.25">
      <c r="B2941" s="4" t="s">
        <v>710</v>
      </c>
      <c r="C2941" s="4" t="s">
        <v>22106</v>
      </c>
      <c r="D2941" s="4" t="s">
        <v>22107</v>
      </c>
      <c r="E2941" s="4" t="s">
        <v>13380</v>
      </c>
      <c r="F2941" s="4" t="str">
        <f>IFERROR(__XLUDF.DUMMYFUNCTION("PROPER(REGEXREPLACE(D657,""[^A-Za-z]+ "",""""))"),"Statera")</f>
        <v>Statera</v>
      </c>
      <c r="G2941" s="4" t="s">
        <v>22108</v>
      </c>
      <c r="H2941" s="4">
        <v>45</v>
      </c>
      <c r="I2941" s="4" t="s">
        <v>2602</v>
      </c>
      <c r="J2941" s="4"/>
      <c r="K2941" s="5" t="s">
        <v>22109</v>
      </c>
      <c r="L2941" s="5" t="s">
        <v>22110</v>
      </c>
      <c r="M2941" s="4" t="s">
        <v>39</v>
      </c>
      <c r="N2941" s="4" t="s">
        <v>29</v>
      </c>
      <c r="O2941" s="4" t="s">
        <v>18884</v>
      </c>
      <c r="P2941" s="4" t="s">
        <v>29</v>
      </c>
      <c r="Q2941" s="6"/>
      <c r="R2941" s="6"/>
      <c r="S2941" s="6"/>
      <c r="T2941" s="6"/>
      <c r="U2941" s="6"/>
      <c r="V2941" s="6"/>
      <c r="W2941" s="6"/>
      <c r="X2941" s="6"/>
      <c r="Y2941" s="6"/>
      <c r="Z2941" s="6"/>
      <c r="AA2941" s="6"/>
    </row>
    <row r="2942" ht="14.25">
      <c r="B2942" s="4" t="s">
        <v>866</v>
      </c>
      <c r="C2942" s="4" t="s">
        <v>5915</v>
      </c>
      <c r="D2942" s="4" t="s">
        <v>172</v>
      </c>
      <c r="E2942" s="4" t="s">
        <v>22111</v>
      </c>
      <c r="F2942" s="4" t="str">
        <f>IFERROR(__XLUDF.DUMMYFUNCTION("PROPER(REGEXREPLACE(D658,""[^A-Za-z]+ "",""""))"),"Infodex")</f>
        <v>Infodex</v>
      </c>
      <c r="G2942" s="4" t="s">
        <v>22112</v>
      </c>
      <c r="H2942" s="4">
        <v>10</v>
      </c>
      <c r="I2942" s="4" t="s">
        <v>2602</v>
      </c>
      <c r="J2942" s="4"/>
      <c r="K2942" s="5" t="s">
        <v>22113</v>
      </c>
      <c r="L2942" s="5" t="s">
        <v>22114</v>
      </c>
      <c r="M2942" s="4" t="s">
        <v>49</v>
      </c>
      <c r="N2942" s="4" t="s">
        <v>29</v>
      </c>
      <c r="O2942" s="4" t="s">
        <v>22115</v>
      </c>
      <c r="P2942" s="4" t="s">
        <v>18837</v>
      </c>
      <c r="Q2942" s="4" t="s">
        <v>22116</v>
      </c>
      <c r="R2942" s="6"/>
      <c r="S2942" s="6"/>
      <c r="T2942" s="6"/>
      <c r="U2942" s="6"/>
      <c r="V2942" s="6"/>
      <c r="W2942" s="6"/>
      <c r="X2942" s="6"/>
      <c r="Y2942" s="6"/>
      <c r="Z2942" s="6"/>
      <c r="AA2942" s="6"/>
    </row>
    <row r="2943" ht="14.25">
      <c r="B2943" s="4" t="s">
        <v>2303</v>
      </c>
      <c r="C2943" s="4" t="s">
        <v>22117</v>
      </c>
      <c r="D2943" s="4" t="s">
        <v>4586</v>
      </c>
      <c r="E2943" s="4" t="s">
        <v>22118</v>
      </c>
      <c r="F2943" s="4" t="str">
        <f>IFERROR(__XLUDF.DUMMYFUNCTION("PROPER(REGEXREPLACE(D659,""[^A-Za-z]+ "",""""))"),"Ecosys Group")</f>
        <v xml:space="preserve">Ecosys Group</v>
      </c>
      <c r="G2943" s="4" t="s">
        <v>22119</v>
      </c>
      <c r="H2943" s="4">
        <v>30</v>
      </c>
      <c r="I2943" s="4" t="s">
        <v>2602</v>
      </c>
      <c r="J2943" s="4"/>
      <c r="K2943" s="5" t="s">
        <v>22120</v>
      </c>
      <c r="L2943" s="5" t="s">
        <v>22121</v>
      </c>
      <c r="M2943" s="4" t="s">
        <v>1711</v>
      </c>
      <c r="N2943" s="4" t="s">
        <v>29</v>
      </c>
      <c r="O2943" s="4" t="s">
        <v>22122</v>
      </c>
      <c r="P2943" s="4" t="s">
        <v>29</v>
      </c>
      <c r="Q2943" s="4" t="s">
        <v>22123</v>
      </c>
      <c r="R2943" s="6"/>
      <c r="S2943" s="6"/>
      <c r="T2943" s="6"/>
      <c r="U2943" s="6"/>
      <c r="V2943" s="6"/>
      <c r="W2943" s="6"/>
      <c r="X2943" s="6"/>
      <c r="Y2943" s="6"/>
      <c r="Z2943" s="6"/>
      <c r="AA2943" s="6"/>
    </row>
    <row r="2944" ht="14.25">
      <c r="B2944" s="4" t="s">
        <v>4522</v>
      </c>
      <c r="C2944" s="4" t="s">
        <v>22124</v>
      </c>
      <c r="D2944" s="4" t="s">
        <v>2645</v>
      </c>
      <c r="E2944" s="4" t="s">
        <v>22125</v>
      </c>
      <c r="F2944" s="4" t="str">
        <f>IFERROR(__XLUDF.DUMMYFUNCTION("PROPER(REGEXREPLACE(D660,""[^A-Za-z]+ "",""""))"),"Bleu Tomate")</f>
        <v xml:space="preserve">Bleu Tomate</v>
      </c>
      <c r="G2944" s="4" t="s">
        <v>22126</v>
      </c>
      <c r="H2944" s="4">
        <v>15</v>
      </c>
      <c r="I2944" s="4" t="s">
        <v>9461</v>
      </c>
      <c r="J2944" s="4" t="str">
        <f>IFERROR(__XLUDF.DUMMYFUNCTION("VLOOKUP(H660,IMPORTRANGE(""https://docs.google.com/spreadsheets/d/1opm6ZNvGZ7KditA9TuJwrZ25eFLfTNIkrNnY6mhV5Eg"",""list!A1:C115""),3,TRUE)"),"le secteur des services d'information")</f>
        <v xml:space="preserve">le secteur des services d'information</v>
      </c>
      <c r="K2944" s="5" t="s">
        <v>22127</v>
      </c>
      <c r="L2944" s="5" t="s">
        <v>22128</v>
      </c>
      <c r="M2944" s="4" t="s">
        <v>295</v>
      </c>
      <c r="N2944" s="4" t="s">
        <v>29</v>
      </c>
      <c r="O2944" s="4" t="s">
        <v>22129</v>
      </c>
      <c r="P2944" s="4" t="s">
        <v>29</v>
      </c>
      <c r="Q2944" s="4" t="s">
        <v>22130</v>
      </c>
      <c r="R2944" s="6"/>
      <c r="S2944" s="6"/>
      <c r="T2944" s="6"/>
      <c r="U2944" s="6"/>
      <c r="V2944" s="6"/>
      <c r="W2944" s="6"/>
      <c r="X2944" s="6"/>
      <c r="Y2944" s="6"/>
      <c r="Z2944" s="6"/>
      <c r="AA2944" s="6"/>
    </row>
    <row r="2945" ht="14.25">
      <c r="B2945" s="4" t="s">
        <v>22131</v>
      </c>
      <c r="C2945" s="4" t="s">
        <v>22132</v>
      </c>
      <c r="D2945" s="4" t="s">
        <v>1240</v>
      </c>
      <c r="E2945" s="4" t="s">
        <v>15481</v>
      </c>
      <c r="F2945" s="4" t="str">
        <f>IFERROR(__XLUDF.DUMMYFUNCTION("PROPER(REGEXREPLACE(D661,""[^A-Za-z]+ "",""""))"),"Steerlab")</f>
        <v>Steerlab</v>
      </c>
      <c r="G2945" s="4" t="s">
        <v>22133</v>
      </c>
      <c r="H2945" s="4">
        <v>10</v>
      </c>
      <c r="I2945" s="4" t="s">
        <v>2602</v>
      </c>
      <c r="J2945" s="4" t="str">
        <f>IFERROR(__XLUDF.DUMMYFUNCTION("VLOOKUP(H661,IMPORTRANGE(""https://docs.google.com/spreadsheets/d/1opm6ZNvGZ7KditA9TuJwrZ25eFLfTNIkrNnY6mhV5Eg"",""list!A1:C115""),3,TRUE)"),"le secteur de la tech")</f>
        <v xml:space="preserve">le secteur de la tech</v>
      </c>
      <c r="K2945" s="5" t="s">
        <v>22134</v>
      </c>
      <c r="L2945" s="5" t="s">
        <v>22135</v>
      </c>
      <c r="M2945" s="4" t="s">
        <v>39</v>
      </c>
      <c r="N2945" s="4" t="s">
        <v>29</v>
      </c>
      <c r="O2945" s="6"/>
      <c r="P2945" s="6"/>
      <c r="Q2945" s="4" t="s">
        <v>15484</v>
      </c>
      <c r="R2945" s="6"/>
      <c r="S2945" s="6"/>
      <c r="T2945" s="6"/>
      <c r="U2945" s="6"/>
      <c r="V2945" s="6"/>
      <c r="W2945" s="6"/>
      <c r="X2945" s="6"/>
      <c r="Y2945" s="6"/>
      <c r="Z2945" s="6"/>
      <c r="AA2945" s="6"/>
    </row>
    <row r="2946" ht="14.25">
      <c r="B2946" s="4" t="s">
        <v>653</v>
      </c>
      <c r="C2946" s="4" t="s">
        <v>22136</v>
      </c>
      <c r="D2946" s="4" t="s">
        <v>62</v>
      </c>
      <c r="E2946" s="4" t="s">
        <v>22137</v>
      </c>
      <c r="F2946" s="4" t="str">
        <f>IFERROR(__XLUDF.DUMMYFUNCTION("PROPER(REGEXREPLACE(D662,""[^A-Za-z]+ "",""""))"),"Sleeq")</f>
        <v>Sleeq</v>
      </c>
      <c r="G2946" s="4" t="s">
        <v>22138</v>
      </c>
      <c r="H2946" s="4">
        <v>22</v>
      </c>
      <c r="I2946" s="4" t="s">
        <v>9161</v>
      </c>
      <c r="J2946" s="4" t="str">
        <f>IFERROR(__XLUDF.DUMMYFUNCTION("VLOOKUP(H662,IMPORTRANGE(""https://docs.google.com/spreadsheets/d/1opm6ZNvGZ7KditA9TuJwrZ25eFLfTNIkrNnY6mhV5Eg"",""list!A1:C115""),3,TRUE)"),"le secteur du marketing")</f>
        <v xml:space="preserve">le secteur du marketing</v>
      </c>
      <c r="K2946" s="5" t="s">
        <v>22139</v>
      </c>
      <c r="L2946" s="5" t="s">
        <v>22140</v>
      </c>
      <c r="M2946" s="4" t="s">
        <v>39</v>
      </c>
      <c r="N2946" s="4" t="s">
        <v>29</v>
      </c>
      <c r="O2946" s="4" t="s">
        <v>22141</v>
      </c>
      <c r="P2946" s="4" t="s">
        <v>29</v>
      </c>
      <c r="Q2946" s="4" t="s">
        <v>22142</v>
      </c>
      <c r="R2946" s="6"/>
      <c r="S2946" s="6"/>
      <c r="T2946" s="6"/>
      <c r="U2946" s="6"/>
      <c r="V2946" s="6"/>
      <c r="W2946" s="6"/>
      <c r="X2946" s="6"/>
      <c r="Y2946" s="6"/>
      <c r="Z2946" s="6"/>
      <c r="AA2946" s="6"/>
    </row>
    <row r="2947" ht="14.25">
      <c r="B2947" s="4" t="s">
        <v>769</v>
      </c>
      <c r="C2947" s="4" t="s">
        <v>22143</v>
      </c>
      <c r="D2947" s="4" t="s">
        <v>22144</v>
      </c>
      <c r="E2947" s="4" t="s">
        <v>22145</v>
      </c>
      <c r="F2947" s="4" t="str">
        <f>IFERROR(__XLUDF.DUMMYFUNCTION("PROPER(REGEXREPLACE(D663,""[^A-Za-z]+ "",""""))"),"Jpm Partner")</f>
        <v xml:space="preserve">Jpm Partner</v>
      </c>
      <c r="G2947" s="4" t="s">
        <v>22146</v>
      </c>
      <c r="H2947" s="4">
        <v>23</v>
      </c>
      <c r="I2947" s="4" t="s">
        <v>9161</v>
      </c>
      <c r="J2947" s="4" t="str">
        <f>IFERROR(__XLUDF.DUMMYFUNCTION("VLOOKUP(H663,IMPORTRANGE(""https://docs.google.com/spreadsheets/d/1opm6ZNvGZ7KditA9TuJwrZ25eFLfTNIkrNnY6mhV5Eg"",""list!A1:C115""),3,TRUE)"),"le secteur du marketing")</f>
        <v xml:space="preserve">le secteur du marketing</v>
      </c>
      <c r="K2947" s="5" t="s">
        <v>22147</v>
      </c>
      <c r="L2947" s="5" t="s">
        <v>22148</v>
      </c>
      <c r="M2947" s="4" t="s">
        <v>149</v>
      </c>
      <c r="N2947" s="4" t="s">
        <v>29</v>
      </c>
      <c r="O2947" s="4" t="s">
        <v>22149</v>
      </c>
      <c r="P2947" s="4" t="s">
        <v>29</v>
      </c>
      <c r="Q2947" s="4" t="s">
        <v>22150</v>
      </c>
      <c r="R2947" s="6"/>
      <c r="S2947" s="6"/>
      <c r="T2947" s="6"/>
      <c r="U2947" s="6"/>
      <c r="V2947" s="6"/>
      <c r="W2947" s="6"/>
      <c r="X2947" s="6"/>
      <c r="Y2947" s="6"/>
      <c r="Z2947" s="6"/>
      <c r="AA2947" s="6"/>
    </row>
    <row r="2948" ht="14.25">
      <c r="B2948" s="4" t="s">
        <v>622</v>
      </c>
      <c r="C2948" s="4" t="s">
        <v>22151</v>
      </c>
      <c r="D2948" s="4" t="s">
        <v>62</v>
      </c>
      <c r="E2948" s="4" t="s">
        <v>17849</v>
      </c>
      <c r="F2948" s="4" t="str">
        <f>IFERROR(__XLUDF.DUMMYFUNCTION("PROPER(REGEXREPLACE(D664,""[^A-Za-z]+ "",""""))"),"Blurizon")</f>
        <v>Blurizon</v>
      </c>
      <c r="G2948" s="4" t="s">
        <v>22152</v>
      </c>
      <c r="H2948" s="4">
        <v>13</v>
      </c>
      <c r="I2948" s="4" t="s">
        <v>4067</v>
      </c>
      <c r="J2948" s="4" t="str">
        <f>IFERROR(__XLUDF.DUMMYFUNCTION("VLOOKUP(H664,IMPORTRANGE(""https://docs.google.com/spreadsheets/d/1opm6ZNvGZ7KditA9TuJwrZ25eFLfTNIkrNnY6mhV5Eg"",""list!A1:C115""),3,TRUE)"),"le secteur du conseil en management")</f>
        <v xml:space="preserve">le secteur du conseil en management</v>
      </c>
      <c r="K2948" s="5" t="s">
        <v>22153</v>
      </c>
      <c r="L2948" s="5" t="s">
        <v>17852</v>
      </c>
      <c r="M2948" s="4" t="s">
        <v>49</v>
      </c>
      <c r="N2948" s="4" t="s">
        <v>29</v>
      </c>
      <c r="O2948" s="4" t="s">
        <v>5457</v>
      </c>
      <c r="P2948" s="4" t="s">
        <v>29</v>
      </c>
      <c r="Q2948" s="4" t="s">
        <v>17853</v>
      </c>
      <c r="R2948" s="6"/>
      <c r="S2948" s="6"/>
      <c r="T2948" s="6"/>
      <c r="U2948" s="6"/>
      <c r="V2948" s="6"/>
      <c r="W2948" s="6"/>
      <c r="X2948" s="6"/>
      <c r="Y2948" s="6"/>
      <c r="Z2948" s="6"/>
      <c r="AA2948" s="6"/>
    </row>
    <row r="2949" ht="14.25">
      <c r="B2949" s="4" t="s">
        <v>622</v>
      </c>
      <c r="C2949" s="4" t="s">
        <v>22154</v>
      </c>
      <c r="D2949" s="4" t="s">
        <v>87</v>
      </c>
      <c r="E2949" s="4" t="s">
        <v>22155</v>
      </c>
      <c r="F2949" s="4" t="str">
        <f>IFERROR(__XLUDF.DUMMYFUNCTION("PROPER(REGEXREPLACE(D665,""[^A-Za-z]+ "",""""))"),"Wupatec")</f>
        <v>Wupatec</v>
      </c>
      <c r="G2949" s="4" t="s">
        <v>22156</v>
      </c>
      <c r="H2949" s="4">
        <v>11</v>
      </c>
      <c r="I2949" s="4" t="s">
        <v>9184</v>
      </c>
      <c r="J2949" s="4" t="str">
        <f>IFERROR(__XLUDF.DUMMYFUNCTION("VLOOKUP(H665,IMPORTRANGE(""https://docs.google.com/spreadsheets/d/1opm6ZNvGZ7KditA9TuJwrZ25eFLfTNIkrNnY6mhV5Eg"",""list!A1:C115""),3,TRUE)"),"le secteur des télécommunications")</f>
        <v xml:space="preserve">le secteur des télécommunications</v>
      </c>
      <c r="K2949" s="5" t="s">
        <v>22157</v>
      </c>
      <c r="L2949" s="5" t="s">
        <v>22158</v>
      </c>
      <c r="M2949" s="4" t="s">
        <v>6412</v>
      </c>
      <c r="N2949" s="4" t="s">
        <v>29</v>
      </c>
      <c r="O2949" s="4" t="s">
        <v>22159</v>
      </c>
      <c r="P2949" s="4" t="s">
        <v>29</v>
      </c>
      <c r="Q2949" s="4" t="s">
        <v>22160</v>
      </c>
      <c r="R2949" s="6"/>
      <c r="S2949" s="6"/>
      <c r="T2949" s="6"/>
      <c r="U2949" s="6"/>
      <c r="V2949" s="6"/>
      <c r="W2949" s="6"/>
      <c r="X2949" s="6"/>
      <c r="Y2949" s="6"/>
      <c r="Z2949" s="6"/>
      <c r="AA2949" s="6"/>
    </row>
    <row r="2950" ht="14.25">
      <c r="B2950" s="4" t="s">
        <v>808</v>
      </c>
      <c r="C2950" s="4" t="s">
        <v>22161</v>
      </c>
      <c r="D2950" s="4" t="s">
        <v>22162</v>
      </c>
      <c r="E2950" s="4" t="s">
        <v>20983</v>
      </c>
      <c r="F2950" s="4" t="str">
        <f>IFERROR(__XLUDF.DUMMYFUNCTION("PROPER(REGEXREPLACE(D666,""[^A-Za-z]+ "",""""))"),"Batvoice Ai")</f>
        <v xml:space="preserve">Batvoice Ai</v>
      </c>
      <c r="G2950" s="4" t="s">
        <v>22163</v>
      </c>
      <c r="H2950" s="4">
        <v>15</v>
      </c>
      <c r="I2950" s="4" t="s">
        <v>2602</v>
      </c>
      <c r="J2950" s="4" t="str">
        <f>IFERROR(__XLUDF.DUMMYFUNCTION("VLOOKUP(H666,IMPORTRANGE(""https://docs.google.com/spreadsheets/d/1opm6ZNvGZ7KditA9TuJwrZ25eFLfTNIkrNnY6mhV5Eg"",""list!A1:C115""),3,TRUE)"),"le secteur de la tech")</f>
        <v xml:space="preserve">le secteur de la tech</v>
      </c>
      <c r="K2950" s="5" t="s">
        <v>22164</v>
      </c>
      <c r="L2950" s="5" t="s">
        <v>20986</v>
      </c>
      <c r="M2950" s="4" t="s">
        <v>39</v>
      </c>
      <c r="N2950" s="4" t="s">
        <v>29</v>
      </c>
      <c r="O2950" s="4" t="s">
        <v>20987</v>
      </c>
      <c r="P2950" s="4" t="s">
        <v>29</v>
      </c>
      <c r="Q2950" s="4" t="s">
        <v>20988</v>
      </c>
      <c r="R2950" s="6"/>
      <c r="S2950" s="6"/>
      <c r="T2950" s="6"/>
      <c r="U2950" s="6"/>
      <c r="V2950" s="6"/>
      <c r="W2950" s="6"/>
      <c r="X2950" s="6"/>
      <c r="Y2950" s="6"/>
      <c r="Z2950" s="6"/>
      <c r="AA2950" s="6"/>
    </row>
    <row r="2951" ht="14.25">
      <c r="B2951" s="4" t="s">
        <v>971</v>
      </c>
      <c r="C2951" s="4" t="s">
        <v>2208</v>
      </c>
      <c r="D2951" s="4" t="s">
        <v>172</v>
      </c>
      <c r="E2951" s="4" t="s">
        <v>22165</v>
      </c>
      <c r="F2951" s="4" t="str">
        <f>IFERROR(__XLUDF.DUMMYFUNCTION("PROPER(REGEXREPLACE(D667,""[^A-Za-z]+ "",""""))"),"Aquastar Consulting")</f>
        <v xml:space="preserve">Aquastar Consulting</v>
      </c>
      <c r="G2951" s="4" t="s">
        <v>22166</v>
      </c>
      <c r="H2951" s="4">
        <v>24</v>
      </c>
      <c r="I2951" s="4" t="s">
        <v>9264</v>
      </c>
      <c r="J2951" s="4" t="str">
        <f>IFERROR(__XLUDF.DUMMYFUNCTION("VLOOKUP(H667,IMPORTRANGE(""https://docs.google.com/spreadsheets/d/1opm6ZNvGZ7KditA9TuJwrZ25eFLfTNIkrNnY6mhV5Eg"",""list!A1:C115""),3,TRUE)"),"le secteur de la sécurité informatique")</f>
        <v xml:space="preserve">le secteur de la sécurité informatique</v>
      </c>
      <c r="K2951" s="5" t="s">
        <v>22167</v>
      </c>
      <c r="L2951" s="5" t="s">
        <v>22168</v>
      </c>
      <c r="M2951" s="4" t="s">
        <v>846</v>
      </c>
      <c r="N2951" s="4" t="s">
        <v>29</v>
      </c>
      <c r="O2951" s="4" t="s">
        <v>22169</v>
      </c>
      <c r="P2951" s="4" t="s">
        <v>29</v>
      </c>
      <c r="Q2951" s="4" t="s">
        <v>22170</v>
      </c>
      <c r="R2951" s="6"/>
      <c r="S2951" s="6"/>
      <c r="T2951" s="6"/>
      <c r="U2951" s="6"/>
      <c r="V2951" s="6"/>
      <c r="W2951" s="6"/>
      <c r="X2951" s="6"/>
      <c r="Y2951" s="6"/>
      <c r="Z2951" s="6"/>
      <c r="AA2951" s="6"/>
    </row>
    <row r="2952" ht="14.25">
      <c r="B2952" s="4" t="s">
        <v>4850</v>
      </c>
      <c r="C2952" s="4" t="s">
        <v>22171</v>
      </c>
      <c r="D2952" s="4" t="s">
        <v>1130</v>
      </c>
      <c r="E2952" s="4" t="s">
        <v>22172</v>
      </c>
      <c r="F2952" s="4" t="str">
        <f>IFERROR(__XLUDF.DUMMYFUNCTION("PROPER(REGEXREPLACE(D668,""[^A-Za-z]+ "",""""))"),"Tealer Global")</f>
        <v xml:space="preserve">Tealer Global</v>
      </c>
      <c r="G2952" s="4" t="s">
        <v>22173</v>
      </c>
      <c r="H2952" s="4">
        <v>12</v>
      </c>
      <c r="I2952" s="4" t="s">
        <v>4525</v>
      </c>
      <c r="J2952" s="4" t="str">
        <f>IFERROR(__XLUDF.DUMMYFUNCTION("VLOOKUP(H668,IMPORTRANGE(""https://docs.google.com/spreadsheets/d/1opm6ZNvGZ7KditA9TuJwrZ25eFLfTNIkrNnY6mhV5Eg"",""list!A1:C115""),3,TRUE)"),"le secteur du retail")</f>
        <v xml:space="preserve">le secteur du retail</v>
      </c>
      <c r="K2952" s="5" t="s">
        <v>22174</v>
      </c>
      <c r="L2952" s="5" t="s">
        <v>22175</v>
      </c>
      <c r="M2952" s="4" t="s">
        <v>39</v>
      </c>
      <c r="N2952" s="4" t="s">
        <v>29</v>
      </c>
      <c r="O2952" s="4" t="s">
        <v>22176</v>
      </c>
      <c r="P2952" s="4" t="s">
        <v>29</v>
      </c>
      <c r="Q2952" s="6"/>
      <c r="R2952" s="6"/>
      <c r="S2952" s="6"/>
      <c r="T2952" s="6"/>
      <c r="U2952" s="6"/>
      <c r="V2952" s="6"/>
      <c r="W2952" s="6"/>
      <c r="X2952" s="6"/>
      <c r="Y2952" s="6"/>
      <c r="Z2952" s="6"/>
      <c r="AA2952" s="6"/>
    </row>
    <row r="2953" ht="14.25">
      <c r="B2953" s="4" t="s">
        <v>1215</v>
      </c>
      <c r="C2953" s="4" t="s">
        <v>22177</v>
      </c>
      <c r="D2953" s="4" t="s">
        <v>22178</v>
      </c>
      <c r="E2953" s="4" t="s">
        <v>22179</v>
      </c>
      <c r="F2953" s="4" t="str">
        <f>IFERROR(__XLUDF.DUMMYFUNCTION("PROPER(REGEXREPLACE(D669,""[^A-Za-z]+ "",""""))"),"Cryptense")</f>
        <v>Cryptense</v>
      </c>
      <c r="G2953" s="4" t="s">
        <v>22180</v>
      </c>
      <c r="H2953" s="4">
        <v>12</v>
      </c>
      <c r="I2953" s="4" t="s">
        <v>2602</v>
      </c>
      <c r="J2953" s="4" t="str">
        <f>IFERROR(__XLUDF.DUMMYFUNCTION("VLOOKUP(H669,IMPORTRANGE(""https://docs.google.com/spreadsheets/d/1opm6ZNvGZ7KditA9TuJwrZ25eFLfTNIkrNnY6mhV5Eg"",""list!A1:C115""),3,TRUE)"),"le secteur de la tech")</f>
        <v xml:space="preserve">le secteur de la tech</v>
      </c>
      <c r="K2953" s="5" t="s">
        <v>22181</v>
      </c>
      <c r="L2953" s="5" t="s">
        <v>22182</v>
      </c>
      <c r="M2953" s="4" t="s">
        <v>17925</v>
      </c>
      <c r="N2953" s="4" t="s">
        <v>29</v>
      </c>
      <c r="O2953" s="4" t="s">
        <v>22183</v>
      </c>
      <c r="P2953" s="4" t="s">
        <v>29</v>
      </c>
      <c r="Q2953" s="6"/>
      <c r="R2953" s="6"/>
      <c r="S2953" s="6"/>
      <c r="T2953" s="6"/>
      <c r="U2953" s="6"/>
      <c r="V2953" s="6"/>
      <c r="W2953" s="6"/>
      <c r="X2953" s="6"/>
      <c r="Y2953" s="6"/>
      <c r="Z2953" s="6"/>
      <c r="AA2953" s="6"/>
    </row>
    <row r="2954" ht="14.25">
      <c r="B2954" s="4" t="s">
        <v>22184</v>
      </c>
      <c r="C2954" s="4" t="s">
        <v>10412</v>
      </c>
      <c r="D2954" s="4" t="s">
        <v>112</v>
      </c>
      <c r="E2954" s="4" t="s">
        <v>22185</v>
      </c>
      <c r="F2954" s="4" t="str">
        <f>IFERROR(__XLUDF.DUMMYFUNCTION("PROPER(REGEXREPLACE(D670,""[^A-Za-z]+ "",""""))"),"Iae Lille Consulting")</f>
        <v xml:space="preserve">Iae Lille Consulting</v>
      </c>
      <c r="G2954" s="4" t="s">
        <v>22186</v>
      </c>
      <c r="H2954" s="4">
        <v>22</v>
      </c>
      <c r="I2954" s="4" t="s">
        <v>4067</v>
      </c>
      <c r="J2954" s="4" t="str">
        <f>IFERROR(__XLUDF.DUMMYFUNCTION("VLOOKUP(H670,IMPORTRANGE(""https://docs.google.com/spreadsheets/d/1opm6ZNvGZ7KditA9TuJwrZ25eFLfTNIkrNnY6mhV5Eg"",""list!A1:C115""),3,TRUE)"),"le secteur du conseil en management")</f>
        <v xml:space="preserve">le secteur du conseil en management</v>
      </c>
      <c r="K2954" s="5" t="s">
        <v>22187</v>
      </c>
      <c r="L2954" s="5" t="s">
        <v>22188</v>
      </c>
      <c r="M2954" s="4" t="s">
        <v>846</v>
      </c>
      <c r="N2954" s="4" t="s">
        <v>29</v>
      </c>
      <c r="O2954" s="4" t="s">
        <v>22189</v>
      </c>
      <c r="P2954" s="4" t="s">
        <v>29</v>
      </c>
      <c r="Q2954" s="4" t="s">
        <v>22190</v>
      </c>
      <c r="R2954" s="6"/>
      <c r="S2954" s="6"/>
      <c r="T2954" s="6"/>
      <c r="U2954" s="6"/>
      <c r="V2954" s="6"/>
      <c r="W2954" s="6"/>
      <c r="X2954" s="6"/>
      <c r="Y2954" s="6"/>
      <c r="Z2954" s="6"/>
      <c r="AA2954" s="6"/>
    </row>
    <row r="2955" ht="14.25">
      <c r="B2955" s="4" t="s">
        <v>485</v>
      </c>
      <c r="C2955" s="4" t="s">
        <v>22191</v>
      </c>
      <c r="D2955" s="4" t="s">
        <v>22192</v>
      </c>
      <c r="E2955" s="4" t="s">
        <v>22193</v>
      </c>
      <c r="F2955" s="4" t="str">
        <f>IFERROR(__XLUDF.DUMMYFUNCTION("PROPER(REGEXREPLACE(D671,""[^A-Za-z]+ "",""""))"),"Bye Buy Car")</f>
        <v xml:space="preserve">Bye Buy Car</v>
      </c>
      <c r="G2955" s="4" t="s">
        <v>22194</v>
      </c>
      <c r="H2955" s="4">
        <v>29</v>
      </c>
      <c r="I2955" s="4" t="s">
        <v>4525</v>
      </c>
      <c r="J2955" s="4"/>
      <c r="K2955" s="5" t="s">
        <v>22195</v>
      </c>
      <c r="L2955" s="5" t="s">
        <v>22196</v>
      </c>
      <c r="M2955" s="4" t="s">
        <v>243</v>
      </c>
      <c r="N2955" s="4" t="s">
        <v>29</v>
      </c>
      <c r="O2955" s="4" t="s">
        <v>21044</v>
      </c>
      <c r="P2955" s="4" t="s">
        <v>29</v>
      </c>
      <c r="Q2955" s="4" t="s">
        <v>22197</v>
      </c>
      <c r="R2955" s="6"/>
      <c r="S2955" s="6"/>
      <c r="T2955" s="6"/>
      <c r="U2955" s="6"/>
      <c r="V2955" s="6"/>
      <c r="W2955" s="6"/>
      <c r="X2955" s="6"/>
      <c r="Y2955" s="6"/>
      <c r="Z2955" s="6"/>
      <c r="AA2955" s="6"/>
    </row>
    <row r="2956" ht="14.25">
      <c r="B2956" s="4" t="s">
        <v>971</v>
      </c>
      <c r="C2956" s="4" t="s">
        <v>22198</v>
      </c>
      <c r="D2956" s="4" t="s">
        <v>265</v>
      </c>
      <c r="E2956" s="4" t="s">
        <v>22199</v>
      </c>
      <c r="F2956" s="4" t="str">
        <f>IFERROR(__XLUDF.DUMMYFUNCTION("PROPER(REGEXREPLACE(D672,""[^A-Za-z]+ "",""""))"),"Studio9P")</f>
        <v>Studio9P</v>
      </c>
      <c r="G2956" s="4" t="s">
        <v>22200</v>
      </c>
      <c r="H2956" s="4">
        <v>10</v>
      </c>
      <c r="I2956" s="4" t="s">
        <v>9161</v>
      </c>
      <c r="J2956" s="4" t="str">
        <f>IFERROR(__XLUDF.DUMMYFUNCTION("VLOOKUP(H672,IMPORTRANGE(""https://docs.google.com/spreadsheets/d/1opm6ZNvGZ7KditA9TuJwrZ25eFLfTNIkrNnY6mhV5Eg"",""list!A1:C115""),3,TRUE)"),"le secteur du marketing")</f>
        <v xml:space="preserve">le secteur du marketing</v>
      </c>
      <c r="K2956" s="5" t="s">
        <v>22201</v>
      </c>
      <c r="L2956" s="5" t="s">
        <v>22202</v>
      </c>
      <c r="M2956" s="4" t="s">
        <v>39</v>
      </c>
      <c r="N2956" s="4" t="s">
        <v>29</v>
      </c>
      <c r="O2956" s="4" t="s">
        <v>22203</v>
      </c>
      <c r="P2956" s="4" t="s">
        <v>29</v>
      </c>
      <c r="Q2956" s="4" t="s">
        <v>22204</v>
      </c>
      <c r="R2956" s="6"/>
      <c r="S2956" s="6"/>
      <c r="T2956" s="6"/>
      <c r="U2956" s="6"/>
      <c r="V2956" s="6"/>
      <c r="W2956" s="6"/>
      <c r="X2956" s="6"/>
      <c r="Y2956" s="6"/>
      <c r="Z2956" s="6"/>
      <c r="AA2956" s="6"/>
    </row>
    <row r="2957" ht="14.25">
      <c r="B2957" s="4" t="s">
        <v>22205</v>
      </c>
      <c r="C2957" s="4" t="s">
        <v>22206</v>
      </c>
      <c r="D2957" s="4" t="s">
        <v>22207</v>
      </c>
      <c r="E2957" s="4" t="s">
        <v>17545</v>
      </c>
      <c r="F2957" s="4" t="str">
        <f>IFERROR(__XLUDF.DUMMYFUNCTION("PROPER(REGEXREPLACE(D673,""[^A-Za-z]+ "",""""))"),"Auguste Et Ferdinand")</f>
        <v xml:space="preserve">Auguste Et Ferdinand</v>
      </c>
      <c r="G2957" s="4" t="s">
        <v>22208</v>
      </c>
      <c r="H2957" s="4">
        <v>33</v>
      </c>
      <c r="I2957" s="4" t="s">
        <v>4525</v>
      </c>
      <c r="J2957" s="4" t="str">
        <f>IFERROR(__XLUDF.DUMMYFUNCTION("VLOOKUP(H673,IMPORTRANGE(""https://docs.google.com/spreadsheets/d/1opm6ZNvGZ7KditA9TuJwrZ25eFLfTNIkrNnY6mhV5Eg"",""list!A1:C115""),3,TRUE)"),"le secteur du retail")</f>
        <v xml:space="preserve">le secteur du retail</v>
      </c>
      <c r="K2957" s="5" t="s">
        <v>22209</v>
      </c>
      <c r="L2957" s="5" t="s">
        <v>22210</v>
      </c>
      <c r="M2957" s="4" t="s">
        <v>846</v>
      </c>
      <c r="N2957" s="4" t="s">
        <v>29</v>
      </c>
      <c r="O2957" s="4" t="s">
        <v>22211</v>
      </c>
      <c r="P2957" s="4" t="s">
        <v>29</v>
      </c>
      <c r="Q2957" s="4" t="s">
        <v>17551</v>
      </c>
      <c r="R2957" s="6"/>
      <c r="S2957" s="6"/>
      <c r="T2957" s="6"/>
      <c r="U2957" s="6"/>
      <c r="V2957" s="6"/>
      <c r="W2957" s="6"/>
      <c r="X2957" s="6"/>
      <c r="Y2957" s="6"/>
      <c r="Z2957" s="6"/>
      <c r="AA2957" s="6"/>
    </row>
    <row r="2958" ht="14.25">
      <c r="B2958" s="4" t="s">
        <v>622</v>
      </c>
      <c r="C2958" s="4" t="s">
        <v>22212</v>
      </c>
      <c r="D2958" s="4" t="s">
        <v>112</v>
      </c>
      <c r="E2958" s="4" t="s">
        <v>22213</v>
      </c>
      <c r="F2958" s="4" t="str">
        <f>IFERROR(__XLUDF.DUMMYFUNCTION("PROPER(REGEXREPLACE(D674,""[^A-Za-z]+ "",""""))"),"The Persuaders")</f>
        <v xml:space="preserve">The Persuaders</v>
      </c>
      <c r="G2958" s="4" t="s">
        <v>22214</v>
      </c>
      <c r="H2958" s="4">
        <v>11</v>
      </c>
      <c r="I2958" s="4" t="s">
        <v>4067</v>
      </c>
      <c r="J2958" s="4"/>
      <c r="K2958" s="5" t="s">
        <v>22215</v>
      </c>
      <c r="L2958" s="5" t="s">
        <v>22216</v>
      </c>
      <c r="M2958" s="4" t="s">
        <v>39</v>
      </c>
      <c r="N2958" s="4" t="s">
        <v>29</v>
      </c>
      <c r="O2958" s="6"/>
      <c r="P2958" s="6"/>
      <c r="Q2958" s="4" t="s">
        <v>22217</v>
      </c>
      <c r="R2958" s="6"/>
      <c r="S2958" s="6"/>
      <c r="T2958" s="6"/>
      <c r="U2958" s="6"/>
      <c r="V2958" s="6"/>
      <c r="W2958" s="6"/>
      <c r="X2958" s="6"/>
      <c r="Y2958" s="6"/>
      <c r="Z2958" s="6"/>
      <c r="AA2958" s="6"/>
    </row>
    <row r="2959" ht="14.25">
      <c r="B2959" s="4" t="s">
        <v>22218</v>
      </c>
      <c r="C2959" s="4" t="s">
        <v>22219</v>
      </c>
      <c r="D2959" s="4" t="s">
        <v>18718</v>
      </c>
      <c r="E2959" s="4" t="s">
        <v>22220</v>
      </c>
      <c r="F2959" s="4" t="str">
        <f>IFERROR(__XLUDF.DUMMYFUNCTION("PROPER(REGEXREPLACE(D675,""[^A-Za-z]+ "",""""))"),"Stellar ")</f>
        <v xml:space="preserve">Stellar </v>
      </c>
      <c r="G2959" s="4" t="s">
        <v>22221</v>
      </c>
      <c r="H2959" s="4">
        <v>25</v>
      </c>
      <c r="I2959" s="4" t="s">
        <v>9184</v>
      </c>
      <c r="J2959" s="4"/>
      <c r="K2959" s="5" t="s">
        <v>22222</v>
      </c>
      <c r="L2959" s="5" t="s">
        <v>22223</v>
      </c>
      <c r="M2959" s="4" t="s">
        <v>39</v>
      </c>
      <c r="N2959" s="4" t="s">
        <v>29</v>
      </c>
      <c r="O2959" s="4" t="s">
        <v>929</v>
      </c>
      <c r="P2959" s="4" t="s">
        <v>29</v>
      </c>
      <c r="Q2959" s="4" t="s">
        <v>10942</v>
      </c>
      <c r="R2959" s="6"/>
      <c r="S2959" s="6"/>
      <c r="T2959" s="6"/>
      <c r="U2959" s="6"/>
      <c r="V2959" s="6"/>
      <c r="W2959" s="6"/>
      <c r="X2959" s="6"/>
      <c r="Y2959" s="6"/>
      <c r="Z2959" s="6"/>
      <c r="AA2959" s="6"/>
    </row>
    <row r="2960" ht="14.25">
      <c r="B2960" s="4" t="s">
        <v>3752</v>
      </c>
      <c r="C2960" s="4" t="s">
        <v>22224</v>
      </c>
      <c r="D2960" s="4" t="s">
        <v>22225</v>
      </c>
      <c r="E2960" s="4" t="s">
        <v>22226</v>
      </c>
      <c r="F2960" s="4" t="str">
        <f>IFERROR(__XLUDF.DUMMYFUNCTION("PROPER(REGEXREPLACE(D676,""[^A-Za-z]+ "",""""))"),"Marque")</f>
        <v>Marque</v>
      </c>
      <c r="G2960" s="4" t="s">
        <v>22227</v>
      </c>
      <c r="H2960" s="4">
        <v>11</v>
      </c>
      <c r="I2960" s="4" t="s">
        <v>9161</v>
      </c>
      <c r="J2960" s="4" t="str">
        <f>IFERROR(__XLUDF.DUMMYFUNCTION("VLOOKUP(H676,IMPORTRANGE(""https://docs.google.com/spreadsheets/d/1opm6ZNvGZ7KditA9TuJwrZ25eFLfTNIkrNnY6mhV5Eg"",""list!A1:C115""),3,TRUE)"),"le secteur du marketing")</f>
        <v xml:space="preserve">le secteur du marketing</v>
      </c>
      <c r="K2960" s="5" t="s">
        <v>22228</v>
      </c>
      <c r="L2960" s="5" t="s">
        <v>22229</v>
      </c>
      <c r="M2960" s="4" t="s">
        <v>1150</v>
      </c>
      <c r="N2960" s="4" t="s">
        <v>29</v>
      </c>
      <c r="O2960" s="4" t="s">
        <v>22230</v>
      </c>
      <c r="P2960" s="4" t="s">
        <v>29</v>
      </c>
      <c r="Q2960" s="4" t="s">
        <v>22231</v>
      </c>
      <c r="R2960" s="6"/>
      <c r="S2960" s="6"/>
      <c r="T2960" s="6"/>
      <c r="U2960" s="6"/>
      <c r="V2960" s="6"/>
      <c r="W2960" s="6"/>
      <c r="X2960" s="6"/>
      <c r="Y2960" s="6"/>
      <c r="Z2960" s="6"/>
      <c r="AA2960" s="6"/>
    </row>
    <row r="2961" ht="14.25">
      <c r="B2961" s="4" t="s">
        <v>963</v>
      </c>
      <c r="C2961" s="4" t="s">
        <v>22232</v>
      </c>
      <c r="D2961" s="4" t="s">
        <v>487</v>
      </c>
      <c r="E2961" s="4" t="s">
        <v>22233</v>
      </c>
      <c r="F2961" s="4" t="str">
        <f>IFERROR(__XLUDF.DUMMYFUNCTION("PROPER(REGEXREPLACE(D677,""[^A-Za-z]+ "",""""))"),"Sc-Form Concept")</f>
        <v xml:space="preserve">Sc-Form Concept</v>
      </c>
      <c r="G2961" s="4" t="s">
        <v>22234</v>
      </c>
      <c r="H2961" s="4">
        <v>17</v>
      </c>
      <c r="I2961" s="4" t="s">
        <v>2602</v>
      </c>
      <c r="J2961" s="4"/>
      <c r="K2961" s="5" t="s">
        <v>22235</v>
      </c>
      <c r="L2961" s="5" t="s">
        <v>22236</v>
      </c>
      <c r="M2961" s="4" t="s">
        <v>4922</v>
      </c>
      <c r="N2961" s="4" t="s">
        <v>29</v>
      </c>
      <c r="O2961" s="4" t="s">
        <v>22237</v>
      </c>
      <c r="P2961" s="4" t="s">
        <v>29</v>
      </c>
      <c r="Q2961" s="4" t="s">
        <v>22238</v>
      </c>
      <c r="R2961" s="6"/>
      <c r="S2961" s="6"/>
      <c r="T2961" s="6"/>
      <c r="U2961" s="6"/>
      <c r="V2961" s="6"/>
      <c r="W2961" s="6"/>
      <c r="X2961" s="6"/>
      <c r="Y2961" s="6"/>
      <c r="Z2961" s="6"/>
      <c r="AA2961" s="6"/>
    </row>
    <row r="2962" ht="14.25">
      <c r="B2962" s="4" t="s">
        <v>2299</v>
      </c>
      <c r="C2962" s="4" t="s">
        <v>22239</v>
      </c>
      <c r="D2962" s="4" t="s">
        <v>22240</v>
      </c>
      <c r="E2962" s="4" t="s">
        <v>22241</v>
      </c>
      <c r="F2962" s="4" t="str">
        <f>IFERROR(__XLUDF.DUMMYFUNCTION("PROPER(REGEXREPLACE(D678,""[^A-Za-z]+ "",""""))"),"Laguild")</f>
        <v>Laguild</v>
      </c>
      <c r="G2962" s="4" t="s">
        <v>22242</v>
      </c>
      <c r="H2962" s="4">
        <v>23</v>
      </c>
      <c r="I2962" s="4" t="s">
        <v>2602</v>
      </c>
      <c r="J2962" s="4"/>
      <c r="K2962" s="5" t="s">
        <v>22243</v>
      </c>
      <c r="L2962" s="5" t="s">
        <v>22244</v>
      </c>
      <c r="M2962" s="4" t="s">
        <v>39</v>
      </c>
      <c r="N2962" s="4" t="s">
        <v>29</v>
      </c>
      <c r="O2962" s="4" t="s">
        <v>22245</v>
      </c>
      <c r="P2962" s="4" t="s">
        <v>29</v>
      </c>
      <c r="Q2962" s="4" t="s">
        <v>22246</v>
      </c>
      <c r="R2962" s="6"/>
      <c r="S2962" s="6"/>
      <c r="T2962" s="6"/>
      <c r="U2962" s="6"/>
      <c r="V2962" s="6"/>
      <c r="W2962" s="6"/>
      <c r="X2962" s="6"/>
      <c r="Y2962" s="6"/>
      <c r="Z2962" s="6"/>
      <c r="AA2962" s="6"/>
    </row>
    <row r="2963" ht="14.25">
      <c r="B2963" s="4" t="s">
        <v>1009</v>
      </c>
      <c r="C2963" s="4" t="s">
        <v>670</v>
      </c>
      <c r="D2963" s="4" t="s">
        <v>22247</v>
      </c>
      <c r="E2963" s="4" t="s">
        <v>22248</v>
      </c>
      <c r="F2963" s="4" t="str">
        <f>IFERROR(__XLUDF.DUMMYFUNCTION("PROPER(REGEXREPLACE(D679,""[^A-Za-z]+ "",""""))"),"La Bise")</f>
        <v xml:space="preserve">La Bise</v>
      </c>
      <c r="G2963" s="4" t="s">
        <v>22249</v>
      </c>
      <c r="H2963" s="4">
        <v>12</v>
      </c>
      <c r="I2963" s="4" t="s">
        <v>9161</v>
      </c>
      <c r="J2963" s="4"/>
      <c r="K2963" s="5" t="s">
        <v>22250</v>
      </c>
      <c r="L2963" s="5" t="s">
        <v>22251</v>
      </c>
      <c r="M2963" s="4" t="s">
        <v>1711</v>
      </c>
      <c r="N2963" s="4" t="s">
        <v>29</v>
      </c>
      <c r="O2963" s="4" t="s">
        <v>22252</v>
      </c>
      <c r="P2963" s="4" t="s">
        <v>29</v>
      </c>
      <c r="Q2963" s="4" t="s">
        <v>22253</v>
      </c>
      <c r="R2963" s="6"/>
      <c r="S2963" s="6"/>
      <c r="T2963" s="6"/>
      <c r="U2963" s="6"/>
      <c r="V2963" s="6"/>
      <c r="W2963" s="6"/>
      <c r="X2963" s="6"/>
      <c r="Y2963" s="6"/>
      <c r="Z2963" s="6"/>
      <c r="AA2963" s="6"/>
    </row>
    <row r="2964" ht="14.25">
      <c r="B2964" s="4" t="s">
        <v>222</v>
      </c>
      <c r="C2964" s="4" t="s">
        <v>22254</v>
      </c>
      <c r="D2964" s="4" t="s">
        <v>487</v>
      </c>
      <c r="E2964" s="4" t="s">
        <v>22255</v>
      </c>
      <c r="F2964" s="4" t="str">
        <f>IFERROR(__XLUDF.DUMMYFUNCTION("PROPER(REGEXREPLACE(D680,""[^A-Za-z]+ "",""""))"),"Ld Telecoms")</f>
        <v xml:space="preserve">Ld Telecoms</v>
      </c>
      <c r="G2964" s="4" t="s">
        <v>22256</v>
      </c>
      <c r="H2964" s="4">
        <v>13</v>
      </c>
      <c r="I2964" s="4" t="s">
        <v>9184</v>
      </c>
      <c r="J2964" s="4"/>
      <c r="K2964" s="5" t="s">
        <v>22257</v>
      </c>
      <c r="L2964" s="5" t="s">
        <v>22258</v>
      </c>
      <c r="M2964" s="4" t="s">
        <v>6954</v>
      </c>
      <c r="N2964" s="4" t="s">
        <v>29</v>
      </c>
      <c r="O2964" s="4" t="s">
        <v>22259</v>
      </c>
      <c r="P2964" s="4" t="s">
        <v>29</v>
      </c>
      <c r="Q2964" s="6"/>
      <c r="R2964" s="6"/>
      <c r="S2964" s="6"/>
      <c r="T2964" s="6"/>
      <c r="U2964" s="6"/>
      <c r="V2964" s="6"/>
      <c r="W2964" s="6"/>
      <c r="X2964" s="6"/>
      <c r="Y2964" s="6"/>
      <c r="Z2964" s="6"/>
      <c r="AA2964" s="6"/>
    </row>
    <row r="2965" ht="14.25">
      <c r="B2965" s="4" t="s">
        <v>1732</v>
      </c>
      <c r="C2965" s="4" t="s">
        <v>22260</v>
      </c>
      <c r="D2965" s="4" t="s">
        <v>62</v>
      </c>
      <c r="E2965" s="4" t="s">
        <v>22261</v>
      </c>
      <c r="F2965" s="4" t="str">
        <f>IFERROR(__XLUDF.DUMMYFUNCTION("PROPER(REGEXREPLACE(D681,""[^A-Za-z]+ "",""""))"),"Dacker")</f>
        <v>Dacker</v>
      </c>
      <c r="G2965" s="4" t="s">
        <v>22262</v>
      </c>
      <c r="H2965" s="4">
        <v>10</v>
      </c>
      <c r="I2965" s="4" t="s">
        <v>2602</v>
      </c>
      <c r="J2965" s="4"/>
      <c r="K2965" s="5" t="s">
        <v>22263</v>
      </c>
      <c r="L2965" s="5" t="s">
        <v>22264</v>
      </c>
      <c r="M2965" s="4" t="s">
        <v>39</v>
      </c>
      <c r="N2965" s="4" t="s">
        <v>29</v>
      </c>
      <c r="O2965" s="4" t="s">
        <v>22265</v>
      </c>
      <c r="P2965" s="4" t="s">
        <v>29</v>
      </c>
      <c r="Q2965" s="4" t="s">
        <v>22266</v>
      </c>
      <c r="R2965" s="6"/>
      <c r="S2965" s="6"/>
      <c r="T2965" s="6"/>
      <c r="U2965" s="6"/>
      <c r="V2965" s="6"/>
      <c r="W2965" s="6"/>
      <c r="X2965" s="6"/>
      <c r="Y2965" s="6"/>
      <c r="Z2965" s="6"/>
      <c r="AA2965" s="6"/>
    </row>
    <row r="2966" ht="14.25">
      <c r="B2966" s="4" t="s">
        <v>2138</v>
      </c>
      <c r="C2966" s="4" t="s">
        <v>22267</v>
      </c>
      <c r="D2966" s="4" t="s">
        <v>22268</v>
      </c>
      <c r="E2966" s="4" t="s">
        <v>22269</v>
      </c>
      <c r="F2966" s="4" t="str">
        <f>IFERROR(__XLUDF.DUMMYFUNCTION("PROPER(REGEXREPLACE(D682,""[^A-Za-z]+ "",""""))"),"Preste")</f>
        <v>Preste</v>
      </c>
      <c r="G2966" s="4" t="s">
        <v>22270</v>
      </c>
      <c r="H2966" s="4">
        <v>17</v>
      </c>
      <c r="I2966" s="4" t="s">
        <v>2602</v>
      </c>
      <c r="J2966" s="4"/>
      <c r="K2966" s="5" t="s">
        <v>22271</v>
      </c>
      <c r="L2966" s="5" t="s">
        <v>22272</v>
      </c>
      <c r="M2966" s="4" t="s">
        <v>39</v>
      </c>
      <c r="N2966" s="4" t="s">
        <v>29</v>
      </c>
      <c r="O2966" s="4" t="s">
        <v>22273</v>
      </c>
      <c r="P2966" s="4" t="s">
        <v>29</v>
      </c>
      <c r="Q2966" s="4" t="s">
        <v>22274</v>
      </c>
      <c r="R2966" s="6"/>
      <c r="S2966" s="6"/>
      <c r="T2966" s="6"/>
      <c r="U2966" s="6"/>
      <c r="V2966" s="6"/>
      <c r="W2966" s="6"/>
      <c r="X2966" s="6"/>
      <c r="Y2966" s="6"/>
      <c r="Z2966" s="6"/>
      <c r="AA2966" s="6"/>
    </row>
    <row r="2967" ht="14.25">
      <c r="B2967" s="4" t="s">
        <v>22275</v>
      </c>
      <c r="C2967" s="4" t="s">
        <v>22276</v>
      </c>
      <c r="D2967" s="4" t="s">
        <v>22277</v>
      </c>
      <c r="E2967" s="4" t="s">
        <v>22278</v>
      </c>
      <c r="F2967" s="4" t="str">
        <f>IFERROR(__XLUDF.DUMMYFUNCTION("PROPER(REGEXREPLACE(D683,""[^A-Za-z]+ "",""""))"),"Becycure")</f>
        <v>Becycure</v>
      </c>
      <c r="G2967" s="4" t="s">
        <v>22279</v>
      </c>
      <c r="H2967" s="4">
        <v>15</v>
      </c>
      <c r="I2967" s="4" t="s">
        <v>2602</v>
      </c>
      <c r="J2967" s="4"/>
      <c r="K2967" s="5" t="s">
        <v>22280</v>
      </c>
      <c r="L2967" s="5" t="s">
        <v>22281</v>
      </c>
      <c r="M2967" s="6"/>
      <c r="N2967" s="4" t="s">
        <v>29</v>
      </c>
      <c r="O2967" s="4" t="s">
        <v>546</v>
      </c>
      <c r="P2967" s="4" t="s">
        <v>29</v>
      </c>
      <c r="Q2967" s="4" t="s">
        <v>22282</v>
      </c>
      <c r="R2967" s="6"/>
      <c r="S2967" s="6"/>
      <c r="T2967" s="6"/>
      <c r="U2967" s="6"/>
      <c r="V2967" s="6"/>
      <c r="W2967" s="6"/>
      <c r="X2967" s="6"/>
      <c r="Y2967" s="6"/>
      <c r="Z2967" s="6"/>
      <c r="AA2967" s="6"/>
    </row>
    <row r="2968" ht="14.25">
      <c r="B2968" s="4" t="s">
        <v>8966</v>
      </c>
      <c r="C2968" s="4" t="s">
        <v>22283</v>
      </c>
      <c r="D2968" s="4" t="s">
        <v>172</v>
      </c>
      <c r="E2968" s="4" t="s">
        <v>22284</v>
      </c>
      <c r="F2968" s="4" t="str">
        <f>IFERROR(__XLUDF.DUMMYFUNCTION("PROPER(REGEXREPLACE(D684,""[^A-Za-z]+ "",""""))"),"Tech Marketing")</f>
        <v xml:space="preserve">Tech Marketing</v>
      </c>
      <c r="G2968" s="4" t="s">
        <v>22285</v>
      </c>
      <c r="H2968" s="4">
        <v>16</v>
      </c>
      <c r="I2968" s="4" t="s">
        <v>10215</v>
      </c>
      <c r="J2968" s="4"/>
      <c r="K2968" s="5" t="s">
        <v>22286</v>
      </c>
      <c r="L2968" s="5" t="s">
        <v>22287</v>
      </c>
      <c r="M2968" s="4" t="s">
        <v>39</v>
      </c>
      <c r="N2968" s="4" t="s">
        <v>29</v>
      </c>
      <c r="O2968" s="4" t="s">
        <v>22288</v>
      </c>
      <c r="P2968" s="4" t="s">
        <v>1261</v>
      </c>
      <c r="Q2968" s="6"/>
      <c r="R2968" s="6"/>
      <c r="S2968" s="6"/>
      <c r="T2968" s="6"/>
      <c r="U2968" s="6"/>
      <c r="V2968" s="6"/>
      <c r="W2968" s="6"/>
      <c r="X2968" s="6"/>
      <c r="Y2968" s="6"/>
      <c r="Z2968" s="6"/>
      <c r="AA2968" s="6"/>
    </row>
    <row r="2969" ht="14.25">
      <c r="B2969" s="4" t="s">
        <v>485</v>
      </c>
      <c r="C2969" s="4" t="s">
        <v>22289</v>
      </c>
      <c r="D2969" s="4" t="s">
        <v>22290</v>
      </c>
      <c r="E2969" s="4" t="s">
        <v>20160</v>
      </c>
      <c r="F2969" s="4" t="str">
        <f>IFERROR(__XLUDF.DUMMYFUNCTION("PROPER(REGEXREPLACE(D685,""[^A-Za-z]+ "",""""))"),"Epicnpoc")</f>
        <v>Epicnpoc</v>
      </c>
      <c r="G2969" s="4" t="s">
        <v>22291</v>
      </c>
      <c r="H2969" s="4">
        <v>14</v>
      </c>
      <c r="I2969" s="4" t="s">
        <v>2602</v>
      </c>
      <c r="J2969" s="4" t="str">
        <f>IFERROR(__XLUDF.DUMMYFUNCTION("VLOOKUP(H685,IMPORTRANGE(""https://docs.google.com/spreadsheets/d/1opm6ZNvGZ7KditA9TuJwrZ25eFLfTNIkrNnY6mhV5Eg"",""list!A1:C115""),3,TRUE)"),"le secteur de la tech")</f>
        <v xml:space="preserve">le secteur de la tech</v>
      </c>
      <c r="K2969" s="5" t="s">
        <v>22292</v>
      </c>
      <c r="L2969" s="5" t="s">
        <v>20163</v>
      </c>
      <c r="M2969" s="4" t="s">
        <v>49</v>
      </c>
      <c r="N2969" s="4" t="s">
        <v>29</v>
      </c>
      <c r="O2969" s="4" t="s">
        <v>20164</v>
      </c>
      <c r="P2969" s="4" t="s">
        <v>29</v>
      </c>
      <c r="Q2969" s="4" t="s">
        <v>20165</v>
      </c>
      <c r="R2969" s="6"/>
      <c r="S2969" s="6"/>
      <c r="T2969" s="6"/>
      <c r="U2969" s="6"/>
      <c r="V2969" s="6"/>
      <c r="W2969" s="6"/>
      <c r="X2969" s="6"/>
      <c r="Y2969" s="6"/>
      <c r="Z2969" s="6"/>
      <c r="AA2969" s="6"/>
    </row>
    <row r="2970" ht="14.25">
      <c r="B2970" s="4" t="s">
        <v>22293</v>
      </c>
      <c r="C2970" s="4" t="s">
        <v>22294</v>
      </c>
      <c r="D2970" s="4" t="s">
        <v>247</v>
      </c>
      <c r="E2970" s="4" t="s">
        <v>22295</v>
      </c>
      <c r="F2970" s="4" t="str">
        <f>IFERROR(__XLUDF.DUMMYFUNCTION("PROPER(REGEXREPLACE(D686,""[^A-Za-z]+ "",""""))"),"Abalsia Consulting")</f>
        <v xml:space="preserve">Abalsia Consulting</v>
      </c>
      <c r="G2970" s="4" t="s">
        <v>22296</v>
      </c>
      <c r="H2970" s="4">
        <v>17</v>
      </c>
      <c r="I2970" s="4" t="s">
        <v>2602</v>
      </c>
      <c r="J2970" s="4"/>
      <c r="K2970" s="5" t="s">
        <v>22297</v>
      </c>
      <c r="L2970" s="5" t="s">
        <v>22298</v>
      </c>
      <c r="M2970" s="6"/>
      <c r="N2970" s="4" t="s">
        <v>29</v>
      </c>
      <c r="O2970" s="4" t="s">
        <v>4649</v>
      </c>
      <c r="P2970" s="4" t="s">
        <v>29</v>
      </c>
      <c r="Q2970" s="6"/>
      <c r="R2970" s="6"/>
      <c r="S2970" s="6"/>
      <c r="T2970" s="6"/>
      <c r="U2970" s="6"/>
      <c r="V2970" s="6"/>
      <c r="W2970" s="6"/>
      <c r="X2970" s="6"/>
      <c r="Y2970" s="6"/>
      <c r="Z2970" s="6"/>
      <c r="AA2970" s="6"/>
    </row>
    <row r="2971" ht="14.25">
      <c r="B2971" s="4" t="s">
        <v>330</v>
      </c>
      <c r="C2971" s="4" t="s">
        <v>22299</v>
      </c>
      <c r="D2971" s="4" t="s">
        <v>87</v>
      </c>
      <c r="E2971" s="4" t="s">
        <v>22300</v>
      </c>
      <c r="F2971" s="4" t="str">
        <f>IFERROR(__XLUDF.DUMMYFUNCTION("PROPER(REGEXREPLACE(D687,""[^A-Za-z]+ "",""""))"),"Qbitsoft")</f>
        <v>Qbitsoft</v>
      </c>
      <c r="G2971" s="4" t="s">
        <v>22301</v>
      </c>
      <c r="H2971" s="4">
        <v>11</v>
      </c>
      <c r="I2971" s="4" t="s">
        <v>2602</v>
      </c>
      <c r="J2971" s="4" t="str">
        <f>IFERROR(__XLUDF.DUMMYFUNCTION("VLOOKUP(H687,IMPORTRANGE(""https://docs.google.com/spreadsheets/d/1opm6ZNvGZ7KditA9TuJwrZ25eFLfTNIkrNnY6mhV5Eg"",""list!A1:C115""),3,TRUE)"),"le secteur de la tech")</f>
        <v xml:space="preserve">le secteur de la tech</v>
      </c>
      <c r="K2971" s="5" t="s">
        <v>22302</v>
      </c>
      <c r="L2971" s="5" t="s">
        <v>22303</v>
      </c>
      <c r="M2971" s="4" t="s">
        <v>39</v>
      </c>
      <c r="N2971" s="4" t="s">
        <v>29</v>
      </c>
      <c r="O2971" s="4" t="s">
        <v>22304</v>
      </c>
      <c r="P2971" s="4" t="s">
        <v>29</v>
      </c>
      <c r="Q2971" s="4" t="s">
        <v>22305</v>
      </c>
      <c r="R2971" s="6"/>
      <c r="S2971" s="6"/>
      <c r="T2971" s="6"/>
      <c r="U2971" s="6"/>
      <c r="V2971" s="6"/>
      <c r="W2971" s="6"/>
      <c r="X2971" s="6"/>
      <c r="Y2971" s="6"/>
      <c r="Z2971" s="6"/>
      <c r="AA2971" s="6"/>
    </row>
    <row r="2972" ht="14.25">
      <c r="B2972" s="4" t="s">
        <v>4236</v>
      </c>
      <c r="C2972" s="4" t="s">
        <v>22306</v>
      </c>
      <c r="D2972" s="4" t="s">
        <v>44</v>
      </c>
      <c r="E2972" s="4" t="s">
        <v>22307</v>
      </c>
      <c r="F2972" s="4" t="str">
        <f>IFERROR(__XLUDF.DUMMYFUNCTION("PROPER(REGEXREPLACE(D688,""[^A-Za-z]+ "",""""))"),"Perles D'Histoire")</f>
        <v xml:space="preserve">Perles D'Histoire</v>
      </c>
      <c r="G2972" s="4" t="s">
        <v>22308</v>
      </c>
      <c r="H2972" s="4">
        <v>17</v>
      </c>
      <c r="I2972" s="4" t="s">
        <v>4067</v>
      </c>
      <c r="J2972" s="4"/>
      <c r="K2972" s="5" t="s">
        <v>22309</v>
      </c>
      <c r="L2972" s="5" t="s">
        <v>22310</v>
      </c>
      <c r="M2972" s="6"/>
      <c r="N2972" s="4" t="s">
        <v>29</v>
      </c>
      <c r="O2972" s="4" t="s">
        <v>22311</v>
      </c>
      <c r="P2972" s="4" t="s">
        <v>29</v>
      </c>
      <c r="Q2972" s="4" t="s">
        <v>22312</v>
      </c>
      <c r="R2972" s="6"/>
      <c r="S2972" s="6"/>
      <c r="T2972" s="6"/>
      <c r="U2972" s="6"/>
      <c r="V2972" s="6"/>
      <c r="W2972" s="6"/>
      <c r="X2972" s="6"/>
      <c r="Y2972" s="6"/>
      <c r="Z2972" s="6"/>
      <c r="AA2972" s="6"/>
    </row>
    <row r="2973" ht="14.25">
      <c r="B2973" s="4" t="s">
        <v>2340</v>
      </c>
      <c r="C2973" s="4" t="s">
        <v>22313</v>
      </c>
      <c r="D2973" s="4" t="s">
        <v>62</v>
      </c>
      <c r="E2973" s="4" t="s">
        <v>22314</v>
      </c>
      <c r="F2973" s="4" t="str">
        <f>IFERROR(__XLUDF.DUMMYFUNCTION("PROPER(REGEXREPLACE(D689,""[^A-Za-z]+ "",""""))"),"Magma App")</f>
        <v xml:space="preserve">Magma App</v>
      </c>
      <c r="G2973" s="4" t="s">
        <v>22315</v>
      </c>
      <c r="H2973" s="4">
        <v>20</v>
      </c>
      <c r="I2973" s="4" t="s">
        <v>2602</v>
      </c>
      <c r="J2973" s="4" t="str">
        <f>IFERROR(__XLUDF.DUMMYFUNCTION("VLOOKUP(H689,IMPORTRANGE(""https://docs.google.com/spreadsheets/d/1opm6ZNvGZ7KditA9TuJwrZ25eFLfTNIkrNnY6mhV5Eg"",""list!A1:C115""),3,TRUE)"),"le secteur de la tech")</f>
        <v xml:space="preserve">le secteur de la tech</v>
      </c>
      <c r="K2973" s="5" t="s">
        <v>22316</v>
      </c>
      <c r="L2973" s="5" t="s">
        <v>22317</v>
      </c>
      <c r="M2973" s="4" t="s">
        <v>295</v>
      </c>
      <c r="N2973" s="4" t="s">
        <v>29</v>
      </c>
      <c r="O2973" s="4" t="s">
        <v>67</v>
      </c>
      <c r="P2973" s="4" t="s">
        <v>29</v>
      </c>
      <c r="Q2973" s="4" t="s">
        <v>22318</v>
      </c>
      <c r="R2973" s="6"/>
      <c r="S2973" s="6"/>
      <c r="T2973" s="6"/>
      <c r="U2973" s="6"/>
      <c r="V2973" s="6"/>
      <c r="W2973" s="6"/>
      <c r="X2973" s="6"/>
      <c r="Y2973" s="6"/>
      <c r="Z2973" s="6"/>
      <c r="AA2973" s="6"/>
    </row>
    <row r="2974" ht="14.25">
      <c r="B2974" s="4" t="s">
        <v>22319</v>
      </c>
      <c r="C2974" s="4" t="s">
        <v>22320</v>
      </c>
      <c r="D2974" s="4" t="s">
        <v>19000</v>
      </c>
      <c r="E2974" s="4" t="s">
        <v>22321</v>
      </c>
      <c r="F2974" s="4" t="str">
        <f>IFERROR(__XLUDF.DUMMYFUNCTION("PROPER(REGEXREPLACE(D690,""[^A-Za-z]+ "",""""))"),"Reetain")</f>
        <v>Reetain</v>
      </c>
      <c r="G2974" s="4" t="s">
        <v>22322</v>
      </c>
      <c r="H2974" s="4">
        <v>28</v>
      </c>
      <c r="I2974" s="4" t="s">
        <v>2602</v>
      </c>
      <c r="J2974" s="4" t="str">
        <f>IFERROR(__XLUDF.DUMMYFUNCTION("VLOOKUP(H690,IMPORTRANGE(""https://docs.google.com/spreadsheets/d/1opm6ZNvGZ7KditA9TuJwrZ25eFLfTNIkrNnY6mhV5Eg"",""list!A1:C115""),3,TRUE)"),"le secteur de la tech")</f>
        <v xml:space="preserve">le secteur de la tech</v>
      </c>
      <c r="K2974" s="5" t="s">
        <v>22323</v>
      </c>
      <c r="L2974" s="5" t="s">
        <v>22324</v>
      </c>
      <c r="M2974" s="4" t="s">
        <v>39</v>
      </c>
      <c r="N2974" s="4" t="s">
        <v>29</v>
      </c>
      <c r="O2974" s="4" t="s">
        <v>4649</v>
      </c>
      <c r="P2974" s="4" t="s">
        <v>29</v>
      </c>
      <c r="Q2974" s="4" t="s">
        <v>22325</v>
      </c>
      <c r="R2974" s="6"/>
      <c r="S2974" s="6"/>
      <c r="T2974" s="6"/>
      <c r="U2974" s="6"/>
      <c r="V2974" s="6"/>
      <c r="W2974" s="6"/>
      <c r="X2974" s="6"/>
      <c r="Y2974" s="6"/>
      <c r="Z2974" s="6"/>
      <c r="AA2974" s="6"/>
    </row>
    <row r="2975" ht="14.25">
      <c r="B2975" s="4" t="s">
        <v>13376</v>
      </c>
      <c r="C2975" s="4" t="s">
        <v>22326</v>
      </c>
      <c r="D2975" s="4" t="s">
        <v>22327</v>
      </c>
      <c r="E2975" s="4" t="s">
        <v>22328</v>
      </c>
      <c r="F2975" s="4" t="str">
        <f>IFERROR(__XLUDF.DUMMYFUNCTION("PROPER(REGEXREPLACE(D691,""[^A-Za-z]+ "",""""))"),"Edda")</f>
        <v>Edda</v>
      </c>
      <c r="G2975" s="4" t="s">
        <v>22329</v>
      </c>
      <c r="H2975" s="4">
        <v>38</v>
      </c>
      <c r="I2975" s="4" t="s">
        <v>2602</v>
      </c>
      <c r="J2975" s="4" t="str">
        <f>IFERROR(__XLUDF.DUMMYFUNCTION("VLOOKUP(H691,IMPORTRANGE(""https://docs.google.com/spreadsheets/d/1opm6ZNvGZ7KditA9TuJwrZ25eFLfTNIkrNnY6mhV5Eg"",""list!A1:C115""),3,TRUE)"),"le secteur de la tech")</f>
        <v xml:space="preserve">le secteur de la tech</v>
      </c>
      <c r="K2975" s="5" t="s">
        <v>22330</v>
      </c>
      <c r="L2975" s="5" t="s">
        <v>22331</v>
      </c>
      <c r="M2975" s="4" t="s">
        <v>39</v>
      </c>
      <c r="N2975" s="4" t="s">
        <v>29</v>
      </c>
      <c r="O2975" s="4" t="s">
        <v>20686</v>
      </c>
      <c r="P2975" s="4" t="s">
        <v>29</v>
      </c>
      <c r="Q2975" s="4" t="s">
        <v>22332</v>
      </c>
      <c r="R2975" s="6"/>
      <c r="S2975" s="6"/>
      <c r="T2975" s="6"/>
      <c r="U2975" s="6"/>
      <c r="V2975" s="6"/>
      <c r="W2975" s="6"/>
      <c r="X2975" s="6"/>
      <c r="Y2975" s="6"/>
      <c r="Z2975" s="6"/>
      <c r="AA2975" s="6"/>
    </row>
    <row r="2976" ht="14.25">
      <c r="B2976" s="4" t="s">
        <v>485</v>
      </c>
      <c r="C2976" s="4" t="s">
        <v>22333</v>
      </c>
      <c r="D2976" s="4" t="s">
        <v>22334</v>
      </c>
      <c r="E2976" s="4" t="s">
        <v>22335</v>
      </c>
      <c r="F2976" s="4" t="str">
        <f>IFERROR(__XLUDF.DUMMYFUNCTION("PROPER(REGEXREPLACE(D692,""[^A-Za-z]+ "",""""))"),"Whispeak")</f>
        <v>Whispeak</v>
      </c>
      <c r="G2976" s="4" t="s">
        <v>22336</v>
      </c>
      <c r="H2976" s="4">
        <v>9</v>
      </c>
      <c r="I2976" s="4" t="s">
        <v>9184</v>
      </c>
      <c r="J2976" s="4"/>
      <c r="K2976" s="5" t="s">
        <v>22337</v>
      </c>
      <c r="L2976" s="5" t="s">
        <v>22338</v>
      </c>
      <c r="M2976" s="4" t="s">
        <v>846</v>
      </c>
      <c r="N2976" s="4" t="s">
        <v>29</v>
      </c>
      <c r="O2976" s="4" t="s">
        <v>5865</v>
      </c>
      <c r="P2976" s="4" t="s">
        <v>29</v>
      </c>
      <c r="Q2976" s="4" t="s">
        <v>22339</v>
      </c>
      <c r="R2976" s="6"/>
      <c r="S2976" s="6"/>
      <c r="T2976" s="6"/>
      <c r="U2976" s="6"/>
      <c r="V2976" s="6"/>
      <c r="W2976" s="6"/>
      <c r="X2976" s="6"/>
      <c r="Y2976" s="6"/>
      <c r="Z2976" s="6"/>
      <c r="AA2976" s="6"/>
    </row>
    <row r="2977" ht="14.25">
      <c r="B2977" s="4" t="s">
        <v>450</v>
      </c>
      <c r="C2977" s="4" t="s">
        <v>22340</v>
      </c>
      <c r="D2977" s="4" t="s">
        <v>1240</v>
      </c>
      <c r="E2977" s="4" t="s">
        <v>21489</v>
      </c>
      <c r="F2977" s="4" t="str">
        <f>IFERROR(__XLUDF.DUMMYFUNCTION("PROPER(REGEXREPLACE(D693,""[^A-Za-z]+ "",""""))"),"Biolevate")</f>
        <v>Biolevate</v>
      </c>
      <c r="G2977" s="4" t="s">
        <v>22341</v>
      </c>
      <c r="H2977" s="4">
        <v>18</v>
      </c>
      <c r="I2977" s="4" t="s">
        <v>2602</v>
      </c>
      <c r="J2977" s="4"/>
      <c r="K2977" s="5" t="s">
        <v>22342</v>
      </c>
      <c r="L2977" s="5" t="s">
        <v>21492</v>
      </c>
      <c r="M2977" s="4" t="s">
        <v>39</v>
      </c>
      <c r="N2977" s="4" t="s">
        <v>29</v>
      </c>
      <c r="O2977" s="6"/>
      <c r="P2977" s="6"/>
      <c r="Q2977" s="4" t="s">
        <v>21494</v>
      </c>
      <c r="R2977" s="6"/>
      <c r="S2977" s="6"/>
      <c r="T2977" s="6"/>
      <c r="U2977" s="6"/>
      <c r="V2977" s="6"/>
      <c r="W2977" s="6"/>
      <c r="X2977" s="6"/>
      <c r="Y2977" s="6"/>
      <c r="Z2977" s="6"/>
      <c r="AA2977" s="6"/>
    </row>
    <row r="2978" ht="14.25">
      <c r="B2978" s="4" t="s">
        <v>22343</v>
      </c>
      <c r="C2978" s="4" t="s">
        <v>22344</v>
      </c>
      <c r="D2978" s="4" t="s">
        <v>887</v>
      </c>
      <c r="E2978" s="4" t="s">
        <v>22345</v>
      </c>
      <c r="F2978" s="4" t="str">
        <f>IFERROR(__XLUDF.DUMMYFUNCTION("PROPER(REGEXREPLACE(D694,""[^A-Za-z]+ "",""""))"),"Pwnpatch")</f>
        <v>Pwnpatch</v>
      </c>
      <c r="G2978" s="4" t="s">
        <v>22346</v>
      </c>
      <c r="H2978" s="4">
        <v>14</v>
      </c>
      <c r="I2978" s="4" t="s">
        <v>9264</v>
      </c>
      <c r="J2978" s="4"/>
      <c r="K2978" s="5" t="s">
        <v>22347</v>
      </c>
      <c r="L2978" s="5" t="s">
        <v>22348</v>
      </c>
      <c r="M2978" s="6"/>
      <c r="N2978" s="4" t="s">
        <v>29</v>
      </c>
      <c r="O2978" s="4" t="s">
        <v>22349</v>
      </c>
      <c r="P2978" s="4" t="s">
        <v>1261</v>
      </c>
      <c r="Q2978" s="4" t="s">
        <v>22350</v>
      </c>
      <c r="R2978" s="6"/>
      <c r="S2978" s="6"/>
      <c r="T2978" s="6"/>
      <c r="U2978" s="6"/>
      <c r="V2978" s="6"/>
      <c r="W2978" s="6"/>
      <c r="X2978" s="6"/>
      <c r="Y2978" s="6"/>
      <c r="Z2978" s="6"/>
      <c r="AA2978" s="6"/>
    </row>
    <row r="2979" ht="14.25">
      <c r="B2979" s="4" t="s">
        <v>22351</v>
      </c>
      <c r="C2979" s="4" t="s">
        <v>22352</v>
      </c>
      <c r="D2979" s="4" t="s">
        <v>315</v>
      </c>
      <c r="E2979" s="4" t="s">
        <v>22353</v>
      </c>
      <c r="F2979" s="4" t="str">
        <f>IFERROR(__XLUDF.DUMMYFUNCTION("PROPER(REGEXREPLACE(D695,""[^A-Za-z]+ "",""""))"),"Muse")</f>
        <v>Muse</v>
      </c>
      <c r="G2979" s="4" t="s">
        <v>22354</v>
      </c>
      <c r="H2979" s="4">
        <v>35</v>
      </c>
      <c r="I2979" s="4" t="s">
        <v>9161</v>
      </c>
      <c r="J2979" s="4" t="str">
        <f>IFERROR(__XLUDF.DUMMYFUNCTION("VLOOKUP(H695,IMPORTRANGE(""https://docs.google.com/spreadsheets/d/1opm6ZNvGZ7KditA9TuJwrZ25eFLfTNIkrNnY6mhV5Eg"",""list!A1:C115""),3,TRUE)"),"le secteur du marketing")</f>
        <v xml:space="preserve">le secteur du marketing</v>
      </c>
      <c r="K2979" s="5" t="s">
        <v>22355</v>
      </c>
      <c r="L2979" s="5" t="s">
        <v>22356</v>
      </c>
      <c r="M2979" s="4" t="s">
        <v>8160</v>
      </c>
      <c r="N2979" s="4" t="s">
        <v>29</v>
      </c>
      <c r="O2979" s="4" t="s">
        <v>22357</v>
      </c>
      <c r="P2979" s="4" t="s">
        <v>1548</v>
      </c>
      <c r="Q2979" s="4" t="s">
        <v>22358</v>
      </c>
      <c r="R2979" s="6"/>
      <c r="S2979" s="6"/>
      <c r="T2979" s="6"/>
      <c r="U2979" s="6"/>
      <c r="V2979" s="6"/>
      <c r="W2979" s="6"/>
      <c r="X2979" s="6"/>
      <c r="Y2979" s="6"/>
      <c r="Z2979" s="6"/>
      <c r="AA2979" s="6"/>
    </row>
    <row r="2980" ht="14.25">
      <c r="B2980" s="4" t="s">
        <v>31</v>
      </c>
      <c r="C2980" s="4" t="s">
        <v>22359</v>
      </c>
      <c r="D2980" s="4" t="s">
        <v>22360</v>
      </c>
      <c r="E2980" s="4" t="s">
        <v>22361</v>
      </c>
      <c r="F2980" s="4" t="str">
        <f>IFERROR(__XLUDF.DUMMYFUNCTION("PROPER(REGEXREPLACE(D696,""[^A-Za-z]+ "",""""))"),"Promyze")</f>
        <v>Promyze</v>
      </c>
      <c r="G2980" s="4" t="s">
        <v>22362</v>
      </c>
      <c r="H2980" s="4">
        <v>13</v>
      </c>
      <c r="I2980" s="4" t="s">
        <v>2602</v>
      </c>
      <c r="J2980" s="4"/>
      <c r="K2980" s="5" t="s">
        <v>22363</v>
      </c>
      <c r="L2980" s="5" t="s">
        <v>22364</v>
      </c>
      <c r="M2980" s="4" t="s">
        <v>243</v>
      </c>
      <c r="N2980" s="4" t="s">
        <v>29</v>
      </c>
      <c r="O2980" s="4" t="s">
        <v>22365</v>
      </c>
      <c r="P2980" s="4" t="s">
        <v>29</v>
      </c>
      <c r="Q2980" s="4" t="s">
        <v>22366</v>
      </c>
      <c r="R2980" s="6"/>
      <c r="S2980" s="6"/>
      <c r="T2980" s="6"/>
      <c r="U2980" s="6"/>
      <c r="V2980" s="6"/>
      <c r="W2980" s="6"/>
      <c r="X2980" s="6"/>
      <c r="Y2980" s="6"/>
      <c r="Z2980" s="6"/>
      <c r="AA2980" s="6"/>
    </row>
    <row r="2981" ht="14.25">
      <c r="B2981" s="4" t="s">
        <v>22367</v>
      </c>
      <c r="C2981" s="4" t="s">
        <v>22368</v>
      </c>
      <c r="D2981" s="4" t="s">
        <v>87</v>
      </c>
      <c r="E2981" s="4" t="s">
        <v>22369</v>
      </c>
      <c r="F2981" s="4" t="str">
        <f>IFERROR(__XLUDF.DUMMYFUNCTION("PROPER(REGEXREPLACE(D697,""[^A-Za-z]+ "",""""))"),"Seckiot")</f>
        <v>Seckiot</v>
      </c>
      <c r="G2981" s="4" t="s">
        <v>22370</v>
      </c>
      <c r="H2981" s="4">
        <v>33</v>
      </c>
      <c r="I2981" s="4" t="s">
        <v>9264</v>
      </c>
      <c r="J2981" s="4" t="str">
        <f>IFERROR(__XLUDF.DUMMYFUNCTION("VLOOKUP(H697,IMPORTRANGE(""https://docs.google.com/spreadsheets/d/1opm6ZNvGZ7KditA9TuJwrZ25eFLfTNIkrNnY6mhV5Eg"",""list!A1:C115""),3,TRUE)"),"le secteur de la sécurité informatique")</f>
        <v xml:space="preserve">le secteur de la sécurité informatique</v>
      </c>
      <c r="K2981" s="5" t="s">
        <v>22371</v>
      </c>
      <c r="L2981" s="5" t="s">
        <v>22372</v>
      </c>
      <c r="M2981" s="6"/>
      <c r="N2981" s="4" t="s">
        <v>29</v>
      </c>
      <c r="O2981" s="4" t="s">
        <v>67</v>
      </c>
      <c r="P2981" s="4" t="s">
        <v>29</v>
      </c>
      <c r="Q2981" s="4" t="s">
        <v>22373</v>
      </c>
      <c r="R2981" s="6"/>
      <c r="S2981" s="6"/>
      <c r="T2981" s="6"/>
      <c r="U2981" s="6"/>
      <c r="V2981" s="6"/>
      <c r="W2981" s="6"/>
      <c r="X2981" s="6"/>
      <c r="Y2981" s="6"/>
      <c r="Z2981" s="6"/>
      <c r="AA2981" s="6"/>
    </row>
    <row r="2982" ht="14.25">
      <c r="B2982" s="4" t="s">
        <v>1562</v>
      </c>
      <c r="C2982" s="4" t="s">
        <v>22374</v>
      </c>
      <c r="D2982" s="4" t="s">
        <v>247</v>
      </c>
      <c r="E2982" s="4" t="s">
        <v>18959</v>
      </c>
      <c r="F2982" s="4" t="str">
        <f>IFERROR(__XLUDF.DUMMYFUNCTION("PROPER(REGEXREPLACE(D698,""[^A-Za-z]+ "",""""))"),"Bulwark Studios")</f>
        <v xml:space="preserve">Bulwark Studios</v>
      </c>
      <c r="G2982" s="4" t="s">
        <v>22375</v>
      </c>
      <c r="H2982" s="4">
        <v>17</v>
      </c>
      <c r="I2982" s="4" t="s">
        <v>18961</v>
      </c>
      <c r="J2982" s="4"/>
      <c r="K2982" s="5" t="s">
        <v>22376</v>
      </c>
      <c r="L2982" s="5" t="s">
        <v>18963</v>
      </c>
      <c r="M2982" s="4" t="s">
        <v>6061</v>
      </c>
      <c r="N2982" s="4" t="s">
        <v>29</v>
      </c>
      <c r="O2982" s="4" t="s">
        <v>18964</v>
      </c>
      <c r="P2982" s="4" t="s">
        <v>29</v>
      </c>
      <c r="Q2982" s="6"/>
      <c r="R2982" s="6"/>
      <c r="S2982" s="6"/>
      <c r="T2982" s="6"/>
      <c r="U2982" s="6"/>
      <c r="V2982" s="6"/>
      <c r="W2982" s="6"/>
      <c r="X2982" s="6"/>
      <c r="Y2982" s="6"/>
      <c r="Z2982" s="6"/>
      <c r="AA2982" s="6"/>
    </row>
    <row r="2983" ht="14.25">
      <c r="B2983" s="4" t="s">
        <v>22377</v>
      </c>
      <c r="C2983" s="4" t="s">
        <v>22378</v>
      </c>
      <c r="D2983" s="4" t="s">
        <v>22379</v>
      </c>
      <c r="E2983" s="4" t="s">
        <v>22380</v>
      </c>
      <c r="F2983" s="4" t="str">
        <f>IFERROR(__XLUDF.DUMMYFUNCTION("PROPER(REGEXREPLACE(D699,""[^A-Za-z]+ "",""""))"),"Snr")</f>
        <v>Snr</v>
      </c>
      <c r="G2983" s="4" t="s">
        <v>22381</v>
      </c>
      <c r="H2983" s="4">
        <v>18</v>
      </c>
      <c r="I2983" s="4" t="s">
        <v>4067</v>
      </c>
      <c r="J2983" s="4" t="str">
        <f>IFERROR(__XLUDF.DUMMYFUNCTION("VLOOKUP(H699,IMPORTRANGE(""https://docs.google.com/spreadsheets/d/1opm6ZNvGZ7KditA9TuJwrZ25eFLfTNIkrNnY6mhV5Eg"",""list!A1:C115""),3,TRUE)"),"le secteur du conseil en management")</f>
        <v xml:space="preserve">le secteur du conseil en management</v>
      </c>
      <c r="K2983" s="5" t="s">
        <v>22382</v>
      </c>
      <c r="L2983" s="5" t="s">
        <v>22383</v>
      </c>
      <c r="M2983" s="4" t="s">
        <v>8537</v>
      </c>
      <c r="N2983" s="4" t="s">
        <v>29</v>
      </c>
      <c r="O2983" s="4" t="s">
        <v>22384</v>
      </c>
      <c r="P2983" s="4" t="s">
        <v>29</v>
      </c>
      <c r="Q2983" s="6"/>
      <c r="R2983" s="6"/>
      <c r="S2983" s="6"/>
      <c r="T2983" s="6"/>
      <c r="U2983" s="6"/>
      <c r="V2983" s="6"/>
      <c r="W2983" s="6"/>
      <c r="X2983" s="6"/>
      <c r="Y2983" s="6"/>
      <c r="Z2983" s="6"/>
      <c r="AA2983" s="6"/>
    </row>
    <row r="2984" ht="14.25">
      <c r="B2984" s="4" t="s">
        <v>22385</v>
      </c>
      <c r="C2984" s="4" t="s">
        <v>22386</v>
      </c>
      <c r="D2984" s="4" t="s">
        <v>44</v>
      </c>
      <c r="E2984" s="4" t="s">
        <v>22387</v>
      </c>
      <c r="F2984" s="4" t="str">
        <f>IFERROR(__XLUDF.DUMMYFUNCTION("PROPER(REGEXREPLACE(D700,""[^A-Za-z]+ "",""""))"),"Vake Consulting")</f>
        <v xml:space="preserve">Vake Consulting</v>
      </c>
      <c r="G2984" s="4" t="s">
        <v>22388</v>
      </c>
      <c r="H2984" s="4">
        <v>22</v>
      </c>
      <c r="I2984" s="4" t="s">
        <v>2602</v>
      </c>
      <c r="J2984" s="4" t="str">
        <f>IFERROR(__XLUDF.DUMMYFUNCTION("VLOOKUP(H700,IMPORTRANGE(""https://docs.google.com/spreadsheets/d/1opm6ZNvGZ7KditA9TuJwrZ25eFLfTNIkrNnY6mhV5Eg"",""list!A1:C115""),3,TRUE)"),"le secteur de la tech")</f>
        <v xml:space="preserve">le secteur de la tech</v>
      </c>
      <c r="K2984" s="5" t="s">
        <v>22389</v>
      </c>
      <c r="L2984" s="5" t="s">
        <v>22390</v>
      </c>
      <c r="M2984" s="4" t="s">
        <v>39</v>
      </c>
      <c r="N2984" s="4" t="s">
        <v>29</v>
      </c>
      <c r="O2984" s="4" t="s">
        <v>22391</v>
      </c>
      <c r="P2984" s="4" t="s">
        <v>6166</v>
      </c>
      <c r="Q2984" s="6"/>
      <c r="R2984" s="6"/>
      <c r="S2984" s="6"/>
      <c r="T2984" s="6"/>
      <c r="U2984" s="6"/>
      <c r="V2984" s="6"/>
      <c r="W2984" s="6"/>
      <c r="X2984" s="6"/>
      <c r="Y2984" s="6"/>
      <c r="Z2984" s="6"/>
      <c r="AA2984" s="6"/>
    </row>
    <row r="2985" ht="14.25">
      <c r="B2985" s="4" t="s">
        <v>817</v>
      </c>
      <c r="C2985" s="4" t="s">
        <v>22392</v>
      </c>
      <c r="D2985" s="4" t="s">
        <v>112</v>
      </c>
      <c r="E2985" s="4" t="s">
        <v>22393</v>
      </c>
      <c r="F2985" s="4" t="str">
        <f>IFERROR(__XLUDF.DUMMYFUNCTION("PROPER(REGEXREPLACE(D701,""[^A-Za-z]+ "",""""))"),"Indelec Mobility")</f>
        <v xml:space="preserve">Indelec Mobility</v>
      </c>
      <c r="G2985" s="4" t="s">
        <v>22394</v>
      </c>
      <c r="H2985" s="4">
        <v>10</v>
      </c>
      <c r="I2985" s="4" t="s">
        <v>4067</v>
      </c>
      <c r="J2985" s="4" t="str">
        <f>IFERROR(__XLUDF.DUMMYFUNCTION("VLOOKUP(H701,IMPORTRANGE(""https://docs.google.com/spreadsheets/d/1opm6ZNvGZ7KditA9TuJwrZ25eFLfTNIkrNnY6mhV5Eg"",""list!A1:C115""),3,TRUE)"),"le secteur du conseil en management")</f>
        <v xml:space="preserve">le secteur du conseil en management</v>
      </c>
      <c r="K2985" s="5" t="s">
        <v>22395</v>
      </c>
      <c r="L2985" s="5" t="s">
        <v>22396</v>
      </c>
      <c r="M2985" s="4" t="s">
        <v>846</v>
      </c>
      <c r="N2985" s="4" t="s">
        <v>29</v>
      </c>
      <c r="O2985" s="4" t="s">
        <v>22397</v>
      </c>
      <c r="P2985" s="4" t="s">
        <v>29</v>
      </c>
      <c r="Q2985" s="4" t="s">
        <v>22398</v>
      </c>
      <c r="R2985" s="6"/>
      <c r="S2985" s="6"/>
      <c r="T2985" s="6"/>
      <c r="U2985" s="6"/>
      <c r="V2985" s="6"/>
      <c r="W2985" s="6"/>
      <c r="X2985" s="6"/>
      <c r="Y2985" s="6"/>
      <c r="Z2985" s="6"/>
      <c r="AA2985" s="6"/>
    </row>
    <row r="2986" ht="14.25">
      <c r="B2986" s="4" t="s">
        <v>22399</v>
      </c>
      <c r="C2986" s="4" t="s">
        <v>22400</v>
      </c>
      <c r="D2986" s="4" t="s">
        <v>10908</v>
      </c>
      <c r="E2986" s="5" t="s">
        <v>22401</v>
      </c>
      <c r="F2986" s="4" t="str">
        <f>IFERROR(__XLUDF.DUMMYFUNCTION("PROPER(REGEXREPLACE(D702,""[^A-Za-z]+ "",""""))"),"Nocrm")</f>
        <v>Nocrm</v>
      </c>
      <c r="G2986" s="4" t="s">
        <v>22402</v>
      </c>
      <c r="H2986" s="4">
        <v>14</v>
      </c>
      <c r="I2986" s="4" t="s">
        <v>2602</v>
      </c>
      <c r="J2986" s="4"/>
      <c r="K2986" s="5" t="s">
        <v>22403</v>
      </c>
      <c r="L2986" s="5" t="s">
        <v>22404</v>
      </c>
      <c r="M2986" s="4" t="s">
        <v>39</v>
      </c>
      <c r="N2986" s="4" t="s">
        <v>29</v>
      </c>
      <c r="O2986" s="4" t="s">
        <v>22405</v>
      </c>
      <c r="P2986" s="4" t="s">
        <v>29</v>
      </c>
      <c r="Q2986" s="4" t="s">
        <v>22406</v>
      </c>
      <c r="R2986" s="6"/>
      <c r="S2986" s="6"/>
      <c r="T2986" s="6"/>
      <c r="U2986" s="6"/>
      <c r="V2986" s="6"/>
      <c r="W2986" s="6"/>
      <c r="X2986" s="6"/>
      <c r="Y2986" s="6"/>
      <c r="Z2986" s="6"/>
      <c r="AA2986" s="6"/>
    </row>
    <row r="2987" ht="14.25">
      <c r="B2987" s="4" t="s">
        <v>734</v>
      </c>
      <c r="C2987" s="4" t="s">
        <v>22407</v>
      </c>
      <c r="D2987" s="4" t="s">
        <v>172</v>
      </c>
      <c r="E2987" s="4" t="s">
        <v>22408</v>
      </c>
      <c r="F2987" s="4" t="str">
        <f>IFERROR(__XLUDF.DUMMYFUNCTION("PROPER(REGEXREPLACE(D703,""[^A-Za-z]+ "",""""))"),"Scintelle")</f>
        <v>Scintelle</v>
      </c>
      <c r="G2987" s="4" t="s">
        <v>22409</v>
      </c>
      <c r="H2987" s="6"/>
      <c r="I2987" s="6"/>
      <c r="J2987" s="6"/>
      <c r="K2987" s="5" t="s">
        <v>22410</v>
      </c>
      <c r="L2987" s="5" t="s">
        <v>22411</v>
      </c>
      <c r="M2987" s="4" t="s">
        <v>11888</v>
      </c>
      <c r="N2987" s="4" t="s">
        <v>29</v>
      </c>
      <c r="O2987" s="4" t="s">
        <v>22412</v>
      </c>
      <c r="P2987" s="4" t="s">
        <v>29</v>
      </c>
      <c r="Q2987" s="6"/>
      <c r="R2987" s="6"/>
      <c r="S2987" s="6"/>
      <c r="T2987" s="6"/>
      <c r="U2987" s="6"/>
      <c r="V2987" s="6"/>
      <c r="W2987" s="6"/>
      <c r="X2987" s="6"/>
      <c r="Y2987" s="6"/>
      <c r="Z2987" s="6"/>
      <c r="AA2987" s="6"/>
    </row>
    <row r="2988" ht="14.25">
      <c r="B2988" s="4" t="s">
        <v>661</v>
      </c>
      <c r="C2988" s="4" t="s">
        <v>22413</v>
      </c>
      <c r="D2988" s="4" t="s">
        <v>426</v>
      </c>
      <c r="E2988" s="4" t="s">
        <v>21624</v>
      </c>
      <c r="F2988" s="4" t="str">
        <f>IFERROR(__XLUDF.DUMMYFUNCTION("PROPER(REGEXREPLACE(D704,""[^A-Za-z]+ "",""""))"),"Finasens")</f>
        <v>Finasens</v>
      </c>
      <c r="G2988" s="4" t="s">
        <v>22414</v>
      </c>
      <c r="H2988" s="4">
        <v>30</v>
      </c>
      <c r="I2988" s="4" t="s">
        <v>4067</v>
      </c>
      <c r="J2988" s="4"/>
      <c r="K2988" s="5" t="s">
        <v>22415</v>
      </c>
      <c r="L2988" s="5" t="s">
        <v>21627</v>
      </c>
      <c r="M2988" s="4" t="s">
        <v>1015</v>
      </c>
      <c r="N2988" s="4" t="s">
        <v>29</v>
      </c>
      <c r="O2988" s="4" t="s">
        <v>546</v>
      </c>
      <c r="P2988" s="4" t="s">
        <v>29</v>
      </c>
      <c r="Q2988" s="6"/>
      <c r="R2988" s="6"/>
      <c r="S2988" s="6"/>
      <c r="T2988" s="6"/>
      <c r="U2988" s="6"/>
      <c r="V2988" s="6"/>
      <c r="W2988" s="6"/>
      <c r="X2988" s="6"/>
      <c r="Y2988" s="6"/>
      <c r="Z2988" s="6"/>
      <c r="AA2988" s="6"/>
    </row>
    <row r="2989" ht="14.25">
      <c r="B2989" s="4" t="s">
        <v>22416</v>
      </c>
      <c r="C2989" s="4" t="s">
        <v>22417</v>
      </c>
      <c r="D2989" s="4" t="s">
        <v>198</v>
      </c>
      <c r="E2989" s="4" t="s">
        <v>22418</v>
      </c>
      <c r="F2989" s="4" t="str">
        <f>IFERROR(__XLUDF.DUMMYFUNCTION("PROPER(REGEXREPLACE(D705,""[^A-Za-z]+ "",""""))"),"Prestinfo Services")</f>
        <v xml:space="preserve">Prestinfo Services</v>
      </c>
      <c r="G2989" s="4" t="s">
        <v>22419</v>
      </c>
      <c r="H2989" s="4">
        <v>17</v>
      </c>
      <c r="I2989" s="4" t="s">
        <v>2602</v>
      </c>
      <c r="J2989" s="4" t="str">
        <f>IFERROR(__XLUDF.DUMMYFUNCTION("VLOOKUP(H705,IMPORTRANGE(""https://docs.google.com/spreadsheets/d/1opm6ZNvGZ7KditA9TuJwrZ25eFLfTNIkrNnY6mhV5Eg"",""list!A1:C115""),3,TRUE)"),"le secteur de la tech")</f>
        <v xml:space="preserve">le secteur de la tech</v>
      </c>
      <c r="K2989" s="5" t="s">
        <v>22420</v>
      </c>
      <c r="L2989" s="5" t="s">
        <v>22421</v>
      </c>
      <c r="M2989" s="4" t="s">
        <v>185</v>
      </c>
      <c r="N2989" s="4" t="s">
        <v>29</v>
      </c>
      <c r="O2989" s="4" t="s">
        <v>22422</v>
      </c>
      <c r="P2989" s="4" t="s">
        <v>29</v>
      </c>
      <c r="Q2989" s="4" t="s">
        <v>22423</v>
      </c>
      <c r="R2989" s="6"/>
      <c r="S2989" s="6"/>
      <c r="T2989" s="6"/>
      <c r="U2989" s="6"/>
      <c r="V2989" s="6"/>
      <c r="W2989" s="6"/>
      <c r="X2989" s="6"/>
      <c r="Y2989" s="6"/>
      <c r="Z2989" s="6"/>
      <c r="AA2989" s="6"/>
    </row>
    <row r="2990" ht="14.25">
      <c r="B2990" s="4" t="s">
        <v>785</v>
      </c>
      <c r="C2990" s="4" t="s">
        <v>22424</v>
      </c>
      <c r="D2990" s="4" t="s">
        <v>3188</v>
      </c>
      <c r="E2990" s="4" t="s">
        <v>22425</v>
      </c>
      <c r="F2990" s="4" t="str">
        <f>IFERROR(__XLUDF.DUMMYFUNCTION("PROPER(REGEXREPLACE(D706,""[^A-Za-z]+ "",""""))"),"Legitbee")</f>
        <v>Legitbee</v>
      </c>
      <c r="G2990" s="4" t="s">
        <v>22426</v>
      </c>
      <c r="H2990" s="4">
        <v>15</v>
      </c>
      <c r="I2990" s="4" t="s">
        <v>2602</v>
      </c>
      <c r="J2990" s="4"/>
      <c r="K2990" s="5" t="s">
        <v>22427</v>
      </c>
      <c r="L2990" s="5" t="s">
        <v>22428</v>
      </c>
      <c r="M2990" s="6"/>
      <c r="N2990" s="4" t="s">
        <v>29</v>
      </c>
      <c r="O2990" s="4" t="s">
        <v>5865</v>
      </c>
      <c r="P2990" s="4" t="s">
        <v>29</v>
      </c>
      <c r="Q2990" s="4" t="s">
        <v>22429</v>
      </c>
      <c r="R2990" s="6"/>
      <c r="S2990" s="6"/>
      <c r="T2990" s="6"/>
      <c r="U2990" s="6"/>
      <c r="V2990" s="6"/>
      <c r="W2990" s="6"/>
      <c r="X2990" s="6"/>
      <c r="Y2990" s="6"/>
      <c r="Z2990" s="6"/>
      <c r="AA2990" s="6"/>
    </row>
    <row r="2991" ht="14.25">
      <c r="B2991" s="4" t="s">
        <v>322</v>
      </c>
      <c r="C2991" s="4" t="s">
        <v>22430</v>
      </c>
      <c r="D2991" s="4" t="s">
        <v>11790</v>
      </c>
      <c r="E2991" s="4" t="s">
        <v>22431</v>
      </c>
      <c r="F2991" s="4" t="str">
        <f>IFERROR(__XLUDF.DUMMYFUNCTION("PROPER(REGEXREPLACE(D707,""[^A-Za-z]+ "",""""))"),"Rougevert Communication")</f>
        <v xml:space="preserve">Rougevert Communication</v>
      </c>
      <c r="G2991" s="4" t="s">
        <v>22432</v>
      </c>
      <c r="H2991" s="4">
        <v>13</v>
      </c>
      <c r="I2991" s="4" t="s">
        <v>9161</v>
      </c>
      <c r="J2991" s="4" t="str">
        <f>IFERROR(__XLUDF.DUMMYFUNCTION("VLOOKUP(H707,IMPORTRANGE(""https://docs.google.com/spreadsheets/d/1opm6ZNvGZ7KditA9TuJwrZ25eFLfTNIkrNnY6mhV5Eg"",""list!A1:C115""),3,TRUE)"),"le secteur du marketing")</f>
        <v xml:space="preserve">le secteur du marketing</v>
      </c>
      <c r="K2991" s="5" t="s">
        <v>22433</v>
      </c>
      <c r="L2991" s="5" t="s">
        <v>22434</v>
      </c>
      <c r="M2991" s="4" t="s">
        <v>185</v>
      </c>
      <c r="N2991" s="4" t="s">
        <v>29</v>
      </c>
      <c r="O2991" s="4" t="s">
        <v>22435</v>
      </c>
      <c r="P2991" s="4" t="s">
        <v>29</v>
      </c>
      <c r="Q2991" s="4" t="s">
        <v>22436</v>
      </c>
      <c r="R2991" s="6"/>
      <c r="S2991" s="6"/>
      <c r="T2991" s="6"/>
      <c r="U2991" s="6"/>
      <c r="V2991" s="6"/>
      <c r="W2991" s="6"/>
      <c r="X2991" s="6"/>
      <c r="Y2991" s="6"/>
      <c r="Z2991" s="6"/>
      <c r="AA2991" s="6"/>
    </row>
    <row r="2992" ht="14.25">
      <c r="B2992" s="4" t="s">
        <v>622</v>
      </c>
      <c r="C2992" s="4" t="s">
        <v>22437</v>
      </c>
      <c r="D2992" s="4" t="s">
        <v>426</v>
      </c>
      <c r="E2992" s="4" t="s">
        <v>19249</v>
      </c>
      <c r="F2992" s="4" t="str">
        <f>IFERROR(__XLUDF.DUMMYFUNCTION("PROPER(REGEXREPLACE(D708,""[^A-Za-z]+ "",""""))"),"Zemper France")</f>
        <v xml:space="preserve">Zemper France</v>
      </c>
      <c r="G2992" s="4" t="s">
        <v>22438</v>
      </c>
      <c r="H2992" s="4">
        <v>15</v>
      </c>
      <c r="I2992" s="4" t="s">
        <v>10215</v>
      </c>
      <c r="J2992" s="4" t="str">
        <f>IFERROR(__XLUDF.DUMMYFUNCTION("VLOOKUP(H708,IMPORTRANGE(""https://docs.google.com/spreadsheets/d/1opm6ZNvGZ7KditA9TuJwrZ25eFLfTNIkrNnY6mhV5Eg"",""list!A1:C115""),3,TRUE)"),"le secteur de l'électrique et électronique")</f>
        <v xml:space="preserve">le secteur de l'électrique et électronique</v>
      </c>
      <c r="K2992" s="5" t="s">
        <v>22439</v>
      </c>
      <c r="L2992" s="5" t="s">
        <v>19252</v>
      </c>
      <c r="M2992" s="4" t="s">
        <v>21259</v>
      </c>
      <c r="N2992" s="4" t="s">
        <v>29</v>
      </c>
      <c r="O2992" s="4" t="s">
        <v>19253</v>
      </c>
      <c r="P2992" s="4" t="s">
        <v>29</v>
      </c>
      <c r="Q2992" s="6"/>
      <c r="R2992" s="6"/>
      <c r="S2992" s="6"/>
      <c r="T2992" s="6"/>
      <c r="U2992" s="6"/>
      <c r="V2992" s="6"/>
      <c r="W2992" s="6"/>
      <c r="X2992" s="6"/>
      <c r="Y2992" s="6"/>
      <c r="Z2992" s="6"/>
      <c r="AA2992" s="6"/>
    </row>
    <row r="2993" ht="14.25">
      <c r="B2993" s="4" t="s">
        <v>22440</v>
      </c>
      <c r="C2993" s="4" t="s">
        <v>2445</v>
      </c>
      <c r="D2993" s="4" t="s">
        <v>22441</v>
      </c>
      <c r="E2993" s="4" t="s">
        <v>22442</v>
      </c>
      <c r="F2993" s="4" t="str">
        <f>IFERROR(__XLUDF.DUMMYFUNCTION("PROPER(REGEXREPLACE(D709,""[^A-Za-z]+ "",""""))"),"Gisèle Paris")</f>
        <v xml:space="preserve">Gisèle Paris</v>
      </c>
      <c r="G2993" s="4" t="s">
        <v>22443</v>
      </c>
      <c r="H2993" s="4">
        <v>40</v>
      </c>
      <c r="I2993" s="4" t="s">
        <v>9161</v>
      </c>
      <c r="J2993" s="4"/>
      <c r="K2993" s="5" t="s">
        <v>22444</v>
      </c>
      <c r="L2993" s="5" t="s">
        <v>22445</v>
      </c>
      <c r="M2993" s="6"/>
      <c r="N2993" s="4" t="s">
        <v>29</v>
      </c>
      <c r="O2993" s="4" t="s">
        <v>67</v>
      </c>
      <c r="P2993" s="4" t="s">
        <v>29</v>
      </c>
      <c r="Q2993" s="4" t="s">
        <v>22446</v>
      </c>
      <c r="R2993" s="6"/>
      <c r="S2993" s="6"/>
      <c r="T2993" s="6"/>
      <c r="U2993" s="6"/>
      <c r="V2993" s="6"/>
      <c r="W2993" s="6"/>
      <c r="X2993" s="6"/>
      <c r="Y2993" s="6"/>
      <c r="Z2993" s="6"/>
      <c r="AA2993" s="6"/>
    </row>
    <row r="2994" ht="14.25">
      <c r="B2994" s="4" t="s">
        <v>20</v>
      </c>
      <c r="C2994" s="4" t="s">
        <v>22447</v>
      </c>
      <c r="D2994" s="4" t="s">
        <v>341</v>
      </c>
      <c r="E2994" s="4" t="s">
        <v>22448</v>
      </c>
      <c r="F2994" s="4" t="str">
        <f>IFERROR(__XLUDF.DUMMYFUNCTION("PROPER(REGEXREPLACE(D710,""[^A-Za-z]+ "",""""))"),"Daze Mgmt")</f>
        <v xml:space="preserve">Daze Mgmt</v>
      </c>
      <c r="G2994" s="4" t="s">
        <v>22449</v>
      </c>
      <c r="H2994" s="4">
        <v>12</v>
      </c>
      <c r="I2994" s="4" t="s">
        <v>9161</v>
      </c>
      <c r="J2994" s="4"/>
      <c r="K2994" s="5" t="s">
        <v>22450</v>
      </c>
      <c r="L2994" s="5" t="s">
        <v>22451</v>
      </c>
      <c r="M2994" s="4" t="s">
        <v>39</v>
      </c>
      <c r="N2994" s="4" t="s">
        <v>29</v>
      </c>
      <c r="O2994" s="4" t="s">
        <v>67</v>
      </c>
      <c r="P2994" s="4" t="s">
        <v>29</v>
      </c>
      <c r="Q2994" s="6"/>
      <c r="R2994" s="6"/>
      <c r="S2994" s="6"/>
      <c r="T2994" s="6"/>
      <c r="U2994" s="6"/>
      <c r="V2994" s="6"/>
      <c r="W2994" s="6"/>
      <c r="X2994" s="6"/>
      <c r="Y2994" s="6"/>
      <c r="Z2994" s="6"/>
      <c r="AA2994" s="6"/>
    </row>
    <row r="2995" ht="14.25">
      <c r="B2995" s="4" t="s">
        <v>22452</v>
      </c>
      <c r="C2995" s="4" t="s">
        <v>22453</v>
      </c>
      <c r="D2995" s="4" t="s">
        <v>22454</v>
      </c>
      <c r="E2995" s="4" t="s">
        <v>22455</v>
      </c>
      <c r="F2995" s="4" t="str">
        <f>IFERROR(__XLUDF.DUMMYFUNCTION("PROPER(REGEXREPLACE(D711,""[^A-Za-z]+ "",""""))"),"Peftrust")</f>
        <v>Peftrust</v>
      </c>
      <c r="G2995" s="4" t="s">
        <v>22456</v>
      </c>
      <c r="H2995" s="4">
        <v>11</v>
      </c>
      <c r="I2995" s="4" t="s">
        <v>2602</v>
      </c>
      <c r="J2995" s="4"/>
      <c r="K2995" s="5" t="s">
        <v>22457</v>
      </c>
      <c r="L2995" s="5" t="s">
        <v>22458</v>
      </c>
      <c r="M2995" s="4" t="s">
        <v>4922</v>
      </c>
      <c r="N2995" s="4" t="s">
        <v>29</v>
      </c>
      <c r="O2995" s="4" t="s">
        <v>22459</v>
      </c>
      <c r="P2995" s="4" t="s">
        <v>29</v>
      </c>
      <c r="Q2995" s="4" t="s">
        <v>22460</v>
      </c>
      <c r="R2995" s="6"/>
      <c r="S2995" s="6"/>
      <c r="T2995" s="6"/>
      <c r="U2995" s="6"/>
      <c r="V2995" s="6"/>
      <c r="W2995" s="6"/>
      <c r="X2995" s="6"/>
      <c r="Y2995" s="6"/>
      <c r="Z2995" s="6"/>
      <c r="AA2995" s="6"/>
    </row>
    <row r="2996" ht="14.25">
      <c r="B2996" s="4" t="s">
        <v>893</v>
      </c>
      <c r="C2996" s="4" t="s">
        <v>22461</v>
      </c>
      <c r="D2996" s="4" t="s">
        <v>22462</v>
      </c>
      <c r="E2996" s="4" t="s">
        <v>22463</v>
      </c>
      <c r="F2996" s="4" t="str">
        <f>IFERROR(__XLUDF.DUMMYFUNCTION("PROPER(REGEXREPLACE(D712,""[^A-Za-z]+ "",""""))"),"Phoner Business")</f>
        <v xml:space="preserve">Phoner Business</v>
      </c>
      <c r="G2996" s="4" t="s">
        <v>22464</v>
      </c>
      <c r="H2996" s="4">
        <v>10</v>
      </c>
      <c r="I2996" s="4" t="s">
        <v>2602</v>
      </c>
      <c r="J2996" s="4" t="str">
        <f>IFERROR(__XLUDF.DUMMYFUNCTION("VLOOKUP(H712,IMPORTRANGE(""https://docs.google.com/spreadsheets/d/1opm6ZNvGZ7KditA9TuJwrZ25eFLfTNIkrNnY6mhV5Eg"",""list!A1:C115""),3,TRUE)"),"le secteur de la tech")</f>
        <v xml:space="preserve">le secteur de la tech</v>
      </c>
      <c r="K2996" s="5" t="s">
        <v>22465</v>
      </c>
      <c r="L2996" s="5" t="s">
        <v>22466</v>
      </c>
      <c r="M2996" s="4" t="s">
        <v>1826</v>
      </c>
      <c r="N2996" s="4" t="s">
        <v>29</v>
      </c>
      <c r="O2996" s="4" t="s">
        <v>22467</v>
      </c>
      <c r="P2996" s="4" t="s">
        <v>29</v>
      </c>
      <c r="Q2996" s="4" t="s">
        <v>22468</v>
      </c>
      <c r="R2996" s="6"/>
      <c r="S2996" s="6"/>
      <c r="T2996" s="6"/>
      <c r="U2996" s="6"/>
      <c r="V2996" s="6"/>
      <c r="W2996" s="6"/>
      <c r="X2996" s="6"/>
      <c r="Y2996" s="6"/>
      <c r="Z2996" s="6"/>
      <c r="AA2996" s="6"/>
    </row>
    <row r="2997" ht="14.25">
      <c r="B2997" s="4" t="s">
        <v>3909</v>
      </c>
      <c r="C2997" s="4" t="s">
        <v>22469</v>
      </c>
      <c r="D2997" s="4" t="s">
        <v>22470</v>
      </c>
      <c r="E2997" s="4" t="s">
        <v>22471</v>
      </c>
      <c r="F2997" s="4" t="str">
        <f>IFERROR(__XLUDF.DUMMYFUNCTION("PROPER(REGEXREPLACE(D713,""[^A-Za-z]+ "",""""))"),"Quarks Safety")</f>
        <v xml:space="preserve">Quarks Safety</v>
      </c>
      <c r="G2997" s="4" t="s">
        <v>22472</v>
      </c>
      <c r="H2997" s="4">
        <v>19</v>
      </c>
      <c r="I2997" s="4" t="s">
        <v>2602</v>
      </c>
      <c r="J2997" s="4"/>
      <c r="K2997" s="5" t="s">
        <v>22473</v>
      </c>
      <c r="L2997" s="5" t="s">
        <v>22474</v>
      </c>
      <c r="M2997" s="4" t="s">
        <v>185</v>
      </c>
      <c r="N2997" s="4" t="s">
        <v>29</v>
      </c>
      <c r="O2997" s="4" t="s">
        <v>22475</v>
      </c>
      <c r="P2997" s="4" t="s">
        <v>29</v>
      </c>
      <c r="Q2997" s="4" t="s">
        <v>22476</v>
      </c>
      <c r="R2997" s="6"/>
      <c r="S2997" s="6"/>
      <c r="T2997" s="6"/>
      <c r="U2997" s="6"/>
      <c r="V2997" s="6"/>
      <c r="W2997" s="6"/>
      <c r="X2997" s="6"/>
      <c r="Y2997" s="6"/>
      <c r="Z2997" s="6"/>
      <c r="AA2997" s="6"/>
    </row>
    <row r="2998" ht="14.25">
      <c r="B2998" s="4" t="s">
        <v>110</v>
      </c>
      <c r="C2998" s="4" t="s">
        <v>22477</v>
      </c>
      <c r="D2998" s="4" t="s">
        <v>426</v>
      </c>
      <c r="E2998" s="4" t="s">
        <v>22478</v>
      </c>
      <c r="F2998" s="4" t="str">
        <f>IFERROR(__XLUDF.DUMMYFUNCTION("PROPER(REGEXREPLACE(D714,""[^A-Za-z]+ "",""""))"),"Wemoov")</f>
        <v>Wemoov</v>
      </c>
      <c r="G2998" s="4" t="s">
        <v>22479</v>
      </c>
      <c r="H2998" s="4">
        <v>45</v>
      </c>
      <c r="I2998" s="4" t="s">
        <v>2602</v>
      </c>
      <c r="J2998" s="4" t="str">
        <f>IFERROR(__XLUDF.DUMMYFUNCTION("VLOOKUP(H714,IMPORTRANGE(""https://docs.google.com/spreadsheets/d/1opm6ZNvGZ7KditA9TuJwrZ25eFLfTNIkrNnY6mhV5Eg"",""list!A1:C115""),3,TRUE)"),"le secteur de la tech")</f>
        <v xml:space="preserve">le secteur de la tech</v>
      </c>
      <c r="K2998" s="5" t="s">
        <v>22480</v>
      </c>
      <c r="L2998" s="5" t="s">
        <v>22481</v>
      </c>
      <c r="M2998" s="4" t="s">
        <v>22482</v>
      </c>
      <c r="N2998" s="4" t="s">
        <v>29</v>
      </c>
      <c r="O2998" s="4" t="s">
        <v>22483</v>
      </c>
      <c r="P2998" s="4" t="s">
        <v>29</v>
      </c>
      <c r="Q2998" s="6"/>
      <c r="R2998" s="6"/>
      <c r="S2998" s="6"/>
      <c r="T2998" s="6"/>
      <c r="U2998" s="6"/>
      <c r="V2998" s="6"/>
      <c r="W2998" s="6"/>
      <c r="X2998" s="6"/>
      <c r="Y2998" s="6"/>
      <c r="Z2998" s="6"/>
      <c r="AA2998" s="6"/>
    </row>
    <row r="2999" ht="14.25">
      <c r="B2999" s="4" t="s">
        <v>630</v>
      </c>
      <c r="C2999" s="4" t="s">
        <v>16264</v>
      </c>
      <c r="D2999" s="4" t="s">
        <v>265</v>
      </c>
      <c r="E2999" s="4" t="s">
        <v>21097</v>
      </c>
      <c r="F2999" s="4" t="str">
        <f>IFERROR(__XLUDF.DUMMYFUNCTION("PROPER(REGEXREPLACE(D715,""[^A-Za-z]+ "",""""))"),"Citylinx")</f>
        <v>Citylinx</v>
      </c>
      <c r="G2999" s="4" t="s">
        <v>22484</v>
      </c>
      <c r="H2999" s="4">
        <v>14</v>
      </c>
      <c r="I2999" s="4" t="s">
        <v>2602</v>
      </c>
      <c r="J2999" s="4"/>
      <c r="K2999" s="5" t="s">
        <v>22485</v>
      </c>
      <c r="L2999" s="5" t="s">
        <v>21100</v>
      </c>
      <c r="M2999" s="4" t="s">
        <v>731</v>
      </c>
      <c r="N2999" s="4" t="s">
        <v>29</v>
      </c>
      <c r="O2999" s="4" t="s">
        <v>21101</v>
      </c>
      <c r="P2999" s="4" t="s">
        <v>29</v>
      </c>
      <c r="Q2999" s="6"/>
      <c r="R2999" s="6"/>
      <c r="S2999" s="6"/>
      <c r="T2999" s="6"/>
      <c r="U2999" s="6"/>
      <c r="V2999" s="6"/>
      <c r="W2999" s="6"/>
      <c r="X2999" s="6"/>
      <c r="Y2999" s="6"/>
      <c r="Z2999" s="6"/>
      <c r="AA2999" s="6"/>
    </row>
    <row r="3000" ht="14.25">
      <c r="B3000" s="4" t="s">
        <v>22486</v>
      </c>
      <c r="C3000" s="4" t="s">
        <v>22487</v>
      </c>
      <c r="D3000" s="4" t="s">
        <v>172</v>
      </c>
      <c r="E3000" s="4" t="s">
        <v>22488</v>
      </c>
      <c r="F3000" s="4" t="str">
        <f>IFERROR(__XLUDF.DUMMYFUNCTION("PROPER(REGEXREPLACE(D716,""[^A-Za-z]+ "",""""))"),"Remelec")</f>
        <v>Remelec</v>
      </c>
      <c r="G3000" s="4" t="s">
        <v>22489</v>
      </c>
      <c r="H3000" s="4">
        <v>20</v>
      </c>
      <c r="I3000" s="6"/>
      <c r="J3000" s="6"/>
      <c r="K3000" s="5" t="s">
        <v>22490</v>
      </c>
      <c r="L3000" s="5" t="s">
        <v>22491</v>
      </c>
      <c r="M3000" s="4" t="s">
        <v>6061</v>
      </c>
      <c r="N3000" s="4" t="s">
        <v>29</v>
      </c>
      <c r="O3000" s="4" t="s">
        <v>22492</v>
      </c>
      <c r="P3000" s="4" t="s">
        <v>29</v>
      </c>
      <c r="Q3000" s="6"/>
      <c r="R3000" s="6"/>
      <c r="S3000" s="6"/>
      <c r="T3000" s="6"/>
      <c r="U3000" s="6"/>
      <c r="V3000" s="6"/>
      <c r="W3000" s="6"/>
      <c r="X3000" s="6"/>
      <c r="Y3000" s="6"/>
      <c r="Z3000" s="6"/>
      <c r="AA3000" s="6"/>
    </row>
    <row r="3001" ht="14.25">
      <c r="B3001" s="4" t="s">
        <v>670</v>
      </c>
      <c r="C3001" s="4" t="s">
        <v>13377</v>
      </c>
      <c r="D3001" s="4" t="s">
        <v>22493</v>
      </c>
      <c r="E3001" s="4" t="s">
        <v>22494</v>
      </c>
      <c r="F3001" s="4" t="str">
        <f>IFERROR(__XLUDF.DUMMYFUNCTION("PROPER(REGEXREPLACE(D717,""[^A-Za-z]+ "",""""))"),"Inovi")</f>
        <v>Inovi</v>
      </c>
      <c r="G3001" s="4" t="s">
        <v>22495</v>
      </c>
      <c r="H3001" s="4">
        <v>30</v>
      </c>
      <c r="I3001" s="4" t="s">
        <v>2602</v>
      </c>
      <c r="J3001" s="4" t="str">
        <f>IFERROR(__XLUDF.DUMMYFUNCTION("VLOOKUP(H717,IMPORTRANGE(""https://docs.google.com/spreadsheets/d/1opm6ZNvGZ7KditA9TuJwrZ25eFLfTNIkrNnY6mhV5Eg"",""list!A1:C115""),3,TRUE)"),"le secteur de la tech")</f>
        <v xml:space="preserve">le secteur de la tech</v>
      </c>
      <c r="K3001" s="5" t="s">
        <v>22496</v>
      </c>
      <c r="L3001" s="5" t="s">
        <v>22497</v>
      </c>
      <c r="M3001" s="4" t="s">
        <v>83</v>
      </c>
      <c r="N3001" s="4" t="s">
        <v>29</v>
      </c>
      <c r="O3001" s="4" t="s">
        <v>84</v>
      </c>
      <c r="P3001" s="4" t="s">
        <v>29</v>
      </c>
      <c r="Q3001" s="6"/>
      <c r="R3001" s="6"/>
      <c r="S3001" s="6"/>
      <c r="T3001" s="6"/>
      <c r="U3001" s="6"/>
      <c r="V3001" s="6"/>
      <c r="W3001" s="6"/>
      <c r="X3001" s="6"/>
      <c r="Y3001" s="6"/>
      <c r="Z3001" s="6"/>
      <c r="AA3001" s="6"/>
    </row>
    <row r="3002" ht="14.25">
      <c r="B3002" s="4" t="s">
        <v>22498</v>
      </c>
      <c r="C3002" s="4" t="s">
        <v>22499</v>
      </c>
      <c r="D3002" s="4" t="s">
        <v>688</v>
      </c>
      <c r="E3002" s="4" t="s">
        <v>22500</v>
      </c>
      <c r="F3002" s="4" t="str">
        <f>IFERROR(__XLUDF.DUMMYFUNCTION("PROPER(REGEXREPLACE(D718,""[^A-Za-z]+ "",""""))"),"Issroad")</f>
        <v>Issroad</v>
      </c>
      <c r="G3002" s="4" t="s">
        <v>22501</v>
      </c>
      <c r="H3002" s="4">
        <v>9</v>
      </c>
      <c r="I3002" s="4" t="s">
        <v>9264</v>
      </c>
      <c r="J3002" s="4"/>
      <c r="K3002" s="5" t="s">
        <v>22502</v>
      </c>
      <c r="L3002" s="5" t="s">
        <v>22503</v>
      </c>
      <c r="M3002" s="6"/>
      <c r="N3002" s="4" t="s">
        <v>29</v>
      </c>
      <c r="O3002" s="4" t="s">
        <v>22504</v>
      </c>
      <c r="P3002" s="4" t="s">
        <v>848</v>
      </c>
      <c r="Q3002" s="6"/>
      <c r="R3002" s="6"/>
      <c r="S3002" s="6"/>
      <c r="T3002" s="6"/>
      <c r="U3002" s="6"/>
      <c r="V3002" s="6"/>
      <c r="W3002" s="6"/>
      <c r="X3002" s="6"/>
      <c r="Y3002" s="6"/>
      <c r="Z3002" s="6"/>
      <c r="AA3002" s="6"/>
    </row>
    <row r="3003" ht="14.25">
      <c r="B3003" s="4" t="s">
        <v>22505</v>
      </c>
      <c r="C3003" s="4" t="s">
        <v>828</v>
      </c>
      <c r="D3003" s="4" t="s">
        <v>22506</v>
      </c>
      <c r="E3003" s="4" t="s">
        <v>22507</v>
      </c>
      <c r="F3003" s="4" t="str">
        <f>IFERROR(__XLUDF.DUMMYFUNCTION("PROPER(REGEXREPLACE(D719,""[^A-Za-z]+ "",""""))"),"Locomotiv'")</f>
        <v>Locomotiv'</v>
      </c>
      <c r="G3003" s="4" t="s">
        <v>22508</v>
      </c>
      <c r="H3003" s="4">
        <v>34</v>
      </c>
      <c r="I3003" s="4" t="s">
        <v>2602</v>
      </c>
      <c r="J3003" s="4" t="str">
        <f>IFERROR(__XLUDF.DUMMYFUNCTION("VLOOKUP(H719,IMPORTRANGE(""https://docs.google.com/spreadsheets/d/1opm6ZNvGZ7KditA9TuJwrZ25eFLfTNIkrNnY6mhV5Eg"",""list!A1:C115""),3,TRUE)"),"le secteur de la tech")</f>
        <v xml:space="preserve">le secteur de la tech</v>
      </c>
      <c r="K3003" s="5" t="s">
        <v>22509</v>
      </c>
      <c r="L3003" s="5" t="s">
        <v>22510</v>
      </c>
      <c r="M3003" s="4" t="s">
        <v>243</v>
      </c>
      <c r="N3003" s="4" t="s">
        <v>29</v>
      </c>
      <c r="O3003" s="4" t="s">
        <v>22511</v>
      </c>
      <c r="P3003" s="4" t="s">
        <v>29</v>
      </c>
      <c r="Q3003" s="4" t="s">
        <v>22512</v>
      </c>
      <c r="R3003" s="6"/>
      <c r="S3003" s="6"/>
      <c r="T3003" s="6"/>
      <c r="U3003" s="6"/>
      <c r="V3003" s="6"/>
      <c r="W3003" s="6"/>
      <c r="X3003" s="6"/>
      <c r="Y3003" s="6"/>
      <c r="Z3003" s="6"/>
      <c r="AA3003" s="6"/>
    </row>
    <row r="3004" ht="14.25">
      <c r="B3004" s="4" t="s">
        <v>1667</v>
      </c>
      <c r="C3004" s="4" t="s">
        <v>22513</v>
      </c>
      <c r="D3004" s="4" t="s">
        <v>22514</v>
      </c>
      <c r="E3004" s="4" t="s">
        <v>22515</v>
      </c>
      <c r="F3004" s="4" t="str">
        <f>IFERROR(__XLUDF.DUMMYFUNCTION("PROPER(REGEXREPLACE(D720,""[^A-Za-z]+ "",""""))"),"Tramscan Connect")</f>
        <v xml:space="preserve">Tramscan Connect</v>
      </c>
      <c r="G3004" s="4" t="s">
        <v>22516</v>
      </c>
      <c r="H3004" s="4">
        <v>10</v>
      </c>
      <c r="I3004" s="4" t="s">
        <v>4067</v>
      </c>
      <c r="J3004" s="4" t="str">
        <f>IFERROR(__XLUDF.DUMMYFUNCTION("VLOOKUP(H720,IMPORTRANGE(""https://docs.google.com/spreadsheets/d/1opm6ZNvGZ7KditA9TuJwrZ25eFLfTNIkrNnY6mhV5Eg"",""list!A1:C115""),3,TRUE)"),"le secteur du conseil en management")</f>
        <v xml:space="preserve">le secteur du conseil en management</v>
      </c>
      <c r="K3004" s="5" t="s">
        <v>22517</v>
      </c>
      <c r="L3004" s="5" t="s">
        <v>22518</v>
      </c>
      <c r="M3004" s="6"/>
      <c r="N3004" s="4" t="s">
        <v>29</v>
      </c>
      <c r="O3004" s="4" t="s">
        <v>22519</v>
      </c>
      <c r="P3004" s="4" t="s">
        <v>29</v>
      </c>
      <c r="Q3004" s="6"/>
      <c r="R3004" s="6"/>
      <c r="S3004" s="6"/>
      <c r="T3004" s="6"/>
      <c r="U3004" s="6"/>
      <c r="V3004" s="6"/>
      <c r="W3004" s="6"/>
      <c r="X3004" s="6"/>
      <c r="Y3004" s="6"/>
      <c r="Z3004" s="6"/>
      <c r="AA3004" s="6"/>
    </row>
    <row r="3005" ht="14.25">
      <c r="B3005" s="4" t="s">
        <v>1215</v>
      </c>
      <c r="C3005" s="4" t="s">
        <v>14384</v>
      </c>
      <c r="D3005" s="4" t="s">
        <v>1240</v>
      </c>
      <c r="E3005" s="4" t="s">
        <v>22520</v>
      </c>
      <c r="F3005" s="4" t="str">
        <f>IFERROR(__XLUDF.DUMMYFUNCTION("PROPER(REGEXREPLACE(D721,""[^A-Za-z]+ "",""""))"),"Urban Radar")</f>
        <v xml:space="preserve">Urban Radar</v>
      </c>
      <c r="G3005" s="4" t="s">
        <v>22521</v>
      </c>
      <c r="H3005" s="4">
        <v>23</v>
      </c>
      <c r="I3005" s="4" t="s">
        <v>2602</v>
      </c>
      <c r="J3005" s="4" t="str">
        <f>IFERROR(__XLUDF.DUMMYFUNCTION("VLOOKUP(H721,IMPORTRANGE(""https://docs.google.com/spreadsheets/d/1opm6ZNvGZ7KditA9TuJwrZ25eFLfTNIkrNnY6mhV5Eg"",""list!A1:C115""),3,TRUE)"),"le secteur de la tech")</f>
        <v xml:space="preserve">le secteur de la tech</v>
      </c>
      <c r="K3005" s="5" t="s">
        <v>22522</v>
      </c>
      <c r="L3005" s="5" t="s">
        <v>22523</v>
      </c>
      <c r="M3005" s="4" t="s">
        <v>39</v>
      </c>
      <c r="N3005" s="4" t="s">
        <v>29</v>
      </c>
      <c r="O3005" s="4" t="s">
        <v>457</v>
      </c>
      <c r="P3005" s="4" t="s">
        <v>29</v>
      </c>
      <c r="Q3005" s="4" t="s">
        <v>22524</v>
      </c>
      <c r="R3005" s="6"/>
      <c r="S3005" s="6"/>
      <c r="T3005" s="6"/>
      <c r="U3005" s="6"/>
      <c r="V3005" s="6"/>
      <c r="W3005" s="6"/>
      <c r="X3005" s="6"/>
      <c r="Y3005" s="6"/>
      <c r="Z3005" s="6"/>
      <c r="AA3005" s="6"/>
    </row>
    <row r="3006" ht="14.25">
      <c r="B3006" s="4" t="s">
        <v>1667</v>
      </c>
      <c r="C3006" s="4" t="s">
        <v>21847</v>
      </c>
      <c r="D3006" s="4" t="s">
        <v>112</v>
      </c>
      <c r="E3006" s="4" t="s">
        <v>22525</v>
      </c>
      <c r="F3006" s="4" t="str">
        <f>IFERROR(__XLUDF.DUMMYFUNCTION("PROPER(REGEXREPLACE(D722,""[^A-Za-z]+ "",""""))"),"Cnsi Solutiondistribution")</f>
        <v xml:space="preserve">Cnsi Solutiondistribution</v>
      </c>
      <c r="G3006" s="4" t="s">
        <v>22526</v>
      </c>
      <c r="H3006" s="4">
        <v>26</v>
      </c>
      <c r="I3006" s="4" t="s">
        <v>4525</v>
      </c>
      <c r="J3006" s="4"/>
      <c r="K3006" s="5" t="s">
        <v>22527</v>
      </c>
      <c r="L3006" s="5" t="s">
        <v>22528</v>
      </c>
      <c r="M3006" s="4" t="s">
        <v>1711</v>
      </c>
      <c r="N3006" s="4" t="s">
        <v>29</v>
      </c>
      <c r="O3006" s="4" t="s">
        <v>22529</v>
      </c>
      <c r="P3006" s="4" t="s">
        <v>29</v>
      </c>
      <c r="Q3006" s="6"/>
      <c r="R3006" s="6"/>
      <c r="S3006" s="6"/>
      <c r="T3006" s="6"/>
      <c r="U3006" s="6"/>
      <c r="V3006" s="6"/>
      <c r="W3006" s="6"/>
      <c r="X3006" s="6"/>
      <c r="Y3006" s="6"/>
      <c r="Z3006" s="6"/>
      <c r="AA3006" s="6"/>
    </row>
    <row r="3007" ht="14.25">
      <c r="B3007" s="4" t="s">
        <v>840</v>
      </c>
      <c r="C3007" s="4" t="s">
        <v>22530</v>
      </c>
      <c r="D3007" s="4" t="s">
        <v>2745</v>
      </c>
      <c r="E3007" s="4" t="s">
        <v>22531</v>
      </c>
      <c r="F3007" s="4" t="str">
        <f>IFERROR(__XLUDF.DUMMYFUNCTION("PROPER(REGEXREPLACE(D723,""[^A-Za-z]+ "",""""))"),"Edusign")</f>
        <v>Edusign</v>
      </c>
      <c r="G3007" s="4" t="s">
        <v>22532</v>
      </c>
      <c r="H3007" s="4">
        <v>54</v>
      </c>
      <c r="I3007" s="4" t="s">
        <v>2602</v>
      </c>
      <c r="J3007" s="4" t="str">
        <f>IFERROR(__XLUDF.DUMMYFUNCTION("VLOOKUP(H723,IMPORTRANGE(""https://docs.google.com/spreadsheets/d/1opm6ZNvGZ7KditA9TuJwrZ25eFLfTNIkrNnY6mhV5Eg"",""list!A1:C115""),3,TRUE)"),"le secteur de la tech")</f>
        <v xml:space="preserve">le secteur de la tech</v>
      </c>
      <c r="K3007" s="5" t="s">
        <v>22533</v>
      </c>
      <c r="L3007" s="5" t="s">
        <v>22534</v>
      </c>
      <c r="M3007" s="4" t="s">
        <v>39</v>
      </c>
      <c r="N3007" s="4" t="s">
        <v>29</v>
      </c>
      <c r="O3007" s="4" t="s">
        <v>1158</v>
      </c>
      <c r="P3007" s="4" t="s">
        <v>29</v>
      </c>
      <c r="Q3007" s="4" t="s">
        <v>22535</v>
      </c>
      <c r="R3007" s="6"/>
      <c r="S3007" s="6"/>
      <c r="T3007" s="6"/>
      <c r="U3007" s="6"/>
      <c r="V3007" s="6"/>
      <c r="W3007" s="6"/>
      <c r="X3007" s="6"/>
      <c r="Y3007" s="6"/>
      <c r="Z3007" s="6"/>
      <c r="AA3007" s="6"/>
    </row>
    <row r="3008" ht="14.25">
      <c r="B3008" s="4" t="s">
        <v>215</v>
      </c>
      <c r="C3008" s="4" t="s">
        <v>22536</v>
      </c>
      <c r="D3008" s="4" t="s">
        <v>22537</v>
      </c>
      <c r="E3008" s="4" t="s">
        <v>22538</v>
      </c>
      <c r="F3008" s="4" t="str">
        <f>IFERROR(__XLUDF.DUMMYFUNCTION("PROPER(REGEXREPLACE(D724,""[^A-Za-z]+ "",""""))"),"Changeable")</f>
        <v>Changeable</v>
      </c>
      <c r="G3008" s="4" t="s">
        <v>22539</v>
      </c>
      <c r="H3008" s="4">
        <v>16</v>
      </c>
      <c r="I3008" s="4" t="s">
        <v>4067</v>
      </c>
      <c r="J3008" s="4" t="str">
        <f>IFERROR(__XLUDF.DUMMYFUNCTION("VLOOKUP(H724,IMPORTRANGE(""https://docs.google.com/spreadsheets/d/1opm6ZNvGZ7KditA9TuJwrZ25eFLfTNIkrNnY6mhV5Eg"",""list!A1:C115""),3,TRUE)"),"le secteur du conseil en management")</f>
        <v xml:space="preserve">le secteur du conseil en management</v>
      </c>
      <c r="K3008" s="5" t="s">
        <v>22540</v>
      </c>
      <c r="L3008" s="5" t="s">
        <v>22541</v>
      </c>
      <c r="M3008" s="4" t="s">
        <v>39</v>
      </c>
      <c r="N3008" s="4" t="s">
        <v>29</v>
      </c>
      <c r="O3008" s="4" t="s">
        <v>22542</v>
      </c>
      <c r="P3008" s="4" t="s">
        <v>29</v>
      </c>
      <c r="Q3008" s="4" t="s">
        <v>22543</v>
      </c>
      <c r="R3008" s="6"/>
      <c r="S3008" s="6"/>
      <c r="T3008" s="6"/>
      <c r="U3008" s="6"/>
      <c r="V3008" s="6"/>
      <c r="W3008" s="6"/>
      <c r="X3008" s="6"/>
      <c r="Y3008" s="6"/>
      <c r="Z3008" s="6"/>
      <c r="AA3008" s="6"/>
    </row>
    <row r="3009" ht="14.25">
      <c r="B3009" s="4" t="s">
        <v>734</v>
      </c>
      <c r="C3009" s="4" t="s">
        <v>22544</v>
      </c>
      <c r="D3009" s="4" t="s">
        <v>10202</v>
      </c>
      <c r="E3009" s="4" t="s">
        <v>22545</v>
      </c>
      <c r="F3009" s="4" t="str">
        <f>IFERROR(__XLUDF.DUMMYFUNCTION("PROPER(REGEXREPLACE(D725,""[^A-Za-z]+ "",""""))"),"Oleaster Consulting")</f>
        <v xml:space="preserve">Oleaster Consulting</v>
      </c>
      <c r="G3009" s="4" t="s">
        <v>22546</v>
      </c>
      <c r="H3009" s="4">
        <v>18</v>
      </c>
      <c r="I3009" s="4" t="s">
        <v>4067</v>
      </c>
      <c r="J3009" s="4" t="str">
        <f>IFERROR(__XLUDF.DUMMYFUNCTION("VLOOKUP(H725,IMPORTRANGE(""https://docs.google.com/spreadsheets/d/1opm6ZNvGZ7KditA9TuJwrZ25eFLfTNIkrNnY6mhV5Eg"",""list!A1:C115""),3,TRUE)"),"le secteur du conseil en management")</f>
        <v xml:space="preserve">le secteur du conseil en management</v>
      </c>
      <c r="K3009" s="5" t="s">
        <v>22547</v>
      </c>
      <c r="L3009" s="5" t="s">
        <v>22548</v>
      </c>
      <c r="M3009" s="4" t="s">
        <v>39</v>
      </c>
      <c r="N3009" s="4" t="s">
        <v>29</v>
      </c>
      <c r="O3009" s="4" t="s">
        <v>22549</v>
      </c>
      <c r="P3009" s="4" t="s">
        <v>29</v>
      </c>
      <c r="Q3009" s="4" t="s">
        <v>22550</v>
      </c>
      <c r="R3009" s="6"/>
      <c r="S3009" s="6"/>
      <c r="T3009" s="6"/>
      <c r="U3009" s="6"/>
      <c r="V3009" s="6"/>
      <c r="W3009" s="6"/>
      <c r="X3009" s="6"/>
      <c r="Y3009" s="6"/>
      <c r="Z3009" s="6"/>
      <c r="AA3009" s="6"/>
    </row>
    <row r="3010" ht="14.25">
      <c r="B3010" s="4" t="s">
        <v>22551</v>
      </c>
      <c r="C3010" s="4" t="s">
        <v>22552</v>
      </c>
      <c r="D3010" s="4" t="s">
        <v>22553</v>
      </c>
      <c r="E3010" s="4" t="s">
        <v>22554</v>
      </c>
      <c r="F3010" s="4" t="str">
        <f>IFERROR(__XLUDF.DUMMYFUNCTION("PROPER(REGEXREPLACE(D726,""[^A-Za-z]+ "",""""))"),"Pyxis Support")</f>
        <v xml:space="preserve">Pyxis Support</v>
      </c>
      <c r="G3010" s="4" t="s">
        <v>22555</v>
      </c>
      <c r="H3010" s="4">
        <v>27</v>
      </c>
      <c r="I3010" s="4" t="s">
        <v>4067</v>
      </c>
      <c r="J3010" s="4" t="str">
        <f>IFERROR(__XLUDF.DUMMYFUNCTION("VLOOKUP(H726,IMPORTRANGE(""https://docs.google.com/spreadsheets/d/1opm6ZNvGZ7KditA9TuJwrZ25eFLfTNIkrNnY6mhV5Eg"",""list!A1:C115""),3,TRUE)"),"le secteur du conseil en management")</f>
        <v xml:space="preserve">le secteur du conseil en management</v>
      </c>
      <c r="K3010" s="5" t="s">
        <v>22556</v>
      </c>
      <c r="L3010" s="5" t="s">
        <v>22557</v>
      </c>
      <c r="M3010" s="6"/>
      <c r="N3010" s="4" t="s">
        <v>29</v>
      </c>
      <c r="O3010" s="4" t="s">
        <v>22558</v>
      </c>
      <c r="P3010" s="4" t="s">
        <v>29</v>
      </c>
      <c r="Q3010" s="6"/>
      <c r="R3010" s="6"/>
      <c r="S3010" s="6"/>
      <c r="T3010" s="6"/>
      <c r="U3010" s="6"/>
      <c r="V3010" s="6"/>
      <c r="W3010" s="6"/>
      <c r="X3010" s="6"/>
      <c r="Y3010" s="6"/>
      <c r="Z3010" s="6"/>
      <c r="AA3010" s="6"/>
    </row>
    <row r="3011" ht="14.25">
      <c r="B3011" s="4" t="s">
        <v>22559</v>
      </c>
      <c r="C3011" s="4" t="s">
        <v>22560</v>
      </c>
      <c r="D3011" s="4" t="s">
        <v>315</v>
      </c>
      <c r="E3011" s="4" t="s">
        <v>22561</v>
      </c>
      <c r="F3011" s="4" t="str">
        <f>IFERROR(__XLUDF.DUMMYFUNCTION("PROPER(REGEXREPLACE(D727,""[^A-Za-z]+ "",""""))"),"Digital Growth")</f>
        <v xml:space="preserve">Digital Growth</v>
      </c>
      <c r="G3011" s="4" t="s">
        <v>22562</v>
      </c>
      <c r="H3011" s="4">
        <v>13</v>
      </c>
      <c r="I3011" s="4" t="s">
        <v>9161</v>
      </c>
      <c r="J3011" s="4" t="str">
        <f>IFERROR(__XLUDF.DUMMYFUNCTION("VLOOKUP(H727,IMPORTRANGE(""https://docs.google.com/spreadsheets/d/1opm6ZNvGZ7KditA9TuJwrZ25eFLfTNIkrNnY6mhV5Eg"",""list!A1:C115""),3,TRUE)"),"le secteur du marketing")</f>
        <v xml:space="preserve">le secteur du marketing</v>
      </c>
      <c r="K3011" s="5" t="s">
        <v>22563</v>
      </c>
      <c r="L3011" s="5" t="s">
        <v>22564</v>
      </c>
      <c r="M3011" s="4" t="s">
        <v>22565</v>
      </c>
      <c r="N3011" s="4" t="s">
        <v>29</v>
      </c>
      <c r="O3011" s="4" t="s">
        <v>22566</v>
      </c>
      <c r="P3011" s="4" t="s">
        <v>22567</v>
      </c>
      <c r="Q3011" s="4" t="s">
        <v>22568</v>
      </c>
      <c r="R3011" s="6"/>
      <c r="S3011" s="6"/>
      <c r="T3011" s="6"/>
      <c r="U3011" s="6"/>
      <c r="V3011" s="6"/>
      <c r="W3011" s="6"/>
      <c r="X3011" s="6"/>
      <c r="Y3011" s="6"/>
      <c r="Z3011" s="6"/>
      <c r="AA3011" s="6"/>
    </row>
    <row r="3012" ht="14.25">
      <c r="B3012" s="4" t="s">
        <v>76</v>
      </c>
      <c r="C3012" s="4" t="s">
        <v>22569</v>
      </c>
      <c r="D3012" s="4" t="s">
        <v>1072</v>
      </c>
      <c r="E3012" s="4" t="s">
        <v>22570</v>
      </c>
      <c r="F3012" s="4" t="str">
        <f>IFERROR(__XLUDF.DUMMYFUNCTION("PROPER(REGEXREPLACE(D728,""[^A-Za-z]+ "",""""))"),"The Social Wire")</f>
        <v xml:space="preserve">The Social Wire</v>
      </c>
      <c r="G3012" s="4" t="s">
        <v>22571</v>
      </c>
      <c r="H3012" s="4">
        <v>23</v>
      </c>
      <c r="I3012" s="4" t="s">
        <v>19175</v>
      </c>
      <c r="J3012" s="4" t="str">
        <f>IFERROR(__XLUDF.DUMMYFUNCTION("VLOOKUP(H728,IMPORTRANGE(""https://docs.google.com/spreadsheets/d/1opm6ZNvGZ7KditA9TuJwrZ25eFLfTNIkrNnY6mhV5Eg"",""list!A1:C115""),3,TRUE)"),"le secteur des études de marché")</f>
        <v xml:space="preserve">le secteur des études de marché</v>
      </c>
      <c r="K3012" s="5" t="s">
        <v>22572</v>
      </c>
      <c r="L3012" s="5" t="s">
        <v>22573</v>
      </c>
      <c r="M3012" s="4" t="s">
        <v>39</v>
      </c>
      <c r="N3012" s="4" t="s">
        <v>29</v>
      </c>
      <c r="O3012" s="4" t="s">
        <v>22574</v>
      </c>
      <c r="P3012" s="4" t="s">
        <v>29</v>
      </c>
      <c r="Q3012" s="6"/>
      <c r="R3012" s="6"/>
      <c r="S3012" s="6"/>
      <c r="T3012" s="6"/>
      <c r="U3012" s="6"/>
      <c r="V3012" s="6"/>
      <c r="W3012" s="6"/>
      <c r="X3012" s="6"/>
      <c r="Y3012" s="6"/>
      <c r="Z3012" s="6"/>
      <c r="AA3012" s="6"/>
    </row>
    <row r="3013" ht="14.25">
      <c r="B3013" s="4" t="s">
        <v>2303</v>
      </c>
      <c r="C3013" s="4" t="s">
        <v>22575</v>
      </c>
      <c r="D3013" s="4" t="s">
        <v>22576</v>
      </c>
      <c r="E3013" s="4" t="s">
        <v>22577</v>
      </c>
      <c r="F3013" s="4" t="str">
        <f>IFERROR(__XLUDF.DUMMYFUNCTION("PROPER(REGEXREPLACE(D729,""[^A-Za-z]+ "",""""))"),"La Phratrie")</f>
        <v xml:space="preserve">La Phratrie</v>
      </c>
      <c r="G3013" s="4" t="s">
        <v>22578</v>
      </c>
      <c r="H3013" s="4">
        <v>27</v>
      </c>
      <c r="I3013" s="4" t="s">
        <v>10639</v>
      </c>
      <c r="J3013" s="4" t="str">
        <f>IFERROR(__XLUDF.DUMMYFUNCTION("VLOOKUP(H729,IMPORTRANGE(""https://docs.google.com/spreadsheets/d/1opm6ZNvGZ7KditA9TuJwrZ25eFLfTNIkrNnY6mhV5Eg"",""list!A1:C115""),3,TRUE)"),"le secteur de la communication")</f>
        <v xml:space="preserve">le secteur de la communication</v>
      </c>
      <c r="K3013" s="5" t="s">
        <v>22579</v>
      </c>
      <c r="L3013" s="5" t="s">
        <v>22580</v>
      </c>
      <c r="M3013" s="4" t="s">
        <v>39</v>
      </c>
      <c r="N3013" s="4" t="s">
        <v>29</v>
      </c>
      <c r="O3013" s="4" t="s">
        <v>22581</v>
      </c>
      <c r="P3013" s="4" t="s">
        <v>29</v>
      </c>
      <c r="Q3013" s="4" t="s">
        <v>22582</v>
      </c>
      <c r="R3013" s="6"/>
      <c r="S3013" s="6"/>
      <c r="T3013" s="6"/>
      <c r="U3013" s="6"/>
      <c r="V3013" s="6"/>
      <c r="W3013" s="6"/>
      <c r="X3013" s="6"/>
      <c r="Y3013" s="6"/>
      <c r="Z3013" s="6"/>
      <c r="AA3013" s="6"/>
    </row>
    <row r="3014" ht="14.25">
      <c r="B3014" s="4" t="s">
        <v>808</v>
      </c>
      <c r="C3014" s="4" t="s">
        <v>22583</v>
      </c>
      <c r="D3014" s="4" t="s">
        <v>1130</v>
      </c>
      <c r="E3014" s="4" t="s">
        <v>22584</v>
      </c>
      <c r="F3014" s="4" t="str">
        <f>IFERROR(__XLUDF.DUMMYFUNCTION("PROPER(REGEXREPLACE(D730,""[^A-Za-z]+ "",""""))"),"Norsud")</f>
        <v>Norsud</v>
      </c>
      <c r="G3014" s="4" t="s">
        <v>22585</v>
      </c>
      <c r="H3014" s="4">
        <v>11</v>
      </c>
      <c r="I3014" s="4" t="s">
        <v>4525</v>
      </c>
      <c r="J3014" s="4"/>
      <c r="K3014" s="5" t="s">
        <v>22586</v>
      </c>
      <c r="L3014" s="5" t="s">
        <v>22587</v>
      </c>
      <c r="M3014" s="4" t="s">
        <v>1826</v>
      </c>
      <c r="N3014" s="4" t="s">
        <v>29</v>
      </c>
      <c r="O3014" s="4" t="s">
        <v>22588</v>
      </c>
      <c r="P3014" s="4" t="s">
        <v>29</v>
      </c>
      <c r="Q3014" s="4" t="s">
        <v>22589</v>
      </c>
      <c r="R3014" s="6"/>
      <c r="S3014" s="6"/>
      <c r="T3014" s="6"/>
      <c r="U3014" s="6"/>
      <c r="V3014" s="6"/>
      <c r="W3014" s="6"/>
      <c r="X3014" s="6"/>
      <c r="Y3014" s="6"/>
      <c r="Z3014" s="6"/>
      <c r="AA3014" s="6"/>
    </row>
    <row r="3015" ht="14.25">
      <c r="B3015" s="4" t="s">
        <v>3100</v>
      </c>
      <c r="C3015" s="4" t="s">
        <v>22590</v>
      </c>
      <c r="D3015" s="4" t="s">
        <v>22591</v>
      </c>
      <c r="E3015" s="4" t="s">
        <v>22592</v>
      </c>
      <c r="F3015" s="4" t="str">
        <f>IFERROR(__XLUDF.DUMMYFUNCTION("PROPER(REGEXREPLACE(D731,""[^A-Za-z]+ "",""""))"),"Spyrit")</f>
        <v>Spyrit</v>
      </c>
      <c r="G3015" s="4" t="s">
        <v>22593</v>
      </c>
      <c r="H3015" s="4">
        <v>20</v>
      </c>
      <c r="I3015" s="4" t="s">
        <v>2602</v>
      </c>
      <c r="J3015" s="4"/>
      <c r="K3015" s="5" t="s">
        <v>22594</v>
      </c>
      <c r="L3015" s="5" t="s">
        <v>22595</v>
      </c>
      <c r="M3015" s="4" t="s">
        <v>39</v>
      </c>
      <c r="N3015" s="4" t="s">
        <v>29</v>
      </c>
      <c r="O3015" s="4" t="s">
        <v>22596</v>
      </c>
      <c r="P3015" s="4" t="s">
        <v>29</v>
      </c>
      <c r="Q3015" s="4" t="s">
        <v>22597</v>
      </c>
      <c r="R3015" s="6"/>
      <c r="S3015" s="6"/>
      <c r="T3015" s="6"/>
      <c r="U3015" s="6"/>
      <c r="V3015" s="6"/>
      <c r="W3015" s="6"/>
      <c r="X3015" s="6"/>
      <c r="Y3015" s="6"/>
      <c r="Z3015" s="6"/>
      <c r="AA3015" s="6"/>
    </row>
    <row r="3016" ht="14.25">
      <c r="B3016" s="4" t="s">
        <v>3165</v>
      </c>
      <c r="C3016" s="4" t="s">
        <v>22598</v>
      </c>
      <c r="D3016" s="4" t="s">
        <v>3265</v>
      </c>
      <c r="E3016" s="4" t="s">
        <v>22599</v>
      </c>
      <c r="F3016" s="4" t="str">
        <f>IFERROR(__XLUDF.DUMMYFUNCTION("PROPER(REGEXREPLACE(D732,""[^A-Za-z]+ "",""""))"),"Grandir")</f>
        <v>Grandir</v>
      </c>
      <c r="G3016" s="4" t="s">
        <v>22600</v>
      </c>
      <c r="H3016" s="4">
        <v>22</v>
      </c>
      <c r="I3016" s="4" t="s">
        <v>4067</v>
      </c>
      <c r="J3016" s="4" t="str">
        <f>IFERROR(__XLUDF.DUMMYFUNCTION("VLOOKUP(H732,IMPORTRANGE(""https://docs.google.com/spreadsheets/d/1opm6ZNvGZ7KditA9TuJwrZ25eFLfTNIkrNnY6mhV5Eg"",""list!A1:C115""),3,TRUE)"),"le secteur du conseil en management")</f>
        <v xml:space="preserve">le secteur du conseil en management</v>
      </c>
      <c r="K3016" s="5" t="s">
        <v>22601</v>
      </c>
      <c r="L3016" s="5" t="s">
        <v>22602</v>
      </c>
      <c r="M3016" s="4" t="s">
        <v>39</v>
      </c>
      <c r="N3016" s="4" t="s">
        <v>29</v>
      </c>
      <c r="O3016" s="4" t="s">
        <v>22603</v>
      </c>
      <c r="P3016" s="4" t="s">
        <v>29</v>
      </c>
      <c r="Q3016" s="4" t="s">
        <v>22604</v>
      </c>
      <c r="R3016" s="6"/>
      <c r="S3016" s="6"/>
      <c r="T3016" s="6"/>
      <c r="U3016" s="6"/>
      <c r="V3016" s="6"/>
      <c r="W3016" s="6"/>
      <c r="X3016" s="6"/>
      <c r="Y3016" s="6"/>
      <c r="Z3016" s="6"/>
      <c r="AA3016" s="6"/>
    </row>
    <row r="3017" ht="14.25">
      <c r="B3017" s="4" t="s">
        <v>215</v>
      </c>
      <c r="C3017" s="4" t="s">
        <v>22605</v>
      </c>
      <c r="D3017" s="4" t="s">
        <v>22606</v>
      </c>
      <c r="E3017" s="4" t="s">
        <v>22607</v>
      </c>
      <c r="F3017" s="4" t="str">
        <f>IFERROR(__XLUDF.DUMMYFUNCTION("PROPER(REGEXREPLACE(D733,""[^A-Za-z]+ "",""""))"),"Comminter")</f>
        <v>Comminter</v>
      </c>
      <c r="G3017" s="4" t="s">
        <v>22608</v>
      </c>
      <c r="H3017" s="4">
        <v>11</v>
      </c>
      <c r="I3017" s="4" t="s">
        <v>9184</v>
      </c>
      <c r="J3017" s="4" t="str">
        <f>IFERROR(__XLUDF.DUMMYFUNCTION("VLOOKUP(H733,IMPORTRANGE(""https://docs.google.com/spreadsheets/d/1opm6ZNvGZ7KditA9TuJwrZ25eFLfTNIkrNnY6mhV5Eg"",""list!A1:C115""),3,TRUE)"),"le secteur des télécommunications")</f>
        <v xml:space="preserve">le secteur des télécommunications</v>
      </c>
      <c r="K3017" s="5" t="s">
        <v>22609</v>
      </c>
      <c r="L3017" s="5" t="s">
        <v>22610</v>
      </c>
      <c r="M3017" s="4" t="s">
        <v>1826</v>
      </c>
      <c r="N3017" s="4" t="s">
        <v>29</v>
      </c>
      <c r="O3017" s="4" t="s">
        <v>22611</v>
      </c>
      <c r="P3017" s="4" t="s">
        <v>29</v>
      </c>
      <c r="Q3017" s="4" t="s">
        <v>22612</v>
      </c>
      <c r="R3017" s="6"/>
      <c r="S3017" s="6"/>
      <c r="T3017" s="6"/>
      <c r="U3017" s="6"/>
      <c r="V3017" s="6"/>
      <c r="W3017" s="6"/>
      <c r="X3017" s="6"/>
      <c r="Y3017" s="6"/>
      <c r="Z3017" s="6"/>
      <c r="AA3017" s="6"/>
    </row>
    <row r="3018" ht="14.25">
      <c r="B3018" s="4" t="s">
        <v>10945</v>
      </c>
      <c r="C3018" s="4" t="s">
        <v>22613</v>
      </c>
      <c r="D3018" s="4" t="s">
        <v>172</v>
      </c>
      <c r="E3018" s="4" t="s">
        <v>22614</v>
      </c>
      <c r="F3018" s="4" t="str">
        <f>IFERROR(__XLUDF.DUMMYFUNCTION("PROPER(REGEXREPLACE(D734,""[^A-Za-z]+ "",""""))"),"Geo Surveytopography")</f>
        <v xml:space="preserve">Geo Surveytopography</v>
      </c>
      <c r="G3018" s="4" t="s">
        <v>22615</v>
      </c>
      <c r="H3018" s="4">
        <v>41</v>
      </c>
      <c r="I3018" s="4" t="s">
        <v>9461</v>
      </c>
      <c r="J3018" s="4" t="str">
        <f>IFERROR(__XLUDF.DUMMYFUNCTION("VLOOKUP(H734,IMPORTRANGE(""https://docs.google.com/spreadsheets/d/1opm6ZNvGZ7KditA9TuJwrZ25eFLfTNIkrNnY6mhV5Eg"",""list!A1:C115""),3,TRUE)"),"le secteur des services d'information")</f>
        <v xml:space="preserve">le secteur des services d'information</v>
      </c>
      <c r="K3018" s="5" t="s">
        <v>22616</v>
      </c>
      <c r="L3018" s="5" t="s">
        <v>22617</v>
      </c>
      <c r="M3018" s="4" t="s">
        <v>22618</v>
      </c>
      <c r="N3018" s="4" t="s">
        <v>29</v>
      </c>
      <c r="O3018" s="4" t="s">
        <v>22619</v>
      </c>
      <c r="P3018" s="4" t="s">
        <v>29</v>
      </c>
      <c r="Q3018" s="6"/>
      <c r="R3018" s="6"/>
      <c r="S3018" s="6"/>
      <c r="T3018" s="6"/>
      <c r="U3018" s="6"/>
      <c r="V3018" s="6"/>
      <c r="W3018" s="6"/>
      <c r="X3018" s="6"/>
      <c r="Y3018" s="6"/>
      <c r="Z3018" s="6"/>
      <c r="AA3018" s="6"/>
    </row>
    <row r="3019" ht="14.25">
      <c r="B3019" s="4" t="s">
        <v>22620</v>
      </c>
      <c r="C3019" s="4" t="s">
        <v>9953</v>
      </c>
      <c r="D3019" s="4" t="s">
        <v>6416</v>
      </c>
      <c r="E3019" s="4" t="s">
        <v>22621</v>
      </c>
      <c r="F3019" s="4" t="str">
        <f>IFERROR(__XLUDF.DUMMYFUNCTION("PROPER(REGEXREPLACE(D735,""[^A-Za-z]+ "",""""))"),"Mns Consulting Group")</f>
        <v xml:space="preserve">Mns Consulting Group</v>
      </c>
      <c r="G3019" s="4" t="s">
        <v>22622</v>
      </c>
      <c r="H3019" s="4">
        <v>10</v>
      </c>
      <c r="I3019" s="4" t="s">
        <v>4067</v>
      </c>
      <c r="J3019" s="4" t="str">
        <f>IFERROR(__XLUDF.DUMMYFUNCTION("VLOOKUP(H735,IMPORTRANGE(""https://docs.google.com/spreadsheets/d/1opm6ZNvGZ7KditA9TuJwrZ25eFLfTNIkrNnY6mhV5Eg"",""list!A1:C115""),3,TRUE)"),"le secteur du conseil en management")</f>
        <v xml:space="preserve">le secteur du conseil en management</v>
      </c>
      <c r="K3019" s="5" t="s">
        <v>22623</v>
      </c>
      <c r="L3019" s="5" t="s">
        <v>22624</v>
      </c>
      <c r="M3019" s="4" t="s">
        <v>1826</v>
      </c>
      <c r="N3019" s="4" t="s">
        <v>29</v>
      </c>
      <c r="O3019" s="4" t="s">
        <v>22625</v>
      </c>
      <c r="P3019" s="4" t="s">
        <v>29</v>
      </c>
      <c r="Q3019" s="6"/>
      <c r="R3019" s="6"/>
      <c r="S3019" s="6"/>
      <c r="T3019" s="6"/>
      <c r="U3019" s="6"/>
      <c r="V3019" s="6"/>
      <c r="W3019" s="6"/>
      <c r="X3019" s="6"/>
      <c r="Y3019" s="6"/>
      <c r="Z3019" s="6"/>
      <c r="AA3019" s="6"/>
    </row>
    <row r="3020" ht="14.25">
      <c r="B3020" s="4" t="s">
        <v>16812</v>
      </c>
      <c r="C3020" s="4" t="s">
        <v>1485</v>
      </c>
      <c r="D3020" s="4" t="s">
        <v>22626</v>
      </c>
      <c r="E3020" s="4" t="s">
        <v>22627</v>
      </c>
      <c r="F3020" s="4" t="str">
        <f>IFERROR(__XLUDF.DUMMYFUNCTION("PROPER(REGEXREPLACE(D736,""[^A-Za-z]+ "",""""))"),"Liel Telecom")</f>
        <v xml:space="preserve">Liel Telecom</v>
      </c>
      <c r="G3020" s="4" t="s">
        <v>22628</v>
      </c>
      <c r="H3020" s="4">
        <v>10</v>
      </c>
      <c r="I3020" s="4" t="s">
        <v>9184</v>
      </c>
      <c r="J3020" s="4"/>
      <c r="K3020" s="5" t="s">
        <v>22629</v>
      </c>
      <c r="L3020" s="5" t="s">
        <v>22630</v>
      </c>
      <c r="M3020" s="4" t="s">
        <v>295</v>
      </c>
      <c r="N3020" s="4" t="s">
        <v>29</v>
      </c>
      <c r="O3020" s="4" t="s">
        <v>22631</v>
      </c>
      <c r="P3020" s="4" t="s">
        <v>29</v>
      </c>
      <c r="Q3020" s="6"/>
      <c r="R3020" s="6"/>
      <c r="S3020" s="6"/>
      <c r="T3020" s="6"/>
      <c r="U3020" s="6"/>
      <c r="V3020" s="6"/>
      <c r="W3020" s="6"/>
      <c r="X3020" s="6"/>
      <c r="Y3020" s="6"/>
      <c r="Z3020" s="6"/>
      <c r="AA3020" s="6"/>
    </row>
    <row r="3021" ht="14.25">
      <c r="B3021" s="4" t="s">
        <v>670</v>
      </c>
      <c r="C3021" s="4" t="s">
        <v>22632</v>
      </c>
      <c r="D3021" s="4" t="s">
        <v>5186</v>
      </c>
      <c r="E3021" s="4" t="s">
        <v>22633</v>
      </c>
      <c r="F3021" s="4" t="str">
        <f>IFERROR(__XLUDF.DUMMYFUNCTION("PROPER(REGEXREPLACE(D737,""[^A-Za-z]+ "",""""))"),"Adikts")</f>
        <v>Adikts</v>
      </c>
      <c r="G3021" s="4" t="s">
        <v>22634</v>
      </c>
      <c r="H3021" s="4">
        <v>11</v>
      </c>
      <c r="I3021" s="4" t="s">
        <v>2602</v>
      </c>
      <c r="J3021" s="4" t="str">
        <f>IFERROR(__XLUDF.DUMMYFUNCTION("VLOOKUP(H737,IMPORTRANGE(""https://docs.google.com/spreadsheets/d/1opm6ZNvGZ7KditA9TuJwrZ25eFLfTNIkrNnY6mhV5Eg"",""list!A1:C115""),3,TRUE)"),"le secteur de la tech")</f>
        <v xml:space="preserve">le secteur de la tech</v>
      </c>
      <c r="K3021" s="5" t="s">
        <v>22635</v>
      </c>
      <c r="L3021" s="5" t="s">
        <v>22636</v>
      </c>
      <c r="M3021" s="4" t="s">
        <v>39</v>
      </c>
      <c r="N3021" s="4" t="s">
        <v>29</v>
      </c>
      <c r="O3021" s="4" t="s">
        <v>22637</v>
      </c>
      <c r="P3021" s="4" t="s">
        <v>29</v>
      </c>
      <c r="Q3021" s="4" t="s">
        <v>22638</v>
      </c>
      <c r="R3021" s="6"/>
      <c r="S3021" s="6"/>
      <c r="T3021" s="6"/>
      <c r="U3021" s="6"/>
      <c r="V3021" s="6"/>
      <c r="W3021" s="6"/>
      <c r="X3021" s="6"/>
      <c r="Y3021" s="6"/>
      <c r="Z3021" s="6"/>
      <c r="AA3021" s="6"/>
    </row>
    <row r="3022" ht="14.25">
      <c r="B3022" s="4" t="s">
        <v>118</v>
      </c>
      <c r="C3022" s="4" t="s">
        <v>22639</v>
      </c>
      <c r="D3022" s="4" t="s">
        <v>22640</v>
      </c>
      <c r="E3022" s="4" t="s">
        <v>22641</v>
      </c>
      <c r="F3022" s="4" t="str">
        <f>IFERROR(__XLUDF.DUMMYFUNCTION("PROPER(REGEXREPLACE(D738,""[^A-Za-z]+ "",""""))"),"Maexinvent")</f>
        <v>Maexinvent</v>
      </c>
      <c r="G3022" s="4" t="s">
        <v>22642</v>
      </c>
      <c r="H3022" s="4">
        <v>14</v>
      </c>
      <c r="I3022" s="4" t="s">
        <v>4067</v>
      </c>
      <c r="J3022" s="4"/>
      <c r="K3022" s="5" t="s">
        <v>22643</v>
      </c>
      <c r="L3022" s="5" t="s">
        <v>22644</v>
      </c>
      <c r="M3022" s="4" t="s">
        <v>39</v>
      </c>
      <c r="N3022" s="4" t="s">
        <v>29</v>
      </c>
      <c r="O3022" s="4" t="s">
        <v>22645</v>
      </c>
      <c r="P3022" s="4" t="s">
        <v>29</v>
      </c>
      <c r="Q3022" s="4" t="s">
        <v>22646</v>
      </c>
      <c r="R3022" s="6"/>
      <c r="S3022" s="6"/>
      <c r="T3022" s="6"/>
      <c r="U3022" s="6"/>
      <c r="V3022" s="6"/>
      <c r="W3022" s="6"/>
      <c r="X3022" s="6"/>
      <c r="Y3022" s="6"/>
      <c r="Z3022" s="6"/>
      <c r="AA3022" s="6"/>
    </row>
    <row r="3023" ht="14.25">
      <c r="B3023" s="4" t="s">
        <v>6356</v>
      </c>
      <c r="C3023" s="4" t="s">
        <v>22647</v>
      </c>
      <c r="D3023" s="4" t="s">
        <v>14223</v>
      </c>
      <c r="E3023" s="4" t="s">
        <v>12633</v>
      </c>
      <c r="F3023" s="4" t="str">
        <f>IFERROR(__XLUDF.DUMMYFUNCTION("PROPER(REGEXREPLACE(D739,""[^A-Za-z]+ "",""""))"),"Rich-Id")</f>
        <v>Rich-Id</v>
      </c>
      <c r="G3023" s="4" t="s">
        <v>22648</v>
      </c>
      <c r="H3023" s="4">
        <v>17</v>
      </c>
      <c r="I3023" s="4" t="s">
        <v>2602</v>
      </c>
      <c r="J3023" s="4" t="str">
        <f>IFERROR(__XLUDF.DUMMYFUNCTION("VLOOKUP(H739,IMPORTRANGE(""https://docs.google.com/spreadsheets/d/1opm6ZNvGZ7KditA9TuJwrZ25eFLfTNIkrNnY6mhV5Eg"",""list!A1:C115""),3,TRUE)"),"le secteur de la tech")</f>
        <v xml:space="preserve">le secteur de la tech</v>
      </c>
      <c r="K3023" s="5" t="s">
        <v>22649</v>
      </c>
      <c r="L3023" s="5" t="s">
        <v>22650</v>
      </c>
      <c r="M3023" s="4" t="s">
        <v>243</v>
      </c>
      <c r="N3023" s="4" t="s">
        <v>29</v>
      </c>
      <c r="O3023" s="4" t="s">
        <v>22651</v>
      </c>
      <c r="P3023" s="4" t="s">
        <v>29</v>
      </c>
      <c r="Q3023" s="4" t="s">
        <v>12636</v>
      </c>
      <c r="R3023" s="6"/>
      <c r="S3023" s="6"/>
      <c r="T3023" s="6"/>
      <c r="U3023" s="6"/>
      <c r="V3023" s="6"/>
      <c r="W3023" s="6"/>
      <c r="X3023" s="6"/>
      <c r="Y3023" s="6"/>
      <c r="Z3023" s="6"/>
      <c r="AA3023" s="6"/>
    </row>
    <row r="3024" ht="14.25">
      <c r="B3024" s="4" t="s">
        <v>7525</v>
      </c>
      <c r="C3024" s="4" t="s">
        <v>22652</v>
      </c>
      <c r="D3024" s="4" t="s">
        <v>22653</v>
      </c>
      <c r="E3024" s="4" t="s">
        <v>22654</v>
      </c>
      <c r="F3024" s="4" t="str">
        <f>IFERROR(__XLUDF.DUMMYFUNCTION("PROPER(REGEXREPLACE(D740,""[^A-Za-z]+ "",""""))"),"Cyberone")</f>
        <v>Cyberone</v>
      </c>
      <c r="G3024" s="4" t="s">
        <v>22655</v>
      </c>
      <c r="H3024" s="4">
        <v>18</v>
      </c>
      <c r="I3024" s="4" t="s">
        <v>9264</v>
      </c>
      <c r="J3024" s="4"/>
      <c r="K3024" s="5" t="s">
        <v>22656</v>
      </c>
      <c r="L3024" s="5" t="s">
        <v>22657</v>
      </c>
      <c r="M3024" s="4" t="s">
        <v>39</v>
      </c>
      <c r="N3024" s="4" t="s">
        <v>29</v>
      </c>
      <c r="O3024" s="4" t="s">
        <v>22658</v>
      </c>
      <c r="P3024" s="4" t="s">
        <v>3495</v>
      </c>
      <c r="Q3024" s="4" t="s">
        <v>22659</v>
      </c>
      <c r="R3024" s="6"/>
      <c r="S3024" s="6"/>
      <c r="T3024" s="6"/>
      <c r="U3024" s="6"/>
      <c r="V3024" s="6"/>
      <c r="W3024" s="6"/>
      <c r="X3024" s="6"/>
      <c r="Y3024" s="6"/>
      <c r="Z3024" s="6"/>
      <c r="AA3024" s="6"/>
    </row>
    <row r="3025" ht="14.25">
      <c r="B3025" s="4" t="s">
        <v>22660</v>
      </c>
      <c r="C3025" s="4" t="s">
        <v>6037</v>
      </c>
      <c r="D3025" s="4" t="s">
        <v>1950</v>
      </c>
      <c r="E3025" s="4" t="s">
        <v>22661</v>
      </c>
      <c r="F3025" s="4" t="str">
        <f>IFERROR(__XLUDF.DUMMYFUNCTION("PROPER(REGEXREPLACE(D741,""[^A-Za-z]+ "",""""))"),"Real Print")</f>
        <v xml:space="preserve">Real Print</v>
      </c>
      <c r="G3025" s="4" t="s">
        <v>22662</v>
      </c>
      <c r="H3025" s="4">
        <v>18</v>
      </c>
      <c r="I3025" s="4" t="s">
        <v>9161</v>
      </c>
      <c r="J3025" s="4"/>
      <c r="K3025" s="5" t="s">
        <v>22663</v>
      </c>
      <c r="L3025" s="5" t="s">
        <v>22664</v>
      </c>
      <c r="M3025" s="4" t="s">
        <v>49</v>
      </c>
      <c r="N3025" s="4" t="s">
        <v>29</v>
      </c>
      <c r="O3025" s="4" t="s">
        <v>22665</v>
      </c>
      <c r="P3025" s="4" t="s">
        <v>5973</v>
      </c>
      <c r="Q3025" s="6"/>
      <c r="R3025" s="6"/>
      <c r="S3025" s="6"/>
      <c r="T3025" s="6"/>
      <c r="U3025" s="6"/>
      <c r="V3025" s="6"/>
      <c r="W3025" s="6"/>
      <c r="X3025" s="6"/>
      <c r="Y3025" s="6"/>
      <c r="Z3025" s="6"/>
      <c r="AA3025" s="6"/>
    </row>
    <row r="3026" ht="14.25">
      <c r="B3026" s="4" t="s">
        <v>1215</v>
      </c>
      <c r="C3026" s="4" t="s">
        <v>22666</v>
      </c>
      <c r="D3026" s="4" t="s">
        <v>10745</v>
      </c>
      <c r="E3026" s="4" t="s">
        <v>22667</v>
      </c>
      <c r="F3026" s="4" t="str">
        <f>IFERROR(__XLUDF.DUMMYFUNCTION("PROPER(REGEXREPLACE(D742,""[^A-Za-z]+ "",""""))"),"Chaussures Bessec")</f>
        <v xml:space="preserve">Chaussures Bessec</v>
      </c>
      <c r="G3026" s="4" t="s">
        <v>22668</v>
      </c>
      <c r="H3026" s="4">
        <v>10</v>
      </c>
      <c r="I3026" s="4" t="s">
        <v>4525</v>
      </c>
      <c r="J3026" s="4" t="str">
        <f>IFERROR(__XLUDF.DUMMYFUNCTION("VLOOKUP(H742,IMPORTRANGE(""https://docs.google.com/spreadsheets/d/1opm6ZNvGZ7KditA9TuJwrZ25eFLfTNIkrNnY6mhV5Eg"",""list!A1:C115""),3,TRUE)"),"le secteur du retail")</f>
        <v xml:space="preserve">le secteur du retail</v>
      </c>
      <c r="K3026" s="5" t="s">
        <v>22669</v>
      </c>
      <c r="L3026" s="5" t="s">
        <v>22670</v>
      </c>
      <c r="M3026" s="4" t="s">
        <v>1826</v>
      </c>
      <c r="N3026" s="4" t="s">
        <v>29</v>
      </c>
      <c r="O3026" s="4" t="s">
        <v>22671</v>
      </c>
      <c r="P3026" s="4" t="s">
        <v>29</v>
      </c>
      <c r="Q3026" s="6"/>
      <c r="R3026" s="6"/>
      <c r="S3026" s="6"/>
      <c r="T3026" s="6"/>
      <c r="U3026" s="6"/>
      <c r="V3026" s="6"/>
      <c r="W3026" s="6"/>
      <c r="X3026" s="6"/>
      <c r="Y3026" s="6"/>
      <c r="Z3026" s="6"/>
      <c r="AA3026" s="6"/>
    </row>
    <row r="3027" ht="14.25">
      <c r="B3027" s="4" t="s">
        <v>76</v>
      </c>
      <c r="C3027" s="4" t="s">
        <v>1768</v>
      </c>
      <c r="D3027" s="4" t="s">
        <v>1130</v>
      </c>
      <c r="E3027" s="4" t="s">
        <v>22672</v>
      </c>
      <c r="F3027" s="4" t="str">
        <f>IFERROR(__XLUDF.DUMMYFUNCTION("PROPER(REGEXREPLACE(D743,""[^A-Za-z]+ "",""""))"),"Lame De Fond")</f>
        <v xml:space="preserve">Lame De Fond</v>
      </c>
      <c r="G3027" s="4" t="s">
        <v>22673</v>
      </c>
      <c r="H3027" s="4">
        <v>17</v>
      </c>
      <c r="I3027" s="4" t="s">
        <v>9161</v>
      </c>
      <c r="J3027" s="4"/>
      <c r="K3027" s="5" t="s">
        <v>22674</v>
      </c>
      <c r="L3027" s="5" t="s">
        <v>22675</v>
      </c>
      <c r="M3027" s="4" t="s">
        <v>39</v>
      </c>
      <c r="N3027" s="4" t="s">
        <v>29</v>
      </c>
      <c r="O3027" s="4" t="s">
        <v>22676</v>
      </c>
      <c r="P3027" s="4" t="s">
        <v>29</v>
      </c>
      <c r="Q3027" s="4" t="s">
        <v>22677</v>
      </c>
      <c r="R3027" s="6"/>
      <c r="S3027" s="6"/>
      <c r="T3027" s="6"/>
      <c r="U3027" s="6"/>
      <c r="V3027" s="6"/>
      <c r="W3027" s="6"/>
      <c r="X3027" s="6"/>
      <c r="Y3027" s="6"/>
      <c r="Z3027" s="6"/>
      <c r="AA3027" s="6"/>
    </row>
    <row r="3028" ht="14.25">
      <c r="B3028" s="4" t="s">
        <v>710</v>
      </c>
      <c r="C3028" s="4" t="s">
        <v>22678</v>
      </c>
      <c r="D3028" s="4" t="s">
        <v>22679</v>
      </c>
      <c r="E3028" s="4" t="s">
        <v>22680</v>
      </c>
      <c r="F3028" s="4" t="str">
        <f>IFERROR(__XLUDF.DUMMYFUNCTION("PROPER(REGEXREPLACE(D744,""[^A-Za-z]+ "",""""))"),"Hubup")</f>
        <v>Hubup</v>
      </c>
      <c r="G3028" s="4" t="s">
        <v>22681</v>
      </c>
      <c r="H3028" s="4">
        <v>20</v>
      </c>
      <c r="I3028" s="4" t="s">
        <v>2602</v>
      </c>
      <c r="J3028" s="4" t="str">
        <f>IFERROR(__XLUDF.DUMMYFUNCTION("VLOOKUP(H744,IMPORTRANGE(""https://docs.google.com/spreadsheets/d/1opm6ZNvGZ7KditA9TuJwrZ25eFLfTNIkrNnY6mhV5Eg"",""list!A1:C115""),3,TRUE)"),"le secteur de la tech")</f>
        <v xml:space="preserve">le secteur de la tech</v>
      </c>
      <c r="K3028" s="5" t="s">
        <v>22682</v>
      </c>
      <c r="L3028" s="5" t="s">
        <v>22683</v>
      </c>
      <c r="M3028" s="4" t="s">
        <v>39</v>
      </c>
      <c r="N3028" s="4" t="s">
        <v>29</v>
      </c>
      <c r="O3028" s="4" t="s">
        <v>22684</v>
      </c>
      <c r="P3028" s="4" t="s">
        <v>29</v>
      </c>
      <c r="Q3028" s="4" t="s">
        <v>22685</v>
      </c>
      <c r="R3028" s="6"/>
      <c r="S3028" s="6"/>
      <c r="T3028" s="6"/>
      <c r="U3028" s="6"/>
      <c r="V3028" s="6"/>
      <c r="W3028" s="6"/>
      <c r="X3028" s="6"/>
      <c r="Y3028" s="6"/>
      <c r="Z3028" s="6"/>
      <c r="AA3028" s="6"/>
    </row>
    <row r="3029" ht="14.25">
      <c r="B3029" s="4" t="s">
        <v>3002</v>
      </c>
      <c r="C3029" s="4" t="s">
        <v>22686</v>
      </c>
      <c r="D3029" s="4" t="s">
        <v>87</v>
      </c>
      <c r="E3029" s="4" t="s">
        <v>22687</v>
      </c>
      <c r="F3029" s="4" t="str">
        <f>IFERROR(__XLUDF.DUMMYFUNCTION("PROPER(REGEXREPLACE(D745,""[^A-Za-z]+ "",""""))"),"Idealys")</f>
        <v>Idealys</v>
      </c>
      <c r="G3029" s="4" t="s">
        <v>22688</v>
      </c>
      <c r="H3029" s="4">
        <v>25</v>
      </c>
      <c r="I3029" s="4" t="s">
        <v>2602</v>
      </c>
      <c r="J3029" s="4"/>
      <c r="K3029" s="5" t="s">
        <v>22689</v>
      </c>
      <c r="L3029" s="5" t="s">
        <v>22690</v>
      </c>
      <c r="M3029" s="4" t="s">
        <v>482</v>
      </c>
      <c r="N3029" s="4" t="s">
        <v>29</v>
      </c>
      <c r="O3029" s="4" t="s">
        <v>22691</v>
      </c>
      <c r="P3029" s="4" t="s">
        <v>29</v>
      </c>
      <c r="Q3029" s="4" t="s">
        <v>22692</v>
      </c>
      <c r="R3029" s="6"/>
      <c r="S3029" s="6"/>
      <c r="T3029" s="6"/>
      <c r="U3029" s="6"/>
      <c r="V3029" s="6"/>
      <c r="W3029" s="6"/>
      <c r="X3029" s="6"/>
      <c r="Y3029" s="6"/>
      <c r="Z3029" s="6"/>
      <c r="AA3029" s="6"/>
    </row>
    <row r="3030" ht="14.25">
      <c r="B3030" s="4" t="s">
        <v>5728</v>
      </c>
      <c r="C3030" s="4" t="s">
        <v>22693</v>
      </c>
      <c r="D3030" s="4" t="s">
        <v>44</v>
      </c>
      <c r="E3030" s="4" t="s">
        <v>12268</v>
      </c>
      <c r="F3030" s="4" t="str">
        <f>IFERROR(__XLUDF.DUMMYFUNCTION("PROPER(REGEXREPLACE(D746,""[^A-Za-z]+ "",""""))"),"Alobees")</f>
        <v>Alobees</v>
      </c>
      <c r="G3030" s="4" t="s">
        <v>22694</v>
      </c>
      <c r="H3030" s="4">
        <v>25</v>
      </c>
      <c r="I3030" s="4" t="s">
        <v>2602</v>
      </c>
      <c r="J3030" s="4" t="str">
        <f>IFERROR(__XLUDF.DUMMYFUNCTION("VLOOKUP(H746,IMPORTRANGE(""https://docs.google.com/spreadsheets/d/1opm6ZNvGZ7KditA9TuJwrZ25eFLfTNIkrNnY6mhV5Eg"",""list!A1:C115""),3,TRUE)"),"le secteur de la tech")</f>
        <v xml:space="preserve">le secteur de la tech</v>
      </c>
      <c r="K3030" s="5" t="s">
        <v>22695</v>
      </c>
      <c r="L3030" s="5" t="s">
        <v>22696</v>
      </c>
      <c r="M3030" s="4" t="s">
        <v>39</v>
      </c>
      <c r="N3030" s="4" t="s">
        <v>29</v>
      </c>
      <c r="O3030" s="4" t="s">
        <v>22697</v>
      </c>
      <c r="P3030" s="4" t="s">
        <v>29</v>
      </c>
      <c r="Q3030" s="4" t="s">
        <v>12274</v>
      </c>
      <c r="R3030" s="6"/>
      <c r="S3030" s="6"/>
      <c r="T3030" s="6"/>
      <c r="U3030" s="6"/>
      <c r="V3030" s="6"/>
      <c r="W3030" s="6"/>
      <c r="X3030" s="6"/>
      <c r="Y3030" s="6"/>
      <c r="Z3030" s="6"/>
      <c r="AA3030" s="6"/>
    </row>
    <row r="3031" ht="14.25">
      <c r="B3031" s="4" t="s">
        <v>76</v>
      </c>
      <c r="C3031" s="4" t="s">
        <v>7170</v>
      </c>
      <c r="D3031" s="4" t="s">
        <v>341</v>
      </c>
      <c r="E3031" s="4" t="s">
        <v>22698</v>
      </c>
      <c r="F3031" s="4" t="str">
        <f>IFERROR(__XLUDF.DUMMYFUNCTION("PROPER(REGEXREPLACE(D747,""[^A-Za-z]+ "",""""))"),"Sportmidable")</f>
        <v>Sportmidable</v>
      </c>
      <c r="G3031" s="4" t="s">
        <v>22699</v>
      </c>
      <c r="H3031" s="4">
        <v>17</v>
      </c>
      <c r="I3031" s="4" t="s">
        <v>9161</v>
      </c>
      <c r="J3031" s="4"/>
      <c r="K3031" s="5" t="s">
        <v>22700</v>
      </c>
      <c r="L3031" s="5" t="s">
        <v>22701</v>
      </c>
      <c r="M3031" s="4" t="s">
        <v>22702</v>
      </c>
      <c r="N3031" s="4" t="s">
        <v>29</v>
      </c>
      <c r="O3031" s="4" t="s">
        <v>22703</v>
      </c>
      <c r="P3031" s="4" t="s">
        <v>29</v>
      </c>
      <c r="Q3031" s="6"/>
      <c r="R3031" s="6"/>
      <c r="S3031" s="6"/>
      <c r="T3031" s="6"/>
      <c r="U3031" s="6"/>
      <c r="V3031" s="6"/>
      <c r="W3031" s="6"/>
      <c r="X3031" s="6"/>
      <c r="Y3031" s="6"/>
      <c r="Z3031" s="6"/>
      <c r="AA3031" s="6"/>
    </row>
    <row r="3032" ht="14.25">
      <c r="B3032" s="4" t="s">
        <v>2516</v>
      </c>
      <c r="C3032" s="4" t="s">
        <v>22704</v>
      </c>
      <c r="D3032" s="4" t="s">
        <v>22705</v>
      </c>
      <c r="E3032" s="4" t="s">
        <v>22706</v>
      </c>
      <c r="F3032" s="4" t="str">
        <f>IFERROR(__XLUDF.DUMMYFUNCTION("PROPER(REGEXREPLACE(D748,""[^A-Za-z]+ "",""""))"),"Alpa Accessoires")</f>
        <v xml:space="preserve">Alpa Accessoires</v>
      </c>
      <c r="G3032" s="4" t="s">
        <v>22707</v>
      </c>
      <c r="H3032" s="4">
        <v>16</v>
      </c>
      <c r="I3032" s="4" t="s">
        <v>4525</v>
      </c>
      <c r="J3032" s="4" t="str">
        <f>IFERROR(__XLUDF.DUMMYFUNCTION("VLOOKUP(H748,IMPORTRANGE(""https://docs.google.com/spreadsheets/d/1opm6ZNvGZ7KditA9TuJwrZ25eFLfTNIkrNnY6mhV5Eg"",""list!A1:C115""),3,TRUE)"),"le secteur du retail")</f>
        <v xml:space="preserve">le secteur du retail</v>
      </c>
      <c r="K3032" s="5" t="s">
        <v>22708</v>
      </c>
      <c r="L3032" s="5" t="s">
        <v>22709</v>
      </c>
      <c r="M3032" s="4" t="s">
        <v>4943</v>
      </c>
      <c r="N3032" s="4" t="s">
        <v>29</v>
      </c>
      <c r="O3032" s="4" t="s">
        <v>22710</v>
      </c>
      <c r="P3032" s="4" t="s">
        <v>29</v>
      </c>
      <c r="Q3032" s="4" t="s">
        <v>8930</v>
      </c>
      <c r="R3032" s="6"/>
      <c r="S3032" s="6"/>
      <c r="T3032" s="6"/>
      <c r="U3032" s="6"/>
      <c r="V3032" s="6"/>
      <c r="W3032" s="6"/>
      <c r="X3032" s="6"/>
      <c r="Y3032" s="6"/>
      <c r="Z3032" s="6"/>
      <c r="AA3032" s="6"/>
    </row>
    <row r="3033" ht="14.25">
      <c r="B3033" s="4" t="s">
        <v>2258</v>
      </c>
      <c r="C3033" s="4" t="s">
        <v>22711</v>
      </c>
      <c r="D3033" s="4" t="s">
        <v>22712</v>
      </c>
      <c r="E3033" s="4" t="s">
        <v>22713</v>
      </c>
      <c r="F3033" s="4" t="str">
        <f>IFERROR(__XLUDF.DUMMYFUNCTION("PROPER(REGEXREPLACE(D749,""[^A-Za-z]+ "",""""))"),"Horel")</f>
        <v>Horel</v>
      </c>
      <c r="G3033" s="4" t="s">
        <v>22714</v>
      </c>
      <c r="H3033" s="4">
        <v>24</v>
      </c>
      <c r="I3033" s="4" t="s">
        <v>4525</v>
      </c>
      <c r="J3033" s="4" t="str">
        <f>IFERROR(__XLUDF.DUMMYFUNCTION("VLOOKUP(H749,IMPORTRANGE(""https://docs.google.com/spreadsheets/d/1opm6ZNvGZ7KditA9TuJwrZ25eFLfTNIkrNnY6mhV5Eg"",""list!A1:C115""),3,TRUE)"),"le secteur du retail")</f>
        <v xml:space="preserve">le secteur du retail</v>
      </c>
      <c r="K3033" s="5" t="s">
        <v>22715</v>
      </c>
      <c r="L3033" s="5" t="s">
        <v>22716</v>
      </c>
      <c r="M3033" s="4" t="s">
        <v>243</v>
      </c>
      <c r="N3033" s="4" t="s">
        <v>29</v>
      </c>
      <c r="O3033" s="4" t="s">
        <v>22717</v>
      </c>
      <c r="P3033" s="4" t="s">
        <v>29</v>
      </c>
      <c r="Q3033" s="6"/>
      <c r="R3033" s="6"/>
      <c r="S3033" s="6"/>
      <c r="T3033" s="6"/>
      <c r="U3033" s="6"/>
      <c r="V3033" s="6"/>
      <c r="W3033" s="6"/>
      <c r="X3033" s="6"/>
      <c r="Y3033" s="6"/>
      <c r="Z3033" s="6"/>
      <c r="AA3033" s="6"/>
    </row>
    <row r="3034" ht="14.25">
      <c r="B3034" s="4" t="s">
        <v>1198</v>
      </c>
      <c r="C3034" s="4" t="s">
        <v>22718</v>
      </c>
      <c r="D3034" s="4" t="s">
        <v>120</v>
      </c>
      <c r="E3034" s="4" t="s">
        <v>22719</v>
      </c>
      <c r="F3034" s="4" t="str">
        <f>IFERROR(__XLUDF.DUMMYFUNCTION("PROPER(REGEXREPLACE(D750,""[^A-Za-z]+ "",""""))"),"Matos-Btp")</f>
        <v>Matos-Btp</v>
      </c>
      <c r="G3034" s="4" t="s">
        <v>22720</v>
      </c>
      <c r="H3034" s="4">
        <v>31</v>
      </c>
      <c r="I3034" s="4" t="s">
        <v>2602</v>
      </c>
      <c r="J3034" s="4" t="str">
        <f>IFERROR(__XLUDF.DUMMYFUNCTION("VLOOKUP(H750,IMPORTRANGE(""https://docs.google.com/spreadsheets/d/1opm6ZNvGZ7KditA9TuJwrZ25eFLfTNIkrNnY6mhV5Eg"",""list!A1:C115""),3,TRUE)"),"le secteur de la tech")</f>
        <v xml:space="preserve">le secteur de la tech</v>
      </c>
      <c r="K3034" s="5" t="s">
        <v>22721</v>
      </c>
      <c r="L3034" s="5" t="s">
        <v>22722</v>
      </c>
      <c r="M3034" s="4" t="s">
        <v>1711</v>
      </c>
      <c r="N3034" s="4" t="s">
        <v>29</v>
      </c>
      <c r="O3034" s="4" t="s">
        <v>22723</v>
      </c>
      <c r="P3034" s="4" t="s">
        <v>29</v>
      </c>
      <c r="Q3034" s="4" t="s">
        <v>22724</v>
      </c>
      <c r="R3034" s="6"/>
      <c r="S3034" s="6"/>
      <c r="T3034" s="6"/>
      <c r="U3034" s="6"/>
      <c r="V3034" s="6"/>
      <c r="W3034" s="6"/>
      <c r="X3034" s="6"/>
      <c r="Y3034" s="6"/>
      <c r="Z3034" s="6"/>
      <c r="AA3034" s="6"/>
    </row>
    <row r="3035" ht="14.25">
      <c r="B3035" s="4" t="s">
        <v>22725</v>
      </c>
      <c r="C3035" s="4" t="s">
        <v>22726</v>
      </c>
      <c r="D3035" s="4" t="s">
        <v>688</v>
      </c>
      <c r="E3035" s="4" t="s">
        <v>22727</v>
      </c>
      <c r="F3035" s="4" t="str">
        <f>IFERROR(__XLUDF.DUMMYFUNCTION("PROPER(REGEXREPLACE(D751,""[^A-Za-z]+ "",""""))"),"Ted Consulting")</f>
        <v xml:space="preserve">Ted Consulting</v>
      </c>
      <c r="G3035" s="4" t="s">
        <v>22728</v>
      </c>
      <c r="H3035" s="4">
        <v>29</v>
      </c>
      <c r="I3035" s="4" t="s">
        <v>4067</v>
      </c>
      <c r="J3035" s="4"/>
      <c r="K3035" s="5" t="s">
        <v>22729</v>
      </c>
      <c r="L3035" s="5" t="s">
        <v>22730</v>
      </c>
      <c r="M3035" s="4" t="s">
        <v>39</v>
      </c>
      <c r="N3035" s="4" t="s">
        <v>29</v>
      </c>
      <c r="O3035" s="4" t="s">
        <v>22731</v>
      </c>
      <c r="P3035" s="4" t="s">
        <v>29</v>
      </c>
      <c r="Q3035" s="6"/>
      <c r="R3035" s="6"/>
      <c r="S3035" s="6"/>
      <c r="T3035" s="6"/>
      <c r="U3035" s="6"/>
      <c r="V3035" s="6"/>
      <c r="W3035" s="6"/>
      <c r="X3035" s="6"/>
      <c r="Y3035" s="6"/>
      <c r="Z3035" s="6"/>
      <c r="AA3035" s="6"/>
    </row>
    <row r="3036" ht="14.25">
      <c r="B3036" s="4" t="s">
        <v>85</v>
      </c>
      <c r="C3036" s="4" t="s">
        <v>22732</v>
      </c>
      <c r="D3036" s="4" t="s">
        <v>172</v>
      </c>
      <c r="E3036" s="4" t="s">
        <v>22733</v>
      </c>
      <c r="F3036" s="4" t="str">
        <f>IFERROR(__XLUDF.DUMMYFUNCTION("PROPER(REGEXREPLACE(D752,""[^A-Za-z]+ "",""""))"),"Toovalu")</f>
        <v>Toovalu</v>
      </c>
      <c r="G3036" s="4" t="s">
        <v>22734</v>
      </c>
      <c r="H3036" s="4">
        <v>36</v>
      </c>
      <c r="I3036" s="4" t="s">
        <v>2602</v>
      </c>
      <c r="J3036" s="4" t="str">
        <f>IFERROR(__XLUDF.DUMMYFUNCTION("VLOOKUP(H752,IMPORTRANGE(""https://docs.google.com/spreadsheets/d/1opm6ZNvGZ7KditA9TuJwrZ25eFLfTNIkrNnY6mhV5Eg"",""list!A1:C115""),3,TRUE)"),"le secteur de la tech")</f>
        <v xml:space="preserve">le secteur de la tech</v>
      </c>
      <c r="K3036" s="5" t="s">
        <v>22735</v>
      </c>
      <c r="L3036" s="5" t="s">
        <v>22736</v>
      </c>
      <c r="M3036" s="4" t="s">
        <v>1711</v>
      </c>
      <c r="N3036" s="4" t="s">
        <v>29</v>
      </c>
      <c r="O3036" s="4" t="s">
        <v>22737</v>
      </c>
      <c r="P3036" s="4" t="s">
        <v>29</v>
      </c>
      <c r="Q3036" s="4" t="s">
        <v>22738</v>
      </c>
      <c r="R3036" s="6"/>
      <c r="S3036" s="6"/>
      <c r="T3036" s="6"/>
      <c r="U3036" s="6"/>
      <c r="V3036" s="6"/>
      <c r="W3036" s="6"/>
      <c r="X3036" s="6"/>
      <c r="Y3036" s="6"/>
      <c r="Z3036" s="6"/>
      <c r="AA3036" s="6"/>
    </row>
    <row r="3037" ht="14.25">
      <c r="B3037" s="4" t="s">
        <v>15436</v>
      </c>
      <c r="C3037" s="4" t="s">
        <v>22739</v>
      </c>
      <c r="D3037" s="4" t="s">
        <v>22740</v>
      </c>
      <c r="E3037" s="4" t="s">
        <v>22741</v>
      </c>
      <c r="F3037" s="4" t="str">
        <f>IFERROR(__XLUDF.DUMMYFUNCTION("PROPER(REGEXREPLACE(D753,""[^A-Za-z]+ "",""""))"),"Certi-Trust")</f>
        <v>Certi-Trust</v>
      </c>
      <c r="G3037" s="4" t="s">
        <v>22742</v>
      </c>
      <c r="H3037" s="4">
        <v>42</v>
      </c>
      <c r="I3037" s="4" t="s">
        <v>2602</v>
      </c>
      <c r="J3037" s="4" t="str">
        <f>IFERROR(__XLUDF.DUMMYFUNCTION("VLOOKUP(H753,IMPORTRANGE(""https://docs.google.com/spreadsheets/d/1opm6ZNvGZ7KditA9TuJwrZ25eFLfTNIkrNnY6mhV5Eg"",""list!A1:C115""),3,TRUE)"),"le secteur de la tech")</f>
        <v xml:space="preserve">le secteur de la tech</v>
      </c>
      <c r="K3037" s="5" t="s">
        <v>22743</v>
      </c>
      <c r="L3037" s="5" t="s">
        <v>22744</v>
      </c>
      <c r="M3037" s="4" t="s">
        <v>39</v>
      </c>
      <c r="N3037" s="4" t="s">
        <v>29</v>
      </c>
      <c r="O3037" s="6"/>
      <c r="P3037" s="6"/>
      <c r="Q3037" s="6"/>
      <c r="R3037" s="6"/>
      <c r="S3037" s="6"/>
      <c r="T3037" s="6"/>
      <c r="U3037" s="6"/>
      <c r="V3037" s="6"/>
      <c r="W3037" s="6"/>
      <c r="X3037" s="6"/>
      <c r="Y3037" s="6"/>
      <c r="Z3037" s="6"/>
      <c r="AA3037" s="6"/>
    </row>
    <row r="3038" ht="14.25">
      <c r="B3038" s="4" t="s">
        <v>255</v>
      </c>
      <c r="C3038" s="4" t="s">
        <v>22745</v>
      </c>
      <c r="D3038" s="4" t="s">
        <v>22746</v>
      </c>
      <c r="E3038" s="4" t="s">
        <v>22747</v>
      </c>
      <c r="F3038" s="4" t="str">
        <f>IFERROR(__XLUDF.DUMMYFUNCTION("PROPER(REGEXREPLACE(D754,""[^A-Za-z]+ "",""""))"),"Nats")</f>
        <v>Nats</v>
      </c>
      <c r="G3038" s="4" t="s">
        <v>22748</v>
      </c>
      <c r="H3038" s="4">
        <v>20</v>
      </c>
      <c r="I3038" s="4" t="s">
        <v>10639</v>
      </c>
      <c r="J3038" s="4"/>
      <c r="K3038" s="5" t="s">
        <v>22749</v>
      </c>
      <c r="L3038" s="5" t="s">
        <v>22750</v>
      </c>
      <c r="M3038" s="4" t="s">
        <v>295</v>
      </c>
      <c r="N3038" s="4" t="s">
        <v>29</v>
      </c>
      <c r="O3038" s="4" t="s">
        <v>22751</v>
      </c>
      <c r="P3038" s="4" t="s">
        <v>29</v>
      </c>
      <c r="Q3038" s="6"/>
      <c r="R3038" s="6"/>
      <c r="S3038" s="6"/>
      <c r="T3038" s="6"/>
      <c r="U3038" s="6"/>
      <c r="V3038" s="6"/>
      <c r="W3038" s="6"/>
      <c r="X3038" s="6"/>
      <c r="Y3038" s="6"/>
      <c r="Z3038" s="6"/>
      <c r="AA3038" s="6"/>
    </row>
    <row r="3039" ht="14.25">
      <c r="B3039" s="4" t="s">
        <v>840</v>
      </c>
      <c r="C3039" s="4" t="s">
        <v>1861</v>
      </c>
      <c r="D3039" s="4" t="s">
        <v>22752</v>
      </c>
      <c r="E3039" s="4" t="s">
        <v>19816</v>
      </c>
      <c r="F3039" s="4" t="str">
        <f>IFERROR(__XLUDF.DUMMYFUNCTION("PROPER(REGEXREPLACE(D755,""[^A-Za-z]+ "",""""))"),"Greenscope")</f>
        <v>Greenscope</v>
      </c>
      <c r="G3039" s="4" t="s">
        <v>22753</v>
      </c>
      <c r="H3039" s="4">
        <v>46</v>
      </c>
      <c r="I3039" s="4" t="s">
        <v>2602</v>
      </c>
      <c r="J3039" s="4"/>
      <c r="K3039" s="5" t="s">
        <v>22754</v>
      </c>
      <c r="L3039" s="5" t="s">
        <v>19819</v>
      </c>
      <c r="M3039" s="6"/>
      <c r="N3039" s="4" t="s">
        <v>29</v>
      </c>
      <c r="O3039" s="4" t="s">
        <v>67</v>
      </c>
      <c r="P3039" s="4" t="s">
        <v>29</v>
      </c>
      <c r="Q3039" s="4" t="s">
        <v>19820</v>
      </c>
      <c r="R3039" s="6"/>
      <c r="S3039" s="6"/>
      <c r="T3039" s="6"/>
      <c r="U3039" s="6"/>
      <c r="V3039" s="6"/>
      <c r="W3039" s="6"/>
      <c r="X3039" s="6"/>
      <c r="Y3039" s="6"/>
      <c r="Z3039" s="6"/>
      <c r="AA3039" s="6"/>
    </row>
    <row r="3040" ht="14.25">
      <c r="B3040" s="4" t="s">
        <v>330</v>
      </c>
      <c r="C3040" s="4" t="s">
        <v>22755</v>
      </c>
      <c r="D3040" s="4" t="s">
        <v>172</v>
      </c>
      <c r="E3040" s="4" t="s">
        <v>9305</v>
      </c>
      <c r="F3040" s="4" t="str">
        <f>IFERROR(__XLUDF.DUMMYFUNCTION("PROPER(REGEXREPLACE(D756,""[^A-Za-z]+ "",""""))"),"Digimium")</f>
        <v>Digimium</v>
      </c>
      <c r="G3040" s="4" t="s">
        <v>22756</v>
      </c>
      <c r="H3040" s="4">
        <v>13</v>
      </c>
      <c r="I3040" s="4" t="s">
        <v>2602</v>
      </c>
      <c r="J3040" s="4"/>
      <c r="K3040" s="5" t="s">
        <v>22757</v>
      </c>
      <c r="L3040" s="5" t="s">
        <v>22758</v>
      </c>
      <c r="M3040" s="4" t="s">
        <v>39</v>
      </c>
      <c r="N3040" s="4" t="s">
        <v>29</v>
      </c>
      <c r="O3040" s="4" t="s">
        <v>22759</v>
      </c>
      <c r="P3040" s="4" t="s">
        <v>29</v>
      </c>
      <c r="Q3040" s="4" t="s">
        <v>22760</v>
      </c>
      <c r="R3040" s="6"/>
      <c r="S3040" s="6"/>
      <c r="T3040" s="6"/>
      <c r="U3040" s="6"/>
      <c r="V3040" s="6"/>
      <c r="W3040" s="6"/>
      <c r="X3040" s="6"/>
      <c r="Y3040" s="6"/>
      <c r="Z3040" s="6"/>
      <c r="AA3040" s="6"/>
    </row>
    <row r="3041" ht="14.25">
      <c r="B3041" s="4" t="s">
        <v>4977</v>
      </c>
      <c r="C3041" s="4" t="s">
        <v>22761</v>
      </c>
      <c r="D3041" s="4" t="s">
        <v>87</v>
      </c>
      <c r="E3041" s="4" t="s">
        <v>22145</v>
      </c>
      <c r="F3041" s="4" t="str">
        <f>IFERROR(__XLUDF.DUMMYFUNCTION("PROPER(REGEXREPLACE(D757,""[^A-Za-z]+ "",""""))"),"Jpm Partner")</f>
        <v xml:space="preserve">Jpm Partner</v>
      </c>
      <c r="G3041" s="4" t="s">
        <v>22762</v>
      </c>
      <c r="H3041" s="4">
        <v>23</v>
      </c>
      <c r="I3041" s="4" t="s">
        <v>9161</v>
      </c>
      <c r="J3041" s="4"/>
      <c r="K3041" s="5" t="s">
        <v>22763</v>
      </c>
      <c r="L3041" s="5" t="s">
        <v>22148</v>
      </c>
      <c r="M3041" s="4" t="s">
        <v>149</v>
      </c>
      <c r="N3041" s="4" t="s">
        <v>29</v>
      </c>
      <c r="O3041" s="4" t="s">
        <v>22149</v>
      </c>
      <c r="P3041" s="4" t="s">
        <v>29</v>
      </c>
      <c r="Q3041" s="4" t="s">
        <v>22150</v>
      </c>
      <c r="R3041" s="6"/>
      <c r="S3041" s="6"/>
      <c r="T3041" s="6"/>
      <c r="U3041" s="6"/>
      <c r="V3041" s="6"/>
      <c r="W3041" s="6"/>
      <c r="X3041" s="6"/>
      <c r="Y3041" s="6"/>
      <c r="Z3041" s="6"/>
      <c r="AA3041" s="6"/>
    </row>
    <row r="3042" ht="14.25">
      <c r="B3042" s="4" t="s">
        <v>866</v>
      </c>
      <c r="C3042" s="4" t="s">
        <v>22764</v>
      </c>
      <c r="D3042" s="4" t="s">
        <v>87</v>
      </c>
      <c r="E3042" s="4" t="s">
        <v>22765</v>
      </c>
      <c r="F3042" s="4" t="str">
        <f>IFERROR(__XLUDF.DUMMYFUNCTION("PROPER(REGEXREPLACE(D758,""[^A-Za-z]+ "",""""))"),"Davi The Humanizers")</f>
        <v xml:space="preserve">Davi The Humanizers</v>
      </c>
      <c r="G3042" s="4" t="s">
        <v>22766</v>
      </c>
      <c r="H3042" s="4">
        <v>28</v>
      </c>
      <c r="I3042" s="4" t="s">
        <v>2602</v>
      </c>
      <c r="J3042" s="4"/>
      <c r="K3042" s="5" t="s">
        <v>22767</v>
      </c>
      <c r="L3042" s="5" t="s">
        <v>22768</v>
      </c>
      <c r="M3042" s="4" t="s">
        <v>39</v>
      </c>
      <c r="N3042" s="4" t="s">
        <v>29</v>
      </c>
      <c r="O3042" s="4" t="s">
        <v>22769</v>
      </c>
      <c r="P3042" s="4" t="s">
        <v>29</v>
      </c>
      <c r="Q3042" s="4" t="s">
        <v>22770</v>
      </c>
      <c r="R3042" s="6"/>
      <c r="S3042" s="6"/>
      <c r="T3042" s="6"/>
      <c r="U3042" s="6"/>
      <c r="V3042" s="6"/>
      <c r="W3042" s="6"/>
      <c r="X3042" s="6"/>
      <c r="Y3042" s="6"/>
      <c r="Z3042" s="6"/>
      <c r="AA3042" s="6"/>
    </row>
    <row r="3043" ht="14.25">
      <c r="B3043" s="4" t="s">
        <v>222</v>
      </c>
      <c r="C3043" s="4" t="s">
        <v>5157</v>
      </c>
      <c r="D3043" s="4" t="s">
        <v>487</v>
      </c>
      <c r="E3043" s="4" t="s">
        <v>22771</v>
      </c>
      <c r="F3043" s="4" t="str">
        <f>IFERROR(__XLUDF.DUMMYFUNCTION("PROPER(REGEXREPLACE(D759,""[^A-Za-z]+ "",""""))"),"Auvisys")</f>
        <v>Auvisys</v>
      </c>
      <c r="G3043" s="4" t="s">
        <v>22772</v>
      </c>
      <c r="H3043" s="4">
        <v>9</v>
      </c>
      <c r="I3043" s="4" t="s">
        <v>10215</v>
      </c>
      <c r="J3043" s="4" t="str">
        <f>IFERROR(__XLUDF.DUMMYFUNCTION("VLOOKUP(H759,IMPORTRANGE(""https://docs.google.com/spreadsheets/d/1opm6ZNvGZ7KditA9TuJwrZ25eFLfTNIkrNnY6mhV5Eg"",""list!A1:C115""),3,TRUE)"),"le secteur de l'électrique et électronique")</f>
        <v xml:space="preserve">le secteur de l'électrique et électronique</v>
      </c>
      <c r="K3043" s="5" t="s">
        <v>22773</v>
      </c>
      <c r="L3043" s="5" t="s">
        <v>22774</v>
      </c>
      <c r="M3043" s="4" t="s">
        <v>6954</v>
      </c>
      <c r="N3043" s="4" t="s">
        <v>29</v>
      </c>
      <c r="O3043" s="4" t="s">
        <v>22775</v>
      </c>
      <c r="P3043" s="4" t="s">
        <v>29</v>
      </c>
      <c r="Q3043" s="6"/>
      <c r="R3043" s="6"/>
      <c r="S3043" s="6"/>
      <c r="T3043" s="6"/>
      <c r="U3043" s="6"/>
      <c r="V3043" s="6"/>
      <c r="W3043" s="6"/>
      <c r="X3043" s="6"/>
      <c r="Y3043" s="6"/>
      <c r="Z3043" s="6"/>
      <c r="AA3043" s="6"/>
    </row>
    <row r="3044" ht="14.25">
      <c r="B3044" s="4" t="s">
        <v>604</v>
      </c>
      <c r="C3044" s="4" t="s">
        <v>22776</v>
      </c>
      <c r="D3044" s="4" t="s">
        <v>22777</v>
      </c>
      <c r="E3044" s="4" t="s">
        <v>22778</v>
      </c>
      <c r="F3044" s="4" t="str">
        <f>IFERROR(__XLUDF.DUMMYFUNCTION("PROPER(REGEXREPLACE(D760,""[^A-Za-z]+ "",""""))"),"Mōdo")</f>
        <v>Mōdo</v>
      </c>
      <c r="G3044" s="4" t="s">
        <v>22779</v>
      </c>
      <c r="H3044" s="4">
        <v>11</v>
      </c>
      <c r="I3044" s="4" t="s">
        <v>4067</v>
      </c>
      <c r="J3044" s="4"/>
      <c r="K3044" s="5" t="s">
        <v>22780</v>
      </c>
      <c r="L3044" s="5" t="s">
        <v>22781</v>
      </c>
      <c r="M3044" s="4" t="s">
        <v>1711</v>
      </c>
      <c r="N3044" s="4" t="s">
        <v>29</v>
      </c>
      <c r="O3044" s="4" t="s">
        <v>1712</v>
      </c>
      <c r="P3044" s="4" t="s">
        <v>29</v>
      </c>
      <c r="Q3044" s="4" t="s">
        <v>22782</v>
      </c>
      <c r="R3044" s="6"/>
      <c r="S3044" s="6"/>
      <c r="T3044" s="6"/>
      <c r="U3044" s="6"/>
      <c r="V3044" s="6"/>
      <c r="W3044" s="6"/>
      <c r="X3044" s="6"/>
      <c r="Y3044" s="6"/>
      <c r="Z3044" s="6"/>
      <c r="AA3044" s="6"/>
    </row>
    <row r="3045" ht="14.25">
      <c r="B3045" s="4" t="s">
        <v>22783</v>
      </c>
      <c r="C3045" s="4" t="s">
        <v>22784</v>
      </c>
      <c r="D3045" s="4" t="s">
        <v>164</v>
      </c>
      <c r="E3045" s="4" t="s">
        <v>22785</v>
      </c>
      <c r="F3045" s="4" t="str">
        <f>IFERROR(__XLUDF.DUMMYFUNCTION("PROPER(REGEXREPLACE(D761,""[^A-Za-z]+ "",""""))"),"Groupe Ingena")</f>
        <v xml:space="preserve">Groupe Ingena</v>
      </c>
      <c r="G3045" s="4" t="s">
        <v>22786</v>
      </c>
      <c r="H3045" s="4">
        <v>38</v>
      </c>
      <c r="I3045" s="4" t="s">
        <v>2602</v>
      </c>
      <c r="J3045" s="4" t="str">
        <f>IFERROR(__XLUDF.DUMMYFUNCTION("VLOOKUP(H761,IMPORTRANGE(""https://docs.google.com/spreadsheets/d/1opm6ZNvGZ7KditA9TuJwrZ25eFLfTNIkrNnY6mhV5Eg"",""list!A1:C115""),3,TRUE)"),"le secteur de la tech")</f>
        <v xml:space="preserve">le secteur de la tech</v>
      </c>
      <c r="K3045" s="5" t="s">
        <v>22787</v>
      </c>
      <c r="L3045" s="5" t="s">
        <v>22788</v>
      </c>
      <c r="M3045" s="4" t="s">
        <v>39</v>
      </c>
      <c r="N3045" s="4" t="s">
        <v>29</v>
      </c>
      <c r="O3045" s="4" t="s">
        <v>22789</v>
      </c>
      <c r="P3045" s="4" t="s">
        <v>29</v>
      </c>
      <c r="Q3045" s="4" t="s">
        <v>22790</v>
      </c>
      <c r="R3045" s="6"/>
      <c r="S3045" s="6"/>
      <c r="T3045" s="6"/>
      <c r="U3045" s="6"/>
      <c r="V3045" s="6"/>
      <c r="W3045" s="6"/>
      <c r="X3045" s="6"/>
      <c r="Y3045" s="6"/>
      <c r="Z3045" s="6"/>
      <c r="AA3045" s="6"/>
    </row>
    <row r="3046" ht="14.25">
      <c r="B3046" s="4" t="s">
        <v>3850</v>
      </c>
      <c r="C3046" s="4" t="s">
        <v>22791</v>
      </c>
      <c r="D3046" s="4" t="s">
        <v>426</v>
      </c>
      <c r="E3046" s="4" t="s">
        <v>22792</v>
      </c>
      <c r="F3046" s="4" t="str">
        <f>IFERROR(__XLUDF.DUMMYFUNCTION("PROPER(REGEXREPLACE(D762,""[^A-Za-z]+ "",""""))"),"Logimatique")</f>
        <v>Logimatique</v>
      </c>
      <c r="G3046" s="4" t="s">
        <v>22793</v>
      </c>
      <c r="H3046" s="4">
        <v>11</v>
      </c>
      <c r="I3046" s="4" t="s">
        <v>2602</v>
      </c>
      <c r="J3046" s="4"/>
      <c r="K3046" s="5" t="s">
        <v>22794</v>
      </c>
      <c r="L3046" s="5" t="s">
        <v>22795</v>
      </c>
      <c r="M3046" s="4" t="s">
        <v>15945</v>
      </c>
      <c r="N3046" s="4" t="s">
        <v>29</v>
      </c>
      <c r="O3046" s="6"/>
      <c r="P3046" s="6"/>
      <c r="Q3046" s="6"/>
      <c r="R3046" s="6"/>
      <c r="S3046" s="6"/>
      <c r="T3046" s="6"/>
      <c r="U3046" s="6"/>
      <c r="V3046" s="6"/>
      <c r="W3046" s="6"/>
      <c r="X3046" s="6"/>
      <c r="Y3046" s="6"/>
      <c r="Z3046" s="6"/>
      <c r="AA3046" s="6"/>
    </row>
    <row r="3047" ht="14.25">
      <c r="B3047" s="4" t="s">
        <v>638</v>
      </c>
      <c r="C3047" s="4" t="s">
        <v>22796</v>
      </c>
      <c r="D3047" s="4" t="s">
        <v>44</v>
      </c>
      <c r="E3047" s="4" t="s">
        <v>22797</v>
      </c>
      <c r="F3047" s="4" t="str">
        <f>IFERROR(__XLUDF.DUMMYFUNCTION("PROPER(REGEXREPLACE(D763,""[^A-Za-z]+ "",""""))"),"Faubourg 54")</f>
        <v xml:space="preserve">Faubourg 54</v>
      </c>
      <c r="G3047" s="4" t="s">
        <v>22798</v>
      </c>
      <c r="H3047" s="4">
        <v>9</v>
      </c>
      <c r="I3047" s="4" t="s">
        <v>4525</v>
      </c>
      <c r="J3047" s="4" t="str">
        <f>IFERROR(__XLUDF.DUMMYFUNCTION("VLOOKUP(H763,IMPORTRANGE(""https://docs.google.com/spreadsheets/d/1opm6ZNvGZ7KditA9TuJwrZ25eFLfTNIkrNnY6mhV5Eg"",""list!A1:C115""),3,TRUE)"),"le secteur du retail")</f>
        <v xml:space="preserve">le secteur du retail</v>
      </c>
      <c r="K3047" s="5" t="s">
        <v>22799</v>
      </c>
      <c r="L3047" s="5" t="s">
        <v>22800</v>
      </c>
      <c r="M3047" s="4" t="s">
        <v>39</v>
      </c>
      <c r="N3047" s="4" t="s">
        <v>29</v>
      </c>
      <c r="O3047" s="4" t="s">
        <v>22801</v>
      </c>
      <c r="P3047" s="4" t="s">
        <v>29</v>
      </c>
      <c r="Q3047" s="4" t="s">
        <v>22802</v>
      </c>
      <c r="R3047" s="6"/>
      <c r="S3047" s="6"/>
      <c r="T3047" s="6"/>
      <c r="U3047" s="6"/>
      <c r="V3047" s="6"/>
      <c r="W3047" s="6"/>
      <c r="X3047" s="6"/>
      <c r="Y3047" s="6"/>
      <c r="Z3047" s="6"/>
      <c r="AA3047" s="6"/>
    </row>
    <row r="3048" ht="14.25">
      <c r="B3048" s="4" t="s">
        <v>1153</v>
      </c>
      <c r="C3048" s="4" t="s">
        <v>22803</v>
      </c>
      <c r="D3048" s="4" t="s">
        <v>22804</v>
      </c>
      <c r="E3048" s="4" t="s">
        <v>22805</v>
      </c>
      <c r="F3048" s="4" t="str">
        <f>IFERROR(__XLUDF.DUMMYFUNCTION("PROPER(REGEXREPLACE(D764,""[^A-Za-z]+ "",""""))"),"Ludotech")</f>
        <v>Ludotech</v>
      </c>
      <c r="G3048" s="4" t="s">
        <v>22806</v>
      </c>
      <c r="H3048" s="4">
        <v>27</v>
      </c>
      <c r="I3048" s="4" t="s">
        <v>2602</v>
      </c>
      <c r="J3048" s="4" t="str">
        <f>IFERROR(__XLUDF.DUMMYFUNCTION("VLOOKUP(H764,IMPORTRANGE(""https://docs.google.com/spreadsheets/d/1opm6ZNvGZ7KditA9TuJwrZ25eFLfTNIkrNnY6mhV5Eg"",""list!A1:C115""),3,TRUE)"),"le secteur de la tech")</f>
        <v xml:space="preserve">le secteur de la tech</v>
      </c>
      <c r="K3048" s="5" t="s">
        <v>22807</v>
      </c>
      <c r="L3048" s="5" t="s">
        <v>22808</v>
      </c>
      <c r="M3048" s="4" t="s">
        <v>39</v>
      </c>
      <c r="N3048" s="4" t="s">
        <v>29</v>
      </c>
      <c r="O3048" s="4" t="s">
        <v>22809</v>
      </c>
      <c r="P3048" s="4" t="s">
        <v>29</v>
      </c>
      <c r="Q3048" s="6"/>
      <c r="R3048" s="6"/>
      <c r="S3048" s="6"/>
      <c r="T3048" s="6"/>
      <c r="U3048" s="6"/>
      <c r="V3048" s="6"/>
      <c r="W3048" s="6"/>
      <c r="X3048" s="6"/>
      <c r="Y3048" s="6"/>
      <c r="Z3048" s="6"/>
      <c r="AA3048" s="6"/>
    </row>
    <row r="3049" ht="14.25">
      <c r="B3049" s="4" t="s">
        <v>2119</v>
      </c>
      <c r="C3049" s="4" t="s">
        <v>22313</v>
      </c>
      <c r="D3049" s="4" t="s">
        <v>22810</v>
      </c>
      <c r="E3049" s="4" t="s">
        <v>22811</v>
      </c>
      <c r="F3049" s="4" t="str">
        <f>IFERROR(__XLUDF.DUMMYFUNCTION("PROPER(REGEXREPLACE(D765,""[^A-Za-z]+ "",""""))"),"Owlint")</f>
        <v>Owlint</v>
      </c>
      <c r="G3049" s="4" t="s">
        <v>22812</v>
      </c>
      <c r="H3049" s="4">
        <v>18</v>
      </c>
      <c r="I3049" s="4" t="s">
        <v>2602</v>
      </c>
      <c r="J3049" s="4"/>
      <c r="K3049" s="5" t="s">
        <v>22813</v>
      </c>
      <c r="L3049" s="5" t="s">
        <v>22814</v>
      </c>
      <c r="M3049" s="6"/>
      <c r="N3049" s="4" t="s">
        <v>29</v>
      </c>
      <c r="O3049" s="4" t="s">
        <v>67</v>
      </c>
      <c r="P3049" s="4" t="s">
        <v>29</v>
      </c>
      <c r="Q3049" s="6"/>
      <c r="R3049" s="6"/>
      <c r="S3049" s="6"/>
      <c r="T3049" s="6"/>
      <c r="U3049" s="6"/>
      <c r="V3049" s="6"/>
      <c r="W3049" s="6"/>
      <c r="X3049" s="6"/>
      <c r="Y3049" s="6"/>
      <c r="Z3049" s="6"/>
      <c r="AA3049" s="6"/>
    </row>
    <row r="3050" ht="14.25">
      <c r="B3050" s="4" t="s">
        <v>22815</v>
      </c>
      <c r="C3050" s="4" t="s">
        <v>1861</v>
      </c>
      <c r="D3050" s="4" t="s">
        <v>22816</v>
      </c>
      <c r="E3050" s="4" t="s">
        <v>22817</v>
      </c>
      <c r="F3050" s="4" t="str">
        <f>IFERROR(__XLUDF.DUMMYFUNCTION("PROPER(REGEXREPLACE(D766,""[^A-Za-z]+ "",""""))"),"Atechnologie")</f>
        <v>Atechnologie</v>
      </c>
      <c r="G3050" s="4" t="s">
        <v>22818</v>
      </c>
      <c r="H3050" s="4">
        <v>16</v>
      </c>
      <c r="I3050" s="4" t="s">
        <v>4525</v>
      </c>
      <c r="J3050" s="4" t="str">
        <f>IFERROR(__XLUDF.DUMMYFUNCTION("VLOOKUP(H766,IMPORTRANGE(""https://docs.google.com/spreadsheets/d/1opm6ZNvGZ7KditA9TuJwrZ25eFLfTNIkrNnY6mhV5Eg"",""list!A1:C115""),3,TRUE)"),"le secteur du retail")</f>
        <v xml:space="preserve">le secteur du retail</v>
      </c>
      <c r="K3050" s="5" t="s">
        <v>22819</v>
      </c>
      <c r="L3050" s="5" t="s">
        <v>22820</v>
      </c>
      <c r="M3050" s="4" t="s">
        <v>39</v>
      </c>
      <c r="N3050" s="4" t="s">
        <v>29</v>
      </c>
      <c r="O3050" s="4" t="s">
        <v>22821</v>
      </c>
      <c r="P3050" s="4" t="s">
        <v>29</v>
      </c>
      <c r="Q3050" s="4" t="s">
        <v>22822</v>
      </c>
      <c r="R3050" s="6"/>
      <c r="S3050" s="6"/>
      <c r="T3050" s="6"/>
      <c r="U3050" s="6"/>
      <c r="V3050" s="6"/>
      <c r="W3050" s="6"/>
      <c r="X3050" s="6"/>
      <c r="Y3050" s="6"/>
      <c r="Z3050" s="6"/>
      <c r="AA3050" s="6"/>
    </row>
    <row r="3051" ht="14.25">
      <c r="B3051" s="4" t="s">
        <v>1215</v>
      </c>
      <c r="C3051" s="4" t="s">
        <v>22823</v>
      </c>
      <c r="D3051" s="4" t="s">
        <v>17795</v>
      </c>
      <c r="E3051" s="4" t="s">
        <v>22824</v>
      </c>
      <c r="F3051" s="4" t="str">
        <f>IFERROR(__XLUDF.DUMMYFUNCTION("PROPER(REGEXREPLACE(D767,""[^A-Za-z]+ "",""""))"),"Edater")</f>
        <v>Edater</v>
      </c>
      <c r="G3051" s="4" t="s">
        <v>22825</v>
      </c>
      <c r="H3051" s="4">
        <v>16</v>
      </c>
      <c r="I3051" s="4" t="s">
        <v>4067</v>
      </c>
      <c r="J3051" s="4"/>
      <c r="K3051" s="5" t="s">
        <v>22826</v>
      </c>
      <c r="L3051" s="5" t="s">
        <v>22827</v>
      </c>
      <c r="M3051" s="4" t="s">
        <v>482</v>
      </c>
      <c r="N3051" s="4" t="s">
        <v>29</v>
      </c>
      <c r="O3051" s="4" t="s">
        <v>22828</v>
      </c>
      <c r="P3051" s="4" t="s">
        <v>29</v>
      </c>
      <c r="Q3051" s="4" t="s">
        <v>22829</v>
      </c>
      <c r="R3051" s="6"/>
      <c r="S3051" s="6"/>
      <c r="T3051" s="6"/>
      <c r="U3051" s="6"/>
      <c r="V3051" s="6"/>
      <c r="W3051" s="6"/>
      <c r="X3051" s="6"/>
      <c r="Y3051" s="6"/>
      <c r="Z3051" s="6"/>
      <c r="AA3051" s="6"/>
    </row>
    <row r="3052" ht="14.25">
      <c r="B3052" s="4" t="s">
        <v>110</v>
      </c>
      <c r="C3052" s="4" t="s">
        <v>22830</v>
      </c>
      <c r="D3052" s="4" t="s">
        <v>62</v>
      </c>
      <c r="E3052" s="4" t="s">
        <v>19487</v>
      </c>
      <c r="F3052" s="4" t="str">
        <f>IFERROR(__XLUDF.DUMMYFUNCTION("PROPER(REGEXREPLACE(D768,""[^A-Za-z]+ "",""""))"),"Ého.Link")</f>
        <v>Ého.Link</v>
      </c>
      <c r="G3052" s="4" t="s">
        <v>22831</v>
      </c>
      <c r="H3052" s="4">
        <v>17</v>
      </c>
      <c r="I3052" s="4" t="s">
        <v>9264</v>
      </c>
      <c r="J3052" s="4" t="str">
        <f>IFERROR(__XLUDF.DUMMYFUNCTION("VLOOKUP(H768,IMPORTRANGE(""https://docs.google.com/spreadsheets/d/1opm6ZNvGZ7KditA9TuJwrZ25eFLfTNIkrNnY6mhV5Eg"",""list!A1:C115""),3,TRUE)"),"le secteur de la sécurité informatique")</f>
        <v xml:space="preserve">le secteur de la sécurité informatique</v>
      </c>
      <c r="K3052" s="5" t="s">
        <v>22832</v>
      </c>
      <c r="L3052" s="5" t="s">
        <v>19490</v>
      </c>
      <c r="M3052" s="6"/>
      <c r="N3052" s="4" t="s">
        <v>29</v>
      </c>
      <c r="O3052" s="4" t="s">
        <v>19491</v>
      </c>
      <c r="P3052" s="4" t="s">
        <v>29</v>
      </c>
      <c r="Q3052" s="6"/>
      <c r="R3052" s="6"/>
      <c r="S3052" s="6"/>
      <c r="T3052" s="6"/>
      <c r="U3052" s="6"/>
      <c r="V3052" s="6"/>
      <c r="W3052" s="6"/>
      <c r="X3052" s="6"/>
      <c r="Y3052" s="6"/>
      <c r="Z3052" s="6"/>
      <c r="AA3052" s="6"/>
    </row>
    <row r="3053" ht="14.25">
      <c r="B3053" s="4" t="s">
        <v>3834</v>
      </c>
      <c r="C3053" s="4" t="s">
        <v>22833</v>
      </c>
      <c r="D3053" s="4" t="s">
        <v>688</v>
      </c>
      <c r="E3053" s="4" t="s">
        <v>22834</v>
      </c>
      <c r="F3053" s="4" t="str">
        <f>IFERROR(__XLUDF.DUMMYFUNCTION("PROPER(REGEXREPLACE(D769,""[^A-Za-z]+ "",""""))"),"Esg Labsociety")</f>
        <v xml:space="preserve">Esg Labsociety</v>
      </c>
      <c r="G3053" s="4" t="s">
        <v>22835</v>
      </c>
      <c r="H3053" s="4">
        <v>11</v>
      </c>
      <c r="I3053" s="4" t="s">
        <v>4067</v>
      </c>
      <c r="J3053" s="4"/>
      <c r="K3053" s="5" t="s">
        <v>22836</v>
      </c>
      <c r="L3053" s="5" t="s">
        <v>22837</v>
      </c>
      <c r="M3053" s="6"/>
      <c r="N3053" s="4" t="s">
        <v>29</v>
      </c>
      <c r="O3053" s="4" t="s">
        <v>22731</v>
      </c>
      <c r="P3053" s="4" t="s">
        <v>29</v>
      </c>
      <c r="Q3053" s="6"/>
      <c r="R3053" s="6"/>
      <c r="S3053" s="6"/>
      <c r="T3053" s="6"/>
      <c r="U3053" s="6"/>
      <c r="V3053" s="6"/>
      <c r="W3053" s="6"/>
      <c r="X3053" s="6"/>
      <c r="Y3053" s="6"/>
      <c r="Z3053" s="6"/>
      <c r="AA3053" s="6"/>
    </row>
    <row r="3054" ht="14.25">
      <c r="B3054" s="4" t="s">
        <v>5111</v>
      </c>
      <c r="C3054" s="4" t="s">
        <v>22838</v>
      </c>
      <c r="D3054" s="4" t="s">
        <v>172</v>
      </c>
      <c r="E3054" s="4" t="s">
        <v>22839</v>
      </c>
      <c r="F3054" s="4" t="str">
        <f>IFERROR(__XLUDF.DUMMYFUNCTION("PROPER(REGEXREPLACE(D770,""[^A-Za-z]+ "",""""))"),"Qualios Sas")</f>
        <v xml:space="preserve">Qualios Sas</v>
      </c>
      <c r="G3054" s="4" t="s">
        <v>22840</v>
      </c>
      <c r="H3054" s="4">
        <v>20</v>
      </c>
      <c r="I3054" s="4" t="s">
        <v>2602</v>
      </c>
      <c r="J3054" s="4"/>
      <c r="K3054" s="5" t="s">
        <v>22841</v>
      </c>
      <c r="L3054" s="5" t="s">
        <v>22842</v>
      </c>
      <c r="M3054" s="4" t="s">
        <v>22843</v>
      </c>
      <c r="N3054" s="4" t="s">
        <v>29</v>
      </c>
      <c r="O3054" s="4" t="s">
        <v>22844</v>
      </c>
      <c r="P3054" s="4" t="s">
        <v>29</v>
      </c>
      <c r="Q3054" s="4" t="s">
        <v>22845</v>
      </c>
      <c r="R3054" s="6"/>
      <c r="S3054" s="6"/>
      <c r="T3054" s="6"/>
      <c r="U3054" s="6"/>
      <c r="V3054" s="6"/>
      <c r="W3054" s="6"/>
      <c r="X3054" s="6"/>
      <c r="Y3054" s="6"/>
      <c r="Z3054" s="6"/>
      <c r="AA3054" s="6"/>
    </row>
    <row r="3055" ht="14.25">
      <c r="B3055" s="4" t="s">
        <v>1198</v>
      </c>
      <c r="C3055" s="4" t="s">
        <v>22846</v>
      </c>
      <c r="D3055" s="4" t="s">
        <v>22847</v>
      </c>
      <c r="E3055" s="4" t="s">
        <v>22848</v>
      </c>
      <c r="F3055" s="4" t="str">
        <f>IFERROR(__XLUDF.DUMMYFUNCTION("PROPER(REGEXREPLACE(D771,""[^A-Za-z]+ "",""""))"),"Calimed Santé")</f>
        <v xml:space="preserve">Calimed Santé</v>
      </c>
      <c r="G3055" s="4" t="s">
        <v>22849</v>
      </c>
      <c r="H3055" s="4">
        <v>22</v>
      </c>
      <c r="I3055" s="4" t="s">
        <v>2602</v>
      </c>
      <c r="J3055" s="4"/>
      <c r="K3055" s="5" t="s">
        <v>22850</v>
      </c>
      <c r="L3055" s="5" t="s">
        <v>22851</v>
      </c>
      <c r="M3055" s="4" t="s">
        <v>295</v>
      </c>
      <c r="N3055" s="4" t="s">
        <v>29</v>
      </c>
      <c r="O3055" s="4" t="s">
        <v>22852</v>
      </c>
      <c r="P3055" s="4" t="s">
        <v>29</v>
      </c>
      <c r="Q3055" s="6"/>
      <c r="R3055" s="6"/>
      <c r="S3055" s="6"/>
      <c r="T3055" s="6"/>
      <c r="U3055" s="6"/>
      <c r="V3055" s="6"/>
      <c r="W3055" s="6"/>
      <c r="X3055" s="6"/>
      <c r="Y3055" s="6"/>
      <c r="Z3055" s="6"/>
      <c r="AA3055" s="6"/>
    </row>
    <row r="3056" ht="14.25">
      <c r="B3056" s="4" t="s">
        <v>355</v>
      </c>
      <c r="C3056" s="4" t="s">
        <v>19154</v>
      </c>
      <c r="D3056" s="4" t="s">
        <v>172</v>
      </c>
      <c r="E3056" s="4" t="s">
        <v>22853</v>
      </c>
      <c r="F3056" s="4" t="str">
        <f>IFERROR(__XLUDF.DUMMYFUNCTION("PROPER(REGEXREPLACE(D772,""[^A-Za-z]+ "",""""))"),"Agelec")</f>
        <v>Agelec</v>
      </c>
      <c r="G3056" s="4" t="s">
        <v>22854</v>
      </c>
      <c r="H3056" s="4">
        <v>26</v>
      </c>
      <c r="I3056" s="4" t="s">
        <v>2602</v>
      </c>
      <c r="J3056" s="4"/>
      <c r="K3056" s="5" t="s">
        <v>22855</v>
      </c>
      <c r="L3056" s="5" t="s">
        <v>22856</v>
      </c>
      <c r="M3056" s="4" t="s">
        <v>39</v>
      </c>
      <c r="N3056" s="4" t="s">
        <v>29</v>
      </c>
      <c r="O3056" s="4" t="s">
        <v>22857</v>
      </c>
      <c r="P3056" s="4" t="s">
        <v>29</v>
      </c>
      <c r="Q3056" s="6"/>
      <c r="R3056" s="6"/>
      <c r="S3056" s="6"/>
      <c r="T3056" s="6"/>
      <c r="U3056" s="6"/>
      <c r="V3056" s="6"/>
      <c r="W3056" s="6"/>
      <c r="X3056" s="6"/>
      <c r="Y3056" s="6"/>
      <c r="Z3056" s="6"/>
      <c r="AA3056" s="6"/>
    </row>
    <row r="3057" ht="14.25">
      <c r="B3057" s="4" t="s">
        <v>6390</v>
      </c>
      <c r="C3057" s="4" t="s">
        <v>7198</v>
      </c>
      <c r="D3057" s="4" t="s">
        <v>120</v>
      </c>
      <c r="E3057" s="4" t="s">
        <v>22858</v>
      </c>
      <c r="F3057" s="4" t="str">
        <f>IFERROR(__XLUDF.DUMMYFUNCTION("PROPER(REGEXREPLACE(D773,""[^A-Za-z]+ "",""""))"),"Agence Gust")</f>
        <v xml:space="preserve">Agence Gust</v>
      </c>
      <c r="G3057" s="4" t="s">
        <v>22859</v>
      </c>
      <c r="H3057" s="4">
        <v>15</v>
      </c>
      <c r="I3057" s="4" t="s">
        <v>9161</v>
      </c>
      <c r="J3057" s="4"/>
      <c r="K3057" s="5" t="s">
        <v>22860</v>
      </c>
      <c r="L3057" s="5" t="s">
        <v>22861</v>
      </c>
      <c r="M3057" s="4" t="s">
        <v>39</v>
      </c>
      <c r="N3057" s="4" t="s">
        <v>29</v>
      </c>
      <c r="O3057" s="4" t="s">
        <v>67</v>
      </c>
      <c r="P3057" s="4" t="s">
        <v>29</v>
      </c>
      <c r="Q3057" s="6"/>
      <c r="R3057" s="6"/>
      <c r="S3057" s="6"/>
      <c r="T3057" s="6"/>
      <c r="U3057" s="6"/>
      <c r="V3057" s="6"/>
      <c r="W3057" s="6"/>
      <c r="X3057" s="6"/>
      <c r="Y3057" s="6"/>
      <c r="Z3057" s="6"/>
      <c r="AA3057" s="6"/>
    </row>
    <row r="3058" ht="14.25">
      <c r="B3058" s="4" t="s">
        <v>653</v>
      </c>
      <c r="C3058" s="4" t="s">
        <v>22862</v>
      </c>
      <c r="D3058" s="4" t="s">
        <v>172</v>
      </c>
      <c r="E3058" s="4" t="s">
        <v>22863</v>
      </c>
      <c r="F3058" s="4" t="str">
        <f>IFERROR(__XLUDF.DUMMYFUNCTION("PROPER(REGEXREPLACE(D774,""[^A-Za-z]+ "",""""))"),"Lenglart")</f>
        <v>Lenglart</v>
      </c>
      <c r="G3058" s="4" t="s">
        <v>22864</v>
      </c>
      <c r="H3058" s="4">
        <v>30</v>
      </c>
      <c r="I3058" s="4" t="s">
        <v>4525</v>
      </c>
      <c r="J3058" s="4" t="str">
        <f>IFERROR(__XLUDF.DUMMYFUNCTION("VLOOKUP(H774,IMPORTRANGE(""https://docs.google.com/spreadsheets/d/1opm6ZNvGZ7KditA9TuJwrZ25eFLfTNIkrNnY6mhV5Eg"",""list!A1:C115""),3,TRUE)"),"le secteur du retail")</f>
        <v xml:space="preserve">le secteur du retail</v>
      </c>
      <c r="K3058" s="5" t="s">
        <v>22865</v>
      </c>
      <c r="L3058" s="5" t="s">
        <v>22866</v>
      </c>
      <c r="M3058" s="4" t="s">
        <v>1711</v>
      </c>
      <c r="N3058" s="4" t="s">
        <v>29</v>
      </c>
      <c r="O3058" s="4" t="s">
        <v>22867</v>
      </c>
      <c r="P3058" s="4" t="s">
        <v>29</v>
      </c>
      <c r="Q3058" s="6"/>
      <c r="R3058" s="6"/>
      <c r="S3058" s="6"/>
      <c r="T3058" s="6"/>
      <c r="U3058" s="6"/>
      <c r="V3058" s="6"/>
      <c r="W3058" s="6"/>
      <c r="X3058" s="6"/>
      <c r="Y3058" s="6"/>
      <c r="Z3058" s="6"/>
      <c r="AA3058" s="6"/>
    </row>
    <row r="3059" ht="14.25">
      <c r="B3059" s="4" t="s">
        <v>6634</v>
      </c>
      <c r="C3059" s="4" t="s">
        <v>22868</v>
      </c>
      <c r="D3059" s="4" t="s">
        <v>172</v>
      </c>
      <c r="E3059" s="4" t="s">
        <v>22869</v>
      </c>
      <c r="F3059" s="4" t="str">
        <f>IFERROR(__XLUDF.DUMMYFUNCTION("PROPER(REGEXREPLACE(D775,""[^A-Za-z]+ "",""""))"),"Groupe Mercure International")</f>
        <v xml:space="preserve">Groupe Mercure International</v>
      </c>
      <c r="G3059" s="4" t="s">
        <v>22870</v>
      </c>
      <c r="H3059" s="4">
        <v>20</v>
      </c>
      <c r="I3059" s="4" t="s">
        <v>4525</v>
      </c>
      <c r="J3059" s="4"/>
      <c r="K3059" s="5" t="s">
        <v>22871</v>
      </c>
      <c r="L3059" s="5" t="s">
        <v>22872</v>
      </c>
      <c r="M3059" s="4" t="s">
        <v>185</v>
      </c>
      <c r="N3059" s="4" t="s">
        <v>29</v>
      </c>
      <c r="O3059" s="4" t="s">
        <v>22873</v>
      </c>
      <c r="P3059" s="4" t="s">
        <v>18837</v>
      </c>
      <c r="Q3059" s="4" t="s">
        <v>22874</v>
      </c>
      <c r="R3059" s="6"/>
      <c r="S3059" s="6"/>
      <c r="T3059" s="6"/>
      <c r="U3059" s="6"/>
      <c r="V3059" s="6"/>
      <c r="W3059" s="6"/>
      <c r="X3059" s="6"/>
      <c r="Y3059" s="6"/>
      <c r="Z3059" s="6"/>
      <c r="AA3059" s="6"/>
    </row>
    <row r="3060" ht="14.25">
      <c r="B3060" s="4" t="s">
        <v>893</v>
      </c>
      <c r="C3060" s="4" t="s">
        <v>22875</v>
      </c>
      <c r="D3060" s="4" t="s">
        <v>172</v>
      </c>
      <c r="E3060" s="4" t="s">
        <v>11390</v>
      </c>
      <c r="F3060" s="4" t="str">
        <f>IFERROR(__XLUDF.DUMMYFUNCTION("PROPER(REGEXREPLACE(D776,""[^A-Za-z]+ "",""""))"),"Logikap Editor Of The Solution Anikit")</f>
        <v xml:space="preserve">Logikap Editor Of The Solution Anikit</v>
      </c>
      <c r="G3060" s="4" t="s">
        <v>22876</v>
      </c>
      <c r="H3060" s="4">
        <v>13</v>
      </c>
      <c r="I3060" s="4" t="s">
        <v>2602</v>
      </c>
      <c r="J3060" s="4"/>
      <c r="K3060" s="5" t="s">
        <v>22877</v>
      </c>
      <c r="L3060" s="5" t="s">
        <v>22878</v>
      </c>
      <c r="M3060" s="4" t="s">
        <v>83</v>
      </c>
      <c r="N3060" s="4" t="s">
        <v>29</v>
      </c>
      <c r="O3060" s="4" t="s">
        <v>22879</v>
      </c>
      <c r="P3060" s="4" t="s">
        <v>29</v>
      </c>
      <c r="Q3060" s="6"/>
      <c r="R3060" s="6"/>
      <c r="S3060" s="6"/>
      <c r="T3060" s="6"/>
      <c r="U3060" s="6"/>
      <c r="V3060" s="6"/>
      <c r="W3060" s="6"/>
      <c r="X3060" s="6"/>
      <c r="Y3060" s="6"/>
      <c r="Z3060" s="6"/>
      <c r="AA3060" s="6"/>
    </row>
    <row r="3061" ht="14.25">
      <c r="B3061" s="4" t="s">
        <v>5122</v>
      </c>
      <c r="C3061" s="4" t="s">
        <v>22880</v>
      </c>
      <c r="D3061" s="4" t="s">
        <v>120</v>
      </c>
      <c r="E3061" s="4" t="s">
        <v>22881</v>
      </c>
      <c r="F3061" s="4" t="str">
        <f>IFERROR(__XLUDF.DUMMYFUNCTION("PROPER(REGEXREPLACE(D777,""[^A-Za-z]+ "",""""))"),"Liko Energy")</f>
        <v xml:space="preserve">Liko Energy</v>
      </c>
      <c r="G3061" s="4" t="s">
        <v>22882</v>
      </c>
      <c r="H3061" s="4">
        <v>32</v>
      </c>
      <c r="I3061" s="4" t="s">
        <v>4067</v>
      </c>
      <c r="J3061" s="4"/>
      <c r="K3061" s="5" t="s">
        <v>22883</v>
      </c>
      <c r="L3061" s="5" t="s">
        <v>22884</v>
      </c>
      <c r="M3061" s="6"/>
      <c r="N3061" s="4" t="s">
        <v>29</v>
      </c>
      <c r="O3061" s="4" t="s">
        <v>22885</v>
      </c>
      <c r="P3061" s="4" t="s">
        <v>29</v>
      </c>
      <c r="Q3061" s="4" t="s">
        <v>22886</v>
      </c>
      <c r="R3061" s="6"/>
      <c r="S3061" s="6"/>
      <c r="T3061" s="6"/>
      <c r="U3061" s="6"/>
      <c r="V3061" s="6"/>
      <c r="W3061" s="6"/>
      <c r="X3061" s="6"/>
      <c r="Y3061" s="6"/>
      <c r="Z3061" s="6"/>
      <c r="AA3061" s="6"/>
    </row>
    <row r="3062" ht="14.25">
      <c r="B3062" s="4" t="s">
        <v>1009</v>
      </c>
      <c r="C3062" s="4" t="s">
        <v>22887</v>
      </c>
      <c r="D3062" s="4" t="s">
        <v>2636</v>
      </c>
      <c r="E3062" s="4" t="s">
        <v>22888</v>
      </c>
      <c r="F3062" s="4" t="str">
        <f>IFERROR(__XLUDF.DUMMYFUNCTION("PROPER(REGEXREPLACE(D778,""[^A-Za-z]+ "",""""))"),"Enjoy Conseil")</f>
        <v xml:space="preserve">Enjoy Conseil</v>
      </c>
      <c r="G3062" s="4" t="s">
        <v>22889</v>
      </c>
      <c r="H3062" s="6"/>
      <c r="I3062" s="6"/>
      <c r="J3062" s="6"/>
      <c r="K3062" s="5" t="s">
        <v>22890</v>
      </c>
      <c r="L3062" s="5" t="s">
        <v>22891</v>
      </c>
      <c r="M3062" s="4" t="s">
        <v>39</v>
      </c>
      <c r="N3062" s="4" t="s">
        <v>29</v>
      </c>
      <c r="O3062" s="4" t="s">
        <v>22892</v>
      </c>
      <c r="P3062" s="4" t="s">
        <v>29</v>
      </c>
      <c r="Q3062" s="6"/>
      <c r="R3062" s="6"/>
      <c r="S3062" s="6"/>
      <c r="T3062" s="6"/>
      <c r="U3062" s="6"/>
      <c r="V3062" s="6"/>
      <c r="W3062" s="6"/>
      <c r="X3062" s="6"/>
      <c r="Y3062" s="6"/>
      <c r="Z3062" s="6"/>
      <c r="AA3062" s="6"/>
    </row>
    <row r="3063" ht="14.25">
      <c r="B3063" s="4" t="s">
        <v>1562</v>
      </c>
      <c r="C3063" s="4" t="s">
        <v>1485</v>
      </c>
      <c r="D3063" s="4" t="s">
        <v>87</v>
      </c>
      <c r="E3063" s="4" t="s">
        <v>22893</v>
      </c>
      <c r="F3063" s="4" t="str">
        <f>IFERROR(__XLUDF.DUMMYFUNCTION("PROPER(REGEXREPLACE(D779,""[^A-Za-z]+ "",""""))"),"Nuajik")</f>
        <v>Nuajik</v>
      </c>
      <c r="G3063" s="4" t="s">
        <v>22894</v>
      </c>
      <c r="H3063" s="4">
        <v>10</v>
      </c>
      <c r="I3063" s="4" t="s">
        <v>9184</v>
      </c>
      <c r="J3063" s="4"/>
      <c r="K3063" s="5" t="s">
        <v>22895</v>
      </c>
      <c r="L3063" s="5" t="s">
        <v>22896</v>
      </c>
      <c r="M3063" s="4" t="s">
        <v>22897</v>
      </c>
      <c r="N3063" s="4" t="s">
        <v>29</v>
      </c>
      <c r="O3063" s="4" t="s">
        <v>22898</v>
      </c>
      <c r="P3063" s="4" t="s">
        <v>29</v>
      </c>
      <c r="Q3063" s="6"/>
      <c r="R3063" s="6"/>
      <c r="S3063" s="6"/>
      <c r="T3063" s="6"/>
      <c r="U3063" s="6"/>
      <c r="V3063" s="6"/>
      <c r="W3063" s="6"/>
      <c r="X3063" s="6"/>
      <c r="Y3063" s="6"/>
      <c r="Z3063" s="6"/>
      <c r="AA3063" s="6"/>
    </row>
    <row r="3064" ht="14.25">
      <c r="B3064" s="4" t="s">
        <v>817</v>
      </c>
      <c r="C3064" s="4" t="s">
        <v>22899</v>
      </c>
      <c r="D3064" s="4" t="s">
        <v>22900</v>
      </c>
      <c r="E3064" s="4" t="s">
        <v>22901</v>
      </c>
      <c r="F3064" s="4" t="str">
        <f>IFERROR(__XLUDF.DUMMYFUNCTION("PROPER(REGEXREPLACE(D780,""[^A-Za-z]+ "",""""))"),"My Dso Manager")</f>
        <v xml:space="preserve">My Dso Manager</v>
      </c>
      <c r="G3064" s="4" t="s">
        <v>22902</v>
      </c>
      <c r="H3064" s="4">
        <v>24</v>
      </c>
      <c r="I3064" s="4" t="s">
        <v>2602</v>
      </c>
      <c r="J3064" s="4" t="str">
        <f>IFERROR(__XLUDF.DUMMYFUNCTION("VLOOKUP(H780,IMPORTRANGE(""https://docs.google.com/spreadsheets/d/1opm6ZNvGZ7KditA9TuJwrZ25eFLfTNIkrNnY6mhV5Eg"",""list!A1:C115""),3,TRUE)"),"le secteur de la tech")</f>
        <v xml:space="preserve">le secteur de la tech</v>
      </c>
      <c r="K3064" s="5" t="s">
        <v>22903</v>
      </c>
      <c r="L3064" s="5" t="s">
        <v>22904</v>
      </c>
      <c r="M3064" s="4" t="s">
        <v>1507</v>
      </c>
      <c r="N3064" s="4" t="s">
        <v>29</v>
      </c>
      <c r="O3064" s="4" t="s">
        <v>22905</v>
      </c>
      <c r="P3064" s="4" t="s">
        <v>29</v>
      </c>
      <c r="Q3064" s="4" t="s">
        <v>22906</v>
      </c>
      <c r="R3064" s="6"/>
      <c r="S3064" s="6"/>
      <c r="T3064" s="6"/>
      <c r="U3064" s="6"/>
      <c r="V3064" s="6"/>
      <c r="W3064" s="6"/>
      <c r="X3064" s="6"/>
      <c r="Y3064" s="6"/>
      <c r="Z3064" s="6"/>
      <c r="AA3064" s="6"/>
    </row>
    <row r="3065" ht="14.25">
      <c r="B3065" s="4" t="s">
        <v>1215</v>
      </c>
      <c r="C3065" s="4" t="s">
        <v>2208</v>
      </c>
      <c r="D3065" s="4" t="s">
        <v>87</v>
      </c>
      <c r="E3065" s="4" t="s">
        <v>22907</v>
      </c>
      <c r="F3065" s="4" t="str">
        <f>IFERROR(__XLUDF.DUMMYFUNCTION("PROPER(REGEXREPLACE(D781,""[^A-Za-z]+ "",""""))"),"Convergence Media")</f>
        <v xml:space="preserve">Convergence Media</v>
      </c>
      <c r="G3065" s="4" t="s">
        <v>22908</v>
      </c>
      <c r="H3065" s="4">
        <v>28</v>
      </c>
      <c r="I3065" s="4" t="s">
        <v>9161</v>
      </c>
      <c r="J3065" s="4"/>
      <c r="K3065" s="5" t="s">
        <v>22909</v>
      </c>
      <c r="L3065" s="5" t="s">
        <v>22910</v>
      </c>
      <c r="M3065" s="4" t="s">
        <v>39</v>
      </c>
      <c r="N3065" s="4" t="s">
        <v>29</v>
      </c>
      <c r="O3065" s="4" t="s">
        <v>22911</v>
      </c>
      <c r="P3065" s="4" t="s">
        <v>1261</v>
      </c>
      <c r="Q3065" s="6"/>
      <c r="R3065" s="6"/>
      <c r="S3065" s="6"/>
      <c r="T3065" s="6"/>
      <c r="U3065" s="6"/>
      <c r="V3065" s="6"/>
      <c r="W3065" s="6"/>
      <c r="X3065" s="6"/>
      <c r="Y3065" s="6"/>
      <c r="Z3065" s="6"/>
      <c r="AA3065" s="6"/>
    </row>
    <row r="3066" ht="14.25">
      <c r="B3066" s="4" t="s">
        <v>22912</v>
      </c>
      <c r="C3066" s="4" t="s">
        <v>22913</v>
      </c>
      <c r="D3066" s="4" t="s">
        <v>22914</v>
      </c>
      <c r="E3066" s="4" t="s">
        <v>22915</v>
      </c>
      <c r="F3066" s="4" t="str">
        <f>IFERROR(__XLUDF.DUMMYFUNCTION("PROPER(REGEXREPLACE(D782,""[^A-Za-z]+ "",""""))"),"Hylight")</f>
        <v>Hylight</v>
      </c>
      <c r="G3066" s="4" t="s">
        <v>22916</v>
      </c>
      <c r="H3066" s="4">
        <v>19</v>
      </c>
      <c r="I3066" s="4" t="s">
        <v>2602</v>
      </c>
      <c r="J3066" s="4" t="str">
        <f>IFERROR(__XLUDF.DUMMYFUNCTION("VLOOKUP(H782,IMPORTRANGE(""https://docs.google.com/spreadsheets/d/1opm6ZNvGZ7KditA9TuJwrZ25eFLfTNIkrNnY6mhV5Eg"",""list!A1:C115""),3,TRUE)"),"le secteur de la tech")</f>
        <v xml:space="preserve">le secteur de la tech</v>
      </c>
      <c r="K3066" s="5" t="s">
        <v>22917</v>
      </c>
      <c r="L3066" s="5" t="s">
        <v>22918</v>
      </c>
      <c r="M3066" s="4" t="s">
        <v>5668</v>
      </c>
      <c r="N3066" s="4" t="s">
        <v>29</v>
      </c>
      <c r="O3066" s="4" t="s">
        <v>22919</v>
      </c>
      <c r="P3066" s="4" t="s">
        <v>29</v>
      </c>
      <c r="Q3066" s="4" t="s">
        <v>22920</v>
      </c>
      <c r="R3066" s="6"/>
      <c r="S3066" s="6"/>
      <c r="T3066" s="6"/>
      <c r="U3066" s="6"/>
      <c r="V3066" s="6"/>
      <c r="W3066" s="6"/>
      <c r="X3066" s="6"/>
      <c r="Y3066" s="6"/>
      <c r="Z3066" s="6"/>
      <c r="AA3066" s="6"/>
    </row>
    <row r="3067" ht="14.25">
      <c r="B3067" s="4" t="s">
        <v>22921</v>
      </c>
      <c r="C3067" s="4" t="s">
        <v>22922</v>
      </c>
      <c r="D3067" s="4" t="s">
        <v>22923</v>
      </c>
      <c r="E3067" s="4" t="s">
        <v>22924</v>
      </c>
      <c r="F3067" s="4" t="str">
        <f>IFERROR(__XLUDF.DUMMYFUNCTION("PROPER(REGEXREPLACE(D783,""[^A-Za-z]+ "",""""))"),"Proresources Technology")</f>
        <v xml:space="preserve">Proresources Technology</v>
      </c>
      <c r="G3067" s="4" t="s">
        <v>22925</v>
      </c>
      <c r="H3067" s="4">
        <v>13</v>
      </c>
      <c r="I3067" s="4" t="s">
        <v>2602</v>
      </c>
      <c r="J3067" s="4" t="str">
        <f>IFERROR(__XLUDF.DUMMYFUNCTION("VLOOKUP(H783,IMPORTRANGE(""https://docs.google.com/spreadsheets/d/1opm6ZNvGZ7KditA9TuJwrZ25eFLfTNIkrNnY6mhV5Eg"",""list!A1:C115""),3,TRUE)"),"le secteur de la tech")</f>
        <v xml:space="preserve">le secteur de la tech</v>
      </c>
      <c r="K3067" s="5" t="s">
        <v>22926</v>
      </c>
      <c r="L3067" s="5" t="s">
        <v>22927</v>
      </c>
      <c r="M3067" s="4" t="s">
        <v>49</v>
      </c>
      <c r="N3067" s="4" t="s">
        <v>29</v>
      </c>
      <c r="O3067" s="4" t="s">
        <v>6165</v>
      </c>
      <c r="P3067" s="4" t="s">
        <v>6166</v>
      </c>
      <c r="Q3067" s="4" t="s">
        <v>22928</v>
      </c>
      <c r="R3067" s="6"/>
      <c r="S3067" s="6"/>
      <c r="T3067" s="6"/>
      <c r="U3067" s="6"/>
      <c r="V3067" s="6"/>
      <c r="W3067" s="6"/>
      <c r="X3067" s="6"/>
      <c r="Y3067" s="6"/>
      <c r="Z3067" s="6"/>
      <c r="AA3067" s="6"/>
    </row>
    <row r="3068" ht="14.25">
      <c r="B3068" s="4" t="s">
        <v>2419</v>
      </c>
      <c r="C3068" s="4" t="s">
        <v>22929</v>
      </c>
      <c r="D3068" s="4" t="s">
        <v>4660</v>
      </c>
      <c r="E3068" s="4" t="s">
        <v>22930</v>
      </c>
      <c r="F3068" s="4" t="str">
        <f>IFERROR(__XLUDF.DUMMYFUNCTION("PROPER(REGEXREPLACE(D784,""[^A-Za-z]+ "",""""))"),"Kamaé")</f>
        <v>Kamaé</v>
      </c>
      <c r="G3068" s="4" t="s">
        <v>22931</v>
      </c>
      <c r="H3068" s="4">
        <v>18</v>
      </c>
      <c r="I3068" s="4" t="s">
        <v>9264</v>
      </c>
      <c r="J3068" s="4"/>
      <c r="K3068" s="5" t="s">
        <v>22932</v>
      </c>
      <c r="L3068" s="5" t="s">
        <v>22933</v>
      </c>
      <c r="M3068" s="4" t="s">
        <v>39</v>
      </c>
      <c r="N3068" s="4" t="s">
        <v>29</v>
      </c>
      <c r="O3068" s="4" t="s">
        <v>67</v>
      </c>
      <c r="P3068" s="4" t="s">
        <v>29</v>
      </c>
      <c r="Q3068" s="4" t="s">
        <v>22934</v>
      </c>
      <c r="R3068" s="6"/>
      <c r="S3068" s="6"/>
      <c r="T3068" s="6"/>
      <c r="U3068" s="6"/>
      <c r="V3068" s="6"/>
      <c r="W3068" s="6"/>
      <c r="X3068" s="6"/>
      <c r="Y3068" s="6"/>
      <c r="Z3068" s="6"/>
      <c r="AA3068" s="6"/>
    </row>
    <row r="3069" ht="14.25">
      <c r="B3069" s="4" t="s">
        <v>1421</v>
      </c>
      <c r="C3069" s="4" t="s">
        <v>22935</v>
      </c>
      <c r="D3069" s="4" t="s">
        <v>1130</v>
      </c>
      <c r="E3069" s="4" t="s">
        <v>19857</v>
      </c>
      <c r="F3069" s="4" t="str">
        <f>IFERROR(__XLUDF.DUMMYFUNCTION("PROPER(REGEXREPLACE(D785,""[^A-Za-z]+ "",""""))"),"Phone Partners Mdl")</f>
        <v xml:space="preserve">Phone Partners Mdl</v>
      </c>
      <c r="G3069" s="4" t="s">
        <v>22936</v>
      </c>
      <c r="H3069" s="4">
        <v>21</v>
      </c>
      <c r="I3069" s="4" t="s">
        <v>9161</v>
      </c>
      <c r="J3069" s="4" t="str">
        <f>IFERROR(__XLUDF.DUMMYFUNCTION("VLOOKUP(H785,IMPORTRANGE(""https://docs.google.com/spreadsheets/d/1opm6ZNvGZ7KditA9TuJwrZ25eFLfTNIkrNnY6mhV5Eg"",""list!A1:C115""),3,TRUE)"),"le secteur du marketing")</f>
        <v xml:space="preserve">le secteur du marketing</v>
      </c>
      <c r="K3069" s="5" t="s">
        <v>22937</v>
      </c>
      <c r="L3069" s="5" t="s">
        <v>19860</v>
      </c>
      <c r="M3069" s="4" t="s">
        <v>185</v>
      </c>
      <c r="N3069" s="4" t="s">
        <v>29</v>
      </c>
      <c r="O3069" s="4" t="s">
        <v>1283</v>
      </c>
      <c r="P3069" s="4" t="s">
        <v>29</v>
      </c>
      <c r="Q3069" s="4" t="s">
        <v>19861</v>
      </c>
      <c r="R3069" s="6"/>
      <c r="S3069" s="6"/>
      <c r="T3069" s="6"/>
      <c r="U3069" s="6"/>
      <c r="V3069" s="6"/>
      <c r="W3069" s="6"/>
      <c r="X3069" s="6"/>
      <c r="Y3069" s="6"/>
      <c r="Z3069" s="6"/>
      <c r="AA3069" s="6"/>
    </row>
    <row r="3070" ht="14.25">
      <c r="B3070" s="4" t="s">
        <v>2932</v>
      </c>
      <c r="C3070" s="4" t="s">
        <v>22938</v>
      </c>
      <c r="D3070" s="4" t="s">
        <v>468</v>
      </c>
      <c r="E3070" s="4" t="s">
        <v>14461</v>
      </c>
      <c r="F3070" s="4" t="str">
        <f>IFERROR(__XLUDF.DUMMYFUNCTION("PROPER(REGEXREPLACE(D786,""[^A-Za-z]+ "",""""))"),"Eco In Pack")</f>
        <v xml:space="preserve">Eco In Pack</v>
      </c>
      <c r="G3070" s="4" t="s">
        <v>22939</v>
      </c>
      <c r="H3070" s="4">
        <v>11</v>
      </c>
      <c r="I3070" s="4" t="s">
        <v>4067</v>
      </c>
      <c r="J3070" s="4" t="str">
        <f>IFERROR(__XLUDF.DUMMYFUNCTION("VLOOKUP(H786,IMPORTRANGE(""https://docs.google.com/spreadsheets/d/1opm6ZNvGZ7KditA9TuJwrZ25eFLfTNIkrNnY6mhV5Eg"",""list!A1:C115""),3,TRUE)"),"le secteur du conseil en management")</f>
        <v xml:space="preserve">le secteur du conseil en management</v>
      </c>
      <c r="K3070" s="5" t="s">
        <v>22940</v>
      </c>
      <c r="L3070" s="5" t="s">
        <v>20616</v>
      </c>
      <c r="M3070" s="4" t="s">
        <v>3709</v>
      </c>
      <c r="N3070" s="4" t="s">
        <v>29</v>
      </c>
      <c r="O3070" s="4" t="s">
        <v>3710</v>
      </c>
      <c r="P3070" s="4" t="s">
        <v>29</v>
      </c>
      <c r="Q3070" s="6"/>
      <c r="R3070" s="6"/>
      <c r="S3070" s="6"/>
      <c r="T3070" s="6"/>
      <c r="U3070" s="6"/>
      <c r="V3070" s="6"/>
      <c r="W3070" s="6"/>
      <c r="X3070" s="6"/>
      <c r="Y3070" s="6"/>
      <c r="Z3070" s="6"/>
      <c r="AA3070" s="6"/>
    </row>
    <row r="3071" ht="14.25">
      <c r="B3071" s="4" t="s">
        <v>15545</v>
      </c>
      <c r="C3071" s="4" t="s">
        <v>22941</v>
      </c>
      <c r="D3071" s="4" t="s">
        <v>164</v>
      </c>
      <c r="E3071" s="4" t="s">
        <v>22942</v>
      </c>
      <c r="F3071" s="4" t="str">
        <f>IFERROR(__XLUDF.DUMMYFUNCTION("PROPER(REGEXREPLACE(D787,""[^A-Za-z]+ "",""""))"),"Normandie Amenagement")</f>
        <v xml:space="preserve">Normandie Amenagement</v>
      </c>
      <c r="G3071" s="4" t="s">
        <v>22943</v>
      </c>
      <c r="H3071" s="4">
        <v>46</v>
      </c>
      <c r="I3071" s="4" t="s">
        <v>4293</v>
      </c>
      <c r="J3071" s="4" t="str">
        <f>IFERROR(__XLUDF.DUMMYFUNCTION("VLOOKUP(H787,IMPORTRANGE(""https://docs.google.com/spreadsheets/d/1opm6ZNvGZ7KditA9TuJwrZ25eFLfTNIkrNnY6mhV5Eg"",""list!A1:C115""),3,TRUE)"),"le secteur de l'immobilier")</f>
        <v xml:space="preserve">le secteur de l'immobilier</v>
      </c>
      <c r="K3071" s="5" t="s">
        <v>22944</v>
      </c>
      <c r="L3071" s="5" t="s">
        <v>22945</v>
      </c>
      <c r="M3071" s="4" t="s">
        <v>20332</v>
      </c>
      <c r="N3071" s="4" t="s">
        <v>29</v>
      </c>
      <c r="O3071" s="4" t="s">
        <v>22946</v>
      </c>
      <c r="P3071" s="4" t="s">
        <v>29</v>
      </c>
      <c r="Q3071" s="6"/>
      <c r="R3071" s="6"/>
      <c r="S3071" s="6"/>
      <c r="T3071" s="6"/>
      <c r="U3071" s="6"/>
      <c r="V3071" s="6"/>
      <c r="W3071" s="6"/>
      <c r="X3071" s="6"/>
      <c r="Y3071" s="6"/>
      <c r="Z3071" s="6"/>
      <c r="AA3071" s="6"/>
    </row>
    <row r="3072" ht="14.25">
      <c r="B3072" s="4" t="s">
        <v>22947</v>
      </c>
      <c r="C3072" s="4" t="s">
        <v>22948</v>
      </c>
      <c r="D3072" s="4" t="s">
        <v>8042</v>
      </c>
      <c r="E3072" s="4" t="s">
        <v>22949</v>
      </c>
      <c r="F3072" s="4" t="str">
        <f>IFERROR(__XLUDF.DUMMYFUNCTION("PROPER(REGEXREPLACE(D788,""[^A-Za-z]+ "",""""))"),"Bronx Agence")</f>
        <v xml:space="preserve">Bronx Agence</v>
      </c>
      <c r="G3072" s="4" t="s">
        <v>22950</v>
      </c>
      <c r="H3072" s="4">
        <v>29</v>
      </c>
      <c r="I3072" s="4" t="s">
        <v>10639</v>
      </c>
      <c r="J3072" s="4" t="str">
        <f>IFERROR(__XLUDF.DUMMYFUNCTION("VLOOKUP(H788,IMPORTRANGE(""https://docs.google.com/spreadsheets/d/1opm6ZNvGZ7KditA9TuJwrZ25eFLfTNIkrNnY6mhV5Eg"",""list!A1:C115""),3,TRUE)"),"le secteur de la communication")</f>
        <v xml:space="preserve">le secteur de la communication</v>
      </c>
      <c r="K3072" s="5" t="s">
        <v>22951</v>
      </c>
      <c r="L3072" s="5" t="s">
        <v>22952</v>
      </c>
      <c r="M3072" s="4" t="s">
        <v>39</v>
      </c>
      <c r="N3072" s="4" t="s">
        <v>29</v>
      </c>
      <c r="O3072" s="4" t="s">
        <v>22953</v>
      </c>
      <c r="P3072" s="4" t="s">
        <v>29</v>
      </c>
      <c r="Q3072" s="4" t="s">
        <v>22954</v>
      </c>
      <c r="R3072" s="6"/>
      <c r="S3072" s="6"/>
      <c r="T3072" s="6"/>
      <c r="U3072" s="6"/>
      <c r="V3072" s="6"/>
      <c r="W3072" s="6"/>
      <c r="X3072" s="6"/>
      <c r="Y3072" s="6"/>
      <c r="Z3072" s="6"/>
      <c r="AA3072" s="6"/>
    </row>
    <row r="3073" ht="14.25">
      <c r="B3073" s="4" t="s">
        <v>4115</v>
      </c>
      <c r="C3073" s="4" t="s">
        <v>22955</v>
      </c>
      <c r="D3073" s="4" t="s">
        <v>503</v>
      </c>
      <c r="E3073" s="4" t="s">
        <v>21555</v>
      </c>
      <c r="F3073" s="4" t="str">
        <f>IFERROR(__XLUDF.DUMMYFUNCTION("PROPER(REGEXREPLACE(D789,""[^A-Za-z]+ "",""""))"),"Nfinity Labs")</f>
        <v xml:space="preserve">Nfinity Labs</v>
      </c>
      <c r="G3073" s="4" t="s">
        <v>22956</v>
      </c>
      <c r="H3073" s="4">
        <v>12</v>
      </c>
      <c r="I3073" s="4" t="s">
        <v>2602</v>
      </c>
      <c r="J3073" s="4"/>
      <c r="K3073" s="5" t="s">
        <v>22957</v>
      </c>
      <c r="L3073" s="5" t="s">
        <v>21558</v>
      </c>
      <c r="M3073" s="4" t="s">
        <v>5449</v>
      </c>
      <c r="N3073" s="4" t="s">
        <v>29</v>
      </c>
      <c r="O3073" s="4" t="s">
        <v>67</v>
      </c>
      <c r="P3073" s="4" t="s">
        <v>29</v>
      </c>
      <c r="Q3073" s="4" t="s">
        <v>21559</v>
      </c>
      <c r="R3073" s="6"/>
      <c r="S3073" s="6"/>
      <c r="T3073" s="6"/>
      <c r="U3073" s="6"/>
      <c r="V3073" s="6"/>
      <c r="W3073" s="6"/>
      <c r="X3073" s="6"/>
      <c r="Y3073" s="6"/>
      <c r="Z3073" s="6"/>
      <c r="AA3073" s="6"/>
    </row>
    <row r="3074" ht="14.25">
      <c r="B3074" s="4" t="s">
        <v>3609</v>
      </c>
      <c r="C3074" s="4" t="s">
        <v>22958</v>
      </c>
      <c r="D3074" s="4" t="s">
        <v>503</v>
      </c>
      <c r="E3074" s="4" t="s">
        <v>22959</v>
      </c>
      <c r="F3074" s="4" t="str">
        <f>IFERROR(__XLUDF.DUMMYFUNCTION("PROPER(REGEXREPLACE(D790,""[^A-Za-z]+ "",""""))"),"Parable")</f>
        <v>Parable</v>
      </c>
      <c r="G3074" s="4" t="s">
        <v>22960</v>
      </c>
      <c r="H3074" s="4">
        <v>9</v>
      </c>
      <c r="I3074" s="4" t="s">
        <v>2602</v>
      </c>
      <c r="J3074" s="4" t="str">
        <f>IFERROR(__XLUDF.DUMMYFUNCTION("VLOOKUP(H790,IMPORTRANGE(""https://docs.google.com/spreadsheets/d/1opm6ZNvGZ7KditA9TuJwrZ25eFLfTNIkrNnY6mhV5Eg"",""list!A1:C115""),3,TRUE)"),"le secteur de la tech")</f>
        <v xml:space="preserve">le secteur de la tech</v>
      </c>
      <c r="K3074" s="5" t="s">
        <v>22961</v>
      </c>
      <c r="L3074" s="5" t="s">
        <v>22962</v>
      </c>
      <c r="M3074" s="4" t="s">
        <v>39</v>
      </c>
      <c r="N3074" s="4" t="s">
        <v>29</v>
      </c>
      <c r="O3074" s="4" t="s">
        <v>22963</v>
      </c>
      <c r="P3074" s="4" t="s">
        <v>1261</v>
      </c>
      <c r="Q3074" s="6"/>
      <c r="R3074" s="6"/>
      <c r="S3074" s="6"/>
      <c r="T3074" s="6"/>
      <c r="U3074" s="6"/>
      <c r="V3074" s="6"/>
      <c r="W3074" s="6"/>
      <c r="X3074" s="6"/>
      <c r="Y3074" s="6"/>
      <c r="Z3074" s="6"/>
      <c r="AA3074" s="6"/>
    </row>
    <row r="3075" ht="14.25">
      <c r="B3075" s="4" t="s">
        <v>6844</v>
      </c>
      <c r="C3075" s="4" t="s">
        <v>22964</v>
      </c>
      <c r="D3075" s="4" t="s">
        <v>87</v>
      </c>
      <c r="E3075" s="4" t="s">
        <v>22965</v>
      </c>
      <c r="F3075" s="4" t="str">
        <f>IFERROR(__XLUDF.DUMMYFUNCTION("PROPER(REGEXREPLACE(D791,""[^A-Za-z]+ "",""""))"),"Eleet-Ev")</f>
        <v>Eleet-Ev</v>
      </c>
      <c r="G3075" s="4" t="s">
        <v>22966</v>
      </c>
      <c r="H3075" s="4">
        <v>10</v>
      </c>
      <c r="I3075" s="4" t="s">
        <v>10215</v>
      </c>
      <c r="J3075" s="4"/>
      <c r="K3075" s="5" t="s">
        <v>22967</v>
      </c>
      <c r="L3075" s="5" t="s">
        <v>22968</v>
      </c>
      <c r="M3075" s="4" t="s">
        <v>15348</v>
      </c>
      <c r="N3075" s="4" t="s">
        <v>29</v>
      </c>
      <c r="O3075" s="6"/>
      <c r="P3075" s="6"/>
      <c r="Q3075" s="6"/>
      <c r="R3075" s="6"/>
      <c r="S3075" s="6"/>
      <c r="T3075" s="6"/>
      <c r="U3075" s="6"/>
      <c r="V3075" s="6"/>
      <c r="W3075" s="6"/>
      <c r="X3075" s="6"/>
      <c r="Y3075" s="6"/>
      <c r="Z3075" s="6"/>
      <c r="AA3075" s="6"/>
    </row>
    <row r="3076" ht="14.25">
      <c r="B3076" s="4" t="s">
        <v>1732</v>
      </c>
      <c r="C3076" s="4" t="s">
        <v>22969</v>
      </c>
      <c r="D3076" s="4" t="s">
        <v>22970</v>
      </c>
      <c r="E3076" s="4" t="s">
        <v>22971</v>
      </c>
      <c r="F3076" s="4" t="str">
        <f>IFERROR(__XLUDF.DUMMYFUNCTION("PROPER(REGEXREPLACE(D792,""[^A-Za-z]+ "",""""))"),"Digital Native Group")</f>
        <v xml:space="preserve">Digital Native Group</v>
      </c>
      <c r="G3076" s="4" t="s">
        <v>22972</v>
      </c>
      <c r="H3076" s="4">
        <v>37</v>
      </c>
      <c r="I3076" s="4" t="s">
        <v>4067</v>
      </c>
      <c r="J3076" s="4" t="str">
        <f>IFERROR(__XLUDF.DUMMYFUNCTION("VLOOKUP(H792,IMPORTRANGE(""https://docs.google.com/spreadsheets/d/1opm6ZNvGZ7KditA9TuJwrZ25eFLfTNIkrNnY6mhV5Eg"",""list!A1:C115""),3,TRUE)"),"le secteur du conseil en management")</f>
        <v xml:space="preserve">le secteur du conseil en management</v>
      </c>
      <c r="K3076" s="5" t="s">
        <v>22973</v>
      </c>
      <c r="L3076" s="5" t="s">
        <v>22974</v>
      </c>
      <c r="M3076" s="6"/>
      <c r="N3076" s="4" t="s">
        <v>29</v>
      </c>
      <c r="O3076" s="4" t="s">
        <v>22975</v>
      </c>
      <c r="P3076" s="4" t="s">
        <v>29</v>
      </c>
      <c r="Q3076" s="4" t="s">
        <v>22976</v>
      </c>
      <c r="R3076" s="6"/>
      <c r="S3076" s="6"/>
      <c r="T3076" s="6"/>
      <c r="U3076" s="6"/>
      <c r="V3076" s="6"/>
      <c r="W3076" s="6"/>
      <c r="X3076" s="6"/>
      <c r="Y3076" s="6"/>
      <c r="Z3076" s="6"/>
      <c r="AA3076" s="6"/>
    </row>
    <row r="3077" ht="14.25">
      <c r="B3077" s="4" t="s">
        <v>5271</v>
      </c>
      <c r="C3077" s="4" t="s">
        <v>3695</v>
      </c>
      <c r="D3077" s="4" t="s">
        <v>120</v>
      </c>
      <c r="E3077" s="4" t="s">
        <v>21106</v>
      </c>
      <c r="F3077" s="4" t="str">
        <f>IFERROR(__XLUDF.DUMMYFUNCTION("PROPER(REGEXREPLACE(D793,""[^A-Za-z]+ "",""""))"),"Logia")</f>
        <v>Logia</v>
      </c>
      <c r="G3077" s="4" t="s">
        <v>22977</v>
      </c>
      <c r="H3077" s="4">
        <v>10</v>
      </c>
      <c r="I3077" s="4" t="s">
        <v>9161</v>
      </c>
      <c r="J3077" s="4"/>
      <c r="K3077" s="5" t="s">
        <v>22978</v>
      </c>
      <c r="L3077" s="5" t="s">
        <v>21109</v>
      </c>
      <c r="M3077" s="4" t="s">
        <v>1150</v>
      </c>
      <c r="N3077" s="4" t="s">
        <v>29</v>
      </c>
      <c r="O3077" s="4" t="s">
        <v>21111</v>
      </c>
      <c r="P3077" s="4" t="s">
        <v>29</v>
      </c>
      <c r="Q3077" s="4" t="s">
        <v>21112</v>
      </c>
      <c r="R3077" s="6"/>
      <c r="S3077" s="6"/>
      <c r="T3077" s="6"/>
      <c r="U3077" s="6"/>
      <c r="V3077" s="6"/>
      <c r="W3077" s="6"/>
      <c r="X3077" s="6"/>
      <c r="Y3077" s="6"/>
      <c r="Z3077" s="6"/>
      <c r="AA3077" s="6"/>
    </row>
    <row r="3078" ht="14.25">
      <c r="B3078" s="4" t="s">
        <v>1153</v>
      </c>
      <c r="C3078" s="4" t="s">
        <v>22979</v>
      </c>
      <c r="D3078" s="4" t="s">
        <v>22980</v>
      </c>
      <c r="E3078" s="4" t="s">
        <v>22981</v>
      </c>
      <c r="F3078" s="4" t="str">
        <f>IFERROR(__XLUDF.DUMMYFUNCTION("PROPER(REGEXREPLACE(D794,""[^A-Za-z]+ "",""""))"),"Girel")</f>
        <v>Girel</v>
      </c>
      <c r="G3078" s="4" t="s">
        <v>22982</v>
      </c>
      <c r="H3078" s="4">
        <v>4</v>
      </c>
      <c r="I3078" s="4" t="s">
        <v>10215</v>
      </c>
      <c r="J3078" s="4"/>
      <c r="K3078" s="5" t="s">
        <v>22983</v>
      </c>
      <c r="L3078" s="5" t="s">
        <v>22984</v>
      </c>
      <c r="M3078" s="4" t="s">
        <v>243</v>
      </c>
      <c r="N3078" s="4" t="s">
        <v>29</v>
      </c>
      <c r="O3078" s="4" t="s">
        <v>22985</v>
      </c>
      <c r="P3078" s="4" t="s">
        <v>29</v>
      </c>
      <c r="Q3078" s="6"/>
      <c r="R3078" s="6"/>
      <c r="S3078" s="6"/>
      <c r="T3078" s="6"/>
      <c r="U3078" s="6"/>
      <c r="V3078" s="6"/>
      <c r="W3078" s="6"/>
      <c r="X3078" s="6"/>
      <c r="Y3078" s="6"/>
      <c r="Z3078" s="6"/>
      <c r="AA3078" s="6"/>
    </row>
    <row r="3079" ht="14.25">
      <c r="B3079" s="4" t="s">
        <v>9272</v>
      </c>
      <c r="C3079" s="4" t="s">
        <v>22986</v>
      </c>
      <c r="D3079" s="4" t="s">
        <v>22987</v>
      </c>
      <c r="E3079" s="4" t="s">
        <v>22988</v>
      </c>
      <c r="F3079" s="4" t="str">
        <f>IFERROR(__XLUDF.DUMMYFUNCTION("PROPER(REGEXREPLACE(D795,""[^A-Za-z]+ "",""""))"),"Tdo")</f>
        <v>Tdo</v>
      </c>
      <c r="G3079" s="4" t="s">
        <v>22989</v>
      </c>
      <c r="H3079" s="4">
        <v>26</v>
      </c>
      <c r="I3079" s="4" t="s">
        <v>9184</v>
      </c>
      <c r="J3079" s="4" t="str">
        <f>IFERROR(__XLUDF.DUMMYFUNCTION("VLOOKUP(H795,IMPORTRANGE(""https://docs.google.com/spreadsheets/d/1opm6ZNvGZ7KditA9TuJwrZ25eFLfTNIkrNnY6mhV5Eg"",""list!A1:C115""),3,TRUE)"),"le secteur des télécommunications")</f>
        <v xml:space="preserve">le secteur des télécommunications</v>
      </c>
      <c r="K3079" s="5" t="s">
        <v>22990</v>
      </c>
      <c r="L3079" s="5" t="s">
        <v>22991</v>
      </c>
      <c r="M3079" s="4" t="s">
        <v>1711</v>
      </c>
      <c r="N3079" s="4" t="s">
        <v>29</v>
      </c>
      <c r="O3079" s="4" t="s">
        <v>22992</v>
      </c>
      <c r="P3079" s="4" t="s">
        <v>29</v>
      </c>
      <c r="Q3079" s="4" t="s">
        <v>22993</v>
      </c>
      <c r="R3079" s="6"/>
      <c r="S3079" s="6"/>
      <c r="T3079" s="6"/>
      <c r="U3079" s="6"/>
      <c r="V3079" s="6"/>
      <c r="W3079" s="6"/>
      <c r="X3079" s="6"/>
      <c r="Y3079" s="6"/>
      <c r="Z3079" s="6"/>
      <c r="AA3079" s="6"/>
    </row>
    <row r="3080" ht="14.25">
      <c r="B3080" s="4" t="s">
        <v>2932</v>
      </c>
      <c r="C3080" s="4" t="s">
        <v>19562</v>
      </c>
      <c r="D3080" s="4" t="s">
        <v>172</v>
      </c>
      <c r="E3080" s="4" t="s">
        <v>22994</v>
      </c>
      <c r="F3080" s="4" t="str">
        <f>IFERROR(__XLUDF.DUMMYFUNCTION("PROPER(REGEXREPLACE(D796,""[^A-Za-z]+ "",""""))"),"Apmj")</f>
        <v>Apmj</v>
      </c>
      <c r="G3080" s="4" t="s">
        <v>22995</v>
      </c>
      <c r="H3080" s="4">
        <v>19</v>
      </c>
      <c r="I3080" s="4" t="s">
        <v>2602</v>
      </c>
      <c r="J3080" s="4" t="str">
        <f>IFERROR(__XLUDF.DUMMYFUNCTION("VLOOKUP(H796,IMPORTRANGE(""https://docs.google.com/spreadsheets/d/1opm6ZNvGZ7KditA9TuJwrZ25eFLfTNIkrNnY6mhV5Eg"",""list!A1:C115""),3,TRUE)"),"le secteur de la tech")</f>
        <v xml:space="preserve">le secteur de la tech</v>
      </c>
      <c r="K3080" s="5" t="s">
        <v>22996</v>
      </c>
      <c r="L3080" s="5" t="s">
        <v>22997</v>
      </c>
      <c r="M3080" s="4" t="s">
        <v>846</v>
      </c>
      <c r="N3080" s="4" t="s">
        <v>29</v>
      </c>
      <c r="O3080" s="4" t="s">
        <v>20426</v>
      </c>
      <c r="P3080" s="4" t="s">
        <v>29</v>
      </c>
      <c r="Q3080" s="4" t="s">
        <v>22998</v>
      </c>
      <c r="R3080" s="6"/>
      <c r="S3080" s="6"/>
      <c r="T3080" s="6"/>
      <c r="U3080" s="6"/>
      <c r="V3080" s="6"/>
      <c r="W3080" s="6"/>
      <c r="X3080" s="6"/>
      <c r="Y3080" s="6"/>
      <c r="Z3080" s="6"/>
      <c r="AA3080" s="6"/>
    </row>
    <row r="3081" ht="14.25">
      <c r="B3081" s="4" t="s">
        <v>2652</v>
      </c>
      <c r="C3081" s="4" t="s">
        <v>22999</v>
      </c>
      <c r="D3081" s="4" t="s">
        <v>18373</v>
      </c>
      <c r="E3081" s="4" t="s">
        <v>23000</v>
      </c>
      <c r="F3081" s="4" t="str">
        <f>IFERROR(__XLUDF.DUMMYFUNCTION("PROPER(REGEXREPLACE(D797,""[^A-Za-z]+ "",""""))"),"Enginn")</f>
        <v>Enginn</v>
      </c>
      <c r="G3081" s="4" t="s">
        <v>23001</v>
      </c>
      <c r="H3081" s="4">
        <v>11</v>
      </c>
      <c r="I3081" s="4" t="s">
        <v>2602</v>
      </c>
      <c r="J3081" s="4"/>
      <c r="K3081" s="5" t="s">
        <v>23002</v>
      </c>
      <c r="L3081" s="5" t="s">
        <v>23003</v>
      </c>
      <c r="M3081" s="4" t="s">
        <v>39</v>
      </c>
      <c r="N3081" s="4" t="s">
        <v>29</v>
      </c>
      <c r="O3081" s="4" t="s">
        <v>23004</v>
      </c>
      <c r="P3081" s="4" t="s">
        <v>29</v>
      </c>
      <c r="Q3081" s="4" t="s">
        <v>23005</v>
      </c>
      <c r="R3081" s="6"/>
      <c r="S3081" s="6"/>
      <c r="T3081" s="6"/>
      <c r="U3081" s="6"/>
      <c r="V3081" s="6"/>
      <c r="W3081" s="6"/>
      <c r="X3081" s="6"/>
      <c r="Y3081" s="6"/>
      <c r="Z3081" s="6"/>
      <c r="AA3081" s="6"/>
    </row>
    <row r="3082" ht="14.25">
      <c r="B3082" s="4" t="s">
        <v>808</v>
      </c>
      <c r="C3082" s="4" t="s">
        <v>23006</v>
      </c>
      <c r="D3082" s="4" t="s">
        <v>426</v>
      </c>
      <c r="E3082" s="4" t="s">
        <v>23007</v>
      </c>
      <c r="F3082" s="4" t="str">
        <f>IFERROR(__XLUDF.DUMMYFUNCTION("PROPER(REGEXREPLACE(D798,""[^A-Za-z]+ "",""""))"),"Aprile")</f>
        <v>Aprile</v>
      </c>
      <c r="G3082" s="4" t="s">
        <v>23008</v>
      </c>
      <c r="H3082" s="4">
        <v>45</v>
      </c>
      <c r="I3082" s="4" t="s">
        <v>2602</v>
      </c>
      <c r="J3082" s="4"/>
      <c r="K3082" s="5" t="s">
        <v>23009</v>
      </c>
      <c r="L3082" s="5" t="s">
        <v>23010</v>
      </c>
      <c r="M3082" s="6"/>
      <c r="N3082" s="4" t="s">
        <v>29</v>
      </c>
      <c r="O3082" s="4" t="s">
        <v>23011</v>
      </c>
      <c r="P3082" s="4" t="s">
        <v>29</v>
      </c>
      <c r="Q3082" s="6"/>
      <c r="R3082" s="6"/>
      <c r="S3082" s="6"/>
      <c r="T3082" s="6"/>
      <c r="U3082" s="6"/>
      <c r="V3082" s="6"/>
      <c r="W3082" s="6"/>
      <c r="X3082" s="6"/>
      <c r="Y3082" s="6"/>
      <c r="Z3082" s="6"/>
      <c r="AA3082" s="6"/>
    </row>
    <row r="3083" ht="14.25">
      <c r="B3083" s="4" t="s">
        <v>23012</v>
      </c>
      <c r="C3083" s="4" t="s">
        <v>23013</v>
      </c>
      <c r="D3083" s="4" t="s">
        <v>23014</v>
      </c>
      <c r="E3083" s="4" t="s">
        <v>23015</v>
      </c>
      <c r="F3083" s="4" t="str">
        <f>IFERROR(__XLUDF.DUMMYFUNCTION("PROPER(REGEXREPLACE(D799,""[^A-Za-z]+ "",""""))"),"Hcm Consulting Plus")</f>
        <v xml:space="preserve">Hcm Consulting Plus</v>
      </c>
      <c r="G3083" s="4" t="s">
        <v>23016</v>
      </c>
      <c r="H3083" s="4">
        <v>15</v>
      </c>
      <c r="I3083" s="4" t="s">
        <v>2602</v>
      </c>
      <c r="J3083" s="4"/>
      <c r="K3083" s="5" t="s">
        <v>23017</v>
      </c>
      <c r="L3083" s="5" t="s">
        <v>23018</v>
      </c>
      <c r="M3083" s="4" t="s">
        <v>39</v>
      </c>
      <c r="N3083" s="4" t="s">
        <v>29</v>
      </c>
      <c r="O3083" s="4" t="s">
        <v>546</v>
      </c>
      <c r="P3083" s="4" t="s">
        <v>29</v>
      </c>
      <c r="Q3083" s="6"/>
      <c r="R3083" s="6"/>
      <c r="S3083" s="6"/>
      <c r="T3083" s="6"/>
      <c r="U3083" s="6"/>
      <c r="V3083" s="6"/>
      <c r="W3083" s="6"/>
      <c r="X3083" s="6"/>
      <c r="Y3083" s="6"/>
      <c r="Z3083" s="6"/>
      <c r="AA3083" s="6"/>
    </row>
    <row r="3084" ht="14.25">
      <c r="B3084" s="4" t="s">
        <v>948</v>
      </c>
      <c r="C3084" s="4" t="s">
        <v>23019</v>
      </c>
      <c r="D3084" s="4" t="s">
        <v>172</v>
      </c>
      <c r="E3084" s="4" t="s">
        <v>23020</v>
      </c>
      <c r="F3084" s="4" t="str">
        <f>IFERROR(__XLUDF.DUMMYFUNCTION("PROPER(REGEXREPLACE(D800,""[^A-Za-z]+ "",""""))"),"Jl")</f>
        <v>Jl</v>
      </c>
      <c r="G3084" s="4" t="s">
        <v>23021</v>
      </c>
      <c r="H3084" s="4">
        <v>11</v>
      </c>
      <c r="I3084" s="4" t="s">
        <v>2602</v>
      </c>
      <c r="J3084" s="4" t="str">
        <f>IFERROR(__XLUDF.DUMMYFUNCTION("VLOOKUP(H800,IMPORTRANGE(""https://docs.google.com/spreadsheets/d/1opm6ZNvGZ7KditA9TuJwrZ25eFLfTNIkrNnY6mhV5Eg"",""list!A1:C115""),3,TRUE)"),"le secteur de la tech")</f>
        <v xml:space="preserve">le secteur de la tech</v>
      </c>
      <c r="K3084" s="5" t="s">
        <v>23022</v>
      </c>
      <c r="L3084" s="5" t="s">
        <v>23023</v>
      </c>
      <c r="M3084" s="4" t="s">
        <v>749</v>
      </c>
      <c r="N3084" s="4" t="s">
        <v>29</v>
      </c>
      <c r="O3084" s="4" t="s">
        <v>23024</v>
      </c>
      <c r="P3084" s="4" t="s">
        <v>1261</v>
      </c>
      <c r="Q3084" s="6"/>
      <c r="R3084" s="6"/>
      <c r="S3084" s="6"/>
      <c r="T3084" s="6"/>
      <c r="U3084" s="6"/>
      <c r="V3084" s="6"/>
      <c r="W3084" s="6"/>
      <c r="X3084" s="6"/>
      <c r="Y3084" s="6"/>
      <c r="Z3084" s="6"/>
      <c r="AA3084" s="6"/>
    </row>
    <row r="3085" ht="14.25">
      <c r="B3085" s="4" t="s">
        <v>85</v>
      </c>
      <c r="C3085" s="4" t="s">
        <v>23025</v>
      </c>
      <c r="D3085" s="4" t="s">
        <v>247</v>
      </c>
      <c r="E3085" s="4" t="s">
        <v>19793</v>
      </c>
      <c r="F3085" s="4" t="str">
        <f>IFERROR(__XLUDF.DUMMYFUNCTION("PROPER(REGEXREPLACE(D801,""[^A-Za-z]+ "",""""))"),"Twise Sas")</f>
        <v xml:space="preserve">Twise Sas</v>
      </c>
      <c r="G3085" s="4" t="s">
        <v>23026</v>
      </c>
      <c r="H3085" s="4">
        <v>14</v>
      </c>
      <c r="I3085" s="4" t="s">
        <v>10215</v>
      </c>
      <c r="J3085" s="4" t="str">
        <f>IFERROR(__XLUDF.DUMMYFUNCTION("VLOOKUP(H801,IMPORTRANGE(""https://docs.google.com/spreadsheets/d/1opm6ZNvGZ7KditA9TuJwrZ25eFLfTNIkrNnY6mhV5Eg"",""list!A1:C115""),3,TRUE)"),"le secteur de l'électrique et électronique")</f>
        <v xml:space="preserve">le secteur de l'électrique et électronique</v>
      </c>
      <c r="K3085" s="5" t="s">
        <v>23027</v>
      </c>
      <c r="L3085" s="5" t="s">
        <v>19796</v>
      </c>
      <c r="M3085" s="4" t="s">
        <v>10088</v>
      </c>
      <c r="N3085" s="4" t="s">
        <v>29</v>
      </c>
      <c r="O3085" s="4" t="s">
        <v>19797</v>
      </c>
      <c r="P3085" s="4" t="s">
        <v>29</v>
      </c>
      <c r="Q3085" s="6"/>
      <c r="R3085" s="6"/>
      <c r="S3085" s="6"/>
      <c r="T3085" s="6"/>
      <c r="U3085" s="6"/>
      <c r="V3085" s="6"/>
      <c r="W3085" s="6"/>
      <c r="X3085" s="6"/>
      <c r="Y3085" s="6"/>
      <c r="Z3085" s="6"/>
      <c r="AA3085" s="6"/>
    </row>
    <row r="3086" ht="14.25">
      <c r="B3086" s="4" t="s">
        <v>76</v>
      </c>
      <c r="C3086" s="4" t="s">
        <v>23028</v>
      </c>
      <c r="D3086" s="4" t="s">
        <v>426</v>
      </c>
      <c r="E3086" s="4" t="s">
        <v>23029</v>
      </c>
      <c r="F3086" s="4" t="str">
        <f>IFERROR(__XLUDF.DUMMYFUNCTION("PROPER(REGEXREPLACE(D802,""[^A-Za-z]+ "",""""))"),"Speedmedia Services")</f>
        <v xml:space="preserve">Speedmedia Services</v>
      </c>
      <c r="G3086" s="4" t="s">
        <v>23030</v>
      </c>
      <c r="H3086" s="4">
        <v>17</v>
      </c>
      <c r="I3086" s="4" t="s">
        <v>2602</v>
      </c>
      <c r="J3086" s="4"/>
      <c r="K3086" s="5" t="s">
        <v>23031</v>
      </c>
      <c r="L3086" s="5" t="s">
        <v>23032</v>
      </c>
      <c r="M3086" s="6"/>
      <c r="N3086" s="4" t="s">
        <v>29</v>
      </c>
      <c r="O3086" s="4" t="s">
        <v>23033</v>
      </c>
      <c r="P3086" s="4" t="s">
        <v>29</v>
      </c>
      <c r="Q3086" s="4" t="s">
        <v>23034</v>
      </c>
      <c r="R3086" s="6"/>
      <c r="S3086" s="6"/>
      <c r="T3086" s="6"/>
      <c r="U3086" s="6"/>
      <c r="V3086" s="6"/>
      <c r="W3086" s="6"/>
      <c r="X3086" s="6"/>
      <c r="Y3086" s="6"/>
      <c r="Z3086" s="6"/>
      <c r="AA3086" s="6"/>
    </row>
    <row r="3087" ht="14.25">
      <c r="B3087" s="4" t="s">
        <v>23035</v>
      </c>
      <c r="C3087" s="4" t="s">
        <v>23036</v>
      </c>
      <c r="D3087" s="4" t="s">
        <v>487</v>
      </c>
      <c r="E3087" s="4" t="s">
        <v>23037</v>
      </c>
      <c r="F3087" s="4" t="str">
        <f>IFERROR(__XLUDF.DUMMYFUNCTION("PROPER(REGEXREPLACE(D803,""[^A-Za-z]+ "",""""))"),"Abn Standing")</f>
        <v xml:space="preserve">Abn Standing</v>
      </c>
      <c r="G3087" s="4" t="s">
        <v>23038</v>
      </c>
      <c r="H3087" s="4">
        <v>12</v>
      </c>
      <c r="I3087" s="4" t="s">
        <v>4067</v>
      </c>
      <c r="J3087" s="4"/>
      <c r="K3087" s="5" t="s">
        <v>23039</v>
      </c>
      <c r="L3087" s="5" t="s">
        <v>23040</v>
      </c>
      <c r="M3087" s="4" t="s">
        <v>185</v>
      </c>
      <c r="N3087" s="4" t="s">
        <v>29</v>
      </c>
      <c r="O3087" s="4" t="s">
        <v>23041</v>
      </c>
      <c r="P3087" s="4" t="s">
        <v>29</v>
      </c>
      <c r="Q3087" s="6"/>
      <c r="R3087" s="6"/>
      <c r="S3087" s="6"/>
      <c r="T3087" s="6"/>
      <c r="U3087" s="6"/>
      <c r="V3087" s="6"/>
      <c r="W3087" s="6"/>
      <c r="X3087" s="6"/>
      <c r="Y3087" s="6"/>
      <c r="Z3087" s="6"/>
      <c r="AA3087" s="6"/>
    </row>
    <row r="3088" ht="14.25">
      <c r="B3088" s="4" t="s">
        <v>11766</v>
      </c>
      <c r="C3088" s="4" t="s">
        <v>23042</v>
      </c>
      <c r="D3088" s="4" t="s">
        <v>23043</v>
      </c>
      <c r="E3088" s="4" t="s">
        <v>23044</v>
      </c>
      <c r="F3088" s="4" t="str">
        <f>IFERROR(__XLUDF.DUMMYFUNCTION("PROPER(REGEXREPLACE(D804,""[^A-Za-z]+ "",""""))"),"Decidento")</f>
        <v>Decidento</v>
      </c>
      <c r="G3088" s="4" t="s">
        <v>23045</v>
      </c>
      <c r="H3088" s="4">
        <v>23</v>
      </c>
      <c r="I3088" s="4" t="s">
        <v>9461</v>
      </c>
      <c r="J3088" s="4" t="str">
        <f>IFERROR(__XLUDF.DUMMYFUNCTION("VLOOKUP(H804,IMPORTRANGE(""https://docs.google.com/spreadsheets/d/1opm6ZNvGZ7KditA9TuJwrZ25eFLfTNIkrNnY6mhV5Eg"",""list!A1:C115""),3,TRUE)"),"le secteur des services d'information")</f>
        <v xml:space="preserve">le secteur des services d'information</v>
      </c>
      <c r="K3088" s="5" t="s">
        <v>23046</v>
      </c>
      <c r="L3088" s="5" t="s">
        <v>23047</v>
      </c>
      <c r="M3088" s="4" t="s">
        <v>243</v>
      </c>
      <c r="N3088" s="4" t="s">
        <v>29</v>
      </c>
      <c r="O3088" s="4" t="s">
        <v>23048</v>
      </c>
      <c r="P3088" s="4" t="s">
        <v>29</v>
      </c>
      <c r="Q3088" s="4" t="s">
        <v>23049</v>
      </c>
      <c r="R3088" s="6"/>
      <c r="S3088" s="6"/>
      <c r="T3088" s="6"/>
      <c r="U3088" s="6"/>
      <c r="V3088" s="6"/>
      <c r="W3088" s="6"/>
      <c r="X3088" s="6"/>
      <c r="Y3088" s="6"/>
      <c r="Z3088" s="6"/>
      <c r="AA3088" s="6"/>
    </row>
    <row r="3089" ht="14.25">
      <c r="B3089" s="4" t="s">
        <v>355</v>
      </c>
      <c r="C3089" s="4" t="s">
        <v>23050</v>
      </c>
      <c r="D3089" s="4" t="s">
        <v>172</v>
      </c>
      <c r="E3089" s="4" t="s">
        <v>23051</v>
      </c>
      <c r="F3089" s="4" t="str">
        <f>IFERROR(__XLUDF.DUMMYFUNCTION("PROPER(REGEXREPLACE(D805,""[^A-Za-z]+ "",""""))"),"Agence E+P")</f>
        <v xml:space="preserve">Agence E+P</v>
      </c>
      <c r="G3089" s="4" t="s">
        <v>23052</v>
      </c>
      <c r="H3089" s="4">
        <v>19</v>
      </c>
      <c r="I3089" s="4" t="s">
        <v>9161</v>
      </c>
      <c r="J3089" s="4" t="str">
        <f>IFERROR(__XLUDF.DUMMYFUNCTION("VLOOKUP(H805,IMPORTRANGE(""https://docs.google.com/spreadsheets/d/1opm6ZNvGZ7KditA9TuJwrZ25eFLfTNIkrNnY6mhV5Eg"",""list!A1:C115""),3,TRUE)"),"le secteur du marketing")</f>
        <v xml:space="preserve">le secteur du marketing</v>
      </c>
      <c r="K3089" s="5" t="s">
        <v>23053</v>
      </c>
      <c r="L3089" s="5" t="s">
        <v>23054</v>
      </c>
      <c r="M3089" s="4" t="s">
        <v>295</v>
      </c>
      <c r="N3089" s="4" t="s">
        <v>29</v>
      </c>
      <c r="O3089" s="4" t="s">
        <v>23055</v>
      </c>
      <c r="P3089" s="4" t="s">
        <v>29</v>
      </c>
      <c r="Q3089" s="4" t="s">
        <v>23056</v>
      </c>
      <c r="R3089" s="6"/>
      <c r="S3089" s="6"/>
      <c r="T3089" s="6"/>
      <c r="U3089" s="6"/>
      <c r="V3089" s="6"/>
      <c r="W3089" s="6"/>
      <c r="X3089" s="6"/>
      <c r="Y3089" s="6"/>
      <c r="Z3089" s="6"/>
      <c r="AA3089" s="6"/>
    </row>
    <row r="3090" ht="14.25">
      <c r="B3090" s="4" t="s">
        <v>604</v>
      </c>
      <c r="C3090" s="4" t="s">
        <v>23057</v>
      </c>
      <c r="D3090" s="4" t="s">
        <v>172</v>
      </c>
      <c r="E3090" s="4" t="s">
        <v>23058</v>
      </c>
      <c r="F3090" s="4" t="str">
        <f>IFERROR(__XLUDF.DUMMYFUNCTION("PROPER(REGEXREPLACE(D806,""[^A-Za-z]+ "",""""))"),"Neovia Expertise Retraite")</f>
        <v xml:space="preserve">Neovia Expertise Retraite</v>
      </c>
      <c r="G3090" s="4" t="s">
        <v>23059</v>
      </c>
      <c r="H3090" s="4">
        <v>35</v>
      </c>
      <c r="I3090" s="4" t="s">
        <v>9461</v>
      </c>
      <c r="J3090" s="4"/>
      <c r="K3090" s="5" t="s">
        <v>23060</v>
      </c>
      <c r="L3090" s="5" t="s">
        <v>23061</v>
      </c>
      <c r="M3090" s="4" t="s">
        <v>185</v>
      </c>
      <c r="N3090" s="4" t="s">
        <v>29</v>
      </c>
      <c r="O3090" s="4" t="s">
        <v>17736</v>
      </c>
      <c r="P3090" s="4" t="s">
        <v>29</v>
      </c>
      <c r="Q3090" s="4" t="s">
        <v>23062</v>
      </c>
      <c r="R3090" s="6"/>
      <c r="S3090" s="6"/>
      <c r="T3090" s="6"/>
      <c r="U3090" s="6"/>
      <c r="V3090" s="6"/>
      <c r="W3090" s="6"/>
      <c r="X3090" s="6"/>
      <c r="Y3090" s="6"/>
      <c r="Z3090" s="6"/>
      <c r="AA3090" s="6"/>
    </row>
    <row r="3091" ht="14.25">
      <c r="B3091" s="4" t="s">
        <v>23063</v>
      </c>
      <c r="C3091" s="4" t="s">
        <v>23064</v>
      </c>
      <c r="D3091" s="4" t="s">
        <v>62</v>
      </c>
      <c r="E3091" s="4" t="s">
        <v>23065</v>
      </c>
      <c r="F3091" s="4" t="str">
        <f>IFERROR(__XLUDF.DUMMYFUNCTION("PROPER(REGEXREPLACE(D807,""[^A-Za-z]+ "",""""))"),"Astrastellar")</f>
        <v>Astrastellar</v>
      </c>
      <c r="G3091" s="4" t="s">
        <v>23066</v>
      </c>
      <c r="H3091" s="4">
        <v>11</v>
      </c>
      <c r="I3091" s="4" t="s">
        <v>2602</v>
      </c>
      <c r="J3091" s="4"/>
      <c r="K3091" s="5" t="s">
        <v>23067</v>
      </c>
      <c r="L3091" s="5" t="s">
        <v>23068</v>
      </c>
      <c r="M3091" s="4" t="s">
        <v>39</v>
      </c>
      <c r="N3091" s="4" t="s">
        <v>29</v>
      </c>
      <c r="O3091" s="4" t="s">
        <v>21087</v>
      </c>
      <c r="P3091" s="4" t="s">
        <v>29</v>
      </c>
      <c r="Q3091" s="4" t="s">
        <v>23069</v>
      </c>
      <c r="R3091" s="6"/>
      <c r="S3091" s="6"/>
      <c r="T3091" s="6"/>
      <c r="U3091" s="6"/>
      <c r="V3091" s="6"/>
      <c r="W3091" s="6"/>
      <c r="X3091" s="6"/>
      <c r="Y3091" s="6"/>
      <c r="Z3091" s="6"/>
      <c r="AA3091" s="6"/>
    </row>
    <row r="3092" ht="14.25">
      <c r="B3092" s="4" t="s">
        <v>23070</v>
      </c>
      <c r="C3092" s="4" t="s">
        <v>23071</v>
      </c>
      <c r="D3092" s="4" t="s">
        <v>23072</v>
      </c>
      <c r="E3092" s="4" t="s">
        <v>23073</v>
      </c>
      <c r="F3092" s="4" t="str">
        <f>IFERROR(__XLUDF.DUMMYFUNCTION("PROPER(REGEXREPLACE(D808,""[^A-Za-z]+ "",""""))"),"Spix Industry")</f>
        <v xml:space="preserve">Spix Industry</v>
      </c>
      <c r="G3092" s="4" t="s">
        <v>23074</v>
      </c>
      <c r="H3092" s="4">
        <v>13</v>
      </c>
      <c r="I3092" s="4" t="s">
        <v>2602</v>
      </c>
      <c r="J3092" s="4"/>
      <c r="K3092" s="5" t="s">
        <v>23075</v>
      </c>
      <c r="L3092" s="5" t="s">
        <v>23076</v>
      </c>
      <c r="M3092" s="4" t="s">
        <v>83</v>
      </c>
      <c r="N3092" s="4" t="s">
        <v>29</v>
      </c>
      <c r="O3092" s="4" t="s">
        <v>23077</v>
      </c>
      <c r="P3092" s="4" t="s">
        <v>29</v>
      </c>
      <c r="Q3092" s="4" t="s">
        <v>23078</v>
      </c>
      <c r="R3092" s="6"/>
      <c r="S3092" s="6"/>
      <c r="T3092" s="6"/>
      <c r="U3092" s="6"/>
      <c r="V3092" s="6"/>
      <c r="W3092" s="6"/>
      <c r="X3092" s="6"/>
      <c r="Y3092" s="6"/>
      <c r="Z3092" s="6"/>
      <c r="AA3092" s="6"/>
    </row>
    <row r="3093" ht="14.25">
      <c r="B3093" s="4" t="s">
        <v>23079</v>
      </c>
      <c r="C3093" s="4" t="s">
        <v>23080</v>
      </c>
      <c r="D3093" s="4" t="s">
        <v>172</v>
      </c>
      <c r="E3093" s="4" t="s">
        <v>23081</v>
      </c>
      <c r="F3093" s="4" t="str">
        <f>IFERROR(__XLUDF.DUMMYFUNCTION("PROPER(REGEXREPLACE(D809,""[^A-Za-z]+ "",""""))"),"Step")</f>
        <v>Step</v>
      </c>
      <c r="G3093" s="4" t="s">
        <v>23082</v>
      </c>
      <c r="H3093" s="4">
        <v>44</v>
      </c>
      <c r="I3093" s="4" t="s">
        <v>2602</v>
      </c>
      <c r="J3093" s="4"/>
      <c r="K3093" s="5" t="s">
        <v>23083</v>
      </c>
      <c r="L3093" s="5" t="s">
        <v>23084</v>
      </c>
      <c r="M3093" s="4" t="s">
        <v>6489</v>
      </c>
      <c r="N3093" s="4" t="s">
        <v>29</v>
      </c>
      <c r="O3093" s="4" t="s">
        <v>23085</v>
      </c>
      <c r="P3093" s="4" t="s">
        <v>29</v>
      </c>
      <c r="Q3093" s="4" t="s">
        <v>23086</v>
      </c>
      <c r="R3093" s="6"/>
      <c r="S3093" s="6"/>
      <c r="T3093" s="6"/>
      <c r="U3093" s="6"/>
      <c r="V3093" s="6"/>
      <c r="W3093" s="6"/>
      <c r="X3093" s="6"/>
      <c r="Y3093" s="6"/>
      <c r="Z3093" s="6"/>
      <c r="AA3093" s="6"/>
    </row>
    <row r="3094" ht="14.25">
      <c r="B3094" s="4" t="s">
        <v>17911</v>
      </c>
      <c r="C3094" s="4" t="s">
        <v>10222</v>
      </c>
      <c r="D3094" s="4" t="s">
        <v>23087</v>
      </c>
      <c r="E3094" s="4" t="s">
        <v>23088</v>
      </c>
      <c r="F3094" s="4" t="str">
        <f>IFERROR(__XLUDF.DUMMYFUNCTION("PROPER(REGEXREPLACE(D810,""[^A-Za-z]+ "",""""))"),"Les Cousins")</f>
        <v xml:space="preserve">Les Cousins</v>
      </c>
      <c r="G3094" s="4" t="s">
        <v>23089</v>
      </c>
      <c r="H3094" s="4">
        <v>32</v>
      </c>
      <c r="I3094" s="4" t="s">
        <v>4067</v>
      </c>
      <c r="J3094" s="4" t="str">
        <f>IFERROR(__XLUDF.DUMMYFUNCTION("VLOOKUP(H810,IMPORTRANGE(""https://docs.google.com/spreadsheets/d/1opm6ZNvGZ7KditA9TuJwrZ25eFLfTNIkrNnY6mhV5Eg"",""list!A1:C115""),3,TRUE)"),"le secteur du conseil en management")</f>
        <v xml:space="preserve">le secteur du conseil en management</v>
      </c>
      <c r="K3094" s="5" t="s">
        <v>23090</v>
      </c>
      <c r="L3094" s="5" t="s">
        <v>23091</v>
      </c>
      <c r="M3094" s="4" t="s">
        <v>23092</v>
      </c>
      <c r="N3094" s="4" t="s">
        <v>29</v>
      </c>
      <c r="O3094" s="4" t="s">
        <v>23093</v>
      </c>
      <c r="P3094" s="4" t="s">
        <v>29</v>
      </c>
      <c r="Q3094" s="4" t="s">
        <v>23094</v>
      </c>
      <c r="R3094" s="6"/>
      <c r="S3094" s="6"/>
      <c r="T3094" s="6"/>
      <c r="U3094" s="6"/>
      <c r="V3094" s="6"/>
      <c r="W3094" s="6"/>
      <c r="X3094" s="6"/>
      <c r="Y3094" s="6"/>
      <c r="Z3094" s="6"/>
      <c r="AA3094" s="6"/>
    </row>
    <row r="3095" ht="14.25">
      <c r="B3095" s="4" t="s">
        <v>4012</v>
      </c>
      <c r="C3095" s="4" t="s">
        <v>23095</v>
      </c>
      <c r="D3095" s="4" t="s">
        <v>87</v>
      </c>
      <c r="E3095" s="4" t="s">
        <v>23096</v>
      </c>
      <c r="F3095" s="4" t="str">
        <f>IFERROR(__XLUDF.DUMMYFUNCTION("PROPER(REGEXREPLACE(D811,""[^A-Za-z]+ "",""""))"),"Néo Gestion Informatique")</f>
        <v xml:space="preserve">Néo Gestion Informatique</v>
      </c>
      <c r="G3095" s="4" t="s">
        <v>23097</v>
      </c>
      <c r="H3095" s="4">
        <v>11</v>
      </c>
      <c r="I3095" s="4" t="s">
        <v>2602</v>
      </c>
      <c r="J3095" s="4"/>
      <c r="K3095" s="5" t="s">
        <v>23098</v>
      </c>
      <c r="L3095" s="5" t="s">
        <v>23099</v>
      </c>
      <c r="M3095" s="4" t="s">
        <v>23100</v>
      </c>
      <c r="N3095" s="4" t="s">
        <v>29</v>
      </c>
      <c r="O3095" s="4" t="s">
        <v>23101</v>
      </c>
      <c r="P3095" s="4" t="s">
        <v>29</v>
      </c>
      <c r="Q3095" s="4" t="s">
        <v>23102</v>
      </c>
      <c r="R3095" s="6"/>
      <c r="S3095" s="6"/>
      <c r="T3095" s="6"/>
      <c r="U3095" s="6"/>
      <c r="V3095" s="6"/>
      <c r="W3095" s="6"/>
      <c r="X3095" s="6"/>
      <c r="Y3095" s="6"/>
      <c r="Z3095" s="6"/>
      <c r="AA3095" s="6"/>
    </row>
    <row r="3096" ht="14.25">
      <c r="B3096" s="4" t="s">
        <v>3609</v>
      </c>
      <c r="C3096" s="4" t="s">
        <v>23103</v>
      </c>
      <c r="D3096" s="4" t="s">
        <v>23104</v>
      </c>
      <c r="E3096" s="4" t="s">
        <v>23105</v>
      </c>
      <c r="F3096" s="4" t="str">
        <f>IFERROR(__XLUDF.DUMMYFUNCTION("PROPER(REGEXREPLACE(D812,""[^A-Za-z]+ "",""""))"),"Happy Hire")</f>
        <v xml:space="preserve">Happy Hire</v>
      </c>
      <c r="G3096" s="4" t="s">
        <v>23106</v>
      </c>
      <c r="H3096" s="4">
        <v>11</v>
      </c>
      <c r="I3096" s="4" t="s">
        <v>2602</v>
      </c>
      <c r="J3096" s="4"/>
      <c r="K3096" s="5" t="s">
        <v>23107</v>
      </c>
      <c r="L3096" s="5" t="s">
        <v>23108</v>
      </c>
      <c r="M3096" s="4" t="s">
        <v>39</v>
      </c>
      <c r="N3096" s="4" t="s">
        <v>29</v>
      </c>
      <c r="O3096" s="4" t="s">
        <v>19124</v>
      </c>
      <c r="P3096" s="4" t="s">
        <v>29</v>
      </c>
      <c r="Q3096" s="4" t="s">
        <v>23109</v>
      </c>
      <c r="R3096" s="6"/>
      <c r="S3096" s="6"/>
      <c r="T3096" s="6"/>
      <c r="U3096" s="6"/>
      <c r="V3096" s="6"/>
      <c r="W3096" s="6"/>
      <c r="X3096" s="6"/>
      <c r="Y3096" s="6"/>
      <c r="Z3096" s="6"/>
      <c r="AA3096" s="6"/>
    </row>
    <row r="3097" ht="14.25">
      <c r="B3097" s="4" t="s">
        <v>255</v>
      </c>
      <c r="C3097" s="4" t="s">
        <v>23110</v>
      </c>
      <c r="D3097" s="4" t="s">
        <v>172</v>
      </c>
      <c r="E3097" s="4" t="s">
        <v>23111</v>
      </c>
      <c r="F3097" s="4" t="str">
        <f>IFERROR(__XLUDF.DUMMYFUNCTION("PROPER(REGEXREPLACE(D813,""[^A-Za-z]+ "",""""))"),"Altimer")</f>
        <v>Altimer</v>
      </c>
      <c r="G3097" s="4" t="s">
        <v>23112</v>
      </c>
      <c r="H3097" s="4">
        <v>20</v>
      </c>
      <c r="I3097" s="4" t="s">
        <v>2602</v>
      </c>
      <c r="J3097" s="4" t="str">
        <f>IFERROR(__XLUDF.DUMMYFUNCTION("VLOOKUP(H813,IMPORTRANGE(""https://docs.google.com/spreadsheets/d/1opm6ZNvGZ7KditA9TuJwrZ25eFLfTNIkrNnY6mhV5Eg"",""list!A1:C115""),3,TRUE)"),"le secteur de la tech")</f>
        <v xml:space="preserve">le secteur de la tech</v>
      </c>
      <c r="K3097" s="5" t="s">
        <v>23113</v>
      </c>
      <c r="L3097" s="5" t="s">
        <v>23114</v>
      </c>
      <c r="M3097" s="4" t="s">
        <v>83</v>
      </c>
      <c r="N3097" s="4" t="s">
        <v>29</v>
      </c>
      <c r="O3097" s="4" t="s">
        <v>84</v>
      </c>
      <c r="P3097" s="4" t="s">
        <v>29</v>
      </c>
      <c r="Q3097" s="4" t="s">
        <v>23115</v>
      </c>
      <c r="R3097" s="6"/>
      <c r="S3097" s="6"/>
      <c r="T3097" s="6"/>
      <c r="U3097" s="6"/>
      <c r="V3097" s="6"/>
      <c r="W3097" s="6"/>
      <c r="X3097" s="6"/>
      <c r="Y3097" s="6"/>
      <c r="Z3097" s="6"/>
      <c r="AA3097" s="6"/>
    </row>
    <row r="3098" ht="14.25">
      <c r="B3098" s="4" t="s">
        <v>23116</v>
      </c>
      <c r="C3098" s="4" t="s">
        <v>23117</v>
      </c>
      <c r="D3098" s="4" t="s">
        <v>62</v>
      </c>
      <c r="E3098" s="4" t="s">
        <v>23118</v>
      </c>
      <c r="F3098" s="4" t="str">
        <f>IFERROR(__XLUDF.DUMMYFUNCTION("PROPER(REGEXREPLACE(D814,""[^A-Za-z]+ "",""""))"),"Dreamfirms")</f>
        <v>Dreamfirms</v>
      </c>
      <c r="G3098" s="4" t="s">
        <v>23119</v>
      </c>
      <c r="H3098" s="4">
        <v>13</v>
      </c>
      <c r="I3098" s="4" t="s">
        <v>9161</v>
      </c>
      <c r="J3098" s="4"/>
      <c r="K3098" s="5" t="s">
        <v>23120</v>
      </c>
      <c r="L3098" s="5" t="s">
        <v>23121</v>
      </c>
      <c r="M3098" s="6"/>
      <c r="N3098" s="4" t="s">
        <v>29</v>
      </c>
      <c r="O3098" s="4" t="s">
        <v>23122</v>
      </c>
      <c r="P3098" s="4" t="s">
        <v>1261</v>
      </c>
      <c r="Q3098" s="4" t="s">
        <v>23123</v>
      </c>
      <c r="R3098" s="6"/>
      <c r="S3098" s="6"/>
      <c r="T3098" s="6"/>
      <c r="U3098" s="6"/>
      <c r="V3098" s="6"/>
      <c r="W3098" s="6"/>
      <c r="X3098" s="6"/>
      <c r="Y3098" s="6"/>
      <c r="Z3098" s="6"/>
      <c r="AA3098" s="6"/>
    </row>
    <row r="3099" ht="14.25">
      <c r="B3099" s="4" t="s">
        <v>23124</v>
      </c>
      <c r="C3099" s="4" t="s">
        <v>12981</v>
      </c>
      <c r="D3099" s="4" t="s">
        <v>23125</v>
      </c>
      <c r="E3099" s="4" t="s">
        <v>23126</v>
      </c>
      <c r="F3099" s="4" t="str">
        <f>IFERROR(__XLUDF.DUMMYFUNCTION("PROPER(REGEXREPLACE(D815,""[^A-Za-z]+ "",""""))"),"Inria Startup Studio")</f>
        <v xml:space="preserve">Inria Startup Studio</v>
      </c>
      <c r="G3099" s="4" t="s">
        <v>23127</v>
      </c>
      <c r="H3099" s="4">
        <v>46</v>
      </c>
      <c r="I3099" s="4" t="s">
        <v>4067</v>
      </c>
      <c r="J3099" s="4"/>
      <c r="K3099" s="5" t="s">
        <v>23128</v>
      </c>
      <c r="L3099" s="5" t="s">
        <v>23129</v>
      </c>
      <c r="M3099" s="6"/>
      <c r="N3099" s="4" t="s">
        <v>29</v>
      </c>
      <c r="O3099" s="4" t="s">
        <v>856</v>
      </c>
      <c r="P3099" s="4" t="s">
        <v>29</v>
      </c>
      <c r="Q3099" s="4" t="s">
        <v>23130</v>
      </c>
      <c r="R3099" s="6"/>
      <c r="S3099" s="6"/>
      <c r="T3099" s="6"/>
      <c r="U3099" s="6"/>
      <c r="V3099" s="6"/>
      <c r="W3099" s="6"/>
      <c r="X3099" s="6"/>
      <c r="Y3099" s="6"/>
      <c r="Z3099" s="6"/>
      <c r="AA3099" s="6"/>
    </row>
    <row r="3100" ht="14.25">
      <c r="B3100" s="4" t="s">
        <v>15990</v>
      </c>
      <c r="C3100" s="4" t="s">
        <v>23131</v>
      </c>
      <c r="D3100" s="4" t="s">
        <v>23132</v>
      </c>
      <c r="E3100" s="4" t="s">
        <v>23133</v>
      </c>
      <c r="F3100" s="4" t="str">
        <f>IFERROR(__XLUDF.DUMMYFUNCTION("PROPER(REGEXREPLACE(D816,""[^A-Za-z]+ "",""""))"),"Syneria")</f>
        <v>Syneria</v>
      </c>
      <c r="G3100" s="4" t="s">
        <v>23134</v>
      </c>
      <c r="H3100" s="4">
        <v>21</v>
      </c>
      <c r="I3100" s="4" t="s">
        <v>18721</v>
      </c>
      <c r="J3100" s="4" t="str">
        <f>IFERROR(__XLUDF.DUMMYFUNCTION("VLOOKUP(H816,IMPORTRANGE(""https://docs.google.com/spreadsheets/d/1opm6ZNvGZ7KditA9TuJwrZ25eFLfTNIkrNnY6mhV5Eg"",""list!A1:C115""),3,TRUE)"),"le secteur des énergies renouvelables")</f>
        <v xml:space="preserve">le secteur des énergies renouvelables</v>
      </c>
      <c r="K3100" s="5" t="s">
        <v>23135</v>
      </c>
      <c r="L3100" s="5" t="s">
        <v>23136</v>
      </c>
      <c r="M3100" s="4" t="s">
        <v>39</v>
      </c>
      <c r="N3100" s="4" t="s">
        <v>29</v>
      </c>
      <c r="O3100" s="4" t="s">
        <v>23137</v>
      </c>
      <c r="P3100" s="4" t="s">
        <v>29</v>
      </c>
      <c r="Q3100" s="4" t="s">
        <v>23138</v>
      </c>
      <c r="R3100" s="6"/>
      <c r="S3100" s="6"/>
      <c r="T3100" s="6"/>
      <c r="U3100" s="6"/>
      <c r="V3100" s="6"/>
      <c r="W3100" s="6"/>
      <c r="X3100" s="6"/>
      <c r="Y3100" s="6"/>
      <c r="Z3100" s="6"/>
      <c r="AA3100" s="6"/>
    </row>
    <row r="3101" ht="14.25">
      <c r="B3101" s="4" t="s">
        <v>23139</v>
      </c>
      <c r="C3101" s="4" t="s">
        <v>15479</v>
      </c>
      <c r="D3101" s="4" t="s">
        <v>44</v>
      </c>
      <c r="E3101" s="4" t="s">
        <v>23140</v>
      </c>
      <c r="F3101" s="4" t="str">
        <f>IFERROR(__XLUDF.DUMMYFUNCTION("PROPER(REGEXREPLACE(D817,""[^A-Za-z]+ "",""""))"),"Obh")</f>
        <v>Obh</v>
      </c>
      <c r="G3101" s="4" t="s">
        <v>23141</v>
      </c>
      <c r="H3101" s="4">
        <v>20</v>
      </c>
      <c r="I3101" s="4" t="s">
        <v>4525</v>
      </c>
      <c r="J3101" s="4"/>
      <c r="K3101" s="5" t="s">
        <v>23142</v>
      </c>
      <c r="L3101" s="5" t="s">
        <v>23143</v>
      </c>
      <c r="M3101" s="4" t="s">
        <v>185</v>
      </c>
      <c r="N3101" s="4" t="s">
        <v>29</v>
      </c>
      <c r="O3101" s="4" t="s">
        <v>23144</v>
      </c>
      <c r="P3101" s="4" t="s">
        <v>29</v>
      </c>
      <c r="Q3101" s="6"/>
      <c r="R3101" s="6"/>
      <c r="S3101" s="6"/>
      <c r="T3101" s="6"/>
      <c r="U3101" s="6"/>
      <c r="V3101" s="6"/>
      <c r="W3101" s="6"/>
      <c r="X3101" s="6"/>
      <c r="Y3101" s="6"/>
      <c r="Z3101" s="6"/>
      <c r="AA3101" s="6"/>
    </row>
    <row r="3102" ht="14.25">
      <c r="B3102" s="4" t="s">
        <v>1583</v>
      </c>
      <c r="C3102" s="4" t="s">
        <v>15802</v>
      </c>
      <c r="D3102" s="4" t="s">
        <v>87</v>
      </c>
      <c r="E3102" s="4" t="s">
        <v>23145</v>
      </c>
      <c r="F3102" s="4" t="str">
        <f>IFERROR(__XLUDF.DUMMYFUNCTION("PROPER(REGEXREPLACE(D818,""[^A-Za-z]+ "",""""))"),"Quinze Seize Consulting")</f>
        <v xml:space="preserve">Quinze Seize Consulting</v>
      </c>
      <c r="G3102" s="4" t="s">
        <v>23146</v>
      </c>
      <c r="H3102" s="4">
        <v>1</v>
      </c>
      <c r="I3102" s="4" t="s">
        <v>2602</v>
      </c>
      <c r="J3102" s="4" t="str">
        <f>IFERROR(__XLUDF.DUMMYFUNCTION("VLOOKUP(H818,IMPORTRANGE(""https://docs.google.com/spreadsheets/d/1opm6ZNvGZ7KditA9TuJwrZ25eFLfTNIkrNnY6mhV5Eg"",""list!A1:C115""),3,TRUE)"),"le secteur de la tech")</f>
        <v xml:space="preserve">le secteur de la tech</v>
      </c>
      <c r="K3102" s="5" t="s">
        <v>23147</v>
      </c>
      <c r="L3102" s="5" t="s">
        <v>23148</v>
      </c>
      <c r="M3102" s="4" t="s">
        <v>15292</v>
      </c>
      <c r="N3102" s="4" t="s">
        <v>29</v>
      </c>
      <c r="O3102" s="4" t="s">
        <v>23149</v>
      </c>
      <c r="P3102" s="4" t="s">
        <v>29</v>
      </c>
      <c r="Q3102" s="6"/>
      <c r="R3102" s="6"/>
      <c r="S3102" s="6"/>
      <c r="T3102" s="6"/>
      <c r="U3102" s="6"/>
      <c r="V3102" s="6"/>
      <c r="W3102" s="6"/>
      <c r="X3102" s="6"/>
      <c r="Y3102" s="6"/>
      <c r="Z3102" s="6"/>
      <c r="AA3102" s="6"/>
    </row>
    <row r="3103" ht="14.25">
      <c r="B3103" s="4" t="s">
        <v>23150</v>
      </c>
      <c r="C3103" s="4" t="s">
        <v>23151</v>
      </c>
      <c r="D3103" s="4" t="s">
        <v>21807</v>
      </c>
      <c r="E3103" s="4" t="s">
        <v>23152</v>
      </c>
      <c r="F3103" s="4" t="str">
        <f>IFERROR(__XLUDF.DUMMYFUNCTION("PROPER(REGEXREPLACE(D819,""[^A-Za-z]+ "",""""))"),"Pimster")</f>
        <v>Pimster</v>
      </c>
      <c r="G3103" s="4" t="s">
        <v>23153</v>
      </c>
      <c r="H3103" s="4">
        <v>12</v>
      </c>
      <c r="I3103" s="4" t="s">
        <v>2602</v>
      </c>
      <c r="J3103" s="4" t="str">
        <f>IFERROR(__XLUDF.DUMMYFUNCTION("VLOOKUP(H819,IMPORTRANGE(""https://docs.google.com/spreadsheets/d/1opm6ZNvGZ7KditA9TuJwrZ25eFLfTNIkrNnY6mhV5Eg"",""list!A1:C115""),3,TRUE)"),"le secteur de la tech")</f>
        <v xml:space="preserve">le secteur de la tech</v>
      </c>
      <c r="K3103" s="5" t="s">
        <v>23154</v>
      </c>
      <c r="L3103" s="5" t="s">
        <v>23155</v>
      </c>
      <c r="M3103" s="4" t="s">
        <v>39</v>
      </c>
      <c r="N3103" s="4" t="s">
        <v>29</v>
      </c>
      <c r="O3103" s="4" t="s">
        <v>67</v>
      </c>
      <c r="P3103" s="4" t="s">
        <v>29</v>
      </c>
      <c r="Q3103" s="4" t="s">
        <v>23156</v>
      </c>
      <c r="R3103" s="6"/>
      <c r="S3103" s="6"/>
      <c r="T3103" s="6"/>
      <c r="U3103" s="6"/>
      <c r="V3103" s="6"/>
      <c r="W3103" s="6"/>
      <c r="X3103" s="6"/>
      <c r="Y3103" s="6"/>
      <c r="Z3103" s="6"/>
      <c r="AA3103" s="6"/>
    </row>
    <row r="3104" ht="14.25">
      <c r="B3104" s="4" t="s">
        <v>20</v>
      </c>
      <c r="C3104" s="4" t="s">
        <v>23157</v>
      </c>
      <c r="D3104" s="4" t="s">
        <v>672</v>
      </c>
      <c r="E3104" s="4" t="s">
        <v>23158</v>
      </c>
      <c r="F3104" s="4" t="str">
        <f>IFERROR(__XLUDF.DUMMYFUNCTION("PROPER(REGEXREPLACE(D820,""[^A-Za-z]+ "",""""))"),"Fullwhere")</f>
        <v>Fullwhere</v>
      </c>
      <c r="G3104" s="4" t="s">
        <v>23159</v>
      </c>
      <c r="H3104" s="4">
        <v>16</v>
      </c>
      <c r="I3104" s="4" t="s">
        <v>2602</v>
      </c>
      <c r="J3104" s="4" t="str">
        <f>IFERROR(__XLUDF.DUMMYFUNCTION("VLOOKUP(H820,IMPORTRANGE(""https://docs.google.com/spreadsheets/d/1opm6ZNvGZ7KditA9TuJwrZ25eFLfTNIkrNnY6mhV5Eg"",""list!A1:C115""),3,TRUE)"),"le secteur de la tech")</f>
        <v xml:space="preserve">le secteur de la tech</v>
      </c>
      <c r="K3104" s="5" t="s">
        <v>23160</v>
      </c>
      <c r="L3104" s="5" t="s">
        <v>23161</v>
      </c>
      <c r="M3104" s="4" t="s">
        <v>39</v>
      </c>
      <c r="N3104" s="4" t="s">
        <v>29</v>
      </c>
      <c r="O3104" s="4" t="s">
        <v>23162</v>
      </c>
      <c r="P3104" s="4" t="s">
        <v>29</v>
      </c>
      <c r="Q3104" s="4" t="s">
        <v>23163</v>
      </c>
      <c r="R3104" s="6"/>
      <c r="S3104" s="6"/>
      <c r="T3104" s="6"/>
      <c r="U3104" s="6"/>
      <c r="V3104" s="6"/>
      <c r="W3104" s="6"/>
      <c r="X3104" s="6"/>
      <c r="Y3104" s="6"/>
      <c r="Z3104" s="6"/>
      <c r="AA3104" s="6"/>
    </row>
    <row r="3105" ht="14.25">
      <c r="B3105" s="4" t="s">
        <v>23164</v>
      </c>
      <c r="C3105" s="4" t="s">
        <v>23165</v>
      </c>
      <c r="D3105" s="4" t="s">
        <v>1950</v>
      </c>
      <c r="E3105" s="4" t="s">
        <v>23166</v>
      </c>
      <c r="F3105" s="4" t="str">
        <f>IFERROR(__XLUDF.DUMMYFUNCTION("PROPER(REGEXREPLACE(D821,""[^A-Za-z]+ "",""""))"),"Ek France")</f>
        <v xml:space="preserve">Ek France</v>
      </c>
      <c r="G3105" s="4" t="s">
        <v>23167</v>
      </c>
      <c r="H3105" s="4">
        <v>30</v>
      </c>
      <c r="I3105" s="4" t="s">
        <v>4525</v>
      </c>
      <c r="J3105" s="4"/>
      <c r="K3105" s="5" t="s">
        <v>23168</v>
      </c>
      <c r="L3105" s="5" t="s">
        <v>23169</v>
      </c>
      <c r="M3105" s="6"/>
      <c r="N3105" s="4" t="s">
        <v>29</v>
      </c>
      <c r="O3105" s="4" t="s">
        <v>23170</v>
      </c>
      <c r="P3105" s="4" t="s">
        <v>29</v>
      </c>
      <c r="Q3105" s="6"/>
      <c r="R3105" s="6"/>
      <c r="S3105" s="6"/>
      <c r="T3105" s="6"/>
      <c r="U3105" s="6"/>
      <c r="V3105" s="6"/>
      <c r="W3105" s="6"/>
      <c r="X3105" s="6"/>
      <c r="Y3105" s="6"/>
      <c r="Z3105" s="6"/>
      <c r="AA3105" s="6"/>
    </row>
    <row r="3106" ht="14.25">
      <c r="B3106" s="4" t="s">
        <v>23171</v>
      </c>
      <c r="C3106" s="4" t="s">
        <v>12031</v>
      </c>
      <c r="D3106" s="4" t="s">
        <v>87</v>
      </c>
      <c r="E3106" s="4" t="s">
        <v>23172</v>
      </c>
      <c r="F3106" s="4" t="str">
        <f>IFERROR(__XLUDF.DUMMYFUNCTION("PROPER(REGEXREPLACE(D822,""[^A-Za-z]+ "",""""))"),"Boxia")</f>
        <v>Boxia</v>
      </c>
      <c r="G3106" s="4" t="s">
        <v>23173</v>
      </c>
      <c r="H3106" s="4">
        <v>12</v>
      </c>
      <c r="I3106" s="4" t="s">
        <v>2602</v>
      </c>
      <c r="J3106" s="4" t="str">
        <f>IFERROR(__XLUDF.DUMMYFUNCTION("VLOOKUP(H822,IMPORTRANGE(""https://docs.google.com/spreadsheets/d/1opm6ZNvGZ7KditA9TuJwrZ25eFLfTNIkrNnY6mhV5Eg"",""list!A1:C115""),3,TRUE)"),"le secteur de la tech")</f>
        <v xml:space="preserve">le secteur de la tech</v>
      </c>
      <c r="K3106" s="5" t="s">
        <v>23174</v>
      </c>
      <c r="L3106" s="5" t="s">
        <v>23175</v>
      </c>
      <c r="M3106" s="4" t="s">
        <v>39</v>
      </c>
      <c r="N3106" s="4" t="s">
        <v>29</v>
      </c>
      <c r="O3106" s="4" t="s">
        <v>67</v>
      </c>
      <c r="P3106" s="4" t="s">
        <v>29</v>
      </c>
      <c r="Q3106" s="4" t="s">
        <v>23176</v>
      </c>
      <c r="R3106" s="6"/>
      <c r="S3106" s="6"/>
      <c r="T3106" s="6"/>
      <c r="U3106" s="6"/>
      <c r="V3106" s="6"/>
      <c r="W3106" s="6"/>
      <c r="X3106" s="6"/>
      <c r="Y3106" s="6"/>
      <c r="Z3106" s="6"/>
      <c r="AA3106" s="6"/>
    </row>
    <row r="3107" ht="14.25">
      <c r="B3107" s="4" t="s">
        <v>963</v>
      </c>
      <c r="C3107" s="4" t="s">
        <v>22417</v>
      </c>
      <c r="D3107" s="4" t="s">
        <v>247</v>
      </c>
      <c r="E3107" s="4" t="s">
        <v>23177</v>
      </c>
      <c r="F3107" s="4" t="str">
        <f>IFERROR(__XLUDF.DUMMYFUNCTION("PROPER(REGEXREPLACE(D823,""[^A-Za-z]+ "",""""))"),"Kmb Labs")</f>
        <v xml:space="preserve">Kmb Labs</v>
      </c>
      <c r="G3107" s="4" t="s">
        <v>23178</v>
      </c>
      <c r="H3107" s="4">
        <v>15</v>
      </c>
      <c r="I3107" s="4" t="s">
        <v>2602</v>
      </c>
      <c r="J3107" s="4" t="str">
        <f>IFERROR(__XLUDF.DUMMYFUNCTION("VLOOKUP(H823,IMPORTRANGE(""https://docs.google.com/spreadsheets/d/1opm6ZNvGZ7KditA9TuJwrZ25eFLfTNIkrNnY6mhV5Eg"",""list!A1:C115""),3,TRUE)"),"le secteur de la tech")</f>
        <v xml:space="preserve">le secteur de la tech</v>
      </c>
      <c r="K3107" s="5" t="s">
        <v>23179</v>
      </c>
      <c r="L3107" s="5" t="s">
        <v>23180</v>
      </c>
      <c r="M3107" s="4" t="s">
        <v>39</v>
      </c>
      <c r="N3107" s="4" t="s">
        <v>29</v>
      </c>
      <c r="O3107" s="4" t="s">
        <v>23181</v>
      </c>
      <c r="P3107" s="4" t="s">
        <v>29</v>
      </c>
      <c r="Q3107" s="4" t="s">
        <v>23182</v>
      </c>
      <c r="R3107" s="6"/>
      <c r="S3107" s="6"/>
      <c r="T3107" s="6"/>
      <c r="U3107" s="6"/>
      <c r="V3107" s="6"/>
      <c r="W3107" s="6"/>
      <c r="X3107" s="6"/>
      <c r="Y3107" s="6"/>
      <c r="Z3107" s="6"/>
      <c r="AA3107" s="6"/>
    </row>
    <row r="3108" ht="14.25">
      <c r="B3108" s="4" t="s">
        <v>808</v>
      </c>
      <c r="C3108" s="4" t="s">
        <v>23183</v>
      </c>
      <c r="D3108" s="4" t="s">
        <v>112</v>
      </c>
      <c r="E3108" s="4" t="s">
        <v>23184</v>
      </c>
      <c r="F3108" s="4" t="str">
        <f>IFERROR(__XLUDF.DUMMYFUNCTION("PROPER(REGEXREPLACE(D824,""[^A-Za-z]+ "",""""))"),"Blb Associes")</f>
        <v xml:space="preserve">Blb Associes</v>
      </c>
      <c r="G3108" s="4" t="s">
        <v>23185</v>
      </c>
      <c r="H3108" s="4">
        <v>13</v>
      </c>
      <c r="I3108" s="4" t="s">
        <v>4067</v>
      </c>
      <c r="J3108" s="4"/>
      <c r="K3108" s="5" t="s">
        <v>23186</v>
      </c>
      <c r="L3108" s="5" t="s">
        <v>23187</v>
      </c>
      <c r="M3108" s="4" t="s">
        <v>39</v>
      </c>
      <c r="N3108" s="4" t="s">
        <v>29</v>
      </c>
      <c r="O3108" s="4" t="s">
        <v>23188</v>
      </c>
      <c r="P3108" s="4" t="s">
        <v>29</v>
      </c>
      <c r="Q3108" s="6"/>
      <c r="R3108" s="6"/>
      <c r="S3108" s="6"/>
      <c r="T3108" s="6"/>
      <c r="U3108" s="6"/>
      <c r="V3108" s="6"/>
      <c r="W3108" s="6"/>
      <c r="X3108" s="6"/>
      <c r="Y3108" s="6"/>
      <c r="Z3108" s="6"/>
      <c r="AA3108" s="6"/>
    </row>
    <row r="3109" ht="14.25">
      <c r="B3109" s="4" t="s">
        <v>2419</v>
      </c>
      <c r="C3109" s="4" t="s">
        <v>23189</v>
      </c>
      <c r="D3109" s="4" t="s">
        <v>13389</v>
      </c>
      <c r="E3109" s="4" t="s">
        <v>23190</v>
      </c>
      <c r="F3109" s="4" t="str">
        <f>IFERROR(__XLUDF.DUMMYFUNCTION("PROPER(REGEXREPLACE(D825,""[^A-Za-z]+ "",""""))"),"Be'It")</f>
        <v>Be'It</v>
      </c>
      <c r="G3109" s="4" t="s">
        <v>23191</v>
      </c>
      <c r="H3109" s="4">
        <v>16</v>
      </c>
      <c r="I3109" s="4" t="s">
        <v>2602</v>
      </c>
      <c r="J3109" s="4"/>
      <c r="K3109" s="5" t="s">
        <v>23192</v>
      </c>
      <c r="L3109" s="5" t="s">
        <v>23193</v>
      </c>
      <c r="M3109" s="4" t="s">
        <v>846</v>
      </c>
      <c r="N3109" s="4" t="s">
        <v>29</v>
      </c>
      <c r="O3109" s="4" t="s">
        <v>23194</v>
      </c>
      <c r="P3109" s="4" t="s">
        <v>29</v>
      </c>
      <c r="Q3109" s="4" t="s">
        <v>23195</v>
      </c>
      <c r="R3109" s="6"/>
      <c r="S3109" s="6"/>
      <c r="T3109" s="6"/>
      <c r="U3109" s="6"/>
      <c r="V3109" s="6"/>
      <c r="W3109" s="6"/>
      <c r="X3109" s="6"/>
      <c r="Y3109" s="6"/>
      <c r="Z3109" s="6"/>
      <c r="AA3109" s="6"/>
    </row>
    <row r="3110" ht="14.25">
      <c r="B3110" s="4" t="s">
        <v>1732</v>
      </c>
      <c r="C3110" s="4" t="s">
        <v>23196</v>
      </c>
      <c r="D3110" s="4" t="s">
        <v>23197</v>
      </c>
      <c r="E3110" s="4" t="s">
        <v>23198</v>
      </c>
      <c r="F3110" s="4" t="str">
        <f>IFERROR(__XLUDF.DUMMYFUNCTION("PROPER(REGEXREPLACE(D826,""[^A-Za-z]+ "",""""))"),"Inneance")</f>
        <v>Inneance</v>
      </c>
      <c r="G3110" s="4" t="s">
        <v>23199</v>
      </c>
      <c r="H3110" s="4">
        <v>26</v>
      </c>
      <c r="I3110" s="4" t="s">
        <v>4067</v>
      </c>
      <c r="J3110" s="4" t="str">
        <f>IFERROR(__XLUDF.DUMMYFUNCTION("VLOOKUP(H826,IMPORTRANGE(""https://docs.google.com/spreadsheets/d/1opm6ZNvGZ7KditA9TuJwrZ25eFLfTNIkrNnY6mhV5Eg"",""list!A1:C115""),3,TRUE)"),"le secteur du conseil en management")</f>
        <v xml:space="preserve">le secteur du conseil en management</v>
      </c>
      <c r="K3110" s="5" t="s">
        <v>23200</v>
      </c>
      <c r="L3110" s="5" t="s">
        <v>23201</v>
      </c>
      <c r="M3110" s="4" t="s">
        <v>39</v>
      </c>
      <c r="N3110" s="4" t="s">
        <v>29</v>
      </c>
      <c r="O3110" s="4" t="s">
        <v>67</v>
      </c>
      <c r="P3110" s="4" t="s">
        <v>29</v>
      </c>
      <c r="Q3110" s="6"/>
      <c r="R3110" s="6"/>
      <c r="S3110" s="6"/>
      <c r="T3110" s="6"/>
      <c r="U3110" s="6"/>
      <c r="V3110" s="6"/>
      <c r="W3110" s="6"/>
      <c r="X3110" s="6"/>
      <c r="Y3110" s="6"/>
      <c r="Z3110" s="6"/>
      <c r="AA3110" s="6"/>
    </row>
    <row r="3111" ht="14.25">
      <c r="B3111" s="4" t="s">
        <v>1562</v>
      </c>
      <c r="C3111" s="4" t="s">
        <v>23202</v>
      </c>
      <c r="D3111" s="4" t="s">
        <v>172</v>
      </c>
      <c r="E3111" s="4" t="s">
        <v>18098</v>
      </c>
      <c r="F3111" s="4" t="str">
        <f>IFERROR(__XLUDF.DUMMYFUNCTION("PROPER(REGEXREPLACE(D827,""[^A-Za-z]+ "",""""))"),"Altsis")</f>
        <v>Altsis</v>
      </c>
      <c r="G3111" s="4" t="s">
        <v>23203</v>
      </c>
      <c r="H3111" s="4">
        <v>11</v>
      </c>
      <c r="I3111" s="4" t="s">
        <v>2602</v>
      </c>
      <c r="J3111" s="4" t="str">
        <f>IFERROR(__XLUDF.DUMMYFUNCTION("VLOOKUP(H827,IMPORTRANGE(""https://docs.google.com/spreadsheets/d/1opm6ZNvGZ7KditA9TuJwrZ25eFLfTNIkrNnY6mhV5Eg"",""list!A1:C115""),3,TRUE)"),"le secteur de la tech")</f>
        <v xml:space="preserve">le secteur de la tech</v>
      </c>
      <c r="K3111" s="5" t="s">
        <v>23204</v>
      </c>
      <c r="L3111" s="5" t="s">
        <v>18101</v>
      </c>
      <c r="M3111" s="4" t="s">
        <v>39</v>
      </c>
      <c r="N3111" s="4" t="s">
        <v>29</v>
      </c>
      <c r="O3111" s="4" t="s">
        <v>18103</v>
      </c>
      <c r="P3111" s="4" t="s">
        <v>29</v>
      </c>
      <c r="Q3111" s="4" t="s">
        <v>18104</v>
      </c>
      <c r="R3111" s="6"/>
      <c r="S3111" s="6"/>
      <c r="T3111" s="6"/>
      <c r="U3111" s="6"/>
      <c r="V3111" s="6"/>
      <c r="W3111" s="6"/>
      <c r="X3111" s="6"/>
      <c r="Y3111" s="6"/>
      <c r="Z3111" s="6"/>
      <c r="AA3111" s="6"/>
    </row>
    <row r="3112" ht="14.25">
      <c r="B3112" s="4" t="s">
        <v>5579</v>
      </c>
      <c r="C3112" s="4" t="s">
        <v>23205</v>
      </c>
      <c r="D3112" s="4" t="s">
        <v>23206</v>
      </c>
      <c r="E3112" s="4" t="s">
        <v>23207</v>
      </c>
      <c r="F3112" s="4" t="str">
        <f>IFERROR(__XLUDF.DUMMYFUNCTION("PROPER(REGEXREPLACE(D828,""[^A-Za-z]+ "",""""))"),"Meditech Access")</f>
        <v xml:space="preserve">Meditech Access</v>
      </c>
      <c r="G3112" s="4" t="s">
        <v>23208</v>
      </c>
      <c r="H3112" s="4">
        <v>20</v>
      </c>
      <c r="I3112" s="4" t="s">
        <v>4067</v>
      </c>
      <c r="J3112" s="4" t="str">
        <f>IFERROR(__XLUDF.DUMMYFUNCTION("VLOOKUP(H828,IMPORTRANGE(""https://docs.google.com/spreadsheets/d/1opm6ZNvGZ7KditA9TuJwrZ25eFLfTNIkrNnY6mhV5Eg"",""list!A1:C115""),3,TRUE)"),"le secteur du conseil en management")</f>
        <v xml:space="preserve">le secteur du conseil en management</v>
      </c>
      <c r="K3112" s="5" t="s">
        <v>23209</v>
      </c>
      <c r="L3112" s="5" t="s">
        <v>23210</v>
      </c>
      <c r="M3112" s="4" t="s">
        <v>39</v>
      </c>
      <c r="N3112" s="4" t="s">
        <v>29</v>
      </c>
      <c r="O3112" s="4" t="s">
        <v>23211</v>
      </c>
      <c r="P3112" s="4" t="s">
        <v>29</v>
      </c>
      <c r="Q3112" s="6"/>
      <c r="R3112" s="6"/>
      <c r="S3112" s="6"/>
      <c r="T3112" s="6"/>
      <c r="U3112" s="6"/>
      <c r="V3112" s="6"/>
      <c r="W3112" s="6"/>
      <c r="X3112" s="6"/>
      <c r="Y3112" s="6"/>
      <c r="Z3112" s="6"/>
      <c r="AA3112" s="6"/>
    </row>
    <row r="3113" ht="14.25">
      <c r="B3113" s="4" t="s">
        <v>23212</v>
      </c>
      <c r="C3113" s="4" t="s">
        <v>23213</v>
      </c>
      <c r="D3113" s="4" t="s">
        <v>23214</v>
      </c>
      <c r="E3113" s="4" t="s">
        <v>23215</v>
      </c>
      <c r="F3113" s="4" t="str">
        <f>IFERROR(__XLUDF.DUMMYFUNCTION("PROPER(REGEXREPLACE(D829,""[^A-Za-z]+ "",""""))"),"Dbm")</f>
        <v>Dbm</v>
      </c>
      <c r="G3113" s="4" t="s">
        <v>23216</v>
      </c>
      <c r="H3113" s="4">
        <v>30</v>
      </c>
      <c r="I3113" s="4" t="s">
        <v>2602</v>
      </c>
      <c r="J3113" s="4"/>
      <c r="K3113" s="5" t="s">
        <v>23217</v>
      </c>
      <c r="L3113" s="5" t="s">
        <v>23218</v>
      </c>
      <c r="M3113" s="6"/>
      <c r="N3113" s="4" t="s">
        <v>29</v>
      </c>
      <c r="O3113" s="4" t="s">
        <v>23219</v>
      </c>
      <c r="P3113" s="4" t="s">
        <v>29</v>
      </c>
      <c r="Q3113" s="4" t="s">
        <v>23220</v>
      </c>
      <c r="R3113" s="6"/>
      <c r="S3113" s="6"/>
      <c r="T3113" s="6"/>
      <c r="U3113" s="6"/>
      <c r="V3113" s="6"/>
      <c r="W3113" s="6"/>
      <c r="X3113" s="6"/>
      <c r="Y3113" s="6"/>
      <c r="Z3113" s="6"/>
      <c r="AA3113" s="6"/>
    </row>
    <row r="3114" ht="14.25">
      <c r="B3114" s="4" t="s">
        <v>355</v>
      </c>
      <c r="C3114" s="4" t="s">
        <v>23221</v>
      </c>
      <c r="D3114" s="4" t="s">
        <v>87</v>
      </c>
      <c r="E3114" s="4" t="s">
        <v>23222</v>
      </c>
      <c r="F3114" s="4" t="str">
        <f>IFERROR(__XLUDF.DUMMYFUNCTION("PROPER(REGEXREPLACE(D830,""[^A-Za-z]+ "",""""))"),"Wyll")</f>
        <v>Wyll</v>
      </c>
      <c r="G3114" s="4" t="s">
        <v>23223</v>
      </c>
      <c r="H3114" s="4">
        <v>36</v>
      </c>
      <c r="I3114" s="4" t="s">
        <v>2602</v>
      </c>
      <c r="J3114" s="4" t="str">
        <f>IFERROR(__XLUDF.DUMMYFUNCTION("VLOOKUP(H830,IMPORTRANGE(""https://docs.google.com/spreadsheets/d/1opm6ZNvGZ7KditA9TuJwrZ25eFLfTNIkrNnY6mhV5Eg"",""list!A1:C115""),3,TRUE)"),"le secteur de la tech")</f>
        <v xml:space="preserve">le secteur de la tech</v>
      </c>
      <c r="K3114" s="5" t="s">
        <v>23224</v>
      </c>
      <c r="L3114" s="5" t="s">
        <v>23225</v>
      </c>
      <c r="M3114" s="4" t="s">
        <v>83</v>
      </c>
      <c r="N3114" s="4" t="s">
        <v>29</v>
      </c>
      <c r="O3114" s="4" t="s">
        <v>23226</v>
      </c>
      <c r="P3114" s="4" t="s">
        <v>29</v>
      </c>
      <c r="Q3114" s="4" t="s">
        <v>23227</v>
      </c>
      <c r="R3114" s="6"/>
      <c r="S3114" s="6"/>
      <c r="T3114" s="6"/>
      <c r="U3114" s="6"/>
      <c r="V3114" s="6"/>
      <c r="W3114" s="6"/>
      <c r="X3114" s="6"/>
      <c r="Y3114" s="6"/>
      <c r="Z3114" s="6"/>
      <c r="AA3114" s="6"/>
    </row>
    <row r="3115" ht="14.25">
      <c r="B3115" s="4" t="s">
        <v>1732</v>
      </c>
      <c r="C3115" s="4" t="s">
        <v>23228</v>
      </c>
      <c r="D3115" s="4" t="s">
        <v>23229</v>
      </c>
      <c r="E3115" s="4" t="s">
        <v>23230</v>
      </c>
      <c r="F3115" s="4" t="str">
        <f>IFERROR(__XLUDF.DUMMYFUNCTION("PROPER(REGEXREPLACE(D831,""[^A-Za-z]+ "",""""))"),"Encaps")</f>
        <v>Encaps</v>
      </c>
      <c r="G3115" s="4" t="s">
        <v>23231</v>
      </c>
      <c r="H3115" s="4">
        <v>11</v>
      </c>
      <c r="I3115" s="4" t="s">
        <v>2602</v>
      </c>
      <c r="J3115" s="4" t="str">
        <f>IFERROR(__XLUDF.DUMMYFUNCTION("VLOOKUP(H831,IMPORTRANGE(""https://docs.google.com/spreadsheets/d/1opm6ZNvGZ7KditA9TuJwrZ25eFLfTNIkrNnY6mhV5Eg"",""list!A1:C115""),3,TRUE)"),"le secteur de la tech")</f>
        <v xml:space="preserve">le secteur de la tech</v>
      </c>
      <c r="K3115" s="5" t="s">
        <v>23232</v>
      </c>
      <c r="L3115" s="5" t="s">
        <v>23233</v>
      </c>
      <c r="M3115" s="4" t="s">
        <v>482</v>
      </c>
      <c r="N3115" s="4" t="s">
        <v>29</v>
      </c>
      <c r="O3115" s="4" t="s">
        <v>23234</v>
      </c>
      <c r="P3115" s="4" t="s">
        <v>29</v>
      </c>
      <c r="Q3115" s="6"/>
      <c r="R3115" s="6"/>
      <c r="S3115" s="6"/>
      <c r="T3115" s="6"/>
      <c r="U3115" s="6"/>
      <c r="V3115" s="6"/>
      <c r="W3115" s="6"/>
      <c r="X3115" s="6"/>
      <c r="Y3115" s="6"/>
      <c r="Z3115" s="6"/>
      <c r="AA3115" s="6"/>
    </row>
    <row r="3116" ht="14.25">
      <c r="B3116" s="4" t="s">
        <v>817</v>
      </c>
      <c r="C3116" s="4" t="s">
        <v>23235</v>
      </c>
      <c r="D3116" s="4" t="s">
        <v>172</v>
      </c>
      <c r="E3116" s="4" t="s">
        <v>23236</v>
      </c>
      <c r="F3116" s="4" t="str">
        <f>IFERROR(__XLUDF.DUMMYFUNCTION("PROPER(REGEXREPLACE(D832,""[^A-Za-z]+ "",""""))"),"Orkis")</f>
        <v>Orkis</v>
      </c>
      <c r="G3116" s="4" t="s">
        <v>23237</v>
      </c>
      <c r="H3116" s="4">
        <v>30</v>
      </c>
      <c r="I3116" s="4" t="s">
        <v>2602</v>
      </c>
      <c r="J3116" s="4" t="str">
        <f>IFERROR(__XLUDF.DUMMYFUNCTION("VLOOKUP(H832,IMPORTRANGE(""https://docs.google.com/spreadsheets/d/1opm6ZNvGZ7KditA9TuJwrZ25eFLfTNIkrNnY6mhV5Eg"",""list!A1:C115""),3,TRUE)"),"le secteur de la tech")</f>
        <v xml:space="preserve">le secteur de la tech</v>
      </c>
      <c r="K3116" s="5" t="s">
        <v>23238</v>
      </c>
      <c r="L3116" s="5" t="s">
        <v>23239</v>
      </c>
      <c r="M3116" s="6"/>
      <c r="N3116" s="4" t="s">
        <v>29</v>
      </c>
      <c r="O3116" s="4" t="s">
        <v>23240</v>
      </c>
      <c r="P3116" s="4" t="s">
        <v>29</v>
      </c>
      <c r="Q3116" s="4" t="s">
        <v>23241</v>
      </c>
      <c r="R3116" s="6"/>
      <c r="S3116" s="6"/>
      <c r="T3116" s="6"/>
      <c r="U3116" s="6"/>
      <c r="V3116" s="6"/>
      <c r="W3116" s="6"/>
      <c r="X3116" s="6"/>
      <c r="Y3116" s="6"/>
      <c r="Z3116" s="6"/>
      <c r="AA3116" s="6"/>
    </row>
    <row r="3117" ht="14.25">
      <c r="B3117" s="4" t="s">
        <v>23242</v>
      </c>
      <c r="C3117" s="4" t="s">
        <v>23243</v>
      </c>
      <c r="D3117" s="4" t="s">
        <v>887</v>
      </c>
      <c r="E3117" s="4" t="s">
        <v>23244</v>
      </c>
      <c r="F3117" s="4" t="str">
        <f>IFERROR(__XLUDF.DUMMYFUNCTION("PROPER(REGEXREPLACE(D833,""[^A-Za-z]+ "",""""))"),"Adbi")</f>
        <v>Adbi</v>
      </c>
      <c r="G3117" s="4" t="s">
        <v>23245</v>
      </c>
      <c r="H3117" s="4">
        <v>55</v>
      </c>
      <c r="I3117" s="4" t="s">
        <v>2602</v>
      </c>
      <c r="J3117" s="4"/>
      <c r="K3117" s="5" t="s">
        <v>23246</v>
      </c>
      <c r="L3117" s="5" t="s">
        <v>23247</v>
      </c>
      <c r="M3117" s="4" t="s">
        <v>39</v>
      </c>
      <c r="N3117" s="4" t="s">
        <v>29</v>
      </c>
      <c r="O3117" s="4" t="s">
        <v>23248</v>
      </c>
      <c r="P3117" s="4" t="s">
        <v>29</v>
      </c>
      <c r="Q3117" s="4" t="s">
        <v>23249</v>
      </c>
      <c r="R3117" s="6"/>
      <c r="S3117" s="6"/>
      <c r="T3117" s="6"/>
      <c r="U3117" s="6"/>
      <c r="V3117" s="6"/>
      <c r="W3117" s="6"/>
      <c r="X3117" s="6"/>
      <c r="Y3117" s="6"/>
      <c r="Z3117" s="6"/>
      <c r="AA3117" s="6"/>
    </row>
    <row r="3118" ht="14.25">
      <c r="B3118" s="4" t="s">
        <v>1198</v>
      </c>
      <c r="C3118" s="4" t="s">
        <v>8374</v>
      </c>
      <c r="D3118" s="4" t="s">
        <v>468</v>
      </c>
      <c r="E3118" s="4" t="s">
        <v>23250</v>
      </c>
      <c r="F3118" s="4" t="str">
        <f>IFERROR(__XLUDF.DUMMYFUNCTION("PROPER(REGEXREPLACE(D834,""[^A-Za-z]+ "",""""))"),"Cervval")</f>
        <v>Cervval</v>
      </c>
      <c r="G3118" s="4" t="s">
        <v>23251</v>
      </c>
      <c r="H3118" s="4">
        <v>44</v>
      </c>
      <c r="I3118" s="4" t="s">
        <v>2602</v>
      </c>
      <c r="J3118" s="4" t="str">
        <f>IFERROR(__XLUDF.DUMMYFUNCTION("VLOOKUP(H834,IMPORTRANGE(""https://docs.google.com/spreadsheets/d/1opm6ZNvGZ7KditA9TuJwrZ25eFLfTNIkrNnY6mhV5Eg"",""list!A1:C115""),3,TRUE)"),"le secteur de la tech")</f>
        <v xml:space="preserve">le secteur de la tech</v>
      </c>
      <c r="K3118" s="5" t="s">
        <v>23252</v>
      </c>
      <c r="L3118" s="5" t="s">
        <v>23253</v>
      </c>
      <c r="M3118" s="4" t="s">
        <v>439</v>
      </c>
      <c r="N3118" s="4" t="s">
        <v>29</v>
      </c>
      <c r="O3118" s="4" t="s">
        <v>23254</v>
      </c>
      <c r="P3118" s="4" t="s">
        <v>29</v>
      </c>
      <c r="Q3118" s="4" t="s">
        <v>23255</v>
      </c>
      <c r="R3118" s="6"/>
      <c r="S3118" s="6"/>
      <c r="T3118" s="6"/>
      <c r="U3118" s="6"/>
      <c r="V3118" s="6"/>
      <c r="W3118" s="6"/>
      <c r="X3118" s="6"/>
      <c r="Y3118" s="6"/>
      <c r="Z3118" s="6"/>
      <c r="AA3118" s="6"/>
    </row>
    <row r="3119" ht="14.25">
      <c r="B3119" s="4" t="s">
        <v>110</v>
      </c>
      <c r="C3119" s="4" t="s">
        <v>23256</v>
      </c>
      <c r="D3119" s="4" t="s">
        <v>315</v>
      </c>
      <c r="E3119" s="4" t="s">
        <v>23257</v>
      </c>
      <c r="F3119" s="4" t="str">
        <f>IFERROR(__XLUDF.DUMMYFUNCTION("PROPER(REGEXREPLACE(D835,""[^A-Za-z]+ "",""""))"),"Agorabox")</f>
        <v>Agorabox</v>
      </c>
      <c r="G3119" s="4" t="s">
        <v>23258</v>
      </c>
      <c r="H3119" s="4">
        <v>19</v>
      </c>
      <c r="I3119" s="6"/>
      <c r="J3119" s="6"/>
      <c r="K3119" s="5" t="s">
        <v>23259</v>
      </c>
      <c r="L3119" s="5" t="s">
        <v>23260</v>
      </c>
      <c r="M3119" s="6"/>
      <c r="N3119" s="4" t="s">
        <v>29</v>
      </c>
      <c r="O3119" s="4" t="s">
        <v>23261</v>
      </c>
      <c r="P3119" s="4" t="s">
        <v>29</v>
      </c>
      <c r="Q3119" s="6"/>
      <c r="R3119" s="6"/>
      <c r="S3119" s="6"/>
      <c r="T3119" s="6"/>
      <c r="U3119" s="6"/>
      <c r="V3119" s="6"/>
      <c r="W3119" s="6"/>
      <c r="X3119" s="6"/>
      <c r="Y3119" s="6"/>
      <c r="Z3119" s="6"/>
      <c r="AA3119" s="6"/>
    </row>
    <row r="3120" ht="14.25">
      <c r="B3120" s="4" t="s">
        <v>20</v>
      </c>
      <c r="C3120" s="4" t="s">
        <v>23262</v>
      </c>
      <c r="D3120" s="4" t="s">
        <v>172</v>
      </c>
      <c r="E3120" s="4" t="s">
        <v>23263</v>
      </c>
      <c r="F3120" s="4" t="str">
        <f>IFERROR(__XLUDF.DUMMYFUNCTION("PROPER(REGEXREPLACE(D836,""[^A-Za-z]+ "",""""))"),"Greencube")</f>
        <v>Greencube</v>
      </c>
      <c r="G3120" s="4" t="s">
        <v>23264</v>
      </c>
      <c r="H3120" s="4">
        <v>21</v>
      </c>
      <c r="I3120" s="4" t="s">
        <v>4525</v>
      </c>
      <c r="J3120" s="4" t="str">
        <f>IFERROR(__XLUDF.DUMMYFUNCTION("VLOOKUP(H836,IMPORTRANGE(""https://docs.google.com/spreadsheets/d/1opm6ZNvGZ7KditA9TuJwrZ25eFLfTNIkrNnY6mhV5Eg"",""list!A1:C115""),3,TRUE)"),"le secteur du retail")</f>
        <v xml:space="preserve">le secteur du retail</v>
      </c>
      <c r="K3120" s="5" t="s">
        <v>23265</v>
      </c>
      <c r="L3120" s="5" t="s">
        <v>23266</v>
      </c>
      <c r="M3120" s="4" t="s">
        <v>12946</v>
      </c>
      <c r="N3120" s="4" t="s">
        <v>29</v>
      </c>
      <c r="O3120" s="4" t="s">
        <v>23267</v>
      </c>
      <c r="P3120" s="4" t="s">
        <v>29</v>
      </c>
      <c r="Q3120" s="6"/>
      <c r="R3120" s="6"/>
      <c r="S3120" s="6"/>
      <c r="T3120" s="6"/>
      <c r="U3120" s="6"/>
      <c r="V3120" s="6"/>
      <c r="W3120" s="6"/>
      <c r="X3120" s="6"/>
      <c r="Y3120" s="6"/>
      <c r="Z3120" s="6"/>
      <c r="AA3120" s="6"/>
    </row>
    <row r="3121" ht="14.25">
      <c r="B3121" s="4" t="s">
        <v>5122</v>
      </c>
      <c r="C3121" s="4" t="s">
        <v>23268</v>
      </c>
      <c r="D3121" s="4" t="s">
        <v>44</v>
      </c>
      <c r="E3121" s="4" t="s">
        <v>23269</v>
      </c>
      <c r="F3121" s="4" t="str">
        <f>IFERROR(__XLUDF.DUMMYFUNCTION("PROPER(REGEXREPLACE(D837,""[^A-Za-z]+ "",""""))"),"Hurryman")</f>
        <v>Hurryman</v>
      </c>
      <c r="G3121" s="4" t="s">
        <v>23270</v>
      </c>
      <c r="H3121" s="4">
        <v>17</v>
      </c>
      <c r="I3121" s="4" t="s">
        <v>18063</v>
      </c>
      <c r="J3121" s="4"/>
      <c r="K3121" s="5" t="s">
        <v>23271</v>
      </c>
      <c r="L3121" s="5" t="s">
        <v>23272</v>
      </c>
      <c r="M3121" s="4" t="s">
        <v>39</v>
      </c>
      <c r="N3121" s="4" t="s">
        <v>29</v>
      </c>
      <c r="O3121" s="4" t="s">
        <v>23273</v>
      </c>
      <c r="P3121" s="4" t="s">
        <v>29</v>
      </c>
      <c r="Q3121" s="4" t="s">
        <v>23274</v>
      </c>
      <c r="R3121" s="6"/>
      <c r="S3121" s="6"/>
      <c r="T3121" s="6"/>
      <c r="U3121" s="6"/>
      <c r="V3121" s="6"/>
      <c r="W3121" s="6"/>
      <c r="X3121" s="6"/>
      <c r="Y3121" s="6"/>
      <c r="Z3121" s="6"/>
      <c r="AA3121" s="6"/>
    </row>
    <row r="3122" ht="14.25">
      <c r="B3122" s="4" t="s">
        <v>2419</v>
      </c>
      <c r="C3122" s="4" t="s">
        <v>23275</v>
      </c>
      <c r="D3122" s="4" t="s">
        <v>3505</v>
      </c>
      <c r="E3122" s="4" t="s">
        <v>23276</v>
      </c>
      <c r="F3122" s="4" t="str">
        <f>IFERROR(__XLUDF.DUMMYFUNCTION("PROPER(REGEXREPLACE(D838,""[^A-Za-z]+ "",""""))"),"Cyrias")</f>
        <v>Cyrias</v>
      </c>
      <c r="G3122" s="4" t="s">
        <v>23277</v>
      </c>
      <c r="H3122" s="4">
        <v>35</v>
      </c>
      <c r="I3122" s="4" t="s">
        <v>2602</v>
      </c>
      <c r="J3122" s="4"/>
      <c r="K3122" s="5" t="s">
        <v>23278</v>
      </c>
      <c r="L3122" s="5" t="s">
        <v>23279</v>
      </c>
      <c r="M3122" s="4" t="s">
        <v>39</v>
      </c>
      <c r="N3122" s="4" t="s">
        <v>29</v>
      </c>
      <c r="O3122" s="4" t="s">
        <v>23280</v>
      </c>
      <c r="P3122" s="4" t="s">
        <v>29</v>
      </c>
      <c r="Q3122" s="4" t="s">
        <v>23281</v>
      </c>
      <c r="R3122" s="6"/>
      <c r="S3122" s="6"/>
      <c r="T3122" s="6"/>
      <c r="U3122" s="6"/>
      <c r="V3122" s="6"/>
      <c r="W3122" s="6"/>
      <c r="X3122" s="6"/>
      <c r="Y3122" s="6"/>
      <c r="Z3122" s="6"/>
      <c r="AA3122" s="6"/>
    </row>
    <row r="3123" ht="14.25">
      <c r="B3123" s="4" t="s">
        <v>6788</v>
      </c>
      <c r="C3123" s="4" t="s">
        <v>5587</v>
      </c>
      <c r="D3123" s="4" t="s">
        <v>112</v>
      </c>
      <c r="E3123" s="4" t="s">
        <v>20083</v>
      </c>
      <c r="F3123" s="4" t="str">
        <f>IFERROR(__XLUDF.DUMMYFUNCTION("PROPER(REGEXREPLACE(D839,""[^A-Za-z]+ "",""""))"),"6Cure Sas")</f>
        <v xml:space="preserve">6Cure Sas</v>
      </c>
      <c r="G3123" s="4" t="s">
        <v>23282</v>
      </c>
      <c r="H3123" s="4">
        <v>16</v>
      </c>
      <c r="I3123" s="4" t="s">
        <v>9264</v>
      </c>
      <c r="J3123" s="4"/>
      <c r="K3123" s="5" t="s">
        <v>23283</v>
      </c>
      <c r="L3123" s="5" t="s">
        <v>20086</v>
      </c>
      <c r="M3123" s="4" t="s">
        <v>23284</v>
      </c>
      <c r="N3123" s="4" t="s">
        <v>29</v>
      </c>
      <c r="O3123" s="4" t="s">
        <v>20087</v>
      </c>
      <c r="P3123" s="4" t="s">
        <v>29</v>
      </c>
      <c r="Q3123" s="4" t="s">
        <v>20088</v>
      </c>
      <c r="R3123" s="6"/>
      <c r="S3123" s="6"/>
      <c r="T3123" s="6"/>
      <c r="U3123" s="6"/>
      <c r="V3123" s="6"/>
      <c r="W3123" s="6"/>
      <c r="X3123" s="6"/>
      <c r="Y3123" s="6"/>
      <c r="Z3123" s="6"/>
      <c r="AA3123" s="6"/>
    </row>
    <row r="3124" ht="14.25">
      <c r="B3124" s="4" t="s">
        <v>2119</v>
      </c>
      <c r="C3124" s="4" t="s">
        <v>21731</v>
      </c>
      <c r="D3124" s="4" t="s">
        <v>44</v>
      </c>
      <c r="E3124" s="4" t="s">
        <v>23285</v>
      </c>
      <c r="F3124" s="4" t="str">
        <f>IFERROR(__XLUDF.DUMMYFUNCTION("PROPER(REGEXREPLACE(D840,""[^A-Za-z]+ "",""""))"),"Data Driven")</f>
        <v xml:space="preserve">Data Driven</v>
      </c>
      <c r="G3124" s="4" t="s">
        <v>23286</v>
      </c>
      <c r="H3124" s="4">
        <v>16</v>
      </c>
      <c r="I3124" s="4" t="s">
        <v>2602</v>
      </c>
      <c r="J3124" s="4" t="str">
        <f>IFERROR(__XLUDF.DUMMYFUNCTION("VLOOKUP(H840,IMPORTRANGE(""https://docs.google.com/spreadsheets/d/1opm6ZNvGZ7KditA9TuJwrZ25eFLfTNIkrNnY6mhV5Eg"",""list!A1:C115""),3,TRUE)"),"le secteur de la tech")</f>
        <v xml:space="preserve">le secteur de la tech</v>
      </c>
      <c r="K3124" s="5" t="s">
        <v>23287</v>
      </c>
      <c r="L3124" s="5" t="s">
        <v>23288</v>
      </c>
      <c r="M3124" s="4" t="s">
        <v>39</v>
      </c>
      <c r="N3124" s="4" t="s">
        <v>29</v>
      </c>
      <c r="O3124" s="4" t="s">
        <v>23289</v>
      </c>
      <c r="P3124" s="4" t="s">
        <v>29</v>
      </c>
      <c r="Q3124" s="6"/>
      <c r="R3124" s="6"/>
      <c r="S3124" s="6"/>
      <c r="T3124" s="6"/>
      <c r="U3124" s="6"/>
      <c r="V3124" s="6"/>
      <c r="W3124" s="6"/>
      <c r="X3124" s="6"/>
      <c r="Y3124" s="6"/>
      <c r="Z3124" s="6"/>
      <c r="AA3124" s="6"/>
    </row>
    <row r="3125" ht="14.25">
      <c r="B3125" s="4" t="s">
        <v>785</v>
      </c>
      <c r="C3125" s="4" t="s">
        <v>23290</v>
      </c>
      <c r="D3125" s="4" t="s">
        <v>23291</v>
      </c>
      <c r="E3125" s="4" t="s">
        <v>23292</v>
      </c>
      <c r="F3125" s="4" t="str">
        <f>IFERROR(__XLUDF.DUMMYFUNCTION("PROPER(REGEXREPLACE(D841,""[^A-Za-z]+ "",""""))"),"Agence Magie Noire Designcommunication")</f>
        <v xml:space="preserve">Agence Magie Noire Designcommunication</v>
      </c>
      <c r="G3125" s="4" t="s">
        <v>23293</v>
      </c>
      <c r="H3125" s="4">
        <v>10</v>
      </c>
      <c r="I3125" s="4" t="s">
        <v>9161</v>
      </c>
      <c r="J3125" s="4" t="str">
        <f>IFERROR(__XLUDF.DUMMYFUNCTION("VLOOKUP(H841,IMPORTRANGE(""https://docs.google.com/spreadsheets/d/1opm6ZNvGZ7KditA9TuJwrZ25eFLfTNIkrNnY6mhV5Eg"",""list!A1:C115""),3,TRUE)"),"le secteur du marketing")</f>
        <v xml:space="preserve">le secteur du marketing</v>
      </c>
      <c r="K3125" s="5" t="s">
        <v>23294</v>
      </c>
      <c r="L3125" s="5" t="s">
        <v>23295</v>
      </c>
      <c r="M3125" s="4" t="s">
        <v>39</v>
      </c>
      <c r="N3125" s="4" t="s">
        <v>29</v>
      </c>
      <c r="O3125" s="4" t="s">
        <v>67</v>
      </c>
      <c r="P3125" s="4" t="s">
        <v>29</v>
      </c>
      <c r="Q3125" s="6"/>
      <c r="R3125" s="6"/>
      <c r="S3125" s="6"/>
      <c r="T3125" s="6"/>
      <c r="U3125" s="6"/>
      <c r="V3125" s="6"/>
      <c r="W3125" s="6"/>
      <c r="X3125" s="6"/>
      <c r="Y3125" s="6"/>
      <c r="Z3125" s="6"/>
      <c r="AA3125" s="6"/>
    </row>
    <row r="3126" ht="14.25">
      <c r="B3126" s="4" t="s">
        <v>20531</v>
      </c>
      <c r="C3126" s="4" t="s">
        <v>23296</v>
      </c>
      <c r="D3126" s="4" t="s">
        <v>44</v>
      </c>
      <c r="E3126" s="4" t="s">
        <v>23297</v>
      </c>
      <c r="F3126" s="4" t="str">
        <f>IFERROR(__XLUDF.DUMMYFUNCTION("PROPER(REGEXREPLACE(D842,""[^A-Za-z]+ "",""""))"),"Aour Legacy")</f>
        <v xml:space="preserve">Aour Legacy</v>
      </c>
      <c r="G3126" s="4" t="s">
        <v>23298</v>
      </c>
      <c r="H3126" s="4">
        <v>11</v>
      </c>
      <c r="I3126" s="4" t="s">
        <v>4067</v>
      </c>
      <c r="J3126" s="4" t="str">
        <f>IFERROR(__XLUDF.DUMMYFUNCTION("VLOOKUP(H842,IMPORTRANGE(""https://docs.google.com/spreadsheets/d/1opm6ZNvGZ7KditA9TuJwrZ25eFLfTNIkrNnY6mhV5Eg"",""list!A1:C115""),3,TRUE)"),"le secteur du conseil en management")</f>
        <v xml:space="preserve">le secteur du conseil en management</v>
      </c>
      <c r="K3126" s="5" t="s">
        <v>23299</v>
      </c>
      <c r="L3126" s="5" t="s">
        <v>23300</v>
      </c>
      <c r="M3126" s="4" t="s">
        <v>39</v>
      </c>
      <c r="N3126" s="4" t="s">
        <v>29</v>
      </c>
      <c r="O3126" s="4" t="s">
        <v>5694</v>
      </c>
      <c r="P3126" s="4" t="s">
        <v>29</v>
      </c>
      <c r="Q3126" s="6"/>
      <c r="R3126" s="6"/>
      <c r="S3126" s="6"/>
      <c r="T3126" s="6"/>
      <c r="U3126" s="6"/>
      <c r="V3126" s="6"/>
      <c r="W3126" s="6"/>
      <c r="X3126" s="6"/>
      <c r="Y3126" s="6"/>
      <c r="Z3126" s="6"/>
      <c r="AA3126" s="6"/>
    </row>
    <row r="3127" ht="14.25">
      <c r="B3127" s="4" t="s">
        <v>4500</v>
      </c>
      <c r="C3127" s="4" t="s">
        <v>23301</v>
      </c>
      <c r="D3127" s="4" t="s">
        <v>23302</v>
      </c>
      <c r="E3127" s="4" t="s">
        <v>19457</v>
      </c>
      <c r="F3127" s="4" t="str">
        <f>IFERROR(__XLUDF.DUMMYFUNCTION("PROPER(REGEXREPLACE(D843,""[^A-Za-z]+ "",""""))"),"Latour Media Group")</f>
        <v xml:space="preserve">Latour Media Group</v>
      </c>
      <c r="G3127" s="4" t="s">
        <v>23303</v>
      </c>
      <c r="H3127" s="4">
        <v>19</v>
      </c>
      <c r="I3127" s="4" t="s">
        <v>2602</v>
      </c>
      <c r="J3127" s="4" t="str">
        <f>IFERROR(__XLUDF.DUMMYFUNCTION("VLOOKUP(H843,IMPORTRANGE(""https://docs.google.com/spreadsheets/d/1opm6ZNvGZ7KditA9TuJwrZ25eFLfTNIkrNnY6mhV5Eg"",""list!A1:C115""),3,TRUE)"),"le secteur de la tech")</f>
        <v xml:space="preserve">le secteur de la tech</v>
      </c>
      <c r="K3127" s="5" t="s">
        <v>23304</v>
      </c>
      <c r="L3127" s="5" t="s">
        <v>19460</v>
      </c>
      <c r="M3127" s="4" t="s">
        <v>39</v>
      </c>
      <c r="N3127" s="4" t="s">
        <v>29</v>
      </c>
      <c r="O3127" s="6"/>
      <c r="P3127" s="6"/>
      <c r="Q3127" s="6"/>
      <c r="R3127" s="6"/>
      <c r="S3127" s="6"/>
      <c r="T3127" s="6"/>
      <c r="U3127" s="6"/>
      <c r="V3127" s="6"/>
      <c r="W3127" s="6"/>
      <c r="X3127" s="6"/>
      <c r="Y3127" s="6"/>
      <c r="Z3127" s="6"/>
      <c r="AA3127" s="6"/>
    </row>
    <row r="3128" ht="14.25">
      <c r="B3128" s="4" t="s">
        <v>23305</v>
      </c>
      <c r="C3128" s="4" t="s">
        <v>23306</v>
      </c>
      <c r="D3128" s="4" t="s">
        <v>172</v>
      </c>
      <c r="E3128" s="4" t="s">
        <v>23307</v>
      </c>
      <c r="F3128" s="4" t="str">
        <f>IFERROR(__XLUDF.DUMMYFUNCTION("PROPER(REGEXREPLACE(D844,""[^A-Za-z]+ "",""""))"),"Wikeys")</f>
        <v>Wikeys</v>
      </c>
      <c r="G3128" s="4" t="s">
        <v>23308</v>
      </c>
      <c r="H3128" s="4">
        <v>22</v>
      </c>
      <c r="I3128" s="4" t="s">
        <v>2602</v>
      </c>
      <c r="J3128" s="4"/>
      <c r="K3128" s="5" t="s">
        <v>23309</v>
      </c>
      <c r="L3128" s="5" t="s">
        <v>23310</v>
      </c>
      <c r="M3128" s="4" t="s">
        <v>4009</v>
      </c>
      <c r="N3128" s="4" t="s">
        <v>29</v>
      </c>
      <c r="O3128" s="4" t="s">
        <v>23311</v>
      </c>
      <c r="P3128" s="4" t="s">
        <v>29</v>
      </c>
      <c r="Q3128" s="6"/>
      <c r="R3128" s="6"/>
      <c r="S3128" s="6"/>
      <c r="T3128" s="6"/>
      <c r="U3128" s="6"/>
      <c r="V3128" s="6"/>
      <c r="W3128" s="6"/>
      <c r="X3128" s="6"/>
      <c r="Y3128" s="6"/>
      <c r="Z3128" s="6"/>
      <c r="AA3128" s="6"/>
    </row>
    <row r="3129" ht="14.25">
      <c r="B3129" s="4" t="s">
        <v>3850</v>
      </c>
      <c r="C3129" s="4" t="s">
        <v>23312</v>
      </c>
      <c r="D3129" s="4" t="s">
        <v>172</v>
      </c>
      <c r="E3129" s="4" t="s">
        <v>23313</v>
      </c>
      <c r="F3129" s="4" t="str">
        <f>IFERROR(__XLUDF.DUMMYFUNCTION("PROPER(REGEXREPLACE(D845,""[^A-Za-z]+ "",""""))"),"Créav")</f>
        <v>Créav</v>
      </c>
      <c r="G3129" s="4" t="s">
        <v>23314</v>
      </c>
      <c r="H3129" s="4">
        <v>11</v>
      </c>
      <c r="I3129" s="4" t="s">
        <v>9161</v>
      </c>
      <c r="J3129" s="4" t="str">
        <f>IFERROR(__XLUDF.DUMMYFUNCTION("VLOOKUP(H845,IMPORTRANGE(""https://docs.google.com/spreadsheets/d/1opm6ZNvGZ7KditA9TuJwrZ25eFLfTNIkrNnY6mhV5Eg"",""list!A1:C115""),3,TRUE)"),"le secteur du marketing")</f>
        <v xml:space="preserve">le secteur du marketing</v>
      </c>
      <c r="K3129" s="5" t="s">
        <v>23315</v>
      </c>
      <c r="L3129" s="5" t="s">
        <v>23316</v>
      </c>
      <c r="M3129" s="4" t="s">
        <v>6489</v>
      </c>
      <c r="N3129" s="4" t="s">
        <v>29</v>
      </c>
      <c r="O3129" s="4" t="s">
        <v>23317</v>
      </c>
      <c r="P3129" s="4" t="s">
        <v>29</v>
      </c>
      <c r="Q3129" s="4" t="s">
        <v>23318</v>
      </c>
      <c r="R3129" s="6"/>
      <c r="S3129" s="6"/>
      <c r="T3129" s="6"/>
      <c r="U3129" s="6"/>
      <c r="V3129" s="6"/>
      <c r="W3129" s="6"/>
      <c r="X3129" s="6"/>
      <c r="Y3129" s="6"/>
      <c r="Z3129" s="6"/>
      <c r="AA3129" s="6"/>
    </row>
    <row r="3130" ht="14.25">
      <c r="B3130" s="4" t="s">
        <v>110</v>
      </c>
      <c r="C3130" s="4" t="s">
        <v>6179</v>
      </c>
      <c r="D3130" s="4" t="s">
        <v>487</v>
      </c>
      <c r="E3130" s="4" t="s">
        <v>23319</v>
      </c>
      <c r="F3130" s="4" t="str">
        <f>IFERROR(__XLUDF.DUMMYFUNCTION("PROPER(REGEXREPLACE(D846,""[^A-Za-z]+ "",""""))"),"Menuiserie Moreau")</f>
        <v xml:space="preserve">Menuiserie Moreau</v>
      </c>
      <c r="G3130" s="4" t="s">
        <v>23320</v>
      </c>
      <c r="H3130" s="4">
        <v>20</v>
      </c>
      <c r="I3130" s="4" t="s">
        <v>4525</v>
      </c>
      <c r="J3130" s="4" t="str">
        <f>IFERROR(__XLUDF.DUMMYFUNCTION("VLOOKUP(H846,IMPORTRANGE(""https://docs.google.com/spreadsheets/d/1opm6ZNvGZ7KditA9TuJwrZ25eFLfTNIkrNnY6mhV5Eg"",""list!A1:C115""),3,TRUE)"),"le secteur du retail")</f>
        <v xml:space="preserve">le secteur du retail</v>
      </c>
      <c r="K3130" s="5" t="s">
        <v>23321</v>
      </c>
      <c r="L3130" s="5" t="s">
        <v>23322</v>
      </c>
      <c r="M3130" s="4" t="s">
        <v>23323</v>
      </c>
      <c r="N3130" s="4" t="s">
        <v>29</v>
      </c>
      <c r="O3130" s="4" t="s">
        <v>23324</v>
      </c>
      <c r="P3130" s="4" t="s">
        <v>29</v>
      </c>
      <c r="Q3130" s="6"/>
      <c r="R3130" s="6"/>
      <c r="S3130" s="6"/>
      <c r="T3130" s="6"/>
      <c r="U3130" s="6"/>
      <c r="V3130" s="6"/>
      <c r="W3130" s="6"/>
      <c r="X3130" s="6"/>
      <c r="Y3130" s="6"/>
      <c r="Z3130" s="6"/>
      <c r="AA3130" s="6"/>
    </row>
    <row r="3131" ht="14.25">
      <c r="B3131" s="4" t="s">
        <v>4169</v>
      </c>
      <c r="C3131" s="4" t="s">
        <v>801</v>
      </c>
      <c r="D3131" s="4" t="s">
        <v>23325</v>
      </c>
      <c r="E3131" s="4" t="s">
        <v>23326</v>
      </c>
      <c r="F3131" s="4" t="str">
        <f>IFERROR(__XLUDF.DUMMYFUNCTION("PROPER(REGEXREPLACE(D847,""[^A-Za-z]+ "",""""))"),"Molecule Science")</f>
        <v xml:space="preserve">Molecule Science</v>
      </c>
      <c r="G3131" s="4" t="s">
        <v>23327</v>
      </c>
      <c r="H3131" s="4">
        <v>23</v>
      </c>
      <c r="I3131" s="4" t="s">
        <v>9161</v>
      </c>
      <c r="J3131" s="4"/>
      <c r="K3131" s="5" t="s">
        <v>23328</v>
      </c>
      <c r="L3131" s="5" t="s">
        <v>23329</v>
      </c>
      <c r="M3131" s="4" t="s">
        <v>39</v>
      </c>
      <c r="N3131" s="4" t="s">
        <v>29</v>
      </c>
      <c r="O3131" s="4" t="s">
        <v>23330</v>
      </c>
      <c r="P3131" s="4" t="s">
        <v>29</v>
      </c>
      <c r="Q3131" s="4" t="s">
        <v>23331</v>
      </c>
      <c r="R3131" s="6"/>
      <c r="S3131" s="6"/>
      <c r="T3131" s="6"/>
      <c r="U3131" s="6"/>
      <c r="V3131" s="6"/>
      <c r="W3131" s="6"/>
      <c r="X3131" s="6"/>
      <c r="Y3131" s="6"/>
      <c r="Z3131" s="6"/>
      <c r="AA3131" s="6"/>
    </row>
    <row r="3132" ht="14.25">
      <c r="B3132" s="4" t="s">
        <v>8049</v>
      </c>
      <c r="C3132" s="4" t="s">
        <v>23332</v>
      </c>
      <c r="D3132" s="4" t="s">
        <v>23333</v>
      </c>
      <c r="E3132" s="4" t="s">
        <v>23334</v>
      </c>
      <c r="F3132" s="4" t="str">
        <f>IFERROR(__XLUDF.DUMMYFUNCTION("PROPER(REGEXREPLACE(D848,""[^A-Za-z]+ "",""""))"),"Idée Consultants")</f>
        <v xml:space="preserve">Idée Consultants</v>
      </c>
      <c r="G3132" s="4" t="s">
        <v>23335</v>
      </c>
      <c r="H3132" s="6"/>
      <c r="I3132" s="6"/>
      <c r="J3132" s="6"/>
      <c r="K3132" s="5" t="s">
        <v>23336</v>
      </c>
      <c r="L3132" s="5" t="s">
        <v>23337</v>
      </c>
      <c r="M3132" s="6"/>
      <c r="N3132" s="4" t="s">
        <v>29</v>
      </c>
      <c r="O3132" s="4" t="s">
        <v>23338</v>
      </c>
      <c r="P3132" s="4" t="s">
        <v>29</v>
      </c>
      <c r="Q3132" s="6"/>
      <c r="R3132" s="6"/>
      <c r="S3132" s="6"/>
      <c r="T3132" s="6"/>
      <c r="U3132" s="6"/>
      <c r="V3132" s="6"/>
      <c r="W3132" s="6"/>
      <c r="X3132" s="6"/>
      <c r="Y3132" s="6"/>
      <c r="Z3132" s="6"/>
      <c r="AA3132" s="6"/>
    </row>
    <row r="3133" ht="14.25">
      <c r="B3133" s="4" t="s">
        <v>3271</v>
      </c>
      <c r="C3133" s="4" t="s">
        <v>23339</v>
      </c>
      <c r="D3133" s="4" t="s">
        <v>23340</v>
      </c>
      <c r="E3133" s="4" t="s">
        <v>23341</v>
      </c>
      <c r="F3133" s="4" t="str">
        <f>IFERROR(__XLUDF.DUMMYFUNCTION("PROPER(REGEXREPLACE(D849,""[^A-Za-z]+ "",""""))"),"C6")</f>
        <v>C6</v>
      </c>
      <c r="G3133" s="4" t="s">
        <v>23342</v>
      </c>
      <c r="H3133" s="4">
        <v>24</v>
      </c>
      <c r="I3133" s="4" t="s">
        <v>2602</v>
      </c>
      <c r="J3133" s="4"/>
      <c r="K3133" s="5" t="s">
        <v>23343</v>
      </c>
      <c r="L3133" s="5" t="s">
        <v>23344</v>
      </c>
      <c r="M3133" s="4" t="s">
        <v>482</v>
      </c>
      <c r="N3133" s="4" t="s">
        <v>29</v>
      </c>
      <c r="O3133" s="4" t="s">
        <v>23345</v>
      </c>
      <c r="P3133" s="4" t="s">
        <v>29</v>
      </c>
      <c r="Q3133" s="4" t="s">
        <v>23346</v>
      </c>
      <c r="R3133" s="6"/>
      <c r="S3133" s="6"/>
      <c r="T3133" s="6"/>
      <c r="U3133" s="6"/>
      <c r="V3133" s="6"/>
      <c r="W3133" s="6"/>
      <c r="X3133" s="6"/>
      <c r="Y3133" s="6"/>
      <c r="Z3133" s="6"/>
      <c r="AA3133" s="6"/>
    </row>
    <row r="3134" ht="14.25">
      <c r="B3134" s="4" t="s">
        <v>955</v>
      </c>
      <c r="C3134" s="4" t="s">
        <v>23347</v>
      </c>
      <c r="D3134" s="4" t="s">
        <v>20857</v>
      </c>
      <c r="E3134" s="4" t="s">
        <v>23348</v>
      </c>
      <c r="F3134" s="4" t="str">
        <f>IFERROR(__XLUDF.DUMMYFUNCTION("PROPER(REGEXREPLACE(D850,""[^A-Za-z]+ "",""""))"),"Stendhal")</f>
        <v>Stendhal</v>
      </c>
      <c r="G3134" s="4" t="s">
        <v>23349</v>
      </c>
      <c r="H3134" s="4">
        <v>13</v>
      </c>
      <c r="I3134" s="4" t="s">
        <v>4067</v>
      </c>
      <c r="J3134" s="4"/>
      <c r="K3134" s="5" t="s">
        <v>23350</v>
      </c>
      <c r="L3134" s="5" t="s">
        <v>23351</v>
      </c>
      <c r="M3134" s="4" t="s">
        <v>243</v>
      </c>
      <c r="N3134" s="4" t="s">
        <v>29</v>
      </c>
      <c r="O3134" s="4" t="s">
        <v>929</v>
      </c>
      <c r="P3134" s="4" t="s">
        <v>29</v>
      </c>
      <c r="Q3134" s="4" t="s">
        <v>23352</v>
      </c>
      <c r="R3134" s="6"/>
      <c r="S3134" s="6"/>
      <c r="T3134" s="6"/>
      <c r="U3134" s="6"/>
      <c r="V3134" s="6"/>
      <c r="W3134" s="6"/>
      <c r="X3134" s="6"/>
      <c r="Y3134" s="6"/>
      <c r="Z3134" s="6"/>
      <c r="AA3134" s="6"/>
    </row>
    <row r="3135" ht="14.25">
      <c r="B3135" s="4" t="s">
        <v>385</v>
      </c>
      <c r="C3135" s="4" t="s">
        <v>11874</v>
      </c>
      <c r="D3135" s="4" t="s">
        <v>4586</v>
      </c>
      <c r="E3135" s="4" t="s">
        <v>23353</v>
      </c>
      <c r="F3135" s="4" t="str">
        <f>IFERROR(__XLUDF.DUMMYFUNCTION("PROPER(REGEXREPLACE(D851,""[^A-Za-z]+ "",""""))"),"Atipic")</f>
        <v>Atipic</v>
      </c>
      <c r="G3135" s="4" t="s">
        <v>23354</v>
      </c>
      <c r="H3135" s="4">
        <v>46</v>
      </c>
      <c r="I3135" s="4" t="s">
        <v>10639</v>
      </c>
      <c r="J3135" s="4" t="str">
        <f>IFERROR(__XLUDF.DUMMYFUNCTION("VLOOKUP(H851,IMPORTRANGE(""https://docs.google.com/spreadsheets/d/1opm6ZNvGZ7KditA9TuJwrZ25eFLfTNIkrNnY6mhV5Eg"",""list!A1:C115""),3,TRUE)"),"le secteur de la communication")</f>
        <v xml:space="preserve">le secteur de la communication</v>
      </c>
      <c r="K3135" s="5" t="s">
        <v>23355</v>
      </c>
      <c r="L3135" s="4" t="s">
        <v>23356</v>
      </c>
      <c r="M3135" s="4" t="s">
        <v>15292</v>
      </c>
      <c r="N3135" s="4" t="s">
        <v>29</v>
      </c>
      <c r="O3135" s="4" t="s">
        <v>6265</v>
      </c>
      <c r="P3135" s="4" t="s">
        <v>29</v>
      </c>
      <c r="Q3135" s="4" t="s">
        <v>23357</v>
      </c>
      <c r="R3135" s="6"/>
      <c r="S3135" s="6"/>
      <c r="T3135" s="6"/>
      <c r="U3135" s="6"/>
      <c r="V3135" s="6"/>
      <c r="W3135" s="6"/>
      <c r="X3135" s="6"/>
      <c r="Y3135" s="6"/>
      <c r="Z3135" s="6"/>
      <c r="AA3135" s="6"/>
    </row>
    <row r="3136" ht="14.25">
      <c r="B3136" s="4" t="s">
        <v>23358</v>
      </c>
      <c r="C3136" s="4" t="s">
        <v>23359</v>
      </c>
      <c r="D3136" s="4" t="s">
        <v>87</v>
      </c>
      <c r="E3136" s="4" t="s">
        <v>23360</v>
      </c>
      <c r="F3136" s="4" t="str">
        <f>IFERROR(__XLUDF.DUMMYFUNCTION("PROPER(REGEXREPLACE(D852,""[^A-Za-z]+ "",""""))"),"Gatling")</f>
        <v>Gatling</v>
      </c>
      <c r="G3136" s="4" t="s">
        <v>23361</v>
      </c>
      <c r="H3136" s="4">
        <v>52</v>
      </c>
      <c r="I3136" s="4" t="s">
        <v>2602</v>
      </c>
      <c r="J3136" s="4"/>
      <c r="K3136" s="5" t="s">
        <v>23362</v>
      </c>
      <c r="L3136" s="5" t="s">
        <v>23363</v>
      </c>
      <c r="M3136" s="4" t="s">
        <v>39</v>
      </c>
      <c r="N3136" s="4" t="s">
        <v>29</v>
      </c>
      <c r="O3136" s="4" t="s">
        <v>67</v>
      </c>
      <c r="P3136" s="4" t="s">
        <v>29</v>
      </c>
      <c r="Q3136" s="4" t="s">
        <v>23364</v>
      </c>
      <c r="R3136" s="6"/>
      <c r="S3136" s="6"/>
      <c r="T3136" s="6"/>
      <c r="U3136" s="6"/>
      <c r="V3136" s="6"/>
      <c r="W3136" s="6"/>
      <c r="X3136" s="6"/>
      <c r="Y3136" s="6"/>
      <c r="Z3136" s="6"/>
      <c r="AA3136" s="6"/>
    </row>
    <row r="3137" ht="14.25">
      <c r="B3137" s="4" t="s">
        <v>23365</v>
      </c>
      <c r="C3137" s="4" t="s">
        <v>23366</v>
      </c>
      <c r="D3137" s="4" t="s">
        <v>265</v>
      </c>
      <c r="E3137" s="4" t="s">
        <v>23367</v>
      </c>
      <c r="F3137" s="4" t="str">
        <f>IFERROR(__XLUDF.DUMMYFUNCTION("PROPER(REGEXREPLACE(D853,""[^A-Za-z]+ "",""""))"),"Wintics")</f>
        <v>Wintics</v>
      </c>
      <c r="G3137" s="4" t="s">
        <v>23368</v>
      </c>
      <c r="H3137" s="4">
        <v>16</v>
      </c>
      <c r="I3137" s="4" t="s">
        <v>2602</v>
      </c>
      <c r="J3137" s="4" t="str">
        <f>IFERROR(__XLUDF.DUMMYFUNCTION("VLOOKUP(H853,IMPORTRANGE(""https://docs.google.com/spreadsheets/d/1opm6ZNvGZ7KditA9TuJwrZ25eFLfTNIkrNnY6mhV5Eg"",""list!A1:C115""),3,TRUE)"),"le secteur de la tech")</f>
        <v xml:space="preserve">le secteur de la tech</v>
      </c>
      <c r="K3137" s="5" t="s">
        <v>23369</v>
      </c>
      <c r="L3137" s="5" t="s">
        <v>23370</v>
      </c>
      <c r="M3137" s="4" t="s">
        <v>39</v>
      </c>
      <c r="N3137" s="4" t="s">
        <v>29</v>
      </c>
      <c r="O3137" s="4" t="s">
        <v>23371</v>
      </c>
      <c r="P3137" s="4" t="s">
        <v>29</v>
      </c>
      <c r="Q3137" s="4" t="s">
        <v>23372</v>
      </c>
      <c r="R3137" s="6"/>
      <c r="S3137" s="6"/>
      <c r="T3137" s="6"/>
      <c r="U3137" s="6"/>
      <c r="V3137" s="6"/>
      <c r="W3137" s="6"/>
      <c r="X3137" s="6"/>
      <c r="Y3137" s="6"/>
      <c r="Z3137" s="6"/>
      <c r="AA3137" s="6"/>
    </row>
    <row r="3138" ht="14.25">
      <c r="B3138" s="4" t="s">
        <v>222</v>
      </c>
      <c r="C3138" s="4" t="s">
        <v>23373</v>
      </c>
      <c r="D3138" s="4" t="s">
        <v>23374</v>
      </c>
      <c r="E3138" s="4" t="s">
        <v>23341</v>
      </c>
      <c r="F3138" s="4" t="str">
        <f>IFERROR(__XLUDF.DUMMYFUNCTION("PROPER(REGEXREPLACE(D854,""[^A-Za-z]+ "",""""))"),"C6")</f>
        <v>C6</v>
      </c>
      <c r="G3138" s="4" t="s">
        <v>23375</v>
      </c>
      <c r="H3138" s="4">
        <v>24</v>
      </c>
      <c r="I3138" s="4" t="s">
        <v>2602</v>
      </c>
      <c r="J3138" s="4" t="str">
        <f>IFERROR(__XLUDF.DUMMYFUNCTION("VLOOKUP(H854,IMPORTRANGE(""https://docs.google.com/spreadsheets/d/1opm6ZNvGZ7KditA9TuJwrZ25eFLfTNIkrNnY6mhV5Eg"",""list!A1:C115""),3,TRUE)"),"le secteur de la tech")</f>
        <v xml:space="preserve">le secteur de la tech</v>
      </c>
      <c r="K3138" s="5" t="s">
        <v>23376</v>
      </c>
      <c r="L3138" s="5" t="s">
        <v>23344</v>
      </c>
      <c r="M3138" s="4" t="s">
        <v>482</v>
      </c>
      <c r="N3138" s="4" t="s">
        <v>29</v>
      </c>
      <c r="O3138" s="4" t="s">
        <v>23345</v>
      </c>
      <c r="P3138" s="4" t="s">
        <v>29</v>
      </c>
      <c r="Q3138" s="4" t="s">
        <v>23346</v>
      </c>
      <c r="R3138" s="6"/>
      <c r="S3138" s="6"/>
      <c r="T3138" s="6"/>
      <c r="U3138" s="6"/>
      <c r="V3138" s="6"/>
      <c r="W3138" s="6"/>
      <c r="X3138" s="6"/>
      <c r="Y3138" s="6"/>
      <c r="Z3138" s="6"/>
      <c r="AA3138" s="6"/>
    </row>
    <row r="3139" ht="14.25">
      <c r="B3139" s="4" t="s">
        <v>170</v>
      </c>
      <c r="C3139" s="4" t="s">
        <v>23377</v>
      </c>
      <c r="D3139" s="4" t="s">
        <v>23378</v>
      </c>
      <c r="E3139" s="4" t="s">
        <v>23379</v>
      </c>
      <c r="F3139" s="4" t="str">
        <f>IFERROR(__XLUDF.DUMMYFUNCTION("PROPER(REGEXREPLACE(D855,""[^A-Za-z]+ "",""""))"),"Pépin")</f>
        <v>Pépin</v>
      </c>
      <c r="G3139" s="4" t="s">
        <v>23380</v>
      </c>
      <c r="H3139" s="4">
        <v>18</v>
      </c>
      <c r="I3139" s="4" t="s">
        <v>4525</v>
      </c>
      <c r="J3139" s="4" t="str">
        <f>IFERROR(__XLUDF.DUMMYFUNCTION("VLOOKUP(H855,IMPORTRANGE(""https://docs.google.com/spreadsheets/d/1opm6ZNvGZ7KditA9TuJwrZ25eFLfTNIkrNnY6mhV5Eg"",""list!A1:C115""),3,TRUE)"),"le secteur du retail")</f>
        <v xml:space="preserve">le secteur du retail</v>
      </c>
      <c r="K3139" s="5" t="s">
        <v>23381</v>
      </c>
      <c r="L3139" s="5" t="s">
        <v>23382</v>
      </c>
      <c r="M3139" s="4" t="s">
        <v>39</v>
      </c>
      <c r="N3139" s="4" t="s">
        <v>29</v>
      </c>
      <c r="O3139" s="4" t="s">
        <v>23383</v>
      </c>
      <c r="P3139" s="4" t="s">
        <v>29</v>
      </c>
      <c r="Q3139" s="4" t="s">
        <v>23384</v>
      </c>
      <c r="R3139" s="6"/>
      <c r="S3139" s="6"/>
      <c r="T3139" s="6"/>
      <c r="U3139" s="6"/>
      <c r="V3139" s="6"/>
      <c r="W3139" s="6"/>
      <c r="X3139" s="6"/>
      <c r="Y3139" s="6"/>
      <c r="Z3139" s="6"/>
      <c r="AA3139" s="6"/>
    </row>
    <row r="3140" ht="14.25">
      <c r="B3140" s="4" t="s">
        <v>23385</v>
      </c>
      <c r="C3140" s="4" t="s">
        <v>23386</v>
      </c>
      <c r="D3140" s="4" t="s">
        <v>2636</v>
      </c>
      <c r="E3140" s="4" t="s">
        <v>23387</v>
      </c>
      <c r="F3140" s="4" t="str">
        <f>IFERROR(__XLUDF.DUMMYFUNCTION("PROPER(REGEXREPLACE(D856,""[^A-Za-z]+ "",""""))"),"Pilgrim Technology")</f>
        <v xml:space="preserve">Pilgrim Technology</v>
      </c>
      <c r="G3140" s="4" t="s">
        <v>23388</v>
      </c>
      <c r="H3140" s="4">
        <v>19</v>
      </c>
      <c r="I3140" s="4" t="s">
        <v>23389</v>
      </c>
      <c r="J3140" s="4"/>
      <c r="K3140" s="5" t="s">
        <v>23390</v>
      </c>
      <c r="L3140" s="5" t="s">
        <v>23391</v>
      </c>
      <c r="M3140" s="4" t="s">
        <v>1711</v>
      </c>
      <c r="N3140" s="4" t="s">
        <v>29</v>
      </c>
      <c r="O3140" s="4" t="s">
        <v>23392</v>
      </c>
      <c r="P3140" s="4" t="s">
        <v>29</v>
      </c>
      <c r="Q3140" s="6"/>
      <c r="R3140" s="6"/>
      <c r="S3140" s="6"/>
      <c r="T3140" s="6"/>
      <c r="U3140" s="6"/>
      <c r="V3140" s="6"/>
      <c r="W3140" s="6"/>
      <c r="X3140" s="6"/>
      <c r="Y3140" s="6"/>
      <c r="Z3140" s="6"/>
      <c r="AA3140" s="6"/>
    </row>
    <row r="3141" ht="14.25">
      <c r="B3141" s="4" t="s">
        <v>18168</v>
      </c>
      <c r="C3141" s="4" t="s">
        <v>23393</v>
      </c>
      <c r="D3141" s="4" t="s">
        <v>44</v>
      </c>
      <c r="E3141" s="4" t="s">
        <v>23394</v>
      </c>
      <c r="F3141" s="4" t="str">
        <f>IFERROR(__XLUDF.DUMMYFUNCTION("PROPER(REGEXREPLACE(D857,""[^A-Za-z]+ "",""""))"),"Smile Wanted")</f>
        <v xml:space="preserve">Smile Wanted</v>
      </c>
      <c r="G3141" s="4" t="s">
        <v>23395</v>
      </c>
      <c r="H3141" s="4">
        <v>18</v>
      </c>
      <c r="I3141" s="4" t="s">
        <v>2602</v>
      </c>
      <c r="J3141" s="4" t="str">
        <f>IFERROR(__XLUDF.DUMMYFUNCTION("VLOOKUP(H857,IMPORTRANGE(""https://docs.google.com/spreadsheets/d/1opm6ZNvGZ7KditA9TuJwrZ25eFLfTNIkrNnY6mhV5Eg"",""list!A1:C115""),3,TRUE)"),"le secteur de la tech")</f>
        <v xml:space="preserve">le secteur de la tech</v>
      </c>
      <c r="K3141" s="5" t="s">
        <v>23396</v>
      </c>
      <c r="L3141" s="5" t="s">
        <v>23397</v>
      </c>
      <c r="M3141" s="4" t="s">
        <v>39</v>
      </c>
      <c r="N3141" s="4" t="s">
        <v>29</v>
      </c>
      <c r="O3141" s="4" t="s">
        <v>23398</v>
      </c>
      <c r="P3141" s="4" t="s">
        <v>29</v>
      </c>
      <c r="Q3141" s="4" t="s">
        <v>11127</v>
      </c>
      <c r="R3141" s="6"/>
      <c r="S3141" s="6"/>
      <c r="T3141" s="6"/>
      <c r="U3141" s="6"/>
      <c r="V3141" s="6"/>
      <c r="W3141" s="6"/>
      <c r="X3141" s="6"/>
      <c r="Y3141" s="6"/>
      <c r="Z3141" s="6"/>
      <c r="AA3141" s="6"/>
    </row>
    <row r="3142" ht="14.25">
      <c r="B3142" s="4" t="s">
        <v>769</v>
      </c>
      <c r="C3142" s="4" t="s">
        <v>23399</v>
      </c>
      <c r="D3142" s="4" t="s">
        <v>23400</v>
      </c>
      <c r="E3142" s="4" t="s">
        <v>23401</v>
      </c>
      <c r="F3142" s="4" t="str">
        <f>IFERROR(__XLUDF.DUMMYFUNCTION("PROPER(REGEXREPLACE(D858,""[^A-Za-z]+ "",""""))"),"Cycling France")</f>
        <v xml:space="preserve">Cycling France</v>
      </c>
      <c r="G3142" s="4" t="s">
        <v>23402</v>
      </c>
      <c r="H3142" s="4">
        <v>22</v>
      </c>
      <c r="I3142" s="4" t="s">
        <v>4525</v>
      </c>
      <c r="J3142" s="4" t="str">
        <f>IFERROR(__XLUDF.DUMMYFUNCTION("VLOOKUP(H858,IMPORTRANGE(""https://docs.google.com/spreadsheets/d/1opm6ZNvGZ7KditA9TuJwrZ25eFLfTNIkrNnY6mhV5Eg"",""list!A1:C115""),3,TRUE)"),"le secteur du retail")</f>
        <v xml:space="preserve">le secteur du retail</v>
      </c>
      <c r="K3142" s="5" t="s">
        <v>23403</v>
      </c>
      <c r="L3142" s="5" t="s">
        <v>23404</v>
      </c>
      <c r="M3142" s="4" t="s">
        <v>482</v>
      </c>
      <c r="N3142" s="4" t="s">
        <v>29</v>
      </c>
      <c r="O3142" s="4" t="s">
        <v>23405</v>
      </c>
      <c r="P3142" s="4" t="s">
        <v>29</v>
      </c>
      <c r="Q3142" s="4" t="s">
        <v>23406</v>
      </c>
      <c r="R3142" s="6"/>
      <c r="S3142" s="6"/>
      <c r="T3142" s="6"/>
      <c r="U3142" s="6"/>
      <c r="V3142" s="6"/>
      <c r="W3142" s="6"/>
      <c r="X3142" s="6"/>
      <c r="Y3142" s="6"/>
      <c r="Z3142" s="6"/>
      <c r="AA3142" s="6"/>
    </row>
    <row r="3143" ht="14.25">
      <c r="B3143" s="4" t="s">
        <v>23407</v>
      </c>
      <c r="C3143" s="4" t="s">
        <v>23408</v>
      </c>
      <c r="D3143" s="4" t="s">
        <v>23409</v>
      </c>
      <c r="E3143" s="4" t="s">
        <v>23410</v>
      </c>
      <c r="F3143" s="4" t="str">
        <f>IFERROR(__XLUDF.DUMMYFUNCTION("PROPER(REGEXREPLACE(D859,""[^A-Za-z]+ "",""""))"),"Activo")</f>
        <v>Activo</v>
      </c>
      <c r="G3143" s="4" t="s">
        <v>23411</v>
      </c>
      <c r="H3143" s="4">
        <v>37</v>
      </c>
      <c r="I3143" s="4" t="s">
        <v>2602</v>
      </c>
      <c r="J3143" s="4"/>
      <c r="K3143" s="5" t="s">
        <v>23412</v>
      </c>
      <c r="L3143" s="5" t="s">
        <v>23413</v>
      </c>
      <c r="M3143" s="4" t="s">
        <v>39</v>
      </c>
      <c r="N3143" s="4" t="s">
        <v>29</v>
      </c>
      <c r="O3143" s="4" t="s">
        <v>23414</v>
      </c>
      <c r="P3143" s="4" t="s">
        <v>29</v>
      </c>
      <c r="Q3143" s="4" t="s">
        <v>23415</v>
      </c>
      <c r="R3143" s="6"/>
      <c r="S3143" s="6"/>
      <c r="T3143" s="6"/>
      <c r="U3143" s="6"/>
      <c r="V3143" s="6"/>
      <c r="W3143" s="6"/>
      <c r="X3143" s="6"/>
      <c r="Y3143" s="6"/>
      <c r="Z3143" s="6"/>
      <c r="AA3143" s="6"/>
    </row>
    <row r="3144" ht="14.25">
      <c r="B3144" s="4" t="s">
        <v>14741</v>
      </c>
      <c r="C3144" s="4" t="s">
        <v>23416</v>
      </c>
      <c r="D3144" s="4" t="s">
        <v>198</v>
      </c>
      <c r="E3144" s="5" t="s">
        <v>23417</v>
      </c>
      <c r="F3144" s="4" t="str">
        <f>IFERROR(__XLUDF.DUMMYFUNCTION("PROPER(REGEXREPLACE(D860,""[^A-Za-z]+ "",""""))"),"E-Testing")</f>
        <v>E-Testing</v>
      </c>
      <c r="G3144" s="4" t="s">
        <v>23418</v>
      </c>
      <c r="H3144" s="4">
        <v>24</v>
      </c>
      <c r="I3144" s="4" t="s">
        <v>2602</v>
      </c>
      <c r="J3144" s="4"/>
      <c r="K3144" s="5" t="s">
        <v>23419</v>
      </c>
      <c r="L3144" s="5" t="s">
        <v>23420</v>
      </c>
      <c r="M3144" s="4" t="s">
        <v>39</v>
      </c>
      <c r="N3144" s="4" t="s">
        <v>29</v>
      </c>
      <c r="O3144" s="4" t="s">
        <v>23421</v>
      </c>
      <c r="P3144" s="4" t="s">
        <v>29</v>
      </c>
      <c r="Q3144" s="4" t="s">
        <v>23422</v>
      </c>
      <c r="R3144" s="6"/>
      <c r="S3144" s="6"/>
      <c r="T3144" s="6"/>
      <c r="U3144" s="6"/>
      <c r="V3144" s="6"/>
      <c r="W3144" s="6"/>
      <c r="X3144" s="6"/>
      <c r="Y3144" s="6"/>
      <c r="Z3144" s="6"/>
      <c r="AA3144" s="6"/>
    </row>
    <row r="3145" ht="14.25">
      <c r="B3145" s="4" t="s">
        <v>1215</v>
      </c>
      <c r="C3145" s="4" t="s">
        <v>23423</v>
      </c>
      <c r="D3145" s="4" t="s">
        <v>341</v>
      </c>
      <c r="E3145" s="4" t="s">
        <v>23424</v>
      </c>
      <c r="F3145" s="4" t="str">
        <f>IFERROR(__XLUDF.DUMMYFUNCTION("PROPER(REGEXREPLACE(D861,""[^A-Za-z]+ "",""""))"),"Youtell")</f>
        <v>Youtell</v>
      </c>
      <c r="G3145" s="4" t="s">
        <v>23425</v>
      </c>
      <c r="H3145" s="4">
        <v>11</v>
      </c>
      <c r="I3145" s="4" t="s">
        <v>9264</v>
      </c>
      <c r="J3145" s="4" t="str">
        <f>IFERROR(__XLUDF.DUMMYFUNCTION("VLOOKUP(H861,IMPORTRANGE(""https://docs.google.com/spreadsheets/d/1opm6ZNvGZ7KditA9TuJwrZ25eFLfTNIkrNnY6mhV5Eg"",""list!A1:C115""),3,TRUE)"),"le secteur de la sécurité informatique")</f>
        <v xml:space="preserve">le secteur de la sécurité informatique</v>
      </c>
      <c r="K3145" s="5" t="s">
        <v>23426</v>
      </c>
      <c r="L3145" s="5" t="s">
        <v>23427</v>
      </c>
      <c r="M3145" s="4" t="s">
        <v>185</v>
      </c>
      <c r="N3145" s="4" t="s">
        <v>29</v>
      </c>
      <c r="O3145" s="4" t="s">
        <v>23428</v>
      </c>
      <c r="P3145" s="4" t="s">
        <v>15884</v>
      </c>
      <c r="Q3145" s="4" t="s">
        <v>23429</v>
      </c>
      <c r="R3145" s="6"/>
      <c r="S3145" s="6"/>
      <c r="T3145" s="6"/>
      <c r="U3145" s="6"/>
      <c r="V3145" s="6"/>
      <c r="W3145" s="6"/>
      <c r="X3145" s="6"/>
      <c r="Y3145" s="6"/>
      <c r="Z3145" s="6"/>
      <c r="AA3145" s="6"/>
    </row>
    <row r="3146" ht="14.25">
      <c r="B3146" s="4" t="s">
        <v>7323</v>
      </c>
      <c r="C3146" s="4" t="s">
        <v>4811</v>
      </c>
      <c r="D3146" s="4" t="s">
        <v>62</v>
      </c>
      <c r="E3146" s="4" t="s">
        <v>23430</v>
      </c>
      <c r="F3146" s="4" t="str">
        <f>IFERROR(__XLUDF.DUMMYFUNCTION("PROPER(REGEXREPLACE(D862,""[^A-Za-z]+ "",""""))"),"Les Jules")</f>
        <v xml:space="preserve">Les Jules</v>
      </c>
      <c r="G3146" s="4" t="s">
        <v>23431</v>
      </c>
      <c r="H3146" s="4">
        <v>23</v>
      </c>
      <c r="I3146" s="4" t="s">
        <v>4067</v>
      </c>
      <c r="J3146" s="4" t="str">
        <f>IFERROR(__XLUDF.DUMMYFUNCTION("VLOOKUP(H862,IMPORTRANGE(""https://docs.google.com/spreadsheets/d/1opm6ZNvGZ7KditA9TuJwrZ25eFLfTNIkrNnY6mhV5Eg"",""list!A1:C115""),3,TRUE)"),"le secteur du conseil en management")</f>
        <v xml:space="preserve">le secteur du conseil en management</v>
      </c>
      <c r="K3146" s="5" t="s">
        <v>23432</v>
      </c>
      <c r="L3146" s="5" t="s">
        <v>23433</v>
      </c>
      <c r="M3146" s="4" t="s">
        <v>39</v>
      </c>
      <c r="N3146" s="4" t="s">
        <v>29</v>
      </c>
      <c r="O3146" s="4" t="s">
        <v>23434</v>
      </c>
      <c r="P3146" s="4" t="s">
        <v>29</v>
      </c>
      <c r="Q3146" s="4" t="s">
        <v>23435</v>
      </c>
      <c r="R3146" s="6"/>
      <c r="S3146" s="6"/>
      <c r="T3146" s="6"/>
      <c r="U3146" s="6"/>
      <c r="V3146" s="6"/>
      <c r="W3146" s="6"/>
      <c r="X3146" s="6"/>
      <c r="Y3146" s="6"/>
      <c r="Z3146" s="6"/>
      <c r="AA3146" s="6"/>
    </row>
    <row r="3147" ht="14.25">
      <c r="B3147" s="4" t="s">
        <v>23436</v>
      </c>
      <c r="C3147" s="4" t="s">
        <v>23437</v>
      </c>
      <c r="D3147" s="4" t="s">
        <v>23438</v>
      </c>
      <c r="E3147" s="4" t="s">
        <v>23439</v>
      </c>
      <c r="F3147" s="4" t="str">
        <f>IFERROR(__XLUDF.DUMMYFUNCTION("PROPER(REGEXREPLACE(D863,""[^A-Za-z]+ "",""""))"),"Avea")</f>
        <v>Avea</v>
      </c>
      <c r="G3147" s="4" t="s">
        <v>23440</v>
      </c>
      <c r="H3147" s="4">
        <v>15</v>
      </c>
      <c r="I3147" s="4" t="s">
        <v>4067</v>
      </c>
      <c r="J3147" s="4"/>
      <c r="K3147" s="5" t="s">
        <v>23441</v>
      </c>
      <c r="L3147" s="5" t="s">
        <v>23442</v>
      </c>
      <c r="M3147" s="4" t="s">
        <v>39</v>
      </c>
      <c r="N3147" s="4" t="s">
        <v>29</v>
      </c>
      <c r="O3147" s="4" t="s">
        <v>23443</v>
      </c>
      <c r="P3147" s="4" t="s">
        <v>29</v>
      </c>
      <c r="Q3147" s="4" t="s">
        <v>23444</v>
      </c>
      <c r="R3147" s="6"/>
      <c r="S3147" s="6"/>
      <c r="T3147" s="6"/>
      <c r="U3147" s="6"/>
      <c r="V3147" s="6"/>
      <c r="W3147" s="6"/>
      <c r="X3147" s="6"/>
      <c r="Y3147" s="6"/>
      <c r="Z3147" s="6"/>
      <c r="AA3147" s="6"/>
    </row>
    <row r="3148" ht="14.25">
      <c r="B3148" s="4" t="s">
        <v>3164</v>
      </c>
      <c r="C3148" s="4" t="s">
        <v>3165</v>
      </c>
      <c r="D3148" s="4" t="s">
        <v>112</v>
      </c>
      <c r="E3148" s="4" t="s">
        <v>23445</v>
      </c>
      <c r="F3148" s="4" t="str">
        <f>IFERROR(__XLUDF.DUMMYFUNCTION("PROPER(REGEXREPLACE(D864,""[^A-Za-z]+ "",""""))"),"Smib")</f>
        <v>Smib</v>
      </c>
      <c r="G3148" s="4" t="s">
        <v>23446</v>
      </c>
      <c r="H3148" s="4">
        <v>31</v>
      </c>
      <c r="I3148" s="4" t="s">
        <v>4067</v>
      </c>
      <c r="J3148" s="4"/>
      <c r="K3148" s="5" t="s">
        <v>23447</v>
      </c>
      <c r="L3148" s="5" t="s">
        <v>23448</v>
      </c>
      <c r="M3148" s="4" t="s">
        <v>1711</v>
      </c>
      <c r="N3148" s="4" t="s">
        <v>29</v>
      </c>
      <c r="O3148" s="4" t="s">
        <v>23449</v>
      </c>
      <c r="P3148" s="4" t="s">
        <v>29</v>
      </c>
      <c r="Q3148" s="4" t="s">
        <v>23450</v>
      </c>
      <c r="R3148" s="6"/>
      <c r="S3148" s="6"/>
      <c r="T3148" s="6"/>
      <c r="U3148" s="6"/>
      <c r="V3148" s="6"/>
      <c r="W3148" s="6"/>
      <c r="X3148" s="6"/>
      <c r="Y3148" s="6"/>
      <c r="Z3148" s="6"/>
      <c r="AA3148" s="6"/>
    </row>
    <row r="3149" ht="14.25">
      <c r="B3149" s="4" t="s">
        <v>670</v>
      </c>
      <c r="C3149" s="4" t="s">
        <v>23451</v>
      </c>
      <c r="D3149" s="4" t="s">
        <v>172</v>
      </c>
      <c r="E3149" s="4" t="s">
        <v>23452</v>
      </c>
      <c r="F3149" s="4" t="str">
        <f>IFERROR(__XLUDF.DUMMYFUNCTION("PROPER(REGEXREPLACE(D865,""[^A-Za-z]+ "",""""))"),"Belacom")</f>
        <v>Belacom</v>
      </c>
      <c r="G3149" s="4" t="s">
        <v>23453</v>
      </c>
      <c r="H3149" s="4">
        <v>36</v>
      </c>
      <c r="I3149" s="4" t="s">
        <v>9161</v>
      </c>
      <c r="J3149" s="4" t="str">
        <f>IFERROR(__XLUDF.DUMMYFUNCTION("VLOOKUP(H865,IMPORTRANGE(""https://docs.google.com/spreadsheets/d/1opm6ZNvGZ7KditA9TuJwrZ25eFLfTNIkrNnY6mhV5Eg"",""list!A1:C115""),3,TRUE)"),"le secteur du marketing")</f>
        <v xml:space="preserve">le secteur du marketing</v>
      </c>
      <c r="K3149" s="5" t="s">
        <v>23454</v>
      </c>
      <c r="L3149" s="5" t="s">
        <v>23455</v>
      </c>
      <c r="M3149" s="6"/>
      <c r="N3149" s="4" t="s">
        <v>29</v>
      </c>
      <c r="O3149" s="4" t="s">
        <v>17847</v>
      </c>
      <c r="P3149" s="4" t="s">
        <v>29</v>
      </c>
      <c r="Q3149" s="4" t="s">
        <v>23456</v>
      </c>
      <c r="R3149" s="6"/>
      <c r="S3149" s="6"/>
      <c r="T3149" s="6"/>
      <c r="U3149" s="6"/>
      <c r="V3149" s="6"/>
      <c r="W3149" s="6"/>
      <c r="X3149" s="6"/>
      <c r="Y3149" s="6"/>
      <c r="Z3149" s="6"/>
      <c r="AA3149" s="6"/>
    </row>
    <row r="3150" ht="14.25">
      <c r="B3150" s="4" t="s">
        <v>785</v>
      </c>
      <c r="C3150" s="4" t="s">
        <v>23457</v>
      </c>
      <c r="D3150" s="4" t="s">
        <v>1130</v>
      </c>
      <c r="E3150" s="4" t="s">
        <v>23458</v>
      </c>
      <c r="F3150" s="4" t="str">
        <f>IFERROR(__XLUDF.DUMMYFUNCTION("PROPER(REGEXREPLACE(D866,""[^A-Za-z]+ "",""""))"),"Mon Mobile.Pro")</f>
        <v xml:space="preserve">Mon Mobile.Pro</v>
      </c>
      <c r="G3150" s="4" t="s">
        <v>23459</v>
      </c>
      <c r="H3150" s="4">
        <v>11</v>
      </c>
      <c r="I3150" s="4" t="s">
        <v>9184</v>
      </c>
      <c r="J3150" s="4"/>
      <c r="K3150" s="5" t="s">
        <v>23460</v>
      </c>
      <c r="L3150" s="5" t="s">
        <v>23461</v>
      </c>
      <c r="M3150" s="4" t="s">
        <v>39</v>
      </c>
      <c r="N3150" s="4" t="s">
        <v>29</v>
      </c>
      <c r="O3150" s="4" t="s">
        <v>23462</v>
      </c>
      <c r="P3150" s="4" t="s">
        <v>29</v>
      </c>
      <c r="Q3150" s="6"/>
      <c r="R3150" s="6"/>
      <c r="S3150" s="6"/>
      <c r="T3150" s="6"/>
      <c r="U3150" s="6"/>
      <c r="V3150" s="6"/>
      <c r="W3150" s="6"/>
      <c r="X3150" s="6"/>
      <c r="Y3150" s="6"/>
      <c r="Z3150" s="6"/>
      <c r="AA3150" s="6"/>
    </row>
    <row r="3151" ht="14.25">
      <c r="B3151" s="4" t="s">
        <v>5728</v>
      </c>
      <c r="C3151" s="4" t="s">
        <v>23463</v>
      </c>
      <c r="D3151" s="4" t="s">
        <v>23464</v>
      </c>
      <c r="E3151" s="4" t="s">
        <v>23465</v>
      </c>
      <c r="F3151" s="4" t="str">
        <f>IFERROR(__XLUDF.DUMMYFUNCTION("PROPER(REGEXREPLACE(D867,""[^A-Za-z]+ "",""""))"),"Fasfox")</f>
        <v>Fasfox</v>
      </c>
      <c r="G3151" s="4" t="s">
        <v>23466</v>
      </c>
      <c r="H3151" s="4">
        <v>16</v>
      </c>
      <c r="I3151" s="4" t="s">
        <v>2602</v>
      </c>
      <c r="J3151" s="4"/>
      <c r="K3151" s="5" t="s">
        <v>23467</v>
      </c>
      <c r="L3151" s="5" t="s">
        <v>23468</v>
      </c>
      <c r="M3151" s="6"/>
      <c r="N3151" s="4" t="s">
        <v>29</v>
      </c>
      <c r="O3151" s="4" t="s">
        <v>5855</v>
      </c>
      <c r="P3151" s="4" t="s">
        <v>29</v>
      </c>
      <c r="Q3151" s="4" t="s">
        <v>23469</v>
      </c>
      <c r="R3151" s="6"/>
      <c r="S3151" s="6"/>
      <c r="T3151" s="6"/>
      <c r="U3151" s="6"/>
      <c r="V3151" s="6"/>
      <c r="W3151" s="6"/>
      <c r="X3151" s="6"/>
      <c r="Y3151" s="6"/>
      <c r="Z3151" s="6"/>
      <c r="AA3151" s="6"/>
    </row>
    <row r="3152" ht="14.25">
      <c r="B3152" s="4" t="s">
        <v>23470</v>
      </c>
      <c r="C3152" s="4" t="s">
        <v>23471</v>
      </c>
      <c r="D3152" s="4" t="s">
        <v>17579</v>
      </c>
      <c r="E3152" s="4" t="s">
        <v>23472</v>
      </c>
      <c r="F3152" s="4" t="str">
        <f>IFERROR(__XLUDF.DUMMYFUNCTION("PROPER(REGEXREPLACE(D868,""[^A-Za-z]+ "",""""))"),"Elysium Security")</f>
        <v xml:space="preserve">Elysium Security</v>
      </c>
      <c r="G3152" s="4" t="s">
        <v>23473</v>
      </c>
      <c r="H3152" s="4">
        <v>21</v>
      </c>
      <c r="I3152" s="4" t="s">
        <v>9264</v>
      </c>
      <c r="J3152" s="4" t="str">
        <f>IFERROR(__XLUDF.DUMMYFUNCTION("VLOOKUP(H868,IMPORTRANGE(""https://docs.google.com/spreadsheets/d/1opm6ZNvGZ7KditA9TuJwrZ25eFLfTNIkrNnY6mhV5Eg"",""list!A1:C115""),3,TRUE)"),"le secteur de la sécurité informatique")</f>
        <v xml:space="preserve">le secteur de la sécurité informatique</v>
      </c>
      <c r="K3152" s="5" t="s">
        <v>23474</v>
      </c>
      <c r="L3152" s="5" t="s">
        <v>23475</v>
      </c>
      <c r="M3152" s="4" t="s">
        <v>185</v>
      </c>
      <c r="N3152" s="4" t="s">
        <v>29</v>
      </c>
      <c r="O3152" s="4" t="s">
        <v>23476</v>
      </c>
      <c r="P3152" s="4" t="s">
        <v>29</v>
      </c>
      <c r="Q3152" s="4" t="s">
        <v>23477</v>
      </c>
      <c r="R3152" s="6"/>
      <c r="S3152" s="6"/>
      <c r="T3152" s="6"/>
      <c r="U3152" s="6"/>
      <c r="V3152" s="6"/>
      <c r="W3152" s="6"/>
      <c r="X3152" s="6"/>
      <c r="Y3152" s="6"/>
      <c r="Z3152" s="6"/>
      <c r="AA3152" s="6"/>
    </row>
    <row r="3153" ht="14.25">
      <c r="B3153" s="4" t="s">
        <v>23478</v>
      </c>
      <c r="C3153" s="4" t="s">
        <v>23479</v>
      </c>
      <c r="D3153" s="4" t="s">
        <v>5480</v>
      </c>
      <c r="E3153" s="4" t="s">
        <v>23480</v>
      </c>
      <c r="F3153" s="4" t="str">
        <f>IFERROR(__XLUDF.DUMMYFUNCTION("PROPER(REGEXREPLACE(D869,""[^A-Za-z]+ "",""""))"),"Caveo Consulting")</f>
        <v xml:space="preserve">Caveo Consulting</v>
      </c>
      <c r="G3153" s="4" t="s">
        <v>23481</v>
      </c>
      <c r="H3153" s="4">
        <v>18</v>
      </c>
      <c r="I3153" s="4" t="s">
        <v>2602</v>
      </c>
      <c r="J3153" s="4"/>
      <c r="K3153" s="5" t="s">
        <v>23482</v>
      </c>
      <c r="L3153" s="5" t="s">
        <v>23483</v>
      </c>
      <c r="M3153" s="4" t="s">
        <v>185</v>
      </c>
      <c r="N3153" s="4" t="s">
        <v>29</v>
      </c>
      <c r="O3153" s="4" t="s">
        <v>23484</v>
      </c>
      <c r="P3153" s="4" t="s">
        <v>29</v>
      </c>
      <c r="Q3153" s="4" t="s">
        <v>23485</v>
      </c>
      <c r="R3153" s="6"/>
      <c r="S3153" s="6"/>
      <c r="T3153" s="6"/>
      <c r="U3153" s="6"/>
      <c r="V3153" s="6"/>
      <c r="W3153" s="6"/>
      <c r="X3153" s="6"/>
      <c r="Y3153" s="6"/>
      <c r="Z3153" s="6"/>
      <c r="AA3153" s="6"/>
    </row>
    <row r="3154" ht="14.25">
      <c r="B3154" s="4" t="s">
        <v>2299</v>
      </c>
      <c r="C3154" s="4" t="s">
        <v>23486</v>
      </c>
      <c r="D3154" s="4" t="s">
        <v>23487</v>
      </c>
      <c r="E3154" s="4" t="s">
        <v>21700</v>
      </c>
      <c r="F3154" s="4" t="str">
        <f>IFERROR(__XLUDF.DUMMYFUNCTION("PROPER(REGEXREPLACE(D870,""[^A-Za-z]+ "",""""))"),"Kabaun")</f>
        <v>Kabaun</v>
      </c>
      <c r="G3154" s="4" t="s">
        <v>23488</v>
      </c>
      <c r="H3154" s="4">
        <v>12</v>
      </c>
      <c r="I3154" s="4" t="s">
        <v>2602</v>
      </c>
      <c r="J3154" s="4" t="str">
        <f>IFERROR(__XLUDF.DUMMYFUNCTION("VLOOKUP(H870,IMPORTRANGE(""https://docs.google.com/spreadsheets/d/1opm6ZNvGZ7KditA9TuJwrZ25eFLfTNIkrNnY6mhV5Eg"",""list!A1:C115""),3,TRUE)"),"le secteur de la tech")</f>
        <v xml:space="preserve">le secteur de la tech</v>
      </c>
      <c r="K3154" s="5" t="s">
        <v>23489</v>
      </c>
      <c r="L3154" s="5" t="s">
        <v>21703</v>
      </c>
      <c r="M3154" s="4" t="s">
        <v>39</v>
      </c>
      <c r="N3154" s="4" t="s">
        <v>29</v>
      </c>
      <c r="O3154" s="4" t="s">
        <v>21704</v>
      </c>
      <c r="P3154" s="4" t="s">
        <v>29</v>
      </c>
      <c r="Q3154" s="4" t="s">
        <v>21705</v>
      </c>
      <c r="R3154" s="6"/>
      <c r="S3154" s="6"/>
      <c r="T3154" s="6"/>
      <c r="U3154" s="6"/>
      <c r="V3154" s="6"/>
      <c r="W3154" s="6"/>
      <c r="X3154" s="6"/>
      <c r="Y3154" s="6"/>
      <c r="Z3154" s="6"/>
      <c r="AA3154" s="6"/>
    </row>
    <row r="3155" ht="14.25">
      <c r="B3155" s="4" t="s">
        <v>963</v>
      </c>
      <c r="C3155" s="4" t="s">
        <v>539</v>
      </c>
      <c r="D3155" s="4" t="s">
        <v>23490</v>
      </c>
      <c r="E3155" s="4" t="s">
        <v>18149</v>
      </c>
      <c r="F3155" s="4" t="str">
        <f>IFERROR(__XLUDF.DUMMYFUNCTION("PROPER(REGEXREPLACE(D871,""[^A-Za-z]+ "",""""))"),"Limestreams")</f>
        <v>Limestreams</v>
      </c>
      <c r="G3155" s="4" t="s">
        <v>23491</v>
      </c>
      <c r="H3155" s="4">
        <v>15</v>
      </c>
      <c r="I3155" s="4" t="s">
        <v>4067</v>
      </c>
      <c r="J3155" s="4" t="str">
        <f>IFERROR(__XLUDF.DUMMYFUNCTION("VLOOKUP(H871,IMPORTRANGE(""https://docs.google.com/spreadsheets/d/1opm6ZNvGZ7KditA9TuJwrZ25eFLfTNIkrNnY6mhV5Eg"",""list!A1:C115""),3,TRUE)"),"le secteur du conseil en management")</f>
        <v xml:space="preserve">le secteur du conseil en management</v>
      </c>
      <c r="K3155" s="5" t="s">
        <v>23492</v>
      </c>
      <c r="L3155" s="5" t="s">
        <v>18152</v>
      </c>
      <c r="M3155" s="4" t="s">
        <v>39</v>
      </c>
      <c r="N3155" s="4" t="s">
        <v>29</v>
      </c>
      <c r="O3155" s="4" t="s">
        <v>18153</v>
      </c>
      <c r="P3155" s="4" t="s">
        <v>29</v>
      </c>
      <c r="Q3155" s="4" t="s">
        <v>18154</v>
      </c>
      <c r="R3155" s="6"/>
      <c r="S3155" s="6"/>
      <c r="T3155" s="6"/>
      <c r="U3155" s="6"/>
      <c r="V3155" s="6"/>
      <c r="W3155" s="6"/>
      <c r="X3155" s="6"/>
      <c r="Y3155" s="6"/>
      <c r="Z3155" s="6"/>
      <c r="AA3155" s="6"/>
    </row>
    <row r="3156" ht="14.25">
      <c r="B3156" s="4" t="s">
        <v>222</v>
      </c>
      <c r="C3156" s="4" t="s">
        <v>23493</v>
      </c>
      <c r="D3156" s="4" t="s">
        <v>1950</v>
      </c>
      <c r="E3156" s="4" t="s">
        <v>23494</v>
      </c>
      <c r="F3156" s="4" t="str">
        <f>IFERROR(__XLUDF.DUMMYFUNCTION("PROPER(REGEXREPLACE(D872,""[^A-Za-z]+ "",""""))"),"Latitude-Cartagène Cartographies")</f>
        <v xml:space="preserve">Latitude-Cartagène Cartographies</v>
      </c>
      <c r="G3156" s="4" t="s">
        <v>23495</v>
      </c>
      <c r="H3156" s="4">
        <v>30</v>
      </c>
      <c r="I3156" s="4" t="s">
        <v>2602</v>
      </c>
      <c r="J3156" s="4"/>
      <c r="K3156" s="5" t="s">
        <v>23496</v>
      </c>
      <c r="L3156" s="5" t="s">
        <v>23497</v>
      </c>
      <c r="M3156" s="4" t="s">
        <v>185</v>
      </c>
      <c r="N3156" s="4" t="s">
        <v>29</v>
      </c>
      <c r="O3156" s="4" t="s">
        <v>1283</v>
      </c>
      <c r="P3156" s="4" t="s">
        <v>29</v>
      </c>
      <c r="Q3156" s="4" t="s">
        <v>23498</v>
      </c>
      <c r="R3156" s="6"/>
      <c r="S3156" s="6"/>
      <c r="T3156" s="6"/>
      <c r="U3156" s="6"/>
      <c r="V3156" s="6"/>
      <c r="W3156" s="6"/>
      <c r="X3156" s="6"/>
      <c r="Y3156" s="6"/>
      <c r="Z3156" s="6"/>
      <c r="AA3156" s="6"/>
    </row>
    <row r="3157" ht="14.25">
      <c r="B3157" s="4" t="s">
        <v>2119</v>
      </c>
      <c r="C3157" s="4" t="s">
        <v>23499</v>
      </c>
      <c r="D3157" s="4" t="s">
        <v>87</v>
      </c>
      <c r="E3157" s="4" t="s">
        <v>23500</v>
      </c>
      <c r="F3157" s="4" t="str">
        <f>IFERROR(__XLUDF.DUMMYFUNCTION("PROPER(REGEXREPLACE(D873,""[^A-Za-z]+ "",""""))"),"The Innovation Loop")</f>
        <v xml:space="preserve">The Innovation Loop</v>
      </c>
      <c r="G3157" s="4" t="s">
        <v>23501</v>
      </c>
      <c r="H3157" s="4">
        <v>22</v>
      </c>
      <c r="I3157" s="4" t="s">
        <v>2602</v>
      </c>
      <c r="J3157" s="4" t="str">
        <f>IFERROR(__XLUDF.DUMMYFUNCTION("VLOOKUP(H873,IMPORTRANGE(""https://docs.google.com/spreadsheets/d/1opm6ZNvGZ7KditA9TuJwrZ25eFLfTNIkrNnY6mhV5Eg"",""list!A1:C115""),3,TRUE)"),"le secteur de la tech")</f>
        <v xml:space="preserve">le secteur de la tech</v>
      </c>
      <c r="K3157" s="5" t="s">
        <v>23502</v>
      </c>
      <c r="L3157" s="5" t="s">
        <v>23503</v>
      </c>
      <c r="M3157" s="6"/>
      <c r="N3157" s="4" t="s">
        <v>29</v>
      </c>
      <c r="O3157" s="4" t="s">
        <v>18845</v>
      </c>
      <c r="P3157" s="4" t="s">
        <v>29</v>
      </c>
      <c r="Q3157" s="4" t="s">
        <v>23504</v>
      </c>
      <c r="R3157" s="6"/>
      <c r="S3157" s="6"/>
      <c r="T3157" s="6"/>
      <c r="U3157" s="6"/>
      <c r="V3157" s="6"/>
      <c r="W3157" s="6"/>
      <c r="X3157" s="6"/>
      <c r="Y3157" s="6"/>
      <c r="Z3157" s="6"/>
      <c r="AA3157" s="6"/>
    </row>
    <row r="3158" ht="14.25">
      <c r="B3158" s="4" t="s">
        <v>1732</v>
      </c>
      <c r="C3158" s="4" t="s">
        <v>23505</v>
      </c>
      <c r="D3158" s="4" t="s">
        <v>23506</v>
      </c>
      <c r="E3158" s="4" t="s">
        <v>23507</v>
      </c>
      <c r="F3158" s="4" t="str">
        <f>IFERROR(__XLUDF.DUMMYFUNCTION("PROPER(REGEXREPLACE(D874,""[^A-Za-z]+ "",""""))"),"Digital Paca")</f>
        <v xml:space="preserve">Digital Paca</v>
      </c>
      <c r="G3158" s="4" t="s">
        <v>23508</v>
      </c>
      <c r="H3158" s="4">
        <v>8</v>
      </c>
      <c r="I3158" s="4" t="s">
        <v>2602</v>
      </c>
      <c r="J3158" s="4"/>
      <c r="K3158" s="5" t="s">
        <v>23509</v>
      </c>
      <c r="L3158" s="5" t="s">
        <v>23510</v>
      </c>
      <c r="M3158" s="4" t="s">
        <v>295</v>
      </c>
      <c r="N3158" s="4" t="s">
        <v>29</v>
      </c>
      <c r="O3158" s="4" t="s">
        <v>23511</v>
      </c>
      <c r="P3158" s="4" t="s">
        <v>29</v>
      </c>
      <c r="Q3158" s="4" t="s">
        <v>23512</v>
      </c>
      <c r="R3158" s="6"/>
      <c r="S3158" s="6"/>
      <c r="T3158" s="6"/>
      <c r="U3158" s="6"/>
      <c r="V3158" s="6"/>
      <c r="W3158" s="6"/>
      <c r="X3158" s="6"/>
      <c r="Y3158" s="6"/>
      <c r="Z3158" s="6"/>
      <c r="AA3158" s="6"/>
    </row>
    <row r="3159" ht="14.25">
      <c r="B3159" s="4" t="s">
        <v>670</v>
      </c>
      <c r="C3159" s="4" t="s">
        <v>23513</v>
      </c>
      <c r="D3159" s="4" t="s">
        <v>23514</v>
      </c>
      <c r="E3159" s="4" t="s">
        <v>23515</v>
      </c>
      <c r="F3159" s="4" t="str">
        <f>IFERROR(__XLUDF.DUMMYFUNCTION("PROPER(REGEXREPLACE(D875,""[^A-Za-z]+ "",""""))"),"Ephoto Dam")</f>
        <v xml:space="preserve">Ephoto Dam</v>
      </c>
      <c r="G3159" s="4" t="s">
        <v>23516</v>
      </c>
      <c r="H3159" s="4">
        <v>18</v>
      </c>
      <c r="I3159" s="4" t="s">
        <v>2602</v>
      </c>
      <c r="J3159" s="4" t="str">
        <f>IFERROR(__XLUDF.DUMMYFUNCTION("VLOOKUP(H875,IMPORTRANGE(""https://docs.google.com/spreadsheets/d/1opm6ZNvGZ7KditA9TuJwrZ25eFLfTNIkrNnY6mhV5Eg"",""list!A1:C115""),3,TRUE)"),"le secteur de la tech")</f>
        <v xml:space="preserve">le secteur de la tech</v>
      </c>
      <c r="K3159" s="5" t="s">
        <v>23517</v>
      </c>
      <c r="L3159" s="5" t="s">
        <v>23518</v>
      </c>
      <c r="M3159" s="4" t="s">
        <v>6777</v>
      </c>
      <c r="N3159" s="4" t="s">
        <v>29</v>
      </c>
      <c r="O3159" s="4" t="s">
        <v>23519</v>
      </c>
      <c r="P3159" s="4" t="s">
        <v>29</v>
      </c>
      <c r="Q3159" s="4" t="s">
        <v>23520</v>
      </c>
      <c r="R3159" s="6"/>
      <c r="S3159" s="6"/>
      <c r="T3159" s="6"/>
      <c r="U3159" s="6"/>
      <c r="V3159" s="6"/>
      <c r="W3159" s="6"/>
      <c r="X3159" s="6"/>
      <c r="Y3159" s="6"/>
      <c r="Z3159" s="6"/>
      <c r="AA3159" s="6"/>
    </row>
    <row r="3160" ht="14.25">
      <c r="B3160" s="4" t="s">
        <v>2652</v>
      </c>
      <c r="C3160" s="4" t="s">
        <v>23521</v>
      </c>
      <c r="D3160" s="4" t="s">
        <v>44</v>
      </c>
      <c r="E3160" s="4" t="s">
        <v>23522</v>
      </c>
      <c r="F3160" s="4" t="str">
        <f>IFERROR(__XLUDF.DUMMYFUNCTION("PROPER(REGEXREPLACE(D876,""[^A-Za-z]+ "",""""))"),"Elqano")</f>
        <v>Elqano</v>
      </c>
      <c r="G3160" s="4" t="s">
        <v>23523</v>
      </c>
      <c r="H3160" s="4">
        <v>14</v>
      </c>
      <c r="I3160" s="4" t="s">
        <v>2602</v>
      </c>
      <c r="J3160" s="4"/>
      <c r="K3160" s="5" t="s">
        <v>23524</v>
      </c>
      <c r="L3160" s="5" t="s">
        <v>23525</v>
      </c>
      <c r="M3160" s="4" t="s">
        <v>252</v>
      </c>
      <c r="N3160" s="4" t="s">
        <v>29</v>
      </c>
      <c r="O3160" s="4" t="s">
        <v>23526</v>
      </c>
      <c r="P3160" s="4" t="s">
        <v>29</v>
      </c>
      <c r="Q3160" s="4" t="s">
        <v>23527</v>
      </c>
      <c r="R3160" s="6"/>
      <c r="S3160" s="6"/>
      <c r="T3160" s="6"/>
      <c r="U3160" s="6"/>
      <c r="V3160" s="6"/>
      <c r="W3160" s="6"/>
      <c r="X3160" s="6"/>
      <c r="Y3160" s="6"/>
      <c r="Z3160" s="6"/>
      <c r="AA3160" s="6"/>
    </row>
    <row r="3161" ht="14.25">
      <c r="B3161" s="4" t="s">
        <v>23528</v>
      </c>
      <c r="C3161" s="4" t="s">
        <v>23529</v>
      </c>
      <c r="D3161" s="4" t="s">
        <v>18561</v>
      </c>
      <c r="E3161" s="4" t="s">
        <v>23530</v>
      </c>
      <c r="F3161" s="4" t="str">
        <f>IFERROR(__XLUDF.DUMMYFUNCTION("PROPER(REGEXREPLACE(D877,""[^A-Za-z]+ "",""""))"),"The Independents")</f>
        <v xml:space="preserve">The Independents</v>
      </c>
      <c r="G3161" s="4" t="s">
        <v>23531</v>
      </c>
      <c r="H3161" s="4">
        <v>53</v>
      </c>
      <c r="I3161" s="4" t="s">
        <v>9161</v>
      </c>
      <c r="J3161" s="4" t="str">
        <f>IFERROR(__XLUDF.DUMMYFUNCTION("VLOOKUP(H877,IMPORTRANGE(""https://docs.google.com/spreadsheets/d/1opm6ZNvGZ7KditA9TuJwrZ25eFLfTNIkrNnY6mhV5Eg"",""list!A1:C115""),3,TRUE)"),"le secteur du marketing")</f>
        <v xml:space="preserve">le secteur du marketing</v>
      </c>
      <c r="K3161" s="5" t="s">
        <v>23532</v>
      </c>
      <c r="L3161" s="5" t="s">
        <v>23533</v>
      </c>
      <c r="M3161" s="4" t="s">
        <v>39</v>
      </c>
      <c r="N3161" s="4" t="s">
        <v>29</v>
      </c>
      <c r="O3161" s="4" t="s">
        <v>23534</v>
      </c>
      <c r="P3161" s="4" t="s">
        <v>29</v>
      </c>
      <c r="Q3161" s="6"/>
      <c r="R3161" s="6"/>
      <c r="S3161" s="6"/>
      <c r="T3161" s="6"/>
      <c r="U3161" s="6"/>
      <c r="V3161" s="6"/>
      <c r="W3161" s="6"/>
      <c r="X3161" s="6"/>
      <c r="Y3161" s="6"/>
      <c r="Z3161" s="6"/>
      <c r="AA3161" s="6"/>
    </row>
    <row r="3162" ht="14.25">
      <c r="B3162" s="4" t="s">
        <v>76</v>
      </c>
      <c r="C3162" s="4" t="s">
        <v>23535</v>
      </c>
      <c r="D3162" s="4" t="s">
        <v>23536</v>
      </c>
      <c r="E3162" s="4" t="s">
        <v>23537</v>
      </c>
      <c r="F3162" s="4" t="str">
        <f>IFERROR(__XLUDF.DUMMYFUNCTION("PROPER(REGEXREPLACE(D878,""[^A-Za-z]+ "",""""))"),"Tta")</f>
        <v>Tta</v>
      </c>
      <c r="G3162" s="4" t="s">
        <v>23538</v>
      </c>
      <c r="H3162" s="4">
        <v>29</v>
      </c>
      <c r="I3162" s="4" t="s">
        <v>4067</v>
      </c>
      <c r="J3162" s="4"/>
      <c r="K3162" s="5" t="s">
        <v>23539</v>
      </c>
      <c r="L3162" s="5" t="s">
        <v>23540</v>
      </c>
      <c r="M3162" s="4" t="s">
        <v>23541</v>
      </c>
      <c r="N3162" s="4" t="s">
        <v>29</v>
      </c>
      <c r="O3162" s="4" t="s">
        <v>23542</v>
      </c>
      <c r="P3162" s="4" t="s">
        <v>29</v>
      </c>
      <c r="Q3162" s="4" t="s">
        <v>23543</v>
      </c>
      <c r="R3162" s="6"/>
      <c r="S3162" s="6"/>
      <c r="T3162" s="6"/>
      <c r="U3162" s="6"/>
      <c r="V3162" s="6"/>
      <c r="W3162" s="6"/>
      <c r="X3162" s="6"/>
      <c r="Y3162" s="6"/>
      <c r="Z3162" s="6"/>
      <c r="AA3162" s="6"/>
    </row>
    <row r="3163" ht="14.25">
      <c r="B3163" s="4" t="s">
        <v>23544</v>
      </c>
      <c r="C3163" s="4" t="s">
        <v>23545</v>
      </c>
      <c r="D3163" s="4" t="s">
        <v>62</v>
      </c>
      <c r="E3163" s="4" t="s">
        <v>23546</v>
      </c>
      <c r="F3163" s="4" t="str">
        <f>IFERROR(__XLUDF.DUMMYFUNCTION("PROPER(REGEXREPLACE(D879,""[^A-Za-z]+ "",""""))"),"Bbs Solutions")</f>
        <v xml:space="preserve">Bbs Solutions</v>
      </c>
      <c r="G3163" s="4" t="s">
        <v>23547</v>
      </c>
      <c r="H3163" s="4">
        <v>27</v>
      </c>
      <c r="I3163" s="4" t="s">
        <v>2602</v>
      </c>
      <c r="J3163" s="4"/>
      <c r="K3163" s="5" t="s">
        <v>23548</v>
      </c>
      <c r="L3163" s="5" t="s">
        <v>23549</v>
      </c>
      <c r="M3163" s="4" t="s">
        <v>39</v>
      </c>
      <c r="N3163" s="4" t="s">
        <v>29</v>
      </c>
      <c r="O3163" s="4" t="s">
        <v>23550</v>
      </c>
      <c r="P3163" s="4" t="s">
        <v>29</v>
      </c>
      <c r="Q3163" s="6"/>
      <c r="R3163" s="6"/>
      <c r="S3163" s="6"/>
      <c r="T3163" s="6"/>
      <c r="U3163" s="6"/>
      <c r="V3163" s="6"/>
      <c r="W3163" s="6"/>
      <c r="X3163" s="6"/>
      <c r="Y3163" s="6"/>
      <c r="Z3163" s="6"/>
      <c r="AA3163" s="6"/>
    </row>
    <row r="3164" ht="14.25">
      <c r="B3164" s="4" t="s">
        <v>110</v>
      </c>
      <c r="C3164" s="4" t="s">
        <v>23551</v>
      </c>
      <c r="D3164" s="4" t="s">
        <v>1240</v>
      </c>
      <c r="E3164" s="4" t="s">
        <v>19398</v>
      </c>
      <c r="F3164" s="4" t="str">
        <f>IFERROR(__XLUDF.DUMMYFUNCTION("PROPER(REGEXREPLACE(D880,""[^A-Za-z]+ "",""""))"),"Arago")</f>
        <v>Arago</v>
      </c>
      <c r="G3164" s="4" t="s">
        <v>23552</v>
      </c>
      <c r="H3164" s="4">
        <v>32</v>
      </c>
      <c r="I3164" s="4" t="s">
        <v>9161</v>
      </c>
      <c r="J3164" s="4"/>
      <c r="K3164" s="5" t="s">
        <v>23553</v>
      </c>
      <c r="L3164" s="5" t="s">
        <v>19401</v>
      </c>
      <c r="M3164" s="4" t="s">
        <v>39</v>
      </c>
      <c r="N3164" s="4" t="s">
        <v>29</v>
      </c>
      <c r="O3164" s="4" t="s">
        <v>19402</v>
      </c>
      <c r="P3164" s="4" t="s">
        <v>29</v>
      </c>
      <c r="Q3164" s="4" t="s">
        <v>19403</v>
      </c>
      <c r="R3164" s="6"/>
      <c r="S3164" s="6"/>
      <c r="T3164" s="6"/>
      <c r="U3164" s="6"/>
      <c r="V3164" s="6"/>
      <c r="W3164" s="6"/>
      <c r="X3164" s="6"/>
      <c r="Y3164" s="6"/>
      <c r="Z3164" s="6"/>
      <c r="AA3164" s="6"/>
    </row>
    <row r="3165" ht="14.25">
      <c r="B3165" s="4" t="s">
        <v>2398</v>
      </c>
      <c r="C3165" s="4" t="s">
        <v>23554</v>
      </c>
      <c r="D3165" s="4" t="s">
        <v>1240</v>
      </c>
      <c r="E3165" s="4" t="s">
        <v>18711</v>
      </c>
      <c r="F3165" s="4" t="str">
        <f>IFERROR(__XLUDF.DUMMYFUNCTION("PROPER(REGEXREPLACE(D881,""[^A-Za-z]+ "",""""))"),"Tshoko")</f>
        <v>Tshoko</v>
      </c>
      <c r="G3165" s="4" t="s">
        <v>23555</v>
      </c>
      <c r="H3165" s="4">
        <v>13</v>
      </c>
      <c r="I3165" s="4" t="s">
        <v>9161</v>
      </c>
      <c r="J3165" s="4"/>
      <c r="K3165" s="5" t="s">
        <v>23556</v>
      </c>
      <c r="L3165" s="5" t="s">
        <v>18714</v>
      </c>
      <c r="M3165" s="4" t="s">
        <v>185</v>
      </c>
      <c r="N3165" s="4" t="s">
        <v>29</v>
      </c>
      <c r="O3165" s="4" t="s">
        <v>18715</v>
      </c>
      <c r="P3165" s="4" t="s">
        <v>29</v>
      </c>
      <c r="Q3165" s="4" t="s">
        <v>18716</v>
      </c>
      <c r="R3165" s="6"/>
      <c r="S3165" s="6"/>
      <c r="T3165" s="6"/>
      <c r="U3165" s="6"/>
      <c r="V3165" s="6"/>
      <c r="W3165" s="6"/>
      <c r="X3165" s="6"/>
      <c r="Y3165" s="6"/>
      <c r="Z3165" s="6"/>
      <c r="AA3165" s="6"/>
    </row>
    <row r="3166" ht="14.25">
      <c r="B3166" s="4" t="s">
        <v>2652</v>
      </c>
      <c r="C3166" s="4" t="s">
        <v>23557</v>
      </c>
      <c r="D3166" s="4" t="s">
        <v>23558</v>
      </c>
      <c r="E3166" s="4" t="s">
        <v>23559</v>
      </c>
      <c r="F3166" s="4" t="str">
        <f>IFERROR(__XLUDF.DUMMYFUNCTION("PROPER(REGEXREPLACE(D882,""[^A-Za-z]+ "",""""))"),"Panodyssey")</f>
        <v>Panodyssey</v>
      </c>
      <c r="G3166" s="4" t="s">
        <v>23560</v>
      </c>
      <c r="H3166" s="4">
        <v>17</v>
      </c>
      <c r="I3166" s="4" t="s">
        <v>2602</v>
      </c>
      <c r="J3166" s="4" t="str">
        <f>IFERROR(__XLUDF.DUMMYFUNCTION("VLOOKUP(H882,IMPORTRANGE(""https://docs.google.com/spreadsheets/d/1opm6ZNvGZ7KditA9TuJwrZ25eFLfTNIkrNnY6mhV5Eg"",""list!A1:C115""),3,TRUE)"),"le secteur de la tech")</f>
        <v xml:space="preserve">le secteur de la tech</v>
      </c>
      <c r="K3166" s="5" t="s">
        <v>23561</v>
      </c>
      <c r="L3166" s="5" t="s">
        <v>23562</v>
      </c>
      <c r="M3166" s="4" t="s">
        <v>23563</v>
      </c>
      <c r="N3166" s="4" t="s">
        <v>29</v>
      </c>
      <c r="O3166" s="4" t="s">
        <v>23564</v>
      </c>
      <c r="P3166" s="4" t="s">
        <v>29</v>
      </c>
      <c r="Q3166" s="4" t="s">
        <v>23565</v>
      </c>
      <c r="R3166" s="6"/>
      <c r="S3166" s="6"/>
      <c r="T3166" s="6"/>
      <c r="U3166" s="6"/>
      <c r="V3166" s="6"/>
      <c r="W3166" s="6"/>
      <c r="X3166" s="6"/>
      <c r="Y3166" s="6"/>
      <c r="Z3166" s="6"/>
      <c r="AA3166" s="6"/>
    </row>
    <row r="3167" ht="14.25">
      <c r="B3167" s="4" t="s">
        <v>785</v>
      </c>
      <c r="C3167" s="4" t="s">
        <v>23566</v>
      </c>
      <c r="D3167" s="4" t="s">
        <v>23567</v>
      </c>
      <c r="E3167" s="4" t="s">
        <v>23568</v>
      </c>
      <c r="F3167" s="4" t="str">
        <f>IFERROR(__XLUDF.DUMMYFUNCTION("PROPER(REGEXREPLACE(D883,""[^A-Za-z]+ "",""""))"),"Lowit")</f>
        <v>Lowit</v>
      </c>
      <c r="G3167" s="4" t="s">
        <v>23569</v>
      </c>
      <c r="H3167" s="4">
        <v>35</v>
      </c>
      <c r="I3167" s="4" t="s">
        <v>4067</v>
      </c>
      <c r="J3167" s="4"/>
      <c r="K3167" s="5" t="s">
        <v>23570</v>
      </c>
      <c r="L3167" s="5" t="s">
        <v>23571</v>
      </c>
      <c r="M3167" s="4" t="s">
        <v>185</v>
      </c>
      <c r="N3167" s="4" t="s">
        <v>29</v>
      </c>
      <c r="O3167" s="4" t="s">
        <v>125</v>
      </c>
      <c r="P3167" s="4" t="s">
        <v>29</v>
      </c>
      <c r="Q3167" s="4" t="s">
        <v>23572</v>
      </c>
      <c r="R3167" s="6"/>
      <c r="S3167" s="6"/>
      <c r="T3167" s="6"/>
      <c r="U3167" s="6"/>
      <c r="V3167" s="6"/>
      <c r="W3167" s="6"/>
      <c r="X3167" s="6"/>
      <c r="Y3167" s="6"/>
      <c r="Z3167" s="6"/>
      <c r="AA3167" s="6"/>
    </row>
    <row r="3168" ht="14.25">
      <c r="B3168" s="4" t="s">
        <v>548</v>
      </c>
      <c r="C3168" s="4" t="s">
        <v>23573</v>
      </c>
      <c r="D3168" s="4" t="s">
        <v>87</v>
      </c>
      <c r="E3168" s="4" t="s">
        <v>23574</v>
      </c>
      <c r="F3168" s="4" t="str">
        <f>IFERROR(__XLUDF.DUMMYFUNCTION("PROPER(REGEXREPLACE(D884,""[^A-Za-z]+ "",""""))"),"Wesyn")</f>
        <v>Wesyn</v>
      </c>
      <c r="G3168" s="4" t="s">
        <v>23575</v>
      </c>
      <c r="H3168" s="4">
        <v>35</v>
      </c>
      <c r="I3168" s="4" t="s">
        <v>2602</v>
      </c>
      <c r="J3168" s="4"/>
      <c r="K3168" s="5" t="s">
        <v>23576</v>
      </c>
      <c r="L3168" s="5" t="s">
        <v>23577</v>
      </c>
      <c r="M3168" s="4" t="s">
        <v>846</v>
      </c>
      <c r="N3168" s="4" t="s">
        <v>29</v>
      </c>
      <c r="O3168" s="4" t="s">
        <v>23578</v>
      </c>
      <c r="P3168" s="4" t="s">
        <v>29</v>
      </c>
      <c r="Q3168" s="4" t="s">
        <v>23579</v>
      </c>
      <c r="R3168" s="6"/>
      <c r="S3168" s="6"/>
      <c r="T3168" s="6"/>
      <c r="U3168" s="6"/>
      <c r="V3168" s="6"/>
      <c r="W3168" s="6"/>
      <c r="X3168" s="6"/>
      <c r="Y3168" s="6"/>
      <c r="Z3168" s="6"/>
      <c r="AA3168" s="6"/>
    </row>
    <row r="3169" ht="14.25">
      <c r="B3169" s="4" t="s">
        <v>23580</v>
      </c>
      <c r="C3169" s="4" t="s">
        <v>23581</v>
      </c>
      <c r="D3169" s="4" t="s">
        <v>87</v>
      </c>
      <c r="E3169" s="4" t="s">
        <v>23582</v>
      </c>
      <c r="F3169" s="4" t="str">
        <f>IFERROR(__XLUDF.DUMMYFUNCTION("PROPER(REGEXREPLACE(D885,""[^A-Za-z]+ "",""""))"),"Bits ""Business Information Technology Solutions""")</f>
        <v xml:space="preserve">Bits "Business Information Technology Solutions"</v>
      </c>
      <c r="G3169" s="4" t="s">
        <v>23583</v>
      </c>
      <c r="H3169" s="4">
        <v>28</v>
      </c>
      <c r="I3169" s="4" t="s">
        <v>2602</v>
      </c>
      <c r="J3169" s="4" t="str">
        <f>IFERROR(__XLUDF.DUMMYFUNCTION("VLOOKUP(H885,IMPORTRANGE(""https://docs.google.com/spreadsheets/d/1opm6ZNvGZ7KditA9TuJwrZ25eFLfTNIkrNnY6mhV5Eg"",""list!A1:C115""),3,TRUE)"),"le secteur de la tech")</f>
        <v xml:space="preserve">le secteur de la tech</v>
      </c>
      <c r="K3169" s="5" t="s">
        <v>23584</v>
      </c>
      <c r="L3169" s="5" t="s">
        <v>23585</v>
      </c>
      <c r="M3169" s="4" t="s">
        <v>846</v>
      </c>
      <c r="N3169" s="4" t="s">
        <v>29</v>
      </c>
      <c r="O3169" s="4" t="s">
        <v>22349</v>
      </c>
      <c r="P3169" s="4" t="s">
        <v>1261</v>
      </c>
      <c r="Q3169" s="4" t="s">
        <v>23586</v>
      </c>
      <c r="R3169" s="6"/>
      <c r="S3169" s="6"/>
      <c r="T3169" s="6"/>
      <c r="U3169" s="6"/>
      <c r="V3169" s="6"/>
      <c r="W3169" s="6"/>
      <c r="X3169" s="6"/>
      <c r="Y3169" s="6"/>
      <c r="Z3169" s="6"/>
      <c r="AA3169" s="6"/>
    </row>
    <row r="3170" ht="14.25">
      <c r="B3170" s="4" t="s">
        <v>785</v>
      </c>
      <c r="C3170" s="4" t="s">
        <v>23587</v>
      </c>
      <c r="D3170" s="4" t="s">
        <v>172</v>
      </c>
      <c r="E3170" s="4" t="s">
        <v>23588</v>
      </c>
      <c r="F3170" s="4" t="str">
        <f>IFERROR(__XLUDF.DUMMYFUNCTION("PROPER(REGEXREPLACE(D886,""[^A-Za-z]+ "",""""))"),"Censier Publicinex")</f>
        <v xml:space="preserve">Censier Publicinex</v>
      </c>
      <c r="G3170" s="4" t="s">
        <v>23589</v>
      </c>
      <c r="H3170" s="4">
        <v>33</v>
      </c>
      <c r="I3170" s="4" t="s">
        <v>9161</v>
      </c>
      <c r="J3170" s="4" t="str">
        <f>IFERROR(__XLUDF.DUMMYFUNCTION("VLOOKUP(H886,IMPORTRANGE(""https://docs.google.com/spreadsheets/d/1opm6ZNvGZ7KditA9TuJwrZ25eFLfTNIkrNnY6mhV5Eg"",""list!A1:C115""),3,TRUE)"),"le secteur du marketing")</f>
        <v xml:space="preserve">le secteur du marketing</v>
      </c>
      <c r="K3170" s="5" t="s">
        <v>23590</v>
      </c>
      <c r="L3170" s="5" t="s">
        <v>23591</v>
      </c>
      <c r="M3170" s="4" t="s">
        <v>39</v>
      </c>
      <c r="N3170" s="4" t="s">
        <v>29</v>
      </c>
      <c r="O3170" s="4" t="s">
        <v>23592</v>
      </c>
      <c r="P3170" s="4" t="s">
        <v>29</v>
      </c>
      <c r="Q3170" s="4" t="s">
        <v>23593</v>
      </c>
      <c r="R3170" s="6"/>
      <c r="S3170" s="6"/>
      <c r="T3170" s="6"/>
      <c r="U3170" s="6"/>
      <c r="V3170" s="6"/>
      <c r="W3170" s="6"/>
      <c r="X3170" s="6"/>
      <c r="Y3170" s="6"/>
      <c r="Z3170" s="6"/>
      <c r="AA3170" s="6"/>
    </row>
    <row r="3171" ht="14.25">
      <c r="B3171" s="4" t="s">
        <v>76</v>
      </c>
      <c r="C3171" s="4" t="s">
        <v>23594</v>
      </c>
      <c r="D3171" s="4" t="s">
        <v>172</v>
      </c>
      <c r="E3171" s="4" t="s">
        <v>23595</v>
      </c>
      <c r="F3171" s="4" t="str">
        <f>IFERROR(__XLUDF.DUMMYFUNCTION("PROPER(REGEXREPLACE(D887,""[^A-Za-z]+ "",""""))"),"Synktory")</f>
        <v>Synktory</v>
      </c>
      <c r="G3171" s="4" t="s">
        <v>23596</v>
      </c>
      <c r="H3171" s="4">
        <v>21</v>
      </c>
      <c r="I3171" s="4" t="s">
        <v>2602</v>
      </c>
      <c r="J3171" s="4" t="str">
        <f>IFERROR(__XLUDF.DUMMYFUNCTION("VLOOKUP(H887,IMPORTRANGE(""https://docs.google.com/spreadsheets/d/1opm6ZNvGZ7KditA9TuJwrZ25eFLfTNIkrNnY6mhV5Eg"",""list!A1:C115""),3,TRUE)"),"le secteur de la tech")</f>
        <v xml:space="preserve">le secteur de la tech</v>
      </c>
      <c r="K3171" s="5" t="s">
        <v>23597</v>
      </c>
      <c r="L3171" s="5" t="s">
        <v>23598</v>
      </c>
      <c r="M3171" s="4" t="s">
        <v>23599</v>
      </c>
      <c r="N3171" s="4" t="s">
        <v>29</v>
      </c>
      <c r="O3171" s="4" t="s">
        <v>23600</v>
      </c>
      <c r="P3171" s="4" t="s">
        <v>29</v>
      </c>
      <c r="Q3171" s="4" t="s">
        <v>23601</v>
      </c>
      <c r="R3171" s="6"/>
      <c r="S3171" s="6"/>
      <c r="T3171" s="6"/>
      <c r="U3171" s="6"/>
      <c r="V3171" s="6"/>
      <c r="W3171" s="6"/>
      <c r="X3171" s="6"/>
      <c r="Y3171" s="6"/>
      <c r="Z3171" s="6"/>
      <c r="AA3171" s="6"/>
    </row>
    <row r="3172" ht="14.25">
      <c r="B3172" s="4" t="s">
        <v>178</v>
      </c>
      <c r="C3172" s="4" t="s">
        <v>53</v>
      </c>
      <c r="D3172" s="4" t="s">
        <v>172</v>
      </c>
      <c r="E3172" s="4" t="s">
        <v>12055</v>
      </c>
      <c r="F3172" s="4" t="str">
        <f>IFERROR(__XLUDF.DUMMYFUNCTION("PROPER(REGEXREPLACE(D888,""[^A-Za-z]+ "",""""))"),"Moove-Si")</f>
        <v>Moove-Si</v>
      </c>
      <c r="G3172" s="4" t="s">
        <v>23602</v>
      </c>
      <c r="H3172" s="4">
        <v>19</v>
      </c>
      <c r="I3172" s="4" t="s">
        <v>2602</v>
      </c>
      <c r="J3172" s="4" t="str">
        <f>IFERROR(__XLUDF.DUMMYFUNCTION("VLOOKUP(H888,IMPORTRANGE(""https://docs.google.com/spreadsheets/d/1opm6ZNvGZ7KditA9TuJwrZ25eFLfTNIkrNnY6mhV5Eg"",""list!A1:C115""),3,TRUE)"),"le secteur de la tech")</f>
        <v xml:space="preserve">le secteur de la tech</v>
      </c>
      <c r="K3172" s="5" t="s">
        <v>23603</v>
      </c>
      <c r="L3172" s="5" t="s">
        <v>23604</v>
      </c>
      <c r="M3172" s="4" t="s">
        <v>651</v>
      </c>
      <c r="N3172" s="4" t="s">
        <v>29</v>
      </c>
      <c r="O3172" s="4" t="s">
        <v>23605</v>
      </c>
      <c r="P3172" s="4" t="s">
        <v>29</v>
      </c>
      <c r="Q3172" s="4" t="s">
        <v>12060</v>
      </c>
      <c r="R3172" s="6"/>
      <c r="S3172" s="6"/>
      <c r="T3172" s="6"/>
      <c r="U3172" s="6"/>
      <c r="V3172" s="6"/>
      <c r="W3172" s="6"/>
      <c r="X3172" s="6"/>
      <c r="Y3172" s="6"/>
      <c r="Z3172" s="6"/>
      <c r="AA3172" s="6"/>
    </row>
    <row r="3173" ht="14.25">
      <c r="B3173" s="4" t="s">
        <v>2138</v>
      </c>
      <c r="C3173" s="4" t="s">
        <v>23606</v>
      </c>
      <c r="D3173" s="4" t="s">
        <v>23607</v>
      </c>
      <c r="E3173" s="4" t="s">
        <v>23608</v>
      </c>
      <c r="F3173" s="4" t="str">
        <f>IFERROR(__XLUDF.DUMMYFUNCTION("PROPER(REGEXREPLACE(D889,""[^A-Za-z]+ "",""""))"),"Synfac")</f>
        <v>Synfac</v>
      </c>
      <c r="G3173" s="4" t="s">
        <v>23609</v>
      </c>
      <c r="H3173" s="4">
        <v>15</v>
      </c>
      <c r="I3173" s="4" t="s">
        <v>2602</v>
      </c>
      <c r="J3173" s="4"/>
      <c r="K3173" s="5" t="s">
        <v>23610</v>
      </c>
      <c r="L3173" s="5" t="s">
        <v>23611</v>
      </c>
      <c r="M3173" s="4" t="s">
        <v>49</v>
      </c>
      <c r="N3173" s="4" t="s">
        <v>29</v>
      </c>
      <c r="O3173" s="4" t="s">
        <v>23612</v>
      </c>
      <c r="P3173" s="4" t="s">
        <v>2953</v>
      </c>
      <c r="Q3173" s="4" t="s">
        <v>23613</v>
      </c>
      <c r="R3173" s="6"/>
      <c r="S3173" s="6"/>
      <c r="T3173" s="6"/>
      <c r="U3173" s="6"/>
      <c r="V3173" s="6"/>
      <c r="W3173" s="6"/>
      <c r="X3173" s="6"/>
      <c r="Y3173" s="6"/>
      <c r="Z3173" s="6"/>
      <c r="AA3173" s="6"/>
    </row>
    <row r="3174" ht="14.25">
      <c r="B3174" s="4" t="s">
        <v>866</v>
      </c>
      <c r="C3174" s="4" t="s">
        <v>23614</v>
      </c>
      <c r="D3174" s="4" t="s">
        <v>23615</v>
      </c>
      <c r="E3174" s="4" t="s">
        <v>23616</v>
      </c>
      <c r="F3174" s="4" t="str">
        <f>IFERROR(__XLUDF.DUMMYFUNCTION("PROPER(REGEXREPLACE(D890,""[^A-Za-z]+ "",""""))"),"Digital Pharma Lab")</f>
        <v xml:space="preserve">Digital Pharma Lab</v>
      </c>
      <c r="G3174" s="4" t="s">
        <v>23617</v>
      </c>
      <c r="H3174" s="4">
        <v>16</v>
      </c>
      <c r="I3174" s="4" t="s">
        <v>4067</v>
      </c>
      <c r="J3174" s="4" t="str">
        <f>IFERROR(__XLUDF.DUMMYFUNCTION("VLOOKUP(H890,IMPORTRANGE(""https://docs.google.com/spreadsheets/d/1opm6ZNvGZ7KditA9TuJwrZ25eFLfTNIkrNnY6mhV5Eg"",""list!A1:C115""),3,TRUE)"),"le secteur du conseil en management")</f>
        <v xml:space="preserve">le secteur du conseil en management</v>
      </c>
      <c r="K3174" s="5" t="s">
        <v>23618</v>
      </c>
      <c r="L3174" s="5" t="s">
        <v>23619</v>
      </c>
      <c r="M3174" s="4" t="s">
        <v>1419</v>
      </c>
      <c r="N3174" s="4" t="s">
        <v>29</v>
      </c>
      <c r="O3174" s="4" t="s">
        <v>23620</v>
      </c>
      <c r="P3174" s="4" t="s">
        <v>29</v>
      </c>
      <c r="Q3174" s="4" t="s">
        <v>23621</v>
      </c>
      <c r="R3174" s="6"/>
      <c r="S3174" s="6"/>
      <c r="T3174" s="6"/>
      <c r="U3174" s="6"/>
      <c r="V3174" s="6"/>
      <c r="W3174" s="6"/>
      <c r="X3174" s="6"/>
      <c r="Y3174" s="6"/>
      <c r="Z3174" s="6"/>
      <c r="AA3174" s="6"/>
    </row>
    <row r="3175" ht="14.25">
      <c r="B3175" s="4" t="s">
        <v>23622</v>
      </c>
      <c r="C3175" s="4" t="s">
        <v>23623</v>
      </c>
      <c r="D3175" s="4" t="s">
        <v>17579</v>
      </c>
      <c r="E3175" s="4" t="s">
        <v>19994</v>
      </c>
      <c r="F3175" s="4" t="str">
        <f>IFERROR(__XLUDF.DUMMYFUNCTION("PROPER(REGEXREPLACE(D891,""[^A-Za-z]+ "",""""))"),"Ksaar")</f>
        <v>Ksaar</v>
      </c>
      <c r="G3175" s="4" t="s">
        <v>23624</v>
      </c>
      <c r="H3175" s="4">
        <v>14</v>
      </c>
      <c r="I3175" s="4" t="s">
        <v>2602</v>
      </c>
      <c r="J3175" s="4" t="str">
        <f>IFERROR(__XLUDF.DUMMYFUNCTION("VLOOKUP(H891,IMPORTRANGE(""https://docs.google.com/spreadsheets/d/1opm6ZNvGZ7KditA9TuJwrZ25eFLfTNIkrNnY6mhV5Eg"",""list!A1:C115""),3,TRUE)"),"le secteur de la tech")</f>
        <v xml:space="preserve">le secteur de la tech</v>
      </c>
      <c r="K3175" s="5" t="s">
        <v>23625</v>
      </c>
      <c r="L3175" s="5" t="s">
        <v>19997</v>
      </c>
      <c r="M3175" s="4" t="s">
        <v>39</v>
      </c>
      <c r="N3175" s="4" t="s">
        <v>29</v>
      </c>
      <c r="O3175" s="4" t="s">
        <v>67</v>
      </c>
      <c r="P3175" s="4" t="s">
        <v>29</v>
      </c>
      <c r="Q3175" s="4" t="s">
        <v>19998</v>
      </c>
      <c r="R3175" s="6"/>
      <c r="S3175" s="6"/>
      <c r="T3175" s="6"/>
      <c r="U3175" s="6"/>
      <c r="V3175" s="6"/>
      <c r="W3175" s="6"/>
      <c r="X3175" s="6"/>
      <c r="Y3175" s="6"/>
      <c r="Z3175" s="6"/>
      <c r="AA3175" s="6"/>
    </row>
    <row r="3176" ht="14.25">
      <c r="B3176" s="4" t="s">
        <v>1027</v>
      </c>
      <c r="C3176" s="4" t="s">
        <v>23626</v>
      </c>
      <c r="D3176" s="4" t="s">
        <v>23627</v>
      </c>
      <c r="E3176" s="4" t="s">
        <v>23628</v>
      </c>
      <c r="F3176" s="4" t="str">
        <f>IFERROR(__XLUDF.DUMMYFUNCTION("PROPER(REGEXREPLACE(D892,""[^A-Za-z]+ "",""""))"),"V6Protect")</f>
        <v>V6Protect</v>
      </c>
      <c r="G3176" s="4" t="s">
        <v>23629</v>
      </c>
      <c r="H3176" s="4">
        <v>15</v>
      </c>
      <c r="I3176" s="4" t="s">
        <v>9264</v>
      </c>
      <c r="J3176" s="4"/>
      <c r="K3176" s="5" t="s">
        <v>23630</v>
      </c>
      <c r="L3176" s="5" t="s">
        <v>23631</v>
      </c>
      <c r="M3176" s="4" t="s">
        <v>243</v>
      </c>
      <c r="N3176" s="4" t="s">
        <v>29</v>
      </c>
      <c r="O3176" s="4" t="s">
        <v>23632</v>
      </c>
      <c r="P3176" s="4" t="s">
        <v>29</v>
      </c>
      <c r="Q3176" s="6"/>
      <c r="R3176" s="6"/>
      <c r="S3176" s="6"/>
      <c r="T3176" s="6"/>
      <c r="U3176" s="6"/>
      <c r="V3176" s="6"/>
      <c r="W3176" s="6"/>
      <c r="X3176" s="6"/>
      <c r="Y3176" s="6"/>
      <c r="Z3176" s="6"/>
      <c r="AA3176" s="6"/>
    </row>
    <row r="3177" ht="14.25">
      <c r="B3177" s="4" t="s">
        <v>874</v>
      </c>
      <c r="C3177" s="4" t="s">
        <v>23633</v>
      </c>
      <c r="D3177" s="4" t="s">
        <v>1130</v>
      </c>
      <c r="E3177" s="4" t="s">
        <v>23634</v>
      </c>
      <c r="F3177" s="4" t="str">
        <f>IFERROR(__XLUDF.DUMMYFUNCTION("PROPER(REGEXREPLACE(D893,""[^A-Za-z]+ "",""""))"),"Progress Associés")</f>
        <v xml:space="preserve">Progress Associés</v>
      </c>
      <c r="G3177" s="4" t="s">
        <v>23635</v>
      </c>
      <c r="H3177" s="4">
        <v>38</v>
      </c>
      <c r="I3177" s="4" t="s">
        <v>4067</v>
      </c>
      <c r="J3177" s="4"/>
      <c r="K3177" s="5" t="s">
        <v>23636</v>
      </c>
      <c r="L3177" s="5" t="s">
        <v>23637</v>
      </c>
      <c r="M3177" s="6"/>
      <c r="N3177" s="4" t="s">
        <v>29</v>
      </c>
      <c r="O3177" s="4" t="s">
        <v>23638</v>
      </c>
      <c r="P3177" s="4" t="s">
        <v>29</v>
      </c>
      <c r="Q3177" s="4" t="s">
        <v>23639</v>
      </c>
      <c r="R3177" s="6"/>
      <c r="S3177" s="6"/>
      <c r="T3177" s="6"/>
      <c r="U3177" s="6"/>
      <c r="V3177" s="6"/>
      <c r="W3177" s="6"/>
      <c r="X3177" s="6"/>
      <c r="Y3177" s="6"/>
      <c r="Z3177" s="6"/>
      <c r="AA3177" s="6"/>
    </row>
    <row r="3178" ht="14.25">
      <c r="B3178" s="4" t="s">
        <v>23640</v>
      </c>
      <c r="C3178" s="4" t="s">
        <v>23641</v>
      </c>
      <c r="D3178" s="4" t="s">
        <v>172</v>
      </c>
      <c r="E3178" s="4" t="s">
        <v>23642</v>
      </c>
      <c r="F3178" s="4" t="str">
        <f>IFERROR(__XLUDF.DUMMYFUNCTION("PROPER(REGEXREPLACE(D894,""[^A-Za-z]+ "",""""))"),"Hymatom")</f>
        <v>Hymatom</v>
      </c>
      <c r="G3178" s="4" t="s">
        <v>23643</v>
      </c>
      <c r="H3178" s="6"/>
      <c r="I3178" s="6"/>
      <c r="J3178" s="6"/>
      <c r="K3178" s="5" t="s">
        <v>23644</v>
      </c>
      <c r="L3178" s="5" t="s">
        <v>23645</v>
      </c>
      <c r="M3178" s="4" t="s">
        <v>482</v>
      </c>
      <c r="N3178" s="4" t="s">
        <v>29</v>
      </c>
      <c r="O3178" s="4" t="s">
        <v>23646</v>
      </c>
      <c r="P3178" s="4" t="s">
        <v>29</v>
      </c>
      <c r="Q3178" s="6"/>
      <c r="R3178" s="6"/>
      <c r="S3178" s="6"/>
      <c r="T3178" s="6"/>
      <c r="U3178" s="6"/>
      <c r="V3178" s="6"/>
      <c r="W3178" s="6"/>
      <c r="X3178" s="6"/>
      <c r="Y3178" s="6"/>
      <c r="Z3178" s="6"/>
      <c r="AA3178" s="6"/>
    </row>
    <row r="3179" ht="14.25">
      <c r="B3179" s="4" t="s">
        <v>8778</v>
      </c>
      <c r="C3179" s="4" t="s">
        <v>11874</v>
      </c>
      <c r="D3179" s="4" t="s">
        <v>23647</v>
      </c>
      <c r="E3179" s="4" t="s">
        <v>22101</v>
      </c>
      <c r="F3179" s="4" t="str">
        <f>IFERROR(__XLUDF.DUMMYFUNCTION("PROPER(REGEXREPLACE(D895,""[^A-Za-z]+ "",""""))"),"Wenvision")</f>
        <v>Wenvision</v>
      </c>
      <c r="G3179" s="4" t="s">
        <v>23648</v>
      </c>
      <c r="H3179" s="4">
        <v>23</v>
      </c>
      <c r="I3179" s="4" t="s">
        <v>4067</v>
      </c>
      <c r="J3179" s="4" t="str">
        <f>IFERROR(__XLUDF.DUMMYFUNCTION("VLOOKUP(H895,IMPORTRANGE(""https://docs.google.com/spreadsheets/d/1opm6ZNvGZ7KditA9TuJwrZ25eFLfTNIkrNnY6mhV5Eg"",""list!A1:C115""),3,TRUE)"),"le secteur du conseil en management")</f>
        <v xml:space="preserve">le secteur du conseil en management</v>
      </c>
      <c r="K3179" s="5" t="s">
        <v>23649</v>
      </c>
      <c r="L3179" s="5" t="s">
        <v>22104</v>
      </c>
      <c r="M3179" s="4" t="s">
        <v>39</v>
      </c>
      <c r="N3179" s="4" t="s">
        <v>29</v>
      </c>
      <c r="O3179" s="4" t="s">
        <v>18884</v>
      </c>
      <c r="P3179" s="4" t="s">
        <v>29</v>
      </c>
      <c r="Q3179" s="4" t="s">
        <v>22105</v>
      </c>
      <c r="R3179" s="6"/>
      <c r="S3179" s="6"/>
      <c r="T3179" s="6"/>
      <c r="U3179" s="6"/>
      <c r="V3179" s="6"/>
      <c r="W3179" s="6"/>
      <c r="X3179" s="6"/>
      <c r="Y3179" s="6"/>
      <c r="Z3179" s="6"/>
      <c r="AA3179" s="6"/>
    </row>
    <row r="3180" ht="14.25">
      <c r="B3180" s="4" t="s">
        <v>76</v>
      </c>
      <c r="C3180" s="4" t="s">
        <v>23650</v>
      </c>
      <c r="D3180" s="4" t="s">
        <v>23651</v>
      </c>
      <c r="E3180" s="4" t="s">
        <v>23652</v>
      </c>
      <c r="F3180" s="4" t="str">
        <f>IFERROR(__XLUDF.DUMMYFUNCTION("PROPER(REGEXREPLACE(D896,""[^A-Za-z]+ "",""""))"),"Live Session")</f>
        <v xml:space="preserve">Live Session</v>
      </c>
      <c r="G3180" s="4" t="s">
        <v>23653</v>
      </c>
      <c r="H3180" s="4">
        <v>14</v>
      </c>
      <c r="I3180" s="4" t="s">
        <v>4067</v>
      </c>
      <c r="J3180" s="4" t="str">
        <f>IFERROR(__XLUDF.DUMMYFUNCTION("VLOOKUP(H896,IMPORTRANGE(""https://docs.google.com/spreadsheets/d/1opm6ZNvGZ7KditA9TuJwrZ25eFLfTNIkrNnY6mhV5Eg"",""list!A1:C115""),3,TRUE)"),"le secteur du conseil en management")</f>
        <v xml:space="preserve">le secteur du conseil en management</v>
      </c>
      <c r="K3180" s="5" t="s">
        <v>23654</v>
      </c>
      <c r="L3180" s="5" t="s">
        <v>23655</v>
      </c>
      <c r="M3180" s="4" t="s">
        <v>1384</v>
      </c>
      <c r="N3180" s="4" t="s">
        <v>29</v>
      </c>
      <c r="O3180" s="4" t="s">
        <v>1385</v>
      </c>
      <c r="P3180" s="4" t="s">
        <v>29</v>
      </c>
      <c r="Q3180" s="6"/>
      <c r="R3180" s="6"/>
      <c r="S3180" s="6"/>
      <c r="T3180" s="6"/>
      <c r="U3180" s="6"/>
      <c r="V3180" s="6"/>
      <c r="W3180" s="6"/>
      <c r="X3180" s="6"/>
      <c r="Y3180" s="6"/>
      <c r="Z3180" s="6"/>
      <c r="AA3180" s="6"/>
    </row>
    <row r="3181" ht="14.25">
      <c r="B3181" s="4" t="s">
        <v>3165</v>
      </c>
      <c r="C3181" s="4" t="s">
        <v>15576</v>
      </c>
      <c r="D3181" s="4" t="s">
        <v>426</v>
      </c>
      <c r="E3181" s="4" t="s">
        <v>23656</v>
      </c>
      <c r="F3181" s="4" t="str">
        <f>IFERROR(__XLUDF.DUMMYFUNCTION("PROPER(REGEXREPLACE(D897,""[^A-Za-z]+ "",""""))"),"3C-Evolution")</f>
        <v>3C-Evolution</v>
      </c>
      <c r="G3181" s="4" t="s">
        <v>23657</v>
      </c>
      <c r="H3181" s="4">
        <v>22</v>
      </c>
      <c r="I3181" s="4" t="s">
        <v>2602</v>
      </c>
      <c r="J3181" s="4"/>
      <c r="K3181" s="5" t="s">
        <v>23658</v>
      </c>
      <c r="L3181" s="5" t="s">
        <v>23659</v>
      </c>
      <c r="M3181" s="4" t="s">
        <v>1507</v>
      </c>
      <c r="N3181" s="4" t="s">
        <v>29</v>
      </c>
      <c r="O3181" s="4" t="s">
        <v>23660</v>
      </c>
      <c r="P3181" s="4" t="s">
        <v>29</v>
      </c>
      <c r="Q3181" s="4" t="s">
        <v>23661</v>
      </c>
      <c r="R3181" s="6"/>
      <c r="S3181" s="6"/>
      <c r="T3181" s="6"/>
      <c r="U3181" s="6"/>
      <c r="V3181" s="6"/>
      <c r="W3181" s="6"/>
      <c r="X3181" s="6"/>
      <c r="Y3181" s="6"/>
      <c r="Z3181" s="6"/>
      <c r="AA3181" s="6"/>
    </row>
    <row r="3182" ht="14.25">
      <c r="B3182" s="4" t="s">
        <v>21046</v>
      </c>
      <c r="C3182" s="4" t="s">
        <v>23662</v>
      </c>
      <c r="D3182" s="4" t="s">
        <v>23663</v>
      </c>
      <c r="E3182" s="4" t="s">
        <v>19291</v>
      </c>
      <c r="F3182" s="4" t="str">
        <f>IFERROR(__XLUDF.DUMMYFUNCTION("PROPER(REGEXREPLACE(D898,""[^A-Za-z]+ "",""""))"),"Myspeaker France")</f>
        <v xml:space="preserve">Myspeaker France</v>
      </c>
      <c r="G3182" s="4" t="s">
        <v>23664</v>
      </c>
      <c r="H3182" s="4">
        <v>12</v>
      </c>
      <c r="I3182" s="4" t="s">
        <v>4067</v>
      </c>
      <c r="J3182" s="4" t="str">
        <f>IFERROR(__XLUDF.DUMMYFUNCTION("VLOOKUP(H898,IMPORTRANGE(""https://docs.google.com/spreadsheets/d/1opm6ZNvGZ7KditA9TuJwrZ25eFLfTNIkrNnY6mhV5Eg"",""list!A1:C115""),3,TRUE)"),"le secteur du conseil en management")</f>
        <v xml:space="preserve">le secteur du conseil en management</v>
      </c>
      <c r="K3182" s="5" t="s">
        <v>23665</v>
      </c>
      <c r="L3182" s="5" t="s">
        <v>19294</v>
      </c>
      <c r="M3182" s="6"/>
      <c r="N3182" s="4" t="s">
        <v>29</v>
      </c>
      <c r="O3182" s="4" t="s">
        <v>1084</v>
      </c>
      <c r="P3182" s="4" t="s">
        <v>29</v>
      </c>
      <c r="Q3182" s="4" t="s">
        <v>19295</v>
      </c>
      <c r="R3182" s="6"/>
      <c r="S3182" s="6"/>
      <c r="T3182" s="6"/>
      <c r="U3182" s="6"/>
      <c r="V3182" s="6"/>
      <c r="W3182" s="6"/>
      <c r="X3182" s="6"/>
      <c r="Y3182" s="6"/>
      <c r="Z3182" s="6"/>
      <c r="AA3182" s="6"/>
    </row>
    <row r="3183" ht="14.25">
      <c r="B3183" s="4" t="s">
        <v>1596</v>
      </c>
      <c r="C3183" s="4" t="s">
        <v>23666</v>
      </c>
      <c r="D3183" s="4" t="s">
        <v>23667</v>
      </c>
      <c r="E3183" s="4" t="s">
        <v>23668</v>
      </c>
      <c r="F3183" s="4" t="str">
        <f>IFERROR(__XLUDF.DUMMYFUNCTION("PROPER(REGEXREPLACE(D899,""[^A-Za-z]+ "",""""))"),"Tti Success Insights France")</f>
        <v xml:space="preserve">Tti Success Insights France</v>
      </c>
      <c r="G3183" s="4" t="s">
        <v>23669</v>
      </c>
      <c r="H3183" s="4">
        <v>16</v>
      </c>
      <c r="I3183" s="4" t="s">
        <v>4067</v>
      </c>
      <c r="J3183" s="4" t="str">
        <f>IFERROR(__XLUDF.DUMMYFUNCTION("VLOOKUP(H899,IMPORTRANGE(""https://docs.google.com/spreadsheets/d/1opm6ZNvGZ7KditA9TuJwrZ25eFLfTNIkrNnY6mhV5Eg"",""list!A1:C115""),3,TRUE)"),"le secteur du conseil en management")</f>
        <v xml:space="preserve">le secteur du conseil en management</v>
      </c>
      <c r="K3183" s="5" t="s">
        <v>23670</v>
      </c>
      <c r="L3183" s="5" t="s">
        <v>23671</v>
      </c>
      <c r="M3183" s="4" t="s">
        <v>185</v>
      </c>
      <c r="N3183" s="4" t="s">
        <v>29</v>
      </c>
      <c r="O3183" s="4" t="s">
        <v>23672</v>
      </c>
      <c r="P3183" s="4" t="s">
        <v>29</v>
      </c>
      <c r="Q3183" s="4" t="s">
        <v>23673</v>
      </c>
      <c r="R3183" s="6"/>
      <c r="S3183" s="6"/>
      <c r="T3183" s="6"/>
      <c r="U3183" s="6"/>
      <c r="V3183" s="6"/>
      <c r="W3183" s="6"/>
      <c r="X3183" s="6"/>
      <c r="Y3183" s="6"/>
      <c r="Z3183" s="6"/>
      <c r="AA3183" s="6"/>
    </row>
    <row r="3184" ht="14.25">
      <c r="B3184" s="4" t="s">
        <v>525</v>
      </c>
      <c r="C3184" s="4" t="s">
        <v>23674</v>
      </c>
      <c r="D3184" s="4" t="s">
        <v>172</v>
      </c>
      <c r="E3184" s="4" t="s">
        <v>23675</v>
      </c>
      <c r="F3184" s="4" t="str">
        <f>IFERROR(__XLUDF.DUMMYFUNCTION("PROPER(REGEXREPLACE(D900,""[^A-Za-z]+ "",""""))"),"Groupe Schertz")</f>
        <v xml:space="preserve">Groupe Schertz</v>
      </c>
      <c r="G3184" s="4" t="s">
        <v>23676</v>
      </c>
      <c r="H3184" s="4">
        <v>25</v>
      </c>
      <c r="I3184" s="4" t="s">
        <v>4525</v>
      </c>
      <c r="J3184" s="4" t="str">
        <f>IFERROR(__XLUDF.DUMMYFUNCTION("VLOOKUP(H900,IMPORTRANGE(""https://docs.google.com/spreadsheets/d/1opm6ZNvGZ7KditA9TuJwrZ25eFLfTNIkrNnY6mhV5Eg"",""list!A1:C115""),3,TRUE)"),"le secteur du retail")</f>
        <v xml:space="preserve">le secteur du retail</v>
      </c>
      <c r="K3184" s="5" t="s">
        <v>23677</v>
      </c>
      <c r="L3184" s="5" t="s">
        <v>23678</v>
      </c>
      <c r="M3184" s="4" t="s">
        <v>651</v>
      </c>
      <c r="N3184" s="4" t="s">
        <v>29</v>
      </c>
      <c r="O3184" s="4" t="s">
        <v>23679</v>
      </c>
      <c r="P3184" s="4" t="s">
        <v>29</v>
      </c>
      <c r="Q3184" s="4" t="s">
        <v>23680</v>
      </c>
      <c r="R3184" s="6"/>
      <c r="S3184" s="6"/>
      <c r="T3184" s="6"/>
      <c r="U3184" s="6"/>
      <c r="V3184" s="6"/>
      <c r="W3184" s="6"/>
      <c r="X3184" s="6"/>
      <c r="Y3184" s="6"/>
      <c r="Z3184" s="6"/>
      <c r="AA3184" s="6"/>
    </row>
    <row r="3185" ht="14.25">
      <c r="B3185" s="4" t="s">
        <v>23681</v>
      </c>
      <c r="C3185" s="4" t="s">
        <v>23682</v>
      </c>
      <c r="D3185" s="4" t="s">
        <v>778</v>
      </c>
      <c r="E3185" s="4" t="s">
        <v>23683</v>
      </c>
      <c r="F3185" s="4" t="str">
        <f>IFERROR(__XLUDF.DUMMYFUNCTION("PROPER(REGEXREPLACE(D901,""[^A-Za-z]+ "",""""))"),"Managed Code")</f>
        <v xml:space="preserve">Managed Code</v>
      </c>
      <c r="G3185" s="4" t="s">
        <v>23684</v>
      </c>
      <c r="H3185" s="4">
        <v>11</v>
      </c>
      <c r="I3185" s="4" t="s">
        <v>2602</v>
      </c>
      <c r="J3185" s="4" t="str">
        <f>IFERROR(__XLUDF.DUMMYFUNCTION("VLOOKUP(H901,IMPORTRANGE(""https://docs.google.com/spreadsheets/d/1opm6ZNvGZ7KditA9TuJwrZ25eFLfTNIkrNnY6mhV5Eg"",""list!A1:C115""),3,TRUE)"),"le secteur de la tech")</f>
        <v xml:space="preserve">le secteur de la tech</v>
      </c>
      <c r="K3185" s="5" t="s">
        <v>23685</v>
      </c>
      <c r="L3185" s="5" t="s">
        <v>23686</v>
      </c>
      <c r="M3185" s="4" t="s">
        <v>6489</v>
      </c>
      <c r="N3185" s="4" t="s">
        <v>29</v>
      </c>
      <c r="O3185" s="4" t="s">
        <v>23687</v>
      </c>
      <c r="P3185" s="4" t="s">
        <v>29</v>
      </c>
      <c r="Q3185" s="4" t="s">
        <v>23688</v>
      </c>
      <c r="R3185" s="6"/>
      <c r="S3185" s="6"/>
      <c r="T3185" s="6"/>
      <c r="U3185" s="6"/>
      <c r="V3185" s="6"/>
      <c r="W3185" s="6"/>
      <c r="X3185" s="6"/>
      <c r="Y3185" s="6"/>
      <c r="Z3185" s="6"/>
      <c r="AA3185" s="6"/>
    </row>
    <row r="3186" ht="14.25">
      <c r="B3186" s="4" t="s">
        <v>4659</v>
      </c>
      <c r="C3186" s="4" t="s">
        <v>23689</v>
      </c>
      <c r="D3186" s="4" t="s">
        <v>6109</v>
      </c>
      <c r="E3186" s="4" t="s">
        <v>23690</v>
      </c>
      <c r="F3186" s="4" t="str">
        <f>IFERROR(__XLUDF.DUMMYFUNCTION("PROPER(REGEXREPLACE(D902,""[^A-Za-z]+ "",""""))"),"Apizr")</f>
        <v>Apizr</v>
      </c>
      <c r="G3186" s="4" t="s">
        <v>23691</v>
      </c>
      <c r="H3186" s="4">
        <v>16</v>
      </c>
      <c r="I3186" s="4" t="s">
        <v>2602</v>
      </c>
      <c r="J3186" s="4" t="str">
        <f>IFERROR(__XLUDF.DUMMYFUNCTION("VLOOKUP(H902,IMPORTRANGE(""https://docs.google.com/spreadsheets/d/1opm6ZNvGZ7KditA9TuJwrZ25eFLfTNIkrNnY6mhV5Eg"",""list!A1:C115""),3,TRUE)"),"le secteur de la tech")</f>
        <v xml:space="preserve">le secteur de la tech</v>
      </c>
      <c r="K3186" s="5" t="s">
        <v>23692</v>
      </c>
      <c r="L3186" s="5" t="s">
        <v>23693</v>
      </c>
      <c r="M3186" s="4" t="s">
        <v>846</v>
      </c>
      <c r="N3186" s="4" t="s">
        <v>29</v>
      </c>
      <c r="O3186" s="4" t="s">
        <v>5865</v>
      </c>
      <c r="P3186" s="4" t="s">
        <v>29</v>
      </c>
      <c r="Q3186" s="6"/>
      <c r="R3186" s="6"/>
      <c r="S3186" s="6"/>
      <c r="T3186" s="6"/>
      <c r="U3186" s="6"/>
      <c r="V3186" s="6"/>
      <c r="W3186" s="6"/>
      <c r="X3186" s="6"/>
      <c r="Y3186" s="6"/>
      <c r="Z3186" s="6"/>
      <c r="AA3186" s="6"/>
    </row>
    <row r="3187" ht="14.25">
      <c r="B3187" s="4" t="s">
        <v>1596</v>
      </c>
      <c r="C3187" s="4" t="s">
        <v>23694</v>
      </c>
      <c r="D3187" s="4" t="s">
        <v>1130</v>
      </c>
      <c r="E3187" s="4" t="s">
        <v>23695</v>
      </c>
      <c r="F3187" s="4" t="str">
        <f>IFERROR(__XLUDF.DUMMYFUNCTION("PROPER(REGEXREPLACE(D903,""[^A-Za-z]+ "",""""))"),"Azh")</f>
        <v>Azh</v>
      </c>
      <c r="G3187" s="4" t="s">
        <v>23696</v>
      </c>
      <c r="H3187" s="4">
        <v>41</v>
      </c>
      <c r="I3187" s="4" t="s">
        <v>4067</v>
      </c>
      <c r="J3187" s="4"/>
      <c r="K3187" s="5" t="s">
        <v>23697</v>
      </c>
      <c r="L3187" s="5" t="s">
        <v>23698</v>
      </c>
      <c r="M3187" s="4" t="s">
        <v>185</v>
      </c>
      <c r="N3187" s="4" t="s">
        <v>29</v>
      </c>
      <c r="O3187" s="4" t="s">
        <v>23699</v>
      </c>
      <c r="P3187" s="4" t="s">
        <v>6166</v>
      </c>
      <c r="Q3187" s="4" t="s">
        <v>23700</v>
      </c>
      <c r="R3187" s="6"/>
      <c r="S3187" s="6"/>
      <c r="T3187" s="6"/>
      <c r="U3187" s="6"/>
      <c r="V3187" s="6"/>
      <c r="W3187" s="6"/>
      <c r="X3187" s="6"/>
      <c r="Y3187" s="6"/>
      <c r="Z3187" s="6"/>
      <c r="AA3187" s="6"/>
    </row>
    <row r="3188" ht="14.25">
      <c r="B3188" s="4" t="s">
        <v>622</v>
      </c>
      <c r="C3188" s="4" t="s">
        <v>23701</v>
      </c>
      <c r="D3188" s="4" t="s">
        <v>23702</v>
      </c>
      <c r="E3188" s="4" t="s">
        <v>23703</v>
      </c>
      <c r="F3188" s="4" t="str">
        <f>IFERROR(__XLUDF.DUMMYFUNCTION("PROPER(REGEXREPLACE(D904,""[^A-Za-z]+ "",""""))"),"Diffus'Laine Tissus")</f>
        <v xml:space="preserve">Diffus'Laine Tissus</v>
      </c>
      <c r="G3188" s="4" t="s">
        <v>23704</v>
      </c>
      <c r="H3188" s="4">
        <v>30</v>
      </c>
      <c r="I3188" s="4" t="s">
        <v>4525</v>
      </c>
      <c r="J3188" s="4"/>
      <c r="K3188" s="5" t="s">
        <v>23705</v>
      </c>
      <c r="L3188" s="5" t="s">
        <v>23706</v>
      </c>
      <c r="M3188" s="4" t="s">
        <v>243</v>
      </c>
      <c r="N3188" s="4" t="s">
        <v>29</v>
      </c>
      <c r="O3188" s="4" t="s">
        <v>23707</v>
      </c>
      <c r="P3188" s="4" t="s">
        <v>29</v>
      </c>
      <c r="Q3188" s="4" t="s">
        <v>23708</v>
      </c>
      <c r="R3188" s="6"/>
      <c r="S3188" s="6"/>
      <c r="T3188" s="6"/>
      <c r="U3188" s="6"/>
      <c r="V3188" s="6"/>
      <c r="W3188" s="6"/>
      <c r="X3188" s="6"/>
      <c r="Y3188" s="6"/>
      <c r="Z3188" s="6"/>
      <c r="AA3188" s="6"/>
    </row>
    <row r="3189" ht="14.25">
      <c r="B3189" s="4" t="s">
        <v>23709</v>
      </c>
      <c r="C3189" s="4" t="s">
        <v>23710</v>
      </c>
      <c r="D3189" s="4" t="s">
        <v>23711</v>
      </c>
      <c r="E3189" s="4" t="s">
        <v>23712</v>
      </c>
      <c r="F3189" s="4" t="str">
        <f>IFERROR(__XLUDF.DUMMYFUNCTION("PROPER(REGEXREPLACE(D905,""[^A-Za-z]+ "",""""))"),"Techtalents")</f>
        <v>Techtalents</v>
      </c>
      <c r="G3189" s="4" t="s">
        <v>23713</v>
      </c>
      <c r="H3189" s="4">
        <v>13</v>
      </c>
      <c r="I3189" s="4" t="s">
        <v>2602</v>
      </c>
      <c r="J3189" s="4" t="str">
        <f>IFERROR(__XLUDF.DUMMYFUNCTION("VLOOKUP(H905,IMPORTRANGE(""https://docs.google.com/spreadsheets/d/1opm6ZNvGZ7KditA9TuJwrZ25eFLfTNIkrNnY6mhV5Eg"",""list!A1:C115""),3,TRUE)"),"le secteur de la tech")</f>
        <v xml:space="preserve">le secteur de la tech</v>
      </c>
      <c r="K3189" s="5" t="s">
        <v>23714</v>
      </c>
      <c r="L3189" s="5" t="s">
        <v>23715</v>
      </c>
      <c r="M3189" s="4" t="s">
        <v>846</v>
      </c>
      <c r="N3189" s="4" t="s">
        <v>29</v>
      </c>
      <c r="O3189" s="4" t="s">
        <v>23716</v>
      </c>
      <c r="P3189" s="4" t="s">
        <v>29</v>
      </c>
      <c r="Q3189" s="4" t="s">
        <v>23717</v>
      </c>
      <c r="R3189" s="6"/>
      <c r="S3189" s="6"/>
      <c r="T3189" s="6"/>
      <c r="U3189" s="6"/>
      <c r="V3189" s="6"/>
      <c r="W3189" s="6"/>
      <c r="X3189" s="6"/>
      <c r="Y3189" s="6"/>
      <c r="Z3189" s="6"/>
      <c r="AA3189" s="6"/>
    </row>
    <row r="3190" ht="14.25">
      <c r="B3190" s="4" t="s">
        <v>485</v>
      </c>
      <c r="C3190" s="4" t="s">
        <v>23718</v>
      </c>
      <c r="D3190" s="4" t="s">
        <v>23719</v>
      </c>
      <c r="E3190" s="4" t="s">
        <v>23720</v>
      </c>
      <c r="F3190" s="4" t="str">
        <f>IFERROR(__XLUDF.DUMMYFUNCTION("PROPER(REGEXREPLACE(D906,""[^A-Za-z]+ "",""""))"),"Nothing2Install")</f>
        <v>Nothing2Install</v>
      </c>
      <c r="G3190" s="4" t="s">
        <v>23721</v>
      </c>
      <c r="H3190" s="4">
        <v>13</v>
      </c>
      <c r="I3190" s="4" t="s">
        <v>2602</v>
      </c>
      <c r="J3190" s="4"/>
      <c r="K3190" s="5" t="s">
        <v>23722</v>
      </c>
      <c r="L3190" s="5" t="s">
        <v>23723</v>
      </c>
      <c r="M3190" s="6"/>
      <c r="N3190" s="4" t="s">
        <v>29</v>
      </c>
      <c r="O3190" s="4" t="s">
        <v>23724</v>
      </c>
      <c r="P3190" s="4" t="s">
        <v>29</v>
      </c>
      <c r="Q3190" s="6"/>
      <c r="R3190" s="6"/>
      <c r="S3190" s="6"/>
      <c r="T3190" s="6"/>
      <c r="U3190" s="6"/>
      <c r="V3190" s="6"/>
      <c r="W3190" s="6"/>
      <c r="X3190" s="6"/>
      <c r="Y3190" s="6"/>
      <c r="Z3190" s="6"/>
      <c r="AA3190" s="6"/>
    </row>
    <row r="3191" ht="14.25">
      <c r="B3191" s="4" t="s">
        <v>76</v>
      </c>
      <c r="C3191" s="4" t="s">
        <v>23725</v>
      </c>
      <c r="D3191" s="4" t="s">
        <v>7759</v>
      </c>
      <c r="E3191" s="4" t="s">
        <v>23726</v>
      </c>
      <c r="F3191" s="4" t="str">
        <f>IFERROR(__XLUDF.DUMMYFUNCTION("PROPER(REGEXREPLACE(D907,""[^A-Za-z]+ "",""""))"),"Au Jardin Des Plantes")</f>
        <v xml:space="preserve">Au Jardin Des Plantes</v>
      </c>
      <c r="G3191" s="4" t="s">
        <v>23727</v>
      </c>
      <c r="H3191" s="4">
        <v>20</v>
      </c>
      <c r="I3191" s="4" t="s">
        <v>4525</v>
      </c>
      <c r="J3191" s="4"/>
      <c r="K3191" s="5" t="s">
        <v>23728</v>
      </c>
      <c r="L3191" s="5" t="s">
        <v>23729</v>
      </c>
      <c r="M3191" s="4" t="s">
        <v>774</v>
      </c>
      <c r="N3191" s="4" t="s">
        <v>29</v>
      </c>
      <c r="O3191" s="4" t="s">
        <v>23730</v>
      </c>
      <c r="P3191" s="4" t="s">
        <v>29</v>
      </c>
      <c r="Q3191" s="6"/>
      <c r="R3191" s="6"/>
      <c r="S3191" s="6"/>
      <c r="T3191" s="6"/>
      <c r="U3191" s="6"/>
      <c r="V3191" s="6"/>
      <c r="W3191" s="6"/>
      <c r="X3191" s="6"/>
      <c r="Y3191" s="6"/>
      <c r="Z3191" s="6"/>
      <c r="AA3191" s="6"/>
    </row>
    <row r="3192" ht="14.25">
      <c r="B3192" s="4" t="s">
        <v>2299</v>
      </c>
      <c r="C3192" s="4" t="s">
        <v>23731</v>
      </c>
      <c r="D3192" s="4" t="s">
        <v>23732</v>
      </c>
      <c r="E3192" s="4" t="s">
        <v>23733</v>
      </c>
      <c r="F3192" s="4" t="str">
        <f>IFERROR(__XLUDF.DUMMYFUNCTION("PROPER(REGEXREPLACE(D908,""[^A-Za-z]+ "",""""))"),"Vr Connection")</f>
        <v xml:space="preserve">Vr Connection</v>
      </c>
      <c r="G3192" s="4" t="s">
        <v>23734</v>
      </c>
      <c r="H3192" s="4">
        <v>16</v>
      </c>
      <c r="I3192" s="4" t="s">
        <v>2602</v>
      </c>
      <c r="J3192" s="4"/>
      <c r="K3192" s="5" t="s">
        <v>23735</v>
      </c>
      <c r="L3192" s="5" t="s">
        <v>23736</v>
      </c>
      <c r="M3192" s="6"/>
      <c r="N3192" s="4" t="s">
        <v>29</v>
      </c>
      <c r="O3192" s="4" t="s">
        <v>93</v>
      </c>
      <c r="P3192" s="4" t="s">
        <v>29</v>
      </c>
      <c r="Q3192" s="6"/>
      <c r="R3192" s="6"/>
      <c r="S3192" s="6"/>
      <c r="T3192" s="6"/>
      <c r="U3192" s="6"/>
      <c r="V3192" s="6"/>
      <c r="W3192" s="6"/>
      <c r="X3192" s="6"/>
      <c r="Y3192" s="6"/>
      <c r="Z3192" s="6"/>
      <c r="AA3192" s="6"/>
    </row>
    <row r="3193" ht="14.25">
      <c r="B3193" s="4" t="s">
        <v>23737</v>
      </c>
      <c r="C3193" s="4" t="s">
        <v>23738</v>
      </c>
      <c r="D3193" s="4" t="s">
        <v>87</v>
      </c>
      <c r="E3193" s="4" t="s">
        <v>23739</v>
      </c>
      <c r="F3193" s="4" t="str">
        <f>IFERROR(__XLUDF.DUMMYFUNCTION("PROPER(REGEXREPLACE(D909,""[^A-Za-z]+ "",""""))"),"Positran")</f>
        <v>Positran</v>
      </c>
      <c r="G3193" s="4" t="s">
        <v>23740</v>
      </c>
      <c r="H3193" s="4">
        <v>13</v>
      </c>
      <c r="I3193" s="4" t="s">
        <v>4067</v>
      </c>
      <c r="J3193" s="4" t="str">
        <f>IFERROR(__XLUDF.DUMMYFUNCTION("VLOOKUP(H909,IMPORTRANGE(""https://docs.google.com/spreadsheets/d/1opm6ZNvGZ7KditA9TuJwrZ25eFLfTNIkrNnY6mhV5Eg"",""list!A1:C115""),3,TRUE)"),"le secteur du conseil en management")</f>
        <v xml:space="preserve">le secteur du conseil en management</v>
      </c>
      <c r="K3193" s="5" t="s">
        <v>23741</v>
      </c>
      <c r="L3193" s="5" t="s">
        <v>23742</v>
      </c>
      <c r="M3193" s="6"/>
      <c r="N3193" s="4" t="s">
        <v>29</v>
      </c>
      <c r="O3193" s="4" t="s">
        <v>23743</v>
      </c>
      <c r="P3193" s="4" t="s">
        <v>29</v>
      </c>
      <c r="Q3193" s="4" t="s">
        <v>23744</v>
      </c>
      <c r="R3193" s="6"/>
      <c r="S3193" s="6"/>
      <c r="T3193" s="6"/>
      <c r="U3193" s="6"/>
      <c r="V3193" s="6"/>
      <c r="W3193" s="6"/>
      <c r="X3193" s="6"/>
      <c r="Y3193" s="6"/>
      <c r="Z3193" s="6"/>
      <c r="AA3193" s="6"/>
    </row>
    <row r="3194" ht="14.25">
      <c r="B3194" s="4" t="s">
        <v>4115</v>
      </c>
      <c r="C3194" s="4" t="s">
        <v>23745</v>
      </c>
      <c r="D3194" s="4" t="s">
        <v>23746</v>
      </c>
      <c r="E3194" s="4" t="s">
        <v>23747</v>
      </c>
      <c r="F3194" s="4" t="str">
        <f>IFERROR(__XLUDF.DUMMYFUNCTION("PROPER(REGEXREPLACE(D910,""[^A-Za-z]+ "",""""))"),"La Maison Noire")</f>
        <v xml:space="preserve">La Maison Noire</v>
      </c>
      <c r="G3194" s="4" t="s">
        <v>23748</v>
      </c>
      <c r="H3194" s="4">
        <v>20</v>
      </c>
      <c r="I3194" s="4" t="s">
        <v>9161</v>
      </c>
      <c r="J3194" s="4"/>
      <c r="K3194" s="5" t="s">
        <v>23749</v>
      </c>
      <c r="L3194" s="5" t="s">
        <v>23750</v>
      </c>
      <c r="M3194" s="4" t="s">
        <v>39</v>
      </c>
      <c r="N3194" s="4" t="s">
        <v>29</v>
      </c>
      <c r="O3194" s="4" t="s">
        <v>23751</v>
      </c>
      <c r="P3194" s="4" t="s">
        <v>29</v>
      </c>
      <c r="Q3194" s="4" t="s">
        <v>23752</v>
      </c>
      <c r="R3194" s="6"/>
      <c r="S3194" s="6"/>
      <c r="T3194" s="6"/>
      <c r="U3194" s="6"/>
      <c r="V3194" s="6"/>
      <c r="W3194" s="6"/>
      <c r="X3194" s="6"/>
      <c r="Y3194" s="6"/>
      <c r="Z3194" s="6"/>
      <c r="AA3194" s="6"/>
    </row>
    <row r="3195" ht="14.25">
      <c r="B3195" s="4" t="s">
        <v>23753</v>
      </c>
      <c r="C3195" s="4" t="s">
        <v>23754</v>
      </c>
      <c r="D3195" s="4" t="s">
        <v>365</v>
      </c>
      <c r="E3195" s="4" t="s">
        <v>23755</v>
      </c>
      <c r="F3195" s="4" t="str">
        <f>IFERROR(__XLUDF.DUMMYFUNCTION("PROPER(REGEXREPLACE(D911,""[^A-Za-z]+ "",""""))"),"Tridens")</f>
        <v>Tridens</v>
      </c>
      <c r="G3195" s="4" t="s">
        <v>23756</v>
      </c>
      <c r="H3195" s="4">
        <v>30</v>
      </c>
      <c r="I3195" s="4" t="s">
        <v>2602</v>
      </c>
      <c r="J3195" s="4"/>
      <c r="K3195" s="5" t="s">
        <v>23757</v>
      </c>
      <c r="L3195" s="5" t="s">
        <v>23758</v>
      </c>
      <c r="M3195" s="4" t="s">
        <v>1711</v>
      </c>
      <c r="N3195" s="4" t="s">
        <v>29</v>
      </c>
      <c r="O3195" s="4" t="s">
        <v>23759</v>
      </c>
      <c r="P3195" s="4" t="s">
        <v>23760</v>
      </c>
      <c r="Q3195" s="4" t="s">
        <v>23761</v>
      </c>
      <c r="R3195" s="6"/>
      <c r="S3195" s="6"/>
      <c r="T3195" s="6"/>
      <c r="U3195" s="6"/>
      <c r="V3195" s="6"/>
      <c r="W3195" s="6"/>
      <c r="X3195" s="6"/>
      <c r="Y3195" s="6"/>
      <c r="Z3195" s="6"/>
      <c r="AA3195" s="6"/>
    </row>
    <row r="3196" ht="14.25">
      <c r="B3196" s="4" t="s">
        <v>4469</v>
      </c>
      <c r="C3196" s="4" t="s">
        <v>23762</v>
      </c>
      <c r="D3196" s="4" t="s">
        <v>23763</v>
      </c>
      <c r="E3196" s="4" t="s">
        <v>23764</v>
      </c>
      <c r="F3196" s="4" t="str">
        <f>IFERROR(__XLUDF.DUMMYFUNCTION("PROPER(REGEXREPLACE(D912,""[^A-Za-z]+ "",""""))"),"Agence B Side")</f>
        <v xml:space="preserve">Agence B Side</v>
      </c>
      <c r="G3196" s="4" t="s">
        <v>23765</v>
      </c>
      <c r="H3196" s="4">
        <v>26</v>
      </c>
      <c r="I3196" s="4" t="s">
        <v>10639</v>
      </c>
      <c r="J3196" s="4" t="str">
        <f>IFERROR(__XLUDF.DUMMYFUNCTION("VLOOKUP(H912,IMPORTRANGE(""https://docs.google.com/spreadsheets/d/1opm6ZNvGZ7KditA9TuJwrZ25eFLfTNIkrNnY6mhV5Eg"",""list!A1:C115""),3,TRUE)"),"le secteur de la communication")</f>
        <v xml:space="preserve">le secteur de la communication</v>
      </c>
      <c r="K3196" s="5" t="s">
        <v>23766</v>
      </c>
      <c r="L3196" s="5" t="s">
        <v>23767</v>
      </c>
      <c r="M3196" s="4" t="s">
        <v>1711</v>
      </c>
      <c r="N3196" s="4" t="s">
        <v>29</v>
      </c>
      <c r="O3196" s="4" t="s">
        <v>23768</v>
      </c>
      <c r="P3196" s="4" t="s">
        <v>29</v>
      </c>
      <c r="Q3196" s="6"/>
      <c r="R3196" s="6"/>
      <c r="S3196" s="6"/>
      <c r="T3196" s="6"/>
      <c r="U3196" s="6"/>
      <c r="V3196" s="6"/>
      <c r="W3196" s="6"/>
      <c r="X3196" s="6"/>
      <c r="Y3196" s="6"/>
      <c r="Z3196" s="6"/>
      <c r="AA3196" s="6"/>
    </row>
    <row r="3197" ht="14.25">
      <c r="B3197" s="4" t="s">
        <v>4115</v>
      </c>
      <c r="C3197" s="4" t="s">
        <v>23769</v>
      </c>
      <c r="D3197" s="4" t="s">
        <v>265</v>
      </c>
      <c r="E3197" s="4" t="s">
        <v>18926</v>
      </c>
      <c r="F3197" s="4" t="str">
        <f>IFERROR(__XLUDF.DUMMYFUNCTION("PROPER(REGEXREPLACE(D913,""[^A-Za-z]+ "",""""))"),"Teelt")</f>
        <v>Teelt</v>
      </c>
      <c r="G3197" s="4" t="s">
        <v>23770</v>
      </c>
      <c r="H3197" s="4">
        <v>10</v>
      </c>
      <c r="I3197" s="4" t="s">
        <v>2602</v>
      </c>
      <c r="J3197" s="4" t="str">
        <f>IFERROR(__XLUDF.DUMMYFUNCTION("VLOOKUP(H913,IMPORTRANGE(""https://docs.google.com/spreadsheets/d/1opm6ZNvGZ7KditA9TuJwrZ25eFLfTNIkrNnY6mhV5Eg"",""list!A1:C115""),3,TRUE)"),"le secteur de la tech")</f>
        <v xml:space="preserve">le secteur de la tech</v>
      </c>
      <c r="K3197" s="5" t="s">
        <v>23771</v>
      </c>
      <c r="L3197" s="5" t="s">
        <v>18929</v>
      </c>
      <c r="M3197" s="4" t="s">
        <v>39</v>
      </c>
      <c r="N3197" s="4" t="s">
        <v>29</v>
      </c>
      <c r="O3197" s="4" t="s">
        <v>18467</v>
      </c>
      <c r="P3197" s="4" t="s">
        <v>29</v>
      </c>
      <c r="Q3197" s="4" t="s">
        <v>18930</v>
      </c>
      <c r="R3197" s="6"/>
      <c r="S3197" s="6"/>
      <c r="T3197" s="6"/>
      <c r="U3197" s="6"/>
      <c r="V3197" s="6"/>
      <c r="W3197" s="6"/>
      <c r="X3197" s="6"/>
      <c r="Y3197" s="6"/>
      <c r="Z3197" s="6"/>
      <c r="AA3197" s="6"/>
    </row>
    <row r="3198" ht="14.25">
      <c r="B3198" s="4" t="s">
        <v>661</v>
      </c>
      <c r="C3198" s="4" t="s">
        <v>23772</v>
      </c>
      <c r="D3198" s="4" t="s">
        <v>15715</v>
      </c>
      <c r="E3198" s="4" t="s">
        <v>23773</v>
      </c>
      <c r="F3198" s="4" t="str">
        <f>IFERROR(__XLUDF.DUMMYFUNCTION("PROPER(REGEXREPLACE(D914,""[^A-Za-z]+ "",""""))"),"Opsynet")</f>
        <v>Opsynet</v>
      </c>
      <c r="G3198" s="4" t="s">
        <v>23774</v>
      </c>
      <c r="H3198" s="4">
        <v>19</v>
      </c>
      <c r="I3198" s="4" t="s">
        <v>9264</v>
      </c>
      <c r="J3198" s="4"/>
      <c r="K3198" s="5" t="s">
        <v>23775</v>
      </c>
      <c r="L3198" s="5" t="s">
        <v>23776</v>
      </c>
      <c r="M3198" s="4" t="s">
        <v>39</v>
      </c>
      <c r="N3198" s="4" t="s">
        <v>29</v>
      </c>
      <c r="O3198" s="4" t="s">
        <v>23777</v>
      </c>
      <c r="P3198" s="4" t="s">
        <v>29</v>
      </c>
      <c r="Q3198" s="4" t="s">
        <v>23778</v>
      </c>
      <c r="R3198" s="6"/>
      <c r="S3198" s="6"/>
      <c r="T3198" s="6"/>
      <c r="U3198" s="6"/>
      <c r="V3198" s="6"/>
      <c r="W3198" s="6"/>
      <c r="X3198" s="6"/>
      <c r="Y3198" s="6"/>
      <c r="Z3198" s="6"/>
      <c r="AA3198" s="6"/>
    </row>
    <row r="3199" ht="14.25">
      <c r="B3199" s="4" t="s">
        <v>23779</v>
      </c>
      <c r="C3199" s="4" t="s">
        <v>23780</v>
      </c>
      <c r="D3199" s="4" t="s">
        <v>23781</v>
      </c>
      <c r="E3199" s="4" t="s">
        <v>23782</v>
      </c>
      <c r="F3199" s="4" t="str">
        <f>IFERROR(__XLUDF.DUMMYFUNCTION("PROPER(REGEXREPLACE(D915,""[^A-Za-z]+ "",""""))"),"Imaginepartners")</f>
        <v>Imaginepartners</v>
      </c>
      <c r="G3199" s="4" t="s">
        <v>23783</v>
      </c>
      <c r="H3199" s="4">
        <v>24</v>
      </c>
      <c r="I3199" s="4" t="s">
        <v>2602</v>
      </c>
      <c r="J3199" s="4" t="str">
        <f>IFERROR(__XLUDF.DUMMYFUNCTION("VLOOKUP(H915,IMPORTRANGE(""https://docs.google.com/spreadsheets/d/1opm6ZNvGZ7KditA9TuJwrZ25eFLfTNIkrNnY6mhV5Eg"",""list!A1:C115""),3,TRUE)"),"le secteur de la tech")</f>
        <v xml:space="preserve">le secteur de la tech</v>
      </c>
      <c r="K3199" s="5" t="s">
        <v>23784</v>
      </c>
      <c r="L3199" s="5" t="s">
        <v>23785</v>
      </c>
      <c r="M3199" s="4" t="s">
        <v>39</v>
      </c>
      <c r="N3199" s="4" t="s">
        <v>29</v>
      </c>
      <c r="O3199" s="4" t="s">
        <v>23786</v>
      </c>
      <c r="P3199" s="4" t="s">
        <v>5428</v>
      </c>
      <c r="Q3199" s="6"/>
      <c r="R3199" s="6"/>
      <c r="S3199" s="6"/>
      <c r="T3199" s="6"/>
      <c r="U3199" s="6"/>
      <c r="V3199" s="6"/>
      <c r="W3199" s="6"/>
      <c r="X3199" s="6"/>
      <c r="Y3199" s="6"/>
      <c r="Z3199" s="6"/>
      <c r="AA3199" s="6"/>
    </row>
    <row r="3200" ht="14.25">
      <c r="B3200" s="4" t="s">
        <v>23787</v>
      </c>
      <c r="C3200" s="4" t="s">
        <v>23788</v>
      </c>
      <c r="D3200" s="4" t="s">
        <v>341</v>
      </c>
      <c r="E3200" s="4" t="s">
        <v>23788</v>
      </c>
      <c r="F3200" s="4" t="str">
        <f>IFERROR(__XLUDF.DUMMYFUNCTION("PROPER(REGEXREPLACE(D916,""[^A-Za-z]+ "",""""))"),"Novelli")</f>
        <v>Novelli</v>
      </c>
      <c r="G3200" s="4" t="s">
        <v>23789</v>
      </c>
      <c r="H3200" s="4">
        <v>29</v>
      </c>
      <c r="I3200" s="4" t="s">
        <v>9161</v>
      </c>
      <c r="J3200" s="4"/>
      <c r="K3200" s="5" t="s">
        <v>23790</v>
      </c>
      <c r="L3200" s="5" t="s">
        <v>23791</v>
      </c>
      <c r="M3200" s="4" t="s">
        <v>1312</v>
      </c>
      <c r="N3200" s="4" t="s">
        <v>29</v>
      </c>
      <c r="O3200" s="4" t="s">
        <v>23792</v>
      </c>
      <c r="P3200" s="4" t="s">
        <v>23793</v>
      </c>
      <c r="Q3200" s="4" t="s">
        <v>23794</v>
      </c>
      <c r="R3200" s="6"/>
      <c r="S3200" s="6"/>
      <c r="T3200" s="6"/>
      <c r="U3200" s="6"/>
      <c r="V3200" s="6"/>
      <c r="W3200" s="6"/>
      <c r="X3200" s="6"/>
      <c r="Y3200" s="6"/>
      <c r="Z3200" s="6"/>
      <c r="AA3200" s="6"/>
    </row>
    <row r="3201" ht="14.25">
      <c r="B3201" s="4" t="s">
        <v>14276</v>
      </c>
      <c r="C3201" s="4" t="s">
        <v>23795</v>
      </c>
      <c r="D3201" s="4" t="s">
        <v>112</v>
      </c>
      <c r="E3201" s="4" t="s">
        <v>23796</v>
      </c>
      <c r="F3201" s="4" t="str">
        <f>IFERROR(__XLUDF.DUMMYFUNCTION("PROPER(REGEXREPLACE(D917,""[^A-Za-z]+ "",""""))"),"Europe Multitechniques Services")</f>
        <v xml:space="preserve">Europe Multitechniques Services</v>
      </c>
      <c r="G3201" s="4" t="s">
        <v>23797</v>
      </c>
      <c r="H3201" s="4">
        <v>9</v>
      </c>
      <c r="I3201" s="4" t="s">
        <v>9264</v>
      </c>
      <c r="J3201" s="4"/>
      <c r="K3201" s="5" t="s">
        <v>23798</v>
      </c>
      <c r="L3201" s="5" t="s">
        <v>23799</v>
      </c>
      <c r="M3201" s="4" t="s">
        <v>39</v>
      </c>
      <c r="N3201" s="4" t="s">
        <v>29</v>
      </c>
      <c r="O3201" s="4" t="s">
        <v>23800</v>
      </c>
      <c r="P3201" s="4" t="s">
        <v>29</v>
      </c>
      <c r="Q3201" s="4" t="s">
        <v>23801</v>
      </c>
      <c r="R3201" s="6"/>
      <c r="S3201" s="6"/>
      <c r="T3201" s="6"/>
      <c r="U3201" s="6"/>
      <c r="V3201" s="6"/>
      <c r="W3201" s="6"/>
      <c r="X3201" s="6"/>
      <c r="Y3201" s="6"/>
      <c r="Z3201" s="6"/>
      <c r="AA3201" s="6"/>
    </row>
    <row r="3202" ht="14.25">
      <c r="B3202" s="4" t="s">
        <v>7246</v>
      </c>
      <c r="C3202" s="4" t="s">
        <v>23802</v>
      </c>
      <c r="D3202" s="4" t="s">
        <v>62</v>
      </c>
      <c r="E3202" s="4" t="s">
        <v>23803</v>
      </c>
      <c r="F3202" s="4" t="str">
        <f>IFERROR(__XLUDF.DUMMYFUNCTION("PROPER(REGEXREPLACE(D918,""[^A-Za-z]+ "",""""))"),"Teeps")</f>
        <v>Teeps</v>
      </c>
      <c r="G3202" s="4" t="s">
        <v>23804</v>
      </c>
      <c r="H3202" s="4">
        <v>19</v>
      </c>
      <c r="I3202" s="4" t="s">
        <v>9161</v>
      </c>
      <c r="J3202" s="4"/>
      <c r="K3202" s="5" t="s">
        <v>23805</v>
      </c>
      <c r="L3202" s="5" t="s">
        <v>23806</v>
      </c>
      <c r="M3202" s="6"/>
      <c r="N3202" s="4" t="s">
        <v>29</v>
      </c>
      <c r="O3202" s="4" t="s">
        <v>23807</v>
      </c>
      <c r="P3202" s="4" t="s">
        <v>29</v>
      </c>
      <c r="Q3202" s="4" t="s">
        <v>23808</v>
      </c>
      <c r="R3202" s="6"/>
      <c r="S3202" s="6"/>
      <c r="T3202" s="6"/>
      <c r="U3202" s="6"/>
      <c r="V3202" s="6"/>
      <c r="W3202" s="6"/>
      <c r="X3202" s="6"/>
      <c r="Y3202" s="6"/>
      <c r="Z3202" s="6"/>
      <c r="AA3202" s="6"/>
    </row>
    <row r="3203" ht="14.25">
      <c r="B3203" s="4" t="s">
        <v>1861</v>
      </c>
      <c r="C3203" s="4" t="s">
        <v>5324</v>
      </c>
      <c r="D3203" s="4" t="s">
        <v>23809</v>
      </c>
      <c r="E3203" s="4" t="s">
        <v>23810</v>
      </c>
      <c r="F3203" s="4" t="str">
        <f>IFERROR(__XLUDF.DUMMYFUNCTION("PROPER(REGEXREPLACE(D919,""[^A-Za-z]+ "",""""))"),"Dsflow")</f>
        <v>Dsflow</v>
      </c>
      <c r="G3203" s="4" t="s">
        <v>23811</v>
      </c>
      <c r="H3203" s="4">
        <v>9</v>
      </c>
      <c r="I3203" s="4" t="s">
        <v>2602</v>
      </c>
      <c r="J3203" s="4" t="str">
        <f>IFERROR(__XLUDF.DUMMYFUNCTION("VLOOKUP(H919,IMPORTRANGE(""https://docs.google.com/spreadsheets/d/1opm6ZNvGZ7KditA9TuJwrZ25eFLfTNIkrNnY6mhV5Eg"",""list!A1:C115""),3,TRUE)"),"le secteur de la tech")</f>
        <v xml:space="preserve">le secteur de la tech</v>
      </c>
      <c r="K3203" s="5" t="s">
        <v>23812</v>
      </c>
      <c r="L3203" s="5" t="s">
        <v>23813</v>
      </c>
      <c r="M3203" s="6"/>
      <c r="N3203" s="4" t="s">
        <v>29</v>
      </c>
      <c r="O3203" s="4" t="s">
        <v>23814</v>
      </c>
      <c r="P3203" s="4" t="s">
        <v>29</v>
      </c>
      <c r="Q3203" s="6"/>
      <c r="R3203" s="6"/>
      <c r="S3203" s="6"/>
      <c r="T3203" s="6"/>
      <c r="U3203" s="6"/>
      <c r="V3203" s="6"/>
      <c r="W3203" s="6"/>
      <c r="X3203" s="6"/>
      <c r="Y3203" s="6"/>
      <c r="Z3203" s="6"/>
      <c r="AA3203" s="6"/>
    </row>
    <row r="3204" ht="14.25">
      <c r="B3204" s="4" t="s">
        <v>1732</v>
      </c>
      <c r="C3204" s="4" t="s">
        <v>23815</v>
      </c>
      <c r="D3204" s="4" t="s">
        <v>13589</v>
      </c>
      <c r="E3204" s="4" t="s">
        <v>23816</v>
      </c>
      <c r="F3204" s="4" t="str">
        <f>IFERROR(__XLUDF.DUMMYFUNCTION("PROPER(REGEXREPLACE(D920,""[^A-Za-z]+ "",""""))"),"Tutteo")</f>
        <v>Tutteo</v>
      </c>
      <c r="G3204" s="4" t="s">
        <v>23817</v>
      </c>
      <c r="H3204" s="4">
        <v>38</v>
      </c>
      <c r="I3204" s="4" t="s">
        <v>2602</v>
      </c>
      <c r="J3204" s="4" t="str">
        <f>IFERROR(__XLUDF.DUMMYFUNCTION("VLOOKUP(H920,IMPORTRANGE(""https://docs.google.com/spreadsheets/d/1opm6ZNvGZ7KditA9TuJwrZ25eFLfTNIkrNnY6mhV5Eg"",""list!A1:C115""),3,TRUE)"),"le secteur de la tech")</f>
        <v xml:space="preserve">le secteur de la tech</v>
      </c>
      <c r="K3204" s="5" t="s">
        <v>23818</v>
      </c>
      <c r="L3204" s="5" t="s">
        <v>23819</v>
      </c>
      <c r="M3204" s="4" t="s">
        <v>2650</v>
      </c>
      <c r="N3204" s="4" t="s">
        <v>29</v>
      </c>
      <c r="O3204" s="4" t="s">
        <v>23820</v>
      </c>
      <c r="P3204" s="4" t="s">
        <v>1548</v>
      </c>
      <c r="Q3204" s="4" t="s">
        <v>23821</v>
      </c>
      <c r="R3204" s="6"/>
      <c r="S3204" s="6"/>
      <c r="T3204" s="6"/>
      <c r="U3204" s="6"/>
      <c r="V3204" s="6"/>
      <c r="W3204" s="6"/>
      <c r="X3204" s="6"/>
      <c r="Y3204" s="6"/>
      <c r="Z3204" s="6"/>
      <c r="AA3204" s="6"/>
    </row>
    <row r="3205" ht="14.25">
      <c r="B3205" s="4" t="s">
        <v>948</v>
      </c>
      <c r="C3205" s="4" t="s">
        <v>23822</v>
      </c>
      <c r="D3205" s="4" t="s">
        <v>1130</v>
      </c>
      <c r="E3205" s="4" t="s">
        <v>23823</v>
      </c>
      <c r="F3205" s="4" t="str">
        <f>IFERROR(__XLUDF.DUMMYFUNCTION("PROPER(REGEXREPLACE(D921,""[^A-Za-z]+ "",""""))"),"Stilec")</f>
        <v>Stilec</v>
      </c>
      <c r="G3205" s="4" t="s">
        <v>23824</v>
      </c>
      <c r="H3205" s="4">
        <v>13</v>
      </c>
      <c r="I3205" s="4" t="s">
        <v>10215</v>
      </c>
      <c r="J3205" s="4"/>
      <c r="K3205" s="5" t="s">
        <v>23825</v>
      </c>
      <c r="L3205" s="5" t="s">
        <v>23826</v>
      </c>
      <c r="M3205" s="4" t="s">
        <v>23827</v>
      </c>
      <c r="N3205" s="4" t="s">
        <v>29</v>
      </c>
      <c r="O3205" s="4" t="s">
        <v>23828</v>
      </c>
      <c r="P3205" s="4" t="s">
        <v>29</v>
      </c>
      <c r="Q3205" s="4" t="s">
        <v>23829</v>
      </c>
      <c r="R3205" s="6"/>
      <c r="S3205" s="6"/>
      <c r="T3205" s="6"/>
      <c r="U3205" s="6"/>
      <c r="V3205" s="6"/>
      <c r="W3205" s="6"/>
      <c r="X3205" s="6"/>
      <c r="Y3205" s="6"/>
      <c r="Z3205" s="6"/>
      <c r="AA3205" s="6"/>
    </row>
    <row r="3206" ht="14.25">
      <c r="B3206" s="4" t="s">
        <v>330</v>
      </c>
      <c r="C3206" s="4" t="s">
        <v>10461</v>
      </c>
      <c r="D3206" s="4" t="s">
        <v>23830</v>
      </c>
      <c r="E3206" s="4" t="s">
        <v>23831</v>
      </c>
      <c r="F3206" s="4" t="str">
        <f>IFERROR(__XLUDF.DUMMYFUNCTION("PROPER(REGEXREPLACE(D922,""[^A-Za-z]+ "",""""))"),"Tsmf")</f>
        <v>Tsmf</v>
      </c>
      <c r="G3206" s="4" t="s">
        <v>23832</v>
      </c>
      <c r="H3206" s="4">
        <v>9</v>
      </c>
      <c r="I3206" s="4" t="s">
        <v>2602</v>
      </c>
      <c r="J3206" s="4"/>
      <c r="K3206" s="5" t="s">
        <v>23833</v>
      </c>
      <c r="L3206" s="5" t="s">
        <v>23834</v>
      </c>
      <c r="M3206" s="4" t="s">
        <v>39</v>
      </c>
      <c r="N3206" s="4" t="s">
        <v>29</v>
      </c>
      <c r="O3206" s="4" t="s">
        <v>23835</v>
      </c>
      <c r="P3206" s="4" t="s">
        <v>29</v>
      </c>
      <c r="Q3206" s="6"/>
      <c r="R3206" s="6"/>
      <c r="S3206" s="6"/>
      <c r="T3206" s="6"/>
      <c r="U3206" s="6"/>
      <c r="V3206" s="6"/>
      <c r="W3206" s="6"/>
      <c r="X3206" s="6"/>
      <c r="Y3206" s="6"/>
      <c r="Z3206" s="6"/>
      <c r="AA3206" s="6"/>
    </row>
    <row r="3207" ht="14.25">
      <c r="B3207" s="4" t="s">
        <v>6788</v>
      </c>
      <c r="C3207" s="4" t="s">
        <v>23836</v>
      </c>
      <c r="D3207" s="4" t="s">
        <v>112</v>
      </c>
      <c r="E3207" s="4" t="s">
        <v>23837</v>
      </c>
      <c r="F3207" s="4" t="str">
        <f>IFERROR(__XLUDF.DUMMYFUNCTION("PROPER(REGEXREPLACE(D923,""[^A-Za-z]+ "",""""))"),"Spi Informatique")</f>
        <v xml:space="preserve">Spi Informatique</v>
      </c>
      <c r="G3207" s="4" t="s">
        <v>23838</v>
      </c>
      <c r="H3207" s="4">
        <v>16</v>
      </c>
      <c r="I3207" s="4" t="s">
        <v>2602</v>
      </c>
      <c r="J3207" s="4" t="str">
        <f>IFERROR(__XLUDF.DUMMYFUNCTION("VLOOKUP(H923,IMPORTRANGE(""https://docs.google.com/spreadsheets/d/1opm6ZNvGZ7KditA9TuJwrZ25eFLfTNIkrNnY6mhV5Eg"",""list!A1:C115""),3,TRUE)"),"le secteur de la tech")</f>
        <v xml:space="preserve">le secteur de la tech</v>
      </c>
      <c r="K3207" s="5" t="s">
        <v>23839</v>
      </c>
      <c r="L3207" s="5" t="s">
        <v>23840</v>
      </c>
      <c r="M3207" s="6"/>
      <c r="N3207" s="4" t="s">
        <v>29</v>
      </c>
      <c r="O3207" s="4" t="s">
        <v>23841</v>
      </c>
      <c r="P3207" s="4" t="s">
        <v>29</v>
      </c>
      <c r="Q3207" s="4" t="s">
        <v>23842</v>
      </c>
      <c r="R3207" s="6"/>
      <c r="S3207" s="6"/>
      <c r="T3207" s="6"/>
      <c r="U3207" s="6"/>
      <c r="V3207" s="6"/>
      <c r="W3207" s="6"/>
      <c r="X3207" s="6"/>
      <c r="Y3207" s="6"/>
      <c r="Z3207" s="6"/>
      <c r="AA3207" s="6"/>
    </row>
    <row r="3208" ht="14.25">
      <c r="B3208" s="4" t="s">
        <v>622</v>
      </c>
      <c r="C3208" s="4" t="s">
        <v>23843</v>
      </c>
      <c r="D3208" s="4" t="s">
        <v>172</v>
      </c>
      <c r="E3208" s="4" t="s">
        <v>23844</v>
      </c>
      <c r="F3208" s="4" t="str">
        <f>IFERROR(__XLUDF.DUMMYFUNCTION("PROPER(REGEXREPLACE(D924,""[^A-Za-z]+ "",""""))"),"Axigate Sa")</f>
        <v xml:space="preserve">Axigate Sa</v>
      </c>
      <c r="G3208" s="4" t="s">
        <v>23845</v>
      </c>
      <c r="H3208" s="4">
        <v>35</v>
      </c>
      <c r="I3208" s="4" t="s">
        <v>2602</v>
      </c>
      <c r="J3208" s="4"/>
      <c r="K3208" s="5" t="s">
        <v>23846</v>
      </c>
      <c r="L3208" s="5" t="s">
        <v>23847</v>
      </c>
      <c r="M3208" s="4" t="s">
        <v>243</v>
      </c>
      <c r="N3208" s="4" t="s">
        <v>29</v>
      </c>
      <c r="O3208" s="4" t="s">
        <v>23848</v>
      </c>
      <c r="P3208" s="4" t="s">
        <v>29</v>
      </c>
      <c r="Q3208" s="6"/>
      <c r="R3208" s="6"/>
      <c r="S3208" s="6"/>
      <c r="T3208" s="6"/>
      <c r="U3208" s="6"/>
      <c r="V3208" s="6"/>
      <c r="W3208" s="6"/>
      <c r="X3208" s="6"/>
      <c r="Y3208" s="6"/>
      <c r="Z3208" s="6"/>
      <c r="AA3208" s="6"/>
    </row>
    <row r="3209" ht="14.25">
      <c r="B3209" s="4" t="s">
        <v>222</v>
      </c>
      <c r="C3209" s="4" t="s">
        <v>23849</v>
      </c>
      <c r="D3209" s="4" t="s">
        <v>426</v>
      </c>
      <c r="E3209" s="4" t="s">
        <v>20153</v>
      </c>
      <c r="F3209" s="4" t="str">
        <f>IFERROR(__XLUDF.DUMMYFUNCTION("PROPER(REGEXREPLACE(D925,""[^A-Za-z]+ "",""""))"),"Covline")</f>
        <v>Covline</v>
      </c>
      <c r="G3209" s="4" t="s">
        <v>23850</v>
      </c>
      <c r="H3209" s="4">
        <v>12</v>
      </c>
      <c r="I3209" s="4" t="s">
        <v>2602</v>
      </c>
      <c r="J3209" s="4" t="str">
        <f>IFERROR(__XLUDF.DUMMYFUNCTION("VLOOKUP(H925,IMPORTRANGE(""https://docs.google.com/spreadsheets/d/1opm6ZNvGZ7KditA9TuJwrZ25eFLfTNIkrNnY6mhV5Eg"",""list!A1:C115""),3,TRUE)"),"le secteur de la tech")</f>
        <v xml:space="preserve">le secteur de la tech</v>
      </c>
      <c r="K3209" s="5" t="s">
        <v>23851</v>
      </c>
      <c r="L3209" s="5" t="s">
        <v>20156</v>
      </c>
      <c r="M3209" s="4" t="s">
        <v>651</v>
      </c>
      <c r="N3209" s="4" t="s">
        <v>29</v>
      </c>
      <c r="O3209" s="4" t="s">
        <v>20158</v>
      </c>
      <c r="P3209" s="4" t="s">
        <v>29</v>
      </c>
      <c r="Q3209" s="6"/>
      <c r="R3209" s="6"/>
      <c r="S3209" s="6"/>
      <c r="T3209" s="6"/>
      <c r="U3209" s="6"/>
      <c r="V3209" s="6"/>
      <c r="W3209" s="6"/>
      <c r="X3209" s="6"/>
      <c r="Y3209" s="6"/>
      <c r="Z3209" s="6"/>
      <c r="AA3209" s="6"/>
    </row>
    <row r="3210" ht="14.25">
      <c r="B3210" s="4" t="s">
        <v>23852</v>
      </c>
      <c r="C3210" s="4" t="s">
        <v>1556</v>
      </c>
      <c r="D3210" s="4" t="s">
        <v>2645</v>
      </c>
      <c r="E3210" s="4" t="s">
        <v>23853</v>
      </c>
      <c r="F3210" s="4" t="str">
        <f>IFERROR(__XLUDF.DUMMYFUNCTION("PROPER(REGEXREPLACE(D926,""[^A-Za-z]+ "",""""))"),"Birdie")</f>
        <v>Birdie</v>
      </c>
      <c r="G3210" s="4" t="s">
        <v>23854</v>
      </c>
      <c r="H3210" s="4">
        <v>10</v>
      </c>
      <c r="I3210" s="4" t="s">
        <v>9161</v>
      </c>
      <c r="J3210" s="4"/>
      <c r="K3210" s="5" t="s">
        <v>23855</v>
      </c>
      <c r="L3210" s="5" t="s">
        <v>23856</v>
      </c>
      <c r="M3210" s="4" t="s">
        <v>39</v>
      </c>
      <c r="N3210" s="4" t="s">
        <v>29</v>
      </c>
      <c r="O3210" s="4" t="s">
        <v>23857</v>
      </c>
      <c r="P3210" s="4" t="s">
        <v>1261</v>
      </c>
      <c r="Q3210" s="4" t="s">
        <v>23858</v>
      </c>
      <c r="R3210" s="6"/>
      <c r="S3210" s="6"/>
      <c r="T3210" s="6"/>
      <c r="U3210" s="6"/>
      <c r="V3210" s="6"/>
      <c r="W3210" s="6"/>
      <c r="X3210" s="6"/>
      <c r="Y3210" s="6"/>
      <c r="Z3210" s="6"/>
      <c r="AA3210" s="6"/>
    </row>
    <row r="3211" ht="14.25">
      <c r="B3211" s="4" t="s">
        <v>2994</v>
      </c>
      <c r="C3211" s="4" t="s">
        <v>23859</v>
      </c>
      <c r="D3211" s="4" t="s">
        <v>172</v>
      </c>
      <c r="E3211" s="4" t="s">
        <v>23860</v>
      </c>
      <c r="F3211" s="4" t="str">
        <f>IFERROR(__XLUDF.DUMMYFUNCTION("PROPER(REGEXREPLACE(D927,""[^A-Za-z]+ "",""""))"),"Maarch")</f>
        <v>Maarch</v>
      </c>
      <c r="G3211" s="4" t="s">
        <v>23861</v>
      </c>
      <c r="H3211" s="4">
        <v>45</v>
      </c>
      <c r="I3211" s="4" t="s">
        <v>2602</v>
      </c>
      <c r="J3211" s="4" t="str">
        <f>IFERROR(__XLUDF.DUMMYFUNCTION("VLOOKUP(H927,IMPORTRANGE(""https://docs.google.com/spreadsheets/d/1opm6ZNvGZ7KditA9TuJwrZ25eFLfTNIkrNnY6mhV5Eg"",""list!A1:C115""),3,TRUE)"),"le secteur de la tech")</f>
        <v xml:space="preserve">le secteur de la tech</v>
      </c>
      <c r="K3211" s="5" t="s">
        <v>23862</v>
      </c>
      <c r="L3211" s="5" t="s">
        <v>23863</v>
      </c>
      <c r="M3211" s="4" t="s">
        <v>39</v>
      </c>
      <c r="N3211" s="4" t="s">
        <v>29</v>
      </c>
      <c r="O3211" s="4" t="s">
        <v>23864</v>
      </c>
      <c r="P3211" s="4" t="s">
        <v>29</v>
      </c>
      <c r="Q3211" s="6"/>
      <c r="R3211" s="6"/>
      <c r="S3211" s="6"/>
      <c r="T3211" s="6"/>
      <c r="U3211" s="6"/>
      <c r="V3211" s="6"/>
      <c r="W3211" s="6"/>
      <c r="X3211" s="6"/>
      <c r="Y3211" s="6"/>
      <c r="Z3211" s="6"/>
      <c r="AA3211" s="6"/>
    </row>
    <row r="3212" ht="14.25">
      <c r="B3212" s="4" t="s">
        <v>2299</v>
      </c>
      <c r="C3212" s="4" t="s">
        <v>10792</v>
      </c>
      <c r="D3212" s="4" t="s">
        <v>23865</v>
      </c>
      <c r="E3212" s="4" t="s">
        <v>23866</v>
      </c>
      <c r="F3212" s="4" t="str">
        <f>IFERROR(__XLUDF.DUMMYFUNCTION("PROPER(REGEXREPLACE(D928,""[^A-Za-z]+ "",""""))"),"Clarté")</f>
        <v>Clarté</v>
      </c>
      <c r="G3212" s="4" t="s">
        <v>23867</v>
      </c>
      <c r="H3212" s="4">
        <v>20</v>
      </c>
      <c r="I3212" s="4" t="s">
        <v>2602</v>
      </c>
      <c r="J3212" s="4"/>
      <c r="K3212" s="5" t="s">
        <v>23868</v>
      </c>
      <c r="L3212" s="5" t="s">
        <v>23869</v>
      </c>
      <c r="M3212" s="4" t="s">
        <v>19125</v>
      </c>
      <c r="N3212" s="4" t="s">
        <v>29</v>
      </c>
      <c r="O3212" s="4" t="s">
        <v>23870</v>
      </c>
      <c r="P3212" s="4" t="s">
        <v>29</v>
      </c>
      <c r="Q3212" s="4" t="s">
        <v>23871</v>
      </c>
      <c r="R3212" s="6"/>
      <c r="S3212" s="6"/>
      <c r="T3212" s="6"/>
      <c r="U3212" s="6"/>
      <c r="V3212" s="6"/>
      <c r="W3212" s="6"/>
      <c r="X3212" s="6"/>
      <c r="Y3212" s="6"/>
      <c r="Z3212" s="6"/>
      <c r="AA3212" s="6"/>
    </row>
    <row r="3213" ht="14.25">
      <c r="B3213" s="4" t="s">
        <v>3271</v>
      </c>
      <c r="C3213" s="4" t="s">
        <v>23872</v>
      </c>
      <c r="D3213" s="4" t="s">
        <v>247</v>
      </c>
      <c r="E3213" s="4" t="s">
        <v>23873</v>
      </c>
      <c r="F3213" s="4" t="str">
        <f>IFERROR(__XLUDF.DUMMYFUNCTION("PROPER(REGEXREPLACE(D929,""[^A-Za-z]+ "",""""))"),"Forward")</f>
        <v>Forward</v>
      </c>
      <c r="G3213" s="4" t="s">
        <v>23874</v>
      </c>
      <c r="H3213" s="4">
        <v>15</v>
      </c>
      <c r="I3213" s="4" t="s">
        <v>2602</v>
      </c>
      <c r="J3213" s="4" t="str">
        <f>IFERROR(__XLUDF.DUMMYFUNCTION("VLOOKUP(H929,IMPORTRANGE(""https://docs.google.com/spreadsheets/d/1opm6ZNvGZ7KditA9TuJwrZ25eFLfTNIkrNnY6mhV5Eg"",""list!A1:C115""),3,TRUE)"),"le secteur de la tech")</f>
        <v xml:space="preserve">le secteur de la tech</v>
      </c>
      <c r="K3213" s="5" t="s">
        <v>23875</v>
      </c>
      <c r="L3213" s="5" t="s">
        <v>23876</v>
      </c>
      <c r="M3213" s="4" t="s">
        <v>39</v>
      </c>
      <c r="N3213" s="4" t="s">
        <v>29</v>
      </c>
      <c r="O3213" s="4" t="s">
        <v>21137</v>
      </c>
      <c r="P3213" s="4" t="s">
        <v>1548</v>
      </c>
      <c r="Q3213" s="4" t="s">
        <v>23877</v>
      </c>
      <c r="R3213" s="6"/>
      <c r="S3213" s="6"/>
      <c r="T3213" s="6"/>
      <c r="U3213" s="6"/>
      <c r="V3213" s="6"/>
      <c r="W3213" s="6"/>
      <c r="X3213" s="6"/>
      <c r="Y3213" s="6"/>
      <c r="Z3213" s="6"/>
      <c r="AA3213" s="6"/>
    </row>
    <row r="3214" ht="14.25">
      <c r="B3214" s="4" t="s">
        <v>222</v>
      </c>
      <c r="C3214" s="4" t="s">
        <v>23878</v>
      </c>
      <c r="D3214" s="4" t="s">
        <v>23879</v>
      </c>
      <c r="E3214" s="4" t="s">
        <v>19585</v>
      </c>
      <c r="F3214" s="4" t="str">
        <f>IFERROR(__XLUDF.DUMMYFUNCTION("PROPER(REGEXREPLACE(D930,""[^A-Za-z]+ "",""""))"),"C-Risk")</f>
        <v>C-Risk</v>
      </c>
      <c r="G3214" s="4" t="s">
        <v>23880</v>
      </c>
      <c r="H3214" s="4">
        <v>20</v>
      </c>
      <c r="I3214" s="4" t="s">
        <v>2602</v>
      </c>
      <c r="J3214" s="4"/>
      <c r="K3214" s="5" t="s">
        <v>23881</v>
      </c>
      <c r="L3214" s="5" t="s">
        <v>19588</v>
      </c>
      <c r="M3214" s="4" t="s">
        <v>39</v>
      </c>
      <c r="N3214" s="4" t="s">
        <v>29</v>
      </c>
      <c r="O3214" s="4" t="s">
        <v>19589</v>
      </c>
      <c r="P3214" s="4" t="s">
        <v>29</v>
      </c>
      <c r="Q3214" s="4" t="s">
        <v>19590</v>
      </c>
      <c r="R3214" s="6"/>
      <c r="S3214" s="6"/>
      <c r="T3214" s="6"/>
      <c r="U3214" s="6"/>
      <c r="V3214" s="6"/>
      <c r="W3214" s="6"/>
      <c r="X3214" s="6"/>
      <c r="Y3214" s="6"/>
      <c r="Z3214" s="6"/>
      <c r="AA3214" s="6"/>
    </row>
    <row r="3215" ht="14.25">
      <c r="B3215" s="4" t="s">
        <v>23882</v>
      </c>
      <c r="C3215" s="4" t="s">
        <v>23883</v>
      </c>
      <c r="D3215" s="4" t="s">
        <v>426</v>
      </c>
      <c r="E3215" s="4" t="s">
        <v>23884</v>
      </c>
      <c r="F3215" s="4" t="str">
        <f>IFERROR(__XLUDF.DUMMYFUNCTION("PROPER(REGEXREPLACE(D931,""[^A-Za-z]+ "",""""))"),"Ginko")</f>
        <v>Ginko</v>
      </c>
      <c r="G3215" s="4" t="s">
        <v>23885</v>
      </c>
      <c r="H3215" s="4">
        <v>36</v>
      </c>
      <c r="I3215" s="4" t="s">
        <v>2602</v>
      </c>
      <c r="J3215" s="4"/>
      <c r="K3215" s="5" t="s">
        <v>23886</v>
      </c>
      <c r="L3215" s="5" t="s">
        <v>23887</v>
      </c>
      <c r="M3215" s="4" t="s">
        <v>39</v>
      </c>
      <c r="N3215" s="4" t="s">
        <v>29</v>
      </c>
      <c r="O3215" s="4" t="s">
        <v>23888</v>
      </c>
      <c r="P3215" s="4" t="s">
        <v>29</v>
      </c>
      <c r="Q3215" s="4" t="s">
        <v>23889</v>
      </c>
      <c r="R3215" s="6"/>
      <c r="S3215" s="6"/>
      <c r="T3215" s="6"/>
      <c r="U3215" s="6"/>
      <c r="V3215" s="6"/>
      <c r="W3215" s="6"/>
      <c r="X3215" s="6"/>
      <c r="Y3215" s="6"/>
      <c r="Z3215" s="6"/>
      <c r="AA3215" s="6"/>
    </row>
    <row r="3216" ht="14.25">
      <c r="B3216" s="4" t="s">
        <v>2516</v>
      </c>
      <c r="C3216" s="4" t="s">
        <v>23890</v>
      </c>
      <c r="D3216" s="4" t="s">
        <v>23891</v>
      </c>
      <c r="E3216" s="4" t="s">
        <v>23892</v>
      </c>
      <c r="F3216" s="4" t="str">
        <f>IFERROR(__XLUDF.DUMMYFUNCTION("PROPER(REGEXREPLACE(D932,""[^A-Za-z]+ "",""""))"),"Holi")</f>
        <v>Holi</v>
      </c>
      <c r="G3216" s="4" t="s">
        <v>23893</v>
      </c>
      <c r="H3216" s="4">
        <v>24</v>
      </c>
      <c r="I3216" s="4" t="s">
        <v>9161</v>
      </c>
      <c r="J3216" s="4" t="str">
        <f>IFERROR(__XLUDF.DUMMYFUNCTION("VLOOKUP(H932,IMPORTRANGE(""https://docs.google.com/spreadsheets/d/1opm6ZNvGZ7KditA9TuJwrZ25eFLfTNIkrNnY6mhV5Eg"",""list!A1:C115""),3,TRUE)"),"le secteur du marketing")</f>
        <v xml:space="preserve">le secteur du marketing</v>
      </c>
      <c r="K3216" s="5" t="s">
        <v>23894</v>
      </c>
      <c r="L3216" s="5" t="s">
        <v>23895</v>
      </c>
      <c r="M3216" s="6"/>
      <c r="N3216" s="4" t="s">
        <v>29</v>
      </c>
      <c r="O3216" s="4" t="s">
        <v>856</v>
      </c>
      <c r="P3216" s="4" t="s">
        <v>29</v>
      </c>
      <c r="Q3216" s="6"/>
      <c r="R3216" s="6"/>
      <c r="S3216" s="6"/>
      <c r="T3216" s="6"/>
      <c r="U3216" s="6"/>
      <c r="V3216" s="6"/>
      <c r="W3216" s="6"/>
      <c r="X3216" s="6"/>
      <c r="Y3216" s="6"/>
      <c r="Z3216" s="6"/>
      <c r="AA3216" s="6"/>
    </row>
    <row r="3217" ht="14.25">
      <c r="B3217" s="4" t="s">
        <v>23896</v>
      </c>
      <c r="C3217" s="4" t="s">
        <v>23897</v>
      </c>
      <c r="D3217" s="4" t="s">
        <v>503</v>
      </c>
      <c r="E3217" s="4" t="s">
        <v>16646</v>
      </c>
      <c r="F3217" s="4" t="str">
        <f>IFERROR(__XLUDF.DUMMYFUNCTION("PROPER(REGEXREPLACE(D933,""[^A-Za-z]+ "",""""))"),"Corma")</f>
        <v>Corma</v>
      </c>
      <c r="G3217" s="4" t="s">
        <v>23898</v>
      </c>
      <c r="H3217" s="4">
        <v>26</v>
      </c>
      <c r="I3217" s="4" t="s">
        <v>2602</v>
      </c>
      <c r="J3217" s="4"/>
      <c r="K3217" s="5" t="s">
        <v>23899</v>
      </c>
      <c r="L3217" s="5" t="s">
        <v>23900</v>
      </c>
      <c r="M3217" s="4" t="s">
        <v>39</v>
      </c>
      <c r="N3217" s="4" t="s">
        <v>29</v>
      </c>
      <c r="O3217" s="4" t="s">
        <v>23901</v>
      </c>
      <c r="P3217" s="4" t="s">
        <v>29</v>
      </c>
      <c r="Q3217" s="4" t="s">
        <v>16651</v>
      </c>
      <c r="R3217" s="6"/>
      <c r="S3217" s="6"/>
      <c r="T3217" s="6"/>
      <c r="U3217" s="6"/>
      <c r="V3217" s="6"/>
      <c r="W3217" s="6"/>
      <c r="X3217" s="6"/>
      <c r="Y3217" s="6"/>
      <c r="Z3217" s="6"/>
      <c r="AA3217" s="6"/>
    </row>
    <row r="3218" ht="14.25">
      <c r="B3218" s="4" t="s">
        <v>670</v>
      </c>
      <c r="C3218" s="4" t="s">
        <v>23902</v>
      </c>
      <c r="D3218" s="4" t="s">
        <v>87</v>
      </c>
      <c r="E3218" s="4" t="s">
        <v>19418</v>
      </c>
      <c r="F3218" s="4" t="str">
        <f>IFERROR(__XLUDF.DUMMYFUNCTION("PROPER(REGEXREPLACE(D934,""[^A-Za-z]+ "",""""))"),"Hygie")</f>
        <v>Hygie</v>
      </c>
      <c r="G3218" s="4" t="s">
        <v>23903</v>
      </c>
      <c r="H3218" s="4">
        <v>12</v>
      </c>
      <c r="I3218" s="4" t="s">
        <v>2602</v>
      </c>
      <c r="J3218" s="4"/>
      <c r="K3218" s="5" t="s">
        <v>23904</v>
      </c>
      <c r="L3218" s="5" t="s">
        <v>19421</v>
      </c>
      <c r="M3218" s="4" t="s">
        <v>39</v>
      </c>
      <c r="N3218" s="4" t="s">
        <v>29</v>
      </c>
      <c r="O3218" s="4" t="s">
        <v>67</v>
      </c>
      <c r="P3218" s="4" t="s">
        <v>29</v>
      </c>
      <c r="Q3218" s="4" t="s">
        <v>19422</v>
      </c>
      <c r="R3218" s="6"/>
      <c r="S3218" s="6"/>
      <c r="T3218" s="6"/>
      <c r="U3218" s="6"/>
      <c r="V3218" s="6"/>
      <c r="W3218" s="6"/>
      <c r="X3218" s="6"/>
      <c r="Y3218" s="6"/>
      <c r="Z3218" s="6"/>
      <c r="AA3218" s="6"/>
    </row>
    <row r="3219" ht="14.25">
      <c r="B3219" s="4" t="s">
        <v>222</v>
      </c>
      <c r="C3219" s="4" t="s">
        <v>23905</v>
      </c>
      <c r="D3219" s="4" t="s">
        <v>1974</v>
      </c>
      <c r="E3219" s="4" t="s">
        <v>23906</v>
      </c>
      <c r="F3219" s="4" t="str">
        <f>IFERROR(__XLUDF.DUMMYFUNCTION("PROPER(REGEXREPLACE(D935,""[^A-Za-z]+ "",""""))"),"Moben&amp;Rooster")</f>
        <v>Moben&amp;Rooster</v>
      </c>
      <c r="G3219" s="4" t="s">
        <v>23907</v>
      </c>
      <c r="H3219" s="4">
        <v>29</v>
      </c>
      <c r="I3219" s="4" t="s">
        <v>4067</v>
      </c>
      <c r="J3219" s="4"/>
      <c r="K3219" s="5" t="s">
        <v>23908</v>
      </c>
      <c r="L3219" s="5" t="s">
        <v>23909</v>
      </c>
      <c r="M3219" s="4" t="s">
        <v>295</v>
      </c>
      <c r="N3219" s="4" t="s">
        <v>29</v>
      </c>
      <c r="O3219" s="4" t="s">
        <v>23910</v>
      </c>
      <c r="P3219" s="4" t="s">
        <v>29</v>
      </c>
      <c r="Q3219" s="4" t="s">
        <v>23911</v>
      </c>
      <c r="R3219" s="6"/>
      <c r="S3219" s="6"/>
      <c r="T3219" s="6"/>
      <c r="U3219" s="6"/>
      <c r="V3219" s="6"/>
      <c r="W3219" s="6"/>
      <c r="X3219" s="6"/>
      <c r="Y3219" s="6"/>
      <c r="Z3219" s="6"/>
      <c r="AA3219" s="6"/>
    </row>
    <row r="3220" ht="14.25">
      <c r="B3220" s="4" t="s">
        <v>2932</v>
      </c>
      <c r="C3220" s="4" t="s">
        <v>23912</v>
      </c>
      <c r="D3220" s="4" t="s">
        <v>87</v>
      </c>
      <c r="E3220" s="4" t="s">
        <v>23913</v>
      </c>
      <c r="F3220" s="4" t="str">
        <f>IFERROR(__XLUDF.DUMMYFUNCTION("PROPER(REGEXREPLACE(D936,""[^A-Za-z]+ "",""""))"),"Ohris")</f>
        <v>Ohris</v>
      </c>
      <c r="G3220" s="4" t="s">
        <v>23914</v>
      </c>
      <c r="H3220" s="4">
        <v>15</v>
      </c>
      <c r="I3220" s="4" t="s">
        <v>2602</v>
      </c>
      <c r="J3220" s="4"/>
      <c r="K3220" s="5" t="s">
        <v>23915</v>
      </c>
      <c r="L3220" s="5" t="s">
        <v>23916</v>
      </c>
      <c r="M3220" s="4" t="s">
        <v>9852</v>
      </c>
      <c r="N3220" s="4" t="s">
        <v>29</v>
      </c>
      <c r="O3220" s="4" t="s">
        <v>23917</v>
      </c>
      <c r="P3220" s="4" t="s">
        <v>29</v>
      </c>
      <c r="Q3220" s="6"/>
      <c r="R3220" s="6"/>
      <c r="S3220" s="6"/>
      <c r="T3220" s="6"/>
      <c r="U3220" s="6"/>
      <c r="V3220" s="6"/>
      <c r="W3220" s="6"/>
      <c r="X3220" s="6"/>
      <c r="Y3220" s="6"/>
      <c r="Z3220" s="6"/>
      <c r="AA3220" s="6"/>
    </row>
    <row r="3221" ht="14.25">
      <c r="B3221" s="4" t="s">
        <v>3164</v>
      </c>
      <c r="C3221" s="4" t="s">
        <v>23918</v>
      </c>
      <c r="D3221" s="4" t="s">
        <v>23919</v>
      </c>
      <c r="E3221" s="4" t="s">
        <v>23920</v>
      </c>
      <c r="F3221" s="4" t="str">
        <f>IFERROR(__XLUDF.DUMMYFUNCTION("PROPER(REGEXREPLACE(D937,""[^A-Za-z]+ "",""""))"),"Cloud Ambiance")</f>
        <v xml:space="preserve">Cloud Ambiance</v>
      </c>
      <c r="G3221" s="4" t="s">
        <v>23921</v>
      </c>
      <c r="H3221" s="4">
        <v>22</v>
      </c>
      <c r="I3221" s="4" t="s">
        <v>2602</v>
      </c>
      <c r="J3221" s="4" t="str">
        <f>IFERROR(__XLUDF.DUMMYFUNCTION("VLOOKUP(H937,IMPORTRANGE(""https://docs.google.com/spreadsheets/d/1opm6ZNvGZ7KditA9TuJwrZ25eFLfTNIkrNnY6mhV5Eg"",""list!A1:C115""),3,TRUE)"),"le secteur de la tech")</f>
        <v xml:space="preserve">le secteur de la tech</v>
      </c>
      <c r="K3221" s="5" t="s">
        <v>23922</v>
      </c>
      <c r="L3221" s="5" t="s">
        <v>23923</v>
      </c>
      <c r="M3221" s="4" t="s">
        <v>39</v>
      </c>
      <c r="N3221" s="4" t="s">
        <v>29</v>
      </c>
      <c r="O3221" s="4" t="s">
        <v>23924</v>
      </c>
      <c r="P3221" s="4" t="s">
        <v>29</v>
      </c>
      <c r="Q3221" s="4" t="s">
        <v>23925</v>
      </c>
      <c r="R3221" s="6"/>
      <c r="S3221" s="6"/>
      <c r="T3221" s="6"/>
      <c r="U3221" s="6"/>
      <c r="V3221" s="6"/>
      <c r="W3221" s="6"/>
      <c r="X3221" s="6"/>
      <c r="Y3221" s="6"/>
      <c r="Z3221" s="6"/>
      <c r="AA3221" s="6"/>
    </row>
    <row r="3222" ht="14.25">
      <c r="B3222" s="4" t="s">
        <v>110</v>
      </c>
      <c r="C3222" s="4" t="s">
        <v>23926</v>
      </c>
      <c r="D3222" s="4" t="s">
        <v>112</v>
      </c>
      <c r="E3222" s="4" t="s">
        <v>23927</v>
      </c>
      <c r="F3222" s="4" t="str">
        <f>IFERROR(__XLUDF.DUMMYFUNCTION("PROPER(REGEXREPLACE(D938,""[^A-Za-z]+ "",""""))"),"Stand 2B")</f>
        <v xml:space="preserve">Stand 2B</v>
      </c>
      <c r="G3222" s="4" t="s">
        <v>23928</v>
      </c>
      <c r="H3222" s="4">
        <v>45</v>
      </c>
      <c r="I3222" s="4" t="s">
        <v>23929</v>
      </c>
      <c r="J3222" s="4" t="str">
        <f>IFERROR(__XLUDF.DUMMYFUNCTION("VLOOKUP(H938,IMPORTRANGE(""https://docs.google.com/spreadsheets/d/1opm6ZNvGZ7KditA9TuJwrZ25eFLfTNIkrNnY6mhV5Eg"",""list!A1:C115""),3,TRUE)"),"le secteur de l'événementiel")</f>
        <v xml:space="preserve">le secteur de l'événementiel</v>
      </c>
      <c r="K3222" s="5" t="s">
        <v>23930</v>
      </c>
      <c r="L3222" s="5" t="s">
        <v>23931</v>
      </c>
      <c r="M3222" s="4" t="s">
        <v>23932</v>
      </c>
      <c r="N3222" s="4" t="s">
        <v>29</v>
      </c>
      <c r="O3222" s="4" t="s">
        <v>23933</v>
      </c>
      <c r="P3222" s="4" t="s">
        <v>29</v>
      </c>
      <c r="Q3222" s="6"/>
      <c r="R3222" s="6"/>
      <c r="S3222" s="6"/>
      <c r="T3222" s="6"/>
      <c r="U3222" s="6"/>
      <c r="V3222" s="6"/>
      <c r="W3222" s="6"/>
      <c r="X3222" s="6"/>
      <c r="Y3222" s="6"/>
      <c r="Z3222" s="6"/>
      <c r="AA3222" s="6"/>
    </row>
    <row r="3223" ht="14.25">
      <c r="B3223" s="4" t="s">
        <v>4169</v>
      </c>
      <c r="C3223" s="4" t="s">
        <v>5587</v>
      </c>
      <c r="D3223" s="4" t="s">
        <v>164</v>
      </c>
      <c r="E3223" s="4" t="s">
        <v>23934</v>
      </c>
      <c r="F3223" s="4" t="str">
        <f>IFERROR(__XLUDF.DUMMYFUNCTION("PROPER(REGEXREPLACE(D939,""[^A-Za-z]+ "",""""))"),"Axeleo")</f>
        <v>Axeleo</v>
      </c>
      <c r="G3223" s="4" t="s">
        <v>23935</v>
      </c>
      <c r="H3223" s="4">
        <v>24</v>
      </c>
      <c r="I3223" s="4" t="s">
        <v>4067</v>
      </c>
      <c r="J3223" s="4"/>
      <c r="K3223" s="5" t="s">
        <v>23936</v>
      </c>
      <c r="L3223" s="5" t="s">
        <v>23937</v>
      </c>
      <c r="M3223" s="6"/>
      <c r="N3223" s="4" t="s">
        <v>29</v>
      </c>
      <c r="O3223" s="4" t="s">
        <v>23938</v>
      </c>
      <c r="P3223" s="4" t="s">
        <v>29</v>
      </c>
      <c r="Q3223" s="6"/>
      <c r="R3223" s="6"/>
      <c r="S3223" s="6"/>
      <c r="T3223" s="6"/>
      <c r="U3223" s="6"/>
      <c r="V3223" s="6"/>
      <c r="W3223" s="6"/>
      <c r="X3223" s="6"/>
      <c r="Y3223" s="6"/>
      <c r="Z3223" s="6"/>
      <c r="AA3223" s="6"/>
    </row>
    <row r="3224" ht="14.25">
      <c r="B3224" s="4" t="s">
        <v>23939</v>
      </c>
      <c r="C3224" s="4" t="s">
        <v>23940</v>
      </c>
      <c r="D3224" s="4" t="s">
        <v>172</v>
      </c>
      <c r="E3224" s="4" t="s">
        <v>23941</v>
      </c>
      <c r="F3224" s="4" t="str">
        <f>IFERROR(__XLUDF.DUMMYFUNCTION("PROPER(REGEXREPLACE(D940,""[^A-Za-z]+ "",""""))"),"Srci")</f>
        <v>Srci</v>
      </c>
      <c r="G3224" s="4" t="s">
        <v>23942</v>
      </c>
      <c r="H3224" s="4">
        <v>20</v>
      </c>
      <c r="I3224" s="4" t="s">
        <v>10950</v>
      </c>
      <c r="J3224" s="4"/>
      <c r="K3224" s="5" t="s">
        <v>23943</v>
      </c>
      <c r="L3224" s="5" t="s">
        <v>23944</v>
      </c>
      <c r="M3224" s="4" t="s">
        <v>4943</v>
      </c>
      <c r="N3224" s="4" t="s">
        <v>29</v>
      </c>
      <c r="O3224" s="4" t="s">
        <v>23945</v>
      </c>
      <c r="P3224" s="4" t="s">
        <v>29</v>
      </c>
      <c r="Q3224" s="4" t="s">
        <v>23946</v>
      </c>
      <c r="R3224" s="6"/>
      <c r="S3224" s="6"/>
      <c r="T3224" s="6"/>
      <c r="U3224" s="6"/>
      <c r="V3224" s="6"/>
      <c r="W3224" s="6"/>
      <c r="X3224" s="6"/>
      <c r="Y3224" s="6"/>
      <c r="Z3224" s="6"/>
      <c r="AA3224" s="6"/>
    </row>
    <row r="3225" ht="14.25">
      <c r="B3225" s="4" t="s">
        <v>808</v>
      </c>
      <c r="C3225" s="4" t="s">
        <v>23947</v>
      </c>
      <c r="D3225" s="4" t="s">
        <v>7147</v>
      </c>
      <c r="E3225" s="4" t="s">
        <v>23948</v>
      </c>
      <c r="F3225" s="4" t="str">
        <f>IFERROR(__XLUDF.DUMMYFUNCTION("PROPER(REGEXREPLACE(D941,""[^A-Za-z]+ "",""""))"),"Loditech")</f>
        <v>Loditech</v>
      </c>
      <c r="G3225" s="4" t="s">
        <v>23949</v>
      </c>
      <c r="H3225" s="4">
        <v>11</v>
      </c>
      <c r="I3225" s="4" t="s">
        <v>2602</v>
      </c>
      <c r="J3225" s="4"/>
      <c r="K3225" s="5" t="s">
        <v>23950</v>
      </c>
      <c r="L3225" s="5" t="s">
        <v>23951</v>
      </c>
      <c r="M3225" s="4" t="s">
        <v>39</v>
      </c>
      <c r="N3225" s="4" t="s">
        <v>29</v>
      </c>
      <c r="O3225" s="4" t="s">
        <v>23952</v>
      </c>
      <c r="P3225" s="4" t="s">
        <v>6715</v>
      </c>
      <c r="Q3225" s="6"/>
      <c r="R3225" s="6"/>
      <c r="S3225" s="6"/>
      <c r="T3225" s="6"/>
      <c r="U3225" s="6"/>
      <c r="V3225" s="6"/>
      <c r="W3225" s="6"/>
      <c r="X3225" s="6"/>
      <c r="Y3225" s="6"/>
      <c r="Z3225" s="6"/>
      <c r="AA3225" s="6"/>
    </row>
    <row r="3226" ht="14.25">
      <c r="B3226" s="4" t="s">
        <v>622</v>
      </c>
      <c r="C3226" s="4" t="s">
        <v>23953</v>
      </c>
      <c r="D3226" s="4" t="s">
        <v>112</v>
      </c>
      <c r="E3226" s="4" t="s">
        <v>23954</v>
      </c>
      <c r="F3226" s="4" t="str">
        <f>IFERROR(__XLUDF.DUMMYFUNCTION("PROPER(REGEXREPLACE(D942,""[^A-Za-z]+ "",""""))"),"Eie France")</f>
        <v xml:space="preserve">Eie France</v>
      </c>
      <c r="G3226" s="4" t="s">
        <v>23955</v>
      </c>
      <c r="H3226" s="4">
        <v>21</v>
      </c>
      <c r="I3226" s="4" t="s">
        <v>4067</v>
      </c>
      <c r="J3226" s="4" t="str">
        <f>IFERROR(__XLUDF.DUMMYFUNCTION("VLOOKUP(H942,IMPORTRANGE(""https://docs.google.com/spreadsheets/d/1opm6ZNvGZ7KditA9TuJwrZ25eFLfTNIkrNnY6mhV5Eg"",""list!A1:C115""),3,TRUE)"),"le secteur du conseil en management")</f>
        <v xml:space="preserve">le secteur du conseil en management</v>
      </c>
      <c r="K3226" s="5" t="s">
        <v>23956</v>
      </c>
      <c r="L3226" s="5" t="s">
        <v>23957</v>
      </c>
      <c r="M3226" s="4" t="s">
        <v>1204</v>
      </c>
      <c r="N3226" s="4" t="s">
        <v>29</v>
      </c>
      <c r="O3226" s="4" t="s">
        <v>23958</v>
      </c>
      <c r="P3226" s="4" t="s">
        <v>29</v>
      </c>
      <c r="Q3226" s="4" t="s">
        <v>23959</v>
      </c>
      <c r="R3226" s="6"/>
      <c r="S3226" s="6"/>
      <c r="T3226" s="6"/>
      <c r="U3226" s="6"/>
      <c r="V3226" s="6"/>
      <c r="W3226" s="6"/>
      <c r="X3226" s="6"/>
      <c r="Y3226" s="6"/>
      <c r="Z3226" s="6"/>
      <c r="AA3226" s="6"/>
    </row>
    <row r="3227" ht="14.25">
      <c r="B3227" s="4" t="s">
        <v>1596</v>
      </c>
      <c r="C3227" s="4" t="s">
        <v>23960</v>
      </c>
      <c r="D3227" s="4" t="s">
        <v>172</v>
      </c>
      <c r="E3227" s="4" t="s">
        <v>23961</v>
      </c>
      <c r="F3227" s="4" t="str">
        <f>IFERROR(__XLUDF.DUMMYFUNCTION("PROPER(REGEXREPLACE(D943,""[^A-Za-z]+ "",""""))"),"Teria")</f>
        <v>Teria</v>
      </c>
      <c r="G3227" s="4" t="s">
        <v>23962</v>
      </c>
      <c r="H3227" s="4">
        <v>22</v>
      </c>
      <c r="I3227" s="4" t="s">
        <v>9184</v>
      </c>
      <c r="J3227" s="4"/>
      <c r="K3227" s="5" t="s">
        <v>23963</v>
      </c>
      <c r="L3227" s="5" t="s">
        <v>23964</v>
      </c>
      <c r="M3227" s="4" t="s">
        <v>39</v>
      </c>
      <c r="N3227" s="4" t="s">
        <v>29</v>
      </c>
      <c r="O3227" s="4" t="s">
        <v>23965</v>
      </c>
      <c r="P3227" s="4" t="s">
        <v>29</v>
      </c>
      <c r="Q3227" s="4" t="s">
        <v>23966</v>
      </c>
      <c r="R3227" s="6"/>
      <c r="S3227" s="6"/>
      <c r="T3227" s="6"/>
      <c r="U3227" s="6"/>
      <c r="V3227" s="6"/>
      <c r="W3227" s="6"/>
      <c r="X3227" s="6"/>
      <c r="Y3227" s="6"/>
      <c r="Z3227" s="6"/>
      <c r="AA3227" s="6"/>
    </row>
    <row r="3228" ht="14.25">
      <c r="B3228" s="4" t="s">
        <v>1562</v>
      </c>
      <c r="C3228" s="4" t="s">
        <v>23967</v>
      </c>
      <c r="D3228" s="4" t="s">
        <v>23968</v>
      </c>
      <c r="E3228" s="5" t="s">
        <v>23969</v>
      </c>
      <c r="F3228" s="5" t="str">
        <f>IFERROR(__XLUDF.DUMMYFUNCTION("PROPER(REGEXREPLACE(D944,""[^A-Za-z]+ "",""""))"),"Monkeypatch.Io")</f>
        <v>Monkeypatch.Io</v>
      </c>
      <c r="G3228" s="4" t="s">
        <v>23970</v>
      </c>
      <c r="H3228" s="4">
        <v>10</v>
      </c>
      <c r="I3228" s="4" t="s">
        <v>2602</v>
      </c>
      <c r="J3228" s="4"/>
      <c r="K3228" s="5" t="s">
        <v>23971</v>
      </c>
      <c r="L3228" s="5" t="s">
        <v>19327</v>
      </c>
      <c r="M3228" s="4" t="s">
        <v>83</v>
      </c>
      <c r="N3228" s="4" t="s">
        <v>29</v>
      </c>
      <c r="O3228" s="4" t="s">
        <v>84</v>
      </c>
      <c r="P3228" s="4" t="s">
        <v>29</v>
      </c>
      <c r="Q3228" s="4" t="s">
        <v>19328</v>
      </c>
      <c r="R3228" s="6"/>
      <c r="S3228" s="6"/>
      <c r="T3228" s="6"/>
      <c r="U3228" s="6"/>
      <c r="V3228" s="6"/>
      <c r="W3228" s="6"/>
      <c r="X3228" s="6"/>
      <c r="Y3228" s="6"/>
      <c r="Z3228" s="6"/>
      <c r="AA3228" s="6"/>
    </row>
    <row r="3229" ht="14.25">
      <c r="B3229" s="4" t="s">
        <v>6243</v>
      </c>
      <c r="C3229" s="4" t="s">
        <v>6406</v>
      </c>
      <c r="D3229" s="4" t="s">
        <v>426</v>
      </c>
      <c r="E3229" s="4" t="s">
        <v>23972</v>
      </c>
      <c r="F3229" s="4" t="str">
        <f>IFERROR(__XLUDF.DUMMYFUNCTION("PROPER(REGEXREPLACE(D945,""[^A-Za-z]+ "",""""))"),"Doc'Up")</f>
        <v>Doc'Up</v>
      </c>
      <c r="G3229" s="4" t="s">
        <v>23973</v>
      </c>
      <c r="H3229" s="4">
        <v>40</v>
      </c>
      <c r="I3229" s="4" t="s">
        <v>2602</v>
      </c>
      <c r="J3229" s="4"/>
      <c r="K3229" s="5" t="s">
        <v>23974</v>
      </c>
      <c r="L3229" s="5" t="s">
        <v>23975</v>
      </c>
      <c r="M3229" s="6"/>
      <c r="N3229" s="4" t="s">
        <v>29</v>
      </c>
      <c r="O3229" s="4" t="s">
        <v>23976</v>
      </c>
      <c r="P3229" s="4" t="s">
        <v>29</v>
      </c>
      <c r="Q3229" s="4" t="s">
        <v>23977</v>
      </c>
      <c r="R3229" s="6"/>
      <c r="S3229" s="6"/>
      <c r="T3229" s="6"/>
      <c r="U3229" s="6"/>
      <c r="V3229" s="6"/>
      <c r="W3229" s="6"/>
      <c r="X3229" s="6"/>
      <c r="Y3229" s="6"/>
      <c r="Z3229" s="6"/>
      <c r="AA3229" s="6"/>
    </row>
    <row r="3230" ht="14.25">
      <c r="B3230" s="4" t="s">
        <v>808</v>
      </c>
      <c r="C3230" s="4" t="s">
        <v>23978</v>
      </c>
      <c r="D3230" s="4" t="s">
        <v>172</v>
      </c>
      <c r="E3230" s="4" t="s">
        <v>23979</v>
      </c>
      <c r="F3230" s="4" t="str">
        <f>IFERROR(__XLUDF.DUMMYFUNCTION("PROPER(REGEXREPLACE(D946,""[^A-Za-z]+ "",""""))"),"Leroux Brochard")</f>
        <v xml:space="preserve">Leroux Brochard</v>
      </c>
      <c r="G3230" s="4" t="s">
        <v>23980</v>
      </c>
      <c r="H3230" s="4">
        <v>27</v>
      </c>
      <c r="I3230" s="4" t="s">
        <v>4525</v>
      </c>
      <c r="J3230" s="4" t="str">
        <f>IFERROR(__XLUDF.DUMMYFUNCTION("VLOOKUP(H946,IMPORTRANGE(""https://docs.google.com/spreadsheets/d/1opm6ZNvGZ7KditA9TuJwrZ25eFLfTNIkrNnY6mhV5Eg"",""list!A1:C115""),3,TRUE)"),"le secteur du retail")</f>
        <v xml:space="preserve">le secteur du retail</v>
      </c>
      <c r="K3230" s="5" t="s">
        <v>23981</v>
      </c>
      <c r="L3230" s="5" t="s">
        <v>23982</v>
      </c>
      <c r="M3230" s="4" t="s">
        <v>6954</v>
      </c>
      <c r="N3230" s="4" t="s">
        <v>29</v>
      </c>
      <c r="O3230" s="4" t="s">
        <v>23983</v>
      </c>
      <c r="P3230" s="4" t="s">
        <v>29</v>
      </c>
      <c r="Q3230" s="4" t="s">
        <v>23984</v>
      </c>
      <c r="R3230" s="6"/>
      <c r="S3230" s="6"/>
      <c r="T3230" s="6"/>
      <c r="U3230" s="6"/>
      <c r="V3230" s="6"/>
      <c r="W3230" s="6"/>
      <c r="X3230" s="6"/>
      <c r="Y3230" s="6"/>
      <c r="Z3230" s="6"/>
      <c r="AA3230" s="6"/>
    </row>
    <row r="3231" ht="14.25">
      <c r="B3231" s="4" t="s">
        <v>1387</v>
      </c>
      <c r="C3231" s="4" t="s">
        <v>23985</v>
      </c>
      <c r="D3231" s="4" t="s">
        <v>172</v>
      </c>
      <c r="E3231" s="4" t="s">
        <v>23986</v>
      </c>
      <c r="F3231" s="4" t="str">
        <f>IFERROR(__XLUDF.DUMMYFUNCTION("PROPER(REGEXREPLACE(D947,""[^A-Za-z]+ "",""""))"),"Moten")</f>
        <v>Moten</v>
      </c>
      <c r="G3231" s="4" t="s">
        <v>23987</v>
      </c>
      <c r="H3231" s="4">
        <v>10</v>
      </c>
      <c r="I3231" s="4" t="s">
        <v>2602</v>
      </c>
      <c r="J3231" s="4" t="str">
        <f>IFERROR(__XLUDF.DUMMYFUNCTION("VLOOKUP(H947,IMPORTRANGE(""https://docs.google.com/spreadsheets/d/1opm6ZNvGZ7KditA9TuJwrZ25eFLfTNIkrNnY6mhV5Eg"",""list!A1:C115""),3,TRUE)"),"le secteur de la tech")</f>
        <v xml:space="preserve">le secteur de la tech</v>
      </c>
      <c r="K3231" s="5" t="s">
        <v>23988</v>
      </c>
      <c r="L3231" s="5" t="s">
        <v>23989</v>
      </c>
      <c r="M3231" s="4" t="s">
        <v>295</v>
      </c>
      <c r="N3231" s="4" t="s">
        <v>29</v>
      </c>
      <c r="O3231" s="4" t="s">
        <v>23990</v>
      </c>
      <c r="P3231" s="4" t="s">
        <v>29</v>
      </c>
      <c r="Q3231" s="4" t="s">
        <v>23991</v>
      </c>
      <c r="R3231" s="6"/>
      <c r="S3231" s="6"/>
      <c r="T3231" s="6"/>
      <c r="U3231" s="6"/>
      <c r="V3231" s="6"/>
      <c r="W3231" s="6"/>
      <c r="X3231" s="6"/>
      <c r="Y3231" s="6"/>
      <c r="Z3231" s="6"/>
      <c r="AA3231" s="6"/>
    </row>
    <row r="3232" ht="14.25">
      <c r="B3232" s="4" t="s">
        <v>1198</v>
      </c>
      <c r="C3232" s="4" t="s">
        <v>7095</v>
      </c>
      <c r="D3232" s="4" t="s">
        <v>4449</v>
      </c>
      <c r="E3232" s="4" t="s">
        <v>23992</v>
      </c>
      <c r="F3232" s="4" t="str">
        <f>IFERROR(__XLUDF.DUMMYFUNCTION("PROPER(REGEXREPLACE(D948,""[^A-Za-z]+ "",""""))"),"Ashtone")</f>
        <v>Ashtone</v>
      </c>
      <c r="G3232" s="4" t="s">
        <v>23993</v>
      </c>
      <c r="H3232" s="4">
        <v>13</v>
      </c>
      <c r="I3232" s="4" t="s">
        <v>4067</v>
      </c>
      <c r="J3232" s="4"/>
      <c r="K3232" s="5" t="s">
        <v>23994</v>
      </c>
      <c r="L3232" s="5" t="s">
        <v>23995</v>
      </c>
      <c r="M3232" s="6"/>
      <c r="N3232" s="4" t="s">
        <v>29</v>
      </c>
      <c r="O3232" s="4" t="s">
        <v>23996</v>
      </c>
      <c r="P3232" s="4" t="s">
        <v>29</v>
      </c>
      <c r="Q3232" s="6"/>
      <c r="R3232" s="6"/>
      <c r="S3232" s="6"/>
      <c r="T3232" s="6"/>
      <c r="U3232" s="6"/>
      <c r="V3232" s="6"/>
      <c r="W3232" s="6"/>
      <c r="X3232" s="6"/>
      <c r="Y3232" s="6"/>
      <c r="Z3232" s="6"/>
      <c r="AA3232" s="6"/>
    </row>
    <row r="3233" ht="14.25">
      <c r="B3233" s="4" t="s">
        <v>5716</v>
      </c>
      <c r="C3233" s="4" t="s">
        <v>6815</v>
      </c>
      <c r="D3233" s="4" t="s">
        <v>23997</v>
      </c>
      <c r="E3233" s="4" t="s">
        <v>17856</v>
      </c>
      <c r="F3233" s="4" t="str">
        <f>IFERROR(__XLUDF.DUMMYFUNCTION("PROPER(REGEXREPLACE(D949,""[^A-Za-z]+ "",""""))"),"Probabl")</f>
        <v>Probabl</v>
      </c>
      <c r="G3233" s="4" t="s">
        <v>23998</v>
      </c>
      <c r="H3233" s="4">
        <v>46</v>
      </c>
      <c r="I3233" s="4" t="s">
        <v>2602</v>
      </c>
      <c r="J3233" s="4" t="str">
        <f>IFERROR(__XLUDF.DUMMYFUNCTION("VLOOKUP(H949,IMPORTRANGE(""https://docs.google.com/spreadsheets/d/1opm6ZNvGZ7KditA9TuJwrZ25eFLfTNIkrNnY6mhV5Eg"",""list!A1:C115""),3,TRUE)"),"le secteur de la tech")</f>
        <v xml:space="preserve">le secteur de la tech</v>
      </c>
      <c r="K3233" s="5" t="s">
        <v>23999</v>
      </c>
      <c r="L3233" s="5" t="s">
        <v>17859</v>
      </c>
      <c r="M3233" s="6"/>
      <c r="N3233" s="4" t="s">
        <v>29</v>
      </c>
      <c r="O3233" s="4" t="s">
        <v>67</v>
      </c>
      <c r="P3233" s="4" t="s">
        <v>29</v>
      </c>
      <c r="Q3233" s="4" t="s">
        <v>17860</v>
      </c>
      <c r="R3233" s="6"/>
      <c r="S3233" s="6"/>
      <c r="T3233" s="6"/>
      <c r="U3233" s="6"/>
      <c r="V3233" s="6"/>
      <c r="W3233" s="6"/>
      <c r="X3233" s="6"/>
      <c r="Y3233" s="6"/>
      <c r="Z3233" s="6"/>
      <c r="AA3233" s="6"/>
    </row>
    <row r="3234" ht="14.25">
      <c r="B3234" s="4" t="s">
        <v>222</v>
      </c>
      <c r="C3234" s="4" t="s">
        <v>24000</v>
      </c>
      <c r="D3234" s="4" t="s">
        <v>112</v>
      </c>
      <c r="E3234" s="4" t="s">
        <v>24001</v>
      </c>
      <c r="F3234" s="4" t="str">
        <f>IFERROR(__XLUDF.DUMMYFUNCTION("PROPER(REGEXREPLACE(D950,""[^A-Za-z]+ "",""""))"),"Acgv Services")</f>
        <v xml:space="preserve">Acgv Services</v>
      </c>
      <c r="G3234" s="4" t="s">
        <v>24002</v>
      </c>
      <c r="H3234" s="4">
        <v>24</v>
      </c>
      <c r="I3234" s="4" t="s">
        <v>4067</v>
      </c>
      <c r="J3234" s="4"/>
      <c r="K3234" s="5" t="s">
        <v>24003</v>
      </c>
      <c r="L3234" s="5" t="s">
        <v>24004</v>
      </c>
      <c r="M3234" s="4" t="s">
        <v>39</v>
      </c>
      <c r="N3234" s="4" t="s">
        <v>29</v>
      </c>
      <c r="O3234" s="4" t="s">
        <v>24005</v>
      </c>
      <c r="P3234" s="4" t="s">
        <v>29</v>
      </c>
      <c r="Q3234" s="6"/>
      <c r="R3234" s="6"/>
      <c r="S3234" s="6"/>
      <c r="T3234" s="6"/>
      <c r="U3234" s="6"/>
      <c r="V3234" s="6"/>
      <c r="W3234" s="6"/>
      <c r="X3234" s="6"/>
      <c r="Y3234" s="6"/>
      <c r="Z3234" s="6"/>
      <c r="AA3234" s="6"/>
    </row>
    <row r="3235" ht="14.25">
      <c r="B3235" s="4" t="s">
        <v>24006</v>
      </c>
      <c r="C3235" s="4" t="s">
        <v>24007</v>
      </c>
      <c r="D3235" s="4" t="s">
        <v>468</v>
      </c>
      <c r="E3235" s="4" t="s">
        <v>24008</v>
      </c>
      <c r="F3235" s="4" t="str">
        <f>IFERROR(__XLUDF.DUMMYFUNCTION("PROPER(REGEXREPLACE(D951,""[^A-Za-z]+ "",""""))"),"Brightloop Converters")</f>
        <v xml:space="preserve">Brightloop Converters</v>
      </c>
      <c r="G3235" s="4" t="s">
        <v>24009</v>
      </c>
      <c r="H3235" s="4">
        <v>51</v>
      </c>
      <c r="I3235" s="4" t="s">
        <v>10215</v>
      </c>
      <c r="J3235" s="4"/>
      <c r="K3235" s="5" t="s">
        <v>24010</v>
      </c>
      <c r="L3235" s="5" t="s">
        <v>24011</v>
      </c>
      <c r="M3235" s="6"/>
      <c r="N3235" s="4" t="s">
        <v>29</v>
      </c>
      <c r="O3235" s="4" t="s">
        <v>24012</v>
      </c>
      <c r="P3235" s="4" t="s">
        <v>29</v>
      </c>
      <c r="Q3235" s="4" t="s">
        <v>24013</v>
      </c>
      <c r="R3235" s="6"/>
      <c r="S3235" s="6"/>
      <c r="T3235" s="6"/>
      <c r="U3235" s="6"/>
      <c r="V3235" s="6"/>
      <c r="W3235" s="6"/>
      <c r="X3235" s="6"/>
      <c r="Y3235" s="6"/>
      <c r="Z3235" s="6"/>
      <c r="AA3235" s="6"/>
    </row>
    <row r="3236" ht="14.25">
      <c r="B3236" s="4" t="s">
        <v>817</v>
      </c>
      <c r="C3236" s="4" t="s">
        <v>10412</v>
      </c>
      <c r="D3236" s="4" t="s">
        <v>172</v>
      </c>
      <c r="E3236" s="4" t="s">
        <v>24014</v>
      </c>
      <c r="F3236" s="4" t="str">
        <f>IFERROR(__XLUDF.DUMMYFUNCTION("PROPER(REGEXREPLACE(D952,""[^A-Za-z]+ "",""""))"),"Comac France")</f>
        <v xml:space="preserve">Comac France</v>
      </c>
      <c r="G3236" s="4" t="s">
        <v>24015</v>
      </c>
      <c r="H3236" s="4">
        <v>29</v>
      </c>
      <c r="I3236" s="4" t="s">
        <v>4067</v>
      </c>
      <c r="J3236" s="4"/>
      <c r="K3236" s="5" t="s">
        <v>24016</v>
      </c>
      <c r="L3236" s="5" t="s">
        <v>24017</v>
      </c>
      <c r="M3236" s="6"/>
      <c r="N3236" s="4" t="s">
        <v>29</v>
      </c>
      <c r="O3236" s="4" t="s">
        <v>24018</v>
      </c>
      <c r="P3236" s="4" t="s">
        <v>29</v>
      </c>
      <c r="Q3236" s="4" t="s">
        <v>24019</v>
      </c>
      <c r="R3236" s="6"/>
      <c r="S3236" s="6"/>
      <c r="T3236" s="6"/>
      <c r="U3236" s="6"/>
      <c r="V3236" s="6"/>
      <c r="W3236" s="6"/>
      <c r="X3236" s="6"/>
      <c r="Y3236" s="6"/>
      <c r="Z3236" s="6"/>
      <c r="AA3236" s="6"/>
    </row>
    <row r="3237" ht="14.25">
      <c r="B3237" s="4" t="s">
        <v>866</v>
      </c>
      <c r="C3237" s="4" t="s">
        <v>24020</v>
      </c>
      <c r="D3237" s="4" t="s">
        <v>24021</v>
      </c>
      <c r="E3237" s="4" t="s">
        <v>24022</v>
      </c>
      <c r="F3237" s="4" t="str">
        <f>IFERROR(__XLUDF.DUMMYFUNCTION("PROPER(REGEXREPLACE(D953,""[^A-Za-z]+ "",""""))"),"Excense")</f>
        <v>Excense</v>
      </c>
      <c r="G3237" s="4" t="s">
        <v>24023</v>
      </c>
      <c r="H3237" s="4">
        <v>9</v>
      </c>
      <c r="I3237" s="4" t="s">
        <v>2602</v>
      </c>
      <c r="J3237" s="4" t="str">
        <f>IFERROR(__XLUDF.DUMMYFUNCTION("VLOOKUP(H953,IMPORTRANGE(""https://docs.google.com/spreadsheets/d/1opm6ZNvGZ7KditA9TuJwrZ25eFLfTNIkrNnY6mhV5Eg"",""list!A1:C115""),3,TRUE)"),"le secteur de la tech")</f>
        <v xml:space="preserve">le secteur de la tech</v>
      </c>
      <c r="K3237" s="5" t="s">
        <v>24024</v>
      </c>
      <c r="L3237" s="5" t="s">
        <v>24025</v>
      </c>
      <c r="M3237" s="4" t="s">
        <v>1826</v>
      </c>
      <c r="N3237" s="4" t="s">
        <v>29</v>
      </c>
      <c r="O3237" s="4" t="s">
        <v>24026</v>
      </c>
      <c r="P3237" s="4" t="s">
        <v>29</v>
      </c>
      <c r="Q3237" s="4" t="s">
        <v>24027</v>
      </c>
      <c r="R3237" s="6"/>
      <c r="S3237" s="6"/>
      <c r="T3237" s="6"/>
      <c r="U3237" s="6"/>
      <c r="V3237" s="6"/>
      <c r="W3237" s="6"/>
      <c r="X3237" s="6"/>
      <c r="Y3237" s="6"/>
      <c r="Z3237" s="6"/>
      <c r="AA3237" s="6"/>
    </row>
    <row r="3238" ht="14.25">
      <c r="B3238" s="4" t="s">
        <v>170</v>
      </c>
      <c r="C3238" s="4" t="s">
        <v>24028</v>
      </c>
      <c r="D3238" s="4" t="s">
        <v>5500</v>
      </c>
      <c r="E3238" s="4" t="s">
        <v>22988</v>
      </c>
      <c r="F3238" s="4" t="str">
        <f>IFERROR(__XLUDF.DUMMYFUNCTION("PROPER(REGEXREPLACE(D954,""[^A-Za-z]+ "",""""))"),"Tdo")</f>
        <v>Tdo</v>
      </c>
      <c r="G3238" s="4" t="s">
        <v>24029</v>
      </c>
      <c r="H3238" s="4">
        <v>26</v>
      </c>
      <c r="I3238" s="4" t="s">
        <v>9184</v>
      </c>
      <c r="J3238" s="4"/>
      <c r="K3238" s="5" t="s">
        <v>24030</v>
      </c>
      <c r="L3238" s="5" t="s">
        <v>22991</v>
      </c>
      <c r="M3238" s="4" t="s">
        <v>1711</v>
      </c>
      <c r="N3238" s="4" t="s">
        <v>29</v>
      </c>
      <c r="O3238" s="4" t="s">
        <v>22992</v>
      </c>
      <c r="P3238" s="4" t="s">
        <v>29</v>
      </c>
      <c r="Q3238" s="4" t="s">
        <v>22993</v>
      </c>
      <c r="R3238" s="6"/>
      <c r="S3238" s="6"/>
      <c r="T3238" s="6"/>
      <c r="U3238" s="6"/>
      <c r="V3238" s="6"/>
      <c r="W3238" s="6"/>
      <c r="X3238" s="6"/>
      <c r="Y3238" s="6"/>
      <c r="Z3238" s="6"/>
      <c r="AA3238" s="6"/>
    </row>
    <row r="3239" ht="14.25">
      <c r="B3239" s="4" t="s">
        <v>4800</v>
      </c>
      <c r="C3239" s="4" t="s">
        <v>24031</v>
      </c>
      <c r="D3239" s="4" t="s">
        <v>24032</v>
      </c>
      <c r="E3239" s="4" t="s">
        <v>24033</v>
      </c>
      <c r="F3239" s="4" t="str">
        <f>IFERROR(__XLUDF.DUMMYFUNCTION("PROPER(REGEXREPLACE(D955,""[^A-Za-z]+ "",""""))"),"E-Volve C&amp;S")</f>
        <v xml:space="preserve">E-Volve C&amp;S</v>
      </c>
      <c r="G3239" s="4" t="s">
        <v>24034</v>
      </c>
      <c r="H3239" s="4">
        <v>13</v>
      </c>
      <c r="I3239" s="4" t="s">
        <v>2602</v>
      </c>
      <c r="J3239" s="4" t="str">
        <f>IFERROR(__XLUDF.DUMMYFUNCTION("VLOOKUP(H955,IMPORTRANGE(""https://docs.google.com/spreadsheets/d/1opm6ZNvGZ7KditA9TuJwrZ25eFLfTNIkrNnY6mhV5Eg"",""list!A1:C115""),3,TRUE)"),"le secteur de la tech")</f>
        <v xml:space="preserve">le secteur de la tech</v>
      </c>
      <c r="K3239" s="5" t="s">
        <v>24035</v>
      </c>
      <c r="L3239" s="5" t="s">
        <v>24036</v>
      </c>
      <c r="M3239" s="4" t="s">
        <v>846</v>
      </c>
      <c r="N3239" s="4" t="s">
        <v>29</v>
      </c>
      <c r="O3239" s="4" t="s">
        <v>1435</v>
      </c>
      <c r="P3239" s="4" t="s">
        <v>29</v>
      </c>
      <c r="Q3239" s="4" t="s">
        <v>24037</v>
      </c>
      <c r="R3239" s="6"/>
      <c r="S3239" s="6"/>
      <c r="T3239" s="6"/>
      <c r="U3239" s="6"/>
      <c r="V3239" s="6"/>
      <c r="W3239" s="6"/>
      <c r="X3239" s="6"/>
      <c r="Y3239" s="6"/>
      <c r="Z3239" s="6"/>
      <c r="AA3239" s="6"/>
    </row>
    <row r="3240" ht="14.25">
      <c r="B3240" s="4" t="s">
        <v>330</v>
      </c>
      <c r="C3240" s="4" t="s">
        <v>10412</v>
      </c>
      <c r="D3240" s="4" t="s">
        <v>62</v>
      </c>
      <c r="E3240" s="4" t="s">
        <v>24038</v>
      </c>
      <c r="F3240" s="4" t="str">
        <f>IFERROR(__XLUDF.DUMMYFUNCTION("PROPER(REGEXREPLACE(D956,""[^A-Za-z]+ "",""""))"),"Log")</f>
        <v>Log</v>
      </c>
      <c r="G3240" s="4" t="s">
        <v>24039</v>
      </c>
      <c r="H3240" s="4">
        <v>34</v>
      </c>
      <c r="I3240" s="4" t="s">
        <v>2602</v>
      </c>
      <c r="J3240" s="4" t="str">
        <f>IFERROR(__XLUDF.DUMMYFUNCTION("VLOOKUP(H956,IMPORTRANGE(""https://docs.google.com/spreadsheets/d/1opm6ZNvGZ7KditA9TuJwrZ25eFLfTNIkrNnY6mhV5Eg"",""list!A1:C115""),3,TRUE)"),"le secteur de la tech")</f>
        <v xml:space="preserve">le secteur de la tech</v>
      </c>
      <c r="K3240" s="5" t="s">
        <v>24040</v>
      </c>
      <c r="L3240" s="5" t="s">
        <v>24041</v>
      </c>
      <c r="M3240" s="4" t="s">
        <v>39</v>
      </c>
      <c r="N3240" s="4" t="s">
        <v>29</v>
      </c>
      <c r="O3240" s="4" t="s">
        <v>23996</v>
      </c>
      <c r="P3240" s="4" t="s">
        <v>29</v>
      </c>
      <c r="Q3240" s="6"/>
      <c r="R3240" s="6"/>
      <c r="S3240" s="6"/>
      <c r="T3240" s="6"/>
      <c r="U3240" s="6"/>
      <c r="V3240" s="6"/>
      <c r="W3240" s="6"/>
      <c r="X3240" s="6"/>
      <c r="Y3240" s="6"/>
      <c r="Z3240" s="6"/>
      <c r="AA3240" s="6"/>
    </row>
    <row r="3241" ht="14.25">
      <c r="B3241" s="4" t="s">
        <v>17774</v>
      </c>
      <c r="C3241" s="4" t="s">
        <v>17775</v>
      </c>
      <c r="D3241" s="4" t="s">
        <v>688</v>
      </c>
      <c r="E3241" s="4" t="s">
        <v>17776</v>
      </c>
      <c r="F3241" s="4" t="str">
        <f>IFERROR(__XLUDF.DUMMYFUNCTION("PROPER(REGEXREPLACE(D957,""[^A-Za-z]+ "",""""))"),"Av Concept Products")</f>
        <v xml:space="preserve">Av Concept Products</v>
      </c>
      <c r="G3241" s="4" t="s">
        <v>17777</v>
      </c>
      <c r="H3241" s="4">
        <v>10</v>
      </c>
      <c r="I3241" s="4" t="s">
        <v>10215</v>
      </c>
      <c r="J3241" s="4"/>
      <c r="K3241" s="5" t="s">
        <v>17778</v>
      </c>
      <c r="L3241" s="5" t="s">
        <v>17779</v>
      </c>
      <c r="M3241" s="4" t="s">
        <v>39</v>
      </c>
      <c r="N3241" s="4" t="s">
        <v>29</v>
      </c>
      <c r="O3241" s="4" t="s">
        <v>17780</v>
      </c>
      <c r="P3241" s="4" t="s">
        <v>29</v>
      </c>
      <c r="Q3241" s="6"/>
      <c r="R3241" s="6"/>
      <c r="S3241" s="6"/>
      <c r="T3241" s="6"/>
      <c r="U3241" s="6"/>
      <c r="V3241" s="6"/>
      <c r="W3241" s="6"/>
      <c r="X3241" s="6"/>
      <c r="Y3241" s="6"/>
      <c r="Z3241" s="6"/>
      <c r="AA3241" s="6"/>
    </row>
    <row r="3242" ht="14.25">
      <c r="B3242" s="4" t="s">
        <v>6356</v>
      </c>
      <c r="C3242" s="4" t="s">
        <v>1853</v>
      </c>
      <c r="D3242" s="4" t="s">
        <v>24042</v>
      </c>
      <c r="E3242" s="4" t="s">
        <v>24043</v>
      </c>
      <c r="F3242" s="4" t="str">
        <f>IFERROR(__XLUDF.DUMMYFUNCTION("PROPER(REGEXREPLACE(D958,""[^A-Za-z]+ "",""""))"),"Dékuple Ingénierie Marketing B2B")</f>
        <v xml:space="preserve">Dékuple Ingénierie Marketing B2B</v>
      </c>
      <c r="G3242" s="4" t="s">
        <v>24044</v>
      </c>
      <c r="H3242" s="4">
        <v>45</v>
      </c>
      <c r="I3242" s="4" t="s">
        <v>9161</v>
      </c>
      <c r="J3242" s="4"/>
      <c r="K3242" s="5" t="s">
        <v>24045</v>
      </c>
      <c r="L3242" s="5" t="s">
        <v>24046</v>
      </c>
      <c r="M3242" s="4" t="s">
        <v>39</v>
      </c>
      <c r="N3242" s="4" t="s">
        <v>29</v>
      </c>
      <c r="O3242" s="4" t="s">
        <v>24047</v>
      </c>
      <c r="P3242" s="4" t="s">
        <v>29</v>
      </c>
      <c r="Q3242" s="6"/>
      <c r="R3242" s="6"/>
      <c r="S3242" s="6"/>
      <c r="T3242" s="6"/>
      <c r="U3242" s="6"/>
      <c r="V3242" s="6"/>
      <c r="W3242" s="6"/>
      <c r="X3242" s="6"/>
      <c r="Y3242" s="6"/>
      <c r="Z3242" s="6"/>
      <c r="AA3242" s="6"/>
    </row>
    <row r="3243" ht="14.25">
      <c r="B3243" s="4" t="s">
        <v>24048</v>
      </c>
      <c r="C3243" s="4" t="s">
        <v>6361</v>
      </c>
      <c r="D3243" s="4" t="s">
        <v>5031</v>
      </c>
      <c r="E3243" s="4" t="s">
        <v>24049</v>
      </c>
      <c r="F3243" s="4" t="str">
        <f>IFERROR(__XLUDF.DUMMYFUNCTION("PROPER(REGEXREPLACE(D959,""[^A-Za-z]+ "",""""))"),"Leaderia")</f>
        <v>Leaderia</v>
      </c>
      <c r="G3243" s="4" t="s">
        <v>24050</v>
      </c>
      <c r="H3243" s="4">
        <v>19</v>
      </c>
      <c r="I3243" s="4" t="s">
        <v>18063</v>
      </c>
      <c r="J3243" s="4" t="str">
        <f>IFERROR(__XLUDF.DUMMYFUNCTION("VLOOKUP(H959,IMPORTRANGE(""https://docs.google.com/spreadsheets/d/1opm6ZNvGZ7KditA9TuJwrZ25eFLfTNIkrNnY6mhV5Eg"",""list!A1:C115""),3,TRUE)"),"le secteur du recrutement")</f>
        <v xml:space="preserve">le secteur du recrutement</v>
      </c>
      <c r="K3243" s="5" t="s">
        <v>24051</v>
      </c>
      <c r="L3243" s="5" t="s">
        <v>24052</v>
      </c>
      <c r="M3243" s="4" t="s">
        <v>39</v>
      </c>
      <c r="N3243" s="4" t="s">
        <v>29</v>
      </c>
      <c r="O3243" s="4" t="s">
        <v>24053</v>
      </c>
      <c r="P3243" s="4" t="s">
        <v>29</v>
      </c>
      <c r="Q3243" s="4" t="s">
        <v>24054</v>
      </c>
      <c r="R3243" s="6"/>
      <c r="S3243" s="6"/>
      <c r="T3243" s="6"/>
      <c r="U3243" s="6"/>
      <c r="V3243" s="6"/>
      <c r="W3243" s="6"/>
      <c r="X3243" s="6"/>
      <c r="Y3243" s="6"/>
      <c r="Z3243" s="6"/>
      <c r="AA3243" s="6"/>
    </row>
    <row r="3244" ht="14.25">
      <c r="B3244" s="4" t="s">
        <v>6356</v>
      </c>
      <c r="C3244" s="4" t="s">
        <v>24055</v>
      </c>
      <c r="D3244" s="4" t="s">
        <v>468</v>
      </c>
      <c r="E3244" s="4" t="s">
        <v>24056</v>
      </c>
      <c r="F3244" s="4" t="str">
        <f>IFERROR(__XLUDF.DUMMYFUNCTION("PROPER(REGEXREPLACE(D960,""[^A-Za-z]+ "",""""))"),"Mobilités Demain")</f>
        <v xml:space="preserve">Mobilités Demain</v>
      </c>
      <c r="G3244" s="4" t="s">
        <v>24057</v>
      </c>
      <c r="H3244" s="4">
        <v>15</v>
      </c>
      <c r="I3244" s="4" t="s">
        <v>4067</v>
      </c>
      <c r="J3244" s="4"/>
      <c r="K3244" s="5" t="s">
        <v>24058</v>
      </c>
      <c r="L3244" s="5" t="s">
        <v>24059</v>
      </c>
      <c r="M3244" s="4" t="s">
        <v>185</v>
      </c>
      <c r="N3244" s="4" t="s">
        <v>29</v>
      </c>
      <c r="O3244" s="4" t="s">
        <v>24060</v>
      </c>
      <c r="P3244" s="4" t="s">
        <v>29</v>
      </c>
      <c r="Q3244" s="4" t="s">
        <v>24061</v>
      </c>
      <c r="R3244" s="6"/>
      <c r="S3244" s="6"/>
      <c r="T3244" s="6"/>
      <c r="U3244" s="6"/>
      <c r="V3244" s="6"/>
      <c r="W3244" s="6"/>
      <c r="X3244" s="6"/>
      <c r="Y3244" s="6"/>
      <c r="Z3244" s="6"/>
      <c r="AA3244" s="6"/>
    </row>
    <row r="3245" ht="14.25">
      <c r="B3245" s="4" t="s">
        <v>24062</v>
      </c>
      <c r="C3245" s="4" t="s">
        <v>3781</v>
      </c>
      <c r="D3245" s="4" t="s">
        <v>62</v>
      </c>
      <c r="E3245" s="4" t="s">
        <v>24063</v>
      </c>
      <c r="F3245" s="4" t="str">
        <f>IFERROR(__XLUDF.DUMMYFUNCTION("PROPER(REGEXREPLACE(D961,""[^A-Za-z]+ "",""""))"),"Ocode")</f>
        <v>Ocode</v>
      </c>
      <c r="G3245" s="4" t="s">
        <v>24064</v>
      </c>
      <c r="H3245" s="4">
        <v>38</v>
      </c>
      <c r="I3245" s="4" t="s">
        <v>2602</v>
      </c>
      <c r="J3245" s="4" t="str">
        <f>IFERROR(__XLUDF.DUMMYFUNCTION("VLOOKUP(H961,IMPORTRANGE(""https://docs.google.com/spreadsheets/d/1opm6ZNvGZ7KditA9TuJwrZ25eFLfTNIkrNnY6mhV5Eg"",""list!A1:C115""),3,TRUE)"),"le secteur de la tech")</f>
        <v xml:space="preserve">le secteur de la tech</v>
      </c>
      <c r="K3245" s="5" t="s">
        <v>24065</v>
      </c>
      <c r="L3245" s="5" t="s">
        <v>24066</v>
      </c>
      <c r="M3245" s="6"/>
      <c r="N3245" s="4" t="s">
        <v>29</v>
      </c>
      <c r="O3245" s="4" t="s">
        <v>1712</v>
      </c>
      <c r="P3245" s="4" t="s">
        <v>29</v>
      </c>
      <c r="Q3245" s="4" t="s">
        <v>24067</v>
      </c>
      <c r="R3245" s="6"/>
      <c r="S3245" s="6"/>
      <c r="T3245" s="6"/>
      <c r="U3245" s="6"/>
      <c r="V3245" s="6"/>
      <c r="W3245" s="6"/>
      <c r="X3245" s="6"/>
      <c r="Y3245" s="6"/>
      <c r="Z3245" s="6"/>
      <c r="AA3245" s="6"/>
    </row>
    <row r="3246" ht="14.25">
      <c r="B3246" s="4" t="s">
        <v>76</v>
      </c>
      <c r="C3246" s="4" t="s">
        <v>24068</v>
      </c>
      <c r="D3246" s="4" t="s">
        <v>172</v>
      </c>
      <c r="E3246" s="4" t="s">
        <v>22577</v>
      </c>
      <c r="F3246" s="4" t="str">
        <f>IFERROR(__XLUDF.DUMMYFUNCTION("PROPER(REGEXREPLACE(D962,""[^A-Za-z]+ "",""""))"),"La Phratrie")</f>
        <v xml:space="preserve">La Phratrie</v>
      </c>
      <c r="G3246" s="4" t="s">
        <v>24069</v>
      </c>
      <c r="H3246" s="4">
        <v>27</v>
      </c>
      <c r="I3246" s="4" t="s">
        <v>10639</v>
      </c>
      <c r="J3246" s="4" t="str">
        <f>IFERROR(__XLUDF.DUMMYFUNCTION("VLOOKUP(H962,IMPORTRANGE(""https://docs.google.com/spreadsheets/d/1opm6ZNvGZ7KditA9TuJwrZ25eFLfTNIkrNnY6mhV5Eg"",""list!A1:C115""),3,TRUE)"),"le secteur de la communication")</f>
        <v xml:space="preserve">le secteur de la communication</v>
      </c>
      <c r="K3246" s="5" t="s">
        <v>24070</v>
      </c>
      <c r="L3246" s="5" t="s">
        <v>22580</v>
      </c>
      <c r="M3246" s="6"/>
      <c r="N3246" s="4" t="s">
        <v>29</v>
      </c>
      <c r="O3246" s="4" t="s">
        <v>22581</v>
      </c>
      <c r="P3246" s="4" t="s">
        <v>29</v>
      </c>
      <c r="Q3246" s="4" t="s">
        <v>22582</v>
      </c>
      <c r="R3246" s="6"/>
      <c r="S3246" s="6"/>
      <c r="T3246" s="6"/>
      <c r="U3246" s="6"/>
      <c r="V3246" s="6"/>
      <c r="W3246" s="6"/>
      <c r="X3246" s="6"/>
      <c r="Y3246" s="6"/>
      <c r="Z3246" s="6"/>
      <c r="AA3246" s="6"/>
    </row>
    <row r="3247" ht="14.25">
      <c r="B3247" s="4" t="s">
        <v>24071</v>
      </c>
      <c r="C3247" s="4" t="s">
        <v>6717</v>
      </c>
      <c r="D3247" s="4" t="s">
        <v>71</v>
      </c>
      <c r="E3247" s="4" t="s">
        <v>24072</v>
      </c>
      <c r="F3247" s="4" t="str">
        <f>IFERROR(__XLUDF.DUMMYFUNCTION("PROPER(REGEXREPLACE(D963,""[^A-Za-z]+ "",""""))"),"Murena")</f>
        <v>Murena</v>
      </c>
      <c r="G3247" s="4" t="s">
        <v>24073</v>
      </c>
      <c r="H3247" s="4">
        <v>45</v>
      </c>
      <c r="I3247" s="4" t="s">
        <v>2602</v>
      </c>
      <c r="J3247" s="4"/>
      <c r="K3247" s="5" t="s">
        <v>24074</v>
      </c>
      <c r="L3247" s="5" t="s">
        <v>24075</v>
      </c>
      <c r="M3247" s="6"/>
      <c r="N3247" s="4" t="s">
        <v>29</v>
      </c>
      <c r="O3247" s="4" t="s">
        <v>24076</v>
      </c>
      <c r="P3247" s="4" t="s">
        <v>29</v>
      </c>
      <c r="Q3247" s="4" t="s">
        <v>24077</v>
      </c>
      <c r="R3247" s="6"/>
      <c r="S3247" s="6"/>
      <c r="T3247" s="6"/>
      <c r="U3247" s="6"/>
      <c r="V3247" s="6"/>
      <c r="W3247" s="6"/>
      <c r="X3247" s="6"/>
      <c r="Y3247" s="6"/>
      <c r="Z3247" s="6"/>
      <c r="AA3247" s="6"/>
    </row>
    <row r="3248" ht="14.25">
      <c r="B3248" s="4" t="s">
        <v>2242</v>
      </c>
      <c r="C3248" s="4" t="s">
        <v>24078</v>
      </c>
      <c r="D3248" s="4" t="s">
        <v>18718</v>
      </c>
      <c r="E3248" s="4" t="s">
        <v>24079</v>
      </c>
      <c r="F3248" s="4" t="str">
        <f>IFERROR(__XLUDF.DUMMYFUNCTION("PROPER(REGEXREPLACE(D964,""[^A-Za-z]+ "",""""))"),"Greenbids")</f>
        <v>Greenbids</v>
      </c>
      <c r="G3248" s="4" t="s">
        <v>24080</v>
      </c>
      <c r="H3248" s="4">
        <v>30</v>
      </c>
      <c r="I3248" s="4" t="s">
        <v>2602</v>
      </c>
      <c r="J3248" s="4" t="str">
        <f>IFERROR(__XLUDF.DUMMYFUNCTION("VLOOKUP(H964,IMPORTRANGE(""https://docs.google.com/spreadsheets/d/1opm6ZNvGZ7KditA9TuJwrZ25eFLfTNIkrNnY6mhV5Eg"",""list!A1:C115""),3,TRUE)"),"le secteur de la tech")</f>
        <v xml:space="preserve">le secteur de la tech</v>
      </c>
      <c r="K3248" s="5" t="s">
        <v>24081</v>
      </c>
      <c r="L3248" s="5" t="s">
        <v>24082</v>
      </c>
      <c r="M3248" s="4" t="s">
        <v>482</v>
      </c>
      <c r="N3248" s="4" t="s">
        <v>29</v>
      </c>
      <c r="O3248" s="4" t="s">
        <v>67</v>
      </c>
      <c r="P3248" s="4" t="s">
        <v>29</v>
      </c>
      <c r="Q3248" s="6"/>
      <c r="R3248" s="6"/>
      <c r="S3248" s="6"/>
      <c r="T3248" s="6"/>
      <c r="U3248" s="6"/>
      <c r="V3248" s="6"/>
      <c r="W3248" s="6"/>
      <c r="X3248" s="6"/>
      <c r="Y3248" s="6"/>
      <c r="Z3248" s="6"/>
      <c r="AA3248" s="6"/>
    </row>
    <row r="3249" ht="14.25">
      <c r="B3249" s="4" t="s">
        <v>2311</v>
      </c>
      <c r="C3249" s="4" t="s">
        <v>24083</v>
      </c>
      <c r="D3249" s="4" t="s">
        <v>164</v>
      </c>
      <c r="E3249" s="4" t="s">
        <v>24084</v>
      </c>
      <c r="F3249" s="4" t="str">
        <f>IFERROR(__XLUDF.DUMMYFUNCTION("PROPER(REGEXREPLACE(D965,""[^A-Za-z]+ "",""""))"),"The Social Republic")</f>
        <v xml:space="preserve">The Social Republic</v>
      </c>
      <c r="G3249" s="4" t="s">
        <v>24085</v>
      </c>
      <c r="H3249" s="4">
        <v>31</v>
      </c>
      <c r="I3249" s="4" t="s">
        <v>10639</v>
      </c>
      <c r="J3249" s="4" t="str">
        <f>IFERROR(__XLUDF.DUMMYFUNCTION("VLOOKUP(H965,IMPORTRANGE(""https://docs.google.com/spreadsheets/d/1opm6ZNvGZ7KditA9TuJwrZ25eFLfTNIkrNnY6mhV5Eg"",""list!A1:C115""),3,TRUE)"),"le secteur de la communication")</f>
        <v xml:space="preserve">le secteur de la communication</v>
      </c>
      <c r="K3249" s="5" t="s">
        <v>24086</v>
      </c>
      <c r="L3249" s="5" t="s">
        <v>24087</v>
      </c>
      <c r="M3249" s="6"/>
      <c r="N3249" s="4" t="s">
        <v>29</v>
      </c>
      <c r="O3249" s="4" t="s">
        <v>24088</v>
      </c>
      <c r="P3249" s="4" t="s">
        <v>29</v>
      </c>
      <c r="Q3249" s="6"/>
      <c r="R3249" s="6"/>
      <c r="S3249" s="6"/>
      <c r="T3249" s="6"/>
      <c r="U3249" s="6"/>
      <c r="V3249" s="6"/>
      <c r="W3249" s="6"/>
      <c r="X3249" s="6"/>
      <c r="Y3249" s="6"/>
      <c r="Z3249" s="6"/>
      <c r="AA3249" s="6"/>
    </row>
    <row r="3250" ht="14.25">
      <c r="B3250" s="4" t="s">
        <v>579</v>
      </c>
      <c r="C3250" s="4" t="s">
        <v>24089</v>
      </c>
      <c r="D3250" s="4" t="s">
        <v>468</v>
      </c>
      <c r="E3250" s="4" t="s">
        <v>24090</v>
      </c>
      <c r="F3250" s="4" t="str">
        <f>IFERROR(__XLUDF.DUMMYFUNCTION("PROPER(REGEXREPLACE(D966,""[^A-Za-z]+ "",""""))"),"Sippro")</f>
        <v>Sippro</v>
      </c>
      <c r="G3250" s="4" t="s">
        <v>24091</v>
      </c>
      <c r="H3250" s="4">
        <v>20</v>
      </c>
      <c r="I3250" s="4" t="s">
        <v>9264</v>
      </c>
      <c r="J3250" s="4"/>
      <c r="K3250" s="5" t="s">
        <v>24092</v>
      </c>
      <c r="L3250" s="5" t="s">
        <v>24093</v>
      </c>
      <c r="M3250" s="4" t="s">
        <v>39</v>
      </c>
      <c r="N3250" s="4" t="s">
        <v>29</v>
      </c>
      <c r="O3250" s="4" t="s">
        <v>24094</v>
      </c>
      <c r="P3250" s="4" t="s">
        <v>29</v>
      </c>
      <c r="Q3250" s="4" t="s">
        <v>24095</v>
      </c>
      <c r="R3250" s="6"/>
      <c r="S3250" s="6"/>
      <c r="T3250" s="6"/>
      <c r="U3250" s="6"/>
      <c r="V3250" s="6"/>
      <c r="W3250" s="6"/>
      <c r="X3250" s="6"/>
      <c r="Y3250" s="6"/>
      <c r="Z3250" s="6"/>
      <c r="AA3250" s="6"/>
    </row>
    <row r="3251" ht="14.25">
      <c r="B3251" s="4" t="s">
        <v>322</v>
      </c>
      <c r="C3251" s="4" t="s">
        <v>24096</v>
      </c>
      <c r="D3251" s="4" t="s">
        <v>172</v>
      </c>
      <c r="E3251" s="4" t="s">
        <v>24097</v>
      </c>
      <c r="F3251" s="4" t="str">
        <f>IFERROR(__XLUDF.DUMMYFUNCTION("PROPER(REGEXREPLACE(D967,""[^A-Za-z]+ "",""""))"),"Mob-Energy")</f>
        <v>Mob-Energy</v>
      </c>
      <c r="G3251" s="4" t="s">
        <v>24098</v>
      </c>
      <c r="H3251" s="4">
        <v>46</v>
      </c>
      <c r="I3251" s="4" t="s">
        <v>10215</v>
      </c>
      <c r="J3251" s="4" t="str">
        <f>IFERROR(__XLUDF.DUMMYFUNCTION("VLOOKUP(H967,IMPORTRANGE(""https://docs.google.com/spreadsheets/d/1opm6ZNvGZ7KditA9TuJwrZ25eFLfTNIkrNnY6mhV5Eg"",""list!A1:C115""),3,TRUE)"),"le secteur de l'électrique et électronique")</f>
        <v xml:space="preserve">le secteur de l'électrique et électronique</v>
      </c>
      <c r="K3251" s="5" t="s">
        <v>24099</v>
      </c>
      <c r="L3251" s="5" t="s">
        <v>24100</v>
      </c>
      <c r="M3251" s="4" t="s">
        <v>185</v>
      </c>
      <c r="N3251" s="4" t="s">
        <v>29</v>
      </c>
      <c r="O3251" s="4" t="s">
        <v>24101</v>
      </c>
      <c r="P3251" s="4" t="s">
        <v>29</v>
      </c>
      <c r="Q3251" s="4" t="s">
        <v>24102</v>
      </c>
      <c r="R3251" s="6"/>
      <c r="S3251" s="6"/>
      <c r="T3251" s="6"/>
      <c r="U3251" s="6"/>
      <c r="V3251" s="6"/>
      <c r="W3251" s="6"/>
      <c r="X3251" s="6"/>
      <c r="Y3251" s="6"/>
      <c r="Z3251" s="6"/>
      <c r="AA3251" s="6"/>
    </row>
    <row r="3252" ht="14.25">
      <c r="B3252" s="4" t="s">
        <v>24103</v>
      </c>
      <c r="C3252" s="4" t="s">
        <v>2419</v>
      </c>
      <c r="D3252" s="4" t="s">
        <v>4449</v>
      </c>
      <c r="E3252" s="4" t="s">
        <v>24104</v>
      </c>
      <c r="F3252" s="4" t="str">
        <f>IFERROR(__XLUDF.DUMMYFUNCTION("PROPER(REGEXREPLACE(D968,""[^A-Za-z]+ "",""""))"),"Ness")</f>
        <v>Ness</v>
      </c>
      <c r="G3252" s="4" t="s">
        <v>24105</v>
      </c>
      <c r="H3252" s="4">
        <v>29</v>
      </c>
      <c r="I3252" s="4" t="s">
        <v>2602</v>
      </c>
      <c r="J3252" s="4"/>
      <c r="K3252" s="5" t="s">
        <v>24106</v>
      </c>
      <c r="L3252" s="5" t="s">
        <v>24107</v>
      </c>
      <c r="M3252" s="4" t="s">
        <v>39</v>
      </c>
      <c r="N3252" s="4" t="s">
        <v>29</v>
      </c>
      <c r="O3252" s="4" t="s">
        <v>24108</v>
      </c>
      <c r="P3252" s="4" t="s">
        <v>29</v>
      </c>
      <c r="Q3252" s="4" t="s">
        <v>24109</v>
      </c>
      <c r="R3252" s="6"/>
      <c r="S3252" s="6"/>
      <c r="T3252" s="6"/>
      <c r="U3252" s="6"/>
      <c r="V3252" s="6"/>
      <c r="W3252" s="6"/>
      <c r="X3252" s="6"/>
      <c r="Y3252" s="6"/>
      <c r="Z3252" s="6"/>
      <c r="AA3252" s="6"/>
    </row>
    <row r="3253" ht="14.25">
      <c r="B3253" s="4" t="s">
        <v>13010</v>
      </c>
      <c r="C3253" s="4" t="s">
        <v>1866</v>
      </c>
      <c r="D3253" s="4" t="s">
        <v>426</v>
      </c>
      <c r="E3253" s="4" t="s">
        <v>24110</v>
      </c>
      <c r="F3253" s="4" t="str">
        <f>IFERROR(__XLUDF.DUMMYFUNCTION("PROPER(REGEXREPLACE(D969,""[^A-Za-z]+ "",""""))"),"Kemp")</f>
        <v>Kemp</v>
      </c>
      <c r="G3253" s="4" t="s">
        <v>24111</v>
      </c>
      <c r="H3253" s="4">
        <v>18</v>
      </c>
      <c r="I3253" s="4" t="s">
        <v>4067</v>
      </c>
      <c r="J3253" s="4"/>
      <c r="K3253" s="5" t="s">
        <v>24112</v>
      </c>
      <c r="L3253" s="5" t="s">
        <v>24113</v>
      </c>
      <c r="M3253" s="6"/>
      <c r="N3253" s="4" t="s">
        <v>29</v>
      </c>
      <c r="O3253" s="4" t="s">
        <v>24114</v>
      </c>
      <c r="P3253" s="4" t="s">
        <v>1152</v>
      </c>
      <c r="Q3253" s="6"/>
      <c r="R3253" s="6"/>
      <c r="S3253" s="6"/>
      <c r="T3253" s="6"/>
      <c r="U3253" s="6"/>
      <c r="V3253" s="6"/>
      <c r="W3253" s="6"/>
      <c r="X3253" s="6"/>
      <c r="Y3253" s="6"/>
      <c r="Z3253" s="6"/>
      <c r="AA3253" s="6"/>
    </row>
    <row r="3254" ht="14.25">
      <c r="B3254" s="4" t="s">
        <v>808</v>
      </c>
      <c r="C3254" s="4" t="s">
        <v>24115</v>
      </c>
      <c r="D3254" s="4" t="s">
        <v>315</v>
      </c>
      <c r="E3254" s="4" t="s">
        <v>24116</v>
      </c>
      <c r="F3254" s="4" t="str">
        <f>IFERROR(__XLUDF.DUMMYFUNCTION("PROPER(REGEXREPLACE(D970,""[^A-Za-z]+ "",""""))"),"Wisper")</f>
        <v>Wisper</v>
      </c>
      <c r="G3254" s="4" t="s">
        <v>24117</v>
      </c>
      <c r="H3254" s="4">
        <v>31</v>
      </c>
      <c r="I3254" s="4" t="s">
        <v>2602</v>
      </c>
      <c r="J3254" s="4"/>
      <c r="K3254" s="5" t="s">
        <v>24118</v>
      </c>
      <c r="L3254" s="5" t="s">
        <v>24119</v>
      </c>
      <c r="M3254" s="4" t="s">
        <v>39</v>
      </c>
      <c r="N3254" s="4" t="s">
        <v>29</v>
      </c>
      <c r="O3254" s="4" t="s">
        <v>24120</v>
      </c>
      <c r="P3254" s="4" t="s">
        <v>29</v>
      </c>
      <c r="Q3254" s="4" t="s">
        <v>24121</v>
      </c>
      <c r="R3254" s="6"/>
      <c r="S3254" s="6"/>
      <c r="T3254" s="6"/>
      <c r="U3254" s="6"/>
      <c r="V3254" s="6"/>
      <c r="W3254" s="6"/>
      <c r="X3254" s="6"/>
      <c r="Y3254" s="6"/>
      <c r="Z3254" s="6"/>
      <c r="AA3254" s="6"/>
    </row>
    <row r="3255" ht="14.25">
      <c r="B3255" s="4" t="s">
        <v>222</v>
      </c>
      <c r="C3255" s="4" t="s">
        <v>24122</v>
      </c>
      <c r="D3255" s="4" t="s">
        <v>24123</v>
      </c>
      <c r="E3255" s="4" t="s">
        <v>24124</v>
      </c>
      <c r="F3255" s="4" t="str">
        <f>IFERROR(__XLUDF.DUMMYFUNCTION("PROPER(REGEXREPLACE(D971,""[^A-Za-z]+ "",""""))"),"Usercube Now Part Of Netwrix")</f>
        <v xml:space="preserve">Usercube Now Part Of Netwrix</v>
      </c>
      <c r="G3255" s="4" t="s">
        <v>24125</v>
      </c>
      <c r="H3255" s="4">
        <v>15</v>
      </c>
      <c r="I3255" s="4" t="s">
        <v>2602</v>
      </c>
      <c r="J3255" s="4" t="str">
        <f>IFERROR(__XLUDF.DUMMYFUNCTION("VLOOKUP(H971,IMPORTRANGE(""https://docs.google.com/spreadsheets/d/1opm6ZNvGZ7KditA9TuJwrZ25eFLfTNIkrNnY6mhV5Eg"",""list!A1:C115""),3,TRUE)"),"le secteur de la tech")</f>
        <v xml:space="preserve">le secteur de la tech</v>
      </c>
      <c r="K3255" s="5" t="s">
        <v>24126</v>
      </c>
      <c r="L3255" s="5" t="s">
        <v>24127</v>
      </c>
      <c r="M3255" s="6"/>
      <c r="N3255" s="4" t="s">
        <v>29</v>
      </c>
      <c r="O3255" s="4" t="s">
        <v>24128</v>
      </c>
      <c r="P3255" s="4" t="s">
        <v>2953</v>
      </c>
      <c r="Q3255" s="6"/>
      <c r="R3255" s="6"/>
      <c r="S3255" s="6"/>
      <c r="T3255" s="6"/>
      <c r="U3255" s="6"/>
      <c r="V3255" s="6"/>
      <c r="W3255" s="6"/>
      <c r="X3255" s="6"/>
      <c r="Y3255" s="6"/>
      <c r="Z3255" s="6"/>
      <c r="AA3255" s="6"/>
    </row>
    <row r="3256" ht="14.25">
      <c r="B3256" s="4" t="s">
        <v>1454</v>
      </c>
      <c r="C3256" s="4" t="s">
        <v>24129</v>
      </c>
      <c r="D3256" s="4" t="s">
        <v>487</v>
      </c>
      <c r="E3256" s="4" t="s">
        <v>24130</v>
      </c>
      <c r="F3256" s="4" t="str">
        <f>IFERROR(__XLUDF.DUMMYFUNCTION("PROPER(REGEXREPLACE(D972,""[^A-Za-z]+ "",""""))"),"Digital Vision")</f>
        <v xml:space="preserve">Digital Vision</v>
      </c>
      <c r="G3256" s="4" t="s">
        <v>24131</v>
      </c>
      <c r="H3256" s="4">
        <v>31</v>
      </c>
      <c r="I3256" s="4" t="s">
        <v>2602</v>
      </c>
      <c r="J3256" s="4"/>
      <c r="K3256" s="5" t="s">
        <v>24132</v>
      </c>
      <c r="L3256" s="5" t="s">
        <v>24133</v>
      </c>
      <c r="M3256" s="4" t="s">
        <v>49</v>
      </c>
      <c r="N3256" s="4" t="s">
        <v>29</v>
      </c>
      <c r="O3256" s="4" t="s">
        <v>24134</v>
      </c>
      <c r="P3256" s="4" t="s">
        <v>1094</v>
      </c>
      <c r="Q3256" s="4" t="s">
        <v>24135</v>
      </c>
      <c r="R3256" s="6"/>
      <c r="S3256" s="6"/>
      <c r="T3256" s="6"/>
      <c r="U3256" s="6"/>
      <c r="V3256" s="6"/>
      <c r="W3256" s="6"/>
      <c r="X3256" s="6"/>
      <c r="Y3256" s="6"/>
      <c r="Z3256" s="6"/>
      <c r="AA3256" s="6"/>
    </row>
    <row r="3257" ht="14.25">
      <c r="B3257" s="4" t="s">
        <v>355</v>
      </c>
      <c r="C3257" s="4" t="s">
        <v>7095</v>
      </c>
      <c r="D3257" s="4" t="s">
        <v>2266</v>
      </c>
      <c r="E3257" s="4" t="s">
        <v>24136</v>
      </c>
      <c r="F3257" s="4" t="str">
        <f>IFERROR(__XLUDF.DUMMYFUNCTION("PROPER(REGEXREPLACE(D973,""[^A-Za-z]+ "",""""))"),"Louis Dupont")</f>
        <v xml:space="preserve">Louis Dupont</v>
      </c>
      <c r="G3257" s="4" t="s">
        <v>24137</v>
      </c>
      <c r="H3257" s="4">
        <v>22</v>
      </c>
      <c r="I3257" s="4" t="s">
        <v>4067</v>
      </c>
      <c r="J3257" s="4"/>
      <c r="K3257" s="5" t="s">
        <v>24138</v>
      </c>
      <c r="L3257" s="5" t="s">
        <v>24139</v>
      </c>
      <c r="M3257" s="6"/>
      <c r="N3257" s="4" t="s">
        <v>29</v>
      </c>
      <c r="O3257" s="4" t="s">
        <v>24140</v>
      </c>
      <c r="P3257" s="4" t="s">
        <v>29</v>
      </c>
      <c r="Q3257" s="4" t="s">
        <v>24141</v>
      </c>
      <c r="R3257" s="6"/>
      <c r="S3257" s="6"/>
      <c r="T3257" s="6"/>
      <c r="U3257" s="6"/>
      <c r="V3257" s="6"/>
      <c r="W3257" s="6"/>
      <c r="X3257" s="6"/>
      <c r="Y3257" s="6"/>
      <c r="Z3257" s="6"/>
      <c r="AA3257" s="6"/>
    </row>
    <row r="3258" ht="14.25">
      <c r="B3258" s="4" t="s">
        <v>5001</v>
      </c>
      <c r="C3258" s="4" t="s">
        <v>24142</v>
      </c>
      <c r="D3258" s="4" t="s">
        <v>426</v>
      </c>
      <c r="E3258" s="4" t="s">
        <v>24143</v>
      </c>
      <c r="F3258" s="4" t="str">
        <f>IFERROR(__XLUDF.DUMMYFUNCTION("PROPER(REGEXREPLACE(D974,""[^A-Za-z]+ "",""""))"),"Nude")</f>
        <v>Nude</v>
      </c>
      <c r="G3258" s="4" t="s">
        <v>24144</v>
      </c>
      <c r="H3258" s="4">
        <v>31</v>
      </c>
      <c r="I3258" s="4" t="s">
        <v>9161</v>
      </c>
      <c r="J3258" s="4" t="str">
        <f>IFERROR(__XLUDF.DUMMYFUNCTION("VLOOKUP(H974,IMPORTRANGE(""https://docs.google.com/spreadsheets/d/1opm6ZNvGZ7KditA9TuJwrZ25eFLfTNIkrNnY6mhV5Eg"",""list!A1:C115""),3,TRUE)"),"le secteur du marketing")</f>
        <v xml:space="preserve">le secteur du marketing</v>
      </c>
      <c r="K3258" s="5" t="s">
        <v>24145</v>
      </c>
      <c r="L3258" s="5" t="s">
        <v>24146</v>
      </c>
      <c r="M3258" s="6"/>
      <c r="N3258" s="4" t="s">
        <v>29</v>
      </c>
      <c r="O3258" s="4" t="s">
        <v>67</v>
      </c>
      <c r="P3258" s="4" t="s">
        <v>29</v>
      </c>
      <c r="Q3258" s="4" t="s">
        <v>24147</v>
      </c>
      <c r="R3258" s="6"/>
      <c r="S3258" s="6"/>
      <c r="T3258" s="6"/>
      <c r="U3258" s="6"/>
      <c r="V3258" s="6"/>
      <c r="W3258" s="6"/>
      <c r="X3258" s="6"/>
      <c r="Y3258" s="6"/>
      <c r="Z3258" s="6"/>
      <c r="AA3258" s="6"/>
    </row>
    <row r="3259" ht="14.25">
      <c r="B3259" s="4" t="s">
        <v>3752</v>
      </c>
      <c r="C3259" s="4" t="s">
        <v>24148</v>
      </c>
      <c r="D3259" s="4" t="s">
        <v>24149</v>
      </c>
      <c r="E3259" s="4" t="s">
        <v>24150</v>
      </c>
      <c r="F3259" s="4" t="str">
        <f>IFERROR(__XLUDF.DUMMYFUNCTION("PROPER(REGEXREPLACE(D975,""[^A-Za-z]+ "",""""))"),"Smartvideo")</f>
        <v>Smartvideo</v>
      </c>
      <c r="G3259" s="4" t="s">
        <v>24151</v>
      </c>
      <c r="H3259" s="4">
        <v>10</v>
      </c>
      <c r="I3259" s="4" t="s">
        <v>2602</v>
      </c>
      <c r="J3259" s="4" t="str">
        <f>IFERROR(__XLUDF.DUMMYFUNCTION("VLOOKUP(H975,IMPORTRANGE(""https://docs.google.com/spreadsheets/d/1opm6ZNvGZ7KditA9TuJwrZ25eFLfTNIkrNnY6mhV5Eg"",""list!A1:C115""),3,TRUE)"),"le secteur de la tech")</f>
        <v xml:space="preserve">le secteur de la tech</v>
      </c>
      <c r="K3259" s="5" t="s">
        <v>24152</v>
      </c>
      <c r="L3259" s="5" t="s">
        <v>24153</v>
      </c>
      <c r="M3259" s="6"/>
      <c r="N3259" s="4" t="s">
        <v>29</v>
      </c>
      <c r="O3259" s="4" t="s">
        <v>93</v>
      </c>
      <c r="P3259" s="4" t="s">
        <v>29</v>
      </c>
      <c r="Q3259" s="4" t="s">
        <v>24154</v>
      </c>
      <c r="R3259" s="6"/>
      <c r="S3259" s="6"/>
      <c r="T3259" s="6"/>
      <c r="U3259" s="6"/>
      <c r="V3259" s="6"/>
      <c r="W3259" s="6"/>
      <c r="X3259" s="6"/>
      <c r="Y3259" s="6"/>
      <c r="Z3259" s="6"/>
      <c r="AA3259" s="6"/>
    </row>
    <row r="3260" ht="14.25">
      <c r="B3260" s="4" t="s">
        <v>24155</v>
      </c>
      <c r="C3260" s="4" t="s">
        <v>24156</v>
      </c>
      <c r="D3260" s="4" t="s">
        <v>172</v>
      </c>
      <c r="E3260" s="4" t="s">
        <v>24157</v>
      </c>
      <c r="F3260" s="4" t="str">
        <f>IFERROR(__XLUDF.DUMMYFUNCTION("PROPER(REGEXREPLACE(D976,""[^A-Za-z]+ "",""""))"),"Aster Consulting")</f>
        <v xml:space="preserve">Aster Consulting</v>
      </c>
      <c r="G3260" s="4" t="s">
        <v>24158</v>
      </c>
      <c r="H3260" s="4">
        <v>12</v>
      </c>
      <c r="I3260" s="4" t="s">
        <v>2602</v>
      </c>
      <c r="J3260" s="4"/>
      <c r="K3260" s="5" t="s">
        <v>24159</v>
      </c>
      <c r="L3260" s="5" t="s">
        <v>24160</v>
      </c>
      <c r="M3260" s="4" t="s">
        <v>39</v>
      </c>
      <c r="N3260" s="4" t="s">
        <v>29</v>
      </c>
      <c r="O3260" s="4" t="s">
        <v>24161</v>
      </c>
      <c r="P3260" s="4" t="s">
        <v>29</v>
      </c>
      <c r="Q3260" s="6"/>
      <c r="R3260" s="6"/>
      <c r="S3260" s="6"/>
      <c r="T3260" s="6"/>
      <c r="U3260" s="6"/>
      <c r="V3260" s="6"/>
      <c r="W3260" s="6"/>
      <c r="X3260" s="6"/>
      <c r="Y3260" s="6"/>
      <c r="Z3260" s="6"/>
      <c r="AA3260" s="6"/>
    </row>
    <row r="3261" ht="14.25">
      <c r="B3261" s="4" t="s">
        <v>661</v>
      </c>
      <c r="C3261" s="4" t="s">
        <v>24162</v>
      </c>
      <c r="D3261" s="4" t="s">
        <v>10202</v>
      </c>
      <c r="E3261" s="4" t="s">
        <v>24163</v>
      </c>
      <c r="F3261" s="4" t="str">
        <f>IFERROR(__XLUDF.DUMMYFUNCTION("PROPER(REGEXREPLACE(D977,""[^A-Za-z]+ "",""""))"),"Novem Consulting")</f>
        <v xml:space="preserve">Novem Consulting</v>
      </c>
      <c r="G3261" s="4" t="s">
        <v>24164</v>
      </c>
      <c r="H3261" s="4">
        <v>20</v>
      </c>
      <c r="I3261" s="4" t="s">
        <v>4067</v>
      </c>
      <c r="J3261" s="4"/>
      <c r="K3261" s="5" t="s">
        <v>24165</v>
      </c>
      <c r="L3261" s="5" t="s">
        <v>24166</v>
      </c>
      <c r="M3261" s="6"/>
      <c r="N3261" s="4" t="s">
        <v>29</v>
      </c>
      <c r="O3261" s="4" t="s">
        <v>24167</v>
      </c>
      <c r="P3261" s="4" t="s">
        <v>29</v>
      </c>
      <c r="Q3261" s="6"/>
      <c r="R3261" s="6"/>
      <c r="S3261" s="6"/>
      <c r="T3261" s="6"/>
      <c r="U3261" s="6"/>
      <c r="V3261" s="6"/>
      <c r="W3261" s="6"/>
      <c r="X3261" s="6"/>
      <c r="Y3261" s="6"/>
      <c r="Z3261" s="6"/>
      <c r="AA3261" s="6"/>
    </row>
    <row r="3262" ht="14.25">
      <c r="B3262" s="4" t="s">
        <v>6967</v>
      </c>
      <c r="C3262" s="4" t="s">
        <v>24168</v>
      </c>
      <c r="D3262" s="4" t="s">
        <v>62</v>
      </c>
      <c r="E3262" s="4" t="s">
        <v>24169</v>
      </c>
      <c r="F3262" s="4" t="str">
        <f>IFERROR(__XLUDF.DUMMYFUNCTION("PROPER(REGEXREPLACE(D978,""[^A-Za-z]+ "",""""))"),"Askware")</f>
        <v>Askware</v>
      </c>
      <c r="G3262" s="4" t="s">
        <v>24170</v>
      </c>
      <c r="H3262" s="4">
        <v>17</v>
      </c>
      <c r="I3262" s="4" t="s">
        <v>2602</v>
      </c>
      <c r="J3262" s="4"/>
      <c r="K3262" s="5" t="s">
        <v>24171</v>
      </c>
      <c r="L3262" s="5" t="s">
        <v>24172</v>
      </c>
      <c r="M3262" s="4" t="s">
        <v>39</v>
      </c>
      <c r="N3262" s="4" t="s">
        <v>29</v>
      </c>
      <c r="O3262" s="4" t="s">
        <v>67</v>
      </c>
      <c r="P3262" s="4" t="s">
        <v>29</v>
      </c>
      <c r="Q3262" s="4" t="s">
        <v>24173</v>
      </c>
      <c r="R3262" s="6"/>
      <c r="S3262" s="6"/>
      <c r="T3262" s="6"/>
      <c r="U3262" s="6"/>
      <c r="V3262" s="6"/>
      <c r="W3262" s="6"/>
      <c r="X3262" s="6"/>
      <c r="Y3262" s="6"/>
      <c r="Z3262" s="6"/>
      <c r="AA3262" s="6"/>
    </row>
    <row r="3263" ht="14.25">
      <c r="B3263" s="4" t="s">
        <v>4012</v>
      </c>
      <c r="C3263" s="4" t="s">
        <v>24174</v>
      </c>
      <c r="D3263" s="4" t="s">
        <v>24175</v>
      </c>
      <c r="E3263" s="4" t="s">
        <v>24176</v>
      </c>
      <c r="F3263" s="4" t="str">
        <f>IFERROR(__XLUDF.DUMMYFUNCTION("PROPER(REGEXREPLACE(D979,""[^A-Za-z]+ "",""""))"),"Quartz Insight")</f>
        <v xml:space="preserve">Quartz Insight</v>
      </c>
      <c r="G3263" s="4" t="s">
        <v>24177</v>
      </c>
      <c r="H3263" s="4">
        <v>19</v>
      </c>
      <c r="I3263" s="4" t="s">
        <v>2602</v>
      </c>
      <c r="J3263" s="4" t="str">
        <f>IFERROR(__XLUDF.DUMMYFUNCTION("VLOOKUP(H979,IMPORTRANGE(""https://docs.google.com/spreadsheets/d/1opm6ZNvGZ7KditA9TuJwrZ25eFLfTNIkrNnY6mhV5Eg"",""list!A1:C115""),3,TRUE)"),"le secteur de la tech")</f>
        <v xml:space="preserve">le secteur de la tech</v>
      </c>
      <c r="K3263" s="5" t="s">
        <v>24178</v>
      </c>
      <c r="L3263" s="5" t="s">
        <v>24179</v>
      </c>
      <c r="M3263" s="4" t="s">
        <v>39</v>
      </c>
      <c r="N3263" s="4" t="s">
        <v>29</v>
      </c>
      <c r="O3263" s="4" t="s">
        <v>24180</v>
      </c>
      <c r="P3263" s="4" t="s">
        <v>29</v>
      </c>
      <c r="Q3263" s="4" t="s">
        <v>24181</v>
      </c>
      <c r="R3263" s="6"/>
      <c r="S3263" s="6"/>
      <c r="T3263" s="6"/>
      <c r="U3263" s="6"/>
      <c r="V3263" s="6"/>
      <c r="W3263" s="6"/>
      <c r="X3263" s="6"/>
      <c r="Y3263" s="6"/>
      <c r="Z3263" s="6"/>
      <c r="AA3263" s="6"/>
    </row>
    <row r="3264" ht="14.25">
      <c r="B3264" s="4" t="s">
        <v>710</v>
      </c>
      <c r="C3264" s="4" t="s">
        <v>24182</v>
      </c>
      <c r="D3264" s="4" t="s">
        <v>62</v>
      </c>
      <c r="E3264" s="4" t="s">
        <v>20209</v>
      </c>
      <c r="F3264" s="4" t="str">
        <f>IFERROR(__XLUDF.DUMMYFUNCTION("PROPER(REGEXREPLACE(D980,""[^A-Za-z]+ "",""""))"),"Jarvi")</f>
        <v>Jarvi</v>
      </c>
      <c r="G3264" s="4" t="s">
        <v>24183</v>
      </c>
      <c r="H3264" s="4">
        <v>33</v>
      </c>
      <c r="I3264" s="4" t="s">
        <v>2602</v>
      </c>
      <c r="J3264" s="4" t="str">
        <f>IFERROR(__XLUDF.DUMMYFUNCTION("VLOOKUP(H980,IMPORTRANGE(""https://docs.google.com/spreadsheets/d/1opm6ZNvGZ7KditA9TuJwrZ25eFLfTNIkrNnY6mhV5Eg"",""list!A1:C115""),3,TRUE)"),"le secteur de la tech")</f>
        <v xml:space="preserve">le secteur de la tech</v>
      </c>
      <c r="K3264" s="5" t="s">
        <v>24184</v>
      </c>
      <c r="L3264" s="5" t="s">
        <v>20212</v>
      </c>
      <c r="M3264" s="4" t="s">
        <v>1826</v>
      </c>
      <c r="N3264" s="4" t="s">
        <v>29</v>
      </c>
      <c r="O3264" s="4" t="s">
        <v>2286</v>
      </c>
      <c r="P3264" s="4" t="s">
        <v>29</v>
      </c>
      <c r="Q3264" s="4" t="s">
        <v>20213</v>
      </c>
      <c r="R3264" s="6"/>
      <c r="S3264" s="6"/>
      <c r="T3264" s="6"/>
      <c r="U3264" s="6"/>
      <c r="V3264" s="6"/>
      <c r="W3264" s="6"/>
      <c r="X3264" s="6"/>
      <c r="Y3264" s="6"/>
      <c r="Z3264" s="6"/>
      <c r="AA3264" s="6"/>
    </row>
    <row r="3265" ht="14.25">
      <c r="B3265" s="4" t="s">
        <v>679</v>
      </c>
      <c r="C3265" s="4" t="s">
        <v>24185</v>
      </c>
      <c r="D3265" s="4" t="s">
        <v>172</v>
      </c>
      <c r="E3265" s="4" t="s">
        <v>24186</v>
      </c>
      <c r="F3265" s="4" t="str">
        <f>IFERROR(__XLUDF.DUMMYFUNCTION("PROPER(REGEXREPLACE(D981,""[^A-Za-z]+ "",""""))"),"Qualidata")</f>
        <v>Qualidata</v>
      </c>
      <c r="G3265" s="4" t="s">
        <v>24187</v>
      </c>
      <c r="H3265" s="4">
        <v>20</v>
      </c>
      <c r="I3265" s="4" t="s">
        <v>2602</v>
      </c>
      <c r="J3265" s="4" t="str">
        <f>IFERROR(__XLUDF.DUMMYFUNCTION("VLOOKUP(H981,IMPORTRANGE(""https://docs.google.com/spreadsheets/d/1opm6ZNvGZ7KditA9TuJwrZ25eFLfTNIkrNnY6mhV5Eg"",""list!A1:C115""),3,TRUE)"),"le secteur de la tech")</f>
        <v xml:space="preserve">le secteur de la tech</v>
      </c>
      <c r="K3265" s="5" t="s">
        <v>24188</v>
      </c>
      <c r="L3265" s="5" t="s">
        <v>24189</v>
      </c>
      <c r="M3265" s="4" t="s">
        <v>39</v>
      </c>
      <c r="N3265" s="4" t="s">
        <v>29</v>
      </c>
      <c r="O3265" s="4" t="s">
        <v>24190</v>
      </c>
      <c r="P3265" s="4" t="s">
        <v>29</v>
      </c>
      <c r="Q3265" s="6"/>
      <c r="R3265" s="6"/>
      <c r="S3265" s="6"/>
      <c r="T3265" s="6"/>
      <c r="U3265" s="6"/>
      <c r="V3265" s="6"/>
      <c r="W3265" s="6"/>
      <c r="X3265" s="6"/>
      <c r="Y3265" s="6"/>
      <c r="Z3265" s="6"/>
      <c r="AA3265" s="6"/>
    </row>
    <row r="3266" ht="14.25">
      <c r="B3266" s="4" t="s">
        <v>3593</v>
      </c>
      <c r="C3266" s="4" t="s">
        <v>1354</v>
      </c>
      <c r="D3266" s="4" t="s">
        <v>24191</v>
      </c>
      <c r="E3266" s="4" t="s">
        <v>24192</v>
      </c>
      <c r="F3266" s="4" t="str">
        <f>IFERROR(__XLUDF.DUMMYFUNCTION("PROPER(REGEXREPLACE(D982,""[^A-Za-z]+ "",""""))"),"Reseau Local")</f>
        <v xml:space="preserve">Reseau Local</v>
      </c>
      <c r="G3266" s="4" t="s">
        <v>24193</v>
      </c>
      <c r="H3266" s="4">
        <v>10</v>
      </c>
      <c r="I3266" s="4" t="s">
        <v>2602</v>
      </c>
      <c r="J3266" s="4"/>
      <c r="K3266" s="5" t="s">
        <v>24194</v>
      </c>
      <c r="L3266" s="5" t="s">
        <v>24195</v>
      </c>
      <c r="M3266" s="4" t="s">
        <v>24196</v>
      </c>
      <c r="N3266" s="4" t="s">
        <v>29</v>
      </c>
      <c r="O3266" s="4" t="s">
        <v>24197</v>
      </c>
      <c r="P3266" s="4" t="s">
        <v>29</v>
      </c>
      <c r="Q3266" s="4" t="s">
        <v>24198</v>
      </c>
      <c r="R3266" s="6"/>
      <c r="S3266" s="6"/>
      <c r="T3266" s="6"/>
      <c r="U3266" s="6"/>
      <c r="V3266" s="6"/>
      <c r="W3266" s="6"/>
      <c r="X3266" s="6"/>
      <c r="Y3266" s="6"/>
      <c r="Z3266" s="6"/>
      <c r="AA3266" s="6"/>
    </row>
    <row r="3267" ht="14.25">
      <c r="B3267" s="4" t="s">
        <v>622</v>
      </c>
      <c r="C3267" s="4" t="s">
        <v>24199</v>
      </c>
      <c r="D3267" s="4" t="s">
        <v>172</v>
      </c>
      <c r="E3267" s="4" t="s">
        <v>13704</v>
      </c>
      <c r="F3267" s="4" t="str">
        <f>IFERROR(__XLUDF.DUMMYFUNCTION("PROPER(REGEXREPLACE(D983,""[^A-Za-z]+ "",""""))"),"Kemtec Engineering")</f>
        <v xml:space="preserve">Kemtec Engineering</v>
      </c>
      <c r="G3267" s="4" t="s">
        <v>24200</v>
      </c>
      <c r="H3267" s="4">
        <v>44</v>
      </c>
      <c r="I3267" s="4" t="s">
        <v>4067</v>
      </c>
      <c r="J3267" s="4" t="str">
        <f>IFERROR(__XLUDF.DUMMYFUNCTION("VLOOKUP(H983,IMPORTRANGE(""https://docs.google.com/spreadsheets/d/1opm6ZNvGZ7KditA9TuJwrZ25eFLfTNIkrNnY6mhV5Eg"",""list!A1:C115""),3,TRUE)"),"le secteur du conseil en management")</f>
        <v xml:space="preserve">le secteur du conseil en management</v>
      </c>
      <c r="K3267" s="5" t="s">
        <v>24201</v>
      </c>
      <c r="L3267" s="5" t="s">
        <v>24202</v>
      </c>
      <c r="M3267" s="4" t="s">
        <v>2824</v>
      </c>
      <c r="N3267" s="4" t="s">
        <v>29</v>
      </c>
      <c r="O3267" s="4" t="s">
        <v>24203</v>
      </c>
      <c r="P3267" s="4" t="s">
        <v>29</v>
      </c>
      <c r="Q3267" s="4" t="s">
        <v>13708</v>
      </c>
      <c r="R3267" s="6"/>
      <c r="S3267" s="6"/>
      <c r="T3267" s="6"/>
      <c r="U3267" s="6"/>
      <c r="V3267" s="6"/>
      <c r="W3267" s="6"/>
      <c r="X3267" s="6"/>
      <c r="Y3267" s="6"/>
      <c r="Z3267" s="6"/>
      <c r="AA3267" s="6"/>
    </row>
    <row r="3268" ht="14.25">
      <c r="B3268" s="4" t="s">
        <v>1605</v>
      </c>
      <c r="C3268" s="4" t="s">
        <v>24204</v>
      </c>
      <c r="D3268" s="4" t="s">
        <v>62</v>
      </c>
      <c r="E3268" s="4" t="s">
        <v>24205</v>
      </c>
      <c r="F3268" s="4" t="str">
        <f>IFERROR(__XLUDF.DUMMYFUNCTION("PROPER(REGEXREPLACE(D984,""[^A-Za-z]+ "",""""))"),"Franceverif")</f>
        <v>Franceverif</v>
      </c>
      <c r="G3268" s="4" t="s">
        <v>24206</v>
      </c>
      <c r="H3268" s="4">
        <v>10</v>
      </c>
      <c r="I3268" s="4" t="s">
        <v>2602</v>
      </c>
      <c r="J3268" s="4" t="str">
        <f>IFERROR(__XLUDF.DUMMYFUNCTION("VLOOKUP(H984,IMPORTRANGE(""https://docs.google.com/spreadsheets/d/1opm6ZNvGZ7KditA9TuJwrZ25eFLfTNIkrNnY6mhV5Eg"",""list!A1:C115""),3,TRUE)"),"le secteur de la tech")</f>
        <v xml:space="preserve">le secteur de la tech</v>
      </c>
      <c r="K3268" s="5" t="s">
        <v>24207</v>
      </c>
      <c r="L3268" s="5" t="s">
        <v>24208</v>
      </c>
      <c r="M3268" s="6"/>
      <c r="N3268" s="4" t="s">
        <v>29</v>
      </c>
      <c r="O3268" s="4" t="s">
        <v>67</v>
      </c>
      <c r="P3268" s="4" t="s">
        <v>29</v>
      </c>
      <c r="Q3268" s="4" t="s">
        <v>24209</v>
      </c>
      <c r="R3268" s="6"/>
      <c r="S3268" s="6"/>
      <c r="T3268" s="6"/>
      <c r="U3268" s="6"/>
      <c r="V3268" s="6"/>
      <c r="W3268" s="6"/>
      <c r="X3268" s="6"/>
      <c r="Y3268" s="6"/>
      <c r="Z3268" s="6"/>
      <c r="AA3268" s="6"/>
    </row>
    <row r="3269" ht="14.25">
      <c r="B3269" s="4" t="s">
        <v>653</v>
      </c>
      <c r="C3269" s="4" t="s">
        <v>24210</v>
      </c>
      <c r="D3269" s="4" t="s">
        <v>19951</v>
      </c>
      <c r="E3269" s="4" t="s">
        <v>24211</v>
      </c>
      <c r="F3269" s="4" t="str">
        <f>IFERROR(__XLUDF.DUMMYFUNCTION("PROPER(REGEXREPLACE(D985,""[^A-Za-z]+ "",""""))"),"Magma Technology")</f>
        <v xml:space="preserve">Magma Technology</v>
      </c>
      <c r="G3269" s="4" t="s">
        <v>24212</v>
      </c>
      <c r="H3269" s="4">
        <v>22</v>
      </c>
      <c r="I3269" s="4" t="s">
        <v>2602</v>
      </c>
      <c r="J3269" s="4"/>
      <c r="K3269" s="5" t="s">
        <v>24213</v>
      </c>
      <c r="L3269" s="5" t="s">
        <v>24214</v>
      </c>
      <c r="M3269" s="4" t="s">
        <v>39</v>
      </c>
      <c r="N3269" s="4" t="s">
        <v>29</v>
      </c>
      <c r="O3269" s="4" t="s">
        <v>24215</v>
      </c>
      <c r="P3269" s="4" t="s">
        <v>29</v>
      </c>
      <c r="Q3269" s="4" t="s">
        <v>24216</v>
      </c>
      <c r="R3269" s="6"/>
      <c r="S3269" s="6"/>
      <c r="T3269" s="6"/>
      <c r="U3269" s="6"/>
      <c r="V3269" s="6"/>
      <c r="W3269" s="6"/>
      <c r="X3269" s="6"/>
      <c r="Y3269" s="6"/>
      <c r="Z3269" s="6"/>
      <c r="AA3269" s="6"/>
    </row>
    <row r="3270" ht="14.25">
      <c r="B3270" s="4" t="s">
        <v>24217</v>
      </c>
      <c r="C3270" s="4" t="s">
        <v>24218</v>
      </c>
      <c r="D3270" s="4" t="s">
        <v>24219</v>
      </c>
      <c r="E3270" s="4" t="s">
        <v>10795</v>
      </c>
      <c r="F3270" s="4" t="str">
        <f>IFERROR(__XLUDF.DUMMYFUNCTION("PROPER(REGEXREPLACE(D986,""[^A-Za-z]+ "",""""))"),"Lyde Conseil")</f>
        <v xml:space="preserve">Lyde Conseil</v>
      </c>
      <c r="G3270" s="4" t="s">
        <v>24220</v>
      </c>
      <c r="H3270" s="4">
        <v>18</v>
      </c>
      <c r="I3270" s="4" t="s">
        <v>4067</v>
      </c>
      <c r="J3270" s="4" t="str">
        <f>IFERROR(__XLUDF.DUMMYFUNCTION("VLOOKUP(H986,IMPORTRANGE(""https://docs.google.com/spreadsheets/d/1opm6ZNvGZ7KditA9TuJwrZ25eFLfTNIkrNnY6mhV5Eg"",""list!A1:C115""),3,TRUE)"),"le secteur du conseil en management")</f>
        <v xml:space="preserve">le secteur du conseil en management</v>
      </c>
      <c r="K3270" s="5" t="s">
        <v>24221</v>
      </c>
      <c r="L3270" s="5" t="s">
        <v>24222</v>
      </c>
      <c r="M3270" s="6"/>
      <c r="N3270" s="4" t="s">
        <v>29</v>
      </c>
      <c r="O3270" s="4" t="s">
        <v>24223</v>
      </c>
      <c r="P3270" s="4" t="s">
        <v>29</v>
      </c>
      <c r="Q3270" s="4" t="s">
        <v>10800</v>
      </c>
      <c r="R3270" s="6"/>
      <c r="S3270" s="6"/>
      <c r="T3270" s="6"/>
      <c r="U3270" s="6"/>
      <c r="V3270" s="6"/>
      <c r="W3270" s="6"/>
      <c r="X3270" s="6"/>
      <c r="Y3270" s="6"/>
      <c r="Z3270" s="6"/>
      <c r="AA3270" s="6"/>
    </row>
    <row r="3271" ht="14.25">
      <c r="B3271" s="4" t="s">
        <v>743</v>
      </c>
      <c r="C3271" s="4" t="s">
        <v>24224</v>
      </c>
      <c r="D3271" s="4" t="s">
        <v>3273</v>
      </c>
      <c r="E3271" s="4" t="s">
        <v>24225</v>
      </c>
      <c r="F3271" s="4" t="str">
        <f>IFERROR(__XLUDF.DUMMYFUNCTION("PROPER(REGEXREPLACE(D987,""[^A-Za-z]+ "",""""))"),"Calmedica")</f>
        <v>Calmedica</v>
      </c>
      <c r="G3271" s="4" t="s">
        <v>24226</v>
      </c>
      <c r="H3271" s="4">
        <v>26</v>
      </c>
      <c r="I3271" s="4" t="s">
        <v>2602</v>
      </c>
      <c r="J3271" s="4" t="str">
        <f>IFERROR(__XLUDF.DUMMYFUNCTION("VLOOKUP(H987,IMPORTRANGE(""https://docs.google.com/spreadsheets/d/1opm6ZNvGZ7KditA9TuJwrZ25eFLfTNIkrNnY6mhV5Eg"",""list!A1:C115""),3,TRUE)"),"le secteur de la tech")</f>
        <v xml:space="preserve">le secteur de la tech</v>
      </c>
      <c r="K3271" s="5" t="s">
        <v>24227</v>
      </c>
      <c r="L3271" s="5" t="s">
        <v>24228</v>
      </c>
      <c r="M3271" s="4" t="s">
        <v>39</v>
      </c>
      <c r="N3271" s="4" t="s">
        <v>29</v>
      </c>
      <c r="O3271" s="4" t="s">
        <v>24229</v>
      </c>
      <c r="P3271" s="4" t="s">
        <v>29</v>
      </c>
      <c r="Q3271" s="4" t="s">
        <v>24230</v>
      </c>
      <c r="R3271" s="6"/>
      <c r="S3271" s="6"/>
      <c r="T3271" s="6"/>
      <c r="U3271" s="6"/>
      <c r="V3271" s="6"/>
      <c r="W3271" s="6"/>
      <c r="X3271" s="6"/>
      <c r="Y3271" s="6"/>
      <c r="Z3271" s="6"/>
      <c r="AA3271" s="6"/>
    </row>
    <row r="3272" ht="14.25">
      <c r="B3272" s="4" t="s">
        <v>355</v>
      </c>
      <c r="C3272" s="4" t="s">
        <v>24231</v>
      </c>
      <c r="D3272" s="4" t="s">
        <v>24232</v>
      </c>
      <c r="E3272" s="4" t="s">
        <v>17957</v>
      </c>
      <c r="F3272" s="4" t="str">
        <f>IFERROR(__XLUDF.DUMMYFUNCTION("PROPER(REGEXREPLACE(D988,""[^A-Za-z]+ "",""""))"),"Urban Gaming")</f>
        <v xml:space="preserve">Urban Gaming</v>
      </c>
      <c r="G3272" s="4" t="s">
        <v>24233</v>
      </c>
      <c r="H3272" s="4">
        <v>20</v>
      </c>
      <c r="I3272" s="4" t="s">
        <v>2602</v>
      </c>
      <c r="J3272" s="4"/>
      <c r="K3272" s="5" t="s">
        <v>24234</v>
      </c>
      <c r="L3272" s="5" t="s">
        <v>17960</v>
      </c>
      <c r="M3272" s="4" t="s">
        <v>15147</v>
      </c>
      <c r="N3272" s="4" t="s">
        <v>29</v>
      </c>
      <c r="O3272" s="4" t="s">
        <v>17961</v>
      </c>
      <c r="P3272" s="4" t="s">
        <v>29</v>
      </c>
      <c r="Q3272" s="4" t="s">
        <v>17962</v>
      </c>
      <c r="R3272" s="6"/>
      <c r="S3272" s="6"/>
      <c r="T3272" s="6"/>
      <c r="U3272" s="6"/>
      <c r="V3272" s="6"/>
      <c r="W3272" s="6"/>
      <c r="X3272" s="6"/>
      <c r="Y3272" s="6"/>
      <c r="Z3272" s="6"/>
      <c r="AA3272" s="6"/>
    </row>
    <row r="3273" ht="14.25">
      <c r="B3273" s="4" t="s">
        <v>355</v>
      </c>
      <c r="C3273" s="4" t="s">
        <v>24235</v>
      </c>
      <c r="D3273" s="4" t="s">
        <v>87</v>
      </c>
      <c r="E3273" s="5" t="s">
        <v>24236</v>
      </c>
      <c r="F3273" s="4" t="str">
        <f>IFERROR(__XLUDF.DUMMYFUNCTION("PROPER(REGEXREPLACE(D989,""[^A-Za-z]+ "",""""))"),"Amalia")</f>
        <v>Amalia</v>
      </c>
      <c r="G3273" s="4" t="s">
        <v>24237</v>
      </c>
      <c r="H3273" s="4">
        <v>30</v>
      </c>
      <c r="I3273" s="4" t="s">
        <v>2602</v>
      </c>
      <c r="J3273" s="4" t="str">
        <f>IFERROR(__XLUDF.DUMMYFUNCTION("VLOOKUP(H989,IMPORTRANGE(""https://docs.google.com/spreadsheets/d/1opm6ZNvGZ7KditA9TuJwrZ25eFLfTNIkrNnY6mhV5Eg"",""list!A1:C115""),3,TRUE)"),"le secteur de la tech")</f>
        <v xml:space="preserve">le secteur de la tech</v>
      </c>
      <c r="K3273" s="5" t="s">
        <v>24238</v>
      </c>
      <c r="L3273" s="5" t="s">
        <v>24239</v>
      </c>
      <c r="M3273" s="4" t="s">
        <v>39</v>
      </c>
      <c r="N3273" s="4" t="s">
        <v>29</v>
      </c>
      <c r="O3273" s="4" t="s">
        <v>18845</v>
      </c>
      <c r="P3273" s="4" t="s">
        <v>29</v>
      </c>
      <c r="Q3273" s="4" t="s">
        <v>24240</v>
      </c>
      <c r="R3273" s="6"/>
      <c r="S3273" s="6"/>
      <c r="T3273" s="6"/>
      <c r="U3273" s="6"/>
      <c r="V3273" s="6"/>
      <c r="W3273" s="6"/>
      <c r="X3273" s="6"/>
      <c r="Y3273" s="6"/>
      <c r="Z3273" s="6"/>
      <c r="AA3273" s="6"/>
    </row>
    <row r="3274" ht="14.25">
      <c r="B3274" s="4" t="s">
        <v>8995</v>
      </c>
      <c r="C3274" s="4" t="s">
        <v>24241</v>
      </c>
      <c r="D3274" s="4" t="s">
        <v>18553</v>
      </c>
      <c r="E3274" s="4" t="s">
        <v>24242</v>
      </c>
      <c r="F3274" s="4" t="str">
        <f>IFERROR(__XLUDF.DUMMYFUNCTION("PROPER(REGEXREPLACE(D990,""[^A-Za-z]+ "",""""))"),"Nuterms")</f>
        <v>Nuterms</v>
      </c>
      <c r="G3274" s="4" t="s">
        <v>24243</v>
      </c>
      <c r="H3274" s="4">
        <v>16</v>
      </c>
      <c r="I3274" s="4" t="s">
        <v>4067</v>
      </c>
      <c r="J3274" s="4"/>
      <c r="K3274" s="5" t="s">
        <v>24244</v>
      </c>
      <c r="L3274" s="5" t="s">
        <v>24245</v>
      </c>
      <c r="M3274" s="4" t="s">
        <v>39</v>
      </c>
      <c r="N3274" s="4" t="s">
        <v>29</v>
      </c>
      <c r="O3274" s="4" t="s">
        <v>24246</v>
      </c>
      <c r="P3274" s="4" t="s">
        <v>29</v>
      </c>
      <c r="Q3274" s="6"/>
      <c r="R3274" s="6"/>
      <c r="S3274" s="6"/>
      <c r="T3274" s="6"/>
      <c r="U3274" s="6"/>
      <c r="V3274" s="6"/>
      <c r="W3274" s="6"/>
      <c r="X3274" s="6"/>
      <c r="Y3274" s="6"/>
      <c r="Z3274" s="6"/>
      <c r="AA3274" s="6"/>
    </row>
    <row r="3275" ht="14.25">
      <c r="B3275" s="4" t="s">
        <v>24247</v>
      </c>
      <c r="C3275" s="4" t="s">
        <v>24248</v>
      </c>
      <c r="D3275" s="4" t="s">
        <v>87</v>
      </c>
      <c r="E3275" s="4" t="s">
        <v>24249</v>
      </c>
      <c r="F3275" s="4" t="str">
        <f>IFERROR(__XLUDF.DUMMYFUNCTION("PROPER(REGEXREPLACE(D991,""[^A-Za-z]+ "",""""))"),"Infotel Software Spz Oo")</f>
        <v xml:space="preserve">Infotel Software Spz Oo</v>
      </c>
      <c r="G3275" s="4" t="s">
        <v>24250</v>
      </c>
      <c r="H3275" s="4">
        <v>11</v>
      </c>
      <c r="I3275" s="4" t="s">
        <v>2602</v>
      </c>
      <c r="J3275" s="4" t="str">
        <f>IFERROR(__XLUDF.DUMMYFUNCTION("VLOOKUP(H991,IMPORTRANGE(""https://docs.google.com/spreadsheets/d/1opm6ZNvGZ7KditA9TuJwrZ25eFLfTNIkrNnY6mhV5Eg"",""list!A1:C115""),3,TRUE)"),"le secteur de la tech")</f>
        <v xml:space="preserve">le secteur de la tech</v>
      </c>
      <c r="K3275" s="5" t="s">
        <v>24251</v>
      </c>
      <c r="L3275" s="5" t="s">
        <v>24252</v>
      </c>
      <c r="M3275" s="6"/>
      <c r="N3275" s="4" t="s">
        <v>29</v>
      </c>
      <c r="O3275" s="4" t="s">
        <v>24253</v>
      </c>
      <c r="P3275" s="4" t="s">
        <v>24254</v>
      </c>
      <c r="Q3275" s="6"/>
      <c r="R3275" s="6"/>
      <c r="S3275" s="6"/>
      <c r="T3275" s="6"/>
      <c r="U3275" s="6"/>
      <c r="V3275" s="6"/>
      <c r="W3275" s="6"/>
      <c r="X3275" s="6"/>
      <c r="Y3275" s="6"/>
      <c r="Z3275" s="6"/>
      <c r="AA3275" s="6"/>
    </row>
    <row r="3276" ht="14.25">
      <c r="B3276" s="4" t="s">
        <v>355</v>
      </c>
      <c r="C3276" s="4" t="s">
        <v>24255</v>
      </c>
      <c r="D3276" s="4" t="s">
        <v>5003</v>
      </c>
      <c r="E3276" s="4" t="s">
        <v>23430</v>
      </c>
      <c r="F3276" s="4" t="str">
        <f>IFERROR(__XLUDF.DUMMYFUNCTION("PROPER(REGEXREPLACE(D992,""[^A-Za-z]+ "",""""))"),"Les Jules")</f>
        <v xml:space="preserve">Les Jules</v>
      </c>
      <c r="G3276" s="4" t="s">
        <v>24256</v>
      </c>
      <c r="H3276" s="4">
        <v>23</v>
      </c>
      <c r="I3276" s="4" t="s">
        <v>4067</v>
      </c>
      <c r="J3276" s="4"/>
      <c r="K3276" s="5" t="s">
        <v>24257</v>
      </c>
      <c r="L3276" s="5" t="s">
        <v>23433</v>
      </c>
      <c r="M3276" s="4" t="s">
        <v>39</v>
      </c>
      <c r="N3276" s="4" t="s">
        <v>29</v>
      </c>
      <c r="O3276" s="4" t="s">
        <v>23434</v>
      </c>
      <c r="P3276" s="4" t="s">
        <v>29</v>
      </c>
      <c r="Q3276" s="4" t="s">
        <v>23435</v>
      </c>
      <c r="R3276" s="6"/>
      <c r="S3276" s="6"/>
      <c r="T3276" s="6"/>
      <c r="U3276" s="6"/>
      <c r="V3276" s="6"/>
      <c r="W3276" s="6"/>
      <c r="X3276" s="6"/>
      <c r="Y3276" s="6"/>
      <c r="Z3276" s="6"/>
      <c r="AA3276" s="6"/>
    </row>
    <row r="3277" ht="14.25">
      <c r="B3277" s="4" t="s">
        <v>2119</v>
      </c>
      <c r="C3277" s="4" t="s">
        <v>24258</v>
      </c>
      <c r="D3277" s="4" t="s">
        <v>3637</v>
      </c>
      <c r="E3277" s="4" t="s">
        <v>24259</v>
      </c>
      <c r="F3277" s="4" t="str">
        <f>IFERROR(__XLUDF.DUMMYFUNCTION("PROPER(REGEXREPLACE(D993,""[^A-Za-z]+ "",""""))"),"Stratow Your Archived Documents")</f>
        <v xml:space="preserve">Stratow Your Archived Documents</v>
      </c>
      <c r="G3277" s="4" t="s">
        <v>24260</v>
      </c>
      <c r="H3277" s="4">
        <v>9</v>
      </c>
      <c r="I3277" s="4" t="s">
        <v>2602</v>
      </c>
      <c r="J3277" s="4" t="str">
        <f>IFERROR(__XLUDF.DUMMYFUNCTION("VLOOKUP(H993,IMPORTRANGE(""https://docs.google.com/spreadsheets/d/1opm6ZNvGZ7KditA9TuJwrZ25eFLfTNIkrNnY6mhV5Eg"",""list!A1:C115""),3,TRUE)"),"le secteur de la tech")</f>
        <v xml:space="preserve">le secteur de la tech</v>
      </c>
      <c r="K3277" s="5" t="s">
        <v>24261</v>
      </c>
      <c r="L3277" s="5" t="s">
        <v>24262</v>
      </c>
      <c r="M3277" s="4" t="s">
        <v>39</v>
      </c>
      <c r="N3277" s="4" t="s">
        <v>29</v>
      </c>
      <c r="O3277" s="4" t="s">
        <v>24263</v>
      </c>
      <c r="P3277" s="4" t="s">
        <v>29</v>
      </c>
      <c r="Q3277" s="4" t="s">
        <v>24264</v>
      </c>
      <c r="R3277" s="6"/>
      <c r="S3277" s="6"/>
      <c r="T3277" s="6"/>
      <c r="U3277" s="6"/>
      <c r="V3277" s="6"/>
      <c r="W3277" s="6"/>
      <c r="X3277" s="6"/>
      <c r="Y3277" s="6"/>
      <c r="Z3277" s="6"/>
      <c r="AA3277" s="6"/>
    </row>
    <row r="3278" ht="14.25">
      <c r="B3278" s="4" t="s">
        <v>661</v>
      </c>
      <c r="C3278" s="4" t="s">
        <v>24265</v>
      </c>
      <c r="D3278" s="4" t="s">
        <v>426</v>
      </c>
      <c r="E3278" s="4" t="s">
        <v>24266</v>
      </c>
      <c r="F3278" s="4" t="str">
        <f>IFERROR(__XLUDF.DUMMYFUNCTION("PROPER(REGEXREPLACE(D994,""[^A-Za-z]+ "",""""))"),"Thegreenbow")</f>
        <v>Thegreenbow</v>
      </c>
      <c r="G3278" s="4" t="s">
        <v>24267</v>
      </c>
      <c r="H3278" s="4">
        <v>29</v>
      </c>
      <c r="I3278" s="4" t="s">
        <v>9264</v>
      </c>
      <c r="J3278" s="4"/>
      <c r="K3278" s="5" t="s">
        <v>24268</v>
      </c>
      <c r="L3278" s="5" t="s">
        <v>24269</v>
      </c>
      <c r="M3278" s="4" t="s">
        <v>39</v>
      </c>
      <c r="N3278" s="4" t="s">
        <v>29</v>
      </c>
      <c r="O3278" s="4" t="s">
        <v>6890</v>
      </c>
      <c r="P3278" s="4" t="s">
        <v>29</v>
      </c>
      <c r="Q3278" s="4" t="s">
        <v>24270</v>
      </c>
      <c r="R3278" s="6"/>
      <c r="S3278" s="6"/>
      <c r="T3278" s="6"/>
      <c r="U3278" s="6"/>
      <c r="V3278" s="6"/>
      <c r="W3278" s="6"/>
      <c r="X3278" s="6"/>
      <c r="Y3278" s="6"/>
      <c r="Z3278" s="6"/>
      <c r="AA3278" s="6"/>
    </row>
    <row r="3279" ht="14.25">
      <c r="B3279" s="4" t="s">
        <v>24271</v>
      </c>
      <c r="C3279" s="4" t="s">
        <v>1002</v>
      </c>
      <c r="D3279" s="4" t="s">
        <v>24272</v>
      </c>
      <c r="E3279" s="4" t="s">
        <v>24273</v>
      </c>
      <c r="F3279" s="4" t="str">
        <f>IFERROR(__XLUDF.DUMMYFUNCTION("PROPER(REGEXREPLACE(D995,""[^A-Za-z]+ "",""""))"),"Josh Digital Agency")</f>
        <v xml:space="preserve">Josh Digital Agency</v>
      </c>
      <c r="G3279" s="4" t="s">
        <v>24274</v>
      </c>
      <c r="H3279" s="4">
        <v>17</v>
      </c>
      <c r="I3279" s="4" t="s">
        <v>2602</v>
      </c>
      <c r="J3279" s="4"/>
      <c r="K3279" s="5" t="s">
        <v>24275</v>
      </c>
      <c r="L3279" s="5" t="s">
        <v>24276</v>
      </c>
      <c r="M3279" s="4" t="s">
        <v>39</v>
      </c>
      <c r="N3279" s="4" t="s">
        <v>29</v>
      </c>
      <c r="O3279" s="4" t="s">
        <v>24277</v>
      </c>
      <c r="P3279" s="4" t="s">
        <v>29</v>
      </c>
      <c r="Q3279" s="4" t="s">
        <v>24278</v>
      </c>
      <c r="R3279" s="6"/>
      <c r="S3279" s="6"/>
      <c r="T3279" s="6"/>
      <c r="U3279" s="6"/>
      <c r="V3279" s="6"/>
      <c r="W3279" s="6"/>
      <c r="X3279" s="6"/>
      <c r="Y3279" s="6"/>
      <c r="Z3279" s="6"/>
      <c r="AA3279" s="6"/>
    </row>
    <row r="3280" ht="14.25">
      <c r="B3280" s="4" t="s">
        <v>1592</v>
      </c>
      <c r="C3280" s="4" t="s">
        <v>24279</v>
      </c>
      <c r="D3280" s="4" t="s">
        <v>5400</v>
      </c>
      <c r="E3280" s="4" t="s">
        <v>24280</v>
      </c>
      <c r="F3280" s="4" t="str">
        <f>IFERROR(__XLUDF.DUMMYFUNCTION("PROPER(REGEXREPLACE(D996,""[^A-Za-z]+ "",""""))"),"Asterop")</f>
        <v>Asterop</v>
      </c>
      <c r="G3280" s="4" t="s">
        <v>24281</v>
      </c>
      <c r="H3280" s="4">
        <v>19</v>
      </c>
      <c r="I3280" s="4" t="s">
        <v>2602</v>
      </c>
      <c r="J3280" s="4" t="str">
        <f>IFERROR(__XLUDF.DUMMYFUNCTION("VLOOKUP(H996,IMPORTRANGE(""https://docs.google.com/spreadsheets/d/1opm6ZNvGZ7KditA9TuJwrZ25eFLfTNIkrNnY6mhV5Eg"",""list!A1:C115""),3,TRUE)"),"le secteur de la tech")</f>
        <v xml:space="preserve">le secteur de la tech</v>
      </c>
      <c r="K3280" s="5" t="s">
        <v>24282</v>
      </c>
      <c r="L3280" s="5" t="s">
        <v>24283</v>
      </c>
      <c r="M3280" s="4" t="s">
        <v>1507</v>
      </c>
      <c r="N3280" s="4" t="s">
        <v>29</v>
      </c>
      <c r="O3280" s="4" t="s">
        <v>24284</v>
      </c>
      <c r="P3280" s="4" t="s">
        <v>29</v>
      </c>
      <c r="Q3280" s="6"/>
      <c r="R3280" s="6"/>
      <c r="S3280" s="6"/>
      <c r="T3280" s="6"/>
      <c r="U3280" s="6"/>
      <c r="V3280" s="6"/>
      <c r="W3280" s="6"/>
      <c r="X3280" s="6"/>
      <c r="Y3280" s="6"/>
      <c r="Z3280" s="6"/>
      <c r="AA3280" s="6"/>
    </row>
    <row r="3281" ht="14.25">
      <c r="B3281" s="4" t="s">
        <v>222</v>
      </c>
      <c r="C3281" s="4" t="s">
        <v>6390</v>
      </c>
      <c r="D3281" s="4" t="s">
        <v>24285</v>
      </c>
      <c r="E3281" s="4" t="s">
        <v>24286</v>
      </c>
      <c r="F3281" s="4" t="str">
        <f>IFERROR(__XLUDF.DUMMYFUNCTION("PROPER(REGEXREPLACE(D997,""[^A-Za-z]+ "",""""))"),"La Soderec")</f>
        <v xml:space="preserve">La Soderec</v>
      </c>
      <c r="G3281" s="4" t="s">
        <v>24287</v>
      </c>
      <c r="H3281" s="4">
        <v>20</v>
      </c>
      <c r="I3281" s="4" t="s">
        <v>4293</v>
      </c>
      <c r="J3281" s="4"/>
      <c r="K3281" s="5" t="s">
        <v>24288</v>
      </c>
      <c r="L3281" s="5" t="s">
        <v>24289</v>
      </c>
      <c r="M3281" s="4" t="s">
        <v>482</v>
      </c>
      <c r="N3281" s="4" t="s">
        <v>29</v>
      </c>
      <c r="O3281" s="4" t="s">
        <v>24290</v>
      </c>
      <c r="P3281" s="4" t="s">
        <v>29</v>
      </c>
      <c r="Q3281" s="4" t="s">
        <v>24291</v>
      </c>
      <c r="R3281" s="6"/>
      <c r="S3281" s="6"/>
      <c r="T3281" s="6"/>
      <c r="U3281" s="6"/>
      <c r="V3281" s="6"/>
      <c r="W3281" s="6"/>
      <c r="X3281" s="6"/>
      <c r="Y3281" s="6"/>
      <c r="Z3281" s="6"/>
      <c r="AA3281" s="6"/>
    </row>
    <row r="3282" ht="14.25">
      <c r="B3282" s="4" t="s">
        <v>661</v>
      </c>
      <c r="C3282" s="4" t="s">
        <v>24292</v>
      </c>
      <c r="D3282" s="4" t="s">
        <v>24293</v>
      </c>
      <c r="E3282" s="4" t="s">
        <v>24294</v>
      </c>
      <c r="F3282" s="4" t="str">
        <f>IFERROR(__XLUDF.DUMMYFUNCTION("PROPER(REGEXREPLACE(D998,""[^A-Za-z]+ "",""""))"),"Fiveforty")</f>
        <v>Fiveforty</v>
      </c>
      <c r="G3282" s="4" t="s">
        <v>24295</v>
      </c>
      <c r="H3282" s="4">
        <v>30</v>
      </c>
      <c r="I3282" s="4" t="s">
        <v>2602</v>
      </c>
      <c r="J3282" s="4" t="str">
        <f>IFERROR(__XLUDF.DUMMYFUNCTION("VLOOKUP(H998,IMPORTRANGE(""https://docs.google.com/spreadsheets/d/1opm6ZNvGZ7KditA9TuJwrZ25eFLfTNIkrNnY6mhV5Eg"",""list!A1:C115""),3,TRUE)"),"le secteur de la tech")</f>
        <v xml:space="preserve">le secteur de la tech</v>
      </c>
      <c r="K3282" s="5" t="s">
        <v>24296</v>
      </c>
      <c r="L3282" s="5" t="s">
        <v>24297</v>
      </c>
      <c r="M3282" s="4" t="s">
        <v>24298</v>
      </c>
      <c r="N3282" s="4" t="s">
        <v>29</v>
      </c>
      <c r="O3282" s="4" t="s">
        <v>611</v>
      </c>
      <c r="P3282" s="4" t="s">
        <v>29</v>
      </c>
      <c r="Q3282" s="4" t="s">
        <v>24299</v>
      </c>
      <c r="R3282" s="6"/>
      <c r="S3282" s="6"/>
      <c r="T3282" s="6"/>
      <c r="U3282" s="6"/>
      <c r="V3282" s="6"/>
      <c r="W3282" s="6"/>
      <c r="X3282" s="6"/>
      <c r="Y3282" s="6"/>
      <c r="Z3282" s="6"/>
      <c r="AA3282" s="6"/>
    </row>
    <row r="3283" ht="14.25">
      <c r="B3283" s="4" t="s">
        <v>3002</v>
      </c>
      <c r="C3283" s="4" t="s">
        <v>24300</v>
      </c>
      <c r="D3283" s="4" t="s">
        <v>426</v>
      </c>
      <c r="E3283" s="4" t="s">
        <v>12241</v>
      </c>
      <c r="F3283" s="4" t="str">
        <f>IFERROR(__XLUDF.DUMMYFUNCTION("PROPER(REGEXREPLACE(D999,""[^A-Za-z]+ "",""""))"),"Jumbo Mana")</f>
        <v xml:space="preserve">Jumbo Mana</v>
      </c>
      <c r="G3283" s="4" t="s">
        <v>24301</v>
      </c>
      <c r="H3283" s="4">
        <v>15</v>
      </c>
      <c r="I3283" s="4" t="s">
        <v>2602</v>
      </c>
      <c r="J3283" s="4"/>
      <c r="K3283" s="5" t="s">
        <v>24302</v>
      </c>
      <c r="L3283" s="5" t="s">
        <v>24303</v>
      </c>
      <c r="M3283" s="4" t="s">
        <v>651</v>
      </c>
      <c r="N3283" s="4" t="s">
        <v>29</v>
      </c>
      <c r="O3283" s="4" t="s">
        <v>24304</v>
      </c>
      <c r="P3283" s="4" t="s">
        <v>29</v>
      </c>
      <c r="Q3283" s="4" t="s">
        <v>12245</v>
      </c>
      <c r="R3283" s="6"/>
      <c r="S3283" s="6"/>
      <c r="T3283" s="6"/>
      <c r="U3283" s="6"/>
      <c r="V3283" s="6"/>
      <c r="W3283" s="6"/>
      <c r="X3283" s="6"/>
      <c r="Y3283" s="6"/>
      <c r="Z3283" s="6"/>
      <c r="AA3283" s="6"/>
    </row>
    <row r="3284" ht="14.25">
      <c r="B3284" s="4" t="s">
        <v>13300</v>
      </c>
      <c r="C3284" s="4" t="s">
        <v>24305</v>
      </c>
      <c r="D3284" s="4" t="s">
        <v>172</v>
      </c>
      <c r="E3284" s="4" t="s">
        <v>24306</v>
      </c>
      <c r="F3284" s="4" t="str">
        <f>IFERROR(__XLUDF.DUMMYFUNCTION("PROPER(REGEXREPLACE(D1000,""[^A-Za-z]+ "",""""))"),"Christine Goitschel Sports")</f>
        <v xml:space="preserve">Christine Goitschel Sports</v>
      </c>
      <c r="G3284" s="4" t="s">
        <v>24307</v>
      </c>
      <c r="H3284" s="4">
        <v>20</v>
      </c>
      <c r="I3284" s="4" t="s">
        <v>4525</v>
      </c>
      <c r="J3284" s="4"/>
      <c r="K3284" s="5" t="s">
        <v>24308</v>
      </c>
      <c r="L3284" s="5" t="s">
        <v>24309</v>
      </c>
      <c r="M3284" s="4" t="s">
        <v>4728</v>
      </c>
      <c r="N3284" s="4" t="s">
        <v>29</v>
      </c>
      <c r="O3284" s="4" t="s">
        <v>24310</v>
      </c>
      <c r="P3284" s="4" t="s">
        <v>29</v>
      </c>
      <c r="Q3284" s="4" t="s">
        <v>24311</v>
      </c>
      <c r="R3284" s="6"/>
      <c r="S3284" s="6"/>
      <c r="T3284" s="6"/>
      <c r="U3284" s="6"/>
      <c r="V3284" s="6"/>
      <c r="W3284" s="6"/>
      <c r="X3284" s="6"/>
      <c r="Y3284" s="6"/>
      <c r="Z3284" s="6"/>
      <c r="AA3284" s="6"/>
    </row>
    <row r="3285" ht="14.25">
      <c r="B3285" s="4" t="s">
        <v>622</v>
      </c>
      <c r="C3285" s="4" t="s">
        <v>6179</v>
      </c>
      <c r="D3285" s="4" t="s">
        <v>24312</v>
      </c>
      <c r="E3285" s="4" t="s">
        <v>24313</v>
      </c>
      <c r="F3285" s="4" t="str">
        <f>IFERROR(__XLUDF.DUMMYFUNCTION("PROPER(REGEXREPLACE(D1001,""[^A-Za-z]+ "",""""))"),"Manae")</f>
        <v>Manae</v>
      </c>
      <c r="G3285" s="4" t="s">
        <v>24314</v>
      </c>
      <c r="H3285" s="4">
        <v>31</v>
      </c>
      <c r="I3285" s="4" t="s">
        <v>2602</v>
      </c>
      <c r="J3285" s="4"/>
      <c r="K3285" s="5" t="s">
        <v>24315</v>
      </c>
      <c r="L3285" s="5" t="s">
        <v>24316</v>
      </c>
      <c r="M3285" s="4" t="s">
        <v>39</v>
      </c>
      <c r="N3285" s="4" t="s">
        <v>29</v>
      </c>
      <c r="O3285" s="4" t="s">
        <v>67</v>
      </c>
      <c r="P3285" s="4" t="s">
        <v>29</v>
      </c>
      <c r="Q3285" s="4" t="s">
        <v>24317</v>
      </c>
      <c r="R3285" s="6"/>
      <c r="S3285" s="6"/>
      <c r="T3285" s="6"/>
      <c r="U3285" s="6"/>
      <c r="V3285" s="6"/>
      <c r="W3285" s="6"/>
      <c r="X3285" s="6"/>
      <c r="Y3285" s="6"/>
      <c r="Z3285" s="6"/>
      <c r="AA3285" s="6"/>
    </row>
    <row r="3286" ht="14.25">
      <c r="B3286" s="4" t="s">
        <v>24318</v>
      </c>
      <c r="C3286" s="4" t="s">
        <v>24319</v>
      </c>
      <c r="D3286" s="4" t="s">
        <v>62</v>
      </c>
      <c r="E3286" s="4" t="s">
        <v>21330</v>
      </c>
      <c r="F3286" s="4" t="str">
        <f>IFERROR(__XLUDF.DUMMYFUNCTION("PROPER(REGEXREPLACE(D1002,""[^A-Za-z]+ "",""""))"),"First Conseil")</f>
        <v xml:space="preserve">First Conseil</v>
      </c>
      <c r="G3286" s="4" t="s">
        <v>24320</v>
      </c>
      <c r="H3286" s="4">
        <v>13</v>
      </c>
      <c r="I3286" s="4" t="s">
        <v>2602</v>
      </c>
      <c r="J3286" s="4"/>
      <c r="K3286" s="5" t="s">
        <v>24321</v>
      </c>
      <c r="L3286" s="5" t="s">
        <v>21333</v>
      </c>
      <c r="M3286" s="4" t="s">
        <v>39</v>
      </c>
      <c r="N3286" s="4" t="s">
        <v>29</v>
      </c>
      <c r="O3286" s="4" t="s">
        <v>21334</v>
      </c>
      <c r="P3286" s="4" t="s">
        <v>29</v>
      </c>
      <c r="Q3286" s="6"/>
      <c r="R3286" s="6"/>
      <c r="S3286" s="6"/>
      <c r="T3286" s="6"/>
      <c r="U3286" s="6"/>
      <c r="V3286" s="6"/>
      <c r="W3286" s="6"/>
      <c r="X3286" s="6"/>
      <c r="Y3286" s="6"/>
      <c r="Z3286" s="6"/>
      <c r="AA3286" s="6"/>
    </row>
    <row r="3287" ht="14.25">
      <c r="B3287" s="4" t="s">
        <v>2508</v>
      </c>
      <c r="C3287" s="4" t="s">
        <v>24322</v>
      </c>
      <c r="D3287" s="4" t="s">
        <v>87</v>
      </c>
      <c r="E3287" s="4" t="s">
        <v>24323</v>
      </c>
      <c r="F3287" s="4" t="str">
        <f>IFERROR(__XLUDF.DUMMYFUNCTION("PROPER(REGEXREPLACE(D1003,""[^A-Za-z]+ "",""""))"),"Groupe Partelio")</f>
        <v xml:space="preserve">Groupe Partelio</v>
      </c>
      <c r="G3287" s="4" t="s">
        <v>24324</v>
      </c>
      <c r="H3287" s="4">
        <v>28</v>
      </c>
      <c r="I3287" s="4" t="s">
        <v>4525</v>
      </c>
      <c r="J3287" s="4" t="str">
        <f>IFERROR(__XLUDF.DUMMYFUNCTION("VLOOKUP(H1003,IMPORTRANGE(""https://docs.google.com/spreadsheets/d/1opm6ZNvGZ7KditA9TuJwrZ25eFLfTNIkrNnY6mhV5Eg"",""list!A1:C115""),3,TRUE)"),"le secteur du retail")</f>
        <v xml:space="preserve">le secteur du retail</v>
      </c>
      <c r="K3287" s="5" t="s">
        <v>24325</v>
      </c>
      <c r="L3287" s="5" t="s">
        <v>24326</v>
      </c>
      <c r="M3287" s="6"/>
      <c r="N3287" s="4" t="s">
        <v>29</v>
      </c>
      <c r="O3287" s="4" t="s">
        <v>24327</v>
      </c>
      <c r="P3287" s="4" t="s">
        <v>29</v>
      </c>
      <c r="Q3287" s="6"/>
      <c r="R3287" s="6"/>
      <c r="S3287" s="6"/>
      <c r="T3287" s="6"/>
      <c r="U3287" s="6"/>
      <c r="V3287" s="6"/>
      <c r="W3287" s="6"/>
      <c r="X3287" s="6"/>
      <c r="Y3287" s="6"/>
      <c r="Z3287" s="6"/>
      <c r="AA3287" s="6"/>
    </row>
    <row r="3288" ht="14.25">
      <c r="B3288" s="4" t="s">
        <v>808</v>
      </c>
      <c r="C3288" s="4" t="s">
        <v>24328</v>
      </c>
      <c r="D3288" s="4" t="s">
        <v>426</v>
      </c>
      <c r="E3288" s="4" t="s">
        <v>24329</v>
      </c>
      <c r="F3288" s="4" t="str">
        <f>IFERROR(__XLUDF.DUMMYFUNCTION("PROPER(REGEXREPLACE(D1004,""[^A-Za-z]+ "",""""))"),"Ae&amp;T")</f>
        <v>Ae&amp;T</v>
      </c>
      <c r="G3288" s="4" t="s">
        <v>24330</v>
      </c>
      <c r="H3288" s="4">
        <v>31</v>
      </c>
      <c r="I3288" s="4" t="s">
        <v>10215</v>
      </c>
      <c r="J3288" s="4"/>
      <c r="K3288" s="5" t="s">
        <v>24331</v>
      </c>
      <c r="L3288" s="5" t="s">
        <v>24332</v>
      </c>
      <c r="M3288" s="4" t="s">
        <v>6489</v>
      </c>
      <c r="N3288" s="4" t="s">
        <v>29</v>
      </c>
      <c r="O3288" s="4" t="s">
        <v>24333</v>
      </c>
      <c r="P3288" s="4" t="s">
        <v>29</v>
      </c>
      <c r="Q3288" s="4" t="s">
        <v>24334</v>
      </c>
      <c r="R3288" s="6"/>
      <c r="S3288" s="6"/>
      <c r="T3288" s="6"/>
      <c r="U3288" s="6"/>
      <c r="V3288" s="6"/>
      <c r="W3288" s="6"/>
      <c r="X3288" s="6"/>
      <c r="Y3288" s="6"/>
      <c r="Z3288" s="6"/>
      <c r="AA3288" s="6"/>
    </row>
    <row r="3289" ht="14.25">
      <c r="B3289" s="4" t="s">
        <v>95</v>
      </c>
      <c r="C3289" s="4" t="s">
        <v>24335</v>
      </c>
      <c r="D3289" s="4" t="s">
        <v>87</v>
      </c>
      <c r="E3289" s="4" t="s">
        <v>24336</v>
      </c>
      <c r="F3289" s="4" t="str">
        <f>IFERROR(__XLUDF.DUMMYFUNCTION("PROPER(REGEXREPLACE(D1005,""[^A-Za-z]+ "",""""))"),"La Ruchevélos")</f>
        <v xml:space="preserve">La Ruchevélos</v>
      </c>
      <c r="G3289" s="4" t="s">
        <v>24337</v>
      </c>
      <c r="H3289" s="4">
        <v>14</v>
      </c>
      <c r="I3289" s="4" t="s">
        <v>2602</v>
      </c>
      <c r="J3289" s="4"/>
      <c r="K3289" s="5" t="s">
        <v>24338</v>
      </c>
      <c r="L3289" s="5" t="s">
        <v>24339</v>
      </c>
      <c r="M3289" s="4" t="s">
        <v>1711</v>
      </c>
      <c r="N3289" s="4" t="s">
        <v>29</v>
      </c>
      <c r="O3289" s="4" t="s">
        <v>24340</v>
      </c>
      <c r="P3289" s="4" t="s">
        <v>29</v>
      </c>
      <c r="Q3289" s="4" t="s">
        <v>24341</v>
      </c>
      <c r="R3289" s="6"/>
      <c r="S3289" s="6"/>
      <c r="T3289" s="6"/>
      <c r="U3289" s="6"/>
      <c r="V3289" s="6"/>
      <c r="W3289" s="6"/>
      <c r="X3289" s="6"/>
      <c r="Y3289" s="6"/>
      <c r="Z3289" s="6"/>
      <c r="AA3289" s="6"/>
    </row>
    <row r="3290" ht="14.25">
      <c r="B3290" s="4" t="s">
        <v>3967</v>
      </c>
      <c r="C3290" s="4" t="s">
        <v>24342</v>
      </c>
      <c r="D3290" s="4" t="s">
        <v>62</v>
      </c>
      <c r="E3290" s="4" t="s">
        <v>24343</v>
      </c>
      <c r="F3290" s="4" t="str">
        <f>IFERROR(__XLUDF.DUMMYFUNCTION("PROPER(REGEXREPLACE(D1006,""[^A-Za-z]+ "",""""))"),"Sahar")</f>
        <v>Sahar</v>
      </c>
      <c r="G3290" s="4" t="s">
        <v>24344</v>
      </c>
      <c r="H3290" s="4">
        <v>51</v>
      </c>
      <c r="I3290" s="4" t="s">
        <v>2602</v>
      </c>
      <c r="J3290" s="4"/>
      <c r="K3290" s="5" t="s">
        <v>24345</v>
      </c>
      <c r="L3290" s="5" t="s">
        <v>24346</v>
      </c>
      <c r="M3290" s="4" t="s">
        <v>39</v>
      </c>
      <c r="N3290" s="4" t="s">
        <v>29</v>
      </c>
      <c r="O3290" s="4" t="s">
        <v>24347</v>
      </c>
      <c r="P3290" s="4" t="s">
        <v>29</v>
      </c>
      <c r="Q3290" s="4" t="s">
        <v>24348</v>
      </c>
      <c r="R3290" s="6"/>
      <c r="S3290" s="6"/>
      <c r="T3290" s="6"/>
      <c r="U3290" s="6"/>
      <c r="V3290" s="6"/>
      <c r="W3290" s="6"/>
      <c r="X3290" s="6"/>
      <c r="Y3290" s="6"/>
      <c r="Z3290" s="6"/>
      <c r="AA3290" s="6"/>
    </row>
    <row r="3291" ht="14.25">
      <c r="B3291" s="4" t="s">
        <v>670</v>
      </c>
      <c r="C3291" s="4" t="s">
        <v>24349</v>
      </c>
      <c r="D3291" s="4" t="s">
        <v>62</v>
      </c>
      <c r="E3291" s="4" t="s">
        <v>24350</v>
      </c>
      <c r="F3291" s="4" t="str">
        <f>IFERROR(__XLUDF.DUMMYFUNCTION("PROPER(REGEXREPLACE(D1007,""[^A-Za-z]+ "",""""))"),"Kotzilla")</f>
        <v>Kotzilla</v>
      </c>
      <c r="G3291" s="4" t="s">
        <v>24351</v>
      </c>
      <c r="H3291" s="4">
        <v>20</v>
      </c>
      <c r="I3291" s="4" t="s">
        <v>2602</v>
      </c>
      <c r="J3291" s="4"/>
      <c r="K3291" s="5" t="s">
        <v>24352</v>
      </c>
      <c r="L3291" s="5" t="s">
        <v>24353</v>
      </c>
      <c r="M3291" s="4" t="s">
        <v>83</v>
      </c>
      <c r="N3291" s="4" t="s">
        <v>29</v>
      </c>
      <c r="O3291" s="4" t="s">
        <v>346</v>
      </c>
      <c r="P3291" s="4" t="s">
        <v>29</v>
      </c>
      <c r="Q3291" s="4" t="s">
        <v>24354</v>
      </c>
      <c r="R3291" s="6"/>
      <c r="S3291" s="6"/>
      <c r="T3291" s="6"/>
      <c r="U3291" s="6"/>
      <c r="V3291" s="6"/>
      <c r="W3291" s="6"/>
      <c r="X3291" s="6"/>
      <c r="Y3291" s="6"/>
      <c r="Z3291" s="6"/>
      <c r="AA3291" s="6"/>
    </row>
    <row r="3292" ht="14.25">
      <c r="B3292" s="4" t="s">
        <v>5579</v>
      </c>
      <c r="C3292" s="4" t="s">
        <v>24355</v>
      </c>
      <c r="D3292" s="4" t="s">
        <v>24356</v>
      </c>
      <c r="E3292" s="4" t="s">
        <v>24357</v>
      </c>
      <c r="F3292" s="4" t="str">
        <f>IFERROR(__XLUDF.DUMMYFUNCTION("PROPER(REGEXREPLACE(D1008,""[^A-Za-z]+ "",""""))"),"Brightness")</f>
        <v>Brightness</v>
      </c>
      <c r="G3292" s="4" t="s">
        <v>24358</v>
      </c>
      <c r="H3292" s="4">
        <v>10</v>
      </c>
      <c r="I3292" s="4" t="s">
        <v>4067</v>
      </c>
      <c r="J3292" s="4"/>
      <c r="K3292" s="5" t="s">
        <v>24359</v>
      </c>
      <c r="L3292" s="5" t="s">
        <v>24360</v>
      </c>
      <c r="M3292" s="6"/>
      <c r="N3292" s="4" t="s">
        <v>29</v>
      </c>
      <c r="O3292" s="4" t="s">
        <v>24361</v>
      </c>
      <c r="P3292" s="4" t="s">
        <v>29</v>
      </c>
      <c r="Q3292" s="4" t="s">
        <v>24362</v>
      </c>
      <c r="R3292" s="6"/>
      <c r="S3292" s="6"/>
      <c r="T3292" s="6"/>
      <c r="U3292" s="6"/>
      <c r="V3292" s="6"/>
      <c r="W3292" s="6"/>
      <c r="X3292" s="6"/>
      <c r="Y3292" s="6"/>
      <c r="Z3292" s="6"/>
      <c r="AA3292" s="6"/>
    </row>
    <row r="3293" ht="14.25">
      <c r="B3293" s="4" t="s">
        <v>817</v>
      </c>
      <c r="C3293" s="4" t="s">
        <v>572</v>
      </c>
      <c r="D3293" s="4" t="s">
        <v>1130</v>
      </c>
      <c r="E3293" s="4" t="s">
        <v>24363</v>
      </c>
      <c r="F3293" s="4" t="str">
        <f>IFERROR(__XLUDF.DUMMYFUNCTION("PROPER(REGEXREPLACE(D1009,""[^A-Za-z]+ "",""""))"),"Ceresco")</f>
        <v>Ceresco</v>
      </c>
      <c r="G3293" s="4" t="s">
        <v>24364</v>
      </c>
      <c r="H3293" s="4">
        <v>29</v>
      </c>
      <c r="I3293" s="4" t="s">
        <v>4067</v>
      </c>
      <c r="J3293" s="4"/>
      <c r="K3293" s="5" t="s">
        <v>24365</v>
      </c>
      <c r="L3293" s="5" t="s">
        <v>24366</v>
      </c>
      <c r="M3293" s="4" t="s">
        <v>185</v>
      </c>
      <c r="N3293" s="4" t="s">
        <v>29</v>
      </c>
      <c r="O3293" s="4" t="s">
        <v>1283</v>
      </c>
      <c r="P3293" s="4" t="s">
        <v>29</v>
      </c>
      <c r="Q3293" s="4" t="s">
        <v>24367</v>
      </c>
      <c r="R3293" s="6"/>
      <c r="S3293" s="6"/>
      <c r="T3293" s="6"/>
      <c r="U3293" s="6"/>
      <c r="V3293" s="6"/>
      <c r="W3293" s="6"/>
      <c r="X3293" s="6"/>
      <c r="Y3293" s="6"/>
      <c r="Z3293" s="6"/>
      <c r="AA3293" s="6"/>
    </row>
    <row r="3294" ht="14.25">
      <c r="B3294" s="4" t="s">
        <v>118</v>
      </c>
      <c r="C3294" s="4" t="s">
        <v>24368</v>
      </c>
      <c r="D3294" s="4" t="s">
        <v>672</v>
      </c>
      <c r="E3294" s="4" t="s">
        <v>24369</v>
      </c>
      <c r="F3294" s="4" t="str">
        <f>IFERROR(__XLUDF.DUMMYFUNCTION("PROPER(REGEXREPLACE(D1010,""[^A-Za-z]+ "",""""))"),"Celestal")</f>
        <v>Celestal</v>
      </c>
      <c r="G3294" s="4" t="s">
        <v>24370</v>
      </c>
      <c r="H3294" s="4">
        <v>21</v>
      </c>
      <c r="I3294" s="4" t="s">
        <v>4067</v>
      </c>
      <c r="J3294" s="4" t="str">
        <f>IFERROR(__XLUDF.DUMMYFUNCTION("VLOOKUP(H1010,IMPORTRANGE(""https://docs.google.com/spreadsheets/d/1opm6ZNvGZ7KditA9TuJwrZ25eFLfTNIkrNnY6mhV5Eg"",""list!A1:C115""),3,TRUE)"),"le secteur du conseil en management")</f>
        <v xml:space="preserve">le secteur du conseil en management</v>
      </c>
      <c r="K3294" s="5" t="s">
        <v>24371</v>
      </c>
      <c r="L3294" s="5" t="s">
        <v>24372</v>
      </c>
      <c r="M3294" s="4" t="s">
        <v>39</v>
      </c>
      <c r="N3294" s="4" t="s">
        <v>29</v>
      </c>
      <c r="O3294" s="4" t="s">
        <v>22645</v>
      </c>
      <c r="P3294" s="4" t="s">
        <v>29</v>
      </c>
      <c r="Q3294" s="4" t="s">
        <v>24373</v>
      </c>
      <c r="R3294" s="6"/>
      <c r="S3294" s="6"/>
      <c r="T3294" s="6"/>
      <c r="U3294" s="6"/>
      <c r="V3294" s="6"/>
      <c r="W3294" s="6"/>
      <c r="X3294" s="6"/>
      <c r="Y3294" s="6"/>
      <c r="Z3294" s="6"/>
      <c r="AA3294" s="6"/>
    </row>
    <row r="3295" ht="14.25">
      <c r="B3295" s="4" t="s">
        <v>955</v>
      </c>
      <c r="C3295" s="4" t="s">
        <v>24374</v>
      </c>
      <c r="D3295" s="4" t="s">
        <v>426</v>
      </c>
      <c r="E3295" s="4" t="s">
        <v>24375</v>
      </c>
      <c r="F3295" s="4" t="str">
        <f>IFERROR(__XLUDF.DUMMYFUNCTION("PROPER(REGEXREPLACE(D1011,""[^A-Za-z]+ "",""""))"),"Intersa")</f>
        <v>Intersa</v>
      </c>
      <c r="G3295" s="4" t="s">
        <v>24376</v>
      </c>
      <c r="H3295" s="4">
        <v>44</v>
      </c>
      <c r="I3295" s="4" t="s">
        <v>2602</v>
      </c>
      <c r="J3295" s="4"/>
      <c r="K3295" s="5" t="s">
        <v>24377</v>
      </c>
      <c r="L3295" s="5" t="s">
        <v>24378</v>
      </c>
      <c r="M3295" s="4" t="s">
        <v>39</v>
      </c>
      <c r="N3295" s="4" t="s">
        <v>29</v>
      </c>
      <c r="O3295" s="4" t="s">
        <v>19640</v>
      </c>
      <c r="P3295" s="4" t="s">
        <v>29</v>
      </c>
      <c r="Q3295" s="4" t="s">
        <v>24379</v>
      </c>
      <c r="R3295" s="6"/>
      <c r="S3295" s="6"/>
      <c r="T3295" s="6"/>
      <c r="U3295" s="6"/>
      <c r="V3295" s="6"/>
      <c r="W3295" s="6"/>
      <c r="X3295" s="6"/>
      <c r="Y3295" s="6"/>
      <c r="Z3295" s="6"/>
      <c r="AA3295" s="6"/>
    </row>
    <row r="3296" ht="14.25">
      <c r="B3296" s="4" t="s">
        <v>3781</v>
      </c>
      <c r="C3296" s="4" t="s">
        <v>24380</v>
      </c>
      <c r="D3296" s="4" t="s">
        <v>24381</v>
      </c>
      <c r="E3296" s="4" t="s">
        <v>24382</v>
      </c>
      <c r="F3296" s="4" t="str">
        <f>IFERROR(__XLUDF.DUMMYFUNCTION("PROPER(REGEXREPLACE(D1012,""[^A-Za-z]+ "",""""))"),"Delfox")</f>
        <v>Delfox</v>
      </c>
      <c r="G3296" s="4" t="s">
        <v>24383</v>
      </c>
      <c r="H3296" s="4">
        <v>13</v>
      </c>
      <c r="I3296" s="4" t="s">
        <v>2602</v>
      </c>
      <c r="J3296" s="4" t="str">
        <f>IFERROR(__XLUDF.DUMMYFUNCTION("VLOOKUP(H1012,IMPORTRANGE(""https://docs.google.com/spreadsheets/d/1opm6ZNvGZ7KditA9TuJwrZ25eFLfTNIkrNnY6mhV5Eg"",""list!A1:C115""),3,TRUE)"),"le secteur de la tech")</f>
        <v xml:space="preserve">le secteur de la tech</v>
      </c>
      <c r="K3296" s="5" t="s">
        <v>24384</v>
      </c>
      <c r="L3296" s="5" t="s">
        <v>24385</v>
      </c>
      <c r="M3296" s="4" t="s">
        <v>243</v>
      </c>
      <c r="N3296" s="4" t="s">
        <v>29</v>
      </c>
      <c r="O3296" s="4" t="s">
        <v>24386</v>
      </c>
      <c r="P3296" s="4" t="s">
        <v>29</v>
      </c>
      <c r="Q3296" s="4" t="s">
        <v>24387</v>
      </c>
      <c r="R3296" s="6"/>
      <c r="S3296" s="6"/>
      <c r="T3296" s="6"/>
      <c r="U3296" s="6"/>
      <c r="V3296" s="6"/>
      <c r="W3296" s="6"/>
      <c r="X3296" s="6"/>
      <c r="Y3296" s="6"/>
      <c r="Z3296" s="6"/>
      <c r="AA3296" s="6"/>
    </row>
    <row r="3297" ht="14.25">
      <c r="B3297" s="4" t="s">
        <v>76</v>
      </c>
      <c r="C3297" s="4" t="s">
        <v>24388</v>
      </c>
      <c r="D3297" s="4" t="s">
        <v>172</v>
      </c>
      <c r="E3297" s="4" t="s">
        <v>24389</v>
      </c>
      <c r="F3297" s="4" t="str">
        <f>IFERROR(__XLUDF.DUMMYFUNCTION("PROPER(REGEXREPLACE(D1013,""[^A-Za-z]+ "",""""))"),"Edenkia")</f>
        <v>Edenkia</v>
      </c>
      <c r="G3297" s="4" t="s">
        <v>24390</v>
      </c>
      <c r="H3297" s="4">
        <v>15</v>
      </c>
      <c r="I3297" s="4" t="s">
        <v>10215</v>
      </c>
      <c r="J3297" s="4"/>
      <c r="K3297" s="5" t="s">
        <v>24391</v>
      </c>
      <c r="L3297" s="5" t="s">
        <v>24392</v>
      </c>
      <c r="M3297" s="4" t="s">
        <v>140</v>
      </c>
      <c r="N3297" s="4" t="s">
        <v>29</v>
      </c>
      <c r="O3297" s="4" t="s">
        <v>24393</v>
      </c>
      <c r="P3297" s="4" t="s">
        <v>29</v>
      </c>
      <c r="Q3297" s="4" t="s">
        <v>24394</v>
      </c>
      <c r="R3297" s="6"/>
      <c r="S3297" s="6"/>
      <c r="T3297" s="6"/>
      <c r="U3297" s="6"/>
      <c r="V3297" s="6"/>
      <c r="W3297" s="6"/>
      <c r="X3297" s="6"/>
      <c r="Y3297" s="6"/>
      <c r="Z3297" s="6"/>
      <c r="AA3297" s="6"/>
    </row>
    <row r="3298" ht="14.25">
      <c r="B3298" s="4" t="s">
        <v>16196</v>
      </c>
      <c r="C3298" s="4" t="s">
        <v>24395</v>
      </c>
      <c r="D3298" s="4" t="s">
        <v>87</v>
      </c>
      <c r="E3298" s="4" t="s">
        <v>24396</v>
      </c>
      <c r="F3298" s="4" t="str">
        <f>IFERROR(__XLUDF.DUMMYFUNCTION("PROPER(REGEXREPLACE(D1014,""[^A-Za-z]+ "",""""))"),"Geoloc")</f>
        <v>Geoloc</v>
      </c>
      <c r="G3298" s="4" t="s">
        <v>24397</v>
      </c>
      <c r="H3298" s="4">
        <v>10</v>
      </c>
      <c r="I3298" s="4" t="s">
        <v>2602</v>
      </c>
      <c r="J3298" s="4" t="str">
        <f>IFERROR(__XLUDF.DUMMYFUNCTION("VLOOKUP(H1014,IMPORTRANGE(""https://docs.google.com/spreadsheets/d/1opm6ZNvGZ7KditA9TuJwrZ25eFLfTNIkrNnY6mhV5Eg"",""list!A1:C115""),3,TRUE)"),"le secteur de la tech")</f>
        <v xml:space="preserve">le secteur de la tech</v>
      </c>
      <c r="K3298" s="5" t="s">
        <v>24398</v>
      </c>
      <c r="L3298" s="5" t="s">
        <v>24399</v>
      </c>
      <c r="M3298" s="4" t="s">
        <v>39</v>
      </c>
      <c r="N3298" s="4" t="s">
        <v>29</v>
      </c>
      <c r="O3298" s="4" t="s">
        <v>24400</v>
      </c>
      <c r="P3298" s="4" t="s">
        <v>29</v>
      </c>
      <c r="Q3298" s="6"/>
      <c r="R3298" s="6"/>
      <c r="S3298" s="6"/>
      <c r="T3298" s="6"/>
      <c r="U3298" s="6"/>
      <c r="V3298" s="6"/>
      <c r="W3298" s="6"/>
      <c r="X3298" s="6"/>
      <c r="Y3298" s="6"/>
      <c r="Z3298" s="6"/>
      <c r="AA3298" s="6"/>
    </row>
    <row r="3299" ht="14.25">
      <c r="B3299" s="4" t="s">
        <v>785</v>
      </c>
      <c r="C3299" s="4" t="s">
        <v>24401</v>
      </c>
      <c r="D3299" s="4" t="s">
        <v>24402</v>
      </c>
      <c r="E3299" s="4" t="s">
        <v>24403</v>
      </c>
      <c r="F3299" s="4" t="str">
        <f>IFERROR(__XLUDF.DUMMYFUNCTION("PROPER(REGEXREPLACE(D1015,""[^A-Za-z]+ "",""""))"),"Page Publique")</f>
        <v xml:space="preserve">Page Publique</v>
      </c>
      <c r="G3299" s="4" t="s">
        <v>24404</v>
      </c>
      <c r="H3299" s="4">
        <v>10</v>
      </c>
      <c r="I3299" s="4" t="s">
        <v>10639</v>
      </c>
      <c r="J3299" s="4"/>
      <c r="K3299" s="5" t="s">
        <v>24405</v>
      </c>
      <c r="L3299" s="5" t="s">
        <v>24406</v>
      </c>
      <c r="M3299" s="4" t="s">
        <v>243</v>
      </c>
      <c r="N3299" s="4" t="s">
        <v>29</v>
      </c>
      <c r="O3299" s="4" t="s">
        <v>1533</v>
      </c>
      <c r="P3299" s="4" t="s">
        <v>29</v>
      </c>
      <c r="Q3299" s="4" t="s">
        <v>24407</v>
      </c>
      <c r="R3299" s="6"/>
      <c r="S3299" s="6"/>
      <c r="T3299" s="6"/>
      <c r="U3299" s="6"/>
      <c r="V3299" s="6"/>
      <c r="W3299" s="6"/>
      <c r="X3299" s="6"/>
      <c r="Y3299" s="6"/>
      <c r="Z3299" s="6"/>
      <c r="AA3299" s="6"/>
    </row>
    <row r="3300" ht="14.25">
      <c r="B3300" s="4" t="s">
        <v>24408</v>
      </c>
      <c r="C3300" s="4" t="s">
        <v>24409</v>
      </c>
      <c r="D3300" s="4" t="s">
        <v>87</v>
      </c>
      <c r="E3300" s="4" t="s">
        <v>24410</v>
      </c>
      <c r="F3300" s="4" t="str">
        <f>IFERROR(__XLUDF.DUMMYFUNCTION("PROPER(REGEXREPLACE(D1016,""[^A-Za-z]+ "",""""))"),"Enty")</f>
        <v>Enty</v>
      </c>
      <c r="G3300" s="4" t="s">
        <v>24411</v>
      </c>
      <c r="H3300" s="4">
        <v>35</v>
      </c>
      <c r="I3300" s="4" t="s">
        <v>2602</v>
      </c>
      <c r="J3300" s="4" t="str">
        <f>IFERROR(__XLUDF.DUMMYFUNCTION("VLOOKUP(H1016,IMPORTRANGE(""https://docs.google.com/spreadsheets/d/1opm6ZNvGZ7KditA9TuJwrZ25eFLfTNIkrNnY6mhV5Eg"",""list!A1:C115""),3,TRUE)"),"le secteur de la tech")</f>
        <v xml:space="preserve">le secteur de la tech</v>
      </c>
      <c r="K3300" s="5" t="s">
        <v>24412</v>
      </c>
      <c r="L3300" s="5" t="s">
        <v>24413</v>
      </c>
      <c r="M3300" s="4" t="s">
        <v>39</v>
      </c>
      <c r="N3300" s="4" t="s">
        <v>29</v>
      </c>
      <c r="O3300" s="4" t="s">
        <v>24414</v>
      </c>
      <c r="P3300" s="4" t="s">
        <v>16128</v>
      </c>
      <c r="Q3300" s="4" t="s">
        <v>24415</v>
      </c>
      <c r="R3300" s="6"/>
      <c r="S3300" s="6"/>
      <c r="T3300" s="6"/>
      <c r="U3300" s="6"/>
      <c r="V3300" s="6"/>
      <c r="W3300" s="6"/>
      <c r="X3300" s="6"/>
      <c r="Y3300" s="6"/>
      <c r="Z3300" s="6"/>
      <c r="AA3300" s="6"/>
    </row>
    <row r="3301" ht="14.25">
      <c r="B3301" s="4" t="s">
        <v>4012</v>
      </c>
      <c r="C3301" s="4" t="s">
        <v>24416</v>
      </c>
      <c r="D3301" s="4" t="s">
        <v>112</v>
      </c>
      <c r="E3301" s="4" t="s">
        <v>24417</v>
      </c>
      <c r="F3301" s="4" t="str">
        <f>IFERROR(__XLUDF.DUMMYFUNCTION("PROPER(REGEXREPLACE(D1017,""[^A-Za-z]+ "",""""))"),"Groupe Piveteau")</f>
        <v xml:space="preserve">Groupe Piveteau</v>
      </c>
      <c r="G3301" s="4" t="s">
        <v>24418</v>
      </c>
      <c r="H3301" s="4">
        <v>17</v>
      </c>
      <c r="I3301" s="4" t="s">
        <v>4067</v>
      </c>
      <c r="J3301" s="4" t="str">
        <f>IFERROR(__XLUDF.DUMMYFUNCTION("VLOOKUP(H1017,IMPORTRANGE(""https://docs.google.com/spreadsheets/d/1opm6ZNvGZ7KditA9TuJwrZ25eFLfTNIkrNnY6mhV5Eg"",""list!A1:C115""),3,TRUE)"),"le secteur du conseil en management")</f>
        <v xml:space="preserve">le secteur du conseil en management</v>
      </c>
      <c r="K3301" s="5" t="s">
        <v>24419</v>
      </c>
      <c r="L3301" s="5" t="s">
        <v>24420</v>
      </c>
      <c r="M3301" s="6"/>
      <c r="N3301" s="4" t="s">
        <v>29</v>
      </c>
      <c r="O3301" s="4" t="s">
        <v>24421</v>
      </c>
      <c r="P3301" s="4" t="s">
        <v>29</v>
      </c>
      <c r="Q3301" s="6"/>
      <c r="R3301" s="6"/>
      <c r="S3301" s="6"/>
      <c r="T3301" s="6"/>
      <c r="U3301" s="6"/>
      <c r="V3301" s="6"/>
      <c r="W3301" s="6"/>
      <c r="X3301" s="6"/>
      <c r="Y3301" s="6"/>
      <c r="Z3301" s="6"/>
      <c r="AA3301" s="6"/>
    </row>
    <row r="3302" ht="14.25">
      <c r="B3302" s="4" t="s">
        <v>2643</v>
      </c>
      <c r="C3302" s="4" t="s">
        <v>24422</v>
      </c>
      <c r="D3302" s="4" t="s">
        <v>24423</v>
      </c>
      <c r="E3302" s="4" t="s">
        <v>24424</v>
      </c>
      <c r="F3302" s="4" t="str">
        <f>IFERROR(__XLUDF.DUMMYFUNCTION("PROPER(REGEXREPLACE(D1018,""[^A-Za-z]+ "",""""))"),"Changecare")</f>
        <v>Changecare</v>
      </c>
      <c r="G3302" s="4" t="s">
        <v>24425</v>
      </c>
      <c r="H3302" s="4">
        <v>25</v>
      </c>
      <c r="I3302" s="4" t="s">
        <v>4067</v>
      </c>
      <c r="J3302" s="4" t="str">
        <f>IFERROR(__XLUDF.DUMMYFUNCTION("VLOOKUP(H1018,IMPORTRANGE(""https://docs.google.com/spreadsheets/d/1opm6ZNvGZ7KditA9TuJwrZ25eFLfTNIkrNnY6mhV5Eg"",""list!A1:C115""),3,TRUE)"),"le secteur du conseil en management")</f>
        <v xml:space="preserve">le secteur du conseil en management</v>
      </c>
      <c r="K3302" s="5" t="s">
        <v>24426</v>
      </c>
      <c r="L3302" s="5" t="s">
        <v>24427</v>
      </c>
      <c r="M3302" s="4" t="s">
        <v>39</v>
      </c>
      <c r="N3302" s="4" t="s">
        <v>29</v>
      </c>
      <c r="O3302" s="4" t="s">
        <v>24428</v>
      </c>
      <c r="P3302" s="4" t="s">
        <v>29</v>
      </c>
      <c r="Q3302" s="4" t="s">
        <v>24429</v>
      </c>
      <c r="R3302" s="6"/>
      <c r="S3302" s="6"/>
      <c r="T3302" s="6"/>
      <c r="U3302" s="6"/>
      <c r="V3302" s="6"/>
      <c r="W3302" s="6"/>
      <c r="X3302" s="6"/>
      <c r="Y3302" s="6"/>
      <c r="Z3302" s="6"/>
      <c r="AA3302" s="6"/>
    </row>
    <row r="3303" ht="14.25">
      <c r="B3303" s="4" t="s">
        <v>2299</v>
      </c>
      <c r="C3303" s="4" t="s">
        <v>24430</v>
      </c>
      <c r="D3303" s="4" t="s">
        <v>460</v>
      </c>
      <c r="E3303" s="4" t="s">
        <v>24431</v>
      </c>
      <c r="F3303" s="4" t="str">
        <f>IFERROR(__XLUDF.DUMMYFUNCTION("PROPER(REGEXREPLACE(D1019,""[^A-Za-z]+ "",""""))"),"5Team")</f>
        <v>5Team</v>
      </c>
      <c r="G3303" s="4" t="s">
        <v>24432</v>
      </c>
      <c r="H3303" s="4">
        <v>32</v>
      </c>
      <c r="I3303" s="4" t="s">
        <v>2602</v>
      </c>
      <c r="J3303" s="4"/>
      <c r="K3303" s="5" t="s">
        <v>24433</v>
      </c>
      <c r="L3303" s="5" t="s">
        <v>24434</v>
      </c>
      <c r="M3303" s="6"/>
      <c r="N3303" s="4" t="s">
        <v>29</v>
      </c>
      <c r="O3303" s="4" t="s">
        <v>24435</v>
      </c>
      <c r="P3303" s="4" t="s">
        <v>29</v>
      </c>
      <c r="Q3303" s="6"/>
      <c r="R3303" s="6"/>
      <c r="S3303" s="6"/>
      <c r="T3303" s="6"/>
      <c r="U3303" s="6"/>
      <c r="V3303" s="6"/>
      <c r="W3303" s="6"/>
      <c r="X3303" s="6"/>
      <c r="Y3303" s="6"/>
      <c r="Z3303" s="6"/>
      <c r="AA3303" s="6"/>
    </row>
    <row r="3304" ht="14.25">
      <c r="B3304" s="4" t="s">
        <v>196</v>
      </c>
      <c r="C3304" s="4" t="s">
        <v>24436</v>
      </c>
      <c r="D3304" s="4" t="s">
        <v>24437</v>
      </c>
      <c r="E3304" s="4" t="s">
        <v>18039</v>
      </c>
      <c r="F3304" s="4" t="str">
        <f>IFERROR(__XLUDF.DUMMYFUNCTION("PROPER(REGEXREPLACE(D1020,""[^A-Za-z]+ "",""""))"),"Ochy")</f>
        <v>Ochy</v>
      </c>
      <c r="G3304" s="4" t="s">
        <v>24438</v>
      </c>
      <c r="H3304" s="4">
        <v>15</v>
      </c>
      <c r="I3304" s="4" t="s">
        <v>2602</v>
      </c>
      <c r="J3304" s="4" t="str">
        <f>IFERROR(__XLUDF.DUMMYFUNCTION("VLOOKUP(H1020,IMPORTRANGE(""https://docs.google.com/spreadsheets/d/1opm6ZNvGZ7KditA9TuJwrZ25eFLfTNIkrNnY6mhV5Eg"",""list!A1:C115""),3,TRUE)"),"le secteur de la tech")</f>
        <v xml:space="preserve">le secteur de la tech</v>
      </c>
      <c r="K3304" s="5" t="s">
        <v>24439</v>
      </c>
      <c r="L3304" s="5" t="s">
        <v>18042</v>
      </c>
      <c r="M3304" s="4" t="s">
        <v>1826</v>
      </c>
      <c r="N3304" s="4" t="s">
        <v>29</v>
      </c>
      <c r="O3304" s="4" t="s">
        <v>2286</v>
      </c>
      <c r="P3304" s="4" t="s">
        <v>29</v>
      </c>
      <c r="Q3304" s="4" t="s">
        <v>18043</v>
      </c>
      <c r="R3304" s="6"/>
      <c r="S3304" s="6"/>
      <c r="T3304" s="6"/>
      <c r="U3304" s="6"/>
      <c r="V3304" s="6"/>
      <c r="W3304" s="6"/>
      <c r="X3304" s="6"/>
      <c r="Y3304" s="6"/>
      <c r="Z3304" s="6"/>
      <c r="AA3304" s="6"/>
    </row>
    <row r="3305" ht="14.25">
      <c r="B3305" s="4" t="s">
        <v>4986</v>
      </c>
      <c r="C3305" s="4" t="s">
        <v>24440</v>
      </c>
      <c r="D3305" s="4" t="s">
        <v>71</v>
      </c>
      <c r="E3305" s="4" t="s">
        <v>24441</v>
      </c>
      <c r="F3305" s="4" t="str">
        <f>IFERROR(__XLUDF.DUMMYFUNCTION("PROPER(REGEXREPLACE(D1021,""[^A-Za-z]+ "",""""))"),"Beefirst")</f>
        <v>Beefirst</v>
      </c>
      <c r="G3305" s="4" t="s">
        <v>24442</v>
      </c>
      <c r="H3305" s="4">
        <v>11</v>
      </c>
      <c r="I3305" s="4" t="s">
        <v>2602</v>
      </c>
      <c r="J3305" s="4" t="str">
        <f>IFERROR(__XLUDF.DUMMYFUNCTION("VLOOKUP(H1021,IMPORTRANGE(""https://docs.google.com/spreadsheets/d/1opm6ZNvGZ7KditA9TuJwrZ25eFLfTNIkrNnY6mhV5Eg"",""list!A1:C115""),3,TRUE)"),"le secteur de la tech")</f>
        <v xml:space="preserve">le secteur de la tech</v>
      </c>
      <c r="K3305" s="5" t="s">
        <v>24443</v>
      </c>
      <c r="L3305" s="5" t="s">
        <v>24444</v>
      </c>
      <c r="M3305" s="4" t="s">
        <v>1419</v>
      </c>
      <c r="N3305" s="4" t="s">
        <v>29</v>
      </c>
      <c r="O3305" s="4" t="s">
        <v>24445</v>
      </c>
      <c r="P3305" s="4" t="s">
        <v>29</v>
      </c>
      <c r="Q3305" s="4" t="s">
        <v>24446</v>
      </c>
      <c r="R3305" s="6"/>
      <c r="S3305" s="6"/>
      <c r="T3305" s="6"/>
      <c r="U3305" s="6"/>
      <c r="V3305" s="6"/>
      <c r="W3305" s="6"/>
      <c r="X3305" s="6"/>
      <c r="Y3305" s="6"/>
      <c r="Z3305" s="6"/>
      <c r="AA3305" s="6"/>
    </row>
    <row r="3306" ht="14.25">
      <c r="B3306" s="4" t="s">
        <v>279</v>
      </c>
      <c r="C3306" s="4" t="s">
        <v>24447</v>
      </c>
      <c r="D3306" s="4" t="s">
        <v>172</v>
      </c>
      <c r="E3306" s="4" t="s">
        <v>24448</v>
      </c>
      <c r="F3306" s="4" t="str">
        <f>IFERROR(__XLUDF.DUMMYFUNCTION("PROPER(REGEXREPLACE(D1022,""[^A-Za-z]+ "",""""))"),"Groupe Decharenton")</f>
        <v xml:space="preserve">Groupe Decharenton</v>
      </c>
      <c r="G3306" s="4" t="s">
        <v>24449</v>
      </c>
      <c r="H3306" s="4">
        <v>19</v>
      </c>
      <c r="I3306" s="4" t="s">
        <v>4525</v>
      </c>
      <c r="J3306" s="4" t="str">
        <f>IFERROR(__XLUDF.DUMMYFUNCTION("VLOOKUP(H1022,IMPORTRANGE(""https://docs.google.com/spreadsheets/d/1opm6ZNvGZ7KditA9TuJwrZ25eFLfTNIkrNnY6mhV5Eg"",""list!A1:C115""),3,TRUE)"),"le secteur du retail")</f>
        <v xml:space="preserve">le secteur du retail</v>
      </c>
      <c r="K3306" s="5" t="s">
        <v>24450</v>
      </c>
      <c r="L3306" s="5" t="s">
        <v>24451</v>
      </c>
      <c r="M3306" s="4" t="s">
        <v>24452</v>
      </c>
      <c r="N3306" s="4" t="s">
        <v>29</v>
      </c>
      <c r="O3306" s="4" t="s">
        <v>24453</v>
      </c>
      <c r="P3306" s="4" t="s">
        <v>29</v>
      </c>
      <c r="Q3306" s="6"/>
      <c r="R3306" s="6"/>
      <c r="S3306" s="6"/>
      <c r="T3306" s="6"/>
      <c r="U3306" s="6"/>
      <c r="V3306" s="6"/>
      <c r="W3306" s="6"/>
      <c r="X3306" s="6"/>
      <c r="Y3306" s="6"/>
      <c r="Z3306" s="6"/>
      <c r="AA3306" s="6"/>
    </row>
    <row r="3307" ht="14.25">
      <c r="B3307" s="4" t="s">
        <v>670</v>
      </c>
      <c r="C3307" s="4" t="s">
        <v>24454</v>
      </c>
      <c r="D3307" s="4" t="s">
        <v>24455</v>
      </c>
      <c r="E3307" s="4" t="s">
        <v>24456</v>
      </c>
      <c r="F3307" s="4" t="str">
        <f>IFERROR(__XLUDF.DUMMYFUNCTION("PROPER(REGEXREPLACE(D1023,""[^A-Za-z]+ "",""""))"),"Initiative Crm")</f>
        <v xml:space="preserve">Initiative Crm</v>
      </c>
      <c r="G3307" s="4" t="s">
        <v>24457</v>
      </c>
      <c r="H3307" s="4">
        <v>14</v>
      </c>
      <c r="I3307" s="4" t="s">
        <v>2602</v>
      </c>
      <c r="J3307" s="4"/>
      <c r="K3307" s="5" t="s">
        <v>24458</v>
      </c>
      <c r="L3307" s="5" t="s">
        <v>24459</v>
      </c>
      <c r="M3307" s="4" t="s">
        <v>39</v>
      </c>
      <c r="N3307" s="4" t="s">
        <v>29</v>
      </c>
      <c r="O3307" s="4" t="s">
        <v>24460</v>
      </c>
      <c r="P3307" s="4" t="s">
        <v>29</v>
      </c>
      <c r="Q3307" s="4" t="s">
        <v>24461</v>
      </c>
      <c r="R3307" s="6"/>
      <c r="S3307" s="6"/>
      <c r="T3307" s="6"/>
      <c r="U3307" s="6"/>
      <c r="V3307" s="6"/>
      <c r="W3307" s="6"/>
      <c r="X3307" s="6"/>
      <c r="Y3307" s="6"/>
      <c r="Z3307" s="6"/>
      <c r="AA3307" s="6"/>
    </row>
    <row r="3308" ht="14.25">
      <c r="B3308" s="4" t="s">
        <v>24462</v>
      </c>
      <c r="C3308" s="4" t="s">
        <v>24463</v>
      </c>
      <c r="D3308" s="4" t="s">
        <v>1821</v>
      </c>
      <c r="E3308" s="4" t="s">
        <v>24464</v>
      </c>
      <c r="F3308" s="4" t="str">
        <f>IFERROR(__XLUDF.DUMMYFUNCTION("PROPER(REGEXREPLACE(D1024,""[^A-Za-z]+ "",""""))"),"Asokumar Group Of Companies")</f>
        <v xml:space="preserve">Asokumar Group Of Companies</v>
      </c>
      <c r="G3308" s="4" t="s">
        <v>24465</v>
      </c>
      <c r="H3308" s="4">
        <v>15</v>
      </c>
      <c r="I3308" s="4" t="s">
        <v>10215</v>
      </c>
      <c r="J3308" s="4" t="str">
        <f>IFERROR(__XLUDF.DUMMYFUNCTION("VLOOKUP(H1024,IMPORTRANGE(""https://docs.google.com/spreadsheets/d/1opm6ZNvGZ7KditA9TuJwrZ25eFLfTNIkrNnY6mhV5Eg"",""list!A1:C115""),3,TRUE)"),"le secteur de l'électrique et électronique")</f>
        <v xml:space="preserve">le secteur de l'électrique et électronique</v>
      </c>
      <c r="K3308" s="5" t="s">
        <v>24466</v>
      </c>
      <c r="L3308" s="5" t="s">
        <v>24467</v>
      </c>
      <c r="M3308" s="4" t="s">
        <v>15332</v>
      </c>
      <c r="N3308" s="4" t="s">
        <v>29</v>
      </c>
      <c r="O3308" s="4" t="s">
        <v>24468</v>
      </c>
      <c r="P3308" s="4" t="s">
        <v>1828</v>
      </c>
      <c r="Q3308" s="6"/>
      <c r="R3308" s="6"/>
      <c r="S3308" s="6"/>
      <c r="T3308" s="6"/>
      <c r="U3308" s="6"/>
      <c r="V3308" s="6"/>
      <c r="W3308" s="6"/>
      <c r="X3308" s="6"/>
      <c r="Y3308" s="6"/>
      <c r="Z3308" s="6"/>
      <c r="AA3308" s="6"/>
    </row>
    <row r="3309" ht="14.25">
      <c r="B3309" s="4" t="s">
        <v>2299</v>
      </c>
      <c r="C3309" s="4" t="s">
        <v>24469</v>
      </c>
      <c r="D3309" s="4" t="s">
        <v>24470</v>
      </c>
      <c r="E3309" s="4" t="s">
        <v>24471</v>
      </c>
      <c r="F3309" s="4" t="str">
        <f>IFERROR(__XLUDF.DUMMYFUNCTION("PROPER(REGEXREPLACE(D1025,""[^A-Za-z]+ "",""""))"),"Kapptivate")</f>
        <v>Kapptivate</v>
      </c>
      <c r="G3309" s="4" t="s">
        <v>24472</v>
      </c>
      <c r="H3309" s="4">
        <v>24</v>
      </c>
      <c r="I3309" s="4" t="s">
        <v>2602</v>
      </c>
      <c r="J3309" s="4" t="str">
        <f>IFERROR(__XLUDF.DUMMYFUNCTION("VLOOKUP(H1025,IMPORTRANGE(""https://docs.google.com/spreadsheets/d/1opm6ZNvGZ7KditA9TuJwrZ25eFLfTNIkrNnY6mhV5Eg"",""list!A1:C115""),3,TRUE)"),"le secteur de la tech")</f>
        <v xml:space="preserve">le secteur de la tech</v>
      </c>
      <c r="K3309" s="5" t="s">
        <v>24473</v>
      </c>
      <c r="L3309" s="5" t="s">
        <v>24474</v>
      </c>
      <c r="M3309" s="4" t="s">
        <v>39</v>
      </c>
      <c r="N3309" s="4" t="s">
        <v>29</v>
      </c>
      <c r="O3309" s="4" t="s">
        <v>929</v>
      </c>
      <c r="P3309" s="4" t="s">
        <v>29</v>
      </c>
      <c r="Q3309" s="4" t="s">
        <v>24475</v>
      </c>
      <c r="R3309" s="6"/>
      <c r="S3309" s="6"/>
      <c r="T3309" s="6"/>
      <c r="U3309" s="6"/>
      <c r="V3309" s="6"/>
      <c r="W3309" s="6"/>
      <c r="X3309" s="6"/>
      <c r="Y3309" s="6"/>
      <c r="Z3309" s="6"/>
      <c r="AA3309" s="6"/>
    </row>
    <row r="3310" ht="14.25">
      <c r="B3310" s="4" t="s">
        <v>5103</v>
      </c>
      <c r="C3310" s="4" t="s">
        <v>24476</v>
      </c>
      <c r="D3310" s="4" t="s">
        <v>87</v>
      </c>
      <c r="E3310" s="4" t="s">
        <v>24477</v>
      </c>
      <c r="F3310" s="4" t="str">
        <f>IFERROR(__XLUDF.DUMMYFUNCTION("PROPER(REGEXREPLACE(D1026,""[^A-Za-z]+ "",""""))"),"Heuritech")</f>
        <v>Heuritech</v>
      </c>
      <c r="G3310" s="4" t="s">
        <v>24478</v>
      </c>
      <c r="H3310" s="4">
        <v>37</v>
      </c>
      <c r="I3310" s="4" t="s">
        <v>2602</v>
      </c>
      <c r="J3310" s="4"/>
      <c r="K3310" s="5" t="s">
        <v>24479</v>
      </c>
      <c r="L3310" s="5" t="s">
        <v>24480</v>
      </c>
      <c r="M3310" s="4" t="s">
        <v>39</v>
      </c>
      <c r="N3310" s="4" t="s">
        <v>29</v>
      </c>
      <c r="O3310" s="4" t="s">
        <v>24481</v>
      </c>
      <c r="P3310" s="4" t="s">
        <v>29</v>
      </c>
      <c r="Q3310" s="4" t="s">
        <v>24482</v>
      </c>
      <c r="R3310" s="6"/>
      <c r="S3310" s="6"/>
      <c r="T3310" s="6"/>
      <c r="U3310" s="6"/>
      <c r="V3310" s="6"/>
      <c r="W3310" s="6"/>
      <c r="X3310" s="6"/>
      <c r="Y3310" s="6"/>
      <c r="Z3310" s="6"/>
      <c r="AA3310" s="6"/>
    </row>
    <row r="3311" ht="14.25">
      <c r="B3311" s="4" t="s">
        <v>785</v>
      </c>
      <c r="C3311" s="4" t="s">
        <v>24483</v>
      </c>
      <c r="D3311" s="4" t="s">
        <v>24484</v>
      </c>
      <c r="E3311" s="4" t="s">
        <v>12378</v>
      </c>
      <c r="F3311" s="4" t="str">
        <f>IFERROR(__XLUDF.DUMMYFUNCTION("PROPER(REGEXREPLACE(D1027,""[^A-Za-z]+ "",""""))"),"Adeliom")</f>
        <v>Adeliom</v>
      </c>
      <c r="G3311" s="4" t="s">
        <v>24485</v>
      </c>
      <c r="H3311" s="4">
        <v>34</v>
      </c>
      <c r="I3311" s="4" t="s">
        <v>2602</v>
      </c>
      <c r="J3311" s="4"/>
      <c r="K3311" s="5" t="s">
        <v>24486</v>
      </c>
      <c r="L3311" s="5" t="s">
        <v>24487</v>
      </c>
      <c r="M3311" s="4" t="s">
        <v>651</v>
      </c>
      <c r="N3311" s="4" t="s">
        <v>29</v>
      </c>
      <c r="O3311" s="4" t="s">
        <v>6216</v>
      </c>
      <c r="P3311" s="4" t="s">
        <v>29</v>
      </c>
      <c r="Q3311" s="4" t="s">
        <v>24488</v>
      </c>
      <c r="R3311" s="6"/>
      <c r="S3311" s="6"/>
      <c r="T3311" s="6"/>
      <c r="U3311" s="6"/>
      <c r="V3311" s="6"/>
      <c r="W3311" s="6"/>
      <c r="X3311" s="6"/>
      <c r="Y3311" s="6"/>
      <c r="Z3311" s="6"/>
      <c r="AA3311" s="6"/>
    </row>
    <row r="3312" ht="14.25">
      <c r="B3312" s="4" t="s">
        <v>1583</v>
      </c>
      <c r="C3312" s="4" t="s">
        <v>3319</v>
      </c>
      <c r="D3312" s="4" t="s">
        <v>468</v>
      </c>
      <c r="E3312" s="4" t="s">
        <v>24489</v>
      </c>
      <c r="F3312" s="4" t="str">
        <f>IFERROR(__XLUDF.DUMMYFUNCTION("PROPER(REGEXREPLACE(D1028,""[^A-Za-z]+ "",""""))"),"Apsynet")</f>
        <v>Apsynet</v>
      </c>
      <c r="G3312" s="4" t="s">
        <v>24490</v>
      </c>
      <c r="H3312" s="4">
        <v>14</v>
      </c>
      <c r="I3312" s="4" t="s">
        <v>2602</v>
      </c>
      <c r="J3312" s="4"/>
      <c r="K3312" s="5" t="s">
        <v>24491</v>
      </c>
      <c r="L3312" s="5" t="s">
        <v>24492</v>
      </c>
      <c r="M3312" s="4" t="s">
        <v>39</v>
      </c>
      <c r="N3312" s="4" t="s">
        <v>29</v>
      </c>
      <c r="O3312" s="4" t="s">
        <v>24493</v>
      </c>
      <c r="P3312" s="4" t="s">
        <v>29</v>
      </c>
      <c r="Q3312" s="4" t="s">
        <v>24494</v>
      </c>
      <c r="R3312" s="6"/>
      <c r="S3312" s="6"/>
      <c r="T3312" s="6"/>
      <c r="U3312" s="6"/>
      <c r="V3312" s="6"/>
      <c r="W3312" s="6"/>
      <c r="X3312" s="6"/>
      <c r="Y3312" s="6"/>
      <c r="Z3312" s="6"/>
      <c r="AA3312" s="6"/>
    </row>
    <row r="3313" ht="14.25">
      <c r="B3313" s="4" t="s">
        <v>5001</v>
      </c>
      <c r="C3313" s="4" t="s">
        <v>24495</v>
      </c>
      <c r="D3313" s="4" t="s">
        <v>1950</v>
      </c>
      <c r="E3313" s="4" t="s">
        <v>24496</v>
      </c>
      <c r="F3313" s="4" t="str">
        <f>IFERROR(__XLUDF.DUMMYFUNCTION("PROPER(REGEXREPLACE(D1029,""[^A-Za-z]+ "",""""))"),"Teambox")</f>
        <v>Teambox</v>
      </c>
      <c r="G3313" s="4" t="s">
        <v>24497</v>
      </c>
      <c r="H3313" s="4">
        <v>18</v>
      </c>
      <c r="I3313" s="4" t="s">
        <v>9184</v>
      </c>
      <c r="J3313" s="4"/>
      <c r="K3313" s="5" t="s">
        <v>24498</v>
      </c>
      <c r="L3313" s="5" t="s">
        <v>24499</v>
      </c>
      <c r="M3313" s="4" t="s">
        <v>39</v>
      </c>
      <c r="N3313" s="4" t="s">
        <v>29</v>
      </c>
      <c r="O3313" s="4" t="s">
        <v>24500</v>
      </c>
      <c r="P3313" s="4" t="s">
        <v>29</v>
      </c>
      <c r="Q3313" s="4" t="s">
        <v>24501</v>
      </c>
      <c r="R3313" s="6"/>
      <c r="S3313" s="6"/>
      <c r="T3313" s="6"/>
      <c r="U3313" s="6"/>
      <c r="V3313" s="6"/>
      <c r="W3313" s="6"/>
      <c r="X3313" s="6"/>
      <c r="Y3313" s="6"/>
      <c r="Z3313" s="6"/>
      <c r="AA3313" s="6"/>
    </row>
    <row r="3314" ht="14.25">
      <c r="B3314" s="4" t="s">
        <v>622</v>
      </c>
      <c r="C3314" s="4" t="s">
        <v>24502</v>
      </c>
      <c r="D3314" s="4" t="s">
        <v>426</v>
      </c>
      <c r="E3314" s="4" t="s">
        <v>24503</v>
      </c>
      <c r="F3314" s="4" t="str">
        <f>IFERROR(__XLUDF.DUMMYFUNCTION("PROPER(REGEXREPLACE(D1030,""[^A-Za-z]+ "",""""))"),"Asape")</f>
        <v>Asape</v>
      </c>
      <c r="G3314" s="4" t="s">
        <v>24504</v>
      </c>
      <c r="H3314" s="4">
        <v>34</v>
      </c>
      <c r="I3314" s="4" t="s">
        <v>2602</v>
      </c>
      <c r="J3314" s="4"/>
      <c r="K3314" s="5" t="s">
        <v>24505</v>
      </c>
      <c r="L3314" s="5" t="s">
        <v>24506</v>
      </c>
      <c r="M3314" s="4" t="s">
        <v>243</v>
      </c>
      <c r="N3314" s="4" t="s">
        <v>29</v>
      </c>
      <c r="O3314" s="4" t="s">
        <v>24507</v>
      </c>
      <c r="P3314" s="4" t="s">
        <v>29</v>
      </c>
      <c r="Q3314" s="4" t="s">
        <v>24508</v>
      </c>
      <c r="R3314" s="6"/>
      <c r="S3314" s="6"/>
      <c r="T3314" s="6"/>
      <c r="U3314" s="6"/>
      <c r="V3314" s="6"/>
      <c r="W3314" s="6"/>
      <c r="X3314" s="6"/>
      <c r="Y3314" s="6"/>
      <c r="Z3314" s="6"/>
      <c r="AA3314" s="6"/>
    </row>
    <row r="3315" ht="14.25">
      <c r="B3315" s="4" t="s">
        <v>222</v>
      </c>
      <c r="C3315" s="4" t="s">
        <v>24509</v>
      </c>
      <c r="D3315" s="4" t="s">
        <v>487</v>
      </c>
      <c r="E3315" s="4" t="s">
        <v>24510</v>
      </c>
      <c r="F3315" s="4" t="str">
        <f>IFERROR(__XLUDF.DUMMYFUNCTION("PROPER(REGEXREPLACE(D1031,""[^A-Za-z]+ "",""""))"),"Acadys")</f>
        <v>Acadys</v>
      </c>
      <c r="G3315" s="4" t="s">
        <v>24511</v>
      </c>
      <c r="H3315" s="4">
        <v>18</v>
      </c>
      <c r="I3315" s="4" t="s">
        <v>4067</v>
      </c>
      <c r="J3315" s="4" t="str">
        <f>IFERROR(__XLUDF.DUMMYFUNCTION("VLOOKUP(H1031,IMPORTRANGE(""https://docs.google.com/spreadsheets/d/1opm6ZNvGZ7KditA9TuJwrZ25eFLfTNIkrNnY6mhV5Eg"",""list!A1:C115""),3,TRUE)"),"le secteur du conseil en management")</f>
        <v xml:space="preserve">le secteur du conseil en management</v>
      </c>
      <c r="K3315" s="5" t="s">
        <v>24512</v>
      </c>
      <c r="L3315" s="5" t="s">
        <v>24513</v>
      </c>
      <c r="M3315" s="4" t="s">
        <v>39</v>
      </c>
      <c r="N3315" s="4" t="s">
        <v>29</v>
      </c>
      <c r="O3315" s="4" t="s">
        <v>24514</v>
      </c>
      <c r="P3315" s="4" t="s">
        <v>29</v>
      </c>
      <c r="Q3315" s="6"/>
      <c r="R3315" s="6"/>
      <c r="S3315" s="6"/>
      <c r="T3315" s="6"/>
      <c r="U3315" s="6"/>
      <c r="V3315" s="6"/>
      <c r="W3315" s="6"/>
      <c r="X3315" s="6"/>
      <c r="Y3315" s="6"/>
      <c r="Z3315" s="6"/>
      <c r="AA3315" s="6"/>
    </row>
    <row r="3316" ht="14.25">
      <c r="B3316" s="4" t="s">
        <v>330</v>
      </c>
      <c r="C3316" s="4" t="s">
        <v>24515</v>
      </c>
      <c r="D3316" s="4" t="s">
        <v>24516</v>
      </c>
      <c r="E3316" s="4" t="s">
        <v>24517</v>
      </c>
      <c r="F3316" s="4" t="str">
        <f>IFERROR(__XLUDF.DUMMYFUNCTION("PROPER(REGEXREPLACE(D1032,""[^A-Za-z]+ "",""""))"),"Trialog")</f>
        <v>Trialog</v>
      </c>
      <c r="G3316" s="4" t="s">
        <v>24518</v>
      </c>
      <c r="H3316" s="4">
        <v>48</v>
      </c>
      <c r="I3316" s="4" t="s">
        <v>2602</v>
      </c>
      <c r="J3316" s="4" t="str">
        <f>IFERROR(__XLUDF.DUMMYFUNCTION("VLOOKUP(H1032,IMPORTRANGE(""https://docs.google.com/spreadsheets/d/1opm6ZNvGZ7KditA9TuJwrZ25eFLfTNIkrNnY6mhV5Eg"",""list!A1:C115""),3,TRUE)"),"le secteur de la tech")</f>
        <v xml:space="preserve">le secteur de la tech</v>
      </c>
      <c r="K3316" s="5" t="s">
        <v>24519</v>
      </c>
      <c r="L3316" s="5" t="s">
        <v>24520</v>
      </c>
      <c r="M3316" s="4" t="s">
        <v>39</v>
      </c>
      <c r="N3316" s="4" t="s">
        <v>29</v>
      </c>
      <c r="O3316" s="4" t="s">
        <v>24521</v>
      </c>
      <c r="P3316" s="4" t="s">
        <v>29</v>
      </c>
      <c r="Q3316" s="6"/>
      <c r="R3316" s="6"/>
      <c r="S3316" s="6"/>
      <c r="T3316" s="6"/>
      <c r="U3316" s="6"/>
      <c r="V3316" s="6"/>
      <c r="W3316" s="6"/>
      <c r="X3316" s="6"/>
      <c r="Y3316" s="6"/>
      <c r="Z3316" s="6"/>
      <c r="AA3316" s="6"/>
    </row>
    <row r="3317" ht="14.25">
      <c r="B3317" s="4" t="s">
        <v>2138</v>
      </c>
      <c r="C3317" s="4" t="s">
        <v>24522</v>
      </c>
      <c r="D3317" s="4" t="s">
        <v>172</v>
      </c>
      <c r="E3317" s="4" t="s">
        <v>24523</v>
      </c>
      <c r="F3317" s="4" t="str">
        <f>IFERROR(__XLUDF.DUMMYFUNCTION("PROPER(REGEXREPLACE(D1033,""[^A-Za-z]+ "",""""))"),"Vapotech")</f>
        <v>Vapotech</v>
      </c>
      <c r="G3317" s="4" t="s">
        <v>24524</v>
      </c>
      <c r="H3317" s="4">
        <v>28</v>
      </c>
      <c r="I3317" s="4" t="s">
        <v>4525</v>
      </c>
      <c r="J3317" s="4"/>
      <c r="K3317" s="5" t="s">
        <v>24525</v>
      </c>
      <c r="L3317" s="5" t="s">
        <v>24526</v>
      </c>
      <c r="M3317" s="4" t="s">
        <v>24527</v>
      </c>
      <c r="N3317" s="4" t="s">
        <v>29</v>
      </c>
      <c r="O3317" s="4" t="s">
        <v>24528</v>
      </c>
      <c r="P3317" s="4" t="s">
        <v>29</v>
      </c>
      <c r="Q3317" s="6"/>
      <c r="R3317" s="6"/>
      <c r="S3317" s="6"/>
      <c r="T3317" s="6"/>
      <c r="U3317" s="6"/>
      <c r="V3317" s="6"/>
      <c r="W3317" s="6"/>
      <c r="X3317" s="6"/>
      <c r="Y3317" s="6"/>
      <c r="Z3317" s="6"/>
      <c r="AA3317" s="6"/>
    </row>
    <row r="3318" ht="14.25">
      <c r="B3318" s="4" t="s">
        <v>7347</v>
      </c>
      <c r="C3318" s="4" t="s">
        <v>24529</v>
      </c>
      <c r="D3318" s="4" t="s">
        <v>24530</v>
      </c>
      <c r="E3318" s="4" t="s">
        <v>24531</v>
      </c>
      <c r="F3318" s="4" t="str">
        <f>IFERROR(__XLUDF.DUMMYFUNCTION("PROPER(REGEXREPLACE(D1034,""[^A-Za-z]+ "",""""))"),"Avant De Cliquer")</f>
        <v xml:space="preserve">Avant De Cliquer</v>
      </c>
      <c r="G3318" s="4" t="s">
        <v>24532</v>
      </c>
      <c r="H3318" s="4">
        <v>56</v>
      </c>
      <c r="I3318" s="4" t="s">
        <v>9264</v>
      </c>
      <c r="J3318" s="4"/>
      <c r="K3318" s="5" t="s">
        <v>24533</v>
      </c>
      <c r="L3318" s="5" t="s">
        <v>24534</v>
      </c>
      <c r="M3318" s="4" t="s">
        <v>39</v>
      </c>
      <c r="N3318" s="4" t="s">
        <v>29</v>
      </c>
      <c r="O3318" s="4" t="s">
        <v>24535</v>
      </c>
      <c r="P3318" s="4" t="s">
        <v>29</v>
      </c>
      <c r="Q3318" s="4" t="s">
        <v>24536</v>
      </c>
      <c r="R3318" s="6"/>
      <c r="S3318" s="6"/>
      <c r="T3318" s="6"/>
      <c r="U3318" s="6"/>
      <c r="V3318" s="6"/>
      <c r="W3318" s="6"/>
      <c r="X3318" s="6"/>
      <c r="Y3318" s="6"/>
      <c r="Z3318" s="6"/>
      <c r="AA3318" s="6"/>
    </row>
    <row r="3319" ht="14.25">
      <c r="B3319" s="4" t="s">
        <v>1387</v>
      </c>
      <c r="C3319" s="4" t="s">
        <v>2523</v>
      </c>
      <c r="D3319" s="4" t="s">
        <v>112</v>
      </c>
      <c r="E3319" s="4" t="s">
        <v>24537</v>
      </c>
      <c r="F3319" s="4" t="str">
        <f>IFERROR(__XLUDF.DUMMYFUNCTION("PROPER(REGEXREPLACE(D1035,""[^A-Za-z]+ "",""""))"),"Gem Store")</f>
        <v xml:space="preserve">Gem Store</v>
      </c>
      <c r="G3319" s="4" t="s">
        <v>24538</v>
      </c>
      <c r="H3319" s="4">
        <v>37</v>
      </c>
      <c r="I3319" s="4" t="s">
        <v>4525</v>
      </c>
      <c r="J3319" s="4" t="str">
        <f>IFERROR(__XLUDF.DUMMYFUNCTION("VLOOKUP(H1035,IMPORTRANGE(""https://docs.google.com/spreadsheets/d/1opm6ZNvGZ7KditA9TuJwrZ25eFLfTNIkrNnY6mhV5Eg"",""list!A1:C115""),3,TRUE)"),"le secteur du retail")</f>
        <v xml:space="preserve">le secteur du retail</v>
      </c>
      <c r="K3319" s="5" t="s">
        <v>24539</v>
      </c>
      <c r="L3319" s="5" t="s">
        <v>24540</v>
      </c>
      <c r="M3319" s="4" t="s">
        <v>1507</v>
      </c>
      <c r="N3319" s="4" t="s">
        <v>29</v>
      </c>
      <c r="O3319" s="4" t="s">
        <v>24541</v>
      </c>
      <c r="P3319" s="4" t="s">
        <v>29</v>
      </c>
      <c r="Q3319" s="4" t="s">
        <v>24542</v>
      </c>
      <c r="R3319" s="6"/>
      <c r="S3319" s="6"/>
      <c r="T3319" s="6"/>
      <c r="U3319" s="6"/>
      <c r="V3319" s="6"/>
      <c r="W3319" s="6"/>
      <c r="X3319" s="6"/>
      <c r="Y3319" s="6"/>
      <c r="Z3319" s="6"/>
      <c r="AA3319" s="6"/>
    </row>
    <row r="3320" ht="14.25">
      <c r="B3320" s="4" t="s">
        <v>24543</v>
      </c>
      <c r="C3320" s="4" t="s">
        <v>24544</v>
      </c>
      <c r="D3320" s="4" t="s">
        <v>1240</v>
      </c>
      <c r="E3320" s="4" t="s">
        <v>24545</v>
      </c>
      <c r="F3320" s="4" t="str">
        <f>IFERROR(__XLUDF.DUMMYFUNCTION("PROPER(REGEXREPLACE(D1036,""[^A-Za-z]+ "",""""))"),"Hbd Consulting")</f>
        <v xml:space="preserve">Hbd Consulting</v>
      </c>
      <c r="G3320" s="4" t="s">
        <v>24546</v>
      </c>
      <c r="H3320" s="4">
        <v>10</v>
      </c>
      <c r="I3320" s="4" t="s">
        <v>9264</v>
      </c>
      <c r="J3320" s="4" t="str">
        <f>IFERROR(__XLUDF.DUMMYFUNCTION("VLOOKUP(H1036,IMPORTRANGE(""https://docs.google.com/spreadsheets/d/1opm6ZNvGZ7KditA9TuJwrZ25eFLfTNIkrNnY6mhV5Eg"",""list!A1:C115""),3,TRUE)"),"le secteur de la sécurité informatique")</f>
        <v xml:space="preserve">le secteur de la sécurité informatique</v>
      </c>
      <c r="K3320" s="5" t="s">
        <v>24547</v>
      </c>
      <c r="L3320" s="5" t="s">
        <v>24548</v>
      </c>
      <c r="M3320" s="6"/>
      <c r="N3320" s="4" t="s">
        <v>29</v>
      </c>
      <c r="O3320" s="4" t="s">
        <v>24549</v>
      </c>
      <c r="P3320" s="4" t="s">
        <v>29</v>
      </c>
      <c r="Q3320" s="4" t="s">
        <v>24550</v>
      </c>
      <c r="R3320" s="6"/>
      <c r="S3320" s="6"/>
      <c r="T3320" s="6"/>
      <c r="U3320" s="6"/>
      <c r="V3320" s="6"/>
      <c r="W3320" s="6"/>
      <c r="X3320" s="6"/>
      <c r="Y3320" s="6"/>
      <c r="Z3320" s="6"/>
      <c r="AA3320" s="6"/>
    </row>
    <row r="3321" ht="14.25">
      <c r="B3321" s="4" t="s">
        <v>1198</v>
      </c>
      <c r="C3321" s="4" t="s">
        <v>102</v>
      </c>
      <c r="D3321" s="4" t="s">
        <v>172</v>
      </c>
      <c r="E3321" s="4" t="s">
        <v>24551</v>
      </c>
      <c r="F3321" s="4" t="str">
        <f>IFERROR(__XLUDF.DUMMYFUNCTION("PROPER(REGEXREPLACE(D1037,""[^A-Za-z]+ "",""""))"),"Fyzéa")</f>
        <v>Fyzéa</v>
      </c>
      <c r="G3321" s="4" t="s">
        <v>24552</v>
      </c>
      <c r="H3321" s="4">
        <v>30</v>
      </c>
      <c r="I3321" s="4" t="s">
        <v>4525</v>
      </c>
      <c r="J3321" s="4"/>
      <c r="K3321" s="5" t="s">
        <v>24553</v>
      </c>
      <c r="L3321" s="5" t="s">
        <v>24554</v>
      </c>
      <c r="M3321" s="4" t="s">
        <v>4303</v>
      </c>
      <c r="N3321" s="4" t="s">
        <v>29</v>
      </c>
      <c r="O3321" s="4" t="s">
        <v>24555</v>
      </c>
      <c r="P3321" s="4" t="s">
        <v>29</v>
      </c>
      <c r="Q3321" s="4" t="s">
        <v>24556</v>
      </c>
      <c r="R3321" s="6"/>
      <c r="S3321" s="6"/>
      <c r="T3321" s="6"/>
      <c r="U3321" s="6"/>
      <c r="V3321" s="6"/>
      <c r="W3321" s="6"/>
      <c r="X3321" s="6"/>
      <c r="Y3321" s="6"/>
      <c r="Z3321" s="6"/>
      <c r="AA3321" s="6"/>
    </row>
    <row r="3322" ht="14.25">
      <c r="B3322" s="4" t="s">
        <v>548</v>
      </c>
      <c r="C3322" s="4" t="s">
        <v>24557</v>
      </c>
      <c r="D3322" s="4" t="s">
        <v>3637</v>
      </c>
      <c r="E3322" s="4" t="s">
        <v>24558</v>
      </c>
      <c r="F3322" s="4" t="str">
        <f>IFERROR(__XLUDF.DUMMYFUNCTION("PROPER(REGEXREPLACE(D1038,""[^A-Za-z]+ "",""""))"),"Steel Group ")</f>
        <v xml:space="preserve">Steel Group </v>
      </c>
      <c r="G3322" s="4" t="s">
        <v>24559</v>
      </c>
      <c r="H3322" s="4">
        <v>11</v>
      </c>
      <c r="I3322" s="4" t="s">
        <v>2602</v>
      </c>
      <c r="J3322" s="4"/>
      <c r="K3322" s="5" t="s">
        <v>24560</v>
      </c>
      <c r="L3322" s="5" t="s">
        <v>24561</v>
      </c>
      <c r="M3322" s="6"/>
      <c r="N3322" s="4" t="s">
        <v>29</v>
      </c>
      <c r="O3322" s="4" t="s">
        <v>24562</v>
      </c>
      <c r="P3322" s="4" t="s">
        <v>29</v>
      </c>
      <c r="Q3322" s="6"/>
      <c r="R3322" s="6"/>
      <c r="S3322" s="6"/>
      <c r="T3322" s="6"/>
      <c r="U3322" s="6"/>
      <c r="V3322" s="6"/>
      <c r="W3322" s="6"/>
      <c r="X3322" s="6"/>
      <c r="Y3322" s="6"/>
      <c r="Z3322" s="6"/>
      <c r="AA3322" s="6"/>
    </row>
    <row r="3323" ht="14.25">
      <c r="B3323" s="4" t="s">
        <v>548</v>
      </c>
      <c r="C3323" s="4" t="s">
        <v>752</v>
      </c>
      <c r="D3323" s="4" t="s">
        <v>172</v>
      </c>
      <c r="E3323" s="4" t="s">
        <v>24563</v>
      </c>
      <c r="F3323" s="4" t="str">
        <f>IFERROR(__XLUDF.DUMMYFUNCTION("PROPER(REGEXREPLACE(D1039,""[^A-Za-z]+ "",""""))"),"Groupe Altodis")</f>
        <v xml:space="preserve">Groupe Altodis</v>
      </c>
      <c r="G3323" s="4" t="s">
        <v>24564</v>
      </c>
      <c r="H3323" s="4">
        <v>38</v>
      </c>
      <c r="I3323" s="4" t="s">
        <v>4525</v>
      </c>
      <c r="J3323" s="4" t="str">
        <f>IFERROR(__XLUDF.DUMMYFUNCTION("VLOOKUP(H1039,IMPORTRANGE(""https://docs.google.com/spreadsheets/d/1opm6ZNvGZ7KditA9TuJwrZ25eFLfTNIkrNnY6mhV5Eg"",""list!A1:C115""),3,TRUE)"),"le secteur du retail")</f>
        <v xml:space="preserve">le secteur du retail</v>
      </c>
      <c r="K3323" s="5" t="s">
        <v>24565</v>
      </c>
      <c r="L3323" s="5" t="s">
        <v>24566</v>
      </c>
      <c r="M3323" s="4" t="s">
        <v>7883</v>
      </c>
      <c r="N3323" s="4" t="s">
        <v>29</v>
      </c>
      <c r="O3323" s="4" t="s">
        <v>24567</v>
      </c>
      <c r="P3323" s="4" t="s">
        <v>29</v>
      </c>
      <c r="Q3323" s="4" t="s">
        <v>24568</v>
      </c>
      <c r="R3323" s="6"/>
      <c r="S3323" s="6"/>
      <c r="T3323" s="6"/>
      <c r="U3323" s="6"/>
      <c r="V3323" s="6"/>
      <c r="W3323" s="6"/>
      <c r="X3323" s="6"/>
      <c r="Y3323" s="6"/>
      <c r="Z3323" s="6"/>
      <c r="AA3323" s="6"/>
    </row>
    <row r="3324" ht="14.25">
      <c r="B3324" s="4" t="s">
        <v>222</v>
      </c>
      <c r="C3324" s="4" t="s">
        <v>24569</v>
      </c>
      <c r="D3324" s="4" t="s">
        <v>172</v>
      </c>
      <c r="E3324" s="4" t="s">
        <v>24570</v>
      </c>
      <c r="F3324" s="4" t="str">
        <f>IFERROR(__XLUDF.DUMMYFUNCTION("PROPER(REGEXREPLACE(D1040,""[^A-Za-z]+ "",""""))"),"Comu")</f>
        <v>Comu</v>
      </c>
      <c r="G3324" s="4" t="s">
        <v>24571</v>
      </c>
      <c r="H3324" s="4">
        <v>17</v>
      </c>
      <c r="I3324" s="4" t="s">
        <v>10215</v>
      </c>
      <c r="J3324" s="4"/>
      <c r="K3324" s="5" t="s">
        <v>24572</v>
      </c>
      <c r="L3324" s="5" t="s">
        <v>24573</v>
      </c>
      <c r="M3324" s="4" t="s">
        <v>39</v>
      </c>
      <c r="N3324" s="4" t="s">
        <v>29</v>
      </c>
      <c r="O3324" s="4" t="s">
        <v>24574</v>
      </c>
      <c r="P3324" s="4" t="s">
        <v>29</v>
      </c>
      <c r="Q3324" s="4" t="s">
        <v>24575</v>
      </c>
      <c r="R3324" s="6"/>
      <c r="S3324" s="6"/>
      <c r="T3324" s="6"/>
      <c r="U3324" s="6"/>
      <c r="V3324" s="6"/>
      <c r="W3324" s="6"/>
      <c r="X3324" s="6"/>
      <c r="Y3324" s="6"/>
      <c r="Z3324" s="6"/>
      <c r="AA3324" s="6"/>
    </row>
    <row r="3325" ht="14.25">
      <c r="B3325" s="4" t="s">
        <v>3609</v>
      </c>
      <c r="C3325" s="4" t="s">
        <v>24576</v>
      </c>
      <c r="D3325" s="4" t="s">
        <v>688</v>
      </c>
      <c r="E3325" s="4" t="s">
        <v>24577</v>
      </c>
      <c r="F3325" s="4" t="str">
        <f>IFERROR(__XLUDF.DUMMYFUNCTION("PROPER(REGEXREPLACE(D1041,""[^A-Za-z]+ "",""""))"),"Grow")</f>
        <v>Grow</v>
      </c>
      <c r="G3325" s="4" t="s">
        <v>24578</v>
      </c>
      <c r="H3325" s="4">
        <v>31</v>
      </c>
      <c r="I3325" s="4" t="s">
        <v>4067</v>
      </c>
      <c r="J3325" s="4" t="str">
        <f>IFERROR(__XLUDF.DUMMYFUNCTION("VLOOKUP(H1041,IMPORTRANGE(""https://docs.google.com/spreadsheets/d/1opm6ZNvGZ7KditA9TuJwrZ25eFLfTNIkrNnY6mhV5Eg"",""list!A1:C115""),3,TRUE)"),"le secteur du conseil en management")</f>
        <v xml:space="preserve">le secteur du conseil en management</v>
      </c>
      <c r="K3325" s="5" t="s">
        <v>24579</v>
      </c>
      <c r="L3325" s="5" t="s">
        <v>24580</v>
      </c>
      <c r="M3325" s="4" t="s">
        <v>39</v>
      </c>
      <c r="N3325" s="4" t="s">
        <v>29</v>
      </c>
      <c r="O3325" s="4" t="s">
        <v>6396</v>
      </c>
      <c r="P3325" s="4" t="s">
        <v>29</v>
      </c>
      <c r="Q3325" s="4" t="s">
        <v>24581</v>
      </c>
      <c r="R3325" s="6"/>
      <c r="S3325" s="6"/>
      <c r="T3325" s="6"/>
      <c r="U3325" s="6"/>
      <c r="V3325" s="6"/>
      <c r="W3325" s="6"/>
      <c r="X3325" s="6"/>
      <c r="Y3325" s="6"/>
      <c r="Z3325" s="6"/>
      <c r="AA3325" s="6"/>
    </row>
    <row r="3326" ht="14.25">
      <c r="B3326" s="4" t="s">
        <v>4800</v>
      </c>
      <c r="C3326" s="4" t="s">
        <v>24582</v>
      </c>
      <c r="D3326" s="4" t="s">
        <v>62</v>
      </c>
      <c r="E3326" s="4" t="s">
        <v>19487</v>
      </c>
      <c r="F3326" s="4" t="str">
        <f>IFERROR(__XLUDF.DUMMYFUNCTION("PROPER(REGEXREPLACE(D1042,""[^A-Za-z]+ "",""""))"),"Ého.Link")</f>
        <v>Ého.Link</v>
      </c>
      <c r="G3326" s="4" t="s">
        <v>24583</v>
      </c>
      <c r="H3326" s="4">
        <v>17</v>
      </c>
      <c r="I3326" s="4" t="s">
        <v>9264</v>
      </c>
      <c r="J3326" s="4"/>
      <c r="K3326" s="5" t="s">
        <v>24584</v>
      </c>
      <c r="L3326" s="5" t="s">
        <v>19490</v>
      </c>
      <c r="M3326" s="4" t="s">
        <v>295</v>
      </c>
      <c r="N3326" s="4" t="s">
        <v>29</v>
      </c>
      <c r="O3326" s="4" t="s">
        <v>19491</v>
      </c>
      <c r="P3326" s="4" t="s">
        <v>29</v>
      </c>
      <c r="Q3326" s="6"/>
      <c r="R3326" s="6"/>
      <c r="S3326" s="6"/>
      <c r="T3326" s="6"/>
      <c r="U3326" s="6"/>
      <c r="V3326" s="6"/>
      <c r="W3326" s="6"/>
      <c r="X3326" s="6"/>
      <c r="Y3326" s="6"/>
      <c r="Z3326" s="6"/>
      <c r="AA3326" s="6"/>
    </row>
    <row r="3327" ht="14.25">
      <c r="B3327" s="4" t="s">
        <v>170</v>
      </c>
      <c r="C3327" s="4" t="s">
        <v>24585</v>
      </c>
      <c r="D3327" s="4" t="s">
        <v>24586</v>
      </c>
      <c r="E3327" s="4" t="s">
        <v>24587</v>
      </c>
      <c r="F3327" s="4" t="str">
        <f>IFERROR(__XLUDF.DUMMYFUNCTION("PROPER(REGEXREPLACE(D1043,""[^A-Za-z]+ "",""""))"),"Casap")</f>
        <v>Casap</v>
      </c>
      <c r="G3327" s="4" t="s">
        <v>24588</v>
      </c>
      <c r="H3327" s="4">
        <v>16</v>
      </c>
      <c r="I3327" s="4" t="s">
        <v>2602</v>
      </c>
      <c r="J3327" s="4"/>
      <c r="K3327" s="5" t="s">
        <v>24589</v>
      </c>
      <c r="L3327" s="5" t="s">
        <v>24590</v>
      </c>
      <c r="M3327" s="4" t="s">
        <v>39</v>
      </c>
      <c r="N3327" s="4" t="s">
        <v>29</v>
      </c>
      <c r="O3327" s="4" t="s">
        <v>24591</v>
      </c>
      <c r="P3327" s="4" t="s">
        <v>29</v>
      </c>
      <c r="Q3327" s="4" t="s">
        <v>24592</v>
      </c>
      <c r="R3327" s="6"/>
      <c r="S3327" s="6"/>
      <c r="T3327" s="6"/>
      <c r="U3327" s="6"/>
      <c r="V3327" s="6"/>
      <c r="W3327" s="6"/>
      <c r="X3327" s="6"/>
      <c r="Y3327" s="6"/>
      <c r="Z3327" s="6"/>
      <c r="AA3327" s="6"/>
    </row>
    <row r="3328" ht="14.25">
      <c r="B3328" s="4" t="s">
        <v>322</v>
      </c>
      <c r="C3328" s="4" t="s">
        <v>5293</v>
      </c>
      <c r="D3328" s="4" t="s">
        <v>24593</v>
      </c>
      <c r="E3328" s="4" t="s">
        <v>24594</v>
      </c>
      <c r="F3328" s="4" t="str">
        <f>IFERROR(__XLUDF.DUMMYFUNCTION("PROPER(REGEXREPLACE(D1044,""[^A-Za-z]+ "",""""))"),"Betoobe")</f>
        <v>Betoobe</v>
      </c>
      <c r="G3328" s="4" t="s">
        <v>24595</v>
      </c>
      <c r="H3328" s="4">
        <v>32</v>
      </c>
      <c r="I3328" s="4" t="s">
        <v>2602</v>
      </c>
      <c r="J3328" s="4"/>
      <c r="K3328" s="5" t="s">
        <v>24596</v>
      </c>
      <c r="L3328" s="5" t="s">
        <v>24597</v>
      </c>
      <c r="M3328" s="4" t="s">
        <v>24598</v>
      </c>
      <c r="N3328" s="4" t="s">
        <v>29</v>
      </c>
      <c r="O3328" s="4" t="s">
        <v>24599</v>
      </c>
      <c r="P3328" s="4" t="s">
        <v>29</v>
      </c>
      <c r="Q3328" s="4" t="s">
        <v>24600</v>
      </c>
      <c r="R3328" s="6"/>
      <c r="S3328" s="6"/>
      <c r="T3328" s="6"/>
      <c r="U3328" s="6"/>
      <c r="V3328" s="6"/>
      <c r="W3328" s="6"/>
      <c r="X3328" s="6"/>
      <c r="Y3328" s="6"/>
      <c r="Z3328" s="6"/>
      <c r="AA3328" s="6"/>
    </row>
    <row r="3329" ht="14.25">
      <c r="B3329" s="4" t="s">
        <v>14276</v>
      </c>
      <c r="C3329" s="4" t="s">
        <v>24601</v>
      </c>
      <c r="D3329" s="4" t="s">
        <v>1072</v>
      </c>
      <c r="E3329" s="4" t="s">
        <v>22930</v>
      </c>
      <c r="F3329" s="4" t="str">
        <f>IFERROR(__XLUDF.DUMMYFUNCTION("PROPER(REGEXREPLACE(D1045,""[^A-Za-z]+ "",""""))"),"Kamaé")</f>
        <v>Kamaé</v>
      </c>
      <c r="G3329" s="4" t="s">
        <v>24602</v>
      </c>
      <c r="H3329" s="4">
        <v>18</v>
      </c>
      <c r="I3329" s="4" t="s">
        <v>9264</v>
      </c>
      <c r="J3329" s="4" t="str">
        <f>IFERROR(__XLUDF.DUMMYFUNCTION("VLOOKUP(H1045,IMPORTRANGE(""https://docs.google.com/spreadsheets/d/1opm6ZNvGZ7KditA9TuJwrZ25eFLfTNIkrNnY6mhV5Eg"",""list!A1:C115""),3,TRUE)"),"le secteur de la sécurité informatique")</f>
        <v xml:space="preserve">le secteur de la sécurité informatique</v>
      </c>
      <c r="K3329" s="5" t="s">
        <v>24603</v>
      </c>
      <c r="L3329" s="5" t="s">
        <v>22933</v>
      </c>
      <c r="M3329" s="6"/>
      <c r="N3329" s="4" t="s">
        <v>29</v>
      </c>
      <c r="O3329" s="4" t="s">
        <v>67</v>
      </c>
      <c r="P3329" s="4" t="s">
        <v>29</v>
      </c>
      <c r="Q3329" s="4" t="s">
        <v>22934</v>
      </c>
      <c r="R3329" s="6"/>
      <c r="S3329" s="6"/>
      <c r="T3329" s="6"/>
      <c r="U3329" s="6"/>
      <c r="V3329" s="6"/>
      <c r="W3329" s="6"/>
      <c r="X3329" s="6"/>
      <c r="Y3329" s="6"/>
      <c r="Z3329" s="6"/>
      <c r="AA3329" s="6"/>
    </row>
    <row r="3330" ht="14.25">
      <c r="B3330" s="4" t="s">
        <v>13189</v>
      </c>
      <c r="C3330" s="4" t="s">
        <v>24604</v>
      </c>
      <c r="D3330" s="4" t="s">
        <v>503</v>
      </c>
      <c r="E3330" s="4" t="s">
        <v>24605</v>
      </c>
      <c r="F3330" s="4" t="str">
        <f>IFERROR(__XLUDF.DUMMYFUNCTION("PROPER(REGEXREPLACE(D1046,""[^A-Za-z]+ "",""""))"),"Grasp")</f>
        <v>Grasp</v>
      </c>
      <c r="G3330" s="4" t="s">
        <v>24606</v>
      </c>
      <c r="H3330" s="4">
        <v>16</v>
      </c>
      <c r="I3330" s="4" t="s">
        <v>2602</v>
      </c>
      <c r="J3330" s="4" t="str">
        <f>IFERROR(__XLUDF.DUMMYFUNCTION("VLOOKUP(H1046,IMPORTRANGE(""https://docs.google.com/spreadsheets/d/1opm6ZNvGZ7KditA9TuJwrZ25eFLfTNIkrNnY6mhV5Eg"",""list!A1:C115""),3,TRUE)"),"le secteur de la tech")</f>
        <v xml:space="preserve">le secteur de la tech</v>
      </c>
      <c r="K3330" s="5" t="s">
        <v>24607</v>
      </c>
      <c r="L3330" s="5" t="s">
        <v>24608</v>
      </c>
      <c r="M3330" s="4" t="s">
        <v>39</v>
      </c>
      <c r="N3330" s="4" t="s">
        <v>29</v>
      </c>
      <c r="O3330" s="4" t="s">
        <v>67</v>
      </c>
      <c r="P3330" s="4" t="s">
        <v>29</v>
      </c>
      <c r="Q3330" s="4" t="s">
        <v>24609</v>
      </c>
      <c r="R3330" s="6"/>
      <c r="S3330" s="6"/>
      <c r="T3330" s="6"/>
      <c r="U3330" s="6"/>
      <c r="V3330" s="6"/>
      <c r="W3330" s="6"/>
      <c r="X3330" s="6"/>
      <c r="Y3330" s="6"/>
      <c r="Z3330" s="6"/>
      <c r="AA3330" s="6"/>
    </row>
    <row r="3331" ht="14.25">
      <c r="B3331" s="4" t="s">
        <v>24610</v>
      </c>
      <c r="C3331" s="4" t="s">
        <v>24611</v>
      </c>
      <c r="D3331" s="4" t="s">
        <v>24612</v>
      </c>
      <c r="E3331" s="4" t="s">
        <v>24613</v>
      </c>
      <c r="F3331" s="4" t="str">
        <f>IFERROR(__XLUDF.DUMMYFUNCTION("PROPER(REGEXREPLACE(D1047,""[^A-Za-z]+ "",""""))"),"Sweepin")</f>
        <v>Sweepin</v>
      </c>
      <c r="G3331" s="4" t="s">
        <v>24614</v>
      </c>
      <c r="H3331" s="4">
        <v>12</v>
      </c>
      <c r="I3331" s="4" t="s">
        <v>2602</v>
      </c>
      <c r="J3331" s="4"/>
      <c r="K3331" s="5" t="s">
        <v>24615</v>
      </c>
      <c r="L3331" s="5" t="s">
        <v>24616</v>
      </c>
      <c r="M3331" s="4" t="s">
        <v>149</v>
      </c>
      <c r="N3331" s="4" t="s">
        <v>29</v>
      </c>
      <c r="O3331" s="4" t="s">
        <v>24617</v>
      </c>
      <c r="P3331" s="4" t="s">
        <v>29</v>
      </c>
      <c r="Q3331" s="4" t="s">
        <v>24618</v>
      </c>
      <c r="R3331" s="6"/>
      <c r="S3331" s="6"/>
      <c r="T3331" s="6"/>
      <c r="U3331" s="6"/>
      <c r="V3331" s="6"/>
      <c r="W3331" s="6"/>
      <c r="X3331" s="6"/>
      <c r="Y3331" s="6"/>
      <c r="Z3331" s="6"/>
      <c r="AA3331" s="6"/>
    </row>
    <row r="3332" ht="14.25">
      <c r="B3332" s="4" t="s">
        <v>24619</v>
      </c>
      <c r="C3332" s="4" t="s">
        <v>24620</v>
      </c>
      <c r="D3332" s="4" t="s">
        <v>24621</v>
      </c>
      <c r="E3332" s="4" t="s">
        <v>24622</v>
      </c>
      <c r="F3332" s="4" t="str">
        <f>IFERROR(__XLUDF.DUMMYFUNCTION("PROPER(REGEXREPLACE(D1048,""[^A-Za-z]+ "",""""))"),"Premium Énergies")</f>
        <v xml:space="preserve">Premium Énergies</v>
      </c>
      <c r="G3332" s="4" t="s">
        <v>24623</v>
      </c>
      <c r="H3332" s="4">
        <v>19</v>
      </c>
      <c r="I3332" s="4" t="s">
        <v>4067</v>
      </c>
      <c r="J3332" s="4"/>
      <c r="K3332" s="5" t="s">
        <v>24624</v>
      </c>
      <c r="L3332" s="5" t="s">
        <v>24625</v>
      </c>
      <c r="M3332" s="4" t="s">
        <v>39</v>
      </c>
      <c r="N3332" s="4" t="s">
        <v>29</v>
      </c>
      <c r="O3332" s="4" t="s">
        <v>24626</v>
      </c>
      <c r="P3332" s="4" t="s">
        <v>29</v>
      </c>
      <c r="Q3332" s="4" t="s">
        <v>24627</v>
      </c>
      <c r="R3332" s="6"/>
      <c r="S3332" s="6"/>
      <c r="T3332" s="6"/>
      <c r="U3332" s="6"/>
      <c r="V3332" s="6"/>
      <c r="W3332" s="6"/>
      <c r="X3332" s="6"/>
      <c r="Y3332" s="6"/>
      <c r="Z3332" s="6"/>
      <c r="AA3332" s="6"/>
    </row>
    <row r="3333" ht="14.25">
      <c r="B3333" s="4" t="s">
        <v>24628</v>
      </c>
      <c r="C3333" s="4" t="s">
        <v>24629</v>
      </c>
      <c r="D3333" s="4" t="s">
        <v>2911</v>
      </c>
      <c r="E3333" s="4" t="s">
        <v>24630</v>
      </c>
      <c r="F3333" s="4" t="str">
        <f>IFERROR(__XLUDF.DUMMYFUNCTION("PROPER(REGEXREPLACE(D1049,""[^A-Za-z]+ "",""""))"),"Amphitrite")</f>
        <v>Amphitrite</v>
      </c>
      <c r="G3333" s="4" t="s">
        <v>24631</v>
      </c>
      <c r="H3333" s="4">
        <v>21</v>
      </c>
      <c r="I3333" s="4" t="s">
        <v>2602</v>
      </c>
      <c r="J3333" s="4" t="str">
        <f>IFERROR(__XLUDF.DUMMYFUNCTION("VLOOKUP(H1049,IMPORTRANGE(""https://docs.google.com/spreadsheets/d/1opm6ZNvGZ7KditA9TuJwrZ25eFLfTNIkrNnY6mhV5Eg"",""list!A1:C115""),3,TRUE)"),"le secteur de la tech")</f>
        <v xml:space="preserve">le secteur de la tech</v>
      </c>
      <c r="K3333" s="5" t="s">
        <v>24632</v>
      </c>
      <c r="L3333" s="5" t="s">
        <v>24633</v>
      </c>
      <c r="M3333" s="4" t="s">
        <v>39</v>
      </c>
      <c r="N3333" s="4" t="s">
        <v>29</v>
      </c>
      <c r="O3333" s="4" t="s">
        <v>24634</v>
      </c>
      <c r="P3333" s="4" t="s">
        <v>29</v>
      </c>
      <c r="Q3333" s="4" t="s">
        <v>24635</v>
      </c>
      <c r="R3333" s="6"/>
      <c r="S3333" s="6"/>
      <c r="T3333" s="6"/>
      <c r="U3333" s="6"/>
      <c r="V3333" s="6"/>
      <c r="W3333" s="6"/>
      <c r="X3333" s="6"/>
      <c r="Y3333" s="6"/>
      <c r="Z3333" s="6"/>
      <c r="AA3333" s="6"/>
    </row>
    <row r="3334" ht="14.25">
      <c r="B3334" s="4" t="s">
        <v>24636</v>
      </c>
      <c r="C3334" s="4" t="s">
        <v>24637</v>
      </c>
      <c r="D3334" s="4" t="s">
        <v>24638</v>
      </c>
      <c r="E3334" s="4" t="s">
        <v>24639</v>
      </c>
      <c r="F3334" s="4" t="str">
        <f>IFERROR(__XLUDF.DUMMYFUNCTION("PROPER(REGEXREPLACE(D1050,""[^A-Za-z]+ "",""""))"),"Globalis")</f>
        <v>Globalis</v>
      </c>
      <c r="G3334" s="4" t="s">
        <v>24640</v>
      </c>
      <c r="H3334" s="4">
        <v>37</v>
      </c>
      <c r="I3334" s="4" t="s">
        <v>2602</v>
      </c>
      <c r="J3334" s="4"/>
      <c r="K3334" s="5" t="s">
        <v>24641</v>
      </c>
      <c r="L3334" s="5" t="s">
        <v>24642</v>
      </c>
      <c r="M3334" s="6"/>
      <c r="N3334" s="4" t="s">
        <v>29</v>
      </c>
      <c r="O3334" s="4" t="s">
        <v>24643</v>
      </c>
      <c r="P3334" s="4" t="s">
        <v>29</v>
      </c>
      <c r="Q3334" s="4" t="s">
        <v>24644</v>
      </c>
      <c r="R3334" s="6"/>
      <c r="S3334" s="6"/>
      <c r="T3334" s="6"/>
      <c r="U3334" s="6"/>
      <c r="V3334" s="6"/>
      <c r="W3334" s="6"/>
      <c r="X3334" s="6"/>
      <c r="Y3334" s="6"/>
      <c r="Z3334" s="6"/>
      <c r="AA3334" s="6"/>
    </row>
    <row r="3335" ht="14.25">
      <c r="B3335" s="4" t="s">
        <v>6243</v>
      </c>
      <c r="C3335" s="4" t="s">
        <v>24645</v>
      </c>
      <c r="D3335" s="4" t="s">
        <v>24646</v>
      </c>
      <c r="E3335" s="4" t="s">
        <v>24647</v>
      </c>
      <c r="F3335" s="4" t="str">
        <f>IFERROR(__XLUDF.DUMMYFUNCTION("PROPER(REGEXREPLACE(D1051,""[^A-Za-z]+ "",""""))"),"Goodness")</f>
        <v>Goodness</v>
      </c>
      <c r="G3335" s="4" t="s">
        <v>24648</v>
      </c>
      <c r="H3335" s="4">
        <v>28</v>
      </c>
      <c r="I3335" s="4" t="s">
        <v>4067</v>
      </c>
      <c r="J3335" s="4" t="str">
        <f>IFERROR(__XLUDF.DUMMYFUNCTION("VLOOKUP(H1051,IMPORTRANGE(""https://docs.google.com/spreadsheets/d/1opm6ZNvGZ7KditA9TuJwrZ25eFLfTNIkrNnY6mhV5Eg"",""list!A1:C115""),3,TRUE)"),"le secteur du conseil en management")</f>
        <v xml:space="preserve">le secteur du conseil en management</v>
      </c>
      <c r="K3335" s="5" t="s">
        <v>24649</v>
      </c>
      <c r="L3335" s="5" t="s">
        <v>24650</v>
      </c>
      <c r="M3335" s="6"/>
      <c r="N3335" s="4" t="s">
        <v>29</v>
      </c>
      <c r="O3335" s="6"/>
      <c r="P3335" s="6"/>
      <c r="Q3335" s="6"/>
      <c r="R3335" s="6"/>
      <c r="S3335" s="6"/>
      <c r="T3335" s="6"/>
      <c r="U3335" s="6"/>
      <c r="V3335" s="6"/>
      <c r="W3335" s="6"/>
      <c r="X3335" s="6"/>
      <c r="Y3335" s="6"/>
      <c r="Z3335" s="6"/>
      <c r="AA3335" s="6"/>
    </row>
    <row r="3336" ht="14.25">
      <c r="B3336" s="4" t="s">
        <v>23262</v>
      </c>
      <c r="C3336" s="4" t="s">
        <v>24651</v>
      </c>
      <c r="D3336" s="4" t="s">
        <v>172</v>
      </c>
      <c r="E3336" s="4" t="s">
        <v>24652</v>
      </c>
      <c r="F3336" s="4" t="str">
        <f>IFERROR(__XLUDF.DUMMYFUNCTION("PROPER(REGEXREPLACE(D1052,""[^A-Za-z]+ "",""""))"),"Ulink")</f>
        <v>Ulink</v>
      </c>
      <c r="G3336" s="4" t="s">
        <v>24653</v>
      </c>
      <c r="H3336" s="4">
        <v>17</v>
      </c>
      <c r="I3336" s="4" t="s">
        <v>2602</v>
      </c>
      <c r="J3336" s="4"/>
      <c r="K3336" s="5" t="s">
        <v>24654</v>
      </c>
      <c r="L3336" s="5" t="s">
        <v>24655</v>
      </c>
      <c r="M3336" s="4" t="s">
        <v>39</v>
      </c>
      <c r="N3336" s="4" t="s">
        <v>29</v>
      </c>
      <c r="O3336" s="4" t="s">
        <v>24656</v>
      </c>
      <c r="P3336" s="4" t="s">
        <v>20233</v>
      </c>
      <c r="Q3336" s="4" t="s">
        <v>24657</v>
      </c>
      <c r="R3336" s="6"/>
      <c r="S3336" s="6"/>
      <c r="T3336" s="6"/>
      <c r="U3336" s="6"/>
      <c r="V3336" s="6"/>
      <c r="W3336" s="6"/>
      <c r="X3336" s="6"/>
      <c r="Y3336" s="6"/>
      <c r="Z3336" s="6"/>
      <c r="AA3336" s="6"/>
    </row>
    <row r="3337" ht="14.25">
      <c r="B3337" s="4" t="s">
        <v>24658</v>
      </c>
      <c r="C3337" s="4" t="s">
        <v>24659</v>
      </c>
      <c r="D3337" s="4" t="s">
        <v>172</v>
      </c>
      <c r="E3337" s="4" t="s">
        <v>24660</v>
      </c>
      <c r="F3337" s="4" t="str">
        <f>IFERROR(__XLUDF.DUMMYFUNCTION("PROPER(REGEXREPLACE(D1053,""[^A-Za-z]+ "",""""))"),"Neapsys")</f>
        <v>Neapsys</v>
      </c>
      <c r="G3337" s="4" t="s">
        <v>24661</v>
      </c>
      <c r="H3337" s="4">
        <v>25</v>
      </c>
      <c r="I3337" s="4" t="s">
        <v>2602</v>
      </c>
      <c r="J3337" s="4" t="str">
        <f>IFERROR(__XLUDF.DUMMYFUNCTION("VLOOKUP(H1053,IMPORTRANGE(""https://docs.google.com/spreadsheets/d/1opm6ZNvGZ7KditA9TuJwrZ25eFLfTNIkrNnY6mhV5Eg"",""list!A1:C115""),3,TRUE)"),"le secteur de la tech")</f>
        <v xml:space="preserve">le secteur de la tech</v>
      </c>
      <c r="K3337" s="5" t="s">
        <v>24662</v>
      </c>
      <c r="L3337" s="5" t="s">
        <v>24663</v>
      </c>
      <c r="M3337" s="4" t="s">
        <v>7827</v>
      </c>
      <c r="N3337" s="4" t="s">
        <v>29</v>
      </c>
      <c r="O3337" s="4" t="s">
        <v>337</v>
      </c>
      <c r="P3337" s="4" t="s">
        <v>29</v>
      </c>
      <c r="Q3337" s="6"/>
      <c r="R3337" s="6"/>
      <c r="S3337" s="6"/>
      <c r="T3337" s="6"/>
      <c r="U3337" s="6"/>
      <c r="V3337" s="6"/>
      <c r="W3337" s="6"/>
      <c r="X3337" s="6"/>
      <c r="Y3337" s="6"/>
      <c r="Z3337" s="6"/>
      <c r="AA3337" s="6"/>
    </row>
    <row r="3338" ht="14.25">
      <c r="B3338" s="4" t="s">
        <v>1562</v>
      </c>
      <c r="C3338" s="4" t="s">
        <v>24664</v>
      </c>
      <c r="D3338" s="4" t="s">
        <v>24665</v>
      </c>
      <c r="E3338" s="4" t="s">
        <v>24666</v>
      </c>
      <c r="F3338" s="4" t="str">
        <f>IFERROR(__XLUDF.DUMMYFUNCTION("PROPER(REGEXREPLACE(D1054,""[^A-Za-z]+ "",""""))"),"Zwilling Staub France Sas")</f>
        <v xml:space="preserve">Zwilling Staub France Sas</v>
      </c>
      <c r="G3338" s="4" t="s">
        <v>24667</v>
      </c>
      <c r="H3338" s="4">
        <v>26</v>
      </c>
      <c r="I3338" s="4" t="s">
        <v>24668</v>
      </c>
      <c r="J3338" s="4"/>
      <c r="K3338" s="5" t="s">
        <v>24669</v>
      </c>
      <c r="L3338" s="5" t="s">
        <v>24670</v>
      </c>
      <c r="M3338" s="4" t="s">
        <v>39</v>
      </c>
      <c r="N3338" s="4" t="s">
        <v>29</v>
      </c>
      <c r="O3338" s="4" t="s">
        <v>67</v>
      </c>
      <c r="P3338" s="4" t="s">
        <v>29</v>
      </c>
      <c r="Q3338" s="6"/>
      <c r="R3338" s="6"/>
      <c r="S3338" s="6"/>
      <c r="T3338" s="6"/>
      <c r="U3338" s="6"/>
      <c r="V3338" s="6"/>
      <c r="W3338" s="6"/>
      <c r="X3338" s="6"/>
      <c r="Y3338" s="6"/>
      <c r="Z3338" s="6"/>
      <c r="AA3338" s="6"/>
    </row>
    <row r="3339" ht="14.25">
      <c r="B3339" s="4" t="s">
        <v>866</v>
      </c>
      <c r="C3339" s="4" t="s">
        <v>24671</v>
      </c>
      <c r="D3339" s="4" t="s">
        <v>112</v>
      </c>
      <c r="E3339" s="4" t="s">
        <v>24672</v>
      </c>
      <c r="F3339" s="4" t="str">
        <f>IFERROR(__XLUDF.DUMMYFUNCTION("PROPER(REGEXREPLACE(D1055,""[^A-Za-z]+ "",""""))"),"Ixiade")</f>
        <v>Ixiade</v>
      </c>
      <c r="G3339" s="4" t="s">
        <v>24673</v>
      </c>
      <c r="H3339" s="4">
        <v>12</v>
      </c>
      <c r="I3339" s="4" t="s">
        <v>4067</v>
      </c>
      <c r="J3339" s="4"/>
      <c r="K3339" s="5" t="s">
        <v>24674</v>
      </c>
      <c r="L3339" s="5" t="s">
        <v>24675</v>
      </c>
      <c r="M3339" s="4" t="s">
        <v>1507</v>
      </c>
      <c r="N3339" s="4" t="s">
        <v>29</v>
      </c>
      <c r="O3339" s="4" t="s">
        <v>1508</v>
      </c>
      <c r="P3339" s="4" t="s">
        <v>29</v>
      </c>
      <c r="Q3339" s="6"/>
      <c r="R3339" s="6"/>
      <c r="S3339" s="6"/>
      <c r="T3339" s="6"/>
      <c r="U3339" s="6"/>
      <c r="V3339" s="6"/>
      <c r="W3339" s="6"/>
      <c r="X3339" s="6"/>
      <c r="Y3339" s="6"/>
      <c r="Z3339" s="6"/>
      <c r="AA3339" s="6"/>
    </row>
    <row r="3340" ht="14.25">
      <c r="B3340" s="4" t="s">
        <v>2409</v>
      </c>
      <c r="C3340" s="4" t="s">
        <v>24676</v>
      </c>
      <c r="D3340" s="4" t="s">
        <v>44</v>
      </c>
      <c r="E3340" s="4" t="s">
        <v>24677</v>
      </c>
      <c r="F3340" s="4" t="str">
        <f>IFERROR(__XLUDF.DUMMYFUNCTION("PROPER(REGEXREPLACE(D1056,""[^A-Za-z]+ "",""""))"),"Digway")</f>
        <v>Digway</v>
      </c>
      <c r="G3340" s="4" t="s">
        <v>24678</v>
      </c>
      <c r="H3340" s="4">
        <v>14</v>
      </c>
      <c r="I3340" s="4" t="s">
        <v>2602</v>
      </c>
      <c r="J3340" s="4" t="str">
        <f>IFERROR(__XLUDF.DUMMYFUNCTION("VLOOKUP(H1056,IMPORTRANGE(""https://docs.google.com/spreadsheets/d/1opm6ZNvGZ7KditA9TuJwrZ25eFLfTNIkrNnY6mhV5Eg"",""list!A1:C115""),3,TRUE)"),"le secteur de la tech")</f>
        <v xml:space="preserve">le secteur de la tech</v>
      </c>
      <c r="K3340" s="5" t="s">
        <v>24679</v>
      </c>
      <c r="L3340" s="5" t="s">
        <v>24680</v>
      </c>
      <c r="M3340" s="6"/>
      <c r="N3340" s="4" t="s">
        <v>29</v>
      </c>
      <c r="O3340" s="4" t="s">
        <v>5457</v>
      </c>
      <c r="P3340" s="4" t="s">
        <v>29</v>
      </c>
      <c r="Q3340" s="4" t="s">
        <v>24681</v>
      </c>
      <c r="R3340" s="6"/>
      <c r="S3340" s="6"/>
      <c r="T3340" s="6"/>
      <c r="U3340" s="6"/>
      <c r="V3340" s="6"/>
      <c r="W3340" s="6"/>
      <c r="X3340" s="6"/>
      <c r="Y3340" s="6"/>
      <c r="Z3340" s="6"/>
      <c r="AA3340" s="6"/>
    </row>
    <row r="3341" ht="14.25">
      <c r="B3341" s="4" t="s">
        <v>31</v>
      </c>
      <c r="C3341" s="4" t="s">
        <v>24682</v>
      </c>
      <c r="D3341" s="4" t="s">
        <v>341</v>
      </c>
      <c r="E3341" s="4" t="s">
        <v>24683</v>
      </c>
      <c r="F3341" s="4" t="str">
        <f>IFERROR(__XLUDF.DUMMYFUNCTION("PROPER(REGEXREPLACE(D1057,""[^A-Za-z]+ "",""""))"),"Scalizer")</f>
        <v>Scalizer</v>
      </c>
      <c r="G3341" s="4" t="s">
        <v>24684</v>
      </c>
      <c r="H3341" s="4">
        <v>32</v>
      </c>
      <c r="I3341" s="4" t="s">
        <v>4067</v>
      </c>
      <c r="J3341" s="4"/>
      <c r="K3341" s="5" t="s">
        <v>24685</v>
      </c>
      <c r="L3341" s="5" t="s">
        <v>24686</v>
      </c>
      <c r="M3341" s="4" t="s">
        <v>1711</v>
      </c>
      <c r="N3341" s="4" t="s">
        <v>29</v>
      </c>
      <c r="O3341" s="4" t="s">
        <v>67</v>
      </c>
      <c r="P3341" s="4" t="s">
        <v>29</v>
      </c>
      <c r="Q3341" s="4" t="s">
        <v>24687</v>
      </c>
      <c r="R3341" s="6"/>
      <c r="S3341" s="6"/>
      <c r="T3341" s="6"/>
      <c r="U3341" s="6"/>
      <c r="V3341" s="6"/>
      <c r="W3341" s="6"/>
      <c r="X3341" s="6"/>
      <c r="Y3341" s="6"/>
      <c r="Z3341" s="6"/>
      <c r="AA3341" s="6"/>
    </row>
    <row r="3342" ht="14.25">
      <c r="B3342" s="4" t="s">
        <v>24688</v>
      </c>
      <c r="C3342" s="4" t="s">
        <v>24689</v>
      </c>
      <c r="D3342" s="4" t="s">
        <v>71</v>
      </c>
      <c r="E3342" s="4" t="s">
        <v>24690</v>
      </c>
      <c r="F3342" s="4" t="str">
        <f>IFERROR(__XLUDF.DUMMYFUNCTION("PROPER(REGEXREPLACE(D1058,""[^A-Za-z]+ "",""""))"),"Mokki")</f>
        <v>Mokki</v>
      </c>
      <c r="G3342" s="4" t="s">
        <v>24691</v>
      </c>
      <c r="H3342" s="4">
        <v>15</v>
      </c>
      <c r="I3342" s="4" t="s">
        <v>2602</v>
      </c>
      <c r="J3342" s="4" t="str">
        <f>IFERROR(__XLUDF.DUMMYFUNCTION("VLOOKUP(H1058,IMPORTRANGE(""https://docs.google.com/spreadsheets/d/1opm6ZNvGZ7KditA9TuJwrZ25eFLfTNIkrNnY6mhV5Eg"",""list!A1:C115""),3,TRUE)"),"le secteur de la tech")</f>
        <v xml:space="preserve">le secteur de la tech</v>
      </c>
      <c r="K3342" s="5" t="s">
        <v>24692</v>
      </c>
      <c r="L3342" s="5" t="s">
        <v>24693</v>
      </c>
      <c r="M3342" s="4" t="s">
        <v>39</v>
      </c>
      <c r="N3342" s="4" t="s">
        <v>29</v>
      </c>
      <c r="O3342" s="4" t="s">
        <v>67</v>
      </c>
      <c r="P3342" s="4" t="s">
        <v>29</v>
      </c>
      <c r="Q3342" s="6"/>
      <c r="R3342" s="6"/>
      <c r="S3342" s="6"/>
      <c r="T3342" s="6"/>
      <c r="U3342" s="6"/>
      <c r="V3342" s="6"/>
      <c r="W3342" s="6"/>
      <c r="X3342" s="6"/>
      <c r="Y3342" s="6"/>
      <c r="Z3342" s="6"/>
      <c r="AA3342" s="6"/>
    </row>
    <row r="3343" ht="14.25">
      <c r="B3343" s="4" t="s">
        <v>653</v>
      </c>
      <c r="C3343" s="4" t="s">
        <v>24694</v>
      </c>
      <c r="D3343" s="4" t="s">
        <v>24695</v>
      </c>
      <c r="E3343" s="4" t="s">
        <v>24696</v>
      </c>
      <c r="F3343" s="4" t="str">
        <f>IFERROR(__XLUDF.DUMMYFUNCTION("PROPER(REGEXREPLACE(D1059,""[^A-Za-z]+ "",""""))"),"Netkin")</f>
        <v>Netkin</v>
      </c>
      <c r="G3343" s="4" t="s">
        <v>24697</v>
      </c>
      <c r="H3343" s="4">
        <v>23</v>
      </c>
      <c r="I3343" s="4" t="s">
        <v>2602</v>
      </c>
      <c r="J3343" s="4" t="str">
        <f>IFERROR(__XLUDF.DUMMYFUNCTION("VLOOKUP(H1059,IMPORTRANGE(""https://docs.google.com/spreadsheets/d/1opm6ZNvGZ7KditA9TuJwrZ25eFLfTNIkrNnY6mhV5Eg"",""list!A1:C115""),3,TRUE)"),"le secteur de la tech")</f>
        <v xml:space="preserve">le secteur de la tech</v>
      </c>
      <c r="K3343" s="5" t="s">
        <v>24698</v>
      </c>
      <c r="L3343" s="5" t="s">
        <v>24699</v>
      </c>
      <c r="M3343" s="4" t="s">
        <v>39</v>
      </c>
      <c r="N3343" s="4" t="s">
        <v>29</v>
      </c>
      <c r="O3343" s="4" t="s">
        <v>24700</v>
      </c>
      <c r="P3343" s="4" t="s">
        <v>29</v>
      </c>
      <c r="Q3343" s="6"/>
      <c r="R3343" s="6"/>
      <c r="S3343" s="6"/>
      <c r="T3343" s="6"/>
      <c r="U3343" s="6"/>
      <c r="V3343" s="6"/>
      <c r="W3343" s="6"/>
      <c r="X3343" s="6"/>
      <c r="Y3343" s="6"/>
      <c r="Z3343" s="6"/>
      <c r="AA3343" s="6"/>
    </row>
    <row r="3344" ht="14.25">
      <c r="B3344" s="4" t="s">
        <v>2462</v>
      </c>
      <c r="C3344" s="4" t="s">
        <v>23117</v>
      </c>
      <c r="D3344" s="4" t="s">
        <v>62</v>
      </c>
      <c r="E3344" s="4" t="s">
        <v>23118</v>
      </c>
      <c r="F3344" s="4" t="str">
        <f>IFERROR(__XLUDF.DUMMYFUNCTION("PROPER(REGEXREPLACE(D1060,""[^A-Za-z]+ "",""""))"),"Dreamfirms")</f>
        <v>Dreamfirms</v>
      </c>
      <c r="G3344" s="4" t="s">
        <v>24701</v>
      </c>
      <c r="H3344" s="4">
        <v>13</v>
      </c>
      <c r="I3344" s="4" t="s">
        <v>9161</v>
      </c>
      <c r="J3344" s="4" t="str">
        <f>IFERROR(__XLUDF.DUMMYFUNCTION("VLOOKUP(H1060,IMPORTRANGE(""https://docs.google.com/spreadsheets/d/1opm6ZNvGZ7KditA9TuJwrZ25eFLfTNIkrNnY6mhV5Eg"",""list!A1:C115""),3,TRUE)"),"le secteur du marketing")</f>
        <v xml:space="preserve">le secteur du marketing</v>
      </c>
      <c r="K3344" s="5" t="s">
        <v>24702</v>
      </c>
      <c r="L3344" s="5" t="s">
        <v>23121</v>
      </c>
      <c r="M3344" s="4" t="s">
        <v>24703</v>
      </c>
      <c r="N3344" s="4" t="s">
        <v>29</v>
      </c>
      <c r="O3344" s="4" t="s">
        <v>23122</v>
      </c>
      <c r="P3344" s="4" t="s">
        <v>1261</v>
      </c>
      <c r="Q3344" s="4" t="s">
        <v>23123</v>
      </c>
      <c r="R3344" s="6"/>
      <c r="S3344" s="6"/>
      <c r="T3344" s="6"/>
      <c r="U3344" s="6"/>
      <c r="V3344" s="6"/>
      <c r="W3344" s="6"/>
      <c r="X3344" s="6"/>
      <c r="Y3344" s="6"/>
      <c r="Z3344" s="6"/>
      <c r="AA3344" s="6"/>
    </row>
    <row r="3345" ht="14.25">
      <c r="B3345" s="4" t="s">
        <v>3002</v>
      </c>
      <c r="C3345" s="4" t="s">
        <v>24704</v>
      </c>
      <c r="D3345" s="4" t="s">
        <v>172</v>
      </c>
      <c r="E3345" s="4" t="s">
        <v>24705</v>
      </c>
      <c r="F3345" s="4" t="str">
        <f>IFERROR(__XLUDF.DUMMYFUNCTION("PROPER(REGEXREPLACE(D1061,""[^A-Za-z]+ "",""""))"),"Extern It")</f>
        <v xml:space="preserve">Extern It</v>
      </c>
      <c r="G3345" s="4" t="s">
        <v>24706</v>
      </c>
      <c r="H3345" s="4">
        <v>24</v>
      </c>
      <c r="I3345" s="4" t="s">
        <v>2602</v>
      </c>
      <c r="J3345" s="4"/>
      <c r="K3345" s="5" t="s">
        <v>24707</v>
      </c>
      <c r="L3345" s="5" t="s">
        <v>24708</v>
      </c>
      <c r="M3345" s="4" t="s">
        <v>6480</v>
      </c>
      <c r="N3345" s="4" t="s">
        <v>29</v>
      </c>
      <c r="O3345" s="4" t="s">
        <v>24709</v>
      </c>
      <c r="P3345" s="4" t="s">
        <v>29</v>
      </c>
      <c r="Q3345" s="4" t="s">
        <v>24710</v>
      </c>
      <c r="R3345" s="6"/>
      <c r="S3345" s="6"/>
      <c r="T3345" s="6"/>
      <c r="U3345" s="6"/>
      <c r="V3345" s="6"/>
      <c r="W3345" s="6"/>
      <c r="X3345" s="6"/>
      <c r="Y3345" s="6"/>
      <c r="Z3345" s="6"/>
      <c r="AA3345" s="6"/>
    </row>
    <row r="3346" ht="14.25">
      <c r="B3346" s="4" t="s">
        <v>1387</v>
      </c>
      <c r="C3346" s="4" t="s">
        <v>24711</v>
      </c>
      <c r="D3346" s="4" t="s">
        <v>672</v>
      </c>
      <c r="E3346" s="4" t="s">
        <v>24712</v>
      </c>
      <c r="F3346" s="4" t="str">
        <f>IFERROR(__XLUDF.DUMMYFUNCTION("PROPER(REGEXREPLACE(D1062,""[^A-Za-z]+ "",""""))"),"Waro")</f>
        <v>Waro</v>
      </c>
      <c r="G3346" s="4" t="s">
        <v>24713</v>
      </c>
      <c r="H3346" s="4">
        <v>21</v>
      </c>
      <c r="I3346" s="4" t="s">
        <v>2602</v>
      </c>
      <c r="J3346" s="4"/>
      <c r="K3346" s="5" t="s">
        <v>24714</v>
      </c>
      <c r="L3346" s="5" t="s">
        <v>24715</v>
      </c>
      <c r="M3346" s="4" t="s">
        <v>39</v>
      </c>
      <c r="N3346" s="4" t="s">
        <v>29</v>
      </c>
      <c r="O3346" s="4" t="s">
        <v>19124</v>
      </c>
      <c r="P3346" s="4" t="s">
        <v>29</v>
      </c>
      <c r="Q3346" s="4" t="s">
        <v>24716</v>
      </c>
      <c r="R3346" s="6"/>
      <c r="S3346" s="6"/>
      <c r="T3346" s="6"/>
      <c r="U3346" s="6"/>
      <c r="V3346" s="6"/>
      <c r="W3346" s="6"/>
      <c r="X3346" s="6"/>
      <c r="Y3346" s="6"/>
      <c r="Z3346" s="6"/>
      <c r="AA3346" s="6"/>
    </row>
    <row r="3347" ht="14.25">
      <c r="B3347" s="4" t="s">
        <v>986</v>
      </c>
      <c r="C3347" s="4" t="s">
        <v>24717</v>
      </c>
      <c r="D3347" s="4" t="s">
        <v>24718</v>
      </c>
      <c r="E3347" s="4" t="s">
        <v>24719</v>
      </c>
      <c r="F3347" s="4" t="str">
        <f>IFERROR(__XLUDF.DUMMYFUNCTION("PROPER(REGEXREPLACE(D1063,""[^A-Za-z]+ "",""""))"),"Ephelide")</f>
        <v>Ephelide</v>
      </c>
      <c r="G3347" s="4" t="s">
        <v>24720</v>
      </c>
      <c r="H3347" s="4">
        <v>11</v>
      </c>
      <c r="I3347" s="4" t="s">
        <v>10639</v>
      </c>
      <c r="J3347" s="4"/>
      <c r="K3347" s="5" t="s">
        <v>24721</v>
      </c>
      <c r="L3347" s="5" t="s">
        <v>24722</v>
      </c>
      <c r="M3347" s="4" t="s">
        <v>39</v>
      </c>
      <c r="N3347" s="4" t="s">
        <v>29</v>
      </c>
      <c r="O3347" s="4" t="s">
        <v>24723</v>
      </c>
      <c r="P3347" s="4" t="s">
        <v>29</v>
      </c>
      <c r="Q3347" s="4" t="s">
        <v>24724</v>
      </c>
      <c r="R3347" s="6"/>
      <c r="S3347" s="6"/>
      <c r="T3347" s="6"/>
      <c r="U3347" s="6"/>
      <c r="V3347" s="6"/>
      <c r="W3347" s="6"/>
      <c r="X3347" s="6"/>
      <c r="Y3347" s="6"/>
      <c r="Z3347" s="6"/>
      <c r="AA3347" s="6"/>
    </row>
    <row r="3348" ht="14.25">
      <c r="B3348" s="4" t="s">
        <v>3609</v>
      </c>
      <c r="C3348" s="4" t="s">
        <v>1909</v>
      </c>
      <c r="D3348" s="4" t="s">
        <v>24725</v>
      </c>
      <c r="E3348" s="5" t="s">
        <v>24726</v>
      </c>
      <c r="F3348" s="4" t="str">
        <f>IFERROR(__XLUDF.DUMMYFUNCTION("PROPER(REGEXREPLACE(D1064,""[^A-Za-z]+ "",""""))"),"Stand-Prive")</f>
        <v>Stand-Prive</v>
      </c>
      <c r="G3348" s="4" t="s">
        <v>24727</v>
      </c>
      <c r="H3348" s="4">
        <v>14</v>
      </c>
      <c r="I3348" s="4" t="s">
        <v>4525</v>
      </c>
      <c r="J3348" s="4" t="str">
        <f>IFERROR(__XLUDF.DUMMYFUNCTION("VLOOKUP(H1064,IMPORTRANGE(""https://docs.google.com/spreadsheets/d/1opm6ZNvGZ7KditA9TuJwrZ25eFLfTNIkrNnY6mhV5Eg"",""list!A1:C115""),3,TRUE)"),"le secteur du retail")</f>
        <v xml:space="preserve">le secteur du retail</v>
      </c>
      <c r="K3348" s="5" t="s">
        <v>24728</v>
      </c>
      <c r="L3348" s="5" t="s">
        <v>24729</v>
      </c>
      <c r="M3348" s="6"/>
      <c r="N3348" s="4" t="s">
        <v>29</v>
      </c>
      <c r="O3348" s="4" t="s">
        <v>24730</v>
      </c>
      <c r="P3348" s="4" t="s">
        <v>29</v>
      </c>
      <c r="Q3348" s="4" t="s">
        <v>24731</v>
      </c>
      <c r="R3348" s="6"/>
      <c r="S3348" s="6"/>
      <c r="T3348" s="6"/>
      <c r="U3348" s="6"/>
      <c r="V3348" s="6"/>
      <c r="W3348" s="6"/>
      <c r="X3348" s="6"/>
      <c r="Y3348" s="6"/>
      <c r="Z3348" s="6"/>
      <c r="AA3348" s="6"/>
    </row>
    <row r="3349" ht="14.25">
      <c r="B3349" s="4" t="s">
        <v>22725</v>
      </c>
      <c r="C3349" s="4" t="s">
        <v>24732</v>
      </c>
      <c r="D3349" s="4" t="s">
        <v>341</v>
      </c>
      <c r="E3349" s="4" t="s">
        <v>24733</v>
      </c>
      <c r="F3349" s="4" t="str">
        <f>IFERROR(__XLUDF.DUMMYFUNCTION("PROPER(REGEXREPLACE(D1065,""[^A-Za-z]+ "",""""))"),"Chefcab")</f>
        <v>Chefcab</v>
      </c>
      <c r="G3349" s="4" t="s">
        <v>24734</v>
      </c>
      <c r="H3349" s="4">
        <v>10</v>
      </c>
      <c r="I3349" s="4" t="s">
        <v>10639</v>
      </c>
      <c r="J3349" s="4" t="str">
        <f>IFERROR(__XLUDF.DUMMYFUNCTION("VLOOKUP(H1065,IMPORTRANGE(""https://docs.google.com/spreadsheets/d/1opm6ZNvGZ7KditA9TuJwrZ25eFLfTNIkrNnY6mhV5Eg"",""list!A1:C115""),3,TRUE)"),"le secteur de la communication")</f>
        <v xml:space="preserve">le secteur de la communication</v>
      </c>
      <c r="K3349" s="5" t="s">
        <v>24735</v>
      </c>
      <c r="L3349" s="5" t="s">
        <v>24736</v>
      </c>
      <c r="M3349" s="4" t="s">
        <v>39</v>
      </c>
      <c r="N3349" s="4" t="s">
        <v>29</v>
      </c>
      <c r="O3349" s="4" t="s">
        <v>24737</v>
      </c>
      <c r="P3349" s="4" t="s">
        <v>29</v>
      </c>
      <c r="Q3349" s="4" t="s">
        <v>24738</v>
      </c>
      <c r="R3349" s="6"/>
      <c r="S3349" s="6"/>
      <c r="T3349" s="6"/>
      <c r="U3349" s="6"/>
      <c r="V3349" s="6"/>
      <c r="W3349" s="6"/>
      <c r="X3349" s="6"/>
      <c r="Y3349" s="6"/>
      <c r="Z3349" s="6"/>
      <c r="AA3349" s="6"/>
    </row>
    <row r="3350" ht="14.25">
      <c r="B3350" s="4" t="s">
        <v>6788</v>
      </c>
      <c r="C3350" s="4" t="s">
        <v>24739</v>
      </c>
      <c r="D3350" s="4" t="s">
        <v>24740</v>
      </c>
      <c r="E3350" s="4" t="s">
        <v>24741</v>
      </c>
      <c r="F3350" s="4" t="str">
        <f>IFERROR(__XLUDF.DUMMYFUNCTION("PROPER(REGEXREPLACE(D1066,""[^A-Za-z]+ "",""""))"),"Graphito Prevention")</f>
        <v xml:space="preserve">Graphito Prevention</v>
      </c>
      <c r="G3350" s="4" t="s">
        <v>24742</v>
      </c>
      <c r="H3350" s="4">
        <v>24</v>
      </c>
      <c r="I3350" s="4" t="s">
        <v>4067</v>
      </c>
      <c r="J3350" s="4" t="str">
        <f>IFERROR(__XLUDF.DUMMYFUNCTION("VLOOKUP(H1066,IMPORTRANGE(""https://docs.google.com/spreadsheets/d/1opm6ZNvGZ7KditA9TuJwrZ25eFLfTNIkrNnY6mhV5Eg"",""list!A1:C115""),3,TRUE)"),"le secteur du conseil en management")</f>
        <v xml:space="preserve">le secteur du conseil en management</v>
      </c>
      <c r="K3350" s="5" t="s">
        <v>24743</v>
      </c>
      <c r="L3350" s="5" t="s">
        <v>24744</v>
      </c>
      <c r="M3350" s="4" t="s">
        <v>3848</v>
      </c>
      <c r="N3350" s="4" t="s">
        <v>29</v>
      </c>
      <c r="O3350" s="4" t="s">
        <v>24745</v>
      </c>
      <c r="P3350" s="4" t="s">
        <v>29</v>
      </c>
      <c r="Q3350" s="6"/>
      <c r="R3350" s="6"/>
      <c r="S3350" s="6"/>
      <c r="T3350" s="6"/>
      <c r="U3350" s="6"/>
      <c r="V3350" s="6"/>
      <c r="W3350" s="6"/>
      <c r="X3350" s="6"/>
      <c r="Y3350" s="6"/>
      <c r="Z3350" s="6"/>
      <c r="AA3350" s="6"/>
    </row>
    <row r="3351" ht="14.25">
      <c r="B3351" s="4" t="s">
        <v>4961</v>
      </c>
      <c r="C3351" s="4" t="s">
        <v>24746</v>
      </c>
      <c r="D3351" s="4" t="s">
        <v>24747</v>
      </c>
      <c r="E3351" s="4" t="s">
        <v>24748</v>
      </c>
      <c r="F3351" s="4" t="str">
        <f>IFERROR(__XLUDF.DUMMYFUNCTION("PROPER(REGEXREPLACE(D1067,""[^A-Za-z]+ "",""""))"),"Atracore")</f>
        <v>Atracore</v>
      </c>
      <c r="G3351" s="4" t="s">
        <v>24749</v>
      </c>
      <c r="H3351" s="4">
        <v>15</v>
      </c>
      <c r="I3351" s="4" t="s">
        <v>2602</v>
      </c>
      <c r="J3351" s="4"/>
      <c r="K3351" s="5" t="s">
        <v>24750</v>
      </c>
      <c r="L3351" s="5" t="s">
        <v>24751</v>
      </c>
      <c r="M3351" s="4" t="s">
        <v>24752</v>
      </c>
      <c r="N3351" s="4" t="s">
        <v>29</v>
      </c>
      <c r="O3351" s="4" t="s">
        <v>24753</v>
      </c>
      <c r="P3351" s="4" t="s">
        <v>24754</v>
      </c>
      <c r="Q3351" s="6"/>
      <c r="R3351" s="6"/>
      <c r="S3351" s="6"/>
      <c r="T3351" s="6"/>
      <c r="U3351" s="6"/>
      <c r="V3351" s="6"/>
      <c r="W3351" s="6"/>
      <c r="X3351" s="6"/>
      <c r="Y3351" s="6"/>
      <c r="Z3351" s="6"/>
      <c r="AA3351" s="6"/>
    </row>
    <row r="3352" ht="14.25">
      <c r="B3352" s="4" t="s">
        <v>3164</v>
      </c>
      <c r="C3352" s="4" t="s">
        <v>24755</v>
      </c>
      <c r="D3352" s="4" t="s">
        <v>44</v>
      </c>
      <c r="E3352" s="4" t="s">
        <v>24756</v>
      </c>
      <c r="F3352" s="4" t="str">
        <f>IFERROR(__XLUDF.DUMMYFUNCTION("PROPER(REGEXREPLACE(D1068,""[^A-Za-z]+ "",""""))"),"Wise Building")</f>
        <v xml:space="preserve">Wise Building</v>
      </c>
      <c r="G3352" s="4" t="s">
        <v>24757</v>
      </c>
      <c r="H3352" s="4">
        <v>12</v>
      </c>
      <c r="I3352" s="4" t="s">
        <v>2602</v>
      </c>
      <c r="J3352" s="4"/>
      <c r="K3352" s="5" t="s">
        <v>24758</v>
      </c>
      <c r="L3352" s="5" t="s">
        <v>24759</v>
      </c>
      <c r="M3352" s="4" t="s">
        <v>39</v>
      </c>
      <c r="N3352" s="4" t="s">
        <v>29</v>
      </c>
      <c r="O3352" s="4" t="s">
        <v>24760</v>
      </c>
      <c r="P3352" s="4" t="s">
        <v>29</v>
      </c>
      <c r="Q3352" s="6"/>
      <c r="R3352" s="6"/>
      <c r="S3352" s="6"/>
      <c r="T3352" s="6"/>
      <c r="U3352" s="6"/>
      <c r="V3352" s="6"/>
      <c r="W3352" s="6"/>
      <c r="X3352" s="6"/>
      <c r="Y3352" s="6"/>
      <c r="Z3352" s="6"/>
      <c r="AA3352" s="6"/>
    </row>
    <row r="3353" ht="14.25">
      <c r="B3353" s="4" t="s">
        <v>2299</v>
      </c>
      <c r="C3353" s="4" t="s">
        <v>24761</v>
      </c>
      <c r="D3353" s="4" t="s">
        <v>24762</v>
      </c>
      <c r="E3353" s="4" t="s">
        <v>24763</v>
      </c>
      <c r="F3353" s="4" t="str">
        <f>IFERROR(__XLUDF.DUMMYFUNCTION("PROPER(REGEXREPLACE(D1069,""[^A-Za-z]+ "",""""))"),"Ta-Da")</f>
        <v>Ta-Da</v>
      </c>
      <c r="G3353" s="4" t="s">
        <v>24764</v>
      </c>
      <c r="H3353" s="4">
        <v>23</v>
      </c>
      <c r="I3353" s="4" t="s">
        <v>2602</v>
      </c>
      <c r="J3353" s="4"/>
      <c r="K3353" s="5" t="s">
        <v>24765</v>
      </c>
      <c r="L3353" s="5" t="s">
        <v>24766</v>
      </c>
      <c r="M3353" s="6"/>
      <c r="N3353" s="4" t="s">
        <v>29</v>
      </c>
      <c r="O3353" s="4" t="s">
        <v>22237</v>
      </c>
      <c r="P3353" s="4" t="s">
        <v>29</v>
      </c>
      <c r="Q3353" s="4" t="s">
        <v>24767</v>
      </c>
      <c r="R3353" s="6"/>
      <c r="S3353" s="6"/>
      <c r="T3353" s="6"/>
      <c r="U3353" s="6"/>
      <c r="V3353" s="6"/>
      <c r="W3353" s="6"/>
      <c r="X3353" s="6"/>
      <c r="Y3353" s="6"/>
      <c r="Z3353" s="6"/>
      <c r="AA3353" s="6"/>
    </row>
    <row r="3354" ht="14.25">
      <c r="B3354" s="4" t="s">
        <v>1160</v>
      </c>
      <c r="C3354" s="4" t="s">
        <v>24768</v>
      </c>
      <c r="D3354" s="4" t="s">
        <v>24769</v>
      </c>
      <c r="E3354" s="4" t="s">
        <v>24770</v>
      </c>
      <c r="F3354" s="4" t="str">
        <f>IFERROR(__XLUDF.DUMMYFUNCTION("PROPER(REGEXREPLACE(D1070,""[^A-Za-z]+ "",""""))"),"Whistcom")</f>
        <v>Whistcom</v>
      </c>
      <c r="G3354" s="4" t="s">
        <v>24771</v>
      </c>
      <c r="H3354" s="4">
        <v>21</v>
      </c>
      <c r="I3354" s="4" t="s">
        <v>5048</v>
      </c>
      <c r="J3354" s="4" t="str">
        <f>IFERROR(__XLUDF.DUMMYFUNCTION("VLOOKUP(H1070,IMPORTRANGE(""https://docs.google.com/spreadsheets/d/1opm6ZNvGZ7KditA9TuJwrZ25eFLfTNIkrNnY6mhV5Eg"",""list!A1:C115""),3,TRUE)"),"le secteur de la formation pro et du coaching")</f>
        <v xml:space="preserve">le secteur de la formation pro et du coaching</v>
      </c>
      <c r="K3354" s="5" t="s">
        <v>24772</v>
      </c>
      <c r="L3354" s="5" t="s">
        <v>24773</v>
      </c>
      <c r="M3354" s="4" t="s">
        <v>39</v>
      </c>
      <c r="N3354" s="4" t="s">
        <v>29</v>
      </c>
      <c r="O3354" s="4" t="s">
        <v>24774</v>
      </c>
      <c r="P3354" s="4" t="s">
        <v>29</v>
      </c>
      <c r="Q3354" s="4" t="s">
        <v>24775</v>
      </c>
      <c r="R3354" s="6"/>
      <c r="S3354" s="6"/>
      <c r="T3354" s="6"/>
      <c r="U3354" s="6"/>
      <c r="V3354" s="6"/>
      <c r="W3354" s="6"/>
      <c r="X3354" s="6"/>
      <c r="Y3354" s="6"/>
      <c r="Z3354" s="6"/>
      <c r="AA3354" s="6"/>
    </row>
    <row r="3355" ht="14.25">
      <c r="B3355" s="4" t="s">
        <v>5579</v>
      </c>
      <c r="C3355" s="4" t="s">
        <v>24776</v>
      </c>
      <c r="D3355" s="4" t="s">
        <v>62</v>
      </c>
      <c r="E3355" s="4" t="s">
        <v>24777</v>
      </c>
      <c r="F3355" s="4" t="str">
        <f>IFERROR(__XLUDF.DUMMYFUNCTION("PROPER(REGEXREPLACE(D1071,""[^A-Za-z]+ "",""""))"),"Cognitive Companions")</f>
        <v xml:space="preserve">Cognitive Companions</v>
      </c>
      <c r="G3355" s="4" t="s">
        <v>24778</v>
      </c>
      <c r="H3355" s="4">
        <v>13</v>
      </c>
      <c r="I3355" s="4" t="s">
        <v>4067</v>
      </c>
      <c r="J3355" s="4" t="str">
        <f>IFERROR(__XLUDF.DUMMYFUNCTION("VLOOKUP(H1071,IMPORTRANGE(""https://docs.google.com/spreadsheets/d/1opm6ZNvGZ7KditA9TuJwrZ25eFLfTNIkrNnY6mhV5Eg"",""list!A1:C115""),3,TRUE)"),"le secteur du conseil en management")</f>
        <v xml:space="preserve">le secteur du conseil en management</v>
      </c>
      <c r="K3355" s="5" t="s">
        <v>24779</v>
      </c>
      <c r="L3355" s="5" t="s">
        <v>24780</v>
      </c>
      <c r="M3355" s="4" t="s">
        <v>39</v>
      </c>
      <c r="N3355" s="4" t="s">
        <v>29</v>
      </c>
      <c r="O3355" s="4" t="s">
        <v>67</v>
      </c>
      <c r="P3355" s="4" t="s">
        <v>29</v>
      </c>
      <c r="Q3355" s="6"/>
      <c r="R3355" s="6"/>
      <c r="S3355" s="6"/>
      <c r="T3355" s="6"/>
      <c r="U3355" s="6"/>
      <c r="V3355" s="6"/>
      <c r="W3355" s="6"/>
      <c r="X3355" s="6"/>
      <c r="Y3355" s="6"/>
      <c r="Z3355" s="6"/>
      <c r="AA3355" s="6"/>
    </row>
    <row r="3356" ht="14.25">
      <c r="B3356" s="4" t="s">
        <v>255</v>
      </c>
      <c r="C3356" s="4" t="s">
        <v>24781</v>
      </c>
      <c r="D3356" s="4" t="s">
        <v>22057</v>
      </c>
      <c r="E3356" s="4" t="s">
        <v>24782</v>
      </c>
      <c r="F3356" s="4" t="str">
        <f>IFERROR(__XLUDF.DUMMYFUNCTION("PROPER(REGEXREPLACE(D1072,""[^A-Za-z]+ "",""""))"),"Scoplab")</f>
        <v>Scoplab</v>
      </c>
      <c r="G3356" s="4" t="s">
        <v>24783</v>
      </c>
      <c r="H3356" s="4">
        <v>21</v>
      </c>
      <c r="I3356" s="4" t="s">
        <v>2602</v>
      </c>
      <c r="J3356" s="4" t="str">
        <f>IFERROR(__XLUDF.DUMMYFUNCTION("VLOOKUP(H1072,IMPORTRANGE(""https://docs.google.com/spreadsheets/d/1opm6ZNvGZ7KditA9TuJwrZ25eFLfTNIkrNnY6mhV5Eg"",""list!A1:C115""),3,TRUE)"),"le secteur de la tech")</f>
        <v xml:space="preserve">le secteur de la tech</v>
      </c>
      <c r="K3356" s="5" t="s">
        <v>24784</v>
      </c>
      <c r="L3356" s="5" t="s">
        <v>24785</v>
      </c>
      <c r="M3356" s="6"/>
      <c r="N3356" s="4" t="s">
        <v>29</v>
      </c>
      <c r="O3356" s="4" t="s">
        <v>24786</v>
      </c>
      <c r="P3356" s="4" t="s">
        <v>29</v>
      </c>
      <c r="Q3356" s="4" t="s">
        <v>24787</v>
      </c>
      <c r="R3356" s="6"/>
      <c r="S3356" s="6"/>
      <c r="T3356" s="6"/>
      <c r="U3356" s="6"/>
      <c r="V3356" s="6"/>
      <c r="W3356" s="6"/>
      <c r="X3356" s="6"/>
      <c r="Y3356" s="6"/>
      <c r="Z3356" s="6"/>
      <c r="AA3356" s="6"/>
    </row>
    <row r="3357" ht="14.25">
      <c r="B3357" s="4" t="s">
        <v>5001</v>
      </c>
      <c r="C3357" s="4" t="s">
        <v>24788</v>
      </c>
      <c r="D3357" s="4" t="s">
        <v>5829</v>
      </c>
      <c r="E3357" s="4" t="s">
        <v>24789</v>
      </c>
      <c r="F3357" s="4" t="str">
        <f>IFERROR(__XLUDF.DUMMYFUNCTION("PROPER(REGEXREPLACE(D1073,""[^A-Za-z]+ "",""""))"),"Sitagri")</f>
        <v>Sitagri</v>
      </c>
      <c r="G3357" s="4" t="s">
        <v>24790</v>
      </c>
      <c r="H3357" s="4">
        <v>9</v>
      </c>
      <c r="I3357" s="4" t="s">
        <v>2602</v>
      </c>
      <c r="J3357" s="4"/>
      <c r="K3357" s="5" t="s">
        <v>24791</v>
      </c>
      <c r="L3357" s="5" t="s">
        <v>24792</v>
      </c>
      <c r="M3357" s="4" t="s">
        <v>39</v>
      </c>
      <c r="N3357" s="4" t="s">
        <v>29</v>
      </c>
      <c r="O3357" s="4" t="s">
        <v>7490</v>
      </c>
      <c r="P3357" s="4" t="s">
        <v>29</v>
      </c>
      <c r="Q3357" s="4" t="s">
        <v>24793</v>
      </c>
      <c r="R3357" s="6"/>
      <c r="S3357" s="6"/>
      <c r="T3357" s="6"/>
      <c r="U3357" s="6"/>
      <c r="V3357" s="6"/>
      <c r="W3357" s="6"/>
      <c r="X3357" s="6"/>
      <c r="Y3357" s="6"/>
      <c r="Z3357" s="6"/>
      <c r="AA3357" s="6"/>
    </row>
    <row r="3358" ht="14.25">
      <c r="B3358" s="4" t="s">
        <v>6634</v>
      </c>
      <c r="C3358" s="4" t="s">
        <v>24794</v>
      </c>
      <c r="D3358" s="4" t="s">
        <v>112</v>
      </c>
      <c r="E3358" s="4" t="s">
        <v>24795</v>
      </c>
      <c r="F3358" s="4" t="str">
        <f>IFERROR(__XLUDF.DUMMYFUNCTION("PROPER(REGEXREPLACE(D1074,""[^A-Za-z]+ "",""""))"),"Delta First ")</f>
        <v xml:space="preserve">Delta First </v>
      </c>
      <c r="G3358" s="4" t="s">
        <v>24796</v>
      </c>
      <c r="H3358" s="4">
        <v>14</v>
      </c>
      <c r="I3358" s="4" t="s">
        <v>2602</v>
      </c>
      <c r="J3358" s="4"/>
      <c r="K3358" s="5" t="s">
        <v>24797</v>
      </c>
      <c r="L3358" s="5" t="s">
        <v>24798</v>
      </c>
      <c r="M3358" s="4" t="s">
        <v>24799</v>
      </c>
      <c r="N3358" s="4" t="s">
        <v>29</v>
      </c>
      <c r="O3358" s="4" t="s">
        <v>24800</v>
      </c>
      <c r="P3358" s="4" t="s">
        <v>29</v>
      </c>
      <c r="Q3358" s="4" t="s">
        <v>24801</v>
      </c>
      <c r="R3358" s="6"/>
      <c r="S3358" s="6"/>
      <c r="T3358" s="6"/>
      <c r="U3358" s="6"/>
      <c r="V3358" s="6"/>
      <c r="W3358" s="6"/>
      <c r="X3358" s="6"/>
      <c r="Y3358" s="6"/>
      <c r="Z3358" s="6"/>
      <c r="AA3358" s="6"/>
    </row>
    <row r="3359" ht="14.25">
      <c r="B3359" s="4" t="s">
        <v>785</v>
      </c>
      <c r="C3359" s="4" t="s">
        <v>24802</v>
      </c>
      <c r="D3359" s="4" t="s">
        <v>24803</v>
      </c>
      <c r="E3359" s="4" t="s">
        <v>24802</v>
      </c>
      <c r="F3359" s="4" t="str">
        <f>IFERROR(__XLUDF.DUMMYFUNCTION("PROPER(REGEXREPLACE(D1075,""[^A-Za-z]+ "",""""))"),"7-Shapes")</f>
        <v>7-Shapes</v>
      </c>
      <c r="G3359" s="4" t="s">
        <v>24804</v>
      </c>
      <c r="H3359" s="4">
        <v>19</v>
      </c>
      <c r="I3359" s="4" t="s">
        <v>5048</v>
      </c>
      <c r="J3359" s="4" t="str">
        <f>IFERROR(__XLUDF.DUMMYFUNCTION("VLOOKUP(H1075,IMPORTRANGE(""https://docs.google.com/spreadsheets/d/1opm6ZNvGZ7KditA9TuJwrZ25eFLfTNIkrNnY6mhV5Eg"",""list!A1:C115""),3,TRUE)"),"le secteur de la formation pro et du coaching")</f>
        <v xml:space="preserve">le secteur de la formation pro et du coaching</v>
      </c>
      <c r="K3359" s="5" t="s">
        <v>24805</v>
      </c>
      <c r="L3359" s="5" t="s">
        <v>24806</v>
      </c>
      <c r="M3359" s="4" t="s">
        <v>6061</v>
      </c>
      <c r="N3359" s="4" t="s">
        <v>29</v>
      </c>
      <c r="O3359" s="4" t="s">
        <v>24807</v>
      </c>
      <c r="P3359" s="4" t="s">
        <v>29</v>
      </c>
      <c r="Q3359" s="4" t="s">
        <v>24808</v>
      </c>
      <c r="R3359" s="6"/>
      <c r="S3359" s="6"/>
      <c r="T3359" s="6"/>
      <c r="U3359" s="6"/>
      <c r="V3359" s="6"/>
      <c r="W3359" s="6"/>
      <c r="X3359" s="6"/>
      <c r="Y3359" s="6"/>
      <c r="Z3359" s="6"/>
      <c r="AA3359" s="6"/>
    </row>
    <row r="3360" ht="14.25">
      <c r="B3360" s="4" t="s">
        <v>118</v>
      </c>
      <c r="C3360" s="4" t="s">
        <v>24809</v>
      </c>
      <c r="D3360" s="4" t="s">
        <v>503</v>
      </c>
      <c r="E3360" s="4" t="s">
        <v>24810</v>
      </c>
      <c r="F3360" s="4" t="str">
        <f>IFERROR(__XLUDF.DUMMYFUNCTION("PROPER(REGEXREPLACE(D1076,""[^A-Za-z]+ "",""""))"),"Cad.42")</f>
        <v>Cad.42</v>
      </c>
      <c r="G3360" s="4" t="s">
        <v>24811</v>
      </c>
      <c r="H3360" s="4">
        <v>25</v>
      </c>
      <c r="I3360" s="4" t="s">
        <v>2602</v>
      </c>
      <c r="J3360" s="4"/>
      <c r="K3360" s="5" t="s">
        <v>24812</v>
      </c>
      <c r="L3360" s="5" t="s">
        <v>17887</v>
      </c>
      <c r="M3360" s="4" t="s">
        <v>39</v>
      </c>
      <c r="N3360" s="4" t="s">
        <v>29</v>
      </c>
      <c r="O3360" s="4" t="s">
        <v>611</v>
      </c>
      <c r="P3360" s="4" t="s">
        <v>29</v>
      </c>
      <c r="Q3360" s="4" t="s">
        <v>17888</v>
      </c>
      <c r="R3360" s="6"/>
      <c r="S3360" s="6"/>
      <c r="T3360" s="6"/>
      <c r="U3360" s="6"/>
      <c r="V3360" s="6"/>
      <c r="W3360" s="6"/>
      <c r="X3360" s="6"/>
      <c r="Y3360" s="6"/>
      <c r="Z3360" s="6"/>
      <c r="AA3360" s="6"/>
    </row>
    <row r="3361" ht="14.25">
      <c r="B3361" s="4" t="s">
        <v>24813</v>
      </c>
      <c r="C3361" s="4" t="s">
        <v>24814</v>
      </c>
      <c r="D3361" s="4" t="s">
        <v>87</v>
      </c>
      <c r="E3361" s="4" t="s">
        <v>24815</v>
      </c>
      <c r="F3361" s="4" t="str">
        <f>IFERROR(__XLUDF.DUMMYFUNCTION("PROPER(REGEXREPLACE(D1077,""[^A-Za-z]+ "",""""))"),"Ornidex")</f>
        <v>Ornidex</v>
      </c>
      <c r="G3361" s="4" t="s">
        <v>24816</v>
      </c>
      <c r="H3361" s="4">
        <v>15</v>
      </c>
      <c r="I3361" s="4" t="s">
        <v>2602</v>
      </c>
      <c r="J3361" s="4" t="str">
        <f>IFERROR(__XLUDF.DUMMYFUNCTION("VLOOKUP(H1077,IMPORTRANGE(""https://docs.google.com/spreadsheets/d/1opm6ZNvGZ7KditA9TuJwrZ25eFLfTNIkrNnY6mhV5Eg"",""list!A1:C115""),3,TRUE)"),"le secteur de la tech")</f>
        <v xml:space="preserve">le secteur de la tech</v>
      </c>
      <c r="K3361" s="5" t="s">
        <v>24817</v>
      </c>
      <c r="L3361" s="5" t="s">
        <v>24818</v>
      </c>
      <c r="M3361" s="4" t="s">
        <v>39</v>
      </c>
      <c r="N3361" s="4" t="s">
        <v>29</v>
      </c>
      <c r="O3361" s="4" t="s">
        <v>19317</v>
      </c>
      <c r="P3361" s="4" t="s">
        <v>29</v>
      </c>
      <c r="Q3361" s="4" t="s">
        <v>24819</v>
      </c>
      <c r="R3361" s="6"/>
      <c r="S3361" s="6"/>
      <c r="T3361" s="6"/>
      <c r="U3361" s="6"/>
      <c r="V3361" s="6"/>
      <c r="W3361" s="6"/>
      <c r="X3361" s="6"/>
      <c r="Y3361" s="6"/>
      <c r="Z3361" s="6"/>
      <c r="AA3361" s="6"/>
    </row>
    <row r="3362" ht="14.25">
      <c r="B3362" s="4" t="s">
        <v>76</v>
      </c>
      <c r="C3362" s="4" t="s">
        <v>24820</v>
      </c>
      <c r="D3362" s="4" t="s">
        <v>24821</v>
      </c>
      <c r="E3362" s="4" t="s">
        <v>24822</v>
      </c>
      <c r="F3362" s="4" t="str">
        <f>IFERROR(__XLUDF.DUMMYFUNCTION("PROPER(REGEXREPLACE(D1078,""[^A-Za-z]+ "",""""))"),"Antibia")</f>
        <v>Antibia</v>
      </c>
      <c r="G3362" s="4" t="s">
        <v>24823</v>
      </c>
      <c r="H3362" s="4">
        <v>19</v>
      </c>
      <c r="I3362" s="4" t="s">
        <v>2602</v>
      </c>
      <c r="J3362" s="4" t="str">
        <f>IFERROR(__XLUDF.DUMMYFUNCTION("VLOOKUP(H1078,IMPORTRANGE(""https://docs.google.com/spreadsheets/d/1opm6ZNvGZ7KditA9TuJwrZ25eFLfTNIkrNnY6mhV5Eg"",""list!A1:C115""),3,TRUE)"),"le secteur de la tech")</f>
        <v xml:space="preserve">le secteur de la tech</v>
      </c>
      <c r="K3362" s="5" t="s">
        <v>24824</v>
      </c>
      <c r="L3362" s="5" t="s">
        <v>24825</v>
      </c>
      <c r="M3362" s="4" t="s">
        <v>19696</v>
      </c>
      <c r="N3362" s="4" t="s">
        <v>29</v>
      </c>
      <c r="O3362" s="4" t="s">
        <v>24826</v>
      </c>
      <c r="P3362" s="4" t="s">
        <v>29</v>
      </c>
      <c r="Q3362" s="6"/>
      <c r="R3362" s="6"/>
      <c r="S3362" s="6"/>
      <c r="T3362" s="6"/>
      <c r="U3362" s="6"/>
      <c r="V3362" s="6"/>
      <c r="W3362" s="6"/>
      <c r="X3362" s="6"/>
      <c r="Y3362" s="6"/>
      <c r="Z3362" s="6"/>
      <c r="AA3362" s="6"/>
    </row>
    <row r="3363" ht="14.25">
      <c r="B3363" s="4" t="s">
        <v>874</v>
      </c>
      <c r="C3363" s="4" t="s">
        <v>24827</v>
      </c>
      <c r="D3363" s="4" t="s">
        <v>87</v>
      </c>
      <c r="E3363" s="4" t="s">
        <v>24828</v>
      </c>
      <c r="F3363" s="4" t="str">
        <f>IFERROR(__XLUDF.DUMMYFUNCTION("PROPER(REGEXREPLACE(D1079,""[^A-Za-z]+ "",""""))"),"Sharpstone")</f>
        <v>Sharpstone</v>
      </c>
      <c r="G3363" s="4" t="s">
        <v>24829</v>
      </c>
      <c r="H3363" s="4">
        <v>42</v>
      </c>
      <c r="I3363" s="4" t="s">
        <v>4067</v>
      </c>
      <c r="J3363" s="4"/>
      <c r="K3363" s="5" t="s">
        <v>24830</v>
      </c>
      <c r="L3363" s="5" t="s">
        <v>24831</v>
      </c>
      <c r="M3363" s="4" t="s">
        <v>39</v>
      </c>
      <c r="N3363" s="4" t="s">
        <v>29</v>
      </c>
      <c r="O3363" s="4" t="s">
        <v>24832</v>
      </c>
      <c r="P3363" s="4" t="s">
        <v>29</v>
      </c>
      <c r="Q3363" s="4" t="s">
        <v>24833</v>
      </c>
      <c r="R3363" s="6"/>
      <c r="S3363" s="6"/>
      <c r="T3363" s="6"/>
      <c r="U3363" s="6"/>
      <c r="V3363" s="6"/>
      <c r="W3363" s="6"/>
      <c r="X3363" s="6"/>
      <c r="Y3363" s="6"/>
      <c r="Z3363" s="6"/>
      <c r="AA3363" s="6"/>
    </row>
    <row r="3364" ht="14.25">
      <c r="B3364" s="4" t="s">
        <v>24834</v>
      </c>
      <c r="C3364" s="4" t="s">
        <v>24835</v>
      </c>
      <c r="D3364" s="4" t="s">
        <v>24836</v>
      </c>
      <c r="E3364" s="4" t="s">
        <v>24837</v>
      </c>
      <c r="F3364" s="4" t="str">
        <f>IFERROR(__XLUDF.DUMMYFUNCTION("PROPER(REGEXREPLACE(D1080,""[^A-Za-z]+ "",""""))"),"Uzaje")</f>
        <v>Uzaje</v>
      </c>
      <c r="G3364" s="4" t="s">
        <v>24838</v>
      </c>
      <c r="H3364" s="4">
        <v>38</v>
      </c>
      <c r="I3364" s="4" t="s">
        <v>4067</v>
      </c>
      <c r="J3364" s="4" t="str">
        <f>IFERROR(__XLUDF.DUMMYFUNCTION("VLOOKUP(H1080,IMPORTRANGE(""https://docs.google.com/spreadsheets/d/1opm6ZNvGZ7KditA9TuJwrZ25eFLfTNIkrNnY6mhV5Eg"",""list!A1:C115""),3,TRUE)"),"le secteur du conseil en management")</f>
        <v xml:space="preserve">le secteur du conseil en management</v>
      </c>
      <c r="K3364" s="5" t="s">
        <v>24839</v>
      </c>
      <c r="L3364" s="5" t="s">
        <v>24840</v>
      </c>
      <c r="M3364" s="4" t="s">
        <v>846</v>
      </c>
      <c r="N3364" s="4" t="s">
        <v>29</v>
      </c>
      <c r="O3364" s="4" t="s">
        <v>24841</v>
      </c>
      <c r="P3364" s="4" t="s">
        <v>29</v>
      </c>
      <c r="Q3364" s="4" t="s">
        <v>24842</v>
      </c>
      <c r="R3364" s="6"/>
      <c r="S3364" s="6"/>
      <c r="T3364" s="6"/>
      <c r="U3364" s="6"/>
      <c r="V3364" s="6"/>
      <c r="W3364" s="6"/>
      <c r="X3364" s="6"/>
      <c r="Y3364" s="6"/>
      <c r="Z3364" s="6"/>
      <c r="AA3364" s="6"/>
    </row>
    <row r="3365" ht="14.25">
      <c r="B3365" s="4" t="s">
        <v>322</v>
      </c>
      <c r="C3365" s="4" t="s">
        <v>24843</v>
      </c>
      <c r="D3365" s="4" t="s">
        <v>24844</v>
      </c>
      <c r="E3365" s="4" t="s">
        <v>24845</v>
      </c>
      <c r="F3365" s="4" t="str">
        <f>IFERROR(__XLUDF.DUMMYFUNCTION("PROPER(REGEXREPLACE(D1081,""[^A-Za-z]+ "",""""))"),"Ideance")</f>
        <v>Ideance</v>
      </c>
      <c r="G3365" s="4" t="s">
        <v>24846</v>
      </c>
      <c r="H3365" s="4">
        <v>15</v>
      </c>
      <c r="I3365" s="4" t="s">
        <v>2602</v>
      </c>
      <c r="J3365" s="4" t="str">
        <f>IFERROR(__XLUDF.DUMMYFUNCTION("VLOOKUP(H1081,IMPORTRANGE(""https://docs.google.com/spreadsheets/d/1opm6ZNvGZ7KditA9TuJwrZ25eFLfTNIkrNnY6mhV5Eg"",""list!A1:C115""),3,TRUE)"),"le secteur de la tech")</f>
        <v xml:space="preserve">le secteur de la tech</v>
      </c>
      <c r="K3365" s="5" t="s">
        <v>24847</v>
      </c>
      <c r="L3365" s="5" t="s">
        <v>24848</v>
      </c>
      <c r="M3365" s="4" t="s">
        <v>492</v>
      </c>
      <c r="N3365" s="4" t="s">
        <v>29</v>
      </c>
      <c r="O3365" s="4" t="s">
        <v>24849</v>
      </c>
      <c r="P3365" s="4" t="s">
        <v>29</v>
      </c>
      <c r="Q3365" s="4" t="s">
        <v>24850</v>
      </c>
      <c r="R3365" s="6"/>
      <c r="S3365" s="6"/>
      <c r="T3365" s="6"/>
      <c r="U3365" s="6"/>
      <c r="V3365" s="6"/>
      <c r="W3365" s="6"/>
      <c r="X3365" s="6"/>
      <c r="Y3365" s="6"/>
      <c r="Z3365" s="6"/>
      <c r="AA3365" s="6"/>
    </row>
    <row r="3366" ht="14.25">
      <c r="B3366" s="4" t="s">
        <v>3164</v>
      </c>
      <c r="C3366" s="4" t="s">
        <v>24851</v>
      </c>
      <c r="D3366" s="4" t="s">
        <v>24852</v>
      </c>
      <c r="E3366" s="4" t="s">
        <v>24853</v>
      </c>
      <c r="F3366" s="4" t="str">
        <f>IFERROR(__XLUDF.DUMMYFUNCTION("PROPER(REGEXREPLACE(D1082,""[^A-Za-z]+ "",""""))"),"Sesterce")</f>
        <v>Sesterce</v>
      </c>
      <c r="G3366" s="4" t="s">
        <v>24854</v>
      </c>
      <c r="H3366" s="4">
        <v>28</v>
      </c>
      <c r="I3366" s="4" t="s">
        <v>2602</v>
      </c>
      <c r="J3366" s="4"/>
      <c r="K3366" s="5" t="s">
        <v>24855</v>
      </c>
      <c r="L3366" s="5" t="s">
        <v>24856</v>
      </c>
      <c r="M3366" s="6"/>
      <c r="N3366" s="4" t="s">
        <v>29</v>
      </c>
      <c r="O3366" s="4" t="s">
        <v>24857</v>
      </c>
      <c r="P3366" s="4" t="s">
        <v>29</v>
      </c>
      <c r="Q3366" s="6"/>
      <c r="R3366" s="6"/>
      <c r="S3366" s="6"/>
      <c r="T3366" s="6"/>
      <c r="U3366" s="6"/>
      <c r="V3366" s="6"/>
      <c r="W3366" s="6"/>
      <c r="X3366" s="6"/>
      <c r="Y3366" s="6"/>
      <c r="Z3366" s="6"/>
      <c r="AA3366" s="6"/>
    </row>
    <row r="3367" ht="14.25">
      <c r="B3367" s="4" t="s">
        <v>330</v>
      </c>
      <c r="C3367" s="4" t="s">
        <v>24858</v>
      </c>
      <c r="D3367" s="4" t="s">
        <v>24859</v>
      </c>
      <c r="E3367" s="4" t="s">
        <v>24860</v>
      </c>
      <c r="F3367" s="4" t="str">
        <f>IFERROR(__XLUDF.DUMMYFUNCTION("PROPER(REGEXREPLACE(D1083,""[^A-Za-z]+ "",""""))"),"Agence Néno")</f>
        <v xml:space="preserve">Agence Néno</v>
      </c>
      <c r="G3367" s="4" t="s">
        <v>24861</v>
      </c>
      <c r="H3367" s="4">
        <v>41</v>
      </c>
      <c r="I3367" s="4" t="s">
        <v>9161</v>
      </c>
      <c r="J3367" s="4"/>
      <c r="K3367" s="5" t="s">
        <v>24862</v>
      </c>
      <c r="L3367" s="5" t="s">
        <v>24863</v>
      </c>
      <c r="M3367" s="6"/>
      <c r="N3367" s="4" t="s">
        <v>29</v>
      </c>
      <c r="O3367" s="4" t="s">
        <v>24864</v>
      </c>
      <c r="P3367" s="4" t="s">
        <v>29</v>
      </c>
      <c r="Q3367" s="6"/>
      <c r="R3367" s="6"/>
      <c r="S3367" s="6"/>
      <c r="T3367" s="6"/>
      <c r="U3367" s="6"/>
      <c r="V3367" s="6"/>
      <c r="W3367" s="6"/>
      <c r="X3367" s="6"/>
      <c r="Y3367" s="6"/>
      <c r="Z3367" s="6"/>
      <c r="AA3367" s="6"/>
    </row>
    <row r="3368" ht="14.25">
      <c r="B3368" s="4" t="s">
        <v>330</v>
      </c>
      <c r="C3368" s="4" t="s">
        <v>24865</v>
      </c>
      <c r="D3368" s="4" t="s">
        <v>172</v>
      </c>
      <c r="E3368" s="4" t="s">
        <v>24866</v>
      </c>
      <c r="F3368" s="4" t="str">
        <f>IFERROR(__XLUDF.DUMMYFUNCTION("PROPER(REGEXREPLACE(D1084,""[^A-Za-z]+ "",""""))"),"Habitat 70")</f>
        <v xml:space="preserve">Habitat 70</v>
      </c>
      <c r="G3368" s="4" t="s">
        <v>24867</v>
      </c>
      <c r="H3368" s="4">
        <v>47</v>
      </c>
      <c r="I3368" s="4" t="s">
        <v>4293</v>
      </c>
      <c r="J3368" s="4"/>
      <c r="K3368" s="5" t="s">
        <v>24868</v>
      </c>
      <c r="L3368" s="5" t="s">
        <v>24869</v>
      </c>
      <c r="M3368" s="4" t="s">
        <v>24870</v>
      </c>
      <c r="N3368" s="4" t="s">
        <v>29</v>
      </c>
      <c r="O3368" s="4" t="s">
        <v>24871</v>
      </c>
      <c r="P3368" s="4" t="s">
        <v>29</v>
      </c>
      <c r="Q3368" s="4" t="s">
        <v>24872</v>
      </c>
      <c r="R3368" s="6"/>
      <c r="S3368" s="6"/>
      <c r="T3368" s="6"/>
      <c r="U3368" s="6"/>
      <c r="V3368" s="6"/>
      <c r="W3368" s="6"/>
      <c r="X3368" s="6"/>
      <c r="Y3368" s="6"/>
      <c r="Z3368" s="6"/>
      <c r="AA3368" s="6"/>
    </row>
    <row r="3369" ht="14.25">
      <c r="B3369" s="4" t="s">
        <v>7559</v>
      </c>
      <c r="C3369" s="4" t="s">
        <v>24873</v>
      </c>
      <c r="D3369" s="4" t="s">
        <v>24874</v>
      </c>
      <c r="E3369" s="4" t="s">
        <v>17745</v>
      </c>
      <c r="F3369" s="4" t="str">
        <f>IFERROR(__XLUDF.DUMMYFUNCTION("PROPER(REGEXREPLACE(D1085,""[^A-Za-z]+ "",""""))"),"Global Concept")</f>
        <v xml:space="preserve">Global Concept</v>
      </c>
      <c r="G3369" s="4" t="s">
        <v>24875</v>
      </c>
      <c r="H3369" s="4">
        <v>16</v>
      </c>
      <c r="I3369" s="4" t="s">
        <v>9161</v>
      </c>
      <c r="J3369" s="4" t="str">
        <f>IFERROR(__XLUDF.DUMMYFUNCTION("VLOOKUP(H1085,IMPORTRANGE(""https://docs.google.com/spreadsheets/d/1opm6ZNvGZ7KditA9TuJwrZ25eFLfTNIkrNnY6mhV5Eg"",""list!A1:C115""),3,TRUE)"),"le secteur du marketing")</f>
        <v xml:space="preserve">le secteur du marketing</v>
      </c>
      <c r="K3369" s="5" t="s">
        <v>24876</v>
      </c>
      <c r="L3369" s="5" t="s">
        <v>18458</v>
      </c>
      <c r="M3369" s="4" t="s">
        <v>24877</v>
      </c>
      <c r="N3369" s="4" t="s">
        <v>29</v>
      </c>
      <c r="O3369" s="4" t="s">
        <v>24878</v>
      </c>
      <c r="P3369" s="4" t="s">
        <v>24879</v>
      </c>
      <c r="Q3369" s="6"/>
      <c r="R3369" s="6"/>
      <c r="S3369" s="6"/>
      <c r="T3369" s="6"/>
      <c r="U3369" s="6"/>
      <c r="V3369" s="6"/>
      <c r="W3369" s="6"/>
      <c r="X3369" s="6"/>
      <c r="Y3369" s="6"/>
      <c r="Z3369" s="6"/>
      <c r="AA3369" s="6"/>
    </row>
    <row r="3370" ht="14.25">
      <c r="B3370" s="4" t="s">
        <v>4800</v>
      </c>
      <c r="C3370" s="4" t="s">
        <v>24880</v>
      </c>
      <c r="D3370" s="4" t="s">
        <v>172</v>
      </c>
      <c r="E3370" s="4" t="s">
        <v>24881</v>
      </c>
      <c r="F3370" s="4" t="str">
        <f>IFERROR(__XLUDF.DUMMYFUNCTION("PROPER(REGEXREPLACE(D1086,""[^A-Za-z]+ "",""""))"),"Muvraline")</f>
        <v>Muvraline</v>
      </c>
      <c r="G3370" s="4" t="s">
        <v>24882</v>
      </c>
      <c r="H3370" s="4">
        <v>21</v>
      </c>
      <c r="I3370" s="4" t="s">
        <v>2602</v>
      </c>
      <c r="J3370" s="4" t="str">
        <f>IFERROR(__XLUDF.DUMMYFUNCTION("VLOOKUP(H1086,IMPORTRANGE(""https://docs.google.com/spreadsheets/d/1opm6ZNvGZ7KditA9TuJwrZ25eFLfTNIkrNnY6mhV5Eg"",""list!A1:C115""),3,TRUE)"),"le secteur de la tech")</f>
        <v xml:space="preserve">le secteur de la tech</v>
      </c>
      <c r="K3370" s="5" t="s">
        <v>24883</v>
      </c>
      <c r="L3370" s="5" t="s">
        <v>24884</v>
      </c>
      <c r="M3370" s="4" t="s">
        <v>39</v>
      </c>
      <c r="N3370" s="4" t="s">
        <v>29</v>
      </c>
      <c r="O3370" s="4" t="s">
        <v>67</v>
      </c>
      <c r="P3370" s="4" t="s">
        <v>29</v>
      </c>
      <c r="Q3370" s="4" t="s">
        <v>24885</v>
      </c>
      <c r="R3370" s="6"/>
      <c r="S3370" s="6"/>
      <c r="T3370" s="6"/>
      <c r="U3370" s="6"/>
      <c r="V3370" s="6"/>
      <c r="W3370" s="6"/>
      <c r="X3370" s="6"/>
      <c r="Y3370" s="6"/>
      <c r="Z3370" s="6"/>
      <c r="AA3370" s="6"/>
    </row>
    <row r="3371" ht="14.25">
      <c r="B3371" s="4" t="s">
        <v>24886</v>
      </c>
      <c r="C3371" s="4" t="s">
        <v>24887</v>
      </c>
      <c r="D3371" s="4" t="s">
        <v>22914</v>
      </c>
      <c r="E3371" s="4" t="s">
        <v>18334</v>
      </c>
      <c r="F3371" s="4" t="str">
        <f>IFERROR(__XLUDF.DUMMYFUNCTION("PROPER(REGEXREPLACE(D1087,""[^A-Za-z]+ "",""""))"),"Bonx")</f>
        <v>Bonx</v>
      </c>
      <c r="G3371" s="4" t="s">
        <v>24888</v>
      </c>
      <c r="H3371" s="4">
        <v>23</v>
      </c>
      <c r="I3371" s="4" t="s">
        <v>2602</v>
      </c>
      <c r="J3371" s="4" t="str">
        <f>IFERROR(__XLUDF.DUMMYFUNCTION("VLOOKUP(H1087,IMPORTRANGE(""https://docs.google.com/spreadsheets/d/1opm6ZNvGZ7KditA9TuJwrZ25eFLfTNIkrNnY6mhV5Eg"",""list!A1:C115""),3,TRUE)"),"le secteur de la tech")</f>
        <v xml:space="preserve">le secteur de la tech</v>
      </c>
      <c r="K3371" s="5" t="s">
        <v>24889</v>
      </c>
      <c r="L3371" s="5" t="s">
        <v>18337</v>
      </c>
      <c r="M3371" s="4" t="s">
        <v>39</v>
      </c>
      <c r="N3371" s="4" t="s">
        <v>29</v>
      </c>
      <c r="O3371" s="4" t="s">
        <v>346</v>
      </c>
      <c r="P3371" s="4" t="s">
        <v>29</v>
      </c>
      <c r="Q3371" s="4" t="s">
        <v>18338</v>
      </c>
      <c r="R3371" s="6"/>
      <c r="S3371" s="6"/>
      <c r="T3371" s="6"/>
      <c r="U3371" s="6"/>
      <c r="V3371" s="6"/>
      <c r="W3371" s="6"/>
      <c r="X3371" s="6"/>
      <c r="Y3371" s="6"/>
      <c r="Z3371" s="6"/>
      <c r="AA3371" s="6"/>
    </row>
    <row r="3372" ht="14.25">
      <c r="B3372" s="4" t="s">
        <v>4800</v>
      </c>
      <c r="C3372" s="4" t="s">
        <v>24890</v>
      </c>
      <c r="D3372" s="4" t="s">
        <v>172</v>
      </c>
      <c r="E3372" s="4" t="s">
        <v>24891</v>
      </c>
      <c r="F3372" s="4" t="str">
        <f>IFERROR(__XLUDF.DUMMYFUNCTION("PROPER(REGEXREPLACE(D1088,""[^A-Za-z]+ "",""""))"),"Onliz")</f>
        <v>Onliz</v>
      </c>
      <c r="G3372" s="4" t="s">
        <v>24892</v>
      </c>
      <c r="H3372" s="4">
        <v>15</v>
      </c>
      <c r="I3372" s="4" t="s">
        <v>4525</v>
      </c>
      <c r="J3372" s="4" t="str">
        <f>IFERROR(__XLUDF.DUMMYFUNCTION("VLOOKUP(H1088,IMPORTRANGE(""https://docs.google.com/spreadsheets/d/1opm6ZNvGZ7KditA9TuJwrZ25eFLfTNIkrNnY6mhV5Eg"",""list!A1:C115""),3,TRUE)"),"le secteur du retail")</f>
        <v xml:space="preserve">le secteur du retail</v>
      </c>
      <c r="K3372" s="5" t="s">
        <v>24893</v>
      </c>
      <c r="L3372" s="5" t="s">
        <v>24894</v>
      </c>
      <c r="M3372" s="4" t="s">
        <v>185</v>
      </c>
      <c r="N3372" s="4" t="s">
        <v>29</v>
      </c>
      <c r="O3372" s="4" t="s">
        <v>24895</v>
      </c>
      <c r="P3372" s="4" t="s">
        <v>29</v>
      </c>
      <c r="Q3372" s="4" t="s">
        <v>24896</v>
      </c>
      <c r="R3372" s="6"/>
      <c r="S3372" s="6"/>
      <c r="T3372" s="6"/>
      <c r="U3372" s="6"/>
      <c r="V3372" s="6"/>
      <c r="W3372" s="6"/>
      <c r="X3372" s="6"/>
      <c r="Y3372" s="6"/>
      <c r="Z3372" s="6"/>
      <c r="AA3372" s="6"/>
    </row>
    <row r="3373" ht="14.25">
      <c r="B3373" s="4" t="s">
        <v>2419</v>
      </c>
      <c r="C3373" s="4" t="s">
        <v>24897</v>
      </c>
      <c r="D3373" s="4" t="s">
        <v>172</v>
      </c>
      <c r="E3373" s="5" t="s">
        <v>24898</v>
      </c>
      <c r="F3373" s="4" t="str">
        <f>IFERROR(__XLUDF.DUMMYFUNCTION("PROPER(REGEXREPLACE(D1089,""[^A-Za-z]+ "",""""))"),"Software")</f>
        <v>Software</v>
      </c>
      <c r="G3373" s="4" t="s">
        <v>24899</v>
      </c>
      <c r="H3373" s="4">
        <v>35</v>
      </c>
      <c r="I3373" s="4" t="s">
        <v>2602</v>
      </c>
      <c r="J3373" s="4" t="str">
        <f>IFERROR(__XLUDF.DUMMYFUNCTION("VLOOKUP(H1089,IMPORTRANGE(""https://docs.google.com/spreadsheets/d/1opm6ZNvGZ7KditA9TuJwrZ25eFLfTNIkrNnY6mhV5Eg"",""list!A1:C115""),3,TRUE)"),"le secteur de la tech")</f>
        <v xml:space="preserve">le secteur de la tech</v>
      </c>
      <c r="K3373" s="5" t="s">
        <v>24900</v>
      </c>
      <c r="L3373" s="5" t="s">
        <v>24901</v>
      </c>
      <c r="M3373" s="4" t="s">
        <v>1711</v>
      </c>
      <c r="N3373" s="4" t="s">
        <v>29</v>
      </c>
      <c r="O3373" s="4" t="s">
        <v>24902</v>
      </c>
      <c r="P3373" s="4" t="s">
        <v>1261</v>
      </c>
      <c r="Q3373" s="4" t="s">
        <v>24903</v>
      </c>
      <c r="R3373" s="6"/>
      <c r="S3373" s="6"/>
      <c r="T3373" s="6"/>
      <c r="U3373" s="6"/>
      <c r="V3373" s="6"/>
      <c r="W3373" s="6"/>
      <c r="X3373" s="6"/>
      <c r="Y3373" s="6"/>
      <c r="Z3373" s="6"/>
      <c r="AA3373" s="6"/>
    </row>
    <row r="3374" ht="14.25">
      <c r="B3374" s="4" t="s">
        <v>1215</v>
      </c>
      <c r="C3374" s="4" t="s">
        <v>1442</v>
      </c>
      <c r="D3374" s="4" t="s">
        <v>15197</v>
      </c>
      <c r="E3374" s="4" t="s">
        <v>24904</v>
      </c>
      <c r="F3374" s="4" t="str">
        <f>IFERROR(__XLUDF.DUMMYFUNCTION("PROPER(REGEXREPLACE(D1090,""[^A-Za-z]+ "",""""))"),"Peritis")</f>
        <v>Peritis</v>
      </c>
      <c r="G3374" s="4" t="s">
        <v>24905</v>
      </c>
      <c r="H3374" s="4">
        <v>22</v>
      </c>
      <c r="I3374" s="4" t="s">
        <v>2602</v>
      </c>
      <c r="J3374" s="4"/>
      <c r="K3374" s="5" t="s">
        <v>24906</v>
      </c>
      <c r="L3374" s="5" t="s">
        <v>24907</v>
      </c>
      <c r="M3374" s="4" t="s">
        <v>1419</v>
      </c>
      <c r="N3374" s="4" t="s">
        <v>29</v>
      </c>
      <c r="O3374" s="4" t="s">
        <v>24908</v>
      </c>
      <c r="P3374" s="4" t="s">
        <v>29</v>
      </c>
      <c r="Q3374" s="6"/>
      <c r="R3374" s="6"/>
      <c r="S3374" s="6"/>
      <c r="T3374" s="6"/>
      <c r="U3374" s="6"/>
      <c r="V3374" s="6"/>
      <c r="W3374" s="6"/>
      <c r="X3374" s="6"/>
      <c r="Y3374" s="6"/>
      <c r="Z3374" s="6"/>
      <c r="AA3374" s="6"/>
    </row>
    <row r="3375" ht="14.25">
      <c r="B3375" s="4" t="s">
        <v>76</v>
      </c>
      <c r="C3375" s="4" t="s">
        <v>1667</v>
      </c>
      <c r="D3375" s="4" t="s">
        <v>247</v>
      </c>
      <c r="E3375" s="4" t="s">
        <v>14279</v>
      </c>
      <c r="F3375" s="4" t="str">
        <f>IFERROR(__XLUDF.DUMMYFUNCTION("PROPER(REGEXREPLACE(D1091,""[^A-Za-z]+ "",""""))"),"Tuleap")</f>
        <v>Tuleap</v>
      </c>
      <c r="G3375" s="4" t="s">
        <v>24909</v>
      </c>
      <c r="H3375" s="4">
        <v>20</v>
      </c>
      <c r="I3375" s="4" t="s">
        <v>2602</v>
      </c>
      <c r="J3375" s="4" t="str">
        <f>IFERROR(__XLUDF.DUMMYFUNCTION("VLOOKUP(H1091,IMPORTRANGE(""https://docs.google.com/spreadsheets/d/1opm6ZNvGZ7KditA9TuJwrZ25eFLfTNIkrNnY6mhV5Eg"",""list!A1:C115""),3,TRUE)"),"le secteur de la tech")</f>
        <v xml:space="preserve">le secteur de la tech</v>
      </c>
      <c r="K3375" s="5" t="s">
        <v>24910</v>
      </c>
      <c r="L3375" s="5" t="s">
        <v>24911</v>
      </c>
      <c r="M3375" s="6"/>
      <c r="N3375" s="4" t="s">
        <v>29</v>
      </c>
      <c r="O3375" s="4" t="s">
        <v>24912</v>
      </c>
      <c r="P3375" s="4" t="s">
        <v>29</v>
      </c>
      <c r="Q3375" s="4" t="s">
        <v>14285</v>
      </c>
      <c r="R3375" s="6"/>
      <c r="S3375" s="6"/>
      <c r="T3375" s="6"/>
      <c r="U3375" s="6"/>
      <c r="V3375" s="6"/>
      <c r="W3375" s="6"/>
      <c r="X3375" s="6"/>
      <c r="Y3375" s="6"/>
      <c r="Z3375" s="6"/>
      <c r="AA3375" s="6"/>
    </row>
    <row r="3376" ht="14.25">
      <c r="B3376" s="4" t="s">
        <v>5781</v>
      </c>
      <c r="C3376" s="4" t="s">
        <v>24913</v>
      </c>
      <c r="D3376" s="4" t="s">
        <v>97</v>
      </c>
      <c r="E3376" s="4" t="s">
        <v>24914</v>
      </c>
      <c r="F3376" s="4" t="str">
        <f>IFERROR(__XLUDF.DUMMYFUNCTION("PROPER(REGEXREPLACE(D1092,""[^A-Za-z]+ "",""""))"),"Tartib")</f>
        <v>Tartib</v>
      </c>
      <c r="G3376" s="4" t="s">
        <v>24915</v>
      </c>
      <c r="H3376" s="4">
        <v>13</v>
      </c>
      <c r="I3376" s="4" t="s">
        <v>9161</v>
      </c>
      <c r="J3376" s="4" t="str">
        <f>IFERROR(__XLUDF.DUMMYFUNCTION("VLOOKUP(H1092,IMPORTRANGE(""https://docs.google.com/spreadsheets/d/1opm6ZNvGZ7KditA9TuJwrZ25eFLfTNIkrNnY6mhV5Eg"",""list!A1:C115""),3,TRUE)"),"le secteur du marketing")</f>
        <v xml:space="preserve">le secteur du marketing</v>
      </c>
      <c r="K3376" s="5" t="s">
        <v>24916</v>
      </c>
      <c r="L3376" s="5" t="s">
        <v>24917</v>
      </c>
      <c r="M3376" s="4" t="s">
        <v>39</v>
      </c>
      <c r="N3376" s="4" t="s">
        <v>29</v>
      </c>
      <c r="O3376" s="4" t="s">
        <v>24918</v>
      </c>
      <c r="P3376" s="4" t="s">
        <v>24919</v>
      </c>
      <c r="Q3376" s="6"/>
      <c r="R3376" s="6"/>
      <c r="S3376" s="6"/>
      <c r="T3376" s="6"/>
      <c r="U3376" s="6"/>
      <c r="V3376" s="6"/>
      <c r="W3376" s="6"/>
      <c r="X3376" s="6"/>
      <c r="Y3376" s="6"/>
      <c r="Z3376" s="6"/>
      <c r="AA3376" s="6"/>
    </row>
    <row r="3377" ht="14.25">
      <c r="B3377" s="4" t="s">
        <v>24920</v>
      </c>
      <c r="C3377" s="4" t="s">
        <v>24921</v>
      </c>
      <c r="D3377" s="4" t="s">
        <v>87</v>
      </c>
      <c r="E3377" s="4" t="s">
        <v>24922</v>
      </c>
      <c r="F3377" s="4" t="str">
        <f>IFERROR(__XLUDF.DUMMYFUNCTION("PROPER(REGEXREPLACE(D1093,""[^A-Za-z]+ "",""""))"),"Ipenergy")</f>
        <v>Ipenergy</v>
      </c>
      <c r="G3377" s="4" t="s">
        <v>24923</v>
      </c>
      <c r="H3377" s="4">
        <v>10</v>
      </c>
      <c r="I3377" s="4" t="s">
        <v>2602</v>
      </c>
      <c r="J3377" s="4" t="str">
        <f>IFERROR(__XLUDF.DUMMYFUNCTION("VLOOKUP(H1093,IMPORTRANGE(""https://docs.google.com/spreadsheets/d/1opm6ZNvGZ7KditA9TuJwrZ25eFLfTNIkrNnY6mhV5Eg"",""list!A1:C115""),3,TRUE)"),"le secteur de la tech")</f>
        <v xml:space="preserve">le secteur de la tech</v>
      </c>
      <c r="K3377" s="5" t="s">
        <v>24924</v>
      </c>
      <c r="L3377" s="5" t="s">
        <v>24925</v>
      </c>
      <c r="M3377" s="4" t="s">
        <v>10009</v>
      </c>
      <c r="N3377" s="4" t="s">
        <v>29</v>
      </c>
      <c r="O3377" s="4" t="s">
        <v>24926</v>
      </c>
      <c r="P3377" s="4" t="s">
        <v>29</v>
      </c>
      <c r="Q3377" s="4" t="s">
        <v>24927</v>
      </c>
      <c r="R3377" s="6"/>
      <c r="S3377" s="6"/>
      <c r="T3377" s="6"/>
      <c r="U3377" s="6"/>
      <c r="V3377" s="6"/>
      <c r="W3377" s="6"/>
      <c r="X3377" s="6"/>
      <c r="Y3377" s="6"/>
      <c r="Z3377" s="6"/>
      <c r="AA3377" s="6"/>
    </row>
    <row r="3378" ht="14.25">
      <c r="B3378" s="4" t="s">
        <v>866</v>
      </c>
      <c r="C3378" s="4" t="s">
        <v>24928</v>
      </c>
      <c r="D3378" s="4" t="s">
        <v>9410</v>
      </c>
      <c r="E3378" s="4" t="s">
        <v>24929</v>
      </c>
      <c r="F3378" s="4" t="str">
        <f>IFERROR(__XLUDF.DUMMYFUNCTION("PROPER(REGEXREPLACE(D1094,""[^A-Za-z]+ "",""""))"),"Associés En Gouvernance")</f>
        <v xml:space="preserve">Associés En Gouvernance</v>
      </c>
      <c r="G3378" s="4" t="s">
        <v>24930</v>
      </c>
      <c r="H3378" s="4">
        <v>20</v>
      </c>
      <c r="I3378" s="4" t="s">
        <v>4067</v>
      </c>
      <c r="J3378" s="4"/>
      <c r="K3378" s="5" t="s">
        <v>24931</v>
      </c>
      <c r="L3378" s="5" t="s">
        <v>24932</v>
      </c>
      <c r="M3378" s="4" t="s">
        <v>39</v>
      </c>
      <c r="N3378" s="4" t="s">
        <v>29</v>
      </c>
      <c r="O3378" s="4" t="s">
        <v>24933</v>
      </c>
      <c r="P3378" s="4" t="s">
        <v>29</v>
      </c>
      <c r="Q3378" s="4" t="s">
        <v>24934</v>
      </c>
      <c r="R3378" s="6"/>
      <c r="S3378" s="6"/>
      <c r="T3378" s="6"/>
      <c r="U3378" s="6"/>
      <c r="V3378" s="6"/>
      <c r="W3378" s="6"/>
      <c r="X3378" s="6"/>
      <c r="Y3378" s="6"/>
      <c r="Z3378" s="6"/>
      <c r="AA3378" s="6"/>
    </row>
    <row r="3379" ht="14.25">
      <c r="B3379" s="4" t="s">
        <v>1704</v>
      </c>
      <c r="C3379" s="4" t="s">
        <v>24935</v>
      </c>
      <c r="D3379" s="4" t="s">
        <v>112</v>
      </c>
      <c r="E3379" s="4" t="s">
        <v>24936</v>
      </c>
      <c r="F3379" s="4" t="str">
        <f>IFERROR(__XLUDF.DUMMYFUNCTION("PROPER(REGEXREPLACE(D1095,""[^A-Za-z]+ "",""""))"),"Cebios")</f>
        <v>Cebios</v>
      </c>
      <c r="G3379" s="4" t="s">
        <v>24937</v>
      </c>
      <c r="H3379" s="4">
        <v>13</v>
      </c>
      <c r="I3379" s="4" t="s">
        <v>4067</v>
      </c>
      <c r="J3379" s="4" t="str">
        <f>IFERROR(__XLUDF.DUMMYFUNCTION("VLOOKUP(H1095,IMPORTRANGE(""https://docs.google.com/spreadsheets/d/1opm6ZNvGZ7KditA9TuJwrZ25eFLfTNIkrNnY6mhV5Eg"",""list!A1:C115""),3,TRUE)"),"le secteur du conseil en management")</f>
        <v xml:space="preserve">le secteur du conseil en management</v>
      </c>
      <c r="K3379" s="5" t="s">
        <v>24938</v>
      </c>
      <c r="L3379" s="5" t="s">
        <v>24939</v>
      </c>
      <c r="M3379" s="4" t="s">
        <v>11716</v>
      </c>
      <c r="N3379" s="4" t="s">
        <v>29</v>
      </c>
      <c r="O3379" s="4" t="s">
        <v>24940</v>
      </c>
      <c r="P3379" s="4" t="s">
        <v>29</v>
      </c>
      <c r="Q3379" s="4" t="s">
        <v>24941</v>
      </c>
      <c r="R3379" s="6"/>
      <c r="S3379" s="6"/>
      <c r="T3379" s="6"/>
      <c r="U3379" s="6"/>
      <c r="V3379" s="6"/>
      <c r="W3379" s="6"/>
      <c r="X3379" s="6"/>
      <c r="Y3379" s="6"/>
      <c r="Z3379" s="6"/>
      <c r="AA3379" s="6"/>
    </row>
    <row r="3380" ht="14.25">
      <c r="B3380" s="4" t="s">
        <v>24942</v>
      </c>
      <c r="C3380" s="4" t="s">
        <v>24943</v>
      </c>
      <c r="D3380" s="4" t="s">
        <v>24944</v>
      </c>
      <c r="E3380" s="4" t="s">
        <v>24945</v>
      </c>
      <c r="F3380" s="4" t="str">
        <f>IFERROR(__XLUDF.DUMMYFUNCTION("PROPER(REGEXREPLACE(D1096,""[^A-Za-z]+ "",""""))"),"Cloudspirit")</f>
        <v>Cloudspirit</v>
      </c>
      <c r="G3380" s="4" t="s">
        <v>24946</v>
      </c>
      <c r="H3380" s="4">
        <v>35</v>
      </c>
      <c r="I3380" s="4" t="s">
        <v>2602</v>
      </c>
      <c r="J3380" s="4"/>
      <c r="K3380" s="5" t="s">
        <v>24947</v>
      </c>
      <c r="L3380" s="5" t="s">
        <v>24948</v>
      </c>
      <c r="M3380" s="4" t="s">
        <v>39</v>
      </c>
      <c r="N3380" s="4" t="s">
        <v>29</v>
      </c>
      <c r="O3380" s="4" t="s">
        <v>20324</v>
      </c>
      <c r="P3380" s="4" t="s">
        <v>29</v>
      </c>
      <c r="Q3380" s="6"/>
      <c r="R3380" s="6"/>
      <c r="S3380" s="6"/>
      <c r="T3380" s="6"/>
      <c r="U3380" s="6"/>
      <c r="V3380" s="6"/>
      <c r="W3380" s="6"/>
      <c r="X3380" s="6"/>
      <c r="Y3380" s="6"/>
      <c r="Z3380" s="6"/>
      <c r="AA3380" s="6"/>
    </row>
    <row r="3381" ht="14.25">
      <c r="B3381" s="4" t="s">
        <v>24949</v>
      </c>
      <c r="C3381" s="4" t="s">
        <v>24950</v>
      </c>
      <c r="D3381" s="4" t="s">
        <v>24951</v>
      </c>
      <c r="E3381" s="4" t="s">
        <v>24952</v>
      </c>
      <c r="F3381" s="4" t="str">
        <f>IFERROR(__XLUDF.DUMMYFUNCTION("PROPER(REGEXREPLACE(D1097,""[^A-Za-z]+ "",""""))"),"Les Clefs De Chez Moi")</f>
        <v xml:space="preserve">Les Clefs De Chez Moi</v>
      </c>
      <c r="G3381" s="4" t="s">
        <v>24953</v>
      </c>
      <c r="H3381" s="4">
        <v>12</v>
      </c>
      <c r="I3381" s="4" t="s">
        <v>2602</v>
      </c>
      <c r="J3381" s="4" t="str">
        <f>IFERROR(__XLUDF.DUMMYFUNCTION("VLOOKUP(H1097,IMPORTRANGE(""https://docs.google.com/spreadsheets/d/1opm6ZNvGZ7KditA9TuJwrZ25eFLfTNIkrNnY6mhV5Eg"",""list!A1:C115""),3,TRUE)"),"le secteur de la tech")</f>
        <v xml:space="preserve">le secteur de la tech</v>
      </c>
      <c r="K3381" s="5" t="s">
        <v>24954</v>
      </c>
      <c r="L3381" s="5" t="s">
        <v>24955</v>
      </c>
      <c r="M3381" s="4" t="s">
        <v>5449</v>
      </c>
      <c r="N3381" s="4" t="s">
        <v>29</v>
      </c>
      <c r="O3381" s="4" t="s">
        <v>24956</v>
      </c>
      <c r="P3381" s="4" t="s">
        <v>29</v>
      </c>
      <c r="Q3381" s="4" t="s">
        <v>24957</v>
      </c>
      <c r="R3381" s="6"/>
      <c r="S3381" s="6"/>
      <c r="T3381" s="6"/>
      <c r="U3381" s="6"/>
      <c r="V3381" s="6"/>
      <c r="W3381" s="6"/>
      <c r="X3381" s="6"/>
      <c r="Y3381" s="6"/>
      <c r="Z3381" s="6"/>
      <c r="AA3381" s="6"/>
    </row>
    <row r="3382" ht="14.25">
      <c r="B3382" s="4" t="s">
        <v>24958</v>
      </c>
      <c r="C3382" s="4" t="s">
        <v>21234</v>
      </c>
      <c r="D3382" s="4" t="s">
        <v>172</v>
      </c>
      <c r="E3382" s="4" t="s">
        <v>24959</v>
      </c>
      <c r="F3382" s="4" t="str">
        <f>IFERROR(__XLUDF.DUMMYFUNCTION("PROPER(REGEXREPLACE(D1098,""[^A-Za-z]+ "",""""))"),"Sprint Pay Technology")</f>
        <v xml:space="preserve">Sprint Pay Technology</v>
      </c>
      <c r="G3382" s="4" t="s">
        <v>24960</v>
      </c>
      <c r="H3382" s="4">
        <v>36</v>
      </c>
      <c r="I3382" s="4" t="s">
        <v>2602</v>
      </c>
      <c r="J3382" s="4" t="str">
        <f>IFERROR(__XLUDF.DUMMYFUNCTION("VLOOKUP(H1098,IMPORTRANGE(""https://docs.google.com/spreadsheets/d/1opm6ZNvGZ7KditA9TuJwrZ25eFLfTNIkrNnY6mhV5Eg"",""list!A1:C115""),3,TRUE)"),"le secteur de la tech")</f>
        <v xml:space="preserve">le secteur de la tech</v>
      </c>
      <c r="K3382" s="5" t="s">
        <v>24961</v>
      </c>
      <c r="L3382" s="5" t="s">
        <v>24962</v>
      </c>
      <c r="M3382" s="4" t="s">
        <v>39</v>
      </c>
      <c r="N3382" s="4" t="s">
        <v>29</v>
      </c>
      <c r="O3382" s="4" t="s">
        <v>67</v>
      </c>
      <c r="P3382" s="4" t="s">
        <v>29</v>
      </c>
      <c r="Q3382" s="6"/>
      <c r="R3382" s="6"/>
      <c r="S3382" s="6"/>
      <c r="T3382" s="6"/>
      <c r="U3382" s="6"/>
      <c r="V3382" s="6"/>
      <c r="W3382" s="6"/>
      <c r="X3382" s="6"/>
      <c r="Y3382" s="6"/>
      <c r="Z3382" s="6"/>
      <c r="AA3382" s="6"/>
    </row>
    <row r="3383" ht="14.25">
      <c r="B3383" s="4" t="s">
        <v>245</v>
      </c>
      <c r="C3383" s="4" t="s">
        <v>24963</v>
      </c>
      <c r="D3383" s="4" t="s">
        <v>24964</v>
      </c>
      <c r="E3383" s="4" t="s">
        <v>24965</v>
      </c>
      <c r="F3383" s="4" t="str">
        <f>IFERROR(__XLUDF.DUMMYFUNCTION("PROPER(REGEXREPLACE(D1099,""[^A-Za-z]+ "",""""))"),"Yanomami")</f>
        <v>Yanomami</v>
      </c>
      <c r="G3383" s="4" t="s">
        <v>24966</v>
      </c>
      <c r="H3383" s="4">
        <v>10</v>
      </c>
      <c r="I3383" s="4" t="s">
        <v>4525</v>
      </c>
      <c r="J3383" s="4"/>
      <c r="K3383" s="5" t="s">
        <v>24967</v>
      </c>
      <c r="L3383" s="5" t="s">
        <v>24968</v>
      </c>
      <c r="M3383" s="4" t="s">
        <v>185</v>
      </c>
      <c r="N3383" s="4" t="s">
        <v>29</v>
      </c>
      <c r="O3383" s="4" t="s">
        <v>24969</v>
      </c>
      <c r="P3383" s="4" t="s">
        <v>29</v>
      </c>
      <c r="Q3383" s="4" t="s">
        <v>24970</v>
      </c>
      <c r="R3383" s="6"/>
      <c r="S3383" s="6"/>
      <c r="T3383" s="6"/>
      <c r="U3383" s="6"/>
      <c r="V3383" s="6"/>
      <c r="W3383" s="6"/>
      <c r="X3383" s="6"/>
      <c r="Y3383" s="6"/>
      <c r="Z3383" s="6"/>
      <c r="AA3383" s="6"/>
    </row>
    <row r="3384" ht="14.25">
      <c r="B3384" s="4" t="s">
        <v>8788</v>
      </c>
      <c r="C3384" s="4" t="s">
        <v>886</v>
      </c>
      <c r="D3384" s="4" t="s">
        <v>172</v>
      </c>
      <c r="E3384" s="4" t="s">
        <v>24971</v>
      </c>
      <c r="F3384" s="4" t="str">
        <f>IFERROR(__XLUDF.DUMMYFUNCTION("PROPER(REGEXREPLACE(D1100,""[^A-Za-z]+ "",""""))"),"Alesia Peinture")</f>
        <v xml:space="preserve">Alesia Peinture</v>
      </c>
      <c r="G3384" s="4" t="s">
        <v>24972</v>
      </c>
      <c r="H3384" s="4">
        <v>15</v>
      </c>
      <c r="I3384" s="4" t="s">
        <v>4525</v>
      </c>
      <c r="J3384" s="4" t="str">
        <f>IFERROR(__XLUDF.DUMMYFUNCTION("VLOOKUP(H1100,IMPORTRANGE(""https://docs.google.com/spreadsheets/d/1opm6ZNvGZ7KditA9TuJwrZ25eFLfTNIkrNnY6mhV5Eg"",""list!A1:C115""),3,TRUE)"),"le secteur du retail")</f>
        <v xml:space="preserve">le secteur du retail</v>
      </c>
      <c r="K3384" s="5" t="s">
        <v>24973</v>
      </c>
      <c r="L3384" s="5" t="s">
        <v>24974</v>
      </c>
      <c r="M3384" s="6"/>
      <c r="N3384" s="4" t="s">
        <v>29</v>
      </c>
      <c r="O3384" s="4" t="s">
        <v>24975</v>
      </c>
      <c r="P3384" s="4" t="s">
        <v>29</v>
      </c>
      <c r="Q3384" s="4" t="s">
        <v>24976</v>
      </c>
      <c r="R3384" s="6"/>
      <c r="S3384" s="6"/>
      <c r="T3384" s="6"/>
      <c r="U3384" s="6"/>
      <c r="V3384" s="6"/>
      <c r="W3384" s="6"/>
      <c r="X3384" s="6"/>
      <c r="Y3384" s="6"/>
      <c r="Z3384" s="6"/>
      <c r="AA3384" s="6"/>
    </row>
    <row r="3385" ht="14.25">
      <c r="B3385" s="4" t="s">
        <v>1596</v>
      </c>
      <c r="C3385" s="4" t="s">
        <v>24977</v>
      </c>
      <c r="D3385" s="4" t="s">
        <v>112</v>
      </c>
      <c r="E3385" s="4" t="s">
        <v>24978</v>
      </c>
      <c r="F3385" s="4" t="str">
        <f>IFERROR(__XLUDF.DUMMYFUNCTION("PROPER(REGEXREPLACE(D1101,""[^A-Za-z]+ "",""""))"),"Villelec")</f>
        <v>Villelec</v>
      </c>
      <c r="G3385" s="4" t="s">
        <v>24979</v>
      </c>
      <c r="H3385" s="4">
        <v>11</v>
      </c>
      <c r="I3385" s="4" t="s">
        <v>10215</v>
      </c>
      <c r="J3385" s="4" t="str">
        <f>IFERROR(__XLUDF.DUMMYFUNCTION("VLOOKUP(H1101,IMPORTRANGE(""https://docs.google.com/spreadsheets/d/1opm6ZNvGZ7KditA9TuJwrZ25eFLfTNIkrNnY6mhV5Eg"",""list!A1:C115""),3,TRUE)"),"le secteur de l'électrique et électronique")</f>
        <v xml:space="preserve">le secteur de l'électrique et électronique</v>
      </c>
      <c r="K3385" s="5" t="s">
        <v>24980</v>
      </c>
      <c r="L3385" s="5" t="s">
        <v>24981</v>
      </c>
      <c r="M3385" s="4" t="s">
        <v>24982</v>
      </c>
      <c r="N3385" s="4" t="s">
        <v>29</v>
      </c>
      <c r="O3385" s="4" t="s">
        <v>24983</v>
      </c>
      <c r="P3385" s="4" t="s">
        <v>29</v>
      </c>
      <c r="Q3385" s="6"/>
      <c r="R3385" s="6"/>
      <c r="S3385" s="6"/>
      <c r="T3385" s="6"/>
      <c r="U3385" s="6"/>
      <c r="V3385" s="6"/>
      <c r="W3385" s="6"/>
      <c r="X3385" s="6"/>
      <c r="Y3385" s="6"/>
      <c r="Z3385" s="6"/>
      <c r="AA3385" s="6"/>
    </row>
    <row r="3386" ht="14.25">
      <c r="B3386" s="4" t="s">
        <v>2720</v>
      </c>
      <c r="C3386" s="4" t="s">
        <v>24984</v>
      </c>
      <c r="D3386" s="4" t="s">
        <v>164</v>
      </c>
      <c r="E3386" s="4" t="s">
        <v>24985</v>
      </c>
      <c r="F3386" s="4" t="str">
        <f>IFERROR(__XLUDF.DUMMYFUNCTION("PROPER(REGEXREPLACE(D1102,""[^A-Za-z]+ "",""""))"),"Contactys")</f>
        <v>Contactys</v>
      </c>
      <c r="G3386" s="4" t="s">
        <v>24986</v>
      </c>
      <c r="H3386" s="4">
        <v>12</v>
      </c>
      <c r="I3386" s="4" t="s">
        <v>4067</v>
      </c>
      <c r="J3386" s="4"/>
      <c r="K3386" s="5" t="s">
        <v>24987</v>
      </c>
      <c r="L3386" s="5" t="s">
        <v>24988</v>
      </c>
      <c r="M3386" s="4" t="s">
        <v>24989</v>
      </c>
      <c r="N3386" s="4" t="s">
        <v>29</v>
      </c>
      <c r="O3386" s="4" t="s">
        <v>24990</v>
      </c>
      <c r="P3386" s="4" t="s">
        <v>29</v>
      </c>
      <c r="Q3386" s="4" t="s">
        <v>24991</v>
      </c>
      <c r="R3386" s="6"/>
      <c r="S3386" s="6"/>
      <c r="T3386" s="6"/>
      <c r="U3386" s="6"/>
      <c r="V3386" s="6"/>
      <c r="W3386" s="6"/>
      <c r="X3386" s="6"/>
      <c r="Y3386" s="6"/>
      <c r="Z3386" s="6"/>
      <c r="AA3386" s="6"/>
    </row>
    <row r="3387" ht="14.25">
      <c r="B3387" s="4" t="s">
        <v>4341</v>
      </c>
      <c r="C3387" s="4" t="s">
        <v>24992</v>
      </c>
      <c r="D3387" s="4" t="s">
        <v>172</v>
      </c>
      <c r="E3387" s="4" t="s">
        <v>24993</v>
      </c>
      <c r="F3387" s="4" t="str">
        <f>IFERROR(__XLUDF.DUMMYFUNCTION("PROPER(REGEXREPLACE(D1103,""[^A-Za-z]+ "",""""))"),"Geoptis")</f>
        <v>Geoptis</v>
      </c>
      <c r="G3387" s="4" t="s">
        <v>24994</v>
      </c>
      <c r="H3387" s="4">
        <v>42</v>
      </c>
      <c r="I3387" s="4" t="s">
        <v>2602</v>
      </c>
      <c r="J3387" s="4" t="str">
        <f>IFERROR(__XLUDF.DUMMYFUNCTION("VLOOKUP(H1103,IMPORTRANGE(""https://docs.google.com/spreadsheets/d/1opm6ZNvGZ7KditA9TuJwrZ25eFLfTNIkrNnY6mhV5Eg"",""list!A1:C115""),3,TRUE)"),"le secteur de la tech")</f>
        <v xml:space="preserve">le secteur de la tech</v>
      </c>
      <c r="K3387" s="5" t="s">
        <v>24995</v>
      </c>
      <c r="L3387" s="5" t="s">
        <v>24996</v>
      </c>
      <c r="M3387" s="4" t="s">
        <v>39</v>
      </c>
      <c r="N3387" s="4" t="s">
        <v>29</v>
      </c>
      <c r="O3387" s="4" t="s">
        <v>24997</v>
      </c>
      <c r="P3387" s="4" t="s">
        <v>29</v>
      </c>
      <c r="Q3387" s="4" t="s">
        <v>24998</v>
      </c>
      <c r="R3387" s="6"/>
      <c r="S3387" s="6"/>
      <c r="T3387" s="6"/>
      <c r="U3387" s="6"/>
      <c r="V3387" s="6"/>
      <c r="W3387" s="6"/>
      <c r="X3387" s="6"/>
      <c r="Y3387" s="6"/>
      <c r="Z3387" s="6"/>
      <c r="AA3387" s="6"/>
    </row>
    <row r="3388" ht="14.25">
      <c r="B3388" s="4" t="s">
        <v>1667</v>
      </c>
      <c r="C3388" s="4" t="s">
        <v>24999</v>
      </c>
      <c r="D3388" s="4" t="s">
        <v>25000</v>
      </c>
      <c r="E3388" s="4" t="s">
        <v>25001</v>
      </c>
      <c r="F3388" s="4" t="str">
        <f>IFERROR(__XLUDF.DUMMYFUNCTION("PROPER(REGEXREPLACE(D1104,""[^A-Za-z]+ "",""""))"),"Groupe Immalliance")</f>
        <v xml:space="preserve">Groupe Immalliance</v>
      </c>
      <c r="G3388" s="4" t="s">
        <v>25002</v>
      </c>
      <c r="H3388" s="4">
        <v>12</v>
      </c>
      <c r="I3388" s="4" t="s">
        <v>4293</v>
      </c>
      <c r="J3388" s="4"/>
      <c r="K3388" s="5" t="s">
        <v>25003</v>
      </c>
      <c r="L3388" s="5" t="s">
        <v>25004</v>
      </c>
      <c r="M3388" s="4" t="s">
        <v>295</v>
      </c>
      <c r="N3388" s="4" t="s">
        <v>29</v>
      </c>
      <c r="O3388" s="4" t="s">
        <v>19491</v>
      </c>
      <c r="P3388" s="4" t="s">
        <v>29</v>
      </c>
      <c r="Q3388" s="4" t="s">
        <v>25005</v>
      </c>
      <c r="R3388" s="6"/>
      <c r="S3388" s="6"/>
      <c r="T3388" s="6"/>
      <c r="U3388" s="6"/>
      <c r="V3388" s="6"/>
      <c r="W3388" s="6"/>
      <c r="X3388" s="6"/>
      <c r="Y3388" s="6"/>
      <c r="Z3388" s="6"/>
      <c r="AA3388" s="6"/>
    </row>
    <row r="3389" ht="14.25">
      <c r="B3389" s="4" t="s">
        <v>4800</v>
      </c>
      <c r="C3389" s="4" t="s">
        <v>25006</v>
      </c>
      <c r="D3389" s="4" t="s">
        <v>2911</v>
      </c>
      <c r="E3389" s="4" t="s">
        <v>25007</v>
      </c>
      <c r="F3389" s="4" t="str">
        <f>IFERROR(__XLUDF.DUMMYFUNCTION("PROPER(REGEXREPLACE(D1105,""[^A-Za-z]+ "",""""))"),"Masae Analytics")</f>
        <v xml:space="preserve">Masae Analytics</v>
      </c>
      <c r="G3389" s="4" t="s">
        <v>25008</v>
      </c>
      <c r="H3389" s="4">
        <v>13</v>
      </c>
      <c r="I3389" s="4" t="s">
        <v>2602</v>
      </c>
      <c r="J3389" s="4" t="str">
        <f>IFERROR(__XLUDF.DUMMYFUNCTION("VLOOKUP(H1105,IMPORTRANGE(""https://docs.google.com/spreadsheets/d/1opm6ZNvGZ7KditA9TuJwrZ25eFLfTNIkrNnY6mhV5Eg"",""list!A1:C115""),3,TRUE)"),"le secteur de la tech")</f>
        <v xml:space="preserve">le secteur de la tech</v>
      </c>
      <c r="K3389" s="5" t="s">
        <v>25009</v>
      </c>
      <c r="L3389" s="5" t="s">
        <v>25010</v>
      </c>
      <c r="M3389" s="4" t="s">
        <v>39</v>
      </c>
      <c r="N3389" s="4" t="s">
        <v>29</v>
      </c>
      <c r="O3389" s="4" t="s">
        <v>25011</v>
      </c>
      <c r="P3389" s="4" t="s">
        <v>29</v>
      </c>
      <c r="Q3389" s="4" t="s">
        <v>25012</v>
      </c>
      <c r="R3389" s="6"/>
      <c r="S3389" s="6"/>
      <c r="T3389" s="6"/>
      <c r="U3389" s="6"/>
      <c r="V3389" s="6"/>
      <c r="W3389" s="6"/>
      <c r="X3389" s="6"/>
      <c r="Y3389" s="6"/>
      <c r="Z3389" s="6"/>
      <c r="AA3389" s="6"/>
    </row>
    <row r="3390" ht="14.25">
      <c r="B3390" s="4" t="s">
        <v>2348</v>
      </c>
      <c r="C3390" s="4" t="s">
        <v>25013</v>
      </c>
      <c r="D3390" s="4" t="s">
        <v>468</v>
      </c>
      <c r="E3390" s="4" t="s">
        <v>25014</v>
      </c>
      <c r="F3390" s="4" t="str">
        <f>IFERROR(__XLUDF.DUMMYFUNCTION("PROPER(REGEXREPLACE(D1106,""[^A-Za-z]+ "",""""))"),"Absystech")</f>
        <v>Absystech</v>
      </c>
      <c r="G3390" s="4" t="s">
        <v>25015</v>
      </c>
      <c r="H3390" s="4">
        <v>18</v>
      </c>
      <c r="I3390" s="4" t="s">
        <v>2602</v>
      </c>
      <c r="J3390" s="4"/>
      <c r="K3390" s="5" t="s">
        <v>25016</v>
      </c>
      <c r="L3390" s="5" t="s">
        <v>25017</v>
      </c>
      <c r="M3390" s="4" t="s">
        <v>846</v>
      </c>
      <c r="N3390" s="4" t="s">
        <v>29</v>
      </c>
      <c r="O3390" s="4" t="s">
        <v>25018</v>
      </c>
      <c r="P3390" s="4" t="s">
        <v>29</v>
      </c>
      <c r="Q3390" s="4" t="s">
        <v>25019</v>
      </c>
      <c r="R3390" s="6"/>
      <c r="S3390" s="6"/>
      <c r="T3390" s="6"/>
      <c r="U3390" s="6"/>
      <c r="V3390" s="6"/>
      <c r="W3390" s="6"/>
      <c r="X3390" s="6"/>
      <c r="Y3390" s="6"/>
      <c r="Z3390" s="6"/>
      <c r="AA3390" s="6"/>
    </row>
    <row r="3391" ht="14.25">
      <c r="B3391" s="4" t="s">
        <v>1421</v>
      </c>
      <c r="C3391" s="4" t="s">
        <v>25020</v>
      </c>
      <c r="D3391" s="4" t="s">
        <v>3775</v>
      </c>
      <c r="E3391" s="4" t="s">
        <v>18562</v>
      </c>
      <c r="F3391" s="4" t="str">
        <f>IFERROR(__XLUDF.DUMMYFUNCTION("PROPER(REGEXREPLACE(D1107,""[^A-Za-z]+ "",""""))"),"Verdikt")</f>
        <v>Verdikt</v>
      </c>
      <c r="G3391" s="4" t="s">
        <v>25021</v>
      </c>
      <c r="H3391" s="4">
        <v>16</v>
      </c>
      <c r="I3391" s="4" t="s">
        <v>2602</v>
      </c>
      <c r="J3391" s="4"/>
      <c r="K3391" s="5" t="s">
        <v>25022</v>
      </c>
      <c r="L3391" s="5" t="s">
        <v>18565</v>
      </c>
      <c r="M3391" s="4" t="s">
        <v>39</v>
      </c>
      <c r="N3391" s="4" t="s">
        <v>29</v>
      </c>
      <c r="O3391" s="4" t="s">
        <v>18566</v>
      </c>
      <c r="P3391" s="4" t="s">
        <v>29</v>
      </c>
      <c r="Q3391" s="4" t="s">
        <v>18567</v>
      </c>
      <c r="R3391" s="6"/>
      <c r="S3391" s="6"/>
      <c r="T3391" s="6"/>
      <c r="U3391" s="6"/>
      <c r="V3391" s="6"/>
      <c r="W3391" s="6"/>
      <c r="X3391" s="6"/>
      <c r="Y3391" s="6"/>
      <c r="Z3391" s="6"/>
      <c r="AA3391" s="6"/>
    </row>
    <row r="3392" ht="14.25">
      <c r="B3392" s="4" t="s">
        <v>485</v>
      </c>
      <c r="C3392" s="4" t="s">
        <v>25023</v>
      </c>
      <c r="D3392" s="4" t="s">
        <v>172</v>
      </c>
      <c r="E3392" s="4" t="s">
        <v>25024</v>
      </c>
      <c r="F3392" s="4" t="str">
        <f>IFERROR(__XLUDF.DUMMYFUNCTION("PROPER(REGEXREPLACE(D1108,""[^A-Za-z]+ "",""""))"),"Saveur Express'O")</f>
        <v xml:space="preserve">Saveur Express'O</v>
      </c>
      <c r="G3392" s="4" t="s">
        <v>25025</v>
      </c>
      <c r="H3392" s="4">
        <v>13</v>
      </c>
      <c r="I3392" s="4" t="s">
        <v>4525</v>
      </c>
      <c r="J3392" s="4"/>
      <c r="K3392" s="5" t="s">
        <v>25026</v>
      </c>
      <c r="L3392" s="5" t="s">
        <v>25027</v>
      </c>
      <c r="M3392" s="4" t="s">
        <v>185</v>
      </c>
      <c r="N3392" s="4" t="s">
        <v>29</v>
      </c>
      <c r="O3392" s="4" t="s">
        <v>25028</v>
      </c>
      <c r="P3392" s="4" t="s">
        <v>29</v>
      </c>
      <c r="Q3392" s="4" t="s">
        <v>25029</v>
      </c>
      <c r="R3392" s="6"/>
      <c r="S3392" s="6"/>
      <c r="T3392" s="6"/>
      <c r="U3392" s="6"/>
      <c r="V3392" s="6"/>
      <c r="W3392" s="6"/>
      <c r="X3392" s="6"/>
      <c r="Y3392" s="6"/>
      <c r="Z3392" s="6"/>
      <c r="AA3392" s="6"/>
    </row>
    <row r="3393" ht="14.25">
      <c r="B3393" s="4" t="s">
        <v>1454</v>
      </c>
      <c r="C3393" s="4" t="s">
        <v>25030</v>
      </c>
      <c r="D3393" s="4" t="s">
        <v>22640</v>
      </c>
      <c r="E3393" s="4" t="s">
        <v>25031</v>
      </c>
      <c r="F3393" s="4" t="str">
        <f>IFERROR(__XLUDF.DUMMYFUNCTION("PROPER(REGEXREPLACE(D1109,""[^A-Za-z]+ "",""""))"),"Ndo Digital")</f>
        <v xml:space="preserve">Ndo Digital</v>
      </c>
      <c r="G3393" s="4" t="s">
        <v>25032</v>
      </c>
      <c r="H3393" s="4">
        <v>10</v>
      </c>
      <c r="I3393" s="4" t="s">
        <v>9161</v>
      </c>
      <c r="J3393" s="4" t="str">
        <f>IFERROR(__XLUDF.DUMMYFUNCTION("VLOOKUP(H1109,IMPORTRANGE(""https://docs.google.com/spreadsheets/d/1opm6ZNvGZ7KditA9TuJwrZ25eFLfTNIkrNnY6mhV5Eg"",""list!A1:C115""),3,TRUE)"),"le secteur du marketing")</f>
        <v xml:space="preserve">le secteur du marketing</v>
      </c>
      <c r="K3393" s="5" t="s">
        <v>25033</v>
      </c>
      <c r="L3393" s="5" t="s">
        <v>25034</v>
      </c>
      <c r="M3393" s="4" t="s">
        <v>39</v>
      </c>
      <c r="N3393" s="4" t="s">
        <v>29</v>
      </c>
      <c r="O3393" s="4" t="s">
        <v>546</v>
      </c>
      <c r="P3393" s="4" t="s">
        <v>29</v>
      </c>
      <c r="Q3393" s="4" t="s">
        <v>25035</v>
      </c>
      <c r="R3393" s="6"/>
      <c r="S3393" s="6"/>
      <c r="T3393" s="6"/>
      <c r="U3393" s="6"/>
      <c r="V3393" s="6"/>
      <c r="W3393" s="6"/>
      <c r="X3393" s="6"/>
      <c r="Y3393" s="6"/>
      <c r="Z3393" s="6"/>
      <c r="AA3393" s="6"/>
    </row>
    <row r="3394" ht="14.25">
      <c r="B3394" s="4" t="s">
        <v>25036</v>
      </c>
      <c r="C3394" s="4" t="s">
        <v>25037</v>
      </c>
      <c r="D3394" s="4" t="s">
        <v>2645</v>
      </c>
      <c r="E3394" s="4" t="s">
        <v>25038</v>
      </c>
      <c r="F3394" s="4" t="str">
        <f>IFERROR(__XLUDF.DUMMYFUNCTION("PROPER(REGEXREPLACE(D1110,""[^A-Za-z]+ "",""""))"),"Impact Confiance")</f>
        <v xml:space="preserve">Impact Confiance</v>
      </c>
      <c r="G3394" s="4" t="s">
        <v>25039</v>
      </c>
      <c r="H3394" s="4">
        <v>12</v>
      </c>
      <c r="I3394" s="4" t="s">
        <v>4067</v>
      </c>
      <c r="J3394" s="4"/>
      <c r="K3394" s="5" t="s">
        <v>25040</v>
      </c>
      <c r="L3394" s="5" t="s">
        <v>25041</v>
      </c>
      <c r="M3394" s="4" t="s">
        <v>39</v>
      </c>
      <c r="N3394" s="4" t="s">
        <v>29</v>
      </c>
      <c r="O3394" s="4" t="s">
        <v>25042</v>
      </c>
      <c r="P3394" s="4" t="s">
        <v>29</v>
      </c>
      <c r="Q3394" s="4" t="s">
        <v>25043</v>
      </c>
      <c r="R3394" s="6"/>
      <c r="S3394" s="6"/>
      <c r="T3394" s="6"/>
      <c r="U3394" s="6"/>
      <c r="V3394" s="6"/>
      <c r="W3394" s="6"/>
      <c r="X3394" s="6"/>
      <c r="Y3394" s="6"/>
      <c r="Z3394" s="6"/>
      <c r="AA3394" s="6"/>
    </row>
    <row r="3395" ht="14.25">
      <c r="B3395" s="4" t="s">
        <v>1732</v>
      </c>
      <c r="C3395" s="4" t="s">
        <v>10222</v>
      </c>
      <c r="D3395" s="4" t="s">
        <v>230</v>
      </c>
      <c r="E3395" s="4" t="s">
        <v>25044</v>
      </c>
      <c r="F3395" s="4" t="str">
        <f>IFERROR(__XLUDF.DUMMYFUNCTION("PROPER(REGEXREPLACE(D1111,""[^A-Za-z]+ "",""""))"),"Vr Consulting")</f>
        <v xml:space="preserve">Vr Consulting</v>
      </c>
      <c r="G3395" s="4" t="s">
        <v>25045</v>
      </c>
      <c r="H3395" s="4">
        <v>10</v>
      </c>
      <c r="I3395" s="4" t="s">
        <v>4067</v>
      </c>
      <c r="J3395" s="4"/>
      <c r="K3395" s="5" t="s">
        <v>25046</v>
      </c>
      <c r="L3395" s="5" t="s">
        <v>25047</v>
      </c>
      <c r="M3395" s="4" t="s">
        <v>39</v>
      </c>
      <c r="N3395" s="4" t="s">
        <v>29</v>
      </c>
      <c r="O3395" s="4" t="s">
        <v>67</v>
      </c>
      <c r="P3395" s="4" t="s">
        <v>29</v>
      </c>
      <c r="Q3395" s="4" t="s">
        <v>25048</v>
      </c>
      <c r="R3395" s="6"/>
      <c r="S3395" s="6"/>
      <c r="T3395" s="6"/>
      <c r="U3395" s="6"/>
      <c r="V3395" s="6"/>
      <c r="W3395" s="6"/>
      <c r="X3395" s="6"/>
      <c r="Y3395" s="6"/>
      <c r="Z3395" s="6"/>
      <c r="AA3395" s="6"/>
    </row>
    <row r="3396" ht="14.25">
      <c r="B3396" s="4" t="s">
        <v>76</v>
      </c>
      <c r="C3396" s="4" t="s">
        <v>25049</v>
      </c>
      <c r="D3396" s="4" t="s">
        <v>112</v>
      </c>
      <c r="E3396" s="4" t="s">
        <v>25050</v>
      </c>
      <c r="F3396" s="4" t="str">
        <f>IFERROR(__XLUDF.DUMMYFUNCTION("PROPER(REGEXREPLACE(D1112,""[^A-Za-z]+ "",""""))"),"Emergence")</f>
        <v>Emergence</v>
      </c>
      <c r="G3396" s="4" t="s">
        <v>25051</v>
      </c>
      <c r="H3396" s="4">
        <v>27</v>
      </c>
      <c r="I3396" s="4" t="s">
        <v>9161</v>
      </c>
      <c r="J3396" s="4" t="str">
        <f>IFERROR(__XLUDF.DUMMYFUNCTION("VLOOKUP(H1112,IMPORTRANGE(""https://docs.google.com/spreadsheets/d/1opm6ZNvGZ7KditA9TuJwrZ25eFLfTNIkrNnY6mhV5Eg"",""list!A1:C115""),3,TRUE)"),"le secteur du marketing")</f>
        <v xml:space="preserve">le secteur du marketing</v>
      </c>
      <c r="K3396" s="5" t="s">
        <v>25052</v>
      </c>
      <c r="L3396" s="5" t="s">
        <v>25053</v>
      </c>
      <c r="M3396" s="4" t="s">
        <v>39</v>
      </c>
      <c r="N3396" s="4" t="s">
        <v>29</v>
      </c>
      <c r="O3396" s="4" t="s">
        <v>25054</v>
      </c>
      <c r="P3396" s="4" t="s">
        <v>23793</v>
      </c>
      <c r="Q3396" s="6"/>
      <c r="R3396" s="6"/>
      <c r="S3396" s="6"/>
      <c r="T3396" s="6"/>
      <c r="U3396" s="6"/>
      <c r="V3396" s="6"/>
      <c r="W3396" s="6"/>
      <c r="X3396" s="6"/>
      <c r="Y3396" s="6"/>
      <c r="Z3396" s="6"/>
      <c r="AA3396" s="6"/>
    </row>
    <row r="3397" ht="14.25">
      <c r="B3397" s="4" t="s">
        <v>1421</v>
      </c>
      <c r="C3397" s="4" t="s">
        <v>25055</v>
      </c>
      <c r="D3397" s="4" t="s">
        <v>25056</v>
      </c>
      <c r="E3397" s="4" t="s">
        <v>25057</v>
      </c>
      <c r="F3397" s="4" t="str">
        <f>IFERROR(__XLUDF.DUMMYFUNCTION("PROPER(REGEXREPLACE(D1113,""[^A-Za-z]+ "",""""))"),"Media Création")</f>
        <v xml:space="preserve">Media Création</v>
      </c>
      <c r="G3397" s="4" t="s">
        <v>25058</v>
      </c>
      <c r="H3397" s="4">
        <v>13</v>
      </c>
      <c r="I3397" s="4" t="s">
        <v>9161</v>
      </c>
      <c r="J3397" s="4"/>
      <c r="K3397" s="5" t="s">
        <v>25059</v>
      </c>
      <c r="L3397" s="5" t="s">
        <v>25060</v>
      </c>
      <c r="M3397" s="4" t="s">
        <v>7883</v>
      </c>
      <c r="N3397" s="4" t="s">
        <v>29</v>
      </c>
      <c r="O3397" s="4" t="s">
        <v>25061</v>
      </c>
      <c r="P3397" s="4" t="s">
        <v>29</v>
      </c>
      <c r="Q3397" s="4" t="s">
        <v>25062</v>
      </c>
      <c r="R3397" s="6"/>
      <c r="S3397" s="6"/>
      <c r="T3397" s="6"/>
      <c r="U3397" s="6"/>
      <c r="V3397" s="6"/>
      <c r="W3397" s="6"/>
      <c r="X3397" s="6"/>
      <c r="Y3397" s="6"/>
      <c r="Z3397" s="6"/>
      <c r="AA3397" s="6"/>
    </row>
    <row r="3398" ht="14.25">
      <c r="B3398" s="4" t="s">
        <v>1387</v>
      </c>
      <c r="C3398" s="4" t="s">
        <v>25063</v>
      </c>
      <c r="D3398" s="4" t="s">
        <v>62</v>
      </c>
      <c r="E3398" s="4" t="s">
        <v>25064</v>
      </c>
      <c r="F3398" s="4" t="str">
        <f>IFERROR(__XLUDF.DUMMYFUNCTION("PROPER(REGEXREPLACE(D1114,""[^A-Za-z]+ "",""""))"),"Gyfti")</f>
        <v>Gyfti</v>
      </c>
      <c r="G3398" s="4" t="s">
        <v>25065</v>
      </c>
      <c r="H3398" s="4">
        <v>18</v>
      </c>
      <c r="I3398" s="4" t="s">
        <v>2602</v>
      </c>
      <c r="J3398" s="4"/>
      <c r="K3398" s="5" t="s">
        <v>25066</v>
      </c>
      <c r="L3398" s="5" t="s">
        <v>25067</v>
      </c>
      <c r="M3398" s="4" t="s">
        <v>39</v>
      </c>
      <c r="N3398" s="4" t="s">
        <v>29</v>
      </c>
      <c r="O3398" s="4" t="s">
        <v>67</v>
      </c>
      <c r="P3398" s="4" t="s">
        <v>29</v>
      </c>
      <c r="Q3398" s="4" t="s">
        <v>25068</v>
      </c>
      <c r="R3398" s="6"/>
      <c r="S3398" s="6"/>
      <c r="T3398" s="6"/>
      <c r="U3398" s="6"/>
      <c r="V3398" s="6"/>
      <c r="W3398" s="6"/>
      <c r="X3398" s="6"/>
      <c r="Y3398" s="6"/>
      <c r="Z3398" s="6"/>
      <c r="AA3398" s="6"/>
    </row>
    <row r="3399" ht="14.25">
      <c r="B3399" s="4" t="s">
        <v>25069</v>
      </c>
      <c r="C3399" s="4" t="s">
        <v>25070</v>
      </c>
      <c r="D3399" s="4" t="s">
        <v>2645</v>
      </c>
      <c r="E3399" s="4" t="s">
        <v>25071</v>
      </c>
      <c r="F3399" s="4" t="str">
        <f>IFERROR(__XLUDF.DUMMYFUNCTION("PROPER(REGEXREPLACE(D1115,""[^A-Za-z]+ "",""""))"),"Ideme")</f>
        <v>Ideme</v>
      </c>
      <c r="G3399" s="4" t="s">
        <v>25072</v>
      </c>
      <c r="H3399" s="4">
        <v>17</v>
      </c>
      <c r="I3399" s="4" t="s">
        <v>4067</v>
      </c>
      <c r="J3399" s="4"/>
      <c r="K3399" s="5" t="s">
        <v>25073</v>
      </c>
      <c r="L3399" s="5" t="s">
        <v>25074</v>
      </c>
      <c r="M3399" s="4" t="s">
        <v>185</v>
      </c>
      <c r="N3399" s="4" t="s">
        <v>29</v>
      </c>
      <c r="O3399" s="4" t="s">
        <v>1283</v>
      </c>
      <c r="P3399" s="4" t="s">
        <v>29</v>
      </c>
      <c r="Q3399" s="4" t="s">
        <v>25075</v>
      </c>
      <c r="R3399" s="6"/>
      <c r="S3399" s="6"/>
      <c r="T3399" s="6"/>
      <c r="U3399" s="6"/>
      <c r="V3399" s="6"/>
      <c r="W3399" s="6"/>
      <c r="X3399" s="6"/>
      <c r="Y3399" s="6"/>
      <c r="Z3399" s="6"/>
      <c r="AA3399" s="6"/>
    </row>
    <row r="3400" ht="14.25">
      <c r="B3400" s="4" t="s">
        <v>1215</v>
      </c>
      <c r="C3400" s="4" t="s">
        <v>1572</v>
      </c>
      <c r="D3400" s="4" t="s">
        <v>315</v>
      </c>
      <c r="E3400" s="4" t="s">
        <v>25076</v>
      </c>
      <c r="F3400" s="4" t="str">
        <f>IFERROR(__XLUDF.DUMMYFUNCTION("PROPER(REGEXREPLACE(D1116,""[^A-Za-z]+ "",""""))"),"Bisom")</f>
        <v>Bisom</v>
      </c>
      <c r="G3400" s="4" t="s">
        <v>25077</v>
      </c>
      <c r="H3400" s="4">
        <v>11</v>
      </c>
      <c r="I3400" s="4" t="s">
        <v>2602</v>
      </c>
      <c r="J3400" s="4"/>
      <c r="K3400" s="5" t="s">
        <v>25078</v>
      </c>
      <c r="L3400" s="5" t="s">
        <v>25079</v>
      </c>
      <c r="M3400" s="4" t="s">
        <v>846</v>
      </c>
      <c r="N3400" s="4" t="s">
        <v>29</v>
      </c>
      <c r="O3400" s="4" t="s">
        <v>856</v>
      </c>
      <c r="P3400" s="4" t="s">
        <v>29</v>
      </c>
      <c r="Q3400" s="6"/>
      <c r="R3400" s="6"/>
      <c r="S3400" s="6"/>
      <c r="T3400" s="6"/>
      <c r="U3400" s="6"/>
      <c r="V3400" s="6"/>
      <c r="W3400" s="6"/>
      <c r="X3400" s="6"/>
      <c r="Y3400" s="6"/>
      <c r="Z3400" s="6"/>
      <c r="AA3400" s="6"/>
    </row>
    <row r="3401" ht="14.25">
      <c r="B3401" s="4" t="s">
        <v>255</v>
      </c>
      <c r="C3401" s="4" t="s">
        <v>25080</v>
      </c>
      <c r="D3401" s="4" t="s">
        <v>2266</v>
      </c>
      <c r="E3401" s="4" t="s">
        <v>25081</v>
      </c>
      <c r="F3401" s="4" t="str">
        <f>IFERROR(__XLUDF.DUMMYFUNCTION("PROPER(REGEXREPLACE(D1117,""[^A-Za-z]+ "",""""))"),"Connecting Sell")</f>
        <v xml:space="preserve">Connecting Sell</v>
      </c>
      <c r="G3401" s="4" t="s">
        <v>25082</v>
      </c>
      <c r="H3401" s="4">
        <v>12</v>
      </c>
      <c r="I3401" s="4" t="s">
        <v>4067</v>
      </c>
      <c r="J3401" s="4" t="str">
        <f>IFERROR(__XLUDF.DUMMYFUNCTION("VLOOKUP(H1117,IMPORTRANGE(""https://docs.google.com/spreadsheets/d/1opm6ZNvGZ7KditA9TuJwrZ25eFLfTNIkrNnY6mhV5Eg"",""list!A1:C115""),3,TRUE)"),"le secteur du conseil en management")</f>
        <v xml:space="preserve">le secteur du conseil en management</v>
      </c>
      <c r="K3401" s="5" t="s">
        <v>25083</v>
      </c>
      <c r="L3401" s="5" t="s">
        <v>25084</v>
      </c>
      <c r="M3401" s="6"/>
      <c r="N3401" s="4" t="s">
        <v>29</v>
      </c>
      <c r="O3401" s="4" t="s">
        <v>67</v>
      </c>
      <c r="P3401" s="4" t="s">
        <v>29</v>
      </c>
      <c r="Q3401" s="4" t="s">
        <v>25085</v>
      </c>
      <c r="R3401" s="6"/>
      <c r="S3401" s="6"/>
      <c r="T3401" s="6"/>
      <c r="U3401" s="6"/>
      <c r="V3401" s="6"/>
      <c r="W3401" s="6"/>
      <c r="X3401" s="6"/>
      <c r="Y3401" s="6"/>
      <c r="Z3401" s="6"/>
      <c r="AA3401" s="6"/>
    </row>
    <row r="3402" ht="14.25">
      <c r="B3402" s="4" t="s">
        <v>25086</v>
      </c>
      <c r="C3402" s="4" t="s">
        <v>25087</v>
      </c>
      <c r="D3402" s="4" t="s">
        <v>247</v>
      </c>
      <c r="E3402" s="4" t="s">
        <v>25088</v>
      </c>
      <c r="F3402" s="4" t="str">
        <f>IFERROR(__XLUDF.DUMMYFUNCTION("PROPER(REGEXREPLACE(D1118,""[^A-Za-z]+ "",""""))"),"Lobstr")</f>
        <v>Lobstr</v>
      </c>
      <c r="G3402" s="4" t="s">
        <v>25089</v>
      </c>
      <c r="H3402" s="4">
        <v>11</v>
      </c>
      <c r="I3402" s="4" t="s">
        <v>2602</v>
      </c>
      <c r="J3402" s="4" t="str">
        <f>IFERROR(__XLUDF.DUMMYFUNCTION("VLOOKUP(H1118,IMPORTRANGE(""https://docs.google.com/spreadsheets/d/1opm6ZNvGZ7KditA9TuJwrZ25eFLfTNIkrNnY6mhV5Eg"",""list!A1:C115""),3,TRUE)"),"le secteur de la tech")</f>
        <v xml:space="preserve">le secteur de la tech</v>
      </c>
      <c r="K3402" s="5" t="s">
        <v>25090</v>
      </c>
      <c r="L3402" s="5" t="s">
        <v>25091</v>
      </c>
      <c r="M3402" s="4" t="s">
        <v>39</v>
      </c>
      <c r="N3402" s="4" t="s">
        <v>29</v>
      </c>
      <c r="O3402" s="4" t="s">
        <v>554</v>
      </c>
      <c r="P3402" s="4" t="s">
        <v>29</v>
      </c>
      <c r="Q3402" s="4" t="s">
        <v>25092</v>
      </c>
      <c r="R3402" s="6"/>
      <c r="S3402" s="6"/>
      <c r="T3402" s="6"/>
      <c r="U3402" s="6"/>
      <c r="V3402" s="6"/>
      <c r="W3402" s="6"/>
      <c r="X3402" s="6"/>
      <c r="Y3402" s="6"/>
      <c r="Z3402" s="6"/>
      <c r="AA3402" s="6"/>
    </row>
    <row r="3403" ht="14.25">
      <c r="B3403" s="4" t="s">
        <v>1215</v>
      </c>
      <c r="C3403" s="4" t="s">
        <v>25093</v>
      </c>
      <c r="D3403" s="4" t="s">
        <v>172</v>
      </c>
      <c r="E3403" s="4" t="s">
        <v>25094</v>
      </c>
      <c r="F3403" s="4" t="str">
        <f>IFERROR(__XLUDF.DUMMYFUNCTION("PROPER(REGEXREPLACE(D1119,""[^A-Za-z]+ "",""""))"),"Alcom")</f>
        <v>Alcom</v>
      </c>
      <c r="G3403" s="4" t="s">
        <v>25095</v>
      </c>
      <c r="H3403" s="4">
        <v>23</v>
      </c>
      <c r="I3403" s="4" t="s">
        <v>2602</v>
      </c>
      <c r="J3403" s="4"/>
      <c r="K3403" s="5" t="s">
        <v>25096</v>
      </c>
      <c r="L3403" s="5" t="s">
        <v>25097</v>
      </c>
      <c r="M3403" s="4" t="s">
        <v>5586</v>
      </c>
      <c r="N3403" s="4" t="s">
        <v>29</v>
      </c>
      <c r="O3403" s="4" t="s">
        <v>25098</v>
      </c>
      <c r="P3403" s="4" t="s">
        <v>29</v>
      </c>
      <c r="Q3403" s="6"/>
      <c r="R3403" s="6"/>
      <c r="S3403" s="6"/>
      <c r="T3403" s="6"/>
      <c r="U3403" s="6"/>
      <c r="V3403" s="6"/>
      <c r="W3403" s="6"/>
      <c r="X3403" s="6"/>
      <c r="Y3403" s="6"/>
      <c r="Z3403" s="6"/>
      <c r="AA3403" s="6"/>
    </row>
    <row r="3404" ht="14.25">
      <c r="B3404" s="4" t="s">
        <v>2436</v>
      </c>
      <c r="C3404" s="4" t="s">
        <v>8107</v>
      </c>
      <c r="D3404" s="4" t="s">
        <v>172</v>
      </c>
      <c r="E3404" s="4" t="s">
        <v>25099</v>
      </c>
      <c r="F3404" s="4" t="str">
        <f>IFERROR(__XLUDF.DUMMYFUNCTION("PROPER(REGEXREPLACE(D1120,""[^A-Za-z]+ "",""""))"),"Spsti81")</f>
        <v>Spsti81</v>
      </c>
      <c r="G3404" s="4" t="s">
        <v>25100</v>
      </c>
      <c r="H3404" s="4">
        <v>26</v>
      </c>
      <c r="I3404" s="4" t="s">
        <v>4067</v>
      </c>
      <c r="J3404" s="4" t="str">
        <f>IFERROR(__XLUDF.DUMMYFUNCTION("VLOOKUP(H1120,IMPORTRANGE(""https://docs.google.com/spreadsheets/d/1opm6ZNvGZ7KditA9TuJwrZ25eFLfTNIkrNnY6mhV5Eg"",""list!A1:C115""),3,TRUE)"),"le secteur du conseil en management")</f>
        <v xml:space="preserve">le secteur du conseil en management</v>
      </c>
      <c r="K3404" s="5" t="s">
        <v>25101</v>
      </c>
      <c r="L3404" s="5" t="s">
        <v>25102</v>
      </c>
      <c r="M3404" s="4" t="s">
        <v>11898</v>
      </c>
      <c r="N3404" s="4" t="s">
        <v>29</v>
      </c>
      <c r="O3404" s="4" t="s">
        <v>25103</v>
      </c>
      <c r="P3404" s="4" t="s">
        <v>29</v>
      </c>
      <c r="Q3404" s="6"/>
      <c r="R3404" s="6"/>
      <c r="S3404" s="6"/>
      <c r="T3404" s="6"/>
      <c r="U3404" s="6"/>
      <c r="V3404" s="6"/>
      <c r="W3404" s="6"/>
      <c r="X3404" s="6"/>
      <c r="Y3404" s="6"/>
      <c r="Z3404" s="6"/>
      <c r="AA3404" s="6"/>
    </row>
    <row r="3405" ht="14.25">
      <c r="B3405" s="4" t="s">
        <v>785</v>
      </c>
      <c r="C3405" s="4" t="s">
        <v>1499</v>
      </c>
      <c r="D3405" s="4" t="s">
        <v>25104</v>
      </c>
      <c r="E3405" s="4" t="s">
        <v>25105</v>
      </c>
      <c r="F3405" s="4" t="str">
        <f>IFERROR(__XLUDF.DUMMYFUNCTION("PROPER(REGEXREPLACE(D1121,""[^A-Za-z]+ "",""""))"),"Ob'Do")</f>
        <v>Ob'Do</v>
      </c>
      <c r="G3405" s="4" t="s">
        <v>25106</v>
      </c>
      <c r="H3405" s="4">
        <v>20</v>
      </c>
      <c r="I3405" s="4" t="s">
        <v>2602</v>
      </c>
      <c r="J3405" s="4" t="str">
        <f>IFERROR(__XLUDF.DUMMYFUNCTION("VLOOKUP(H1121,IMPORTRANGE(""https://docs.google.com/spreadsheets/d/1opm6ZNvGZ7KditA9TuJwrZ25eFLfTNIkrNnY6mhV5Eg"",""list!A1:C115""),3,TRUE)"),"le secteur de la tech")</f>
        <v xml:space="preserve">le secteur de la tech</v>
      </c>
      <c r="K3405" s="5" t="s">
        <v>25107</v>
      </c>
      <c r="L3405" s="5" t="s">
        <v>25108</v>
      </c>
      <c r="M3405" s="4" t="s">
        <v>6954</v>
      </c>
      <c r="N3405" s="4" t="s">
        <v>29</v>
      </c>
      <c r="O3405" s="4" t="s">
        <v>25109</v>
      </c>
      <c r="P3405" s="4" t="s">
        <v>29</v>
      </c>
      <c r="Q3405" s="4" t="s">
        <v>25110</v>
      </c>
      <c r="R3405" s="6"/>
      <c r="S3405" s="6"/>
      <c r="T3405" s="6"/>
      <c r="U3405" s="6"/>
      <c r="V3405" s="6"/>
      <c r="W3405" s="6"/>
      <c r="X3405" s="6"/>
      <c r="Y3405" s="6"/>
      <c r="Z3405" s="6"/>
      <c r="AA3405" s="6"/>
    </row>
    <row r="3406" ht="14.25">
      <c r="B3406" s="4" t="s">
        <v>679</v>
      </c>
      <c r="C3406" s="4" t="s">
        <v>25111</v>
      </c>
      <c r="D3406" s="4" t="s">
        <v>112</v>
      </c>
      <c r="E3406" s="4" t="s">
        <v>25112</v>
      </c>
      <c r="F3406" s="4" t="str">
        <f>IFERROR(__XLUDF.DUMMYFUNCTION("PROPER(REGEXREPLACE(D1122,""[^A-Za-z]+ "",""""))"),"Valcom")</f>
        <v>Valcom</v>
      </c>
      <c r="G3406" s="4" t="s">
        <v>25113</v>
      </c>
      <c r="H3406" s="4">
        <v>20</v>
      </c>
      <c r="I3406" s="4" t="s">
        <v>9161</v>
      </c>
      <c r="J3406" s="4"/>
      <c r="K3406" s="5" t="s">
        <v>25114</v>
      </c>
      <c r="L3406" s="5" t="s">
        <v>25115</v>
      </c>
      <c r="M3406" s="4" t="s">
        <v>1150</v>
      </c>
      <c r="N3406" s="4" t="s">
        <v>29</v>
      </c>
      <c r="O3406" s="4" t="s">
        <v>25116</v>
      </c>
      <c r="P3406" s="4" t="s">
        <v>29</v>
      </c>
      <c r="Q3406" s="4" t="s">
        <v>25117</v>
      </c>
      <c r="R3406" s="6"/>
      <c r="S3406" s="6"/>
      <c r="T3406" s="6"/>
      <c r="U3406" s="6"/>
      <c r="V3406" s="6"/>
      <c r="W3406" s="6"/>
      <c r="X3406" s="6"/>
      <c r="Y3406" s="6"/>
      <c r="Z3406" s="6"/>
      <c r="AA3406" s="6"/>
    </row>
    <row r="3407" ht="14.25">
      <c r="B3407" s="4" t="s">
        <v>963</v>
      </c>
      <c r="C3407" s="4" t="s">
        <v>25118</v>
      </c>
      <c r="D3407" s="4" t="s">
        <v>460</v>
      </c>
      <c r="E3407" s="4" t="s">
        <v>25119</v>
      </c>
      <c r="F3407" s="4" t="str">
        <f>IFERROR(__XLUDF.DUMMYFUNCTION("PROPER(REGEXREPLACE(D1123,""[^A-Za-z]+ "",""""))"),"Tbwa\Adelphi")</f>
        <v>Tbwa\Adelphi</v>
      </c>
      <c r="G3407" s="4" t="s">
        <v>25120</v>
      </c>
      <c r="H3407" s="4">
        <v>31</v>
      </c>
      <c r="I3407" s="4" t="s">
        <v>9161</v>
      </c>
      <c r="J3407" s="4"/>
      <c r="K3407" s="5" t="s">
        <v>25121</v>
      </c>
      <c r="L3407" s="5" t="s">
        <v>25122</v>
      </c>
      <c r="M3407" s="6"/>
      <c r="N3407" s="4" t="s">
        <v>29</v>
      </c>
      <c r="O3407" s="4" t="s">
        <v>25123</v>
      </c>
      <c r="P3407" s="4" t="s">
        <v>29</v>
      </c>
      <c r="Q3407" s="4" t="s">
        <v>25124</v>
      </c>
      <c r="R3407" s="6"/>
      <c r="S3407" s="6"/>
      <c r="T3407" s="6"/>
      <c r="U3407" s="6"/>
      <c r="V3407" s="6"/>
      <c r="W3407" s="6"/>
      <c r="X3407" s="6"/>
      <c r="Y3407" s="6"/>
      <c r="Z3407" s="6"/>
      <c r="AA3407" s="6"/>
    </row>
    <row r="3408" ht="14.25">
      <c r="B3408" s="4" t="s">
        <v>630</v>
      </c>
      <c r="C3408" s="4" t="s">
        <v>25125</v>
      </c>
      <c r="D3408" s="4" t="s">
        <v>460</v>
      </c>
      <c r="E3408" s="4" t="s">
        <v>25126</v>
      </c>
      <c r="F3408" s="4" t="str">
        <f>IFERROR(__XLUDF.DUMMYFUNCTION("PROPER(REGEXREPLACE(D1124,""[^A-Za-z]+ "",""""))"),"Sayse")</f>
        <v>Sayse</v>
      </c>
      <c r="G3408" s="4" t="s">
        <v>25127</v>
      </c>
      <c r="H3408" s="4">
        <v>22</v>
      </c>
      <c r="I3408" s="4" t="s">
        <v>9184</v>
      </c>
      <c r="J3408" s="4"/>
      <c r="K3408" s="5" t="s">
        <v>25128</v>
      </c>
      <c r="L3408" s="5" t="s">
        <v>25129</v>
      </c>
      <c r="M3408" s="4" t="s">
        <v>846</v>
      </c>
      <c r="N3408" s="4" t="s">
        <v>29</v>
      </c>
      <c r="O3408" s="4" t="s">
        <v>21303</v>
      </c>
      <c r="P3408" s="4" t="s">
        <v>29</v>
      </c>
      <c r="Q3408" s="4" t="s">
        <v>25130</v>
      </c>
      <c r="R3408" s="6"/>
      <c r="S3408" s="6"/>
      <c r="T3408" s="6"/>
      <c r="U3408" s="6"/>
      <c r="V3408" s="6"/>
      <c r="W3408" s="6"/>
      <c r="X3408" s="6"/>
      <c r="Y3408" s="6"/>
      <c r="Z3408" s="6"/>
      <c r="AA3408" s="6"/>
    </row>
    <row r="3409" ht="14.25">
      <c r="B3409" s="4" t="s">
        <v>548</v>
      </c>
      <c r="C3409" s="4" t="s">
        <v>25131</v>
      </c>
      <c r="D3409" s="4" t="s">
        <v>87</v>
      </c>
      <c r="E3409" s="4" t="s">
        <v>25132</v>
      </c>
      <c r="F3409" s="4" t="str">
        <f>IFERROR(__XLUDF.DUMMYFUNCTION("PROPER(REGEXREPLACE(D1125,""[^A-Za-z]+ "",""""))"),"Batconnect")</f>
        <v>Batconnect</v>
      </c>
      <c r="G3409" s="4" t="s">
        <v>25133</v>
      </c>
      <c r="H3409" s="4">
        <v>12</v>
      </c>
      <c r="I3409" s="4" t="s">
        <v>25134</v>
      </c>
      <c r="J3409" s="4" t="str">
        <f>IFERROR(__XLUDF.DUMMYFUNCTION("VLOOKUP(H1125,IMPORTRANGE(""https://docs.google.com/spreadsheets/d/1opm6ZNvGZ7KditA9TuJwrZ25eFLfTNIkrNnY6mhV5Eg"",""list!A1:C115""),3,TRUE)"),"le secteur de l'électronique grand public")</f>
        <v xml:space="preserve">le secteur de l'électronique grand public</v>
      </c>
      <c r="K3409" s="5" t="s">
        <v>25135</v>
      </c>
      <c r="L3409" s="5" t="s">
        <v>25136</v>
      </c>
      <c r="M3409" s="4" t="s">
        <v>83</v>
      </c>
      <c r="N3409" s="4" t="s">
        <v>29</v>
      </c>
      <c r="O3409" s="4" t="s">
        <v>25137</v>
      </c>
      <c r="P3409" s="4" t="s">
        <v>29</v>
      </c>
      <c r="Q3409" s="4" t="s">
        <v>25138</v>
      </c>
      <c r="R3409" s="6"/>
      <c r="S3409" s="6"/>
      <c r="T3409" s="6"/>
      <c r="U3409" s="6"/>
      <c r="V3409" s="6"/>
      <c r="W3409" s="6"/>
      <c r="X3409" s="6"/>
      <c r="Y3409" s="6"/>
      <c r="Z3409" s="6"/>
      <c r="AA3409" s="6"/>
    </row>
    <row r="3410" ht="14.25">
      <c r="B3410" s="4" t="s">
        <v>1153</v>
      </c>
      <c r="C3410" s="4" t="s">
        <v>6179</v>
      </c>
      <c r="D3410" s="4" t="s">
        <v>426</v>
      </c>
      <c r="E3410" s="4" t="s">
        <v>25139</v>
      </c>
      <c r="F3410" s="4" t="str">
        <f>IFERROR(__XLUDF.DUMMYFUNCTION("PROPER(REGEXREPLACE(D1126,""[^A-Za-z]+ "",""""))"),"Tekneum")</f>
        <v>Tekneum</v>
      </c>
      <c r="G3410" s="4" t="s">
        <v>25140</v>
      </c>
      <c r="H3410" s="4">
        <v>37</v>
      </c>
      <c r="I3410" s="4" t="s">
        <v>2602</v>
      </c>
      <c r="J3410" s="4" t="str">
        <f>IFERROR(__XLUDF.DUMMYFUNCTION("VLOOKUP(H1126,IMPORTRANGE(""https://docs.google.com/spreadsheets/d/1opm6ZNvGZ7KditA9TuJwrZ25eFLfTNIkrNnY6mhV5Eg"",""list!A1:C115""),3,TRUE)"),"le secteur de la tech")</f>
        <v xml:space="preserve">le secteur de la tech</v>
      </c>
      <c r="K3410" s="5" t="s">
        <v>25141</v>
      </c>
      <c r="L3410" s="5" t="s">
        <v>25142</v>
      </c>
      <c r="M3410" s="4" t="s">
        <v>39</v>
      </c>
      <c r="N3410" s="4" t="s">
        <v>29</v>
      </c>
      <c r="O3410" s="4" t="s">
        <v>7599</v>
      </c>
      <c r="P3410" s="4" t="s">
        <v>29</v>
      </c>
      <c r="Q3410" s="4" t="s">
        <v>25143</v>
      </c>
      <c r="R3410" s="6"/>
      <c r="S3410" s="6"/>
      <c r="T3410" s="6"/>
      <c r="U3410" s="6"/>
      <c r="V3410" s="6"/>
      <c r="W3410" s="6"/>
      <c r="X3410" s="6"/>
      <c r="Y3410" s="6"/>
      <c r="Z3410" s="6"/>
      <c r="AA3410" s="6"/>
    </row>
    <row r="3411" ht="14.25">
      <c r="B3411" s="4" t="s">
        <v>25144</v>
      </c>
      <c r="C3411" s="4" t="s">
        <v>25145</v>
      </c>
      <c r="D3411" s="4" t="s">
        <v>62</v>
      </c>
      <c r="E3411" s="4" t="s">
        <v>25146</v>
      </c>
      <c r="F3411" s="4" t="str">
        <f>IFERROR(__XLUDF.DUMMYFUNCTION("PROPER(REGEXREPLACE(D1127,""[^A-Za-z]+ "",""""))"),"Nricher")</f>
        <v>Nricher</v>
      </c>
      <c r="G3411" s="4" t="s">
        <v>25147</v>
      </c>
      <c r="H3411" s="4">
        <v>12</v>
      </c>
      <c r="I3411" s="4" t="s">
        <v>2602</v>
      </c>
      <c r="J3411" s="4" t="str">
        <f>IFERROR(__XLUDF.DUMMYFUNCTION("VLOOKUP(H1127,IMPORTRANGE(""https://docs.google.com/spreadsheets/d/1opm6ZNvGZ7KditA9TuJwrZ25eFLfTNIkrNnY6mhV5Eg"",""list!A1:C115""),3,TRUE)"),"le secteur de la tech")</f>
        <v xml:space="preserve">le secteur de la tech</v>
      </c>
      <c r="K3411" s="5" t="s">
        <v>25148</v>
      </c>
      <c r="L3411" s="5" t="s">
        <v>25149</v>
      </c>
      <c r="M3411" s="6"/>
      <c r="N3411" s="4" t="s">
        <v>29</v>
      </c>
      <c r="O3411" s="4" t="s">
        <v>25150</v>
      </c>
      <c r="P3411" s="4" t="s">
        <v>29</v>
      </c>
      <c r="Q3411" s="4" t="s">
        <v>25151</v>
      </c>
      <c r="R3411" s="6"/>
      <c r="S3411" s="6"/>
      <c r="T3411" s="6"/>
      <c r="U3411" s="6"/>
      <c r="V3411" s="6"/>
      <c r="W3411" s="6"/>
      <c r="X3411" s="6"/>
      <c r="Y3411" s="6"/>
      <c r="Z3411" s="6"/>
      <c r="AA3411" s="6"/>
    </row>
    <row r="3412" ht="14.25">
      <c r="B3412" s="4" t="s">
        <v>2462</v>
      </c>
      <c r="C3412" s="4" t="s">
        <v>25152</v>
      </c>
      <c r="D3412" s="4" t="s">
        <v>164</v>
      </c>
      <c r="E3412" s="4" t="s">
        <v>25153</v>
      </c>
      <c r="F3412" s="4" t="str">
        <f>IFERROR(__XLUDF.DUMMYFUNCTION("PROPER(REGEXREPLACE(D1128,""[^A-Za-z]+ "",""""))"),"Cadden")</f>
        <v>Cadden</v>
      </c>
      <c r="G3412" s="4" t="s">
        <v>25154</v>
      </c>
      <c r="H3412" s="4">
        <v>46</v>
      </c>
      <c r="I3412" s="4" t="s">
        <v>10215</v>
      </c>
      <c r="J3412" s="4" t="str">
        <f>IFERROR(__XLUDF.DUMMYFUNCTION("VLOOKUP(H1128,IMPORTRANGE(""https://docs.google.com/spreadsheets/d/1opm6ZNvGZ7KditA9TuJwrZ25eFLfTNIkrNnY6mhV5Eg"",""list!A1:C115""),3,TRUE)"),"le secteur de l'électrique et électronique")</f>
        <v xml:space="preserve">le secteur de l'électrique et électronique</v>
      </c>
      <c r="K3412" s="5" t="s">
        <v>25155</v>
      </c>
      <c r="L3412" s="5" t="s">
        <v>25156</v>
      </c>
      <c r="M3412" s="4" t="s">
        <v>1711</v>
      </c>
      <c r="N3412" s="4" t="s">
        <v>29</v>
      </c>
      <c r="O3412" s="4" t="s">
        <v>25157</v>
      </c>
      <c r="P3412" s="4" t="s">
        <v>29</v>
      </c>
      <c r="Q3412" s="4" t="s">
        <v>25158</v>
      </c>
      <c r="R3412" s="6"/>
      <c r="S3412" s="6"/>
      <c r="T3412" s="6"/>
      <c r="U3412" s="6"/>
      <c r="V3412" s="6"/>
      <c r="W3412" s="6"/>
      <c r="X3412" s="6"/>
      <c r="Y3412" s="6"/>
      <c r="Z3412" s="6"/>
      <c r="AA3412" s="6"/>
    </row>
    <row r="3413" ht="14.25">
      <c r="B3413" s="4" t="s">
        <v>963</v>
      </c>
      <c r="C3413" s="4" t="s">
        <v>25159</v>
      </c>
      <c r="D3413" s="4" t="s">
        <v>97</v>
      </c>
      <c r="E3413" s="4" t="s">
        <v>25160</v>
      </c>
      <c r="F3413" s="4" t="str">
        <f>IFERROR(__XLUDF.DUMMYFUNCTION("PROPER(REGEXREPLACE(D1129,""[^A-Za-z]+ "",""""))"),"Staffea")</f>
        <v>Staffea</v>
      </c>
      <c r="G3413" s="4" t="s">
        <v>25161</v>
      </c>
      <c r="H3413" s="4">
        <v>9</v>
      </c>
      <c r="I3413" s="4" t="s">
        <v>2602</v>
      </c>
      <c r="J3413" s="4"/>
      <c r="K3413" s="5" t="s">
        <v>25162</v>
      </c>
      <c r="L3413" s="5" t="s">
        <v>25163</v>
      </c>
      <c r="M3413" s="6"/>
      <c r="N3413" s="4" t="s">
        <v>29</v>
      </c>
      <c r="O3413" s="4" t="s">
        <v>25109</v>
      </c>
      <c r="P3413" s="4" t="s">
        <v>29</v>
      </c>
      <c r="Q3413" s="4" t="s">
        <v>25164</v>
      </c>
      <c r="R3413" s="6"/>
      <c r="S3413" s="6"/>
      <c r="T3413" s="6"/>
      <c r="U3413" s="6"/>
      <c r="V3413" s="6"/>
      <c r="W3413" s="6"/>
      <c r="X3413" s="6"/>
      <c r="Y3413" s="6"/>
      <c r="Z3413" s="6"/>
      <c r="AA3413" s="6"/>
    </row>
    <row r="3414" ht="14.25">
      <c r="B3414" s="4" t="s">
        <v>1215</v>
      </c>
      <c r="C3414" s="4" t="s">
        <v>25165</v>
      </c>
      <c r="D3414" s="4" t="s">
        <v>25166</v>
      </c>
      <c r="E3414" s="4" t="s">
        <v>25167</v>
      </c>
      <c r="F3414" s="4" t="str">
        <f>IFERROR(__XLUDF.DUMMYFUNCTION("PROPER(REGEXREPLACE(D1130,""[^A-Za-z]+ "",""""))"),"Cartelmatic")</f>
        <v>Cartelmatic</v>
      </c>
      <c r="G3414" s="4" t="s">
        <v>25168</v>
      </c>
      <c r="H3414" s="4">
        <v>14</v>
      </c>
      <c r="I3414" s="4" t="s">
        <v>2602</v>
      </c>
      <c r="J3414" s="4"/>
      <c r="K3414" s="5" t="s">
        <v>25169</v>
      </c>
      <c r="L3414" s="5" t="s">
        <v>25170</v>
      </c>
      <c r="M3414" s="4" t="s">
        <v>1826</v>
      </c>
      <c r="N3414" s="4" t="s">
        <v>29</v>
      </c>
      <c r="O3414" s="4" t="s">
        <v>25171</v>
      </c>
      <c r="P3414" s="4" t="s">
        <v>29</v>
      </c>
      <c r="Q3414" s="4" t="s">
        <v>25172</v>
      </c>
      <c r="R3414" s="6"/>
      <c r="S3414" s="6"/>
      <c r="T3414" s="6"/>
      <c r="U3414" s="6"/>
      <c r="V3414" s="6"/>
      <c r="W3414" s="6"/>
      <c r="X3414" s="6"/>
      <c r="Y3414" s="6"/>
      <c r="Z3414" s="6"/>
      <c r="AA3414" s="6"/>
    </row>
    <row r="3415" ht="14.25">
      <c r="B3415" s="4" t="s">
        <v>5111</v>
      </c>
      <c r="C3415" s="4" t="s">
        <v>25173</v>
      </c>
      <c r="D3415" s="4" t="s">
        <v>25174</v>
      </c>
      <c r="E3415" s="4" t="s">
        <v>25175</v>
      </c>
      <c r="F3415" s="4" t="str">
        <f>IFERROR(__XLUDF.DUMMYFUNCTION("PROPER(REGEXREPLACE(D1131,""[^A-Za-z]+ "",""""))"),"Cev Group")</f>
        <v xml:space="preserve">Cev Group</v>
      </c>
      <c r="G3415" s="4" t="s">
        <v>25176</v>
      </c>
      <c r="H3415" s="4">
        <v>17</v>
      </c>
      <c r="I3415" s="4" t="s">
        <v>2602</v>
      </c>
      <c r="J3415" s="4" t="str">
        <f>IFERROR(__XLUDF.DUMMYFUNCTION("VLOOKUP(H1131,IMPORTRANGE(""https://docs.google.com/spreadsheets/d/1opm6ZNvGZ7KditA9TuJwrZ25eFLfTNIkrNnY6mhV5Eg"",""list!A1:C115""),3,TRUE)"),"le secteur de la tech")</f>
        <v xml:space="preserve">le secteur de la tech</v>
      </c>
      <c r="K3415" s="5" t="s">
        <v>25177</v>
      </c>
      <c r="L3415" s="5" t="s">
        <v>25178</v>
      </c>
      <c r="M3415" s="4" t="s">
        <v>846</v>
      </c>
      <c r="N3415" s="4" t="s">
        <v>29</v>
      </c>
      <c r="O3415" s="4" t="s">
        <v>25179</v>
      </c>
      <c r="P3415" s="4" t="s">
        <v>29</v>
      </c>
      <c r="Q3415" s="6"/>
      <c r="R3415" s="6"/>
      <c r="S3415" s="6"/>
      <c r="T3415" s="6"/>
      <c r="U3415" s="6"/>
      <c r="V3415" s="6"/>
      <c r="W3415" s="6"/>
      <c r="X3415" s="6"/>
      <c r="Y3415" s="6"/>
      <c r="Z3415" s="6"/>
      <c r="AA3415" s="6"/>
    </row>
    <row r="3416" ht="14.25">
      <c r="B3416" s="4" t="s">
        <v>653</v>
      </c>
      <c r="C3416" s="4" t="s">
        <v>25180</v>
      </c>
      <c r="D3416" s="4" t="s">
        <v>21807</v>
      </c>
      <c r="E3416" s="4" t="s">
        <v>25181</v>
      </c>
      <c r="F3416" s="4" t="str">
        <f>IFERROR(__XLUDF.DUMMYFUNCTION("PROPER(REGEXREPLACE(D1132,""[^A-Za-z]+ "",""""))"),"Alloreview")</f>
        <v>Alloreview</v>
      </c>
      <c r="G3416" s="4" t="s">
        <v>25182</v>
      </c>
      <c r="H3416" s="4">
        <v>17</v>
      </c>
      <c r="I3416" s="4" t="s">
        <v>2602</v>
      </c>
      <c r="J3416" s="4"/>
      <c r="K3416" s="5" t="s">
        <v>25183</v>
      </c>
      <c r="L3416" s="5" t="s">
        <v>25184</v>
      </c>
      <c r="M3416" s="4" t="s">
        <v>39</v>
      </c>
      <c r="N3416" s="4" t="s">
        <v>29</v>
      </c>
      <c r="O3416" s="4" t="s">
        <v>1158</v>
      </c>
      <c r="P3416" s="4" t="s">
        <v>29</v>
      </c>
      <c r="Q3416" s="4" t="s">
        <v>25185</v>
      </c>
      <c r="R3416" s="6"/>
      <c r="S3416" s="6"/>
      <c r="T3416" s="6"/>
      <c r="U3416" s="6"/>
      <c r="V3416" s="6"/>
      <c r="W3416" s="6"/>
      <c r="X3416" s="6"/>
      <c r="Y3416" s="6"/>
      <c r="Z3416" s="6"/>
      <c r="AA3416" s="6"/>
    </row>
    <row r="3417" ht="14.25">
      <c r="B3417" s="4" t="s">
        <v>2932</v>
      </c>
      <c r="C3417" s="4" t="s">
        <v>25186</v>
      </c>
      <c r="D3417" s="4" t="s">
        <v>172</v>
      </c>
      <c r="E3417" s="4" t="s">
        <v>25187</v>
      </c>
      <c r="F3417" s="4" t="str">
        <f>IFERROR(__XLUDF.DUMMYFUNCTION("PROPER(REGEXREPLACE(D1133,""[^A-Za-z]+ "",""""))"),"Manganelli Technology")</f>
        <v xml:space="preserve">Manganelli Technology</v>
      </c>
      <c r="G3417" s="4" t="s">
        <v>25188</v>
      </c>
      <c r="H3417" s="4">
        <v>31</v>
      </c>
      <c r="I3417" s="4" t="s">
        <v>2602</v>
      </c>
      <c r="J3417" s="4" t="str">
        <f>IFERROR(__XLUDF.DUMMYFUNCTION("VLOOKUP(H1133,IMPORTRANGE(""https://docs.google.com/spreadsheets/d/1opm6ZNvGZ7KditA9TuJwrZ25eFLfTNIkrNnY6mhV5Eg"",""list!A1:C115""),3,TRUE)"),"le secteur de la tech")</f>
        <v xml:space="preserve">le secteur de la tech</v>
      </c>
      <c r="K3417" s="5" t="s">
        <v>25189</v>
      </c>
      <c r="L3417" s="5" t="s">
        <v>25190</v>
      </c>
      <c r="M3417" s="4" t="s">
        <v>4009</v>
      </c>
      <c r="N3417" s="4" t="s">
        <v>29</v>
      </c>
      <c r="O3417" s="4" t="s">
        <v>25191</v>
      </c>
      <c r="P3417" s="4" t="s">
        <v>29</v>
      </c>
      <c r="Q3417" s="6"/>
      <c r="R3417" s="6"/>
      <c r="S3417" s="6"/>
      <c r="T3417" s="6"/>
      <c r="U3417" s="6"/>
      <c r="V3417" s="6"/>
      <c r="W3417" s="6"/>
      <c r="X3417" s="6"/>
      <c r="Y3417" s="6"/>
      <c r="Z3417" s="6"/>
      <c r="AA3417" s="6"/>
    </row>
    <row r="3418" ht="14.25">
      <c r="B3418" s="4" t="s">
        <v>2925</v>
      </c>
      <c r="C3418" s="4" t="s">
        <v>25192</v>
      </c>
      <c r="D3418" s="4" t="s">
        <v>172</v>
      </c>
      <c r="E3418" s="4" t="s">
        <v>25193</v>
      </c>
      <c r="F3418" s="4" t="str">
        <f>IFERROR(__XLUDF.DUMMYFUNCTION("PROPER(REGEXREPLACE(D1134,""[^A-Za-z]+ "",""""))"),"Heverett Group")</f>
        <v xml:space="preserve">Heverett Group</v>
      </c>
      <c r="G3418" s="4" t="s">
        <v>25194</v>
      </c>
      <c r="H3418" s="4">
        <v>26</v>
      </c>
      <c r="I3418" s="4" t="s">
        <v>4067</v>
      </c>
      <c r="J3418" s="4"/>
      <c r="K3418" s="5" t="s">
        <v>25195</v>
      </c>
      <c r="L3418" s="5" t="s">
        <v>25196</v>
      </c>
      <c r="M3418" s="6"/>
      <c r="N3418" s="4" t="s">
        <v>29</v>
      </c>
      <c r="O3418" s="4" t="s">
        <v>25197</v>
      </c>
      <c r="P3418" s="4" t="s">
        <v>29</v>
      </c>
      <c r="Q3418" s="6"/>
      <c r="R3418" s="6"/>
      <c r="S3418" s="6"/>
      <c r="T3418" s="6"/>
      <c r="U3418" s="6"/>
      <c r="V3418" s="6"/>
      <c r="W3418" s="6"/>
      <c r="X3418" s="6"/>
      <c r="Y3418" s="6"/>
      <c r="Z3418" s="6"/>
      <c r="AA3418" s="6"/>
    </row>
    <row r="3419" ht="14.25">
      <c r="B3419" s="4" t="s">
        <v>1571</v>
      </c>
      <c r="C3419" s="4" t="s">
        <v>25198</v>
      </c>
      <c r="D3419" s="4" t="s">
        <v>2636</v>
      </c>
      <c r="E3419" s="4" t="s">
        <v>25199</v>
      </c>
      <c r="F3419" s="4" t="str">
        <f>IFERROR(__XLUDF.DUMMYFUNCTION("PROPER(REGEXREPLACE(D1135,""[^A-Za-z]+ "",""""))"),"A'Tout'Com")</f>
        <v>A'Tout'Com</v>
      </c>
      <c r="G3419" s="4" t="s">
        <v>25200</v>
      </c>
      <c r="H3419" s="4">
        <v>11</v>
      </c>
      <c r="I3419" s="4" t="s">
        <v>9161</v>
      </c>
      <c r="J3419" s="4" t="str">
        <f>IFERROR(__XLUDF.DUMMYFUNCTION("VLOOKUP(H1135,IMPORTRANGE(""https://docs.google.com/spreadsheets/d/1opm6ZNvGZ7KditA9TuJwrZ25eFLfTNIkrNnY6mhV5Eg"",""list!A1:C115""),3,TRUE)"),"le secteur du marketing")</f>
        <v xml:space="preserve">le secteur du marketing</v>
      </c>
      <c r="K3419" s="5" t="s">
        <v>25201</v>
      </c>
      <c r="L3419" s="6"/>
      <c r="M3419" s="4" t="s">
        <v>16314</v>
      </c>
      <c r="N3419" s="4" t="s">
        <v>29</v>
      </c>
      <c r="O3419" s="4" t="s">
        <v>20582</v>
      </c>
      <c r="P3419" s="4" t="s">
        <v>29</v>
      </c>
      <c r="Q3419" s="6"/>
      <c r="R3419" s="6"/>
      <c r="S3419" s="6"/>
      <c r="T3419" s="6"/>
      <c r="U3419" s="6"/>
      <c r="V3419" s="6"/>
      <c r="W3419" s="6"/>
      <c r="X3419" s="6"/>
      <c r="Y3419" s="6"/>
      <c r="Z3419" s="6"/>
      <c r="AA3419" s="6"/>
    </row>
    <row r="3420" ht="14.25">
      <c r="B3420" s="4" t="s">
        <v>2249</v>
      </c>
      <c r="C3420" s="4" t="s">
        <v>25202</v>
      </c>
      <c r="D3420" s="4" t="s">
        <v>1240</v>
      </c>
      <c r="E3420" s="4" t="s">
        <v>12112</v>
      </c>
      <c r="F3420" s="4" t="str">
        <f>IFERROR(__XLUDF.DUMMYFUNCTION("PROPER(REGEXREPLACE(D1136,""[^A-Za-z]+ "",""""))"),"Tamtam")</f>
        <v>Tamtam</v>
      </c>
      <c r="G3420" s="4" t="s">
        <v>25203</v>
      </c>
      <c r="H3420" s="4">
        <v>17</v>
      </c>
      <c r="I3420" s="4" t="s">
        <v>2602</v>
      </c>
      <c r="J3420" s="4" t="str">
        <f>IFERROR(__XLUDF.DUMMYFUNCTION("VLOOKUP(H1136,IMPORTRANGE(""https://docs.google.com/spreadsheets/d/1opm6ZNvGZ7KditA9TuJwrZ25eFLfTNIkrNnY6mhV5Eg"",""list!A1:C115""),3,TRUE)"),"le secteur de la tech")</f>
        <v xml:space="preserve">le secteur de la tech</v>
      </c>
      <c r="K3420" s="5" t="s">
        <v>25204</v>
      </c>
      <c r="L3420" s="5" t="s">
        <v>25205</v>
      </c>
      <c r="M3420" s="4" t="s">
        <v>39</v>
      </c>
      <c r="N3420" s="4" t="s">
        <v>29</v>
      </c>
      <c r="O3420" s="6"/>
      <c r="P3420" s="6"/>
      <c r="Q3420" s="4" t="s">
        <v>12116</v>
      </c>
      <c r="R3420" s="6"/>
      <c r="S3420" s="6"/>
      <c r="T3420" s="6"/>
      <c r="U3420" s="6"/>
      <c r="V3420" s="6"/>
      <c r="W3420" s="6"/>
      <c r="X3420" s="6"/>
      <c r="Y3420" s="6"/>
      <c r="Z3420" s="6"/>
      <c r="AA3420" s="6"/>
    </row>
    <row r="3421" ht="14.25">
      <c r="B3421" s="4" t="s">
        <v>11755</v>
      </c>
      <c r="C3421" s="4" t="s">
        <v>25206</v>
      </c>
      <c r="D3421" s="4" t="s">
        <v>887</v>
      </c>
      <c r="E3421" s="4" t="s">
        <v>25207</v>
      </c>
      <c r="F3421" s="4" t="str">
        <f>IFERROR(__XLUDF.DUMMYFUNCTION("PROPER(REGEXREPLACE(D1137,""[^A-Za-z]+ "",""""))"),"Hr-Itconsulting")</f>
        <v>Hr-Itconsulting</v>
      </c>
      <c r="G3421" s="4" t="s">
        <v>25208</v>
      </c>
      <c r="H3421" s="4">
        <v>17</v>
      </c>
      <c r="I3421" s="4" t="s">
        <v>2602</v>
      </c>
      <c r="J3421" s="4"/>
      <c r="K3421" s="5" t="s">
        <v>25209</v>
      </c>
      <c r="L3421" s="5" t="s">
        <v>25210</v>
      </c>
      <c r="M3421" s="4" t="s">
        <v>25211</v>
      </c>
      <c r="N3421" s="4" t="s">
        <v>29</v>
      </c>
      <c r="O3421" s="4" t="s">
        <v>25212</v>
      </c>
      <c r="P3421" s="4" t="s">
        <v>29</v>
      </c>
      <c r="Q3421" s="4" t="s">
        <v>25213</v>
      </c>
      <c r="R3421" s="6"/>
      <c r="S3421" s="6"/>
      <c r="T3421" s="6"/>
      <c r="U3421" s="6"/>
      <c r="V3421" s="6"/>
      <c r="W3421" s="6"/>
      <c r="X3421" s="6"/>
      <c r="Y3421" s="6"/>
      <c r="Z3421" s="6"/>
      <c r="AA3421" s="6"/>
    </row>
    <row r="3422" ht="14.25">
      <c r="B3422" s="4" t="s">
        <v>25214</v>
      </c>
      <c r="C3422" s="4" t="s">
        <v>1873</v>
      </c>
      <c r="D3422" s="4" t="s">
        <v>681</v>
      </c>
      <c r="E3422" s="4" t="s">
        <v>25215</v>
      </c>
      <c r="F3422" s="4" t="str">
        <f>IFERROR(__XLUDF.DUMMYFUNCTION("PROPER(REGEXREPLACE(D1138,""[^A-Za-z]+ "",""""))"),"4Indata")</f>
        <v>4Indata</v>
      </c>
      <c r="G3422" s="4" t="s">
        <v>25216</v>
      </c>
      <c r="H3422" s="4">
        <v>9</v>
      </c>
      <c r="I3422" s="4" t="s">
        <v>2602</v>
      </c>
      <c r="J3422" s="4"/>
      <c r="K3422" s="5" t="s">
        <v>25217</v>
      </c>
      <c r="L3422" s="5" t="s">
        <v>25218</v>
      </c>
      <c r="M3422" s="4" t="s">
        <v>39</v>
      </c>
      <c r="N3422" s="4" t="s">
        <v>29</v>
      </c>
      <c r="O3422" s="4" t="s">
        <v>25219</v>
      </c>
      <c r="P3422" s="4" t="s">
        <v>29</v>
      </c>
      <c r="Q3422" s="6"/>
      <c r="R3422" s="6"/>
      <c r="S3422" s="6"/>
      <c r="T3422" s="6"/>
      <c r="U3422" s="6"/>
      <c r="V3422" s="6"/>
      <c r="W3422" s="6"/>
      <c r="X3422" s="6"/>
      <c r="Y3422" s="6"/>
      <c r="Z3422" s="6"/>
      <c r="AA3422" s="6"/>
    </row>
    <row r="3423" ht="14.25">
      <c r="B3423" s="4" t="s">
        <v>3002</v>
      </c>
      <c r="C3423" s="4" t="s">
        <v>17699</v>
      </c>
      <c r="D3423" s="4" t="s">
        <v>25220</v>
      </c>
      <c r="E3423" s="4" t="s">
        <v>24350</v>
      </c>
      <c r="F3423" s="4" t="str">
        <f>IFERROR(__XLUDF.DUMMYFUNCTION("PROPER(REGEXREPLACE(D1139,""[^A-Za-z]+ "",""""))"),"Kotzilla")</f>
        <v>Kotzilla</v>
      </c>
      <c r="G3423" s="4" t="s">
        <v>25221</v>
      </c>
      <c r="H3423" s="4">
        <v>20</v>
      </c>
      <c r="I3423" s="4" t="s">
        <v>2602</v>
      </c>
      <c r="J3423" s="4" t="str">
        <f>IFERROR(__XLUDF.DUMMYFUNCTION("VLOOKUP(H1139,IMPORTRANGE(""https://docs.google.com/spreadsheets/d/1opm6ZNvGZ7KditA9TuJwrZ25eFLfTNIkrNnY6mhV5Eg"",""list!A1:C115""),3,TRUE)"),"le secteur de la tech")</f>
        <v xml:space="preserve">le secteur de la tech</v>
      </c>
      <c r="K3423" s="5" t="s">
        <v>25222</v>
      </c>
      <c r="L3423" s="5" t="s">
        <v>24353</v>
      </c>
      <c r="M3423" s="4" t="s">
        <v>83</v>
      </c>
      <c r="N3423" s="4" t="s">
        <v>29</v>
      </c>
      <c r="O3423" s="4" t="s">
        <v>346</v>
      </c>
      <c r="P3423" s="4" t="s">
        <v>29</v>
      </c>
      <c r="Q3423" s="4" t="s">
        <v>24354</v>
      </c>
      <c r="R3423" s="6"/>
      <c r="S3423" s="6"/>
      <c r="T3423" s="6"/>
      <c r="U3423" s="6"/>
      <c r="V3423" s="6"/>
      <c r="W3423" s="6"/>
      <c r="X3423" s="6"/>
      <c r="Y3423" s="6"/>
      <c r="Z3423" s="6"/>
      <c r="AA3423" s="6"/>
    </row>
    <row r="3424" ht="14.25">
      <c r="B3424" s="4" t="s">
        <v>734</v>
      </c>
      <c r="C3424" s="4" t="s">
        <v>25223</v>
      </c>
      <c r="D3424" s="4" t="s">
        <v>25224</v>
      </c>
      <c r="E3424" s="4" t="s">
        <v>17706</v>
      </c>
      <c r="F3424" s="4" t="str">
        <f>IFERROR(__XLUDF.DUMMYFUNCTION("PROPER(REGEXREPLACE(D1140,""[^A-Za-z]+ "",""""))"),"Serenicity")</f>
        <v>Serenicity</v>
      </c>
      <c r="G3424" s="4" t="s">
        <v>25225</v>
      </c>
      <c r="H3424" s="4">
        <v>12</v>
      </c>
      <c r="I3424" s="4" t="s">
        <v>9264</v>
      </c>
      <c r="J3424" s="4" t="str">
        <f>IFERROR(__XLUDF.DUMMYFUNCTION("VLOOKUP(H1140,IMPORTRANGE(""https://docs.google.com/spreadsheets/d/1opm6ZNvGZ7KditA9TuJwrZ25eFLfTNIkrNnY6mhV5Eg"",""list!A1:C115""),3,TRUE)"),"le secteur de la sécurité informatique")</f>
        <v xml:space="preserve">le secteur de la sécurité informatique</v>
      </c>
      <c r="K3424" s="5" t="s">
        <v>25226</v>
      </c>
      <c r="L3424" s="5" t="s">
        <v>17709</v>
      </c>
      <c r="M3424" s="6"/>
      <c r="N3424" s="4" t="s">
        <v>29</v>
      </c>
      <c r="O3424" s="4" t="s">
        <v>17710</v>
      </c>
      <c r="P3424" s="4" t="s">
        <v>29</v>
      </c>
      <c r="Q3424" s="6"/>
      <c r="R3424" s="6"/>
      <c r="S3424" s="6"/>
      <c r="T3424" s="6"/>
      <c r="U3424" s="6"/>
      <c r="V3424" s="6"/>
      <c r="W3424" s="6"/>
      <c r="X3424" s="6"/>
      <c r="Y3424" s="6"/>
      <c r="Z3424" s="6"/>
      <c r="AA3424" s="6"/>
    </row>
    <row r="3425" ht="14.25">
      <c r="B3425" s="4" t="s">
        <v>25227</v>
      </c>
      <c r="C3425" s="4" t="s">
        <v>25228</v>
      </c>
      <c r="D3425" s="4" t="s">
        <v>688</v>
      </c>
      <c r="E3425" s="4" t="s">
        <v>25229</v>
      </c>
      <c r="F3425" s="4" t="str">
        <f>IFERROR(__XLUDF.DUMMYFUNCTION("PROPER(REGEXREPLACE(D1141,""[^A-Za-z]+ "",""""))"),"Itsm Factory")</f>
        <v xml:space="preserve">Itsm Factory</v>
      </c>
      <c r="G3425" s="4" t="s">
        <v>25230</v>
      </c>
      <c r="H3425" s="4">
        <v>12</v>
      </c>
      <c r="I3425" s="4" t="s">
        <v>2602</v>
      </c>
      <c r="J3425" s="4" t="str">
        <f>IFERROR(__XLUDF.DUMMYFUNCTION("VLOOKUP(H1141,IMPORTRANGE(""https://docs.google.com/spreadsheets/d/1opm6ZNvGZ7KditA9TuJwrZ25eFLfTNIkrNnY6mhV5Eg"",""list!A1:C115""),3,TRUE)"),"le secteur de la tech")</f>
        <v xml:space="preserve">le secteur de la tech</v>
      </c>
      <c r="K3425" s="5" t="s">
        <v>25231</v>
      </c>
      <c r="L3425" s="5" t="s">
        <v>25232</v>
      </c>
      <c r="M3425" s="4" t="s">
        <v>846</v>
      </c>
      <c r="N3425" s="4" t="s">
        <v>29</v>
      </c>
      <c r="O3425" s="4" t="s">
        <v>25233</v>
      </c>
      <c r="P3425" s="4" t="s">
        <v>29</v>
      </c>
      <c r="Q3425" s="4" t="s">
        <v>25234</v>
      </c>
      <c r="R3425" s="6"/>
      <c r="S3425" s="6"/>
      <c r="T3425" s="6"/>
      <c r="U3425" s="6"/>
      <c r="V3425" s="6"/>
      <c r="W3425" s="6"/>
      <c r="X3425" s="6"/>
      <c r="Y3425" s="6"/>
      <c r="Z3425" s="6"/>
      <c r="AA3425" s="6"/>
    </row>
    <row r="3426" ht="14.25">
      <c r="B3426" s="4" t="s">
        <v>808</v>
      </c>
      <c r="C3426" s="4" t="s">
        <v>25235</v>
      </c>
      <c r="D3426" s="4" t="s">
        <v>426</v>
      </c>
      <c r="E3426" s="4" t="s">
        <v>25236</v>
      </c>
      <c r="F3426" s="4" t="str">
        <f>IFERROR(__XLUDF.DUMMYFUNCTION("PROPER(REGEXREPLACE(D1142,""[^A-Za-z]+ "",""""))"),"Adding Sas")</f>
        <v xml:space="preserve">Adding Sas</v>
      </c>
      <c r="G3426" s="4" t="s">
        <v>25237</v>
      </c>
      <c r="H3426" s="4">
        <v>26</v>
      </c>
      <c r="I3426" s="4" t="s">
        <v>4067</v>
      </c>
      <c r="J3426" s="4"/>
      <c r="K3426" s="5" t="s">
        <v>25238</v>
      </c>
      <c r="L3426" s="5" t="s">
        <v>25239</v>
      </c>
      <c r="M3426" s="6"/>
      <c r="N3426" s="4" t="s">
        <v>29</v>
      </c>
      <c r="O3426" s="4" t="s">
        <v>25240</v>
      </c>
      <c r="P3426" s="4" t="s">
        <v>29</v>
      </c>
      <c r="Q3426" s="4" t="s">
        <v>25241</v>
      </c>
      <c r="R3426" s="6"/>
      <c r="S3426" s="6"/>
      <c r="T3426" s="6"/>
      <c r="U3426" s="6"/>
      <c r="V3426" s="6"/>
      <c r="W3426" s="6"/>
      <c r="X3426" s="6"/>
      <c r="Y3426" s="6"/>
      <c r="Z3426" s="6"/>
      <c r="AA3426" s="6"/>
    </row>
    <row r="3427" ht="14.25">
      <c r="B3427" s="4" t="s">
        <v>4188</v>
      </c>
      <c r="C3427" s="4" t="s">
        <v>25242</v>
      </c>
      <c r="D3427" s="4" t="s">
        <v>13976</v>
      </c>
      <c r="E3427" s="4" t="s">
        <v>13977</v>
      </c>
      <c r="F3427" s="4" t="str">
        <f>IFERROR(__XLUDF.DUMMYFUNCTION("PROPER(REGEXREPLACE(D1143,""[^A-Za-z]+ "",""""))"),"Nomiks")</f>
        <v>Nomiks</v>
      </c>
      <c r="G3427" s="4" t="s">
        <v>13975</v>
      </c>
      <c r="H3427" s="4">
        <v>21</v>
      </c>
      <c r="I3427" s="4" t="s">
        <v>2602</v>
      </c>
      <c r="J3427" s="4"/>
      <c r="K3427" s="5" t="s">
        <v>25243</v>
      </c>
      <c r="L3427" s="5" t="s">
        <v>25244</v>
      </c>
      <c r="M3427" s="4" t="s">
        <v>2149</v>
      </c>
      <c r="N3427" s="4" t="s">
        <v>29</v>
      </c>
      <c r="O3427" s="4" t="s">
        <v>8682</v>
      </c>
      <c r="P3427" s="4" t="s">
        <v>1938</v>
      </c>
      <c r="Q3427" s="4" t="s">
        <v>13981</v>
      </c>
      <c r="R3427" s="6"/>
      <c r="S3427" s="6"/>
      <c r="T3427" s="6"/>
      <c r="U3427" s="6"/>
      <c r="V3427" s="6"/>
      <c r="W3427" s="6"/>
      <c r="X3427" s="6"/>
      <c r="Y3427" s="6"/>
      <c r="Z3427" s="6"/>
      <c r="AA3427" s="6"/>
    </row>
    <row r="3428" ht="14.25">
      <c r="B3428" s="4" t="s">
        <v>3673</v>
      </c>
      <c r="C3428" s="4" t="s">
        <v>7548</v>
      </c>
      <c r="D3428" s="4" t="s">
        <v>164</v>
      </c>
      <c r="E3428" s="4" t="s">
        <v>25245</v>
      </c>
      <c r="F3428" s="4" t="str">
        <f>IFERROR(__XLUDF.DUMMYFUNCTION("PROPER(REGEXREPLACE(D1144,""[^A-Za-z]+ "",""""))"),"Lean Sensei")</f>
        <v xml:space="preserve">Lean Sensei</v>
      </c>
      <c r="G3428" s="4" t="s">
        <v>25246</v>
      </c>
      <c r="H3428" s="4">
        <v>16</v>
      </c>
      <c r="I3428" s="4" t="s">
        <v>4067</v>
      </c>
      <c r="J3428" s="4" t="str">
        <f>IFERROR(__XLUDF.DUMMYFUNCTION("VLOOKUP(H1144,IMPORTRANGE(""https://docs.google.com/spreadsheets/d/1opm6ZNvGZ7KditA9TuJwrZ25eFLfTNIkrNnY6mhV5Eg"",""list!A1:C115""),3,TRUE)"),"le secteur du conseil en management")</f>
        <v xml:space="preserve">le secteur du conseil en management</v>
      </c>
      <c r="K3428" s="5" t="s">
        <v>25247</v>
      </c>
      <c r="L3428" s="5" t="s">
        <v>25248</v>
      </c>
      <c r="M3428" s="6"/>
      <c r="N3428" s="4" t="s">
        <v>29</v>
      </c>
      <c r="O3428" s="4" t="s">
        <v>67</v>
      </c>
      <c r="P3428" s="4" t="s">
        <v>29</v>
      </c>
      <c r="Q3428" s="4" t="s">
        <v>25249</v>
      </c>
      <c r="R3428" s="6"/>
      <c r="S3428" s="6"/>
      <c r="T3428" s="6"/>
      <c r="U3428" s="6"/>
      <c r="V3428" s="6"/>
      <c r="W3428" s="6"/>
      <c r="X3428" s="6"/>
      <c r="Y3428" s="6"/>
      <c r="Z3428" s="6"/>
      <c r="AA3428" s="6"/>
    </row>
    <row r="3429" ht="14.25">
      <c r="B3429" s="4" t="s">
        <v>322</v>
      </c>
      <c r="C3429" s="4" t="s">
        <v>25250</v>
      </c>
      <c r="D3429" s="4" t="s">
        <v>62</v>
      </c>
      <c r="E3429" s="4" t="s">
        <v>25251</v>
      </c>
      <c r="F3429" s="4" t="str">
        <f>IFERROR(__XLUDF.DUMMYFUNCTION("PROPER(REGEXREPLACE(D1145,""[^A-Za-z]+ "",""""))"),"Esprit Padel Shop")</f>
        <v xml:space="preserve">Esprit Padel Shop</v>
      </c>
      <c r="G3429" s="4" t="s">
        <v>25252</v>
      </c>
      <c r="H3429" s="4">
        <v>11</v>
      </c>
      <c r="I3429" s="4" t="s">
        <v>4525</v>
      </c>
      <c r="J3429" s="4" t="str">
        <f>IFERROR(__XLUDF.DUMMYFUNCTION("VLOOKUP(H1145,IMPORTRANGE(""https://docs.google.com/spreadsheets/d/1opm6ZNvGZ7KditA9TuJwrZ25eFLfTNIkrNnY6mhV5Eg"",""list!A1:C115""),3,TRUE)"),"le secteur du retail")</f>
        <v xml:space="preserve">le secteur du retail</v>
      </c>
      <c r="K3429" s="5" t="s">
        <v>25253</v>
      </c>
      <c r="L3429" s="5" t="s">
        <v>25254</v>
      </c>
      <c r="M3429" s="4" t="s">
        <v>185</v>
      </c>
      <c r="N3429" s="4" t="s">
        <v>29</v>
      </c>
      <c r="O3429" s="4" t="s">
        <v>25255</v>
      </c>
      <c r="P3429" s="4" t="s">
        <v>29</v>
      </c>
      <c r="Q3429" s="4" t="s">
        <v>25256</v>
      </c>
      <c r="R3429" s="6"/>
      <c r="S3429" s="6"/>
      <c r="T3429" s="6"/>
      <c r="U3429" s="6"/>
      <c r="V3429" s="6"/>
      <c r="W3429" s="6"/>
      <c r="X3429" s="6"/>
      <c r="Y3429" s="6"/>
      <c r="Z3429" s="6"/>
      <c r="AA3429" s="6"/>
    </row>
    <row r="3430" ht="14.25">
      <c r="B3430" s="4" t="s">
        <v>118</v>
      </c>
      <c r="C3430" s="4" t="s">
        <v>16893</v>
      </c>
      <c r="D3430" s="4" t="s">
        <v>247</v>
      </c>
      <c r="E3430" s="4" t="s">
        <v>12612</v>
      </c>
      <c r="F3430" s="4" t="str">
        <f>IFERROR(__XLUDF.DUMMYFUNCTION("PROPER(REGEXREPLACE(D1146,""[^A-Za-z]+ "",""""))"),"The Big Whale")</f>
        <v xml:space="preserve">The Big Whale</v>
      </c>
      <c r="G3430" s="4" t="s">
        <v>25257</v>
      </c>
      <c r="H3430" s="4">
        <v>34</v>
      </c>
      <c r="I3430" s="4" t="s">
        <v>9184</v>
      </c>
      <c r="J3430" s="4"/>
      <c r="K3430" s="5" t="s">
        <v>25258</v>
      </c>
      <c r="L3430" s="5" t="s">
        <v>20066</v>
      </c>
      <c r="M3430" s="4" t="s">
        <v>39</v>
      </c>
      <c r="N3430" s="4" t="s">
        <v>29</v>
      </c>
      <c r="O3430" s="4" t="s">
        <v>67</v>
      </c>
      <c r="P3430" s="4" t="s">
        <v>29</v>
      </c>
      <c r="Q3430" s="4" t="s">
        <v>12615</v>
      </c>
      <c r="R3430" s="6"/>
      <c r="S3430" s="6"/>
      <c r="T3430" s="6"/>
      <c r="U3430" s="6"/>
      <c r="V3430" s="6"/>
      <c r="W3430" s="6"/>
      <c r="X3430" s="6"/>
      <c r="Y3430" s="6"/>
      <c r="Z3430" s="6"/>
      <c r="AA3430" s="6"/>
    </row>
    <row r="3431" ht="14.25">
      <c r="B3431" s="4" t="s">
        <v>670</v>
      </c>
      <c r="C3431" s="4" t="s">
        <v>25259</v>
      </c>
      <c r="D3431" s="4" t="s">
        <v>5500</v>
      </c>
      <c r="E3431" s="4" t="s">
        <v>25260</v>
      </c>
      <c r="F3431" s="4" t="str">
        <f>IFERROR(__XLUDF.DUMMYFUNCTION("PROPER(REGEXREPLACE(D1147,""[^A-Za-z]+ "",""""))"),"Calasys")</f>
        <v>Calasys</v>
      </c>
      <c r="G3431" s="4" t="s">
        <v>25261</v>
      </c>
      <c r="H3431" s="4">
        <v>29</v>
      </c>
      <c r="I3431" s="4" t="s">
        <v>2602</v>
      </c>
      <c r="J3431" s="4"/>
      <c r="K3431" s="5" t="s">
        <v>25262</v>
      </c>
      <c r="L3431" s="5" t="s">
        <v>25263</v>
      </c>
      <c r="M3431" s="4" t="s">
        <v>12149</v>
      </c>
      <c r="N3431" s="4" t="s">
        <v>29</v>
      </c>
      <c r="O3431" s="4" t="s">
        <v>25264</v>
      </c>
      <c r="P3431" s="4" t="s">
        <v>29</v>
      </c>
      <c r="Q3431" s="4" t="s">
        <v>25265</v>
      </c>
      <c r="R3431" s="6"/>
      <c r="S3431" s="6"/>
      <c r="T3431" s="6"/>
      <c r="U3431" s="6"/>
      <c r="V3431" s="6"/>
      <c r="W3431" s="6"/>
      <c r="X3431" s="6"/>
      <c r="Y3431" s="6"/>
      <c r="Z3431" s="6"/>
      <c r="AA3431" s="6"/>
    </row>
    <row r="3432" ht="14.25">
      <c r="B3432" s="4" t="s">
        <v>378</v>
      </c>
      <c r="C3432" s="4" t="s">
        <v>25266</v>
      </c>
      <c r="D3432" s="4" t="s">
        <v>2636</v>
      </c>
      <c r="E3432" s="4" t="s">
        <v>25267</v>
      </c>
      <c r="F3432" s="4" t="str">
        <f>IFERROR(__XLUDF.DUMMYFUNCTION("PROPER(REGEXREPLACE(D1148,""[^A-Za-z]+ "",""""))"),"Leades")</f>
        <v>Leades</v>
      </c>
      <c r="G3432" s="4" t="s">
        <v>25268</v>
      </c>
      <c r="H3432" s="4">
        <v>19</v>
      </c>
      <c r="I3432" s="4" t="s">
        <v>2602</v>
      </c>
      <c r="J3432" s="4"/>
      <c r="K3432" s="5" t="s">
        <v>25269</v>
      </c>
      <c r="L3432" s="5" t="s">
        <v>25270</v>
      </c>
      <c r="M3432" s="4" t="s">
        <v>25271</v>
      </c>
      <c r="N3432" s="4" t="s">
        <v>29</v>
      </c>
      <c r="O3432" s="4" t="s">
        <v>25272</v>
      </c>
      <c r="P3432" s="4" t="s">
        <v>29</v>
      </c>
      <c r="Q3432" s="4" t="s">
        <v>25273</v>
      </c>
      <c r="R3432" s="6"/>
      <c r="S3432" s="6"/>
      <c r="T3432" s="6"/>
      <c r="U3432" s="6"/>
      <c r="V3432" s="6"/>
      <c r="W3432" s="6"/>
      <c r="X3432" s="6"/>
      <c r="Y3432" s="6"/>
      <c r="Z3432" s="6"/>
      <c r="AA3432" s="6"/>
    </row>
    <row r="3433" ht="14.25">
      <c r="B3433" s="4" t="s">
        <v>25274</v>
      </c>
      <c r="C3433" s="4" t="s">
        <v>25275</v>
      </c>
      <c r="D3433" s="4" t="s">
        <v>247</v>
      </c>
      <c r="E3433" s="4" t="s">
        <v>25276</v>
      </c>
      <c r="F3433" s="4" t="str">
        <f>IFERROR(__XLUDF.DUMMYFUNCTION("PROPER(REGEXREPLACE(D1149,""[^A-Za-z]+ "",""""))"),"Gitbook")</f>
        <v>Gitbook</v>
      </c>
      <c r="G3433" s="4" t="s">
        <v>25277</v>
      </c>
      <c r="H3433" s="4">
        <v>35</v>
      </c>
      <c r="I3433" s="4" t="s">
        <v>2602</v>
      </c>
      <c r="J3433" s="4"/>
      <c r="K3433" s="5" t="s">
        <v>25278</v>
      </c>
      <c r="L3433" s="5" t="s">
        <v>25279</v>
      </c>
      <c r="M3433" s="6"/>
      <c r="N3433" s="4" t="s">
        <v>29</v>
      </c>
      <c r="O3433" s="4" t="s">
        <v>25280</v>
      </c>
      <c r="P3433" s="4" t="s">
        <v>29</v>
      </c>
      <c r="Q3433" s="6"/>
      <c r="R3433" s="6"/>
      <c r="S3433" s="6"/>
      <c r="T3433" s="6"/>
      <c r="U3433" s="6"/>
      <c r="V3433" s="6"/>
      <c r="W3433" s="6"/>
      <c r="X3433" s="6"/>
      <c r="Y3433" s="6"/>
      <c r="Z3433" s="6"/>
      <c r="AA3433" s="6"/>
    </row>
    <row r="3434" ht="14.25">
      <c r="B3434" s="4" t="s">
        <v>2419</v>
      </c>
      <c r="C3434" s="4" t="s">
        <v>25281</v>
      </c>
      <c r="D3434" s="4" t="s">
        <v>468</v>
      </c>
      <c r="E3434" s="4" t="s">
        <v>25282</v>
      </c>
      <c r="F3434" s="4" t="str">
        <f>IFERROR(__XLUDF.DUMMYFUNCTION("PROPER(REGEXREPLACE(D1150,""[^A-Za-z]+ "",""""))"),"Socamont")</f>
        <v>Socamont</v>
      </c>
      <c r="G3434" s="4" t="s">
        <v>25283</v>
      </c>
      <c r="H3434" s="4">
        <v>39</v>
      </c>
      <c r="I3434" s="4" t="s">
        <v>9184</v>
      </c>
      <c r="J3434" s="4" t="str">
        <f>IFERROR(__XLUDF.DUMMYFUNCTION("VLOOKUP(H1150,IMPORTRANGE(""https://docs.google.com/spreadsheets/d/1opm6ZNvGZ7KditA9TuJwrZ25eFLfTNIkrNnY6mhV5Eg"",""list!A1:C115""),3,TRUE)"),"le secteur des télécommunications")</f>
        <v xml:space="preserve">le secteur des télécommunications</v>
      </c>
      <c r="K3434" s="5" t="s">
        <v>25284</v>
      </c>
      <c r="L3434" s="5" t="s">
        <v>25285</v>
      </c>
      <c r="M3434" s="6"/>
      <c r="N3434" s="4" t="s">
        <v>29</v>
      </c>
      <c r="O3434" s="4" t="s">
        <v>25286</v>
      </c>
      <c r="P3434" s="4" t="s">
        <v>29</v>
      </c>
      <c r="Q3434" s="4" t="s">
        <v>25287</v>
      </c>
      <c r="R3434" s="6"/>
      <c r="S3434" s="6"/>
      <c r="T3434" s="6"/>
      <c r="U3434" s="6"/>
      <c r="V3434" s="6"/>
      <c r="W3434" s="6"/>
      <c r="X3434" s="6"/>
      <c r="Y3434" s="6"/>
      <c r="Z3434" s="6"/>
      <c r="AA3434" s="6"/>
    </row>
    <row r="3435" ht="14.25">
      <c r="B3435" s="4" t="s">
        <v>1583</v>
      </c>
      <c r="C3435" s="4" t="s">
        <v>25288</v>
      </c>
      <c r="D3435" s="4" t="s">
        <v>25289</v>
      </c>
      <c r="E3435" s="4" t="s">
        <v>25290</v>
      </c>
      <c r="F3435" s="4" t="str">
        <f>IFERROR(__XLUDF.DUMMYFUNCTION("PROPER(REGEXREPLACE(D1151,""[^A-Za-z]+ "",""""))"),"Trema")</f>
        <v>Trema</v>
      </c>
      <c r="G3435" s="4" t="s">
        <v>25291</v>
      </c>
      <c r="H3435" s="4">
        <v>44</v>
      </c>
      <c r="I3435" s="4" t="s">
        <v>9161</v>
      </c>
      <c r="J3435" s="4" t="str">
        <f>IFERROR(__XLUDF.DUMMYFUNCTION("VLOOKUP(H1151,IMPORTRANGE(""https://docs.google.com/spreadsheets/d/1opm6ZNvGZ7KditA9TuJwrZ25eFLfTNIkrNnY6mhV5Eg"",""list!A1:C115""),3,TRUE)"),"le secteur du marketing")</f>
        <v xml:space="preserve">le secteur du marketing</v>
      </c>
      <c r="K3435" s="5" t="s">
        <v>25292</v>
      </c>
      <c r="L3435" s="5" t="s">
        <v>25293</v>
      </c>
      <c r="M3435" s="4" t="s">
        <v>25294</v>
      </c>
      <c r="N3435" s="4" t="s">
        <v>29</v>
      </c>
      <c r="O3435" s="4" t="s">
        <v>25295</v>
      </c>
      <c r="P3435" s="4" t="s">
        <v>29</v>
      </c>
      <c r="Q3435" s="6"/>
      <c r="R3435" s="6"/>
      <c r="S3435" s="6"/>
      <c r="T3435" s="6"/>
      <c r="U3435" s="6"/>
      <c r="V3435" s="6"/>
      <c r="W3435" s="6"/>
      <c r="X3435" s="6"/>
      <c r="Y3435" s="6"/>
      <c r="Z3435" s="6"/>
      <c r="AA3435" s="6"/>
    </row>
    <row r="3436" ht="14.25">
      <c r="B3436" s="4" t="s">
        <v>571</v>
      </c>
      <c r="C3436" s="4" t="s">
        <v>25296</v>
      </c>
      <c r="D3436" s="4" t="s">
        <v>87</v>
      </c>
      <c r="E3436" s="4" t="s">
        <v>25297</v>
      </c>
      <c r="F3436" s="4" t="str">
        <f>IFERROR(__XLUDF.DUMMYFUNCTION("PROPER(REGEXREPLACE(D1152,""[^A-Za-z]+ "",""""))"),"Groupe Gaïana")</f>
        <v xml:space="preserve">Groupe Gaïana</v>
      </c>
      <c r="G3436" s="4" t="s">
        <v>25298</v>
      </c>
      <c r="H3436" s="4">
        <v>28</v>
      </c>
      <c r="I3436" s="4" t="s">
        <v>2602</v>
      </c>
      <c r="J3436" s="4" t="str">
        <f>IFERROR(__XLUDF.DUMMYFUNCTION("VLOOKUP(H1152,IMPORTRANGE(""https://docs.google.com/spreadsheets/d/1opm6ZNvGZ7KditA9TuJwrZ25eFLfTNIkrNnY6mhV5Eg"",""list!A1:C115""),3,TRUE)"),"le secteur de la tech")</f>
        <v xml:space="preserve">le secteur de la tech</v>
      </c>
      <c r="K3436" s="5" t="s">
        <v>25299</v>
      </c>
      <c r="L3436" s="5" t="s">
        <v>25300</v>
      </c>
      <c r="M3436" s="6"/>
      <c r="N3436" s="4" t="s">
        <v>29</v>
      </c>
      <c r="O3436" s="4" t="s">
        <v>25301</v>
      </c>
      <c r="P3436" s="4" t="s">
        <v>29</v>
      </c>
      <c r="Q3436" s="6"/>
      <c r="R3436" s="6"/>
      <c r="S3436" s="6"/>
      <c r="T3436" s="6"/>
      <c r="U3436" s="6"/>
      <c r="V3436" s="6"/>
      <c r="W3436" s="6"/>
      <c r="X3436" s="6"/>
      <c r="Y3436" s="6"/>
      <c r="Z3436" s="6"/>
      <c r="AA3436" s="6"/>
    </row>
    <row r="3437" ht="14.25">
      <c r="B3437" s="4" t="s">
        <v>15070</v>
      </c>
      <c r="C3437" s="4" t="s">
        <v>25302</v>
      </c>
      <c r="D3437" s="4" t="s">
        <v>25303</v>
      </c>
      <c r="E3437" s="4" t="s">
        <v>25304</v>
      </c>
      <c r="F3437" s="4" t="str">
        <f>IFERROR(__XLUDF.DUMMYFUNCTION("PROPER(REGEXREPLACE(D1153,""[^A-Za-z]+ "",""""))"),"Stack It")</f>
        <v xml:space="preserve">Stack It</v>
      </c>
      <c r="G3437" s="4" t="s">
        <v>25305</v>
      </c>
      <c r="H3437" s="4">
        <v>46</v>
      </c>
      <c r="I3437" s="4" t="s">
        <v>2602</v>
      </c>
      <c r="J3437" s="4" t="str">
        <f>IFERROR(__XLUDF.DUMMYFUNCTION("VLOOKUP(H1153,IMPORTRANGE(""https://docs.google.com/spreadsheets/d/1opm6ZNvGZ7KditA9TuJwrZ25eFLfTNIkrNnY6mhV5Eg"",""list!A1:C115""),3,TRUE)"),"le secteur de la tech")</f>
        <v xml:space="preserve">le secteur de la tech</v>
      </c>
      <c r="K3437" s="5" t="s">
        <v>25306</v>
      </c>
      <c r="L3437" s="5" t="s">
        <v>25307</v>
      </c>
      <c r="M3437" s="4" t="s">
        <v>39</v>
      </c>
      <c r="N3437" s="4" t="s">
        <v>29</v>
      </c>
      <c r="O3437" s="4" t="s">
        <v>25308</v>
      </c>
      <c r="P3437" s="4" t="s">
        <v>1261</v>
      </c>
      <c r="Q3437" s="6"/>
      <c r="R3437" s="6"/>
      <c r="S3437" s="6"/>
      <c r="T3437" s="6"/>
      <c r="U3437" s="6"/>
      <c r="V3437" s="6"/>
      <c r="W3437" s="6"/>
      <c r="X3437" s="6"/>
      <c r="Y3437" s="6"/>
      <c r="Z3437" s="6"/>
      <c r="AA3437" s="6"/>
    </row>
    <row r="3438" ht="14.25">
      <c r="B3438" s="4" t="s">
        <v>571</v>
      </c>
      <c r="C3438" s="4" t="s">
        <v>25309</v>
      </c>
      <c r="D3438" s="4" t="s">
        <v>25310</v>
      </c>
      <c r="E3438" s="4" t="s">
        <v>23616</v>
      </c>
      <c r="F3438" s="4" t="str">
        <f>IFERROR(__XLUDF.DUMMYFUNCTION("PROPER(REGEXREPLACE(D1154,""[^A-Za-z]+ "",""""))"),"Digital Pharma Lab")</f>
        <v xml:space="preserve">Digital Pharma Lab</v>
      </c>
      <c r="G3438" s="4" t="s">
        <v>25311</v>
      </c>
      <c r="H3438" s="4">
        <v>16</v>
      </c>
      <c r="I3438" s="4" t="s">
        <v>4067</v>
      </c>
      <c r="J3438" s="4"/>
      <c r="K3438" s="5" t="s">
        <v>25312</v>
      </c>
      <c r="L3438" s="5" t="s">
        <v>23619</v>
      </c>
      <c r="M3438" s="4" t="s">
        <v>39</v>
      </c>
      <c r="N3438" s="4" t="s">
        <v>29</v>
      </c>
      <c r="O3438" s="4" t="s">
        <v>23620</v>
      </c>
      <c r="P3438" s="4" t="s">
        <v>29</v>
      </c>
      <c r="Q3438" s="4" t="s">
        <v>23621</v>
      </c>
      <c r="R3438" s="6"/>
      <c r="S3438" s="6"/>
      <c r="T3438" s="6"/>
      <c r="U3438" s="6"/>
      <c r="V3438" s="6"/>
      <c r="W3438" s="6"/>
      <c r="X3438" s="6"/>
      <c r="Y3438" s="6"/>
      <c r="Z3438" s="6"/>
      <c r="AA3438" s="6"/>
    </row>
    <row r="3439" ht="14.25">
      <c r="B3439" s="4" t="s">
        <v>622</v>
      </c>
      <c r="C3439" s="4" t="s">
        <v>25313</v>
      </c>
      <c r="D3439" s="4" t="s">
        <v>172</v>
      </c>
      <c r="E3439" s="4" t="s">
        <v>25314</v>
      </c>
      <c r="F3439" s="4" t="str">
        <f>IFERROR(__XLUDF.DUMMYFUNCTION("PROPER(REGEXREPLACE(D1155,""[^A-Za-z]+ "",""""))"),"Liquidarom En Provence")</f>
        <v xml:space="preserve">Liquidarom En Provence</v>
      </c>
      <c r="G3439" s="4" t="s">
        <v>25315</v>
      </c>
      <c r="H3439" s="4">
        <v>39</v>
      </c>
      <c r="I3439" s="4" t="s">
        <v>4525</v>
      </c>
      <c r="J3439" s="4"/>
      <c r="K3439" s="5" t="s">
        <v>25316</v>
      </c>
      <c r="L3439" s="5" t="s">
        <v>25317</v>
      </c>
      <c r="M3439" s="4" t="s">
        <v>25318</v>
      </c>
      <c r="N3439" s="4" t="s">
        <v>29</v>
      </c>
      <c r="O3439" s="4" t="s">
        <v>25319</v>
      </c>
      <c r="P3439" s="4" t="s">
        <v>29</v>
      </c>
      <c r="Q3439" s="6"/>
      <c r="R3439" s="6"/>
      <c r="S3439" s="6"/>
      <c r="T3439" s="6"/>
      <c r="U3439" s="6"/>
      <c r="V3439" s="6"/>
      <c r="W3439" s="6"/>
      <c r="X3439" s="6"/>
      <c r="Y3439" s="6"/>
      <c r="Z3439" s="6"/>
      <c r="AA3439" s="6"/>
    </row>
    <row r="3440" ht="14.25">
      <c r="B3440" s="4" t="s">
        <v>7323</v>
      </c>
      <c r="C3440" s="4" t="s">
        <v>25320</v>
      </c>
      <c r="D3440" s="4" t="s">
        <v>25321</v>
      </c>
      <c r="E3440" s="4" t="s">
        <v>25322</v>
      </c>
      <c r="F3440" s="4" t="str">
        <f>IFERROR(__XLUDF.DUMMYFUNCTION("PROPER(REGEXREPLACE(D1156,""[^A-Za-z]+ "",""""))"),"Healtis")</f>
        <v>Healtis</v>
      </c>
      <c r="G3440" s="4" t="s">
        <v>25323</v>
      </c>
      <c r="H3440" s="4">
        <v>16</v>
      </c>
      <c r="I3440" s="4" t="s">
        <v>4067</v>
      </c>
      <c r="J3440" s="4"/>
      <c r="K3440" s="5" t="s">
        <v>25324</v>
      </c>
      <c r="L3440" s="5" t="s">
        <v>25325</v>
      </c>
      <c r="M3440" s="4" t="s">
        <v>1780</v>
      </c>
      <c r="N3440" s="4" t="s">
        <v>29</v>
      </c>
      <c r="O3440" s="4" t="s">
        <v>21067</v>
      </c>
      <c r="P3440" s="4" t="s">
        <v>29</v>
      </c>
      <c r="Q3440" s="6"/>
      <c r="R3440" s="6"/>
      <c r="S3440" s="6"/>
      <c r="T3440" s="6"/>
      <c r="U3440" s="6"/>
      <c r="V3440" s="6"/>
      <c r="W3440" s="6"/>
      <c r="X3440" s="6"/>
      <c r="Y3440" s="6"/>
      <c r="Z3440" s="6"/>
      <c r="AA3440" s="6"/>
    </row>
    <row r="3441" ht="14.25">
      <c r="B3441" s="4" t="s">
        <v>1009</v>
      </c>
      <c r="C3441" s="4" t="s">
        <v>25326</v>
      </c>
      <c r="D3441" s="4" t="s">
        <v>25327</v>
      </c>
      <c r="E3441" s="4" t="s">
        <v>25328</v>
      </c>
      <c r="F3441" s="4" t="str">
        <f>IFERROR(__XLUDF.DUMMYFUNCTION("PROPER(REGEXREPLACE(D1157,""[^A-Za-z]+ "",""""))"),"Maison Julien")</f>
        <v xml:space="preserve">Maison Julien</v>
      </c>
      <c r="G3441" s="4" t="s">
        <v>25329</v>
      </c>
      <c r="H3441" s="4">
        <v>16</v>
      </c>
      <c r="I3441" s="4" t="s">
        <v>4525</v>
      </c>
      <c r="J3441" s="4"/>
      <c r="K3441" s="5" t="s">
        <v>25330</v>
      </c>
      <c r="L3441" s="5" t="s">
        <v>25331</v>
      </c>
      <c r="M3441" s="4" t="s">
        <v>3049</v>
      </c>
      <c r="N3441" s="4" t="s">
        <v>29</v>
      </c>
      <c r="O3441" s="4" t="s">
        <v>25332</v>
      </c>
      <c r="P3441" s="4" t="s">
        <v>29</v>
      </c>
      <c r="Q3441" s="4" t="s">
        <v>25333</v>
      </c>
      <c r="R3441" s="6"/>
      <c r="S3441" s="6"/>
      <c r="T3441" s="6"/>
      <c r="U3441" s="6"/>
      <c r="V3441" s="6"/>
      <c r="W3441" s="6"/>
      <c r="X3441" s="6"/>
      <c r="Y3441" s="6"/>
      <c r="Z3441" s="6"/>
      <c r="AA3441" s="6"/>
    </row>
    <row r="3442" ht="14.25">
      <c r="B3442" s="4" t="s">
        <v>579</v>
      </c>
      <c r="C3442" s="4" t="s">
        <v>25334</v>
      </c>
      <c r="D3442" s="4" t="s">
        <v>468</v>
      </c>
      <c r="E3442" s="4" t="s">
        <v>25335</v>
      </c>
      <c r="F3442" s="4" t="str">
        <f>IFERROR(__XLUDF.DUMMYFUNCTION("PROPER(REGEXREPLACE(D1158,""[^A-Za-z]+ "",""""))"),"Cicommunication")</f>
        <v>Cicommunication</v>
      </c>
      <c r="G3442" s="4" t="s">
        <v>25336</v>
      </c>
      <c r="H3442" s="4">
        <v>20</v>
      </c>
      <c r="I3442" s="4" t="s">
        <v>10639</v>
      </c>
      <c r="J3442" s="4" t="str">
        <f>IFERROR(__XLUDF.DUMMYFUNCTION("VLOOKUP(H1158,IMPORTRANGE(""https://docs.google.com/spreadsheets/d/1opm6ZNvGZ7KditA9TuJwrZ25eFLfTNIkrNnY6mhV5Eg"",""list!A1:C115""),3,TRUE)"),"le secteur de la communication")</f>
        <v xml:space="preserve">le secteur de la communication</v>
      </c>
      <c r="K3442" s="5" t="s">
        <v>25337</v>
      </c>
      <c r="L3442" s="5" t="s">
        <v>25338</v>
      </c>
      <c r="M3442" s="4" t="s">
        <v>39</v>
      </c>
      <c r="N3442" s="4" t="s">
        <v>29</v>
      </c>
      <c r="O3442" s="4" t="s">
        <v>25339</v>
      </c>
      <c r="P3442" s="4" t="s">
        <v>29</v>
      </c>
      <c r="Q3442" s="4" t="s">
        <v>25340</v>
      </c>
      <c r="R3442" s="6"/>
      <c r="S3442" s="6"/>
      <c r="T3442" s="6"/>
      <c r="U3442" s="6"/>
      <c r="V3442" s="6"/>
      <c r="W3442" s="6"/>
      <c r="X3442" s="6"/>
      <c r="Y3442" s="6"/>
      <c r="Z3442" s="6"/>
      <c r="AA3442" s="6"/>
    </row>
    <row r="3443" ht="14.25">
      <c r="B3443" s="4" t="s">
        <v>1732</v>
      </c>
      <c r="C3443" s="4" t="s">
        <v>25341</v>
      </c>
      <c r="D3443" s="4" t="s">
        <v>172</v>
      </c>
      <c r="E3443" s="4" t="s">
        <v>25342</v>
      </c>
      <c r="F3443" s="4" t="str">
        <f>IFERROR(__XLUDF.DUMMYFUNCTION("PROPER(REGEXREPLACE(D1159,""[^A-Za-z]+ "",""""))"),"1Pacte Littoral")</f>
        <v xml:space="preserve">1Pacte Littoral</v>
      </c>
      <c r="G3443" s="4" t="s">
        <v>25343</v>
      </c>
      <c r="H3443" s="4">
        <v>19</v>
      </c>
      <c r="I3443" s="4" t="s">
        <v>2602</v>
      </c>
      <c r="J3443" s="4"/>
      <c r="K3443" s="5" t="s">
        <v>25344</v>
      </c>
      <c r="L3443" s="5" t="s">
        <v>25345</v>
      </c>
      <c r="M3443" s="4" t="s">
        <v>295</v>
      </c>
      <c r="N3443" s="4" t="s">
        <v>29</v>
      </c>
      <c r="O3443" s="4" t="s">
        <v>25346</v>
      </c>
      <c r="P3443" s="4" t="s">
        <v>29</v>
      </c>
      <c r="Q3443" s="4" t="s">
        <v>25347</v>
      </c>
      <c r="R3443" s="6"/>
      <c r="S3443" s="6"/>
      <c r="T3443" s="6"/>
      <c r="U3443" s="6"/>
      <c r="V3443" s="6"/>
      <c r="W3443" s="6"/>
      <c r="X3443" s="6"/>
      <c r="Y3443" s="6"/>
      <c r="Z3443" s="6"/>
      <c r="AA3443" s="6"/>
    </row>
    <row r="3444" ht="14.25">
      <c r="B3444" s="4" t="s">
        <v>25348</v>
      </c>
      <c r="C3444" s="4" t="s">
        <v>25349</v>
      </c>
      <c r="D3444" s="4" t="s">
        <v>247</v>
      </c>
      <c r="E3444" s="4" t="s">
        <v>25350</v>
      </c>
      <c r="F3444" s="4" t="str">
        <f>IFERROR(__XLUDF.DUMMYFUNCTION("PROPER(REGEXREPLACE(D1160,""[^A-Za-z]+ "",""""))"),"Cede Labs")</f>
        <v xml:space="preserve">Cede Labs</v>
      </c>
      <c r="G3444" s="4" t="s">
        <v>25351</v>
      </c>
      <c r="H3444" s="4">
        <v>10</v>
      </c>
      <c r="I3444" s="4" t="s">
        <v>2602</v>
      </c>
      <c r="J3444" s="4"/>
      <c r="K3444" s="5" t="s">
        <v>25352</v>
      </c>
      <c r="L3444" s="5" t="s">
        <v>25353</v>
      </c>
      <c r="M3444" s="4" t="s">
        <v>39</v>
      </c>
      <c r="N3444" s="4" t="s">
        <v>29</v>
      </c>
      <c r="O3444" s="4" t="s">
        <v>25354</v>
      </c>
      <c r="P3444" s="4" t="s">
        <v>29</v>
      </c>
      <c r="Q3444" s="4" t="s">
        <v>25355</v>
      </c>
      <c r="R3444" s="6"/>
      <c r="S3444" s="6"/>
      <c r="T3444" s="6"/>
      <c r="U3444" s="6"/>
      <c r="V3444" s="6"/>
      <c r="W3444" s="6"/>
      <c r="X3444" s="6"/>
      <c r="Y3444" s="6"/>
      <c r="Z3444" s="6"/>
      <c r="AA3444" s="6"/>
    </row>
    <row r="3445" ht="14.25">
      <c r="B3445" s="4" t="s">
        <v>1732</v>
      </c>
      <c r="C3445" s="4" t="s">
        <v>25356</v>
      </c>
      <c r="D3445" s="4" t="s">
        <v>172</v>
      </c>
      <c r="E3445" s="4" t="s">
        <v>25357</v>
      </c>
      <c r="F3445" s="4" t="str">
        <f>IFERROR(__XLUDF.DUMMYFUNCTION("PROPER(REGEXREPLACE(D1161,""[^A-Za-z]+ "",""""))"),"Seml Route Des Lasers")</f>
        <v xml:space="preserve">Seml Route Des Lasers</v>
      </c>
      <c r="G3445" s="4" t="s">
        <v>25358</v>
      </c>
      <c r="H3445" s="4">
        <v>21</v>
      </c>
      <c r="I3445" s="4" t="s">
        <v>4293</v>
      </c>
      <c r="J3445" s="4"/>
      <c r="K3445" s="5" t="s">
        <v>25359</v>
      </c>
      <c r="L3445" s="5" t="s">
        <v>25360</v>
      </c>
      <c r="M3445" s="6"/>
      <c r="N3445" s="4" t="s">
        <v>29</v>
      </c>
      <c r="O3445" s="4" t="s">
        <v>25361</v>
      </c>
      <c r="P3445" s="4" t="s">
        <v>29</v>
      </c>
      <c r="Q3445" s="6"/>
      <c r="R3445" s="6"/>
      <c r="S3445" s="6"/>
      <c r="T3445" s="6"/>
      <c r="U3445" s="6"/>
      <c r="V3445" s="6"/>
      <c r="W3445" s="6"/>
      <c r="X3445" s="6"/>
      <c r="Y3445" s="6"/>
      <c r="Z3445" s="6"/>
      <c r="AA3445" s="6"/>
    </row>
    <row r="3446" ht="14.25">
      <c r="B3446" s="4" t="s">
        <v>7914</v>
      </c>
      <c r="C3446" s="4" t="s">
        <v>25362</v>
      </c>
      <c r="D3446" s="4" t="s">
        <v>1130</v>
      </c>
      <c r="E3446" s="4" t="s">
        <v>25363</v>
      </c>
      <c r="F3446" s="4" t="str">
        <f>IFERROR(__XLUDF.DUMMYFUNCTION("PROPER(REGEXREPLACE(D1162,""[^A-Za-z]+ "",""""))"),"Appuy Créateurs")</f>
        <v xml:space="preserve">Appuy Créateurs</v>
      </c>
      <c r="G3446" s="4" t="s">
        <v>25364</v>
      </c>
      <c r="H3446" s="4">
        <v>41</v>
      </c>
      <c r="I3446" s="4" t="s">
        <v>4067</v>
      </c>
      <c r="J3446" s="4"/>
      <c r="K3446" s="5" t="s">
        <v>25365</v>
      </c>
      <c r="L3446" s="5" t="s">
        <v>25366</v>
      </c>
      <c r="M3446" s="4" t="s">
        <v>25211</v>
      </c>
      <c r="N3446" s="4" t="s">
        <v>29</v>
      </c>
      <c r="O3446" s="4" t="s">
        <v>25367</v>
      </c>
      <c r="P3446" s="4" t="s">
        <v>29</v>
      </c>
      <c r="Q3446" s="6"/>
      <c r="R3446" s="6"/>
      <c r="S3446" s="6"/>
      <c r="T3446" s="6"/>
      <c r="U3446" s="6"/>
      <c r="V3446" s="6"/>
      <c r="W3446" s="6"/>
      <c r="X3446" s="6"/>
      <c r="Y3446" s="6"/>
      <c r="Z3446" s="6"/>
      <c r="AA3446" s="6"/>
    </row>
    <row r="3447" ht="14.25">
      <c r="B3447" s="4" t="s">
        <v>986</v>
      </c>
      <c r="C3447" s="4" t="s">
        <v>25368</v>
      </c>
      <c r="D3447" s="4" t="s">
        <v>25369</v>
      </c>
      <c r="E3447" s="4" t="s">
        <v>25370</v>
      </c>
      <c r="F3447" s="4" t="str">
        <f>IFERROR(__XLUDF.DUMMYFUNCTION("PROPER(REGEXREPLACE(D1163,""[^A-Za-z]+ "",""""))"),"Kpam")</f>
        <v>Kpam</v>
      </c>
      <c r="G3447" s="4" t="s">
        <v>25371</v>
      </c>
      <c r="H3447" s="4">
        <v>14</v>
      </c>
      <c r="I3447" s="4" t="s">
        <v>4067</v>
      </c>
      <c r="J3447" s="4" t="str">
        <f>IFERROR(__XLUDF.DUMMYFUNCTION("VLOOKUP(H1163,IMPORTRANGE(""https://docs.google.com/spreadsheets/d/1opm6ZNvGZ7KditA9TuJwrZ25eFLfTNIkrNnY6mhV5Eg"",""list!A1:C115""),3,TRUE)"),"le secteur du conseil en management")</f>
        <v xml:space="preserve">le secteur du conseil en management</v>
      </c>
      <c r="K3447" s="5" t="s">
        <v>25372</v>
      </c>
      <c r="L3447" s="5" t="s">
        <v>25373</v>
      </c>
      <c r="M3447" s="6"/>
      <c r="N3447" s="4" t="s">
        <v>29</v>
      </c>
      <c r="O3447" s="4" t="s">
        <v>25374</v>
      </c>
      <c r="P3447" s="4" t="s">
        <v>29</v>
      </c>
      <c r="Q3447" s="4" t="s">
        <v>25375</v>
      </c>
      <c r="R3447" s="6"/>
      <c r="S3447" s="6"/>
      <c r="T3447" s="6"/>
      <c r="U3447" s="6"/>
      <c r="V3447" s="6"/>
      <c r="W3447" s="6"/>
      <c r="X3447" s="6"/>
      <c r="Y3447" s="6"/>
      <c r="Z3447" s="6"/>
      <c r="AA3447" s="6"/>
    </row>
    <row r="3448" ht="14.25">
      <c r="B3448" s="4" t="s">
        <v>322</v>
      </c>
      <c r="C3448" s="4" t="s">
        <v>6562</v>
      </c>
      <c r="D3448" s="4" t="s">
        <v>25376</v>
      </c>
      <c r="E3448" s="4" t="s">
        <v>17936</v>
      </c>
      <c r="F3448" s="4" t="str">
        <f>IFERROR(__XLUDF.DUMMYFUNCTION("PROPER(REGEXREPLACE(D1164,""[^A-Za-z]+ "",""""))"),"Linoa")</f>
        <v>Linoa</v>
      </c>
      <c r="G3448" s="4" t="s">
        <v>25377</v>
      </c>
      <c r="H3448" s="4">
        <v>11</v>
      </c>
      <c r="I3448" s="4" t="s">
        <v>2602</v>
      </c>
      <c r="J3448" s="4"/>
      <c r="K3448" s="5" t="s">
        <v>25378</v>
      </c>
      <c r="L3448" s="5" t="s">
        <v>17939</v>
      </c>
      <c r="M3448" s="6"/>
      <c r="N3448" s="4" t="s">
        <v>29</v>
      </c>
      <c r="O3448" s="4" t="s">
        <v>17940</v>
      </c>
      <c r="P3448" s="4" t="s">
        <v>29</v>
      </c>
      <c r="Q3448" s="6"/>
      <c r="R3448" s="6"/>
      <c r="S3448" s="6"/>
      <c r="T3448" s="6"/>
      <c r="U3448" s="6"/>
      <c r="V3448" s="6"/>
      <c r="W3448" s="6"/>
      <c r="X3448" s="6"/>
      <c r="Y3448" s="6"/>
      <c r="Z3448" s="6"/>
      <c r="AA3448" s="6"/>
    </row>
    <row r="3449" ht="14.25">
      <c r="B3449" s="4" t="s">
        <v>4115</v>
      </c>
      <c r="C3449" s="4" t="s">
        <v>25379</v>
      </c>
      <c r="D3449" s="4" t="s">
        <v>1072</v>
      </c>
      <c r="E3449" s="4" t="s">
        <v>25380</v>
      </c>
      <c r="F3449" s="4" t="str">
        <f>IFERROR(__XLUDF.DUMMYFUNCTION("PROPER(REGEXREPLACE(D1165,""[^A-Za-z]+ "",""""))"),"Maprochaineauto.Os")</f>
        <v>Maprochaineauto.Os</v>
      </c>
      <c r="G3449" s="4" t="s">
        <v>25381</v>
      </c>
      <c r="H3449" s="4">
        <v>10</v>
      </c>
      <c r="I3449" s="4" t="s">
        <v>2602</v>
      </c>
      <c r="J3449" s="4"/>
      <c r="K3449" s="5" t="s">
        <v>25382</v>
      </c>
      <c r="L3449" s="5" t="s">
        <v>25383</v>
      </c>
      <c r="M3449" s="4" t="s">
        <v>39</v>
      </c>
      <c r="N3449" s="4" t="s">
        <v>29</v>
      </c>
      <c r="O3449" s="4" t="s">
        <v>125</v>
      </c>
      <c r="P3449" s="4" t="s">
        <v>29</v>
      </c>
      <c r="Q3449" s="4" t="s">
        <v>25384</v>
      </c>
      <c r="R3449" s="6"/>
      <c r="S3449" s="6"/>
      <c r="T3449" s="6"/>
      <c r="U3449" s="6"/>
      <c r="V3449" s="6"/>
      <c r="W3449" s="6"/>
      <c r="X3449" s="6"/>
      <c r="Y3449" s="6"/>
      <c r="Z3449" s="6"/>
      <c r="AA3449" s="6"/>
    </row>
    <row r="3450" ht="14.25">
      <c r="B3450" s="4" t="s">
        <v>25385</v>
      </c>
      <c r="C3450" s="4" t="s">
        <v>21693</v>
      </c>
      <c r="D3450" s="4" t="s">
        <v>5003</v>
      </c>
      <c r="E3450" s="4" t="s">
        <v>21694</v>
      </c>
      <c r="F3450" s="4" t="str">
        <f>IFERROR(__XLUDF.DUMMYFUNCTION("PROPER(REGEXREPLACE(D1166,""[^A-Za-z]+ "",""""))"),"Les Couleurs Du Numérique")</f>
        <v xml:space="preserve">Les Couleurs Du Numérique</v>
      </c>
      <c r="G3450" s="4" t="s">
        <v>21695</v>
      </c>
      <c r="H3450" s="4">
        <v>10</v>
      </c>
      <c r="I3450" s="4" t="s">
        <v>2602</v>
      </c>
      <c r="J3450" s="4"/>
      <c r="K3450" s="5" t="s">
        <v>25386</v>
      </c>
      <c r="L3450" s="5" t="s">
        <v>21697</v>
      </c>
      <c r="M3450" s="4" t="s">
        <v>21493</v>
      </c>
      <c r="N3450" s="4" t="s">
        <v>29</v>
      </c>
      <c r="O3450" s="4" t="s">
        <v>21698</v>
      </c>
      <c r="P3450" s="4" t="s">
        <v>29</v>
      </c>
      <c r="Q3450" s="6"/>
      <c r="R3450" s="6"/>
      <c r="S3450" s="6"/>
      <c r="T3450" s="6"/>
      <c r="U3450" s="6"/>
      <c r="V3450" s="6"/>
      <c r="W3450" s="6"/>
      <c r="X3450" s="6"/>
      <c r="Y3450" s="6"/>
      <c r="Z3450" s="6"/>
      <c r="AA3450" s="6"/>
    </row>
    <row r="3451" ht="14.25">
      <c r="B3451" s="4" t="s">
        <v>2932</v>
      </c>
      <c r="C3451" s="4" t="s">
        <v>25387</v>
      </c>
      <c r="D3451" s="4" t="s">
        <v>172</v>
      </c>
      <c r="E3451" s="4" t="s">
        <v>25388</v>
      </c>
      <c r="F3451" s="4" t="str">
        <f>IFERROR(__XLUDF.DUMMYFUNCTION("PROPER(REGEXREPLACE(D1167,""[^A-Za-z]+ "",""""))"),"Schmit Tradition")</f>
        <v xml:space="preserve">Schmit Tradition</v>
      </c>
      <c r="G3451" s="4" t="s">
        <v>25389</v>
      </c>
      <c r="H3451" s="4">
        <v>10</v>
      </c>
      <c r="I3451" s="4" t="s">
        <v>25390</v>
      </c>
      <c r="J3451" s="4"/>
      <c r="K3451" s="5" t="s">
        <v>25391</v>
      </c>
      <c r="L3451" s="5" t="s">
        <v>25392</v>
      </c>
      <c r="M3451" s="4" t="s">
        <v>5449</v>
      </c>
      <c r="N3451" s="4" t="s">
        <v>29</v>
      </c>
      <c r="O3451" s="4" t="s">
        <v>25393</v>
      </c>
      <c r="P3451" s="4" t="s">
        <v>29</v>
      </c>
      <c r="Q3451" s="4" t="s">
        <v>25394</v>
      </c>
      <c r="R3451" s="6"/>
      <c r="S3451" s="6"/>
      <c r="T3451" s="6"/>
      <c r="U3451" s="6"/>
      <c r="V3451" s="6"/>
      <c r="W3451" s="6"/>
      <c r="X3451" s="6"/>
      <c r="Y3451" s="6"/>
      <c r="Z3451" s="6"/>
      <c r="AA3451" s="6"/>
    </row>
    <row r="3452" ht="14.25">
      <c r="B3452" s="4" t="s">
        <v>11701</v>
      </c>
      <c r="C3452" s="4" t="s">
        <v>25395</v>
      </c>
      <c r="D3452" s="4" t="s">
        <v>25396</v>
      </c>
      <c r="E3452" s="4" t="s">
        <v>25397</v>
      </c>
      <c r="F3452" s="4" t="str">
        <f>IFERROR(__XLUDF.DUMMYFUNCTION("PROPER(REGEXREPLACE(D1168,""[^A-Za-z]+ "",""""))"),"Klareodelivery Management")</f>
        <v xml:space="preserve">Klareodelivery Management</v>
      </c>
      <c r="G3452" s="4" t="s">
        <v>25398</v>
      </c>
      <c r="H3452" s="4">
        <v>17</v>
      </c>
      <c r="I3452" s="4" t="s">
        <v>2602</v>
      </c>
      <c r="J3452" s="4" t="str">
        <f>IFERROR(__XLUDF.DUMMYFUNCTION("VLOOKUP(H1168,IMPORTRANGE(""https://docs.google.com/spreadsheets/d/1opm6ZNvGZ7KditA9TuJwrZ25eFLfTNIkrNnY6mhV5Eg"",""list!A1:C115""),3,TRUE)"),"le secteur de la tech")</f>
        <v xml:space="preserve">le secteur de la tech</v>
      </c>
      <c r="K3452" s="5" t="s">
        <v>25399</v>
      </c>
      <c r="L3452" s="5" t="s">
        <v>25400</v>
      </c>
      <c r="M3452" s="4" t="s">
        <v>846</v>
      </c>
      <c r="N3452" s="4" t="s">
        <v>29</v>
      </c>
      <c r="O3452" s="4" t="s">
        <v>856</v>
      </c>
      <c r="P3452" s="4" t="s">
        <v>29</v>
      </c>
      <c r="Q3452" s="4" t="s">
        <v>25401</v>
      </c>
      <c r="R3452" s="6"/>
      <c r="S3452" s="6"/>
      <c r="T3452" s="6"/>
      <c r="U3452" s="6"/>
      <c r="V3452" s="6"/>
      <c r="W3452" s="6"/>
      <c r="X3452" s="6"/>
      <c r="Y3452" s="6"/>
      <c r="Z3452" s="6"/>
      <c r="AA3452" s="6"/>
    </row>
    <row r="3453" ht="14.25">
      <c r="B3453" s="4" t="s">
        <v>20</v>
      </c>
      <c r="C3453" s="4" t="s">
        <v>25402</v>
      </c>
      <c r="D3453" s="4" t="s">
        <v>87</v>
      </c>
      <c r="E3453" s="4" t="s">
        <v>18267</v>
      </c>
      <c r="F3453" s="4" t="str">
        <f>IFERROR(__XLUDF.DUMMYFUNCTION("PROPER(REGEXREPLACE(D1169,""[^A-Za-z]+ "",""""))"),"Olvid")</f>
        <v>Olvid</v>
      </c>
      <c r="G3453" s="4" t="s">
        <v>25403</v>
      </c>
      <c r="H3453" s="4">
        <v>15</v>
      </c>
      <c r="I3453" s="4" t="s">
        <v>9264</v>
      </c>
      <c r="J3453" s="4" t="str">
        <f>IFERROR(__XLUDF.DUMMYFUNCTION("VLOOKUP(H1169,IMPORTRANGE(""https://docs.google.com/spreadsheets/d/1opm6ZNvGZ7KditA9TuJwrZ25eFLfTNIkrNnY6mhV5Eg"",""list!A1:C115""),3,TRUE)"),"le secteur de la sécurité informatique")</f>
        <v xml:space="preserve">le secteur de la sécurité informatique</v>
      </c>
      <c r="K3453" s="5" t="s">
        <v>25404</v>
      </c>
      <c r="L3453" s="5" t="s">
        <v>18270</v>
      </c>
      <c r="M3453" s="4" t="s">
        <v>39</v>
      </c>
      <c r="N3453" s="4" t="s">
        <v>29</v>
      </c>
      <c r="O3453" s="4" t="s">
        <v>18271</v>
      </c>
      <c r="P3453" s="4" t="s">
        <v>29</v>
      </c>
      <c r="Q3453" s="6"/>
      <c r="R3453" s="6"/>
      <c r="S3453" s="6"/>
      <c r="T3453" s="6"/>
      <c r="U3453" s="6"/>
      <c r="V3453" s="6"/>
      <c r="W3453" s="6"/>
      <c r="X3453" s="6"/>
      <c r="Y3453" s="6"/>
      <c r="Z3453" s="6"/>
      <c r="AA3453" s="6"/>
    </row>
    <row r="3454" ht="14.25">
      <c r="B3454" s="4" t="s">
        <v>25405</v>
      </c>
      <c r="C3454" s="4" t="s">
        <v>25406</v>
      </c>
      <c r="D3454" s="4" t="s">
        <v>25407</v>
      </c>
      <c r="E3454" s="4" t="s">
        <v>25408</v>
      </c>
      <c r="F3454" s="4" t="str">
        <f>IFERROR(__XLUDF.DUMMYFUNCTION("PROPER(REGEXREPLACE(D1170,""[^A-Za-z]+ "",""""))"),"Videtics")</f>
        <v>Videtics</v>
      </c>
      <c r="G3454" s="4" t="s">
        <v>25409</v>
      </c>
      <c r="H3454" s="4">
        <v>21</v>
      </c>
      <c r="I3454" s="4" t="s">
        <v>2602</v>
      </c>
      <c r="J3454" s="4" t="str">
        <f>IFERROR(__XLUDF.DUMMYFUNCTION("VLOOKUP(H1170,IMPORTRANGE(""https://docs.google.com/spreadsheets/d/1opm6ZNvGZ7KditA9TuJwrZ25eFLfTNIkrNnY6mhV5Eg"",""list!A1:C115""),3,TRUE)"),"le secteur de la tech")</f>
        <v xml:space="preserve">le secteur de la tech</v>
      </c>
      <c r="K3454" s="5" t="s">
        <v>25410</v>
      </c>
      <c r="L3454" s="5" t="s">
        <v>25411</v>
      </c>
      <c r="M3454" s="4" t="s">
        <v>49</v>
      </c>
      <c r="N3454" s="4" t="s">
        <v>29</v>
      </c>
      <c r="O3454" s="4" t="s">
        <v>783</v>
      </c>
      <c r="P3454" s="4" t="s">
        <v>29</v>
      </c>
      <c r="Q3454" s="6"/>
      <c r="R3454" s="6"/>
      <c r="S3454" s="6"/>
      <c r="T3454" s="6"/>
      <c r="U3454" s="6"/>
      <c r="V3454" s="6"/>
      <c r="W3454" s="6"/>
      <c r="X3454" s="6"/>
      <c r="Y3454" s="6"/>
      <c r="Z3454" s="6"/>
      <c r="AA3454" s="6"/>
    </row>
    <row r="3455" ht="14.25">
      <c r="B3455" s="4" t="s">
        <v>1732</v>
      </c>
      <c r="C3455" s="4" t="s">
        <v>25412</v>
      </c>
      <c r="D3455" s="4" t="s">
        <v>87</v>
      </c>
      <c r="E3455" s="4" t="s">
        <v>25413</v>
      </c>
      <c r="F3455" s="4" t="str">
        <f>IFERROR(__XLUDF.DUMMYFUNCTION("PROPER(REGEXREPLACE(D1171,""[^A-Za-z]+ "",""""))"),"Austral Telecom Services")</f>
        <v xml:space="preserve">Austral Telecom Services</v>
      </c>
      <c r="G3455" s="4" t="s">
        <v>25414</v>
      </c>
      <c r="H3455" s="4">
        <v>50</v>
      </c>
      <c r="I3455" s="4" t="s">
        <v>9184</v>
      </c>
      <c r="J3455" s="4"/>
      <c r="K3455" s="5" t="s">
        <v>25415</v>
      </c>
      <c r="L3455" s="5" t="s">
        <v>25416</v>
      </c>
      <c r="M3455" s="4" t="s">
        <v>25417</v>
      </c>
      <c r="N3455" s="4" t="s">
        <v>29</v>
      </c>
      <c r="O3455" s="4" t="s">
        <v>25418</v>
      </c>
      <c r="P3455" s="4" t="s">
        <v>15884</v>
      </c>
      <c r="Q3455" s="6"/>
      <c r="R3455" s="6"/>
      <c r="S3455" s="6"/>
      <c r="T3455" s="6"/>
      <c r="U3455" s="6"/>
      <c r="V3455" s="6"/>
      <c r="W3455" s="6"/>
      <c r="X3455" s="6"/>
      <c r="Y3455" s="6"/>
      <c r="Z3455" s="6"/>
      <c r="AA3455" s="6"/>
    </row>
    <row r="3456" ht="14.25">
      <c r="B3456" s="4" t="s">
        <v>571</v>
      </c>
      <c r="C3456" s="4" t="s">
        <v>25419</v>
      </c>
      <c r="D3456" s="4" t="s">
        <v>426</v>
      </c>
      <c r="E3456" s="4" t="s">
        <v>11626</v>
      </c>
      <c r="F3456" s="4" t="str">
        <f>IFERROR(__XLUDF.DUMMYFUNCTION("PROPER(REGEXREPLACE(D1172,""[^A-Za-z]+ "",""""))"),"Inentech")</f>
        <v>Inentech</v>
      </c>
      <c r="G3456" s="4" t="s">
        <v>25420</v>
      </c>
      <c r="H3456" s="4">
        <v>20</v>
      </c>
      <c r="I3456" s="4" t="s">
        <v>2602</v>
      </c>
      <c r="J3456" s="4"/>
      <c r="K3456" s="5" t="s">
        <v>25421</v>
      </c>
      <c r="L3456" s="5" t="s">
        <v>25422</v>
      </c>
      <c r="M3456" s="4" t="s">
        <v>39</v>
      </c>
      <c r="N3456" s="4" t="s">
        <v>29</v>
      </c>
      <c r="O3456" s="4" t="s">
        <v>25423</v>
      </c>
      <c r="P3456" s="4" t="s">
        <v>29</v>
      </c>
      <c r="Q3456" s="4" t="s">
        <v>11631</v>
      </c>
      <c r="R3456" s="6"/>
      <c r="S3456" s="6"/>
      <c r="T3456" s="6"/>
      <c r="U3456" s="6"/>
      <c r="V3456" s="6"/>
      <c r="W3456" s="6"/>
      <c r="X3456" s="6"/>
      <c r="Y3456" s="6"/>
      <c r="Z3456" s="6"/>
      <c r="AA3456" s="6"/>
    </row>
    <row r="3457" ht="14.25">
      <c r="B3457" s="4" t="s">
        <v>15058</v>
      </c>
      <c r="C3457" s="4" t="s">
        <v>25424</v>
      </c>
      <c r="D3457" s="4" t="s">
        <v>25425</v>
      </c>
      <c r="E3457" s="4" t="s">
        <v>25426</v>
      </c>
      <c r="F3457" s="4" t="str">
        <f>IFERROR(__XLUDF.DUMMYFUNCTION("PROPER(REGEXREPLACE(D1173,""[^A-Za-z]+ "",""""))"),"Birds Coaching")</f>
        <v xml:space="preserve">Birds Coaching</v>
      </c>
      <c r="G3457" s="4" t="s">
        <v>25427</v>
      </c>
      <c r="H3457" s="4">
        <v>18</v>
      </c>
      <c r="I3457" s="4" t="s">
        <v>4067</v>
      </c>
      <c r="J3457" s="4" t="str">
        <f>IFERROR(__XLUDF.DUMMYFUNCTION("VLOOKUP(H1173,IMPORTRANGE(""https://docs.google.com/spreadsheets/d/1opm6ZNvGZ7KditA9TuJwrZ25eFLfTNIkrNnY6mhV5Eg"",""list!A1:C115""),3,TRUE)"),"le secteur du conseil en management")</f>
        <v xml:space="preserve">le secteur du conseil en management</v>
      </c>
      <c r="K3457" s="5" t="s">
        <v>25428</v>
      </c>
      <c r="L3457" s="5" t="s">
        <v>25429</v>
      </c>
      <c r="M3457" s="4" t="s">
        <v>140</v>
      </c>
      <c r="N3457" s="4" t="s">
        <v>29</v>
      </c>
      <c r="O3457" s="4" t="s">
        <v>25430</v>
      </c>
      <c r="P3457" s="4" t="s">
        <v>29</v>
      </c>
      <c r="Q3457" s="4" t="s">
        <v>25431</v>
      </c>
      <c r="R3457" s="6"/>
      <c r="S3457" s="6"/>
      <c r="T3457" s="6"/>
      <c r="U3457" s="6"/>
      <c r="V3457" s="6"/>
      <c r="W3457" s="6"/>
      <c r="X3457" s="6"/>
      <c r="Y3457" s="6"/>
      <c r="Z3457" s="6"/>
      <c r="AA3457" s="6"/>
    </row>
    <row r="3458" ht="14.25">
      <c r="B3458" s="4" t="s">
        <v>25432</v>
      </c>
      <c r="C3458" s="4" t="s">
        <v>25433</v>
      </c>
      <c r="D3458" s="4" t="s">
        <v>25434</v>
      </c>
      <c r="E3458" s="4" t="s">
        <v>25435</v>
      </c>
      <c r="F3458" s="4" t="str">
        <f>IFERROR(__XLUDF.DUMMYFUNCTION("PROPER(REGEXREPLACE(D1174,""[^A-Za-z]+ "",""""))"),"Connection Leadership")</f>
        <v xml:space="preserve">Connection Leadership</v>
      </c>
      <c r="G3458" s="4" t="s">
        <v>25436</v>
      </c>
      <c r="H3458" s="4">
        <v>26</v>
      </c>
      <c r="I3458" s="4" t="s">
        <v>4067</v>
      </c>
      <c r="J3458" s="4"/>
      <c r="K3458" s="5" t="s">
        <v>25437</v>
      </c>
      <c r="L3458" s="5" t="s">
        <v>25438</v>
      </c>
      <c r="M3458" s="4" t="s">
        <v>39</v>
      </c>
      <c r="N3458" s="4" t="s">
        <v>29</v>
      </c>
      <c r="O3458" s="4" t="s">
        <v>20820</v>
      </c>
      <c r="P3458" s="4" t="s">
        <v>29</v>
      </c>
      <c r="Q3458" s="4" t="s">
        <v>25439</v>
      </c>
      <c r="R3458" s="6"/>
      <c r="S3458" s="6"/>
      <c r="T3458" s="6"/>
      <c r="U3458" s="6"/>
      <c r="V3458" s="6"/>
      <c r="W3458" s="6"/>
      <c r="X3458" s="6"/>
      <c r="Y3458" s="6"/>
      <c r="Z3458" s="6"/>
      <c r="AA3458" s="6"/>
    </row>
    <row r="3459" ht="14.25">
      <c r="B3459" s="4" t="s">
        <v>7451</v>
      </c>
      <c r="C3459" s="4" t="s">
        <v>25440</v>
      </c>
      <c r="D3459" s="4" t="s">
        <v>164</v>
      </c>
      <c r="E3459" s="4" t="s">
        <v>25441</v>
      </c>
      <c r="F3459" s="4" t="str">
        <f>IFERROR(__XLUDF.DUMMYFUNCTION("PROPER(REGEXREPLACE(D1175,""[^A-Za-z]+ "",""""))"),"Cooperative Informatique")</f>
        <v xml:space="preserve">Cooperative Informatique</v>
      </c>
      <c r="G3459" s="4" t="s">
        <v>25442</v>
      </c>
      <c r="H3459" s="6"/>
      <c r="I3459" s="6"/>
      <c r="J3459" s="6"/>
      <c r="K3459" s="5" t="s">
        <v>25443</v>
      </c>
      <c r="L3459" s="6"/>
      <c r="M3459" s="4" t="s">
        <v>39</v>
      </c>
      <c r="N3459" s="4" t="s">
        <v>29</v>
      </c>
      <c r="O3459" s="4" t="s">
        <v>25444</v>
      </c>
      <c r="P3459" s="4" t="s">
        <v>29</v>
      </c>
      <c r="Q3459" s="6"/>
      <c r="R3459" s="6"/>
      <c r="S3459" s="6"/>
      <c r="T3459" s="6"/>
      <c r="U3459" s="6"/>
      <c r="V3459" s="6"/>
      <c r="W3459" s="6"/>
      <c r="X3459" s="6"/>
      <c r="Y3459" s="6"/>
      <c r="Z3459" s="6"/>
      <c r="AA3459" s="6"/>
    </row>
    <row r="3460" ht="14.25">
      <c r="B3460" s="4" t="s">
        <v>571</v>
      </c>
      <c r="C3460" s="4" t="s">
        <v>25445</v>
      </c>
      <c r="D3460" s="4" t="s">
        <v>25446</v>
      </c>
      <c r="E3460" s="4" t="s">
        <v>25447</v>
      </c>
      <c r="F3460" s="4" t="str">
        <f>IFERROR(__XLUDF.DUMMYFUNCTION("PROPER(REGEXREPLACE(D1176,""[^A-Za-z]+ "",""""))"),"Alphalyr")</f>
        <v>Alphalyr</v>
      </c>
      <c r="G3460" s="4" t="s">
        <v>25448</v>
      </c>
      <c r="H3460" s="4">
        <v>39</v>
      </c>
      <c r="I3460" s="4" t="s">
        <v>2602</v>
      </c>
      <c r="J3460" s="4"/>
      <c r="K3460" s="5" t="s">
        <v>25449</v>
      </c>
      <c r="L3460" s="5" t="s">
        <v>25450</v>
      </c>
      <c r="M3460" s="4" t="s">
        <v>39</v>
      </c>
      <c r="N3460" s="4" t="s">
        <v>29</v>
      </c>
      <c r="O3460" s="4" t="s">
        <v>25451</v>
      </c>
      <c r="P3460" s="4" t="s">
        <v>29</v>
      </c>
      <c r="Q3460" s="4" t="s">
        <v>25452</v>
      </c>
      <c r="R3460" s="6"/>
      <c r="S3460" s="6"/>
      <c r="T3460" s="6"/>
      <c r="U3460" s="6"/>
      <c r="V3460" s="6"/>
      <c r="W3460" s="6"/>
      <c r="X3460" s="6"/>
      <c r="Y3460" s="6"/>
      <c r="Z3460" s="6"/>
      <c r="AA3460" s="6"/>
    </row>
    <row r="3461" ht="14.25">
      <c r="B3461" s="4" t="s">
        <v>25432</v>
      </c>
      <c r="C3461" s="4" t="s">
        <v>25453</v>
      </c>
      <c r="D3461" s="4" t="s">
        <v>25434</v>
      </c>
      <c r="E3461" s="4" t="s">
        <v>25435</v>
      </c>
      <c r="F3461" s="4" t="str">
        <f>IFERROR(__XLUDF.DUMMYFUNCTION("PROPER(REGEXREPLACE(D1177,""[^A-Za-z]+ "",""""))"),"Connection Leadership")</f>
        <v xml:space="preserve">Connection Leadership</v>
      </c>
      <c r="G3461" s="4" t="s">
        <v>25436</v>
      </c>
      <c r="H3461" s="4">
        <v>26</v>
      </c>
      <c r="I3461" s="4" t="s">
        <v>4067</v>
      </c>
      <c r="J3461" s="4" t="str">
        <f>IFERROR(__XLUDF.DUMMYFUNCTION("VLOOKUP(H1177,IMPORTRANGE(""https://docs.google.com/spreadsheets/d/1opm6ZNvGZ7KditA9TuJwrZ25eFLfTNIkrNnY6mhV5Eg"",""list!A1:C115""),3,TRUE)"),"le secteur du conseil en management")</f>
        <v xml:space="preserve">le secteur du conseil en management</v>
      </c>
      <c r="K3461" s="5" t="s">
        <v>25454</v>
      </c>
      <c r="L3461" s="5" t="s">
        <v>25438</v>
      </c>
      <c r="M3461" s="4" t="s">
        <v>39</v>
      </c>
      <c r="N3461" s="4" t="s">
        <v>29</v>
      </c>
      <c r="O3461" s="4" t="s">
        <v>20820</v>
      </c>
      <c r="P3461" s="4" t="s">
        <v>29</v>
      </c>
      <c r="Q3461" s="4" t="s">
        <v>25439</v>
      </c>
      <c r="R3461" s="6"/>
      <c r="S3461" s="6"/>
      <c r="T3461" s="6"/>
      <c r="U3461" s="6"/>
      <c r="V3461" s="6"/>
      <c r="W3461" s="6"/>
      <c r="X3461" s="6"/>
      <c r="Y3461" s="6"/>
      <c r="Z3461" s="6"/>
      <c r="AA3461" s="6"/>
    </row>
    <row r="3462" ht="14.25">
      <c r="B3462" s="4" t="s">
        <v>710</v>
      </c>
      <c r="C3462" s="4" t="s">
        <v>25455</v>
      </c>
      <c r="D3462" s="4" t="s">
        <v>62</v>
      </c>
      <c r="E3462" s="4" t="s">
        <v>17849</v>
      </c>
      <c r="F3462" s="4" t="str">
        <f>IFERROR(__XLUDF.DUMMYFUNCTION("PROPER(REGEXREPLACE(D1178,""[^A-Za-z]+ "",""""))"),"Blurizon")</f>
        <v>Blurizon</v>
      </c>
      <c r="G3462" s="4" t="s">
        <v>25456</v>
      </c>
      <c r="H3462" s="4">
        <v>13</v>
      </c>
      <c r="I3462" s="4" t="s">
        <v>4067</v>
      </c>
      <c r="J3462" s="4" t="str">
        <f>IFERROR(__XLUDF.DUMMYFUNCTION("VLOOKUP(H1178,IMPORTRANGE(""https://docs.google.com/spreadsheets/d/1opm6ZNvGZ7KditA9TuJwrZ25eFLfTNIkrNnY6mhV5Eg"",""list!A1:C115""),3,TRUE)"),"le secteur du conseil en management")</f>
        <v xml:space="preserve">le secteur du conseil en management</v>
      </c>
      <c r="K3462" s="5" t="s">
        <v>25457</v>
      </c>
      <c r="L3462" s="5" t="s">
        <v>17852</v>
      </c>
      <c r="M3462" s="4" t="s">
        <v>49</v>
      </c>
      <c r="N3462" s="4" t="s">
        <v>29</v>
      </c>
      <c r="O3462" s="4" t="s">
        <v>5457</v>
      </c>
      <c r="P3462" s="4" t="s">
        <v>29</v>
      </c>
      <c r="Q3462" s="4" t="s">
        <v>17853</v>
      </c>
      <c r="R3462" s="6"/>
      <c r="S3462" s="6"/>
      <c r="T3462" s="6"/>
      <c r="U3462" s="6"/>
      <c r="V3462" s="6"/>
      <c r="W3462" s="6"/>
      <c r="X3462" s="6"/>
      <c r="Y3462" s="6"/>
      <c r="Z3462" s="6"/>
      <c r="AA3462" s="6"/>
    </row>
    <row r="3463" ht="14.25">
      <c r="B3463" s="4" t="s">
        <v>1454</v>
      </c>
      <c r="C3463" s="4" t="s">
        <v>25458</v>
      </c>
      <c r="D3463" s="4" t="s">
        <v>62</v>
      </c>
      <c r="E3463" s="4" t="s">
        <v>25459</v>
      </c>
      <c r="F3463" s="4" t="str">
        <f>IFERROR(__XLUDF.DUMMYFUNCTION("PROPER(REGEXREPLACE(D1179,""[^A-Za-z]+ "",""""))"),"Diagrams")</f>
        <v>Diagrams</v>
      </c>
      <c r="G3463" s="4" t="s">
        <v>25460</v>
      </c>
      <c r="H3463" s="4">
        <v>8</v>
      </c>
      <c r="I3463" s="4" t="s">
        <v>2602</v>
      </c>
      <c r="J3463" s="4"/>
      <c r="K3463" s="5" t="s">
        <v>25461</v>
      </c>
      <c r="L3463" s="5" t="s">
        <v>25462</v>
      </c>
      <c r="M3463" s="4" t="s">
        <v>846</v>
      </c>
      <c r="N3463" s="4" t="s">
        <v>29</v>
      </c>
      <c r="O3463" s="4" t="s">
        <v>18845</v>
      </c>
      <c r="P3463" s="4" t="s">
        <v>29</v>
      </c>
      <c r="Q3463" s="4" t="s">
        <v>25463</v>
      </c>
      <c r="R3463" s="6"/>
      <c r="S3463" s="6"/>
      <c r="T3463" s="6"/>
      <c r="U3463" s="6"/>
      <c r="V3463" s="6"/>
      <c r="W3463" s="6"/>
      <c r="X3463" s="6"/>
      <c r="Y3463" s="6"/>
      <c r="Z3463" s="6"/>
      <c r="AA3463" s="6"/>
    </row>
    <row r="3464" ht="14.25">
      <c r="B3464" s="4" t="s">
        <v>330</v>
      </c>
      <c r="C3464" s="4" t="s">
        <v>25464</v>
      </c>
      <c r="D3464" s="4" t="s">
        <v>21277</v>
      </c>
      <c r="E3464" s="4" t="s">
        <v>25465</v>
      </c>
      <c r="F3464" s="4" t="str">
        <f>IFERROR(__XLUDF.DUMMYFUNCTION("PROPER(REGEXREPLACE(D1180,""[^A-Za-z]+ "",""""))"),"Techfirm Information")</f>
        <v xml:space="preserve">Techfirm Information</v>
      </c>
      <c r="G3464" s="4" t="s">
        <v>25466</v>
      </c>
      <c r="H3464" s="4">
        <v>30</v>
      </c>
      <c r="I3464" s="4" t="s">
        <v>2602</v>
      </c>
      <c r="J3464" s="4"/>
      <c r="K3464" s="5" t="s">
        <v>25467</v>
      </c>
      <c r="L3464" s="5" t="s">
        <v>25468</v>
      </c>
      <c r="M3464" s="6"/>
      <c r="N3464" s="4" t="s">
        <v>29</v>
      </c>
      <c r="O3464" s="4" t="s">
        <v>25469</v>
      </c>
      <c r="P3464" s="4" t="s">
        <v>1938</v>
      </c>
      <c r="Q3464" s="6"/>
      <c r="R3464" s="6"/>
      <c r="S3464" s="6"/>
      <c r="T3464" s="6"/>
      <c r="U3464" s="6"/>
      <c r="V3464" s="6"/>
      <c r="W3464" s="6"/>
      <c r="X3464" s="6"/>
      <c r="Y3464" s="6"/>
      <c r="Z3464" s="6"/>
      <c r="AA3464" s="6"/>
    </row>
    <row r="3465" ht="14.25">
      <c r="B3465" s="4" t="s">
        <v>4012</v>
      </c>
      <c r="C3465" s="4" t="s">
        <v>25470</v>
      </c>
      <c r="D3465" s="4" t="s">
        <v>172</v>
      </c>
      <c r="E3465" s="4" t="s">
        <v>25471</v>
      </c>
      <c r="F3465" s="4" t="str">
        <f>IFERROR(__XLUDF.DUMMYFUNCTION("PROPER(REGEXREPLACE(D1181,""[^A-Za-z]+ "",""""))"),"B2Digit")</f>
        <v>B2Digit</v>
      </c>
      <c r="G3465" s="4" t="s">
        <v>25472</v>
      </c>
      <c r="H3465" s="4">
        <v>36</v>
      </c>
      <c r="I3465" s="4" t="s">
        <v>2602</v>
      </c>
      <c r="J3465" s="4"/>
      <c r="K3465" s="5" t="s">
        <v>25473</v>
      </c>
      <c r="L3465" s="5" t="s">
        <v>25474</v>
      </c>
      <c r="M3465" s="4" t="s">
        <v>11445</v>
      </c>
      <c r="N3465" s="4" t="s">
        <v>29</v>
      </c>
      <c r="O3465" s="4" t="s">
        <v>18884</v>
      </c>
      <c r="P3465" s="4" t="s">
        <v>29</v>
      </c>
      <c r="Q3465" s="6"/>
      <c r="R3465" s="6"/>
      <c r="S3465" s="6"/>
      <c r="T3465" s="6"/>
      <c r="U3465" s="6"/>
      <c r="V3465" s="6"/>
      <c r="W3465" s="6"/>
      <c r="X3465" s="6"/>
      <c r="Y3465" s="6"/>
      <c r="Z3465" s="6"/>
      <c r="AA3465" s="6"/>
    </row>
    <row r="3466" ht="14.25">
      <c r="B3466" s="4" t="s">
        <v>8995</v>
      </c>
      <c r="C3466" s="4" t="s">
        <v>25475</v>
      </c>
      <c r="D3466" s="4" t="s">
        <v>172</v>
      </c>
      <c r="E3466" s="4" t="s">
        <v>25476</v>
      </c>
      <c r="F3466" s="4" t="str">
        <f>IFERROR(__XLUDF.DUMMYFUNCTION("PROPER(REGEXREPLACE(D1182,""[^A-Za-z]+ "",""""))"),"Batteries Prod")</f>
        <v xml:space="preserve">Batteries Prod</v>
      </c>
      <c r="G3466" s="4" t="s">
        <v>25477</v>
      </c>
      <c r="H3466" s="4">
        <v>21</v>
      </c>
      <c r="I3466" s="4" t="s">
        <v>10215</v>
      </c>
      <c r="J3466" s="4"/>
      <c r="K3466" s="5" t="s">
        <v>25478</v>
      </c>
      <c r="L3466" s="5" t="s">
        <v>25479</v>
      </c>
      <c r="M3466" s="4" t="s">
        <v>19696</v>
      </c>
      <c r="N3466" s="4" t="s">
        <v>29</v>
      </c>
      <c r="O3466" s="4" t="s">
        <v>25480</v>
      </c>
      <c r="P3466" s="4" t="s">
        <v>29</v>
      </c>
      <c r="Q3466" s="6"/>
      <c r="R3466" s="6"/>
      <c r="S3466" s="6"/>
      <c r="T3466" s="6"/>
      <c r="U3466" s="6"/>
      <c r="V3466" s="6"/>
      <c r="W3466" s="6"/>
      <c r="X3466" s="6"/>
      <c r="Y3466" s="6"/>
      <c r="Z3466" s="6"/>
      <c r="AA3466" s="6"/>
    </row>
    <row r="3467" ht="14.25">
      <c r="B3467" s="4" t="s">
        <v>7559</v>
      </c>
      <c r="C3467" s="4" t="s">
        <v>25481</v>
      </c>
      <c r="D3467" s="4" t="s">
        <v>25482</v>
      </c>
      <c r="E3467" s="4" t="s">
        <v>25483</v>
      </c>
      <c r="F3467" s="4" t="str">
        <f>IFERROR(__XLUDF.DUMMYFUNCTION("PROPER(REGEXREPLACE(D1183,""[^A-Za-z]+ "",""""))"),"Sedri")</f>
        <v>Sedri</v>
      </c>
      <c r="G3467" s="4" t="s">
        <v>25484</v>
      </c>
      <c r="H3467" s="4">
        <v>35</v>
      </c>
      <c r="I3467" s="4" t="s">
        <v>4293</v>
      </c>
      <c r="J3467" s="4"/>
      <c r="K3467" s="5" t="s">
        <v>25485</v>
      </c>
      <c r="L3467" s="5" t="s">
        <v>25486</v>
      </c>
      <c r="M3467" s="4" t="s">
        <v>39</v>
      </c>
      <c r="N3467" s="4" t="s">
        <v>29</v>
      </c>
      <c r="O3467" s="4" t="s">
        <v>25487</v>
      </c>
      <c r="P3467" s="4" t="s">
        <v>29</v>
      </c>
      <c r="Q3467" s="4" t="s">
        <v>25488</v>
      </c>
      <c r="R3467" s="6"/>
      <c r="S3467" s="6"/>
      <c r="T3467" s="6"/>
      <c r="U3467" s="6"/>
      <c r="V3467" s="6"/>
      <c r="W3467" s="6"/>
      <c r="X3467" s="6"/>
      <c r="Y3467" s="6"/>
      <c r="Z3467" s="6"/>
      <c r="AA3467" s="6"/>
    </row>
    <row r="3468" ht="14.25">
      <c r="B3468" s="4" t="s">
        <v>355</v>
      </c>
      <c r="C3468" s="4" t="s">
        <v>25489</v>
      </c>
      <c r="D3468" s="4" t="s">
        <v>25490</v>
      </c>
      <c r="E3468" s="4" t="s">
        <v>25491</v>
      </c>
      <c r="F3468" s="4" t="str">
        <f>IFERROR(__XLUDF.DUMMYFUNCTION("PROPER(REGEXREPLACE(D1184,""[^A-Za-z]+ "",""""))"),"Vimex")</f>
        <v>Vimex</v>
      </c>
      <c r="G3468" s="4" t="s">
        <v>25492</v>
      </c>
      <c r="H3468" s="4">
        <v>14</v>
      </c>
      <c r="I3468" s="4" t="s">
        <v>4067</v>
      </c>
      <c r="J3468" s="4"/>
      <c r="K3468" s="5" t="s">
        <v>25493</v>
      </c>
      <c r="L3468" s="5" t="s">
        <v>25494</v>
      </c>
      <c r="M3468" s="4" t="s">
        <v>846</v>
      </c>
      <c r="N3468" s="4" t="s">
        <v>29</v>
      </c>
      <c r="O3468" s="4" t="s">
        <v>25495</v>
      </c>
      <c r="P3468" s="4" t="s">
        <v>29</v>
      </c>
      <c r="Q3468" s="6"/>
      <c r="R3468" s="6"/>
      <c r="S3468" s="6"/>
      <c r="T3468" s="6"/>
      <c r="U3468" s="6"/>
      <c r="V3468" s="6"/>
      <c r="W3468" s="6"/>
      <c r="X3468" s="6"/>
      <c r="Y3468" s="6"/>
      <c r="Z3468" s="6"/>
      <c r="AA3468" s="6"/>
    </row>
    <row r="3469" ht="14.25">
      <c r="B3469" s="4" t="s">
        <v>450</v>
      </c>
      <c r="C3469" s="4" t="s">
        <v>25496</v>
      </c>
      <c r="D3469" s="4" t="s">
        <v>112</v>
      </c>
      <c r="E3469" s="4" t="s">
        <v>25497</v>
      </c>
      <c r="F3469" s="4" t="str">
        <f>IFERROR(__XLUDF.DUMMYFUNCTION("PROPER(REGEXREPLACE(D1185,""[^A-Za-z]+ "",""""))"),"Flandres Analyses")</f>
        <v xml:space="preserve">Flandres Analyses</v>
      </c>
      <c r="G3469" s="4" t="s">
        <v>25498</v>
      </c>
      <c r="H3469" s="4">
        <v>18</v>
      </c>
      <c r="I3469" s="4" t="s">
        <v>4067</v>
      </c>
      <c r="J3469" s="4"/>
      <c r="K3469" s="5" t="s">
        <v>25499</v>
      </c>
      <c r="L3469" s="5" t="s">
        <v>25500</v>
      </c>
      <c r="M3469" s="4" t="s">
        <v>25501</v>
      </c>
      <c r="N3469" s="4" t="s">
        <v>29</v>
      </c>
      <c r="O3469" s="4" t="s">
        <v>25502</v>
      </c>
      <c r="P3469" s="4" t="s">
        <v>29</v>
      </c>
      <c r="Q3469" s="6"/>
      <c r="R3469" s="6"/>
      <c r="S3469" s="6"/>
      <c r="T3469" s="6"/>
      <c r="U3469" s="6"/>
      <c r="V3469" s="6"/>
      <c r="W3469" s="6"/>
      <c r="X3469" s="6"/>
      <c r="Y3469" s="6"/>
      <c r="Z3469" s="6"/>
      <c r="AA3469" s="6"/>
    </row>
    <row r="3470" ht="14.25">
      <c r="B3470" s="4" t="s">
        <v>3072</v>
      </c>
      <c r="C3470" s="4" t="s">
        <v>25503</v>
      </c>
      <c r="D3470" s="4" t="s">
        <v>25504</v>
      </c>
      <c r="E3470" s="4" t="s">
        <v>24777</v>
      </c>
      <c r="F3470" s="4" t="str">
        <f>IFERROR(__XLUDF.DUMMYFUNCTION("PROPER(REGEXREPLACE(D1186,""[^A-Za-z]+ "",""""))"),"Cognitive Companions")</f>
        <v xml:space="preserve">Cognitive Companions</v>
      </c>
      <c r="G3470" s="4" t="s">
        <v>25505</v>
      </c>
      <c r="H3470" s="4">
        <v>13</v>
      </c>
      <c r="I3470" s="4" t="s">
        <v>4067</v>
      </c>
      <c r="J3470" s="4" t="str">
        <f>IFERROR(__XLUDF.DUMMYFUNCTION("VLOOKUP(H1186,IMPORTRANGE(""https://docs.google.com/spreadsheets/d/1opm6ZNvGZ7KditA9TuJwrZ25eFLfTNIkrNnY6mhV5Eg"",""list!A1:C115""),3,TRUE)"),"le secteur du conseil en management")</f>
        <v xml:space="preserve">le secteur du conseil en management</v>
      </c>
      <c r="K3470" s="5" t="s">
        <v>25506</v>
      </c>
      <c r="L3470" s="5" t="s">
        <v>24780</v>
      </c>
      <c r="M3470" s="4" t="s">
        <v>39</v>
      </c>
      <c r="N3470" s="4" t="s">
        <v>29</v>
      </c>
      <c r="O3470" s="4" t="s">
        <v>67</v>
      </c>
      <c r="P3470" s="4" t="s">
        <v>29</v>
      </c>
      <c r="Q3470" s="6"/>
      <c r="R3470" s="6"/>
      <c r="S3470" s="6"/>
      <c r="T3470" s="6"/>
      <c r="U3470" s="6"/>
      <c r="V3470" s="6"/>
      <c r="W3470" s="6"/>
      <c r="X3470" s="6"/>
      <c r="Y3470" s="6"/>
      <c r="Z3470" s="6"/>
      <c r="AA3470" s="6"/>
    </row>
    <row r="3471" ht="14.25">
      <c r="B3471" s="4" t="s">
        <v>76</v>
      </c>
      <c r="C3471" s="4" t="s">
        <v>25507</v>
      </c>
      <c r="D3471" s="4" t="s">
        <v>112</v>
      </c>
      <c r="E3471" s="4" t="s">
        <v>25508</v>
      </c>
      <c r="F3471" s="4" t="str">
        <f>IFERROR(__XLUDF.DUMMYFUNCTION("PROPER(REGEXREPLACE(D1187,""[^A-Za-z]+ "",""""))"),"Altezza")</f>
        <v>Altezza</v>
      </c>
      <c r="G3471" s="4" t="s">
        <v>25509</v>
      </c>
      <c r="H3471" s="4">
        <v>12</v>
      </c>
      <c r="I3471" s="4" t="s">
        <v>4067</v>
      </c>
      <c r="J3471" s="4"/>
      <c r="K3471" s="5" t="s">
        <v>25510</v>
      </c>
      <c r="L3471" s="5" t="s">
        <v>25511</v>
      </c>
      <c r="M3471" s="6"/>
      <c r="N3471" s="4" t="s">
        <v>29</v>
      </c>
      <c r="O3471" s="4" t="s">
        <v>25512</v>
      </c>
      <c r="P3471" s="4" t="s">
        <v>29</v>
      </c>
      <c r="Q3471" s="4" t="s">
        <v>25513</v>
      </c>
      <c r="R3471" s="6"/>
      <c r="S3471" s="6"/>
      <c r="T3471" s="6"/>
      <c r="U3471" s="6"/>
      <c r="V3471" s="6"/>
      <c r="W3471" s="6"/>
      <c r="X3471" s="6"/>
      <c r="Y3471" s="6"/>
      <c r="Z3471" s="6"/>
      <c r="AA3471" s="6"/>
    </row>
    <row r="3472" ht="14.25">
      <c r="B3472" s="4" t="s">
        <v>1153</v>
      </c>
      <c r="C3472" s="4" t="s">
        <v>25514</v>
      </c>
      <c r="D3472" s="4" t="s">
        <v>172</v>
      </c>
      <c r="E3472" s="4" t="s">
        <v>25515</v>
      </c>
      <c r="F3472" s="4" t="str">
        <f>IFERROR(__XLUDF.DUMMYFUNCTION("PROPER(REGEXREPLACE(D1188,""[^A-Za-z]+ "",""""))"),"Infass Systèmes")</f>
        <v xml:space="preserve">Infass Systèmes</v>
      </c>
      <c r="G3472" s="4" t="s">
        <v>25516</v>
      </c>
      <c r="H3472" s="4">
        <v>29</v>
      </c>
      <c r="I3472" s="4" t="s">
        <v>2602</v>
      </c>
      <c r="J3472" s="4"/>
      <c r="K3472" s="5" t="s">
        <v>25517</v>
      </c>
      <c r="L3472" s="5" t="s">
        <v>25518</v>
      </c>
      <c r="M3472" s="6"/>
      <c r="N3472" s="4" t="s">
        <v>29</v>
      </c>
      <c r="O3472" s="4" t="s">
        <v>25519</v>
      </c>
      <c r="P3472" s="4" t="s">
        <v>29</v>
      </c>
      <c r="Q3472" s="4" t="s">
        <v>25520</v>
      </c>
      <c r="R3472" s="6"/>
      <c r="S3472" s="6"/>
      <c r="T3472" s="6"/>
      <c r="U3472" s="6"/>
      <c r="V3472" s="6"/>
      <c r="W3472" s="6"/>
      <c r="X3472" s="6"/>
      <c r="Y3472" s="6"/>
      <c r="Z3472" s="6"/>
      <c r="AA3472" s="6"/>
    </row>
    <row r="3473" ht="14.25">
      <c r="B3473" s="4" t="s">
        <v>579</v>
      </c>
      <c r="C3473" s="4" t="s">
        <v>25521</v>
      </c>
      <c r="D3473" s="4" t="s">
        <v>62</v>
      </c>
      <c r="E3473" s="4" t="s">
        <v>25522</v>
      </c>
      <c r="F3473" s="4" t="str">
        <f>IFERROR(__XLUDF.DUMMYFUNCTION("PROPER(REGEXREPLACE(D1189,""[^A-Za-z]+ "",""""))"),"Efficience It")</f>
        <v xml:space="preserve">Efficience It</v>
      </c>
      <c r="G3473" s="4" t="s">
        <v>25523</v>
      </c>
      <c r="H3473" s="4">
        <v>14</v>
      </c>
      <c r="I3473" s="4" t="s">
        <v>2602</v>
      </c>
      <c r="J3473" s="4"/>
      <c r="K3473" s="5" t="s">
        <v>25524</v>
      </c>
      <c r="L3473" s="5" t="s">
        <v>25525</v>
      </c>
      <c r="M3473" s="4" t="s">
        <v>846</v>
      </c>
      <c r="N3473" s="4" t="s">
        <v>29</v>
      </c>
      <c r="O3473" s="4" t="s">
        <v>25526</v>
      </c>
      <c r="P3473" s="4" t="s">
        <v>29</v>
      </c>
      <c r="Q3473" s="4" t="s">
        <v>25527</v>
      </c>
      <c r="R3473" s="6"/>
      <c r="S3473" s="6"/>
      <c r="T3473" s="6"/>
      <c r="U3473" s="6"/>
      <c r="V3473" s="6"/>
      <c r="W3473" s="6"/>
      <c r="X3473" s="6"/>
      <c r="Y3473" s="6"/>
      <c r="Z3473" s="6"/>
      <c r="AA3473" s="6"/>
    </row>
    <row r="3474" ht="14.25">
      <c r="B3474" s="4" t="s">
        <v>1153</v>
      </c>
      <c r="C3474" s="4" t="s">
        <v>9847</v>
      </c>
      <c r="D3474" s="4" t="s">
        <v>688</v>
      </c>
      <c r="E3474" s="4" t="s">
        <v>25528</v>
      </c>
      <c r="F3474" s="4" t="str">
        <f>IFERROR(__XLUDF.DUMMYFUNCTION("PROPER(REGEXREPLACE(D1190,""[^A-Za-z]+ "",""""))"),"In-Genium")</f>
        <v>In-Genium</v>
      </c>
      <c r="G3474" s="4" t="s">
        <v>25529</v>
      </c>
      <c r="H3474" s="4">
        <v>18</v>
      </c>
      <c r="I3474" s="4" t="s">
        <v>4067</v>
      </c>
      <c r="J3474" s="4" t="str">
        <f>IFERROR(__XLUDF.DUMMYFUNCTION("VLOOKUP(H1190,IMPORTRANGE(""https://docs.google.com/spreadsheets/d/1opm6ZNvGZ7KditA9TuJwrZ25eFLfTNIkrNnY6mhV5Eg"",""list!A1:C115""),3,TRUE)"),"le secteur du conseil en management")</f>
        <v xml:space="preserve">le secteur du conseil en management</v>
      </c>
      <c r="K3474" s="5" t="s">
        <v>25530</v>
      </c>
      <c r="L3474" s="5" t="s">
        <v>25531</v>
      </c>
      <c r="M3474" s="4" t="s">
        <v>16314</v>
      </c>
      <c r="N3474" s="4" t="s">
        <v>29</v>
      </c>
      <c r="O3474" s="6"/>
      <c r="P3474" s="6"/>
      <c r="Q3474" s="6"/>
      <c r="R3474" s="6"/>
      <c r="S3474" s="6"/>
      <c r="T3474" s="6"/>
      <c r="U3474" s="6"/>
      <c r="V3474" s="6"/>
      <c r="W3474" s="6"/>
      <c r="X3474" s="6"/>
      <c r="Y3474" s="6"/>
      <c r="Z3474" s="6"/>
      <c r="AA3474" s="6"/>
    </row>
    <row r="3475" ht="14.25">
      <c r="B3475" s="4" t="s">
        <v>6967</v>
      </c>
      <c r="C3475" s="4" t="s">
        <v>25532</v>
      </c>
      <c r="D3475" s="4" t="s">
        <v>62</v>
      </c>
      <c r="E3475" s="4" t="s">
        <v>25533</v>
      </c>
      <c r="F3475" s="4" t="str">
        <f>IFERROR(__XLUDF.DUMMYFUNCTION("PROPER(REGEXREPLACE(D1191,""[^A-Za-z]+ "",""""))"),"Clustdoc")</f>
        <v>Clustdoc</v>
      </c>
      <c r="G3475" s="4" t="s">
        <v>25534</v>
      </c>
      <c r="H3475" s="4">
        <v>15</v>
      </c>
      <c r="I3475" s="4" t="s">
        <v>2602</v>
      </c>
      <c r="J3475" s="4"/>
      <c r="K3475" s="5" t="s">
        <v>25535</v>
      </c>
      <c r="L3475" s="5" t="s">
        <v>25536</v>
      </c>
      <c r="M3475" s="4" t="s">
        <v>39</v>
      </c>
      <c r="N3475" s="4" t="s">
        <v>29</v>
      </c>
      <c r="O3475" s="4" t="s">
        <v>67</v>
      </c>
      <c r="P3475" s="4" t="s">
        <v>29</v>
      </c>
      <c r="Q3475" s="4" t="s">
        <v>25537</v>
      </c>
      <c r="R3475" s="6"/>
      <c r="S3475" s="6"/>
      <c r="T3475" s="6"/>
      <c r="U3475" s="6"/>
      <c r="V3475" s="6"/>
      <c r="W3475" s="6"/>
      <c r="X3475" s="6"/>
      <c r="Y3475" s="6"/>
      <c r="Z3475" s="6"/>
      <c r="AA3475" s="6"/>
    </row>
    <row r="3476" ht="14.25">
      <c r="B3476" s="4" t="s">
        <v>298</v>
      </c>
      <c r="C3476" s="4" t="s">
        <v>25538</v>
      </c>
      <c r="D3476" s="4" t="s">
        <v>25539</v>
      </c>
      <c r="E3476" s="4" t="s">
        <v>25540</v>
      </c>
      <c r="F3476" s="4" t="str">
        <f>IFERROR(__XLUDF.DUMMYFUNCTION("PROPER(REGEXREPLACE(D1192,""[^A-Za-z]+ "",""""))"),"Bpap")</f>
        <v>Bpap</v>
      </c>
      <c r="G3476" s="4" t="s">
        <v>25541</v>
      </c>
      <c r="H3476" s="4">
        <v>20</v>
      </c>
      <c r="I3476" s="4" t="s">
        <v>2602</v>
      </c>
      <c r="J3476" s="4"/>
      <c r="K3476" s="5" t="s">
        <v>25542</v>
      </c>
      <c r="L3476" s="5" t="s">
        <v>25543</v>
      </c>
      <c r="M3476" s="4" t="s">
        <v>185</v>
      </c>
      <c r="N3476" s="4" t="s">
        <v>29</v>
      </c>
      <c r="O3476" s="4" t="s">
        <v>25544</v>
      </c>
      <c r="P3476" s="4" t="s">
        <v>29</v>
      </c>
      <c r="Q3476" s="4" t="s">
        <v>25545</v>
      </c>
      <c r="R3476" s="6"/>
      <c r="S3476" s="6"/>
      <c r="T3476" s="6"/>
      <c r="U3476" s="6"/>
      <c r="V3476" s="6"/>
      <c r="W3476" s="6"/>
      <c r="X3476" s="6"/>
      <c r="Y3476" s="6"/>
      <c r="Z3476" s="6"/>
      <c r="AA3476" s="6"/>
    </row>
    <row r="3477" ht="14.25">
      <c r="B3477" s="4" t="s">
        <v>4132</v>
      </c>
      <c r="C3477" s="4" t="s">
        <v>10916</v>
      </c>
      <c r="D3477" s="4" t="s">
        <v>341</v>
      </c>
      <c r="E3477" s="4" t="s">
        <v>25546</v>
      </c>
      <c r="F3477" s="4" t="str">
        <f>IFERROR(__XLUDF.DUMMYFUNCTION("PROPER(REGEXREPLACE(D1193,""[^A-Za-z]+ "",""""))"),"Sable Groupe")</f>
        <v xml:space="preserve">Sable Groupe</v>
      </c>
      <c r="G3477" s="4" t="s">
        <v>25547</v>
      </c>
      <c r="H3477" s="4">
        <v>10</v>
      </c>
      <c r="I3477" s="4" t="s">
        <v>4067</v>
      </c>
      <c r="J3477" s="4" t="str">
        <f>IFERROR(__XLUDF.DUMMYFUNCTION("VLOOKUP(H1193,IMPORTRANGE(""https://docs.google.com/spreadsheets/d/1opm6ZNvGZ7KditA9TuJwrZ25eFLfTNIkrNnY6mhV5Eg"",""list!A1:C115""),3,TRUE)"),"le secteur du conseil en management")</f>
        <v xml:space="preserve">le secteur du conseil en management</v>
      </c>
      <c r="K3477" s="5" t="s">
        <v>25548</v>
      </c>
      <c r="L3477" s="5" t="s">
        <v>25549</v>
      </c>
      <c r="M3477" s="4" t="s">
        <v>5476</v>
      </c>
      <c r="N3477" s="4" t="s">
        <v>29</v>
      </c>
      <c r="O3477" s="4" t="s">
        <v>25550</v>
      </c>
      <c r="P3477" s="4" t="s">
        <v>29</v>
      </c>
      <c r="Q3477" s="6"/>
      <c r="R3477" s="6"/>
      <c r="S3477" s="6"/>
      <c r="T3477" s="6"/>
      <c r="U3477" s="6"/>
      <c r="V3477" s="6"/>
      <c r="W3477" s="6"/>
      <c r="X3477" s="6"/>
      <c r="Y3477" s="6"/>
      <c r="Z3477" s="6"/>
      <c r="AA3477" s="6"/>
    </row>
    <row r="3478" ht="14.25">
      <c r="B3478" s="4" t="s">
        <v>355</v>
      </c>
      <c r="C3478" s="4" t="s">
        <v>25551</v>
      </c>
      <c r="D3478" s="4" t="s">
        <v>120</v>
      </c>
      <c r="E3478" s="5" t="s">
        <v>25552</v>
      </c>
      <c r="F3478" s="4" t="str">
        <f>IFERROR(__XLUDF.DUMMYFUNCTION("PROPER(REGEXREPLACE(D1194,""[^A-Za-z]+ "",""""))"),"Kanonik")</f>
        <v>Kanonik</v>
      </c>
      <c r="G3478" s="4" t="s">
        <v>25553</v>
      </c>
      <c r="H3478" s="4">
        <v>10</v>
      </c>
      <c r="I3478" s="4" t="s">
        <v>2602</v>
      </c>
      <c r="J3478" s="4" t="str">
        <f>IFERROR(__XLUDF.DUMMYFUNCTION("VLOOKUP(H1194,IMPORTRANGE(""https://docs.google.com/spreadsheets/d/1opm6ZNvGZ7KditA9TuJwrZ25eFLfTNIkrNnY6mhV5Eg"",""list!A1:C115""),3,TRUE)"),"le secteur de la tech")</f>
        <v xml:space="preserve">le secteur de la tech</v>
      </c>
      <c r="K3478" s="5" t="s">
        <v>25554</v>
      </c>
      <c r="L3478" s="5" t="s">
        <v>25555</v>
      </c>
      <c r="M3478" s="4" t="s">
        <v>15894</v>
      </c>
      <c r="N3478" s="4" t="s">
        <v>29</v>
      </c>
      <c r="O3478" s="4" t="s">
        <v>25556</v>
      </c>
      <c r="P3478" s="4" t="s">
        <v>29</v>
      </c>
      <c r="Q3478" s="6"/>
      <c r="R3478" s="6"/>
      <c r="S3478" s="6"/>
      <c r="T3478" s="6"/>
      <c r="U3478" s="6"/>
      <c r="V3478" s="6"/>
      <c r="W3478" s="6"/>
      <c r="X3478" s="6"/>
      <c r="Y3478" s="6"/>
      <c r="Z3478" s="6"/>
      <c r="AA3478" s="6"/>
    </row>
    <row r="3479" ht="14.25">
      <c r="B3479" s="4" t="s">
        <v>734</v>
      </c>
      <c r="C3479" s="4" t="s">
        <v>25557</v>
      </c>
      <c r="D3479" s="4" t="s">
        <v>7759</v>
      </c>
      <c r="E3479" s="4" t="s">
        <v>25558</v>
      </c>
      <c r="F3479" s="4" t="str">
        <f>IFERROR(__XLUDF.DUMMYFUNCTION("PROPER(REGEXREPLACE(D1195,""[^A-Za-z]+ "",""""))"),"Conseilorganisation")</f>
        <v>Conseilorganisation</v>
      </c>
      <c r="G3479" s="4" t="s">
        <v>25559</v>
      </c>
      <c r="H3479" s="4">
        <v>10</v>
      </c>
      <c r="I3479" s="4" t="s">
        <v>4067</v>
      </c>
      <c r="J3479" s="4" t="str">
        <f>IFERROR(__XLUDF.DUMMYFUNCTION("VLOOKUP(H1195,IMPORTRANGE(""https://docs.google.com/spreadsheets/d/1opm6ZNvGZ7KditA9TuJwrZ25eFLfTNIkrNnY6mhV5Eg"",""list!A1:C115""),3,TRUE)"),"le secteur du conseil en management")</f>
        <v xml:space="preserve">le secteur du conseil en management</v>
      </c>
      <c r="K3479" s="5" t="s">
        <v>25560</v>
      </c>
      <c r="L3479" s="5" t="s">
        <v>25561</v>
      </c>
      <c r="M3479" s="6"/>
      <c r="N3479" s="4" t="s">
        <v>29</v>
      </c>
      <c r="O3479" s="4" t="s">
        <v>25562</v>
      </c>
      <c r="P3479" s="4" t="s">
        <v>29</v>
      </c>
      <c r="Q3479" s="4" t="s">
        <v>25558</v>
      </c>
      <c r="R3479" s="6"/>
      <c r="S3479" s="6"/>
      <c r="T3479" s="6"/>
      <c r="U3479" s="6"/>
      <c r="V3479" s="6"/>
      <c r="W3479" s="6"/>
      <c r="X3479" s="6"/>
      <c r="Y3479" s="6"/>
      <c r="Z3479" s="6"/>
      <c r="AA3479" s="6"/>
    </row>
    <row r="3480" ht="14.25">
      <c r="B3480" s="4" t="s">
        <v>866</v>
      </c>
      <c r="C3480" s="4" t="s">
        <v>25563</v>
      </c>
      <c r="D3480" s="4" t="s">
        <v>87</v>
      </c>
      <c r="E3480" s="4" t="s">
        <v>25564</v>
      </c>
      <c r="F3480" s="4" t="str">
        <f>IFERROR(__XLUDF.DUMMYFUNCTION("PROPER(REGEXREPLACE(D1196,""[^A-Za-z]+ "",""""))"),"Alea Prevention")</f>
        <v xml:space="preserve">Alea Prevention</v>
      </c>
      <c r="G3480" s="4" t="s">
        <v>25565</v>
      </c>
      <c r="H3480" s="4">
        <v>10</v>
      </c>
      <c r="I3480" s="4" t="s">
        <v>2602</v>
      </c>
      <c r="J3480" s="4"/>
      <c r="K3480" s="5" t="s">
        <v>25566</v>
      </c>
      <c r="L3480" s="5" t="s">
        <v>25567</v>
      </c>
      <c r="M3480" s="4" t="s">
        <v>18102</v>
      </c>
      <c r="N3480" s="4" t="s">
        <v>29</v>
      </c>
      <c r="O3480" s="4" t="s">
        <v>25568</v>
      </c>
      <c r="P3480" s="4" t="s">
        <v>29</v>
      </c>
      <c r="Q3480" s="4" t="s">
        <v>25569</v>
      </c>
      <c r="R3480" s="6"/>
      <c r="S3480" s="6"/>
      <c r="T3480" s="6"/>
      <c r="U3480" s="6"/>
      <c r="V3480" s="6"/>
      <c r="W3480" s="6"/>
      <c r="X3480" s="6"/>
      <c r="Y3480" s="6"/>
      <c r="Z3480" s="6"/>
      <c r="AA3480" s="6"/>
    </row>
    <row r="3481" ht="14.25">
      <c r="B3481" s="4" t="s">
        <v>9043</v>
      </c>
      <c r="C3481" s="4" t="s">
        <v>25570</v>
      </c>
      <c r="D3481" s="4" t="s">
        <v>87</v>
      </c>
      <c r="E3481" s="4" t="s">
        <v>25571</v>
      </c>
      <c r="F3481" s="4" t="str">
        <f>IFERROR(__XLUDF.DUMMYFUNCTION("PROPER(REGEXREPLACE(D1197,""[^A-Za-z]+ "",""""))"),"Trÿbu")</f>
        <v>Trÿbu</v>
      </c>
      <c r="G3481" s="4" t="s">
        <v>25572</v>
      </c>
      <c r="H3481" s="4">
        <v>3</v>
      </c>
      <c r="I3481" s="4" t="s">
        <v>2602</v>
      </c>
      <c r="J3481" s="4" t="str">
        <f>IFERROR(__XLUDF.DUMMYFUNCTION("VLOOKUP(H1197,IMPORTRANGE(""https://docs.google.com/spreadsheets/d/1opm6ZNvGZ7KditA9TuJwrZ25eFLfTNIkrNnY6mhV5Eg"",""list!A1:C115""),3,TRUE)"),"le secteur de la tech")</f>
        <v xml:space="preserve">le secteur de la tech</v>
      </c>
      <c r="K3481" s="5" t="s">
        <v>25573</v>
      </c>
      <c r="L3481" s="5" t="s">
        <v>25574</v>
      </c>
      <c r="M3481" s="4" t="s">
        <v>846</v>
      </c>
      <c r="N3481" s="4" t="s">
        <v>29</v>
      </c>
      <c r="O3481" s="4" t="s">
        <v>5865</v>
      </c>
      <c r="P3481" s="4" t="s">
        <v>29</v>
      </c>
      <c r="Q3481" s="4" t="s">
        <v>25575</v>
      </c>
      <c r="R3481" s="6"/>
      <c r="S3481" s="6"/>
      <c r="T3481" s="6"/>
      <c r="U3481" s="6"/>
      <c r="V3481" s="6"/>
      <c r="W3481" s="6"/>
      <c r="X3481" s="6"/>
      <c r="Y3481" s="6"/>
      <c r="Z3481" s="6"/>
      <c r="AA3481" s="6"/>
    </row>
    <row r="3482" ht="14.25">
      <c r="B3482" s="4" t="s">
        <v>2932</v>
      </c>
      <c r="C3482" s="4" t="s">
        <v>25576</v>
      </c>
      <c r="D3482" s="4" t="s">
        <v>25577</v>
      </c>
      <c r="E3482" s="4" t="s">
        <v>25578</v>
      </c>
      <c r="F3482" s="4" t="str">
        <f>IFERROR(__XLUDF.DUMMYFUNCTION("PROPER(REGEXREPLACE(D1198,""[^A-Za-z]+ "",""""))"),"Semsoft")</f>
        <v>Semsoft</v>
      </c>
      <c r="G3482" s="4" t="s">
        <v>25579</v>
      </c>
      <c r="H3482" s="4">
        <v>15</v>
      </c>
      <c r="I3482" s="4" t="s">
        <v>2602</v>
      </c>
      <c r="J3482" s="4" t="str">
        <f>IFERROR(__XLUDF.DUMMYFUNCTION("VLOOKUP(H1198,IMPORTRANGE(""https://docs.google.com/spreadsheets/d/1opm6ZNvGZ7KditA9TuJwrZ25eFLfTNIkrNnY6mhV5Eg"",""list!A1:C115""),3,TRUE)"),"le secteur de la tech")</f>
        <v xml:space="preserve">le secteur de la tech</v>
      </c>
      <c r="K3482" s="5" t="s">
        <v>25580</v>
      </c>
      <c r="L3482" s="5" t="s">
        <v>25581</v>
      </c>
      <c r="M3482" s="4" t="s">
        <v>1826</v>
      </c>
      <c r="N3482" s="4" t="s">
        <v>29</v>
      </c>
      <c r="O3482" s="4" t="s">
        <v>25582</v>
      </c>
      <c r="P3482" s="4" t="s">
        <v>29</v>
      </c>
      <c r="Q3482" s="4" t="s">
        <v>25583</v>
      </c>
      <c r="R3482" s="6"/>
      <c r="S3482" s="6"/>
      <c r="T3482" s="6"/>
      <c r="U3482" s="6"/>
      <c r="V3482" s="6"/>
      <c r="W3482" s="6"/>
      <c r="X3482" s="6"/>
      <c r="Y3482" s="6"/>
      <c r="Z3482" s="6"/>
      <c r="AA3482" s="6"/>
    </row>
    <row r="3483" ht="14.25">
      <c r="B3483" s="4" t="s">
        <v>1198</v>
      </c>
      <c r="C3483" s="4" t="s">
        <v>25584</v>
      </c>
      <c r="D3483" s="4" t="s">
        <v>1950</v>
      </c>
      <c r="E3483" s="4" t="s">
        <v>25585</v>
      </c>
      <c r="F3483" s="4" t="str">
        <f>IFERROR(__XLUDF.DUMMYFUNCTION("PROPER(REGEXREPLACE(D1199,""[^A-Za-z]+ "",""""))"),"Adec Sas")</f>
        <v xml:space="preserve">Adec Sas</v>
      </c>
      <c r="G3483" s="4" t="s">
        <v>25586</v>
      </c>
      <c r="H3483" s="4">
        <v>41</v>
      </c>
      <c r="I3483" s="4" t="s">
        <v>2602</v>
      </c>
      <c r="J3483" s="4"/>
      <c r="K3483" s="5" t="s">
        <v>25587</v>
      </c>
      <c r="L3483" s="5" t="s">
        <v>25588</v>
      </c>
      <c r="M3483" s="4" t="s">
        <v>482</v>
      </c>
      <c r="N3483" s="4" t="s">
        <v>29</v>
      </c>
      <c r="O3483" s="4" t="s">
        <v>25589</v>
      </c>
      <c r="P3483" s="4" t="s">
        <v>29</v>
      </c>
      <c r="Q3483" s="4" t="s">
        <v>25590</v>
      </c>
      <c r="R3483" s="6"/>
      <c r="S3483" s="6"/>
      <c r="T3483" s="6"/>
      <c r="U3483" s="6"/>
      <c r="V3483" s="6"/>
      <c r="W3483" s="6"/>
      <c r="X3483" s="6"/>
      <c r="Y3483" s="6"/>
      <c r="Z3483" s="6"/>
      <c r="AA3483" s="6"/>
    </row>
    <row r="3484" ht="14.25">
      <c r="B3484" s="4" t="s">
        <v>170</v>
      </c>
      <c r="C3484" s="4" t="s">
        <v>25591</v>
      </c>
      <c r="D3484" s="4" t="s">
        <v>688</v>
      </c>
      <c r="E3484" s="4" t="s">
        <v>25592</v>
      </c>
      <c r="F3484" s="4" t="str">
        <f>IFERROR(__XLUDF.DUMMYFUNCTION("PROPER(REGEXREPLACE(D1200,""[^A-Za-z]+ "",""""))"),"Vaisonet")</f>
        <v>Vaisonet</v>
      </c>
      <c r="G3484" s="4" t="s">
        <v>25593</v>
      </c>
      <c r="H3484" s="4">
        <v>10</v>
      </c>
      <c r="I3484" s="4" t="s">
        <v>2602</v>
      </c>
      <c r="J3484" s="4"/>
      <c r="K3484" s="5" t="s">
        <v>25594</v>
      </c>
      <c r="L3484" s="5" t="s">
        <v>25595</v>
      </c>
      <c r="M3484" s="4" t="s">
        <v>25596</v>
      </c>
      <c r="N3484" s="4" t="s">
        <v>29</v>
      </c>
      <c r="O3484" s="4" t="s">
        <v>25597</v>
      </c>
      <c r="P3484" s="4" t="s">
        <v>29</v>
      </c>
      <c r="Q3484" s="4" t="s">
        <v>25598</v>
      </c>
      <c r="R3484" s="6"/>
      <c r="S3484" s="6"/>
      <c r="T3484" s="6"/>
      <c r="U3484" s="6"/>
      <c r="V3484" s="6"/>
      <c r="W3484" s="6"/>
      <c r="X3484" s="6"/>
      <c r="Y3484" s="6"/>
      <c r="Z3484" s="6"/>
      <c r="AA3484" s="6"/>
    </row>
    <row r="3485" ht="14.25">
      <c r="B3485" s="4" t="s">
        <v>785</v>
      </c>
      <c r="C3485" s="4" t="s">
        <v>25599</v>
      </c>
      <c r="D3485" s="4" t="s">
        <v>5500</v>
      </c>
      <c r="E3485" s="4" t="s">
        <v>19345</v>
      </c>
      <c r="F3485" s="4" t="str">
        <f>IFERROR(__XLUDF.DUMMYFUNCTION("PROPER(REGEXREPLACE(D1201,""[^A-Za-z]+ "",""""))"),"Ekost")</f>
        <v>Ekost</v>
      </c>
      <c r="G3485" s="4" t="s">
        <v>25600</v>
      </c>
      <c r="H3485" s="4">
        <v>12</v>
      </c>
      <c r="I3485" s="4" t="s">
        <v>2602</v>
      </c>
      <c r="J3485" s="4" t="str">
        <f>IFERROR(__XLUDF.DUMMYFUNCTION("VLOOKUP(H1201,IMPORTRANGE(""https://docs.google.com/spreadsheets/d/1opm6ZNvGZ7KditA9TuJwrZ25eFLfTNIkrNnY6mhV5Eg"",""list!A1:C115""),3,TRUE)"),"le secteur de la tech")</f>
        <v xml:space="preserve">le secteur de la tech</v>
      </c>
      <c r="K3485" s="5" t="s">
        <v>25601</v>
      </c>
      <c r="L3485" s="5" t="s">
        <v>19348</v>
      </c>
      <c r="M3485" s="4" t="s">
        <v>39</v>
      </c>
      <c r="N3485" s="4" t="s">
        <v>29</v>
      </c>
      <c r="O3485" s="4" t="s">
        <v>19349</v>
      </c>
      <c r="P3485" s="4" t="s">
        <v>29</v>
      </c>
      <c r="Q3485" s="4" t="s">
        <v>19350</v>
      </c>
      <c r="R3485" s="6"/>
      <c r="S3485" s="6"/>
      <c r="T3485" s="6"/>
      <c r="U3485" s="6"/>
      <c r="V3485" s="6"/>
      <c r="W3485" s="6"/>
      <c r="X3485" s="6"/>
      <c r="Y3485" s="6"/>
      <c r="Z3485" s="6"/>
      <c r="AA3485" s="6"/>
    </row>
    <row r="3486" ht="14.25">
      <c r="B3486" s="4" t="s">
        <v>25602</v>
      </c>
      <c r="C3486" s="4" t="s">
        <v>25603</v>
      </c>
      <c r="D3486" s="4" t="s">
        <v>3188</v>
      </c>
      <c r="E3486" s="4" t="s">
        <v>25604</v>
      </c>
      <c r="F3486" s="4" t="str">
        <f>IFERROR(__XLUDF.DUMMYFUNCTION("PROPER(REGEXREPLACE(D1202,""[^A-Za-z]+ "",""""))"),"Skeat")</f>
        <v>Skeat</v>
      </c>
      <c r="G3486" s="4" t="s">
        <v>25605</v>
      </c>
      <c r="H3486" s="4">
        <v>18</v>
      </c>
      <c r="I3486" s="4" t="s">
        <v>2602</v>
      </c>
      <c r="J3486" s="4" t="str">
        <f>IFERROR(__XLUDF.DUMMYFUNCTION("VLOOKUP(H1202,IMPORTRANGE(""https://docs.google.com/spreadsheets/d/1opm6ZNvGZ7KditA9TuJwrZ25eFLfTNIkrNnY6mhV5Eg"",""list!A1:C115""),3,TRUE)"),"le secteur de la tech")</f>
        <v xml:space="preserve">le secteur de la tech</v>
      </c>
      <c r="K3486" s="5" t="s">
        <v>25606</v>
      </c>
      <c r="L3486" s="5" t="s">
        <v>25607</v>
      </c>
      <c r="M3486" s="4" t="s">
        <v>39</v>
      </c>
      <c r="N3486" s="4" t="s">
        <v>29</v>
      </c>
      <c r="O3486" s="4" t="s">
        <v>25608</v>
      </c>
      <c r="P3486" s="4" t="s">
        <v>29</v>
      </c>
      <c r="Q3486" s="6"/>
      <c r="R3486" s="6"/>
      <c r="S3486" s="6"/>
      <c r="T3486" s="6"/>
      <c r="U3486" s="6"/>
      <c r="V3486" s="6"/>
      <c r="W3486" s="6"/>
      <c r="X3486" s="6"/>
      <c r="Y3486" s="6"/>
      <c r="Z3486" s="6"/>
      <c r="AA3486" s="6"/>
    </row>
    <row r="3487" ht="14.25">
      <c r="B3487" s="4" t="s">
        <v>24920</v>
      </c>
      <c r="C3487" s="4" t="s">
        <v>25609</v>
      </c>
      <c r="D3487" s="4" t="s">
        <v>172</v>
      </c>
      <c r="E3487" s="4" t="s">
        <v>25610</v>
      </c>
      <c r="F3487" s="4" t="str">
        <f>IFERROR(__XLUDF.DUMMYFUNCTION("PROPER(REGEXREPLACE(D1203,""[^A-Za-z]+ "",""""))"),"Resosign")</f>
        <v>Resosign</v>
      </c>
      <c r="G3487" s="4" t="s">
        <v>25611</v>
      </c>
      <c r="H3487" s="4">
        <v>14</v>
      </c>
      <c r="I3487" s="4" t="s">
        <v>9161</v>
      </c>
      <c r="J3487" s="4"/>
      <c r="K3487" s="5" t="s">
        <v>25612</v>
      </c>
      <c r="L3487" s="5" t="s">
        <v>25613</v>
      </c>
      <c r="M3487" s="4" t="s">
        <v>295</v>
      </c>
      <c r="N3487" s="4" t="s">
        <v>29</v>
      </c>
      <c r="O3487" s="4" t="s">
        <v>3642</v>
      </c>
      <c r="P3487" s="4" t="s">
        <v>29</v>
      </c>
      <c r="Q3487" s="4" t="s">
        <v>25614</v>
      </c>
      <c r="R3487" s="6"/>
      <c r="S3487" s="6"/>
      <c r="T3487" s="6"/>
      <c r="U3487" s="6"/>
      <c r="V3487" s="6"/>
      <c r="W3487" s="6"/>
      <c r="X3487" s="6"/>
      <c r="Y3487" s="6"/>
      <c r="Z3487" s="6"/>
      <c r="AA3487" s="6"/>
    </row>
    <row r="3488" ht="14.25">
      <c r="B3488" s="4" t="s">
        <v>1215</v>
      </c>
      <c r="C3488" s="4" t="s">
        <v>2437</v>
      </c>
      <c r="D3488" s="4" t="s">
        <v>10605</v>
      </c>
      <c r="E3488" s="4" t="s">
        <v>25615</v>
      </c>
      <c r="F3488" s="4" t="str">
        <f>IFERROR(__XLUDF.DUMMYFUNCTION("PROPER(REGEXREPLACE(D1204,""[^A-Za-z]+ "",""""))"),"Callwin")</f>
        <v>Callwin</v>
      </c>
      <c r="G3488" s="4" t="s">
        <v>25616</v>
      </c>
      <c r="H3488" s="4">
        <v>11</v>
      </c>
      <c r="I3488" s="4" t="s">
        <v>2602</v>
      </c>
      <c r="J3488" s="4" t="str">
        <f>IFERROR(__XLUDF.DUMMYFUNCTION("VLOOKUP(H1204,IMPORTRANGE(""https://docs.google.com/spreadsheets/d/1opm6ZNvGZ7KditA9TuJwrZ25eFLfTNIkrNnY6mhV5Eg"",""list!A1:C115""),3,TRUE)"),"le secteur de la tech")</f>
        <v xml:space="preserve">le secteur de la tech</v>
      </c>
      <c r="K3488" s="5" t="s">
        <v>25617</v>
      </c>
      <c r="L3488" s="5" t="s">
        <v>25618</v>
      </c>
      <c r="M3488" s="4" t="s">
        <v>25619</v>
      </c>
      <c r="N3488" s="4" t="s">
        <v>29</v>
      </c>
      <c r="O3488" s="4" t="s">
        <v>25620</v>
      </c>
      <c r="P3488" s="4" t="s">
        <v>29</v>
      </c>
      <c r="Q3488" s="6"/>
      <c r="R3488" s="6"/>
      <c r="S3488" s="6"/>
      <c r="T3488" s="6"/>
      <c r="U3488" s="6"/>
      <c r="V3488" s="6"/>
      <c r="W3488" s="6"/>
      <c r="X3488" s="6"/>
      <c r="Y3488" s="6"/>
      <c r="Z3488" s="6"/>
      <c r="AA3488" s="6"/>
    </row>
    <row r="3489" ht="14.25">
      <c r="B3489" s="4" t="s">
        <v>25621</v>
      </c>
      <c r="C3489" s="4" t="s">
        <v>25622</v>
      </c>
      <c r="D3489" s="4" t="s">
        <v>688</v>
      </c>
      <c r="E3489" s="4" t="s">
        <v>20468</v>
      </c>
      <c r="F3489" s="4" t="str">
        <f>IFERROR(__XLUDF.DUMMYFUNCTION("PROPER(REGEXREPLACE(D1205,""[^A-Za-z]+ "",""""))"),"Functori")</f>
        <v>Functori</v>
      </c>
      <c r="G3489" s="4" t="s">
        <v>25623</v>
      </c>
      <c r="H3489" s="4">
        <v>12</v>
      </c>
      <c r="I3489" s="4" t="s">
        <v>2602</v>
      </c>
      <c r="J3489" s="4" t="str">
        <f>IFERROR(__XLUDF.DUMMYFUNCTION("VLOOKUP(H1205,IMPORTRANGE(""https://docs.google.com/spreadsheets/d/1opm6ZNvGZ7KditA9TuJwrZ25eFLfTNIkrNnY6mhV5Eg"",""list!A1:C115""),3,TRUE)"),"le secteur de la tech")</f>
        <v xml:space="preserve">le secteur de la tech</v>
      </c>
      <c r="K3489" s="5" t="s">
        <v>25624</v>
      </c>
      <c r="L3489" s="5" t="s">
        <v>20471</v>
      </c>
      <c r="M3489" s="4" t="s">
        <v>39</v>
      </c>
      <c r="N3489" s="4" t="s">
        <v>29</v>
      </c>
      <c r="O3489" s="4" t="s">
        <v>20472</v>
      </c>
      <c r="P3489" s="4" t="s">
        <v>29</v>
      </c>
      <c r="Q3489" s="4" t="s">
        <v>20473</v>
      </c>
      <c r="R3489" s="6"/>
      <c r="S3489" s="6"/>
      <c r="T3489" s="6"/>
      <c r="U3489" s="6"/>
      <c r="V3489" s="6"/>
      <c r="W3489" s="6"/>
      <c r="X3489" s="6"/>
      <c r="Y3489" s="6"/>
      <c r="Z3489" s="6"/>
      <c r="AA3489" s="6"/>
    </row>
    <row r="3490" ht="14.25">
      <c r="B3490" s="4" t="s">
        <v>255</v>
      </c>
      <c r="C3490" s="4" t="s">
        <v>25625</v>
      </c>
      <c r="D3490" s="4" t="s">
        <v>7220</v>
      </c>
      <c r="E3490" s="4" t="s">
        <v>25626</v>
      </c>
      <c r="F3490" s="4" t="str">
        <f>IFERROR(__XLUDF.DUMMYFUNCTION("PROPER(REGEXREPLACE(D1206,""[^A-Za-z]+ "",""""))"),"Rlg Informatique")</f>
        <v xml:space="preserve">Rlg Informatique</v>
      </c>
      <c r="G3490" s="4" t="s">
        <v>25627</v>
      </c>
      <c r="H3490" s="4">
        <v>14</v>
      </c>
      <c r="I3490" s="4" t="s">
        <v>2602</v>
      </c>
      <c r="J3490" s="4" t="str">
        <f>IFERROR(__XLUDF.DUMMYFUNCTION("VLOOKUP(H1206,IMPORTRANGE(""https://docs.google.com/spreadsheets/d/1opm6ZNvGZ7KditA9TuJwrZ25eFLfTNIkrNnY6mhV5Eg"",""list!A1:C115""),3,TRUE)"),"le secteur de la tech")</f>
        <v xml:space="preserve">le secteur de la tech</v>
      </c>
      <c r="K3490" s="5" t="s">
        <v>25628</v>
      </c>
      <c r="L3490" s="5" t="s">
        <v>25629</v>
      </c>
      <c r="M3490" s="4" t="s">
        <v>11171</v>
      </c>
      <c r="N3490" s="4" t="s">
        <v>29</v>
      </c>
      <c r="O3490" s="4" t="s">
        <v>25630</v>
      </c>
      <c r="P3490" s="4" t="s">
        <v>29</v>
      </c>
      <c r="Q3490" s="4" t="s">
        <v>25631</v>
      </c>
      <c r="R3490" s="6"/>
      <c r="S3490" s="6"/>
      <c r="T3490" s="6"/>
      <c r="U3490" s="6"/>
      <c r="V3490" s="6"/>
      <c r="W3490" s="6"/>
      <c r="X3490" s="6"/>
      <c r="Y3490" s="6"/>
      <c r="Z3490" s="6"/>
      <c r="AA3490" s="6"/>
    </row>
    <row r="3491" ht="14.25">
      <c r="B3491" s="4" t="s">
        <v>1324</v>
      </c>
      <c r="C3491" s="4" t="s">
        <v>25632</v>
      </c>
      <c r="D3491" s="4" t="s">
        <v>25633</v>
      </c>
      <c r="E3491" s="4" t="s">
        <v>25634</v>
      </c>
      <c r="F3491" s="4" t="str">
        <f>IFERROR(__XLUDF.DUMMYFUNCTION("PROPER(REGEXREPLACE(D1207,""[^A-Za-z]+ "",""""))"),"Vesto")</f>
        <v>Vesto</v>
      </c>
      <c r="G3491" s="4" t="s">
        <v>25635</v>
      </c>
      <c r="H3491" s="4">
        <v>23</v>
      </c>
      <c r="I3491" s="4" t="s">
        <v>4525</v>
      </c>
      <c r="J3491" s="4"/>
      <c r="K3491" s="5" t="s">
        <v>25636</v>
      </c>
      <c r="L3491" s="5" t="s">
        <v>25637</v>
      </c>
      <c r="M3491" s="4" t="s">
        <v>25638</v>
      </c>
      <c r="N3491" s="4" t="s">
        <v>29</v>
      </c>
      <c r="O3491" s="4" t="s">
        <v>67</v>
      </c>
      <c r="P3491" s="4" t="s">
        <v>29</v>
      </c>
      <c r="Q3491" s="4" t="s">
        <v>25639</v>
      </c>
      <c r="R3491" s="6"/>
      <c r="S3491" s="6"/>
      <c r="T3491" s="6"/>
      <c r="U3491" s="6"/>
      <c r="V3491" s="6"/>
      <c r="W3491" s="6"/>
      <c r="X3491" s="6"/>
      <c r="Y3491" s="6"/>
      <c r="Z3491" s="6"/>
      <c r="AA3491" s="6"/>
    </row>
    <row r="3492" ht="14.25">
      <c r="B3492" s="4" t="s">
        <v>3870</v>
      </c>
      <c r="C3492" s="4" t="s">
        <v>25640</v>
      </c>
      <c r="D3492" s="4" t="s">
        <v>87</v>
      </c>
      <c r="E3492" s="4" t="s">
        <v>25641</v>
      </c>
      <c r="F3492" s="4" t="str">
        <f>IFERROR(__XLUDF.DUMMYFUNCTION("PROPER(REGEXREPLACE(D1208,""[^A-Za-z]+ "",""""))"),"Emis-Aero")</f>
        <v>Emis-Aero</v>
      </c>
      <c r="G3492" s="4" t="s">
        <v>25642</v>
      </c>
      <c r="H3492" s="4">
        <v>16</v>
      </c>
      <c r="I3492" s="4" t="s">
        <v>2602</v>
      </c>
      <c r="J3492" s="4" t="str">
        <f>IFERROR(__XLUDF.DUMMYFUNCTION("VLOOKUP(H1208,IMPORTRANGE(""https://docs.google.com/spreadsheets/d/1opm6ZNvGZ7KditA9TuJwrZ25eFLfTNIkrNnY6mhV5Eg"",""list!A1:C115""),3,TRUE)"),"le secteur de la tech")</f>
        <v xml:space="preserve">le secteur de la tech</v>
      </c>
      <c r="K3492" s="5" t="s">
        <v>25643</v>
      </c>
      <c r="L3492" s="5" t="s">
        <v>25644</v>
      </c>
      <c r="M3492" s="4" t="s">
        <v>25645</v>
      </c>
      <c r="N3492" s="4" t="s">
        <v>29</v>
      </c>
      <c r="O3492" s="4" t="s">
        <v>25646</v>
      </c>
      <c r="P3492" s="4" t="s">
        <v>29</v>
      </c>
      <c r="Q3492" s="6"/>
      <c r="R3492" s="6"/>
      <c r="S3492" s="6"/>
      <c r="T3492" s="6"/>
      <c r="U3492" s="6"/>
      <c r="V3492" s="6"/>
      <c r="W3492" s="6"/>
      <c r="X3492" s="6"/>
      <c r="Y3492" s="6"/>
      <c r="Z3492" s="6"/>
      <c r="AA3492" s="6"/>
    </row>
    <row r="3493" ht="14.25">
      <c r="B3493" s="4" t="s">
        <v>963</v>
      </c>
      <c r="C3493" s="4" t="s">
        <v>25647</v>
      </c>
      <c r="D3493" s="4" t="s">
        <v>25648</v>
      </c>
      <c r="E3493" s="4" t="s">
        <v>25649</v>
      </c>
      <c r="F3493" s="4" t="str">
        <f>IFERROR(__XLUDF.DUMMYFUNCTION("PROPER(REGEXREPLACE(D1209,""[^A-Za-z]+ "",""""))"),"Olyzon")</f>
        <v>Olyzon</v>
      </c>
      <c r="G3493" s="4" t="s">
        <v>25650</v>
      </c>
      <c r="H3493" s="4">
        <v>29</v>
      </c>
      <c r="I3493" s="4" t="s">
        <v>9161</v>
      </c>
      <c r="J3493" s="4"/>
      <c r="K3493" s="5" t="s">
        <v>25651</v>
      </c>
      <c r="L3493" s="5" t="s">
        <v>25652</v>
      </c>
      <c r="M3493" s="4" t="s">
        <v>17484</v>
      </c>
      <c r="N3493" s="4" t="s">
        <v>29</v>
      </c>
      <c r="O3493" s="4" t="s">
        <v>25653</v>
      </c>
      <c r="P3493" s="4" t="s">
        <v>29</v>
      </c>
      <c r="Q3493" s="4" t="s">
        <v>25654</v>
      </c>
      <c r="R3493" s="6"/>
      <c r="S3493" s="6"/>
      <c r="T3493" s="6"/>
      <c r="U3493" s="6"/>
      <c r="V3493" s="6"/>
      <c r="W3493" s="6"/>
      <c r="X3493" s="6"/>
      <c r="Y3493" s="6"/>
      <c r="Z3493" s="6"/>
      <c r="AA3493" s="6"/>
    </row>
    <row r="3494" ht="14.25">
      <c r="B3494" s="4" t="s">
        <v>25655</v>
      </c>
      <c r="C3494" s="4" t="s">
        <v>25656</v>
      </c>
      <c r="D3494" s="4" t="s">
        <v>164</v>
      </c>
      <c r="E3494" s="4" t="s">
        <v>25657</v>
      </c>
      <c r="F3494" s="4" t="str">
        <f>IFERROR(__XLUDF.DUMMYFUNCTION("PROPER(REGEXREPLACE(D1210,""[^A-Za-z]+ "",""""))"),"Pbc L’Agence")</f>
        <v xml:space="preserve">Pbc L’Agence</v>
      </c>
      <c r="G3494" s="4" t="s">
        <v>25658</v>
      </c>
      <c r="H3494" s="4">
        <v>22</v>
      </c>
      <c r="I3494" s="4" t="s">
        <v>9161</v>
      </c>
      <c r="J3494" s="4" t="str">
        <f>IFERROR(__XLUDF.DUMMYFUNCTION("VLOOKUP(H1210,IMPORTRANGE(""https://docs.google.com/spreadsheets/d/1opm6ZNvGZ7KditA9TuJwrZ25eFLfTNIkrNnY6mhV5Eg"",""list!A1:C115""),3,TRUE)"),"le secteur du marketing")</f>
        <v xml:space="preserve">le secteur du marketing</v>
      </c>
      <c r="K3494" s="5" t="s">
        <v>25659</v>
      </c>
      <c r="L3494" s="5" t="s">
        <v>25660</v>
      </c>
      <c r="M3494" s="6"/>
      <c r="N3494" s="4" t="s">
        <v>29</v>
      </c>
      <c r="O3494" s="4" t="s">
        <v>25661</v>
      </c>
      <c r="P3494" s="4" t="s">
        <v>29</v>
      </c>
      <c r="Q3494" s="4" t="s">
        <v>25662</v>
      </c>
      <c r="R3494" s="6"/>
      <c r="S3494" s="6"/>
      <c r="T3494" s="6"/>
      <c r="U3494" s="6"/>
      <c r="V3494" s="6"/>
      <c r="W3494" s="6"/>
      <c r="X3494" s="6"/>
      <c r="Y3494" s="6"/>
      <c r="Z3494" s="6"/>
      <c r="AA3494" s="6"/>
    </row>
    <row r="3495" ht="14.25">
      <c r="B3495" s="4" t="s">
        <v>2299</v>
      </c>
      <c r="C3495" s="4" t="s">
        <v>25663</v>
      </c>
      <c r="D3495" s="4" t="s">
        <v>25664</v>
      </c>
      <c r="E3495" s="4" t="s">
        <v>21548</v>
      </c>
      <c r="F3495" s="4" t="str">
        <f>IFERROR(__XLUDF.DUMMYFUNCTION("PROPER(REGEXREPLACE(D1211,""[^A-Za-z]+ "",""""))"),"Pyratzlabs")</f>
        <v>Pyratzlabs</v>
      </c>
      <c r="G3495" s="4" t="s">
        <v>25665</v>
      </c>
      <c r="H3495" s="4">
        <v>22</v>
      </c>
      <c r="I3495" s="4" t="s">
        <v>2602</v>
      </c>
      <c r="J3495" s="4"/>
      <c r="K3495" s="5" t="s">
        <v>25666</v>
      </c>
      <c r="L3495" s="5" t="s">
        <v>21551</v>
      </c>
      <c r="M3495" s="4" t="s">
        <v>39</v>
      </c>
      <c r="N3495" s="4" t="s">
        <v>29</v>
      </c>
      <c r="O3495" s="4" t="s">
        <v>21552</v>
      </c>
      <c r="P3495" s="4" t="s">
        <v>29</v>
      </c>
      <c r="Q3495" s="4" t="s">
        <v>21553</v>
      </c>
      <c r="R3495" s="6"/>
      <c r="S3495" s="6"/>
      <c r="T3495" s="6"/>
      <c r="U3495" s="6"/>
      <c r="V3495" s="6"/>
      <c r="W3495" s="6"/>
      <c r="X3495" s="6"/>
      <c r="Y3495" s="6"/>
      <c r="Z3495" s="6"/>
      <c r="AA3495" s="6"/>
    </row>
    <row r="3496" ht="14.25">
      <c r="B3496" s="4" t="s">
        <v>20</v>
      </c>
      <c r="C3496" s="4" t="s">
        <v>25667</v>
      </c>
      <c r="D3496" s="4" t="s">
        <v>172</v>
      </c>
      <c r="E3496" s="4" t="s">
        <v>25668</v>
      </c>
      <c r="F3496" s="4" t="str">
        <f>IFERROR(__XLUDF.DUMMYFUNCTION("PROPER(REGEXREPLACE(D1212,""[^A-Za-z]+ "",""""))"),"Mistral Coolers")</f>
        <v xml:space="preserve">Mistral Coolers</v>
      </c>
      <c r="G3496" s="4" t="s">
        <v>25669</v>
      </c>
      <c r="H3496" s="4">
        <v>26</v>
      </c>
      <c r="I3496" s="4" t="s">
        <v>4525</v>
      </c>
      <c r="J3496" s="4" t="str">
        <f>IFERROR(__XLUDF.DUMMYFUNCTION("VLOOKUP(H1212,IMPORTRANGE(""https://docs.google.com/spreadsheets/d/1opm6ZNvGZ7KditA9TuJwrZ25eFLfTNIkrNnY6mhV5Eg"",""list!A1:C115""),3,TRUE)"),"le secteur du retail")</f>
        <v xml:space="preserve">le secteur du retail</v>
      </c>
      <c r="K3496" s="5" t="s">
        <v>25670</v>
      </c>
      <c r="L3496" s="5" t="s">
        <v>25671</v>
      </c>
      <c r="M3496" s="6"/>
      <c r="N3496" s="4" t="s">
        <v>29</v>
      </c>
      <c r="O3496" s="4" t="s">
        <v>25672</v>
      </c>
      <c r="P3496" s="4" t="s">
        <v>29</v>
      </c>
      <c r="Q3496" s="6"/>
      <c r="R3496" s="6"/>
      <c r="S3496" s="6"/>
      <c r="T3496" s="6"/>
      <c r="U3496" s="6"/>
      <c r="V3496" s="6"/>
      <c r="W3496" s="6"/>
      <c r="X3496" s="6"/>
      <c r="Y3496" s="6"/>
      <c r="Z3496" s="6"/>
      <c r="AA3496" s="6"/>
    </row>
    <row r="3497" ht="14.25">
      <c r="B3497" s="4" t="s">
        <v>2932</v>
      </c>
      <c r="C3497" s="4" t="s">
        <v>25673</v>
      </c>
      <c r="D3497" s="4" t="s">
        <v>172</v>
      </c>
      <c r="E3497" s="4" t="s">
        <v>25674</v>
      </c>
      <c r="F3497" s="4" t="str">
        <f>IFERROR(__XLUDF.DUMMYFUNCTION("PROPER(REGEXREPLACE(D1213,""[^A-Za-z]+ "",""""))"),"Infocert France")</f>
        <v xml:space="preserve">Infocert France</v>
      </c>
      <c r="G3497" s="4" t="s">
        <v>25675</v>
      </c>
      <c r="H3497" s="4">
        <v>19</v>
      </c>
      <c r="I3497" s="4" t="s">
        <v>2602</v>
      </c>
      <c r="J3497" s="4"/>
      <c r="K3497" s="5" t="s">
        <v>25676</v>
      </c>
      <c r="L3497" s="5" t="s">
        <v>25677</v>
      </c>
      <c r="M3497" s="4" t="s">
        <v>39</v>
      </c>
      <c r="N3497" s="4" t="s">
        <v>29</v>
      </c>
      <c r="O3497" s="4" t="s">
        <v>25678</v>
      </c>
      <c r="P3497" s="4" t="s">
        <v>29</v>
      </c>
      <c r="Q3497" s="4" t="s">
        <v>25679</v>
      </c>
      <c r="R3497" s="6"/>
      <c r="S3497" s="6"/>
      <c r="T3497" s="6"/>
      <c r="U3497" s="6"/>
      <c r="V3497" s="6"/>
      <c r="W3497" s="6"/>
      <c r="X3497" s="6"/>
      <c r="Y3497" s="6"/>
      <c r="Z3497" s="6"/>
      <c r="AA3497" s="6"/>
    </row>
    <row r="3498" ht="14.25">
      <c r="B3498" s="4" t="s">
        <v>1353</v>
      </c>
      <c r="C3498" s="4" t="s">
        <v>25680</v>
      </c>
      <c r="D3498" s="4" t="s">
        <v>468</v>
      </c>
      <c r="E3498" s="4" t="s">
        <v>25681</v>
      </c>
      <c r="F3498" s="4" t="str">
        <f>IFERROR(__XLUDF.DUMMYFUNCTION("PROPER(REGEXREPLACE(D1214,""[^A-Za-z]+ "",""""))"),"Axel Gestion")</f>
        <v xml:space="preserve">Axel Gestion</v>
      </c>
      <c r="G3498" s="4" t="s">
        <v>25682</v>
      </c>
      <c r="H3498" s="4">
        <v>12</v>
      </c>
      <c r="I3498" s="4" t="s">
        <v>2602</v>
      </c>
      <c r="J3498" s="4" t="str">
        <f>IFERROR(__XLUDF.DUMMYFUNCTION("VLOOKUP(H1214,IMPORTRANGE(""https://docs.google.com/spreadsheets/d/1opm6ZNvGZ7KditA9TuJwrZ25eFLfTNIkrNnY6mhV5Eg"",""list!A1:C115""),3,TRUE)"),"le secteur de la tech")</f>
        <v xml:space="preserve">le secteur de la tech</v>
      </c>
      <c r="K3498" s="5" t="s">
        <v>25683</v>
      </c>
      <c r="L3498" s="5" t="s">
        <v>25684</v>
      </c>
      <c r="M3498" s="4" t="s">
        <v>185</v>
      </c>
      <c r="N3498" s="4" t="s">
        <v>29</v>
      </c>
      <c r="O3498" s="4" t="s">
        <v>25685</v>
      </c>
      <c r="P3498" s="4" t="s">
        <v>29</v>
      </c>
      <c r="Q3498" s="6"/>
      <c r="R3498" s="6"/>
      <c r="S3498" s="6"/>
      <c r="T3498" s="6"/>
      <c r="U3498" s="6"/>
      <c r="V3498" s="6"/>
      <c r="W3498" s="6"/>
      <c r="X3498" s="6"/>
      <c r="Y3498" s="6"/>
      <c r="Z3498" s="6"/>
      <c r="AA3498" s="6"/>
    </row>
    <row r="3499" ht="14.25">
      <c r="B3499" s="4" t="s">
        <v>2409</v>
      </c>
      <c r="C3499" s="4" t="s">
        <v>25686</v>
      </c>
      <c r="D3499" s="4" t="s">
        <v>341</v>
      </c>
      <c r="E3499" s="4" t="s">
        <v>25686</v>
      </c>
      <c r="F3499" s="4" t="str">
        <f>IFERROR(__XLUDF.DUMMYFUNCTION("PROPER(REGEXREPLACE(D1215,""[^A-Za-z]+ "",""""))"),"Lux")</f>
        <v>Lux</v>
      </c>
      <c r="G3499" s="4" t="s">
        <v>25687</v>
      </c>
      <c r="H3499" s="4">
        <v>1</v>
      </c>
      <c r="I3499" s="4" t="s">
        <v>2602</v>
      </c>
      <c r="J3499" s="4"/>
      <c r="K3499" s="5" t="s">
        <v>25688</v>
      </c>
      <c r="L3499" s="5" t="s">
        <v>25689</v>
      </c>
      <c r="M3499" s="4" t="s">
        <v>39</v>
      </c>
      <c r="N3499" s="4" t="s">
        <v>29</v>
      </c>
      <c r="O3499" s="4" t="s">
        <v>25690</v>
      </c>
      <c r="P3499" s="4" t="s">
        <v>29</v>
      </c>
      <c r="Q3499" s="6"/>
      <c r="R3499" s="6"/>
      <c r="S3499" s="6"/>
      <c r="T3499" s="6"/>
      <c r="U3499" s="6"/>
      <c r="V3499" s="6"/>
      <c r="W3499" s="6"/>
      <c r="X3499" s="6"/>
      <c r="Y3499" s="6"/>
      <c r="Z3499" s="6"/>
      <c r="AA3499" s="6"/>
    </row>
    <row r="3500" ht="14.25">
      <c r="B3500" s="4" t="s">
        <v>25691</v>
      </c>
      <c r="C3500" s="4" t="s">
        <v>25692</v>
      </c>
      <c r="D3500" s="4" t="s">
        <v>2911</v>
      </c>
      <c r="E3500" s="4" t="s">
        <v>5152</v>
      </c>
      <c r="F3500" s="4" t="str">
        <f>IFERROR(__XLUDF.DUMMYFUNCTION("PROPER(REGEXREPLACE(D1216,""[^A-Za-z]+ "",""""))"),"Falco")</f>
        <v>Falco</v>
      </c>
      <c r="G3500" s="4" t="s">
        <v>25693</v>
      </c>
      <c r="H3500" s="4">
        <v>13</v>
      </c>
      <c r="I3500" s="4" t="s">
        <v>2602</v>
      </c>
      <c r="J3500" s="4" t="str">
        <f>IFERROR(__XLUDF.DUMMYFUNCTION("VLOOKUP(H1216,IMPORTRANGE(""https://docs.google.com/spreadsheets/d/1opm6ZNvGZ7KditA9TuJwrZ25eFLfTNIkrNnY6mhV5Eg"",""list!A1:C115""),3,TRUE)"),"le secteur de la tech")</f>
        <v xml:space="preserve">le secteur de la tech</v>
      </c>
      <c r="K3500" s="5" t="s">
        <v>25694</v>
      </c>
      <c r="L3500" s="5" t="s">
        <v>25695</v>
      </c>
      <c r="M3500" s="4" t="s">
        <v>39</v>
      </c>
      <c r="N3500" s="4" t="s">
        <v>29</v>
      </c>
      <c r="O3500" s="4" t="s">
        <v>25696</v>
      </c>
      <c r="P3500" s="4" t="s">
        <v>29</v>
      </c>
      <c r="Q3500" s="4" t="s">
        <v>25697</v>
      </c>
      <c r="R3500" s="6"/>
      <c r="S3500" s="6"/>
      <c r="T3500" s="6"/>
      <c r="U3500" s="6"/>
      <c r="V3500" s="6"/>
      <c r="W3500" s="6"/>
      <c r="X3500" s="6"/>
      <c r="Y3500" s="6"/>
      <c r="Z3500" s="6"/>
      <c r="AA3500" s="6"/>
    </row>
    <row r="3501" ht="14.25">
      <c r="B3501" s="4" t="s">
        <v>769</v>
      </c>
      <c r="C3501" s="4" t="s">
        <v>3935</v>
      </c>
      <c r="D3501" s="4" t="s">
        <v>5003</v>
      </c>
      <c r="E3501" s="4" t="s">
        <v>25698</v>
      </c>
      <c r="F3501" s="4" t="str">
        <f>IFERROR(__XLUDF.DUMMYFUNCTION("PROPER(REGEXREPLACE(D1217,""[^A-Za-z]+ "",""""))"),"Atoo Energie")</f>
        <v xml:space="preserve">Atoo Energie</v>
      </c>
      <c r="G3501" s="4" t="s">
        <v>25699</v>
      </c>
      <c r="H3501" s="4">
        <v>15</v>
      </c>
      <c r="I3501" s="4" t="s">
        <v>4067</v>
      </c>
      <c r="J3501" s="4"/>
      <c r="K3501" s="5" t="s">
        <v>25700</v>
      </c>
      <c r="L3501" s="5" t="s">
        <v>25701</v>
      </c>
      <c r="M3501" s="4" t="s">
        <v>7386</v>
      </c>
      <c r="N3501" s="4" t="s">
        <v>29</v>
      </c>
      <c r="O3501" s="4" t="s">
        <v>25702</v>
      </c>
      <c r="P3501" s="4" t="s">
        <v>29</v>
      </c>
      <c r="Q3501" s="4" t="s">
        <v>25703</v>
      </c>
      <c r="R3501" s="6"/>
      <c r="S3501" s="6"/>
      <c r="T3501" s="6"/>
      <c r="U3501" s="6"/>
      <c r="V3501" s="6"/>
      <c r="W3501" s="6"/>
      <c r="X3501" s="6"/>
      <c r="Y3501" s="6"/>
      <c r="Z3501" s="6"/>
      <c r="AA3501" s="6"/>
    </row>
    <row r="3502" ht="14.25">
      <c r="B3502" s="4" t="s">
        <v>95</v>
      </c>
      <c r="C3502" s="4" t="s">
        <v>25704</v>
      </c>
      <c r="D3502" s="4" t="s">
        <v>25705</v>
      </c>
      <c r="E3502" s="4" t="s">
        <v>25706</v>
      </c>
      <c r="F3502" s="4" t="str">
        <f>IFERROR(__XLUDF.DUMMYFUNCTION("PROPER(REGEXREPLACE(D1218,""[^A-Za-z]+ "",""""))"),"Icm Services")</f>
        <v xml:space="preserve">Icm Services</v>
      </c>
      <c r="G3502" s="4" t="s">
        <v>25707</v>
      </c>
      <c r="H3502" s="4">
        <v>14</v>
      </c>
      <c r="I3502" s="4" t="s">
        <v>2602</v>
      </c>
      <c r="J3502" s="4"/>
      <c r="K3502" s="5" t="s">
        <v>25708</v>
      </c>
      <c r="L3502" s="5" t="s">
        <v>25709</v>
      </c>
      <c r="M3502" s="4" t="s">
        <v>25710</v>
      </c>
      <c r="N3502" s="4" t="s">
        <v>29</v>
      </c>
      <c r="O3502" s="4" t="s">
        <v>25711</v>
      </c>
      <c r="P3502" s="4" t="s">
        <v>29</v>
      </c>
      <c r="Q3502" s="4" t="s">
        <v>25712</v>
      </c>
      <c r="R3502" s="6"/>
      <c r="S3502" s="6"/>
      <c r="T3502" s="6"/>
      <c r="U3502" s="6"/>
      <c r="V3502" s="6"/>
      <c r="W3502" s="6"/>
      <c r="X3502" s="6"/>
      <c r="Y3502" s="6"/>
      <c r="Z3502" s="6"/>
      <c r="AA3502" s="6"/>
    </row>
    <row r="3503" ht="14.25">
      <c r="B3503" s="4" t="s">
        <v>1583</v>
      </c>
      <c r="C3503" s="4" t="s">
        <v>25713</v>
      </c>
      <c r="D3503" s="4" t="s">
        <v>25714</v>
      </c>
      <c r="E3503" s="4" t="s">
        <v>25715</v>
      </c>
      <c r="F3503" s="4" t="str">
        <f>IFERROR(__XLUDF.DUMMYFUNCTION("PROPER(REGEXREPLACE(D1219,""[^A-Za-z]+ "",""""))"),"Preapharm")</f>
        <v>Preapharm</v>
      </c>
      <c r="G3503" s="4" t="s">
        <v>25716</v>
      </c>
      <c r="H3503" s="4">
        <v>10</v>
      </c>
      <c r="I3503" s="4" t="s">
        <v>2602</v>
      </c>
      <c r="J3503" s="4"/>
      <c r="K3503" s="5" t="s">
        <v>25717</v>
      </c>
      <c r="L3503" s="5" t="s">
        <v>25718</v>
      </c>
      <c r="M3503" s="4" t="s">
        <v>295</v>
      </c>
      <c r="N3503" s="4" t="s">
        <v>29</v>
      </c>
      <c r="O3503" s="4" t="s">
        <v>3642</v>
      </c>
      <c r="P3503" s="4" t="s">
        <v>29</v>
      </c>
      <c r="Q3503" s="4" t="s">
        <v>25719</v>
      </c>
      <c r="R3503" s="6"/>
      <c r="S3503" s="6"/>
      <c r="T3503" s="6"/>
      <c r="U3503" s="6"/>
      <c r="V3503" s="6"/>
      <c r="W3503" s="6"/>
      <c r="X3503" s="6"/>
      <c r="Y3503" s="6"/>
      <c r="Z3503" s="6"/>
      <c r="AA3503" s="6"/>
    </row>
    <row r="3504" ht="14.25">
      <c r="B3504" s="4" t="s">
        <v>2119</v>
      </c>
      <c r="C3504" s="4" t="s">
        <v>25720</v>
      </c>
      <c r="D3504" s="4" t="s">
        <v>172</v>
      </c>
      <c r="E3504" s="4" t="s">
        <v>25721</v>
      </c>
      <c r="F3504" s="4" t="str">
        <f>IFERROR(__XLUDF.DUMMYFUNCTION("PROPER(REGEXREPLACE(D1220,""[^A-Za-z]+ "",""""))"),"Okenite")</f>
        <v>Okenite</v>
      </c>
      <c r="G3504" s="4" t="s">
        <v>25722</v>
      </c>
      <c r="H3504" s="4">
        <v>16</v>
      </c>
      <c r="I3504" s="4" t="s">
        <v>9161</v>
      </c>
      <c r="J3504" s="4" t="str">
        <f>IFERROR(__XLUDF.DUMMYFUNCTION("VLOOKUP(H1220,IMPORTRANGE(""https://docs.google.com/spreadsheets/d/1opm6ZNvGZ7KditA9TuJwrZ25eFLfTNIkrNnY6mhV5Eg"",""list!A1:C115""),3,TRUE)"),"le secteur du marketing")</f>
        <v xml:space="preserve">le secteur du marketing</v>
      </c>
      <c r="K3504" s="5" t="s">
        <v>25723</v>
      </c>
      <c r="L3504" s="5" t="s">
        <v>25724</v>
      </c>
      <c r="M3504" s="4" t="s">
        <v>11716</v>
      </c>
      <c r="N3504" s="4" t="s">
        <v>29</v>
      </c>
      <c r="O3504" s="4" t="s">
        <v>25725</v>
      </c>
      <c r="P3504" s="4" t="s">
        <v>29</v>
      </c>
      <c r="Q3504" s="6"/>
      <c r="R3504" s="6"/>
      <c r="S3504" s="6"/>
      <c r="T3504" s="6"/>
      <c r="U3504" s="6"/>
      <c r="V3504" s="6"/>
      <c r="W3504" s="6"/>
      <c r="X3504" s="6"/>
      <c r="Y3504" s="6"/>
      <c r="Z3504" s="6"/>
      <c r="AA3504" s="6"/>
    </row>
    <row r="3505" ht="14.25">
      <c r="B3505" s="4" t="s">
        <v>1696</v>
      </c>
      <c r="C3505" s="4" t="s">
        <v>25726</v>
      </c>
      <c r="D3505" s="4" t="s">
        <v>87</v>
      </c>
      <c r="E3505" s="4" t="s">
        <v>25727</v>
      </c>
      <c r="F3505" s="4" t="str">
        <f>IFERROR(__XLUDF.DUMMYFUNCTION("PROPER(REGEXREPLACE(D1221,""[^A-Za-z]+ "",""""))"),"Citio")</f>
        <v>Citio</v>
      </c>
      <c r="G3505" s="4" t="s">
        <v>25728</v>
      </c>
      <c r="H3505" s="4">
        <v>29</v>
      </c>
      <c r="I3505" s="4" t="s">
        <v>2602</v>
      </c>
      <c r="J3505" s="4"/>
      <c r="K3505" s="5" t="s">
        <v>25729</v>
      </c>
      <c r="L3505" s="5" t="s">
        <v>25730</v>
      </c>
      <c r="M3505" s="4" t="s">
        <v>39</v>
      </c>
      <c r="N3505" s="4" t="s">
        <v>29</v>
      </c>
      <c r="O3505" s="4" t="s">
        <v>25731</v>
      </c>
      <c r="P3505" s="4" t="s">
        <v>29</v>
      </c>
      <c r="Q3505" s="6"/>
      <c r="R3505" s="6"/>
      <c r="S3505" s="6"/>
      <c r="T3505" s="6"/>
      <c r="U3505" s="6"/>
      <c r="V3505" s="6"/>
      <c r="W3505" s="6"/>
      <c r="X3505" s="6"/>
      <c r="Y3505" s="6"/>
      <c r="Z3505" s="6"/>
      <c r="AA3505" s="6"/>
    </row>
    <row r="3506" ht="14.25">
      <c r="B3506" s="4" t="s">
        <v>1667</v>
      </c>
      <c r="C3506" s="4" t="s">
        <v>25732</v>
      </c>
      <c r="D3506" s="4" t="s">
        <v>112</v>
      </c>
      <c r="E3506" s="4" t="s">
        <v>25733</v>
      </c>
      <c r="F3506" s="4" t="str">
        <f>IFERROR(__XLUDF.DUMMYFUNCTION("PROPER(REGEXREPLACE(D1222,""[^A-Za-z]+ "",""""))"),"Iéseg Conseil Lille")</f>
        <v xml:space="preserve">Iéseg Conseil Lille</v>
      </c>
      <c r="G3506" s="4" t="s">
        <v>25734</v>
      </c>
      <c r="H3506" s="4">
        <v>39</v>
      </c>
      <c r="I3506" s="4" t="s">
        <v>4067</v>
      </c>
      <c r="J3506" s="4" t="str">
        <f>IFERROR(__XLUDF.DUMMYFUNCTION("VLOOKUP(H1222,IMPORTRANGE(""https://docs.google.com/spreadsheets/d/1opm6ZNvGZ7KditA9TuJwrZ25eFLfTNIkrNnY6mhV5Eg"",""list!A1:C115""),3,TRUE)"),"le secteur du conseil en management")</f>
        <v xml:space="preserve">le secteur du conseil en management</v>
      </c>
      <c r="K3506" s="5" t="s">
        <v>25735</v>
      </c>
      <c r="L3506" s="5" t="s">
        <v>25736</v>
      </c>
      <c r="M3506" s="4" t="s">
        <v>846</v>
      </c>
      <c r="N3506" s="4" t="s">
        <v>29</v>
      </c>
      <c r="O3506" s="4" t="s">
        <v>5865</v>
      </c>
      <c r="P3506" s="4" t="s">
        <v>29</v>
      </c>
      <c r="Q3506" s="6"/>
      <c r="R3506" s="6"/>
      <c r="S3506" s="6"/>
      <c r="T3506" s="6"/>
      <c r="U3506" s="6"/>
      <c r="V3506" s="6"/>
      <c r="W3506" s="6"/>
      <c r="X3506" s="6"/>
      <c r="Y3506" s="6"/>
      <c r="Z3506" s="6"/>
      <c r="AA3506" s="6"/>
    </row>
    <row r="3507" ht="14.25">
      <c r="B3507" s="4" t="s">
        <v>2348</v>
      </c>
      <c r="C3507" s="4" t="s">
        <v>25737</v>
      </c>
      <c r="D3507" s="4" t="s">
        <v>688</v>
      </c>
      <c r="E3507" s="4" t="s">
        <v>25738</v>
      </c>
      <c r="F3507" s="4" t="str">
        <f>IFERROR(__XLUDF.DUMMYFUNCTION("PROPER(REGEXREPLACE(D1223,""[^A-Za-z]+ "",""""))"),"Fairscope")</f>
        <v>Fairscope</v>
      </c>
      <c r="G3507" s="4" t="s">
        <v>25739</v>
      </c>
      <c r="H3507" s="4">
        <v>6</v>
      </c>
      <c r="I3507" s="4" t="s">
        <v>10215</v>
      </c>
      <c r="J3507" s="4" t="str">
        <f>IFERROR(__XLUDF.DUMMYFUNCTION("VLOOKUP(H1223,IMPORTRANGE(""https://docs.google.com/spreadsheets/d/1opm6ZNvGZ7KditA9TuJwrZ25eFLfTNIkrNnY6mhV5Eg"",""list!A1:C115""),3,TRUE)"),"le secteur de l'électrique et électronique")</f>
        <v xml:space="preserve">le secteur de l'électrique et électronique</v>
      </c>
      <c r="K3507" s="5" t="s">
        <v>25740</v>
      </c>
      <c r="L3507" s="5" t="s">
        <v>25741</v>
      </c>
      <c r="M3507" s="4" t="s">
        <v>7386</v>
      </c>
      <c r="N3507" s="4" t="s">
        <v>29</v>
      </c>
      <c r="O3507" s="4" t="s">
        <v>25742</v>
      </c>
      <c r="P3507" s="4" t="s">
        <v>29</v>
      </c>
      <c r="Q3507" s="6"/>
      <c r="R3507" s="6"/>
      <c r="S3507" s="6"/>
      <c r="T3507" s="6"/>
      <c r="U3507" s="6"/>
      <c r="V3507" s="6"/>
      <c r="W3507" s="6"/>
      <c r="X3507" s="6"/>
      <c r="Y3507" s="6"/>
      <c r="Z3507" s="6"/>
      <c r="AA3507" s="6"/>
    </row>
    <row r="3508" ht="14.25">
      <c r="B3508" s="4" t="s">
        <v>2249</v>
      </c>
      <c r="C3508" s="4" t="s">
        <v>25743</v>
      </c>
      <c r="D3508" s="4" t="s">
        <v>19085</v>
      </c>
      <c r="E3508" s="4" t="s">
        <v>25744</v>
      </c>
      <c r="F3508" s="4" t="str">
        <f>IFERROR(__XLUDF.DUMMYFUNCTION("PROPER(REGEXREPLACE(D1224,""[^A-Za-z]+ "",""""))"),"Capfor Mauritius")</f>
        <v xml:space="preserve">Capfor Mauritius</v>
      </c>
      <c r="G3508" s="4" t="s">
        <v>25745</v>
      </c>
      <c r="H3508" s="4">
        <v>25</v>
      </c>
      <c r="I3508" s="4" t="s">
        <v>4067</v>
      </c>
      <c r="J3508" s="4" t="str">
        <f>IFERROR(__XLUDF.DUMMYFUNCTION("VLOOKUP(H1224,IMPORTRANGE(""https://docs.google.com/spreadsheets/d/1opm6ZNvGZ7KditA9TuJwrZ25eFLfTNIkrNnY6mhV5Eg"",""list!A1:C115""),3,TRUE)"),"le secteur du conseil en management")</f>
        <v xml:space="preserve">le secteur du conseil en management</v>
      </c>
      <c r="K3508" s="5" t="s">
        <v>25746</v>
      </c>
      <c r="L3508" s="5" t="s">
        <v>25747</v>
      </c>
      <c r="M3508" s="4" t="s">
        <v>185</v>
      </c>
      <c r="N3508" s="4" t="s">
        <v>29</v>
      </c>
      <c r="O3508" s="4" t="s">
        <v>25748</v>
      </c>
      <c r="P3508" s="4" t="s">
        <v>11580</v>
      </c>
      <c r="Q3508" s="6"/>
      <c r="R3508" s="6"/>
      <c r="S3508" s="6"/>
      <c r="T3508" s="6"/>
      <c r="U3508" s="6"/>
      <c r="V3508" s="6"/>
      <c r="W3508" s="6"/>
      <c r="X3508" s="6"/>
      <c r="Y3508" s="6"/>
      <c r="Z3508" s="6"/>
      <c r="AA3508" s="6"/>
    </row>
    <row r="3509" ht="14.25">
      <c r="B3509" s="4" t="s">
        <v>6788</v>
      </c>
      <c r="C3509" s="4" t="s">
        <v>25749</v>
      </c>
      <c r="D3509" s="4" t="s">
        <v>87</v>
      </c>
      <c r="E3509" s="4" t="s">
        <v>25750</v>
      </c>
      <c r="F3509" s="4" t="str">
        <f>IFERROR(__XLUDF.DUMMYFUNCTION("PROPER(REGEXREPLACE(D1225,""[^A-Za-z]+ "",""""))"),"Prosystel")</f>
        <v>Prosystel</v>
      </c>
      <c r="G3509" s="4" t="s">
        <v>25751</v>
      </c>
      <c r="H3509" s="4">
        <v>15</v>
      </c>
      <c r="I3509" s="4" t="s">
        <v>9184</v>
      </c>
      <c r="J3509" s="4"/>
      <c r="K3509" s="5" t="s">
        <v>25752</v>
      </c>
      <c r="L3509" s="5" t="s">
        <v>25753</v>
      </c>
      <c r="M3509" s="4" t="s">
        <v>1711</v>
      </c>
      <c r="N3509" s="4" t="s">
        <v>29</v>
      </c>
      <c r="O3509" s="4" t="s">
        <v>25754</v>
      </c>
      <c r="P3509" s="4" t="s">
        <v>29</v>
      </c>
      <c r="Q3509" s="6"/>
      <c r="R3509" s="6"/>
      <c r="S3509" s="6"/>
      <c r="T3509" s="6"/>
      <c r="U3509" s="6"/>
      <c r="V3509" s="6"/>
      <c r="W3509" s="6"/>
      <c r="X3509" s="6"/>
      <c r="Y3509" s="6"/>
      <c r="Z3509" s="6"/>
      <c r="AA3509" s="6"/>
    </row>
    <row r="3510" ht="14.25">
      <c r="B3510" s="4" t="s">
        <v>485</v>
      </c>
      <c r="C3510" s="4" t="s">
        <v>11018</v>
      </c>
      <c r="D3510" s="4" t="s">
        <v>112</v>
      </c>
      <c r="E3510" s="4" t="s">
        <v>25755</v>
      </c>
      <c r="F3510" s="4" t="str">
        <f>IFERROR(__XLUDF.DUMMYFUNCTION("PROPER(REGEXREPLACE(D1226,""[^A-Za-z]+ "",""""))"),"Le Central Technique")</f>
        <v xml:space="preserve">Le Central Technique</v>
      </c>
      <c r="G3510" s="4" t="s">
        <v>25756</v>
      </c>
      <c r="H3510" s="4">
        <v>15</v>
      </c>
      <c r="I3510" s="4" t="s">
        <v>10215</v>
      </c>
      <c r="J3510" s="4" t="str">
        <f>IFERROR(__XLUDF.DUMMYFUNCTION("VLOOKUP(H1226,IMPORTRANGE(""https://docs.google.com/spreadsheets/d/1opm6ZNvGZ7KditA9TuJwrZ25eFLfTNIkrNnY6mhV5Eg"",""list!A1:C115""),3,TRUE)"),"le secteur de l'électrique et électronique")</f>
        <v xml:space="preserve">le secteur de l'électrique et électronique</v>
      </c>
      <c r="K3510" s="5" t="s">
        <v>25757</v>
      </c>
      <c r="L3510" s="5" t="s">
        <v>25758</v>
      </c>
      <c r="M3510" s="4" t="s">
        <v>39</v>
      </c>
      <c r="N3510" s="4" t="s">
        <v>29</v>
      </c>
      <c r="O3510" s="4" t="s">
        <v>25759</v>
      </c>
      <c r="P3510" s="4" t="s">
        <v>29</v>
      </c>
      <c r="Q3510" s="6"/>
      <c r="R3510" s="6"/>
      <c r="S3510" s="6"/>
      <c r="T3510" s="6"/>
      <c r="U3510" s="6"/>
      <c r="V3510" s="6"/>
      <c r="W3510" s="6"/>
      <c r="X3510" s="6"/>
      <c r="Y3510" s="6"/>
      <c r="Z3510" s="6"/>
      <c r="AA3510" s="6"/>
    </row>
    <row r="3511" ht="14.25">
      <c r="B3511" s="4" t="s">
        <v>4800</v>
      </c>
      <c r="C3511" s="4" t="s">
        <v>25760</v>
      </c>
      <c r="D3511" s="4" t="s">
        <v>172</v>
      </c>
      <c r="E3511" s="4" t="s">
        <v>25761</v>
      </c>
      <c r="F3511" s="4" t="str">
        <f>IFERROR(__XLUDF.DUMMYFUNCTION("PROPER(REGEXREPLACE(D1227,""[^A-Za-z]+ "",""""))"),"Nci Informatique")</f>
        <v xml:space="preserve">Nci Informatique</v>
      </c>
      <c r="G3511" s="4" t="s">
        <v>25762</v>
      </c>
      <c r="H3511" s="4">
        <v>30</v>
      </c>
      <c r="I3511" s="4" t="s">
        <v>2602</v>
      </c>
      <c r="J3511" s="4" t="str">
        <f>IFERROR(__XLUDF.DUMMYFUNCTION("VLOOKUP(H1227,IMPORTRANGE(""https://docs.google.com/spreadsheets/d/1opm6ZNvGZ7KditA9TuJwrZ25eFLfTNIkrNnY6mhV5Eg"",""list!A1:C115""),3,TRUE)"),"le secteur de la tech")</f>
        <v xml:space="preserve">le secteur de la tech</v>
      </c>
      <c r="K3511" s="5" t="s">
        <v>25763</v>
      </c>
      <c r="L3511" s="5" t="s">
        <v>25764</v>
      </c>
      <c r="M3511" s="6"/>
      <c r="N3511" s="4" t="s">
        <v>29</v>
      </c>
      <c r="O3511" s="4" t="s">
        <v>25765</v>
      </c>
      <c r="P3511" s="4" t="s">
        <v>29</v>
      </c>
      <c r="Q3511" s="4" t="s">
        <v>25766</v>
      </c>
      <c r="R3511" s="6"/>
      <c r="S3511" s="6"/>
      <c r="T3511" s="6"/>
      <c r="U3511" s="6"/>
      <c r="V3511" s="6"/>
      <c r="W3511" s="6"/>
      <c r="X3511" s="6"/>
      <c r="Y3511" s="6"/>
      <c r="Z3511" s="6"/>
      <c r="AA3511" s="6"/>
    </row>
    <row r="3512" ht="14.25">
      <c r="B3512" s="4" t="s">
        <v>2299</v>
      </c>
      <c r="C3512" s="4" t="s">
        <v>25767</v>
      </c>
      <c r="D3512" s="4" t="s">
        <v>2911</v>
      </c>
      <c r="E3512" s="4" t="s">
        <v>23177</v>
      </c>
      <c r="F3512" s="4" t="str">
        <f>IFERROR(__XLUDF.DUMMYFUNCTION("PROPER(REGEXREPLACE(D1228,""[^A-Za-z]+ "",""""))"),"Kmb Labs")</f>
        <v xml:space="preserve">Kmb Labs</v>
      </c>
      <c r="G3512" s="4" t="s">
        <v>25768</v>
      </c>
      <c r="H3512" s="4">
        <v>15</v>
      </c>
      <c r="I3512" s="4" t="s">
        <v>2602</v>
      </c>
      <c r="J3512" s="4"/>
      <c r="K3512" s="5" t="s">
        <v>25769</v>
      </c>
      <c r="L3512" s="5" t="s">
        <v>23180</v>
      </c>
      <c r="M3512" s="4" t="s">
        <v>39</v>
      </c>
      <c r="N3512" s="4" t="s">
        <v>29</v>
      </c>
      <c r="O3512" s="4" t="s">
        <v>23181</v>
      </c>
      <c r="P3512" s="4" t="s">
        <v>29</v>
      </c>
      <c r="Q3512" s="4" t="s">
        <v>23182</v>
      </c>
      <c r="R3512" s="6"/>
      <c r="S3512" s="6"/>
      <c r="T3512" s="6"/>
      <c r="U3512" s="6"/>
      <c r="V3512" s="6"/>
      <c r="W3512" s="6"/>
      <c r="X3512" s="6"/>
      <c r="Y3512" s="6"/>
      <c r="Z3512" s="6"/>
      <c r="AA3512" s="6"/>
    </row>
    <row r="3513" ht="14.25">
      <c r="B3513" s="4" t="s">
        <v>2932</v>
      </c>
      <c r="C3513" s="4" t="s">
        <v>14051</v>
      </c>
      <c r="D3513" s="4" t="s">
        <v>21547</v>
      </c>
      <c r="E3513" s="4" t="s">
        <v>25770</v>
      </c>
      <c r="F3513" s="4" t="str">
        <f>IFERROR(__XLUDF.DUMMYFUNCTION("PROPER(REGEXREPLACE(D1229,""[^A-Za-z]+ "",""""))"),"Yupiik")</f>
        <v>Yupiik</v>
      </c>
      <c r="G3513" s="4" t="s">
        <v>25771</v>
      </c>
      <c r="H3513" s="4">
        <v>17</v>
      </c>
      <c r="I3513" s="4" t="s">
        <v>2602</v>
      </c>
      <c r="J3513" s="4"/>
      <c r="K3513" s="5" t="s">
        <v>25772</v>
      </c>
      <c r="L3513" s="5" t="s">
        <v>25773</v>
      </c>
      <c r="M3513" s="4" t="s">
        <v>482</v>
      </c>
      <c r="N3513" s="4" t="s">
        <v>29</v>
      </c>
      <c r="O3513" s="4" t="s">
        <v>25774</v>
      </c>
      <c r="P3513" s="4" t="s">
        <v>29</v>
      </c>
      <c r="Q3513" s="6"/>
      <c r="R3513" s="6"/>
      <c r="S3513" s="6"/>
      <c r="T3513" s="6"/>
      <c r="U3513" s="6"/>
      <c r="V3513" s="6"/>
      <c r="W3513" s="6"/>
      <c r="X3513" s="6"/>
      <c r="Y3513" s="6"/>
      <c r="Z3513" s="6"/>
      <c r="AA3513" s="6"/>
    </row>
    <row r="3514" ht="14.25">
      <c r="B3514" s="4" t="s">
        <v>76</v>
      </c>
      <c r="C3514" s="4" t="s">
        <v>25775</v>
      </c>
      <c r="D3514" s="4" t="s">
        <v>247</v>
      </c>
      <c r="E3514" s="4" t="s">
        <v>25776</v>
      </c>
      <c r="F3514" s="4" t="str">
        <f>IFERROR(__XLUDF.DUMMYFUNCTION("PROPER(REGEXREPLACE(D1230,""[^A-Za-z]+ "",""""))"),"Leancure")</f>
        <v>Leancure</v>
      </c>
      <c r="G3514" s="4" t="s">
        <v>25777</v>
      </c>
      <c r="H3514" s="4">
        <v>11</v>
      </c>
      <c r="I3514" s="4" t="s">
        <v>2602</v>
      </c>
      <c r="J3514" s="4" t="str">
        <f>IFERROR(__XLUDF.DUMMYFUNCTION("VLOOKUP(H1230,IMPORTRANGE(""https://docs.google.com/spreadsheets/d/1opm6ZNvGZ7KditA9TuJwrZ25eFLfTNIkrNnY6mhV5Eg"",""list!A1:C115""),3,TRUE)"),"le secteur de la tech")</f>
        <v xml:space="preserve">le secteur de la tech</v>
      </c>
      <c r="K3514" s="5" t="s">
        <v>25778</v>
      </c>
      <c r="L3514" s="5" t="s">
        <v>25779</v>
      </c>
      <c r="M3514" s="4" t="s">
        <v>6954</v>
      </c>
      <c r="N3514" s="4" t="s">
        <v>29</v>
      </c>
      <c r="O3514" s="4" t="s">
        <v>25780</v>
      </c>
      <c r="P3514" s="4" t="s">
        <v>29</v>
      </c>
      <c r="Q3514" s="4" t="s">
        <v>25781</v>
      </c>
      <c r="R3514" s="6"/>
      <c r="S3514" s="6"/>
      <c r="T3514" s="6"/>
      <c r="U3514" s="6"/>
      <c r="V3514" s="6"/>
      <c r="W3514" s="6"/>
      <c r="X3514" s="6"/>
      <c r="Y3514" s="6"/>
      <c r="Z3514" s="6"/>
      <c r="AA3514" s="6"/>
    </row>
    <row r="3515" ht="14.25">
      <c r="B3515" s="4" t="s">
        <v>20</v>
      </c>
      <c r="C3515" s="4" t="s">
        <v>25782</v>
      </c>
      <c r="D3515" s="4" t="s">
        <v>7981</v>
      </c>
      <c r="E3515" s="4" t="s">
        <v>25783</v>
      </c>
      <c r="F3515" s="4" t="str">
        <f>IFERROR(__XLUDF.DUMMYFUNCTION("PROPER(REGEXREPLACE(D1231,""[^A-Za-z]+ "",""""))"),"Mood Conseil")</f>
        <v xml:space="preserve">Mood Conseil</v>
      </c>
      <c r="G3515" s="4" t="s">
        <v>25784</v>
      </c>
      <c r="H3515" s="4">
        <v>24</v>
      </c>
      <c r="I3515" s="4" t="s">
        <v>2602</v>
      </c>
      <c r="J3515" s="4" t="str">
        <f>IFERROR(__XLUDF.DUMMYFUNCTION("VLOOKUP(H1231,IMPORTRANGE(""https://docs.google.com/spreadsheets/d/1opm6ZNvGZ7KditA9TuJwrZ25eFLfTNIkrNnY6mhV5Eg"",""list!A1:C115""),3,TRUE)"),"le secteur de la tech")</f>
        <v xml:space="preserve">le secteur de la tech</v>
      </c>
      <c r="K3515" s="5" t="s">
        <v>25785</v>
      </c>
      <c r="L3515" s="5" t="s">
        <v>25786</v>
      </c>
      <c r="M3515" s="4" t="s">
        <v>1711</v>
      </c>
      <c r="N3515" s="4" t="s">
        <v>29</v>
      </c>
      <c r="O3515" s="4" t="s">
        <v>25787</v>
      </c>
      <c r="P3515" s="4" t="s">
        <v>29</v>
      </c>
      <c r="Q3515" s="4" t="s">
        <v>25788</v>
      </c>
      <c r="R3515" s="6"/>
      <c r="S3515" s="6"/>
      <c r="T3515" s="6"/>
      <c r="U3515" s="6"/>
      <c r="V3515" s="6"/>
      <c r="W3515" s="6"/>
      <c r="X3515" s="6"/>
      <c r="Y3515" s="6"/>
      <c r="Z3515" s="6"/>
      <c r="AA3515" s="6"/>
    </row>
    <row r="3516" ht="14.25">
      <c r="B3516" s="4" t="s">
        <v>1732</v>
      </c>
      <c r="C3516" s="4" t="s">
        <v>25789</v>
      </c>
      <c r="D3516" s="4" t="s">
        <v>120</v>
      </c>
      <c r="E3516" s="4" t="s">
        <v>25790</v>
      </c>
      <c r="F3516" s="4" t="str">
        <f>IFERROR(__XLUDF.DUMMYFUNCTION("PROPER(REGEXREPLACE(D1232,""[^A-Za-z]+ "",""""))"),"Incubate Conseil")</f>
        <v xml:space="preserve">Incubate Conseil</v>
      </c>
      <c r="G3516" s="4" t="s">
        <v>25791</v>
      </c>
      <c r="H3516" s="4">
        <v>16</v>
      </c>
      <c r="I3516" s="4" t="s">
        <v>4067</v>
      </c>
      <c r="J3516" s="4"/>
      <c r="K3516" s="5" t="s">
        <v>25792</v>
      </c>
      <c r="L3516" s="5" t="s">
        <v>25793</v>
      </c>
      <c r="M3516" s="4" t="s">
        <v>846</v>
      </c>
      <c r="N3516" s="4" t="s">
        <v>29</v>
      </c>
      <c r="O3516" s="4" t="s">
        <v>25794</v>
      </c>
      <c r="P3516" s="4" t="s">
        <v>29</v>
      </c>
      <c r="Q3516" s="4" t="s">
        <v>25795</v>
      </c>
      <c r="R3516" s="6"/>
      <c r="S3516" s="6"/>
      <c r="T3516" s="6"/>
      <c r="U3516" s="6"/>
      <c r="V3516" s="6"/>
      <c r="W3516" s="6"/>
      <c r="X3516" s="6"/>
      <c r="Y3516" s="6"/>
      <c r="Z3516" s="6"/>
      <c r="AA3516" s="6"/>
    </row>
    <row r="3517" ht="14.25">
      <c r="B3517" s="4" t="s">
        <v>604</v>
      </c>
      <c r="C3517" s="4" t="s">
        <v>25796</v>
      </c>
      <c r="D3517" s="4" t="s">
        <v>672</v>
      </c>
      <c r="E3517" s="4" t="s">
        <v>25797</v>
      </c>
      <c r="F3517" s="4" t="str">
        <f>IFERROR(__XLUDF.DUMMYFUNCTION("PROPER(REGEXREPLACE(D1233,""[^A-Za-z]+ "",""""))"),"Uska")</f>
        <v>Uska</v>
      </c>
      <c r="G3517" s="4" t="s">
        <v>25798</v>
      </c>
      <c r="H3517" s="4">
        <v>14</v>
      </c>
      <c r="I3517" s="4" t="s">
        <v>2602</v>
      </c>
      <c r="J3517" s="4"/>
      <c r="K3517" s="5" t="s">
        <v>25799</v>
      </c>
      <c r="L3517" s="5" t="s">
        <v>25800</v>
      </c>
      <c r="M3517" s="4" t="s">
        <v>1507</v>
      </c>
      <c r="N3517" s="4" t="s">
        <v>29</v>
      </c>
      <c r="O3517" s="4" t="s">
        <v>25801</v>
      </c>
      <c r="P3517" s="4" t="s">
        <v>29</v>
      </c>
      <c r="Q3517" s="4" t="s">
        <v>25802</v>
      </c>
      <c r="R3517" s="6"/>
      <c r="S3517" s="6"/>
      <c r="T3517" s="6"/>
      <c r="U3517" s="6"/>
      <c r="V3517" s="6"/>
      <c r="W3517" s="6"/>
      <c r="X3517" s="6"/>
      <c r="Y3517" s="6"/>
      <c r="Z3517" s="6"/>
      <c r="AA3517" s="6"/>
    </row>
    <row r="3518" ht="14.25">
      <c r="B3518" s="4" t="s">
        <v>25803</v>
      </c>
      <c r="C3518" s="4" t="s">
        <v>4132</v>
      </c>
      <c r="D3518" s="4" t="s">
        <v>172</v>
      </c>
      <c r="E3518" s="4" t="s">
        <v>25804</v>
      </c>
      <c r="F3518" s="4" t="str">
        <f>IFERROR(__XLUDF.DUMMYFUNCTION("PROPER(REGEXREPLACE(D1234,""[^A-Za-z]+ "",""""))"),"2Be-Fficient")</f>
        <v>2Be-Fficient</v>
      </c>
      <c r="G3518" s="4" t="s">
        <v>25805</v>
      </c>
      <c r="H3518" s="4">
        <v>12</v>
      </c>
      <c r="I3518" s="4" t="s">
        <v>2602</v>
      </c>
      <c r="J3518" s="4"/>
      <c r="K3518" s="5" t="s">
        <v>25806</v>
      </c>
      <c r="L3518" s="5" t="s">
        <v>25807</v>
      </c>
      <c r="M3518" s="4" t="s">
        <v>39</v>
      </c>
      <c r="N3518" s="4" t="s">
        <v>29</v>
      </c>
      <c r="O3518" s="4" t="s">
        <v>24760</v>
      </c>
      <c r="P3518" s="4" t="s">
        <v>29</v>
      </c>
      <c r="Q3518" s="4" t="s">
        <v>25808</v>
      </c>
      <c r="R3518" s="6"/>
      <c r="S3518" s="6"/>
      <c r="T3518" s="6"/>
      <c r="U3518" s="6"/>
      <c r="V3518" s="6"/>
      <c r="W3518" s="6"/>
      <c r="X3518" s="6"/>
      <c r="Y3518" s="6"/>
      <c r="Z3518" s="6"/>
      <c r="AA3518" s="6"/>
    </row>
    <row r="3519" ht="14.25">
      <c r="B3519" s="4" t="s">
        <v>579</v>
      </c>
      <c r="C3519" s="4" t="s">
        <v>25809</v>
      </c>
      <c r="D3519" s="4" t="s">
        <v>62</v>
      </c>
      <c r="E3519" s="4" t="s">
        <v>25810</v>
      </c>
      <c r="F3519" s="4" t="str">
        <f>IFERROR(__XLUDF.DUMMYFUNCTION("PROPER(REGEXREPLACE(D1235,""[^A-Za-z]+ "",""""))"),"Avest")</f>
        <v>Avest</v>
      </c>
      <c r="G3519" s="4" t="s">
        <v>25811</v>
      </c>
      <c r="H3519" s="4">
        <v>15</v>
      </c>
      <c r="I3519" s="4" t="s">
        <v>2602</v>
      </c>
      <c r="J3519" s="4"/>
      <c r="K3519" s="5" t="s">
        <v>25812</v>
      </c>
      <c r="L3519" s="5" t="s">
        <v>25813</v>
      </c>
      <c r="M3519" s="6"/>
      <c r="N3519" s="4" t="s">
        <v>29</v>
      </c>
      <c r="O3519" s="4" t="s">
        <v>67</v>
      </c>
      <c r="P3519" s="4" t="s">
        <v>29</v>
      </c>
      <c r="Q3519" s="4" t="s">
        <v>25814</v>
      </c>
      <c r="R3519" s="6"/>
      <c r="S3519" s="6"/>
      <c r="T3519" s="6"/>
      <c r="U3519" s="6"/>
      <c r="V3519" s="6"/>
      <c r="W3519" s="6"/>
      <c r="X3519" s="6"/>
      <c r="Y3519" s="6"/>
      <c r="Z3519" s="6"/>
      <c r="AA3519" s="6"/>
    </row>
    <row r="3520" ht="14.25">
      <c r="B3520" s="4" t="s">
        <v>1605</v>
      </c>
      <c r="C3520" s="4" t="s">
        <v>25815</v>
      </c>
      <c r="D3520" s="4" t="s">
        <v>25816</v>
      </c>
      <c r="E3520" s="5" t="s">
        <v>25817</v>
      </c>
      <c r="F3520" s="4" t="str">
        <f>IFERROR(__XLUDF.DUMMYFUNCTION("PROPER(REGEXREPLACE(D1236,""[^A-Za-z]+ "",""""))"),"Crawlo")</f>
        <v>Crawlo</v>
      </c>
      <c r="G3520" s="4" t="s">
        <v>25818</v>
      </c>
      <c r="H3520" s="4">
        <v>18</v>
      </c>
      <c r="I3520" s="4" t="s">
        <v>2602</v>
      </c>
      <c r="J3520" s="4"/>
      <c r="K3520" s="5" t="s">
        <v>25819</v>
      </c>
      <c r="L3520" s="5" t="s">
        <v>25820</v>
      </c>
      <c r="M3520" s="4" t="s">
        <v>39</v>
      </c>
      <c r="N3520" s="4" t="s">
        <v>29</v>
      </c>
      <c r="O3520" s="4" t="s">
        <v>25821</v>
      </c>
      <c r="P3520" s="4" t="s">
        <v>25822</v>
      </c>
      <c r="Q3520" s="6"/>
      <c r="R3520" s="6"/>
      <c r="S3520" s="6"/>
      <c r="T3520" s="6"/>
      <c r="U3520" s="6"/>
      <c r="V3520" s="6"/>
      <c r="W3520" s="6"/>
      <c r="X3520" s="6"/>
      <c r="Y3520" s="6"/>
      <c r="Z3520" s="6"/>
      <c r="AA3520" s="6"/>
    </row>
    <row r="3521" ht="14.25">
      <c r="B3521" s="4" t="s">
        <v>6945</v>
      </c>
      <c r="C3521" s="4" t="s">
        <v>25823</v>
      </c>
      <c r="D3521" s="4" t="s">
        <v>25824</v>
      </c>
      <c r="E3521" s="4" t="s">
        <v>25825</v>
      </c>
      <c r="F3521" s="4" t="str">
        <f>IFERROR(__XLUDF.DUMMYFUNCTION("PROPER(REGEXREPLACE(D1237,""[^A-Za-z]+ "",""""))"),"Yoti")</f>
        <v>Yoti</v>
      </c>
      <c r="G3521" s="4" t="s">
        <v>25826</v>
      </c>
      <c r="H3521" s="4">
        <v>11</v>
      </c>
      <c r="I3521" s="4" t="s">
        <v>4525</v>
      </c>
      <c r="J3521" s="4" t="str">
        <f>IFERROR(__XLUDF.DUMMYFUNCTION("VLOOKUP(H1237,IMPORTRANGE(""https://docs.google.com/spreadsheets/d/1opm6ZNvGZ7KditA9TuJwrZ25eFLfTNIkrNnY6mhV5Eg"",""list!A1:C115""),3,TRUE)"),"le secteur du retail")</f>
        <v xml:space="preserve">le secteur du retail</v>
      </c>
      <c r="K3521" s="5" t="s">
        <v>25827</v>
      </c>
      <c r="L3521" s="5" t="s">
        <v>25828</v>
      </c>
      <c r="M3521" s="4" t="s">
        <v>39</v>
      </c>
      <c r="N3521" s="4" t="s">
        <v>29</v>
      </c>
      <c r="O3521" s="4" t="s">
        <v>25829</v>
      </c>
      <c r="P3521" s="4" t="s">
        <v>29</v>
      </c>
      <c r="Q3521" s="4" t="s">
        <v>25830</v>
      </c>
      <c r="R3521" s="6"/>
      <c r="S3521" s="6"/>
      <c r="T3521" s="6"/>
      <c r="U3521" s="6"/>
      <c r="V3521" s="6"/>
      <c r="W3521" s="6"/>
      <c r="X3521" s="6"/>
      <c r="Y3521" s="6"/>
      <c r="Z3521" s="6"/>
      <c r="AA3521" s="6"/>
    </row>
    <row r="3522" ht="14.25">
      <c r="B3522" s="4" t="s">
        <v>25831</v>
      </c>
      <c r="C3522" s="4" t="s">
        <v>2932</v>
      </c>
      <c r="D3522" s="4" t="s">
        <v>18987</v>
      </c>
      <c r="E3522" s="4" t="s">
        <v>25832</v>
      </c>
      <c r="F3522" s="4" t="str">
        <f>IFERROR(__XLUDF.DUMMYFUNCTION("PROPER(REGEXREPLACE(D1238,""[^A-Za-z]+ "",""""))"),"Igonogo")</f>
        <v>Igonogo</v>
      </c>
      <c r="G3522" s="4" t="s">
        <v>25833</v>
      </c>
      <c r="H3522" s="4">
        <v>15</v>
      </c>
      <c r="I3522" s="4" t="s">
        <v>2602</v>
      </c>
      <c r="J3522" s="4" t="str">
        <f>IFERROR(__XLUDF.DUMMYFUNCTION("VLOOKUP(H1238,IMPORTRANGE(""https://docs.google.com/spreadsheets/d/1opm6ZNvGZ7KditA9TuJwrZ25eFLfTNIkrNnY6mhV5Eg"",""list!A1:C115""),3,TRUE)"),"le secteur de la tech")</f>
        <v xml:space="preserve">le secteur de la tech</v>
      </c>
      <c r="K3522" s="5" t="s">
        <v>25834</v>
      </c>
      <c r="L3522" s="5" t="s">
        <v>25835</v>
      </c>
      <c r="M3522" s="4" t="s">
        <v>1507</v>
      </c>
      <c r="N3522" s="4" t="s">
        <v>29</v>
      </c>
      <c r="O3522" s="4" t="s">
        <v>25836</v>
      </c>
      <c r="P3522" s="4" t="s">
        <v>29</v>
      </c>
      <c r="Q3522" s="4" t="s">
        <v>25837</v>
      </c>
      <c r="R3522" s="6"/>
      <c r="S3522" s="6"/>
      <c r="T3522" s="6"/>
      <c r="U3522" s="6"/>
      <c r="V3522" s="6"/>
      <c r="W3522" s="6"/>
      <c r="X3522" s="6"/>
      <c r="Y3522" s="6"/>
      <c r="Z3522" s="6"/>
      <c r="AA3522" s="6"/>
    </row>
    <row r="3523" ht="14.25">
      <c r="B3523" s="4" t="s">
        <v>25838</v>
      </c>
      <c r="C3523" s="4" t="s">
        <v>25839</v>
      </c>
      <c r="D3523" s="4" t="s">
        <v>315</v>
      </c>
      <c r="E3523" s="4" t="s">
        <v>25840</v>
      </c>
      <c r="F3523" s="4" t="str">
        <f>IFERROR(__XLUDF.DUMMYFUNCTION("PROPER(REGEXREPLACE(D1239,""[^A-Za-z]+ "",""""))"),"Hyteno")</f>
        <v>Hyteno</v>
      </c>
      <c r="G3523" s="4" t="s">
        <v>25841</v>
      </c>
      <c r="H3523" s="4">
        <v>12</v>
      </c>
      <c r="I3523" s="4" t="s">
        <v>2602</v>
      </c>
      <c r="J3523" s="4" t="str">
        <f>IFERROR(__XLUDF.DUMMYFUNCTION("VLOOKUP(H1239,IMPORTRANGE(""https://docs.google.com/spreadsheets/d/1opm6ZNvGZ7KditA9TuJwrZ25eFLfTNIkrNnY6mhV5Eg"",""list!A1:C115""),3,TRUE)"),"le secteur de la tech")</f>
        <v xml:space="preserve">le secteur de la tech</v>
      </c>
      <c r="K3523" s="5" t="s">
        <v>25842</v>
      </c>
      <c r="L3523" s="5" t="s">
        <v>25843</v>
      </c>
      <c r="M3523" s="4" t="s">
        <v>39</v>
      </c>
      <c r="N3523" s="4" t="s">
        <v>29</v>
      </c>
      <c r="O3523" s="4" t="s">
        <v>67</v>
      </c>
      <c r="P3523" s="4" t="s">
        <v>29</v>
      </c>
      <c r="Q3523" s="4" t="s">
        <v>25844</v>
      </c>
      <c r="R3523" s="6"/>
      <c r="S3523" s="6"/>
      <c r="T3523" s="6"/>
      <c r="U3523" s="6"/>
      <c r="V3523" s="6"/>
      <c r="W3523" s="6"/>
      <c r="X3523" s="6"/>
      <c r="Y3523" s="6"/>
      <c r="Z3523" s="6"/>
      <c r="AA3523" s="6"/>
    </row>
    <row r="3524" ht="14.25">
      <c r="B3524" s="4" t="s">
        <v>661</v>
      </c>
      <c r="C3524" s="4" t="s">
        <v>25845</v>
      </c>
      <c r="D3524" s="4" t="s">
        <v>172</v>
      </c>
      <c r="E3524" s="4" t="s">
        <v>25846</v>
      </c>
      <c r="F3524" s="4" t="str">
        <f>IFERROR(__XLUDF.DUMMYFUNCTION("PROPER(REGEXREPLACE(D1240,""[^A-Za-z]+ "",""""))"),"La Bonne Graine")</f>
        <v xml:space="preserve">La Bonne Graine</v>
      </c>
      <c r="G3524" s="4" t="s">
        <v>25847</v>
      </c>
      <c r="H3524" s="4">
        <v>37</v>
      </c>
      <c r="I3524" s="4" t="s">
        <v>4525</v>
      </c>
      <c r="J3524" s="4"/>
      <c r="K3524" s="5" t="s">
        <v>25848</v>
      </c>
      <c r="L3524" s="5" t="s">
        <v>25849</v>
      </c>
      <c r="M3524" s="6"/>
      <c r="N3524" s="4" t="s">
        <v>29</v>
      </c>
      <c r="O3524" s="4" t="s">
        <v>25850</v>
      </c>
      <c r="P3524" s="4" t="s">
        <v>29</v>
      </c>
      <c r="Q3524" s="6"/>
      <c r="R3524" s="6"/>
      <c r="S3524" s="6"/>
      <c r="T3524" s="6"/>
      <c r="U3524" s="6"/>
      <c r="V3524" s="6"/>
      <c r="W3524" s="6"/>
      <c r="X3524" s="6"/>
      <c r="Y3524" s="6"/>
      <c r="Z3524" s="6"/>
      <c r="AA3524" s="6"/>
    </row>
    <row r="3525" ht="14.25">
      <c r="B3525" s="4" t="s">
        <v>25851</v>
      </c>
      <c r="C3525" s="4" t="s">
        <v>25852</v>
      </c>
      <c r="D3525" s="4" t="s">
        <v>25853</v>
      </c>
      <c r="E3525" s="4" t="s">
        <v>25854</v>
      </c>
      <c r="F3525" s="4" t="str">
        <f>IFERROR(__XLUDF.DUMMYFUNCTION("PROPER(REGEXREPLACE(D1241,""[^A-Za-z]+ "",""""))"),"Leanspace")</f>
        <v>Leanspace</v>
      </c>
      <c r="G3525" s="4" t="s">
        <v>25855</v>
      </c>
      <c r="H3525" s="4">
        <v>40</v>
      </c>
      <c r="I3525" s="4" t="s">
        <v>2602</v>
      </c>
      <c r="J3525" s="4" t="str">
        <f>IFERROR(__XLUDF.DUMMYFUNCTION("VLOOKUP(H1241,IMPORTRANGE(""https://docs.google.com/spreadsheets/d/1opm6ZNvGZ7KditA9TuJwrZ25eFLfTNIkrNnY6mhV5Eg"",""list!A1:C115""),3,TRUE)"),"le secteur de la tech")</f>
        <v xml:space="preserve">le secteur de la tech</v>
      </c>
      <c r="K3525" s="5" t="s">
        <v>25856</v>
      </c>
      <c r="L3525" s="5" t="s">
        <v>25857</v>
      </c>
      <c r="M3525" s="4" t="s">
        <v>651</v>
      </c>
      <c r="N3525" s="4" t="s">
        <v>29</v>
      </c>
      <c r="O3525" s="4" t="s">
        <v>23605</v>
      </c>
      <c r="P3525" s="4" t="s">
        <v>29</v>
      </c>
      <c r="Q3525" s="6"/>
      <c r="R3525" s="6"/>
      <c r="S3525" s="6"/>
      <c r="T3525" s="6"/>
      <c r="U3525" s="6"/>
      <c r="V3525" s="6"/>
      <c r="W3525" s="6"/>
      <c r="X3525" s="6"/>
      <c r="Y3525" s="6"/>
      <c r="Z3525" s="6"/>
      <c r="AA3525" s="6"/>
    </row>
    <row r="3526" ht="14.25">
      <c r="B3526" s="4" t="s">
        <v>1387</v>
      </c>
      <c r="C3526" s="4" t="s">
        <v>25858</v>
      </c>
      <c r="D3526" s="4" t="s">
        <v>1240</v>
      </c>
      <c r="E3526" s="4" t="s">
        <v>25859</v>
      </c>
      <c r="F3526" s="4" t="str">
        <f>IFERROR(__XLUDF.DUMMYFUNCTION("PROPER(REGEXREPLACE(D1242,""[^A-Za-z]+ "",""""))"),"Adok Le Hub Tactile")</f>
        <v xml:space="preserve">Adok Le Hub Tactile</v>
      </c>
      <c r="G3526" s="4" t="s">
        <v>25860</v>
      </c>
      <c r="H3526" s="4">
        <v>20</v>
      </c>
      <c r="I3526" s="4" t="s">
        <v>10215</v>
      </c>
      <c r="J3526" s="4"/>
      <c r="K3526" s="5" t="s">
        <v>25861</v>
      </c>
      <c r="L3526" s="5" t="s">
        <v>25862</v>
      </c>
      <c r="M3526" s="4" t="s">
        <v>39</v>
      </c>
      <c r="N3526" s="4" t="s">
        <v>29</v>
      </c>
      <c r="O3526" s="4" t="s">
        <v>25863</v>
      </c>
      <c r="P3526" s="4" t="s">
        <v>29</v>
      </c>
      <c r="Q3526" s="4" t="s">
        <v>25864</v>
      </c>
      <c r="R3526" s="6"/>
      <c r="S3526" s="6"/>
      <c r="T3526" s="6"/>
      <c r="U3526" s="6"/>
      <c r="V3526" s="6"/>
      <c r="W3526" s="6"/>
      <c r="X3526" s="6"/>
      <c r="Y3526" s="6"/>
      <c r="Z3526" s="6"/>
      <c r="AA3526" s="6"/>
    </row>
    <row r="3527" ht="14.25">
      <c r="B3527" s="4" t="s">
        <v>2299</v>
      </c>
      <c r="C3527" s="4" t="s">
        <v>25865</v>
      </c>
      <c r="D3527" s="4" t="s">
        <v>315</v>
      </c>
      <c r="E3527" s="4" t="s">
        <v>25866</v>
      </c>
      <c r="F3527" s="4" t="str">
        <f>IFERROR(__XLUDF.DUMMYFUNCTION("PROPER(REGEXREPLACE(D1243,""[^A-Za-z]+ "",""""))"),"Orika")</f>
        <v>Orika</v>
      </c>
      <c r="G3527" s="4" t="s">
        <v>25867</v>
      </c>
      <c r="H3527" s="4">
        <v>30</v>
      </c>
      <c r="I3527" s="4" t="s">
        <v>2602</v>
      </c>
      <c r="J3527" s="4" t="str">
        <f>IFERROR(__XLUDF.DUMMYFUNCTION("VLOOKUP(H1243,IMPORTRANGE(""https://docs.google.com/spreadsheets/d/1opm6ZNvGZ7KditA9TuJwrZ25eFLfTNIkrNnY6mhV5Eg"",""list!A1:C115""),3,TRUE)"),"le secteur de la tech")</f>
        <v xml:space="preserve">le secteur de la tech</v>
      </c>
      <c r="K3527" s="5" t="s">
        <v>25868</v>
      </c>
      <c r="L3527" s="5" t="s">
        <v>25869</v>
      </c>
      <c r="M3527" s="6"/>
      <c r="N3527" s="4" t="s">
        <v>29</v>
      </c>
      <c r="O3527" s="4" t="s">
        <v>25870</v>
      </c>
      <c r="P3527" s="4" t="s">
        <v>15884</v>
      </c>
      <c r="Q3527" s="4" t="s">
        <v>25871</v>
      </c>
      <c r="R3527" s="6"/>
      <c r="S3527" s="6"/>
      <c r="T3527" s="6"/>
      <c r="U3527" s="6"/>
      <c r="V3527" s="6"/>
      <c r="W3527" s="6"/>
      <c r="X3527" s="6"/>
      <c r="Y3527" s="6"/>
      <c r="Z3527" s="6"/>
      <c r="AA3527" s="6"/>
    </row>
    <row r="3528" ht="14.25">
      <c r="B3528" s="4" t="s">
        <v>7559</v>
      </c>
      <c r="C3528" s="4" t="s">
        <v>8274</v>
      </c>
      <c r="D3528" s="4" t="s">
        <v>2266</v>
      </c>
      <c r="E3528" s="4" t="s">
        <v>21766</v>
      </c>
      <c r="F3528" s="4" t="str">
        <f>IFERROR(__XLUDF.DUMMYFUNCTION("PROPER(REGEXREPLACE(D1244,""[^A-Za-z]+ "",""""))"),"Darwin X")</f>
        <v xml:space="preserve">Darwin X</v>
      </c>
      <c r="G3528" s="4" t="s">
        <v>25872</v>
      </c>
      <c r="H3528" s="4">
        <v>18</v>
      </c>
      <c r="I3528" s="4" t="s">
        <v>4067</v>
      </c>
      <c r="J3528" s="4"/>
      <c r="K3528" s="5" t="s">
        <v>25873</v>
      </c>
      <c r="L3528" s="5" t="s">
        <v>21769</v>
      </c>
      <c r="M3528" s="6"/>
      <c r="N3528" s="4" t="s">
        <v>29</v>
      </c>
      <c r="O3528" s="4" t="s">
        <v>67</v>
      </c>
      <c r="P3528" s="4" t="s">
        <v>29</v>
      </c>
      <c r="Q3528" s="4" t="s">
        <v>21770</v>
      </c>
      <c r="R3528" s="6"/>
      <c r="S3528" s="6"/>
      <c r="T3528" s="6"/>
      <c r="U3528" s="6"/>
      <c r="V3528" s="6"/>
      <c r="W3528" s="6"/>
      <c r="X3528" s="6"/>
      <c r="Y3528" s="6"/>
      <c r="Z3528" s="6"/>
      <c r="AA3528" s="6"/>
    </row>
    <row r="3529" ht="14.25">
      <c r="B3529" s="4" t="s">
        <v>450</v>
      </c>
      <c r="C3529" s="4" t="s">
        <v>25874</v>
      </c>
      <c r="D3529" s="4" t="s">
        <v>25875</v>
      </c>
      <c r="E3529" s="4" t="s">
        <v>25876</v>
      </c>
      <c r="F3529" s="4" t="str">
        <f>IFERROR(__XLUDF.DUMMYFUNCTION("PROPER(REGEXREPLACE(D1245,""[^A-Za-z]+ "",""""))"),"Tams Conseil Rh")</f>
        <v xml:space="preserve">Tams Conseil Rh</v>
      </c>
      <c r="G3529" s="4" t="s">
        <v>25877</v>
      </c>
      <c r="H3529" s="4">
        <v>11</v>
      </c>
      <c r="I3529" s="4" t="s">
        <v>4067</v>
      </c>
      <c r="J3529" s="4"/>
      <c r="K3529" s="5" t="s">
        <v>25878</v>
      </c>
      <c r="L3529" s="5" t="s">
        <v>25879</v>
      </c>
      <c r="M3529" s="4" t="s">
        <v>39</v>
      </c>
      <c r="N3529" s="4" t="s">
        <v>29</v>
      </c>
      <c r="O3529" s="4" t="s">
        <v>611</v>
      </c>
      <c r="P3529" s="4" t="s">
        <v>29</v>
      </c>
      <c r="Q3529" s="6"/>
      <c r="R3529" s="6"/>
      <c r="S3529" s="6"/>
      <c r="T3529" s="6"/>
      <c r="U3529" s="6"/>
      <c r="V3529" s="6"/>
      <c r="W3529" s="6"/>
      <c r="X3529" s="6"/>
      <c r="Y3529" s="6"/>
      <c r="Z3529" s="6"/>
      <c r="AA3529" s="6"/>
    </row>
    <row r="3530" ht="14.25">
      <c r="B3530" s="4" t="s">
        <v>2771</v>
      </c>
      <c r="C3530" s="4" t="s">
        <v>25880</v>
      </c>
      <c r="D3530" s="4" t="s">
        <v>62</v>
      </c>
      <c r="E3530" s="4" t="s">
        <v>25881</v>
      </c>
      <c r="F3530" s="4" t="str">
        <f>IFERROR(__XLUDF.DUMMYFUNCTION("PROPER(REGEXREPLACE(D1246,""[^A-Za-z]+ "",""""))"),"Costockage")</f>
        <v>Costockage</v>
      </c>
      <c r="G3530" s="4" t="s">
        <v>25882</v>
      </c>
      <c r="H3530" s="4">
        <v>20</v>
      </c>
      <c r="I3530" s="4" t="s">
        <v>2602</v>
      </c>
      <c r="J3530" s="4"/>
      <c r="K3530" s="5" t="s">
        <v>25883</v>
      </c>
      <c r="L3530" s="5" t="s">
        <v>25884</v>
      </c>
      <c r="M3530" s="4" t="s">
        <v>39</v>
      </c>
      <c r="N3530" s="4" t="s">
        <v>29</v>
      </c>
      <c r="O3530" s="4" t="s">
        <v>25885</v>
      </c>
      <c r="P3530" s="4" t="s">
        <v>29</v>
      </c>
      <c r="Q3530" s="6"/>
      <c r="R3530" s="6"/>
      <c r="S3530" s="6"/>
      <c r="T3530" s="6"/>
      <c r="U3530" s="6"/>
      <c r="V3530" s="6"/>
      <c r="W3530" s="6"/>
      <c r="X3530" s="6"/>
      <c r="Y3530" s="6"/>
      <c r="Z3530" s="6"/>
      <c r="AA3530" s="6"/>
    </row>
    <row r="3531" ht="14.25">
      <c r="B3531" s="4" t="s">
        <v>13010</v>
      </c>
      <c r="C3531" s="4" t="s">
        <v>25886</v>
      </c>
      <c r="D3531" s="4" t="s">
        <v>25887</v>
      </c>
      <c r="E3531" s="4" t="s">
        <v>25888</v>
      </c>
      <c r="F3531" s="4" t="str">
        <f>IFERROR(__XLUDF.DUMMYFUNCTION("PROPER(REGEXREPLACE(D1247,""[^A-Za-z]+ "",""""))"),"Opase")</f>
        <v>Opase</v>
      </c>
      <c r="G3531" s="4" t="s">
        <v>25889</v>
      </c>
      <c r="H3531" s="4">
        <v>14</v>
      </c>
      <c r="I3531" s="4" t="s">
        <v>2602</v>
      </c>
      <c r="J3531" s="4" t="str">
        <f>IFERROR(__XLUDF.DUMMYFUNCTION("VLOOKUP(H1247,IMPORTRANGE(""https://docs.google.com/spreadsheets/d/1opm6ZNvGZ7KditA9TuJwrZ25eFLfTNIkrNnY6mhV5Eg"",""list!A1:C115""),3,TRUE)"),"le secteur de la tech")</f>
        <v xml:space="preserve">le secteur de la tech</v>
      </c>
      <c r="K3531" s="5" t="s">
        <v>25890</v>
      </c>
      <c r="L3531" s="5" t="s">
        <v>25891</v>
      </c>
      <c r="M3531" s="4" t="s">
        <v>39</v>
      </c>
      <c r="N3531" s="4" t="s">
        <v>29</v>
      </c>
      <c r="O3531" s="4" t="s">
        <v>25892</v>
      </c>
      <c r="P3531" s="4" t="s">
        <v>29</v>
      </c>
      <c r="Q3531" s="4" t="s">
        <v>25893</v>
      </c>
      <c r="R3531" s="6"/>
      <c r="S3531" s="6"/>
      <c r="T3531" s="6"/>
      <c r="U3531" s="6"/>
      <c r="V3531" s="6"/>
      <c r="W3531" s="6"/>
      <c r="X3531" s="6"/>
      <c r="Y3531" s="6"/>
      <c r="Z3531" s="6"/>
      <c r="AA3531" s="6"/>
    </row>
    <row r="3532" ht="14.25">
      <c r="B3532" s="4" t="s">
        <v>588</v>
      </c>
      <c r="C3532" s="4" t="s">
        <v>25894</v>
      </c>
      <c r="D3532" s="4" t="s">
        <v>25895</v>
      </c>
      <c r="E3532" s="4" t="s">
        <v>25896</v>
      </c>
      <c r="F3532" s="4" t="str">
        <f>IFERROR(__XLUDF.DUMMYFUNCTION("PROPER(REGEXREPLACE(D1248,""[^A-Za-z]+ "",""""))"),"Easop")</f>
        <v>Easop</v>
      </c>
      <c r="G3532" s="4" t="s">
        <v>25897</v>
      </c>
      <c r="H3532" s="4">
        <v>14</v>
      </c>
      <c r="I3532" s="4" t="s">
        <v>2602</v>
      </c>
      <c r="J3532" s="4" t="str">
        <f>IFERROR(__XLUDF.DUMMYFUNCTION("VLOOKUP(H1248,IMPORTRANGE(""https://docs.google.com/spreadsheets/d/1opm6ZNvGZ7KditA9TuJwrZ25eFLfTNIkrNnY6mhV5Eg"",""list!A1:C115""),3,TRUE)"),"le secteur de la tech")</f>
        <v xml:space="preserve">le secteur de la tech</v>
      </c>
      <c r="K3532" s="5" t="s">
        <v>25898</v>
      </c>
      <c r="L3532" s="5" t="s">
        <v>25899</v>
      </c>
      <c r="M3532" s="4" t="s">
        <v>39</v>
      </c>
      <c r="N3532" s="4" t="s">
        <v>29</v>
      </c>
      <c r="O3532" s="4" t="s">
        <v>17766</v>
      </c>
      <c r="P3532" s="4" t="s">
        <v>1261</v>
      </c>
      <c r="Q3532" s="4" t="s">
        <v>25900</v>
      </c>
      <c r="R3532" s="6"/>
      <c r="S3532" s="6"/>
      <c r="T3532" s="6"/>
      <c r="U3532" s="6"/>
      <c r="V3532" s="6"/>
      <c r="W3532" s="6"/>
      <c r="X3532" s="6"/>
      <c r="Y3532" s="6"/>
      <c r="Z3532" s="6"/>
      <c r="AA3532" s="6"/>
    </row>
    <row r="3533" ht="14.25">
      <c r="B3533" s="4" t="s">
        <v>8995</v>
      </c>
      <c r="C3533" s="4" t="s">
        <v>25901</v>
      </c>
      <c r="D3533" s="4" t="s">
        <v>172</v>
      </c>
      <c r="E3533" s="4" t="s">
        <v>25902</v>
      </c>
      <c r="F3533" s="4" t="str">
        <f>IFERROR(__XLUDF.DUMMYFUNCTION("PROPER(REGEXREPLACE(D1249,""[^A-Za-z]+ "",""""))"),"Groupe Conexys")</f>
        <v xml:space="preserve">Groupe Conexys</v>
      </c>
      <c r="G3533" s="4" t="s">
        <v>25903</v>
      </c>
      <c r="H3533" s="4">
        <v>14</v>
      </c>
      <c r="I3533" s="4" t="s">
        <v>2602</v>
      </c>
      <c r="J3533" s="4" t="str">
        <f>IFERROR(__XLUDF.DUMMYFUNCTION("VLOOKUP(H1249,IMPORTRANGE(""https://docs.google.com/spreadsheets/d/1opm6ZNvGZ7KditA9TuJwrZ25eFLfTNIkrNnY6mhV5Eg"",""list!A1:C115""),3,TRUE)"),"le secteur de la tech")</f>
        <v xml:space="preserve">le secteur de la tech</v>
      </c>
      <c r="K3533" s="5" t="s">
        <v>25904</v>
      </c>
      <c r="L3533" s="5" t="s">
        <v>25905</v>
      </c>
      <c r="M3533" s="4" t="s">
        <v>25906</v>
      </c>
      <c r="N3533" s="4" t="s">
        <v>29</v>
      </c>
      <c r="O3533" s="4" t="s">
        <v>25907</v>
      </c>
      <c r="P3533" s="4" t="s">
        <v>29</v>
      </c>
      <c r="Q3533" s="4" t="s">
        <v>25908</v>
      </c>
      <c r="R3533" s="6"/>
      <c r="S3533" s="6"/>
      <c r="T3533" s="6"/>
      <c r="U3533" s="6"/>
      <c r="V3533" s="6"/>
      <c r="W3533" s="6"/>
      <c r="X3533" s="6"/>
      <c r="Y3533" s="6"/>
      <c r="Z3533" s="6"/>
      <c r="AA3533" s="6"/>
    </row>
    <row r="3534" ht="14.25">
      <c r="B3534" s="4" t="s">
        <v>823</v>
      </c>
      <c r="C3534" s="4" t="s">
        <v>25909</v>
      </c>
      <c r="D3534" s="4" t="s">
        <v>315</v>
      </c>
      <c r="E3534" s="4" t="s">
        <v>25910</v>
      </c>
      <c r="F3534" s="4" t="str">
        <f>IFERROR(__XLUDF.DUMMYFUNCTION("PROPER(REGEXREPLACE(D1250,""[^A-Za-z]+ "",""""))"),"Aira")</f>
        <v>Aira</v>
      </c>
      <c r="G3534" s="4" t="s">
        <v>25911</v>
      </c>
      <c r="H3534" s="4">
        <v>23</v>
      </c>
      <c r="I3534" s="4" t="s">
        <v>2602</v>
      </c>
      <c r="J3534" s="4" t="str">
        <f>IFERROR(__XLUDF.DUMMYFUNCTION("VLOOKUP(H1250,IMPORTRANGE(""https://docs.google.com/spreadsheets/d/1opm6ZNvGZ7KditA9TuJwrZ25eFLfTNIkrNnY6mhV5Eg"",""list!A1:C115""),3,TRUE)"),"le secteur de la tech")</f>
        <v xml:space="preserve">le secteur de la tech</v>
      </c>
      <c r="K3534" s="5" t="s">
        <v>25912</v>
      </c>
      <c r="L3534" s="5" t="s">
        <v>25913</v>
      </c>
      <c r="M3534" s="4" t="s">
        <v>651</v>
      </c>
      <c r="N3534" s="4" t="s">
        <v>29</v>
      </c>
      <c r="O3534" s="4" t="s">
        <v>6216</v>
      </c>
      <c r="P3534" s="4" t="s">
        <v>29</v>
      </c>
      <c r="Q3534" s="4" t="s">
        <v>25914</v>
      </c>
      <c r="R3534" s="6"/>
      <c r="S3534" s="6"/>
      <c r="T3534" s="6"/>
      <c r="U3534" s="6"/>
      <c r="V3534" s="6"/>
      <c r="W3534" s="6"/>
      <c r="X3534" s="6"/>
      <c r="Y3534" s="6"/>
      <c r="Z3534" s="6"/>
      <c r="AA3534" s="6"/>
    </row>
    <row r="3535" ht="14.25">
      <c r="B3535" s="4" t="s">
        <v>3142</v>
      </c>
      <c r="C3535" s="4" t="s">
        <v>25915</v>
      </c>
      <c r="D3535" s="4" t="s">
        <v>341</v>
      </c>
      <c r="E3535" s="4" t="s">
        <v>25916</v>
      </c>
      <c r="F3535" s="4" t="str">
        <f>IFERROR(__XLUDF.DUMMYFUNCTION("PROPER(REGEXREPLACE(D1251,""[^A-Za-z]+ "",""""))"),"Securas")</f>
        <v>Securas</v>
      </c>
      <c r="G3535" s="4" t="s">
        <v>25917</v>
      </c>
      <c r="H3535" s="4">
        <v>12</v>
      </c>
      <c r="I3535" s="4" t="s">
        <v>2602</v>
      </c>
      <c r="J3535" s="4"/>
      <c r="K3535" s="5" t="s">
        <v>25918</v>
      </c>
      <c r="L3535" s="5" t="s">
        <v>25919</v>
      </c>
      <c r="M3535" s="4" t="s">
        <v>39</v>
      </c>
      <c r="N3535" s="4" t="s">
        <v>29</v>
      </c>
      <c r="O3535" s="4" t="s">
        <v>235</v>
      </c>
      <c r="P3535" s="4" t="s">
        <v>29</v>
      </c>
      <c r="Q3535" s="4" t="s">
        <v>25920</v>
      </c>
      <c r="R3535" s="6"/>
      <c r="S3535" s="6"/>
      <c r="T3535" s="6"/>
      <c r="U3535" s="6"/>
      <c r="V3535" s="6"/>
      <c r="W3535" s="6"/>
      <c r="X3535" s="6"/>
      <c r="Y3535" s="6"/>
      <c r="Z3535" s="6"/>
      <c r="AA3535" s="6"/>
    </row>
    <row r="3536" ht="14.25">
      <c r="B3536" s="4" t="s">
        <v>588</v>
      </c>
      <c r="C3536" s="4" t="s">
        <v>25921</v>
      </c>
      <c r="D3536" s="4" t="s">
        <v>18553</v>
      </c>
      <c r="E3536" s="4" t="s">
        <v>25922</v>
      </c>
      <c r="F3536" s="4" t="str">
        <f>IFERROR(__XLUDF.DUMMYFUNCTION("PROPER(REGEXREPLACE(D1252,""[^A-Za-z]+ "",""""))"),"Noticia")</f>
        <v>Noticia</v>
      </c>
      <c r="G3536" s="4" t="s">
        <v>25923</v>
      </c>
      <c r="H3536" s="4">
        <v>14</v>
      </c>
      <c r="I3536" s="4" t="s">
        <v>2602</v>
      </c>
      <c r="J3536" s="4" t="str">
        <f>IFERROR(__XLUDF.DUMMYFUNCTION("VLOOKUP(H1252,IMPORTRANGE(""https://docs.google.com/spreadsheets/d/1opm6ZNvGZ7KditA9TuJwrZ25eFLfTNIkrNnY6mhV5Eg"",""list!A1:C115""),3,TRUE)"),"le secteur de la tech")</f>
        <v xml:space="preserve">le secteur de la tech</v>
      </c>
      <c r="K3536" s="5" t="s">
        <v>25924</v>
      </c>
      <c r="L3536" s="5" t="s">
        <v>25925</v>
      </c>
      <c r="M3536" s="6"/>
      <c r="N3536" s="4" t="s">
        <v>29</v>
      </c>
      <c r="O3536" s="4" t="s">
        <v>67</v>
      </c>
      <c r="P3536" s="4" t="s">
        <v>29</v>
      </c>
      <c r="Q3536" s="4" t="s">
        <v>25926</v>
      </c>
      <c r="R3536" s="6"/>
      <c r="S3536" s="6"/>
      <c r="T3536" s="6"/>
      <c r="U3536" s="6"/>
      <c r="V3536" s="6"/>
      <c r="W3536" s="6"/>
      <c r="X3536" s="6"/>
      <c r="Y3536" s="6"/>
      <c r="Z3536" s="6"/>
      <c r="AA3536" s="6"/>
    </row>
    <row r="3537" ht="14.25">
      <c r="B3537" s="4" t="s">
        <v>785</v>
      </c>
      <c r="C3537" s="4" t="s">
        <v>25927</v>
      </c>
      <c r="D3537" s="4" t="s">
        <v>426</v>
      </c>
      <c r="E3537" s="4" t="s">
        <v>25928</v>
      </c>
      <c r="F3537" s="4" t="str">
        <f>IFERROR(__XLUDF.DUMMYFUNCTION("PROPER(REGEXREPLACE(D1253,""[^A-Za-z]+ "",""""))"),"Neyrial Informatique")</f>
        <v xml:space="preserve">Neyrial Informatique</v>
      </c>
      <c r="G3537" s="4" t="s">
        <v>25929</v>
      </c>
      <c r="H3537" s="4">
        <v>45</v>
      </c>
      <c r="I3537" s="4" t="s">
        <v>2602</v>
      </c>
      <c r="J3537" s="4"/>
      <c r="K3537" s="5" t="s">
        <v>25930</v>
      </c>
      <c r="L3537" s="5" t="s">
        <v>25931</v>
      </c>
      <c r="M3537" s="4" t="s">
        <v>9237</v>
      </c>
      <c r="N3537" s="4" t="s">
        <v>29</v>
      </c>
      <c r="O3537" s="4" t="s">
        <v>25932</v>
      </c>
      <c r="P3537" s="4" t="s">
        <v>29</v>
      </c>
      <c r="Q3537" s="6"/>
      <c r="R3537" s="6"/>
      <c r="S3537" s="6"/>
      <c r="T3537" s="6"/>
      <c r="U3537" s="6"/>
      <c r="V3537" s="6"/>
      <c r="W3537" s="6"/>
      <c r="X3537" s="6"/>
      <c r="Y3537" s="6"/>
      <c r="Z3537" s="6"/>
      <c r="AA3537" s="6"/>
    </row>
    <row r="3538" ht="14.25">
      <c r="B3538" s="4" t="s">
        <v>1562</v>
      </c>
      <c r="C3538" s="4" t="s">
        <v>7164</v>
      </c>
      <c r="D3538" s="4" t="s">
        <v>1950</v>
      </c>
      <c r="E3538" s="4" t="s">
        <v>25933</v>
      </c>
      <c r="F3538" s="4" t="str">
        <f>IFERROR(__XLUDF.DUMMYFUNCTION("PROPER(REGEXREPLACE(D1254,""[^A-Za-z]+ "",""""))"),"Metaline Division Logiciels")</f>
        <v xml:space="preserve">Metaline Division Logiciels</v>
      </c>
      <c r="G3538" s="4" t="s">
        <v>25934</v>
      </c>
      <c r="H3538" s="4">
        <v>13</v>
      </c>
      <c r="I3538" s="4" t="s">
        <v>2602</v>
      </c>
      <c r="J3538" s="4"/>
      <c r="K3538" s="5" t="s">
        <v>25935</v>
      </c>
      <c r="L3538" s="5" t="s">
        <v>25936</v>
      </c>
      <c r="M3538" s="6"/>
      <c r="N3538" s="4" t="s">
        <v>29</v>
      </c>
      <c r="O3538" s="4" t="s">
        <v>25937</v>
      </c>
      <c r="P3538" s="4" t="s">
        <v>29</v>
      </c>
      <c r="Q3538" s="4" t="s">
        <v>25938</v>
      </c>
      <c r="R3538" s="6"/>
      <c r="S3538" s="6"/>
      <c r="T3538" s="6"/>
      <c r="U3538" s="6"/>
      <c r="V3538" s="6"/>
      <c r="W3538" s="6"/>
      <c r="X3538" s="6"/>
      <c r="Y3538" s="6"/>
      <c r="Z3538" s="6"/>
      <c r="AA3538" s="6"/>
    </row>
    <row r="3539" ht="14.25">
      <c r="B3539" s="4" t="s">
        <v>3100</v>
      </c>
      <c r="C3539" s="4" t="s">
        <v>25939</v>
      </c>
      <c r="D3539" s="4" t="s">
        <v>1240</v>
      </c>
      <c r="E3539" s="4" t="s">
        <v>25940</v>
      </c>
      <c r="F3539" s="4" t="str">
        <f>IFERROR(__XLUDF.DUMMYFUNCTION("PROPER(REGEXREPLACE(D1255,""[^A-Za-z]+ "",""""))"),"Jobpass")</f>
        <v>Jobpass</v>
      </c>
      <c r="G3539" s="4" t="s">
        <v>25941</v>
      </c>
      <c r="H3539" s="4">
        <v>11</v>
      </c>
      <c r="I3539" s="4" t="s">
        <v>2602</v>
      </c>
      <c r="J3539" s="4"/>
      <c r="K3539" s="5" t="s">
        <v>25942</v>
      </c>
      <c r="L3539" s="5" t="s">
        <v>25943</v>
      </c>
      <c r="M3539" s="4" t="s">
        <v>39</v>
      </c>
      <c r="N3539" s="4" t="s">
        <v>29</v>
      </c>
      <c r="O3539" s="4" t="s">
        <v>25944</v>
      </c>
      <c r="P3539" s="4" t="s">
        <v>29</v>
      </c>
      <c r="Q3539" s="4" t="s">
        <v>25945</v>
      </c>
      <c r="R3539" s="6"/>
      <c r="S3539" s="6"/>
      <c r="T3539" s="6"/>
      <c r="U3539" s="6"/>
      <c r="V3539" s="6"/>
      <c r="W3539" s="6"/>
      <c r="X3539" s="6"/>
      <c r="Y3539" s="6"/>
      <c r="Z3539" s="6"/>
      <c r="AA3539" s="6"/>
    </row>
    <row r="3540" ht="14.25">
      <c r="B3540" s="4" t="s">
        <v>16921</v>
      </c>
      <c r="C3540" s="4" t="s">
        <v>25946</v>
      </c>
      <c r="D3540" s="4" t="s">
        <v>25947</v>
      </c>
      <c r="E3540" s="4" t="s">
        <v>25948</v>
      </c>
      <c r="F3540" s="4" t="str">
        <f>IFERROR(__XLUDF.DUMMYFUNCTION("PROPER(REGEXREPLACE(D1256,""[^A-Za-z]+ "",""""))"),"Sarl Tox")</f>
        <v xml:space="preserve">Sarl Tox</v>
      </c>
      <c r="G3540" s="4" t="s">
        <v>25949</v>
      </c>
      <c r="H3540" s="4">
        <v>21</v>
      </c>
      <c r="I3540" s="4" t="s">
        <v>9161</v>
      </c>
      <c r="J3540" s="4"/>
      <c r="K3540" s="5" t="s">
        <v>25950</v>
      </c>
      <c r="L3540" s="5" t="s">
        <v>25951</v>
      </c>
      <c r="M3540" s="4" t="s">
        <v>39</v>
      </c>
      <c r="N3540" s="4" t="s">
        <v>29</v>
      </c>
      <c r="O3540" s="4" t="s">
        <v>125</v>
      </c>
      <c r="P3540" s="4" t="s">
        <v>29</v>
      </c>
      <c r="Q3540" s="4" t="s">
        <v>25952</v>
      </c>
      <c r="R3540" s="6"/>
      <c r="S3540" s="6"/>
      <c r="T3540" s="6"/>
      <c r="U3540" s="6"/>
      <c r="V3540" s="6"/>
      <c r="W3540" s="6"/>
      <c r="X3540" s="6"/>
      <c r="Y3540" s="6"/>
      <c r="Z3540" s="6"/>
      <c r="AA3540" s="6"/>
    </row>
    <row r="3541" ht="14.25">
      <c r="B3541" s="4" t="s">
        <v>6390</v>
      </c>
      <c r="C3541" s="4" t="s">
        <v>25953</v>
      </c>
      <c r="D3541" s="4" t="s">
        <v>172</v>
      </c>
      <c r="E3541" s="4" t="s">
        <v>25954</v>
      </c>
      <c r="F3541" s="4" t="str">
        <f>IFERROR(__XLUDF.DUMMYFUNCTION("PROPER(REGEXREPLACE(D1257,""[^A-Za-z]+ "",""""))"),"Greenspark S.A.S")</f>
        <v xml:space="preserve">Greenspark S.A.S</v>
      </c>
      <c r="G3541" s="4" t="s">
        <v>25955</v>
      </c>
      <c r="H3541" s="4">
        <v>16</v>
      </c>
      <c r="I3541" s="4" t="s">
        <v>2602</v>
      </c>
      <c r="J3541" s="4" t="str">
        <f>IFERROR(__XLUDF.DUMMYFUNCTION("VLOOKUP(H1257,IMPORTRANGE(""https://docs.google.com/spreadsheets/d/1opm6ZNvGZ7KditA9TuJwrZ25eFLfTNIkrNnY6mhV5Eg"",""list!A1:C115""),3,TRUE)"),"le secteur de la tech")</f>
        <v xml:space="preserve">le secteur de la tech</v>
      </c>
      <c r="K3541" s="5" t="s">
        <v>25956</v>
      </c>
      <c r="L3541" s="5" t="s">
        <v>25957</v>
      </c>
      <c r="M3541" s="4" t="s">
        <v>25958</v>
      </c>
      <c r="N3541" s="4" t="s">
        <v>29</v>
      </c>
      <c r="O3541" s="4" t="s">
        <v>25959</v>
      </c>
      <c r="P3541" s="4" t="s">
        <v>29</v>
      </c>
      <c r="Q3541" s="4" t="s">
        <v>25960</v>
      </c>
      <c r="R3541" s="6"/>
      <c r="S3541" s="6"/>
      <c r="T3541" s="6"/>
      <c r="U3541" s="6"/>
      <c r="V3541" s="6"/>
      <c r="W3541" s="6"/>
      <c r="X3541" s="6"/>
      <c r="Y3541" s="6"/>
      <c r="Z3541" s="6"/>
      <c r="AA3541" s="6"/>
    </row>
    <row r="3542" ht="14.25">
      <c r="B3542" s="4" t="s">
        <v>1596</v>
      </c>
      <c r="C3542" s="4" t="s">
        <v>25961</v>
      </c>
      <c r="D3542" s="4" t="s">
        <v>25962</v>
      </c>
      <c r="E3542" s="4" t="s">
        <v>25963</v>
      </c>
      <c r="F3542" s="4" t="str">
        <f>IFERROR(__XLUDF.DUMMYFUNCTION("PROPER(REGEXREPLACE(D1258,""[^A-Za-z]+ "",""""))"),"Fuzzinglabs")</f>
        <v>Fuzzinglabs</v>
      </c>
      <c r="G3542" s="4" t="s">
        <v>25964</v>
      </c>
      <c r="H3542" s="4">
        <v>24</v>
      </c>
      <c r="I3542" s="4" t="s">
        <v>9264</v>
      </c>
      <c r="J3542" s="4" t="str">
        <f>IFERROR(__XLUDF.DUMMYFUNCTION("VLOOKUP(H1258,IMPORTRANGE(""https://docs.google.com/spreadsheets/d/1opm6ZNvGZ7KditA9TuJwrZ25eFLfTNIkrNnY6mhV5Eg"",""list!A1:C115""),3,TRUE)"),"le secteur de la sécurité informatique")</f>
        <v xml:space="preserve">le secteur de la sécurité informatique</v>
      </c>
      <c r="K3542" s="5" t="s">
        <v>25965</v>
      </c>
      <c r="L3542" s="5" t="s">
        <v>25966</v>
      </c>
      <c r="M3542" s="6"/>
      <c r="N3542" s="4" t="s">
        <v>29</v>
      </c>
      <c r="O3542" s="4" t="s">
        <v>67</v>
      </c>
      <c r="P3542" s="4" t="s">
        <v>29</v>
      </c>
      <c r="Q3542" s="4" t="s">
        <v>25967</v>
      </c>
      <c r="R3542" s="6"/>
      <c r="S3542" s="6"/>
      <c r="T3542" s="6"/>
      <c r="U3542" s="6"/>
      <c r="V3542" s="6"/>
      <c r="W3542" s="6"/>
      <c r="X3542" s="6"/>
      <c r="Y3542" s="6"/>
      <c r="Z3542" s="6"/>
      <c r="AA3542" s="6"/>
    </row>
    <row r="3543" ht="14.25">
      <c r="B3543" s="4" t="s">
        <v>25968</v>
      </c>
      <c r="C3543" s="4" t="s">
        <v>25969</v>
      </c>
      <c r="D3543" s="4" t="s">
        <v>4477</v>
      </c>
      <c r="E3543" s="4" t="s">
        <v>25970</v>
      </c>
      <c r="F3543" s="4" t="str">
        <f>IFERROR(__XLUDF.DUMMYFUNCTION("PROPER(REGEXREPLACE(D1259,""[^A-Za-z]+ "",""""))"),"Kosmos")</f>
        <v>Kosmos</v>
      </c>
      <c r="G3543" s="4" t="s">
        <v>25971</v>
      </c>
      <c r="H3543" s="4">
        <v>16</v>
      </c>
      <c r="I3543" s="4" t="s">
        <v>2602</v>
      </c>
      <c r="J3543" s="4" t="str">
        <f>IFERROR(__XLUDF.DUMMYFUNCTION("VLOOKUP(H1259,IMPORTRANGE(""https://docs.google.com/spreadsheets/d/1opm6ZNvGZ7KditA9TuJwrZ25eFLfTNIkrNnY6mhV5Eg"",""list!A1:C115""),3,TRUE)"),"le secteur de la tech")</f>
        <v xml:space="preserve">le secteur de la tech</v>
      </c>
      <c r="K3543" s="5" t="s">
        <v>25972</v>
      </c>
      <c r="L3543" s="5" t="s">
        <v>25973</v>
      </c>
      <c r="M3543" s="4" t="s">
        <v>20826</v>
      </c>
      <c r="N3543" s="4" t="s">
        <v>29</v>
      </c>
      <c r="O3543" s="4" t="s">
        <v>25974</v>
      </c>
      <c r="P3543" s="4" t="s">
        <v>29</v>
      </c>
      <c r="Q3543" s="6"/>
      <c r="R3543" s="6"/>
      <c r="S3543" s="6"/>
      <c r="T3543" s="6"/>
      <c r="U3543" s="6"/>
      <c r="V3543" s="6"/>
      <c r="W3543" s="6"/>
      <c r="X3543" s="6"/>
      <c r="Y3543" s="6"/>
      <c r="Z3543" s="6"/>
      <c r="AA3543" s="6"/>
    </row>
    <row r="3544" ht="14.25">
      <c r="B3544" s="4" t="s">
        <v>1732</v>
      </c>
      <c r="C3544" s="4" t="s">
        <v>25975</v>
      </c>
      <c r="D3544" s="4" t="s">
        <v>172</v>
      </c>
      <c r="E3544" s="4" t="s">
        <v>25976</v>
      </c>
      <c r="F3544" s="4" t="str">
        <f>IFERROR(__XLUDF.DUMMYFUNCTION("PROPER(REGEXREPLACE(D1260,""[^A-Za-z]+ "",""""))"),"Auxel")</f>
        <v>Auxel</v>
      </c>
      <c r="G3544" s="4" t="s">
        <v>25977</v>
      </c>
      <c r="H3544" s="4">
        <v>43</v>
      </c>
      <c r="I3544" s="4" t="s">
        <v>10215</v>
      </c>
      <c r="J3544" s="4" t="str">
        <f>IFERROR(__XLUDF.DUMMYFUNCTION("VLOOKUP(H1260,IMPORTRANGE(""https://docs.google.com/spreadsheets/d/1opm6ZNvGZ7KditA9TuJwrZ25eFLfTNIkrNnY6mhV5Eg"",""list!A1:C115""),3,TRUE)"),"le secteur de l'électrique et électronique")</f>
        <v xml:space="preserve">le secteur de l'électrique et électronique</v>
      </c>
      <c r="K3544" s="5" t="s">
        <v>25978</v>
      </c>
      <c r="L3544" s="5" t="s">
        <v>25979</v>
      </c>
      <c r="M3544" s="4" t="s">
        <v>846</v>
      </c>
      <c r="N3544" s="4" t="s">
        <v>29</v>
      </c>
      <c r="O3544" s="4" t="s">
        <v>25980</v>
      </c>
      <c r="P3544" s="4" t="s">
        <v>29</v>
      </c>
      <c r="Q3544" s="6"/>
      <c r="R3544" s="6"/>
      <c r="S3544" s="6"/>
      <c r="T3544" s="6"/>
      <c r="U3544" s="6"/>
      <c r="V3544" s="6"/>
      <c r="W3544" s="6"/>
      <c r="X3544" s="6"/>
      <c r="Y3544" s="6"/>
      <c r="Z3544" s="6"/>
      <c r="AA3544" s="6"/>
    </row>
    <row r="3545" ht="14.25">
      <c r="B3545" s="4" t="s">
        <v>25981</v>
      </c>
      <c r="C3545" s="4" t="s">
        <v>25982</v>
      </c>
      <c r="D3545" s="4" t="s">
        <v>87</v>
      </c>
      <c r="E3545" s="4" t="s">
        <v>25983</v>
      </c>
      <c r="F3545" s="4" t="str">
        <f>IFERROR(__XLUDF.DUMMYFUNCTION("PROPER(REGEXREPLACE(D1261,""[^A-Za-z]+ "",""""))"),"Odit Governance")</f>
        <v xml:space="preserve">Odit Governance</v>
      </c>
      <c r="G3545" s="4" t="s">
        <v>25984</v>
      </c>
      <c r="H3545" s="4">
        <v>10</v>
      </c>
      <c r="I3545" s="4" t="s">
        <v>2602</v>
      </c>
      <c r="J3545" s="4" t="str">
        <f>IFERROR(__XLUDF.DUMMYFUNCTION("VLOOKUP(H1261,IMPORTRANGE(""https://docs.google.com/spreadsheets/d/1opm6ZNvGZ7KditA9TuJwrZ25eFLfTNIkrNnY6mhV5Eg"",""list!A1:C115""),3,TRUE)"),"le secteur de la tech")</f>
        <v xml:space="preserve">le secteur de la tech</v>
      </c>
      <c r="K3545" s="5" t="s">
        <v>25985</v>
      </c>
      <c r="L3545" s="5" t="s">
        <v>25986</v>
      </c>
      <c r="M3545" s="6"/>
      <c r="N3545" s="4" t="s">
        <v>29</v>
      </c>
      <c r="O3545" s="4" t="s">
        <v>25987</v>
      </c>
      <c r="P3545" s="4" t="s">
        <v>29</v>
      </c>
      <c r="Q3545" s="6"/>
      <c r="R3545" s="6"/>
      <c r="S3545" s="6"/>
      <c r="T3545" s="6"/>
      <c r="U3545" s="6"/>
      <c r="V3545" s="6"/>
      <c r="W3545" s="6"/>
      <c r="X3545" s="6"/>
      <c r="Y3545" s="6"/>
      <c r="Z3545" s="6"/>
      <c r="AA3545" s="6"/>
    </row>
    <row r="3546" ht="14.25">
      <c r="B3546" s="4" t="s">
        <v>330</v>
      </c>
      <c r="C3546" s="4" t="s">
        <v>25988</v>
      </c>
      <c r="D3546" s="4" t="s">
        <v>44</v>
      </c>
      <c r="E3546" s="4" t="s">
        <v>25989</v>
      </c>
      <c r="F3546" s="4" t="str">
        <f>IFERROR(__XLUDF.DUMMYFUNCTION("PROPER(REGEXREPLACE(D1262,""[^A-Za-z]+ "",""""))"),"Opensquare")</f>
        <v>Opensquare</v>
      </c>
      <c r="G3546" s="4" t="s">
        <v>25990</v>
      </c>
      <c r="H3546" s="4">
        <v>50</v>
      </c>
      <c r="I3546" s="4" t="s">
        <v>4067</v>
      </c>
      <c r="J3546" s="4" t="str">
        <f>IFERROR(__XLUDF.DUMMYFUNCTION("VLOOKUP(H1262,IMPORTRANGE(""https://docs.google.com/spreadsheets/d/1opm6ZNvGZ7KditA9TuJwrZ25eFLfTNIkrNnY6mhV5Eg"",""list!A1:C115""),3,TRUE)"),"le secteur du conseil en management")</f>
        <v xml:space="preserve">le secteur du conseil en management</v>
      </c>
      <c r="K3546" s="5" t="s">
        <v>25991</v>
      </c>
      <c r="L3546" s="5" t="s">
        <v>25992</v>
      </c>
      <c r="M3546" s="4" t="s">
        <v>39</v>
      </c>
      <c r="N3546" s="4" t="s">
        <v>29</v>
      </c>
      <c r="O3546" s="4" t="s">
        <v>25993</v>
      </c>
      <c r="P3546" s="4" t="s">
        <v>29</v>
      </c>
      <c r="Q3546" s="6"/>
      <c r="R3546" s="6"/>
      <c r="S3546" s="6"/>
      <c r="T3546" s="6"/>
      <c r="U3546" s="6"/>
      <c r="V3546" s="6"/>
      <c r="W3546" s="6"/>
      <c r="X3546" s="6"/>
      <c r="Y3546" s="6"/>
      <c r="Z3546" s="6"/>
      <c r="AA3546" s="6"/>
    </row>
    <row r="3547" ht="14.25">
      <c r="B3547" s="4" t="s">
        <v>6634</v>
      </c>
      <c r="C3547" s="4" t="s">
        <v>25994</v>
      </c>
      <c r="D3547" s="4" t="s">
        <v>25995</v>
      </c>
      <c r="E3547" s="4" t="s">
        <v>25996</v>
      </c>
      <c r="F3547" s="4" t="str">
        <f>IFERROR(__XLUDF.DUMMYFUNCTION("PROPER(REGEXREPLACE(D1263,""[^A-Za-z]+ "",""""))"),"Railwai")</f>
        <v>Railwai</v>
      </c>
      <c r="G3547" s="4" t="s">
        <v>25997</v>
      </c>
      <c r="H3547" s="4">
        <v>13</v>
      </c>
      <c r="I3547" s="4" t="s">
        <v>2602</v>
      </c>
      <c r="J3547" s="4"/>
      <c r="K3547" s="5" t="s">
        <v>25998</v>
      </c>
      <c r="L3547" s="5" t="s">
        <v>25999</v>
      </c>
      <c r="M3547" s="4" t="s">
        <v>482</v>
      </c>
      <c r="N3547" s="4" t="s">
        <v>29</v>
      </c>
      <c r="O3547" s="4" t="s">
        <v>22691</v>
      </c>
      <c r="P3547" s="4" t="s">
        <v>29</v>
      </c>
      <c r="Q3547" s="4" t="s">
        <v>26000</v>
      </c>
      <c r="R3547" s="6"/>
      <c r="S3547" s="6"/>
      <c r="T3547" s="6"/>
      <c r="U3547" s="6"/>
      <c r="V3547" s="6"/>
      <c r="W3547" s="6"/>
      <c r="X3547" s="6"/>
      <c r="Y3547" s="6"/>
      <c r="Z3547" s="6"/>
      <c r="AA3547" s="6"/>
    </row>
    <row r="3548" ht="14.25">
      <c r="B3548" s="4" t="s">
        <v>26001</v>
      </c>
      <c r="C3548" s="4" t="s">
        <v>4395</v>
      </c>
      <c r="D3548" s="4" t="s">
        <v>21826</v>
      </c>
      <c r="E3548" s="4" t="s">
        <v>26002</v>
      </c>
      <c r="F3548" s="4" t="str">
        <f>IFERROR(__XLUDF.DUMMYFUNCTION("PROPER(REGEXREPLACE(D1264,""[^A-Za-z]+ "",""""))"),"Konverso")</f>
        <v>Konverso</v>
      </c>
      <c r="G3548" s="4" t="s">
        <v>26003</v>
      </c>
      <c r="H3548" s="4">
        <v>22</v>
      </c>
      <c r="I3548" s="4" t="s">
        <v>2602</v>
      </c>
      <c r="J3548" s="4" t="str">
        <f>IFERROR(__XLUDF.DUMMYFUNCTION("VLOOKUP(H1264,IMPORTRANGE(""https://docs.google.com/spreadsheets/d/1opm6ZNvGZ7KditA9TuJwrZ25eFLfTNIkrNnY6mhV5Eg"",""list!A1:C115""),3,TRUE)"),"le secteur de la tech")</f>
        <v xml:space="preserve">le secteur de la tech</v>
      </c>
      <c r="K3548" s="5" t="s">
        <v>26004</v>
      </c>
      <c r="L3548" s="5" t="s">
        <v>26005</v>
      </c>
      <c r="M3548" s="4" t="s">
        <v>39</v>
      </c>
      <c r="N3548" s="4" t="s">
        <v>29</v>
      </c>
      <c r="O3548" s="4" t="s">
        <v>67</v>
      </c>
      <c r="P3548" s="4" t="s">
        <v>29</v>
      </c>
      <c r="Q3548" s="4" t="s">
        <v>26006</v>
      </c>
      <c r="R3548" s="6"/>
      <c r="S3548" s="6"/>
      <c r="T3548" s="6"/>
      <c r="U3548" s="6"/>
      <c r="V3548" s="6"/>
      <c r="W3548" s="6"/>
      <c r="X3548" s="6"/>
      <c r="Y3548" s="6"/>
      <c r="Z3548" s="6"/>
      <c r="AA3548" s="6"/>
    </row>
    <row r="3549" ht="14.25">
      <c r="B3549" s="4" t="s">
        <v>653</v>
      </c>
      <c r="C3549" s="4" t="s">
        <v>26007</v>
      </c>
      <c r="D3549" s="4" t="s">
        <v>120</v>
      </c>
      <c r="E3549" s="4" t="s">
        <v>26008</v>
      </c>
      <c r="F3549" s="4" t="str">
        <f>IFERROR(__XLUDF.DUMMYFUNCTION("PROPER(REGEXREPLACE(D1265,""[^A-Za-z]+ "",""""))"),"Panopli")</f>
        <v>Panopli</v>
      </c>
      <c r="G3549" s="4" t="s">
        <v>26009</v>
      </c>
      <c r="H3549" s="4">
        <v>34</v>
      </c>
      <c r="I3549" s="4" t="s">
        <v>2602</v>
      </c>
      <c r="J3549" s="4"/>
      <c r="K3549" s="5" t="s">
        <v>26010</v>
      </c>
      <c r="L3549" s="5" t="s">
        <v>26011</v>
      </c>
      <c r="M3549" s="6"/>
      <c r="N3549" s="4" t="s">
        <v>29</v>
      </c>
      <c r="O3549" s="4" t="s">
        <v>23311</v>
      </c>
      <c r="P3549" s="4" t="s">
        <v>29</v>
      </c>
      <c r="Q3549" s="4" t="s">
        <v>26012</v>
      </c>
      <c r="R3549" s="6"/>
      <c r="S3549" s="6"/>
      <c r="T3549" s="6"/>
      <c r="U3549" s="6"/>
      <c r="V3549" s="6"/>
      <c r="W3549" s="6"/>
      <c r="X3549" s="6"/>
      <c r="Y3549" s="6"/>
      <c r="Z3549" s="6"/>
      <c r="AA3549" s="6"/>
    </row>
    <row r="3550" ht="14.25">
      <c r="B3550" s="4" t="s">
        <v>206</v>
      </c>
      <c r="C3550" s="4" t="s">
        <v>26013</v>
      </c>
      <c r="D3550" s="4" t="s">
        <v>112</v>
      </c>
      <c r="E3550" s="4" t="s">
        <v>26014</v>
      </c>
      <c r="F3550" s="4" t="str">
        <f>IFERROR(__XLUDF.DUMMYFUNCTION("PROPER(REGEXREPLACE(D1266,""[^A-Za-z]+ "",""""))"),"Ttm Environnement")</f>
        <v xml:space="preserve">Ttm Environnement</v>
      </c>
      <c r="G3550" s="4" t="s">
        <v>26015</v>
      </c>
      <c r="H3550" s="4">
        <v>23</v>
      </c>
      <c r="I3550" s="4" t="s">
        <v>4067</v>
      </c>
      <c r="J3550" s="4"/>
      <c r="K3550" s="5" t="s">
        <v>26016</v>
      </c>
      <c r="L3550" s="5" t="s">
        <v>26017</v>
      </c>
      <c r="M3550" s="4" t="s">
        <v>4922</v>
      </c>
      <c r="N3550" s="4" t="s">
        <v>29</v>
      </c>
      <c r="O3550" s="4" t="s">
        <v>26018</v>
      </c>
      <c r="P3550" s="4" t="s">
        <v>29</v>
      </c>
      <c r="Q3550" s="4" t="s">
        <v>26019</v>
      </c>
      <c r="R3550" s="6"/>
      <c r="S3550" s="6"/>
      <c r="T3550" s="6"/>
      <c r="U3550" s="6"/>
      <c r="V3550" s="6"/>
      <c r="W3550" s="6"/>
      <c r="X3550" s="6"/>
      <c r="Y3550" s="6"/>
      <c r="Z3550" s="6"/>
      <c r="AA3550" s="6"/>
    </row>
    <row r="3551" ht="14.25">
      <c r="B3551" s="4" t="s">
        <v>95</v>
      </c>
      <c r="C3551" s="4" t="s">
        <v>18672</v>
      </c>
      <c r="D3551" s="4" t="s">
        <v>341</v>
      </c>
      <c r="E3551" s="4" t="s">
        <v>26020</v>
      </c>
      <c r="F3551" s="4" t="str">
        <f>IFERROR(__XLUDF.DUMMYFUNCTION("PROPER(REGEXREPLACE(D1267,""[^A-Za-z]+ "",""""))"),"Districall")</f>
        <v>Districall</v>
      </c>
      <c r="G3551" s="4" t="s">
        <v>26021</v>
      </c>
      <c r="H3551" s="4">
        <v>10</v>
      </c>
      <c r="I3551" s="4" t="s">
        <v>9184</v>
      </c>
      <c r="J3551" s="4" t="str">
        <f>IFERROR(__XLUDF.DUMMYFUNCTION("VLOOKUP(H1267,IMPORTRANGE(""https://docs.google.com/spreadsheets/d/1opm6ZNvGZ7KditA9TuJwrZ25eFLfTNIkrNnY6mhV5Eg"",""list!A1:C115""),3,TRUE)"),"le secteur des télécommunications")</f>
        <v xml:space="preserve">le secteur des télécommunications</v>
      </c>
      <c r="K3551" s="5" t="s">
        <v>26022</v>
      </c>
      <c r="L3551" s="5" t="s">
        <v>26023</v>
      </c>
      <c r="M3551" s="4" t="s">
        <v>39</v>
      </c>
      <c r="N3551" s="4" t="s">
        <v>29</v>
      </c>
      <c r="O3551" s="4" t="s">
        <v>26024</v>
      </c>
      <c r="P3551" s="4" t="s">
        <v>29</v>
      </c>
      <c r="Q3551" s="4" t="s">
        <v>26025</v>
      </c>
      <c r="R3551" s="6"/>
      <c r="S3551" s="6"/>
      <c r="T3551" s="6"/>
      <c r="U3551" s="6"/>
      <c r="V3551" s="6"/>
      <c r="W3551" s="6"/>
      <c r="X3551" s="6"/>
      <c r="Y3551" s="6"/>
      <c r="Z3551" s="6"/>
      <c r="AA3551" s="6"/>
    </row>
    <row r="3552" ht="14.25">
      <c r="B3552" s="4" t="s">
        <v>2932</v>
      </c>
      <c r="C3552" s="4" t="s">
        <v>26026</v>
      </c>
      <c r="D3552" s="4" t="s">
        <v>172</v>
      </c>
      <c r="E3552" s="4" t="s">
        <v>10637</v>
      </c>
      <c r="F3552" s="4" t="str">
        <f>IFERROR(__XLUDF.DUMMYFUNCTION("PROPER(REGEXREPLACE(D1268,""[^A-Za-z]+ "",""""))"),"Agence We&amp;")</f>
        <v xml:space="preserve">Agence We&amp;</v>
      </c>
      <c r="G3552" s="4" t="s">
        <v>26027</v>
      </c>
      <c r="H3552" s="4">
        <v>33</v>
      </c>
      <c r="I3552" s="4" t="s">
        <v>10639</v>
      </c>
      <c r="J3552" s="4"/>
      <c r="K3552" s="5" t="s">
        <v>26028</v>
      </c>
      <c r="L3552" s="5" t="s">
        <v>26029</v>
      </c>
      <c r="M3552" s="4" t="s">
        <v>243</v>
      </c>
      <c r="N3552" s="4" t="s">
        <v>29</v>
      </c>
      <c r="O3552" s="4" t="s">
        <v>929</v>
      </c>
      <c r="P3552" s="4" t="s">
        <v>29</v>
      </c>
      <c r="Q3552" s="6"/>
      <c r="R3552" s="6"/>
      <c r="S3552" s="6"/>
      <c r="T3552" s="6"/>
      <c r="U3552" s="6"/>
      <c r="V3552" s="6"/>
      <c r="W3552" s="6"/>
      <c r="X3552" s="6"/>
      <c r="Y3552" s="6"/>
      <c r="Z3552" s="6"/>
      <c r="AA3552" s="6"/>
    </row>
    <row r="3553" ht="14.25">
      <c r="B3553" s="4" t="s">
        <v>110</v>
      </c>
      <c r="C3553" s="4" t="s">
        <v>26030</v>
      </c>
      <c r="D3553" s="4" t="s">
        <v>426</v>
      </c>
      <c r="E3553" s="4" t="s">
        <v>26031</v>
      </c>
      <c r="F3553" s="4" t="str">
        <f>IFERROR(__XLUDF.DUMMYFUNCTION("PROPER(REGEXREPLACE(D1269,""[^A-Za-z]+ "",""""))"),"Altavia In Store")</f>
        <v xml:space="preserve">Altavia In Store</v>
      </c>
      <c r="G3553" s="4" t="s">
        <v>26032</v>
      </c>
      <c r="H3553" s="4">
        <v>15</v>
      </c>
      <c r="I3553" s="4" t="s">
        <v>9161</v>
      </c>
      <c r="J3553" s="4"/>
      <c r="K3553" s="5" t="s">
        <v>26033</v>
      </c>
      <c r="L3553" s="5" t="s">
        <v>26034</v>
      </c>
      <c r="M3553" s="4" t="s">
        <v>1446</v>
      </c>
      <c r="N3553" s="4" t="s">
        <v>29</v>
      </c>
      <c r="O3553" s="4" t="s">
        <v>26035</v>
      </c>
      <c r="P3553" s="4" t="s">
        <v>29</v>
      </c>
      <c r="Q3553" s="4" t="s">
        <v>26036</v>
      </c>
      <c r="R3553" s="6"/>
      <c r="S3553" s="6"/>
      <c r="T3553" s="6"/>
      <c r="U3553" s="6"/>
      <c r="V3553" s="6"/>
      <c r="W3553" s="6"/>
      <c r="X3553" s="6"/>
      <c r="Y3553" s="6"/>
      <c r="Z3553" s="6"/>
      <c r="AA3553" s="6"/>
    </row>
    <row r="3554" ht="14.25">
      <c r="B3554" s="4" t="s">
        <v>6356</v>
      </c>
      <c r="C3554" s="4" t="s">
        <v>26037</v>
      </c>
      <c r="D3554" s="4" t="s">
        <v>468</v>
      </c>
      <c r="E3554" s="4" t="s">
        <v>24056</v>
      </c>
      <c r="F3554" s="4" t="str">
        <f>IFERROR(__XLUDF.DUMMYFUNCTION("PROPER(REGEXREPLACE(D1270,""[^A-Za-z]+ "",""""))"),"Mobilités Demain")</f>
        <v xml:space="preserve">Mobilités Demain</v>
      </c>
      <c r="G3554" s="4" t="s">
        <v>26038</v>
      </c>
      <c r="H3554" s="4">
        <v>15</v>
      </c>
      <c r="I3554" s="4" t="s">
        <v>4067</v>
      </c>
      <c r="J3554" s="4" t="str">
        <f>IFERROR(__XLUDF.DUMMYFUNCTION("VLOOKUP(H1270,IMPORTRANGE(""https://docs.google.com/spreadsheets/d/1opm6ZNvGZ7KditA9TuJwrZ25eFLfTNIkrNnY6mhV5Eg"",""list!A1:C115""),3,TRUE)"),"le secteur du conseil en management")</f>
        <v xml:space="preserve">le secteur du conseil en management</v>
      </c>
      <c r="K3554" s="5" t="s">
        <v>26039</v>
      </c>
      <c r="L3554" s="5" t="s">
        <v>24059</v>
      </c>
      <c r="M3554" s="4" t="s">
        <v>185</v>
      </c>
      <c r="N3554" s="4" t="s">
        <v>29</v>
      </c>
      <c r="O3554" s="4" t="s">
        <v>24060</v>
      </c>
      <c r="P3554" s="4" t="s">
        <v>29</v>
      </c>
      <c r="Q3554" s="4" t="s">
        <v>24061</v>
      </c>
      <c r="R3554" s="6"/>
      <c r="S3554" s="6"/>
      <c r="T3554" s="6"/>
      <c r="U3554" s="6"/>
      <c r="V3554" s="6"/>
      <c r="W3554" s="6"/>
      <c r="X3554" s="6"/>
      <c r="Y3554" s="6"/>
      <c r="Z3554" s="6"/>
      <c r="AA3554" s="6"/>
    </row>
    <row r="3555" ht="14.25">
      <c r="B3555" s="4" t="s">
        <v>948</v>
      </c>
      <c r="C3555" s="4" t="s">
        <v>26040</v>
      </c>
      <c r="D3555" s="4" t="s">
        <v>230</v>
      </c>
      <c r="E3555" s="4" t="s">
        <v>23236</v>
      </c>
      <c r="F3555" s="4" t="str">
        <f>IFERROR(__XLUDF.DUMMYFUNCTION("PROPER(REGEXREPLACE(D1271,""[^A-Za-z]+ "",""""))"),"Orkis")</f>
        <v>Orkis</v>
      </c>
      <c r="G3555" s="4" t="s">
        <v>26041</v>
      </c>
      <c r="H3555" s="4">
        <v>30</v>
      </c>
      <c r="I3555" s="4" t="s">
        <v>2602</v>
      </c>
      <c r="J3555" s="4"/>
      <c r="K3555" s="5" t="s">
        <v>26042</v>
      </c>
      <c r="L3555" s="5" t="s">
        <v>23239</v>
      </c>
      <c r="M3555" s="4" t="s">
        <v>1015</v>
      </c>
      <c r="N3555" s="4" t="s">
        <v>29</v>
      </c>
      <c r="O3555" s="4" t="s">
        <v>23240</v>
      </c>
      <c r="P3555" s="4" t="s">
        <v>29</v>
      </c>
      <c r="Q3555" s="4" t="s">
        <v>23241</v>
      </c>
      <c r="R3555" s="6"/>
      <c r="S3555" s="6"/>
      <c r="T3555" s="6"/>
      <c r="U3555" s="6"/>
      <c r="V3555" s="6"/>
      <c r="W3555" s="6"/>
      <c r="X3555" s="6"/>
      <c r="Y3555" s="6"/>
      <c r="Z3555" s="6"/>
      <c r="AA3555" s="6"/>
    </row>
    <row r="3556" ht="14.25">
      <c r="B3556" s="4" t="s">
        <v>1704</v>
      </c>
      <c r="C3556" s="4" t="s">
        <v>26043</v>
      </c>
      <c r="D3556" s="4" t="s">
        <v>26044</v>
      </c>
      <c r="E3556" s="4" t="s">
        <v>26045</v>
      </c>
      <c r="F3556" s="4" t="str">
        <f>IFERROR(__XLUDF.DUMMYFUNCTION("PROPER(REGEXREPLACE(D1272,""[^A-Za-z]+ "",""""))"),"Altavia Insitaction")</f>
        <v xml:space="preserve">Altavia Insitaction</v>
      </c>
      <c r="G3556" s="4" t="s">
        <v>26046</v>
      </c>
      <c r="H3556" s="4">
        <v>30</v>
      </c>
      <c r="I3556" s="4" t="s">
        <v>2602</v>
      </c>
      <c r="J3556" s="4" t="str">
        <f>IFERROR(__XLUDF.DUMMYFUNCTION("VLOOKUP(H1272,IMPORTRANGE(""https://docs.google.com/spreadsheets/d/1opm6ZNvGZ7KditA9TuJwrZ25eFLfTNIkrNnY6mhV5Eg"",""list!A1:C115""),3,TRUE)"),"le secteur de la tech")</f>
        <v xml:space="preserve">le secteur de la tech</v>
      </c>
      <c r="K3556" s="5" t="s">
        <v>26047</v>
      </c>
      <c r="L3556" s="5" t="s">
        <v>26048</v>
      </c>
      <c r="M3556" s="4" t="s">
        <v>846</v>
      </c>
      <c r="N3556" s="4" t="s">
        <v>29</v>
      </c>
      <c r="O3556" s="4" t="s">
        <v>26049</v>
      </c>
      <c r="P3556" s="4" t="s">
        <v>29</v>
      </c>
      <c r="Q3556" s="4" t="s">
        <v>26050</v>
      </c>
      <c r="R3556" s="6"/>
      <c r="S3556" s="6"/>
      <c r="T3556" s="6"/>
      <c r="U3556" s="6"/>
      <c r="V3556" s="6"/>
      <c r="W3556" s="6"/>
      <c r="X3556" s="6"/>
      <c r="Y3556" s="6"/>
      <c r="Z3556" s="6"/>
      <c r="AA3556" s="6"/>
    </row>
    <row r="3557" ht="14.25">
      <c r="B3557" s="4" t="s">
        <v>866</v>
      </c>
      <c r="C3557" s="4" t="s">
        <v>26051</v>
      </c>
      <c r="D3557" s="4" t="s">
        <v>172</v>
      </c>
      <c r="E3557" s="4" t="s">
        <v>26052</v>
      </c>
      <c r="F3557" s="4" t="str">
        <f>IFERROR(__XLUDF.DUMMYFUNCTION("PROPER(REGEXREPLACE(D1273,""[^A-Za-z]+ "",""""))"),"Relatia")</f>
        <v>Relatia</v>
      </c>
      <c r="G3557" s="4" t="s">
        <v>26053</v>
      </c>
      <c r="H3557" s="4">
        <v>32</v>
      </c>
      <c r="I3557" s="4" t="s">
        <v>9161</v>
      </c>
      <c r="J3557" s="4" t="str">
        <f>IFERROR(__XLUDF.DUMMYFUNCTION("VLOOKUP(H1273,IMPORTRANGE(""https://docs.google.com/spreadsheets/d/1opm6ZNvGZ7KditA9TuJwrZ25eFLfTNIkrNnY6mhV5Eg"",""list!A1:C115""),3,TRUE)"),"le secteur du marketing")</f>
        <v xml:space="preserve">le secteur du marketing</v>
      </c>
      <c r="K3557" s="5" t="s">
        <v>26054</v>
      </c>
      <c r="L3557" s="5" t="s">
        <v>26055</v>
      </c>
      <c r="M3557" s="4" t="s">
        <v>39</v>
      </c>
      <c r="N3557" s="4" t="s">
        <v>29</v>
      </c>
      <c r="O3557" s="4" t="s">
        <v>26056</v>
      </c>
      <c r="P3557" s="4" t="s">
        <v>29</v>
      </c>
      <c r="Q3557" s="6"/>
      <c r="R3557" s="6"/>
      <c r="S3557" s="6"/>
      <c r="T3557" s="6"/>
      <c r="U3557" s="6"/>
      <c r="V3557" s="6"/>
      <c r="W3557" s="6"/>
      <c r="X3557" s="6"/>
      <c r="Y3557" s="6"/>
      <c r="Z3557" s="6"/>
      <c r="AA3557" s="6"/>
    </row>
    <row r="3558" ht="14.25">
      <c r="B3558" s="4" t="s">
        <v>26057</v>
      </c>
      <c r="C3558" s="4" t="s">
        <v>5579</v>
      </c>
      <c r="D3558" s="4" t="s">
        <v>172</v>
      </c>
      <c r="E3558" s="4" t="s">
        <v>26058</v>
      </c>
      <c r="F3558" s="4" t="str">
        <f>IFERROR(__XLUDF.DUMMYFUNCTION("PROPER(REGEXREPLACE(D1274,""[^A-Za-z]+ "",""""))"),"Ticket Com")</f>
        <v xml:space="preserve">Ticket Com</v>
      </c>
      <c r="G3558" s="4" t="s">
        <v>26059</v>
      </c>
      <c r="H3558" s="4">
        <v>38</v>
      </c>
      <c r="I3558" s="4" t="s">
        <v>9161</v>
      </c>
      <c r="J3558" s="4"/>
      <c r="K3558" s="5" t="s">
        <v>26060</v>
      </c>
      <c r="L3558" s="5" t="s">
        <v>26061</v>
      </c>
      <c r="M3558" s="4" t="s">
        <v>49</v>
      </c>
      <c r="N3558" s="4" t="s">
        <v>29</v>
      </c>
      <c r="O3558" s="4" t="s">
        <v>26062</v>
      </c>
      <c r="P3558" s="4" t="s">
        <v>29</v>
      </c>
      <c r="Q3558" s="4" t="s">
        <v>26063</v>
      </c>
      <c r="R3558" s="6"/>
      <c r="S3558" s="6"/>
      <c r="T3558" s="6"/>
      <c r="U3558" s="6"/>
      <c r="V3558" s="6"/>
      <c r="W3558" s="6"/>
      <c r="X3558" s="6"/>
      <c r="Y3558" s="6"/>
      <c r="Z3558" s="6"/>
      <c r="AA3558" s="6"/>
    </row>
    <row r="3559" ht="14.25">
      <c r="B3559" s="4" t="s">
        <v>4196</v>
      </c>
      <c r="C3559" s="4" t="s">
        <v>26064</v>
      </c>
      <c r="D3559" s="4" t="s">
        <v>26065</v>
      </c>
      <c r="E3559" s="4" t="s">
        <v>26066</v>
      </c>
      <c r="F3559" s="4" t="str">
        <f>IFERROR(__XLUDF.DUMMYFUNCTION("PROPER(REGEXREPLACE(D1275,""[^A-Za-z]+ "",""""))"),"Luckytime")</f>
        <v>Luckytime</v>
      </c>
      <c r="G3559" s="4" t="s">
        <v>26067</v>
      </c>
      <c r="H3559" s="4">
        <v>28</v>
      </c>
      <c r="I3559" s="4" t="s">
        <v>9161</v>
      </c>
      <c r="J3559" s="4" t="str">
        <f>IFERROR(__XLUDF.DUMMYFUNCTION("VLOOKUP(H1275,IMPORTRANGE(""https://docs.google.com/spreadsheets/d/1opm6ZNvGZ7KditA9TuJwrZ25eFLfTNIkrNnY6mhV5Eg"",""list!A1:C115""),3,TRUE)"),"le secteur du marketing")</f>
        <v xml:space="preserve">le secteur du marketing</v>
      </c>
      <c r="K3559" s="5" t="s">
        <v>26068</v>
      </c>
      <c r="L3559" s="5" t="s">
        <v>26069</v>
      </c>
      <c r="M3559" s="6"/>
      <c r="N3559" s="4" t="s">
        <v>29</v>
      </c>
      <c r="O3559" s="4" t="s">
        <v>26070</v>
      </c>
      <c r="P3559" s="4" t="s">
        <v>29</v>
      </c>
      <c r="Q3559" s="4" t="s">
        <v>26071</v>
      </c>
      <c r="R3559" s="6"/>
      <c r="S3559" s="6"/>
      <c r="T3559" s="6"/>
      <c r="U3559" s="6"/>
      <c r="V3559" s="6"/>
      <c r="W3559" s="6"/>
      <c r="X3559" s="6"/>
      <c r="Y3559" s="6"/>
      <c r="Z3559" s="6"/>
      <c r="AA3559" s="6"/>
    </row>
    <row r="3560" ht="14.25">
      <c r="B3560" s="4" t="s">
        <v>1198</v>
      </c>
      <c r="C3560" s="4" t="s">
        <v>26072</v>
      </c>
      <c r="D3560" s="4" t="s">
        <v>7155</v>
      </c>
      <c r="E3560" s="4" t="s">
        <v>26073</v>
      </c>
      <c r="F3560" s="4" t="str">
        <f>IFERROR(__XLUDF.DUMMYFUNCTION("PROPER(REGEXREPLACE(D1276,""[^A-Za-z]+ "",""""))"),"Ibsi")</f>
        <v>Ibsi</v>
      </c>
      <c r="G3560" s="4" t="s">
        <v>26074</v>
      </c>
      <c r="H3560" s="4">
        <v>47</v>
      </c>
      <c r="I3560" s="4" t="s">
        <v>2602</v>
      </c>
      <c r="J3560" s="4" t="str">
        <f>IFERROR(__XLUDF.DUMMYFUNCTION("VLOOKUP(H1276,IMPORTRANGE(""https://docs.google.com/spreadsheets/d/1opm6ZNvGZ7KditA9TuJwrZ25eFLfTNIkrNnY6mhV5Eg"",""list!A1:C115""),3,TRUE)"),"le secteur de la tech")</f>
        <v xml:space="preserve">le secteur de la tech</v>
      </c>
      <c r="K3560" s="5" t="s">
        <v>26075</v>
      </c>
      <c r="L3560" s="5" t="s">
        <v>26076</v>
      </c>
      <c r="M3560" s="4" t="s">
        <v>39</v>
      </c>
      <c r="N3560" s="4" t="s">
        <v>29</v>
      </c>
      <c r="O3560" s="4" t="s">
        <v>26077</v>
      </c>
      <c r="P3560" s="4" t="s">
        <v>29</v>
      </c>
      <c r="Q3560" s="4" t="s">
        <v>26078</v>
      </c>
      <c r="R3560" s="6"/>
      <c r="S3560" s="6"/>
      <c r="T3560" s="6"/>
      <c r="U3560" s="6"/>
      <c r="V3560" s="6"/>
      <c r="W3560" s="6"/>
      <c r="X3560" s="6"/>
      <c r="Y3560" s="6"/>
      <c r="Z3560" s="6"/>
      <c r="AA3560" s="6"/>
    </row>
    <row r="3561" ht="14.25">
      <c r="B3561" s="4" t="s">
        <v>4169</v>
      </c>
      <c r="C3561" s="4" t="s">
        <v>26079</v>
      </c>
      <c r="D3561" s="4" t="s">
        <v>164</v>
      </c>
      <c r="E3561" s="4" t="s">
        <v>26080</v>
      </c>
      <c r="F3561" s="4" t="str">
        <f>IFERROR(__XLUDF.DUMMYFUNCTION("PROPER(REGEXREPLACE(D1277,""[^A-Za-z]+ "",""""))"),"Décorasol")</f>
        <v>Décorasol</v>
      </c>
      <c r="G3561" s="4" t="s">
        <v>26081</v>
      </c>
      <c r="H3561" s="4">
        <v>28</v>
      </c>
      <c r="I3561" s="4" t="s">
        <v>4525</v>
      </c>
      <c r="J3561" s="4"/>
      <c r="K3561" s="5" t="s">
        <v>26082</v>
      </c>
      <c r="L3561" s="5" t="s">
        <v>26083</v>
      </c>
      <c r="M3561" s="4" t="s">
        <v>39</v>
      </c>
      <c r="N3561" s="4" t="s">
        <v>29</v>
      </c>
      <c r="O3561" s="4" t="s">
        <v>26084</v>
      </c>
      <c r="P3561" s="4" t="s">
        <v>29</v>
      </c>
      <c r="Q3561" s="4" t="s">
        <v>26085</v>
      </c>
      <c r="R3561" s="6"/>
      <c r="S3561" s="6"/>
      <c r="T3561" s="6"/>
      <c r="U3561" s="6"/>
      <c r="V3561" s="6"/>
      <c r="W3561" s="6"/>
      <c r="X3561" s="6"/>
      <c r="Y3561" s="6"/>
      <c r="Z3561" s="6"/>
      <c r="AA3561" s="6"/>
    </row>
    <row r="3562" ht="14.25">
      <c r="B3562" s="4" t="s">
        <v>485</v>
      </c>
      <c r="C3562" s="4" t="s">
        <v>1909</v>
      </c>
      <c r="D3562" s="4" t="s">
        <v>87</v>
      </c>
      <c r="E3562" s="4" t="s">
        <v>26086</v>
      </c>
      <c r="F3562" s="4" t="str">
        <f>IFERROR(__XLUDF.DUMMYFUNCTION("PROPER(REGEXREPLACE(D1278,""[^A-Za-z]+ "",""""))"),"Easyoptima")</f>
        <v>Easyoptima</v>
      </c>
      <c r="G3562" s="4" t="s">
        <v>26087</v>
      </c>
      <c r="H3562" s="4">
        <v>11</v>
      </c>
      <c r="I3562" s="4" t="s">
        <v>2602</v>
      </c>
      <c r="J3562" s="4"/>
      <c r="K3562" s="5" t="s">
        <v>26088</v>
      </c>
      <c r="L3562" s="5" t="s">
        <v>26089</v>
      </c>
      <c r="M3562" s="4" t="s">
        <v>1446</v>
      </c>
      <c r="N3562" s="4" t="s">
        <v>29</v>
      </c>
      <c r="O3562" s="4" t="s">
        <v>26090</v>
      </c>
      <c r="P3562" s="4" t="s">
        <v>29</v>
      </c>
      <c r="Q3562" s="4" t="s">
        <v>26091</v>
      </c>
      <c r="R3562" s="6"/>
      <c r="S3562" s="6"/>
      <c r="T3562" s="6"/>
      <c r="U3562" s="6"/>
      <c r="V3562" s="6"/>
      <c r="W3562" s="6"/>
      <c r="X3562" s="6"/>
      <c r="Y3562" s="6"/>
      <c r="Z3562" s="6"/>
      <c r="AA3562" s="6"/>
    </row>
    <row r="3563" ht="14.25">
      <c r="B3563" s="4" t="s">
        <v>355</v>
      </c>
      <c r="C3563" s="4" t="s">
        <v>6544</v>
      </c>
      <c r="D3563" s="4" t="s">
        <v>172</v>
      </c>
      <c r="E3563" s="4" t="s">
        <v>26092</v>
      </c>
      <c r="F3563" s="4" t="str">
        <f>IFERROR(__XLUDF.DUMMYFUNCTION("PROPER(REGEXREPLACE(D1279,""[^A-Za-z]+ "",""""))"),"Inovagèsnrc")</f>
        <v>Inovagèsnrc</v>
      </c>
      <c r="G3563" s="4" t="s">
        <v>26093</v>
      </c>
      <c r="H3563" s="4">
        <v>45</v>
      </c>
      <c r="I3563" s="4" t="s">
        <v>2602</v>
      </c>
      <c r="J3563" s="4" t="str">
        <f>IFERROR(__XLUDF.DUMMYFUNCTION("VLOOKUP(H1279,IMPORTRANGE(""https://docs.google.com/spreadsheets/d/1opm6ZNvGZ7KditA9TuJwrZ25eFLfTNIkrNnY6mhV5Eg"",""list!A1:C115""),3,TRUE)"),"le secteur de la tech")</f>
        <v xml:space="preserve">le secteur de la tech</v>
      </c>
      <c r="K3563" s="5" t="s">
        <v>26094</v>
      </c>
      <c r="L3563" s="5" t="s">
        <v>26095</v>
      </c>
      <c r="M3563" s="4" t="s">
        <v>846</v>
      </c>
      <c r="N3563" s="4" t="s">
        <v>29</v>
      </c>
      <c r="O3563" s="4" t="s">
        <v>26096</v>
      </c>
      <c r="P3563" s="4" t="s">
        <v>29</v>
      </c>
      <c r="Q3563" s="4" t="s">
        <v>26097</v>
      </c>
      <c r="R3563" s="6"/>
      <c r="S3563" s="6"/>
      <c r="T3563" s="6"/>
      <c r="U3563" s="6"/>
      <c r="V3563" s="6"/>
      <c r="W3563" s="6"/>
      <c r="X3563" s="6"/>
      <c r="Y3563" s="6"/>
      <c r="Z3563" s="6"/>
      <c r="AA3563" s="6"/>
    </row>
    <row r="3564" ht="14.25">
      <c r="B3564" s="4" t="s">
        <v>2119</v>
      </c>
      <c r="C3564" s="4" t="s">
        <v>26098</v>
      </c>
      <c r="D3564" s="4" t="s">
        <v>112</v>
      </c>
      <c r="E3564" s="4" t="s">
        <v>26099</v>
      </c>
      <c r="F3564" s="4" t="str">
        <f>IFERROR(__XLUDF.DUMMYFUNCTION("PROPER(REGEXREPLACE(D1280,""[^A-Za-z]+ "",""""))"),"Agensia")</f>
        <v>Agensia</v>
      </c>
      <c r="G3564" s="4" t="s">
        <v>26100</v>
      </c>
      <c r="H3564" s="4">
        <v>19</v>
      </c>
      <c r="I3564" s="4" t="s">
        <v>4067</v>
      </c>
      <c r="J3564" s="4"/>
      <c r="K3564" s="5" t="s">
        <v>26101</v>
      </c>
      <c r="L3564" s="5" t="s">
        <v>26102</v>
      </c>
      <c r="M3564" s="4" t="s">
        <v>651</v>
      </c>
      <c r="N3564" s="4" t="s">
        <v>29</v>
      </c>
      <c r="O3564" s="4" t="s">
        <v>26103</v>
      </c>
      <c r="P3564" s="4" t="s">
        <v>29</v>
      </c>
      <c r="Q3564" s="6"/>
      <c r="R3564" s="6"/>
      <c r="S3564" s="6"/>
      <c r="T3564" s="6"/>
      <c r="U3564" s="6"/>
      <c r="V3564" s="6"/>
      <c r="W3564" s="6"/>
      <c r="X3564" s="6"/>
      <c r="Y3564" s="6"/>
      <c r="Z3564" s="6"/>
      <c r="AA3564" s="6"/>
    </row>
    <row r="3565" ht="14.25">
      <c r="B3565" s="4" t="s">
        <v>7288</v>
      </c>
      <c r="C3565" s="4" t="s">
        <v>7154</v>
      </c>
      <c r="D3565" s="4" t="s">
        <v>26104</v>
      </c>
      <c r="E3565" s="4" t="s">
        <v>26105</v>
      </c>
      <c r="F3565" s="4" t="str">
        <f>IFERROR(__XLUDF.DUMMYFUNCTION("PROPER(REGEXREPLACE(D1281,""[^A-Za-z]+ "",""""))"),"Mainpaces")</f>
        <v>Mainpaces</v>
      </c>
      <c r="G3565" s="4" t="s">
        <v>26106</v>
      </c>
      <c r="H3565" s="4">
        <v>10</v>
      </c>
      <c r="I3565" s="4" t="s">
        <v>4067</v>
      </c>
      <c r="J3565" s="4" t="str">
        <f>IFERROR(__XLUDF.DUMMYFUNCTION("VLOOKUP(H1281,IMPORTRANGE(""https://docs.google.com/spreadsheets/d/1opm6ZNvGZ7KditA9TuJwrZ25eFLfTNIkrNnY6mhV5Eg"",""list!A1:C115""),3,TRUE)"),"le secteur du conseil en management")</f>
        <v xml:space="preserve">le secteur du conseil en management</v>
      </c>
      <c r="K3565" s="5" t="s">
        <v>26107</v>
      </c>
      <c r="L3565" s="5" t="s">
        <v>26108</v>
      </c>
      <c r="M3565" s="6"/>
      <c r="N3565" s="4" t="s">
        <v>29</v>
      </c>
      <c r="O3565" s="4" t="s">
        <v>26109</v>
      </c>
      <c r="P3565" s="4" t="s">
        <v>29</v>
      </c>
      <c r="Q3565" s="4" t="s">
        <v>26110</v>
      </c>
      <c r="R3565" s="6"/>
      <c r="S3565" s="6"/>
      <c r="T3565" s="6"/>
      <c r="U3565" s="6"/>
      <c r="V3565" s="6"/>
      <c r="W3565" s="6"/>
      <c r="X3565" s="6"/>
      <c r="Y3565" s="6"/>
      <c r="Z3565" s="6"/>
      <c r="AA3565" s="6"/>
    </row>
    <row r="3566" ht="14.25">
      <c r="B3566" s="4" t="s">
        <v>1596</v>
      </c>
      <c r="C3566" s="4" t="s">
        <v>26111</v>
      </c>
      <c r="D3566" s="4" t="s">
        <v>26112</v>
      </c>
      <c r="E3566" s="4" t="s">
        <v>26113</v>
      </c>
      <c r="F3566" s="4" t="str">
        <f>IFERROR(__XLUDF.DUMMYFUNCTION("PROPER(REGEXREPLACE(D1282,""[^A-Za-z]+ "",""""))"),"Delaware Consulting")</f>
        <v xml:space="preserve">Delaware Consulting</v>
      </c>
      <c r="G3566" s="4" t="s">
        <v>26114</v>
      </c>
      <c r="H3566" s="4">
        <v>15</v>
      </c>
      <c r="I3566" s="4" t="s">
        <v>9161</v>
      </c>
      <c r="J3566" s="4"/>
      <c r="K3566" s="5" t="s">
        <v>26115</v>
      </c>
      <c r="L3566" s="5" t="s">
        <v>26116</v>
      </c>
      <c r="M3566" s="4" t="s">
        <v>185</v>
      </c>
      <c r="N3566" s="4" t="s">
        <v>29</v>
      </c>
      <c r="O3566" s="4" t="s">
        <v>26117</v>
      </c>
      <c r="P3566" s="4" t="s">
        <v>4340</v>
      </c>
      <c r="Q3566" s="6"/>
      <c r="R3566" s="6"/>
      <c r="S3566" s="6"/>
      <c r="T3566" s="6"/>
      <c r="U3566" s="6"/>
      <c r="V3566" s="6"/>
      <c r="W3566" s="6"/>
      <c r="X3566" s="6"/>
      <c r="Y3566" s="6"/>
      <c r="Z3566" s="6"/>
      <c r="AA3566" s="6"/>
    </row>
    <row r="3567" ht="14.25">
      <c r="B3567" s="4" t="s">
        <v>2249</v>
      </c>
      <c r="C3567" s="4" t="s">
        <v>26118</v>
      </c>
      <c r="D3567" s="4" t="s">
        <v>62</v>
      </c>
      <c r="E3567" s="5" t="s">
        <v>26119</v>
      </c>
      <c r="F3567" s="4" t="str">
        <f>IFERROR(__XLUDF.DUMMYFUNCTION("PROPER(REGEXREPLACE(D1283,""[^A-Za-z]+ "",""""))"),"Innocraft")</f>
        <v>Innocraft</v>
      </c>
      <c r="G3567" s="4" t="s">
        <v>26120</v>
      </c>
      <c r="H3567" s="4">
        <v>11</v>
      </c>
      <c r="I3567" s="4" t="s">
        <v>4067</v>
      </c>
      <c r="J3567" s="4"/>
      <c r="K3567" s="5" t="s">
        <v>26121</v>
      </c>
      <c r="L3567" s="5" t="s">
        <v>26122</v>
      </c>
      <c r="M3567" s="4" t="s">
        <v>295</v>
      </c>
      <c r="N3567" s="4" t="s">
        <v>29</v>
      </c>
      <c r="O3567" s="6"/>
      <c r="P3567" s="6"/>
      <c r="Q3567" s="6"/>
      <c r="R3567" s="6"/>
      <c r="S3567" s="6"/>
      <c r="T3567" s="6"/>
      <c r="U3567" s="6"/>
      <c r="V3567" s="6"/>
      <c r="W3567" s="6"/>
      <c r="X3567" s="6"/>
      <c r="Y3567" s="6"/>
      <c r="Z3567" s="6"/>
      <c r="AA3567" s="6"/>
    </row>
    <row r="3568" ht="14.25">
      <c r="B3568" s="4" t="s">
        <v>679</v>
      </c>
      <c r="C3568" s="4" t="s">
        <v>26123</v>
      </c>
      <c r="D3568" s="4" t="s">
        <v>172</v>
      </c>
      <c r="E3568" s="4" t="s">
        <v>26124</v>
      </c>
      <c r="F3568" s="4" t="str">
        <f>IFERROR(__XLUDF.DUMMYFUNCTION("PROPER(REGEXREPLACE(D1284,""[^A-Za-z]+ "",""""))"),"Lja Bureautique Services")</f>
        <v xml:space="preserve">Lja Bureautique Services</v>
      </c>
      <c r="G3568" s="4" t="s">
        <v>26125</v>
      </c>
      <c r="H3568" s="4">
        <v>14</v>
      </c>
      <c r="I3568" s="4" t="s">
        <v>4525</v>
      </c>
      <c r="J3568" s="4"/>
      <c r="K3568" s="5" t="s">
        <v>26126</v>
      </c>
      <c r="L3568" s="5" t="s">
        <v>26127</v>
      </c>
      <c r="M3568" s="4" t="s">
        <v>846</v>
      </c>
      <c r="N3568" s="4" t="s">
        <v>29</v>
      </c>
      <c r="O3568" s="4" t="s">
        <v>26128</v>
      </c>
      <c r="P3568" s="4" t="s">
        <v>29</v>
      </c>
      <c r="Q3568" s="4" t="s">
        <v>26129</v>
      </c>
      <c r="R3568" s="6"/>
      <c r="S3568" s="6"/>
      <c r="T3568" s="6"/>
      <c r="U3568" s="6"/>
      <c r="V3568" s="6"/>
      <c r="W3568" s="6"/>
      <c r="X3568" s="6"/>
      <c r="Y3568" s="6"/>
      <c r="Z3568" s="6"/>
      <c r="AA3568" s="6"/>
    </row>
    <row r="3569" ht="14.25">
      <c r="B3569" s="4" t="s">
        <v>622</v>
      </c>
      <c r="C3569" s="4" t="s">
        <v>26130</v>
      </c>
      <c r="D3569" s="4" t="s">
        <v>26131</v>
      </c>
      <c r="E3569" s="4" t="s">
        <v>26132</v>
      </c>
      <c r="F3569" s="4" t="str">
        <f>IFERROR(__XLUDF.DUMMYFUNCTION("PROPER(REGEXREPLACE(D1285,""[^A-Za-z]+ "",""""))"),"Reciproque")</f>
        <v>Reciproque</v>
      </c>
      <c r="G3569" s="4" t="s">
        <v>26133</v>
      </c>
      <c r="H3569" s="4">
        <v>17</v>
      </c>
      <c r="I3569" s="4" t="s">
        <v>4067</v>
      </c>
      <c r="J3569" s="4"/>
      <c r="K3569" s="5" t="s">
        <v>26134</v>
      </c>
      <c r="L3569" s="5" t="s">
        <v>26135</v>
      </c>
      <c r="M3569" s="4" t="s">
        <v>39</v>
      </c>
      <c r="N3569" s="4" t="s">
        <v>29</v>
      </c>
      <c r="O3569" s="4" t="s">
        <v>26136</v>
      </c>
      <c r="P3569" s="4" t="s">
        <v>29</v>
      </c>
      <c r="Q3569" s="4" t="s">
        <v>26137</v>
      </c>
      <c r="R3569" s="6"/>
      <c r="S3569" s="6"/>
      <c r="T3569" s="6"/>
      <c r="U3569" s="6"/>
      <c r="V3569" s="6"/>
      <c r="W3569" s="6"/>
      <c r="X3569" s="6"/>
      <c r="Y3569" s="6"/>
      <c r="Z3569" s="6"/>
      <c r="AA3569" s="6"/>
    </row>
    <row r="3570" ht="14.25">
      <c r="B3570" s="4" t="s">
        <v>222</v>
      </c>
      <c r="C3570" s="4" t="s">
        <v>26138</v>
      </c>
      <c r="D3570" s="4" t="s">
        <v>7759</v>
      </c>
      <c r="E3570" s="4" t="s">
        <v>26139</v>
      </c>
      <c r="F3570" s="4" t="str">
        <f>IFERROR(__XLUDF.DUMMYFUNCTION("PROPER(REGEXREPLACE(D1286,""[^A-Za-z]+ "",""""))"),"Orium")</f>
        <v>Orium</v>
      </c>
      <c r="G3570" s="4" t="s">
        <v>26140</v>
      </c>
      <c r="H3570" s="4">
        <v>15</v>
      </c>
      <c r="I3570" s="4" t="s">
        <v>4525</v>
      </c>
      <c r="J3570" s="4"/>
      <c r="K3570" s="5" t="s">
        <v>26141</v>
      </c>
      <c r="L3570" s="5" t="s">
        <v>26142</v>
      </c>
      <c r="M3570" s="4" t="s">
        <v>1711</v>
      </c>
      <c r="N3570" s="4" t="s">
        <v>29</v>
      </c>
      <c r="O3570" s="4" t="s">
        <v>26143</v>
      </c>
      <c r="P3570" s="4" t="s">
        <v>29</v>
      </c>
      <c r="Q3570" s="4" t="s">
        <v>26144</v>
      </c>
      <c r="R3570" s="6"/>
      <c r="S3570" s="6"/>
      <c r="T3570" s="6"/>
      <c r="U3570" s="6"/>
      <c r="V3570" s="6"/>
      <c r="W3570" s="6"/>
      <c r="X3570" s="6"/>
      <c r="Y3570" s="6"/>
      <c r="Z3570" s="6"/>
      <c r="AA3570" s="6"/>
    </row>
    <row r="3571" ht="14.25">
      <c r="B3571" s="4" t="s">
        <v>21089</v>
      </c>
      <c r="C3571" s="4" t="s">
        <v>26145</v>
      </c>
      <c r="D3571" s="4" t="s">
        <v>3611</v>
      </c>
      <c r="E3571" s="4" t="s">
        <v>26146</v>
      </c>
      <c r="F3571" s="4" t="str">
        <f>IFERROR(__XLUDF.DUMMYFUNCTION("PROPER(REGEXREPLACE(D1287,""[^A-Za-z]+ "",""""))"),"Valessentia")</f>
        <v>Valessentia</v>
      </c>
      <c r="G3571" s="4" t="s">
        <v>26147</v>
      </c>
      <c r="H3571" s="4">
        <v>12</v>
      </c>
      <c r="I3571" s="4" t="s">
        <v>4067</v>
      </c>
      <c r="J3571" s="4" t="str">
        <f>IFERROR(__XLUDF.DUMMYFUNCTION("VLOOKUP(H1287,IMPORTRANGE(""https://docs.google.com/spreadsheets/d/1opm6ZNvGZ7KditA9TuJwrZ25eFLfTNIkrNnY6mhV5Eg"",""list!A1:C115""),3,TRUE)"),"le secteur du conseil en management")</f>
        <v xml:space="preserve">le secteur du conseil en management</v>
      </c>
      <c r="K3571" s="5" t="s">
        <v>26148</v>
      </c>
      <c r="L3571" s="5" t="s">
        <v>26149</v>
      </c>
      <c r="M3571" s="4" t="s">
        <v>39</v>
      </c>
      <c r="N3571" s="4" t="s">
        <v>29</v>
      </c>
      <c r="O3571" s="4" t="s">
        <v>26150</v>
      </c>
      <c r="P3571" s="4" t="s">
        <v>1938</v>
      </c>
      <c r="Q3571" s="6"/>
      <c r="R3571" s="6"/>
      <c r="S3571" s="6"/>
      <c r="T3571" s="6"/>
      <c r="U3571" s="6"/>
      <c r="V3571" s="6"/>
      <c r="W3571" s="6"/>
      <c r="X3571" s="6"/>
      <c r="Y3571" s="6"/>
      <c r="Z3571" s="6"/>
      <c r="AA3571" s="6"/>
    </row>
    <row r="3572" ht="14.25">
      <c r="B3572" s="4" t="s">
        <v>222</v>
      </c>
      <c r="C3572" s="4" t="s">
        <v>26151</v>
      </c>
      <c r="D3572" s="4" t="s">
        <v>26152</v>
      </c>
      <c r="E3572" s="4" t="s">
        <v>26153</v>
      </c>
      <c r="F3572" s="4" t="str">
        <f>IFERROR(__XLUDF.DUMMYFUNCTION("PROPER(REGEXREPLACE(D1288,""[^A-Za-z]+ "",""""))"),"Openhost")</f>
        <v>Openhost</v>
      </c>
      <c r="G3572" s="4" t="s">
        <v>26154</v>
      </c>
      <c r="H3572" s="4">
        <v>14</v>
      </c>
      <c r="I3572" s="4" t="s">
        <v>2602</v>
      </c>
      <c r="J3572" s="4" t="str">
        <f>IFERROR(__XLUDF.DUMMYFUNCTION("VLOOKUP(H1288,IMPORTRANGE(""https://docs.google.com/spreadsheets/d/1opm6ZNvGZ7KditA9TuJwrZ25eFLfTNIkrNnY6mhV5Eg"",""list!A1:C115""),3,TRUE)"),"le secteur de la tech")</f>
        <v xml:space="preserve">le secteur de la tech</v>
      </c>
      <c r="K3572" s="5" t="s">
        <v>26155</v>
      </c>
      <c r="L3572" s="5" t="s">
        <v>26156</v>
      </c>
      <c r="M3572" s="4" t="s">
        <v>1711</v>
      </c>
      <c r="N3572" s="4" t="s">
        <v>29</v>
      </c>
      <c r="O3572" s="4" t="s">
        <v>26157</v>
      </c>
      <c r="P3572" s="4" t="s">
        <v>29</v>
      </c>
      <c r="Q3572" s="4" t="s">
        <v>26158</v>
      </c>
      <c r="R3572" s="6"/>
      <c r="S3572" s="6"/>
      <c r="T3572" s="6"/>
      <c r="U3572" s="6"/>
      <c r="V3572" s="6"/>
      <c r="W3572" s="6"/>
      <c r="X3572" s="6"/>
      <c r="Y3572" s="6"/>
      <c r="Z3572" s="6"/>
      <c r="AA3572" s="6"/>
    </row>
    <row r="3573" ht="14.25">
      <c r="B3573" s="4" t="s">
        <v>26159</v>
      </c>
      <c r="C3573" s="4" t="s">
        <v>26160</v>
      </c>
      <c r="D3573" s="4" t="s">
        <v>341</v>
      </c>
      <c r="E3573" s="4" t="s">
        <v>26161</v>
      </c>
      <c r="F3573" s="4" t="str">
        <f>IFERROR(__XLUDF.DUMMYFUNCTION("PROPER(REGEXREPLACE(D1289,""[^A-Za-z]+ "",""""))"),"Resolving")</f>
        <v>Resolving</v>
      </c>
      <c r="G3573" s="4" t="s">
        <v>26162</v>
      </c>
      <c r="H3573" s="4">
        <v>9</v>
      </c>
      <c r="I3573" s="4" t="s">
        <v>2602</v>
      </c>
      <c r="J3573" s="4"/>
      <c r="K3573" s="5" t="s">
        <v>26163</v>
      </c>
      <c r="L3573" s="5" t="s">
        <v>26164</v>
      </c>
      <c r="M3573" s="4" t="s">
        <v>39</v>
      </c>
      <c r="N3573" s="4" t="s">
        <v>29</v>
      </c>
      <c r="O3573" s="4" t="s">
        <v>26165</v>
      </c>
      <c r="P3573" s="4" t="s">
        <v>29</v>
      </c>
      <c r="Q3573" s="4" t="s">
        <v>26166</v>
      </c>
      <c r="R3573" s="6"/>
      <c r="S3573" s="6"/>
      <c r="T3573" s="6"/>
      <c r="U3573" s="6"/>
      <c r="V3573" s="6"/>
      <c r="W3573" s="6"/>
      <c r="X3573" s="6"/>
      <c r="Y3573" s="6"/>
      <c r="Z3573" s="6"/>
      <c r="AA3573" s="6"/>
    </row>
    <row r="3574" ht="14.25">
      <c r="B3574" s="4" t="s">
        <v>330</v>
      </c>
      <c r="C3574" s="4" t="s">
        <v>26167</v>
      </c>
      <c r="D3574" s="4" t="s">
        <v>26168</v>
      </c>
      <c r="E3574" s="4" t="s">
        <v>26169</v>
      </c>
      <c r="F3574" s="4" t="str">
        <f>IFERROR(__XLUDF.DUMMYFUNCTION("PROPER(REGEXREPLACE(D1290,""[^A-Za-z]+ "",""""))"),"Le Groupe Ambiances Flammes")</f>
        <v xml:space="preserve">Le Groupe Ambiances Flammes</v>
      </c>
      <c r="G3574" s="4" t="s">
        <v>26170</v>
      </c>
      <c r="H3574" s="4">
        <v>23</v>
      </c>
      <c r="I3574" s="4" t="s">
        <v>4525</v>
      </c>
      <c r="J3574" s="4" t="str">
        <f>IFERROR(__XLUDF.DUMMYFUNCTION("VLOOKUP(H1290,IMPORTRANGE(""https://docs.google.com/spreadsheets/d/1opm6ZNvGZ7KditA9TuJwrZ25eFLfTNIkrNnY6mhV5Eg"",""list!A1:C115""),3,TRUE)"),"le secteur du retail")</f>
        <v xml:space="preserve">le secteur du retail</v>
      </c>
      <c r="K3574" s="5" t="s">
        <v>26171</v>
      </c>
      <c r="L3574" s="5" t="s">
        <v>26172</v>
      </c>
      <c r="M3574" s="6"/>
      <c r="N3574" s="4" t="s">
        <v>29</v>
      </c>
      <c r="O3574" s="4" t="s">
        <v>26173</v>
      </c>
      <c r="P3574" s="4" t="s">
        <v>29</v>
      </c>
      <c r="Q3574" s="4" t="s">
        <v>26174</v>
      </c>
      <c r="R3574" s="6"/>
      <c r="S3574" s="6"/>
      <c r="T3574" s="6"/>
      <c r="U3574" s="6"/>
      <c r="V3574" s="6"/>
      <c r="W3574" s="6"/>
      <c r="X3574" s="6"/>
      <c r="Y3574" s="6"/>
      <c r="Z3574" s="6"/>
      <c r="AA3574" s="6"/>
    </row>
    <row r="3575" ht="14.25">
      <c r="B3575" s="4" t="s">
        <v>785</v>
      </c>
      <c r="C3575" s="4" t="s">
        <v>26175</v>
      </c>
      <c r="D3575" s="4" t="s">
        <v>26176</v>
      </c>
      <c r="E3575" s="4" t="s">
        <v>26177</v>
      </c>
      <c r="F3575" s="4" t="str">
        <f>IFERROR(__XLUDF.DUMMYFUNCTION("PROPER(REGEXREPLACE(D1291,""[^A-Za-z]+ "",""""))"),"Five Nines")</f>
        <v xml:space="preserve">Five Nines</v>
      </c>
      <c r="G3575" s="4" t="s">
        <v>26178</v>
      </c>
      <c r="H3575" s="4">
        <v>27</v>
      </c>
      <c r="I3575" s="4" t="s">
        <v>2602</v>
      </c>
      <c r="J3575" s="4" t="str">
        <f>IFERROR(__XLUDF.DUMMYFUNCTION("VLOOKUP(H1291,IMPORTRANGE(""https://docs.google.com/spreadsheets/d/1opm6ZNvGZ7KditA9TuJwrZ25eFLfTNIkrNnY6mhV5Eg"",""list!A1:C115""),3,TRUE)"),"le secteur de la tech")</f>
        <v xml:space="preserve">le secteur de la tech</v>
      </c>
      <c r="K3575" s="5" t="s">
        <v>26179</v>
      </c>
      <c r="L3575" s="5" t="s">
        <v>26180</v>
      </c>
      <c r="M3575" s="6"/>
      <c r="N3575" s="4" t="s">
        <v>29</v>
      </c>
      <c r="O3575" s="4" t="s">
        <v>26181</v>
      </c>
      <c r="P3575" s="4" t="s">
        <v>29</v>
      </c>
      <c r="Q3575" s="4" t="s">
        <v>26182</v>
      </c>
      <c r="R3575" s="6"/>
      <c r="S3575" s="6"/>
      <c r="T3575" s="6"/>
      <c r="U3575" s="6"/>
      <c r="V3575" s="6"/>
      <c r="W3575" s="6"/>
      <c r="X3575" s="6"/>
      <c r="Y3575" s="6"/>
      <c r="Z3575" s="6"/>
      <c r="AA3575" s="6"/>
    </row>
    <row r="3576" ht="14.25">
      <c r="B3576" s="4" t="s">
        <v>15564</v>
      </c>
      <c r="C3576" s="4" t="s">
        <v>26183</v>
      </c>
      <c r="D3576" s="4" t="s">
        <v>3982</v>
      </c>
      <c r="E3576" s="4" t="s">
        <v>26184</v>
      </c>
      <c r="F3576" s="4" t="str">
        <f>IFERROR(__XLUDF.DUMMYFUNCTION("PROPER(REGEXREPLACE(D1292,""[^A-Za-z]+ "",""""))"),"Hector Saxe Paris")</f>
        <v xml:space="preserve">Hector Saxe Paris</v>
      </c>
      <c r="G3576" s="4" t="s">
        <v>26185</v>
      </c>
      <c r="H3576" s="4">
        <v>11</v>
      </c>
      <c r="I3576" s="4" t="s">
        <v>4525</v>
      </c>
      <c r="J3576" s="4" t="str">
        <f>IFERROR(__XLUDF.DUMMYFUNCTION("VLOOKUP(H1292,IMPORTRANGE(""https://docs.google.com/spreadsheets/d/1opm6ZNvGZ7KditA9TuJwrZ25eFLfTNIkrNnY6mhV5Eg"",""list!A1:C115""),3,TRUE)"),"le secteur du retail")</f>
        <v xml:space="preserve">le secteur du retail</v>
      </c>
      <c r="K3576" s="5" t="s">
        <v>26186</v>
      </c>
      <c r="L3576" s="5" t="s">
        <v>26187</v>
      </c>
      <c r="M3576" s="4" t="s">
        <v>39</v>
      </c>
      <c r="N3576" s="4" t="s">
        <v>29</v>
      </c>
      <c r="O3576" s="4" t="s">
        <v>26188</v>
      </c>
      <c r="P3576" s="4" t="s">
        <v>29</v>
      </c>
      <c r="Q3576" s="6"/>
      <c r="R3576" s="6"/>
      <c r="S3576" s="6"/>
      <c r="T3576" s="6"/>
      <c r="U3576" s="6"/>
      <c r="V3576" s="6"/>
      <c r="W3576" s="6"/>
      <c r="X3576" s="6"/>
      <c r="Y3576" s="6"/>
      <c r="Z3576" s="6"/>
      <c r="AA3576" s="6"/>
    </row>
    <row r="3577" ht="14.25">
      <c r="B3577" s="4" t="s">
        <v>2932</v>
      </c>
      <c r="C3577" s="4" t="s">
        <v>26189</v>
      </c>
      <c r="D3577" s="4" t="s">
        <v>26190</v>
      </c>
      <c r="E3577" s="4" t="s">
        <v>26191</v>
      </c>
      <c r="F3577" s="4" t="str">
        <f>IFERROR(__XLUDF.DUMMYFUNCTION("PROPER(REGEXREPLACE(D1293,""[^A-Za-z]+ "",""""))"),"Xrator")</f>
        <v>Xrator</v>
      </c>
      <c r="G3577" s="4" t="s">
        <v>26192</v>
      </c>
      <c r="H3577" s="4">
        <v>16</v>
      </c>
      <c r="I3577" s="4" t="s">
        <v>9264</v>
      </c>
      <c r="J3577" s="4"/>
      <c r="K3577" s="5" t="s">
        <v>26193</v>
      </c>
      <c r="L3577" s="5" t="s">
        <v>26194</v>
      </c>
      <c r="M3577" s="4" t="s">
        <v>846</v>
      </c>
      <c r="N3577" s="4" t="s">
        <v>29</v>
      </c>
      <c r="O3577" s="4" t="s">
        <v>26195</v>
      </c>
      <c r="P3577" s="4" t="s">
        <v>8427</v>
      </c>
      <c r="Q3577" s="6"/>
      <c r="R3577" s="6"/>
      <c r="S3577" s="6"/>
      <c r="T3577" s="6"/>
      <c r="U3577" s="6"/>
      <c r="V3577" s="6"/>
      <c r="W3577" s="6"/>
      <c r="X3577" s="6"/>
      <c r="Y3577" s="6"/>
      <c r="Z3577" s="6"/>
      <c r="AA3577" s="6"/>
    </row>
    <row r="3578" ht="14.25">
      <c r="B3578" s="4" t="s">
        <v>866</v>
      </c>
      <c r="C3578" s="4" t="s">
        <v>7198</v>
      </c>
      <c r="D3578" s="4" t="s">
        <v>172</v>
      </c>
      <c r="E3578" s="4" t="s">
        <v>10365</v>
      </c>
      <c r="F3578" s="4" t="str">
        <f>IFERROR(__XLUDF.DUMMYFUNCTION("PROPER(REGEXREPLACE(D1294,""[^A-Za-z]+ "",""""))"),"Groupe Sebi")</f>
        <v xml:space="preserve">Groupe Sebi</v>
      </c>
      <c r="G3578" s="4" t="s">
        <v>26196</v>
      </c>
      <c r="H3578" s="4">
        <v>32</v>
      </c>
      <c r="I3578" s="4" t="s">
        <v>4525</v>
      </c>
      <c r="J3578" s="4"/>
      <c r="K3578" s="5" t="s">
        <v>26197</v>
      </c>
      <c r="L3578" s="5" t="s">
        <v>26198</v>
      </c>
      <c r="M3578" s="4" t="s">
        <v>10367</v>
      </c>
      <c r="N3578" s="4" t="s">
        <v>29</v>
      </c>
      <c r="O3578" s="4" t="s">
        <v>26199</v>
      </c>
      <c r="P3578" s="4" t="s">
        <v>29</v>
      </c>
      <c r="Q3578" s="6"/>
      <c r="R3578" s="6"/>
      <c r="S3578" s="6"/>
      <c r="T3578" s="6"/>
      <c r="U3578" s="6"/>
      <c r="V3578" s="6"/>
      <c r="W3578" s="6"/>
      <c r="X3578" s="6"/>
      <c r="Y3578" s="6"/>
      <c r="Z3578" s="6"/>
      <c r="AA3578" s="6"/>
    </row>
    <row r="3579" ht="14.25">
      <c r="B3579" s="4" t="s">
        <v>3359</v>
      </c>
      <c r="C3579" s="4" t="s">
        <v>26200</v>
      </c>
      <c r="D3579" s="4" t="s">
        <v>26201</v>
      </c>
      <c r="E3579" s="4" t="s">
        <v>26202</v>
      </c>
      <c r="F3579" s="4" t="str">
        <f>IFERROR(__XLUDF.DUMMYFUNCTION("PROPER(REGEXREPLACE(D1295,""[^A-Za-z]+ "",""""))"),"Linkup")</f>
        <v>Linkup</v>
      </c>
      <c r="G3579" s="4" t="s">
        <v>26203</v>
      </c>
      <c r="H3579" s="4">
        <v>35</v>
      </c>
      <c r="I3579" s="4" t="s">
        <v>9161</v>
      </c>
      <c r="J3579" s="4" t="str">
        <f>IFERROR(__XLUDF.DUMMYFUNCTION("VLOOKUP(H1295,IMPORTRANGE(""https://docs.google.com/spreadsheets/d/1opm6ZNvGZ7KditA9TuJwrZ25eFLfTNIkrNnY6mhV5Eg"",""list!A1:C115""),3,TRUE)"),"le secteur du marketing")</f>
        <v xml:space="preserve">le secteur du marketing</v>
      </c>
      <c r="K3579" s="5" t="s">
        <v>26204</v>
      </c>
      <c r="L3579" s="5" t="s">
        <v>26205</v>
      </c>
      <c r="M3579" s="6"/>
      <c r="N3579" s="4" t="s">
        <v>29</v>
      </c>
      <c r="O3579" s="4" t="s">
        <v>26206</v>
      </c>
      <c r="P3579" s="4" t="s">
        <v>29</v>
      </c>
      <c r="Q3579" s="4" t="s">
        <v>26207</v>
      </c>
      <c r="R3579" s="6"/>
      <c r="S3579" s="6"/>
      <c r="T3579" s="6"/>
      <c r="U3579" s="6"/>
      <c r="V3579" s="6"/>
      <c r="W3579" s="6"/>
      <c r="X3579" s="6"/>
      <c r="Y3579" s="6"/>
      <c r="Z3579" s="6"/>
      <c r="AA3579" s="6"/>
    </row>
    <row r="3580" ht="14.25">
      <c r="B3580" s="4" t="s">
        <v>808</v>
      </c>
      <c r="C3580" s="4" t="s">
        <v>26208</v>
      </c>
      <c r="D3580" s="4" t="s">
        <v>44</v>
      </c>
      <c r="E3580" s="4" t="s">
        <v>26209</v>
      </c>
      <c r="F3580" s="4" t="str">
        <f>IFERROR(__XLUDF.DUMMYFUNCTION("PROPER(REGEXREPLACE(D1296,""[^A-Za-z]+ "",""""))"),"Mbvsi")</f>
        <v>Mbvsi</v>
      </c>
      <c r="G3580" s="4" t="s">
        <v>26210</v>
      </c>
      <c r="H3580" s="4">
        <v>15</v>
      </c>
      <c r="I3580" s="4" t="s">
        <v>2602</v>
      </c>
      <c r="J3580" s="4"/>
      <c r="K3580" s="5" t="s">
        <v>26211</v>
      </c>
      <c r="L3580" s="5" t="s">
        <v>26212</v>
      </c>
      <c r="M3580" s="4" t="s">
        <v>39</v>
      </c>
      <c r="N3580" s="4" t="s">
        <v>29</v>
      </c>
      <c r="O3580" s="4" t="s">
        <v>26213</v>
      </c>
      <c r="P3580" s="4" t="s">
        <v>29</v>
      </c>
      <c r="Q3580" s="4" t="s">
        <v>26214</v>
      </c>
      <c r="R3580" s="6"/>
      <c r="S3580" s="6"/>
      <c r="T3580" s="6"/>
      <c r="U3580" s="6"/>
      <c r="V3580" s="6"/>
      <c r="W3580" s="6"/>
      <c r="X3580" s="6"/>
      <c r="Y3580" s="6"/>
      <c r="Z3580" s="6"/>
      <c r="AA3580" s="6"/>
    </row>
    <row r="3581" ht="14.25">
      <c r="B3581" s="4" t="s">
        <v>26215</v>
      </c>
      <c r="C3581" s="4" t="s">
        <v>26216</v>
      </c>
      <c r="D3581" s="4" t="s">
        <v>62</v>
      </c>
      <c r="E3581" s="4" t="s">
        <v>26217</v>
      </c>
      <c r="F3581" s="4" t="str">
        <f>IFERROR(__XLUDF.DUMMYFUNCTION("PROPER(REGEXREPLACE(D1297,""[^A-Za-z]+ "",""""))"),"Milo")</f>
        <v>Milo</v>
      </c>
      <c r="G3581" s="4" t="s">
        <v>26218</v>
      </c>
      <c r="H3581" s="4">
        <v>44</v>
      </c>
      <c r="I3581" s="4" t="s">
        <v>2602</v>
      </c>
      <c r="J3581" s="4" t="str">
        <f>IFERROR(__XLUDF.DUMMYFUNCTION("VLOOKUP(H1297,IMPORTRANGE(""https://docs.google.com/spreadsheets/d/1opm6ZNvGZ7KditA9TuJwrZ25eFLfTNIkrNnY6mhV5Eg"",""list!A1:C115""),3,TRUE)"),"le secteur de la tech")</f>
        <v xml:space="preserve">le secteur de la tech</v>
      </c>
      <c r="K3581" s="5" t="s">
        <v>26219</v>
      </c>
      <c r="L3581" s="5" t="s">
        <v>26220</v>
      </c>
      <c r="M3581" s="4" t="s">
        <v>39</v>
      </c>
      <c r="N3581" s="4" t="s">
        <v>29</v>
      </c>
      <c r="O3581" s="4" t="s">
        <v>26221</v>
      </c>
      <c r="P3581" s="4" t="s">
        <v>1261</v>
      </c>
      <c r="Q3581" s="4" t="s">
        <v>26222</v>
      </c>
      <c r="R3581" s="6"/>
      <c r="S3581" s="6"/>
      <c r="T3581" s="6"/>
      <c r="U3581" s="6"/>
      <c r="V3581" s="6"/>
      <c r="W3581" s="6"/>
      <c r="X3581" s="6"/>
      <c r="Y3581" s="6"/>
      <c r="Z3581" s="6"/>
      <c r="AA3581" s="6"/>
    </row>
    <row r="3582" ht="14.25">
      <c r="B3582" s="4" t="s">
        <v>26223</v>
      </c>
      <c r="C3582" s="4" t="s">
        <v>26224</v>
      </c>
      <c r="D3582" s="4" t="s">
        <v>172</v>
      </c>
      <c r="E3582" s="4" t="s">
        <v>26225</v>
      </c>
      <c r="F3582" s="4" t="str">
        <f>IFERROR(__XLUDF.DUMMYFUNCTION("PROPER(REGEXREPLACE(D1298,""[^A-Za-z]+ "",""""))"),"Atalia Certification")</f>
        <v xml:space="preserve">Atalia Certification</v>
      </c>
      <c r="G3582" s="4" t="s">
        <v>26226</v>
      </c>
      <c r="H3582" s="4">
        <v>29</v>
      </c>
      <c r="I3582" s="4" t="s">
        <v>4067</v>
      </c>
      <c r="J3582" s="4"/>
      <c r="K3582" s="5" t="s">
        <v>26227</v>
      </c>
      <c r="L3582" s="5" t="s">
        <v>26228</v>
      </c>
      <c r="M3582" s="4" t="s">
        <v>1826</v>
      </c>
      <c r="N3582" s="4" t="s">
        <v>29</v>
      </c>
      <c r="O3582" s="4" t="s">
        <v>26229</v>
      </c>
      <c r="P3582" s="4" t="s">
        <v>29</v>
      </c>
      <c r="Q3582" s="4" t="s">
        <v>26230</v>
      </c>
      <c r="R3582" s="6"/>
      <c r="S3582" s="6"/>
      <c r="T3582" s="6"/>
      <c r="U3582" s="6"/>
      <c r="V3582" s="6"/>
      <c r="W3582" s="6"/>
      <c r="X3582" s="6"/>
      <c r="Y3582" s="6"/>
      <c r="Z3582" s="6"/>
      <c r="AA3582" s="6"/>
    </row>
    <row r="3583" ht="14.25">
      <c r="B3583" s="4" t="s">
        <v>948</v>
      </c>
      <c r="C3583" s="4" t="s">
        <v>23019</v>
      </c>
      <c r="D3583" s="4" t="s">
        <v>1950</v>
      </c>
      <c r="E3583" s="4" t="s">
        <v>23020</v>
      </c>
      <c r="F3583" s="4" t="str">
        <f>IFERROR(__XLUDF.DUMMYFUNCTION("PROPER(REGEXREPLACE(D1299,""[^A-Za-z]+ "",""""))"),"Jl")</f>
        <v>Jl</v>
      </c>
      <c r="G3583" s="4" t="s">
        <v>23021</v>
      </c>
      <c r="H3583" s="4">
        <v>25</v>
      </c>
      <c r="I3583" s="4" t="s">
        <v>9184</v>
      </c>
      <c r="J3583" s="4" t="str">
        <f>IFERROR(__XLUDF.DUMMYFUNCTION("VLOOKUP(H1299,IMPORTRANGE(""https://docs.google.com/spreadsheets/d/1opm6ZNvGZ7KditA9TuJwrZ25eFLfTNIkrNnY6mhV5Eg"",""list!A1:C115""),3,TRUE)"),"le secteur des télécommunications")</f>
        <v xml:space="preserve">le secteur des télécommunications</v>
      </c>
      <c r="K3583" s="5" t="s">
        <v>26231</v>
      </c>
      <c r="L3583" s="5" t="s">
        <v>26232</v>
      </c>
      <c r="M3583" s="4" t="s">
        <v>26233</v>
      </c>
      <c r="N3583" s="4" t="s">
        <v>29</v>
      </c>
      <c r="O3583" s="4" t="s">
        <v>26234</v>
      </c>
      <c r="P3583" s="4" t="s">
        <v>29</v>
      </c>
      <c r="Q3583" s="6"/>
      <c r="R3583" s="6"/>
      <c r="S3583" s="6"/>
      <c r="T3583" s="6"/>
      <c r="U3583" s="6"/>
      <c r="V3583" s="6"/>
      <c r="W3583" s="6"/>
      <c r="X3583" s="6"/>
      <c r="Y3583" s="6"/>
      <c r="Z3583" s="6"/>
      <c r="AA3583" s="6"/>
    </row>
    <row r="3584" ht="14.25">
      <c r="B3584" s="4" t="s">
        <v>485</v>
      </c>
      <c r="C3584" s="4" t="s">
        <v>26235</v>
      </c>
      <c r="D3584" s="4" t="s">
        <v>112</v>
      </c>
      <c r="E3584" s="4" t="s">
        <v>26236</v>
      </c>
      <c r="F3584" s="4" t="str">
        <f>IFERROR(__XLUDF.DUMMYFUNCTION("PROPER(REGEXREPLACE(D1300,""[^A-Za-z]+ "",""""))"),"Hommesperformance")</f>
        <v>Hommesperformance</v>
      </c>
      <c r="G3584" s="4" t="s">
        <v>26237</v>
      </c>
      <c r="H3584" s="4">
        <v>14</v>
      </c>
      <c r="I3584" s="4" t="s">
        <v>4067</v>
      </c>
      <c r="J3584" s="4"/>
      <c r="K3584" s="5" t="s">
        <v>26238</v>
      </c>
      <c r="L3584" s="5" t="s">
        <v>26239</v>
      </c>
      <c r="M3584" s="4" t="s">
        <v>39</v>
      </c>
      <c r="N3584" s="4" t="s">
        <v>29</v>
      </c>
      <c r="O3584" s="4" t="s">
        <v>2904</v>
      </c>
      <c r="P3584" s="4" t="s">
        <v>29</v>
      </c>
      <c r="Q3584" s="4" t="s">
        <v>26240</v>
      </c>
      <c r="R3584" s="6"/>
      <c r="S3584" s="6"/>
      <c r="T3584" s="6"/>
      <c r="U3584" s="6"/>
      <c r="V3584" s="6"/>
      <c r="W3584" s="6"/>
      <c r="X3584" s="6"/>
      <c r="Y3584" s="6"/>
      <c r="Z3584" s="6"/>
      <c r="AA3584" s="6"/>
    </row>
    <row r="3585" ht="14.25">
      <c r="B3585" s="4" t="s">
        <v>1571</v>
      </c>
      <c r="C3585" s="4" t="s">
        <v>26241</v>
      </c>
      <c r="D3585" s="4" t="s">
        <v>172</v>
      </c>
      <c r="E3585" s="4" t="s">
        <v>26242</v>
      </c>
      <c r="F3585" s="4" t="str">
        <f>IFERROR(__XLUDF.DUMMYFUNCTION("PROPER(REGEXREPLACE(D1301,""[^A-Za-z]+ "",""""))"),"Apar")</f>
        <v>Apar</v>
      </c>
      <c r="G3585" s="4" t="s">
        <v>26243</v>
      </c>
      <c r="H3585" s="4">
        <v>47</v>
      </c>
      <c r="I3585" s="4" t="s">
        <v>9161</v>
      </c>
      <c r="J3585" s="4" t="str">
        <f>IFERROR(__XLUDF.DUMMYFUNCTION("VLOOKUP(H1301,IMPORTRANGE(""https://docs.google.com/spreadsheets/d/1opm6ZNvGZ7KditA9TuJwrZ25eFLfTNIkrNnY6mhV5Eg"",""list!A1:C115""),3,TRUE)"),"le secteur du marketing")</f>
        <v xml:space="preserve">le secteur du marketing</v>
      </c>
      <c r="K3585" s="5" t="s">
        <v>26244</v>
      </c>
      <c r="L3585" s="5" t="s">
        <v>26245</v>
      </c>
      <c r="M3585" s="4" t="s">
        <v>39</v>
      </c>
      <c r="N3585" s="4" t="s">
        <v>29</v>
      </c>
      <c r="O3585" s="4" t="s">
        <v>26246</v>
      </c>
      <c r="P3585" s="4" t="s">
        <v>29</v>
      </c>
      <c r="Q3585" s="6"/>
      <c r="R3585" s="6"/>
      <c r="S3585" s="6"/>
      <c r="T3585" s="6"/>
      <c r="U3585" s="6"/>
      <c r="V3585" s="6"/>
      <c r="W3585" s="6"/>
      <c r="X3585" s="6"/>
      <c r="Y3585" s="6"/>
      <c r="Z3585" s="6"/>
      <c r="AA3585" s="6"/>
    </row>
    <row r="3586" ht="14.25">
      <c r="B3586" s="4" t="s">
        <v>26247</v>
      </c>
      <c r="C3586" s="4" t="s">
        <v>26248</v>
      </c>
      <c r="D3586" s="4" t="s">
        <v>1950</v>
      </c>
      <c r="E3586" s="4" t="s">
        <v>26249</v>
      </c>
      <c r="F3586" s="4" t="str">
        <f>IFERROR(__XLUDF.DUMMYFUNCTION("PROPER(REGEXREPLACE(D1302,""[^A-Za-z]+ "",""""))"),"Uvex Heckel")</f>
        <v xml:space="preserve">Uvex Heckel</v>
      </c>
      <c r="G3586" s="4" t="s">
        <v>26250</v>
      </c>
      <c r="H3586" s="4">
        <v>45</v>
      </c>
      <c r="I3586" s="4" t="s">
        <v>4525</v>
      </c>
      <c r="J3586" s="4" t="str">
        <f>IFERROR(__XLUDF.DUMMYFUNCTION("VLOOKUP(H1302,IMPORTRANGE(""https://docs.google.com/spreadsheets/d/1opm6ZNvGZ7KditA9TuJwrZ25eFLfTNIkrNnY6mhV5Eg"",""list!A1:C115""),3,TRUE)"),"le secteur du retail")</f>
        <v xml:space="preserve">le secteur du retail</v>
      </c>
      <c r="K3586" s="5" t="s">
        <v>26251</v>
      </c>
      <c r="L3586" s="5" t="s">
        <v>26252</v>
      </c>
      <c r="M3586" s="4" t="s">
        <v>651</v>
      </c>
      <c r="N3586" s="4" t="s">
        <v>29</v>
      </c>
      <c r="O3586" s="4" t="s">
        <v>26253</v>
      </c>
      <c r="P3586" s="4" t="s">
        <v>29</v>
      </c>
      <c r="Q3586" s="4" t="s">
        <v>26254</v>
      </c>
      <c r="R3586" s="6"/>
      <c r="S3586" s="6"/>
      <c r="T3586" s="6"/>
      <c r="U3586" s="6"/>
      <c r="V3586" s="6"/>
      <c r="W3586" s="6"/>
      <c r="X3586" s="6"/>
      <c r="Y3586" s="6"/>
      <c r="Z3586" s="6"/>
      <c r="AA3586" s="6"/>
    </row>
    <row r="3587" ht="14.25">
      <c r="B3587" s="4" t="s">
        <v>1153</v>
      </c>
      <c r="C3587" s="4" t="s">
        <v>26255</v>
      </c>
      <c r="D3587" s="4" t="s">
        <v>26256</v>
      </c>
      <c r="E3587" s="4" t="s">
        <v>26257</v>
      </c>
      <c r="F3587" s="4" t="str">
        <f>IFERROR(__XLUDF.DUMMYFUNCTION("PROPER(REGEXREPLACE(D1303,""[^A-Za-z]+ "",""""))"),"Wi&amp;Ne")</f>
        <v>Wi&amp;Ne</v>
      </c>
      <c r="G3587" s="4" t="s">
        <v>26258</v>
      </c>
      <c r="H3587" s="4">
        <v>33</v>
      </c>
      <c r="I3587" s="4" t="s">
        <v>4067</v>
      </c>
      <c r="J3587" s="4"/>
      <c r="K3587" s="5" t="s">
        <v>26259</v>
      </c>
      <c r="L3587" s="5" t="s">
        <v>26260</v>
      </c>
      <c r="M3587" s="4" t="s">
        <v>26261</v>
      </c>
      <c r="N3587" s="4" t="s">
        <v>29</v>
      </c>
      <c r="O3587" s="4" t="s">
        <v>26262</v>
      </c>
      <c r="P3587" s="4" t="s">
        <v>29</v>
      </c>
      <c r="Q3587" s="4" t="s">
        <v>26263</v>
      </c>
      <c r="R3587" s="6"/>
      <c r="S3587" s="6"/>
      <c r="T3587" s="6"/>
      <c r="U3587" s="6"/>
      <c r="V3587" s="6"/>
      <c r="W3587" s="6"/>
      <c r="X3587" s="6"/>
      <c r="Y3587" s="6"/>
      <c r="Z3587" s="6"/>
      <c r="AA3587" s="6"/>
    </row>
    <row r="3588" ht="14.25">
      <c r="B3588" s="4" t="s">
        <v>808</v>
      </c>
      <c r="C3588" s="4" t="s">
        <v>26264</v>
      </c>
      <c r="D3588" s="4" t="s">
        <v>26265</v>
      </c>
      <c r="E3588" s="4" t="s">
        <v>26266</v>
      </c>
      <c r="F3588" s="4" t="str">
        <f>IFERROR(__XLUDF.DUMMYFUNCTION("PROPER(REGEXREPLACE(D1304,""[^A-Za-z]+ "",""""))"),"Kwarto")</f>
        <v>Kwarto</v>
      </c>
      <c r="G3588" s="4" t="s">
        <v>26267</v>
      </c>
      <c r="H3588" s="4">
        <v>11</v>
      </c>
      <c r="I3588" s="4" t="s">
        <v>2602</v>
      </c>
      <c r="J3588" s="4"/>
      <c r="K3588" s="5" t="s">
        <v>26268</v>
      </c>
      <c r="L3588" s="5" t="s">
        <v>26269</v>
      </c>
      <c r="M3588" s="4" t="s">
        <v>39</v>
      </c>
      <c r="N3588" s="4" t="s">
        <v>29</v>
      </c>
      <c r="O3588" s="4" t="s">
        <v>26270</v>
      </c>
      <c r="P3588" s="4" t="s">
        <v>29</v>
      </c>
      <c r="Q3588" s="6"/>
      <c r="R3588" s="6"/>
      <c r="S3588" s="6"/>
      <c r="T3588" s="6"/>
      <c r="U3588" s="6"/>
      <c r="V3588" s="6"/>
      <c r="W3588" s="6"/>
      <c r="X3588" s="6"/>
      <c r="Y3588" s="6"/>
      <c r="Z3588" s="6"/>
      <c r="AA3588" s="6"/>
    </row>
    <row r="3589" ht="14.25">
      <c r="B3589" s="4" t="s">
        <v>2242</v>
      </c>
      <c r="C3589" s="4" t="s">
        <v>26271</v>
      </c>
      <c r="D3589" s="4" t="s">
        <v>1950</v>
      </c>
      <c r="E3589" s="4" t="s">
        <v>24993</v>
      </c>
      <c r="F3589" s="4" t="str">
        <f>IFERROR(__XLUDF.DUMMYFUNCTION("PROPER(REGEXREPLACE(D1305,""[^A-Za-z]+ "",""""))"),"Geoptis")</f>
        <v>Geoptis</v>
      </c>
      <c r="G3589" s="4" t="s">
        <v>26272</v>
      </c>
      <c r="H3589" s="4">
        <v>42</v>
      </c>
      <c r="I3589" s="4" t="s">
        <v>2602</v>
      </c>
      <c r="J3589" s="4" t="str">
        <f>IFERROR(__XLUDF.DUMMYFUNCTION("VLOOKUP(H1305,IMPORTRANGE(""https://docs.google.com/spreadsheets/d/1opm6ZNvGZ7KditA9TuJwrZ25eFLfTNIkrNnY6mhV5Eg"",""list!A1:C115""),3,TRUE)"),"le secteur de la tech")</f>
        <v xml:space="preserve">le secteur de la tech</v>
      </c>
      <c r="K3589" s="5" t="s">
        <v>26273</v>
      </c>
      <c r="L3589" s="5" t="s">
        <v>24996</v>
      </c>
      <c r="M3589" s="4" t="s">
        <v>20826</v>
      </c>
      <c r="N3589" s="4" t="s">
        <v>29</v>
      </c>
      <c r="O3589" s="4" t="s">
        <v>24997</v>
      </c>
      <c r="P3589" s="4" t="s">
        <v>29</v>
      </c>
      <c r="Q3589" s="4" t="s">
        <v>24998</v>
      </c>
      <c r="R3589" s="6"/>
      <c r="S3589" s="6"/>
      <c r="T3589" s="6"/>
      <c r="U3589" s="6"/>
      <c r="V3589" s="6"/>
      <c r="W3589" s="6"/>
      <c r="X3589" s="6"/>
      <c r="Y3589" s="6"/>
      <c r="Z3589" s="6"/>
      <c r="AA3589" s="6"/>
    </row>
    <row r="3590" ht="14.25">
      <c r="B3590" s="4" t="s">
        <v>1583</v>
      </c>
      <c r="C3590" s="4" t="s">
        <v>26274</v>
      </c>
      <c r="D3590" s="4" t="s">
        <v>26275</v>
      </c>
      <c r="E3590" s="4" t="s">
        <v>26276</v>
      </c>
      <c r="F3590" s="4" t="str">
        <f>IFERROR(__XLUDF.DUMMYFUNCTION("PROPER(REGEXREPLACE(D1306,""[^A-Za-z]+ "",""""))"),"Agence Troisetplus")</f>
        <v xml:space="preserve">Agence Troisetplus</v>
      </c>
      <c r="G3590" s="4" t="s">
        <v>26277</v>
      </c>
      <c r="H3590" s="4">
        <v>10</v>
      </c>
      <c r="I3590" s="4" t="s">
        <v>9161</v>
      </c>
      <c r="J3590" s="4" t="str">
        <f>IFERROR(__XLUDF.DUMMYFUNCTION("VLOOKUP(H1306,IMPORTRANGE(""https://docs.google.com/spreadsheets/d/1opm6ZNvGZ7KditA9TuJwrZ25eFLfTNIkrNnY6mhV5Eg"",""list!A1:C115""),3,TRUE)"),"le secteur du marketing")</f>
        <v xml:space="preserve">le secteur du marketing</v>
      </c>
      <c r="K3590" s="5" t="s">
        <v>26278</v>
      </c>
      <c r="L3590" s="5" t="s">
        <v>26279</v>
      </c>
      <c r="M3590" s="4" t="s">
        <v>651</v>
      </c>
      <c r="N3590" s="4" t="s">
        <v>29</v>
      </c>
      <c r="O3590" s="4" t="s">
        <v>6467</v>
      </c>
      <c r="P3590" s="4" t="s">
        <v>29</v>
      </c>
      <c r="Q3590" s="6"/>
      <c r="R3590" s="6"/>
      <c r="S3590" s="6"/>
      <c r="T3590" s="6"/>
      <c r="U3590" s="6"/>
      <c r="V3590" s="6"/>
      <c r="W3590" s="6"/>
      <c r="X3590" s="6"/>
      <c r="Y3590" s="6"/>
      <c r="Z3590" s="6"/>
      <c r="AA3590" s="6"/>
    </row>
    <row r="3591" ht="14.25">
      <c r="B3591" s="4" t="s">
        <v>604</v>
      </c>
      <c r="C3591" s="4" t="s">
        <v>12609</v>
      </c>
      <c r="D3591" s="4" t="s">
        <v>87</v>
      </c>
      <c r="E3591" s="4" t="s">
        <v>26280</v>
      </c>
      <c r="F3591" s="4" t="str">
        <f>IFERROR(__XLUDF.DUMMYFUNCTION("PROPER(REGEXREPLACE(D1307,""[^A-Za-z]+ "",""""))"),"Sharp Vision")</f>
        <v xml:space="preserve">Sharp Vision</v>
      </c>
      <c r="G3591" s="4" t="s">
        <v>26281</v>
      </c>
      <c r="H3591" s="4">
        <v>24</v>
      </c>
      <c r="I3591" s="4" t="s">
        <v>2602</v>
      </c>
      <c r="J3591" s="4"/>
      <c r="K3591" s="5" t="s">
        <v>26282</v>
      </c>
      <c r="L3591" s="5" t="s">
        <v>26283</v>
      </c>
      <c r="M3591" s="4" t="s">
        <v>39</v>
      </c>
      <c r="N3591" s="4" t="s">
        <v>29</v>
      </c>
      <c r="O3591" s="4" t="s">
        <v>67</v>
      </c>
      <c r="P3591" s="4" t="s">
        <v>29</v>
      </c>
      <c r="Q3591" s="6"/>
      <c r="R3591" s="6"/>
      <c r="S3591" s="6"/>
      <c r="T3591" s="6"/>
      <c r="U3591" s="6"/>
      <c r="V3591" s="6"/>
      <c r="W3591" s="6"/>
      <c r="X3591" s="6"/>
      <c r="Y3591" s="6"/>
      <c r="Z3591" s="6"/>
      <c r="AA3591" s="6"/>
    </row>
    <row r="3592" ht="14.25">
      <c r="B3592" s="6"/>
      <c r="C3592" s="6"/>
      <c r="D3592" s="6"/>
      <c r="E3592" s="6"/>
      <c r="F3592" s="6"/>
      <c r="G3592" s="6"/>
      <c r="H3592" s="6"/>
      <c r="I3592" s="6"/>
      <c r="J3592" s="6"/>
      <c r="K3592" s="6"/>
      <c r="L3592" s="6"/>
      <c r="M3592" s="6"/>
      <c r="N3592" s="6"/>
      <c r="O3592" s="6"/>
      <c r="P3592" s="6"/>
      <c r="Q3592" s="6"/>
      <c r="R3592" s="6"/>
      <c r="S3592" s="6"/>
      <c r="T3592" s="6"/>
      <c r="U3592" s="6"/>
      <c r="V3592" s="6"/>
      <c r="W3592" s="6"/>
      <c r="X3592" s="6"/>
      <c r="Y3592" s="6"/>
      <c r="Z3592" s="6"/>
      <c r="AA3592" s="6"/>
    </row>
    <row r="3593" ht="14.25">
      <c r="B3593" s="6"/>
      <c r="C3593" s="6"/>
      <c r="D3593" s="6"/>
      <c r="E3593" s="6"/>
      <c r="F3593" s="6"/>
      <c r="G3593" s="6"/>
      <c r="H3593" s="6"/>
      <c r="I3593" s="6"/>
      <c r="J3593" s="6"/>
      <c r="K3593" s="6"/>
      <c r="L3593" s="6"/>
      <c r="M3593" s="6"/>
      <c r="N3593" s="6"/>
      <c r="O3593" s="6"/>
      <c r="P3593" s="6"/>
      <c r="Q3593" s="6"/>
      <c r="R3593" s="6"/>
      <c r="S3593" s="6"/>
      <c r="T3593" s="6"/>
      <c r="U3593" s="6"/>
      <c r="V3593" s="6"/>
      <c r="W3593" s="6"/>
      <c r="X3593" s="6"/>
      <c r="Y3593" s="6"/>
      <c r="Z3593" s="6"/>
      <c r="AA3593" s="6"/>
    </row>
    <row r="3594" ht="14.25">
      <c r="B3594" s="6"/>
      <c r="C3594" s="6"/>
      <c r="D3594" s="6"/>
      <c r="E3594" s="6"/>
      <c r="F3594" s="6"/>
      <c r="G3594" s="6"/>
      <c r="H3594" s="6"/>
      <c r="I3594" s="6"/>
      <c r="J3594" s="6"/>
      <c r="K3594" s="6"/>
      <c r="L3594" s="6"/>
      <c r="M3594" s="6"/>
      <c r="N3594" s="6"/>
      <c r="O3594" s="6"/>
      <c r="P3594" s="6"/>
      <c r="Q3594" s="6"/>
      <c r="R3594" s="6"/>
      <c r="S3594" s="6"/>
      <c r="T3594" s="6"/>
      <c r="U3594" s="6"/>
      <c r="V3594" s="6"/>
      <c r="W3594" s="6"/>
      <c r="X3594" s="6"/>
      <c r="Y3594" s="6"/>
      <c r="Z3594" s="6"/>
      <c r="AA3594" s="6"/>
    </row>
    <row r="3595" ht="14.25">
      <c r="B3595" s="6"/>
      <c r="C3595" s="6"/>
      <c r="D3595" s="6"/>
      <c r="E3595" s="6"/>
      <c r="F3595" s="6"/>
      <c r="G3595" s="6"/>
      <c r="H3595" s="6"/>
      <c r="I3595" s="6"/>
      <c r="J3595" s="6"/>
      <c r="K3595" s="6"/>
      <c r="L3595" s="6"/>
      <c r="M3595" s="6"/>
      <c r="N3595" s="6"/>
      <c r="O3595" s="6"/>
      <c r="P3595" s="6"/>
      <c r="Q3595" s="6"/>
      <c r="R3595" s="6"/>
      <c r="S3595" s="6"/>
      <c r="T3595" s="6"/>
      <c r="U3595" s="6"/>
      <c r="V3595" s="6"/>
      <c r="W3595" s="6"/>
      <c r="X3595" s="6"/>
      <c r="Y3595" s="6"/>
      <c r="Z3595" s="6"/>
      <c r="AA3595" s="6"/>
    </row>
    <row r="3596" ht="14.25">
      <c r="B3596" s="12" t="s">
        <v>1</v>
      </c>
      <c r="C3596" s="12" t="s">
        <v>2</v>
      </c>
      <c r="D3596" s="12" t="s">
        <v>3</v>
      </c>
      <c r="E3596" s="12" t="s">
        <v>17619</v>
      </c>
      <c r="F3596" s="12" t="s">
        <v>4</v>
      </c>
      <c r="G3596" s="12" t="s">
        <v>5</v>
      </c>
      <c r="H3596" s="12" t="s">
        <v>6</v>
      </c>
      <c r="I3596" s="12" t="s">
        <v>17620</v>
      </c>
      <c r="J3596" s="12" t="s">
        <v>7</v>
      </c>
      <c r="K3596" s="12" t="s">
        <v>8</v>
      </c>
      <c r="L3596" s="12" t="s">
        <v>9</v>
      </c>
      <c r="M3596" s="12" t="s">
        <v>10</v>
      </c>
      <c r="N3596" s="12" t="s">
        <v>11</v>
      </c>
      <c r="O3596" s="12" t="s">
        <v>12</v>
      </c>
      <c r="P3596" s="12" t="s">
        <v>13</v>
      </c>
      <c r="Q3596" s="12" t="s">
        <v>14</v>
      </c>
      <c r="R3596" s="12" t="s">
        <v>15</v>
      </c>
      <c r="S3596" s="12" t="s">
        <v>16</v>
      </c>
      <c r="T3596" s="12" t="s">
        <v>17</v>
      </c>
      <c r="U3596" s="12" t="s">
        <v>18</v>
      </c>
      <c r="V3596" s="12" t="s">
        <v>19</v>
      </c>
      <c r="W3596" s="12"/>
      <c r="X3596" s="12"/>
      <c r="Y3596" s="12"/>
      <c r="Z3596" s="6"/>
      <c r="AA3596" s="6"/>
    </row>
    <row r="3597" ht="14.25">
      <c r="B3597" s="4" t="s">
        <v>26284</v>
      </c>
      <c r="C3597" s="4" t="s">
        <v>26285</v>
      </c>
      <c r="D3597" s="4" t="s">
        <v>16645</v>
      </c>
      <c r="E3597" s="4" t="s">
        <v>26286</v>
      </c>
      <c r="F3597" s="4" t="str">
        <f>IFERROR(__XLUDF.DUMMYFUNCTION("PROPER(REGEXREPLACE(D2,""[^A-Za-z]+ "",""""))"),"Dattak")</f>
        <v>Dattak</v>
      </c>
      <c r="G3597" s="4" t="s">
        <v>26287</v>
      </c>
      <c r="H3597" s="4">
        <v>48</v>
      </c>
      <c r="I3597" s="4" t="s">
        <v>9264</v>
      </c>
      <c r="J3597" s="4" t="str">
        <f>IFERROR(__XLUDF.DUMMYFUNCTION("VLOOKUP(H2,IMPORTRANGE(""https://docs.google.com/spreadsheets/d/1opm6ZNvGZ7KditA9TuJwrZ25eFLfTNIkrNnY6mhV5Eg"",""list!A1:C115""),3,TRUE)"),"le secteur de la sécurité informatique")</f>
        <v xml:space="preserve">le secteur de la sécurité informatique</v>
      </c>
      <c r="K3597" s="5" t="s">
        <v>26288</v>
      </c>
      <c r="L3597" s="5" t="s">
        <v>26289</v>
      </c>
      <c r="M3597" s="4" t="s">
        <v>39</v>
      </c>
      <c r="N3597" s="4" t="s">
        <v>29</v>
      </c>
      <c r="O3597" s="4" t="s">
        <v>67</v>
      </c>
      <c r="P3597" s="4" t="s">
        <v>29</v>
      </c>
      <c r="Q3597" s="4" t="s">
        <v>26290</v>
      </c>
      <c r="R3597" s="6"/>
      <c r="S3597" s="6"/>
      <c r="T3597" s="6"/>
      <c r="U3597" s="6"/>
      <c r="V3597" s="6"/>
      <c r="W3597" s="6"/>
      <c r="X3597" s="6"/>
      <c r="Y3597" s="6"/>
      <c r="Z3597" s="6"/>
      <c r="AA3597" s="6"/>
    </row>
    <row r="3598" ht="14.25">
      <c r="B3598" s="4" t="s">
        <v>2119</v>
      </c>
      <c r="C3598" s="4" t="s">
        <v>26291</v>
      </c>
      <c r="D3598" s="4" t="s">
        <v>112</v>
      </c>
      <c r="E3598" s="4" t="s">
        <v>26292</v>
      </c>
      <c r="F3598" s="4" t="str">
        <f>IFERROR(__XLUDF.DUMMYFUNCTION("PROPER(REGEXREPLACE(D3,""[^A-Za-z]+ "",""""))"),"Mh Conseil")</f>
        <v xml:space="preserve">Mh Conseil</v>
      </c>
      <c r="G3598" s="4" t="s">
        <v>26293</v>
      </c>
      <c r="H3598" s="4">
        <v>15</v>
      </c>
      <c r="I3598" s="4" t="s">
        <v>9264</v>
      </c>
      <c r="J3598" s="4" t="str">
        <f>IFERROR(__XLUDF.DUMMYFUNCTION("VLOOKUP(H3,IMPORTRANGE(""https://docs.google.com/spreadsheets/d/1opm6ZNvGZ7KditA9TuJwrZ25eFLfTNIkrNnY6mhV5Eg"",""list!A1:C115""),3,TRUE)"),"le secteur de la sécurité informatique")</f>
        <v xml:space="preserve">le secteur de la sécurité informatique</v>
      </c>
      <c r="K3598" s="5" t="s">
        <v>26294</v>
      </c>
      <c r="L3598" s="5" t="s">
        <v>26295</v>
      </c>
      <c r="M3598" s="4" t="s">
        <v>26296</v>
      </c>
      <c r="N3598" s="4" t="s">
        <v>29</v>
      </c>
      <c r="O3598" s="4" t="s">
        <v>67</v>
      </c>
      <c r="P3598" s="4" t="s">
        <v>29</v>
      </c>
      <c r="Q3598" s="6"/>
      <c r="R3598" s="6"/>
      <c r="S3598" s="6"/>
      <c r="T3598" s="6"/>
      <c r="U3598" s="6"/>
      <c r="V3598" s="6"/>
      <c r="W3598" s="6"/>
      <c r="X3598" s="6"/>
      <c r="Y3598" s="6"/>
      <c r="Z3598" s="6"/>
      <c r="AA3598" s="6"/>
    </row>
    <row r="3599" ht="14.25">
      <c r="B3599" s="4" t="s">
        <v>6945</v>
      </c>
      <c r="C3599" s="4" t="s">
        <v>26297</v>
      </c>
      <c r="D3599" s="4" t="s">
        <v>112</v>
      </c>
      <c r="E3599" s="4" t="s">
        <v>26298</v>
      </c>
      <c r="F3599" s="4" t="str">
        <f>IFERROR(__XLUDF.DUMMYFUNCTION("PROPER(REGEXREPLACE(D4,""[^A-Za-z]+ "",""""))"),"Synoméga")</f>
        <v>Synoméga</v>
      </c>
      <c r="G3599" s="4" t="s">
        <v>26299</v>
      </c>
      <c r="H3599" s="4">
        <v>17</v>
      </c>
      <c r="I3599" s="4" t="s">
        <v>9264</v>
      </c>
      <c r="J3599" s="4" t="str">
        <f>IFERROR(__XLUDF.DUMMYFUNCTION("VLOOKUP(H4,IMPORTRANGE(""https://docs.google.com/spreadsheets/d/1opm6ZNvGZ7KditA9TuJwrZ25eFLfTNIkrNnY6mhV5Eg"",""list!A1:C115""),3,TRUE)"),"le secteur de la sécurité informatique")</f>
        <v xml:space="preserve">le secteur de la sécurité informatique</v>
      </c>
      <c r="K3599" s="5" t="s">
        <v>26300</v>
      </c>
      <c r="L3599" s="5" t="s">
        <v>26301</v>
      </c>
      <c r="M3599" s="6"/>
      <c r="N3599" s="4" t="s">
        <v>29</v>
      </c>
      <c r="O3599" s="4" t="s">
        <v>26302</v>
      </c>
      <c r="P3599" s="4" t="s">
        <v>29</v>
      </c>
      <c r="Q3599" s="4" t="s">
        <v>26303</v>
      </c>
      <c r="R3599" s="6"/>
      <c r="S3599" s="6"/>
      <c r="T3599" s="6"/>
      <c r="U3599" s="6"/>
      <c r="V3599" s="6"/>
      <c r="W3599" s="6"/>
      <c r="X3599" s="6"/>
      <c r="Y3599" s="6"/>
      <c r="Z3599" s="6"/>
      <c r="AA3599" s="6"/>
    </row>
    <row r="3600" ht="14.25">
      <c r="B3600" s="4" t="s">
        <v>14964</v>
      </c>
      <c r="C3600" s="4" t="s">
        <v>26304</v>
      </c>
      <c r="D3600" s="4" t="s">
        <v>26305</v>
      </c>
      <c r="E3600" s="4" t="s">
        <v>26306</v>
      </c>
      <c r="F3600" s="4" t="str">
        <f>IFERROR(__XLUDF.DUMMYFUNCTION("PROPER(REGEXREPLACE(D5,""[^A-Za-z]+ "",""""))"),"Octodet")</f>
        <v>Octodet</v>
      </c>
      <c r="G3600" s="4" t="s">
        <v>26307</v>
      </c>
      <c r="H3600" s="4">
        <v>35</v>
      </c>
      <c r="I3600" s="4" t="s">
        <v>9264</v>
      </c>
      <c r="J3600" s="4" t="str">
        <f>IFERROR(__XLUDF.DUMMYFUNCTION("VLOOKUP(H5,IMPORTRANGE(""https://docs.google.com/spreadsheets/d/1opm6ZNvGZ7KditA9TuJwrZ25eFLfTNIkrNnY6mhV5Eg"",""list!A1:C115""),3,TRUE)"),"le secteur de la sécurité informatique")</f>
        <v xml:space="preserve">le secteur de la sécurité informatique</v>
      </c>
      <c r="K3600" s="5" t="s">
        <v>26308</v>
      </c>
      <c r="L3600" s="5" t="s">
        <v>26309</v>
      </c>
      <c r="M3600" s="4" t="s">
        <v>39</v>
      </c>
      <c r="N3600" s="4" t="s">
        <v>29</v>
      </c>
      <c r="O3600" s="4" t="s">
        <v>26310</v>
      </c>
      <c r="P3600" s="4" t="s">
        <v>16128</v>
      </c>
      <c r="Q3600" s="6"/>
      <c r="R3600" s="6"/>
      <c r="S3600" s="6"/>
      <c r="T3600" s="6"/>
      <c r="U3600" s="6"/>
      <c r="V3600" s="6"/>
      <c r="W3600" s="6"/>
      <c r="X3600" s="6"/>
      <c r="Y3600" s="6"/>
      <c r="Z3600" s="6"/>
      <c r="AA3600" s="6"/>
    </row>
    <row r="3601" ht="14.25">
      <c r="B3601" s="4" t="s">
        <v>26311</v>
      </c>
      <c r="C3601" s="4" t="s">
        <v>4162</v>
      </c>
      <c r="D3601" s="4" t="s">
        <v>426</v>
      </c>
      <c r="E3601" s="4" t="s">
        <v>26312</v>
      </c>
      <c r="F3601" s="4" t="str">
        <f>IFERROR(__XLUDF.DUMMYFUNCTION("PROPER(REGEXREPLACE(D6,""[^A-Za-z]+ "",""""))"),"Sinotech")</f>
        <v>Sinotech</v>
      </c>
      <c r="G3601" s="4" t="s">
        <v>26313</v>
      </c>
      <c r="H3601" s="4">
        <v>52</v>
      </c>
      <c r="I3601" s="4" t="s">
        <v>9264</v>
      </c>
      <c r="J3601" s="4" t="str">
        <f>IFERROR(__XLUDF.DUMMYFUNCTION("VLOOKUP(H6,IMPORTRANGE(""https://docs.google.com/spreadsheets/d/1opm6ZNvGZ7KditA9TuJwrZ25eFLfTNIkrNnY6mhV5Eg"",""list!A1:C115""),3,TRUE)"),"le secteur de la sécurité informatique")</f>
        <v xml:space="preserve">le secteur de la sécurité informatique</v>
      </c>
      <c r="K3601" s="5" t="s">
        <v>26314</v>
      </c>
      <c r="L3601" s="5" t="s">
        <v>26315</v>
      </c>
      <c r="M3601" s="4" t="s">
        <v>39</v>
      </c>
      <c r="N3601" s="4" t="s">
        <v>29</v>
      </c>
      <c r="O3601" s="4" t="s">
        <v>26316</v>
      </c>
      <c r="P3601" s="4" t="s">
        <v>14046</v>
      </c>
      <c r="Q3601" s="6"/>
      <c r="R3601" s="6"/>
      <c r="S3601" s="6"/>
      <c r="T3601" s="6"/>
      <c r="U3601" s="6"/>
      <c r="V3601" s="6"/>
      <c r="W3601" s="6"/>
      <c r="X3601" s="6"/>
      <c r="Y3601" s="6"/>
      <c r="Z3601" s="6"/>
      <c r="AA3601" s="6"/>
    </row>
    <row r="3602" ht="14.25">
      <c r="B3602" s="4" t="s">
        <v>6634</v>
      </c>
      <c r="C3602" s="4" t="s">
        <v>26317</v>
      </c>
      <c r="D3602" s="4" t="s">
        <v>26318</v>
      </c>
      <c r="E3602" s="4" t="s">
        <v>26319</v>
      </c>
      <c r="F3602" s="4" t="str">
        <f>IFERROR(__XLUDF.DUMMYFUNCTION("PROPER(REGEXREPLACE(D7,""[^A-Za-z]+ "",""""))"),"Dataflow Security")</f>
        <v xml:space="preserve">Dataflow Security</v>
      </c>
      <c r="G3602" s="4" t="s">
        <v>26320</v>
      </c>
      <c r="H3602" s="4">
        <v>41</v>
      </c>
      <c r="I3602" s="4" t="s">
        <v>9264</v>
      </c>
      <c r="J3602" s="4" t="str">
        <f>IFERROR(__XLUDF.DUMMYFUNCTION("VLOOKUP(H7,IMPORTRANGE(""https://docs.google.com/spreadsheets/d/1opm6ZNvGZ7KditA9TuJwrZ25eFLfTNIkrNnY6mhV5Eg"",""list!A1:C115""),3,TRUE)"),"le secteur de la sécurité informatique")</f>
        <v xml:space="preserve">le secteur de la sécurité informatique</v>
      </c>
      <c r="K3602" s="5" t="s">
        <v>26321</v>
      </c>
      <c r="L3602" s="5" t="s">
        <v>26322</v>
      </c>
      <c r="M3602" s="6"/>
      <c r="N3602" s="4" t="s">
        <v>29</v>
      </c>
      <c r="O3602" s="4" t="s">
        <v>26323</v>
      </c>
      <c r="P3602" s="4" t="s">
        <v>2388</v>
      </c>
      <c r="Q3602" s="6"/>
      <c r="R3602" s="6"/>
      <c r="S3602" s="6"/>
      <c r="T3602" s="6"/>
      <c r="U3602" s="6"/>
      <c r="V3602" s="6"/>
      <c r="W3602" s="6"/>
      <c r="X3602" s="6"/>
      <c r="Y3602" s="6"/>
      <c r="Z3602" s="6"/>
      <c r="AA3602" s="6"/>
    </row>
    <row r="3603" ht="14.25">
      <c r="B3603" s="4" t="s">
        <v>2932</v>
      </c>
      <c r="C3603" s="4" t="s">
        <v>26324</v>
      </c>
      <c r="D3603" s="4" t="s">
        <v>172</v>
      </c>
      <c r="E3603" s="4" t="s">
        <v>26325</v>
      </c>
      <c r="F3603" s="4" t="str">
        <f>IFERROR(__XLUDF.DUMMYFUNCTION("PROPER(REGEXREPLACE(D8,""[^A-Za-z]+ "",""""))"),"Infoexpress")</f>
        <v>Infoexpress</v>
      </c>
      <c r="G3603" s="4" t="s">
        <v>26326</v>
      </c>
      <c r="H3603" s="4">
        <v>31</v>
      </c>
      <c r="I3603" s="4" t="s">
        <v>9264</v>
      </c>
      <c r="J3603" s="4" t="str">
        <f>IFERROR(__XLUDF.DUMMYFUNCTION("VLOOKUP(H8,IMPORTRANGE(""https://docs.google.com/spreadsheets/d/1opm6ZNvGZ7KditA9TuJwrZ25eFLfTNIkrNnY6mhV5Eg"",""list!A1:C115""),3,TRUE)"),"le secteur de la sécurité informatique")</f>
        <v xml:space="preserve">le secteur de la sécurité informatique</v>
      </c>
      <c r="K3603" s="5" t="s">
        <v>26327</v>
      </c>
      <c r="L3603" s="5" t="s">
        <v>26328</v>
      </c>
      <c r="M3603" s="4" t="s">
        <v>295</v>
      </c>
      <c r="N3603" s="4" t="s">
        <v>29</v>
      </c>
      <c r="O3603" s="4" t="s">
        <v>26329</v>
      </c>
      <c r="P3603" s="4" t="s">
        <v>1261</v>
      </c>
      <c r="Q3603" s="6"/>
      <c r="R3603" s="6"/>
      <c r="S3603" s="6"/>
      <c r="T3603" s="6"/>
      <c r="U3603" s="6"/>
      <c r="V3603" s="6"/>
      <c r="W3603" s="6"/>
      <c r="X3603" s="6"/>
      <c r="Y3603" s="6"/>
      <c r="Z3603" s="6"/>
      <c r="AA3603" s="6"/>
    </row>
    <row r="3604" ht="14.25">
      <c r="B3604" s="4" t="s">
        <v>769</v>
      </c>
      <c r="C3604" s="4" t="s">
        <v>26330</v>
      </c>
      <c r="D3604" s="4" t="s">
        <v>26331</v>
      </c>
      <c r="E3604" s="4" t="s">
        <v>26286</v>
      </c>
      <c r="F3604" s="4" t="str">
        <f>IFERROR(__XLUDF.DUMMYFUNCTION("PROPER(REGEXREPLACE(D9,""[^A-Za-z]+ "",""""))"),"Dattak")</f>
        <v>Dattak</v>
      </c>
      <c r="G3604" s="4" t="s">
        <v>26332</v>
      </c>
      <c r="H3604" s="4">
        <v>48</v>
      </c>
      <c r="I3604" s="4" t="s">
        <v>9264</v>
      </c>
      <c r="J3604" s="4" t="str">
        <f>IFERROR(__XLUDF.DUMMYFUNCTION("VLOOKUP(H9,IMPORTRANGE(""https://docs.google.com/spreadsheets/d/1opm6ZNvGZ7KditA9TuJwrZ25eFLfTNIkrNnY6mhV5Eg"",""list!A1:C115""),3,TRUE)"),"le secteur de la sécurité informatique")</f>
        <v xml:space="preserve">le secteur de la sécurité informatique</v>
      </c>
      <c r="K3604" s="5" t="s">
        <v>26333</v>
      </c>
      <c r="L3604" s="5" t="s">
        <v>26289</v>
      </c>
      <c r="M3604" s="4" t="s">
        <v>1015</v>
      </c>
      <c r="N3604" s="4" t="s">
        <v>29</v>
      </c>
      <c r="O3604" s="4" t="s">
        <v>67</v>
      </c>
      <c r="P3604" s="4" t="s">
        <v>29</v>
      </c>
      <c r="Q3604" s="4" t="s">
        <v>26290</v>
      </c>
      <c r="R3604" s="6"/>
      <c r="S3604" s="6"/>
      <c r="T3604" s="6"/>
      <c r="U3604" s="6"/>
      <c r="V3604" s="6"/>
      <c r="W3604" s="6"/>
      <c r="X3604" s="6"/>
      <c r="Y3604" s="6"/>
      <c r="Z3604" s="6"/>
      <c r="AA3604" s="6"/>
    </row>
    <row r="3605" ht="14.25">
      <c r="B3605" s="4" t="s">
        <v>31</v>
      </c>
      <c r="C3605" s="4" t="s">
        <v>26334</v>
      </c>
      <c r="D3605" s="4" t="s">
        <v>18553</v>
      </c>
      <c r="E3605" s="4" t="s">
        <v>21402</v>
      </c>
      <c r="F3605" s="4" t="str">
        <f>IFERROR(__XLUDF.DUMMYFUNCTION("PROPER(REGEXREPLACE(D10,""[^A-Za-z]+ "",""""))"),"Knock Knock")</f>
        <v xml:space="preserve">Knock Knock</v>
      </c>
      <c r="G3605" s="4" t="s">
        <v>26335</v>
      </c>
      <c r="H3605" s="4">
        <v>12</v>
      </c>
      <c r="I3605" s="4" t="s">
        <v>9264</v>
      </c>
      <c r="J3605" s="4" t="str">
        <f>IFERROR(__XLUDF.DUMMYFUNCTION("VLOOKUP(H10,IMPORTRANGE(""https://docs.google.com/spreadsheets/d/1opm6ZNvGZ7KditA9TuJwrZ25eFLfTNIkrNnY6mhV5Eg"",""list!A1:C115""),3,TRUE)"),"le secteur de la sécurité informatique")</f>
        <v xml:space="preserve">le secteur de la sécurité informatique</v>
      </c>
      <c r="K3605" s="5" t="s">
        <v>26336</v>
      </c>
      <c r="L3605" s="5" t="s">
        <v>21405</v>
      </c>
      <c r="M3605" s="4" t="s">
        <v>243</v>
      </c>
      <c r="N3605" s="4" t="s">
        <v>29</v>
      </c>
      <c r="O3605" s="4" t="s">
        <v>19956</v>
      </c>
      <c r="P3605" s="4" t="s">
        <v>29</v>
      </c>
      <c r="Q3605" s="4" t="s">
        <v>21407</v>
      </c>
      <c r="R3605" s="6"/>
      <c r="S3605" s="6"/>
      <c r="T3605" s="6"/>
      <c r="U3605" s="6"/>
      <c r="V3605" s="6"/>
      <c r="W3605" s="6"/>
      <c r="X3605" s="6"/>
      <c r="Y3605" s="6"/>
      <c r="Z3605" s="6"/>
      <c r="AA3605" s="6"/>
    </row>
    <row r="3606" ht="14.25">
      <c r="B3606" s="4" t="s">
        <v>330</v>
      </c>
      <c r="C3606" s="4" t="s">
        <v>26337</v>
      </c>
      <c r="D3606" s="4" t="s">
        <v>26338</v>
      </c>
      <c r="E3606" s="4" t="s">
        <v>26339</v>
      </c>
      <c r="F3606" s="4" t="str">
        <f>IFERROR(__XLUDF.DUMMYFUNCTION("PROPER(REGEXREPLACE(D11,""[^A-Za-z]+ "",""""))"),"Board Of Cyber")</f>
        <v xml:space="preserve">Board Of Cyber</v>
      </c>
      <c r="G3606" s="4" t="s">
        <v>26340</v>
      </c>
      <c r="H3606" s="4">
        <v>30</v>
      </c>
      <c r="I3606" s="4" t="s">
        <v>9264</v>
      </c>
      <c r="J3606" s="4" t="str">
        <f>IFERROR(__XLUDF.DUMMYFUNCTION("VLOOKUP(H11,IMPORTRANGE(""https://docs.google.com/spreadsheets/d/1opm6ZNvGZ7KditA9TuJwrZ25eFLfTNIkrNnY6mhV5Eg"",""list!A1:C115""),3,TRUE)"),"le secteur de la sécurité informatique")</f>
        <v xml:space="preserve">le secteur de la sécurité informatique</v>
      </c>
      <c r="K3606" s="5" t="s">
        <v>26341</v>
      </c>
      <c r="L3606" s="5" t="s">
        <v>26342</v>
      </c>
      <c r="M3606" s="6"/>
      <c r="N3606" s="4" t="s">
        <v>29</v>
      </c>
      <c r="O3606" s="4" t="s">
        <v>26343</v>
      </c>
      <c r="P3606" s="4" t="s">
        <v>29</v>
      </c>
      <c r="Q3606" s="4" t="s">
        <v>26344</v>
      </c>
      <c r="R3606" s="6"/>
      <c r="S3606" s="6"/>
      <c r="T3606" s="6"/>
      <c r="U3606" s="6"/>
      <c r="V3606" s="6"/>
      <c r="W3606" s="6"/>
      <c r="X3606" s="6"/>
      <c r="Y3606" s="6"/>
      <c r="Z3606" s="6"/>
      <c r="AA3606" s="6"/>
    </row>
    <row r="3607" ht="14.25">
      <c r="B3607" s="4" t="s">
        <v>769</v>
      </c>
      <c r="C3607" s="4" t="s">
        <v>26345</v>
      </c>
      <c r="D3607" s="4" t="s">
        <v>26346</v>
      </c>
      <c r="E3607" s="4" t="s">
        <v>26347</v>
      </c>
      <c r="F3607" s="4" t="str">
        <f>IFERROR(__XLUDF.DUMMYFUNCTION("PROPER(REGEXREPLACE(D12,""[^A-Za-z]+ "",""""))"),"Telitem")</f>
        <v>Telitem</v>
      </c>
      <c r="G3607" s="4" t="s">
        <v>26348</v>
      </c>
      <c r="H3607" s="4">
        <v>14</v>
      </c>
      <c r="I3607" s="4" t="s">
        <v>9264</v>
      </c>
      <c r="J3607" s="4" t="str">
        <f>IFERROR(__XLUDF.DUMMYFUNCTION("VLOOKUP(H12,IMPORTRANGE(""https://docs.google.com/spreadsheets/d/1opm6ZNvGZ7KditA9TuJwrZ25eFLfTNIkrNnY6mhV5Eg"",""list!A1:C115""),3,TRUE)"),"le secteur de la sécurité informatique")</f>
        <v xml:space="preserve">le secteur de la sécurité informatique</v>
      </c>
      <c r="K3607" s="5" t="s">
        <v>26349</v>
      </c>
      <c r="L3607" s="5" t="s">
        <v>26350</v>
      </c>
      <c r="M3607" s="4" t="s">
        <v>1826</v>
      </c>
      <c r="N3607" s="4" t="s">
        <v>29</v>
      </c>
      <c r="O3607" s="4" t="s">
        <v>26351</v>
      </c>
      <c r="P3607" s="4" t="s">
        <v>29</v>
      </c>
      <c r="Q3607" s="4" t="s">
        <v>26352</v>
      </c>
      <c r="R3607" s="6"/>
      <c r="S3607" s="6"/>
      <c r="T3607" s="6"/>
      <c r="U3607" s="6"/>
      <c r="V3607" s="6"/>
      <c r="W3607" s="6"/>
      <c r="X3607" s="6"/>
      <c r="Y3607" s="6"/>
      <c r="Z3607" s="6"/>
      <c r="AA3607" s="6"/>
    </row>
    <row r="3608" ht="14.25">
      <c r="B3608" s="4" t="s">
        <v>1238</v>
      </c>
      <c r="C3608" s="4" t="s">
        <v>26353</v>
      </c>
      <c r="D3608" s="4" t="s">
        <v>26354</v>
      </c>
      <c r="E3608" s="4" t="s">
        <v>23773</v>
      </c>
      <c r="F3608" s="4" t="str">
        <f>IFERROR(__XLUDF.DUMMYFUNCTION("PROPER(REGEXREPLACE(D13,""[^A-Za-z]+ "",""""))"),"Opsynet")</f>
        <v>Opsynet</v>
      </c>
      <c r="G3608" s="4" t="s">
        <v>26355</v>
      </c>
      <c r="H3608" s="4">
        <v>19</v>
      </c>
      <c r="I3608" s="4" t="s">
        <v>9264</v>
      </c>
      <c r="J3608" s="4" t="str">
        <f>IFERROR(__XLUDF.DUMMYFUNCTION("VLOOKUP(H13,IMPORTRANGE(""https://docs.google.com/spreadsheets/d/1opm6ZNvGZ7KditA9TuJwrZ25eFLfTNIkrNnY6mhV5Eg"",""list!A1:C115""),3,TRUE)"),"le secteur de la sécurité informatique")</f>
        <v xml:space="preserve">le secteur de la sécurité informatique</v>
      </c>
      <c r="K3608" s="5" t="s">
        <v>26356</v>
      </c>
      <c r="L3608" s="5" t="s">
        <v>23776</v>
      </c>
      <c r="M3608" s="4" t="s">
        <v>39</v>
      </c>
      <c r="N3608" s="4" t="s">
        <v>29</v>
      </c>
      <c r="O3608" s="4" t="s">
        <v>23777</v>
      </c>
      <c r="P3608" s="4" t="s">
        <v>29</v>
      </c>
      <c r="Q3608" s="4" t="s">
        <v>23778</v>
      </c>
      <c r="R3608" s="6"/>
      <c r="S3608" s="6"/>
      <c r="T3608" s="6"/>
      <c r="U3608" s="6"/>
      <c r="V3608" s="6"/>
      <c r="W3608" s="6"/>
      <c r="X3608" s="6"/>
      <c r="Y3608" s="6"/>
      <c r="Z3608" s="6"/>
      <c r="AA3608" s="6"/>
    </row>
    <row r="3609" ht="14.25">
      <c r="B3609" s="4" t="s">
        <v>3516</v>
      </c>
      <c r="C3609" s="4" t="s">
        <v>26357</v>
      </c>
      <c r="D3609" s="4" t="s">
        <v>3969</v>
      </c>
      <c r="E3609" s="4" t="s">
        <v>26358</v>
      </c>
      <c r="F3609" s="4" t="str">
        <f>IFERROR(__XLUDF.DUMMYFUNCTION("PROPER(REGEXREPLACE(D14,""[^A-Za-z]+ "",""""))"),"It-Gnosis")</f>
        <v>It-Gnosis</v>
      </c>
      <c r="G3609" s="4" t="s">
        <v>26359</v>
      </c>
      <c r="H3609" s="4">
        <v>10</v>
      </c>
      <c r="I3609" s="4" t="s">
        <v>9264</v>
      </c>
      <c r="J3609" s="4" t="str">
        <f>IFERROR(__XLUDF.DUMMYFUNCTION("VLOOKUP(H14,IMPORTRANGE(""https://docs.google.com/spreadsheets/d/1opm6ZNvGZ7KditA9TuJwrZ25eFLfTNIkrNnY6mhV5Eg"",""list!A1:C115""),3,TRUE)"),"le secteur de la sécurité informatique")</f>
        <v xml:space="preserve">le secteur de la sécurité informatique</v>
      </c>
      <c r="K3609" s="5" t="s">
        <v>26360</v>
      </c>
      <c r="L3609" s="5" t="s">
        <v>26361</v>
      </c>
      <c r="M3609" s="4" t="s">
        <v>18055</v>
      </c>
      <c r="N3609" s="4" t="s">
        <v>29</v>
      </c>
      <c r="O3609" s="4" t="s">
        <v>26362</v>
      </c>
      <c r="P3609" s="4" t="s">
        <v>29</v>
      </c>
      <c r="Q3609" s="4" t="s">
        <v>26363</v>
      </c>
      <c r="R3609" s="6"/>
      <c r="S3609" s="6"/>
      <c r="T3609" s="6"/>
      <c r="U3609" s="6"/>
      <c r="V3609" s="6"/>
      <c r="W3609" s="6"/>
      <c r="X3609" s="6"/>
      <c r="Y3609" s="6"/>
      <c r="Z3609" s="6"/>
      <c r="AA3609" s="6"/>
    </row>
    <row r="3610" ht="14.25">
      <c r="B3610" s="4" t="s">
        <v>330</v>
      </c>
      <c r="C3610" s="4" t="s">
        <v>26364</v>
      </c>
      <c r="D3610" s="4" t="s">
        <v>26365</v>
      </c>
      <c r="E3610" s="4" t="s">
        <v>26366</v>
      </c>
      <c r="F3610" s="4" t="str">
        <f>IFERROR(__XLUDF.DUMMYFUNCTION("PROPER(REGEXREPLACE(D15,""[^A-Za-z]+ "",""""))"),"Skillx")</f>
        <v>Skillx</v>
      </c>
      <c r="G3610" s="4" t="s">
        <v>26367</v>
      </c>
      <c r="H3610" s="4">
        <v>12</v>
      </c>
      <c r="I3610" s="4" t="s">
        <v>9264</v>
      </c>
      <c r="J3610" s="4" t="str">
        <f>IFERROR(__XLUDF.DUMMYFUNCTION("VLOOKUP(H15,IMPORTRANGE(""https://docs.google.com/spreadsheets/d/1opm6ZNvGZ7KditA9TuJwrZ25eFLfTNIkrNnY6mhV5Eg"",""list!A1:C115""),3,TRUE)"),"le secteur de la sécurité informatique")</f>
        <v xml:space="preserve">le secteur de la sécurité informatique</v>
      </c>
      <c r="K3610" s="5" t="s">
        <v>26368</v>
      </c>
      <c r="L3610" s="5" t="s">
        <v>26369</v>
      </c>
      <c r="M3610" s="4" t="s">
        <v>846</v>
      </c>
      <c r="N3610" s="4" t="s">
        <v>29</v>
      </c>
      <c r="O3610" s="4" t="s">
        <v>856</v>
      </c>
      <c r="P3610" s="4" t="s">
        <v>29</v>
      </c>
      <c r="Q3610" s="4" t="s">
        <v>26370</v>
      </c>
      <c r="R3610" s="6"/>
      <c r="S3610" s="6"/>
      <c r="T3610" s="6"/>
      <c r="U3610" s="6"/>
      <c r="V3610" s="6"/>
      <c r="W3610" s="6"/>
      <c r="X3610" s="6"/>
      <c r="Y3610" s="6"/>
      <c r="Z3610" s="6"/>
      <c r="AA3610" s="6"/>
    </row>
    <row r="3611" ht="14.25">
      <c r="B3611" s="4" t="s">
        <v>661</v>
      </c>
      <c r="C3611" s="4" t="s">
        <v>26371</v>
      </c>
      <c r="D3611" s="4" t="s">
        <v>26372</v>
      </c>
      <c r="E3611" s="4" t="s">
        <v>26373</v>
      </c>
      <c r="F3611" s="4" t="str">
        <f>IFERROR(__XLUDF.DUMMYFUNCTION("PROPER(REGEXREPLACE(D16,""[^A-Za-z]+ "",""""))"),"Mailspec")</f>
        <v>Mailspec</v>
      </c>
      <c r="G3611" s="4" t="s">
        <v>26374</v>
      </c>
      <c r="H3611" s="4">
        <v>12</v>
      </c>
      <c r="I3611" s="4" t="s">
        <v>9264</v>
      </c>
      <c r="J3611" s="4" t="str">
        <f>IFERROR(__XLUDF.DUMMYFUNCTION("VLOOKUP(H16,IMPORTRANGE(""https://docs.google.com/spreadsheets/d/1opm6ZNvGZ7KditA9TuJwrZ25eFLfTNIkrNnY6mhV5Eg"",""list!A1:C115""),3,TRUE)"),"le secteur de la sécurité informatique")</f>
        <v xml:space="preserve">le secteur de la sécurité informatique</v>
      </c>
      <c r="K3611" s="5" t="s">
        <v>26375</v>
      </c>
      <c r="L3611" s="5" t="s">
        <v>26376</v>
      </c>
      <c r="M3611" s="4" t="s">
        <v>185</v>
      </c>
      <c r="N3611" s="4" t="s">
        <v>29</v>
      </c>
      <c r="O3611" s="4" t="s">
        <v>67</v>
      </c>
      <c r="P3611" s="4" t="s">
        <v>29</v>
      </c>
      <c r="Q3611" s="4" t="s">
        <v>26377</v>
      </c>
      <c r="R3611" s="6"/>
      <c r="S3611" s="6"/>
      <c r="T3611" s="6"/>
      <c r="U3611" s="6"/>
      <c r="V3611" s="6"/>
      <c r="W3611" s="6"/>
      <c r="X3611" s="6"/>
      <c r="Y3611" s="6"/>
      <c r="Z3611" s="6"/>
      <c r="AA3611" s="6"/>
    </row>
    <row r="3612" ht="14.25">
      <c r="B3612" s="4" t="s">
        <v>1153</v>
      </c>
      <c r="C3612" s="4" t="s">
        <v>867</v>
      </c>
      <c r="D3612" s="4" t="s">
        <v>26378</v>
      </c>
      <c r="E3612" s="4" t="s">
        <v>26379</v>
      </c>
      <c r="F3612" s="4" t="str">
        <f>IFERROR(__XLUDF.DUMMYFUNCTION("PROPER(REGEXREPLACE(D17,""[^A-Za-z]+ "",""""))"),"Sylink Technologie")</f>
        <v xml:space="preserve">Sylink Technologie</v>
      </c>
      <c r="G3612" s="4" t="s">
        <v>26380</v>
      </c>
      <c r="H3612" s="4">
        <v>23</v>
      </c>
      <c r="I3612" s="4" t="s">
        <v>9264</v>
      </c>
      <c r="J3612" s="4" t="str">
        <f>IFERROR(__XLUDF.DUMMYFUNCTION("VLOOKUP(H17,IMPORTRANGE(""https://docs.google.com/spreadsheets/d/1opm6ZNvGZ7KditA9TuJwrZ25eFLfTNIkrNnY6mhV5Eg"",""list!A1:C115""),3,TRUE)"),"le secteur de la sécurité informatique")</f>
        <v xml:space="preserve">le secteur de la sécurité informatique</v>
      </c>
      <c r="K3612" s="5" t="s">
        <v>26381</v>
      </c>
      <c r="L3612" s="5" t="s">
        <v>26382</v>
      </c>
      <c r="M3612" s="4" t="s">
        <v>1826</v>
      </c>
      <c r="N3612" s="4" t="s">
        <v>29</v>
      </c>
      <c r="O3612" s="4" t="s">
        <v>26383</v>
      </c>
      <c r="P3612" s="4" t="s">
        <v>29</v>
      </c>
      <c r="Q3612" s="4" t="s">
        <v>26384</v>
      </c>
      <c r="R3612" s="6"/>
      <c r="S3612" s="6"/>
      <c r="T3612" s="6"/>
      <c r="U3612" s="6"/>
      <c r="V3612" s="6"/>
      <c r="W3612" s="6"/>
      <c r="X3612" s="6"/>
      <c r="Y3612" s="6"/>
      <c r="Z3612" s="6"/>
      <c r="AA3612" s="6"/>
    </row>
    <row r="3613" ht="14.25">
      <c r="B3613" s="4" t="s">
        <v>322</v>
      </c>
      <c r="C3613" s="4" t="s">
        <v>26385</v>
      </c>
      <c r="D3613" s="4" t="s">
        <v>112</v>
      </c>
      <c r="E3613" s="4" t="s">
        <v>26386</v>
      </c>
      <c r="F3613" s="4" t="str">
        <f>IFERROR(__XLUDF.DUMMYFUNCTION("PROPER(REGEXREPLACE(D18,""[^A-Za-z]+ "",""""))"),"Crypt.On It")</f>
        <v xml:space="preserve">Crypt.On It</v>
      </c>
      <c r="G3613" s="4" t="s">
        <v>26387</v>
      </c>
      <c r="H3613" s="4">
        <v>15</v>
      </c>
      <c r="I3613" s="4" t="s">
        <v>9264</v>
      </c>
      <c r="J3613" s="4" t="str">
        <f>IFERROR(__XLUDF.DUMMYFUNCTION("VLOOKUP(H18,IMPORTRANGE(""https://docs.google.com/spreadsheets/d/1opm6ZNvGZ7KditA9TuJwrZ25eFLfTNIkrNnY6mhV5Eg"",""list!A1:C115""),3,TRUE)"),"le secteur de la sécurité informatique")</f>
        <v xml:space="preserve">le secteur de la sécurité informatique</v>
      </c>
      <c r="K3613" s="5" t="s">
        <v>26388</v>
      </c>
      <c r="L3613" s="5" t="s">
        <v>26389</v>
      </c>
      <c r="M3613" s="4" t="s">
        <v>39</v>
      </c>
      <c r="N3613" s="4" t="s">
        <v>29</v>
      </c>
      <c r="O3613" s="4" t="s">
        <v>26390</v>
      </c>
      <c r="P3613" s="4" t="s">
        <v>29</v>
      </c>
      <c r="Q3613" s="6"/>
      <c r="R3613" s="6"/>
      <c r="S3613" s="6"/>
      <c r="T3613" s="6"/>
      <c r="U3613" s="6"/>
      <c r="V3613" s="6"/>
      <c r="W3613" s="6"/>
      <c r="X3613" s="6"/>
      <c r="Y3613" s="6"/>
      <c r="Z3613" s="6"/>
      <c r="AA3613" s="6"/>
    </row>
    <row r="3614" ht="14.25">
      <c r="B3614" s="4" t="s">
        <v>5873</v>
      </c>
      <c r="C3614" s="4" t="s">
        <v>26391</v>
      </c>
      <c r="D3614" s="4" t="s">
        <v>426</v>
      </c>
      <c r="E3614" s="4" t="s">
        <v>14883</v>
      </c>
      <c r="F3614" s="4" t="str">
        <f>IFERROR(__XLUDF.DUMMYFUNCTION("PROPER(REGEXREPLACE(D19,""[^A-Za-z]+ "",""""))"),"Novances It")</f>
        <v xml:space="preserve">Novances It</v>
      </c>
      <c r="G3614" s="4" t="s">
        <v>26392</v>
      </c>
      <c r="H3614" s="4">
        <v>19</v>
      </c>
      <c r="I3614" s="4" t="s">
        <v>9264</v>
      </c>
      <c r="J3614" s="4" t="str">
        <f>IFERROR(__XLUDF.DUMMYFUNCTION("VLOOKUP(H19,IMPORTRANGE(""https://docs.google.com/spreadsheets/d/1opm6ZNvGZ7KditA9TuJwrZ25eFLfTNIkrNnY6mhV5Eg"",""list!A1:C115""),3,TRUE)"),"le secteur de la sécurité informatique")</f>
        <v xml:space="preserve">le secteur de la sécurité informatique</v>
      </c>
      <c r="K3614" s="5" t="s">
        <v>26393</v>
      </c>
      <c r="L3614" s="5" t="s">
        <v>26394</v>
      </c>
      <c r="M3614" s="4" t="s">
        <v>185</v>
      </c>
      <c r="N3614" s="4" t="s">
        <v>29</v>
      </c>
      <c r="O3614" s="4" t="s">
        <v>26395</v>
      </c>
      <c r="P3614" s="4" t="s">
        <v>29</v>
      </c>
      <c r="Q3614" s="4" t="s">
        <v>14889</v>
      </c>
      <c r="R3614" s="6"/>
      <c r="S3614" s="6"/>
      <c r="T3614" s="6"/>
      <c r="U3614" s="6"/>
      <c r="V3614" s="6"/>
      <c r="W3614" s="6"/>
      <c r="X3614" s="6"/>
      <c r="Y3614" s="6"/>
      <c r="Z3614" s="6"/>
      <c r="AA3614" s="6"/>
    </row>
    <row r="3615" ht="14.25">
      <c r="B3615" s="4" t="s">
        <v>556</v>
      </c>
      <c r="C3615" s="4" t="s">
        <v>26396</v>
      </c>
      <c r="D3615" s="4" t="s">
        <v>3775</v>
      </c>
      <c r="E3615" s="4" t="s">
        <v>26397</v>
      </c>
      <c r="F3615" s="4" t="str">
        <f>IFERROR(__XLUDF.DUMMYFUNCTION("PROPER(REGEXREPLACE(D20,""[^A-Za-z]+ "",""""))"),"Snowpack")</f>
        <v>Snowpack</v>
      </c>
      <c r="G3615" s="4" t="s">
        <v>26398</v>
      </c>
      <c r="H3615" s="4">
        <v>15</v>
      </c>
      <c r="I3615" s="4" t="s">
        <v>9264</v>
      </c>
      <c r="J3615" s="4" t="str">
        <f>IFERROR(__XLUDF.DUMMYFUNCTION("VLOOKUP(H20,IMPORTRANGE(""https://docs.google.com/spreadsheets/d/1opm6ZNvGZ7KditA9TuJwrZ25eFLfTNIkrNnY6mhV5Eg"",""list!A1:C115""),3,TRUE)"),"le secteur de la sécurité informatique")</f>
        <v xml:space="preserve">le secteur de la sécurité informatique</v>
      </c>
      <c r="K3615" s="5" t="s">
        <v>26399</v>
      </c>
      <c r="L3615" s="5" t="s">
        <v>26400</v>
      </c>
      <c r="M3615" s="4" t="s">
        <v>39</v>
      </c>
      <c r="N3615" s="4" t="s">
        <v>29</v>
      </c>
      <c r="O3615" s="4" t="s">
        <v>26401</v>
      </c>
      <c r="P3615" s="4" t="s">
        <v>29</v>
      </c>
      <c r="Q3615" s="4" t="s">
        <v>26402</v>
      </c>
      <c r="R3615" s="6"/>
      <c r="S3615" s="6"/>
      <c r="T3615" s="6"/>
      <c r="U3615" s="6"/>
      <c r="V3615" s="6"/>
      <c r="W3615" s="6"/>
      <c r="X3615" s="6"/>
      <c r="Y3615" s="6"/>
      <c r="Z3615" s="6"/>
      <c r="AA3615" s="6"/>
    </row>
    <row r="3616" ht="14.25">
      <c r="B3616" s="4" t="s">
        <v>1861</v>
      </c>
      <c r="C3616" s="4" t="s">
        <v>26403</v>
      </c>
      <c r="D3616" s="4" t="s">
        <v>26404</v>
      </c>
      <c r="E3616" s="4" t="s">
        <v>26405</v>
      </c>
      <c r="F3616" s="4" t="str">
        <f>IFERROR(__XLUDF.DUMMYFUNCTION("PROPER(REGEXREPLACE(D21,""[^A-Za-z]+ "",""""))"),"Axicom Security")</f>
        <v xml:space="preserve">Axicom Security</v>
      </c>
      <c r="G3616" s="4" t="s">
        <v>26406</v>
      </c>
      <c r="H3616" s="4">
        <v>10</v>
      </c>
      <c r="I3616" s="4" t="s">
        <v>9264</v>
      </c>
      <c r="J3616" s="4" t="str">
        <f>IFERROR(__XLUDF.DUMMYFUNCTION("VLOOKUP(H21,IMPORTRANGE(""https://docs.google.com/spreadsheets/d/1opm6ZNvGZ7KditA9TuJwrZ25eFLfTNIkrNnY6mhV5Eg"",""list!A1:C115""),3,TRUE)"),"le secteur de la sécurité informatique")</f>
        <v xml:space="preserve">le secteur de la sécurité informatique</v>
      </c>
      <c r="K3616" s="5" t="s">
        <v>26407</v>
      </c>
      <c r="L3616" s="5" t="s">
        <v>26408</v>
      </c>
      <c r="M3616" s="4" t="s">
        <v>39</v>
      </c>
      <c r="N3616" s="4" t="s">
        <v>29</v>
      </c>
      <c r="O3616" s="4" t="s">
        <v>26409</v>
      </c>
      <c r="P3616" s="4" t="s">
        <v>29</v>
      </c>
      <c r="Q3616" s="4" t="s">
        <v>26410</v>
      </c>
      <c r="R3616" s="6"/>
      <c r="S3616" s="6"/>
      <c r="T3616" s="6"/>
      <c r="U3616" s="6"/>
      <c r="V3616" s="6"/>
      <c r="W3616" s="6"/>
      <c r="X3616" s="6"/>
      <c r="Y3616" s="6"/>
      <c r="Z3616" s="6"/>
      <c r="AA3616" s="6"/>
    </row>
    <row r="3617" ht="14.25">
      <c r="B3617" s="4" t="s">
        <v>20</v>
      </c>
      <c r="C3617" s="4" t="s">
        <v>26411</v>
      </c>
      <c r="D3617" s="4" t="s">
        <v>26412</v>
      </c>
      <c r="E3617" s="4" t="s">
        <v>26413</v>
      </c>
      <c r="F3617" s="4" t="str">
        <f>IFERROR(__XLUDF.DUMMYFUNCTION("PROPER(REGEXREPLACE(D22,""[^A-Za-z]+ "",""""))"),"Defants")</f>
        <v>Defants</v>
      </c>
      <c r="G3617" s="4" t="s">
        <v>26414</v>
      </c>
      <c r="H3617" s="4">
        <v>21</v>
      </c>
      <c r="I3617" s="4" t="s">
        <v>9264</v>
      </c>
      <c r="J3617" s="4" t="str">
        <f>IFERROR(__XLUDF.DUMMYFUNCTION("VLOOKUP(H22,IMPORTRANGE(""https://docs.google.com/spreadsheets/d/1opm6ZNvGZ7KditA9TuJwrZ25eFLfTNIkrNnY6mhV5Eg"",""list!A1:C115""),3,TRUE)"),"le secteur de la sécurité informatique")</f>
        <v xml:space="preserve">le secteur de la sécurité informatique</v>
      </c>
      <c r="K3617" s="5" t="s">
        <v>26415</v>
      </c>
      <c r="L3617" s="5" t="s">
        <v>26416</v>
      </c>
      <c r="M3617" s="6"/>
      <c r="N3617" s="4" t="s">
        <v>29</v>
      </c>
      <c r="O3617" s="4" t="s">
        <v>26417</v>
      </c>
      <c r="P3617" s="4" t="s">
        <v>29</v>
      </c>
      <c r="Q3617" s="4" t="s">
        <v>26418</v>
      </c>
      <c r="R3617" s="6"/>
      <c r="S3617" s="6"/>
      <c r="T3617" s="6"/>
      <c r="U3617" s="6"/>
      <c r="V3617" s="6"/>
      <c r="W3617" s="6"/>
      <c r="X3617" s="6"/>
      <c r="Y3617" s="6"/>
      <c r="Z3617" s="6"/>
      <c r="AA3617" s="6"/>
    </row>
    <row r="3618" ht="14.25">
      <c r="B3618" s="4" t="s">
        <v>2419</v>
      </c>
      <c r="C3618" s="4" t="s">
        <v>26419</v>
      </c>
      <c r="D3618" s="4" t="s">
        <v>112</v>
      </c>
      <c r="E3618" s="4" t="s">
        <v>26420</v>
      </c>
      <c r="F3618" s="4" t="str">
        <f>IFERROR(__XLUDF.DUMMYFUNCTION("PROPER(REGEXREPLACE(D23,""[^A-Za-z]+ "",""""))"),"Basom Consulting")</f>
        <v xml:space="preserve">Basom Consulting</v>
      </c>
      <c r="G3618" s="4" t="s">
        <v>26421</v>
      </c>
      <c r="H3618" s="4">
        <v>12</v>
      </c>
      <c r="I3618" s="4" t="s">
        <v>9264</v>
      </c>
      <c r="J3618" s="4" t="str">
        <f>IFERROR(__XLUDF.DUMMYFUNCTION("VLOOKUP(H23,IMPORTRANGE(""https://docs.google.com/spreadsheets/d/1opm6ZNvGZ7KditA9TuJwrZ25eFLfTNIkrNnY6mhV5Eg"",""list!A1:C115""),3,TRUE)"),"le secteur de la sécurité informatique")</f>
        <v xml:space="preserve">le secteur de la sécurité informatique</v>
      </c>
      <c r="K3618" s="5" t="s">
        <v>26422</v>
      </c>
      <c r="L3618" s="5" t="s">
        <v>26423</v>
      </c>
      <c r="M3618" s="4" t="s">
        <v>39</v>
      </c>
      <c r="N3618" s="4" t="s">
        <v>29</v>
      </c>
      <c r="O3618" s="4" t="s">
        <v>26424</v>
      </c>
      <c r="P3618" s="4" t="s">
        <v>29</v>
      </c>
      <c r="Q3618" s="4" t="s">
        <v>26425</v>
      </c>
      <c r="R3618" s="6"/>
      <c r="S3618" s="6"/>
      <c r="T3618" s="6"/>
      <c r="U3618" s="6"/>
      <c r="V3618" s="6"/>
      <c r="W3618" s="6"/>
      <c r="X3618" s="6"/>
      <c r="Y3618" s="6"/>
      <c r="Z3618" s="6"/>
      <c r="AA3618" s="6"/>
    </row>
    <row r="3619" ht="14.25">
      <c r="B3619" s="4" t="s">
        <v>26426</v>
      </c>
      <c r="C3619" s="4" t="s">
        <v>874</v>
      </c>
      <c r="D3619" s="4" t="s">
        <v>26427</v>
      </c>
      <c r="E3619" s="4" t="s">
        <v>26428</v>
      </c>
      <c r="F3619" s="4" t="str">
        <f>IFERROR(__XLUDF.DUMMYFUNCTION("PROPER(REGEXREPLACE(D24,""[^A-Za-z]+ "",""""))"),"Aips")</f>
        <v>Aips</v>
      </c>
      <c r="G3619" s="4" t="s">
        <v>26429</v>
      </c>
      <c r="H3619" s="4">
        <v>17</v>
      </c>
      <c r="I3619" s="4" t="s">
        <v>9264</v>
      </c>
      <c r="J3619" s="4" t="str">
        <f>IFERROR(__XLUDF.DUMMYFUNCTION("VLOOKUP(H24,IMPORTRANGE(""https://docs.google.com/spreadsheets/d/1opm6ZNvGZ7KditA9TuJwrZ25eFLfTNIkrNnY6mhV5Eg"",""list!A1:C115""),3,TRUE)"),"le secteur de la sécurité informatique")</f>
        <v xml:space="preserve">le secteur de la sécurité informatique</v>
      </c>
      <c r="K3619" s="5" t="s">
        <v>26430</v>
      </c>
      <c r="L3619" s="5" t="s">
        <v>26431</v>
      </c>
      <c r="M3619" s="4" t="s">
        <v>295</v>
      </c>
      <c r="N3619" s="4" t="s">
        <v>29</v>
      </c>
      <c r="O3619" s="4" t="s">
        <v>26432</v>
      </c>
      <c r="P3619" s="4" t="s">
        <v>29</v>
      </c>
      <c r="Q3619" s="4" t="s">
        <v>26433</v>
      </c>
      <c r="R3619" s="6"/>
      <c r="S3619" s="6"/>
      <c r="T3619" s="6"/>
      <c r="U3619" s="6"/>
      <c r="V3619" s="6"/>
      <c r="W3619" s="6"/>
      <c r="X3619" s="6"/>
      <c r="Y3619" s="6"/>
      <c r="Z3619" s="6"/>
      <c r="AA3619" s="6"/>
    </row>
    <row r="3620" ht="14.25">
      <c r="B3620" s="4" t="s">
        <v>1562</v>
      </c>
      <c r="C3620" s="4" t="s">
        <v>26434</v>
      </c>
      <c r="D3620" s="4" t="s">
        <v>26435</v>
      </c>
      <c r="E3620" s="4" t="s">
        <v>19487</v>
      </c>
      <c r="F3620" s="4" t="str">
        <f>IFERROR(__XLUDF.DUMMYFUNCTION("PROPER(REGEXREPLACE(D25,""[^A-Za-z]+ "",""""))"),"Ého.Link")</f>
        <v>Ého.Link</v>
      </c>
      <c r="G3620" s="4" t="s">
        <v>26436</v>
      </c>
      <c r="H3620" s="4">
        <v>17</v>
      </c>
      <c r="I3620" s="4" t="s">
        <v>9264</v>
      </c>
      <c r="J3620" s="4" t="str">
        <f>IFERROR(__XLUDF.DUMMYFUNCTION("VLOOKUP(H25,IMPORTRANGE(""https://docs.google.com/spreadsheets/d/1opm6ZNvGZ7KditA9TuJwrZ25eFLfTNIkrNnY6mhV5Eg"",""list!A1:C115""),3,TRUE)"),"le secteur de la sécurité informatique")</f>
        <v xml:space="preserve">le secteur de la sécurité informatique</v>
      </c>
      <c r="K3620" s="5" t="s">
        <v>26437</v>
      </c>
      <c r="L3620" s="5" t="s">
        <v>19490</v>
      </c>
      <c r="M3620" s="4" t="s">
        <v>295</v>
      </c>
      <c r="N3620" s="4" t="s">
        <v>29</v>
      </c>
      <c r="O3620" s="4" t="s">
        <v>19491</v>
      </c>
      <c r="P3620" s="4" t="s">
        <v>29</v>
      </c>
      <c r="Q3620" s="6"/>
      <c r="R3620" s="6"/>
      <c r="S3620" s="6"/>
      <c r="T3620" s="6"/>
      <c r="U3620" s="6"/>
      <c r="V3620" s="6"/>
      <c r="W3620" s="6"/>
      <c r="X3620" s="6"/>
      <c r="Y3620" s="6"/>
      <c r="Z3620" s="6"/>
      <c r="AA3620" s="6"/>
    </row>
    <row r="3621" ht="14.25">
      <c r="B3621" s="4" t="s">
        <v>1583</v>
      </c>
      <c r="C3621" s="4" t="s">
        <v>26438</v>
      </c>
      <c r="D3621" s="4" t="s">
        <v>112</v>
      </c>
      <c r="E3621" s="4" t="s">
        <v>26439</v>
      </c>
      <c r="F3621" s="4" t="str">
        <f>IFERROR(__XLUDF.DUMMYFUNCTION("PROPER(REGEXREPLACE(D26,""[^A-Za-z]+ "",""""))"),"Parsec")</f>
        <v>Parsec</v>
      </c>
      <c r="G3621" s="4" t="s">
        <v>26440</v>
      </c>
      <c r="H3621" s="4">
        <v>17</v>
      </c>
      <c r="I3621" s="4" t="s">
        <v>9264</v>
      </c>
      <c r="J3621" s="4" t="str">
        <f>IFERROR(__XLUDF.DUMMYFUNCTION("VLOOKUP(H26,IMPORTRANGE(""https://docs.google.com/spreadsheets/d/1opm6ZNvGZ7KditA9TuJwrZ25eFLfTNIkrNnY6mhV5Eg"",""list!A1:C115""),3,TRUE)"),"le secteur de la sécurité informatique")</f>
        <v xml:space="preserve">le secteur de la sécurité informatique</v>
      </c>
      <c r="K3621" s="5" t="s">
        <v>26441</v>
      </c>
      <c r="L3621" s="5" t="s">
        <v>26442</v>
      </c>
      <c r="M3621" s="4" t="s">
        <v>26443</v>
      </c>
      <c r="N3621" s="4" t="s">
        <v>29</v>
      </c>
      <c r="O3621" s="4" t="s">
        <v>26444</v>
      </c>
      <c r="P3621" s="4" t="s">
        <v>29</v>
      </c>
      <c r="Q3621" s="4" t="s">
        <v>26445</v>
      </c>
      <c r="R3621" s="6"/>
      <c r="S3621" s="6"/>
      <c r="T3621" s="6"/>
      <c r="U3621" s="6"/>
      <c r="V3621" s="6"/>
      <c r="W3621" s="6"/>
      <c r="X3621" s="6"/>
      <c r="Y3621" s="6"/>
      <c r="Z3621" s="6"/>
      <c r="AA3621" s="6"/>
    </row>
    <row r="3622" ht="14.25">
      <c r="B3622" s="4" t="s">
        <v>2771</v>
      </c>
      <c r="C3622" s="4" t="s">
        <v>26446</v>
      </c>
      <c r="D3622" s="4" t="s">
        <v>341</v>
      </c>
      <c r="E3622" s="4" t="s">
        <v>26447</v>
      </c>
      <c r="F3622" s="4" t="str">
        <f>IFERROR(__XLUDF.DUMMYFUNCTION("PROPER(REGEXREPLACE(D27,""[^A-Za-z]+ "",""""))"),"One Computer Services")</f>
        <v xml:space="preserve">One Computer Services</v>
      </c>
      <c r="G3622" s="4" t="s">
        <v>26448</v>
      </c>
      <c r="H3622" s="4">
        <v>14</v>
      </c>
      <c r="I3622" s="4" t="s">
        <v>9264</v>
      </c>
      <c r="J3622" s="4" t="str">
        <f>IFERROR(__XLUDF.DUMMYFUNCTION("VLOOKUP(H27,IMPORTRANGE(""https://docs.google.com/spreadsheets/d/1opm6ZNvGZ7KditA9TuJwrZ25eFLfTNIkrNnY6mhV5Eg"",""list!A1:C115""),3,TRUE)"),"le secteur de la sécurité informatique")</f>
        <v xml:space="preserve">le secteur de la sécurité informatique</v>
      </c>
      <c r="K3622" s="5" t="s">
        <v>26449</v>
      </c>
      <c r="L3622" s="5" t="s">
        <v>26450</v>
      </c>
      <c r="M3622" s="4" t="s">
        <v>295</v>
      </c>
      <c r="N3622" s="4" t="s">
        <v>29</v>
      </c>
      <c r="O3622" s="4" t="s">
        <v>26451</v>
      </c>
      <c r="P3622" s="4" t="s">
        <v>29</v>
      </c>
      <c r="Q3622" s="4" t="s">
        <v>26452</v>
      </c>
      <c r="R3622" s="6"/>
      <c r="S3622" s="6"/>
      <c r="T3622" s="6"/>
      <c r="U3622" s="6"/>
      <c r="V3622" s="6"/>
      <c r="W3622" s="6"/>
      <c r="X3622" s="6"/>
      <c r="Y3622" s="6"/>
      <c r="Z3622" s="6"/>
      <c r="AA3622" s="6"/>
    </row>
    <row r="3623" ht="14.25">
      <c r="B3623" s="4" t="s">
        <v>26453</v>
      </c>
      <c r="C3623" s="4" t="s">
        <v>26454</v>
      </c>
      <c r="D3623" s="4" t="s">
        <v>26455</v>
      </c>
      <c r="E3623" s="4" t="s">
        <v>26456</v>
      </c>
      <c r="F3623" s="4" t="str">
        <f>IFERROR(__XLUDF.DUMMYFUNCTION("PROPER(REGEXREPLACE(D28,""[^A-Za-z]+ "",""""))"),"Hackcyom")</f>
        <v>Hackcyom</v>
      </c>
      <c r="G3623" s="4" t="s">
        <v>26457</v>
      </c>
      <c r="H3623" s="4">
        <v>9</v>
      </c>
      <c r="I3623" s="4" t="s">
        <v>9264</v>
      </c>
      <c r="J3623" s="4" t="str">
        <f>IFERROR(__XLUDF.DUMMYFUNCTION("VLOOKUP(H28,IMPORTRANGE(""https://docs.google.com/spreadsheets/d/1opm6ZNvGZ7KditA9TuJwrZ25eFLfTNIkrNnY6mhV5Eg"",""list!A1:C115""),3,TRUE)"),"le secteur de la sécurité informatique")</f>
        <v xml:space="preserve">le secteur de la sécurité informatique</v>
      </c>
      <c r="K3623" s="5" t="s">
        <v>26458</v>
      </c>
      <c r="L3623" s="5" t="s">
        <v>26459</v>
      </c>
      <c r="M3623" s="4" t="s">
        <v>39</v>
      </c>
      <c r="N3623" s="4" t="s">
        <v>29</v>
      </c>
      <c r="O3623" s="4" t="s">
        <v>21303</v>
      </c>
      <c r="P3623" s="4" t="s">
        <v>29</v>
      </c>
      <c r="Q3623" s="4" t="s">
        <v>26460</v>
      </c>
      <c r="R3623" s="6"/>
      <c r="S3623" s="6"/>
      <c r="T3623" s="6"/>
      <c r="U3623" s="6"/>
      <c r="V3623" s="6"/>
      <c r="W3623" s="6"/>
      <c r="X3623" s="6"/>
      <c r="Y3623" s="6"/>
      <c r="Z3623" s="6"/>
      <c r="AA3623" s="6"/>
    </row>
    <row r="3624" ht="14.25">
      <c r="B3624" s="4" t="s">
        <v>26461</v>
      </c>
      <c r="C3624" s="4" t="s">
        <v>26462</v>
      </c>
      <c r="D3624" s="4" t="s">
        <v>62</v>
      </c>
      <c r="E3624" s="4" t="s">
        <v>19487</v>
      </c>
      <c r="F3624" s="4" t="str">
        <f>IFERROR(__XLUDF.DUMMYFUNCTION("PROPER(REGEXREPLACE(D29,""[^A-Za-z]+ "",""""))"),"Ého.Link")</f>
        <v>Ého.Link</v>
      </c>
      <c r="G3624" s="4" t="s">
        <v>26463</v>
      </c>
      <c r="H3624" s="4">
        <v>17</v>
      </c>
      <c r="I3624" s="4" t="s">
        <v>9264</v>
      </c>
      <c r="J3624" s="4" t="str">
        <f>IFERROR(__XLUDF.DUMMYFUNCTION("VLOOKUP(H29,IMPORTRANGE(""https://docs.google.com/spreadsheets/d/1opm6ZNvGZ7KditA9TuJwrZ25eFLfTNIkrNnY6mhV5Eg"",""list!A1:C115""),3,TRUE)"),"le secteur de la sécurité informatique")</f>
        <v xml:space="preserve">le secteur de la sécurité informatique</v>
      </c>
      <c r="K3624" s="5" t="s">
        <v>26464</v>
      </c>
      <c r="L3624" s="5" t="s">
        <v>19490</v>
      </c>
      <c r="M3624" s="4" t="s">
        <v>1015</v>
      </c>
      <c r="N3624" s="4" t="s">
        <v>29</v>
      </c>
      <c r="O3624" s="4" t="s">
        <v>19491</v>
      </c>
      <c r="P3624" s="4" t="s">
        <v>29</v>
      </c>
      <c r="Q3624" s="6"/>
      <c r="R3624" s="6"/>
      <c r="S3624" s="6"/>
      <c r="T3624" s="6"/>
      <c r="U3624" s="6"/>
      <c r="V3624" s="6"/>
      <c r="W3624" s="6"/>
      <c r="X3624" s="6"/>
      <c r="Y3624" s="6"/>
      <c r="Z3624" s="6"/>
      <c r="AA3624" s="6"/>
    </row>
    <row r="3625" ht="14.25">
      <c r="B3625" s="4" t="s">
        <v>245</v>
      </c>
      <c r="C3625" s="4" t="s">
        <v>26465</v>
      </c>
      <c r="D3625" s="4" t="s">
        <v>112</v>
      </c>
      <c r="E3625" s="4" t="s">
        <v>21916</v>
      </c>
      <c r="F3625" s="4" t="str">
        <f>IFERROR(__XLUDF.DUMMYFUNCTION("PROPER(REGEXREPLACE(D30,""[^A-Za-z]+ "",""""))"),"Soteria Lab")</f>
        <v xml:space="preserve">Soteria Lab</v>
      </c>
      <c r="G3625" s="4" t="s">
        <v>26466</v>
      </c>
      <c r="H3625" s="4">
        <v>10</v>
      </c>
      <c r="I3625" s="4" t="s">
        <v>9264</v>
      </c>
      <c r="J3625" s="4" t="str">
        <f>IFERROR(__XLUDF.DUMMYFUNCTION("VLOOKUP(H30,IMPORTRANGE(""https://docs.google.com/spreadsheets/d/1opm6ZNvGZ7KditA9TuJwrZ25eFLfTNIkrNnY6mhV5Eg"",""list!A1:C115""),3,TRUE)"),"le secteur de la sécurité informatique")</f>
        <v xml:space="preserve">le secteur de la sécurité informatique</v>
      </c>
      <c r="K3625" s="5" t="s">
        <v>26467</v>
      </c>
      <c r="L3625" s="5" t="s">
        <v>21919</v>
      </c>
      <c r="M3625" s="4" t="s">
        <v>1780</v>
      </c>
      <c r="N3625" s="4" t="s">
        <v>29</v>
      </c>
      <c r="O3625" s="4" t="s">
        <v>3198</v>
      </c>
      <c r="P3625" s="4" t="s">
        <v>29</v>
      </c>
      <c r="Q3625" s="4" t="s">
        <v>21920</v>
      </c>
      <c r="R3625" s="6"/>
      <c r="S3625" s="6"/>
      <c r="T3625" s="6"/>
      <c r="U3625" s="6"/>
      <c r="V3625" s="6"/>
      <c r="W3625" s="6"/>
      <c r="X3625" s="6"/>
      <c r="Y3625" s="6"/>
      <c r="Z3625" s="6"/>
      <c r="AA3625" s="6"/>
    </row>
    <row r="3626" ht="14.25">
      <c r="B3626" s="4" t="s">
        <v>1704</v>
      </c>
      <c r="C3626" s="4" t="s">
        <v>1387</v>
      </c>
      <c r="D3626" s="4" t="s">
        <v>26468</v>
      </c>
      <c r="E3626" s="4" t="s">
        <v>26469</v>
      </c>
      <c r="F3626" s="4" t="str">
        <f>IFERROR(__XLUDF.DUMMYFUNCTION("PROPER(REGEXREPLACE(D31,""[^A-Za-z]+ "",""""))"),"Prizm")</f>
        <v>Prizm</v>
      </c>
      <c r="G3626" s="4" t="s">
        <v>26470</v>
      </c>
      <c r="H3626" s="4">
        <v>17</v>
      </c>
      <c r="I3626" s="4" t="s">
        <v>9264</v>
      </c>
      <c r="J3626" s="4" t="str">
        <f>IFERROR(__XLUDF.DUMMYFUNCTION("VLOOKUP(H31,IMPORTRANGE(""https://docs.google.com/spreadsheets/d/1opm6ZNvGZ7KditA9TuJwrZ25eFLfTNIkrNnY6mhV5Eg"",""list!A1:C115""),3,TRUE)"),"le secteur de la sécurité informatique")</f>
        <v xml:space="preserve">le secteur de la sécurité informatique</v>
      </c>
      <c r="K3626" s="5" t="s">
        <v>26471</v>
      </c>
      <c r="L3626" s="5" t="s">
        <v>26472</v>
      </c>
      <c r="M3626" s="4" t="s">
        <v>846</v>
      </c>
      <c r="N3626" s="4" t="s">
        <v>29</v>
      </c>
      <c r="O3626" s="4" t="s">
        <v>26473</v>
      </c>
      <c r="P3626" s="4" t="s">
        <v>29</v>
      </c>
      <c r="Q3626" s="6"/>
      <c r="R3626" s="6"/>
      <c r="S3626" s="6"/>
      <c r="T3626" s="6"/>
      <c r="U3626" s="6"/>
      <c r="V3626" s="6"/>
      <c r="W3626" s="6"/>
      <c r="X3626" s="6"/>
      <c r="Y3626" s="6"/>
      <c r="Z3626" s="6"/>
      <c r="AA3626" s="6"/>
    </row>
    <row r="3627" ht="14.25">
      <c r="B3627" s="4" t="s">
        <v>1605</v>
      </c>
      <c r="C3627" s="4" t="s">
        <v>26474</v>
      </c>
      <c r="D3627" s="4" t="s">
        <v>672</v>
      </c>
      <c r="E3627" s="4" t="s">
        <v>26475</v>
      </c>
      <c r="F3627" s="4" t="str">
        <f>IFERROR(__XLUDF.DUMMYFUNCTION("PROPER(REGEXREPLACE(D32,""[^A-Za-z]+ "",""""))"),"Ravel")</f>
        <v>Ravel</v>
      </c>
      <c r="G3627" s="4" t="s">
        <v>26476</v>
      </c>
      <c r="H3627" s="4">
        <v>13</v>
      </c>
      <c r="I3627" s="4" t="s">
        <v>9264</v>
      </c>
      <c r="J3627" s="4" t="str">
        <f>IFERROR(__XLUDF.DUMMYFUNCTION("VLOOKUP(H32,IMPORTRANGE(""https://docs.google.com/spreadsheets/d/1opm6ZNvGZ7KditA9TuJwrZ25eFLfTNIkrNnY6mhV5Eg"",""list!A1:C115""),3,TRUE)"),"le secteur de la sécurité informatique")</f>
        <v xml:space="preserve">le secteur de la sécurité informatique</v>
      </c>
      <c r="K3627" s="5" t="s">
        <v>26477</v>
      </c>
      <c r="L3627" s="5" t="s">
        <v>26478</v>
      </c>
      <c r="M3627" s="4" t="s">
        <v>39</v>
      </c>
      <c r="N3627" s="4" t="s">
        <v>29</v>
      </c>
      <c r="O3627" s="4" t="s">
        <v>26479</v>
      </c>
      <c r="P3627" s="4" t="s">
        <v>29</v>
      </c>
      <c r="Q3627" s="4" t="s">
        <v>26480</v>
      </c>
      <c r="R3627" s="6"/>
      <c r="S3627" s="6"/>
      <c r="T3627" s="6"/>
      <c r="U3627" s="6"/>
      <c r="V3627" s="6"/>
      <c r="W3627" s="6"/>
      <c r="X3627" s="6"/>
      <c r="Y3627" s="6"/>
      <c r="Z3627" s="6"/>
      <c r="AA3627" s="6"/>
    </row>
    <row r="3628" ht="14.25">
      <c r="B3628" s="4" t="s">
        <v>2299</v>
      </c>
      <c r="C3628" s="4" t="s">
        <v>26481</v>
      </c>
      <c r="D3628" s="4" t="s">
        <v>172</v>
      </c>
      <c r="E3628" s="4" t="s">
        <v>26482</v>
      </c>
      <c r="F3628" s="4" t="str">
        <f>IFERROR(__XLUDF.DUMMYFUNCTION("PROPER(REGEXREPLACE(D33,""[^A-Za-z]+ "",""""))"),"Cyberwatch")</f>
        <v>Cyberwatch</v>
      </c>
      <c r="G3628" s="4" t="s">
        <v>26483</v>
      </c>
      <c r="H3628" s="4">
        <v>32</v>
      </c>
      <c r="I3628" s="4" t="s">
        <v>9264</v>
      </c>
      <c r="J3628" s="4" t="str">
        <f>IFERROR(__XLUDF.DUMMYFUNCTION("VLOOKUP(H33,IMPORTRANGE(""https://docs.google.com/spreadsheets/d/1opm6ZNvGZ7KditA9TuJwrZ25eFLfTNIkrNnY6mhV5Eg"",""list!A1:C115""),3,TRUE)"),"le secteur de la sécurité informatique")</f>
        <v xml:space="preserve">le secteur de la sécurité informatique</v>
      </c>
      <c r="K3628" s="5" t="s">
        <v>26484</v>
      </c>
      <c r="L3628" s="5" t="s">
        <v>26485</v>
      </c>
      <c r="M3628" s="4" t="s">
        <v>39</v>
      </c>
      <c r="N3628" s="4" t="s">
        <v>29</v>
      </c>
      <c r="O3628" s="4" t="s">
        <v>26486</v>
      </c>
      <c r="P3628" s="4" t="s">
        <v>29</v>
      </c>
      <c r="Q3628" s="4" t="s">
        <v>26487</v>
      </c>
      <c r="R3628" s="6"/>
      <c r="S3628" s="6"/>
      <c r="T3628" s="6"/>
      <c r="U3628" s="6"/>
      <c r="V3628" s="6"/>
      <c r="W3628" s="6"/>
      <c r="X3628" s="6"/>
      <c r="Y3628" s="6"/>
      <c r="Z3628" s="6"/>
      <c r="AA3628" s="6"/>
    </row>
    <row r="3629" ht="14.25">
      <c r="B3629" s="4" t="s">
        <v>2643</v>
      </c>
      <c r="C3629" s="4" t="s">
        <v>26488</v>
      </c>
      <c r="D3629" s="4" t="s">
        <v>44</v>
      </c>
      <c r="E3629" s="4" t="s">
        <v>26489</v>
      </c>
      <c r="F3629" s="4" t="str">
        <f>IFERROR(__XLUDF.DUMMYFUNCTION("PROPER(REGEXREPLACE(D34,""[^A-Za-z]+ "",""""))"),"Alez Pc Prestataire Informatique")</f>
        <v xml:space="preserve">Alez Pc Prestataire Informatique</v>
      </c>
      <c r="G3629" s="4" t="s">
        <v>26490</v>
      </c>
      <c r="H3629" s="4">
        <v>13</v>
      </c>
      <c r="I3629" s="4" t="s">
        <v>9264</v>
      </c>
      <c r="J3629" s="4" t="str">
        <f>IFERROR(__XLUDF.DUMMYFUNCTION("VLOOKUP(H34,IMPORTRANGE(""https://docs.google.com/spreadsheets/d/1opm6ZNvGZ7KditA9TuJwrZ25eFLfTNIkrNnY6mhV5Eg"",""list!A1:C115""),3,TRUE)"),"le secteur de la sécurité informatique")</f>
        <v xml:space="preserve">le secteur de la sécurité informatique</v>
      </c>
      <c r="K3629" s="5" t="s">
        <v>26491</v>
      </c>
      <c r="L3629" s="5" t="s">
        <v>26492</v>
      </c>
      <c r="M3629" s="4" t="s">
        <v>39</v>
      </c>
      <c r="N3629" s="4" t="s">
        <v>29</v>
      </c>
      <c r="O3629" s="4" t="s">
        <v>26493</v>
      </c>
      <c r="P3629" s="4" t="s">
        <v>29</v>
      </c>
      <c r="Q3629" s="4" t="s">
        <v>26494</v>
      </c>
      <c r="R3629" s="6"/>
      <c r="S3629" s="6"/>
      <c r="T3629" s="6"/>
      <c r="U3629" s="6"/>
      <c r="V3629" s="6"/>
      <c r="W3629" s="6"/>
      <c r="X3629" s="6"/>
      <c r="Y3629" s="6"/>
      <c r="Z3629" s="6"/>
      <c r="AA3629" s="6"/>
    </row>
    <row r="3630" ht="14.25">
      <c r="B3630" s="4" t="s">
        <v>279</v>
      </c>
      <c r="C3630" s="4" t="s">
        <v>26495</v>
      </c>
      <c r="D3630" s="4" t="s">
        <v>26496</v>
      </c>
      <c r="E3630" s="4" t="s">
        <v>26497</v>
      </c>
      <c r="F3630" s="4" t="str">
        <f>IFERROR(__XLUDF.DUMMYFUNCTION("PROPER(REGEXREPLACE(D35,""[^A-Za-z]+ "",""""))"),"Innerspace Vr")</f>
        <v xml:space="preserve">Innerspace Vr</v>
      </c>
      <c r="G3630" s="4" t="s">
        <v>26498</v>
      </c>
      <c r="H3630" s="4">
        <v>11</v>
      </c>
      <c r="I3630" s="4" t="s">
        <v>18961</v>
      </c>
      <c r="J3630" s="4" t="str">
        <f>IFERROR(__XLUDF.DUMMYFUNCTION("VLOOKUP(H35,IMPORTRANGE(""https://docs.google.com/spreadsheets/d/1opm6ZNvGZ7KditA9TuJwrZ25eFLfTNIkrNnY6mhV5Eg"",""list!A1:C115""),3,TRUE)"),"le secteur des jeux vidéo")</f>
        <v xml:space="preserve">le secteur des jeux vidéo</v>
      </c>
      <c r="K3630" s="5" t="s">
        <v>26499</v>
      </c>
      <c r="L3630" s="5" t="s">
        <v>26500</v>
      </c>
      <c r="M3630" s="4" t="s">
        <v>492</v>
      </c>
      <c r="N3630" s="4" t="s">
        <v>29</v>
      </c>
      <c r="O3630" s="4" t="s">
        <v>26501</v>
      </c>
      <c r="P3630" s="4" t="s">
        <v>29</v>
      </c>
      <c r="Q3630" s="6"/>
      <c r="R3630" s="6"/>
      <c r="S3630" s="6"/>
      <c r="T3630" s="6"/>
      <c r="U3630" s="6"/>
      <c r="V3630" s="6"/>
      <c r="W3630" s="6"/>
      <c r="X3630" s="6"/>
      <c r="Y3630" s="6"/>
      <c r="Z3630" s="6"/>
      <c r="AA3630" s="6"/>
    </row>
    <row r="3631" ht="14.25">
      <c r="B3631" s="4" t="s">
        <v>7335</v>
      </c>
      <c r="C3631" s="4" t="s">
        <v>26502</v>
      </c>
      <c r="D3631" s="4" t="s">
        <v>26503</v>
      </c>
      <c r="E3631" s="4" t="s">
        <v>26497</v>
      </c>
      <c r="F3631" s="4" t="str">
        <f>IFERROR(__XLUDF.DUMMYFUNCTION("PROPER(REGEXREPLACE(D36,""[^A-Za-z]+ "",""""))"),"Innerspace Vr")</f>
        <v xml:space="preserve">Innerspace Vr</v>
      </c>
      <c r="G3631" s="4" t="s">
        <v>26504</v>
      </c>
      <c r="H3631" s="4">
        <v>11</v>
      </c>
      <c r="I3631" s="4" t="s">
        <v>18961</v>
      </c>
      <c r="J3631" s="4" t="str">
        <f>IFERROR(__XLUDF.DUMMYFUNCTION("VLOOKUP(H36,IMPORTRANGE(""https://docs.google.com/spreadsheets/d/1opm6ZNvGZ7KditA9TuJwrZ25eFLfTNIkrNnY6mhV5Eg"",""list!A1:C115""),3,TRUE)"),"le secteur des jeux vidéo")</f>
        <v xml:space="preserve">le secteur des jeux vidéo</v>
      </c>
      <c r="K3631" s="5" t="s">
        <v>26505</v>
      </c>
      <c r="L3631" s="5" t="s">
        <v>26500</v>
      </c>
      <c r="M3631" s="4" t="s">
        <v>39</v>
      </c>
      <c r="N3631" s="4" t="s">
        <v>29</v>
      </c>
      <c r="O3631" s="4" t="s">
        <v>26501</v>
      </c>
      <c r="P3631" s="4" t="s">
        <v>29</v>
      </c>
      <c r="Q3631" s="6"/>
      <c r="R3631" s="6"/>
      <c r="S3631" s="6"/>
      <c r="T3631" s="6"/>
      <c r="U3631" s="6"/>
      <c r="V3631" s="6"/>
      <c r="W3631" s="6"/>
      <c r="X3631" s="6"/>
      <c r="Y3631" s="6"/>
      <c r="Z3631" s="6"/>
      <c r="AA3631" s="6"/>
    </row>
    <row r="3632" ht="14.25">
      <c r="B3632" s="4" t="s">
        <v>1732</v>
      </c>
      <c r="C3632" s="4" t="s">
        <v>21731</v>
      </c>
      <c r="D3632" s="4" t="s">
        <v>247</v>
      </c>
      <c r="E3632" s="4" t="s">
        <v>26506</v>
      </c>
      <c r="F3632" s="4" t="str">
        <f>IFERROR(__XLUDF.DUMMYFUNCTION("PROPER(REGEXREPLACE(D37,""[^A-Za-z]+ "",""""))"),"Alt Shift")</f>
        <v xml:space="preserve">Alt Shift</v>
      </c>
      <c r="G3632" s="4" t="s">
        <v>26507</v>
      </c>
      <c r="H3632" s="4">
        <v>11</v>
      </c>
      <c r="I3632" s="4" t="s">
        <v>18961</v>
      </c>
      <c r="J3632" s="4" t="str">
        <f>IFERROR(__XLUDF.DUMMYFUNCTION("VLOOKUP(H37,IMPORTRANGE(""https://docs.google.com/spreadsheets/d/1opm6ZNvGZ7KditA9TuJwrZ25eFLfTNIkrNnY6mhV5Eg"",""list!A1:C115""),3,TRUE)"),"le secteur des jeux vidéo")</f>
        <v xml:space="preserve">le secteur des jeux vidéo</v>
      </c>
      <c r="K3632" s="5" t="s">
        <v>26508</v>
      </c>
      <c r="L3632" s="5" t="s">
        <v>26509</v>
      </c>
      <c r="M3632" s="4" t="s">
        <v>482</v>
      </c>
      <c r="N3632" s="4" t="s">
        <v>29</v>
      </c>
      <c r="O3632" s="4" t="s">
        <v>483</v>
      </c>
      <c r="P3632" s="4" t="s">
        <v>29</v>
      </c>
      <c r="Q3632" s="4" t="s">
        <v>26510</v>
      </c>
      <c r="R3632" s="6"/>
      <c r="S3632" s="6"/>
      <c r="T3632" s="6"/>
      <c r="U3632" s="6"/>
      <c r="V3632" s="6"/>
      <c r="W3632" s="6"/>
      <c r="X3632" s="6"/>
      <c r="Y3632" s="6"/>
      <c r="Z3632" s="6"/>
      <c r="AA3632" s="6"/>
    </row>
    <row r="3633" ht="14.25">
      <c r="B3633" s="4" t="s">
        <v>630</v>
      </c>
      <c r="C3633" s="4" t="s">
        <v>26511</v>
      </c>
      <c r="D3633" s="4" t="s">
        <v>26512</v>
      </c>
      <c r="E3633" s="4" t="s">
        <v>26513</v>
      </c>
      <c r="F3633" s="4" t="str">
        <f>IFERROR(__XLUDF.DUMMYFUNCTION("PROPER(REGEXREPLACE(D38,""[^A-Za-z]+ "",""""))"),"Million Victories")</f>
        <v xml:space="preserve">Million Victories</v>
      </c>
      <c r="G3633" s="4" t="s">
        <v>26514</v>
      </c>
      <c r="H3633" s="4">
        <v>45</v>
      </c>
      <c r="I3633" s="4" t="s">
        <v>18961</v>
      </c>
      <c r="J3633" s="4" t="str">
        <f>IFERROR(__XLUDF.DUMMYFUNCTION("VLOOKUP(H38,IMPORTRANGE(""https://docs.google.com/spreadsheets/d/1opm6ZNvGZ7KditA9TuJwrZ25eFLfTNIkrNnY6mhV5Eg"",""list!A1:C115""),3,TRUE)"),"le secteur des jeux vidéo")</f>
        <v xml:space="preserve">le secteur des jeux vidéo</v>
      </c>
      <c r="K3633" s="5" t="s">
        <v>26515</v>
      </c>
      <c r="L3633" s="5" t="s">
        <v>26516</v>
      </c>
      <c r="M3633" s="4" t="s">
        <v>185</v>
      </c>
      <c r="N3633" s="4" t="s">
        <v>29</v>
      </c>
      <c r="O3633" s="4" t="s">
        <v>26517</v>
      </c>
      <c r="P3633" s="4" t="s">
        <v>29</v>
      </c>
      <c r="Q3633" s="6"/>
      <c r="R3633" s="6"/>
      <c r="S3633" s="6"/>
      <c r="T3633" s="6"/>
      <c r="U3633" s="6"/>
      <c r="V3633" s="6"/>
      <c r="W3633" s="6"/>
      <c r="X3633" s="6"/>
      <c r="Y3633" s="6"/>
      <c r="Z3633" s="6"/>
      <c r="AA3633" s="6"/>
    </row>
    <row r="3634" ht="14.25">
      <c r="B3634" s="4" t="s">
        <v>1387</v>
      </c>
      <c r="C3634" s="4" t="s">
        <v>26518</v>
      </c>
      <c r="D3634" s="4" t="s">
        <v>247</v>
      </c>
      <c r="E3634" s="4" t="s">
        <v>26519</v>
      </c>
      <c r="F3634" s="4" t="str">
        <f>IFERROR(__XLUDF.DUMMYFUNCTION("PROPER(REGEXREPLACE(D39,""[^A-Za-z]+ "",""""))"),"Rapsodie")</f>
        <v>Rapsodie</v>
      </c>
      <c r="G3634" s="4" t="s">
        <v>26520</v>
      </c>
      <c r="H3634" s="4">
        <v>18</v>
      </c>
      <c r="I3634" s="4" t="s">
        <v>18961</v>
      </c>
      <c r="J3634" s="4" t="str">
        <f>IFERROR(__XLUDF.DUMMYFUNCTION("VLOOKUP(H39,IMPORTRANGE(""https://docs.google.com/spreadsheets/d/1opm6ZNvGZ7KditA9TuJwrZ25eFLfTNIkrNnY6mhV5Eg"",""list!A1:C115""),3,TRUE)"),"le secteur des jeux vidéo")</f>
        <v xml:space="preserve">le secteur des jeux vidéo</v>
      </c>
      <c r="K3634" s="5" t="s">
        <v>26521</v>
      </c>
      <c r="L3634" s="5" t="s">
        <v>26522</v>
      </c>
      <c r="M3634" s="4" t="s">
        <v>4296</v>
      </c>
      <c r="N3634" s="4" t="s">
        <v>29</v>
      </c>
      <c r="O3634" s="4" t="s">
        <v>67</v>
      </c>
      <c r="P3634" s="4" t="s">
        <v>29</v>
      </c>
      <c r="Q3634" s="4" t="s">
        <v>26523</v>
      </c>
      <c r="R3634" s="6"/>
      <c r="S3634" s="6"/>
      <c r="T3634" s="6"/>
      <c r="U3634" s="6"/>
      <c r="V3634" s="6"/>
      <c r="W3634" s="6"/>
      <c r="X3634" s="6"/>
      <c r="Y3634" s="6"/>
      <c r="Z3634" s="6"/>
      <c r="AA3634" s="6"/>
    </row>
    <row r="3635" ht="14.25">
      <c r="B3635" s="4" t="s">
        <v>4500</v>
      </c>
      <c r="C3635" s="4" t="s">
        <v>23769</v>
      </c>
      <c r="D3635" s="4" t="s">
        <v>87</v>
      </c>
      <c r="E3635" s="4" t="s">
        <v>26524</v>
      </c>
      <c r="F3635" s="4" t="str">
        <f>IFERROR(__XLUDF.DUMMYFUNCTION("PROPER(REGEXREPLACE(D40,""[^A-Za-z]+ "",""""))"),"Iscool Entertainment")</f>
        <v xml:space="preserve">Iscool Entertainment</v>
      </c>
      <c r="G3635" s="4" t="s">
        <v>26525</v>
      </c>
      <c r="H3635" s="4">
        <v>36</v>
      </c>
      <c r="I3635" s="4" t="s">
        <v>18961</v>
      </c>
      <c r="J3635" s="4" t="str">
        <f>IFERROR(__XLUDF.DUMMYFUNCTION("VLOOKUP(H40,IMPORTRANGE(""https://docs.google.com/spreadsheets/d/1opm6ZNvGZ7KditA9TuJwrZ25eFLfTNIkrNnY6mhV5Eg"",""list!A1:C115""),3,TRUE)"),"le secteur des jeux vidéo")</f>
        <v xml:space="preserve">le secteur des jeux vidéo</v>
      </c>
      <c r="K3635" s="5" t="s">
        <v>26526</v>
      </c>
      <c r="L3635" s="5" t="s">
        <v>26527</v>
      </c>
      <c r="M3635" s="6"/>
      <c r="N3635" s="4" t="s">
        <v>29</v>
      </c>
      <c r="O3635" s="4" t="s">
        <v>26528</v>
      </c>
      <c r="P3635" s="4" t="s">
        <v>29</v>
      </c>
      <c r="Q3635" s="6"/>
      <c r="R3635" s="6"/>
      <c r="S3635" s="6"/>
      <c r="T3635" s="6"/>
      <c r="U3635" s="6"/>
      <c r="V3635" s="6"/>
      <c r="W3635" s="6"/>
      <c r="X3635" s="6"/>
      <c r="Y3635" s="6"/>
      <c r="Z3635" s="6"/>
      <c r="AA3635" s="6"/>
    </row>
    <row r="3636" ht="14.25">
      <c r="B3636" s="4" t="s">
        <v>622</v>
      </c>
      <c r="C3636" s="4" t="s">
        <v>26529</v>
      </c>
      <c r="D3636" s="4" t="s">
        <v>26530</v>
      </c>
      <c r="E3636" s="4" t="s">
        <v>26531</v>
      </c>
      <c r="F3636" s="4" t="str">
        <f>IFERROR(__XLUDF.DUMMYFUNCTION("PROPER(REGEXREPLACE(D41,""[^A-Za-z]+ "",""""))"),"Demooz A Marvesting Company")</f>
        <v xml:space="preserve">Demooz A Marvesting Company</v>
      </c>
      <c r="G3636" s="4" t="s">
        <v>26532</v>
      </c>
      <c r="H3636" s="4">
        <v>15</v>
      </c>
      <c r="I3636" s="4" t="s">
        <v>2788</v>
      </c>
      <c r="J3636" s="4" t="str">
        <f>IFERROR(__XLUDF.DUMMYFUNCTION("VLOOKUP(H41,IMPORTRANGE(""https://docs.google.com/spreadsheets/d/1opm6ZNvGZ7KditA9TuJwrZ25eFLfTNIkrNnY6mhV5Eg"",""list!A1:C115""),3,TRUE)"),"le secteur B2C")</f>
        <v xml:space="preserve">le secteur B2C</v>
      </c>
      <c r="K3636" s="5" t="s">
        <v>26533</v>
      </c>
      <c r="L3636" s="5" t="s">
        <v>26534</v>
      </c>
      <c r="M3636" s="4" t="s">
        <v>39</v>
      </c>
      <c r="N3636" s="4" t="s">
        <v>29</v>
      </c>
      <c r="O3636" s="4" t="s">
        <v>26535</v>
      </c>
      <c r="P3636" s="4" t="s">
        <v>29</v>
      </c>
      <c r="Q3636" s="6"/>
      <c r="R3636" s="6"/>
      <c r="S3636" s="6"/>
      <c r="T3636" s="6"/>
      <c r="U3636" s="6"/>
      <c r="V3636" s="6"/>
      <c r="W3636" s="6"/>
      <c r="X3636" s="6"/>
      <c r="Y3636" s="6"/>
      <c r="Z3636" s="6"/>
      <c r="AA3636" s="6"/>
    </row>
    <row r="3637" ht="14.25">
      <c r="B3637" s="4" t="s">
        <v>6634</v>
      </c>
      <c r="C3637" s="4" t="s">
        <v>26536</v>
      </c>
      <c r="D3637" s="4" t="s">
        <v>426</v>
      </c>
      <c r="E3637" s="4" t="s">
        <v>26537</v>
      </c>
      <c r="F3637" s="4" t="str">
        <f>IFERROR(__XLUDF.DUMMYFUNCTION("PROPER(REGEXREPLACE(D42,""[^A-Za-z]+ "",""""))"),"Transtechnik")</f>
        <v>Transtechnik</v>
      </c>
      <c r="G3637" s="4" t="s">
        <v>26538</v>
      </c>
      <c r="H3637" s="4">
        <v>15</v>
      </c>
      <c r="I3637" s="4" t="s">
        <v>10215</v>
      </c>
      <c r="J3637" s="4" t="str">
        <f>IFERROR(__XLUDF.DUMMYFUNCTION("VLOOKUP(H42,IMPORTRANGE(""https://docs.google.com/spreadsheets/d/1opm6ZNvGZ7KditA9TuJwrZ25eFLfTNIkrNnY6mhV5Eg"",""list!A1:C115""),3,TRUE)"),"le secteur de l'électrique et électronique")</f>
        <v xml:space="preserve">le secteur de l'électrique et électronique</v>
      </c>
      <c r="K3637" s="5" t="s">
        <v>26539</v>
      </c>
      <c r="L3637" s="5" t="s">
        <v>26540</v>
      </c>
      <c r="M3637" s="4" t="s">
        <v>26541</v>
      </c>
      <c r="N3637" s="4" t="s">
        <v>29</v>
      </c>
      <c r="O3637" s="4" t="s">
        <v>26542</v>
      </c>
      <c r="P3637" s="4" t="s">
        <v>29</v>
      </c>
      <c r="Q3637" s="4" t="s">
        <v>26543</v>
      </c>
      <c r="R3637" s="6"/>
      <c r="S3637" s="6"/>
      <c r="T3637" s="6"/>
      <c r="U3637" s="6"/>
      <c r="V3637" s="6"/>
      <c r="W3637" s="6"/>
      <c r="X3637" s="6"/>
      <c r="Y3637" s="6"/>
      <c r="Z3637" s="6"/>
      <c r="AA3637" s="6"/>
    </row>
    <row r="3638" ht="14.25">
      <c r="B3638" s="4" t="s">
        <v>485</v>
      </c>
      <c r="C3638" s="4" t="s">
        <v>26544</v>
      </c>
      <c r="D3638" s="4" t="s">
        <v>265</v>
      </c>
      <c r="E3638" s="4" t="s">
        <v>26545</v>
      </c>
      <c r="F3638" s="4" t="str">
        <f>IFERROR(__XLUDF.DUMMYFUNCTION("PROPER(REGEXREPLACE(D43,""[^A-Za-z]+ "",""""))"),"Pollen Robotics")</f>
        <v xml:space="preserve">Pollen Robotics</v>
      </c>
      <c r="G3638" s="4" t="s">
        <v>26546</v>
      </c>
      <c r="H3638" s="4">
        <v>26</v>
      </c>
      <c r="I3638" s="4" t="s">
        <v>10215</v>
      </c>
      <c r="J3638" s="4" t="str">
        <f>IFERROR(__XLUDF.DUMMYFUNCTION("VLOOKUP(H43,IMPORTRANGE(""https://docs.google.com/spreadsheets/d/1opm6ZNvGZ7KditA9TuJwrZ25eFLfTNIkrNnY6mhV5Eg"",""list!A1:C115""),3,TRUE)"),"le secteur de l'électrique et électronique")</f>
        <v xml:space="preserve">le secteur de l'électrique et électronique</v>
      </c>
      <c r="K3638" s="5" t="s">
        <v>26547</v>
      </c>
      <c r="L3638" s="5" t="s">
        <v>26548</v>
      </c>
      <c r="M3638" s="4" t="s">
        <v>243</v>
      </c>
      <c r="N3638" s="4" t="s">
        <v>29</v>
      </c>
      <c r="O3638" s="4" t="s">
        <v>26549</v>
      </c>
      <c r="P3638" s="4" t="s">
        <v>29</v>
      </c>
      <c r="Q3638" s="4" t="s">
        <v>26550</v>
      </c>
      <c r="R3638" s="6"/>
      <c r="S3638" s="6"/>
      <c r="T3638" s="6"/>
      <c r="U3638" s="6"/>
      <c r="V3638" s="6"/>
      <c r="W3638" s="6"/>
      <c r="X3638" s="6"/>
      <c r="Y3638" s="6"/>
      <c r="Z3638" s="6"/>
      <c r="AA3638" s="6"/>
    </row>
    <row r="3639" ht="14.25">
      <c r="B3639" s="4" t="s">
        <v>3072</v>
      </c>
      <c r="C3639" s="4" t="s">
        <v>4800</v>
      </c>
      <c r="D3639" s="4" t="s">
        <v>172</v>
      </c>
      <c r="E3639" s="4" t="s">
        <v>26551</v>
      </c>
      <c r="F3639" s="4" t="str">
        <f>IFERROR(__XLUDF.DUMMYFUNCTION("PROPER(REGEXREPLACE(D44,""[^A-Za-z]+ "",""""))"),"Procaly")</f>
        <v>Procaly</v>
      </c>
      <c r="G3639" s="4" t="s">
        <v>26552</v>
      </c>
      <c r="H3639" s="4">
        <v>23</v>
      </c>
      <c r="I3639" s="4" t="s">
        <v>10215</v>
      </c>
      <c r="J3639" s="4" t="str">
        <f>IFERROR(__XLUDF.DUMMYFUNCTION("VLOOKUP(H44,IMPORTRANGE(""https://docs.google.com/spreadsheets/d/1opm6ZNvGZ7KditA9TuJwrZ25eFLfTNIkrNnY6mhV5Eg"",""list!A1:C115""),3,TRUE)"),"le secteur de l'électrique et électronique")</f>
        <v xml:space="preserve">le secteur de l'électrique et électronique</v>
      </c>
      <c r="K3639" s="5" t="s">
        <v>26553</v>
      </c>
      <c r="L3639" s="5" t="s">
        <v>26554</v>
      </c>
      <c r="M3639" s="4" t="s">
        <v>26555</v>
      </c>
      <c r="N3639" s="4" t="s">
        <v>29</v>
      </c>
      <c r="O3639" s="4" t="s">
        <v>26556</v>
      </c>
      <c r="P3639" s="4" t="s">
        <v>29</v>
      </c>
      <c r="Q3639" s="4" t="s">
        <v>26557</v>
      </c>
      <c r="R3639" s="6"/>
      <c r="S3639" s="6"/>
      <c r="T3639" s="6"/>
      <c r="U3639" s="6"/>
      <c r="V3639" s="6"/>
      <c r="W3639" s="6"/>
      <c r="X3639" s="6"/>
      <c r="Y3639" s="6"/>
      <c r="Z3639" s="6"/>
      <c r="AA3639" s="6"/>
    </row>
    <row r="3640" ht="14.25">
      <c r="B3640" s="4" t="s">
        <v>330</v>
      </c>
      <c r="C3640" s="4" t="s">
        <v>26558</v>
      </c>
      <c r="D3640" s="4" t="s">
        <v>87</v>
      </c>
      <c r="E3640" s="4" t="s">
        <v>18988</v>
      </c>
      <c r="F3640" s="4" t="str">
        <f>IFERROR(__XLUDF.DUMMYFUNCTION("PROPER(REGEXREPLACE(D45,""[^A-Za-z]+ "",""""))"),"Samsys")</f>
        <v>Samsys</v>
      </c>
      <c r="G3640" s="4" t="s">
        <v>26559</v>
      </c>
      <c r="H3640" s="4">
        <v>9</v>
      </c>
      <c r="I3640" s="4" t="s">
        <v>10215</v>
      </c>
      <c r="J3640" s="4" t="str">
        <f>IFERROR(__XLUDF.DUMMYFUNCTION("VLOOKUP(H45,IMPORTRANGE(""https://docs.google.com/spreadsheets/d/1opm6ZNvGZ7KditA9TuJwrZ25eFLfTNIkrNnY6mhV5Eg"",""list!A1:C115""),3,TRUE)"),"le secteur de l'électrique et électronique")</f>
        <v xml:space="preserve">le secteur de l'électrique et électronique</v>
      </c>
      <c r="K3640" s="5" t="s">
        <v>26560</v>
      </c>
      <c r="L3640" s="5" t="s">
        <v>18991</v>
      </c>
      <c r="M3640" s="4" t="s">
        <v>26561</v>
      </c>
      <c r="N3640" s="4" t="s">
        <v>29</v>
      </c>
      <c r="O3640" s="4" t="s">
        <v>18845</v>
      </c>
      <c r="P3640" s="4" t="s">
        <v>29</v>
      </c>
      <c r="Q3640" s="4" t="s">
        <v>18992</v>
      </c>
      <c r="R3640" s="6"/>
      <c r="S3640" s="6"/>
      <c r="T3640" s="6"/>
      <c r="U3640" s="6"/>
      <c r="V3640" s="6"/>
      <c r="W3640" s="6"/>
      <c r="X3640" s="6"/>
      <c r="Y3640" s="6"/>
      <c r="Z3640" s="6"/>
      <c r="AA3640" s="6"/>
    </row>
    <row r="3641" ht="14.25">
      <c r="B3641" s="4" t="s">
        <v>19061</v>
      </c>
      <c r="C3641" s="4" t="s">
        <v>11711</v>
      </c>
      <c r="D3641" s="4" t="s">
        <v>487</v>
      </c>
      <c r="E3641" s="4" t="s">
        <v>26562</v>
      </c>
      <c r="F3641" s="4" t="str">
        <f>IFERROR(__XLUDF.DUMMYFUNCTION("PROPER(REGEXREPLACE(D46,""[^A-Za-z]+ "",""""))"),"Prestocab France")</f>
        <v xml:space="preserve">Prestocab France</v>
      </c>
      <c r="G3641" s="4" t="s">
        <v>26563</v>
      </c>
      <c r="H3641" s="4">
        <v>11</v>
      </c>
      <c r="I3641" s="4" t="s">
        <v>10215</v>
      </c>
      <c r="J3641" s="4" t="str">
        <f>IFERROR(__XLUDF.DUMMYFUNCTION("VLOOKUP(H46,IMPORTRANGE(""https://docs.google.com/spreadsheets/d/1opm6ZNvGZ7KditA9TuJwrZ25eFLfTNIkrNnY6mhV5Eg"",""list!A1:C115""),3,TRUE)"),"le secteur de l'électrique et électronique")</f>
        <v xml:space="preserve">le secteur de l'électrique et électronique</v>
      </c>
      <c r="K3641" s="5" t="s">
        <v>26564</v>
      </c>
      <c r="L3641" s="5" t="s">
        <v>26565</v>
      </c>
      <c r="M3641" s="4" t="s">
        <v>14138</v>
      </c>
      <c r="N3641" s="4" t="s">
        <v>29</v>
      </c>
      <c r="O3641" s="4" t="s">
        <v>26566</v>
      </c>
      <c r="P3641" s="4" t="s">
        <v>29</v>
      </c>
      <c r="Q3641" s="4" t="s">
        <v>26567</v>
      </c>
      <c r="R3641" s="6"/>
      <c r="S3641" s="6"/>
      <c r="T3641" s="6"/>
      <c r="U3641" s="6"/>
      <c r="V3641" s="6"/>
      <c r="W3641" s="6"/>
      <c r="X3641" s="6"/>
      <c r="Y3641" s="6"/>
      <c r="Z3641" s="6"/>
      <c r="AA3641" s="6"/>
    </row>
    <row r="3642" ht="14.25">
      <c r="B3642" s="4" t="s">
        <v>26568</v>
      </c>
      <c r="C3642" s="4" t="s">
        <v>26569</v>
      </c>
      <c r="D3642" s="4" t="s">
        <v>4802</v>
      </c>
      <c r="E3642" s="4" t="s">
        <v>26570</v>
      </c>
      <c r="F3642" s="4" t="str">
        <f>IFERROR(__XLUDF.DUMMYFUNCTION("PROPER(REGEXREPLACE(D47,""[^A-Za-z]+ "",""""))"),"Wormsensing")</f>
        <v>Wormsensing</v>
      </c>
      <c r="G3642" s="4" t="s">
        <v>26571</v>
      </c>
      <c r="H3642" s="4">
        <v>18</v>
      </c>
      <c r="I3642" s="4" t="s">
        <v>10215</v>
      </c>
      <c r="J3642" s="4" t="str">
        <f>IFERROR(__XLUDF.DUMMYFUNCTION("VLOOKUP(H47,IMPORTRANGE(""https://docs.google.com/spreadsheets/d/1opm6ZNvGZ7KditA9TuJwrZ25eFLfTNIkrNnY6mhV5Eg"",""list!A1:C115""),3,TRUE)"),"le secteur de l'électrique et électronique")</f>
        <v xml:space="preserve">le secteur de l'électrique et électronique</v>
      </c>
      <c r="K3642" s="5" t="s">
        <v>26572</v>
      </c>
      <c r="L3642" s="5" t="s">
        <v>26573</v>
      </c>
      <c r="M3642" s="4" t="s">
        <v>1507</v>
      </c>
      <c r="N3642" s="4" t="s">
        <v>29</v>
      </c>
      <c r="O3642" s="4" t="s">
        <v>1851</v>
      </c>
      <c r="P3642" s="4" t="s">
        <v>29</v>
      </c>
      <c r="Q3642" s="4" t="s">
        <v>26574</v>
      </c>
      <c r="R3642" s="6"/>
      <c r="S3642" s="6"/>
      <c r="T3642" s="6"/>
      <c r="U3642" s="6"/>
      <c r="V3642" s="6"/>
      <c r="W3642" s="6"/>
      <c r="X3642" s="6"/>
      <c r="Y3642" s="6"/>
      <c r="Z3642" s="6"/>
      <c r="AA3642" s="6"/>
    </row>
    <row r="3643" ht="14.25">
      <c r="B3643" s="4" t="s">
        <v>3834</v>
      </c>
      <c r="C3643" s="4" t="s">
        <v>21140</v>
      </c>
      <c r="D3643" s="4" t="s">
        <v>103</v>
      </c>
      <c r="E3643" s="4" t="s">
        <v>21141</v>
      </c>
      <c r="F3643" s="4" t="str">
        <f>IFERROR(__XLUDF.DUMMYFUNCTION("PROPER(REGEXREPLACE(D48,""[^A-Za-z]+ "",""""))"),"Derancourt")</f>
        <v>Derancourt</v>
      </c>
      <c r="G3643" s="4" t="s">
        <v>26575</v>
      </c>
      <c r="H3643" s="4">
        <v>29</v>
      </c>
      <c r="I3643" s="4" t="s">
        <v>10215</v>
      </c>
      <c r="J3643" s="4" t="str">
        <f>IFERROR(__XLUDF.DUMMYFUNCTION("VLOOKUP(H48,IMPORTRANGE(""https://docs.google.com/spreadsheets/d/1opm6ZNvGZ7KditA9TuJwrZ25eFLfTNIkrNnY6mhV5Eg"",""list!A1:C115""),3,TRUE)"),"le secteur de l'électrique et électronique")</f>
        <v xml:space="preserve">le secteur de l'électrique et électronique</v>
      </c>
      <c r="K3643" s="5" t="s">
        <v>26576</v>
      </c>
      <c r="L3643" s="5" t="s">
        <v>21144</v>
      </c>
      <c r="M3643" s="4" t="s">
        <v>21145</v>
      </c>
      <c r="N3643" s="4" t="s">
        <v>29</v>
      </c>
      <c r="O3643" s="4" t="s">
        <v>21146</v>
      </c>
      <c r="P3643" s="4" t="s">
        <v>29</v>
      </c>
      <c r="Q3643" s="4" t="s">
        <v>21147</v>
      </c>
      <c r="R3643" s="6"/>
      <c r="S3643" s="6"/>
      <c r="T3643" s="6"/>
      <c r="U3643" s="6"/>
      <c r="V3643" s="6"/>
      <c r="W3643" s="6"/>
      <c r="X3643" s="6"/>
      <c r="Y3643" s="6"/>
      <c r="Z3643" s="6"/>
      <c r="AA3643" s="6"/>
    </row>
    <row r="3644" ht="14.25">
      <c r="B3644" s="4" t="s">
        <v>5001</v>
      </c>
      <c r="C3644" s="4" t="s">
        <v>26577</v>
      </c>
      <c r="D3644" s="4" t="s">
        <v>1950</v>
      </c>
      <c r="E3644" s="4" t="s">
        <v>26578</v>
      </c>
      <c r="F3644" s="4" t="str">
        <f>IFERROR(__XLUDF.DUMMYFUNCTION("PROPER(REGEXREPLACE(D49,""[^A-Za-z]+ "",""""))"),"Electro Pjp")</f>
        <v xml:space="preserve">Electro Pjp</v>
      </c>
      <c r="G3644" s="4" t="s">
        <v>26579</v>
      </c>
      <c r="H3644" s="4">
        <v>22</v>
      </c>
      <c r="I3644" s="4" t="s">
        <v>10215</v>
      </c>
      <c r="J3644" s="4" t="str">
        <f>IFERROR(__XLUDF.DUMMYFUNCTION("VLOOKUP(H49,IMPORTRANGE(""https://docs.google.com/spreadsheets/d/1opm6ZNvGZ7KditA9TuJwrZ25eFLfTNIkrNnY6mhV5Eg"",""list!A1:C115""),3,TRUE)"),"le secteur de l'électrique et électronique")</f>
        <v xml:space="preserve">le secteur de l'électrique et électronique</v>
      </c>
      <c r="K3644" s="5" t="s">
        <v>26580</v>
      </c>
      <c r="L3644" s="5" t="s">
        <v>26581</v>
      </c>
      <c r="M3644" s="4" t="s">
        <v>26582</v>
      </c>
      <c r="N3644" s="4" t="s">
        <v>29</v>
      </c>
      <c r="O3644" s="4" t="s">
        <v>26583</v>
      </c>
      <c r="P3644" s="4" t="s">
        <v>29</v>
      </c>
      <c r="Q3644" s="6"/>
      <c r="R3644" s="6"/>
      <c r="S3644" s="6"/>
      <c r="T3644" s="6"/>
      <c r="U3644" s="6"/>
      <c r="V3644" s="6"/>
      <c r="W3644" s="6"/>
      <c r="X3644" s="6"/>
      <c r="Y3644" s="6"/>
      <c r="Z3644" s="6"/>
      <c r="AA3644" s="6"/>
    </row>
    <row r="3645" ht="14.25">
      <c r="B3645" s="4" t="s">
        <v>26584</v>
      </c>
      <c r="C3645" s="4" t="s">
        <v>26584</v>
      </c>
      <c r="D3645" s="4" t="s">
        <v>112</v>
      </c>
      <c r="E3645" s="4" t="s">
        <v>26585</v>
      </c>
      <c r="F3645" s="4" t="str">
        <f>IFERROR(__XLUDF.DUMMYFUNCTION("PROPER(REGEXREPLACE(D50,""[^A-Za-z]+ "",""""))"),"Fontes De Paris")</f>
        <v xml:space="preserve">Fontes De Paris</v>
      </c>
      <c r="G3645" s="4" t="s">
        <v>26586</v>
      </c>
      <c r="H3645" s="4">
        <v>12</v>
      </c>
      <c r="I3645" s="4" t="s">
        <v>10215</v>
      </c>
      <c r="J3645" s="4" t="str">
        <f>IFERROR(__XLUDF.DUMMYFUNCTION("VLOOKUP(H50,IMPORTRANGE(""https://docs.google.com/spreadsheets/d/1opm6ZNvGZ7KditA9TuJwrZ25eFLfTNIkrNnY6mhV5Eg"",""list!A1:C115""),3,TRUE)"),"le secteur de l'électrique et électronique")</f>
        <v xml:space="preserve">le secteur de l'électrique et électronique</v>
      </c>
      <c r="K3645" s="5" t="s">
        <v>26587</v>
      </c>
      <c r="L3645" s="5" t="s">
        <v>26588</v>
      </c>
      <c r="M3645" s="6"/>
      <c r="N3645" s="4" t="s">
        <v>29</v>
      </c>
      <c r="O3645" s="4" t="s">
        <v>26589</v>
      </c>
      <c r="P3645" s="4" t="s">
        <v>29</v>
      </c>
      <c r="Q3645" s="6"/>
      <c r="R3645" s="6"/>
      <c r="S3645" s="6"/>
      <c r="T3645" s="6"/>
      <c r="U3645" s="6"/>
      <c r="V3645" s="6"/>
      <c r="W3645" s="6"/>
      <c r="X3645" s="6"/>
      <c r="Y3645" s="6"/>
      <c r="Z3645" s="6"/>
      <c r="AA3645" s="6"/>
    </row>
    <row r="3646" ht="14.25">
      <c r="B3646" s="4" t="s">
        <v>1853</v>
      </c>
      <c r="C3646" s="4" t="s">
        <v>26590</v>
      </c>
      <c r="D3646" s="4" t="s">
        <v>112</v>
      </c>
      <c r="E3646" s="4" t="s">
        <v>26591</v>
      </c>
      <c r="F3646" s="4" t="str">
        <f>IFERROR(__XLUDF.DUMMYFUNCTION("PROPER(REGEXREPLACE(D51,""[^A-Za-z]+ "",""""))"),"Groupe Atomelec")</f>
        <v xml:space="preserve">Groupe Atomelec</v>
      </c>
      <c r="G3646" s="4" t="s">
        <v>26592</v>
      </c>
      <c r="H3646" s="4">
        <v>21</v>
      </c>
      <c r="I3646" s="4" t="s">
        <v>10215</v>
      </c>
      <c r="J3646" s="4" t="str">
        <f>IFERROR(__XLUDF.DUMMYFUNCTION("VLOOKUP(H51,IMPORTRANGE(""https://docs.google.com/spreadsheets/d/1opm6ZNvGZ7KditA9TuJwrZ25eFLfTNIkrNnY6mhV5Eg"",""list!A1:C115""),3,TRUE)"),"le secteur de l'électrique et électronique")</f>
        <v xml:space="preserve">le secteur de l'électrique et électronique</v>
      </c>
      <c r="K3646" s="5" t="s">
        <v>26593</v>
      </c>
      <c r="L3646" s="5" t="s">
        <v>26594</v>
      </c>
      <c r="M3646" s="4" t="s">
        <v>185</v>
      </c>
      <c r="N3646" s="4" t="s">
        <v>29</v>
      </c>
      <c r="O3646" s="4" t="s">
        <v>26595</v>
      </c>
      <c r="P3646" s="4" t="s">
        <v>29</v>
      </c>
      <c r="Q3646" s="4" t="s">
        <v>26596</v>
      </c>
      <c r="R3646" s="6"/>
      <c r="S3646" s="6"/>
      <c r="T3646" s="6"/>
      <c r="U3646" s="6"/>
      <c r="V3646" s="6"/>
      <c r="W3646" s="6"/>
      <c r="X3646" s="6"/>
      <c r="Y3646" s="6"/>
      <c r="Z3646" s="6"/>
      <c r="AA3646" s="6"/>
    </row>
    <row r="3647" ht="14.25">
      <c r="B3647" s="4" t="s">
        <v>5716</v>
      </c>
      <c r="C3647" s="4" t="s">
        <v>26597</v>
      </c>
      <c r="D3647" s="4" t="s">
        <v>172</v>
      </c>
      <c r="E3647" s="4" t="s">
        <v>26598</v>
      </c>
      <c r="F3647" s="4" t="str">
        <f>IFERROR(__XLUDF.DUMMYFUNCTION("PROPER(REGEXREPLACE(D52,""[^A-Za-z]+ "",""""))"),"Jst Maintenance")</f>
        <v xml:space="preserve">Jst Maintenance</v>
      </c>
      <c r="G3647" s="4" t="s">
        <v>26599</v>
      </c>
      <c r="H3647" s="4">
        <v>23</v>
      </c>
      <c r="I3647" s="4" t="s">
        <v>10215</v>
      </c>
      <c r="J3647" s="4" t="str">
        <f>IFERROR(__XLUDF.DUMMYFUNCTION("VLOOKUP(H52,IMPORTRANGE(""https://docs.google.com/spreadsheets/d/1opm6ZNvGZ7KditA9TuJwrZ25eFLfTNIkrNnY6mhV5Eg"",""list!A1:C115""),3,TRUE)"),"le secteur de l'électrique et électronique")</f>
        <v xml:space="preserve">le secteur de l'électrique et électronique</v>
      </c>
      <c r="K3647" s="5" t="s">
        <v>26600</v>
      </c>
      <c r="L3647" s="5" t="s">
        <v>26601</v>
      </c>
      <c r="M3647" s="4" t="s">
        <v>18648</v>
      </c>
      <c r="N3647" s="4" t="s">
        <v>29</v>
      </c>
      <c r="O3647" s="4" t="s">
        <v>26602</v>
      </c>
      <c r="P3647" s="4" t="s">
        <v>29</v>
      </c>
      <c r="Q3647" s="4" t="s">
        <v>26603</v>
      </c>
      <c r="R3647" s="6"/>
      <c r="S3647" s="6"/>
      <c r="T3647" s="6"/>
      <c r="U3647" s="6"/>
      <c r="V3647" s="6"/>
      <c r="W3647" s="6"/>
      <c r="X3647" s="6"/>
      <c r="Y3647" s="6"/>
      <c r="Z3647" s="6"/>
      <c r="AA3647" s="6"/>
    </row>
    <row r="3648" ht="14.25">
      <c r="B3648" s="4" t="s">
        <v>355</v>
      </c>
      <c r="C3648" s="4" t="s">
        <v>26604</v>
      </c>
      <c r="D3648" s="4" t="s">
        <v>87</v>
      </c>
      <c r="E3648" s="4" t="s">
        <v>26605</v>
      </c>
      <c r="F3648" s="4" t="str">
        <f>IFERROR(__XLUDF.DUMMYFUNCTION("PROPER(REGEXREPLACE(D53,""[^A-Za-z]+ "",""""))"),"Kemiwatt")</f>
        <v>Kemiwatt</v>
      </c>
      <c r="G3648" s="4" t="s">
        <v>26606</v>
      </c>
      <c r="H3648" s="4">
        <v>10</v>
      </c>
      <c r="I3648" s="4" t="s">
        <v>10215</v>
      </c>
      <c r="J3648" s="4" t="str">
        <f>IFERROR(__XLUDF.DUMMYFUNCTION("VLOOKUP(H53,IMPORTRANGE(""https://docs.google.com/spreadsheets/d/1opm6ZNvGZ7KditA9TuJwrZ25eFLfTNIkrNnY6mhV5Eg"",""list!A1:C115""),3,TRUE)"),"le secteur de l'électrique et électronique")</f>
        <v xml:space="preserve">le secteur de l'électrique et électronique</v>
      </c>
      <c r="K3648" s="5" t="s">
        <v>26607</v>
      </c>
      <c r="L3648" s="5" t="s">
        <v>26608</v>
      </c>
      <c r="M3648" s="4" t="s">
        <v>1826</v>
      </c>
      <c r="N3648" s="4" t="s">
        <v>29</v>
      </c>
      <c r="O3648" s="4" t="s">
        <v>26609</v>
      </c>
      <c r="P3648" s="4" t="s">
        <v>29</v>
      </c>
      <c r="Q3648" s="4" t="s">
        <v>26610</v>
      </c>
      <c r="R3648" s="6"/>
      <c r="S3648" s="6"/>
      <c r="T3648" s="6"/>
      <c r="U3648" s="6"/>
      <c r="V3648" s="6"/>
      <c r="W3648" s="6"/>
      <c r="X3648" s="6"/>
      <c r="Y3648" s="6"/>
      <c r="Z3648" s="6"/>
      <c r="AA3648" s="6"/>
    </row>
    <row r="3649" ht="14.25">
      <c r="B3649" s="4" t="s">
        <v>4204</v>
      </c>
      <c r="C3649" s="4" t="s">
        <v>26611</v>
      </c>
      <c r="D3649" s="4" t="s">
        <v>172</v>
      </c>
      <c r="E3649" s="4" t="s">
        <v>26612</v>
      </c>
      <c r="F3649" s="4" t="str">
        <f>IFERROR(__XLUDF.DUMMYFUNCTION("PROPER(REGEXREPLACE(D54,""[^A-Za-z]+ "",""""))"),"La Bellenergie")</f>
        <v xml:space="preserve">La Bellenergie</v>
      </c>
      <c r="G3649" s="4" t="s">
        <v>26613</v>
      </c>
      <c r="H3649" s="4">
        <v>45</v>
      </c>
      <c r="I3649" s="4" t="s">
        <v>10215</v>
      </c>
      <c r="J3649" s="4" t="str">
        <f>IFERROR(__XLUDF.DUMMYFUNCTION("VLOOKUP(H54,IMPORTRANGE(""https://docs.google.com/spreadsheets/d/1opm6ZNvGZ7KditA9TuJwrZ25eFLfTNIkrNnY6mhV5Eg"",""list!A1:C115""),3,TRUE)"),"le secteur de l'électrique et électronique")</f>
        <v xml:space="preserve">le secteur de l'électrique et électronique</v>
      </c>
      <c r="K3649" s="5" t="s">
        <v>26614</v>
      </c>
      <c r="L3649" s="5" t="s">
        <v>26615</v>
      </c>
      <c r="M3649" s="4" t="s">
        <v>295</v>
      </c>
      <c r="N3649" s="4" t="s">
        <v>29</v>
      </c>
      <c r="O3649" s="4" t="s">
        <v>26616</v>
      </c>
      <c r="P3649" s="4" t="s">
        <v>29</v>
      </c>
      <c r="Q3649" s="4" t="s">
        <v>26617</v>
      </c>
      <c r="R3649" s="6"/>
      <c r="S3649" s="6"/>
      <c r="T3649" s="6"/>
      <c r="U3649" s="6"/>
      <c r="V3649" s="6"/>
      <c r="W3649" s="6"/>
      <c r="X3649" s="6"/>
      <c r="Y3649" s="6"/>
      <c r="Z3649" s="6"/>
      <c r="AA3649" s="6"/>
    </row>
    <row r="3650" ht="14.25">
      <c r="B3650" s="4" t="s">
        <v>874</v>
      </c>
      <c r="C3650" s="4" t="s">
        <v>26618</v>
      </c>
      <c r="D3650" s="4" t="s">
        <v>487</v>
      </c>
      <c r="E3650" s="4" t="s">
        <v>26619</v>
      </c>
      <c r="F3650" s="4" t="str">
        <f>IFERROR(__XLUDF.DUMMYFUNCTION("PROPER(REGEXREPLACE(D55,""[^A-Za-z]+ "",""""))"),"Cats Power Design")</f>
        <v xml:space="preserve">Cats Power Design</v>
      </c>
      <c r="G3650" s="4" t="s">
        <v>26620</v>
      </c>
      <c r="H3650" s="4">
        <v>25</v>
      </c>
      <c r="I3650" s="4" t="s">
        <v>10215</v>
      </c>
      <c r="J3650" s="4" t="str">
        <f>IFERROR(__XLUDF.DUMMYFUNCTION("VLOOKUP(H55,IMPORTRANGE(""https://docs.google.com/spreadsheets/d/1opm6ZNvGZ7KditA9TuJwrZ25eFLfTNIkrNnY6mhV5Eg"",""list!A1:C115""),3,TRUE)"),"le secteur de l'électrique et électronique")</f>
        <v xml:space="preserve">le secteur de l'électrique et électronique</v>
      </c>
      <c r="K3650" s="5" t="s">
        <v>26621</v>
      </c>
      <c r="L3650" s="5" t="s">
        <v>26622</v>
      </c>
      <c r="M3650" s="4" t="s">
        <v>185</v>
      </c>
      <c r="N3650" s="4" t="s">
        <v>29</v>
      </c>
      <c r="O3650" s="4" t="s">
        <v>3890</v>
      </c>
      <c r="P3650" s="4" t="s">
        <v>29</v>
      </c>
      <c r="Q3650" s="4" t="s">
        <v>26623</v>
      </c>
      <c r="R3650" s="6"/>
      <c r="S3650" s="6"/>
      <c r="T3650" s="6"/>
      <c r="U3650" s="6"/>
      <c r="V3650" s="6"/>
      <c r="W3650" s="6"/>
      <c r="X3650" s="6"/>
      <c r="Y3650" s="6"/>
      <c r="Z3650" s="6"/>
      <c r="AA3650" s="6"/>
    </row>
    <row r="3651" ht="14.25">
      <c r="B3651" s="4" t="s">
        <v>1353</v>
      </c>
      <c r="C3651" s="4" t="s">
        <v>26624</v>
      </c>
      <c r="D3651" s="4" t="s">
        <v>2911</v>
      </c>
      <c r="E3651" s="4" t="s">
        <v>26625</v>
      </c>
      <c r="F3651" s="4" t="str">
        <f>IFERROR(__XLUDF.DUMMYFUNCTION("PROPER(REGEXREPLACE(D56,""[^A-Za-z]+ "",""""))"),"Jaune Fabrique")</f>
        <v xml:space="preserve">Jaune Fabrique</v>
      </c>
      <c r="G3651" s="4" t="s">
        <v>26626</v>
      </c>
      <c r="H3651" s="4">
        <v>11</v>
      </c>
      <c r="I3651" s="4" t="s">
        <v>10215</v>
      </c>
      <c r="J3651" s="4" t="str">
        <f>IFERROR(__XLUDF.DUMMYFUNCTION("VLOOKUP(H56,IMPORTRANGE(""https://docs.google.com/spreadsheets/d/1opm6ZNvGZ7KditA9TuJwrZ25eFLfTNIkrNnY6mhV5Eg"",""list!A1:C115""),3,TRUE)"),"le secteur de l'électrique et électronique")</f>
        <v xml:space="preserve">le secteur de l'électrique et électronique</v>
      </c>
      <c r="K3651" s="5" t="s">
        <v>26627</v>
      </c>
      <c r="L3651" s="5" t="s">
        <v>26628</v>
      </c>
      <c r="M3651" s="4" t="s">
        <v>39</v>
      </c>
      <c r="N3651" s="4" t="s">
        <v>29</v>
      </c>
      <c r="O3651" s="4" t="s">
        <v>26629</v>
      </c>
      <c r="P3651" s="4" t="s">
        <v>29</v>
      </c>
      <c r="Q3651" s="6"/>
      <c r="R3651" s="6"/>
      <c r="S3651" s="6"/>
      <c r="T3651" s="6"/>
      <c r="U3651" s="6"/>
      <c r="V3651" s="6"/>
      <c r="W3651" s="6"/>
      <c r="X3651" s="6"/>
      <c r="Y3651" s="6"/>
      <c r="Z3651" s="6"/>
      <c r="AA3651" s="6"/>
    </row>
    <row r="3652" ht="14.25">
      <c r="B3652" s="4" t="s">
        <v>874</v>
      </c>
      <c r="C3652" s="4" t="s">
        <v>26630</v>
      </c>
      <c r="D3652" s="4" t="s">
        <v>172</v>
      </c>
      <c r="E3652" s="4" t="s">
        <v>26631</v>
      </c>
      <c r="F3652" s="4" t="str">
        <f>IFERROR(__XLUDF.DUMMYFUNCTION("PROPER(REGEXREPLACE(D57,""[^A-Za-z]+ "",""""))"),"3F Filippi")</f>
        <v xml:space="preserve">3F Filippi</v>
      </c>
      <c r="G3652" s="4" t="s">
        <v>26632</v>
      </c>
      <c r="H3652" s="4">
        <v>23</v>
      </c>
      <c r="I3652" s="4" t="s">
        <v>10215</v>
      </c>
      <c r="J3652" s="4" t="str">
        <f>IFERROR(__XLUDF.DUMMYFUNCTION("VLOOKUP(H57,IMPORTRANGE(""https://docs.google.com/spreadsheets/d/1opm6ZNvGZ7KditA9TuJwrZ25eFLfTNIkrNnY6mhV5Eg"",""list!A1:C115""),3,TRUE)"),"le secteur de l'électrique et électronique")</f>
        <v xml:space="preserve">le secteur de l'électrique et électronique</v>
      </c>
      <c r="K3652" s="5" t="s">
        <v>26633</v>
      </c>
      <c r="L3652" s="5" t="s">
        <v>26634</v>
      </c>
      <c r="M3652" s="4" t="s">
        <v>83</v>
      </c>
      <c r="N3652" s="4" t="s">
        <v>29</v>
      </c>
      <c r="O3652" s="4" t="s">
        <v>26635</v>
      </c>
      <c r="P3652" s="4" t="s">
        <v>29</v>
      </c>
      <c r="Q3652" s="6"/>
      <c r="R3652" s="6"/>
      <c r="S3652" s="6"/>
      <c r="T3652" s="6"/>
      <c r="U3652" s="6"/>
      <c r="V3652" s="6"/>
      <c r="W3652" s="6"/>
      <c r="X3652" s="6"/>
      <c r="Y3652" s="6"/>
      <c r="Z3652" s="6"/>
      <c r="AA3652" s="6"/>
    </row>
    <row r="3653" ht="14.25">
      <c r="B3653" s="4" t="s">
        <v>1562</v>
      </c>
      <c r="C3653" s="4" t="s">
        <v>15873</v>
      </c>
      <c r="D3653" s="4" t="s">
        <v>426</v>
      </c>
      <c r="E3653" s="4" t="s">
        <v>26636</v>
      </c>
      <c r="F3653" s="4" t="str">
        <f>IFERROR(__XLUDF.DUMMYFUNCTION("PROPER(REGEXREPLACE(D58,""[^A-Za-z]+ "",""""))"),"Dauphelec")</f>
        <v>Dauphelec</v>
      </c>
      <c r="G3653" s="4" t="s">
        <v>26637</v>
      </c>
      <c r="H3653" s="4">
        <v>21</v>
      </c>
      <c r="I3653" s="4" t="s">
        <v>10215</v>
      </c>
      <c r="J3653" s="4" t="str">
        <f>IFERROR(__XLUDF.DUMMYFUNCTION("VLOOKUP(H58,IMPORTRANGE(""https://docs.google.com/spreadsheets/d/1opm6ZNvGZ7KditA9TuJwrZ25eFLfTNIkrNnY6mhV5Eg"",""list!A1:C115""),3,TRUE)"),"le secteur de l'électrique et électronique")</f>
        <v xml:space="preserve">le secteur de l'électrique et électronique</v>
      </c>
      <c r="K3653" s="5" t="s">
        <v>26638</v>
      </c>
      <c r="L3653" s="5" t="s">
        <v>26639</v>
      </c>
      <c r="M3653" s="4" t="s">
        <v>1507</v>
      </c>
      <c r="N3653" s="4" t="s">
        <v>29</v>
      </c>
      <c r="O3653" s="4" t="s">
        <v>26640</v>
      </c>
      <c r="P3653" s="4" t="s">
        <v>29</v>
      </c>
      <c r="Q3653" s="4" t="s">
        <v>26641</v>
      </c>
      <c r="R3653" s="6"/>
      <c r="S3653" s="6"/>
      <c r="T3653" s="6"/>
      <c r="U3653" s="6"/>
      <c r="V3653" s="6"/>
      <c r="W3653" s="6"/>
      <c r="X3653" s="6"/>
      <c r="Y3653" s="6"/>
      <c r="Z3653" s="6"/>
      <c r="AA3653" s="6"/>
    </row>
    <row r="3654" ht="14.25">
      <c r="B3654" s="4" t="s">
        <v>322</v>
      </c>
      <c r="C3654" s="4" t="s">
        <v>26642</v>
      </c>
      <c r="D3654" s="4" t="s">
        <v>468</v>
      </c>
      <c r="E3654" s="4" t="s">
        <v>26643</v>
      </c>
      <c r="F3654" s="4" t="str">
        <f>IFERROR(__XLUDF.DUMMYFUNCTION("PROPER(REGEXREPLACE(D59,""[^A-Za-z]+ "",""""))"),"Maxon France")</f>
        <v xml:space="preserve">Maxon France</v>
      </c>
      <c r="G3654" s="4" t="s">
        <v>26644</v>
      </c>
      <c r="H3654" s="4">
        <v>46</v>
      </c>
      <c r="I3654" s="4" t="s">
        <v>10215</v>
      </c>
      <c r="J3654" s="4" t="str">
        <f>IFERROR(__XLUDF.DUMMYFUNCTION("VLOOKUP(H59,IMPORTRANGE(""https://docs.google.com/spreadsheets/d/1opm6ZNvGZ7KditA9TuJwrZ25eFLfTNIkrNnY6mhV5Eg"",""list!A1:C115""),3,TRUE)"),"le secteur de l'électrique et électronique")</f>
        <v xml:space="preserve">le secteur de l'électrique et électronique</v>
      </c>
      <c r="K3654" s="5" t="s">
        <v>26645</v>
      </c>
      <c r="L3654" s="5" t="s">
        <v>26646</v>
      </c>
      <c r="M3654" s="6"/>
      <c r="N3654" s="4" t="s">
        <v>29</v>
      </c>
      <c r="O3654" s="4" t="s">
        <v>26647</v>
      </c>
      <c r="P3654" s="4" t="s">
        <v>29</v>
      </c>
      <c r="Q3654" s="4" t="s">
        <v>26648</v>
      </c>
      <c r="R3654" s="6"/>
      <c r="S3654" s="6"/>
      <c r="T3654" s="6"/>
      <c r="U3654" s="6"/>
      <c r="V3654" s="6"/>
      <c r="W3654" s="6"/>
      <c r="X3654" s="6"/>
      <c r="Y3654" s="6"/>
      <c r="Z3654" s="6"/>
      <c r="AA3654" s="6"/>
    </row>
    <row r="3655" ht="14.25">
      <c r="B3655" s="4" t="s">
        <v>6788</v>
      </c>
      <c r="C3655" s="4" t="s">
        <v>26649</v>
      </c>
      <c r="D3655" s="4" t="s">
        <v>468</v>
      </c>
      <c r="E3655" s="4" t="s">
        <v>26650</v>
      </c>
      <c r="F3655" s="4" t="str">
        <f>IFERROR(__XLUDF.DUMMYFUNCTION("PROPER(REGEXREPLACE(D60,""[^A-Za-z]+ "",""""))"),"Efer Endoscopy")</f>
        <v xml:space="preserve">Efer Endoscopy</v>
      </c>
      <c r="G3655" s="4" t="s">
        <v>26651</v>
      </c>
      <c r="H3655" s="4">
        <v>24</v>
      </c>
      <c r="I3655" s="4" t="s">
        <v>10215</v>
      </c>
      <c r="J3655" s="4" t="str">
        <f>IFERROR(__XLUDF.DUMMYFUNCTION("VLOOKUP(H60,IMPORTRANGE(""https://docs.google.com/spreadsheets/d/1opm6ZNvGZ7KditA9TuJwrZ25eFLfTNIkrNnY6mhV5Eg"",""list!A1:C115""),3,TRUE)"),"le secteur de l'électrique et électronique")</f>
        <v xml:space="preserve">le secteur de l'électrique et électronique</v>
      </c>
      <c r="K3655" s="5" t="s">
        <v>26652</v>
      </c>
      <c r="L3655" s="5" t="s">
        <v>26653</v>
      </c>
      <c r="M3655" s="4" t="s">
        <v>10088</v>
      </c>
      <c r="N3655" s="4" t="s">
        <v>29</v>
      </c>
      <c r="O3655" s="4" t="s">
        <v>26654</v>
      </c>
      <c r="P3655" s="4" t="s">
        <v>29</v>
      </c>
      <c r="Q3655" s="4" t="s">
        <v>26655</v>
      </c>
      <c r="R3655" s="6"/>
      <c r="S3655" s="6"/>
      <c r="T3655" s="6"/>
      <c r="U3655" s="6"/>
      <c r="V3655" s="6"/>
      <c r="W3655" s="6"/>
      <c r="X3655" s="6"/>
      <c r="Y3655" s="6"/>
      <c r="Z3655" s="6"/>
      <c r="AA3655" s="6"/>
    </row>
    <row r="3656" ht="14.25">
      <c r="B3656" s="4" t="s">
        <v>170</v>
      </c>
      <c r="C3656" s="4" t="s">
        <v>8303</v>
      </c>
      <c r="D3656" s="4" t="s">
        <v>9550</v>
      </c>
      <c r="E3656" s="4" t="s">
        <v>24097</v>
      </c>
      <c r="F3656" s="4" t="str">
        <f>IFERROR(__XLUDF.DUMMYFUNCTION("PROPER(REGEXREPLACE(D61,""[^A-Za-z]+ "",""""))"),"Mob-Energy")</f>
        <v>Mob-Energy</v>
      </c>
      <c r="G3656" s="4" t="s">
        <v>26656</v>
      </c>
      <c r="H3656" s="4">
        <v>46</v>
      </c>
      <c r="I3656" s="4" t="s">
        <v>10215</v>
      </c>
      <c r="J3656" s="4" t="str">
        <f>IFERROR(__XLUDF.DUMMYFUNCTION("VLOOKUP(H61,IMPORTRANGE(""https://docs.google.com/spreadsheets/d/1opm6ZNvGZ7KditA9TuJwrZ25eFLfTNIkrNnY6mhV5Eg"",""list!A1:C115""),3,TRUE)"),"le secteur de l'électrique et électronique")</f>
        <v xml:space="preserve">le secteur de l'électrique et électronique</v>
      </c>
      <c r="K3656" s="5" t="s">
        <v>26657</v>
      </c>
      <c r="L3656" s="5" t="s">
        <v>24100</v>
      </c>
      <c r="M3656" s="4" t="s">
        <v>185</v>
      </c>
      <c r="N3656" s="4" t="s">
        <v>29</v>
      </c>
      <c r="O3656" s="4" t="s">
        <v>24101</v>
      </c>
      <c r="P3656" s="4" t="s">
        <v>29</v>
      </c>
      <c r="Q3656" s="4" t="s">
        <v>24102</v>
      </c>
      <c r="R3656" s="6"/>
      <c r="S3656" s="6"/>
      <c r="T3656" s="6"/>
      <c r="U3656" s="6"/>
      <c r="V3656" s="6"/>
      <c r="W3656" s="6"/>
      <c r="X3656" s="6"/>
      <c r="Y3656" s="6"/>
      <c r="Z3656" s="6"/>
      <c r="AA3656" s="6"/>
    </row>
    <row r="3657" ht="14.25">
      <c r="B3657" s="4" t="s">
        <v>26658</v>
      </c>
      <c r="C3657" s="4" t="s">
        <v>26659</v>
      </c>
      <c r="D3657" s="4" t="s">
        <v>112</v>
      </c>
      <c r="E3657" s="4" t="s">
        <v>20943</v>
      </c>
      <c r="F3657" s="4" t="str">
        <f>IFERROR(__XLUDF.DUMMYFUNCTION("PROPER(REGEXREPLACE(D62,""[^A-Za-z]+ "",""""))"),"Up&amp;Charge")</f>
        <v>Up&amp;Charge</v>
      </c>
      <c r="G3657" s="4" t="s">
        <v>26660</v>
      </c>
      <c r="H3657" s="4">
        <v>15</v>
      </c>
      <c r="I3657" s="4" t="s">
        <v>10215</v>
      </c>
      <c r="J3657" s="4" t="str">
        <f>IFERROR(__XLUDF.DUMMYFUNCTION("VLOOKUP(H62,IMPORTRANGE(""https://docs.google.com/spreadsheets/d/1opm6ZNvGZ7KditA9TuJwrZ25eFLfTNIkrNnY6mhV5Eg"",""list!A1:C115""),3,TRUE)"),"le secteur de l'électrique et électronique")</f>
        <v xml:space="preserve">le secteur de l'électrique et électronique</v>
      </c>
      <c r="K3657" s="5" t="s">
        <v>26661</v>
      </c>
      <c r="L3657" s="5" t="s">
        <v>20946</v>
      </c>
      <c r="M3657" s="4" t="s">
        <v>8537</v>
      </c>
      <c r="N3657" s="4" t="s">
        <v>29</v>
      </c>
      <c r="O3657" s="4" t="s">
        <v>6520</v>
      </c>
      <c r="P3657" s="4" t="s">
        <v>29</v>
      </c>
      <c r="Q3657" s="4" t="s">
        <v>20947</v>
      </c>
      <c r="R3657" s="6"/>
      <c r="S3657" s="6"/>
      <c r="T3657" s="6"/>
      <c r="U3657" s="6"/>
      <c r="V3657" s="6"/>
      <c r="W3657" s="6"/>
      <c r="X3657" s="6"/>
      <c r="Y3657" s="6"/>
      <c r="Z3657" s="6"/>
      <c r="AA3657" s="6"/>
    </row>
    <row r="3658" ht="14.25">
      <c r="B3658" s="4" t="s">
        <v>971</v>
      </c>
      <c r="C3658" s="4" t="s">
        <v>26662</v>
      </c>
      <c r="D3658" s="4" t="s">
        <v>426</v>
      </c>
      <c r="E3658" s="4" t="s">
        <v>26663</v>
      </c>
      <c r="F3658" s="4" t="str">
        <f>IFERROR(__XLUDF.DUMMYFUNCTION("PROPER(REGEXREPLACE(D63,""[^A-Za-z]+ "",""""))"),"Green Led Technology")</f>
        <v xml:space="preserve">Green Led Technology</v>
      </c>
      <c r="G3658" s="4" t="s">
        <v>26664</v>
      </c>
      <c r="H3658" s="4">
        <v>12</v>
      </c>
      <c r="I3658" s="4" t="s">
        <v>10215</v>
      </c>
      <c r="J3658" s="4" t="str">
        <f>IFERROR(__XLUDF.DUMMYFUNCTION("VLOOKUP(H63,IMPORTRANGE(""https://docs.google.com/spreadsheets/d/1opm6ZNvGZ7KditA9TuJwrZ25eFLfTNIkrNnY6mhV5Eg"",""list!A1:C115""),3,TRUE)"),"le secteur de l'électrique et électronique")</f>
        <v xml:space="preserve">le secteur de l'électrique et électronique</v>
      </c>
      <c r="K3658" s="5" t="s">
        <v>26665</v>
      </c>
      <c r="L3658" s="5" t="s">
        <v>26666</v>
      </c>
      <c r="M3658" s="4" t="s">
        <v>2903</v>
      </c>
      <c r="N3658" s="4" t="s">
        <v>29</v>
      </c>
      <c r="O3658" s="4" t="s">
        <v>26667</v>
      </c>
      <c r="P3658" s="4" t="s">
        <v>29</v>
      </c>
      <c r="Q3658" s="6"/>
      <c r="R3658" s="6"/>
      <c r="S3658" s="6"/>
      <c r="T3658" s="6"/>
      <c r="U3658" s="6"/>
      <c r="V3658" s="6"/>
      <c r="W3658" s="6"/>
      <c r="X3658" s="6"/>
      <c r="Y3658" s="6"/>
      <c r="Z3658" s="6"/>
      <c r="AA3658" s="6"/>
    </row>
    <row r="3659" ht="14.25">
      <c r="B3659" s="4" t="s">
        <v>2119</v>
      </c>
      <c r="C3659" s="4" t="s">
        <v>26668</v>
      </c>
      <c r="D3659" s="4" t="s">
        <v>112</v>
      </c>
      <c r="E3659" s="4" t="s">
        <v>26669</v>
      </c>
      <c r="F3659" s="4" t="str">
        <f>IFERROR(__XLUDF.DUMMYFUNCTION("PROPER(REGEXREPLACE(D64,""[^A-Za-z]+ "",""""))"),"Bse Electronic")</f>
        <v xml:space="preserve">Bse Electronic</v>
      </c>
      <c r="G3659" s="4" t="s">
        <v>26670</v>
      </c>
      <c r="H3659" s="4">
        <v>36</v>
      </c>
      <c r="I3659" s="4" t="s">
        <v>10215</v>
      </c>
      <c r="J3659" s="4" t="str">
        <f>IFERROR(__XLUDF.DUMMYFUNCTION("VLOOKUP(H64,IMPORTRANGE(""https://docs.google.com/spreadsheets/d/1opm6ZNvGZ7KditA9TuJwrZ25eFLfTNIkrNnY6mhV5Eg"",""list!A1:C115""),3,TRUE)"),"le secteur de l'électrique et électronique")</f>
        <v xml:space="preserve">le secteur de l'électrique et électronique</v>
      </c>
      <c r="K3659" s="5" t="s">
        <v>26671</v>
      </c>
      <c r="L3659" s="5" t="s">
        <v>26672</v>
      </c>
      <c r="M3659" s="4" t="s">
        <v>26673</v>
      </c>
      <c r="N3659" s="4" t="s">
        <v>29</v>
      </c>
      <c r="O3659" s="4" t="s">
        <v>26674</v>
      </c>
      <c r="P3659" s="4" t="s">
        <v>29</v>
      </c>
      <c r="Q3659" s="6"/>
      <c r="R3659" s="6"/>
      <c r="S3659" s="6"/>
      <c r="T3659" s="6"/>
      <c r="U3659" s="6"/>
      <c r="V3659" s="6"/>
      <c r="W3659" s="6"/>
      <c r="X3659" s="6"/>
      <c r="Y3659" s="6"/>
      <c r="Z3659" s="6"/>
      <c r="AA3659" s="6"/>
    </row>
    <row r="3660" ht="14.25">
      <c r="B3660" s="4" t="s">
        <v>26675</v>
      </c>
      <c r="C3660" s="4" t="s">
        <v>26676</v>
      </c>
      <c r="D3660" s="4" t="s">
        <v>112</v>
      </c>
      <c r="E3660" s="4" t="s">
        <v>26677</v>
      </c>
      <c r="F3660" s="4" t="str">
        <f>IFERROR(__XLUDF.DUMMYFUNCTION("PROPER(REGEXREPLACE(D65,""[^A-Za-z]+ "",""""))"),"Weber Kress Industries")</f>
        <v xml:space="preserve">Weber Kress Industries</v>
      </c>
      <c r="G3660" s="4" t="s">
        <v>26678</v>
      </c>
      <c r="H3660" s="4">
        <v>12</v>
      </c>
      <c r="I3660" s="4" t="s">
        <v>10215</v>
      </c>
      <c r="J3660" s="4" t="str">
        <f>IFERROR(__XLUDF.DUMMYFUNCTION("VLOOKUP(H65,IMPORTRANGE(""https://docs.google.com/spreadsheets/d/1opm6ZNvGZ7KditA9TuJwrZ25eFLfTNIkrNnY6mhV5Eg"",""list!A1:C115""),3,TRUE)"),"le secteur de l'électrique et électronique")</f>
        <v xml:space="preserve">le secteur de l'électrique et électronique</v>
      </c>
      <c r="K3660" s="5" t="s">
        <v>26679</v>
      </c>
      <c r="L3660" s="5" t="s">
        <v>26680</v>
      </c>
      <c r="M3660" s="4" t="s">
        <v>26681</v>
      </c>
      <c r="N3660" s="4" t="s">
        <v>29</v>
      </c>
      <c r="O3660" s="4" t="s">
        <v>26682</v>
      </c>
      <c r="P3660" s="4" t="s">
        <v>29</v>
      </c>
      <c r="Q3660" s="6"/>
      <c r="R3660" s="6"/>
      <c r="S3660" s="6"/>
      <c r="T3660" s="6"/>
      <c r="U3660" s="6"/>
      <c r="V3660" s="6"/>
      <c r="W3660" s="6"/>
      <c r="X3660" s="6"/>
      <c r="Y3660" s="6"/>
      <c r="Z3660" s="6"/>
      <c r="AA3660" s="6"/>
    </row>
    <row r="3661" ht="14.25">
      <c r="B3661" s="4" t="s">
        <v>752</v>
      </c>
      <c r="C3661" s="4" t="s">
        <v>26683</v>
      </c>
      <c r="D3661" s="4" t="s">
        <v>26684</v>
      </c>
      <c r="E3661" s="4" t="s">
        <v>26685</v>
      </c>
      <c r="F3661" s="4" t="str">
        <f>IFERROR(__XLUDF.DUMMYFUNCTION("PROPER(REGEXREPLACE(D66,""[^A-Za-z]+ "",""""))"),"Tda Lefébure")</f>
        <v xml:space="preserve">Tda Lefébure</v>
      </c>
      <c r="G3661" s="4" t="s">
        <v>26686</v>
      </c>
      <c r="H3661" s="4">
        <v>13</v>
      </c>
      <c r="I3661" s="4" t="s">
        <v>10215</v>
      </c>
      <c r="J3661" s="4" t="str">
        <f>IFERROR(__XLUDF.DUMMYFUNCTION("VLOOKUP(H66,IMPORTRANGE(""https://docs.google.com/spreadsheets/d/1opm6ZNvGZ7KditA9TuJwrZ25eFLfTNIkrNnY6mhV5Eg"",""list!A1:C115""),3,TRUE)"),"le secteur de l'électrique et électronique")</f>
        <v xml:space="preserve">le secteur de l'électrique et électronique</v>
      </c>
      <c r="K3661" s="5" t="s">
        <v>26687</v>
      </c>
      <c r="L3661" s="5" t="s">
        <v>26688</v>
      </c>
      <c r="M3661" s="4" t="s">
        <v>26689</v>
      </c>
      <c r="N3661" s="4" t="s">
        <v>29</v>
      </c>
      <c r="O3661" s="4" t="s">
        <v>26690</v>
      </c>
      <c r="P3661" s="4" t="s">
        <v>29</v>
      </c>
      <c r="Q3661" s="6"/>
      <c r="R3661" s="6"/>
      <c r="S3661" s="6"/>
      <c r="T3661" s="6"/>
      <c r="U3661" s="6"/>
      <c r="V3661" s="6"/>
      <c r="W3661" s="6"/>
      <c r="X3661" s="6"/>
      <c r="Y3661" s="6"/>
      <c r="Z3661" s="6"/>
      <c r="AA3661" s="6"/>
    </row>
    <row r="3662" ht="14.25">
      <c r="B3662" s="4" t="s">
        <v>26691</v>
      </c>
      <c r="C3662" s="4" t="s">
        <v>654</v>
      </c>
      <c r="D3662" s="4" t="s">
        <v>1130</v>
      </c>
      <c r="E3662" s="4" t="s">
        <v>26692</v>
      </c>
      <c r="F3662" s="4" t="str">
        <f>IFERROR(__XLUDF.DUMMYFUNCTION("PROPER(REGEXREPLACE(D67,""[^A-Za-z]+ "",""""))"),"Atec Electronique")</f>
        <v xml:space="preserve">Atec Electronique</v>
      </c>
      <c r="G3662" s="4" t="s">
        <v>26693</v>
      </c>
      <c r="H3662" s="4">
        <v>11</v>
      </c>
      <c r="I3662" s="4" t="s">
        <v>10215</v>
      </c>
      <c r="J3662" s="4" t="str">
        <f>IFERROR(__XLUDF.DUMMYFUNCTION("VLOOKUP(H67,IMPORTRANGE(""https://docs.google.com/spreadsheets/d/1opm6ZNvGZ7KditA9TuJwrZ25eFLfTNIkrNnY6mhV5Eg"",""list!A1:C115""),3,TRUE)"),"le secteur de l'électrique et électronique")</f>
        <v xml:space="preserve">le secteur de l'électrique et électronique</v>
      </c>
      <c r="K3662" s="5" t="s">
        <v>26694</v>
      </c>
      <c r="L3662" s="5" t="s">
        <v>26695</v>
      </c>
      <c r="M3662" s="4" t="s">
        <v>26696</v>
      </c>
      <c r="N3662" s="4" t="s">
        <v>29</v>
      </c>
      <c r="O3662" s="4" t="s">
        <v>29</v>
      </c>
      <c r="P3662" s="4" t="s">
        <v>29</v>
      </c>
      <c r="Q3662" s="6"/>
      <c r="R3662" s="6"/>
      <c r="S3662" s="6"/>
      <c r="T3662" s="6"/>
      <c r="U3662" s="6"/>
      <c r="V3662" s="6"/>
      <c r="W3662" s="6"/>
      <c r="X3662" s="6"/>
      <c r="Y3662" s="6"/>
      <c r="Z3662" s="6"/>
      <c r="AA3662" s="6"/>
    </row>
    <row r="3663" ht="14.25">
      <c r="B3663" s="4" t="s">
        <v>866</v>
      </c>
      <c r="C3663" s="4" t="s">
        <v>26697</v>
      </c>
      <c r="D3663" s="4" t="s">
        <v>3982</v>
      </c>
      <c r="E3663" s="4" t="s">
        <v>26698</v>
      </c>
      <c r="F3663" s="4" t="str">
        <f>IFERROR(__XLUDF.DUMMYFUNCTION("PROPER(REGEXREPLACE(D68,""[^A-Za-z]+ "",""""))"),"Hytem")</f>
        <v>Hytem</v>
      </c>
      <c r="G3663" s="4" t="s">
        <v>26699</v>
      </c>
      <c r="H3663" s="4">
        <v>11</v>
      </c>
      <c r="I3663" s="4" t="s">
        <v>10215</v>
      </c>
      <c r="J3663" s="4" t="str">
        <f>IFERROR(__XLUDF.DUMMYFUNCTION("VLOOKUP(H68,IMPORTRANGE(""https://docs.google.com/spreadsheets/d/1opm6ZNvGZ7KditA9TuJwrZ25eFLfTNIkrNnY6mhV5Eg"",""list!A1:C115""),3,TRUE)"),"le secteur de l'électrique et électronique")</f>
        <v xml:space="preserve">le secteur de l'électrique et électronique</v>
      </c>
      <c r="K3663" s="5" t="s">
        <v>26700</v>
      </c>
      <c r="L3663" s="5" t="s">
        <v>26701</v>
      </c>
      <c r="M3663" s="4" t="s">
        <v>26702</v>
      </c>
      <c r="N3663" s="4" t="s">
        <v>29</v>
      </c>
      <c r="O3663" s="4" t="s">
        <v>26703</v>
      </c>
      <c r="P3663" s="4" t="s">
        <v>29</v>
      </c>
      <c r="Q3663" s="6"/>
      <c r="R3663" s="6"/>
      <c r="S3663" s="6"/>
      <c r="T3663" s="6"/>
      <c r="U3663" s="6"/>
      <c r="V3663" s="6"/>
      <c r="W3663" s="6"/>
      <c r="X3663" s="6"/>
      <c r="Y3663" s="6"/>
      <c r="Z3663" s="6"/>
      <c r="AA3663" s="6"/>
    </row>
    <row r="3664" ht="14.25">
      <c r="B3664" s="4" t="s">
        <v>13300</v>
      </c>
      <c r="C3664" s="4" t="s">
        <v>26704</v>
      </c>
      <c r="D3664" s="4" t="s">
        <v>172</v>
      </c>
      <c r="E3664" s="4" t="s">
        <v>26705</v>
      </c>
      <c r="F3664" s="4" t="str">
        <f>IFERROR(__XLUDF.DUMMYFUNCTION("PROPER(REGEXREPLACE(D69,""[^A-Za-z]+ "",""""))"),"Aurea Technology")</f>
        <v xml:space="preserve">Aurea Technology</v>
      </c>
      <c r="G3664" s="4" t="s">
        <v>26706</v>
      </c>
      <c r="H3664" s="4">
        <v>23</v>
      </c>
      <c r="I3664" s="4" t="s">
        <v>10215</v>
      </c>
      <c r="J3664" s="4" t="str">
        <f>IFERROR(__XLUDF.DUMMYFUNCTION("VLOOKUP(H69,IMPORTRANGE(""https://docs.google.com/spreadsheets/d/1opm6ZNvGZ7KditA9TuJwrZ25eFLfTNIkrNnY6mhV5Eg"",""list!A1:C115""),3,TRUE)"),"le secteur de l'électrique et électronique")</f>
        <v xml:space="preserve">le secteur de l'électrique et électronique</v>
      </c>
      <c r="K3664" s="5" t="s">
        <v>26707</v>
      </c>
      <c r="L3664" s="5" t="s">
        <v>26708</v>
      </c>
      <c r="M3664" s="6"/>
      <c r="N3664" s="4" t="s">
        <v>29</v>
      </c>
      <c r="O3664" s="4" t="s">
        <v>26709</v>
      </c>
      <c r="P3664" s="4" t="s">
        <v>29</v>
      </c>
      <c r="Q3664" s="4" t="s">
        <v>26710</v>
      </c>
      <c r="R3664" s="6"/>
      <c r="S3664" s="6"/>
      <c r="T3664" s="6"/>
      <c r="U3664" s="6"/>
      <c r="V3664" s="6"/>
      <c r="W3664" s="6"/>
      <c r="X3664" s="6"/>
      <c r="Y3664" s="6"/>
      <c r="Z3664" s="6"/>
      <c r="AA3664" s="6"/>
    </row>
    <row r="3665" ht="14.25">
      <c r="B3665" s="4" t="s">
        <v>5579</v>
      </c>
      <c r="C3665" s="4" t="s">
        <v>26711</v>
      </c>
      <c r="D3665" s="4" t="s">
        <v>172</v>
      </c>
      <c r="E3665" s="4" t="s">
        <v>26585</v>
      </c>
      <c r="F3665" s="4" t="str">
        <f>IFERROR(__XLUDF.DUMMYFUNCTION("PROPER(REGEXREPLACE(D70,""[^A-Za-z]+ "",""""))"),"Fontes De Paris")</f>
        <v xml:space="preserve">Fontes De Paris</v>
      </c>
      <c r="G3665" s="4" t="s">
        <v>26712</v>
      </c>
      <c r="H3665" s="4">
        <v>12</v>
      </c>
      <c r="I3665" s="4" t="s">
        <v>10215</v>
      </c>
      <c r="J3665" s="4" t="str">
        <f>IFERROR(__XLUDF.DUMMYFUNCTION("VLOOKUP(H70,IMPORTRANGE(""https://docs.google.com/spreadsheets/d/1opm6ZNvGZ7KditA9TuJwrZ25eFLfTNIkrNnY6mhV5Eg"",""list!A1:C115""),3,TRUE)"),"le secteur de l'électrique et électronique")</f>
        <v xml:space="preserve">le secteur de l'électrique et électronique</v>
      </c>
      <c r="K3665" s="5" t="s">
        <v>26713</v>
      </c>
      <c r="L3665" s="5" t="s">
        <v>26588</v>
      </c>
      <c r="M3665" s="4" t="s">
        <v>4922</v>
      </c>
      <c r="N3665" s="4" t="s">
        <v>29</v>
      </c>
      <c r="O3665" s="4" t="s">
        <v>26589</v>
      </c>
      <c r="P3665" s="4" t="s">
        <v>29</v>
      </c>
      <c r="Q3665" s="6"/>
      <c r="R3665" s="6"/>
      <c r="S3665" s="6"/>
      <c r="T3665" s="6"/>
      <c r="U3665" s="6"/>
      <c r="V3665" s="6"/>
      <c r="W3665" s="6"/>
      <c r="X3665" s="6"/>
      <c r="Y3665" s="6"/>
      <c r="Z3665" s="6"/>
      <c r="AA3665" s="6"/>
    </row>
    <row r="3666" ht="14.25">
      <c r="B3666" s="4" t="s">
        <v>1387</v>
      </c>
      <c r="C3666" s="4" t="s">
        <v>8970</v>
      </c>
      <c r="D3666" s="4" t="s">
        <v>112</v>
      </c>
      <c r="E3666" s="4" t="s">
        <v>26714</v>
      </c>
      <c r="F3666" s="4" t="str">
        <f>IFERROR(__XLUDF.DUMMYFUNCTION("PROPER(REGEXREPLACE(D71,""[^A-Za-z]+ "",""""))"),"Vossloh Cogifer Monitoring&amp;Telecom")</f>
        <v xml:space="preserve">Vossloh Cogifer Monitoring&amp;Telecom</v>
      </c>
      <c r="G3666" s="4" t="s">
        <v>26715</v>
      </c>
      <c r="H3666" s="4">
        <v>41</v>
      </c>
      <c r="I3666" s="4" t="s">
        <v>10215</v>
      </c>
      <c r="J3666" s="4" t="str">
        <f>IFERROR(__XLUDF.DUMMYFUNCTION("VLOOKUP(H71,IMPORTRANGE(""https://docs.google.com/spreadsheets/d/1opm6ZNvGZ7KditA9TuJwrZ25eFLfTNIkrNnY6mhV5Eg"",""list!A1:C115""),3,TRUE)"),"le secteur de l'électrique et électronique")</f>
        <v xml:space="preserve">le secteur de l'électrique et électronique</v>
      </c>
      <c r="K3666" s="5" t="s">
        <v>26716</v>
      </c>
      <c r="L3666" s="5" t="s">
        <v>26717</v>
      </c>
      <c r="M3666" s="4" t="s">
        <v>2174</v>
      </c>
      <c r="N3666" s="4" t="s">
        <v>29</v>
      </c>
      <c r="O3666" s="4" t="s">
        <v>26718</v>
      </c>
      <c r="P3666" s="4" t="s">
        <v>29</v>
      </c>
      <c r="Q3666" s="6"/>
      <c r="R3666" s="6"/>
      <c r="S3666" s="6"/>
      <c r="T3666" s="6"/>
      <c r="U3666" s="6"/>
      <c r="V3666" s="6"/>
      <c r="W3666" s="6"/>
      <c r="X3666" s="6"/>
      <c r="Y3666" s="6"/>
      <c r="Z3666" s="6"/>
      <c r="AA3666" s="6"/>
    </row>
    <row r="3667" ht="14.25">
      <c r="B3667" s="4" t="s">
        <v>26719</v>
      </c>
      <c r="C3667" s="4" t="s">
        <v>26720</v>
      </c>
      <c r="D3667" s="4" t="s">
        <v>26721</v>
      </c>
      <c r="E3667" s="4" t="s">
        <v>19164</v>
      </c>
      <c r="F3667" s="4" t="str">
        <f>IFERROR(__XLUDF.DUMMYFUNCTION("PROPER(REGEXREPLACE(D72,""[^A-Za-z]+ "",""""))"),"Exceenis")</f>
        <v>Exceenis</v>
      </c>
      <c r="G3667" s="4" t="s">
        <v>26722</v>
      </c>
      <c r="H3667" s="4">
        <v>15</v>
      </c>
      <c r="I3667" s="4" t="s">
        <v>10215</v>
      </c>
      <c r="J3667" s="4" t="str">
        <f>IFERROR(__XLUDF.DUMMYFUNCTION("VLOOKUP(H72,IMPORTRANGE(""https://docs.google.com/spreadsheets/d/1opm6ZNvGZ7KditA9TuJwrZ25eFLfTNIkrNnY6mhV5Eg"",""list!A1:C115""),3,TRUE)"),"le secteur de l'électrique et électronique")</f>
        <v xml:space="preserve">le secteur de l'électrique et électronique</v>
      </c>
      <c r="K3667" s="5" t="s">
        <v>26723</v>
      </c>
      <c r="L3667" s="5" t="s">
        <v>19167</v>
      </c>
      <c r="M3667" s="4" t="s">
        <v>11321</v>
      </c>
      <c r="N3667" s="4" t="s">
        <v>29</v>
      </c>
      <c r="O3667" s="4" t="s">
        <v>67</v>
      </c>
      <c r="P3667" s="4" t="s">
        <v>29</v>
      </c>
      <c r="Q3667" s="6"/>
      <c r="R3667" s="6"/>
      <c r="S3667" s="6"/>
      <c r="T3667" s="6"/>
      <c r="U3667" s="6"/>
      <c r="V3667" s="6"/>
      <c r="W3667" s="6"/>
      <c r="X3667" s="6"/>
      <c r="Y3667" s="6"/>
      <c r="Z3667" s="6"/>
      <c r="AA3667" s="6"/>
    </row>
    <row r="3668" ht="14.25">
      <c r="B3668" s="4" t="s">
        <v>2909</v>
      </c>
      <c r="C3668" s="4" t="s">
        <v>26724</v>
      </c>
      <c r="D3668" s="4" t="s">
        <v>426</v>
      </c>
      <c r="E3668" s="4" t="s">
        <v>26725</v>
      </c>
      <c r="F3668" s="4" t="str">
        <f>IFERROR(__XLUDF.DUMMYFUNCTION("PROPER(REGEXREPLACE(D73,""[^A-Za-z]+ "",""""))"),"Danew Electronics")</f>
        <v xml:space="preserve">Danew Electronics</v>
      </c>
      <c r="G3668" s="4" t="s">
        <v>26726</v>
      </c>
      <c r="H3668" s="4">
        <v>7</v>
      </c>
      <c r="I3668" s="4" t="s">
        <v>10215</v>
      </c>
      <c r="J3668" s="4" t="str">
        <f>IFERROR(__XLUDF.DUMMYFUNCTION("VLOOKUP(H73,IMPORTRANGE(""https://docs.google.com/spreadsheets/d/1opm6ZNvGZ7KditA9TuJwrZ25eFLfTNIkrNnY6mhV5Eg"",""list!A1:C115""),3,TRUE)"),"le secteur de l'électrique et électronique")</f>
        <v xml:space="preserve">le secteur de l'électrique et électronique</v>
      </c>
      <c r="K3668" s="5" t="s">
        <v>26727</v>
      </c>
      <c r="L3668" s="6"/>
      <c r="M3668" s="4" t="s">
        <v>26728</v>
      </c>
      <c r="N3668" s="4" t="s">
        <v>29</v>
      </c>
      <c r="O3668" s="4" t="s">
        <v>26729</v>
      </c>
      <c r="P3668" s="4" t="s">
        <v>29</v>
      </c>
      <c r="Q3668" s="6"/>
      <c r="R3668" s="6"/>
      <c r="S3668" s="6"/>
      <c r="T3668" s="6"/>
      <c r="U3668" s="6"/>
      <c r="V3668" s="6"/>
      <c r="W3668" s="6"/>
      <c r="X3668" s="6"/>
      <c r="Y3668" s="6"/>
      <c r="Z3668" s="6"/>
      <c r="AA3668" s="6"/>
    </row>
    <row r="3669" ht="14.25">
      <c r="B3669" s="4" t="s">
        <v>26223</v>
      </c>
      <c r="C3669" s="4" t="s">
        <v>26730</v>
      </c>
      <c r="D3669" s="4" t="s">
        <v>468</v>
      </c>
      <c r="E3669" s="4" t="s">
        <v>26731</v>
      </c>
      <c r="F3669" s="4" t="str">
        <f>IFERROR(__XLUDF.DUMMYFUNCTION("PROPER(REGEXREPLACE(D74,""[^A-Za-z]+ "",""""))"),"Technix Hv")</f>
        <v xml:space="preserve">Technix Hv</v>
      </c>
      <c r="G3669" s="4" t="s">
        <v>26732</v>
      </c>
      <c r="H3669" s="4">
        <v>33</v>
      </c>
      <c r="I3669" s="4" t="s">
        <v>10215</v>
      </c>
      <c r="J3669" s="4" t="str">
        <f>IFERROR(__XLUDF.DUMMYFUNCTION("VLOOKUP(H74,IMPORTRANGE(""https://docs.google.com/spreadsheets/d/1opm6ZNvGZ7KditA9TuJwrZ25eFLfTNIkrNnY6mhV5Eg"",""list!A1:C115""),3,TRUE)"),"le secteur de l'électrique et électronique")</f>
        <v xml:space="preserve">le secteur de l'électrique et électronique</v>
      </c>
      <c r="K3669" s="5" t="s">
        <v>26733</v>
      </c>
      <c r="L3669" s="5" t="s">
        <v>26734</v>
      </c>
      <c r="M3669" s="4" t="s">
        <v>39</v>
      </c>
      <c r="N3669" s="4" t="s">
        <v>29</v>
      </c>
      <c r="O3669" s="4" t="s">
        <v>26735</v>
      </c>
      <c r="P3669" s="4" t="s">
        <v>29</v>
      </c>
      <c r="Q3669" s="4" t="s">
        <v>26736</v>
      </c>
      <c r="R3669" s="6"/>
      <c r="S3669" s="6"/>
      <c r="T3669" s="6"/>
      <c r="U3669" s="6"/>
      <c r="V3669" s="6"/>
      <c r="W3669" s="6"/>
      <c r="X3669" s="6"/>
      <c r="Y3669" s="6"/>
      <c r="Z3669" s="6"/>
      <c r="AA3669" s="6"/>
    </row>
    <row r="3670" ht="14.25">
      <c r="B3670" s="4" t="s">
        <v>1215</v>
      </c>
      <c r="C3670" s="4" t="s">
        <v>26737</v>
      </c>
      <c r="D3670" s="4" t="s">
        <v>112</v>
      </c>
      <c r="E3670" s="4" t="s">
        <v>26738</v>
      </c>
      <c r="F3670" s="4" t="str">
        <f>IFERROR(__XLUDF.DUMMYFUNCTION("PROPER(REGEXREPLACE(D75,""[^A-Za-z]+ "",""""))"),"S-Industries")</f>
        <v>S-Industries</v>
      </c>
      <c r="G3670" s="4" t="s">
        <v>26739</v>
      </c>
      <c r="H3670" s="4">
        <v>25</v>
      </c>
      <c r="I3670" s="4" t="s">
        <v>10215</v>
      </c>
      <c r="J3670" s="4" t="str">
        <f>IFERROR(__XLUDF.DUMMYFUNCTION("VLOOKUP(H75,IMPORTRANGE(""https://docs.google.com/spreadsheets/d/1opm6ZNvGZ7KditA9TuJwrZ25eFLfTNIkrNnY6mhV5Eg"",""list!A1:C115""),3,TRUE)"),"le secteur de l'électrique et électronique")</f>
        <v xml:space="preserve">le secteur de l'électrique et électronique</v>
      </c>
      <c r="K3670" s="5" t="s">
        <v>26740</v>
      </c>
      <c r="L3670" s="5" t="s">
        <v>26741</v>
      </c>
      <c r="M3670" s="4" t="s">
        <v>20332</v>
      </c>
      <c r="N3670" s="4" t="s">
        <v>29</v>
      </c>
      <c r="O3670" s="4" t="s">
        <v>26742</v>
      </c>
      <c r="P3670" s="4" t="s">
        <v>29</v>
      </c>
      <c r="Q3670" s="4" t="s">
        <v>26743</v>
      </c>
      <c r="R3670" s="6"/>
      <c r="S3670" s="6"/>
      <c r="T3670" s="6"/>
      <c r="U3670" s="6"/>
      <c r="V3670" s="6"/>
      <c r="W3670" s="6"/>
      <c r="X3670" s="6"/>
      <c r="Y3670" s="6"/>
      <c r="Z3670" s="6"/>
      <c r="AA3670" s="6"/>
    </row>
    <row r="3671" ht="14.25">
      <c r="B3671" s="4" t="s">
        <v>5001</v>
      </c>
      <c r="C3671" s="4" t="s">
        <v>26744</v>
      </c>
      <c r="D3671" s="4" t="s">
        <v>112</v>
      </c>
      <c r="E3671" s="4" t="s">
        <v>26745</v>
      </c>
      <c r="F3671" s="4" t="str">
        <f>IFERROR(__XLUDF.DUMMYFUNCTION("PROPER(REGEXREPLACE(D76,""[^A-Za-z]+ "",""""))"),"Alpes Connectique Services")</f>
        <v xml:space="preserve">Alpes Connectique Services</v>
      </c>
      <c r="G3671" s="4" t="s">
        <v>26746</v>
      </c>
      <c r="H3671" s="4">
        <v>27</v>
      </c>
      <c r="I3671" s="4" t="s">
        <v>10215</v>
      </c>
      <c r="J3671" s="4" t="str">
        <f>IFERROR(__XLUDF.DUMMYFUNCTION("VLOOKUP(H76,IMPORTRANGE(""https://docs.google.com/spreadsheets/d/1opm6ZNvGZ7KditA9TuJwrZ25eFLfTNIkrNnY6mhV5Eg"",""list!A1:C115""),3,TRUE)"),"le secteur de l'électrique et électronique")</f>
        <v xml:space="preserve">le secteur de l'électrique et électronique</v>
      </c>
      <c r="K3671" s="5" t="s">
        <v>26747</v>
      </c>
      <c r="L3671" s="5" t="s">
        <v>26748</v>
      </c>
      <c r="M3671" s="4" t="s">
        <v>26749</v>
      </c>
      <c r="N3671" s="4" t="s">
        <v>29</v>
      </c>
      <c r="O3671" s="4" t="s">
        <v>26750</v>
      </c>
      <c r="P3671" s="4" t="s">
        <v>29</v>
      </c>
      <c r="Q3671" s="6"/>
      <c r="R3671" s="6"/>
      <c r="S3671" s="6"/>
      <c r="T3671" s="6"/>
      <c r="U3671" s="6"/>
      <c r="V3671" s="6"/>
      <c r="W3671" s="6"/>
      <c r="X3671" s="6"/>
      <c r="Y3671" s="6"/>
      <c r="Z3671" s="6"/>
      <c r="AA3671" s="6"/>
    </row>
    <row r="3672" ht="14.25">
      <c r="B3672" s="4" t="s">
        <v>118</v>
      </c>
      <c r="C3672" s="4" t="s">
        <v>4132</v>
      </c>
      <c r="D3672" s="4" t="s">
        <v>26751</v>
      </c>
      <c r="E3672" s="4" t="s">
        <v>26752</v>
      </c>
      <c r="F3672" s="4" t="str">
        <f>IFERROR(__XLUDF.DUMMYFUNCTION("PROPER(REGEXREPLACE(D77,""[^A-Za-z]+ "",""""))"),"Eurofeedback")</f>
        <v>Eurofeedback</v>
      </c>
      <c r="G3672" s="4" t="s">
        <v>26753</v>
      </c>
      <c r="H3672" s="4">
        <v>23</v>
      </c>
      <c r="I3672" s="4" t="s">
        <v>10215</v>
      </c>
      <c r="J3672" s="4" t="str">
        <f>IFERROR(__XLUDF.DUMMYFUNCTION("VLOOKUP(H77,IMPORTRANGE(""https://docs.google.com/spreadsheets/d/1opm6ZNvGZ7KditA9TuJwrZ25eFLfTNIkrNnY6mhV5Eg"",""list!A1:C115""),3,TRUE)"),"le secteur de l'électrique et électronique")</f>
        <v xml:space="preserve">le secteur de l'électrique et électronique</v>
      </c>
      <c r="K3672" s="5" t="s">
        <v>26754</v>
      </c>
      <c r="L3672" s="5" t="s">
        <v>26755</v>
      </c>
      <c r="M3672" s="4" t="s">
        <v>26756</v>
      </c>
      <c r="N3672" s="4" t="s">
        <v>29</v>
      </c>
      <c r="O3672" s="4" t="s">
        <v>26757</v>
      </c>
      <c r="P3672" s="4" t="s">
        <v>29</v>
      </c>
      <c r="Q3672" s="4" t="s">
        <v>26758</v>
      </c>
      <c r="R3672" s="6"/>
      <c r="S3672" s="6"/>
      <c r="T3672" s="6"/>
      <c r="U3672" s="6"/>
      <c r="V3672" s="6"/>
      <c r="W3672" s="6"/>
      <c r="X3672" s="6"/>
      <c r="Y3672" s="6"/>
      <c r="Z3672" s="6"/>
      <c r="AA3672" s="6"/>
    </row>
    <row r="3673" ht="14.25">
      <c r="B3673" s="4" t="s">
        <v>26759</v>
      </c>
      <c r="C3673" s="4" t="s">
        <v>3019</v>
      </c>
      <c r="D3673" s="4" t="s">
        <v>112</v>
      </c>
      <c r="E3673" s="4" t="s">
        <v>21048</v>
      </c>
      <c r="F3673" s="4" t="str">
        <f>IFERROR(__XLUDF.DUMMYFUNCTION("PROPER(REGEXREPLACE(D78,""[^A-Za-z]+ "",""""))"),"Europ Elec")</f>
        <v xml:space="preserve">Europ Elec</v>
      </c>
      <c r="G3673" s="4" t="s">
        <v>26760</v>
      </c>
      <c r="H3673" s="4">
        <v>14</v>
      </c>
      <c r="I3673" s="4" t="s">
        <v>10215</v>
      </c>
      <c r="J3673" s="4" t="str">
        <f>IFERROR(__XLUDF.DUMMYFUNCTION("VLOOKUP(H78,IMPORTRANGE(""https://docs.google.com/spreadsheets/d/1opm6ZNvGZ7KditA9TuJwrZ25eFLfTNIkrNnY6mhV5Eg"",""list!A1:C115""),3,TRUE)"),"le secteur de l'électrique et électronique")</f>
        <v xml:space="preserve">le secteur de l'électrique et électronique</v>
      </c>
      <c r="K3673" s="5" t="s">
        <v>26761</v>
      </c>
      <c r="L3673" s="5" t="s">
        <v>26762</v>
      </c>
      <c r="M3673" s="4" t="s">
        <v>49</v>
      </c>
      <c r="N3673" s="4" t="s">
        <v>29</v>
      </c>
      <c r="O3673" s="4" t="s">
        <v>21052</v>
      </c>
      <c r="P3673" s="4" t="s">
        <v>29</v>
      </c>
      <c r="Q3673" s="6"/>
      <c r="R3673" s="6"/>
      <c r="S3673" s="6"/>
      <c r="T3673" s="6"/>
      <c r="U3673" s="6"/>
      <c r="V3673" s="6"/>
      <c r="W3673" s="6"/>
      <c r="X3673" s="6"/>
      <c r="Y3673" s="6"/>
      <c r="Z3673" s="6"/>
      <c r="AA3673" s="6"/>
    </row>
    <row r="3674" ht="14.25">
      <c r="B3674" s="4" t="s">
        <v>679</v>
      </c>
      <c r="C3674" s="4" t="s">
        <v>9794</v>
      </c>
      <c r="D3674" s="4" t="s">
        <v>1130</v>
      </c>
      <c r="E3674" s="4" t="s">
        <v>26763</v>
      </c>
      <c r="F3674" s="4" t="str">
        <f>IFERROR(__XLUDF.DUMMYFUNCTION("PROPER(REGEXREPLACE(D79,""[^A-Za-z]+ "",""""))"),"Earsonics S.A.S")</f>
        <v xml:space="preserve">Earsonics S.A.S</v>
      </c>
      <c r="G3674" s="4" t="s">
        <v>26764</v>
      </c>
      <c r="H3674" s="4">
        <v>21</v>
      </c>
      <c r="I3674" s="4" t="s">
        <v>10215</v>
      </c>
      <c r="J3674" s="4" t="str">
        <f>IFERROR(__XLUDF.DUMMYFUNCTION("VLOOKUP(H79,IMPORTRANGE(""https://docs.google.com/spreadsheets/d/1opm6ZNvGZ7KditA9TuJwrZ25eFLfTNIkrNnY6mhV5Eg"",""list!A1:C115""),3,TRUE)"),"le secteur de l'électrique et électronique")</f>
        <v xml:space="preserve">le secteur de l'électrique et électronique</v>
      </c>
      <c r="K3674" s="5" t="s">
        <v>26765</v>
      </c>
      <c r="L3674" s="5" t="s">
        <v>26766</v>
      </c>
      <c r="M3674" s="4" t="s">
        <v>9810</v>
      </c>
      <c r="N3674" s="4" t="s">
        <v>29</v>
      </c>
      <c r="O3674" s="4" t="s">
        <v>26767</v>
      </c>
      <c r="P3674" s="4" t="s">
        <v>29</v>
      </c>
      <c r="Q3674" s="4" t="s">
        <v>26768</v>
      </c>
      <c r="R3674" s="6"/>
      <c r="S3674" s="6"/>
      <c r="T3674" s="6"/>
      <c r="U3674" s="6"/>
      <c r="V3674" s="6"/>
      <c r="W3674" s="6"/>
      <c r="X3674" s="6"/>
      <c r="Y3674" s="6"/>
      <c r="Z3674" s="6"/>
      <c r="AA3674" s="6"/>
    </row>
    <row r="3675" ht="14.25">
      <c r="B3675" s="4" t="s">
        <v>3164</v>
      </c>
      <c r="C3675" s="4" t="s">
        <v>26769</v>
      </c>
      <c r="D3675" s="4" t="s">
        <v>26770</v>
      </c>
      <c r="E3675" s="4" t="s">
        <v>20943</v>
      </c>
      <c r="F3675" s="4" t="str">
        <f>IFERROR(__XLUDF.DUMMYFUNCTION("PROPER(REGEXREPLACE(D80,""[^A-Za-z]+ "",""""))"),"Up&amp;Charge")</f>
        <v>Up&amp;Charge</v>
      </c>
      <c r="G3675" s="4" t="s">
        <v>26771</v>
      </c>
      <c r="H3675" s="4">
        <v>15</v>
      </c>
      <c r="I3675" s="4" t="s">
        <v>10215</v>
      </c>
      <c r="J3675" s="4" t="str">
        <f>IFERROR(__XLUDF.DUMMYFUNCTION("VLOOKUP(H80,IMPORTRANGE(""https://docs.google.com/spreadsheets/d/1opm6ZNvGZ7KditA9TuJwrZ25eFLfTNIkrNnY6mhV5Eg"",""list!A1:C115""),3,TRUE)"),"le secteur de l'électrique et électronique")</f>
        <v xml:space="preserve">le secteur de l'électrique et électronique</v>
      </c>
      <c r="K3675" s="5" t="s">
        <v>26772</v>
      </c>
      <c r="L3675" s="5" t="s">
        <v>20946</v>
      </c>
      <c r="M3675" s="4" t="s">
        <v>39</v>
      </c>
      <c r="N3675" s="4" t="s">
        <v>29</v>
      </c>
      <c r="O3675" s="4" t="s">
        <v>6520</v>
      </c>
      <c r="P3675" s="4" t="s">
        <v>29</v>
      </c>
      <c r="Q3675" s="4" t="s">
        <v>20947</v>
      </c>
      <c r="R3675" s="6"/>
      <c r="S3675" s="6"/>
      <c r="T3675" s="6"/>
      <c r="U3675" s="6"/>
      <c r="V3675" s="6"/>
      <c r="W3675" s="6"/>
      <c r="X3675" s="6"/>
      <c r="Y3675" s="6"/>
      <c r="Z3675" s="6"/>
      <c r="AA3675" s="6"/>
    </row>
    <row r="3676" ht="14.25">
      <c r="B3676" s="4" t="s">
        <v>2771</v>
      </c>
      <c r="C3676" s="4" t="s">
        <v>2105</v>
      </c>
      <c r="D3676" s="4" t="s">
        <v>26773</v>
      </c>
      <c r="E3676" s="4" t="s">
        <v>26774</v>
      </c>
      <c r="F3676" s="4" t="str">
        <f>IFERROR(__XLUDF.DUMMYFUNCTION("PROPER(REGEXREPLACE(D81,""[^A-Za-z]+ "",""""))"),"Novum Tech")</f>
        <v xml:space="preserve">Novum Tech</v>
      </c>
      <c r="G3676" s="4" t="s">
        <v>26775</v>
      </c>
      <c r="H3676" s="4">
        <v>14</v>
      </c>
      <c r="I3676" s="4" t="s">
        <v>10215</v>
      </c>
      <c r="J3676" s="4" t="str">
        <f>IFERROR(__XLUDF.DUMMYFUNCTION("VLOOKUP(H81,IMPORTRANGE(""https://docs.google.com/spreadsheets/d/1opm6ZNvGZ7KditA9TuJwrZ25eFLfTNIkrNnY6mhV5Eg"",""list!A1:C115""),3,TRUE)"),"le secteur de l'électrique et électronique")</f>
        <v xml:space="preserve">le secteur de l'électrique et électronique</v>
      </c>
      <c r="K3676" s="5" t="s">
        <v>26776</v>
      </c>
      <c r="L3676" s="5" t="s">
        <v>26777</v>
      </c>
      <c r="M3676" s="4" t="s">
        <v>1507</v>
      </c>
      <c r="N3676" s="4" t="s">
        <v>29</v>
      </c>
      <c r="O3676" s="4" t="s">
        <v>26778</v>
      </c>
      <c r="P3676" s="4" t="s">
        <v>29</v>
      </c>
      <c r="Q3676" s="4" t="s">
        <v>26779</v>
      </c>
      <c r="R3676" s="6"/>
      <c r="S3676" s="6"/>
      <c r="T3676" s="6"/>
      <c r="U3676" s="6"/>
      <c r="V3676" s="6"/>
      <c r="W3676" s="6"/>
      <c r="X3676" s="6"/>
      <c r="Y3676" s="6"/>
      <c r="Z3676" s="6"/>
      <c r="AA3676" s="6"/>
    </row>
    <row r="3677" ht="14.25">
      <c r="B3677" s="4" t="s">
        <v>1562</v>
      </c>
      <c r="C3677" s="4" t="s">
        <v>26780</v>
      </c>
      <c r="D3677" s="4" t="s">
        <v>26781</v>
      </c>
      <c r="E3677" s="4" t="s">
        <v>26782</v>
      </c>
      <c r="F3677" s="4" t="str">
        <f>IFERROR(__XLUDF.DUMMYFUNCTION("PROPER(REGEXREPLACE(D82,""[^A-Za-z]+ "",""""))"),"Srati Spécialiste En Gaines Thermorétractables")</f>
        <v xml:space="preserve">Srati Spécialiste En Gaines Thermorétractables</v>
      </c>
      <c r="G3677" s="4" t="s">
        <v>26783</v>
      </c>
      <c r="H3677" s="4">
        <v>11</v>
      </c>
      <c r="I3677" s="4" t="s">
        <v>10215</v>
      </c>
      <c r="J3677" s="4" t="str">
        <f>IFERROR(__XLUDF.DUMMYFUNCTION("VLOOKUP(H82,IMPORTRANGE(""https://docs.google.com/spreadsheets/d/1opm6ZNvGZ7KditA9TuJwrZ25eFLfTNIkrNnY6mhV5Eg"",""list!A1:C115""),3,TRUE)"),"le secteur de l'électrique et électronique")</f>
        <v xml:space="preserve">le secteur de l'électrique et électronique</v>
      </c>
      <c r="K3677" s="5" t="s">
        <v>26784</v>
      </c>
      <c r="L3677" s="5" t="s">
        <v>26785</v>
      </c>
      <c r="M3677" s="4" t="s">
        <v>39</v>
      </c>
      <c r="N3677" s="4" t="s">
        <v>29</v>
      </c>
      <c r="O3677" s="4" t="s">
        <v>26786</v>
      </c>
      <c r="P3677" s="4" t="s">
        <v>29</v>
      </c>
      <c r="Q3677" s="4" t="s">
        <v>26787</v>
      </c>
      <c r="R3677" s="6"/>
      <c r="S3677" s="6"/>
      <c r="T3677" s="6"/>
      <c r="U3677" s="6"/>
      <c r="V3677" s="6"/>
      <c r="W3677" s="6"/>
      <c r="X3677" s="6"/>
      <c r="Y3677" s="6"/>
      <c r="Z3677" s="6"/>
      <c r="AA3677" s="6"/>
    </row>
    <row r="3678" ht="14.25">
      <c r="B3678" s="4" t="s">
        <v>26223</v>
      </c>
      <c r="C3678" s="4" t="s">
        <v>2299</v>
      </c>
      <c r="D3678" s="4" t="s">
        <v>26788</v>
      </c>
      <c r="E3678" s="4" t="s">
        <v>26789</v>
      </c>
      <c r="F3678" s="4" t="str">
        <f>IFERROR(__XLUDF.DUMMYFUNCTION("PROPER(REGEXREPLACE(D83,""[^A-Za-z]+ "",""""))"),"Sport Quantum")</f>
        <v xml:space="preserve">Sport Quantum</v>
      </c>
      <c r="G3678" s="4" t="s">
        <v>26790</v>
      </c>
      <c r="H3678" s="4">
        <v>24</v>
      </c>
      <c r="I3678" s="4" t="s">
        <v>10215</v>
      </c>
      <c r="J3678" s="4" t="str">
        <f>IFERROR(__XLUDF.DUMMYFUNCTION("VLOOKUP(H83,IMPORTRANGE(""https://docs.google.com/spreadsheets/d/1opm6ZNvGZ7KditA9TuJwrZ25eFLfTNIkrNnY6mhV5Eg"",""list!A1:C115""),3,TRUE)"),"le secteur de l'électrique et électronique")</f>
        <v xml:space="preserve">le secteur de l'électrique et électronique</v>
      </c>
      <c r="K3678" s="5" t="s">
        <v>26791</v>
      </c>
      <c r="L3678" s="5" t="s">
        <v>26792</v>
      </c>
      <c r="M3678" s="4" t="s">
        <v>26793</v>
      </c>
      <c r="N3678" s="4" t="s">
        <v>29</v>
      </c>
      <c r="O3678" s="4" t="s">
        <v>26794</v>
      </c>
      <c r="P3678" s="4" t="s">
        <v>29</v>
      </c>
      <c r="Q3678" s="6"/>
      <c r="R3678" s="6"/>
      <c r="S3678" s="6"/>
      <c r="T3678" s="6"/>
      <c r="U3678" s="6"/>
      <c r="V3678" s="6"/>
      <c r="W3678" s="6"/>
      <c r="X3678" s="6"/>
      <c r="Y3678" s="6"/>
      <c r="Z3678" s="6"/>
      <c r="AA3678" s="6"/>
    </row>
    <row r="3679" ht="14.25">
      <c r="B3679" s="4" t="s">
        <v>7714</v>
      </c>
      <c r="C3679" s="4" t="s">
        <v>26795</v>
      </c>
      <c r="D3679" s="4" t="s">
        <v>26796</v>
      </c>
      <c r="E3679" s="4" t="s">
        <v>26763</v>
      </c>
      <c r="F3679" s="4" t="str">
        <f>IFERROR(__XLUDF.DUMMYFUNCTION("PROPER(REGEXREPLACE(D84,""[^A-Za-z]+ "",""""))"),"Earsonics S.A.S")</f>
        <v xml:space="preserve">Earsonics S.A.S</v>
      </c>
      <c r="G3679" s="4" t="s">
        <v>26797</v>
      </c>
      <c r="H3679" s="4">
        <v>21</v>
      </c>
      <c r="I3679" s="4" t="s">
        <v>10215</v>
      </c>
      <c r="J3679" s="4" t="str">
        <f>IFERROR(__XLUDF.DUMMYFUNCTION("VLOOKUP(H84,IMPORTRANGE(""https://docs.google.com/spreadsheets/d/1opm6ZNvGZ7KditA9TuJwrZ25eFLfTNIkrNnY6mhV5Eg"",""list!A1:C115""),3,TRUE)"),"le secteur de l'électrique et électronique")</f>
        <v xml:space="preserve">le secteur de l'électrique et électronique</v>
      </c>
      <c r="K3679" s="5" t="s">
        <v>26798</v>
      </c>
      <c r="L3679" s="5" t="s">
        <v>26766</v>
      </c>
      <c r="M3679" s="4" t="s">
        <v>9810</v>
      </c>
      <c r="N3679" s="4" t="s">
        <v>29</v>
      </c>
      <c r="O3679" s="4" t="s">
        <v>26767</v>
      </c>
      <c r="P3679" s="4" t="s">
        <v>29</v>
      </c>
      <c r="Q3679" s="4" t="s">
        <v>26768</v>
      </c>
      <c r="R3679" s="6"/>
      <c r="S3679" s="6"/>
      <c r="T3679" s="6"/>
      <c r="U3679" s="6"/>
      <c r="V3679" s="6"/>
      <c r="W3679" s="6"/>
      <c r="X3679" s="6"/>
      <c r="Y3679" s="6"/>
      <c r="Z3679" s="6"/>
      <c r="AA3679" s="6"/>
    </row>
    <row r="3680" ht="14.25">
      <c r="B3680" s="4" t="s">
        <v>15778</v>
      </c>
      <c r="C3680" s="4" t="s">
        <v>7602</v>
      </c>
      <c r="D3680" s="4" t="s">
        <v>672</v>
      </c>
      <c r="E3680" s="4" t="s">
        <v>26625</v>
      </c>
      <c r="F3680" s="4" t="str">
        <f>IFERROR(__XLUDF.DUMMYFUNCTION("PROPER(REGEXREPLACE(D85,""[^A-Za-z]+ "",""""))"),"Jaune Fabrique")</f>
        <v xml:space="preserve">Jaune Fabrique</v>
      </c>
      <c r="G3680" s="4" t="s">
        <v>26799</v>
      </c>
      <c r="H3680" s="4">
        <v>11</v>
      </c>
      <c r="I3680" s="4" t="s">
        <v>10215</v>
      </c>
      <c r="J3680" s="4" t="str">
        <f>IFERROR(__XLUDF.DUMMYFUNCTION("VLOOKUP(H85,IMPORTRANGE(""https://docs.google.com/spreadsheets/d/1opm6ZNvGZ7KditA9TuJwrZ25eFLfTNIkrNnY6mhV5Eg"",""list!A1:C115""),3,TRUE)"),"le secteur de l'électrique et électronique")</f>
        <v xml:space="preserve">le secteur de l'électrique et électronique</v>
      </c>
      <c r="K3680" s="5" t="s">
        <v>26800</v>
      </c>
      <c r="L3680" s="5" t="s">
        <v>26628</v>
      </c>
      <c r="M3680" s="4" t="s">
        <v>295</v>
      </c>
      <c r="N3680" s="4" t="s">
        <v>29</v>
      </c>
      <c r="O3680" s="4" t="s">
        <v>26629</v>
      </c>
      <c r="P3680" s="4" t="s">
        <v>29</v>
      </c>
      <c r="Q3680" s="6"/>
      <c r="R3680" s="6"/>
      <c r="S3680" s="6"/>
      <c r="T3680" s="6"/>
      <c r="U3680" s="6"/>
      <c r="V3680" s="6"/>
      <c r="W3680" s="6"/>
      <c r="X3680" s="6"/>
      <c r="Y3680" s="6"/>
      <c r="Z3680" s="6"/>
      <c r="AA3680" s="6"/>
    </row>
    <row r="3681" ht="14.25">
      <c r="B3681" s="4" t="s">
        <v>2436</v>
      </c>
      <c r="C3681" s="4" t="s">
        <v>2728</v>
      </c>
      <c r="D3681" s="4" t="s">
        <v>26801</v>
      </c>
      <c r="E3681" s="4" t="s">
        <v>26802</v>
      </c>
      <c r="F3681" s="4" t="str">
        <f>IFERROR(__XLUDF.DUMMYFUNCTION("PROPER(REGEXREPLACE(D86,""[^A-Za-z]+ "",""""))"),"Gosense")</f>
        <v>Gosense</v>
      </c>
      <c r="G3681" s="4" t="s">
        <v>26803</v>
      </c>
      <c r="H3681" s="4">
        <v>11</v>
      </c>
      <c r="I3681" s="4" t="s">
        <v>10215</v>
      </c>
      <c r="J3681" s="4" t="str">
        <f>IFERROR(__XLUDF.DUMMYFUNCTION("VLOOKUP(H86,IMPORTRANGE(""https://docs.google.com/spreadsheets/d/1opm6ZNvGZ7KditA9TuJwrZ25eFLfTNIkrNnY6mhV5Eg"",""list!A1:C115""),3,TRUE)"),"le secteur de l'électrique et électronique")</f>
        <v xml:space="preserve">le secteur de l'électrique et électronique</v>
      </c>
      <c r="K3681" s="5" t="s">
        <v>26804</v>
      </c>
      <c r="L3681" s="5" t="s">
        <v>26805</v>
      </c>
      <c r="M3681" s="4" t="s">
        <v>185</v>
      </c>
      <c r="N3681" s="4" t="s">
        <v>29</v>
      </c>
      <c r="O3681" s="4" t="s">
        <v>26806</v>
      </c>
      <c r="P3681" s="4" t="s">
        <v>29</v>
      </c>
      <c r="Q3681" s="4" t="s">
        <v>26807</v>
      </c>
      <c r="R3681" s="6"/>
      <c r="S3681" s="6"/>
      <c r="T3681" s="6"/>
      <c r="U3681" s="6"/>
      <c r="V3681" s="6"/>
      <c r="W3681" s="6"/>
      <c r="X3681" s="6"/>
      <c r="Y3681" s="6"/>
      <c r="Z3681" s="6"/>
      <c r="AA3681" s="6"/>
    </row>
    <row r="3682" ht="14.25">
      <c r="B3682" s="4" t="s">
        <v>3797</v>
      </c>
      <c r="C3682" s="4" t="s">
        <v>26808</v>
      </c>
      <c r="D3682" s="4" t="s">
        <v>1130</v>
      </c>
      <c r="E3682" s="4" t="s">
        <v>26809</v>
      </c>
      <c r="F3682" s="4" t="str">
        <f>IFERROR(__XLUDF.DUMMYFUNCTION("PROPER(REGEXREPLACE(D87,""[^A-Za-z]+ "",""""))"),"Mg France")</f>
        <v xml:space="preserve">Mg France</v>
      </c>
      <c r="G3682" s="4" t="s">
        <v>26810</v>
      </c>
      <c r="H3682" s="4">
        <v>11</v>
      </c>
      <c r="I3682" s="4" t="s">
        <v>10215</v>
      </c>
      <c r="J3682" s="4" t="str">
        <f>IFERROR(__XLUDF.DUMMYFUNCTION("VLOOKUP(H87,IMPORTRANGE(""https://docs.google.com/spreadsheets/d/1opm6ZNvGZ7KditA9TuJwrZ25eFLfTNIkrNnY6mhV5Eg"",""list!A1:C115""),3,TRUE)"),"le secteur de l'électrique et électronique")</f>
        <v xml:space="preserve">le secteur de l'électrique et électronique</v>
      </c>
      <c r="K3682" s="5" t="s">
        <v>26811</v>
      </c>
      <c r="L3682" s="5" t="s">
        <v>26812</v>
      </c>
      <c r="M3682" s="4" t="s">
        <v>774</v>
      </c>
      <c r="N3682" s="4" t="s">
        <v>29</v>
      </c>
      <c r="O3682" s="4" t="s">
        <v>26813</v>
      </c>
      <c r="P3682" s="4" t="s">
        <v>29</v>
      </c>
      <c r="Q3682" s="4" t="s">
        <v>26814</v>
      </c>
      <c r="R3682" s="6"/>
      <c r="S3682" s="6"/>
      <c r="T3682" s="6"/>
      <c r="U3682" s="6"/>
      <c r="V3682" s="6"/>
      <c r="W3682" s="6"/>
      <c r="X3682" s="6"/>
      <c r="Y3682" s="6"/>
      <c r="Z3682" s="6"/>
      <c r="AA3682" s="6"/>
    </row>
    <row r="3683" ht="14.25">
      <c r="B3683" s="4" t="s">
        <v>2932</v>
      </c>
      <c r="C3683" s="4" t="s">
        <v>26815</v>
      </c>
      <c r="D3683" s="4" t="s">
        <v>3775</v>
      </c>
      <c r="E3683" s="4" t="s">
        <v>26802</v>
      </c>
      <c r="F3683" s="4" t="str">
        <f>IFERROR(__XLUDF.DUMMYFUNCTION("PROPER(REGEXREPLACE(D88,""[^A-Za-z]+ "",""""))"),"Gosense")</f>
        <v>Gosense</v>
      </c>
      <c r="G3683" s="4" t="s">
        <v>26816</v>
      </c>
      <c r="H3683" s="4">
        <v>11</v>
      </c>
      <c r="I3683" s="4" t="s">
        <v>10215</v>
      </c>
      <c r="J3683" s="4" t="str">
        <f>IFERROR(__XLUDF.DUMMYFUNCTION("VLOOKUP(H88,IMPORTRANGE(""https://docs.google.com/spreadsheets/d/1opm6ZNvGZ7KditA9TuJwrZ25eFLfTNIkrNnY6mhV5Eg"",""list!A1:C115""),3,TRUE)"),"le secteur de l'électrique et électronique")</f>
        <v xml:space="preserve">le secteur de l'électrique et électronique</v>
      </c>
      <c r="K3683" s="5" t="s">
        <v>26817</v>
      </c>
      <c r="L3683" s="5" t="s">
        <v>26805</v>
      </c>
      <c r="M3683" s="4" t="s">
        <v>185</v>
      </c>
      <c r="N3683" s="4" t="s">
        <v>29</v>
      </c>
      <c r="O3683" s="4" t="s">
        <v>26806</v>
      </c>
      <c r="P3683" s="4" t="s">
        <v>29</v>
      </c>
      <c r="Q3683" s="4" t="s">
        <v>26807</v>
      </c>
      <c r="R3683" s="6"/>
      <c r="S3683" s="6"/>
      <c r="T3683" s="6"/>
      <c r="U3683" s="6"/>
      <c r="V3683" s="6"/>
      <c r="W3683" s="6"/>
      <c r="X3683" s="6"/>
      <c r="Y3683" s="6"/>
      <c r="Z3683" s="6"/>
      <c r="AA3683" s="6"/>
    </row>
    <row r="3684" ht="14.25">
      <c r="B3684" s="4" t="s">
        <v>2503</v>
      </c>
      <c r="C3684" s="4" t="s">
        <v>26818</v>
      </c>
      <c r="D3684" s="4" t="s">
        <v>265</v>
      </c>
      <c r="E3684" s="4" t="s">
        <v>18546</v>
      </c>
      <c r="F3684" s="4" t="str">
        <f>IFERROR(__XLUDF.DUMMYFUNCTION("PROPER(REGEXREPLACE(D89,""[^A-Za-z]+ "",""""))"),"Greencityzen")</f>
        <v>Greencityzen</v>
      </c>
      <c r="G3684" s="4" t="s">
        <v>26819</v>
      </c>
      <c r="H3684" s="4">
        <v>13</v>
      </c>
      <c r="I3684" s="4" t="s">
        <v>10215</v>
      </c>
      <c r="J3684" s="4" t="str">
        <f>IFERROR(__XLUDF.DUMMYFUNCTION("VLOOKUP(H89,IMPORTRANGE(""https://docs.google.com/spreadsheets/d/1opm6ZNvGZ7KditA9TuJwrZ25eFLfTNIkrNnY6mhV5Eg"",""list!A1:C115""),3,TRUE)"),"le secteur de l'électrique et électronique")</f>
        <v xml:space="preserve">le secteur de l'électrique et électronique</v>
      </c>
      <c r="K3684" s="5" t="s">
        <v>26820</v>
      </c>
      <c r="L3684" s="5" t="s">
        <v>18549</v>
      </c>
      <c r="M3684" s="4" t="s">
        <v>295</v>
      </c>
      <c r="N3684" s="4" t="s">
        <v>29</v>
      </c>
      <c r="O3684" s="4" t="s">
        <v>18550</v>
      </c>
      <c r="P3684" s="4" t="s">
        <v>29</v>
      </c>
      <c r="Q3684" s="4" t="s">
        <v>18551</v>
      </c>
      <c r="R3684" s="6"/>
      <c r="S3684" s="6"/>
      <c r="T3684" s="6"/>
      <c r="U3684" s="6"/>
      <c r="V3684" s="6"/>
      <c r="W3684" s="6"/>
      <c r="X3684" s="6"/>
      <c r="Y3684" s="6"/>
      <c r="Z3684" s="6"/>
      <c r="AA3684" s="6"/>
    </row>
    <row r="3685" ht="14.25">
      <c r="B3685" s="4" t="s">
        <v>76</v>
      </c>
      <c r="C3685" s="4" t="s">
        <v>26821</v>
      </c>
      <c r="D3685" s="4" t="s">
        <v>112</v>
      </c>
      <c r="E3685" s="4" t="s">
        <v>26822</v>
      </c>
      <c r="F3685" s="4" t="str">
        <f>IFERROR(__XLUDF.DUMMYFUNCTION("PROPER(REGEXREPLACE(D90,""[^A-Za-z]+ "",""""))"),"Noxant")</f>
        <v>Noxant</v>
      </c>
      <c r="G3685" s="4" t="s">
        <v>26823</v>
      </c>
      <c r="H3685" s="4">
        <v>22</v>
      </c>
      <c r="I3685" s="4" t="s">
        <v>10215</v>
      </c>
      <c r="J3685" s="4" t="str">
        <f>IFERROR(__XLUDF.DUMMYFUNCTION("VLOOKUP(H90,IMPORTRANGE(""https://docs.google.com/spreadsheets/d/1opm6ZNvGZ7KditA9TuJwrZ25eFLfTNIkrNnY6mhV5Eg"",""list!A1:C115""),3,TRUE)"),"le secteur de l'électrique et électronique")</f>
        <v xml:space="preserve">le secteur de l'électrique et électronique</v>
      </c>
      <c r="K3685" s="5" t="s">
        <v>26824</v>
      </c>
      <c r="L3685" s="5" t="s">
        <v>26825</v>
      </c>
      <c r="M3685" s="4" t="s">
        <v>21259</v>
      </c>
      <c r="N3685" s="4" t="s">
        <v>29</v>
      </c>
      <c r="O3685" s="4" t="s">
        <v>23280</v>
      </c>
      <c r="P3685" s="4" t="s">
        <v>29</v>
      </c>
      <c r="Q3685" s="4" t="s">
        <v>26826</v>
      </c>
      <c r="R3685" s="6"/>
      <c r="S3685" s="6"/>
      <c r="T3685" s="6"/>
      <c r="U3685" s="6"/>
      <c r="V3685" s="6"/>
      <c r="W3685" s="6"/>
      <c r="X3685" s="6"/>
      <c r="Y3685" s="6"/>
      <c r="Z3685" s="6"/>
      <c r="AA3685" s="6"/>
    </row>
    <row r="3686" ht="14.25">
      <c r="B3686" s="4" t="s">
        <v>866</v>
      </c>
      <c r="C3686" s="4" t="s">
        <v>26827</v>
      </c>
      <c r="D3686" s="4" t="s">
        <v>172</v>
      </c>
      <c r="E3686" s="4" t="s">
        <v>26828</v>
      </c>
      <c r="F3686" s="4" t="str">
        <f>IFERROR(__XLUDF.DUMMYFUNCTION("PROPER(REGEXREPLACE(D91,""[^A-Za-z]+ "",""""))"),"Safir Engineering S.A.S")</f>
        <v xml:space="preserve">Safir Engineering S.A.S</v>
      </c>
      <c r="G3686" s="4" t="s">
        <v>26829</v>
      </c>
      <c r="H3686" s="4">
        <v>11</v>
      </c>
      <c r="I3686" s="4" t="s">
        <v>10215</v>
      </c>
      <c r="J3686" s="4" t="str">
        <f>IFERROR(__XLUDF.DUMMYFUNCTION("VLOOKUP(H91,IMPORTRANGE(""https://docs.google.com/spreadsheets/d/1opm6ZNvGZ7KditA9TuJwrZ25eFLfTNIkrNnY6mhV5Eg"",""list!A1:C115""),3,TRUE)"),"le secteur de l'électrique et électronique")</f>
        <v xml:space="preserve">le secteur de l'électrique et électronique</v>
      </c>
      <c r="K3686" s="5" t="s">
        <v>26830</v>
      </c>
      <c r="L3686" s="5" t="s">
        <v>26831</v>
      </c>
      <c r="M3686" s="4" t="s">
        <v>26832</v>
      </c>
      <c r="N3686" s="4" t="s">
        <v>29</v>
      </c>
      <c r="O3686" s="4" t="s">
        <v>26833</v>
      </c>
      <c r="P3686" s="4" t="s">
        <v>29</v>
      </c>
      <c r="Q3686" s="4" t="s">
        <v>26834</v>
      </c>
      <c r="R3686" s="6"/>
      <c r="S3686" s="6"/>
      <c r="T3686" s="6"/>
      <c r="U3686" s="6"/>
      <c r="V3686" s="6"/>
      <c r="W3686" s="6"/>
      <c r="X3686" s="6"/>
      <c r="Y3686" s="6"/>
      <c r="Z3686" s="6"/>
      <c r="AA3686" s="6"/>
    </row>
    <row r="3687" ht="14.25">
      <c r="B3687" s="4" t="s">
        <v>355</v>
      </c>
      <c r="C3687" s="4" t="s">
        <v>21140</v>
      </c>
      <c r="D3687" s="4" t="s">
        <v>1950</v>
      </c>
      <c r="E3687" s="4" t="s">
        <v>21141</v>
      </c>
      <c r="F3687" s="4" t="str">
        <f>IFERROR(__XLUDF.DUMMYFUNCTION("PROPER(REGEXREPLACE(D92,""[^A-Za-z]+ "",""""))"),"Derancourt")</f>
        <v>Derancourt</v>
      </c>
      <c r="G3687" s="4" t="s">
        <v>26835</v>
      </c>
      <c r="H3687" s="4">
        <v>29</v>
      </c>
      <c r="I3687" s="4" t="s">
        <v>10215</v>
      </c>
      <c r="J3687" s="4" t="str">
        <f>IFERROR(__XLUDF.DUMMYFUNCTION("VLOOKUP(H92,IMPORTRANGE(""https://docs.google.com/spreadsheets/d/1opm6ZNvGZ7KditA9TuJwrZ25eFLfTNIkrNnY6mhV5Eg"",""list!A1:C115""),3,TRUE)"),"le secteur de l'électrique et électronique")</f>
        <v xml:space="preserve">le secteur de l'électrique et électronique</v>
      </c>
      <c r="K3687" s="5" t="s">
        <v>26836</v>
      </c>
      <c r="L3687" s="5" t="s">
        <v>21144</v>
      </c>
      <c r="M3687" s="4" t="s">
        <v>21145</v>
      </c>
      <c r="N3687" s="4" t="s">
        <v>29</v>
      </c>
      <c r="O3687" s="4" t="s">
        <v>21146</v>
      </c>
      <c r="P3687" s="4" t="s">
        <v>29</v>
      </c>
      <c r="Q3687" s="4" t="s">
        <v>21147</v>
      </c>
      <c r="R3687" s="6"/>
      <c r="S3687" s="6"/>
      <c r="T3687" s="6"/>
      <c r="U3687" s="6"/>
      <c r="V3687" s="6"/>
      <c r="W3687" s="6"/>
      <c r="X3687" s="6"/>
      <c r="Y3687" s="6"/>
      <c r="Z3687" s="6"/>
      <c r="AA3687" s="6"/>
    </row>
    <row r="3688" ht="14.25">
      <c r="B3688" s="4" t="s">
        <v>2299</v>
      </c>
      <c r="C3688" s="4" t="s">
        <v>26837</v>
      </c>
      <c r="D3688" s="4" t="s">
        <v>1130</v>
      </c>
      <c r="E3688" s="4" t="s">
        <v>26838</v>
      </c>
      <c r="F3688" s="4" t="str">
        <f>IFERROR(__XLUDF.DUMMYFUNCTION("PROPER(REGEXREPLACE(D93,""[^A-Za-z]+ "",""""))"),"Infralec")</f>
        <v>Infralec</v>
      </c>
      <c r="G3688" s="4" t="s">
        <v>26839</v>
      </c>
      <c r="H3688" s="4">
        <v>28</v>
      </c>
      <c r="I3688" s="4" t="s">
        <v>10215</v>
      </c>
      <c r="J3688" s="4" t="str">
        <f>IFERROR(__XLUDF.DUMMYFUNCTION("VLOOKUP(H93,IMPORTRANGE(""https://docs.google.com/spreadsheets/d/1opm6ZNvGZ7KditA9TuJwrZ25eFLfTNIkrNnY6mhV5Eg"",""list!A1:C115""),3,TRUE)"),"le secteur de l'électrique et électronique")</f>
        <v xml:space="preserve">le secteur de l'électrique et électronique</v>
      </c>
      <c r="K3688" s="5" t="s">
        <v>26840</v>
      </c>
      <c r="L3688" s="5" t="s">
        <v>26841</v>
      </c>
      <c r="M3688" s="6"/>
      <c r="N3688" s="4" t="s">
        <v>29</v>
      </c>
      <c r="O3688" s="4" t="s">
        <v>26842</v>
      </c>
      <c r="P3688" s="4" t="s">
        <v>29</v>
      </c>
      <c r="Q3688" s="4" t="s">
        <v>26843</v>
      </c>
      <c r="R3688" s="6"/>
      <c r="S3688" s="6"/>
      <c r="T3688" s="6"/>
      <c r="U3688" s="6"/>
      <c r="V3688" s="6"/>
      <c r="W3688" s="6"/>
      <c r="X3688" s="6"/>
      <c r="Y3688" s="6"/>
      <c r="Z3688" s="6"/>
      <c r="AA3688" s="6"/>
    </row>
    <row r="3689" ht="14.25">
      <c r="B3689" s="4" t="s">
        <v>1619</v>
      </c>
      <c r="C3689" s="4" t="s">
        <v>10834</v>
      </c>
      <c r="D3689" s="4" t="s">
        <v>26844</v>
      </c>
      <c r="E3689" s="4" t="s">
        <v>23927</v>
      </c>
      <c r="F3689" s="4" t="str">
        <f>IFERROR(__XLUDF.DUMMYFUNCTION("PROPER(REGEXREPLACE(D94,""[^A-Za-z]+ "",""""))"),"Stand 2B")</f>
        <v xml:space="preserve">Stand 2B</v>
      </c>
      <c r="G3689" s="4" t="s">
        <v>26845</v>
      </c>
      <c r="H3689" s="4">
        <v>45</v>
      </c>
      <c r="I3689" s="4" t="s">
        <v>23929</v>
      </c>
      <c r="J3689" s="4" t="str">
        <f>IFERROR(__XLUDF.DUMMYFUNCTION("VLOOKUP(H94,IMPORTRANGE(""https://docs.google.com/spreadsheets/d/1opm6ZNvGZ7KditA9TuJwrZ25eFLfTNIkrNnY6mhV5Eg"",""list!A1:C115""),3,TRUE)"),"le secteur de l'événementiel")</f>
        <v xml:space="preserve">le secteur de l'événementiel</v>
      </c>
      <c r="K3689" s="5" t="s">
        <v>26846</v>
      </c>
      <c r="L3689" s="5" t="s">
        <v>23931</v>
      </c>
      <c r="M3689" s="4" t="s">
        <v>243</v>
      </c>
      <c r="N3689" s="4" t="s">
        <v>29</v>
      </c>
      <c r="O3689" s="4" t="s">
        <v>23933</v>
      </c>
      <c r="P3689" s="4" t="s">
        <v>29</v>
      </c>
      <c r="Q3689" s="6"/>
      <c r="R3689" s="6"/>
      <c r="S3689" s="6"/>
      <c r="T3689" s="6"/>
      <c r="U3689" s="6"/>
      <c r="V3689" s="6"/>
      <c r="W3689" s="6"/>
      <c r="X3689" s="6"/>
      <c r="Y3689" s="6"/>
      <c r="Z3689" s="6"/>
      <c r="AA3689" s="6"/>
    </row>
    <row r="3690" ht="14.25">
      <c r="B3690" s="4" t="s">
        <v>2299</v>
      </c>
      <c r="C3690" s="4" t="s">
        <v>26847</v>
      </c>
      <c r="D3690" s="4" t="s">
        <v>426</v>
      </c>
      <c r="E3690" s="4" t="s">
        <v>26848</v>
      </c>
      <c r="F3690" s="4" t="str">
        <f>IFERROR(__XLUDF.DUMMYFUNCTION("PROPER(REGEXREPLACE(D95,""[^A-Za-z]+ "",""""))"),"Roger Dubois")</f>
        <v xml:space="preserve">Roger Dubois</v>
      </c>
      <c r="G3690" s="4" t="s">
        <v>26849</v>
      </c>
      <c r="H3690" s="4">
        <v>12</v>
      </c>
      <c r="I3690" s="4" t="s">
        <v>1504</v>
      </c>
      <c r="J3690" s="4" t="str">
        <f>IFERROR(__XLUDF.DUMMYFUNCTION("VLOOKUP(H95,IMPORTRANGE(""https://docs.google.com/spreadsheets/d/1opm6ZNvGZ7KditA9TuJwrZ25eFLfTNIkrNnY6mhV5Eg"",""list!A1:C115""),3,TRUE)"),"le secteur des services aux établissements")</f>
        <v xml:space="preserve">le secteur des services aux établissements</v>
      </c>
      <c r="K3690" s="5" t="s">
        <v>26850</v>
      </c>
      <c r="L3690" s="5" t="s">
        <v>26851</v>
      </c>
      <c r="M3690" s="4" t="s">
        <v>39</v>
      </c>
      <c r="N3690" s="4" t="s">
        <v>29</v>
      </c>
      <c r="O3690" s="4" t="s">
        <v>26852</v>
      </c>
      <c r="P3690" s="4" t="s">
        <v>29</v>
      </c>
      <c r="Q3690" s="6"/>
      <c r="R3690" s="6"/>
      <c r="S3690" s="6"/>
      <c r="T3690" s="6"/>
      <c r="U3690" s="6"/>
      <c r="V3690" s="6"/>
      <c r="W3690" s="6"/>
      <c r="X3690" s="6"/>
      <c r="Y3690" s="6"/>
      <c r="Z3690" s="6"/>
      <c r="AA3690" s="6"/>
    </row>
    <row r="3691" ht="14.25">
      <c r="B3691" s="4" t="s">
        <v>1583</v>
      </c>
      <c r="C3691" s="4" t="s">
        <v>26853</v>
      </c>
      <c r="D3691" s="4" t="s">
        <v>87</v>
      </c>
      <c r="E3691" s="4" t="s">
        <v>26854</v>
      </c>
      <c r="F3691" s="4" t="str">
        <f>IFERROR(__XLUDF.DUMMYFUNCTION("PROPER(REGEXREPLACE(D96,""[^A-Za-z]+ "",""""))"),"Accelerate Me")</f>
        <v xml:space="preserve">Accelerate Me</v>
      </c>
      <c r="G3691" s="4" t="s">
        <v>26855</v>
      </c>
      <c r="H3691" s="4">
        <v>36</v>
      </c>
      <c r="I3691" s="4" t="s">
        <v>26856</v>
      </c>
      <c r="J3691" s="4" t="str">
        <f>IFERROR(__XLUDF.DUMMYFUNCTION("VLOOKUP(H96,IMPORTRANGE(""https://docs.google.com/spreadsheets/d/1opm6ZNvGZ7KditA9TuJwrZ25eFLfTNIkrNnY6mhV5Eg"",""list!A1:C115""),3,TRUE)"),"le secteur de l'enseignement supérieur")</f>
        <v xml:space="preserve">le secteur de l'enseignement supérieur</v>
      </c>
      <c r="K3691" s="5" t="s">
        <v>26857</v>
      </c>
      <c r="L3691" s="5" t="s">
        <v>26858</v>
      </c>
      <c r="M3691" s="4" t="s">
        <v>1507</v>
      </c>
      <c r="N3691" s="4" t="s">
        <v>29</v>
      </c>
      <c r="O3691" s="4" t="s">
        <v>26859</v>
      </c>
      <c r="P3691" s="4" t="s">
        <v>1548</v>
      </c>
      <c r="Q3691" s="4" t="s">
        <v>26860</v>
      </c>
      <c r="R3691" s="6"/>
      <c r="S3691" s="6"/>
      <c r="T3691" s="6"/>
      <c r="U3691" s="6"/>
      <c r="V3691" s="6"/>
      <c r="W3691" s="6"/>
      <c r="X3691" s="6"/>
      <c r="Y3691" s="6"/>
      <c r="Z3691" s="6"/>
      <c r="AA3691" s="6"/>
    </row>
    <row r="3692" ht="14.25">
      <c r="B3692" s="4" t="s">
        <v>26861</v>
      </c>
      <c r="C3692" s="4" t="s">
        <v>18213</v>
      </c>
      <c r="D3692" s="4" t="s">
        <v>112</v>
      </c>
      <c r="E3692" s="4" t="s">
        <v>26862</v>
      </c>
      <c r="F3692" s="4" t="str">
        <f>IFERROR(__XLUDF.DUMMYFUNCTION("PROPER(REGEXREPLACE(D97,""[^A-Za-z]+ "",""""))"),"Ouest Insa Junior Entreprise")</f>
        <v xml:space="preserve">Ouest Insa Junior Entreprise</v>
      </c>
      <c r="G3692" s="4" t="s">
        <v>26863</v>
      </c>
      <c r="H3692" s="4">
        <v>22</v>
      </c>
      <c r="I3692" s="4" t="s">
        <v>26856</v>
      </c>
      <c r="J3692" s="4" t="str">
        <f>IFERROR(__XLUDF.DUMMYFUNCTION("VLOOKUP(H97,IMPORTRANGE(""https://docs.google.com/spreadsheets/d/1opm6ZNvGZ7KditA9TuJwrZ25eFLfTNIkrNnY6mhV5Eg"",""list!A1:C115""),3,TRUE)"),"le secteur de l'enseignement supérieur")</f>
        <v xml:space="preserve">le secteur de l'enseignement supérieur</v>
      </c>
      <c r="K3692" s="5" t="s">
        <v>26864</v>
      </c>
      <c r="L3692" s="5" t="s">
        <v>26865</v>
      </c>
      <c r="M3692" s="4" t="s">
        <v>11344</v>
      </c>
      <c r="N3692" s="4" t="s">
        <v>29</v>
      </c>
      <c r="O3692" s="4" t="s">
        <v>2286</v>
      </c>
      <c r="P3692" s="4" t="s">
        <v>29</v>
      </c>
      <c r="Q3692" s="6"/>
      <c r="R3692" s="6"/>
      <c r="S3692" s="6"/>
      <c r="T3692" s="6"/>
      <c r="U3692" s="6"/>
      <c r="V3692" s="6"/>
      <c r="W3692" s="6"/>
      <c r="X3692" s="6"/>
      <c r="Y3692" s="6"/>
      <c r="Z3692" s="6"/>
      <c r="AA3692" s="6"/>
    </row>
    <row r="3693" ht="14.25">
      <c r="B3693" s="4" t="s">
        <v>2419</v>
      </c>
      <c r="C3693" s="4" t="s">
        <v>26866</v>
      </c>
      <c r="D3693" s="4" t="s">
        <v>426</v>
      </c>
      <c r="E3693" s="4" t="s">
        <v>26867</v>
      </c>
      <c r="F3693" s="4" t="str">
        <f>IFERROR(__XLUDF.DUMMYFUNCTION("PROPER(REGEXREPLACE(D98,""[^A-Za-z]+ "",""""))"),"Id-Logism")</f>
        <v>Id-Logism</v>
      </c>
      <c r="G3693" s="4" t="s">
        <v>26868</v>
      </c>
      <c r="H3693" s="4">
        <v>14</v>
      </c>
      <c r="I3693" s="4" t="s">
        <v>9461</v>
      </c>
      <c r="J3693" s="4" t="str">
        <f>IFERROR(__XLUDF.DUMMYFUNCTION("VLOOKUP(H98,IMPORTRANGE(""https://docs.google.com/spreadsheets/d/1opm6ZNvGZ7KditA9TuJwrZ25eFLfTNIkrNnY6mhV5Eg"",""list!A1:C115""),3,TRUE)"),"le secteur des services d'information")</f>
        <v xml:space="preserve">le secteur des services d'information</v>
      </c>
      <c r="K3693" s="5" t="s">
        <v>26869</v>
      </c>
      <c r="L3693" s="5" t="s">
        <v>26870</v>
      </c>
      <c r="M3693" s="4" t="s">
        <v>39</v>
      </c>
      <c r="N3693" s="4" t="s">
        <v>29</v>
      </c>
      <c r="O3693" s="4" t="s">
        <v>26871</v>
      </c>
      <c r="P3693" s="4" t="s">
        <v>29</v>
      </c>
      <c r="Q3693" s="4" t="s">
        <v>26872</v>
      </c>
      <c r="R3693" s="6"/>
      <c r="S3693" s="6"/>
      <c r="T3693" s="6"/>
      <c r="U3693" s="6"/>
      <c r="V3693" s="6"/>
      <c r="W3693" s="6"/>
      <c r="X3693" s="6"/>
      <c r="Y3693" s="6"/>
      <c r="Z3693" s="6"/>
      <c r="AA3693" s="6"/>
    </row>
    <row r="3694" ht="14.25">
      <c r="B3694" s="4" t="s">
        <v>26873</v>
      </c>
      <c r="C3694" s="4" t="s">
        <v>6569</v>
      </c>
      <c r="D3694" s="4" t="s">
        <v>44</v>
      </c>
      <c r="E3694" s="4" t="s">
        <v>20281</v>
      </c>
      <c r="F3694" s="4" t="str">
        <f>IFERROR(__XLUDF.DUMMYFUNCTION("PROPER(REGEXREPLACE(D99,""[^A-Za-z]+ "",""""))"),"Data-Tricks")</f>
        <v>Data-Tricks</v>
      </c>
      <c r="G3694" s="4" t="s">
        <v>26874</v>
      </c>
      <c r="H3694" s="4">
        <v>21</v>
      </c>
      <c r="I3694" s="4" t="s">
        <v>9461</v>
      </c>
      <c r="J3694" s="4" t="str">
        <f>IFERROR(__XLUDF.DUMMYFUNCTION("VLOOKUP(H99,IMPORTRANGE(""https://docs.google.com/spreadsheets/d/1opm6ZNvGZ7KditA9TuJwrZ25eFLfTNIkrNnY6mhV5Eg"",""list!A1:C115""),3,TRUE)"),"le secteur des services d'information")</f>
        <v xml:space="preserve">le secteur des services d'information</v>
      </c>
      <c r="K3694" s="5" t="s">
        <v>26875</v>
      </c>
      <c r="L3694" s="5" t="s">
        <v>20284</v>
      </c>
      <c r="M3694" s="4" t="s">
        <v>39</v>
      </c>
      <c r="N3694" s="4" t="s">
        <v>29</v>
      </c>
      <c r="O3694" s="4" t="s">
        <v>20285</v>
      </c>
      <c r="P3694" s="4" t="s">
        <v>29</v>
      </c>
      <c r="Q3694" s="4" t="s">
        <v>20286</v>
      </c>
      <c r="R3694" s="6"/>
      <c r="S3694" s="6"/>
      <c r="T3694" s="6"/>
      <c r="U3694" s="6"/>
      <c r="V3694" s="6"/>
      <c r="W3694" s="6"/>
      <c r="X3694" s="6"/>
      <c r="Y3694" s="6"/>
      <c r="Z3694" s="6"/>
      <c r="AA3694" s="6"/>
    </row>
    <row r="3695" ht="14.25">
      <c r="B3695" s="4" t="s">
        <v>26876</v>
      </c>
      <c r="C3695" s="4" t="s">
        <v>20</v>
      </c>
      <c r="D3695" s="4" t="s">
        <v>26877</v>
      </c>
      <c r="E3695" s="4" t="s">
        <v>26878</v>
      </c>
      <c r="F3695" s="4" t="str">
        <f>IFERROR(__XLUDF.DUMMYFUNCTION("PROPER(REGEXREPLACE(D100,""[^A-Za-z]+ "",""""))"),"Conversens")</f>
        <v>Conversens</v>
      </c>
      <c r="G3695" s="4" t="s">
        <v>26879</v>
      </c>
      <c r="H3695" s="4">
        <v>33</v>
      </c>
      <c r="I3695" s="4" t="s">
        <v>9461</v>
      </c>
      <c r="J3695" s="4" t="str">
        <f>IFERROR(__XLUDF.DUMMYFUNCTION("VLOOKUP(H100,IMPORTRANGE(""https://docs.google.com/spreadsheets/d/1opm6ZNvGZ7KditA9TuJwrZ25eFLfTNIkrNnY6mhV5Eg"",""list!A1:C115""),3,TRUE)"),"le secteur des services d'information")</f>
        <v xml:space="preserve">le secteur des services d'information</v>
      </c>
      <c r="K3695" s="5" t="s">
        <v>26880</v>
      </c>
      <c r="L3695" s="5" t="s">
        <v>26881</v>
      </c>
      <c r="M3695" s="4" t="s">
        <v>1711</v>
      </c>
      <c r="N3695" s="4" t="s">
        <v>29</v>
      </c>
      <c r="O3695" s="4" t="s">
        <v>26882</v>
      </c>
      <c r="P3695" s="4" t="s">
        <v>29</v>
      </c>
      <c r="Q3695" s="4" t="s">
        <v>26883</v>
      </c>
      <c r="R3695" s="6"/>
      <c r="S3695" s="6"/>
      <c r="T3695" s="6"/>
      <c r="U3695" s="6"/>
      <c r="V3695" s="6"/>
      <c r="W3695" s="6"/>
      <c r="X3695" s="6"/>
      <c r="Y3695" s="6"/>
      <c r="Z3695" s="6"/>
      <c r="AA3695" s="6"/>
    </row>
    <row r="3696" ht="14.25">
      <c r="B3696" s="4" t="s">
        <v>2150</v>
      </c>
      <c r="C3696" s="4" t="s">
        <v>26884</v>
      </c>
      <c r="D3696" s="4" t="s">
        <v>26885</v>
      </c>
      <c r="E3696" s="4" t="s">
        <v>26878</v>
      </c>
      <c r="F3696" s="4" t="str">
        <f>IFERROR(__XLUDF.DUMMYFUNCTION("PROPER(REGEXREPLACE(D101,""[^A-Za-z]+ "",""""))"),"Conversens")</f>
        <v>Conversens</v>
      </c>
      <c r="G3696" s="4" t="s">
        <v>26886</v>
      </c>
      <c r="H3696" s="4">
        <v>33</v>
      </c>
      <c r="I3696" s="4" t="s">
        <v>9461</v>
      </c>
      <c r="J3696" s="4" t="str">
        <f>IFERROR(__XLUDF.DUMMYFUNCTION("VLOOKUP(H101,IMPORTRANGE(""https://docs.google.com/spreadsheets/d/1opm6ZNvGZ7KditA9TuJwrZ25eFLfTNIkrNnY6mhV5Eg"",""list!A1:C115""),3,TRUE)"),"le secteur des services d'information")</f>
        <v xml:space="preserve">le secteur des services d'information</v>
      </c>
      <c r="K3696" s="5" t="s">
        <v>26887</v>
      </c>
      <c r="L3696" s="5" t="s">
        <v>26881</v>
      </c>
      <c r="M3696" s="4" t="s">
        <v>1711</v>
      </c>
      <c r="N3696" s="4" t="s">
        <v>29</v>
      </c>
      <c r="O3696" s="4" t="s">
        <v>26882</v>
      </c>
      <c r="P3696" s="4" t="s">
        <v>29</v>
      </c>
      <c r="Q3696" s="4" t="s">
        <v>26883</v>
      </c>
      <c r="R3696" s="6"/>
      <c r="S3696" s="6"/>
      <c r="T3696" s="6"/>
      <c r="U3696" s="6"/>
      <c r="V3696" s="6"/>
      <c r="W3696" s="6"/>
      <c r="X3696" s="6"/>
      <c r="Y3696" s="6"/>
      <c r="Z3696" s="6"/>
      <c r="AA3696" s="6"/>
    </row>
    <row r="3697" ht="14.25">
      <c r="B3697" s="4" t="s">
        <v>955</v>
      </c>
      <c r="C3697" s="4" t="s">
        <v>26888</v>
      </c>
      <c r="D3697" s="4" t="s">
        <v>7759</v>
      </c>
      <c r="E3697" s="4" t="s">
        <v>26878</v>
      </c>
      <c r="F3697" s="4" t="str">
        <f>IFERROR(__XLUDF.DUMMYFUNCTION("PROPER(REGEXREPLACE(D102,""[^A-Za-z]+ "",""""))"),"Conversens")</f>
        <v>Conversens</v>
      </c>
      <c r="G3697" s="4" t="s">
        <v>26889</v>
      </c>
      <c r="H3697" s="4">
        <v>33</v>
      </c>
      <c r="I3697" s="4" t="s">
        <v>9461</v>
      </c>
      <c r="J3697" s="4" t="str">
        <f>IFERROR(__XLUDF.DUMMYFUNCTION("VLOOKUP(H102,IMPORTRANGE(""https://docs.google.com/spreadsheets/d/1opm6ZNvGZ7KditA9TuJwrZ25eFLfTNIkrNnY6mhV5Eg"",""list!A1:C115""),3,TRUE)"),"le secteur des services d'information")</f>
        <v xml:space="preserve">le secteur des services d'information</v>
      </c>
      <c r="K3697" s="5" t="s">
        <v>26890</v>
      </c>
      <c r="L3697" s="5" t="s">
        <v>26881</v>
      </c>
      <c r="M3697" s="4" t="s">
        <v>1711</v>
      </c>
      <c r="N3697" s="4" t="s">
        <v>29</v>
      </c>
      <c r="O3697" s="4" t="s">
        <v>26882</v>
      </c>
      <c r="P3697" s="4" t="s">
        <v>29</v>
      </c>
      <c r="Q3697" s="4" t="s">
        <v>26883</v>
      </c>
      <c r="R3697" s="6"/>
      <c r="S3697" s="6"/>
      <c r="T3697" s="6"/>
      <c r="U3697" s="6"/>
      <c r="V3697" s="6"/>
      <c r="W3697" s="6"/>
      <c r="X3697" s="6"/>
      <c r="Y3697" s="6"/>
      <c r="Z3697" s="6"/>
      <c r="AA3697" s="6"/>
    </row>
    <row r="3698" ht="14.25">
      <c r="B3698" s="4" t="s">
        <v>313</v>
      </c>
      <c r="C3698" s="4" t="s">
        <v>26891</v>
      </c>
      <c r="D3698" s="4" t="s">
        <v>172</v>
      </c>
      <c r="E3698" s="4" t="s">
        <v>26892</v>
      </c>
      <c r="F3698" s="4" t="str">
        <f>IFERROR(__XLUDF.DUMMYFUNCTION("PROPER(REGEXREPLACE(D103,""[^A-Za-z]+ "",""""))"),"Codinf Services +")</f>
        <v xml:space="preserve">Codinf Services +</v>
      </c>
      <c r="G3698" s="4" t="s">
        <v>26893</v>
      </c>
      <c r="H3698" s="4">
        <v>10</v>
      </c>
      <c r="I3698" s="4" t="s">
        <v>9461</v>
      </c>
      <c r="J3698" s="4" t="str">
        <f>IFERROR(__XLUDF.DUMMYFUNCTION("VLOOKUP(H103,IMPORTRANGE(""https://docs.google.com/spreadsheets/d/1opm6ZNvGZ7KditA9TuJwrZ25eFLfTNIkrNnY6mhV5Eg"",""list!A1:C115""),3,TRUE)"),"le secteur des services d'information")</f>
        <v xml:space="preserve">le secteur des services d'information</v>
      </c>
      <c r="K3698" s="5" t="s">
        <v>26894</v>
      </c>
      <c r="L3698" s="5" t="s">
        <v>26895</v>
      </c>
      <c r="M3698" s="4" t="s">
        <v>39</v>
      </c>
      <c r="N3698" s="4" t="s">
        <v>29</v>
      </c>
      <c r="O3698" s="4" t="s">
        <v>26896</v>
      </c>
      <c r="P3698" s="4" t="s">
        <v>29</v>
      </c>
      <c r="Q3698" s="6"/>
      <c r="R3698" s="6"/>
      <c r="S3698" s="6"/>
      <c r="T3698" s="6"/>
      <c r="U3698" s="6"/>
      <c r="V3698" s="6"/>
      <c r="W3698" s="6"/>
      <c r="X3698" s="6"/>
      <c r="Y3698" s="6"/>
      <c r="Z3698" s="6"/>
      <c r="AA3698" s="6"/>
    </row>
    <row r="3699" ht="14.25">
      <c r="B3699" s="4" t="s">
        <v>1596</v>
      </c>
      <c r="C3699" s="4" t="s">
        <v>26897</v>
      </c>
      <c r="D3699" s="4" t="s">
        <v>172</v>
      </c>
      <c r="E3699" s="4" t="s">
        <v>26898</v>
      </c>
      <c r="F3699" s="4" t="str">
        <f>IFERROR(__XLUDF.DUMMYFUNCTION("PROPER(REGEXREPLACE(D104,""[^A-Za-z]+ "",""""))"),"Géofoncier")</f>
        <v>Géofoncier</v>
      </c>
      <c r="G3699" s="4" t="s">
        <v>26899</v>
      </c>
      <c r="H3699" s="4">
        <v>12</v>
      </c>
      <c r="I3699" s="4" t="s">
        <v>9461</v>
      </c>
      <c r="J3699" s="4" t="str">
        <f>IFERROR(__XLUDF.DUMMYFUNCTION("VLOOKUP(H104,IMPORTRANGE(""https://docs.google.com/spreadsheets/d/1opm6ZNvGZ7KditA9TuJwrZ25eFLfTNIkrNnY6mhV5Eg"",""list!A1:C115""),3,TRUE)"),"le secteur des services d'information")</f>
        <v xml:space="preserve">le secteur des services d'information</v>
      </c>
      <c r="K3699" s="5" t="s">
        <v>26900</v>
      </c>
      <c r="L3699" s="5" t="s">
        <v>26901</v>
      </c>
      <c r="M3699" s="4" t="s">
        <v>83</v>
      </c>
      <c r="N3699" s="4" t="s">
        <v>29</v>
      </c>
      <c r="O3699" s="4" t="s">
        <v>67</v>
      </c>
      <c r="P3699" s="4" t="s">
        <v>29</v>
      </c>
      <c r="Q3699" s="4" t="s">
        <v>26902</v>
      </c>
      <c r="R3699" s="6"/>
      <c r="S3699" s="6"/>
      <c r="T3699" s="6"/>
      <c r="U3699" s="6"/>
      <c r="V3699" s="6"/>
      <c r="W3699" s="6"/>
      <c r="X3699" s="6"/>
      <c r="Y3699" s="6"/>
      <c r="Z3699" s="6"/>
      <c r="AA3699" s="6"/>
    </row>
    <row r="3700" ht="14.25">
      <c r="B3700" s="4" t="s">
        <v>245</v>
      </c>
      <c r="C3700" s="4" t="s">
        <v>26903</v>
      </c>
      <c r="D3700" s="4" t="s">
        <v>1231</v>
      </c>
      <c r="E3700" s="5" t="s">
        <v>26904</v>
      </c>
      <c r="F3700" s="5" t="str">
        <f>IFERROR(__XLUDF.DUMMYFUNCTION("PROPER(REGEXREPLACE(D105,""[^A-Za-z]+ "",""""))"),"Superindep.Fr")</f>
        <v>Superindep.Fr</v>
      </c>
      <c r="G3700" s="4" t="s">
        <v>26905</v>
      </c>
      <c r="H3700" s="4">
        <v>17</v>
      </c>
      <c r="I3700" s="4" t="s">
        <v>9461</v>
      </c>
      <c r="J3700" s="4" t="str">
        <f>IFERROR(__XLUDF.DUMMYFUNCTION("VLOOKUP(H105,IMPORTRANGE(""https://docs.google.com/spreadsheets/d/1opm6ZNvGZ7KditA9TuJwrZ25eFLfTNIkrNnY6mhV5Eg"",""list!A1:C115""),3,TRUE)"),"le secteur des services d'information")</f>
        <v xml:space="preserve">le secteur des services d'information</v>
      </c>
      <c r="K3700" s="5" t="s">
        <v>26906</v>
      </c>
      <c r="L3700" s="5" t="s">
        <v>26907</v>
      </c>
      <c r="M3700" s="4" t="s">
        <v>185</v>
      </c>
      <c r="N3700" s="4" t="s">
        <v>29</v>
      </c>
      <c r="O3700" s="4" t="s">
        <v>125</v>
      </c>
      <c r="P3700" s="4" t="s">
        <v>29</v>
      </c>
      <c r="Q3700" s="4" t="s">
        <v>26908</v>
      </c>
      <c r="R3700" s="6"/>
      <c r="S3700" s="6"/>
      <c r="T3700" s="6"/>
      <c r="U3700" s="6"/>
      <c r="V3700" s="6"/>
      <c r="W3700" s="6"/>
      <c r="X3700" s="6"/>
      <c r="Y3700" s="6"/>
      <c r="Z3700" s="6"/>
      <c r="AA3700" s="6"/>
    </row>
    <row r="3701" ht="14.25">
      <c r="B3701" s="4" t="s">
        <v>26909</v>
      </c>
      <c r="C3701" s="4" t="s">
        <v>26910</v>
      </c>
      <c r="D3701" s="4" t="s">
        <v>164</v>
      </c>
      <c r="E3701" s="4" t="s">
        <v>26911</v>
      </c>
      <c r="F3701" s="4" t="str">
        <f>IFERROR(__XLUDF.DUMMYFUNCTION("PROPER(REGEXREPLACE(D106,""[^A-Za-z]+ "",""""))"),"Ooti")</f>
        <v>Ooti</v>
      </c>
      <c r="G3701" s="4" t="s">
        <v>26912</v>
      </c>
      <c r="H3701" s="4">
        <v>29</v>
      </c>
      <c r="I3701" s="4" t="s">
        <v>2602</v>
      </c>
      <c r="J3701" s="4" t="str">
        <f>IFERROR(__XLUDF.DUMMYFUNCTION("VLOOKUP(H106,IMPORTRANGE(""https://docs.google.com/spreadsheets/d/1opm6ZNvGZ7KditA9TuJwrZ25eFLfTNIkrNnY6mhV5Eg"",""list!A1:C115""),3,TRUE)"),"le secteur de la tech")</f>
        <v xml:space="preserve">le secteur de la tech</v>
      </c>
      <c r="K3701" s="5" t="s">
        <v>26913</v>
      </c>
      <c r="L3701" s="5" t="s">
        <v>26914</v>
      </c>
      <c r="M3701" s="6"/>
      <c r="N3701" s="4" t="s">
        <v>29</v>
      </c>
      <c r="O3701" s="4" t="s">
        <v>26915</v>
      </c>
      <c r="P3701" s="4" t="s">
        <v>29</v>
      </c>
      <c r="Q3701" s="4" t="s">
        <v>26916</v>
      </c>
      <c r="R3701" s="6"/>
      <c r="S3701" s="6"/>
      <c r="T3701" s="6"/>
      <c r="U3701" s="6"/>
      <c r="V3701" s="6"/>
      <c r="W3701" s="6"/>
      <c r="X3701" s="6"/>
      <c r="Y3701" s="6"/>
      <c r="Z3701" s="6"/>
      <c r="AA3701" s="6"/>
    </row>
    <row r="3702" ht="14.25">
      <c r="B3702" s="4" t="s">
        <v>26917</v>
      </c>
      <c r="C3702" s="4" t="s">
        <v>26918</v>
      </c>
      <c r="D3702" s="4" t="s">
        <v>62</v>
      </c>
      <c r="E3702" s="4" t="s">
        <v>26919</v>
      </c>
      <c r="F3702" s="4" t="str">
        <f>IFERROR(__XLUDF.DUMMYFUNCTION("PROPER(REGEXREPLACE(D107,""[^A-Za-z]+ "",""""))"),"Myway Technology")</f>
        <v xml:space="preserve">Myway Technology</v>
      </c>
      <c r="G3702" s="4" t="s">
        <v>26920</v>
      </c>
      <c r="H3702" s="4">
        <v>13</v>
      </c>
      <c r="I3702" s="4" t="s">
        <v>2602</v>
      </c>
      <c r="J3702" s="4" t="str">
        <f>IFERROR(__XLUDF.DUMMYFUNCTION("VLOOKUP(H107,IMPORTRANGE(""https://docs.google.com/spreadsheets/d/1opm6ZNvGZ7KditA9TuJwrZ25eFLfTNIkrNnY6mhV5Eg"",""list!A1:C115""),3,TRUE)"),"le secteur de la tech")</f>
        <v xml:space="preserve">le secteur de la tech</v>
      </c>
      <c r="K3702" s="5" t="s">
        <v>26921</v>
      </c>
      <c r="L3702" s="5" t="s">
        <v>26922</v>
      </c>
      <c r="M3702" s="4" t="s">
        <v>39</v>
      </c>
      <c r="N3702" s="4" t="s">
        <v>29</v>
      </c>
      <c r="O3702" s="4" t="s">
        <v>67</v>
      </c>
      <c r="P3702" s="4" t="s">
        <v>29</v>
      </c>
      <c r="Q3702" s="4" t="s">
        <v>26923</v>
      </c>
      <c r="R3702" s="6"/>
      <c r="S3702" s="6"/>
      <c r="T3702" s="6"/>
      <c r="U3702" s="6"/>
      <c r="V3702" s="6"/>
      <c r="W3702" s="6"/>
      <c r="X3702" s="6"/>
      <c r="Y3702" s="6"/>
      <c r="Z3702" s="6"/>
      <c r="AA3702" s="6"/>
    </row>
    <row r="3703" ht="14.25">
      <c r="B3703" s="4" t="s">
        <v>548</v>
      </c>
      <c r="C3703" s="4" t="s">
        <v>26924</v>
      </c>
      <c r="D3703" s="4" t="s">
        <v>26925</v>
      </c>
      <c r="E3703" s="4" t="s">
        <v>26926</v>
      </c>
      <c r="F3703" s="4" t="str">
        <f>IFERROR(__XLUDF.DUMMYFUNCTION("PROPER(REGEXREPLACE(D108,""[^A-Za-z]+ "",""""))"),"𝗧𝗮𝗻𝗶𝘁𝗹𝗮𝗯")</f>
        <v>𝗧𝗮𝗻𝗶𝘁𝗹𝗮𝗯</v>
      </c>
      <c r="G3703" s="4" t="s">
        <v>26927</v>
      </c>
      <c r="H3703" s="4">
        <v>22</v>
      </c>
      <c r="I3703" s="4" t="s">
        <v>2602</v>
      </c>
      <c r="J3703" s="4" t="str">
        <f>IFERROR(__XLUDF.DUMMYFUNCTION("VLOOKUP(H108,IMPORTRANGE(""https://docs.google.com/spreadsheets/d/1opm6ZNvGZ7KditA9TuJwrZ25eFLfTNIkrNnY6mhV5Eg"",""list!A1:C115""),3,TRUE)"),"le secteur de la tech")</f>
        <v xml:space="preserve">le secteur de la tech</v>
      </c>
      <c r="K3703" s="5" t="s">
        <v>26928</v>
      </c>
      <c r="L3703" s="5" t="s">
        <v>26929</v>
      </c>
      <c r="M3703" s="4" t="s">
        <v>39</v>
      </c>
      <c r="N3703" s="4" t="s">
        <v>29</v>
      </c>
      <c r="O3703" s="4" t="s">
        <v>9969</v>
      </c>
      <c r="P3703" s="4" t="s">
        <v>9969</v>
      </c>
      <c r="Q3703" s="4" t="s">
        <v>26930</v>
      </c>
      <c r="R3703" s="6"/>
      <c r="S3703" s="6"/>
      <c r="T3703" s="6"/>
      <c r="U3703" s="6"/>
      <c r="V3703" s="6"/>
      <c r="W3703" s="6"/>
      <c r="X3703" s="6"/>
      <c r="Y3703" s="6"/>
      <c r="Z3703" s="6"/>
      <c r="AA3703" s="6"/>
    </row>
    <row r="3704" ht="14.25">
      <c r="B3704" s="4" t="s">
        <v>26931</v>
      </c>
      <c r="C3704" s="4" t="s">
        <v>26932</v>
      </c>
      <c r="D3704" s="4" t="s">
        <v>44</v>
      </c>
      <c r="E3704" s="4" t="s">
        <v>26933</v>
      </c>
      <c r="F3704" s="4" t="str">
        <f>IFERROR(__XLUDF.DUMMYFUNCTION("PROPER(REGEXREPLACE(D109,""[^A-Za-z]+ "",""""))"),"Colibrity")</f>
        <v>Colibrity</v>
      </c>
      <c r="G3704" s="4" t="s">
        <v>26934</v>
      </c>
      <c r="H3704" s="4">
        <v>12</v>
      </c>
      <c r="I3704" s="4" t="s">
        <v>2602</v>
      </c>
      <c r="J3704" s="4" t="str">
        <f>IFERROR(__XLUDF.DUMMYFUNCTION("VLOOKUP(H109,IMPORTRANGE(""https://docs.google.com/spreadsheets/d/1opm6ZNvGZ7KditA9TuJwrZ25eFLfTNIkrNnY6mhV5Eg"",""list!A1:C115""),3,TRUE)"),"le secteur de la tech")</f>
        <v xml:space="preserve">le secteur de la tech</v>
      </c>
      <c r="K3704" s="5" t="s">
        <v>26935</v>
      </c>
      <c r="L3704" s="5" t="s">
        <v>26936</v>
      </c>
      <c r="M3704" s="6"/>
      <c r="N3704" s="4" t="s">
        <v>29</v>
      </c>
      <c r="O3704" s="4" t="s">
        <v>26937</v>
      </c>
      <c r="P3704" s="4" t="s">
        <v>29</v>
      </c>
      <c r="Q3704" s="4" t="s">
        <v>26938</v>
      </c>
      <c r="R3704" s="6"/>
      <c r="S3704" s="6"/>
      <c r="T3704" s="6"/>
      <c r="U3704" s="6"/>
      <c r="V3704" s="6"/>
      <c r="W3704" s="6"/>
      <c r="X3704" s="6"/>
      <c r="Y3704" s="6"/>
      <c r="Z3704" s="6"/>
      <c r="AA3704" s="6"/>
    </row>
    <row r="3705" ht="14.25">
      <c r="B3705" s="4" t="s">
        <v>2419</v>
      </c>
      <c r="C3705" s="4" t="s">
        <v>3548</v>
      </c>
      <c r="D3705" s="4" t="s">
        <v>2911</v>
      </c>
      <c r="E3705" s="4" t="s">
        <v>26939</v>
      </c>
      <c r="F3705" s="4" t="str">
        <f>IFERROR(__XLUDF.DUMMYFUNCTION("PROPER(REGEXREPLACE(D110,""[^A-Za-z]+ "",""""))"),"Elixir Health")</f>
        <v xml:space="preserve">Elixir Health</v>
      </c>
      <c r="G3705" s="4" t="s">
        <v>26940</v>
      </c>
      <c r="H3705" s="4">
        <v>19</v>
      </c>
      <c r="I3705" s="4" t="s">
        <v>2602</v>
      </c>
      <c r="J3705" s="4" t="str">
        <f>IFERROR(__XLUDF.DUMMYFUNCTION("VLOOKUP(H110,IMPORTRANGE(""https://docs.google.com/spreadsheets/d/1opm6ZNvGZ7KditA9TuJwrZ25eFLfTNIkrNnY6mhV5Eg"",""list!A1:C115""),3,TRUE)"),"le secteur de la tech")</f>
        <v xml:space="preserve">le secteur de la tech</v>
      </c>
      <c r="K3705" s="5" t="s">
        <v>26941</v>
      </c>
      <c r="L3705" s="5" t="s">
        <v>26942</v>
      </c>
      <c r="M3705" s="4" t="s">
        <v>651</v>
      </c>
      <c r="N3705" s="4" t="s">
        <v>29</v>
      </c>
      <c r="O3705" s="4" t="s">
        <v>6216</v>
      </c>
      <c r="P3705" s="4" t="s">
        <v>29</v>
      </c>
      <c r="Q3705" s="4" t="s">
        <v>26943</v>
      </c>
      <c r="R3705" s="6"/>
      <c r="S3705" s="6"/>
      <c r="T3705" s="6"/>
      <c r="U3705" s="6"/>
      <c r="V3705" s="6"/>
      <c r="W3705" s="6"/>
      <c r="X3705" s="6"/>
      <c r="Y3705" s="6"/>
      <c r="Z3705" s="6"/>
      <c r="AA3705" s="6"/>
    </row>
    <row r="3706" ht="14.25">
      <c r="B3706" s="4" t="s">
        <v>322</v>
      </c>
      <c r="C3706" s="4" t="s">
        <v>26944</v>
      </c>
      <c r="D3706" s="4" t="s">
        <v>26945</v>
      </c>
      <c r="E3706" s="4" t="s">
        <v>26946</v>
      </c>
      <c r="F3706" s="4" t="str">
        <f>IFERROR(__XLUDF.DUMMYFUNCTION("PROPER(REGEXREPLACE(D111,""[^A-Za-z]+ "",""""))"),"Xdi")</f>
        <v>Xdi</v>
      </c>
      <c r="G3706" s="4" t="s">
        <v>26947</v>
      </c>
      <c r="H3706" s="4">
        <v>14</v>
      </c>
      <c r="I3706" s="4" t="s">
        <v>2602</v>
      </c>
      <c r="J3706" s="4" t="str">
        <f>IFERROR(__XLUDF.DUMMYFUNCTION("VLOOKUP(H111,IMPORTRANGE(""https://docs.google.com/spreadsheets/d/1opm6ZNvGZ7KditA9TuJwrZ25eFLfTNIkrNnY6mhV5Eg"",""list!A1:C115""),3,TRUE)"),"le secteur de la tech")</f>
        <v xml:space="preserve">le secteur de la tech</v>
      </c>
      <c r="K3706" s="5" t="s">
        <v>26948</v>
      </c>
      <c r="L3706" s="5" t="s">
        <v>26949</v>
      </c>
      <c r="M3706" s="4" t="s">
        <v>39</v>
      </c>
      <c r="N3706" s="4" t="s">
        <v>29</v>
      </c>
      <c r="O3706" s="4" t="s">
        <v>26950</v>
      </c>
      <c r="P3706" s="4" t="s">
        <v>29</v>
      </c>
      <c r="Q3706" s="4" t="s">
        <v>26951</v>
      </c>
      <c r="R3706" s="6"/>
      <c r="S3706" s="6"/>
      <c r="T3706" s="6"/>
      <c r="U3706" s="6"/>
      <c r="V3706" s="6"/>
      <c r="W3706" s="6"/>
      <c r="X3706" s="6"/>
      <c r="Y3706" s="6"/>
      <c r="Z3706" s="6"/>
      <c r="AA3706" s="6"/>
    </row>
    <row r="3707" ht="14.25">
      <c r="B3707" s="4" t="s">
        <v>4169</v>
      </c>
      <c r="C3707" s="4" t="s">
        <v>4132</v>
      </c>
      <c r="D3707" s="4" t="s">
        <v>164</v>
      </c>
      <c r="E3707" s="4" t="s">
        <v>26952</v>
      </c>
      <c r="F3707" s="4" t="str">
        <f>IFERROR(__XLUDF.DUMMYFUNCTION("PROPER(REGEXREPLACE(D112,""[^A-Za-z]+ "",""""))"),"Optacare")</f>
        <v>Optacare</v>
      </c>
      <c r="G3707" s="4" t="s">
        <v>26953</v>
      </c>
      <c r="H3707" s="4">
        <v>27</v>
      </c>
      <c r="I3707" s="4" t="s">
        <v>2602</v>
      </c>
      <c r="J3707" s="4" t="str">
        <f>IFERROR(__XLUDF.DUMMYFUNCTION("VLOOKUP(H112,IMPORTRANGE(""https://docs.google.com/spreadsheets/d/1opm6ZNvGZ7KditA9TuJwrZ25eFLfTNIkrNnY6mhV5Eg"",""list!A1:C115""),3,TRUE)"),"le secteur de la tech")</f>
        <v xml:space="preserve">le secteur de la tech</v>
      </c>
      <c r="K3707" s="5" t="s">
        <v>26954</v>
      </c>
      <c r="L3707" s="5" t="s">
        <v>26955</v>
      </c>
      <c r="M3707" s="4" t="s">
        <v>11716</v>
      </c>
      <c r="N3707" s="4" t="s">
        <v>29</v>
      </c>
      <c r="O3707" s="4" t="s">
        <v>26956</v>
      </c>
      <c r="P3707" s="4" t="s">
        <v>29</v>
      </c>
      <c r="Q3707" s="4" t="s">
        <v>26957</v>
      </c>
      <c r="R3707" s="6"/>
      <c r="S3707" s="6"/>
      <c r="T3707" s="6"/>
      <c r="U3707" s="6"/>
      <c r="V3707" s="6"/>
      <c r="W3707" s="6"/>
      <c r="X3707" s="6"/>
      <c r="Y3707" s="6"/>
      <c r="Z3707" s="6"/>
      <c r="AA3707" s="6"/>
    </row>
    <row r="3708" ht="14.25">
      <c r="B3708" s="4" t="s">
        <v>26958</v>
      </c>
      <c r="C3708" s="4" t="s">
        <v>26959</v>
      </c>
      <c r="D3708" s="4" t="s">
        <v>62</v>
      </c>
      <c r="E3708" s="4" t="s">
        <v>26960</v>
      </c>
      <c r="F3708" s="4" t="str">
        <f>IFERROR(__XLUDF.DUMMYFUNCTION("PROPER(REGEXREPLACE(D113,""[^A-Za-z]+ "",""""))"),"Sparkplanai")</f>
        <v>Sparkplanai</v>
      </c>
      <c r="G3708" s="4" t="s">
        <v>26961</v>
      </c>
      <c r="H3708" s="4">
        <v>10</v>
      </c>
      <c r="I3708" s="4" t="s">
        <v>2602</v>
      </c>
      <c r="J3708" s="4" t="str">
        <f>IFERROR(__XLUDF.DUMMYFUNCTION("VLOOKUP(H113,IMPORTRANGE(""https://docs.google.com/spreadsheets/d/1opm6ZNvGZ7KditA9TuJwrZ25eFLfTNIkrNnY6mhV5Eg"",""list!A1:C115""),3,TRUE)"),"le secteur de la tech")</f>
        <v xml:space="preserve">le secteur de la tech</v>
      </c>
      <c r="K3708" s="5" t="s">
        <v>26962</v>
      </c>
      <c r="L3708" s="5" t="s">
        <v>26963</v>
      </c>
      <c r="M3708" s="6"/>
      <c r="N3708" s="4" t="s">
        <v>29</v>
      </c>
      <c r="O3708" s="4" t="s">
        <v>21137</v>
      </c>
      <c r="P3708" s="4" t="s">
        <v>1548</v>
      </c>
      <c r="Q3708" s="4" t="s">
        <v>26964</v>
      </c>
      <c r="R3708" s="6"/>
      <c r="S3708" s="6"/>
      <c r="T3708" s="6"/>
      <c r="U3708" s="6"/>
      <c r="V3708" s="6"/>
      <c r="W3708" s="6"/>
      <c r="X3708" s="6"/>
      <c r="Y3708" s="6"/>
      <c r="Z3708" s="6"/>
      <c r="AA3708" s="6"/>
    </row>
    <row r="3709" ht="14.25">
      <c r="B3709" s="4" t="s">
        <v>20188</v>
      </c>
      <c r="C3709" s="4" t="s">
        <v>26965</v>
      </c>
      <c r="D3709" s="4" t="s">
        <v>26966</v>
      </c>
      <c r="E3709" s="4" t="s">
        <v>26967</v>
      </c>
      <c r="F3709" s="4" t="str">
        <f>IFERROR(__XLUDF.DUMMYFUNCTION("PROPER(REGEXREPLACE(D114,""[^A-Za-z]+ "",""""))"),"Ask For The Moon")</f>
        <v xml:space="preserve">Ask For The Moon</v>
      </c>
      <c r="G3709" s="4" t="s">
        <v>26968</v>
      </c>
      <c r="H3709" s="4">
        <v>30</v>
      </c>
      <c r="I3709" s="4" t="s">
        <v>2602</v>
      </c>
      <c r="J3709" s="4" t="str">
        <f>IFERROR(__XLUDF.DUMMYFUNCTION("VLOOKUP(H114,IMPORTRANGE(""https://docs.google.com/spreadsheets/d/1opm6ZNvGZ7KditA9TuJwrZ25eFLfTNIkrNnY6mhV5Eg"",""list!A1:C115""),3,TRUE)"),"le secteur de la tech")</f>
        <v xml:space="preserve">le secteur de la tech</v>
      </c>
      <c r="K3709" s="5" t="s">
        <v>26969</v>
      </c>
      <c r="L3709" s="5" t="s">
        <v>26970</v>
      </c>
      <c r="M3709" s="6"/>
      <c r="N3709" s="4" t="s">
        <v>29</v>
      </c>
      <c r="O3709" s="4" t="s">
        <v>26971</v>
      </c>
      <c r="P3709" s="4" t="s">
        <v>29</v>
      </c>
      <c r="Q3709" s="4" t="s">
        <v>26972</v>
      </c>
      <c r="R3709" s="6"/>
      <c r="S3709" s="6"/>
      <c r="T3709" s="6"/>
      <c r="U3709" s="6"/>
      <c r="V3709" s="6"/>
      <c r="W3709" s="6"/>
      <c r="X3709" s="6"/>
      <c r="Y3709" s="6"/>
      <c r="Z3709" s="6"/>
      <c r="AA3709" s="6"/>
    </row>
    <row r="3710" ht="14.25">
      <c r="B3710" s="4" t="s">
        <v>26973</v>
      </c>
      <c r="C3710" s="4" t="s">
        <v>26974</v>
      </c>
      <c r="D3710" s="4" t="s">
        <v>164</v>
      </c>
      <c r="E3710" s="4" t="s">
        <v>26975</v>
      </c>
      <c r="F3710" s="4" t="str">
        <f>IFERROR(__XLUDF.DUMMYFUNCTION("PROPER(REGEXREPLACE(D115,""[^A-Za-z]+ "",""""))"),"Zol")</f>
        <v>Zol</v>
      </c>
      <c r="G3710" s="4" t="s">
        <v>26976</v>
      </c>
      <c r="H3710" s="4">
        <v>49</v>
      </c>
      <c r="I3710" s="4" t="s">
        <v>2602</v>
      </c>
      <c r="J3710" s="4" t="str">
        <f>IFERROR(__XLUDF.DUMMYFUNCTION("VLOOKUP(H115,IMPORTRANGE(""https://docs.google.com/spreadsheets/d/1opm6ZNvGZ7KditA9TuJwrZ25eFLfTNIkrNnY6mhV5Eg"",""list!A1:C115""),3,TRUE)"),"le secteur de la tech")</f>
        <v xml:space="preserve">le secteur de la tech</v>
      </c>
      <c r="K3710" s="5" t="s">
        <v>26977</v>
      </c>
      <c r="L3710" s="5" t="s">
        <v>26978</v>
      </c>
      <c r="M3710" s="4" t="s">
        <v>185</v>
      </c>
      <c r="N3710" s="4" t="s">
        <v>29</v>
      </c>
      <c r="O3710" s="4" t="s">
        <v>26979</v>
      </c>
      <c r="P3710" s="4" t="s">
        <v>29</v>
      </c>
      <c r="Q3710" s="4" t="s">
        <v>26980</v>
      </c>
      <c r="R3710" s="6"/>
      <c r="S3710" s="6"/>
      <c r="T3710" s="6"/>
      <c r="U3710" s="6"/>
      <c r="V3710" s="6"/>
      <c r="W3710" s="6"/>
      <c r="X3710" s="6"/>
      <c r="Y3710" s="6"/>
      <c r="Z3710" s="6"/>
      <c r="AA3710" s="6"/>
    </row>
    <row r="3711" ht="14.25">
      <c r="B3711" s="4" t="s">
        <v>9967</v>
      </c>
      <c r="C3711" s="4" t="s">
        <v>11854</v>
      </c>
      <c r="D3711" s="4" t="s">
        <v>26981</v>
      </c>
      <c r="E3711" s="4" t="s">
        <v>26982</v>
      </c>
      <c r="F3711" s="4" t="str">
        <f>IFERROR(__XLUDF.DUMMYFUNCTION("PROPER(REGEXREPLACE(D116,""[^A-Za-z]+ "",""""))"),"Netexplorer")</f>
        <v>Netexplorer</v>
      </c>
      <c r="G3711" s="4" t="s">
        <v>26983</v>
      </c>
      <c r="H3711" s="4">
        <v>30</v>
      </c>
      <c r="I3711" s="4" t="s">
        <v>2602</v>
      </c>
      <c r="J3711" s="4" t="str">
        <f>IFERROR(__XLUDF.DUMMYFUNCTION("VLOOKUP(H116,IMPORTRANGE(""https://docs.google.com/spreadsheets/d/1opm6ZNvGZ7KditA9TuJwrZ25eFLfTNIkrNnY6mhV5Eg"",""list!A1:C115""),3,TRUE)"),"le secteur de la tech")</f>
        <v xml:space="preserve">le secteur de la tech</v>
      </c>
      <c r="K3711" s="5" t="s">
        <v>26984</v>
      </c>
      <c r="L3711" s="5" t="s">
        <v>26985</v>
      </c>
      <c r="M3711" s="4" t="s">
        <v>8537</v>
      </c>
      <c r="N3711" s="4" t="s">
        <v>29</v>
      </c>
      <c r="O3711" s="4" t="s">
        <v>26986</v>
      </c>
      <c r="P3711" s="4" t="s">
        <v>29</v>
      </c>
      <c r="Q3711" s="4" t="s">
        <v>26987</v>
      </c>
      <c r="R3711" s="6"/>
      <c r="S3711" s="6"/>
      <c r="T3711" s="6"/>
      <c r="U3711" s="6"/>
      <c r="V3711" s="6"/>
      <c r="W3711" s="6"/>
      <c r="X3711" s="6"/>
      <c r="Y3711" s="6"/>
      <c r="Z3711" s="6"/>
      <c r="AA3711" s="6"/>
    </row>
    <row r="3712" ht="14.25">
      <c r="B3712" s="4" t="s">
        <v>653</v>
      </c>
      <c r="C3712" s="4" t="s">
        <v>12716</v>
      </c>
      <c r="D3712" s="4" t="s">
        <v>26988</v>
      </c>
      <c r="E3712" s="4" t="s">
        <v>18427</v>
      </c>
      <c r="F3712" s="4" t="str">
        <f>IFERROR(__XLUDF.DUMMYFUNCTION("PROPER(REGEXREPLACE(D117,""[^A-Za-z]+ "",""""))"),"Lyko")</f>
        <v>Lyko</v>
      </c>
      <c r="G3712" s="4" t="s">
        <v>26989</v>
      </c>
      <c r="H3712" s="4">
        <v>7</v>
      </c>
      <c r="I3712" s="4" t="s">
        <v>2602</v>
      </c>
      <c r="J3712" s="4" t="str">
        <f>IFERROR(__XLUDF.DUMMYFUNCTION("VLOOKUP(H117,IMPORTRANGE(""https://docs.google.com/spreadsheets/d/1opm6ZNvGZ7KditA9TuJwrZ25eFLfTNIkrNnY6mhV5Eg"",""list!A1:C115""),3,TRUE)"),"le secteur de la tech")</f>
        <v xml:space="preserve">le secteur de la tech</v>
      </c>
      <c r="K3712" s="5" t="s">
        <v>26990</v>
      </c>
      <c r="L3712" s="5" t="s">
        <v>18430</v>
      </c>
      <c r="M3712" s="4" t="s">
        <v>185</v>
      </c>
      <c r="N3712" s="4" t="s">
        <v>29</v>
      </c>
      <c r="O3712" s="4" t="s">
        <v>18431</v>
      </c>
      <c r="P3712" s="4" t="s">
        <v>29</v>
      </c>
      <c r="Q3712" s="4" t="s">
        <v>18432</v>
      </c>
      <c r="R3712" s="6"/>
      <c r="S3712" s="6"/>
      <c r="T3712" s="6"/>
      <c r="U3712" s="6"/>
      <c r="V3712" s="6"/>
      <c r="W3712" s="6"/>
      <c r="X3712" s="6"/>
      <c r="Y3712" s="6"/>
      <c r="Z3712" s="6"/>
      <c r="AA3712" s="6"/>
    </row>
    <row r="3713" ht="14.25">
      <c r="B3713" s="4" t="s">
        <v>2493</v>
      </c>
      <c r="C3713" s="4" t="s">
        <v>26991</v>
      </c>
      <c r="D3713" s="4" t="s">
        <v>688</v>
      </c>
      <c r="E3713" s="4" t="s">
        <v>26992</v>
      </c>
      <c r="F3713" s="4" t="str">
        <f>IFERROR(__XLUDF.DUMMYFUNCTION("PROPER(REGEXREPLACE(D118,""[^A-Za-z]+ "",""""))"),"Sudo")</f>
        <v>Sudo</v>
      </c>
      <c r="G3713" s="4" t="s">
        <v>26993</v>
      </c>
      <c r="H3713" s="4">
        <v>10</v>
      </c>
      <c r="I3713" s="4" t="s">
        <v>2602</v>
      </c>
      <c r="J3713" s="4" t="str">
        <f>IFERROR(__XLUDF.DUMMYFUNCTION("VLOOKUP(H118,IMPORTRANGE(""https://docs.google.com/spreadsheets/d/1opm6ZNvGZ7KditA9TuJwrZ25eFLfTNIkrNnY6mhV5Eg"",""list!A1:C115""),3,TRUE)"),"le secteur de la tech")</f>
        <v xml:space="preserve">le secteur de la tech</v>
      </c>
      <c r="K3713" s="5" t="s">
        <v>26994</v>
      </c>
      <c r="L3713" s="5" t="s">
        <v>26995</v>
      </c>
      <c r="M3713" s="4" t="s">
        <v>39</v>
      </c>
      <c r="N3713" s="4" t="s">
        <v>29</v>
      </c>
      <c r="O3713" s="4" t="s">
        <v>26996</v>
      </c>
      <c r="P3713" s="4" t="s">
        <v>29</v>
      </c>
      <c r="Q3713" s="4" t="s">
        <v>26997</v>
      </c>
      <c r="R3713" s="6"/>
      <c r="S3713" s="6"/>
      <c r="T3713" s="6"/>
      <c r="U3713" s="6"/>
      <c r="V3713" s="6"/>
      <c r="W3713" s="6"/>
      <c r="X3713" s="6"/>
      <c r="Y3713" s="6"/>
      <c r="Z3713" s="6"/>
      <c r="AA3713" s="6"/>
    </row>
    <row r="3714" ht="14.25">
      <c r="B3714" s="4" t="s">
        <v>20</v>
      </c>
      <c r="C3714" s="4" t="s">
        <v>5915</v>
      </c>
      <c r="D3714" s="4" t="s">
        <v>26998</v>
      </c>
      <c r="E3714" s="4" t="s">
        <v>26999</v>
      </c>
      <c r="F3714" s="4" t="str">
        <f>IFERROR(__XLUDF.DUMMYFUNCTION("PROPER(REGEXREPLACE(D119,""[^A-Za-z]+ "",""""))"),"Squirrel")</f>
        <v>Squirrel</v>
      </c>
      <c r="G3714" s="4" t="s">
        <v>27000</v>
      </c>
      <c r="H3714" s="4">
        <v>12</v>
      </c>
      <c r="I3714" s="4" t="s">
        <v>2602</v>
      </c>
      <c r="J3714" s="4" t="str">
        <f>IFERROR(__XLUDF.DUMMYFUNCTION("VLOOKUP(H119,IMPORTRANGE(""https://docs.google.com/spreadsheets/d/1opm6ZNvGZ7KditA9TuJwrZ25eFLfTNIkrNnY6mhV5Eg"",""list!A1:C115""),3,TRUE)"),"le secteur de la tech")</f>
        <v xml:space="preserve">le secteur de la tech</v>
      </c>
      <c r="K3714" s="5" t="s">
        <v>27001</v>
      </c>
      <c r="L3714" s="5" t="s">
        <v>27002</v>
      </c>
      <c r="M3714" s="6"/>
      <c r="N3714" s="4" t="s">
        <v>29</v>
      </c>
      <c r="O3714" s="4" t="s">
        <v>27003</v>
      </c>
      <c r="P3714" s="4" t="s">
        <v>29</v>
      </c>
      <c r="Q3714" s="4" t="s">
        <v>27004</v>
      </c>
      <c r="R3714" s="6"/>
      <c r="S3714" s="6"/>
      <c r="T3714" s="6"/>
      <c r="U3714" s="6"/>
      <c r="V3714" s="6"/>
      <c r="W3714" s="6"/>
      <c r="X3714" s="6"/>
      <c r="Y3714" s="6"/>
      <c r="Z3714" s="6"/>
      <c r="AA3714" s="6"/>
    </row>
    <row r="3715" ht="14.25">
      <c r="B3715" s="4" t="s">
        <v>769</v>
      </c>
      <c r="C3715" s="4" t="s">
        <v>27005</v>
      </c>
      <c r="D3715" s="4" t="s">
        <v>487</v>
      </c>
      <c r="E3715" s="4" t="s">
        <v>27006</v>
      </c>
      <c r="F3715" s="4" t="str">
        <f>IFERROR(__XLUDF.DUMMYFUNCTION("PROPER(REGEXREPLACE(D120,""[^A-Za-z]+ "",""""))"),"Taix")</f>
        <v>Taix</v>
      </c>
      <c r="G3715" s="4" t="s">
        <v>27007</v>
      </c>
      <c r="H3715" s="4">
        <v>14</v>
      </c>
      <c r="I3715" s="4" t="s">
        <v>2602</v>
      </c>
      <c r="J3715" s="4" t="str">
        <f>IFERROR(__XLUDF.DUMMYFUNCTION("VLOOKUP(H120,IMPORTRANGE(""https://docs.google.com/spreadsheets/d/1opm6ZNvGZ7KditA9TuJwrZ25eFLfTNIkrNnY6mhV5Eg"",""list!A1:C115""),3,TRUE)"),"le secteur de la tech")</f>
        <v xml:space="preserve">le secteur de la tech</v>
      </c>
      <c r="K3715" s="5" t="s">
        <v>27008</v>
      </c>
      <c r="L3715" s="5" t="s">
        <v>27009</v>
      </c>
      <c r="M3715" s="4" t="s">
        <v>39</v>
      </c>
      <c r="N3715" s="4" t="s">
        <v>29</v>
      </c>
      <c r="O3715" s="4" t="s">
        <v>27010</v>
      </c>
      <c r="P3715" s="4" t="s">
        <v>29</v>
      </c>
      <c r="Q3715" s="6"/>
      <c r="R3715" s="6"/>
      <c r="S3715" s="6"/>
      <c r="T3715" s="6"/>
      <c r="U3715" s="6"/>
      <c r="V3715" s="6"/>
      <c r="W3715" s="6"/>
      <c r="X3715" s="6"/>
      <c r="Y3715" s="6"/>
      <c r="Z3715" s="6"/>
      <c r="AA3715" s="6"/>
    </row>
    <row r="3716" ht="14.25">
      <c r="B3716" s="4" t="s">
        <v>22293</v>
      </c>
      <c r="C3716" s="4" t="s">
        <v>27011</v>
      </c>
      <c r="D3716" s="4" t="s">
        <v>2911</v>
      </c>
      <c r="E3716" s="4" t="s">
        <v>21489</v>
      </c>
      <c r="F3716" s="4" t="str">
        <f>IFERROR(__XLUDF.DUMMYFUNCTION("PROPER(REGEXREPLACE(D121,""[^A-Za-z]+ "",""""))"),"Biolevate")</f>
        <v>Biolevate</v>
      </c>
      <c r="G3716" s="4" t="s">
        <v>27012</v>
      </c>
      <c r="H3716" s="4">
        <v>18</v>
      </c>
      <c r="I3716" s="4" t="s">
        <v>2602</v>
      </c>
      <c r="J3716" s="4" t="str">
        <f>IFERROR(__XLUDF.DUMMYFUNCTION("VLOOKUP(H121,IMPORTRANGE(""https://docs.google.com/spreadsheets/d/1opm6ZNvGZ7KditA9TuJwrZ25eFLfTNIkrNnY6mhV5Eg"",""list!A1:C115""),3,TRUE)"),"le secteur de la tech")</f>
        <v xml:space="preserve">le secteur de la tech</v>
      </c>
      <c r="K3716" s="5" t="s">
        <v>27013</v>
      </c>
      <c r="L3716" s="5" t="s">
        <v>21492</v>
      </c>
      <c r="M3716" s="6"/>
      <c r="N3716" s="4" t="s">
        <v>29</v>
      </c>
      <c r="O3716" s="6"/>
      <c r="P3716" s="6"/>
      <c r="Q3716" s="4" t="s">
        <v>21494</v>
      </c>
      <c r="R3716" s="6"/>
      <c r="S3716" s="6"/>
      <c r="T3716" s="6"/>
      <c r="U3716" s="6"/>
      <c r="V3716" s="6"/>
      <c r="W3716" s="6"/>
      <c r="X3716" s="6"/>
      <c r="Y3716" s="6"/>
      <c r="Z3716" s="6"/>
      <c r="AA3716" s="6"/>
    </row>
    <row r="3717" ht="14.25">
      <c r="B3717" s="4" t="s">
        <v>1619</v>
      </c>
      <c r="C3717" s="4" t="s">
        <v>27014</v>
      </c>
      <c r="D3717" s="4" t="s">
        <v>247</v>
      </c>
      <c r="E3717" s="4" t="s">
        <v>25088</v>
      </c>
      <c r="F3717" s="4" t="str">
        <f>IFERROR(__XLUDF.DUMMYFUNCTION("PROPER(REGEXREPLACE(D122,""[^A-Za-z]+ "",""""))"),"Lobstr")</f>
        <v>Lobstr</v>
      </c>
      <c r="G3717" s="4" t="s">
        <v>27015</v>
      </c>
      <c r="H3717" s="4">
        <v>11</v>
      </c>
      <c r="I3717" s="4" t="s">
        <v>2602</v>
      </c>
      <c r="J3717" s="4" t="str">
        <f>IFERROR(__XLUDF.DUMMYFUNCTION("VLOOKUP(H122,IMPORTRANGE(""https://docs.google.com/spreadsheets/d/1opm6ZNvGZ7KditA9TuJwrZ25eFLfTNIkrNnY6mhV5Eg"",""list!A1:C115""),3,TRUE)"),"le secteur de la tech")</f>
        <v xml:space="preserve">le secteur de la tech</v>
      </c>
      <c r="K3717" s="5" t="s">
        <v>27016</v>
      </c>
      <c r="L3717" s="5" t="s">
        <v>25091</v>
      </c>
      <c r="M3717" s="6"/>
      <c r="N3717" s="4" t="s">
        <v>29</v>
      </c>
      <c r="O3717" s="4" t="s">
        <v>554</v>
      </c>
      <c r="P3717" s="4" t="s">
        <v>29</v>
      </c>
      <c r="Q3717" s="4" t="s">
        <v>25092</v>
      </c>
      <c r="R3717" s="6"/>
      <c r="S3717" s="6"/>
      <c r="T3717" s="6"/>
      <c r="U3717" s="6"/>
      <c r="V3717" s="6"/>
      <c r="W3717" s="6"/>
      <c r="X3717" s="6"/>
      <c r="Y3717" s="6"/>
      <c r="Z3717" s="6"/>
      <c r="AA3717" s="6"/>
    </row>
    <row r="3718" ht="14.25">
      <c r="B3718" s="4" t="s">
        <v>27017</v>
      </c>
      <c r="C3718" s="4" t="s">
        <v>27018</v>
      </c>
      <c r="D3718" s="4" t="s">
        <v>62</v>
      </c>
      <c r="E3718" s="4" t="s">
        <v>27019</v>
      </c>
      <c r="F3718" s="4" t="str">
        <f>IFERROR(__XLUDF.DUMMYFUNCTION("PROPER(REGEXREPLACE(D123,""[^A-Za-z]+ "",""""))"),"Octoplus")</f>
        <v>Octoplus</v>
      </c>
      <c r="G3718" s="4" t="s">
        <v>27020</v>
      </c>
      <c r="H3718" s="4">
        <v>12</v>
      </c>
      <c r="I3718" s="4" t="s">
        <v>2602</v>
      </c>
      <c r="J3718" s="4" t="str">
        <f>IFERROR(__XLUDF.DUMMYFUNCTION("VLOOKUP(H123,IMPORTRANGE(""https://docs.google.com/spreadsheets/d/1opm6ZNvGZ7KditA9TuJwrZ25eFLfTNIkrNnY6mhV5Eg"",""list!A1:C115""),3,TRUE)"),"le secteur de la tech")</f>
        <v xml:space="preserve">le secteur de la tech</v>
      </c>
      <c r="K3718" s="5" t="s">
        <v>27021</v>
      </c>
      <c r="L3718" s="5" t="s">
        <v>27022</v>
      </c>
      <c r="M3718" s="4" t="s">
        <v>83</v>
      </c>
      <c r="N3718" s="4" t="s">
        <v>29</v>
      </c>
      <c r="O3718" s="4" t="s">
        <v>67</v>
      </c>
      <c r="P3718" s="4" t="s">
        <v>29</v>
      </c>
      <c r="Q3718" s="4" t="s">
        <v>27023</v>
      </c>
      <c r="R3718" s="6"/>
      <c r="S3718" s="6"/>
      <c r="T3718" s="6"/>
      <c r="U3718" s="6"/>
      <c r="V3718" s="6"/>
      <c r="W3718" s="6"/>
      <c r="X3718" s="6"/>
      <c r="Y3718" s="6"/>
      <c r="Z3718" s="6"/>
      <c r="AA3718" s="6"/>
    </row>
    <row r="3719" ht="14.25">
      <c r="B3719" s="4" t="s">
        <v>10123</v>
      </c>
      <c r="C3719" s="4" t="s">
        <v>27024</v>
      </c>
      <c r="D3719" s="4" t="s">
        <v>19668</v>
      </c>
      <c r="E3719" s="4" t="s">
        <v>19669</v>
      </c>
      <c r="F3719" s="4" t="str">
        <f>IFERROR(__XLUDF.DUMMYFUNCTION("PROPER(REGEXREPLACE(D124,""[^A-Za-z]+ "",""""))"),"Iacom")</f>
        <v>Iacom</v>
      </c>
      <c r="G3719" s="4" t="s">
        <v>19670</v>
      </c>
      <c r="H3719" s="4">
        <v>12</v>
      </c>
      <c r="I3719" s="4" t="s">
        <v>2602</v>
      </c>
      <c r="J3719" s="4" t="str">
        <f>IFERROR(__XLUDF.DUMMYFUNCTION("VLOOKUP(H124,IMPORTRANGE(""https://docs.google.com/spreadsheets/d/1opm6ZNvGZ7KditA9TuJwrZ25eFLfTNIkrNnY6mhV5Eg"",""list!A1:C115""),3,TRUE)"),"le secteur de la tech")</f>
        <v xml:space="preserve">le secteur de la tech</v>
      </c>
      <c r="K3719" s="5" t="s">
        <v>19671</v>
      </c>
      <c r="L3719" s="5" t="s">
        <v>19672</v>
      </c>
      <c r="M3719" s="4" t="s">
        <v>39</v>
      </c>
      <c r="N3719" s="4" t="s">
        <v>29</v>
      </c>
      <c r="O3719" s="4" t="s">
        <v>19673</v>
      </c>
      <c r="P3719" s="4" t="s">
        <v>29</v>
      </c>
      <c r="Q3719" s="6"/>
      <c r="R3719" s="6"/>
      <c r="S3719" s="6"/>
      <c r="T3719" s="6"/>
      <c r="U3719" s="6"/>
      <c r="V3719" s="6"/>
      <c r="W3719" s="6"/>
      <c r="X3719" s="6"/>
      <c r="Y3719" s="6"/>
      <c r="Z3719" s="6"/>
      <c r="AA3719" s="6"/>
    </row>
    <row r="3720" ht="14.25">
      <c r="B3720" s="4" t="s">
        <v>27025</v>
      </c>
      <c r="C3720" s="4" t="s">
        <v>27026</v>
      </c>
      <c r="D3720" s="4" t="s">
        <v>172</v>
      </c>
      <c r="E3720" s="4" t="s">
        <v>27027</v>
      </c>
      <c r="F3720" s="4" t="str">
        <f>IFERROR(__XLUDF.DUMMYFUNCTION("PROPER(REGEXREPLACE(D125,""[^A-Za-z]+ "",""""))"),"Foxstream")</f>
        <v>Foxstream</v>
      </c>
      <c r="G3720" s="4" t="s">
        <v>27028</v>
      </c>
      <c r="H3720" s="4">
        <v>15</v>
      </c>
      <c r="I3720" s="4" t="s">
        <v>2602</v>
      </c>
      <c r="J3720" s="4" t="str">
        <f>IFERROR(__XLUDF.DUMMYFUNCTION("VLOOKUP(H125,IMPORTRANGE(""https://docs.google.com/spreadsheets/d/1opm6ZNvGZ7KditA9TuJwrZ25eFLfTNIkrNnY6mhV5Eg"",""list!A1:C115""),3,TRUE)"),"le secteur de la tech")</f>
        <v xml:space="preserve">le secteur de la tech</v>
      </c>
      <c r="K3720" s="5" t="s">
        <v>27029</v>
      </c>
      <c r="L3720" s="5" t="s">
        <v>27030</v>
      </c>
      <c r="M3720" s="4" t="s">
        <v>19976</v>
      </c>
      <c r="N3720" s="4" t="s">
        <v>29</v>
      </c>
      <c r="O3720" s="4" t="s">
        <v>27031</v>
      </c>
      <c r="P3720" s="4" t="s">
        <v>29</v>
      </c>
      <c r="Q3720" s="6"/>
      <c r="R3720" s="6"/>
      <c r="S3720" s="6"/>
      <c r="T3720" s="6"/>
      <c r="U3720" s="6"/>
      <c r="V3720" s="6"/>
      <c r="W3720" s="6"/>
      <c r="X3720" s="6"/>
      <c r="Y3720" s="6"/>
      <c r="Z3720" s="6"/>
      <c r="AA3720" s="6"/>
    </row>
    <row r="3721" ht="14.25">
      <c r="B3721" s="4" t="s">
        <v>785</v>
      </c>
      <c r="C3721" s="4" t="s">
        <v>27032</v>
      </c>
      <c r="D3721" s="4" t="s">
        <v>62</v>
      </c>
      <c r="E3721" s="4" t="s">
        <v>15070</v>
      </c>
      <c r="F3721" s="4" t="str">
        <f>IFERROR(__XLUDF.DUMMYFUNCTION("PROPER(REGEXREPLACE(D126,""[^A-Za-z]+ "",""""))"),"Nelson")</f>
        <v>Nelson</v>
      </c>
      <c r="G3721" s="4" t="s">
        <v>27033</v>
      </c>
      <c r="H3721" s="4">
        <v>22</v>
      </c>
      <c r="I3721" s="4" t="s">
        <v>2602</v>
      </c>
      <c r="J3721" s="4" t="str">
        <f>IFERROR(__XLUDF.DUMMYFUNCTION("VLOOKUP(H126,IMPORTRANGE(""https://docs.google.com/spreadsheets/d/1opm6ZNvGZ7KditA9TuJwrZ25eFLfTNIkrNnY6mhV5Eg"",""list!A1:C115""),3,TRUE)"),"le secteur de la tech")</f>
        <v xml:space="preserve">le secteur de la tech</v>
      </c>
      <c r="K3721" s="5" t="s">
        <v>27034</v>
      </c>
      <c r="L3721" s="5" t="s">
        <v>19171</v>
      </c>
      <c r="M3721" s="4" t="s">
        <v>39</v>
      </c>
      <c r="N3721" s="4" t="s">
        <v>29</v>
      </c>
      <c r="O3721" s="4" t="s">
        <v>67</v>
      </c>
      <c r="P3721" s="4" t="s">
        <v>29</v>
      </c>
      <c r="Q3721" s="6"/>
      <c r="R3721" s="6"/>
      <c r="S3721" s="6"/>
      <c r="T3721" s="6"/>
      <c r="U3721" s="6"/>
      <c r="V3721" s="6"/>
      <c r="W3721" s="6"/>
      <c r="X3721" s="6"/>
      <c r="Y3721" s="6"/>
      <c r="Z3721" s="6"/>
      <c r="AA3721" s="6"/>
    </row>
    <row r="3722" ht="14.25">
      <c r="B3722" s="4" t="s">
        <v>27035</v>
      </c>
      <c r="C3722" s="4" t="s">
        <v>27036</v>
      </c>
      <c r="D3722" s="4" t="s">
        <v>27037</v>
      </c>
      <c r="E3722" s="4" t="s">
        <v>27038</v>
      </c>
      <c r="F3722" s="4" t="str">
        <f>IFERROR(__XLUDF.DUMMYFUNCTION("PROPER(REGEXREPLACE(D127,""[^A-Za-z]+ "",""""))"),"Spin.Fashion A Lablaco Company")</f>
        <v xml:space="preserve">Spin.Fashion A Lablaco Company</v>
      </c>
      <c r="G3722" s="4" t="s">
        <v>27039</v>
      </c>
      <c r="H3722" s="4">
        <v>10</v>
      </c>
      <c r="I3722" s="4" t="s">
        <v>2602</v>
      </c>
      <c r="J3722" s="4" t="str">
        <f>IFERROR(__XLUDF.DUMMYFUNCTION("VLOOKUP(H127,IMPORTRANGE(""https://docs.google.com/spreadsheets/d/1opm6ZNvGZ7KditA9TuJwrZ25eFLfTNIkrNnY6mhV5Eg"",""list!A1:C115""),3,TRUE)"),"le secteur de la tech")</f>
        <v xml:space="preserve">le secteur de la tech</v>
      </c>
      <c r="K3722" s="5" t="s">
        <v>27040</v>
      </c>
      <c r="L3722" s="5" t="s">
        <v>27041</v>
      </c>
      <c r="M3722" s="4" t="s">
        <v>39</v>
      </c>
      <c r="N3722" s="4" t="s">
        <v>29</v>
      </c>
      <c r="O3722" s="4" t="s">
        <v>67</v>
      </c>
      <c r="P3722" s="4" t="s">
        <v>29</v>
      </c>
      <c r="Q3722" s="4" t="s">
        <v>27042</v>
      </c>
      <c r="R3722" s="6"/>
      <c r="S3722" s="6"/>
      <c r="T3722" s="6"/>
      <c r="U3722" s="6"/>
      <c r="V3722" s="6"/>
      <c r="W3722" s="6"/>
      <c r="X3722" s="6"/>
      <c r="Y3722" s="6"/>
      <c r="Z3722" s="6"/>
      <c r="AA3722" s="6"/>
    </row>
    <row r="3723" ht="14.25">
      <c r="B3723" s="4" t="s">
        <v>27043</v>
      </c>
      <c r="C3723" s="4" t="s">
        <v>27044</v>
      </c>
      <c r="D3723" s="4" t="s">
        <v>27045</v>
      </c>
      <c r="E3723" s="4" t="s">
        <v>27046</v>
      </c>
      <c r="F3723" s="4" t="str">
        <f>IFERROR(__XLUDF.DUMMYFUNCTION("PROPER(REGEXREPLACE(D128,""[^A-Za-z]+ "",""""))"),"Wineriz")</f>
        <v>Wineriz</v>
      </c>
      <c r="G3723" s="4" t="s">
        <v>27047</v>
      </c>
      <c r="H3723" s="4">
        <v>30</v>
      </c>
      <c r="I3723" s="4" t="s">
        <v>2602</v>
      </c>
      <c r="J3723" s="4" t="str">
        <f>IFERROR(__XLUDF.DUMMYFUNCTION("VLOOKUP(H128,IMPORTRANGE(""https://docs.google.com/spreadsheets/d/1opm6ZNvGZ7KditA9TuJwrZ25eFLfTNIkrNnY6mhV5Eg"",""list!A1:C115""),3,TRUE)"),"le secteur de la tech")</f>
        <v xml:space="preserve">le secteur de la tech</v>
      </c>
      <c r="K3723" s="5" t="s">
        <v>27048</v>
      </c>
      <c r="L3723" s="5" t="s">
        <v>27049</v>
      </c>
      <c r="M3723" s="4" t="s">
        <v>39</v>
      </c>
      <c r="N3723" s="4" t="s">
        <v>29</v>
      </c>
      <c r="O3723" s="4" t="s">
        <v>27050</v>
      </c>
      <c r="P3723" s="4" t="s">
        <v>29</v>
      </c>
      <c r="Q3723" s="4" t="s">
        <v>27051</v>
      </c>
      <c r="R3723" s="6"/>
      <c r="S3723" s="6"/>
      <c r="T3723" s="6"/>
      <c r="U3723" s="6"/>
      <c r="V3723" s="6"/>
      <c r="W3723" s="6"/>
      <c r="X3723" s="6"/>
      <c r="Y3723" s="6"/>
      <c r="Z3723" s="6"/>
      <c r="AA3723" s="6"/>
    </row>
    <row r="3724" ht="14.25">
      <c r="B3724" s="4" t="s">
        <v>866</v>
      </c>
      <c r="C3724" s="4" t="s">
        <v>27052</v>
      </c>
      <c r="D3724" s="4" t="s">
        <v>172</v>
      </c>
      <c r="E3724" s="4" t="s">
        <v>27053</v>
      </c>
      <c r="F3724" s="4" t="str">
        <f>IFERROR(__XLUDF.DUMMYFUNCTION("PROPER(REGEXREPLACE(D129,""[^A-Za-z]+ "",""""))"),"Hélix Développement")</f>
        <v xml:space="preserve">Hélix Développement</v>
      </c>
      <c r="G3724" s="4" t="s">
        <v>27054</v>
      </c>
      <c r="H3724" s="4">
        <v>20</v>
      </c>
      <c r="I3724" s="4" t="s">
        <v>2602</v>
      </c>
      <c r="J3724" s="4" t="str">
        <f>IFERROR(__XLUDF.DUMMYFUNCTION("VLOOKUP(H129,IMPORTRANGE(""https://docs.google.com/spreadsheets/d/1opm6ZNvGZ7KditA9TuJwrZ25eFLfTNIkrNnY6mhV5Eg"",""list!A1:C115""),3,TRUE)"),"le secteur de la tech")</f>
        <v xml:space="preserve">le secteur de la tech</v>
      </c>
      <c r="K3724" s="5" t="s">
        <v>27055</v>
      </c>
      <c r="L3724" s="5" t="s">
        <v>27056</v>
      </c>
      <c r="M3724" s="4" t="s">
        <v>149</v>
      </c>
      <c r="N3724" s="4" t="s">
        <v>29</v>
      </c>
      <c r="O3724" s="4" t="s">
        <v>1394</v>
      </c>
      <c r="P3724" s="4" t="s">
        <v>29</v>
      </c>
      <c r="Q3724" s="4" t="s">
        <v>27057</v>
      </c>
      <c r="R3724" s="6"/>
      <c r="S3724" s="6"/>
      <c r="T3724" s="6"/>
      <c r="U3724" s="6"/>
      <c r="V3724" s="6"/>
      <c r="W3724" s="6"/>
      <c r="X3724" s="6"/>
      <c r="Y3724" s="6"/>
      <c r="Z3724" s="6"/>
      <c r="AA3724" s="6"/>
    </row>
    <row r="3725" ht="14.25">
      <c r="B3725" s="4" t="s">
        <v>2932</v>
      </c>
      <c r="C3725" s="4" t="s">
        <v>27058</v>
      </c>
      <c r="D3725" s="4" t="s">
        <v>27059</v>
      </c>
      <c r="E3725" s="4" t="s">
        <v>27060</v>
      </c>
      <c r="F3725" s="4" t="str">
        <f>IFERROR(__XLUDF.DUMMYFUNCTION("PROPER(REGEXREPLACE(D130,""[^A-Za-z]+ "",""""))"),"Ekilog")</f>
        <v>Ekilog</v>
      </c>
      <c r="G3725" s="4" t="s">
        <v>27061</v>
      </c>
      <c r="H3725" s="4">
        <v>16</v>
      </c>
      <c r="I3725" s="4" t="s">
        <v>2602</v>
      </c>
      <c r="J3725" s="4" t="str">
        <f>IFERROR(__XLUDF.DUMMYFUNCTION("VLOOKUP(H130,IMPORTRANGE(""https://docs.google.com/spreadsheets/d/1opm6ZNvGZ7KditA9TuJwrZ25eFLfTNIkrNnY6mhV5Eg"",""list!A1:C115""),3,TRUE)"),"le secteur de la tech")</f>
        <v xml:space="preserve">le secteur de la tech</v>
      </c>
      <c r="K3725" s="5" t="s">
        <v>27062</v>
      </c>
      <c r="L3725" s="5" t="s">
        <v>27063</v>
      </c>
      <c r="M3725" s="4" t="s">
        <v>39</v>
      </c>
      <c r="N3725" s="4" t="s">
        <v>29</v>
      </c>
      <c r="O3725" s="4" t="s">
        <v>26794</v>
      </c>
      <c r="P3725" s="4" t="s">
        <v>29</v>
      </c>
      <c r="Q3725" s="6"/>
      <c r="R3725" s="6"/>
      <c r="S3725" s="6"/>
      <c r="T3725" s="6"/>
      <c r="U3725" s="6"/>
      <c r="V3725" s="6"/>
      <c r="W3725" s="6"/>
      <c r="X3725" s="6"/>
      <c r="Y3725" s="6"/>
      <c r="Z3725" s="6"/>
      <c r="AA3725" s="6"/>
    </row>
    <row r="3726" ht="14.25">
      <c r="B3726" s="4" t="s">
        <v>622</v>
      </c>
      <c r="C3726" s="4" t="s">
        <v>27064</v>
      </c>
      <c r="D3726" s="4" t="s">
        <v>5186</v>
      </c>
      <c r="E3726" s="4" t="s">
        <v>27065</v>
      </c>
      <c r="F3726" s="4" t="str">
        <f>IFERROR(__XLUDF.DUMMYFUNCTION("PROPER(REGEXREPLACE(D131,""[^A-Za-z]+ "",""""))"),"Partner Consultancy Services")</f>
        <v xml:space="preserve">Partner Consultancy Services</v>
      </c>
      <c r="G3726" s="4" t="s">
        <v>27066</v>
      </c>
      <c r="H3726" s="4">
        <v>35</v>
      </c>
      <c r="I3726" s="4" t="s">
        <v>2602</v>
      </c>
      <c r="J3726" s="4" t="str">
        <f>IFERROR(__XLUDF.DUMMYFUNCTION("VLOOKUP(H131,IMPORTRANGE(""https://docs.google.com/spreadsheets/d/1opm6ZNvGZ7KditA9TuJwrZ25eFLfTNIkrNnY6mhV5Eg"",""list!A1:C115""),3,TRUE)"),"le secteur de la tech")</f>
        <v xml:space="preserve">le secteur de la tech</v>
      </c>
      <c r="K3726" s="5" t="s">
        <v>27067</v>
      </c>
      <c r="L3726" s="5" t="s">
        <v>27068</v>
      </c>
      <c r="M3726" s="4" t="s">
        <v>39</v>
      </c>
      <c r="N3726" s="4" t="s">
        <v>29</v>
      </c>
      <c r="O3726" s="4" t="s">
        <v>27069</v>
      </c>
      <c r="P3726" s="4" t="s">
        <v>2953</v>
      </c>
      <c r="Q3726" s="6"/>
      <c r="R3726" s="6"/>
      <c r="S3726" s="6"/>
      <c r="T3726" s="6"/>
      <c r="U3726" s="6"/>
      <c r="V3726" s="6"/>
      <c r="W3726" s="6"/>
      <c r="X3726" s="6"/>
      <c r="Y3726" s="6"/>
      <c r="Z3726" s="6"/>
      <c r="AA3726" s="6"/>
    </row>
    <row r="3727" ht="14.25">
      <c r="B3727" s="4" t="s">
        <v>661</v>
      </c>
      <c r="C3727" s="4" t="s">
        <v>27070</v>
      </c>
      <c r="D3727" s="4" t="s">
        <v>315</v>
      </c>
      <c r="E3727" s="4" t="s">
        <v>27071</v>
      </c>
      <c r="F3727" s="4" t="str">
        <f>IFERROR(__XLUDF.DUMMYFUNCTION("PROPER(REGEXREPLACE(D132,""[^A-Za-z]+ "",""""))"),"Wellcoms")</f>
        <v>Wellcoms</v>
      </c>
      <c r="G3727" s="4" t="s">
        <v>27072</v>
      </c>
      <c r="H3727" s="4">
        <v>13</v>
      </c>
      <c r="I3727" s="4" t="s">
        <v>2602</v>
      </c>
      <c r="J3727" s="4" t="str">
        <f>IFERROR(__XLUDF.DUMMYFUNCTION("VLOOKUP(H132,IMPORTRANGE(""https://docs.google.com/spreadsheets/d/1opm6ZNvGZ7KditA9TuJwrZ25eFLfTNIkrNnY6mhV5Eg"",""list!A1:C115""),3,TRUE)"),"le secteur de la tech")</f>
        <v xml:space="preserve">le secteur de la tech</v>
      </c>
      <c r="K3727" s="5" t="s">
        <v>27073</v>
      </c>
      <c r="L3727" s="5" t="s">
        <v>27074</v>
      </c>
      <c r="M3727" s="4" t="s">
        <v>482</v>
      </c>
      <c r="N3727" s="4" t="s">
        <v>29</v>
      </c>
      <c r="O3727" s="4" t="s">
        <v>27075</v>
      </c>
      <c r="P3727" s="4" t="s">
        <v>29</v>
      </c>
      <c r="Q3727" s="4" t="s">
        <v>27076</v>
      </c>
      <c r="R3727" s="6"/>
      <c r="S3727" s="6"/>
      <c r="T3727" s="6"/>
      <c r="U3727" s="6"/>
      <c r="V3727" s="6"/>
      <c r="W3727" s="6"/>
      <c r="X3727" s="6"/>
      <c r="Y3727" s="6"/>
      <c r="Z3727" s="6"/>
      <c r="AA3727" s="6"/>
    </row>
    <row r="3728" ht="14.25">
      <c r="B3728" s="4" t="s">
        <v>2932</v>
      </c>
      <c r="C3728" s="4" t="s">
        <v>27077</v>
      </c>
      <c r="D3728" s="4" t="s">
        <v>460</v>
      </c>
      <c r="E3728" s="4" t="s">
        <v>27078</v>
      </c>
      <c r="F3728" s="4" t="str">
        <f>IFERROR(__XLUDF.DUMMYFUNCTION("PROPER(REGEXREPLACE(D133,""[^A-Za-z]+ "",""""))"),"Corus")</f>
        <v>Corus</v>
      </c>
      <c r="G3728" s="4" t="s">
        <v>27079</v>
      </c>
      <c r="H3728" s="4">
        <v>45</v>
      </c>
      <c r="I3728" s="4" t="s">
        <v>2602</v>
      </c>
      <c r="J3728" s="4" t="str">
        <f>IFERROR(__XLUDF.DUMMYFUNCTION("VLOOKUP(H133,IMPORTRANGE(""https://docs.google.com/spreadsheets/d/1opm6ZNvGZ7KditA9TuJwrZ25eFLfTNIkrNnY6mhV5Eg"",""list!A1:C115""),3,TRUE)"),"le secteur de la tech")</f>
        <v xml:space="preserve">le secteur de la tech</v>
      </c>
      <c r="K3728" s="5" t="s">
        <v>27080</v>
      </c>
      <c r="L3728" s="5" t="s">
        <v>27081</v>
      </c>
      <c r="M3728" s="4" t="s">
        <v>185</v>
      </c>
      <c r="N3728" s="4" t="s">
        <v>29</v>
      </c>
      <c r="O3728" s="4" t="s">
        <v>27082</v>
      </c>
      <c r="P3728" s="4" t="s">
        <v>29</v>
      </c>
      <c r="Q3728" s="4" t="s">
        <v>27083</v>
      </c>
      <c r="R3728" s="6"/>
      <c r="S3728" s="6"/>
      <c r="T3728" s="6"/>
      <c r="U3728" s="6"/>
      <c r="V3728" s="6"/>
      <c r="W3728" s="6"/>
      <c r="X3728" s="6"/>
      <c r="Y3728" s="6"/>
      <c r="Z3728" s="6"/>
      <c r="AA3728" s="6"/>
    </row>
    <row r="3729" ht="14.25">
      <c r="B3729" s="4" t="s">
        <v>206</v>
      </c>
      <c r="C3729" s="4" t="s">
        <v>27084</v>
      </c>
      <c r="D3729" s="4" t="s">
        <v>20857</v>
      </c>
      <c r="E3729" s="4" t="s">
        <v>24613</v>
      </c>
      <c r="F3729" s="4" t="str">
        <f>IFERROR(__XLUDF.DUMMYFUNCTION("PROPER(REGEXREPLACE(D134,""[^A-Za-z]+ "",""""))"),"Sweepin")</f>
        <v>Sweepin</v>
      </c>
      <c r="G3729" s="4" t="s">
        <v>27085</v>
      </c>
      <c r="H3729" s="4">
        <v>12</v>
      </c>
      <c r="I3729" s="4" t="s">
        <v>2602</v>
      </c>
      <c r="J3729" s="4" t="str">
        <f>IFERROR(__XLUDF.DUMMYFUNCTION("VLOOKUP(H134,IMPORTRANGE(""https://docs.google.com/spreadsheets/d/1opm6ZNvGZ7KditA9TuJwrZ25eFLfTNIkrNnY6mhV5Eg"",""list!A1:C115""),3,TRUE)"),"le secteur de la tech")</f>
        <v xml:space="preserve">le secteur de la tech</v>
      </c>
      <c r="K3729" s="5" t="s">
        <v>27086</v>
      </c>
      <c r="L3729" s="5" t="s">
        <v>24616</v>
      </c>
      <c r="M3729" s="4" t="s">
        <v>295</v>
      </c>
      <c r="N3729" s="4" t="s">
        <v>29</v>
      </c>
      <c r="O3729" s="4" t="s">
        <v>24617</v>
      </c>
      <c r="P3729" s="4" t="s">
        <v>29</v>
      </c>
      <c r="Q3729" s="4" t="s">
        <v>24618</v>
      </c>
      <c r="R3729" s="6"/>
      <c r="S3729" s="6"/>
      <c r="T3729" s="6"/>
      <c r="U3729" s="6"/>
      <c r="V3729" s="6"/>
      <c r="W3729" s="6"/>
      <c r="X3729" s="6"/>
      <c r="Y3729" s="6"/>
      <c r="Z3729" s="6"/>
      <c r="AA3729" s="6"/>
    </row>
    <row r="3730" ht="14.25">
      <c r="B3730" s="4" t="s">
        <v>27087</v>
      </c>
      <c r="C3730" s="4" t="s">
        <v>27088</v>
      </c>
      <c r="D3730" s="4" t="s">
        <v>27089</v>
      </c>
      <c r="E3730" s="4" t="s">
        <v>27090</v>
      </c>
      <c r="F3730" s="4" t="str">
        <f>IFERROR(__XLUDF.DUMMYFUNCTION("PROPER(REGEXREPLACE(D135,""[^A-Za-z]+ "",""""))"),"Fentech")</f>
        <v>Fentech</v>
      </c>
      <c r="G3730" s="4" t="s">
        <v>27091</v>
      </c>
      <c r="H3730" s="4">
        <v>22</v>
      </c>
      <c r="I3730" s="4" t="s">
        <v>2602</v>
      </c>
      <c r="J3730" s="4" t="str">
        <f>IFERROR(__XLUDF.DUMMYFUNCTION("VLOOKUP(H135,IMPORTRANGE(""https://docs.google.com/spreadsheets/d/1opm6ZNvGZ7KditA9TuJwrZ25eFLfTNIkrNnY6mhV5Eg"",""list!A1:C115""),3,TRUE)"),"le secteur de la tech")</f>
        <v xml:space="preserve">le secteur de la tech</v>
      </c>
      <c r="K3730" s="5" t="s">
        <v>27092</v>
      </c>
      <c r="L3730" s="5" t="s">
        <v>27093</v>
      </c>
      <c r="M3730" s="4" t="s">
        <v>39</v>
      </c>
      <c r="N3730" s="4" t="s">
        <v>29</v>
      </c>
      <c r="O3730" s="4" t="s">
        <v>27094</v>
      </c>
      <c r="P3730" s="4" t="s">
        <v>29</v>
      </c>
      <c r="Q3730" s="6"/>
      <c r="R3730" s="6"/>
      <c r="S3730" s="6"/>
      <c r="T3730" s="6"/>
      <c r="U3730" s="6"/>
      <c r="V3730" s="6"/>
      <c r="W3730" s="6"/>
      <c r="X3730" s="6"/>
      <c r="Y3730" s="6"/>
      <c r="Z3730" s="6"/>
      <c r="AA3730" s="6"/>
    </row>
    <row r="3731" ht="14.25">
      <c r="B3731" s="4" t="s">
        <v>4800</v>
      </c>
      <c r="C3731" s="4" t="s">
        <v>27095</v>
      </c>
      <c r="D3731" s="4" t="s">
        <v>62</v>
      </c>
      <c r="E3731" s="4" t="s">
        <v>27096</v>
      </c>
      <c r="F3731" s="4" t="str">
        <f>IFERROR(__XLUDF.DUMMYFUNCTION("PROPER(REGEXREPLACE(D136,""[^A-Za-z]+ "",""""))"),"Sight")</f>
        <v>Sight</v>
      </c>
      <c r="G3731" s="4" t="s">
        <v>27097</v>
      </c>
      <c r="H3731" s="4">
        <v>21</v>
      </c>
      <c r="I3731" s="4" t="s">
        <v>2602</v>
      </c>
      <c r="J3731" s="4" t="str">
        <f>IFERROR(__XLUDF.DUMMYFUNCTION("VLOOKUP(H136,IMPORTRANGE(""https://docs.google.com/spreadsheets/d/1opm6ZNvGZ7KditA9TuJwrZ25eFLfTNIkrNnY6mhV5Eg"",""list!A1:C115""),3,TRUE)"),"le secteur de la tech")</f>
        <v xml:space="preserve">le secteur de la tech</v>
      </c>
      <c r="K3731" s="5" t="s">
        <v>27098</v>
      </c>
      <c r="L3731" s="5" t="s">
        <v>27099</v>
      </c>
      <c r="M3731" s="6"/>
      <c r="N3731" s="4" t="s">
        <v>29</v>
      </c>
      <c r="O3731" s="4" t="s">
        <v>25653</v>
      </c>
      <c r="P3731" s="4" t="s">
        <v>29</v>
      </c>
      <c r="Q3731" s="4" t="s">
        <v>27100</v>
      </c>
      <c r="R3731" s="6"/>
      <c r="S3731" s="6"/>
      <c r="T3731" s="6"/>
      <c r="U3731" s="6"/>
      <c r="V3731" s="6"/>
      <c r="W3731" s="6"/>
      <c r="X3731" s="6"/>
      <c r="Y3731" s="6"/>
      <c r="Z3731" s="6"/>
      <c r="AA3731" s="6"/>
    </row>
    <row r="3732" ht="14.25">
      <c r="B3732" s="4" t="s">
        <v>355</v>
      </c>
      <c r="C3732" s="4" t="s">
        <v>27101</v>
      </c>
      <c r="D3732" s="4" t="s">
        <v>27102</v>
      </c>
      <c r="E3732" s="4" t="s">
        <v>27103</v>
      </c>
      <c r="F3732" s="4" t="str">
        <f>IFERROR(__XLUDF.DUMMYFUNCTION("PROPER(REGEXREPLACE(D137,""[^A-Za-z]+ "",""""))"),"Lexi")</f>
        <v>Lexi</v>
      </c>
      <c r="G3732" s="4" t="s">
        <v>27104</v>
      </c>
      <c r="H3732" s="4">
        <v>13</v>
      </c>
      <c r="I3732" s="4" t="s">
        <v>2602</v>
      </c>
      <c r="J3732" s="4" t="str">
        <f>IFERROR(__XLUDF.DUMMYFUNCTION("VLOOKUP(H137,IMPORTRANGE(""https://docs.google.com/spreadsheets/d/1opm6ZNvGZ7KditA9TuJwrZ25eFLfTNIkrNnY6mhV5Eg"",""list!A1:C115""),3,TRUE)"),"le secteur de la tech")</f>
        <v xml:space="preserve">le secteur de la tech</v>
      </c>
      <c r="K3732" s="5" t="s">
        <v>27105</v>
      </c>
      <c r="L3732" s="5" t="s">
        <v>27106</v>
      </c>
      <c r="M3732" s="4" t="s">
        <v>13773</v>
      </c>
      <c r="N3732" s="4" t="s">
        <v>29</v>
      </c>
      <c r="O3732" s="4" t="s">
        <v>27107</v>
      </c>
      <c r="P3732" s="4" t="s">
        <v>29</v>
      </c>
      <c r="Q3732" s="4" t="s">
        <v>27108</v>
      </c>
      <c r="R3732" s="6"/>
      <c r="S3732" s="6"/>
      <c r="T3732" s="6"/>
      <c r="U3732" s="6"/>
      <c r="V3732" s="6"/>
      <c r="W3732" s="6"/>
      <c r="X3732" s="6"/>
      <c r="Y3732" s="6"/>
      <c r="Z3732" s="6"/>
      <c r="AA3732" s="6"/>
    </row>
    <row r="3733" ht="14.25">
      <c r="B3733" s="4" t="s">
        <v>27109</v>
      </c>
      <c r="C3733" s="4" t="s">
        <v>20</v>
      </c>
      <c r="D3733" s="4" t="s">
        <v>5186</v>
      </c>
      <c r="E3733" s="4" t="s">
        <v>27110</v>
      </c>
      <c r="F3733" s="4" t="str">
        <f>IFERROR(__XLUDF.DUMMYFUNCTION("PROPER(REGEXREPLACE(D138,""[^A-Za-z]+ "",""""))"),"Magnisfy")</f>
        <v>Magnisfy</v>
      </c>
      <c r="G3733" s="4" t="s">
        <v>27111</v>
      </c>
      <c r="H3733" s="4">
        <v>11</v>
      </c>
      <c r="I3733" s="4" t="s">
        <v>2602</v>
      </c>
      <c r="J3733" s="4" t="str">
        <f>IFERROR(__XLUDF.DUMMYFUNCTION("VLOOKUP(H138,IMPORTRANGE(""https://docs.google.com/spreadsheets/d/1opm6ZNvGZ7KditA9TuJwrZ25eFLfTNIkrNnY6mhV5Eg"",""list!A1:C115""),3,TRUE)"),"le secteur de la tech")</f>
        <v xml:space="preserve">le secteur de la tech</v>
      </c>
      <c r="K3733" s="5" t="s">
        <v>27112</v>
      </c>
      <c r="L3733" s="5" t="s">
        <v>27113</v>
      </c>
      <c r="M3733" s="4" t="s">
        <v>1015</v>
      </c>
      <c r="N3733" s="4" t="s">
        <v>29</v>
      </c>
      <c r="O3733" s="4" t="s">
        <v>27114</v>
      </c>
      <c r="P3733" s="4" t="s">
        <v>29</v>
      </c>
      <c r="Q3733" s="4" t="s">
        <v>27115</v>
      </c>
      <c r="R3733" s="6"/>
      <c r="S3733" s="6"/>
      <c r="T3733" s="6"/>
      <c r="U3733" s="6"/>
      <c r="V3733" s="6"/>
      <c r="W3733" s="6"/>
      <c r="X3733" s="6"/>
      <c r="Y3733" s="6"/>
      <c r="Z3733" s="6"/>
      <c r="AA3733" s="6"/>
    </row>
    <row r="3734" ht="14.25">
      <c r="B3734" s="4" t="s">
        <v>1704</v>
      </c>
      <c r="C3734" s="4" t="s">
        <v>27116</v>
      </c>
      <c r="D3734" s="4" t="s">
        <v>315</v>
      </c>
      <c r="E3734" s="4" t="s">
        <v>27117</v>
      </c>
      <c r="F3734" s="4" t="str">
        <f>IFERROR(__XLUDF.DUMMYFUNCTION("PROPER(REGEXREPLACE(D139,""[^A-Za-z]+ "",""""))"),"Prismo")</f>
        <v>Prismo</v>
      </c>
      <c r="G3734" s="4" t="s">
        <v>27118</v>
      </c>
      <c r="H3734" s="4">
        <v>17</v>
      </c>
      <c r="I3734" s="4" t="s">
        <v>2602</v>
      </c>
      <c r="J3734" s="4" t="str">
        <f>IFERROR(__XLUDF.DUMMYFUNCTION("VLOOKUP(H139,IMPORTRANGE(""https://docs.google.com/spreadsheets/d/1opm6ZNvGZ7KditA9TuJwrZ25eFLfTNIkrNnY6mhV5Eg"",""list!A1:C115""),3,TRUE)"),"le secteur de la tech")</f>
        <v xml:space="preserve">le secteur de la tech</v>
      </c>
      <c r="K3734" s="5" t="s">
        <v>27119</v>
      </c>
      <c r="L3734" s="5" t="s">
        <v>27120</v>
      </c>
      <c r="M3734" s="4" t="s">
        <v>423</v>
      </c>
      <c r="N3734" s="4" t="s">
        <v>29</v>
      </c>
      <c r="O3734" s="4" t="s">
        <v>27121</v>
      </c>
      <c r="P3734" s="4" t="s">
        <v>29</v>
      </c>
      <c r="Q3734" s="4" t="s">
        <v>27122</v>
      </c>
      <c r="R3734" s="6"/>
      <c r="S3734" s="6"/>
      <c r="T3734" s="6"/>
      <c r="U3734" s="6"/>
      <c r="V3734" s="6"/>
      <c r="W3734" s="6"/>
      <c r="X3734" s="6"/>
      <c r="Y3734" s="6"/>
      <c r="Z3734" s="6"/>
      <c r="AA3734" s="6"/>
    </row>
    <row r="3735" ht="14.25">
      <c r="B3735" s="4" t="s">
        <v>525</v>
      </c>
      <c r="C3735" s="4" t="s">
        <v>27123</v>
      </c>
      <c r="D3735" s="4" t="s">
        <v>1950</v>
      </c>
      <c r="E3735" s="4" t="s">
        <v>27124</v>
      </c>
      <c r="F3735" s="4" t="str">
        <f>IFERROR(__XLUDF.DUMMYFUNCTION("PROPER(REGEXREPLACE(D140,""[^A-Za-z]+ "",""""))"),"Eona")</f>
        <v>Eona</v>
      </c>
      <c r="G3735" s="4" t="s">
        <v>27125</v>
      </c>
      <c r="H3735" s="4">
        <v>22</v>
      </c>
      <c r="I3735" s="4" t="s">
        <v>2602</v>
      </c>
      <c r="J3735" s="4" t="str">
        <f>IFERROR(__XLUDF.DUMMYFUNCTION("VLOOKUP(H140,IMPORTRANGE(""https://docs.google.com/spreadsheets/d/1opm6ZNvGZ7KditA9TuJwrZ25eFLfTNIkrNnY6mhV5Eg"",""list!A1:C115""),3,TRUE)"),"le secteur de la tech")</f>
        <v xml:space="preserve">le secteur de la tech</v>
      </c>
      <c r="K3735" s="5" t="s">
        <v>27126</v>
      </c>
      <c r="L3735" s="5" t="s">
        <v>27127</v>
      </c>
      <c r="M3735" s="4" t="s">
        <v>423</v>
      </c>
      <c r="N3735" s="4" t="s">
        <v>29</v>
      </c>
      <c r="O3735" s="4" t="s">
        <v>27128</v>
      </c>
      <c r="P3735" s="4" t="s">
        <v>29</v>
      </c>
      <c r="Q3735" s="4" t="s">
        <v>27129</v>
      </c>
      <c r="R3735" s="6"/>
      <c r="S3735" s="6"/>
      <c r="T3735" s="6"/>
      <c r="U3735" s="6"/>
      <c r="V3735" s="6"/>
      <c r="W3735" s="6"/>
      <c r="X3735" s="6"/>
      <c r="Y3735" s="6"/>
      <c r="Z3735" s="6"/>
      <c r="AA3735" s="6"/>
    </row>
    <row r="3736" ht="14.25">
      <c r="B3736" s="4" t="s">
        <v>95</v>
      </c>
      <c r="C3736" s="4" t="s">
        <v>1270</v>
      </c>
      <c r="D3736" s="4" t="s">
        <v>22013</v>
      </c>
      <c r="E3736" s="4" t="s">
        <v>27130</v>
      </c>
      <c r="F3736" s="4" t="str">
        <f>IFERROR(__XLUDF.DUMMYFUNCTION("PROPER(REGEXREPLACE(D141,""[^A-Za-z]+ "",""""))"),"Metaengine")</f>
        <v>Metaengine</v>
      </c>
      <c r="G3736" s="4" t="s">
        <v>27131</v>
      </c>
      <c r="H3736" s="4">
        <v>10</v>
      </c>
      <c r="I3736" s="4" t="s">
        <v>2602</v>
      </c>
      <c r="J3736" s="4" t="str">
        <f>IFERROR(__XLUDF.DUMMYFUNCTION("VLOOKUP(H141,IMPORTRANGE(""https://docs.google.com/spreadsheets/d/1opm6ZNvGZ7KditA9TuJwrZ25eFLfTNIkrNnY6mhV5Eg"",""list!A1:C115""),3,TRUE)"),"le secteur de la tech")</f>
        <v xml:space="preserve">le secteur de la tech</v>
      </c>
      <c r="K3736" s="5" t="s">
        <v>27132</v>
      </c>
      <c r="L3736" s="5" t="s">
        <v>27133</v>
      </c>
      <c r="M3736" s="4" t="s">
        <v>243</v>
      </c>
      <c r="N3736" s="4" t="s">
        <v>29</v>
      </c>
      <c r="O3736" s="4" t="s">
        <v>27134</v>
      </c>
      <c r="P3736" s="4" t="s">
        <v>8427</v>
      </c>
      <c r="Q3736" s="4" t="s">
        <v>27135</v>
      </c>
      <c r="R3736" s="6"/>
      <c r="S3736" s="6"/>
      <c r="T3736" s="6"/>
      <c r="U3736" s="6"/>
      <c r="V3736" s="6"/>
      <c r="W3736" s="6"/>
      <c r="X3736" s="6"/>
      <c r="Y3736" s="6"/>
      <c r="Z3736" s="6"/>
      <c r="AA3736" s="6"/>
    </row>
    <row r="3737" ht="14.25">
      <c r="B3737" s="4" t="s">
        <v>1853</v>
      </c>
      <c r="C3737" s="4" t="s">
        <v>27136</v>
      </c>
      <c r="D3737" s="4" t="s">
        <v>27137</v>
      </c>
      <c r="E3737" s="4" t="s">
        <v>27138</v>
      </c>
      <c r="F3737" s="4" t="str">
        <f>IFERROR(__XLUDF.DUMMYFUNCTION("PROPER(REGEXREPLACE(D142,""[^A-Za-z]+ "",""""))"),"Matchtune")</f>
        <v>Matchtune</v>
      </c>
      <c r="G3737" s="4" t="s">
        <v>27139</v>
      </c>
      <c r="H3737" s="4">
        <v>13</v>
      </c>
      <c r="I3737" s="4" t="s">
        <v>2602</v>
      </c>
      <c r="J3737" s="4" t="str">
        <f>IFERROR(__XLUDF.DUMMYFUNCTION("VLOOKUP(H142,IMPORTRANGE(""https://docs.google.com/spreadsheets/d/1opm6ZNvGZ7KditA9TuJwrZ25eFLfTNIkrNnY6mhV5Eg"",""list!A1:C115""),3,TRUE)"),"le secteur de la tech")</f>
        <v xml:space="preserve">le secteur de la tech</v>
      </c>
      <c r="K3737" s="5" t="s">
        <v>27140</v>
      </c>
      <c r="L3737" s="5" t="s">
        <v>27141</v>
      </c>
      <c r="M3737" s="4" t="s">
        <v>39</v>
      </c>
      <c r="N3737" s="4" t="s">
        <v>29</v>
      </c>
      <c r="O3737" s="4" t="s">
        <v>27142</v>
      </c>
      <c r="P3737" s="4" t="s">
        <v>1261</v>
      </c>
      <c r="Q3737" s="4" t="s">
        <v>27143</v>
      </c>
      <c r="R3737" s="6"/>
      <c r="S3737" s="6"/>
      <c r="T3737" s="6"/>
      <c r="U3737" s="6"/>
      <c r="V3737" s="6"/>
      <c r="W3737" s="6"/>
      <c r="X3737" s="6"/>
      <c r="Y3737" s="6"/>
      <c r="Z3737" s="6"/>
      <c r="AA3737" s="6"/>
    </row>
    <row r="3738" ht="14.25">
      <c r="B3738" s="4" t="s">
        <v>27144</v>
      </c>
      <c r="C3738" s="4" t="s">
        <v>27145</v>
      </c>
      <c r="D3738" s="4" t="s">
        <v>62</v>
      </c>
      <c r="E3738" s="4" t="s">
        <v>19563</v>
      </c>
      <c r="F3738" s="4" t="str">
        <f>IFERROR(__XLUDF.DUMMYFUNCTION("PROPER(REGEXREPLACE(D143,""[^A-Za-z]+ "",""""))"),"Cyna")</f>
        <v>Cyna</v>
      </c>
      <c r="G3738" s="4" t="s">
        <v>27146</v>
      </c>
      <c r="H3738" s="4">
        <v>31</v>
      </c>
      <c r="I3738" s="4" t="s">
        <v>2602</v>
      </c>
      <c r="J3738" s="4" t="str">
        <f>IFERROR(__XLUDF.DUMMYFUNCTION("VLOOKUP(H143,IMPORTRANGE(""https://docs.google.com/spreadsheets/d/1opm6ZNvGZ7KditA9TuJwrZ25eFLfTNIkrNnY6mhV5Eg"",""list!A1:C115""),3,TRUE)"),"le secteur de la tech")</f>
        <v xml:space="preserve">le secteur de la tech</v>
      </c>
      <c r="K3738" s="5" t="s">
        <v>27147</v>
      </c>
      <c r="L3738" s="5" t="s">
        <v>19566</v>
      </c>
      <c r="M3738" s="4" t="s">
        <v>39</v>
      </c>
      <c r="N3738" s="4" t="s">
        <v>29</v>
      </c>
      <c r="O3738" s="4" t="s">
        <v>611</v>
      </c>
      <c r="P3738" s="4" t="s">
        <v>29</v>
      </c>
      <c r="Q3738" s="4" t="s">
        <v>19567</v>
      </c>
      <c r="R3738" s="6"/>
      <c r="S3738" s="6"/>
      <c r="T3738" s="6"/>
      <c r="U3738" s="6"/>
      <c r="V3738" s="6"/>
      <c r="W3738" s="6"/>
      <c r="X3738" s="6"/>
      <c r="Y3738" s="6"/>
      <c r="Z3738" s="6"/>
      <c r="AA3738" s="6"/>
    </row>
    <row r="3739" ht="14.25">
      <c r="B3739" s="4" t="s">
        <v>2598</v>
      </c>
      <c r="C3739" s="4" t="s">
        <v>27148</v>
      </c>
      <c r="D3739" s="4" t="s">
        <v>27149</v>
      </c>
      <c r="E3739" s="4" t="s">
        <v>27150</v>
      </c>
      <c r="F3739" s="4" t="str">
        <f>IFERROR(__XLUDF.DUMMYFUNCTION("PROPER(REGEXREPLACE(D144,""[^A-Za-z]+ "",""""))"),"Payflows")</f>
        <v>Payflows</v>
      </c>
      <c r="G3739" s="4" t="s">
        <v>27151</v>
      </c>
      <c r="H3739" s="4">
        <v>49</v>
      </c>
      <c r="I3739" s="4" t="s">
        <v>2602</v>
      </c>
      <c r="J3739" s="4" t="str">
        <f>IFERROR(__XLUDF.DUMMYFUNCTION("VLOOKUP(H144,IMPORTRANGE(""https://docs.google.com/spreadsheets/d/1opm6ZNvGZ7KditA9TuJwrZ25eFLfTNIkrNnY6mhV5Eg"",""list!A1:C115""),3,TRUE)"),"le secteur de la tech")</f>
        <v xml:space="preserve">le secteur de la tech</v>
      </c>
      <c r="K3739" s="5" t="s">
        <v>27152</v>
      </c>
      <c r="L3739" s="5" t="s">
        <v>27153</v>
      </c>
      <c r="M3739" s="4" t="s">
        <v>39</v>
      </c>
      <c r="N3739" s="4" t="s">
        <v>29</v>
      </c>
      <c r="O3739" s="4" t="s">
        <v>67</v>
      </c>
      <c r="P3739" s="4" t="s">
        <v>29</v>
      </c>
      <c r="Q3739" s="4" t="s">
        <v>27154</v>
      </c>
      <c r="R3739" s="6"/>
      <c r="S3739" s="6"/>
      <c r="T3739" s="6"/>
      <c r="U3739" s="6"/>
      <c r="V3739" s="6"/>
      <c r="W3739" s="6"/>
      <c r="X3739" s="6"/>
      <c r="Y3739" s="6"/>
      <c r="Z3739" s="6"/>
      <c r="AA3739" s="6"/>
    </row>
    <row r="3740" ht="14.25">
      <c r="B3740" s="4" t="s">
        <v>7525</v>
      </c>
      <c r="C3740" s="4" t="s">
        <v>3101</v>
      </c>
      <c r="D3740" s="4" t="s">
        <v>172</v>
      </c>
      <c r="E3740" s="4" t="s">
        <v>27155</v>
      </c>
      <c r="F3740" s="4" t="str">
        <f>IFERROR(__XLUDF.DUMMYFUNCTION("PROPER(REGEXREPLACE(D145,""[^A-Za-z]+ "",""""))"),"H3D")</f>
        <v>H3D</v>
      </c>
      <c r="G3740" s="4" t="s">
        <v>27156</v>
      </c>
      <c r="H3740" s="4">
        <v>22</v>
      </c>
      <c r="I3740" s="4" t="s">
        <v>2602</v>
      </c>
      <c r="J3740" s="4" t="str">
        <f>IFERROR(__XLUDF.DUMMYFUNCTION("VLOOKUP(H145,IMPORTRANGE(""https://docs.google.com/spreadsheets/d/1opm6ZNvGZ7KditA9TuJwrZ25eFLfTNIkrNnY6mhV5Eg"",""list!A1:C115""),3,TRUE)"),"le secteur de la tech")</f>
        <v xml:space="preserve">le secteur de la tech</v>
      </c>
      <c r="K3740" s="5" t="s">
        <v>27157</v>
      </c>
      <c r="L3740" s="5" t="s">
        <v>27158</v>
      </c>
      <c r="M3740" s="4" t="s">
        <v>27159</v>
      </c>
      <c r="N3740" s="4" t="s">
        <v>29</v>
      </c>
      <c r="O3740" s="4" t="s">
        <v>27160</v>
      </c>
      <c r="P3740" s="4" t="s">
        <v>4340</v>
      </c>
      <c r="Q3740" s="4" t="s">
        <v>27161</v>
      </c>
      <c r="R3740" s="6"/>
      <c r="S3740" s="6"/>
      <c r="T3740" s="6"/>
      <c r="U3740" s="6"/>
      <c r="V3740" s="6"/>
      <c r="W3740" s="6"/>
      <c r="X3740" s="6"/>
      <c r="Y3740" s="6"/>
      <c r="Z3740" s="6"/>
      <c r="AA3740" s="6"/>
    </row>
    <row r="3741" ht="14.25">
      <c r="B3741" s="4" t="s">
        <v>27162</v>
      </c>
      <c r="C3741" s="4" t="s">
        <v>27163</v>
      </c>
      <c r="D3741" s="4" t="s">
        <v>44</v>
      </c>
      <c r="E3741" s="4" t="s">
        <v>27164</v>
      </c>
      <c r="F3741" s="4" t="str">
        <f>IFERROR(__XLUDF.DUMMYFUNCTION("PROPER(REGEXREPLACE(D146,""[^A-Za-z]+ "",""""))"),"Brightcape")</f>
        <v>Brightcape</v>
      </c>
      <c r="G3741" s="4" t="s">
        <v>27165</v>
      </c>
      <c r="H3741" s="4">
        <v>2</v>
      </c>
      <c r="I3741" s="4" t="s">
        <v>2602</v>
      </c>
      <c r="J3741" s="4" t="str">
        <f>IFERROR(__XLUDF.DUMMYFUNCTION("VLOOKUP(H146,IMPORTRANGE(""https://docs.google.com/spreadsheets/d/1opm6ZNvGZ7KditA9TuJwrZ25eFLfTNIkrNnY6mhV5Eg"",""list!A1:C115""),3,TRUE)"),"le secteur de la tech")</f>
        <v xml:space="preserve">le secteur de la tech</v>
      </c>
      <c r="K3741" s="5" t="s">
        <v>27166</v>
      </c>
      <c r="L3741" s="5" t="s">
        <v>27167</v>
      </c>
      <c r="M3741" s="6"/>
      <c r="N3741" s="4" t="s">
        <v>29</v>
      </c>
      <c r="O3741" s="4" t="s">
        <v>67</v>
      </c>
      <c r="P3741" s="4" t="s">
        <v>29</v>
      </c>
      <c r="Q3741" s="4" t="s">
        <v>27168</v>
      </c>
      <c r="R3741" s="6"/>
      <c r="S3741" s="6"/>
      <c r="T3741" s="6"/>
      <c r="U3741" s="6"/>
      <c r="V3741" s="6"/>
      <c r="W3741" s="6"/>
      <c r="X3741" s="6"/>
      <c r="Y3741" s="6"/>
      <c r="Z3741" s="6"/>
      <c r="AA3741" s="6"/>
    </row>
    <row r="3742" ht="14.25">
      <c r="B3742" s="4" t="s">
        <v>4115</v>
      </c>
      <c r="C3742" s="4" t="s">
        <v>3827</v>
      </c>
      <c r="D3742" s="4" t="s">
        <v>27169</v>
      </c>
      <c r="E3742" s="4" t="s">
        <v>27170</v>
      </c>
      <c r="F3742" s="4" t="str">
        <f>IFERROR(__XLUDF.DUMMYFUNCTION("PROPER(REGEXREPLACE(D147,""[^A-Za-z]+ "",""""))"),"Gladia")</f>
        <v>Gladia</v>
      </c>
      <c r="G3742" s="4" t="s">
        <v>27171</v>
      </c>
      <c r="H3742" s="4">
        <v>44</v>
      </c>
      <c r="I3742" s="4" t="s">
        <v>2602</v>
      </c>
      <c r="J3742" s="4" t="str">
        <f>IFERROR(__XLUDF.DUMMYFUNCTION("VLOOKUP(H147,IMPORTRANGE(""https://docs.google.com/spreadsheets/d/1opm6ZNvGZ7KditA9TuJwrZ25eFLfTNIkrNnY6mhV5Eg"",""list!A1:C115""),3,TRUE)"),"le secteur de la tech")</f>
        <v xml:space="preserve">le secteur de la tech</v>
      </c>
      <c r="K3742" s="5" t="s">
        <v>27172</v>
      </c>
      <c r="L3742" s="5" t="s">
        <v>27173</v>
      </c>
      <c r="M3742" s="4" t="s">
        <v>83</v>
      </c>
      <c r="N3742" s="4" t="s">
        <v>29</v>
      </c>
      <c r="O3742" s="4" t="s">
        <v>22542</v>
      </c>
      <c r="P3742" s="4" t="s">
        <v>29</v>
      </c>
      <c r="Q3742" s="4" t="s">
        <v>27174</v>
      </c>
      <c r="R3742" s="6"/>
      <c r="S3742" s="6"/>
      <c r="T3742" s="6"/>
      <c r="U3742" s="6"/>
      <c r="V3742" s="6"/>
      <c r="W3742" s="6"/>
      <c r="X3742" s="6"/>
      <c r="Y3742" s="6"/>
      <c r="Z3742" s="6"/>
      <c r="AA3742" s="6"/>
    </row>
    <row r="3743" ht="14.25">
      <c r="B3743" s="4" t="s">
        <v>6788</v>
      </c>
      <c r="C3743" s="4" t="s">
        <v>27175</v>
      </c>
      <c r="D3743" s="4" t="s">
        <v>27176</v>
      </c>
      <c r="E3743" s="4" t="s">
        <v>27177</v>
      </c>
      <c r="F3743" s="4" t="str">
        <f>IFERROR(__XLUDF.DUMMYFUNCTION("PROPER(REGEXREPLACE(D148,""[^A-Za-z]+ "",""""))"),"Applidev'")</f>
        <v>Applidev'</v>
      </c>
      <c r="G3743" s="4" t="s">
        <v>27178</v>
      </c>
      <c r="H3743" s="4">
        <v>16</v>
      </c>
      <c r="I3743" s="4" t="s">
        <v>2602</v>
      </c>
      <c r="J3743" s="4" t="str">
        <f>IFERROR(__XLUDF.DUMMYFUNCTION("VLOOKUP(H148,IMPORTRANGE(""https://docs.google.com/spreadsheets/d/1opm6ZNvGZ7KditA9TuJwrZ25eFLfTNIkrNnY6mhV5Eg"",""list!A1:C115""),3,TRUE)"),"le secteur de la tech")</f>
        <v xml:space="preserve">le secteur de la tech</v>
      </c>
      <c r="K3743" s="5" t="s">
        <v>27179</v>
      </c>
      <c r="L3743" s="5" t="s">
        <v>27180</v>
      </c>
      <c r="M3743" s="4" t="s">
        <v>2650</v>
      </c>
      <c r="N3743" s="4" t="s">
        <v>29</v>
      </c>
      <c r="O3743" s="4" t="s">
        <v>27181</v>
      </c>
      <c r="P3743" s="4" t="s">
        <v>29</v>
      </c>
      <c r="Q3743" s="4" t="s">
        <v>27182</v>
      </c>
      <c r="R3743" s="6"/>
      <c r="S3743" s="6"/>
      <c r="T3743" s="6"/>
      <c r="U3743" s="6"/>
      <c r="V3743" s="6"/>
      <c r="W3743" s="6"/>
      <c r="X3743" s="6"/>
      <c r="Y3743" s="6"/>
      <c r="Z3743" s="6"/>
      <c r="AA3743" s="6"/>
    </row>
    <row r="3744" ht="14.25">
      <c r="B3744" s="4" t="s">
        <v>1596</v>
      </c>
      <c r="C3744" s="4" t="s">
        <v>27183</v>
      </c>
      <c r="D3744" s="4" t="s">
        <v>87</v>
      </c>
      <c r="E3744" s="4" t="s">
        <v>27184</v>
      </c>
      <c r="F3744" s="4" t="str">
        <f>IFERROR(__XLUDF.DUMMYFUNCTION("PROPER(REGEXREPLACE(D149,""[^A-Za-z]+ "",""""))"),"Wraptor Laboratories")</f>
        <v xml:space="preserve">Wraptor Laboratories</v>
      </c>
      <c r="G3744" s="4" t="s">
        <v>27185</v>
      </c>
      <c r="H3744" s="4">
        <v>11</v>
      </c>
      <c r="I3744" s="4" t="s">
        <v>2602</v>
      </c>
      <c r="J3744" s="4" t="str">
        <f>IFERROR(__XLUDF.DUMMYFUNCTION("VLOOKUP(H149,IMPORTRANGE(""https://docs.google.com/spreadsheets/d/1opm6ZNvGZ7KditA9TuJwrZ25eFLfTNIkrNnY6mhV5Eg"",""list!A1:C115""),3,TRUE)"),"le secteur de la tech")</f>
        <v xml:space="preserve">le secteur de la tech</v>
      </c>
      <c r="K3744" s="5" t="s">
        <v>27186</v>
      </c>
      <c r="L3744" s="5" t="s">
        <v>27187</v>
      </c>
      <c r="M3744" s="4" t="s">
        <v>295</v>
      </c>
      <c r="N3744" s="4" t="s">
        <v>29</v>
      </c>
      <c r="O3744" s="4" t="s">
        <v>27188</v>
      </c>
      <c r="P3744" s="4" t="s">
        <v>29</v>
      </c>
      <c r="Q3744" s="6"/>
      <c r="R3744" s="6"/>
      <c r="S3744" s="6"/>
      <c r="T3744" s="6"/>
      <c r="U3744" s="6"/>
      <c r="V3744" s="6"/>
      <c r="W3744" s="6"/>
      <c r="X3744" s="6"/>
      <c r="Y3744" s="6"/>
      <c r="Z3744" s="6"/>
      <c r="AA3744" s="6"/>
    </row>
    <row r="3745" ht="14.25">
      <c r="B3745" s="4" t="s">
        <v>27189</v>
      </c>
      <c r="C3745" s="4" t="s">
        <v>27190</v>
      </c>
      <c r="D3745" s="4" t="s">
        <v>27191</v>
      </c>
      <c r="E3745" s="4" t="s">
        <v>27192</v>
      </c>
      <c r="F3745" s="4" t="str">
        <f>IFERROR(__XLUDF.DUMMYFUNCTION("PROPER(REGEXREPLACE(D150,""[^A-Za-z]+ "",""""))"),"Richatt")</f>
        <v>Richatt</v>
      </c>
      <c r="G3745" s="4" t="s">
        <v>27193</v>
      </c>
      <c r="H3745" s="4">
        <v>11</v>
      </c>
      <c r="I3745" s="4" t="s">
        <v>2602</v>
      </c>
      <c r="J3745" s="4" t="str">
        <f>IFERROR(__XLUDF.DUMMYFUNCTION("VLOOKUP(H150,IMPORTRANGE(""https://docs.google.com/spreadsheets/d/1opm6ZNvGZ7KditA9TuJwrZ25eFLfTNIkrNnY6mhV5Eg"",""list!A1:C115""),3,TRUE)"),"le secteur de la tech")</f>
        <v xml:space="preserve">le secteur de la tech</v>
      </c>
      <c r="K3745" s="5" t="s">
        <v>27194</v>
      </c>
      <c r="L3745" s="5" t="s">
        <v>27195</v>
      </c>
      <c r="M3745" s="4" t="s">
        <v>39</v>
      </c>
      <c r="N3745" s="4" t="s">
        <v>29</v>
      </c>
      <c r="O3745" s="4" t="s">
        <v>27196</v>
      </c>
      <c r="P3745" s="4" t="s">
        <v>27197</v>
      </c>
      <c r="Q3745" s="6"/>
      <c r="R3745" s="6"/>
      <c r="S3745" s="6"/>
      <c r="T3745" s="6"/>
      <c r="U3745" s="6"/>
      <c r="V3745" s="6"/>
      <c r="W3745" s="6"/>
      <c r="X3745" s="6"/>
      <c r="Y3745" s="6"/>
      <c r="Z3745" s="6"/>
      <c r="AA3745" s="6"/>
    </row>
    <row r="3746" ht="14.25">
      <c r="B3746" s="4" t="s">
        <v>27198</v>
      </c>
      <c r="C3746" s="4" t="s">
        <v>27199</v>
      </c>
      <c r="D3746" s="4" t="s">
        <v>172</v>
      </c>
      <c r="E3746" s="4" t="s">
        <v>27200</v>
      </c>
      <c r="F3746" s="4" t="str">
        <f>IFERROR(__XLUDF.DUMMYFUNCTION("PROPER(REGEXREPLACE(D151,""[^A-Za-z]+ "",""""))"),"La Réclame")</f>
        <v xml:space="preserve">La Réclame</v>
      </c>
      <c r="G3746" s="4" t="s">
        <v>27201</v>
      </c>
      <c r="H3746" s="4">
        <v>16</v>
      </c>
      <c r="I3746" s="4" t="s">
        <v>2602</v>
      </c>
      <c r="J3746" s="4" t="str">
        <f>IFERROR(__XLUDF.DUMMYFUNCTION("VLOOKUP(H151,IMPORTRANGE(""https://docs.google.com/spreadsheets/d/1opm6ZNvGZ7KditA9TuJwrZ25eFLfTNIkrNnY6mhV5Eg"",""list!A1:C115""),3,TRUE)"),"le secteur de la tech")</f>
        <v xml:space="preserve">le secteur de la tech</v>
      </c>
      <c r="K3746" s="5" t="s">
        <v>27202</v>
      </c>
      <c r="L3746" s="5" t="s">
        <v>27203</v>
      </c>
      <c r="M3746" s="4" t="s">
        <v>39</v>
      </c>
      <c r="N3746" s="4" t="s">
        <v>29</v>
      </c>
      <c r="O3746" s="4" t="s">
        <v>27204</v>
      </c>
      <c r="P3746" s="4" t="s">
        <v>29</v>
      </c>
      <c r="Q3746" s="4" t="s">
        <v>27205</v>
      </c>
      <c r="R3746" s="6"/>
      <c r="S3746" s="6"/>
      <c r="T3746" s="6"/>
      <c r="U3746" s="6"/>
      <c r="V3746" s="6"/>
      <c r="W3746" s="6"/>
      <c r="X3746" s="6"/>
      <c r="Y3746" s="6"/>
      <c r="Z3746" s="6"/>
      <c r="AA3746" s="6"/>
    </row>
    <row r="3747" ht="14.25">
      <c r="B3747" s="4" t="s">
        <v>24610</v>
      </c>
      <c r="C3747" s="4" t="s">
        <v>27206</v>
      </c>
      <c r="D3747" s="4" t="s">
        <v>247</v>
      </c>
      <c r="E3747" s="4" t="s">
        <v>27207</v>
      </c>
      <c r="F3747" s="4" t="str">
        <f>IFERROR(__XLUDF.DUMMYFUNCTION("PROPER(REGEXREPLACE(D152,""[^A-Za-z]+ "",""""))"),"Ideta")</f>
        <v>Ideta</v>
      </c>
      <c r="G3747" s="4" t="s">
        <v>27208</v>
      </c>
      <c r="H3747" s="4">
        <v>11</v>
      </c>
      <c r="I3747" s="4" t="s">
        <v>2602</v>
      </c>
      <c r="J3747" s="4" t="str">
        <f>IFERROR(__XLUDF.DUMMYFUNCTION("VLOOKUP(H152,IMPORTRANGE(""https://docs.google.com/spreadsheets/d/1opm6ZNvGZ7KditA9TuJwrZ25eFLfTNIkrNnY6mhV5Eg"",""list!A1:C115""),3,TRUE)"),"le secteur de la tech")</f>
        <v xml:space="preserve">le secteur de la tech</v>
      </c>
      <c r="K3747" s="5" t="s">
        <v>27209</v>
      </c>
      <c r="L3747" s="5" t="s">
        <v>27210</v>
      </c>
      <c r="M3747" s="4" t="s">
        <v>39</v>
      </c>
      <c r="N3747" s="4" t="s">
        <v>29</v>
      </c>
      <c r="O3747" s="4" t="s">
        <v>27211</v>
      </c>
      <c r="P3747" s="4" t="s">
        <v>29</v>
      </c>
      <c r="Q3747" s="4" t="s">
        <v>27212</v>
      </c>
      <c r="R3747" s="6"/>
      <c r="S3747" s="6"/>
      <c r="T3747" s="6"/>
      <c r="U3747" s="6"/>
      <c r="V3747" s="6"/>
      <c r="W3747" s="6"/>
      <c r="X3747" s="6"/>
      <c r="Y3747" s="6"/>
      <c r="Z3747" s="6"/>
      <c r="AA3747" s="6"/>
    </row>
    <row r="3748" ht="14.25">
      <c r="B3748" s="4" t="s">
        <v>27213</v>
      </c>
      <c r="C3748" s="4" t="s">
        <v>27214</v>
      </c>
      <c r="D3748" s="4" t="s">
        <v>23340</v>
      </c>
      <c r="E3748" s="4" t="s">
        <v>27215</v>
      </c>
      <c r="F3748" s="4" t="str">
        <f>IFERROR(__XLUDF.DUMMYFUNCTION("PROPER(REGEXREPLACE(D153,""[^A-Za-z]+ "",""""))"),"Reemo")</f>
        <v>Reemo</v>
      </c>
      <c r="G3748" s="4" t="s">
        <v>27216</v>
      </c>
      <c r="H3748" s="4">
        <v>14</v>
      </c>
      <c r="I3748" s="4" t="s">
        <v>2602</v>
      </c>
      <c r="J3748" s="4" t="str">
        <f>IFERROR(__XLUDF.DUMMYFUNCTION("VLOOKUP(H153,IMPORTRANGE(""https://docs.google.com/spreadsheets/d/1opm6ZNvGZ7KditA9TuJwrZ25eFLfTNIkrNnY6mhV5Eg"",""list!A1:C115""),3,TRUE)"),"le secteur de la tech")</f>
        <v xml:space="preserve">le secteur de la tech</v>
      </c>
      <c r="K3748" s="5" t="s">
        <v>27217</v>
      </c>
      <c r="L3748" s="5" t="s">
        <v>27218</v>
      </c>
      <c r="M3748" s="6"/>
      <c r="N3748" s="4" t="s">
        <v>29</v>
      </c>
      <c r="O3748" s="4" t="s">
        <v>27219</v>
      </c>
      <c r="P3748" s="4" t="s">
        <v>29</v>
      </c>
      <c r="Q3748" s="4" t="s">
        <v>27220</v>
      </c>
      <c r="R3748" s="6"/>
      <c r="S3748" s="6"/>
      <c r="T3748" s="6"/>
      <c r="U3748" s="6"/>
      <c r="V3748" s="6"/>
      <c r="W3748" s="6"/>
      <c r="X3748" s="6"/>
      <c r="Y3748" s="6"/>
      <c r="Z3748" s="6"/>
      <c r="AA3748" s="6"/>
    </row>
    <row r="3749" ht="14.25">
      <c r="B3749" s="4" t="s">
        <v>2932</v>
      </c>
      <c r="C3749" s="4" t="s">
        <v>27221</v>
      </c>
      <c r="D3749" s="4" t="s">
        <v>27222</v>
      </c>
      <c r="E3749" s="4" t="s">
        <v>27223</v>
      </c>
      <c r="F3749" s="4" t="str">
        <f>IFERROR(__XLUDF.DUMMYFUNCTION("PROPER(REGEXREPLACE(D154,""[^A-Za-z]+ "",""""))"),"Hargos")</f>
        <v>Hargos</v>
      </c>
      <c r="G3749" s="4" t="s">
        <v>27224</v>
      </c>
      <c r="H3749" s="4">
        <v>20</v>
      </c>
      <c r="I3749" s="4" t="s">
        <v>2602</v>
      </c>
      <c r="J3749" s="4" t="str">
        <f>IFERROR(__XLUDF.DUMMYFUNCTION("VLOOKUP(H154,IMPORTRANGE(""https://docs.google.com/spreadsheets/d/1opm6ZNvGZ7KditA9TuJwrZ25eFLfTNIkrNnY6mhV5Eg"",""list!A1:C115""),3,TRUE)"),"le secteur de la tech")</f>
        <v xml:space="preserve">le secteur de la tech</v>
      </c>
      <c r="K3749" s="5" t="s">
        <v>27225</v>
      </c>
      <c r="L3749" s="5" t="s">
        <v>27226</v>
      </c>
      <c r="M3749" s="4" t="s">
        <v>39</v>
      </c>
      <c r="N3749" s="4" t="s">
        <v>29</v>
      </c>
      <c r="O3749" s="4" t="s">
        <v>27227</v>
      </c>
      <c r="P3749" s="4" t="s">
        <v>29</v>
      </c>
      <c r="Q3749" s="4" t="s">
        <v>27228</v>
      </c>
      <c r="R3749" s="6"/>
      <c r="S3749" s="6"/>
      <c r="T3749" s="6"/>
      <c r="U3749" s="6"/>
      <c r="V3749" s="6"/>
      <c r="W3749" s="6"/>
      <c r="X3749" s="6"/>
      <c r="Y3749" s="6"/>
      <c r="Z3749" s="6"/>
      <c r="AA3749" s="6"/>
    </row>
    <row r="3750" ht="14.25">
      <c r="B3750" s="4" t="s">
        <v>2299</v>
      </c>
      <c r="C3750" s="4" t="s">
        <v>27229</v>
      </c>
      <c r="D3750" s="4" t="s">
        <v>3188</v>
      </c>
      <c r="E3750" s="4" t="s">
        <v>27230</v>
      </c>
      <c r="F3750" s="4" t="str">
        <f>IFERROR(__XLUDF.DUMMYFUNCTION("PROPER(REGEXREPLACE(D155,""[^A-Za-z]+ "",""""))"),"Trackap")</f>
        <v>Trackap</v>
      </c>
      <c r="G3750" s="4" t="s">
        <v>27231</v>
      </c>
      <c r="H3750" s="4">
        <v>10</v>
      </c>
      <c r="I3750" s="4" t="s">
        <v>2602</v>
      </c>
      <c r="J3750" s="4" t="str">
        <f>IFERROR(__XLUDF.DUMMYFUNCTION("VLOOKUP(H155,IMPORTRANGE(""https://docs.google.com/spreadsheets/d/1opm6ZNvGZ7KditA9TuJwrZ25eFLfTNIkrNnY6mhV5Eg"",""list!A1:C115""),3,TRUE)"),"le secteur de la tech")</f>
        <v xml:space="preserve">le secteur de la tech</v>
      </c>
      <c r="K3750" s="5" t="s">
        <v>27232</v>
      </c>
      <c r="L3750" s="5" t="s">
        <v>27233</v>
      </c>
      <c r="M3750" s="4" t="s">
        <v>846</v>
      </c>
      <c r="N3750" s="4" t="s">
        <v>29</v>
      </c>
      <c r="O3750" s="4" t="s">
        <v>18845</v>
      </c>
      <c r="P3750" s="4" t="s">
        <v>29</v>
      </c>
      <c r="Q3750" s="4" t="s">
        <v>27234</v>
      </c>
      <c r="R3750" s="6"/>
      <c r="S3750" s="6"/>
      <c r="T3750" s="6"/>
      <c r="U3750" s="6"/>
      <c r="V3750" s="6"/>
      <c r="W3750" s="6"/>
      <c r="X3750" s="6"/>
      <c r="Y3750" s="6"/>
      <c r="Z3750" s="6"/>
      <c r="AA3750" s="6"/>
    </row>
    <row r="3751" ht="14.25">
      <c r="B3751" s="4" t="s">
        <v>785</v>
      </c>
      <c r="C3751" s="4" t="s">
        <v>27235</v>
      </c>
      <c r="D3751" s="4" t="s">
        <v>120</v>
      </c>
      <c r="E3751" s="4" t="s">
        <v>27236</v>
      </c>
      <c r="F3751" s="4" t="str">
        <f>IFERROR(__XLUDF.DUMMYFUNCTION("PROPER(REGEXREPLACE(D156,""[^A-Za-z]+ "",""""))"),"Ezymob")</f>
        <v>Ezymob</v>
      </c>
      <c r="G3751" s="4" t="s">
        <v>27237</v>
      </c>
      <c r="H3751" s="4">
        <v>11</v>
      </c>
      <c r="I3751" s="4" t="s">
        <v>2602</v>
      </c>
      <c r="J3751" s="4" t="str">
        <f>IFERROR(__XLUDF.DUMMYFUNCTION("VLOOKUP(H156,IMPORTRANGE(""https://docs.google.com/spreadsheets/d/1opm6ZNvGZ7KditA9TuJwrZ25eFLfTNIkrNnY6mhV5Eg"",""list!A1:C115""),3,TRUE)"),"le secteur de la tech")</f>
        <v xml:space="preserve">le secteur de la tech</v>
      </c>
      <c r="K3751" s="5" t="s">
        <v>27238</v>
      </c>
      <c r="L3751" s="5" t="s">
        <v>27239</v>
      </c>
      <c r="M3751" s="4" t="s">
        <v>27240</v>
      </c>
      <c r="N3751" s="4" t="s">
        <v>29</v>
      </c>
      <c r="O3751" s="4" t="s">
        <v>67</v>
      </c>
      <c r="P3751" s="4" t="s">
        <v>29</v>
      </c>
      <c r="Q3751" s="4" t="s">
        <v>27241</v>
      </c>
      <c r="R3751" s="6"/>
      <c r="S3751" s="6"/>
      <c r="T3751" s="6"/>
      <c r="U3751" s="6"/>
      <c r="V3751" s="6"/>
      <c r="W3751" s="6"/>
      <c r="X3751" s="6"/>
      <c r="Y3751" s="6"/>
      <c r="Z3751" s="6"/>
      <c r="AA3751" s="6"/>
    </row>
    <row r="3752" ht="14.25">
      <c r="B3752" s="4" t="s">
        <v>2303</v>
      </c>
      <c r="C3752" s="4" t="s">
        <v>27242</v>
      </c>
      <c r="D3752" s="4" t="s">
        <v>315</v>
      </c>
      <c r="E3752" s="4" t="s">
        <v>27243</v>
      </c>
      <c r="F3752" s="4" t="str">
        <f>IFERROR(__XLUDF.DUMMYFUNCTION("PROPER(REGEXREPLACE(D157,""[^A-Za-z]+ "",""""))"),"L'Oréal")</f>
        <v>L'Oréal</v>
      </c>
      <c r="G3752" s="4" t="s">
        <v>27244</v>
      </c>
      <c r="H3752" s="4">
        <v>10</v>
      </c>
      <c r="I3752" s="4" t="s">
        <v>2602</v>
      </c>
      <c r="J3752" s="4" t="str">
        <f>IFERROR(__XLUDF.DUMMYFUNCTION("VLOOKUP(H157,IMPORTRANGE(""https://docs.google.com/spreadsheets/d/1opm6ZNvGZ7KditA9TuJwrZ25eFLfTNIkrNnY6mhV5Eg"",""list!A1:C115""),3,TRUE)"),"le secteur de la tech")</f>
        <v xml:space="preserve">le secteur de la tech</v>
      </c>
      <c r="K3752" s="5" t="s">
        <v>27245</v>
      </c>
      <c r="L3752" s="5" t="s">
        <v>27246</v>
      </c>
      <c r="M3752" s="4" t="s">
        <v>243</v>
      </c>
      <c r="N3752" s="4" t="s">
        <v>29</v>
      </c>
      <c r="O3752" s="4" t="s">
        <v>4061</v>
      </c>
      <c r="P3752" s="4" t="s">
        <v>29</v>
      </c>
      <c r="Q3752" s="4" t="s">
        <v>27247</v>
      </c>
      <c r="R3752" s="6"/>
      <c r="S3752" s="6"/>
      <c r="T3752" s="6"/>
      <c r="U3752" s="6"/>
      <c r="V3752" s="6"/>
      <c r="W3752" s="6"/>
      <c r="X3752" s="6"/>
      <c r="Y3752" s="6"/>
      <c r="Z3752" s="6"/>
      <c r="AA3752" s="6"/>
    </row>
    <row r="3753" ht="14.25">
      <c r="B3753" s="4" t="s">
        <v>6356</v>
      </c>
      <c r="C3753" s="4" t="s">
        <v>9580</v>
      </c>
      <c r="D3753" s="4" t="s">
        <v>1867</v>
      </c>
      <c r="E3753" s="4" t="s">
        <v>9583</v>
      </c>
      <c r="F3753" s="4" t="str">
        <f>IFERROR(__XLUDF.DUMMYFUNCTION("PROPER(REGEXREPLACE(D158,""[^A-Za-z]+ "",""""))"),"Omydoo")</f>
        <v>Omydoo</v>
      </c>
      <c r="G3753" s="4" t="s">
        <v>27248</v>
      </c>
      <c r="H3753" s="4">
        <v>19</v>
      </c>
      <c r="I3753" s="4" t="s">
        <v>2602</v>
      </c>
      <c r="J3753" s="4" t="str">
        <f>IFERROR(__XLUDF.DUMMYFUNCTION("VLOOKUP(H158,IMPORTRANGE(""https://docs.google.com/spreadsheets/d/1opm6ZNvGZ7KditA9TuJwrZ25eFLfTNIkrNnY6mhV5Eg"",""list!A1:C115""),3,TRUE)"),"le secteur de la tech")</f>
        <v xml:space="preserve">le secteur de la tech</v>
      </c>
      <c r="K3753" s="5" t="s">
        <v>27249</v>
      </c>
      <c r="L3753" s="5" t="s">
        <v>27250</v>
      </c>
      <c r="M3753" s="4" t="s">
        <v>9237</v>
      </c>
      <c r="N3753" s="4" t="s">
        <v>29</v>
      </c>
      <c r="O3753" s="4" t="s">
        <v>26383</v>
      </c>
      <c r="P3753" s="4" t="s">
        <v>29</v>
      </c>
      <c r="Q3753" s="4" t="s">
        <v>9589</v>
      </c>
      <c r="R3753" s="6"/>
      <c r="S3753" s="6"/>
      <c r="T3753" s="6"/>
      <c r="U3753" s="6"/>
      <c r="V3753" s="6"/>
      <c r="W3753" s="6"/>
      <c r="X3753" s="6"/>
      <c r="Y3753" s="6"/>
      <c r="Z3753" s="6"/>
      <c r="AA3753" s="6"/>
    </row>
    <row r="3754" ht="14.25">
      <c r="B3754" s="4" t="s">
        <v>971</v>
      </c>
      <c r="C3754" s="4" t="s">
        <v>27251</v>
      </c>
      <c r="D3754" s="4" t="s">
        <v>21480</v>
      </c>
      <c r="E3754" s="4" t="s">
        <v>27252</v>
      </c>
      <c r="F3754" s="4" t="str">
        <f>IFERROR(__XLUDF.DUMMYFUNCTION("PROPER(REGEXREPLACE(D159,""[^A-Za-z]+ "",""""))"),"D'Un Seul Geste")</f>
        <v xml:space="preserve">D'Un Seul Geste</v>
      </c>
      <c r="G3754" s="4" t="s">
        <v>27253</v>
      </c>
      <c r="H3754" s="4">
        <v>20</v>
      </c>
      <c r="I3754" s="4" t="s">
        <v>2602</v>
      </c>
      <c r="J3754" s="4" t="str">
        <f>IFERROR(__XLUDF.DUMMYFUNCTION("VLOOKUP(H159,IMPORTRANGE(""https://docs.google.com/spreadsheets/d/1opm6ZNvGZ7KditA9TuJwrZ25eFLfTNIkrNnY6mhV5Eg"",""list!A1:C115""),3,TRUE)"),"le secteur de la tech")</f>
        <v xml:space="preserve">le secteur de la tech</v>
      </c>
      <c r="K3754" s="5" t="s">
        <v>27254</v>
      </c>
      <c r="L3754" s="5" t="s">
        <v>27255</v>
      </c>
      <c r="M3754" s="6"/>
      <c r="N3754" s="4" t="s">
        <v>29</v>
      </c>
      <c r="O3754" s="4" t="s">
        <v>67</v>
      </c>
      <c r="P3754" s="4" t="s">
        <v>29</v>
      </c>
      <c r="Q3754" s="4" t="s">
        <v>27256</v>
      </c>
      <c r="R3754" s="6"/>
      <c r="S3754" s="6"/>
      <c r="T3754" s="6"/>
      <c r="U3754" s="6"/>
      <c r="V3754" s="6"/>
      <c r="W3754" s="6"/>
      <c r="X3754" s="6"/>
      <c r="Y3754" s="6"/>
      <c r="Z3754" s="6"/>
      <c r="AA3754" s="6"/>
    </row>
    <row r="3755" ht="14.25">
      <c r="B3755" s="4" t="s">
        <v>95</v>
      </c>
      <c r="C3755" s="4" t="s">
        <v>27257</v>
      </c>
      <c r="D3755" s="4" t="s">
        <v>265</v>
      </c>
      <c r="E3755" s="4" t="s">
        <v>27258</v>
      </c>
      <c r="F3755" s="4" t="str">
        <f>IFERROR(__XLUDF.DUMMYFUNCTION("PROPER(REGEXREPLACE(D160,""[^A-Za-z]+ "",""""))"),"Far-It")</f>
        <v>Far-It</v>
      </c>
      <c r="G3755" s="4" t="s">
        <v>27259</v>
      </c>
      <c r="H3755" s="4">
        <v>9</v>
      </c>
      <c r="I3755" s="4" t="s">
        <v>2602</v>
      </c>
      <c r="J3755" s="4" t="str">
        <f>IFERROR(__XLUDF.DUMMYFUNCTION("VLOOKUP(H160,IMPORTRANGE(""https://docs.google.com/spreadsheets/d/1opm6ZNvGZ7KditA9TuJwrZ25eFLfTNIkrNnY6mhV5Eg"",""list!A1:C115""),3,TRUE)"),"le secteur de la tech")</f>
        <v xml:space="preserve">le secteur de la tech</v>
      </c>
      <c r="K3755" s="5" t="s">
        <v>27260</v>
      </c>
      <c r="L3755" s="5" t="s">
        <v>27261</v>
      </c>
      <c r="M3755" s="6"/>
      <c r="N3755" s="4" t="s">
        <v>29</v>
      </c>
      <c r="O3755" s="4" t="s">
        <v>27262</v>
      </c>
      <c r="P3755" s="4" t="s">
        <v>29</v>
      </c>
      <c r="Q3755" s="4" t="s">
        <v>27263</v>
      </c>
      <c r="R3755" s="6"/>
      <c r="S3755" s="6"/>
      <c r="T3755" s="6"/>
      <c r="U3755" s="6"/>
      <c r="V3755" s="6"/>
      <c r="W3755" s="6"/>
      <c r="X3755" s="6"/>
      <c r="Y3755" s="6"/>
      <c r="Z3755" s="6"/>
      <c r="AA3755" s="6"/>
    </row>
    <row r="3756" ht="14.25">
      <c r="B3756" s="4" t="s">
        <v>3164</v>
      </c>
      <c r="C3756" s="4" t="s">
        <v>27264</v>
      </c>
      <c r="D3756" s="4" t="s">
        <v>27265</v>
      </c>
      <c r="E3756" s="4" t="s">
        <v>27266</v>
      </c>
      <c r="F3756" s="4" t="str">
        <f>IFERROR(__XLUDF.DUMMYFUNCTION("PROPER(REGEXREPLACE(D161,""[^A-Za-z]+ "",""""))"),"Works Agency")</f>
        <v xml:space="preserve">Works Agency</v>
      </c>
      <c r="G3756" s="4" t="s">
        <v>27267</v>
      </c>
      <c r="H3756" s="4">
        <v>9</v>
      </c>
      <c r="I3756" s="4" t="s">
        <v>2602</v>
      </c>
      <c r="J3756" s="4" t="str">
        <f>IFERROR(__XLUDF.DUMMYFUNCTION("VLOOKUP(H161,IMPORTRANGE(""https://docs.google.com/spreadsheets/d/1opm6ZNvGZ7KditA9TuJwrZ25eFLfTNIkrNnY6mhV5Eg"",""list!A1:C115""),3,TRUE)"),"le secteur de la tech")</f>
        <v xml:space="preserve">le secteur de la tech</v>
      </c>
      <c r="K3756" s="5" t="s">
        <v>27268</v>
      </c>
      <c r="L3756" s="5" t="s">
        <v>27269</v>
      </c>
      <c r="M3756" s="4" t="s">
        <v>492</v>
      </c>
      <c r="N3756" s="4" t="s">
        <v>29</v>
      </c>
      <c r="O3756" s="4" t="s">
        <v>27270</v>
      </c>
      <c r="P3756" s="4" t="s">
        <v>29</v>
      </c>
      <c r="Q3756" s="4" t="s">
        <v>27271</v>
      </c>
      <c r="R3756" s="6"/>
      <c r="S3756" s="6"/>
      <c r="T3756" s="6"/>
      <c r="U3756" s="6"/>
      <c r="V3756" s="6"/>
      <c r="W3756" s="6"/>
      <c r="X3756" s="6"/>
      <c r="Y3756" s="6"/>
      <c r="Z3756" s="6"/>
      <c r="AA3756" s="6"/>
    </row>
    <row r="3757" ht="14.25">
      <c r="B3757" s="4" t="s">
        <v>27272</v>
      </c>
      <c r="C3757" s="4" t="s">
        <v>1019</v>
      </c>
      <c r="D3757" s="4" t="s">
        <v>44</v>
      </c>
      <c r="E3757" s="5" t="s">
        <v>27273</v>
      </c>
      <c r="F3757" s="5" t="str">
        <f>IFERROR(__XLUDF.DUMMYFUNCTION("PROPER(REGEXREPLACE(D162,""[^A-Za-z]+ "",""""))"),"Lili.Ai")</f>
        <v>Lili.Ai</v>
      </c>
      <c r="G3757" s="4" t="s">
        <v>27274</v>
      </c>
      <c r="H3757" s="4">
        <v>12</v>
      </c>
      <c r="I3757" s="4" t="s">
        <v>2602</v>
      </c>
      <c r="J3757" s="4" t="str">
        <f>IFERROR(__XLUDF.DUMMYFUNCTION("VLOOKUP(H162,IMPORTRANGE(""https://docs.google.com/spreadsheets/d/1opm6ZNvGZ7KditA9TuJwrZ25eFLfTNIkrNnY6mhV5Eg"",""list!A1:C115""),3,TRUE)"),"le secteur de la tech")</f>
        <v xml:space="preserve">le secteur de la tech</v>
      </c>
      <c r="K3757" s="5" t="s">
        <v>27275</v>
      </c>
      <c r="L3757" s="5" t="s">
        <v>27276</v>
      </c>
      <c r="M3757" s="4" t="s">
        <v>39</v>
      </c>
      <c r="N3757" s="4" t="s">
        <v>29</v>
      </c>
      <c r="O3757" s="4" t="s">
        <v>25696</v>
      </c>
      <c r="P3757" s="4" t="s">
        <v>29</v>
      </c>
      <c r="Q3757" s="4" t="s">
        <v>27277</v>
      </c>
      <c r="R3757" s="6"/>
      <c r="S3757" s="6"/>
      <c r="T3757" s="6"/>
      <c r="U3757" s="6"/>
      <c r="V3757" s="6"/>
      <c r="W3757" s="6"/>
      <c r="X3757" s="6"/>
      <c r="Y3757" s="6"/>
      <c r="Z3757" s="6"/>
      <c r="AA3757" s="6"/>
    </row>
    <row r="3758" ht="14.25">
      <c r="B3758" s="4" t="s">
        <v>355</v>
      </c>
      <c r="C3758" s="4" t="s">
        <v>27278</v>
      </c>
      <c r="D3758" s="4" t="s">
        <v>172</v>
      </c>
      <c r="E3758" s="4" t="s">
        <v>27279</v>
      </c>
      <c r="F3758" s="4" t="str">
        <f>IFERROR(__XLUDF.DUMMYFUNCTION("PROPER(REGEXREPLACE(D163,""[^A-Za-z]+ "",""""))"),"Letreco")</f>
        <v>Letreco</v>
      </c>
      <c r="G3758" s="4" t="s">
        <v>27280</v>
      </c>
      <c r="H3758" s="4">
        <v>17</v>
      </c>
      <c r="I3758" s="4" t="s">
        <v>2602</v>
      </c>
      <c r="J3758" s="4" t="str">
        <f>IFERROR(__XLUDF.DUMMYFUNCTION("VLOOKUP(H163,IMPORTRANGE(""https://docs.google.com/spreadsheets/d/1opm6ZNvGZ7KditA9TuJwrZ25eFLfTNIkrNnY6mhV5Eg"",""list!A1:C115""),3,TRUE)"),"le secteur de la tech")</f>
        <v xml:space="preserve">le secteur de la tech</v>
      </c>
      <c r="K3758" s="5" t="s">
        <v>27281</v>
      </c>
      <c r="L3758" s="5" t="s">
        <v>27282</v>
      </c>
      <c r="M3758" s="6"/>
      <c r="N3758" s="4" t="s">
        <v>29</v>
      </c>
      <c r="O3758" s="4" t="s">
        <v>27283</v>
      </c>
      <c r="P3758" s="4" t="s">
        <v>29</v>
      </c>
      <c r="Q3758" s="6"/>
      <c r="R3758" s="6"/>
      <c r="S3758" s="6"/>
      <c r="T3758" s="6"/>
      <c r="U3758" s="6"/>
      <c r="V3758" s="6"/>
      <c r="W3758" s="6"/>
      <c r="X3758" s="6"/>
      <c r="Y3758" s="6"/>
      <c r="Z3758" s="6"/>
      <c r="AA3758" s="6"/>
    </row>
    <row r="3759" ht="14.25">
      <c r="B3759" s="4" t="s">
        <v>20</v>
      </c>
      <c r="C3759" s="4" t="s">
        <v>27284</v>
      </c>
      <c r="D3759" s="4" t="s">
        <v>27285</v>
      </c>
      <c r="E3759" s="4" t="s">
        <v>27286</v>
      </c>
      <c r="F3759" s="4" t="str">
        <f>IFERROR(__XLUDF.DUMMYFUNCTION("PROPER(REGEXREPLACE(D164,""[^A-Za-z]+ "",""""))"),"Wiink")</f>
        <v>Wiink</v>
      </c>
      <c r="G3759" s="4" t="s">
        <v>27287</v>
      </c>
      <c r="H3759" s="4">
        <v>23</v>
      </c>
      <c r="I3759" s="4" t="s">
        <v>2602</v>
      </c>
      <c r="J3759" s="4" t="str">
        <f>IFERROR(__XLUDF.DUMMYFUNCTION("VLOOKUP(H164,IMPORTRANGE(""https://docs.google.com/spreadsheets/d/1opm6ZNvGZ7KditA9TuJwrZ25eFLfTNIkrNnY6mhV5Eg"",""list!A1:C115""),3,TRUE)"),"le secteur de la tech")</f>
        <v xml:space="preserve">le secteur de la tech</v>
      </c>
      <c r="K3759" s="5" t="s">
        <v>27288</v>
      </c>
      <c r="L3759" s="5" t="s">
        <v>27289</v>
      </c>
      <c r="M3759" s="4" t="s">
        <v>39</v>
      </c>
      <c r="N3759" s="4" t="s">
        <v>29</v>
      </c>
      <c r="O3759" s="4" t="s">
        <v>67</v>
      </c>
      <c r="P3759" s="4" t="s">
        <v>29</v>
      </c>
      <c r="Q3759" s="4" t="s">
        <v>27290</v>
      </c>
      <c r="R3759" s="6"/>
      <c r="S3759" s="6"/>
      <c r="T3759" s="6"/>
      <c r="U3759" s="6"/>
      <c r="V3759" s="6"/>
      <c r="W3759" s="6"/>
      <c r="X3759" s="6"/>
      <c r="Y3759" s="6"/>
      <c r="Z3759" s="6"/>
      <c r="AA3759" s="6"/>
    </row>
    <row r="3760" ht="14.25">
      <c r="B3760" s="4" t="s">
        <v>27291</v>
      </c>
      <c r="C3760" s="4" t="s">
        <v>27292</v>
      </c>
      <c r="D3760" s="4" t="s">
        <v>281</v>
      </c>
      <c r="E3760" s="4" t="s">
        <v>27293</v>
      </c>
      <c r="F3760" s="4" t="str">
        <f>IFERROR(__XLUDF.DUMMYFUNCTION("PROPER(REGEXREPLACE(D165,""[^A-Za-z]+ "",""""))"),"Node101")</f>
        <v>Node101</v>
      </c>
      <c r="G3760" s="4" t="s">
        <v>27294</v>
      </c>
      <c r="H3760" s="4">
        <v>13</v>
      </c>
      <c r="I3760" s="4" t="s">
        <v>2602</v>
      </c>
      <c r="J3760" s="4" t="str">
        <f>IFERROR(__XLUDF.DUMMYFUNCTION("VLOOKUP(H165,IMPORTRANGE(""https://docs.google.com/spreadsheets/d/1opm6ZNvGZ7KditA9TuJwrZ25eFLfTNIkrNnY6mhV5Eg"",""list!A1:C115""),3,TRUE)"),"le secteur de la tech")</f>
        <v xml:space="preserve">le secteur de la tech</v>
      </c>
      <c r="K3760" s="5" t="s">
        <v>27295</v>
      </c>
      <c r="L3760" s="5" t="s">
        <v>27296</v>
      </c>
      <c r="M3760" s="4" t="s">
        <v>39</v>
      </c>
      <c r="N3760" s="4" t="s">
        <v>29</v>
      </c>
      <c r="O3760" s="4" t="s">
        <v>27297</v>
      </c>
      <c r="P3760" s="4" t="s">
        <v>27298</v>
      </c>
      <c r="Q3760" s="4" t="s">
        <v>27299</v>
      </c>
      <c r="R3760" s="6"/>
      <c r="S3760" s="6"/>
      <c r="T3760" s="6"/>
      <c r="U3760" s="6"/>
      <c r="V3760" s="6"/>
      <c r="W3760" s="6"/>
      <c r="X3760" s="6"/>
      <c r="Y3760" s="6"/>
      <c r="Z3760" s="6"/>
      <c r="AA3760" s="6"/>
    </row>
    <row r="3761" ht="14.25">
      <c r="B3761" s="4" t="s">
        <v>322</v>
      </c>
      <c r="C3761" s="4" t="s">
        <v>27300</v>
      </c>
      <c r="D3761" s="4" t="s">
        <v>27301</v>
      </c>
      <c r="E3761" s="4" t="s">
        <v>27302</v>
      </c>
      <c r="F3761" s="4" t="str">
        <f>IFERROR(__XLUDF.DUMMYFUNCTION("PROPER(REGEXREPLACE(D166,""[^A-Za-z]+ "",""""))"),"Ackomas")</f>
        <v>Ackomas</v>
      </c>
      <c r="G3761" s="4" t="s">
        <v>27303</v>
      </c>
      <c r="H3761" s="4">
        <v>16</v>
      </c>
      <c r="I3761" s="4" t="s">
        <v>2602</v>
      </c>
      <c r="J3761" s="4" t="str">
        <f>IFERROR(__XLUDF.DUMMYFUNCTION("VLOOKUP(H166,IMPORTRANGE(""https://docs.google.com/spreadsheets/d/1opm6ZNvGZ7KditA9TuJwrZ25eFLfTNIkrNnY6mhV5Eg"",""list!A1:C115""),3,TRUE)"),"le secteur de la tech")</f>
        <v xml:space="preserve">le secteur de la tech</v>
      </c>
      <c r="K3761" s="5" t="s">
        <v>27304</v>
      </c>
      <c r="L3761" s="5" t="s">
        <v>27305</v>
      </c>
      <c r="M3761" s="6"/>
      <c r="N3761" s="4" t="s">
        <v>29</v>
      </c>
      <c r="O3761" s="4" t="s">
        <v>27306</v>
      </c>
      <c r="P3761" s="4" t="s">
        <v>29</v>
      </c>
      <c r="Q3761" s="4" t="s">
        <v>27307</v>
      </c>
      <c r="R3761" s="6"/>
      <c r="S3761" s="6"/>
      <c r="T3761" s="6"/>
      <c r="U3761" s="6"/>
      <c r="V3761" s="6"/>
      <c r="W3761" s="6"/>
      <c r="X3761" s="6"/>
      <c r="Y3761" s="6"/>
      <c r="Z3761" s="6"/>
      <c r="AA3761" s="6"/>
    </row>
    <row r="3762" ht="14.25">
      <c r="B3762" s="4" t="s">
        <v>785</v>
      </c>
      <c r="C3762" s="4" t="s">
        <v>27308</v>
      </c>
      <c r="D3762" s="4" t="s">
        <v>27309</v>
      </c>
      <c r="E3762" s="4" t="s">
        <v>27310</v>
      </c>
      <c r="F3762" s="4" t="str">
        <f>IFERROR(__XLUDF.DUMMYFUNCTION("PROPER(REGEXREPLACE(D167,""[^A-Za-z]+ "",""""))"),"Archireport")</f>
        <v>Archireport</v>
      </c>
      <c r="G3762" s="4" t="s">
        <v>27311</v>
      </c>
      <c r="H3762" s="4">
        <v>11</v>
      </c>
      <c r="I3762" s="4" t="s">
        <v>2602</v>
      </c>
      <c r="J3762" s="4" t="str">
        <f>IFERROR(__XLUDF.DUMMYFUNCTION("VLOOKUP(H167,IMPORTRANGE(""https://docs.google.com/spreadsheets/d/1opm6ZNvGZ7KditA9TuJwrZ25eFLfTNIkrNnY6mhV5Eg"",""list!A1:C115""),3,TRUE)"),"le secteur de la tech")</f>
        <v xml:space="preserve">le secteur de la tech</v>
      </c>
      <c r="K3762" s="5" t="s">
        <v>27312</v>
      </c>
      <c r="L3762" s="5" t="s">
        <v>27313</v>
      </c>
      <c r="M3762" s="4" t="s">
        <v>1826</v>
      </c>
      <c r="N3762" s="4" t="s">
        <v>29</v>
      </c>
      <c r="O3762" s="4" t="s">
        <v>27314</v>
      </c>
      <c r="P3762" s="4" t="s">
        <v>29</v>
      </c>
      <c r="Q3762" s="4" t="s">
        <v>27315</v>
      </c>
      <c r="R3762" s="6"/>
      <c r="S3762" s="6"/>
      <c r="T3762" s="6"/>
      <c r="U3762" s="6"/>
      <c r="V3762" s="6"/>
      <c r="W3762" s="6"/>
      <c r="X3762" s="6"/>
      <c r="Y3762" s="6"/>
      <c r="Z3762" s="6"/>
      <c r="AA3762" s="6"/>
    </row>
    <row r="3763" ht="14.25">
      <c r="B3763" s="4" t="s">
        <v>10222</v>
      </c>
      <c r="C3763" s="4" t="s">
        <v>768</v>
      </c>
      <c r="D3763" s="4" t="s">
        <v>468</v>
      </c>
      <c r="E3763" s="4" t="s">
        <v>27316</v>
      </c>
      <c r="F3763" s="4" t="str">
        <f>IFERROR(__XLUDF.DUMMYFUNCTION("PROPER(REGEXREPLACE(D168,""[^A-Za-z]+ "",""""))"),"Eurailscout France")</f>
        <v xml:space="preserve">Eurailscout France</v>
      </c>
      <c r="G3763" s="4" t="s">
        <v>27317</v>
      </c>
      <c r="H3763" s="4">
        <v>48</v>
      </c>
      <c r="I3763" s="4" t="s">
        <v>2602</v>
      </c>
      <c r="J3763" s="4" t="str">
        <f>IFERROR(__XLUDF.DUMMYFUNCTION("VLOOKUP(H168,IMPORTRANGE(""https://docs.google.com/spreadsheets/d/1opm6ZNvGZ7KditA9TuJwrZ25eFLfTNIkrNnY6mhV5Eg"",""list!A1:C115""),3,TRUE)"),"le secteur de la tech")</f>
        <v xml:space="preserve">le secteur de la tech</v>
      </c>
      <c r="K3763" s="5" t="s">
        <v>27318</v>
      </c>
      <c r="L3763" s="5" t="s">
        <v>27319</v>
      </c>
      <c r="M3763" s="4" t="s">
        <v>39</v>
      </c>
      <c r="N3763" s="4" t="s">
        <v>29</v>
      </c>
      <c r="O3763" s="4" t="s">
        <v>27320</v>
      </c>
      <c r="P3763" s="4" t="s">
        <v>29</v>
      </c>
      <c r="Q3763" s="6"/>
      <c r="R3763" s="6"/>
      <c r="S3763" s="6"/>
      <c r="T3763" s="6"/>
      <c r="U3763" s="6"/>
      <c r="V3763" s="6"/>
      <c r="W3763" s="6"/>
      <c r="X3763" s="6"/>
      <c r="Y3763" s="6"/>
      <c r="Z3763" s="6"/>
      <c r="AA3763" s="6"/>
    </row>
    <row r="3764" ht="14.25">
      <c r="B3764" s="4" t="s">
        <v>76</v>
      </c>
      <c r="C3764" s="4" t="s">
        <v>5351</v>
      </c>
      <c r="D3764" s="4" t="s">
        <v>27321</v>
      </c>
      <c r="E3764" s="4" t="s">
        <v>27322</v>
      </c>
      <c r="F3764" s="4" t="str">
        <f>IFERROR(__XLUDF.DUMMYFUNCTION("PROPER(REGEXREPLACE(D169,""[^A-Za-z]+ "",""""))"),"Itamsys")</f>
        <v>Itamsys</v>
      </c>
      <c r="G3764" s="4" t="s">
        <v>27323</v>
      </c>
      <c r="H3764" s="4">
        <v>12</v>
      </c>
      <c r="I3764" s="4" t="s">
        <v>2602</v>
      </c>
      <c r="J3764" s="4" t="str">
        <f>IFERROR(__XLUDF.DUMMYFUNCTION("VLOOKUP(H169,IMPORTRANGE(""https://docs.google.com/spreadsheets/d/1opm6ZNvGZ7KditA9TuJwrZ25eFLfTNIkrNnY6mhV5Eg"",""list!A1:C115""),3,TRUE)"),"le secteur de la tech")</f>
        <v xml:space="preserve">le secteur de la tech</v>
      </c>
      <c r="K3764" s="5" t="s">
        <v>27324</v>
      </c>
      <c r="L3764" s="5" t="s">
        <v>27325</v>
      </c>
      <c r="M3764" s="6"/>
      <c r="N3764" s="4" t="s">
        <v>29</v>
      </c>
      <c r="O3764" s="4" t="s">
        <v>27326</v>
      </c>
      <c r="P3764" s="4" t="s">
        <v>29</v>
      </c>
      <c r="Q3764" s="4" t="s">
        <v>27327</v>
      </c>
      <c r="R3764" s="6"/>
      <c r="S3764" s="6"/>
      <c r="T3764" s="6"/>
      <c r="U3764" s="6"/>
      <c r="V3764" s="6"/>
      <c r="W3764" s="6"/>
      <c r="X3764" s="6"/>
      <c r="Y3764" s="6"/>
      <c r="Z3764" s="6"/>
      <c r="AA3764" s="6"/>
    </row>
    <row r="3765" ht="14.25">
      <c r="B3765" s="4" t="s">
        <v>2436</v>
      </c>
      <c r="C3765" s="4" t="s">
        <v>27328</v>
      </c>
      <c r="D3765" s="4" t="s">
        <v>27329</v>
      </c>
      <c r="E3765" s="4" t="s">
        <v>27330</v>
      </c>
      <c r="F3765" s="4" t="str">
        <f>IFERROR(__XLUDF.DUMMYFUNCTION("PROPER(REGEXREPLACE(D170,""[^A-Za-z]+ "",""""))"),"Openium")</f>
        <v>Openium</v>
      </c>
      <c r="G3765" s="4" t="s">
        <v>27331</v>
      </c>
      <c r="H3765" s="4">
        <v>45</v>
      </c>
      <c r="I3765" s="4" t="s">
        <v>2602</v>
      </c>
      <c r="J3765" s="4" t="str">
        <f>IFERROR(__XLUDF.DUMMYFUNCTION("VLOOKUP(H170,IMPORTRANGE(""https://docs.google.com/spreadsheets/d/1opm6ZNvGZ7KditA9TuJwrZ25eFLfTNIkrNnY6mhV5Eg"",""list!A1:C115""),3,TRUE)"),"le secteur de la tech")</f>
        <v xml:space="preserve">le secteur de la tech</v>
      </c>
      <c r="K3765" s="5" t="s">
        <v>27332</v>
      </c>
      <c r="L3765" s="5" t="s">
        <v>27333</v>
      </c>
      <c r="M3765" s="4" t="s">
        <v>9237</v>
      </c>
      <c r="N3765" s="4" t="s">
        <v>29</v>
      </c>
      <c r="O3765" s="4" t="s">
        <v>26383</v>
      </c>
      <c r="P3765" s="4" t="s">
        <v>29</v>
      </c>
      <c r="Q3765" s="4" t="s">
        <v>27334</v>
      </c>
      <c r="R3765" s="6"/>
      <c r="S3765" s="6"/>
      <c r="T3765" s="6"/>
      <c r="U3765" s="6"/>
      <c r="V3765" s="6"/>
      <c r="W3765" s="6"/>
      <c r="X3765" s="6"/>
      <c r="Y3765" s="6"/>
      <c r="Z3765" s="6"/>
      <c r="AA3765" s="6"/>
    </row>
    <row r="3766" ht="14.25">
      <c r="B3766" s="4" t="s">
        <v>7198</v>
      </c>
      <c r="C3766" s="4" t="s">
        <v>27335</v>
      </c>
      <c r="D3766" s="4" t="s">
        <v>27336</v>
      </c>
      <c r="E3766" s="4" t="s">
        <v>27337</v>
      </c>
      <c r="F3766" s="4" t="str">
        <f>IFERROR(__XLUDF.DUMMYFUNCTION("PROPER(REGEXREPLACE(D171,""[^A-Za-z]+ "",""""))"),"Ijo")</f>
        <v>Ijo</v>
      </c>
      <c r="G3766" s="4" t="s">
        <v>27338</v>
      </c>
      <c r="H3766" s="4">
        <v>47</v>
      </c>
      <c r="I3766" s="4" t="s">
        <v>2602</v>
      </c>
      <c r="J3766" s="4" t="str">
        <f>IFERROR(__XLUDF.DUMMYFUNCTION("VLOOKUP(H171,IMPORTRANGE(""https://docs.google.com/spreadsheets/d/1opm6ZNvGZ7KditA9TuJwrZ25eFLfTNIkrNnY6mhV5Eg"",""list!A1:C115""),3,TRUE)"),"le secteur de la tech")</f>
        <v xml:space="preserve">le secteur de la tech</v>
      </c>
      <c r="K3766" s="5" t="s">
        <v>27339</v>
      </c>
      <c r="L3766" s="5" t="s">
        <v>27340</v>
      </c>
      <c r="M3766" s="4" t="s">
        <v>7827</v>
      </c>
      <c r="N3766" s="4" t="s">
        <v>29</v>
      </c>
      <c r="O3766" s="4" t="s">
        <v>27341</v>
      </c>
      <c r="P3766" s="4" t="s">
        <v>29</v>
      </c>
      <c r="Q3766" s="4" t="s">
        <v>27342</v>
      </c>
      <c r="R3766" s="6"/>
      <c r="S3766" s="6"/>
      <c r="T3766" s="6"/>
      <c r="U3766" s="6"/>
      <c r="V3766" s="6"/>
      <c r="W3766" s="6"/>
      <c r="X3766" s="6"/>
      <c r="Y3766" s="6"/>
      <c r="Z3766" s="6"/>
      <c r="AA3766" s="6"/>
    </row>
    <row r="3767" ht="14.25">
      <c r="B3767" s="4" t="s">
        <v>1696</v>
      </c>
      <c r="C3767" s="4" t="s">
        <v>25726</v>
      </c>
      <c r="D3767" s="4" t="s">
        <v>87</v>
      </c>
      <c r="E3767" s="4" t="s">
        <v>25727</v>
      </c>
      <c r="F3767" s="4" t="str">
        <f>IFERROR(__XLUDF.DUMMYFUNCTION("PROPER(REGEXREPLACE(D172,""[^A-Za-z]+ "",""""))"),"Citio")</f>
        <v>Citio</v>
      </c>
      <c r="G3767" s="4" t="s">
        <v>25728</v>
      </c>
      <c r="H3767" s="4">
        <v>29</v>
      </c>
      <c r="I3767" s="4" t="s">
        <v>2602</v>
      </c>
      <c r="J3767" s="4" t="str">
        <f>IFERROR(__XLUDF.DUMMYFUNCTION("VLOOKUP(H172,IMPORTRANGE(""https://docs.google.com/spreadsheets/d/1opm6ZNvGZ7KditA9TuJwrZ25eFLfTNIkrNnY6mhV5Eg"",""list!A1:C115""),3,TRUE)"),"le secteur de la tech")</f>
        <v xml:space="preserve">le secteur de la tech</v>
      </c>
      <c r="K3767" s="5" t="s">
        <v>25729</v>
      </c>
      <c r="L3767" s="5" t="s">
        <v>25730</v>
      </c>
      <c r="M3767" s="4" t="s">
        <v>39</v>
      </c>
      <c r="N3767" s="4" t="s">
        <v>29</v>
      </c>
      <c r="O3767" s="4" t="s">
        <v>25731</v>
      </c>
      <c r="P3767" s="4" t="s">
        <v>29</v>
      </c>
      <c r="Q3767" s="6"/>
      <c r="R3767" s="6"/>
      <c r="S3767" s="6"/>
      <c r="T3767" s="6"/>
      <c r="U3767" s="6"/>
      <c r="V3767" s="6"/>
      <c r="W3767" s="6"/>
      <c r="X3767" s="6"/>
      <c r="Y3767" s="6"/>
      <c r="Z3767" s="6"/>
      <c r="AA3767" s="6"/>
    </row>
    <row r="3768" ht="14.25">
      <c r="B3768" s="4" t="s">
        <v>6634</v>
      </c>
      <c r="C3768" s="4" t="s">
        <v>27343</v>
      </c>
      <c r="D3768" s="4" t="s">
        <v>27344</v>
      </c>
      <c r="E3768" s="4" t="s">
        <v>27345</v>
      </c>
      <c r="F3768" s="4" t="str">
        <f>IFERROR(__XLUDF.DUMMYFUNCTION("PROPER(REGEXREPLACE(D173,""[^A-Za-z]+ "",""""))"),"Kairntech")</f>
        <v>Kairntech</v>
      </c>
      <c r="G3768" s="4" t="s">
        <v>27346</v>
      </c>
      <c r="H3768" s="4">
        <v>10</v>
      </c>
      <c r="I3768" s="4" t="s">
        <v>2602</v>
      </c>
      <c r="J3768" s="4" t="str">
        <f>IFERROR(__XLUDF.DUMMYFUNCTION("VLOOKUP(H173,IMPORTRANGE(""https://docs.google.com/spreadsheets/d/1opm6ZNvGZ7KditA9TuJwrZ25eFLfTNIkrNnY6mhV5Eg"",""list!A1:C115""),3,TRUE)"),"le secteur de la tech")</f>
        <v xml:space="preserve">le secteur de la tech</v>
      </c>
      <c r="K3768" s="5" t="s">
        <v>27347</v>
      </c>
      <c r="L3768" s="5" t="s">
        <v>27348</v>
      </c>
      <c r="M3768" s="4" t="s">
        <v>185</v>
      </c>
      <c r="N3768" s="4" t="s">
        <v>29</v>
      </c>
      <c r="O3768" s="4" t="s">
        <v>27349</v>
      </c>
      <c r="P3768" s="4" t="s">
        <v>29</v>
      </c>
      <c r="Q3768" s="4" t="s">
        <v>27350</v>
      </c>
      <c r="R3768" s="6"/>
      <c r="S3768" s="6"/>
      <c r="T3768" s="6"/>
      <c r="U3768" s="6"/>
      <c r="V3768" s="6"/>
      <c r="W3768" s="6"/>
      <c r="X3768" s="6"/>
      <c r="Y3768" s="6"/>
      <c r="Z3768" s="6"/>
      <c r="AA3768" s="6"/>
    </row>
    <row r="3769" ht="14.25">
      <c r="B3769" s="4" t="s">
        <v>9211</v>
      </c>
      <c r="C3769" s="4" t="s">
        <v>12119</v>
      </c>
      <c r="D3769" s="4" t="s">
        <v>5480</v>
      </c>
      <c r="E3769" s="4" t="s">
        <v>27351</v>
      </c>
      <c r="F3769" s="4" t="str">
        <f>IFERROR(__XLUDF.DUMMYFUNCTION("PROPER(REGEXREPLACE(D174,""[^A-Za-z]+ "",""""))"),"Groupe Huard")</f>
        <v xml:space="preserve">Groupe Huard</v>
      </c>
      <c r="G3769" s="4" t="s">
        <v>27352</v>
      </c>
      <c r="H3769" s="4">
        <v>13</v>
      </c>
      <c r="I3769" s="4" t="s">
        <v>2602</v>
      </c>
      <c r="J3769" s="4" t="str">
        <f>IFERROR(__XLUDF.DUMMYFUNCTION("VLOOKUP(H174,IMPORTRANGE(""https://docs.google.com/spreadsheets/d/1opm6ZNvGZ7KditA9TuJwrZ25eFLfTNIkrNnY6mhV5Eg"",""list!A1:C115""),3,TRUE)"),"le secteur de la tech")</f>
        <v xml:space="preserve">le secteur de la tech</v>
      </c>
      <c r="K3769" s="5" t="s">
        <v>27353</v>
      </c>
      <c r="L3769" s="5" t="s">
        <v>27354</v>
      </c>
      <c r="M3769" s="6"/>
      <c r="N3769" s="4" t="s">
        <v>29</v>
      </c>
      <c r="O3769" s="4" t="s">
        <v>27355</v>
      </c>
      <c r="P3769" s="4" t="s">
        <v>29</v>
      </c>
      <c r="Q3769" s="4" t="s">
        <v>27356</v>
      </c>
      <c r="R3769" s="6"/>
      <c r="S3769" s="6"/>
      <c r="T3769" s="6"/>
      <c r="U3769" s="6"/>
      <c r="V3769" s="6"/>
      <c r="W3769" s="6"/>
      <c r="X3769" s="6"/>
      <c r="Y3769" s="6"/>
      <c r="Z3769" s="6"/>
      <c r="AA3769" s="6"/>
    </row>
    <row r="3770" ht="14.25">
      <c r="B3770" s="4" t="s">
        <v>17947</v>
      </c>
      <c r="C3770" s="4" t="s">
        <v>27357</v>
      </c>
      <c r="D3770" s="4" t="s">
        <v>13589</v>
      </c>
      <c r="E3770" s="4" t="s">
        <v>18353</v>
      </c>
      <c r="F3770" s="4" t="str">
        <f>IFERROR(__XLUDF.DUMMYFUNCTION("PROPER(REGEXREPLACE(D175,""[^A-Za-z]+ "",""""))"),"Presentid")</f>
        <v>Presentid</v>
      </c>
      <c r="G3770" s="4" t="s">
        <v>27358</v>
      </c>
      <c r="H3770" s="4">
        <v>11</v>
      </c>
      <c r="I3770" s="4" t="s">
        <v>2602</v>
      </c>
      <c r="J3770" s="4" t="str">
        <f>IFERROR(__XLUDF.DUMMYFUNCTION("VLOOKUP(H175,IMPORTRANGE(""https://docs.google.com/spreadsheets/d/1opm6ZNvGZ7KditA9TuJwrZ25eFLfTNIkrNnY6mhV5Eg"",""list!A1:C115""),3,TRUE)"),"le secteur de la tech")</f>
        <v xml:space="preserve">le secteur de la tech</v>
      </c>
      <c r="K3770" s="5" t="s">
        <v>27359</v>
      </c>
      <c r="L3770" s="5" t="s">
        <v>18356</v>
      </c>
      <c r="M3770" s="4" t="s">
        <v>27360</v>
      </c>
      <c r="N3770" s="4" t="s">
        <v>29</v>
      </c>
      <c r="O3770" s="4" t="s">
        <v>1158</v>
      </c>
      <c r="P3770" s="4" t="s">
        <v>29</v>
      </c>
      <c r="Q3770" s="4" t="s">
        <v>18357</v>
      </c>
      <c r="R3770" s="6"/>
      <c r="S3770" s="6"/>
      <c r="T3770" s="6"/>
      <c r="U3770" s="6"/>
      <c r="V3770" s="6"/>
      <c r="W3770" s="6"/>
      <c r="X3770" s="6"/>
      <c r="Y3770" s="6"/>
      <c r="Z3770" s="6"/>
      <c r="AA3770" s="6"/>
    </row>
    <row r="3771" ht="14.25">
      <c r="B3771" s="4" t="s">
        <v>817</v>
      </c>
      <c r="C3771" s="4" t="s">
        <v>27361</v>
      </c>
      <c r="D3771" s="4" t="s">
        <v>87</v>
      </c>
      <c r="E3771" s="4" t="s">
        <v>20160</v>
      </c>
      <c r="F3771" s="4" t="str">
        <f>IFERROR(__XLUDF.DUMMYFUNCTION("PROPER(REGEXREPLACE(D176,""[^A-Za-z]+ "",""""))"),"Epicnpoc")</f>
        <v>Epicnpoc</v>
      </c>
      <c r="G3771" s="4" t="s">
        <v>27362</v>
      </c>
      <c r="H3771" s="4">
        <v>14</v>
      </c>
      <c r="I3771" s="4" t="s">
        <v>2602</v>
      </c>
      <c r="J3771" s="4" t="str">
        <f>IFERROR(__XLUDF.DUMMYFUNCTION("VLOOKUP(H176,IMPORTRANGE(""https://docs.google.com/spreadsheets/d/1opm6ZNvGZ7KditA9TuJwrZ25eFLfTNIkrNnY6mhV5Eg"",""list!A1:C115""),3,TRUE)"),"le secteur de la tech")</f>
        <v xml:space="preserve">le secteur de la tech</v>
      </c>
      <c r="K3771" s="5" t="s">
        <v>27363</v>
      </c>
      <c r="L3771" s="5" t="s">
        <v>20163</v>
      </c>
      <c r="M3771" s="4" t="s">
        <v>39</v>
      </c>
      <c r="N3771" s="4" t="s">
        <v>29</v>
      </c>
      <c r="O3771" s="4" t="s">
        <v>20164</v>
      </c>
      <c r="P3771" s="4" t="s">
        <v>29</v>
      </c>
      <c r="Q3771" s="4" t="s">
        <v>20165</v>
      </c>
      <c r="R3771" s="6"/>
      <c r="S3771" s="6"/>
      <c r="T3771" s="6"/>
      <c r="U3771" s="6"/>
      <c r="V3771" s="6"/>
      <c r="W3771" s="6"/>
      <c r="X3771" s="6"/>
      <c r="Y3771" s="6"/>
      <c r="Z3771" s="6"/>
      <c r="AA3771" s="6"/>
    </row>
    <row r="3772" ht="14.25">
      <c r="B3772" s="4" t="s">
        <v>3967</v>
      </c>
      <c r="C3772" s="4" t="s">
        <v>27364</v>
      </c>
      <c r="D3772" s="4" t="s">
        <v>1240</v>
      </c>
      <c r="E3772" s="4" t="s">
        <v>27365</v>
      </c>
      <c r="F3772" s="4" t="str">
        <f>IFERROR(__XLUDF.DUMMYFUNCTION("PROPER(REGEXREPLACE(D177,""[^A-Za-z]+ "",""""))"),"Chift")</f>
        <v>Chift</v>
      </c>
      <c r="G3772" s="4" t="s">
        <v>27366</v>
      </c>
      <c r="H3772" s="4">
        <v>19</v>
      </c>
      <c r="I3772" s="4" t="s">
        <v>2602</v>
      </c>
      <c r="J3772" s="4" t="str">
        <f>IFERROR(__XLUDF.DUMMYFUNCTION("VLOOKUP(H177,IMPORTRANGE(""https://docs.google.com/spreadsheets/d/1opm6ZNvGZ7KditA9TuJwrZ25eFLfTNIkrNnY6mhV5Eg"",""list!A1:C115""),3,TRUE)"),"le secteur de la tech")</f>
        <v xml:space="preserve">le secteur de la tech</v>
      </c>
      <c r="K3772" s="5" t="s">
        <v>27367</v>
      </c>
      <c r="L3772" s="5" t="s">
        <v>27368</v>
      </c>
      <c r="M3772" s="4" t="s">
        <v>39</v>
      </c>
      <c r="N3772" s="4" t="s">
        <v>29</v>
      </c>
      <c r="O3772" s="4" t="s">
        <v>67</v>
      </c>
      <c r="P3772" s="4" t="s">
        <v>29</v>
      </c>
      <c r="Q3772" s="4" t="s">
        <v>27369</v>
      </c>
      <c r="R3772" s="6"/>
      <c r="S3772" s="6"/>
      <c r="T3772" s="6"/>
      <c r="U3772" s="6"/>
      <c r="V3772" s="6"/>
      <c r="W3772" s="6"/>
      <c r="X3772" s="6"/>
      <c r="Y3772" s="6"/>
      <c r="Z3772" s="6"/>
      <c r="AA3772" s="6"/>
    </row>
    <row r="3773" ht="14.25">
      <c r="B3773" s="4" t="s">
        <v>5111</v>
      </c>
      <c r="C3773" s="4" t="s">
        <v>27284</v>
      </c>
      <c r="D3773" s="4" t="s">
        <v>27370</v>
      </c>
      <c r="E3773" s="4" t="s">
        <v>27371</v>
      </c>
      <c r="F3773" s="4" t="str">
        <f>IFERROR(__XLUDF.DUMMYFUNCTION("PROPER(REGEXREPLACE(D178,""[^A-Za-z]+ "",""""))"),"Fiveforty°")</f>
        <v>Fiveforty°</v>
      </c>
      <c r="G3773" s="4" t="s">
        <v>27372</v>
      </c>
      <c r="H3773" s="4">
        <v>30</v>
      </c>
      <c r="I3773" s="4" t="s">
        <v>2602</v>
      </c>
      <c r="J3773" s="4" t="str">
        <f>IFERROR(__XLUDF.DUMMYFUNCTION("VLOOKUP(H178,IMPORTRANGE(""https://docs.google.com/spreadsheets/d/1opm6ZNvGZ7KditA9TuJwrZ25eFLfTNIkrNnY6mhV5Eg"",""list!A1:C115""),3,TRUE)"),"le secteur de la tech")</f>
        <v xml:space="preserve">le secteur de la tech</v>
      </c>
      <c r="K3773" s="5" t="s">
        <v>27373</v>
      </c>
      <c r="L3773" s="5" t="s">
        <v>24297</v>
      </c>
      <c r="M3773" s="6"/>
      <c r="N3773" s="4" t="s">
        <v>29</v>
      </c>
      <c r="O3773" s="4" t="s">
        <v>611</v>
      </c>
      <c r="P3773" s="4" t="s">
        <v>29</v>
      </c>
      <c r="Q3773" s="4" t="s">
        <v>24299</v>
      </c>
      <c r="R3773" s="6"/>
      <c r="S3773" s="6"/>
      <c r="T3773" s="6"/>
      <c r="U3773" s="6"/>
      <c r="V3773" s="6"/>
      <c r="W3773" s="6"/>
      <c r="X3773" s="6"/>
      <c r="Y3773" s="6"/>
      <c r="Z3773" s="6"/>
      <c r="AA3773" s="6"/>
    </row>
    <row r="3774" ht="14.25">
      <c r="B3774" s="4" t="s">
        <v>808</v>
      </c>
      <c r="C3774" s="4" t="s">
        <v>27374</v>
      </c>
      <c r="D3774" s="4" t="s">
        <v>5400</v>
      </c>
      <c r="E3774" s="4" t="s">
        <v>27375</v>
      </c>
      <c r="F3774" s="4" t="str">
        <f>IFERROR(__XLUDF.DUMMYFUNCTION("PROPER(REGEXREPLACE(D179,""[^A-Za-z]+ "",""""))"),"Gertrude Saem")</f>
        <v xml:space="preserve">Gertrude Saem</v>
      </c>
      <c r="G3774" s="4" t="s">
        <v>27376</v>
      </c>
      <c r="H3774" s="4">
        <v>15</v>
      </c>
      <c r="I3774" s="4" t="s">
        <v>2602</v>
      </c>
      <c r="J3774" s="4" t="str">
        <f>IFERROR(__XLUDF.DUMMYFUNCTION("VLOOKUP(H179,IMPORTRANGE(""https://docs.google.com/spreadsheets/d/1opm6ZNvGZ7KditA9TuJwrZ25eFLfTNIkrNnY6mhV5Eg"",""list!A1:C115""),3,TRUE)"),"le secteur de la tech")</f>
        <v xml:space="preserve">le secteur de la tech</v>
      </c>
      <c r="K3774" s="5" t="s">
        <v>27377</v>
      </c>
      <c r="L3774" s="5" t="s">
        <v>27378</v>
      </c>
      <c r="M3774" s="4" t="s">
        <v>243</v>
      </c>
      <c r="N3774" s="4" t="s">
        <v>29</v>
      </c>
      <c r="O3774" s="4" t="s">
        <v>27379</v>
      </c>
      <c r="P3774" s="4" t="s">
        <v>29</v>
      </c>
      <c r="Q3774" s="6"/>
      <c r="R3774" s="6"/>
      <c r="S3774" s="6"/>
      <c r="T3774" s="6"/>
      <c r="U3774" s="6"/>
      <c r="V3774" s="6"/>
      <c r="W3774" s="6"/>
      <c r="X3774" s="6"/>
      <c r="Y3774" s="6"/>
      <c r="Z3774" s="6"/>
      <c r="AA3774" s="6"/>
    </row>
    <row r="3775" ht="14.25">
      <c r="B3775" s="4" t="s">
        <v>1253</v>
      </c>
      <c r="C3775" s="4" t="s">
        <v>27380</v>
      </c>
      <c r="D3775" s="4" t="s">
        <v>27381</v>
      </c>
      <c r="E3775" s="4" t="s">
        <v>27382</v>
      </c>
      <c r="F3775" s="4" t="str">
        <f>IFERROR(__XLUDF.DUMMYFUNCTION("PROPER(REGEXREPLACE(D180,""[^A-Za-z]+ "",""""))"),"My Synergy")</f>
        <v xml:space="preserve">My Synergy</v>
      </c>
      <c r="G3775" s="4" t="s">
        <v>27383</v>
      </c>
      <c r="H3775" s="4">
        <v>19</v>
      </c>
      <c r="I3775" s="4" t="s">
        <v>2602</v>
      </c>
      <c r="J3775" s="4" t="str">
        <f>IFERROR(__XLUDF.DUMMYFUNCTION("VLOOKUP(H180,IMPORTRANGE(""https://docs.google.com/spreadsheets/d/1opm6ZNvGZ7KditA9TuJwrZ25eFLfTNIkrNnY6mhV5Eg"",""list!A1:C115""),3,TRUE)"),"le secteur de la tech")</f>
        <v xml:space="preserve">le secteur de la tech</v>
      </c>
      <c r="K3775" s="5" t="s">
        <v>27384</v>
      </c>
      <c r="L3775" s="5" t="s">
        <v>27385</v>
      </c>
      <c r="M3775" s="4" t="s">
        <v>1419</v>
      </c>
      <c r="N3775" s="4" t="s">
        <v>29</v>
      </c>
      <c r="O3775" s="4" t="s">
        <v>27386</v>
      </c>
      <c r="P3775" s="4" t="s">
        <v>3495</v>
      </c>
      <c r="Q3775" s="6"/>
      <c r="R3775" s="6"/>
      <c r="S3775" s="6"/>
      <c r="T3775" s="6"/>
      <c r="U3775" s="6"/>
      <c r="V3775" s="6"/>
      <c r="W3775" s="6"/>
      <c r="X3775" s="6"/>
      <c r="Y3775" s="6"/>
      <c r="Z3775" s="6"/>
      <c r="AA3775" s="6"/>
    </row>
    <row r="3776" ht="14.25">
      <c r="B3776" s="4" t="s">
        <v>76</v>
      </c>
      <c r="C3776" s="4" t="s">
        <v>27387</v>
      </c>
      <c r="D3776" s="4" t="s">
        <v>27388</v>
      </c>
      <c r="E3776" s="4" t="s">
        <v>27389</v>
      </c>
      <c r="F3776" s="4" t="str">
        <f>IFERROR(__XLUDF.DUMMYFUNCTION("PROPER(REGEXREPLACE(D181,""[^A-Za-z]+ "",""""))"),"Logipren")</f>
        <v>Logipren</v>
      </c>
      <c r="G3776" s="4" t="s">
        <v>27390</v>
      </c>
      <c r="H3776" s="4">
        <v>41</v>
      </c>
      <c r="I3776" s="4" t="s">
        <v>2602</v>
      </c>
      <c r="J3776" s="4" t="str">
        <f>IFERROR(__XLUDF.DUMMYFUNCTION("VLOOKUP(H181,IMPORTRANGE(""https://docs.google.com/spreadsheets/d/1opm6ZNvGZ7KditA9TuJwrZ25eFLfTNIkrNnY6mhV5Eg"",""list!A1:C115""),3,TRUE)"),"le secteur de la tech")</f>
        <v xml:space="preserve">le secteur de la tech</v>
      </c>
      <c r="K3776" s="5" t="s">
        <v>27391</v>
      </c>
      <c r="L3776" s="5" t="s">
        <v>27392</v>
      </c>
      <c r="M3776" s="6"/>
      <c r="N3776" s="4" t="s">
        <v>29</v>
      </c>
      <c r="O3776" s="4" t="s">
        <v>27393</v>
      </c>
      <c r="P3776" s="4" t="s">
        <v>15884</v>
      </c>
      <c r="Q3776" s="4" t="s">
        <v>27394</v>
      </c>
      <c r="R3776" s="6"/>
      <c r="S3776" s="6"/>
      <c r="T3776" s="6"/>
      <c r="U3776" s="6"/>
      <c r="V3776" s="6"/>
      <c r="W3776" s="6"/>
      <c r="X3776" s="6"/>
      <c r="Y3776" s="6"/>
      <c r="Z3776" s="6"/>
      <c r="AA3776" s="6"/>
    </row>
    <row r="3777" ht="14.25">
      <c r="B3777" s="4" t="s">
        <v>948</v>
      </c>
      <c r="C3777" s="4" t="s">
        <v>16833</v>
      </c>
      <c r="D3777" s="4" t="s">
        <v>27395</v>
      </c>
      <c r="E3777" s="4" t="s">
        <v>23073</v>
      </c>
      <c r="F3777" s="4" t="str">
        <f>IFERROR(__XLUDF.DUMMYFUNCTION("PROPER(REGEXREPLACE(D182,""[^A-Za-z]+ "",""""))"),"Spix Industry")</f>
        <v xml:space="preserve">Spix Industry</v>
      </c>
      <c r="G3777" s="4" t="s">
        <v>27396</v>
      </c>
      <c r="H3777" s="4">
        <v>13</v>
      </c>
      <c r="I3777" s="4" t="s">
        <v>2602</v>
      </c>
      <c r="J3777" s="4" t="str">
        <f>IFERROR(__XLUDF.DUMMYFUNCTION("VLOOKUP(H182,IMPORTRANGE(""https://docs.google.com/spreadsheets/d/1opm6ZNvGZ7KditA9TuJwrZ25eFLfTNIkrNnY6mhV5Eg"",""list!A1:C115""),3,TRUE)"),"le secteur de la tech")</f>
        <v xml:space="preserve">le secteur de la tech</v>
      </c>
      <c r="K3777" s="5" t="s">
        <v>27397</v>
      </c>
      <c r="L3777" s="5" t="s">
        <v>23076</v>
      </c>
      <c r="M3777" s="4" t="s">
        <v>83</v>
      </c>
      <c r="N3777" s="4" t="s">
        <v>29</v>
      </c>
      <c r="O3777" s="4" t="s">
        <v>23077</v>
      </c>
      <c r="P3777" s="4" t="s">
        <v>29</v>
      </c>
      <c r="Q3777" s="4" t="s">
        <v>23078</v>
      </c>
      <c r="R3777" s="6"/>
      <c r="S3777" s="6"/>
      <c r="T3777" s="6"/>
      <c r="U3777" s="6"/>
      <c r="V3777" s="6"/>
      <c r="W3777" s="6"/>
      <c r="X3777" s="6"/>
      <c r="Y3777" s="6"/>
      <c r="Z3777" s="6"/>
      <c r="AA3777" s="6"/>
    </row>
    <row r="3778" ht="14.25">
      <c r="B3778" s="4" t="s">
        <v>20</v>
      </c>
      <c r="C3778" s="4" t="s">
        <v>27398</v>
      </c>
      <c r="D3778" s="4" t="s">
        <v>27399</v>
      </c>
      <c r="E3778" s="4" t="s">
        <v>18215</v>
      </c>
      <c r="F3778" s="4" t="str">
        <f>IFERROR(__XLUDF.DUMMYFUNCTION("PROPER(REGEXREPLACE(D183,""[^A-Za-z]+ "",""""))"),"Origin")</f>
        <v>Origin</v>
      </c>
      <c r="G3778" s="4" t="s">
        <v>27400</v>
      </c>
      <c r="H3778" s="4">
        <v>10</v>
      </c>
      <c r="I3778" s="4" t="s">
        <v>2602</v>
      </c>
      <c r="J3778" s="4" t="str">
        <f>IFERROR(__XLUDF.DUMMYFUNCTION("VLOOKUP(H183,IMPORTRANGE(""https://docs.google.com/spreadsheets/d/1opm6ZNvGZ7KditA9TuJwrZ25eFLfTNIkrNnY6mhV5Eg"",""list!A1:C115""),3,TRUE)"),"le secteur de la tech")</f>
        <v xml:space="preserve">le secteur de la tech</v>
      </c>
      <c r="K3778" s="5" t="s">
        <v>27401</v>
      </c>
      <c r="L3778" s="5" t="s">
        <v>18218</v>
      </c>
      <c r="M3778" s="4" t="s">
        <v>39</v>
      </c>
      <c r="N3778" s="4" t="s">
        <v>29</v>
      </c>
      <c r="O3778" s="4" t="s">
        <v>18219</v>
      </c>
      <c r="P3778" s="4" t="s">
        <v>29</v>
      </c>
      <c r="Q3778" s="4" t="s">
        <v>18220</v>
      </c>
      <c r="R3778" s="6"/>
      <c r="S3778" s="6"/>
      <c r="T3778" s="6"/>
      <c r="U3778" s="6"/>
      <c r="V3778" s="6"/>
      <c r="W3778" s="6"/>
      <c r="X3778" s="6"/>
      <c r="Y3778" s="6"/>
      <c r="Z3778" s="6"/>
      <c r="AA3778" s="6"/>
    </row>
    <row r="3779" ht="14.25">
      <c r="B3779" s="4" t="s">
        <v>27402</v>
      </c>
      <c r="C3779" s="4" t="s">
        <v>27403</v>
      </c>
      <c r="D3779" s="4" t="s">
        <v>27404</v>
      </c>
      <c r="E3779" s="4" t="s">
        <v>27405</v>
      </c>
      <c r="F3779" s="4" t="str">
        <f>IFERROR(__XLUDF.DUMMYFUNCTION("PROPER(REGEXREPLACE(D184,""[^A-Za-z]+ "",""""))"),"Cloudspirit By Coexya")</f>
        <v xml:space="preserve">Cloudspirit By Coexya</v>
      </c>
      <c r="G3779" s="4" t="s">
        <v>27406</v>
      </c>
      <c r="H3779" s="4">
        <v>35</v>
      </c>
      <c r="I3779" s="4" t="s">
        <v>2602</v>
      </c>
      <c r="J3779" s="4" t="str">
        <f>IFERROR(__XLUDF.DUMMYFUNCTION("VLOOKUP(H184,IMPORTRANGE(""https://docs.google.com/spreadsheets/d/1opm6ZNvGZ7KditA9TuJwrZ25eFLfTNIkrNnY6mhV5Eg"",""list!A1:C115""),3,TRUE)"),"le secteur de la tech")</f>
        <v xml:space="preserve">le secteur de la tech</v>
      </c>
      <c r="K3779" s="5" t="s">
        <v>27407</v>
      </c>
      <c r="L3779" s="5" t="s">
        <v>24948</v>
      </c>
      <c r="M3779" s="4" t="s">
        <v>39</v>
      </c>
      <c r="N3779" s="4" t="s">
        <v>29</v>
      </c>
      <c r="O3779" s="4" t="s">
        <v>20324</v>
      </c>
      <c r="P3779" s="4" t="s">
        <v>29</v>
      </c>
      <c r="Q3779" s="6"/>
      <c r="R3779" s="6"/>
      <c r="S3779" s="6"/>
      <c r="T3779" s="6"/>
      <c r="U3779" s="6"/>
      <c r="V3779" s="6"/>
      <c r="W3779" s="6"/>
      <c r="X3779" s="6"/>
      <c r="Y3779" s="6"/>
      <c r="Z3779" s="6"/>
      <c r="AA3779" s="6"/>
    </row>
    <row r="3780" ht="14.25">
      <c r="B3780" s="4" t="s">
        <v>8995</v>
      </c>
      <c r="C3780" s="4" t="s">
        <v>27408</v>
      </c>
      <c r="D3780" s="4" t="s">
        <v>27409</v>
      </c>
      <c r="E3780" s="4" t="s">
        <v>27410</v>
      </c>
      <c r="F3780" s="4" t="str">
        <f>IFERROR(__XLUDF.DUMMYFUNCTION("PROPER(REGEXREPLACE(D185,""[^A-Za-z]+ "",""""))"),"Adobis Group")</f>
        <v xml:space="preserve">Adobis Group</v>
      </c>
      <c r="G3780" s="4" t="s">
        <v>27411</v>
      </c>
      <c r="H3780" s="4">
        <v>16</v>
      </c>
      <c r="I3780" s="4" t="s">
        <v>2602</v>
      </c>
      <c r="J3780" s="4" t="str">
        <f>IFERROR(__XLUDF.DUMMYFUNCTION("VLOOKUP(H185,IMPORTRANGE(""https://docs.google.com/spreadsheets/d/1opm6ZNvGZ7KditA9TuJwrZ25eFLfTNIkrNnY6mhV5Eg"",""list!A1:C115""),3,TRUE)"),"le secteur de la tech")</f>
        <v xml:space="preserve">le secteur de la tech</v>
      </c>
      <c r="K3780" s="5" t="s">
        <v>27412</v>
      </c>
      <c r="L3780" s="5" t="s">
        <v>27413</v>
      </c>
      <c r="M3780" s="4" t="s">
        <v>1507</v>
      </c>
      <c r="N3780" s="4" t="s">
        <v>29</v>
      </c>
      <c r="O3780" s="4" t="s">
        <v>27414</v>
      </c>
      <c r="P3780" s="4" t="s">
        <v>29</v>
      </c>
      <c r="Q3780" s="4" t="s">
        <v>27415</v>
      </c>
      <c r="R3780" s="6"/>
      <c r="S3780" s="6"/>
      <c r="T3780" s="6"/>
      <c r="U3780" s="6"/>
      <c r="V3780" s="6"/>
      <c r="W3780" s="6"/>
      <c r="X3780" s="6"/>
      <c r="Y3780" s="6"/>
      <c r="Z3780" s="6"/>
      <c r="AA3780" s="6"/>
    </row>
    <row r="3781" ht="14.25">
      <c r="B3781" s="4" t="s">
        <v>6634</v>
      </c>
      <c r="C3781" s="4" t="s">
        <v>27416</v>
      </c>
      <c r="D3781" s="4" t="s">
        <v>172</v>
      </c>
      <c r="E3781" s="4" t="s">
        <v>27417</v>
      </c>
      <c r="F3781" s="4" t="str">
        <f>IFERROR(__XLUDF.DUMMYFUNCTION("PROPER(REGEXREPLACE(D186,""[^A-Za-z]+ "",""""))"),"Cis Consulting")</f>
        <v xml:space="preserve">Cis Consulting</v>
      </c>
      <c r="G3781" s="4" t="s">
        <v>27418</v>
      </c>
      <c r="H3781" s="4">
        <v>13</v>
      </c>
      <c r="I3781" s="4" t="s">
        <v>2602</v>
      </c>
      <c r="J3781" s="4" t="str">
        <f>IFERROR(__XLUDF.DUMMYFUNCTION("VLOOKUP(H186,IMPORTRANGE(""https://docs.google.com/spreadsheets/d/1opm6ZNvGZ7KditA9TuJwrZ25eFLfTNIkrNnY6mhV5Eg"",""list!A1:C115""),3,TRUE)"),"le secteur de la tech")</f>
        <v xml:space="preserve">le secteur de la tech</v>
      </c>
      <c r="K3781" s="5" t="s">
        <v>27419</v>
      </c>
      <c r="L3781" s="5" t="s">
        <v>27420</v>
      </c>
      <c r="M3781" s="4" t="s">
        <v>6603</v>
      </c>
      <c r="N3781" s="4" t="s">
        <v>29</v>
      </c>
      <c r="O3781" s="4" t="s">
        <v>27421</v>
      </c>
      <c r="P3781" s="4" t="s">
        <v>29</v>
      </c>
      <c r="Q3781" s="4" t="s">
        <v>27422</v>
      </c>
      <c r="R3781" s="6"/>
      <c r="S3781" s="6"/>
      <c r="T3781" s="6"/>
      <c r="U3781" s="6"/>
      <c r="V3781" s="6"/>
      <c r="W3781" s="6"/>
      <c r="X3781" s="6"/>
      <c r="Y3781" s="6"/>
      <c r="Z3781" s="6"/>
      <c r="AA3781" s="6"/>
    </row>
    <row r="3782" ht="14.25">
      <c r="B3782" s="4" t="s">
        <v>20</v>
      </c>
      <c r="C3782" s="4" t="s">
        <v>27423</v>
      </c>
      <c r="D3782" s="4" t="s">
        <v>62</v>
      </c>
      <c r="E3782" s="4" t="s">
        <v>25996</v>
      </c>
      <c r="F3782" s="4" t="str">
        <f>IFERROR(__XLUDF.DUMMYFUNCTION("PROPER(REGEXREPLACE(D187,""[^A-Za-z]+ "",""""))"),"Railwai")</f>
        <v>Railwai</v>
      </c>
      <c r="G3782" s="4" t="s">
        <v>27424</v>
      </c>
      <c r="H3782" s="4">
        <v>13</v>
      </c>
      <c r="I3782" s="4" t="s">
        <v>2602</v>
      </c>
      <c r="J3782" s="4" t="str">
        <f>IFERROR(__XLUDF.DUMMYFUNCTION("VLOOKUP(H187,IMPORTRANGE(""https://docs.google.com/spreadsheets/d/1opm6ZNvGZ7KditA9TuJwrZ25eFLfTNIkrNnY6mhV5Eg"",""list!A1:C115""),3,TRUE)"),"le secteur de la tech")</f>
        <v xml:space="preserve">le secteur de la tech</v>
      </c>
      <c r="K3782" s="5" t="s">
        <v>27425</v>
      </c>
      <c r="L3782" s="5" t="s">
        <v>25999</v>
      </c>
      <c r="M3782" s="4" t="s">
        <v>716</v>
      </c>
      <c r="N3782" s="4" t="s">
        <v>29</v>
      </c>
      <c r="O3782" s="4" t="s">
        <v>22691</v>
      </c>
      <c r="P3782" s="4" t="s">
        <v>29</v>
      </c>
      <c r="Q3782" s="4" t="s">
        <v>26000</v>
      </c>
      <c r="R3782" s="6"/>
      <c r="S3782" s="6"/>
      <c r="T3782" s="6"/>
      <c r="U3782" s="6"/>
      <c r="V3782" s="6"/>
      <c r="W3782" s="6"/>
      <c r="X3782" s="6"/>
      <c r="Y3782" s="6"/>
      <c r="Z3782" s="6"/>
      <c r="AA3782" s="6"/>
    </row>
    <row r="3783" ht="14.25">
      <c r="B3783" s="4" t="s">
        <v>245</v>
      </c>
      <c r="C3783" s="4" t="s">
        <v>17452</v>
      </c>
      <c r="D3783" s="4" t="s">
        <v>62</v>
      </c>
      <c r="E3783" s="4" t="s">
        <v>27426</v>
      </c>
      <c r="F3783" s="4" t="str">
        <f>IFERROR(__XLUDF.DUMMYFUNCTION("PROPER(REGEXREPLACE(D188,""[^A-Za-z]+ "",""""))"),"Kakarot Zkevm")</f>
        <v xml:space="preserve">Kakarot Zkevm</v>
      </c>
      <c r="G3783" s="4" t="s">
        <v>27427</v>
      </c>
      <c r="H3783" s="4">
        <v>16</v>
      </c>
      <c r="I3783" s="4" t="s">
        <v>2602</v>
      </c>
      <c r="J3783" s="4" t="str">
        <f>IFERROR(__XLUDF.DUMMYFUNCTION("VLOOKUP(H188,IMPORTRANGE(""https://docs.google.com/spreadsheets/d/1opm6ZNvGZ7KditA9TuJwrZ25eFLfTNIkrNnY6mhV5Eg"",""list!A1:C115""),3,TRUE)"),"le secteur de la tech")</f>
        <v xml:space="preserve">le secteur de la tech</v>
      </c>
      <c r="K3783" s="5" t="s">
        <v>27428</v>
      </c>
      <c r="L3783" s="5" t="s">
        <v>27429</v>
      </c>
      <c r="M3783" s="4" t="s">
        <v>39</v>
      </c>
      <c r="N3783" s="4" t="s">
        <v>29</v>
      </c>
      <c r="O3783" s="4" t="s">
        <v>67</v>
      </c>
      <c r="P3783" s="4" t="s">
        <v>29</v>
      </c>
      <c r="Q3783" s="6"/>
      <c r="R3783" s="6"/>
      <c r="S3783" s="6"/>
      <c r="T3783" s="6"/>
      <c r="U3783" s="6"/>
      <c r="V3783" s="6"/>
      <c r="W3783" s="6"/>
      <c r="X3783" s="6"/>
      <c r="Y3783" s="6"/>
      <c r="Z3783" s="6"/>
      <c r="AA3783" s="6"/>
    </row>
    <row r="3784" ht="14.25">
      <c r="B3784" s="4" t="s">
        <v>5001</v>
      </c>
      <c r="C3784" s="4" t="s">
        <v>27430</v>
      </c>
      <c r="D3784" s="4" t="s">
        <v>54</v>
      </c>
      <c r="E3784" s="4" t="s">
        <v>27431</v>
      </c>
      <c r="F3784" s="4" t="str">
        <f>IFERROR(__XLUDF.DUMMYFUNCTION("PROPER(REGEXREPLACE(D189,""[^A-Za-z]+ "",""""))"),"Artdesignstoryconnectedfanarzone")</f>
        <v>Artdesignstoryconnectedfanarzone</v>
      </c>
      <c r="G3784" s="4" t="s">
        <v>27432</v>
      </c>
      <c r="H3784" s="4">
        <v>24</v>
      </c>
      <c r="I3784" s="4" t="s">
        <v>2602</v>
      </c>
      <c r="J3784" s="4" t="str">
        <f>IFERROR(__XLUDF.DUMMYFUNCTION("VLOOKUP(H189,IMPORTRANGE(""https://docs.google.com/spreadsheets/d/1opm6ZNvGZ7KditA9TuJwrZ25eFLfTNIkrNnY6mhV5Eg"",""list!A1:C115""),3,TRUE)"),"le secteur de la tech")</f>
        <v xml:space="preserve">le secteur de la tech</v>
      </c>
      <c r="K3784" s="5" t="s">
        <v>27433</v>
      </c>
      <c r="L3784" s="5" t="s">
        <v>27434</v>
      </c>
      <c r="M3784" s="4" t="s">
        <v>1711</v>
      </c>
      <c r="N3784" s="4" t="s">
        <v>29</v>
      </c>
      <c r="O3784" s="4" t="s">
        <v>27435</v>
      </c>
      <c r="P3784" s="4" t="s">
        <v>29</v>
      </c>
      <c r="Q3784" s="6"/>
      <c r="R3784" s="6"/>
      <c r="S3784" s="6"/>
      <c r="T3784" s="6"/>
      <c r="U3784" s="6"/>
      <c r="V3784" s="6"/>
      <c r="W3784" s="6"/>
      <c r="X3784" s="6"/>
      <c r="Y3784" s="6"/>
      <c r="Z3784" s="6"/>
      <c r="AA3784" s="6"/>
    </row>
    <row r="3785" ht="14.25">
      <c r="B3785" s="4" t="s">
        <v>110</v>
      </c>
      <c r="C3785" s="4" t="s">
        <v>27436</v>
      </c>
      <c r="D3785" s="4" t="s">
        <v>62</v>
      </c>
      <c r="E3785" s="4" t="s">
        <v>27437</v>
      </c>
      <c r="F3785" s="4" t="str">
        <f>IFERROR(__XLUDF.DUMMYFUNCTION("PROPER(REGEXREPLACE(D190,""[^A-Za-z]+ "",""""))"),"Code Busters")</f>
        <v xml:space="preserve">Code Busters</v>
      </c>
      <c r="G3785" s="4" t="s">
        <v>27438</v>
      </c>
      <c r="H3785" s="4">
        <v>46</v>
      </c>
      <c r="I3785" s="4" t="s">
        <v>2602</v>
      </c>
      <c r="J3785" s="4" t="str">
        <f>IFERROR(__XLUDF.DUMMYFUNCTION("VLOOKUP(H190,IMPORTRANGE(""https://docs.google.com/spreadsheets/d/1opm6ZNvGZ7KditA9TuJwrZ25eFLfTNIkrNnY6mhV5Eg"",""list!A1:C115""),3,TRUE)"),"le secteur de la tech")</f>
        <v xml:space="preserve">le secteur de la tech</v>
      </c>
      <c r="K3785" s="5" t="s">
        <v>27439</v>
      </c>
      <c r="L3785" s="5" t="s">
        <v>27440</v>
      </c>
      <c r="M3785" s="4" t="s">
        <v>39</v>
      </c>
      <c r="N3785" s="4" t="s">
        <v>29</v>
      </c>
      <c r="O3785" s="4" t="s">
        <v>4649</v>
      </c>
      <c r="P3785" s="4" t="s">
        <v>29</v>
      </c>
      <c r="Q3785" s="6"/>
      <c r="R3785" s="6"/>
      <c r="S3785" s="6"/>
      <c r="T3785" s="6"/>
      <c r="U3785" s="6"/>
      <c r="V3785" s="6"/>
      <c r="W3785" s="6"/>
      <c r="X3785" s="6"/>
      <c r="Y3785" s="6"/>
      <c r="Z3785" s="6"/>
      <c r="AA3785" s="6"/>
    </row>
    <row r="3786" ht="14.25">
      <c r="B3786" s="4" t="s">
        <v>931</v>
      </c>
      <c r="C3786" s="4" t="s">
        <v>27441</v>
      </c>
      <c r="D3786" s="4" t="s">
        <v>20927</v>
      </c>
      <c r="E3786" s="4" t="s">
        <v>27442</v>
      </c>
      <c r="F3786" s="4" t="str">
        <f>IFERROR(__XLUDF.DUMMYFUNCTION("PROPER(REGEXREPLACE(D191,""[^A-Za-z]+ "",""""))"),"Nulia")</f>
        <v>Nulia</v>
      </c>
      <c r="G3786" s="4" t="s">
        <v>27443</v>
      </c>
      <c r="H3786" s="4">
        <v>18</v>
      </c>
      <c r="I3786" s="4" t="s">
        <v>2602</v>
      </c>
      <c r="J3786" s="4" t="str">
        <f>IFERROR(__XLUDF.DUMMYFUNCTION("VLOOKUP(H191,IMPORTRANGE(""https://docs.google.com/spreadsheets/d/1opm6ZNvGZ7KditA9TuJwrZ25eFLfTNIkrNnY6mhV5Eg"",""list!A1:C115""),3,TRUE)"),"le secteur de la tech")</f>
        <v xml:space="preserve">le secteur de la tech</v>
      </c>
      <c r="K3786" s="5" t="s">
        <v>27444</v>
      </c>
      <c r="L3786" s="5" t="s">
        <v>27445</v>
      </c>
      <c r="M3786" s="4" t="s">
        <v>1015</v>
      </c>
      <c r="N3786" s="4" t="s">
        <v>29</v>
      </c>
      <c r="O3786" s="4" t="s">
        <v>27446</v>
      </c>
      <c r="P3786" s="4" t="s">
        <v>1261</v>
      </c>
      <c r="Q3786" s="6"/>
      <c r="R3786" s="6"/>
      <c r="S3786" s="6"/>
      <c r="T3786" s="6"/>
      <c r="U3786" s="6"/>
      <c r="V3786" s="6"/>
      <c r="W3786" s="6"/>
      <c r="X3786" s="6"/>
      <c r="Y3786" s="6"/>
      <c r="Z3786" s="6"/>
      <c r="AA3786" s="6"/>
    </row>
    <row r="3787" ht="14.25">
      <c r="B3787" s="4" t="s">
        <v>2398</v>
      </c>
      <c r="C3787" s="4" t="s">
        <v>27447</v>
      </c>
      <c r="D3787" s="4" t="s">
        <v>27448</v>
      </c>
      <c r="E3787" s="4" t="s">
        <v>27449</v>
      </c>
      <c r="F3787" s="4" t="str">
        <f>IFERROR(__XLUDF.DUMMYFUNCTION("PROPER(REGEXREPLACE(D192,""[^A-Za-z]+ "",""""))"),"Wink")</f>
        <v>Wink</v>
      </c>
      <c r="G3787" s="4" t="s">
        <v>27450</v>
      </c>
      <c r="H3787" s="4">
        <v>23</v>
      </c>
      <c r="I3787" s="4" t="s">
        <v>2602</v>
      </c>
      <c r="J3787" s="4" t="str">
        <f>IFERROR(__XLUDF.DUMMYFUNCTION("VLOOKUP(H192,IMPORTRANGE(""https://docs.google.com/spreadsheets/d/1opm6ZNvGZ7KditA9TuJwrZ25eFLfTNIkrNnY6mhV5Eg"",""list!A1:C115""),3,TRUE)"),"le secteur de la tech")</f>
        <v xml:space="preserve">le secteur de la tech</v>
      </c>
      <c r="K3787" s="5" t="s">
        <v>27451</v>
      </c>
      <c r="L3787" s="5" t="s">
        <v>27452</v>
      </c>
      <c r="M3787" s="6"/>
      <c r="N3787" s="4" t="s">
        <v>29</v>
      </c>
      <c r="O3787" s="4" t="s">
        <v>1084</v>
      </c>
      <c r="P3787" s="4" t="s">
        <v>29</v>
      </c>
      <c r="Q3787" s="4" t="s">
        <v>27453</v>
      </c>
      <c r="R3787" s="6"/>
      <c r="S3787" s="6"/>
      <c r="T3787" s="6"/>
      <c r="U3787" s="6"/>
      <c r="V3787" s="6"/>
      <c r="W3787" s="6"/>
      <c r="X3787" s="6"/>
      <c r="Y3787" s="6"/>
      <c r="Z3787" s="6"/>
      <c r="AA3787" s="6"/>
    </row>
    <row r="3788" ht="14.25">
      <c r="B3788" s="4" t="s">
        <v>4115</v>
      </c>
      <c r="C3788" s="4" t="s">
        <v>27454</v>
      </c>
      <c r="D3788" s="4" t="s">
        <v>87</v>
      </c>
      <c r="E3788" s="4" t="s">
        <v>27455</v>
      </c>
      <c r="F3788" s="4" t="str">
        <f>IFERROR(__XLUDF.DUMMYFUNCTION("PROPER(REGEXREPLACE(D193,""[^A-Za-z]+ "",""""))"),"Jd Conseil")</f>
        <v xml:space="preserve">Jd Conseil</v>
      </c>
      <c r="G3788" s="4" t="s">
        <v>27456</v>
      </c>
      <c r="H3788" s="4">
        <v>13</v>
      </c>
      <c r="I3788" s="4" t="s">
        <v>2602</v>
      </c>
      <c r="J3788" s="4" t="str">
        <f>IFERROR(__XLUDF.DUMMYFUNCTION("VLOOKUP(H193,IMPORTRANGE(""https://docs.google.com/spreadsheets/d/1opm6ZNvGZ7KditA9TuJwrZ25eFLfTNIkrNnY6mhV5Eg"",""list!A1:C115""),3,TRUE)"),"le secteur de la tech")</f>
        <v xml:space="preserve">le secteur de la tech</v>
      </c>
      <c r="K3788" s="5" t="s">
        <v>27457</v>
      </c>
      <c r="L3788" s="5" t="s">
        <v>27458</v>
      </c>
      <c r="M3788" s="4" t="s">
        <v>39</v>
      </c>
      <c r="N3788" s="4" t="s">
        <v>29</v>
      </c>
      <c r="O3788" s="4" t="s">
        <v>67</v>
      </c>
      <c r="P3788" s="4" t="s">
        <v>29</v>
      </c>
      <c r="Q3788" s="4" t="s">
        <v>27459</v>
      </c>
      <c r="R3788" s="6"/>
      <c r="S3788" s="6"/>
      <c r="T3788" s="6"/>
      <c r="U3788" s="6"/>
      <c r="V3788" s="6"/>
      <c r="W3788" s="6"/>
      <c r="X3788" s="6"/>
      <c r="Y3788" s="6"/>
      <c r="Z3788" s="6"/>
      <c r="AA3788" s="6"/>
    </row>
    <row r="3789" ht="14.25">
      <c r="B3789" s="4" t="s">
        <v>27460</v>
      </c>
      <c r="C3789" s="4" t="s">
        <v>27461</v>
      </c>
      <c r="D3789" s="4" t="s">
        <v>172</v>
      </c>
      <c r="E3789" s="4" t="s">
        <v>27462</v>
      </c>
      <c r="F3789" s="4" t="str">
        <f>IFERROR(__XLUDF.DUMMYFUNCTION("PROPER(REGEXREPLACE(D194,""[^A-Za-z]+ "",""""))"),"Cilea Softwareservices")</f>
        <v xml:space="preserve">Cilea Softwareservices</v>
      </c>
      <c r="G3789" s="4" t="s">
        <v>27463</v>
      </c>
      <c r="H3789" s="4">
        <v>43</v>
      </c>
      <c r="I3789" s="4" t="s">
        <v>2602</v>
      </c>
      <c r="J3789" s="4" t="str">
        <f>IFERROR(__XLUDF.DUMMYFUNCTION("VLOOKUP(H194,IMPORTRANGE(""https://docs.google.com/spreadsheets/d/1opm6ZNvGZ7KditA9TuJwrZ25eFLfTNIkrNnY6mhV5Eg"",""list!A1:C115""),3,TRUE)"),"le secteur de la tech")</f>
        <v xml:space="preserve">le secteur de la tech</v>
      </c>
      <c r="K3789" s="5" t="s">
        <v>27464</v>
      </c>
      <c r="L3789" s="5" t="s">
        <v>27465</v>
      </c>
      <c r="M3789" s="4" t="s">
        <v>17537</v>
      </c>
      <c r="N3789" s="4" t="s">
        <v>29</v>
      </c>
      <c r="O3789" s="4" t="s">
        <v>27466</v>
      </c>
      <c r="P3789" s="4" t="s">
        <v>29</v>
      </c>
      <c r="Q3789" s="6"/>
      <c r="R3789" s="6"/>
      <c r="S3789" s="6"/>
      <c r="T3789" s="6"/>
      <c r="U3789" s="6"/>
      <c r="V3789" s="6"/>
      <c r="W3789" s="6"/>
      <c r="X3789" s="6"/>
      <c r="Y3789" s="6"/>
      <c r="Z3789" s="6"/>
      <c r="AA3789" s="6"/>
    </row>
    <row r="3790" ht="14.25">
      <c r="B3790" s="4" t="s">
        <v>1153</v>
      </c>
      <c r="C3790" s="4" t="s">
        <v>27467</v>
      </c>
      <c r="D3790" s="4" t="s">
        <v>230</v>
      </c>
      <c r="E3790" s="4" t="s">
        <v>27468</v>
      </c>
      <c r="F3790" s="4" t="str">
        <f>IFERROR(__XLUDF.DUMMYFUNCTION("PROPER(REGEXREPLACE(D195,""[^A-Za-z]+ "",""""))"),"Limseo")</f>
        <v>Limseo</v>
      </c>
      <c r="G3790" s="4" t="s">
        <v>27469</v>
      </c>
      <c r="H3790" s="4">
        <v>14</v>
      </c>
      <c r="I3790" s="4" t="s">
        <v>2602</v>
      </c>
      <c r="J3790" s="4" t="str">
        <f>IFERROR(__XLUDF.DUMMYFUNCTION("VLOOKUP(H195,IMPORTRANGE(""https://docs.google.com/spreadsheets/d/1opm6ZNvGZ7KditA9TuJwrZ25eFLfTNIkrNnY6mhV5Eg"",""list!A1:C115""),3,TRUE)"),"le secteur de la tech")</f>
        <v xml:space="preserve">le secteur de la tech</v>
      </c>
      <c r="K3790" s="5" t="s">
        <v>27470</v>
      </c>
      <c r="L3790" s="5" t="s">
        <v>27471</v>
      </c>
      <c r="M3790" s="6"/>
      <c r="N3790" s="4" t="s">
        <v>29</v>
      </c>
      <c r="O3790" s="4" t="s">
        <v>27472</v>
      </c>
      <c r="P3790" s="4" t="s">
        <v>29</v>
      </c>
      <c r="Q3790" s="4" t="s">
        <v>27473</v>
      </c>
      <c r="R3790" s="6"/>
      <c r="S3790" s="6"/>
      <c r="T3790" s="6"/>
      <c r="U3790" s="6"/>
      <c r="V3790" s="6"/>
      <c r="W3790" s="6"/>
      <c r="X3790" s="6"/>
      <c r="Y3790" s="6"/>
      <c r="Z3790" s="6"/>
      <c r="AA3790" s="6"/>
    </row>
    <row r="3791" ht="14.25">
      <c r="B3791" s="4" t="s">
        <v>19554</v>
      </c>
      <c r="C3791" s="4" t="s">
        <v>27474</v>
      </c>
      <c r="D3791" s="4" t="s">
        <v>62</v>
      </c>
      <c r="E3791" s="4" t="s">
        <v>27475</v>
      </c>
      <c r="F3791" s="4" t="str">
        <f>IFERROR(__XLUDF.DUMMYFUNCTION("PROPER(REGEXREPLACE(D196,""[^A-Za-z]+ "",""""))"),"Optimi")</f>
        <v>Optimi</v>
      </c>
      <c r="G3791" s="4" t="s">
        <v>27476</v>
      </c>
      <c r="H3791" s="4">
        <v>12</v>
      </c>
      <c r="I3791" s="4" t="s">
        <v>2602</v>
      </c>
      <c r="J3791" s="4" t="str">
        <f>IFERROR(__XLUDF.DUMMYFUNCTION("VLOOKUP(H196,IMPORTRANGE(""https://docs.google.com/spreadsheets/d/1opm6ZNvGZ7KditA9TuJwrZ25eFLfTNIkrNnY6mhV5Eg"",""list!A1:C115""),3,TRUE)"),"le secteur de la tech")</f>
        <v xml:space="preserve">le secteur de la tech</v>
      </c>
      <c r="K3791" s="5" t="s">
        <v>27477</v>
      </c>
      <c r="L3791" s="5" t="s">
        <v>27478</v>
      </c>
      <c r="M3791" s="4" t="s">
        <v>39</v>
      </c>
      <c r="N3791" s="4" t="s">
        <v>29</v>
      </c>
      <c r="O3791" s="4" t="s">
        <v>67</v>
      </c>
      <c r="P3791" s="4" t="s">
        <v>29</v>
      </c>
      <c r="Q3791" s="6"/>
      <c r="R3791" s="6"/>
      <c r="S3791" s="6"/>
      <c r="T3791" s="6"/>
      <c r="U3791" s="6"/>
      <c r="V3791" s="6"/>
      <c r="W3791" s="6"/>
      <c r="X3791" s="6"/>
      <c r="Y3791" s="6"/>
      <c r="Z3791" s="6"/>
      <c r="AA3791" s="6"/>
    </row>
    <row r="3792" ht="14.25">
      <c r="B3792" s="4" t="s">
        <v>971</v>
      </c>
      <c r="C3792" s="4" t="s">
        <v>27479</v>
      </c>
      <c r="D3792" s="4" t="s">
        <v>315</v>
      </c>
      <c r="E3792" s="4" t="s">
        <v>20113</v>
      </c>
      <c r="F3792" s="4" t="str">
        <f>IFERROR(__XLUDF.DUMMYFUNCTION("PROPER(REGEXREPLACE(D197,""[^A-Za-z]+ "",""""))"),"Gentleit")</f>
        <v>Gentleit</v>
      </c>
      <c r="G3792" s="4" t="s">
        <v>27480</v>
      </c>
      <c r="H3792" s="4">
        <v>12</v>
      </c>
      <c r="I3792" s="4" t="s">
        <v>2602</v>
      </c>
      <c r="J3792" s="4" t="str">
        <f>IFERROR(__XLUDF.DUMMYFUNCTION("VLOOKUP(H197,IMPORTRANGE(""https://docs.google.com/spreadsheets/d/1opm6ZNvGZ7KditA9TuJwrZ25eFLfTNIkrNnY6mhV5Eg"",""list!A1:C115""),3,TRUE)"),"le secteur de la tech")</f>
        <v xml:space="preserve">le secteur de la tech</v>
      </c>
      <c r="K3792" s="5" t="s">
        <v>27481</v>
      </c>
      <c r="L3792" s="5" t="s">
        <v>20116</v>
      </c>
      <c r="M3792" s="4" t="s">
        <v>846</v>
      </c>
      <c r="N3792" s="4" t="s">
        <v>29</v>
      </c>
      <c r="O3792" s="4" t="s">
        <v>5865</v>
      </c>
      <c r="P3792" s="4" t="s">
        <v>29</v>
      </c>
      <c r="Q3792" s="4" t="s">
        <v>20117</v>
      </c>
      <c r="R3792" s="6"/>
      <c r="S3792" s="6"/>
      <c r="T3792" s="6"/>
      <c r="U3792" s="6"/>
      <c r="V3792" s="6"/>
      <c r="W3792" s="6"/>
      <c r="X3792" s="6"/>
      <c r="Y3792" s="6"/>
      <c r="Z3792" s="6"/>
      <c r="AA3792" s="6"/>
    </row>
    <row r="3793" ht="14.25">
      <c r="B3793" s="4" t="s">
        <v>6634</v>
      </c>
      <c r="C3793" s="4" t="s">
        <v>27482</v>
      </c>
      <c r="D3793" s="4" t="s">
        <v>265</v>
      </c>
      <c r="E3793" s="4" t="s">
        <v>27483</v>
      </c>
      <c r="F3793" s="4" t="str">
        <f>IFERROR(__XLUDF.DUMMYFUNCTION("PROPER(REGEXREPLACE(D198,""[^A-Za-z]+ "",""""))"),"Datakeen")</f>
        <v>Datakeen</v>
      </c>
      <c r="G3793" s="4" t="s">
        <v>27484</v>
      </c>
      <c r="H3793" s="4">
        <v>10</v>
      </c>
      <c r="I3793" s="4" t="s">
        <v>2602</v>
      </c>
      <c r="J3793" s="4" t="str">
        <f>IFERROR(__XLUDF.DUMMYFUNCTION("VLOOKUP(H198,IMPORTRANGE(""https://docs.google.com/spreadsheets/d/1opm6ZNvGZ7KditA9TuJwrZ25eFLfTNIkrNnY6mhV5Eg"",""list!A1:C115""),3,TRUE)"),"le secteur de la tech")</f>
        <v xml:space="preserve">le secteur de la tech</v>
      </c>
      <c r="K3793" s="5" t="s">
        <v>27485</v>
      </c>
      <c r="L3793" s="5" t="s">
        <v>27486</v>
      </c>
      <c r="M3793" s="4" t="s">
        <v>39</v>
      </c>
      <c r="N3793" s="4" t="s">
        <v>29</v>
      </c>
      <c r="O3793" s="4" t="s">
        <v>23888</v>
      </c>
      <c r="P3793" s="4" t="s">
        <v>29</v>
      </c>
      <c r="Q3793" s="4" t="s">
        <v>27487</v>
      </c>
      <c r="R3793" s="6"/>
      <c r="S3793" s="6"/>
      <c r="T3793" s="6"/>
      <c r="U3793" s="6"/>
      <c r="V3793" s="6"/>
      <c r="W3793" s="6"/>
      <c r="X3793" s="6"/>
      <c r="Y3793" s="6"/>
      <c r="Z3793" s="6"/>
      <c r="AA3793" s="6"/>
    </row>
    <row r="3794" ht="14.25">
      <c r="B3794" s="4" t="s">
        <v>679</v>
      </c>
      <c r="C3794" s="4" t="s">
        <v>27488</v>
      </c>
      <c r="D3794" s="4" t="s">
        <v>87</v>
      </c>
      <c r="E3794" s="4" t="s">
        <v>27489</v>
      </c>
      <c r="F3794" s="4" t="str">
        <f>IFERROR(__XLUDF.DUMMYFUNCTION("PROPER(REGEXREPLACE(D199,""[^A-Za-z]+ "",""""))"),"Homelinks")</f>
        <v>Homelinks</v>
      </c>
      <c r="G3794" s="4" t="s">
        <v>27490</v>
      </c>
      <c r="H3794" s="4">
        <v>4</v>
      </c>
      <c r="I3794" s="4" t="s">
        <v>2602</v>
      </c>
      <c r="J3794" s="4" t="str">
        <f>IFERROR(__XLUDF.DUMMYFUNCTION("VLOOKUP(H199,IMPORTRANGE(""https://docs.google.com/spreadsheets/d/1opm6ZNvGZ7KditA9TuJwrZ25eFLfTNIkrNnY6mhV5Eg"",""list!A1:C115""),3,TRUE)"),"le secteur de la tech")</f>
        <v xml:space="preserve">le secteur de la tech</v>
      </c>
      <c r="K3794" s="5" t="s">
        <v>27491</v>
      </c>
      <c r="L3794" s="5" t="s">
        <v>27492</v>
      </c>
      <c r="M3794" s="4" t="s">
        <v>39</v>
      </c>
      <c r="N3794" s="4" t="s">
        <v>29</v>
      </c>
      <c r="O3794" s="4" t="s">
        <v>27493</v>
      </c>
      <c r="P3794" s="4" t="s">
        <v>29</v>
      </c>
      <c r="Q3794" s="4" t="s">
        <v>27494</v>
      </c>
      <c r="R3794" s="6"/>
      <c r="S3794" s="6"/>
      <c r="T3794" s="6"/>
      <c r="U3794" s="6"/>
      <c r="V3794" s="6"/>
      <c r="W3794" s="6"/>
      <c r="X3794" s="6"/>
      <c r="Y3794" s="6"/>
      <c r="Z3794" s="6"/>
      <c r="AA3794" s="6"/>
    </row>
    <row r="3795" ht="14.25">
      <c r="B3795" s="4" t="s">
        <v>1732</v>
      </c>
      <c r="C3795" s="4" t="s">
        <v>27495</v>
      </c>
      <c r="D3795" s="4" t="s">
        <v>172</v>
      </c>
      <c r="E3795" s="4" t="s">
        <v>27496</v>
      </c>
      <c r="F3795" s="4" t="str">
        <f>IFERROR(__XLUDF.DUMMYFUNCTION("PROPER(REGEXREPLACE(D200,""[^A-Za-z]+ "",""""))"),"Edifitek")</f>
        <v>Edifitek</v>
      </c>
      <c r="G3795" s="4" t="s">
        <v>27497</v>
      </c>
      <c r="H3795" s="4">
        <v>10</v>
      </c>
      <c r="I3795" s="4" t="s">
        <v>2602</v>
      </c>
      <c r="J3795" s="4" t="str">
        <f>IFERROR(__XLUDF.DUMMYFUNCTION("VLOOKUP(H200,IMPORTRANGE(""https://docs.google.com/spreadsheets/d/1opm6ZNvGZ7KditA9TuJwrZ25eFLfTNIkrNnY6mhV5Eg"",""list!A1:C115""),3,TRUE)"),"le secteur de la tech")</f>
        <v xml:space="preserve">le secteur de la tech</v>
      </c>
      <c r="K3795" s="5" t="s">
        <v>27498</v>
      </c>
      <c r="L3795" s="5" t="s">
        <v>27499</v>
      </c>
      <c r="M3795" s="4" t="s">
        <v>3898</v>
      </c>
      <c r="N3795" s="4" t="s">
        <v>29</v>
      </c>
      <c r="O3795" s="4" t="s">
        <v>27500</v>
      </c>
      <c r="P3795" s="4" t="s">
        <v>29</v>
      </c>
      <c r="Q3795" s="4" t="s">
        <v>27501</v>
      </c>
      <c r="R3795" s="6"/>
      <c r="S3795" s="6"/>
      <c r="T3795" s="6"/>
      <c r="U3795" s="6"/>
      <c r="V3795" s="6"/>
      <c r="W3795" s="6"/>
      <c r="X3795" s="6"/>
      <c r="Y3795" s="6"/>
      <c r="Z3795" s="6"/>
      <c r="AA3795" s="6"/>
    </row>
    <row r="3796" ht="14.25">
      <c r="B3796" s="4" t="s">
        <v>1540</v>
      </c>
      <c r="C3796" s="4" t="s">
        <v>27502</v>
      </c>
      <c r="D3796" s="4" t="s">
        <v>172</v>
      </c>
      <c r="E3796" s="4" t="s">
        <v>27503</v>
      </c>
      <c r="F3796" s="4" t="str">
        <f>IFERROR(__XLUDF.DUMMYFUNCTION("PROPER(REGEXREPLACE(D201,""[^A-Za-z]+ "",""""))"),"Kaf Consulting")</f>
        <v xml:space="preserve">Kaf Consulting</v>
      </c>
      <c r="G3796" s="4" t="s">
        <v>27504</v>
      </c>
      <c r="H3796" s="4">
        <v>13</v>
      </c>
      <c r="I3796" s="4" t="s">
        <v>2602</v>
      </c>
      <c r="J3796" s="4" t="str">
        <f>IFERROR(__XLUDF.DUMMYFUNCTION("VLOOKUP(H201,IMPORTRANGE(""https://docs.google.com/spreadsheets/d/1opm6ZNvGZ7KditA9TuJwrZ25eFLfTNIkrNnY6mhV5Eg"",""list!A1:C115""),3,TRUE)"),"le secteur de la tech")</f>
        <v xml:space="preserve">le secteur de la tech</v>
      </c>
      <c r="K3796" s="5" t="s">
        <v>27505</v>
      </c>
      <c r="L3796" s="5" t="s">
        <v>27506</v>
      </c>
      <c r="M3796" s="4" t="s">
        <v>39</v>
      </c>
      <c r="N3796" s="4" t="s">
        <v>29</v>
      </c>
      <c r="O3796" s="4" t="s">
        <v>27507</v>
      </c>
      <c r="P3796" s="4" t="s">
        <v>5973</v>
      </c>
      <c r="Q3796" s="4" t="s">
        <v>27508</v>
      </c>
      <c r="R3796" s="6"/>
      <c r="S3796" s="6"/>
      <c r="T3796" s="6"/>
      <c r="U3796" s="6"/>
      <c r="V3796" s="6"/>
      <c r="W3796" s="6"/>
      <c r="X3796" s="6"/>
      <c r="Y3796" s="6"/>
      <c r="Z3796" s="6"/>
      <c r="AA3796" s="6"/>
    </row>
    <row r="3797" ht="14.25">
      <c r="B3797" s="4" t="s">
        <v>1387</v>
      </c>
      <c r="C3797" s="4" t="s">
        <v>27509</v>
      </c>
      <c r="D3797" s="4" t="s">
        <v>27510</v>
      </c>
      <c r="E3797" s="4" t="s">
        <v>27511</v>
      </c>
      <c r="F3797" s="4" t="str">
        <f>IFERROR(__XLUDF.DUMMYFUNCTION("PROPER(REGEXREPLACE(D202,""[^A-Za-z]+ "",""""))"),"Locomotive")</f>
        <v>Locomotive</v>
      </c>
      <c r="G3797" s="4" t="s">
        <v>27512</v>
      </c>
      <c r="H3797" s="4">
        <v>12</v>
      </c>
      <c r="I3797" s="4" t="s">
        <v>2602</v>
      </c>
      <c r="J3797" s="4" t="str">
        <f>IFERROR(__XLUDF.DUMMYFUNCTION("VLOOKUP(H202,IMPORTRANGE(""https://docs.google.com/spreadsheets/d/1opm6ZNvGZ7KditA9TuJwrZ25eFLfTNIkrNnY6mhV5Eg"",""list!A1:C115""),3,TRUE)"),"le secteur de la tech")</f>
        <v xml:space="preserve">le secteur de la tech</v>
      </c>
      <c r="K3797" s="5" t="s">
        <v>27513</v>
      </c>
      <c r="L3797" s="5" t="s">
        <v>27514</v>
      </c>
      <c r="M3797" s="4" t="s">
        <v>39</v>
      </c>
      <c r="N3797" s="4" t="s">
        <v>29</v>
      </c>
      <c r="O3797" s="4" t="s">
        <v>67</v>
      </c>
      <c r="P3797" s="4" t="s">
        <v>29</v>
      </c>
      <c r="Q3797" s="6"/>
      <c r="R3797" s="6"/>
      <c r="S3797" s="6"/>
      <c r="T3797" s="6"/>
      <c r="U3797" s="6"/>
      <c r="V3797" s="6"/>
      <c r="W3797" s="6"/>
      <c r="X3797" s="6"/>
      <c r="Y3797" s="6"/>
      <c r="Z3797" s="6"/>
      <c r="AA3797" s="6"/>
    </row>
    <row r="3798" ht="14.25">
      <c r="B3798" s="4" t="s">
        <v>15455</v>
      </c>
      <c r="C3798" s="4" t="s">
        <v>27515</v>
      </c>
      <c r="D3798" s="4" t="s">
        <v>172</v>
      </c>
      <c r="E3798" s="4" t="s">
        <v>27516</v>
      </c>
      <c r="F3798" s="4" t="str">
        <f>IFERROR(__XLUDF.DUMMYFUNCTION("PROPER(REGEXREPLACE(D203,""[^A-Za-z]+ "",""""))"),"Council")</f>
        <v>Council</v>
      </c>
      <c r="G3798" s="4" t="s">
        <v>27517</v>
      </c>
      <c r="H3798" s="4">
        <v>18</v>
      </c>
      <c r="I3798" s="4" t="s">
        <v>2602</v>
      </c>
      <c r="J3798" s="4" t="str">
        <f>IFERROR(__XLUDF.DUMMYFUNCTION("VLOOKUP(H203,IMPORTRANGE(""https://docs.google.com/spreadsheets/d/1opm6ZNvGZ7KditA9TuJwrZ25eFLfTNIkrNnY6mhV5Eg"",""list!A1:C115""),3,TRUE)"),"le secteur de la tech")</f>
        <v xml:space="preserve">le secteur de la tech</v>
      </c>
      <c r="K3798" s="5" t="s">
        <v>27518</v>
      </c>
      <c r="L3798" s="5" t="s">
        <v>27519</v>
      </c>
      <c r="M3798" s="6"/>
      <c r="N3798" s="4" t="s">
        <v>29</v>
      </c>
      <c r="O3798" s="4" t="s">
        <v>27520</v>
      </c>
      <c r="P3798" s="4" t="s">
        <v>29</v>
      </c>
      <c r="Q3798" s="4" t="s">
        <v>27521</v>
      </c>
      <c r="R3798" s="6"/>
      <c r="S3798" s="6"/>
      <c r="T3798" s="6"/>
      <c r="U3798" s="6"/>
      <c r="V3798" s="6"/>
      <c r="W3798" s="6"/>
      <c r="X3798" s="6"/>
      <c r="Y3798" s="6"/>
      <c r="Z3798" s="6"/>
      <c r="AA3798" s="6"/>
    </row>
    <row r="3799" ht="14.25">
      <c r="B3799" s="4" t="s">
        <v>1153</v>
      </c>
      <c r="C3799" s="4" t="s">
        <v>27522</v>
      </c>
      <c r="D3799" s="4" t="s">
        <v>172</v>
      </c>
      <c r="E3799" s="4" t="s">
        <v>27523</v>
      </c>
      <c r="F3799" s="4" t="str">
        <f>IFERROR(__XLUDF.DUMMYFUNCTION("PROPER(REGEXREPLACE(D204,""[^A-Za-z]+ "",""""))"),"Optixt")</f>
        <v>Optixt</v>
      </c>
      <c r="G3799" s="4" t="s">
        <v>27524</v>
      </c>
      <c r="H3799" s="4">
        <v>34</v>
      </c>
      <c r="I3799" s="4" t="s">
        <v>2602</v>
      </c>
      <c r="J3799" s="4" t="str">
        <f>IFERROR(__XLUDF.DUMMYFUNCTION("VLOOKUP(H204,IMPORTRANGE(""https://docs.google.com/spreadsheets/d/1opm6ZNvGZ7KditA9TuJwrZ25eFLfTNIkrNnY6mhV5Eg"",""list!A1:C115""),3,TRUE)"),"le secteur de la tech")</f>
        <v xml:space="preserve">le secteur de la tech</v>
      </c>
      <c r="K3799" s="5" t="s">
        <v>27525</v>
      </c>
      <c r="L3799" s="5" t="s">
        <v>27526</v>
      </c>
      <c r="M3799" s="4" t="s">
        <v>2650</v>
      </c>
      <c r="N3799" s="4" t="s">
        <v>29</v>
      </c>
      <c r="O3799" s="4" t="s">
        <v>27527</v>
      </c>
      <c r="P3799" s="4" t="s">
        <v>29</v>
      </c>
      <c r="Q3799" s="4" t="s">
        <v>27528</v>
      </c>
      <c r="R3799" s="6"/>
      <c r="S3799" s="6"/>
      <c r="T3799" s="6"/>
      <c r="U3799" s="6"/>
      <c r="V3799" s="6"/>
      <c r="W3799" s="6"/>
      <c r="X3799" s="6"/>
      <c r="Y3799" s="6"/>
      <c r="Z3799" s="6"/>
      <c r="AA3799" s="6"/>
    </row>
    <row r="3800" ht="14.25">
      <c r="B3800" s="4" t="s">
        <v>27529</v>
      </c>
      <c r="C3800" s="4" t="s">
        <v>27530</v>
      </c>
      <c r="D3800" s="4" t="s">
        <v>18553</v>
      </c>
      <c r="E3800" s="4" t="s">
        <v>27531</v>
      </c>
      <c r="F3800" s="4" t="str">
        <f>IFERROR(__XLUDF.DUMMYFUNCTION("PROPER(REGEXREPLACE(D205,""[^A-Za-z]+ "",""""))"),"Cemantica")</f>
        <v>Cemantica</v>
      </c>
      <c r="G3800" s="4" t="s">
        <v>27532</v>
      </c>
      <c r="H3800" s="4">
        <v>20</v>
      </c>
      <c r="I3800" s="4" t="s">
        <v>2602</v>
      </c>
      <c r="J3800" s="4" t="str">
        <f>IFERROR(__XLUDF.DUMMYFUNCTION("VLOOKUP(H205,IMPORTRANGE(""https://docs.google.com/spreadsheets/d/1opm6ZNvGZ7KditA9TuJwrZ25eFLfTNIkrNnY6mhV5Eg"",""list!A1:C115""),3,TRUE)"),"le secteur de la tech")</f>
        <v xml:space="preserve">le secteur de la tech</v>
      </c>
      <c r="K3800" s="5" t="s">
        <v>27533</v>
      </c>
      <c r="L3800" s="5" t="s">
        <v>27534</v>
      </c>
      <c r="M3800" s="4" t="s">
        <v>39</v>
      </c>
      <c r="N3800" s="4" t="s">
        <v>29</v>
      </c>
      <c r="O3800" s="4" t="s">
        <v>23330</v>
      </c>
      <c r="P3800" s="4" t="s">
        <v>29</v>
      </c>
      <c r="Q3800" s="4" t="s">
        <v>27535</v>
      </c>
      <c r="R3800" s="6"/>
      <c r="S3800" s="6"/>
      <c r="T3800" s="6"/>
      <c r="U3800" s="6"/>
      <c r="V3800" s="6"/>
      <c r="W3800" s="6"/>
      <c r="X3800" s="6"/>
      <c r="Y3800" s="6"/>
      <c r="Z3800" s="6"/>
      <c r="AA3800" s="6"/>
    </row>
    <row r="3801" ht="14.25">
      <c r="B3801" s="4" t="s">
        <v>18299</v>
      </c>
      <c r="C3801" s="4" t="s">
        <v>27536</v>
      </c>
      <c r="D3801" s="4" t="s">
        <v>426</v>
      </c>
      <c r="E3801" s="4" t="s">
        <v>27537</v>
      </c>
      <c r="F3801" s="4" t="str">
        <f>IFERROR(__XLUDF.DUMMYFUNCTION("PROPER(REGEXREPLACE(D206,""[^A-Za-z]+ "",""""))"),"Devcorp")</f>
        <v>Devcorp</v>
      </c>
      <c r="G3801" s="4" t="s">
        <v>27538</v>
      </c>
      <c r="H3801" s="4">
        <v>44</v>
      </c>
      <c r="I3801" s="4" t="s">
        <v>2602</v>
      </c>
      <c r="J3801" s="4" t="str">
        <f>IFERROR(__XLUDF.DUMMYFUNCTION("VLOOKUP(H206,IMPORTRANGE(""https://docs.google.com/spreadsheets/d/1opm6ZNvGZ7KditA9TuJwrZ25eFLfTNIkrNnY6mhV5Eg"",""list!A1:C115""),3,TRUE)"),"le secteur de la tech")</f>
        <v xml:space="preserve">le secteur de la tech</v>
      </c>
      <c r="K3801" s="5" t="s">
        <v>27539</v>
      </c>
      <c r="L3801" s="5" t="s">
        <v>27540</v>
      </c>
      <c r="M3801" s="4" t="s">
        <v>39</v>
      </c>
      <c r="N3801" s="4" t="s">
        <v>29</v>
      </c>
      <c r="O3801" s="4" t="s">
        <v>27541</v>
      </c>
      <c r="P3801" s="4" t="s">
        <v>29</v>
      </c>
      <c r="Q3801" s="6"/>
      <c r="R3801" s="6"/>
      <c r="S3801" s="6"/>
      <c r="T3801" s="6"/>
      <c r="U3801" s="6"/>
      <c r="V3801" s="6"/>
      <c r="W3801" s="6"/>
      <c r="X3801" s="6"/>
      <c r="Y3801" s="6"/>
      <c r="Z3801" s="6"/>
      <c r="AA3801" s="6"/>
    </row>
    <row r="3802" ht="14.25">
      <c r="B3802" s="4" t="s">
        <v>3112</v>
      </c>
      <c r="C3802" s="4" t="s">
        <v>27542</v>
      </c>
      <c r="D3802" s="4" t="s">
        <v>97</v>
      </c>
      <c r="E3802" s="4" t="s">
        <v>21222</v>
      </c>
      <c r="F3802" s="4" t="str">
        <f>IFERROR(__XLUDF.DUMMYFUNCTION("PROPER(REGEXREPLACE(D207,""[^A-Za-z]+ "",""""))"),"Mentor Goal")</f>
        <v xml:space="preserve">Mentor Goal</v>
      </c>
      <c r="G3802" s="4" t="s">
        <v>27543</v>
      </c>
      <c r="H3802" s="4">
        <v>17</v>
      </c>
      <c r="I3802" s="4" t="s">
        <v>2602</v>
      </c>
      <c r="J3802" s="4" t="str">
        <f>IFERROR(__XLUDF.DUMMYFUNCTION("VLOOKUP(H207,IMPORTRANGE(""https://docs.google.com/spreadsheets/d/1opm6ZNvGZ7KditA9TuJwrZ25eFLfTNIkrNnY6mhV5Eg"",""list!A1:C115""),3,TRUE)"),"le secteur de la tech")</f>
        <v xml:space="preserve">le secteur de la tech</v>
      </c>
      <c r="K3802" s="5" t="s">
        <v>27544</v>
      </c>
      <c r="L3802" s="5" t="s">
        <v>21225</v>
      </c>
      <c r="M3802" s="4" t="s">
        <v>39</v>
      </c>
      <c r="N3802" s="4" t="s">
        <v>29</v>
      </c>
      <c r="O3802" s="4" t="s">
        <v>67</v>
      </c>
      <c r="P3802" s="4" t="s">
        <v>29</v>
      </c>
      <c r="Q3802" s="4" t="s">
        <v>21226</v>
      </c>
      <c r="R3802" s="6"/>
      <c r="S3802" s="6"/>
      <c r="T3802" s="6"/>
      <c r="U3802" s="6"/>
      <c r="V3802" s="6"/>
      <c r="W3802" s="6"/>
      <c r="X3802" s="6"/>
      <c r="Y3802" s="6"/>
      <c r="Z3802" s="6"/>
      <c r="AA3802" s="6"/>
    </row>
    <row r="3803" ht="14.25">
      <c r="B3803" s="4" t="s">
        <v>3752</v>
      </c>
      <c r="C3803" s="4" t="s">
        <v>27545</v>
      </c>
      <c r="D3803" s="4" t="s">
        <v>172</v>
      </c>
      <c r="E3803" s="4" t="s">
        <v>27546</v>
      </c>
      <c r="F3803" s="4" t="str">
        <f>IFERROR(__XLUDF.DUMMYFUNCTION("PROPER(REGEXREPLACE(D208,""[^A-Za-z]+ "",""""))"),"Publicitfrançois")</f>
        <v>Publicitfrançois</v>
      </c>
      <c r="G3803" s="4" t="s">
        <v>27547</v>
      </c>
      <c r="H3803" s="4">
        <v>6</v>
      </c>
      <c r="I3803" s="4" t="s">
        <v>2602</v>
      </c>
      <c r="J3803" s="4" t="str">
        <f>IFERROR(__XLUDF.DUMMYFUNCTION("VLOOKUP(H208,IMPORTRANGE(""https://docs.google.com/spreadsheets/d/1opm6ZNvGZ7KditA9TuJwrZ25eFLfTNIkrNnY6mhV5Eg"",""list!A1:C115""),3,TRUE)"),"le secteur de la tech")</f>
        <v xml:space="preserve">le secteur de la tech</v>
      </c>
      <c r="K3803" s="5" t="s">
        <v>27548</v>
      </c>
      <c r="L3803" s="5" t="s">
        <v>27549</v>
      </c>
      <c r="M3803" s="4" t="s">
        <v>27550</v>
      </c>
      <c r="N3803" s="4" t="s">
        <v>29</v>
      </c>
      <c r="O3803" s="4" t="s">
        <v>27551</v>
      </c>
      <c r="P3803" s="4" t="s">
        <v>29</v>
      </c>
      <c r="Q3803" s="4" t="s">
        <v>27552</v>
      </c>
      <c r="R3803" s="6"/>
      <c r="S3803" s="6"/>
      <c r="T3803" s="6"/>
      <c r="U3803" s="6"/>
      <c r="V3803" s="6"/>
      <c r="W3803" s="6"/>
      <c r="X3803" s="6"/>
      <c r="Y3803" s="6"/>
      <c r="Z3803" s="6"/>
      <c r="AA3803" s="6"/>
    </row>
    <row r="3804" ht="14.25">
      <c r="B3804" s="4" t="s">
        <v>18168</v>
      </c>
      <c r="C3804" s="4" t="s">
        <v>27553</v>
      </c>
      <c r="D3804" s="4" t="s">
        <v>27554</v>
      </c>
      <c r="E3804" s="4" t="s">
        <v>27555</v>
      </c>
      <c r="F3804" s="4" t="str">
        <f>IFERROR(__XLUDF.DUMMYFUNCTION("PROPER(REGEXREPLACE(D209,""[^A-Za-z]+ "",""""))"),"Laiye France")</f>
        <v xml:space="preserve">Laiye France</v>
      </c>
      <c r="G3804" s="4" t="s">
        <v>27556</v>
      </c>
      <c r="H3804" s="4">
        <v>11</v>
      </c>
      <c r="I3804" s="4" t="s">
        <v>2602</v>
      </c>
      <c r="J3804" s="4" t="str">
        <f>IFERROR(__XLUDF.DUMMYFUNCTION("VLOOKUP(H209,IMPORTRANGE(""https://docs.google.com/spreadsheets/d/1opm6ZNvGZ7KditA9TuJwrZ25eFLfTNIkrNnY6mhV5Eg"",""list!A1:C115""),3,TRUE)"),"le secteur de la tech")</f>
        <v xml:space="preserve">le secteur de la tech</v>
      </c>
      <c r="K3804" s="5" t="s">
        <v>27557</v>
      </c>
      <c r="L3804" s="5" t="s">
        <v>27558</v>
      </c>
      <c r="M3804" s="4" t="s">
        <v>39</v>
      </c>
      <c r="N3804" s="4" t="s">
        <v>29</v>
      </c>
      <c r="O3804" s="4" t="s">
        <v>27559</v>
      </c>
      <c r="P3804" s="4" t="s">
        <v>29</v>
      </c>
      <c r="Q3804" s="4" t="s">
        <v>27560</v>
      </c>
      <c r="R3804" s="6"/>
      <c r="S3804" s="6"/>
      <c r="T3804" s="6"/>
      <c r="U3804" s="6"/>
      <c r="V3804" s="6"/>
      <c r="W3804" s="6"/>
      <c r="X3804" s="6"/>
      <c r="Y3804" s="6"/>
      <c r="Z3804" s="6"/>
      <c r="AA3804" s="6"/>
    </row>
    <row r="3805" ht="14.25">
      <c r="B3805" s="4" t="s">
        <v>118</v>
      </c>
      <c r="C3805" s="4" t="s">
        <v>27561</v>
      </c>
      <c r="D3805" s="4" t="s">
        <v>27562</v>
      </c>
      <c r="E3805" s="4" t="s">
        <v>27563</v>
      </c>
      <c r="F3805" s="4" t="str">
        <f>IFERROR(__XLUDF.DUMMYFUNCTION("PROPER(REGEXREPLACE(D210,""[^A-Za-z]+ "",""""))"),"Talo")</f>
        <v>Talo</v>
      </c>
      <c r="G3805" s="4" t="s">
        <v>27564</v>
      </c>
      <c r="H3805" s="4">
        <v>21</v>
      </c>
      <c r="I3805" s="4" t="s">
        <v>2602</v>
      </c>
      <c r="J3805" s="4" t="str">
        <f>IFERROR(__XLUDF.DUMMYFUNCTION("VLOOKUP(H210,IMPORTRANGE(""https://docs.google.com/spreadsheets/d/1opm6ZNvGZ7KditA9TuJwrZ25eFLfTNIkrNnY6mhV5Eg"",""list!A1:C115""),3,TRUE)"),"le secteur de la tech")</f>
        <v xml:space="preserve">le secteur de la tech</v>
      </c>
      <c r="K3805" s="5" t="s">
        <v>27565</v>
      </c>
      <c r="L3805" s="5" t="s">
        <v>27566</v>
      </c>
      <c r="M3805" s="4" t="s">
        <v>11445</v>
      </c>
      <c r="N3805" s="4" t="s">
        <v>29</v>
      </c>
      <c r="O3805" s="4" t="s">
        <v>27567</v>
      </c>
      <c r="P3805" s="4" t="s">
        <v>29</v>
      </c>
      <c r="Q3805" s="4" t="s">
        <v>27568</v>
      </c>
      <c r="R3805" s="6"/>
      <c r="S3805" s="6"/>
      <c r="T3805" s="6"/>
      <c r="U3805" s="6"/>
      <c r="V3805" s="6"/>
      <c r="W3805" s="6"/>
      <c r="X3805" s="6"/>
      <c r="Y3805" s="6"/>
      <c r="Z3805" s="6"/>
      <c r="AA3805" s="6"/>
    </row>
    <row r="3806" ht="14.25">
      <c r="B3806" s="4" t="s">
        <v>27569</v>
      </c>
      <c r="C3806" s="4" t="s">
        <v>27570</v>
      </c>
      <c r="D3806" s="4" t="s">
        <v>27571</v>
      </c>
      <c r="E3806" s="4" t="s">
        <v>27572</v>
      </c>
      <c r="F3806" s="4" t="str">
        <f>IFERROR(__XLUDF.DUMMYFUNCTION("PROPER(REGEXREPLACE(D211,""[^A-Za-z]+ "",""""))"),"Filabs")</f>
        <v>Filabs</v>
      </c>
      <c r="G3806" s="4" t="s">
        <v>27573</v>
      </c>
      <c r="H3806" s="4">
        <v>9</v>
      </c>
      <c r="I3806" s="4" t="s">
        <v>2602</v>
      </c>
      <c r="J3806" s="4" t="str">
        <f>IFERROR(__XLUDF.DUMMYFUNCTION("VLOOKUP(H211,IMPORTRANGE(""https://docs.google.com/spreadsheets/d/1opm6ZNvGZ7KditA9TuJwrZ25eFLfTNIkrNnY6mhV5Eg"",""list!A1:C115""),3,TRUE)"),"le secteur de la tech")</f>
        <v xml:space="preserve">le secteur de la tech</v>
      </c>
      <c r="K3806" s="5" t="s">
        <v>27574</v>
      </c>
      <c r="L3806" s="5" t="s">
        <v>27575</v>
      </c>
      <c r="M3806" s="4" t="s">
        <v>83</v>
      </c>
      <c r="N3806" s="4" t="s">
        <v>29</v>
      </c>
      <c r="O3806" s="6"/>
      <c r="P3806" s="6"/>
      <c r="Q3806" s="4" t="s">
        <v>27576</v>
      </c>
      <c r="R3806" s="6"/>
      <c r="S3806" s="6"/>
      <c r="T3806" s="6"/>
      <c r="U3806" s="6"/>
      <c r="V3806" s="6"/>
      <c r="W3806" s="6"/>
      <c r="X3806" s="6"/>
      <c r="Y3806" s="6"/>
      <c r="Z3806" s="6"/>
      <c r="AA3806" s="6"/>
    </row>
    <row r="3807" ht="14.25">
      <c r="B3807" s="4" t="s">
        <v>27577</v>
      </c>
      <c r="C3807" s="4" t="s">
        <v>18823</v>
      </c>
      <c r="D3807" s="4" t="s">
        <v>27578</v>
      </c>
      <c r="E3807" s="4" t="s">
        <v>27579</v>
      </c>
      <c r="F3807" s="4" t="str">
        <f>IFERROR(__XLUDF.DUMMYFUNCTION("PROPER(REGEXREPLACE(D212,""[^A-Za-z]+ "",""""))"),"Dataera")</f>
        <v>Dataera</v>
      </c>
      <c r="G3807" s="4" t="s">
        <v>27580</v>
      </c>
      <c r="H3807" s="4">
        <v>11</v>
      </c>
      <c r="I3807" s="4" t="s">
        <v>2602</v>
      </c>
      <c r="J3807" s="4" t="str">
        <f>IFERROR(__XLUDF.DUMMYFUNCTION("VLOOKUP(H212,IMPORTRANGE(""https://docs.google.com/spreadsheets/d/1opm6ZNvGZ7KditA9TuJwrZ25eFLfTNIkrNnY6mhV5Eg"",""list!A1:C115""),3,TRUE)"),"le secteur de la tech")</f>
        <v xml:space="preserve">le secteur de la tech</v>
      </c>
      <c r="K3807" s="5" t="s">
        <v>27581</v>
      </c>
      <c r="L3807" s="5" t="s">
        <v>27582</v>
      </c>
      <c r="M3807" s="6"/>
      <c r="N3807" s="4" t="s">
        <v>29</v>
      </c>
      <c r="O3807" s="4" t="s">
        <v>27583</v>
      </c>
      <c r="P3807" s="4" t="s">
        <v>9969</v>
      </c>
      <c r="Q3807" s="6"/>
      <c r="R3807" s="6"/>
      <c r="S3807" s="6"/>
      <c r="T3807" s="6"/>
      <c r="U3807" s="6"/>
      <c r="V3807" s="6"/>
      <c r="W3807" s="6"/>
      <c r="X3807" s="6"/>
      <c r="Y3807" s="6"/>
      <c r="Z3807" s="6"/>
      <c r="AA3807" s="6"/>
    </row>
    <row r="3808" ht="14.25">
      <c r="B3808" s="4" t="s">
        <v>26040</v>
      </c>
      <c r="C3808" s="4" t="s">
        <v>948</v>
      </c>
      <c r="D3808" s="4" t="s">
        <v>87</v>
      </c>
      <c r="E3808" s="4" t="s">
        <v>23236</v>
      </c>
      <c r="F3808" s="4" t="str">
        <f>IFERROR(__XLUDF.DUMMYFUNCTION("PROPER(REGEXREPLACE(D213,""[^A-Za-z]+ "",""""))"),"Orkis")</f>
        <v>Orkis</v>
      </c>
      <c r="G3808" s="4" t="s">
        <v>26041</v>
      </c>
      <c r="H3808" s="4">
        <v>30</v>
      </c>
      <c r="I3808" s="4" t="s">
        <v>2602</v>
      </c>
      <c r="J3808" s="4" t="str">
        <f>IFERROR(__XLUDF.DUMMYFUNCTION("VLOOKUP(H213,IMPORTRANGE(""https://docs.google.com/spreadsheets/d/1opm6ZNvGZ7KditA9TuJwrZ25eFLfTNIkrNnY6mhV5Eg"",""list!A1:C115""),3,TRUE)"),"le secteur de la tech")</f>
        <v xml:space="preserve">le secteur de la tech</v>
      </c>
      <c r="K3808" s="5" t="s">
        <v>27584</v>
      </c>
      <c r="L3808" s="5" t="s">
        <v>23239</v>
      </c>
      <c r="M3808" s="4" t="s">
        <v>295</v>
      </c>
      <c r="N3808" s="4" t="s">
        <v>29</v>
      </c>
      <c r="O3808" s="4" t="s">
        <v>23240</v>
      </c>
      <c r="P3808" s="4" t="s">
        <v>29</v>
      </c>
      <c r="Q3808" s="4" t="s">
        <v>23241</v>
      </c>
      <c r="R3808" s="6"/>
      <c r="S3808" s="6"/>
      <c r="T3808" s="6"/>
      <c r="U3808" s="6"/>
      <c r="V3808" s="6"/>
      <c r="W3808" s="6"/>
      <c r="X3808" s="6"/>
      <c r="Y3808" s="6"/>
      <c r="Z3808" s="6"/>
      <c r="AA3808" s="6"/>
    </row>
    <row r="3809" ht="14.25">
      <c r="B3809" s="4" t="s">
        <v>27585</v>
      </c>
      <c r="C3809" s="4" t="s">
        <v>27586</v>
      </c>
      <c r="D3809" s="4" t="s">
        <v>5186</v>
      </c>
      <c r="E3809" s="4" t="s">
        <v>27587</v>
      </c>
      <c r="F3809" s="4" t="str">
        <f>IFERROR(__XLUDF.DUMMYFUNCTION("PROPER(REGEXREPLACE(D214,""[^A-Za-z]+ "",""""))"),"Elyos Digital")</f>
        <v xml:space="preserve">Elyos Digital</v>
      </c>
      <c r="G3809" s="4" t="s">
        <v>27588</v>
      </c>
      <c r="H3809" s="4">
        <v>47</v>
      </c>
      <c r="I3809" s="4" t="s">
        <v>2602</v>
      </c>
      <c r="J3809" s="4" t="str">
        <f>IFERROR(__XLUDF.DUMMYFUNCTION("VLOOKUP(H214,IMPORTRANGE(""https://docs.google.com/spreadsheets/d/1opm6ZNvGZ7KditA9TuJwrZ25eFLfTNIkrNnY6mhV5Eg"",""list!A1:C115""),3,TRUE)"),"le secteur de la tech")</f>
        <v xml:space="preserve">le secteur de la tech</v>
      </c>
      <c r="K3809" s="5" t="s">
        <v>27589</v>
      </c>
      <c r="L3809" s="5" t="s">
        <v>27590</v>
      </c>
      <c r="M3809" s="4" t="s">
        <v>39</v>
      </c>
      <c r="N3809" s="4" t="s">
        <v>29</v>
      </c>
      <c r="O3809" s="4" t="s">
        <v>27591</v>
      </c>
      <c r="P3809" s="4" t="s">
        <v>9969</v>
      </c>
      <c r="Q3809" s="4" t="s">
        <v>27592</v>
      </c>
      <c r="R3809" s="6"/>
      <c r="S3809" s="6"/>
      <c r="T3809" s="6"/>
      <c r="U3809" s="6"/>
      <c r="V3809" s="6"/>
      <c r="W3809" s="6"/>
      <c r="X3809" s="6"/>
      <c r="Y3809" s="6"/>
      <c r="Z3809" s="6"/>
      <c r="AA3809" s="6"/>
    </row>
    <row r="3810" ht="14.25">
      <c r="B3810" s="4" t="s">
        <v>27593</v>
      </c>
      <c r="C3810" s="4" t="s">
        <v>27594</v>
      </c>
      <c r="D3810" s="4" t="s">
        <v>672</v>
      </c>
      <c r="E3810" s="4" t="s">
        <v>27595</v>
      </c>
      <c r="F3810" s="4" t="str">
        <f>IFERROR(__XLUDF.DUMMYFUNCTION("PROPER(REGEXREPLACE(D215,""[^A-Za-z]+ "",""""))"),"Jurnee")</f>
        <v>Jurnee</v>
      </c>
      <c r="G3810" s="4" t="s">
        <v>27596</v>
      </c>
      <c r="H3810" s="4">
        <v>12</v>
      </c>
      <c r="I3810" s="4" t="s">
        <v>2602</v>
      </c>
      <c r="J3810" s="4" t="str">
        <f>IFERROR(__XLUDF.DUMMYFUNCTION("VLOOKUP(H215,IMPORTRANGE(""https://docs.google.com/spreadsheets/d/1opm6ZNvGZ7KditA9TuJwrZ25eFLfTNIkrNnY6mhV5Eg"",""list!A1:C115""),3,TRUE)"),"le secteur de la tech")</f>
        <v xml:space="preserve">le secteur de la tech</v>
      </c>
      <c r="K3810" s="5" t="s">
        <v>27597</v>
      </c>
      <c r="L3810" s="5" t="s">
        <v>27598</v>
      </c>
      <c r="M3810" s="4" t="s">
        <v>39</v>
      </c>
      <c r="N3810" s="4" t="s">
        <v>29</v>
      </c>
      <c r="O3810" s="4" t="s">
        <v>1084</v>
      </c>
      <c r="P3810" s="4" t="s">
        <v>29</v>
      </c>
      <c r="Q3810" s="4" t="s">
        <v>27599</v>
      </c>
      <c r="R3810" s="6"/>
      <c r="S3810" s="6"/>
      <c r="T3810" s="6"/>
      <c r="U3810" s="6"/>
      <c r="V3810" s="6"/>
      <c r="W3810" s="6"/>
      <c r="X3810" s="6"/>
      <c r="Y3810" s="6"/>
      <c r="Z3810" s="6"/>
      <c r="AA3810" s="6"/>
    </row>
    <row r="3811" ht="14.25">
      <c r="B3811" s="4" t="s">
        <v>866</v>
      </c>
      <c r="C3811" s="4" t="s">
        <v>27600</v>
      </c>
      <c r="D3811" s="4" t="s">
        <v>27601</v>
      </c>
      <c r="E3811" s="4" t="s">
        <v>27602</v>
      </c>
      <c r="F3811" s="4" t="str">
        <f>IFERROR(__XLUDF.DUMMYFUNCTION("PROPER(REGEXREPLACE(D216,""[^A-Za-z]+ "",""""))"),"Naelan")</f>
        <v>Naelan</v>
      </c>
      <c r="G3811" s="4" t="s">
        <v>27603</v>
      </c>
      <c r="H3811" s="4">
        <v>27</v>
      </c>
      <c r="I3811" s="4" t="s">
        <v>2602</v>
      </c>
      <c r="J3811" s="4" t="str">
        <f>IFERROR(__XLUDF.DUMMYFUNCTION("VLOOKUP(H216,IMPORTRANGE(""https://docs.google.com/spreadsheets/d/1opm6ZNvGZ7KditA9TuJwrZ25eFLfTNIkrNnY6mhV5Eg"",""list!A1:C115""),3,TRUE)"),"le secteur de la tech")</f>
        <v xml:space="preserve">le secteur de la tech</v>
      </c>
      <c r="K3811" s="5" t="s">
        <v>27604</v>
      </c>
      <c r="L3811" s="5" t="s">
        <v>27605</v>
      </c>
      <c r="M3811" s="4" t="s">
        <v>14886</v>
      </c>
      <c r="N3811" s="4" t="s">
        <v>29</v>
      </c>
      <c r="O3811" s="4" t="s">
        <v>27606</v>
      </c>
      <c r="P3811" s="4" t="s">
        <v>29</v>
      </c>
      <c r="Q3811" s="4" t="s">
        <v>27607</v>
      </c>
      <c r="R3811" s="6"/>
      <c r="S3811" s="6"/>
      <c r="T3811" s="6"/>
      <c r="U3811" s="6"/>
      <c r="V3811" s="6"/>
      <c r="W3811" s="6"/>
      <c r="X3811" s="6"/>
      <c r="Y3811" s="6"/>
      <c r="Z3811" s="6"/>
      <c r="AA3811" s="6"/>
    </row>
    <row r="3812" ht="14.25">
      <c r="B3812" s="4" t="s">
        <v>1009</v>
      </c>
      <c r="C3812" s="4" t="s">
        <v>27608</v>
      </c>
      <c r="D3812" s="4" t="s">
        <v>27609</v>
      </c>
      <c r="E3812" s="4" t="s">
        <v>27610</v>
      </c>
      <c r="F3812" s="4" t="str">
        <f>IFERROR(__XLUDF.DUMMYFUNCTION("PROPER(REGEXREPLACE(D217,""[^A-Za-z]+ "",""""))"),"Neolians")</f>
        <v>Neolians</v>
      </c>
      <c r="G3812" s="4" t="s">
        <v>27611</v>
      </c>
      <c r="H3812" s="4">
        <v>50</v>
      </c>
      <c r="I3812" s="4" t="s">
        <v>2602</v>
      </c>
      <c r="J3812" s="4" t="str">
        <f>IFERROR(__XLUDF.DUMMYFUNCTION("VLOOKUP(H217,IMPORTRANGE(""https://docs.google.com/spreadsheets/d/1opm6ZNvGZ7KditA9TuJwrZ25eFLfTNIkrNnY6mhV5Eg"",""list!A1:C115""),3,TRUE)"),"le secteur de la tech")</f>
        <v xml:space="preserve">le secteur de la tech</v>
      </c>
      <c r="K3812" s="5" t="s">
        <v>27612</v>
      </c>
      <c r="L3812" s="5" t="s">
        <v>27613</v>
      </c>
      <c r="M3812" s="4" t="s">
        <v>27614</v>
      </c>
      <c r="N3812" s="4" t="s">
        <v>29</v>
      </c>
      <c r="O3812" s="4" t="s">
        <v>27583</v>
      </c>
      <c r="P3812" s="4" t="s">
        <v>9969</v>
      </c>
      <c r="Q3812" s="4" t="s">
        <v>27615</v>
      </c>
      <c r="R3812" s="6"/>
      <c r="S3812" s="6"/>
      <c r="T3812" s="6"/>
      <c r="U3812" s="6"/>
      <c r="V3812" s="6"/>
      <c r="W3812" s="6"/>
      <c r="X3812" s="6"/>
      <c r="Y3812" s="6"/>
      <c r="Z3812" s="6"/>
      <c r="AA3812" s="6"/>
    </row>
    <row r="3813" ht="14.25">
      <c r="B3813" s="4" t="s">
        <v>27616</v>
      </c>
      <c r="C3813" s="4" t="s">
        <v>21396</v>
      </c>
      <c r="D3813" s="4" t="s">
        <v>87</v>
      </c>
      <c r="E3813" s="4" t="s">
        <v>21397</v>
      </c>
      <c r="F3813" s="4" t="str">
        <f>IFERROR(__XLUDF.DUMMYFUNCTION("PROPER(REGEXREPLACE(D218,""[^A-Za-z]+ "",""""))"),"Codezys")</f>
        <v>Codezys</v>
      </c>
      <c r="G3813" s="4" t="s">
        <v>21398</v>
      </c>
      <c r="H3813" s="4">
        <v>10</v>
      </c>
      <c r="I3813" s="4" t="s">
        <v>2602</v>
      </c>
      <c r="J3813" s="4" t="str">
        <f>IFERROR(__XLUDF.DUMMYFUNCTION("VLOOKUP(H218,IMPORTRANGE(""https://docs.google.com/spreadsheets/d/1opm6ZNvGZ7KditA9TuJwrZ25eFLfTNIkrNnY6mhV5Eg"",""list!A1:C115""),3,TRUE)"),"le secteur de la tech")</f>
        <v xml:space="preserve">le secteur de la tech</v>
      </c>
      <c r="K3813" s="5" t="s">
        <v>27617</v>
      </c>
      <c r="L3813" s="5" t="s">
        <v>21400</v>
      </c>
      <c r="M3813" s="6"/>
      <c r="N3813" s="4" t="s">
        <v>29</v>
      </c>
      <c r="O3813" s="4" t="s">
        <v>4361</v>
      </c>
      <c r="P3813" s="4" t="s">
        <v>29</v>
      </c>
      <c r="Q3813" s="6"/>
      <c r="R3813" s="6"/>
      <c r="S3813" s="6"/>
      <c r="T3813" s="6"/>
      <c r="U3813" s="6"/>
      <c r="V3813" s="6"/>
      <c r="W3813" s="6"/>
      <c r="X3813" s="6"/>
      <c r="Y3813" s="6"/>
      <c r="Z3813" s="6"/>
      <c r="AA3813" s="6"/>
    </row>
    <row r="3814" ht="14.25">
      <c r="B3814" s="4" t="s">
        <v>322</v>
      </c>
      <c r="C3814" s="4" t="s">
        <v>27618</v>
      </c>
      <c r="D3814" s="4" t="s">
        <v>27619</v>
      </c>
      <c r="E3814" s="4" t="s">
        <v>27620</v>
      </c>
      <c r="F3814" s="4" t="str">
        <f>IFERROR(__XLUDF.DUMMYFUNCTION("PROPER(REGEXREPLACE(D219,""[^A-Za-z]+ "",""""))"),"Tamplo")</f>
        <v>Tamplo</v>
      </c>
      <c r="G3814" s="4" t="s">
        <v>27621</v>
      </c>
      <c r="H3814" s="4">
        <v>14</v>
      </c>
      <c r="I3814" s="4" t="s">
        <v>2602</v>
      </c>
      <c r="J3814" s="4" t="str">
        <f>IFERROR(__XLUDF.DUMMYFUNCTION("VLOOKUP(H219,IMPORTRANGE(""https://docs.google.com/spreadsheets/d/1opm6ZNvGZ7KditA9TuJwrZ25eFLfTNIkrNnY6mhV5Eg"",""list!A1:C115""),3,TRUE)"),"le secteur de la tech")</f>
        <v xml:space="preserve">le secteur de la tech</v>
      </c>
      <c r="K3814" s="5" t="s">
        <v>27622</v>
      </c>
      <c r="L3814" s="5" t="s">
        <v>27623</v>
      </c>
      <c r="M3814" s="4" t="s">
        <v>83</v>
      </c>
      <c r="N3814" s="4" t="s">
        <v>29</v>
      </c>
      <c r="O3814" s="4" t="s">
        <v>27624</v>
      </c>
      <c r="P3814" s="4" t="s">
        <v>29</v>
      </c>
      <c r="Q3814" s="6"/>
      <c r="R3814" s="6"/>
      <c r="S3814" s="6"/>
      <c r="T3814" s="6"/>
      <c r="U3814" s="6"/>
      <c r="V3814" s="6"/>
      <c r="W3814" s="6"/>
      <c r="X3814" s="6"/>
      <c r="Y3814" s="6"/>
      <c r="Z3814" s="6"/>
      <c r="AA3814" s="6"/>
    </row>
    <row r="3815" ht="14.25">
      <c r="B3815" s="4" t="s">
        <v>893</v>
      </c>
      <c r="C3815" s="4" t="s">
        <v>8303</v>
      </c>
      <c r="D3815" s="4" t="s">
        <v>27625</v>
      </c>
      <c r="E3815" s="4" t="s">
        <v>27626</v>
      </c>
      <c r="F3815" s="4" t="str">
        <f>IFERROR(__XLUDF.DUMMYFUNCTION("PROPER(REGEXREPLACE(D220,""[^A-Za-z]+ "",""""))"),"Genki")</f>
        <v>Genki</v>
      </c>
      <c r="G3815" s="4" t="s">
        <v>27627</v>
      </c>
      <c r="H3815" s="4">
        <v>2</v>
      </c>
      <c r="I3815" s="4" t="s">
        <v>2602</v>
      </c>
      <c r="J3815" s="4" t="str">
        <f>IFERROR(__XLUDF.DUMMYFUNCTION("VLOOKUP(H220,IMPORTRANGE(""https://docs.google.com/spreadsheets/d/1opm6ZNvGZ7KditA9TuJwrZ25eFLfTNIkrNnY6mhV5Eg"",""list!A1:C115""),3,TRUE)"),"le secteur de la tech")</f>
        <v xml:space="preserve">le secteur de la tech</v>
      </c>
      <c r="K3815" s="5" t="s">
        <v>27628</v>
      </c>
      <c r="L3815" s="5" t="s">
        <v>27629</v>
      </c>
      <c r="M3815" s="4" t="s">
        <v>39</v>
      </c>
      <c r="N3815" s="4" t="s">
        <v>29</v>
      </c>
      <c r="O3815" s="4" t="s">
        <v>27630</v>
      </c>
      <c r="P3815" s="4" t="s">
        <v>29</v>
      </c>
      <c r="Q3815" s="6"/>
      <c r="R3815" s="6"/>
      <c r="S3815" s="6"/>
      <c r="T3815" s="6"/>
      <c r="U3815" s="6"/>
      <c r="V3815" s="6"/>
      <c r="W3815" s="6"/>
      <c r="X3815" s="6"/>
      <c r="Y3815" s="6"/>
      <c r="Z3815" s="6"/>
      <c r="AA3815" s="6"/>
    </row>
    <row r="3816" ht="14.25">
      <c r="B3816" s="4" t="s">
        <v>27631</v>
      </c>
      <c r="C3816" s="4" t="s">
        <v>6037</v>
      </c>
      <c r="D3816" s="4" t="s">
        <v>26346</v>
      </c>
      <c r="E3816" s="4" t="s">
        <v>27632</v>
      </c>
      <c r="F3816" s="4" t="str">
        <f>IFERROR(__XLUDF.DUMMYFUNCTION("PROPER(REGEXREPLACE(D221,""[^A-Za-z]+ "",""""))"),"Ovea")</f>
        <v>Ovea</v>
      </c>
      <c r="G3816" s="4" t="s">
        <v>27633</v>
      </c>
      <c r="H3816" s="4">
        <v>28</v>
      </c>
      <c r="I3816" s="4" t="s">
        <v>2602</v>
      </c>
      <c r="J3816" s="4" t="str">
        <f>IFERROR(__XLUDF.DUMMYFUNCTION("VLOOKUP(H221,IMPORTRANGE(""https://docs.google.com/spreadsheets/d/1opm6ZNvGZ7KditA9TuJwrZ25eFLfTNIkrNnY6mhV5Eg"",""list!A1:C115""),3,TRUE)"),"le secteur de la tech")</f>
        <v xml:space="preserve">le secteur de la tech</v>
      </c>
      <c r="K3816" s="5" t="s">
        <v>27634</v>
      </c>
      <c r="L3816" s="5" t="s">
        <v>27635</v>
      </c>
      <c r="M3816" s="4" t="s">
        <v>482</v>
      </c>
      <c r="N3816" s="4" t="s">
        <v>29</v>
      </c>
      <c r="O3816" s="4" t="s">
        <v>483</v>
      </c>
      <c r="P3816" s="4" t="s">
        <v>29</v>
      </c>
      <c r="Q3816" s="4" t="s">
        <v>27636</v>
      </c>
      <c r="R3816" s="6"/>
      <c r="S3816" s="6"/>
      <c r="T3816" s="6"/>
      <c r="U3816" s="6"/>
      <c r="V3816" s="6"/>
      <c r="W3816" s="6"/>
      <c r="X3816" s="6"/>
      <c r="Y3816" s="6"/>
      <c r="Z3816" s="6"/>
      <c r="AA3816" s="6"/>
    </row>
    <row r="3817" ht="14.25">
      <c r="B3817" s="4" t="s">
        <v>2242</v>
      </c>
      <c r="C3817" s="4" t="s">
        <v>9580</v>
      </c>
      <c r="D3817" s="4" t="s">
        <v>172</v>
      </c>
      <c r="E3817" s="4" t="s">
        <v>27637</v>
      </c>
      <c r="F3817" s="4" t="str">
        <f>IFERROR(__XLUDF.DUMMYFUNCTION("PROPER(REGEXREPLACE(D222,""[^A-Za-z]+ "",""""))"),"Xperis")</f>
        <v>Xperis</v>
      </c>
      <c r="G3817" s="4" t="s">
        <v>27638</v>
      </c>
      <c r="H3817" s="4">
        <v>17</v>
      </c>
      <c r="I3817" s="4" t="s">
        <v>2602</v>
      </c>
      <c r="J3817" s="4" t="str">
        <f>IFERROR(__XLUDF.DUMMYFUNCTION("VLOOKUP(H222,IMPORTRANGE(""https://docs.google.com/spreadsheets/d/1opm6ZNvGZ7KditA9TuJwrZ25eFLfTNIkrNnY6mhV5Eg"",""list!A1:C115""),3,TRUE)"),"le secteur de la tech")</f>
        <v xml:space="preserve">le secteur de la tech</v>
      </c>
      <c r="K3817" s="5" t="s">
        <v>27639</v>
      </c>
      <c r="L3817" s="5" t="s">
        <v>27640</v>
      </c>
      <c r="M3817" s="4" t="s">
        <v>243</v>
      </c>
      <c r="N3817" s="4" t="s">
        <v>29</v>
      </c>
      <c r="O3817" s="4" t="s">
        <v>1533</v>
      </c>
      <c r="P3817" s="4" t="s">
        <v>29</v>
      </c>
      <c r="Q3817" s="6"/>
      <c r="R3817" s="6"/>
      <c r="S3817" s="6"/>
      <c r="T3817" s="6"/>
      <c r="U3817" s="6"/>
      <c r="V3817" s="6"/>
      <c r="W3817" s="6"/>
      <c r="X3817" s="6"/>
      <c r="Y3817" s="6"/>
      <c r="Z3817" s="6"/>
      <c r="AA3817" s="6"/>
    </row>
    <row r="3818" ht="14.25">
      <c r="B3818" s="4" t="s">
        <v>3072</v>
      </c>
      <c r="C3818" s="4" t="s">
        <v>27641</v>
      </c>
      <c r="D3818" s="4" t="s">
        <v>7192</v>
      </c>
      <c r="E3818" s="4" t="s">
        <v>27642</v>
      </c>
      <c r="F3818" s="4" t="str">
        <f>IFERROR(__XLUDF.DUMMYFUNCTION("PROPER(REGEXREPLACE(D223,""[^A-Za-z]+ "",""""))"),"Agrid")</f>
        <v>Agrid</v>
      </c>
      <c r="G3818" s="4" t="s">
        <v>27643</v>
      </c>
      <c r="H3818" s="4">
        <v>13</v>
      </c>
      <c r="I3818" s="4" t="s">
        <v>2602</v>
      </c>
      <c r="J3818" s="4" t="str">
        <f>IFERROR(__XLUDF.DUMMYFUNCTION("VLOOKUP(H223,IMPORTRANGE(""https://docs.google.com/spreadsheets/d/1opm6ZNvGZ7KditA9TuJwrZ25eFLfTNIkrNnY6mhV5Eg"",""list!A1:C115""),3,TRUE)"),"le secteur de la tech")</f>
        <v xml:space="preserve">le secteur de la tech</v>
      </c>
      <c r="K3818" s="5" t="s">
        <v>27644</v>
      </c>
      <c r="L3818" s="5" t="s">
        <v>27645</v>
      </c>
      <c r="M3818" s="4" t="s">
        <v>39</v>
      </c>
      <c r="N3818" s="4" t="s">
        <v>29</v>
      </c>
      <c r="O3818" s="4" t="s">
        <v>27646</v>
      </c>
      <c r="P3818" s="4" t="s">
        <v>29</v>
      </c>
      <c r="Q3818" s="4" t="s">
        <v>27647</v>
      </c>
      <c r="R3818" s="6"/>
      <c r="S3818" s="6"/>
      <c r="T3818" s="6"/>
      <c r="U3818" s="6"/>
      <c r="V3818" s="6"/>
      <c r="W3818" s="6"/>
      <c r="X3818" s="6"/>
      <c r="Y3818" s="6"/>
      <c r="Z3818" s="6"/>
      <c r="AA3818" s="6"/>
    </row>
    <row r="3819" ht="14.25">
      <c r="B3819" s="4" t="s">
        <v>670</v>
      </c>
      <c r="C3819" s="4" t="s">
        <v>27648</v>
      </c>
      <c r="D3819" s="4" t="s">
        <v>247</v>
      </c>
      <c r="E3819" s="4" t="s">
        <v>18176</v>
      </c>
      <c r="F3819" s="4" t="str">
        <f>IFERROR(__XLUDF.DUMMYFUNCTION("PROPER(REGEXREPLACE(D224,""[^A-Za-z]+ "",""""))"),"Wizzinvest")</f>
        <v>Wizzinvest</v>
      </c>
      <c r="G3819" s="4" t="s">
        <v>27649</v>
      </c>
      <c r="H3819" s="4">
        <v>18</v>
      </c>
      <c r="I3819" s="4" t="s">
        <v>2602</v>
      </c>
      <c r="J3819" s="4" t="str">
        <f>IFERROR(__XLUDF.DUMMYFUNCTION("VLOOKUP(H224,IMPORTRANGE(""https://docs.google.com/spreadsheets/d/1opm6ZNvGZ7KditA9TuJwrZ25eFLfTNIkrNnY6mhV5Eg"",""list!A1:C115""),3,TRUE)"),"le secteur de la tech")</f>
        <v xml:space="preserve">le secteur de la tech</v>
      </c>
      <c r="K3819" s="5" t="s">
        <v>27650</v>
      </c>
      <c r="L3819" s="5" t="s">
        <v>18179</v>
      </c>
      <c r="M3819" s="4" t="s">
        <v>39</v>
      </c>
      <c r="N3819" s="4" t="s">
        <v>29</v>
      </c>
      <c r="O3819" s="4" t="s">
        <v>18180</v>
      </c>
      <c r="P3819" s="4" t="s">
        <v>29</v>
      </c>
      <c r="Q3819" s="4" t="s">
        <v>18181</v>
      </c>
      <c r="R3819" s="6"/>
      <c r="S3819" s="6"/>
      <c r="T3819" s="6"/>
      <c r="U3819" s="6"/>
      <c r="V3819" s="6"/>
      <c r="W3819" s="6"/>
      <c r="X3819" s="6"/>
      <c r="Y3819" s="6"/>
      <c r="Z3819" s="6"/>
      <c r="AA3819" s="6"/>
    </row>
    <row r="3820" ht="14.25">
      <c r="B3820" s="4" t="s">
        <v>27651</v>
      </c>
      <c r="C3820" s="4" t="s">
        <v>27652</v>
      </c>
      <c r="D3820" s="4" t="s">
        <v>27653</v>
      </c>
      <c r="E3820" s="4" t="s">
        <v>18353</v>
      </c>
      <c r="F3820" s="4" t="str">
        <f>IFERROR(__XLUDF.DUMMYFUNCTION("PROPER(REGEXREPLACE(D225,""[^A-Za-z]+ "",""""))"),"Presentid")</f>
        <v>Presentid</v>
      </c>
      <c r="G3820" s="4" t="s">
        <v>27654</v>
      </c>
      <c r="H3820" s="4">
        <v>11</v>
      </c>
      <c r="I3820" s="4" t="s">
        <v>2602</v>
      </c>
      <c r="J3820" s="4" t="str">
        <f>IFERROR(__XLUDF.DUMMYFUNCTION("VLOOKUP(H225,IMPORTRANGE(""https://docs.google.com/spreadsheets/d/1opm6ZNvGZ7KditA9TuJwrZ25eFLfTNIkrNnY6mhV5Eg"",""list!A1:C115""),3,TRUE)"),"le secteur de la tech")</f>
        <v xml:space="preserve">le secteur de la tech</v>
      </c>
      <c r="K3820" s="5" t="s">
        <v>27655</v>
      </c>
      <c r="L3820" s="5" t="s">
        <v>18356</v>
      </c>
      <c r="M3820" s="4" t="s">
        <v>5449</v>
      </c>
      <c r="N3820" s="4" t="s">
        <v>29</v>
      </c>
      <c r="O3820" s="4" t="s">
        <v>1158</v>
      </c>
      <c r="P3820" s="4" t="s">
        <v>29</v>
      </c>
      <c r="Q3820" s="4" t="s">
        <v>18357</v>
      </c>
      <c r="R3820" s="6"/>
      <c r="S3820" s="6"/>
      <c r="T3820" s="6"/>
      <c r="U3820" s="6"/>
      <c r="V3820" s="6"/>
      <c r="W3820" s="6"/>
      <c r="X3820" s="6"/>
      <c r="Y3820" s="6"/>
      <c r="Z3820" s="6"/>
      <c r="AA3820" s="6"/>
    </row>
    <row r="3821" ht="14.25">
      <c r="B3821" s="4" t="s">
        <v>27656</v>
      </c>
      <c r="C3821" s="4" t="s">
        <v>27657</v>
      </c>
      <c r="D3821" s="4" t="s">
        <v>27658</v>
      </c>
      <c r="E3821" s="4" t="s">
        <v>27659</v>
      </c>
      <c r="F3821" s="4" t="str">
        <f>IFERROR(__XLUDF.DUMMYFUNCTION("PROPER(REGEXREPLACE(D226,""[^A-Za-z]+ "",""""))"),"Keleo")</f>
        <v>Keleo</v>
      </c>
      <c r="G3821" s="4" t="s">
        <v>27660</v>
      </c>
      <c r="H3821" s="4">
        <v>18</v>
      </c>
      <c r="I3821" s="4" t="s">
        <v>2602</v>
      </c>
      <c r="J3821" s="4" t="str">
        <f>IFERROR(__XLUDF.DUMMYFUNCTION("VLOOKUP(H226,IMPORTRANGE(""https://docs.google.com/spreadsheets/d/1opm6ZNvGZ7KditA9TuJwrZ25eFLfTNIkrNnY6mhV5Eg"",""list!A1:C115""),3,TRUE)"),"le secteur de la tech")</f>
        <v xml:space="preserve">le secteur de la tech</v>
      </c>
      <c r="K3821" s="5" t="s">
        <v>27661</v>
      </c>
      <c r="L3821" s="5" t="s">
        <v>27662</v>
      </c>
      <c r="M3821" s="4" t="s">
        <v>83</v>
      </c>
      <c r="N3821" s="4" t="s">
        <v>29</v>
      </c>
      <c r="O3821" s="4" t="s">
        <v>27663</v>
      </c>
      <c r="P3821" s="4" t="s">
        <v>29</v>
      </c>
      <c r="Q3821" s="4" t="s">
        <v>27664</v>
      </c>
      <c r="R3821" s="6"/>
      <c r="S3821" s="6"/>
      <c r="T3821" s="6"/>
      <c r="U3821" s="6"/>
      <c r="V3821" s="6"/>
      <c r="W3821" s="6"/>
      <c r="X3821" s="6"/>
      <c r="Y3821" s="6"/>
      <c r="Z3821" s="6"/>
      <c r="AA3821" s="6"/>
    </row>
    <row r="3822" ht="14.25">
      <c r="B3822" s="4" t="s">
        <v>3142</v>
      </c>
      <c r="C3822" s="4" t="s">
        <v>27665</v>
      </c>
      <c r="D3822" s="4" t="s">
        <v>426</v>
      </c>
      <c r="E3822" s="4" t="s">
        <v>27666</v>
      </c>
      <c r="F3822" s="4" t="str">
        <f>IFERROR(__XLUDF.DUMMYFUNCTION("PROPER(REGEXREPLACE(D227,""[^A-Za-z]+ "",""""))"),"Luxant Innovation")</f>
        <v xml:space="preserve">Luxant Innovation</v>
      </c>
      <c r="G3822" s="4" t="s">
        <v>27667</v>
      </c>
      <c r="H3822" s="4">
        <v>13</v>
      </c>
      <c r="I3822" s="4" t="s">
        <v>2602</v>
      </c>
      <c r="J3822" s="4" t="str">
        <f>IFERROR(__XLUDF.DUMMYFUNCTION("VLOOKUP(H227,IMPORTRANGE(""https://docs.google.com/spreadsheets/d/1opm6ZNvGZ7KditA9TuJwrZ25eFLfTNIkrNnY6mhV5Eg"",""list!A1:C115""),3,TRUE)"),"le secteur de la tech")</f>
        <v xml:space="preserve">le secteur de la tech</v>
      </c>
      <c r="K3822" s="5" t="s">
        <v>27668</v>
      </c>
      <c r="L3822" s="5" t="s">
        <v>27669</v>
      </c>
      <c r="M3822" s="4" t="s">
        <v>846</v>
      </c>
      <c r="N3822" s="4" t="s">
        <v>29</v>
      </c>
      <c r="O3822" s="4" t="s">
        <v>27670</v>
      </c>
      <c r="P3822" s="4" t="s">
        <v>29</v>
      </c>
      <c r="Q3822" s="6"/>
      <c r="R3822" s="6"/>
      <c r="S3822" s="6"/>
      <c r="T3822" s="6"/>
      <c r="U3822" s="6"/>
      <c r="V3822" s="6"/>
      <c r="W3822" s="6"/>
      <c r="X3822" s="6"/>
      <c r="Y3822" s="6"/>
      <c r="Z3822" s="6"/>
      <c r="AA3822" s="6"/>
    </row>
    <row r="3823" ht="14.25">
      <c r="B3823" s="4" t="s">
        <v>971</v>
      </c>
      <c r="C3823" s="4" t="s">
        <v>4109</v>
      </c>
      <c r="D3823" s="4" t="s">
        <v>172</v>
      </c>
      <c r="E3823" s="4" t="s">
        <v>27671</v>
      </c>
      <c r="F3823" s="4" t="str">
        <f>IFERROR(__XLUDF.DUMMYFUNCTION("PROPER(REGEXREPLACE(D228,""[^A-Za-z]+ "",""""))"),"Incom Sa")</f>
        <v xml:space="preserve">Incom Sa</v>
      </c>
      <c r="G3823" s="4" t="s">
        <v>27672</v>
      </c>
      <c r="H3823" s="4">
        <v>35</v>
      </c>
      <c r="I3823" s="4" t="s">
        <v>2602</v>
      </c>
      <c r="J3823" s="4" t="str">
        <f>IFERROR(__XLUDF.DUMMYFUNCTION("VLOOKUP(H228,IMPORTRANGE(""https://docs.google.com/spreadsheets/d/1opm6ZNvGZ7KditA9TuJwrZ25eFLfTNIkrNnY6mhV5Eg"",""list!A1:C115""),3,TRUE)"),"le secteur de la tech")</f>
        <v xml:space="preserve">le secteur de la tech</v>
      </c>
      <c r="K3823" s="5" t="s">
        <v>27673</v>
      </c>
      <c r="L3823" s="5" t="s">
        <v>27674</v>
      </c>
      <c r="M3823" s="4" t="s">
        <v>1507</v>
      </c>
      <c r="N3823" s="4" t="s">
        <v>29</v>
      </c>
      <c r="O3823" s="4" t="s">
        <v>27675</v>
      </c>
      <c r="P3823" s="4" t="s">
        <v>29</v>
      </c>
      <c r="Q3823" s="6"/>
      <c r="R3823" s="6"/>
      <c r="S3823" s="6"/>
      <c r="T3823" s="6"/>
      <c r="U3823" s="6"/>
      <c r="V3823" s="6"/>
      <c r="W3823" s="6"/>
      <c r="X3823" s="6"/>
      <c r="Y3823" s="6"/>
      <c r="Z3823" s="6"/>
      <c r="AA3823" s="6"/>
    </row>
    <row r="3824" ht="14.25">
      <c r="B3824" s="4" t="s">
        <v>1948</v>
      </c>
      <c r="C3824" s="4" t="s">
        <v>27676</v>
      </c>
      <c r="D3824" s="4" t="s">
        <v>468</v>
      </c>
      <c r="E3824" s="4" t="s">
        <v>27677</v>
      </c>
      <c r="F3824" s="4" t="str">
        <f>IFERROR(__XLUDF.DUMMYFUNCTION("PROPER(REGEXREPLACE(D229,""[^A-Za-z]+ "",""""))"),"Atchik")</f>
        <v>Atchik</v>
      </c>
      <c r="G3824" s="4" t="s">
        <v>27678</v>
      </c>
      <c r="H3824" s="4">
        <v>38</v>
      </c>
      <c r="I3824" s="4" t="s">
        <v>2602</v>
      </c>
      <c r="J3824" s="4" t="str">
        <f>IFERROR(__XLUDF.DUMMYFUNCTION("VLOOKUP(H229,IMPORTRANGE(""https://docs.google.com/spreadsheets/d/1opm6ZNvGZ7KditA9TuJwrZ25eFLfTNIkrNnY6mhV5Eg"",""list!A1:C115""),3,TRUE)"),"le secteur de la tech")</f>
        <v xml:space="preserve">le secteur de la tech</v>
      </c>
      <c r="K3824" s="5" t="s">
        <v>27679</v>
      </c>
      <c r="L3824" s="5" t="s">
        <v>27680</v>
      </c>
      <c r="M3824" s="4" t="s">
        <v>83</v>
      </c>
      <c r="N3824" s="4" t="s">
        <v>29</v>
      </c>
      <c r="O3824" s="4" t="s">
        <v>27681</v>
      </c>
      <c r="P3824" s="4" t="s">
        <v>29</v>
      </c>
      <c r="Q3824" s="4" t="s">
        <v>27682</v>
      </c>
      <c r="R3824" s="6"/>
      <c r="S3824" s="6"/>
      <c r="T3824" s="6"/>
      <c r="U3824" s="6"/>
      <c r="V3824" s="6"/>
      <c r="W3824" s="6"/>
      <c r="X3824" s="6"/>
      <c r="Y3824" s="6"/>
      <c r="Z3824" s="6"/>
      <c r="AA3824" s="6"/>
    </row>
    <row r="3825" ht="14.25">
      <c r="B3825" s="4" t="s">
        <v>298</v>
      </c>
      <c r="C3825" s="4" t="s">
        <v>27683</v>
      </c>
      <c r="D3825" s="4" t="s">
        <v>62</v>
      </c>
      <c r="E3825" s="4" t="s">
        <v>27684</v>
      </c>
      <c r="F3825" s="4" t="str">
        <f>IFERROR(__XLUDF.DUMMYFUNCTION("PROPER(REGEXREPLACE(D230,""[^A-Za-z]+ "",""""))"),"Wondeur Ai")</f>
        <v xml:space="preserve">Wondeur Ai</v>
      </c>
      <c r="G3825" s="4" t="s">
        <v>27685</v>
      </c>
      <c r="H3825" s="4">
        <v>11</v>
      </c>
      <c r="I3825" s="4" t="s">
        <v>2602</v>
      </c>
      <c r="J3825" s="4" t="str">
        <f>IFERROR(__XLUDF.DUMMYFUNCTION("VLOOKUP(H230,IMPORTRANGE(""https://docs.google.com/spreadsheets/d/1opm6ZNvGZ7KditA9TuJwrZ25eFLfTNIkrNnY6mhV5Eg"",""list!A1:C115""),3,TRUE)"),"le secteur de la tech")</f>
        <v xml:space="preserve">le secteur de la tech</v>
      </c>
      <c r="K3825" s="5" t="s">
        <v>27686</v>
      </c>
      <c r="L3825" s="5" t="s">
        <v>27687</v>
      </c>
      <c r="M3825" s="4" t="s">
        <v>39</v>
      </c>
      <c r="N3825" s="4" t="s">
        <v>29</v>
      </c>
      <c r="O3825" s="4" t="s">
        <v>27688</v>
      </c>
      <c r="P3825" s="4" t="s">
        <v>2666</v>
      </c>
      <c r="Q3825" s="4" t="s">
        <v>27689</v>
      </c>
      <c r="R3825" s="6"/>
      <c r="S3825" s="6"/>
      <c r="T3825" s="6"/>
      <c r="U3825" s="6"/>
      <c r="V3825" s="6"/>
      <c r="W3825" s="6"/>
      <c r="X3825" s="6"/>
      <c r="Y3825" s="6"/>
      <c r="Z3825" s="6"/>
      <c r="AA3825" s="6"/>
    </row>
    <row r="3826" ht="14.25">
      <c r="B3826" s="4" t="s">
        <v>27690</v>
      </c>
      <c r="C3826" s="4" t="s">
        <v>27691</v>
      </c>
      <c r="D3826" s="4" t="s">
        <v>27692</v>
      </c>
      <c r="E3826" s="4" t="s">
        <v>27693</v>
      </c>
      <c r="F3826" s="4" t="str">
        <f>IFERROR(__XLUDF.DUMMYFUNCTION("PROPER(REGEXREPLACE(D231,""[^A-Za-z]+ "",""""))"),"Rubyx")</f>
        <v>Rubyx</v>
      </c>
      <c r="G3826" s="4" t="s">
        <v>27694</v>
      </c>
      <c r="H3826" s="4">
        <v>21</v>
      </c>
      <c r="I3826" s="4" t="s">
        <v>2602</v>
      </c>
      <c r="J3826" s="4" t="str">
        <f>IFERROR(__XLUDF.DUMMYFUNCTION("VLOOKUP(H231,IMPORTRANGE(""https://docs.google.com/spreadsheets/d/1opm6ZNvGZ7KditA9TuJwrZ25eFLfTNIkrNnY6mhV5Eg"",""list!A1:C115""),3,TRUE)"),"le secteur de la tech")</f>
        <v xml:space="preserve">le secteur de la tech</v>
      </c>
      <c r="K3826" s="5" t="s">
        <v>27695</v>
      </c>
      <c r="L3826" s="5" t="s">
        <v>27696</v>
      </c>
      <c r="M3826" s="4" t="s">
        <v>39</v>
      </c>
      <c r="N3826" s="4" t="s">
        <v>29</v>
      </c>
      <c r="O3826" s="4" t="s">
        <v>27697</v>
      </c>
      <c r="P3826" s="4" t="s">
        <v>6715</v>
      </c>
      <c r="Q3826" s="4" t="s">
        <v>27698</v>
      </c>
      <c r="R3826" s="6"/>
      <c r="S3826" s="6"/>
      <c r="T3826" s="6"/>
      <c r="U3826" s="6"/>
      <c r="V3826" s="6"/>
      <c r="W3826" s="6"/>
      <c r="X3826" s="6"/>
      <c r="Y3826" s="6"/>
      <c r="Z3826" s="6"/>
      <c r="AA3826" s="6"/>
    </row>
    <row r="3827" ht="14.25">
      <c r="B3827" s="4" t="s">
        <v>27699</v>
      </c>
      <c r="C3827" s="4" t="s">
        <v>27700</v>
      </c>
      <c r="D3827" s="4" t="s">
        <v>62</v>
      </c>
      <c r="E3827" s="4" t="s">
        <v>27701</v>
      </c>
      <c r="F3827" s="4" t="str">
        <f>IFERROR(__XLUDF.DUMMYFUNCTION("PROPER(REGEXREPLACE(D232,""[^A-Za-z]+ "",""""))"),"Vatilab")</f>
        <v>Vatilab</v>
      </c>
      <c r="G3827" s="4" t="s">
        <v>27702</v>
      </c>
      <c r="H3827" s="4">
        <v>18</v>
      </c>
      <c r="I3827" s="4" t="s">
        <v>2602</v>
      </c>
      <c r="J3827" s="4" t="str">
        <f>IFERROR(__XLUDF.DUMMYFUNCTION("VLOOKUP(H232,IMPORTRANGE(""https://docs.google.com/spreadsheets/d/1opm6ZNvGZ7KditA9TuJwrZ25eFLfTNIkrNnY6mhV5Eg"",""list!A1:C115""),3,TRUE)"),"le secteur de la tech")</f>
        <v xml:space="preserve">le secteur de la tech</v>
      </c>
      <c r="K3827" s="5" t="s">
        <v>27703</v>
      </c>
      <c r="L3827" s="5" t="s">
        <v>27704</v>
      </c>
      <c r="M3827" s="4" t="s">
        <v>39</v>
      </c>
      <c r="N3827" s="4" t="s">
        <v>29</v>
      </c>
      <c r="O3827" s="4" t="s">
        <v>27705</v>
      </c>
      <c r="P3827" s="4" t="s">
        <v>29</v>
      </c>
      <c r="Q3827" s="4" t="s">
        <v>27706</v>
      </c>
      <c r="R3827" s="6"/>
      <c r="S3827" s="6"/>
      <c r="T3827" s="6"/>
      <c r="U3827" s="6"/>
      <c r="V3827" s="6"/>
      <c r="W3827" s="6"/>
      <c r="X3827" s="6"/>
      <c r="Y3827" s="6"/>
      <c r="Z3827" s="6"/>
      <c r="AA3827" s="6"/>
    </row>
    <row r="3828" ht="14.25">
      <c r="B3828" s="4" t="s">
        <v>355</v>
      </c>
      <c r="C3828" s="4" t="s">
        <v>27707</v>
      </c>
      <c r="D3828" s="4" t="s">
        <v>27708</v>
      </c>
      <c r="E3828" s="4" t="s">
        <v>27511</v>
      </c>
      <c r="F3828" s="4" t="str">
        <f>IFERROR(__XLUDF.DUMMYFUNCTION("PROPER(REGEXREPLACE(D233,""[^A-Za-z]+ "",""""))"),"Locomotive")</f>
        <v>Locomotive</v>
      </c>
      <c r="G3828" s="4" t="s">
        <v>27709</v>
      </c>
      <c r="H3828" s="4">
        <v>12</v>
      </c>
      <c r="I3828" s="4" t="s">
        <v>2602</v>
      </c>
      <c r="J3828" s="4" t="str">
        <f>IFERROR(__XLUDF.DUMMYFUNCTION("VLOOKUP(H233,IMPORTRANGE(""https://docs.google.com/spreadsheets/d/1opm6ZNvGZ7KditA9TuJwrZ25eFLfTNIkrNnY6mhV5Eg"",""list!A1:C115""),3,TRUE)"),"le secteur de la tech")</f>
        <v xml:space="preserve">le secteur de la tech</v>
      </c>
      <c r="K3828" s="5" t="s">
        <v>27710</v>
      </c>
      <c r="L3828" s="5" t="s">
        <v>27514</v>
      </c>
      <c r="M3828" s="4" t="s">
        <v>27711</v>
      </c>
      <c r="N3828" s="4" t="s">
        <v>29</v>
      </c>
      <c r="O3828" s="4" t="s">
        <v>67</v>
      </c>
      <c r="P3828" s="4" t="s">
        <v>29</v>
      </c>
      <c r="Q3828" s="6"/>
      <c r="R3828" s="6"/>
      <c r="S3828" s="6"/>
      <c r="T3828" s="6"/>
      <c r="U3828" s="6"/>
      <c r="V3828" s="6"/>
      <c r="W3828" s="6"/>
      <c r="X3828" s="6"/>
      <c r="Y3828" s="6"/>
      <c r="Z3828" s="6"/>
      <c r="AA3828" s="6"/>
    </row>
    <row r="3829" ht="14.25">
      <c r="B3829" s="4" t="s">
        <v>76</v>
      </c>
      <c r="C3829" s="4" t="s">
        <v>27712</v>
      </c>
      <c r="D3829" s="4" t="s">
        <v>27713</v>
      </c>
      <c r="E3829" s="4" t="s">
        <v>27714</v>
      </c>
      <c r="F3829" s="4" t="str">
        <f>IFERROR(__XLUDF.DUMMYFUNCTION("PROPER(REGEXREPLACE(D234,""[^A-Za-z]+ "",""""))"),"Fillndrive")</f>
        <v>Fillndrive</v>
      </c>
      <c r="G3829" s="4" t="s">
        <v>27715</v>
      </c>
      <c r="H3829" s="4">
        <v>16</v>
      </c>
      <c r="I3829" s="4" t="s">
        <v>2602</v>
      </c>
      <c r="J3829" s="4" t="str">
        <f>IFERROR(__XLUDF.DUMMYFUNCTION("VLOOKUP(H234,IMPORTRANGE(""https://docs.google.com/spreadsheets/d/1opm6ZNvGZ7KditA9TuJwrZ25eFLfTNIkrNnY6mhV5Eg"",""list!A1:C115""),3,TRUE)"),"le secteur de la tech")</f>
        <v xml:space="preserve">le secteur de la tech</v>
      </c>
      <c r="K3829" s="5" t="s">
        <v>27716</v>
      </c>
      <c r="L3829" s="5" t="s">
        <v>27717</v>
      </c>
      <c r="M3829" s="4" t="s">
        <v>27718</v>
      </c>
      <c r="N3829" s="4" t="s">
        <v>29</v>
      </c>
      <c r="O3829" s="4" t="s">
        <v>27719</v>
      </c>
      <c r="P3829" s="4" t="s">
        <v>29</v>
      </c>
      <c r="Q3829" s="4" t="s">
        <v>27720</v>
      </c>
      <c r="R3829" s="6"/>
      <c r="S3829" s="6"/>
      <c r="T3829" s="6"/>
      <c r="U3829" s="6"/>
      <c r="V3829" s="6"/>
      <c r="W3829" s="6"/>
      <c r="X3829" s="6"/>
      <c r="Y3829" s="6"/>
      <c r="Z3829" s="6"/>
      <c r="AA3829" s="6"/>
    </row>
    <row r="3830" ht="14.25">
      <c r="B3830" s="4" t="s">
        <v>1070</v>
      </c>
      <c r="C3830" s="4" t="s">
        <v>27721</v>
      </c>
      <c r="D3830" s="4" t="s">
        <v>22013</v>
      </c>
      <c r="E3830" s="4" t="s">
        <v>22014</v>
      </c>
      <c r="F3830" s="4" t="str">
        <f>IFERROR(__XLUDF.DUMMYFUNCTION("PROPER(REGEXREPLACE(D235,""[^A-Za-z]+ "",""""))"),"Upscale Hub")</f>
        <v xml:space="preserve">Upscale Hub</v>
      </c>
      <c r="G3830" s="4" t="s">
        <v>27722</v>
      </c>
      <c r="H3830" s="4">
        <v>11</v>
      </c>
      <c r="I3830" s="4" t="s">
        <v>2602</v>
      </c>
      <c r="J3830" s="4" t="str">
        <f>IFERROR(__XLUDF.DUMMYFUNCTION("VLOOKUP(H235,IMPORTRANGE(""https://docs.google.com/spreadsheets/d/1opm6ZNvGZ7KditA9TuJwrZ25eFLfTNIkrNnY6mhV5Eg"",""list!A1:C115""),3,TRUE)"),"le secteur de la tech")</f>
        <v xml:space="preserve">le secteur de la tech</v>
      </c>
      <c r="K3830" s="5" t="s">
        <v>27723</v>
      </c>
      <c r="L3830" s="5" t="s">
        <v>22017</v>
      </c>
      <c r="M3830" s="4" t="s">
        <v>83</v>
      </c>
      <c r="N3830" s="4" t="s">
        <v>29</v>
      </c>
      <c r="O3830" s="6"/>
      <c r="P3830" s="6"/>
      <c r="Q3830" s="4" t="s">
        <v>22018</v>
      </c>
      <c r="R3830" s="6"/>
      <c r="S3830" s="6"/>
      <c r="T3830" s="6"/>
      <c r="U3830" s="6"/>
      <c r="V3830" s="6"/>
      <c r="W3830" s="6"/>
      <c r="X3830" s="6"/>
      <c r="Y3830" s="6"/>
      <c r="Z3830" s="6"/>
      <c r="AA3830" s="6"/>
    </row>
    <row r="3831" ht="14.25">
      <c r="B3831" s="4" t="s">
        <v>1454</v>
      </c>
      <c r="C3831" s="4" t="s">
        <v>27724</v>
      </c>
      <c r="D3831" s="4" t="s">
        <v>27725</v>
      </c>
      <c r="E3831" s="4" t="s">
        <v>15144</v>
      </c>
      <c r="F3831" s="4" t="str">
        <f>IFERROR(__XLUDF.DUMMYFUNCTION("PROPER(REGEXREPLACE(D236,""[^A-Za-z]+ "",""""))"),"Qorum Secur'Num")</f>
        <v xml:space="preserve">Qorum Secur'Num</v>
      </c>
      <c r="G3831" s="4" t="s">
        <v>27726</v>
      </c>
      <c r="H3831" s="4">
        <v>40</v>
      </c>
      <c r="I3831" s="4" t="s">
        <v>2602</v>
      </c>
      <c r="J3831" s="4" t="str">
        <f>IFERROR(__XLUDF.DUMMYFUNCTION("VLOOKUP(H236,IMPORTRANGE(""https://docs.google.com/spreadsheets/d/1opm6ZNvGZ7KditA9TuJwrZ25eFLfTNIkrNnY6mhV5Eg"",""list!A1:C115""),3,TRUE)"),"le secteur de la tech")</f>
        <v xml:space="preserve">le secteur de la tech</v>
      </c>
      <c r="K3831" s="5" t="s">
        <v>27727</v>
      </c>
      <c r="L3831" s="5" t="s">
        <v>27728</v>
      </c>
      <c r="M3831" s="4" t="s">
        <v>16314</v>
      </c>
      <c r="N3831" s="4" t="s">
        <v>29</v>
      </c>
      <c r="O3831" s="4" t="s">
        <v>27729</v>
      </c>
      <c r="P3831" s="4" t="s">
        <v>29</v>
      </c>
      <c r="Q3831" s="4" t="s">
        <v>15149</v>
      </c>
      <c r="R3831" s="6"/>
      <c r="S3831" s="6"/>
      <c r="T3831" s="6"/>
      <c r="U3831" s="6"/>
      <c r="V3831" s="6"/>
      <c r="W3831" s="6"/>
      <c r="X3831" s="6"/>
      <c r="Y3831" s="6"/>
      <c r="Z3831" s="6"/>
      <c r="AA3831" s="6"/>
    </row>
    <row r="3832" ht="14.25">
      <c r="B3832" s="4" t="s">
        <v>19161</v>
      </c>
      <c r="C3832" s="4" t="s">
        <v>27730</v>
      </c>
      <c r="D3832" s="4" t="s">
        <v>2911</v>
      </c>
      <c r="E3832" s="4" t="s">
        <v>27731</v>
      </c>
      <c r="F3832" s="4" t="str">
        <f>IFERROR(__XLUDF.DUMMYFUNCTION("PROPER(REGEXREPLACE(D237,""[^A-Za-z]+ "",""""))"),"Alphaday")</f>
        <v>Alphaday</v>
      </c>
      <c r="G3832" s="4" t="s">
        <v>27732</v>
      </c>
      <c r="H3832" s="4">
        <v>7</v>
      </c>
      <c r="I3832" s="4" t="s">
        <v>2602</v>
      </c>
      <c r="J3832" s="4" t="str">
        <f>IFERROR(__XLUDF.DUMMYFUNCTION("VLOOKUP(H237,IMPORTRANGE(""https://docs.google.com/spreadsheets/d/1opm6ZNvGZ7KditA9TuJwrZ25eFLfTNIkrNnY6mhV5Eg"",""list!A1:C115""),3,TRUE)"),"le secteur de la tech")</f>
        <v xml:space="preserve">le secteur de la tech</v>
      </c>
      <c r="K3832" s="5" t="s">
        <v>27733</v>
      </c>
      <c r="L3832" s="5" t="s">
        <v>27734</v>
      </c>
      <c r="M3832" s="4" t="s">
        <v>83</v>
      </c>
      <c r="N3832" s="4" t="s">
        <v>29</v>
      </c>
      <c r="O3832" s="4" t="s">
        <v>27735</v>
      </c>
      <c r="P3832" s="4" t="s">
        <v>8427</v>
      </c>
      <c r="Q3832" s="4" t="s">
        <v>27736</v>
      </c>
      <c r="R3832" s="6"/>
      <c r="S3832" s="6"/>
      <c r="T3832" s="6"/>
      <c r="U3832" s="6"/>
      <c r="V3832" s="6"/>
      <c r="W3832" s="6"/>
      <c r="X3832" s="6"/>
      <c r="Y3832" s="6"/>
      <c r="Z3832" s="6"/>
      <c r="AA3832" s="6"/>
    </row>
    <row r="3833" ht="14.25">
      <c r="B3833" s="4" t="s">
        <v>1619</v>
      </c>
      <c r="C3833" s="4" t="s">
        <v>27737</v>
      </c>
      <c r="D3833" s="4" t="s">
        <v>172</v>
      </c>
      <c r="E3833" s="4" t="s">
        <v>27738</v>
      </c>
      <c r="F3833" s="4" t="str">
        <f>IFERROR(__XLUDF.DUMMYFUNCTION("PROPER(REGEXREPLACE(D238,""[^A-Za-z]+ "",""""))"),"Neo-Fugu®")</f>
        <v>Neo-Fugu®</v>
      </c>
      <c r="G3833" s="4" t="s">
        <v>27739</v>
      </c>
      <c r="H3833" s="4">
        <v>39</v>
      </c>
      <c r="I3833" s="4" t="s">
        <v>2602</v>
      </c>
      <c r="J3833" s="4" t="str">
        <f>IFERROR(__XLUDF.DUMMYFUNCTION("VLOOKUP(H238,IMPORTRANGE(""https://docs.google.com/spreadsheets/d/1opm6ZNvGZ7KditA9TuJwrZ25eFLfTNIkrNnY6mhV5Eg"",""list!A1:C115""),3,TRUE)"),"le secteur de la tech")</f>
        <v xml:space="preserve">le secteur de la tech</v>
      </c>
      <c r="K3833" s="5" t="s">
        <v>27740</v>
      </c>
      <c r="L3833" s="5" t="s">
        <v>27741</v>
      </c>
      <c r="M3833" s="4" t="s">
        <v>9237</v>
      </c>
      <c r="N3833" s="4" t="s">
        <v>29</v>
      </c>
      <c r="O3833" s="4" t="s">
        <v>26383</v>
      </c>
      <c r="P3833" s="4" t="s">
        <v>29</v>
      </c>
      <c r="Q3833" s="4" t="s">
        <v>27742</v>
      </c>
      <c r="R3833" s="6"/>
      <c r="S3833" s="6"/>
      <c r="T3833" s="6"/>
      <c r="U3833" s="6"/>
      <c r="V3833" s="6"/>
      <c r="W3833" s="6"/>
      <c r="X3833" s="6"/>
      <c r="Y3833" s="6"/>
      <c r="Z3833" s="6"/>
      <c r="AA3833" s="6"/>
    </row>
    <row r="3834" ht="14.25">
      <c r="B3834" s="4" t="s">
        <v>4800</v>
      </c>
      <c r="C3834" s="4" t="s">
        <v>27743</v>
      </c>
      <c r="D3834" s="4" t="s">
        <v>4442</v>
      </c>
      <c r="E3834" s="4" t="s">
        <v>27345</v>
      </c>
      <c r="F3834" s="4" t="str">
        <f>IFERROR(__XLUDF.DUMMYFUNCTION("PROPER(REGEXREPLACE(D239,""[^A-Za-z]+ "",""""))"),"Kairntech")</f>
        <v>Kairntech</v>
      </c>
      <c r="G3834" s="4" t="s">
        <v>27744</v>
      </c>
      <c r="H3834" s="4">
        <v>10</v>
      </c>
      <c r="I3834" s="4" t="s">
        <v>2602</v>
      </c>
      <c r="J3834" s="4" t="str">
        <f>IFERROR(__XLUDF.DUMMYFUNCTION("VLOOKUP(H239,IMPORTRANGE(""https://docs.google.com/spreadsheets/d/1opm6ZNvGZ7KditA9TuJwrZ25eFLfTNIkrNnY6mhV5Eg"",""list!A1:C115""),3,TRUE)"),"le secteur de la tech")</f>
        <v xml:space="preserve">le secteur de la tech</v>
      </c>
      <c r="K3834" s="5" t="s">
        <v>27745</v>
      </c>
      <c r="L3834" s="5" t="s">
        <v>27348</v>
      </c>
      <c r="M3834" s="4" t="s">
        <v>1419</v>
      </c>
      <c r="N3834" s="4" t="s">
        <v>29</v>
      </c>
      <c r="O3834" s="4" t="s">
        <v>27349</v>
      </c>
      <c r="P3834" s="4" t="s">
        <v>29</v>
      </c>
      <c r="Q3834" s="4" t="s">
        <v>27350</v>
      </c>
      <c r="R3834" s="6"/>
      <c r="S3834" s="6"/>
      <c r="T3834" s="6"/>
      <c r="U3834" s="6"/>
      <c r="V3834" s="6"/>
      <c r="W3834" s="6"/>
      <c r="X3834" s="6"/>
      <c r="Y3834" s="6"/>
      <c r="Z3834" s="6"/>
      <c r="AA3834" s="6"/>
    </row>
    <row r="3835" ht="14.25">
      <c r="B3835" s="4" t="s">
        <v>76</v>
      </c>
      <c r="C3835" s="4" t="s">
        <v>27746</v>
      </c>
      <c r="D3835" s="4" t="s">
        <v>44</v>
      </c>
      <c r="E3835" s="4" t="s">
        <v>27747</v>
      </c>
      <c r="F3835" s="4" t="str">
        <f>IFERROR(__XLUDF.DUMMYFUNCTION("PROPER(REGEXREPLACE(D240,""[^A-Za-z]+ "",""""))"),"Fjtechlab International")</f>
        <v xml:space="preserve">Fjtechlab International</v>
      </c>
      <c r="G3835" s="4" t="s">
        <v>27748</v>
      </c>
      <c r="H3835" s="4">
        <v>11</v>
      </c>
      <c r="I3835" s="4" t="s">
        <v>2602</v>
      </c>
      <c r="J3835" s="4" t="str">
        <f>IFERROR(__XLUDF.DUMMYFUNCTION("VLOOKUP(H240,IMPORTRANGE(""https://docs.google.com/spreadsheets/d/1opm6ZNvGZ7KditA9TuJwrZ25eFLfTNIkrNnY6mhV5Eg"",""list!A1:C115""),3,TRUE)"),"le secteur de la tech")</f>
        <v xml:space="preserve">le secteur de la tech</v>
      </c>
      <c r="K3835" s="5" t="s">
        <v>27749</v>
      </c>
      <c r="L3835" s="5" t="s">
        <v>27750</v>
      </c>
      <c r="M3835" s="4" t="s">
        <v>39</v>
      </c>
      <c r="N3835" s="4" t="s">
        <v>29</v>
      </c>
      <c r="O3835" s="4" t="s">
        <v>27751</v>
      </c>
      <c r="P3835" s="4" t="s">
        <v>11580</v>
      </c>
      <c r="Q3835" s="4" t="s">
        <v>27752</v>
      </c>
      <c r="R3835" s="6"/>
      <c r="S3835" s="6"/>
      <c r="T3835" s="6"/>
      <c r="U3835" s="6"/>
      <c r="V3835" s="6"/>
      <c r="W3835" s="6"/>
      <c r="X3835" s="6"/>
      <c r="Y3835" s="6"/>
      <c r="Z3835" s="6"/>
      <c r="AA3835" s="6"/>
    </row>
    <row r="3836" ht="14.25">
      <c r="B3836" s="4" t="s">
        <v>1732</v>
      </c>
      <c r="C3836" s="4" t="s">
        <v>27753</v>
      </c>
      <c r="D3836" s="4" t="s">
        <v>12873</v>
      </c>
      <c r="E3836" s="4" t="s">
        <v>12803</v>
      </c>
      <c r="F3836" s="4" t="str">
        <f>IFERROR(__XLUDF.DUMMYFUNCTION("PROPER(REGEXREPLACE(D241,""[^A-Za-z]+ "",""""))"),"Getwelcom")</f>
        <v>Getwelcom</v>
      </c>
      <c r="G3836" s="4" t="s">
        <v>27754</v>
      </c>
      <c r="H3836" s="4">
        <v>11</v>
      </c>
      <c r="I3836" s="4" t="s">
        <v>2602</v>
      </c>
      <c r="J3836" s="4" t="str">
        <f>IFERROR(__XLUDF.DUMMYFUNCTION("VLOOKUP(H241,IMPORTRANGE(""https://docs.google.com/spreadsheets/d/1opm6ZNvGZ7KditA9TuJwrZ25eFLfTNIkrNnY6mhV5Eg"",""list!A1:C115""),3,TRUE)"),"le secteur de la tech")</f>
        <v xml:space="preserve">le secteur de la tech</v>
      </c>
      <c r="K3836" s="5" t="s">
        <v>27755</v>
      </c>
      <c r="L3836" s="5" t="s">
        <v>20063</v>
      </c>
      <c r="M3836" s="4" t="s">
        <v>39</v>
      </c>
      <c r="N3836" s="4" t="s">
        <v>29</v>
      </c>
      <c r="O3836" s="4" t="s">
        <v>67</v>
      </c>
      <c r="P3836" s="4" t="s">
        <v>29</v>
      </c>
      <c r="Q3836" s="4" t="s">
        <v>12807</v>
      </c>
      <c r="R3836" s="6"/>
      <c r="S3836" s="6"/>
      <c r="T3836" s="6"/>
      <c r="U3836" s="6"/>
      <c r="V3836" s="6"/>
      <c r="W3836" s="6"/>
      <c r="X3836" s="6"/>
      <c r="Y3836" s="6"/>
      <c r="Z3836" s="6"/>
      <c r="AA3836" s="6"/>
    </row>
    <row r="3837" ht="14.25">
      <c r="B3837" s="4" t="s">
        <v>571</v>
      </c>
      <c r="C3837" s="4" t="s">
        <v>27756</v>
      </c>
      <c r="D3837" s="4" t="s">
        <v>27757</v>
      </c>
      <c r="E3837" s="4" t="s">
        <v>27758</v>
      </c>
      <c r="F3837" s="4" t="str">
        <f>IFERROR(__XLUDF.DUMMYFUNCTION("PROPER(REGEXREPLACE(D242,""[^A-Za-z]+ "",""""))"),"Saas Office 📊")</f>
        <v xml:space="preserve">Saas Office 📊</v>
      </c>
      <c r="G3837" s="4" t="s">
        <v>27759</v>
      </c>
      <c r="H3837" s="4">
        <v>37</v>
      </c>
      <c r="I3837" s="4" t="s">
        <v>2602</v>
      </c>
      <c r="J3837" s="4" t="str">
        <f>IFERROR(__XLUDF.DUMMYFUNCTION("VLOOKUP(H242,IMPORTRANGE(""https://docs.google.com/spreadsheets/d/1opm6ZNvGZ7KditA9TuJwrZ25eFLfTNIkrNnY6mhV5Eg"",""list!A1:C115""),3,TRUE)"),"le secteur de la tech")</f>
        <v xml:space="preserve">le secteur de la tech</v>
      </c>
      <c r="K3837" s="5" t="s">
        <v>27760</v>
      </c>
      <c r="L3837" s="5" t="s">
        <v>27761</v>
      </c>
      <c r="M3837" s="4" t="s">
        <v>49</v>
      </c>
      <c r="N3837" s="4" t="s">
        <v>29</v>
      </c>
      <c r="O3837" s="4" t="s">
        <v>27762</v>
      </c>
      <c r="P3837" s="4" t="s">
        <v>1261</v>
      </c>
      <c r="Q3837" s="4" t="s">
        <v>27763</v>
      </c>
      <c r="R3837" s="6"/>
      <c r="S3837" s="6"/>
      <c r="T3837" s="6"/>
      <c r="U3837" s="6"/>
      <c r="V3837" s="6"/>
      <c r="W3837" s="6"/>
      <c r="X3837" s="6"/>
      <c r="Y3837" s="6"/>
      <c r="Z3837" s="6"/>
      <c r="AA3837" s="6"/>
    </row>
    <row r="3838" ht="14.25">
      <c r="B3838" s="4" t="s">
        <v>5873</v>
      </c>
      <c r="C3838" s="4" t="s">
        <v>27764</v>
      </c>
      <c r="D3838" s="4" t="s">
        <v>27765</v>
      </c>
      <c r="E3838" s="4" t="s">
        <v>27766</v>
      </c>
      <c r="F3838" s="4" t="str">
        <f>IFERROR(__XLUDF.DUMMYFUNCTION("PROPER(REGEXREPLACE(D243,""[^A-Za-z]+ "",""""))"),"The Quantic Factory")</f>
        <v xml:space="preserve">The Quantic Factory</v>
      </c>
      <c r="G3838" s="4" t="s">
        <v>27767</v>
      </c>
      <c r="H3838" s="4">
        <v>15</v>
      </c>
      <c r="I3838" s="4" t="s">
        <v>2602</v>
      </c>
      <c r="J3838" s="4" t="str">
        <f>IFERROR(__XLUDF.DUMMYFUNCTION("VLOOKUP(H243,IMPORTRANGE(""https://docs.google.com/spreadsheets/d/1opm6ZNvGZ7KditA9TuJwrZ25eFLfTNIkrNnY6mhV5Eg"",""list!A1:C115""),3,TRUE)"),"le secteur de la tech")</f>
        <v xml:space="preserve">le secteur de la tech</v>
      </c>
      <c r="K3838" s="5" t="s">
        <v>27768</v>
      </c>
      <c r="L3838" s="5" t="s">
        <v>27769</v>
      </c>
      <c r="M3838" s="4" t="s">
        <v>39</v>
      </c>
      <c r="N3838" s="4" t="s">
        <v>29</v>
      </c>
      <c r="O3838" s="4" t="s">
        <v>27770</v>
      </c>
      <c r="P3838" s="4" t="s">
        <v>29</v>
      </c>
      <c r="Q3838" s="4" t="s">
        <v>27771</v>
      </c>
      <c r="R3838" s="6"/>
      <c r="S3838" s="6"/>
      <c r="T3838" s="6"/>
      <c r="U3838" s="6"/>
      <c r="V3838" s="6"/>
      <c r="W3838" s="6"/>
      <c r="X3838" s="6"/>
      <c r="Y3838" s="6"/>
      <c r="Z3838" s="6"/>
      <c r="AA3838" s="6"/>
    </row>
    <row r="3839" ht="14.25">
      <c r="B3839" s="4" t="s">
        <v>1740</v>
      </c>
      <c r="C3839" s="4" t="s">
        <v>27772</v>
      </c>
      <c r="D3839" s="4" t="s">
        <v>87</v>
      </c>
      <c r="E3839" s="4" t="s">
        <v>27773</v>
      </c>
      <c r="F3839" s="4" t="str">
        <f>IFERROR(__XLUDF.DUMMYFUNCTION("PROPER(REGEXREPLACE(D244,""[^A-Za-z]+ "",""""))"),"Gopadma Technologies Pvt")</f>
        <v xml:space="preserve">Gopadma Technologies Pvt</v>
      </c>
      <c r="G3839" s="4" t="s">
        <v>27774</v>
      </c>
      <c r="H3839" s="4">
        <v>13</v>
      </c>
      <c r="I3839" s="4" t="s">
        <v>2602</v>
      </c>
      <c r="J3839" s="4" t="str">
        <f>IFERROR(__XLUDF.DUMMYFUNCTION("VLOOKUP(H244,IMPORTRANGE(""https://docs.google.com/spreadsheets/d/1opm6ZNvGZ7KditA9TuJwrZ25eFLfTNIkrNnY6mhV5Eg"",""list!A1:C115""),3,TRUE)"),"le secteur de la tech")</f>
        <v xml:space="preserve">le secteur de la tech</v>
      </c>
      <c r="K3839" s="5" t="s">
        <v>27775</v>
      </c>
      <c r="L3839" s="5" t="s">
        <v>27776</v>
      </c>
      <c r="M3839" s="4" t="s">
        <v>27777</v>
      </c>
      <c r="N3839" s="4" t="s">
        <v>29</v>
      </c>
      <c r="O3839" s="4" t="s">
        <v>27778</v>
      </c>
      <c r="P3839" s="4" t="s">
        <v>1828</v>
      </c>
      <c r="Q3839" s="4" t="s">
        <v>27779</v>
      </c>
      <c r="R3839" s="6"/>
      <c r="S3839" s="6"/>
      <c r="T3839" s="6"/>
      <c r="U3839" s="6"/>
      <c r="V3839" s="6"/>
      <c r="W3839" s="6"/>
      <c r="X3839" s="6"/>
      <c r="Y3839" s="6"/>
      <c r="Z3839" s="6"/>
      <c r="AA3839" s="6"/>
    </row>
    <row r="3840" ht="14.25">
      <c r="B3840" s="4" t="s">
        <v>170</v>
      </c>
      <c r="C3840" s="4" t="s">
        <v>27780</v>
      </c>
      <c r="D3840" s="4" t="s">
        <v>62</v>
      </c>
      <c r="E3840" s="5" t="s">
        <v>27781</v>
      </c>
      <c r="F3840" s="5" t="str">
        <f>IFERROR(__XLUDF.DUMMYFUNCTION("PROPER(REGEXREPLACE(D245,""[^A-Za-z]+ "",""""))"),"Praxy.Ai")</f>
        <v>Praxy.Ai</v>
      </c>
      <c r="G3840" s="4" t="s">
        <v>27782</v>
      </c>
      <c r="H3840" s="4">
        <v>15</v>
      </c>
      <c r="I3840" s="4" t="s">
        <v>2602</v>
      </c>
      <c r="J3840" s="4" t="str">
        <f>IFERROR(__XLUDF.DUMMYFUNCTION("VLOOKUP(H245,IMPORTRANGE(""https://docs.google.com/spreadsheets/d/1opm6ZNvGZ7KditA9TuJwrZ25eFLfTNIkrNnY6mhV5Eg"",""list!A1:C115""),3,TRUE)"),"le secteur de la tech")</f>
        <v xml:space="preserve">le secteur de la tech</v>
      </c>
      <c r="K3840" s="5" t="s">
        <v>27783</v>
      </c>
      <c r="L3840" s="5" t="s">
        <v>27784</v>
      </c>
      <c r="M3840" s="4" t="s">
        <v>4767</v>
      </c>
      <c r="N3840" s="4" t="s">
        <v>29</v>
      </c>
      <c r="O3840" s="4" t="s">
        <v>27785</v>
      </c>
      <c r="P3840" s="4" t="s">
        <v>29</v>
      </c>
      <c r="Q3840" s="6"/>
      <c r="R3840" s="6"/>
      <c r="S3840" s="6"/>
      <c r="T3840" s="6"/>
      <c r="U3840" s="6"/>
      <c r="V3840" s="6"/>
      <c r="W3840" s="6"/>
      <c r="X3840" s="6"/>
      <c r="Y3840" s="6"/>
      <c r="Z3840" s="6"/>
      <c r="AA3840" s="6"/>
    </row>
    <row r="3841" ht="14.25">
      <c r="B3841" s="4" t="s">
        <v>1562</v>
      </c>
      <c r="C3841" s="4" t="s">
        <v>27786</v>
      </c>
      <c r="D3841" s="4" t="s">
        <v>27787</v>
      </c>
      <c r="E3841" s="4" t="s">
        <v>27788</v>
      </c>
      <c r="F3841" s="4" t="str">
        <f>IFERROR(__XLUDF.DUMMYFUNCTION("PROPER(REGEXREPLACE(D246,""[^A-Za-z]+ "",""""))"),"Invent App📱")</f>
        <v xml:space="preserve">Invent App📱</v>
      </c>
      <c r="G3841" s="4" t="s">
        <v>27789</v>
      </c>
      <c r="H3841" s="4">
        <v>12</v>
      </c>
      <c r="I3841" s="4" t="s">
        <v>2602</v>
      </c>
      <c r="J3841" s="4" t="str">
        <f>IFERROR(__XLUDF.DUMMYFUNCTION("VLOOKUP(H246,IMPORTRANGE(""https://docs.google.com/spreadsheets/d/1opm6ZNvGZ7KditA9TuJwrZ25eFLfTNIkrNnY6mhV5Eg"",""list!A1:C115""),3,TRUE)"),"le secteur de la tech")</f>
        <v xml:space="preserve">le secteur de la tech</v>
      </c>
      <c r="K3841" s="5" t="s">
        <v>27790</v>
      </c>
      <c r="L3841" s="5" t="s">
        <v>27791</v>
      </c>
      <c r="M3841" s="6"/>
      <c r="N3841" s="4" t="s">
        <v>29</v>
      </c>
      <c r="O3841" s="4" t="s">
        <v>27792</v>
      </c>
      <c r="P3841" s="4" t="s">
        <v>29</v>
      </c>
      <c r="Q3841" s="4" t="s">
        <v>27793</v>
      </c>
      <c r="R3841" s="6"/>
      <c r="S3841" s="6"/>
      <c r="T3841" s="6"/>
      <c r="U3841" s="6"/>
      <c r="V3841" s="6"/>
      <c r="W3841" s="6"/>
      <c r="X3841" s="6"/>
      <c r="Y3841" s="6"/>
      <c r="Z3841" s="6"/>
      <c r="AA3841" s="6"/>
    </row>
    <row r="3842" ht="14.25">
      <c r="B3842" s="4" t="s">
        <v>485</v>
      </c>
      <c r="C3842" s="4" t="s">
        <v>27794</v>
      </c>
      <c r="D3842" s="4" t="s">
        <v>62</v>
      </c>
      <c r="E3842" s="4" t="s">
        <v>27795</v>
      </c>
      <c r="F3842" s="4" t="str">
        <f>IFERROR(__XLUDF.DUMMYFUNCTION("PROPER(REGEXREPLACE(D247,""[^A-Za-z]+ "",""""))"),"The Qa Company")</f>
        <v xml:space="preserve">The Qa Company</v>
      </c>
      <c r="G3842" s="4" t="s">
        <v>27796</v>
      </c>
      <c r="H3842" s="4">
        <v>15</v>
      </c>
      <c r="I3842" s="4" t="s">
        <v>2602</v>
      </c>
      <c r="J3842" s="4" t="str">
        <f>IFERROR(__XLUDF.DUMMYFUNCTION("VLOOKUP(H247,IMPORTRANGE(""https://docs.google.com/spreadsheets/d/1opm6ZNvGZ7KditA9TuJwrZ25eFLfTNIkrNnY6mhV5Eg"",""list!A1:C115""),3,TRUE)"),"le secteur de la tech")</f>
        <v xml:space="preserve">le secteur de la tech</v>
      </c>
      <c r="K3842" s="5" t="s">
        <v>27797</v>
      </c>
      <c r="L3842" s="5" t="s">
        <v>27798</v>
      </c>
      <c r="M3842" s="4" t="s">
        <v>831</v>
      </c>
      <c r="N3842" s="4" t="s">
        <v>29</v>
      </c>
      <c r="O3842" s="4" t="s">
        <v>1283</v>
      </c>
      <c r="P3842" s="4" t="s">
        <v>29</v>
      </c>
      <c r="Q3842" s="6"/>
      <c r="R3842" s="6"/>
      <c r="S3842" s="6"/>
      <c r="T3842" s="6"/>
      <c r="U3842" s="6"/>
      <c r="V3842" s="6"/>
      <c r="W3842" s="6"/>
      <c r="X3842" s="6"/>
      <c r="Y3842" s="6"/>
      <c r="Z3842" s="6"/>
      <c r="AA3842" s="6"/>
    </row>
    <row r="3843" ht="14.25">
      <c r="B3843" s="4" t="s">
        <v>485</v>
      </c>
      <c r="C3843" s="4" t="s">
        <v>27799</v>
      </c>
      <c r="D3843" s="4" t="s">
        <v>27800</v>
      </c>
      <c r="E3843" s="4" t="s">
        <v>27801</v>
      </c>
      <c r="F3843" s="4" t="str">
        <f>IFERROR(__XLUDF.DUMMYFUNCTION("PROPER(REGEXREPLACE(D248,""[^A-Za-z]+ "",""""))"),"Comand Ai")</f>
        <v xml:space="preserve">Comand Ai</v>
      </c>
      <c r="G3843" s="4" t="s">
        <v>27802</v>
      </c>
      <c r="H3843" s="4">
        <v>21</v>
      </c>
      <c r="I3843" s="4" t="s">
        <v>2602</v>
      </c>
      <c r="J3843" s="4" t="str">
        <f>IFERROR(__XLUDF.DUMMYFUNCTION("VLOOKUP(H248,IMPORTRANGE(""https://docs.google.com/spreadsheets/d/1opm6ZNvGZ7KditA9TuJwrZ25eFLfTNIkrNnY6mhV5Eg"",""list!A1:C115""),3,TRUE)"),"le secteur de la tech")</f>
        <v xml:space="preserve">le secteur de la tech</v>
      </c>
      <c r="K3843" s="5" t="s">
        <v>27803</v>
      </c>
      <c r="L3843" s="5" t="s">
        <v>27804</v>
      </c>
      <c r="M3843" s="4" t="s">
        <v>39</v>
      </c>
      <c r="N3843" s="4" t="s">
        <v>29</v>
      </c>
      <c r="O3843" s="4" t="s">
        <v>67</v>
      </c>
      <c r="P3843" s="4" t="s">
        <v>29</v>
      </c>
      <c r="Q3843" s="4" t="s">
        <v>27805</v>
      </c>
      <c r="R3843" s="6"/>
      <c r="S3843" s="6"/>
      <c r="T3843" s="6"/>
      <c r="U3843" s="6"/>
      <c r="V3843" s="6"/>
      <c r="W3843" s="6"/>
      <c r="X3843" s="6"/>
      <c r="Y3843" s="6"/>
      <c r="Z3843" s="6"/>
      <c r="AA3843" s="6"/>
    </row>
    <row r="3844" ht="14.25">
      <c r="B3844" s="4" t="s">
        <v>25214</v>
      </c>
      <c r="C3844" s="4" t="s">
        <v>27806</v>
      </c>
      <c r="D3844" s="4" t="s">
        <v>62</v>
      </c>
      <c r="E3844" s="4" t="s">
        <v>27807</v>
      </c>
      <c r="F3844" s="4" t="str">
        <f>IFERROR(__XLUDF.DUMMYFUNCTION("PROPER(REGEXREPLACE(D249,""[^A-Za-z]+ "",""""))"),"M&amp;C")</f>
        <v>M&amp;C</v>
      </c>
      <c r="G3844" s="4" t="s">
        <v>27808</v>
      </c>
      <c r="H3844" s="4">
        <v>31</v>
      </c>
      <c r="I3844" s="4" t="s">
        <v>2602</v>
      </c>
      <c r="J3844" s="4" t="str">
        <f>IFERROR(__XLUDF.DUMMYFUNCTION("VLOOKUP(H249,IMPORTRANGE(""https://docs.google.com/spreadsheets/d/1opm6ZNvGZ7KditA9TuJwrZ25eFLfTNIkrNnY6mhV5Eg"",""list!A1:C115""),3,TRUE)"),"le secteur de la tech")</f>
        <v xml:space="preserve">le secteur de la tech</v>
      </c>
      <c r="K3844" s="5" t="s">
        <v>27809</v>
      </c>
      <c r="L3844" s="5" t="s">
        <v>27810</v>
      </c>
      <c r="M3844" s="4" t="s">
        <v>5456</v>
      </c>
      <c r="N3844" s="4" t="s">
        <v>29</v>
      </c>
      <c r="O3844" s="4" t="s">
        <v>27811</v>
      </c>
      <c r="P3844" s="4" t="s">
        <v>1548</v>
      </c>
      <c r="Q3844" s="6"/>
      <c r="R3844" s="6"/>
      <c r="S3844" s="6"/>
      <c r="T3844" s="6"/>
      <c r="U3844" s="6"/>
      <c r="V3844" s="6"/>
      <c r="W3844" s="6"/>
      <c r="X3844" s="6"/>
      <c r="Y3844" s="6"/>
      <c r="Z3844" s="6"/>
      <c r="AA3844" s="6"/>
    </row>
    <row r="3845" ht="14.25">
      <c r="B3845" s="4" t="s">
        <v>255</v>
      </c>
      <c r="C3845" s="4" t="s">
        <v>27812</v>
      </c>
      <c r="D3845" s="4" t="s">
        <v>87</v>
      </c>
      <c r="E3845" s="4" t="s">
        <v>27813</v>
      </c>
      <c r="F3845" s="4" t="str">
        <f>IFERROR(__XLUDF.DUMMYFUNCTION("PROPER(REGEXREPLACE(D250,""[^A-Za-z]+ "",""""))"),"Conjecto")</f>
        <v>Conjecto</v>
      </c>
      <c r="G3845" s="4" t="s">
        <v>27814</v>
      </c>
      <c r="H3845" s="4">
        <v>10</v>
      </c>
      <c r="I3845" s="4" t="s">
        <v>2602</v>
      </c>
      <c r="J3845" s="4" t="str">
        <f>IFERROR(__XLUDF.DUMMYFUNCTION("VLOOKUP(H250,IMPORTRANGE(""https://docs.google.com/spreadsheets/d/1opm6ZNvGZ7KditA9TuJwrZ25eFLfTNIkrNnY6mhV5Eg"",""list!A1:C115""),3,TRUE)"),"le secteur de la tech")</f>
        <v xml:space="preserve">le secteur de la tech</v>
      </c>
      <c r="K3845" s="5" t="s">
        <v>27815</v>
      </c>
      <c r="L3845" s="5" t="s">
        <v>27816</v>
      </c>
      <c r="M3845" s="4" t="s">
        <v>1826</v>
      </c>
      <c r="N3845" s="4" t="s">
        <v>29</v>
      </c>
      <c r="O3845" s="4" t="s">
        <v>27817</v>
      </c>
      <c r="P3845" s="4" t="s">
        <v>29</v>
      </c>
      <c r="Q3845" s="4" t="s">
        <v>27818</v>
      </c>
      <c r="R3845" s="6"/>
      <c r="S3845" s="6"/>
      <c r="T3845" s="6"/>
      <c r="U3845" s="6"/>
      <c r="V3845" s="6"/>
      <c r="W3845" s="6"/>
      <c r="X3845" s="6"/>
      <c r="Y3845" s="6"/>
      <c r="Z3845" s="6"/>
      <c r="AA3845" s="6"/>
    </row>
    <row r="3846" ht="14.25">
      <c r="B3846" s="4" t="s">
        <v>743</v>
      </c>
      <c r="C3846" s="4" t="s">
        <v>27819</v>
      </c>
      <c r="D3846" s="4" t="s">
        <v>426</v>
      </c>
      <c r="E3846" s="4" t="s">
        <v>27820</v>
      </c>
      <c r="F3846" s="4" t="str">
        <f>IFERROR(__XLUDF.DUMMYFUNCTION("PROPER(REGEXREPLACE(D251,""[^A-Za-z]+ "",""""))"),"Titantreasury")</f>
        <v>Titantreasury</v>
      </c>
      <c r="G3846" s="4" t="s">
        <v>27821</v>
      </c>
      <c r="H3846" s="4">
        <v>39</v>
      </c>
      <c r="I3846" s="4" t="s">
        <v>2602</v>
      </c>
      <c r="J3846" s="4" t="str">
        <f>IFERROR(__XLUDF.DUMMYFUNCTION("VLOOKUP(H251,IMPORTRANGE(""https://docs.google.com/spreadsheets/d/1opm6ZNvGZ7KditA9TuJwrZ25eFLfTNIkrNnY6mhV5Eg"",""list!A1:C115""),3,TRUE)"),"le secteur de la tech")</f>
        <v xml:space="preserve">le secteur de la tech</v>
      </c>
      <c r="K3846" s="5" t="s">
        <v>27822</v>
      </c>
      <c r="L3846" s="5" t="s">
        <v>27823</v>
      </c>
      <c r="M3846" s="4" t="s">
        <v>39</v>
      </c>
      <c r="N3846" s="4" t="s">
        <v>29</v>
      </c>
      <c r="O3846" s="4" t="s">
        <v>27824</v>
      </c>
      <c r="P3846" s="4" t="s">
        <v>29</v>
      </c>
      <c r="Q3846" s="4" t="s">
        <v>27825</v>
      </c>
      <c r="R3846" s="6"/>
      <c r="S3846" s="6"/>
      <c r="T3846" s="6"/>
      <c r="U3846" s="6"/>
      <c r="V3846" s="6"/>
      <c r="W3846" s="6"/>
      <c r="X3846" s="6"/>
      <c r="Y3846" s="6"/>
      <c r="Z3846" s="6"/>
      <c r="AA3846" s="6"/>
    </row>
    <row r="3847" ht="14.25">
      <c r="B3847" s="4" t="s">
        <v>2436</v>
      </c>
      <c r="C3847" s="4" t="s">
        <v>27826</v>
      </c>
      <c r="D3847" s="4" t="s">
        <v>18718</v>
      </c>
      <c r="E3847" s="4" t="s">
        <v>27827</v>
      </c>
      <c r="F3847" s="4" t="str">
        <f>IFERROR(__XLUDF.DUMMYFUNCTION("PROPER(REGEXREPLACE(D252,""[^A-Za-z]+ "",""""))"),"Loxodata")</f>
        <v>Loxodata</v>
      </c>
      <c r="G3847" s="4" t="s">
        <v>27828</v>
      </c>
      <c r="H3847" s="4">
        <v>11</v>
      </c>
      <c r="I3847" s="4" t="s">
        <v>2602</v>
      </c>
      <c r="J3847" s="4" t="str">
        <f>IFERROR(__XLUDF.DUMMYFUNCTION("VLOOKUP(H252,IMPORTRANGE(""https://docs.google.com/spreadsheets/d/1opm6ZNvGZ7KditA9TuJwrZ25eFLfTNIkrNnY6mhV5Eg"",""list!A1:C115""),3,TRUE)"),"le secteur de la tech")</f>
        <v xml:space="preserve">le secteur de la tech</v>
      </c>
      <c r="K3847" s="5" t="s">
        <v>27829</v>
      </c>
      <c r="L3847" s="5" t="s">
        <v>27830</v>
      </c>
      <c r="M3847" s="4" t="s">
        <v>39</v>
      </c>
      <c r="N3847" s="4" t="s">
        <v>29</v>
      </c>
      <c r="O3847" s="4" t="s">
        <v>27831</v>
      </c>
      <c r="P3847" s="4" t="s">
        <v>29</v>
      </c>
      <c r="Q3847" s="6"/>
      <c r="R3847" s="6"/>
      <c r="S3847" s="6"/>
      <c r="T3847" s="6"/>
      <c r="U3847" s="6"/>
      <c r="V3847" s="6"/>
      <c r="W3847" s="6"/>
      <c r="X3847" s="6"/>
      <c r="Y3847" s="6"/>
      <c r="Z3847" s="6"/>
      <c r="AA3847" s="6"/>
    </row>
    <row r="3848" ht="14.25">
      <c r="B3848" s="4" t="s">
        <v>1948</v>
      </c>
      <c r="C3848" s="4" t="s">
        <v>27832</v>
      </c>
      <c r="D3848" s="4" t="s">
        <v>672</v>
      </c>
      <c r="E3848" s="4" t="s">
        <v>27833</v>
      </c>
      <c r="F3848" s="4" t="str">
        <f>IFERROR(__XLUDF.DUMMYFUNCTION("PROPER(REGEXREPLACE(D253,""[^A-Za-z]+ "",""""))"),"Squadeasy")</f>
        <v>Squadeasy</v>
      </c>
      <c r="G3848" s="4" t="s">
        <v>27834</v>
      </c>
      <c r="H3848" s="4">
        <v>40</v>
      </c>
      <c r="I3848" s="4" t="s">
        <v>2602</v>
      </c>
      <c r="J3848" s="4" t="str">
        <f>IFERROR(__XLUDF.DUMMYFUNCTION("VLOOKUP(H253,IMPORTRANGE(""https://docs.google.com/spreadsheets/d/1opm6ZNvGZ7KditA9TuJwrZ25eFLfTNIkrNnY6mhV5Eg"",""list!A1:C115""),3,TRUE)"),"le secteur de la tech")</f>
        <v xml:space="preserve">le secteur de la tech</v>
      </c>
      <c r="K3848" s="5" t="s">
        <v>27835</v>
      </c>
      <c r="L3848" s="5" t="s">
        <v>27836</v>
      </c>
      <c r="M3848" s="4" t="s">
        <v>39</v>
      </c>
      <c r="N3848" s="4" t="s">
        <v>29</v>
      </c>
      <c r="O3848" s="4" t="s">
        <v>18467</v>
      </c>
      <c r="P3848" s="4" t="s">
        <v>29</v>
      </c>
      <c r="Q3848" s="4" t="s">
        <v>27837</v>
      </c>
      <c r="R3848" s="6"/>
      <c r="S3848" s="6"/>
      <c r="T3848" s="6"/>
      <c r="U3848" s="6"/>
      <c r="V3848" s="6"/>
      <c r="W3848" s="6"/>
      <c r="X3848" s="6"/>
      <c r="Y3848" s="6"/>
      <c r="Z3848" s="6"/>
      <c r="AA3848" s="6"/>
    </row>
    <row r="3849" ht="14.25">
      <c r="B3849" s="4" t="s">
        <v>20709</v>
      </c>
      <c r="C3849" s="4" t="s">
        <v>18651</v>
      </c>
      <c r="D3849" s="4" t="s">
        <v>27838</v>
      </c>
      <c r="E3849" s="4" t="s">
        <v>20711</v>
      </c>
      <c r="F3849" s="4" t="str">
        <f>IFERROR(__XLUDF.DUMMYFUNCTION("PROPER(REGEXREPLACE(D254,""[^A-Za-z]+ "",""""))"),"Keiken Digital Solutions")</f>
        <v xml:space="preserve">Keiken Digital Solutions</v>
      </c>
      <c r="G3849" s="4" t="s">
        <v>20712</v>
      </c>
      <c r="H3849" s="4">
        <v>18</v>
      </c>
      <c r="I3849" s="4" t="s">
        <v>2602</v>
      </c>
      <c r="J3849" s="4" t="str">
        <f>IFERROR(__XLUDF.DUMMYFUNCTION("VLOOKUP(H254,IMPORTRANGE(""https://docs.google.com/spreadsheets/d/1opm6ZNvGZ7KditA9TuJwrZ25eFLfTNIkrNnY6mhV5Eg"",""list!A1:C115""),3,TRUE)"),"le secteur de la tech")</f>
        <v xml:space="preserve">le secteur de la tech</v>
      </c>
      <c r="K3849" s="5" t="s">
        <v>20713</v>
      </c>
      <c r="L3849" s="5" t="s">
        <v>20714</v>
      </c>
      <c r="M3849" s="4" t="s">
        <v>39</v>
      </c>
      <c r="N3849" s="4" t="s">
        <v>29</v>
      </c>
      <c r="O3849" s="4" t="s">
        <v>1084</v>
      </c>
      <c r="P3849" s="4" t="s">
        <v>29</v>
      </c>
      <c r="Q3849" s="6"/>
      <c r="R3849" s="6"/>
      <c r="S3849" s="6"/>
      <c r="T3849" s="6"/>
      <c r="U3849" s="6"/>
      <c r="V3849" s="6"/>
      <c r="W3849" s="6"/>
      <c r="X3849" s="6"/>
      <c r="Y3849" s="6"/>
      <c r="Z3849" s="6"/>
      <c r="AA3849" s="6"/>
    </row>
    <row r="3850" ht="14.25">
      <c r="B3850" s="4" t="s">
        <v>85</v>
      </c>
      <c r="C3850" s="4" t="s">
        <v>27839</v>
      </c>
      <c r="D3850" s="4" t="s">
        <v>672</v>
      </c>
      <c r="E3850" s="4" t="s">
        <v>27840</v>
      </c>
      <c r="F3850" s="4" t="str">
        <f>IFERROR(__XLUDF.DUMMYFUNCTION("PROPER(REGEXREPLACE(D255,""[^A-Za-z]+ "",""""))"),"Auxo Dynamics")</f>
        <v xml:space="preserve">Auxo Dynamics</v>
      </c>
      <c r="G3850" s="4" t="s">
        <v>27841</v>
      </c>
      <c r="H3850" s="4">
        <v>12</v>
      </c>
      <c r="I3850" s="4" t="s">
        <v>2602</v>
      </c>
      <c r="J3850" s="4" t="str">
        <f>IFERROR(__XLUDF.DUMMYFUNCTION("VLOOKUP(H255,IMPORTRANGE(""https://docs.google.com/spreadsheets/d/1opm6ZNvGZ7KditA9TuJwrZ25eFLfTNIkrNnY6mhV5Eg"",""list!A1:C115""),3,TRUE)"),"le secteur de la tech")</f>
        <v xml:space="preserve">le secteur de la tech</v>
      </c>
      <c r="K3850" s="5" t="s">
        <v>27842</v>
      </c>
      <c r="L3850" s="5" t="s">
        <v>27843</v>
      </c>
      <c r="M3850" s="4" t="s">
        <v>185</v>
      </c>
      <c r="N3850" s="4" t="s">
        <v>29</v>
      </c>
      <c r="O3850" s="4" t="s">
        <v>125</v>
      </c>
      <c r="P3850" s="4" t="s">
        <v>29</v>
      </c>
      <c r="Q3850" s="4" t="s">
        <v>27844</v>
      </c>
      <c r="R3850" s="6"/>
      <c r="S3850" s="6"/>
      <c r="T3850" s="6"/>
      <c r="U3850" s="6"/>
      <c r="V3850" s="6"/>
      <c r="W3850" s="6"/>
      <c r="X3850" s="6"/>
      <c r="Y3850" s="6"/>
      <c r="Z3850" s="6"/>
      <c r="AA3850" s="6"/>
    </row>
    <row r="3851" ht="14.25">
      <c r="B3851" s="4" t="s">
        <v>4188</v>
      </c>
      <c r="C3851" s="4" t="s">
        <v>27845</v>
      </c>
      <c r="D3851" s="4" t="s">
        <v>778</v>
      </c>
      <c r="E3851" s="4" t="s">
        <v>27846</v>
      </c>
      <c r="F3851" s="4" t="str">
        <f>IFERROR(__XLUDF.DUMMYFUNCTION("PROPER(REGEXREPLACE(D256,""[^A-Za-z]+ "",""""))"),"Resalib")</f>
        <v>Resalib</v>
      </c>
      <c r="G3851" s="4" t="s">
        <v>27847</v>
      </c>
      <c r="H3851" s="4">
        <v>14</v>
      </c>
      <c r="I3851" s="4" t="s">
        <v>2602</v>
      </c>
      <c r="J3851" s="4" t="str">
        <f>IFERROR(__XLUDF.DUMMYFUNCTION("VLOOKUP(H256,IMPORTRANGE(""https://docs.google.com/spreadsheets/d/1opm6ZNvGZ7KditA9TuJwrZ25eFLfTNIkrNnY6mhV5Eg"",""list!A1:C115""),3,TRUE)"),"le secteur de la tech")</f>
        <v xml:space="preserve">le secteur de la tech</v>
      </c>
      <c r="K3851" s="5" t="s">
        <v>27848</v>
      </c>
      <c r="L3851" s="5" t="s">
        <v>27849</v>
      </c>
      <c r="M3851" s="4" t="s">
        <v>10537</v>
      </c>
      <c r="N3851" s="4" t="s">
        <v>29</v>
      </c>
      <c r="O3851" s="4" t="s">
        <v>27850</v>
      </c>
      <c r="P3851" s="4" t="s">
        <v>29</v>
      </c>
      <c r="Q3851" s="4" t="s">
        <v>27851</v>
      </c>
      <c r="R3851" s="6"/>
      <c r="S3851" s="6"/>
      <c r="T3851" s="6"/>
      <c r="U3851" s="6"/>
      <c r="V3851" s="6"/>
      <c r="W3851" s="6"/>
      <c r="X3851" s="6"/>
      <c r="Y3851" s="6"/>
      <c r="Z3851" s="6"/>
      <c r="AA3851" s="6"/>
    </row>
    <row r="3852" ht="14.25">
      <c r="B3852" s="4" t="s">
        <v>622</v>
      </c>
      <c r="C3852" s="4" t="s">
        <v>27852</v>
      </c>
      <c r="D3852" s="4" t="s">
        <v>27853</v>
      </c>
      <c r="E3852" s="4" t="s">
        <v>27854</v>
      </c>
      <c r="F3852" s="4" t="str">
        <f>IFERROR(__XLUDF.DUMMYFUNCTION("PROPER(REGEXREPLACE(D257,""[^A-Za-z]+ "",""""))"),"One Prepaid")</f>
        <v xml:space="preserve">One Prepaid</v>
      </c>
      <c r="G3852" s="4" t="s">
        <v>27855</v>
      </c>
      <c r="H3852" s="4">
        <v>14</v>
      </c>
      <c r="I3852" s="4" t="s">
        <v>2602</v>
      </c>
      <c r="J3852" s="4" t="str">
        <f>IFERROR(__XLUDF.DUMMYFUNCTION("VLOOKUP(H257,IMPORTRANGE(""https://docs.google.com/spreadsheets/d/1opm6ZNvGZ7KditA9TuJwrZ25eFLfTNIkrNnY6mhV5Eg"",""list!A1:C115""),3,TRUE)"),"le secteur de la tech")</f>
        <v xml:space="preserve">le secteur de la tech</v>
      </c>
      <c r="K3852" s="5" t="s">
        <v>27856</v>
      </c>
      <c r="L3852" s="5" t="s">
        <v>27857</v>
      </c>
      <c r="M3852" s="4" t="s">
        <v>39</v>
      </c>
      <c r="N3852" s="4" t="s">
        <v>29</v>
      </c>
      <c r="O3852" s="4" t="s">
        <v>27858</v>
      </c>
      <c r="P3852" s="4" t="s">
        <v>29</v>
      </c>
      <c r="Q3852" s="4" t="s">
        <v>27859</v>
      </c>
      <c r="R3852" s="6"/>
      <c r="S3852" s="6"/>
      <c r="T3852" s="6"/>
      <c r="U3852" s="6"/>
      <c r="V3852" s="6"/>
      <c r="W3852" s="6"/>
      <c r="X3852" s="6"/>
      <c r="Y3852" s="6"/>
      <c r="Z3852" s="6"/>
      <c r="AA3852" s="6"/>
    </row>
    <row r="3853" ht="14.25">
      <c r="B3853" s="4" t="s">
        <v>630</v>
      </c>
      <c r="C3853" s="4" t="s">
        <v>27860</v>
      </c>
      <c r="D3853" s="4" t="s">
        <v>172</v>
      </c>
      <c r="E3853" s="4" t="s">
        <v>27861</v>
      </c>
      <c r="F3853" s="4" t="str">
        <f>IFERROR(__XLUDF.DUMMYFUNCTION("PROPER(REGEXREPLACE(D258,""[^A-Za-z]+ "",""""))"),"Skidata France")</f>
        <v xml:space="preserve">Skidata France</v>
      </c>
      <c r="G3853" s="4" t="s">
        <v>27862</v>
      </c>
      <c r="H3853" s="4">
        <v>27</v>
      </c>
      <c r="I3853" s="4" t="s">
        <v>2602</v>
      </c>
      <c r="J3853" s="4" t="str">
        <f>IFERROR(__XLUDF.DUMMYFUNCTION("VLOOKUP(H258,IMPORTRANGE(""https://docs.google.com/spreadsheets/d/1opm6ZNvGZ7KditA9TuJwrZ25eFLfTNIkrNnY6mhV5Eg"",""list!A1:C115""),3,TRUE)"),"le secteur de la tech")</f>
        <v xml:space="preserve">le secteur de la tech</v>
      </c>
      <c r="K3853" s="5" t="s">
        <v>27863</v>
      </c>
      <c r="L3853" s="5" t="s">
        <v>27864</v>
      </c>
      <c r="M3853" s="4" t="s">
        <v>286</v>
      </c>
      <c r="N3853" s="4" t="s">
        <v>29</v>
      </c>
      <c r="O3853" s="4" t="s">
        <v>27865</v>
      </c>
      <c r="P3853" s="4" t="s">
        <v>29</v>
      </c>
      <c r="Q3853" s="6"/>
      <c r="R3853" s="6"/>
      <c r="S3853" s="6"/>
      <c r="T3853" s="6"/>
      <c r="U3853" s="6"/>
      <c r="V3853" s="6"/>
      <c r="W3853" s="6"/>
      <c r="X3853" s="6"/>
      <c r="Y3853" s="6"/>
      <c r="Z3853" s="6"/>
      <c r="AA3853" s="6"/>
    </row>
    <row r="3854" ht="14.25">
      <c r="B3854" s="4" t="s">
        <v>5781</v>
      </c>
      <c r="C3854" s="4" t="s">
        <v>19562</v>
      </c>
      <c r="D3854" s="4" t="s">
        <v>27866</v>
      </c>
      <c r="E3854" s="4" t="s">
        <v>27867</v>
      </c>
      <c r="F3854" s="4" t="str">
        <f>IFERROR(__XLUDF.DUMMYFUNCTION("PROPER(REGEXREPLACE(D259,""[^A-Za-z]+ "",""""))"),"Macaron")</f>
        <v>Macaron</v>
      </c>
      <c r="G3854" s="4" t="s">
        <v>27868</v>
      </c>
      <c r="H3854" s="4">
        <v>37</v>
      </c>
      <c r="I3854" s="4" t="s">
        <v>2602</v>
      </c>
      <c r="J3854" s="4" t="str">
        <f>IFERROR(__XLUDF.DUMMYFUNCTION("VLOOKUP(H259,IMPORTRANGE(""https://docs.google.com/spreadsheets/d/1opm6ZNvGZ7KditA9TuJwrZ25eFLfTNIkrNnY6mhV5Eg"",""list!A1:C115""),3,TRUE)"),"le secteur de la tech")</f>
        <v xml:space="preserve">le secteur de la tech</v>
      </c>
      <c r="K3854" s="5" t="s">
        <v>27869</v>
      </c>
      <c r="L3854" s="5" t="s">
        <v>27870</v>
      </c>
      <c r="M3854" s="4" t="s">
        <v>39</v>
      </c>
      <c r="N3854" s="4" t="s">
        <v>29</v>
      </c>
      <c r="O3854" s="4" t="s">
        <v>27871</v>
      </c>
      <c r="P3854" s="4" t="s">
        <v>29</v>
      </c>
      <c r="Q3854" s="4" t="s">
        <v>27872</v>
      </c>
      <c r="R3854" s="6"/>
      <c r="S3854" s="6"/>
      <c r="T3854" s="6"/>
      <c r="U3854" s="6"/>
      <c r="V3854" s="6"/>
      <c r="W3854" s="6"/>
      <c r="X3854" s="6"/>
      <c r="Y3854" s="6"/>
      <c r="Z3854" s="6"/>
      <c r="AA3854" s="6"/>
    </row>
    <row r="3855" ht="14.25">
      <c r="B3855" s="4" t="s">
        <v>808</v>
      </c>
      <c r="C3855" s="4" t="s">
        <v>26461</v>
      </c>
      <c r="D3855" s="4" t="s">
        <v>27873</v>
      </c>
      <c r="E3855" s="4" t="s">
        <v>27874</v>
      </c>
      <c r="F3855" s="4" t="str">
        <f>IFERROR(__XLUDF.DUMMYFUNCTION("PROPER(REGEXREPLACE(D260,""[^A-Za-z]+ "",""""))"),"Finelog-Biseum")</f>
        <v>Finelog-Biseum</v>
      </c>
      <c r="G3855" s="4" t="s">
        <v>27875</v>
      </c>
      <c r="H3855" s="4">
        <v>30</v>
      </c>
      <c r="I3855" s="4" t="s">
        <v>2602</v>
      </c>
      <c r="J3855" s="4" t="str">
        <f>IFERROR(__XLUDF.DUMMYFUNCTION("VLOOKUP(H260,IMPORTRANGE(""https://docs.google.com/spreadsheets/d/1opm6ZNvGZ7KditA9TuJwrZ25eFLfTNIkrNnY6mhV5Eg"",""list!A1:C115""),3,TRUE)"),"le secteur de la tech")</f>
        <v xml:space="preserve">le secteur de la tech</v>
      </c>
      <c r="K3855" s="5" t="s">
        <v>27876</v>
      </c>
      <c r="L3855" s="5" t="s">
        <v>27877</v>
      </c>
      <c r="M3855" s="4" t="s">
        <v>8537</v>
      </c>
      <c r="N3855" s="4" t="s">
        <v>29</v>
      </c>
      <c r="O3855" s="4" t="s">
        <v>27878</v>
      </c>
      <c r="P3855" s="4" t="s">
        <v>29</v>
      </c>
      <c r="Q3855" s="4" t="s">
        <v>27879</v>
      </c>
      <c r="R3855" s="6"/>
      <c r="S3855" s="6"/>
      <c r="T3855" s="6"/>
      <c r="U3855" s="6"/>
      <c r="V3855" s="6"/>
      <c r="W3855" s="6"/>
      <c r="X3855" s="6"/>
      <c r="Y3855" s="6"/>
      <c r="Z3855" s="6"/>
      <c r="AA3855" s="6"/>
    </row>
    <row r="3856" ht="14.25">
      <c r="B3856" s="4" t="s">
        <v>245</v>
      </c>
      <c r="C3856" s="4" t="s">
        <v>27880</v>
      </c>
      <c r="D3856" s="4" t="s">
        <v>120</v>
      </c>
      <c r="E3856" s="4" t="s">
        <v>27881</v>
      </c>
      <c r="F3856" s="4" t="str">
        <f>IFERROR(__XLUDF.DUMMYFUNCTION("PROPER(REGEXREPLACE(D261,""[^A-Za-z]+ "",""""))"),"Balsamiq")</f>
        <v>Balsamiq</v>
      </c>
      <c r="G3856" s="4" t="s">
        <v>27882</v>
      </c>
      <c r="H3856" s="4">
        <v>38</v>
      </c>
      <c r="I3856" s="4" t="s">
        <v>2602</v>
      </c>
      <c r="J3856" s="4" t="str">
        <f>IFERROR(__XLUDF.DUMMYFUNCTION("VLOOKUP(H261,IMPORTRANGE(""https://docs.google.com/spreadsheets/d/1opm6ZNvGZ7KditA9TuJwrZ25eFLfTNIkrNnY6mhV5Eg"",""list!A1:C115""),3,TRUE)"),"le secteur de la tech")</f>
        <v xml:space="preserve">le secteur de la tech</v>
      </c>
      <c r="K3856" s="5" t="s">
        <v>27883</v>
      </c>
      <c r="L3856" s="5" t="s">
        <v>27884</v>
      </c>
      <c r="M3856" s="4" t="s">
        <v>39</v>
      </c>
      <c r="N3856" s="4" t="s">
        <v>29</v>
      </c>
      <c r="O3856" s="4" t="s">
        <v>27885</v>
      </c>
      <c r="P3856" s="4" t="s">
        <v>1261</v>
      </c>
      <c r="Q3856" s="4" t="s">
        <v>27886</v>
      </c>
      <c r="R3856" s="6"/>
      <c r="S3856" s="6"/>
      <c r="T3856" s="6"/>
      <c r="U3856" s="6"/>
      <c r="V3856" s="6"/>
      <c r="W3856" s="6"/>
      <c r="X3856" s="6"/>
      <c r="Y3856" s="6"/>
      <c r="Z3856" s="6"/>
      <c r="AA3856" s="6"/>
    </row>
    <row r="3857" ht="14.25">
      <c r="B3857" s="4" t="s">
        <v>2059</v>
      </c>
      <c r="C3857" s="4" t="s">
        <v>27887</v>
      </c>
      <c r="D3857" s="4" t="s">
        <v>172</v>
      </c>
      <c r="E3857" s="4" t="s">
        <v>27888</v>
      </c>
      <c r="F3857" s="4" t="str">
        <f>IFERROR(__XLUDF.DUMMYFUNCTION("PROPER(REGEXREPLACE(D262,""[^A-Za-z]+ "",""""))"),"Seira")</f>
        <v>Seira</v>
      </c>
      <c r="G3857" s="4" t="s">
        <v>27889</v>
      </c>
      <c r="H3857" s="4">
        <v>10</v>
      </c>
      <c r="I3857" s="4" t="s">
        <v>2602</v>
      </c>
      <c r="J3857" s="4" t="str">
        <f>IFERROR(__XLUDF.DUMMYFUNCTION("VLOOKUP(H262,IMPORTRANGE(""https://docs.google.com/spreadsheets/d/1opm6ZNvGZ7KditA9TuJwrZ25eFLfTNIkrNnY6mhV5Eg"",""list!A1:C115""),3,TRUE)"),"le secteur de la tech")</f>
        <v xml:space="preserve">le secteur de la tech</v>
      </c>
      <c r="K3857" s="5" t="s">
        <v>27890</v>
      </c>
      <c r="L3857" s="5" t="s">
        <v>27891</v>
      </c>
      <c r="M3857" s="4" t="s">
        <v>1507</v>
      </c>
      <c r="N3857" s="4" t="s">
        <v>29</v>
      </c>
      <c r="O3857" s="4" t="s">
        <v>27892</v>
      </c>
      <c r="P3857" s="4" t="s">
        <v>29</v>
      </c>
      <c r="Q3857" s="4" t="s">
        <v>27893</v>
      </c>
      <c r="R3857" s="6"/>
      <c r="S3857" s="6"/>
      <c r="T3857" s="6"/>
      <c r="U3857" s="6"/>
      <c r="V3857" s="6"/>
      <c r="W3857" s="6"/>
      <c r="X3857" s="6"/>
      <c r="Y3857" s="6"/>
      <c r="Z3857" s="6"/>
      <c r="AA3857" s="6"/>
    </row>
    <row r="3858" ht="14.25">
      <c r="B3858" s="4" t="s">
        <v>222</v>
      </c>
      <c r="C3858" s="4" t="s">
        <v>27894</v>
      </c>
      <c r="D3858" s="4" t="s">
        <v>27895</v>
      </c>
      <c r="E3858" s="4" t="s">
        <v>27896</v>
      </c>
      <c r="F3858" s="4" t="str">
        <f>IFERROR(__XLUDF.DUMMYFUNCTION("PROPER(REGEXREPLACE(D263,""[^A-Za-z]+ "",""""))"),"Starton")</f>
        <v>Starton</v>
      </c>
      <c r="G3858" s="4" t="s">
        <v>27897</v>
      </c>
      <c r="H3858" s="4">
        <v>10</v>
      </c>
      <c r="I3858" s="4" t="s">
        <v>2602</v>
      </c>
      <c r="J3858" s="4" t="str">
        <f>IFERROR(__XLUDF.DUMMYFUNCTION("VLOOKUP(H263,IMPORTRANGE(""https://docs.google.com/spreadsheets/d/1opm6ZNvGZ7KditA9TuJwrZ25eFLfTNIkrNnY6mhV5Eg"",""list!A1:C115""),3,TRUE)"),"le secteur de la tech")</f>
        <v xml:space="preserve">le secteur de la tech</v>
      </c>
      <c r="K3858" s="5" t="s">
        <v>27898</v>
      </c>
      <c r="L3858" s="5" t="s">
        <v>27899</v>
      </c>
      <c r="M3858" s="4" t="s">
        <v>39</v>
      </c>
      <c r="N3858" s="4" t="s">
        <v>29</v>
      </c>
      <c r="O3858" s="4" t="s">
        <v>21461</v>
      </c>
      <c r="P3858" s="4" t="s">
        <v>29</v>
      </c>
      <c r="Q3858" s="4" t="s">
        <v>27900</v>
      </c>
      <c r="R3858" s="6"/>
      <c r="S3858" s="6"/>
      <c r="T3858" s="6"/>
      <c r="U3858" s="6"/>
      <c r="V3858" s="6"/>
      <c r="W3858" s="6"/>
      <c r="X3858" s="6"/>
      <c r="Y3858" s="6"/>
      <c r="Z3858" s="6"/>
      <c r="AA3858" s="6"/>
    </row>
    <row r="3859" ht="14.25">
      <c r="B3859" s="4" t="s">
        <v>5716</v>
      </c>
      <c r="C3859" s="4" t="s">
        <v>27901</v>
      </c>
      <c r="D3859" s="4" t="s">
        <v>23340</v>
      </c>
      <c r="E3859" s="4" t="s">
        <v>27902</v>
      </c>
      <c r="F3859" s="4" t="str">
        <f>IFERROR(__XLUDF.DUMMYFUNCTION("PROPER(REGEXREPLACE(D264,""[^A-Za-z]+ "",""""))"),"Neuronalys")</f>
        <v>Neuronalys</v>
      </c>
      <c r="G3859" s="4" t="s">
        <v>27903</v>
      </c>
      <c r="H3859" s="4">
        <v>12</v>
      </c>
      <c r="I3859" s="4" t="s">
        <v>2602</v>
      </c>
      <c r="J3859" s="4" t="str">
        <f>IFERROR(__XLUDF.DUMMYFUNCTION("VLOOKUP(H264,IMPORTRANGE(""https://docs.google.com/spreadsheets/d/1opm6ZNvGZ7KditA9TuJwrZ25eFLfTNIkrNnY6mhV5Eg"",""list!A1:C115""),3,TRUE)"),"le secteur de la tech")</f>
        <v xml:space="preserve">le secteur de la tech</v>
      </c>
      <c r="K3859" s="5" t="s">
        <v>27904</v>
      </c>
      <c r="L3859" s="5" t="s">
        <v>27905</v>
      </c>
      <c r="M3859" s="4" t="s">
        <v>27906</v>
      </c>
      <c r="N3859" s="4" t="s">
        <v>29</v>
      </c>
      <c r="O3859" s="4" t="s">
        <v>27907</v>
      </c>
      <c r="P3859" s="4" t="s">
        <v>29</v>
      </c>
      <c r="Q3859" s="4" t="s">
        <v>27908</v>
      </c>
      <c r="R3859" s="6"/>
      <c r="S3859" s="6"/>
      <c r="T3859" s="6"/>
      <c r="U3859" s="6"/>
      <c r="V3859" s="6"/>
      <c r="W3859" s="6"/>
      <c r="X3859" s="6"/>
      <c r="Y3859" s="6"/>
      <c r="Z3859" s="6"/>
      <c r="AA3859" s="6"/>
    </row>
    <row r="3860" ht="14.25">
      <c r="B3860" s="4" t="s">
        <v>27909</v>
      </c>
      <c r="C3860" s="4" t="s">
        <v>27910</v>
      </c>
      <c r="D3860" s="4" t="s">
        <v>62</v>
      </c>
      <c r="E3860" s="4" t="s">
        <v>23367</v>
      </c>
      <c r="F3860" s="4" t="str">
        <f>IFERROR(__XLUDF.DUMMYFUNCTION("PROPER(REGEXREPLACE(D265,""[^A-Za-z]+ "",""""))"),"Wintics")</f>
        <v>Wintics</v>
      </c>
      <c r="G3860" s="4" t="s">
        <v>27911</v>
      </c>
      <c r="H3860" s="4">
        <v>16</v>
      </c>
      <c r="I3860" s="4" t="s">
        <v>2602</v>
      </c>
      <c r="J3860" s="4" t="str">
        <f>IFERROR(__XLUDF.DUMMYFUNCTION("VLOOKUP(H265,IMPORTRANGE(""https://docs.google.com/spreadsheets/d/1opm6ZNvGZ7KditA9TuJwrZ25eFLfTNIkrNnY6mhV5Eg"",""list!A1:C115""),3,TRUE)"),"le secteur de la tech")</f>
        <v xml:space="preserve">le secteur de la tech</v>
      </c>
      <c r="K3860" s="5" t="s">
        <v>27912</v>
      </c>
      <c r="L3860" s="5" t="s">
        <v>23370</v>
      </c>
      <c r="M3860" s="4" t="s">
        <v>39</v>
      </c>
      <c r="N3860" s="4" t="s">
        <v>29</v>
      </c>
      <c r="O3860" s="4" t="s">
        <v>23371</v>
      </c>
      <c r="P3860" s="4" t="s">
        <v>29</v>
      </c>
      <c r="Q3860" s="4" t="s">
        <v>23372</v>
      </c>
      <c r="R3860" s="6"/>
      <c r="S3860" s="6"/>
      <c r="T3860" s="6"/>
      <c r="U3860" s="6"/>
      <c r="V3860" s="6"/>
      <c r="W3860" s="6"/>
      <c r="X3860" s="6"/>
      <c r="Y3860" s="6"/>
      <c r="Z3860" s="6"/>
      <c r="AA3860" s="6"/>
    </row>
    <row r="3861" ht="14.25">
      <c r="B3861" s="4" t="s">
        <v>5728</v>
      </c>
      <c r="C3861" s="4" t="s">
        <v>8374</v>
      </c>
      <c r="D3861" s="4" t="s">
        <v>172</v>
      </c>
      <c r="E3861" s="4" t="s">
        <v>27913</v>
      </c>
      <c r="F3861" s="4" t="str">
        <f>IFERROR(__XLUDF.DUMMYFUNCTION("PROPER(REGEXREPLACE(D266,""[^A-Za-z]+ "",""""))"),"Miraitech")</f>
        <v>Miraitech</v>
      </c>
      <c r="G3861" s="4" t="s">
        <v>27914</v>
      </c>
      <c r="H3861" s="4">
        <v>13</v>
      </c>
      <c r="I3861" s="4" t="s">
        <v>2602</v>
      </c>
      <c r="J3861" s="4" t="str">
        <f>IFERROR(__XLUDF.DUMMYFUNCTION("VLOOKUP(H266,IMPORTRANGE(""https://docs.google.com/spreadsheets/d/1opm6ZNvGZ7KditA9TuJwrZ25eFLfTNIkrNnY6mhV5Eg"",""list!A1:C115""),3,TRUE)"),"le secteur de la tech")</f>
        <v xml:space="preserve">le secteur de la tech</v>
      </c>
      <c r="K3861" s="5" t="s">
        <v>27915</v>
      </c>
      <c r="L3861" s="5" t="s">
        <v>27916</v>
      </c>
      <c r="M3861" s="6"/>
      <c r="N3861" s="4" t="s">
        <v>29</v>
      </c>
      <c r="O3861" s="4" t="s">
        <v>27917</v>
      </c>
      <c r="P3861" s="4" t="s">
        <v>25822</v>
      </c>
      <c r="Q3861" s="6"/>
      <c r="R3861" s="6"/>
      <c r="S3861" s="6"/>
      <c r="T3861" s="6"/>
      <c r="U3861" s="6"/>
      <c r="V3861" s="6"/>
      <c r="W3861" s="6"/>
      <c r="X3861" s="6"/>
      <c r="Y3861" s="6"/>
      <c r="Z3861" s="6"/>
      <c r="AA3861" s="6"/>
    </row>
    <row r="3862" ht="14.25">
      <c r="B3862" s="4" t="s">
        <v>3164</v>
      </c>
      <c r="C3862" s="4" t="s">
        <v>27918</v>
      </c>
      <c r="D3862" s="4" t="s">
        <v>44</v>
      </c>
      <c r="E3862" s="4" t="s">
        <v>27919</v>
      </c>
      <c r="F3862" s="4" t="str">
        <f>IFERROR(__XLUDF.DUMMYFUNCTION("PROPER(REGEXREPLACE(D267,""[^A-Za-z]+ "",""""))"),"Kalify")</f>
        <v>Kalify</v>
      </c>
      <c r="G3862" s="4" t="s">
        <v>27920</v>
      </c>
      <c r="H3862" s="4">
        <v>1</v>
      </c>
      <c r="I3862" s="4" t="s">
        <v>2602</v>
      </c>
      <c r="J3862" s="4" t="str">
        <f>IFERROR(__XLUDF.DUMMYFUNCTION("VLOOKUP(H267,IMPORTRANGE(""https://docs.google.com/spreadsheets/d/1opm6ZNvGZ7KditA9TuJwrZ25eFLfTNIkrNnY6mhV5Eg"",""list!A1:C115""),3,TRUE)"),"le secteur de la tech")</f>
        <v xml:space="preserve">le secteur de la tech</v>
      </c>
      <c r="K3862" s="5" t="s">
        <v>27921</v>
      </c>
      <c r="L3862" s="5" t="s">
        <v>27922</v>
      </c>
      <c r="M3862" s="4" t="s">
        <v>185</v>
      </c>
      <c r="N3862" s="4" t="s">
        <v>29</v>
      </c>
      <c r="O3862" s="4" t="s">
        <v>2219</v>
      </c>
      <c r="P3862" s="4" t="s">
        <v>29</v>
      </c>
      <c r="Q3862" s="6"/>
      <c r="R3862" s="6"/>
      <c r="S3862" s="6"/>
      <c r="T3862" s="6"/>
      <c r="U3862" s="6"/>
      <c r="V3862" s="6"/>
      <c r="W3862" s="6"/>
      <c r="X3862" s="6"/>
      <c r="Y3862" s="6"/>
      <c r="Z3862" s="6"/>
      <c r="AA3862" s="6"/>
    </row>
    <row r="3863" ht="14.25">
      <c r="B3863" s="4" t="s">
        <v>2138</v>
      </c>
      <c r="C3863" s="4" t="s">
        <v>27923</v>
      </c>
      <c r="D3863" s="4" t="s">
        <v>27924</v>
      </c>
      <c r="E3863" s="4" t="s">
        <v>12417</v>
      </c>
      <c r="F3863" s="4" t="str">
        <f>IFERROR(__XLUDF.DUMMYFUNCTION("PROPER(REGEXREPLACE(D268,""[^A-Za-z]+ "",""""))"),"Aletiq")</f>
        <v>Aletiq</v>
      </c>
      <c r="G3863" s="4" t="s">
        <v>27925</v>
      </c>
      <c r="H3863" s="4">
        <v>23</v>
      </c>
      <c r="I3863" s="4" t="s">
        <v>2602</v>
      </c>
      <c r="J3863" s="4" t="str">
        <f>IFERROR(__XLUDF.DUMMYFUNCTION("VLOOKUP(H268,IMPORTRANGE(""https://docs.google.com/spreadsheets/d/1opm6ZNvGZ7KditA9TuJwrZ25eFLfTNIkrNnY6mhV5Eg"",""list!A1:C115""),3,TRUE)"),"le secteur de la tech")</f>
        <v xml:space="preserve">le secteur de la tech</v>
      </c>
      <c r="K3863" s="5" t="s">
        <v>27926</v>
      </c>
      <c r="L3863" s="5" t="s">
        <v>27927</v>
      </c>
      <c r="M3863" s="4" t="s">
        <v>39</v>
      </c>
      <c r="N3863" s="4" t="s">
        <v>29</v>
      </c>
      <c r="O3863" s="4" t="s">
        <v>27928</v>
      </c>
      <c r="P3863" s="4" t="s">
        <v>29</v>
      </c>
      <c r="Q3863" s="4" t="s">
        <v>12420</v>
      </c>
      <c r="R3863" s="6"/>
      <c r="S3863" s="6"/>
      <c r="T3863" s="6"/>
      <c r="U3863" s="6"/>
      <c r="V3863" s="6"/>
      <c r="W3863" s="6"/>
      <c r="X3863" s="6"/>
      <c r="Y3863" s="6"/>
      <c r="Z3863" s="6"/>
      <c r="AA3863" s="6"/>
    </row>
    <row r="3864" ht="14.25">
      <c r="B3864" s="4" t="s">
        <v>27929</v>
      </c>
      <c r="C3864" s="4" t="s">
        <v>27930</v>
      </c>
      <c r="D3864" s="4" t="s">
        <v>62</v>
      </c>
      <c r="E3864" s="4" t="s">
        <v>27931</v>
      </c>
      <c r="F3864" s="4" t="str">
        <f>IFERROR(__XLUDF.DUMMYFUNCTION("PROPER(REGEXREPLACE(D269,""[^A-Za-z]+ "",""""))"),"Toumai Analytics")</f>
        <v xml:space="preserve">Toumai Analytics</v>
      </c>
      <c r="G3864" s="4" t="s">
        <v>27932</v>
      </c>
      <c r="H3864" s="4">
        <v>14</v>
      </c>
      <c r="I3864" s="4" t="s">
        <v>2602</v>
      </c>
      <c r="J3864" s="4" t="str">
        <f>IFERROR(__XLUDF.DUMMYFUNCTION("VLOOKUP(H269,IMPORTRANGE(""https://docs.google.com/spreadsheets/d/1opm6ZNvGZ7KditA9TuJwrZ25eFLfTNIkrNnY6mhV5Eg"",""list!A1:C115""),3,TRUE)"),"le secteur de la tech")</f>
        <v xml:space="preserve">le secteur de la tech</v>
      </c>
      <c r="K3864" s="5" t="s">
        <v>27933</v>
      </c>
      <c r="L3864" s="5" t="s">
        <v>27934</v>
      </c>
      <c r="M3864" s="6"/>
      <c r="N3864" s="4" t="s">
        <v>29</v>
      </c>
      <c r="O3864" s="4" t="s">
        <v>27935</v>
      </c>
      <c r="P3864" s="4" t="s">
        <v>29</v>
      </c>
      <c r="Q3864" s="4" t="s">
        <v>27936</v>
      </c>
      <c r="R3864" s="6"/>
      <c r="S3864" s="6"/>
      <c r="T3864" s="6"/>
      <c r="U3864" s="6"/>
      <c r="V3864" s="6"/>
      <c r="W3864" s="6"/>
      <c r="X3864" s="6"/>
      <c r="Y3864" s="6"/>
      <c r="Z3864" s="6"/>
      <c r="AA3864" s="6"/>
    </row>
    <row r="3865" ht="14.25">
      <c r="B3865" s="4" t="s">
        <v>27937</v>
      </c>
      <c r="C3865" s="4" t="s">
        <v>27938</v>
      </c>
      <c r="D3865" s="4" t="s">
        <v>27939</v>
      </c>
      <c r="E3865" s="4" t="s">
        <v>27940</v>
      </c>
      <c r="F3865" s="4" t="str">
        <f>IFERROR(__XLUDF.DUMMYFUNCTION("PROPER(REGEXREPLACE(D270,""[^A-Za-z]+ "",""""))"),"Panoptès")</f>
        <v>Panoptès</v>
      </c>
      <c r="G3865" s="4" t="s">
        <v>27941</v>
      </c>
      <c r="H3865" s="4">
        <v>39</v>
      </c>
      <c r="I3865" s="4" t="s">
        <v>2602</v>
      </c>
      <c r="J3865" s="4" t="str">
        <f>IFERROR(__XLUDF.DUMMYFUNCTION("VLOOKUP(H270,IMPORTRANGE(""https://docs.google.com/spreadsheets/d/1opm6ZNvGZ7KditA9TuJwrZ25eFLfTNIkrNnY6mhV5Eg"",""list!A1:C115""),3,TRUE)"),"le secteur de la tech")</f>
        <v xml:space="preserve">le secteur de la tech</v>
      </c>
      <c r="K3865" s="5" t="s">
        <v>27942</v>
      </c>
      <c r="L3865" s="5" t="s">
        <v>27943</v>
      </c>
      <c r="M3865" s="4" t="s">
        <v>3139</v>
      </c>
      <c r="N3865" s="4" t="s">
        <v>29</v>
      </c>
      <c r="O3865" s="4" t="s">
        <v>27944</v>
      </c>
      <c r="P3865" s="4" t="s">
        <v>29</v>
      </c>
      <c r="Q3865" s="4" t="s">
        <v>27945</v>
      </c>
      <c r="R3865" s="6"/>
      <c r="S3865" s="6"/>
      <c r="T3865" s="6"/>
      <c r="U3865" s="6"/>
      <c r="V3865" s="6"/>
      <c r="W3865" s="6"/>
      <c r="X3865" s="6"/>
      <c r="Y3865" s="6"/>
      <c r="Z3865" s="6"/>
      <c r="AA3865" s="6"/>
    </row>
    <row r="3866" ht="14.25">
      <c r="B3866" s="4" t="s">
        <v>4800</v>
      </c>
      <c r="C3866" s="4" t="s">
        <v>27946</v>
      </c>
      <c r="D3866" s="4" t="s">
        <v>62</v>
      </c>
      <c r="E3866" s="4" t="s">
        <v>27947</v>
      </c>
      <c r="F3866" s="4" t="str">
        <f>IFERROR(__XLUDF.DUMMYFUNCTION("PROPER(REGEXREPLACE(D271,""[^A-Za-z]+ "",""""))"),"Astran")</f>
        <v>Astran</v>
      </c>
      <c r="G3866" s="4" t="s">
        <v>27948</v>
      </c>
      <c r="H3866" s="4">
        <v>33</v>
      </c>
      <c r="I3866" s="4" t="s">
        <v>2602</v>
      </c>
      <c r="J3866" s="4" t="str">
        <f>IFERROR(__XLUDF.DUMMYFUNCTION("VLOOKUP(H271,IMPORTRANGE(""https://docs.google.com/spreadsheets/d/1opm6ZNvGZ7KditA9TuJwrZ25eFLfTNIkrNnY6mhV5Eg"",""list!A1:C115""),3,TRUE)"),"le secteur de la tech")</f>
        <v xml:space="preserve">le secteur de la tech</v>
      </c>
      <c r="K3866" s="5" t="s">
        <v>27949</v>
      </c>
      <c r="L3866" s="5" t="s">
        <v>27950</v>
      </c>
      <c r="M3866" s="4" t="s">
        <v>39</v>
      </c>
      <c r="N3866" s="4" t="s">
        <v>29</v>
      </c>
      <c r="O3866" s="4" t="s">
        <v>27951</v>
      </c>
      <c r="P3866" s="4" t="s">
        <v>29</v>
      </c>
      <c r="Q3866" s="4" t="s">
        <v>27952</v>
      </c>
      <c r="R3866" s="6"/>
      <c r="S3866" s="6"/>
      <c r="T3866" s="6"/>
      <c r="U3866" s="6"/>
      <c r="V3866" s="6"/>
      <c r="W3866" s="6"/>
      <c r="X3866" s="6"/>
      <c r="Y3866" s="6"/>
      <c r="Z3866" s="6"/>
      <c r="AA3866" s="6"/>
    </row>
    <row r="3867" ht="14.25">
      <c r="B3867" s="4" t="s">
        <v>588</v>
      </c>
      <c r="C3867" s="4" t="s">
        <v>27953</v>
      </c>
      <c r="D3867" s="4" t="s">
        <v>62</v>
      </c>
      <c r="E3867" s="4" t="s">
        <v>27954</v>
      </c>
      <c r="F3867" s="4" t="str">
        <f>IFERROR(__XLUDF.DUMMYFUNCTION("PROPER(REGEXREPLACE(D272,""[^A-Za-z]+ "",""""))"),"Majoby")</f>
        <v>Majoby</v>
      </c>
      <c r="G3867" s="4" t="s">
        <v>27955</v>
      </c>
      <c r="H3867" s="4">
        <v>37</v>
      </c>
      <c r="I3867" s="4" t="s">
        <v>2602</v>
      </c>
      <c r="J3867" s="4" t="str">
        <f>IFERROR(__XLUDF.DUMMYFUNCTION("VLOOKUP(H272,IMPORTRANGE(""https://docs.google.com/spreadsheets/d/1opm6ZNvGZ7KditA9TuJwrZ25eFLfTNIkrNnY6mhV5Eg"",""list!A1:C115""),3,TRUE)"),"le secteur de la tech")</f>
        <v xml:space="preserve">le secteur de la tech</v>
      </c>
      <c r="K3867" s="5" t="s">
        <v>27956</v>
      </c>
      <c r="L3867" s="5" t="s">
        <v>27957</v>
      </c>
      <c r="M3867" s="4" t="s">
        <v>39</v>
      </c>
      <c r="N3867" s="4" t="s">
        <v>29</v>
      </c>
      <c r="O3867" s="4" t="s">
        <v>27958</v>
      </c>
      <c r="P3867" s="4" t="s">
        <v>29</v>
      </c>
      <c r="Q3867" s="6"/>
      <c r="R3867" s="6"/>
      <c r="S3867" s="6"/>
      <c r="T3867" s="6"/>
      <c r="U3867" s="6"/>
      <c r="V3867" s="6"/>
      <c r="W3867" s="6"/>
      <c r="X3867" s="6"/>
      <c r="Y3867" s="6"/>
      <c r="Z3867" s="6"/>
      <c r="AA3867" s="6"/>
    </row>
    <row r="3868" ht="14.25">
      <c r="B3868" s="4" t="s">
        <v>743</v>
      </c>
      <c r="C3868" s="4" t="s">
        <v>27959</v>
      </c>
      <c r="D3868" s="4" t="s">
        <v>87</v>
      </c>
      <c r="E3868" s="4" t="s">
        <v>23810</v>
      </c>
      <c r="F3868" s="4" t="str">
        <f>IFERROR(__XLUDF.DUMMYFUNCTION("PROPER(REGEXREPLACE(D273,""[^A-Za-z]+ "",""""))"),"Dsflow")</f>
        <v>Dsflow</v>
      </c>
      <c r="G3868" s="4" t="s">
        <v>27960</v>
      </c>
      <c r="H3868" s="4">
        <v>9</v>
      </c>
      <c r="I3868" s="4" t="s">
        <v>2602</v>
      </c>
      <c r="J3868" s="4" t="str">
        <f>IFERROR(__XLUDF.DUMMYFUNCTION("VLOOKUP(H273,IMPORTRANGE(""https://docs.google.com/spreadsheets/d/1opm6ZNvGZ7KditA9TuJwrZ25eFLfTNIkrNnY6mhV5Eg"",""list!A1:C115""),3,TRUE)"),"le secteur de la tech")</f>
        <v xml:space="preserve">le secteur de la tech</v>
      </c>
      <c r="K3868" s="5" t="s">
        <v>27961</v>
      </c>
      <c r="L3868" s="5" t="s">
        <v>23813</v>
      </c>
      <c r="M3868" s="4" t="s">
        <v>39</v>
      </c>
      <c r="N3868" s="4" t="s">
        <v>29</v>
      </c>
      <c r="O3868" s="4" t="s">
        <v>23814</v>
      </c>
      <c r="P3868" s="4" t="s">
        <v>29</v>
      </c>
      <c r="Q3868" s="6"/>
      <c r="R3868" s="6"/>
      <c r="S3868" s="6"/>
      <c r="T3868" s="6"/>
      <c r="U3868" s="6"/>
      <c r="V3868" s="6"/>
      <c r="W3868" s="6"/>
      <c r="X3868" s="6"/>
      <c r="Y3868" s="6"/>
      <c r="Z3868" s="6"/>
      <c r="AA3868" s="6"/>
    </row>
    <row r="3869" ht="14.25">
      <c r="B3869" s="4" t="s">
        <v>4245</v>
      </c>
      <c r="C3869" s="4" t="s">
        <v>27962</v>
      </c>
      <c r="D3869" s="4" t="s">
        <v>172</v>
      </c>
      <c r="E3869" s="4" t="s">
        <v>27963</v>
      </c>
      <c r="F3869" s="4" t="str">
        <f>IFERROR(__XLUDF.DUMMYFUNCTION("PROPER(REGEXREPLACE(D274,""[^A-Za-z]+ "",""""))"),"Teractys")</f>
        <v>Teractys</v>
      </c>
      <c r="G3869" s="4" t="s">
        <v>27964</v>
      </c>
      <c r="H3869" s="4">
        <v>17</v>
      </c>
      <c r="I3869" s="4" t="s">
        <v>2602</v>
      </c>
      <c r="J3869" s="4" t="str">
        <f>IFERROR(__XLUDF.DUMMYFUNCTION("VLOOKUP(H274,IMPORTRANGE(""https://docs.google.com/spreadsheets/d/1opm6ZNvGZ7KditA9TuJwrZ25eFLfTNIkrNnY6mhV5Eg"",""list!A1:C115""),3,TRUE)"),"le secteur de la tech")</f>
        <v xml:space="preserve">le secteur de la tech</v>
      </c>
      <c r="K3869" s="5" t="s">
        <v>27965</v>
      </c>
      <c r="L3869" s="5" t="s">
        <v>27966</v>
      </c>
      <c r="M3869" s="6"/>
      <c r="N3869" s="4" t="s">
        <v>29</v>
      </c>
      <c r="O3869" s="4" t="s">
        <v>27967</v>
      </c>
      <c r="P3869" s="4" t="s">
        <v>29</v>
      </c>
      <c r="Q3869" s="4" t="s">
        <v>27968</v>
      </c>
      <c r="R3869" s="6"/>
      <c r="S3869" s="6"/>
      <c r="T3869" s="6"/>
      <c r="U3869" s="6"/>
      <c r="V3869" s="6"/>
      <c r="W3869" s="6"/>
      <c r="X3869" s="6"/>
      <c r="Y3869" s="6"/>
      <c r="Z3869" s="6"/>
      <c r="AA3869" s="6"/>
    </row>
    <row r="3870" ht="14.25">
      <c r="B3870" s="4" t="s">
        <v>27969</v>
      </c>
      <c r="C3870" s="4" t="s">
        <v>27970</v>
      </c>
      <c r="D3870" s="4" t="s">
        <v>688</v>
      </c>
      <c r="E3870" s="4" t="s">
        <v>27971</v>
      </c>
      <c r="F3870" s="4" t="str">
        <f>IFERROR(__XLUDF.DUMMYFUNCTION("PROPER(REGEXREPLACE(D275,""[^A-Za-z]+ "",""""))"),"Zsoft")</f>
        <v>Zsoft</v>
      </c>
      <c r="G3870" s="4" t="s">
        <v>27972</v>
      </c>
      <c r="H3870" s="4">
        <v>37</v>
      </c>
      <c r="I3870" s="4" t="s">
        <v>2602</v>
      </c>
      <c r="J3870" s="4" t="str">
        <f>IFERROR(__XLUDF.DUMMYFUNCTION("VLOOKUP(H275,IMPORTRANGE(""https://docs.google.com/spreadsheets/d/1opm6ZNvGZ7KditA9TuJwrZ25eFLfTNIkrNnY6mhV5Eg"",""list!A1:C115""),3,TRUE)"),"le secteur de la tech")</f>
        <v xml:space="preserve">le secteur de la tech</v>
      </c>
      <c r="K3870" s="5" t="s">
        <v>27973</v>
      </c>
      <c r="L3870" s="5" t="s">
        <v>27974</v>
      </c>
      <c r="M3870" s="4" t="s">
        <v>39</v>
      </c>
      <c r="N3870" s="4" t="s">
        <v>29</v>
      </c>
      <c r="O3870" s="4" t="s">
        <v>27975</v>
      </c>
      <c r="P3870" s="4" t="s">
        <v>29</v>
      </c>
      <c r="Q3870" s="6"/>
      <c r="R3870" s="6"/>
      <c r="S3870" s="6"/>
      <c r="T3870" s="6"/>
      <c r="U3870" s="6"/>
      <c r="V3870" s="6"/>
      <c r="W3870" s="6"/>
      <c r="X3870" s="6"/>
      <c r="Y3870" s="6"/>
      <c r="Z3870" s="6"/>
      <c r="AA3870" s="6"/>
    </row>
    <row r="3871" ht="14.25">
      <c r="B3871" s="4" t="s">
        <v>679</v>
      </c>
      <c r="C3871" s="4" t="s">
        <v>27976</v>
      </c>
      <c r="D3871" s="4" t="s">
        <v>27977</v>
      </c>
      <c r="E3871" s="4" t="s">
        <v>27978</v>
      </c>
      <c r="F3871" s="4" t="str">
        <f>IFERROR(__XLUDF.DUMMYFUNCTION("PROPER(REGEXREPLACE(D276,""[^A-Za-z]+ "",""""))"),"Data Observer")</f>
        <v xml:space="preserve">Data Observer</v>
      </c>
      <c r="G3871" s="4" t="s">
        <v>27979</v>
      </c>
      <c r="H3871" s="4">
        <v>18</v>
      </c>
      <c r="I3871" s="4" t="s">
        <v>2602</v>
      </c>
      <c r="J3871" s="4" t="str">
        <f>IFERROR(__XLUDF.DUMMYFUNCTION("VLOOKUP(H276,IMPORTRANGE(""https://docs.google.com/spreadsheets/d/1opm6ZNvGZ7KditA9TuJwrZ25eFLfTNIkrNnY6mhV5Eg"",""list!A1:C115""),3,TRUE)"),"le secteur de la tech")</f>
        <v xml:space="preserve">le secteur de la tech</v>
      </c>
      <c r="K3871" s="5" t="s">
        <v>27980</v>
      </c>
      <c r="L3871" s="5" t="s">
        <v>27981</v>
      </c>
      <c r="M3871" s="4" t="s">
        <v>295</v>
      </c>
      <c r="N3871" s="4" t="s">
        <v>29</v>
      </c>
      <c r="O3871" s="4" t="s">
        <v>27982</v>
      </c>
      <c r="P3871" s="4" t="s">
        <v>29</v>
      </c>
      <c r="Q3871" s="6"/>
      <c r="R3871" s="6"/>
      <c r="S3871" s="6"/>
      <c r="T3871" s="6"/>
      <c r="U3871" s="6"/>
      <c r="V3871" s="6"/>
      <c r="W3871" s="6"/>
      <c r="X3871" s="6"/>
      <c r="Y3871" s="6"/>
      <c r="Z3871" s="6"/>
      <c r="AA3871" s="6"/>
    </row>
    <row r="3872" ht="14.25">
      <c r="B3872" s="4" t="s">
        <v>27983</v>
      </c>
      <c r="C3872" s="4" t="s">
        <v>27984</v>
      </c>
      <c r="D3872" s="4" t="s">
        <v>27985</v>
      </c>
      <c r="E3872" s="4" t="s">
        <v>27986</v>
      </c>
      <c r="F3872" s="4" t="str">
        <f>IFERROR(__XLUDF.DUMMYFUNCTION("PROPER(REGEXREPLACE(D277,""[^A-Za-z]+ "",""""))"),"Frankdigital")</f>
        <v>Frankdigital</v>
      </c>
      <c r="G3872" s="4" t="s">
        <v>27987</v>
      </c>
      <c r="H3872" s="4">
        <v>22</v>
      </c>
      <c r="I3872" s="4" t="s">
        <v>2602</v>
      </c>
      <c r="J3872" s="4" t="str">
        <f>IFERROR(__XLUDF.DUMMYFUNCTION("VLOOKUP(H277,IMPORTRANGE(""https://docs.google.com/spreadsheets/d/1opm6ZNvGZ7KditA9TuJwrZ25eFLfTNIkrNnY6mhV5Eg"",""list!A1:C115""),3,TRUE)"),"le secteur de la tech")</f>
        <v xml:space="preserve">le secteur de la tech</v>
      </c>
      <c r="K3872" s="5" t="s">
        <v>27988</v>
      </c>
      <c r="L3872" s="5" t="s">
        <v>27989</v>
      </c>
      <c r="M3872" s="4" t="s">
        <v>39</v>
      </c>
      <c r="N3872" s="4" t="s">
        <v>29</v>
      </c>
      <c r="O3872" s="4" t="s">
        <v>27990</v>
      </c>
      <c r="P3872" s="4" t="s">
        <v>27298</v>
      </c>
      <c r="Q3872" s="4" t="s">
        <v>27991</v>
      </c>
      <c r="R3872" s="6"/>
      <c r="S3872" s="6"/>
      <c r="T3872" s="6"/>
      <c r="U3872" s="6"/>
      <c r="V3872" s="6"/>
      <c r="W3872" s="6"/>
      <c r="X3872" s="6"/>
      <c r="Y3872" s="6"/>
      <c r="Z3872" s="6"/>
      <c r="AA3872" s="6"/>
    </row>
    <row r="3873" ht="14.25">
      <c r="B3873" s="4" t="s">
        <v>23012</v>
      </c>
      <c r="C3873" s="4" t="s">
        <v>27992</v>
      </c>
      <c r="D3873" s="4" t="s">
        <v>27993</v>
      </c>
      <c r="E3873" s="4" t="s">
        <v>27994</v>
      </c>
      <c r="F3873" s="4" t="str">
        <f>IFERROR(__XLUDF.DUMMYFUNCTION("PROPER(REGEXREPLACE(D278,""[^A-Za-z]+ "",""""))"),"Gridmate")</f>
        <v>Gridmate</v>
      </c>
      <c r="G3873" s="4" t="s">
        <v>27995</v>
      </c>
      <c r="H3873" s="4">
        <v>14</v>
      </c>
      <c r="I3873" s="4" t="s">
        <v>2602</v>
      </c>
      <c r="J3873" s="4" t="str">
        <f>IFERROR(__XLUDF.DUMMYFUNCTION("VLOOKUP(H278,IMPORTRANGE(""https://docs.google.com/spreadsheets/d/1opm6ZNvGZ7KditA9TuJwrZ25eFLfTNIkrNnY6mhV5Eg"",""list!A1:C115""),3,TRUE)"),"le secteur de la tech")</f>
        <v xml:space="preserve">le secteur de la tech</v>
      </c>
      <c r="K3873" s="5" t="s">
        <v>27996</v>
      </c>
      <c r="L3873" s="5" t="s">
        <v>27997</v>
      </c>
      <c r="M3873" s="4" t="s">
        <v>27998</v>
      </c>
      <c r="N3873" s="4" t="s">
        <v>29</v>
      </c>
      <c r="O3873" s="4" t="s">
        <v>27999</v>
      </c>
      <c r="P3873" s="4" t="s">
        <v>1261</v>
      </c>
      <c r="Q3873" s="6"/>
      <c r="R3873" s="6"/>
      <c r="S3873" s="6"/>
      <c r="T3873" s="6"/>
      <c r="U3873" s="6"/>
      <c r="V3873" s="6"/>
      <c r="W3873" s="6"/>
      <c r="X3873" s="6"/>
      <c r="Y3873" s="6"/>
      <c r="Z3873" s="6"/>
      <c r="AA3873" s="6"/>
    </row>
    <row r="3874" ht="14.25">
      <c r="B3874" s="4" t="s">
        <v>1387</v>
      </c>
      <c r="C3874" s="4" t="s">
        <v>28000</v>
      </c>
      <c r="D3874" s="4" t="s">
        <v>62</v>
      </c>
      <c r="E3874" s="4" t="s">
        <v>28001</v>
      </c>
      <c r="F3874" s="4" t="str">
        <f>IFERROR(__XLUDF.DUMMYFUNCTION("PROPER(REGEXREPLACE(D279,""[^A-Za-z]+ "",""""))"),"Twyce")</f>
        <v>Twyce</v>
      </c>
      <c r="G3874" s="4" t="s">
        <v>28002</v>
      </c>
      <c r="H3874" s="4">
        <v>37</v>
      </c>
      <c r="I3874" s="4" t="s">
        <v>2602</v>
      </c>
      <c r="J3874" s="4" t="str">
        <f>IFERROR(__XLUDF.DUMMYFUNCTION("VLOOKUP(H279,IMPORTRANGE(""https://docs.google.com/spreadsheets/d/1opm6ZNvGZ7KditA9TuJwrZ25eFLfTNIkrNnY6mhV5Eg"",""list!A1:C115""),3,TRUE)"),"le secteur de la tech")</f>
        <v xml:space="preserve">le secteur de la tech</v>
      </c>
      <c r="K3874" s="5" t="s">
        <v>28003</v>
      </c>
      <c r="L3874" s="5" t="s">
        <v>28004</v>
      </c>
      <c r="M3874" s="4" t="s">
        <v>39</v>
      </c>
      <c r="N3874" s="4" t="s">
        <v>29</v>
      </c>
      <c r="O3874" s="4" t="s">
        <v>20412</v>
      </c>
      <c r="P3874" s="4" t="s">
        <v>29</v>
      </c>
      <c r="Q3874" s="4" t="s">
        <v>28005</v>
      </c>
      <c r="R3874" s="6"/>
      <c r="S3874" s="6"/>
      <c r="T3874" s="6"/>
      <c r="U3874" s="6"/>
      <c r="V3874" s="6"/>
      <c r="W3874" s="6"/>
      <c r="X3874" s="6"/>
      <c r="Y3874" s="6"/>
      <c r="Z3874" s="6"/>
      <c r="AA3874" s="6"/>
    </row>
    <row r="3875" ht="14.25">
      <c r="B3875" s="4" t="s">
        <v>808</v>
      </c>
      <c r="C3875" s="4" t="s">
        <v>28006</v>
      </c>
      <c r="D3875" s="4" t="s">
        <v>28007</v>
      </c>
      <c r="E3875" s="4" t="s">
        <v>28008</v>
      </c>
      <c r="F3875" s="4" t="str">
        <f>IFERROR(__XLUDF.DUMMYFUNCTION("PROPER(REGEXREPLACE(D280,""[^A-Za-z]+ "",""""))"),"Viaxoft")</f>
        <v>Viaxoft</v>
      </c>
      <c r="G3875" s="4" t="s">
        <v>28009</v>
      </c>
      <c r="H3875" s="4">
        <v>42</v>
      </c>
      <c r="I3875" s="4" t="s">
        <v>2602</v>
      </c>
      <c r="J3875" s="4" t="str">
        <f>IFERROR(__XLUDF.DUMMYFUNCTION("VLOOKUP(H280,IMPORTRANGE(""https://docs.google.com/spreadsheets/d/1opm6ZNvGZ7KditA9TuJwrZ25eFLfTNIkrNnY6mhV5Eg"",""list!A1:C115""),3,TRUE)"),"le secteur de la tech")</f>
        <v xml:space="preserve">le secteur de la tech</v>
      </c>
      <c r="K3875" s="5" t="s">
        <v>28010</v>
      </c>
      <c r="L3875" s="5" t="s">
        <v>28011</v>
      </c>
      <c r="M3875" s="4" t="s">
        <v>295</v>
      </c>
      <c r="N3875" s="4" t="s">
        <v>29</v>
      </c>
      <c r="O3875" s="4" t="s">
        <v>28012</v>
      </c>
      <c r="P3875" s="4" t="s">
        <v>29</v>
      </c>
      <c r="Q3875" s="4" t="s">
        <v>28013</v>
      </c>
      <c r="R3875" s="6"/>
      <c r="S3875" s="6"/>
      <c r="T3875" s="6"/>
      <c r="U3875" s="6"/>
      <c r="V3875" s="6"/>
      <c r="W3875" s="6"/>
      <c r="X3875" s="6"/>
      <c r="Y3875" s="6"/>
      <c r="Z3875" s="6"/>
      <c r="AA3875" s="6"/>
    </row>
    <row r="3876" ht="14.25">
      <c r="B3876" s="4" t="s">
        <v>7552</v>
      </c>
      <c r="C3876" s="4" t="s">
        <v>28014</v>
      </c>
      <c r="D3876" s="4" t="s">
        <v>87</v>
      </c>
      <c r="E3876" s="4" t="s">
        <v>28015</v>
      </c>
      <c r="F3876" s="4" t="str">
        <f>IFERROR(__XLUDF.DUMMYFUNCTION("PROPER(REGEXREPLACE(D281,""[^A-Za-z]+ "",""""))"),"Kolabs")</f>
        <v>Kolabs</v>
      </c>
      <c r="G3876" s="4" t="s">
        <v>28016</v>
      </c>
      <c r="H3876" s="4">
        <v>21</v>
      </c>
      <c r="I3876" s="4" t="s">
        <v>2602</v>
      </c>
      <c r="J3876" s="4" t="str">
        <f>IFERROR(__XLUDF.DUMMYFUNCTION("VLOOKUP(H281,IMPORTRANGE(""https://docs.google.com/spreadsheets/d/1opm6ZNvGZ7KditA9TuJwrZ25eFLfTNIkrNnY6mhV5Eg"",""list!A1:C115""),3,TRUE)"),"le secteur de la tech")</f>
        <v xml:space="preserve">le secteur de la tech</v>
      </c>
      <c r="K3876" s="5" t="s">
        <v>28017</v>
      </c>
      <c r="L3876" s="5" t="s">
        <v>28018</v>
      </c>
      <c r="M3876" s="4" t="s">
        <v>39</v>
      </c>
      <c r="N3876" s="4" t="s">
        <v>29</v>
      </c>
      <c r="O3876" s="4" t="s">
        <v>28019</v>
      </c>
      <c r="P3876" s="4" t="s">
        <v>29</v>
      </c>
      <c r="Q3876" s="4" t="s">
        <v>28020</v>
      </c>
      <c r="R3876" s="6"/>
      <c r="S3876" s="6"/>
      <c r="T3876" s="6"/>
      <c r="U3876" s="6"/>
      <c r="V3876" s="6"/>
      <c r="W3876" s="6"/>
      <c r="X3876" s="6"/>
      <c r="Y3876" s="6"/>
      <c r="Z3876" s="6"/>
      <c r="AA3876" s="6"/>
    </row>
    <row r="3877" ht="14.25">
      <c r="B3877" s="4" t="s">
        <v>355</v>
      </c>
      <c r="C3877" s="4" t="s">
        <v>28021</v>
      </c>
      <c r="D3877" s="4" t="s">
        <v>28022</v>
      </c>
      <c r="E3877" s="4" t="s">
        <v>27345</v>
      </c>
      <c r="F3877" s="4" t="str">
        <f>IFERROR(__XLUDF.DUMMYFUNCTION("PROPER(REGEXREPLACE(D282,""[^A-Za-z]+ "",""""))"),"Kairntech")</f>
        <v>Kairntech</v>
      </c>
      <c r="G3877" s="4" t="s">
        <v>28023</v>
      </c>
      <c r="H3877" s="4">
        <v>10</v>
      </c>
      <c r="I3877" s="4" t="s">
        <v>2602</v>
      </c>
      <c r="J3877" s="4" t="str">
        <f>IFERROR(__XLUDF.DUMMYFUNCTION("VLOOKUP(H282,IMPORTRANGE(""https://docs.google.com/spreadsheets/d/1opm6ZNvGZ7KditA9TuJwrZ25eFLfTNIkrNnY6mhV5Eg"",""list!A1:C115""),3,TRUE)"),"le secteur de la tech")</f>
        <v xml:space="preserve">le secteur de la tech</v>
      </c>
      <c r="K3877" s="5" t="s">
        <v>28024</v>
      </c>
      <c r="L3877" s="5" t="s">
        <v>27348</v>
      </c>
      <c r="M3877" s="4" t="s">
        <v>1507</v>
      </c>
      <c r="N3877" s="4" t="s">
        <v>29</v>
      </c>
      <c r="O3877" s="4" t="s">
        <v>27349</v>
      </c>
      <c r="P3877" s="4" t="s">
        <v>29</v>
      </c>
      <c r="Q3877" s="4" t="s">
        <v>27350</v>
      </c>
      <c r="R3877" s="6"/>
      <c r="S3877" s="6"/>
      <c r="T3877" s="6"/>
      <c r="U3877" s="6"/>
      <c r="V3877" s="6"/>
      <c r="W3877" s="6"/>
      <c r="X3877" s="6"/>
      <c r="Y3877" s="6"/>
      <c r="Z3877" s="6"/>
      <c r="AA3877" s="6"/>
    </row>
    <row r="3878" ht="14.25">
      <c r="B3878" s="4" t="s">
        <v>1421</v>
      </c>
      <c r="C3878" s="4" t="s">
        <v>28025</v>
      </c>
      <c r="D3878" s="4" t="s">
        <v>28026</v>
      </c>
      <c r="E3878" s="4" t="s">
        <v>28027</v>
      </c>
      <c r="F3878" s="4" t="str">
        <f>IFERROR(__XLUDF.DUMMYFUNCTION("PROPER(REGEXREPLACE(D283,""[^A-Za-z]+ "",""""))"),"The Wokies")</f>
        <v xml:space="preserve">The Wokies</v>
      </c>
      <c r="G3878" s="4" t="s">
        <v>28028</v>
      </c>
      <c r="H3878" s="4">
        <v>2</v>
      </c>
      <c r="I3878" s="4" t="s">
        <v>2602</v>
      </c>
      <c r="J3878" s="4" t="str">
        <f>IFERROR(__XLUDF.DUMMYFUNCTION("VLOOKUP(H283,IMPORTRANGE(""https://docs.google.com/spreadsheets/d/1opm6ZNvGZ7KditA9TuJwrZ25eFLfTNIkrNnY6mhV5Eg"",""list!A1:C115""),3,TRUE)"),"le secteur de la tech")</f>
        <v xml:space="preserve">le secteur de la tech</v>
      </c>
      <c r="K3878" s="5" t="s">
        <v>28029</v>
      </c>
      <c r="L3878" s="5" t="s">
        <v>28030</v>
      </c>
      <c r="M3878" s="6"/>
      <c r="N3878" s="4" t="s">
        <v>29</v>
      </c>
      <c r="O3878" s="4" t="s">
        <v>28031</v>
      </c>
      <c r="P3878" s="4" t="s">
        <v>29</v>
      </c>
      <c r="Q3878" s="4" t="s">
        <v>28032</v>
      </c>
      <c r="R3878" s="6"/>
      <c r="S3878" s="6"/>
      <c r="T3878" s="6"/>
      <c r="U3878" s="6"/>
      <c r="V3878" s="6"/>
      <c r="W3878" s="6"/>
      <c r="X3878" s="6"/>
      <c r="Y3878" s="6"/>
      <c r="Z3878" s="6"/>
      <c r="AA3878" s="6"/>
    </row>
    <row r="3879" ht="14.25">
      <c r="B3879" s="4" t="s">
        <v>18475</v>
      </c>
      <c r="C3879" s="4" t="s">
        <v>28033</v>
      </c>
      <c r="D3879" s="4" t="s">
        <v>28034</v>
      </c>
      <c r="E3879" s="4" t="s">
        <v>18538</v>
      </c>
      <c r="F3879" s="4" t="str">
        <f>IFERROR(__XLUDF.DUMMYFUNCTION("PROPER(REGEXREPLACE(D284,""[^A-Za-z]+ "",""""))"),"Zbre")</f>
        <v>Zbre</v>
      </c>
      <c r="G3879" s="4" t="s">
        <v>28035</v>
      </c>
      <c r="H3879" s="4">
        <v>11</v>
      </c>
      <c r="I3879" s="4" t="s">
        <v>2602</v>
      </c>
      <c r="J3879" s="4" t="str">
        <f>IFERROR(__XLUDF.DUMMYFUNCTION("VLOOKUP(H284,IMPORTRANGE(""https://docs.google.com/spreadsheets/d/1opm6ZNvGZ7KditA9TuJwrZ25eFLfTNIkrNnY6mhV5Eg"",""list!A1:C115""),3,TRUE)"),"le secteur de la tech")</f>
        <v xml:space="preserve">le secteur de la tech</v>
      </c>
      <c r="K3879" s="5" t="s">
        <v>28036</v>
      </c>
      <c r="L3879" s="5" t="s">
        <v>18541</v>
      </c>
      <c r="M3879" s="4" t="s">
        <v>140</v>
      </c>
      <c r="N3879" s="4" t="s">
        <v>29</v>
      </c>
      <c r="O3879" s="4" t="s">
        <v>18542</v>
      </c>
      <c r="P3879" s="4" t="s">
        <v>29</v>
      </c>
      <c r="Q3879" s="4" t="s">
        <v>18543</v>
      </c>
      <c r="R3879" s="6"/>
      <c r="S3879" s="6"/>
      <c r="T3879" s="6"/>
      <c r="U3879" s="6"/>
      <c r="V3879" s="6"/>
      <c r="W3879" s="6"/>
      <c r="X3879" s="6"/>
      <c r="Y3879" s="6"/>
      <c r="Z3879" s="6"/>
      <c r="AA3879" s="6"/>
    </row>
    <row r="3880" ht="14.25">
      <c r="B3880" s="4" t="s">
        <v>28037</v>
      </c>
      <c r="C3880" s="4" t="s">
        <v>28038</v>
      </c>
      <c r="D3880" s="4" t="s">
        <v>28039</v>
      </c>
      <c r="E3880" s="4" t="s">
        <v>27947</v>
      </c>
      <c r="F3880" s="4" t="str">
        <f>IFERROR(__XLUDF.DUMMYFUNCTION("PROPER(REGEXREPLACE(D285,""[^A-Za-z]+ "",""""))"),"Astran")</f>
        <v>Astran</v>
      </c>
      <c r="G3880" s="4" t="s">
        <v>28040</v>
      </c>
      <c r="H3880" s="4">
        <v>33</v>
      </c>
      <c r="I3880" s="4" t="s">
        <v>2602</v>
      </c>
      <c r="J3880" s="4" t="str">
        <f>IFERROR(__XLUDF.DUMMYFUNCTION("VLOOKUP(H285,IMPORTRANGE(""https://docs.google.com/spreadsheets/d/1opm6ZNvGZ7KditA9TuJwrZ25eFLfTNIkrNnY6mhV5Eg"",""list!A1:C115""),3,TRUE)"),"le secteur de la tech")</f>
        <v xml:space="preserve">le secteur de la tech</v>
      </c>
      <c r="K3880" s="5" t="s">
        <v>28041</v>
      </c>
      <c r="L3880" s="5" t="s">
        <v>27950</v>
      </c>
      <c r="M3880" s="4" t="s">
        <v>39</v>
      </c>
      <c r="N3880" s="4" t="s">
        <v>29</v>
      </c>
      <c r="O3880" s="4" t="s">
        <v>27951</v>
      </c>
      <c r="P3880" s="4" t="s">
        <v>29</v>
      </c>
      <c r="Q3880" s="4" t="s">
        <v>27952</v>
      </c>
      <c r="R3880" s="6"/>
      <c r="S3880" s="6"/>
      <c r="T3880" s="6"/>
      <c r="U3880" s="6"/>
      <c r="V3880" s="6"/>
      <c r="W3880" s="6"/>
      <c r="X3880" s="6"/>
      <c r="Y3880" s="6"/>
      <c r="Z3880" s="6"/>
      <c r="AA3880" s="6"/>
    </row>
    <row r="3881" ht="14.25">
      <c r="B3881" s="4" t="s">
        <v>222</v>
      </c>
      <c r="C3881" s="4" t="s">
        <v>28042</v>
      </c>
      <c r="D3881" s="4" t="s">
        <v>28043</v>
      </c>
      <c r="E3881" s="4" t="s">
        <v>28044</v>
      </c>
      <c r="F3881" s="4" t="str">
        <f>IFERROR(__XLUDF.DUMMYFUNCTION("PROPER(REGEXREPLACE(D286,""[^A-Za-z]+ "",""""))"),"Maya Consulting")</f>
        <v xml:space="preserve">Maya Consulting</v>
      </c>
      <c r="G3881" s="4" t="s">
        <v>28045</v>
      </c>
      <c r="H3881" s="4">
        <v>18</v>
      </c>
      <c r="I3881" s="4" t="s">
        <v>2602</v>
      </c>
      <c r="J3881" s="4" t="str">
        <f>IFERROR(__XLUDF.DUMMYFUNCTION("VLOOKUP(H286,IMPORTRANGE(""https://docs.google.com/spreadsheets/d/1opm6ZNvGZ7KditA9TuJwrZ25eFLfTNIkrNnY6mhV5Eg"",""list!A1:C115""),3,TRUE)"),"le secteur de la tech")</f>
        <v xml:space="preserve">le secteur de la tech</v>
      </c>
      <c r="K3881" s="5" t="s">
        <v>28046</v>
      </c>
      <c r="L3881" s="5" t="s">
        <v>28047</v>
      </c>
      <c r="M3881" s="4" t="s">
        <v>28048</v>
      </c>
      <c r="N3881" s="4" t="s">
        <v>29</v>
      </c>
      <c r="O3881" s="4" t="s">
        <v>67</v>
      </c>
      <c r="P3881" s="4" t="s">
        <v>29</v>
      </c>
      <c r="Q3881" s="6"/>
      <c r="R3881" s="6"/>
      <c r="S3881" s="6"/>
      <c r="T3881" s="6"/>
      <c r="U3881" s="6"/>
      <c r="V3881" s="6"/>
      <c r="W3881" s="6"/>
      <c r="X3881" s="6"/>
      <c r="Y3881" s="6"/>
      <c r="Z3881" s="6"/>
      <c r="AA3881" s="6"/>
    </row>
    <row r="3882" ht="14.25">
      <c r="B3882" s="4" t="s">
        <v>222</v>
      </c>
      <c r="C3882" s="4" t="s">
        <v>28049</v>
      </c>
      <c r="D3882" s="4" t="s">
        <v>28050</v>
      </c>
      <c r="E3882" s="4" t="s">
        <v>28051</v>
      </c>
      <c r="F3882" s="4" t="str">
        <f>IFERROR(__XLUDF.DUMMYFUNCTION("PROPER(REGEXREPLACE(D287,""[^A-Za-z]+ "",""""))"),"Agilitest")</f>
        <v>Agilitest</v>
      </c>
      <c r="G3882" s="4" t="s">
        <v>28052</v>
      </c>
      <c r="H3882" s="4">
        <v>12</v>
      </c>
      <c r="I3882" s="4" t="s">
        <v>2602</v>
      </c>
      <c r="J3882" s="4" t="str">
        <f>IFERROR(__XLUDF.DUMMYFUNCTION("VLOOKUP(H287,IMPORTRANGE(""https://docs.google.com/spreadsheets/d/1opm6ZNvGZ7KditA9TuJwrZ25eFLfTNIkrNnY6mhV5Eg"",""list!A1:C115""),3,TRUE)"),"le secteur de la tech")</f>
        <v xml:space="preserve">le secteur de la tech</v>
      </c>
      <c r="K3882" s="5" t="s">
        <v>28053</v>
      </c>
      <c r="L3882" s="5" t="s">
        <v>28054</v>
      </c>
      <c r="M3882" s="4" t="s">
        <v>243</v>
      </c>
      <c r="N3882" s="4" t="s">
        <v>29</v>
      </c>
      <c r="O3882" s="4" t="s">
        <v>28055</v>
      </c>
      <c r="P3882" s="4" t="s">
        <v>29</v>
      </c>
      <c r="Q3882" s="4" t="s">
        <v>28056</v>
      </c>
      <c r="R3882" s="6"/>
      <c r="S3882" s="6"/>
      <c r="T3882" s="6"/>
      <c r="U3882" s="6"/>
      <c r="V3882" s="6"/>
      <c r="W3882" s="6"/>
      <c r="X3882" s="6"/>
      <c r="Y3882" s="6"/>
      <c r="Z3882" s="6"/>
      <c r="AA3882" s="6"/>
    </row>
    <row r="3883" ht="14.25">
      <c r="B3883" s="4" t="s">
        <v>206</v>
      </c>
      <c r="C3883" s="4" t="s">
        <v>28057</v>
      </c>
      <c r="D3883" s="4" t="s">
        <v>426</v>
      </c>
      <c r="E3883" s="4" t="s">
        <v>28058</v>
      </c>
      <c r="F3883" s="4" t="str">
        <f>IFERROR(__XLUDF.DUMMYFUNCTION("PROPER(REGEXREPLACE(D288,""[^A-Za-z]+ "",""""))"),"Gathering Tools")</f>
        <v xml:space="preserve">Gathering Tools</v>
      </c>
      <c r="G3883" s="4" t="s">
        <v>28059</v>
      </c>
      <c r="H3883" s="4">
        <v>11</v>
      </c>
      <c r="I3883" s="4" t="s">
        <v>2602</v>
      </c>
      <c r="J3883" s="4" t="str">
        <f>IFERROR(__XLUDF.DUMMYFUNCTION("VLOOKUP(H288,IMPORTRANGE(""https://docs.google.com/spreadsheets/d/1opm6ZNvGZ7KditA9TuJwrZ25eFLfTNIkrNnY6mhV5Eg"",""list!A1:C115""),3,TRUE)"),"le secteur de la tech")</f>
        <v xml:space="preserve">le secteur de la tech</v>
      </c>
      <c r="K3883" s="5" t="s">
        <v>28060</v>
      </c>
      <c r="L3883" s="5" t="s">
        <v>28061</v>
      </c>
      <c r="M3883" s="4" t="s">
        <v>39</v>
      </c>
      <c r="N3883" s="4" t="s">
        <v>29</v>
      </c>
      <c r="O3883" s="4" t="s">
        <v>28062</v>
      </c>
      <c r="P3883" s="4" t="s">
        <v>2388</v>
      </c>
      <c r="Q3883" s="4" t="s">
        <v>28063</v>
      </c>
      <c r="R3883" s="6"/>
      <c r="S3883" s="6"/>
      <c r="T3883" s="6"/>
      <c r="U3883" s="6"/>
      <c r="V3883" s="6"/>
      <c r="W3883" s="6"/>
      <c r="X3883" s="6"/>
      <c r="Y3883" s="6"/>
      <c r="Z3883" s="6"/>
      <c r="AA3883" s="6"/>
    </row>
    <row r="3884" ht="14.25">
      <c r="B3884" s="4" t="s">
        <v>1027</v>
      </c>
      <c r="C3884" s="4" t="s">
        <v>14144</v>
      </c>
      <c r="D3884" s="4" t="s">
        <v>19297</v>
      </c>
      <c r="E3884" s="4" t="s">
        <v>28064</v>
      </c>
      <c r="F3884" s="4" t="str">
        <f>IFERROR(__XLUDF.DUMMYFUNCTION("PROPER(REGEXREPLACE(D289,""[^A-Za-z]+ "",""""))"),"Jetdev")</f>
        <v>Jetdev</v>
      </c>
      <c r="G3884" s="4" t="s">
        <v>28065</v>
      </c>
      <c r="H3884" s="4">
        <v>24</v>
      </c>
      <c r="I3884" s="4" t="s">
        <v>2602</v>
      </c>
      <c r="J3884" s="4" t="str">
        <f>IFERROR(__XLUDF.DUMMYFUNCTION("VLOOKUP(H289,IMPORTRANGE(""https://docs.google.com/spreadsheets/d/1opm6ZNvGZ7KditA9TuJwrZ25eFLfTNIkrNnY6mhV5Eg"",""list!A1:C115""),3,TRUE)"),"le secteur de la tech")</f>
        <v xml:space="preserve">le secteur de la tech</v>
      </c>
      <c r="K3884" s="5" t="s">
        <v>28066</v>
      </c>
      <c r="L3884" s="5" t="s">
        <v>28067</v>
      </c>
      <c r="M3884" s="4" t="s">
        <v>846</v>
      </c>
      <c r="N3884" s="4" t="s">
        <v>29</v>
      </c>
      <c r="O3884" s="4" t="s">
        <v>28068</v>
      </c>
      <c r="P3884" s="4" t="s">
        <v>29</v>
      </c>
      <c r="Q3884" s="4" t="s">
        <v>28069</v>
      </c>
      <c r="R3884" s="6"/>
      <c r="S3884" s="6"/>
      <c r="T3884" s="6"/>
      <c r="U3884" s="6"/>
      <c r="V3884" s="6"/>
      <c r="W3884" s="6"/>
      <c r="X3884" s="6"/>
      <c r="Y3884" s="6"/>
      <c r="Z3884" s="6"/>
      <c r="AA3884" s="6"/>
    </row>
    <row r="3885" ht="14.25">
      <c r="B3885" s="4" t="s">
        <v>16133</v>
      </c>
      <c r="C3885" s="4" t="s">
        <v>28070</v>
      </c>
      <c r="D3885" s="4" t="s">
        <v>28071</v>
      </c>
      <c r="E3885" s="4" t="s">
        <v>28072</v>
      </c>
      <c r="F3885" s="4" t="str">
        <f>IFERROR(__XLUDF.DUMMYFUNCTION("PROPER(REGEXREPLACE(D290,""[^A-Za-z]+ "",""""))"),"Imagina")</f>
        <v>Imagina</v>
      </c>
      <c r="G3885" s="4" t="s">
        <v>28073</v>
      </c>
      <c r="H3885" s="4">
        <v>29</v>
      </c>
      <c r="I3885" s="4" t="s">
        <v>2602</v>
      </c>
      <c r="J3885" s="4" t="str">
        <f>IFERROR(__XLUDF.DUMMYFUNCTION("VLOOKUP(H290,IMPORTRANGE(""https://docs.google.com/spreadsheets/d/1opm6ZNvGZ7KditA9TuJwrZ25eFLfTNIkrNnY6mhV5Eg"",""list!A1:C115""),3,TRUE)"),"le secteur de la tech")</f>
        <v xml:space="preserve">le secteur de la tech</v>
      </c>
      <c r="K3885" s="5" t="s">
        <v>28074</v>
      </c>
      <c r="L3885" s="5" t="s">
        <v>28075</v>
      </c>
      <c r="M3885" s="4" t="s">
        <v>731</v>
      </c>
      <c r="N3885" s="4" t="s">
        <v>29</v>
      </c>
      <c r="O3885" s="4" t="s">
        <v>28076</v>
      </c>
      <c r="P3885" s="4" t="s">
        <v>29</v>
      </c>
      <c r="Q3885" s="4" t="s">
        <v>28077</v>
      </c>
      <c r="R3885" s="6"/>
      <c r="S3885" s="6"/>
      <c r="T3885" s="6"/>
      <c r="U3885" s="6"/>
      <c r="V3885" s="6"/>
      <c r="W3885" s="6"/>
      <c r="X3885" s="6"/>
      <c r="Y3885" s="6"/>
      <c r="Z3885" s="6"/>
      <c r="AA3885" s="6"/>
    </row>
    <row r="3886" ht="14.25">
      <c r="B3886" s="4" t="s">
        <v>1387</v>
      </c>
      <c r="C3886" s="4" t="s">
        <v>9031</v>
      </c>
      <c r="D3886" s="4" t="s">
        <v>18718</v>
      </c>
      <c r="E3886" s="4" t="s">
        <v>28078</v>
      </c>
      <c r="F3886" s="4" t="str">
        <f>IFERROR(__XLUDF.DUMMYFUNCTION("PROPER(REGEXREPLACE(D291,""[^A-Za-z]+ "",""""))"),"Delpha")</f>
        <v>Delpha</v>
      </c>
      <c r="G3886" s="4" t="s">
        <v>28079</v>
      </c>
      <c r="H3886" s="4">
        <v>15</v>
      </c>
      <c r="I3886" s="4" t="s">
        <v>2602</v>
      </c>
      <c r="J3886" s="4" t="str">
        <f>IFERROR(__XLUDF.DUMMYFUNCTION("VLOOKUP(H291,IMPORTRANGE(""https://docs.google.com/spreadsheets/d/1opm6ZNvGZ7KditA9TuJwrZ25eFLfTNIkrNnY6mhV5Eg"",""list!A1:C115""),3,TRUE)"),"le secteur de la tech")</f>
        <v xml:space="preserve">le secteur de la tech</v>
      </c>
      <c r="K3886" s="5" t="s">
        <v>28080</v>
      </c>
      <c r="L3886" s="5" t="s">
        <v>28081</v>
      </c>
      <c r="M3886" s="4" t="s">
        <v>39</v>
      </c>
      <c r="N3886" s="4" t="s">
        <v>29</v>
      </c>
      <c r="O3886" s="4" t="s">
        <v>28082</v>
      </c>
      <c r="P3886" s="4" t="s">
        <v>29</v>
      </c>
      <c r="Q3886" s="4" t="s">
        <v>28083</v>
      </c>
      <c r="R3886" s="6"/>
      <c r="S3886" s="6"/>
      <c r="T3886" s="6"/>
      <c r="U3886" s="6"/>
      <c r="V3886" s="6"/>
      <c r="W3886" s="6"/>
      <c r="X3886" s="6"/>
      <c r="Y3886" s="6"/>
      <c r="Z3886" s="6"/>
      <c r="AA3886" s="6"/>
    </row>
    <row r="3887" ht="14.25">
      <c r="B3887" s="4" t="s">
        <v>9091</v>
      </c>
      <c r="C3887" s="4" t="s">
        <v>28084</v>
      </c>
      <c r="D3887" s="4" t="s">
        <v>28085</v>
      </c>
      <c r="E3887" s="4" t="s">
        <v>27322</v>
      </c>
      <c r="F3887" s="4" t="str">
        <f>IFERROR(__XLUDF.DUMMYFUNCTION("PROPER(REGEXREPLACE(D292,""[^A-Za-z]+ "",""""))"),"Itamsys")</f>
        <v>Itamsys</v>
      </c>
      <c r="G3887" s="4" t="s">
        <v>28086</v>
      </c>
      <c r="H3887" s="4">
        <v>12</v>
      </c>
      <c r="I3887" s="4" t="s">
        <v>2602</v>
      </c>
      <c r="J3887" s="4" t="str">
        <f>IFERROR(__XLUDF.DUMMYFUNCTION("VLOOKUP(H292,IMPORTRANGE(""https://docs.google.com/spreadsheets/d/1opm6ZNvGZ7KditA9TuJwrZ25eFLfTNIkrNnY6mhV5Eg"",""list!A1:C115""),3,TRUE)"),"le secteur de la tech")</f>
        <v xml:space="preserve">le secteur de la tech</v>
      </c>
      <c r="K3887" s="5" t="s">
        <v>28087</v>
      </c>
      <c r="L3887" s="5" t="s">
        <v>27325</v>
      </c>
      <c r="M3887" s="4" t="s">
        <v>28088</v>
      </c>
      <c r="N3887" s="4" t="s">
        <v>29</v>
      </c>
      <c r="O3887" s="4" t="s">
        <v>27326</v>
      </c>
      <c r="P3887" s="4" t="s">
        <v>29</v>
      </c>
      <c r="Q3887" s="4" t="s">
        <v>27327</v>
      </c>
      <c r="R3887" s="6"/>
      <c r="S3887" s="6"/>
      <c r="T3887" s="6"/>
      <c r="U3887" s="6"/>
      <c r="V3887" s="6"/>
      <c r="W3887" s="6"/>
      <c r="X3887" s="6"/>
      <c r="Y3887" s="6"/>
      <c r="Z3887" s="6"/>
      <c r="AA3887" s="6"/>
    </row>
    <row r="3888" ht="14.25">
      <c r="B3888" s="4" t="s">
        <v>28089</v>
      </c>
      <c r="C3888" s="4" t="s">
        <v>28090</v>
      </c>
      <c r="D3888" s="4" t="s">
        <v>120</v>
      </c>
      <c r="E3888" s="4" t="s">
        <v>27563</v>
      </c>
      <c r="F3888" s="4" t="str">
        <f>IFERROR(__XLUDF.DUMMYFUNCTION("PROPER(REGEXREPLACE(D293,""[^A-Za-z]+ "",""""))"),"Talo")</f>
        <v>Talo</v>
      </c>
      <c r="G3888" s="4" t="s">
        <v>28091</v>
      </c>
      <c r="H3888" s="4">
        <v>21</v>
      </c>
      <c r="I3888" s="4" t="s">
        <v>2602</v>
      </c>
      <c r="J3888" s="4" t="str">
        <f>IFERROR(__XLUDF.DUMMYFUNCTION("VLOOKUP(H293,IMPORTRANGE(""https://docs.google.com/spreadsheets/d/1opm6ZNvGZ7KditA9TuJwrZ25eFLfTNIkrNnY6mhV5Eg"",""list!A1:C115""),3,TRUE)"),"le secteur de la tech")</f>
        <v xml:space="preserve">le secteur de la tech</v>
      </c>
      <c r="K3888" s="5" t="s">
        <v>28092</v>
      </c>
      <c r="L3888" s="5" t="s">
        <v>27566</v>
      </c>
      <c r="M3888" s="4" t="s">
        <v>11445</v>
      </c>
      <c r="N3888" s="4" t="s">
        <v>29</v>
      </c>
      <c r="O3888" s="4" t="s">
        <v>27567</v>
      </c>
      <c r="P3888" s="4" t="s">
        <v>29</v>
      </c>
      <c r="Q3888" s="4" t="s">
        <v>27568</v>
      </c>
      <c r="R3888" s="6"/>
      <c r="S3888" s="6"/>
      <c r="T3888" s="6"/>
      <c r="U3888" s="6"/>
      <c r="V3888" s="6"/>
      <c r="W3888" s="6"/>
      <c r="X3888" s="6"/>
      <c r="Y3888" s="6"/>
      <c r="Z3888" s="6"/>
      <c r="AA3888" s="6"/>
    </row>
    <row r="3889" ht="14.25">
      <c r="B3889" s="4" t="s">
        <v>330</v>
      </c>
      <c r="C3889" s="4" t="s">
        <v>28093</v>
      </c>
      <c r="D3889" s="4" t="s">
        <v>28094</v>
      </c>
      <c r="E3889" s="4" t="s">
        <v>28095</v>
      </c>
      <c r="F3889" s="4" t="str">
        <f>IFERROR(__XLUDF.DUMMYFUNCTION("PROPER(REGEXREPLACE(D294,""[^A-Za-z]+ "",""""))"),"Netmetrix France")</f>
        <v xml:space="preserve">Netmetrix France</v>
      </c>
      <c r="G3889" s="4" t="s">
        <v>28096</v>
      </c>
      <c r="H3889" s="4">
        <v>11</v>
      </c>
      <c r="I3889" s="4" t="s">
        <v>2602</v>
      </c>
      <c r="J3889" s="4" t="str">
        <f>IFERROR(__XLUDF.DUMMYFUNCTION("VLOOKUP(H294,IMPORTRANGE(""https://docs.google.com/spreadsheets/d/1opm6ZNvGZ7KditA9TuJwrZ25eFLfTNIkrNnY6mhV5Eg"",""list!A1:C115""),3,TRUE)"),"le secteur de la tech")</f>
        <v xml:space="preserve">le secteur de la tech</v>
      </c>
      <c r="K3889" s="5" t="s">
        <v>28097</v>
      </c>
      <c r="L3889" s="5" t="s">
        <v>28098</v>
      </c>
      <c r="M3889" s="6"/>
      <c r="N3889" s="4" t="s">
        <v>29</v>
      </c>
      <c r="O3889" s="4" t="s">
        <v>18139</v>
      </c>
      <c r="P3889" s="4" t="s">
        <v>29</v>
      </c>
      <c r="Q3889" s="4" t="s">
        <v>28099</v>
      </c>
      <c r="R3889" s="6"/>
      <c r="S3889" s="6"/>
      <c r="T3889" s="6"/>
      <c r="U3889" s="6"/>
      <c r="V3889" s="6"/>
      <c r="W3889" s="6"/>
      <c r="X3889" s="6"/>
      <c r="Y3889" s="6"/>
      <c r="Z3889" s="6"/>
      <c r="AA3889" s="6"/>
    </row>
    <row r="3890" ht="14.25">
      <c r="B3890" s="4" t="s">
        <v>653</v>
      </c>
      <c r="C3890" s="4" t="s">
        <v>28100</v>
      </c>
      <c r="D3890" s="4" t="s">
        <v>28101</v>
      </c>
      <c r="E3890" s="4" t="s">
        <v>28102</v>
      </c>
      <c r="F3890" s="4" t="str">
        <f>IFERROR(__XLUDF.DUMMYFUNCTION("PROPER(REGEXREPLACE(D295,""[^A-Za-z]+ "",""""))"),"Agenium Group")</f>
        <v xml:space="preserve">Agenium Group</v>
      </c>
      <c r="G3890" s="4" t="s">
        <v>28103</v>
      </c>
      <c r="H3890" s="4">
        <v>40</v>
      </c>
      <c r="I3890" s="4" t="s">
        <v>2602</v>
      </c>
      <c r="J3890" s="4" t="str">
        <f>IFERROR(__XLUDF.DUMMYFUNCTION("VLOOKUP(H295,IMPORTRANGE(""https://docs.google.com/spreadsheets/d/1opm6ZNvGZ7KditA9TuJwrZ25eFLfTNIkrNnY6mhV5Eg"",""list!A1:C115""),3,TRUE)"),"le secteur de la tech")</f>
        <v xml:space="preserve">le secteur de la tech</v>
      </c>
      <c r="K3890" s="5" t="s">
        <v>28104</v>
      </c>
      <c r="L3890" s="5" t="s">
        <v>28105</v>
      </c>
      <c r="M3890" s="4" t="s">
        <v>39</v>
      </c>
      <c r="N3890" s="4" t="s">
        <v>29</v>
      </c>
      <c r="O3890" s="4" t="s">
        <v>346</v>
      </c>
      <c r="P3890" s="4" t="s">
        <v>29</v>
      </c>
      <c r="Q3890" s="4" t="s">
        <v>28106</v>
      </c>
      <c r="R3890" s="6"/>
      <c r="S3890" s="6"/>
      <c r="T3890" s="6"/>
      <c r="U3890" s="6"/>
      <c r="V3890" s="6"/>
      <c r="W3890" s="6"/>
      <c r="X3890" s="6"/>
      <c r="Y3890" s="6"/>
      <c r="Z3890" s="6"/>
      <c r="AA3890" s="6"/>
    </row>
    <row r="3891" ht="14.25">
      <c r="B3891" s="4" t="s">
        <v>28107</v>
      </c>
      <c r="C3891" s="4" t="s">
        <v>28108</v>
      </c>
      <c r="D3891" s="4" t="s">
        <v>23879</v>
      </c>
      <c r="E3891" s="4" t="s">
        <v>28109</v>
      </c>
      <c r="F3891" s="4" t="str">
        <f>IFERROR(__XLUDF.DUMMYFUNCTION("PROPER(REGEXREPLACE(D296,""[^A-Za-z]+ "",""""))"),"Faang")</f>
        <v>Faang</v>
      </c>
      <c r="G3891" s="4" t="s">
        <v>28110</v>
      </c>
      <c r="H3891" s="4">
        <v>65</v>
      </c>
      <c r="I3891" s="4" t="s">
        <v>2602</v>
      </c>
      <c r="J3891" s="4" t="str">
        <f>IFERROR(__XLUDF.DUMMYFUNCTION("VLOOKUP(H296,IMPORTRANGE(""https://docs.google.com/spreadsheets/d/1opm6ZNvGZ7KditA9TuJwrZ25eFLfTNIkrNnY6mhV5Eg"",""list!A1:C115""),3,TRUE)"),"le secteur de la tech")</f>
        <v xml:space="preserve">le secteur de la tech</v>
      </c>
      <c r="K3891" s="5" t="s">
        <v>28111</v>
      </c>
      <c r="L3891" s="5" t="s">
        <v>28112</v>
      </c>
      <c r="M3891" s="6"/>
      <c r="N3891" s="4" t="s">
        <v>29</v>
      </c>
      <c r="O3891" s="4" t="s">
        <v>28113</v>
      </c>
      <c r="P3891" s="4" t="s">
        <v>1261</v>
      </c>
      <c r="Q3891" s="4" t="s">
        <v>28114</v>
      </c>
      <c r="R3891" s="6"/>
      <c r="S3891" s="6"/>
      <c r="T3891" s="6"/>
      <c r="U3891" s="6"/>
      <c r="V3891" s="6"/>
      <c r="W3891" s="6"/>
      <c r="X3891" s="6"/>
      <c r="Y3891" s="6"/>
      <c r="Z3891" s="6"/>
      <c r="AA3891" s="6"/>
    </row>
    <row r="3892" ht="14.25">
      <c r="B3892" s="4" t="s">
        <v>355</v>
      </c>
      <c r="C3892" s="4" t="s">
        <v>5579</v>
      </c>
      <c r="D3892" s="4" t="s">
        <v>1240</v>
      </c>
      <c r="E3892" s="4" t="s">
        <v>28115</v>
      </c>
      <c r="F3892" s="4" t="str">
        <f>IFERROR(__XLUDF.DUMMYFUNCTION("PROPER(REGEXREPLACE(D297,""[^A-Za-z]+ "",""""))"),"Leasi")</f>
        <v>Leasi</v>
      </c>
      <c r="G3892" s="4" t="s">
        <v>28116</v>
      </c>
      <c r="H3892" s="4">
        <v>13</v>
      </c>
      <c r="I3892" s="4" t="s">
        <v>2602</v>
      </c>
      <c r="J3892" s="4" t="str">
        <f>IFERROR(__XLUDF.DUMMYFUNCTION("VLOOKUP(H297,IMPORTRANGE(""https://docs.google.com/spreadsheets/d/1opm6ZNvGZ7KditA9TuJwrZ25eFLfTNIkrNnY6mhV5Eg"",""list!A1:C115""),3,TRUE)"),"le secteur de la tech")</f>
        <v xml:space="preserve">le secteur de la tech</v>
      </c>
      <c r="K3892" s="5" t="s">
        <v>28117</v>
      </c>
      <c r="L3892" s="5" t="s">
        <v>28118</v>
      </c>
      <c r="M3892" s="4" t="s">
        <v>39</v>
      </c>
      <c r="N3892" s="4" t="s">
        <v>29</v>
      </c>
      <c r="O3892" s="4" t="s">
        <v>28119</v>
      </c>
      <c r="P3892" s="4" t="s">
        <v>28120</v>
      </c>
      <c r="Q3892" s="4" t="s">
        <v>28121</v>
      </c>
      <c r="R3892" s="6"/>
      <c r="S3892" s="6"/>
      <c r="T3892" s="6"/>
      <c r="U3892" s="6"/>
      <c r="V3892" s="6"/>
      <c r="W3892" s="6"/>
      <c r="X3892" s="6"/>
      <c r="Y3892" s="6"/>
      <c r="Z3892" s="6"/>
      <c r="AA3892" s="6"/>
    </row>
    <row r="3893" ht="14.25">
      <c r="B3893" s="4" t="s">
        <v>622</v>
      </c>
      <c r="C3893" s="4" t="s">
        <v>28122</v>
      </c>
      <c r="D3893" s="4" t="s">
        <v>28123</v>
      </c>
      <c r="E3893" s="4" t="s">
        <v>28124</v>
      </c>
      <c r="F3893" s="4" t="str">
        <f>IFERROR(__XLUDF.DUMMYFUNCTION("PROPER(REGEXREPLACE(D298,""[^A-Za-z]+ "",""""))"),"Viasat France")</f>
        <v xml:space="preserve">Viasat France</v>
      </c>
      <c r="G3893" s="4" t="s">
        <v>28125</v>
      </c>
      <c r="H3893" s="4">
        <v>28</v>
      </c>
      <c r="I3893" s="4" t="s">
        <v>2602</v>
      </c>
      <c r="J3893" s="4" t="str">
        <f>IFERROR(__XLUDF.DUMMYFUNCTION("VLOOKUP(H298,IMPORTRANGE(""https://docs.google.com/spreadsheets/d/1opm6ZNvGZ7KditA9TuJwrZ25eFLfTNIkrNnY6mhV5Eg"",""list!A1:C115""),3,TRUE)"),"le secteur de la tech")</f>
        <v xml:space="preserve">le secteur de la tech</v>
      </c>
      <c r="K3893" s="5" t="s">
        <v>28126</v>
      </c>
      <c r="L3893" s="5" t="s">
        <v>28127</v>
      </c>
      <c r="M3893" s="4" t="s">
        <v>83</v>
      </c>
      <c r="N3893" s="4" t="s">
        <v>29</v>
      </c>
      <c r="O3893" s="4" t="s">
        <v>28128</v>
      </c>
      <c r="P3893" s="4" t="s">
        <v>29</v>
      </c>
      <c r="Q3893" s="4" t="s">
        <v>28129</v>
      </c>
      <c r="R3893" s="6"/>
      <c r="S3893" s="6"/>
      <c r="T3893" s="6"/>
      <c r="U3893" s="6"/>
      <c r="V3893" s="6"/>
      <c r="W3893" s="6"/>
      <c r="X3893" s="6"/>
      <c r="Y3893" s="6"/>
      <c r="Z3893" s="6"/>
      <c r="AA3893" s="6"/>
    </row>
    <row r="3894" ht="14.25">
      <c r="B3894" s="4" t="s">
        <v>1804</v>
      </c>
      <c r="C3894" s="4" t="s">
        <v>28130</v>
      </c>
      <c r="D3894" s="4" t="s">
        <v>164</v>
      </c>
      <c r="E3894" s="4" t="s">
        <v>28131</v>
      </c>
      <c r="F3894" s="4" t="str">
        <f>IFERROR(__XLUDF.DUMMYFUNCTION("PROPER(REGEXREPLACE(D299,""[^A-Za-z]+ "",""""))"),"Agrume")</f>
        <v>Agrume</v>
      </c>
      <c r="G3894" s="4" t="s">
        <v>28132</v>
      </c>
      <c r="H3894" s="4">
        <v>30</v>
      </c>
      <c r="I3894" s="4" t="s">
        <v>2602</v>
      </c>
      <c r="J3894" s="4" t="str">
        <f>IFERROR(__XLUDF.DUMMYFUNCTION("VLOOKUP(H299,IMPORTRANGE(""https://docs.google.com/spreadsheets/d/1opm6ZNvGZ7KditA9TuJwrZ25eFLfTNIkrNnY6mhV5Eg"",""list!A1:C115""),3,TRUE)"),"le secteur de la tech")</f>
        <v xml:space="preserve">le secteur de la tech</v>
      </c>
      <c r="K3894" s="5" t="s">
        <v>28133</v>
      </c>
      <c r="L3894" s="5" t="s">
        <v>28134</v>
      </c>
      <c r="M3894" s="4" t="s">
        <v>185</v>
      </c>
      <c r="N3894" s="4" t="s">
        <v>29</v>
      </c>
      <c r="O3894" s="4" t="s">
        <v>28135</v>
      </c>
      <c r="P3894" s="4" t="s">
        <v>29</v>
      </c>
      <c r="Q3894" s="6"/>
      <c r="R3894" s="6"/>
      <c r="S3894" s="6"/>
      <c r="T3894" s="6"/>
      <c r="U3894" s="6"/>
      <c r="V3894" s="6"/>
      <c r="W3894" s="6"/>
      <c r="X3894" s="6"/>
      <c r="Y3894" s="6"/>
      <c r="Z3894" s="6"/>
      <c r="AA3894" s="6"/>
    </row>
    <row r="3895" ht="14.25">
      <c r="B3895" s="4" t="s">
        <v>23012</v>
      </c>
      <c r="C3895" s="4" t="s">
        <v>28136</v>
      </c>
      <c r="D3895" s="4" t="s">
        <v>28137</v>
      </c>
      <c r="E3895" s="4" t="s">
        <v>28138</v>
      </c>
      <c r="F3895" s="4" t="str">
        <f>IFERROR(__XLUDF.DUMMYFUNCTION("PROPER(REGEXREPLACE(D300,""[^A-Za-z]+ "",""""))"),"Picsellia")</f>
        <v>Picsellia</v>
      </c>
      <c r="G3895" s="4" t="s">
        <v>28139</v>
      </c>
      <c r="H3895" s="4">
        <v>16</v>
      </c>
      <c r="I3895" s="4" t="s">
        <v>2602</v>
      </c>
      <c r="J3895" s="4" t="str">
        <f>IFERROR(__XLUDF.DUMMYFUNCTION("VLOOKUP(H300,IMPORTRANGE(""https://docs.google.com/spreadsheets/d/1opm6ZNvGZ7KditA9TuJwrZ25eFLfTNIkrNnY6mhV5Eg"",""list!A1:C115""),3,TRUE)"),"le secteur de la tech")</f>
        <v xml:space="preserve">le secteur de la tech</v>
      </c>
      <c r="K3895" s="5" t="s">
        <v>28140</v>
      </c>
      <c r="L3895" s="5" t="s">
        <v>28141</v>
      </c>
      <c r="M3895" s="4" t="s">
        <v>83</v>
      </c>
      <c r="N3895" s="4" t="s">
        <v>29</v>
      </c>
      <c r="O3895" s="4" t="s">
        <v>346</v>
      </c>
      <c r="P3895" s="4" t="s">
        <v>29</v>
      </c>
      <c r="Q3895" s="4" t="s">
        <v>28142</v>
      </c>
      <c r="R3895" s="6"/>
      <c r="S3895" s="6"/>
      <c r="T3895" s="6"/>
      <c r="U3895" s="6"/>
      <c r="V3895" s="6"/>
      <c r="W3895" s="6"/>
      <c r="X3895" s="6"/>
      <c r="Y3895" s="6"/>
      <c r="Z3895" s="6"/>
      <c r="AA3895" s="6"/>
    </row>
    <row r="3896" ht="14.25">
      <c r="B3896" s="4" t="s">
        <v>785</v>
      </c>
      <c r="C3896" s="4" t="s">
        <v>28143</v>
      </c>
      <c r="D3896" s="4" t="s">
        <v>172</v>
      </c>
      <c r="E3896" s="4" t="s">
        <v>28144</v>
      </c>
      <c r="F3896" s="4" t="str">
        <f>IFERROR(__XLUDF.DUMMYFUNCTION("PROPER(REGEXREPLACE(D301,""[^A-Za-z]+ "",""""))"),"Meedz")</f>
        <v>Meedz</v>
      </c>
      <c r="G3896" s="4" t="s">
        <v>28145</v>
      </c>
      <c r="H3896" s="4">
        <v>35</v>
      </c>
      <c r="I3896" s="4" t="s">
        <v>2602</v>
      </c>
      <c r="J3896" s="4" t="str">
        <f>IFERROR(__XLUDF.DUMMYFUNCTION("VLOOKUP(H301,IMPORTRANGE(""https://docs.google.com/spreadsheets/d/1opm6ZNvGZ7KditA9TuJwrZ25eFLfTNIkrNnY6mhV5Eg"",""list!A1:C115""),3,TRUE)"),"le secteur de la tech")</f>
        <v xml:space="preserve">le secteur de la tech</v>
      </c>
      <c r="K3896" s="5" t="s">
        <v>28146</v>
      </c>
      <c r="L3896" s="5" t="s">
        <v>28147</v>
      </c>
      <c r="M3896" s="4" t="s">
        <v>846</v>
      </c>
      <c r="N3896" s="4" t="s">
        <v>29</v>
      </c>
      <c r="O3896" s="4" t="s">
        <v>5865</v>
      </c>
      <c r="P3896" s="4" t="s">
        <v>29</v>
      </c>
      <c r="Q3896" s="4" t="s">
        <v>28148</v>
      </c>
      <c r="R3896" s="6"/>
      <c r="S3896" s="6"/>
      <c r="T3896" s="6"/>
      <c r="U3896" s="6"/>
      <c r="V3896" s="6"/>
      <c r="W3896" s="6"/>
      <c r="X3896" s="6"/>
      <c r="Y3896" s="6"/>
      <c r="Z3896" s="6"/>
      <c r="AA3896" s="6"/>
    </row>
    <row r="3897" ht="14.25">
      <c r="B3897" s="4" t="s">
        <v>110</v>
      </c>
      <c r="C3897" s="4" t="s">
        <v>28149</v>
      </c>
      <c r="D3897" s="4" t="s">
        <v>28150</v>
      </c>
      <c r="E3897" s="4" t="s">
        <v>28151</v>
      </c>
      <c r="F3897" s="4" t="str">
        <f>IFERROR(__XLUDF.DUMMYFUNCTION("PROPER(REGEXREPLACE(D302,""[^A-Za-z]+ "",""""))"),"Lyance")</f>
        <v>Lyance</v>
      </c>
      <c r="G3897" s="4" t="s">
        <v>28152</v>
      </c>
      <c r="H3897" s="4">
        <v>42</v>
      </c>
      <c r="I3897" s="4" t="s">
        <v>2602</v>
      </c>
      <c r="J3897" s="4" t="str">
        <f>IFERROR(__XLUDF.DUMMYFUNCTION("VLOOKUP(H302,IMPORTRANGE(""https://docs.google.com/spreadsheets/d/1opm6ZNvGZ7KditA9TuJwrZ25eFLfTNIkrNnY6mhV5Eg"",""list!A1:C115""),3,TRUE)"),"le secteur de la tech")</f>
        <v xml:space="preserve">le secteur de la tech</v>
      </c>
      <c r="K3897" s="5" t="s">
        <v>28153</v>
      </c>
      <c r="L3897" s="5" t="s">
        <v>28154</v>
      </c>
      <c r="M3897" s="4" t="s">
        <v>1711</v>
      </c>
      <c r="N3897" s="4" t="s">
        <v>29</v>
      </c>
      <c r="O3897" s="4" t="s">
        <v>19936</v>
      </c>
      <c r="P3897" s="4" t="s">
        <v>29</v>
      </c>
      <c r="Q3897" s="6"/>
      <c r="R3897" s="6"/>
      <c r="S3897" s="6"/>
      <c r="T3897" s="6"/>
      <c r="U3897" s="6"/>
      <c r="V3897" s="6"/>
      <c r="W3897" s="6"/>
      <c r="X3897" s="6"/>
      <c r="Y3897" s="6"/>
      <c r="Z3897" s="6"/>
      <c r="AA3897" s="6"/>
    </row>
    <row r="3898" ht="14.25">
      <c r="B3898" s="4" t="s">
        <v>485</v>
      </c>
      <c r="C3898" s="4" t="s">
        <v>28155</v>
      </c>
      <c r="D3898" s="4" t="s">
        <v>28156</v>
      </c>
      <c r="E3898" s="4" t="s">
        <v>28157</v>
      </c>
      <c r="F3898" s="4" t="str">
        <f>IFERROR(__XLUDF.DUMMYFUNCTION("PROPER(REGEXREPLACE(D303,""[^A-Za-z]+ "",""""))"),"Letxbe")</f>
        <v>Letxbe</v>
      </c>
      <c r="G3898" s="4" t="s">
        <v>28158</v>
      </c>
      <c r="H3898" s="4">
        <v>15</v>
      </c>
      <c r="I3898" s="4" t="s">
        <v>2602</v>
      </c>
      <c r="J3898" s="4" t="str">
        <f>IFERROR(__XLUDF.DUMMYFUNCTION("VLOOKUP(H303,IMPORTRANGE(""https://docs.google.com/spreadsheets/d/1opm6ZNvGZ7KditA9TuJwrZ25eFLfTNIkrNnY6mhV5Eg"",""list!A1:C115""),3,TRUE)"),"le secteur de la tech")</f>
        <v xml:space="preserve">le secteur de la tech</v>
      </c>
      <c r="K3898" s="5" t="s">
        <v>28159</v>
      </c>
      <c r="L3898" s="5" t="s">
        <v>28160</v>
      </c>
      <c r="M3898" s="4" t="s">
        <v>39</v>
      </c>
      <c r="N3898" s="4" t="s">
        <v>29</v>
      </c>
      <c r="O3898" s="4" t="s">
        <v>28161</v>
      </c>
      <c r="P3898" s="4" t="s">
        <v>29</v>
      </c>
      <c r="Q3898" s="4" t="s">
        <v>28162</v>
      </c>
      <c r="R3898" s="6"/>
      <c r="S3898" s="6"/>
      <c r="T3898" s="6"/>
      <c r="U3898" s="6"/>
      <c r="V3898" s="6"/>
      <c r="W3898" s="6"/>
      <c r="X3898" s="6"/>
      <c r="Y3898" s="6"/>
      <c r="Z3898" s="6"/>
      <c r="AA3898" s="6"/>
    </row>
    <row r="3899" ht="14.25">
      <c r="B3899" s="4" t="s">
        <v>255</v>
      </c>
      <c r="C3899" s="4" t="s">
        <v>21731</v>
      </c>
      <c r="D3899" s="4" t="s">
        <v>28163</v>
      </c>
      <c r="E3899" s="4" t="s">
        <v>28164</v>
      </c>
      <c r="F3899" s="4" t="str">
        <f>IFERROR(__XLUDF.DUMMYFUNCTION("PROPER(REGEXREPLACE(D304,""[^A-Za-z]+ "",""""))"),"Henley It 🐞")</f>
        <v xml:space="preserve">Henley It 🐞</v>
      </c>
      <c r="G3899" s="4" t="s">
        <v>28165</v>
      </c>
      <c r="H3899" s="4">
        <v>27</v>
      </c>
      <c r="I3899" s="4" t="s">
        <v>2602</v>
      </c>
      <c r="J3899" s="4" t="str">
        <f>IFERROR(__XLUDF.DUMMYFUNCTION("VLOOKUP(H304,IMPORTRANGE(""https://docs.google.com/spreadsheets/d/1opm6ZNvGZ7KditA9TuJwrZ25eFLfTNIkrNnY6mhV5Eg"",""list!A1:C115""),3,TRUE)"),"le secteur de la tech")</f>
        <v xml:space="preserve">le secteur de la tech</v>
      </c>
      <c r="K3899" s="5" t="s">
        <v>28166</v>
      </c>
      <c r="L3899" s="5" t="s">
        <v>28167</v>
      </c>
      <c r="M3899" s="4" t="s">
        <v>39</v>
      </c>
      <c r="N3899" s="4" t="s">
        <v>29</v>
      </c>
      <c r="O3899" s="4" t="s">
        <v>28168</v>
      </c>
      <c r="P3899" s="4" t="s">
        <v>29</v>
      </c>
      <c r="Q3899" s="4" t="s">
        <v>28169</v>
      </c>
      <c r="R3899" s="6"/>
      <c r="S3899" s="6"/>
      <c r="T3899" s="6"/>
      <c r="U3899" s="6"/>
      <c r="V3899" s="6"/>
      <c r="W3899" s="6"/>
      <c r="X3899" s="6"/>
      <c r="Y3899" s="6"/>
      <c r="Z3899" s="6"/>
      <c r="AA3899" s="6"/>
    </row>
    <row r="3900" ht="14.25">
      <c r="B3900" s="4" t="s">
        <v>7815</v>
      </c>
      <c r="C3900" s="4" t="s">
        <v>28170</v>
      </c>
      <c r="D3900" s="4" t="s">
        <v>20181</v>
      </c>
      <c r="E3900" s="4" t="s">
        <v>28171</v>
      </c>
      <c r="F3900" s="4" t="str">
        <f>IFERROR(__XLUDF.DUMMYFUNCTION("PROPER(REGEXREPLACE(D305,""[^A-Za-z]+ "",""""))"),"Piwwop")</f>
        <v>Piwwop</v>
      </c>
      <c r="G3900" s="4" t="s">
        <v>28172</v>
      </c>
      <c r="H3900" s="4">
        <v>7</v>
      </c>
      <c r="I3900" s="4" t="s">
        <v>2602</v>
      </c>
      <c r="J3900" s="4" t="str">
        <f>IFERROR(__XLUDF.DUMMYFUNCTION("VLOOKUP(H305,IMPORTRANGE(""https://docs.google.com/spreadsheets/d/1opm6ZNvGZ7KditA9TuJwrZ25eFLfTNIkrNnY6mhV5Eg"",""list!A1:C115""),3,TRUE)"),"le secteur de la tech")</f>
        <v xml:space="preserve">le secteur de la tech</v>
      </c>
      <c r="K3900" s="5" t="s">
        <v>28173</v>
      </c>
      <c r="L3900" s="5" t="s">
        <v>28174</v>
      </c>
      <c r="M3900" s="4" t="s">
        <v>243</v>
      </c>
      <c r="N3900" s="4" t="s">
        <v>29</v>
      </c>
      <c r="O3900" s="4" t="s">
        <v>28175</v>
      </c>
      <c r="P3900" s="4" t="s">
        <v>29</v>
      </c>
      <c r="Q3900" s="6"/>
      <c r="R3900" s="6"/>
      <c r="S3900" s="6"/>
      <c r="T3900" s="6"/>
      <c r="U3900" s="6"/>
      <c r="V3900" s="6"/>
      <c r="W3900" s="6"/>
      <c r="X3900" s="6"/>
      <c r="Y3900" s="6"/>
      <c r="Z3900" s="6"/>
      <c r="AA3900" s="6"/>
    </row>
    <row r="3901" ht="14.25">
      <c r="B3901" s="4" t="s">
        <v>734</v>
      </c>
      <c r="C3901" s="4" t="s">
        <v>28176</v>
      </c>
      <c r="D3901" s="4" t="s">
        <v>172</v>
      </c>
      <c r="E3901" s="4" t="s">
        <v>28177</v>
      </c>
      <c r="F3901" s="4" t="str">
        <f>IFERROR(__XLUDF.DUMMYFUNCTION("PROPER(REGEXREPLACE(D306,""[^A-Za-z]+ "",""""))"),"Metapolis")</f>
        <v>Metapolis</v>
      </c>
      <c r="G3901" s="4" t="s">
        <v>28178</v>
      </c>
      <c r="H3901" s="4">
        <v>46</v>
      </c>
      <c r="I3901" s="4" t="s">
        <v>2602</v>
      </c>
      <c r="J3901" s="4" t="str">
        <f>IFERROR(__XLUDF.DUMMYFUNCTION("VLOOKUP(H306,IMPORTRANGE(""https://docs.google.com/spreadsheets/d/1opm6ZNvGZ7KditA9TuJwrZ25eFLfTNIkrNnY6mhV5Eg"",""list!A1:C115""),3,TRUE)"),"le secteur de la tech")</f>
        <v xml:space="preserve">le secteur de la tech</v>
      </c>
      <c r="K3901" s="5" t="s">
        <v>28179</v>
      </c>
      <c r="L3901" s="5" t="s">
        <v>28180</v>
      </c>
      <c r="M3901" s="6"/>
      <c r="N3901" s="4" t="s">
        <v>29</v>
      </c>
      <c r="O3901" s="4" t="s">
        <v>929</v>
      </c>
      <c r="P3901" s="4" t="s">
        <v>29</v>
      </c>
      <c r="Q3901" s="6"/>
      <c r="R3901" s="6"/>
      <c r="S3901" s="6"/>
      <c r="T3901" s="6"/>
      <c r="U3901" s="6"/>
      <c r="V3901" s="6"/>
      <c r="W3901" s="6"/>
      <c r="X3901" s="6"/>
      <c r="Y3901" s="6"/>
      <c r="Z3901" s="6"/>
      <c r="AA3901" s="6"/>
    </row>
    <row r="3902" ht="14.25">
      <c r="B3902" s="4" t="s">
        <v>1732</v>
      </c>
      <c r="C3902" s="4" t="s">
        <v>3187</v>
      </c>
      <c r="D3902" s="4" t="s">
        <v>28181</v>
      </c>
      <c r="E3902" s="4" t="s">
        <v>28182</v>
      </c>
      <c r="F3902" s="4" t="str">
        <f>IFERROR(__XLUDF.DUMMYFUNCTION("PROPER(REGEXREPLACE(D307,""[^A-Za-z]+ "",""""))"),"Manzalab")</f>
        <v>Manzalab</v>
      </c>
      <c r="G3902" s="4" t="s">
        <v>28183</v>
      </c>
      <c r="H3902" s="4">
        <v>30</v>
      </c>
      <c r="I3902" s="4" t="s">
        <v>2602</v>
      </c>
      <c r="J3902" s="4" t="str">
        <f>IFERROR(__XLUDF.DUMMYFUNCTION("VLOOKUP(H307,IMPORTRANGE(""https://docs.google.com/spreadsheets/d/1opm6ZNvGZ7KditA9TuJwrZ25eFLfTNIkrNnY6mhV5Eg"",""list!A1:C115""),3,TRUE)"),"le secteur de la tech")</f>
        <v xml:space="preserve">le secteur de la tech</v>
      </c>
      <c r="K3902" s="5" t="s">
        <v>28184</v>
      </c>
      <c r="L3902" s="5" t="s">
        <v>28185</v>
      </c>
      <c r="M3902" s="4" t="s">
        <v>39</v>
      </c>
      <c r="N3902" s="4" t="s">
        <v>29</v>
      </c>
      <c r="O3902" s="4" t="s">
        <v>28186</v>
      </c>
      <c r="P3902" s="4" t="s">
        <v>29</v>
      </c>
      <c r="Q3902" s="4" t="s">
        <v>28182</v>
      </c>
      <c r="R3902" s="6"/>
      <c r="S3902" s="6"/>
      <c r="T3902" s="6"/>
      <c r="U3902" s="6"/>
      <c r="V3902" s="6"/>
      <c r="W3902" s="6"/>
      <c r="X3902" s="6"/>
      <c r="Y3902" s="6"/>
      <c r="Z3902" s="6"/>
      <c r="AA3902" s="6"/>
    </row>
    <row r="3903" ht="14.25">
      <c r="B3903" s="4" t="s">
        <v>28187</v>
      </c>
      <c r="C3903" s="4" t="s">
        <v>28188</v>
      </c>
      <c r="D3903" s="4" t="s">
        <v>62</v>
      </c>
      <c r="E3903" s="4" t="s">
        <v>28189</v>
      </c>
      <c r="F3903" s="4" t="str">
        <f>IFERROR(__XLUDF.DUMMYFUNCTION("PROPER(REGEXREPLACE(D308,""[^A-Za-z]+ "",""""))"),"Everwise")</f>
        <v>Everwise</v>
      </c>
      <c r="G3903" s="4" t="s">
        <v>28190</v>
      </c>
      <c r="H3903" s="4">
        <v>11</v>
      </c>
      <c r="I3903" s="4" t="s">
        <v>2602</v>
      </c>
      <c r="J3903" s="4" t="str">
        <f>IFERROR(__XLUDF.DUMMYFUNCTION("VLOOKUP(H308,IMPORTRANGE(""https://docs.google.com/spreadsheets/d/1opm6ZNvGZ7KditA9TuJwrZ25eFLfTNIkrNnY6mhV5Eg"",""list!A1:C115""),3,TRUE)"),"le secteur de la tech")</f>
        <v xml:space="preserve">le secteur de la tech</v>
      </c>
      <c r="K3903" s="5" t="s">
        <v>28191</v>
      </c>
      <c r="L3903" s="5" t="s">
        <v>28192</v>
      </c>
      <c r="M3903" s="4" t="s">
        <v>39</v>
      </c>
      <c r="N3903" s="4" t="s">
        <v>29</v>
      </c>
      <c r="O3903" s="4" t="s">
        <v>337</v>
      </c>
      <c r="P3903" s="4" t="s">
        <v>29</v>
      </c>
      <c r="Q3903" s="4" t="s">
        <v>28193</v>
      </c>
      <c r="R3903" s="6"/>
      <c r="S3903" s="6"/>
      <c r="T3903" s="6"/>
      <c r="U3903" s="6"/>
      <c r="V3903" s="6"/>
      <c r="W3903" s="6"/>
      <c r="X3903" s="6"/>
      <c r="Y3903" s="6"/>
      <c r="Z3903" s="6"/>
      <c r="AA3903" s="6"/>
    </row>
    <row r="3904" ht="14.25">
      <c r="B3904" s="4" t="s">
        <v>579</v>
      </c>
      <c r="C3904" s="4" t="s">
        <v>28194</v>
      </c>
      <c r="D3904" s="4" t="s">
        <v>315</v>
      </c>
      <c r="E3904" s="4" t="s">
        <v>28195</v>
      </c>
      <c r="F3904" s="4" t="str">
        <f>IFERROR(__XLUDF.DUMMYFUNCTION("PROPER(REGEXREPLACE(D309,""[^A-Za-z]+ "",""""))"),"Clever Identity")</f>
        <v xml:space="preserve">Clever Identity</v>
      </c>
      <c r="G3904" s="4" t="s">
        <v>28196</v>
      </c>
      <c r="H3904" s="4">
        <v>10</v>
      </c>
      <c r="I3904" s="4" t="s">
        <v>2602</v>
      </c>
      <c r="J3904" s="4" t="str">
        <f>IFERROR(__XLUDF.DUMMYFUNCTION("VLOOKUP(H309,IMPORTRANGE(""https://docs.google.com/spreadsheets/d/1opm6ZNvGZ7KditA9TuJwrZ25eFLfTNIkrNnY6mhV5Eg"",""list!A1:C115""),3,TRUE)"),"le secteur de la tech")</f>
        <v xml:space="preserve">le secteur de la tech</v>
      </c>
      <c r="K3904" s="5" t="s">
        <v>28197</v>
      </c>
      <c r="L3904" s="5" t="s">
        <v>28198</v>
      </c>
      <c r="M3904" s="4" t="s">
        <v>28199</v>
      </c>
      <c r="N3904" s="4" t="s">
        <v>29</v>
      </c>
      <c r="O3904" s="4" t="s">
        <v>28200</v>
      </c>
      <c r="P3904" s="4" t="s">
        <v>29</v>
      </c>
      <c r="Q3904" s="6"/>
      <c r="R3904" s="6"/>
      <c r="S3904" s="6"/>
      <c r="T3904" s="6"/>
      <c r="U3904" s="6"/>
      <c r="V3904" s="6"/>
      <c r="W3904" s="6"/>
      <c r="X3904" s="6"/>
      <c r="Y3904" s="6"/>
      <c r="Z3904" s="6"/>
      <c r="AA3904" s="6"/>
    </row>
    <row r="3905" ht="14.25">
      <c r="B3905" s="4" t="s">
        <v>1153</v>
      </c>
      <c r="C3905" s="4" t="s">
        <v>28201</v>
      </c>
      <c r="D3905" s="4" t="s">
        <v>44</v>
      </c>
      <c r="E3905" s="4" t="s">
        <v>28202</v>
      </c>
      <c r="F3905" s="4" t="str">
        <f>IFERROR(__XLUDF.DUMMYFUNCTION("PROPER(REGEXREPLACE(D310,""[^A-Za-z]+ "",""""))"),"Dg4Sales")</f>
        <v>Dg4Sales</v>
      </c>
      <c r="G3905" s="4" t="s">
        <v>28203</v>
      </c>
      <c r="H3905" s="4">
        <v>11</v>
      </c>
      <c r="I3905" s="4" t="s">
        <v>2602</v>
      </c>
      <c r="J3905" s="4" t="str">
        <f>IFERROR(__XLUDF.DUMMYFUNCTION("VLOOKUP(H310,IMPORTRANGE(""https://docs.google.com/spreadsheets/d/1opm6ZNvGZ7KditA9TuJwrZ25eFLfTNIkrNnY6mhV5Eg"",""list!A1:C115""),3,TRUE)"),"le secteur de la tech")</f>
        <v xml:space="preserve">le secteur de la tech</v>
      </c>
      <c r="K3905" s="5" t="s">
        <v>28204</v>
      </c>
      <c r="L3905" s="5" t="s">
        <v>28205</v>
      </c>
      <c r="M3905" s="4" t="s">
        <v>28206</v>
      </c>
      <c r="N3905" s="4" t="s">
        <v>29</v>
      </c>
      <c r="O3905" s="4" t="s">
        <v>28207</v>
      </c>
      <c r="P3905" s="4" t="s">
        <v>29</v>
      </c>
      <c r="Q3905" s="6"/>
      <c r="R3905" s="6"/>
      <c r="S3905" s="6"/>
      <c r="T3905" s="6"/>
      <c r="U3905" s="6"/>
      <c r="V3905" s="6"/>
      <c r="W3905" s="6"/>
      <c r="X3905" s="6"/>
      <c r="Y3905" s="6"/>
      <c r="Z3905" s="6"/>
      <c r="AA3905" s="6"/>
    </row>
    <row r="3906" ht="14.25">
      <c r="B3906" s="4" t="s">
        <v>14423</v>
      </c>
      <c r="C3906" s="4" t="s">
        <v>28208</v>
      </c>
      <c r="D3906" s="4" t="s">
        <v>62</v>
      </c>
      <c r="E3906" s="4" t="s">
        <v>15439</v>
      </c>
      <c r="F3906" s="4" t="str">
        <f>IFERROR(__XLUDF.DUMMYFUNCTION("PROPER(REGEXREPLACE(D311,""[^A-Za-z]+ "",""""))"),"Wizya")</f>
        <v>Wizya</v>
      </c>
      <c r="G3906" s="4" t="s">
        <v>28209</v>
      </c>
      <c r="H3906" s="4">
        <v>26</v>
      </c>
      <c r="I3906" s="4" t="s">
        <v>2602</v>
      </c>
      <c r="J3906" s="4" t="str">
        <f>IFERROR(__XLUDF.DUMMYFUNCTION("VLOOKUP(H311,IMPORTRANGE(""https://docs.google.com/spreadsheets/d/1opm6ZNvGZ7KditA9TuJwrZ25eFLfTNIkrNnY6mhV5Eg"",""list!A1:C115""),3,TRUE)"),"le secteur de la tech")</f>
        <v xml:space="preserve">le secteur de la tech</v>
      </c>
      <c r="K3906" s="5" t="s">
        <v>28210</v>
      </c>
      <c r="L3906" s="5" t="s">
        <v>28211</v>
      </c>
      <c r="M3906" s="4" t="s">
        <v>39</v>
      </c>
      <c r="N3906" s="4" t="s">
        <v>29</v>
      </c>
      <c r="O3906" s="4" t="s">
        <v>22311</v>
      </c>
      <c r="P3906" s="4" t="s">
        <v>29</v>
      </c>
      <c r="Q3906" s="6"/>
      <c r="R3906" s="6"/>
      <c r="S3906" s="6"/>
      <c r="T3906" s="6"/>
      <c r="U3906" s="6"/>
      <c r="V3906" s="6"/>
      <c r="W3906" s="6"/>
      <c r="X3906" s="6"/>
      <c r="Y3906" s="6"/>
      <c r="Z3906" s="6"/>
      <c r="AA3906" s="6"/>
    </row>
    <row r="3907" ht="14.25">
      <c r="B3907" s="4" t="s">
        <v>2299</v>
      </c>
      <c r="C3907" s="4" t="s">
        <v>28212</v>
      </c>
      <c r="D3907" s="4" t="s">
        <v>28213</v>
      </c>
      <c r="E3907" s="4" t="s">
        <v>28214</v>
      </c>
      <c r="F3907" s="4" t="str">
        <f>IFERROR(__XLUDF.DUMMYFUNCTION("PROPER(REGEXREPLACE(D312,""[^A-Za-z]+ "",""""))"),"Logipro")</f>
        <v>Logipro</v>
      </c>
      <c r="G3907" s="4" t="s">
        <v>28215</v>
      </c>
      <c r="H3907" s="4">
        <v>39</v>
      </c>
      <c r="I3907" s="4" t="s">
        <v>2602</v>
      </c>
      <c r="J3907" s="4" t="str">
        <f>IFERROR(__XLUDF.DUMMYFUNCTION("VLOOKUP(H312,IMPORTRANGE(""https://docs.google.com/spreadsheets/d/1opm6ZNvGZ7KditA9TuJwrZ25eFLfTNIkrNnY6mhV5Eg"",""list!A1:C115""),3,TRUE)"),"le secteur de la tech")</f>
        <v xml:space="preserve">le secteur de la tech</v>
      </c>
      <c r="K3907" s="5" t="s">
        <v>28216</v>
      </c>
      <c r="L3907" s="5" t="s">
        <v>28217</v>
      </c>
      <c r="M3907" s="4" t="s">
        <v>13393</v>
      </c>
      <c r="N3907" s="4" t="s">
        <v>29</v>
      </c>
      <c r="O3907" s="4" t="s">
        <v>28218</v>
      </c>
      <c r="P3907" s="4" t="s">
        <v>29</v>
      </c>
      <c r="Q3907" s="4" t="s">
        <v>28219</v>
      </c>
      <c r="R3907" s="6"/>
      <c r="S3907" s="6"/>
      <c r="T3907" s="6"/>
      <c r="U3907" s="6"/>
      <c r="V3907" s="6"/>
      <c r="W3907" s="6"/>
      <c r="X3907" s="6"/>
      <c r="Y3907" s="6"/>
      <c r="Z3907" s="6"/>
      <c r="AA3907" s="6"/>
    </row>
    <row r="3908" ht="14.25">
      <c r="B3908" s="4" t="s">
        <v>20</v>
      </c>
      <c r="C3908" s="4" t="s">
        <v>23551</v>
      </c>
      <c r="D3908" s="4" t="s">
        <v>13589</v>
      </c>
      <c r="E3908" s="4" t="s">
        <v>28220</v>
      </c>
      <c r="F3908" s="4" t="str">
        <f>IFERROR(__XLUDF.DUMMYFUNCTION("PROPER(REGEXREPLACE(D313,""[^A-Za-z]+ "",""""))"),"United Visual Researchers")</f>
        <v xml:space="preserve">United Visual Researchers</v>
      </c>
      <c r="G3908" s="4" t="s">
        <v>28221</v>
      </c>
      <c r="H3908" s="4">
        <v>20</v>
      </c>
      <c r="I3908" s="4" t="s">
        <v>2602</v>
      </c>
      <c r="J3908" s="4" t="str">
        <f>IFERROR(__XLUDF.DUMMYFUNCTION("VLOOKUP(H313,IMPORTRANGE(""https://docs.google.com/spreadsheets/d/1opm6ZNvGZ7KditA9TuJwrZ25eFLfTNIkrNnY6mhV5Eg"",""list!A1:C115""),3,TRUE)"),"le secteur de la tech")</f>
        <v xml:space="preserve">le secteur de la tech</v>
      </c>
      <c r="K3908" s="5" t="s">
        <v>28222</v>
      </c>
      <c r="L3908" s="5" t="s">
        <v>28223</v>
      </c>
      <c r="M3908" s="4" t="s">
        <v>39</v>
      </c>
      <c r="N3908" s="4" t="s">
        <v>29</v>
      </c>
      <c r="O3908" s="4" t="s">
        <v>28224</v>
      </c>
      <c r="P3908" s="4" t="s">
        <v>29</v>
      </c>
      <c r="Q3908" s="4" t="s">
        <v>28225</v>
      </c>
      <c r="R3908" s="6"/>
      <c r="S3908" s="6"/>
      <c r="T3908" s="6"/>
      <c r="U3908" s="6"/>
      <c r="V3908" s="6"/>
      <c r="W3908" s="6"/>
      <c r="X3908" s="6"/>
      <c r="Y3908" s="6"/>
      <c r="Z3908" s="6"/>
      <c r="AA3908" s="6"/>
    </row>
    <row r="3909" ht="14.25">
      <c r="B3909" s="4" t="s">
        <v>26215</v>
      </c>
      <c r="C3909" s="4" t="s">
        <v>28226</v>
      </c>
      <c r="D3909" s="4" t="s">
        <v>28227</v>
      </c>
      <c r="E3909" s="4" t="s">
        <v>28228</v>
      </c>
      <c r="F3909" s="4" t="str">
        <f>IFERROR(__XLUDF.DUMMYFUNCTION("PROPER(REGEXREPLACE(D314,""[^A-Za-z]+ "",""""))"),"Flexstartit")</f>
        <v>Flexstartit</v>
      </c>
      <c r="G3909" s="4" t="s">
        <v>28229</v>
      </c>
      <c r="H3909" s="4">
        <v>12</v>
      </c>
      <c r="I3909" s="4" t="s">
        <v>2602</v>
      </c>
      <c r="J3909" s="4" t="str">
        <f>IFERROR(__XLUDF.DUMMYFUNCTION("VLOOKUP(H314,IMPORTRANGE(""https://docs.google.com/spreadsheets/d/1opm6ZNvGZ7KditA9TuJwrZ25eFLfTNIkrNnY6mhV5Eg"",""list!A1:C115""),3,TRUE)"),"le secteur de la tech")</f>
        <v xml:space="preserve">le secteur de la tech</v>
      </c>
      <c r="K3909" s="5" t="s">
        <v>28230</v>
      </c>
      <c r="L3909" s="5" t="s">
        <v>28231</v>
      </c>
      <c r="M3909" s="4" t="s">
        <v>39</v>
      </c>
      <c r="N3909" s="4" t="s">
        <v>29</v>
      </c>
      <c r="O3909" s="4" t="s">
        <v>28232</v>
      </c>
      <c r="P3909" s="4" t="s">
        <v>29</v>
      </c>
      <c r="Q3909" s="6"/>
      <c r="R3909" s="6"/>
      <c r="S3909" s="6"/>
      <c r="T3909" s="6"/>
      <c r="U3909" s="6"/>
      <c r="V3909" s="6"/>
      <c r="W3909" s="6"/>
      <c r="X3909" s="6"/>
      <c r="Y3909" s="6"/>
      <c r="Z3909" s="6"/>
      <c r="AA3909" s="6"/>
    </row>
    <row r="3910" ht="14.25">
      <c r="B3910" s="4" t="s">
        <v>1215</v>
      </c>
      <c r="C3910" s="4" t="s">
        <v>28233</v>
      </c>
      <c r="D3910" s="4" t="s">
        <v>62</v>
      </c>
      <c r="E3910" s="4" t="s">
        <v>28234</v>
      </c>
      <c r="F3910" s="4" t="str">
        <f>IFERROR(__XLUDF.DUMMYFUNCTION("PROPER(REGEXREPLACE(D315,""[^A-Za-z]+ "",""""))"),"De Philmain")</f>
        <v xml:space="preserve">De Philmain</v>
      </c>
      <c r="G3910" s="4" t="s">
        <v>28235</v>
      </c>
      <c r="H3910" s="4">
        <v>13</v>
      </c>
      <c r="I3910" s="4" t="s">
        <v>2602</v>
      </c>
      <c r="J3910" s="4" t="str">
        <f>IFERROR(__XLUDF.DUMMYFUNCTION("VLOOKUP(H315,IMPORTRANGE(""https://docs.google.com/spreadsheets/d/1opm6ZNvGZ7KditA9TuJwrZ25eFLfTNIkrNnY6mhV5Eg"",""list!A1:C115""),3,TRUE)"),"le secteur de la tech")</f>
        <v xml:space="preserve">le secteur de la tech</v>
      </c>
      <c r="K3910" s="5" t="s">
        <v>28236</v>
      </c>
      <c r="L3910" s="5" t="s">
        <v>28237</v>
      </c>
      <c r="M3910" s="4" t="s">
        <v>39</v>
      </c>
      <c r="N3910" s="4" t="s">
        <v>29</v>
      </c>
      <c r="O3910" s="4" t="s">
        <v>28238</v>
      </c>
      <c r="P3910" s="4" t="s">
        <v>29</v>
      </c>
      <c r="Q3910" s="4" t="s">
        <v>28239</v>
      </c>
      <c r="R3910" s="6"/>
      <c r="S3910" s="6"/>
      <c r="T3910" s="6"/>
      <c r="U3910" s="6"/>
      <c r="V3910" s="6"/>
      <c r="W3910" s="6"/>
      <c r="X3910" s="6"/>
      <c r="Y3910" s="6"/>
      <c r="Z3910" s="6"/>
      <c r="AA3910" s="6"/>
    </row>
    <row r="3911" ht="14.25">
      <c r="B3911" s="4" t="s">
        <v>255</v>
      </c>
      <c r="C3911" s="4" t="s">
        <v>28240</v>
      </c>
      <c r="D3911" s="4" t="s">
        <v>460</v>
      </c>
      <c r="E3911" s="4" t="s">
        <v>28241</v>
      </c>
      <c r="F3911" s="4" t="str">
        <f>IFERROR(__XLUDF.DUMMYFUNCTION("PROPER(REGEXREPLACE(D316,""[^A-Za-z]+ "",""""))"),"Neoteem")</f>
        <v>Neoteem</v>
      </c>
      <c r="G3911" s="4" t="s">
        <v>28242</v>
      </c>
      <c r="H3911" s="4">
        <v>42</v>
      </c>
      <c r="I3911" s="4" t="s">
        <v>2602</v>
      </c>
      <c r="J3911" s="4" t="str">
        <f>IFERROR(__XLUDF.DUMMYFUNCTION("VLOOKUP(H316,IMPORTRANGE(""https://docs.google.com/spreadsheets/d/1opm6ZNvGZ7KditA9TuJwrZ25eFLfTNIkrNnY6mhV5Eg"",""list!A1:C115""),3,TRUE)"),"le secteur de la tech")</f>
        <v xml:space="preserve">le secteur de la tech</v>
      </c>
      <c r="K3911" s="5" t="s">
        <v>28243</v>
      </c>
      <c r="L3911" s="5" t="s">
        <v>28244</v>
      </c>
      <c r="M3911" s="4" t="s">
        <v>185</v>
      </c>
      <c r="N3911" s="4" t="s">
        <v>29</v>
      </c>
      <c r="O3911" s="4" t="s">
        <v>27892</v>
      </c>
      <c r="P3911" s="4" t="s">
        <v>29</v>
      </c>
      <c r="Q3911" s="4" t="s">
        <v>28245</v>
      </c>
      <c r="R3911" s="6"/>
      <c r="S3911" s="6"/>
      <c r="T3911" s="6"/>
      <c r="U3911" s="6"/>
      <c r="V3911" s="6"/>
      <c r="W3911" s="6"/>
      <c r="X3911" s="6"/>
      <c r="Y3911" s="6"/>
      <c r="Z3911" s="6"/>
      <c r="AA3911" s="6"/>
    </row>
    <row r="3912" ht="14.25">
      <c r="B3912" s="4" t="s">
        <v>3142</v>
      </c>
      <c r="C3912" s="4" t="s">
        <v>27088</v>
      </c>
      <c r="D3912" s="4" t="s">
        <v>28246</v>
      </c>
      <c r="E3912" s="4" t="s">
        <v>27090</v>
      </c>
      <c r="F3912" s="4" t="str">
        <f>IFERROR(__XLUDF.DUMMYFUNCTION("PROPER(REGEXREPLACE(D317,""[^A-Za-z]+ "",""""))"),"Fentech")</f>
        <v>Fentech</v>
      </c>
      <c r="G3912" s="4" t="s">
        <v>28247</v>
      </c>
      <c r="H3912" s="4">
        <v>22</v>
      </c>
      <c r="I3912" s="4" t="s">
        <v>2602</v>
      </c>
      <c r="J3912" s="4" t="str">
        <f>IFERROR(__XLUDF.DUMMYFUNCTION("VLOOKUP(H317,IMPORTRANGE(""https://docs.google.com/spreadsheets/d/1opm6ZNvGZ7KditA9TuJwrZ25eFLfTNIkrNnY6mhV5Eg"",""list!A1:C115""),3,TRUE)"),"le secteur de la tech")</f>
        <v xml:space="preserve">le secteur de la tech</v>
      </c>
      <c r="K3912" s="5" t="s">
        <v>28248</v>
      </c>
      <c r="L3912" s="5" t="s">
        <v>27093</v>
      </c>
      <c r="M3912" s="6"/>
      <c r="N3912" s="4" t="s">
        <v>29</v>
      </c>
      <c r="O3912" s="4" t="s">
        <v>27094</v>
      </c>
      <c r="P3912" s="4" t="s">
        <v>29</v>
      </c>
      <c r="Q3912" s="6"/>
      <c r="R3912" s="6"/>
      <c r="S3912" s="6"/>
      <c r="T3912" s="6"/>
      <c r="U3912" s="6"/>
      <c r="V3912" s="6"/>
      <c r="W3912" s="6"/>
      <c r="X3912" s="6"/>
      <c r="Y3912" s="6"/>
      <c r="Z3912" s="6"/>
      <c r="AA3912" s="6"/>
    </row>
    <row r="3913" ht="14.25">
      <c r="B3913" s="4" t="s">
        <v>28249</v>
      </c>
      <c r="C3913" s="4" t="s">
        <v>11018</v>
      </c>
      <c r="D3913" s="4" t="s">
        <v>778</v>
      </c>
      <c r="E3913" s="4" t="s">
        <v>18078</v>
      </c>
      <c r="F3913" s="4" t="str">
        <f>IFERROR(__XLUDF.DUMMYFUNCTION("PROPER(REGEXREPLACE(D318,""[^A-Za-z]+ "",""""))"),"Octoperf")</f>
        <v>Octoperf</v>
      </c>
      <c r="G3913" s="4" t="s">
        <v>28250</v>
      </c>
      <c r="H3913" s="4">
        <v>12</v>
      </c>
      <c r="I3913" s="4" t="s">
        <v>2602</v>
      </c>
      <c r="J3913" s="4" t="str">
        <f>IFERROR(__XLUDF.DUMMYFUNCTION("VLOOKUP(H318,IMPORTRANGE(""https://docs.google.com/spreadsheets/d/1opm6ZNvGZ7KditA9TuJwrZ25eFLfTNIkrNnY6mhV5Eg"",""list!A1:C115""),3,TRUE)"),"le secteur de la tech")</f>
        <v xml:space="preserve">le secteur de la tech</v>
      </c>
      <c r="K3913" s="5" t="s">
        <v>28251</v>
      </c>
      <c r="L3913" s="5" t="s">
        <v>18081</v>
      </c>
      <c r="M3913" s="4" t="s">
        <v>28252</v>
      </c>
      <c r="N3913" s="4" t="s">
        <v>29</v>
      </c>
      <c r="O3913" s="4" t="s">
        <v>18082</v>
      </c>
      <c r="P3913" s="4" t="s">
        <v>29</v>
      </c>
      <c r="Q3913" s="4" t="s">
        <v>18083</v>
      </c>
      <c r="R3913" s="6"/>
      <c r="S3913" s="6"/>
      <c r="T3913" s="6"/>
      <c r="U3913" s="6"/>
      <c r="V3913" s="6"/>
      <c r="W3913" s="6"/>
      <c r="X3913" s="6"/>
      <c r="Y3913" s="6"/>
      <c r="Z3913" s="6"/>
      <c r="AA3913" s="6"/>
    </row>
    <row r="3914" ht="14.25">
      <c r="B3914" s="4" t="s">
        <v>2119</v>
      </c>
      <c r="C3914" s="4" t="s">
        <v>28253</v>
      </c>
      <c r="D3914" s="4" t="s">
        <v>315</v>
      </c>
      <c r="E3914" s="4" t="s">
        <v>28254</v>
      </c>
      <c r="F3914" s="4" t="str">
        <f>IFERROR(__XLUDF.DUMMYFUNCTION("PROPER(REGEXREPLACE(D319,""[^A-Za-z]+ "",""""))"),"Bridgentech")</f>
        <v>Bridgentech</v>
      </c>
      <c r="G3914" s="4" t="s">
        <v>28255</v>
      </c>
      <c r="H3914" s="4">
        <v>23</v>
      </c>
      <c r="I3914" s="4" t="s">
        <v>2602</v>
      </c>
      <c r="J3914" s="4" t="str">
        <f>IFERROR(__XLUDF.DUMMYFUNCTION("VLOOKUP(H319,IMPORTRANGE(""https://docs.google.com/spreadsheets/d/1opm6ZNvGZ7KditA9TuJwrZ25eFLfTNIkrNnY6mhV5Eg"",""list!A1:C115""),3,TRUE)"),"le secteur de la tech")</f>
        <v xml:space="preserve">le secteur de la tech</v>
      </c>
      <c r="K3914" s="5" t="s">
        <v>28256</v>
      </c>
      <c r="L3914" s="5" t="s">
        <v>28257</v>
      </c>
      <c r="M3914" s="4" t="s">
        <v>39</v>
      </c>
      <c r="N3914" s="4" t="s">
        <v>29</v>
      </c>
      <c r="O3914" s="4" t="s">
        <v>28258</v>
      </c>
      <c r="P3914" s="4" t="s">
        <v>29</v>
      </c>
      <c r="Q3914" s="6"/>
      <c r="R3914" s="6"/>
      <c r="S3914" s="6"/>
      <c r="T3914" s="6"/>
      <c r="U3914" s="6"/>
      <c r="V3914" s="6"/>
      <c r="W3914" s="6"/>
      <c r="X3914" s="6"/>
      <c r="Y3914" s="6"/>
      <c r="Z3914" s="6"/>
      <c r="AA3914" s="6"/>
    </row>
    <row r="3915" ht="14.25">
      <c r="B3915" s="4" t="s">
        <v>2398</v>
      </c>
      <c r="C3915" s="4" t="s">
        <v>28259</v>
      </c>
      <c r="D3915" s="4" t="s">
        <v>247</v>
      </c>
      <c r="E3915" s="4" t="s">
        <v>28260</v>
      </c>
      <c r="F3915" s="4" t="str">
        <f>IFERROR(__XLUDF.DUMMYFUNCTION("PROPER(REGEXREPLACE(D320,""[^A-Za-z]+ "",""""))"),"Ideagen Huddle™")</f>
        <v xml:space="preserve">Ideagen Huddle™</v>
      </c>
      <c r="G3915" s="4" t="s">
        <v>28261</v>
      </c>
      <c r="H3915" s="4">
        <v>36</v>
      </c>
      <c r="I3915" s="4" t="s">
        <v>2602</v>
      </c>
      <c r="J3915" s="4" t="str">
        <f>IFERROR(__XLUDF.DUMMYFUNCTION("VLOOKUP(H320,IMPORTRANGE(""https://docs.google.com/spreadsheets/d/1opm6ZNvGZ7KditA9TuJwrZ25eFLfTNIkrNnY6mhV5Eg"",""list!A1:C115""),3,TRUE)"),"le secteur de la tech")</f>
        <v xml:space="preserve">le secteur de la tech</v>
      </c>
      <c r="K3915" s="5" t="s">
        <v>28262</v>
      </c>
      <c r="L3915" s="5" t="s">
        <v>28263</v>
      </c>
      <c r="M3915" s="4" t="s">
        <v>39</v>
      </c>
      <c r="N3915" s="4" t="s">
        <v>29</v>
      </c>
      <c r="O3915" s="4" t="s">
        <v>28264</v>
      </c>
      <c r="P3915" s="4" t="s">
        <v>1548</v>
      </c>
      <c r="Q3915" s="6"/>
      <c r="R3915" s="6"/>
      <c r="S3915" s="6"/>
      <c r="T3915" s="6"/>
      <c r="U3915" s="6"/>
      <c r="V3915" s="6"/>
      <c r="W3915" s="6"/>
      <c r="X3915" s="6"/>
      <c r="Y3915" s="6"/>
      <c r="Z3915" s="6"/>
      <c r="AA3915" s="6"/>
    </row>
    <row r="3916" ht="14.25">
      <c r="B3916" s="4" t="s">
        <v>6309</v>
      </c>
      <c r="C3916" s="4" t="s">
        <v>28265</v>
      </c>
      <c r="D3916" s="4" t="s">
        <v>28266</v>
      </c>
      <c r="E3916" s="4" t="s">
        <v>28267</v>
      </c>
      <c r="F3916" s="4" t="str">
        <f>IFERROR(__XLUDF.DUMMYFUNCTION("PROPER(REGEXREPLACE(D321,""[^A-Za-z]+ "",""""))"),"Cywyc")</f>
        <v>Cywyc</v>
      </c>
      <c r="G3916" s="4" t="s">
        <v>28268</v>
      </c>
      <c r="H3916" s="4">
        <v>41</v>
      </c>
      <c r="I3916" s="4" t="s">
        <v>2602</v>
      </c>
      <c r="J3916" s="4" t="str">
        <f>IFERROR(__XLUDF.DUMMYFUNCTION("VLOOKUP(H321,IMPORTRANGE(""https://docs.google.com/spreadsheets/d/1opm6ZNvGZ7KditA9TuJwrZ25eFLfTNIkrNnY6mhV5Eg"",""list!A1:C115""),3,TRUE)"),"le secteur de la tech")</f>
        <v xml:space="preserve">le secteur de la tech</v>
      </c>
      <c r="K3916" s="5" t="s">
        <v>28269</v>
      </c>
      <c r="L3916" s="5" t="s">
        <v>28270</v>
      </c>
      <c r="M3916" s="4" t="s">
        <v>39</v>
      </c>
      <c r="N3916" s="4" t="s">
        <v>29</v>
      </c>
      <c r="O3916" s="4" t="s">
        <v>28271</v>
      </c>
      <c r="P3916" s="4" t="s">
        <v>29</v>
      </c>
      <c r="Q3916" s="4" t="s">
        <v>28272</v>
      </c>
      <c r="R3916" s="6"/>
      <c r="S3916" s="6"/>
      <c r="T3916" s="6"/>
      <c r="U3916" s="6"/>
      <c r="V3916" s="6"/>
      <c r="W3916" s="6"/>
      <c r="X3916" s="6"/>
      <c r="Y3916" s="6"/>
      <c r="Z3916" s="6"/>
      <c r="AA3916" s="6"/>
    </row>
    <row r="3917" ht="14.25">
      <c r="B3917" s="4" t="s">
        <v>330</v>
      </c>
      <c r="C3917" s="4" t="s">
        <v>28273</v>
      </c>
      <c r="D3917" s="4" t="s">
        <v>28274</v>
      </c>
      <c r="E3917" s="4" t="s">
        <v>28275</v>
      </c>
      <c r="F3917" s="4" t="str">
        <f>IFERROR(__XLUDF.DUMMYFUNCTION("PROPER(REGEXREPLACE(D322,""[^A-Za-z]+ "",""""))"),"Vigilens")</f>
        <v>Vigilens</v>
      </c>
      <c r="G3917" s="4" t="s">
        <v>28276</v>
      </c>
      <c r="H3917" s="4">
        <v>27</v>
      </c>
      <c r="I3917" s="4" t="s">
        <v>2602</v>
      </c>
      <c r="J3917" s="4" t="str">
        <f>IFERROR(__XLUDF.DUMMYFUNCTION("VLOOKUP(H322,IMPORTRANGE(""https://docs.google.com/spreadsheets/d/1opm6ZNvGZ7KditA9TuJwrZ25eFLfTNIkrNnY6mhV5Eg"",""list!A1:C115""),3,TRUE)"),"le secteur de la tech")</f>
        <v xml:space="preserve">le secteur de la tech</v>
      </c>
      <c r="K3917" s="5" t="s">
        <v>28277</v>
      </c>
      <c r="L3917" s="5" t="s">
        <v>28278</v>
      </c>
      <c r="M3917" s="4" t="s">
        <v>846</v>
      </c>
      <c r="N3917" s="4" t="s">
        <v>29</v>
      </c>
      <c r="O3917" s="4" t="s">
        <v>28279</v>
      </c>
      <c r="P3917" s="4" t="s">
        <v>29</v>
      </c>
      <c r="Q3917" s="4" t="s">
        <v>28280</v>
      </c>
      <c r="R3917" s="6"/>
      <c r="S3917" s="6"/>
      <c r="T3917" s="6"/>
      <c r="U3917" s="6"/>
      <c r="V3917" s="6"/>
      <c r="W3917" s="6"/>
      <c r="X3917" s="6"/>
      <c r="Y3917" s="6"/>
      <c r="Z3917" s="6"/>
      <c r="AA3917" s="6"/>
    </row>
    <row r="3918" ht="14.25">
      <c r="B3918" s="4" t="s">
        <v>979</v>
      </c>
      <c r="C3918" s="4" t="s">
        <v>28281</v>
      </c>
      <c r="D3918" s="4" t="s">
        <v>44</v>
      </c>
      <c r="E3918" s="4" t="s">
        <v>28282</v>
      </c>
      <c r="F3918" s="4" t="str">
        <f>IFERROR(__XLUDF.DUMMYFUNCTION("PROPER(REGEXREPLACE(D323,""[^A-Za-z]+ "",""""))"),"Docugenerate")</f>
        <v>Docugenerate</v>
      </c>
      <c r="G3918" s="4" t="s">
        <v>28283</v>
      </c>
      <c r="H3918" s="4">
        <v>10</v>
      </c>
      <c r="I3918" s="4" t="s">
        <v>2602</v>
      </c>
      <c r="J3918" s="4" t="str">
        <f>IFERROR(__XLUDF.DUMMYFUNCTION("VLOOKUP(H323,IMPORTRANGE(""https://docs.google.com/spreadsheets/d/1opm6ZNvGZ7KditA9TuJwrZ25eFLfTNIkrNnY6mhV5Eg"",""list!A1:C115""),3,TRUE)"),"le secteur de la tech")</f>
        <v xml:space="preserve">le secteur de la tech</v>
      </c>
      <c r="K3918" s="5" t="s">
        <v>28284</v>
      </c>
      <c r="L3918" s="5" t="s">
        <v>28285</v>
      </c>
      <c r="M3918" s="4" t="s">
        <v>185</v>
      </c>
      <c r="N3918" s="4" t="s">
        <v>29</v>
      </c>
      <c r="O3918" s="6"/>
      <c r="P3918" s="6"/>
      <c r="Q3918" s="4" t="s">
        <v>28286</v>
      </c>
      <c r="R3918" s="6"/>
      <c r="S3918" s="6"/>
      <c r="T3918" s="6"/>
      <c r="U3918" s="6"/>
      <c r="V3918" s="6"/>
      <c r="W3918" s="6"/>
      <c r="X3918" s="6"/>
      <c r="Y3918" s="6"/>
      <c r="Z3918" s="6"/>
      <c r="AA3918" s="6"/>
    </row>
    <row r="3919" ht="14.25">
      <c r="B3919" s="4" t="s">
        <v>5252</v>
      </c>
      <c r="C3919" s="4" t="s">
        <v>28287</v>
      </c>
      <c r="D3919" s="4" t="s">
        <v>172</v>
      </c>
      <c r="E3919" s="4" t="s">
        <v>28288</v>
      </c>
      <c r="F3919" s="4" t="str">
        <f>IFERROR(__XLUDF.DUMMYFUNCTION("PROPER(REGEXREPLACE(D324,""[^A-Za-z]+ "",""""))"),"Webxy")</f>
        <v>Webxy</v>
      </c>
      <c r="G3919" s="4" t="s">
        <v>28289</v>
      </c>
      <c r="H3919" s="4">
        <v>10</v>
      </c>
      <c r="I3919" s="4" t="s">
        <v>2602</v>
      </c>
      <c r="J3919" s="4" t="str">
        <f>IFERROR(__XLUDF.DUMMYFUNCTION("VLOOKUP(H324,IMPORTRANGE(""https://docs.google.com/spreadsheets/d/1opm6ZNvGZ7KditA9TuJwrZ25eFLfTNIkrNnY6mhV5Eg"",""list!A1:C115""),3,TRUE)"),"le secteur de la tech")</f>
        <v xml:space="preserve">le secteur de la tech</v>
      </c>
      <c r="K3919" s="5" t="s">
        <v>28290</v>
      </c>
      <c r="L3919" s="5" t="s">
        <v>28291</v>
      </c>
      <c r="M3919" s="4" t="s">
        <v>39</v>
      </c>
      <c r="N3919" s="4" t="s">
        <v>29</v>
      </c>
      <c r="O3919" s="4" t="s">
        <v>28292</v>
      </c>
      <c r="P3919" s="4" t="s">
        <v>29</v>
      </c>
      <c r="Q3919" s="4" t="s">
        <v>28293</v>
      </c>
      <c r="R3919" s="6"/>
      <c r="S3919" s="6"/>
      <c r="T3919" s="6"/>
      <c r="U3919" s="6"/>
      <c r="V3919" s="6"/>
      <c r="W3919" s="6"/>
      <c r="X3919" s="6"/>
      <c r="Y3919" s="6"/>
      <c r="Z3919" s="6"/>
      <c r="AA3919" s="6"/>
    </row>
    <row r="3920" ht="14.25">
      <c r="B3920" s="4" t="s">
        <v>3752</v>
      </c>
      <c r="C3920" s="4" t="s">
        <v>28294</v>
      </c>
      <c r="D3920" s="4" t="s">
        <v>28295</v>
      </c>
      <c r="E3920" s="4" t="s">
        <v>16885</v>
      </c>
      <c r="F3920" s="4" t="str">
        <f>IFERROR(__XLUDF.DUMMYFUNCTION("PROPER(REGEXREPLACE(D325,""[^A-Za-z]+ "",""""))"),"Altam")</f>
        <v>Altam</v>
      </c>
      <c r="G3920" s="4" t="s">
        <v>28296</v>
      </c>
      <c r="H3920" s="4">
        <v>41</v>
      </c>
      <c r="I3920" s="4" t="s">
        <v>2602</v>
      </c>
      <c r="J3920" s="4" t="str">
        <f>IFERROR(__XLUDF.DUMMYFUNCTION("VLOOKUP(H325,IMPORTRANGE(""https://docs.google.com/spreadsheets/d/1opm6ZNvGZ7KditA9TuJwrZ25eFLfTNIkrNnY6mhV5Eg"",""list!A1:C115""),3,TRUE)"),"le secteur de la tech")</f>
        <v xml:space="preserve">le secteur de la tech</v>
      </c>
      <c r="K3920" s="5" t="s">
        <v>28297</v>
      </c>
      <c r="L3920" s="5" t="s">
        <v>28298</v>
      </c>
      <c r="M3920" s="6"/>
      <c r="N3920" s="4" t="s">
        <v>29</v>
      </c>
      <c r="O3920" s="4" t="s">
        <v>28299</v>
      </c>
      <c r="P3920" s="4" t="s">
        <v>29</v>
      </c>
      <c r="Q3920" s="4" t="s">
        <v>16890</v>
      </c>
      <c r="R3920" s="6"/>
      <c r="S3920" s="6"/>
      <c r="T3920" s="6"/>
      <c r="U3920" s="6"/>
      <c r="V3920" s="6"/>
      <c r="W3920" s="6"/>
      <c r="X3920" s="6"/>
      <c r="Y3920" s="6"/>
      <c r="Z3920" s="6"/>
      <c r="AA3920" s="6"/>
    </row>
    <row r="3921" ht="14.25">
      <c r="B3921" s="4" t="s">
        <v>12327</v>
      </c>
      <c r="C3921" s="4" t="s">
        <v>28300</v>
      </c>
      <c r="D3921" s="4" t="s">
        <v>71</v>
      </c>
      <c r="E3921" s="4" t="s">
        <v>28301</v>
      </c>
      <c r="F3921" s="4" t="str">
        <f>IFERROR(__XLUDF.DUMMYFUNCTION("PROPER(REGEXREPLACE(D326,""[^A-Za-z]+ "",""""))"),"Dataleon")</f>
        <v>Dataleon</v>
      </c>
      <c r="G3921" s="4" t="s">
        <v>28302</v>
      </c>
      <c r="H3921" s="4">
        <v>9</v>
      </c>
      <c r="I3921" s="4" t="s">
        <v>2602</v>
      </c>
      <c r="J3921" s="4" t="str">
        <f>IFERROR(__XLUDF.DUMMYFUNCTION("VLOOKUP(H326,IMPORTRANGE(""https://docs.google.com/spreadsheets/d/1opm6ZNvGZ7KditA9TuJwrZ25eFLfTNIkrNnY6mhV5Eg"",""list!A1:C115""),3,TRUE)"),"le secteur de la tech")</f>
        <v xml:space="preserve">le secteur de la tech</v>
      </c>
      <c r="K3921" s="5" t="s">
        <v>28303</v>
      </c>
      <c r="L3921" s="5" t="s">
        <v>28304</v>
      </c>
      <c r="M3921" s="4" t="s">
        <v>39</v>
      </c>
      <c r="N3921" s="4" t="s">
        <v>29</v>
      </c>
      <c r="O3921" s="4" t="s">
        <v>27705</v>
      </c>
      <c r="P3921" s="4" t="s">
        <v>29</v>
      </c>
      <c r="Q3921" s="4" t="s">
        <v>28305</v>
      </c>
      <c r="R3921" s="6"/>
      <c r="S3921" s="6"/>
      <c r="T3921" s="6"/>
      <c r="U3921" s="6"/>
      <c r="V3921" s="6"/>
      <c r="W3921" s="6"/>
      <c r="X3921" s="6"/>
      <c r="Y3921" s="6"/>
      <c r="Z3921" s="6"/>
      <c r="AA3921" s="6"/>
    </row>
    <row r="3922" ht="14.25">
      <c r="B3922" s="4" t="s">
        <v>3164</v>
      </c>
      <c r="C3922" s="4" t="s">
        <v>28306</v>
      </c>
      <c r="D3922" s="4" t="s">
        <v>172</v>
      </c>
      <c r="E3922" s="4" t="s">
        <v>28307</v>
      </c>
      <c r="F3922" s="4" t="str">
        <f>IFERROR(__XLUDF.DUMMYFUNCTION("PROPER(REGEXREPLACE(D327,""[^A-Za-z]+ "",""""))"),"Straton Automation")</f>
        <v xml:space="preserve">Straton Automation</v>
      </c>
      <c r="G3922" s="4" t="s">
        <v>28308</v>
      </c>
      <c r="H3922" s="4">
        <v>12</v>
      </c>
      <c r="I3922" s="4" t="s">
        <v>2602</v>
      </c>
      <c r="J3922" s="4" t="str">
        <f>IFERROR(__XLUDF.DUMMYFUNCTION("VLOOKUP(H327,IMPORTRANGE(""https://docs.google.com/spreadsheets/d/1opm6ZNvGZ7KditA9TuJwrZ25eFLfTNIkrNnY6mhV5Eg"",""list!A1:C115""),3,TRUE)"),"le secteur de la tech")</f>
        <v xml:space="preserve">le secteur de la tech</v>
      </c>
      <c r="K3922" s="5" t="s">
        <v>28309</v>
      </c>
      <c r="L3922" s="5" t="s">
        <v>28310</v>
      </c>
      <c r="M3922" s="4" t="s">
        <v>1507</v>
      </c>
      <c r="N3922" s="4" t="s">
        <v>29</v>
      </c>
      <c r="O3922" s="4" t="s">
        <v>28311</v>
      </c>
      <c r="P3922" s="4" t="s">
        <v>29</v>
      </c>
      <c r="Q3922" s="4" t="s">
        <v>28312</v>
      </c>
      <c r="R3922" s="6"/>
      <c r="S3922" s="6"/>
      <c r="T3922" s="6"/>
      <c r="U3922" s="6"/>
      <c r="V3922" s="6"/>
      <c r="W3922" s="6"/>
      <c r="X3922" s="6"/>
      <c r="Y3922" s="6"/>
      <c r="Z3922" s="6"/>
      <c r="AA3922" s="6"/>
    </row>
    <row r="3923" ht="14.25">
      <c r="B3923" s="4" t="s">
        <v>28313</v>
      </c>
      <c r="C3923" s="4" t="s">
        <v>28314</v>
      </c>
      <c r="D3923" s="4" t="s">
        <v>28315</v>
      </c>
      <c r="E3923" s="4" t="s">
        <v>28316</v>
      </c>
      <c r="F3923" s="4" t="str">
        <f>IFERROR(__XLUDF.DUMMYFUNCTION("PROPER(REGEXREPLACE(D328,""[^A-Za-z]+ "",""""))"),"Adesoft")</f>
        <v>Adesoft</v>
      </c>
      <c r="G3923" s="4" t="s">
        <v>28317</v>
      </c>
      <c r="H3923" s="4">
        <v>22</v>
      </c>
      <c r="I3923" s="4" t="s">
        <v>2602</v>
      </c>
      <c r="J3923" s="4" t="str">
        <f>IFERROR(__XLUDF.DUMMYFUNCTION("VLOOKUP(H328,IMPORTRANGE(""https://docs.google.com/spreadsheets/d/1opm6ZNvGZ7KditA9TuJwrZ25eFLfTNIkrNnY6mhV5Eg"",""list!A1:C115""),3,TRUE)"),"le secteur de la tech")</f>
        <v xml:space="preserve">le secteur de la tech</v>
      </c>
      <c r="K3923" s="5" t="s">
        <v>28318</v>
      </c>
      <c r="L3923" s="5" t="s">
        <v>28319</v>
      </c>
      <c r="M3923" s="4" t="s">
        <v>39</v>
      </c>
      <c r="N3923" s="4" t="s">
        <v>29</v>
      </c>
      <c r="O3923" s="4" t="s">
        <v>28320</v>
      </c>
      <c r="P3923" s="4" t="s">
        <v>29</v>
      </c>
      <c r="Q3923" s="4" t="s">
        <v>28321</v>
      </c>
      <c r="R3923" s="6"/>
      <c r="S3923" s="6"/>
      <c r="T3923" s="6"/>
      <c r="U3923" s="6"/>
      <c r="V3923" s="6"/>
      <c r="W3923" s="6"/>
      <c r="X3923" s="6"/>
      <c r="Y3923" s="6"/>
      <c r="Z3923" s="6"/>
      <c r="AA3923" s="6"/>
    </row>
    <row r="3924" ht="14.25">
      <c r="B3924" s="4" t="s">
        <v>28322</v>
      </c>
      <c r="C3924" s="4" t="s">
        <v>28323</v>
      </c>
      <c r="D3924" s="4" t="s">
        <v>28324</v>
      </c>
      <c r="E3924" s="4" t="s">
        <v>19216</v>
      </c>
      <c r="F3924" s="4" t="str">
        <f>IFERROR(__XLUDF.DUMMYFUNCTION("PROPER(REGEXREPLACE(D329,""[^A-Za-z]+ "",""""))"),"Rapid Delivery Analytics")</f>
        <v xml:space="preserve">Rapid Delivery Analytics</v>
      </c>
      <c r="G3924" s="4" t="s">
        <v>28325</v>
      </c>
      <c r="H3924" s="4">
        <v>16</v>
      </c>
      <c r="I3924" s="4" t="s">
        <v>2602</v>
      </c>
      <c r="J3924" s="4" t="str">
        <f>IFERROR(__XLUDF.DUMMYFUNCTION("VLOOKUP(H329,IMPORTRANGE(""https://docs.google.com/spreadsheets/d/1opm6ZNvGZ7KditA9TuJwrZ25eFLfTNIkrNnY6mhV5Eg"",""list!A1:C115""),3,TRUE)"),"le secteur de la tech")</f>
        <v xml:space="preserve">le secteur de la tech</v>
      </c>
      <c r="K3924" s="5" t="s">
        <v>28326</v>
      </c>
      <c r="L3924" s="5" t="s">
        <v>19219</v>
      </c>
      <c r="M3924" s="6"/>
      <c r="N3924" s="4" t="s">
        <v>29</v>
      </c>
      <c r="O3924" s="4" t="s">
        <v>67</v>
      </c>
      <c r="P3924" s="4" t="s">
        <v>29</v>
      </c>
      <c r="Q3924" s="6"/>
      <c r="R3924" s="6"/>
      <c r="S3924" s="6"/>
      <c r="T3924" s="6"/>
      <c r="U3924" s="6"/>
      <c r="V3924" s="6"/>
      <c r="W3924" s="6"/>
      <c r="X3924" s="6"/>
      <c r="Y3924" s="6"/>
      <c r="Z3924" s="6"/>
      <c r="AA3924" s="6"/>
    </row>
    <row r="3925" ht="14.25">
      <c r="B3925" s="4" t="s">
        <v>28327</v>
      </c>
      <c r="C3925" s="4" t="s">
        <v>17947</v>
      </c>
      <c r="D3925" s="4" t="s">
        <v>426</v>
      </c>
      <c r="E3925" s="4" t="s">
        <v>28328</v>
      </c>
      <c r="F3925" s="4" t="str">
        <f>IFERROR(__XLUDF.DUMMYFUNCTION("PROPER(REGEXREPLACE(D330,""[^A-Za-z]+ "",""""))"),"Innov Businessservices")</f>
        <v xml:space="preserve">Innov Businessservices</v>
      </c>
      <c r="G3925" s="4" t="s">
        <v>28329</v>
      </c>
      <c r="H3925" s="4">
        <v>34</v>
      </c>
      <c r="I3925" s="4" t="s">
        <v>2602</v>
      </c>
      <c r="J3925" s="4" t="str">
        <f>IFERROR(__XLUDF.DUMMYFUNCTION("VLOOKUP(H330,IMPORTRANGE(""https://docs.google.com/spreadsheets/d/1opm6ZNvGZ7KditA9TuJwrZ25eFLfTNIkrNnY6mhV5Eg"",""list!A1:C115""),3,TRUE)"),"le secteur de la tech")</f>
        <v xml:space="preserve">le secteur de la tech</v>
      </c>
      <c r="K3925" s="5" t="s">
        <v>28330</v>
      </c>
      <c r="L3925" s="5" t="s">
        <v>28331</v>
      </c>
      <c r="M3925" s="4" t="s">
        <v>1878</v>
      </c>
      <c r="N3925" s="4" t="s">
        <v>29</v>
      </c>
      <c r="O3925" s="4" t="s">
        <v>7387</v>
      </c>
      <c r="P3925" s="4" t="s">
        <v>29</v>
      </c>
      <c r="Q3925" s="6"/>
      <c r="R3925" s="6"/>
      <c r="S3925" s="6"/>
      <c r="T3925" s="6"/>
      <c r="U3925" s="6"/>
      <c r="V3925" s="6"/>
      <c r="W3925" s="6"/>
      <c r="X3925" s="6"/>
      <c r="Y3925" s="6"/>
      <c r="Z3925" s="6"/>
      <c r="AA3925" s="6"/>
    </row>
    <row r="3926" ht="14.25">
      <c r="B3926" s="4" t="s">
        <v>18461</v>
      </c>
      <c r="C3926" s="4" t="s">
        <v>28332</v>
      </c>
      <c r="D3926" s="4" t="s">
        <v>315</v>
      </c>
      <c r="E3926" s="4" t="s">
        <v>28151</v>
      </c>
      <c r="F3926" s="4" t="str">
        <f>IFERROR(__XLUDF.DUMMYFUNCTION("PROPER(REGEXREPLACE(D331,""[^A-Za-z]+ "",""""))"),"Lyance")</f>
        <v>Lyance</v>
      </c>
      <c r="G3926" s="4" t="s">
        <v>28333</v>
      </c>
      <c r="H3926" s="4">
        <v>42</v>
      </c>
      <c r="I3926" s="4" t="s">
        <v>2602</v>
      </c>
      <c r="J3926" s="4" t="str">
        <f>IFERROR(__XLUDF.DUMMYFUNCTION("VLOOKUP(H331,IMPORTRANGE(""https://docs.google.com/spreadsheets/d/1opm6ZNvGZ7KditA9TuJwrZ25eFLfTNIkrNnY6mhV5Eg"",""list!A1:C115""),3,TRUE)"),"le secteur de la tech")</f>
        <v xml:space="preserve">le secteur de la tech</v>
      </c>
      <c r="K3926" s="5" t="s">
        <v>28334</v>
      </c>
      <c r="L3926" s="5" t="s">
        <v>28154</v>
      </c>
      <c r="M3926" s="6"/>
      <c r="N3926" s="4" t="s">
        <v>29</v>
      </c>
      <c r="O3926" s="4" t="s">
        <v>19936</v>
      </c>
      <c r="P3926" s="4" t="s">
        <v>29</v>
      </c>
      <c r="Q3926" s="6"/>
      <c r="R3926" s="6"/>
      <c r="S3926" s="6"/>
      <c r="T3926" s="6"/>
      <c r="U3926" s="6"/>
      <c r="V3926" s="6"/>
      <c r="W3926" s="6"/>
      <c r="X3926" s="6"/>
      <c r="Y3926" s="6"/>
      <c r="Z3926" s="6"/>
      <c r="AA3926" s="6"/>
    </row>
    <row r="3927" ht="14.25">
      <c r="B3927" s="4" t="s">
        <v>19615</v>
      </c>
      <c r="C3927" s="4" t="s">
        <v>28335</v>
      </c>
      <c r="D3927" s="4" t="s">
        <v>1950</v>
      </c>
      <c r="E3927" s="4" t="s">
        <v>28336</v>
      </c>
      <c r="F3927" s="4" t="str">
        <f>IFERROR(__XLUDF.DUMMYFUNCTION("PROPER(REGEXREPLACE(D332,""[^A-Za-z]+ "",""""))"),"Agyre")</f>
        <v>Agyre</v>
      </c>
      <c r="G3927" s="4" t="s">
        <v>28337</v>
      </c>
      <c r="H3927" s="4">
        <v>14</v>
      </c>
      <c r="I3927" s="4" t="s">
        <v>2602</v>
      </c>
      <c r="J3927" s="4" t="str">
        <f>IFERROR(__XLUDF.DUMMYFUNCTION("VLOOKUP(H332,IMPORTRANGE(""https://docs.google.com/spreadsheets/d/1opm6ZNvGZ7KditA9TuJwrZ25eFLfTNIkrNnY6mhV5Eg"",""list!A1:C115""),3,TRUE)"),"le secteur de la tech")</f>
        <v xml:space="preserve">le secteur de la tech</v>
      </c>
      <c r="K3927" s="5" t="s">
        <v>28338</v>
      </c>
      <c r="L3927" s="5" t="s">
        <v>28339</v>
      </c>
      <c r="M3927" s="4" t="s">
        <v>4943</v>
      </c>
      <c r="N3927" s="4" t="s">
        <v>29</v>
      </c>
      <c r="O3927" s="4" t="s">
        <v>28340</v>
      </c>
      <c r="P3927" s="4" t="s">
        <v>29</v>
      </c>
      <c r="Q3927" s="4" t="s">
        <v>28341</v>
      </c>
      <c r="R3927" s="6"/>
      <c r="S3927" s="6"/>
      <c r="T3927" s="6"/>
      <c r="U3927" s="6"/>
      <c r="V3927" s="6"/>
      <c r="W3927" s="6"/>
      <c r="X3927" s="6"/>
      <c r="Y3927" s="6"/>
      <c r="Z3927" s="6"/>
      <c r="AA3927" s="6"/>
    </row>
    <row r="3928" ht="14.25">
      <c r="B3928" s="4" t="s">
        <v>28342</v>
      </c>
      <c r="C3928" s="4" t="s">
        <v>28343</v>
      </c>
      <c r="D3928" s="4" t="s">
        <v>62</v>
      </c>
      <c r="E3928" s="4" t="s">
        <v>28344</v>
      </c>
      <c r="F3928" s="4" t="str">
        <f>IFERROR(__XLUDF.DUMMYFUNCTION("PROPER(REGEXREPLACE(D333,""[^A-Za-z]+ "",""""))"),"Asc")</f>
        <v>Asc</v>
      </c>
      <c r="G3928" s="4" t="s">
        <v>28345</v>
      </c>
      <c r="H3928" s="4">
        <v>11</v>
      </c>
      <c r="I3928" s="4" t="s">
        <v>2602</v>
      </c>
      <c r="J3928" s="4" t="str">
        <f>IFERROR(__XLUDF.DUMMYFUNCTION("VLOOKUP(H333,IMPORTRANGE(""https://docs.google.com/spreadsheets/d/1opm6ZNvGZ7KditA9TuJwrZ25eFLfTNIkrNnY6mhV5Eg"",""list!A1:C115""),3,TRUE)"),"le secteur de la tech")</f>
        <v xml:space="preserve">le secteur de la tech</v>
      </c>
      <c r="K3928" s="5" t="s">
        <v>28346</v>
      </c>
      <c r="L3928" s="5" t="s">
        <v>28347</v>
      </c>
      <c r="M3928" s="4" t="s">
        <v>39</v>
      </c>
      <c r="N3928" s="4" t="s">
        <v>29</v>
      </c>
      <c r="O3928" s="4" t="s">
        <v>28348</v>
      </c>
      <c r="P3928" s="4" t="s">
        <v>24879</v>
      </c>
      <c r="Q3928" s="6"/>
      <c r="R3928" s="6"/>
      <c r="S3928" s="6"/>
      <c r="T3928" s="6"/>
      <c r="U3928" s="6"/>
      <c r="V3928" s="6"/>
      <c r="W3928" s="6"/>
      <c r="X3928" s="6"/>
      <c r="Y3928" s="6"/>
      <c r="Z3928" s="6"/>
      <c r="AA3928" s="6"/>
    </row>
    <row r="3929" ht="14.25">
      <c r="B3929" s="4" t="s">
        <v>2249</v>
      </c>
      <c r="C3929" s="4" t="s">
        <v>28349</v>
      </c>
      <c r="D3929" s="4" t="s">
        <v>87</v>
      </c>
      <c r="E3929" s="4" t="s">
        <v>28350</v>
      </c>
      <c r="F3929" s="4" t="str">
        <f>IFERROR(__XLUDF.DUMMYFUNCTION("PROPER(REGEXREPLACE(D334,""[^A-Za-z]+ "",""""))"),"Candide")</f>
        <v>Candide</v>
      </c>
      <c r="G3929" s="4" t="s">
        <v>28351</v>
      </c>
      <c r="H3929" s="4">
        <v>37</v>
      </c>
      <c r="I3929" s="4" t="s">
        <v>2602</v>
      </c>
      <c r="J3929" s="4" t="str">
        <f>IFERROR(__XLUDF.DUMMYFUNCTION("VLOOKUP(H334,IMPORTRANGE(""https://docs.google.com/spreadsheets/d/1opm6ZNvGZ7KditA9TuJwrZ25eFLfTNIkrNnY6mhV5Eg"",""list!A1:C115""),3,TRUE)"),"le secteur de la tech")</f>
        <v xml:space="preserve">le secteur de la tech</v>
      </c>
      <c r="K3929" s="5" t="s">
        <v>28352</v>
      </c>
      <c r="L3929" s="5" t="s">
        <v>28353</v>
      </c>
      <c r="M3929" s="6"/>
      <c r="N3929" s="4" t="s">
        <v>29</v>
      </c>
      <c r="O3929" s="4" t="s">
        <v>28354</v>
      </c>
      <c r="P3929" s="4" t="s">
        <v>1548</v>
      </c>
      <c r="Q3929" s="6"/>
      <c r="R3929" s="6"/>
      <c r="S3929" s="6"/>
      <c r="T3929" s="6"/>
      <c r="U3929" s="6"/>
      <c r="V3929" s="6"/>
      <c r="W3929" s="6"/>
      <c r="X3929" s="6"/>
      <c r="Y3929" s="6"/>
      <c r="Z3929" s="6"/>
      <c r="AA3929" s="6"/>
    </row>
    <row r="3930" ht="14.25">
      <c r="B3930" s="4" t="s">
        <v>485</v>
      </c>
      <c r="C3930" s="4" t="s">
        <v>28355</v>
      </c>
      <c r="D3930" s="4" t="s">
        <v>28356</v>
      </c>
      <c r="E3930" s="4" t="s">
        <v>28357</v>
      </c>
      <c r="F3930" s="4" t="str">
        <f>IFERROR(__XLUDF.DUMMYFUNCTION("PROPER(REGEXREPLACE(D335,""[^A-Za-z]+ "",""""))"),"Timeskipper")</f>
        <v>Timeskipper</v>
      </c>
      <c r="G3930" s="4" t="s">
        <v>28358</v>
      </c>
      <c r="H3930" s="4">
        <v>15</v>
      </c>
      <c r="I3930" s="4" t="s">
        <v>2602</v>
      </c>
      <c r="J3930" s="4" t="str">
        <f>IFERROR(__XLUDF.DUMMYFUNCTION("VLOOKUP(H335,IMPORTRANGE(""https://docs.google.com/spreadsheets/d/1opm6ZNvGZ7KditA9TuJwrZ25eFLfTNIkrNnY6mhV5Eg"",""list!A1:C115""),3,TRUE)"),"le secteur de la tech")</f>
        <v xml:space="preserve">le secteur de la tech</v>
      </c>
      <c r="K3930" s="5" t="s">
        <v>28359</v>
      </c>
      <c r="L3930" s="5" t="s">
        <v>28360</v>
      </c>
      <c r="M3930" s="6"/>
      <c r="N3930" s="4" t="s">
        <v>29</v>
      </c>
      <c r="O3930" s="4" t="s">
        <v>28361</v>
      </c>
      <c r="P3930" s="4" t="s">
        <v>29</v>
      </c>
      <c r="Q3930" s="4" t="s">
        <v>28362</v>
      </c>
      <c r="R3930" s="6"/>
      <c r="S3930" s="6"/>
      <c r="T3930" s="6"/>
      <c r="U3930" s="6"/>
      <c r="V3930" s="6"/>
      <c r="W3930" s="6"/>
      <c r="X3930" s="6"/>
      <c r="Y3930" s="6"/>
      <c r="Z3930" s="6"/>
      <c r="AA3930" s="6"/>
    </row>
    <row r="3931" ht="14.25">
      <c r="B3931" s="4" t="s">
        <v>1583</v>
      </c>
      <c r="C3931" s="4" t="s">
        <v>28363</v>
      </c>
      <c r="D3931" s="4" t="s">
        <v>1950</v>
      </c>
      <c r="E3931" s="4" t="s">
        <v>28364</v>
      </c>
      <c r="F3931" s="4" t="str">
        <f>IFERROR(__XLUDF.DUMMYFUNCTION("PROPER(REGEXREPLACE(D336,""[^A-Za-z]+ "",""""))"),"Agora Calycé")</f>
        <v xml:space="preserve">Agora Calycé</v>
      </c>
      <c r="G3931" s="4" t="s">
        <v>28365</v>
      </c>
      <c r="H3931" s="4">
        <v>29</v>
      </c>
      <c r="I3931" s="4" t="s">
        <v>2602</v>
      </c>
      <c r="J3931" s="4" t="str">
        <f>IFERROR(__XLUDF.DUMMYFUNCTION("VLOOKUP(H336,IMPORTRANGE(""https://docs.google.com/spreadsheets/d/1opm6ZNvGZ7KditA9TuJwrZ25eFLfTNIkrNnY6mhV5Eg"",""list!A1:C115""),3,TRUE)"),"le secteur de la tech")</f>
        <v xml:space="preserve">le secteur de la tech</v>
      </c>
      <c r="K3931" s="5" t="s">
        <v>28366</v>
      </c>
      <c r="L3931" s="5" t="s">
        <v>28367</v>
      </c>
      <c r="M3931" s="4" t="s">
        <v>651</v>
      </c>
      <c r="N3931" s="4" t="s">
        <v>29</v>
      </c>
      <c r="O3931" s="4" t="s">
        <v>28368</v>
      </c>
      <c r="P3931" s="4" t="s">
        <v>29</v>
      </c>
      <c r="Q3931" s="4" t="s">
        <v>28369</v>
      </c>
      <c r="R3931" s="6"/>
      <c r="S3931" s="6"/>
      <c r="T3931" s="6"/>
      <c r="U3931" s="6"/>
      <c r="V3931" s="6"/>
      <c r="W3931" s="6"/>
      <c r="X3931" s="6"/>
      <c r="Y3931" s="6"/>
      <c r="Z3931" s="6"/>
      <c r="AA3931" s="6"/>
    </row>
    <row r="3932" ht="14.25">
      <c r="B3932" s="4" t="s">
        <v>28370</v>
      </c>
      <c r="C3932" s="4" t="s">
        <v>28371</v>
      </c>
      <c r="D3932" s="4" t="s">
        <v>62</v>
      </c>
      <c r="E3932" s="4" t="s">
        <v>28372</v>
      </c>
      <c r="F3932" s="4" t="str">
        <f>IFERROR(__XLUDF.DUMMYFUNCTION("PROPER(REGEXREPLACE(D337,""[^A-Za-z]+ "",""""))"),"Groupe Rhopen")</f>
        <v xml:space="preserve">Groupe Rhopen</v>
      </c>
      <c r="G3932" s="4" t="s">
        <v>28373</v>
      </c>
      <c r="H3932" s="4">
        <v>12</v>
      </c>
      <c r="I3932" s="4" t="s">
        <v>2602</v>
      </c>
      <c r="J3932" s="4" t="str">
        <f>IFERROR(__XLUDF.DUMMYFUNCTION("VLOOKUP(H337,IMPORTRANGE(""https://docs.google.com/spreadsheets/d/1opm6ZNvGZ7KditA9TuJwrZ25eFLfTNIkrNnY6mhV5Eg"",""list!A1:C115""),3,TRUE)"),"le secteur de la tech")</f>
        <v xml:space="preserve">le secteur de la tech</v>
      </c>
      <c r="K3932" s="5" t="s">
        <v>28374</v>
      </c>
      <c r="L3932" s="5" t="s">
        <v>28375</v>
      </c>
      <c r="M3932" s="4" t="s">
        <v>39</v>
      </c>
      <c r="N3932" s="4" t="s">
        <v>29</v>
      </c>
      <c r="O3932" s="4" t="s">
        <v>18870</v>
      </c>
      <c r="P3932" s="4" t="s">
        <v>29</v>
      </c>
      <c r="Q3932" s="4" t="s">
        <v>28376</v>
      </c>
      <c r="R3932" s="6"/>
      <c r="S3932" s="6"/>
      <c r="T3932" s="6"/>
      <c r="U3932" s="6"/>
      <c r="V3932" s="6"/>
      <c r="W3932" s="6"/>
      <c r="X3932" s="6"/>
      <c r="Y3932" s="6"/>
      <c r="Z3932" s="6"/>
      <c r="AA3932" s="6"/>
    </row>
    <row r="3933" ht="14.25">
      <c r="B3933" s="4" t="s">
        <v>485</v>
      </c>
      <c r="C3933" s="4" t="s">
        <v>28377</v>
      </c>
      <c r="D3933" s="4" t="s">
        <v>3188</v>
      </c>
      <c r="E3933" s="4" t="s">
        <v>28378</v>
      </c>
      <c r="F3933" s="4" t="str">
        <f>IFERROR(__XLUDF.DUMMYFUNCTION("PROPER(REGEXREPLACE(D338,""[^A-Za-z]+ "",""""))"),"Nao")</f>
        <v>Nao</v>
      </c>
      <c r="G3933" s="4" t="s">
        <v>28379</v>
      </c>
      <c r="H3933" s="4">
        <v>24</v>
      </c>
      <c r="I3933" s="4" t="s">
        <v>2602</v>
      </c>
      <c r="J3933" s="4" t="str">
        <f>IFERROR(__XLUDF.DUMMYFUNCTION("VLOOKUP(H338,IMPORTRANGE(""https://docs.google.com/spreadsheets/d/1opm6ZNvGZ7KditA9TuJwrZ25eFLfTNIkrNnY6mhV5Eg"",""list!A1:C115""),3,TRUE)"),"le secteur de la tech")</f>
        <v xml:space="preserve">le secteur de la tech</v>
      </c>
      <c r="K3933" s="5" t="s">
        <v>28380</v>
      </c>
      <c r="L3933" s="5" t="s">
        <v>28381</v>
      </c>
      <c r="M3933" s="4" t="s">
        <v>1015</v>
      </c>
      <c r="N3933" s="4" t="s">
        <v>29</v>
      </c>
      <c r="O3933" s="4" t="s">
        <v>67</v>
      </c>
      <c r="P3933" s="4" t="s">
        <v>29</v>
      </c>
      <c r="Q3933" s="6"/>
      <c r="R3933" s="6"/>
      <c r="S3933" s="6"/>
      <c r="T3933" s="6"/>
      <c r="U3933" s="6"/>
      <c r="V3933" s="6"/>
      <c r="W3933" s="6"/>
      <c r="X3933" s="6"/>
      <c r="Y3933" s="6"/>
      <c r="Z3933" s="6"/>
      <c r="AA3933" s="6"/>
    </row>
    <row r="3934" ht="14.25">
      <c r="B3934" s="4" t="s">
        <v>630</v>
      </c>
      <c r="C3934" s="4" t="s">
        <v>28382</v>
      </c>
      <c r="D3934" s="4" t="s">
        <v>230</v>
      </c>
      <c r="E3934" s="4" t="s">
        <v>28383</v>
      </c>
      <c r="F3934" s="4" t="str">
        <f>IFERROR(__XLUDF.DUMMYFUNCTION("PROPER(REGEXREPLACE(D339,""[^A-Za-z]+ "",""""))"),"Solusquare")</f>
        <v>Solusquare</v>
      </c>
      <c r="G3934" s="4" t="s">
        <v>28384</v>
      </c>
      <c r="H3934" s="4">
        <v>19</v>
      </c>
      <c r="I3934" s="4" t="s">
        <v>2602</v>
      </c>
      <c r="J3934" s="4" t="str">
        <f>IFERROR(__XLUDF.DUMMYFUNCTION("VLOOKUP(H339,IMPORTRANGE(""https://docs.google.com/spreadsheets/d/1opm6ZNvGZ7KditA9TuJwrZ25eFLfTNIkrNnY6mhV5Eg"",""list!A1:C115""),3,TRUE)"),"le secteur de la tech")</f>
        <v xml:space="preserve">le secteur de la tech</v>
      </c>
      <c r="K3934" s="5" t="s">
        <v>28385</v>
      </c>
      <c r="L3934" s="5" t="s">
        <v>28386</v>
      </c>
      <c r="M3934" s="4" t="s">
        <v>39</v>
      </c>
      <c r="N3934" s="4" t="s">
        <v>29</v>
      </c>
      <c r="O3934" s="4" t="s">
        <v>28387</v>
      </c>
      <c r="P3934" s="4" t="s">
        <v>29</v>
      </c>
      <c r="Q3934" s="4" t="s">
        <v>28388</v>
      </c>
      <c r="R3934" s="6"/>
      <c r="S3934" s="6"/>
      <c r="T3934" s="6"/>
      <c r="U3934" s="6"/>
      <c r="V3934" s="6"/>
      <c r="W3934" s="6"/>
      <c r="X3934" s="6"/>
      <c r="Y3934" s="6"/>
      <c r="Z3934" s="6"/>
      <c r="AA3934" s="6"/>
    </row>
    <row r="3935" ht="14.25">
      <c r="B3935" s="4" t="s">
        <v>1732</v>
      </c>
      <c r="C3935" s="4" t="s">
        <v>28389</v>
      </c>
      <c r="D3935" s="4" t="s">
        <v>62</v>
      </c>
      <c r="E3935" s="4" t="s">
        <v>28390</v>
      </c>
      <c r="F3935" s="4" t="str">
        <f>IFERROR(__XLUDF.DUMMYFUNCTION("PROPER(REGEXREPLACE(D340,""[^A-Za-z]+ "",""""))"),"Vehizen")</f>
        <v>Vehizen</v>
      </c>
      <c r="G3935" s="4" t="s">
        <v>28391</v>
      </c>
      <c r="H3935" s="4">
        <v>10</v>
      </c>
      <c r="I3935" s="4" t="s">
        <v>2602</v>
      </c>
      <c r="J3935" s="4" t="str">
        <f>IFERROR(__XLUDF.DUMMYFUNCTION("VLOOKUP(H340,IMPORTRANGE(""https://docs.google.com/spreadsheets/d/1opm6ZNvGZ7KditA9TuJwrZ25eFLfTNIkrNnY6mhV5Eg"",""list!A1:C115""),3,TRUE)"),"le secteur de la tech")</f>
        <v xml:space="preserve">le secteur de la tech</v>
      </c>
      <c r="K3935" s="5" t="s">
        <v>28392</v>
      </c>
      <c r="L3935" s="5" t="s">
        <v>28393</v>
      </c>
      <c r="M3935" s="4" t="s">
        <v>482</v>
      </c>
      <c r="N3935" s="4" t="s">
        <v>29</v>
      </c>
      <c r="O3935" s="4" t="s">
        <v>28394</v>
      </c>
      <c r="P3935" s="4" t="s">
        <v>29</v>
      </c>
      <c r="Q3935" s="6"/>
      <c r="R3935" s="6"/>
      <c r="S3935" s="6"/>
      <c r="T3935" s="6"/>
      <c r="U3935" s="6"/>
      <c r="V3935" s="6"/>
      <c r="W3935" s="6"/>
      <c r="X3935" s="6"/>
      <c r="Y3935" s="6"/>
      <c r="Z3935" s="6"/>
      <c r="AA3935" s="6"/>
    </row>
    <row r="3936" ht="14.25">
      <c r="B3936" s="4" t="s">
        <v>2372</v>
      </c>
      <c r="C3936" s="4" t="s">
        <v>28395</v>
      </c>
      <c r="D3936" s="4" t="s">
        <v>103</v>
      </c>
      <c r="E3936" s="4" t="s">
        <v>28396</v>
      </c>
      <c r="F3936" s="4" t="str">
        <f>IFERROR(__XLUDF.DUMMYFUNCTION("PROPER(REGEXREPLACE(D341,""[^A-Za-z]+ "",""""))"),"Atout Majeur Concept")</f>
        <v xml:space="preserve">Atout Majeur Concept</v>
      </c>
      <c r="G3936" s="4" t="s">
        <v>28397</v>
      </c>
      <c r="H3936" s="4">
        <v>40</v>
      </c>
      <c r="I3936" s="4" t="s">
        <v>2602</v>
      </c>
      <c r="J3936" s="4" t="str">
        <f>IFERROR(__XLUDF.DUMMYFUNCTION("VLOOKUP(H341,IMPORTRANGE(""https://docs.google.com/spreadsheets/d/1opm6ZNvGZ7KditA9TuJwrZ25eFLfTNIkrNnY6mhV5Eg"",""list!A1:C115""),3,TRUE)"),"le secteur de la tech")</f>
        <v xml:space="preserve">le secteur de la tech</v>
      </c>
      <c r="K3936" s="5" t="s">
        <v>28398</v>
      </c>
      <c r="L3936" s="5" t="s">
        <v>28399</v>
      </c>
      <c r="M3936" s="6"/>
      <c r="N3936" s="4" t="s">
        <v>29</v>
      </c>
      <c r="O3936" s="4" t="s">
        <v>28400</v>
      </c>
      <c r="P3936" s="4" t="s">
        <v>29</v>
      </c>
      <c r="Q3936" s="4" t="s">
        <v>28396</v>
      </c>
      <c r="R3936" s="6"/>
      <c r="S3936" s="6"/>
      <c r="T3936" s="6"/>
      <c r="U3936" s="6"/>
      <c r="V3936" s="6"/>
      <c r="W3936" s="6"/>
      <c r="X3936" s="6"/>
      <c r="Y3936" s="6"/>
      <c r="Z3936" s="6"/>
      <c r="AA3936" s="6"/>
    </row>
    <row r="3937" ht="14.25">
      <c r="B3937" s="4" t="s">
        <v>2119</v>
      </c>
      <c r="C3937" s="4" t="s">
        <v>24185</v>
      </c>
      <c r="D3937" s="4" t="s">
        <v>1950</v>
      </c>
      <c r="E3937" s="4" t="s">
        <v>28401</v>
      </c>
      <c r="F3937" s="4" t="str">
        <f>IFERROR(__XLUDF.DUMMYFUNCTION("PROPER(REGEXREPLACE(D342,""[^A-Za-z]+ "",""""))"),"Newsgene")</f>
        <v>Newsgene</v>
      </c>
      <c r="G3937" s="4" t="s">
        <v>28402</v>
      </c>
      <c r="H3937" s="4">
        <v>13</v>
      </c>
      <c r="I3937" s="4" t="s">
        <v>2602</v>
      </c>
      <c r="J3937" s="4" t="str">
        <f>IFERROR(__XLUDF.DUMMYFUNCTION("VLOOKUP(H342,IMPORTRANGE(""https://docs.google.com/spreadsheets/d/1opm6ZNvGZ7KditA9TuJwrZ25eFLfTNIkrNnY6mhV5Eg"",""list!A1:C115""),3,TRUE)"),"le secteur de la tech")</f>
        <v xml:space="preserve">le secteur de la tech</v>
      </c>
      <c r="K3937" s="5" t="s">
        <v>28403</v>
      </c>
      <c r="L3937" s="5" t="s">
        <v>28404</v>
      </c>
      <c r="M3937" s="6"/>
      <c r="N3937" s="4" t="s">
        <v>29</v>
      </c>
      <c r="O3937" s="4" t="s">
        <v>28405</v>
      </c>
      <c r="P3937" s="4" t="s">
        <v>29</v>
      </c>
      <c r="Q3937" s="6"/>
      <c r="R3937" s="6"/>
      <c r="S3937" s="6"/>
      <c r="T3937" s="6"/>
      <c r="U3937" s="6"/>
      <c r="V3937" s="6"/>
      <c r="W3937" s="6"/>
      <c r="X3937" s="6"/>
      <c r="Y3937" s="6"/>
      <c r="Z3937" s="6"/>
      <c r="AA3937" s="6"/>
    </row>
    <row r="3938" ht="14.25">
      <c r="B3938" s="4" t="s">
        <v>7525</v>
      </c>
      <c r="C3938" s="4" t="s">
        <v>28406</v>
      </c>
      <c r="D3938" s="4" t="s">
        <v>112</v>
      </c>
      <c r="E3938" s="4" t="s">
        <v>28407</v>
      </c>
      <c r="F3938" s="4" t="str">
        <f>IFERROR(__XLUDF.DUMMYFUNCTION("PROPER(REGEXREPLACE(D343,""[^A-Za-z]+ "",""""))"),"Agence Lafab")</f>
        <v xml:space="preserve">Agence Lafab</v>
      </c>
      <c r="G3938" s="4" t="s">
        <v>28408</v>
      </c>
      <c r="H3938" s="4">
        <v>12</v>
      </c>
      <c r="I3938" s="4" t="s">
        <v>2602</v>
      </c>
      <c r="J3938" s="4" t="str">
        <f>IFERROR(__XLUDF.DUMMYFUNCTION("VLOOKUP(H343,IMPORTRANGE(""https://docs.google.com/spreadsheets/d/1opm6ZNvGZ7KditA9TuJwrZ25eFLfTNIkrNnY6mhV5Eg"",""list!A1:C115""),3,TRUE)"),"le secteur de la tech")</f>
        <v xml:space="preserve">le secteur de la tech</v>
      </c>
      <c r="K3938" s="5" t="s">
        <v>28409</v>
      </c>
      <c r="L3938" s="5" t="s">
        <v>28410</v>
      </c>
      <c r="M3938" s="4" t="s">
        <v>49</v>
      </c>
      <c r="N3938" s="4" t="s">
        <v>29</v>
      </c>
      <c r="O3938" s="4" t="s">
        <v>28411</v>
      </c>
      <c r="P3938" s="4" t="s">
        <v>29</v>
      </c>
      <c r="Q3938" s="4" t="s">
        <v>28412</v>
      </c>
      <c r="R3938" s="6"/>
      <c r="S3938" s="6"/>
      <c r="T3938" s="6"/>
      <c r="U3938" s="6"/>
      <c r="V3938" s="6"/>
      <c r="W3938" s="6"/>
      <c r="X3938" s="6"/>
      <c r="Y3938" s="6"/>
      <c r="Z3938" s="6"/>
      <c r="AA3938" s="6"/>
    </row>
    <row r="3939" ht="14.25">
      <c r="B3939" s="4" t="s">
        <v>110</v>
      </c>
      <c r="C3939" s="4" t="s">
        <v>6237</v>
      </c>
      <c r="D3939" s="4" t="s">
        <v>28413</v>
      </c>
      <c r="E3939" s="4" t="s">
        <v>28414</v>
      </c>
      <c r="F3939" s="4" t="str">
        <f>IFERROR(__XLUDF.DUMMYFUNCTION("PROPER(REGEXREPLACE(D344,""[^A-Za-z]+ "",""""))"),"Prediko")</f>
        <v>Prediko</v>
      </c>
      <c r="G3939" s="4" t="s">
        <v>28415</v>
      </c>
      <c r="H3939" s="4">
        <v>12</v>
      </c>
      <c r="I3939" s="4" t="s">
        <v>2602</v>
      </c>
      <c r="J3939" s="4" t="str">
        <f>IFERROR(__XLUDF.DUMMYFUNCTION("VLOOKUP(H344,IMPORTRANGE(""https://docs.google.com/spreadsheets/d/1opm6ZNvGZ7KditA9TuJwrZ25eFLfTNIkrNnY6mhV5Eg"",""list!A1:C115""),3,TRUE)"),"le secteur de la tech")</f>
        <v xml:space="preserve">le secteur de la tech</v>
      </c>
      <c r="K3939" s="5" t="s">
        <v>28416</v>
      </c>
      <c r="L3939" s="5" t="s">
        <v>28417</v>
      </c>
      <c r="M3939" s="4" t="s">
        <v>39</v>
      </c>
      <c r="N3939" s="4" t="s">
        <v>29</v>
      </c>
      <c r="O3939" s="4" t="s">
        <v>28418</v>
      </c>
      <c r="P3939" s="4" t="s">
        <v>1548</v>
      </c>
      <c r="Q3939" s="4" t="s">
        <v>28419</v>
      </c>
      <c r="R3939" s="6"/>
      <c r="S3939" s="6"/>
      <c r="T3939" s="6"/>
      <c r="U3939" s="6"/>
      <c r="V3939" s="6"/>
      <c r="W3939" s="6"/>
      <c r="X3939" s="6"/>
      <c r="Y3939" s="6"/>
      <c r="Z3939" s="6"/>
      <c r="AA3939" s="6"/>
    </row>
    <row r="3940" ht="14.25">
      <c r="B3940" s="4" t="s">
        <v>5903</v>
      </c>
      <c r="C3940" s="4" t="s">
        <v>1207</v>
      </c>
      <c r="D3940" s="4" t="s">
        <v>28420</v>
      </c>
      <c r="E3940" s="4" t="s">
        <v>28421</v>
      </c>
      <c r="F3940" s="4" t="str">
        <f>IFERROR(__XLUDF.DUMMYFUNCTION("PROPER(REGEXREPLACE(D345,""[^A-Za-z]+ "",""""))"),"Pickmeup")</f>
        <v>Pickmeup</v>
      </c>
      <c r="G3940" s="4" t="s">
        <v>28422</v>
      </c>
      <c r="H3940" s="4">
        <v>10</v>
      </c>
      <c r="I3940" s="4" t="s">
        <v>2602</v>
      </c>
      <c r="J3940" s="4" t="str">
        <f>IFERROR(__XLUDF.DUMMYFUNCTION("VLOOKUP(H345,IMPORTRANGE(""https://docs.google.com/spreadsheets/d/1opm6ZNvGZ7KditA9TuJwrZ25eFLfTNIkrNnY6mhV5Eg"",""list!A1:C115""),3,TRUE)"),"le secteur de la tech")</f>
        <v xml:space="preserve">le secteur de la tech</v>
      </c>
      <c r="K3940" s="5" t="s">
        <v>28423</v>
      </c>
      <c r="L3940" s="5" t="s">
        <v>28424</v>
      </c>
      <c r="M3940" s="4" t="s">
        <v>39</v>
      </c>
      <c r="N3940" s="4" t="s">
        <v>29</v>
      </c>
      <c r="O3940" s="4" t="s">
        <v>28425</v>
      </c>
      <c r="P3940" s="4" t="s">
        <v>29</v>
      </c>
      <c r="Q3940" s="4" t="s">
        <v>28426</v>
      </c>
      <c r="R3940" s="6"/>
      <c r="S3940" s="6"/>
      <c r="T3940" s="6"/>
      <c r="U3940" s="6"/>
      <c r="V3940" s="6"/>
      <c r="W3940" s="6"/>
      <c r="X3940" s="6"/>
      <c r="Y3940" s="6"/>
      <c r="Z3940" s="6"/>
      <c r="AA3940" s="6"/>
    </row>
    <row r="3941" ht="14.25">
      <c r="B3941" s="4" t="s">
        <v>13936</v>
      </c>
      <c r="C3941" s="4" t="s">
        <v>28427</v>
      </c>
      <c r="D3941" s="4" t="s">
        <v>28428</v>
      </c>
      <c r="E3941" s="5" t="s">
        <v>28429</v>
      </c>
      <c r="F3941" s="5" t="str">
        <f>IFERROR(__XLUDF.DUMMYFUNCTION("PROPER(REGEXREPLACE(D346,""[^A-Za-z]+ "",""""))"),"Tchek.Ai")</f>
        <v>Tchek.Ai</v>
      </c>
      <c r="G3941" s="4" t="s">
        <v>28430</v>
      </c>
      <c r="H3941" s="4">
        <v>21</v>
      </c>
      <c r="I3941" s="4" t="s">
        <v>2602</v>
      </c>
      <c r="J3941" s="4" t="str">
        <f>IFERROR(__XLUDF.DUMMYFUNCTION("VLOOKUP(H346,IMPORTRANGE(""https://docs.google.com/spreadsheets/d/1opm6ZNvGZ7KditA9TuJwrZ25eFLfTNIkrNnY6mhV5Eg"",""list!A1:C115""),3,TRUE)"),"le secteur de la tech")</f>
        <v xml:space="preserve">le secteur de la tech</v>
      </c>
      <c r="K3941" s="5" t="s">
        <v>28431</v>
      </c>
      <c r="L3941" s="5" t="s">
        <v>28432</v>
      </c>
      <c r="M3941" s="4" t="s">
        <v>39</v>
      </c>
      <c r="N3941" s="4" t="s">
        <v>29</v>
      </c>
      <c r="O3941" s="4" t="s">
        <v>28433</v>
      </c>
      <c r="P3941" s="4" t="s">
        <v>29</v>
      </c>
      <c r="Q3941" s="4" t="s">
        <v>28434</v>
      </c>
      <c r="R3941" s="6"/>
      <c r="S3941" s="6"/>
      <c r="T3941" s="6"/>
      <c r="U3941" s="6"/>
      <c r="V3941" s="6"/>
      <c r="W3941" s="6"/>
      <c r="X3941" s="6"/>
      <c r="Y3941" s="6"/>
      <c r="Z3941" s="6"/>
      <c r="AA3941" s="6"/>
    </row>
    <row r="3942" ht="14.25">
      <c r="B3942" s="4" t="s">
        <v>769</v>
      </c>
      <c r="C3942" s="4" t="s">
        <v>28435</v>
      </c>
      <c r="D3942" s="4" t="s">
        <v>28436</v>
      </c>
      <c r="E3942" s="4" t="s">
        <v>28437</v>
      </c>
      <c r="F3942" s="4" t="str">
        <f>IFERROR(__XLUDF.DUMMYFUNCTION("PROPER(REGEXREPLACE(D347,""[^A-Za-z]+ "",""""))"),"Pole Star Indoor Positioning")</f>
        <v xml:space="preserve">Pole Star Indoor Positioning</v>
      </c>
      <c r="G3942" s="4" t="s">
        <v>28438</v>
      </c>
      <c r="H3942" s="4">
        <v>22</v>
      </c>
      <c r="I3942" s="4" t="s">
        <v>2602</v>
      </c>
      <c r="J3942" s="4" t="str">
        <f>IFERROR(__XLUDF.DUMMYFUNCTION("VLOOKUP(H347,IMPORTRANGE(""https://docs.google.com/spreadsheets/d/1opm6ZNvGZ7KditA9TuJwrZ25eFLfTNIkrNnY6mhV5Eg"",""list!A1:C115""),3,TRUE)"),"le secteur de la tech")</f>
        <v xml:space="preserve">le secteur de la tech</v>
      </c>
      <c r="K3942" s="5" t="s">
        <v>28439</v>
      </c>
      <c r="L3942" s="5" t="s">
        <v>28440</v>
      </c>
      <c r="M3942" s="6"/>
      <c r="N3942" s="4" t="s">
        <v>29</v>
      </c>
      <c r="O3942" s="4" t="s">
        <v>84</v>
      </c>
      <c r="P3942" s="4" t="s">
        <v>29</v>
      </c>
      <c r="Q3942" s="6"/>
      <c r="R3942" s="6"/>
      <c r="S3942" s="6"/>
      <c r="T3942" s="6"/>
      <c r="U3942" s="6"/>
      <c r="V3942" s="6"/>
      <c r="W3942" s="6"/>
      <c r="X3942" s="6"/>
      <c r="Y3942" s="6"/>
      <c r="Z3942" s="6"/>
      <c r="AA3942" s="6"/>
    </row>
    <row r="3943" ht="14.25">
      <c r="B3943" s="4" t="s">
        <v>1583</v>
      </c>
      <c r="C3943" s="4" t="s">
        <v>28441</v>
      </c>
      <c r="D3943" s="4" t="s">
        <v>5400</v>
      </c>
      <c r="E3943" s="4" t="s">
        <v>28442</v>
      </c>
      <c r="F3943" s="4" t="str">
        <f>IFERROR(__XLUDF.DUMMYFUNCTION("PROPER(REGEXREPLACE(D348,""[^A-Za-z]+ "",""""))"),"Docteur Smart")</f>
        <v xml:space="preserve">Docteur Smart</v>
      </c>
      <c r="G3943" s="4" t="s">
        <v>28443</v>
      </c>
      <c r="H3943" s="4">
        <v>12</v>
      </c>
      <c r="I3943" s="4" t="s">
        <v>2602</v>
      </c>
      <c r="J3943" s="4" t="str">
        <f>IFERROR(__XLUDF.DUMMYFUNCTION("VLOOKUP(H348,IMPORTRANGE(""https://docs.google.com/spreadsheets/d/1opm6ZNvGZ7KditA9TuJwrZ25eFLfTNIkrNnY6mhV5Eg"",""list!A1:C115""),3,TRUE)"),"le secteur de la tech")</f>
        <v xml:space="preserve">le secteur de la tech</v>
      </c>
      <c r="K3943" s="5" t="s">
        <v>28444</v>
      </c>
      <c r="L3943" s="5" t="s">
        <v>28445</v>
      </c>
      <c r="M3943" s="4" t="s">
        <v>295</v>
      </c>
      <c r="N3943" s="4" t="s">
        <v>29</v>
      </c>
      <c r="O3943" s="4" t="s">
        <v>28446</v>
      </c>
      <c r="P3943" s="4" t="s">
        <v>29</v>
      </c>
      <c r="Q3943" s="6"/>
      <c r="R3943" s="6"/>
      <c r="S3943" s="6"/>
      <c r="T3943" s="6"/>
      <c r="U3943" s="6"/>
      <c r="V3943" s="6"/>
      <c r="W3943" s="6"/>
      <c r="X3943" s="6"/>
      <c r="Y3943" s="6"/>
      <c r="Z3943" s="6"/>
      <c r="AA3943" s="6"/>
    </row>
    <row r="3944" ht="14.25">
      <c r="B3944" s="4" t="s">
        <v>178</v>
      </c>
      <c r="C3944" s="4" t="s">
        <v>28447</v>
      </c>
      <c r="D3944" s="4" t="s">
        <v>2911</v>
      </c>
      <c r="E3944" s="5" t="s">
        <v>28448</v>
      </c>
      <c r="F3944" s="5" t="str">
        <f>IFERROR(__XLUDF.DUMMYFUNCTION("PROPER(REGEXREPLACE(D349,""[^A-Za-z]+ "",""""))"),"Skillmapper.Ai")</f>
        <v>Skillmapper.Ai</v>
      </c>
      <c r="G3944" s="4" t="s">
        <v>28449</v>
      </c>
      <c r="H3944" s="4">
        <v>13</v>
      </c>
      <c r="I3944" s="4" t="s">
        <v>2602</v>
      </c>
      <c r="J3944" s="4" t="str">
        <f>IFERROR(__XLUDF.DUMMYFUNCTION("VLOOKUP(H349,IMPORTRANGE(""https://docs.google.com/spreadsheets/d/1opm6ZNvGZ7KditA9TuJwrZ25eFLfTNIkrNnY6mhV5Eg"",""list!A1:C115""),3,TRUE)"),"le secteur de la tech")</f>
        <v xml:space="preserve">le secteur de la tech</v>
      </c>
      <c r="K3944" s="5" t="s">
        <v>28450</v>
      </c>
      <c r="L3944" s="5" t="s">
        <v>28451</v>
      </c>
      <c r="M3944" s="4" t="s">
        <v>185</v>
      </c>
      <c r="N3944" s="4" t="s">
        <v>29</v>
      </c>
      <c r="O3944" s="4" t="s">
        <v>67</v>
      </c>
      <c r="P3944" s="4" t="s">
        <v>29</v>
      </c>
      <c r="Q3944" s="4" t="s">
        <v>28452</v>
      </c>
      <c r="R3944" s="6"/>
      <c r="S3944" s="6"/>
      <c r="T3944" s="6"/>
      <c r="U3944" s="6"/>
      <c r="V3944" s="6"/>
      <c r="W3944" s="6"/>
      <c r="X3944" s="6"/>
      <c r="Y3944" s="6"/>
      <c r="Z3944" s="6"/>
      <c r="AA3944" s="6"/>
    </row>
    <row r="3945" ht="14.25">
      <c r="B3945" s="4" t="s">
        <v>28453</v>
      </c>
      <c r="C3945" s="4" t="s">
        <v>2105</v>
      </c>
      <c r="D3945" s="4" t="s">
        <v>87</v>
      </c>
      <c r="E3945" s="4" t="s">
        <v>28454</v>
      </c>
      <c r="F3945" s="4" t="str">
        <f>IFERROR(__XLUDF.DUMMYFUNCTION("PROPER(REGEXREPLACE(D350,""[^A-Za-z]+ "",""""))"),"Ondorse")</f>
        <v>Ondorse</v>
      </c>
      <c r="G3945" s="4" t="s">
        <v>28455</v>
      </c>
      <c r="H3945" s="4">
        <v>19</v>
      </c>
      <c r="I3945" s="4" t="s">
        <v>2602</v>
      </c>
      <c r="J3945" s="4" t="str">
        <f>IFERROR(__XLUDF.DUMMYFUNCTION("VLOOKUP(H350,IMPORTRANGE(""https://docs.google.com/spreadsheets/d/1opm6ZNvGZ7KditA9TuJwrZ25eFLfTNIkrNnY6mhV5Eg"",""list!A1:C115""),3,TRUE)"),"le secteur de la tech")</f>
        <v xml:space="preserve">le secteur de la tech</v>
      </c>
      <c r="K3945" s="5" t="s">
        <v>28456</v>
      </c>
      <c r="L3945" s="5" t="s">
        <v>28457</v>
      </c>
      <c r="M3945" s="4" t="s">
        <v>39</v>
      </c>
      <c r="N3945" s="4" t="s">
        <v>29</v>
      </c>
      <c r="O3945" s="4" t="s">
        <v>28458</v>
      </c>
      <c r="P3945" s="4" t="s">
        <v>29</v>
      </c>
      <c r="Q3945" s="4" t="s">
        <v>28459</v>
      </c>
      <c r="R3945" s="6"/>
      <c r="S3945" s="6"/>
      <c r="T3945" s="6"/>
      <c r="U3945" s="6"/>
      <c r="V3945" s="6"/>
      <c r="W3945" s="6"/>
      <c r="X3945" s="6"/>
      <c r="Y3945" s="6"/>
      <c r="Z3945" s="6"/>
      <c r="AA3945" s="6"/>
    </row>
    <row r="3946" ht="14.25">
      <c r="B3946" s="4" t="s">
        <v>1153</v>
      </c>
      <c r="C3946" s="4" t="s">
        <v>28460</v>
      </c>
      <c r="D3946" s="4" t="s">
        <v>28461</v>
      </c>
      <c r="E3946" s="5" t="s">
        <v>28462</v>
      </c>
      <c r="F3946" s="5" t="str">
        <f>IFERROR(__XLUDF.DUMMYFUNCTION("PROPER(REGEXREPLACE(D351,""[^A-Za-z]+ "",""""))"),"Belive.Ai")</f>
        <v>Belive.Ai</v>
      </c>
      <c r="G3946" s="4" t="s">
        <v>28463</v>
      </c>
      <c r="H3946" s="4">
        <v>47</v>
      </c>
      <c r="I3946" s="4" t="s">
        <v>2602</v>
      </c>
      <c r="J3946" s="4" t="str">
        <f>IFERROR(__XLUDF.DUMMYFUNCTION("VLOOKUP(H351,IMPORTRANGE(""https://docs.google.com/spreadsheets/d/1opm6ZNvGZ7KditA9TuJwrZ25eFLfTNIkrNnY6mhV5Eg"",""list!A1:C115""),3,TRUE)"),"le secteur de la tech")</f>
        <v xml:space="preserve">le secteur de la tech</v>
      </c>
      <c r="K3946" s="5" t="s">
        <v>28464</v>
      </c>
      <c r="L3946" s="5" t="s">
        <v>28465</v>
      </c>
      <c r="M3946" s="4" t="s">
        <v>39</v>
      </c>
      <c r="N3946" s="4" t="s">
        <v>29</v>
      </c>
      <c r="O3946" s="4" t="s">
        <v>28466</v>
      </c>
      <c r="P3946" s="4" t="s">
        <v>29</v>
      </c>
      <c r="Q3946" s="4" t="s">
        <v>28467</v>
      </c>
      <c r="R3946" s="6"/>
      <c r="S3946" s="6"/>
      <c r="T3946" s="6"/>
      <c r="U3946" s="6"/>
      <c r="V3946" s="6"/>
      <c r="W3946" s="6"/>
      <c r="X3946" s="6"/>
      <c r="Y3946" s="6"/>
      <c r="Z3946" s="6"/>
      <c r="AA3946" s="6"/>
    </row>
    <row r="3947" ht="14.25">
      <c r="B3947" s="4" t="s">
        <v>206</v>
      </c>
      <c r="C3947" s="4" t="s">
        <v>28468</v>
      </c>
      <c r="D3947" s="4" t="s">
        <v>62</v>
      </c>
      <c r="E3947" s="4" t="s">
        <v>27437</v>
      </c>
      <c r="F3947" s="4" t="str">
        <f>IFERROR(__XLUDF.DUMMYFUNCTION("PROPER(REGEXREPLACE(D352,""[^A-Za-z]+ "",""""))"),"Code Busters")</f>
        <v xml:space="preserve">Code Busters</v>
      </c>
      <c r="G3947" s="4" t="s">
        <v>28469</v>
      </c>
      <c r="H3947" s="4">
        <v>46</v>
      </c>
      <c r="I3947" s="4" t="s">
        <v>2602</v>
      </c>
      <c r="J3947" s="4" t="str">
        <f>IFERROR(__XLUDF.DUMMYFUNCTION("VLOOKUP(H352,IMPORTRANGE(""https://docs.google.com/spreadsheets/d/1opm6ZNvGZ7KditA9TuJwrZ25eFLfTNIkrNnY6mhV5Eg"",""list!A1:C115""),3,TRUE)"),"le secteur de la tech")</f>
        <v xml:space="preserve">le secteur de la tech</v>
      </c>
      <c r="K3947" s="5" t="s">
        <v>28470</v>
      </c>
      <c r="L3947" s="5" t="s">
        <v>27440</v>
      </c>
      <c r="M3947" s="6"/>
      <c r="N3947" s="4" t="s">
        <v>29</v>
      </c>
      <c r="O3947" s="4" t="s">
        <v>4649</v>
      </c>
      <c r="P3947" s="4" t="s">
        <v>29</v>
      </c>
      <c r="Q3947" s="6"/>
      <c r="R3947" s="6"/>
      <c r="S3947" s="6"/>
      <c r="T3947" s="6"/>
      <c r="U3947" s="6"/>
      <c r="V3947" s="6"/>
      <c r="W3947" s="6"/>
      <c r="X3947" s="6"/>
      <c r="Y3947" s="6"/>
      <c r="Z3947" s="6"/>
      <c r="AA3947" s="6"/>
    </row>
    <row r="3948" ht="14.25">
      <c r="B3948" s="4" t="s">
        <v>110</v>
      </c>
      <c r="C3948" s="4" t="s">
        <v>28471</v>
      </c>
      <c r="D3948" s="4" t="s">
        <v>28472</v>
      </c>
      <c r="E3948" s="4" t="s">
        <v>28473</v>
      </c>
      <c r="F3948" s="4" t="str">
        <f>IFERROR(__XLUDF.DUMMYFUNCTION("PROPER(REGEXREPLACE(D353,""[^A-Za-z]+ "",""""))"),"Dishop")</f>
        <v>Dishop</v>
      </c>
      <c r="G3948" s="4" t="s">
        <v>28474</v>
      </c>
      <c r="H3948" s="4">
        <v>13</v>
      </c>
      <c r="I3948" s="4" t="s">
        <v>2602</v>
      </c>
      <c r="J3948" s="4" t="str">
        <f>IFERROR(__XLUDF.DUMMYFUNCTION("VLOOKUP(H353,IMPORTRANGE(""https://docs.google.com/spreadsheets/d/1opm6ZNvGZ7KditA9TuJwrZ25eFLfTNIkrNnY6mhV5Eg"",""list!A1:C115""),3,TRUE)"),"le secteur de la tech")</f>
        <v xml:space="preserve">le secteur de la tech</v>
      </c>
      <c r="K3948" s="5" t="s">
        <v>28475</v>
      </c>
      <c r="L3948" s="5" t="s">
        <v>28476</v>
      </c>
      <c r="M3948" s="4" t="s">
        <v>49</v>
      </c>
      <c r="N3948" s="4" t="s">
        <v>29</v>
      </c>
      <c r="O3948" s="4" t="s">
        <v>416</v>
      </c>
      <c r="P3948" s="4" t="s">
        <v>29</v>
      </c>
      <c r="Q3948" s="4" t="s">
        <v>28477</v>
      </c>
      <c r="R3948" s="6"/>
      <c r="S3948" s="6"/>
      <c r="T3948" s="6"/>
      <c r="U3948" s="6"/>
      <c r="V3948" s="6"/>
      <c r="W3948" s="6"/>
      <c r="X3948" s="6"/>
      <c r="Y3948" s="6"/>
      <c r="Z3948" s="6"/>
      <c r="AA3948" s="6"/>
    </row>
    <row r="3949" ht="14.25">
      <c r="B3949" s="4" t="s">
        <v>24071</v>
      </c>
      <c r="C3949" s="4" t="s">
        <v>28478</v>
      </c>
      <c r="D3949" s="4" t="s">
        <v>62</v>
      </c>
      <c r="E3949" s="4" t="s">
        <v>27483</v>
      </c>
      <c r="F3949" s="4" t="str">
        <f>IFERROR(__XLUDF.DUMMYFUNCTION("PROPER(REGEXREPLACE(D354,""[^A-Za-z]+ "",""""))"),"Datakeen")</f>
        <v>Datakeen</v>
      </c>
      <c r="G3949" s="4" t="s">
        <v>28479</v>
      </c>
      <c r="H3949" s="4">
        <v>10</v>
      </c>
      <c r="I3949" s="4" t="s">
        <v>2602</v>
      </c>
      <c r="J3949" s="4" t="str">
        <f>IFERROR(__XLUDF.DUMMYFUNCTION("VLOOKUP(H354,IMPORTRANGE(""https://docs.google.com/spreadsheets/d/1opm6ZNvGZ7KditA9TuJwrZ25eFLfTNIkrNnY6mhV5Eg"",""list!A1:C115""),3,TRUE)"),"le secteur de la tech")</f>
        <v xml:space="preserve">le secteur de la tech</v>
      </c>
      <c r="K3949" s="5" t="s">
        <v>28480</v>
      </c>
      <c r="L3949" s="5" t="s">
        <v>27486</v>
      </c>
      <c r="M3949" s="4" t="s">
        <v>39</v>
      </c>
      <c r="N3949" s="4" t="s">
        <v>29</v>
      </c>
      <c r="O3949" s="4" t="s">
        <v>23888</v>
      </c>
      <c r="P3949" s="4" t="s">
        <v>29</v>
      </c>
      <c r="Q3949" s="4" t="s">
        <v>27487</v>
      </c>
      <c r="R3949" s="6"/>
      <c r="S3949" s="6"/>
      <c r="T3949" s="6"/>
      <c r="U3949" s="6"/>
      <c r="V3949" s="6"/>
      <c r="W3949" s="6"/>
      <c r="X3949" s="6"/>
      <c r="Y3949" s="6"/>
      <c r="Z3949" s="6"/>
      <c r="AA3949" s="6"/>
    </row>
    <row r="3950" ht="14.25">
      <c r="B3950" s="4" t="s">
        <v>279</v>
      </c>
      <c r="C3950" s="4" t="s">
        <v>28481</v>
      </c>
      <c r="D3950" s="4" t="s">
        <v>87</v>
      </c>
      <c r="E3950" s="4" t="s">
        <v>28482</v>
      </c>
      <c r="F3950" s="4" t="str">
        <f>IFERROR(__XLUDF.DUMMYFUNCTION("PROPER(REGEXREPLACE(D355,""[^A-Za-z]+ "",""""))"),"4Dviews")</f>
        <v>4Dviews</v>
      </c>
      <c r="G3950" s="4" t="s">
        <v>28483</v>
      </c>
      <c r="H3950" s="4">
        <v>11</v>
      </c>
      <c r="I3950" s="4" t="s">
        <v>2602</v>
      </c>
      <c r="J3950" s="4" t="str">
        <f>IFERROR(__XLUDF.DUMMYFUNCTION("VLOOKUP(H355,IMPORTRANGE(""https://docs.google.com/spreadsheets/d/1opm6ZNvGZ7KditA9TuJwrZ25eFLfTNIkrNnY6mhV5Eg"",""list!A1:C115""),3,TRUE)"),"le secteur de la tech")</f>
        <v xml:space="preserve">le secteur de la tech</v>
      </c>
      <c r="K3950" s="5" t="s">
        <v>28484</v>
      </c>
      <c r="L3950" s="5" t="s">
        <v>28485</v>
      </c>
      <c r="M3950" s="4" t="s">
        <v>1507</v>
      </c>
      <c r="N3950" s="4" t="s">
        <v>29</v>
      </c>
      <c r="O3950" s="4" t="s">
        <v>1508</v>
      </c>
      <c r="P3950" s="4" t="s">
        <v>29</v>
      </c>
      <c r="Q3950" s="6"/>
      <c r="R3950" s="6"/>
      <c r="S3950" s="6"/>
      <c r="T3950" s="6"/>
      <c r="U3950" s="6"/>
      <c r="V3950" s="6"/>
      <c r="W3950" s="6"/>
      <c r="X3950" s="6"/>
      <c r="Y3950" s="6"/>
      <c r="Z3950" s="6"/>
      <c r="AA3950" s="6"/>
    </row>
    <row r="3951" ht="14.25">
      <c r="B3951" s="4" t="s">
        <v>28486</v>
      </c>
      <c r="C3951" s="4" t="s">
        <v>28487</v>
      </c>
      <c r="D3951" s="4" t="s">
        <v>28488</v>
      </c>
      <c r="E3951" s="4" t="s">
        <v>28489</v>
      </c>
      <c r="F3951" s="4" t="str">
        <f>IFERROR(__XLUDF.DUMMYFUNCTION("PROPER(REGEXREPLACE(D356,""[^A-Za-z]+ "",""""))"),"Impacti")</f>
        <v>Impacti</v>
      </c>
      <c r="G3951" s="4" t="s">
        <v>28490</v>
      </c>
      <c r="H3951" s="4">
        <v>8</v>
      </c>
      <c r="I3951" s="4" t="s">
        <v>2602</v>
      </c>
      <c r="J3951" s="4" t="str">
        <f>IFERROR(__XLUDF.DUMMYFUNCTION("VLOOKUP(H356,IMPORTRANGE(""https://docs.google.com/spreadsheets/d/1opm6ZNvGZ7KditA9TuJwrZ25eFLfTNIkrNnY6mhV5Eg"",""list!A1:C115""),3,TRUE)"),"le secteur de la tech")</f>
        <v xml:space="preserve">le secteur de la tech</v>
      </c>
      <c r="K3951" s="5" t="s">
        <v>28491</v>
      </c>
      <c r="L3951" s="5" t="s">
        <v>28492</v>
      </c>
      <c r="M3951" s="6"/>
      <c r="N3951" s="4" t="s">
        <v>29</v>
      </c>
      <c r="O3951" s="4" t="s">
        <v>17766</v>
      </c>
      <c r="P3951" s="4" t="s">
        <v>1261</v>
      </c>
      <c r="Q3951" s="4" t="s">
        <v>28493</v>
      </c>
      <c r="R3951" s="6"/>
      <c r="S3951" s="6"/>
      <c r="T3951" s="6"/>
      <c r="U3951" s="6"/>
      <c r="V3951" s="6"/>
      <c r="W3951" s="6"/>
      <c r="X3951" s="6"/>
      <c r="Y3951" s="6"/>
      <c r="Z3951" s="6"/>
      <c r="AA3951" s="6"/>
    </row>
    <row r="3952" ht="14.25">
      <c r="B3952" s="4" t="s">
        <v>110</v>
      </c>
      <c r="C3952" s="4" t="s">
        <v>28494</v>
      </c>
      <c r="D3952" s="4" t="s">
        <v>20235</v>
      </c>
      <c r="E3952" s="4" t="s">
        <v>28495</v>
      </c>
      <c r="F3952" s="4" t="str">
        <f>IFERROR(__XLUDF.DUMMYFUNCTION("PROPER(REGEXREPLACE(D357,""[^A-Za-z]+ "",""""))"),"E-Labor Conseil")</f>
        <v xml:space="preserve">E-Labor Conseil</v>
      </c>
      <c r="G3952" s="4" t="s">
        <v>28496</v>
      </c>
      <c r="H3952" s="4">
        <v>13</v>
      </c>
      <c r="I3952" s="4" t="s">
        <v>2602</v>
      </c>
      <c r="J3952" s="4" t="str">
        <f>IFERROR(__XLUDF.DUMMYFUNCTION("VLOOKUP(H357,IMPORTRANGE(""https://docs.google.com/spreadsheets/d/1opm6ZNvGZ7KditA9TuJwrZ25eFLfTNIkrNnY6mhV5Eg"",""list!A1:C115""),3,TRUE)"),"le secteur de la tech")</f>
        <v xml:space="preserve">le secteur de la tech</v>
      </c>
      <c r="K3952" s="5" t="s">
        <v>28497</v>
      </c>
      <c r="L3952" s="5" t="s">
        <v>28498</v>
      </c>
      <c r="M3952" s="6"/>
      <c r="N3952" s="4" t="s">
        <v>29</v>
      </c>
      <c r="O3952" s="4" t="s">
        <v>28499</v>
      </c>
      <c r="P3952" s="4" t="s">
        <v>29</v>
      </c>
      <c r="Q3952" s="4" t="s">
        <v>28500</v>
      </c>
      <c r="R3952" s="6"/>
      <c r="S3952" s="6"/>
      <c r="T3952" s="6"/>
      <c r="U3952" s="6"/>
      <c r="V3952" s="6"/>
      <c r="W3952" s="6"/>
      <c r="X3952" s="6"/>
      <c r="Y3952" s="6"/>
      <c r="Z3952" s="6"/>
      <c r="AA3952" s="6"/>
    </row>
    <row r="3953" ht="14.25">
      <c r="B3953" s="4" t="s">
        <v>28501</v>
      </c>
      <c r="C3953" s="4" t="s">
        <v>28502</v>
      </c>
      <c r="D3953" s="4" t="s">
        <v>18553</v>
      </c>
      <c r="E3953" s="4" t="s">
        <v>28503</v>
      </c>
      <c r="F3953" s="4" t="str">
        <f>IFERROR(__XLUDF.DUMMYFUNCTION("PROPER(REGEXREPLACE(D358,""[^A-Za-z]+ "",""""))"),"Cadmore Media")</f>
        <v xml:space="preserve">Cadmore Media</v>
      </c>
      <c r="G3953" s="4" t="s">
        <v>28504</v>
      </c>
      <c r="H3953" s="4">
        <v>17</v>
      </c>
      <c r="I3953" s="4" t="s">
        <v>2602</v>
      </c>
      <c r="J3953" s="4" t="str">
        <f>IFERROR(__XLUDF.DUMMYFUNCTION("VLOOKUP(H358,IMPORTRANGE(""https://docs.google.com/spreadsheets/d/1opm6ZNvGZ7KditA9TuJwrZ25eFLfTNIkrNnY6mhV5Eg"",""list!A1:C115""),3,TRUE)"),"le secteur de la tech")</f>
        <v xml:space="preserve">le secteur de la tech</v>
      </c>
      <c r="K3953" s="5" t="s">
        <v>28505</v>
      </c>
      <c r="L3953" s="5" t="s">
        <v>28506</v>
      </c>
      <c r="M3953" s="4" t="s">
        <v>16341</v>
      </c>
      <c r="N3953" s="4" t="s">
        <v>29</v>
      </c>
      <c r="O3953" s="4" t="s">
        <v>28507</v>
      </c>
      <c r="P3953" s="4" t="s">
        <v>1261</v>
      </c>
      <c r="Q3953" s="4" t="s">
        <v>28508</v>
      </c>
      <c r="R3953" s="6"/>
      <c r="S3953" s="6"/>
      <c r="T3953" s="6"/>
      <c r="U3953" s="6"/>
      <c r="V3953" s="6"/>
      <c r="W3953" s="6"/>
      <c r="X3953" s="6"/>
      <c r="Y3953" s="6"/>
      <c r="Z3953" s="6"/>
      <c r="AA3953" s="6"/>
    </row>
    <row r="3954" ht="14.25">
      <c r="B3954" s="4" t="s">
        <v>1667</v>
      </c>
      <c r="C3954" s="4" t="s">
        <v>28509</v>
      </c>
      <c r="D3954" s="4" t="s">
        <v>672</v>
      </c>
      <c r="E3954" s="4" t="s">
        <v>28510</v>
      </c>
      <c r="F3954" s="4" t="str">
        <f>IFERROR(__XLUDF.DUMMYFUNCTION("PROPER(REGEXREPLACE(D359,""[^A-Za-z]+ "",""""))"),"Macartevacances")</f>
        <v>Macartevacances</v>
      </c>
      <c r="G3954" s="4" t="s">
        <v>28511</v>
      </c>
      <c r="H3954" s="4">
        <v>20</v>
      </c>
      <c r="I3954" s="4" t="s">
        <v>2602</v>
      </c>
      <c r="J3954" s="4" t="str">
        <f>IFERROR(__XLUDF.DUMMYFUNCTION("VLOOKUP(H359,IMPORTRANGE(""https://docs.google.com/spreadsheets/d/1opm6ZNvGZ7KditA9TuJwrZ25eFLfTNIkrNnY6mhV5Eg"",""list!A1:C115""),3,TRUE)"),"le secteur de la tech")</f>
        <v xml:space="preserve">le secteur de la tech</v>
      </c>
      <c r="K3954" s="5" t="s">
        <v>28512</v>
      </c>
      <c r="L3954" s="5" t="s">
        <v>28513</v>
      </c>
      <c r="M3954" s="4" t="s">
        <v>39</v>
      </c>
      <c r="N3954" s="4" t="s">
        <v>29</v>
      </c>
      <c r="O3954" s="4" t="s">
        <v>24076</v>
      </c>
      <c r="P3954" s="4" t="s">
        <v>29</v>
      </c>
      <c r="Q3954" s="4" t="s">
        <v>28514</v>
      </c>
      <c r="R3954" s="6"/>
      <c r="S3954" s="6"/>
      <c r="T3954" s="6"/>
      <c r="U3954" s="6"/>
      <c r="V3954" s="6"/>
      <c r="W3954" s="6"/>
      <c r="X3954" s="6"/>
      <c r="Y3954" s="6"/>
      <c r="Z3954" s="6"/>
      <c r="AA3954" s="6"/>
    </row>
    <row r="3955" ht="14.25">
      <c r="B3955" s="4" t="s">
        <v>4341</v>
      </c>
      <c r="C3955" s="4" t="s">
        <v>28515</v>
      </c>
      <c r="D3955" s="4" t="s">
        <v>230</v>
      </c>
      <c r="E3955" s="4" t="s">
        <v>28516</v>
      </c>
      <c r="F3955" s="4" t="str">
        <f>IFERROR(__XLUDF.DUMMYFUNCTION("PROPER(REGEXREPLACE(D360,""[^A-Za-z]+ "",""""))"),"Scaledynamics")</f>
        <v>Scaledynamics</v>
      </c>
      <c r="G3955" s="4" t="s">
        <v>28517</v>
      </c>
      <c r="H3955" s="4">
        <v>12</v>
      </c>
      <c r="I3955" s="4" t="s">
        <v>2602</v>
      </c>
      <c r="J3955" s="4" t="str">
        <f>IFERROR(__XLUDF.DUMMYFUNCTION("VLOOKUP(H360,IMPORTRANGE(""https://docs.google.com/spreadsheets/d/1opm6ZNvGZ7KditA9TuJwrZ25eFLfTNIkrNnY6mhV5Eg"",""list!A1:C115""),3,TRUE)"),"le secteur de la tech")</f>
        <v xml:space="preserve">le secteur de la tech</v>
      </c>
      <c r="K3955" s="5" t="s">
        <v>28518</v>
      </c>
      <c r="L3955" s="5" t="s">
        <v>28519</v>
      </c>
      <c r="M3955" s="4" t="s">
        <v>1826</v>
      </c>
      <c r="N3955" s="4" t="s">
        <v>29</v>
      </c>
      <c r="O3955" s="4" t="s">
        <v>28520</v>
      </c>
      <c r="P3955" s="4" t="s">
        <v>29</v>
      </c>
      <c r="Q3955" s="4" t="s">
        <v>28521</v>
      </c>
      <c r="R3955" s="6"/>
      <c r="S3955" s="6"/>
      <c r="T3955" s="6"/>
      <c r="U3955" s="6"/>
      <c r="V3955" s="6"/>
      <c r="W3955" s="6"/>
      <c r="X3955" s="6"/>
      <c r="Y3955" s="6"/>
      <c r="Z3955" s="6"/>
      <c r="AA3955" s="6"/>
    </row>
    <row r="3956" ht="14.25">
      <c r="B3956" s="4" t="s">
        <v>298</v>
      </c>
      <c r="C3956" s="4" t="s">
        <v>28522</v>
      </c>
      <c r="D3956" s="4" t="s">
        <v>87</v>
      </c>
      <c r="E3956" s="4" t="s">
        <v>28523</v>
      </c>
      <c r="F3956" s="4" t="str">
        <f>IFERROR(__XLUDF.DUMMYFUNCTION("PROPER(REGEXREPLACE(D361,""[^A-Za-z]+ "",""""))"),"Alit")</f>
        <v>Alit</v>
      </c>
      <c r="G3956" s="4" t="s">
        <v>28524</v>
      </c>
      <c r="H3956" s="4">
        <v>12</v>
      </c>
      <c r="I3956" s="4" t="s">
        <v>2602</v>
      </c>
      <c r="J3956" s="4" t="str">
        <f>IFERROR(__XLUDF.DUMMYFUNCTION("VLOOKUP(H361,IMPORTRANGE(""https://docs.google.com/spreadsheets/d/1opm6ZNvGZ7KditA9TuJwrZ25eFLfTNIkrNnY6mhV5Eg"",""list!A1:C115""),3,TRUE)"),"le secteur de la tech")</f>
        <v xml:space="preserve">le secteur de la tech</v>
      </c>
      <c r="K3956" s="5" t="s">
        <v>28525</v>
      </c>
      <c r="L3956" s="5" t="s">
        <v>28526</v>
      </c>
      <c r="M3956" s="4" t="s">
        <v>39</v>
      </c>
      <c r="N3956" s="4" t="s">
        <v>29</v>
      </c>
      <c r="O3956" s="4" t="s">
        <v>28527</v>
      </c>
      <c r="P3956" s="4" t="s">
        <v>4318</v>
      </c>
      <c r="Q3956" s="6"/>
      <c r="R3956" s="6"/>
      <c r="S3956" s="6"/>
      <c r="T3956" s="6"/>
      <c r="U3956" s="6"/>
      <c r="V3956" s="6"/>
      <c r="W3956" s="6"/>
      <c r="X3956" s="6"/>
      <c r="Y3956" s="6"/>
      <c r="Z3956" s="6"/>
      <c r="AA3956" s="6"/>
    </row>
    <row r="3957" ht="14.25">
      <c r="B3957" s="4" t="s">
        <v>28528</v>
      </c>
      <c r="C3957" s="4" t="s">
        <v>28529</v>
      </c>
      <c r="D3957" s="4" t="s">
        <v>503</v>
      </c>
      <c r="E3957" s="4" t="s">
        <v>24815</v>
      </c>
      <c r="F3957" s="4" t="str">
        <f>IFERROR(__XLUDF.DUMMYFUNCTION("PROPER(REGEXREPLACE(D362,""[^A-Za-z]+ "",""""))"),"Ornidex")</f>
        <v>Ornidex</v>
      </c>
      <c r="G3957" s="4" t="s">
        <v>28530</v>
      </c>
      <c r="H3957" s="4">
        <v>15</v>
      </c>
      <c r="I3957" s="4" t="s">
        <v>2602</v>
      </c>
      <c r="J3957" s="4" t="str">
        <f>IFERROR(__XLUDF.DUMMYFUNCTION("VLOOKUP(H362,IMPORTRANGE(""https://docs.google.com/spreadsheets/d/1opm6ZNvGZ7KditA9TuJwrZ25eFLfTNIkrNnY6mhV5Eg"",""list!A1:C115""),3,TRUE)"),"le secteur de la tech")</f>
        <v xml:space="preserve">le secteur de la tech</v>
      </c>
      <c r="K3957" s="5" t="s">
        <v>28531</v>
      </c>
      <c r="L3957" s="5" t="s">
        <v>24818</v>
      </c>
      <c r="M3957" s="4" t="s">
        <v>39</v>
      </c>
      <c r="N3957" s="4" t="s">
        <v>29</v>
      </c>
      <c r="O3957" s="4" t="s">
        <v>19317</v>
      </c>
      <c r="P3957" s="4" t="s">
        <v>29</v>
      </c>
      <c r="Q3957" s="4" t="s">
        <v>24819</v>
      </c>
      <c r="R3957" s="6"/>
      <c r="S3957" s="6"/>
      <c r="T3957" s="6"/>
      <c r="U3957" s="6"/>
      <c r="V3957" s="6"/>
      <c r="W3957" s="6"/>
      <c r="X3957" s="6"/>
      <c r="Y3957" s="6"/>
      <c r="Z3957" s="6"/>
      <c r="AA3957" s="6"/>
    </row>
    <row r="3958" ht="14.25">
      <c r="B3958" s="4" t="s">
        <v>1198</v>
      </c>
      <c r="C3958" s="4" t="s">
        <v>28532</v>
      </c>
      <c r="D3958" s="4" t="s">
        <v>468</v>
      </c>
      <c r="E3958" s="4" t="s">
        <v>28533</v>
      </c>
      <c r="F3958" s="4" t="str">
        <f>IFERROR(__XLUDF.DUMMYFUNCTION("PROPER(REGEXREPLACE(D363,""[^A-Za-z]+ "",""""))"),"@Gp_Atgp")</f>
        <v>@Gp_Atgp</v>
      </c>
      <c r="G3958" s="4" t="s">
        <v>28534</v>
      </c>
      <c r="H3958" s="4">
        <v>39</v>
      </c>
      <c r="I3958" s="4" t="s">
        <v>2602</v>
      </c>
      <c r="J3958" s="4" t="str">
        <f>IFERROR(__XLUDF.DUMMYFUNCTION("VLOOKUP(H363,IMPORTRANGE(""https://docs.google.com/spreadsheets/d/1opm6ZNvGZ7KditA9TuJwrZ25eFLfTNIkrNnY6mhV5Eg"",""list!A1:C115""),3,TRUE)"),"le secteur de la tech")</f>
        <v xml:space="preserve">le secteur de la tech</v>
      </c>
      <c r="K3958" s="5" t="s">
        <v>28535</v>
      </c>
      <c r="L3958" s="5" t="s">
        <v>28536</v>
      </c>
      <c r="M3958" s="6"/>
      <c r="N3958" s="4" t="s">
        <v>29</v>
      </c>
      <c r="O3958" s="4" t="s">
        <v>28537</v>
      </c>
      <c r="P3958" s="4" t="s">
        <v>29</v>
      </c>
      <c r="Q3958" s="4" t="s">
        <v>28538</v>
      </c>
      <c r="R3958" s="6"/>
      <c r="S3958" s="6"/>
      <c r="T3958" s="6"/>
      <c r="U3958" s="6"/>
      <c r="V3958" s="6"/>
      <c r="W3958" s="6"/>
      <c r="X3958" s="6"/>
      <c r="Y3958" s="6"/>
      <c r="Z3958" s="6"/>
      <c r="AA3958" s="6"/>
    </row>
    <row r="3959" ht="14.25">
      <c r="B3959" s="4" t="s">
        <v>28539</v>
      </c>
      <c r="C3959" s="4" t="s">
        <v>28540</v>
      </c>
      <c r="D3959" s="4" t="s">
        <v>44</v>
      </c>
      <c r="E3959" s="4" t="s">
        <v>28541</v>
      </c>
      <c r="F3959" s="4" t="str">
        <f>IFERROR(__XLUDF.DUMMYFUNCTION("PROPER(REGEXREPLACE(D364,""[^A-Za-z]+ "",""""))"),"Amps")</f>
        <v>Amps</v>
      </c>
      <c r="G3959" s="4" t="s">
        <v>28542</v>
      </c>
      <c r="H3959" s="4">
        <v>9</v>
      </c>
      <c r="I3959" s="4" t="s">
        <v>2602</v>
      </c>
      <c r="J3959" s="4" t="str">
        <f>IFERROR(__XLUDF.DUMMYFUNCTION("VLOOKUP(H364,IMPORTRANGE(""https://docs.google.com/spreadsheets/d/1opm6ZNvGZ7KditA9TuJwrZ25eFLfTNIkrNnY6mhV5Eg"",""list!A1:C115""),3,TRUE)"),"le secteur de la tech")</f>
        <v xml:space="preserve">le secteur de la tech</v>
      </c>
      <c r="K3959" s="5" t="s">
        <v>28543</v>
      </c>
      <c r="L3959" s="5" t="s">
        <v>28544</v>
      </c>
      <c r="M3959" s="4" t="s">
        <v>39</v>
      </c>
      <c r="N3959" s="4" t="s">
        <v>29</v>
      </c>
      <c r="O3959" s="4" t="s">
        <v>17766</v>
      </c>
      <c r="P3959" s="4" t="s">
        <v>1261</v>
      </c>
      <c r="Q3959" s="4" t="s">
        <v>28545</v>
      </c>
      <c r="R3959" s="6"/>
      <c r="S3959" s="6"/>
      <c r="T3959" s="6"/>
      <c r="U3959" s="6"/>
      <c r="V3959" s="6"/>
      <c r="W3959" s="6"/>
      <c r="X3959" s="6"/>
      <c r="Y3959" s="6"/>
      <c r="Z3959" s="6"/>
      <c r="AA3959" s="6"/>
    </row>
    <row r="3960" ht="14.25">
      <c r="B3960" s="4" t="s">
        <v>28546</v>
      </c>
      <c r="C3960" s="4" t="s">
        <v>28547</v>
      </c>
      <c r="D3960" s="4" t="s">
        <v>2636</v>
      </c>
      <c r="E3960" s="4" t="s">
        <v>28548</v>
      </c>
      <c r="F3960" s="4" t="str">
        <f>IFERROR(__XLUDF.DUMMYFUNCTION("PROPER(REGEXREPLACE(D365,""[^A-Za-z]+ "",""""))"),"Junior Conseil Utt")</f>
        <v xml:space="preserve">Junior Conseil Utt</v>
      </c>
      <c r="G3960" s="4" t="s">
        <v>28549</v>
      </c>
      <c r="H3960" s="4">
        <v>22</v>
      </c>
      <c r="I3960" s="4" t="s">
        <v>2602</v>
      </c>
      <c r="J3960" s="4" t="str">
        <f>IFERROR(__XLUDF.DUMMYFUNCTION("VLOOKUP(H365,IMPORTRANGE(""https://docs.google.com/spreadsheets/d/1opm6ZNvGZ7KditA9TuJwrZ25eFLfTNIkrNnY6mhV5Eg"",""list!A1:C115""),3,TRUE)"),"le secteur de la tech")</f>
        <v xml:space="preserve">le secteur de la tech</v>
      </c>
      <c r="K3960" s="5" t="s">
        <v>28550</v>
      </c>
      <c r="L3960" s="5" t="s">
        <v>28551</v>
      </c>
      <c r="M3960" s="4" t="s">
        <v>11749</v>
      </c>
      <c r="N3960" s="4" t="s">
        <v>29</v>
      </c>
      <c r="O3960" s="4" t="s">
        <v>28552</v>
      </c>
      <c r="P3960" s="4" t="s">
        <v>29</v>
      </c>
      <c r="Q3960" s="6"/>
      <c r="R3960" s="6"/>
      <c r="S3960" s="6"/>
      <c r="T3960" s="6"/>
      <c r="U3960" s="6"/>
      <c r="V3960" s="6"/>
      <c r="W3960" s="6"/>
      <c r="X3960" s="6"/>
      <c r="Y3960" s="6"/>
      <c r="Z3960" s="6"/>
      <c r="AA3960" s="6"/>
    </row>
    <row r="3961" ht="14.25">
      <c r="B3961" s="4" t="s">
        <v>2652</v>
      </c>
      <c r="C3961" s="4" t="s">
        <v>28553</v>
      </c>
      <c r="D3961" s="4" t="s">
        <v>28554</v>
      </c>
      <c r="E3961" s="4" t="s">
        <v>28555</v>
      </c>
      <c r="F3961" s="4" t="str">
        <f>IFERROR(__XLUDF.DUMMYFUNCTION("PROPER(REGEXREPLACE(D366,""[^A-Za-z]+ "",""""))"),"Bytecode Technologies Pvt")</f>
        <v xml:space="preserve">Bytecode Technologies Pvt</v>
      </c>
      <c r="G3961" s="4" t="s">
        <v>28556</v>
      </c>
      <c r="H3961" s="4">
        <v>53</v>
      </c>
      <c r="I3961" s="4" t="s">
        <v>2602</v>
      </c>
      <c r="J3961" s="4" t="str">
        <f>IFERROR(__XLUDF.DUMMYFUNCTION("VLOOKUP(H366,IMPORTRANGE(""https://docs.google.com/spreadsheets/d/1opm6ZNvGZ7KditA9TuJwrZ25eFLfTNIkrNnY6mhV5Eg"",""list!A1:C115""),3,TRUE)"),"le secteur de la tech")</f>
        <v xml:space="preserve">le secteur de la tech</v>
      </c>
      <c r="K3961" s="5" t="s">
        <v>28557</v>
      </c>
      <c r="L3961" s="5" t="s">
        <v>28558</v>
      </c>
      <c r="M3961" s="4" t="s">
        <v>39</v>
      </c>
      <c r="N3961" s="4" t="s">
        <v>29</v>
      </c>
      <c r="O3961" s="4" t="s">
        <v>28559</v>
      </c>
      <c r="P3961" s="4" t="s">
        <v>1828</v>
      </c>
      <c r="Q3961" s="4" t="s">
        <v>28560</v>
      </c>
      <c r="R3961" s="6"/>
      <c r="S3961" s="6"/>
      <c r="T3961" s="6"/>
      <c r="U3961" s="6"/>
      <c r="V3961" s="6"/>
      <c r="W3961" s="6"/>
      <c r="X3961" s="6"/>
      <c r="Y3961" s="6"/>
      <c r="Z3961" s="6"/>
      <c r="AA3961" s="6"/>
    </row>
    <row r="3962" ht="14.25">
      <c r="B3962" s="4" t="s">
        <v>95</v>
      </c>
      <c r="C3962" s="4" t="s">
        <v>6147</v>
      </c>
      <c r="D3962" s="4" t="s">
        <v>315</v>
      </c>
      <c r="E3962" s="4" t="s">
        <v>28561</v>
      </c>
      <c r="F3962" s="4" t="str">
        <f>IFERROR(__XLUDF.DUMMYFUNCTION("PROPER(REGEXREPLACE(D367,""[^A-Za-z]+ "",""""))"),"Thésée Datacenter")</f>
        <v xml:space="preserve">Thésée Datacenter</v>
      </c>
      <c r="G3962" s="4" t="s">
        <v>28562</v>
      </c>
      <c r="H3962" s="4">
        <v>18</v>
      </c>
      <c r="I3962" s="4" t="s">
        <v>2602</v>
      </c>
      <c r="J3962" s="4" t="str">
        <f>IFERROR(__XLUDF.DUMMYFUNCTION("VLOOKUP(H367,IMPORTRANGE(""https://docs.google.com/spreadsheets/d/1opm6ZNvGZ7KditA9TuJwrZ25eFLfTNIkrNnY6mhV5Eg"",""list!A1:C115""),3,TRUE)"),"le secteur de la tech")</f>
        <v xml:space="preserve">le secteur de la tech</v>
      </c>
      <c r="K3962" s="5" t="s">
        <v>28563</v>
      </c>
      <c r="L3962" s="5" t="s">
        <v>28564</v>
      </c>
      <c r="M3962" s="6"/>
      <c r="N3962" s="4" t="s">
        <v>29</v>
      </c>
      <c r="O3962" s="4" t="s">
        <v>28565</v>
      </c>
      <c r="P3962" s="4" t="s">
        <v>29</v>
      </c>
      <c r="Q3962" s="4" t="s">
        <v>28566</v>
      </c>
      <c r="R3962" s="6"/>
      <c r="S3962" s="6"/>
      <c r="T3962" s="6"/>
      <c r="U3962" s="6"/>
      <c r="V3962" s="6"/>
      <c r="W3962" s="6"/>
      <c r="X3962" s="6"/>
      <c r="Y3962" s="6"/>
      <c r="Z3962" s="6"/>
      <c r="AA3962" s="6"/>
    </row>
    <row r="3963" ht="14.25">
      <c r="B3963" s="4" t="s">
        <v>245</v>
      </c>
      <c r="C3963" s="4" t="s">
        <v>28567</v>
      </c>
      <c r="D3963" s="4" t="s">
        <v>62</v>
      </c>
      <c r="E3963" s="4" t="s">
        <v>28568</v>
      </c>
      <c r="F3963" s="4" t="str">
        <f>IFERROR(__XLUDF.DUMMYFUNCTION("PROPER(REGEXREPLACE(D368,""[^A-Za-z]+ "",""""))"),"Recruiter House")</f>
        <v xml:space="preserve">Recruiter House</v>
      </c>
      <c r="G3963" s="4" t="s">
        <v>28569</v>
      </c>
      <c r="H3963" s="4">
        <v>13</v>
      </c>
      <c r="I3963" s="4" t="s">
        <v>2602</v>
      </c>
      <c r="J3963" s="4" t="str">
        <f>IFERROR(__XLUDF.DUMMYFUNCTION("VLOOKUP(H368,IMPORTRANGE(""https://docs.google.com/spreadsheets/d/1opm6ZNvGZ7KditA9TuJwrZ25eFLfTNIkrNnY6mhV5Eg"",""list!A1:C115""),3,TRUE)"),"le secteur de la tech")</f>
        <v xml:space="preserve">le secteur de la tech</v>
      </c>
      <c r="K3963" s="5" t="s">
        <v>28570</v>
      </c>
      <c r="L3963" s="5" t="s">
        <v>28571</v>
      </c>
      <c r="M3963" s="4" t="s">
        <v>39</v>
      </c>
      <c r="N3963" s="4" t="s">
        <v>29</v>
      </c>
      <c r="O3963" s="4" t="s">
        <v>22731</v>
      </c>
      <c r="P3963" s="4" t="s">
        <v>29</v>
      </c>
      <c r="Q3963" s="4" t="s">
        <v>28572</v>
      </c>
      <c r="R3963" s="6"/>
      <c r="S3963" s="6"/>
      <c r="T3963" s="6"/>
      <c r="U3963" s="6"/>
      <c r="V3963" s="6"/>
      <c r="W3963" s="6"/>
      <c r="X3963" s="6"/>
      <c r="Y3963" s="6"/>
      <c r="Z3963" s="6"/>
      <c r="AA3963" s="6"/>
    </row>
    <row r="3964" ht="14.25">
      <c r="B3964" s="4" t="s">
        <v>322</v>
      </c>
      <c r="C3964" s="4" t="s">
        <v>28573</v>
      </c>
      <c r="D3964" s="4" t="s">
        <v>172</v>
      </c>
      <c r="E3964" s="4" t="s">
        <v>28574</v>
      </c>
      <c r="F3964" s="4" t="str">
        <f>IFERROR(__XLUDF.DUMMYFUNCTION("PROPER(REGEXREPLACE(D369,""[^A-Za-z]+ "",""""))"),"Alpha Laser")</f>
        <v xml:space="preserve">Alpha Laser</v>
      </c>
      <c r="G3964" s="4" t="s">
        <v>28575</v>
      </c>
      <c r="H3964" s="4">
        <v>15</v>
      </c>
      <c r="I3964" s="4" t="s">
        <v>2602</v>
      </c>
      <c r="J3964" s="4" t="str">
        <f>IFERROR(__XLUDF.DUMMYFUNCTION("VLOOKUP(H369,IMPORTRANGE(""https://docs.google.com/spreadsheets/d/1opm6ZNvGZ7KditA9TuJwrZ25eFLfTNIkrNnY6mhV5Eg"",""list!A1:C115""),3,TRUE)"),"le secteur de la tech")</f>
        <v xml:space="preserve">le secteur de la tech</v>
      </c>
      <c r="K3964" s="5" t="s">
        <v>28576</v>
      </c>
      <c r="L3964" s="5" t="s">
        <v>28577</v>
      </c>
      <c r="M3964" s="4" t="s">
        <v>5586</v>
      </c>
      <c r="N3964" s="4" t="s">
        <v>29</v>
      </c>
      <c r="O3964" s="4" t="s">
        <v>29</v>
      </c>
      <c r="P3964" s="4" t="s">
        <v>29</v>
      </c>
      <c r="Q3964" s="4" t="s">
        <v>28578</v>
      </c>
      <c r="R3964" s="6"/>
      <c r="S3964" s="6"/>
      <c r="T3964" s="6"/>
      <c r="U3964" s="6"/>
      <c r="V3964" s="6"/>
      <c r="W3964" s="6"/>
      <c r="X3964" s="6"/>
      <c r="Y3964" s="6"/>
      <c r="Z3964" s="6"/>
      <c r="AA3964" s="6"/>
    </row>
    <row r="3965" ht="14.25">
      <c r="B3965" s="4" t="s">
        <v>5001</v>
      </c>
      <c r="C3965" s="4" t="s">
        <v>17301</v>
      </c>
      <c r="D3965" s="4" t="s">
        <v>2911</v>
      </c>
      <c r="E3965" s="4" t="s">
        <v>17815</v>
      </c>
      <c r="F3965" s="4" t="str">
        <f>IFERROR(__XLUDF.DUMMYFUNCTION("PROPER(REGEXREPLACE(D370,""[^A-Za-z]+ "",""""))"),"Property Filter")</f>
        <v xml:space="preserve">Property Filter</v>
      </c>
      <c r="G3965" s="4" t="s">
        <v>28579</v>
      </c>
      <c r="H3965" s="4">
        <v>16</v>
      </c>
      <c r="I3965" s="4" t="s">
        <v>2602</v>
      </c>
      <c r="J3965" s="4" t="str">
        <f>IFERROR(__XLUDF.DUMMYFUNCTION("VLOOKUP(H370,IMPORTRANGE(""https://docs.google.com/spreadsheets/d/1opm6ZNvGZ7KditA9TuJwrZ25eFLfTNIkrNnY6mhV5Eg"",""list!A1:C115""),3,TRUE)"),"le secteur de la tech")</f>
        <v xml:space="preserve">le secteur de la tech</v>
      </c>
      <c r="K3965" s="5" t="s">
        <v>28580</v>
      </c>
      <c r="L3965" s="5" t="s">
        <v>17818</v>
      </c>
      <c r="M3965" s="4" t="s">
        <v>423</v>
      </c>
      <c r="N3965" s="4" t="s">
        <v>29</v>
      </c>
      <c r="O3965" s="4" t="s">
        <v>17819</v>
      </c>
      <c r="P3965" s="4" t="s">
        <v>1548</v>
      </c>
      <c r="Q3965" s="4" t="s">
        <v>17820</v>
      </c>
      <c r="R3965" s="6"/>
      <c r="S3965" s="6"/>
      <c r="T3965" s="6"/>
      <c r="U3965" s="6"/>
      <c r="V3965" s="6"/>
      <c r="W3965" s="6"/>
      <c r="X3965" s="6"/>
      <c r="Y3965" s="6"/>
      <c r="Z3965" s="6"/>
      <c r="AA3965" s="6"/>
    </row>
    <row r="3966" ht="14.25">
      <c r="B3966" s="4" t="s">
        <v>1027</v>
      </c>
      <c r="C3966" s="4" t="s">
        <v>28581</v>
      </c>
      <c r="D3966" s="4" t="s">
        <v>17579</v>
      </c>
      <c r="E3966" s="4" t="s">
        <v>28582</v>
      </c>
      <c r="F3966" s="4" t="str">
        <f>IFERROR(__XLUDF.DUMMYFUNCTION("PROPER(REGEXREPLACE(D371,""[^A-Za-z]+ "",""""))"),"Grimp")</f>
        <v>Grimp</v>
      </c>
      <c r="G3966" s="4" t="s">
        <v>28583</v>
      </c>
      <c r="H3966" s="4">
        <v>26</v>
      </c>
      <c r="I3966" s="4" t="s">
        <v>2602</v>
      </c>
      <c r="J3966" s="4" t="str">
        <f>IFERROR(__XLUDF.DUMMYFUNCTION("VLOOKUP(H371,IMPORTRANGE(""https://docs.google.com/spreadsheets/d/1opm6ZNvGZ7KditA9TuJwrZ25eFLfTNIkrNnY6mhV5Eg"",""list!A1:C115""),3,TRUE)"),"le secteur de la tech")</f>
        <v xml:space="preserve">le secteur de la tech</v>
      </c>
      <c r="K3966" s="5" t="s">
        <v>28584</v>
      </c>
      <c r="L3966" s="5" t="s">
        <v>28585</v>
      </c>
      <c r="M3966" s="6"/>
      <c r="N3966" s="4" t="s">
        <v>29</v>
      </c>
      <c r="O3966" s="4" t="s">
        <v>1712</v>
      </c>
      <c r="P3966" s="4" t="s">
        <v>29</v>
      </c>
      <c r="Q3966" s="4" t="s">
        <v>28586</v>
      </c>
      <c r="R3966" s="6"/>
      <c r="S3966" s="6"/>
      <c r="T3966" s="6"/>
      <c r="U3966" s="6"/>
      <c r="V3966" s="6"/>
      <c r="W3966" s="6"/>
      <c r="X3966" s="6"/>
      <c r="Y3966" s="6"/>
      <c r="Z3966" s="6"/>
      <c r="AA3966" s="6"/>
    </row>
    <row r="3967" ht="14.25">
      <c r="B3967" s="4" t="s">
        <v>255</v>
      </c>
      <c r="C3967" s="4" t="s">
        <v>28587</v>
      </c>
      <c r="D3967" s="4" t="s">
        <v>172</v>
      </c>
      <c r="E3967" s="4" t="s">
        <v>28588</v>
      </c>
      <c r="F3967" s="4" t="str">
        <f>IFERROR(__XLUDF.DUMMYFUNCTION("PROPER(REGEXREPLACE(D372,""[^A-Za-z]+ "",""""))"),"Redlab")</f>
        <v>Redlab</v>
      </c>
      <c r="G3967" s="4" t="s">
        <v>28589</v>
      </c>
      <c r="H3967" s="4">
        <v>30</v>
      </c>
      <c r="I3967" s="4" t="s">
        <v>2602</v>
      </c>
      <c r="J3967" s="4" t="str">
        <f>IFERROR(__XLUDF.DUMMYFUNCTION("VLOOKUP(H372,IMPORTRANGE(""https://docs.google.com/spreadsheets/d/1opm6ZNvGZ7KditA9TuJwrZ25eFLfTNIkrNnY6mhV5Eg"",""list!A1:C115""),3,TRUE)"),"le secteur de la tech")</f>
        <v xml:space="preserve">le secteur de la tech</v>
      </c>
      <c r="K3967" s="5" t="s">
        <v>28590</v>
      </c>
      <c r="L3967" s="5" t="s">
        <v>28591</v>
      </c>
      <c r="M3967" s="4" t="s">
        <v>492</v>
      </c>
      <c r="N3967" s="4" t="s">
        <v>29</v>
      </c>
      <c r="O3967" s="4" t="s">
        <v>28592</v>
      </c>
      <c r="P3967" s="4" t="s">
        <v>29</v>
      </c>
      <c r="Q3967" s="4" t="s">
        <v>28593</v>
      </c>
      <c r="R3967" s="6"/>
      <c r="S3967" s="6"/>
      <c r="T3967" s="6"/>
      <c r="U3967" s="6"/>
      <c r="V3967" s="6"/>
      <c r="W3967" s="6"/>
      <c r="X3967" s="6"/>
      <c r="Y3967" s="6"/>
      <c r="Z3967" s="6"/>
      <c r="AA3967" s="6"/>
    </row>
    <row r="3968" ht="14.25">
      <c r="B3968" s="4" t="s">
        <v>222</v>
      </c>
      <c r="C3968" s="4" t="s">
        <v>28594</v>
      </c>
      <c r="D3968" s="4" t="s">
        <v>9532</v>
      </c>
      <c r="E3968" s="4" t="s">
        <v>28595</v>
      </c>
      <c r="F3968" s="4" t="str">
        <f>IFERROR(__XLUDF.DUMMYFUNCTION("PROPER(REGEXREPLACE(D373,""[^A-Za-z]+ "",""""))"),"Atelier Audiovisuel")</f>
        <v xml:space="preserve">Atelier Audiovisuel</v>
      </c>
      <c r="G3968" s="4" t="s">
        <v>28596</v>
      </c>
      <c r="H3968" s="4">
        <v>14</v>
      </c>
      <c r="I3968" s="4" t="s">
        <v>2602</v>
      </c>
      <c r="J3968" s="4" t="str">
        <f>IFERROR(__XLUDF.DUMMYFUNCTION("VLOOKUP(H373,IMPORTRANGE(""https://docs.google.com/spreadsheets/d/1opm6ZNvGZ7KditA9TuJwrZ25eFLfTNIkrNnY6mhV5Eg"",""list!A1:C115""),3,TRUE)"),"le secteur de la tech")</f>
        <v xml:space="preserve">le secteur de la tech</v>
      </c>
      <c r="K3968" s="5" t="s">
        <v>28597</v>
      </c>
      <c r="L3968" s="5" t="s">
        <v>28598</v>
      </c>
      <c r="M3968" s="4" t="s">
        <v>39</v>
      </c>
      <c r="N3968" s="4" t="s">
        <v>29</v>
      </c>
      <c r="O3968" s="4" t="s">
        <v>28599</v>
      </c>
      <c r="P3968" s="4" t="s">
        <v>29</v>
      </c>
      <c r="Q3968" s="6"/>
      <c r="R3968" s="6"/>
      <c r="S3968" s="6"/>
      <c r="T3968" s="6"/>
      <c r="U3968" s="6"/>
      <c r="V3968" s="6"/>
      <c r="W3968" s="6"/>
      <c r="X3968" s="6"/>
      <c r="Y3968" s="6"/>
      <c r="Z3968" s="6"/>
      <c r="AA3968" s="6"/>
    </row>
    <row r="3969" ht="14.25">
      <c r="B3969" s="4" t="s">
        <v>18433</v>
      </c>
      <c r="C3969" s="4" t="s">
        <v>28600</v>
      </c>
      <c r="D3969" s="4" t="s">
        <v>28601</v>
      </c>
      <c r="E3969" s="4" t="s">
        <v>28602</v>
      </c>
      <c r="F3969" s="4" t="str">
        <f>IFERROR(__XLUDF.DUMMYFUNCTION("PROPER(REGEXREPLACE(D374,""[^A-Za-z]+ "",""""))"),"Openbpo")</f>
        <v>Openbpo</v>
      </c>
      <c r="G3969" s="4" t="s">
        <v>28603</v>
      </c>
      <c r="H3969" s="4">
        <v>14</v>
      </c>
      <c r="I3969" s="4" t="s">
        <v>2602</v>
      </c>
      <c r="J3969" s="4" t="str">
        <f>IFERROR(__XLUDF.DUMMYFUNCTION("VLOOKUP(H374,IMPORTRANGE(""https://docs.google.com/spreadsheets/d/1opm6ZNvGZ7KditA9TuJwrZ25eFLfTNIkrNnY6mhV5Eg"",""list!A1:C115""),3,TRUE)"),"le secteur de la tech")</f>
        <v xml:space="preserve">le secteur de la tech</v>
      </c>
      <c r="K3969" s="5" t="s">
        <v>28604</v>
      </c>
      <c r="L3969" s="5" t="s">
        <v>28605</v>
      </c>
      <c r="M3969" s="4" t="s">
        <v>12198</v>
      </c>
      <c r="N3969" s="4" t="s">
        <v>29</v>
      </c>
      <c r="O3969" s="4" t="s">
        <v>28606</v>
      </c>
      <c r="P3969" s="4" t="s">
        <v>29</v>
      </c>
      <c r="Q3969" s="6"/>
      <c r="R3969" s="6"/>
      <c r="S3969" s="6"/>
      <c r="T3969" s="6"/>
      <c r="U3969" s="6"/>
      <c r="V3969" s="6"/>
      <c r="W3969" s="6"/>
      <c r="X3969" s="6"/>
      <c r="Y3969" s="6"/>
      <c r="Z3969" s="6"/>
      <c r="AA3969" s="6"/>
    </row>
    <row r="3970" ht="14.25">
      <c r="B3970" s="4" t="s">
        <v>28607</v>
      </c>
      <c r="C3970" s="4" t="s">
        <v>28038</v>
      </c>
      <c r="D3970" s="4" t="s">
        <v>672</v>
      </c>
      <c r="E3970" s="4" t="s">
        <v>27947</v>
      </c>
      <c r="F3970" s="4" t="str">
        <f>IFERROR(__XLUDF.DUMMYFUNCTION("PROPER(REGEXREPLACE(D375,""[^A-Za-z]+ "",""""))"),"Astran")</f>
        <v>Astran</v>
      </c>
      <c r="G3970" s="4" t="s">
        <v>28608</v>
      </c>
      <c r="H3970" s="4">
        <v>33</v>
      </c>
      <c r="I3970" s="4" t="s">
        <v>2602</v>
      </c>
      <c r="J3970" s="4" t="str">
        <f>IFERROR(__XLUDF.DUMMYFUNCTION("VLOOKUP(H375,IMPORTRANGE(""https://docs.google.com/spreadsheets/d/1opm6ZNvGZ7KditA9TuJwrZ25eFLfTNIkrNnY6mhV5Eg"",""list!A1:C115""),3,TRUE)"),"le secteur de la tech")</f>
        <v xml:space="preserve">le secteur de la tech</v>
      </c>
      <c r="K3970" s="5" t="s">
        <v>28609</v>
      </c>
      <c r="L3970" s="5" t="s">
        <v>27950</v>
      </c>
      <c r="M3970" s="4" t="s">
        <v>39</v>
      </c>
      <c r="N3970" s="4" t="s">
        <v>29</v>
      </c>
      <c r="O3970" s="4" t="s">
        <v>27951</v>
      </c>
      <c r="P3970" s="4" t="s">
        <v>29</v>
      </c>
      <c r="Q3970" s="4" t="s">
        <v>27952</v>
      </c>
      <c r="R3970" s="6"/>
      <c r="S3970" s="6"/>
      <c r="T3970" s="6"/>
      <c r="U3970" s="6"/>
      <c r="V3970" s="6"/>
      <c r="W3970" s="6"/>
      <c r="X3970" s="6"/>
      <c r="Y3970" s="6"/>
      <c r="Z3970" s="6"/>
      <c r="AA3970" s="6"/>
    </row>
    <row r="3971" ht="14.25">
      <c r="B3971" s="4" t="s">
        <v>255</v>
      </c>
      <c r="C3971" s="4" t="s">
        <v>28610</v>
      </c>
      <c r="D3971" s="4" t="s">
        <v>44</v>
      </c>
      <c r="E3971" s="4" t="s">
        <v>28611</v>
      </c>
      <c r="F3971" s="4" t="str">
        <f>IFERROR(__XLUDF.DUMMYFUNCTION("PROPER(REGEXREPLACE(D376,""[^A-Za-z]+ "",""""))"),"La Factory")</f>
        <v xml:space="preserve">La Factory</v>
      </c>
      <c r="G3971" s="4" t="s">
        <v>28612</v>
      </c>
      <c r="H3971" s="4">
        <v>18</v>
      </c>
      <c r="I3971" s="4" t="s">
        <v>2602</v>
      </c>
      <c r="J3971" s="4" t="str">
        <f>IFERROR(__XLUDF.DUMMYFUNCTION("VLOOKUP(H376,IMPORTRANGE(""https://docs.google.com/spreadsheets/d/1opm6ZNvGZ7KditA9TuJwrZ25eFLfTNIkrNnY6mhV5Eg"",""list!A1:C115""),3,TRUE)"),"le secteur de la tech")</f>
        <v xml:space="preserve">le secteur de la tech</v>
      </c>
      <c r="K3971" s="5" t="s">
        <v>28613</v>
      </c>
      <c r="L3971" s="5" t="s">
        <v>28614</v>
      </c>
      <c r="M3971" s="4" t="s">
        <v>39</v>
      </c>
      <c r="N3971" s="4" t="s">
        <v>29</v>
      </c>
      <c r="O3971" s="4" t="s">
        <v>67</v>
      </c>
      <c r="P3971" s="4" t="s">
        <v>29</v>
      </c>
      <c r="Q3971" s="4" t="s">
        <v>28615</v>
      </c>
      <c r="R3971" s="6"/>
      <c r="S3971" s="6"/>
      <c r="T3971" s="6"/>
      <c r="U3971" s="6"/>
      <c r="V3971" s="6"/>
      <c r="W3971" s="6"/>
      <c r="X3971" s="6"/>
      <c r="Y3971" s="6"/>
      <c r="Z3971" s="6"/>
      <c r="AA3971" s="6"/>
    </row>
    <row r="3972" ht="14.25">
      <c r="B3972" s="4" t="s">
        <v>355</v>
      </c>
      <c r="C3972" s="4" t="s">
        <v>28616</v>
      </c>
      <c r="D3972" s="4" t="s">
        <v>28617</v>
      </c>
      <c r="E3972" s="4" t="s">
        <v>20160</v>
      </c>
      <c r="F3972" s="4" t="str">
        <f>IFERROR(__XLUDF.DUMMYFUNCTION("PROPER(REGEXREPLACE(D377,""[^A-Za-z]+ "",""""))"),"Epicnpoc")</f>
        <v>Epicnpoc</v>
      </c>
      <c r="G3972" s="4" t="s">
        <v>28618</v>
      </c>
      <c r="H3972" s="4">
        <v>14</v>
      </c>
      <c r="I3972" s="4" t="s">
        <v>2602</v>
      </c>
      <c r="J3972" s="4" t="str">
        <f>IFERROR(__XLUDF.DUMMYFUNCTION("VLOOKUP(H377,IMPORTRANGE(""https://docs.google.com/spreadsheets/d/1opm6ZNvGZ7KditA9TuJwrZ25eFLfTNIkrNnY6mhV5Eg"",""list!A1:C115""),3,TRUE)"),"le secteur de la tech")</f>
        <v xml:space="preserve">le secteur de la tech</v>
      </c>
      <c r="K3972" s="5" t="s">
        <v>28619</v>
      </c>
      <c r="L3972" s="5" t="s">
        <v>20163</v>
      </c>
      <c r="M3972" s="4" t="s">
        <v>846</v>
      </c>
      <c r="N3972" s="4" t="s">
        <v>29</v>
      </c>
      <c r="O3972" s="4" t="s">
        <v>20164</v>
      </c>
      <c r="P3972" s="4" t="s">
        <v>29</v>
      </c>
      <c r="Q3972" s="4" t="s">
        <v>20165</v>
      </c>
      <c r="R3972" s="6"/>
      <c r="S3972" s="6"/>
      <c r="T3972" s="6"/>
      <c r="U3972" s="6"/>
      <c r="V3972" s="6"/>
      <c r="W3972" s="6"/>
      <c r="X3972" s="6"/>
      <c r="Y3972" s="6"/>
      <c r="Z3972" s="6"/>
      <c r="AA3972" s="6"/>
    </row>
    <row r="3973" ht="14.25">
      <c r="B3973" s="4" t="s">
        <v>1740</v>
      </c>
      <c r="C3973" s="4" t="s">
        <v>28620</v>
      </c>
      <c r="D3973" s="4" t="s">
        <v>44</v>
      </c>
      <c r="E3973" s="4" t="s">
        <v>28621</v>
      </c>
      <c r="F3973" s="4" t="str">
        <f>IFERROR(__XLUDF.DUMMYFUNCTION("PROPER(REGEXREPLACE(D378,""[^A-Za-z]+ "",""""))"),"Valuein")</f>
        <v>Valuein</v>
      </c>
      <c r="G3973" s="4" t="s">
        <v>28622</v>
      </c>
      <c r="H3973" s="4">
        <v>20</v>
      </c>
      <c r="I3973" s="4" t="s">
        <v>2602</v>
      </c>
      <c r="J3973" s="4" t="str">
        <f>IFERROR(__XLUDF.DUMMYFUNCTION("VLOOKUP(H378,IMPORTRANGE(""https://docs.google.com/spreadsheets/d/1opm6ZNvGZ7KditA9TuJwrZ25eFLfTNIkrNnY6mhV5Eg"",""list!A1:C115""),3,TRUE)"),"le secteur de la tech")</f>
        <v xml:space="preserve">le secteur de la tech</v>
      </c>
      <c r="K3973" s="5" t="s">
        <v>28623</v>
      </c>
      <c r="L3973" s="5" t="s">
        <v>28624</v>
      </c>
      <c r="M3973" s="6"/>
      <c r="N3973" s="4" t="s">
        <v>29</v>
      </c>
      <c r="O3973" s="4" t="s">
        <v>18884</v>
      </c>
      <c r="P3973" s="4" t="s">
        <v>29</v>
      </c>
      <c r="Q3973" s="4" t="s">
        <v>28625</v>
      </c>
      <c r="R3973" s="6"/>
      <c r="S3973" s="6"/>
      <c r="T3973" s="6"/>
      <c r="U3973" s="6"/>
      <c r="V3973" s="6"/>
      <c r="W3973" s="6"/>
      <c r="X3973" s="6"/>
      <c r="Y3973" s="6"/>
      <c r="Z3973" s="6"/>
      <c r="AA3973" s="6"/>
    </row>
    <row r="3974" ht="14.25">
      <c r="B3974" s="4" t="s">
        <v>28626</v>
      </c>
      <c r="C3974" s="4" t="s">
        <v>28627</v>
      </c>
      <c r="D3974" s="4" t="s">
        <v>247</v>
      </c>
      <c r="E3974" s="4" t="s">
        <v>28628</v>
      </c>
      <c r="F3974" s="4" t="str">
        <f>IFERROR(__XLUDF.DUMMYFUNCTION("PROPER(REGEXREPLACE(D379,""[^A-Za-z]+ "",""""))"),"Acclaim")</f>
        <v>Acclaim</v>
      </c>
      <c r="G3974" s="4" t="s">
        <v>28629</v>
      </c>
      <c r="H3974" s="4">
        <v>36</v>
      </c>
      <c r="I3974" s="4" t="s">
        <v>2602</v>
      </c>
      <c r="J3974" s="4" t="str">
        <f>IFERROR(__XLUDF.DUMMYFUNCTION("VLOOKUP(H379,IMPORTRANGE(""https://docs.google.com/spreadsheets/d/1opm6ZNvGZ7KditA9TuJwrZ25eFLfTNIkrNnY6mhV5Eg"",""list!A1:C115""),3,TRUE)"),"le secteur de la tech")</f>
        <v xml:space="preserve">le secteur de la tech</v>
      </c>
      <c r="K3974" s="5" t="s">
        <v>28630</v>
      </c>
      <c r="L3974" s="5" t="s">
        <v>28631</v>
      </c>
      <c r="M3974" s="4" t="s">
        <v>39</v>
      </c>
      <c r="N3974" s="4" t="s">
        <v>29</v>
      </c>
      <c r="O3974" s="4" t="s">
        <v>28632</v>
      </c>
      <c r="P3974" s="4" t="s">
        <v>24254</v>
      </c>
      <c r="Q3974" s="4" t="s">
        <v>28633</v>
      </c>
      <c r="R3974" s="6"/>
      <c r="S3974" s="6"/>
      <c r="T3974" s="6"/>
      <c r="U3974" s="6"/>
      <c r="V3974" s="6"/>
      <c r="W3974" s="6"/>
      <c r="X3974" s="6"/>
      <c r="Y3974" s="6"/>
      <c r="Z3974" s="6"/>
      <c r="AA3974" s="6"/>
    </row>
    <row r="3975" ht="14.25">
      <c r="B3975" s="4" t="s">
        <v>604</v>
      </c>
      <c r="C3975" s="4" t="s">
        <v>28634</v>
      </c>
      <c r="D3975" s="4" t="s">
        <v>3775</v>
      </c>
      <c r="E3975" s="4" t="s">
        <v>28635</v>
      </c>
      <c r="F3975" s="4" t="str">
        <f>IFERROR(__XLUDF.DUMMYFUNCTION("PROPER(REGEXREPLACE(D380,""[^A-Za-z]+ "",""""))"),"Veesual")</f>
        <v>Veesual</v>
      </c>
      <c r="G3975" s="4" t="s">
        <v>28636</v>
      </c>
      <c r="H3975" s="4">
        <v>28</v>
      </c>
      <c r="I3975" s="4" t="s">
        <v>2602</v>
      </c>
      <c r="J3975" s="4" t="str">
        <f>IFERROR(__XLUDF.DUMMYFUNCTION("VLOOKUP(H380,IMPORTRANGE(""https://docs.google.com/spreadsheets/d/1opm6ZNvGZ7KditA9TuJwrZ25eFLfTNIkrNnY6mhV5Eg"",""list!A1:C115""),3,TRUE)"),"le secteur de la tech")</f>
        <v xml:space="preserve">le secteur de la tech</v>
      </c>
      <c r="K3975" s="5" t="s">
        <v>28637</v>
      </c>
      <c r="L3975" s="5" t="s">
        <v>28638</v>
      </c>
      <c r="M3975" s="4" t="s">
        <v>39</v>
      </c>
      <c r="N3975" s="4" t="s">
        <v>29</v>
      </c>
      <c r="O3975" s="4" t="s">
        <v>28639</v>
      </c>
      <c r="P3975" s="4" t="s">
        <v>29</v>
      </c>
      <c r="Q3975" s="4" t="s">
        <v>28640</v>
      </c>
      <c r="R3975" s="6"/>
      <c r="S3975" s="6"/>
      <c r="T3975" s="6"/>
      <c r="U3975" s="6"/>
      <c r="V3975" s="6"/>
      <c r="W3975" s="6"/>
      <c r="X3975" s="6"/>
      <c r="Y3975" s="6"/>
      <c r="Z3975" s="6"/>
      <c r="AA3975" s="6"/>
    </row>
    <row r="3976" ht="14.25">
      <c r="B3976" s="4" t="s">
        <v>28641</v>
      </c>
      <c r="C3976" s="4" t="s">
        <v>7505</v>
      </c>
      <c r="D3976" s="4" t="s">
        <v>468</v>
      </c>
      <c r="E3976" s="4" t="s">
        <v>21177</v>
      </c>
      <c r="F3976" s="4" t="str">
        <f>IFERROR(__XLUDF.DUMMYFUNCTION("PROPER(REGEXREPLACE(D381,""[^A-Za-z]+ "",""""))"),"Ixxo")</f>
        <v>Ixxo</v>
      </c>
      <c r="G3976" s="4" t="s">
        <v>28642</v>
      </c>
      <c r="H3976" s="4">
        <v>16</v>
      </c>
      <c r="I3976" s="4" t="s">
        <v>2602</v>
      </c>
      <c r="J3976" s="4" t="str">
        <f>IFERROR(__XLUDF.DUMMYFUNCTION("VLOOKUP(H381,IMPORTRANGE(""https://docs.google.com/spreadsheets/d/1opm6ZNvGZ7KditA9TuJwrZ25eFLfTNIkrNnY6mhV5Eg"",""list!A1:C115""),3,TRUE)"),"le secteur de la tech")</f>
        <v xml:space="preserve">le secteur de la tech</v>
      </c>
      <c r="K3976" s="5" t="s">
        <v>28643</v>
      </c>
      <c r="L3976" s="5" t="s">
        <v>21180</v>
      </c>
      <c r="M3976" s="4" t="s">
        <v>185</v>
      </c>
      <c r="N3976" s="4" t="s">
        <v>29</v>
      </c>
      <c r="O3976" s="4" t="s">
        <v>21181</v>
      </c>
      <c r="P3976" s="4" t="s">
        <v>29</v>
      </c>
      <c r="Q3976" s="4" t="s">
        <v>21182</v>
      </c>
      <c r="R3976" s="6"/>
      <c r="S3976" s="6"/>
      <c r="T3976" s="6"/>
      <c r="U3976" s="6"/>
      <c r="V3976" s="6"/>
      <c r="W3976" s="6"/>
      <c r="X3976" s="6"/>
      <c r="Y3976" s="6"/>
      <c r="Z3976" s="6"/>
      <c r="AA3976" s="6"/>
    </row>
    <row r="3977" ht="14.25">
      <c r="B3977" s="4" t="s">
        <v>28644</v>
      </c>
      <c r="C3977" s="4" t="s">
        <v>2436</v>
      </c>
      <c r="D3977" s="4" t="s">
        <v>28645</v>
      </c>
      <c r="E3977" s="4" t="s">
        <v>28646</v>
      </c>
      <c r="F3977" s="4" t="str">
        <f>IFERROR(__XLUDF.DUMMYFUNCTION("PROPER(REGEXREPLACE(D382,""[^A-Za-z]+ "",""""))"),"Full Data Management")</f>
        <v xml:space="preserve">Full Data Management</v>
      </c>
      <c r="G3977" s="4" t="s">
        <v>28647</v>
      </c>
      <c r="H3977" s="4">
        <v>15</v>
      </c>
      <c r="I3977" s="4" t="s">
        <v>2602</v>
      </c>
      <c r="J3977" s="4" t="str">
        <f>IFERROR(__XLUDF.DUMMYFUNCTION("VLOOKUP(H382,IMPORTRANGE(""https://docs.google.com/spreadsheets/d/1opm6ZNvGZ7KditA9TuJwrZ25eFLfTNIkrNnY6mhV5Eg"",""list!A1:C115""),3,TRUE)"),"le secteur de la tech")</f>
        <v xml:space="preserve">le secteur de la tech</v>
      </c>
      <c r="K3977" s="5" t="s">
        <v>28648</v>
      </c>
      <c r="L3977" s="5" t="s">
        <v>28649</v>
      </c>
      <c r="M3977" s="4" t="s">
        <v>846</v>
      </c>
      <c r="N3977" s="4" t="s">
        <v>29</v>
      </c>
      <c r="O3977" s="4" t="s">
        <v>28650</v>
      </c>
      <c r="P3977" s="4" t="s">
        <v>29</v>
      </c>
      <c r="Q3977" s="6"/>
      <c r="R3977" s="6"/>
      <c r="S3977" s="6"/>
      <c r="T3977" s="6"/>
      <c r="U3977" s="6"/>
      <c r="V3977" s="6"/>
      <c r="W3977" s="6"/>
      <c r="X3977" s="6"/>
      <c r="Y3977" s="6"/>
      <c r="Z3977" s="6"/>
      <c r="AA3977" s="6"/>
    </row>
    <row r="3978" ht="14.25">
      <c r="B3978" s="4" t="s">
        <v>20335</v>
      </c>
      <c r="C3978" s="4" t="s">
        <v>28651</v>
      </c>
      <c r="D3978" s="4" t="s">
        <v>28652</v>
      </c>
      <c r="E3978" s="5" t="s">
        <v>28653</v>
      </c>
      <c r="F3978" s="5" t="str">
        <f>IFERROR(__XLUDF.DUMMYFUNCTION("PROPER(REGEXREPLACE(D383,""[^A-Za-z]+ "",""""))"),"Scrubchart.Ai")</f>
        <v>Scrubchart.Ai</v>
      </c>
      <c r="G3978" s="4" t="s">
        <v>28654</v>
      </c>
      <c r="H3978" s="4">
        <v>19</v>
      </c>
      <c r="I3978" s="4" t="s">
        <v>2602</v>
      </c>
      <c r="J3978" s="4" t="str">
        <f>IFERROR(__XLUDF.DUMMYFUNCTION("VLOOKUP(H383,IMPORTRANGE(""https://docs.google.com/spreadsheets/d/1opm6ZNvGZ7KditA9TuJwrZ25eFLfTNIkrNnY6mhV5Eg"",""list!A1:C115""),3,TRUE)"),"le secteur de la tech")</f>
        <v xml:space="preserve">le secteur de la tech</v>
      </c>
      <c r="K3978" s="5" t="s">
        <v>28655</v>
      </c>
      <c r="L3978" s="5" t="s">
        <v>28656</v>
      </c>
      <c r="M3978" s="4" t="s">
        <v>185</v>
      </c>
      <c r="N3978" s="4" t="s">
        <v>29</v>
      </c>
      <c r="O3978" s="4" t="s">
        <v>28657</v>
      </c>
      <c r="P3978" s="4" t="s">
        <v>2666</v>
      </c>
      <c r="Q3978" s="4" t="s">
        <v>28658</v>
      </c>
      <c r="R3978" s="6"/>
      <c r="S3978" s="6"/>
      <c r="T3978" s="6"/>
      <c r="U3978" s="6"/>
      <c r="V3978" s="6"/>
      <c r="W3978" s="6"/>
      <c r="X3978" s="6"/>
      <c r="Y3978" s="6"/>
      <c r="Z3978" s="6"/>
      <c r="AA3978" s="6"/>
    </row>
    <row r="3979" ht="14.25">
      <c r="B3979" s="4" t="s">
        <v>28659</v>
      </c>
      <c r="C3979" s="4" t="s">
        <v>28660</v>
      </c>
      <c r="D3979" s="4" t="s">
        <v>672</v>
      </c>
      <c r="E3979" s="5" t="s">
        <v>28429</v>
      </c>
      <c r="F3979" s="5" t="str">
        <f>IFERROR(__XLUDF.DUMMYFUNCTION("PROPER(REGEXREPLACE(D384,""[^A-Za-z]+ "",""""))"),"Tchek.Ai")</f>
        <v>Tchek.Ai</v>
      </c>
      <c r="G3979" s="4" t="s">
        <v>28661</v>
      </c>
      <c r="H3979" s="4">
        <v>21</v>
      </c>
      <c r="I3979" s="4" t="s">
        <v>2602</v>
      </c>
      <c r="J3979" s="4" t="str">
        <f>IFERROR(__XLUDF.DUMMYFUNCTION("VLOOKUP(H384,IMPORTRANGE(""https://docs.google.com/spreadsheets/d/1opm6ZNvGZ7KditA9TuJwrZ25eFLfTNIkrNnY6mhV5Eg"",""list!A1:C115""),3,TRUE)"),"le secteur de la tech")</f>
        <v xml:space="preserve">le secteur de la tech</v>
      </c>
      <c r="K3979" s="5" t="s">
        <v>28662</v>
      </c>
      <c r="L3979" s="5" t="s">
        <v>28432</v>
      </c>
      <c r="M3979" s="4" t="s">
        <v>295</v>
      </c>
      <c r="N3979" s="4" t="s">
        <v>29</v>
      </c>
      <c r="O3979" s="4" t="s">
        <v>28433</v>
      </c>
      <c r="P3979" s="4" t="s">
        <v>29</v>
      </c>
      <c r="Q3979" s="4" t="s">
        <v>28434</v>
      </c>
      <c r="R3979" s="6"/>
      <c r="S3979" s="6"/>
      <c r="T3979" s="6"/>
      <c r="U3979" s="6"/>
      <c r="V3979" s="6"/>
      <c r="W3979" s="6"/>
      <c r="X3979" s="6"/>
      <c r="Y3979" s="6"/>
      <c r="Z3979" s="6"/>
      <c r="AA3979" s="6"/>
    </row>
    <row r="3980" ht="14.25">
      <c r="B3980" s="4" t="s">
        <v>9288</v>
      </c>
      <c r="C3980" s="4" t="s">
        <v>28663</v>
      </c>
      <c r="D3980" s="4" t="s">
        <v>21547</v>
      </c>
      <c r="E3980" s="5" t="s">
        <v>28664</v>
      </c>
      <c r="F3980" s="5" t="str">
        <f>IFERROR(__XLUDF.DUMMYFUNCTION("PROPER(REGEXREPLACE(D385,""[^A-Za-z]+ "",""""))"),"Humanitics.Ai")</f>
        <v>Humanitics.Ai</v>
      </c>
      <c r="G3980" s="4" t="s">
        <v>28665</v>
      </c>
      <c r="H3980" s="4">
        <v>13</v>
      </c>
      <c r="I3980" s="4" t="s">
        <v>2602</v>
      </c>
      <c r="J3980" s="4" t="str">
        <f>IFERROR(__XLUDF.DUMMYFUNCTION("VLOOKUP(H385,IMPORTRANGE(""https://docs.google.com/spreadsheets/d/1opm6ZNvGZ7KditA9TuJwrZ25eFLfTNIkrNnY6mhV5Eg"",""list!A1:C115""),3,TRUE)"),"le secteur de la tech")</f>
        <v xml:space="preserve">le secteur de la tech</v>
      </c>
      <c r="K3980" s="5" t="s">
        <v>28666</v>
      </c>
      <c r="L3980" s="5" t="s">
        <v>28667</v>
      </c>
      <c r="M3980" s="4" t="s">
        <v>39</v>
      </c>
      <c r="N3980" s="4" t="s">
        <v>29</v>
      </c>
      <c r="O3980" s="4" t="s">
        <v>67</v>
      </c>
      <c r="P3980" s="4" t="s">
        <v>29</v>
      </c>
      <c r="Q3980" s="4" t="s">
        <v>28668</v>
      </c>
      <c r="R3980" s="6"/>
      <c r="S3980" s="6"/>
      <c r="T3980" s="6"/>
      <c r="U3980" s="6"/>
      <c r="V3980" s="6"/>
      <c r="W3980" s="6"/>
      <c r="X3980" s="6"/>
      <c r="Y3980" s="6"/>
      <c r="Z3980" s="6"/>
      <c r="AA3980" s="6"/>
    </row>
    <row r="3981" ht="14.25">
      <c r="B3981" s="4" t="s">
        <v>28669</v>
      </c>
      <c r="C3981" s="4" t="s">
        <v>28670</v>
      </c>
      <c r="D3981" s="4" t="s">
        <v>281</v>
      </c>
      <c r="E3981" s="4" t="s">
        <v>28671</v>
      </c>
      <c r="F3981" s="4" t="str">
        <f>IFERROR(__XLUDF.DUMMYFUNCTION("PROPER(REGEXREPLACE(D386,""[^A-Za-z]+ "",""""))"),"Latech")</f>
        <v>Latech</v>
      </c>
      <c r="G3981" s="4" t="s">
        <v>28672</v>
      </c>
      <c r="H3981" s="4">
        <v>16</v>
      </c>
      <c r="I3981" s="4" t="s">
        <v>2602</v>
      </c>
      <c r="J3981" s="4" t="str">
        <f>IFERROR(__XLUDF.DUMMYFUNCTION("VLOOKUP(H386,IMPORTRANGE(""https://docs.google.com/spreadsheets/d/1opm6ZNvGZ7KditA9TuJwrZ25eFLfTNIkrNnY6mhV5Eg"",""list!A1:C115""),3,TRUE)"),"le secteur de la tech")</f>
        <v xml:space="preserve">le secteur de la tech</v>
      </c>
      <c r="K3981" s="5" t="s">
        <v>28673</v>
      </c>
      <c r="L3981" s="5" t="s">
        <v>28674</v>
      </c>
      <c r="M3981" s="4" t="s">
        <v>39</v>
      </c>
      <c r="N3981" s="4" t="s">
        <v>29</v>
      </c>
      <c r="O3981" s="4" t="s">
        <v>28675</v>
      </c>
      <c r="P3981" s="4" t="s">
        <v>29</v>
      </c>
      <c r="Q3981" s="6"/>
      <c r="R3981" s="6"/>
      <c r="S3981" s="6"/>
      <c r="T3981" s="6"/>
      <c r="U3981" s="6"/>
      <c r="V3981" s="6"/>
      <c r="W3981" s="6"/>
      <c r="X3981" s="6"/>
      <c r="Y3981" s="6"/>
      <c r="Z3981" s="6"/>
      <c r="AA3981" s="6"/>
    </row>
    <row r="3982" ht="14.25">
      <c r="B3982" s="4" t="s">
        <v>28676</v>
      </c>
      <c r="C3982" s="4" t="s">
        <v>28677</v>
      </c>
      <c r="D3982" s="4" t="s">
        <v>18718</v>
      </c>
      <c r="E3982" s="4" t="s">
        <v>28678</v>
      </c>
      <c r="F3982" s="4" t="str">
        <f>IFERROR(__XLUDF.DUMMYFUNCTION("PROPER(REGEXREPLACE(D387,""[^A-Za-z]+ "",""""))"),"Visionairy")</f>
        <v>Visionairy</v>
      </c>
      <c r="G3982" s="4" t="s">
        <v>28679</v>
      </c>
      <c r="H3982" s="4">
        <v>10</v>
      </c>
      <c r="I3982" s="4" t="s">
        <v>2602</v>
      </c>
      <c r="J3982" s="4" t="str">
        <f>IFERROR(__XLUDF.DUMMYFUNCTION("VLOOKUP(H387,IMPORTRANGE(""https://docs.google.com/spreadsheets/d/1opm6ZNvGZ7KditA9TuJwrZ25eFLfTNIkrNnY6mhV5Eg"",""list!A1:C115""),3,TRUE)"),"le secteur de la tech")</f>
        <v xml:space="preserve">le secteur de la tech</v>
      </c>
      <c r="K3982" s="5" t="s">
        <v>28680</v>
      </c>
      <c r="L3982" s="5" t="s">
        <v>28681</v>
      </c>
      <c r="M3982" s="6"/>
      <c r="N3982" s="4" t="s">
        <v>29</v>
      </c>
      <c r="O3982" s="4" t="s">
        <v>546</v>
      </c>
      <c r="P3982" s="4" t="s">
        <v>29</v>
      </c>
      <c r="Q3982" s="4" t="s">
        <v>28682</v>
      </c>
      <c r="R3982" s="6"/>
      <c r="S3982" s="6"/>
      <c r="T3982" s="6"/>
      <c r="U3982" s="6"/>
      <c r="V3982" s="6"/>
      <c r="W3982" s="6"/>
      <c r="X3982" s="6"/>
      <c r="Y3982" s="6"/>
      <c r="Z3982" s="6"/>
      <c r="AA3982" s="6"/>
    </row>
    <row r="3983" ht="14.25">
      <c r="B3983" s="4" t="s">
        <v>28683</v>
      </c>
      <c r="C3983" s="4" t="s">
        <v>28684</v>
      </c>
      <c r="D3983" s="4" t="s">
        <v>28685</v>
      </c>
      <c r="E3983" s="4" t="s">
        <v>28686</v>
      </c>
      <c r="F3983" s="4" t="str">
        <f>IFERROR(__XLUDF.DUMMYFUNCTION("PROPER(REGEXREPLACE(D388,""[^A-Za-z]+ "",""""))"),"Accountinsight An Expandi Company")</f>
        <v xml:space="preserve">Accountinsight An Expandi Company</v>
      </c>
      <c r="G3983" s="4" t="s">
        <v>28687</v>
      </c>
      <c r="H3983" s="4">
        <v>22</v>
      </c>
      <c r="I3983" s="4" t="s">
        <v>2602</v>
      </c>
      <c r="J3983" s="4" t="str">
        <f>IFERROR(__XLUDF.DUMMYFUNCTION("VLOOKUP(H388,IMPORTRANGE(""https://docs.google.com/spreadsheets/d/1opm6ZNvGZ7KditA9TuJwrZ25eFLfTNIkrNnY6mhV5Eg"",""list!A1:C115""),3,TRUE)"),"le secteur de la tech")</f>
        <v xml:space="preserve">le secteur de la tech</v>
      </c>
      <c r="K3983" s="5" t="s">
        <v>28688</v>
      </c>
      <c r="L3983" s="5" t="s">
        <v>28689</v>
      </c>
      <c r="M3983" s="4" t="s">
        <v>49</v>
      </c>
      <c r="N3983" s="4" t="s">
        <v>29</v>
      </c>
      <c r="O3983" s="4" t="s">
        <v>28690</v>
      </c>
      <c r="P3983" s="4" t="s">
        <v>1548</v>
      </c>
      <c r="Q3983" s="4" t="s">
        <v>28691</v>
      </c>
      <c r="R3983" s="6"/>
      <c r="S3983" s="6"/>
      <c r="T3983" s="6"/>
      <c r="U3983" s="6"/>
      <c r="V3983" s="6"/>
      <c r="W3983" s="6"/>
      <c r="X3983" s="6"/>
      <c r="Y3983" s="6"/>
      <c r="Z3983" s="6"/>
      <c r="AA3983" s="6"/>
    </row>
    <row r="3984" ht="14.25">
      <c r="B3984" s="4" t="s">
        <v>604</v>
      </c>
      <c r="C3984" s="4" t="s">
        <v>28692</v>
      </c>
      <c r="D3984" s="4" t="s">
        <v>3775</v>
      </c>
      <c r="E3984" s="4" t="s">
        <v>27595</v>
      </c>
      <c r="F3984" s="4" t="str">
        <f>IFERROR(__XLUDF.DUMMYFUNCTION("PROPER(REGEXREPLACE(D389,""[^A-Za-z]+ "",""""))"),"Jurnee")</f>
        <v>Jurnee</v>
      </c>
      <c r="G3984" s="4" t="s">
        <v>28693</v>
      </c>
      <c r="H3984" s="4">
        <v>12</v>
      </c>
      <c r="I3984" s="4" t="s">
        <v>2602</v>
      </c>
      <c r="J3984" s="4" t="str">
        <f>IFERROR(__XLUDF.DUMMYFUNCTION("VLOOKUP(H389,IMPORTRANGE(""https://docs.google.com/spreadsheets/d/1opm6ZNvGZ7KditA9TuJwrZ25eFLfTNIkrNnY6mhV5Eg"",""list!A1:C115""),3,TRUE)"),"le secteur de la tech")</f>
        <v xml:space="preserve">le secteur de la tech</v>
      </c>
      <c r="K3984" s="5" t="s">
        <v>28694</v>
      </c>
      <c r="L3984" s="5" t="s">
        <v>27598</v>
      </c>
      <c r="M3984" s="4" t="s">
        <v>39</v>
      </c>
      <c r="N3984" s="4" t="s">
        <v>29</v>
      </c>
      <c r="O3984" s="4" t="s">
        <v>1084</v>
      </c>
      <c r="P3984" s="4" t="s">
        <v>29</v>
      </c>
      <c r="Q3984" s="4" t="s">
        <v>27599</v>
      </c>
      <c r="R3984" s="6"/>
      <c r="S3984" s="6"/>
      <c r="T3984" s="6"/>
      <c r="U3984" s="6"/>
      <c r="V3984" s="6"/>
      <c r="W3984" s="6"/>
      <c r="X3984" s="6"/>
      <c r="Y3984" s="6"/>
      <c r="Z3984" s="6"/>
      <c r="AA3984" s="6"/>
    </row>
    <row r="3985" ht="14.25">
      <c r="B3985" s="4" t="s">
        <v>2138</v>
      </c>
      <c r="C3985" s="4" t="s">
        <v>28695</v>
      </c>
      <c r="D3985" s="4" t="s">
        <v>172</v>
      </c>
      <c r="E3985" s="4" t="s">
        <v>28696</v>
      </c>
      <c r="F3985" s="4" t="str">
        <f>IFERROR(__XLUDF.DUMMYFUNCTION("PROPER(REGEXREPLACE(D390,""[^A-Za-z]+ "",""""))"),"Micromedia International")</f>
        <v xml:space="preserve">Micromedia International</v>
      </c>
      <c r="G3985" s="4" t="s">
        <v>28697</v>
      </c>
      <c r="H3985" s="4">
        <v>33</v>
      </c>
      <c r="I3985" s="4" t="s">
        <v>2602</v>
      </c>
      <c r="J3985" s="4" t="str">
        <f>IFERROR(__XLUDF.DUMMYFUNCTION("VLOOKUP(H390,IMPORTRANGE(""https://docs.google.com/spreadsheets/d/1opm6ZNvGZ7KditA9TuJwrZ25eFLfTNIkrNnY6mhV5Eg"",""list!A1:C115""),3,TRUE)"),"le secteur de la tech")</f>
        <v xml:space="preserve">le secteur de la tech</v>
      </c>
      <c r="K3985" s="5" t="s">
        <v>28698</v>
      </c>
      <c r="L3985" s="5" t="s">
        <v>28699</v>
      </c>
      <c r="M3985" s="4" t="s">
        <v>15722</v>
      </c>
      <c r="N3985" s="4" t="s">
        <v>29</v>
      </c>
      <c r="O3985" s="4" t="s">
        <v>28700</v>
      </c>
      <c r="P3985" s="4" t="s">
        <v>29</v>
      </c>
      <c r="Q3985" s="4" t="s">
        <v>28701</v>
      </c>
      <c r="R3985" s="6"/>
      <c r="S3985" s="6"/>
      <c r="T3985" s="6"/>
      <c r="U3985" s="6"/>
      <c r="V3985" s="6"/>
      <c r="W3985" s="6"/>
      <c r="X3985" s="6"/>
      <c r="Y3985" s="6"/>
      <c r="Z3985" s="6"/>
      <c r="AA3985" s="6"/>
    </row>
    <row r="3986" ht="14.25">
      <c r="B3986" s="4" t="s">
        <v>170</v>
      </c>
      <c r="C3986" s="4" t="s">
        <v>28702</v>
      </c>
      <c r="D3986" s="4" t="s">
        <v>19945</v>
      </c>
      <c r="E3986" s="4" t="s">
        <v>19946</v>
      </c>
      <c r="F3986" s="4" t="str">
        <f>IFERROR(__XLUDF.DUMMYFUNCTION("PROPER(REGEXREPLACE(D391,""[^A-Za-z]+ "",""""))"),"Evolio")</f>
        <v>Evolio</v>
      </c>
      <c r="G3986" s="4" t="s">
        <v>28703</v>
      </c>
      <c r="H3986" s="4">
        <v>13</v>
      </c>
      <c r="I3986" s="4" t="s">
        <v>2602</v>
      </c>
      <c r="J3986" s="4" t="str">
        <f>IFERROR(__XLUDF.DUMMYFUNCTION("VLOOKUP(H391,IMPORTRANGE(""https://docs.google.com/spreadsheets/d/1opm6ZNvGZ7KditA9TuJwrZ25eFLfTNIkrNnY6mhV5Eg"",""list!A1:C115""),3,TRUE)"),"le secteur de la tech")</f>
        <v xml:space="preserve">le secteur de la tech</v>
      </c>
      <c r="K3986" s="5" t="s">
        <v>28704</v>
      </c>
      <c r="L3986" s="5" t="s">
        <v>19949</v>
      </c>
      <c r="M3986" s="4" t="s">
        <v>83</v>
      </c>
      <c r="N3986" s="4" t="s">
        <v>29</v>
      </c>
      <c r="O3986" s="4" t="s">
        <v>84</v>
      </c>
      <c r="P3986" s="4" t="s">
        <v>29</v>
      </c>
      <c r="Q3986" s="6"/>
      <c r="R3986" s="6"/>
      <c r="S3986" s="6"/>
      <c r="T3986" s="6"/>
      <c r="U3986" s="6"/>
      <c r="V3986" s="6"/>
      <c r="W3986" s="6"/>
      <c r="X3986" s="6"/>
      <c r="Y3986" s="6"/>
      <c r="Z3986" s="6"/>
      <c r="AA3986" s="6"/>
    </row>
    <row r="3987" ht="14.25">
      <c r="B3987" s="4" t="s">
        <v>7518</v>
      </c>
      <c r="C3987" s="4" t="s">
        <v>21927</v>
      </c>
      <c r="D3987" s="4" t="s">
        <v>87</v>
      </c>
      <c r="E3987" s="4" t="s">
        <v>28705</v>
      </c>
      <c r="F3987" s="4" t="str">
        <f>IFERROR(__XLUDF.DUMMYFUNCTION("PROPER(REGEXREPLACE(D392,""[^A-Za-z]+ "",""""))"),"Digital No Limit")</f>
        <v xml:space="preserve">Digital No Limit</v>
      </c>
      <c r="G3987" s="4" t="s">
        <v>28706</v>
      </c>
      <c r="H3987" s="4">
        <v>11</v>
      </c>
      <c r="I3987" s="4" t="s">
        <v>2602</v>
      </c>
      <c r="J3987" s="4" t="str">
        <f>IFERROR(__XLUDF.DUMMYFUNCTION("VLOOKUP(H392,IMPORTRANGE(""https://docs.google.com/spreadsheets/d/1opm6ZNvGZ7KditA9TuJwrZ25eFLfTNIkrNnY6mhV5Eg"",""list!A1:C115""),3,TRUE)"),"le secteur de la tech")</f>
        <v xml:space="preserve">le secteur de la tech</v>
      </c>
      <c r="K3987" s="5" t="s">
        <v>28707</v>
      </c>
      <c r="L3987" s="5" t="s">
        <v>28708</v>
      </c>
      <c r="M3987" s="6"/>
      <c r="N3987" s="4" t="s">
        <v>29</v>
      </c>
      <c r="O3987" s="4" t="s">
        <v>23398</v>
      </c>
      <c r="P3987" s="4" t="s">
        <v>29</v>
      </c>
      <c r="Q3987" s="4" t="s">
        <v>28709</v>
      </c>
      <c r="R3987" s="6"/>
      <c r="S3987" s="6"/>
      <c r="T3987" s="6"/>
      <c r="U3987" s="6"/>
      <c r="V3987" s="6"/>
      <c r="W3987" s="6"/>
      <c r="X3987" s="6"/>
      <c r="Y3987" s="6"/>
      <c r="Z3987" s="6"/>
      <c r="AA3987" s="6"/>
    </row>
    <row r="3988" ht="14.25">
      <c r="B3988" s="4" t="s">
        <v>808</v>
      </c>
      <c r="C3988" s="4" t="s">
        <v>28710</v>
      </c>
      <c r="D3988" s="4" t="s">
        <v>87</v>
      </c>
      <c r="E3988" s="4" t="s">
        <v>19617</v>
      </c>
      <c r="F3988" s="4" t="str">
        <f>IFERROR(__XLUDF.DUMMYFUNCTION("PROPER(REGEXREPLACE(D393,""[^A-Za-z]+ "",""""))"),"Kocliko")</f>
        <v>Kocliko</v>
      </c>
      <c r="G3988" s="4" t="s">
        <v>28711</v>
      </c>
      <c r="H3988" s="4">
        <v>12</v>
      </c>
      <c r="I3988" s="4" t="s">
        <v>2602</v>
      </c>
      <c r="J3988" s="4" t="str">
        <f>IFERROR(__XLUDF.DUMMYFUNCTION("VLOOKUP(H393,IMPORTRANGE(""https://docs.google.com/spreadsheets/d/1opm6ZNvGZ7KditA9TuJwrZ25eFLfTNIkrNnY6mhV5Eg"",""list!A1:C115""),3,TRUE)"),"le secteur de la tech")</f>
        <v xml:space="preserve">le secteur de la tech</v>
      </c>
      <c r="K3988" s="5" t="s">
        <v>28712</v>
      </c>
      <c r="L3988" s="5" t="s">
        <v>19620</v>
      </c>
      <c r="M3988" s="4" t="s">
        <v>243</v>
      </c>
      <c r="N3988" s="4" t="s">
        <v>29</v>
      </c>
      <c r="O3988" s="4" t="s">
        <v>19621</v>
      </c>
      <c r="P3988" s="4" t="s">
        <v>29</v>
      </c>
      <c r="Q3988" s="4" t="s">
        <v>19622</v>
      </c>
      <c r="R3988" s="6"/>
      <c r="S3988" s="6"/>
      <c r="T3988" s="6"/>
      <c r="U3988" s="6"/>
      <c r="V3988" s="6"/>
      <c r="W3988" s="6"/>
      <c r="X3988" s="6"/>
      <c r="Y3988" s="6"/>
      <c r="Z3988" s="6"/>
      <c r="AA3988" s="6"/>
    </row>
    <row r="3989" ht="14.25">
      <c r="B3989" s="4" t="s">
        <v>20</v>
      </c>
      <c r="C3989" s="4" t="s">
        <v>28713</v>
      </c>
      <c r="D3989" s="4" t="s">
        <v>62</v>
      </c>
      <c r="E3989" s="4" t="s">
        <v>28714</v>
      </c>
      <c r="F3989" s="4" t="str">
        <f>IFERROR(__XLUDF.DUMMYFUNCTION("PROPER(REGEXREPLACE(D394,""[^A-Za-z]+ "",""""))"),"Fredo")</f>
        <v>Fredo</v>
      </c>
      <c r="G3989" s="4" t="s">
        <v>28715</v>
      </c>
      <c r="H3989" s="4">
        <v>20</v>
      </c>
      <c r="I3989" s="4" t="s">
        <v>2602</v>
      </c>
      <c r="J3989" s="4" t="str">
        <f>IFERROR(__XLUDF.DUMMYFUNCTION("VLOOKUP(H394,IMPORTRANGE(""https://docs.google.com/spreadsheets/d/1opm6ZNvGZ7KditA9TuJwrZ25eFLfTNIkrNnY6mhV5Eg"",""list!A1:C115""),3,TRUE)"),"le secteur de la tech")</f>
        <v xml:space="preserve">le secteur de la tech</v>
      </c>
      <c r="K3989" s="5" t="s">
        <v>28716</v>
      </c>
      <c r="L3989" s="5" t="s">
        <v>28717</v>
      </c>
      <c r="M3989" s="4" t="s">
        <v>185</v>
      </c>
      <c r="N3989" s="4" t="s">
        <v>29</v>
      </c>
      <c r="O3989" s="4" t="s">
        <v>1283</v>
      </c>
      <c r="P3989" s="4" t="s">
        <v>29</v>
      </c>
      <c r="Q3989" s="4" t="s">
        <v>28718</v>
      </c>
      <c r="R3989" s="6"/>
      <c r="S3989" s="6"/>
      <c r="T3989" s="6"/>
      <c r="U3989" s="6"/>
      <c r="V3989" s="6"/>
      <c r="W3989" s="6"/>
      <c r="X3989" s="6"/>
      <c r="Y3989" s="6"/>
      <c r="Z3989" s="6"/>
      <c r="AA3989" s="6"/>
    </row>
    <row r="3990" ht="14.25">
      <c r="B3990" s="4" t="s">
        <v>255</v>
      </c>
      <c r="C3990" s="4" t="s">
        <v>28719</v>
      </c>
      <c r="D3990" s="4" t="s">
        <v>28720</v>
      </c>
      <c r="E3990" s="4" t="s">
        <v>28721</v>
      </c>
      <c r="F3990" s="4" t="str">
        <f>IFERROR(__XLUDF.DUMMYFUNCTION("PROPER(REGEXREPLACE(D395,""[^A-Za-z]+ "",""""))"),"Spot")</f>
        <v>Spot</v>
      </c>
      <c r="G3990" s="4" t="s">
        <v>28722</v>
      </c>
      <c r="H3990" s="4">
        <v>18</v>
      </c>
      <c r="I3990" s="4" t="s">
        <v>2602</v>
      </c>
      <c r="J3990" s="4" t="str">
        <f>IFERROR(__XLUDF.DUMMYFUNCTION("VLOOKUP(H395,IMPORTRANGE(""https://docs.google.com/spreadsheets/d/1opm6ZNvGZ7KditA9TuJwrZ25eFLfTNIkrNnY6mhV5Eg"",""list!A1:C115""),3,TRUE)"),"le secteur de la tech")</f>
        <v xml:space="preserve">le secteur de la tech</v>
      </c>
      <c r="K3990" s="5" t="s">
        <v>28723</v>
      </c>
      <c r="L3990" s="5" t="s">
        <v>28724</v>
      </c>
      <c r="M3990" s="4" t="s">
        <v>39</v>
      </c>
      <c r="N3990" s="4" t="s">
        <v>29</v>
      </c>
      <c r="O3990" s="4" t="s">
        <v>28725</v>
      </c>
      <c r="P3990" s="4" t="s">
        <v>29</v>
      </c>
      <c r="Q3990" s="4" t="s">
        <v>28726</v>
      </c>
      <c r="R3990" s="6"/>
      <c r="S3990" s="6"/>
      <c r="T3990" s="6"/>
      <c r="U3990" s="6"/>
      <c r="V3990" s="6"/>
      <c r="W3990" s="6"/>
      <c r="X3990" s="6"/>
      <c r="Y3990" s="6"/>
      <c r="Z3990" s="6"/>
      <c r="AA3990" s="6"/>
    </row>
    <row r="3991" ht="14.25">
      <c r="B3991" s="4" t="s">
        <v>28727</v>
      </c>
      <c r="C3991" s="4" t="s">
        <v>28728</v>
      </c>
      <c r="D3991" s="4" t="s">
        <v>172</v>
      </c>
      <c r="E3991" s="4" t="s">
        <v>28729</v>
      </c>
      <c r="F3991" s="4" t="str">
        <f>IFERROR(__XLUDF.DUMMYFUNCTION("PROPER(REGEXREPLACE(D396,""[^A-Za-z]+ "",""""))"),"Fast Une Marque De Docaposte")</f>
        <v xml:space="preserve">Fast Une Marque De Docaposte</v>
      </c>
      <c r="G3991" s="4" t="s">
        <v>28730</v>
      </c>
      <c r="H3991" s="4">
        <v>24</v>
      </c>
      <c r="I3991" s="4" t="s">
        <v>2602</v>
      </c>
      <c r="J3991" s="4" t="str">
        <f>IFERROR(__XLUDF.DUMMYFUNCTION("VLOOKUP(H396,IMPORTRANGE(""https://docs.google.com/spreadsheets/d/1opm6ZNvGZ7KditA9TuJwrZ25eFLfTNIkrNnY6mhV5Eg"",""list!A1:C115""),3,TRUE)"),"le secteur de la tech")</f>
        <v xml:space="preserve">le secteur de la tech</v>
      </c>
      <c r="K3991" s="5" t="s">
        <v>28731</v>
      </c>
      <c r="L3991" s="5" t="s">
        <v>28732</v>
      </c>
      <c r="M3991" s="4" t="s">
        <v>39</v>
      </c>
      <c r="N3991" s="4" t="s">
        <v>29</v>
      </c>
      <c r="O3991" s="4" t="s">
        <v>28733</v>
      </c>
      <c r="P3991" s="4" t="s">
        <v>29</v>
      </c>
      <c r="Q3991" s="4" t="s">
        <v>28734</v>
      </c>
      <c r="R3991" s="6"/>
      <c r="S3991" s="6"/>
      <c r="T3991" s="6"/>
      <c r="U3991" s="6"/>
      <c r="V3991" s="6"/>
      <c r="W3991" s="6"/>
      <c r="X3991" s="6"/>
      <c r="Y3991" s="6"/>
      <c r="Z3991" s="6"/>
      <c r="AA3991" s="6"/>
    </row>
    <row r="3992" ht="14.25">
      <c r="B3992" s="4" t="s">
        <v>3870</v>
      </c>
      <c r="C3992" s="4" t="s">
        <v>28735</v>
      </c>
      <c r="D3992" s="4" t="s">
        <v>28736</v>
      </c>
      <c r="E3992" s="4" t="s">
        <v>28737</v>
      </c>
      <c r="F3992" s="4" t="str">
        <f>IFERROR(__XLUDF.DUMMYFUNCTION("PROPER(REGEXREPLACE(D397,""[^A-Za-z]+ "",""""))"),"Interlude Santé")</f>
        <v xml:space="preserve">Interlude Santé</v>
      </c>
      <c r="G3992" s="4" t="s">
        <v>28738</v>
      </c>
      <c r="H3992" s="4">
        <v>10</v>
      </c>
      <c r="I3992" s="4" t="s">
        <v>2602</v>
      </c>
      <c r="J3992" s="4" t="str">
        <f>IFERROR(__XLUDF.DUMMYFUNCTION("VLOOKUP(H397,IMPORTRANGE(""https://docs.google.com/spreadsheets/d/1opm6ZNvGZ7KditA9TuJwrZ25eFLfTNIkrNnY6mhV5Eg"",""list!A1:C115""),3,TRUE)"),"le secteur de la tech")</f>
        <v xml:space="preserve">le secteur de la tech</v>
      </c>
      <c r="K3992" s="5" t="s">
        <v>28739</v>
      </c>
      <c r="L3992" s="5" t="s">
        <v>28740</v>
      </c>
      <c r="M3992" s="4" t="s">
        <v>185</v>
      </c>
      <c r="N3992" s="4" t="s">
        <v>29</v>
      </c>
      <c r="O3992" s="4" t="s">
        <v>28741</v>
      </c>
      <c r="P3992" s="4" t="s">
        <v>29</v>
      </c>
      <c r="Q3992" s="6"/>
      <c r="R3992" s="6"/>
      <c r="S3992" s="6"/>
      <c r="T3992" s="6"/>
      <c r="U3992" s="6"/>
      <c r="V3992" s="6"/>
      <c r="W3992" s="6"/>
      <c r="X3992" s="6"/>
      <c r="Y3992" s="6"/>
      <c r="Z3992" s="6"/>
      <c r="AA3992" s="6"/>
    </row>
    <row r="3993" ht="14.25">
      <c r="B3993" s="4" t="s">
        <v>355</v>
      </c>
      <c r="C3993" s="4" t="s">
        <v>28742</v>
      </c>
      <c r="D3993" s="4" t="s">
        <v>28743</v>
      </c>
      <c r="E3993" s="4" t="s">
        <v>12707</v>
      </c>
      <c r="F3993" s="4" t="str">
        <f>IFERROR(__XLUDF.DUMMYFUNCTION("PROPER(REGEXREPLACE(D398,""[^A-Za-z]+ "",""""))"),"Babbar.Tech")</f>
        <v>Babbar.Tech</v>
      </c>
      <c r="G3993" s="4" t="s">
        <v>28744</v>
      </c>
      <c r="H3993" s="4">
        <v>15</v>
      </c>
      <c r="I3993" s="4" t="s">
        <v>2602</v>
      </c>
      <c r="J3993" s="4" t="str">
        <f>IFERROR(__XLUDF.DUMMYFUNCTION("VLOOKUP(H398,IMPORTRANGE(""https://docs.google.com/spreadsheets/d/1opm6ZNvGZ7KditA9TuJwrZ25eFLfTNIkrNnY6mhV5Eg"",""list!A1:C115""),3,TRUE)"),"le secteur de la tech")</f>
        <v xml:space="preserve">le secteur de la tech</v>
      </c>
      <c r="K3993" s="5" t="s">
        <v>28745</v>
      </c>
      <c r="L3993" s="5" t="s">
        <v>28746</v>
      </c>
      <c r="M3993" s="4" t="s">
        <v>9403</v>
      </c>
      <c r="N3993" s="4" t="s">
        <v>29</v>
      </c>
      <c r="O3993" s="4" t="s">
        <v>28747</v>
      </c>
      <c r="P3993" s="4" t="s">
        <v>29</v>
      </c>
      <c r="Q3993" s="4" t="s">
        <v>12713</v>
      </c>
      <c r="R3993" s="6"/>
      <c r="S3993" s="6"/>
      <c r="T3993" s="6"/>
      <c r="U3993" s="6"/>
      <c r="V3993" s="6"/>
      <c r="W3993" s="6"/>
      <c r="X3993" s="6"/>
      <c r="Y3993" s="6"/>
      <c r="Z3993" s="6"/>
      <c r="AA3993" s="6"/>
    </row>
    <row r="3994" ht="14.25">
      <c r="B3994" s="4" t="s">
        <v>604</v>
      </c>
      <c r="C3994" s="4" t="s">
        <v>28748</v>
      </c>
      <c r="D3994" s="4" t="s">
        <v>28749</v>
      </c>
      <c r="E3994" s="4" t="s">
        <v>28750</v>
      </c>
      <c r="F3994" s="4" t="str">
        <f>IFERROR(__XLUDF.DUMMYFUNCTION("PROPER(REGEXREPLACE(D399,""[^A-Za-z]+ "",""""))"),"Koki")</f>
        <v>Koki</v>
      </c>
      <c r="G3994" s="4" t="s">
        <v>28751</v>
      </c>
      <c r="H3994" s="4">
        <v>14</v>
      </c>
      <c r="I3994" s="4" t="s">
        <v>2602</v>
      </c>
      <c r="J3994" s="4" t="str">
        <f>IFERROR(__XLUDF.DUMMYFUNCTION("VLOOKUP(H399,IMPORTRANGE(""https://docs.google.com/spreadsheets/d/1opm6ZNvGZ7KditA9TuJwrZ25eFLfTNIkrNnY6mhV5Eg"",""list!A1:C115""),3,TRUE)"),"le secteur de la tech")</f>
        <v xml:space="preserve">le secteur de la tech</v>
      </c>
      <c r="K3994" s="5" t="s">
        <v>28752</v>
      </c>
      <c r="L3994" s="5" t="s">
        <v>28753</v>
      </c>
      <c r="M3994" s="4" t="s">
        <v>39</v>
      </c>
      <c r="N3994" s="4" t="s">
        <v>29</v>
      </c>
      <c r="O3994" s="4" t="s">
        <v>28754</v>
      </c>
      <c r="P3994" s="4" t="s">
        <v>29</v>
      </c>
      <c r="Q3994" s="6"/>
      <c r="R3994" s="6"/>
      <c r="S3994" s="6"/>
      <c r="T3994" s="6"/>
      <c r="U3994" s="6"/>
      <c r="V3994" s="6"/>
      <c r="W3994" s="6"/>
      <c r="X3994" s="6"/>
      <c r="Y3994" s="6"/>
      <c r="Z3994" s="6"/>
      <c r="AA3994" s="6"/>
    </row>
    <row r="3995" ht="14.25">
      <c r="B3995" s="4" t="s">
        <v>3164</v>
      </c>
      <c r="C3995" s="4" t="s">
        <v>28755</v>
      </c>
      <c r="D3995" s="4" t="s">
        <v>172</v>
      </c>
      <c r="E3995" s="4" t="s">
        <v>17021</v>
      </c>
      <c r="F3995" s="4" t="str">
        <f>IFERROR(__XLUDF.DUMMYFUNCTION("PROPER(REGEXREPLACE(D400,""[^A-Za-z]+ "",""""))"),"Ingely")</f>
        <v>Ingely</v>
      </c>
      <c r="G3995" s="4" t="s">
        <v>28756</v>
      </c>
      <c r="H3995" s="4">
        <v>12</v>
      </c>
      <c r="I3995" s="4" t="s">
        <v>2602</v>
      </c>
      <c r="J3995" s="4" t="str">
        <f>IFERROR(__XLUDF.DUMMYFUNCTION("VLOOKUP(H400,IMPORTRANGE(""https://docs.google.com/spreadsheets/d/1opm6ZNvGZ7KditA9TuJwrZ25eFLfTNIkrNnY6mhV5Eg"",""list!A1:C115""),3,TRUE)"),"le secteur de la tech")</f>
        <v xml:space="preserve">le secteur de la tech</v>
      </c>
      <c r="K3995" s="5" t="s">
        <v>28757</v>
      </c>
      <c r="L3995" s="5" t="s">
        <v>28758</v>
      </c>
      <c r="M3995" s="4" t="s">
        <v>28759</v>
      </c>
      <c r="N3995" s="4" t="s">
        <v>29</v>
      </c>
      <c r="O3995" s="4" t="s">
        <v>28760</v>
      </c>
      <c r="P3995" s="4" t="s">
        <v>29</v>
      </c>
      <c r="Q3995" s="6"/>
      <c r="R3995" s="6"/>
      <c r="S3995" s="6"/>
      <c r="T3995" s="6"/>
      <c r="U3995" s="6"/>
      <c r="V3995" s="6"/>
      <c r="W3995" s="6"/>
      <c r="X3995" s="6"/>
      <c r="Y3995" s="6"/>
      <c r="Z3995" s="6"/>
      <c r="AA3995" s="6"/>
    </row>
    <row r="3996" ht="14.25">
      <c r="B3996" s="4" t="s">
        <v>4800</v>
      </c>
      <c r="C3996" s="4" t="s">
        <v>28761</v>
      </c>
      <c r="D3996" s="4" t="s">
        <v>28762</v>
      </c>
      <c r="E3996" s="4" t="s">
        <v>28763</v>
      </c>
      <c r="F3996" s="4" t="str">
        <f>IFERROR(__XLUDF.DUMMYFUNCTION("PROPER(REGEXREPLACE(D401,""[^A-Za-z]+ "",""""))"),"Moba")</f>
        <v>Moba</v>
      </c>
      <c r="G3996" s="4" t="s">
        <v>28764</v>
      </c>
      <c r="H3996" s="4">
        <v>16</v>
      </c>
      <c r="I3996" s="4" t="s">
        <v>2602</v>
      </c>
      <c r="J3996" s="4" t="str">
        <f>IFERROR(__XLUDF.DUMMYFUNCTION("VLOOKUP(H401,IMPORTRANGE(""https://docs.google.com/spreadsheets/d/1opm6ZNvGZ7KditA9TuJwrZ25eFLfTNIkrNnY6mhV5Eg"",""list!A1:C115""),3,TRUE)"),"le secteur de la tech")</f>
        <v xml:space="preserve">le secteur de la tech</v>
      </c>
      <c r="K3996" s="5" t="s">
        <v>28765</v>
      </c>
      <c r="L3996" s="5" t="s">
        <v>28766</v>
      </c>
      <c r="M3996" s="6"/>
      <c r="N3996" s="4" t="s">
        <v>29</v>
      </c>
      <c r="O3996" s="4" t="s">
        <v>67</v>
      </c>
      <c r="P3996" s="4" t="s">
        <v>29</v>
      </c>
      <c r="Q3996" s="4" t="s">
        <v>28767</v>
      </c>
      <c r="R3996" s="6"/>
      <c r="S3996" s="6"/>
      <c r="T3996" s="6"/>
      <c r="U3996" s="6"/>
      <c r="V3996" s="6"/>
      <c r="W3996" s="6"/>
      <c r="X3996" s="6"/>
      <c r="Y3996" s="6"/>
      <c r="Z3996" s="6"/>
      <c r="AA3996" s="6"/>
    </row>
    <row r="3997" ht="14.25">
      <c r="B3997" s="4" t="s">
        <v>20</v>
      </c>
      <c r="C3997" s="4" t="s">
        <v>28768</v>
      </c>
      <c r="D3997" s="4" t="s">
        <v>18553</v>
      </c>
      <c r="E3997" s="4" t="s">
        <v>10877</v>
      </c>
      <c r="F3997" s="4" t="str">
        <f>IFERROR(__XLUDF.DUMMYFUNCTION("PROPER(REGEXREPLACE(D402,""[^A-Za-z]+ "",""""))"),"Packitoo")</f>
        <v>Packitoo</v>
      </c>
      <c r="G3997" s="4" t="s">
        <v>28769</v>
      </c>
      <c r="H3997" s="4">
        <v>11</v>
      </c>
      <c r="I3997" s="4" t="s">
        <v>2602</v>
      </c>
      <c r="J3997" s="4" t="str">
        <f>IFERROR(__XLUDF.DUMMYFUNCTION("VLOOKUP(H402,IMPORTRANGE(""https://docs.google.com/spreadsheets/d/1opm6ZNvGZ7KditA9TuJwrZ25eFLfTNIkrNnY6mhV5Eg"",""list!A1:C115""),3,TRUE)"),"le secteur de la tech")</f>
        <v xml:space="preserve">le secteur de la tech</v>
      </c>
      <c r="K3997" s="5" t="s">
        <v>28770</v>
      </c>
      <c r="L3997" s="5" t="s">
        <v>28771</v>
      </c>
      <c r="M3997" s="6"/>
      <c r="N3997" s="4" t="s">
        <v>29</v>
      </c>
      <c r="O3997" s="4" t="s">
        <v>23687</v>
      </c>
      <c r="P3997" s="4" t="s">
        <v>29</v>
      </c>
      <c r="Q3997" s="4" t="s">
        <v>28772</v>
      </c>
      <c r="R3997" s="6"/>
      <c r="S3997" s="6"/>
      <c r="T3997" s="6"/>
      <c r="U3997" s="6"/>
      <c r="V3997" s="6"/>
      <c r="W3997" s="6"/>
      <c r="X3997" s="6"/>
      <c r="Y3997" s="6"/>
      <c r="Z3997" s="6"/>
      <c r="AA3997" s="6"/>
    </row>
    <row r="3998" ht="14.25">
      <c r="B3998" s="4" t="s">
        <v>322</v>
      </c>
      <c r="C3998" s="4" t="s">
        <v>16942</v>
      </c>
      <c r="D3998" s="4" t="s">
        <v>44</v>
      </c>
      <c r="E3998" s="4" t="s">
        <v>28773</v>
      </c>
      <c r="F3998" s="4" t="str">
        <f>IFERROR(__XLUDF.DUMMYFUNCTION("PROPER(REGEXREPLACE(D403,""[^A-Za-z]+ "",""""))"),"Optic Performance")</f>
        <v xml:space="preserve">Optic Performance</v>
      </c>
      <c r="G3998" s="4" t="s">
        <v>28774</v>
      </c>
      <c r="H3998" s="4">
        <v>17</v>
      </c>
      <c r="I3998" s="4" t="s">
        <v>2602</v>
      </c>
      <c r="J3998" s="4" t="str">
        <f>IFERROR(__XLUDF.DUMMYFUNCTION("VLOOKUP(H403,IMPORTRANGE(""https://docs.google.com/spreadsheets/d/1opm6ZNvGZ7KditA9TuJwrZ25eFLfTNIkrNnY6mhV5Eg"",""list!A1:C115""),3,TRUE)"),"le secteur de la tech")</f>
        <v xml:space="preserve">le secteur de la tech</v>
      </c>
      <c r="K3998" s="5" t="s">
        <v>28775</v>
      </c>
      <c r="L3998" s="5" t="s">
        <v>28776</v>
      </c>
      <c r="M3998" s="4" t="s">
        <v>731</v>
      </c>
      <c r="N3998" s="4" t="s">
        <v>29</v>
      </c>
      <c r="O3998" s="4" t="s">
        <v>28777</v>
      </c>
      <c r="P3998" s="4" t="s">
        <v>29</v>
      </c>
      <c r="Q3998" s="4" t="s">
        <v>28778</v>
      </c>
      <c r="R3998" s="6"/>
      <c r="S3998" s="6"/>
      <c r="T3998" s="6"/>
      <c r="U3998" s="6"/>
      <c r="V3998" s="6"/>
      <c r="W3998" s="6"/>
      <c r="X3998" s="6"/>
      <c r="Y3998" s="6"/>
      <c r="Z3998" s="6"/>
      <c r="AA3998" s="6"/>
    </row>
    <row r="3999" ht="14.25">
      <c r="B3999" s="4" t="s">
        <v>2119</v>
      </c>
      <c r="C3999" s="4" t="s">
        <v>28779</v>
      </c>
      <c r="D3999" s="4" t="s">
        <v>28780</v>
      </c>
      <c r="E3999" s="4" t="s">
        <v>28781</v>
      </c>
      <c r="F3999" s="4" t="str">
        <f>IFERROR(__XLUDF.DUMMYFUNCTION("PROPER(REGEXREPLACE(D404,""[^A-Za-z]+ "",""""))"),"Riskcare.Eu")</f>
        <v>Riskcare.Eu</v>
      </c>
      <c r="G3999" s="4" t="s">
        <v>28782</v>
      </c>
      <c r="H3999" s="4">
        <v>24</v>
      </c>
      <c r="I3999" s="4" t="s">
        <v>2602</v>
      </c>
      <c r="J3999" s="4" t="str">
        <f>IFERROR(__XLUDF.DUMMYFUNCTION("VLOOKUP(H404,IMPORTRANGE(""https://docs.google.com/spreadsheets/d/1opm6ZNvGZ7KditA9TuJwrZ25eFLfTNIkrNnY6mhV5Eg"",""list!A1:C115""),3,TRUE)"),"le secteur de la tech")</f>
        <v xml:space="preserve">le secteur de la tech</v>
      </c>
      <c r="K3999" s="5" t="s">
        <v>28783</v>
      </c>
      <c r="L3999" s="5" t="s">
        <v>28784</v>
      </c>
      <c r="M3999" s="4" t="s">
        <v>39</v>
      </c>
      <c r="N3999" s="4" t="s">
        <v>29</v>
      </c>
      <c r="O3999" s="6"/>
      <c r="P3999" s="6"/>
      <c r="Q3999" s="6"/>
      <c r="R3999" s="6"/>
      <c r="S3999" s="6"/>
      <c r="T3999" s="6"/>
      <c r="U3999" s="6"/>
      <c r="V3999" s="6"/>
      <c r="W3999" s="6"/>
      <c r="X3999" s="6"/>
      <c r="Y3999" s="6"/>
      <c r="Z3999" s="6"/>
      <c r="AA3999" s="6"/>
    </row>
    <row r="4000" ht="14.25">
      <c r="B4000" s="4" t="s">
        <v>622</v>
      </c>
      <c r="C4000" s="4" t="s">
        <v>19154</v>
      </c>
      <c r="D4000" s="4" t="s">
        <v>21547</v>
      </c>
      <c r="E4000" s="5" t="s">
        <v>28785</v>
      </c>
      <c r="F4000" s="5" t="str">
        <f>IFERROR(__XLUDF.DUMMYFUNCTION("PROPER(REGEXREPLACE(D405,""[^A-Za-z]+ "",""""))"),"Immersiv.Io")</f>
        <v>Immersiv.Io</v>
      </c>
      <c r="G4000" s="4" t="s">
        <v>28786</v>
      </c>
      <c r="H4000" s="4">
        <v>17</v>
      </c>
      <c r="I4000" s="4" t="s">
        <v>2602</v>
      </c>
      <c r="J4000" s="4" t="str">
        <f>IFERROR(__XLUDF.DUMMYFUNCTION("VLOOKUP(H405,IMPORTRANGE(""https://docs.google.com/spreadsheets/d/1opm6ZNvGZ7KditA9TuJwrZ25eFLfTNIkrNnY6mhV5Eg"",""list!A1:C115""),3,TRUE)"),"le secteur de la tech")</f>
        <v xml:space="preserve">le secteur de la tech</v>
      </c>
      <c r="K4000" s="5" t="s">
        <v>28787</v>
      </c>
      <c r="L4000" s="5" t="s">
        <v>28788</v>
      </c>
      <c r="M4000" s="4" t="s">
        <v>39</v>
      </c>
      <c r="N4000" s="4" t="s">
        <v>29</v>
      </c>
      <c r="O4000" s="4" t="s">
        <v>1158</v>
      </c>
      <c r="P4000" s="4" t="s">
        <v>29</v>
      </c>
      <c r="Q4000" s="4" t="s">
        <v>28789</v>
      </c>
      <c r="R4000" s="6"/>
      <c r="S4000" s="6"/>
      <c r="T4000" s="6"/>
      <c r="U4000" s="6"/>
      <c r="V4000" s="6"/>
      <c r="W4000" s="6"/>
      <c r="X4000" s="6"/>
      <c r="Y4000" s="6"/>
      <c r="Z4000" s="6"/>
      <c r="AA4000" s="6"/>
    </row>
    <row r="4001" ht="14.25">
      <c r="B4001" s="4" t="s">
        <v>1387</v>
      </c>
      <c r="C4001" s="4" t="s">
        <v>28790</v>
      </c>
      <c r="D4001" s="4" t="s">
        <v>62</v>
      </c>
      <c r="E4001" s="4" t="s">
        <v>28791</v>
      </c>
      <c r="F4001" s="4" t="str">
        <f>IFERROR(__XLUDF.DUMMYFUNCTION("PROPER(REGEXREPLACE(D406,""[^A-Za-z]+ "",""""))"),"Sitebox")</f>
        <v>Sitebox</v>
      </c>
      <c r="G4001" s="4" t="s">
        <v>28792</v>
      </c>
      <c r="H4001" s="4">
        <v>13</v>
      </c>
      <c r="I4001" s="4" t="s">
        <v>2602</v>
      </c>
      <c r="J4001" s="4" t="str">
        <f>IFERROR(__XLUDF.DUMMYFUNCTION("VLOOKUP(H406,IMPORTRANGE(""https://docs.google.com/spreadsheets/d/1opm6ZNvGZ7KditA9TuJwrZ25eFLfTNIkrNnY6mhV5Eg"",""list!A1:C115""),3,TRUE)"),"le secteur de la tech")</f>
        <v xml:space="preserve">le secteur de la tech</v>
      </c>
      <c r="K4001" s="5" t="s">
        <v>28793</v>
      </c>
      <c r="L4001" s="5" t="s">
        <v>28794</v>
      </c>
      <c r="M4001" s="4" t="s">
        <v>423</v>
      </c>
      <c r="N4001" s="4" t="s">
        <v>29</v>
      </c>
      <c r="O4001" s="4" t="s">
        <v>28795</v>
      </c>
      <c r="P4001" s="4" t="s">
        <v>1548</v>
      </c>
      <c r="Q4001" s="4" t="s">
        <v>28796</v>
      </c>
      <c r="R4001" s="6"/>
      <c r="S4001" s="6"/>
      <c r="T4001" s="6"/>
      <c r="U4001" s="6"/>
      <c r="V4001" s="6"/>
      <c r="W4001" s="6"/>
      <c r="X4001" s="6"/>
      <c r="Y4001" s="6"/>
      <c r="Z4001" s="6"/>
      <c r="AA4001" s="6"/>
    </row>
    <row r="4002" ht="14.25">
      <c r="B4002" s="4" t="s">
        <v>28797</v>
      </c>
      <c r="C4002" s="4" t="s">
        <v>22803</v>
      </c>
      <c r="D4002" s="4" t="s">
        <v>28798</v>
      </c>
      <c r="E4002" s="4" t="s">
        <v>28799</v>
      </c>
      <c r="F4002" s="4" t="str">
        <f>IFERROR(__XLUDF.DUMMYFUNCTION("PROPER(REGEXREPLACE(D407,""[^A-Za-z]+ "",""""))"),"Nexen")</f>
        <v>Nexen</v>
      </c>
      <c r="G4002" s="4" t="s">
        <v>28800</v>
      </c>
      <c r="H4002" s="4">
        <v>23</v>
      </c>
      <c r="I4002" s="4" t="s">
        <v>2602</v>
      </c>
      <c r="J4002" s="4" t="str">
        <f>IFERROR(__XLUDF.DUMMYFUNCTION("VLOOKUP(H407,IMPORTRANGE(""https://docs.google.com/spreadsheets/d/1opm6ZNvGZ7KditA9TuJwrZ25eFLfTNIkrNnY6mhV5Eg"",""list!A1:C115""),3,TRUE)"),"le secteur de la tech")</f>
        <v xml:space="preserve">le secteur de la tech</v>
      </c>
      <c r="K4002" s="5" t="s">
        <v>28801</v>
      </c>
      <c r="L4002" s="5" t="s">
        <v>28802</v>
      </c>
      <c r="M4002" s="6"/>
      <c r="N4002" s="4" t="s">
        <v>29</v>
      </c>
      <c r="O4002" s="4" t="s">
        <v>28803</v>
      </c>
      <c r="P4002" s="4" t="s">
        <v>29</v>
      </c>
      <c r="Q4002" s="6"/>
      <c r="R4002" s="6"/>
      <c r="S4002" s="6"/>
      <c r="T4002" s="6"/>
      <c r="U4002" s="6"/>
      <c r="V4002" s="6"/>
      <c r="W4002" s="6"/>
      <c r="X4002" s="6"/>
      <c r="Y4002" s="6"/>
      <c r="Z4002" s="6"/>
      <c r="AA4002" s="6"/>
    </row>
    <row r="4003" ht="14.25">
      <c r="B4003" s="4" t="s">
        <v>28804</v>
      </c>
      <c r="C4003" s="4" t="s">
        <v>28805</v>
      </c>
      <c r="D4003" s="4" t="s">
        <v>17579</v>
      </c>
      <c r="E4003" s="4" t="s">
        <v>28806</v>
      </c>
      <c r="F4003" s="4" t="str">
        <f>IFERROR(__XLUDF.DUMMYFUNCTION("PROPER(REGEXREPLACE(D408,""[^A-Za-z]+ "",""""))"),"Bylaw")</f>
        <v>Bylaw</v>
      </c>
      <c r="G4003" s="4" t="s">
        <v>28807</v>
      </c>
      <c r="H4003" s="4">
        <v>17</v>
      </c>
      <c r="I4003" s="4" t="s">
        <v>2602</v>
      </c>
      <c r="J4003" s="4" t="str">
        <f>IFERROR(__XLUDF.DUMMYFUNCTION("VLOOKUP(H408,IMPORTRANGE(""https://docs.google.com/spreadsheets/d/1opm6ZNvGZ7KditA9TuJwrZ25eFLfTNIkrNnY6mhV5Eg"",""list!A1:C115""),3,TRUE)"),"le secteur de la tech")</f>
        <v xml:space="preserve">le secteur de la tech</v>
      </c>
      <c r="K4003" s="5" t="s">
        <v>28808</v>
      </c>
      <c r="L4003" s="5" t="s">
        <v>28809</v>
      </c>
      <c r="M4003" s="4" t="s">
        <v>39</v>
      </c>
      <c r="N4003" s="4" t="s">
        <v>29</v>
      </c>
      <c r="O4003" s="4" t="s">
        <v>67</v>
      </c>
      <c r="P4003" s="4" t="s">
        <v>29</v>
      </c>
      <c r="Q4003" s="4" t="s">
        <v>28810</v>
      </c>
      <c r="R4003" s="6"/>
      <c r="S4003" s="6"/>
      <c r="T4003" s="6"/>
      <c r="U4003" s="6"/>
      <c r="V4003" s="6"/>
      <c r="W4003" s="6"/>
      <c r="X4003" s="6"/>
      <c r="Y4003" s="6"/>
      <c r="Z4003" s="6"/>
      <c r="AA4003" s="6"/>
    </row>
    <row r="4004" ht="14.25">
      <c r="B4004" s="4" t="s">
        <v>769</v>
      </c>
      <c r="C4004" s="4" t="s">
        <v>28811</v>
      </c>
      <c r="D4004" s="4" t="s">
        <v>28812</v>
      </c>
      <c r="E4004" s="4" t="s">
        <v>15547</v>
      </c>
      <c r="F4004" s="4" t="str">
        <f>IFERROR(__XLUDF.DUMMYFUNCTION("PROPER(REGEXREPLACE(D409,""[^A-Za-z]+ "",""""))"),"Aucae")</f>
        <v>Aucae</v>
      </c>
      <c r="G4004" s="4" t="s">
        <v>28813</v>
      </c>
      <c r="H4004" s="4">
        <v>10</v>
      </c>
      <c r="I4004" s="4" t="s">
        <v>2602</v>
      </c>
      <c r="J4004" s="4" t="str">
        <f>IFERROR(__XLUDF.DUMMYFUNCTION("VLOOKUP(H409,IMPORTRANGE(""https://docs.google.com/spreadsheets/d/1opm6ZNvGZ7KditA9TuJwrZ25eFLfTNIkrNnY6mhV5Eg"",""list!A1:C115""),3,TRUE)"),"le secteur de la tech")</f>
        <v xml:space="preserve">le secteur de la tech</v>
      </c>
      <c r="K4004" s="5" t="s">
        <v>28814</v>
      </c>
      <c r="L4004" s="5" t="s">
        <v>28815</v>
      </c>
      <c r="M4004" s="4" t="s">
        <v>83</v>
      </c>
      <c r="N4004" s="4" t="s">
        <v>29</v>
      </c>
      <c r="O4004" s="4" t="s">
        <v>28816</v>
      </c>
      <c r="P4004" s="4" t="s">
        <v>29</v>
      </c>
      <c r="Q4004" s="6"/>
      <c r="R4004" s="6"/>
      <c r="S4004" s="6"/>
      <c r="T4004" s="6"/>
      <c r="U4004" s="6"/>
      <c r="V4004" s="6"/>
      <c r="W4004" s="6"/>
      <c r="X4004" s="6"/>
      <c r="Y4004" s="6"/>
      <c r="Z4004" s="6"/>
      <c r="AA4004" s="6"/>
    </row>
    <row r="4005" ht="14.25">
      <c r="B4005" s="4" t="s">
        <v>539</v>
      </c>
      <c r="C4005" s="4" t="s">
        <v>28817</v>
      </c>
      <c r="D4005" s="4" t="s">
        <v>18718</v>
      </c>
      <c r="E4005" s="5" t="s">
        <v>28818</v>
      </c>
      <c r="F4005" s="5" t="str">
        <f>IFERROR(__XLUDF.DUMMYFUNCTION("PROPER(REGEXREPLACE(D410,""[^A-Za-z]+ "",""""))"),"Cynapps.Ai")</f>
        <v>Cynapps.Ai</v>
      </c>
      <c r="G4005" s="4" t="s">
        <v>28819</v>
      </c>
      <c r="H4005" s="4">
        <v>36</v>
      </c>
      <c r="I4005" s="4" t="s">
        <v>2602</v>
      </c>
      <c r="J4005" s="4" t="str">
        <f>IFERROR(__XLUDF.DUMMYFUNCTION("VLOOKUP(H410,IMPORTRANGE(""https://docs.google.com/spreadsheets/d/1opm6ZNvGZ7KditA9TuJwrZ25eFLfTNIkrNnY6mhV5Eg"",""list!A1:C115""),3,TRUE)"),"le secteur de la tech")</f>
        <v xml:space="preserve">le secteur de la tech</v>
      </c>
      <c r="K4005" s="5" t="s">
        <v>28820</v>
      </c>
      <c r="L4005" s="5" t="s">
        <v>28821</v>
      </c>
      <c r="M4005" s="6"/>
      <c r="N4005" s="4" t="s">
        <v>29</v>
      </c>
      <c r="O4005" s="4" t="s">
        <v>28822</v>
      </c>
      <c r="P4005" s="4" t="s">
        <v>29</v>
      </c>
      <c r="Q4005" s="4" t="s">
        <v>28823</v>
      </c>
      <c r="R4005" s="6"/>
      <c r="S4005" s="6"/>
      <c r="T4005" s="6"/>
      <c r="U4005" s="6"/>
      <c r="V4005" s="6"/>
      <c r="W4005" s="6"/>
      <c r="X4005" s="6"/>
      <c r="Y4005" s="6"/>
      <c r="Z4005" s="6"/>
      <c r="AA4005" s="6"/>
    </row>
    <row r="4006" ht="14.25">
      <c r="B4006" s="4" t="s">
        <v>3164</v>
      </c>
      <c r="C4006" s="4" t="s">
        <v>28824</v>
      </c>
      <c r="D4006" s="4" t="s">
        <v>28825</v>
      </c>
      <c r="E4006" s="4" t="s">
        <v>23920</v>
      </c>
      <c r="F4006" s="4" t="str">
        <f>IFERROR(__XLUDF.DUMMYFUNCTION("PROPER(REGEXREPLACE(D411,""[^A-Za-z]+ "",""""))"),"Cloud Ambiance")</f>
        <v xml:space="preserve">Cloud Ambiance</v>
      </c>
      <c r="G4006" s="4" t="s">
        <v>23921</v>
      </c>
      <c r="H4006" s="4">
        <v>22</v>
      </c>
      <c r="I4006" s="4" t="s">
        <v>2602</v>
      </c>
      <c r="J4006" s="4" t="str">
        <f>IFERROR(__XLUDF.DUMMYFUNCTION("VLOOKUP(H411,IMPORTRANGE(""https://docs.google.com/spreadsheets/d/1opm6ZNvGZ7KditA9TuJwrZ25eFLfTNIkrNnY6mhV5Eg"",""list!A1:C115""),3,TRUE)"),"le secteur de la tech")</f>
        <v xml:space="preserve">le secteur de la tech</v>
      </c>
      <c r="K4006" s="5" t="s">
        <v>23922</v>
      </c>
      <c r="L4006" s="5" t="s">
        <v>23923</v>
      </c>
      <c r="M4006" s="4" t="s">
        <v>39</v>
      </c>
      <c r="N4006" s="4" t="s">
        <v>29</v>
      </c>
      <c r="O4006" s="4" t="s">
        <v>23924</v>
      </c>
      <c r="P4006" s="4" t="s">
        <v>29</v>
      </c>
      <c r="Q4006" s="4" t="s">
        <v>23925</v>
      </c>
      <c r="R4006" s="6"/>
      <c r="S4006" s="6"/>
      <c r="T4006" s="6"/>
      <c r="U4006" s="6"/>
      <c r="V4006" s="6"/>
      <c r="W4006" s="6"/>
      <c r="X4006" s="6"/>
      <c r="Y4006" s="6"/>
      <c r="Z4006" s="6"/>
      <c r="AA4006" s="6"/>
    </row>
    <row r="4007" ht="14.25">
      <c r="B4007" s="4" t="s">
        <v>7559</v>
      </c>
      <c r="C4007" s="4" t="s">
        <v>28826</v>
      </c>
      <c r="D4007" s="4" t="s">
        <v>4586</v>
      </c>
      <c r="E4007" s="4" t="s">
        <v>28827</v>
      </c>
      <c r="F4007" s="4" t="str">
        <f>IFERROR(__XLUDF.DUMMYFUNCTION("PROPER(REGEXREPLACE(D412,""[^A-Za-z]+ "",""""))"),"Euromédia Réseauxsécurité")</f>
        <v xml:space="preserve">Euromédia Réseauxsécurité</v>
      </c>
      <c r="G4007" s="4" t="s">
        <v>28828</v>
      </c>
      <c r="H4007" s="4">
        <v>21</v>
      </c>
      <c r="I4007" s="4" t="s">
        <v>2602</v>
      </c>
      <c r="J4007" s="4" t="str">
        <f>IFERROR(__XLUDF.DUMMYFUNCTION("VLOOKUP(H412,IMPORTRANGE(""https://docs.google.com/spreadsheets/d/1opm6ZNvGZ7KditA9TuJwrZ25eFLfTNIkrNnY6mhV5Eg"",""list!A1:C115""),3,TRUE)"),"le secteur de la tech")</f>
        <v xml:space="preserve">le secteur de la tech</v>
      </c>
      <c r="K4007" s="5" t="s">
        <v>28829</v>
      </c>
      <c r="L4007" s="5" t="s">
        <v>20621</v>
      </c>
      <c r="M4007" s="4" t="s">
        <v>20622</v>
      </c>
      <c r="N4007" s="4" t="s">
        <v>29</v>
      </c>
      <c r="O4007" s="4" t="s">
        <v>20623</v>
      </c>
      <c r="P4007" s="4" t="s">
        <v>29</v>
      </c>
      <c r="Q4007" s="6"/>
      <c r="R4007" s="6"/>
      <c r="S4007" s="6"/>
      <c r="T4007" s="6"/>
      <c r="U4007" s="6"/>
      <c r="V4007" s="6"/>
      <c r="W4007" s="6"/>
      <c r="X4007" s="6"/>
      <c r="Y4007" s="6"/>
      <c r="Z4007" s="6"/>
      <c r="AA4007" s="6"/>
    </row>
    <row r="4008" ht="14.25">
      <c r="B4008" s="4" t="s">
        <v>743</v>
      </c>
      <c r="C4008" s="4" t="s">
        <v>12852</v>
      </c>
      <c r="D4008" s="4" t="s">
        <v>28830</v>
      </c>
      <c r="E4008" s="4" t="s">
        <v>28831</v>
      </c>
      <c r="F4008" s="4" t="str">
        <f>IFERROR(__XLUDF.DUMMYFUNCTION("PROPER(REGEXREPLACE(D413,""[^A-Za-z]+ "",""""))"),"Sidely")</f>
        <v>Sidely</v>
      </c>
      <c r="G4008" s="4" t="s">
        <v>28832</v>
      </c>
      <c r="H4008" s="4">
        <v>18</v>
      </c>
      <c r="I4008" s="4" t="s">
        <v>2602</v>
      </c>
      <c r="J4008" s="4" t="str">
        <f>IFERROR(__XLUDF.DUMMYFUNCTION("VLOOKUP(H413,IMPORTRANGE(""https://docs.google.com/spreadsheets/d/1opm6ZNvGZ7KditA9TuJwrZ25eFLfTNIkrNnY6mhV5Eg"",""list!A1:C115""),3,TRUE)"),"le secteur de la tech")</f>
        <v xml:space="preserve">le secteur de la tech</v>
      </c>
      <c r="K4008" s="5" t="s">
        <v>28833</v>
      </c>
      <c r="L4008" s="5" t="s">
        <v>28834</v>
      </c>
      <c r="M4008" s="4" t="s">
        <v>39</v>
      </c>
      <c r="N4008" s="4" t="s">
        <v>29</v>
      </c>
      <c r="O4008" s="4" t="s">
        <v>67</v>
      </c>
      <c r="P4008" s="4" t="s">
        <v>29</v>
      </c>
      <c r="Q4008" s="4" t="s">
        <v>28835</v>
      </c>
      <c r="R4008" s="6"/>
      <c r="S4008" s="6"/>
      <c r="T4008" s="6"/>
      <c r="U4008" s="6"/>
      <c r="V4008" s="6"/>
      <c r="W4008" s="6"/>
      <c r="X4008" s="6"/>
      <c r="Y4008" s="6"/>
      <c r="Z4008" s="6"/>
      <c r="AA4008" s="6"/>
    </row>
    <row r="4009" ht="14.25">
      <c r="B4009" s="4" t="s">
        <v>222</v>
      </c>
      <c r="C4009" s="4" t="s">
        <v>28836</v>
      </c>
      <c r="D4009" s="4" t="s">
        <v>28837</v>
      </c>
      <c r="E4009" s="4" t="s">
        <v>12241</v>
      </c>
      <c r="F4009" s="4" t="str">
        <f>IFERROR(__XLUDF.DUMMYFUNCTION("PROPER(REGEXREPLACE(D414,""[^A-Za-z]+ "",""""))"),"Jumbo Mana")</f>
        <v xml:space="preserve">Jumbo Mana</v>
      </c>
      <c r="G4009" s="4" t="s">
        <v>28838</v>
      </c>
      <c r="H4009" s="4">
        <v>15</v>
      </c>
      <c r="I4009" s="4" t="s">
        <v>2602</v>
      </c>
      <c r="J4009" s="4" t="str">
        <f>IFERROR(__XLUDF.DUMMYFUNCTION("VLOOKUP(H414,IMPORTRANGE(""https://docs.google.com/spreadsheets/d/1opm6ZNvGZ7KditA9TuJwrZ25eFLfTNIkrNnY6mhV5Eg"",""list!A1:C115""),3,TRUE)"),"le secteur de la tech")</f>
        <v xml:space="preserve">le secteur de la tech</v>
      </c>
      <c r="K4009" s="5" t="s">
        <v>28839</v>
      </c>
      <c r="L4009" s="5" t="s">
        <v>24303</v>
      </c>
      <c r="M4009" s="6"/>
      <c r="N4009" s="4" t="s">
        <v>29</v>
      </c>
      <c r="O4009" s="4" t="s">
        <v>24304</v>
      </c>
      <c r="P4009" s="4" t="s">
        <v>29</v>
      </c>
      <c r="Q4009" s="4" t="s">
        <v>12245</v>
      </c>
      <c r="R4009" s="6"/>
      <c r="S4009" s="6"/>
      <c r="T4009" s="6"/>
      <c r="U4009" s="6"/>
      <c r="V4009" s="6"/>
      <c r="W4009" s="6"/>
      <c r="X4009" s="6"/>
      <c r="Y4009" s="6"/>
      <c r="Z4009" s="6"/>
      <c r="AA4009" s="6"/>
    </row>
    <row r="4010" ht="14.25">
      <c r="B4010" s="4" t="s">
        <v>948</v>
      </c>
      <c r="C4010" s="4" t="s">
        <v>28840</v>
      </c>
      <c r="D4010" s="4" t="s">
        <v>6416</v>
      </c>
      <c r="E4010" s="4" t="s">
        <v>27138</v>
      </c>
      <c r="F4010" s="4" t="str">
        <f>IFERROR(__XLUDF.DUMMYFUNCTION("PROPER(REGEXREPLACE(D415,""[^A-Za-z]+ "",""""))"),"Matchtune")</f>
        <v>Matchtune</v>
      </c>
      <c r="G4010" s="4" t="s">
        <v>28841</v>
      </c>
      <c r="H4010" s="4">
        <v>13</v>
      </c>
      <c r="I4010" s="4" t="s">
        <v>2602</v>
      </c>
      <c r="J4010" s="4" t="str">
        <f>IFERROR(__XLUDF.DUMMYFUNCTION("VLOOKUP(H415,IMPORTRANGE(""https://docs.google.com/spreadsheets/d/1opm6ZNvGZ7KditA9TuJwrZ25eFLfTNIkrNnY6mhV5Eg"",""list!A1:C115""),3,TRUE)"),"le secteur de la tech")</f>
        <v xml:space="preserve">le secteur de la tech</v>
      </c>
      <c r="K4010" s="5" t="s">
        <v>28842</v>
      </c>
      <c r="L4010" s="5" t="s">
        <v>27141</v>
      </c>
      <c r="M4010" s="6"/>
      <c r="N4010" s="4" t="s">
        <v>29</v>
      </c>
      <c r="O4010" s="4" t="s">
        <v>27142</v>
      </c>
      <c r="P4010" s="4" t="s">
        <v>1261</v>
      </c>
      <c r="Q4010" s="4" t="s">
        <v>27143</v>
      </c>
      <c r="R4010" s="6"/>
      <c r="S4010" s="6"/>
      <c r="T4010" s="6"/>
      <c r="U4010" s="6"/>
      <c r="V4010" s="6"/>
      <c r="W4010" s="6"/>
      <c r="X4010" s="6"/>
      <c r="Y4010" s="6"/>
      <c r="Z4010" s="6"/>
      <c r="AA4010" s="6"/>
    </row>
    <row r="4011" ht="14.25">
      <c r="B4011" s="4" t="s">
        <v>23787</v>
      </c>
      <c r="C4011" s="4" t="s">
        <v>6318</v>
      </c>
      <c r="D4011" s="4" t="s">
        <v>230</v>
      </c>
      <c r="E4011" s="5" t="s">
        <v>28843</v>
      </c>
      <c r="F4011" s="5" t="str">
        <f>IFERROR(__XLUDF.DUMMYFUNCTION("PROPER(REGEXREPLACE(D416,""[^A-Za-z]+ "",""""))"),"Genba.Fr")</f>
        <v>Genba.Fr</v>
      </c>
      <c r="G4011" s="4" t="s">
        <v>28844</v>
      </c>
      <c r="H4011" s="4">
        <v>4</v>
      </c>
      <c r="I4011" s="4" t="s">
        <v>2602</v>
      </c>
      <c r="J4011" s="4" t="str">
        <f>IFERROR(__XLUDF.DUMMYFUNCTION("VLOOKUP(H416,IMPORTRANGE(""https://docs.google.com/spreadsheets/d/1opm6ZNvGZ7KditA9TuJwrZ25eFLfTNIkrNnY6mhV5Eg"",""list!A1:C115""),3,TRUE)"),"le secteur de la tech")</f>
        <v xml:space="preserve">le secteur de la tech</v>
      </c>
      <c r="K4011" s="5" t="s">
        <v>28845</v>
      </c>
      <c r="L4011" s="5" t="s">
        <v>28846</v>
      </c>
      <c r="M4011" s="4" t="s">
        <v>1150</v>
      </c>
      <c r="N4011" s="4" t="s">
        <v>29</v>
      </c>
      <c r="O4011" s="4" t="s">
        <v>28847</v>
      </c>
      <c r="P4011" s="4" t="s">
        <v>29</v>
      </c>
      <c r="Q4011" s="4" t="s">
        <v>28848</v>
      </c>
      <c r="R4011" s="6"/>
      <c r="S4011" s="6"/>
      <c r="T4011" s="6"/>
      <c r="U4011" s="6"/>
      <c r="V4011" s="6"/>
      <c r="W4011" s="6"/>
      <c r="X4011" s="6"/>
      <c r="Y4011" s="6"/>
      <c r="Z4011" s="6"/>
      <c r="AA4011" s="6"/>
    </row>
    <row r="4012" ht="14.25">
      <c r="B4012" s="4" t="s">
        <v>6634</v>
      </c>
      <c r="C4012" s="4" t="s">
        <v>28849</v>
      </c>
      <c r="D4012" s="4" t="s">
        <v>28850</v>
      </c>
      <c r="E4012" s="4" t="s">
        <v>28851</v>
      </c>
      <c r="F4012" s="4" t="str">
        <f>IFERROR(__XLUDF.DUMMYFUNCTION("PROPER(REGEXREPLACE(D417,""[^A-Za-z]+ "",""""))"),"Adeiz")</f>
        <v>Adeiz</v>
      </c>
      <c r="G4012" s="4" t="s">
        <v>28852</v>
      </c>
      <c r="H4012" s="4">
        <v>18</v>
      </c>
      <c r="I4012" s="4" t="s">
        <v>2602</v>
      </c>
      <c r="J4012" s="4" t="str">
        <f>IFERROR(__XLUDF.DUMMYFUNCTION("VLOOKUP(H417,IMPORTRANGE(""https://docs.google.com/spreadsheets/d/1opm6ZNvGZ7KditA9TuJwrZ25eFLfTNIkrNnY6mhV5Eg"",""list!A1:C115""),3,TRUE)"),"le secteur de la tech")</f>
        <v xml:space="preserve">le secteur de la tech</v>
      </c>
      <c r="K4012" s="5" t="s">
        <v>28853</v>
      </c>
      <c r="L4012" s="5" t="s">
        <v>28854</v>
      </c>
      <c r="M4012" s="4" t="s">
        <v>26167</v>
      </c>
      <c r="N4012" s="4" t="s">
        <v>29</v>
      </c>
      <c r="O4012" s="4" t="s">
        <v>28855</v>
      </c>
      <c r="P4012" s="4" t="s">
        <v>29</v>
      </c>
      <c r="Q4012" s="6"/>
      <c r="R4012" s="6"/>
      <c r="S4012" s="6"/>
      <c r="T4012" s="6"/>
      <c r="U4012" s="6"/>
      <c r="V4012" s="6"/>
      <c r="W4012" s="6"/>
      <c r="X4012" s="6"/>
      <c r="Y4012" s="6"/>
      <c r="Z4012" s="6"/>
      <c r="AA4012" s="6"/>
    </row>
    <row r="4013" ht="14.25">
      <c r="B4013" s="4" t="s">
        <v>1605</v>
      </c>
      <c r="C4013" s="4" t="s">
        <v>28856</v>
      </c>
      <c r="D4013" s="4" t="s">
        <v>28857</v>
      </c>
      <c r="E4013" s="4" t="s">
        <v>28858</v>
      </c>
      <c r="F4013" s="4" t="str">
        <f>IFERROR(__XLUDF.DUMMYFUNCTION("PROPER(REGEXREPLACE(D418,""[^A-Za-z]+ "",""""))"),"Bloomays")</f>
        <v>Bloomays</v>
      </c>
      <c r="G4013" s="4" t="s">
        <v>28859</v>
      </c>
      <c r="H4013" s="4">
        <v>32</v>
      </c>
      <c r="I4013" s="4" t="s">
        <v>2602</v>
      </c>
      <c r="J4013" s="4" t="str">
        <f>IFERROR(__XLUDF.DUMMYFUNCTION("VLOOKUP(H418,IMPORTRANGE(""https://docs.google.com/spreadsheets/d/1opm6ZNvGZ7KditA9TuJwrZ25eFLfTNIkrNnY6mhV5Eg"",""list!A1:C115""),3,TRUE)"),"le secteur de la tech")</f>
        <v xml:space="preserve">le secteur de la tech</v>
      </c>
      <c r="K4013" s="5" t="s">
        <v>28860</v>
      </c>
      <c r="L4013" s="5" t="s">
        <v>28861</v>
      </c>
      <c r="M4013" s="4" t="s">
        <v>39</v>
      </c>
      <c r="N4013" s="4" t="s">
        <v>29</v>
      </c>
      <c r="O4013" s="4" t="s">
        <v>28862</v>
      </c>
      <c r="P4013" s="4" t="s">
        <v>29</v>
      </c>
      <c r="Q4013" s="4" t="s">
        <v>28863</v>
      </c>
      <c r="R4013" s="6"/>
      <c r="S4013" s="6"/>
      <c r="T4013" s="6"/>
      <c r="U4013" s="6"/>
      <c r="V4013" s="6"/>
      <c r="W4013" s="6"/>
      <c r="X4013" s="6"/>
      <c r="Y4013" s="6"/>
      <c r="Z4013" s="6"/>
      <c r="AA4013" s="6"/>
    </row>
    <row r="4014" ht="14.25">
      <c r="B4014" s="4" t="s">
        <v>2249</v>
      </c>
      <c r="C4014" s="4" t="s">
        <v>28864</v>
      </c>
      <c r="D4014" s="4" t="s">
        <v>87</v>
      </c>
      <c r="E4014" s="4" t="s">
        <v>28865</v>
      </c>
      <c r="F4014" s="4" t="str">
        <f>IFERROR(__XLUDF.DUMMYFUNCTION("PROPER(REGEXREPLACE(D419,""[^A-Za-z]+ "",""""))"),"Data Vectis")</f>
        <v xml:space="preserve">Data Vectis</v>
      </c>
      <c r="G4014" s="4" t="s">
        <v>28866</v>
      </c>
      <c r="H4014" s="4">
        <v>12</v>
      </c>
      <c r="I4014" s="4" t="s">
        <v>2602</v>
      </c>
      <c r="J4014" s="4" t="str">
        <f>IFERROR(__XLUDF.DUMMYFUNCTION("VLOOKUP(H419,IMPORTRANGE(""https://docs.google.com/spreadsheets/d/1opm6ZNvGZ7KditA9TuJwrZ25eFLfTNIkrNnY6mhV5Eg"",""list!A1:C115""),3,TRUE)"),"le secteur de la tech")</f>
        <v xml:space="preserve">le secteur de la tech</v>
      </c>
      <c r="K4014" s="5" t="s">
        <v>28867</v>
      </c>
      <c r="L4014" s="5" t="s">
        <v>28868</v>
      </c>
      <c r="M4014" s="4" t="s">
        <v>39</v>
      </c>
      <c r="N4014" s="4" t="s">
        <v>29</v>
      </c>
      <c r="O4014" s="4" t="s">
        <v>28869</v>
      </c>
      <c r="P4014" s="4" t="s">
        <v>29</v>
      </c>
      <c r="Q4014" s="4" t="s">
        <v>28870</v>
      </c>
      <c r="R4014" s="6"/>
      <c r="S4014" s="6"/>
      <c r="T4014" s="6"/>
      <c r="U4014" s="6"/>
      <c r="V4014" s="6"/>
      <c r="W4014" s="6"/>
      <c r="X4014" s="6"/>
      <c r="Y4014" s="6"/>
      <c r="Z4014" s="6"/>
      <c r="AA4014" s="6"/>
    </row>
    <row r="4015" ht="14.25">
      <c r="B4015" s="4" t="s">
        <v>596</v>
      </c>
      <c r="C4015" s="4" t="s">
        <v>28871</v>
      </c>
      <c r="D4015" s="4" t="s">
        <v>247</v>
      </c>
      <c r="E4015" s="4" t="s">
        <v>27236</v>
      </c>
      <c r="F4015" s="4" t="str">
        <f>IFERROR(__XLUDF.DUMMYFUNCTION("PROPER(REGEXREPLACE(D420,""[^A-Za-z]+ "",""""))"),"Ezymob")</f>
        <v>Ezymob</v>
      </c>
      <c r="G4015" s="4" t="s">
        <v>28872</v>
      </c>
      <c r="H4015" s="4">
        <v>11</v>
      </c>
      <c r="I4015" s="4" t="s">
        <v>2602</v>
      </c>
      <c r="J4015" s="4" t="str">
        <f>IFERROR(__XLUDF.DUMMYFUNCTION("VLOOKUP(H420,IMPORTRANGE(""https://docs.google.com/spreadsheets/d/1opm6ZNvGZ7KditA9TuJwrZ25eFLfTNIkrNnY6mhV5Eg"",""list!A1:C115""),3,TRUE)"),"le secteur de la tech")</f>
        <v xml:space="preserve">le secteur de la tech</v>
      </c>
      <c r="K4015" s="5" t="s">
        <v>28873</v>
      </c>
      <c r="L4015" s="5" t="s">
        <v>27239</v>
      </c>
      <c r="M4015" s="4" t="s">
        <v>39</v>
      </c>
      <c r="N4015" s="4" t="s">
        <v>29</v>
      </c>
      <c r="O4015" s="4" t="s">
        <v>67</v>
      </c>
      <c r="P4015" s="4" t="s">
        <v>29</v>
      </c>
      <c r="Q4015" s="4" t="s">
        <v>27241</v>
      </c>
      <c r="R4015" s="6"/>
      <c r="S4015" s="6"/>
      <c r="T4015" s="6"/>
      <c r="U4015" s="6"/>
      <c r="V4015" s="6"/>
      <c r="W4015" s="6"/>
      <c r="X4015" s="6"/>
      <c r="Y4015" s="6"/>
      <c r="Z4015" s="6"/>
      <c r="AA4015" s="6"/>
    </row>
    <row r="4016" ht="14.25">
      <c r="B4016" s="4" t="s">
        <v>955</v>
      </c>
      <c r="C4016" s="4" t="s">
        <v>28874</v>
      </c>
      <c r="D4016" s="4" t="s">
        <v>172</v>
      </c>
      <c r="E4016" s="4" t="s">
        <v>28875</v>
      </c>
      <c r="F4016" s="4" t="str">
        <f>IFERROR(__XLUDF.DUMMYFUNCTION("PROPER(REGEXREPLACE(D421,""[^A-Za-z]+ "",""""))"),"Digilor")</f>
        <v>Digilor</v>
      </c>
      <c r="G4016" s="4" t="s">
        <v>28876</v>
      </c>
      <c r="H4016" s="4">
        <v>28</v>
      </c>
      <c r="I4016" s="4" t="s">
        <v>2602</v>
      </c>
      <c r="J4016" s="4" t="str">
        <f>IFERROR(__XLUDF.DUMMYFUNCTION("VLOOKUP(H421,IMPORTRANGE(""https://docs.google.com/spreadsheets/d/1opm6ZNvGZ7KditA9TuJwrZ25eFLfTNIkrNnY6mhV5Eg"",""list!A1:C115""),3,TRUE)"),"le secteur de la tech")</f>
        <v xml:space="preserve">le secteur de la tech</v>
      </c>
      <c r="K4016" s="5" t="s">
        <v>28877</v>
      </c>
      <c r="L4016" s="5" t="s">
        <v>28878</v>
      </c>
      <c r="M4016" s="4" t="s">
        <v>1780</v>
      </c>
      <c r="N4016" s="4" t="s">
        <v>29</v>
      </c>
      <c r="O4016" s="4" t="s">
        <v>28879</v>
      </c>
      <c r="P4016" s="4" t="s">
        <v>29</v>
      </c>
      <c r="Q4016" s="4" t="s">
        <v>28880</v>
      </c>
      <c r="R4016" s="6"/>
      <c r="S4016" s="6"/>
      <c r="T4016" s="6"/>
      <c r="U4016" s="6"/>
      <c r="V4016" s="6"/>
      <c r="W4016" s="6"/>
      <c r="X4016" s="6"/>
      <c r="Y4016" s="6"/>
      <c r="Z4016" s="6"/>
      <c r="AA4016" s="6"/>
    </row>
    <row r="4017" ht="14.25">
      <c r="B4017" s="4" t="s">
        <v>622</v>
      </c>
      <c r="C4017" s="4" t="s">
        <v>579</v>
      </c>
      <c r="D4017" s="4" t="s">
        <v>28881</v>
      </c>
      <c r="E4017" s="4" t="s">
        <v>28882</v>
      </c>
      <c r="F4017" s="4" t="str">
        <f>IFERROR(__XLUDF.DUMMYFUNCTION("PROPER(REGEXREPLACE(D422,""[^A-Za-z]+ "",""""))"),"Agence Impaakt")</f>
        <v xml:space="preserve">Agence Impaakt</v>
      </c>
      <c r="G4017" s="4" t="s">
        <v>28883</v>
      </c>
      <c r="H4017" s="4">
        <v>11</v>
      </c>
      <c r="I4017" s="4" t="s">
        <v>2602</v>
      </c>
      <c r="J4017" s="4" t="str">
        <f>IFERROR(__XLUDF.DUMMYFUNCTION("VLOOKUP(H422,IMPORTRANGE(""https://docs.google.com/spreadsheets/d/1opm6ZNvGZ7KditA9TuJwrZ25eFLfTNIkrNnY6mhV5Eg"",""list!A1:C115""),3,TRUE)"),"le secteur de la tech")</f>
        <v xml:space="preserve">le secteur de la tech</v>
      </c>
      <c r="K4017" s="5" t="s">
        <v>28884</v>
      </c>
      <c r="L4017" s="5" t="s">
        <v>28885</v>
      </c>
      <c r="M4017" s="4" t="s">
        <v>28886</v>
      </c>
      <c r="N4017" s="4" t="s">
        <v>29</v>
      </c>
      <c r="O4017" s="4" t="s">
        <v>28887</v>
      </c>
      <c r="P4017" s="4" t="s">
        <v>29</v>
      </c>
      <c r="Q4017" s="6"/>
      <c r="R4017" s="6"/>
      <c r="S4017" s="6"/>
      <c r="T4017" s="6"/>
      <c r="U4017" s="6"/>
      <c r="V4017" s="6"/>
      <c r="W4017" s="6"/>
      <c r="X4017" s="6"/>
      <c r="Y4017" s="6"/>
      <c r="Z4017" s="6"/>
      <c r="AA4017" s="6"/>
    </row>
    <row r="4018" ht="14.25">
      <c r="B4018" s="4" t="s">
        <v>28888</v>
      </c>
      <c r="C4018" s="4" t="s">
        <v>28889</v>
      </c>
      <c r="D4018" s="4" t="s">
        <v>87</v>
      </c>
      <c r="E4018" s="4" t="s">
        <v>14426</v>
      </c>
      <c r="F4018" s="4" t="str">
        <f>IFERROR(__XLUDF.DUMMYFUNCTION("PROPER(REGEXREPLACE(D423,""[^A-Za-z]+ "",""""))"),"Wiregate")</f>
        <v>Wiregate</v>
      </c>
      <c r="G4018" s="4" t="s">
        <v>28890</v>
      </c>
      <c r="H4018" s="4">
        <v>19</v>
      </c>
      <c r="I4018" s="4" t="s">
        <v>2602</v>
      </c>
      <c r="J4018" s="4" t="str">
        <f>IFERROR(__XLUDF.DUMMYFUNCTION("VLOOKUP(H423,IMPORTRANGE(""https://docs.google.com/spreadsheets/d/1opm6ZNvGZ7KditA9TuJwrZ25eFLfTNIkrNnY6mhV5Eg"",""list!A1:C115""),3,TRUE)"),"le secteur de la tech")</f>
        <v xml:space="preserve">le secteur de la tech</v>
      </c>
      <c r="K4018" s="5" t="s">
        <v>28891</v>
      </c>
      <c r="L4018" s="5" t="s">
        <v>28892</v>
      </c>
      <c r="M4018" s="6"/>
      <c r="N4018" s="4" t="s">
        <v>29</v>
      </c>
      <c r="O4018" s="4" t="s">
        <v>28893</v>
      </c>
      <c r="P4018" s="4" t="s">
        <v>14431</v>
      </c>
      <c r="Q4018" s="4" t="s">
        <v>14435</v>
      </c>
      <c r="R4018" s="6"/>
      <c r="S4018" s="6"/>
      <c r="T4018" s="6"/>
      <c r="U4018" s="6"/>
      <c r="V4018" s="6"/>
      <c r="W4018" s="6"/>
      <c r="X4018" s="6"/>
      <c r="Y4018" s="6"/>
      <c r="Z4018" s="6"/>
      <c r="AA4018" s="6"/>
    </row>
    <row r="4019" ht="14.25">
      <c r="B4019" s="4" t="s">
        <v>2299</v>
      </c>
      <c r="C4019" s="4" t="s">
        <v>28894</v>
      </c>
      <c r="D4019" s="4" t="s">
        <v>44</v>
      </c>
      <c r="E4019" s="4" t="s">
        <v>28895</v>
      </c>
      <c r="F4019" s="4" t="str">
        <f>IFERROR(__XLUDF.DUMMYFUNCTION("PROPER(REGEXREPLACE(D424,""[^A-Za-z]+ "",""""))"),"Coopcycle")</f>
        <v>Coopcycle</v>
      </c>
      <c r="G4019" s="4" t="s">
        <v>28896</v>
      </c>
      <c r="H4019" s="4">
        <v>21</v>
      </c>
      <c r="I4019" s="4" t="s">
        <v>2602</v>
      </c>
      <c r="J4019" s="4" t="str">
        <f>IFERROR(__XLUDF.DUMMYFUNCTION("VLOOKUP(H424,IMPORTRANGE(""https://docs.google.com/spreadsheets/d/1opm6ZNvGZ7KditA9TuJwrZ25eFLfTNIkrNnY6mhV5Eg"",""list!A1:C115""),3,TRUE)"),"le secteur de la tech")</f>
        <v xml:space="preserve">le secteur de la tech</v>
      </c>
      <c r="K4019" s="5" t="s">
        <v>28897</v>
      </c>
      <c r="L4019" s="5" t="s">
        <v>28898</v>
      </c>
      <c r="M4019" s="4" t="s">
        <v>28899</v>
      </c>
      <c r="N4019" s="4" t="s">
        <v>29</v>
      </c>
      <c r="O4019" s="4" t="s">
        <v>28900</v>
      </c>
      <c r="P4019" s="4" t="s">
        <v>29</v>
      </c>
      <c r="Q4019" s="6"/>
      <c r="R4019" s="6"/>
      <c r="S4019" s="6"/>
      <c r="T4019" s="6"/>
      <c r="U4019" s="6"/>
      <c r="V4019" s="6"/>
      <c r="W4019" s="6"/>
      <c r="X4019" s="6"/>
      <c r="Y4019" s="6"/>
      <c r="Z4019" s="6"/>
      <c r="AA4019" s="6"/>
    </row>
    <row r="4020" ht="14.25">
      <c r="B4020" s="4" t="s">
        <v>485</v>
      </c>
      <c r="C4020" s="4" t="s">
        <v>19798</v>
      </c>
      <c r="D4020" s="4" t="s">
        <v>28901</v>
      </c>
      <c r="E4020" s="4" t="s">
        <v>28902</v>
      </c>
      <c r="F4020" s="4" t="str">
        <f>IFERROR(__XLUDF.DUMMYFUNCTION("PROPER(REGEXREPLACE(D425,""[^A-Za-z]+ "",""""))"),"Batis")</f>
        <v>Batis</v>
      </c>
      <c r="G4020" s="4" t="s">
        <v>28903</v>
      </c>
      <c r="H4020" s="4">
        <v>24</v>
      </c>
      <c r="I4020" s="4" t="s">
        <v>2602</v>
      </c>
      <c r="J4020" s="4" t="str">
        <f>IFERROR(__XLUDF.DUMMYFUNCTION("VLOOKUP(H425,IMPORTRANGE(""https://docs.google.com/spreadsheets/d/1opm6ZNvGZ7KditA9TuJwrZ25eFLfTNIkrNnY6mhV5Eg"",""list!A1:C115""),3,TRUE)"),"le secteur de la tech")</f>
        <v xml:space="preserve">le secteur de la tech</v>
      </c>
      <c r="K4020" s="5" t="s">
        <v>28904</v>
      </c>
      <c r="L4020" s="5" t="s">
        <v>28905</v>
      </c>
      <c r="M4020" s="6"/>
      <c r="N4020" s="4" t="s">
        <v>29</v>
      </c>
      <c r="O4020" s="4" t="s">
        <v>67</v>
      </c>
      <c r="P4020" s="4" t="s">
        <v>29</v>
      </c>
      <c r="Q4020" s="4" t="s">
        <v>28906</v>
      </c>
      <c r="R4020" s="6"/>
      <c r="S4020" s="6"/>
      <c r="T4020" s="6"/>
      <c r="U4020" s="6"/>
      <c r="V4020" s="6"/>
      <c r="W4020" s="6"/>
      <c r="X4020" s="6"/>
      <c r="Y4020" s="6"/>
      <c r="Z4020" s="6"/>
      <c r="AA4020" s="6"/>
    </row>
    <row r="4021" ht="14.25">
      <c r="B4021" s="4" t="s">
        <v>1853</v>
      </c>
      <c r="C4021" s="4" t="s">
        <v>28907</v>
      </c>
      <c r="D4021" s="4" t="s">
        <v>460</v>
      </c>
      <c r="E4021" s="4" t="s">
        <v>28908</v>
      </c>
      <c r="F4021" s="4" t="str">
        <f>IFERROR(__XLUDF.DUMMYFUNCTION("PROPER(REGEXREPLACE(D426,""[^A-Za-z]+ "",""""))"),"Aqua Consulting")</f>
        <v xml:space="preserve">Aqua Consulting</v>
      </c>
      <c r="G4021" s="4" t="s">
        <v>28909</v>
      </c>
      <c r="H4021" s="4">
        <v>19</v>
      </c>
      <c r="I4021" s="4" t="s">
        <v>2602</v>
      </c>
      <c r="J4021" s="4" t="str">
        <f>IFERROR(__XLUDF.DUMMYFUNCTION("VLOOKUP(H426,IMPORTRANGE(""https://docs.google.com/spreadsheets/d/1opm6ZNvGZ7KditA9TuJwrZ25eFLfTNIkrNnY6mhV5Eg"",""list!A1:C115""),3,TRUE)"),"le secteur de la tech")</f>
        <v xml:space="preserve">le secteur de la tech</v>
      </c>
      <c r="K4021" s="5" t="s">
        <v>28910</v>
      </c>
      <c r="L4021" s="5" t="s">
        <v>28911</v>
      </c>
      <c r="M4021" s="4" t="s">
        <v>185</v>
      </c>
      <c r="N4021" s="4" t="s">
        <v>29</v>
      </c>
      <c r="O4021" s="4" t="s">
        <v>28912</v>
      </c>
      <c r="P4021" s="4" t="s">
        <v>29</v>
      </c>
      <c r="Q4021" s="6"/>
      <c r="R4021" s="6"/>
      <c r="S4021" s="6"/>
      <c r="T4021" s="6"/>
      <c r="U4021" s="6"/>
      <c r="V4021" s="6"/>
      <c r="W4021" s="6"/>
      <c r="X4021" s="6"/>
      <c r="Y4021" s="6"/>
      <c r="Z4021" s="6"/>
      <c r="AA4021" s="6"/>
    </row>
    <row r="4022" ht="14.25">
      <c r="B4022" s="4" t="s">
        <v>355</v>
      </c>
      <c r="C4022" s="4" t="s">
        <v>16584</v>
      </c>
      <c r="D4022" s="4" t="s">
        <v>3775</v>
      </c>
      <c r="E4022" s="4" t="s">
        <v>28913</v>
      </c>
      <c r="F4022" s="4" t="str">
        <f>IFERROR(__XLUDF.DUMMYFUNCTION("PROPER(REGEXREPLACE(D427,""[^A-Za-z]+ "",""""))"),"Opendecide")</f>
        <v>Opendecide</v>
      </c>
      <c r="G4022" s="4" t="s">
        <v>28914</v>
      </c>
      <c r="H4022" s="4">
        <v>11</v>
      </c>
      <c r="I4022" s="4" t="s">
        <v>2602</v>
      </c>
      <c r="J4022" s="4" t="str">
        <f>IFERROR(__XLUDF.DUMMYFUNCTION("VLOOKUP(H427,IMPORTRANGE(""https://docs.google.com/spreadsheets/d/1opm6ZNvGZ7KditA9TuJwrZ25eFLfTNIkrNnY6mhV5Eg"",""list!A1:C115""),3,TRUE)"),"le secteur de la tech")</f>
        <v xml:space="preserve">le secteur de la tech</v>
      </c>
      <c r="K4022" s="5" t="s">
        <v>28915</v>
      </c>
      <c r="L4022" s="5" t="s">
        <v>28916</v>
      </c>
      <c r="M4022" s="4" t="s">
        <v>83</v>
      </c>
      <c r="N4022" s="4" t="s">
        <v>29</v>
      </c>
      <c r="O4022" s="4" t="s">
        <v>28917</v>
      </c>
      <c r="P4022" s="4" t="s">
        <v>29</v>
      </c>
      <c r="Q4022" s="4" t="s">
        <v>28918</v>
      </c>
      <c r="R4022" s="6"/>
      <c r="S4022" s="6"/>
      <c r="T4022" s="6"/>
      <c r="U4022" s="6"/>
      <c r="V4022" s="6"/>
      <c r="W4022" s="6"/>
      <c r="X4022" s="6"/>
      <c r="Y4022" s="6"/>
      <c r="Z4022" s="6"/>
      <c r="AA4022" s="6"/>
    </row>
    <row r="4023" ht="14.25">
      <c r="B4023" s="4" t="s">
        <v>2138</v>
      </c>
      <c r="C4023" s="4" t="s">
        <v>28919</v>
      </c>
      <c r="D4023" s="4" t="s">
        <v>87</v>
      </c>
      <c r="E4023" s="4" t="s">
        <v>28920</v>
      </c>
      <c r="F4023" s="4" t="str">
        <f>IFERROR(__XLUDF.DUMMYFUNCTION("PROPER(REGEXREPLACE(D428,""[^A-Za-z]+ "",""""))"),"Xhr Consulting")</f>
        <v xml:space="preserve">Xhr Consulting</v>
      </c>
      <c r="G4023" s="4" t="s">
        <v>28921</v>
      </c>
      <c r="H4023" s="4">
        <v>13</v>
      </c>
      <c r="I4023" s="4" t="s">
        <v>2602</v>
      </c>
      <c r="J4023" s="4" t="str">
        <f>IFERROR(__XLUDF.DUMMYFUNCTION("VLOOKUP(H428,IMPORTRANGE(""https://docs.google.com/spreadsheets/d/1opm6ZNvGZ7KditA9TuJwrZ25eFLfTNIkrNnY6mhV5Eg"",""list!A1:C115""),3,TRUE)"),"le secteur de la tech")</f>
        <v xml:space="preserve">le secteur de la tech</v>
      </c>
      <c r="K4023" s="5" t="s">
        <v>28922</v>
      </c>
      <c r="L4023" s="5" t="s">
        <v>28923</v>
      </c>
      <c r="M4023" s="4" t="s">
        <v>39</v>
      </c>
      <c r="N4023" s="4" t="s">
        <v>29</v>
      </c>
      <c r="O4023" s="6"/>
      <c r="P4023" s="6"/>
      <c r="Q4023" s="6"/>
      <c r="R4023" s="6"/>
      <c r="S4023" s="6"/>
      <c r="T4023" s="6"/>
      <c r="U4023" s="6"/>
      <c r="V4023" s="6"/>
      <c r="W4023" s="6"/>
      <c r="X4023" s="6"/>
      <c r="Y4023" s="6"/>
      <c r="Z4023" s="6"/>
      <c r="AA4023" s="6"/>
    </row>
    <row r="4024" ht="14.25">
      <c r="B4024" s="4" t="s">
        <v>4177</v>
      </c>
      <c r="C4024" s="4" t="s">
        <v>28924</v>
      </c>
      <c r="D4024" s="4" t="s">
        <v>4586</v>
      </c>
      <c r="E4024" s="4" t="s">
        <v>28925</v>
      </c>
      <c r="F4024" s="4" t="str">
        <f>IFERROR(__XLUDF.DUMMYFUNCTION("PROPER(REGEXREPLACE(D429,""[^A-Za-z]+ "",""""))"),"Hubicus Bva Group")</f>
        <v xml:space="preserve">Hubicus Bva Group</v>
      </c>
      <c r="G4024" s="4" t="s">
        <v>28926</v>
      </c>
      <c r="H4024" s="4">
        <v>27</v>
      </c>
      <c r="I4024" s="4" t="s">
        <v>2602</v>
      </c>
      <c r="J4024" s="4" t="str">
        <f>IFERROR(__XLUDF.DUMMYFUNCTION("VLOOKUP(H429,IMPORTRANGE(""https://docs.google.com/spreadsheets/d/1opm6ZNvGZ7KditA9TuJwrZ25eFLfTNIkrNnY6mhV5Eg"",""list!A1:C115""),3,TRUE)"),"le secteur de la tech")</f>
        <v xml:space="preserve">le secteur de la tech</v>
      </c>
      <c r="K4024" s="5" t="s">
        <v>28927</v>
      </c>
      <c r="L4024" s="5" t="s">
        <v>28928</v>
      </c>
      <c r="M4024" s="4" t="s">
        <v>185</v>
      </c>
      <c r="N4024" s="4" t="s">
        <v>29</v>
      </c>
      <c r="O4024" s="4" t="s">
        <v>67</v>
      </c>
      <c r="P4024" s="4" t="s">
        <v>29</v>
      </c>
      <c r="Q4024" s="4" t="s">
        <v>28929</v>
      </c>
      <c r="R4024" s="6"/>
      <c r="S4024" s="6"/>
      <c r="T4024" s="6"/>
      <c r="U4024" s="6"/>
      <c r="V4024" s="6"/>
      <c r="W4024" s="6"/>
      <c r="X4024" s="6"/>
      <c r="Y4024" s="6"/>
      <c r="Z4024" s="6"/>
      <c r="AA4024" s="6"/>
    </row>
    <row r="4025" ht="14.25">
      <c r="B4025" s="4" t="s">
        <v>548</v>
      </c>
      <c r="C4025" s="4" t="s">
        <v>28930</v>
      </c>
      <c r="D4025" s="4" t="s">
        <v>12873</v>
      </c>
      <c r="E4025" s="4" t="s">
        <v>17957</v>
      </c>
      <c r="F4025" s="4" t="str">
        <f>IFERROR(__XLUDF.DUMMYFUNCTION("PROPER(REGEXREPLACE(D430,""[^A-Za-z]+ "",""""))"),"Urban Gaming")</f>
        <v xml:space="preserve">Urban Gaming</v>
      </c>
      <c r="G4025" s="4" t="s">
        <v>28931</v>
      </c>
      <c r="H4025" s="4">
        <v>20</v>
      </c>
      <c r="I4025" s="4" t="s">
        <v>2602</v>
      </c>
      <c r="J4025" s="4" t="str">
        <f>IFERROR(__XLUDF.DUMMYFUNCTION("VLOOKUP(H430,IMPORTRANGE(""https://docs.google.com/spreadsheets/d/1opm6ZNvGZ7KditA9TuJwrZ25eFLfTNIkrNnY6mhV5Eg"",""list!A1:C115""),3,TRUE)"),"le secteur de la tech")</f>
        <v xml:space="preserve">le secteur de la tech</v>
      </c>
      <c r="K4025" s="5" t="s">
        <v>28932</v>
      </c>
      <c r="L4025" s="5" t="s">
        <v>17960</v>
      </c>
      <c r="M4025" s="6"/>
      <c r="N4025" s="4" t="s">
        <v>29</v>
      </c>
      <c r="O4025" s="4" t="s">
        <v>17961</v>
      </c>
      <c r="P4025" s="4" t="s">
        <v>29</v>
      </c>
      <c r="Q4025" s="4" t="s">
        <v>17962</v>
      </c>
      <c r="R4025" s="6"/>
      <c r="S4025" s="6"/>
      <c r="T4025" s="6"/>
      <c r="U4025" s="6"/>
      <c r="V4025" s="6"/>
      <c r="W4025" s="6"/>
      <c r="X4025" s="6"/>
      <c r="Y4025" s="6"/>
      <c r="Z4025" s="6"/>
      <c r="AA4025" s="6"/>
    </row>
    <row r="4026" ht="14.25">
      <c r="B4026" s="4" t="s">
        <v>2652</v>
      </c>
      <c r="C4026" s="4" t="s">
        <v>27214</v>
      </c>
      <c r="D4026" s="4" t="s">
        <v>7806</v>
      </c>
      <c r="E4026" s="4" t="s">
        <v>27215</v>
      </c>
      <c r="F4026" s="4" t="str">
        <f>IFERROR(__XLUDF.DUMMYFUNCTION("PROPER(REGEXREPLACE(D431,""[^A-Za-z]+ "",""""))"),"Reemo")</f>
        <v>Reemo</v>
      </c>
      <c r="G4026" s="4" t="s">
        <v>28933</v>
      </c>
      <c r="H4026" s="4">
        <v>14</v>
      </c>
      <c r="I4026" s="4" t="s">
        <v>2602</v>
      </c>
      <c r="J4026" s="4" t="str">
        <f>IFERROR(__XLUDF.DUMMYFUNCTION("VLOOKUP(H431,IMPORTRANGE(""https://docs.google.com/spreadsheets/d/1opm6ZNvGZ7KditA9TuJwrZ25eFLfTNIkrNnY6mhV5Eg"",""list!A1:C115""),3,TRUE)"),"le secteur de la tech")</f>
        <v xml:space="preserve">le secteur de la tech</v>
      </c>
      <c r="K4026" s="5" t="s">
        <v>28934</v>
      </c>
      <c r="L4026" s="5" t="s">
        <v>27218</v>
      </c>
      <c r="M4026" s="4" t="s">
        <v>28935</v>
      </c>
      <c r="N4026" s="4" t="s">
        <v>29</v>
      </c>
      <c r="O4026" s="4" t="s">
        <v>27219</v>
      </c>
      <c r="P4026" s="4" t="s">
        <v>29</v>
      </c>
      <c r="Q4026" s="4" t="s">
        <v>27220</v>
      </c>
      <c r="R4026" s="6"/>
      <c r="S4026" s="6"/>
      <c r="T4026" s="6"/>
      <c r="U4026" s="6"/>
      <c r="V4026" s="6"/>
      <c r="W4026" s="6"/>
      <c r="X4026" s="6"/>
      <c r="Y4026" s="6"/>
      <c r="Z4026" s="6"/>
      <c r="AA4026" s="6"/>
    </row>
    <row r="4027" ht="14.25">
      <c r="B4027" s="4" t="s">
        <v>1667</v>
      </c>
      <c r="C4027" s="4" t="s">
        <v>28936</v>
      </c>
      <c r="D4027" s="4" t="s">
        <v>426</v>
      </c>
      <c r="E4027" s="4" t="s">
        <v>28937</v>
      </c>
      <c r="F4027" s="4" t="str">
        <f>IFERROR(__XLUDF.DUMMYFUNCTION("PROPER(REGEXREPLACE(D432,""[^A-Za-z]+ "",""""))"),"Ids Sa")</f>
        <v xml:space="preserve">Ids Sa</v>
      </c>
      <c r="G4027" s="4" t="s">
        <v>28938</v>
      </c>
      <c r="H4027" s="4">
        <v>15</v>
      </c>
      <c r="I4027" s="4" t="s">
        <v>2602</v>
      </c>
      <c r="J4027" s="4" t="str">
        <f>IFERROR(__XLUDF.DUMMYFUNCTION("VLOOKUP(H432,IMPORTRANGE(""https://docs.google.com/spreadsheets/d/1opm6ZNvGZ7KditA9TuJwrZ25eFLfTNIkrNnY6mhV5Eg"",""list!A1:C115""),3,TRUE)"),"le secteur de la tech")</f>
        <v xml:space="preserve">le secteur de la tech</v>
      </c>
      <c r="K4027" s="5" t="s">
        <v>28939</v>
      </c>
      <c r="L4027" s="5" t="s">
        <v>28940</v>
      </c>
      <c r="M4027" s="4" t="s">
        <v>39</v>
      </c>
      <c r="N4027" s="4" t="s">
        <v>29</v>
      </c>
      <c r="O4027" s="4" t="s">
        <v>28941</v>
      </c>
      <c r="P4027" s="4" t="s">
        <v>29</v>
      </c>
      <c r="Q4027" s="6"/>
      <c r="R4027" s="6"/>
      <c r="S4027" s="6"/>
      <c r="T4027" s="6"/>
      <c r="U4027" s="6"/>
      <c r="V4027" s="6"/>
      <c r="W4027" s="6"/>
      <c r="X4027" s="6"/>
      <c r="Y4027" s="6"/>
      <c r="Z4027" s="6"/>
      <c r="AA4027" s="6"/>
    </row>
    <row r="4028" ht="14.25">
      <c r="B4028" s="4" t="s">
        <v>28942</v>
      </c>
      <c r="C4028" s="4" t="s">
        <v>28943</v>
      </c>
      <c r="D4028" s="4" t="s">
        <v>1240</v>
      </c>
      <c r="E4028" s="4" t="s">
        <v>28944</v>
      </c>
      <c r="F4028" s="4" t="str">
        <f>IFERROR(__XLUDF.DUMMYFUNCTION("PROPER(REGEXREPLACE(D433,""[^A-Za-z]+ "",""""))"),"Ai Sisters")</f>
        <v xml:space="preserve">Ai Sisters</v>
      </c>
      <c r="G4028" s="4" t="s">
        <v>28945</v>
      </c>
      <c r="H4028" s="4">
        <v>11</v>
      </c>
      <c r="I4028" s="4" t="s">
        <v>2602</v>
      </c>
      <c r="J4028" s="4" t="str">
        <f>IFERROR(__XLUDF.DUMMYFUNCTION("VLOOKUP(H433,IMPORTRANGE(""https://docs.google.com/spreadsheets/d/1opm6ZNvGZ7KditA9TuJwrZ25eFLfTNIkrNnY6mhV5Eg"",""list!A1:C115""),3,TRUE)"),"le secteur de la tech")</f>
        <v xml:space="preserve">le secteur de la tech</v>
      </c>
      <c r="K4028" s="5" t="s">
        <v>28946</v>
      </c>
      <c r="L4028" s="5" t="s">
        <v>28947</v>
      </c>
      <c r="M4028" s="4" t="s">
        <v>39</v>
      </c>
      <c r="N4028" s="4" t="s">
        <v>29</v>
      </c>
      <c r="O4028" s="6"/>
      <c r="P4028" s="6"/>
      <c r="Q4028" s="4" t="s">
        <v>28948</v>
      </c>
      <c r="R4028" s="6"/>
      <c r="S4028" s="6"/>
      <c r="T4028" s="6"/>
      <c r="U4028" s="6"/>
      <c r="V4028" s="6"/>
      <c r="W4028" s="6"/>
      <c r="X4028" s="6"/>
      <c r="Y4028" s="6"/>
      <c r="Z4028" s="6"/>
      <c r="AA4028" s="6"/>
    </row>
    <row r="4029" ht="14.25">
      <c r="B4029" s="4" t="s">
        <v>653</v>
      </c>
      <c r="C4029" s="4" t="s">
        <v>28949</v>
      </c>
      <c r="D4029" s="4" t="s">
        <v>281</v>
      </c>
      <c r="E4029" s="4" t="s">
        <v>28806</v>
      </c>
      <c r="F4029" s="4" t="str">
        <f>IFERROR(__XLUDF.DUMMYFUNCTION("PROPER(REGEXREPLACE(D434,""[^A-Za-z]+ "",""""))"),"Bylaw")</f>
        <v>Bylaw</v>
      </c>
      <c r="G4029" s="4" t="s">
        <v>28950</v>
      </c>
      <c r="H4029" s="4">
        <v>17</v>
      </c>
      <c r="I4029" s="4" t="s">
        <v>2602</v>
      </c>
      <c r="J4029" s="4" t="str">
        <f>IFERROR(__XLUDF.DUMMYFUNCTION("VLOOKUP(H434,IMPORTRANGE(""https://docs.google.com/spreadsheets/d/1opm6ZNvGZ7KditA9TuJwrZ25eFLfTNIkrNnY6mhV5Eg"",""list!A1:C115""),3,TRUE)"),"le secteur de la tech")</f>
        <v xml:space="preserve">le secteur de la tech</v>
      </c>
      <c r="K4029" s="5" t="s">
        <v>28951</v>
      </c>
      <c r="L4029" s="5" t="s">
        <v>28809</v>
      </c>
      <c r="M4029" s="4" t="s">
        <v>140</v>
      </c>
      <c r="N4029" s="4" t="s">
        <v>29</v>
      </c>
      <c r="O4029" s="4" t="s">
        <v>67</v>
      </c>
      <c r="P4029" s="4" t="s">
        <v>29</v>
      </c>
      <c r="Q4029" s="4" t="s">
        <v>28810</v>
      </c>
      <c r="R4029" s="6"/>
      <c r="S4029" s="6"/>
      <c r="T4029" s="6"/>
      <c r="U4029" s="6"/>
      <c r="V4029" s="6"/>
      <c r="W4029" s="6"/>
      <c r="X4029" s="6"/>
      <c r="Y4029" s="6"/>
      <c r="Z4029" s="6"/>
      <c r="AA4029" s="6"/>
    </row>
    <row r="4030" ht="14.25">
      <c r="B4030" s="4" t="s">
        <v>3673</v>
      </c>
      <c r="C4030" s="4" t="s">
        <v>6760</v>
      </c>
      <c r="D4030" s="4" t="s">
        <v>28952</v>
      </c>
      <c r="E4030" s="4" t="s">
        <v>28953</v>
      </c>
      <c r="F4030" s="4" t="str">
        <f>IFERROR(__XLUDF.DUMMYFUNCTION("PROPER(REGEXREPLACE(D435,""[^A-Za-z]+ "",""""))"),"Premium Consulting")</f>
        <v xml:space="preserve">Premium Consulting</v>
      </c>
      <c r="G4030" s="4" t="s">
        <v>28954</v>
      </c>
      <c r="H4030" s="4">
        <v>41</v>
      </c>
      <c r="I4030" s="4" t="s">
        <v>2602</v>
      </c>
      <c r="J4030" s="4" t="str">
        <f>IFERROR(__XLUDF.DUMMYFUNCTION("VLOOKUP(H435,IMPORTRANGE(""https://docs.google.com/spreadsheets/d/1opm6ZNvGZ7KditA9TuJwrZ25eFLfTNIkrNnY6mhV5Eg"",""list!A1:C115""),3,TRUE)"),"le secteur de la tech")</f>
        <v xml:space="preserve">le secteur de la tech</v>
      </c>
      <c r="K4030" s="5" t="s">
        <v>28955</v>
      </c>
      <c r="L4030" s="5" t="s">
        <v>28956</v>
      </c>
      <c r="M4030" s="4" t="s">
        <v>39</v>
      </c>
      <c r="N4030" s="4" t="s">
        <v>29</v>
      </c>
      <c r="O4030" s="4" t="s">
        <v>28957</v>
      </c>
      <c r="P4030" s="4" t="s">
        <v>29</v>
      </c>
      <c r="Q4030" s="6"/>
      <c r="R4030" s="6"/>
      <c r="S4030" s="6"/>
      <c r="T4030" s="6"/>
      <c r="U4030" s="6"/>
      <c r="V4030" s="6"/>
      <c r="W4030" s="6"/>
      <c r="X4030" s="6"/>
      <c r="Y4030" s="6"/>
      <c r="Z4030" s="6"/>
      <c r="AA4030" s="6"/>
    </row>
    <row r="4031" ht="14.25">
      <c r="B4031" s="4" t="s">
        <v>556</v>
      </c>
      <c r="C4031" s="4" t="s">
        <v>8999</v>
      </c>
      <c r="D4031" s="4" t="s">
        <v>87</v>
      </c>
      <c r="E4031" s="4" t="s">
        <v>28958</v>
      </c>
      <c r="F4031" s="4" t="str">
        <f>IFERROR(__XLUDF.DUMMYFUNCTION("PROPER(REGEXREPLACE(D436,""[^A-Za-z]+ "",""""))"),"Groupe Bellon")</f>
        <v xml:space="preserve">Groupe Bellon</v>
      </c>
      <c r="G4031" s="4" t="s">
        <v>28959</v>
      </c>
      <c r="H4031" s="4">
        <v>41</v>
      </c>
      <c r="I4031" s="4" t="s">
        <v>2602</v>
      </c>
      <c r="J4031" s="4" t="str">
        <f>IFERROR(__XLUDF.DUMMYFUNCTION("VLOOKUP(H436,IMPORTRANGE(""https://docs.google.com/spreadsheets/d/1opm6ZNvGZ7KditA9TuJwrZ25eFLfTNIkrNnY6mhV5Eg"",""list!A1:C115""),3,TRUE)"),"le secteur de la tech")</f>
        <v xml:space="preserve">le secteur de la tech</v>
      </c>
      <c r="K4031" s="5" t="s">
        <v>28960</v>
      </c>
      <c r="L4031" s="5" t="s">
        <v>28961</v>
      </c>
      <c r="M4031" s="6"/>
      <c r="N4031" s="4" t="s">
        <v>29</v>
      </c>
      <c r="O4031" s="4" t="s">
        <v>21789</v>
      </c>
      <c r="P4031" s="4" t="s">
        <v>29</v>
      </c>
      <c r="Q4031" s="4" t="s">
        <v>28962</v>
      </c>
      <c r="R4031" s="6"/>
      <c r="S4031" s="6"/>
      <c r="T4031" s="6"/>
      <c r="U4031" s="6"/>
      <c r="V4031" s="6"/>
      <c r="W4031" s="6"/>
      <c r="X4031" s="6"/>
      <c r="Y4031" s="6"/>
      <c r="Z4031" s="6"/>
      <c r="AA4031" s="6"/>
    </row>
    <row r="4032" ht="14.25">
      <c r="B4032" s="4" t="s">
        <v>7714</v>
      </c>
      <c r="C4032" s="4" t="s">
        <v>28963</v>
      </c>
      <c r="D4032" s="4" t="s">
        <v>315</v>
      </c>
      <c r="E4032" s="4" t="s">
        <v>28964</v>
      </c>
      <c r="F4032" s="4" t="str">
        <f>IFERROR(__XLUDF.DUMMYFUNCTION("PROPER(REGEXREPLACE(D437,""[^A-Za-z]+ "",""""))"),"Mext Metaverse")</f>
        <v xml:space="preserve">Mext Metaverse</v>
      </c>
      <c r="G4032" s="4" t="s">
        <v>28965</v>
      </c>
      <c r="H4032" s="4">
        <v>24</v>
      </c>
      <c r="I4032" s="4" t="s">
        <v>2602</v>
      </c>
      <c r="J4032" s="4" t="str">
        <f>IFERROR(__XLUDF.DUMMYFUNCTION("VLOOKUP(H437,IMPORTRANGE(""https://docs.google.com/spreadsheets/d/1opm6ZNvGZ7KditA9TuJwrZ25eFLfTNIkrNnY6mhV5Eg"",""list!A1:C115""),3,TRUE)"),"le secteur de la tech")</f>
        <v xml:space="preserve">le secteur de la tech</v>
      </c>
      <c r="K4032" s="5" t="s">
        <v>28966</v>
      </c>
      <c r="L4032" s="5" t="s">
        <v>28967</v>
      </c>
      <c r="M4032" s="4" t="s">
        <v>28968</v>
      </c>
      <c r="N4032" s="4" t="s">
        <v>29</v>
      </c>
      <c r="O4032" s="4" t="s">
        <v>28969</v>
      </c>
      <c r="P4032" s="4" t="s">
        <v>29</v>
      </c>
      <c r="Q4032" s="6"/>
      <c r="R4032" s="6"/>
      <c r="S4032" s="6"/>
      <c r="T4032" s="6"/>
      <c r="U4032" s="6"/>
      <c r="V4032" s="6"/>
      <c r="W4032" s="6"/>
      <c r="X4032" s="6"/>
      <c r="Y4032" s="6"/>
      <c r="Z4032" s="6"/>
      <c r="AA4032" s="6"/>
    </row>
    <row r="4033" ht="14.25">
      <c r="B4033" s="4" t="s">
        <v>6356</v>
      </c>
      <c r="C4033" s="4" t="s">
        <v>28970</v>
      </c>
      <c r="D4033" s="4" t="s">
        <v>281</v>
      </c>
      <c r="E4033" s="4" t="s">
        <v>28971</v>
      </c>
      <c r="F4033" s="4" t="str">
        <f>IFERROR(__XLUDF.DUMMYFUNCTION("PROPER(REGEXREPLACE(D438,""[^A-Za-z]+ "",""""))"),"Opscidia")</f>
        <v>Opscidia</v>
      </c>
      <c r="G4033" s="4" t="s">
        <v>28972</v>
      </c>
      <c r="H4033" s="4">
        <v>11</v>
      </c>
      <c r="I4033" s="4" t="s">
        <v>2602</v>
      </c>
      <c r="J4033" s="4" t="str">
        <f>IFERROR(__XLUDF.DUMMYFUNCTION("VLOOKUP(H438,IMPORTRANGE(""https://docs.google.com/spreadsheets/d/1opm6ZNvGZ7KditA9TuJwrZ25eFLfTNIkrNnY6mhV5Eg"",""list!A1:C115""),3,TRUE)"),"le secteur de la tech")</f>
        <v xml:space="preserve">le secteur de la tech</v>
      </c>
      <c r="K4033" s="5" t="s">
        <v>28973</v>
      </c>
      <c r="L4033" s="5" t="s">
        <v>28974</v>
      </c>
      <c r="M4033" s="4" t="s">
        <v>39</v>
      </c>
      <c r="N4033" s="4" t="s">
        <v>29</v>
      </c>
      <c r="O4033" s="4" t="s">
        <v>28975</v>
      </c>
      <c r="P4033" s="4" t="s">
        <v>29</v>
      </c>
      <c r="Q4033" s="4" t="s">
        <v>28976</v>
      </c>
      <c r="R4033" s="6"/>
      <c r="S4033" s="6"/>
      <c r="T4033" s="6"/>
      <c r="U4033" s="6"/>
      <c r="V4033" s="6"/>
      <c r="W4033" s="6"/>
      <c r="X4033" s="6"/>
      <c r="Y4033" s="6"/>
      <c r="Z4033" s="6"/>
      <c r="AA4033" s="6"/>
    </row>
    <row r="4034" ht="14.25">
      <c r="B4034" s="4" t="s">
        <v>1114</v>
      </c>
      <c r="C4034" s="4" t="s">
        <v>28977</v>
      </c>
      <c r="D4034" s="4" t="s">
        <v>28978</v>
      </c>
      <c r="E4034" s="4" t="s">
        <v>28979</v>
      </c>
      <c r="F4034" s="4" t="str">
        <f>IFERROR(__XLUDF.DUMMYFUNCTION("PROPER(REGEXREPLACE(D439,""[^A-Za-z]+ "",""""))"),"Digitalpole")</f>
        <v>Digitalpole</v>
      </c>
      <c r="G4034" s="4" t="s">
        <v>28980</v>
      </c>
      <c r="H4034" s="4">
        <v>11</v>
      </c>
      <c r="I4034" s="4" t="s">
        <v>2602</v>
      </c>
      <c r="J4034" s="4" t="str">
        <f>IFERROR(__XLUDF.DUMMYFUNCTION("VLOOKUP(H439,IMPORTRANGE(""https://docs.google.com/spreadsheets/d/1opm6ZNvGZ7KditA9TuJwrZ25eFLfTNIkrNnY6mhV5Eg"",""list!A1:C115""),3,TRUE)"),"le secteur de la tech")</f>
        <v xml:space="preserve">le secteur de la tech</v>
      </c>
      <c r="K4034" s="5" t="s">
        <v>28981</v>
      </c>
      <c r="L4034" s="5" t="s">
        <v>28982</v>
      </c>
      <c r="M4034" s="4" t="s">
        <v>39</v>
      </c>
      <c r="N4034" s="4" t="s">
        <v>29</v>
      </c>
      <c r="O4034" s="4" t="s">
        <v>3403</v>
      </c>
      <c r="P4034" s="4" t="s">
        <v>29</v>
      </c>
      <c r="Q4034" s="4" t="s">
        <v>28983</v>
      </c>
      <c r="R4034" s="6"/>
      <c r="S4034" s="6"/>
      <c r="T4034" s="6"/>
      <c r="U4034" s="6"/>
      <c r="V4034" s="6"/>
      <c r="W4034" s="6"/>
      <c r="X4034" s="6"/>
      <c r="Y4034" s="6"/>
      <c r="Z4034" s="6"/>
      <c r="AA4034" s="6"/>
    </row>
    <row r="4035" ht="14.25">
      <c r="B4035" s="4" t="s">
        <v>170</v>
      </c>
      <c r="C4035" s="4" t="s">
        <v>28984</v>
      </c>
      <c r="D4035" s="4" t="s">
        <v>247</v>
      </c>
      <c r="E4035" s="4" t="s">
        <v>20468</v>
      </c>
      <c r="F4035" s="4" t="str">
        <f>IFERROR(__XLUDF.DUMMYFUNCTION("PROPER(REGEXREPLACE(D440,""[^A-Za-z]+ "",""""))"),"Functori")</f>
        <v>Functori</v>
      </c>
      <c r="G4035" s="4" t="s">
        <v>28985</v>
      </c>
      <c r="H4035" s="4">
        <v>12</v>
      </c>
      <c r="I4035" s="4" t="s">
        <v>2602</v>
      </c>
      <c r="J4035" s="4" t="str">
        <f>IFERROR(__XLUDF.DUMMYFUNCTION("VLOOKUP(H440,IMPORTRANGE(""https://docs.google.com/spreadsheets/d/1opm6ZNvGZ7KditA9TuJwrZ25eFLfTNIkrNnY6mhV5Eg"",""list!A1:C115""),3,TRUE)"),"le secteur de la tech")</f>
        <v xml:space="preserve">le secteur de la tech</v>
      </c>
      <c r="K4035" s="5" t="s">
        <v>28986</v>
      </c>
      <c r="L4035" s="5" t="s">
        <v>20471</v>
      </c>
      <c r="M4035" s="4" t="s">
        <v>39</v>
      </c>
      <c r="N4035" s="4" t="s">
        <v>29</v>
      </c>
      <c r="O4035" s="4" t="s">
        <v>20472</v>
      </c>
      <c r="P4035" s="4" t="s">
        <v>29</v>
      </c>
      <c r="Q4035" s="4" t="s">
        <v>20473</v>
      </c>
      <c r="R4035" s="6"/>
      <c r="S4035" s="6"/>
      <c r="T4035" s="6"/>
      <c r="U4035" s="6"/>
      <c r="V4035" s="6"/>
      <c r="W4035" s="6"/>
      <c r="X4035" s="6"/>
      <c r="Y4035" s="6"/>
      <c r="Z4035" s="6"/>
      <c r="AA4035" s="6"/>
    </row>
    <row r="4036" ht="14.25">
      <c r="B4036" s="4" t="s">
        <v>28987</v>
      </c>
      <c r="C4036" s="4" t="s">
        <v>28988</v>
      </c>
      <c r="D4036" s="4" t="s">
        <v>62</v>
      </c>
      <c r="E4036" s="4" t="s">
        <v>28989</v>
      </c>
      <c r="F4036" s="4" t="str">
        <f>IFERROR(__XLUDF.DUMMYFUNCTION("PROPER(REGEXREPLACE(D441,""[^A-Za-z]+ "",""""))"),"Alice Labs")</f>
        <v xml:space="preserve">Alice Labs</v>
      </c>
      <c r="G4036" s="4" t="s">
        <v>28990</v>
      </c>
      <c r="H4036" s="4">
        <v>1</v>
      </c>
      <c r="I4036" s="4" t="s">
        <v>2602</v>
      </c>
      <c r="J4036" s="4" t="str">
        <f>IFERROR(__XLUDF.DUMMYFUNCTION("VLOOKUP(H441,IMPORTRANGE(""https://docs.google.com/spreadsheets/d/1opm6ZNvGZ7KditA9TuJwrZ25eFLfTNIkrNnY6mhV5Eg"",""list!A1:C115""),3,TRUE)"),"le secteur de la tech")</f>
        <v xml:space="preserve">le secteur de la tech</v>
      </c>
      <c r="K4036" s="5" t="s">
        <v>28991</v>
      </c>
      <c r="L4036" s="5" t="s">
        <v>28992</v>
      </c>
      <c r="M4036" s="4" t="s">
        <v>39</v>
      </c>
      <c r="N4036" s="4" t="s">
        <v>29</v>
      </c>
      <c r="O4036" s="4" t="s">
        <v>28993</v>
      </c>
      <c r="P4036" s="4" t="s">
        <v>1261</v>
      </c>
      <c r="Q4036" s="6"/>
      <c r="R4036" s="6"/>
      <c r="S4036" s="6"/>
      <c r="T4036" s="6"/>
      <c r="U4036" s="6"/>
      <c r="V4036" s="6"/>
      <c r="W4036" s="6"/>
      <c r="X4036" s="6"/>
      <c r="Y4036" s="6"/>
      <c r="Z4036" s="6"/>
      <c r="AA4036" s="6"/>
    </row>
    <row r="4037" ht="14.25">
      <c r="B4037" s="4" t="s">
        <v>28994</v>
      </c>
      <c r="C4037" s="4" t="s">
        <v>28995</v>
      </c>
      <c r="D4037" s="4" t="s">
        <v>315</v>
      </c>
      <c r="E4037" s="4" t="s">
        <v>28996</v>
      </c>
      <c r="F4037" s="4" t="str">
        <f>IFERROR(__XLUDF.DUMMYFUNCTION("PROPER(REGEXREPLACE(D442,""[^A-Za-z]+ "",""""))"),"Woosmap")</f>
        <v>Woosmap</v>
      </c>
      <c r="G4037" s="4" t="s">
        <v>28997</v>
      </c>
      <c r="H4037" s="4">
        <v>33</v>
      </c>
      <c r="I4037" s="4" t="s">
        <v>2602</v>
      </c>
      <c r="J4037" s="4" t="str">
        <f>IFERROR(__XLUDF.DUMMYFUNCTION("VLOOKUP(H442,IMPORTRANGE(""https://docs.google.com/spreadsheets/d/1opm6ZNvGZ7KditA9TuJwrZ25eFLfTNIkrNnY6mhV5Eg"",""list!A1:C115""),3,TRUE)"),"le secteur de la tech")</f>
        <v xml:space="preserve">le secteur de la tech</v>
      </c>
      <c r="K4037" s="5" t="s">
        <v>28998</v>
      </c>
      <c r="L4037" s="5" t="s">
        <v>28999</v>
      </c>
      <c r="M4037" s="4" t="s">
        <v>39</v>
      </c>
      <c r="N4037" s="4" t="s">
        <v>29</v>
      </c>
      <c r="O4037" s="4" t="s">
        <v>29000</v>
      </c>
      <c r="P4037" s="4" t="s">
        <v>29</v>
      </c>
      <c r="Q4037" s="4" t="s">
        <v>29001</v>
      </c>
      <c r="R4037" s="6"/>
      <c r="S4037" s="6"/>
      <c r="T4037" s="6"/>
      <c r="U4037" s="6"/>
      <c r="V4037" s="6"/>
      <c r="W4037" s="6"/>
      <c r="X4037" s="6"/>
      <c r="Y4037" s="6"/>
      <c r="Z4037" s="6"/>
      <c r="AA4037" s="6"/>
    </row>
    <row r="4038" ht="14.25">
      <c r="B4038" s="4" t="s">
        <v>5728</v>
      </c>
      <c r="C4038" s="4" t="s">
        <v>29002</v>
      </c>
      <c r="D4038" s="4" t="s">
        <v>426</v>
      </c>
      <c r="E4038" s="4" t="s">
        <v>24343</v>
      </c>
      <c r="F4038" s="4" t="str">
        <f>IFERROR(__XLUDF.DUMMYFUNCTION("PROPER(REGEXREPLACE(D443,""[^A-Za-z]+ "",""""))"),"Sahar")</f>
        <v>Sahar</v>
      </c>
      <c r="G4038" s="4" t="s">
        <v>29003</v>
      </c>
      <c r="H4038" s="4">
        <v>51</v>
      </c>
      <c r="I4038" s="4" t="s">
        <v>2602</v>
      </c>
      <c r="J4038" s="4" t="str">
        <f>IFERROR(__XLUDF.DUMMYFUNCTION("VLOOKUP(H443,IMPORTRANGE(""https://docs.google.com/spreadsheets/d/1opm6ZNvGZ7KditA9TuJwrZ25eFLfTNIkrNnY6mhV5Eg"",""list!A1:C115""),3,TRUE)"),"le secteur de la tech")</f>
        <v xml:space="preserve">le secteur de la tech</v>
      </c>
      <c r="K4038" s="5" t="s">
        <v>29004</v>
      </c>
      <c r="L4038" s="5" t="s">
        <v>24346</v>
      </c>
      <c r="M4038" s="4" t="s">
        <v>39</v>
      </c>
      <c r="N4038" s="4" t="s">
        <v>29</v>
      </c>
      <c r="O4038" s="4" t="s">
        <v>24347</v>
      </c>
      <c r="P4038" s="4" t="s">
        <v>29</v>
      </c>
      <c r="Q4038" s="4" t="s">
        <v>24348</v>
      </c>
      <c r="R4038" s="6"/>
      <c r="S4038" s="6"/>
      <c r="T4038" s="6"/>
      <c r="U4038" s="6"/>
      <c r="V4038" s="6"/>
      <c r="W4038" s="6"/>
      <c r="X4038" s="6"/>
      <c r="Y4038" s="6"/>
      <c r="Z4038" s="6"/>
      <c r="AA4038" s="6"/>
    </row>
    <row r="4039" ht="14.25">
      <c r="B4039" s="4" t="s">
        <v>1198</v>
      </c>
      <c r="C4039" s="4" t="s">
        <v>15802</v>
      </c>
      <c r="D4039" s="4" t="s">
        <v>230</v>
      </c>
      <c r="E4039" s="4" t="s">
        <v>29005</v>
      </c>
      <c r="F4039" s="4" t="str">
        <f>IFERROR(__XLUDF.DUMMYFUNCTION("PROPER(REGEXREPLACE(D444,""[^A-Za-z]+ "",""""))"),"Groupe Stadline By Xplor")</f>
        <v xml:space="preserve">Groupe Stadline By Xplor</v>
      </c>
      <c r="G4039" s="4" t="s">
        <v>29006</v>
      </c>
      <c r="H4039" s="4">
        <v>37</v>
      </c>
      <c r="I4039" s="4" t="s">
        <v>2602</v>
      </c>
      <c r="J4039" s="4" t="str">
        <f>IFERROR(__XLUDF.DUMMYFUNCTION("VLOOKUP(H444,IMPORTRANGE(""https://docs.google.com/spreadsheets/d/1opm6ZNvGZ7KditA9TuJwrZ25eFLfTNIkrNnY6mhV5Eg"",""list!A1:C115""),3,TRUE)"),"le secteur de la tech")</f>
        <v xml:space="preserve">le secteur de la tech</v>
      </c>
      <c r="K4039" s="5" t="s">
        <v>29007</v>
      </c>
      <c r="L4039" s="5" t="s">
        <v>29008</v>
      </c>
      <c r="M4039" s="4" t="s">
        <v>39</v>
      </c>
      <c r="N4039" s="4" t="s">
        <v>29</v>
      </c>
      <c r="O4039" s="4" t="s">
        <v>19082</v>
      </c>
      <c r="P4039" s="4" t="s">
        <v>29</v>
      </c>
      <c r="Q4039" s="4" t="s">
        <v>29009</v>
      </c>
      <c r="R4039" s="6"/>
      <c r="S4039" s="6"/>
      <c r="T4039" s="6"/>
      <c r="U4039" s="6"/>
      <c r="V4039" s="6"/>
      <c r="W4039" s="6"/>
      <c r="X4039" s="6"/>
      <c r="Y4039" s="6"/>
      <c r="Z4039" s="6"/>
      <c r="AA4039" s="6"/>
    </row>
    <row r="4040" ht="14.25">
      <c r="B4040" s="4" t="s">
        <v>355</v>
      </c>
      <c r="C4040" s="4" t="s">
        <v>29010</v>
      </c>
      <c r="D4040" s="4" t="s">
        <v>26412</v>
      </c>
      <c r="E4040" s="4" t="s">
        <v>29011</v>
      </c>
      <c r="F4040" s="4" t="str">
        <f>IFERROR(__XLUDF.DUMMYFUNCTION("PROPER(REGEXREPLACE(D445,""[^A-Za-z]+ "",""""))"),"Zeliq")</f>
        <v>Zeliq</v>
      </c>
      <c r="G4040" s="4" t="s">
        <v>29012</v>
      </c>
      <c r="H4040" s="4">
        <v>55</v>
      </c>
      <c r="I4040" s="4" t="s">
        <v>2602</v>
      </c>
      <c r="J4040" s="4" t="str">
        <f>IFERROR(__XLUDF.DUMMYFUNCTION("VLOOKUP(H445,IMPORTRANGE(""https://docs.google.com/spreadsheets/d/1opm6ZNvGZ7KditA9TuJwrZ25eFLfTNIkrNnY6mhV5Eg"",""list!A1:C115""),3,TRUE)"),"le secteur de la tech")</f>
        <v xml:space="preserve">le secteur de la tech</v>
      </c>
      <c r="K4040" s="5" t="s">
        <v>29013</v>
      </c>
      <c r="L4040" s="5" t="s">
        <v>29014</v>
      </c>
      <c r="M4040" s="4" t="s">
        <v>29015</v>
      </c>
      <c r="N4040" s="4" t="s">
        <v>29</v>
      </c>
      <c r="O4040" s="4" t="s">
        <v>67</v>
      </c>
      <c r="P4040" s="4" t="s">
        <v>29</v>
      </c>
      <c r="Q4040" s="4" t="s">
        <v>29016</v>
      </c>
      <c r="R4040" s="6"/>
      <c r="S4040" s="6"/>
      <c r="T4040" s="6"/>
      <c r="U4040" s="6"/>
      <c r="V4040" s="6"/>
      <c r="W4040" s="6"/>
      <c r="X4040" s="6"/>
      <c r="Y4040" s="6"/>
      <c r="Z4040" s="6"/>
      <c r="AA4040" s="6"/>
    </row>
    <row r="4041" ht="14.25">
      <c r="B4041" s="4" t="s">
        <v>2398</v>
      </c>
      <c r="C4041" s="4" t="s">
        <v>26818</v>
      </c>
      <c r="D4041" s="4" t="s">
        <v>62</v>
      </c>
      <c r="E4041" s="4" t="s">
        <v>27345</v>
      </c>
      <c r="F4041" s="4" t="str">
        <f>IFERROR(__XLUDF.DUMMYFUNCTION("PROPER(REGEXREPLACE(D446,""[^A-Za-z]+ "",""""))"),"Kairntech")</f>
        <v>Kairntech</v>
      </c>
      <c r="G4041" s="4" t="s">
        <v>29017</v>
      </c>
      <c r="H4041" s="4">
        <v>10</v>
      </c>
      <c r="I4041" s="4" t="s">
        <v>2602</v>
      </c>
      <c r="J4041" s="4" t="str">
        <f>IFERROR(__XLUDF.DUMMYFUNCTION("VLOOKUP(H446,IMPORTRANGE(""https://docs.google.com/spreadsheets/d/1opm6ZNvGZ7KditA9TuJwrZ25eFLfTNIkrNnY6mhV5Eg"",""list!A1:C115""),3,TRUE)"),"le secteur de la tech")</f>
        <v xml:space="preserve">le secteur de la tech</v>
      </c>
      <c r="K4041" s="5" t="s">
        <v>29018</v>
      </c>
      <c r="L4041" s="5" t="s">
        <v>27348</v>
      </c>
      <c r="M4041" s="4" t="s">
        <v>1507</v>
      </c>
      <c r="N4041" s="4" t="s">
        <v>29</v>
      </c>
      <c r="O4041" s="4" t="s">
        <v>27349</v>
      </c>
      <c r="P4041" s="4" t="s">
        <v>29</v>
      </c>
      <c r="Q4041" s="4" t="s">
        <v>27350</v>
      </c>
      <c r="R4041" s="6"/>
      <c r="S4041" s="6"/>
      <c r="T4041" s="6"/>
      <c r="U4041" s="6"/>
      <c r="V4041" s="6"/>
      <c r="W4041" s="6"/>
      <c r="X4041" s="6"/>
      <c r="Y4041" s="6"/>
      <c r="Z4041" s="6"/>
      <c r="AA4041" s="6"/>
    </row>
    <row r="4042" ht="14.25">
      <c r="B4042" s="4" t="s">
        <v>29019</v>
      </c>
      <c r="C4042" s="4" t="s">
        <v>29020</v>
      </c>
      <c r="D4042" s="4" t="s">
        <v>62</v>
      </c>
      <c r="E4042" s="4" t="s">
        <v>29021</v>
      </c>
      <c r="F4042" s="4" t="str">
        <f>IFERROR(__XLUDF.DUMMYFUNCTION("PROPER(REGEXREPLACE(D447,""[^A-Za-z]+ "",""""))"),"Clahrisnoveum")</f>
        <v>Clahrisnoveum</v>
      </c>
      <c r="G4042" s="4" t="s">
        <v>29022</v>
      </c>
      <c r="H4042" s="4">
        <v>20</v>
      </c>
      <c r="I4042" s="4" t="s">
        <v>2602</v>
      </c>
      <c r="J4042" s="4" t="str">
        <f>IFERROR(__XLUDF.DUMMYFUNCTION("VLOOKUP(H447,IMPORTRANGE(""https://docs.google.com/spreadsheets/d/1opm6ZNvGZ7KditA9TuJwrZ25eFLfTNIkrNnY6mhV5Eg"",""list!A1:C115""),3,TRUE)"),"le secteur de la tech")</f>
        <v xml:space="preserve">le secteur de la tech</v>
      </c>
      <c r="K4042" s="5" t="s">
        <v>29023</v>
      </c>
      <c r="L4042" s="5" t="s">
        <v>29024</v>
      </c>
      <c r="M4042" s="4" t="s">
        <v>39</v>
      </c>
      <c r="N4042" s="4" t="s">
        <v>29</v>
      </c>
      <c r="O4042" s="4" t="s">
        <v>29025</v>
      </c>
      <c r="P4042" s="4" t="s">
        <v>29</v>
      </c>
      <c r="Q4042" s="6"/>
      <c r="R4042" s="6"/>
      <c r="S4042" s="6"/>
      <c r="T4042" s="6"/>
      <c r="U4042" s="6"/>
      <c r="V4042" s="6"/>
      <c r="W4042" s="6"/>
      <c r="X4042" s="6"/>
      <c r="Y4042" s="6"/>
      <c r="Z4042" s="6"/>
      <c r="AA4042" s="6"/>
    </row>
    <row r="4043" ht="14.25">
      <c r="B4043" s="4" t="s">
        <v>6931</v>
      </c>
      <c r="C4043" s="4" t="s">
        <v>29026</v>
      </c>
      <c r="D4043" s="4" t="s">
        <v>29027</v>
      </c>
      <c r="E4043" s="4" t="s">
        <v>27266</v>
      </c>
      <c r="F4043" s="4" t="str">
        <f>IFERROR(__XLUDF.DUMMYFUNCTION("PROPER(REGEXREPLACE(D448,""[^A-Za-z]+ "",""""))"),"Works Agency")</f>
        <v xml:space="preserve">Works Agency</v>
      </c>
      <c r="G4043" s="4" t="s">
        <v>29028</v>
      </c>
      <c r="H4043" s="4">
        <v>9</v>
      </c>
      <c r="I4043" s="4" t="s">
        <v>2602</v>
      </c>
      <c r="J4043" s="4" t="str">
        <f>IFERROR(__XLUDF.DUMMYFUNCTION("VLOOKUP(H448,IMPORTRANGE(""https://docs.google.com/spreadsheets/d/1opm6ZNvGZ7KditA9TuJwrZ25eFLfTNIkrNnY6mhV5Eg"",""list!A1:C115""),3,TRUE)"),"le secteur de la tech")</f>
        <v xml:space="preserve">le secteur de la tech</v>
      </c>
      <c r="K4043" s="5" t="s">
        <v>29029</v>
      </c>
      <c r="L4043" s="5" t="s">
        <v>27269</v>
      </c>
      <c r="M4043" s="4" t="s">
        <v>492</v>
      </c>
      <c r="N4043" s="4" t="s">
        <v>29</v>
      </c>
      <c r="O4043" s="4" t="s">
        <v>27270</v>
      </c>
      <c r="P4043" s="4" t="s">
        <v>29</v>
      </c>
      <c r="Q4043" s="4" t="s">
        <v>27271</v>
      </c>
      <c r="R4043" s="6"/>
      <c r="S4043" s="6"/>
      <c r="T4043" s="6"/>
      <c r="U4043" s="6"/>
      <c r="V4043" s="6"/>
      <c r="W4043" s="6"/>
      <c r="X4043" s="6"/>
      <c r="Y4043" s="6"/>
      <c r="Z4043" s="6"/>
      <c r="AA4043" s="6"/>
    </row>
    <row r="4044" ht="14.25">
      <c r="B4044" s="4" t="s">
        <v>29030</v>
      </c>
      <c r="C4044" s="4" t="s">
        <v>2119</v>
      </c>
      <c r="D4044" s="4" t="s">
        <v>3982</v>
      </c>
      <c r="E4044" s="4" t="s">
        <v>29031</v>
      </c>
      <c r="F4044" s="4" t="str">
        <f>IFERROR(__XLUDF.DUMMYFUNCTION("PROPER(REGEXREPLACE(D449,""[^A-Za-z]+ "",""""))"),"Exa")</f>
        <v>Exa</v>
      </c>
      <c r="G4044" s="4" t="s">
        <v>29032</v>
      </c>
      <c r="H4044" s="4">
        <v>32</v>
      </c>
      <c r="I4044" s="4" t="s">
        <v>2602</v>
      </c>
      <c r="J4044" s="4" t="str">
        <f>IFERROR(__XLUDF.DUMMYFUNCTION("VLOOKUP(H449,IMPORTRANGE(""https://docs.google.com/spreadsheets/d/1opm6ZNvGZ7KditA9TuJwrZ25eFLfTNIkrNnY6mhV5Eg"",""list!A1:C115""),3,TRUE)"),"le secteur de la tech")</f>
        <v xml:space="preserve">le secteur de la tech</v>
      </c>
      <c r="K4044" s="5" t="s">
        <v>29033</v>
      </c>
      <c r="L4044" s="5" t="s">
        <v>29034</v>
      </c>
      <c r="M4044" s="4" t="s">
        <v>39</v>
      </c>
      <c r="N4044" s="4" t="s">
        <v>29</v>
      </c>
      <c r="O4044" s="4" t="s">
        <v>29035</v>
      </c>
      <c r="P4044" s="4" t="s">
        <v>29</v>
      </c>
      <c r="Q4044" s="4" t="s">
        <v>29036</v>
      </c>
      <c r="R4044" s="6"/>
      <c r="S4044" s="6"/>
      <c r="T4044" s="6"/>
      <c r="U4044" s="6"/>
      <c r="V4044" s="6"/>
      <c r="W4044" s="6"/>
      <c r="X4044" s="6"/>
      <c r="Y4044" s="6"/>
      <c r="Z4044" s="6"/>
      <c r="AA4044" s="6"/>
    </row>
    <row r="4045" ht="14.25">
      <c r="B4045" s="4" t="s">
        <v>29037</v>
      </c>
      <c r="C4045" s="4" t="s">
        <v>29038</v>
      </c>
      <c r="D4045" s="4" t="s">
        <v>230</v>
      </c>
      <c r="E4045" s="4" t="s">
        <v>29039</v>
      </c>
      <c r="F4045" s="4" t="str">
        <f>IFERROR(__XLUDF.DUMMYFUNCTION("PROPER(REGEXREPLACE(D450,""[^A-Za-z]+ "",""""))"),"International Five Consulting")</f>
        <v xml:space="preserve">International Five Consulting</v>
      </c>
      <c r="G4045" s="4" t="s">
        <v>29040</v>
      </c>
      <c r="H4045" s="4">
        <v>14</v>
      </c>
      <c r="I4045" s="4" t="s">
        <v>2602</v>
      </c>
      <c r="J4045" s="4" t="str">
        <f>IFERROR(__XLUDF.DUMMYFUNCTION("VLOOKUP(H450,IMPORTRANGE(""https://docs.google.com/spreadsheets/d/1opm6ZNvGZ7KditA9TuJwrZ25eFLfTNIkrNnY6mhV5Eg"",""list!A1:C115""),3,TRUE)"),"le secteur de la tech")</f>
        <v xml:space="preserve">le secteur de la tech</v>
      </c>
      <c r="K4045" s="5" t="s">
        <v>29041</v>
      </c>
      <c r="L4045" s="5" t="s">
        <v>29042</v>
      </c>
      <c r="M4045" s="4" t="s">
        <v>39</v>
      </c>
      <c r="N4045" s="4" t="s">
        <v>29</v>
      </c>
      <c r="O4045" s="4" t="s">
        <v>27583</v>
      </c>
      <c r="P4045" s="4" t="s">
        <v>9969</v>
      </c>
      <c r="Q4045" s="4" t="s">
        <v>29043</v>
      </c>
      <c r="R4045" s="6"/>
      <c r="S4045" s="6"/>
      <c r="T4045" s="6"/>
      <c r="U4045" s="6"/>
      <c r="V4045" s="6"/>
      <c r="W4045" s="6"/>
      <c r="X4045" s="6"/>
      <c r="Y4045" s="6"/>
      <c r="Z4045" s="6"/>
      <c r="AA4045" s="6"/>
    </row>
    <row r="4046" ht="14.25">
      <c r="B4046" s="4" t="s">
        <v>29044</v>
      </c>
      <c r="C4046" s="4" t="s">
        <v>29045</v>
      </c>
      <c r="D4046" s="4" t="s">
        <v>164</v>
      </c>
      <c r="E4046" s="4" t="s">
        <v>29046</v>
      </c>
      <c r="F4046" s="4" t="str">
        <f>IFERROR(__XLUDF.DUMMYFUNCTION("PROPER(REGEXREPLACE(D451,""[^A-Za-z]+ "",""""))"),"Weloop")</f>
        <v>Weloop</v>
      </c>
      <c r="G4046" s="4" t="s">
        <v>29047</v>
      </c>
      <c r="H4046" s="4">
        <v>13</v>
      </c>
      <c r="I4046" s="4" t="s">
        <v>2602</v>
      </c>
      <c r="J4046" s="4" t="str">
        <f>IFERROR(__XLUDF.DUMMYFUNCTION("VLOOKUP(H451,IMPORTRANGE(""https://docs.google.com/spreadsheets/d/1opm6ZNvGZ7KditA9TuJwrZ25eFLfTNIkrNnY6mhV5Eg"",""list!A1:C115""),3,TRUE)"),"le secteur de la tech")</f>
        <v xml:space="preserve">le secteur de la tech</v>
      </c>
      <c r="K4046" s="5" t="s">
        <v>29048</v>
      </c>
      <c r="L4046" s="5" t="s">
        <v>29049</v>
      </c>
      <c r="M4046" s="4" t="s">
        <v>2499</v>
      </c>
      <c r="N4046" s="4" t="s">
        <v>29</v>
      </c>
      <c r="O4046" s="4" t="s">
        <v>29050</v>
      </c>
      <c r="P4046" s="4" t="s">
        <v>29</v>
      </c>
      <c r="Q4046" s="4" t="s">
        <v>29051</v>
      </c>
      <c r="R4046" s="6"/>
      <c r="S4046" s="6"/>
      <c r="T4046" s="6"/>
      <c r="U4046" s="6"/>
      <c r="V4046" s="6"/>
      <c r="W4046" s="6"/>
      <c r="X4046" s="6"/>
      <c r="Y4046" s="6"/>
      <c r="Z4046" s="6"/>
      <c r="AA4046" s="6"/>
    </row>
    <row r="4047" ht="14.25">
      <c r="B4047" s="4" t="s">
        <v>6634</v>
      </c>
      <c r="C4047" s="4" t="s">
        <v>29052</v>
      </c>
      <c r="D4047" s="4" t="s">
        <v>87</v>
      </c>
      <c r="E4047" s="4" t="s">
        <v>29053</v>
      </c>
      <c r="F4047" s="4" t="str">
        <f>IFERROR(__XLUDF.DUMMYFUNCTION("PROPER(REGEXREPLACE(D452,""[^A-Za-z]+ "",""""))"),"Bloom")</f>
        <v>Bloom</v>
      </c>
      <c r="G4047" s="4" t="s">
        <v>29054</v>
      </c>
      <c r="H4047" s="4">
        <v>47</v>
      </c>
      <c r="I4047" s="4" t="s">
        <v>2602</v>
      </c>
      <c r="J4047" s="4" t="str">
        <f>IFERROR(__XLUDF.DUMMYFUNCTION("VLOOKUP(H452,IMPORTRANGE(""https://docs.google.com/spreadsheets/d/1opm6ZNvGZ7KditA9TuJwrZ25eFLfTNIkrNnY6mhV5Eg"",""list!A1:C115""),3,TRUE)"),"le secteur de la tech")</f>
        <v xml:space="preserve">le secteur de la tech</v>
      </c>
      <c r="K4047" s="5" t="s">
        <v>29055</v>
      </c>
      <c r="L4047" s="5" t="s">
        <v>29056</v>
      </c>
      <c r="M4047" s="4" t="s">
        <v>39</v>
      </c>
      <c r="N4047" s="4" t="s">
        <v>29</v>
      </c>
      <c r="O4047" s="4" t="s">
        <v>29057</v>
      </c>
      <c r="P4047" s="4" t="s">
        <v>29</v>
      </c>
      <c r="Q4047" s="4" t="s">
        <v>29058</v>
      </c>
      <c r="R4047" s="6"/>
      <c r="S4047" s="6"/>
      <c r="T4047" s="6"/>
      <c r="U4047" s="6"/>
      <c r="V4047" s="6"/>
      <c r="W4047" s="6"/>
      <c r="X4047" s="6"/>
      <c r="Y4047" s="6"/>
      <c r="Z4047" s="6"/>
      <c r="AA4047" s="6"/>
    </row>
    <row r="4048" ht="14.25">
      <c r="B4048" s="4" t="s">
        <v>2994</v>
      </c>
      <c r="C4048" s="4" t="s">
        <v>29059</v>
      </c>
      <c r="D4048" s="4" t="s">
        <v>29060</v>
      </c>
      <c r="E4048" s="4" t="s">
        <v>28241</v>
      </c>
      <c r="F4048" s="4" t="str">
        <f>IFERROR(__XLUDF.DUMMYFUNCTION("PROPER(REGEXREPLACE(D453,""[^A-Za-z]+ "",""""))"),"Neoteem")</f>
        <v>Neoteem</v>
      </c>
      <c r="G4048" s="4" t="s">
        <v>29061</v>
      </c>
      <c r="H4048" s="4">
        <v>42</v>
      </c>
      <c r="I4048" s="4" t="s">
        <v>2602</v>
      </c>
      <c r="J4048" s="4" t="str">
        <f>IFERROR(__XLUDF.DUMMYFUNCTION("VLOOKUP(H453,IMPORTRANGE(""https://docs.google.com/spreadsheets/d/1opm6ZNvGZ7KditA9TuJwrZ25eFLfTNIkrNnY6mhV5Eg"",""list!A1:C115""),3,TRUE)"),"le secteur de la tech")</f>
        <v xml:space="preserve">le secteur de la tech</v>
      </c>
      <c r="K4048" s="5" t="s">
        <v>29062</v>
      </c>
      <c r="L4048" s="5" t="s">
        <v>28244</v>
      </c>
      <c r="M4048" s="4" t="s">
        <v>295</v>
      </c>
      <c r="N4048" s="4" t="s">
        <v>29</v>
      </c>
      <c r="O4048" s="4" t="s">
        <v>27892</v>
      </c>
      <c r="P4048" s="4" t="s">
        <v>29</v>
      </c>
      <c r="Q4048" s="4" t="s">
        <v>28245</v>
      </c>
      <c r="R4048" s="6"/>
      <c r="S4048" s="6"/>
      <c r="T4048" s="6"/>
      <c r="U4048" s="6"/>
      <c r="V4048" s="6"/>
      <c r="W4048" s="6"/>
      <c r="X4048" s="6"/>
      <c r="Y4048" s="6"/>
      <c r="Z4048" s="6"/>
      <c r="AA4048" s="6"/>
    </row>
    <row r="4049" ht="14.25">
      <c r="B4049" s="4" t="s">
        <v>1198</v>
      </c>
      <c r="C4049" s="4" t="s">
        <v>29063</v>
      </c>
      <c r="D4049" s="4" t="s">
        <v>9532</v>
      </c>
      <c r="E4049" s="4" t="s">
        <v>10414</v>
      </c>
      <c r="F4049" s="4" t="str">
        <f>IFERROR(__XLUDF.DUMMYFUNCTION("PROPER(REGEXREPLACE(D454,""[^A-Za-z]+ "",""""))"),"Atdr Ingénierie")</f>
        <v xml:space="preserve">Atdr Ingénierie</v>
      </c>
      <c r="G4049" s="4" t="s">
        <v>29064</v>
      </c>
      <c r="H4049" s="4">
        <v>14</v>
      </c>
      <c r="I4049" s="4" t="s">
        <v>2602</v>
      </c>
      <c r="J4049" s="4" t="str">
        <f>IFERROR(__XLUDF.DUMMYFUNCTION("VLOOKUP(H454,IMPORTRANGE(""https://docs.google.com/spreadsheets/d/1opm6ZNvGZ7KditA9TuJwrZ25eFLfTNIkrNnY6mhV5Eg"",""list!A1:C115""),3,TRUE)"),"le secteur de la tech")</f>
        <v xml:space="preserve">le secteur de la tech</v>
      </c>
      <c r="K4049" s="5" t="s">
        <v>29065</v>
      </c>
      <c r="L4049" s="5" t="s">
        <v>29066</v>
      </c>
      <c r="M4049" s="4" t="s">
        <v>2903</v>
      </c>
      <c r="N4049" s="4" t="s">
        <v>29</v>
      </c>
      <c r="O4049" s="4" t="s">
        <v>20656</v>
      </c>
      <c r="P4049" s="4" t="s">
        <v>29</v>
      </c>
      <c r="Q4049" s="6"/>
      <c r="R4049" s="6"/>
      <c r="S4049" s="6"/>
      <c r="T4049" s="6"/>
      <c r="U4049" s="6"/>
      <c r="V4049" s="6"/>
      <c r="W4049" s="6"/>
      <c r="X4049" s="6"/>
      <c r="Y4049" s="6"/>
      <c r="Z4049" s="6"/>
      <c r="AA4049" s="6"/>
    </row>
    <row r="4050" ht="14.25">
      <c r="B4050" s="4" t="s">
        <v>29067</v>
      </c>
      <c r="C4050" s="4" t="s">
        <v>29068</v>
      </c>
      <c r="D4050" s="4" t="s">
        <v>29069</v>
      </c>
      <c r="E4050" s="4" t="s">
        <v>29070</v>
      </c>
      <c r="F4050" s="4" t="str">
        <f>IFERROR(__XLUDF.DUMMYFUNCTION("PROPER(REGEXREPLACE(D455,""[^A-Za-z]+ "",""""))"),"Jamaa")</f>
        <v>Jamaa</v>
      </c>
      <c r="G4050" s="4" t="s">
        <v>29071</v>
      </c>
      <c r="H4050" s="4">
        <v>17</v>
      </c>
      <c r="I4050" s="4" t="s">
        <v>2602</v>
      </c>
      <c r="J4050" s="4" t="str">
        <f>IFERROR(__XLUDF.DUMMYFUNCTION("VLOOKUP(H455,IMPORTRANGE(""https://docs.google.com/spreadsheets/d/1opm6ZNvGZ7KditA9TuJwrZ25eFLfTNIkrNnY6mhV5Eg"",""list!A1:C115""),3,TRUE)"),"le secteur de la tech")</f>
        <v xml:space="preserve">le secteur de la tech</v>
      </c>
      <c r="K4050" s="5" t="s">
        <v>29072</v>
      </c>
      <c r="L4050" s="5" t="s">
        <v>29073</v>
      </c>
      <c r="M4050" s="4" t="s">
        <v>39</v>
      </c>
      <c r="N4050" s="4" t="s">
        <v>29</v>
      </c>
      <c r="O4050" s="4" t="s">
        <v>67</v>
      </c>
      <c r="P4050" s="4" t="s">
        <v>29</v>
      </c>
      <c r="Q4050" s="6"/>
      <c r="R4050" s="6"/>
      <c r="S4050" s="6"/>
      <c r="T4050" s="6"/>
      <c r="U4050" s="6"/>
      <c r="V4050" s="6"/>
      <c r="W4050" s="6"/>
      <c r="X4050" s="6"/>
      <c r="Y4050" s="6"/>
      <c r="Z4050" s="6"/>
      <c r="AA4050" s="6"/>
    </row>
    <row r="4051" ht="14.25">
      <c r="B4051" s="4" t="s">
        <v>378</v>
      </c>
      <c r="C4051" s="4" t="s">
        <v>29074</v>
      </c>
      <c r="D4051" s="4" t="s">
        <v>172</v>
      </c>
      <c r="E4051" s="4" t="s">
        <v>29075</v>
      </c>
      <c r="F4051" s="4" t="str">
        <f>IFERROR(__XLUDF.DUMMYFUNCTION("PROPER(REGEXREPLACE(D456,""[^A-Za-z]+ "",""""))"),"Technic-Soft")</f>
        <v>Technic-Soft</v>
      </c>
      <c r="G4051" s="4" t="s">
        <v>29076</v>
      </c>
      <c r="H4051" s="4">
        <v>13</v>
      </c>
      <c r="I4051" s="4" t="s">
        <v>2602</v>
      </c>
      <c r="J4051" s="4" t="str">
        <f>IFERROR(__XLUDF.DUMMYFUNCTION("VLOOKUP(H456,IMPORTRANGE(""https://docs.google.com/spreadsheets/d/1opm6ZNvGZ7KditA9TuJwrZ25eFLfTNIkrNnY6mhV5Eg"",""list!A1:C115""),3,TRUE)"),"le secteur de la tech")</f>
        <v xml:space="preserve">le secteur de la tech</v>
      </c>
      <c r="K4051" s="5" t="s">
        <v>29077</v>
      </c>
      <c r="L4051" s="5" t="s">
        <v>29078</v>
      </c>
      <c r="M4051" s="4" t="s">
        <v>83</v>
      </c>
      <c r="N4051" s="4" t="s">
        <v>29</v>
      </c>
      <c r="O4051" s="4" t="s">
        <v>84</v>
      </c>
      <c r="P4051" s="4" t="s">
        <v>29</v>
      </c>
      <c r="Q4051" s="4" t="s">
        <v>29079</v>
      </c>
      <c r="R4051" s="6"/>
      <c r="S4051" s="6"/>
      <c r="T4051" s="6"/>
      <c r="U4051" s="6"/>
      <c r="V4051" s="6"/>
      <c r="W4051" s="6"/>
      <c r="X4051" s="6"/>
      <c r="Y4051" s="6"/>
      <c r="Z4051" s="6"/>
      <c r="AA4051" s="6"/>
    </row>
    <row r="4052" ht="14.25">
      <c r="B4052" s="4" t="s">
        <v>6228</v>
      </c>
      <c r="C4052" s="4" t="s">
        <v>29080</v>
      </c>
      <c r="D4052" s="4" t="s">
        <v>62</v>
      </c>
      <c r="E4052" s="4" t="s">
        <v>26919</v>
      </c>
      <c r="F4052" s="4" t="str">
        <f>IFERROR(__XLUDF.DUMMYFUNCTION("PROPER(REGEXREPLACE(D457,""[^A-Za-z]+ "",""""))"),"Myway Technology")</f>
        <v xml:space="preserve">Myway Technology</v>
      </c>
      <c r="G4052" s="4" t="s">
        <v>29081</v>
      </c>
      <c r="H4052" s="4">
        <v>13</v>
      </c>
      <c r="I4052" s="4" t="s">
        <v>2602</v>
      </c>
      <c r="J4052" s="4" t="str">
        <f>IFERROR(__XLUDF.DUMMYFUNCTION("VLOOKUP(H457,IMPORTRANGE(""https://docs.google.com/spreadsheets/d/1opm6ZNvGZ7KditA9TuJwrZ25eFLfTNIkrNnY6mhV5Eg"",""list!A1:C115""),3,TRUE)"),"le secteur de la tech")</f>
        <v xml:space="preserve">le secteur de la tech</v>
      </c>
      <c r="K4052" s="5" t="s">
        <v>29082</v>
      </c>
      <c r="L4052" s="5" t="s">
        <v>26922</v>
      </c>
      <c r="M4052" s="4" t="s">
        <v>39</v>
      </c>
      <c r="N4052" s="4" t="s">
        <v>29</v>
      </c>
      <c r="O4052" s="4" t="s">
        <v>67</v>
      </c>
      <c r="P4052" s="4" t="s">
        <v>29</v>
      </c>
      <c r="Q4052" s="4" t="s">
        <v>26923</v>
      </c>
      <c r="R4052" s="6"/>
      <c r="S4052" s="6"/>
      <c r="T4052" s="6"/>
      <c r="U4052" s="6"/>
      <c r="V4052" s="6"/>
      <c r="W4052" s="6"/>
      <c r="X4052" s="6"/>
      <c r="Y4052" s="6"/>
      <c r="Z4052" s="6"/>
      <c r="AA4052" s="6"/>
    </row>
    <row r="4053" ht="14.25">
      <c r="B4053" s="4" t="s">
        <v>1128</v>
      </c>
      <c r="C4053" s="4" t="s">
        <v>29083</v>
      </c>
      <c r="D4053" s="4" t="s">
        <v>29084</v>
      </c>
      <c r="E4053" s="4" t="s">
        <v>29085</v>
      </c>
      <c r="F4053" s="4" t="str">
        <f>IFERROR(__XLUDF.DUMMYFUNCTION("PROPER(REGEXREPLACE(D458,""[^A-Za-z]+ "",""""))"),"Skipr")</f>
        <v>Skipr</v>
      </c>
      <c r="G4053" s="4" t="s">
        <v>29086</v>
      </c>
      <c r="H4053" s="4">
        <v>36</v>
      </c>
      <c r="I4053" s="4" t="s">
        <v>2602</v>
      </c>
      <c r="J4053" s="4" t="str">
        <f>IFERROR(__XLUDF.DUMMYFUNCTION("VLOOKUP(H458,IMPORTRANGE(""https://docs.google.com/spreadsheets/d/1opm6ZNvGZ7KditA9TuJwrZ25eFLfTNIkrNnY6mhV5Eg"",""list!A1:C115""),3,TRUE)"),"le secteur de la tech")</f>
        <v xml:space="preserve">le secteur de la tech</v>
      </c>
      <c r="K4053" s="5" t="s">
        <v>29087</v>
      </c>
      <c r="L4053" s="5" t="s">
        <v>29088</v>
      </c>
      <c r="M4053" s="4" t="s">
        <v>39</v>
      </c>
      <c r="N4053" s="4" t="s">
        <v>29</v>
      </c>
      <c r="O4053" s="4" t="s">
        <v>24128</v>
      </c>
      <c r="P4053" s="4" t="s">
        <v>2953</v>
      </c>
      <c r="Q4053" s="4" t="s">
        <v>29089</v>
      </c>
      <c r="R4053" s="6"/>
      <c r="S4053" s="6"/>
      <c r="T4053" s="6"/>
      <c r="U4053" s="6"/>
      <c r="V4053" s="6"/>
      <c r="W4053" s="6"/>
      <c r="X4053" s="6"/>
      <c r="Y4053" s="6"/>
      <c r="Z4053" s="6"/>
      <c r="AA4053" s="6"/>
    </row>
    <row r="4054" ht="14.25">
      <c r="B4054" s="4" t="s">
        <v>630</v>
      </c>
      <c r="C4054" s="4" t="s">
        <v>29090</v>
      </c>
      <c r="D4054" s="4" t="s">
        <v>9532</v>
      </c>
      <c r="E4054" s="4" t="s">
        <v>11504</v>
      </c>
      <c r="F4054" s="4" t="str">
        <f>IFERROR(__XLUDF.DUMMYFUNCTION("PROPER(REGEXREPLACE(D459,""[^A-Za-z]+ "",""""))"),"Ikimo")</f>
        <v>Ikimo</v>
      </c>
      <c r="G4054" s="4" t="s">
        <v>29091</v>
      </c>
      <c r="H4054" s="4">
        <v>10</v>
      </c>
      <c r="I4054" s="4" t="s">
        <v>2602</v>
      </c>
      <c r="J4054" s="4" t="str">
        <f>IFERROR(__XLUDF.DUMMYFUNCTION("VLOOKUP(H459,IMPORTRANGE(""https://docs.google.com/spreadsheets/d/1opm6ZNvGZ7KditA9TuJwrZ25eFLfTNIkrNnY6mhV5Eg"",""list!A1:C115""),3,TRUE)"),"le secteur de la tech")</f>
        <v xml:space="preserve">le secteur de la tech</v>
      </c>
      <c r="K4054" s="5" t="s">
        <v>29092</v>
      </c>
      <c r="L4054" s="5" t="s">
        <v>29093</v>
      </c>
      <c r="M4054" s="4" t="s">
        <v>11525</v>
      </c>
      <c r="N4054" s="4" t="s">
        <v>29</v>
      </c>
      <c r="O4054" s="4" t="s">
        <v>29094</v>
      </c>
      <c r="P4054" s="4" t="s">
        <v>29</v>
      </c>
      <c r="Q4054" s="6"/>
      <c r="R4054" s="6"/>
      <c r="S4054" s="6"/>
      <c r="T4054" s="6"/>
      <c r="U4054" s="6"/>
      <c r="V4054" s="6"/>
      <c r="W4054" s="6"/>
      <c r="X4054" s="6"/>
      <c r="Y4054" s="6"/>
      <c r="Z4054" s="6"/>
      <c r="AA4054" s="6"/>
    </row>
    <row r="4055" ht="14.25">
      <c r="B4055" s="4" t="s">
        <v>245</v>
      </c>
      <c r="C4055" s="4" t="s">
        <v>26518</v>
      </c>
      <c r="D4055" s="4" t="s">
        <v>29095</v>
      </c>
      <c r="E4055" s="4" t="s">
        <v>29096</v>
      </c>
      <c r="F4055" s="4" t="str">
        <f>IFERROR(__XLUDF.DUMMYFUNCTION("PROPER(REGEXREPLACE(D460,""[^A-Za-z]+ "",""""))"),"Webloom")</f>
        <v>Webloom</v>
      </c>
      <c r="G4055" s="4" t="s">
        <v>29097</v>
      </c>
      <c r="H4055" s="4">
        <v>11</v>
      </c>
      <c r="I4055" s="4" t="s">
        <v>2602</v>
      </c>
      <c r="J4055" s="4" t="str">
        <f>IFERROR(__XLUDF.DUMMYFUNCTION("VLOOKUP(H460,IMPORTRANGE(""https://docs.google.com/spreadsheets/d/1opm6ZNvGZ7KditA9TuJwrZ25eFLfTNIkrNnY6mhV5Eg"",""list!A1:C115""),3,TRUE)"),"le secteur de la tech")</f>
        <v xml:space="preserve">le secteur de la tech</v>
      </c>
      <c r="K4055" s="5" t="s">
        <v>29098</v>
      </c>
      <c r="L4055" s="5" t="s">
        <v>29099</v>
      </c>
      <c r="M4055" s="6"/>
      <c r="N4055" s="4" t="s">
        <v>29</v>
      </c>
      <c r="O4055" s="4" t="s">
        <v>29100</v>
      </c>
      <c r="P4055" s="4" t="s">
        <v>29</v>
      </c>
      <c r="Q4055" s="4" t="s">
        <v>29101</v>
      </c>
      <c r="R4055" s="6"/>
      <c r="S4055" s="6"/>
      <c r="T4055" s="6"/>
      <c r="U4055" s="6"/>
      <c r="V4055" s="6"/>
      <c r="W4055" s="6"/>
      <c r="X4055" s="6"/>
      <c r="Y4055" s="6"/>
      <c r="Z4055" s="6"/>
      <c r="AA4055" s="6"/>
    </row>
    <row r="4056" ht="14.25">
      <c r="B4056" s="4" t="s">
        <v>322</v>
      </c>
      <c r="C4056" s="4" t="s">
        <v>29102</v>
      </c>
      <c r="D4056" s="4" t="s">
        <v>29103</v>
      </c>
      <c r="E4056" s="4" t="s">
        <v>29104</v>
      </c>
      <c r="F4056" s="4" t="str">
        <f>IFERROR(__XLUDF.DUMMYFUNCTION("PROPER(REGEXREPLACE(D461,""[^A-Za-z]+ "",""""))"),"Cosmicdata")</f>
        <v>Cosmicdata</v>
      </c>
      <c r="G4056" s="4" t="s">
        <v>29105</v>
      </c>
      <c r="H4056" s="4">
        <v>13</v>
      </c>
      <c r="I4056" s="4" t="s">
        <v>2602</v>
      </c>
      <c r="J4056" s="4" t="str">
        <f>IFERROR(__XLUDF.DUMMYFUNCTION("VLOOKUP(H461,IMPORTRANGE(""https://docs.google.com/spreadsheets/d/1opm6ZNvGZ7KditA9TuJwrZ25eFLfTNIkrNnY6mhV5Eg"",""list!A1:C115""),3,TRUE)"),"le secteur de la tech")</f>
        <v xml:space="preserve">le secteur de la tech</v>
      </c>
      <c r="K4056" s="5" t="s">
        <v>29106</v>
      </c>
      <c r="L4056" s="5" t="s">
        <v>29107</v>
      </c>
      <c r="M4056" s="6"/>
      <c r="N4056" s="4" t="s">
        <v>29</v>
      </c>
      <c r="O4056" s="4" t="s">
        <v>29108</v>
      </c>
      <c r="P4056" s="4" t="s">
        <v>29</v>
      </c>
      <c r="Q4056" s="4" t="s">
        <v>29109</v>
      </c>
      <c r="R4056" s="6"/>
      <c r="S4056" s="6"/>
      <c r="T4056" s="6"/>
      <c r="U4056" s="6"/>
      <c r="V4056" s="6"/>
      <c r="W4056" s="6"/>
      <c r="X4056" s="6"/>
      <c r="Y4056" s="6"/>
      <c r="Z4056" s="6"/>
      <c r="AA4056" s="6"/>
    </row>
    <row r="4057" ht="14.25">
      <c r="B4057" s="4" t="s">
        <v>2299</v>
      </c>
      <c r="C4057" s="4" t="s">
        <v>29110</v>
      </c>
      <c r="D4057" s="4" t="s">
        <v>688</v>
      </c>
      <c r="E4057" s="4" t="s">
        <v>29111</v>
      </c>
      <c r="F4057" s="4" t="str">
        <f>IFERROR(__XLUDF.DUMMYFUNCTION("PROPER(REGEXREPLACE(D462,""[^A-Za-z]+ "",""""))"),"Oïko")</f>
        <v>Oïko</v>
      </c>
      <c r="G4057" s="4" t="s">
        <v>29112</v>
      </c>
      <c r="H4057" s="4">
        <v>18</v>
      </c>
      <c r="I4057" s="4" t="s">
        <v>2602</v>
      </c>
      <c r="J4057" s="4" t="str">
        <f>IFERROR(__XLUDF.DUMMYFUNCTION("VLOOKUP(H462,IMPORTRANGE(""https://docs.google.com/spreadsheets/d/1opm6ZNvGZ7KditA9TuJwrZ25eFLfTNIkrNnY6mhV5Eg"",""list!A1:C115""),3,TRUE)"),"le secteur de la tech")</f>
        <v xml:space="preserve">le secteur de la tech</v>
      </c>
      <c r="K4057" s="5" t="s">
        <v>29113</v>
      </c>
      <c r="L4057" s="5" t="s">
        <v>29114</v>
      </c>
      <c r="M4057" s="4" t="s">
        <v>39</v>
      </c>
      <c r="N4057" s="4" t="s">
        <v>29</v>
      </c>
      <c r="O4057" s="4" t="s">
        <v>29115</v>
      </c>
      <c r="P4057" s="4" t="s">
        <v>29</v>
      </c>
      <c r="Q4057" s="4" t="s">
        <v>29116</v>
      </c>
      <c r="R4057" s="6"/>
      <c r="S4057" s="6"/>
      <c r="T4057" s="6"/>
      <c r="U4057" s="6"/>
      <c r="V4057" s="6"/>
      <c r="W4057" s="6"/>
      <c r="X4057" s="6"/>
      <c r="Y4057" s="6"/>
      <c r="Z4057" s="6"/>
      <c r="AA4057" s="6"/>
    </row>
    <row r="4058" ht="14.25">
      <c r="B4058" s="4" t="s">
        <v>118</v>
      </c>
      <c r="C4058" s="4" t="s">
        <v>18814</v>
      </c>
      <c r="D4058" s="4" t="s">
        <v>5500</v>
      </c>
      <c r="E4058" s="4" t="s">
        <v>29117</v>
      </c>
      <c r="F4058" s="4" t="str">
        <f>IFERROR(__XLUDF.DUMMYFUNCTION("PROPER(REGEXREPLACE(D463,""[^A-Za-z]+ "",""""))"),"Celeris Informatique")</f>
        <v xml:space="preserve">Celeris Informatique</v>
      </c>
      <c r="G4058" s="4" t="s">
        <v>29118</v>
      </c>
      <c r="H4058" s="4">
        <v>26</v>
      </c>
      <c r="I4058" s="4" t="s">
        <v>2602</v>
      </c>
      <c r="J4058" s="4" t="str">
        <f>IFERROR(__XLUDF.DUMMYFUNCTION("VLOOKUP(H463,IMPORTRANGE(""https://docs.google.com/spreadsheets/d/1opm6ZNvGZ7KditA9TuJwrZ25eFLfTNIkrNnY6mhV5Eg"",""list!A1:C115""),3,TRUE)"),"le secteur de la tech")</f>
        <v xml:space="preserve">le secteur de la tech</v>
      </c>
      <c r="K4058" s="5" t="s">
        <v>29119</v>
      </c>
      <c r="L4058" s="5" t="s">
        <v>29120</v>
      </c>
      <c r="M4058" s="4" t="s">
        <v>39</v>
      </c>
      <c r="N4058" s="4" t="s">
        <v>29</v>
      </c>
      <c r="O4058" s="4" t="s">
        <v>29121</v>
      </c>
      <c r="P4058" s="4" t="s">
        <v>29</v>
      </c>
      <c r="Q4058" s="4" t="s">
        <v>29122</v>
      </c>
      <c r="R4058" s="6"/>
      <c r="S4058" s="6"/>
      <c r="T4058" s="6"/>
      <c r="U4058" s="6"/>
      <c r="V4058" s="6"/>
      <c r="W4058" s="6"/>
      <c r="X4058" s="6"/>
      <c r="Y4058" s="6"/>
      <c r="Z4058" s="6"/>
      <c r="AA4058" s="6"/>
    </row>
    <row r="4059" ht="14.25">
      <c r="B4059" s="4" t="s">
        <v>23365</v>
      </c>
      <c r="C4059" s="4" t="s">
        <v>29123</v>
      </c>
      <c r="D4059" s="4" t="s">
        <v>29124</v>
      </c>
      <c r="E4059" s="4" t="s">
        <v>29125</v>
      </c>
      <c r="F4059" s="4" t="str">
        <f>IFERROR(__XLUDF.DUMMYFUNCTION("PROPER(REGEXREPLACE(D464,""[^A-Za-z]+ "",""""))"),"Sline")</f>
        <v>Sline</v>
      </c>
      <c r="G4059" s="4" t="s">
        <v>29126</v>
      </c>
      <c r="H4059" s="4">
        <v>25</v>
      </c>
      <c r="I4059" s="4" t="s">
        <v>2602</v>
      </c>
      <c r="J4059" s="4" t="str">
        <f>IFERROR(__XLUDF.DUMMYFUNCTION("VLOOKUP(H464,IMPORTRANGE(""https://docs.google.com/spreadsheets/d/1opm6ZNvGZ7KditA9TuJwrZ25eFLfTNIkrNnY6mhV5Eg"",""list!A1:C115""),3,TRUE)"),"le secteur de la tech")</f>
        <v xml:space="preserve">le secteur de la tech</v>
      </c>
      <c r="K4059" s="5" t="s">
        <v>29127</v>
      </c>
      <c r="L4059" s="5" t="s">
        <v>29128</v>
      </c>
      <c r="M4059" s="4" t="s">
        <v>39</v>
      </c>
      <c r="N4059" s="4" t="s">
        <v>29</v>
      </c>
      <c r="O4059" s="4" t="s">
        <v>29129</v>
      </c>
      <c r="P4059" s="4" t="s">
        <v>29</v>
      </c>
      <c r="Q4059" s="4" t="s">
        <v>29130</v>
      </c>
      <c r="R4059" s="6"/>
      <c r="S4059" s="6"/>
      <c r="T4059" s="6"/>
      <c r="U4059" s="6"/>
      <c r="V4059" s="6"/>
      <c r="W4059" s="6"/>
      <c r="X4059" s="6"/>
      <c r="Y4059" s="6"/>
      <c r="Z4059" s="6"/>
      <c r="AA4059" s="6"/>
    </row>
    <row r="4060" ht="14.25">
      <c r="B4060" s="4" t="s">
        <v>1387</v>
      </c>
      <c r="C4060" s="4" t="s">
        <v>29131</v>
      </c>
      <c r="D4060" s="4" t="s">
        <v>172</v>
      </c>
      <c r="E4060" s="4" t="s">
        <v>29132</v>
      </c>
      <c r="F4060" s="4" t="str">
        <f>IFERROR(__XLUDF.DUMMYFUNCTION("PROPER(REGEXREPLACE(D465,""[^A-Za-z]+ "",""""))"),"Urbilog")</f>
        <v>Urbilog</v>
      </c>
      <c r="G4060" s="4" t="s">
        <v>29133</v>
      </c>
      <c r="H4060" s="4">
        <v>27</v>
      </c>
      <c r="I4060" s="4" t="s">
        <v>2602</v>
      </c>
      <c r="J4060" s="4" t="str">
        <f>IFERROR(__XLUDF.DUMMYFUNCTION("VLOOKUP(H465,IMPORTRANGE(""https://docs.google.com/spreadsheets/d/1opm6ZNvGZ7KditA9TuJwrZ25eFLfTNIkrNnY6mhV5Eg"",""list!A1:C115""),3,TRUE)"),"le secteur de la tech")</f>
        <v xml:space="preserve">le secteur de la tech</v>
      </c>
      <c r="K4060" s="5" t="s">
        <v>29134</v>
      </c>
      <c r="L4060" s="5" t="s">
        <v>29135</v>
      </c>
      <c r="M4060" s="4" t="s">
        <v>846</v>
      </c>
      <c r="N4060" s="4" t="s">
        <v>29</v>
      </c>
      <c r="O4060" s="4" t="s">
        <v>29136</v>
      </c>
      <c r="P4060" s="4" t="s">
        <v>29</v>
      </c>
      <c r="Q4060" s="4" t="s">
        <v>29137</v>
      </c>
      <c r="R4060" s="6"/>
      <c r="S4060" s="6"/>
      <c r="T4060" s="6"/>
      <c r="U4060" s="6"/>
      <c r="V4060" s="6"/>
      <c r="W4060" s="6"/>
      <c r="X4060" s="6"/>
      <c r="Y4060" s="6"/>
      <c r="Z4060" s="6"/>
      <c r="AA4060" s="6"/>
    </row>
    <row r="4061" ht="14.25">
      <c r="B4061" s="4" t="s">
        <v>3019</v>
      </c>
      <c r="C4061" s="4" t="s">
        <v>1909</v>
      </c>
      <c r="D4061" s="4" t="s">
        <v>62</v>
      </c>
      <c r="E4061" s="4" t="s">
        <v>29138</v>
      </c>
      <c r="F4061" s="4" t="str">
        <f>IFERROR(__XLUDF.DUMMYFUNCTION("PROPER(REGEXREPLACE(D466,""[^A-Za-z]+ "",""""))"),"Løvell")</f>
        <v>Løvell</v>
      </c>
      <c r="G4061" s="4" t="s">
        <v>29139</v>
      </c>
      <c r="H4061" s="4">
        <v>38</v>
      </c>
      <c r="I4061" s="4" t="s">
        <v>2602</v>
      </c>
      <c r="J4061" s="4" t="str">
        <f>IFERROR(__XLUDF.DUMMYFUNCTION("VLOOKUP(H466,IMPORTRANGE(""https://docs.google.com/spreadsheets/d/1opm6ZNvGZ7KditA9TuJwrZ25eFLfTNIkrNnY6mhV5Eg"",""list!A1:C115""),3,TRUE)"),"le secteur de la tech")</f>
        <v xml:space="preserve">le secteur de la tech</v>
      </c>
      <c r="K4061" s="5" t="s">
        <v>29140</v>
      </c>
      <c r="L4061" s="5" t="s">
        <v>20811</v>
      </c>
      <c r="M4061" s="4" t="s">
        <v>39</v>
      </c>
      <c r="N4061" s="4" t="s">
        <v>29</v>
      </c>
      <c r="O4061" s="4" t="s">
        <v>20812</v>
      </c>
      <c r="P4061" s="4" t="s">
        <v>29</v>
      </c>
      <c r="Q4061" s="4" t="s">
        <v>20813</v>
      </c>
      <c r="R4061" s="6"/>
      <c r="S4061" s="6"/>
      <c r="T4061" s="6"/>
      <c r="U4061" s="6"/>
      <c r="V4061" s="6"/>
      <c r="W4061" s="6"/>
      <c r="X4061" s="6"/>
      <c r="Y4061" s="6"/>
      <c r="Z4061" s="6"/>
      <c r="AA4061" s="6"/>
    </row>
    <row r="4062" ht="14.25">
      <c r="B4062" s="4" t="s">
        <v>1732</v>
      </c>
      <c r="C4062" s="4" t="s">
        <v>29141</v>
      </c>
      <c r="D4062" s="4" t="s">
        <v>29142</v>
      </c>
      <c r="E4062" s="4" t="s">
        <v>29143</v>
      </c>
      <c r="F4062" s="4" t="str">
        <f>IFERROR(__XLUDF.DUMMYFUNCTION("PROPER(REGEXREPLACE(D467,""[^A-Za-z]+ "",""""))"),"Apssis")</f>
        <v>Apssis</v>
      </c>
      <c r="G4062" s="4" t="s">
        <v>29144</v>
      </c>
      <c r="H4062" s="4">
        <v>12</v>
      </c>
      <c r="I4062" s="4" t="s">
        <v>2602</v>
      </c>
      <c r="J4062" s="4" t="str">
        <f>IFERROR(__XLUDF.DUMMYFUNCTION("VLOOKUP(H467,IMPORTRANGE(""https://docs.google.com/spreadsheets/d/1opm6ZNvGZ7KditA9TuJwrZ25eFLfTNIkrNnY6mhV5Eg"",""list!A1:C115""),3,TRUE)"),"le secteur de la tech")</f>
        <v xml:space="preserve">le secteur de la tech</v>
      </c>
      <c r="K4062" s="5" t="s">
        <v>29145</v>
      </c>
      <c r="L4062" s="5" t="s">
        <v>29146</v>
      </c>
      <c r="M4062" s="4" t="s">
        <v>29147</v>
      </c>
      <c r="N4062" s="4" t="s">
        <v>29</v>
      </c>
      <c r="O4062" s="4" t="s">
        <v>29148</v>
      </c>
      <c r="P4062" s="4" t="s">
        <v>29</v>
      </c>
      <c r="Q4062" s="6"/>
      <c r="R4062" s="6"/>
      <c r="S4062" s="6"/>
      <c r="T4062" s="6"/>
      <c r="U4062" s="6"/>
      <c r="V4062" s="6"/>
      <c r="W4062" s="6"/>
      <c r="X4062" s="6"/>
      <c r="Y4062" s="6"/>
      <c r="Z4062" s="6"/>
      <c r="AA4062" s="6"/>
    </row>
    <row r="4063" ht="14.25">
      <c r="B4063" s="4" t="s">
        <v>710</v>
      </c>
      <c r="C4063" s="4" t="s">
        <v>18672</v>
      </c>
      <c r="D4063" s="4" t="s">
        <v>29149</v>
      </c>
      <c r="E4063" s="4" t="s">
        <v>29150</v>
      </c>
      <c r="F4063" s="4" t="str">
        <f>IFERROR(__XLUDF.DUMMYFUNCTION("PROPER(REGEXREPLACE(D468,""[^A-Za-z]+ "",""""))"),"Rzilient")</f>
        <v>Rzilient</v>
      </c>
      <c r="G4063" s="4" t="s">
        <v>29151</v>
      </c>
      <c r="H4063" s="4">
        <v>36</v>
      </c>
      <c r="I4063" s="4" t="s">
        <v>2602</v>
      </c>
      <c r="J4063" s="4" t="str">
        <f>IFERROR(__XLUDF.DUMMYFUNCTION("VLOOKUP(H468,IMPORTRANGE(""https://docs.google.com/spreadsheets/d/1opm6ZNvGZ7KditA9TuJwrZ25eFLfTNIkrNnY6mhV5Eg"",""list!A1:C115""),3,TRUE)"),"le secteur de la tech")</f>
        <v xml:space="preserve">le secteur de la tech</v>
      </c>
      <c r="K4063" s="5" t="s">
        <v>29152</v>
      </c>
      <c r="L4063" s="5" t="s">
        <v>29153</v>
      </c>
      <c r="M4063" s="4" t="s">
        <v>39</v>
      </c>
      <c r="N4063" s="4" t="s">
        <v>29</v>
      </c>
      <c r="O4063" s="4" t="s">
        <v>67</v>
      </c>
      <c r="P4063" s="4" t="s">
        <v>29</v>
      </c>
      <c r="Q4063" s="4" t="s">
        <v>29154</v>
      </c>
      <c r="R4063" s="6"/>
      <c r="S4063" s="6"/>
      <c r="T4063" s="6"/>
      <c r="U4063" s="6"/>
      <c r="V4063" s="6"/>
      <c r="W4063" s="6"/>
      <c r="X4063" s="6"/>
      <c r="Y4063" s="6"/>
      <c r="Z4063" s="6"/>
      <c r="AA4063" s="6"/>
    </row>
    <row r="4064" ht="14.25">
      <c r="B4064" s="4" t="s">
        <v>6923</v>
      </c>
      <c r="C4064" s="4" t="s">
        <v>29155</v>
      </c>
      <c r="D4064" s="4" t="s">
        <v>172</v>
      </c>
      <c r="E4064" s="4" t="s">
        <v>29156</v>
      </c>
      <c r="F4064" s="4" t="str">
        <f>IFERROR(__XLUDF.DUMMYFUNCTION("PROPER(REGEXREPLACE(D469,""[^A-Za-z]+ "",""""))"),"Actual Systèmes")</f>
        <v xml:space="preserve">Actual Systèmes</v>
      </c>
      <c r="G4064" s="4" t="s">
        <v>29157</v>
      </c>
      <c r="H4064" s="4">
        <v>39</v>
      </c>
      <c r="I4064" s="4" t="s">
        <v>2602</v>
      </c>
      <c r="J4064" s="4" t="str">
        <f>IFERROR(__XLUDF.DUMMYFUNCTION("VLOOKUP(H469,IMPORTRANGE(""https://docs.google.com/spreadsheets/d/1opm6ZNvGZ7KditA9TuJwrZ25eFLfTNIkrNnY6mhV5Eg"",""list!A1:C115""),3,TRUE)"),"le secteur de la tech")</f>
        <v xml:space="preserve">le secteur de la tech</v>
      </c>
      <c r="K4064" s="5" t="s">
        <v>29158</v>
      </c>
      <c r="L4064" s="5" t="s">
        <v>29159</v>
      </c>
      <c r="M4064" s="4" t="s">
        <v>29160</v>
      </c>
      <c r="N4064" s="4" t="s">
        <v>29</v>
      </c>
      <c r="O4064" s="4" t="s">
        <v>29161</v>
      </c>
      <c r="P4064" s="4" t="s">
        <v>29</v>
      </c>
      <c r="Q4064" s="6"/>
      <c r="R4064" s="6"/>
      <c r="S4064" s="6"/>
      <c r="T4064" s="6"/>
      <c r="U4064" s="6"/>
      <c r="V4064" s="6"/>
      <c r="W4064" s="6"/>
      <c r="X4064" s="6"/>
      <c r="Y4064" s="6"/>
      <c r="Z4064" s="6"/>
      <c r="AA4064" s="6"/>
    </row>
    <row r="4065" ht="14.25">
      <c r="B4065" s="4" t="s">
        <v>3271</v>
      </c>
      <c r="C4065" s="4" t="s">
        <v>29162</v>
      </c>
      <c r="D4065" s="4" t="s">
        <v>29163</v>
      </c>
      <c r="E4065" s="4" t="s">
        <v>29164</v>
      </c>
      <c r="F4065" s="4" t="str">
        <f>IFERROR(__XLUDF.DUMMYFUNCTION("PROPER(REGEXREPLACE(D470,""[^A-Za-z]+ "",""""))"),"Stelr")</f>
        <v>Stelr</v>
      </c>
      <c r="G4065" s="4" t="s">
        <v>29165</v>
      </c>
      <c r="H4065" s="4">
        <v>16</v>
      </c>
      <c r="I4065" s="4" t="s">
        <v>2602</v>
      </c>
      <c r="J4065" s="4" t="str">
        <f>IFERROR(__XLUDF.DUMMYFUNCTION("VLOOKUP(H470,IMPORTRANGE(""https://docs.google.com/spreadsheets/d/1opm6ZNvGZ7KditA9TuJwrZ25eFLfTNIkrNnY6mhV5Eg"",""list!A1:C115""),3,TRUE)"),"le secteur de la tech")</f>
        <v xml:space="preserve">le secteur de la tech</v>
      </c>
      <c r="K4065" s="5" t="s">
        <v>29166</v>
      </c>
      <c r="L4065" s="5" t="s">
        <v>29167</v>
      </c>
      <c r="M4065" s="4" t="s">
        <v>1711</v>
      </c>
      <c r="N4065" s="4" t="s">
        <v>29</v>
      </c>
      <c r="O4065" s="4" t="s">
        <v>29168</v>
      </c>
      <c r="P4065" s="4" t="s">
        <v>29</v>
      </c>
      <c r="Q4065" s="4" t="s">
        <v>29169</v>
      </c>
      <c r="R4065" s="6"/>
      <c r="S4065" s="6"/>
      <c r="T4065" s="6"/>
      <c r="U4065" s="6"/>
      <c r="V4065" s="6"/>
      <c r="W4065" s="6"/>
      <c r="X4065" s="6"/>
      <c r="Y4065" s="6"/>
      <c r="Z4065" s="6"/>
      <c r="AA4065" s="6"/>
    </row>
    <row r="4066" ht="14.25">
      <c r="B4066" s="4" t="s">
        <v>2436</v>
      </c>
      <c r="C4066" s="4" t="s">
        <v>29170</v>
      </c>
      <c r="D4066" s="4" t="s">
        <v>172</v>
      </c>
      <c r="E4066" s="4" t="s">
        <v>29171</v>
      </c>
      <c r="F4066" s="4" t="str">
        <f>IFERROR(__XLUDF.DUMMYFUNCTION("PROPER(REGEXREPLACE(D471,""[^A-Za-z]+ "",""""))"),"Vidéo Synergie")</f>
        <v xml:space="preserve">Vidéo Synergie</v>
      </c>
      <c r="G4066" s="4" t="s">
        <v>29172</v>
      </c>
      <c r="H4066" s="4">
        <v>21</v>
      </c>
      <c r="I4066" s="4" t="s">
        <v>2602</v>
      </c>
      <c r="J4066" s="4" t="str">
        <f>IFERROR(__XLUDF.DUMMYFUNCTION("VLOOKUP(H471,IMPORTRANGE(""https://docs.google.com/spreadsheets/d/1opm6ZNvGZ7KditA9TuJwrZ25eFLfTNIkrNnY6mhV5Eg"",""list!A1:C115""),3,TRUE)"),"le secteur de la tech")</f>
        <v xml:space="preserve">le secteur de la tech</v>
      </c>
      <c r="K4066" s="5" t="s">
        <v>29173</v>
      </c>
      <c r="L4066" s="5" t="s">
        <v>29174</v>
      </c>
      <c r="M4066" s="4" t="s">
        <v>10299</v>
      </c>
      <c r="N4066" s="4" t="s">
        <v>29</v>
      </c>
      <c r="O4066" s="4" t="s">
        <v>29175</v>
      </c>
      <c r="P4066" s="4" t="s">
        <v>29</v>
      </c>
      <c r="Q4066" s="6"/>
      <c r="R4066" s="6"/>
      <c r="S4066" s="6"/>
      <c r="T4066" s="6"/>
      <c r="U4066" s="6"/>
      <c r="V4066" s="6"/>
      <c r="W4066" s="6"/>
      <c r="X4066" s="6"/>
      <c r="Y4066" s="6"/>
      <c r="Z4066" s="6"/>
      <c r="AA4066" s="6"/>
    </row>
    <row r="4067" ht="14.25">
      <c r="B4067" s="4" t="s">
        <v>2419</v>
      </c>
      <c r="C4067" s="4" t="s">
        <v>29176</v>
      </c>
      <c r="D4067" s="4" t="s">
        <v>468</v>
      </c>
      <c r="E4067" s="4" t="s">
        <v>29177</v>
      </c>
      <c r="F4067" s="4" t="str">
        <f>IFERROR(__XLUDF.DUMMYFUNCTION("PROPER(REGEXREPLACE(D472,""[^A-Za-z]+ "",""""))"),"Digital Garden Agence Web")</f>
        <v xml:space="preserve">Digital Garden Agence Web</v>
      </c>
      <c r="G4067" s="4" t="s">
        <v>29178</v>
      </c>
      <c r="H4067" s="4">
        <v>23</v>
      </c>
      <c r="I4067" s="4" t="s">
        <v>2602</v>
      </c>
      <c r="J4067" s="4" t="str">
        <f>IFERROR(__XLUDF.DUMMYFUNCTION("VLOOKUP(H472,IMPORTRANGE(""https://docs.google.com/spreadsheets/d/1opm6ZNvGZ7KditA9TuJwrZ25eFLfTNIkrNnY6mhV5Eg"",""list!A1:C115""),3,TRUE)"),"le secteur de la tech")</f>
        <v xml:space="preserve">le secteur de la tech</v>
      </c>
      <c r="K4067" s="5" t="s">
        <v>29179</v>
      </c>
      <c r="L4067" s="5" t="s">
        <v>29180</v>
      </c>
      <c r="M4067" s="4" t="s">
        <v>731</v>
      </c>
      <c r="N4067" s="4" t="s">
        <v>29</v>
      </c>
      <c r="O4067" s="4" t="s">
        <v>29181</v>
      </c>
      <c r="P4067" s="4" t="s">
        <v>29</v>
      </c>
      <c r="Q4067" s="4" t="s">
        <v>29182</v>
      </c>
      <c r="R4067" s="6"/>
      <c r="S4067" s="6"/>
      <c r="T4067" s="6"/>
      <c r="U4067" s="6"/>
      <c r="V4067" s="6"/>
      <c r="W4067" s="6"/>
      <c r="X4067" s="6"/>
      <c r="Y4067" s="6"/>
      <c r="Z4067" s="6"/>
      <c r="AA4067" s="6"/>
    </row>
    <row r="4068" ht="14.25">
      <c r="B4068" s="4" t="s">
        <v>10945</v>
      </c>
      <c r="C4068" s="4" t="s">
        <v>29183</v>
      </c>
      <c r="D4068" s="4" t="s">
        <v>29184</v>
      </c>
      <c r="E4068" s="4" t="s">
        <v>29185</v>
      </c>
      <c r="F4068" s="4" t="str">
        <f>IFERROR(__XLUDF.DUMMYFUNCTION("PROPER(REGEXREPLACE(D473,""[^A-Za-z]+ "",""""))"),"Cadwork-04")</f>
        <v>Cadwork-04</v>
      </c>
      <c r="G4068" s="4" t="s">
        <v>29186</v>
      </c>
      <c r="H4068" s="4">
        <v>35</v>
      </c>
      <c r="I4068" s="4" t="s">
        <v>2602</v>
      </c>
      <c r="J4068" s="4" t="str">
        <f>IFERROR(__XLUDF.DUMMYFUNCTION("VLOOKUP(H473,IMPORTRANGE(""https://docs.google.com/spreadsheets/d/1opm6ZNvGZ7KditA9TuJwrZ25eFLfTNIkrNnY6mhV5Eg"",""list!A1:C115""),3,TRUE)"),"le secteur de la tech")</f>
        <v xml:space="preserve">le secteur de la tech</v>
      </c>
      <c r="K4068" s="5" t="s">
        <v>29187</v>
      </c>
      <c r="L4068" s="5" t="s">
        <v>29188</v>
      </c>
      <c r="M4068" s="4" t="s">
        <v>1711</v>
      </c>
      <c r="N4068" s="4" t="s">
        <v>29</v>
      </c>
      <c r="O4068" s="4" t="s">
        <v>21282</v>
      </c>
      <c r="P4068" s="4" t="s">
        <v>1938</v>
      </c>
      <c r="Q4068" s="4" t="s">
        <v>29189</v>
      </c>
      <c r="R4068" s="6"/>
      <c r="S4068" s="6"/>
      <c r="T4068" s="6"/>
      <c r="U4068" s="6"/>
      <c r="V4068" s="6"/>
      <c r="W4068" s="6"/>
      <c r="X4068" s="6"/>
      <c r="Y4068" s="6"/>
      <c r="Z4068" s="6"/>
      <c r="AA4068" s="6"/>
    </row>
    <row r="4069" ht="14.25">
      <c r="B4069" s="4" t="s">
        <v>8107</v>
      </c>
      <c r="C4069" s="4" t="s">
        <v>29190</v>
      </c>
      <c r="D4069" s="4" t="s">
        <v>29191</v>
      </c>
      <c r="E4069" s="4" t="s">
        <v>19384</v>
      </c>
      <c r="F4069" s="4" t="str">
        <f>IFERROR(__XLUDF.DUMMYFUNCTION("PROPER(REGEXREPLACE(D474,""[^A-Za-z]+ "",""""))"),"Pathway")</f>
        <v>Pathway</v>
      </c>
      <c r="G4069" s="4" t="s">
        <v>29192</v>
      </c>
      <c r="H4069" s="4">
        <v>34</v>
      </c>
      <c r="I4069" s="4" t="s">
        <v>2602</v>
      </c>
      <c r="J4069" s="4" t="str">
        <f>IFERROR(__XLUDF.DUMMYFUNCTION("VLOOKUP(H474,IMPORTRANGE(""https://docs.google.com/spreadsheets/d/1opm6ZNvGZ7KditA9TuJwrZ25eFLfTNIkrNnY6mhV5Eg"",""list!A1:C115""),3,TRUE)"),"le secteur de la tech")</f>
        <v xml:space="preserve">le secteur de la tech</v>
      </c>
      <c r="K4069" s="5" t="s">
        <v>29193</v>
      </c>
      <c r="L4069" s="5" t="s">
        <v>19387</v>
      </c>
      <c r="M4069" s="4" t="s">
        <v>39</v>
      </c>
      <c r="N4069" s="4" t="s">
        <v>29</v>
      </c>
      <c r="O4069" s="4" t="s">
        <v>19388</v>
      </c>
      <c r="P4069" s="4" t="s">
        <v>29</v>
      </c>
      <c r="Q4069" s="4" t="s">
        <v>19389</v>
      </c>
      <c r="R4069" s="6"/>
      <c r="S4069" s="6"/>
      <c r="T4069" s="6"/>
      <c r="U4069" s="6"/>
      <c r="V4069" s="6"/>
      <c r="W4069" s="6"/>
      <c r="X4069" s="6"/>
      <c r="Y4069" s="6"/>
      <c r="Z4069" s="6"/>
      <c r="AA4069" s="6"/>
    </row>
    <row r="4070" ht="14.25">
      <c r="B4070" s="4" t="s">
        <v>2372</v>
      </c>
      <c r="C4070" s="4" t="s">
        <v>29194</v>
      </c>
      <c r="D4070" s="4" t="s">
        <v>29195</v>
      </c>
      <c r="E4070" s="4" t="s">
        <v>20674</v>
      </c>
      <c r="F4070" s="4" t="str">
        <f>IFERROR(__XLUDF.DUMMYFUNCTION("PROPER(REGEXREPLACE(D475,""[^A-Za-z]+ "",""""))"),"Elzeard")</f>
        <v>Elzeard</v>
      </c>
      <c r="G4070" s="4" t="s">
        <v>29196</v>
      </c>
      <c r="H4070" s="4">
        <v>14</v>
      </c>
      <c r="I4070" s="4" t="s">
        <v>2602</v>
      </c>
      <c r="J4070" s="4" t="str">
        <f>IFERROR(__XLUDF.DUMMYFUNCTION("VLOOKUP(H475,IMPORTRANGE(""https://docs.google.com/spreadsheets/d/1opm6ZNvGZ7KditA9TuJwrZ25eFLfTNIkrNnY6mhV5Eg"",""list!A1:C115""),3,TRUE)"),"le secteur de la tech")</f>
        <v xml:space="preserve">le secteur de la tech</v>
      </c>
      <c r="K4070" s="5" t="s">
        <v>29197</v>
      </c>
      <c r="L4070" s="5" t="s">
        <v>20677</v>
      </c>
      <c r="M4070" s="4" t="s">
        <v>243</v>
      </c>
      <c r="N4070" s="4" t="s">
        <v>29</v>
      </c>
      <c r="O4070" s="4" t="s">
        <v>20678</v>
      </c>
      <c r="P4070" s="4" t="s">
        <v>29</v>
      </c>
      <c r="Q4070" s="4" t="s">
        <v>20679</v>
      </c>
      <c r="R4070" s="6"/>
      <c r="S4070" s="6"/>
      <c r="T4070" s="6"/>
      <c r="U4070" s="6"/>
      <c r="V4070" s="6"/>
      <c r="W4070" s="6"/>
      <c r="X4070" s="6"/>
      <c r="Y4070" s="6"/>
      <c r="Z4070" s="6"/>
      <c r="AA4070" s="6"/>
    </row>
    <row r="4071" ht="14.25">
      <c r="B4071" s="4" t="s">
        <v>29198</v>
      </c>
      <c r="C4071" s="4" t="s">
        <v>1198</v>
      </c>
      <c r="D4071" s="4" t="s">
        <v>29199</v>
      </c>
      <c r="E4071" s="4" t="s">
        <v>29200</v>
      </c>
      <c r="F4071" s="4" t="str">
        <f>IFERROR(__XLUDF.DUMMYFUNCTION("PROPER(REGEXREPLACE(D476,""[^A-Za-z]+ "",""""))"),"Infoelsa")</f>
        <v>Infoelsa</v>
      </c>
      <c r="G4071" s="4" t="s">
        <v>29201</v>
      </c>
      <c r="H4071" s="4">
        <v>14</v>
      </c>
      <c r="I4071" s="4" t="s">
        <v>2602</v>
      </c>
      <c r="J4071" s="4" t="str">
        <f>IFERROR(__XLUDF.DUMMYFUNCTION("VLOOKUP(H476,IMPORTRANGE(""https://docs.google.com/spreadsheets/d/1opm6ZNvGZ7KditA9TuJwrZ25eFLfTNIkrNnY6mhV5Eg"",""list!A1:C115""),3,TRUE)"),"le secteur de la tech")</f>
        <v xml:space="preserve">le secteur de la tech</v>
      </c>
      <c r="K4071" s="5" t="s">
        <v>29202</v>
      </c>
      <c r="L4071" s="5" t="s">
        <v>29203</v>
      </c>
      <c r="M4071" s="4" t="s">
        <v>39</v>
      </c>
      <c r="N4071" s="4" t="s">
        <v>29</v>
      </c>
      <c r="O4071" s="4" t="s">
        <v>5686</v>
      </c>
      <c r="P4071" s="4" t="s">
        <v>29</v>
      </c>
      <c r="Q4071" s="6"/>
      <c r="R4071" s="6"/>
      <c r="S4071" s="6"/>
      <c r="T4071" s="6"/>
      <c r="U4071" s="6"/>
      <c r="V4071" s="6"/>
      <c r="W4071" s="6"/>
      <c r="X4071" s="6"/>
      <c r="Y4071" s="6"/>
      <c r="Z4071" s="6"/>
      <c r="AA4071" s="6"/>
    </row>
    <row r="4072" ht="14.25">
      <c r="B4072" s="4" t="s">
        <v>245</v>
      </c>
      <c r="C4072" s="4" t="s">
        <v>29204</v>
      </c>
      <c r="D4072" s="4" t="s">
        <v>29205</v>
      </c>
      <c r="E4072" s="4" t="s">
        <v>29206</v>
      </c>
      <c r="F4072" s="4" t="str">
        <f>IFERROR(__XLUDF.DUMMYFUNCTION("PROPER(REGEXREPLACE(D477,""[^A-Za-z]+ "",""""))"),"Vicinity")</f>
        <v>Vicinity</v>
      </c>
      <c r="G4072" s="4" t="s">
        <v>29207</v>
      </c>
      <c r="H4072" s="4">
        <v>36</v>
      </c>
      <c r="I4072" s="4" t="s">
        <v>2602</v>
      </c>
      <c r="J4072" s="4" t="str">
        <f>IFERROR(__XLUDF.DUMMYFUNCTION("VLOOKUP(H477,IMPORTRANGE(""https://docs.google.com/spreadsheets/d/1opm6ZNvGZ7KditA9TuJwrZ25eFLfTNIkrNnY6mhV5Eg"",""list!A1:C115""),3,TRUE)"),"le secteur de la tech")</f>
        <v xml:space="preserve">le secteur de la tech</v>
      </c>
      <c r="K4072" s="5" t="s">
        <v>29208</v>
      </c>
      <c r="L4072" s="5" t="s">
        <v>29209</v>
      </c>
      <c r="M4072" s="4" t="s">
        <v>185</v>
      </c>
      <c r="N4072" s="4" t="s">
        <v>29</v>
      </c>
      <c r="O4072" s="4" t="s">
        <v>125</v>
      </c>
      <c r="P4072" s="4" t="s">
        <v>29</v>
      </c>
      <c r="Q4072" s="4" t="s">
        <v>29210</v>
      </c>
      <c r="R4072" s="6"/>
      <c r="S4072" s="6"/>
      <c r="T4072" s="6"/>
      <c r="U4072" s="6"/>
      <c r="V4072" s="6"/>
      <c r="W4072" s="6"/>
      <c r="X4072" s="6"/>
      <c r="Y4072" s="6"/>
      <c r="Z4072" s="6"/>
      <c r="AA4072" s="6"/>
    </row>
    <row r="4073" ht="14.25">
      <c r="B4073" s="4" t="s">
        <v>768</v>
      </c>
      <c r="C4073" s="4" t="s">
        <v>29211</v>
      </c>
      <c r="D4073" s="4" t="s">
        <v>29212</v>
      </c>
      <c r="E4073" s="4" t="s">
        <v>29213</v>
      </c>
      <c r="F4073" s="4" t="str">
        <f>IFERROR(__XLUDF.DUMMYFUNCTION("PROPER(REGEXREPLACE(D478,""[^A-Za-z]+ "",""""))"),"Jolicode")</f>
        <v>Jolicode</v>
      </c>
      <c r="G4073" s="4" t="s">
        <v>29214</v>
      </c>
      <c r="H4073" s="4">
        <v>24</v>
      </c>
      <c r="I4073" s="4" t="s">
        <v>2602</v>
      </c>
      <c r="J4073" s="4" t="str">
        <f>IFERROR(__XLUDF.DUMMYFUNCTION("VLOOKUP(H478,IMPORTRANGE(""https://docs.google.com/spreadsheets/d/1opm6ZNvGZ7KditA9TuJwrZ25eFLfTNIkrNnY6mhV5Eg"",""list!A1:C115""),3,TRUE)"),"le secteur de la tech")</f>
        <v xml:space="preserve">le secteur de la tech</v>
      </c>
      <c r="K4073" s="5" t="s">
        <v>29215</v>
      </c>
      <c r="L4073" s="5" t="s">
        <v>29216</v>
      </c>
      <c r="M4073" s="4" t="s">
        <v>39</v>
      </c>
      <c r="N4073" s="4" t="s">
        <v>29</v>
      </c>
      <c r="O4073" s="4" t="s">
        <v>29217</v>
      </c>
      <c r="P4073" s="4" t="s">
        <v>29</v>
      </c>
      <c r="Q4073" s="4" t="s">
        <v>29218</v>
      </c>
      <c r="R4073" s="6"/>
      <c r="S4073" s="6"/>
      <c r="T4073" s="6"/>
      <c r="U4073" s="6"/>
      <c r="V4073" s="6"/>
      <c r="W4073" s="6"/>
      <c r="X4073" s="6"/>
      <c r="Y4073" s="6"/>
      <c r="Z4073" s="6"/>
      <c r="AA4073" s="6"/>
    </row>
    <row r="4074" ht="14.25">
      <c r="B4074" s="4" t="s">
        <v>330</v>
      </c>
      <c r="C4074" s="4" t="s">
        <v>29219</v>
      </c>
      <c r="D4074" s="4" t="s">
        <v>8042</v>
      </c>
      <c r="E4074" s="4" t="s">
        <v>28595</v>
      </c>
      <c r="F4074" s="4" t="str">
        <f>IFERROR(__XLUDF.DUMMYFUNCTION("PROPER(REGEXREPLACE(D479,""[^A-Za-z]+ "",""""))"),"Atelier Audiovisuel")</f>
        <v xml:space="preserve">Atelier Audiovisuel</v>
      </c>
      <c r="G4074" s="4" t="s">
        <v>29220</v>
      </c>
      <c r="H4074" s="4">
        <v>14</v>
      </c>
      <c r="I4074" s="4" t="s">
        <v>2602</v>
      </c>
      <c r="J4074" s="4" t="str">
        <f>IFERROR(__XLUDF.DUMMYFUNCTION("VLOOKUP(H479,IMPORTRANGE(""https://docs.google.com/spreadsheets/d/1opm6ZNvGZ7KditA9TuJwrZ25eFLfTNIkrNnY6mhV5Eg"",""list!A1:C115""),3,TRUE)"),"le secteur de la tech")</f>
        <v xml:space="preserve">le secteur de la tech</v>
      </c>
      <c r="K4074" s="5" t="s">
        <v>29221</v>
      </c>
      <c r="L4074" s="5" t="s">
        <v>28598</v>
      </c>
      <c r="M4074" s="6"/>
      <c r="N4074" s="4" t="s">
        <v>29</v>
      </c>
      <c r="O4074" s="4" t="s">
        <v>28599</v>
      </c>
      <c r="P4074" s="4" t="s">
        <v>29</v>
      </c>
      <c r="Q4074" s="6"/>
      <c r="R4074" s="6"/>
      <c r="S4074" s="6"/>
      <c r="T4074" s="6"/>
      <c r="U4074" s="6"/>
      <c r="V4074" s="6"/>
      <c r="W4074" s="6"/>
      <c r="X4074" s="6"/>
      <c r="Y4074" s="6"/>
      <c r="Z4074" s="6"/>
      <c r="AA4074" s="6"/>
    </row>
    <row r="4075" ht="14.25">
      <c r="B4075" s="4" t="s">
        <v>29222</v>
      </c>
      <c r="C4075" s="4" t="s">
        <v>29223</v>
      </c>
      <c r="D4075" s="4" t="s">
        <v>62</v>
      </c>
      <c r="E4075" s="4" t="s">
        <v>29224</v>
      </c>
      <c r="F4075" s="4" t="str">
        <f>IFERROR(__XLUDF.DUMMYFUNCTION("PROPER(REGEXREPLACE(D480,""[^A-Za-z]+ "",""""))"),"Creativas")</f>
        <v>Creativas</v>
      </c>
      <c r="G4075" s="4" t="s">
        <v>29225</v>
      </c>
      <c r="H4075" s="4">
        <v>25</v>
      </c>
      <c r="I4075" s="4" t="s">
        <v>2602</v>
      </c>
      <c r="J4075" s="4" t="str">
        <f>IFERROR(__XLUDF.DUMMYFUNCTION("VLOOKUP(H480,IMPORTRANGE(""https://docs.google.com/spreadsheets/d/1opm6ZNvGZ7KditA9TuJwrZ25eFLfTNIkrNnY6mhV5Eg"",""list!A1:C115""),3,TRUE)"),"le secteur de la tech")</f>
        <v xml:space="preserve">le secteur de la tech</v>
      </c>
      <c r="K4075" s="5" t="s">
        <v>29226</v>
      </c>
      <c r="L4075" s="5" t="s">
        <v>29227</v>
      </c>
      <c r="M4075" s="6"/>
      <c r="N4075" s="4" t="s">
        <v>29</v>
      </c>
      <c r="O4075" s="4" t="s">
        <v>19317</v>
      </c>
      <c r="P4075" s="4" t="s">
        <v>29</v>
      </c>
      <c r="Q4075" s="4" t="s">
        <v>29228</v>
      </c>
      <c r="R4075" s="6"/>
      <c r="S4075" s="6"/>
      <c r="T4075" s="6"/>
      <c r="U4075" s="6"/>
      <c r="V4075" s="6"/>
      <c r="W4075" s="6"/>
      <c r="X4075" s="6"/>
      <c r="Y4075" s="6"/>
      <c r="Z4075" s="6"/>
      <c r="AA4075" s="6"/>
    </row>
    <row r="4076" ht="14.25">
      <c r="B4076" s="4" t="s">
        <v>29229</v>
      </c>
      <c r="C4076" s="4" t="s">
        <v>29230</v>
      </c>
      <c r="D4076" s="4" t="s">
        <v>17579</v>
      </c>
      <c r="E4076" s="4" t="s">
        <v>29231</v>
      </c>
      <c r="F4076" s="4" t="str">
        <f>IFERROR(__XLUDF.DUMMYFUNCTION("PROPER(REGEXREPLACE(D481,""[^A-Za-z]+ "",""""))"),"Fantamaster")</f>
        <v>Fantamaster</v>
      </c>
      <c r="G4076" s="4" t="s">
        <v>29232</v>
      </c>
      <c r="H4076" s="4">
        <v>13</v>
      </c>
      <c r="I4076" s="4" t="s">
        <v>2602</v>
      </c>
      <c r="J4076" s="4" t="str">
        <f>IFERROR(__XLUDF.DUMMYFUNCTION("VLOOKUP(H481,IMPORTRANGE(""https://docs.google.com/spreadsheets/d/1opm6ZNvGZ7KditA9TuJwrZ25eFLfTNIkrNnY6mhV5Eg"",""list!A1:C115""),3,TRUE)"),"le secteur de la tech")</f>
        <v xml:space="preserve">le secteur de la tech</v>
      </c>
      <c r="K4076" s="5" t="s">
        <v>29233</v>
      </c>
      <c r="L4076" s="5" t="s">
        <v>29234</v>
      </c>
      <c r="M4076" s="4" t="s">
        <v>49</v>
      </c>
      <c r="N4076" s="4" t="s">
        <v>29</v>
      </c>
      <c r="O4076" s="4" t="s">
        <v>29235</v>
      </c>
      <c r="P4076" s="4" t="s">
        <v>29236</v>
      </c>
      <c r="Q4076" s="4" t="s">
        <v>29237</v>
      </c>
      <c r="R4076" s="6"/>
      <c r="S4076" s="6"/>
      <c r="T4076" s="6"/>
      <c r="U4076" s="6"/>
      <c r="V4076" s="6"/>
      <c r="W4076" s="6"/>
      <c r="X4076" s="6"/>
      <c r="Y4076" s="6"/>
      <c r="Z4076" s="6"/>
      <c r="AA4076" s="6"/>
    </row>
    <row r="4077" ht="14.25">
      <c r="B4077" s="4" t="s">
        <v>6931</v>
      </c>
      <c r="C4077" s="4" t="s">
        <v>29238</v>
      </c>
      <c r="D4077" s="4" t="s">
        <v>62</v>
      </c>
      <c r="E4077" s="4" t="s">
        <v>28001</v>
      </c>
      <c r="F4077" s="4" t="str">
        <f>IFERROR(__XLUDF.DUMMYFUNCTION("PROPER(REGEXREPLACE(D482,""[^A-Za-z]+ "",""""))"),"Twyce")</f>
        <v>Twyce</v>
      </c>
      <c r="G4077" s="4" t="s">
        <v>29239</v>
      </c>
      <c r="H4077" s="4">
        <v>37</v>
      </c>
      <c r="I4077" s="4" t="s">
        <v>2602</v>
      </c>
      <c r="J4077" s="4" t="str">
        <f>IFERROR(__XLUDF.DUMMYFUNCTION("VLOOKUP(H482,IMPORTRANGE(""https://docs.google.com/spreadsheets/d/1opm6ZNvGZ7KditA9TuJwrZ25eFLfTNIkrNnY6mhV5Eg"",""list!A1:C115""),3,TRUE)"),"le secteur de la tech")</f>
        <v xml:space="preserve">le secteur de la tech</v>
      </c>
      <c r="K4077" s="5" t="s">
        <v>29240</v>
      </c>
      <c r="L4077" s="5" t="s">
        <v>28004</v>
      </c>
      <c r="M4077" s="4" t="s">
        <v>39</v>
      </c>
      <c r="N4077" s="4" t="s">
        <v>29</v>
      </c>
      <c r="O4077" s="4" t="s">
        <v>20412</v>
      </c>
      <c r="P4077" s="4" t="s">
        <v>29</v>
      </c>
      <c r="Q4077" s="4" t="s">
        <v>28005</v>
      </c>
      <c r="R4077" s="6"/>
      <c r="S4077" s="6"/>
      <c r="T4077" s="6"/>
      <c r="U4077" s="6"/>
      <c r="V4077" s="6"/>
      <c r="W4077" s="6"/>
      <c r="X4077" s="6"/>
      <c r="Y4077" s="6"/>
      <c r="Z4077" s="6"/>
      <c r="AA4077" s="6"/>
    </row>
    <row r="4078" ht="14.25">
      <c r="B4078" s="4" t="s">
        <v>29241</v>
      </c>
      <c r="C4078" s="4" t="s">
        <v>29242</v>
      </c>
      <c r="D4078" s="4" t="s">
        <v>18553</v>
      </c>
      <c r="E4078" s="4" t="s">
        <v>29243</v>
      </c>
      <c r="F4078" s="4" t="str">
        <f>IFERROR(__XLUDF.DUMMYFUNCTION("PROPER(REGEXREPLACE(D483,""[^A-Za-z]+ "",""""))"),"Uptimise")</f>
        <v>Uptimise</v>
      </c>
      <c r="G4078" s="4" t="s">
        <v>29244</v>
      </c>
      <c r="H4078" s="4">
        <v>15</v>
      </c>
      <c r="I4078" s="4" t="s">
        <v>2602</v>
      </c>
      <c r="J4078" s="4" t="str">
        <f>IFERROR(__XLUDF.DUMMYFUNCTION("VLOOKUP(H483,IMPORTRANGE(""https://docs.google.com/spreadsheets/d/1opm6ZNvGZ7KditA9TuJwrZ25eFLfTNIkrNnY6mhV5Eg"",""list!A1:C115""),3,TRUE)"),"le secteur de la tech")</f>
        <v xml:space="preserve">le secteur de la tech</v>
      </c>
      <c r="K4078" s="5" t="s">
        <v>29245</v>
      </c>
      <c r="L4078" s="5" t="s">
        <v>29246</v>
      </c>
      <c r="M4078" s="4" t="s">
        <v>39</v>
      </c>
      <c r="N4078" s="4" t="s">
        <v>29</v>
      </c>
      <c r="O4078" s="4" t="s">
        <v>29247</v>
      </c>
      <c r="P4078" s="4" t="s">
        <v>29248</v>
      </c>
      <c r="Q4078" s="6"/>
      <c r="R4078" s="6"/>
      <c r="S4078" s="6"/>
      <c r="T4078" s="6"/>
      <c r="U4078" s="6"/>
      <c r="V4078" s="6"/>
      <c r="W4078" s="6"/>
      <c r="X4078" s="6"/>
      <c r="Y4078" s="6"/>
      <c r="Z4078" s="6"/>
      <c r="AA4078" s="6"/>
    </row>
    <row r="4079" ht="14.25">
      <c r="B4079" s="4" t="s">
        <v>298</v>
      </c>
      <c r="C4079" s="4" t="s">
        <v>29249</v>
      </c>
      <c r="D4079" s="4" t="s">
        <v>87</v>
      </c>
      <c r="E4079" s="4" t="s">
        <v>21778</v>
      </c>
      <c r="F4079" s="4" t="str">
        <f>IFERROR(__XLUDF.DUMMYFUNCTION("PROPER(REGEXREPLACE(D484,""[^A-Za-z]+ "",""""))"),"Noop")</f>
        <v>Noop</v>
      </c>
      <c r="G4079" s="4" t="s">
        <v>29250</v>
      </c>
      <c r="H4079" s="4">
        <v>9</v>
      </c>
      <c r="I4079" s="4" t="s">
        <v>2602</v>
      </c>
      <c r="J4079" s="4" t="str">
        <f>IFERROR(__XLUDF.DUMMYFUNCTION("VLOOKUP(H484,IMPORTRANGE(""https://docs.google.com/spreadsheets/d/1opm6ZNvGZ7KditA9TuJwrZ25eFLfTNIkrNnY6mhV5Eg"",""list!A1:C115""),3,TRUE)"),"le secteur de la tech")</f>
        <v xml:space="preserve">le secteur de la tech</v>
      </c>
      <c r="K4079" s="5" t="s">
        <v>29251</v>
      </c>
      <c r="L4079" s="5" t="s">
        <v>21781</v>
      </c>
      <c r="M4079" s="4" t="s">
        <v>39</v>
      </c>
      <c r="N4079" s="4" t="s">
        <v>29</v>
      </c>
      <c r="O4079" s="4" t="s">
        <v>21782</v>
      </c>
      <c r="P4079" s="4" t="s">
        <v>29</v>
      </c>
      <c r="Q4079" s="4" t="s">
        <v>21783</v>
      </c>
      <c r="R4079" s="6"/>
      <c r="S4079" s="6"/>
      <c r="T4079" s="6"/>
      <c r="U4079" s="6"/>
      <c r="V4079" s="6"/>
      <c r="W4079" s="6"/>
      <c r="X4079" s="6"/>
      <c r="Y4079" s="6"/>
      <c r="Z4079" s="6"/>
      <c r="AA4079" s="6"/>
    </row>
    <row r="4080" ht="14.25">
      <c r="B4080" s="4" t="s">
        <v>5579</v>
      </c>
      <c r="C4080" s="4" t="s">
        <v>279</v>
      </c>
      <c r="D4080" s="4" t="s">
        <v>29252</v>
      </c>
      <c r="E4080" s="4" t="s">
        <v>24712</v>
      </c>
      <c r="F4080" s="4" t="str">
        <f>IFERROR(__XLUDF.DUMMYFUNCTION("PROPER(REGEXREPLACE(D485,""[^A-Za-z]+ "",""""))"),"Waro")</f>
        <v>Waro</v>
      </c>
      <c r="G4080" s="4" t="s">
        <v>29253</v>
      </c>
      <c r="H4080" s="4">
        <v>21</v>
      </c>
      <c r="I4080" s="4" t="s">
        <v>2602</v>
      </c>
      <c r="J4080" s="4" t="str">
        <f>IFERROR(__XLUDF.DUMMYFUNCTION("VLOOKUP(H485,IMPORTRANGE(""https://docs.google.com/spreadsheets/d/1opm6ZNvGZ7KditA9TuJwrZ25eFLfTNIkrNnY6mhV5Eg"",""list!A1:C115""),3,TRUE)"),"le secteur de la tech")</f>
        <v xml:space="preserve">le secteur de la tech</v>
      </c>
      <c r="K4080" s="5" t="s">
        <v>29254</v>
      </c>
      <c r="L4080" s="5" t="s">
        <v>24715</v>
      </c>
      <c r="M4080" s="6"/>
      <c r="N4080" s="4" t="s">
        <v>29</v>
      </c>
      <c r="O4080" s="4" t="s">
        <v>19124</v>
      </c>
      <c r="P4080" s="4" t="s">
        <v>29</v>
      </c>
      <c r="Q4080" s="4" t="s">
        <v>24716</v>
      </c>
      <c r="R4080" s="6"/>
      <c r="S4080" s="6"/>
      <c r="T4080" s="6"/>
      <c r="U4080" s="6"/>
      <c r="V4080" s="6"/>
      <c r="W4080" s="6"/>
      <c r="X4080" s="6"/>
      <c r="Y4080" s="6"/>
      <c r="Z4080" s="6"/>
      <c r="AA4080" s="6"/>
    </row>
    <row r="4081" ht="14.25">
      <c r="B4081" s="4" t="s">
        <v>29255</v>
      </c>
      <c r="C4081" s="4" t="s">
        <v>29256</v>
      </c>
      <c r="D4081" s="4" t="s">
        <v>29257</v>
      </c>
      <c r="E4081" s="4" t="s">
        <v>29258</v>
      </c>
      <c r="F4081" s="4" t="str">
        <f>IFERROR(__XLUDF.DUMMYFUNCTION("PROPER(REGEXREPLACE(D486,""[^A-Za-z]+ "",""""))"),"Weepo")</f>
        <v>Weepo</v>
      </c>
      <c r="G4081" s="4" t="s">
        <v>29259</v>
      </c>
      <c r="H4081" s="4">
        <v>8</v>
      </c>
      <c r="I4081" s="4" t="s">
        <v>2602</v>
      </c>
      <c r="J4081" s="4" t="str">
        <f>IFERROR(__XLUDF.DUMMYFUNCTION("VLOOKUP(H486,IMPORTRANGE(""https://docs.google.com/spreadsheets/d/1opm6ZNvGZ7KditA9TuJwrZ25eFLfTNIkrNnY6mhV5Eg"",""list!A1:C115""),3,TRUE)"),"le secteur de la tech")</f>
        <v xml:space="preserve">le secteur de la tech</v>
      </c>
      <c r="K4081" s="5" t="s">
        <v>29260</v>
      </c>
      <c r="L4081" s="5" t="s">
        <v>29261</v>
      </c>
      <c r="M4081" s="4" t="s">
        <v>7827</v>
      </c>
      <c r="N4081" s="4" t="s">
        <v>29</v>
      </c>
      <c r="O4081" s="4" t="s">
        <v>29262</v>
      </c>
      <c r="P4081" s="4" t="s">
        <v>29</v>
      </c>
      <c r="Q4081" s="4" t="s">
        <v>29263</v>
      </c>
      <c r="R4081" s="6"/>
      <c r="S4081" s="6"/>
      <c r="T4081" s="6"/>
      <c r="U4081" s="6"/>
      <c r="V4081" s="6"/>
      <c r="W4081" s="6"/>
      <c r="X4081" s="6"/>
      <c r="Y4081" s="6"/>
      <c r="Z4081" s="6"/>
      <c r="AA4081" s="6"/>
    </row>
    <row r="4082" ht="14.25">
      <c r="B4082" s="4" t="s">
        <v>2516</v>
      </c>
      <c r="C4082" s="4" t="s">
        <v>29264</v>
      </c>
      <c r="D4082" s="4" t="s">
        <v>468</v>
      </c>
      <c r="E4082" s="4" t="s">
        <v>29265</v>
      </c>
      <c r="F4082" s="4" t="str">
        <f>IFERROR(__XLUDF.DUMMYFUNCTION("PROPER(REGEXREPLACE(D487,""[^A-Za-z]+ "",""""))"),"Alphainformatique")</f>
        <v>Alphainformatique</v>
      </c>
      <c r="G4082" s="4" t="s">
        <v>29266</v>
      </c>
      <c r="H4082" s="4">
        <v>13</v>
      </c>
      <c r="I4082" s="4" t="s">
        <v>2602</v>
      </c>
      <c r="J4082" s="4" t="str">
        <f>IFERROR(__XLUDF.DUMMYFUNCTION("VLOOKUP(H487,IMPORTRANGE(""https://docs.google.com/spreadsheets/d/1opm6ZNvGZ7KditA9TuJwrZ25eFLfTNIkrNnY6mhV5Eg"",""list!A1:C115""),3,TRUE)"),"le secteur de la tech")</f>
        <v xml:space="preserve">le secteur de la tech</v>
      </c>
      <c r="K4082" s="5" t="s">
        <v>29267</v>
      </c>
      <c r="L4082" s="5" t="s">
        <v>29268</v>
      </c>
      <c r="M4082" s="4" t="s">
        <v>12891</v>
      </c>
      <c r="N4082" s="4" t="s">
        <v>29</v>
      </c>
      <c r="O4082" s="4" t="s">
        <v>29269</v>
      </c>
      <c r="P4082" s="4" t="s">
        <v>29</v>
      </c>
      <c r="Q4082" s="4" t="s">
        <v>29270</v>
      </c>
      <c r="R4082" s="6"/>
      <c r="S4082" s="6"/>
      <c r="T4082" s="6"/>
      <c r="U4082" s="6"/>
      <c r="V4082" s="6"/>
      <c r="W4082" s="6"/>
      <c r="X4082" s="6"/>
      <c r="Y4082" s="6"/>
      <c r="Z4082" s="6"/>
      <c r="AA4082" s="6"/>
    </row>
    <row r="4083" ht="14.25">
      <c r="B4083" s="4" t="s">
        <v>355</v>
      </c>
      <c r="C4083" s="4" t="s">
        <v>29271</v>
      </c>
      <c r="D4083" s="4" t="s">
        <v>4660</v>
      </c>
      <c r="E4083" s="4" t="s">
        <v>20928</v>
      </c>
      <c r="F4083" s="4" t="str">
        <f>IFERROR(__XLUDF.DUMMYFUNCTION("PROPER(REGEXREPLACE(D488,""[^A-Za-z]+ "",""""))"),"Two-I")</f>
        <v>Two-I</v>
      </c>
      <c r="G4083" s="4" t="s">
        <v>29272</v>
      </c>
      <c r="H4083" s="4">
        <v>14</v>
      </c>
      <c r="I4083" s="4" t="s">
        <v>2602</v>
      </c>
      <c r="J4083" s="4" t="str">
        <f>IFERROR(__XLUDF.DUMMYFUNCTION("VLOOKUP(H488,IMPORTRANGE(""https://docs.google.com/spreadsheets/d/1opm6ZNvGZ7KditA9TuJwrZ25eFLfTNIkrNnY6mhV5Eg"",""list!A1:C115""),3,TRUE)"),"le secteur de la tech")</f>
        <v xml:space="preserve">le secteur de la tech</v>
      </c>
      <c r="K4083" s="5" t="s">
        <v>29273</v>
      </c>
      <c r="L4083" s="5" t="s">
        <v>20931</v>
      </c>
      <c r="M4083" s="4" t="s">
        <v>4922</v>
      </c>
      <c r="N4083" s="4" t="s">
        <v>29</v>
      </c>
      <c r="O4083" s="4" t="s">
        <v>20932</v>
      </c>
      <c r="P4083" s="4" t="s">
        <v>29</v>
      </c>
      <c r="Q4083" s="4" t="s">
        <v>20933</v>
      </c>
      <c r="R4083" s="6"/>
      <c r="S4083" s="6"/>
      <c r="T4083" s="6"/>
      <c r="U4083" s="6"/>
      <c r="V4083" s="6"/>
      <c r="W4083" s="6"/>
      <c r="X4083" s="6"/>
      <c r="Y4083" s="6"/>
      <c r="Z4083" s="6"/>
      <c r="AA4083" s="6"/>
    </row>
    <row r="4084" ht="14.25">
      <c r="B4084" s="4" t="s">
        <v>15058</v>
      </c>
      <c r="C4084" s="4" t="s">
        <v>29274</v>
      </c>
      <c r="D4084" s="4" t="s">
        <v>164</v>
      </c>
      <c r="E4084" s="4" t="s">
        <v>29275</v>
      </c>
      <c r="F4084" s="4" t="str">
        <f>IFERROR(__XLUDF.DUMMYFUNCTION("PROPER(REGEXREPLACE(D489,""[^A-Za-z]+ "",""""))"),"Fleetenergies™")</f>
        <v>Fleetenergies™</v>
      </c>
      <c r="G4084" s="4" t="s">
        <v>29276</v>
      </c>
      <c r="H4084" s="4">
        <v>38</v>
      </c>
      <c r="I4084" s="4" t="s">
        <v>2602</v>
      </c>
      <c r="J4084" s="4" t="str">
        <f>IFERROR(__XLUDF.DUMMYFUNCTION("VLOOKUP(H489,IMPORTRANGE(""https://docs.google.com/spreadsheets/d/1opm6ZNvGZ7KditA9TuJwrZ25eFLfTNIkrNnY6mhV5Eg"",""list!A1:C115""),3,TRUE)"),"le secteur de la tech")</f>
        <v xml:space="preserve">le secteur de la tech</v>
      </c>
      <c r="K4084" s="5" t="s">
        <v>29277</v>
      </c>
      <c r="L4084" s="5" t="s">
        <v>29278</v>
      </c>
      <c r="M4084" s="4" t="s">
        <v>295</v>
      </c>
      <c r="N4084" s="4" t="s">
        <v>29</v>
      </c>
      <c r="O4084" s="4" t="s">
        <v>29279</v>
      </c>
      <c r="P4084" s="4" t="s">
        <v>29</v>
      </c>
      <c r="Q4084" s="6"/>
      <c r="R4084" s="6"/>
      <c r="S4084" s="6"/>
      <c r="T4084" s="6"/>
      <c r="U4084" s="6"/>
      <c r="V4084" s="6"/>
      <c r="W4084" s="6"/>
      <c r="X4084" s="6"/>
      <c r="Y4084" s="6"/>
      <c r="Z4084" s="6"/>
      <c r="AA4084" s="6"/>
    </row>
    <row r="4085" ht="14.25">
      <c r="B4085" s="4" t="s">
        <v>3164</v>
      </c>
      <c r="C4085" s="4" t="s">
        <v>29280</v>
      </c>
      <c r="D4085" s="4" t="s">
        <v>29281</v>
      </c>
      <c r="E4085" s="4" t="s">
        <v>29282</v>
      </c>
      <c r="F4085" s="4" t="str">
        <f>IFERROR(__XLUDF.DUMMYFUNCTION("PROPER(REGEXREPLACE(D490,""[^A-Za-z]+ "",""""))"),"Vocads")</f>
        <v>Vocads</v>
      </c>
      <c r="G4085" s="4" t="s">
        <v>29283</v>
      </c>
      <c r="H4085" s="4">
        <v>15</v>
      </c>
      <c r="I4085" s="4" t="s">
        <v>2602</v>
      </c>
      <c r="J4085" s="4" t="str">
        <f>IFERROR(__XLUDF.DUMMYFUNCTION("VLOOKUP(H490,IMPORTRANGE(""https://docs.google.com/spreadsheets/d/1opm6ZNvGZ7KditA9TuJwrZ25eFLfTNIkrNnY6mhV5Eg"",""list!A1:C115""),3,TRUE)"),"le secteur de la tech")</f>
        <v xml:space="preserve">le secteur de la tech</v>
      </c>
      <c r="K4085" s="5" t="s">
        <v>29284</v>
      </c>
      <c r="L4085" s="5" t="s">
        <v>29285</v>
      </c>
      <c r="M4085" s="4" t="s">
        <v>39</v>
      </c>
      <c r="N4085" s="4" t="s">
        <v>29</v>
      </c>
      <c r="O4085" s="4" t="s">
        <v>21461</v>
      </c>
      <c r="P4085" s="4" t="s">
        <v>29</v>
      </c>
      <c r="Q4085" s="6"/>
      <c r="R4085" s="6"/>
      <c r="S4085" s="6"/>
      <c r="T4085" s="6"/>
      <c r="U4085" s="6"/>
      <c r="V4085" s="6"/>
      <c r="W4085" s="6"/>
      <c r="X4085" s="6"/>
      <c r="Y4085" s="6"/>
      <c r="Z4085" s="6"/>
      <c r="AA4085" s="6"/>
    </row>
    <row r="4086" ht="14.25">
      <c r="B4086" s="4" t="s">
        <v>2119</v>
      </c>
      <c r="C4086" s="4" t="s">
        <v>29286</v>
      </c>
      <c r="D4086" s="4" t="s">
        <v>3265</v>
      </c>
      <c r="E4086" s="4" t="s">
        <v>29287</v>
      </c>
      <c r="F4086" s="4" t="str">
        <f>IFERROR(__XLUDF.DUMMYFUNCTION("PROPER(REGEXREPLACE(D491,""[^A-Za-z]+ "",""""))"),"Lifelines Logistics Intelligence")</f>
        <v xml:space="preserve">Lifelines Logistics Intelligence</v>
      </c>
      <c r="G4086" s="4" t="s">
        <v>29288</v>
      </c>
      <c r="H4086" s="4">
        <v>14</v>
      </c>
      <c r="I4086" s="4" t="s">
        <v>2602</v>
      </c>
      <c r="J4086" s="4" t="str">
        <f>IFERROR(__XLUDF.DUMMYFUNCTION("VLOOKUP(H491,IMPORTRANGE(""https://docs.google.com/spreadsheets/d/1opm6ZNvGZ7KditA9TuJwrZ25eFLfTNIkrNnY6mhV5Eg"",""list!A1:C115""),3,TRUE)"),"le secteur de la tech")</f>
        <v xml:space="preserve">le secteur de la tech</v>
      </c>
      <c r="K4086" s="5" t="s">
        <v>29289</v>
      </c>
      <c r="L4086" s="5" t="s">
        <v>29290</v>
      </c>
      <c r="M4086" s="4" t="s">
        <v>295</v>
      </c>
      <c r="N4086" s="4" t="s">
        <v>29</v>
      </c>
      <c r="O4086" s="4" t="s">
        <v>3036</v>
      </c>
      <c r="P4086" s="4" t="s">
        <v>29</v>
      </c>
      <c r="Q4086" s="4" t="s">
        <v>29291</v>
      </c>
      <c r="R4086" s="6"/>
      <c r="S4086" s="6"/>
      <c r="T4086" s="6"/>
      <c r="U4086" s="6"/>
      <c r="V4086" s="6"/>
      <c r="W4086" s="6"/>
      <c r="X4086" s="6"/>
      <c r="Y4086" s="6"/>
      <c r="Z4086" s="6"/>
      <c r="AA4086" s="6"/>
    </row>
    <row r="4087" ht="14.25">
      <c r="B4087" s="4" t="s">
        <v>6931</v>
      </c>
      <c r="C4087" s="4" t="s">
        <v>23947</v>
      </c>
      <c r="D4087" s="4" t="s">
        <v>281</v>
      </c>
      <c r="E4087" s="4" t="s">
        <v>29292</v>
      </c>
      <c r="F4087" s="4" t="str">
        <f>IFERROR(__XLUDF.DUMMYFUNCTION("PROPER(REGEXREPLACE(D492,""[^A-Za-z]+ "",""""))"),"Qivia")</f>
        <v>Qivia</v>
      </c>
      <c r="G4087" s="4" t="s">
        <v>29293</v>
      </c>
      <c r="H4087" s="4">
        <v>8</v>
      </c>
      <c r="I4087" s="4" t="s">
        <v>2602</v>
      </c>
      <c r="J4087" s="4" t="str">
        <f>IFERROR(__XLUDF.DUMMYFUNCTION("VLOOKUP(H492,IMPORTRANGE(""https://docs.google.com/spreadsheets/d/1opm6ZNvGZ7KditA9TuJwrZ25eFLfTNIkrNnY6mhV5Eg"",""list!A1:C115""),3,TRUE)"),"le secteur de la tech")</f>
        <v xml:space="preserve">le secteur de la tech</v>
      </c>
      <c r="K4087" s="5" t="s">
        <v>29294</v>
      </c>
      <c r="L4087" s="5" t="s">
        <v>29295</v>
      </c>
      <c r="M4087" s="6"/>
      <c r="N4087" s="4" t="s">
        <v>29</v>
      </c>
      <c r="O4087" s="6"/>
      <c r="P4087" s="6"/>
      <c r="Q4087" s="6"/>
      <c r="R4087" s="6"/>
      <c r="S4087" s="6"/>
      <c r="T4087" s="6"/>
      <c r="U4087" s="6"/>
      <c r="V4087" s="6"/>
      <c r="W4087" s="6"/>
      <c r="X4087" s="6"/>
      <c r="Y4087" s="6"/>
      <c r="Z4087" s="6"/>
      <c r="AA4087" s="6"/>
    </row>
    <row r="4088" ht="14.25">
      <c r="B4088" s="4" t="s">
        <v>2364</v>
      </c>
      <c r="C4088" s="4" t="s">
        <v>29296</v>
      </c>
      <c r="D4088" s="4" t="s">
        <v>247</v>
      </c>
      <c r="E4088" s="4" t="s">
        <v>25459</v>
      </c>
      <c r="F4088" s="4" t="str">
        <f>IFERROR(__XLUDF.DUMMYFUNCTION("PROPER(REGEXREPLACE(D493,""[^A-Za-z]+ "",""""))"),"Diagrams")</f>
        <v>Diagrams</v>
      </c>
      <c r="G4088" s="4" t="s">
        <v>29297</v>
      </c>
      <c r="H4088" s="4">
        <v>8</v>
      </c>
      <c r="I4088" s="4" t="s">
        <v>2602</v>
      </c>
      <c r="J4088" s="4" t="str">
        <f>IFERROR(__XLUDF.DUMMYFUNCTION("VLOOKUP(H493,IMPORTRANGE(""https://docs.google.com/spreadsheets/d/1opm6ZNvGZ7KditA9TuJwrZ25eFLfTNIkrNnY6mhV5Eg"",""list!A1:C115""),3,TRUE)"),"le secteur de la tech")</f>
        <v xml:space="preserve">le secteur de la tech</v>
      </c>
      <c r="K4088" s="5" t="s">
        <v>29298</v>
      </c>
      <c r="L4088" s="5" t="s">
        <v>25462</v>
      </c>
      <c r="M4088" s="4" t="s">
        <v>846</v>
      </c>
      <c r="N4088" s="4" t="s">
        <v>29</v>
      </c>
      <c r="O4088" s="4" t="s">
        <v>18845</v>
      </c>
      <c r="P4088" s="4" t="s">
        <v>29</v>
      </c>
      <c r="Q4088" s="4" t="s">
        <v>25463</v>
      </c>
      <c r="R4088" s="6"/>
      <c r="S4088" s="6"/>
      <c r="T4088" s="6"/>
      <c r="U4088" s="6"/>
      <c r="V4088" s="6"/>
      <c r="W4088" s="6"/>
      <c r="X4088" s="6"/>
      <c r="Y4088" s="6"/>
      <c r="Z4088" s="6"/>
      <c r="AA4088" s="6"/>
    </row>
    <row r="4089" ht="14.25">
      <c r="B4089" s="4" t="s">
        <v>110</v>
      </c>
      <c r="C4089" s="4" t="s">
        <v>29299</v>
      </c>
      <c r="D4089" s="4" t="s">
        <v>172</v>
      </c>
      <c r="E4089" s="4" t="s">
        <v>29300</v>
      </c>
      <c r="F4089" s="4" t="str">
        <f>IFERROR(__XLUDF.DUMMYFUNCTION("PROPER(REGEXREPLACE(D494,""[^A-Za-z]+ "",""""))"),"Orsenna")</f>
        <v>Orsenna</v>
      </c>
      <c r="G4089" s="4" t="s">
        <v>29301</v>
      </c>
      <c r="H4089" s="4">
        <v>29</v>
      </c>
      <c r="I4089" s="4" t="s">
        <v>2602</v>
      </c>
      <c r="J4089" s="4" t="str">
        <f>IFERROR(__XLUDF.DUMMYFUNCTION("VLOOKUP(H494,IMPORTRANGE(""https://docs.google.com/spreadsheets/d/1opm6ZNvGZ7KditA9TuJwrZ25eFLfTNIkrNnY6mhV5Eg"",""list!A1:C115""),3,TRUE)"),"le secteur de la tech")</f>
        <v xml:space="preserve">le secteur de la tech</v>
      </c>
      <c r="K4089" s="5" t="s">
        <v>29302</v>
      </c>
      <c r="L4089" s="5" t="s">
        <v>29303</v>
      </c>
      <c r="M4089" s="4" t="s">
        <v>29304</v>
      </c>
      <c r="N4089" s="4" t="s">
        <v>29</v>
      </c>
      <c r="O4089" s="4" t="s">
        <v>29305</v>
      </c>
      <c r="P4089" s="4" t="s">
        <v>29</v>
      </c>
      <c r="Q4089" s="4" t="s">
        <v>29306</v>
      </c>
      <c r="R4089" s="6"/>
      <c r="S4089" s="6"/>
      <c r="T4089" s="6"/>
      <c r="U4089" s="6"/>
      <c r="V4089" s="6"/>
      <c r="W4089" s="6"/>
      <c r="X4089" s="6"/>
      <c r="Y4089" s="6"/>
      <c r="Z4089" s="6"/>
      <c r="AA4089" s="6"/>
    </row>
    <row r="4090" ht="14.25">
      <c r="B4090" s="4" t="s">
        <v>29307</v>
      </c>
      <c r="C4090" s="4" t="s">
        <v>29308</v>
      </c>
      <c r="D4090" s="4" t="s">
        <v>247</v>
      </c>
      <c r="E4090" s="4" t="s">
        <v>29309</v>
      </c>
      <c r="F4090" s="4" t="str">
        <f>IFERROR(__XLUDF.DUMMYFUNCTION("PROPER(REGEXREPLACE(D495,""[^A-Za-z]+ "",""""))"),"Crealo")</f>
        <v>Crealo</v>
      </c>
      <c r="G4090" s="4" t="s">
        <v>29310</v>
      </c>
      <c r="H4090" s="4">
        <v>11</v>
      </c>
      <c r="I4090" s="4" t="s">
        <v>2602</v>
      </c>
      <c r="J4090" s="4" t="str">
        <f>IFERROR(__XLUDF.DUMMYFUNCTION("VLOOKUP(H495,IMPORTRANGE(""https://docs.google.com/spreadsheets/d/1opm6ZNvGZ7KditA9TuJwrZ25eFLfTNIkrNnY6mhV5Eg"",""list!A1:C115""),3,TRUE)"),"le secteur de la tech")</f>
        <v xml:space="preserve">le secteur de la tech</v>
      </c>
      <c r="K4090" s="5" t="s">
        <v>29311</v>
      </c>
      <c r="L4090" s="5" t="s">
        <v>29312</v>
      </c>
      <c r="M4090" s="4" t="s">
        <v>1419</v>
      </c>
      <c r="N4090" s="4" t="s">
        <v>29</v>
      </c>
      <c r="O4090" s="4" t="s">
        <v>29313</v>
      </c>
      <c r="P4090" s="4" t="s">
        <v>29</v>
      </c>
      <c r="Q4090" s="4" t="s">
        <v>29314</v>
      </c>
      <c r="R4090" s="6"/>
      <c r="S4090" s="6"/>
      <c r="T4090" s="6"/>
      <c r="U4090" s="6"/>
      <c r="V4090" s="6"/>
      <c r="W4090" s="6"/>
      <c r="X4090" s="6"/>
      <c r="Y4090" s="6"/>
      <c r="Z4090" s="6"/>
      <c r="AA4090" s="6"/>
    </row>
    <row r="4091" ht="14.25">
      <c r="B4091" s="4" t="s">
        <v>2119</v>
      </c>
      <c r="C4091" s="4" t="s">
        <v>29315</v>
      </c>
      <c r="D4091" s="4" t="s">
        <v>29316</v>
      </c>
      <c r="E4091" s="4" t="s">
        <v>29317</v>
      </c>
      <c r="F4091" s="4" t="str">
        <f>IFERROR(__XLUDF.DUMMYFUNCTION("PROPER(REGEXREPLACE(D496,""[^A-Za-z]+ "",""""))"),"Resolving Official")</f>
        <v xml:space="preserve">Resolving Official</v>
      </c>
      <c r="G4091" s="4" t="s">
        <v>29318</v>
      </c>
      <c r="H4091" s="4">
        <v>9</v>
      </c>
      <c r="I4091" s="4" t="s">
        <v>2602</v>
      </c>
      <c r="J4091" s="4" t="str">
        <f>IFERROR(__XLUDF.DUMMYFUNCTION("VLOOKUP(H496,IMPORTRANGE(""https://docs.google.com/spreadsheets/d/1opm6ZNvGZ7KditA9TuJwrZ25eFLfTNIkrNnY6mhV5Eg"",""list!A1:C115""),3,TRUE)"),"le secteur de la tech")</f>
        <v xml:space="preserve">le secteur de la tech</v>
      </c>
      <c r="K4091" s="5" t="s">
        <v>29319</v>
      </c>
      <c r="L4091" s="5" t="s">
        <v>26164</v>
      </c>
      <c r="M4091" s="4" t="s">
        <v>9967</v>
      </c>
      <c r="N4091" s="4" t="s">
        <v>29</v>
      </c>
      <c r="O4091" s="4" t="s">
        <v>26165</v>
      </c>
      <c r="P4091" s="4" t="s">
        <v>29</v>
      </c>
      <c r="Q4091" s="4" t="s">
        <v>26166</v>
      </c>
      <c r="R4091" s="6"/>
      <c r="S4091" s="6"/>
      <c r="T4091" s="6"/>
      <c r="U4091" s="6"/>
      <c r="V4091" s="6"/>
      <c r="W4091" s="6"/>
      <c r="X4091" s="6"/>
      <c r="Y4091" s="6"/>
      <c r="Z4091" s="6"/>
      <c r="AA4091" s="6"/>
    </row>
    <row r="4092" ht="14.25">
      <c r="B4092" s="4" t="s">
        <v>110</v>
      </c>
      <c r="C4092" s="4" t="s">
        <v>29320</v>
      </c>
      <c r="D4092" s="4" t="s">
        <v>29321</v>
      </c>
      <c r="E4092" s="4" t="s">
        <v>23276</v>
      </c>
      <c r="F4092" s="4" t="str">
        <f>IFERROR(__XLUDF.DUMMYFUNCTION("PROPER(REGEXREPLACE(D497,""[^A-Za-z]+ "",""""))"),"Cyrias")</f>
        <v>Cyrias</v>
      </c>
      <c r="G4092" s="4" t="s">
        <v>29322</v>
      </c>
      <c r="H4092" s="4">
        <v>35</v>
      </c>
      <c r="I4092" s="4" t="s">
        <v>2602</v>
      </c>
      <c r="J4092" s="4" t="str">
        <f>IFERROR(__XLUDF.DUMMYFUNCTION("VLOOKUP(H497,IMPORTRANGE(""https://docs.google.com/spreadsheets/d/1opm6ZNvGZ7KditA9TuJwrZ25eFLfTNIkrNnY6mhV5Eg"",""list!A1:C115""),3,TRUE)"),"le secteur de la tech")</f>
        <v xml:space="preserve">le secteur de la tech</v>
      </c>
      <c r="K4092" s="5" t="s">
        <v>29323</v>
      </c>
      <c r="L4092" s="5" t="s">
        <v>23279</v>
      </c>
      <c r="M4092" s="6"/>
      <c r="N4092" s="4" t="s">
        <v>29</v>
      </c>
      <c r="O4092" s="4" t="s">
        <v>23280</v>
      </c>
      <c r="P4092" s="4" t="s">
        <v>29</v>
      </c>
      <c r="Q4092" s="4" t="s">
        <v>23281</v>
      </c>
      <c r="R4092" s="6"/>
      <c r="S4092" s="6"/>
      <c r="T4092" s="6"/>
      <c r="U4092" s="6"/>
      <c r="V4092" s="6"/>
      <c r="W4092" s="6"/>
      <c r="X4092" s="6"/>
      <c r="Y4092" s="6"/>
      <c r="Z4092" s="6"/>
      <c r="AA4092" s="6"/>
    </row>
    <row r="4093" ht="14.25">
      <c r="B4093" s="4" t="s">
        <v>29324</v>
      </c>
      <c r="C4093" s="4" t="s">
        <v>808</v>
      </c>
      <c r="D4093" s="4" t="s">
        <v>172</v>
      </c>
      <c r="E4093" s="4" t="s">
        <v>29325</v>
      </c>
      <c r="F4093" s="4" t="str">
        <f>IFERROR(__XLUDF.DUMMYFUNCTION("PROPER(REGEXREPLACE(D498,""[^A-Za-z]+ "",""""))"),"Intech Solution Globale")</f>
        <v xml:space="preserve">Intech Solution Globale</v>
      </c>
      <c r="G4093" s="4" t="s">
        <v>29326</v>
      </c>
      <c r="H4093" s="4">
        <v>11</v>
      </c>
      <c r="I4093" s="4" t="s">
        <v>2602</v>
      </c>
      <c r="J4093" s="4" t="str">
        <f>IFERROR(__XLUDF.DUMMYFUNCTION("VLOOKUP(H498,IMPORTRANGE(""https://docs.google.com/spreadsheets/d/1opm6ZNvGZ7KditA9TuJwrZ25eFLfTNIkrNnY6mhV5Eg"",""list!A1:C115""),3,TRUE)"),"le secteur de la tech")</f>
        <v xml:space="preserve">le secteur de la tech</v>
      </c>
      <c r="K4093" s="5" t="s">
        <v>29327</v>
      </c>
      <c r="L4093" s="5" t="s">
        <v>29328</v>
      </c>
      <c r="M4093" s="4" t="s">
        <v>39</v>
      </c>
      <c r="N4093" s="4" t="s">
        <v>29</v>
      </c>
      <c r="O4093" s="4" t="s">
        <v>29329</v>
      </c>
      <c r="P4093" s="4" t="s">
        <v>29</v>
      </c>
      <c r="Q4093" s="4" t="s">
        <v>29330</v>
      </c>
      <c r="R4093" s="6"/>
      <c r="S4093" s="6"/>
      <c r="T4093" s="6"/>
      <c r="U4093" s="6"/>
      <c r="V4093" s="6"/>
      <c r="W4093" s="6"/>
      <c r="X4093" s="6"/>
      <c r="Y4093" s="6"/>
      <c r="Z4093" s="6"/>
      <c r="AA4093" s="6"/>
    </row>
    <row r="4094" ht="14.25">
      <c r="B4094" s="4" t="s">
        <v>4522</v>
      </c>
      <c r="C4094" s="4" t="s">
        <v>29331</v>
      </c>
      <c r="D4094" s="4" t="s">
        <v>29332</v>
      </c>
      <c r="E4094" s="4" t="s">
        <v>13380</v>
      </c>
      <c r="F4094" s="4" t="str">
        <f>IFERROR(__XLUDF.DUMMYFUNCTION("PROPER(REGEXREPLACE(D499,""[^A-Za-z]+ "",""""))"),"Statera")</f>
        <v>Statera</v>
      </c>
      <c r="G4094" s="4" t="s">
        <v>29333</v>
      </c>
      <c r="H4094" s="4">
        <v>45</v>
      </c>
      <c r="I4094" s="4" t="s">
        <v>2602</v>
      </c>
      <c r="J4094" s="4" t="str">
        <f>IFERROR(__XLUDF.DUMMYFUNCTION("VLOOKUP(H499,IMPORTRANGE(""https://docs.google.com/spreadsheets/d/1opm6ZNvGZ7KditA9TuJwrZ25eFLfTNIkrNnY6mhV5Eg"",""list!A1:C115""),3,TRUE)"),"le secteur de la tech")</f>
        <v xml:space="preserve">le secteur de la tech</v>
      </c>
      <c r="K4094" s="5" t="s">
        <v>29334</v>
      </c>
      <c r="L4094" s="5" t="s">
        <v>22110</v>
      </c>
      <c r="M4094" s="6"/>
      <c r="N4094" s="4" t="s">
        <v>29</v>
      </c>
      <c r="O4094" s="4" t="s">
        <v>18884</v>
      </c>
      <c r="P4094" s="4" t="s">
        <v>29</v>
      </c>
      <c r="Q4094" s="6"/>
      <c r="R4094" s="6"/>
      <c r="S4094" s="6"/>
      <c r="T4094" s="6"/>
      <c r="U4094" s="6"/>
      <c r="V4094" s="6"/>
      <c r="W4094" s="6"/>
      <c r="X4094" s="6"/>
      <c r="Y4094" s="6"/>
      <c r="Z4094" s="6"/>
      <c r="AA4094" s="6"/>
    </row>
    <row r="4095" ht="14.25">
      <c r="B4095" s="4" t="s">
        <v>485</v>
      </c>
      <c r="C4095" s="4" t="s">
        <v>14922</v>
      </c>
      <c r="D4095" s="4" t="s">
        <v>62</v>
      </c>
      <c r="E4095" s="4" t="s">
        <v>29335</v>
      </c>
      <c r="F4095" s="4" t="str">
        <f>IFERROR(__XLUDF.DUMMYFUNCTION("PROPER(REGEXREPLACE(D500,""[^A-Za-z]+ "",""""))"),"E-3S European San Storage Services")</f>
        <v xml:space="preserve">E-3S European San Storage Services</v>
      </c>
      <c r="G4095" s="4" t="s">
        <v>29336</v>
      </c>
      <c r="H4095" s="4">
        <v>22</v>
      </c>
      <c r="I4095" s="4" t="s">
        <v>2602</v>
      </c>
      <c r="J4095" s="4" t="str">
        <f>IFERROR(__XLUDF.DUMMYFUNCTION("VLOOKUP(H500,IMPORTRANGE(""https://docs.google.com/spreadsheets/d/1opm6ZNvGZ7KditA9TuJwrZ25eFLfTNIkrNnY6mhV5Eg"",""list!A1:C115""),3,TRUE)"),"le secteur de la tech")</f>
        <v xml:space="preserve">le secteur de la tech</v>
      </c>
      <c r="K4095" s="5" t="s">
        <v>29337</v>
      </c>
      <c r="L4095" s="5" t="s">
        <v>29338</v>
      </c>
      <c r="M4095" s="4" t="s">
        <v>83</v>
      </c>
      <c r="N4095" s="4" t="s">
        <v>29</v>
      </c>
      <c r="O4095" s="4" t="s">
        <v>29339</v>
      </c>
      <c r="P4095" s="4" t="s">
        <v>29</v>
      </c>
      <c r="Q4095" s="6"/>
      <c r="R4095" s="6"/>
      <c r="S4095" s="6"/>
      <c r="T4095" s="6"/>
      <c r="U4095" s="6"/>
      <c r="V4095" s="6"/>
      <c r="W4095" s="6"/>
      <c r="X4095" s="6"/>
      <c r="Y4095" s="6"/>
      <c r="Z4095" s="6"/>
      <c r="AA4095" s="6"/>
    </row>
    <row r="4096" ht="14.25">
      <c r="B4096" s="4" t="s">
        <v>734</v>
      </c>
      <c r="C4096" s="4" t="s">
        <v>18900</v>
      </c>
      <c r="D4096" s="4" t="s">
        <v>29340</v>
      </c>
      <c r="E4096" s="4" t="s">
        <v>29341</v>
      </c>
      <c r="F4096" s="4" t="str">
        <f>IFERROR(__XLUDF.DUMMYFUNCTION("PROPER(REGEXREPLACE(D501,""[^A-Za-z]+ "",""""))"),"L'Atout")</f>
        <v>L'Atout</v>
      </c>
      <c r="G4096" s="4" t="s">
        <v>29342</v>
      </c>
      <c r="H4096" s="4">
        <v>26</v>
      </c>
      <c r="I4096" s="4" t="s">
        <v>2602</v>
      </c>
      <c r="J4096" s="4" t="str">
        <f>IFERROR(__XLUDF.DUMMYFUNCTION("VLOOKUP(H501,IMPORTRANGE(""https://docs.google.com/spreadsheets/d/1opm6ZNvGZ7KditA9TuJwrZ25eFLfTNIkrNnY6mhV5Eg"",""list!A1:C115""),3,TRUE)"),"le secteur de la tech")</f>
        <v xml:space="preserve">le secteur de la tech</v>
      </c>
      <c r="K4096" s="5" t="s">
        <v>29343</v>
      </c>
      <c r="L4096" s="5" t="s">
        <v>29344</v>
      </c>
      <c r="M4096" s="4" t="s">
        <v>39</v>
      </c>
      <c r="N4096" s="4" t="s">
        <v>29</v>
      </c>
      <c r="O4096" s="4" t="s">
        <v>29345</v>
      </c>
      <c r="P4096" s="4" t="s">
        <v>29</v>
      </c>
      <c r="Q4096" s="4" t="s">
        <v>29346</v>
      </c>
      <c r="R4096" s="6"/>
      <c r="S4096" s="6"/>
      <c r="T4096" s="6"/>
      <c r="U4096" s="6"/>
      <c r="V4096" s="6"/>
      <c r="W4096" s="6"/>
      <c r="X4096" s="6"/>
      <c r="Y4096" s="6"/>
      <c r="Z4096" s="6"/>
      <c r="AA4096" s="6"/>
    </row>
    <row r="4097" ht="14.25">
      <c r="B4097" s="4" t="s">
        <v>255</v>
      </c>
      <c r="C4097" s="4" t="s">
        <v>25886</v>
      </c>
      <c r="D4097" s="4" t="s">
        <v>426</v>
      </c>
      <c r="E4097" s="4" t="s">
        <v>29347</v>
      </c>
      <c r="F4097" s="4" t="str">
        <f>IFERROR(__XLUDF.DUMMYFUNCTION("PROPER(REGEXREPLACE(D502,""[^A-Za-z]+ "",""""))"),"Geoflex")</f>
        <v>Geoflex</v>
      </c>
      <c r="G4097" s="4" t="s">
        <v>29348</v>
      </c>
      <c r="H4097" s="4">
        <v>15</v>
      </c>
      <c r="I4097" s="4" t="s">
        <v>2602</v>
      </c>
      <c r="J4097" s="4" t="str">
        <f>IFERROR(__XLUDF.DUMMYFUNCTION("VLOOKUP(H502,IMPORTRANGE(""https://docs.google.com/spreadsheets/d/1opm6ZNvGZ7KditA9TuJwrZ25eFLfTNIkrNnY6mhV5Eg"",""list!A1:C115""),3,TRUE)"),"le secteur de la tech")</f>
        <v xml:space="preserve">le secteur de la tech</v>
      </c>
      <c r="K4097" s="5" t="s">
        <v>29349</v>
      </c>
      <c r="L4097" s="5" t="s">
        <v>29350</v>
      </c>
      <c r="M4097" s="4" t="s">
        <v>39</v>
      </c>
      <c r="N4097" s="4" t="s">
        <v>29</v>
      </c>
      <c r="O4097" s="4" t="s">
        <v>19983</v>
      </c>
      <c r="P4097" s="4" t="s">
        <v>29</v>
      </c>
      <c r="Q4097" s="4" t="s">
        <v>29351</v>
      </c>
      <c r="R4097" s="6"/>
      <c r="S4097" s="6"/>
      <c r="T4097" s="6"/>
      <c r="U4097" s="6"/>
      <c r="V4097" s="6"/>
      <c r="W4097" s="6"/>
      <c r="X4097" s="6"/>
      <c r="Y4097" s="6"/>
      <c r="Z4097" s="6"/>
      <c r="AA4097" s="6"/>
    </row>
    <row r="4098" ht="14.25">
      <c r="B4098" s="4" t="s">
        <v>6356</v>
      </c>
      <c r="C4098" s="4" t="s">
        <v>29352</v>
      </c>
      <c r="D4098" s="4" t="s">
        <v>247</v>
      </c>
      <c r="E4098" s="4" t="s">
        <v>20075</v>
      </c>
      <c r="F4098" s="4" t="str">
        <f>IFERROR(__XLUDF.DUMMYFUNCTION("PROPER(REGEXREPLACE(D503,""[^A-Za-z]+ "",""""))"),"Compozit")</f>
        <v>Compozit</v>
      </c>
      <c r="G4098" s="4" t="s">
        <v>29353</v>
      </c>
      <c r="H4098" s="4">
        <v>15</v>
      </c>
      <c r="I4098" s="4" t="s">
        <v>2602</v>
      </c>
      <c r="J4098" s="4" t="str">
        <f>IFERROR(__XLUDF.DUMMYFUNCTION("VLOOKUP(H503,IMPORTRANGE(""https://docs.google.com/spreadsheets/d/1opm6ZNvGZ7KditA9TuJwrZ25eFLfTNIkrNnY6mhV5Eg"",""list!A1:C115""),3,TRUE)"),"le secteur de la tech")</f>
        <v xml:space="preserve">le secteur de la tech</v>
      </c>
      <c r="K4098" s="5" t="s">
        <v>29354</v>
      </c>
      <c r="L4098" s="5" t="s">
        <v>20078</v>
      </c>
      <c r="M4098" s="4" t="s">
        <v>185</v>
      </c>
      <c r="N4098" s="4" t="s">
        <v>29</v>
      </c>
      <c r="O4098" s="4" t="s">
        <v>20079</v>
      </c>
      <c r="P4098" s="4" t="s">
        <v>29</v>
      </c>
      <c r="Q4098" s="6"/>
      <c r="R4098" s="6"/>
      <c r="S4098" s="6"/>
      <c r="T4098" s="6"/>
      <c r="U4098" s="6"/>
      <c r="V4098" s="6"/>
      <c r="W4098" s="6"/>
      <c r="X4098" s="6"/>
      <c r="Y4098" s="6"/>
      <c r="Z4098" s="6"/>
      <c r="AA4098" s="6"/>
    </row>
    <row r="4099" ht="14.25">
      <c r="B4099" s="4" t="s">
        <v>5728</v>
      </c>
      <c r="C4099" s="4" t="s">
        <v>29355</v>
      </c>
      <c r="D4099" s="4" t="s">
        <v>29356</v>
      </c>
      <c r="E4099" s="4" t="s">
        <v>29357</v>
      </c>
      <c r="F4099" s="4" t="str">
        <f>IFERROR(__XLUDF.DUMMYFUNCTION("PROPER(REGEXREPLACE(D504,""[^A-Za-z]+ "",""""))"),"Flow")</f>
        <v>Flow</v>
      </c>
      <c r="G4099" s="4" t="s">
        <v>29358</v>
      </c>
      <c r="H4099" s="4">
        <v>25</v>
      </c>
      <c r="I4099" s="4" t="s">
        <v>2602</v>
      </c>
      <c r="J4099" s="4" t="str">
        <f>IFERROR(__XLUDF.DUMMYFUNCTION("VLOOKUP(H504,IMPORTRANGE(""https://docs.google.com/spreadsheets/d/1opm6ZNvGZ7KditA9TuJwrZ25eFLfTNIkrNnY6mhV5Eg"",""list!A1:C115""),3,TRUE)"),"le secteur de la tech")</f>
        <v xml:space="preserve">le secteur de la tech</v>
      </c>
      <c r="K4099" s="5" t="s">
        <v>29359</v>
      </c>
      <c r="L4099" s="5" t="s">
        <v>29360</v>
      </c>
      <c r="M4099" s="4" t="s">
        <v>39</v>
      </c>
      <c r="N4099" s="4" t="s">
        <v>29</v>
      </c>
      <c r="O4099" s="4" t="s">
        <v>29361</v>
      </c>
      <c r="P4099" s="4" t="s">
        <v>848</v>
      </c>
      <c r="Q4099" s="6"/>
      <c r="R4099" s="6"/>
      <c r="S4099" s="6"/>
      <c r="T4099" s="6"/>
      <c r="U4099" s="6"/>
      <c r="V4099" s="6"/>
      <c r="W4099" s="6"/>
      <c r="X4099" s="6"/>
      <c r="Y4099" s="6"/>
      <c r="Z4099" s="6"/>
      <c r="AA4099" s="6"/>
    </row>
    <row r="4100" ht="14.25">
      <c r="B4100" s="4" t="s">
        <v>661</v>
      </c>
      <c r="C4100" s="4" t="s">
        <v>29362</v>
      </c>
      <c r="D4100" s="4" t="s">
        <v>172</v>
      </c>
      <c r="E4100" s="4" t="s">
        <v>29363</v>
      </c>
      <c r="F4100" s="4" t="str">
        <f>IFERROR(__XLUDF.DUMMYFUNCTION("PROPER(REGEXREPLACE(D505,""[^A-Za-z]+ "",""""))"),"Dazzm")</f>
        <v>Dazzm</v>
      </c>
      <c r="G4100" s="4" t="s">
        <v>29364</v>
      </c>
      <c r="H4100" s="4">
        <v>47</v>
      </c>
      <c r="I4100" s="4" t="s">
        <v>2602</v>
      </c>
      <c r="J4100" s="4" t="str">
        <f>IFERROR(__XLUDF.DUMMYFUNCTION("VLOOKUP(H505,IMPORTRANGE(""https://docs.google.com/spreadsheets/d/1opm6ZNvGZ7KditA9TuJwrZ25eFLfTNIkrNnY6mhV5Eg"",""list!A1:C115""),3,TRUE)"),"le secteur de la tech")</f>
        <v xml:space="preserve">le secteur de la tech</v>
      </c>
      <c r="K4100" s="5" t="s">
        <v>29365</v>
      </c>
      <c r="L4100" s="5" t="s">
        <v>29366</v>
      </c>
      <c r="M4100" s="4" t="s">
        <v>3025</v>
      </c>
      <c r="N4100" s="4" t="s">
        <v>29</v>
      </c>
      <c r="O4100" s="4" t="s">
        <v>28657</v>
      </c>
      <c r="P4100" s="4" t="s">
        <v>2666</v>
      </c>
      <c r="Q4100" s="4" t="s">
        <v>29367</v>
      </c>
      <c r="R4100" s="6"/>
      <c r="S4100" s="6"/>
      <c r="T4100" s="6"/>
      <c r="U4100" s="6"/>
      <c r="V4100" s="6"/>
      <c r="W4100" s="6"/>
      <c r="X4100" s="6"/>
      <c r="Y4100" s="6"/>
      <c r="Z4100" s="6"/>
      <c r="AA4100" s="6"/>
    </row>
    <row r="4101" ht="14.25">
      <c r="B4101" s="4" t="s">
        <v>1732</v>
      </c>
      <c r="C4101" s="4" t="s">
        <v>29368</v>
      </c>
      <c r="D4101" s="4" t="s">
        <v>468</v>
      </c>
      <c r="E4101" s="4" t="s">
        <v>29369</v>
      </c>
      <c r="F4101" s="4" t="str">
        <f>IFERROR(__XLUDF.DUMMYFUNCTION("PROPER(REGEXREPLACE(D506,""[^A-Za-z]+ "",""""))"),"Media Immo")</f>
        <v xml:space="preserve">Media Immo</v>
      </c>
      <c r="G4101" s="4" t="s">
        <v>29370</v>
      </c>
      <c r="H4101" s="4">
        <v>55</v>
      </c>
      <c r="I4101" s="4" t="s">
        <v>2602</v>
      </c>
      <c r="J4101" s="4" t="str">
        <f>IFERROR(__XLUDF.DUMMYFUNCTION("VLOOKUP(H506,IMPORTRANGE(""https://docs.google.com/spreadsheets/d/1opm6ZNvGZ7KditA9TuJwrZ25eFLfTNIkrNnY6mhV5Eg"",""list!A1:C115""),3,TRUE)"),"le secteur de la tech")</f>
        <v xml:space="preserve">le secteur de la tech</v>
      </c>
      <c r="K4101" s="5" t="s">
        <v>29371</v>
      </c>
      <c r="L4101" s="5" t="s">
        <v>29372</v>
      </c>
      <c r="M4101" s="6"/>
      <c r="N4101" s="4" t="s">
        <v>29</v>
      </c>
      <c r="O4101" s="4" t="s">
        <v>29373</v>
      </c>
      <c r="P4101" s="4" t="s">
        <v>29</v>
      </c>
      <c r="Q4101" s="4" t="s">
        <v>29374</v>
      </c>
      <c r="R4101" s="6"/>
      <c r="S4101" s="6"/>
      <c r="T4101" s="6"/>
      <c r="U4101" s="6"/>
      <c r="V4101" s="6"/>
      <c r="W4101" s="6"/>
      <c r="X4101" s="6"/>
      <c r="Y4101" s="6"/>
      <c r="Z4101" s="6"/>
      <c r="AA4101" s="6"/>
    </row>
    <row r="4102" ht="14.25">
      <c r="B4102" s="4" t="s">
        <v>2340</v>
      </c>
      <c r="C4102" s="4" t="s">
        <v>29375</v>
      </c>
      <c r="D4102" s="4" t="s">
        <v>29376</v>
      </c>
      <c r="E4102" s="4" t="s">
        <v>29377</v>
      </c>
      <c r="F4102" s="4" t="str">
        <f>IFERROR(__XLUDF.DUMMYFUNCTION("PROPER(REGEXREPLACE(D507,""[^A-Za-z]+ "",""""))"),"Itinov")</f>
        <v>Itinov</v>
      </c>
      <c r="G4102" s="4" t="s">
        <v>29378</v>
      </c>
      <c r="H4102" s="4">
        <v>31</v>
      </c>
      <c r="I4102" s="4" t="s">
        <v>2602</v>
      </c>
      <c r="J4102" s="4" t="str">
        <f>IFERROR(__XLUDF.DUMMYFUNCTION("VLOOKUP(H507,IMPORTRANGE(""https://docs.google.com/spreadsheets/d/1opm6ZNvGZ7KditA9TuJwrZ25eFLfTNIkrNnY6mhV5Eg"",""list!A1:C115""),3,TRUE)"),"le secteur de la tech")</f>
        <v xml:space="preserve">le secteur de la tech</v>
      </c>
      <c r="K4102" s="5" t="s">
        <v>29379</v>
      </c>
      <c r="L4102" s="5" t="s">
        <v>29380</v>
      </c>
      <c r="M4102" s="4" t="s">
        <v>39</v>
      </c>
      <c r="N4102" s="4" t="s">
        <v>29</v>
      </c>
      <c r="O4102" s="4" t="s">
        <v>25608</v>
      </c>
      <c r="P4102" s="4" t="s">
        <v>29</v>
      </c>
      <c r="Q4102" s="4" t="s">
        <v>29381</v>
      </c>
      <c r="R4102" s="6"/>
      <c r="S4102" s="6"/>
      <c r="T4102" s="6"/>
      <c r="U4102" s="6"/>
      <c r="V4102" s="6"/>
      <c r="W4102" s="6"/>
      <c r="X4102" s="6"/>
      <c r="Y4102" s="6"/>
      <c r="Z4102" s="6"/>
      <c r="AA4102" s="6"/>
    </row>
    <row r="4103" ht="14.25">
      <c r="B4103" s="4" t="s">
        <v>874</v>
      </c>
      <c r="C4103" s="4" t="s">
        <v>29382</v>
      </c>
      <c r="D4103" s="4" t="s">
        <v>172</v>
      </c>
      <c r="E4103" s="4" t="s">
        <v>29383</v>
      </c>
      <c r="F4103" s="4" t="str">
        <f>IFERROR(__XLUDF.DUMMYFUNCTION("PROPER(REGEXREPLACE(D508,""[^A-Za-z]+ "",""""))"),"Sigec")</f>
        <v>Sigec</v>
      </c>
      <c r="G4103" s="4" t="s">
        <v>29384</v>
      </c>
      <c r="H4103" s="4">
        <v>45</v>
      </c>
      <c r="I4103" s="4" t="s">
        <v>2602</v>
      </c>
      <c r="J4103" s="4" t="str">
        <f>IFERROR(__XLUDF.DUMMYFUNCTION("VLOOKUP(H508,IMPORTRANGE(""https://docs.google.com/spreadsheets/d/1opm6ZNvGZ7KditA9TuJwrZ25eFLfTNIkrNnY6mhV5Eg"",""list!A1:C115""),3,TRUE)"),"le secteur de la tech")</f>
        <v xml:space="preserve">le secteur de la tech</v>
      </c>
      <c r="K4103" s="5" t="s">
        <v>29385</v>
      </c>
      <c r="L4103" s="5" t="s">
        <v>29386</v>
      </c>
      <c r="M4103" s="4" t="s">
        <v>2499</v>
      </c>
      <c r="N4103" s="4" t="s">
        <v>29</v>
      </c>
      <c r="O4103" s="4" t="s">
        <v>29387</v>
      </c>
      <c r="P4103" s="4" t="s">
        <v>29</v>
      </c>
      <c r="Q4103" s="6"/>
      <c r="R4103" s="6"/>
      <c r="S4103" s="6"/>
      <c r="T4103" s="6"/>
      <c r="U4103" s="6"/>
      <c r="V4103" s="6"/>
      <c r="W4103" s="6"/>
      <c r="X4103" s="6"/>
      <c r="Y4103" s="6"/>
      <c r="Z4103" s="6"/>
      <c r="AA4103" s="6"/>
    </row>
    <row r="4104" ht="14.25">
      <c r="B4104" s="4" t="s">
        <v>525</v>
      </c>
      <c r="C4104" s="4" t="s">
        <v>29388</v>
      </c>
      <c r="D4104" s="4" t="s">
        <v>29389</v>
      </c>
      <c r="E4104" s="4" t="s">
        <v>29390</v>
      </c>
      <c r="F4104" s="4" t="str">
        <f>IFERROR(__XLUDF.DUMMYFUNCTION("PROPER(REGEXREPLACE(D509,""[^A-Za-z]+ "",""""))"),"Hyvilo")</f>
        <v>Hyvilo</v>
      </c>
      <c r="G4104" s="4" t="s">
        <v>29391</v>
      </c>
      <c r="H4104" s="4">
        <v>14</v>
      </c>
      <c r="I4104" s="4" t="s">
        <v>2602</v>
      </c>
      <c r="J4104" s="4" t="str">
        <f>IFERROR(__XLUDF.DUMMYFUNCTION("VLOOKUP(H509,IMPORTRANGE(""https://docs.google.com/spreadsheets/d/1opm6ZNvGZ7KditA9TuJwrZ25eFLfTNIkrNnY6mhV5Eg"",""list!A1:C115""),3,TRUE)"),"le secteur de la tech")</f>
        <v xml:space="preserve">le secteur de la tech</v>
      </c>
      <c r="K4104" s="5" t="s">
        <v>29392</v>
      </c>
      <c r="L4104" s="5" t="s">
        <v>29393</v>
      </c>
      <c r="M4104" s="4" t="s">
        <v>12209</v>
      </c>
      <c r="N4104" s="4" t="s">
        <v>29</v>
      </c>
      <c r="O4104" s="4" t="s">
        <v>29394</v>
      </c>
      <c r="P4104" s="4" t="s">
        <v>29</v>
      </c>
      <c r="Q4104" s="4" t="s">
        <v>29395</v>
      </c>
      <c r="R4104" s="6"/>
      <c r="S4104" s="6"/>
      <c r="T4104" s="6"/>
      <c r="U4104" s="6"/>
      <c r="V4104" s="6"/>
      <c r="W4104" s="6"/>
      <c r="X4104" s="6"/>
      <c r="Y4104" s="6"/>
      <c r="Z4104" s="6"/>
      <c r="AA4104" s="6"/>
    </row>
    <row r="4105" ht="14.25">
      <c r="B4105" s="4" t="s">
        <v>2563</v>
      </c>
      <c r="C4105" s="4" t="s">
        <v>29396</v>
      </c>
      <c r="D4105" s="4" t="s">
        <v>29397</v>
      </c>
      <c r="E4105" s="4" t="s">
        <v>29398</v>
      </c>
      <c r="F4105" s="4" t="str">
        <f>IFERROR(__XLUDF.DUMMYFUNCTION("PROPER(REGEXREPLACE(D510,""[^A-Za-z]+ "",""""))"),"Items International")</f>
        <v xml:space="preserve">Items International</v>
      </c>
      <c r="G4105" s="4" t="s">
        <v>29399</v>
      </c>
      <c r="H4105" s="4">
        <v>13</v>
      </c>
      <c r="I4105" s="4" t="s">
        <v>2602</v>
      </c>
      <c r="J4105" s="4" t="str">
        <f>IFERROR(__XLUDF.DUMMYFUNCTION("VLOOKUP(H510,IMPORTRANGE(""https://docs.google.com/spreadsheets/d/1opm6ZNvGZ7KditA9TuJwrZ25eFLfTNIkrNnY6mhV5Eg"",""list!A1:C115""),3,TRUE)"),"le secteur de la tech")</f>
        <v xml:space="preserve">le secteur de la tech</v>
      </c>
      <c r="K4105" s="5" t="s">
        <v>29400</v>
      </c>
      <c r="L4105" s="5" t="s">
        <v>29401</v>
      </c>
      <c r="M4105" s="4" t="s">
        <v>39</v>
      </c>
      <c r="N4105" s="4" t="s">
        <v>29</v>
      </c>
      <c r="O4105" s="4" t="s">
        <v>29402</v>
      </c>
      <c r="P4105" s="4" t="s">
        <v>29</v>
      </c>
      <c r="Q4105" s="4" t="s">
        <v>29403</v>
      </c>
      <c r="R4105" s="6"/>
      <c r="S4105" s="6"/>
      <c r="T4105" s="6"/>
      <c r="U4105" s="6"/>
      <c r="V4105" s="6"/>
      <c r="W4105" s="6"/>
      <c r="X4105" s="6"/>
      <c r="Y4105" s="6"/>
      <c r="Z4105" s="6"/>
      <c r="AA4105" s="6"/>
    </row>
    <row r="4106" ht="14.25">
      <c r="B4106" s="4" t="s">
        <v>6931</v>
      </c>
      <c r="C4106" s="4" t="s">
        <v>29404</v>
      </c>
      <c r="D4106" s="4" t="s">
        <v>25895</v>
      </c>
      <c r="E4106" s="4" t="s">
        <v>26266</v>
      </c>
      <c r="F4106" s="4" t="str">
        <f>IFERROR(__XLUDF.DUMMYFUNCTION("PROPER(REGEXREPLACE(D511,""[^A-Za-z]+ "",""""))"),"Kwarto")</f>
        <v>Kwarto</v>
      </c>
      <c r="G4106" s="4" t="s">
        <v>29405</v>
      </c>
      <c r="H4106" s="4">
        <v>11</v>
      </c>
      <c r="I4106" s="4" t="s">
        <v>2602</v>
      </c>
      <c r="J4106" s="4" t="str">
        <f>IFERROR(__XLUDF.DUMMYFUNCTION("VLOOKUP(H511,IMPORTRANGE(""https://docs.google.com/spreadsheets/d/1opm6ZNvGZ7KditA9TuJwrZ25eFLfTNIkrNnY6mhV5Eg"",""list!A1:C115""),3,TRUE)"),"le secteur de la tech")</f>
        <v xml:space="preserve">le secteur de la tech</v>
      </c>
      <c r="K4106" s="5" t="s">
        <v>29406</v>
      </c>
      <c r="L4106" s="5" t="s">
        <v>26269</v>
      </c>
      <c r="M4106" s="4" t="s">
        <v>39</v>
      </c>
      <c r="N4106" s="4" t="s">
        <v>29</v>
      </c>
      <c r="O4106" s="4" t="s">
        <v>26270</v>
      </c>
      <c r="P4106" s="4" t="s">
        <v>29</v>
      </c>
      <c r="Q4106" s="6"/>
      <c r="R4106" s="6"/>
      <c r="S4106" s="6"/>
      <c r="T4106" s="6"/>
      <c r="U4106" s="6"/>
      <c r="V4106" s="6"/>
      <c r="W4106" s="6"/>
      <c r="X4106" s="6"/>
      <c r="Y4106" s="6"/>
      <c r="Z4106" s="6"/>
      <c r="AA4106" s="6"/>
    </row>
    <row r="4107" ht="14.25">
      <c r="B4107" s="4" t="s">
        <v>20</v>
      </c>
      <c r="C4107" s="4" t="s">
        <v>29407</v>
      </c>
      <c r="D4107" s="4" t="s">
        <v>247</v>
      </c>
      <c r="E4107" s="4" t="s">
        <v>27693</v>
      </c>
      <c r="F4107" s="4" t="str">
        <f>IFERROR(__XLUDF.DUMMYFUNCTION("PROPER(REGEXREPLACE(D512,""[^A-Za-z]+ "",""""))"),"Rubyx")</f>
        <v>Rubyx</v>
      </c>
      <c r="G4107" s="4" t="s">
        <v>29408</v>
      </c>
      <c r="H4107" s="4">
        <v>21</v>
      </c>
      <c r="I4107" s="4" t="s">
        <v>2602</v>
      </c>
      <c r="J4107" s="4" t="str">
        <f>IFERROR(__XLUDF.DUMMYFUNCTION("VLOOKUP(H512,IMPORTRANGE(""https://docs.google.com/spreadsheets/d/1opm6ZNvGZ7KditA9TuJwrZ25eFLfTNIkrNnY6mhV5Eg"",""list!A1:C115""),3,TRUE)"),"le secteur de la tech")</f>
        <v xml:space="preserve">le secteur de la tech</v>
      </c>
      <c r="K4107" s="5" t="s">
        <v>29409</v>
      </c>
      <c r="L4107" s="5" t="s">
        <v>27696</v>
      </c>
      <c r="M4107" s="6"/>
      <c r="N4107" s="4" t="s">
        <v>29</v>
      </c>
      <c r="O4107" s="4" t="s">
        <v>27697</v>
      </c>
      <c r="P4107" s="4" t="s">
        <v>6715</v>
      </c>
      <c r="Q4107" s="4" t="s">
        <v>27698</v>
      </c>
      <c r="R4107" s="6"/>
      <c r="S4107" s="6"/>
      <c r="T4107" s="6"/>
      <c r="U4107" s="6"/>
      <c r="V4107" s="6"/>
      <c r="W4107" s="6"/>
      <c r="X4107" s="6"/>
      <c r="Y4107" s="6"/>
      <c r="Z4107" s="6"/>
      <c r="AA4107" s="6"/>
    </row>
    <row r="4108" ht="14.25">
      <c r="B4108" s="4" t="s">
        <v>12387</v>
      </c>
      <c r="C4108" s="4" t="s">
        <v>29410</v>
      </c>
      <c r="D4108" s="4" t="s">
        <v>16645</v>
      </c>
      <c r="E4108" s="4" t="s">
        <v>29411</v>
      </c>
      <c r="F4108" s="4" t="str">
        <f>IFERROR(__XLUDF.DUMMYFUNCTION("PROPER(REGEXREPLACE(D513,""[^A-Za-z]+ "",""""))"),"Primo")</f>
        <v>Primo</v>
      </c>
      <c r="G4108" s="4" t="s">
        <v>29412</v>
      </c>
      <c r="H4108" s="4">
        <v>24</v>
      </c>
      <c r="I4108" s="4" t="s">
        <v>2602</v>
      </c>
      <c r="J4108" s="4" t="str">
        <f>IFERROR(__XLUDF.DUMMYFUNCTION("VLOOKUP(H513,IMPORTRANGE(""https://docs.google.com/spreadsheets/d/1opm6ZNvGZ7KditA9TuJwrZ25eFLfTNIkrNnY6mhV5Eg"",""list!A1:C115""),3,TRUE)"),"le secteur de la tech")</f>
        <v xml:space="preserve">le secteur de la tech</v>
      </c>
      <c r="K4108" s="5" t="s">
        <v>29413</v>
      </c>
      <c r="L4108" s="5" t="s">
        <v>29414</v>
      </c>
      <c r="M4108" s="6"/>
      <c r="N4108" s="4" t="s">
        <v>29</v>
      </c>
      <c r="O4108" s="4" t="s">
        <v>546</v>
      </c>
      <c r="P4108" s="4" t="s">
        <v>29</v>
      </c>
      <c r="Q4108" s="4" t="s">
        <v>29415</v>
      </c>
      <c r="R4108" s="6"/>
      <c r="S4108" s="6"/>
      <c r="T4108" s="6"/>
      <c r="U4108" s="6"/>
      <c r="V4108" s="6"/>
      <c r="W4108" s="6"/>
      <c r="X4108" s="6"/>
      <c r="Y4108" s="6"/>
      <c r="Z4108" s="6"/>
      <c r="AA4108" s="6"/>
    </row>
    <row r="4109" ht="14.25">
      <c r="B4109" s="4" t="s">
        <v>1215</v>
      </c>
      <c r="C4109" s="4" t="s">
        <v>29416</v>
      </c>
      <c r="D4109" s="4" t="s">
        <v>29417</v>
      </c>
      <c r="E4109" s="4" t="s">
        <v>13380</v>
      </c>
      <c r="F4109" s="4" t="str">
        <f>IFERROR(__XLUDF.DUMMYFUNCTION("PROPER(REGEXREPLACE(D514,""[^A-Za-z]+ "",""""))"),"Statera")</f>
        <v>Statera</v>
      </c>
      <c r="G4109" s="4" t="s">
        <v>29418</v>
      </c>
      <c r="H4109" s="4">
        <v>45</v>
      </c>
      <c r="I4109" s="4" t="s">
        <v>2602</v>
      </c>
      <c r="J4109" s="4" t="str">
        <f>IFERROR(__XLUDF.DUMMYFUNCTION("VLOOKUP(H514,IMPORTRANGE(""https://docs.google.com/spreadsheets/d/1opm6ZNvGZ7KditA9TuJwrZ25eFLfTNIkrNnY6mhV5Eg"",""list!A1:C115""),3,TRUE)"),"le secteur de la tech")</f>
        <v xml:space="preserve">le secteur de la tech</v>
      </c>
      <c r="K4109" s="5" t="s">
        <v>29419</v>
      </c>
      <c r="L4109" s="5" t="s">
        <v>22110</v>
      </c>
      <c r="M4109" s="4" t="s">
        <v>39</v>
      </c>
      <c r="N4109" s="4" t="s">
        <v>29</v>
      </c>
      <c r="O4109" s="4" t="s">
        <v>18884</v>
      </c>
      <c r="P4109" s="4" t="s">
        <v>29</v>
      </c>
      <c r="Q4109" s="6"/>
      <c r="R4109" s="6"/>
      <c r="S4109" s="6"/>
      <c r="T4109" s="6"/>
      <c r="U4109" s="6"/>
      <c r="V4109" s="6"/>
      <c r="W4109" s="6"/>
      <c r="X4109" s="6"/>
      <c r="Y4109" s="6"/>
      <c r="Z4109" s="6"/>
      <c r="AA4109" s="6"/>
    </row>
    <row r="4110" ht="14.25">
      <c r="B4110" s="4" t="s">
        <v>29420</v>
      </c>
      <c r="C4110" s="4" t="s">
        <v>29421</v>
      </c>
      <c r="D4110" s="4" t="s">
        <v>29422</v>
      </c>
      <c r="E4110" s="4" t="s">
        <v>29423</v>
      </c>
      <c r="F4110" s="4" t="str">
        <f>IFERROR(__XLUDF.DUMMYFUNCTION("PROPER(REGEXREPLACE(D515,""[^A-Za-z]+ "",""""))"),"Neobuy")</f>
        <v>Neobuy</v>
      </c>
      <c r="G4110" s="4" t="s">
        <v>29424</v>
      </c>
      <c r="H4110" s="4">
        <v>30</v>
      </c>
      <c r="I4110" s="4" t="s">
        <v>2602</v>
      </c>
      <c r="J4110" s="4" t="str">
        <f>IFERROR(__XLUDF.DUMMYFUNCTION("VLOOKUP(H515,IMPORTRANGE(""https://docs.google.com/spreadsheets/d/1opm6ZNvGZ7KditA9TuJwrZ25eFLfTNIkrNnY6mhV5Eg"",""list!A1:C115""),3,TRUE)"),"le secteur de la tech")</f>
        <v xml:space="preserve">le secteur de la tech</v>
      </c>
      <c r="K4110" s="5" t="s">
        <v>29425</v>
      </c>
      <c r="L4110" s="5" t="s">
        <v>29426</v>
      </c>
      <c r="M4110" s="6"/>
      <c r="N4110" s="4" t="s">
        <v>29</v>
      </c>
      <c r="O4110" s="4" t="s">
        <v>29427</v>
      </c>
      <c r="P4110" s="4" t="s">
        <v>29</v>
      </c>
      <c r="Q4110" s="4" t="s">
        <v>29428</v>
      </c>
      <c r="R4110" s="6"/>
      <c r="S4110" s="6"/>
      <c r="T4110" s="6"/>
      <c r="U4110" s="6"/>
      <c r="V4110" s="6"/>
      <c r="W4110" s="6"/>
      <c r="X4110" s="6"/>
      <c r="Y4110" s="6"/>
      <c r="Z4110" s="6"/>
      <c r="AA4110" s="6"/>
    </row>
    <row r="4111" ht="14.25">
      <c r="B4111" s="4" t="s">
        <v>1215</v>
      </c>
      <c r="C4111" s="4" t="s">
        <v>4086</v>
      </c>
      <c r="D4111" s="4" t="s">
        <v>5186</v>
      </c>
      <c r="E4111" s="4" t="s">
        <v>29429</v>
      </c>
      <c r="F4111" s="4" t="str">
        <f>IFERROR(__XLUDF.DUMMYFUNCTION("PROPER(REGEXREPLACE(D516,""[^A-Za-z]+ "",""""))"),"Unique.Paris")</f>
        <v>Unique.Paris</v>
      </c>
      <c r="G4111" s="4" t="s">
        <v>29430</v>
      </c>
      <c r="H4111" s="4">
        <v>18</v>
      </c>
      <c r="I4111" s="4" t="s">
        <v>2602</v>
      </c>
      <c r="J4111" s="4" t="str">
        <f>IFERROR(__XLUDF.DUMMYFUNCTION("VLOOKUP(H516,IMPORTRANGE(""https://docs.google.com/spreadsheets/d/1opm6ZNvGZ7KditA9TuJwrZ25eFLfTNIkrNnY6mhV5Eg"",""list!A1:C115""),3,TRUE)"),"le secteur de la tech")</f>
        <v xml:space="preserve">le secteur de la tech</v>
      </c>
      <c r="K4111" s="5" t="s">
        <v>29431</v>
      </c>
      <c r="L4111" s="5" t="s">
        <v>29432</v>
      </c>
      <c r="M4111" s="4" t="s">
        <v>39</v>
      </c>
      <c r="N4111" s="4" t="s">
        <v>29</v>
      </c>
      <c r="O4111" s="4" t="s">
        <v>29433</v>
      </c>
      <c r="P4111" s="4" t="s">
        <v>29</v>
      </c>
      <c r="Q4111" s="4" t="s">
        <v>29434</v>
      </c>
      <c r="R4111" s="6"/>
      <c r="S4111" s="6"/>
      <c r="T4111" s="6"/>
      <c r="U4111" s="6"/>
      <c r="V4111" s="6"/>
      <c r="W4111" s="6"/>
      <c r="X4111" s="6"/>
      <c r="Y4111" s="6"/>
      <c r="Z4111" s="6"/>
      <c r="AA4111" s="6"/>
    </row>
    <row r="4112" ht="14.25">
      <c r="B4112" s="4" t="s">
        <v>5001</v>
      </c>
      <c r="C4112" s="4" t="s">
        <v>29435</v>
      </c>
      <c r="D4112" s="4" t="s">
        <v>172</v>
      </c>
      <c r="E4112" s="4" t="s">
        <v>29436</v>
      </c>
      <c r="F4112" s="4" t="str">
        <f>IFERROR(__XLUDF.DUMMYFUNCTION("PROPER(REGEXREPLACE(D517,""[^A-Za-z]+ "",""""))"),"Akawan")</f>
        <v>Akawan</v>
      </c>
      <c r="G4112" s="4" t="s">
        <v>29437</v>
      </c>
      <c r="H4112" s="4">
        <v>38</v>
      </c>
      <c r="I4112" s="4" t="s">
        <v>2602</v>
      </c>
      <c r="J4112" s="4" t="str">
        <f>IFERROR(__XLUDF.DUMMYFUNCTION("VLOOKUP(H517,IMPORTRANGE(""https://docs.google.com/spreadsheets/d/1opm6ZNvGZ7KditA9TuJwrZ25eFLfTNIkrNnY6mhV5Eg"",""list!A1:C115""),3,TRUE)"),"le secteur de la tech")</f>
        <v xml:space="preserve">le secteur de la tech</v>
      </c>
      <c r="K4112" s="5" t="s">
        <v>29438</v>
      </c>
      <c r="L4112" s="5" t="s">
        <v>29439</v>
      </c>
      <c r="M4112" s="4" t="s">
        <v>83</v>
      </c>
      <c r="N4112" s="4" t="s">
        <v>29</v>
      </c>
      <c r="O4112" s="4" t="s">
        <v>29440</v>
      </c>
      <c r="P4112" s="4" t="s">
        <v>29</v>
      </c>
      <c r="Q4112" s="6"/>
      <c r="R4112" s="6"/>
      <c r="S4112" s="6"/>
      <c r="T4112" s="6"/>
      <c r="U4112" s="6"/>
      <c r="V4112" s="6"/>
      <c r="W4112" s="6"/>
      <c r="X4112" s="6"/>
      <c r="Y4112" s="6"/>
      <c r="Z4112" s="6"/>
      <c r="AA4112" s="6"/>
    </row>
    <row r="4113" ht="14.25">
      <c r="B4113" s="4" t="s">
        <v>817</v>
      </c>
      <c r="C4113" s="4" t="s">
        <v>29441</v>
      </c>
      <c r="D4113" s="4" t="s">
        <v>29442</v>
      </c>
      <c r="E4113" s="4" t="s">
        <v>29443</v>
      </c>
      <c r="F4113" s="4" t="str">
        <f>IFERROR(__XLUDF.DUMMYFUNCTION("PROPER(REGEXREPLACE(D518,""[^A-Za-z]+ "",""""))"),"Boaton")</f>
        <v>Boaton</v>
      </c>
      <c r="G4113" s="4" t="s">
        <v>29444</v>
      </c>
      <c r="H4113" s="4">
        <v>13</v>
      </c>
      <c r="I4113" s="4" t="s">
        <v>2602</v>
      </c>
      <c r="J4113" s="4" t="str">
        <f>IFERROR(__XLUDF.DUMMYFUNCTION("VLOOKUP(H518,IMPORTRANGE(""https://docs.google.com/spreadsheets/d/1opm6ZNvGZ7KditA9TuJwrZ25eFLfTNIkrNnY6mhV5Eg"",""list!A1:C115""),3,TRUE)"),"le secteur de la tech")</f>
        <v xml:space="preserve">le secteur de la tech</v>
      </c>
      <c r="K4113" s="5" t="s">
        <v>29445</v>
      </c>
      <c r="L4113" s="5" t="s">
        <v>29446</v>
      </c>
      <c r="M4113" s="4" t="s">
        <v>243</v>
      </c>
      <c r="N4113" s="4" t="s">
        <v>29</v>
      </c>
      <c r="O4113" s="4" t="s">
        <v>29447</v>
      </c>
      <c r="P4113" s="4" t="s">
        <v>29</v>
      </c>
      <c r="Q4113" s="6"/>
      <c r="R4113" s="6"/>
      <c r="S4113" s="6"/>
      <c r="T4113" s="6"/>
      <c r="U4113" s="6"/>
      <c r="V4113" s="6"/>
      <c r="W4113" s="6"/>
      <c r="X4113" s="6"/>
      <c r="Y4113" s="6"/>
      <c r="Z4113" s="6"/>
      <c r="AA4113" s="6"/>
    </row>
    <row r="4114" ht="14.25">
      <c r="B4114" s="4" t="s">
        <v>20</v>
      </c>
      <c r="C4114" s="4" t="s">
        <v>29448</v>
      </c>
      <c r="D4114" s="4" t="s">
        <v>13589</v>
      </c>
      <c r="E4114" s="4" t="s">
        <v>29449</v>
      </c>
      <c r="F4114" s="4" t="str">
        <f>IFERROR(__XLUDF.DUMMYFUNCTION("PROPER(REGEXREPLACE(D519,""[^A-Za-z]+ "",""""))"),"Klaxo")</f>
        <v>Klaxo</v>
      </c>
      <c r="G4114" s="4" t="s">
        <v>29450</v>
      </c>
      <c r="H4114" s="4">
        <v>15</v>
      </c>
      <c r="I4114" s="4" t="s">
        <v>2602</v>
      </c>
      <c r="J4114" s="4" t="str">
        <f>IFERROR(__XLUDF.DUMMYFUNCTION("VLOOKUP(H519,IMPORTRANGE(""https://docs.google.com/spreadsheets/d/1opm6ZNvGZ7KditA9TuJwrZ25eFLfTNIkrNnY6mhV5Eg"",""list!A1:C115""),3,TRUE)"),"le secteur de la tech")</f>
        <v xml:space="preserve">le secteur de la tech</v>
      </c>
      <c r="K4114" s="5" t="s">
        <v>29451</v>
      </c>
      <c r="L4114" s="5" t="s">
        <v>29452</v>
      </c>
      <c r="M4114" s="4" t="s">
        <v>39</v>
      </c>
      <c r="N4114" s="4" t="s">
        <v>29</v>
      </c>
      <c r="O4114" s="4" t="s">
        <v>67</v>
      </c>
      <c r="P4114" s="4" t="s">
        <v>29</v>
      </c>
      <c r="Q4114" s="4" t="s">
        <v>29453</v>
      </c>
      <c r="R4114" s="6"/>
      <c r="S4114" s="6"/>
      <c r="T4114" s="6"/>
      <c r="U4114" s="6"/>
      <c r="V4114" s="6"/>
      <c r="W4114" s="6"/>
      <c r="X4114" s="6"/>
      <c r="Y4114" s="6"/>
      <c r="Z4114" s="6"/>
      <c r="AA4114" s="6"/>
    </row>
    <row r="4115" ht="14.25">
      <c r="B4115" s="4" t="s">
        <v>2598</v>
      </c>
      <c r="C4115" s="4" t="s">
        <v>29454</v>
      </c>
      <c r="D4115" s="4" t="s">
        <v>29455</v>
      </c>
      <c r="E4115" s="4" t="s">
        <v>29456</v>
      </c>
      <c r="F4115" s="4" t="str">
        <f>IFERROR(__XLUDF.DUMMYFUNCTION("PROPER(REGEXREPLACE(D520,""[^A-Za-z]+ "",""""))"),"Tilkal")</f>
        <v>Tilkal</v>
      </c>
      <c r="G4115" s="4" t="s">
        <v>29457</v>
      </c>
      <c r="H4115" s="4">
        <v>28</v>
      </c>
      <c r="I4115" s="4" t="s">
        <v>2602</v>
      </c>
      <c r="J4115" s="4" t="str">
        <f>IFERROR(__XLUDF.DUMMYFUNCTION("VLOOKUP(H520,IMPORTRANGE(""https://docs.google.com/spreadsheets/d/1opm6ZNvGZ7KditA9TuJwrZ25eFLfTNIkrNnY6mhV5Eg"",""list!A1:C115""),3,TRUE)"),"le secteur de la tech")</f>
        <v xml:space="preserve">le secteur de la tech</v>
      </c>
      <c r="K4115" s="5" t="s">
        <v>29458</v>
      </c>
      <c r="L4115" s="5" t="s">
        <v>29459</v>
      </c>
      <c r="M4115" s="4" t="s">
        <v>39</v>
      </c>
      <c r="N4115" s="4" t="s">
        <v>29</v>
      </c>
      <c r="O4115" s="4" t="s">
        <v>29460</v>
      </c>
      <c r="P4115" s="4" t="s">
        <v>29</v>
      </c>
      <c r="Q4115" s="4" t="s">
        <v>29461</v>
      </c>
      <c r="R4115" s="6"/>
      <c r="S4115" s="6"/>
      <c r="T4115" s="6"/>
      <c r="U4115" s="6"/>
      <c r="V4115" s="6"/>
      <c r="W4115" s="6"/>
      <c r="X4115" s="6"/>
      <c r="Y4115" s="6"/>
      <c r="Z4115" s="6"/>
      <c r="AA4115" s="6"/>
    </row>
    <row r="4116" ht="14.25">
      <c r="B4116" s="4" t="s">
        <v>556</v>
      </c>
      <c r="C4116" s="4" t="s">
        <v>29462</v>
      </c>
      <c r="D4116" s="4" t="s">
        <v>87</v>
      </c>
      <c r="E4116" s="5" t="s">
        <v>29463</v>
      </c>
      <c r="F4116" s="5" t="str">
        <f>IFERROR(__XLUDF.DUMMYFUNCTION("PROPER(REGEXREPLACE(D521,""[^A-Za-z]+ "",""""))"),"Impakt.Io")</f>
        <v>Impakt.Io</v>
      </c>
      <c r="G4116" s="4" t="s">
        <v>29464</v>
      </c>
      <c r="H4116" s="4">
        <v>24</v>
      </c>
      <c r="I4116" s="4" t="s">
        <v>2602</v>
      </c>
      <c r="J4116" s="4" t="str">
        <f>IFERROR(__XLUDF.DUMMYFUNCTION("VLOOKUP(H521,IMPORTRANGE(""https://docs.google.com/spreadsheets/d/1opm6ZNvGZ7KditA9TuJwrZ25eFLfTNIkrNnY6mhV5Eg"",""list!A1:C115""),3,TRUE)"),"le secteur de la tech")</f>
        <v xml:space="preserve">le secteur de la tech</v>
      </c>
      <c r="K4116" s="5" t="s">
        <v>29465</v>
      </c>
      <c r="L4116" s="5" t="s">
        <v>29466</v>
      </c>
      <c r="M4116" s="6"/>
      <c r="N4116" s="4" t="s">
        <v>29</v>
      </c>
      <c r="O4116" s="4" t="s">
        <v>29467</v>
      </c>
      <c r="P4116" s="4" t="s">
        <v>29</v>
      </c>
      <c r="Q4116" s="4" t="s">
        <v>29468</v>
      </c>
      <c r="R4116" s="6"/>
      <c r="S4116" s="6"/>
      <c r="T4116" s="6"/>
      <c r="U4116" s="6"/>
      <c r="V4116" s="6"/>
      <c r="W4116" s="6"/>
      <c r="X4116" s="6"/>
      <c r="Y4116" s="6"/>
      <c r="Z4116" s="6"/>
      <c r="AA4116" s="6"/>
    </row>
    <row r="4117" ht="14.25">
      <c r="B4117" s="4" t="s">
        <v>355</v>
      </c>
      <c r="C4117" s="4" t="s">
        <v>7083</v>
      </c>
      <c r="D4117" s="4" t="s">
        <v>1231</v>
      </c>
      <c r="E4117" s="5" t="s">
        <v>29469</v>
      </c>
      <c r="F4117" s="5" t="str">
        <f>IFERROR(__XLUDF.DUMMYFUNCTION("PROPER(REGEXREPLACE(D522,""[^A-Za-z]+ "",""""))"),"Golem.Ai")</f>
        <v>Golem.Ai</v>
      </c>
      <c r="G4117" s="4" t="s">
        <v>29470</v>
      </c>
      <c r="H4117" s="4">
        <v>33</v>
      </c>
      <c r="I4117" s="4" t="s">
        <v>2602</v>
      </c>
      <c r="J4117" s="4" t="str">
        <f>IFERROR(__XLUDF.DUMMYFUNCTION("VLOOKUP(H522,IMPORTRANGE(""https://docs.google.com/spreadsheets/d/1opm6ZNvGZ7KditA9TuJwrZ25eFLfTNIkrNnY6mhV5Eg"",""list!A1:C115""),3,TRUE)"),"le secteur de la tech")</f>
        <v xml:space="preserve">le secteur de la tech</v>
      </c>
      <c r="K4117" s="5" t="s">
        <v>29471</v>
      </c>
      <c r="L4117" s="5" t="s">
        <v>29472</v>
      </c>
      <c r="M4117" s="4" t="s">
        <v>39</v>
      </c>
      <c r="N4117" s="4" t="s">
        <v>29</v>
      </c>
      <c r="O4117" s="4" t="s">
        <v>29473</v>
      </c>
      <c r="P4117" s="4" t="s">
        <v>29</v>
      </c>
      <c r="Q4117" s="4" t="s">
        <v>29474</v>
      </c>
      <c r="R4117" s="6"/>
      <c r="S4117" s="6"/>
      <c r="T4117" s="6"/>
      <c r="U4117" s="6"/>
      <c r="V4117" s="6"/>
      <c r="W4117" s="6"/>
      <c r="X4117" s="6"/>
      <c r="Y4117" s="6"/>
      <c r="Z4117" s="6"/>
      <c r="AA4117" s="6"/>
    </row>
    <row r="4118" ht="14.25">
      <c r="B4118" s="4" t="s">
        <v>22184</v>
      </c>
      <c r="C4118" s="4" t="s">
        <v>29475</v>
      </c>
      <c r="D4118" s="4" t="s">
        <v>9512</v>
      </c>
      <c r="E4118" s="4" t="s">
        <v>9513</v>
      </c>
      <c r="F4118" s="4" t="str">
        <f>IFERROR(__XLUDF.DUMMYFUNCTION("PROPER(REGEXREPLACE(D523,""[^A-Za-z]+ "",""""))"),"Bewizyu")</f>
        <v>Bewizyu</v>
      </c>
      <c r="G4118" s="4" t="s">
        <v>29476</v>
      </c>
      <c r="H4118" s="4">
        <v>24</v>
      </c>
      <c r="I4118" s="4" t="s">
        <v>2602</v>
      </c>
      <c r="J4118" s="4" t="str">
        <f>IFERROR(__XLUDF.DUMMYFUNCTION("VLOOKUP(H523,IMPORTRANGE(""https://docs.google.com/spreadsheets/d/1opm6ZNvGZ7KditA9TuJwrZ25eFLfTNIkrNnY6mhV5Eg"",""list!A1:C115""),3,TRUE)"),"le secteur de la tech")</f>
        <v xml:space="preserve">le secteur de la tech</v>
      </c>
      <c r="K4118" s="5" t="s">
        <v>29477</v>
      </c>
      <c r="L4118" s="5" t="s">
        <v>29478</v>
      </c>
      <c r="M4118" s="4" t="s">
        <v>185</v>
      </c>
      <c r="N4118" s="4" t="s">
        <v>29</v>
      </c>
      <c r="O4118" s="4" t="s">
        <v>29479</v>
      </c>
      <c r="P4118" s="4" t="s">
        <v>29</v>
      </c>
      <c r="Q4118" s="4" t="s">
        <v>9518</v>
      </c>
      <c r="R4118" s="6"/>
      <c r="S4118" s="6"/>
      <c r="T4118" s="6"/>
      <c r="U4118" s="6"/>
      <c r="V4118" s="6"/>
      <c r="W4118" s="6"/>
      <c r="X4118" s="6"/>
      <c r="Y4118" s="6"/>
      <c r="Z4118" s="6"/>
      <c r="AA4118" s="6"/>
    </row>
    <row r="4119" ht="14.25">
      <c r="B4119" s="4" t="s">
        <v>7565</v>
      </c>
      <c r="C4119" s="4" t="s">
        <v>29480</v>
      </c>
      <c r="D4119" s="4" t="s">
        <v>3188</v>
      </c>
      <c r="E4119" s="4" t="s">
        <v>29481</v>
      </c>
      <c r="F4119" s="4" t="str">
        <f>IFERROR(__XLUDF.DUMMYFUNCTION("PROPER(REGEXREPLACE(D524,""[^A-Za-z]+ "",""""))"),"Trustfolio")</f>
        <v>Trustfolio</v>
      </c>
      <c r="G4119" s="4" t="s">
        <v>29482</v>
      </c>
      <c r="H4119" s="4">
        <v>11</v>
      </c>
      <c r="I4119" s="4" t="s">
        <v>2602</v>
      </c>
      <c r="J4119" s="4" t="str">
        <f>IFERROR(__XLUDF.DUMMYFUNCTION("VLOOKUP(H524,IMPORTRANGE(""https://docs.google.com/spreadsheets/d/1opm6ZNvGZ7KditA9TuJwrZ25eFLfTNIkrNnY6mhV5Eg"",""list!A1:C115""),3,TRUE)"),"le secteur de la tech")</f>
        <v xml:space="preserve">le secteur de la tech</v>
      </c>
      <c r="K4119" s="5" t="s">
        <v>29483</v>
      </c>
      <c r="L4119" s="5" t="s">
        <v>29484</v>
      </c>
      <c r="M4119" s="4" t="s">
        <v>39</v>
      </c>
      <c r="N4119" s="4" t="s">
        <v>29</v>
      </c>
      <c r="O4119" s="4" t="s">
        <v>1283</v>
      </c>
      <c r="P4119" s="4" t="s">
        <v>29</v>
      </c>
      <c r="Q4119" s="4" t="s">
        <v>29485</v>
      </c>
      <c r="R4119" s="6"/>
      <c r="S4119" s="6"/>
      <c r="T4119" s="6"/>
      <c r="U4119" s="6"/>
      <c r="V4119" s="6"/>
      <c r="W4119" s="6"/>
      <c r="X4119" s="6"/>
      <c r="Y4119" s="6"/>
      <c r="Z4119" s="6"/>
      <c r="AA4119" s="6"/>
    </row>
    <row r="4120" ht="14.25">
      <c r="B4120" s="4" t="s">
        <v>548</v>
      </c>
      <c r="C4120" s="4" t="s">
        <v>29486</v>
      </c>
      <c r="D4120" s="4" t="s">
        <v>29487</v>
      </c>
      <c r="E4120" s="4" t="s">
        <v>29488</v>
      </c>
      <c r="F4120" s="4" t="str">
        <f>IFERROR(__XLUDF.DUMMYFUNCTION("PROPER(REGEXREPLACE(D525,""[^A-Za-z]+ "",""""))"),"Netkinl'Innovation Au Service Des Organisateurs D'Évents Présentiel Hybride Oudistanciel")</f>
        <v xml:space="preserve">Netkinl'Innovation Au Service Des Organisateurs D'Évents Présentiel Hybride Oudistanciel</v>
      </c>
      <c r="G4120" s="4" t="s">
        <v>29489</v>
      </c>
      <c r="H4120" s="4">
        <v>23</v>
      </c>
      <c r="I4120" s="4" t="s">
        <v>2602</v>
      </c>
      <c r="J4120" s="4" t="str">
        <f>IFERROR(__XLUDF.DUMMYFUNCTION("VLOOKUP(H525,IMPORTRANGE(""https://docs.google.com/spreadsheets/d/1opm6ZNvGZ7KditA9TuJwrZ25eFLfTNIkrNnY6mhV5Eg"",""list!A1:C115""),3,TRUE)"),"le secteur de la tech")</f>
        <v xml:space="preserve">le secteur de la tech</v>
      </c>
      <c r="K4120" s="5" t="s">
        <v>29490</v>
      </c>
      <c r="L4120" s="5" t="s">
        <v>24699</v>
      </c>
      <c r="M4120" s="4" t="s">
        <v>39</v>
      </c>
      <c r="N4120" s="4" t="s">
        <v>29</v>
      </c>
      <c r="O4120" s="4" t="s">
        <v>24700</v>
      </c>
      <c r="P4120" s="4" t="s">
        <v>29</v>
      </c>
      <c r="Q4120" s="6"/>
      <c r="R4120" s="6"/>
      <c r="S4120" s="6"/>
      <c r="T4120" s="6"/>
      <c r="U4120" s="6"/>
      <c r="V4120" s="6"/>
      <c r="W4120" s="6"/>
      <c r="X4120" s="6"/>
      <c r="Y4120" s="6"/>
      <c r="Z4120" s="6"/>
      <c r="AA4120" s="6"/>
    </row>
    <row r="4121" ht="14.25">
      <c r="B4121" s="4" t="s">
        <v>1215</v>
      </c>
      <c r="C4121" s="4" t="s">
        <v>29491</v>
      </c>
      <c r="D4121" s="4" t="s">
        <v>29492</v>
      </c>
      <c r="E4121" s="4" t="s">
        <v>18215</v>
      </c>
      <c r="F4121" s="4" t="str">
        <f>IFERROR(__XLUDF.DUMMYFUNCTION("PROPER(REGEXREPLACE(D526,""[^A-Za-z]+ "",""""))"),"Origin")</f>
        <v>Origin</v>
      </c>
      <c r="G4121" s="4" t="s">
        <v>29493</v>
      </c>
      <c r="H4121" s="4">
        <v>10</v>
      </c>
      <c r="I4121" s="4" t="s">
        <v>2602</v>
      </c>
      <c r="J4121" s="4" t="str">
        <f>IFERROR(__XLUDF.DUMMYFUNCTION("VLOOKUP(H526,IMPORTRANGE(""https://docs.google.com/spreadsheets/d/1opm6ZNvGZ7KditA9TuJwrZ25eFLfTNIkrNnY6mhV5Eg"",""list!A1:C115""),3,TRUE)"),"le secteur de la tech")</f>
        <v xml:space="preserve">le secteur de la tech</v>
      </c>
      <c r="K4121" s="5" t="s">
        <v>29494</v>
      </c>
      <c r="L4121" s="5" t="s">
        <v>18218</v>
      </c>
      <c r="M4121" s="4" t="s">
        <v>39</v>
      </c>
      <c r="N4121" s="4" t="s">
        <v>29</v>
      </c>
      <c r="O4121" s="4" t="s">
        <v>18219</v>
      </c>
      <c r="P4121" s="4" t="s">
        <v>29</v>
      </c>
      <c r="Q4121" s="4" t="s">
        <v>18220</v>
      </c>
      <c r="R4121" s="6"/>
      <c r="S4121" s="6"/>
      <c r="T4121" s="6"/>
      <c r="U4121" s="6"/>
      <c r="V4121" s="6"/>
      <c r="W4121" s="6"/>
      <c r="X4121" s="6"/>
      <c r="Y4121" s="6"/>
      <c r="Z4121" s="6"/>
      <c r="AA4121" s="6"/>
    </row>
    <row r="4122" ht="14.25">
      <c r="B4122" s="4" t="s">
        <v>556</v>
      </c>
      <c r="C4122" s="4" t="s">
        <v>29495</v>
      </c>
      <c r="D4122" s="4" t="s">
        <v>44</v>
      </c>
      <c r="E4122" s="4" t="s">
        <v>29496</v>
      </c>
      <c r="F4122" s="4" t="str">
        <f>IFERROR(__XLUDF.DUMMYFUNCTION("PROPER(REGEXREPLACE(D527,""[^A-Za-z]+ "",""""))"),"Fxhash")</f>
        <v>Fxhash</v>
      </c>
      <c r="G4122" s="4" t="s">
        <v>29497</v>
      </c>
      <c r="H4122" s="4">
        <v>16</v>
      </c>
      <c r="I4122" s="4" t="s">
        <v>2602</v>
      </c>
      <c r="J4122" s="4" t="str">
        <f>IFERROR(__XLUDF.DUMMYFUNCTION("VLOOKUP(H527,IMPORTRANGE(""https://docs.google.com/spreadsheets/d/1opm6ZNvGZ7KditA9TuJwrZ25eFLfTNIkrNnY6mhV5Eg"",""list!A1:C115""),3,TRUE)"),"le secteur de la tech")</f>
        <v xml:space="preserve">le secteur de la tech</v>
      </c>
      <c r="K4122" s="5" t="s">
        <v>29498</v>
      </c>
      <c r="L4122" s="5" t="s">
        <v>29499</v>
      </c>
      <c r="M4122" s="4" t="s">
        <v>185</v>
      </c>
      <c r="N4122" s="4" t="s">
        <v>29</v>
      </c>
      <c r="O4122" s="4" t="s">
        <v>125</v>
      </c>
      <c r="P4122" s="4" t="s">
        <v>29</v>
      </c>
      <c r="Q4122" s="4" t="s">
        <v>29500</v>
      </c>
      <c r="R4122" s="6"/>
      <c r="S4122" s="6"/>
      <c r="T4122" s="6"/>
      <c r="U4122" s="6"/>
      <c r="V4122" s="6"/>
      <c r="W4122" s="6"/>
      <c r="X4122" s="6"/>
      <c r="Y4122" s="6"/>
      <c r="Z4122" s="6"/>
      <c r="AA4122" s="6"/>
    </row>
    <row r="4123" ht="14.25">
      <c r="B4123" s="4" t="s">
        <v>2516</v>
      </c>
      <c r="C4123" s="4" t="s">
        <v>29501</v>
      </c>
      <c r="D4123" s="4" t="s">
        <v>172</v>
      </c>
      <c r="E4123" s="4" t="s">
        <v>29502</v>
      </c>
      <c r="F4123" s="4" t="str">
        <f>IFERROR(__XLUDF.DUMMYFUNCTION("PROPER(REGEXREPLACE(D528,""[^A-Za-z]+ "",""""))"),"Torken Sas")</f>
        <v xml:space="preserve">Torken Sas</v>
      </c>
      <c r="G4123" s="4" t="s">
        <v>29503</v>
      </c>
      <c r="H4123" s="4">
        <v>9</v>
      </c>
      <c r="I4123" s="4" t="s">
        <v>2602</v>
      </c>
      <c r="J4123" s="4" t="str">
        <f>IFERROR(__XLUDF.DUMMYFUNCTION("VLOOKUP(H528,IMPORTRANGE(""https://docs.google.com/spreadsheets/d/1opm6ZNvGZ7KditA9TuJwrZ25eFLfTNIkrNnY6mhV5Eg"",""list!A1:C115""),3,TRUE)"),"le secteur de la tech")</f>
        <v xml:space="preserve">le secteur de la tech</v>
      </c>
      <c r="K4123" s="5" t="s">
        <v>29504</v>
      </c>
      <c r="L4123" s="5" t="s">
        <v>29505</v>
      </c>
      <c r="M4123" s="4" t="s">
        <v>39</v>
      </c>
      <c r="N4123" s="4" t="s">
        <v>29</v>
      </c>
      <c r="O4123" s="4" t="s">
        <v>21303</v>
      </c>
      <c r="P4123" s="4" t="s">
        <v>29</v>
      </c>
      <c r="Q4123" s="4" t="s">
        <v>29506</v>
      </c>
      <c r="R4123" s="6"/>
      <c r="S4123" s="6"/>
      <c r="T4123" s="6"/>
      <c r="U4123" s="6"/>
      <c r="V4123" s="6"/>
      <c r="W4123" s="6"/>
      <c r="X4123" s="6"/>
      <c r="Y4123" s="6"/>
      <c r="Z4123" s="6"/>
      <c r="AA4123" s="6"/>
    </row>
    <row r="4124" ht="14.25">
      <c r="B4124" s="4" t="s">
        <v>20</v>
      </c>
      <c r="C4124" s="4" t="s">
        <v>29507</v>
      </c>
      <c r="D4124" s="4" t="s">
        <v>2911</v>
      </c>
      <c r="E4124" s="4" t="s">
        <v>29508</v>
      </c>
      <c r="F4124" s="4" t="str">
        <f>IFERROR(__XLUDF.DUMMYFUNCTION("PROPER(REGEXREPLACE(D529,""[^A-Za-z]+ "",""""))"),"Kiosk")</f>
        <v>Kiosk</v>
      </c>
      <c r="G4124" s="4" t="s">
        <v>29509</v>
      </c>
      <c r="H4124" s="4">
        <v>16</v>
      </c>
      <c r="I4124" s="4" t="s">
        <v>2602</v>
      </c>
      <c r="J4124" s="4" t="str">
        <f>IFERROR(__XLUDF.DUMMYFUNCTION("VLOOKUP(H529,IMPORTRANGE(""https://docs.google.com/spreadsheets/d/1opm6ZNvGZ7KditA9TuJwrZ25eFLfTNIkrNnY6mhV5Eg"",""list!A1:C115""),3,TRUE)"),"le secteur de la tech")</f>
        <v xml:space="preserve">le secteur de la tech</v>
      </c>
      <c r="K4124" s="5" t="s">
        <v>29510</v>
      </c>
      <c r="L4124" s="5" t="s">
        <v>29511</v>
      </c>
      <c r="M4124" s="4" t="s">
        <v>39</v>
      </c>
      <c r="N4124" s="4" t="s">
        <v>29</v>
      </c>
      <c r="O4124" s="4" t="s">
        <v>67</v>
      </c>
      <c r="P4124" s="4" t="s">
        <v>29</v>
      </c>
      <c r="Q4124" s="4" t="s">
        <v>29512</v>
      </c>
      <c r="R4124" s="6"/>
      <c r="S4124" s="6"/>
      <c r="T4124" s="6"/>
      <c r="U4124" s="6"/>
      <c r="V4124" s="6"/>
      <c r="W4124" s="6"/>
      <c r="X4124" s="6"/>
      <c r="Y4124" s="6"/>
      <c r="Z4124" s="6"/>
      <c r="AA4124" s="6"/>
    </row>
    <row r="4125" ht="14.25">
      <c r="B4125" s="4" t="s">
        <v>29513</v>
      </c>
      <c r="C4125" s="4" t="s">
        <v>29514</v>
      </c>
      <c r="D4125" s="4" t="s">
        <v>688</v>
      </c>
      <c r="E4125" s="4" t="s">
        <v>29515</v>
      </c>
      <c r="F4125" s="4" t="str">
        <f>IFERROR(__XLUDF.DUMMYFUNCTION("PROPER(REGEXREPLACE(D530,""[^A-Za-z]+ "",""""))"),"Emendu")</f>
        <v>Emendu</v>
      </c>
      <c r="G4125" s="4" t="s">
        <v>29516</v>
      </c>
      <c r="H4125" s="4">
        <v>14</v>
      </c>
      <c r="I4125" s="4" t="s">
        <v>2602</v>
      </c>
      <c r="J4125" s="4" t="str">
        <f>IFERROR(__XLUDF.DUMMYFUNCTION("VLOOKUP(H530,IMPORTRANGE(""https://docs.google.com/spreadsheets/d/1opm6ZNvGZ7KditA9TuJwrZ25eFLfTNIkrNnY6mhV5Eg"",""list!A1:C115""),3,TRUE)"),"le secteur de la tech")</f>
        <v xml:space="preserve">le secteur de la tech</v>
      </c>
      <c r="K4125" s="5" t="s">
        <v>29517</v>
      </c>
      <c r="L4125" s="5" t="s">
        <v>29518</v>
      </c>
      <c r="M4125" s="4" t="s">
        <v>1150</v>
      </c>
      <c r="N4125" s="4" t="s">
        <v>29</v>
      </c>
      <c r="O4125" s="4" t="s">
        <v>29519</v>
      </c>
      <c r="P4125" s="4" t="s">
        <v>1152</v>
      </c>
      <c r="Q4125" s="4" t="s">
        <v>29520</v>
      </c>
      <c r="R4125" s="6"/>
      <c r="S4125" s="6"/>
      <c r="T4125" s="6"/>
      <c r="U4125" s="6"/>
      <c r="V4125" s="6"/>
      <c r="W4125" s="6"/>
      <c r="X4125" s="6"/>
      <c r="Y4125" s="6"/>
      <c r="Z4125" s="6"/>
      <c r="AA4125" s="6"/>
    </row>
    <row r="4126" ht="14.25">
      <c r="B4126" s="4" t="s">
        <v>118</v>
      </c>
      <c r="C4126" s="4" t="s">
        <v>29521</v>
      </c>
      <c r="D4126" s="4" t="s">
        <v>172</v>
      </c>
      <c r="E4126" s="4" t="s">
        <v>29522</v>
      </c>
      <c r="F4126" s="4" t="str">
        <f>IFERROR(__XLUDF.DUMMYFUNCTION("PROPER(REGEXREPLACE(D531,""[^A-Za-z]+ "",""""))"),"Salamandre Solutions Logicielles")</f>
        <v xml:space="preserve">Salamandre Solutions Logicielles</v>
      </c>
      <c r="G4126" s="4" t="s">
        <v>29523</v>
      </c>
      <c r="H4126" s="4">
        <v>17</v>
      </c>
      <c r="I4126" s="4" t="s">
        <v>2602</v>
      </c>
      <c r="J4126" s="4" t="str">
        <f>IFERROR(__XLUDF.DUMMYFUNCTION("VLOOKUP(H531,IMPORTRANGE(""https://docs.google.com/spreadsheets/d/1opm6ZNvGZ7KditA9TuJwrZ25eFLfTNIkrNnY6mhV5Eg"",""list!A1:C115""),3,TRUE)"),"le secteur de la tech")</f>
        <v xml:space="preserve">le secteur de la tech</v>
      </c>
      <c r="K4126" s="5" t="s">
        <v>29524</v>
      </c>
      <c r="L4126" s="5" t="s">
        <v>29525</v>
      </c>
      <c r="M4126" s="4" t="s">
        <v>83</v>
      </c>
      <c r="N4126" s="4" t="s">
        <v>29</v>
      </c>
      <c r="O4126" s="4" t="s">
        <v>29526</v>
      </c>
      <c r="P4126" s="4" t="s">
        <v>29</v>
      </c>
      <c r="Q4126" s="4" t="s">
        <v>29527</v>
      </c>
      <c r="R4126" s="6"/>
      <c r="S4126" s="6"/>
      <c r="T4126" s="6"/>
      <c r="U4126" s="6"/>
      <c r="V4126" s="6"/>
      <c r="W4126" s="6"/>
      <c r="X4126" s="6"/>
      <c r="Y4126" s="6"/>
      <c r="Z4126" s="6"/>
      <c r="AA4126" s="6"/>
    </row>
    <row r="4127" ht="14.25">
      <c r="B4127" s="4" t="s">
        <v>29528</v>
      </c>
      <c r="C4127" s="4" t="s">
        <v>25111</v>
      </c>
      <c r="D4127" s="4" t="s">
        <v>29529</v>
      </c>
      <c r="E4127" s="4" t="s">
        <v>29530</v>
      </c>
      <c r="F4127" s="4" t="str">
        <f>IFERROR(__XLUDF.DUMMYFUNCTION("PROPER(REGEXREPLACE(D532,""[^A-Za-z]+ "",""""))"),"Angle Labs")</f>
        <v xml:space="preserve">Angle Labs</v>
      </c>
      <c r="G4127" s="4" t="s">
        <v>29531</v>
      </c>
      <c r="H4127" s="4">
        <v>13</v>
      </c>
      <c r="I4127" s="4" t="s">
        <v>2602</v>
      </c>
      <c r="J4127" s="4" t="str">
        <f>IFERROR(__XLUDF.DUMMYFUNCTION("VLOOKUP(H532,IMPORTRANGE(""https://docs.google.com/spreadsheets/d/1opm6ZNvGZ7KditA9TuJwrZ25eFLfTNIkrNnY6mhV5Eg"",""list!A1:C115""),3,TRUE)"),"le secteur de la tech")</f>
        <v xml:space="preserve">le secteur de la tech</v>
      </c>
      <c r="K4127" s="5" t="s">
        <v>29532</v>
      </c>
      <c r="L4127" s="5" t="s">
        <v>29533</v>
      </c>
      <c r="M4127" s="4" t="s">
        <v>39</v>
      </c>
      <c r="N4127" s="4" t="s">
        <v>29</v>
      </c>
      <c r="O4127" s="4" t="s">
        <v>29534</v>
      </c>
      <c r="P4127" s="4" t="s">
        <v>1261</v>
      </c>
      <c r="Q4127" s="4" t="s">
        <v>29535</v>
      </c>
      <c r="R4127" s="6"/>
      <c r="S4127" s="6"/>
      <c r="T4127" s="6"/>
      <c r="U4127" s="6"/>
      <c r="V4127" s="6"/>
      <c r="W4127" s="6"/>
      <c r="X4127" s="6"/>
      <c r="Y4127" s="6"/>
      <c r="Z4127" s="6"/>
      <c r="AA4127" s="6"/>
    </row>
    <row r="4128" ht="14.25">
      <c r="B4128" s="4" t="s">
        <v>874</v>
      </c>
      <c r="C4128" s="4" t="s">
        <v>16624</v>
      </c>
      <c r="D4128" s="4" t="s">
        <v>29536</v>
      </c>
      <c r="E4128" s="4" t="s">
        <v>29537</v>
      </c>
      <c r="F4128" s="4" t="str">
        <f>IFERROR(__XLUDF.DUMMYFUNCTION("PROPER(REGEXREPLACE(D533,""[^A-Za-z]+ "",""""))"),"Deloren Consulting")</f>
        <v xml:space="preserve">Deloren Consulting</v>
      </c>
      <c r="G4128" s="4" t="s">
        <v>29538</v>
      </c>
      <c r="H4128" s="4">
        <v>11</v>
      </c>
      <c r="I4128" s="4" t="s">
        <v>2602</v>
      </c>
      <c r="J4128" s="4" t="str">
        <f>IFERROR(__XLUDF.DUMMYFUNCTION("VLOOKUP(H533,IMPORTRANGE(""https://docs.google.com/spreadsheets/d/1opm6ZNvGZ7KditA9TuJwrZ25eFLfTNIkrNnY6mhV5Eg"",""list!A1:C115""),3,TRUE)"),"le secteur de la tech")</f>
        <v xml:space="preserve">le secteur de la tech</v>
      </c>
      <c r="K4128" s="5" t="s">
        <v>29539</v>
      </c>
      <c r="L4128" s="5" t="s">
        <v>29540</v>
      </c>
      <c r="M4128" s="4" t="s">
        <v>39</v>
      </c>
      <c r="N4128" s="4" t="s">
        <v>29</v>
      </c>
      <c r="O4128" s="4" t="s">
        <v>29541</v>
      </c>
      <c r="P4128" s="4" t="s">
        <v>29</v>
      </c>
      <c r="Q4128" s="4" t="s">
        <v>29542</v>
      </c>
      <c r="R4128" s="6"/>
      <c r="S4128" s="6"/>
      <c r="T4128" s="6"/>
      <c r="U4128" s="6"/>
      <c r="V4128" s="6"/>
      <c r="W4128" s="6"/>
      <c r="X4128" s="6"/>
      <c r="Y4128" s="6"/>
      <c r="Z4128" s="6"/>
      <c r="AA4128" s="6"/>
    </row>
    <row r="4129" ht="14.25">
      <c r="B4129" s="4" t="s">
        <v>322</v>
      </c>
      <c r="C4129" s="4" t="s">
        <v>29543</v>
      </c>
      <c r="D4129" s="4" t="s">
        <v>18718</v>
      </c>
      <c r="E4129" s="4" t="s">
        <v>29544</v>
      </c>
      <c r="F4129" s="4" t="str">
        <f>IFERROR(__XLUDF.DUMMYFUNCTION("PROPER(REGEXREPLACE(D534,""[^A-Za-z]+ "",""""))"),"Amalthea Fs")</f>
        <v xml:space="preserve">Amalthea Fs</v>
      </c>
      <c r="G4129" s="4" t="s">
        <v>29545</v>
      </c>
      <c r="H4129" s="4">
        <v>9</v>
      </c>
      <c r="I4129" s="4" t="s">
        <v>2602</v>
      </c>
      <c r="J4129" s="4" t="str">
        <f>IFERROR(__XLUDF.DUMMYFUNCTION("VLOOKUP(H534,IMPORTRANGE(""https://docs.google.com/spreadsheets/d/1opm6ZNvGZ7KditA9TuJwrZ25eFLfTNIkrNnY6mhV5Eg"",""list!A1:C115""),3,TRUE)"),"le secteur de la tech")</f>
        <v xml:space="preserve">le secteur de la tech</v>
      </c>
      <c r="K4129" s="5" t="s">
        <v>29546</v>
      </c>
      <c r="L4129" s="5" t="s">
        <v>29547</v>
      </c>
      <c r="M4129" s="4" t="s">
        <v>39</v>
      </c>
      <c r="N4129" s="4" t="s">
        <v>29</v>
      </c>
      <c r="O4129" s="4" t="s">
        <v>29548</v>
      </c>
      <c r="P4129" s="4" t="s">
        <v>29</v>
      </c>
      <c r="Q4129" s="6"/>
      <c r="R4129" s="6"/>
      <c r="S4129" s="6"/>
      <c r="T4129" s="6"/>
      <c r="U4129" s="6"/>
      <c r="V4129" s="6"/>
      <c r="W4129" s="6"/>
      <c r="X4129" s="6"/>
      <c r="Y4129" s="6"/>
      <c r="Z4129" s="6"/>
      <c r="AA4129" s="6"/>
    </row>
    <row r="4130" ht="14.25">
      <c r="B4130" s="4" t="s">
        <v>110</v>
      </c>
      <c r="C4130" s="4" t="s">
        <v>29549</v>
      </c>
      <c r="D4130" s="4" t="s">
        <v>879</v>
      </c>
      <c r="E4130" s="4" t="s">
        <v>29550</v>
      </c>
      <c r="F4130" s="4" t="str">
        <f>IFERROR(__XLUDF.DUMMYFUNCTION("PROPER(REGEXREPLACE(D535,""[^A-Za-z]+ "",""""))"),"Optimarché")</f>
        <v>Optimarché</v>
      </c>
      <c r="G4130" s="4" t="s">
        <v>29551</v>
      </c>
      <c r="H4130" s="4">
        <v>11</v>
      </c>
      <c r="I4130" s="4" t="s">
        <v>2602</v>
      </c>
      <c r="J4130" s="4" t="str">
        <f>IFERROR(__XLUDF.DUMMYFUNCTION("VLOOKUP(H535,IMPORTRANGE(""https://docs.google.com/spreadsheets/d/1opm6ZNvGZ7KditA9TuJwrZ25eFLfTNIkrNnY6mhV5Eg"",""list!A1:C115""),3,TRUE)"),"le secteur de la tech")</f>
        <v xml:space="preserve">le secteur de la tech</v>
      </c>
      <c r="K4130" s="5" t="s">
        <v>29552</v>
      </c>
      <c r="L4130" s="5" t="s">
        <v>29553</v>
      </c>
      <c r="M4130" s="4" t="s">
        <v>1711</v>
      </c>
      <c r="N4130" s="4" t="s">
        <v>29</v>
      </c>
      <c r="O4130" s="4" t="s">
        <v>4883</v>
      </c>
      <c r="P4130" s="4" t="s">
        <v>29</v>
      </c>
      <c r="Q4130" s="4" t="s">
        <v>29554</v>
      </c>
      <c r="R4130" s="6"/>
      <c r="S4130" s="6"/>
      <c r="T4130" s="6"/>
      <c r="U4130" s="6"/>
      <c r="V4130" s="6"/>
      <c r="W4130" s="6"/>
      <c r="X4130" s="6"/>
      <c r="Y4130" s="6"/>
      <c r="Z4130" s="6"/>
      <c r="AA4130" s="6"/>
    </row>
    <row r="4131" ht="14.25">
      <c r="B4131" s="4" t="s">
        <v>2299</v>
      </c>
      <c r="C4131" s="4" t="s">
        <v>29555</v>
      </c>
      <c r="D4131" s="4" t="s">
        <v>62</v>
      </c>
      <c r="E4131" s="4" t="s">
        <v>18334</v>
      </c>
      <c r="F4131" s="4" t="str">
        <f>IFERROR(__XLUDF.DUMMYFUNCTION("PROPER(REGEXREPLACE(D536,""[^A-Za-z]+ "",""""))"),"Bonx")</f>
        <v>Bonx</v>
      </c>
      <c r="G4131" s="4" t="s">
        <v>29556</v>
      </c>
      <c r="H4131" s="4">
        <v>23</v>
      </c>
      <c r="I4131" s="4" t="s">
        <v>2602</v>
      </c>
      <c r="J4131" s="4" t="str">
        <f>IFERROR(__XLUDF.DUMMYFUNCTION("VLOOKUP(H536,IMPORTRANGE(""https://docs.google.com/spreadsheets/d/1opm6ZNvGZ7KditA9TuJwrZ25eFLfTNIkrNnY6mhV5Eg"",""list!A1:C115""),3,TRUE)"),"le secteur de la tech")</f>
        <v xml:space="preserve">le secteur de la tech</v>
      </c>
      <c r="K4131" s="5" t="s">
        <v>29557</v>
      </c>
      <c r="L4131" s="5" t="s">
        <v>18337</v>
      </c>
      <c r="M4131" s="6"/>
      <c r="N4131" s="4" t="s">
        <v>29</v>
      </c>
      <c r="O4131" s="4" t="s">
        <v>346</v>
      </c>
      <c r="P4131" s="4" t="s">
        <v>29</v>
      </c>
      <c r="Q4131" s="4" t="s">
        <v>18338</v>
      </c>
      <c r="R4131" s="6"/>
      <c r="S4131" s="6"/>
      <c r="T4131" s="6"/>
      <c r="U4131" s="6"/>
      <c r="V4131" s="6"/>
      <c r="W4131" s="6"/>
      <c r="X4131" s="6"/>
      <c r="Y4131" s="6"/>
      <c r="Z4131" s="6"/>
      <c r="AA4131" s="6"/>
    </row>
    <row r="4132" ht="14.25">
      <c r="B4132" s="4" t="s">
        <v>29558</v>
      </c>
      <c r="C4132" s="4" t="s">
        <v>29559</v>
      </c>
      <c r="D4132" s="4" t="s">
        <v>29560</v>
      </c>
      <c r="E4132" s="4" t="s">
        <v>29561</v>
      </c>
      <c r="F4132" s="4" t="str">
        <f>IFERROR(__XLUDF.DUMMYFUNCTION("PROPER(REGEXREPLACE(D537,""[^A-Za-z]+ "",""""))"),"It Bubbly")</f>
        <v xml:space="preserve">It Bubbly</v>
      </c>
      <c r="G4132" s="4" t="s">
        <v>29562</v>
      </c>
      <c r="H4132" s="4">
        <v>13</v>
      </c>
      <c r="I4132" s="4" t="s">
        <v>2602</v>
      </c>
      <c r="J4132" s="4" t="str">
        <f>IFERROR(__XLUDF.DUMMYFUNCTION("VLOOKUP(H537,IMPORTRANGE(""https://docs.google.com/spreadsheets/d/1opm6ZNvGZ7KditA9TuJwrZ25eFLfTNIkrNnY6mhV5Eg"",""list!A1:C115""),3,TRUE)"),"le secteur de la tech")</f>
        <v xml:space="preserve">le secteur de la tech</v>
      </c>
      <c r="K4132" s="5" t="s">
        <v>29563</v>
      </c>
      <c r="L4132" s="5" t="s">
        <v>29564</v>
      </c>
      <c r="M4132" s="4" t="s">
        <v>1826</v>
      </c>
      <c r="N4132" s="4" t="s">
        <v>29</v>
      </c>
      <c r="O4132" s="4" t="s">
        <v>29565</v>
      </c>
      <c r="P4132" s="4" t="s">
        <v>29</v>
      </c>
      <c r="Q4132" s="6"/>
      <c r="R4132" s="6"/>
      <c r="S4132" s="6"/>
      <c r="T4132" s="6"/>
      <c r="U4132" s="6"/>
      <c r="V4132" s="6"/>
      <c r="W4132" s="6"/>
      <c r="X4132" s="6"/>
      <c r="Y4132" s="6"/>
      <c r="Z4132" s="6"/>
      <c r="AA4132" s="6"/>
    </row>
    <row r="4133" ht="14.25">
      <c r="B4133" s="4" t="s">
        <v>2299</v>
      </c>
      <c r="C4133" s="4" t="s">
        <v>29566</v>
      </c>
      <c r="D4133" s="4" t="s">
        <v>29567</v>
      </c>
      <c r="E4133" s="4" t="s">
        <v>29568</v>
      </c>
      <c r="F4133" s="4" t="str">
        <f>IFERROR(__XLUDF.DUMMYFUNCTION("PROPER(REGEXREPLACE(D538,""[^A-Za-z]+ "",""""))"),"Redsol")</f>
        <v>Redsol</v>
      </c>
      <c r="G4133" s="4" t="s">
        <v>29569</v>
      </c>
      <c r="H4133" s="4">
        <v>10</v>
      </c>
      <c r="I4133" s="4" t="s">
        <v>2602</v>
      </c>
      <c r="J4133" s="4" t="str">
        <f>IFERROR(__XLUDF.DUMMYFUNCTION("VLOOKUP(H538,IMPORTRANGE(""https://docs.google.com/spreadsheets/d/1opm6ZNvGZ7KditA9TuJwrZ25eFLfTNIkrNnY6mhV5Eg"",""list!A1:C115""),3,TRUE)"),"le secteur de la tech")</f>
        <v xml:space="preserve">le secteur de la tech</v>
      </c>
      <c r="K4133" s="5" t="s">
        <v>29570</v>
      </c>
      <c r="L4133" s="5" t="s">
        <v>29571</v>
      </c>
      <c r="M4133" s="4" t="s">
        <v>29572</v>
      </c>
      <c r="N4133" s="4" t="s">
        <v>29</v>
      </c>
      <c r="O4133" s="4" t="s">
        <v>29573</v>
      </c>
      <c r="P4133" s="4" t="s">
        <v>29</v>
      </c>
      <c r="Q4133" s="4" t="s">
        <v>29574</v>
      </c>
      <c r="R4133" s="6"/>
      <c r="S4133" s="6"/>
      <c r="T4133" s="6"/>
      <c r="U4133" s="6"/>
      <c r="V4133" s="6"/>
      <c r="W4133" s="6"/>
      <c r="X4133" s="6"/>
      <c r="Y4133" s="6"/>
      <c r="Z4133" s="6"/>
      <c r="AA4133" s="6"/>
    </row>
    <row r="4134" ht="14.25">
      <c r="B4134" s="4" t="s">
        <v>5891</v>
      </c>
      <c r="C4134" s="4" t="s">
        <v>29575</v>
      </c>
      <c r="D4134" s="4" t="s">
        <v>468</v>
      </c>
      <c r="E4134" s="4" t="s">
        <v>29576</v>
      </c>
      <c r="F4134" s="4" t="str">
        <f>IFERROR(__XLUDF.DUMMYFUNCTION("PROPER(REGEXREPLACE(D539,""[^A-Za-z]+ "",""""))"),"Pixys")</f>
        <v>Pixys</v>
      </c>
      <c r="G4134" s="4" t="s">
        <v>29577</v>
      </c>
      <c r="H4134" s="4">
        <v>10</v>
      </c>
      <c r="I4134" s="4" t="s">
        <v>2602</v>
      </c>
      <c r="J4134" s="4" t="str">
        <f>IFERROR(__XLUDF.DUMMYFUNCTION("VLOOKUP(H539,IMPORTRANGE(""https://docs.google.com/spreadsheets/d/1opm6ZNvGZ7KditA9TuJwrZ25eFLfTNIkrNnY6mhV5Eg"",""list!A1:C115""),3,TRUE)"),"le secteur de la tech")</f>
        <v xml:space="preserve">le secteur de la tech</v>
      </c>
      <c r="K4134" s="5" t="s">
        <v>29578</v>
      </c>
      <c r="L4134" s="5" t="s">
        <v>29579</v>
      </c>
      <c r="M4134" s="4" t="s">
        <v>1446</v>
      </c>
      <c r="N4134" s="4" t="s">
        <v>29</v>
      </c>
      <c r="O4134" s="4" t="s">
        <v>29580</v>
      </c>
      <c r="P4134" s="4" t="s">
        <v>29</v>
      </c>
      <c r="Q4134" s="4" t="s">
        <v>29581</v>
      </c>
      <c r="R4134" s="6"/>
      <c r="S4134" s="6"/>
      <c r="T4134" s="6"/>
      <c r="U4134" s="6"/>
      <c r="V4134" s="6"/>
      <c r="W4134" s="6"/>
      <c r="X4134" s="6"/>
      <c r="Y4134" s="6"/>
      <c r="Z4134" s="6"/>
      <c r="AA4134" s="6"/>
    </row>
    <row r="4135" ht="14.25">
      <c r="B4135" s="4" t="s">
        <v>485</v>
      </c>
      <c r="C4135" s="4" t="s">
        <v>17663</v>
      </c>
      <c r="D4135" s="4" t="s">
        <v>172</v>
      </c>
      <c r="E4135" s="4" t="s">
        <v>29582</v>
      </c>
      <c r="F4135" s="4" t="str">
        <f>IFERROR(__XLUDF.DUMMYFUNCTION("PROPER(REGEXREPLACE(D540,""[^A-Za-z]+ "",""""))"),"Trivec France")</f>
        <v xml:space="preserve">Trivec France</v>
      </c>
      <c r="G4135" s="4" t="s">
        <v>29583</v>
      </c>
      <c r="H4135" s="4">
        <v>11</v>
      </c>
      <c r="I4135" s="4" t="s">
        <v>2602</v>
      </c>
      <c r="J4135" s="4" t="str">
        <f>IFERROR(__XLUDF.DUMMYFUNCTION("VLOOKUP(H540,IMPORTRANGE(""https://docs.google.com/spreadsheets/d/1opm6ZNvGZ7KditA9TuJwrZ25eFLfTNIkrNnY6mhV5Eg"",""list!A1:C115""),3,TRUE)"),"le secteur de la tech")</f>
        <v xml:space="preserve">le secteur de la tech</v>
      </c>
      <c r="K4135" s="5" t="s">
        <v>29584</v>
      </c>
      <c r="L4135" s="5" t="s">
        <v>29585</v>
      </c>
      <c r="M4135" s="4" t="s">
        <v>243</v>
      </c>
      <c r="N4135" s="4" t="s">
        <v>29</v>
      </c>
      <c r="O4135" s="4" t="s">
        <v>29586</v>
      </c>
      <c r="P4135" s="4" t="s">
        <v>29</v>
      </c>
      <c r="Q4135" s="4" t="s">
        <v>29587</v>
      </c>
      <c r="R4135" s="6"/>
      <c r="S4135" s="6"/>
      <c r="T4135" s="6"/>
      <c r="U4135" s="6"/>
      <c r="V4135" s="6"/>
      <c r="W4135" s="6"/>
      <c r="X4135" s="6"/>
      <c r="Y4135" s="6"/>
      <c r="Z4135" s="6"/>
      <c r="AA4135" s="6"/>
    </row>
    <row r="4136" ht="14.25">
      <c r="B4136" s="4" t="s">
        <v>769</v>
      </c>
      <c r="C4136" s="4" t="s">
        <v>29588</v>
      </c>
      <c r="D4136" s="4" t="s">
        <v>230</v>
      </c>
      <c r="E4136" s="4" t="s">
        <v>29589</v>
      </c>
      <c r="F4136" s="4" t="str">
        <f>IFERROR(__XLUDF.DUMMYFUNCTION("PROPER(REGEXREPLACE(D541,""[^A-Za-z]+ "",""""))"),"Atout Ports")</f>
        <v xml:space="preserve">Atout Ports</v>
      </c>
      <c r="G4136" s="4" t="s">
        <v>29590</v>
      </c>
      <c r="H4136" s="4">
        <v>20</v>
      </c>
      <c r="I4136" s="4" t="s">
        <v>2602</v>
      </c>
      <c r="J4136" s="4" t="str">
        <f>IFERROR(__XLUDF.DUMMYFUNCTION("VLOOKUP(H541,IMPORTRANGE(""https://docs.google.com/spreadsheets/d/1opm6ZNvGZ7KditA9TuJwrZ25eFLfTNIkrNnY6mhV5Eg"",""list!A1:C115""),3,TRUE)"),"le secteur de la tech")</f>
        <v xml:space="preserve">le secteur de la tech</v>
      </c>
      <c r="K4136" s="5" t="s">
        <v>29591</v>
      </c>
      <c r="L4136" s="5" t="s">
        <v>29592</v>
      </c>
      <c r="M4136" s="4" t="s">
        <v>731</v>
      </c>
      <c r="N4136" s="4" t="s">
        <v>29</v>
      </c>
      <c r="O4136" s="4" t="s">
        <v>29593</v>
      </c>
      <c r="P4136" s="4" t="s">
        <v>29</v>
      </c>
      <c r="Q4136" s="6"/>
      <c r="R4136" s="6"/>
      <c r="S4136" s="6"/>
      <c r="T4136" s="6"/>
      <c r="U4136" s="6"/>
      <c r="V4136" s="6"/>
      <c r="W4136" s="6"/>
      <c r="X4136" s="6"/>
      <c r="Y4136" s="6"/>
      <c r="Z4136" s="6"/>
      <c r="AA4136" s="6"/>
    </row>
    <row r="4137" ht="14.25">
      <c r="B4137" s="4" t="s">
        <v>18299</v>
      </c>
      <c r="C4137" s="4" t="s">
        <v>29594</v>
      </c>
      <c r="D4137" s="4" t="s">
        <v>62</v>
      </c>
      <c r="E4137" s="4" t="s">
        <v>29595</v>
      </c>
      <c r="F4137" s="4" t="str">
        <f>IFERROR(__XLUDF.DUMMYFUNCTION("PROPER(REGEXREPLACE(D542,""[^A-Za-z]+ "",""""))"),"Jaldi")</f>
        <v>Jaldi</v>
      </c>
      <c r="G4137" s="4" t="s">
        <v>29596</v>
      </c>
      <c r="H4137" s="4">
        <v>20</v>
      </c>
      <c r="I4137" s="4" t="s">
        <v>2602</v>
      </c>
      <c r="J4137" s="4" t="str">
        <f>IFERROR(__XLUDF.DUMMYFUNCTION("VLOOKUP(H542,IMPORTRANGE(""https://docs.google.com/spreadsheets/d/1opm6ZNvGZ7KditA9TuJwrZ25eFLfTNIkrNnY6mhV5Eg"",""list!A1:C115""),3,TRUE)"),"le secteur de la tech")</f>
        <v xml:space="preserve">le secteur de la tech</v>
      </c>
      <c r="K4137" s="5" t="s">
        <v>29597</v>
      </c>
      <c r="L4137" s="5" t="s">
        <v>29598</v>
      </c>
      <c r="M4137" s="4" t="s">
        <v>243</v>
      </c>
      <c r="N4137" s="4" t="s">
        <v>29</v>
      </c>
      <c r="O4137" s="4" t="s">
        <v>6165</v>
      </c>
      <c r="P4137" s="4" t="s">
        <v>6166</v>
      </c>
      <c r="Q4137" s="6"/>
      <c r="R4137" s="6"/>
      <c r="S4137" s="6"/>
      <c r="T4137" s="6"/>
      <c r="U4137" s="6"/>
      <c r="V4137" s="6"/>
      <c r="W4137" s="6"/>
      <c r="X4137" s="6"/>
      <c r="Y4137" s="6"/>
      <c r="Z4137" s="6"/>
      <c r="AA4137" s="6"/>
    </row>
    <row r="4138" ht="14.25">
      <c r="B4138" s="4" t="s">
        <v>3967</v>
      </c>
      <c r="C4138" s="4" t="s">
        <v>29599</v>
      </c>
      <c r="D4138" s="4" t="s">
        <v>172</v>
      </c>
      <c r="E4138" s="4" t="s">
        <v>29600</v>
      </c>
      <c r="F4138" s="4" t="str">
        <f>IFERROR(__XLUDF.DUMMYFUNCTION("PROPER(REGEXREPLACE(D543,""[^A-Za-z]+ "",""""))"),"Maxxing Company")</f>
        <v xml:space="preserve">Maxxing Company</v>
      </c>
      <c r="G4138" s="4" t="s">
        <v>29601</v>
      </c>
      <c r="H4138" s="4">
        <v>40</v>
      </c>
      <c r="I4138" s="4" t="s">
        <v>2602</v>
      </c>
      <c r="J4138" s="4" t="str">
        <f>IFERROR(__XLUDF.DUMMYFUNCTION("VLOOKUP(H543,IMPORTRANGE(""https://docs.google.com/spreadsheets/d/1opm6ZNvGZ7KditA9TuJwrZ25eFLfTNIkrNnY6mhV5Eg"",""list!A1:C115""),3,TRUE)"),"le secteur de la tech")</f>
        <v xml:space="preserve">le secteur de la tech</v>
      </c>
      <c r="K4138" s="5" t="s">
        <v>29602</v>
      </c>
      <c r="L4138" s="5" t="s">
        <v>29603</v>
      </c>
      <c r="M4138" s="4" t="s">
        <v>39</v>
      </c>
      <c r="N4138" s="4" t="s">
        <v>29</v>
      </c>
      <c r="O4138" s="4" t="s">
        <v>361</v>
      </c>
      <c r="P4138" s="4" t="s">
        <v>29</v>
      </c>
      <c r="Q4138" s="4" t="s">
        <v>29604</v>
      </c>
      <c r="R4138" s="6"/>
      <c r="S4138" s="6"/>
      <c r="T4138" s="6"/>
      <c r="U4138" s="6"/>
      <c r="V4138" s="6"/>
      <c r="W4138" s="6"/>
      <c r="X4138" s="6"/>
      <c r="Y4138" s="6"/>
      <c r="Z4138" s="6"/>
      <c r="AA4138" s="6"/>
    </row>
    <row r="4139" ht="14.25">
      <c r="B4139" s="4" t="s">
        <v>95</v>
      </c>
      <c r="C4139" s="4" t="s">
        <v>29605</v>
      </c>
      <c r="D4139" s="4" t="s">
        <v>29606</v>
      </c>
      <c r="E4139" s="4" t="s">
        <v>29607</v>
      </c>
      <c r="F4139" s="4" t="str">
        <f>IFERROR(__XLUDF.DUMMYFUNCTION("PROPER(REGEXREPLACE(D544,""[^A-Za-z]+ "",""""))"),"Data4Job")</f>
        <v>Data4Job</v>
      </c>
      <c r="G4139" s="4" t="s">
        <v>29608</v>
      </c>
      <c r="H4139" s="4">
        <v>11</v>
      </c>
      <c r="I4139" s="4" t="s">
        <v>2602</v>
      </c>
      <c r="J4139" s="4" t="str">
        <f>IFERROR(__XLUDF.DUMMYFUNCTION("VLOOKUP(H544,IMPORTRANGE(""https://docs.google.com/spreadsheets/d/1opm6ZNvGZ7KditA9TuJwrZ25eFLfTNIkrNnY6mhV5Eg"",""list!A1:C115""),3,TRUE)"),"le secteur de la tech")</f>
        <v xml:space="preserve">le secteur de la tech</v>
      </c>
      <c r="K4139" s="5" t="s">
        <v>29609</v>
      </c>
      <c r="L4139" s="5" t="s">
        <v>29610</v>
      </c>
      <c r="M4139" s="4" t="s">
        <v>1446</v>
      </c>
      <c r="N4139" s="4" t="s">
        <v>29</v>
      </c>
      <c r="O4139" s="4" t="s">
        <v>29611</v>
      </c>
      <c r="P4139" s="4" t="s">
        <v>29</v>
      </c>
      <c r="Q4139" s="4" t="s">
        <v>29612</v>
      </c>
      <c r="R4139" s="6"/>
      <c r="S4139" s="6"/>
      <c r="T4139" s="6"/>
      <c r="U4139" s="6"/>
      <c r="V4139" s="6"/>
      <c r="W4139" s="6"/>
      <c r="X4139" s="6"/>
      <c r="Y4139" s="6"/>
      <c r="Z4139" s="6"/>
      <c r="AA4139" s="6"/>
    </row>
    <row r="4140" ht="14.25">
      <c r="B4140" s="4" t="s">
        <v>330</v>
      </c>
      <c r="C4140" s="4" t="s">
        <v>29613</v>
      </c>
      <c r="D4140" s="4" t="s">
        <v>29614</v>
      </c>
      <c r="E4140" s="4" t="s">
        <v>29615</v>
      </c>
      <c r="F4140" s="4" t="str">
        <f>IFERROR(__XLUDF.DUMMYFUNCTION("PROPER(REGEXREPLACE(D545,""[^A-Za-z]+ "",""""))"),"Ripple Motion")</f>
        <v xml:space="preserve">Ripple Motion</v>
      </c>
      <c r="G4140" s="4" t="s">
        <v>29616</v>
      </c>
      <c r="H4140" s="4">
        <v>14</v>
      </c>
      <c r="I4140" s="4" t="s">
        <v>2602</v>
      </c>
      <c r="J4140" s="4" t="str">
        <f>IFERROR(__XLUDF.DUMMYFUNCTION("VLOOKUP(H545,IMPORTRANGE(""https://docs.google.com/spreadsheets/d/1opm6ZNvGZ7KditA9TuJwrZ25eFLfTNIkrNnY6mhV5Eg"",""list!A1:C115""),3,TRUE)"),"le secteur de la tech")</f>
        <v xml:space="preserve">le secteur de la tech</v>
      </c>
      <c r="K4140" s="5" t="s">
        <v>29617</v>
      </c>
      <c r="L4140" s="5" t="s">
        <v>29618</v>
      </c>
      <c r="M4140" s="4" t="s">
        <v>1711</v>
      </c>
      <c r="N4140" s="4" t="s">
        <v>29</v>
      </c>
      <c r="O4140" s="4" t="s">
        <v>29619</v>
      </c>
      <c r="P4140" s="4" t="s">
        <v>29</v>
      </c>
      <c r="Q4140" s="4" t="s">
        <v>29620</v>
      </c>
      <c r="R4140" s="6"/>
      <c r="S4140" s="6"/>
      <c r="T4140" s="6"/>
      <c r="U4140" s="6"/>
      <c r="V4140" s="6"/>
      <c r="W4140" s="6"/>
      <c r="X4140" s="6"/>
      <c r="Y4140" s="6"/>
      <c r="Z4140" s="6"/>
      <c r="AA4140" s="6"/>
    </row>
    <row r="4141" ht="14.25">
      <c r="B4141" s="4" t="s">
        <v>28089</v>
      </c>
      <c r="C4141" s="4" t="s">
        <v>1239</v>
      </c>
      <c r="D4141" s="4" t="s">
        <v>87</v>
      </c>
      <c r="E4141" s="4" t="s">
        <v>29621</v>
      </c>
      <c r="F4141" s="4" t="str">
        <f>IFERROR(__XLUDF.DUMMYFUNCTION("PROPER(REGEXREPLACE(D546,""[^A-Za-z]+ "",""""))"),"Pixel Iq")</f>
        <v xml:space="preserve">Pixel Iq</v>
      </c>
      <c r="G4141" s="4" t="s">
        <v>29622</v>
      </c>
      <c r="H4141" s="4">
        <v>32</v>
      </c>
      <c r="I4141" s="4" t="s">
        <v>2602</v>
      </c>
      <c r="J4141" s="4" t="str">
        <f>IFERROR(__XLUDF.DUMMYFUNCTION("VLOOKUP(H546,IMPORTRANGE(""https://docs.google.com/spreadsheets/d/1opm6ZNvGZ7KditA9TuJwrZ25eFLfTNIkrNnY6mhV5Eg"",""list!A1:C115""),3,TRUE)"),"le secteur de la tech")</f>
        <v xml:space="preserve">le secteur de la tech</v>
      </c>
      <c r="K4141" s="5" t="s">
        <v>29623</v>
      </c>
      <c r="L4141" s="5" t="s">
        <v>29624</v>
      </c>
      <c r="M4141" s="4" t="s">
        <v>39</v>
      </c>
      <c r="N4141" s="4" t="s">
        <v>29</v>
      </c>
      <c r="O4141" s="4" t="s">
        <v>29625</v>
      </c>
      <c r="P4141" s="4" t="s">
        <v>29</v>
      </c>
      <c r="Q4141" s="4" t="s">
        <v>29626</v>
      </c>
      <c r="R4141" s="6"/>
      <c r="S4141" s="6"/>
      <c r="T4141" s="6"/>
      <c r="U4141" s="6"/>
      <c r="V4141" s="6"/>
      <c r="W4141" s="6"/>
      <c r="X4141" s="6"/>
      <c r="Y4141" s="6"/>
      <c r="Z4141" s="6"/>
      <c r="AA4141" s="6"/>
    </row>
    <row r="4142" ht="14.25">
      <c r="B4142" s="4" t="s">
        <v>5122</v>
      </c>
      <c r="C4142" s="4" t="s">
        <v>29627</v>
      </c>
      <c r="D4142" s="4" t="s">
        <v>29628</v>
      </c>
      <c r="E4142" s="4" t="s">
        <v>29629</v>
      </c>
      <c r="F4142" s="4" t="str">
        <f>IFERROR(__XLUDF.DUMMYFUNCTION("PROPER(REGEXREPLACE(D547,""[^A-Za-z]+ "",""""))"),"Booksy France")</f>
        <v xml:space="preserve">Booksy France</v>
      </c>
      <c r="G4142" s="4" t="s">
        <v>29630</v>
      </c>
      <c r="H4142" s="4">
        <v>38</v>
      </c>
      <c r="I4142" s="4" t="s">
        <v>2602</v>
      </c>
      <c r="J4142" s="4" t="str">
        <f>IFERROR(__XLUDF.DUMMYFUNCTION("VLOOKUP(H547,IMPORTRANGE(""https://docs.google.com/spreadsheets/d/1opm6ZNvGZ7KditA9TuJwrZ25eFLfTNIkrNnY6mhV5Eg"",""list!A1:C115""),3,TRUE)"),"le secteur de la tech")</f>
        <v xml:space="preserve">le secteur de la tech</v>
      </c>
      <c r="K4142" s="5" t="s">
        <v>29631</v>
      </c>
      <c r="L4142" s="5" t="s">
        <v>29632</v>
      </c>
      <c r="M4142" s="6"/>
      <c r="N4142" s="4" t="s">
        <v>29</v>
      </c>
      <c r="O4142" s="4" t="s">
        <v>29633</v>
      </c>
      <c r="P4142" s="4" t="s">
        <v>29</v>
      </c>
      <c r="Q4142" s="6"/>
      <c r="R4142" s="6"/>
      <c r="S4142" s="6"/>
      <c r="T4142" s="6"/>
      <c r="U4142" s="6"/>
      <c r="V4142" s="6"/>
      <c r="W4142" s="6"/>
      <c r="X4142" s="6"/>
      <c r="Y4142" s="6"/>
      <c r="Z4142" s="6"/>
      <c r="AA4142" s="6"/>
    </row>
    <row r="4143" ht="14.25">
      <c r="B4143" s="4" t="s">
        <v>19214</v>
      </c>
      <c r="C4143" s="4" t="s">
        <v>29634</v>
      </c>
      <c r="D4143" s="4" t="s">
        <v>29635</v>
      </c>
      <c r="E4143" s="4" t="s">
        <v>29636</v>
      </c>
      <c r="F4143" s="4" t="str">
        <f>IFERROR(__XLUDF.DUMMYFUNCTION("PROPER(REGEXREPLACE(D548,""[^A-Za-z]+ "",""""))"),"Projectforce")</f>
        <v>Projectforce</v>
      </c>
      <c r="G4143" s="4" t="s">
        <v>29637</v>
      </c>
      <c r="H4143" s="4">
        <v>21</v>
      </c>
      <c r="I4143" s="4" t="s">
        <v>2602</v>
      </c>
      <c r="J4143" s="4" t="str">
        <f>IFERROR(__XLUDF.DUMMYFUNCTION("VLOOKUP(H548,IMPORTRANGE(""https://docs.google.com/spreadsheets/d/1opm6ZNvGZ7KditA9TuJwrZ25eFLfTNIkrNnY6mhV5Eg"",""list!A1:C115""),3,TRUE)"),"le secteur de la tech")</f>
        <v xml:space="preserve">le secteur de la tech</v>
      </c>
      <c r="K4143" s="5" t="s">
        <v>29638</v>
      </c>
      <c r="L4143" s="5" t="s">
        <v>29639</v>
      </c>
      <c r="M4143" s="4" t="s">
        <v>39</v>
      </c>
      <c r="N4143" s="4" t="s">
        <v>29</v>
      </c>
      <c r="O4143" s="4" t="s">
        <v>29640</v>
      </c>
      <c r="P4143" s="4" t="s">
        <v>20954</v>
      </c>
      <c r="Q4143" s="4" t="s">
        <v>29641</v>
      </c>
      <c r="R4143" s="6"/>
      <c r="S4143" s="6"/>
      <c r="T4143" s="6"/>
      <c r="U4143" s="6"/>
      <c r="V4143" s="6"/>
      <c r="W4143" s="6"/>
      <c r="X4143" s="6"/>
      <c r="Y4143" s="6"/>
      <c r="Z4143" s="6"/>
      <c r="AA4143" s="6"/>
    </row>
    <row r="4144" ht="14.25">
      <c r="B4144" s="4" t="s">
        <v>15981</v>
      </c>
      <c r="C4144" s="4" t="s">
        <v>29642</v>
      </c>
      <c r="D4144" s="4" t="s">
        <v>44</v>
      </c>
      <c r="E4144" s="4" t="s">
        <v>29643</v>
      </c>
      <c r="F4144" s="4" t="str">
        <f>IFERROR(__XLUDF.DUMMYFUNCTION("PROPER(REGEXREPLACE(D549,""[^A-Za-z]+ "",""""))"),"Aventique")</f>
        <v>Aventique</v>
      </c>
      <c r="G4144" s="4" t="s">
        <v>29644</v>
      </c>
      <c r="H4144" s="4">
        <v>21</v>
      </c>
      <c r="I4144" s="4" t="s">
        <v>2602</v>
      </c>
      <c r="J4144" s="4" t="str">
        <f>IFERROR(__XLUDF.DUMMYFUNCTION("VLOOKUP(H549,IMPORTRANGE(""https://docs.google.com/spreadsheets/d/1opm6ZNvGZ7KditA9TuJwrZ25eFLfTNIkrNnY6mhV5Eg"",""list!A1:C115""),3,TRUE)"),"le secteur de la tech")</f>
        <v xml:space="preserve">le secteur de la tech</v>
      </c>
      <c r="K4144" s="5" t="s">
        <v>29645</v>
      </c>
      <c r="L4144" s="5" t="s">
        <v>29646</v>
      </c>
      <c r="M4144" s="4" t="s">
        <v>17149</v>
      </c>
      <c r="N4144" s="4" t="s">
        <v>29</v>
      </c>
      <c r="O4144" s="4" t="s">
        <v>29647</v>
      </c>
      <c r="P4144" s="4" t="s">
        <v>29</v>
      </c>
      <c r="Q4144" s="4" t="s">
        <v>29648</v>
      </c>
      <c r="R4144" s="6"/>
      <c r="S4144" s="6"/>
      <c r="T4144" s="6"/>
      <c r="U4144" s="6"/>
      <c r="V4144" s="6"/>
      <c r="W4144" s="6"/>
      <c r="X4144" s="6"/>
      <c r="Y4144" s="6"/>
      <c r="Z4144" s="6"/>
      <c r="AA4144" s="6"/>
    </row>
    <row r="4145" ht="14.25">
      <c r="B4145" s="4" t="s">
        <v>2643</v>
      </c>
      <c r="C4145" s="4" t="s">
        <v>4843</v>
      </c>
      <c r="D4145" s="4" t="s">
        <v>29649</v>
      </c>
      <c r="E4145" s="4" t="s">
        <v>29650</v>
      </c>
      <c r="F4145" s="4" t="str">
        <f>IFERROR(__XLUDF.DUMMYFUNCTION("PROPER(REGEXREPLACE(D550,""[^A-Za-z]+ "",""""))"),"Hexadone")</f>
        <v>Hexadone</v>
      </c>
      <c r="G4145" s="4" t="s">
        <v>29651</v>
      </c>
      <c r="H4145" s="4">
        <v>15</v>
      </c>
      <c r="I4145" s="4" t="s">
        <v>2602</v>
      </c>
      <c r="J4145" s="4" t="str">
        <f>IFERROR(__XLUDF.DUMMYFUNCTION("VLOOKUP(H550,IMPORTRANGE(""https://docs.google.com/spreadsheets/d/1opm6ZNvGZ7KditA9TuJwrZ25eFLfTNIkrNnY6mhV5Eg"",""list!A1:C115""),3,TRUE)"),"le secteur de la tech")</f>
        <v xml:space="preserve">le secteur de la tech</v>
      </c>
      <c r="K4145" s="5" t="s">
        <v>29652</v>
      </c>
      <c r="L4145" s="5" t="s">
        <v>29653</v>
      </c>
      <c r="M4145" s="4" t="s">
        <v>39</v>
      </c>
      <c r="N4145" s="4" t="s">
        <v>29</v>
      </c>
      <c r="O4145" s="4" t="s">
        <v>29654</v>
      </c>
      <c r="P4145" s="4" t="s">
        <v>29</v>
      </c>
      <c r="Q4145" s="4" t="s">
        <v>29655</v>
      </c>
      <c r="R4145" s="6"/>
      <c r="S4145" s="6"/>
      <c r="T4145" s="6"/>
      <c r="U4145" s="6"/>
      <c r="V4145" s="6"/>
      <c r="W4145" s="6"/>
      <c r="X4145" s="6"/>
      <c r="Y4145" s="6"/>
      <c r="Z4145" s="6"/>
      <c r="AA4145" s="6"/>
    </row>
    <row r="4146" ht="14.25">
      <c r="B4146" s="4" t="s">
        <v>1571</v>
      </c>
      <c r="C4146" s="4" t="s">
        <v>29656</v>
      </c>
      <c r="D4146" s="4" t="s">
        <v>164</v>
      </c>
      <c r="E4146" s="4" t="s">
        <v>29657</v>
      </c>
      <c r="F4146" s="4" t="str">
        <f>IFERROR(__XLUDF.DUMMYFUNCTION("PROPER(REGEXREPLACE(D551,""[^A-Za-z]+ "",""""))"),"Provexi")</f>
        <v>Provexi</v>
      </c>
      <c r="G4146" s="4" t="s">
        <v>29658</v>
      </c>
      <c r="H4146" s="4">
        <v>54</v>
      </c>
      <c r="I4146" s="4" t="s">
        <v>2602</v>
      </c>
      <c r="J4146" s="4" t="str">
        <f>IFERROR(__XLUDF.DUMMYFUNCTION("VLOOKUP(H551,IMPORTRANGE(""https://docs.google.com/spreadsheets/d/1opm6ZNvGZ7KditA9TuJwrZ25eFLfTNIkrNnY6mhV5Eg"",""list!A1:C115""),3,TRUE)"),"le secteur de la tech")</f>
        <v xml:space="preserve">le secteur de la tech</v>
      </c>
      <c r="K4146" s="5" t="s">
        <v>29659</v>
      </c>
      <c r="L4146" s="5" t="s">
        <v>29660</v>
      </c>
      <c r="M4146" s="4" t="s">
        <v>11716</v>
      </c>
      <c r="N4146" s="4" t="s">
        <v>29</v>
      </c>
      <c r="O4146" s="4" t="s">
        <v>25725</v>
      </c>
      <c r="P4146" s="4" t="s">
        <v>29</v>
      </c>
      <c r="Q4146" s="6"/>
      <c r="R4146" s="6"/>
      <c r="S4146" s="6"/>
      <c r="T4146" s="6"/>
      <c r="U4146" s="6"/>
      <c r="V4146" s="6"/>
      <c r="W4146" s="6"/>
      <c r="X4146" s="6"/>
      <c r="Y4146" s="6"/>
      <c r="Z4146" s="6"/>
      <c r="AA4146" s="6"/>
    </row>
    <row r="4147" ht="14.25">
      <c r="B4147" s="4" t="s">
        <v>3819</v>
      </c>
      <c r="C4147" s="4" t="s">
        <v>29661</v>
      </c>
      <c r="D4147" s="4" t="s">
        <v>18553</v>
      </c>
      <c r="E4147" s="4" t="s">
        <v>27511</v>
      </c>
      <c r="F4147" s="4" t="str">
        <f>IFERROR(__XLUDF.DUMMYFUNCTION("PROPER(REGEXREPLACE(D552,""[^A-Za-z]+ "",""""))"),"Locomotive")</f>
        <v>Locomotive</v>
      </c>
      <c r="G4147" s="4" t="s">
        <v>29662</v>
      </c>
      <c r="H4147" s="4">
        <v>12</v>
      </c>
      <c r="I4147" s="4" t="s">
        <v>2602</v>
      </c>
      <c r="J4147" s="4" t="str">
        <f>IFERROR(__XLUDF.DUMMYFUNCTION("VLOOKUP(H552,IMPORTRANGE(""https://docs.google.com/spreadsheets/d/1opm6ZNvGZ7KditA9TuJwrZ25eFLfTNIkrNnY6mhV5Eg"",""list!A1:C115""),3,TRUE)"),"le secteur de la tech")</f>
        <v xml:space="preserve">le secteur de la tech</v>
      </c>
      <c r="K4147" s="5" t="s">
        <v>29663</v>
      </c>
      <c r="L4147" s="5" t="s">
        <v>27514</v>
      </c>
      <c r="M4147" s="6"/>
      <c r="N4147" s="4" t="s">
        <v>29</v>
      </c>
      <c r="O4147" s="4" t="s">
        <v>67</v>
      </c>
      <c r="P4147" s="4" t="s">
        <v>29</v>
      </c>
      <c r="Q4147" s="6"/>
      <c r="R4147" s="6"/>
      <c r="S4147" s="6"/>
      <c r="T4147" s="6"/>
      <c r="U4147" s="6"/>
      <c r="V4147" s="6"/>
      <c r="W4147" s="6"/>
      <c r="X4147" s="6"/>
      <c r="Y4147" s="6"/>
      <c r="Z4147" s="6"/>
      <c r="AA4147" s="6"/>
    </row>
    <row r="4148" ht="14.25">
      <c r="B4148" s="4" t="s">
        <v>2299</v>
      </c>
      <c r="C4148" s="4" t="s">
        <v>29664</v>
      </c>
      <c r="D4148" s="4" t="s">
        <v>426</v>
      </c>
      <c r="E4148" s="4" t="s">
        <v>29665</v>
      </c>
      <c r="F4148" s="4" t="str">
        <f>IFERROR(__XLUDF.DUMMYFUNCTION("PROPER(REGEXREPLACE(D553,""[^A-Za-z]+ "",""""))"),"Atakama")</f>
        <v>Atakama</v>
      </c>
      <c r="G4148" s="4" t="s">
        <v>29666</v>
      </c>
      <c r="H4148" s="4">
        <v>29</v>
      </c>
      <c r="I4148" s="4" t="s">
        <v>2602</v>
      </c>
      <c r="J4148" s="4" t="str">
        <f>IFERROR(__XLUDF.DUMMYFUNCTION("VLOOKUP(H553,IMPORTRANGE(""https://docs.google.com/spreadsheets/d/1opm6ZNvGZ7KditA9TuJwrZ25eFLfTNIkrNnY6mhV5Eg"",""list!A1:C115""),3,TRUE)"),"le secteur de la tech")</f>
        <v xml:space="preserve">le secteur de la tech</v>
      </c>
      <c r="K4148" s="5" t="s">
        <v>29667</v>
      </c>
      <c r="L4148" s="5" t="s">
        <v>29668</v>
      </c>
      <c r="M4148" s="4" t="s">
        <v>295</v>
      </c>
      <c r="N4148" s="4" t="s">
        <v>29</v>
      </c>
      <c r="O4148" s="4" t="s">
        <v>29669</v>
      </c>
      <c r="P4148" s="4" t="s">
        <v>29</v>
      </c>
      <c r="Q4148" s="4" t="s">
        <v>29670</v>
      </c>
      <c r="R4148" s="6"/>
      <c r="S4148" s="6"/>
      <c r="T4148" s="6"/>
      <c r="U4148" s="6"/>
      <c r="V4148" s="6"/>
      <c r="W4148" s="6"/>
      <c r="X4148" s="6"/>
      <c r="Y4148" s="6"/>
      <c r="Z4148" s="6"/>
      <c r="AA4148" s="6"/>
    </row>
    <row r="4149" ht="14.25">
      <c r="B4149" s="4" t="s">
        <v>29671</v>
      </c>
      <c r="C4149" s="4" t="s">
        <v>29672</v>
      </c>
      <c r="D4149" s="4" t="s">
        <v>23340</v>
      </c>
      <c r="E4149" s="4" t="s">
        <v>29673</v>
      </c>
      <c r="F4149" s="4" t="str">
        <f>IFERROR(__XLUDF.DUMMYFUNCTION("PROPER(REGEXREPLACE(D554,""[^A-Za-z]+ "",""""))"),"Internet Of Trust")</f>
        <v xml:space="preserve">Internet Of Trust</v>
      </c>
      <c r="G4149" s="4" t="s">
        <v>29674</v>
      </c>
      <c r="H4149" s="4">
        <v>12</v>
      </c>
      <c r="I4149" s="4" t="s">
        <v>2602</v>
      </c>
      <c r="J4149" s="4" t="str">
        <f>IFERROR(__XLUDF.DUMMYFUNCTION("VLOOKUP(H554,IMPORTRANGE(""https://docs.google.com/spreadsheets/d/1opm6ZNvGZ7KditA9TuJwrZ25eFLfTNIkrNnY6mhV5Eg"",""list!A1:C115""),3,TRUE)"),"le secteur de la tech")</f>
        <v xml:space="preserve">le secteur de la tech</v>
      </c>
      <c r="K4149" s="5" t="s">
        <v>29675</v>
      </c>
      <c r="L4149" s="5" t="s">
        <v>29676</v>
      </c>
      <c r="M4149" s="4" t="s">
        <v>39</v>
      </c>
      <c r="N4149" s="4" t="s">
        <v>29</v>
      </c>
      <c r="O4149" s="4" t="s">
        <v>29677</v>
      </c>
      <c r="P4149" s="4" t="s">
        <v>29</v>
      </c>
      <c r="Q4149" s="6"/>
      <c r="R4149" s="6"/>
      <c r="S4149" s="6"/>
      <c r="T4149" s="6"/>
      <c r="U4149" s="6"/>
      <c r="V4149" s="6"/>
      <c r="W4149" s="6"/>
      <c r="X4149" s="6"/>
      <c r="Y4149" s="6"/>
      <c r="Z4149" s="6"/>
      <c r="AA4149" s="6"/>
    </row>
    <row r="4150" ht="14.25">
      <c r="B4150" s="4" t="s">
        <v>2249</v>
      </c>
      <c r="C4150" s="4" t="s">
        <v>11439</v>
      </c>
      <c r="D4150" s="4" t="s">
        <v>62</v>
      </c>
      <c r="E4150" s="4" t="s">
        <v>22314</v>
      </c>
      <c r="F4150" s="4" t="str">
        <f>IFERROR(__XLUDF.DUMMYFUNCTION("PROPER(REGEXREPLACE(D555,""[^A-Za-z]+ "",""""))"),"Magma App")</f>
        <v xml:space="preserve">Magma App</v>
      </c>
      <c r="G4150" s="4" t="s">
        <v>29678</v>
      </c>
      <c r="H4150" s="4">
        <v>20</v>
      </c>
      <c r="I4150" s="4" t="s">
        <v>2602</v>
      </c>
      <c r="J4150" s="4" t="str">
        <f>IFERROR(__XLUDF.DUMMYFUNCTION("VLOOKUP(H555,IMPORTRANGE(""https://docs.google.com/spreadsheets/d/1opm6ZNvGZ7KditA9TuJwrZ25eFLfTNIkrNnY6mhV5Eg"",""list!A1:C115""),3,TRUE)"),"le secteur de la tech")</f>
        <v xml:space="preserve">le secteur de la tech</v>
      </c>
      <c r="K4150" s="5" t="s">
        <v>29679</v>
      </c>
      <c r="L4150" s="5" t="s">
        <v>22317</v>
      </c>
      <c r="M4150" s="4" t="s">
        <v>39</v>
      </c>
      <c r="N4150" s="4" t="s">
        <v>29</v>
      </c>
      <c r="O4150" s="4" t="s">
        <v>67</v>
      </c>
      <c r="P4150" s="4" t="s">
        <v>29</v>
      </c>
      <c r="Q4150" s="4" t="s">
        <v>22318</v>
      </c>
      <c r="R4150" s="6"/>
      <c r="S4150" s="6"/>
      <c r="T4150" s="6"/>
      <c r="U4150" s="6"/>
      <c r="V4150" s="6"/>
      <c r="W4150" s="6"/>
      <c r="X4150" s="6"/>
      <c r="Y4150" s="6"/>
      <c r="Z4150" s="6"/>
      <c r="AA4150" s="6"/>
    </row>
    <row r="4151" ht="14.25">
      <c r="B4151" s="4" t="s">
        <v>670</v>
      </c>
      <c r="C4151" s="4" t="s">
        <v>29680</v>
      </c>
      <c r="D4151" s="4" t="s">
        <v>460</v>
      </c>
      <c r="E4151" s="4" t="s">
        <v>29681</v>
      </c>
      <c r="F4151" s="4" t="str">
        <f>IFERROR(__XLUDF.DUMMYFUNCTION("PROPER(REGEXREPLACE(D556,""[^A-Za-z]+ "",""""))"),"Task Informatic")</f>
        <v xml:space="preserve">Task Informatic</v>
      </c>
      <c r="G4151" s="4" t="s">
        <v>29682</v>
      </c>
      <c r="H4151" s="4">
        <v>18</v>
      </c>
      <c r="I4151" s="4" t="s">
        <v>2602</v>
      </c>
      <c r="J4151" s="4" t="str">
        <f>IFERROR(__XLUDF.DUMMYFUNCTION("VLOOKUP(H556,IMPORTRANGE(""https://docs.google.com/spreadsheets/d/1opm6ZNvGZ7KditA9TuJwrZ25eFLfTNIkrNnY6mhV5Eg"",""list!A1:C115""),3,TRUE)"),"le secteur de la tech")</f>
        <v xml:space="preserve">le secteur de la tech</v>
      </c>
      <c r="K4151" s="5" t="s">
        <v>29683</v>
      </c>
      <c r="L4151" s="5" t="s">
        <v>29684</v>
      </c>
      <c r="M4151" s="6"/>
      <c r="N4151" s="4" t="s">
        <v>29</v>
      </c>
      <c r="O4151" s="4" t="s">
        <v>29685</v>
      </c>
      <c r="P4151" s="4" t="s">
        <v>29</v>
      </c>
      <c r="Q4151" s="6"/>
      <c r="R4151" s="6"/>
      <c r="S4151" s="6"/>
      <c r="T4151" s="6"/>
      <c r="U4151" s="6"/>
      <c r="V4151" s="6"/>
      <c r="W4151" s="6"/>
      <c r="X4151" s="6"/>
      <c r="Y4151" s="6"/>
      <c r="Z4151" s="6"/>
      <c r="AA4151" s="6"/>
    </row>
    <row r="4152" ht="14.25">
      <c r="B4152" s="4" t="s">
        <v>5781</v>
      </c>
      <c r="C4152" s="4" t="s">
        <v>29686</v>
      </c>
      <c r="D4152" s="4" t="s">
        <v>62</v>
      </c>
      <c r="E4152" s="4" t="s">
        <v>25064</v>
      </c>
      <c r="F4152" s="4" t="str">
        <f>IFERROR(__XLUDF.DUMMYFUNCTION("PROPER(REGEXREPLACE(D557,""[^A-Za-z]+ "",""""))"),"Gyfti")</f>
        <v>Gyfti</v>
      </c>
      <c r="G4152" s="4" t="s">
        <v>29687</v>
      </c>
      <c r="H4152" s="4">
        <v>18</v>
      </c>
      <c r="I4152" s="4" t="s">
        <v>2602</v>
      </c>
      <c r="J4152" s="4" t="str">
        <f>IFERROR(__XLUDF.DUMMYFUNCTION("VLOOKUP(H557,IMPORTRANGE(""https://docs.google.com/spreadsheets/d/1opm6ZNvGZ7KditA9TuJwrZ25eFLfTNIkrNnY6mhV5Eg"",""list!A1:C115""),3,TRUE)"),"le secteur de la tech")</f>
        <v xml:space="preserve">le secteur de la tech</v>
      </c>
      <c r="K4152" s="5" t="s">
        <v>29688</v>
      </c>
      <c r="L4152" s="5" t="s">
        <v>25067</v>
      </c>
      <c r="M4152" s="4" t="s">
        <v>6603</v>
      </c>
      <c r="N4152" s="4" t="s">
        <v>29</v>
      </c>
      <c r="O4152" s="4" t="s">
        <v>67</v>
      </c>
      <c r="P4152" s="4" t="s">
        <v>29</v>
      </c>
      <c r="Q4152" s="4" t="s">
        <v>25068</v>
      </c>
      <c r="R4152" s="6"/>
      <c r="S4152" s="6"/>
      <c r="T4152" s="6"/>
      <c r="U4152" s="6"/>
      <c r="V4152" s="6"/>
      <c r="W4152" s="6"/>
      <c r="X4152" s="6"/>
      <c r="Y4152" s="6"/>
      <c r="Z4152" s="6"/>
      <c r="AA4152" s="6"/>
    </row>
    <row r="4153" ht="14.25">
      <c r="B4153" s="4" t="s">
        <v>604</v>
      </c>
      <c r="C4153" s="4" t="s">
        <v>29689</v>
      </c>
      <c r="D4153" s="4" t="s">
        <v>29690</v>
      </c>
      <c r="E4153" s="5" t="s">
        <v>29691</v>
      </c>
      <c r="F4153" s="5" t="str">
        <f>IFERROR(__XLUDF.DUMMYFUNCTION("PROPER(REGEXREPLACE(D558,""[^A-Za-z]+ "",""""))"),"Brief.Me")</f>
        <v>Brief.Me</v>
      </c>
      <c r="G4153" s="4" t="s">
        <v>29692</v>
      </c>
      <c r="H4153" s="4">
        <v>17</v>
      </c>
      <c r="I4153" s="4" t="s">
        <v>2602</v>
      </c>
      <c r="J4153" s="4" t="str">
        <f>IFERROR(__XLUDF.DUMMYFUNCTION("VLOOKUP(H558,IMPORTRANGE(""https://docs.google.com/spreadsheets/d/1opm6ZNvGZ7KditA9TuJwrZ25eFLfTNIkrNnY6mhV5Eg"",""list!A1:C115""),3,TRUE)"),"le secteur de la tech")</f>
        <v xml:space="preserve">le secteur de la tech</v>
      </c>
      <c r="K4153" s="5" t="s">
        <v>29693</v>
      </c>
      <c r="L4153" s="5" t="s">
        <v>29694</v>
      </c>
      <c r="M4153" s="4" t="s">
        <v>39</v>
      </c>
      <c r="N4153" s="4" t="s">
        <v>29</v>
      </c>
      <c r="O4153" s="4" t="s">
        <v>29695</v>
      </c>
      <c r="P4153" s="4" t="s">
        <v>29</v>
      </c>
      <c r="Q4153" s="4" t="s">
        <v>29696</v>
      </c>
      <c r="R4153" s="6"/>
      <c r="S4153" s="6"/>
      <c r="T4153" s="6"/>
      <c r="U4153" s="6"/>
      <c r="V4153" s="6"/>
      <c r="W4153" s="6"/>
      <c r="X4153" s="6"/>
      <c r="Y4153" s="6"/>
      <c r="Z4153" s="6"/>
      <c r="AA4153" s="6"/>
    </row>
    <row r="4154" ht="14.25">
      <c r="B4154" s="4" t="s">
        <v>630</v>
      </c>
      <c r="C4154" s="4" t="s">
        <v>23641</v>
      </c>
      <c r="D4154" s="4" t="s">
        <v>265</v>
      </c>
      <c r="E4154" s="4" t="s">
        <v>29697</v>
      </c>
      <c r="F4154" s="4" t="str">
        <f>IFERROR(__XLUDF.DUMMYFUNCTION("PROPER(REGEXREPLACE(D559,""[^A-Za-z]+ "",""""))"),"Ab6")</f>
        <v>Ab6</v>
      </c>
      <c r="G4154" s="4" t="s">
        <v>29698</v>
      </c>
      <c r="H4154" s="4">
        <v>20</v>
      </c>
      <c r="I4154" s="4" t="s">
        <v>2602</v>
      </c>
      <c r="J4154" s="4" t="str">
        <f>IFERROR(__XLUDF.DUMMYFUNCTION("VLOOKUP(H559,IMPORTRANGE(""https://docs.google.com/spreadsheets/d/1opm6ZNvGZ7KditA9TuJwrZ25eFLfTNIkrNnY6mhV5Eg"",""list!A1:C115""),3,TRUE)"),"le secteur de la tech")</f>
        <v xml:space="preserve">le secteur de la tech</v>
      </c>
      <c r="K4154" s="5" t="s">
        <v>29699</v>
      </c>
      <c r="L4154" s="5" t="s">
        <v>29700</v>
      </c>
      <c r="M4154" s="6"/>
      <c r="N4154" s="4" t="s">
        <v>29</v>
      </c>
      <c r="O4154" s="4" t="s">
        <v>29701</v>
      </c>
      <c r="P4154" s="4" t="s">
        <v>29</v>
      </c>
      <c r="Q4154" s="6"/>
      <c r="R4154" s="6"/>
      <c r="S4154" s="6"/>
      <c r="T4154" s="6"/>
      <c r="U4154" s="6"/>
      <c r="V4154" s="6"/>
      <c r="W4154" s="6"/>
      <c r="X4154" s="6"/>
      <c r="Y4154" s="6"/>
      <c r="Z4154" s="6"/>
      <c r="AA4154" s="6"/>
    </row>
    <row r="4155" ht="14.25">
      <c r="B4155" s="4" t="s">
        <v>18814</v>
      </c>
      <c r="C4155" s="4" t="s">
        <v>1485</v>
      </c>
      <c r="D4155" s="4" t="s">
        <v>426</v>
      </c>
      <c r="E4155" s="4" t="s">
        <v>29702</v>
      </c>
      <c r="F4155" s="4" t="str">
        <f>IFERROR(__XLUDF.DUMMYFUNCTION("PROPER(REGEXREPLACE(D560,""[^A-Za-z]+ "",""""))"),"Groupe")</f>
        <v>Groupe</v>
      </c>
      <c r="G4155" s="4" t="s">
        <v>29703</v>
      </c>
      <c r="H4155" s="4">
        <v>13</v>
      </c>
      <c r="I4155" s="4" t="s">
        <v>2602</v>
      </c>
      <c r="J4155" s="4" t="str">
        <f>IFERROR(__XLUDF.DUMMYFUNCTION("VLOOKUP(H560,IMPORTRANGE(""https://docs.google.com/spreadsheets/d/1opm6ZNvGZ7KditA9TuJwrZ25eFLfTNIkrNnY6mhV5Eg"",""list!A1:C115""),3,TRUE)"),"le secteur de la tech")</f>
        <v xml:space="preserve">le secteur de la tech</v>
      </c>
      <c r="K4155" s="5" t="s">
        <v>29704</v>
      </c>
      <c r="L4155" s="5" t="s">
        <v>29705</v>
      </c>
      <c r="M4155" s="4" t="s">
        <v>7965</v>
      </c>
      <c r="N4155" s="4" t="s">
        <v>29</v>
      </c>
      <c r="O4155" s="4" t="s">
        <v>29706</v>
      </c>
      <c r="P4155" s="4" t="s">
        <v>29</v>
      </c>
      <c r="Q4155" s="4" t="s">
        <v>29707</v>
      </c>
      <c r="R4155" s="6"/>
      <c r="S4155" s="6"/>
      <c r="T4155" s="6"/>
      <c r="U4155" s="6"/>
      <c r="V4155" s="6"/>
      <c r="W4155" s="6"/>
      <c r="X4155" s="6"/>
      <c r="Y4155" s="6"/>
      <c r="Z4155" s="6"/>
      <c r="AA4155" s="6"/>
    </row>
    <row r="4156" ht="14.25">
      <c r="B4156" s="4" t="s">
        <v>579</v>
      </c>
      <c r="C4156" s="4" t="s">
        <v>29708</v>
      </c>
      <c r="D4156" s="4" t="s">
        <v>4449</v>
      </c>
      <c r="E4156" s="4" t="s">
        <v>29709</v>
      </c>
      <c r="F4156" s="4" t="str">
        <f>IFERROR(__XLUDF.DUMMYFUNCTION("PROPER(REGEXREPLACE(D561,""[^A-Za-z]+ "",""""))"),"Smartkeyword")</f>
        <v>Smartkeyword</v>
      </c>
      <c r="G4156" s="4" t="s">
        <v>29710</v>
      </c>
      <c r="H4156" s="4">
        <v>33</v>
      </c>
      <c r="I4156" s="4" t="s">
        <v>2602</v>
      </c>
      <c r="J4156" s="4" t="str">
        <f>IFERROR(__XLUDF.DUMMYFUNCTION("VLOOKUP(H561,IMPORTRANGE(""https://docs.google.com/spreadsheets/d/1opm6ZNvGZ7KditA9TuJwrZ25eFLfTNIkrNnY6mhV5Eg"",""list!A1:C115""),3,TRUE)"),"le secteur de la tech")</f>
        <v xml:space="preserve">le secteur de la tech</v>
      </c>
      <c r="K4156" s="5" t="s">
        <v>29711</v>
      </c>
      <c r="L4156" s="5" t="s">
        <v>29712</v>
      </c>
      <c r="M4156" s="4" t="s">
        <v>39</v>
      </c>
      <c r="N4156" s="4" t="s">
        <v>29</v>
      </c>
      <c r="O4156" s="4" t="s">
        <v>29713</v>
      </c>
      <c r="P4156" s="4" t="s">
        <v>29</v>
      </c>
      <c r="Q4156" s="4" t="s">
        <v>29714</v>
      </c>
      <c r="R4156" s="6"/>
      <c r="S4156" s="6"/>
      <c r="T4156" s="6"/>
      <c r="U4156" s="6"/>
      <c r="V4156" s="6"/>
      <c r="W4156" s="6"/>
      <c r="X4156" s="6"/>
      <c r="Y4156" s="6"/>
      <c r="Z4156" s="6"/>
      <c r="AA4156" s="6"/>
    </row>
    <row r="4157" ht="14.25">
      <c r="B4157" s="4" t="s">
        <v>2299</v>
      </c>
      <c r="C4157" s="4" t="s">
        <v>23196</v>
      </c>
      <c r="D4157" s="4" t="s">
        <v>341</v>
      </c>
      <c r="E4157" s="4" t="s">
        <v>29715</v>
      </c>
      <c r="F4157" s="4" t="str">
        <f>IFERROR(__XLUDF.DUMMYFUNCTION("PROPER(REGEXREPLACE(D562,""[^A-Za-z]+ "",""""))"),"Aware Portage")</f>
        <v xml:space="preserve">Aware Portage</v>
      </c>
      <c r="G4157" s="4" t="s">
        <v>29716</v>
      </c>
      <c r="H4157" s="4">
        <v>18</v>
      </c>
      <c r="I4157" s="4" t="s">
        <v>2602</v>
      </c>
      <c r="J4157" s="4" t="str">
        <f>IFERROR(__XLUDF.DUMMYFUNCTION("VLOOKUP(H562,IMPORTRANGE(""https://docs.google.com/spreadsheets/d/1opm6ZNvGZ7KditA9TuJwrZ25eFLfTNIkrNnY6mhV5Eg"",""list!A1:C115""),3,TRUE)"),"le secteur de la tech")</f>
        <v xml:space="preserve">le secteur de la tech</v>
      </c>
      <c r="K4157" s="5" t="s">
        <v>29717</v>
      </c>
      <c r="L4157" s="5" t="s">
        <v>29718</v>
      </c>
      <c r="M4157" s="4" t="s">
        <v>29719</v>
      </c>
      <c r="N4157" s="4" t="s">
        <v>29</v>
      </c>
      <c r="O4157" s="4" t="s">
        <v>29720</v>
      </c>
      <c r="P4157" s="4" t="s">
        <v>29</v>
      </c>
      <c r="Q4157" s="4" t="s">
        <v>29721</v>
      </c>
      <c r="R4157" s="6"/>
      <c r="S4157" s="6"/>
      <c r="T4157" s="6"/>
      <c r="U4157" s="6"/>
      <c r="V4157" s="6"/>
      <c r="W4157" s="6"/>
      <c r="X4157" s="6"/>
      <c r="Y4157" s="6"/>
      <c r="Z4157" s="6"/>
      <c r="AA4157" s="6"/>
    </row>
    <row r="4158" ht="14.25">
      <c r="B4158" s="4" t="s">
        <v>29722</v>
      </c>
      <c r="C4158" s="4" t="s">
        <v>29723</v>
      </c>
      <c r="D4158" s="4" t="s">
        <v>62</v>
      </c>
      <c r="E4158" s="4" t="s">
        <v>29724</v>
      </c>
      <c r="F4158" s="4" t="str">
        <f>IFERROR(__XLUDF.DUMMYFUNCTION("PROPER(REGEXREPLACE(D563,""[^A-Za-z]+ "",""""))"),"Goodbards")</f>
        <v>Goodbards</v>
      </c>
      <c r="G4158" s="4" t="s">
        <v>29725</v>
      </c>
      <c r="H4158" s="4">
        <v>12</v>
      </c>
      <c r="I4158" s="4" t="s">
        <v>2602</v>
      </c>
      <c r="J4158" s="4" t="str">
        <f>IFERROR(__XLUDF.DUMMYFUNCTION("VLOOKUP(H563,IMPORTRANGE(""https://docs.google.com/spreadsheets/d/1opm6ZNvGZ7KditA9TuJwrZ25eFLfTNIkrNnY6mhV5Eg"",""list!A1:C115""),3,TRUE)"),"le secteur de la tech")</f>
        <v xml:space="preserve">le secteur de la tech</v>
      </c>
      <c r="K4158" s="5" t="s">
        <v>29726</v>
      </c>
      <c r="L4158" s="5" t="s">
        <v>29727</v>
      </c>
      <c r="M4158" s="4" t="s">
        <v>39</v>
      </c>
      <c r="N4158" s="4" t="s">
        <v>29</v>
      </c>
      <c r="O4158" s="4" t="s">
        <v>27134</v>
      </c>
      <c r="P4158" s="4" t="s">
        <v>8427</v>
      </c>
      <c r="Q4158" s="6"/>
      <c r="R4158" s="6"/>
      <c r="S4158" s="6"/>
      <c r="T4158" s="6"/>
      <c r="U4158" s="6"/>
      <c r="V4158" s="6"/>
      <c r="W4158" s="6"/>
      <c r="X4158" s="6"/>
      <c r="Y4158" s="6"/>
      <c r="Z4158" s="6"/>
      <c r="AA4158" s="6"/>
    </row>
    <row r="4159" ht="14.25">
      <c r="B4159" s="4" t="s">
        <v>6788</v>
      </c>
      <c r="C4159" s="4" t="s">
        <v>29728</v>
      </c>
      <c r="D4159" s="4" t="s">
        <v>29729</v>
      </c>
      <c r="E4159" s="4" t="s">
        <v>29730</v>
      </c>
      <c r="F4159" s="4" t="str">
        <f>IFERROR(__XLUDF.DUMMYFUNCTION("PROPER(REGEXREPLACE(D564,""[^A-Za-z]+ "",""""))"),"Mb3M")</f>
        <v>Mb3M</v>
      </c>
      <c r="G4159" s="4" t="s">
        <v>29731</v>
      </c>
      <c r="H4159" s="4">
        <v>11</v>
      </c>
      <c r="I4159" s="4" t="s">
        <v>2602</v>
      </c>
      <c r="J4159" s="4" t="str">
        <f>IFERROR(__XLUDF.DUMMYFUNCTION("VLOOKUP(H564,IMPORTRANGE(""https://docs.google.com/spreadsheets/d/1opm6ZNvGZ7KditA9TuJwrZ25eFLfTNIkrNnY6mhV5Eg"",""list!A1:C115""),3,TRUE)"),"le secteur de la tech")</f>
        <v xml:space="preserve">le secteur de la tech</v>
      </c>
      <c r="K4159" s="5" t="s">
        <v>29732</v>
      </c>
      <c r="L4159" s="5" t="s">
        <v>29733</v>
      </c>
      <c r="M4159" s="4" t="s">
        <v>83</v>
      </c>
      <c r="N4159" s="4" t="s">
        <v>29</v>
      </c>
      <c r="O4159" s="4" t="s">
        <v>29734</v>
      </c>
      <c r="P4159" s="4" t="s">
        <v>29</v>
      </c>
      <c r="Q4159" s="4" t="s">
        <v>29735</v>
      </c>
      <c r="R4159" s="6"/>
      <c r="S4159" s="6"/>
      <c r="T4159" s="6"/>
      <c r="U4159" s="6"/>
      <c r="V4159" s="6"/>
      <c r="W4159" s="6"/>
      <c r="X4159" s="6"/>
      <c r="Y4159" s="6"/>
      <c r="Z4159" s="6"/>
      <c r="AA4159" s="6"/>
    </row>
    <row r="4160" ht="14.25">
      <c r="B4160" s="4" t="s">
        <v>118</v>
      </c>
      <c r="C4160" s="4" t="s">
        <v>29736</v>
      </c>
      <c r="D4160" s="4" t="s">
        <v>62</v>
      </c>
      <c r="E4160" s="4" t="s">
        <v>29737</v>
      </c>
      <c r="F4160" s="4" t="str">
        <f>IFERROR(__XLUDF.DUMMYFUNCTION("PROPER(REGEXREPLACE(D565,""[^A-Za-z]+ "",""""))"),"Opsmill")</f>
        <v>Opsmill</v>
      </c>
      <c r="G4160" s="4" t="s">
        <v>29738</v>
      </c>
      <c r="H4160" s="4">
        <v>24</v>
      </c>
      <c r="I4160" s="4" t="s">
        <v>2602</v>
      </c>
      <c r="J4160" s="4" t="str">
        <f>IFERROR(__XLUDF.DUMMYFUNCTION("VLOOKUP(H565,IMPORTRANGE(""https://docs.google.com/spreadsheets/d/1opm6ZNvGZ7KditA9TuJwrZ25eFLfTNIkrNnY6mhV5Eg"",""list!A1:C115""),3,TRUE)"),"le secteur de la tech")</f>
        <v xml:space="preserve">le secteur de la tech</v>
      </c>
      <c r="K4160" s="5" t="s">
        <v>29739</v>
      </c>
      <c r="L4160" s="5" t="s">
        <v>29740</v>
      </c>
      <c r="M4160" s="6"/>
      <c r="N4160" s="4" t="s">
        <v>29</v>
      </c>
      <c r="O4160" s="4" t="s">
        <v>29741</v>
      </c>
      <c r="P4160" s="4" t="s">
        <v>29</v>
      </c>
      <c r="Q4160" s="4" t="s">
        <v>29742</v>
      </c>
      <c r="R4160" s="6"/>
      <c r="S4160" s="6"/>
      <c r="T4160" s="6"/>
      <c r="U4160" s="6"/>
      <c r="V4160" s="6"/>
      <c r="W4160" s="6"/>
      <c r="X4160" s="6"/>
      <c r="Y4160" s="6"/>
      <c r="Z4160" s="6"/>
      <c r="AA4160" s="6"/>
    </row>
    <row r="4161" ht="14.25">
      <c r="B4161" s="4" t="s">
        <v>1583</v>
      </c>
      <c r="C4161" s="4" t="s">
        <v>29559</v>
      </c>
      <c r="D4161" s="4" t="s">
        <v>426</v>
      </c>
      <c r="E4161" s="4" t="s">
        <v>29743</v>
      </c>
      <c r="F4161" s="4" t="str">
        <f>IFERROR(__XLUDF.DUMMYFUNCTION("PROPER(REGEXREPLACE(D566,""[^A-Za-z]+ "",""""))"),"Prologism")</f>
        <v>Prologism</v>
      </c>
      <c r="G4161" s="4" t="s">
        <v>29744</v>
      </c>
      <c r="H4161" s="4">
        <v>27</v>
      </c>
      <c r="I4161" s="4" t="s">
        <v>2602</v>
      </c>
      <c r="J4161" s="4" t="str">
        <f>IFERROR(__XLUDF.DUMMYFUNCTION("VLOOKUP(H566,IMPORTRANGE(""https://docs.google.com/spreadsheets/d/1opm6ZNvGZ7KditA9TuJwrZ25eFLfTNIkrNnY6mhV5Eg"",""list!A1:C115""),3,TRUE)"),"le secteur de la tech")</f>
        <v xml:space="preserve">le secteur de la tech</v>
      </c>
      <c r="K4161" s="5" t="s">
        <v>29745</v>
      </c>
      <c r="L4161" s="5" t="s">
        <v>29746</v>
      </c>
      <c r="M4161" s="4" t="s">
        <v>39</v>
      </c>
      <c r="N4161" s="4" t="s">
        <v>29</v>
      </c>
      <c r="O4161" s="4" t="s">
        <v>26871</v>
      </c>
      <c r="P4161" s="4" t="s">
        <v>29</v>
      </c>
      <c r="Q4161" s="4" t="s">
        <v>29747</v>
      </c>
      <c r="R4161" s="6"/>
      <c r="S4161" s="6"/>
      <c r="T4161" s="6"/>
      <c r="U4161" s="6"/>
      <c r="V4161" s="6"/>
      <c r="W4161" s="6"/>
      <c r="X4161" s="6"/>
      <c r="Y4161" s="6"/>
      <c r="Z4161" s="6"/>
      <c r="AA4161" s="6"/>
    </row>
    <row r="4162" ht="14.25">
      <c r="B4162" s="4" t="s">
        <v>2299</v>
      </c>
      <c r="C4162" s="4" t="s">
        <v>12482</v>
      </c>
      <c r="D4162" s="4" t="s">
        <v>29748</v>
      </c>
      <c r="E4162" s="4" t="s">
        <v>29749</v>
      </c>
      <c r="F4162" s="4" t="str">
        <f>IFERROR(__XLUDF.DUMMYFUNCTION("PROPER(REGEXREPLACE(D567,""[^A-Za-z]+ "",""""))"),"Keyneo Plateforme Du Retail Omnicanal")</f>
        <v xml:space="preserve">Keyneo Plateforme Du Retail Omnicanal</v>
      </c>
      <c r="G4162" s="4" t="s">
        <v>29750</v>
      </c>
      <c r="H4162" s="4">
        <v>33</v>
      </c>
      <c r="I4162" s="4" t="s">
        <v>2602</v>
      </c>
      <c r="J4162" s="4" t="str">
        <f>IFERROR(__XLUDF.DUMMYFUNCTION("VLOOKUP(H567,IMPORTRANGE(""https://docs.google.com/spreadsheets/d/1opm6ZNvGZ7KditA9TuJwrZ25eFLfTNIkrNnY6mhV5Eg"",""list!A1:C115""),3,TRUE)"),"le secteur de la tech")</f>
        <v xml:space="preserve">le secteur de la tech</v>
      </c>
      <c r="K4162" s="5" t="s">
        <v>29751</v>
      </c>
      <c r="L4162" s="5" t="s">
        <v>29752</v>
      </c>
      <c r="M4162" s="4" t="s">
        <v>846</v>
      </c>
      <c r="N4162" s="4" t="s">
        <v>29</v>
      </c>
      <c r="O4162" s="4" t="s">
        <v>28650</v>
      </c>
      <c r="P4162" s="4" t="s">
        <v>29</v>
      </c>
      <c r="Q4162" s="4" t="s">
        <v>29753</v>
      </c>
      <c r="R4162" s="6"/>
      <c r="S4162" s="6"/>
      <c r="T4162" s="6"/>
      <c r="U4162" s="6"/>
      <c r="V4162" s="6"/>
      <c r="W4162" s="6"/>
      <c r="X4162" s="6"/>
      <c r="Y4162" s="6"/>
      <c r="Z4162" s="6"/>
      <c r="AA4162" s="6"/>
    </row>
    <row r="4163" ht="14.25">
      <c r="B4163" s="4" t="s">
        <v>29754</v>
      </c>
      <c r="C4163" s="4" t="s">
        <v>29755</v>
      </c>
      <c r="D4163" s="4" t="s">
        <v>87</v>
      </c>
      <c r="E4163" s="5" t="s">
        <v>29469</v>
      </c>
      <c r="F4163" s="5" t="str">
        <f>IFERROR(__XLUDF.DUMMYFUNCTION("PROPER(REGEXREPLACE(D568,""[^A-Za-z]+ "",""""))"),"Golem.Ai")</f>
        <v>Golem.Ai</v>
      </c>
      <c r="G4163" s="4" t="s">
        <v>29756</v>
      </c>
      <c r="H4163" s="4">
        <v>33</v>
      </c>
      <c r="I4163" s="4" t="s">
        <v>2602</v>
      </c>
      <c r="J4163" s="4" t="str">
        <f>IFERROR(__XLUDF.DUMMYFUNCTION("VLOOKUP(H568,IMPORTRANGE(""https://docs.google.com/spreadsheets/d/1opm6ZNvGZ7KditA9TuJwrZ25eFLfTNIkrNnY6mhV5Eg"",""list!A1:C115""),3,TRUE)"),"le secteur de la tech")</f>
        <v xml:space="preserve">le secteur de la tech</v>
      </c>
      <c r="K4163" s="5" t="s">
        <v>29757</v>
      </c>
      <c r="L4163" s="5" t="s">
        <v>29472</v>
      </c>
      <c r="M4163" s="4" t="s">
        <v>39</v>
      </c>
      <c r="N4163" s="4" t="s">
        <v>29</v>
      </c>
      <c r="O4163" s="4" t="s">
        <v>29473</v>
      </c>
      <c r="P4163" s="4" t="s">
        <v>29</v>
      </c>
      <c r="Q4163" s="4" t="s">
        <v>29474</v>
      </c>
      <c r="R4163" s="6"/>
      <c r="S4163" s="6"/>
      <c r="T4163" s="6"/>
      <c r="U4163" s="6"/>
      <c r="V4163" s="6"/>
      <c r="W4163" s="6"/>
      <c r="X4163" s="6"/>
      <c r="Y4163" s="6"/>
      <c r="Z4163" s="6"/>
      <c r="AA4163" s="6"/>
    </row>
    <row r="4164" ht="14.25">
      <c r="B4164" s="4" t="s">
        <v>20531</v>
      </c>
      <c r="C4164" s="4" t="s">
        <v>24543</v>
      </c>
      <c r="D4164" s="4" t="s">
        <v>265</v>
      </c>
      <c r="E4164" s="4" t="s">
        <v>29607</v>
      </c>
      <c r="F4164" s="4" t="str">
        <f>IFERROR(__XLUDF.DUMMYFUNCTION("PROPER(REGEXREPLACE(D569,""[^A-Za-z]+ "",""""))"),"Data4Job")</f>
        <v>Data4Job</v>
      </c>
      <c r="G4164" s="4" t="s">
        <v>29758</v>
      </c>
      <c r="H4164" s="4">
        <v>11</v>
      </c>
      <c r="I4164" s="4" t="s">
        <v>2602</v>
      </c>
      <c r="J4164" s="4" t="str">
        <f>IFERROR(__XLUDF.DUMMYFUNCTION("VLOOKUP(H569,IMPORTRANGE(""https://docs.google.com/spreadsheets/d/1opm6ZNvGZ7KditA9TuJwrZ25eFLfTNIkrNnY6mhV5Eg"",""list!A1:C115""),3,TRUE)"),"le secteur de la tech")</f>
        <v xml:space="preserve">le secteur de la tech</v>
      </c>
      <c r="K4164" s="5" t="s">
        <v>29759</v>
      </c>
      <c r="L4164" s="5" t="s">
        <v>29610</v>
      </c>
      <c r="M4164" s="4" t="s">
        <v>39</v>
      </c>
      <c r="N4164" s="4" t="s">
        <v>29</v>
      </c>
      <c r="O4164" s="4" t="s">
        <v>29611</v>
      </c>
      <c r="P4164" s="4" t="s">
        <v>29</v>
      </c>
      <c r="Q4164" s="4" t="s">
        <v>29612</v>
      </c>
      <c r="R4164" s="6"/>
      <c r="S4164" s="6"/>
      <c r="T4164" s="6"/>
      <c r="U4164" s="6"/>
      <c r="V4164" s="6"/>
      <c r="W4164" s="6"/>
      <c r="X4164" s="6"/>
      <c r="Y4164" s="6"/>
      <c r="Z4164" s="6"/>
      <c r="AA4164" s="6"/>
    </row>
    <row r="4165" ht="14.25">
      <c r="B4165" s="4" t="s">
        <v>1667</v>
      </c>
      <c r="C4165" s="4" t="s">
        <v>29760</v>
      </c>
      <c r="D4165" s="4" t="s">
        <v>29761</v>
      </c>
      <c r="E4165" s="4" t="s">
        <v>18215</v>
      </c>
      <c r="F4165" s="4" t="str">
        <f>IFERROR(__XLUDF.DUMMYFUNCTION("PROPER(REGEXREPLACE(D570,""[^A-Za-z]+ "",""""))"),"Origin")</f>
        <v>Origin</v>
      </c>
      <c r="G4165" s="4" t="s">
        <v>29762</v>
      </c>
      <c r="H4165" s="4">
        <v>10</v>
      </c>
      <c r="I4165" s="4" t="s">
        <v>2602</v>
      </c>
      <c r="J4165" s="4" t="str">
        <f>IFERROR(__XLUDF.DUMMYFUNCTION("VLOOKUP(H570,IMPORTRANGE(""https://docs.google.com/spreadsheets/d/1opm6ZNvGZ7KditA9TuJwrZ25eFLfTNIkrNnY6mhV5Eg"",""list!A1:C115""),3,TRUE)"),"le secteur de la tech")</f>
        <v xml:space="preserve">le secteur de la tech</v>
      </c>
      <c r="K4165" s="5" t="s">
        <v>29763</v>
      </c>
      <c r="L4165" s="5" t="s">
        <v>18218</v>
      </c>
      <c r="M4165" s="4" t="s">
        <v>39</v>
      </c>
      <c r="N4165" s="4" t="s">
        <v>29</v>
      </c>
      <c r="O4165" s="4" t="s">
        <v>18219</v>
      </c>
      <c r="P4165" s="4" t="s">
        <v>29</v>
      </c>
      <c r="Q4165" s="4" t="s">
        <v>18220</v>
      </c>
      <c r="R4165" s="6"/>
      <c r="S4165" s="6"/>
      <c r="T4165" s="6"/>
      <c r="U4165" s="6"/>
      <c r="V4165" s="6"/>
      <c r="W4165" s="6"/>
      <c r="X4165" s="6"/>
      <c r="Y4165" s="6"/>
      <c r="Z4165" s="6"/>
      <c r="AA4165" s="6"/>
    </row>
    <row r="4166" ht="14.25">
      <c r="B4166" s="4" t="s">
        <v>29764</v>
      </c>
      <c r="C4166" s="4" t="s">
        <v>29765</v>
      </c>
      <c r="D4166" s="4" t="s">
        <v>315</v>
      </c>
      <c r="E4166" s="4" t="s">
        <v>29766</v>
      </c>
      <c r="F4166" s="4" t="str">
        <f>IFERROR(__XLUDF.DUMMYFUNCTION("PROPER(REGEXREPLACE(D571,""[^A-Za-z]+ "",""""))"),"Nolej")</f>
        <v>Nolej</v>
      </c>
      <c r="G4166" s="4" t="s">
        <v>29767</v>
      </c>
      <c r="H4166" s="4">
        <v>23</v>
      </c>
      <c r="I4166" s="4" t="s">
        <v>2602</v>
      </c>
      <c r="J4166" s="4" t="str">
        <f>IFERROR(__XLUDF.DUMMYFUNCTION("VLOOKUP(H571,IMPORTRANGE(""https://docs.google.com/spreadsheets/d/1opm6ZNvGZ7KditA9TuJwrZ25eFLfTNIkrNnY6mhV5Eg"",""list!A1:C115""),3,TRUE)"),"le secteur de la tech")</f>
        <v xml:space="preserve">le secteur de la tech</v>
      </c>
      <c r="K4166" s="5" t="s">
        <v>29768</v>
      </c>
      <c r="L4166" s="5" t="s">
        <v>29769</v>
      </c>
      <c r="M4166" s="4" t="s">
        <v>39</v>
      </c>
      <c r="N4166" s="4" t="s">
        <v>29</v>
      </c>
      <c r="O4166" s="4" t="s">
        <v>5865</v>
      </c>
      <c r="P4166" s="4" t="s">
        <v>29</v>
      </c>
      <c r="Q4166" s="4" t="s">
        <v>29770</v>
      </c>
      <c r="R4166" s="6"/>
      <c r="S4166" s="6"/>
      <c r="T4166" s="6"/>
      <c r="U4166" s="6"/>
      <c r="V4166" s="6"/>
      <c r="W4166" s="6"/>
      <c r="X4166" s="6"/>
      <c r="Y4166" s="6"/>
      <c r="Z4166" s="6"/>
      <c r="AA4166" s="6"/>
    </row>
    <row r="4167" ht="14.25">
      <c r="B4167" s="4" t="s">
        <v>29771</v>
      </c>
      <c r="C4167" s="4" t="s">
        <v>29772</v>
      </c>
      <c r="D4167" s="4" t="s">
        <v>29773</v>
      </c>
      <c r="E4167" s="5" t="s">
        <v>29774</v>
      </c>
      <c r="F4167" s="5" t="str">
        <f>IFERROR(__XLUDF.DUMMYFUNCTION("PROPER(REGEXREPLACE(D572,""[^A-Za-z]+ "",""""))"),"Allex.Ai")</f>
        <v>Allex.Ai</v>
      </c>
      <c r="G4167" s="4" t="s">
        <v>29775</v>
      </c>
      <c r="H4167" s="4">
        <v>26</v>
      </c>
      <c r="I4167" s="4" t="s">
        <v>2602</v>
      </c>
      <c r="J4167" s="4" t="str">
        <f>IFERROR(__XLUDF.DUMMYFUNCTION("VLOOKUP(H572,IMPORTRANGE(""https://docs.google.com/spreadsheets/d/1opm6ZNvGZ7KditA9TuJwrZ25eFLfTNIkrNnY6mhV5Eg"",""list!A1:C115""),3,TRUE)"),"le secteur de la tech")</f>
        <v xml:space="preserve">le secteur de la tech</v>
      </c>
      <c r="K4167" s="5" t="s">
        <v>29776</v>
      </c>
      <c r="L4167" s="5" t="s">
        <v>29777</v>
      </c>
      <c r="M4167" s="4" t="s">
        <v>185</v>
      </c>
      <c r="N4167" s="4" t="s">
        <v>29</v>
      </c>
      <c r="O4167" s="4" t="s">
        <v>29778</v>
      </c>
      <c r="P4167" s="4" t="s">
        <v>595</v>
      </c>
      <c r="Q4167" s="4" t="s">
        <v>29779</v>
      </c>
      <c r="R4167" s="6"/>
      <c r="S4167" s="6"/>
      <c r="T4167" s="6"/>
      <c r="U4167" s="6"/>
      <c r="V4167" s="6"/>
      <c r="W4167" s="6"/>
      <c r="X4167" s="6"/>
      <c r="Y4167" s="6"/>
      <c r="Z4167" s="6"/>
      <c r="AA4167" s="6"/>
    </row>
    <row r="4168" ht="14.25">
      <c r="B4168" s="4" t="s">
        <v>29780</v>
      </c>
      <c r="C4168" s="4" t="s">
        <v>29781</v>
      </c>
      <c r="D4168" s="4" t="s">
        <v>315</v>
      </c>
      <c r="E4168" s="4" t="s">
        <v>29782</v>
      </c>
      <c r="F4168" s="4" t="str">
        <f>IFERROR(__XLUDF.DUMMYFUNCTION("PROPER(REGEXREPLACE(D573,""[^A-Za-z]+ "",""""))"),"Incremys")</f>
        <v>Incremys</v>
      </c>
      <c r="G4168" s="4" t="s">
        <v>29783</v>
      </c>
      <c r="H4168" s="4">
        <v>12</v>
      </c>
      <c r="I4168" s="4" t="s">
        <v>2602</v>
      </c>
      <c r="J4168" s="4" t="str">
        <f>IFERROR(__XLUDF.DUMMYFUNCTION("VLOOKUP(H573,IMPORTRANGE(""https://docs.google.com/spreadsheets/d/1opm6ZNvGZ7KditA9TuJwrZ25eFLfTNIkrNnY6mhV5Eg"",""list!A1:C115""),3,TRUE)"),"le secteur de la tech")</f>
        <v xml:space="preserve">le secteur de la tech</v>
      </c>
      <c r="K4168" s="5" t="s">
        <v>29784</v>
      </c>
      <c r="L4168" s="5" t="s">
        <v>29785</v>
      </c>
      <c r="M4168" s="4" t="s">
        <v>39</v>
      </c>
      <c r="N4168" s="4" t="s">
        <v>29</v>
      </c>
      <c r="O4168" s="4" t="s">
        <v>29786</v>
      </c>
      <c r="P4168" s="4" t="s">
        <v>29</v>
      </c>
      <c r="Q4168" s="4" t="s">
        <v>29787</v>
      </c>
      <c r="R4168" s="6"/>
      <c r="S4168" s="6"/>
      <c r="T4168" s="6"/>
      <c r="U4168" s="6"/>
      <c r="V4168" s="6"/>
      <c r="W4168" s="6"/>
      <c r="X4168" s="6"/>
      <c r="Y4168" s="6"/>
      <c r="Z4168" s="6"/>
      <c r="AA4168" s="6"/>
    </row>
    <row r="4169" ht="14.25">
      <c r="B4169" s="4" t="s">
        <v>170</v>
      </c>
      <c r="C4169" s="4" t="s">
        <v>29788</v>
      </c>
      <c r="D4169" s="4" t="s">
        <v>247</v>
      </c>
      <c r="E4169" s="4" t="s">
        <v>29789</v>
      </c>
      <c r="F4169" s="4" t="str">
        <f>IFERROR(__XLUDF.DUMMYFUNCTION("PROPER(REGEXREPLACE(D574,""[^A-Za-z]+ "",""""))"),"Castle It")</f>
        <v xml:space="preserve">Castle It</v>
      </c>
      <c r="G4169" s="4" t="s">
        <v>29790</v>
      </c>
      <c r="H4169" s="4">
        <v>13</v>
      </c>
      <c r="I4169" s="4" t="s">
        <v>2602</v>
      </c>
      <c r="J4169" s="4" t="str">
        <f>IFERROR(__XLUDF.DUMMYFUNCTION("VLOOKUP(H574,IMPORTRANGE(""https://docs.google.com/spreadsheets/d/1opm6ZNvGZ7KditA9TuJwrZ25eFLfTNIkrNnY6mhV5Eg"",""list!A1:C115""),3,TRUE)"),"le secteur de la tech")</f>
        <v xml:space="preserve">le secteur de la tech</v>
      </c>
      <c r="K4169" s="5" t="s">
        <v>29791</v>
      </c>
      <c r="L4169" s="5" t="s">
        <v>29792</v>
      </c>
      <c r="M4169" s="4" t="s">
        <v>3898</v>
      </c>
      <c r="N4169" s="4" t="s">
        <v>29</v>
      </c>
      <c r="O4169" s="4" t="s">
        <v>29793</v>
      </c>
      <c r="P4169" s="4" t="s">
        <v>29</v>
      </c>
      <c r="Q4169" s="4" t="s">
        <v>29794</v>
      </c>
      <c r="R4169" s="6"/>
      <c r="S4169" s="6"/>
      <c r="T4169" s="6"/>
      <c r="U4169" s="6"/>
      <c r="V4169" s="6"/>
      <c r="W4169" s="6"/>
      <c r="X4169" s="6"/>
      <c r="Y4169" s="6"/>
      <c r="Z4169" s="6"/>
      <c r="AA4169" s="6"/>
    </row>
    <row r="4170" ht="14.25">
      <c r="B4170" s="4" t="s">
        <v>20</v>
      </c>
      <c r="C4170" s="4" t="s">
        <v>29795</v>
      </c>
      <c r="D4170" s="4" t="s">
        <v>29796</v>
      </c>
      <c r="E4170" s="4" t="s">
        <v>29797</v>
      </c>
      <c r="F4170" s="4" t="str">
        <f>IFERROR(__XLUDF.DUMMYFUNCTION("PROPER(REGEXREPLACE(D575,""[^A-Za-z]+ "",""""))"),"Bemsp")</f>
        <v>Bemsp</v>
      </c>
      <c r="G4170" s="4" t="s">
        <v>29798</v>
      </c>
      <c r="H4170" s="4">
        <v>21</v>
      </c>
      <c r="I4170" s="4" t="s">
        <v>2602</v>
      </c>
      <c r="J4170" s="4" t="str">
        <f>IFERROR(__XLUDF.DUMMYFUNCTION("VLOOKUP(H575,IMPORTRANGE(""https://docs.google.com/spreadsheets/d/1opm6ZNvGZ7KditA9TuJwrZ25eFLfTNIkrNnY6mhV5Eg"",""list!A1:C115""),3,TRUE)"),"le secteur de la tech")</f>
        <v xml:space="preserve">le secteur de la tech</v>
      </c>
      <c r="K4170" s="5" t="s">
        <v>29799</v>
      </c>
      <c r="L4170" s="5" t="s">
        <v>29800</v>
      </c>
      <c r="M4170" s="6"/>
      <c r="N4170" s="4" t="s">
        <v>29</v>
      </c>
      <c r="O4170" s="4" t="s">
        <v>29801</v>
      </c>
      <c r="P4170" s="4" t="s">
        <v>29</v>
      </c>
      <c r="Q4170" s="4" t="s">
        <v>29802</v>
      </c>
      <c r="R4170" s="6"/>
      <c r="S4170" s="6"/>
      <c r="T4170" s="6"/>
      <c r="U4170" s="6"/>
      <c r="V4170" s="6"/>
      <c r="W4170" s="6"/>
      <c r="X4170" s="6"/>
      <c r="Y4170" s="6"/>
      <c r="Z4170" s="6"/>
      <c r="AA4170" s="6"/>
    </row>
    <row r="4171" ht="14.25">
      <c r="B4171" s="4" t="s">
        <v>661</v>
      </c>
      <c r="C4171" s="4" t="s">
        <v>29803</v>
      </c>
      <c r="D4171" s="4" t="s">
        <v>29804</v>
      </c>
      <c r="E4171" s="4" t="s">
        <v>22278</v>
      </c>
      <c r="F4171" s="4" t="str">
        <f>IFERROR(__XLUDF.DUMMYFUNCTION("PROPER(REGEXREPLACE(D576,""[^A-Za-z]+ "",""""))"),"Becycure")</f>
        <v>Becycure</v>
      </c>
      <c r="G4171" s="4" t="s">
        <v>29805</v>
      </c>
      <c r="H4171" s="4">
        <v>15</v>
      </c>
      <c r="I4171" s="4" t="s">
        <v>2602</v>
      </c>
      <c r="J4171" s="4" t="str">
        <f>IFERROR(__XLUDF.DUMMYFUNCTION("VLOOKUP(H576,IMPORTRANGE(""https://docs.google.com/spreadsheets/d/1opm6ZNvGZ7KditA9TuJwrZ25eFLfTNIkrNnY6mhV5Eg"",""list!A1:C115""),3,TRUE)"),"le secteur de la tech")</f>
        <v xml:space="preserve">le secteur de la tech</v>
      </c>
      <c r="K4171" s="5" t="s">
        <v>29806</v>
      </c>
      <c r="L4171" s="5" t="s">
        <v>22281</v>
      </c>
      <c r="M4171" s="4" t="s">
        <v>39</v>
      </c>
      <c r="N4171" s="4" t="s">
        <v>29</v>
      </c>
      <c r="O4171" s="4" t="s">
        <v>546</v>
      </c>
      <c r="P4171" s="4" t="s">
        <v>29</v>
      </c>
      <c r="Q4171" s="4" t="s">
        <v>22282</v>
      </c>
      <c r="R4171" s="6"/>
      <c r="S4171" s="6"/>
      <c r="T4171" s="6"/>
      <c r="U4171" s="6"/>
      <c r="V4171" s="6"/>
      <c r="W4171" s="6"/>
      <c r="X4171" s="6"/>
      <c r="Y4171" s="6"/>
      <c r="Z4171" s="6"/>
      <c r="AA4171" s="6"/>
    </row>
    <row r="4172" ht="14.25">
      <c r="B4172" s="4" t="s">
        <v>2105</v>
      </c>
      <c r="C4172" s="4" t="s">
        <v>29664</v>
      </c>
      <c r="D4172" s="4" t="s">
        <v>7155</v>
      </c>
      <c r="E4172" s="4" t="s">
        <v>29665</v>
      </c>
      <c r="F4172" s="4" t="str">
        <f>IFERROR(__XLUDF.DUMMYFUNCTION("PROPER(REGEXREPLACE(D577,""[^A-Za-z]+ "",""""))"),"Atakama")</f>
        <v>Atakama</v>
      </c>
      <c r="G4172" s="4" t="s">
        <v>29807</v>
      </c>
      <c r="H4172" s="4">
        <v>29</v>
      </c>
      <c r="I4172" s="4" t="s">
        <v>2602</v>
      </c>
      <c r="J4172" s="4" t="str">
        <f>IFERROR(__XLUDF.DUMMYFUNCTION("VLOOKUP(H577,IMPORTRANGE(""https://docs.google.com/spreadsheets/d/1opm6ZNvGZ7KditA9TuJwrZ25eFLfTNIkrNnY6mhV5Eg"",""list!A1:C115""),3,TRUE)"),"le secteur de la tech")</f>
        <v xml:space="preserve">le secteur de la tech</v>
      </c>
      <c r="K4172" s="5" t="s">
        <v>29808</v>
      </c>
      <c r="L4172" s="5" t="s">
        <v>29668</v>
      </c>
      <c r="M4172" s="4" t="s">
        <v>10088</v>
      </c>
      <c r="N4172" s="4" t="s">
        <v>29</v>
      </c>
      <c r="O4172" s="4" t="s">
        <v>29669</v>
      </c>
      <c r="P4172" s="4" t="s">
        <v>29</v>
      </c>
      <c r="Q4172" s="4" t="s">
        <v>29670</v>
      </c>
      <c r="R4172" s="6"/>
      <c r="S4172" s="6"/>
      <c r="T4172" s="6"/>
      <c r="U4172" s="6"/>
      <c r="V4172" s="6"/>
      <c r="W4172" s="6"/>
      <c r="X4172" s="6"/>
      <c r="Y4172" s="6"/>
      <c r="Z4172" s="6"/>
      <c r="AA4172" s="6"/>
    </row>
    <row r="4173" ht="14.25">
      <c r="B4173" s="4" t="s">
        <v>769</v>
      </c>
      <c r="C4173" s="4" t="s">
        <v>29809</v>
      </c>
      <c r="D4173" s="4" t="s">
        <v>1130</v>
      </c>
      <c r="E4173" s="4" t="s">
        <v>29810</v>
      </c>
      <c r="F4173" s="4" t="str">
        <f>IFERROR(__XLUDF.DUMMYFUNCTION("PROPER(REGEXREPLACE(D578,""[^A-Za-z]+ "",""""))"),"Pa")</f>
        <v>Pa</v>
      </c>
      <c r="G4173" s="4" t="s">
        <v>29811</v>
      </c>
      <c r="H4173" s="4">
        <v>25</v>
      </c>
      <c r="I4173" s="4" t="s">
        <v>2602</v>
      </c>
      <c r="J4173" s="4" t="str">
        <f>IFERROR(__XLUDF.DUMMYFUNCTION("VLOOKUP(H578,IMPORTRANGE(""https://docs.google.com/spreadsheets/d/1opm6ZNvGZ7KditA9TuJwrZ25eFLfTNIkrNnY6mhV5Eg"",""list!A1:C115""),3,TRUE)"),"le secteur de la tech")</f>
        <v xml:space="preserve">le secteur de la tech</v>
      </c>
      <c r="K4173" s="5" t="s">
        <v>29812</v>
      </c>
      <c r="L4173" s="5" t="s">
        <v>29813</v>
      </c>
      <c r="M4173" s="4" t="s">
        <v>1711</v>
      </c>
      <c r="N4173" s="4" t="s">
        <v>29</v>
      </c>
      <c r="O4173" s="4" t="s">
        <v>29814</v>
      </c>
      <c r="P4173" s="4" t="s">
        <v>1548</v>
      </c>
      <c r="Q4173" s="6"/>
      <c r="R4173" s="6"/>
      <c r="S4173" s="6"/>
      <c r="T4173" s="6"/>
      <c r="U4173" s="6"/>
      <c r="V4173" s="6"/>
      <c r="W4173" s="6"/>
      <c r="X4173" s="6"/>
      <c r="Y4173" s="6"/>
      <c r="Z4173" s="6"/>
      <c r="AA4173" s="6"/>
    </row>
    <row r="4174" ht="14.25">
      <c r="B4174" s="4" t="s">
        <v>710</v>
      </c>
      <c r="C4174" s="4" t="s">
        <v>29815</v>
      </c>
      <c r="D4174" s="4" t="s">
        <v>230</v>
      </c>
      <c r="E4174" s="4" t="s">
        <v>29816</v>
      </c>
      <c r="F4174" s="4" t="str">
        <f>IFERROR(__XLUDF.DUMMYFUNCTION("PROPER(REGEXREPLACE(D579,""[^A-Za-z]+ "",""""))"),"Tokywoky")</f>
        <v>Tokywoky</v>
      </c>
      <c r="G4174" s="4" t="s">
        <v>29817</v>
      </c>
      <c r="H4174" s="4">
        <v>18</v>
      </c>
      <c r="I4174" s="4" t="s">
        <v>2602</v>
      </c>
      <c r="J4174" s="4" t="str">
        <f>IFERROR(__XLUDF.DUMMYFUNCTION("VLOOKUP(H579,IMPORTRANGE(""https://docs.google.com/spreadsheets/d/1opm6ZNvGZ7KditA9TuJwrZ25eFLfTNIkrNnY6mhV5Eg"",""list!A1:C115""),3,TRUE)"),"le secteur de la tech")</f>
        <v xml:space="preserve">le secteur de la tech</v>
      </c>
      <c r="K4174" s="5" t="s">
        <v>29818</v>
      </c>
      <c r="L4174" s="5" t="s">
        <v>29819</v>
      </c>
      <c r="M4174" s="4" t="s">
        <v>39</v>
      </c>
      <c r="N4174" s="4" t="s">
        <v>29</v>
      </c>
      <c r="O4174" s="4" t="s">
        <v>29820</v>
      </c>
      <c r="P4174" s="4" t="s">
        <v>29</v>
      </c>
      <c r="Q4174" s="6"/>
      <c r="R4174" s="6"/>
      <c r="S4174" s="6"/>
      <c r="T4174" s="6"/>
      <c r="U4174" s="6"/>
      <c r="V4174" s="6"/>
      <c r="W4174" s="6"/>
      <c r="X4174" s="6"/>
      <c r="Y4174" s="6"/>
      <c r="Z4174" s="6"/>
      <c r="AA4174" s="6"/>
    </row>
    <row r="4175" ht="14.25">
      <c r="B4175" s="4" t="s">
        <v>579</v>
      </c>
      <c r="C4175" s="4" t="s">
        <v>29821</v>
      </c>
      <c r="D4175" s="4" t="s">
        <v>120</v>
      </c>
      <c r="E4175" s="4" t="s">
        <v>29822</v>
      </c>
      <c r="F4175" s="4" t="str">
        <f>IFERROR(__XLUDF.DUMMYFUNCTION("PROPER(REGEXREPLACE(D580,""[^A-Za-z]+ "",""""))"),"Quiz Coach")</f>
        <v xml:space="preserve">Quiz Coach</v>
      </c>
      <c r="G4175" s="4" t="s">
        <v>29823</v>
      </c>
      <c r="H4175" s="4">
        <v>16</v>
      </c>
      <c r="I4175" s="4" t="s">
        <v>2602</v>
      </c>
      <c r="J4175" s="4" t="str">
        <f>IFERROR(__XLUDF.DUMMYFUNCTION("VLOOKUP(H580,IMPORTRANGE(""https://docs.google.com/spreadsheets/d/1opm6ZNvGZ7KditA9TuJwrZ25eFLfTNIkrNnY6mhV5Eg"",""list!A1:C115""),3,TRUE)"),"le secteur de la tech")</f>
        <v xml:space="preserve">le secteur de la tech</v>
      </c>
      <c r="K4175" s="5" t="s">
        <v>29824</v>
      </c>
      <c r="L4175" s="5" t="s">
        <v>29825</v>
      </c>
      <c r="M4175" s="4" t="s">
        <v>774</v>
      </c>
      <c r="N4175" s="4" t="s">
        <v>29</v>
      </c>
      <c r="O4175" s="4" t="s">
        <v>29826</v>
      </c>
      <c r="P4175" s="4" t="s">
        <v>29</v>
      </c>
      <c r="Q4175" s="4" t="s">
        <v>29827</v>
      </c>
      <c r="R4175" s="6"/>
      <c r="S4175" s="6"/>
      <c r="T4175" s="6"/>
      <c r="U4175" s="6"/>
      <c r="V4175" s="6"/>
      <c r="W4175" s="6"/>
      <c r="X4175" s="6"/>
      <c r="Y4175" s="6"/>
      <c r="Z4175" s="6"/>
      <c r="AA4175" s="6"/>
    </row>
    <row r="4176" ht="14.25">
      <c r="B4176" s="4" t="s">
        <v>29828</v>
      </c>
      <c r="C4176" s="4" t="s">
        <v>29829</v>
      </c>
      <c r="D4176" s="4" t="s">
        <v>315</v>
      </c>
      <c r="E4176" s="4" t="s">
        <v>29830</v>
      </c>
      <c r="F4176" s="4" t="str">
        <f>IFERROR(__XLUDF.DUMMYFUNCTION("PROPER(REGEXREPLACE(D581,""[^A-Za-z]+ "",""""))"),"Nanea")</f>
        <v>Nanea</v>
      </c>
      <c r="G4176" s="4" t="s">
        <v>29831</v>
      </c>
      <c r="H4176" s="4">
        <v>8</v>
      </c>
      <c r="I4176" s="4" t="s">
        <v>2602</v>
      </c>
      <c r="J4176" s="4" t="str">
        <f>IFERROR(__XLUDF.DUMMYFUNCTION("VLOOKUP(H581,IMPORTRANGE(""https://docs.google.com/spreadsheets/d/1opm6ZNvGZ7KditA9TuJwrZ25eFLfTNIkrNnY6mhV5Eg"",""list!A1:C115""),3,TRUE)"),"le secteur de la tech")</f>
        <v xml:space="preserve">le secteur de la tech</v>
      </c>
      <c r="K4176" s="5" t="s">
        <v>29832</v>
      </c>
      <c r="L4176" s="5" t="s">
        <v>29833</v>
      </c>
      <c r="M4176" s="4" t="s">
        <v>39</v>
      </c>
      <c r="N4176" s="4" t="s">
        <v>29</v>
      </c>
      <c r="O4176" s="4" t="s">
        <v>29834</v>
      </c>
      <c r="P4176" s="4" t="s">
        <v>2388</v>
      </c>
      <c r="Q4176" s="4" t="s">
        <v>29835</v>
      </c>
      <c r="R4176" s="6"/>
      <c r="S4176" s="6"/>
      <c r="T4176" s="6"/>
      <c r="U4176" s="6"/>
      <c r="V4176" s="6"/>
      <c r="W4176" s="6"/>
      <c r="X4176" s="6"/>
      <c r="Y4176" s="6"/>
      <c r="Z4176" s="6"/>
      <c r="AA4176" s="6"/>
    </row>
    <row r="4177" ht="14.25">
      <c r="B4177" s="4" t="s">
        <v>330</v>
      </c>
      <c r="C4177" s="4" t="s">
        <v>29836</v>
      </c>
      <c r="D4177" s="4" t="s">
        <v>172</v>
      </c>
      <c r="E4177" s="4" t="s">
        <v>29837</v>
      </c>
      <c r="F4177" s="4" t="str">
        <f>IFERROR(__XLUDF.DUMMYFUNCTION("PROPER(REGEXREPLACE(D582,""[^A-Za-z]+ "",""""))"),"Global Pos")</f>
        <v xml:space="preserve">Global Pos</v>
      </c>
      <c r="G4177" s="4" t="s">
        <v>29838</v>
      </c>
      <c r="H4177" s="4">
        <v>24</v>
      </c>
      <c r="I4177" s="4" t="s">
        <v>2602</v>
      </c>
      <c r="J4177" s="4" t="str">
        <f>IFERROR(__XLUDF.DUMMYFUNCTION("VLOOKUP(H582,IMPORTRANGE(""https://docs.google.com/spreadsheets/d/1opm6ZNvGZ7KditA9TuJwrZ25eFLfTNIkrNnY6mhV5Eg"",""list!A1:C115""),3,TRUE)"),"le secteur de la tech")</f>
        <v xml:space="preserve">le secteur de la tech</v>
      </c>
      <c r="K4177" s="5" t="s">
        <v>29839</v>
      </c>
      <c r="L4177" s="5" t="s">
        <v>29840</v>
      </c>
      <c r="M4177" s="4" t="s">
        <v>846</v>
      </c>
      <c r="N4177" s="4" t="s">
        <v>29</v>
      </c>
      <c r="O4177" s="4" t="s">
        <v>29841</v>
      </c>
      <c r="P4177" s="4" t="s">
        <v>29</v>
      </c>
      <c r="Q4177" s="4" t="s">
        <v>29842</v>
      </c>
      <c r="R4177" s="6"/>
      <c r="S4177" s="6"/>
      <c r="T4177" s="6"/>
      <c r="U4177" s="6"/>
      <c r="V4177" s="6"/>
      <c r="W4177" s="6"/>
      <c r="X4177" s="6"/>
      <c r="Y4177" s="6"/>
      <c r="Z4177" s="6"/>
      <c r="AA4177" s="6"/>
    </row>
    <row r="4178" ht="14.25">
      <c r="B4178" s="4" t="s">
        <v>2340</v>
      </c>
      <c r="C4178" s="4" t="s">
        <v>29843</v>
      </c>
      <c r="D4178" s="4" t="s">
        <v>29844</v>
      </c>
      <c r="E4178" s="4" t="s">
        <v>29845</v>
      </c>
      <c r="F4178" s="4" t="str">
        <f>IFERROR(__XLUDF.DUMMYFUNCTION("PROPER(REGEXREPLACE(D583,""[^A-Za-z]+ "",""""))"),"Atigroup")</f>
        <v>Atigroup</v>
      </c>
      <c r="G4178" s="4" t="s">
        <v>29846</v>
      </c>
      <c r="H4178" s="4">
        <v>37</v>
      </c>
      <c r="I4178" s="4" t="s">
        <v>2602</v>
      </c>
      <c r="J4178" s="4" t="str">
        <f>IFERROR(__XLUDF.DUMMYFUNCTION("VLOOKUP(H583,IMPORTRANGE(""https://docs.google.com/spreadsheets/d/1opm6ZNvGZ7KditA9TuJwrZ25eFLfTNIkrNnY6mhV5Eg"",""list!A1:C115""),3,TRUE)"),"le secteur de la tech")</f>
        <v xml:space="preserve">le secteur de la tech</v>
      </c>
      <c r="K4178" s="5" t="s">
        <v>29847</v>
      </c>
      <c r="L4178" s="5" t="s">
        <v>29848</v>
      </c>
      <c r="M4178" s="4" t="s">
        <v>29849</v>
      </c>
      <c r="N4178" s="4" t="s">
        <v>29</v>
      </c>
      <c r="O4178" s="4" t="s">
        <v>29850</v>
      </c>
      <c r="P4178" s="4" t="s">
        <v>29</v>
      </c>
      <c r="Q4178" s="4" t="s">
        <v>29851</v>
      </c>
      <c r="R4178" s="6"/>
      <c r="S4178" s="6"/>
      <c r="T4178" s="6"/>
      <c r="U4178" s="6"/>
      <c r="V4178" s="6"/>
      <c r="W4178" s="6"/>
      <c r="X4178" s="6"/>
      <c r="Y4178" s="6"/>
      <c r="Z4178" s="6"/>
      <c r="AA4178" s="6"/>
    </row>
    <row r="4179" ht="14.25">
      <c r="B4179" s="4" t="s">
        <v>26057</v>
      </c>
      <c r="C4179" s="4" t="s">
        <v>29852</v>
      </c>
      <c r="D4179" s="4" t="s">
        <v>172</v>
      </c>
      <c r="E4179" s="5" t="s">
        <v>29691</v>
      </c>
      <c r="F4179" s="5" t="str">
        <f>IFERROR(__XLUDF.DUMMYFUNCTION("PROPER(REGEXREPLACE(D584,""[^A-Za-z]+ "",""""))"),"Brief.Me")</f>
        <v>Brief.Me</v>
      </c>
      <c r="G4179" s="4" t="s">
        <v>29853</v>
      </c>
      <c r="H4179" s="4">
        <v>17</v>
      </c>
      <c r="I4179" s="4" t="s">
        <v>2602</v>
      </c>
      <c r="J4179" s="4" t="str">
        <f>IFERROR(__XLUDF.DUMMYFUNCTION("VLOOKUP(H584,IMPORTRANGE(""https://docs.google.com/spreadsheets/d/1opm6ZNvGZ7KditA9TuJwrZ25eFLfTNIkrNnY6mhV5Eg"",""list!A1:C115""),3,TRUE)"),"le secteur de la tech")</f>
        <v xml:space="preserve">le secteur de la tech</v>
      </c>
      <c r="K4179" s="5" t="s">
        <v>29854</v>
      </c>
      <c r="L4179" s="5" t="s">
        <v>29694</v>
      </c>
      <c r="M4179" s="4" t="s">
        <v>39</v>
      </c>
      <c r="N4179" s="4" t="s">
        <v>29</v>
      </c>
      <c r="O4179" s="4" t="s">
        <v>29695</v>
      </c>
      <c r="P4179" s="4" t="s">
        <v>29</v>
      </c>
      <c r="Q4179" s="4" t="s">
        <v>29696</v>
      </c>
      <c r="R4179" s="6"/>
      <c r="S4179" s="6"/>
      <c r="T4179" s="6"/>
      <c r="U4179" s="6"/>
      <c r="V4179" s="6"/>
      <c r="W4179" s="6"/>
      <c r="X4179" s="6"/>
      <c r="Y4179" s="6"/>
      <c r="Z4179" s="6"/>
      <c r="AA4179" s="6"/>
    </row>
    <row r="4180" ht="14.25">
      <c r="B4180" s="4" t="s">
        <v>2870</v>
      </c>
      <c r="C4180" s="4" t="s">
        <v>29855</v>
      </c>
      <c r="D4180" s="4" t="s">
        <v>29856</v>
      </c>
      <c r="E4180" s="4" t="s">
        <v>12707</v>
      </c>
      <c r="F4180" s="4" t="str">
        <f>IFERROR(__XLUDF.DUMMYFUNCTION("PROPER(REGEXREPLACE(D585,""[^A-Za-z]+ "",""""))"),"Babbar.Tech")</f>
        <v>Babbar.Tech</v>
      </c>
      <c r="G4180" s="4" t="s">
        <v>29857</v>
      </c>
      <c r="H4180" s="4">
        <v>15</v>
      </c>
      <c r="I4180" s="4" t="s">
        <v>2602</v>
      </c>
      <c r="J4180" s="4" t="str">
        <f>IFERROR(__XLUDF.DUMMYFUNCTION("VLOOKUP(H585,IMPORTRANGE(""https://docs.google.com/spreadsheets/d/1opm6ZNvGZ7KditA9TuJwrZ25eFLfTNIkrNnY6mhV5Eg"",""list!A1:C115""),3,TRUE)"),"le secteur de la tech")</f>
        <v xml:space="preserve">le secteur de la tech</v>
      </c>
      <c r="K4180" s="5" t="s">
        <v>29858</v>
      </c>
      <c r="L4180" s="5" t="s">
        <v>28746</v>
      </c>
      <c r="M4180" s="4" t="s">
        <v>39</v>
      </c>
      <c r="N4180" s="4" t="s">
        <v>29</v>
      </c>
      <c r="O4180" s="4" t="s">
        <v>28747</v>
      </c>
      <c r="P4180" s="4" t="s">
        <v>29</v>
      </c>
      <c r="Q4180" s="4" t="s">
        <v>12713</v>
      </c>
      <c r="R4180" s="6"/>
      <c r="S4180" s="6"/>
      <c r="T4180" s="6"/>
      <c r="U4180" s="6"/>
      <c r="V4180" s="6"/>
      <c r="W4180" s="6"/>
      <c r="X4180" s="6"/>
      <c r="Y4180" s="6"/>
      <c r="Z4180" s="6"/>
      <c r="AA4180" s="6"/>
    </row>
    <row r="4181" ht="14.25">
      <c r="B4181" s="4" t="s">
        <v>866</v>
      </c>
      <c r="C4181" s="4" t="s">
        <v>29859</v>
      </c>
      <c r="D4181" s="4" t="s">
        <v>688</v>
      </c>
      <c r="E4181" s="4" t="s">
        <v>29860</v>
      </c>
      <c r="F4181" s="4" t="str">
        <f>IFERROR(__XLUDF.DUMMYFUNCTION("PROPER(REGEXREPLACE(D586,""[^A-Za-z]+ "",""""))"),"Securclés")</f>
        <v>Securclés</v>
      </c>
      <c r="G4181" s="4" t="s">
        <v>29861</v>
      </c>
      <c r="H4181" s="4">
        <v>11</v>
      </c>
      <c r="I4181" s="4" t="s">
        <v>2602</v>
      </c>
      <c r="J4181" s="4" t="str">
        <f>IFERROR(__XLUDF.DUMMYFUNCTION("VLOOKUP(H586,IMPORTRANGE(""https://docs.google.com/spreadsheets/d/1opm6ZNvGZ7KditA9TuJwrZ25eFLfTNIkrNnY6mhV5Eg"",""list!A1:C115""),3,TRUE)"),"le secteur de la tech")</f>
        <v xml:space="preserve">le secteur de la tech</v>
      </c>
      <c r="K4181" s="5" t="s">
        <v>29862</v>
      </c>
      <c r="L4181" s="5" t="s">
        <v>29863</v>
      </c>
      <c r="M4181" s="4" t="s">
        <v>39</v>
      </c>
      <c r="N4181" s="4" t="s">
        <v>29</v>
      </c>
      <c r="O4181" s="4" t="s">
        <v>67</v>
      </c>
      <c r="P4181" s="4" t="s">
        <v>29</v>
      </c>
      <c r="Q4181" s="4" t="s">
        <v>29864</v>
      </c>
      <c r="R4181" s="6"/>
      <c r="S4181" s="6"/>
      <c r="T4181" s="6"/>
      <c r="U4181" s="6"/>
      <c r="V4181" s="6"/>
      <c r="W4181" s="6"/>
      <c r="X4181" s="6"/>
      <c r="Y4181" s="6"/>
      <c r="Z4181" s="6"/>
      <c r="AA4181" s="6"/>
    </row>
    <row r="4182" ht="14.25">
      <c r="B4182" s="4" t="s">
        <v>2419</v>
      </c>
      <c r="C4182" s="4" t="s">
        <v>29865</v>
      </c>
      <c r="D4182" s="4" t="s">
        <v>887</v>
      </c>
      <c r="E4182" s="4" t="s">
        <v>21827</v>
      </c>
      <c r="F4182" s="4" t="str">
        <f>IFERROR(__XLUDF.DUMMYFUNCTION("PROPER(REGEXREPLACE(D587,""[^A-Za-z]+ "",""""))"),"Kowee")</f>
        <v>Kowee</v>
      </c>
      <c r="G4182" s="4" t="s">
        <v>29866</v>
      </c>
      <c r="H4182" s="4">
        <v>10</v>
      </c>
      <c r="I4182" s="4" t="s">
        <v>2602</v>
      </c>
      <c r="J4182" s="4" t="str">
        <f>IFERROR(__XLUDF.DUMMYFUNCTION("VLOOKUP(H587,IMPORTRANGE(""https://docs.google.com/spreadsheets/d/1opm6ZNvGZ7KditA9TuJwrZ25eFLfTNIkrNnY6mhV5Eg"",""list!A1:C115""),3,TRUE)"),"le secteur de la tech")</f>
        <v xml:space="preserve">le secteur de la tech</v>
      </c>
      <c r="K4182" s="5" t="s">
        <v>29867</v>
      </c>
      <c r="L4182" s="5" t="s">
        <v>21830</v>
      </c>
      <c r="M4182" s="4" t="s">
        <v>140</v>
      </c>
      <c r="N4182" s="4" t="s">
        <v>29</v>
      </c>
      <c r="O4182" s="4" t="s">
        <v>21831</v>
      </c>
      <c r="P4182" s="4" t="s">
        <v>29</v>
      </c>
      <c r="Q4182" s="4" t="s">
        <v>21832</v>
      </c>
      <c r="R4182" s="6"/>
      <c r="S4182" s="6"/>
      <c r="T4182" s="6"/>
      <c r="U4182" s="6"/>
      <c r="V4182" s="6"/>
      <c r="W4182" s="6"/>
      <c r="X4182" s="6"/>
      <c r="Y4182" s="6"/>
      <c r="Z4182" s="6"/>
      <c r="AA4182" s="6"/>
    </row>
    <row r="4183" ht="14.25">
      <c r="B4183" s="4" t="s">
        <v>29037</v>
      </c>
      <c r="C4183" s="4" t="s">
        <v>29868</v>
      </c>
      <c r="D4183" s="4" t="s">
        <v>778</v>
      </c>
      <c r="E4183" s="4" t="s">
        <v>29869</v>
      </c>
      <c r="F4183" s="4" t="str">
        <f>IFERROR(__XLUDF.DUMMYFUNCTION("PROPER(REGEXREPLACE(D588,""[^A-Za-z]+ "",""""))"),"Oneskill")</f>
        <v>Oneskill</v>
      </c>
      <c r="G4183" s="4" t="s">
        <v>29870</v>
      </c>
      <c r="H4183" s="4">
        <v>10</v>
      </c>
      <c r="I4183" s="4" t="s">
        <v>2602</v>
      </c>
      <c r="J4183" s="4" t="str">
        <f>IFERROR(__XLUDF.DUMMYFUNCTION("VLOOKUP(H588,IMPORTRANGE(""https://docs.google.com/spreadsheets/d/1opm6ZNvGZ7KditA9TuJwrZ25eFLfTNIkrNnY6mhV5Eg"",""list!A1:C115""),3,TRUE)"),"le secteur de la tech")</f>
        <v xml:space="preserve">le secteur de la tech</v>
      </c>
      <c r="K4183" s="5" t="s">
        <v>29871</v>
      </c>
      <c r="L4183" s="5" t="s">
        <v>29872</v>
      </c>
      <c r="M4183" s="4" t="s">
        <v>39</v>
      </c>
      <c r="N4183" s="4" t="s">
        <v>29</v>
      </c>
      <c r="O4183" s="4" t="s">
        <v>1986</v>
      </c>
      <c r="P4183" s="4" t="s">
        <v>29</v>
      </c>
      <c r="Q4183" s="4" t="s">
        <v>29873</v>
      </c>
      <c r="R4183" s="6"/>
      <c r="S4183" s="6"/>
      <c r="T4183" s="6"/>
      <c r="U4183" s="6"/>
      <c r="V4183" s="6"/>
      <c r="W4183" s="6"/>
      <c r="X4183" s="6"/>
      <c r="Y4183" s="6"/>
      <c r="Z4183" s="6"/>
      <c r="AA4183" s="6"/>
    </row>
    <row r="4184" ht="14.25">
      <c r="B4184" s="4" t="s">
        <v>1571</v>
      </c>
      <c r="C4184" s="4" t="s">
        <v>29874</v>
      </c>
      <c r="D4184" s="4" t="s">
        <v>688</v>
      </c>
      <c r="E4184" s="4" t="s">
        <v>29875</v>
      </c>
      <c r="F4184" s="4" t="str">
        <f>IFERROR(__XLUDF.DUMMYFUNCTION("PROPER(REGEXREPLACE(D589,""[^A-Za-z]+ "",""""))"),"Do Science")</f>
        <v xml:space="preserve">Do Science</v>
      </c>
      <c r="G4184" s="4" t="s">
        <v>29876</v>
      </c>
      <c r="H4184" s="4">
        <v>10</v>
      </c>
      <c r="I4184" s="4" t="s">
        <v>2602</v>
      </c>
      <c r="J4184" s="4" t="str">
        <f>IFERROR(__XLUDF.DUMMYFUNCTION("VLOOKUP(H589,IMPORTRANGE(""https://docs.google.com/spreadsheets/d/1opm6ZNvGZ7KditA9TuJwrZ25eFLfTNIkrNnY6mhV5Eg"",""list!A1:C115""),3,TRUE)"),"le secteur de la tech")</f>
        <v xml:space="preserve">le secteur de la tech</v>
      </c>
      <c r="K4184" s="5" t="s">
        <v>29877</v>
      </c>
      <c r="L4184" s="5" t="s">
        <v>29878</v>
      </c>
      <c r="M4184" s="6"/>
      <c r="N4184" s="4" t="s">
        <v>29</v>
      </c>
      <c r="O4184" s="6"/>
      <c r="P4184" s="6"/>
      <c r="Q4184" s="4" t="s">
        <v>29879</v>
      </c>
      <c r="R4184" s="6"/>
      <c r="S4184" s="6"/>
      <c r="T4184" s="6"/>
      <c r="U4184" s="6"/>
      <c r="V4184" s="6"/>
      <c r="W4184" s="6"/>
      <c r="X4184" s="6"/>
      <c r="Y4184" s="6"/>
      <c r="Z4184" s="6"/>
      <c r="AA4184" s="6"/>
    </row>
    <row r="4185" ht="14.25">
      <c r="B4185" s="4" t="s">
        <v>1215</v>
      </c>
      <c r="C4185" s="4" t="s">
        <v>28692</v>
      </c>
      <c r="D4185" s="4" t="s">
        <v>3188</v>
      </c>
      <c r="E4185" s="4" t="s">
        <v>12874</v>
      </c>
      <c r="F4185" s="4" t="str">
        <f>IFERROR(__XLUDF.DUMMYFUNCTION("PROPER(REGEXREPLACE(D590,""[^A-Za-z]+ "",""""))"),"Spellz")</f>
        <v>Spellz</v>
      </c>
      <c r="G4185" s="4" t="s">
        <v>29880</v>
      </c>
      <c r="H4185" s="4">
        <v>12</v>
      </c>
      <c r="I4185" s="4" t="s">
        <v>2602</v>
      </c>
      <c r="J4185" s="4" t="str">
        <f>IFERROR(__XLUDF.DUMMYFUNCTION("VLOOKUP(H590,IMPORTRANGE(""https://docs.google.com/spreadsheets/d/1opm6ZNvGZ7KditA9TuJwrZ25eFLfTNIkrNnY6mhV5Eg"",""list!A1:C115""),3,TRUE)"),"le secteur de la tech")</f>
        <v xml:space="preserve">le secteur de la tech</v>
      </c>
      <c r="K4185" s="5" t="s">
        <v>29881</v>
      </c>
      <c r="L4185" s="5" t="s">
        <v>29882</v>
      </c>
      <c r="M4185" s="4" t="s">
        <v>39</v>
      </c>
      <c r="N4185" s="4" t="s">
        <v>29</v>
      </c>
      <c r="O4185" s="4" t="s">
        <v>67</v>
      </c>
      <c r="P4185" s="4" t="s">
        <v>29</v>
      </c>
      <c r="Q4185" s="6"/>
      <c r="R4185" s="6"/>
      <c r="S4185" s="6"/>
      <c r="T4185" s="6"/>
      <c r="U4185" s="6"/>
      <c r="V4185" s="6"/>
      <c r="W4185" s="6"/>
      <c r="X4185" s="6"/>
      <c r="Y4185" s="6"/>
      <c r="Z4185" s="6"/>
      <c r="AA4185" s="6"/>
    </row>
    <row r="4186" ht="14.25">
      <c r="B4186" s="4" t="s">
        <v>206</v>
      </c>
      <c r="C4186" s="4" t="s">
        <v>29883</v>
      </c>
      <c r="D4186" s="4" t="s">
        <v>13589</v>
      </c>
      <c r="E4186" s="4" t="s">
        <v>29884</v>
      </c>
      <c r="F4186" s="4" t="str">
        <f>IFERROR(__XLUDF.DUMMYFUNCTION("PROPER(REGEXREPLACE(D591,""[^A-Za-z]+ "",""""))"),"Ketrium")</f>
        <v>Ketrium</v>
      </c>
      <c r="G4186" s="4" t="s">
        <v>29885</v>
      </c>
      <c r="H4186" s="4">
        <v>14</v>
      </c>
      <c r="I4186" s="4" t="s">
        <v>2602</v>
      </c>
      <c r="J4186" s="4" t="str">
        <f>IFERROR(__XLUDF.DUMMYFUNCTION("VLOOKUP(H591,IMPORTRANGE(""https://docs.google.com/spreadsheets/d/1opm6ZNvGZ7KditA9TuJwrZ25eFLfTNIkrNnY6mhV5Eg"",""list!A1:C115""),3,TRUE)"),"le secteur de la tech")</f>
        <v xml:space="preserve">le secteur de la tech</v>
      </c>
      <c r="K4186" s="5" t="s">
        <v>29886</v>
      </c>
      <c r="L4186" s="5" t="s">
        <v>29887</v>
      </c>
      <c r="M4186" s="4" t="s">
        <v>39</v>
      </c>
      <c r="N4186" s="4" t="s">
        <v>29</v>
      </c>
      <c r="O4186" s="4" t="s">
        <v>29888</v>
      </c>
      <c r="P4186" s="4" t="s">
        <v>29</v>
      </c>
      <c r="Q4186" s="6"/>
      <c r="R4186" s="6"/>
      <c r="S4186" s="6"/>
      <c r="T4186" s="6"/>
      <c r="U4186" s="6"/>
      <c r="V4186" s="6"/>
      <c r="W4186" s="6"/>
      <c r="X4186" s="6"/>
      <c r="Y4186" s="6"/>
      <c r="Z4186" s="6"/>
      <c r="AA4186" s="6"/>
    </row>
    <row r="4187" ht="14.25">
      <c r="B4187" s="4" t="s">
        <v>3002</v>
      </c>
      <c r="C4187" s="4" t="s">
        <v>1866</v>
      </c>
      <c r="D4187" s="4" t="s">
        <v>247</v>
      </c>
      <c r="E4187" s="4" t="s">
        <v>20468</v>
      </c>
      <c r="F4187" s="4" t="str">
        <f>IFERROR(__XLUDF.DUMMYFUNCTION("PROPER(REGEXREPLACE(D592,""[^A-Za-z]+ "",""""))"),"Functori")</f>
        <v>Functori</v>
      </c>
      <c r="G4187" s="4" t="s">
        <v>29889</v>
      </c>
      <c r="H4187" s="4">
        <v>12</v>
      </c>
      <c r="I4187" s="4" t="s">
        <v>2602</v>
      </c>
      <c r="J4187" s="4" t="str">
        <f>IFERROR(__XLUDF.DUMMYFUNCTION("VLOOKUP(H592,IMPORTRANGE(""https://docs.google.com/spreadsheets/d/1opm6ZNvGZ7KditA9TuJwrZ25eFLfTNIkrNnY6mhV5Eg"",""list!A1:C115""),3,TRUE)"),"le secteur de la tech")</f>
        <v xml:space="preserve">le secteur de la tech</v>
      </c>
      <c r="K4187" s="5" t="s">
        <v>29890</v>
      </c>
      <c r="L4187" s="5" t="s">
        <v>20471</v>
      </c>
      <c r="M4187" s="4" t="s">
        <v>39</v>
      </c>
      <c r="N4187" s="4" t="s">
        <v>29</v>
      </c>
      <c r="O4187" s="4" t="s">
        <v>20472</v>
      </c>
      <c r="P4187" s="4" t="s">
        <v>29</v>
      </c>
      <c r="Q4187" s="4" t="s">
        <v>20473</v>
      </c>
      <c r="R4187" s="6"/>
      <c r="S4187" s="6"/>
      <c r="T4187" s="6"/>
      <c r="U4187" s="6"/>
      <c r="V4187" s="6"/>
      <c r="W4187" s="6"/>
      <c r="X4187" s="6"/>
      <c r="Y4187" s="6"/>
      <c r="Z4187" s="6"/>
      <c r="AA4187" s="6"/>
    </row>
    <row r="4188" ht="14.25">
      <c r="B4188" s="4" t="s">
        <v>20</v>
      </c>
      <c r="C4188" s="4" t="s">
        <v>29891</v>
      </c>
      <c r="D4188" s="4" t="s">
        <v>29892</v>
      </c>
      <c r="E4188" s="4" t="s">
        <v>29893</v>
      </c>
      <c r="F4188" s="4" t="str">
        <f>IFERROR(__XLUDF.DUMMYFUNCTION("PROPER(REGEXREPLACE(D593,""[^A-Za-z]+ "",""""))"),"Beeldi")</f>
        <v>Beeldi</v>
      </c>
      <c r="G4188" s="4" t="s">
        <v>29894</v>
      </c>
      <c r="H4188" s="4">
        <v>39</v>
      </c>
      <c r="I4188" s="4" t="s">
        <v>2602</v>
      </c>
      <c r="J4188" s="4" t="str">
        <f>IFERROR(__XLUDF.DUMMYFUNCTION("VLOOKUP(H593,IMPORTRANGE(""https://docs.google.com/spreadsheets/d/1opm6ZNvGZ7KditA9TuJwrZ25eFLfTNIkrNnY6mhV5Eg"",""list!A1:C115""),3,TRUE)"),"le secteur de la tech")</f>
        <v xml:space="preserve">le secteur de la tech</v>
      </c>
      <c r="K4188" s="5" t="s">
        <v>29895</v>
      </c>
      <c r="L4188" s="5" t="s">
        <v>29896</v>
      </c>
      <c r="M4188" s="4" t="s">
        <v>39</v>
      </c>
      <c r="N4188" s="4" t="s">
        <v>29</v>
      </c>
      <c r="O4188" s="4" t="s">
        <v>611</v>
      </c>
      <c r="P4188" s="4" t="s">
        <v>29</v>
      </c>
      <c r="Q4188" s="4" t="s">
        <v>29897</v>
      </c>
      <c r="R4188" s="6"/>
      <c r="S4188" s="6"/>
      <c r="T4188" s="6"/>
      <c r="U4188" s="6"/>
      <c r="V4188" s="6"/>
      <c r="W4188" s="6"/>
      <c r="X4188" s="6"/>
      <c r="Y4188" s="6"/>
      <c r="Z4188" s="6"/>
      <c r="AA4188" s="6"/>
    </row>
    <row r="4189" ht="14.25">
      <c r="B4189" s="4" t="s">
        <v>3892</v>
      </c>
      <c r="C4189" s="4" t="s">
        <v>29898</v>
      </c>
      <c r="D4189" s="4" t="s">
        <v>172</v>
      </c>
      <c r="E4189" s="4" t="s">
        <v>29899</v>
      </c>
      <c r="F4189" s="4" t="str">
        <f>IFERROR(__XLUDF.DUMMYFUNCTION("PROPER(REGEXREPLACE(D594,""[^A-Za-z]+ "",""""))"),"Igtech")</f>
        <v>Igtech</v>
      </c>
      <c r="G4189" s="4" t="s">
        <v>29900</v>
      </c>
      <c r="H4189" s="4">
        <v>9</v>
      </c>
      <c r="I4189" s="4" t="s">
        <v>2602</v>
      </c>
      <c r="J4189" s="4" t="str">
        <f>IFERROR(__XLUDF.DUMMYFUNCTION("VLOOKUP(H594,IMPORTRANGE(""https://docs.google.com/spreadsheets/d/1opm6ZNvGZ7KditA9TuJwrZ25eFLfTNIkrNnY6mhV5Eg"",""list!A1:C115""),3,TRUE)"),"le secteur de la tech")</f>
        <v xml:space="preserve">le secteur de la tech</v>
      </c>
      <c r="K4189" s="5" t="s">
        <v>29901</v>
      </c>
      <c r="L4189" s="5" t="s">
        <v>29902</v>
      </c>
      <c r="M4189" s="4" t="s">
        <v>185</v>
      </c>
      <c r="N4189" s="4" t="s">
        <v>29</v>
      </c>
      <c r="O4189" s="4" t="s">
        <v>29903</v>
      </c>
      <c r="P4189" s="4" t="s">
        <v>29</v>
      </c>
      <c r="Q4189" s="6"/>
      <c r="R4189" s="6"/>
      <c r="S4189" s="6"/>
      <c r="T4189" s="6"/>
      <c r="U4189" s="6"/>
      <c r="V4189" s="6"/>
      <c r="W4189" s="6"/>
      <c r="X4189" s="6"/>
      <c r="Y4189" s="6"/>
      <c r="Z4189" s="6"/>
      <c r="AA4189" s="6"/>
    </row>
    <row r="4190" ht="14.25">
      <c r="B4190" s="4" t="s">
        <v>4132</v>
      </c>
      <c r="C4190" s="4" t="s">
        <v>29904</v>
      </c>
      <c r="D4190" s="4" t="s">
        <v>19297</v>
      </c>
      <c r="E4190" s="4" t="s">
        <v>29905</v>
      </c>
      <c r="F4190" s="4" t="str">
        <f>IFERROR(__XLUDF.DUMMYFUNCTION("PROPER(REGEXREPLACE(D595,""[^A-Za-z]+ "",""""))"),"Lexico")</f>
        <v>Lexico</v>
      </c>
      <c r="G4190" s="4" t="s">
        <v>29906</v>
      </c>
      <c r="H4190" s="4">
        <v>33</v>
      </c>
      <c r="I4190" s="4" t="s">
        <v>2602</v>
      </c>
      <c r="J4190" s="4" t="str">
        <f>IFERROR(__XLUDF.DUMMYFUNCTION("VLOOKUP(H595,IMPORTRANGE(""https://docs.google.com/spreadsheets/d/1opm6ZNvGZ7KditA9TuJwrZ25eFLfTNIkrNnY6mhV5Eg"",""list!A1:C115""),3,TRUE)"),"le secteur de la tech")</f>
        <v xml:space="preserve">le secteur de la tech</v>
      </c>
      <c r="K4190" s="5" t="s">
        <v>29907</v>
      </c>
      <c r="L4190" s="5" t="s">
        <v>29908</v>
      </c>
      <c r="M4190" s="4" t="s">
        <v>39</v>
      </c>
      <c r="N4190" s="4" t="s">
        <v>29</v>
      </c>
      <c r="O4190" s="4" t="s">
        <v>29909</v>
      </c>
      <c r="P4190" s="4" t="s">
        <v>29</v>
      </c>
      <c r="Q4190" s="4" t="s">
        <v>29910</v>
      </c>
      <c r="R4190" s="6"/>
      <c r="S4190" s="6"/>
      <c r="T4190" s="6"/>
      <c r="U4190" s="6"/>
      <c r="V4190" s="6"/>
      <c r="W4190" s="6"/>
      <c r="X4190" s="6"/>
      <c r="Y4190" s="6"/>
      <c r="Z4190" s="6"/>
      <c r="AA4190" s="6"/>
    </row>
    <row r="4191" ht="14.25">
      <c r="B4191" s="4" t="s">
        <v>785</v>
      </c>
      <c r="C4191" s="4" t="s">
        <v>15783</v>
      </c>
      <c r="D4191" s="4" t="s">
        <v>172</v>
      </c>
      <c r="E4191" s="4" t="s">
        <v>29911</v>
      </c>
      <c r="F4191" s="4" t="str">
        <f>IFERROR(__XLUDF.DUMMYFUNCTION("PROPER(REGEXREPLACE(D596,""[^A-Za-z]+ "",""""))"),"Gingerminds")</f>
        <v>Gingerminds</v>
      </c>
      <c r="G4191" s="4" t="s">
        <v>29912</v>
      </c>
      <c r="H4191" s="4">
        <v>44</v>
      </c>
      <c r="I4191" s="4" t="s">
        <v>2602</v>
      </c>
      <c r="J4191" s="4" t="str">
        <f>IFERROR(__XLUDF.DUMMYFUNCTION("VLOOKUP(H596,IMPORTRANGE(""https://docs.google.com/spreadsheets/d/1opm6ZNvGZ7KditA9TuJwrZ25eFLfTNIkrNnY6mhV5Eg"",""list!A1:C115""),3,TRUE)"),"le secteur de la tech")</f>
        <v xml:space="preserve">le secteur de la tech</v>
      </c>
      <c r="K4191" s="5" t="s">
        <v>29913</v>
      </c>
      <c r="L4191" s="5" t="s">
        <v>29914</v>
      </c>
      <c r="M4191" s="4" t="s">
        <v>1711</v>
      </c>
      <c r="N4191" s="4" t="s">
        <v>29</v>
      </c>
      <c r="O4191" s="4" t="s">
        <v>29915</v>
      </c>
      <c r="P4191" s="4" t="s">
        <v>29</v>
      </c>
      <c r="Q4191" s="4" t="s">
        <v>29916</v>
      </c>
      <c r="R4191" s="6"/>
      <c r="S4191" s="6"/>
      <c r="T4191" s="6"/>
      <c r="U4191" s="6"/>
      <c r="V4191" s="6"/>
      <c r="W4191" s="6"/>
      <c r="X4191" s="6"/>
      <c r="Y4191" s="6"/>
      <c r="Z4191" s="6"/>
      <c r="AA4191" s="6"/>
    </row>
    <row r="4192" ht="14.25">
      <c r="B4192" s="4" t="s">
        <v>1442</v>
      </c>
      <c r="C4192" s="4" t="s">
        <v>29917</v>
      </c>
      <c r="D4192" s="4" t="s">
        <v>3188</v>
      </c>
      <c r="E4192" s="4" t="s">
        <v>25350</v>
      </c>
      <c r="F4192" s="4" t="str">
        <f>IFERROR(__XLUDF.DUMMYFUNCTION("PROPER(REGEXREPLACE(D597,""[^A-Za-z]+ "",""""))"),"Cede Labs")</f>
        <v xml:space="preserve">Cede Labs</v>
      </c>
      <c r="G4192" s="4" t="s">
        <v>29918</v>
      </c>
      <c r="H4192" s="4">
        <v>10</v>
      </c>
      <c r="I4192" s="4" t="s">
        <v>2602</v>
      </c>
      <c r="J4192" s="4" t="str">
        <f>IFERROR(__XLUDF.DUMMYFUNCTION("VLOOKUP(H597,IMPORTRANGE(""https://docs.google.com/spreadsheets/d/1opm6ZNvGZ7KditA9TuJwrZ25eFLfTNIkrNnY6mhV5Eg"",""list!A1:C115""),3,TRUE)"),"le secteur de la tech")</f>
        <v xml:space="preserve">le secteur de la tech</v>
      </c>
      <c r="K4192" s="5" t="s">
        <v>29919</v>
      </c>
      <c r="L4192" s="5" t="s">
        <v>25353</v>
      </c>
      <c r="M4192" s="4" t="s">
        <v>39</v>
      </c>
      <c r="N4192" s="4" t="s">
        <v>29</v>
      </c>
      <c r="O4192" s="4" t="s">
        <v>25354</v>
      </c>
      <c r="P4192" s="4" t="s">
        <v>29</v>
      </c>
      <c r="Q4192" s="4" t="s">
        <v>25355</v>
      </c>
      <c r="R4192" s="6"/>
      <c r="S4192" s="6"/>
      <c r="T4192" s="6"/>
      <c r="U4192" s="6"/>
      <c r="V4192" s="6"/>
      <c r="W4192" s="6"/>
      <c r="X4192" s="6"/>
      <c r="Y4192" s="6"/>
      <c r="Z4192" s="6"/>
      <c r="AA4192" s="6"/>
    </row>
    <row r="4193" ht="14.25">
      <c r="B4193" s="4" t="s">
        <v>1198</v>
      </c>
      <c r="C4193" s="4" t="s">
        <v>29920</v>
      </c>
      <c r="D4193" s="4" t="s">
        <v>29921</v>
      </c>
      <c r="E4193" s="4" t="s">
        <v>29922</v>
      </c>
      <c r="F4193" s="4" t="str">
        <f>IFERROR(__XLUDF.DUMMYFUNCTION("PROPER(REGEXREPLACE(D598,""[^A-Za-z]+ "",""""))"),"Monkey Factory")</f>
        <v xml:space="preserve">Monkey Factory</v>
      </c>
      <c r="G4193" s="4" t="s">
        <v>29923</v>
      </c>
      <c r="H4193" s="4">
        <v>41</v>
      </c>
      <c r="I4193" s="4" t="s">
        <v>2602</v>
      </c>
      <c r="J4193" s="4" t="str">
        <f>IFERROR(__XLUDF.DUMMYFUNCTION("VLOOKUP(H598,IMPORTRANGE(""https://docs.google.com/spreadsheets/d/1opm6ZNvGZ7KditA9TuJwrZ25eFLfTNIkrNnY6mhV5Eg"",""list!A1:C115""),3,TRUE)"),"le secteur de la tech")</f>
        <v xml:space="preserve">le secteur de la tech</v>
      </c>
      <c r="K4193" s="5" t="s">
        <v>29924</v>
      </c>
      <c r="L4193" s="5" t="s">
        <v>29925</v>
      </c>
      <c r="M4193" s="4" t="s">
        <v>13393</v>
      </c>
      <c r="N4193" s="4" t="s">
        <v>29</v>
      </c>
      <c r="O4193" s="4" t="s">
        <v>29926</v>
      </c>
      <c r="P4193" s="4" t="s">
        <v>29</v>
      </c>
      <c r="Q4193" s="4" t="s">
        <v>29927</v>
      </c>
      <c r="R4193" s="6"/>
      <c r="S4193" s="6"/>
      <c r="T4193" s="6"/>
      <c r="U4193" s="6"/>
      <c r="V4193" s="6"/>
      <c r="W4193" s="6"/>
      <c r="X4193" s="6"/>
      <c r="Y4193" s="6"/>
      <c r="Z4193" s="6"/>
      <c r="AA4193" s="6"/>
    </row>
    <row r="4194" ht="14.25">
      <c r="B4194" s="4" t="s">
        <v>808</v>
      </c>
      <c r="C4194" s="4" t="s">
        <v>20125</v>
      </c>
      <c r="D4194" s="4" t="s">
        <v>29928</v>
      </c>
      <c r="E4194" s="4" t="s">
        <v>20160</v>
      </c>
      <c r="F4194" s="4" t="str">
        <f>IFERROR(__XLUDF.DUMMYFUNCTION("PROPER(REGEXREPLACE(D599,""[^A-Za-z]+ "",""""))"),"Epicnpoc")</f>
        <v>Epicnpoc</v>
      </c>
      <c r="G4194" s="4" t="s">
        <v>29929</v>
      </c>
      <c r="H4194" s="4">
        <v>14</v>
      </c>
      <c r="I4194" s="4" t="s">
        <v>2602</v>
      </c>
      <c r="J4194" s="4" t="str">
        <f>IFERROR(__XLUDF.DUMMYFUNCTION("VLOOKUP(H599,IMPORTRANGE(""https://docs.google.com/spreadsheets/d/1opm6ZNvGZ7KditA9TuJwrZ25eFLfTNIkrNnY6mhV5Eg"",""list!A1:C115""),3,TRUE)"),"le secteur de la tech")</f>
        <v xml:space="preserve">le secteur de la tech</v>
      </c>
      <c r="K4194" s="5" t="s">
        <v>29930</v>
      </c>
      <c r="L4194" s="5" t="s">
        <v>20163</v>
      </c>
      <c r="M4194" s="6"/>
      <c r="N4194" s="4" t="s">
        <v>29</v>
      </c>
      <c r="O4194" s="4" t="s">
        <v>20164</v>
      </c>
      <c r="P4194" s="4" t="s">
        <v>29</v>
      </c>
      <c r="Q4194" s="4" t="s">
        <v>20165</v>
      </c>
      <c r="R4194" s="6"/>
      <c r="S4194" s="6"/>
      <c r="T4194" s="6"/>
      <c r="U4194" s="6"/>
      <c r="V4194" s="6"/>
      <c r="W4194" s="6"/>
      <c r="X4194" s="6"/>
      <c r="Y4194" s="6"/>
      <c r="Z4194" s="6"/>
      <c r="AA4194" s="6"/>
    </row>
    <row r="4195" ht="14.25">
      <c r="B4195" s="4" t="s">
        <v>279</v>
      </c>
      <c r="C4195" s="4" t="s">
        <v>29931</v>
      </c>
      <c r="D4195" s="4" t="s">
        <v>172</v>
      </c>
      <c r="E4195" s="4" t="s">
        <v>29932</v>
      </c>
      <c r="F4195" s="4" t="str">
        <f>IFERROR(__XLUDF.DUMMYFUNCTION("PROPER(REGEXREPLACE(D600,""[^A-Za-z]+ "",""""))"),"Riss-Consulting")</f>
        <v>Riss-Consulting</v>
      </c>
      <c r="G4195" s="4" t="s">
        <v>29933</v>
      </c>
      <c r="H4195" s="4">
        <v>18</v>
      </c>
      <c r="I4195" s="4" t="s">
        <v>2602</v>
      </c>
      <c r="J4195" s="4" t="str">
        <f>IFERROR(__XLUDF.DUMMYFUNCTION("VLOOKUP(H600,IMPORTRANGE(""https://docs.google.com/spreadsheets/d/1opm6ZNvGZ7KditA9TuJwrZ25eFLfTNIkrNnY6mhV5Eg"",""list!A1:C115""),3,TRUE)"),"le secteur de la tech")</f>
        <v xml:space="preserve">le secteur de la tech</v>
      </c>
      <c r="K4195" s="5" t="s">
        <v>29934</v>
      </c>
      <c r="L4195" s="5" t="s">
        <v>29935</v>
      </c>
      <c r="M4195" s="4" t="s">
        <v>4360</v>
      </c>
      <c r="N4195" s="4" t="s">
        <v>29</v>
      </c>
      <c r="O4195" s="4" t="s">
        <v>29936</v>
      </c>
      <c r="P4195" s="4" t="s">
        <v>29</v>
      </c>
      <c r="Q4195" s="6"/>
      <c r="R4195" s="6"/>
      <c r="S4195" s="6"/>
      <c r="T4195" s="6"/>
      <c r="U4195" s="6"/>
      <c r="V4195" s="6"/>
      <c r="W4195" s="6"/>
      <c r="X4195" s="6"/>
      <c r="Y4195" s="6"/>
      <c r="Z4195" s="6"/>
      <c r="AA4195" s="6"/>
    </row>
    <row r="4196" ht="14.25">
      <c r="B4196" s="4" t="s">
        <v>322</v>
      </c>
      <c r="C4196" s="4" t="s">
        <v>29937</v>
      </c>
      <c r="D4196" s="4" t="s">
        <v>29938</v>
      </c>
      <c r="E4196" s="4" t="s">
        <v>29939</v>
      </c>
      <c r="F4196" s="4" t="str">
        <f>IFERROR(__XLUDF.DUMMYFUNCTION("PROPER(REGEXREPLACE(D601,""[^A-Za-z]+ "",""""))"),"Spinalcom")</f>
        <v>Spinalcom</v>
      </c>
      <c r="G4196" s="4" t="s">
        <v>29940</v>
      </c>
      <c r="H4196" s="4">
        <v>17</v>
      </c>
      <c r="I4196" s="4" t="s">
        <v>2602</v>
      </c>
      <c r="J4196" s="4" t="str">
        <f>IFERROR(__XLUDF.DUMMYFUNCTION("VLOOKUP(H601,IMPORTRANGE(""https://docs.google.com/spreadsheets/d/1opm6ZNvGZ7KditA9TuJwrZ25eFLfTNIkrNnY6mhV5Eg"",""list!A1:C115""),3,TRUE)"),"le secteur de la tech")</f>
        <v xml:space="preserve">le secteur de la tech</v>
      </c>
      <c r="K4196" s="5" t="s">
        <v>29941</v>
      </c>
      <c r="L4196" s="5" t="s">
        <v>29942</v>
      </c>
      <c r="M4196" s="4" t="s">
        <v>39</v>
      </c>
      <c r="N4196" s="4" t="s">
        <v>29</v>
      </c>
      <c r="O4196" s="4" t="s">
        <v>29943</v>
      </c>
      <c r="P4196" s="4" t="s">
        <v>29</v>
      </c>
      <c r="Q4196" s="4" t="s">
        <v>29944</v>
      </c>
      <c r="R4196" s="6"/>
      <c r="S4196" s="6"/>
      <c r="T4196" s="6"/>
      <c r="U4196" s="6"/>
      <c r="V4196" s="6"/>
      <c r="W4196" s="6"/>
      <c r="X4196" s="6"/>
      <c r="Y4196" s="6"/>
      <c r="Z4196" s="6"/>
      <c r="AA4196" s="6"/>
    </row>
    <row r="4197" ht="14.25">
      <c r="B4197" s="4" t="s">
        <v>710</v>
      </c>
      <c r="C4197" s="4" t="s">
        <v>18077</v>
      </c>
      <c r="D4197" s="4" t="s">
        <v>29945</v>
      </c>
      <c r="E4197" s="4" t="s">
        <v>18078</v>
      </c>
      <c r="F4197" s="4" t="str">
        <f>IFERROR(__XLUDF.DUMMYFUNCTION("PROPER(REGEXREPLACE(D602,""[^A-Za-z]+ "",""""))"),"Octoperf")</f>
        <v>Octoperf</v>
      </c>
      <c r="G4197" s="4" t="s">
        <v>18079</v>
      </c>
      <c r="H4197" s="4">
        <v>12</v>
      </c>
      <c r="I4197" s="4" t="s">
        <v>2602</v>
      </c>
      <c r="J4197" s="4" t="str">
        <f>IFERROR(__XLUDF.DUMMYFUNCTION("VLOOKUP(H602,IMPORTRANGE(""https://docs.google.com/spreadsheets/d/1opm6ZNvGZ7KditA9TuJwrZ25eFLfTNIkrNnY6mhV5Eg"",""list!A1:C115""),3,TRUE)"),"le secteur de la tech")</f>
        <v xml:space="preserve">le secteur de la tech</v>
      </c>
      <c r="K4197" s="5" t="s">
        <v>18080</v>
      </c>
      <c r="L4197" s="5" t="s">
        <v>18081</v>
      </c>
      <c r="M4197" s="4" t="s">
        <v>295</v>
      </c>
      <c r="N4197" s="4" t="s">
        <v>29</v>
      </c>
      <c r="O4197" s="4" t="s">
        <v>18082</v>
      </c>
      <c r="P4197" s="4" t="s">
        <v>29</v>
      </c>
      <c r="Q4197" s="4" t="s">
        <v>18083</v>
      </c>
      <c r="R4197" s="6"/>
      <c r="S4197" s="6"/>
      <c r="T4197" s="6"/>
      <c r="U4197" s="6"/>
      <c r="V4197" s="6"/>
      <c r="W4197" s="6"/>
      <c r="X4197" s="6"/>
      <c r="Y4197" s="6"/>
      <c r="Z4197" s="6"/>
      <c r="AA4197" s="6"/>
    </row>
    <row r="4198" ht="14.25">
      <c r="B4198" s="4" t="s">
        <v>1592</v>
      </c>
      <c r="C4198" s="4" t="s">
        <v>29946</v>
      </c>
      <c r="D4198" s="4" t="s">
        <v>29947</v>
      </c>
      <c r="E4198" s="4" t="s">
        <v>29948</v>
      </c>
      <c r="F4198" s="4" t="str">
        <f>IFERROR(__XLUDF.DUMMYFUNCTION("PROPER(REGEXREPLACE(D603,""[^A-Za-z]+ "",""""))"),"Traxxs")</f>
        <v>Traxxs</v>
      </c>
      <c r="G4198" s="4" t="s">
        <v>29949</v>
      </c>
      <c r="H4198" s="4">
        <v>11</v>
      </c>
      <c r="I4198" s="4" t="s">
        <v>2602</v>
      </c>
      <c r="J4198" s="4" t="str">
        <f>IFERROR(__XLUDF.DUMMYFUNCTION("VLOOKUP(H603,IMPORTRANGE(""https://docs.google.com/spreadsheets/d/1opm6ZNvGZ7KditA9TuJwrZ25eFLfTNIkrNnY6mhV5Eg"",""list!A1:C115""),3,TRUE)"),"le secteur de la tech")</f>
        <v xml:space="preserve">le secteur de la tech</v>
      </c>
      <c r="K4198" s="5" t="s">
        <v>29950</v>
      </c>
      <c r="L4198" s="5" t="s">
        <v>29951</v>
      </c>
      <c r="M4198" s="4" t="s">
        <v>465</v>
      </c>
      <c r="N4198" s="4" t="s">
        <v>29</v>
      </c>
      <c r="O4198" s="4" t="s">
        <v>29952</v>
      </c>
      <c r="P4198" s="4" t="s">
        <v>29</v>
      </c>
      <c r="Q4198" s="6"/>
      <c r="R4198" s="6"/>
      <c r="S4198" s="6"/>
      <c r="T4198" s="6"/>
      <c r="U4198" s="6"/>
      <c r="V4198" s="6"/>
      <c r="W4198" s="6"/>
      <c r="X4198" s="6"/>
      <c r="Y4198" s="6"/>
      <c r="Z4198" s="6"/>
      <c r="AA4198" s="6"/>
    </row>
    <row r="4199" ht="14.25">
      <c r="B4199" s="4" t="s">
        <v>579</v>
      </c>
      <c r="C4199" s="4" t="s">
        <v>29953</v>
      </c>
      <c r="D4199" s="4" t="s">
        <v>21221</v>
      </c>
      <c r="E4199" s="4" t="s">
        <v>28902</v>
      </c>
      <c r="F4199" s="4" t="str">
        <f>IFERROR(__XLUDF.DUMMYFUNCTION("PROPER(REGEXREPLACE(D604,""[^A-Za-z]+ "",""""))"),"Batis")</f>
        <v>Batis</v>
      </c>
      <c r="G4199" s="4" t="s">
        <v>29954</v>
      </c>
      <c r="H4199" s="4">
        <v>24</v>
      </c>
      <c r="I4199" s="4" t="s">
        <v>2602</v>
      </c>
      <c r="J4199" s="4" t="str">
        <f>IFERROR(__XLUDF.DUMMYFUNCTION("VLOOKUP(H604,IMPORTRANGE(""https://docs.google.com/spreadsheets/d/1opm6ZNvGZ7KditA9TuJwrZ25eFLfTNIkrNnY6mhV5Eg"",""list!A1:C115""),3,TRUE)"),"le secteur de la tech")</f>
        <v xml:space="preserve">le secteur de la tech</v>
      </c>
      <c r="K4199" s="5" t="s">
        <v>29955</v>
      </c>
      <c r="L4199" s="5" t="s">
        <v>28905</v>
      </c>
      <c r="M4199" s="4" t="s">
        <v>6061</v>
      </c>
      <c r="N4199" s="4" t="s">
        <v>29</v>
      </c>
      <c r="O4199" s="4" t="s">
        <v>67</v>
      </c>
      <c r="P4199" s="4" t="s">
        <v>29</v>
      </c>
      <c r="Q4199" s="4" t="s">
        <v>28906</v>
      </c>
      <c r="R4199" s="6"/>
      <c r="S4199" s="6"/>
      <c r="T4199" s="6"/>
      <c r="U4199" s="6"/>
      <c r="V4199" s="6"/>
      <c r="W4199" s="6"/>
      <c r="X4199" s="6"/>
      <c r="Y4199" s="6"/>
      <c r="Z4199" s="6"/>
      <c r="AA4199" s="6"/>
    </row>
    <row r="4200" ht="14.25">
      <c r="B4200" s="4" t="s">
        <v>76</v>
      </c>
      <c r="C4200" s="4" t="s">
        <v>29956</v>
      </c>
      <c r="D4200" s="4" t="s">
        <v>17821</v>
      </c>
      <c r="E4200" s="4" t="s">
        <v>17822</v>
      </c>
      <c r="F4200" s="4" t="str">
        <f>IFERROR(__XLUDF.DUMMYFUNCTION("PROPER(REGEXREPLACE(D605,""[^A-Za-z]+ "",""""))"),"We Do It Better")</f>
        <v xml:space="preserve">We Do It Better</v>
      </c>
      <c r="G4200" s="4" t="s">
        <v>29957</v>
      </c>
      <c r="H4200" s="4">
        <v>12</v>
      </c>
      <c r="I4200" s="4" t="s">
        <v>2602</v>
      </c>
      <c r="J4200" s="4" t="str">
        <f>IFERROR(__XLUDF.DUMMYFUNCTION("VLOOKUP(H605,IMPORTRANGE(""https://docs.google.com/spreadsheets/d/1opm6ZNvGZ7KditA9TuJwrZ25eFLfTNIkrNnY6mhV5Eg"",""list!A1:C115""),3,TRUE)"),"le secteur de la tech")</f>
        <v xml:space="preserve">le secteur de la tech</v>
      </c>
      <c r="K4200" s="5" t="s">
        <v>29958</v>
      </c>
      <c r="L4200" s="5" t="s">
        <v>17825</v>
      </c>
      <c r="M4200" s="4" t="s">
        <v>39</v>
      </c>
      <c r="N4200" s="4" t="s">
        <v>29</v>
      </c>
      <c r="O4200" s="4" t="s">
        <v>17826</v>
      </c>
      <c r="P4200" s="4" t="s">
        <v>29</v>
      </c>
      <c r="Q4200" s="4" t="s">
        <v>17827</v>
      </c>
      <c r="R4200" s="6"/>
      <c r="S4200" s="6"/>
      <c r="T4200" s="6"/>
      <c r="U4200" s="6"/>
      <c r="V4200" s="6"/>
      <c r="W4200" s="6"/>
      <c r="X4200" s="6"/>
      <c r="Y4200" s="6"/>
      <c r="Z4200" s="6"/>
      <c r="AA4200" s="6"/>
    </row>
    <row r="4201" ht="14.25">
      <c r="B4201" s="4" t="s">
        <v>986</v>
      </c>
      <c r="C4201" s="4" t="s">
        <v>29959</v>
      </c>
      <c r="D4201" s="4" t="s">
        <v>29960</v>
      </c>
      <c r="E4201" s="4" t="s">
        <v>29961</v>
      </c>
      <c r="F4201" s="4" t="str">
        <f>IFERROR(__XLUDF.DUMMYFUNCTION("PROPER(REGEXREPLACE(D606,""[^A-Za-z]+ "",""""))"),"Kwiper")</f>
        <v>Kwiper</v>
      </c>
      <c r="G4201" s="4" t="s">
        <v>29962</v>
      </c>
      <c r="H4201" s="4">
        <v>10</v>
      </c>
      <c r="I4201" s="4" t="s">
        <v>2602</v>
      </c>
      <c r="J4201" s="4" t="str">
        <f>IFERROR(__XLUDF.DUMMYFUNCTION("VLOOKUP(H606,IMPORTRANGE(""https://docs.google.com/spreadsheets/d/1opm6ZNvGZ7KditA9TuJwrZ25eFLfTNIkrNnY6mhV5Eg"",""list!A1:C115""),3,TRUE)"),"le secteur de la tech")</f>
        <v xml:space="preserve">le secteur de la tech</v>
      </c>
      <c r="K4201" s="5" t="s">
        <v>29963</v>
      </c>
      <c r="L4201" s="5" t="s">
        <v>29964</v>
      </c>
      <c r="M4201" s="4" t="s">
        <v>185</v>
      </c>
      <c r="N4201" s="4" t="s">
        <v>29</v>
      </c>
      <c r="O4201" s="4" t="s">
        <v>29965</v>
      </c>
      <c r="P4201" s="4" t="s">
        <v>29</v>
      </c>
      <c r="Q4201" s="4" t="s">
        <v>29966</v>
      </c>
      <c r="R4201" s="6"/>
      <c r="S4201" s="6"/>
      <c r="T4201" s="6"/>
      <c r="U4201" s="6"/>
      <c r="V4201" s="6"/>
      <c r="W4201" s="6"/>
      <c r="X4201" s="6"/>
      <c r="Y4201" s="6"/>
      <c r="Z4201" s="6"/>
      <c r="AA4201" s="6"/>
    </row>
    <row r="4202" ht="14.25">
      <c r="B4202" s="4" t="s">
        <v>4115</v>
      </c>
      <c r="C4202" s="4" t="s">
        <v>29967</v>
      </c>
      <c r="D4202" s="4" t="s">
        <v>29968</v>
      </c>
      <c r="E4202" s="4" t="s">
        <v>29969</v>
      </c>
      <c r="F4202" s="4" t="str">
        <f>IFERROR(__XLUDF.DUMMYFUNCTION("PROPER(REGEXREPLACE(D607,""[^A-Za-z]+ "",""""))"),"Backlight")</f>
        <v>Backlight</v>
      </c>
      <c r="G4202" s="4" t="s">
        <v>29970</v>
      </c>
      <c r="H4202" s="4">
        <v>49</v>
      </c>
      <c r="I4202" s="4" t="s">
        <v>2602</v>
      </c>
      <c r="J4202" s="4" t="str">
        <f>IFERROR(__XLUDF.DUMMYFUNCTION("VLOOKUP(H607,IMPORTRANGE(""https://docs.google.com/spreadsheets/d/1opm6ZNvGZ7KditA9TuJwrZ25eFLfTNIkrNnY6mhV5Eg"",""list!A1:C115""),3,TRUE)"),"le secteur de la tech")</f>
        <v xml:space="preserve">le secteur de la tech</v>
      </c>
      <c r="K4202" s="5" t="s">
        <v>29971</v>
      </c>
      <c r="L4202" s="5" t="s">
        <v>29972</v>
      </c>
      <c r="M4202" s="4" t="s">
        <v>39</v>
      </c>
      <c r="N4202" s="4" t="s">
        <v>29</v>
      </c>
      <c r="O4202" s="4" t="s">
        <v>29973</v>
      </c>
      <c r="P4202" s="4" t="s">
        <v>29</v>
      </c>
      <c r="Q4202" s="6"/>
      <c r="R4202" s="6"/>
      <c r="S4202" s="6"/>
      <c r="T4202" s="6"/>
      <c r="U4202" s="6"/>
      <c r="V4202" s="6"/>
      <c r="W4202" s="6"/>
      <c r="X4202" s="6"/>
      <c r="Y4202" s="6"/>
      <c r="Z4202" s="6"/>
      <c r="AA4202" s="6"/>
    </row>
    <row r="4203" ht="14.25">
      <c r="B4203" s="4" t="s">
        <v>2932</v>
      </c>
      <c r="C4203" s="4" t="s">
        <v>29974</v>
      </c>
      <c r="D4203" s="4" t="s">
        <v>29975</v>
      </c>
      <c r="E4203" s="4" t="s">
        <v>29976</v>
      </c>
      <c r="F4203" s="4" t="str">
        <f>IFERROR(__XLUDF.DUMMYFUNCTION("PROPER(REGEXREPLACE(D608,""[^A-Za-z]+ "",""""))"),"Eff'Innov")</f>
        <v>Eff'Innov</v>
      </c>
      <c r="G4203" s="4" t="s">
        <v>29977</v>
      </c>
      <c r="H4203" s="4">
        <v>19</v>
      </c>
      <c r="I4203" s="4" t="s">
        <v>2602</v>
      </c>
      <c r="J4203" s="4" t="str">
        <f>IFERROR(__XLUDF.DUMMYFUNCTION("VLOOKUP(H608,IMPORTRANGE(""https://docs.google.com/spreadsheets/d/1opm6ZNvGZ7KditA9TuJwrZ25eFLfTNIkrNnY6mhV5Eg"",""list!A1:C115""),3,TRUE)"),"le secteur de la tech")</f>
        <v xml:space="preserve">le secteur de la tech</v>
      </c>
      <c r="K4203" s="5" t="s">
        <v>29978</v>
      </c>
      <c r="L4203" s="5" t="s">
        <v>29979</v>
      </c>
      <c r="M4203" s="4" t="s">
        <v>20332</v>
      </c>
      <c r="N4203" s="4" t="s">
        <v>29</v>
      </c>
      <c r="O4203" s="4" t="s">
        <v>29980</v>
      </c>
      <c r="P4203" s="4" t="s">
        <v>29</v>
      </c>
      <c r="Q4203" s="6"/>
      <c r="R4203" s="6"/>
      <c r="S4203" s="6"/>
      <c r="T4203" s="6"/>
      <c r="U4203" s="6"/>
      <c r="V4203" s="6"/>
      <c r="W4203" s="6"/>
      <c r="X4203" s="6"/>
      <c r="Y4203" s="6"/>
      <c r="Z4203" s="6"/>
      <c r="AA4203" s="6"/>
    </row>
    <row r="4204" ht="14.25">
      <c r="B4204" s="4" t="s">
        <v>710</v>
      </c>
      <c r="C4204" s="4" t="s">
        <v>29981</v>
      </c>
      <c r="D4204" s="4" t="s">
        <v>247</v>
      </c>
      <c r="E4204" s="4" t="s">
        <v>29982</v>
      </c>
      <c r="F4204" s="4" t="str">
        <f>IFERROR(__XLUDF.DUMMYFUNCTION("PROPER(REGEXREPLACE(D609,""[^A-Za-z]+ "",""""))"),"Kidola")</f>
        <v>Kidola</v>
      </c>
      <c r="G4204" s="4" t="s">
        <v>29983</v>
      </c>
      <c r="H4204" s="4">
        <v>16</v>
      </c>
      <c r="I4204" s="4" t="s">
        <v>2602</v>
      </c>
      <c r="J4204" s="4" t="str">
        <f>IFERROR(__XLUDF.DUMMYFUNCTION("VLOOKUP(H609,IMPORTRANGE(""https://docs.google.com/spreadsheets/d/1opm6ZNvGZ7KditA9TuJwrZ25eFLfTNIkrNnY6mhV5Eg"",""list!A1:C115""),3,TRUE)"),"le secteur de la tech")</f>
        <v xml:space="preserve">le secteur de la tech</v>
      </c>
      <c r="K4204" s="5" t="s">
        <v>29984</v>
      </c>
      <c r="L4204" s="5" t="s">
        <v>29985</v>
      </c>
      <c r="M4204" s="6"/>
      <c r="N4204" s="4" t="s">
        <v>29</v>
      </c>
      <c r="O4204" s="4" t="s">
        <v>29986</v>
      </c>
      <c r="P4204" s="4" t="s">
        <v>1094</v>
      </c>
      <c r="Q4204" s="4" t="s">
        <v>29982</v>
      </c>
      <c r="R4204" s="6"/>
      <c r="S4204" s="6"/>
      <c r="T4204" s="6"/>
      <c r="U4204" s="6"/>
      <c r="V4204" s="6"/>
      <c r="W4204" s="6"/>
      <c r="X4204" s="6"/>
      <c r="Y4204" s="6"/>
      <c r="Z4204" s="6"/>
      <c r="AA4204" s="6"/>
    </row>
    <row r="4205" ht="14.25">
      <c r="B4205" s="4" t="s">
        <v>1704</v>
      </c>
      <c r="C4205" s="4" t="s">
        <v>29987</v>
      </c>
      <c r="D4205" s="4" t="s">
        <v>29988</v>
      </c>
      <c r="E4205" s="4" t="s">
        <v>29989</v>
      </c>
      <c r="F4205" s="4" t="str">
        <f>IFERROR(__XLUDF.DUMMYFUNCTION("PROPER(REGEXREPLACE(D610,""[^A-Za-z]+ "",""""))"),"Skill Partner")</f>
        <v xml:space="preserve">Skill Partner</v>
      </c>
      <c r="G4205" s="4" t="s">
        <v>29990</v>
      </c>
      <c r="H4205" s="4">
        <v>16</v>
      </c>
      <c r="I4205" s="4" t="s">
        <v>2602</v>
      </c>
      <c r="J4205" s="4" t="str">
        <f>IFERROR(__XLUDF.DUMMYFUNCTION("VLOOKUP(H610,IMPORTRANGE(""https://docs.google.com/spreadsheets/d/1opm6ZNvGZ7KditA9TuJwrZ25eFLfTNIkrNnY6mhV5Eg"",""list!A1:C115""),3,TRUE)"),"le secteur de la tech")</f>
        <v xml:space="preserve">le secteur de la tech</v>
      </c>
      <c r="K4205" s="5" t="s">
        <v>29991</v>
      </c>
      <c r="L4205" s="5" t="s">
        <v>29992</v>
      </c>
      <c r="M4205" s="4" t="s">
        <v>39</v>
      </c>
      <c r="N4205" s="4" t="s">
        <v>29</v>
      </c>
      <c r="O4205" s="4" t="s">
        <v>6520</v>
      </c>
      <c r="P4205" s="4" t="s">
        <v>29</v>
      </c>
      <c r="Q4205" s="6"/>
      <c r="R4205" s="6"/>
      <c r="S4205" s="6"/>
      <c r="T4205" s="6"/>
      <c r="U4205" s="6"/>
      <c r="V4205" s="6"/>
      <c r="W4205" s="6"/>
      <c r="X4205" s="6"/>
      <c r="Y4205" s="6"/>
      <c r="Z4205" s="6"/>
      <c r="AA4205" s="6"/>
    </row>
    <row r="4206" ht="14.25">
      <c r="B4206" s="4" t="s">
        <v>1215</v>
      </c>
      <c r="C4206" s="4" t="s">
        <v>29993</v>
      </c>
      <c r="D4206" s="4" t="s">
        <v>29994</v>
      </c>
      <c r="E4206" s="4" t="s">
        <v>28220</v>
      </c>
      <c r="F4206" s="4" t="str">
        <f>IFERROR(__XLUDF.DUMMYFUNCTION("PROPER(REGEXREPLACE(D611,""[^A-Za-z]+ "",""""))"),"United Visual Researchers")</f>
        <v xml:space="preserve">United Visual Researchers</v>
      </c>
      <c r="G4206" s="4" t="s">
        <v>29995</v>
      </c>
      <c r="H4206" s="4">
        <v>20</v>
      </c>
      <c r="I4206" s="4" t="s">
        <v>2602</v>
      </c>
      <c r="J4206" s="4" t="str">
        <f>IFERROR(__XLUDF.DUMMYFUNCTION("VLOOKUP(H611,IMPORTRANGE(""https://docs.google.com/spreadsheets/d/1opm6ZNvGZ7KditA9TuJwrZ25eFLfTNIkrNnY6mhV5Eg"",""list!A1:C115""),3,TRUE)"),"le secteur de la tech")</f>
        <v xml:space="preserve">le secteur de la tech</v>
      </c>
      <c r="K4206" s="5" t="s">
        <v>29996</v>
      </c>
      <c r="L4206" s="5" t="s">
        <v>28223</v>
      </c>
      <c r="M4206" s="4" t="s">
        <v>39</v>
      </c>
      <c r="N4206" s="4" t="s">
        <v>29</v>
      </c>
      <c r="O4206" s="4" t="s">
        <v>28224</v>
      </c>
      <c r="P4206" s="4" t="s">
        <v>29</v>
      </c>
      <c r="Q4206" s="4" t="s">
        <v>28225</v>
      </c>
      <c r="R4206" s="6"/>
      <c r="S4206" s="6"/>
      <c r="T4206" s="6"/>
      <c r="U4206" s="6"/>
      <c r="V4206" s="6"/>
      <c r="W4206" s="6"/>
      <c r="X4206" s="6"/>
      <c r="Y4206" s="6"/>
      <c r="Z4206" s="6"/>
      <c r="AA4206" s="6"/>
    </row>
    <row r="4207" ht="14.25">
      <c r="B4207" s="4" t="s">
        <v>31</v>
      </c>
      <c r="C4207" s="4" t="s">
        <v>29997</v>
      </c>
      <c r="D4207" s="4" t="s">
        <v>3775</v>
      </c>
      <c r="E4207" s="4" t="s">
        <v>29998</v>
      </c>
      <c r="F4207" s="4" t="str">
        <f>IFERROR(__XLUDF.DUMMYFUNCTION("PROPER(REGEXREPLACE(D612,""[^A-Za-z]+ "",""""))"),"Bolero")</f>
        <v>Bolero</v>
      </c>
      <c r="G4207" s="4" t="s">
        <v>29999</v>
      </c>
      <c r="H4207" s="4">
        <v>34</v>
      </c>
      <c r="I4207" s="4" t="s">
        <v>11736</v>
      </c>
      <c r="J4207" s="4" t="str">
        <f>IFERROR(__XLUDF.DUMMYFUNCTION("VLOOKUP(H612,IMPORTRANGE(""https://docs.google.com/spreadsheets/d/1opm6ZNvGZ7KditA9TuJwrZ25eFLfTNIkrNnY6mhV5Eg"",""list!A1:C115""),3,TRUE)"),"le secteur de la tech")</f>
        <v xml:space="preserve">le secteur de la tech</v>
      </c>
      <c r="K4207" s="5" t="s">
        <v>30000</v>
      </c>
      <c r="L4207" s="5" t="s">
        <v>30001</v>
      </c>
      <c r="M4207" s="4" t="s">
        <v>39</v>
      </c>
      <c r="N4207" s="4" t="s">
        <v>29</v>
      </c>
      <c r="O4207" s="4" t="s">
        <v>67</v>
      </c>
      <c r="P4207" s="4" t="s">
        <v>29</v>
      </c>
      <c r="Q4207" s="4" t="s">
        <v>30002</v>
      </c>
      <c r="R4207" s="6"/>
      <c r="S4207" s="6"/>
      <c r="T4207" s="6"/>
      <c r="U4207" s="6"/>
      <c r="V4207" s="6"/>
      <c r="W4207" s="6"/>
      <c r="X4207" s="6"/>
      <c r="Y4207" s="6"/>
      <c r="Z4207" s="6"/>
      <c r="AA4207" s="6"/>
    </row>
    <row r="4208" ht="14.25">
      <c r="B4208" s="4" t="s">
        <v>30003</v>
      </c>
      <c r="C4208" s="4" t="s">
        <v>30004</v>
      </c>
      <c r="D4208" s="4" t="s">
        <v>21197</v>
      </c>
      <c r="E4208" s="4" t="s">
        <v>30005</v>
      </c>
      <c r="F4208" s="4" t="str">
        <f>IFERROR(__XLUDF.DUMMYFUNCTION("PROPER(REGEXREPLACE(D613,""[^A-Za-z]+ "",""""))"),"Labr")</f>
        <v>Labr</v>
      </c>
      <c r="G4208" s="4" t="s">
        <v>30006</v>
      </c>
      <c r="H4208" s="4">
        <v>33</v>
      </c>
      <c r="I4208" s="4" t="s">
        <v>11736</v>
      </c>
      <c r="J4208" s="4" t="str">
        <f>IFERROR(__XLUDF.DUMMYFUNCTION("VLOOKUP(H613,IMPORTRANGE(""https://docs.google.com/spreadsheets/d/1opm6ZNvGZ7KditA9TuJwrZ25eFLfTNIkrNnY6mhV5Eg"",""list!A1:C115""),3,TRUE)"),"le secteur de la tech")</f>
        <v xml:space="preserve">le secteur de la tech</v>
      </c>
      <c r="K4208" s="5" t="s">
        <v>30007</v>
      </c>
      <c r="L4208" s="5" t="s">
        <v>30008</v>
      </c>
      <c r="M4208" s="4" t="s">
        <v>39</v>
      </c>
      <c r="N4208" s="4" t="s">
        <v>29</v>
      </c>
      <c r="O4208" s="4" t="s">
        <v>30009</v>
      </c>
      <c r="P4208" s="4" t="s">
        <v>1261</v>
      </c>
      <c r="Q4208" s="6"/>
      <c r="R4208" s="6"/>
      <c r="S4208" s="6"/>
      <c r="T4208" s="6"/>
      <c r="U4208" s="6"/>
      <c r="V4208" s="6"/>
      <c r="W4208" s="6"/>
      <c r="X4208" s="6"/>
      <c r="Y4208" s="6"/>
      <c r="Z4208" s="6"/>
      <c r="AA4208" s="6"/>
    </row>
    <row r="4209" ht="14.25">
      <c r="B4209" s="4" t="s">
        <v>874</v>
      </c>
      <c r="C4209" s="4" t="s">
        <v>30010</v>
      </c>
      <c r="D4209" s="4" t="s">
        <v>87</v>
      </c>
      <c r="E4209" s="4" t="s">
        <v>30011</v>
      </c>
      <c r="F4209" s="4" t="str">
        <f>IFERROR(__XLUDF.DUMMYFUNCTION("PROPER(REGEXREPLACE(D614,""[^A-Za-z]+ "",""""))"),"S.Tdupont")</f>
        <v>S.Tdupont</v>
      </c>
      <c r="G4209" s="4" t="s">
        <v>30012</v>
      </c>
      <c r="H4209" s="4">
        <v>310</v>
      </c>
      <c r="I4209" s="4" t="s">
        <v>30013</v>
      </c>
      <c r="J4209" s="4" t="str">
        <f>IFERROR(__XLUDF.DUMMYFUNCTION("VLOOKUP(H614,IMPORTRANGE(""https://docs.google.com/spreadsheets/d/1opm6ZNvGZ7KditA9TuJwrZ25eFLfTNIkrNnY6mhV5Eg"",""list!A1:C115""),3,TRUE)"),"le secteur du luxe")</f>
        <v xml:space="preserve">le secteur du luxe</v>
      </c>
      <c r="K4209" s="5" t="s">
        <v>30014</v>
      </c>
      <c r="L4209" s="5" t="s">
        <v>30015</v>
      </c>
      <c r="M4209" s="4" t="s">
        <v>39</v>
      </c>
      <c r="N4209" s="4" t="s">
        <v>29</v>
      </c>
      <c r="O4209" s="4" t="s">
        <v>30016</v>
      </c>
      <c r="P4209" s="4" t="s">
        <v>1938</v>
      </c>
      <c r="Q4209" s="4" t="s">
        <v>30017</v>
      </c>
      <c r="R4209" s="6"/>
      <c r="S4209" s="6"/>
      <c r="T4209" s="6"/>
      <c r="U4209" s="6"/>
      <c r="V4209" s="6"/>
      <c r="W4209" s="6"/>
      <c r="X4209" s="6"/>
      <c r="Y4209" s="6"/>
      <c r="Z4209" s="6"/>
      <c r="AA4209" s="6"/>
    </row>
    <row r="4210" ht="14.25">
      <c r="B4210" s="4" t="s">
        <v>485</v>
      </c>
      <c r="C4210" s="4" t="s">
        <v>30018</v>
      </c>
      <c r="D4210" s="4" t="s">
        <v>426</v>
      </c>
      <c r="E4210" s="4" t="s">
        <v>30019</v>
      </c>
      <c r="F4210" s="4" t="str">
        <f>IFERROR(__XLUDF.DUMMYFUNCTION("PROPER(REGEXREPLACE(D615,""[^A-Za-z]+ "",""""))"),"Teramat")</f>
        <v>Teramat</v>
      </c>
      <c r="G4210" s="4" t="s">
        <v>30020</v>
      </c>
      <c r="H4210" s="4">
        <v>39</v>
      </c>
      <c r="I4210" s="4" t="s">
        <v>14347</v>
      </c>
      <c r="J4210" s="4" t="str">
        <f>IFERROR(__XLUDF.DUMMYFUNCTION("VLOOKUP(H615,IMPORTRANGE(""https://docs.google.com/spreadsheets/d/1opm6ZNvGZ7KditA9TuJwrZ25eFLfTNIkrNnY6mhV5Eg"",""list!A1:C115""),3,TRUE)"),"le secteur de la machinerie")</f>
        <v xml:space="preserve">le secteur de la machinerie</v>
      </c>
      <c r="K4210" s="5" t="s">
        <v>30021</v>
      </c>
      <c r="L4210" s="5" t="s">
        <v>30022</v>
      </c>
      <c r="M4210" s="4" t="s">
        <v>30023</v>
      </c>
      <c r="N4210" s="4" t="s">
        <v>29</v>
      </c>
      <c r="O4210" s="4" t="s">
        <v>30024</v>
      </c>
      <c r="P4210" s="4" t="s">
        <v>29</v>
      </c>
      <c r="Q4210" s="4" t="s">
        <v>30025</v>
      </c>
      <c r="R4210" s="6"/>
      <c r="S4210" s="6"/>
      <c r="T4210" s="6"/>
      <c r="U4210" s="6"/>
      <c r="V4210" s="6"/>
      <c r="W4210" s="6"/>
      <c r="X4210" s="6"/>
      <c r="Y4210" s="6"/>
      <c r="Z4210" s="6"/>
      <c r="AA4210" s="6"/>
    </row>
    <row r="4211" ht="14.25">
      <c r="B4211" s="4" t="s">
        <v>1215</v>
      </c>
      <c r="C4211" s="4" t="s">
        <v>15783</v>
      </c>
      <c r="D4211" s="4" t="s">
        <v>30026</v>
      </c>
      <c r="E4211" s="4" t="s">
        <v>30027</v>
      </c>
      <c r="F4211" s="4" t="str">
        <f>IFERROR(__XLUDF.DUMMYFUNCTION("PROPER(REGEXREPLACE(D616,""[^A-Za-z]+ "",""""))"),"Invalio")</f>
        <v>Invalio</v>
      </c>
      <c r="G4211" s="4" t="s">
        <v>30028</v>
      </c>
      <c r="H4211" s="4">
        <v>19</v>
      </c>
      <c r="I4211" s="4" t="s">
        <v>4067</v>
      </c>
      <c r="J4211" s="4" t="str">
        <f>IFERROR(__XLUDF.DUMMYFUNCTION("VLOOKUP(H616,IMPORTRANGE(""https://docs.google.com/spreadsheets/d/1opm6ZNvGZ7KditA9TuJwrZ25eFLfTNIkrNnY6mhV5Eg"",""list!A1:C115""),3,TRUE)"),"le secteur du conseil en management")</f>
        <v xml:space="preserve">le secteur du conseil en management</v>
      </c>
      <c r="K4211" s="5" t="s">
        <v>30029</v>
      </c>
      <c r="L4211" s="5" t="s">
        <v>30030</v>
      </c>
      <c r="M4211" s="4" t="s">
        <v>39</v>
      </c>
      <c r="N4211" s="4" t="s">
        <v>29</v>
      </c>
      <c r="O4211" s="4" t="s">
        <v>30031</v>
      </c>
      <c r="P4211" s="4" t="s">
        <v>29</v>
      </c>
      <c r="Q4211" s="4" t="s">
        <v>30032</v>
      </c>
      <c r="R4211" s="6"/>
      <c r="S4211" s="6"/>
      <c r="T4211" s="6"/>
      <c r="U4211" s="6"/>
      <c r="V4211" s="6"/>
      <c r="W4211" s="6"/>
      <c r="X4211" s="6"/>
      <c r="Y4211" s="6"/>
      <c r="Z4211" s="6"/>
      <c r="AA4211" s="6"/>
    </row>
    <row r="4212" ht="14.25">
      <c r="B4212" s="4" t="s">
        <v>1215</v>
      </c>
      <c r="C4212" s="4" t="s">
        <v>1346</v>
      </c>
      <c r="D4212" s="4" t="s">
        <v>112</v>
      </c>
      <c r="E4212" s="4" t="s">
        <v>30033</v>
      </c>
      <c r="F4212" s="4" t="str">
        <f>IFERROR(__XLUDF.DUMMYFUNCTION("PROPER(REGEXREPLACE(D617,""[^A-Za-z]+ "",""""))"),"Maggy")</f>
        <v>Maggy</v>
      </c>
      <c r="G4212" s="4" t="s">
        <v>30034</v>
      </c>
      <c r="H4212" s="4">
        <v>25</v>
      </c>
      <c r="I4212" s="4" t="s">
        <v>4067</v>
      </c>
      <c r="J4212" s="4" t="str">
        <f>IFERROR(__XLUDF.DUMMYFUNCTION("VLOOKUP(H617,IMPORTRANGE(""https://docs.google.com/spreadsheets/d/1opm6ZNvGZ7KditA9TuJwrZ25eFLfTNIkrNnY6mhV5Eg"",""list!A1:C115""),3,TRUE)"),"le secteur du conseil en management")</f>
        <v xml:space="preserve">le secteur du conseil en management</v>
      </c>
      <c r="K4212" s="5" t="s">
        <v>30035</v>
      </c>
      <c r="L4212" s="5" t="s">
        <v>30036</v>
      </c>
      <c r="M4212" s="4" t="s">
        <v>24799</v>
      </c>
      <c r="N4212" s="4" t="s">
        <v>29</v>
      </c>
      <c r="O4212" s="4" t="s">
        <v>67</v>
      </c>
      <c r="P4212" s="4" t="s">
        <v>29</v>
      </c>
      <c r="Q4212" s="4" t="s">
        <v>30037</v>
      </c>
      <c r="R4212" s="6"/>
      <c r="S4212" s="6"/>
      <c r="T4212" s="6"/>
      <c r="U4212" s="6"/>
      <c r="V4212" s="6"/>
      <c r="W4212" s="6"/>
      <c r="X4212" s="6"/>
      <c r="Y4212" s="6"/>
      <c r="Z4212" s="6"/>
      <c r="AA4212" s="6"/>
    </row>
    <row r="4213" ht="14.25">
      <c r="B4213" s="4" t="s">
        <v>3909</v>
      </c>
      <c r="C4213" s="4" t="s">
        <v>30038</v>
      </c>
      <c r="D4213" s="4" t="s">
        <v>44</v>
      </c>
      <c r="E4213" s="4" t="s">
        <v>25989</v>
      </c>
      <c r="F4213" s="4" t="str">
        <f>IFERROR(__XLUDF.DUMMYFUNCTION("PROPER(REGEXREPLACE(D618,""[^A-Za-z]+ "",""""))"),"Opensquare")</f>
        <v>Opensquare</v>
      </c>
      <c r="G4213" s="4" t="s">
        <v>30039</v>
      </c>
      <c r="H4213" s="4">
        <v>50</v>
      </c>
      <c r="I4213" s="4" t="s">
        <v>4067</v>
      </c>
      <c r="J4213" s="4" t="str">
        <f>IFERROR(__XLUDF.DUMMYFUNCTION("VLOOKUP(H618,IMPORTRANGE(""https://docs.google.com/spreadsheets/d/1opm6ZNvGZ7KditA9TuJwrZ25eFLfTNIkrNnY6mhV5Eg"",""list!A1:C115""),3,TRUE)"),"le secteur du conseil en management")</f>
        <v xml:space="preserve">le secteur du conseil en management</v>
      </c>
      <c r="K4213" s="5" t="s">
        <v>30040</v>
      </c>
      <c r="L4213" s="5" t="s">
        <v>25992</v>
      </c>
      <c r="M4213" s="4" t="s">
        <v>39</v>
      </c>
      <c r="N4213" s="4" t="s">
        <v>29</v>
      </c>
      <c r="O4213" s="4" t="s">
        <v>25993</v>
      </c>
      <c r="P4213" s="4" t="s">
        <v>29</v>
      </c>
      <c r="Q4213" s="6"/>
      <c r="R4213" s="6"/>
      <c r="S4213" s="6"/>
      <c r="T4213" s="6"/>
      <c r="U4213" s="6"/>
      <c r="V4213" s="6"/>
      <c r="W4213" s="6"/>
      <c r="X4213" s="6"/>
      <c r="Y4213" s="6"/>
      <c r="Z4213" s="6"/>
      <c r="AA4213" s="6"/>
    </row>
    <row r="4214" ht="14.25">
      <c r="B4214" s="4" t="s">
        <v>8302</v>
      </c>
      <c r="C4214" s="4" t="s">
        <v>30041</v>
      </c>
      <c r="D4214" s="4" t="s">
        <v>30042</v>
      </c>
      <c r="E4214" s="4" t="s">
        <v>30043</v>
      </c>
      <c r="F4214" s="4" t="str">
        <f>IFERROR(__XLUDF.DUMMYFUNCTION("PROPER(REGEXREPLACE(D619,""[^A-Za-z]+ "",""""))"),"Aeconsulting")</f>
        <v>Aeconsulting</v>
      </c>
      <c r="G4214" s="4" t="s">
        <v>30044</v>
      </c>
      <c r="H4214" s="4">
        <v>12</v>
      </c>
      <c r="I4214" s="4" t="s">
        <v>4067</v>
      </c>
      <c r="J4214" s="4" t="str">
        <f>IFERROR(__XLUDF.DUMMYFUNCTION("VLOOKUP(H619,IMPORTRANGE(""https://docs.google.com/spreadsheets/d/1opm6ZNvGZ7KditA9TuJwrZ25eFLfTNIkrNnY6mhV5Eg"",""list!A1:C115""),3,TRUE)"),"le secteur du conseil en management")</f>
        <v xml:space="preserve">le secteur du conseil en management</v>
      </c>
      <c r="K4214" s="5" t="s">
        <v>30045</v>
      </c>
      <c r="L4214" s="5" t="s">
        <v>30046</v>
      </c>
      <c r="M4214" s="4" t="s">
        <v>39</v>
      </c>
      <c r="N4214" s="4" t="s">
        <v>29</v>
      </c>
      <c r="O4214" s="4" t="s">
        <v>30047</v>
      </c>
      <c r="P4214" s="4" t="s">
        <v>29</v>
      </c>
      <c r="Q4214" s="4" t="s">
        <v>30048</v>
      </c>
      <c r="R4214" s="6"/>
      <c r="S4214" s="6"/>
      <c r="T4214" s="6"/>
      <c r="U4214" s="6"/>
      <c r="V4214" s="6"/>
      <c r="W4214" s="6"/>
      <c r="X4214" s="6"/>
      <c r="Y4214" s="6"/>
      <c r="Z4214" s="6"/>
      <c r="AA4214" s="6"/>
    </row>
    <row r="4215" ht="14.25">
      <c r="B4215" s="4" t="s">
        <v>21744</v>
      </c>
      <c r="C4215" s="4" t="s">
        <v>30049</v>
      </c>
      <c r="D4215" s="4" t="s">
        <v>341</v>
      </c>
      <c r="E4215" s="4" t="s">
        <v>30050</v>
      </c>
      <c r="F4215" s="4" t="str">
        <f>IFERROR(__XLUDF.DUMMYFUNCTION("PROPER(REGEXREPLACE(D620,""[^A-Za-z]+ "",""""))"),"Inovafi")</f>
        <v>Inovafi</v>
      </c>
      <c r="G4215" s="4" t="s">
        <v>30051</v>
      </c>
      <c r="H4215" s="4">
        <v>13</v>
      </c>
      <c r="I4215" s="4" t="s">
        <v>4067</v>
      </c>
      <c r="J4215" s="4" t="str">
        <f>IFERROR(__XLUDF.DUMMYFUNCTION("VLOOKUP(H620,IMPORTRANGE(""https://docs.google.com/spreadsheets/d/1opm6ZNvGZ7KditA9TuJwrZ25eFLfTNIkrNnY6mhV5Eg"",""list!A1:C115""),3,TRUE)"),"le secteur du conseil en management")</f>
        <v xml:space="preserve">le secteur du conseil en management</v>
      </c>
      <c r="K4215" s="5" t="s">
        <v>30052</v>
      </c>
      <c r="L4215" s="5" t="s">
        <v>30053</v>
      </c>
      <c r="M4215" s="4" t="s">
        <v>14237</v>
      </c>
      <c r="N4215" s="4" t="s">
        <v>29</v>
      </c>
      <c r="O4215" s="4" t="s">
        <v>5163</v>
      </c>
      <c r="P4215" s="4" t="s">
        <v>29</v>
      </c>
      <c r="Q4215" s="4" t="s">
        <v>30054</v>
      </c>
      <c r="R4215" s="6"/>
      <c r="S4215" s="6"/>
      <c r="T4215" s="6"/>
      <c r="U4215" s="6"/>
      <c r="V4215" s="6"/>
      <c r="W4215" s="6"/>
      <c r="X4215" s="6"/>
      <c r="Y4215" s="6"/>
      <c r="Z4215" s="6"/>
      <c r="AA4215" s="6"/>
    </row>
    <row r="4216" ht="14.25">
      <c r="B4216" s="4" t="s">
        <v>8045</v>
      </c>
      <c r="C4216" s="4" t="s">
        <v>23762</v>
      </c>
      <c r="D4216" s="4" t="s">
        <v>87</v>
      </c>
      <c r="E4216" s="4" t="s">
        <v>30055</v>
      </c>
      <c r="F4216" s="4" t="str">
        <f>IFERROR(__XLUDF.DUMMYFUNCTION("PROPER(REGEXREPLACE(D621,""[^A-Za-z]+ "",""""))"),"Drive Innov")</f>
        <v xml:space="preserve">Drive Innov</v>
      </c>
      <c r="G4216" s="4" t="s">
        <v>30056</v>
      </c>
      <c r="H4216" s="4">
        <v>18</v>
      </c>
      <c r="I4216" s="4" t="s">
        <v>4067</v>
      </c>
      <c r="J4216" s="4" t="str">
        <f>IFERROR(__XLUDF.DUMMYFUNCTION("VLOOKUP(H621,IMPORTRANGE(""https://docs.google.com/spreadsheets/d/1opm6ZNvGZ7KditA9TuJwrZ25eFLfTNIkrNnY6mhV5Eg"",""list!A1:C115""),3,TRUE)"),"le secteur du conseil en management")</f>
        <v xml:space="preserve">le secteur du conseil en management</v>
      </c>
      <c r="K4216" s="5" t="s">
        <v>30057</v>
      </c>
      <c r="L4216" s="5" t="s">
        <v>30058</v>
      </c>
      <c r="M4216" s="4" t="s">
        <v>774</v>
      </c>
      <c r="N4216" s="4" t="s">
        <v>29</v>
      </c>
      <c r="O4216" s="4" t="s">
        <v>30059</v>
      </c>
      <c r="P4216" s="4" t="s">
        <v>29</v>
      </c>
      <c r="Q4216" s="4" t="s">
        <v>30060</v>
      </c>
      <c r="R4216" s="6"/>
      <c r="S4216" s="6"/>
      <c r="T4216" s="6"/>
      <c r="U4216" s="6"/>
      <c r="V4216" s="6"/>
      <c r="W4216" s="6"/>
      <c r="X4216" s="6"/>
      <c r="Y4216" s="6"/>
      <c r="Z4216" s="6"/>
      <c r="AA4216" s="6"/>
    </row>
    <row r="4217" ht="14.25">
      <c r="B4217" s="4" t="s">
        <v>95</v>
      </c>
      <c r="C4217" s="4" t="s">
        <v>30061</v>
      </c>
      <c r="D4217" s="4" t="s">
        <v>112</v>
      </c>
      <c r="E4217" s="4" t="s">
        <v>17179</v>
      </c>
      <c r="F4217" s="4" t="str">
        <f>IFERROR(__XLUDF.DUMMYFUNCTION("PROPER(REGEXREPLACE(D622,""[^A-Za-z]+ "",""""))"),"Norgatec Consulting")</f>
        <v xml:space="preserve">Norgatec Consulting</v>
      </c>
      <c r="G4217" s="4" t="s">
        <v>30062</v>
      </c>
      <c r="H4217" s="4">
        <v>24</v>
      </c>
      <c r="I4217" s="4" t="s">
        <v>4067</v>
      </c>
      <c r="J4217" s="4" t="str">
        <f>IFERROR(__XLUDF.DUMMYFUNCTION("VLOOKUP(H622,IMPORTRANGE(""https://docs.google.com/spreadsheets/d/1opm6ZNvGZ7KditA9TuJwrZ25eFLfTNIkrNnY6mhV5Eg"",""list!A1:C115""),3,TRUE)"),"le secteur du conseil en management")</f>
        <v xml:space="preserve">le secteur du conseil en management</v>
      </c>
      <c r="K4217" s="5" t="s">
        <v>30063</v>
      </c>
      <c r="L4217" s="5" t="s">
        <v>30064</v>
      </c>
      <c r="M4217" s="4" t="s">
        <v>846</v>
      </c>
      <c r="N4217" s="4" t="s">
        <v>29</v>
      </c>
      <c r="O4217" s="4" t="s">
        <v>30065</v>
      </c>
      <c r="P4217" s="4" t="s">
        <v>29</v>
      </c>
      <c r="Q4217" s="4" t="s">
        <v>17183</v>
      </c>
      <c r="R4217" s="6"/>
      <c r="S4217" s="6"/>
      <c r="T4217" s="6"/>
      <c r="U4217" s="6"/>
      <c r="V4217" s="6"/>
      <c r="W4217" s="6"/>
      <c r="X4217" s="6"/>
      <c r="Y4217" s="6"/>
      <c r="Z4217" s="6"/>
      <c r="AA4217" s="6"/>
    </row>
    <row r="4218" ht="14.25">
      <c r="B4218" s="4" t="s">
        <v>30066</v>
      </c>
      <c r="C4218" s="4" t="s">
        <v>30067</v>
      </c>
      <c r="D4218" s="4" t="s">
        <v>18561</v>
      </c>
      <c r="E4218" s="4" t="s">
        <v>30068</v>
      </c>
      <c r="F4218" s="4" t="str">
        <f>IFERROR(__XLUDF.DUMMYFUNCTION("PROPER(REGEXREPLACE(D623,""[^A-Za-z]+ "",""""))"),"Douge International")</f>
        <v xml:space="preserve">Douge International</v>
      </c>
      <c r="G4218" s="4" t="s">
        <v>30069</v>
      </c>
      <c r="H4218" s="4">
        <v>16</v>
      </c>
      <c r="I4218" s="4" t="s">
        <v>4067</v>
      </c>
      <c r="J4218" s="4" t="str">
        <f>IFERROR(__XLUDF.DUMMYFUNCTION("VLOOKUP(H623,IMPORTRANGE(""https://docs.google.com/spreadsheets/d/1opm6ZNvGZ7KditA9TuJwrZ25eFLfTNIkrNnY6mhV5Eg"",""list!A1:C115""),3,TRUE)"),"le secteur du conseil en management")</f>
        <v xml:space="preserve">le secteur du conseil en management</v>
      </c>
      <c r="K4218" s="5" t="s">
        <v>30070</v>
      </c>
      <c r="L4218" s="5" t="s">
        <v>30071</v>
      </c>
      <c r="M4218" s="4" t="s">
        <v>39</v>
      </c>
      <c r="N4218" s="4" t="s">
        <v>29</v>
      </c>
      <c r="O4218" s="4" t="s">
        <v>30072</v>
      </c>
      <c r="P4218" s="4" t="s">
        <v>29</v>
      </c>
      <c r="Q4218" s="4" t="s">
        <v>30073</v>
      </c>
      <c r="R4218" s="6"/>
      <c r="S4218" s="6"/>
      <c r="T4218" s="6"/>
      <c r="U4218" s="6"/>
      <c r="V4218" s="6"/>
      <c r="W4218" s="6"/>
      <c r="X4218" s="6"/>
      <c r="Y4218" s="6"/>
      <c r="Z4218" s="6"/>
      <c r="AA4218" s="6"/>
    </row>
    <row r="4219" ht="14.25">
      <c r="B4219" s="4" t="s">
        <v>3516</v>
      </c>
      <c r="C4219" s="4" t="s">
        <v>30074</v>
      </c>
      <c r="D4219" s="4" t="s">
        <v>247</v>
      </c>
      <c r="E4219" s="4" t="s">
        <v>30075</v>
      </c>
      <c r="F4219" s="4" t="str">
        <f>IFERROR(__XLUDF.DUMMYFUNCTION("PROPER(REGEXREPLACE(D624,""[^A-Za-z]+ "",""""))"),"Ostara Group")</f>
        <v xml:space="preserve">Ostara Group</v>
      </c>
      <c r="G4219" s="4" t="s">
        <v>30076</v>
      </c>
      <c r="H4219" s="4">
        <v>14</v>
      </c>
      <c r="I4219" s="4" t="s">
        <v>4067</v>
      </c>
      <c r="J4219" s="4" t="str">
        <f>IFERROR(__XLUDF.DUMMYFUNCTION("VLOOKUP(H624,IMPORTRANGE(""https://docs.google.com/spreadsheets/d/1opm6ZNvGZ7KditA9TuJwrZ25eFLfTNIkrNnY6mhV5Eg"",""list!A1:C115""),3,TRUE)"),"le secteur du conseil en management")</f>
        <v xml:space="preserve">le secteur du conseil en management</v>
      </c>
      <c r="K4219" s="5" t="s">
        <v>30077</v>
      </c>
      <c r="L4219" s="5" t="s">
        <v>30078</v>
      </c>
      <c r="M4219" s="4" t="s">
        <v>1711</v>
      </c>
      <c r="N4219" s="4" t="s">
        <v>29</v>
      </c>
      <c r="O4219" s="4" t="s">
        <v>20472</v>
      </c>
      <c r="P4219" s="4" t="s">
        <v>29</v>
      </c>
      <c r="Q4219" s="4" t="s">
        <v>30079</v>
      </c>
      <c r="R4219" s="6"/>
      <c r="S4219" s="6"/>
      <c r="T4219" s="6"/>
      <c r="U4219" s="6"/>
      <c r="V4219" s="6"/>
      <c r="W4219" s="6"/>
      <c r="X4219" s="6"/>
      <c r="Y4219" s="6"/>
      <c r="Z4219" s="6"/>
      <c r="AA4219" s="6"/>
    </row>
    <row r="4220" ht="14.25">
      <c r="B4220" s="4" t="s">
        <v>1370</v>
      </c>
      <c r="C4220" s="4" t="s">
        <v>30080</v>
      </c>
      <c r="D4220" s="4" t="s">
        <v>30081</v>
      </c>
      <c r="E4220" s="4" t="s">
        <v>30082</v>
      </c>
      <c r="F4220" s="4" t="str">
        <f>IFERROR(__XLUDF.DUMMYFUNCTION("PROPER(REGEXREPLACE(D625,""[^A-Za-z]+ "",""""))"),"Alphadial")</f>
        <v>Alphadial</v>
      </c>
      <c r="G4220" s="4" t="s">
        <v>30083</v>
      </c>
      <c r="H4220" s="4">
        <v>20</v>
      </c>
      <c r="I4220" s="4" t="s">
        <v>4067</v>
      </c>
      <c r="J4220" s="4" t="str">
        <f>IFERROR(__XLUDF.DUMMYFUNCTION("VLOOKUP(H625,IMPORTRANGE(""https://docs.google.com/spreadsheets/d/1opm6ZNvGZ7KditA9TuJwrZ25eFLfTNIkrNnY6mhV5Eg"",""list!A1:C115""),3,TRUE)"),"le secteur du conseil en management")</f>
        <v xml:space="preserve">le secteur du conseil en management</v>
      </c>
      <c r="K4220" s="5" t="s">
        <v>30084</v>
      </c>
      <c r="L4220" s="5" t="s">
        <v>30085</v>
      </c>
      <c r="M4220" s="4" t="s">
        <v>30086</v>
      </c>
      <c r="N4220" s="4" t="s">
        <v>29</v>
      </c>
      <c r="O4220" s="4" t="s">
        <v>30087</v>
      </c>
      <c r="P4220" s="4" t="s">
        <v>29</v>
      </c>
      <c r="Q4220" s="6"/>
      <c r="R4220" s="6"/>
      <c r="S4220" s="6"/>
      <c r="T4220" s="6"/>
      <c r="U4220" s="6"/>
      <c r="V4220" s="6"/>
      <c r="W4220" s="6"/>
      <c r="X4220" s="6"/>
      <c r="Y4220" s="6"/>
      <c r="Z4220" s="6"/>
      <c r="AA4220" s="6"/>
    </row>
    <row r="4221" ht="14.25">
      <c r="B4221" s="4" t="s">
        <v>30088</v>
      </c>
      <c r="C4221" s="4" t="s">
        <v>30089</v>
      </c>
      <c r="D4221" s="4" t="s">
        <v>247</v>
      </c>
      <c r="E4221" s="4" t="s">
        <v>30090</v>
      </c>
      <c r="F4221" s="4" t="str">
        <f>IFERROR(__XLUDF.DUMMYFUNCTION("PROPER(REGEXREPLACE(D626,""[^A-Za-z]+ "",""""))"),"Ask Group")</f>
        <v xml:space="preserve">Ask Group</v>
      </c>
      <c r="G4221" s="4" t="s">
        <v>30091</v>
      </c>
      <c r="H4221" s="4">
        <v>15</v>
      </c>
      <c r="I4221" s="4" t="s">
        <v>4067</v>
      </c>
      <c r="J4221" s="4" t="str">
        <f>IFERROR(__XLUDF.DUMMYFUNCTION("VLOOKUP(H626,IMPORTRANGE(""https://docs.google.com/spreadsheets/d/1opm6ZNvGZ7KditA9TuJwrZ25eFLfTNIkrNnY6mhV5Eg"",""list!A1:C115""),3,TRUE)"),"le secteur du conseil en management")</f>
        <v xml:space="preserve">le secteur du conseil en management</v>
      </c>
      <c r="K4221" s="5" t="s">
        <v>30092</v>
      </c>
      <c r="L4221" s="5" t="s">
        <v>30093</v>
      </c>
      <c r="M4221" s="6"/>
      <c r="N4221" s="4" t="s">
        <v>29</v>
      </c>
      <c r="O4221" s="4" t="s">
        <v>30094</v>
      </c>
      <c r="P4221" s="4" t="s">
        <v>29</v>
      </c>
      <c r="Q4221" s="4" t="s">
        <v>30095</v>
      </c>
      <c r="R4221" s="6"/>
      <c r="S4221" s="6"/>
      <c r="T4221" s="6"/>
      <c r="U4221" s="6"/>
      <c r="V4221" s="6"/>
      <c r="W4221" s="6"/>
      <c r="X4221" s="6"/>
      <c r="Y4221" s="6"/>
      <c r="Z4221" s="6"/>
      <c r="AA4221" s="6"/>
    </row>
    <row r="4222" ht="14.25">
      <c r="B4222" s="4" t="s">
        <v>2659</v>
      </c>
      <c r="C4222" s="4" t="s">
        <v>30096</v>
      </c>
      <c r="D4222" s="4" t="s">
        <v>172</v>
      </c>
      <c r="E4222" s="4" t="s">
        <v>30097</v>
      </c>
      <c r="F4222" s="4" t="str">
        <f>IFERROR(__XLUDF.DUMMYFUNCTION("PROPER(REGEXREPLACE(D627,""[^A-Za-z]+ "",""""))"),"Automationbot")</f>
        <v>Automationbot</v>
      </c>
      <c r="G4222" s="4" t="s">
        <v>30098</v>
      </c>
      <c r="H4222" s="4">
        <v>16</v>
      </c>
      <c r="I4222" s="4" t="s">
        <v>4067</v>
      </c>
      <c r="J4222" s="4" t="str">
        <f>IFERROR(__XLUDF.DUMMYFUNCTION("VLOOKUP(H627,IMPORTRANGE(""https://docs.google.com/spreadsheets/d/1opm6ZNvGZ7KditA9TuJwrZ25eFLfTNIkrNnY6mhV5Eg"",""list!A1:C115""),3,TRUE)"),"le secteur du conseil en management")</f>
        <v xml:space="preserve">le secteur du conseil en management</v>
      </c>
      <c r="K4222" s="5" t="s">
        <v>30099</v>
      </c>
      <c r="L4222" s="5" t="s">
        <v>30100</v>
      </c>
      <c r="M4222" s="6"/>
      <c r="N4222" s="4" t="s">
        <v>29</v>
      </c>
      <c r="O4222" s="4" t="s">
        <v>30101</v>
      </c>
      <c r="P4222" s="4" t="s">
        <v>29</v>
      </c>
      <c r="Q4222" s="6"/>
      <c r="R4222" s="6"/>
      <c r="S4222" s="6"/>
      <c r="T4222" s="6"/>
      <c r="U4222" s="6"/>
      <c r="V4222" s="6"/>
      <c r="W4222" s="6"/>
      <c r="X4222" s="6"/>
      <c r="Y4222" s="6"/>
      <c r="Z4222" s="6"/>
      <c r="AA4222" s="6"/>
    </row>
    <row r="4223" ht="14.25">
      <c r="B4223" s="4" t="s">
        <v>1571</v>
      </c>
      <c r="C4223" s="4" t="s">
        <v>30102</v>
      </c>
      <c r="D4223" s="4" t="s">
        <v>30103</v>
      </c>
      <c r="E4223" s="4" t="s">
        <v>30104</v>
      </c>
      <c r="F4223" s="4" t="str">
        <f>IFERROR(__XLUDF.DUMMYFUNCTION("PROPER(REGEXREPLACE(D628,""[^A-Za-z]+ "",""""))"),"High Flyers")</f>
        <v xml:space="preserve">High Flyers</v>
      </c>
      <c r="G4223" s="4" t="s">
        <v>30105</v>
      </c>
      <c r="H4223" s="4">
        <v>50</v>
      </c>
      <c r="I4223" s="4" t="s">
        <v>4067</v>
      </c>
      <c r="J4223" s="4" t="str">
        <f>IFERROR(__XLUDF.DUMMYFUNCTION("VLOOKUP(H628,IMPORTRANGE(""https://docs.google.com/spreadsheets/d/1opm6ZNvGZ7KditA9TuJwrZ25eFLfTNIkrNnY6mhV5Eg"",""list!A1:C115""),3,TRUE)"),"le secteur du conseil en management")</f>
        <v xml:space="preserve">le secteur du conseil en management</v>
      </c>
      <c r="K4223" s="5" t="s">
        <v>30106</v>
      </c>
      <c r="L4223" s="5" t="s">
        <v>30107</v>
      </c>
      <c r="M4223" s="4" t="s">
        <v>39</v>
      </c>
      <c r="N4223" s="4" t="s">
        <v>29</v>
      </c>
      <c r="O4223" s="4" t="s">
        <v>28639</v>
      </c>
      <c r="P4223" s="4" t="s">
        <v>29</v>
      </c>
      <c r="Q4223" s="6"/>
      <c r="R4223" s="6"/>
      <c r="S4223" s="6"/>
      <c r="T4223" s="6"/>
      <c r="U4223" s="6"/>
      <c r="V4223" s="6"/>
      <c r="W4223" s="6"/>
      <c r="X4223" s="6"/>
      <c r="Y4223" s="6"/>
      <c r="Z4223" s="6"/>
      <c r="AA4223" s="6"/>
    </row>
    <row r="4224" ht="14.25">
      <c r="B4224" s="4" t="s">
        <v>1844</v>
      </c>
      <c r="C4224" s="4" t="s">
        <v>15479</v>
      </c>
      <c r="D4224" s="4" t="s">
        <v>87</v>
      </c>
      <c r="E4224" s="4" t="s">
        <v>30108</v>
      </c>
      <c r="F4224" s="4" t="str">
        <f>IFERROR(__XLUDF.DUMMYFUNCTION("PROPER(REGEXREPLACE(D629,""[^A-Za-z]+ "",""""))"),"The Cercle")</f>
        <v xml:space="preserve">The Cercle</v>
      </c>
      <c r="G4224" s="4" t="s">
        <v>30109</v>
      </c>
      <c r="H4224" s="4">
        <v>11</v>
      </c>
      <c r="I4224" s="4" t="s">
        <v>4067</v>
      </c>
      <c r="J4224" s="4" t="str">
        <f>IFERROR(__XLUDF.DUMMYFUNCTION("VLOOKUP(H629,IMPORTRANGE(""https://docs.google.com/spreadsheets/d/1opm6ZNvGZ7KditA9TuJwrZ25eFLfTNIkrNnY6mhV5Eg"",""list!A1:C115""),3,TRUE)"),"le secteur du conseil en management")</f>
        <v xml:space="preserve">le secteur du conseil en management</v>
      </c>
      <c r="K4224" s="5" t="s">
        <v>30110</v>
      </c>
      <c r="L4224" s="5" t="s">
        <v>30111</v>
      </c>
      <c r="M4224" s="4" t="s">
        <v>39</v>
      </c>
      <c r="N4224" s="4" t="s">
        <v>29</v>
      </c>
      <c r="O4224" s="4" t="s">
        <v>19281</v>
      </c>
      <c r="P4224" s="4" t="s">
        <v>29</v>
      </c>
      <c r="Q4224" s="6"/>
      <c r="R4224" s="6"/>
      <c r="S4224" s="6"/>
      <c r="T4224" s="6"/>
      <c r="U4224" s="6"/>
      <c r="V4224" s="6"/>
      <c r="W4224" s="6"/>
      <c r="X4224" s="6"/>
      <c r="Y4224" s="6"/>
      <c r="Z4224" s="6"/>
      <c r="AA4224" s="6"/>
    </row>
    <row r="4225" ht="14.25">
      <c r="B4225" s="4" t="s">
        <v>3752</v>
      </c>
      <c r="C4225" s="4" t="s">
        <v>30112</v>
      </c>
      <c r="D4225" s="4" t="s">
        <v>30113</v>
      </c>
      <c r="E4225" s="4" t="s">
        <v>30114</v>
      </c>
      <c r="F4225" s="4" t="str">
        <f>IFERROR(__XLUDF.DUMMYFUNCTION("PROPER(REGEXREPLACE(D630,""[^A-Za-z]+ "",""""))"),"Groupe Stratae")</f>
        <v xml:space="preserve">Groupe Stratae</v>
      </c>
      <c r="G4225" s="4" t="s">
        <v>30115</v>
      </c>
      <c r="H4225" s="4">
        <v>10</v>
      </c>
      <c r="I4225" s="4" t="s">
        <v>4067</v>
      </c>
      <c r="J4225" s="4" t="str">
        <f>IFERROR(__XLUDF.DUMMYFUNCTION("VLOOKUP(H630,IMPORTRANGE(""https://docs.google.com/spreadsheets/d/1opm6ZNvGZ7KditA9TuJwrZ25eFLfTNIkrNnY6mhV5Eg"",""list!A1:C115""),3,TRUE)"),"le secteur du conseil en management")</f>
        <v xml:space="preserve">le secteur du conseil en management</v>
      </c>
      <c r="K4225" s="5" t="s">
        <v>30116</v>
      </c>
      <c r="L4225" s="5" t="s">
        <v>30117</v>
      </c>
      <c r="M4225" s="4" t="s">
        <v>2186</v>
      </c>
      <c r="N4225" s="4" t="s">
        <v>29</v>
      </c>
      <c r="O4225" s="4" t="s">
        <v>30118</v>
      </c>
      <c r="P4225" s="4" t="s">
        <v>29</v>
      </c>
      <c r="Q4225" s="4" t="s">
        <v>30119</v>
      </c>
      <c r="R4225" s="6"/>
      <c r="S4225" s="6"/>
      <c r="T4225" s="6"/>
      <c r="U4225" s="6"/>
      <c r="V4225" s="6"/>
      <c r="W4225" s="6"/>
      <c r="X4225" s="6"/>
      <c r="Y4225" s="6"/>
      <c r="Z4225" s="6"/>
      <c r="AA4225" s="6"/>
    </row>
    <row r="4226" ht="14.25">
      <c r="B4226" s="4" t="s">
        <v>485</v>
      </c>
      <c r="C4226" s="4" t="s">
        <v>30120</v>
      </c>
      <c r="D4226" s="4" t="s">
        <v>672</v>
      </c>
      <c r="E4226" s="4" t="s">
        <v>30121</v>
      </c>
      <c r="F4226" s="4" t="str">
        <f>IFERROR(__XLUDF.DUMMYFUNCTION("PROPER(REGEXREPLACE(D631,""[^A-Za-z]+ "",""""))"),"Wizin")</f>
        <v>Wizin</v>
      </c>
      <c r="G4226" s="4" t="s">
        <v>30122</v>
      </c>
      <c r="H4226" s="4">
        <v>10</v>
      </c>
      <c r="I4226" s="4" t="s">
        <v>4067</v>
      </c>
      <c r="J4226" s="4" t="str">
        <f>IFERROR(__XLUDF.DUMMYFUNCTION("VLOOKUP(H631,IMPORTRANGE(""https://docs.google.com/spreadsheets/d/1opm6ZNvGZ7KditA9TuJwrZ25eFLfTNIkrNnY6mhV5Eg"",""list!A1:C115""),3,TRUE)"),"le secteur du conseil en management")</f>
        <v xml:space="preserve">le secteur du conseil en management</v>
      </c>
      <c r="K4226" s="5" t="s">
        <v>30123</v>
      </c>
      <c r="L4226" s="5" t="s">
        <v>30124</v>
      </c>
      <c r="M4226" s="6"/>
      <c r="N4226" s="4" t="s">
        <v>29</v>
      </c>
      <c r="O4226" s="4" t="s">
        <v>18884</v>
      </c>
      <c r="P4226" s="4" t="s">
        <v>29</v>
      </c>
      <c r="Q4226" s="6"/>
      <c r="R4226" s="6"/>
      <c r="S4226" s="6"/>
      <c r="T4226" s="6"/>
      <c r="U4226" s="6"/>
      <c r="V4226" s="6"/>
      <c r="W4226" s="6"/>
      <c r="X4226" s="6"/>
      <c r="Y4226" s="6"/>
      <c r="Z4226" s="6"/>
      <c r="AA4226" s="6"/>
    </row>
    <row r="4227" ht="14.25">
      <c r="B4227" s="4" t="s">
        <v>874</v>
      </c>
      <c r="C4227" s="4" t="s">
        <v>30125</v>
      </c>
      <c r="D4227" s="4" t="s">
        <v>112</v>
      </c>
      <c r="E4227" s="4" t="s">
        <v>30126</v>
      </c>
      <c r="F4227" s="4" t="str">
        <f>IFERROR(__XLUDF.DUMMYFUNCTION("PROPER(REGEXREPLACE(D632,""[^A-Za-z]+ "",""""))"),"Finovup")</f>
        <v>Finovup</v>
      </c>
      <c r="G4227" s="4" t="s">
        <v>30127</v>
      </c>
      <c r="H4227" s="4">
        <v>16</v>
      </c>
      <c r="I4227" s="4" t="s">
        <v>4067</v>
      </c>
      <c r="J4227" s="4" t="str">
        <f>IFERROR(__XLUDF.DUMMYFUNCTION("VLOOKUP(H632,IMPORTRANGE(""https://docs.google.com/spreadsheets/d/1opm6ZNvGZ7KditA9TuJwrZ25eFLfTNIkrNnY6mhV5Eg"",""list!A1:C115""),3,TRUE)"),"le secteur du conseil en management")</f>
        <v xml:space="preserve">le secteur du conseil en management</v>
      </c>
      <c r="K4227" s="5" t="s">
        <v>30128</v>
      </c>
      <c r="L4227" s="5" t="s">
        <v>30129</v>
      </c>
      <c r="M4227" s="4" t="s">
        <v>39</v>
      </c>
      <c r="N4227" s="4" t="s">
        <v>29</v>
      </c>
      <c r="O4227" s="4" t="s">
        <v>30130</v>
      </c>
      <c r="P4227" s="4" t="s">
        <v>29</v>
      </c>
      <c r="Q4227" s="4" t="s">
        <v>30131</v>
      </c>
      <c r="R4227" s="6"/>
      <c r="S4227" s="6"/>
      <c r="T4227" s="6"/>
      <c r="U4227" s="6"/>
      <c r="V4227" s="6"/>
      <c r="W4227" s="6"/>
      <c r="X4227" s="6"/>
      <c r="Y4227" s="6"/>
      <c r="Z4227" s="6"/>
      <c r="AA4227" s="6"/>
    </row>
    <row r="4228" ht="14.25">
      <c r="B4228" s="4" t="s">
        <v>30132</v>
      </c>
      <c r="C4228" s="4" t="s">
        <v>30133</v>
      </c>
      <c r="D4228" s="4" t="s">
        <v>30134</v>
      </c>
      <c r="E4228" s="4" t="s">
        <v>30135</v>
      </c>
      <c r="F4228" s="4" t="str">
        <f>IFERROR(__XLUDF.DUMMYFUNCTION("PROPER(REGEXREPLACE(D633,""[^A-Za-z]+ "",""""))"),"Energiesdev")</f>
        <v>Energiesdev</v>
      </c>
      <c r="G4228" s="4" t="s">
        <v>30136</v>
      </c>
      <c r="H4228" s="4">
        <v>12</v>
      </c>
      <c r="I4228" s="4" t="s">
        <v>4067</v>
      </c>
      <c r="J4228" s="4" t="str">
        <f>IFERROR(__XLUDF.DUMMYFUNCTION("VLOOKUP(H633,IMPORTRANGE(""https://docs.google.com/spreadsheets/d/1opm6ZNvGZ7KditA9TuJwrZ25eFLfTNIkrNnY6mhV5Eg"",""list!A1:C115""),3,TRUE)"),"le secteur du conseil en management")</f>
        <v xml:space="preserve">le secteur du conseil en management</v>
      </c>
      <c r="K4228" s="5" t="s">
        <v>30137</v>
      </c>
      <c r="L4228" s="5" t="s">
        <v>30138</v>
      </c>
      <c r="M4228" s="4" t="s">
        <v>651</v>
      </c>
      <c r="N4228" s="4" t="s">
        <v>29</v>
      </c>
      <c r="O4228" s="4" t="s">
        <v>30139</v>
      </c>
      <c r="P4228" s="4" t="s">
        <v>29</v>
      </c>
      <c r="Q4228" s="4" t="s">
        <v>30140</v>
      </c>
      <c r="R4228" s="6"/>
      <c r="S4228" s="6"/>
      <c r="T4228" s="6"/>
      <c r="U4228" s="6"/>
      <c r="V4228" s="6"/>
      <c r="W4228" s="6"/>
      <c r="X4228" s="6"/>
      <c r="Y4228" s="6"/>
      <c r="Z4228" s="6"/>
      <c r="AA4228" s="6"/>
    </row>
    <row r="4229" ht="14.25">
      <c r="B4229" s="4" t="s">
        <v>3002</v>
      </c>
      <c r="C4229" s="4" t="s">
        <v>8599</v>
      </c>
      <c r="D4229" s="4" t="s">
        <v>112</v>
      </c>
      <c r="E4229" s="4" t="s">
        <v>15892</v>
      </c>
      <c r="F4229" s="4" t="str">
        <f>IFERROR(__XLUDF.DUMMYFUNCTION("PROPER(REGEXREPLACE(D634,""[^A-Za-z]+ "",""""))"),"Autonomii")</f>
        <v>Autonomii</v>
      </c>
      <c r="G4229" s="4" t="s">
        <v>30141</v>
      </c>
      <c r="H4229" s="4">
        <v>28</v>
      </c>
      <c r="I4229" s="4" t="s">
        <v>4067</v>
      </c>
      <c r="J4229" s="4" t="str">
        <f>IFERROR(__XLUDF.DUMMYFUNCTION("VLOOKUP(H634,IMPORTRANGE(""https://docs.google.com/spreadsheets/d/1opm6ZNvGZ7KditA9TuJwrZ25eFLfTNIkrNnY6mhV5Eg"",""list!A1:C115""),3,TRUE)"),"le secteur du conseil en management")</f>
        <v xml:space="preserve">le secteur du conseil en management</v>
      </c>
      <c r="K4229" s="5" t="s">
        <v>30142</v>
      </c>
      <c r="L4229" s="5" t="s">
        <v>20793</v>
      </c>
      <c r="M4229" s="4" t="s">
        <v>1962</v>
      </c>
      <c r="N4229" s="4" t="s">
        <v>29</v>
      </c>
      <c r="O4229" s="4" t="s">
        <v>287</v>
      </c>
      <c r="P4229" s="4" t="s">
        <v>29</v>
      </c>
      <c r="Q4229" s="4" t="s">
        <v>15896</v>
      </c>
      <c r="R4229" s="6"/>
      <c r="S4229" s="6"/>
      <c r="T4229" s="6"/>
      <c r="U4229" s="6"/>
      <c r="V4229" s="6"/>
      <c r="W4229" s="6"/>
      <c r="X4229" s="6"/>
      <c r="Y4229" s="6"/>
      <c r="Z4229" s="6"/>
      <c r="AA4229" s="6"/>
    </row>
    <row r="4230" ht="14.25">
      <c r="B4230" s="4" t="s">
        <v>2932</v>
      </c>
      <c r="C4230" s="4" t="s">
        <v>30143</v>
      </c>
      <c r="D4230" s="4" t="s">
        <v>426</v>
      </c>
      <c r="E4230" s="4" t="s">
        <v>30144</v>
      </c>
      <c r="F4230" s="4" t="str">
        <f>IFERROR(__XLUDF.DUMMYFUNCTION("PROPER(REGEXREPLACE(D635,""[^A-Za-z]+ "",""""))"),"Rist")</f>
        <v>Rist</v>
      </c>
      <c r="G4230" s="4" t="s">
        <v>30145</v>
      </c>
      <c r="H4230" s="4">
        <v>47</v>
      </c>
      <c r="I4230" s="4" t="s">
        <v>4067</v>
      </c>
      <c r="J4230" s="4" t="str">
        <f>IFERROR(__XLUDF.DUMMYFUNCTION("VLOOKUP(H635,IMPORTRANGE(""https://docs.google.com/spreadsheets/d/1opm6ZNvGZ7KditA9TuJwrZ25eFLfTNIkrNnY6mhV5Eg"",""list!A1:C115""),3,TRUE)"),"le secteur du conseil en management")</f>
        <v xml:space="preserve">le secteur du conseil en management</v>
      </c>
      <c r="K4230" s="5" t="s">
        <v>30146</v>
      </c>
      <c r="L4230" s="5" t="s">
        <v>30147</v>
      </c>
      <c r="M4230" s="4" t="s">
        <v>39</v>
      </c>
      <c r="N4230" s="4" t="s">
        <v>29</v>
      </c>
      <c r="O4230" s="4" t="s">
        <v>30148</v>
      </c>
      <c r="P4230" s="4" t="s">
        <v>29</v>
      </c>
      <c r="Q4230" s="6"/>
      <c r="R4230" s="6"/>
      <c r="S4230" s="6"/>
      <c r="T4230" s="6"/>
      <c r="U4230" s="6"/>
      <c r="V4230" s="6"/>
      <c r="W4230" s="6"/>
      <c r="X4230" s="6"/>
      <c r="Y4230" s="6"/>
      <c r="Z4230" s="6"/>
      <c r="AA4230" s="6"/>
    </row>
    <row r="4231" ht="14.25">
      <c r="B4231" s="4" t="s">
        <v>1704</v>
      </c>
      <c r="C4231" s="4" t="s">
        <v>1619</v>
      </c>
      <c r="D4231" s="4" t="s">
        <v>172</v>
      </c>
      <c r="E4231" s="4" t="s">
        <v>30149</v>
      </c>
      <c r="F4231" s="4" t="str">
        <f>IFERROR(__XLUDF.DUMMYFUNCTION("PROPER(REGEXREPLACE(D636,""[^A-Za-z]+ "",""""))"),"Imdm Sa")</f>
        <v xml:space="preserve">Imdm Sa</v>
      </c>
      <c r="G4231" s="4" t="s">
        <v>30150</v>
      </c>
      <c r="H4231" s="4">
        <v>17</v>
      </c>
      <c r="I4231" s="4" t="s">
        <v>4067</v>
      </c>
      <c r="J4231" s="4" t="str">
        <f>IFERROR(__XLUDF.DUMMYFUNCTION("VLOOKUP(H636,IMPORTRANGE(""https://docs.google.com/spreadsheets/d/1opm6ZNvGZ7KditA9TuJwrZ25eFLfTNIkrNnY6mhV5Eg"",""list!A1:C115""),3,TRUE)"),"le secteur du conseil en management")</f>
        <v xml:space="preserve">le secteur du conseil en management</v>
      </c>
      <c r="K4231" s="5" t="s">
        <v>30151</v>
      </c>
      <c r="L4231" s="5" t="s">
        <v>30152</v>
      </c>
      <c r="M4231" s="4" t="s">
        <v>39</v>
      </c>
      <c r="N4231" s="4" t="s">
        <v>29</v>
      </c>
      <c r="O4231" s="4" t="s">
        <v>30153</v>
      </c>
      <c r="P4231" s="4" t="s">
        <v>1938</v>
      </c>
      <c r="Q4231" s="6"/>
      <c r="R4231" s="6"/>
      <c r="S4231" s="6"/>
      <c r="T4231" s="6"/>
      <c r="U4231" s="6"/>
      <c r="V4231" s="6"/>
      <c r="W4231" s="6"/>
      <c r="X4231" s="6"/>
      <c r="Y4231" s="6"/>
      <c r="Z4231" s="6"/>
      <c r="AA4231" s="6"/>
    </row>
    <row r="4232" ht="14.25">
      <c r="B4232" s="4" t="s">
        <v>1583</v>
      </c>
      <c r="C4232" s="4" t="s">
        <v>30154</v>
      </c>
      <c r="D4232" s="4" t="s">
        <v>172</v>
      </c>
      <c r="E4232" s="4" t="s">
        <v>30155</v>
      </c>
      <c r="F4232" s="4" t="str">
        <f>IFERROR(__XLUDF.DUMMYFUNCTION("PROPER(REGEXREPLACE(D637,""[^A-Za-z]+ "",""""))"),"Moreno Consulting")</f>
        <v xml:space="preserve">Moreno Consulting</v>
      </c>
      <c r="G4232" s="4" t="s">
        <v>30156</v>
      </c>
      <c r="H4232" s="4">
        <v>15</v>
      </c>
      <c r="I4232" s="4" t="s">
        <v>4067</v>
      </c>
      <c r="J4232" s="4" t="str">
        <f>IFERROR(__XLUDF.DUMMYFUNCTION("VLOOKUP(H637,IMPORTRANGE(""https://docs.google.com/spreadsheets/d/1opm6ZNvGZ7KditA9TuJwrZ25eFLfTNIkrNnY6mhV5Eg"",""list!A1:C115""),3,TRUE)"),"le secteur du conseil en management")</f>
        <v xml:space="preserve">le secteur du conseil en management</v>
      </c>
      <c r="K4232" s="5" t="s">
        <v>30157</v>
      </c>
      <c r="L4232" s="5" t="s">
        <v>30158</v>
      </c>
      <c r="M4232" s="4" t="s">
        <v>1780</v>
      </c>
      <c r="N4232" s="4" t="s">
        <v>29</v>
      </c>
      <c r="O4232" s="4" t="s">
        <v>30159</v>
      </c>
      <c r="P4232" s="4" t="s">
        <v>29</v>
      </c>
      <c r="Q4232" s="4" t="s">
        <v>30160</v>
      </c>
      <c r="R4232" s="6"/>
      <c r="S4232" s="6"/>
      <c r="T4232" s="6"/>
      <c r="U4232" s="6"/>
      <c r="V4232" s="6"/>
      <c r="W4232" s="6"/>
      <c r="X4232" s="6"/>
      <c r="Y4232" s="6"/>
      <c r="Z4232" s="6"/>
      <c r="AA4232" s="6"/>
    </row>
    <row r="4233" ht="14.25">
      <c r="B4233" s="4" t="s">
        <v>3119</v>
      </c>
      <c r="C4233" s="4" t="s">
        <v>485</v>
      </c>
      <c r="D4233" s="4" t="s">
        <v>19111</v>
      </c>
      <c r="E4233" s="4" t="s">
        <v>30161</v>
      </c>
      <c r="F4233" s="4" t="str">
        <f>IFERROR(__XLUDF.DUMMYFUNCTION("PROPER(REGEXREPLACE(D638,""[^A-Za-z]+ "",""""))"),"Floriane De Saint Pierreassociés")</f>
        <v xml:space="preserve">Floriane De Saint Pierreassociés</v>
      </c>
      <c r="G4233" s="4" t="s">
        <v>30162</v>
      </c>
      <c r="H4233" s="4">
        <v>14</v>
      </c>
      <c r="I4233" s="4" t="s">
        <v>4067</v>
      </c>
      <c r="J4233" s="4" t="str">
        <f>IFERROR(__XLUDF.DUMMYFUNCTION("VLOOKUP(H638,IMPORTRANGE(""https://docs.google.com/spreadsheets/d/1opm6ZNvGZ7KditA9TuJwrZ25eFLfTNIkrNnY6mhV5Eg"",""list!A1:C115""),3,TRUE)"),"le secteur du conseil en management")</f>
        <v xml:space="preserve">le secteur du conseil en management</v>
      </c>
      <c r="K4233" s="5" t="s">
        <v>30163</v>
      </c>
      <c r="L4233" s="5" t="s">
        <v>30164</v>
      </c>
      <c r="M4233" s="4" t="s">
        <v>39</v>
      </c>
      <c r="N4233" s="4" t="s">
        <v>29</v>
      </c>
      <c r="O4233" s="4" t="s">
        <v>30165</v>
      </c>
      <c r="P4233" s="4" t="s">
        <v>29</v>
      </c>
      <c r="Q4233" s="6"/>
      <c r="R4233" s="6"/>
      <c r="S4233" s="6"/>
      <c r="T4233" s="6"/>
      <c r="U4233" s="6"/>
      <c r="V4233" s="6"/>
      <c r="W4233" s="6"/>
      <c r="X4233" s="6"/>
      <c r="Y4233" s="6"/>
      <c r="Z4233" s="6"/>
      <c r="AA4233" s="6"/>
    </row>
    <row r="4234" ht="14.25">
      <c r="B4234" s="4" t="s">
        <v>23385</v>
      </c>
      <c r="C4234" s="4" t="s">
        <v>5265</v>
      </c>
      <c r="D4234" s="4" t="s">
        <v>30166</v>
      </c>
      <c r="E4234" s="4" t="s">
        <v>30167</v>
      </c>
      <c r="F4234" s="4" t="str">
        <f>IFERROR(__XLUDF.DUMMYFUNCTION("PROPER(REGEXREPLACE(D639,""[^A-Za-z]+ "",""""))"),"Les Imaginations Fertiles")</f>
        <v xml:space="preserve">Les Imaginations Fertiles</v>
      </c>
      <c r="G4234" s="4" t="s">
        <v>30168</v>
      </c>
      <c r="H4234" s="4">
        <v>13</v>
      </c>
      <c r="I4234" s="4" t="s">
        <v>4067</v>
      </c>
      <c r="J4234" s="4" t="str">
        <f>IFERROR(__XLUDF.DUMMYFUNCTION("VLOOKUP(H639,IMPORTRANGE(""https://docs.google.com/spreadsheets/d/1opm6ZNvGZ7KditA9TuJwrZ25eFLfTNIkrNnY6mhV5Eg"",""list!A1:C115""),3,TRUE)"),"le secteur du conseil en management")</f>
        <v xml:space="preserve">le secteur du conseil en management</v>
      </c>
      <c r="K4234" s="5" t="s">
        <v>30169</v>
      </c>
      <c r="L4234" s="5" t="s">
        <v>30170</v>
      </c>
      <c r="M4234" s="4" t="s">
        <v>83</v>
      </c>
      <c r="N4234" s="4" t="s">
        <v>29</v>
      </c>
      <c r="O4234" s="4" t="s">
        <v>346</v>
      </c>
      <c r="P4234" s="4" t="s">
        <v>29</v>
      </c>
      <c r="Q4234" s="4" t="s">
        <v>30171</v>
      </c>
      <c r="R4234" s="6"/>
      <c r="S4234" s="6"/>
      <c r="T4234" s="6"/>
      <c r="U4234" s="6"/>
      <c r="V4234" s="6"/>
      <c r="W4234" s="6"/>
      <c r="X4234" s="6"/>
      <c r="Y4234" s="6"/>
      <c r="Z4234" s="6"/>
      <c r="AA4234" s="6"/>
    </row>
    <row r="4235" ht="14.25">
      <c r="B4235" s="4" t="s">
        <v>1732</v>
      </c>
      <c r="C4235" s="4" t="s">
        <v>15152</v>
      </c>
      <c r="D4235" s="4" t="s">
        <v>468</v>
      </c>
      <c r="E4235" s="4" t="s">
        <v>30172</v>
      </c>
      <c r="F4235" s="4" t="str">
        <f>IFERROR(__XLUDF.DUMMYFUNCTION("PROPER(REGEXREPLACE(D640,""[^A-Za-z]+ "",""""))"),"Solutions Productives")</f>
        <v xml:space="preserve">Solutions Productives</v>
      </c>
      <c r="G4235" s="4" t="s">
        <v>30173</v>
      </c>
      <c r="H4235" s="4">
        <v>43</v>
      </c>
      <c r="I4235" s="4" t="s">
        <v>4067</v>
      </c>
      <c r="J4235" s="4" t="str">
        <f>IFERROR(__XLUDF.DUMMYFUNCTION("VLOOKUP(H640,IMPORTRANGE(""https://docs.google.com/spreadsheets/d/1opm6ZNvGZ7KditA9TuJwrZ25eFLfTNIkrNnY6mhV5Eg"",""list!A1:C115""),3,TRUE)"),"le secteur du conseil en management")</f>
        <v xml:space="preserve">le secteur du conseil en management</v>
      </c>
      <c r="K4235" s="5" t="s">
        <v>30174</v>
      </c>
      <c r="L4235" s="5" t="s">
        <v>30175</v>
      </c>
      <c r="M4235" s="6"/>
      <c r="N4235" s="4" t="s">
        <v>29</v>
      </c>
      <c r="O4235" s="4" t="s">
        <v>30176</v>
      </c>
      <c r="P4235" s="4" t="s">
        <v>29</v>
      </c>
      <c r="Q4235" s="4" t="s">
        <v>30177</v>
      </c>
      <c r="R4235" s="6"/>
      <c r="S4235" s="6"/>
      <c r="T4235" s="6"/>
      <c r="U4235" s="6"/>
      <c r="V4235" s="6"/>
      <c r="W4235" s="6"/>
      <c r="X4235" s="6"/>
      <c r="Y4235" s="6"/>
      <c r="Z4235" s="6"/>
      <c r="AA4235" s="6"/>
    </row>
    <row r="4236" ht="14.25">
      <c r="B4236" s="4" t="s">
        <v>2870</v>
      </c>
      <c r="C4236" s="4" t="s">
        <v>16833</v>
      </c>
      <c r="D4236" s="4" t="s">
        <v>10202</v>
      </c>
      <c r="E4236" s="4" t="s">
        <v>30178</v>
      </c>
      <c r="F4236" s="4" t="str">
        <f>IFERROR(__XLUDF.DUMMYFUNCTION("PROPER(REGEXREPLACE(D641,""[^A-Za-z]+ "",""""))"),"Youxta")</f>
        <v>Youxta</v>
      </c>
      <c r="G4236" s="4" t="s">
        <v>30179</v>
      </c>
      <c r="H4236" s="4">
        <v>27</v>
      </c>
      <c r="I4236" s="4" t="s">
        <v>4067</v>
      </c>
      <c r="J4236" s="4" t="str">
        <f>IFERROR(__XLUDF.DUMMYFUNCTION("VLOOKUP(H641,IMPORTRANGE(""https://docs.google.com/spreadsheets/d/1opm6ZNvGZ7KditA9TuJwrZ25eFLfTNIkrNnY6mhV5Eg"",""list!A1:C115""),3,TRUE)"),"le secteur du conseil en management")</f>
        <v xml:space="preserve">le secteur du conseil en management</v>
      </c>
      <c r="K4236" s="5" t="s">
        <v>30180</v>
      </c>
      <c r="L4236" s="5" t="s">
        <v>30181</v>
      </c>
      <c r="M4236" s="6"/>
      <c r="N4236" s="4" t="s">
        <v>29</v>
      </c>
      <c r="O4236" s="4" t="s">
        <v>30182</v>
      </c>
      <c r="P4236" s="4" t="s">
        <v>29</v>
      </c>
      <c r="Q4236" s="4" t="s">
        <v>30183</v>
      </c>
      <c r="R4236" s="6"/>
      <c r="S4236" s="6"/>
      <c r="T4236" s="6"/>
      <c r="U4236" s="6"/>
      <c r="V4236" s="6"/>
      <c r="W4236" s="6"/>
      <c r="X4236" s="6"/>
      <c r="Y4236" s="6"/>
      <c r="Z4236" s="6"/>
      <c r="AA4236" s="6"/>
    </row>
    <row r="4237" ht="14.25">
      <c r="B4237" s="4" t="s">
        <v>3909</v>
      </c>
      <c r="C4237" s="4" t="s">
        <v>30184</v>
      </c>
      <c r="D4237" s="4" t="s">
        <v>30185</v>
      </c>
      <c r="E4237" s="4" t="s">
        <v>30186</v>
      </c>
      <c r="F4237" s="4" t="str">
        <f>IFERROR(__XLUDF.DUMMYFUNCTION("PROPER(REGEXREPLACE(D642,""[^A-Za-z]+ "",""""))"),"Collectif Excalibur")</f>
        <v xml:space="preserve">Collectif Excalibur</v>
      </c>
      <c r="G4237" s="4" t="s">
        <v>30187</v>
      </c>
      <c r="H4237" s="4">
        <v>18</v>
      </c>
      <c r="I4237" s="4" t="s">
        <v>4067</v>
      </c>
      <c r="J4237" s="4" t="str">
        <f>IFERROR(__XLUDF.DUMMYFUNCTION("VLOOKUP(H642,IMPORTRANGE(""https://docs.google.com/spreadsheets/d/1opm6ZNvGZ7KditA9TuJwrZ25eFLfTNIkrNnY6mhV5Eg"",""list!A1:C115""),3,TRUE)"),"le secteur du conseil en management")</f>
        <v xml:space="preserve">le secteur du conseil en management</v>
      </c>
      <c r="K4237" s="5" t="s">
        <v>30188</v>
      </c>
      <c r="L4237" s="5" t="s">
        <v>30189</v>
      </c>
      <c r="M4237" s="4" t="s">
        <v>439</v>
      </c>
      <c r="N4237" s="4" t="s">
        <v>29</v>
      </c>
      <c r="O4237" s="4" t="s">
        <v>30190</v>
      </c>
      <c r="P4237" s="4" t="s">
        <v>29</v>
      </c>
      <c r="Q4237" s="6"/>
      <c r="R4237" s="6"/>
      <c r="S4237" s="6"/>
      <c r="T4237" s="6"/>
      <c r="U4237" s="6"/>
      <c r="V4237" s="6"/>
      <c r="W4237" s="6"/>
      <c r="X4237" s="6"/>
      <c r="Y4237" s="6"/>
      <c r="Z4237" s="6"/>
      <c r="AA4237" s="6"/>
    </row>
    <row r="4238" ht="14.25">
      <c r="B4238" s="4" t="s">
        <v>30191</v>
      </c>
      <c r="C4238" s="4" t="s">
        <v>30192</v>
      </c>
      <c r="D4238" s="4" t="s">
        <v>1240</v>
      </c>
      <c r="E4238" s="4" t="s">
        <v>30193</v>
      </c>
      <c r="F4238" s="4" t="str">
        <f>IFERROR(__XLUDF.DUMMYFUNCTION("PROPER(REGEXREPLACE(D643,""[^A-Za-z]+ "",""""))"),"In4Impact Consultingservices")</f>
        <v xml:space="preserve">In4Impact Consultingservices</v>
      </c>
      <c r="G4238" s="4" t="s">
        <v>30194</v>
      </c>
      <c r="H4238" s="4">
        <v>11</v>
      </c>
      <c r="I4238" s="4" t="s">
        <v>4067</v>
      </c>
      <c r="J4238" s="4" t="str">
        <f>IFERROR(__XLUDF.DUMMYFUNCTION("VLOOKUP(H643,IMPORTRANGE(""https://docs.google.com/spreadsheets/d/1opm6ZNvGZ7KditA9TuJwrZ25eFLfTNIkrNnY6mhV5Eg"",""list!A1:C115""),3,TRUE)"),"le secteur du conseil en management")</f>
        <v xml:space="preserve">le secteur du conseil en management</v>
      </c>
      <c r="K4238" s="5" t="s">
        <v>30195</v>
      </c>
      <c r="L4238" s="5" t="s">
        <v>30196</v>
      </c>
      <c r="M4238" s="4" t="s">
        <v>39</v>
      </c>
      <c r="N4238" s="4" t="s">
        <v>29</v>
      </c>
      <c r="O4238" s="4" t="s">
        <v>30197</v>
      </c>
      <c r="P4238" s="4" t="s">
        <v>29</v>
      </c>
      <c r="Q4238" s="6"/>
      <c r="R4238" s="6"/>
      <c r="S4238" s="6"/>
      <c r="T4238" s="6"/>
      <c r="U4238" s="6"/>
      <c r="V4238" s="6"/>
      <c r="W4238" s="6"/>
      <c r="X4238" s="6"/>
      <c r="Y4238" s="6"/>
      <c r="Z4238" s="6"/>
      <c r="AA4238" s="6"/>
    </row>
    <row r="4239" ht="14.25">
      <c r="B4239" s="4" t="s">
        <v>817</v>
      </c>
      <c r="C4239" s="4" t="s">
        <v>30198</v>
      </c>
      <c r="D4239" s="4" t="s">
        <v>112</v>
      </c>
      <c r="E4239" s="4" t="s">
        <v>30199</v>
      </c>
      <c r="F4239" s="4" t="str">
        <f>IFERROR(__XLUDF.DUMMYFUNCTION("PROPER(REGEXREPLACE(D644,""[^A-Za-z]+ "",""""))"),"Hlp Group")</f>
        <v xml:space="preserve">Hlp Group</v>
      </c>
      <c r="G4239" s="4" t="s">
        <v>30200</v>
      </c>
      <c r="H4239" s="4">
        <v>45</v>
      </c>
      <c r="I4239" s="4" t="s">
        <v>4067</v>
      </c>
      <c r="J4239" s="4" t="str">
        <f>IFERROR(__XLUDF.DUMMYFUNCTION("VLOOKUP(H644,IMPORTRANGE(""https://docs.google.com/spreadsheets/d/1opm6ZNvGZ7KditA9TuJwrZ25eFLfTNIkrNnY6mhV5Eg"",""list!A1:C115""),3,TRUE)"),"le secteur du conseil en management")</f>
        <v xml:space="preserve">le secteur du conseil en management</v>
      </c>
      <c r="K4239" s="5" t="s">
        <v>30201</v>
      </c>
      <c r="L4239" s="5" t="s">
        <v>30202</v>
      </c>
      <c r="M4239" s="4" t="s">
        <v>30203</v>
      </c>
      <c r="N4239" s="4" t="s">
        <v>29</v>
      </c>
      <c r="O4239" s="4" t="s">
        <v>30204</v>
      </c>
      <c r="P4239" s="4" t="s">
        <v>29</v>
      </c>
      <c r="Q4239" s="4" t="s">
        <v>30205</v>
      </c>
      <c r="R4239" s="6"/>
      <c r="S4239" s="6"/>
      <c r="T4239" s="6"/>
      <c r="U4239" s="6"/>
      <c r="V4239" s="6"/>
      <c r="W4239" s="6"/>
      <c r="X4239" s="6"/>
      <c r="Y4239" s="6"/>
      <c r="Z4239" s="6"/>
      <c r="AA4239" s="6"/>
    </row>
    <row r="4240" ht="14.25">
      <c r="B4240" s="4" t="s">
        <v>30206</v>
      </c>
      <c r="C4240" s="4" t="s">
        <v>30207</v>
      </c>
      <c r="D4240" s="4" t="s">
        <v>426</v>
      </c>
      <c r="E4240" s="4" t="s">
        <v>30208</v>
      </c>
      <c r="F4240" s="4" t="str">
        <f>IFERROR(__XLUDF.DUMMYFUNCTION("PROPER(REGEXREPLACE(D645,""[^A-Za-z]+ "",""""))"),"Quelle Crèche")</f>
        <v xml:space="preserve">Quelle Crèche</v>
      </c>
      <c r="G4240" s="4" t="s">
        <v>30209</v>
      </c>
      <c r="H4240" s="4">
        <v>10</v>
      </c>
      <c r="I4240" s="4" t="s">
        <v>4067</v>
      </c>
      <c r="J4240" s="4" t="str">
        <f>IFERROR(__XLUDF.DUMMYFUNCTION("VLOOKUP(H645,IMPORTRANGE(""https://docs.google.com/spreadsheets/d/1opm6ZNvGZ7KditA9TuJwrZ25eFLfTNIkrNnY6mhV5Eg"",""list!A1:C115""),3,TRUE)"),"le secteur du conseil en management")</f>
        <v xml:space="preserve">le secteur du conseil en management</v>
      </c>
      <c r="K4240" s="5" t="s">
        <v>30210</v>
      </c>
      <c r="L4240" s="5" t="s">
        <v>30211</v>
      </c>
      <c r="M4240" s="4" t="s">
        <v>10139</v>
      </c>
      <c r="N4240" s="4" t="s">
        <v>29</v>
      </c>
      <c r="O4240" s="4" t="s">
        <v>67</v>
      </c>
      <c r="P4240" s="4" t="s">
        <v>29</v>
      </c>
      <c r="Q4240" s="4" t="s">
        <v>30212</v>
      </c>
      <c r="R4240" s="6"/>
      <c r="S4240" s="6"/>
      <c r="T4240" s="6"/>
      <c r="U4240" s="6"/>
      <c r="V4240" s="6"/>
      <c r="W4240" s="6"/>
      <c r="X4240" s="6"/>
      <c r="Y4240" s="6"/>
      <c r="Z4240" s="6"/>
      <c r="AA4240" s="6"/>
    </row>
    <row r="4241" ht="14.25">
      <c r="B4241" s="4" t="s">
        <v>768</v>
      </c>
      <c r="C4241" s="4" t="s">
        <v>30213</v>
      </c>
      <c r="D4241" s="4" t="s">
        <v>30214</v>
      </c>
      <c r="E4241" s="4" t="s">
        <v>30215</v>
      </c>
      <c r="F4241" s="4" t="str">
        <f>IFERROR(__XLUDF.DUMMYFUNCTION("PROPER(REGEXREPLACE(D646,""[^A-Za-z]+ "",""""))"),"Co-Efficience")</f>
        <v>Co-Efficience</v>
      </c>
      <c r="G4241" s="4" t="s">
        <v>30216</v>
      </c>
      <c r="H4241" s="4">
        <v>16</v>
      </c>
      <c r="I4241" s="4" t="s">
        <v>4067</v>
      </c>
      <c r="J4241" s="4" t="str">
        <f>IFERROR(__XLUDF.DUMMYFUNCTION("VLOOKUP(H646,IMPORTRANGE(""https://docs.google.com/spreadsheets/d/1opm6ZNvGZ7KditA9TuJwrZ25eFLfTNIkrNnY6mhV5Eg"",""list!A1:C115""),3,TRUE)"),"le secteur du conseil en management")</f>
        <v xml:space="preserve">le secteur du conseil en management</v>
      </c>
      <c r="K4241" s="5" t="s">
        <v>30217</v>
      </c>
      <c r="L4241" s="5" t="s">
        <v>30218</v>
      </c>
      <c r="M4241" s="4" t="s">
        <v>185</v>
      </c>
      <c r="N4241" s="4" t="s">
        <v>29</v>
      </c>
      <c r="O4241" s="4" t="s">
        <v>30219</v>
      </c>
      <c r="P4241" s="4" t="s">
        <v>29</v>
      </c>
      <c r="Q4241" s="6"/>
      <c r="R4241" s="6"/>
      <c r="S4241" s="6"/>
      <c r="T4241" s="6"/>
      <c r="U4241" s="6"/>
      <c r="V4241" s="6"/>
      <c r="W4241" s="6"/>
      <c r="X4241" s="6"/>
      <c r="Y4241" s="6"/>
      <c r="Z4241" s="6"/>
      <c r="AA4241" s="6"/>
    </row>
    <row r="4242" ht="14.25">
      <c r="B4242" s="4" t="s">
        <v>769</v>
      </c>
      <c r="C4242" s="4" t="s">
        <v>3053</v>
      </c>
      <c r="D4242" s="4" t="s">
        <v>44</v>
      </c>
      <c r="E4242" s="4" t="s">
        <v>30220</v>
      </c>
      <c r="F4242" s="4" t="str">
        <f>IFERROR(__XLUDF.DUMMYFUNCTION("PROPER(REGEXREPLACE(D647,""[^A-Za-z]+ "",""""))"),"Altermakers")</f>
        <v>Altermakers</v>
      </c>
      <c r="G4242" s="4" t="s">
        <v>30221</v>
      </c>
      <c r="H4242" s="4">
        <v>13</v>
      </c>
      <c r="I4242" s="4" t="s">
        <v>4067</v>
      </c>
      <c r="J4242" s="4" t="str">
        <f>IFERROR(__XLUDF.DUMMYFUNCTION("VLOOKUP(H647,IMPORTRANGE(""https://docs.google.com/spreadsheets/d/1opm6ZNvGZ7KditA9TuJwrZ25eFLfTNIkrNnY6mhV5Eg"",""list!A1:C115""),3,TRUE)"),"le secteur du conseil en management")</f>
        <v xml:space="preserve">le secteur du conseil en management</v>
      </c>
      <c r="K4242" s="5" t="s">
        <v>30222</v>
      </c>
      <c r="L4242" s="5" t="s">
        <v>30223</v>
      </c>
      <c r="M4242" s="4" t="s">
        <v>39</v>
      </c>
      <c r="N4242" s="4" t="s">
        <v>29</v>
      </c>
      <c r="O4242" s="4" t="s">
        <v>30224</v>
      </c>
      <c r="P4242" s="4" t="s">
        <v>29</v>
      </c>
      <c r="Q4242" s="4" t="s">
        <v>30225</v>
      </c>
      <c r="R4242" s="6"/>
      <c r="S4242" s="6"/>
      <c r="T4242" s="6"/>
      <c r="U4242" s="6"/>
      <c r="V4242" s="6"/>
      <c r="W4242" s="6"/>
      <c r="X4242" s="6"/>
      <c r="Y4242" s="6"/>
      <c r="Z4242" s="6"/>
      <c r="AA4242" s="6"/>
    </row>
    <row r="4243" ht="14.25">
      <c r="B4243" s="4" t="s">
        <v>2503</v>
      </c>
      <c r="C4243" s="4" t="s">
        <v>30226</v>
      </c>
      <c r="D4243" s="4" t="s">
        <v>30227</v>
      </c>
      <c r="E4243" s="4" t="s">
        <v>30228</v>
      </c>
      <c r="F4243" s="4" t="str">
        <f>IFERROR(__XLUDF.DUMMYFUNCTION("PROPER(REGEXREPLACE(D648,""[^A-Za-z]+ "",""""))"),"Gouvernancestructures")</f>
        <v>Gouvernancestructures</v>
      </c>
      <c r="G4243" s="4" t="s">
        <v>30229</v>
      </c>
      <c r="H4243" s="4">
        <v>19</v>
      </c>
      <c r="I4243" s="4" t="s">
        <v>4067</v>
      </c>
      <c r="J4243" s="4" t="str">
        <f>IFERROR(__XLUDF.DUMMYFUNCTION("VLOOKUP(H648,IMPORTRANGE(""https://docs.google.com/spreadsheets/d/1opm6ZNvGZ7KditA9TuJwrZ25eFLfTNIkrNnY6mhV5Eg"",""list!A1:C115""),3,TRUE)"),"le secteur du conseil en management")</f>
        <v xml:space="preserve">le secteur du conseil en management</v>
      </c>
      <c r="K4243" s="5" t="s">
        <v>30230</v>
      </c>
      <c r="L4243" s="5" t="s">
        <v>30231</v>
      </c>
      <c r="M4243" s="4" t="s">
        <v>39</v>
      </c>
      <c r="N4243" s="4" t="s">
        <v>29</v>
      </c>
      <c r="O4243" s="4" t="s">
        <v>30232</v>
      </c>
      <c r="P4243" s="4" t="s">
        <v>29</v>
      </c>
      <c r="Q4243" s="6"/>
      <c r="R4243" s="6"/>
      <c r="S4243" s="6"/>
      <c r="T4243" s="6"/>
      <c r="U4243" s="6"/>
      <c r="V4243" s="6"/>
      <c r="W4243" s="6"/>
      <c r="X4243" s="6"/>
      <c r="Y4243" s="6"/>
      <c r="Z4243" s="6"/>
      <c r="AA4243" s="6"/>
    </row>
    <row r="4244" ht="14.25">
      <c r="B4244" s="4" t="s">
        <v>3892</v>
      </c>
      <c r="C4244" s="4" t="s">
        <v>30233</v>
      </c>
      <c r="D4244" s="4" t="s">
        <v>112</v>
      </c>
      <c r="E4244" s="4" t="s">
        <v>30234</v>
      </c>
      <c r="F4244" s="4" t="str">
        <f>IFERROR(__XLUDF.DUMMYFUNCTION("PROPER(REGEXREPLACE(D649,""[^A-Za-z]+ "",""""))"),"Ithylo")</f>
        <v>Ithylo</v>
      </c>
      <c r="G4244" s="4" t="s">
        <v>30235</v>
      </c>
      <c r="H4244" s="4">
        <v>22</v>
      </c>
      <c r="I4244" s="4" t="s">
        <v>4067</v>
      </c>
      <c r="J4244" s="4" t="str">
        <f>IFERROR(__XLUDF.DUMMYFUNCTION("VLOOKUP(H649,IMPORTRANGE(""https://docs.google.com/spreadsheets/d/1opm6ZNvGZ7KditA9TuJwrZ25eFLfTNIkrNnY6mhV5Eg"",""list!A1:C115""),3,TRUE)"),"le secteur du conseil en management")</f>
        <v xml:space="preserve">le secteur du conseil en management</v>
      </c>
      <c r="K4244" s="5" t="s">
        <v>30236</v>
      </c>
      <c r="L4244" s="5" t="s">
        <v>30237</v>
      </c>
      <c r="M4244" s="6"/>
      <c r="N4244" s="4" t="s">
        <v>29</v>
      </c>
      <c r="O4244" s="4" t="s">
        <v>30238</v>
      </c>
      <c r="P4244" s="4" t="s">
        <v>29</v>
      </c>
      <c r="Q4244" s="6"/>
      <c r="R4244" s="6"/>
      <c r="S4244" s="6"/>
      <c r="T4244" s="6"/>
      <c r="U4244" s="6"/>
      <c r="V4244" s="6"/>
      <c r="W4244" s="6"/>
      <c r="X4244" s="6"/>
      <c r="Y4244" s="6"/>
      <c r="Z4244" s="6"/>
      <c r="AA4244" s="6"/>
    </row>
    <row r="4245" ht="14.25">
      <c r="B4245" s="4" t="s">
        <v>7914</v>
      </c>
      <c r="C4245" s="4" t="s">
        <v>30239</v>
      </c>
      <c r="D4245" s="4" t="s">
        <v>62</v>
      </c>
      <c r="E4245" s="4" t="s">
        <v>30240</v>
      </c>
      <c r="F4245" s="4" t="str">
        <f>IFERROR(__XLUDF.DUMMYFUNCTION("PROPER(REGEXREPLACE(D650,""[^A-Za-z]+ "",""""))"),"The Vision")</f>
        <v xml:space="preserve">The Vision</v>
      </c>
      <c r="G4245" s="4" t="s">
        <v>30241</v>
      </c>
      <c r="H4245" s="4">
        <v>22</v>
      </c>
      <c r="I4245" s="4" t="s">
        <v>4067</v>
      </c>
      <c r="J4245" s="4" t="str">
        <f>IFERROR(__XLUDF.DUMMYFUNCTION("VLOOKUP(H650,IMPORTRANGE(""https://docs.google.com/spreadsheets/d/1opm6ZNvGZ7KditA9TuJwrZ25eFLfTNIkrNnY6mhV5Eg"",""list!A1:C115""),3,TRUE)"),"le secteur du conseil en management")</f>
        <v xml:space="preserve">le secteur du conseil en management</v>
      </c>
      <c r="K4245" s="5" t="s">
        <v>30242</v>
      </c>
      <c r="L4245" s="5" t="s">
        <v>30243</v>
      </c>
      <c r="M4245" s="4" t="s">
        <v>39</v>
      </c>
      <c r="N4245" s="4" t="s">
        <v>29</v>
      </c>
      <c r="O4245" s="4" t="s">
        <v>21137</v>
      </c>
      <c r="P4245" s="4" t="s">
        <v>1548</v>
      </c>
      <c r="Q4245" s="4" t="s">
        <v>30244</v>
      </c>
      <c r="R4245" s="6"/>
      <c r="S4245" s="6"/>
      <c r="T4245" s="6"/>
      <c r="U4245" s="6"/>
      <c r="V4245" s="6"/>
      <c r="W4245" s="6"/>
      <c r="X4245" s="6"/>
      <c r="Y4245" s="6"/>
      <c r="Z4245" s="6"/>
      <c r="AA4245" s="6"/>
    </row>
    <row r="4246" ht="14.25">
      <c r="B4246" s="4" t="s">
        <v>679</v>
      </c>
      <c r="C4246" s="4" t="s">
        <v>30245</v>
      </c>
      <c r="D4246" s="4" t="s">
        <v>4449</v>
      </c>
      <c r="E4246" s="4" t="s">
        <v>30246</v>
      </c>
      <c r="F4246" s="4" t="str">
        <f>IFERROR(__XLUDF.DUMMYFUNCTION("PROPER(REGEXREPLACE(D651,""[^A-Za-z]+ "",""""))"),"Daf Online")</f>
        <v xml:space="preserve">Daf Online</v>
      </c>
      <c r="G4246" s="4" t="s">
        <v>30247</v>
      </c>
      <c r="H4246" s="4">
        <v>10</v>
      </c>
      <c r="I4246" s="4" t="s">
        <v>4067</v>
      </c>
      <c r="J4246" s="4" t="str">
        <f>IFERROR(__XLUDF.DUMMYFUNCTION("VLOOKUP(H651,IMPORTRANGE(""https://docs.google.com/spreadsheets/d/1opm6ZNvGZ7KditA9TuJwrZ25eFLfTNIkrNnY6mhV5Eg"",""list!A1:C115""),3,TRUE)"),"le secteur du conseil en management")</f>
        <v xml:space="preserve">le secteur du conseil en management</v>
      </c>
      <c r="K4246" s="5" t="s">
        <v>30248</v>
      </c>
      <c r="L4246" s="5" t="s">
        <v>30249</v>
      </c>
      <c r="M4246" s="4" t="s">
        <v>3898</v>
      </c>
      <c r="N4246" s="4" t="s">
        <v>29</v>
      </c>
      <c r="O4246" s="4" t="s">
        <v>30250</v>
      </c>
      <c r="P4246" s="4" t="s">
        <v>29</v>
      </c>
      <c r="Q4246" s="4" t="s">
        <v>30251</v>
      </c>
      <c r="R4246" s="6"/>
      <c r="S4246" s="6"/>
      <c r="T4246" s="6"/>
      <c r="U4246" s="6"/>
      <c r="V4246" s="6"/>
      <c r="W4246" s="6"/>
      <c r="X4246" s="6"/>
      <c r="Y4246" s="6"/>
      <c r="Z4246" s="6"/>
      <c r="AA4246" s="6"/>
    </row>
    <row r="4247" ht="14.25">
      <c r="B4247" s="4" t="s">
        <v>30252</v>
      </c>
      <c r="C4247" s="4" t="s">
        <v>24185</v>
      </c>
      <c r="D4247" s="4" t="s">
        <v>62</v>
      </c>
      <c r="E4247" s="4" t="s">
        <v>9839</v>
      </c>
      <c r="F4247" s="4" t="str">
        <f>IFERROR(__XLUDF.DUMMYFUNCTION("PROPER(REGEXREPLACE(D652,""[^A-Za-z]+ "",""""))"),"Sidekicks")</f>
        <v>Sidekicks</v>
      </c>
      <c r="G4247" s="4" t="s">
        <v>30253</v>
      </c>
      <c r="H4247" s="4">
        <v>12</v>
      </c>
      <c r="I4247" s="4" t="s">
        <v>4067</v>
      </c>
      <c r="J4247" s="4" t="str">
        <f>IFERROR(__XLUDF.DUMMYFUNCTION("VLOOKUP(H652,IMPORTRANGE(""https://docs.google.com/spreadsheets/d/1opm6ZNvGZ7KditA9TuJwrZ25eFLfTNIkrNnY6mhV5Eg"",""list!A1:C115""),3,TRUE)"),"le secteur du conseil en management")</f>
        <v xml:space="preserve">le secteur du conseil en management</v>
      </c>
      <c r="K4247" s="5" t="s">
        <v>30254</v>
      </c>
      <c r="L4247" s="5" t="s">
        <v>20973</v>
      </c>
      <c r="M4247" s="4" t="s">
        <v>30255</v>
      </c>
      <c r="N4247" s="4" t="s">
        <v>29</v>
      </c>
      <c r="O4247" s="4" t="s">
        <v>67</v>
      </c>
      <c r="P4247" s="4" t="s">
        <v>29</v>
      </c>
      <c r="Q4247" s="4" t="s">
        <v>9844</v>
      </c>
      <c r="R4247" s="6"/>
      <c r="S4247" s="6"/>
      <c r="T4247" s="6"/>
      <c r="U4247" s="6"/>
      <c r="V4247" s="6"/>
      <c r="W4247" s="6"/>
      <c r="X4247" s="6"/>
      <c r="Y4247" s="6"/>
      <c r="Z4247" s="6"/>
      <c r="AA4247" s="6"/>
    </row>
    <row r="4248" ht="14.25">
      <c r="B4248" s="4" t="s">
        <v>30256</v>
      </c>
      <c r="C4248" s="4" t="s">
        <v>30257</v>
      </c>
      <c r="D4248" s="4" t="s">
        <v>30258</v>
      </c>
      <c r="E4248" s="4" t="s">
        <v>30259</v>
      </c>
      <c r="F4248" s="4" t="str">
        <f>IFERROR(__XLUDF.DUMMYFUNCTION("PROPER(REGEXREPLACE(D653,""[^A-Za-z]+ "",""""))"),"On Demand")</f>
        <v xml:space="preserve">On Demand</v>
      </c>
      <c r="G4248" s="4" t="s">
        <v>30260</v>
      </c>
      <c r="H4248" s="4">
        <v>12</v>
      </c>
      <c r="I4248" s="4" t="s">
        <v>4067</v>
      </c>
      <c r="J4248" s="4" t="str">
        <f>IFERROR(__XLUDF.DUMMYFUNCTION("VLOOKUP(H653,IMPORTRANGE(""https://docs.google.com/spreadsheets/d/1opm6ZNvGZ7KditA9TuJwrZ25eFLfTNIkrNnY6mhV5Eg"",""list!A1:C115""),3,TRUE)"),"le secteur du conseil en management")</f>
        <v xml:space="preserve">le secteur du conseil en management</v>
      </c>
      <c r="K4248" s="5" t="s">
        <v>30261</v>
      </c>
      <c r="L4248" s="5" t="s">
        <v>30262</v>
      </c>
      <c r="M4248" s="4" t="s">
        <v>39</v>
      </c>
      <c r="N4248" s="4" t="s">
        <v>29</v>
      </c>
      <c r="O4248" s="4" t="s">
        <v>30263</v>
      </c>
      <c r="P4248" s="4" t="s">
        <v>29</v>
      </c>
      <c r="Q4248" s="4" t="s">
        <v>30264</v>
      </c>
      <c r="R4248" s="6"/>
      <c r="S4248" s="6"/>
      <c r="T4248" s="6"/>
      <c r="U4248" s="6"/>
      <c r="V4248" s="6"/>
      <c r="W4248" s="6"/>
      <c r="X4248" s="6"/>
      <c r="Y4248" s="6"/>
      <c r="Z4248" s="6"/>
      <c r="AA4248" s="6"/>
    </row>
    <row r="4249" ht="14.25">
      <c r="B4249" s="4" t="s">
        <v>30265</v>
      </c>
      <c r="C4249" s="4" t="s">
        <v>25326</v>
      </c>
      <c r="D4249" s="4" t="s">
        <v>30266</v>
      </c>
      <c r="E4249" s="4" t="s">
        <v>30267</v>
      </c>
      <c r="F4249" s="4" t="str">
        <f>IFERROR(__XLUDF.DUMMYFUNCTION("PROPER(REGEXREPLACE(D654,""[^A-Za-z]+ "",""""))"),"Gandee")</f>
        <v>Gandee</v>
      </c>
      <c r="G4249" s="4" t="s">
        <v>30268</v>
      </c>
      <c r="H4249" s="4">
        <v>13</v>
      </c>
      <c r="I4249" s="4" t="s">
        <v>4067</v>
      </c>
      <c r="J4249" s="4" t="str">
        <f>IFERROR(__XLUDF.DUMMYFUNCTION("VLOOKUP(H654,IMPORTRANGE(""https://docs.google.com/spreadsheets/d/1opm6ZNvGZ7KditA9TuJwrZ25eFLfTNIkrNnY6mhV5Eg"",""list!A1:C115""),3,TRUE)"),"le secteur du conseil en management")</f>
        <v xml:space="preserve">le secteur du conseil en management</v>
      </c>
      <c r="K4249" s="5" t="s">
        <v>30269</v>
      </c>
      <c r="L4249" s="5" t="s">
        <v>30270</v>
      </c>
      <c r="M4249" s="4" t="s">
        <v>39</v>
      </c>
      <c r="N4249" s="4" t="s">
        <v>29</v>
      </c>
      <c r="O4249" s="4" t="s">
        <v>30271</v>
      </c>
      <c r="P4249" s="4" t="s">
        <v>29</v>
      </c>
      <c r="Q4249" s="4" t="s">
        <v>30272</v>
      </c>
      <c r="R4249" s="6"/>
      <c r="S4249" s="6"/>
      <c r="T4249" s="6"/>
      <c r="U4249" s="6"/>
      <c r="V4249" s="6"/>
      <c r="W4249" s="6"/>
      <c r="X4249" s="6"/>
      <c r="Y4249" s="6"/>
      <c r="Z4249" s="6"/>
      <c r="AA4249" s="6"/>
    </row>
    <row r="4250" ht="14.25">
      <c r="B4250" s="4" t="s">
        <v>29307</v>
      </c>
      <c r="C4250" s="4" t="s">
        <v>30273</v>
      </c>
      <c r="D4250" s="4" t="s">
        <v>112</v>
      </c>
      <c r="E4250" s="4" t="s">
        <v>30274</v>
      </c>
      <c r="F4250" s="4" t="str">
        <f>IFERROR(__XLUDF.DUMMYFUNCTION("PROPER(REGEXREPLACE(D655,""[^A-Za-z]+ "",""""))"),"Qualees")</f>
        <v>Qualees</v>
      </c>
      <c r="G4250" s="4" t="s">
        <v>30275</v>
      </c>
      <c r="H4250" s="4">
        <v>16</v>
      </c>
      <c r="I4250" s="4" t="s">
        <v>4067</v>
      </c>
      <c r="J4250" s="4" t="str">
        <f>IFERROR(__XLUDF.DUMMYFUNCTION("VLOOKUP(H655,IMPORTRANGE(""https://docs.google.com/spreadsheets/d/1opm6ZNvGZ7KditA9TuJwrZ25eFLfTNIkrNnY6mhV5Eg"",""list!A1:C115""),3,TRUE)"),"le secteur du conseil en management")</f>
        <v xml:space="preserve">le secteur du conseil en management</v>
      </c>
      <c r="K4250" s="5" t="s">
        <v>30276</v>
      </c>
      <c r="L4250" s="5" t="s">
        <v>30277</v>
      </c>
      <c r="M4250" s="4" t="s">
        <v>39</v>
      </c>
      <c r="N4250" s="4" t="s">
        <v>29</v>
      </c>
      <c r="O4250" s="4" t="s">
        <v>67</v>
      </c>
      <c r="P4250" s="4" t="s">
        <v>29</v>
      </c>
      <c r="Q4250" s="4" t="s">
        <v>30278</v>
      </c>
      <c r="R4250" s="6"/>
      <c r="S4250" s="6"/>
      <c r="T4250" s="6"/>
      <c r="U4250" s="6"/>
      <c r="V4250" s="6"/>
      <c r="W4250" s="6"/>
      <c r="X4250" s="6"/>
      <c r="Y4250" s="6"/>
      <c r="Z4250" s="6"/>
      <c r="AA4250" s="6"/>
    </row>
    <row r="4251" ht="14.25">
      <c r="B4251" s="4" t="s">
        <v>222</v>
      </c>
      <c r="C4251" s="4" t="s">
        <v>30279</v>
      </c>
      <c r="D4251" s="4" t="s">
        <v>172</v>
      </c>
      <c r="E4251" s="4" t="s">
        <v>30280</v>
      </c>
      <c r="F4251" s="4" t="str">
        <f>IFERROR(__XLUDF.DUMMYFUNCTION("PROPER(REGEXREPLACE(D656,""[^A-Za-z]+ "",""""))"),"Synpeak")</f>
        <v>Synpeak</v>
      </c>
      <c r="G4251" s="4" t="s">
        <v>30281</v>
      </c>
      <c r="H4251" s="4">
        <v>14</v>
      </c>
      <c r="I4251" s="4" t="s">
        <v>4067</v>
      </c>
      <c r="J4251" s="4" t="str">
        <f>IFERROR(__XLUDF.DUMMYFUNCTION("VLOOKUP(H656,IMPORTRANGE(""https://docs.google.com/spreadsheets/d/1opm6ZNvGZ7KditA9TuJwrZ25eFLfTNIkrNnY6mhV5Eg"",""list!A1:C115""),3,TRUE)"),"le secteur du conseil en management")</f>
        <v xml:space="preserve">le secteur du conseil en management</v>
      </c>
      <c r="K4251" s="5" t="s">
        <v>30282</v>
      </c>
      <c r="L4251" s="5" t="s">
        <v>30283</v>
      </c>
      <c r="M4251" s="4" t="s">
        <v>423</v>
      </c>
      <c r="N4251" s="4" t="s">
        <v>29</v>
      </c>
      <c r="O4251" s="4" t="s">
        <v>30284</v>
      </c>
      <c r="P4251" s="4" t="s">
        <v>29</v>
      </c>
      <c r="Q4251" s="4" t="s">
        <v>30285</v>
      </c>
      <c r="R4251" s="6"/>
      <c r="S4251" s="6"/>
      <c r="T4251" s="6"/>
      <c r="U4251" s="6"/>
      <c r="V4251" s="6"/>
      <c r="W4251" s="6"/>
      <c r="X4251" s="6"/>
      <c r="Y4251" s="6"/>
      <c r="Z4251" s="6"/>
      <c r="AA4251" s="6"/>
    </row>
    <row r="4252" ht="14.25">
      <c r="B4252" s="4" t="s">
        <v>15968</v>
      </c>
      <c r="C4252" s="4" t="s">
        <v>30286</v>
      </c>
      <c r="D4252" s="4" t="s">
        <v>172</v>
      </c>
      <c r="E4252" s="4" t="s">
        <v>30287</v>
      </c>
      <c r="F4252" s="4" t="str">
        <f>IFERROR(__XLUDF.DUMMYFUNCTION("PROPER(REGEXREPLACE(D657,""[^A-Za-z]+ "",""""))"),"Newco")</f>
        <v>Newco</v>
      </c>
      <c r="G4252" s="4" t="s">
        <v>30288</v>
      </c>
      <c r="H4252" s="4">
        <v>15</v>
      </c>
      <c r="I4252" s="4" t="s">
        <v>4067</v>
      </c>
      <c r="J4252" s="4" t="str">
        <f>IFERROR(__XLUDF.DUMMYFUNCTION("VLOOKUP(H657,IMPORTRANGE(""https://docs.google.com/spreadsheets/d/1opm6ZNvGZ7KditA9TuJwrZ25eFLfTNIkrNnY6mhV5Eg"",""list!A1:C115""),3,TRUE)"),"le secteur du conseil en management")</f>
        <v xml:space="preserve">le secteur du conseil en management</v>
      </c>
      <c r="K4252" s="5" t="s">
        <v>30289</v>
      </c>
      <c r="L4252" s="5" t="s">
        <v>30290</v>
      </c>
      <c r="M4252" s="6"/>
      <c r="N4252" s="4" t="s">
        <v>29</v>
      </c>
      <c r="O4252" s="4" t="s">
        <v>30291</v>
      </c>
      <c r="P4252" s="4" t="s">
        <v>29</v>
      </c>
      <c r="Q4252" s="4" t="s">
        <v>30292</v>
      </c>
      <c r="R4252" s="6"/>
      <c r="S4252" s="6"/>
      <c r="T4252" s="6"/>
      <c r="U4252" s="6"/>
      <c r="V4252" s="6"/>
      <c r="W4252" s="6"/>
      <c r="X4252" s="6"/>
      <c r="Y4252" s="6"/>
      <c r="Z4252" s="6"/>
      <c r="AA4252" s="6"/>
    </row>
    <row r="4253" ht="14.25">
      <c r="B4253" s="4" t="s">
        <v>4048</v>
      </c>
      <c r="C4253" s="4" t="s">
        <v>30293</v>
      </c>
      <c r="D4253" s="4" t="s">
        <v>688</v>
      </c>
      <c r="E4253" s="4" t="s">
        <v>30294</v>
      </c>
      <c r="F4253" s="4" t="str">
        <f>IFERROR(__XLUDF.DUMMYFUNCTION("PROPER(REGEXREPLACE(D658,""[^A-Za-z]+ "",""""))"),"Amalthee")</f>
        <v>Amalthee</v>
      </c>
      <c r="G4253" s="4" t="s">
        <v>30295</v>
      </c>
      <c r="H4253" s="4">
        <v>17</v>
      </c>
      <c r="I4253" s="4" t="s">
        <v>4067</v>
      </c>
      <c r="J4253" s="4" t="str">
        <f>IFERROR(__XLUDF.DUMMYFUNCTION("VLOOKUP(H658,IMPORTRANGE(""https://docs.google.com/spreadsheets/d/1opm6ZNvGZ7KditA9TuJwrZ25eFLfTNIkrNnY6mhV5Eg"",""list!A1:C115""),3,TRUE)"),"le secteur du conseil en management")</f>
        <v xml:space="preserve">le secteur du conseil en management</v>
      </c>
      <c r="K4253" s="5" t="s">
        <v>30296</v>
      </c>
      <c r="L4253" s="5" t="s">
        <v>30297</v>
      </c>
      <c r="M4253" s="6"/>
      <c r="N4253" s="4" t="s">
        <v>29</v>
      </c>
      <c r="O4253" s="4" t="s">
        <v>457</v>
      </c>
      <c r="P4253" s="4" t="s">
        <v>29</v>
      </c>
      <c r="Q4253" s="4" t="s">
        <v>30298</v>
      </c>
      <c r="R4253" s="6"/>
      <c r="S4253" s="6"/>
      <c r="T4253" s="6"/>
      <c r="U4253" s="6"/>
      <c r="V4253" s="6"/>
      <c r="W4253" s="6"/>
      <c r="X4253" s="6"/>
      <c r="Y4253" s="6"/>
      <c r="Z4253" s="6"/>
      <c r="AA4253" s="6"/>
    </row>
    <row r="4254" ht="14.25">
      <c r="B4254" s="4" t="s">
        <v>579</v>
      </c>
      <c r="C4254" s="4" t="s">
        <v>30299</v>
      </c>
      <c r="D4254" s="4" t="s">
        <v>112</v>
      </c>
      <c r="E4254" s="4" t="s">
        <v>21541</v>
      </c>
      <c r="F4254" s="4" t="str">
        <f>IFERROR(__XLUDF.DUMMYFUNCTION("PROPER(REGEXREPLACE(D659,""[^A-Za-z]+ "",""""))"),"Penergy Solutions")</f>
        <v xml:space="preserve">Penergy Solutions</v>
      </c>
      <c r="G4254" s="4" t="s">
        <v>30300</v>
      </c>
      <c r="H4254" s="4">
        <v>14</v>
      </c>
      <c r="I4254" s="4" t="s">
        <v>4067</v>
      </c>
      <c r="J4254" s="4" t="str">
        <f>IFERROR(__XLUDF.DUMMYFUNCTION("VLOOKUP(H659,IMPORTRANGE(""https://docs.google.com/spreadsheets/d/1opm6ZNvGZ7KditA9TuJwrZ25eFLfTNIkrNnY6mhV5Eg"",""list!A1:C115""),3,TRUE)"),"le secteur du conseil en management")</f>
        <v xml:space="preserve">le secteur du conseil en management</v>
      </c>
      <c r="K4254" s="5" t="s">
        <v>30301</v>
      </c>
      <c r="L4254" s="5" t="s">
        <v>21544</v>
      </c>
      <c r="M4254" s="6"/>
      <c r="N4254" s="4" t="s">
        <v>29</v>
      </c>
      <c r="O4254" s="4" t="s">
        <v>21545</v>
      </c>
      <c r="P4254" s="4" t="s">
        <v>595</v>
      </c>
      <c r="Q4254" s="6"/>
      <c r="R4254" s="6"/>
      <c r="S4254" s="6"/>
      <c r="T4254" s="6"/>
      <c r="U4254" s="6"/>
      <c r="V4254" s="6"/>
      <c r="W4254" s="6"/>
      <c r="X4254" s="6"/>
      <c r="Y4254" s="6"/>
      <c r="Z4254" s="6"/>
      <c r="AA4254" s="6"/>
    </row>
    <row r="4255" ht="14.25">
      <c r="B4255" s="4" t="s">
        <v>30302</v>
      </c>
      <c r="C4255" s="4" t="s">
        <v>25496</v>
      </c>
      <c r="D4255" s="4" t="s">
        <v>30303</v>
      </c>
      <c r="E4255" s="4" t="s">
        <v>25497</v>
      </c>
      <c r="F4255" s="4" t="str">
        <f>IFERROR(__XLUDF.DUMMYFUNCTION("PROPER(REGEXREPLACE(D660,""[^A-Za-z]+ "",""""))"),"Flandres Analyses")</f>
        <v xml:space="preserve">Flandres Analyses</v>
      </c>
      <c r="G4255" s="4" t="s">
        <v>30304</v>
      </c>
      <c r="H4255" s="4">
        <v>18</v>
      </c>
      <c r="I4255" s="4" t="s">
        <v>4067</v>
      </c>
      <c r="J4255" s="4" t="str">
        <f>IFERROR(__XLUDF.DUMMYFUNCTION("VLOOKUP(H660,IMPORTRANGE(""https://docs.google.com/spreadsheets/d/1opm6ZNvGZ7KditA9TuJwrZ25eFLfTNIkrNnY6mhV5Eg"",""list!A1:C115""),3,TRUE)"),"le secteur du conseil en management")</f>
        <v xml:space="preserve">le secteur du conseil en management</v>
      </c>
      <c r="K4255" s="5" t="s">
        <v>30305</v>
      </c>
      <c r="L4255" s="5" t="s">
        <v>25500</v>
      </c>
      <c r="M4255" s="4" t="s">
        <v>30306</v>
      </c>
      <c r="N4255" s="4" t="s">
        <v>29</v>
      </c>
      <c r="O4255" s="4" t="s">
        <v>25502</v>
      </c>
      <c r="P4255" s="4" t="s">
        <v>29</v>
      </c>
      <c r="Q4255" s="6"/>
      <c r="R4255" s="6"/>
      <c r="S4255" s="6"/>
      <c r="T4255" s="6"/>
      <c r="U4255" s="6"/>
      <c r="V4255" s="6"/>
      <c r="W4255" s="6"/>
      <c r="X4255" s="6"/>
      <c r="Y4255" s="6"/>
      <c r="Z4255" s="6"/>
      <c r="AA4255" s="6"/>
    </row>
    <row r="4256" ht="14.25">
      <c r="B4256" s="4" t="s">
        <v>76</v>
      </c>
      <c r="C4256" s="4" t="s">
        <v>30307</v>
      </c>
      <c r="D4256" s="4" t="s">
        <v>87</v>
      </c>
      <c r="E4256" s="4" t="s">
        <v>18228</v>
      </c>
      <c r="F4256" s="4" t="str">
        <f>IFERROR(__XLUDF.DUMMYFUNCTION("PROPER(REGEXREPLACE(D661,""[^A-Za-z]+ "",""""))"),"Rbmg")</f>
        <v>Rbmg</v>
      </c>
      <c r="G4256" s="4" t="s">
        <v>30308</v>
      </c>
      <c r="H4256" s="4">
        <v>28</v>
      </c>
      <c r="I4256" s="4" t="s">
        <v>4067</v>
      </c>
      <c r="J4256" s="4" t="str">
        <f>IFERROR(__XLUDF.DUMMYFUNCTION("VLOOKUP(H661,IMPORTRANGE(""https://docs.google.com/spreadsheets/d/1opm6ZNvGZ7KditA9TuJwrZ25eFLfTNIkrNnY6mhV5Eg"",""list!A1:C115""),3,TRUE)"),"le secteur du conseil en management")</f>
        <v xml:space="preserve">le secteur du conseil en management</v>
      </c>
      <c r="K4256" s="5" t="s">
        <v>30309</v>
      </c>
      <c r="L4256" s="5" t="s">
        <v>18231</v>
      </c>
      <c r="M4256" s="4" t="s">
        <v>39</v>
      </c>
      <c r="N4256" s="4" t="s">
        <v>29</v>
      </c>
      <c r="O4256" s="4" t="s">
        <v>18232</v>
      </c>
      <c r="P4256" s="4" t="s">
        <v>29</v>
      </c>
      <c r="Q4256" s="4" t="s">
        <v>18233</v>
      </c>
      <c r="R4256" s="6"/>
      <c r="S4256" s="6"/>
      <c r="T4256" s="6"/>
      <c r="U4256" s="6"/>
      <c r="V4256" s="6"/>
      <c r="W4256" s="6"/>
      <c r="X4256" s="6"/>
      <c r="Y4256" s="6"/>
      <c r="Z4256" s="6"/>
      <c r="AA4256" s="6"/>
    </row>
    <row r="4257" ht="14.25">
      <c r="B4257" s="4" t="s">
        <v>29722</v>
      </c>
      <c r="C4257" s="4" t="s">
        <v>19937</v>
      </c>
      <c r="D4257" s="4" t="s">
        <v>172</v>
      </c>
      <c r="E4257" s="4" t="s">
        <v>30310</v>
      </c>
      <c r="F4257" s="4" t="str">
        <f>IFERROR(__XLUDF.DUMMYFUNCTION("PROPER(REGEXREPLACE(D662,""[^A-Za-z]+ "",""""))"),"Cd Conseils")</f>
        <v xml:space="preserve">Cd Conseils</v>
      </c>
      <c r="G4257" s="4" t="s">
        <v>30311</v>
      </c>
      <c r="H4257" s="4">
        <v>31</v>
      </c>
      <c r="I4257" s="4" t="s">
        <v>4067</v>
      </c>
      <c r="J4257" s="4" t="str">
        <f>IFERROR(__XLUDF.DUMMYFUNCTION("VLOOKUP(H662,IMPORTRANGE(""https://docs.google.com/spreadsheets/d/1opm6ZNvGZ7KditA9TuJwrZ25eFLfTNIkrNnY6mhV5Eg"",""list!A1:C115""),3,TRUE)"),"le secteur du conseil en management")</f>
        <v xml:space="preserve">le secteur du conseil en management</v>
      </c>
      <c r="K4257" s="5" t="s">
        <v>30312</v>
      </c>
      <c r="L4257" s="5" t="s">
        <v>30313</v>
      </c>
      <c r="M4257" s="6"/>
      <c r="N4257" s="4" t="s">
        <v>29</v>
      </c>
      <c r="O4257" s="4" t="s">
        <v>30314</v>
      </c>
      <c r="P4257" s="4" t="s">
        <v>29</v>
      </c>
      <c r="Q4257" s="6"/>
      <c r="R4257" s="6"/>
      <c r="S4257" s="6"/>
      <c r="T4257" s="6"/>
      <c r="U4257" s="6"/>
      <c r="V4257" s="6"/>
      <c r="W4257" s="6"/>
      <c r="X4257" s="6"/>
      <c r="Y4257" s="6"/>
      <c r="Z4257" s="6"/>
      <c r="AA4257" s="6"/>
    </row>
    <row r="4258" ht="14.25">
      <c r="B4258" s="4" t="s">
        <v>661</v>
      </c>
      <c r="C4258" s="4" t="s">
        <v>30315</v>
      </c>
      <c r="D4258" s="4" t="s">
        <v>7220</v>
      </c>
      <c r="E4258" s="4" t="s">
        <v>30316</v>
      </c>
      <c r="F4258" s="4" t="str">
        <f>IFERROR(__XLUDF.DUMMYFUNCTION("PROPER(REGEXREPLACE(D663,""[^A-Za-z]+ "",""""))"),"Agence Shake")</f>
        <v xml:space="preserve">Agence Shake</v>
      </c>
      <c r="G4258" s="4" t="s">
        <v>30317</v>
      </c>
      <c r="H4258" s="4">
        <v>12</v>
      </c>
      <c r="I4258" s="4" t="s">
        <v>4067</v>
      </c>
      <c r="J4258" s="4" t="str">
        <f>IFERROR(__XLUDF.DUMMYFUNCTION("VLOOKUP(H663,IMPORTRANGE(""https://docs.google.com/spreadsheets/d/1opm6ZNvGZ7KditA9TuJwrZ25eFLfTNIkrNnY6mhV5Eg"",""list!A1:C115""),3,TRUE)"),"le secteur du conseil en management")</f>
        <v xml:space="preserve">le secteur du conseil en management</v>
      </c>
      <c r="K4258" s="5" t="s">
        <v>30318</v>
      </c>
      <c r="L4258" s="5" t="s">
        <v>30319</v>
      </c>
      <c r="M4258" s="4" t="s">
        <v>39</v>
      </c>
      <c r="N4258" s="4" t="s">
        <v>29</v>
      </c>
      <c r="O4258" s="4" t="s">
        <v>30320</v>
      </c>
      <c r="P4258" s="4" t="s">
        <v>29</v>
      </c>
      <c r="Q4258" s="4" t="s">
        <v>30321</v>
      </c>
      <c r="R4258" s="6"/>
      <c r="S4258" s="6"/>
      <c r="T4258" s="6"/>
      <c r="U4258" s="6"/>
      <c r="V4258" s="6"/>
      <c r="W4258" s="6"/>
      <c r="X4258" s="6"/>
      <c r="Y4258" s="6"/>
      <c r="Z4258" s="6"/>
      <c r="AA4258" s="6"/>
    </row>
    <row r="4259" ht="14.25">
      <c r="B4259" s="4" t="s">
        <v>363</v>
      </c>
      <c r="C4259" s="4" t="s">
        <v>30322</v>
      </c>
      <c r="D4259" s="4" t="s">
        <v>30323</v>
      </c>
      <c r="E4259" s="4" t="s">
        <v>30324</v>
      </c>
      <c r="F4259" s="4" t="str">
        <f>IFERROR(__XLUDF.DUMMYFUNCTION("PROPER(REGEXREPLACE(D664,""[^A-Za-z]+ "",""""))"),"Agence Française Pour Le Développement D'Alula")</f>
        <v xml:space="preserve">Agence Française Pour Le Développement D'Alula</v>
      </c>
      <c r="G4259" s="4" t="s">
        <v>30325</v>
      </c>
      <c r="H4259" s="4">
        <v>47</v>
      </c>
      <c r="I4259" s="4" t="s">
        <v>4067</v>
      </c>
      <c r="J4259" s="4" t="str">
        <f>IFERROR(__XLUDF.DUMMYFUNCTION("VLOOKUP(H664,IMPORTRANGE(""https://docs.google.com/spreadsheets/d/1opm6ZNvGZ7KditA9TuJwrZ25eFLfTNIkrNnY6mhV5Eg"",""list!A1:C115""),3,TRUE)"),"le secteur du conseil en management")</f>
        <v xml:space="preserve">le secteur du conseil en management</v>
      </c>
      <c r="K4259" s="5" t="s">
        <v>30326</v>
      </c>
      <c r="L4259" s="5" t="s">
        <v>30327</v>
      </c>
      <c r="M4259" s="4" t="s">
        <v>39</v>
      </c>
      <c r="N4259" s="4" t="s">
        <v>29</v>
      </c>
      <c r="O4259" s="4" t="s">
        <v>30328</v>
      </c>
      <c r="P4259" s="4" t="s">
        <v>29</v>
      </c>
      <c r="Q4259" s="4" t="s">
        <v>30329</v>
      </c>
      <c r="R4259" s="6"/>
      <c r="S4259" s="6"/>
      <c r="T4259" s="6"/>
      <c r="U4259" s="6"/>
      <c r="V4259" s="6"/>
      <c r="W4259" s="6"/>
      <c r="X4259" s="6"/>
      <c r="Y4259" s="6"/>
      <c r="Z4259" s="6"/>
      <c r="AA4259" s="6"/>
    </row>
    <row r="4260" ht="14.25">
      <c r="B4260" s="4" t="s">
        <v>9210</v>
      </c>
      <c r="C4260" s="4" t="s">
        <v>30330</v>
      </c>
      <c r="D4260" s="4" t="s">
        <v>172</v>
      </c>
      <c r="E4260" s="4" t="s">
        <v>30331</v>
      </c>
      <c r="F4260" s="4" t="str">
        <f>IFERROR(__XLUDF.DUMMYFUNCTION("PROPER(REGEXREPLACE(D665,""[^A-Za-z]+ "",""""))"),"At Home Écosystème")</f>
        <v xml:space="preserve">At Home Écosystème</v>
      </c>
      <c r="G4260" s="4" t="s">
        <v>30332</v>
      </c>
      <c r="H4260" s="4">
        <v>19</v>
      </c>
      <c r="I4260" s="4" t="s">
        <v>4067</v>
      </c>
      <c r="J4260" s="4" t="str">
        <f>IFERROR(__XLUDF.DUMMYFUNCTION("VLOOKUP(H665,IMPORTRANGE(""https://docs.google.com/spreadsheets/d/1opm6ZNvGZ7KditA9TuJwrZ25eFLfTNIkrNnY6mhV5Eg"",""list!A1:C115""),3,TRUE)"),"le secteur du conseil en management")</f>
        <v xml:space="preserve">le secteur du conseil en management</v>
      </c>
      <c r="K4260" s="5" t="s">
        <v>30333</v>
      </c>
      <c r="L4260" s="5" t="s">
        <v>30334</v>
      </c>
      <c r="M4260" s="4" t="s">
        <v>83</v>
      </c>
      <c r="N4260" s="4" t="s">
        <v>29</v>
      </c>
      <c r="O4260" s="4" t="s">
        <v>30335</v>
      </c>
      <c r="P4260" s="4" t="s">
        <v>29</v>
      </c>
      <c r="Q4260" s="4" t="s">
        <v>30336</v>
      </c>
      <c r="R4260" s="6"/>
      <c r="S4260" s="6"/>
      <c r="T4260" s="6"/>
      <c r="U4260" s="6"/>
      <c r="V4260" s="6"/>
      <c r="W4260" s="6"/>
      <c r="X4260" s="6"/>
      <c r="Y4260" s="6"/>
      <c r="Z4260" s="6"/>
      <c r="AA4260" s="6"/>
    </row>
    <row r="4261" ht="14.25">
      <c r="B4261" s="4" t="s">
        <v>110</v>
      </c>
      <c r="C4261" s="4" t="s">
        <v>30337</v>
      </c>
      <c r="D4261" s="4" t="s">
        <v>112</v>
      </c>
      <c r="E4261" s="4" t="s">
        <v>11556</v>
      </c>
      <c r="F4261" s="4" t="str">
        <f>IFERROR(__XLUDF.DUMMYFUNCTION("PROPER(REGEXREPLACE(D666,""[^A-Za-z]+ "",""""))"),"Spirit Advisors")</f>
        <v xml:space="preserve">Spirit Advisors</v>
      </c>
      <c r="G4261" s="4" t="s">
        <v>30338</v>
      </c>
      <c r="H4261" s="4">
        <v>21</v>
      </c>
      <c r="I4261" s="4" t="s">
        <v>4067</v>
      </c>
      <c r="J4261" s="4" t="str">
        <f>IFERROR(__XLUDF.DUMMYFUNCTION("VLOOKUP(H666,IMPORTRANGE(""https://docs.google.com/spreadsheets/d/1opm6ZNvGZ7KditA9TuJwrZ25eFLfTNIkrNnY6mhV5Eg"",""list!A1:C115""),3,TRUE)"),"le secteur du conseil en management")</f>
        <v xml:space="preserve">le secteur du conseil en management</v>
      </c>
      <c r="K4261" s="5" t="s">
        <v>30339</v>
      </c>
      <c r="L4261" s="5" t="s">
        <v>30340</v>
      </c>
      <c r="M4261" s="4" t="s">
        <v>9237</v>
      </c>
      <c r="N4261" s="4" t="s">
        <v>29</v>
      </c>
      <c r="O4261" s="4" t="s">
        <v>22122</v>
      </c>
      <c r="P4261" s="4" t="s">
        <v>29</v>
      </c>
      <c r="Q4261" s="4" t="s">
        <v>11560</v>
      </c>
      <c r="R4261" s="6"/>
      <c r="S4261" s="6"/>
      <c r="T4261" s="6"/>
      <c r="U4261" s="6"/>
      <c r="V4261" s="6"/>
      <c r="W4261" s="6"/>
      <c r="X4261" s="6"/>
      <c r="Y4261" s="6"/>
      <c r="Z4261" s="6"/>
      <c r="AA4261" s="6"/>
    </row>
    <row r="4262" ht="14.25">
      <c r="B4262" s="4" t="s">
        <v>1562</v>
      </c>
      <c r="C4262" s="4" t="s">
        <v>11585</v>
      </c>
      <c r="D4262" s="4" t="s">
        <v>30341</v>
      </c>
      <c r="E4262" s="4" t="s">
        <v>30342</v>
      </c>
      <c r="F4262" s="4" t="str">
        <f>IFERROR(__XLUDF.DUMMYFUNCTION("PROPER(REGEXREPLACE(D667,""[^A-Za-z]+ "",""""))"),"La Boetie")</f>
        <v xml:space="preserve">La Boetie</v>
      </c>
      <c r="G4262" s="4" t="s">
        <v>30343</v>
      </c>
      <c r="H4262" s="4">
        <v>21</v>
      </c>
      <c r="I4262" s="4" t="s">
        <v>4067</v>
      </c>
      <c r="J4262" s="4" t="str">
        <f>IFERROR(__XLUDF.DUMMYFUNCTION("VLOOKUP(H667,IMPORTRANGE(""https://docs.google.com/spreadsheets/d/1opm6ZNvGZ7KditA9TuJwrZ25eFLfTNIkrNnY6mhV5Eg"",""list!A1:C115""),3,TRUE)"),"le secteur du conseil en management")</f>
        <v xml:space="preserve">le secteur du conseil en management</v>
      </c>
      <c r="K4262" s="5" t="s">
        <v>30344</v>
      </c>
      <c r="L4262" s="5" t="s">
        <v>30345</v>
      </c>
      <c r="M4262" s="4" t="s">
        <v>39</v>
      </c>
      <c r="N4262" s="4" t="s">
        <v>29</v>
      </c>
      <c r="O4262" s="4" t="s">
        <v>30346</v>
      </c>
      <c r="P4262" s="4" t="s">
        <v>29</v>
      </c>
      <c r="Q4262" s="6"/>
      <c r="R4262" s="6"/>
      <c r="S4262" s="6"/>
      <c r="T4262" s="6"/>
      <c r="U4262" s="6"/>
      <c r="V4262" s="6"/>
      <c r="W4262" s="6"/>
      <c r="X4262" s="6"/>
      <c r="Y4262" s="6"/>
      <c r="Z4262" s="6"/>
      <c r="AA4262" s="6"/>
    </row>
    <row r="4263" ht="14.25">
      <c r="B4263" s="4" t="s">
        <v>118</v>
      </c>
      <c r="C4263" s="4" t="s">
        <v>2105</v>
      </c>
      <c r="D4263" s="4" t="s">
        <v>426</v>
      </c>
      <c r="E4263" s="4" t="s">
        <v>16280</v>
      </c>
      <c r="F4263" s="4" t="str">
        <f>IFERROR(__XLUDF.DUMMYFUNCTION("PROPER(REGEXREPLACE(D668,""[^A-Za-z]+ "",""""))"),"Novéha")</f>
        <v>Novéha</v>
      </c>
      <c r="G4263" s="4" t="s">
        <v>30347</v>
      </c>
      <c r="H4263" s="4">
        <v>26</v>
      </c>
      <c r="I4263" s="4" t="s">
        <v>4067</v>
      </c>
      <c r="J4263" s="4" t="str">
        <f>IFERROR(__XLUDF.DUMMYFUNCTION("VLOOKUP(H668,IMPORTRANGE(""https://docs.google.com/spreadsheets/d/1opm6ZNvGZ7KditA9TuJwrZ25eFLfTNIkrNnY6mhV5Eg"",""list!A1:C115""),3,TRUE)"),"le secteur du conseil en management")</f>
        <v xml:space="preserve">le secteur du conseil en management</v>
      </c>
      <c r="K4263" s="5" t="s">
        <v>30348</v>
      </c>
      <c r="L4263" s="5" t="s">
        <v>30349</v>
      </c>
      <c r="M4263" s="4" t="s">
        <v>16283</v>
      </c>
      <c r="N4263" s="4" t="s">
        <v>29</v>
      </c>
      <c r="O4263" s="4" t="s">
        <v>30350</v>
      </c>
      <c r="P4263" s="4" t="s">
        <v>29</v>
      </c>
      <c r="Q4263" s="4" t="s">
        <v>16285</v>
      </c>
      <c r="R4263" s="6"/>
      <c r="S4263" s="6"/>
      <c r="T4263" s="6"/>
      <c r="U4263" s="6"/>
      <c r="V4263" s="6"/>
      <c r="W4263" s="6"/>
      <c r="X4263" s="6"/>
      <c r="Y4263" s="6"/>
      <c r="Z4263" s="6"/>
      <c r="AA4263" s="6"/>
    </row>
    <row r="4264" ht="14.25">
      <c r="B4264" s="4" t="s">
        <v>4177</v>
      </c>
      <c r="C4264" s="4" t="s">
        <v>30351</v>
      </c>
      <c r="D4264" s="4" t="s">
        <v>230</v>
      </c>
      <c r="E4264" s="4" t="s">
        <v>30351</v>
      </c>
      <c r="F4264" s="4" t="str">
        <f>IFERROR(__XLUDF.DUMMYFUNCTION("PROPER(REGEXREPLACE(D669,""[^A-Za-z]+ "",""""))"),"Calame")</f>
        <v>Calame</v>
      </c>
      <c r="G4264" s="4" t="s">
        <v>30352</v>
      </c>
      <c r="H4264" s="4">
        <v>14</v>
      </c>
      <c r="I4264" s="4" t="s">
        <v>4067</v>
      </c>
      <c r="J4264" s="4" t="str">
        <f>IFERROR(__XLUDF.DUMMYFUNCTION("VLOOKUP(H669,IMPORTRANGE(""https://docs.google.com/spreadsheets/d/1opm6ZNvGZ7KditA9TuJwrZ25eFLfTNIkrNnY6mhV5Eg"",""list!A1:C115""),3,TRUE)"),"le secteur du conseil en management")</f>
        <v xml:space="preserve">le secteur du conseil en management</v>
      </c>
      <c r="K4264" s="5" t="s">
        <v>30353</v>
      </c>
      <c r="L4264" s="5" t="s">
        <v>30354</v>
      </c>
      <c r="M4264" s="6"/>
      <c r="N4264" s="4" t="s">
        <v>29</v>
      </c>
      <c r="O4264" s="4" t="s">
        <v>30355</v>
      </c>
      <c r="P4264" s="4" t="s">
        <v>29</v>
      </c>
      <c r="Q4264" s="4" t="s">
        <v>30356</v>
      </c>
      <c r="R4264" s="6"/>
      <c r="S4264" s="6"/>
      <c r="T4264" s="6"/>
      <c r="U4264" s="6"/>
      <c r="V4264" s="6"/>
      <c r="W4264" s="6"/>
      <c r="X4264" s="6"/>
      <c r="Y4264" s="6"/>
      <c r="Z4264" s="6"/>
      <c r="AA4264" s="6"/>
    </row>
    <row r="4265" ht="14.25">
      <c r="B4265" s="4" t="s">
        <v>15564</v>
      </c>
      <c r="C4265" s="4" t="s">
        <v>30357</v>
      </c>
      <c r="D4265" s="4" t="s">
        <v>30358</v>
      </c>
      <c r="E4265" s="4" t="s">
        <v>21636</v>
      </c>
      <c r="F4265" s="4" t="str">
        <f>IFERROR(__XLUDF.DUMMYFUNCTION("PROPER(REGEXREPLACE(D670,""[^A-Za-z]+ "",""""))"),"Prodecys")</f>
        <v>Prodecys</v>
      </c>
      <c r="G4265" s="4" t="s">
        <v>30359</v>
      </c>
      <c r="H4265" s="4">
        <v>10</v>
      </c>
      <c r="I4265" s="4" t="s">
        <v>4067</v>
      </c>
      <c r="J4265" s="4" t="str">
        <f>IFERROR(__XLUDF.DUMMYFUNCTION("VLOOKUP(H670,IMPORTRANGE(""https://docs.google.com/spreadsheets/d/1opm6ZNvGZ7KditA9TuJwrZ25eFLfTNIkrNnY6mhV5Eg"",""list!A1:C115""),3,TRUE)"),"le secteur du conseil en management")</f>
        <v xml:space="preserve">le secteur du conseil en management</v>
      </c>
      <c r="K4265" s="5" t="s">
        <v>30360</v>
      </c>
      <c r="L4265" s="5" t="s">
        <v>21639</v>
      </c>
      <c r="M4265" s="4" t="s">
        <v>49</v>
      </c>
      <c r="N4265" s="4" t="s">
        <v>29</v>
      </c>
      <c r="O4265" s="4" t="s">
        <v>21640</v>
      </c>
      <c r="P4265" s="4" t="s">
        <v>29</v>
      </c>
      <c r="Q4265" s="4" t="s">
        <v>21641</v>
      </c>
      <c r="R4265" s="6"/>
      <c r="S4265" s="6"/>
      <c r="T4265" s="6"/>
      <c r="U4265" s="6"/>
      <c r="V4265" s="6"/>
      <c r="W4265" s="6"/>
      <c r="X4265" s="6"/>
      <c r="Y4265" s="6"/>
      <c r="Z4265" s="6"/>
      <c r="AA4265" s="6"/>
    </row>
    <row r="4266" ht="14.25">
      <c r="B4266" s="4" t="s">
        <v>817</v>
      </c>
      <c r="C4266" s="4" t="s">
        <v>30361</v>
      </c>
      <c r="D4266" s="4" t="s">
        <v>87</v>
      </c>
      <c r="E4266" s="4" t="s">
        <v>30362</v>
      </c>
      <c r="F4266" s="4" t="str">
        <f>IFERROR(__XLUDF.DUMMYFUNCTION("PROPER(REGEXREPLACE(D671,""[^A-Za-z]+ "",""""))"),"Atrisc")</f>
        <v>Atrisc</v>
      </c>
      <c r="G4266" s="4" t="s">
        <v>30363</v>
      </c>
      <c r="H4266" s="4">
        <v>23</v>
      </c>
      <c r="I4266" s="4" t="s">
        <v>4067</v>
      </c>
      <c r="J4266" s="4" t="str">
        <f>IFERROR(__XLUDF.DUMMYFUNCTION("VLOOKUP(H671,IMPORTRANGE(""https://docs.google.com/spreadsheets/d/1opm6ZNvGZ7KditA9TuJwrZ25eFLfTNIkrNnY6mhV5Eg"",""list!A1:C115""),3,TRUE)"),"le secteur du conseil en management")</f>
        <v xml:space="preserve">le secteur du conseil en management</v>
      </c>
      <c r="K4266" s="5" t="s">
        <v>30364</v>
      </c>
      <c r="L4266" s="5" t="s">
        <v>30365</v>
      </c>
      <c r="M4266" s="4" t="s">
        <v>16312</v>
      </c>
      <c r="N4266" s="4" t="s">
        <v>29</v>
      </c>
      <c r="O4266" s="4" t="s">
        <v>30366</v>
      </c>
      <c r="P4266" s="4" t="s">
        <v>29</v>
      </c>
      <c r="Q4266" s="4" t="s">
        <v>30367</v>
      </c>
      <c r="R4266" s="6"/>
      <c r="S4266" s="6"/>
      <c r="T4266" s="6"/>
      <c r="U4266" s="6"/>
      <c r="V4266" s="6"/>
      <c r="W4266" s="6"/>
      <c r="X4266" s="6"/>
      <c r="Y4266" s="6"/>
      <c r="Z4266" s="6"/>
      <c r="AA4266" s="6"/>
    </row>
    <row r="4267" ht="14.25">
      <c r="B4267" s="4" t="s">
        <v>1732</v>
      </c>
      <c r="C4267" s="4" t="s">
        <v>30368</v>
      </c>
      <c r="D4267" s="4" t="s">
        <v>8146</v>
      </c>
      <c r="E4267" s="4" t="s">
        <v>30369</v>
      </c>
      <c r="F4267" s="4" t="str">
        <f>IFERROR(__XLUDF.DUMMYFUNCTION("PROPER(REGEXREPLACE(D672,""[^A-Za-z]+ "",""""))"),"Kalane Consulting")</f>
        <v xml:space="preserve">Kalane Consulting</v>
      </c>
      <c r="G4267" s="4" t="s">
        <v>30370</v>
      </c>
      <c r="H4267" s="4">
        <v>15</v>
      </c>
      <c r="I4267" s="4" t="s">
        <v>4067</v>
      </c>
      <c r="J4267" s="4" t="str">
        <f>IFERROR(__XLUDF.DUMMYFUNCTION("VLOOKUP(H672,IMPORTRANGE(""https://docs.google.com/spreadsheets/d/1opm6ZNvGZ7KditA9TuJwrZ25eFLfTNIkrNnY6mhV5Eg"",""list!A1:C115""),3,TRUE)"),"le secteur du conseil en management")</f>
        <v xml:space="preserve">le secteur du conseil en management</v>
      </c>
      <c r="K4267" s="5" t="s">
        <v>30371</v>
      </c>
      <c r="L4267" s="5" t="s">
        <v>30372</v>
      </c>
      <c r="M4267" s="4" t="s">
        <v>39</v>
      </c>
      <c r="N4267" s="4" t="s">
        <v>29</v>
      </c>
      <c r="O4267" s="4" t="s">
        <v>30373</v>
      </c>
      <c r="P4267" s="4" t="s">
        <v>29</v>
      </c>
      <c r="Q4267" s="6"/>
      <c r="R4267" s="6"/>
      <c r="S4267" s="6"/>
      <c r="T4267" s="6"/>
      <c r="U4267" s="6"/>
      <c r="V4267" s="6"/>
      <c r="W4267" s="6"/>
      <c r="X4267" s="6"/>
      <c r="Y4267" s="6"/>
      <c r="Z4267" s="6"/>
      <c r="AA4267" s="6"/>
    </row>
    <row r="4268" ht="14.25">
      <c r="B4268" s="4" t="s">
        <v>30374</v>
      </c>
      <c r="C4268" s="4" t="s">
        <v>30375</v>
      </c>
      <c r="D4268" s="4" t="s">
        <v>112</v>
      </c>
      <c r="E4268" s="4" t="s">
        <v>30376</v>
      </c>
      <c r="F4268" s="4" t="str">
        <f>IFERROR(__XLUDF.DUMMYFUNCTION("PROPER(REGEXREPLACE(D673,""[^A-Za-z]+ "",""""))"),"Thomas More")</f>
        <v xml:space="preserve">Thomas More</v>
      </c>
      <c r="G4268" s="4" t="s">
        <v>30377</v>
      </c>
      <c r="H4268" s="4">
        <v>18</v>
      </c>
      <c r="I4268" s="4" t="s">
        <v>4067</v>
      </c>
      <c r="J4268" s="4" t="str">
        <f>IFERROR(__XLUDF.DUMMYFUNCTION("VLOOKUP(H673,IMPORTRANGE(""https://docs.google.com/spreadsheets/d/1opm6ZNvGZ7KditA9TuJwrZ25eFLfTNIkrNnY6mhV5Eg"",""list!A1:C115""),3,TRUE)"),"le secteur du conseil en management")</f>
        <v xml:space="preserve">le secteur du conseil en management</v>
      </c>
      <c r="K4268" s="5" t="s">
        <v>30378</v>
      </c>
      <c r="L4268" s="5" t="s">
        <v>30379</v>
      </c>
      <c r="M4268" s="4" t="s">
        <v>39</v>
      </c>
      <c r="N4268" s="4" t="s">
        <v>29</v>
      </c>
      <c r="O4268" s="4" t="s">
        <v>30380</v>
      </c>
      <c r="P4268" s="4" t="s">
        <v>29</v>
      </c>
      <c r="Q4268" s="6"/>
      <c r="R4268" s="6"/>
      <c r="S4268" s="6"/>
      <c r="T4268" s="6"/>
      <c r="U4268" s="6"/>
      <c r="V4268" s="6"/>
      <c r="W4268" s="6"/>
      <c r="X4268" s="6"/>
      <c r="Y4268" s="6"/>
      <c r="Z4268" s="6"/>
      <c r="AA4268" s="6"/>
    </row>
    <row r="4269" ht="14.25">
      <c r="B4269" s="4" t="s">
        <v>30381</v>
      </c>
      <c r="C4269" s="4" t="s">
        <v>30382</v>
      </c>
      <c r="D4269" s="4" t="s">
        <v>681</v>
      </c>
      <c r="E4269" s="4" t="s">
        <v>30383</v>
      </c>
      <c r="F4269" s="4" t="str">
        <f>IFERROR(__XLUDF.DUMMYFUNCTION("PROPER(REGEXREPLACE(D674,""[^A-Za-z]+ "",""""))"),"Linmanassociates")</f>
        <v>Linmanassociates</v>
      </c>
      <c r="G4269" s="4" t="s">
        <v>30384</v>
      </c>
      <c r="H4269" s="4">
        <v>12</v>
      </c>
      <c r="I4269" s="4" t="s">
        <v>4067</v>
      </c>
      <c r="J4269" s="4" t="str">
        <f>IFERROR(__XLUDF.DUMMYFUNCTION("VLOOKUP(H674,IMPORTRANGE(""https://docs.google.com/spreadsheets/d/1opm6ZNvGZ7KditA9TuJwrZ25eFLfTNIkrNnY6mhV5Eg"",""list!A1:C115""),3,TRUE)"),"le secteur du conseil en management")</f>
        <v xml:space="preserve">le secteur du conseil en management</v>
      </c>
      <c r="K4269" s="5" t="s">
        <v>30385</v>
      </c>
      <c r="L4269" s="5" t="s">
        <v>30386</v>
      </c>
      <c r="M4269" s="4" t="s">
        <v>1711</v>
      </c>
      <c r="N4269" s="4" t="s">
        <v>29</v>
      </c>
      <c r="O4269" s="4" t="s">
        <v>30387</v>
      </c>
      <c r="P4269" s="4" t="s">
        <v>29</v>
      </c>
      <c r="Q4269" s="6"/>
      <c r="R4269" s="6"/>
      <c r="S4269" s="6"/>
      <c r="T4269" s="6"/>
      <c r="U4269" s="6"/>
      <c r="V4269" s="6"/>
      <c r="W4269" s="6"/>
      <c r="X4269" s="6"/>
      <c r="Y4269" s="6"/>
      <c r="Z4269" s="6"/>
      <c r="AA4269" s="6"/>
    </row>
    <row r="4270" ht="14.25">
      <c r="B4270" s="4" t="s">
        <v>785</v>
      </c>
      <c r="C4270" s="4" t="s">
        <v>30388</v>
      </c>
      <c r="D4270" s="4" t="s">
        <v>30389</v>
      </c>
      <c r="E4270" s="4" t="s">
        <v>30390</v>
      </c>
      <c r="F4270" s="4" t="str">
        <f>IFERROR(__XLUDF.DUMMYFUNCTION("PROPER(REGEXREPLACE(D675,""[^A-Za-z]+ "",""""))"),"Kayac Consulting")</f>
        <v xml:space="preserve">Kayac Consulting</v>
      </c>
      <c r="G4270" s="4" t="s">
        <v>30391</v>
      </c>
      <c r="H4270" s="4">
        <v>11</v>
      </c>
      <c r="I4270" s="4" t="s">
        <v>4067</v>
      </c>
      <c r="J4270" s="4" t="str">
        <f>IFERROR(__XLUDF.DUMMYFUNCTION("VLOOKUP(H675,IMPORTRANGE(""https://docs.google.com/spreadsheets/d/1opm6ZNvGZ7KditA9TuJwrZ25eFLfTNIkrNnY6mhV5Eg"",""list!A1:C115""),3,TRUE)"),"le secteur du conseil en management")</f>
        <v xml:space="preserve">le secteur du conseil en management</v>
      </c>
      <c r="K4270" s="5" t="s">
        <v>30392</v>
      </c>
      <c r="L4270" s="5" t="s">
        <v>30393</v>
      </c>
      <c r="M4270" s="4" t="s">
        <v>39</v>
      </c>
      <c r="N4270" s="4" t="s">
        <v>29</v>
      </c>
      <c r="O4270" s="4" t="s">
        <v>30394</v>
      </c>
      <c r="P4270" s="4" t="s">
        <v>29</v>
      </c>
      <c r="Q4270" s="6"/>
      <c r="R4270" s="6"/>
      <c r="S4270" s="6"/>
      <c r="T4270" s="6"/>
      <c r="U4270" s="6"/>
      <c r="V4270" s="6"/>
      <c r="W4270" s="6"/>
      <c r="X4270" s="6"/>
      <c r="Y4270" s="6"/>
      <c r="Z4270" s="6"/>
      <c r="AA4270" s="6"/>
    </row>
    <row r="4271" ht="14.25">
      <c r="B4271" s="4" t="s">
        <v>743</v>
      </c>
      <c r="C4271" s="4" t="s">
        <v>30395</v>
      </c>
      <c r="D4271" s="4" t="s">
        <v>9410</v>
      </c>
      <c r="E4271" s="4" t="s">
        <v>30396</v>
      </c>
      <c r="F4271" s="4" t="str">
        <f>IFERROR(__XLUDF.DUMMYFUNCTION("PROPER(REGEXREPLACE(D676,""[^A-Za-z]+ "",""""))"),"Haatch")</f>
        <v>Haatch</v>
      </c>
      <c r="G4271" s="4" t="s">
        <v>30397</v>
      </c>
      <c r="H4271" s="4">
        <v>17</v>
      </c>
      <c r="I4271" s="4" t="s">
        <v>4067</v>
      </c>
      <c r="J4271" s="4" t="str">
        <f>IFERROR(__XLUDF.DUMMYFUNCTION("VLOOKUP(H676,IMPORTRANGE(""https://docs.google.com/spreadsheets/d/1opm6ZNvGZ7KditA9TuJwrZ25eFLfTNIkrNnY6mhV5Eg"",""list!A1:C115""),3,TRUE)"),"le secteur du conseil en management")</f>
        <v xml:space="preserve">le secteur du conseil en management</v>
      </c>
      <c r="K4271" s="5" t="s">
        <v>30398</v>
      </c>
      <c r="L4271" s="5" t="s">
        <v>30399</v>
      </c>
      <c r="M4271" s="4" t="s">
        <v>39</v>
      </c>
      <c r="N4271" s="4" t="s">
        <v>29</v>
      </c>
      <c r="O4271" s="4" t="s">
        <v>30400</v>
      </c>
      <c r="P4271" s="4" t="s">
        <v>29</v>
      </c>
      <c r="Q4271" s="4" t="s">
        <v>30401</v>
      </c>
      <c r="R4271" s="6"/>
      <c r="S4271" s="6"/>
      <c r="T4271" s="6"/>
      <c r="U4271" s="6"/>
      <c r="V4271" s="6"/>
      <c r="W4271" s="6"/>
      <c r="X4271" s="6"/>
      <c r="Y4271" s="6"/>
      <c r="Z4271" s="6"/>
      <c r="AA4271" s="6"/>
    </row>
    <row r="4272" ht="14.25">
      <c r="B4272" s="4" t="s">
        <v>30402</v>
      </c>
      <c r="C4272" s="4" t="s">
        <v>19404</v>
      </c>
      <c r="D4272" s="4" t="s">
        <v>62</v>
      </c>
      <c r="E4272" s="4" t="s">
        <v>30403</v>
      </c>
      <c r="F4272" s="4" t="str">
        <f>IFERROR(__XLUDF.DUMMYFUNCTION("PROPER(REGEXREPLACE(D677,""[^A-Za-z]+ "",""""))"),"La Cousine")</f>
        <v xml:space="preserve">La Cousine</v>
      </c>
      <c r="G4272" s="4" t="s">
        <v>30404</v>
      </c>
      <c r="H4272" s="4">
        <v>11</v>
      </c>
      <c r="I4272" s="4" t="s">
        <v>4067</v>
      </c>
      <c r="J4272" s="4" t="str">
        <f>IFERROR(__XLUDF.DUMMYFUNCTION("VLOOKUP(H677,IMPORTRANGE(""https://docs.google.com/spreadsheets/d/1opm6ZNvGZ7KditA9TuJwrZ25eFLfTNIkrNnY6mhV5Eg"",""list!A1:C115""),3,TRUE)"),"le secteur du conseil en management")</f>
        <v xml:space="preserve">le secteur du conseil en management</v>
      </c>
      <c r="K4272" s="5" t="s">
        <v>30405</v>
      </c>
      <c r="L4272" s="5" t="s">
        <v>30406</v>
      </c>
      <c r="M4272" s="4" t="s">
        <v>39</v>
      </c>
      <c r="N4272" s="4" t="s">
        <v>29</v>
      </c>
      <c r="O4272" s="4" t="s">
        <v>30407</v>
      </c>
      <c r="P4272" s="4" t="s">
        <v>29</v>
      </c>
      <c r="Q4272" s="6"/>
      <c r="R4272" s="6"/>
      <c r="S4272" s="6"/>
      <c r="T4272" s="6"/>
      <c r="U4272" s="6"/>
      <c r="V4272" s="6"/>
      <c r="W4272" s="6"/>
      <c r="X4272" s="6"/>
      <c r="Y4272" s="6"/>
      <c r="Z4272" s="6"/>
      <c r="AA4272" s="6"/>
    </row>
    <row r="4273" ht="14.25">
      <c r="B4273" s="4" t="s">
        <v>1667</v>
      </c>
      <c r="C4273" s="4" t="s">
        <v>30408</v>
      </c>
      <c r="D4273" s="4" t="s">
        <v>112</v>
      </c>
      <c r="E4273" s="4" t="s">
        <v>30409</v>
      </c>
      <c r="F4273" s="4" t="str">
        <f>IFERROR(__XLUDF.DUMMYFUNCTION("PROPER(REGEXREPLACE(D678,""[^A-Za-z]+ "",""""))"),"Sticky-E")</f>
        <v>Sticky-E</v>
      </c>
      <c r="G4273" s="4" t="s">
        <v>30410</v>
      </c>
      <c r="H4273" s="4">
        <v>21</v>
      </c>
      <c r="I4273" s="4" t="s">
        <v>4067</v>
      </c>
      <c r="J4273" s="4" t="str">
        <f>IFERROR(__XLUDF.DUMMYFUNCTION("VLOOKUP(H678,IMPORTRANGE(""https://docs.google.com/spreadsheets/d/1opm6ZNvGZ7KditA9TuJwrZ25eFLfTNIkrNnY6mhV5Eg"",""list!A1:C115""),3,TRUE)"),"le secteur du conseil en management")</f>
        <v xml:space="preserve">le secteur du conseil en management</v>
      </c>
      <c r="K4273" s="5" t="s">
        <v>30411</v>
      </c>
      <c r="L4273" s="5" t="s">
        <v>30412</v>
      </c>
      <c r="M4273" s="6"/>
      <c r="N4273" s="4" t="s">
        <v>29</v>
      </c>
      <c r="O4273" s="4" t="s">
        <v>30413</v>
      </c>
      <c r="P4273" s="4" t="s">
        <v>29</v>
      </c>
      <c r="Q4273" s="6"/>
      <c r="R4273" s="6"/>
      <c r="S4273" s="6"/>
      <c r="T4273" s="6"/>
      <c r="U4273" s="6"/>
      <c r="V4273" s="6"/>
      <c r="W4273" s="6"/>
      <c r="X4273" s="6"/>
      <c r="Y4273" s="6"/>
      <c r="Z4273" s="6"/>
      <c r="AA4273" s="6"/>
    </row>
    <row r="4274" ht="14.25">
      <c r="B4274" s="4" t="s">
        <v>30414</v>
      </c>
      <c r="C4274" s="4" t="s">
        <v>30415</v>
      </c>
      <c r="D4274" s="4" t="s">
        <v>315</v>
      </c>
      <c r="E4274" s="4" t="s">
        <v>30416</v>
      </c>
      <c r="F4274" s="4" t="str">
        <f>IFERROR(__XLUDF.DUMMYFUNCTION("PROPER(REGEXREPLACE(D679,""[^A-Za-z]+ "",""""))"),"Bizgrow Consultants")</f>
        <v xml:space="preserve">Bizgrow Consultants</v>
      </c>
      <c r="G4274" s="4" t="s">
        <v>30417</v>
      </c>
      <c r="H4274" s="4">
        <v>12</v>
      </c>
      <c r="I4274" s="4" t="s">
        <v>4067</v>
      </c>
      <c r="J4274" s="4" t="str">
        <f>IFERROR(__XLUDF.DUMMYFUNCTION("VLOOKUP(H679,IMPORTRANGE(""https://docs.google.com/spreadsheets/d/1opm6ZNvGZ7KditA9TuJwrZ25eFLfTNIkrNnY6mhV5Eg"",""list!A1:C115""),3,TRUE)"),"le secteur du conseil en management")</f>
        <v xml:space="preserve">le secteur du conseil en management</v>
      </c>
      <c r="K4274" s="5" t="s">
        <v>30418</v>
      </c>
      <c r="L4274" s="5" t="s">
        <v>30419</v>
      </c>
      <c r="M4274" s="4" t="s">
        <v>39</v>
      </c>
      <c r="N4274" s="4" t="s">
        <v>29</v>
      </c>
      <c r="O4274" s="4" t="s">
        <v>30420</v>
      </c>
      <c r="P4274" s="4" t="s">
        <v>30421</v>
      </c>
      <c r="Q4274" s="4" t="s">
        <v>30422</v>
      </c>
      <c r="R4274" s="6"/>
      <c r="S4274" s="6"/>
      <c r="T4274" s="6"/>
      <c r="U4274" s="6"/>
      <c r="V4274" s="6"/>
      <c r="W4274" s="6"/>
      <c r="X4274" s="6"/>
      <c r="Y4274" s="6"/>
      <c r="Z4274" s="6"/>
      <c r="AA4274" s="6"/>
    </row>
    <row r="4275" ht="14.25">
      <c r="B4275" s="4" t="s">
        <v>30423</v>
      </c>
      <c r="C4275" s="4" t="s">
        <v>30424</v>
      </c>
      <c r="D4275" s="4" t="s">
        <v>112</v>
      </c>
      <c r="E4275" s="4" t="s">
        <v>30425</v>
      </c>
      <c r="F4275" s="4" t="str">
        <f>IFERROR(__XLUDF.DUMMYFUNCTION("PROPER(REGEXREPLACE(D680,""[^A-Za-z]+ "",""""))"),"Eurofins Biophy Research")</f>
        <v xml:space="preserve">Eurofins Biophy Research</v>
      </c>
      <c r="G4275" s="4" t="s">
        <v>30426</v>
      </c>
      <c r="H4275" s="4">
        <v>11</v>
      </c>
      <c r="I4275" s="4" t="s">
        <v>4067</v>
      </c>
      <c r="J4275" s="4" t="str">
        <f>IFERROR(__XLUDF.DUMMYFUNCTION("VLOOKUP(H680,IMPORTRANGE(""https://docs.google.com/spreadsheets/d/1opm6ZNvGZ7KditA9TuJwrZ25eFLfTNIkrNnY6mhV5Eg"",""list!A1:C115""),3,TRUE)"),"le secteur du conseil en management")</f>
        <v xml:space="preserve">le secteur du conseil en management</v>
      </c>
      <c r="K4275" s="5" t="s">
        <v>30427</v>
      </c>
      <c r="L4275" s="5" t="s">
        <v>30428</v>
      </c>
      <c r="M4275" s="4" t="s">
        <v>295</v>
      </c>
      <c r="N4275" s="4" t="s">
        <v>29</v>
      </c>
      <c r="O4275" s="4" t="s">
        <v>30429</v>
      </c>
      <c r="P4275" s="4" t="s">
        <v>29</v>
      </c>
      <c r="Q4275" s="4" t="s">
        <v>30430</v>
      </c>
      <c r="R4275" s="6"/>
      <c r="S4275" s="6"/>
      <c r="T4275" s="6"/>
      <c r="U4275" s="6"/>
      <c r="V4275" s="6"/>
      <c r="W4275" s="6"/>
      <c r="X4275" s="6"/>
      <c r="Y4275" s="6"/>
      <c r="Z4275" s="6"/>
      <c r="AA4275" s="6"/>
    </row>
    <row r="4276" ht="14.25">
      <c r="B4276" s="4" t="s">
        <v>30431</v>
      </c>
      <c r="C4276" s="4" t="s">
        <v>30432</v>
      </c>
      <c r="D4276" s="4" t="s">
        <v>198</v>
      </c>
      <c r="E4276" s="4" t="s">
        <v>30433</v>
      </c>
      <c r="F4276" s="4" t="str">
        <f>IFERROR(__XLUDF.DUMMYFUNCTION("PROPER(REGEXREPLACE(D681,""[^A-Za-z]+ "",""""))"),"France Certification")</f>
        <v xml:space="preserve">France Certification</v>
      </c>
      <c r="G4276" s="4" t="s">
        <v>30434</v>
      </c>
      <c r="H4276" s="4">
        <v>35</v>
      </c>
      <c r="I4276" s="4" t="s">
        <v>4067</v>
      </c>
      <c r="J4276" s="4" t="str">
        <f>IFERROR(__XLUDF.DUMMYFUNCTION("VLOOKUP(H681,IMPORTRANGE(""https://docs.google.com/spreadsheets/d/1opm6ZNvGZ7KditA9TuJwrZ25eFLfTNIkrNnY6mhV5Eg"",""list!A1:C115""),3,TRUE)"),"le secteur du conseil en management")</f>
        <v xml:space="preserve">le secteur du conseil en management</v>
      </c>
      <c r="K4276" s="5" t="s">
        <v>30435</v>
      </c>
      <c r="L4276" s="5" t="s">
        <v>30436</v>
      </c>
      <c r="M4276" s="4" t="s">
        <v>24799</v>
      </c>
      <c r="N4276" s="4" t="s">
        <v>29</v>
      </c>
      <c r="O4276" s="4" t="s">
        <v>30437</v>
      </c>
      <c r="P4276" s="4" t="s">
        <v>29</v>
      </c>
      <c r="Q4276" s="4" t="s">
        <v>30438</v>
      </c>
      <c r="R4276" s="6"/>
      <c r="S4276" s="6"/>
      <c r="T4276" s="6"/>
      <c r="U4276" s="6"/>
      <c r="V4276" s="6"/>
      <c r="W4276" s="6"/>
      <c r="X4276" s="6"/>
      <c r="Y4276" s="6"/>
      <c r="Z4276" s="6"/>
      <c r="AA4276" s="6"/>
    </row>
    <row r="4277" ht="14.25">
      <c r="B4277" s="4" t="s">
        <v>30439</v>
      </c>
      <c r="C4277" s="4" t="s">
        <v>30440</v>
      </c>
      <c r="D4277" s="4" t="s">
        <v>30441</v>
      </c>
      <c r="E4277" s="4" t="s">
        <v>30442</v>
      </c>
      <c r="F4277" s="4" t="str">
        <f>IFERROR(__XLUDF.DUMMYFUNCTION("PROPER(REGEXREPLACE(D682,""[^A-Za-z]+ "",""""))"),"Kint")</f>
        <v>Kint</v>
      </c>
      <c r="G4277" s="4" t="s">
        <v>30443</v>
      </c>
      <c r="H4277" s="4">
        <v>17</v>
      </c>
      <c r="I4277" s="4" t="s">
        <v>4067</v>
      </c>
      <c r="J4277" s="4" t="str">
        <f>IFERROR(__XLUDF.DUMMYFUNCTION("VLOOKUP(H682,IMPORTRANGE(""https://docs.google.com/spreadsheets/d/1opm6ZNvGZ7KditA9TuJwrZ25eFLfTNIkrNnY6mhV5Eg"",""list!A1:C115""),3,TRUE)"),"le secteur du conseil en management")</f>
        <v xml:space="preserve">le secteur du conseil en management</v>
      </c>
      <c r="K4277" s="5" t="s">
        <v>30444</v>
      </c>
      <c r="L4277" s="5" t="s">
        <v>30445</v>
      </c>
      <c r="M4277" s="4" t="s">
        <v>39</v>
      </c>
      <c r="N4277" s="4" t="s">
        <v>29</v>
      </c>
      <c r="O4277" s="4" t="s">
        <v>30446</v>
      </c>
      <c r="P4277" s="4" t="s">
        <v>29</v>
      </c>
      <c r="Q4277" s="4" t="s">
        <v>30447</v>
      </c>
      <c r="R4277" s="6"/>
      <c r="S4277" s="6"/>
      <c r="T4277" s="6"/>
      <c r="U4277" s="6"/>
      <c r="V4277" s="6"/>
      <c r="W4277" s="6"/>
      <c r="X4277" s="6"/>
      <c r="Y4277" s="6"/>
      <c r="Z4277" s="6"/>
      <c r="AA4277" s="6"/>
    </row>
    <row r="4278" ht="14.25">
      <c r="B4278" s="4" t="s">
        <v>2652</v>
      </c>
      <c r="C4278" s="4" t="s">
        <v>26438</v>
      </c>
      <c r="D4278" s="4" t="s">
        <v>20577</v>
      </c>
      <c r="E4278" s="4" t="s">
        <v>15356</v>
      </c>
      <c r="F4278" s="4" t="str">
        <f>IFERROR(__XLUDF.DUMMYFUNCTION("PROPER(REGEXREPLACE(D683,""[^A-Za-z]+ "",""""))"),"E-Nergy")</f>
        <v>E-Nergy</v>
      </c>
      <c r="G4278" s="4" t="s">
        <v>30448</v>
      </c>
      <c r="H4278" s="4">
        <v>15</v>
      </c>
      <c r="I4278" s="4" t="s">
        <v>4067</v>
      </c>
      <c r="J4278" s="4" t="str">
        <f>IFERROR(__XLUDF.DUMMYFUNCTION("VLOOKUP(H683,IMPORTRANGE(""https://docs.google.com/spreadsheets/d/1opm6ZNvGZ7KditA9TuJwrZ25eFLfTNIkrNnY6mhV5Eg"",""list!A1:C115""),3,TRUE)"),"le secteur du conseil en management")</f>
        <v xml:space="preserve">le secteur du conseil en management</v>
      </c>
      <c r="K4278" s="5" t="s">
        <v>30449</v>
      </c>
      <c r="L4278" s="5" t="s">
        <v>30450</v>
      </c>
      <c r="M4278" s="4" t="s">
        <v>6603</v>
      </c>
      <c r="N4278" s="4" t="s">
        <v>29</v>
      </c>
      <c r="O4278" s="4" t="s">
        <v>30451</v>
      </c>
      <c r="P4278" s="4" t="s">
        <v>29</v>
      </c>
      <c r="Q4278" s="6"/>
      <c r="R4278" s="6"/>
      <c r="S4278" s="6"/>
      <c r="T4278" s="6"/>
      <c r="U4278" s="6"/>
      <c r="V4278" s="6"/>
      <c r="W4278" s="6"/>
      <c r="X4278" s="6"/>
      <c r="Y4278" s="6"/>
      <c r="Z4278" s="6"/>
      <c r="AA4278" s="6"/>
    </row>
    <row r="4279" ht="14.25">
      <c r="B4279" s="4" t="s">
        <v>5001</v>
      </c>
      <c r="C4279" s="4" t="s">
        <v>30452</v>
      </c>
      <c r="D4279" s="4" t="s">
        <v>30453</v>
      </c>
      <c r="E4279" s="4" t="s">
        <v>30454</v>
      </c>
      <c r="F4279" s="4" t="str">
        <f>IFERROR(__XLUDF.DUMMYFUNCTION("PROPER(REGEXREPLACE(D684,""[^A-Za-z]+ "",""""))"),"Cxp")</f>
        <v>Cxp</v>
      </c>
      <c r="G4279" s="4" t="s">
        <v>30455</v>
      </c>
      <c r="H4279" s="4">
        <v>46</v>
      </c>
      <c r="I4279" s="4" t="s">
        <v>4067</v>
      </c>
      <c r="J4279" s="4" t="str">
        <f>IFERROR(__XLUDF.DUMMYFUNCTION("VLOOKUP(H684,IMPORTRANGE(""https://docs.google.com/spreadsheets/d/1opm6ZNvGZ7KditA9TuJwrZ25eFLfTNIkrNnY6mhV5Eg"",""list!A1:C115""),3,TRUE)"),"le secteur du conseil en management")</f>
        <v xml:space="preserve">le secteur du conseil en management</v>
      </c>
      <c r="K4279" s="5" t="s">
        <v>30456</v>
      </c>
      <c r="L4279" s="5" t="s">
        <v>30457</v>
      </c>
      <c r="M4279" s="4" t="s">
        <v>39</v>
      </c>
      <c r="N4279" s="4" t="s">
        <v>29</v>
      </c>
      <c r="O4279" s="4" t="s">
        <v>22975</v>
      </c>
      <c r="P4279" s="4" t="s">
        <v>29</v>
      </c>
      <c r="Q4279" s="6"/>
      <c r="R4279" s="6"/>
      <c r="S4279" s="6"/>
      <c r="T4279" s="6"/>
      <c r="U4279" s="6"/>
      <c r="V4279" s="6"/>
      <c r="W4279" s="6"/>
      <c r="X4279" s="6"/>
      <c r="Y4279" s="6"/>
      <c r="Z4279" s="6"/>
      <c r="AA4279" s="6"/>
    </row>
    <row r="4280" ht="14.25">
      <c r="B4280" s="4" t="s">
        <v>1900</v>
      </c>
      <c r="C4280" s="4" t="s">
        <v>30458</v>
      </c>
      <c r="D4280" s="4" t="s">
        <v>30459</v>
      </c>
      <c r="E4280" s="4" t="s">
        <v>30460</v>
      </c>
      <c r="F4280" s="4" t="str">
        <f>IFERROR(__XLUDF.DUMMYFUNCTION("PROPER(REGEXREPLACE(D685,""[^A-Za-z]+ "",""""))"),"Arra-Engineering")</f>
        <v>Arra-Engineering</v>
      </c>
      <c r="G4280" s="4" t="s">
        <v>30461</v>
      </c>
      <c r="H4280" s="4">
        <v>33</v>
      </c>
      <c r="I4280" s="4" t="s">
        <v>4067</v>
      </c>
      <c r="J4280" s="4" t="str">
        <f>IFERROR(__XLUDF.DUMMYFUNCTION("VLOOKUP(H685,IMPORTRANGE(""https://docs.google.com/spreadsheets/d/1opm6ZNvGZ7KditA9TuJwrZ25eFLfTNIkrNnY6mhV5Eg"",""list!A1:C115""),3,TRUE)"),"le secteur du conseil en management")</f>
        <v xml:space="preserve">le secteur du conseil en management</v>
      </c>
      <c r="K4280" s="5" t="s">
        <v>30462</v>
      </c>
      <c r="L4280" s="5" t="s">
        <v>30463</v>
      </c>
      <c r="M4280" s="4" t="s">
        <v>15009</v>
      </c>
      <c r="N4280" s="4" t="s">
        <v>29</v>
      </c>
      <c r="O4280" s="4" t="s">
        <v>67</v>
      </c>
      <c r="P4280" s="4" t="s">
        <v>29</v>
      </c>
      <c r="Q4280" s="4" t="s">
        <v>30464</v>
      </c>
      <c r="R4280" s="6"/>
      <c r="S4280" s="6"/>
      <c r="T4280" s="6"/>
      <c r="U4280" s="6"/>
      <c r="V4280" s="6"/>
      <c r="W4280" s="6"/>
      <c r="X4280" s="6"/>
      <c r="Y4280" s="6"/>
      <c r="Z4280" s="6"/>
      <c r="AA4280" s="6"/>
    </row>
    <row r="4281" ht="14.25">
      <c r="B4281" s="4" t="s">
        <v>385</v>
      </c>
      <c r="C4281" s="4" t="s">
        <v>30465</v>
      </c>
      <c r="D4281" s="4" t="s">
        <v>71</v>
      </c>
      <c r="E4281" s="4" t="s">
        <v>30466</v>
      </c>
      <c r="F4281" s="4" t="str">
        <f>IFERROR(__XLUDF.DUMMYFUNCTION("PROPER(REGEXREPLACE(D686,""[^A-Za-z]+ "",""""))"),"Spring Lab")</f>
        <v xml:space="preserve">Spring Lab</v>
      </c>
      <c r="G4281" s="4" t="s">
        <v>30467</v>
      </c>
      <c r="H4281" s="4">
        <v>17</v>
      </c>
      <c r="I4281" s="4" t="s">
        <v>4067</v>
      </c>
      <c r="J4281" s="4" t="str">
        <f>IFERROR(__XLUDF.DUMMYFUNCTION("VLOOKUP(H686,IMPORTRANGE(""https://docs.google.com/spreadsheets/d/1opm6ZNvGZ7KditA9TuJwrZ25eFLfTNIkrNnY6mhV5Eg"",""list!A1:C115""),3,TRUE)"),"le secteur du conseil en management")</f>
        <v xml:space="preserve">le secteur du conseil en management</v>
      </c>
      <c r="K4281" s="5" t="s">
        <v>30468</v>
      </c>
      <c r="L4281" s="5" t="s">
        <v>30469</v>
      </c>
      <c r="M4281" s="4" t="s">
        <v>39</v>
      </c>
      <c r="N4281" s="4" t="s">
        <v>29</v>
      </c>
      <c r="O4281" s="4" t="s">
        <v>22122</v>
      </c>
      <c r="P4281" s="4" t="s">
        <v>29</v>
      </c>
      <c r="Q4281" s="4" t="s">
        <v>30470</v>
      </c>
      <c r="R4281" s="6"/>
      <c r="S4281" s="6"/>
      <c r="T4281" s="6"/>
      <c r="U4281" s="6"/>
      <c r="V4281" s="6"/>
      <c r="W4281" s="6"/>
      <c r="X4281" s="6"/>
      <c r="Y4281" s="6"/>
      <c r="Z4281" s="6"/>
      <c r="AA4281" s="6"/>
    </row>
    <row r="4282" ht="14.25">
      <c r="B4282" s="4" t="s">
        <v>485</v>
      </c>
      <c r="C4282" s="4" t="s">
        <v>30471</v>
      </c>
      <c r="D4282" s="4" t="s">
        <v>426</v>
      </c>
      <c r="E4282" s="4" t="s">
        <v>30472</v>
      </c>
      <c r="F4282" s="4" t="str">
        <f>IFERROR(__XLUDF.DUMMYFUNCTION("PROPER(REGEXREPLACE(D687,""[^A-Za-z]+ "",""""))"),"Benkei")</f>
        <v>Benkei</v>
      </c>
      <c r="G4282" s="4" t="s">
        <v>30473</v>
      </c>
      <c r="H4282" s="4">
        <v>33</v>
      </c>
      <c r="I4282" s="4" t="s">
        <v>4067</v>
      </c>
      <c r="J4282" s="4" t="str">
        <f>IFERROR(__XLUDF.DUMMYFUNCTION("VLOOKUP(H687,IMPORTRANGE(""https://docs.google.com/spreadsheets/d/1opm6ZNvGZ7KditA9TuJwrZ25eFLfTNIkrNnY6mhV5Eg"",""list!A1:C115""),3,TRUE)"),"le secteur du conseil en management")</f>
        <v xml:space="preserve">le secteur du conseil en management</v>
      </c>
      <c r="K4282" s="5" t="s">
        <v>30474</v>
      </c>
      <c r="L4282" s="5" t="s">
        <v>30475</v>
      </c>
      <c r="M4282" s="4" t="s">
        <v>2174</v>
      </c>
      <c r="N4282" s="4" t="s">
        <v>29</v>
      </c>
      <c r="O4282" s="4" t="s">
        <v>30476</v>
      </c>
      <c r="P4282" s="4" t="s">
        <v>29</v>
      </c>
      <c r="Q4282" s="4" t="s">
        <v>30477</v>
      </c>
      <c r="R4282" s="6"/>
      <c r="S4282" s="6"/>
      <c r="T4282" s="6"/>
      <c r="U4282" s="6"/>
      <c r="V4282" s="6"/>
      <c r="W4282" s="6"/>
      <c r="X4282" s="6"/>
      <c r="Y4282" s="6"/>
      <c r="Z4282" s="6"/>
      <c r="AA4282" s="6"/>
    </row>
    <row r="4283" ht="14.25">
      <c r="B4283" s="4" t="s">
        <v>18616</v>
      </c>
      <c r="C4283" s="4" t="s">
        <v>1183</v>
      </c>
      <c r="D4283" s="4" t="s">
        <v>120</v>
      </c>
      <c r="E4283" s="4" t="s">
        <v>12103</v>
      </c>
      <c r="F4283" s="4" t="str">
        <f>IFERROR(__XLUDF.DUMMYFUNCTION("PROPER(REGEXREPLACE(D688,""[^A-Za-z]+ "",""""))"),"Getalead")</f>
        <v>Getalead</v>
      </c>
      <c r="G4283" s="4" t="s">
        <v>30478</v>
      </c>
      <c r="H4283" s="4">
        <v>11</v>
      </c>
      <c r="I4283" s="4" t="s">
        <v>4067</v>
      </c>
      <c r="J4283" s="4" t="str">
        <f>IFERROR(__XLUDF.DUMMYFUNCTION("VLOOKUP(H688,IMPORTRANGE(""https://docs.google.com/spreadsheets/d/1opm6ZNvGZ7KditA9TuJwrZ25eFLfTNIkrNnY6mhV5Eg"",""list!A1:C115""),3,TRUE)"),"le secteur du conseil en management")</f>
        <v xml:space="preserve">le secteur du conseil en management</v>
      </c>
      <c r="K4283" s="5" t="s">
        <v>30479</v>
      </c>
      <c r="L4283" s="5" t="s">
        <v>30480</v>
      </c>
      <c r="M4283" s="4" t="s">
        <v>39</v>
      </c>
      <c r="N4283" s="4" t="s">
        <v>29</v>
      </c>
      <c r="O4283" s="4" t="s">
        <v>67</v>
      </c>
      <c r="P4283" s="4" t="s">
        <v>29</v>
      </c>
      <c r="Q4283" s="4" t="s">
        <v>12107</v>
      </c>
      <c r="R4283" s="6"/>
      <c r="S4283" s="6"/>
      <c r="T4283" s="6"/>
      <c r="U4283" s="6"/>
      <c r="V4283" s="6"/>
      <c r="W4283" s="6"/>
      <c r="X4283" s="6"/>
      <c r="Y4283" s="6"/>
      <c r="Z4283" s="6"/>
      <c r="AA4283" s="6"/>
    </row>
    <row r="4284" ht="14.25">
      <c r="B4284" s="4" t="s">
        <v>118</v>
      </c>
      <c r="C4284" s="4" t="s">
        <v>30481</v>
      </c>
      <c r="D4284" s="4" t="s">
        <v>30482</v>
      </c>
      <c r="E4284" s="4" t="s">
        <v>30483</v>
      </c>
      <c r="F4284" s="4" t="str">
        <f>IFERROR(__XLUDF.DUMMYFUNCTION("PROPER(REGEXREPLACE(D689,""[^A-Za-z]+ "",""""))"),"Intpact")</f>
        <v>Intpact</v>
      </c>
      <c r="G4284" s="4" t="s">
        <v>30484</v>
      </c>
      <c r="H4284" s="4">
        <v>15</v>
      </c>
      <c r="I4284" s="4" t="s">
        <v>4067</v>
      </c>
      <c r="J4284" s="4" t="str">
        <f>IFERROR(__XLUDF.DUMMYFUNCTION("VLOOKUP(H689,IMPORTRANGE(""https://docs.google.com/spreadsheets/d/1opm6ZNvGZ7KditA9TuJwrZ25eFLfTNIkrNnY6mhV5Eg"",""list!A1:C115""),3,TRUE)"),"le secteur du conseil en management")</f>
        <v xml:space="preserve">le secteur du conseil en management</v>
      </c>
      <c r="K4284" s="5" t="s">
        <v>30485</v>
      </c>
      <c r="L4284" s="5" t="s">
        <v>30486</v>
      </c>
      <c r="M4284" s="4" t="s">
        <v>39</v>
      </c>
      <c r="N4284" s="4" t="s">
        <v>29</v>
      </c>
      <c r="O4284" s="4" t="s">
        <v>30487</v>
      </c>
      <c r="P4284" s="4" t="s">
        <v>2953</v>
      </c>
      <c r="Q4284" s="4" t="s">
        <v>30488</v>
      </c>
      <c r="R4284" s="6"/>
      <c r="S4284" s="6"/>
      <c r="T4284" s="6"/>
      <c r="U4284" s="6"/>
      <c r="V4284" s="6"/>
      <c r="W4284" s="6"/>
      <c r="X4284" s="6"/>
      <c r="Y4284" s="6"/>
      <c r="Z4284" s="6"/>
      <c r="AA4284" s="6"/>
    </row>
    <row r="4285" ht="14.25">
      <c r="B4285" s="4" t="s">
        <v>525</v>
      </c>
      <c r="C4285" s="4" t="s">
        <v>30489</v>
      </c>
      <c r="D4285" s="4" t="s">
        <v>30490</v>
      </c>
      <c r="E4285" s="4" t="s">
        <v>30491</v>
      </c>
      <c r="F4285" s="4" t="str">
        <f>IFERROR(__XLUDF.DUMMYFUNCTION("PROPER(REGEXREPLACE(D690,""[^A-Za-z]+ "",""""))"),"Indivisible")</f>
        <v>Indivisible</v>
      </c>
      <c r="G4285" s="4" t="s">
        <v>30492</v>
      </c>
      <c r="H4285" s="4">
        <v>11</v>
      </c>
      <c r="I4285" s="4" t="s">
        <v>4067</v>
      </c>
      <c r="J4285" s="4" t="str">
        <f>IFERROR(__XLUDF.DUMMYFUNCTION("VLOOKUP(H690,IMPORTRANGE(""https://docs.google.com/spreadsheets/d/1opm6ZNvGZ7KditA9TuJwrZ25eFLfTNIkrNnY6mhV5Eg"",""list!A1:C115""),3,TRUE)"),"le secteur du conseil en management")</f>
        <v xml:space="preserve">le secteur du conseil en management</v>
      </c>
      <c r="K4285" s="5" t="s">
        <v>30493</v>
      </c>
      <c r="L4285" s="5" t="s">
        <v>30494</v>
      </c>
      <c r="M4285" s="4" t="s">
        <v>39</v>
      </c>
      <c r="N4285" s="4" t="s">
        <v>29</v>
      </c>
      <c r="O4285" s="4" t="s">
        <v>30495</v>
      </c>
      <c r="P4285" s="4" t="s">
        <v>29</v>
      </c>
      <c r="Q4285" s="6"/>
      <c r="R4285" s="6"/>
      <c r="S4285" s="6"/>
      <c r="T4285" s="6"/>
      <c r="U4285" s="6"/>
      <c r="V4285" s="6"/>
      <c r="W4285" s="6"/>
      <c r="X4285" s="6"/>
      <c r="Y4285" s="6"/>
      <c r="Z4285" s="6"/>
      <c r="AA4285" s="6"/>
    </row>
    <row r="4286" ht="14.25">
      <c r="B4286" s="4" t="s">
        <v>30496</v>
      </c>
      <c r="C4286" s="4" t="s">
        <v>10353</v>
      </c>
      <c r="D4286" s="4" t="s">
        <v>62</v>
      </c>
      <c r="E4286" s="4" t="s">
        <v>30497</v>
      </c>
      <c r="F4286" s="4" t="str">
        <f>IFERROR(__XLUDF.DUMMYFUNCTION("PROPER(REGEXREPLACE(D691,""[^A-Za-z]+ "",""""))"),"Good One")</f>
        <v xml:space="preserve">Good One</v>
      </c>
      <c r="G4286" s="4" t="s">
        <v>30498</v>
      </c>
      <c r="H4286" s="4">
        <v>11</v>
      </c>
      <c r="I4286" s="4" t="s">
        <v>4067</v>
      </c>
      <c r="J4286" s="4" t="str">
        <f>IFERROR(__XLUDF.DUMMYFUNCTION("VLOOKUP(H691,IMPORTRANGE(""https://docs.google.com/spreadsheets/d/1opm6ZNvGZ7KditA9TuJwrZ25eFLfTNIkrNnY6mhV5Eg"",""list!A1:C115""),3,TRUE)"),"le secteur du conseil en management")</f>
        <v xml:space="preserve">le secteur du conseil en management</v>
      </c>
      <c r="K4286" s="5" t="s">
        <v>30499</v>
      </c>
      <c r="L4286" s="5" t="s">
        <v>30500</v>
      </c>
      <c r="M4286" s="6"/>
      <c r="N4286" s="4" t="s">
        <v>29</v>
      </c>
      <c r="O4286" s="4" t="s">
        <v>67</v>
      </c>
      <c r="P4286" s="4" t="s">
        <v>29</v>
      </c>
      <c r="Q4286" s="6"/>
      <c r="R4286" s="6"/>
      <c r="S4286" s="6"/>
      <c r="T4286" s="6"/>
      <c r="U4286" s="6"/>
      <c r="V4286" s="6"/>
      <c r="W4286" s="6"/>
      <c r="X4286" s="6"/>
      <c r="Y4286" s="6"/>
      <c r="Z4286" s="6"/>
      <c r="AA4286" s="6"/>
    </row>
    <row r="4287" ht="14.25">
      <c r="B4287" s="4" t="s">
        <v>1499</v>
      </c>
      <c r="C4287" s="4" t="s">
        <v>1324</v>
      </c>
      <c r="D4287" s="4" t="s">
        <v>4586</v>
      </c>
      <c r="E4287" s="4" t="s">
        <v>30501</v>
      </c>
      <c r="F4287" s="4" t="str">
        <f>IFERROR(__XLUDF.DUMMYFUNCTION("PROPER(REGEXREPLACE(D692,""[^A-Za-z]+ "",""""))"),"Astrakhan")</f>
        <v>Astrakhan</v>
      </c>
      <c r="G4287" s="4" t="s">
        <v>30502</v>
      </c>
      <c r="H4287" s="4">
        <v>130</v>
      </c>
      <c r="I4287" s="4" t="s">
        <v>4067</v>
      </c>
      <c r="J4287" s="4" t="str">
        <f>IFERROR(__XLUDF.DUMMYFUNCTION("VLOOKUP(H692,IMPORTRANGE(""https://docs.google.com/spreadsheets/d/1opm6ZNvGZ7KditA9TuJwrZ25eFLfTNIkrNnY6mhV5Eg"",""list!A1:C115""),3,TRUE)"),"le secteur du conseil en management")</f>
        <v xml:space="preserve">le secteur du conseil en management</v>
      </c>
      <c r="K4287" s="5" t="s">
        <v>30503</v>
      </c>
      <c r="L4287" s="5" t="s">
        <v>30504</v>
      </c>
      <c r="M4287" s="4" t="s">
        <v>30505</v>
      </c>
      <c r="N4287" s="4" t="s">
        <v>29</v>
      </c>
      <c r="O4287" s="4" t="s">
        <v>30506</v>
      </c>
      <c r="P4287" s="4" t="s">
        <v>29</v>
      </c>
      <c r="Q4287" s="4" t="s">
        <v>30507</v>
      </c>
      <c r="R4287" s="6"/>
      <c r="S4287" s="6"/>
      <c r="T4287" s="6"/>
      <c r="U4287" s="6"/>
      <c r="V4287" s="6"/>
      <c r="W4287" s="6"/>
      <c r="X4287" s="6"/>
      <c r="Y4287" s="6"/>
      <c r="Z4287" s="6"/>
      <c r="AA4287" s="6"/>
    </row>
    <row r="4288" ht="14.25">
      <c r="B4288" s="4" t="s">
        <v>5679</v>
      </c>
      <c r="C4288" s="4" t="s">
        <v>30508</v>
      </c>
      <c r="D4288" s="4" t="s">
        <v>172</v>
      </c>
      <c r="E4288" s="4" t="s">
        <v>30149</v>
      </c>
      <c r="F4288" s="4" t="str">
        <f>IFERROR(__XLUDF.DUMMYFUNCTION("PROPER(REGEXREPLACE(D693,""[^A-Za-z]+ "",""""))"),"Imdm Sa")</f>
        <v xml:space="preserve">Imdm Sa</v>
      </c>
      <c r="G4288" s="4" t="s">
        <v>30509</v>
      </c>
      <c r="H4288" s="4">
        <v>17</v>
      </c>
      <c r="I4288" s="4" t="s">
        <v>4067</v>
      </c>
      <c r="J4288" s="4" t="str">
        <f>IFERROR(__XLUDF.DUMMYFUNCTION("VLOOKUP(H693,IMPORTRANGE(""https://docs.google.com/spreadsheets/d/1opm6ZNvGZ7KditA9TuJwrZ25eFLfTNIkrNnY6mhV5Eg"",""list!A1:C115""),3,TRUE)"),"le secteur du conseil en management")</f>
        <v xml:space="preserve">le secteur du conseil en management</v>
      </c>
      <c r="K4288" s="5" t="s">
        <v>30510</v>
      </c>
      <c r="L4288" s="5" t="s">
        <v>30152</v>
      </c>
      <c r="M4288" s="6"/>
      <c r="N4288" s="4" t="s">
        <v>29</v>
      </c>
      <c r="O4288" s="4" t="s">
        <v>30153</v>
      </c>
      <c r="P4288" s="4" t="s">
        <v>1938</v>
      </c>
      <c r="Q4288" s="6"/>
      <c r="R4288" s="6"/>
      <c r="S4288" s="6"/>
      <c r="T4288" s="6"/>
      <c r="U4288" s="6"/>
      <c r="V4288" s="6"/>
      <c r="W4288" s="6"/>
      <c r="X4288" s="6"/>
      <c r="Y4288" s="6"/>
      <c r="Z4288" s="6"/>
      <c r="AA4288" s="6"/>
    </row>
    <row r="4289" ht="14.25">
      <c r="B4289" s="4" t="s">
        <v>6788</v>
      </c>
      <c r="C4289" s="4" t="s">
        <v>30511</v>
      </c>
      <c r="D4289" s="4" t="s">
        <v>30512</v>
      </c>
      <c r="E4289" s="4" t="s">
        <v>30513</v>
      </c>
      <c r="F4289" s="4" t="str">
        <f>IFERROR(__XLUDF.DUMMYFUNCTION("PROPER(REGEXREPLACE(D694,""[^A-Za-z]+ "",""""))"),"R&amp;R Consulting")</f>
        <v xml:space="preserve">R&amp;R Consulting</v>
      </c>
      <c r="G4289" s="4" t="s">
        <v>30514</v>
      </c>
      <c r="H4289" s="4">
        <v>44</v>
      </c>
      <c r="I4289" s="4" t="s">
        <v>4067</v>
      </c>
      <c r="J4289" s="4" t="str">
        <f>IFERROR(__XLUDF.DUMMYFUNCTION("VLOOKUP(H694,IMPORTRANGE(""https://docs.google.com/spreadsheets/d/1opm6ZNvGZ7KditA9TuJwrZ25eFLfTNIkrNnY6mhV5Eg"",""list!A1:C115""),3,TRUE)"),"le secteur du conseil en management")</f>
        <v xml:space="preserve">le secteur du conseil en management</v>
      </c>
      <c r="K4289" s="5" t="s">
        <v>30515</v>
      </c>
      <c r="L4289" s="5" t="s">
        <v>30516</v>
      </c>
      <c r="M4289" s="4" t="s">
        <v>83</v>
      </c>
      <c r="N4289" s="4" t="s">
        <v>29</v>
      </c>
      <c r="O4289" s="4" t="s">
        <v>30517</v>
      </c>
      <c r="P4289" s="4" t="s">
        <v>29</v>
      </c>
      <c r="Q4289" s="4" t="s">
        <v>30518</v>
      </c>
      <c r="R4289" s="6"/>
      <c r="S4289" s="6"/>
      <c r="T4289" s="6"/>
      <c r="U4289" s="6"/>
      <c r="V4289" s="6"/>
      <c r="W4289" s="6"/>
      <c r="X4289" s="6"/>
      <c r="Y4289" s="6"/>
      <c r="Z4289" s="6"/>
      <c r="AA4289" s="6"/>
    </row>
    <row r="4290" ht="14.25">
      <c r="B4290" s="4" t="s">
        <v>874</v>
      </c>
      <c r="C4290" s="4" t="s">
        <v>17848</v>
      </c>
      <c r="D4290" s="4" t="s">
        <v>468</v>
      </c>
      <c r="E4290" s="4" t="s">
        <v>30519</v>
      </c>
      <c r="F4290" s="4" t="str">
        <f>IFERROR(__XLUDF.DUMMYFUNCTION("PROPER(REGEXREPLACE(D695,""[^A-Za-z]+ "",""""))"),"Gse")</f>
        <v>Gse</v>
      </c>
      <c r="G4290" s="4" t="s">
        <v>30520</v>
      </c>
      <c r="H4290" s="4">
        <v>45</v>
      </c>
      <c r="I4290" s="4" t="s">
        <v>4067</v>
      </c>
      <c r="J4290" s="4" t="str">
        <f>IFERROR(__XLUDF.DUMMYFUNCTION("VLOOKUP(H695,IMPORTRANGE(""https://docs.google.com/spreadsheets/d/1opm6ZNvGZ7KditA9TuJwrZ25eFLfTNIkrNnY6mhV5Eg"",""list!A1:C115""),3,TRUE)"),"le secteur du conseil en management")</f>
        <v xml:space="preserve">le secteur du conseil en management</v>
      </c>
      <c r="K4290" s="5" t="s">
        <v>30521</v>
      </c>
      <c r="L4290" s="5" t="s">
        <v>30522</v>
      </c>
      <c r="M4290" s="4" t="s">
        <v>185</v>
      </c>
      <c r="N4290" s="4" t="s">
        <v>29</v>
      </c>
      <c r="O4290" s="4" t="s">
        <v>30523</v>
      </c>
      <c r="P4290" s="4" t="s">
        <v>2666</v>
      </c>
      <c r="Q4290" s="4" t="s">
        <v>30524</v>
      </c>
      <c r="R4290" s="6"/>
      <c r="S4290" s="6"/>
      <c r="T4290" s="6"/>
      <c r="U4290" s="6"/>
      <c r="V4290" s="6"/>
      <c r="W4290" s="6"/>
      <c r="X4290" s="6"/>
      <c r="Y4290" s="6"/>
      <c r="Z4290" s="6"/>
      <c r="AA4290" s="6"/>
    </row>
    <row r="4291" ht="14.25">
      <c r="B4291" s="4" t="s">
        <v>1596</v>
      </c>
      <c r="C4291" s="4" t="s">
        <v>963</v>
      </c>
      <c r="D4291" s="4" t="s">
        <v>30525</v>
      </c>
      <c r="E4291" s="4" t="s">
        <v>30526</v>
      </c>
      <c r="F4291" s="4" t="str">
        <f>IFERROR(__XLUDF.DUMMYFUNCTION("PROPER(REGEXREPLACE(D696,""[^A-Za-z]+ "",""""))"),"Patrickmathieu Singularité")</f>
        <v xml:space="preserve">Patrickmathieu Singularité</v>
      </c>
      <c r="G4291" s="4" t="s">
        <v>30527</v>
      </c>
      <c r="H4291" s="4">
        <v>10</v>
      </c>
      <c r="I4291" s="4" t="s">
        <v>4067</v>
      </c>
      <c r="J4291" s="4" t="str">
        <f>IFERROR(__XLUDF.DUMMYFUNCTION("VLOOKUP(H696,IMPORTRANGE(""https://docs.google.com/spreadsheets/d/1opm6ZNvGZ7KditA9TuJwrZ25eFLfTNIkrNnY6mhV5Eg"",""list!A1:C115""),3,TRUE)"),"le secteur du conseil en management")</f>
        <v xml:space="preserve">le secteur du conseil en management</v>
      </c>
      <c r="K4291" s="5" t="s">
        <v>30528</v>
      </c>
      <c r="L4291" s="5" t="s">
        <v>30529</v>
      </c>
      <c r="M4291" s="4" t="s">
        <v>39</v>
      </c>
      <c r="N4291" s="4" t="s">
        <v>29</v>
      </c>
      <c r="O4291" s="4" t="s">
        <v>67</v>
      </c>
      <c r="P4291" s="4" t="s">
        <v>29</v>
      </c>
      <c r="Q4291" s="4" t="s">
        <v>30530</v>
      </c>
      <c r="R4291" s="6"/>
      <c r="S4291" s="6"/>
      <c r="T4291" s="6"/>
      <c r="U4291" s="6"/>
      <c r="V4291" s="6"/>
      <c r="W4291" s="6"/>
      <c r="X4291" s="6"/>
      <c r="Y4291" s="6"/>
      <c r="Z4291" s="6"/>
      <c r="AA4291" s="6"/>
    </row>
    <row r="4292" ht="14.25">
      <c r="B4292" s="4" t="s">
        <v>986</v>
      </c>
      <c r="C4292" s="4" t="s">
        <v>13711</v>
      </c>
      <c r="D4292" s="4" t="s">
        <v>5031</v>
      </c>
      <c r="E4292" s="4" t="s">
        <v>30531</v>
      </c>
      <c r="F4292" s="4" t="str">
        <f>IFERROR(__XLUDF.DUMMYFUNCTION("PROPER(REGEXREPLACE(D697,""[^A-Za-z]+ "",""""))"),"Teresa Monroe")</f>
        <v xml:space="preserve">Teresa Monroe</v>
      </c>
      <c r="G4292" s="4" t="s">
        <v>30532</v>
      </c>
      <c r="H4292" s="4">
        <v>21</v>
      </c>
      <c r="I4292" s="4" t="s">
        <v>4067</v>
      </c>
      <c r="J4292" s="4" t="str">
        <f>IFERROR(__XLUDF.DUMMYFUNCTION("VLOOKUP(H697,IMPORTRANGE(""https://docs.google.com/spreadsheets/d/1opm6ZNvGZ7KditA9TuJwrZ25eFLfTNIkrNnY6mhV5Eg"",""list!A1:C115""),3,TRUE)"),"le secteur du conseil en management")</f>
        <v xml:space="preserve">le secteur du conseil en management</v>
      </c>
      <c r="K4292" s="5" t="s">
        <v>30533</v>
      </c>
      <c r="L4292" s="5" t="s">
        <v>30534</v>
      </c>
      <c r="M4292" s="4" t="s">
        <v>39</v>
      </c>
      <c r="N4292" s="4" t="s">
        <v>29</v>
      </c>
      <c r="O4292" s="4" t="s">
        <v>4454</v>
      </c>
      <c r="P4292" s="4" t="s">
        <v>29</v>
      </c>
      <c r="Q4292" s="6"/>
      <c r="R4292" s="6"/>
      <c r="S4292" s="6"/>
      <c r="T4292" s="6"/>
      <c r="U4292" s="6"/>
      <c r="V4292" s="6"/>
      <c r="W4292" s="6"/>
      <c r="X4292" s="6"/>
      <c r="Y4292" s="6"/>
      <c r="Z4292" s="6"/>
      <c r="AA4292" s="6"/>
    </row>
    <row r="4293" ht="14.25">
      <c r="B4293" s="4" t="s">
        <v>76</v>
      </c>
      <c r="C4293" s="4" t="s">
        <v>30535</v>
      </c>
      <c r="D4293" s="4" t="s">
        <v>71</v>
      </c>
      <c r="E4293" s="4" t="s">
        <v>30536</v>
      </c>
      <c r="F4293" s="4" t="str">
        <f>IFERROR(__XLUDF.DUMMYFUNCTION("PROPER(REGEXREPLACE(D698,""[^A-Za-z]+ "",""""))"),"Lemon Operations")</f>
        <v xml:space="preserve">Lemon Operations</v>
      </c>
      <c r="G4293" s="4" t="s">
        <v>30537</v>
      </c>
      <c r="H4293" s="4">
        <v>21</v>
      </c>
      <c r="I4293" s="4" t="s">
        <v>4067</v>
      </c>
      <c r="J4293" s="4" t="str">
        <f>IFERROR(__XLUDF.DUMMYFUNCTION("VLOOKUP(H698,IMPORTRANGE(""https://docs.google.com/spreadsheets/d/1opm6ZNvGZ7KditA9TuJwrZ25eFLfTNIkrNnY6mhV5Eg"",""list!A1:C115""),3,TRUE)"),"le secteur du conseil en management")</f>
        <v xml:space="preserve">le secteur du conseil en management</v>
      </c>
      <c r="K4293" s="5" t="s">
        <v>30538</v>
      </c>
      <c r="L4293" s="5" t="s">
        <v>30539</v>
      </c>
      <c r="M4293" s="4" t="s">
        <v>39</v>
      </c>
      <c r="N4293" s="4" t="s">
        <v>29</v>
      </c>
      <c r="O4293" s="4" t="s">
        <v>67</v>
      </c>
      <c r="P4293" s="4" t="s">
        <v>29</v>
      </c>
      <c r="Q4293" s="4" t="s">
        <v>30540</v>
      </c>
      <c r="R4293" s="6"/>
      <c r="S4293" s="6"/>
      <c r="T4293" s="6"/>
      <c r="U4293" s="6"/>
      <c r="V4293" s="6"/>
      <c r="W4293" s="6"/>
      <c r="X4293" s="6"/>
      <c r="Y4293" s="6"/>
      <c r="Z4293" s="6"/>
      <c r="AA4293" s="6"/>
    </row>
    <row r="4294" ht="14.25">
      <c r="B4294" s="4" t="s">
        <v>1153</v>
      </c>
      <c r="C4294" s="4" t="s">
        <v>30541</v>
      </c>
      <c r="D4294" s="4" t="s">
        <v>18774</v>
      </c>
      <c r="E4294" s="4" t="s">
        <v>30542</v>
      </c>
      <c r="F4294" s="4" t="str">
        <f>IFERROR(__XLUDF.DUMMYFUNCTION("PROPER(REGEXREPLACE(D699,""[^A-Za-z]+ "",""""))"),"La Collective")</f>
        <v xml:space="preserve">La Collective</v>
      </c>
      <c r="G4294" s="4" t="s">
        <v>30543</v>
      </c>
      <c r="H4294" s="4">
        <v>15</v>
      </c>
      <c r="I4294" s="4" t="s">
        <v>4067</v>
      </c>
      <c r="J4294" s="4" t="str">
        <f>IFERROR(__XLUDF.DUMMYFUNCTION("VLOOKUP(H699,IMPORTRANGE(""https://docs.google.com/spreadsheets/d/1opm6ZNvGZ7KditA9TuJwrZ25eFLfTNIkrNnY6mhV5Eg"",""list!A1:C115""),3,TRUE)"),"le secteur du conseil en management")</f>
        <v xml:space="preserve">le secteur du conseil en management</v>
      </c>
      <c r="K4294" s="5" t="s">
        <v>30544</v>
      </c>
      <c r="L4294" s="5" t="s">
        <v>30545</v>
      </c>
      <c r="M4294" s="4" t="s">
        <v>39</v>
      </c>
      <c r="N4294" s="4" t="s">
        <v>29</v>
      </c>
      <c r="O4294" s="4" t="s">
        <v>30546</v>
      </c>
      <c r="P4294" s="4" t="s">
        <v>29</v>
      </c>
      <c r="Q4294" s="6"/>
      <c r="R4294" s="6"/>
      <c r="S4294" s="6"/>
      <c r="T4294" s="6"/>
      <c r="U4294" s="6"/>
      <c r="V4294" s="6"/>
      <c r="W4294" s="6"/>
      <c r="X4294" s="6"/>
      <c r="Y4294" s="6"/>
      <c r="Z4294" s="6"/>
      <c r="AA4294" s="6"/>
    </row>
    <row r="4295" ht="14.25">
      <c r="B4295" s="4" t="s">
        <v>840</v>
      </c>
      <c r="C4295" s="4" t="s">
        <v>30547</v>
      </c>
      <c r="D4295" s="4" t="s">
        <v>112</v>
      </c>
      <c r="E4295" s="4" t="s">
        <v>30548</v>
      </c>
      <c r="F4295" s="4" t="str">
        <f>IFERROR(__XLUDF.DUMMYFUNCTION("PROPER(REGEXREPLACE(D700,""[^A-Za-z]+ "",""""))"),"Escale Création Coopérative D'Activitet D'Emploi")</f>
        <v xml:space="preserve">Escale Création Coopérative D'Activitet D'Emploi</v>
      </c>
      <c r="G4295" s="4" t="s">
        <v>30549</v>
      </c>
      <c r="H4295" s="4">
        <v>44</v>
      </c>
      <c r="I4295" s="4" t="s">
        <v>4067</v>
      </c>
      <c r="J4295" s="4" t="str">
        <f>IFERROR(__XLUDF.DUMMYFUNCTION("VLOOKUP(H700,IMPORTRANGE(""https://docs.google.com/spreadsheets/d/1opm6ZNvGZ7KditA9TuJwrZ25eFLfTNIkrNnY6mhV5Eg"",""list!A1:C115""),3,TRUE)"),"le secteur du conseil en management")</f>
        <v xml:space="preserve">le secteur du conseil en management</v>
      </c>
      <c r="K4295" s="5" t="s">
        <v>30550</v>
      </c>
      <c r="L4295" s="5" t="s">
        <v>30551</v>
      </c>
      <c r="M4295" s="4" t="s">
        <v>185</v>
      </c>
      <c r="N4295" s="4" t="s">
        <v>29</v>
      </c>
      <c r="O4295" s="4" t="s">
        <v>30552</v>
      </c>
      <c r="P4295" s="4" t="s">
        <v>29</v>
      </c>
      <c r="Q4295" s="4" t="s">
        <v>30553</v>
      </c>
      <c r="R4295" s="6"/>
      <c r="S4295" s="6"/>
      <c r="T4295" s="6"/>
      <c r="U4295" s="6"/>
      <c r="V4295" s="6"/>
      <c r="W4295" s="6"/>
      <c r="X4295" s="6"/>
      <c r="Y4295" s="6"/>
      <c r="Z4295" s="6"/>
      <c r="AA4295" s="6"/>
    </row>
    <row r="4296" ht="14.25">
      <c r="B4296" s="4" t="s">
        <v>4800</v>
      </c>
      <c r="C4296" s="4" t="s">
        <v>30554</v>
      </c>
      <c r="D4296" s="4" t="s">
        <v>5003</v>
      </c>
      <c r="E4296" s="4" t="s">
        <v>30555</v>
      </c>
      <c r="F4296" s="4" t="str">
        <f>IFERROR(__XLUDF.DUMMYFUNCTION("PROPER(REGEXREPLACE(D701,""[^A-Za-z]+ "",""""))"),"Egidio")</f>
        <v>Egidio</v>
      </c>
      <c r="G4296" s="4" t="s">
        <v>30556</v>
      </c>
      <c r="H4296" s="4">
        <v>12</v>
      </c>
      <c r="I4296" s="4" t="s">
        <v>4067</v>
      </c>
      <c r="J4296" s="4" t="str">
        <f>IFERROR(__XLUDF.DUMMYFUNCTION("VLOOKUP(H701,IMPORTRANGE(""https://docs.google.com/spreadsheets/d/1opm6ZNvGZ7KditA9TuJwrZ25eFLfTNIkrNnY6mhV5Eg"",""list!A1:C115""),3,TRUE)"),"le secteur du conseil en management")</f>
        <v xml:space="preserve">le secteur du conseil en management</v>
      </c>
      <c r="K4296" s="5" t="s">
        <v>30557</v>
      </c>
      <c r="L4296" s="5" t="s">
        <v>30558</v>
      </c>
      <c r="M4296" s="4" t="s">
        <v>1015</v>
      </c>
      <c r="N4296" s="4" t="s">
        <v>29</v>
      </c>
      <c r="O4296" s="4" t="s">
        <v>30559</v>
      </c>
      <c r="P4296" s="4" t="s">
        <v>29</v>
      </c>
      <c r="Q4296" s="6"/>
      <c r="R4296" s="6"/>
      <c r="S4296" s="6"/>
      <c r="T4296" s="6"/>
      <c r="U4296" s="6"/>
      <c r="V4296" s="6"/>
      <c r="W4296" s="6"/>
      <c r="X4296" s="6"/>
      <c r="Y4296" s="6"/>
      <c r="Z4296" s="6"/>
      <c r="AA4296" s="6"/>
    </row>
    <row r="4297" ht="14.25">
      <c r="B4297" s="4" t="s">
        <v>1198</v>
      </c>
      <c r="C4297" s="4" t="s">
        <v>23505</v>
      </c>
      <c r="D4297" s="4" t="s">
        <v>172</v>
      </c>
      <c r="E4297" s="4" t="s">
        <v>30560</v>
      </c>
      <c r="F4297" s="4" t="str">
        <f>IFERROR(__XLUDF.DUMMYFUNCTION("PROPER(REGEXREPLACE(D702,""[^A-Za-z]+ "",""""))"),"Groupeactive")</f>
        <v>Groupeactive</v>
      </c>
      <c r="G4297" s="4" t="s">
        <v>30561</v>
      </c>
      <c r="H4297" s="4">
        <v>47</v>
      </c>
      <c r="I4297" s="4" t="s">
        <v>4067</v>
      </c>
      <c r="J4297" s="4" t="str">
        <f>IFERROR(__XLUDF.DUMMYFUNCTION("VLOOKUP(H702,IMPORTRANGE(""https://docs.google.com/spreadsheets/d/1opm6ZNvGZ7KditA9TuJwrZ25eFLfTNIkrNnY6mhV5Eg"",""list!A1:C115""),3,TRUE)"),"le secteur du conseil en management")</f>
        <v xml:space="preserve">le secteur du conseil en management</v>
      </c>
      <c r="K4297" s="5" t="s">
        <v>30562</v>
      </c>
      <c r="L4297" s="5" t="s">
        <v>21079</v>
      </c>
      <c r="M4297" s="4" t="s">
        <v>651</v>
      </c>
      <c r="N4297" s="4" t="s">
        <v>29</v>
      </c>
      <c r="O4297" s="4" t="s">
        <v>21080</v>
      </c>
      <c r="P4297" s="4" t="s">
        <v>29</v>
      </c>
      <c r="Q4297" s="4" t="s">
        <v>11025</v>
      </c>
      <c r="R4297" s="6"/>
      <c r="S4297" s="6"/>
      <c r="T4297" s="6"/>
      <c r="U4297" s="6"/>
      <c r="V4297" s="6"/>
      <c r="W4297" s="6"/>
      <c r="X4297" s="6"/>
      <c r="Y4297" s="6"/>
      <c r="Z4297" s="6"/>
      <c r="AA4297" s="6"/>
    </row>
    <row r="4298" ht="14.25">
      <c r="B4298" s="4" t="s">
        <v>768</v>
      </c>
      <c r="C4298" s="4" t="s">
        <v>30563</v>
      </c>
      <c r="D4298" s="4" t="s">
        <v>30564</v>
      </c>
      <c r="E4298" s="4" t="s">
        <v>30565</v>
      </c>
      <c r="F4298" s="4" t="str">
        <f>IFERROR(__XLUDF.DUMMYFUNCTION("PROPER(REGEXREPLACE(D703,""[^A-Za-z]+ "",""""))"),"Mascaret")</f>
        <v>Mascaret</v>
      </c>
      <c r="G4298" s="4" t="s">
        <v>30566</v>
      </c>
      <c r="H4298" s="4">
        <v>12</v>
      </c>
      <c r="I4298" s="4" t="s">
        <v>4067</v>
      </c>
      <c r="J4298" s="4" t="str">
        <f>IFERROR(__XLUDF.DUMMYFUNCTION("VLOOKUP(H703,IMPORTRANGE(""https://docs.google.com/spreadsheets/d/1opm6ZNvGZ7KditA9TuJwrZ25eFLfTNIkrNnY6mhV5Eg"",""list!A1:C115""),3,TRUE)"),"le secteur du conseil en management")</f>
        <v xml:space="preserve">le secteur du conseil en management</v>
      </c>
      <c r="K4298" s="5" t="s">
        <v>30567</v>
      </c>
      <c r="L4298" s="5" t="s">
        <v>30568</v>
      </c>
      <c r="M4298" s="4" t="s">
        <v>39</v>
      </c>
      <c r="N4298" s="4" t="s">
        <v>29</v>
      </c>
      <c r="O4298" s="4" t="s">
        <v>30569</v>
      </c>
      <c r="P4298" s="4" t="s">
        <v>29</v>
      </c>
      <c r="Q4298" s="4" t="s">
        <v>30570</v>
      </c>
      <c r="R4298" s="6"/>
      <c r="S4298" s="6"/>
      <c r="T4298" s="6"/>
      <c r="U4298" s="6"/>
      <c r="V4298" s="6"/>
      <c r="W4298" s="6"/>
      <c r="X4298" s="6"/>
      <c r="Y4298" s="6"/>
      <c r="Z4298" s="6"/>
      <c r="AA4298" s="6"/>
    </row>
    <row r="4299" ht="14.25">
      <c r="B4299" s="4" t="s">
        <v>6844</v>
      </c>
      <c r="C4299" s="4" t="s">
        <v>30571</v>
      </c>
      <c r="D4299" s="4" t="s">
        <v>30572</v>
      </c>
      <c r="E4299" s="4" t="s">
        <v>30573</v>
      </c>
      <c r="F4299" s="4" t="str">
        <f>IFERROR(__XLUDF.DUMMYFUNCTION("PROPER(REGEXREPLACE(D704,""[^A-Za-z]+ "",""""))"),"Le Centre National Du Coaching Lecndc®")</f>
        <v xml:space="preserve">Le Centre National Du Coaching Lecndc®</v>
      </c>
      <c r="G4299" s="4" t="s">
        <v>30574</v>
      </c>
      <c r="H4299" s="4">
        <v>10</v>
      </c>
      <c r="I4299" s="4" t="s">
        <v>4067</v>
      </c>
      <c r="J4299" s="4" t="str">
        <f>IFERROR(__XLUDF.DUMMYFUNCTION("VLOOKUP(H704,IMPORTRANGE(""https://docs.google.com/spreadsheets/d/1opm6ZNvGZ7KditA9TuJwrZ25eFLfTNIkrNnY6mhV5Eg"",""list!A1:C115""),3,TRUE)"),"le secteur du conseil en management")</f>
        <v xml:space="preserve">le secteur du conseil en management</v>
      </c>
      <c r="K4299" s="5" t="s">
        <v>30575</v>
      </c>
      <c r="L4299" s="5" t="s">
        <v>30576</v>
      </c>
      <c r="M4299" s="6"/>
      <c r="N4299" s="4" t="s">
        <v>29</v>
      </c>
      <c r="O4299" s="4" t="s">
        <v>19936</v>
      </c>
      <c r="P4299" s="4" t="s">
        <v>29</v>
      </c>
      <c r="Q4299" s="4" t="s">
        <v>30577</v>
      </c>
      <c r="R4299" s="6"/>
      <c r="S4299" s="6"/>
      <c r="T4299" s="6"/>
      <c r="U4299" s="6"/>
      <c r="V4299" s="6"/>
      <c r="W4299" s="6"/>
      <c r="X4299" s="6"/>
      <c r="Y4299" s="6"/>
      <c r="Z4299" s="6"/>
      <c r="AA4299" s="6"/>
    </row>
    <row r="4300" ht="14.25">
      <c r="B4300" s="4" t="s">
        <v>1583</v>
      </c>
      <c r="C4300" s="4" t="s">
        <v>30578</v>
      </c>
      <c r="D4300" s="4" t="s">
        <v>30579</v>
      </c>
      <c r="E4300" s="4" t="s">
        <v>30580</v>
      </c>
      <c r="F4300" s="4" t="str">
        <f>IFERROR(__XLUDF.DUMMYFUNCTION("PROPER(REGEXREPLACE(D705,""[^A-Za-z]+ "",""""))"),"Mcr Groupe")</f>
        <v xml:space="preserve">Mcr Groupe</v>
      </c>
      <c r="G4300" s="4" t="s">
        <v>30581</v>
      </c>
      <c r="H4300" s="4">
        <v>35</v>
      </c>
      <c r="I4300" s="4" t="s">
        <v>4067</v>
      </c>
      <c r="J4300" s="4" t="str">
        <f>IFERROR(__XLUDF.DUMMYFUNCTION("VLOOKUP(H705,IMPORTRANGE(""https://docs.google.com/spreadsheets/d/1opm6ZNvGZ7KditA9TuJwrZ25eFLfTNIkrNnY6mhV5Eg"",""list!A1:C115""),3,TRUE)"),"le secteur du conseil en management")</f>
        <v xml:space="preserve">le secteur du conseil en management</v>
      </c>
      <c r="K4300" s="5" t="s">
        <v>30582</v>
      </c>
      <c r="L4300" s="5" t="s">
        <v>30583</v>
      </c>
      <c r="M4300" s="6"/>
      <c r="N4300" s="4" t="s">
        <v>29</v>
      </c>
      <c r="O4300" s="4" t="s">
        <v>30584</v>
      </c>
      <c r="P4300" s="4" t="s">
        <v>29</v>
      </c>
      <c r="Q4300" s="6"/>
      <c r="R4300" s="6"/>
      <c r="S4300" s="6"/>
      <c r="T4300" s="6"/>
      <c r="U4300" s="6"/>
      <c r="V4300" s="6"/>
      <c r="W4300" s="6"/>
      <c r="X4300" s="6"/>
      <c r="Y4300" s="6"/>
      <c r="Z4300" s="6"/>
      <c r="AA4300" s="6"/>
    </row>
    <row r="4301" ht="14.25">
      <c r="B4301" s="4" t="s">
        <v>6992</v>
      </c>
      <c r="C4301" s="4" t="s">
        <v>9827</v>
      </c>
      <c r="D4301" s="4" t="s">
        <v>18553</v>
      </c>
      <c r="E4301" s="4" t="s">
        <v>30585</v>
      </c>
      <c r="F4301" s="4" t="str">
        <f>IFERROR(__XLUDF.DUMMYFUNCTION("PROPER(REGEXREPLACE(D706,""[^A-Za-z]+ "",""""))"),"Doors3")</f>
        <v>Doors3</v>
      </c>
      <c r="G4301" s="4" t="s">
        <v>30586</v>
      </c>
      <c r="H4301" s="4">
        <v>14</v>
      </c>
      <c r="I4301" s="4" t="s">
        <v>4067</v>
      </c>
      <c r="J4301" s="4" t="str">
        <f>IFERROR(__XLUDF.DUMMYFUNCTION("VLOOKUP(H706,IMPORTRANGE(""https://docs.google.com/spreadsheets/d/1opm6ZNvGZ7KditA9TuJwrZ25eFLfTNIkrNnY6mhV5Eg"",""list!A1:C115""),3,TRUE)"),"le secteur du conseil en management")</f>
        <v xml:space="preserve">le secteur du conseil en management</v>
      </c>
      <c r="K4301" s="5" t="s">
        <v>30587</v>
      </c>
      <c r="L4301" s="5" t="s">
        <v>30588</v>
      </c>
      <c r="M4301" s="4" t="s">
        <v>295</v>
      </c>
      <c r="N4301" s="4" t="s">
        <v>29</v>
      </c>
      <c r="O4301" s="4" t="s">
        <v>3642</v>
      </c>
      <c r="P4301" s="4" t="s">
        <v>29</v>
      </c>
      <c r="Q4301" s="6"/>
      <c r="R4301" s="6"/>
      <c r="S4301" s="6"/>
      <c r="T4301" s="6"/>
      <c r="U4301" s="6"/>
      <c r="V4301" s="6"/>
      <c r="W4301" s="6"/>
      <c r="X4301" s="6"/>
      <c r="Y4301" s="6"/>
      <c r="Z4301" s="6"/>
      <c r="AA4301" s="6"/>
    </row>
    <row r="4302" ht="14.25">
      <c r="B4302" s="4" t="s">
        <v>76</v>
      </c>
      <c r="C4302" s="4" t="s">
        <v>30589</v>
      </c>
      <c r="D4302" s="4" t="s">
        <v>4660</v>
      </c>
      <c r="E4302" s="4" t="s">
        <v>23934</v>
      </c>
      <c r="F4302" s="4" t="str">
        <f>IFERROR(__XLUDF.DUMMYFUNCTION("PROPER(REGEXREPLACE(D707,""[^A-Za-z]+ "",""""))"),"Axeleo")</f>
        <v>Axeleo</v>
      </c>
      <c r="G4302" s="4" t="s">
        <v>30590</v>
      </c>
      <c r="H4302" s="4">
        <v>24</v>
      </c>
      <c r="I4302" s="4" t="s">
        <v>4067</v>
      </c>
      <c r="J4302" s="4" t="str">
        <f>IFERROR(__XLUDF.DUMMYFUNCTION("VLOOKUP(H707,IMPORTRANGE(""https://docs.google.com/spreadsheets/d/1opm6ZNvGZ7KditA9TuJwrZ25eFLfTNIkrNnY6mhV5Eg"",""list!A1:C115""),3,TRUE)"),"le secteur du conseil en management")</f>
        <v xml:space="preserve">le secteur du conseil en management</v>
      </c>
      <c r="K4302" s="5" t="s">
        <v>30591</v>
      </c>
      <c r="L4302" s="5" t="s">
        <v>23937</v>
      </c>
      <c r="M4302" s="4" t="s">
        <v>185</v>
      </c>
      <c r="N4302" s="4" t="s">
        <v>29</v>
      </c>
      <c r="O4302" s="4" t="s">
        <v>23938</v>
      </c>
      <c r="P4302" s="4" t="s">
        <v>29</v>
      </c>
      <c r="Q4302" s="6"/>
      <c r="R4302" s="6"/>
      <c r="S4302" s="6"/>
      <c r="T4302" s="6"/>
      <c r="U4302" s="6"/>
      <c r="V4302" s="6"/>
      <c r="W4302" s="6"/>
      <c r="X4302" s="6"/>
      <c r="Y4302" s="6"/>
      <c r="Z4302" s="6"/>
      <c r="AA4302" s="6"/>
    </row>
    <row r="4303" ht="14.25">
      <c r="B4303" s="4" t="s">
        <v>556</v>
      </c>
      <c r="C4303" s="4" t="s">
        <v>30592</v>
      </c>
      <c r="D4303" s="4" t="s">
        <v>172</v>
      </c>
      <c r="E4303" s="4" t="s">
        <v>30593</v>
      </c>
      <c r="F4303" s="4" t="str">
        <f>IFERROR(__XLUDF.DUMMYFUNCTION("PROPER(REGEXREPLACE(D708,""[^A-Za-z]+ "",""""))"),"Set By Setec")</f>
        <v xml:space="preserve">Set By Setec</v>
      </c>
      <c r="G4303" s="4" t="s">
        <v>30594</v>
      </c>
      <c r="H4303" s="4">
        <v>10</v>
      </c>
      <c r="I4303" s="4" t="s">
        <v>4067</v>
      </c>
      <c r="J4303" s="4" t="str">
        <f>IFERROR(__XLUDF.DUMMYFUNCTION("VLOOKUP(H708,IMPORTRANGE(""https://docs.google.com/spreadsheets/d/1opm6ZNvGZ7KditA9TuJwrZ25eFLfTNIkrNnY6mhV5Eg"",""list!A1:C115""),3,TRUE)"),"le secteur du conseil en management")</f>
        <v xml:space="preserve">le secteur du conseil en management</v>
      </c>
      <c r="K4303" s="5" t="s">
        <v>30595</v>
      </c>
      <c r="L4303" s="5" t="s">
        <v>30596</v>
      </c>
      <c r="M4303" s="4" t="s">
        <v>185</v>
      </c>
      <c r="N4303" s="4" t="s">
        <v>29</v>
      </c>
      <c r="O4303" s="4" t="s">
        <v>1283</v>
      </c>
      <c r="P4303" s="4" t="s">
        <v>29</v>
      </c>
      <c r="Q4303" s="4" t="s">
        <v>30597</v>
      </c>
      <c r="R4303" s="6"/>
      <c r="S4303" s="6"/>
      <c r="T4303" s="6"/>
      <c r="U4303" s="6"/>
      <c r="V4303" s="6"/>
      <c r="W4303" s="6"/>
      <c r="X4303" s="6"/>
      <c r="Y4303" s="6"/>
      <c r="Z4303" s="6"/>
      <c r="AA4303" s="6"/>
    </row>
    <row r="4304" ht="14.25">
      <c r="B4304" s="4" t="s">
        <v>2508</v>
      </c>
      <c r="C4304" s="4" t="s">
        <v>30598</v>
      </c>
      <c r="D4304" s="4" t="s">
        <v>3704</v>
      </c>
      <c r="E4304" s="4" t="s">
        <v>30599</v>
      </c>
      <c r="F4304" s="4" t="str">
        <f>IFERROR(__XLUDF.DUMMYFUNCTION("PROPER(REGEXREPLACE(D709,""[^A-Za-z]+ "",""""))"),"Cohesion International Spécialiste De L'Efficience Durable")</f>
        <v xml:space="preserve">Cohesion International Spécialiste De L'Efficience Durable</v>
      </c>
      <c r="G4304" s="4" t="s">
        <v>30600</v>
      </c>
      <c r="H4304" s="4">
        <v>30</v>
      </c>
      <c r="I4304" s="4" t="s">
        <v>4067</v>
      </c>
      <c r="J4304" s="4" t="str">
        <f>IFERROR(__XLUDF.DUMMYFUNCTION("VLOOKUP(H709,IMPORTRANGE(""https://docs.google.com/spreadsheets/d/1opm6ZNvGZ7KditA9TuJwrZ25eFLfTNIkrNnY6mhV5Eg"",""list!A1:C115""),3,TRUE)"),"le secteur du conseil en management")</f>
        <v xml:space="preserve">le secteur du conseil en management</v>
      </c>
      <c r="K4304" s="5" t="s">
        <v>30601</v>
      </c>
      <c r="L4304" s="5" t="s">
        <v>30602</v>
      </c>
      <c r="M4304" s="4" t="s">
        <v>39</v>
      </c>
      <c r="N4304" s="4" t="s">
        <v>29</v>
      </c>
      <c r="O4304" s="4" t="s">
        <v>30603</v>
      </c>
      <c r="P4304" s="4" t="s">
        <v>29</v>
      </c>
      <c r="Q4304" s="6"/>
      <c r="R4304" s="6"/>
      <c r="S4304" s="6"/>
      <c r="T4304" s="6"/>
      <c r="U4304" s="6"/>
      <c r="V4304" s="6"/>
      <c r="W4304" s="6"/>
      <c r="X4304" s="6"/>
      <c r="Y4304" s="6"/>
      <c r="Z4304" s="6"/>
      <c r="AA4304" s="6"/>
    </row>
    <row r="4305" ht="14.25">
      <c r="B4305" s="4" t="s">
        <v>1442</v>
      </c>
      <c r="C4305" s="4" t="s">
        <v>8970</v>
      </c>
      <c r="D4305" s="4" t="s">
        <v>120</v>
      </c>
      <c r="E4305" s="4" t="s">
        <v>22881</v>
      </c>
      <c r="F4305" s="4" t="str">
        <f>IFERROR(__XLUDF.DUMMYFUNCTION("PROPER(REGEXREPLACE(D710,""[^A-Za-z]+ "",""""))"),"Liko Energy")</f>
        <v xml:space="preserve">Liko Energy</v>
      </c>
      <c r="G4305" s="4" t="s">
        <v>30604</v>
      </c>
      <c r="H4305" s="4">
        <v>32</v>
      </c>
      <c r="I4305" s="4" t="s">
        <v>4067</v>
      </c>
      <c r="J4305" s="4" t="str">
        <f>IFERROR(__XLUDF.DUMMYFUNCTION("VLOOKUP(H710,IMPORTRANGE(""https://docs.google.com/spreadsheets/d/1opm6ZNvGZ7KditA9TuJwrZ25eFLfTNIkrNnY6mhV5Eg"",""list!A1:C115""),3,TRUE)"),"le secteur du conseil en management")</f>
        <v xml:space="preserve">le secteur du conseil en management</v>
      </c>
      <c r="K4305" s="5" t="s">
        <v>30605</v>
      </c>
      <c r="L4305" s="5" t="s">
        <v>22884</v>
      </c>
      <c r="M4305" s="4" t="s">
        <v>39</v>
      </c>
      <c r="N4305" s="4" t="s">
        <v>29</v>
      </c>
      <c r="O4305" s="4" t="s">
        <v>22885</v>
      </c>
      <c r="P4305" s="4" t="s">
        <v>29</v>
      </c>
      <c r="Q4305" s="4" t="s">
        <v>22886</v>
      </c>
      <c r="R4305" s="6"/>
      <c r="S4305" s="6"/>
      <c r="T4305" s="6"/>
      <c r="U4305" s="6"/>
      <c r="V4305" s="6"/>
      <c r="W4305" s="6"/>
      <c r="X4305" s="6"/>
      <c r="Y4305" s="6"/>
      <c r="Z4305" s="6"/>
      <c r="AA4305" s="6"/>
    </row>
    <row r="4306" ht="14.25">
      <c r="B4306" s="4" t="s">
        <v>110</v>
      </c>
      <c r="C4306" s="4" t="s">
        <v>5070</v>
      </c>
      <c r="D4306" s="4" t="s">
        <v>315</v>
      </c>
      <c r="E4306" s="4" t="s">
        <v>30606</v>
      </c>
      <c r="F4306" s="4" t="str">
        <f>IFERROR(__XLUDF.DUMMYFUNCTION("PROPER(REGEXREPLACE(D711,""[^A-Za-z]+ "",""""))"),"Optimal Ways")</f>
        <v xml:space="preserve">Optimal Ways</v>
      </c>
      <c r="G4306" s="4" t="s">
        <v>30607</v>
      </c>
      <c r="H4306" s="4">
        <v>11</v>
      </c>
      <c r="I4306" s="4" t="s">
        <v>4067</v>
      </c>
      <c r="J4306" s="4" t="str">
        <f>IFERROR(__XLUDF.DUMMYFUNCTION("VLOOKUP(H711,IMPORTRANGE(""https://docs.google.com/spreadsheets/d/1opm6ZNvGZ7KditA9TuJwrZ25eFLfTNIkrNnY6mhV5Eg"",""list!A1:C115""),3,TRUE)"),"le secteur du conseil en management")</f>
        <v xml:space="preserve">le secteur du conseil en management</v>
      </c>
      <c r="K4306" s="5" t="s">
        <v>30608</v>
      </c>
      <c r="L4306" s="5" t="s">
        <v>30609</v>
      </c>
      <c r="M4306" s="4" t="s">
        <v>846</v>
      </c>
      <c r="N4306" s="4" t="s">
        <v>29</v>
      </c>
      <c r="O4306" s="4" t="s">
        <v>30610</v>
      </c>
      <c r="P4306" s="4" t="s">
        <v>29</v>
      </c>
      <c r="Q4306" s="4" t="s">
        <v>30611</v>
      </c>
      <c r="R4306" s="6"/>
      <c r="S4306" s="6"/>
      <c r="T4306" s="6"/>
      <c r="U4306" s="6"/>
      <c r="V4306" s="6"/>
      <c r="W4306" s="6"/>
      <c r="X4306" s="6"/>
      <c r="Y4306" s="6"/>
      <c r="Z4306" s="6"/>
      <c r="AA4306" s="6"/>
    </row>
    <row r="4307" ht="14.25">
      <c r="B4307" s="4" t="s">
        <v>1027</v>
      </c>
      <c r="C4307" s="4" t="s">
        <v>30612</v>
      </c>
      <c r="D4307" s="4" t="s">
        <v>30613</v>
      </c>
      <c r="E4307" s="4" t="s">
        <v>18360</v>
      </c>
      <c r="F4307" s="4" t="str">
        <f>IFERROR(__XLUDF.DUMMYFUNCTION("PROPER(REGEXREPLACE(D712,""[^A-Za-z]+ "",""""))"),"Blackfox")</f>
        <v>Blackfox</v>
      </c>
      <c r="G4307" s="4" t="s">
        <v>30614</v>
      </c>
      <c r="H4307" s="4">
        <v>11</v>
      </c>
      <c r="I4307" s="4" t="s">
        <v>4067</v>
      </c>
      <c r="J4307" s="4" t="str">
        <f>IFERROR(__XLUDF.DUMMYFUNCTION("VLOOKUP(H712,IMPORTRANGE(""https://docs.google.com/spreadsheets/d/1opm6ZNvGZ7KditA9TuJwrZ25eFLfTNIkrNnY6mhV5Eg"",""list!A1:C115""),3,TRUE)"),"le secteur du conseil en management")</f>
        <v xml:space="preserve">le secteur du conseil en management</v>
      </c>
      <c r="K4307" s="5" t="s">
        <v>30615</v>
      </c>
      <c r="L4307" s="5" t="s">
        <v>18363</v>
      </c>
      <c r="M4307" s="6"/>
      <c r="N4307" s="4" t="s">
        <v>29</v>
      </c>
      <c r="O4307" s="4" t="s">
        <v>18364</v>
      </c>
      <c r="P4307" s="4" t="s">
        <v>29</v>
      </c>
      <c r="Q4307" s="4" t="s">
        <v>18365</v>
      </c>
      <c r="R4307" s="6"/>
      <c r="S4307" s="6"/>
      <c r="T4307" s="6"/>
      <c r="U4307" s="6"/>
      <c r="V4307" s="6"/>
      <c r="W4307" s="6"/>
      <c r="X4307" s="6"/>
      <c r="Y4307" s="6"/>
      <c r="Z4307" s="6"/>
      <c r="AA4307" s="6"/>
    </row>
    <row r="4308" ht="14.25">
      <c r="B4308" s="4" t="s">
        <v>17911</v>
      </c>
      <c r="C4308" s="4" t="s">
        <v>10743</v>
      </c>
      <c r="D4308" s="4" t="s">
        <v>30616</v>
      </c>
      <c r="E4308" s="4" t="s">
        <v>30617</v>
      </c>
      <c r="F4308" s="4" t="str">
        <f>IFERROR(__XLUDF.DUMMYFUNCTION("PROPER(REGEXREPLACE(D713,""[^A-Za-z]+ "",""""))"),"Appte")</f>
        <v>Appte</v>
      </c>
      <c r="G4308" s="4" t="s">
        <v>30618</v>
      </c>
      <c r="H4308" s="4">
        <v>12</v>
      </c>
      <c r="I4308" s="4" t="s">
        <v>4067</v>
      </c>
      <c r="J4308" s="4" t="str">
        <f>IFERROR(__XLUDF.DUMMYFUNCTION("VLOOKUP(H713,IMPORTRANGE(""https://docs.google.com/spreadsheets/d/1opm6ZNvGZ7KditA9TuJwrZ25eFLfTNIkrNnY6mhV5Eg"",""list!A1:C115""),3,TRUE)"),"le secteur du conseil en management")</f>
        <v xml:space="preserve">le secteur du conseil en management</v>
      </c>
      <c r="K4308" s="5" t="s">
        <v>30619</v>
      </c>
      <c r="L4308" s="5" t="s">
        <v>30620</v>
      </c>
      <c r="M4308" s="4" t="s">
        <v>17647</v>
      </c>
      <c r="N4308" s="4" t="s">
        <v>29</v>
      </c>
      <c r="O4308" s="4" t="s">
        <v>30621</v>
      </c>
      <c r="P4308" s="4" t="s">
        <v>29</v>
      </c>
      <c r="Q4308" s="4" t="s">
        <v>30622</v>
      </c>
      <c r="R4308" s="6"/>
      <c r="S4308" s="6"/>
      <c r="T4308" s="6"/>
      <c r="U4308" s="6"/>
      <c r="V4308" s="6"/>
      <c r="W4308" s="6"/>
      <c r="X4308" s="6"/>
      <c r="Y4308" s="6"/>
      <c r="Z4308" s="6"/>
      <c r="AA4308" s="6"/>
    </row>
    <row r="4309" ht="14.25">
      <c r="B4309" s="4" t="s">
        <v>118</v>
      </c>
      <c r="C4309" s="4" t="s">
        <v>30623</v>
      </c>
      <c r="D4309" s="4" t="s">
        <v>30624</v>
      </c>
      <c r="E4309" s="4" t="s">
        <v>30625</v>
      </c>
      <c r="F4309" s="4" t="str">
        <f>IFERROR(__XLUDF.DUMMYFUNCTION("PROPER(REGEXREPLACE(D714,""[^A-Za-z]+ "",""""))"),"Sirenergies")</f>
        <v>Sirenergies</v>
      </c>
      <c r="G4309" s="4" t="s">
        <v>30626</v>
      </c>
      <c r="H4309" s="4">
        <v>20</v>
      </c>
      <c r="I4309" s="4" t="s">
        <v>4067</v>
      </c>
      <c r="J4309" s="4" t="str">
        <f>IFERROR(__XLUDF.DUMMYFUNCTION("VLOOKUP(H714,IMPORTRANGE(""https://docs.google.com/spreadsheets/d/1opm6ZNvGZ7KditA9TuJwrZ25eFLfTNIkrNnY6mhV5Eg"",""list!A1:C115""),3,TRUE)"),"le secteur du conseil en management")</f>
        <v xml:space="preserve">le secteur du conseil en management</v>
      </c>
      <c r="K4309" s="5" t="s">
        <v>30627</v>
      </c>
      <c r="L4309" s="5" t="s">
        <v>30628</v>
      </c>
      <c r="M4309" s="4" t="s">
        <v>1507</v>
      </c>
      <c r="N4309" s="4" t="s">
        <v>29</v>
      </c>
      <c r="O4309" s="4" t="s">
        <v>67</v>
      </c>
      <c r="P4309" s="4" t="s">
        <v>29</v>
      </c>
      <c r="Q4309" s="4" t="s">
        <v>30629</v>
      </c>
      <c r="R4309" s="6"/>
      <c r="S4309" s="6"/>
      <c r="T4309" s="6"/>
      <c r="U4309" s="6"/>
      <c r="V4309" s="6"/>
      <c r="W4309" s="6"/>
      <c r="X4309" s="6"/>
      <c r="Y4309" s="6"/>
      <c r="Z4309" s="6"/>
      <c r="AA4309" s="6"/>
    </row>
    <row r="4310" ht="14.25">
      <c r="B4310" s="4" t="s">
        <v>3165</v>
      </c>
      <c r="C4310" s="4" t="s">
        <v>30630</v>
      </c>
      <c r="D4310" s="4" t="s">
        <v>172</v>
      </c>
      <c r="E4310" s="4" t="s">
        <v>30631</v>
      </c>
      <c r="F4310" s="4" t="str">
        <f>IFERROR(__XLUDF.DUMMYFUNCTION("PROPER(REGEXREPLACE(D715,""[^A-Za-z]+ "",""""))"),"Felps Group")</f>
        <v xml:space="preserve">Felps Group</v>
      </c>
      <c r="G4310" s="4" t="s">
        <v>30632</v>
      </c>
      <c r="H4310" s="4">
        <v>14</v>
      </c>
      <c r="I4310" s="4" t="s">
        <v>4067</v>
      </c>
      <c r="J4310" s="4" t="str">
        <f>IFERROR(__XLUDF.DUMMYFUNCTION("VLOOKUP(H715,IMPORTRANGE(""https://docs.google.com/spreadsheets/d/1opm6ZNvGZ7KditA9TuJwrZ25eFLfTNIkrNnY6mhV5Eg"",""list!A1:C115""),3,TRUE)"),"le secteur du conseil en management")</f>
        <v xml:space="preserve">le secteur du conseil en management</v>
      </c>
      <c r="K4310" s="5" t="s">
        <v>30633</v>
      </c>
      <c r="L4310" s="5" t="s">
        <v>30634</v>
      </c>
      <c r="M4310" s="4" t="s">
        <v>39</v>
      </c>
      <c r="N4310" s="4" t="s">
        <v>29</v>
      </c>
      <c r="O4310" s="4" t="s">
        <v>26950</v>
      </c>
      <c r="P4310" s="4" t="s">
        <v>29</v>
      </c>
      <c r="Q4310" s="4" t="s">
        <v>30635</v>
      </c>
      <c r="R4310" s="6"/>
      <c r="S4310" s="6"/>
      <c r="T4310" s="6"/>
      <c r="U4310" s="6"/>
      <c r="V4310" s="6"/>
      <c r="W4310" s="6"/>
      <c r="X4310" s="6"/>
      <c r="Y4310" s="6"/>
      <c r="Z4310" s="6"/>
      <c r="AA4310" s="6"/>
    </row>
    <row r="4311" ht="14.25">
      <c r="B4311" s="4" t="s">
        <v>330</v>
      </c>
      <c r="C4311" s="4" t="s">
        <v>30636</v>
      </c>
      <c r="D4311" s="4" t="s">
        <v>30637</v>
      </c>
      <c r="E4311" s="4" t="s">
        <v>30638</v>
      </c>
      <c r="F4311" s="4" t="str">
        <f>IFERROR(__XLUDF.DUMMYFUNCTION("PROPER(REGEXREPLACE(D716,""[^A-Za-z]+ "",""""))"),"Handi-Conseils")</f>
        <v>Handi-Conseils</v>
      </c>
      <c r="G4311" s="4" t="s">
        <v>30639</v>
      </c>
      <c r="H4311" s="4">
        <v>17</v>
      </c>
      <c r="I4311" s="4" t="s">
        <v>4067</v>
      </c>
      <c r="J4311" s="4" t="str">
        <f>IFERROR(__XLUDF.DUMMYFUNCTION("VLOOKUP(H716,IMPORTRANGE(""https://docs.google.com/spreadsheets/d/1opm6ZNvGZ7KditA9TuJwrZ25eFLfTNIkrNnY6mhV5Eg"",""list!A1:C115""),3,TRUE)"),"le secteur du conseil en management")</f>
        <v xml:space="preserve">le secteur du conseil en management</v>
      </c>
      <c r="K4311" s="5" t="s">
        <v>30640</v>
      </c>
      <c r="L4311" s="5" t="s">
        <v>30641</v>
      </c>
      <c r="M4311" s="4" t="s">
        <v>11716</v>
      </c>
      <c r="N4311" s="4" t="s">
        <v>29</v>
      </c>
      <c r="O4311" s="4" t="s">
        <v>30642</v>
      </c>
      <c r="P4311" s="4" t="s">
        <v>29</v>
      </c>
      <c r="Q4311" s="4" t="s">
        <v>30643</v>
      </c>
      <c r="R4311" s="6"/>
      <c r="S4311" s="6"/>
      <c r="T4311" s="6"/>
      <c r="U4311" s="6"/>
      <c r="V4311" s="6"/>
      <c r="W4311" s="6"/>
      <c r="X4311" s="6"/>
      <c r="Y4311" s="6"/>
      <c r="Z4311" s="6"/>
      <c r="AA4311" s="6"/>
    </row>
    <row r="4312" ht="14.25">
      <c r="B4312" s="4" t="s">
        <v>30439</v>
      </c>
      <c r="C4312" s="4" t="s">
        <v>30644</v>
      </c>
      <c r="D4312" s="4" t="s">
        <v>22640</v>
      </c>
      <c r="E4312" s="4" t="s">
        <v>16407</v>
      </c>
      <c r="F4312" s="4" t="str">
        <f>IFERROR(__XLUDF.DUMMYFUNCTION("PROPER(REGEXREPLACE(D717,""[^A-Za-z]+ "",""""))"),"Forwards Advisory")</f>
        <v xml:space="preserve">Forwards Advisory</v>
      </c>
      <c r="G4312" s="4" t="s">
        <v>30645</v>
      </c>
      <c r="H4312" s="4">
        <v>21</v>
      </c>
      <c r="I4312" s="4" t="s">
        <v>4067</v>
      </c>
      <c r="J4312" s="4" t="str">
        <f>IFERROR(__XLUDF.DUMMYFUNCTION("VLOOKUP(H717,IMPORTRANGE(""https://docs.google.com/spreadsheets/d/1opm6ZNvGZ7KditA9TuJwrZ25eFLfTNIkrNnY6mhV5Eg"",""list!A1:C115""),3,TRUE)"),"le secteur du conseil en management")</f>
        <v xml:space="preserve">le secteur du conseil en management</v>
      </c>
      <c r="K4312" s="5" t="s">
        <v>30646</v>
      </c>
      <c r="L4312" s="5" t="s">
        <v>30647</v>
      </c>
      <c r="M4312" s="4" t="s">
        <v>295</v>
      </c>
      <c r="N4312" s="4" t="s">
        <v>29</v>
      </c>
      <c r="O4312" s="4" t="s">
        <v>30648</v>
      </c>
      <c r="P4312" s="4" t="s">
        <v>29</v>
      </c>
      <c r="Q4312" s="4" t="s">
        <v>16411</v>
      </c>
      <c r="R4312" s="6"/>
      <c r="S4312" s="6"/>
      <c r="T4312" s="6"/>
      <c r="U4312" s="6"/>
      <c r="V4312" s="6"/>
      <c r="W4312" s="6"/>
      <c r="X4312" s="6"/>
      <c r="Y4312" s="6"/>
      <c r="Z4312" s="6"/>
      <c r="AA4312" s="6"/>
    </row>
    <row r="4313" ht="14.25">
      <c r="B4313" s="4" t="s">
        <v>670</v>
      </c>
      <c r="C4313" s="4" t="s">
        <v>30649</v>
      </c>
      <c r="D4313" s="4" t="s">
        <v>30650</v>
      </c>
      <c r="E4313" s="4" t="s">
        <v>30651</v>
      </c>
      <c r="F4313" s="4" t="str">
        <f>IFERROR(__XLUDF.DUMMYFUNCTION("PROPER(REGEXREPLACE(D718,""[^A-Za-z]+ "",""""))"),"Initial Expertise")</f>
        <v xml:space="preserve">Initial Expertise</v>
      </c>
      <c r="G4313" s="4" t="s">
        <v>30652</v>
      </c>
      <c r="H4313" s="4">
        <v>14</v>
      </c>
      <c r="I4313" s="4" t="s">
        <v>4067</v>
      </c>
      <c r="J4313" s="4" t="str">
        <f>IFERROR(__XLUDF.DUMMYFUNCTION("VLOOKUP(H718,IMPORTRANGE(""https://docs.google.com/spreadsheets/d/1opm6ZNvGZ7KditA9TuJwrZ25eFLfTNIkrNnY6mhV5Eg"",""list!A1:C115""),3,TRUE)"),"le secteur du conseil en management")</f>
        <v xml:space="preserve">le secteur du conseil en management</v>
      </c>
      <c r="K4313" s="5" t="s">
        <v>30653</v>
      </c>
      <c r="L4313" s="5" t="s">
        <v>30654</v>
      </c>
      <c r="M4313" s="4" t="s">
        <v>562</v>
      </c>
      <c r="N4313" s="4" t="s">
        <v>29</v>
      </c>
      <c r="O4313" s="4" t="s">
        <v>5941</v>
      </c>
      <c r="P4313" s="4" t="s">
        <v>29</v>
      </c>
      <c r="Q4313" s="4" t="s">
        <v>30655</v>
      </c>
      <c r="R4313" s="6"/>
      <c r="S4313" s="6"/>
      <c r="T4313" s="6"/>
      <c r="U4313" s="6"/>
      <c r="V4313" s="6"/>
      <c r="W4313" s="6"/>
      <c r="X4313" s="6"/>
      <c r="Y4313" s="6"/>
      <c r="Z4313" s="6"/>
      <c r="AA4313" s="6"/>
    </row>
    <row r="4314" ht="14.25">
      <c r="B4314" s="4" t="s">
        <v>963</v>
      </c>
      <c r="C4314" s="4" t="s">
        <v>30656</v>
      </c>
      <c r="D4314" s="4" t="s">
        <v>426</v>
      </c>
      <c r="E4314" s="4" t="s">
        <v>30657</v>
      </c>
      <c r="F4314" s="4" t="str">
        <f>IFERROR(__XLUDF.DUMMYFUNCTION("PROPER(REGEXREPLACE(D719,""[^A-Za-z]+ "",""""))"),"Euro-Symbiose")</f>
        <v>Euro-Symbiose</v>
      </c>
      <c r="G4314" s="4" t="s">
        <v>30658</v>
      </c>
      <c r="H4314" s="4">
        <v>28</v>
      </c>
      <c r="I4314" s="4" t="s">
        <v>4067</v>
      </c>
      <c r="J4314" s="4" t="str">
        <f>IFERROR(__XLUDF.DUMMYFUNCTION("VLOOKUP(H719,IMPORTRANGE(""https://docs.google.com/spreadsheets/d/1opm6ZNvGZ7KditA9TuJwrZ25eFLfTNIkrNnY6mhV5Eg"",""list!A1:C115""),3,TRUE)"),"le secteur du conseil en management")</f>
        <v xml:space="preserve">le secteur du conseil en management</v>
      </c>
      <c r="K4314" s="5" t="s">
        <v>30659</v>
      </c>
      <c r="L4314" s="5" t="s">
        <v>30660</v>
      </c>
      <c r="M4314" s="6"/>
      <c r="N4314" s="4" t="s">
        <v>29</v>
      </c>
      <c r="O4314" s="4" t="s">
        <v>30661</v>
      </c>
      <c r="P4314" s="4" t="s">
        <v>29</v>
      </c>
      <c r="Q4314" s="4" t="s">
        <v>30662</v>
      </c>
      <c r="R4314" s="6"/>
      <c r="S4314" s="6"/>
      <c r="T4314" s="6"/>
      <c r="U4314" s="6"/>
      <c r="V4314" s="6"/>
      <c r="W4314" s="6"/>
      <c r="X4314" s="6"/>
      <c r="Y4314" s="6"/>
      <c r="Z4314" s="6"/>
      <c r="AA4314" s="6"/>
    </row>
    <row r="4315" ht="14.25">
      <c r="B4315" s="4" t="s">
        <v>1583</v>
      </c>
      <c r="C4315" s="4" t="s">
        <v>6529</v>
      </c>
      <c r="D4315" s="4" t="s">
        <v>112</v>
      </c>
      <c r="E4315" s="4" t="s">
        <v>30663</v>
      </c>
      <c r="F4315" s="4" t="str">
        <f>IFERROR(__XLUDF.DUMMYFUNCTION("PROPER(REGEXREPLACE(D720,""[^A-Za-z]+ "",""""))"),"Groupe Prorisk")</f>
        <v xml:space="preserve">Groupe Prorisk</v>
      </c>
      <c r="G4315" s="4" t="s">
        <v>30664</v>
      </c>
      <c r="H4315" s="4">
        <v>16</v>
      </c>
      <c r="I4315" s="4" t="s">
        <v>4067</v>
      </c>
      <c r="J4315" s="4" t="str">
        <f>IFERROR(__XLUDF.DUMMYFUNCTION("VLOOKUP(H720,IMPORTRANGE(""https://docs.google.com/spreadsheets/d/1opm6ZNvGZ7KditA9TuJwrZ25eFLfTNIkrNnY6mhV5Eg"",""list!A1:C115""),3,TRUE)"),"le secteur du conseil en management")</f>
        <v xml:space="preserve">le secteur du conseil en management</v>
      </c>
      <c r="K4315" s="5" t="s">
        <v>30665</v>
      </c>
      <c r="L4315" s="5" t="s">
        <v>30666</v>
      </c>
      <c r="M4315" s="4" t="s">
        <v>439</v>
      </c>
      <c r="N4315" s="4" t="s">
        <v>29</v>
      </c>
      <c r="O4315" s="4" t="s">
        <v>30667</v>
      </c>
      <c r="P4315" s="4" t="s">
        <v>29</v>
      </c>
      <c r="Q4315" s="4" t="s">
        <v>30668</v>
      </c>
      <c r="R4315" s="6"/>
      <c r="S4315" s="6"/>
      <c r="T4315" s="6"/>
      <c r="U4315" s="6"/>
      <c r="V4315" s="6"/>
      <c r="W4315" s="6"/>
      <c r="X4315" s="6"/>
      <c r="Y4315" s="6"/>
      <c r="Z4315" s="6"/>
      <c r="AA4315" s="6"/>
    </row>
    <row r="4316" ht="14.25">
      <c r="B4316" s="4" t="s">
        <v>30669</v>
      </c>
      <c r="C4316" s="4" t="s">
        <v>30670</v>
      </c>
      <c r="D4316" s="4" t="s">
        <v>341</v>
      </c>
      <c r="E4316" s="4" t="s">
        <v>30671</v>
      </c>
      <c r="F4316" s="4" t="str">
        <f>IFERROR(__XLUDF.DUMMYFUNCTION("PROPER(REGEXREPLACE(D721,""[^A-Za-z]+ "",""""))"),"Ma Solution Energie")</f>
        <v xml:space="preserve">Ma Solution Energie</v>
      </c>
      <c r="G4316" s="4" t="s">
        <v>30672</v>
      </c>
      <c r="H4316" s="4">
        <v>11</v>
      </c>
      <c r="I4316" s="4" t="s">
        <v>4067</v>
      </c>
      <c r="J4316" s="4" t="str">
        <f>IFERROR(__XLUDF.DUMMYFUNCTION("VLOOKUP(H721,IMPORTRANGE(""https://docs.google.com/spreadsheets/d/1opm6ZNvGZ7KditA9TuJwrZ25eFLfTNIkrNnY6mhV5Eg"",""list!A1:C115""),3,TRUE)"),"le secteur du conseil en management")</f>
        <v xml:space="preserve">le secteur du conseil en management</v>
      </c>
      <c r="K4316" s="5" t="s">
        <v>30673</v>
      </c>
      <c r="L4316" s="5" t="s">
        <v>30674</v>
      </c>
      <c r="M4316" s="4" t="s">
        <v>9402</v>
      </c>
      <c r="N4316" s="4" t="s">
        <v>29</v>
      </c>
      <c r="O4316" s="4" t="s">
        <v>30675</v>
      </c>
      <c r="P4316" s="4" t="s">
        <v>29</v>
      </c>
      <c r="Q4316" s="4" t="s">
        <v>30676</v>
      </c>
      <c r="R4316" s="6"/>
      <c r="S4316" s="6"/>
      <c r="T4316" s="6"/>
      <c r="U4316" s="6"/>
      <c r="V4316" s="6"/>
      <c r="W4316" s="6"/>
      <c r="X4316" s="6"/>
      <c r="Y4316" s="6"/>
      <c r="Z4316" s="6"/>
      <c r="AA4316" s="6"/>
    </row>
    <row r="4317" ht="14.25">
      <c r="B4317" s="4" t="s">
        <v>5873</v>
      </c>
      <c r="C4317" s="4" t="s">
        <v>30677</v>
      </c>
      <c r="D4317" s="4" t="s">
        <v>30678</v>
      </c>
      <c r="E4317" s="4" t="s">
        <v>30679</v>
      </c>
      <c r="F4317" s="4" t="str">
        <f>IFERROR(__XLUDF.DUMMYFUNCTION("PROPER(REGEXREPLACE(D722,""[^A-Za-z]+ "",""""))"),"Agence Is")</f>
        <v xml:space="preserve">Agence Is</v>
      </c>
      <c r="G4317" s="4" t="s">
        <v>30680</v>
      </c>
      <c r="H4317" s="4">
        <v>16</v>
      </c>
      <c r="I4317" s="4" t="s">
        <v>4067</v>
      </c>
      <c r="J4317" s="4" t="str">
        <f>IFERROR(__XLUDF.DUMMYFUNCTION("VLOOKUP(H722,IMPORTRANGE(""https://docs.google.com/spreadsheets/d/1opm6ZNvGZ7KditA9TuJwrZ25eFLfTNIkrNnY6mhV5Eg"",""list!A1:C115""),3,TRUE)"),"le secteur du conseil en management")</f>
        <v xml:space="preserve">le secteur du conseil en management</v>
      </c>
      <c r="K4317" s="5" t="s">
        <v>30681</v>
      </c>
      <c r="L4317" s="5" t="s">
        <v>30682</v>
      </c>
      <c r="M4317" s="6"/>
      <c r="N4317" s="4" t="s">
        <v>29</v>
      </c>
      <c r="O4317" s="4" t="s">
        <v>30683</v>
      </c>
      <c r="P4317" s="4" t="s">
        <v>29</v>
      </c>
      <c r="Q4317" s="4" t="s">
        <v>30684</v>
      </c>
      <c r="R4317" s="6"/>
      <c r="S4317" s="6"/>
      <c r="T4317" s="6"/>
      <c r="U4317" s="6"/>
      <c r="V4317" s="6"/>
      <c r="W4317" s="6"/>
      <c r="X4317" s="6"/>
      <c r="Y4317" s="6"/>
      <c r="Z4317" s="6"/>
      <c r="AA4317" s="6"/>
    </row>
    <row r="4318" ht="14.25">
      <c r="B4318" s="4" t="s">
        <v>5716</v>
      </c>
      <c r="C4318" s="4" t="s">
        <v>30685</v>
      </c>
      <c r="D4318" s="4" t="s">
        <v>19111</v>
      </c>
      <c r="E4318" s="4" t="s">
        <v>30686</v>
      </c>
      <c r="F4318" s="4" t="str">
        <f>IFERROR(__XLUDF.DUMMYFUNCTION("PROPER(REGEXREPLACE(D723,""[^A-Za-z]+ "",""""))"),"Sprintproject")</f>
        <v>Sprintproject</v>
      </c>
      <c r="G4318" s="4" t="s">
        <v>30687</v>
      </c>
      <c r="H4318" s="4">
        <v>16</v>
      </c>
      <c r="I4318" s="4" t="s">
        <v>4067</v>
      </c>
      <c r="J4318" s="4" t="str">
        <f>IFERROR(__XLUDF.DUMMYFUNCTION("VLOOKUP(H723,IMPORTRANGE(""https://docs.google.com/spreadsheets/d/1opm6ZNvGZ7KditA9TuJwrZ25eFLfTNIkrNnY6mhV5Eg"",""list!A1:C115""),3,TRUE)"),"le secteur du conseil en management")</f>
        <v xml:space="preserve">le secteur du conseil en management</v>
      </c>
      <c r="K4318" s="5" t="s">
        <v>30688</v>
      </c>
      <c r="L4318" s="5" t="s">
        <v>30689</v>
      </c>
      <c r="M4318" s="4" t="s">
        <v>10798</v>
      </c>
      <c r="N4318" s="4" t="s">
        <v>29</v>
      </c>
      <c r="O4318" s="4" t="s">
        <v>30690</v>
      </c>
      <c r="P4318" s="4" t="s">
        <v>29</v>
      </c>
      <c r="Q4318" s="4" t="s">
        <v>30691</v>
      </c>
      <c r="R4318" s="6"/>
      <c r="S4318" s="6"/>
      <c r="T4318" s="6"/>
      <c r="U4318" s="6"/>
      <c r="V4318" s="6"/>
      <c r="W4318" s="6"/>
      <c r="X4318" s="6"/>
      <c r="Y4318" s="6"/>
      <c r="Z4318" s="6"/>
      <c r="AA4318" s="6"/>
    </row>
    <row r="4319" ht="14.25">
      <c r="B4319" s="4" t="s">
        <v>2150</v>
      </c>
      <c r="C4319" s="4" t="s">
        <v>30692</v>
      </c>
      <c r="D4319" s="4" t="s">
        <v>30693</v>
      </c>
      <c r="E4319" s="4" t="s">
        <v>30694</v>
      </c>
      <c r="F4319" s="4" t="str">
        <f>IFERROR(__XLUDF.DUMMYFUNCTION("PROPER(REGEXREPLACE(D724,""[^A-Za-z]+ "",""""))"),"A L'Unisson")</f>
        <v xml:space="preserve">A L'Unisson</v>
      </c>
      <c r="G4319" s="4" t="s">
        <v>30695</v>
      </c>
      <c r="H4319" s="4">
        <v>14</v>
      </c>
      <c r="I4319" s="4" t="s">
        <v>4067</v>
      </c>
      <c r="J4319" s="4" t="str">
        <f>IFERROR(__XLUDF.DUMMYFUNCTION("VLOOKUP(H724,IMPORTRANGE(""https://docs.google.com/spreadsheets/d/1opm6ZNvGZ7KditA9TuJwrZ25eFLfTNIkrNnY6mhV5Eg"",""list!A1:C115""),3,TRUE)"),"le secteur du conseil en management")</f>
        <v xml:space="preserve">le secteur du conseil en management</v>
      </c>
      <c r="K4319" s="5" t="s">
        <v>30696</v>
      </c>
      <c r="L4319" s="5" t="s">
        <v>30697</v>
      </c>
      <c r="M4319" s="4" t="s">
        <v>16456</v>
      </c>
      <c r="N4319" s="4" t="s">
        <v>29</v>
      </c>
      <c r="O4319" s="4" t="s">
        <v>30698</v>
      </c>
      <c r="P4319" s="4" t="s">
        <v>29</v>
      </c>
      <c r="Q4319" s="4" t="s">
        <v>30699</v>
      </c>
      <c r="R4319" s="6"/>
      <c r="S4319" s="6"/>
      <c r="T4319" s="6"/>
      <c r="U4319" s="6"/>
      <c r="V4319" s="6"/>
      <c r="W4319" s="6"/>
      <c r="X4319" s="6"/>
      <c r="Y4319" s="6"/>
      <c r="Z4319" s="6"/>
      <c r="AA4319" s="6"/>
    </row>
    <row r="4320" ht="14.25">
      <c r="B4320" s="4" t="s">
        <v>5001</v>
      </c>
      <c r="C4320" s="4" t="s">
        <v>30700</v>
      </c>
      <c r="D4320" s="4" t="s">
        <v>7759</v>
      </c>
      <c r="E4320" s="4" t="s">
        <v>30701</v>
      </c>
      <c r="F4320" s="4" t="str">
        <f>IFERROR(__XLUDF.DUMMYFUNCTION("PROPER(REGEXREPLACE(D725,""[^A-Za-z]+ "",""""))"),"Ferchaud")</f>
        <v>Ferchaud</v>
      </c>
      <c r="G4320" s="4" t="s">
        <v>30702</v>
      </c>
      <c r="H4320" s="4">
        <v>10</v>
      </c>
      <c r="I4320" s="4" t="s">
        <v>4067</v>
      </c>
      <c r="J4320" s="4" t="str">
        <f>IFERROR(__XLUDF.DUMMYFUNCTION("VLOOKUP(H725,IMPORTRANGE(""https://docs.google.com/spreadsheets/d/1opm6ZNvGZ7KditA9TuJwrZ25eFLfTNIkrNnY6mhV5Eg"",""list!A1:C115""),3,TRUE)"),"le secteur du conseil en management")</f>
        <v xml:space="preserve">le secteur du conseil en management</v>
      </c>
      <c r="K4320" s="5" t="s">
        <v>30703</v>
      </c>
      <c r="L4320" s="5" t="s">
        <v>30704</v>
      </c>
      <c r="M4320" s="4" t="s">
        <v>1711</v>
      </c>
      <c r="N4320" s="4" t="s">
        <v>29</v>
      </c>
      <c r="O4320" s="4" t="s">
        <v>6441</v>
      </c>
      <c r="P4320" s="4" t="s">
        <v>29</v>
      </c>
      <c r="Q4320" s="4" t="s">
        <v>30705</v>
      </c>
      <c r="R4320" s="6"/>
      <c r="S4320" s="6"/>
      <c r="T4320" s="6"/>
      <c r="U4320" s="6"/>
      <c r="V4320" s="6"/>
      <c r="W4320" s="6"/>
      <c r="X4320" s="6"/>
      <c r="Y4320" s="6"/>
      <c r="Z4320" s="6"/>
      <c r="AA4320" s="6"/>
    </row>
    <row r="4321" ht="14.25">
      <c r="B4321" s="4" t="s">
        <v>30706</v>
      </c>
      <c r="C4321" s="4" t="s">
        <v>30707</v>
      </c>
      <c r="D4321" s="4" t="s">
        <v>10202</v>
      </c>
      <c r="E4321" s="4" t="s">
        <v>30708</v>
      </c>
      <c r="F4321" s="4" t="str">
        <f>IFERROR(__XLUDF.DUMMYFUNCTION("PROPER(REGEXREPLACE(D726,""[^A-Za-z]+ "",""""))"),"Actinuance")</f>
        <v>Actinuance</v>
      </c>
      <c r="G4321" s="4" t="s">
        <v>30709</v>
      </c>
      <c r="H4321" s="4">
        <v>19</v>
      </c>
      <c r="I4321" s="4" t="s">
        <v>4067</v>
      </c>
      <c r="J4321" s="4" t="str">
        <f>IFERROR(__XLUDF.DUMMYFUNCTION("VLOOKUP(H726,IMPORTRANGE(""https://docs.google.com/spreadsheets/d/1opm6ZNvGZ7KditA9TuJwrZ25eFLfTNIkrNnY6mhV5Eg"",""list!A1:C115""),3,TRUE)"),"le secteur du conseil en management")</f>
        <v xml:space="preserve">le secteur du conseil en management</v>
      </c>
      <c r="K4321" s="5" t="s">
        <v>30710</v>
      </c>
      <c r="L4321" s="5" t="s">
        <v>30711</v>
      </c>
      <c r="M4321" s="4" t="s">
        <v>39</v>
      </c>
      <c r="N4321" s="4" t="s">
        <v>29</v>
      </c>
      <c r="O4321" s="4" t="s">
        <v>30712</v>
      </c>
      <c r="P4321" s="4" t="s">
        <v>29</v>
      </c>
      <c r="Q4321" s="4" t="s">
        <v>30713</v>
      </c>
      <c r="R4321" s="6"/>
      <c r="S4321" s="6"/>
      <c r="T4321" s="6"/>
      <c r="U4321" s="6"/>
      <c r="V4321" s="6"/>
      <c r="W4321" s="6"/>
      <c r="X4321" s="6"/>
      <c r="Y4321" s="6"/>
      <c r="Z4321" s="6"/>
      <c r="AA4321" s="6"/>
    </row>
    <row r="4322" ht="14.25">
      <c r="B4322" s="4" t="s">
        <v>986</v>
      </c>
      <c r="C4322" s="4" t="s">
        <v>25368</v>
      </c>
      <c r="D4322" s="4" t="s">
        <v>30714</v>
      </c>
      <c r="E4322" s="4" t="s">
        <v>25370</v>
      </c>
      <c r="F4322" s="4" t="str">
        <f>IFERROR(__XLUDF.DUMMYFUNCTION("PROPER(REGEXREPLACE(D727,""[^A-Za-z]+ "",""""))"),"Kpam")</f>
        <v>Kpam</v>
      </c>
      <c r="G4322" s="4" t="s">
        <v>25371</v>
      </c>
      <c r="H4322" s="4">
        <v>14</v>
      </c>
      <c r="I4322" s="4" t="s">
        <v>4067</v>
      </c>
      <c r="J4322" s="4" t="str">
        <f>IFERROR(__XLUDF.DUMMYFUNCTION("VLOOKUP(H727,IMPORTRANGE(""https://docs.google.com/spreadsheets/d/1opm6ZNvGZ7KditA9TuJwrZ25eFLfTNIkrNnY6mhV5Eg"",""list!A1:C115""),3,TRUE)"),"le secteur du conseil en management")</f>
        <v xml:space="preserve">le secteur du conseil en management</v>
      </c>
      <c r="K4322" s="5" t="s">
        <v>25372</v>
      </c>
      <c r="L4322" s="5" t="s">
        <v>25373</v>
      </c>
      <c r="M4322" s="4" t="s">
        <v>39</v>
      </c>
      <c r="N4322" s="4" t="s">
        <v>29</v>
      </c>
      <c r="O4322" s="4" t="s">
        <v>25374</v>
      </c>
      <c r="P4322" s="4" t="s">
        <v>29</v>
      </c>
      <c r="Q4322" s="4" t="s">
        <v>25375</v>
      </c>
      <c r="R4322" s="6"/>
      <c r="S4322" s="6"/>
      <c r="T4322" s="6"/>
      <c r="U4322" s="6"/>
      <c r="V4322" s="6"/>
      <c r="W4322" s="6"/>
      <c r="X4322" s="6"/>
      <c r="Y4322" s="6"/>
      <c r="Z4322" s="6"/>
      <c r="AA4322" s="6"/>
    </row>
    <row r="4323" ht="14.25">
      <c r="B4323" s="4" t="s">
        <v>2372</v>
      </c>
      <c r="C4323" s="4" t="s">
        <v>30715</v>
      </c>
      <c r="D4323" s="4" t="s">
        <v>30716</v>
      </c>
      <c r="E4323" s="4" t="s">
        <v>30717</v>
      </c>
      <c r="F4323" s="4" t="str">
        <f>IFERROR(__XLUDF.DUMMYFUNCTION("PROPER(REGEXREPLACE(D728,""[^A-Za-z]+ "",""""))"),"Adico")</f>
        <v>Adico</v>
      </c>
      <c r="G4323" s="4" t="s">
        <v>30718</v>
      </c>
      <c r="H4323" s="4">
        <v>46</v>
      </c>
      <c r="I4323" s="4" t="s">
        <v>4067</v>
      </c>
      <c r="J4323" s="4" t="str">
        <f>IFERROR(__XLUDF.DUMMYFUNCTION("VLOOKUP(H728,IMPORTRANGE(""https://docs.google.com/spreadsheets/d/1opm6ZNvGZ7KditA9TuJwrZ25eFLfTNIkrNnY6mhV5Eg"",""list!A1:C115""),3,TRUE)"),"le secteur du conseil en management")</f>
        <v xml:space="preserve">le secteur du conseil en management</v>
      </c>
      <c r="K4323" s="5" t="s">
        <v>30719</v>
      </c>
      <c r="L4323" s="5" t="s">
        <v>30720</v>
      </c>
      <c r="M4323" s="6"/>
      <c r="N4323" s="4" t="s">
        <v>29</v>
      </c>
      <c r="O4323" s="4" t="s">
        <v>30721</v>
      </c>
      <c r="P4323" s="4" t="s">
        <v>29</v>
      </c>
      <c r="Q4323" s="4" t="s">
        <v>30722</v>
      </c>
      <c r="R4323" s="6"/>
      <c r="S4323" s="6"/>
      <c r="T4323" s="6"/>
      <c r="U4323" s="6"/>
      <c r="V4323" s="6"/>
      <c r="W4323" s="6"/>
      <c r="X4323" s="6"/>
      <c r="Y4323" s="6"/>
      <c r="Z4323" s="6"/>
      <c r="AA4323" s="6"/>
    </row>
    <row r="4324" ht="14.25">
      <c r="B4324" s="4" t="s">
        <v>3935</v>
      </c>
      <c r="C4324" s="4" t="s">
        <v>30723</v>
      </c>
      <c r="D4324" s="4" t="s">
        <v>247</v>
      </c>
      <c r="E4324" s="4" t="s">
        <v>30724</v>
      </c>
      <c r="F4324" s="4" t="str">
        <f>IFERROR(__XLUDF.DUMMYFUNCTION("PROPER(REGEXREPLACE(D729,""[^A-Za-z]+ "",""""))"),"L/Ne")</f>
        <v>L/Ne</v>
      </c>
      <c r="G4324" s="4" t="s">
        <v>30725</v>
      </c>
      <c r="H4324" s="4">
        <v>25</v>
      </c>
      <c r="I4324" s="4" t="s">
        <v>4067</v>
      </c>
      <c r="J4324" s="4" t="str">
        <f>IFERROR(__XLUDF.DUMMYFUNCTION("VLOOKUP(H729,IMPORTRANGE(""https://docs.google.com/spreadsheets/d/1opm6ZNvGZ7KditA9TuJwrZ25eFLfTNIkrNnY6mhV5Eg"",""list!A1:C115""),3,TRUE)"),"le secteur du conseil en management")</f>
        <v xml:space="preserve">le secteur du conseil en management</v>
      </c>
      <c r="K4324" s="5" t="s">
        <v>30726</v>
      </c>
      <c r="L4324" s="5" t="s">
        <v>30727</v>
      </c>
      <c r="M4324" s="4" t="s">
        <v>185</v>
      </c>
      <c r="N4324" s="4" t="s">
        <v>29</v>
      </c>
      <c r="O4324" s="6"/>
      <c r="P4324" s="6"/>
      <c r="Q4324" s="4" t="s">
        <v>10600</v>
      </c>
      <c r="R4324" s="6"/>
      <c r="S4324" s="6"/>
      <c r="T4324" s="6"/>
      <c r="U4324" s="6"/>
      <c r="V4324" s="6"/>
      <c r="W4324" s="6"/>
      <c r="X4324" s="6"/>
      <c r="Y4324" s="6"/>
      <c r="Z4324" s="6"/>
      <c r="AA4324" s="6"/>
    </row>
    <row r="4325" ht="14.25">
      <c r="B4325" s="4" t="s">
        <v>1215</v>
      </c>
      <c r="C4325" s="4" t="s">
        <v>30728</v>
      </c>
      <c r="D4325" s="4" t="s">
        <v>172</v>
      </c>
      <c r="E4325" s="4" t="s">
        <v>30729</v>
      </c>
      <c r="F4325" s="4" t="str">
        <f>IFERROR(__XLUDF.DUMMYFUNCTION("PROPER(REGEXREPLACE(D730,""[^A-Za-z]+ "",""""))"),"Reseuro")</f>
        <v>Reseuro</v>
      </c>
      <c r="G4325" s="4" t="s">
        <v>30730</v>
      </c>
      <c r="H4325" s="4">
        <v>16</v>
      </c>
      <c r="I4325" s="4" t="s">
        <v>4067</v>
      </c>
      <c r="J4325" s="4" t="str">
        <f>IFERROR(__XLUDF.DUMMYFUNCTION("VLOOKUP(H730,IMPORTRANGE(""https://docs.google.com/spreadsheets/d/1opm6ZNvGZ7KditA9TuJwrZ25eFLfTNIkrNnY6mhV5Eg"",""list!A1:C115""),3,TRUE)"),"le secteur du conseil en management")</f>
        <v xml:space="preserve">le secteur du conseil en management</v>
      </c>
      <c r="K4325" s="5" t="s">
        <v>30731</v>
      </c>
      <c r="L4325" s="5" t="s">
        <v>30732</v>
      </c>
      <c r="M4325" s="4" t="s">
        <v>13773</v>
      </c>
      <c r="N4325" s="4" t="s">
        <v>29</v>
      </c>
      <c r="O4325" s="4" t="s">
        <v>30733</v>
      </c>
      <c r="P4325" s="4" t="s">
        <v>29</v>
      </c>
      <c r="Q4325" s="4" t="s">
        <v>30734</v>
      </c>
      <c r="R4325" s="6"/>
      <c r="S4325" s="6"/>
      <c r="T4325" s="6"/>
      <c r="U4325" s="6"/>
      <c r="V4325" s="6"/>
      <c r="W4325" s="6"/>
      <c r="X4325" s="6"/>
      <c r="Y4325" s="6"/>
      <c r="Z4325" s="6"/>
      <c r="AA4325" s="6"/>
    </row>
    <row r="4326" ht="14.25">
      <c r="B4326" s="4" t="s">
        <v>22725</v>
      </c>
      <c r="C4326" s="4" t="s">
        <v>30735</v>
      </c>
      <c r="D4326" s="4" t="s">
        <v>112</v>
      </c>
      <c r="E4326" s="4" t="s">
        <v>30736</v>
      </c>
      <c r="F4326" s="4" t="str">
        <f>IFERROR(__XLUDF.DUMMYFUNCTION("PROPER(REGEXREPLACE(D731,""[^A-Za-z]+ "",""""))"),"Petit Poucet")</f>
        <v xml:space="preserve">Petit Poucet</v>
      </c>
      <c r="G4326" s="4" t="s">
        <v>30737</v>
      </c>
      <c r="H4326" s="4">
        <v>12</v>
      </c>
      <c r="I4326" s="4" t="s">
        <v>4067</v>
      </c>
      <c r="J4326" s="4" t="str">
        <f>IFERROR(__XLUDF.DUMMYFUNCTION("VLOOKUP(H731,IMPORTRANGE(""https://docs.google.com/spreadsheets/d/1opm6ZNvGZ7KditA9TuJwrZ25eFLfTNIkrNnY6mhV5Eg"",""list!A1:C115""),3,TRUE)"),"le secteur du conseil en management")</f>
        <v xml:space="preserve">le secteur du conseil en management</v>
      </c>
      <c r="K4326" s="5" t="s">
        <v>30738</v>
      </c>
      <c r="L4326" s="5" t="s">
        <v>30739</v>
      </c>
      <c r="M4326" s="4" t="s">
        <v>39</v>
      </c>
      <c r="N4326" s="4" t="s">
        <v>29</v>
      </c>
      <c r="O4326" s="4" t="s">
        <v>30740</v>
      </c>
      <c r="P4326" s="4" t="s">
        <v>29</v>
      </c>
      <c r="Q4326" s="6"/>
      <c r="R4326" s="6"/>
      <c r="S4326" s="6"/>
      <c r="T4326" s="6"/>
      <c r="U4326" s="6"/>
      <c r="V4326" s="6"/>
      <c r="W4326" s="6"/>
      <c r="X4326" s="6"/>
      <c r="Y4326" s="6"/>
      <c r="Z4326" s="6"/>
      <c r="AA4326" s="6"/>
    </row>
    <row r="4327" ht="14.25">
      <c r="B4327" s="4" t="s">
        <v>1153</v>
      </c>
      <c r="C4327" s="4" t="s">
        <v>30741</v>
      </c>
      <c r="D4327" s="4" t="s">
        <v>247</v>
      </c>
      <c r="E4327" s="4" t="s">
        <v>30742</v>
      </c>
      <c r="F4327" s="4" t="str">
        <f>IFERROR(__XLUDF.DUMMYFUNCTION("PROPER(REGEXREPLACE(D732,""[^A-Za-z]+ "",""""))"),"Clémence Consulting")</f>
        <v xml:space="preserve">Clémence Consulting</v>
      </c>
      <c r="G4327" s="4" t="s">
        <v>30743</v>
      </c>
      <c r="H4327" s="4">
        <v>29</v>
      </c>
      <c r="I4327" s="4" t="s">
        <v>4067</v>
      </c>
      <c r="J4327" s="4" t="str">
        <f>IFERROR(__XLUDF.DUMMYFUNCTION("VLOOKUP(H732,IMPORTRANGE(""https://docs.google.com/spreadsheets/d/1opm6ZNvGZ7KditA9TuJwrZ25eFLfTNIkrNnY6mhV5Eg"",""list!A1:C115""),3,TRUE)"),"le secteur du conseil en management")</f>
        <v xml:space="preserve">le secteur du conseil en management</v>
      </c>
      <c r="K4327" s="5" t="s">
        <v>30744</v>
      </c>
      <c r="L4327" s="5" t="s">
        <v>30745</v>
      </c>
      <c r="M4327" s="4" t="s">
        <v>39</v>
      </c>
      <c r="N4327" s="4" t="s">
        <v>29</v>
      </c>
      <c r="O4327" s="4" t="s">
        <v>30746</v>
      </c>
      <c r="P4327" s="4" t="s">
        <v>29</v>
      </c>
      <c r="Q4327" s="4" t="s">
        <v>30747</v>
      </c>
      <c r="R4327" s="6"/>
      <c r="S4327" s="6"/>
      <c r="T4327" s="6"/>
      <c r="U4327" s="6"/>
      <c r="V4327" s="6"/>
      <c r="W4327" s="6"/>
      <c r="X4327" s="6"/>
      <c r="Y4327" s="6"/>
      <c r="Z4327" s="6"/>
      <c r="AA4327" s="6"/>
    </row>
    <row r="4328" ht="14.25">
      <c r="B4328" s="4" t="s">
        <v>3540</v>
      </c>
      <c r="C4328" s="4" t="s">
        <v>30748</v>
      </c>
      <c r="D4328" s="4" t="s">
        <v>30749</v>
      </c>
      <c r="E4328" s="4" t="s">
        <v>30750</v>
      </c>
      <c r="F4328" s="4" t="str">
        <f>IFERROR(__XLUDF.DUMMYFUNCTION("PROPER(REGEXREPLACE(D733,""[^A-Za-z]+ "",""""))"),"Maobi User-Centricsustainable Innovation")</f>
        <v xml:space="preserve">Maobi User-Centricsustainable Innovation</v>
      </c>
      <c r="G4328" s="4" t="s">
        <v>30751</v>
      </c>
      <c r="H4328" s="4">
        <v>16</v>
      </c>
      <c r="I4328" s="4" t="s">
        <v>4067</v>
      </c>
      <c r="J4328" s="4" t="str">
        <f>IFERROR(__XLUDF.DUMMYFUNCTION("VLOOKUP(H733,IMPORTRANGE(""https://docs.google.com/spreadsheets/d/1opm6ZNvGZ7KditA9TuJwrZ25eFLfTNIkrNnY6mhV5Eg"",""list!A1:C115""),3,TRUE)"),"le secteur du conseil en management")</f>
        <v xml:space="preserve">le secteur du conseil en management</v>
      </c>
      <c r="K4328" s="5" t="s">
        <v>30752</v>
      </c>
      <c r="L4328" s="5" t="s">
        <v>30753</v>
      </c>
      <c r="M4328" s="4" t="s">
        <v>185</v>
      </c>
      <c r="N4328" s="4" t="s">
        <v>29</v>
      </c>
      <c r="O4328" s="4" t="s">
        <v>1283</v>
      </c>
      <c r="P4328" s="4" t="s">
        <v>29</v>
      </c>
      <c r="Q4328" s="4" t="s">
        <v>30754</v>
      </c>
      <c r="R4328" s="6"/>
      <c r="S4328" s="6"/>
      <c r="T4328" s="6"/>
      <c r="U4328" s="6"/>
      <c r="V4328" s="6"/>
      <c r="W4328" s="6"/>
      <c r="X4328" s="6"/>
      <c r="Y4328" s="6"/>
      <c r="Z4328" s="6"/>
      <c r="AA4328" s="6"/>
    </row>
    <row r="4329" ht="14.25">
      <c r="B4329" s="4" t="s">
        <v>866</v>
      </c>
      <c r="C4329" s="4" t="s">
        <v>30755</v>
      </c>
      <c r="D4329" s="4" t="s">
        <v>112</v>
      </c>
      <c r="E4329" s="4" t="s">
        <v>30756</v>
      </c>
      <c r="F4329" s="4" t="str">
        <f>IFERROR(__XLUDF.DUMMYFUNCTION("PROPER(REGEXREPLACE(D734,""[^A-Za-z]+ "",""""))"),"Acritec")</f>
        <v>Acritec</v>
      </c>
      <c r="G4329" s="4" t="s">
        <v>30757</v>
      </c>
      <c r="H4329" s="4">
        <v>36</v>
      </c>
      <c r="I4329" s="4" t="s">
        <v>4067</v>
      </c>
      <c r="J4329" s="4" t="str">
        <f>IFERROR(__XLUDF.DUMMYFUNCTION("VLOOKUP(H734,IMPORTRANGE(""https://docs.google.com/spreadsheets/d/1opm6ZNvGZ7KditA9TuJwrZ25eFLfTNIkrNnY6mhV5Eg"",""list!A1:C115""),3,TRUE)"),"le secteur du conseil en management")</f>
        <v xml:space="preserve">le secteur du conseil en management</v>
      </c>
      <c r="K4329" s="5" t="s">
        <v>30758</v>
      </c>
      <c r="L4329" s="5" t="s">
        <v>30759</v>
      </c>
      <c r="M4329" s="4" t="s">
        <v>1507</v>
      </c>
      <c r="N4329" s="4" t="s">
        <v>29</v>
      </c>
      <c r="O4329" s="4" t="s">
        <v>30760</v>
      </c>
      <c r="P4329" s="4" t="s">
        <v>29</v>
      </c>
      <c r="Q4329" s="4" t="s">
        <v>30761</v>
      </c>
      <c r="R4329" s="6"/>
      <c r="S4329" s="6"/>
      <c r="T4329" s="6"/>
      <c r="U4329" s="6"/>
      <c r="V4329" s="6"/>
      <c r="W4329" s="6"/>
      <c r="X4329" s="6"/>
      <c r="Y4329" s="6"/>
      <c r="Z4329" s="6"/>
      <c r="AA4329" s="6"/>
    </row>
    <row r="4330" ht="14.25">
      <c r="B4330" s="4" t="s">
        <v>1009</v>
      </c>
      <c r="C4330" s="4" t="s">
        <v>30762</v>
      </c>
      <c r="D4330" s="4" t="s">
        <v>1130</v>
      </c>
      <c r="E4330" s="4" t="s">
        <v>30763</v>
      </c>
      <c r="F4330" s="4" t="str">
        <f>IFERROR(__XLUDF.DUMMYFUNCTION("PROPER(REGEXREPLACE(D735,""[^A-Za-z]+ "",""""))"),"Infinity Energies")</f>
        <v xml:space="preserve">Infinity Energies</v>
      </c>
      <c r="G4330" s="4" t="s">
        <v>30764</v>
      </c>
      <c r="H4330" s="4">
        <v>10</v>
      </c>
      <c r="I4330" s="4" t="s">
        <v>4067</v>
      </c>
      <c r="J4330" s="4" t="str">
        <f>IFERROR(__XLUDF.DUMMYFUNCTION("VLOOKUP(H735,IMPORTRANGE(""https://docs.google.com/spreadsheets/d/1opm6ZNvGZ7KditA9TuJwrZ25eFLfTNIkrNnY6mhV5Eg"",""list!A1:C115""),3,TRUE)"),"le secteur du conseil en management")</f>
        <v xml:space="preserve">le secteur du conseil en management</v>
      </c>
      <c r="K4330" s="5" t="s">
        <v>30765</v>
      </c>
      <c r="L4330" s="5" t="s">
        <v>30766</v>
      </c>
      <c r="M4330" s="4" t="s">
        <v>11032</v>
      </c>
      <c r="N4330" s="4" t="s">
        <v>29</v>
      </c>
      <c r="O4330" s="4" t="s">
        <v>30767</v>
      </c>
      <c r="P4330" s="4" t="s">
        <v>29</v>
      </c>
      <c r="Q4330" s="4" t="s">
        <v>30768</v>
      </c>
      <c r="R4330" s="6"/>
      <c r="S4330" s="6"/>
      <c r="T4330" s="6"/>
      <c r="U4330" s="6"/>
      <c r="V4330" s="6"/>
      <c r="W4330" s="6"/>
      <c r="X4330" s="6"/>
      <c r="Y4330" s="6"/>
      <c r="Z4330" s="6"/>
      <c r="AA4330" s="6"/>
    </row>
    <row r="4331" ht="14.25">
      <c r="B4331" s="4" t="s">
        <v>1732</v>
      </c>
      <c r="C4331" s="4" t="s">
        <v>30769</v>
      </c>
      <c r="D4331" s="4" t="s">
        <v>112</v>
      </c>
      <c r="E4331" s="4" t="s">
        <v>30770</v>
      </c>
      <c r="F4331" s="4" t="str">
        <f>IFERROR(__XLUDF.DUMMYFUNCTION("PROPER(REGEXREPLACE(D736,""[^A-Za-z]+ "",""""))"),"Nexialist")</f>
        <v>Nexialist</v>
      </c>
      <c r="G4331" s="4" t="s">
        <v>30771</v>
      </c>
      <c r="H4331" s="4">
        <v>28</v>
      </c>
      <c r="I4331" s="4" t="s">
        <v>4067</v>
      </c>
      <c r="J4331" s="4" t="str">
        <f>IFERROR(__XLUDF.DUMMYFUNCTION("VLOOKUP(H736,IMPORTRANGE(""https://docs.google.com/spreadsheets/d/1opm6ZNvGZ7KditA9TuJwrZ25eFLfTNIkrNnY6mhV5Eg"",""list!A1:C115""),3,TRUE)"),"le secteur du conseil en management")</f>
        <v xml:space="preserve">le secteur du conseil en management</v>
      </c>
      <c r="K4331" s="5" t="s">
        <v>30772</v>
      </c>
      <c r="L4331" s="5" t="s">
        <v>30773</v>
      </c>
      <c r="M4331" s="4" t="s">
        <v>10088</v>
      </c>
      <c r="N4331" s="4" t="s">
        <v>29</v>
      </c>
      <c r="O4331" s="4" t="s">
        <v>30774</v>
      </c>
      <c r="P4331" s="4" t="s">
        <v>29</v>
      </c>
      <c r="Q4331" s="4" t="s">
        <v>30775</v>
      </c>
      <c r="R4331" s="6"/>
      <c r="S4331" s="6"/>
      <c r="T4331" s="6"/>
      <c r="U4331" s="6"/>
      <c r="V4331" s="6"/>
      <c r="W4331" s="6"/>
      <c r="X4331" s="6"/>
      <c r="Y4331" s="6"/>
      <c r="Z4331" s="6"/>
      <c r="AA4331" s="6"/>
    </row>
    <row r="4332" ht="14.25">
      <c r="B4332" s="4" t="s">
        <v>76</v>
      </c>
      <c r="C4332" s="4" t="s">
        <v>30776</v>
      </c>
      <c r="D4332" s="4" t="s">
        <v>13072</v>
      </c>
      <c r="E4332" s="4" t="s">
        <v>30777</v>
      </c>
      <c r="F4332" s="4" t="str">
        <f>IFERROR(__XLUDF.DUMMYFUNCTION("PROPER(REGEXREPLACE(D737,""[^A-Za-z]+ "",""""))"),"Komodal")</f>
        <v>Komodal</v>
      </c>
      <c r="G4332" s="4" t="s">
        <v>30778</v>
      </c>
      <c r="H4332" s="4">
        <v>14</v>
      </c>
      <c r="I4332" s="4" t="s">
        <v>4067</v>
      </c>
      <c r="J4332" s="4" t="str">
        <f>IFERROR(__XLUDF.DUMMYFUNCTION("VLOOKUP(H737,IMPORTRANGE(""https://docs.google.com/spreadsheets/d/1opm6ZNvGZ7KditA9TuJwrZ25eFLfTNIkrNnY6mhV5Eg"",""list!A1:C115""),3,TRUE)"),"le secteur du conseil en management")</f>
        <v xml:space="preserve">le secteur du conseil en management</v>
      </c>
      <c r="K4332" s="5" t="s">
        <v>30779</v>
      </c>
      <c r="L4332" s="5" t="s">
        <v>30780</v>
      </c>
      <c r="M4332" s="6"/>
      <c r="N4332" s="4" t="s">
        <v>29</v>
      </c>
      <c r="O4332" s="4" t="s">
        <v>23870</v>
      </c>
      <c r="P4332" s="4" t="s">
        <v>29</v>
      </c>
      <c r="Q4332" s="4" t="s">
        <v>30781</v>
      </c>
      <c r="R4332" s="6"/>
      <c r="S4332" s="6"/>
      <c r="T4332" s="6"/>
      <c r="U4332" s="6"/>
      <c r="V4332" s="6"/>
      <c r="W4332" s="6"/>
      <c r="X4332" s="6"/>
      <c r="Y4332" s="6"/>
      <c r="Z4332" s="6"/>
      <c r="AA4332" s="6"/>
    </row>
    <row r="4333" ht="14.25">
      <c r="B4333" s="4" t="s">
        <v>604</v>
      </c>
      <c r="C4333" s="4" t="s">
        <v>30782</v>
      </c>
      <c r="D4333" s="4" t="s">
        <v>30783</v>
      </c>
      <c r="E4333" s="4" t="s">
        <v>30784</v>
      </c>
      <c r="F4333" s="4" t="str">
        <f>IFERROR(__XLUDF.DUMMYFUNCTION("PROPER(REGEXREPLACE(D738,""[^A-Za-z]+ "",""""))"),"Bretteville Consulting")</f>
        <v xml:space="preserve">Bretteville Consulting</v>
      </c>
      <c r="G4333" s="4" t="s">
        <v>30785</v>
      </c>
      <c r="H4333" s="4">
        <v>16</v>
      </c>
      <c r="I4333" s="4" t="s">
        <v>4067</v>
      </c>
      <c r="J4333" s="4" t="str">
        <f>IFERROR(__XLUDF.DUMMYFUNCTION("VLOOKUP(H738,IMPORTRANGE(""https://docs.google.com/spreadsheets/d/1opm6ZNvGZ7KditA9TuJwrZ25eFLfTNIkrNnY6mhV5Eg"",""list!A1:C115""),3,TRUE)"),"le secteur du conseil en management")</f>
        <v xml:space="preserve">le secteur du conseil en management</v>
      </c>
      <c r="K4333" s="5" t="s">
        <v>30786</v>
      </c>
      <c r="L4333" s="5" t="s">
        <v>30787</v>
      </c>
      <c r="M4333" s="4" t="s">
        <v>39</v>
      </c>
      <c r="N4333" s="4" t="s">
        <v>29</v>
      </c>
      <c r="O4333" s="4" t="s">
        <v>30788</v>
      </c>
      <c r="P4333" s="4" t="s">
        <v>29</v>
      </c>
      <c r="Q4333" s="6"/>
      <c r="R4333" s="6"/>
      <c r="S4333" s="6"/>
      <c r="T4333" s="6"/>
      <c r="U4333" s="6"/>
      <c r="V4333" s="6"/>
      <c r="W4333" s="6"/>
      <c r="X4333" s="6"/>
      <c r="Y4333" s="6"/>
      <c r="Z4333" s="6"/>
      <c r="AA4333" s="6"/>
    </row>
    <row r="4334" ht="14.25">
      <c r="B4334" s="4" t="s">
        <v>330</v>
      </c>
      <c r="C4334" s="4" t="s">
        <v>4132</v>
      </c>
      <c r="D4334" s="4" t="s">
        <v>30789</v>
      </c>
      <c r="E4334" s="4" t="s">
        <v>30790</v>
      </c>
      <c r="F4334" s="4" t="str">
        <f>IFERROR(__XLUDF.DUMMYFUNCTION("PROPER(REGEXREPLACE(D739,""[^A-Za-z]+ "",""""))"),"Atep Services")</f>
        <v xml:space="preserve">Atep Services</v>
      </c>
      <c r="G4334" s="4" t="s">
        <v>30791</v>
      </c>
      <c r="H4334" s="4">
        <v>12</v>
      </c>
      <c r="I4334" s="4" t="s">
        <v>4067</v>
      </c>
      <c r="J4334" s="4" t="str">
        <f>IFERROR(__XLUDF.DUMMYFUNCTION("VLOOKUP(H739,IMPORTRANGE(""https://docs.google.com/spreadsheets/d/1opm6ZNvGZ7KditA9TuJwrZ25eFLfTNIkrNnY6mhV5Eg"",""list!A1:C115""),3,TRUE)"),"le secteur du conseil en management")</f>
        <v xml:space="preserve">le secteur du conseil en management</v>
      </c>
      <c r="K4334" s="5" t="s">
        <v>30792</v>
      </c>
      <c r="L4334" s="5" t="s">
        <v>30793</v>
      </c>
      <c r="M4334" s="6"/>
      <c r="N4334" s="4" t="s">
        <v>29</v>
      </c>
      <c r="O4334" s="4" t="s">
        <v>30794</v>
      </c>
      <c r="P4334" s="4" t="s">
        <v>29</v>
      </c>
      <c r="Q4334" s="6"/>
      <c r="R4334" s="6"/>
      <c r="S4334" s="6"/>
      <c r="T4334" s="6"/>
      <c r="U4334" s="6"/>
      <c r="V4334" s="6"/>
      <c r="W4334" s="6"/>
      <c r="X4334" s="6"/>
      <c r="Y4334" s="6"/>
      <c r="Z4334" s="6"/>
      <c r="AA4334" s="6"/>
    </row>
    <row r="4335" ht="14.25">
      <c r="B4335" s="4" t="s">
        <v>2932</v>
      </c>
      <c r="C4335" s="4" t="s">
        <v>30795</v>
      </c>
      <c r="D4335" s="4" t="s">
        <v>172</v>
      </c>
      <c r="E4335" s="4" t="s">
        <v>20506</v>
      </c>
      <c r="F4335" s="4" t="str">
        <f>IFERROR(__XLUDF.DUMMYFUNCTION("PROPER(REGEXREPLACE(D740,""[^A-Za-z]+ "",""""))"),"Issho")</f>
        <v>Issho</v>
      </c>
      <c r="G4335" s="4" t="s">
        <v>30796</v>
      </c>
      <c r="H4335" s="4">
        <v>27</v>
      </c>
      <c r="I4335" s="4" t="s">
        <v>4067</v>
      </c>
      <c r="J4335" s="4" t="str">
        <f>IFERROR(__XLUDF.DUMMYFUNCTION("VLOOKUP(H740,IMPORTRANGE(""https://docs.google.com/spreadsheets/d/1opm6ZNvGZ7KditA9TuJwrZ25eFLfTNIkrNnY6mhV5Eg"",""list!A1:C115""),3,TRUE)"),"le secteur du conseil en management")</f>
        <v xml:space="preserve">le secteur du conseil en management</v>
      </c>
      <c r="K4335" s="5" t="s">
        <v>30797</v>
      </c>
      <c r="L4335" s="5" t="s">
        <v>20509</v>
      </c>
      <c r="M4335" s="4" t="s">
        <v>39</v>
      </c>
      <c r="N4335" s="4" t="s">
        <v>29</v>
      </c>
      <c r="O4335" s="4" t="s">
        <v>67</v>
      </c>
      <c r="P4335" s="4" t="s">
        <v>29</v>
      </c>
      <c r="Q4335" s="6"/>
      <c r="R4335" s="6"/>
      <c r="S4335" s="6"/>
      <c r="T4335" s="6"/>
      <c r="U4335" s="6"/>
      <c r="V4335" s="6"/>
      <c r="W4335" s="6"/>
      <c r="X4335" s="6"/>
      <c r="Y4335" s="6"/>
      <c r="Z4335" s="6"/>
      <c r="AA4335" s="6"/>
    </row>
    <row r="4336" ht="14.25">
      <c r="B4336" s="4" t="s">
        <v>661</v>
      </c>
      <c r="C4336" s="4" t="s">
        <v>24820</v>
      </c>
      <c r="D4336" s="4" t="s">
        <v>426</v>
      </c>
      <c r="E4336" s="4" t="s">
        <v>30798</v>
      </c>
      <c r="F4336" s="4" t="str">
        <f>IFERROR(__XLUDF.DUMMYFUNCTION("PROPER(REGEXREPLACE(D741,""[^A-Za-z]+ "",""""))"),"Alierys")</f>
        <v>Alierys</v>
      </c>
      <c r="G4336" s="4" t="s">
        <v>30799</v>
      </c>
      <c r="H4336" s="4">
        <v>33</v>
      </c>
      <c r="I4336" s="4" t="s">
        <v>4067</v>
      </c>
      <c r="J4336" s="4" t="str">
        <f>IFERROR(__XLUDF.DUMMYFUNCTION("VLOOKUP(H741,IMPORTRANGE(""https://docs.google.com/spreadsheets/d/1opm6ZNvGZ7KditA9TuJwrZ25eFLfTNIkrNnY6mhV5Eg"",""list!A1:C115""),3,TRUE)"),"le secteur du conseil en management")</f>
        <v xml:space="preserve">le secteur du conseil en management</v>
      </c>
      <c r="K4336" s="5" t="s">
        <v>30800</v>
      </c>
      <c r="L4336" s="5" t="s">
        <v>30801</v>
      </c>
      <c r="M4336" s="4" t="s">
        <v>49</v>
      </c>
      <c r="N4336" s="4" t="s">
        <v>29</v>
      </c>
      <c r="O4336" s="4" t="s">
        <v>30802</v>
      </c>
      <c r="P4336" s="4" t="s">
        <v>29</v>
      </c>
      <c r="Q4336" s="6"/>
      <c r="R4336" s="6"/>
      <c r="S4336" s="6"/>
      <c r="T4336" s="6"/>
      <c r="U4336" s="6"/>
      <c r="V4336" s="6"/>
      <c r="W4336" s="6"/>
      <c r="X4336" s="6"/>
      <c r="Y4336" s="6"/>
      <c r="Z4336" s="6"/>
      <c r="AA4336" s="6"/>
    </row>
    <row r="4337" ht="14.25">
      <c r="B4337" s="4" t="s">
        <v>3002</v>
      </c>
      <c r="C4337" s="4" t="s">
        <v>30803</v>
      </c>
      <c r="D4337" s="4" t="s">
        <v>172</v>
      </c>
      <c r="E4337" s="4" t="s">
        <v>30804</v>
      </c>
      <c r="F4337" s="4" t="str">
        <f>IFERROR(__XLUDF.DUMMYFUNCTION("PROPER(REGEXREPLACE(D742,""[^A-Za-z]+ "",""""))"),"Aestera")</f>
        <v>Aestera</v>
      </c>
      <c r="G4337" s="4" t="s">
        <v>30805</v>
      </c>
      <c r="H4337" s="4">
        <v>10</v>
      </c>
      <c r="I4337" s="4" t="s">
        <v>4067</v>
      </c>
      <c r="J4337" s="4" t="str">
        <f>IFERROR(__XLUDF.DUMMYFUNCTION("VLOOKUP(H742,IMPORTRANGE(""https://docs.google.com/spreadsheets/d/1opm6ZNvGZ7KditA9TuJwrZ25eFLfTNIkrNnY6mhV5Eg"",""list!A1:C115""),3,TRUE)"),"le secteur du conseil en management")</f>
        <v xml:space="preserve">le secteur du conseil en management</v>
      </c>
      <c r="K4337" s="5" t="s">
        <v>30806</v>
      </c>
      <c r="L4337" s="5" t="s">
        <v>30807</v>
      </c>
      <c r="M4337" s="4" t="s">
        <v>21477</v>
      </c>
      <c r="N4337" s="4" t="s">
        <v>29</v>
      </c>
      <c r="O4337" s="4" t="s">
        <v>30808</v>
      </c>
      <c r="P4337" s="4" t="s">
        <v>29</v>
      </c>
      <c r="Q4337" s="4" t="s">
        <v>30809</v>
      </c>
      <c r="R4337" s="6"/>
      <c r="S4337" s="6"/>
      <c r="T4337" s="6"/>
      <c r="U4337" s="6"/>
      <c r="V4337" s="6"/>
      <c r="W4337" s="6"/>
      <c r="X4337" s="6"/>
      <c r="Y4337" s="6"/>
      <c r="Z4337" s="6"/>
      <c r="AA4337" s="6"/>
    </row>
    <row r="4338" ht="14.25">
      <c r="B4338" s="4" t="s">
        <v>30810</v>
      </c>
      <c r="C4338" s="4" t="s">
        <v>13740</v>
      </c>
      <c r="D4338" s="4" t="s">
        <v>30811</v>
      </c>
      <c r="E4338" s="4" t="s">
        <v>30812</v>
      </c>
      <c r="F4338" s="4" t="str">
        <f>IFERROR(__XLUDF.DUMMYFUNCTION("PROPER(REGEXREPLACE(D743,""[^A-Za-z]+ "",""""))"),"Albus Conseil")</f>
        <v xml:space="preserve">Albus Conseil</v>
      </c>
      <c r="G4338" s="4" t="s">
        <v>30813</v>
      </c>
      <c r="H4338" s="4">
        <v>19</v>
      </c>
      <c r="I4338" s="4" t="s">
        <v>4067</v>
      </c>
      <c r="J4338" s="4" t="str">
        <f>IFERROR(__XLUDF.DUMMYFUNCTION("VLOOKUP(H743,IMPORTRANGE(""https://docs.google.com/spreadsheets/d/1opm6ZNvGZ7KditA9TuJwrZ25eFLfTNIkrNnY6mhV5Eg"",""list!A1:C115""),3,TRUE)"),"le secteur du conseil en management")</f>
        <v xml:space="preserve">le secteur du conseil en management</v>
      </c>
      <c r="K4338" s="5" t="s">
        <v>30814</v>
      </c>
      <c r="L4338" s="5" t="s">
        <v>30815</v>
      </c>
      <c r="M4338" s="4" t="s">
        <v>1711</v>
      </c>
      <c r="N4338" s="4" t="s">
        <v>29</v>
      </c>
      <c r="O4338" s="4" t="s">
        <v>26424</v>
      </c>
      <c r="P4338" s="4" t="s">
        <v>29</v>
      </c>
      <c r="Q4338" s="6"/>
      <c r="R4338" s="6"/>
      <c r="S4338" s="6"/>
      <c r="T4338" s="6"/>
      <c r="U4338" s="6"/>
      <c r="V4338" s="6"/>
      <c r="W4338" s="6"/>
      <c r="X4338" s="6"/>
      <c r="Y4338" s="6"/>
      <c r="Z4338" s="6"/>
      <c r="AA4338" s="6"/>
    </row>
    <row r="4339" ht="14.25">
      <c r="B4339" s="4" t="s">
        <v>2925</v>
      </c>
      <c r="C4339" s="4" t="s">
        <v>25192</v>
      </c>
      <c r="D4339" s="4" t="s">
        <v>172</v>
      </c>
      <c r="E4339" s="4" t="s">
        <v>25193</v>
      </c>
      <c r="F4339" s="4" t="str">
        <f>IFERROR(__XLUDF.DUMMYFUNCTION("PROPER(REGEXREPLACE(D744,""[^A-Za-z]+ "",""""))"),"Heverett Group")</f>
        <v xml:space="preserve">Heverett Group</v>
      </c>
      <c r="G4339" s="4" t="s">
        <v>25194</v>
      </c>
      <c r="H4339" s="4">
        <v>26</v>
      </c>
      <c r="I4339" s="4" t="s">
        <v>4067</v>
      </c>
      <c r="J4339" s="4" t="str">
        <f>IFERROR(__XLUDF.DUMMYFUNCTION("VLOOKUP(H744,IMPORTRANGE(""https://docs.google.com/spreadsheets/d/1opm6ZNvGZ7KditA9TuJwrZ25eFLfTNIkrNnY6mhV5Eg"",""list!A1:C115""),3,TRUE)"),"le secteur du conseil en management")</f>
        <v xml:space="preserve">le secteur du conseil en management</v>
      </c>
      <c r="K4339" s="5" t="s">
        <v>30816</v>
      </c>
      <c r="L4339" s="5" t="s">
        <v>25196</v>
      </c>
      <c r="M4339" s="6"/>
      <c r="N4339" s="4" t="s">
        <v>29</v>
      </c>
      <c r="O4339" s="4" t="s">
        <v>25197</v>
      </c>
      <c r="P4339" s="4" t="s">
        <v>29</v>
      </c>
      <c r="Q4339" s="6"/>
      <c r="R4339" s="6"/>
      <c r="S4339" s="6"/>
      <c r="T4339" s="6"/>
      <c r="U4339" s="6"/>
      <c r="V4339" s="6"/>
      <c r="W4339" s="6"/>
      <c r="X4339" s="6"/>
      <c r="Y4339" s="6"/>
      <c r="Z4339" s="6"/>
      <c r="AA4339" s="6"/>
    </row>
    <row r="4340" ht="14.25">
      <c r="B4340" s="4" t="s">
        <v>2932</v>
      </c>
      <c r="C4340" s="4" t="s">
        <v>30817</v>
      </c>
      <c r="D4340" s="4" t="s">
        <v>112</v>
      </c>
      <c r="E4340" s="4" t="s">
        <v>30818</v>
      </c>
      <c r="F4340" s="4" t="str">
        <f>IFERROR(__XLUDF.DUMMYFUNCTION("PROPER(REGEXREPLACE(D745,""[^A-Za-z]+ "",""""))"),"Eti Finance")</f>
        <v xml:space="preserve">Eti Finance</v>
      </c>
      <c r="G4340" s="4" t="s">
        <v>30819</v>
      </c>
      <c r="H4340" s="4">
        <v>19</v>
      </c>
      <c r="I4340" s="4" t="s">
        <v>4067</v>
      </c>
      <c r="J4340" s="4" t="str">
        <f>IFERROR(__XLUDF.DUMMYFUNCTION("VLOOKUP(H745,IMPORTRANGE(""https://docs.google.com/spreadsheets/d/1opm6ZNvGZ7KditA9TuJwrZ25eFLfTNIkrNnY6mhV5Eg"",""list!A1:C115""),3,TRUE)"),"le secteur du conseil en management")</f>
        <v xml:space="preserve">le secteur du conseil en management</v>
      </c>
      <c r="K4340" s="5" t="s">
        <v>30820</v>
      </c>
      <c r="L4340" s="5" t="s">
        <v>30821</v>
      </c>
      <c r="M4340" s="4" t="s">
        <v>39</v>
      </c>
      <c r="N4340" s="4" t="s">
        <v>29</v>
      </c>
      <c r="O4340" s="4" t="s">
        <v>30822</v>
      </c>
      <c r="P4340" s="4" t="s">
        <v>29</v>
      </c>
      <c r="Q4340" s="4" t="s">
        <v>30823</v>
      </c>
      <c r="R4340" s="6"/>
      <c r="S4340" s="6"/>
      <c r="T4340" s="6"/>
      <c r="U4340" s="6"/>
      <c r="V4340" s="6"/>
      <c r="W4340" s="6"/>
      <c r="X4340" s="6"/>
      <c r="Y4340" s="6"/>
      <c r="Z4340" s="6"/>
      <c r="AA4340" s="6"/>
    </row>
    <row r="4341" ht="14.25">
      <c r="B4341" s="4" t="s">
        <v>785</v>
      </c>
      <c r="C4341" s="4" t="s">
        <v>6147</v>
      </c>
      <c r="D4341" s="4" t="s">
        <v>30824</v>
      </c>
      <c r="E4341" s="4" t="s">
        <v>30825</v>
      </c>
      <c r="F4341" s="4" t="str">
        <f>IFERROR(__XLUDF.DUMMYFUNCTION("PROPER(REGEXREPLACE(D746,""[^A-Za-z]+ "",""""))"),"Weforge")</f>
        <v>Weforge</v>
      </c>
      <c r="G4341" s="4" t="s">
        <v>30826</v>
      </c>
      <c r="H4341" s="4">
        <v>12</v>
      </c>
      <c r="I4341" s="4" t="s">
        <v>4067</v>
      </c>
      <c r="J4341" s="4" t="str">
        <f>IFERROR(__XLUDF.DUMMYFUNCTION("VLOOKUP(H746,IMPORTRANGE(""https://docs.google.com/spreadsheets/d/1opm6ZNvGZ7KditA9TuJwrZ25eFLfTNIkrNnY6mhV5Eg"",""list!A1:C115""),3,TRUE)"),"le secteur du conseil en management")</f>
        <v xml:space="preserve">le secteur du conseil en management</v>
      </c>
      <c r="K4341" s="5" t="s">
        <v>30827</v>
      </c>
      <c r="L4341" s="5" t="s">
        <v>30828</v>
      </c>
      <c r="M4341" s="4" t="s">
        <v>1312</v>
      </c>
      <c r="N4341" s="4" t="s">
        <v>29</v>
      </c>
      <c r="O4341" s="4" t="s">
        <v>30829</v>
      </c>
      <c r="P4341" s="4" t="s">
        <v>29</v>
      </c>
      <c r="Q4341" s="4" t="s">
        <v>30830</v>
      </c>
      <c r="R4341" s="6"/>
      <c r="S4341" s="6"/>
      <c r="T4341" s="6"/>
      <c r="U4341" s="6"/>
      <c r="V4341" s="6"/>
      <c r="W4341" s="6"/>
      <c r="X4341" s="6"/>
      <c r="Y4341" s="6"/>
      <c r="Z4341" s="6"/>
      <c r="AA4341" s="6"/>
    </row>
    <row r="4342" ht="14.25">
      <c r="B4342" s="4" t="s">
        <v>20</v>
      </c>
      <c r="C4342" s="4" t="s">
        <v>30831</v>
      </c>
      <c r="D4342" s="4" t="s">
        <v>3188</v>
      </c>
      <c r="E4342" s="4" t="s">
        <v>30832</v>
      </c>
      <c r="F4342" s="4" t="str">
        <f>IFERROR(__XLUDF.DUMMYFUNCTION("PROPER(REGEXREPLACE(D747,""[^A-Za-z]+ "",""""))"),"Wow")</f>
        <v>Wow</v>
      </c>
      <c r="G4342" s="4" t="s">
        <v>30833</v>
      </c>
      <c r="H4342" s="4">
        <v>10</v>
      </c>
      <c r="I4342" s="4" t="s">
        <v>4067</v>
      </c>
      <c r="J4342" s="4" t="str">
        <f>IFERROR(__XLUDF.DUMMYFUNCTION("VLOOKUP(H747,IMPORTRANGE(""https://docs.google.com/spreadsheets/d/1opm6ZNvGZ7KditA9TuJwrZ25eFLfTNIkrNnY6mhV5Eg"",""list!A1:C115""),3,TRUE)"),"le secteur du conseil en management")</f>
        <v xml:space="preserve">le secteur du conseil en management</v>
      </c>
      <c r="K4342" s="5" t="s">
        <v>30834</v>
      </c>
      <c r="L4342" s="5" t="s">
        <v>30835</v>
      </c>
      <c r="M4342" s="4" t="s">
        <v>3049</v>
      </c>
      <c r="N4342" s="4" t="s">
        <v>29</v>
      </c>
      <c r="O4342" s="4" t="s">
        <v>30836</v>
      </c>
      <c r="P4342" s="4" t="s">
        <v>1152</v>
      </c>
      <c r="Q4342" s="4" t="s">
        <v>30837</v>
      </c>
      <c r="R4342" s="6"/>
      <c r="S4342" s="6"/>
      <c r="T4342" s="6"/>
      <c r="U4342" s="6"/>
      <c r="V4342" s="6"/>
      <c r="W4342" s="6"/>
      <c r="X4342" s="6"/>
      <c r="Y4342" s="6"/>
      <c r="Z4342" s="6"/>
      <c r="AA4342" s="6"/>
    </row>
    <row r="4343" ht="14.25">
      <c r="B4343" s="4" t="s">
        <v>30838</v>
      </c>
      <c r="C4343" s="4" t="s">
        <v>30839</v>
      </c>
      <c r="D4343" s="4" t="s">
        <v>27601</v>
      </c>
      <c r="E4343" s="4" t="s">
        <v>30840</v>
      </c>
      <c r="F4343" s="4" t="str">
        <f>IFERROR(__XLUDF.DUMMYFUNCTION("PROPER(REGEXREPLACE(D748,""[^A-Za-z]+ "",""""))"),"Enjoy Strategy")</f>
        <v xml:space="preserve">Enjoy Strategy</v>
      </c>
      <c r="G4343" s="4" t="s">
        <v>30841</v>
      </c>
      <c r="H4343" s="4">
        <v>10</v>
      </c>
      <c r="I4343" s="4" t="s">
        <v>4067</v>
      </c>
      <c r="J4343" s="4" t="str">
        <f>IFERROR(__XLUDF.DUMMYFUNCTION("VLOOKUP(H748,IMPORTRANGE(""https://docs.google.com/spreadsheets/d/1opm6ZNvGZ7KditA9TuJwrZ25eFLfTNIkrNnY6mhV5Eg"",""list!A1:C115""),3,TRUE)"),"le secteur du conseil en management")</f>
        <v xml:space="preserve">le secteur du conseil en management</v>
      </c>
      <c r="K4343" s="5" t="s">
        <v>30842</v>
      </c>
      <c r="L4343" s="5" t="s">
        <v>30843</v>
      </c>
      <c r="M4343" s="4" t="s">
        <v>39</v>
      </c>
      <c r="N4343" s="4" t="s">
        <v>29</v>
      </c>
      <c r="O4343" s="4" t="s">
        <v>67</v>
      </c>
      <c r="P4343" s="4" t="s">
        <v>29</v>
      </c>
      <c r="Q4343" s="6"/>
      <c r="R4343" s="6"/>
      <c r="S4343" s="6"/>
      <c r="T4343" s="6"/>
      <c r="U4343" s="6"/>
      <c r="V4343" s="6"/>
      <c r="W4343" s="6"/>
      <c r="X4343" s="6"/>
      <c r="Y4343" s="6"/>
      <c r="Z4343" s="6"/>
      <c r="AA4343" s="6"/>
    </row>
    <row r="4344" ht="14.25">
      <c r="B4344" s="4" t="s">
        <v>222</v>
      </c>
      <c r="C4344" s="4" t="s">
        <v>30844</v>
      </c>
      <c r="D4344" s="4" t="s">
        <v>172</v>
      </c>
      <c r="E4344" s="4" t="s">
        <v>30845</v>
      </c>
      <c r="F4344" s="4" t="str">
        <f>IFERROR(__XLUDF.DUMMYFUNCTION("PROPER(REGEXREPLACE(D749,""[^A-Za-z]+ "",""""))"),"Rexia")</f>
        <v>Rexia</v>
      </c>
      <c r="G4344" s="4" t="s">
        <v>30846</v>
      </c>
      <c r="H4344" s="4">
        <v>34</v>
      </c>
      <c r="I4344" s="4" t="s">
        <v>4067</v>
      </c>
      <c r="J4344" s="4" t="str">
        <f>IFERROR(__XLUDF.DUMMYFUNCTION("VLOOKUP(H749,IMPORTRANGE(""https://docs.google.com/spreadsheets/d/1opm6ZNvGZ7KditA9TuJwrZ25eFLfTNIkrNnY6mhV5Eg"",""list!A1:C115""),3,TRUE)"),"le secteur du conseil en management")</f>
        <v xml:space="preserve">le secteur du conseil en management</v>
      </c>
      <c r="K4344" s="5" t="s">
        <v>30847</v>
      </c>
      <c r="L4344" s="5" t="s">
        <v>30848</v>
      </c>
      <c r="M4344" s="4" t="s">
        <v>185</v>
      </c>
      <c r="N4344" s="4" t="s">
        <v>29</v>
      </c>
      <c r="O4344" s="4" t="s">
        <v>30849</v>
      </c>
      <c r="P4344" s="4" t="s">
        <v>29</v>
      </c>
      <c r="Q4344" s="4" t="s">
        <v>30850</v>
      </c>
      <c r="R4344" s="6"/>
      <c r="S4344" s="6"/>
      <c r="T4344" s="6"/>
      <c r="U4344" s="6"/>
      <c r="V4344" s="6"/>
      <c r="W4344" s="6"/>
      <c r="X4344" s="6"/>
      <c r="Y4344" s="6"/>
      <c r="Z4344" s="6"/>
      <c r="AA4344" s="6"/>
    </row>
    <row r="4345" ht="14.25">
      <c r="B4345" s="4" t="s">
        <v>1454</v>
      </c>
      <c r="C4345" s="4" t="s">
        <v>30851</v>
      </c>
      <c r="D4345" s="4" t="s">
        <v>30852</v>
      </c>
      <c r="E4345" s="4" t="s">
        <v>30853</v>
      </c>
      <c r="F4345" s="4" t="str">
        <f>IFERROR(__XLUDF.DUMMYFUNCTION("PROPER(REGEXREPLACE(D750,""[^A-Za-z]+ "",""""))"),"Bt2I")</f>
        <v>Bt2I</v>
      </c>
      <c r="G4345" s="4" t="s">
        <v>30854</v>
      </c>
      <c r="H4345" s="4">
        <v>11</v>
      </c>
      <c r="I4345" s="4" t="s">
        <v>4067</v>
      </c>
      <c r="J4345" s="4" t="str">
        <f>IFERROR(__XLUDF.DUMMYFUNCTION("VLOOKUP(H750,IMPORTRANGE(""https://docs.google.com/spreadsheets/d/1opm6ZNvGZ7KditA9TuJwrZ25eFLfTNIkrNnY6mhV5Eg"",""list!A1:C115""),3,TRUE)"),"le secteur du conseil en management")</f>
        <v xml:space="preserve">le secteur du conseil en management</v>
      </c>
      <c r="K4345" s="5" t="s">
        <v>30855</v>
      </c>
      <c r="L4345" s="5" t="s">
        <v>30856</v>
      </c>
      <c r="M4345" s="4" t="s">
        <v>39</v>
      </c>
      <c r="N4345" s="4" t="s">
        <v>29</v>
      </c>
      <c r="O4345" s="4" t="s">
        <v>30857</v>
      </c>
      <c r="P4345" s="4" t="s">
        <v>29</v>
      </c>
      <c r="Q4345" s="6"/>
      <c r="R4345" s="6"/>
      <c r="S4345" s="6"/>
      <c r="T4345" s="6"/>
      <c r="U4345" s="6"/>
      <c r="V4345" s="6"/>
      <c r="W4345" s="6"/>
      <c r="X4345" s="6"/>
      <c r="Y4345" s="6"/>
      <c r="Z4345" s="6"/>
      <c r="AA4345" s="6"/>
    </row>
    <row r="4346" ht="14.25">
      <c r="B4346" s="4" t="s">
        <v>30858</v>
      </c>
      <c r="C4346" s="4" t="s">
        <v>30859</v>
      </c>
      <c r="D4346" s="4" t="s">
        <v>164</v>
      </c>
      <c r="E4346" s="4" t="s">
        <v>30860</v>
      </c>
      <c r="F4346" s="4" t="str">
        <f>IFERROR(__XLUDF.DUMMYFUNCTION("PROPER(REGEXREPLACE(D751,""[^A-Za-z]+ "",""""))"),"_Icilundi")</f>
        <v>_Icilundi</v>
      </c>
      <c r="G4346" s="4" t="s">
        <v>30861</v>
      </c>
      <c r="H4346" s="4">
        <v>34</v>
      </c>
      <c r="I4346" s="4" t="s">
        <v>4067</v>
      </c>
      <c r="J4346" s="4" t="str">
        <f>IFERROR(__XLUDF.DUMMYFUNCTION("VLOOKUP(H751,IMPORTRANGE(""https://docs.google.com/spreadsheets/d/1opm6ZNvGZ7KditA9TuJwrZ25eFLfTNIkrNnY6mhV5Eg"",""list!A1:C115""),3,TRUE)"),"le secteur du conseil en management")</f>
        <v xml:space="preserve">le secteur du conseil en management</v>
      </c>
      <c r="K4346" s="5" t="s">
        <v>30862</v>
      </c>
      <c r="L4346" s="5" t="s">
        <v>18370</v>
      </c>
      <c r="M4346" s="4" t="s">
        <v>1711</v>
      </c>
      <c r="N4346" s="4" t="s">
        <v>29</v>
      </c>
      <c r="O4346" s="4" t="s">
        <v>18371</v>
      </c>
      <c r="P4346" s="4" t="s">
        <v>29</v>
      </c>
      <c r="Q4346" s="6"/>
      <c r="R4346" s="6"/>
      <c r="S4346" s="6"/>
      <c r="T4346" s="6"/>
      <c r="U4346" s="6"/>
      <c r="V4346" s="6"/>
      <c r="W4346" s="6"/>
      <c r="X4346" s="6"/>
      <c r="Y4346" s="6"/>
      <c r="Z4346" s="6"/>
      <c r="AA4346" s="6"/>
    </row>
    <row r="4347" ht="14.25">
      <c r="B4347" s="4" t="s">
        <v>12327</v>
      </c>
      <c r="C4347" s="4" t="s">
        <v>30863</v>
      </c>
      <c r="D4347" s="4" t="s">
        <v>112</v>
      </c>
      <c r="E4347" s="4" t="s">
        <v>30864</v>
      </c>
      <c r="F4347" s="4" t="str">
        <f>IFERROR(__XLUDF.DUMMYFUNCTION("PROPER(REGEXREPLACE(D752,""[^A-Za-z]+ "",""""))"),"Bgp Conseil")</f>
        <v xml:space="preserve">Bgp Conseil</v>
      </c>
      <c r="G4347" s="4" t="s">
        <v>30865</v>
      </c>
      <c r="H4347" s="4">
        <v>14</v>
      </c>
      <c r="I4347" s="4" t="s">
        <v>4067</v>
      </c>
      <c r="J4347" s="4" t="str">
        <f>IFERROR(__XLUDF.DUMMYFUNCTION("VLOOKUP(H752,IMPORTRANGE(""https://docs.google.com/spreadsheets/d/1opm6ZNvGZ7KditA9TuJwrZ25eFLfTNIkrNnY6mhV5Eg"",""list!A1:C115""),3,TRUE)"),"le secteur du conseil en management")</f>
        <v xml:space="preserve">le secteur du conseil en management</v>
      </c>
      <c r="K4347" s="5" t="s">
        <v>30866</v>
      </c>
      <c r="L4347" s="5" t="s">
        <v>30867</v>
      </c>
      <c r="M4347" s="4" t="s">
        <v>5376</v>
      </c>
      <c r="N4347" s="4" t="s">
        <v>29</v>
      </c>
      <c r="O4347" s="4" t="s">
        <v>30868</v>
      </c>
      <c r="P4347" s="4" t="s">
        <v>29</v>
      </c>
      <c r="Q4347" s="4" t="s">
        <v>30869</v>
      </c>
      <c r="R4347" s="6"/>
      <c r="S4347" s="6"/>
      <c r="T4347" s="6"/>
      <c r="U4347" s="6"/>
      <c r="V4347" s="6"/>
      <c r="W4347" s="6"/>
      <c r="X4347" s="6"/>
      <c r="Y4347" s="6"/>
      <c r="Z4347" s="6"/>
      <c r="AA4347" s="6"/>
    </row>
    <row r="4348" ht="14.25">
      <c r="B4348" s="4" t="s">
        <v>596</v>
      </c>
      <c r="C4348" s="4" t="s">
        <v>12609</v>
      </c>
      <c r="D4348" s="4" t="s">
        <v>265</v>
      </c>
      <c r="E4348" s="4" t="s">
        <v>30331</v>
      </c>
      <c r="F4348" s="4" t="str">
        <f>IFERROR(__XLUDF.DUMMYFUNCTION("PROPER(REGEXREPLACE(D753,""[^A-Za-z]+ "",""""))"),"At Home Écosystème")</f>
        <v xml:space="preserve">At Home Écosystème</v>
      </c>
      <c r="G4348" s="4" t="s">
        <v>30870</v>
      </c>
      <c r="H4348" s="4">
        <v>19</v>
      </c>
      <c r="I4348" s="4" t="s">
        <v>4067</v>
      </c>
      <c r="J4348" s="4" t="str">
        <f>IFERROR(__XLUDF.DUMMYFUNCTION("VLOOKUP(H753,IMPORTRANGE(""https://docs.google.com/spreadsheets/d/1opm6ZNvGZ7KditA9TuJwrZ25eFLfTNIkrNnY6mhV5Eg"",""list!A1:C115""),3,TRUE)"),"le secteur du conseil en management")</f>
        <v xml:space="preserve">le secteur du conseil en management</v>
      </c>
      <c r="K4348" s="5" t="s">
        <v>30871</v>
      </c>
      <c r="L4348" s="5" t="s">
        <v>30334</v>
      </c>
      <c r="M4348" s="6"/>
      <c r="N4348" s="4" t="s">
        <v>29</v>
      </c>
      <c r="O4348" s="4" t="s">
        <v>30335</v>
      </c>
      <c r="P4348" s="4" t="s">
        <v>29</v>
      </c>
      <c r="Q4348" s="4" t="s">
        <v>30336</v>
      </c>
      <c r="R4348" s="6"/>
      <c r="S4348" s="6"/>
      <c r="T4348" s="6"/>
      <c r="U4348" s="6"/>
      <c r="V4348" s="6"/>
      <c r="W4348" s="6"/>
      <c r="X4348" s="6"/>
      <c r="Y4348" s="6"/>
      <c r="Z4348" s="6"/>
      <c r="AA4348" s="6"/>
    </row>
    <row r="4349" ht="14.25">
      <c r="B4349" s="4" t="s">
        <v>30872</v>
      </c>
      <c r="C4349" s="4" t="s">
        <v>2744</v>
      </c>
      <c r="D4349" s="4" t="s">
        <v>23197</v>
      </c>
      <c r="E4349" s="4" t="s">
        <v>24929</v>
      </c>
      <c r="F4349" s="4" t="str">
        <f>IFERROR(__XLUDF.DUMMYFUNCTION("PROPER(REGEXREPLACE(D754,""[^A-Za-z]+ "",""""))"),"Associés En Gouvernance")</f>
        <v xml:space="preserve">Associés En Gouvernance</v>
      </c>
      <c r="G4349" s="4" t="s">
        <v>30873</v>
      </c>
      <c r="H4349" s="4">
        <v>20</v>
      </c>
      <c r="I4349" s="4" t="s">
        <v>4067</v>
      </c>
      <c r="J4349" s="4" t="str">
        <f>IFERROR(__XLUDF.DUMMYFUNCTION("VLOOKUP(H754,IMPORTRANGE(""https://docs.google.com/spreadsheets/d/1opm6ZNvGZ7KditA9TuJwrZ25eFLfTNIkrNnY6mhV5Eg"",""list!A1:C115""),3,TRUE)"),"le secteur du conseil en management")</f>
        <v xml:space="preserve">le secteur du conseil en management</v>
      </c>
      <c r="K4349" s="5" t="s">
        <v>30874</v>
      </c>
      <c r="L4349" s="5" t="s">
        <v>24932</v>
      </c>
      <c r="M4349" s="4" t="s">
        <v>39</v>
      </c>
      <c r="N4349" s="4" t="s">
        <v>29</v>
      </c>
      <c r="O4349" s="4" t="s">
        <v>24933</v>
      </c>
      <c r="P4349" s="4" t="s">
        <v>29</v>
      </c>
      <c r="Q4349" s="4" t="s">
        <v>24934</v>
      </c>
      <c r="R4349" s="6"/>
      <c r="S4349" s="6"/>
      <c r="T4349" s="6"/>
      <c r="U4349" s="6"/>
      <c r="V4349" s="6"/>
      <c r="W4349" s="6"/>
      <c r="X4349" s="6"/>
      <c r="Y4349" s="6"/>
      <c r="Z4349" s="6"/>
      <c r="AA4349" s="6"/>
    </row>
    <row r="4350" ht="14.25">
      <c r="B4350" s="4" t="s">
        <v>30875</v>
      </c>
      <c r="C4350" s="4" t="s">
        <v>30876</v>
      </c>
      <c r="D4350" s="4" t="s">
        <v>230</v>
      </c>
      <c r="E4350" s="4" t="s">
        <v>30877</v>
      </c>
      <c r="F4350" s="4" t="str">
        <f>IFERROR(__XLUDF.DUMMYFUNCTION("PROPER(REGEXREPLACE(D755,""[^A-Za-z]+ "",""""))"),"Sunshine Advisory")</f>
        <v xml:space="preserve">Sunshine Advisory</v>
      </c>
      <c r="G4350" s="4" t="s">
        <v>30878</v>
      </c>
      <c r="H4350" s="4">
        <v>16</v>
      </c>
      <c r="I4350" s="4" t="s">
        <v>4067</v>
      </c>
      <c r="J4350" s="4" t="str">
        <f>IFERROR(__XLUDF.DUMMYFUNCTION("VLOOKUP(H755,IMPORTRANGE(""https://docs.google.com/spreadsheets/d/1opm6ZNvGZ7KditA9TuJwrZ25eFLfTNIkrNnY6mhV5Eg"",""list!A1:C115""),3,TRUE)"),"le secteur du conseil en management")</f>
        <v xml:space="preserve">le secteur du conseil en management</v>
      </c>
      <c r="K4350" s="5" t="s">
        <v>30879</v>
      </c>
      <c r="L4350" s="5" t="s">
        <v>30880</v>
      </c>
      <c r="M4350" s="4" t="s">
        <v>39</v>
      </c>
      <c r="N4350" s="4" t="s">
        <v>29</v>
      </c>
      <c r="O4350" s="4" t="s">
        <v>30881</v>
      </c>
      <c r="P4350" s="4" t="s">
        <v>30882</v>
      </c>
      <c r="Q4350" s="6"/>
      <c r="R4350" s="6"/>
      <c r="S4350" s="6"/>
      <c r="T4350" s="6"/>
      <c r="U4350" s="6"/>
      <c r="V4350" s="6"/>
      <c r="W4350" s="6"/>
      <c r="X4350" s="6"/>
      <c r="Y4350" s="6"/>
      <c r="Z4350" s="6"/>
      <c r="AA4350" s="6"/>
    </row>
    <row r="4351" ht="14.25">
      <c r="B4351" s="4" t="s">
        <v>30883</v>
      </c>
      <c r="C4351" s="4" t="s">
        <v>30884</v>
      </c>
      <c r="D4351" s="4" t="s">
        <v>5480</v>
      </c>
      <c r="E4351" s="4" t="s">
        <v>30885</v>
      </c>
      <c r="F4351" s="4" t="str">
        <f>IFERROR(__XLUDF.DUMMYFUNCTION("PROPER(REGEXREPLACE(D756,""[^A-Za-z]+ "",""""))"),"Ingecal")</f>
        <v>Ingecal</v>
      </c>
      <c r="G4351" s="4" t="s">
        <v>30886</v>
      </c>
      <c r="H4351" s="4">
        <v>47</v>
      </c>
      <c r="I4351" s="4" t="s">
        <v>4067</v>
      </c>
      <c r="J4351" s="4" t="str">
        <f>IFERROR(__XLUDF.DUMMYFUNCTION("VLOOKUP(H756,IMPORTRANGE(""https://docs.google.com/spreadsheets/d/1opm6ZNvGZ7KditA9TuJwrZ25eFLfTNIkrNnY6mhV5Eg"",""list!A1:C115""),3,TRUE)"),"le secteur du conseil en management")</f>
        <v xml:space="preserve">le secteur du conseil en management</v>
      </c>
      <c r="K4351" s="5" t="s">
        <v>30887</v>
      </c>
      <c r="L4351" s="5" t="s">
        <v>30888</v>
      </c>
      <c r="M4351" s="4" t="s">
        <v>30889</v>
      </c>
      <c r="N4351" s="4" t="s">
        <v>29</v>
      </c>
      <c r="O4351" s="4" t="s">
        <v>30890</v>
      </c>
      <c r="P4351" s="4" t="s">
        <v>1152</v>
      </c>
      <c r="Q4351" s="6"/>
      <c r="R4351" s="6"/>
      <c r="S4351" s="6"/>
      <c r="T4351" s="6"/>
      <c r="U4351" s="6"/>
      <c r="V4351" s="6"/>
      <c r="W4351" s="6"/>
      <c r="X4351" s="6"/>
      <c r="Y4351" s="6"/>
      <c r="Z4351" s="6"/>
      <c r="AA4351" s="6"/>
    </row>
    <row r="4352" ht="14.25">
      <c r="B4352" s="4" t="s">
        <v>2311</v>
      </c>
      <c r="C4352" s="4" t="s">
        <v>670</v>
      </c>
      <c r="D4352" s="4" t="s">
        <v>30891</v>
      </c>
      <c r="E4352" s="4" t="s">
        <v>30892</v>
      </c>
      <c r="F4352" s="4" t="str">
        <f>IFERROR(__XLUDF.DUMMYFUNCTION("PROPER(REGEXREPLACE(D757,""[^A-Za-z]+ "",""""))"),"Earnst")</f>
        <v>Earnst</v>
      </c>
      <c r="G4352" s="4" t="s">
        <v>30893</v>
      </c>
      <c r="H4352" s="4">
        <v>16</v>
      </c>
      <c r="I4352" s="4" t="s">
        <v>4067</v>
      </c>
      <c r="J4352" s="4" t="str">
        <f>IFERROR(__XLUDF.DUMMYFUNCTION("VLOOKUP(H757,IMPORTRANGE(""https://docs.google.com/spreadsheets/d/1opm6ZNvGZ7KditA9TuJwrZ25eFLfTNIkrNnY6mhV5Eg"",""list!A1:C115""),3,TRUE)"),"le secteur du conseil en management")</f>
        <v xml:space="preserve">le secteur du conseil en management</v>
      </c>
      <c r="K4352" s="5" t="s">
        <v>30894</v>
      </c>
      <c r="L4352" s="5" t="s">
        <v>30895</v>
      </c>
      <c r="M4352" s="6"/>
      <c r="N4352" s="4" t="s">
        <v>29</v>
      </c>
      <c r="O4352" s="6"/>
      <c r="P4352" s="6"/>
      <c r="Q4352" s="6"/>
      <c r="R4352" s="6"/>
      <c r="S4352" s="6"/>
      <c r="T4352" s="6"/>
      <c r="U4352" s="6"/>
      <c r="V4352" s="6"/>
      <c r="W4352" s="6"/>
      <c r="X4352" s="6"/>
      <c r="Y4352" s="6"/>
      <c r="Z4352" s="6"/>
      <c r="AA4352" s="6"/>
    </row>
    <row r="4353" ht="14.25">
      <c r="B4353" s="4" t="s">
        <v>322</v>
      </c>
      <c r="C4353" s="4" t="s">
        <v>30896</v>
      </c>
      <c r="D4353" s="4" t="s">
        <v>172</v>
      </c>
      <c r="E4353" s="4" t="s">
        <v>9502</v>
      </c>
      <c r="F4353" s="4" t="str">
        <f>IFERROR(__XLUDF.DUMMYFUNCTION("PROPER(REGEXREPLACE(D758,""[^A-Za-z]+ "",""""))"),"Acsantis")</f>
        <v>Acsantis</v>
      </c>
      <c r="G4353" s="4" t="s">
        <v>30897</v>
      </c>
      <c r="H4353" s="4">
        <v>17</v>
      </c>
      <c r="I4353" s="4" t="s">
        <v>4067</v>
      </c>
      <c r="J4353" s="4" t="str">
        <f>IFERROR(__XLUDF.DUMMYFUNCTION("VLOOKUP(H758,IMPORTRANGE(""https://docs.google.com/spreadsheets/d/1opm6ZNvGZ7KditA9TuJwrZ25eFLfTNIkrNnY6mhV5Eg"",""list!A1:C115""),3,TRUE)"),"le secteur du conseil en management")</f>
        <v xml:space="preserve">le secteur du conseil en management</v>
      </c>
      <c r="K4353" s="5" t="s">
        <v>30898</v>
      </c>
      <c r="L4353" s="5" t="s">
        <v>30899</v>
      </c>
      <c r="M4353" s="4" t="s">
        <v>846</v>
      </c>
      <c r="N4353" s="4" t="s">
        <v>29</v>
      </c>
      <c r="O4353" s="4" t="s">
        <v>30900</v>
      </c>
      <c r="P4353" s="4" t="s">
        <v>29</v>
      </c>
      <c r="Q4353" s="4" t="s">
        <v>9507</v>
      </c>
      <c r="R4353" s="6"/>
      <c r="S4353" s="6"/>
      <c r="T4353" s="6"/>
      <c r="U4353" s="6"/>
      <c r="V4353" s="6"/>
      <c r="W4353" s="6"/>
      <c r="X4353" s="6"/>
      <c r="Y4353" s="6"/>
      <c r="Z4353" s="6"/>
      <c r="AA4353" s="6"/>
    </row>
    <row r="4354" ht="14.25">
      <c r="B4354" s="4" t="s">
        <v>110</v>
      </c>
      <c r="C4354" s="4" t="s">
        <v>30901</v>
      </c>
      <c r="D4354" s="4" t="s">
        <v>112</v>
      </c>
      <c r="E4354" s="4" t="s">
        <v>24056</v>
      </c>
      <c r="F4354" s="4" t="str">
        <f>IFERROR(__XLUDF.DUMMYFUNCTION("PROPER(REGEXREPLACE(D759,""[^A-Za-z]+ "",""""))"),"Mobilités Demain")</f>
        <v xml:space="preserve">Mobilités Demain</v>
      </c>
      <c r="G4354" s="4" t="s">
        <v>30902</v>
      </c>
      <c r="H4354" s="4">
        <v>15</v>
      </c>
      <c r="I4354" s="4" t="s">
        <v>4067</v>
      </c>
      <c r="J4354" s="4" t="str">
        <f>IFERROR(__XLUDF.DUMMYFUNCTION("VLOOKUP(H759,IMPORTRANGE(""https://docs.google.com/spreadsheets/d/1opm6ZNvGZ7KditA9TuJwrZ25eFLfTNIkrNnY6mhV5Eg"",""list!A1:C115""),3,TRUE)"),"le secteur du conseil en management")</f>
        <v xml:space="preserve">le secteur du conseil en management</v>
      </c>
      <c r="K4354" s="5" t="s">
        <v>30903</v>
      </c>
      <c r="L4354" s="5" t="s">
        <v>24059</v>
      </c>
      <c r="M4354" s="4" t="s">
        <v>39</v>
      </c>
      <c r="N4354" s="4" t="s">
        <v>29</v>
      </c>
      <c r="O4354" s="4" t="s">
        <v>24060</v>
      </c>
      <c r="P4354" s="4" t="s">
        <v>29</v>
      </c>
      <c r="Q4354" s="4" t="s">
        <v>24061</v>
      </c>
      <c r="R4354" s="6"/>
      <c r="S4354" s="6"/>
      <c r="T4354" s="6"/>
      <c r="U4354" s="6"/>
      <c r="V4354" s="6"/>
      <c r="W4354" s="6"/>
      <c r="X4354" s="6"/>
      <c r="Y4354" s="6"/>
      <c r="Z4354" s="6"/>
      <c r="AA4354" s="6"/>
    </row>
    <row r="4355" ht="14.25">
      <c r="B4355" s="4" t="s">
        <v>670</v>
      </c>
      <c r="C4355" s="4" t="s">
        <v>30904</v>
      </c>
      <c r="D4355" s="4" t="s">
        <v>468</v>
      </c>
      <c r="E4355" s="4" t="s">
        <v>30905</v>
      </c>
      <c r="F4355" s="4" t="str">
        <f>IFERROR(__XLUDF.DUMMYFUNCTION("PROPER(REGEXREPLACE(D760,""[^A-Za-z]+ "",""""))"),"Cimes")</f>
        <v>Cimes</v>
      </c>
      <c r="G4355" s="4" t="s">
        <v>30906</v>
      </c>
      <c r="H4355" s="4">
        <v>30</v>
      </c>
      <c r="I4355" s="4" t="s">
        <v>4067</v>
      </c>
      <c r="J4355" s="4" t="str">
        <f>IFERROR(__XLUDF.DUMMYFUNCTION("VLOOKUP(H760,IMPORTRANGE(""https://docs.google.com/spreadsheets/d/1opm6ZNvGZ7KditA9TuJwrZ25eFLfTNIkrNnY6mhV5Eg"",""list!A1:C115""),3,TRUE)"),"le secteur du conseil en management")</f>
        <v xml:space="preserve">le secteur du conseil en management</v>
      </c>
      <c r="K4355" s="5" t="s">
        <v>30907</v>
      </c>
      <c r="L4355" s="5" t="s">
        <v>30908</v>
      </c>
      <c r="M4355" s="4" t="s">
        <v>9237</v>
      </c>
      <c r="N4355" s="4" t="s">
        <v>29</v>
      </c>
      <c r="O4355" s="4" t="s">
        <v>30909</v>
      </c>
      <c r="P4355" s="4" t="s">
        <v>29</v>
      </c>
      <c r="Q4355" s="6"/>
      <c r="R4355" s="6"/>
      <c r="S4355" s="6"/>
      <c r="T4355" s="6"/>
      <c r="U4355" s="6"/>
      <c r="V4355" s="6"/>
      <c r="W4355" s="6"/>
      <c r="X4355" s="6"/>
      <c r="Y4355" s="6"/>
      <c r="Z4355" s="6"/>
      <c r="AA4355" s="6"/>
    </row>
    <row r="4356" ht="14.25">
      <c r="B4356" s="4" t="s">
        <v>402</v>
      </c>
      <c r="C4356" s="4" t="s">
        <v>30910</v>
      </c>
      <c r="D4356" s="4" t="s">
        <v>503</v>
      </c>
      <c r="E4356" s="4" t="s">
        <v>30911</v>
      </c>
      <c r="F4356" s="4" t="str">
        <f>IFERROR(__XLUDF.DUMMYFUNCTION("PROPER(REGEXREPLACE(D761,""[^A-Za-z]+ "",""""))"),"Dreamline Studio")</f>
        <v xml:space="preserve">Dreamline Studio</v>
      </c>
      <c r="G4356" s="4" t="s">
        <v>30912</v>
      </c>
      <c r="H4356" s="4">
        <v>10</v>
      </c>
      <c r="I4356" s="4" t="s">
        <v>4067</v>
      </c>
      <c r="J4356" s="4" t="str">
        <f>IFERROR(__XLUDF.DUMMYFUNCTION("VLOOKUP(H761,IMPORTRANGE(""https://docs.google.com/spreadsheets/d/1opm6ZNvGZ7KditA9TuJwrZ25eFLfTNIkrNnY6mhV5Eg"",""list!A1:C115""),3,TRUE)"),"le secteur du conseil en management")</f>
        <v xml:space="preserve">le secteur du conseil en management</v>
      </c>
      <c r="K4356" s="5" t="s">
        <v>30913</v>
      </c>
      <c r="L4356" s="5" t="s">
        <v>30914</v>
      </c>
      <c r="M4356" s="4" t="s">
        <v>1015</v>
      </c>
      <c r="N4356" s="4" t="s">
        <v>29</v>
      </c>
      <c r="O4356" s="4" t="s">
        <v>4361</v>
      </c>
      <c r="P4356" s="4" t="s">
        <v>29</v>
      </c>
      <c r="Q4356" s="6"/>
      <c r="R4356" s="6"/>
      <c r="S4356" s="6"/>
      <c r="T4356" s="6"/>
      <c r="U4356" s="6"/>
      <c r="V4356" s="6"/>
      <c r="W4356" s="6"/>
      <c r="X4356" s="6"/>
      <c r="Y4356" s="6"/>
      <c r="Z4356" s="6"/>
      <c r="AA4356" s="6"/>
    </row>
    <row r="4357" ht="14.25">
      <c r="B4357" s="4" t="s">
        <v>14423</v>
      </c>
      <c r="C4357" s="4" t="s">
        <v>30915</v>
      </c>
      <c r="D4357" s="4" t="s">
        <v>44</v>
      </c>
      <c r="E4357" s="4" t="s">
        <v>30916</v>
      </c>
      <c r="F4357" s="4" t="str">
        <f>IFERROR(__XLUDF.DUMMYFUNCTION("PROPER(REGEXREPLACE(D762,""[^A-Za-z]+ "",""""))"),"Crusoe")</f>
        <v>Crusoe</v>
      </c>
      <c r="G4357" s="4" t="s">
        <v>30917</v>
      </c>
      <c r="H4357" s="4">
        <v>21</v>
      </c>
      <c r="I4357" s="4" t="s">
        <v>4067</v>
      </c>
      <c r="J4357" s="4" t="str">
        <f>IFERROR(__XLUDF.DUMMYFUNCTION("VLOOKUP(H762,IMPORTRANGE(""https://docs.google.com/spreadsheets/d/1opm6ZNvGZ7KditA9TuJwrZ25eFLfTNIkrNnY6mhV5Eg"",""list!A1:C115""),3,TRUE)"),"le secteur du conseil en management")</f>
        <v xml:space="preserve">le secteur du conseil en management</v>
      </c>
      <c r="K4357" s="5" t="s">
        <v>30918</v>
      </c>
      <c r="L4357" s="5" t="s">
        <v>30919</v>
      </c>
      <c r="M4357" s="4" t="s">
        <v>243</v>
      </c>
      <c r="N4357" s="4" t="s">
        <v>29</v>
      </c>
      <c r="O4357" s="4" t="s">
        <v>30920</v>
      </c>
      <c r="P4357" s="4" t="s">
        <v>1152</v>
      </c>
      <c r="Q4357" s="6"/>
      <c r="R4357" s="6"/>
      <c r="S4357" s="6"/>
      <c r="T4357" s="6"/>
      <c r="U4357" s="6"/>
      <c r="V4357" s="6"/>
      <c r="W4357" s="6"/>
      <c r="X4357" s="6"/>
      <c r="Y4357" s="6"/>
      <c r="Z4357" s="6"/>
      <c r="AA4357" s="6"/>
    </row>
    <row r="4358" ht="14.25">
      <c r="B4358" s="4" t="s">
        <v>1562</v>
      </c>
      <c r="C4358" s="4" t="s">
        <v>30921</v>
      </c>
      <c r="D4358" s="4" t="s">
        <v>26346</v>
      </c>
      <c r="E4358" s="4" t="s">
        <v>30922</v>
      </c>
      <c r="F4358" s="4" t="str">
        <f>IFERROR(__XLUDF.DUMMYFUNCTION("PROPER(REGEXREPLACE(D763,""[^A-Za-z]+ "",""""))"),"Nepsio Conseil")</f>
        <v xml:space="preserve">Nepsio Conseil</v>
      </c>
      <c r="G4358" s="4" t="s">
        <v>30923</v>
      </c>
      <c r="H4358" s="4">
        <v>18</v>
      </c>
      <c r="I4358" s="4" t="s">
        <v>4067</v>
      </c>
      <c r="J4358" s="4" t="str">
        <f>IFERROR(__XLUDF.DUMMYFUNCTION("VLOOKUP(H763,IMPORTRANGE(""https://docs.google.com/spreadsheets/d/1opm6ZNvGZ7KditA9TuJwrZ25eFLfTNIkrNnY6mhV5Eg"",""list!A1:C115""),3,TRUE)"),"le secteur du conseil en management")</f>
        <v xml:space="preserve">le secteur du conseil en management</v>
      </c>
      <c r="K4358" s="5" t="s">
        <v>30924</v>
      </c>
      <c r="L4358" s="5" t="s">
        <v>30925</v>
      </c>
      <c r="M4358" s="4" t="s">
        <v>1711</v>
      </c>
      <c r="N4358" s="4" t="s">
        <v>29</v>
      </c>
      <c r="O4358" s="4" t="s">
        <v>30926</v>
      </c>
      <c r="P4358" s="4" t="s">
        <v>29</v>
      </c>
      <c r="Q4358" s="4" t="s">
        <v>30927</v>
      </c>
      <c r="R4358" s="6"/>
      <c r="S4358" s="6"/>
      <c r="T4358" s="6"/>
      <c r="U4358" s="6"/>
      <c r="V4358" s="6"/>
      <c r="W4358" s="6"/>
      <c r="X4358" s="6"/>
      <c r="Y4358" s="6"/>
      <c r="Z4358" s="6"/>
      <c r="AA4358" s="6"/>
    </row>
    <row r="4359" ht="14.25">
      <c r="B4359" s="4" t="s">
        <v>17383</v>
      </c>
      <c r="C4359" s="4" t="s">
        <v>8904</v>
      </c>
      <c r="D4359" s="4" t="s">
        <v>15197</v>
      </c>
      <c r="E4359" s="4" t="s">
        <v>30928</v>
      </c>
      <c r="F4359" s="4" t="str">
        <f>IFERROR(__XLUDF.DUMMYFUNCTION("PROPER(REGEXREPLACE(D764,""[^A-Za-z]+ "",""""))"),"Creasub")</f>
        <v>Creasub</v>
      </c>
      <c r="G4359" s="4" t="s">
        <v>30929</v>
      </c>
      <c r="H4359" s="4">
        <v>14</v>
      </c>
      <c r="I4359" s="4" t="s">
        <v>4067</v>
      </c>
      <c r="J4359" s="4" t="str">
        <f>IFERROR(__XLUDF.DUMMYFUNCTION("VLOOKUP(H764,IMPORTRANGE(""https://docs.google.com/spreadsheets/d/1opm6ZNvGZ7KditA9TuJwrZ25eFLfTNIkrNnY6mhV5Eg"",""list!A1:C115""),3,TRUE)"),"le secteur du conseil en management")</f>
        <v xml:space="preserve">le secteur du conseil en management</v>
      </c>
      <c r="K4359" s="5" t="s">
        <v>30930</v>
      </c>
      <c r="L4359" s="5" t="s">
        <v>30931</v>
      </c>
      <c r="M4359" s="4" t="s">
        <v>2174</v>
      </c>
      <c r="N4359" s="4" t="s">
        <v>29</v>
      </c>
      <c r="O4359" s="4" t="s">
        <v>18452</v>
      </c>
      <c r="P4359" s="4" t="s">
        <v>29</v>
      </c>
      <c r="Q4359" s="4" t="s">
        <v>30932</v>
      </c>
      <c r="R4359" s="6"/>
      <c r="S4359" s="6"/>
      <c r="T4359" s="6"/>
      <c r="U4359" s="6"/>
      <c r="V4359" s="6"/>
      <c r="W4359" s="6"/>
      <c r="X4359" s="6"/>
      <c r="Y4359" s="6"/>
      <c r="Z4359" s="6"/>
      <c r="AA4359" s="6"/>
    </row>
    <row r="4360" ht="14.25">
      <c r="B4360" s="4" t="s">
        <v>1027</v>
      </c>
      <c r="C4360" s="4" t="s">
        <v>30933</v>
      </c>
      <c r="D4360" s="4" t="s">
        <v>688</v>
      </c>
      <c r="E4360" s="4" t="s">
        <v>30934</v>
      </c>
      <c r="F4360" s="4" t="str">
        <f>IFERROR(__XLUDF.DUMMYFUNCTION("PROPER(REGEXREPLACE(D765,""[^A-Za-z]+ "",""""))"),"Keolux")</f>
        <v>Keolux</v>
      </c>
      <c r="G4360" s="4" t="s">
        <v>30935</v>
      </c>
      <c r="H4360" s="4">
        <v>10</v>
      </c>
      <c r="I4360" s="4" t="s">
        <v>4067</v>
      </c>
      <c r="J4360" s="4" t="str">
        <f>IFERROR(__XLUDF.DUMMYFUNCTION("VLOOKUP(H765,IMPORTRANGE(""https://docs.google.com/spreadsheets/d/1opm6ZNvGZ7KditA9TuJwrZ25eFLfTNIkrNnY6mhV5Eg"",""list!A1:C115""),3,TRUE)"),"le secteur du conseil en management")</f>
        <v xml:space="preserve">le secteur du conseil en management</v>
      </c>
      <c r="K4360" s="5" t="s">
        <v>30936</v>
      </c>
      <c r="L4360" s="5" t="s">
        <v>30937</v>
      </c>
      <c r="M4360" s="4" t="s">
        <v>149</v>
      </c>
      <c r="N4360" s="4" t="s">
        <v>29</v>
      </c>
      <c r="O4360" s="4" t="s">
        <v>1394</v>
      </c>
      <c r="P4360" s="4" t="s">
        <v>29</v>
      </c>
      <c r="Q4360" s="4" t="s">
        <v>30938</v>
      </c>
      <c r="R4360" s="6"/>
      <c r="S4360" s="6"/>
      <c r="T4360" s="6"/>
      <c r="U4360" s="6"/>
      <c r="V4360" s="6"/>
      <c r="W4360" s="6"/>
      <c r="X4360" s="6"/>
      <c r="Y4360" s="6"/>
      <c r="Z4360" s="6"/>
      <c r="AA4360" s="6"/>
    </row>
    <row r="4361" ht="14.25">
      <c r="B4361" s="4" t="s">
        <v>14654</v>
      </c>
      <c r="C4361" s="4" t="s">
        <v>30939</v>
      </c>
      <c r="D4361" s="4" t="s">
        <v>4586</v>
      </c>
      <c r="E4361" s="4" t="s">
        <v>30940</v>
      </c>
      <c r="F4361" s="4" t="str">
        <f>IFERROR(__XLUDF.DUMMYFUNCTION("PROPER(REGEXREPLACE(D766,""[^A-Za-z]+ "",""""))"),"Sentiles")</f>
        <v>Sentiles</v>
      </c>
      <c r="G4361" s="4" t="s">
        <v>30941</v>
      </c>
      <c r="H4361" s="4">
        <v>17</v>
      </c>
      <c r="I4361" s="4" t="s">
        <v>4067</v>
      </c>
      <c r="J4361" s="4" t="str">
        <f>IFERROR(__XLUDF.DUMMYFUNCTION("VLOOKUP(H766,IMPORTRANGE(""https://docs.google.com/spreadsheets/d/1opm6ZNvGZ7KditA9TuJwrZ25eFLfTNIkrNnY6mhV5Eg"",""list!A1:C115""),3,TRUE)"),"le secteur du conseil en management")</f>
        <v xml:space="preserve">le secteur du conseil en management</v>
      </c>
      <c r="K4361" s="5" t="s">
        <v>30942</v>
      </c>
      <c r="L4361" s="5" t="s">
        <v>30943</v>
      </c>
      <c r="M4361" s="4" t="s">
        <v>39</v>
      </c>
      <c r="N4361" s="4" t="s">
        <v>29</v>
      </c>
      <c r="O4361" s="4" t="s">
        <v>30944</v>
      </c>
      <c r="P4361" s="4" t="s">
        <v>29</v>
      </c>
      <c r="Q4361" s="4" t="s">
        <v>30945</v>
      </c>
      <c r="R4361" s="6"/>
      <c r="S4361" s="6"/>
      <c r="T4361" s="6"/>
      <c r="U4361" s="6"/>
      <c r="V4361" s="6"/>
      <c r="W4361" s="6"/>
      <c r="X4361" s="6"/>
      <c r="Y4361" s="6"/>
      <c r="Z4361" s="6"/>
      <c r="AA4361" s="6"/>
    </row>
    <row r="4362" ht="14.25">
      <c r="B4362" s="4" t="s">
        <v>6844</v>
      </c>
      <c r="C4362" s="4" t="s">
        <v>4132</v>
      </c>
      <c r="D4362" s="4" t="s">
        <v>6416</v>
      </c>
      <c r="E4362" s="4" t="s">
        <v>17877</v>
      </c>
      <c r="F4362" s="4" t="str">
        <f>IFERROR(__XLUDF.DUMMYFUNCTION("PROPER(REGEXREPLACE(D767,""[^A-Za-z]+ "",""""))"),"Sunnikan")</f>
        <v>Sunnikan</v>
      </c>
      <c r="G4362" s="4" t="s">
        <v>30946</v>
      </c>
      <c r="H4362" s="4">
        <v>15</v>
      </c>
      <c r="I4362" s="4" t="s">
        <v>4067</v>
      </c>
      <c r="J4362" s="4" t="str">
        <f>IFERROR(__XLUDF.DUMMYFUNCTION("VLOOKUP(H767,IMPORTRANGE(""https://docs.google.com/spreadsheets/d/1opm6ZNvGZ7KditA9TuJwrZ25eFLfTNIkrNnY6mhV5Eg"",""list!A1:C115""),3,TRUE)"),"le secteur du conseil en management")</f>
        <v xml:space="preserve">le secteur du conseil en management</v>
      </c>
      <c r="K4362" s="5" t="s">
        <v>30947</v>
      </c>
      <c r="L4362" s="5" t="s">
        <v>17880</v>
      </c>
      <c r="M4362" s="6"/>
      <c r="N4362" s="4" t="s">
        <v>29</v>
      </c>
      <c r="O4362" s="4" t="s">
        <v>17881</v>
      </c>
      <c r="P4362" s="4" t="s">
        <v>29</v>
      </c>
      <c r="Q4362" s="4" t="s">
        <v>17882</v>
      </c>
      <c r="R4362" s="6"/>
      <c r="S4362" s="6"/>
      <c r="T4362" s="6"/>
      <c r="U4362" s="6"/>
      <c r="V4362" s="6"/>
      <c r="W4362" s="6"/>
      <c r="X4362" s="6"/>
      <c r="Y4362" s="6"/>
      <c r="Z4362" s="6"/>
      <c r="AA4362" s="6"/>
    </row>
    <row r="4363" ht="14.25">
      <c r="B4363" s="4" t="s">
        <v>1583</v>
      </c>
      <c r="C4363" s="4" t="s">
        <v>16680</v>
      </c>
      <c r="D4363" s="4" t="s">
        <v>112</v>
      </c>
      <c r="E4363" s="4" t="s">
        <v>30948</v>
      </c>
      <c r="F4363" s="4" t="str">
        <f>IFERROR(__XLUDF.DUMMYFUNCTION("PROPER(REGEXREPLACE(D768,""[^A-Za-z]+ "",""""))"),"B&amp;T Associés")</f>
        <v xml:space="preserve">B&amp;T Associés</v>
      </c>
      <c r="G4363" s="4" t="s">
        <v>30949</v>
      </c>
      <c r="H4363" s="4">
        <v>14</v>
      </c>
      <c r="I4363" s="4" t="s">
        <v>4067</v>
      </c>
      <c r="J4363" s="4" t="str">
        <f>IFERROR(__XLUDF.DUMMYFUNCTION("VLOOKUP(H768,IMPORTRANGE(""https://docs.google.com/spreadsheets/d/1opm6ZNvGZ7KditA9TuJwrZ25eFLfTNIkrNnY6mhV5Eg"",""list!A1:C115""),3,TRUE)"),"le secteur du conseil en management")</f>
        <v xml:space="preserve">le secteur du conseil en management</v>
      </c>
      <c r="K4363" s="5" t="s">
        <v>30950</v>
      </c>
      <c r="L4363" s="5" t="s">
        <v>30951</v>
      </c>
      <c r="M4363" s="4" t="s">
        <v>16314</v>
      </c>
      <c r="N4363" s="4" t="s">
        <v>29</v>
      </c>
      <c r="O4363" s="4" t="s">
        <v>30952</v>
      </c>
      <c r="P4363" s="4" t="s">
        <v>29</v>
      </c>
      <c r="Q4363" s="6"/>
      <c r="R4363" s="6"/>
      <c r="S4363" s="6"/>
      <c r="T4363" s="6"/>
      <c r="U4363" s="6"/>
      <c r="V4363" s="6"/>
      <c r="W4363" s="6"/>
      <c r="X4363" s="6"/>
      <c r="Y4363" s="6"/>
      <c r="Z4363" s="6"/>
      <c r="AA4363" s="6"/>
    </row>
    <row r="4364" ht="14.25">
      <c r="B4364" s="4" t="s">
        <v>24155</v>
      </c>
      <c r="C4364" s="4" t="s">
        <v>30953</v>
      </c>
      <c r="D4364" s="4" t="s">
        <v>341</v>
      </c>
      <c r="E4364" s="4" t="s">
        <v>30954</v>
      </c>
      <c r="F4364" s="4" t="str">
        <f>IFERROR(__XLUDF.DUMMYFUNCTION("PROPER(REGEXREPLACE(D769,""[^A-Za-z]+ "",""""))"),"Campus Consulting")</f>
        <v xml:space="preserve">Campus Consulting</v>
      </c>
      <c r="G4364" s="4" t="s">
        <v>30955</v>
      </c>
      <c r="H4364" s="4">
        <v>10</v>
      </c>
      <c r="I4364" s="4" t="s">
        <v>4067</v>
      </c>
      <c r="J4364" s="4" t="str">
        <f>IFERROR(__XLUDF.DUMMYFUNCTION("VLOOKUP(H769,IMPORTRANGE(""https://docs.google.com/spreadsheets/d/1opm6ZNvGZ7KditA9TuJwrZ25eFLfTNIkrNnY6mhV5Eg"",""list!A1:C115""),3,TRUE)"),"le secteur du conseil en management")</f>
        <v xml:space="preserve">le secteur du conseil en management</v>
      </c>
      <c r="K4364" s="5" t="s">
        <v>30956</v>
      </c>
      <c r="L4364" s="5" t="s">
        <v>30957</v>
      </c>
      <c r="M4364" s="4" t="s">
        <v>30958</v>
      </c>
      <c r="N4364" s="4" t="s">
        <v>29</v>
      </c>
      <c r="O4364" s="4" t="s">
        <v>1158</v>
      </c>
      <c r="P4364" s="4" t="s">
        <v>29</v>
      </c>
      <c r="Q4364" s="4" t="s">
        <v>30959</v>
      </c>
      <c r="R4364" s="6"/>
      <c r="S4364" s="6"/>
      <c r="T4364" s="6"/>
      <c r="U4364" s="6"/>
      <c r="V4364" s="6"/>
      <c r="W4364" s="6"/>
      <c r="X4364" s="6"/>
      <c r="Y4364" s="6"/>
      <c r="Z4364" s="6"/>
      <c r="AA4364" s="6"/>
    </row>
    <row r="4365" ht="14.25">
      <c r="B4365" s="4" t="s">
        <v>30960</v>
      </c>
      <c r="C4365" s="4" t="s">
        <v>30961</v>
      </c>
      <c r="D4365" s="4" t="s">
        <v>18553</v>
      </c>
      <c r="E4365" s="4" t="s">
        <v>24357</v>
      </c>
      <c r="F4365" s="4" t="str">
        <f>IFERROR(__XLUDF.DUMMYFUNCTION("PROPER(REGEXREPLACE(D770,""[^A-Za-z]+ "",""""))"),"Brightness")</f>
        <v>Brightness</v>
      </c>
      <c r="G4365" s="4" t="s">
        <v>30962</v>
      </c>
      <c r="H4365" s="4">
        <v>10</v>
      </c>
      <c r="I4365" s="4" t="s">
        <v>4067</v>
      </c>
      <c r="J4365" s="4" t="str">
        <f>IFERROR(__XLUDF.DUMMYFUNCTION("VLOOKUP(H770,IMPORTRANGE(""https://docs.google.com/spreadsheets/d/1opm6ZNvGZ7KditA9TuJwrZ25eFLfTNIkrNnY6mhV5Eg"",""list!A1:C115""),3,TRUE)"),"le secteur du conseil en management")</f>
        <v xml:space="preserve">le secteur du conseil en management</v>
      </c>
      <c r="K4365" s="5" t="s">
        <v>30963</v>
      </c>
      <c r="L4365" s="5" t="s">
        <v>24360</v>
      </c>
      <c r="M4365" s="4" t="s">
        <v>39</v>
      </c>
      <c r="N4365" s="4" t="s">
        <v>29</v>
      </c>
      <c r="O4365" s="4" t="s">
        <v>24361</v>
      </c>
      <c r="P4365" s="4" t="s">
        <v>29</v>
      </c>
      <c r="Q4365" s="4" t="s">
        <v>24362</v>
      </c>
      <c r="R4365" s="6"/>
      <c r="S4365" s="6"/>
      <c r="T4365" s="6"/>
      <c r="U4365" s="6"/>
      <c r="V4365" s="6"/>
      <c r="W4365" s="6"/>
      <c r="X4365" s="6"/>
      <c r="Y4365" s="6"/>
      <c r="Z4365" s="6"/>
      <c r="AA4365" s="6"/>
    </row>
    <row r="4366" ht="14.25">
      <c r="B4366" s="4" t="s">
        <v>874</v>
      </c>
      <c r="C4366" s="4" t="s">
        <v>30964</v>
      </c>
      <c r="D4366" s="4" t="s">
        <v>87</v>
      </c>
      <c r="E4366" s="4" t="s">
        <v>30965</v>
      </c>
      <c r="F4366" s="4" t="str">
        <f>IFERROR(__XLUDF.DUMMYFUNCTION("PROPER(REGEXREPLACE(D771,""[^A-Za-z]+ "",""""))"),"Dillygence")</f>
        <v>Dillygence</v>
      </c>
      <c r="G4366" s="4" t="s">
        <v>30966</v>
      </c>
      <c r="H4366" s="4">
        <v>13</v>
      </c>
      <c r="I4366" s="4" t="s">
        <v>4067</v>
      </c>
      <c r="J4366" s="4" t="str">
        <f>IFERROR(__XLUDF.DUMMYFUNCTION("VLOOKUP(H771,IMPORTRANGE(""https://docs.google.com/spreadsheets/d/1opm6ZNvGZ7KditA9TuJwrZ25eFLfTNIkrNnY6mhV5Eg"",""list!A1:C115""),3,TRUE)"),"le secteur du conseil en management")</f>
        <v xml:space="preserve">le secteur du conseil en management</v>
      </c>
      <c r="K4366" s="5" t="s">
        <v>30967</v>
      </c>
      <c r="L4366" s="5" t="s">
        <v>30968</v>
      </c>
      <c r="M4366" s="4" t="s">
        <v>39</v>
      </c>
      <c r="N4366" s="4" t="s">
        <v>29</v>
      </c>
      <c r="O4366" s="4" t="s">
        <v>30969</v>
      </c>
      <c r="P4366" s="4" t="s">
        <v>29</v>
      </c>
      <c r="Q4366" s="4" t="s">
        <v>30970</v>
      </c>
      <c r="R4366" s="6"/>
      <c r="S4366" s="6"/>
      <c r="T4366" s="6"/>
      <c r="U4366" s="6"/>
      <c r="V4366" s="6"/>
      <c r="W4366" s="6"/>
      <c r="X4366" s="6"/>
      <c r="Y4366" s="6"/>
      <c r="Z4366" s="6"/>
      <c r="AA4366" s="6"/>
    </row>
    <row r="4367" ht="14.25">
      <c r="B4367" s="4" t="s">
        <v>2059</v>
      </c>
      <c r="C4367" s="4" t="s">
        <v>10412</v>
      </c>
      <c r="D4367" s="4" t="s">
        <v>172</v>
      </c>
      <c r="E4367" s="4" t="s">
        <v>20260</v>
      </c>
      <c r="F4367" s="4" t="str">
        <f>IFERROR(__XLUDF.DUMMYFUNCTION("PROPER(REGEXREPLACE(D772,""[^A-Za-z]+ "",""""))"),"Aatiko Conseils")</f>
        <v xml:space="preserve">Aatiko Conseils</v>
      </c>
      <c r="G4367" s="4" t="s">
        <v>30971</v>
      </c>
      <c r="H4367" s="4">
        <v>37</v>
      </c>
      <c r="I4367" s="4" t="s">
        <v>4067</v>
      </c>
      <c r="J4367" s="4" t="str">
        <f>IFERROR(__XLUDF.DUMMYFUNCTION("VLOOKUP(H772,IMPORTRANGE(""https://docs.google.com/spreadsheets/d/1opm6ZNvGZ7KditA9TuJwrZ25eFLfTNIkrNnY6mhV5Eg"",""list!A1:C115""),3,TRUE)"),"le secteur du conseil en management")</f>
        <v xml:space="preserve">le secteur du conseil en management</v>
      </c>
      <c r="K4367" s="5" t="s">
        <v>30972</v>
      </c>
      <c r="L4367" s="5" t="s">
        <v>20263</v>
      </c>
      <c r="M4367" s="4" t="s">
        <v>185</v>
      </c>
      <c r="N4367" s="4" t="s">
        <v>29</v>
      </c>
      <c r="O4367" s="4" t="s">
        <v>20264</v>
      </c>
      <c r="P4367" s="4" t="s">
        <v>29</v>
      </c>
      <c r="Q4367" s="4" t="s">
        <v>20265</v>
      </c>
      <c r="R4367" s="6"/>
      <c r="S4367" s="6"/>
      <c r="T4367" s="6"/>
      <c r="U4367" s="6"/>
      <c r="V4367" s="6"/>
      <c r="W4367" s="6"/>
      <c r="X4367" s="6"/>
      <c r="Y4367" s="6"/>
      <c r="Z4367" s="6"/>
      <c r="AA4367" s="6"/>
    </row>
    <row r="4368" ht="14.25">
      <c r="B4368" s="4" t="s">
        <v>1562</v>
      </c>
      <c r="C4368" s="4" t="s">
        <v>30973</v>
      </c>
      <c r="D4368" s="4" t="s">
        <v>87</v>
      </c>
      <c r="E4368" s="4" t="s">
        <v>30974</v>
      </c>
      <c r="F4368" s="4" t="str">
        <f>IFERROR(__XLUDF.DUMMYFUNCTION("PROPER(REGEXREPLACE(D773,""[^A-Za-z]+ "",""""))"),"Reactive Executive")</f>
        <v xml:space="preserve">Reactive Executive</v>
      </c>
      <c r="G4368" s="4" t="s">
        <v>30975</v>
      </c>
      <c r="H4368" s="4">
        <v>37</v>
      </c>
      <c r="I4368" s="4" t="s">
        <v>4067</v>
      </c>
      <c r="J4368" s="4" t="str">
        <f>IFERROR(__XLUDF.DUMMYFUNCTION("VLOOKUP(H773,IMPORTRANGE(""https://docs.google.com/spreadsheets/d/1opm6ZNvGZ7KditA9TuJwrZ25eFLfTNIkrNnY6mhV5Eg"",""list!A1:C115""),3,TRUE)"),"le secteur du conseil en management")</f>
        <v xml:space="preserve">le secteur du conseil en management</v>
      </c>
      <c r="K4368" s="5" t="s">
        <v>30976</v>
      </c>
      <c r="L4368" s="5" t="s">
        <v>30977</v>
      </c>
      <c r="M4368" s="6"/>
      <c r="N4368" s="4" t="s">
        <v>29</v>
      </c>
      <c r="O4368" s="4" t="s">
        <v>30978</v>
      </c>
      <c r="P4368" s="4" t="s">
        <v>29</v>
      </c>
      <c r="Q4368" s="4" t="s">
        <v>30979</v>
      </c>
      <c r="R4368" s="6"/>
      <c r="S4368" s="6"/>
      <c r="T4368" s="6"/>
      <c r="U4368" s="6"/>
      <c r="V4368" s="6"/>
      <c r="W4368" s="6"/>
      <c r="X4368" s="6"/>
      <c r="Y4368" s="6"/>
      <c r="Z4368" s="6"/>
      <c r="AA4368" s="6"/>
    </row>
    <row r="4369" ht="14.25">
      <c r="B4369" s="4" t="s">
        <v>6931</v>
      </c>
      <c r="C4369" s="4" t="s">
        <v>30980</v>
      </c>
      <c r="D4369" s="4" t="s">
        <v>30981</v>
      </c>
      <c r="E4369" s="4" t="s">
        <v>30342</v>
      </c>
      <c r="F4369" s="4" t="str">
        <f>IFERROR(__XLUDF.DUMMYFUNCTION("PROPER(REGEXREPLACE(D774,""[^A-Za-z]+ "",""""))"),"La Boetie")</f>
        <v xml:space="preserve">La Boetie</v>
      </c>
      <c r="G4369" s="4" t="s">
        <v>30982</v>
      </c>
      <c r="H4369" s="4">
        <v>21</v>
      </c>
      <c r="I4369" s="4" t="s">
        <v>4067</v>
      </c>
      <c r="J4369" s="4" t="str">
        <f>IFERROR(__XLUDF.DUMMYFUNCTION("VLOOKUP(H774,IMPORTRANGE(""https://docs.google.com/spreadsheets/d/1opm6ZNvGZ7KditA9TuJwrZ25eFLfTNIkrNnY6mhV5Eg"",""list!A1:C115""),3,TRUE)"),"le secteur du conseil en management")</f>
        <v xml:space="preserve">le secteur du conseil en management</v>
      </c>
      <c r="K4369" s="5" t="s">
        <v>30983</v>
      </c>
      <c r="L4369" s="5" t="s">
        <v>30345</v>
      </c>
      <c r="M4369" s="4" t="s">
        <v>39</v>
      </c>
      <c r="N4369" s="4" t="s">
        <v>29</v>
      </c>
      <c r="O4369" s="4" t="s">
        <v>30346</v>
      </c>
      <c r="P4369" s="4" t="s">
        <v>29</v>
      </c>
      <c r="Q4369" s="6"/>
      <c r="R4369" s="6"/>
      <c r="S4369" s="6"/>
      <c r="T4369" s="6"/>
      <c r="U4369" s="6"/>
      <c r="V4369" s="6"/>
      <c r="W4369" s="6"/>
      <c r="X4369" s="6"/>
      <c r="Y4369" s="6"/>
      <c r="Z4369" s="6"/>
      <c r="AA4369" s="6"/>
    </row>
    <row r="4370" ht="14.25">
      <c r="B4370" s="4" t="s">
        <v>5716</v>
      </c>
      <c r="C4370" s="4" t="s">
        <v>30984</v>
      </c>
      <c r="D4370" s="4" t="s">
        <v>230</v>
      </c>
      <c r="E4370" s="4" t="s">
        <v>30090</v>
      </c>
      <c r="F4370" s="4" t="str">
        <f>IFERROR(__XLUDF.DUMMYFUNCTION("PROPER(REGEXREPLACE(D775,""[^A-Za-z]+ "",""""))"),"Ask Group")</f>
        <v xml:space="preserve">Ask Group</v>
      </c>
      <c r="G4370" s="4" t="s">
        <v>30985</v>
      </c>
      <c r="H4370" s="4">
        <v>15</v>
      </c>
      <c r="I4370" s="4" t="s">
        <v>4067</v>
      </c>
      <c r="J4370" s="4" t="str">
        <f>IFERROR(__XLUDF.DUMMYFUNCTION("VLOOKUP(H775,IMPORTRANGE(""https://docs.google.com/spreadsheets/d/1opm6ZNvGZ7KditA9TuJwrZ25eFLfTNIkrNnY6mhV5Eg"",""list!A1:C115""),3,TRUE)"),"le secteur du conseil en management")</f>
        <v xml:space="preserve">le secteur du conseil en management</v>
      </c>
      <c r="K4370" s="5" t="s">
        <v>30986</v>
      </c>
      <c r="L4370" s="5" t="s">
        <v>30093</v>
      </c>
      <c r="M4370" s="4" t="s">
        <v>1015</v>
      </c>
      <c r="N4370" s="4" t="s">
        <v>29</v>
      </c>
      <c r="O4370" s="4" t="s">
        <v>30094</v>
      </c>
      <c r="P4370" s="4" t="s">
        <v>29</v>
      </c>
      <c r="Q4370" s="4" t="s">
        <v>30095</v>
      </c>
      <c r="R4370" s="6"/>
      <c r="S4370" s="6"/>
      <c r="T4370" s="6"/>
      <c r="U4370" s="6"/>
      <c r="V4370" s="6"/>
      <c r="W4370" s="6"/>
      <c r="X4370" s="6"/>
      <c r="Y4370" s="6"/>
      <c r="Z4370" s="6"/>
      <c r="AA4370" s="6"/>
    </row>
    <row r="4371" ht="14.25">
      <c r="B4371" s="4" t="s">
        <v>13936</v>
      </c>
      <c r="C4371" s="4" t="s">
        <v>30987</v>
      </c>
      <c r="D4371" s="4" t="s">
        <v>87</v>
      </c>
      <c r="E4371" s="4" t="s">
        <v>30988</v>
      </c>
      <c r="F4371" s="4" t="str">
        <f>IFERROR(__XLUDF.DUMMYFUNCTION("PROPER(REGEXREPLACE(D776,""[^A-Za-z]+ "",""""))"),"Gaz-Elec Moins Cher")</f>
        <v xml:space="preserve">Gaz-Elec Moins Cher</v>
      </c>
      <c r="G4371" s="4" t="s">
        <v>30989</v>
      </c>
      <c r="H4371" s="4">
        <v>10</v>
      </c>
      <c r="I4371" s="4" t="s">
        <v>4067</v>
      </c>
      <c r="J4371" s="4" t="str">
        <f>IFERROR(__XLUDF.DUMMYFUNCTION("VLOOKUP(H776,IMPORTRANGE(""https://docs.google.com/spreadsheets/d/1opm6ZNvGZ7KditA9TuJwrZ25eFLfTNIkrNnY6mhV5Eg"",""list!A1:C115""),3,TRUE)"),"le secteur du conseil en management")</f>
        <v xml:space="preserve">le secteur du conseil en management</v>
      </c>
      <c r="K4371" s="5" t="s">
        <v>30990</v>
      </c>
      <c r="L4371" s="5" t="s">
        <v>30991</v>
      </c>
      <c r="M4371" s="4" t="s">
        <v>9809</v>
      </c>
      <c r="N4371" s="4" t="s">
        <v>29</v>
      </c>
      <c r="O4371" s="4" t="s">
        <v>29</v>
      </c>
      <c r="P4371" s="4" t="s">
        <v>29</v>
      </c>
      <c r="Q4371" s="4" t="s">
        <v>30992</v>
      </c>
      <c r="R4371" s="6"/>
      <c r="S4371" s="6"/>
      <c r="T4371" s="6"/>
      <c r="U4371" s="6"/>
      <c r="V4371" s="6"/>
      <c r="W4371" s="6"/>
      <c r="X4371" s="6"/>
      <c r="Y4371" s="6"/>
      <c r="Z4371" s="6"/>
      <c r="AA4371" s="6"/>
    </row>
    <row r="4372" ht="14.25">
      <c r="B4372" s="4" t="s">
        <v>30993</v>
      </c>
      <c r="C4372" s="4" t="s">
        <v>20716</v>
      </c>
      <c r="D4372" s="4" t="s">
        <v>20717</v>
      </c>
      <c r="E4372" s="4" t="s">
        <v>20718</v>
      </c>
      <c r="F4372" s="4" t="str">
        <f>IFERROR(__XLUDF.DUMMYFUNCTION("PROPER(REGEXREPLACE(D777,""[^A-Za-z]+ "",""""))"),"Supanotch")</f>
        <v>Supanotch</v>
      </c>
      <c r="G4372" s="4" t="s">
        <v>20719</v>
      </c>
      <c r="H4372" s="4">
        <v>10</v>
      </c>
      <c r="I4372" s="4" t="s">
        <v>4067</v>
      </c>
      <c r="J4372" s="4" t="str">
        <f>IFERROR(__XLUDF.DUMMYFUNCTION("VLOOKUP(H777,IMPORTRANGE(""https://docs.google.com/spreadsheets/d/1opm6ZNvGZ7KditA9TuJwrZ25eFLfTNIkrNnY6mhV5Eg"",""list!A1:C115""),3,TRUE)"),"le secteur du conseil en management")</f>
        <v xml:space="preserve">le secteur du conseil en management</v>
      </c>
      <c r="K4372" s="5" t="s">
        <v>30994</v>
      </c>
      <c r="L4372" s="5" t="s">
        <v>20721</v>
      </c>
      <c r="M4372" s="6"/>
      <c r="N4372" s="4" t="s">
        <v>29</v>
      </c>
      <c r="O4372" s="4" t="s">
        <v>1625</v>
      </c>
      <c r="P4372" s="4" t="s">
        <v>29</v>
      </c>
      <c r="Q4372" s="4" t="s">
        <v>20722</v>
      </c>
      <c r="R4372" s="6"/>
      <c r="S4372" s="6"/>
      <c r="T4372" s="6"/>
      <c r="U4372" s="6"/>
      <c r="V4372" s="6"/>
      <c r="W4372" s="6"/>
      <c r="X4372" s="6"/>
      <c r="Y4372" s="6"/>
      <c r="Z4372" s="6"/>
      <c r="AA4372" s="6"/>
    </row>
    <row r="4373" ht="14.25">
      <c r="B4373" s="4" t="s">
        <v>110</v>
      </c>
      <c r="C4373" s="4" t="s">
        <v>30995</v>
      </c>
      <c r="D4373" s="4" t="s">
        <v>426</v>
      </c>
      <c r="E4373" s="4" t="s">
        <v>30996</v>
      </c>
      <c r="F4373" s="4" t="str">
        <f>IFERROR(__XLUDF.DUMMYFUNCTION("PROPER(REGEXREPLACE(D778,""[^A-Za-z]+ "",""""))"),"5A Consulting")</f>
        <v xml:space="preserve">5A Consulting</v>
      </c>
      <c r="G4373" s="4" t="s">
        <v>30997</v>
      </c>
      <c r="H4373" s="4">
        <v>10</v>
      </c>
      <c r="I4373" s="4" t="s">
        <v>4067</v>
      </c>
      <c r="J4373" s="4" t="str">
        <f>IFERROR(__XLUDF.DUMMYFUNCTION("VLOOKUP(H778,IMPORTRANGE(""https://docs.google.com/spreadsheets/d/1opm6ZNvGZ7KditA9TuJwrZ25eFLfTNIkrNnY6mhV5Eg"",""list!A1:C115""),3,TRUE)"),"le secteur du conseil en management")</f>
        <v xml:space="preserve">le secteur du conseil en management</v>
      </c>
      <c r="K4373" s="5" t="s">
        <v>30998</v>
      </c>
      <c r="L4373" s="5" t="s">
        <v>30999</v>
      </c>
      <c r="M4373" s="6"/>
      <c r="N4373" s="4" t="s">
        <v>29</v>
      </c>
      <c r="O4373" s="4" t="s">
        <v>31000</v>
      </c>
      <c r="P4373" s="4" t="s">
        <v>29</v>
      </c>
      <c r="Q4373" s="6"/>
      <c r="R4373" s="6"/>
      <c r="S4373" s="6"/>
      <c r="T4373" s="6"/>
      <c r="U4373" s="6"/>
      <c r="V4373" s="6"/>
      <c r="W4373" s="6"/>
      <c r="X4373" s="6"/>
      <c r="Y4373" s="6"/>
      <c r="Z4373" s="6"/>
      <c r="AA4373" s="6"/>
    </row>
    <row r="4374" ht="14.25">
      <c r="B4374" s="4" t="s">
        <v>355</v>
      </c>
      <c r="C4374" s="4" t="s">
        <v>31001</v>
      </c>
      <c r="D4374" s="4" t="s">
        <v>62</v>
      </c>
      <c r="E4374" s="4" t="s">
        <v>30585</v>
      </c>
      <c r="F4374" s="4" t="str">
        <f>IFERROR(__XLUDF.DUMMYFUNCTION("PROPER(REGEXREPLACE(D779,""[^A-Za-z]+ "",""""))"),"Doors3")</f>
        <v>Doors3</v>
      </c>
      <c r="G4374" s="4" t="s">
        <v>31002</v>
      </c>
      <c r="H4374" s="4">
        <v>14</v>
      </c>
      <c r="I4374" s="4" t="s">
        <v>4067</v>
      </c>
      <c r="J4374" s="4" t="str">
        <f>IFERROR(__XLUDF.DUMMYFUNCTION("VLOOKUP(H779,IMPORTRANGE(""https://docs.google.com/spreadsheets/d/1opm6ZNvGZ7KditA9TuJwrZ25eFLfTNIkrNnY6mhV5Eg"",""list!A1:C115""),3,TRUE)"),"le secteur du conseil en management")</f>
        <v xml:space="preserve">le secteur du conseil en management</v>
      </c>
      <c r="K4374" s="5" t="s">
        <v>31003</v>
      </c>
      <c r="L4374" s="5" t="s">
        <v>30588</v>
      </c>
      <c r="M4374" s="4" t="s">
        <v>295</v>
      </c>
      <c r="N4374" s="4" t="s">
        <v>29</v>
      </c>
      <c r="O4374" s="4" t="s">
        <v>3642</v>
      </c>
      <c r="P4374" s="4" t="s">
        <v>29</v>
      </c>
      <c r="Q4374" s="6"/>
      <c r="R4374" s="6"/>
      <c r="S4374" s="6"/>
      <c r="T4374" s="6"/>
      <c r="U4374" s="6"/>
      <c r="V4374" s="6"/>
      <c r="W4374" s="6"/>
      <c r="X4374" s="6"/>
      <c r="Y4374" s="6"/>
      <c r="Z4374" s="6"/>
      <c r="AA4374" s="6"/>
    </row>
    <row r="4375" ht="14.25">
      <c r="B4375" s="4" t="s">
        <v>178</v>
      </c>
      <c r="C4375" s="4" t="s">
        <v>31004</v>
      </c>
      <c r="D4375" s="4" t="s">
        <v>341</v>
      </c>
      <c r="E4375" s="4" t="s">
        <v>31005</v>
      </c>
      <c r="F4375" s="4" t="str">
        <f>IFERROR(__XLUDF.DUMMYFUNCTION("PROPER(REGEXREPLACE(D780,""[^A-Za-z]+ "",""""))"),"Soqo*")</f>
        <v>Soqo*</v>
      </c>
      <c r="G4375" s="4" t="s">
        <v>31006</v>
      </c>
      <c r="H4375" s="4">
        <v>10</v>
      </c>
      <c r="I4375" s="4" t="s">
        <v>4067</v>
      </c>
      <c r="J4375" s="4" t="str">
        <f>IFERROR(__XLUDF.DUMMYFUNCTION("VLOOKUP(H780,IMPORTRANGE(""https://docs.google.com/spreadsheets/d/1opm6ZNvGZ7KditA9TuJwrZ25eFLfTNIkrNnY6mhV5Eg"",""list!A1:C115""),3,TRUE)"),"le secteur du conseil en management")</f>
        <v xml:space="preserve">le secteur du conseil en management</v>
      </c>
      <c r="K4375" s="5" t="s">
        <v>31007</v>
      </c>
      <c r="L4375" s="5" t="s">
        <v>31008</v>
      </c>
      <c r="M4375" s="4" t="s">
        <v>39</v>
      </c>
      <c r="N4375" s="4" t="s">
        <v>29</v>
      </c>
      <c r="O4375" s="4" t="s">
        <v>31009</v>
      </c>
      <c r="P4375" s="4" t="s">
        <v>29</v>
      </c>
      <c r="Q4375" s="4" t="s">
        <v>31010</v>
      </c>
      <c r="R4375" s="6"/>
      <c r="S4375" s="6"/>
      <c r="T4375" s="6"/>
      <c r="U4375" s="6"/>
      <c r="V4375" s="6"/>
      <c r="W4375" s="6"/>
      <c r="X4375" s="6"/>
      <c r="Y4375" s="6"/>
      <c r="Z4375" s="6"/>
      <c r="AA4375" s="6"/>
    </row>
    <row r="4376" ht="14.25">
      <c r="B4376" s="4" t="s">
        <v>743</v>
      </c>
      <c r="C4376" s="4" t="s">
        <v>31011</v>
      </c>
      <c r="D4376" s="4" t="s">
        <v>31012</v>
      </c>
      <c r="E4376" s="4" t="s">
        <v>31013</v>
      </c>
      <c r="F4376" s="4" t="str">
        <f>IFERROR(__XLUDF.DUMMYFUNCTION("PROPER(REGEXREPLACE(D781,""[^A-Za-z]+ "",""""))"),"Entreprises Engagées")</f>
        <v xml:space="preserve">Entreprises Engagées</v>
      </c>
      <c r="G4376" s="4" t="s">
        <v>31014</v>
      </c>
      <c r="H4376" s="4">
        <v>18</v>
      </c>
      <c r="I4376" s="4" t="s">
        <v>4067</v>
      </c>
      <c r="J4376" s="4" t="str">
        <f>IFERROR(__XLUDF.DUMMYFUNCTION("VLOOKUP(H781,IMPORTRANGE(""https://docs.google.com/spreadsheets/d/1opm6ZNvGZ7KditA9TuJwrZ25eFLfTNIkrNnY6mhV5Eg"",""list!A1:C115""),3,TRUE)"),"le secteur du conseil en management")</f>
        <v xml:space="preserve">le secteur du conseil en management</v>
      </c>
      <c r="K4376" s="5" t="s">
        <v>31015</v>
      </c>
      <c r="L4376" s="5" t="s">
        <v>31016</v>
      </c>
      <c r="M4376" s="4" t="s">
        <v>39</v>
      </c>
      <c r="N4376" s="4" t="s">
        <v>29</v>
      </c>
      <c r="O4376" s="4" t="s">
        <v>31017</v>
      </c>
      <c r="P4376" s="4" t="s">
        <v>29</v>
      </c>
      <c r="Q4376" s="4" t="s">
        <v>31018</v>
      </c>
      <c r="R4376" s="6"/>
      <c r="S4376" s="6"/>
      <c r="T4376" s="6"/>
      <c r="U4376" s="6"/>
      <c r="V4376" s="6"/>
      <c r="W4376" s="6"/>
      <c r="X4376" s="6"/>
      <c r="Y4376" s="6"/>
      <c r="Z4376" s="6"/>
      <c r="AA4376" s="6"/>
    </row>
    <row r="4377" ht="14.25">
      <c r="B4377" s="4" t="s">
        <v>1732</v>
      </c>
      <c r="C4377" s="4" t="s">
        <v>27284</v>
      </c>
      <c r="D4377" s="4" t="s">
        <v>16005</v>
      </c>
      <c r="E4377" s="4" t="s">
        <v>31019</v>
      </c>
      <c r="F4377" s="4" t="str">
        <f>IFERROR(__XLUDF.DUMMYFUNCTION("PROPER(REGEXREPLACE(D782,""[^A-Za-z]+ "",""""))"),"Acde Conseil")</f>
        <v xml:space="preserve">Acde Conseil</v>
      </c>
      <c r="G4377" s="4" t="s">
        <v>31020</v>
      </c>
      <c r="H4377" s="4">
        <v>15</v>
      </c>
      <c r="I4377" s="4" t="s">
        <v>4067</v>
      </c>
      <c r="J4377" s="4" t="str">
        <f>IFERROR(__XLUDF.DUMMYFUNCTION("VLOOKUP(H782,IMPORTRANGE(""https://docs.google.com/spreadsheets/d/1opm6ZNvGZ7KditA9TuJwrZ25eFLfTNIkrNnY6mhV5Eg"",""list!A1:C115""),3,TRUE)"),"le secteur du conseil en management")</f>
        <v xml:space="preserve">le secteur du conseil en management</v>
      </c>
      <c r="K4377" s="5" t="s">
        <v>31021</v>
      </c>
      <c r="L4377" s="5" t="s">
        <v>31022</v>
      </c>
      <c r="M4377" s="4" t="s">
        <v>39</v>
      </c>
      <c r="N4377" s="4" t="s">
        <v>29</v>
      </c>
      <c r="O4377" s="4" t="s">
        <v>31023</v>
      </c>
      <c r="P4377" s="4" t="s">
        <v>29</v>
      </c>
      <c r="Q4377" s="4" t="s">
        <v>31024</v>
      </c>
      <c r="R4377" s="6"/>
      <c r="S4377" s="6"/>
      <c r="T4377" s="6"/>
      <c r="U4377" s="6"/>
      <c r="V4377" s="6"/>
      <c r="W4377" s="6"/>
      <c r="X4377" s="6"/>
      <c r="Y4377" s="6"/>
      <c r="Z4377" s="6"/>
      <c r="AA4377" s="6"/>
    </row>
    <row r="4378" ht="14.25">
      <c r="B4378" s="4" t="s">
        <v>874</v>
      </c>
      <c r="C4378" s="4" t="s">
        <v>31025</v>
      </c>
      <c r="D4378" s="4" t="s">
        <v>31026</v>
      </c>
      <c r="E4378" s="4" t="s">
        <v>31027</v>
      </c>
      <c r="F4378" s="4" t="str">
        <f>IFERROR(__XLUDF.DUMMYFUNCTION("PROPER(REGEXREPLACE(D783,""[^A-Za-z]+ "",""""))"),"Hidro")</f>
        <v>Hidro</v>
      </c>
      <c r="G4378" s="4" t="s">
        <v>31028</v>
      </c>
      <c r="H4378" s="4">
        <v>11</v>
      </c>
      <c r="I4378" s="4" t="s">
        <v>4067</v>
      </c>
      <c r="J4378" s="4" t="str">
        <f>IFERROR(__XLUDF.DUMMYFUNCTION("VLOOKUP(H783,IMPORTRANGE(""https://docs.google.com/spreadsheets/d/1opm6ZNvGZ7KditA9TuJwrZ25eFLfTNIkrNnY6mhV5Eg"",""list!A1:C115""),3,TRUE)"),"le secteur du conseil en management")</f>
        <v xml:space="preserve">le secteur du conseil en management</v>
      </c>
      <c r="K4378" s="5" t="s">
        <v>31029</v>
      </c>
      <c r="L4378" s="5" t="s">
        <v>31030</v>
      </c>
      <c r="M4378" s="4" t="s">
        <v>185</v>
      </c>
      <c r="N4378" s="4" t="s">
        <v>29</v>
      </c>
      <c r="O4378" s="4" t="s">
        <v>31031</v>
      </c>
      <c r="P4378" s="4" t="s">
        <v>29</v>
      </c>
      <c r="Q4378" s="6"/>
      <c r="R4378" s="6"/>
      <c r="S4378" s="6"/>
      <c r="T4378" s="6"/>
      <c r="U4378" s="6"/>
      <c r="V4378" s="6"/>
      <c r="W4378" s="6"/>
      <c r="X4378" s="6"/>
      <c r="Y4378" s="6"/>
      <c r="Z4378" s="6"/>
      <c r="AA4378" s="6"/>
    </row>
    <row r="4379" ht="14.25">
      <c r="B4379" s="4" t="s">
        <v>596</v>
      </c>
      <c r="C4379" s="4" t="s">
        <v>31032</v>
      </c>
      <c r="D4379" s="4" t="s">
        <v>31033</v>
      </c>
      <c r="E4379" s="4" t="s">
        <v>31034</v>
      </c>
      <c r="F4379" s="4" t="str">
        <f>IFERROR(__XLUDF.DUMMYFUNCTION("PROPER(REGEXREPLACE(D784,""[^A-Za-z]+ "",""""))"),"Wise Rh")</f>
        <v xml:space="preserve">Wise Rh</v>
      </c>
      <c r="G4379" s="4" t="s">
        <v>31035</v>
      </c>
      <c r="H4379" s="4">
        <v>18</v>
      </c>
      <c r="I4379" s="4" t="s">
        <v>4067</v>
      </c>
      <c r="J4379" s="4" t="str">
        <f>IFERROR(__XLUDF.DUMMYFUNCTION("VLOOKUP(H784,IMPORTRANGE(""https://docs.google.com/spreadsheets/d/1opm6ZNvGZ7KditA9TuJwrZ25eFLfTNIkrNnY6mhV5Eg"",""list!A1:C115""),3,TRUE)"),"le secteur du conseil en management")</f>
        <v xml:space="preserve">le secteur du conseil en management</v>
      </c>
      <c r="K4379" s="5" t="s">
        <v>31036</v>
      </c>
      <c r="L4379" s="5" t="s">
        <v>31037</v>
      </c>
      <c r="M4379" s="4" t="s">
        <v>83</v>
      </c>
      <c r="N4379" s="4" t="s">
        <v>29</v>
      </c>
      <c r="O4379" s="4" t="s">
        <v>31038</v>
      </c>
      <c r="P4379" s="4" t="s">
        <v>29</v>
      </c>
      <c r="Q4379" s="4" t="s">
        <v>31039</v>
      </c>
      <c r="R4379" s="6"/>
      <c r="S4379" s="6"/>
      <c r="T4379" s="6"/>
      <c r="U4379" s="6"/>
      <c r="V4379" s="6"/>
      <c r="W4379" s="6"/>
      <c r="X4379" s="6"/>
      <c r="Y4379" s="6"/>
      <c r="Z4379" s="6"/>
      <c r="AA4379" s="6"/>
    </row>
    <row r="4380" ht="14.25">
      <c r="B4380" s="4" t="s">
        <v>808</v>
      </c>
      <c r="C4380" s="4" t="s">
        <v>31040</v>
      </c>
      <c r="D4380" s="4" t="s">
        <v>172</v>
      </c>
      <c r="E4380" s="4" t="s">
        <v>9213</v>
      </c>
      <c r="F4380" s="4" t="str">
        <f>IFERROR(__XLUDF.DUMMYFUNCTION("PROPER(REGEXREPLACE(D785,""[^A-Za-z]+ "",""""))"),"Place To B")</f>
        <v xml:space="preserve">Place To B</v>
      </c>
      <c r="G4380" s="4" t="s">
        <v>31041</v>
      </c>
      <c r="H4380" s="4">
        <v>11</v>
      </c>
      <c r="I4380" s="4" t="s">
        <v>4067</v>
      </c>
      <c r="J4380" s="4" t="str">
        <f>IFERROR(__XLUDF.DUMMYFUNCTION("VLOOKUP(H785,IMPORTRANGE(""https://docs.google.com/spreadsheets/d/1opm6ZNvGZ7KditA9TuJwrZ25eFLfTNIkrNnY6mhV5Eg"",""list!A1:C115""),3,TRUE)"),"le secteur du conseil en management")</f>
        <v xml:space="preserve">le secteur du conseil en management</v>
      </c>
      <c r="K4380" s="5" t="s">
        <v>31042</v>
      </c>
      <c r="L4380" s="5" t="s">
        <v>31043</v>
      </c>
      <c r="M4380" s="4" t="s">
        <v>1780</v>
      </c>
      <c r="N4380" s="4" t="s">
        <v>29</v>
      </c>
      <c r="O4380" s="4" t="s">
        <v>67</v>
      </c>
      <c r="P4380" s="4" t="s">
        <v>29</v>
      </c>
      <c r="Q4380" s="4" t="s">
        <v>9218</v>
      </c>
      <c r="R4380" s="6"/>
      <c r="S4380" s="6"/>
      <c r="T4380" s="6"/>
      <c r="U4380" s="6"/>
      <c r="V4380" s="6"/>
      <c r="W4380" s="6"/>
      <c r="X4380" s="6"/>
      <c r="Y4380" s="6"/>
      <c r="Z4380" s="6"/>
      <c r="AA4380" s="6"/>
    </row>
    <row r="4381" ht="14.25">
      <c r="B4381" s="4" t="s">
        <v>1153</v>
      </c>
      <c r="C4381" s="4" t="s">
        <v>31044</v>
      </c>
      <c r="D4381" s="4" t="s">
        <v>426</v>
      </c>
      <c r="E4381" s="4" t="s">
        <v>31045</v>
      </c>
      <c r="F4381" s="4" t="str">
        <f>IFERROR(__XLUDF.DUMMYFUNCTION("PROPER(REGEXREPLACE(D786,""[^A-Za-z]+ "",""""))"),"Am&amp;Fi")</f>
        <v>Am&amp;Fi</v>
      </c>
      <c r="G4381" s="4" t="s">
        <v>31046</v>
      </c>
      <c r="H4381" s="4">
        <v>11</v>
      </c>
      <c r="I4381" s="4" t="s">
        <v>4067</v>
      </c>
      <c r="J4381" s="4" t="str">
        <f>IFERROR(__XLUDF.DUMMYFUNCTION("VLOOKUP(H786,IMPORTRANGE(""https://docs.google.com/spreadsheets/d/1opm6ZNvGZ7KditA9TuJwrZ25eFLfTNIkrNnY6mhV5Eg"",""list!A1:C115""),3,TRUE)"),"le secteur du conseil en management")</f>
        <v xml:space="preserve">le secteur du conseil en management</v>
      </c>
      <c r="K4381" s="5" t="s">
        <v>31047</v>
      </c>
      <c r="L4381" s="5" t="s">
        <v>31048</v>
      </c>
      <c r="M4381" s="4" t="s">
        <v>39</v>
      </c>
      <c r="N4381" s="4" t="s">
        <v>29</v>
      </c>
      <c r="O4381" s="4" t="s">
        <v>24428</v>
      </c>
      <c r="P4381" s="4" t="s">
        <v>29</v>
      </c>
      <c r="Q4381" s="6"/>
      <c r="R4381" s="6"/>
      <c r="S4381" s="6"/>
      <c r="T4381" s="6"/>
      <c r="U4381" s="6"/>
      <c r="V4381" s="6"/>
      <c r="W4381" s="6"/>
      <c r="X4381" s="6"/>
      <c r="Y4381" s="6"/>
      <c r="Z4381" s="6"/>
      <c r="AA4381" s="6"/>
    </row>
    <row r="4382" ht="14.25">
      <c r="B4382" s="4" t="s">
        <v>604</v>
      </c>
      <c r="C4382" s="4" t="s">
        <v>31049</v>
      </c>
      <c r="D4382" s="4" t="s">
        <v>10202</v>
      </c>
      <c r="E4382" s="4" t="s">
        <v>9750</v>
      </c>
      <c r="F4382" s="4" t="str">
        <f>IFERROR(__XLUDF.DUMMYFUNCTION("PROPER(REGEXREPLACE(D787,""[^A-Za-z]+ "",""""))"),"Quintet")</f>
        <v>Quintet</v>
      </c>
      <c r="G4382" s="4" t="s">
        <v>31050</v>
      </c>
      <c r="H4382" s="4">
        <v>11</v>
      </c>
      <c r="I4382" s="4" t="s">
        <v>4067</v>
      </c>
      <c r="J4382" s="4" t="str">
        <f>IFERROR(__XLUDF.DUMMYFUNCTION("VLOOKUP(H787,IMPORTRANGE(""https://docs.google.com/spreadsheets/d/1opm6ZNvGZ7KditA9TuJwrZ25eFLfTNIkrNnY6mhV5Eg"",""list!A1:C115""),3,TRUE)"),"le secteur du conseil en management")</f>
        <v xml:space="preserve">le secteur du conseil en management</v>
      </c>
      <c r="K4382" s="5" t="s">
        <v>31051</v>
      </c>
      <c r="L4382" s="5" t="s">
        <v>19455</v>
      </c>
      <c r="M4382" s="4" t="s">
        <v>39</v>
      </c>
      <c r="N4382" s="4" t="s">
        <v>29</v>
      </c>
      <c r="O4382" s="6"/>
      <c r="P4382" s="6"/>
      <c r="Q4382" s="6"/>
      <c r="R4382" s="6"/>
      <c r="S4382" s="6"/>
      <c r="T4382" s="6"/>
      <c r="U4382" s="6"/>
      <c r="V4382" s="6"/>
      <c r="W4382" s="6"/>
      <c r="X4382" s="6"/>
      <c r="Y4382" s="6"/>
      <c r="Z4382" s="6"/>
      <c r="AA4382" s="6"/>
    </row>
    <row r="4383" ht="14.25">
      <c r="B4383" s="4" t="s">
        <v>2258</v>
      </c>
      <c r="C4383" s="4" t="s">
        <v>31052</v>
      </c>
      <c r="D4383" s="4" t="s">
        <v>31053</v>
      </c>
      <c r="E4383" s="4" t="s">
        <v>31054</v>
      </c>
      <c r="F4383" s="4" t="str">
        <f>IFERROR(__XLUDF.DUMMYFUNCTION("PROPER(REGEXREPLACE(D788,""[^A-Za-z]+ "",""""))"),"Caneva")</f>
        <v>Caneva</v>
      </c>
      <c r="G4383" s="4" t="s">
        <v>31055</v>
      </c>
      <c r="H4383" s="4">
        <v>22</v>
      </c>
      <c r="I4383" s="4" t="s">
        <v>4067</v>
      </c>
      <c r="J4383" s="4" t="str">
        <f>IFERROR(__XLUDF.DUMMYFUNCTION("VLOOKUP(H788,IMPORTRANGE(""https://docs.google.com/spreadsheets/d/1opm6ZNvGZ7KditA9TuJwrZ25eFLfTNIkrNnY6mhV5Eg"",""list!A1:C115""),3,TRUE)"),"le secteur du conseil en management")</f>
        <v xml:space="preserve">le secteur du conseil en management</v>
      </c>
      <c r="K4383" s="5" t="s">
        <v>31056</v>
      </c>
      <c r="L4383" s="5" t="s">
        <v>31057</v>
      </c>
      <c r="M4383" s="4" t="s">
        <v>39</v>
      </c>
      <c r="N4383" s="4" t="s">
        <v>29</v>
      </c>
      <c r="O4383" s="4" t="s">
        <v>31058</v>
      </c>
      <c r="P4383" s="4" t="s">
        <v>29</v>
      </c>
      <c r="Q4383" s="4" t="s">
        <v>31059</v>
      </c>
      <c r="R4383" s="6"/>
      <c r="S4383" s="6"/>
      <c r="T4383" s="6"/>
      <c r="U4383" s="6"/>
      <c r="V4383" s="6"/>
      <c r="W4383" s="6"/>
      <c r="X4383" s="6"/>
      <c r="Y4383" s="6"/>
      <c r="Z4383" s="6"/>
      <c r="AA4383" s="6"/>
    </row>
    <row r="4384" ht="14.25">
      <c r="B4384" s="4" t="s">
        <v>3465</v>
      </c>
      <c r="C4384" s="4" t="s">
        <v>2165</v>
      </c>
      <c r="D4384" s="4" t="s">
        <v>2636</v>
      </c>
      <c r="E4384" s="4" t="s">
        <v>31060</v>
      </c>
      <c r="F4384" s="4" t="str">
        <f>IFERROR(__XLUDF.DUMMYFUNCTION("PROPER(REGEXREPLACE(D789,""[^A-Za-z]+ "",""""))"),"Marketing Méditerranée")</f>
        <v xml:space="preserve">Marketing Méditerranée</v>
      </c>
      <c r="G4384" s="4" t="s">
        <v>31061</v>
      </c>
      <c r="H4384" s="4">
        <v>50</v>
      </c>
      <c r="I4384" s="4" t="s">
        <v>19175</v>
      </c>
      <c r="J4384" s="4" t="str">
        <f>IFERROR(__XLUDF.DUMMYFUNCTION("VLOOKUP(H789,IMPORTRANGE(""https://docs.google.com/spreadsheets/d/1opm6ZNvGZ7KditA9TuJwrZ25eFLfTNIkrNnY6mhV5Eg"",""list!A1:C115""),3,TRUE)"),"le secteur des études de marché")</f>
        <v xml:space="preserve">le secteur des études de marché</v>
      </c>
      <c r="K4384" s="5" t="s">
        <v>31062</v>
      </c>
      <c r="L4384" s="5" t="s">
        <v>31063</v>
      </c>
      <c r="M4384" s="6"/>
      <c r="N4384" s="4" t="s">
        <v>29</v>
      </c>
      <c r="O4384" s="4" t="s">
        <v>31064</v>
      </c>
      <c r="P4384" s="4" t="s">
        <v>29</v>
      </c>
      <c r="Q4384" s="4" t="s">
        <v>31065</v>
      </c>
      <c r="R4384" s="6"/>
      <c r="S4384" s="6"/>
      <c r="T4384" s="6"/>
      <c r="U4384" s="6"/>
      <c r="V4384" s="6"/>
      <c r="W4384" s="6"/>
      <c r="X4384" s="6"/>
      <c r="Y4384" s="6"/>
      <c r="Z4384" s="6"/>
      <c r="AA4384" s="6"/>
    </row>
    <row r="4385" ht="14.25">
      <c r="B4385" s="4" t="s">
        <v>178</v>
      </c>
      <c r="C4385" s="4" t="s">
        <v>18488</v>
      </c>
      <c r="D4385" s="4" t="s">
        <v>112</v>
      </c>
      <c r="E4385" s="4" t="s">
        <v>31066</v>
      </c>
      <c r="F4385" s="4" t="str">
        <f>IFERROR(__XLUDF.DUMMYFUNCTION("PROPER(REGEXREPLACE(D790,""[^A-Za-z]+ "",""""))"),"Edhec Junior Etudes")</f>
        <v xml:space="preserve">Edhec Junior Etudes</v>
      </c>
      <c r="G4385" s="4" t="s">
        <v>31067</v>
      </c>
      <c r="H4385" s="4">
        <v>33</v>
      </c>
      <c r="I4385" s="4" t="s">
        <v>19175</v>
      </c>
      <c r="J4385" s="4" t="str">
        <f>IFERROR(__XLUDF.DUMMYFUNCTION("VLOOKUP(H790,IMPORTRANGE(""https://docs.google.com/spreadsheets/d/1opm6ZNvGZ7KditA9TuJwrZ25eFLfTNIkrNnY6mhV5Eg"",""list!A1:C115""),3,TRUE)"),"le secteur des études de marché")</f>
        <v xml:space="preserve">le secteur des études de marché</v>
      </c>
      <c r="K4385" s="5" t="s">
        <v>31068</v>
      </c>
      <c r="L4385" s="5" t="s">
        <v>31069</v>
      </c>
      <c r="M4385" s="4" t="s">
        <v>39</v>
      </c>
      <c r="N4385" s="4" t="s">
        <v>29</v>
      </c>
      <c r="O4385" s="4" t="s">
        <v>31070</v>
      </c>
      <c r="P4385" s="4" t="s">
        <v>29</v>
      </c>
      <c r="Q4385" s="4" t="s">
        <v>31071</v>
      </c>
      <c r="R4385" s="6"/>
      <c r="S4385" s="6"/>
      <c r="T4385" s="6"/>
      <c r="U4385" s="6"/>
      <c r="V4385" s="6"/>
      <c r="W4385" s="6"/>
      <c r="X4385" s="6"/>
      <c r="Y4385" s="6"/>
      <c r="Z4385" s="6"/>
      <c r="AA4385" s="6"/>
    </row>
    <row r="4386" ht="14.25">
      <c r="B4386" s="4" t="s">
        <v>734</v>
      </c>
      <c r="C4386" s="4" t="s">
        <v>31072</v>
      </c>
      <c r="D4386" s="4" t="s">
        <v>31073</v>
      </c>
      <c r="E4386" s="4" t="s">
        <v>31074</v>
      </c>
      <c r="F4386" s="4" t="str">
        <f>IFERROR(__XLUDF.DUMMYFUNCTION("PROPER(REGEXREPLACE(D791,""[^A-Za-z]+ "",""""))"),"Evasion Communication")</f>
        <v xml:space="preserve">Evasion Communication</v>
      </c>
      <c r="G4386" s="4" t="s">
        <v>31075</v>
      </c>
      <c r="H4386" s="4">
        <v>12</v>
      </c>
      <c r="I4386" s="4" t="s">
        <v>9161</v>
      </c>
      <c r="J4386" s="4" t="str">
        <f>IFERROR(__XLUDF.DUMMYFUNCTION("VLOOKUP(H791,IMPORTRANGE(""https://docs.google.com/spreadsheets/d/1opm6ZNvGZ7KditA9TuJwrZ25eFLfTNIkrNnY6mhV5Eg"",""list!A1:C115""),3,TRUE)"),"le secteur du marketing")</f>
        <v xml:space="preserve">le secteur du marketing</v>
      </c>
      <c r="K4386" s="5" t="s">
        <v>31076</v>
      </c>
      <c r="L4386" s="5" t="s">
        <v>31077</v>
      </c>
      <c r="M4386" s="4" t="s">
        <v>31078</v>
      </c>
      <c r="N4386" s="4" t="s">
        <v>29</v>
      </c>
      <c r="O4386" s="4" t="s">
        <v>31079</v>
      </c>
      <c r="P4386" s="4" t="s">
        <v>29</v>
      </c>
      <c r="Q4386" s="6"/>
      <c r="R4386" s="6"/>
      <c r="S4386" s="6"/>
      <c r="T4386" s="6"/>
      <c r="U4386" s="6"/>
      <c r="V4386" s="6"/>
      <c r="W4386" s="6"/>
      <c r="X4386" s="6"/>
      <c r="Y4386" s="6"/>
      <c r="Z4386" s="6"/>
      <c r="AA4386" s="6"/>
    </row>
    <row r="4387" ht="14.25">
      <c r="B4387" s="4" t="s">
        <v>170</v>
      </c>
      <c r="C4387" s="4" t="s">
        <v>31080</v>
      </c>
      <c r="D4387" s="4" t="s">
        <v>5500</v>
      </c>
      <c r="E4387" s="4" t="s">
        <v>31081</v>
      </c>
      <c r="F4387" s="4" t="str">
        <f>IFERROR(__XLUDF.DUMMYFUNCTION("PROPER(REGEXREPLACE(D792,""[^A-Za-z]+ "",""""))"),"E-Novate")</f>
        <v>E-Novate</v>
      </c>
      <c r="G4387" s="4" t="s">
        <v>31082</v>
      </c>
      <c r="H4387" s="4">
        <v>24</v>
      </c>
      <c r="I4387" s="4" t="s">
        <v>9161</v>
      </c>
      <c r="J4387" s="4" t="str">
        <f>IFERROR(__XLUDF.DUMMYFUNCTION("VLOOKUP(H792,IMPORTRANGE(""https://docs.google.com/spreadsheets/d/1opm6ZNvGZ7KditA9TuJwrZ25eFLfTNIkrNnY6mhV5Eg"",""list!A1:C115""),3,TRUE)"),"le secteur du marketing")</f>
        <v xml:space="preserve">le secteur du marketing</v>
      </c>
      <c r="K4387" s="5" t="s">
        <v>31083</v>
      </c>
      <c r="L4387" s="5" t="s">
        <v>31084</v>
      </c>
      <c r="M4387" s="4" t="s">
        <v>39</v>
      </c>
      <c r="N4387" s="4" t="s">
        <v>29</v>
      </c>
      <c r="O4387" s="4" t="s">
        <v>31085</v>
      </c>
      <c r="P4387" s="4" t="s">
        <v>29</v>
      </c>
      <c r="Q4387" s="6"/>
      <c r="R4387" s="6"/>
      <c r="S4387" s="6"/>
      <c r="T4387" s="6"/>
      <c r="U4387" s="6"/>
      <c r="V4387" s="6"/>
      <c r="W4387" s="6"/>
      <c r="X4387" s="6"/>
      <c r="Y4387" s="6"/>
      <c r="Z4387" s="6"/>
      <c r="AA4387" s="6"/>
    </row>
    <row r="4388" ht="14.25">
      <c r="B4388" s="4" t="s">
        <v>1387</v>
      </c>
      <c r="C4388" s="4" t="s">
        <v>12596</v>
      </c>
      <c r="D4388" s="4" t="s">
        <v>172</v>
      </c>
      <c r="E4388" s="4" t="s">
        <v>31086</v>
      </c>
      <c r="F4388" s="4" t="str">
        <f>IFERROR(__XLUDF.DUMMYFUNCTION("PROPER(REGEXREPLACE(D793,""[^A-Za-z]+ "",""""))"),"Pubadresse Routage")</f>
        <v xml:space="preserve">Pubadresse Routage</v>
      </c>
      <c r="G4388" s="4" t="s">
        <v>31087</v>
      </c>
      <c r="H4388" s="4">
        <v>25</v>
      </c>
      <c r="I4388" s="4" t="s">
        <v>9161</v>
      </c>
      <c r="J4388" s="4" t="str">
        <f>IFERROR(__XLUDF.DUMMYFUNCTION("VLOOKUP(H793,IMPORTRANGE(""https://docs.google.com/spreadsheets/d/1opm6ZNvGZ7KditA9TuJwrZ25eFLfTNIkrNnY6mhV5Eg"",""list!A1:C115""),3,TRUE)"),"le secteur du marketing")</f>
        <v xml:space="preserve">le secteur du marketing</v>
      </c>
      <c r="K4388" s="5" t="s">
        <v>31088</v>
      </c>
      <c r="L4388" s="5" t="s">
        <v>31089</v>
      </c>
      <c r="M4388" s="4" t="s">
        <v>39</v>
      </c>
      <c r="N4388" s="4" t="s">
        <v>29</v>
      </c>
      <c r="O4388" s="4" t="s">
        <v>31090</v>
      </c>
      <c r="P4388" s="4" t="s">
        <v>29</v>
      </c>
      <c r="Q4388" s="6"/>
      <c r="R4388" s="6"/>
      <c r="S4388" s="6"/>
      <c r="T4388" s="6"/>
      <c r="U4388" s="6"/>
      <c r="V4388" s="6"/>
      <c r="W4388" s="6"/>
      <c r="X4388" s="6"/>
      <c r="Y4388" s="6"/>
      <c r="Z4388" s="6"/>
      <c r="AA4388" s="6"/>
    </row>
    <row r="4389" ht="14.25">
      <c r="B4389" s="4" t="s">
        <v>11417</v>
      </c>
      <c r="C4389" s="4" t="s">
        <v>31091</v>
      </c>
      <c r="D4389" s="4" t="s">
        <v>9582</v>
      </c>
      <c r="E4389" s="4" t="s">
        <v>31092</v>
      </c>
      <c r="F4389" s="4" t="str">
        <f>IFERROR(__XLUDF.DUMMYFUNCTION("PROPER(REGEXREPLACE(D794,""[^A-Za-z]+ "",""""))"),"Odiens")</f>
        <v>Odiens</v>
      </c>
      <c r="G4389" s="4" t="s">
        <v>31093</v>
      </c>
      <c r="H4389" s="4">
        <v>16</v>
      </c>
      <c r="I4389" s="4" t="s">
        <v>9161</v>
      </c>
      <c r="J4389" s="4" t="str">
        <f>IFERROR(__XLUDF.DUMMYFUNCTION("VLOOKUP(H794,IMPORTRANGE(""https://docs.google.com/spreadsheets/d/1opm6ZNvGZ7KditA9TuJwrZ25eFLfTNIkrNnY6mhV5Eg"",""list!A1:C115""),3,TRUE)"),"le secteur du marketing")</f>
        <v xml:space="preserve">le secteur du marketing</v>
      </c>
      <c r="K4389" s="5" t="s">
        <v>31094</v>
      </c>
      <c r="L4389" s="5" t="s">
        <v>31095</v>
      </c>
      <c r="M4389" s="4" t="s">
        <v>1711</v>
      </c>
      <c r="N4389" s="4" t="s">
        <v>29</v>
      </c>
      <c r="O4389" s="4" t="s">
        <v>31096</v>
      </c>
      <c r="P4389" s="4" t="s">
        <v>29</v>
      </c>
      <c r="Q4389" s="4" t="s">
        <v>31097</v>
      </c>
      <c r="R4389" s="6"/>
      <c r="S4389" s="6"/>
      <c r="T4389" s="6"/>
      <c r="U4389" s="6"/>
      <c r="V4389" s="6"/>
      <c r="W4389" s="6"/>
      <c r="X4389" s="6"/>
      <c r="Y4389" s="6"/>
      <c r="Z4389" s="6"/>
      <c r="AA4389" s="6"/>
    </row>
    <row r="4390" ht="14.25">
      <c r="B4390" s="4" t="s">
        <v>4961</v>
      </c>
      <c r="C4390" s="4" t="s">
        <v>31098</v>
      </c>
      <c r="D4390" s="4" t="s">
        <v>87</v>
      </c>
      <c r="E4390" s="4" t="s">
        <v>31099</v>
      </c>
      <c r="F4390" s="4" t="str">
        <f>IFERROR(__XLUDF.DUMMYFUNCTION("PROPER(REGEXREPLACE(D795,""[^A-Za-z]+ "",""""))"),"Prezman")</f>
        <v>Prezman</v>
      </c>
      <c r="G4390" s="4" t="s">
        <v>31100</v>
      </c>
      <c r="H4390" s="4">
        <v>17</v>
      </c>
      <c r="I4390" s="4" t="s">
        <v>9161</v>
      </c>
      <c r="J4390" s="4" t="str">
        <f>IFERROR(__XLUDF.DUMMYFUNCTION("VLOOKUP(H795,IMPORTRANGE(""https://docs.google.com/spreadsheets/d/1opm6ZNvGZ7KditA9TuJwrZ25eFLfTNIkrNnY6mhV5Eg"",""list!A1:C115""),3,TRUE)"),"le secteur du marketing")</f>
        <v xml:space="preserve">le secteur du marketing</v>
      </c>
      <c r="K4390" s="5" t="s">
        <v>31101</v>
      </c>
      <c r="L4390" s="5" t="s">
        <v>31102</v>
      </c>
      <c r="M4390" s="4" t="s">
        <v>39</v>
      </c>
      <c r="N4390" s="4" t="s">
        <v>29</v>
      </c>
      <c r="O4390" s="4" t="s">
        <v>31103</v>
      </c>
      <c r="P4390" s="4" t="s">
        <v>29</v>
      </c>
      <c r="Q4390" s="4" t="s">
        <v>31104</v>
      </c>
      <c r="R4390" s="6"/>
      <c r="S4390" s="6"/>
      <c r="T4390" s="6"/>
      <c r="U4390" s="6"/>
      <c r="V4390" s="6"/>
      <c r="W4390" s="6"/>
      <c r="X4390" s="6"/>
      <c r="Y4390" s="6"/>
      <c r="Z4390" s="6"/>
      <c r="AA4390" s="6"/>
    </row>
    <row r="4391" ht="14.25">
      <c r="B4391" s="4" t="s">
        <v>4969</v>
      </c>
      <c r="C4391" s="4" t="s">
        <v>31105</v>
      </c>
      <c r="D4391" s="4" t="s">
        <v>426</v>
      </c>
      <c r="E4391" s="4" t="s">
        <v>31106</v>
      </c>
      <c r="F4391" s="4" t="str">
        <f>IFERROR(__XLUDF.DUMMYFUNCTION("PROPER(REGEXREPLACE(D796,""[^A-Za-z]+ "",""""))"),"Union Des Marques")</f>
        <v xml:space="preserve">Union Des Marques</v>
      </c>
      <c r="G4391" s="4" t="s">
        <v>31107</v>
      </c>
      <c r="H4391" s="4">
        <v>31</v>
      </c>
      <c r="I4391" s="4" t="s">
        <v>9161</v>
      </c>
      <c r="J4391" s="4" t="str">
        <f>IFERROR(__XLUDF.DUMMYFUNCTION("VLOOKUP(H796,IMPORTRANGE(""https://docs.google.com/spreadsheets/d/1opm6ZNvGZ7KditA9TuJwrZ25eFLfTNIkrNnY6mhV5Eg"",""list!A1:C115""),3,TRUE)"),"le secteur du marketing")</f>
        <v xml:space="preserve">le secteur du marketing</v>
      </c>
      <c r="K4391" s="5" t="s">
        <v>31108</v>
      </c>
      <c r="L4391" s="5" t="s">
        <v>31109</v>
      </c>
      <c r="M4391" s="4" t="s">
        <v>39</v>
      </c>
      <c r="N4391" s="4" t="s">
        <v>29</v>
      </c>
      <c r="O4391" s="4" t="s">
        <v>31110</v>
      </c>
      <c r="P4391" s="4" t="s">
        <v>29</v>
      </c>
      <c r="Q4391" s="4" t="s">
        <v>31111</v>
      </c>
      <c r="R4391" s="6"/>
      <c r="S4391" s="6"/>
      <c r="T4391" s="6"/>
      <c r="U4391" s="6"/>
      <c r="V4391" s="6"/>
      <c r="W4391" s="6"/>
      <c r="X4391" s="6"/>
      <c r="Y4391" s="6"/>
      <c r="Z4391" s="6"/>
      <c r="AA4391" s="6"/>
    </row>
    <row r="4392" ht="14.25">
      <c r="B4392" s="4" t="s">
        <v>743</v>
      </c>
      <c r="C4392" s="4" t="s">
        <v>31112</v>
      </c>
      <c r="D4392" s="4" t="s">
        <v>172</v>
      </c>
      <c r="E4392" s="4" t="s">
        <v>31113</v>
      </c>
      <c r="F4392" s="4" t="str">
        <f>IFERROR(__XLUDF.DUMMYFUNCTION("PROPER(REGEXREPLACE(D797,""[^A-Za-z]+ "",""""))"),"Bdsa")</f>
        <v>Bdsa</v>
      </c>
      <c r="G4392" s="4" t="s">
        <v>31114</v>
      </c>
      <c r="H4392" s="4">
        <v>14</v>
      </c>
      <c r="I4392" s="4" t="s">
        <v>9161</v>
      </c>
      <c r="J4392" s="4" t="str">
        <f>IFERROR(__XLUDF.DUMMYFUNCTION("VLOOKUP(H797,IMPORTRANGE(""https://docs.google.com/spreadsheets/d/1opm6ZNvGZ7KditA9TuJwrZ25eFLfTNIkrNnY6mhV5Eg"",""list!A1:C115""),3,TRUE)"),"le secteur du marketing")</f>
        <v xml:space="preserve">le secteur du marketing</v>
      </c>
      <c r="K4392" s="5" t="s">
        <v>31115</v>
      </c>
      <c r="L4392" s="5" t="s">
        <v>31116</v>
      </c>
      <c r="M4392" s="4" t="s">
        <v>20332</v>
      </c>
      <c r="N4392" s="4" t="s">
        <v>29</v>
      </c>
      <c r="O4392" s="4" t="s">
        <v>31117</v>
      </c>
      <c r="P4392" s="4" t="s">
        <v>29</v>
      </c>
      <c r="Q4392" s="4" t="s">
        <v>31118</v>
      </c>
      <c r="R4392" s="6"/>
      <c r="S4392" s="6"/>
      <c r="T4392" s="6"/>
      <c r="U4392" s="6"/>
      <c r="V4392" s="6"/>
      <c r="W4392" s="6"/>
      <c r="X4392" s="6"/>
      <c r="Y4392" s="6"/>
      <c r="Z4392" s="6"/>
      <c r="AA4392" s="6"/>
    </row>
    <row r="4393" ht="14.25">
      <c r="B4393" s="4" t="s">
        <v>13010</v>
      </c>
      <c r="C4393" s="4" t="s">
        <v>31119</v>
      </c>
      <c r="D4393" s="4" t="s">
        <v>31120</v>
      </c>
      <c r="E4393" s="4" t="s">
        <v>25948</v>
      </c>
      <c r="F4393" s="4" t="str">
        <f>IFERROR(__XLUDF.DUMMYFUNCTION("PROPER(REGEXREPLACE(D798,""[^A-Za-z]+ "",""""))"),"Sarl Tox")</f>
        <v xml:space="preserve">Sarl Tox</v>
      </c>
      <c r="G4393" s="4" t="s">
        <v>31121</v>
      </c>
      <c r="H4393" s="4">
        <v>21</v>
      </c>
      <c r="I4393" s="4" t="s">
        <v>9161</v>
      </c>
      <c r="J4393" s="4" t="str">
        <f>IFERROR(__XLUDF.DUMMYFUNCTION("VLOOKUP(H798,IMPORTRANGE(""https://docs.google.com/spreadsheets/d/1opm6ZNvGZ7KditA9TuJwrZ25eFLfTNIkrNnY6mhV5Eg"",""list!A1:C115""),3,TRUE)"),"le secteur du marketing")</f>
        <v xml:space="preserve">le secteur du marketing</v>
      </c>
      <c r="K4393" s="5" t="s">
        <v>31122</v>
      </c>
      <c r="L4393" s="5" t="s">
        <v>25951</v>
      </c>
      <c r="M4393" s="4" t="s">
        <v>185</v>
      </c>
      <c r="N4393" s="4" t="s">
        <v>29</v>
      </c>
      <c r="O4393" s="4" t="s">
        <v>125</v>
      </c>
      <c r="P4393" s="4" t="s">
        <v>29</v>
      </c>
      <c r="Q4393" s="4" t="s">
        <v>25952</v>
      </c>
      <c r="R4393" s="6"/>
      <c r="S4393" s="6"/>
      <c r="T4393" s="6"/>
      <c r="U4393" s="6"/>
      <c r="V4393" s="6"/>
      <c r="W4393" s="6"/>
      <c r="X4393" s="6"/>
      <c r="Y4393" s="6"/>
      <c r="Z4393" s="6"/>
      <c r="AA4393" s="6"/>
    </row>
    <row r="4394" ht="14.25">
      <c r="B4394" s="4" t="s">
        <v>20</v>
      </c>
      <c r="C4394" s="4" t="s">
        <v>31123</v>
      </c>
      <c r="D4394" s="4" t="s">
        <v>31124</v>
      </c>
      <c r="E4394" s="4" t="s">
        <v>31125</v>
      </c>
      <c r="F4394" s="4" t="str">
        <f>IFERROR(__XLUDF.DUMMYFUNCTION("PROPER(REGEXREPLACE(D799,""[^A-Za-z]+ "",""""))"),"Agence Marquise")</f>
        <v xml:space="preserve">Agence Marquise</v>
      </c>
      <c r="G4394" s="4" t="s">
        <v>31126</v>
      </c>
      <c r="H4394" s="4">
        <v>10</v>
      </c>
      <c r="I4394" s="4" t="s">
        <v>9161</v>
      </c>
      <c r="J4394" s="4" t="str">
        <f>IFERROR(__XLUDF.DUMMYFUNCTION("VLOOKUP(H799,IMPORTRANGE(""https://docs.google.com/spreadsheets/d/1opm6ZNvGZ7KditA9TuJwrZ25eFLfTNIkrNnY6mhV5Eg"",""list!A1:C115""),3,TRUE)"),"le secteur du marketing")</f>
        <v xml:space="preserve">le secteur du marketing</v>
      </c>
      <c r="K4394" s="5" t="s">
        <v>31127</v>
      </c>
      <c r="L4394" s="5" t="s">
        <v>31128</v>
      </c>
      <c r="M4394" s="4" t="s">
        <v>39</v>
      </c>
      <c r="N4394" s="4" t="s">
        <v>29</v>
      </c>
      <c r="O4394" s="4" t="s">
        <v>31129</v>
      </c>
      <c r="P4394" s="4" t="s">
        <v>29</v>
      </c>
      <c r="Q4394" s="6"/>
      <c r="R4394" s="6"/>
      <c r="S4394" s="6"/>
      <c r="T4394" s="6"/>
      <c r="U4394" s="6"/>
      <c r="V4394" s="6"/>
      <c r="W4394" s="6"/>
      <c r="X4394" s="6"/>
      <c r="Y4394" s="6"/>
      <c r="Z4394" s="6"/>
      <c r="AA4394" s="6"/>
    </row>
    <row r="4395" ht="14.25">
      <c r="B4395" s="4" t="s">
        <v>808</v>
      </c>
      <c r="C4395" s="4" t="s">
        <v>27887</v>
      </c>
      <c r="D4395" s="4" t="s">
        <v>172</v>
      </c>
      <c r="E4395" s="4" t="s">
        <v>31130</v>
      </c>
      <c r="F4395" s="4" t="str">
        <f>IFERROR(__XLUDF.DUMMYFUNCTION("PROPER(REGEXREPLACE(D800,""[^A-Za-z]+ "",""""))"),"Mediavision Et Jean Mineur")</f>
        <v xml:space="preserve">Mediavision Et Jean Mineur</v>
      </c>
      <c r="G4395" s="4" t="s">
        <v>31131</v>
      </c>
      <c r="H4395" s="4">
        <v>33</v>
      </c>
      <c r="I4395" s="4" t="s">
        <v>9161</v>
      </c>
      <c r="J4395" s="4" t="str">
        <f>IFERROR(__XLUDF.DUMMYFUNCTION("VLOOKUP(H800,IMPORTRANGE(""https://docs.google.com/spreadsheets/d/1opm6ZNvGZ7KditA9TuJwrZ25eFLfTNIkrNnY6mhV5Eg"",""list!A1:C115""),3,TRUE)"),"le secteur du marketing")</f>
        <v xml:space="preserve">le secteur du marketing</v>
      </c>
      <c r="K4395" s="5" t="s">
        <v>31132</v>
      </c>
      <c r="L4395" s="5" t="s">
        <v>31133</v>
      </c>
      <c r="M4395" s="6"/>
      <c r="N4395" s="4" t="s">
        <v>29</v>
      </c>
      <c r="O4395" s="4" t="s">
        <v>31134</v>
      </c>
      <c r="P4395" s="4" t="s">
        <v>29</v>
      </c>
      <c r="Q4395" s="4" t="s">
        <v>31135</v>
      </c>
      <c r="R4395" s="6"/>
      <c r="S4395" s="6"/>
      <c r="T4395" s="6"/>
      <c r="U4395" s="6"/>
      <c r="V4395" s="6"/>
      <c r="W4395" s="6"/>
      <c r="X4395" s="6"/>
      <c r="Y4395" s="6"/>
      <c r="Z4395" s="6"/>
      <c r="AA4395" s="6"/>
    </row>
    <row r="4396" ht="14.25">
      <c r="B4396" s="4" t="s">
        <v>2119</v>
      </c>
      <c r="C4396" s="4" t="s">
        <v>31136</v>
      </c>
      <c r="D4396" s="4" t="s">
        <v>1130</v>
      </c>
      <c r="E4396" s="4" t="s">
        <v>9757</v>
      </c>
      <c r="F4396" s="4" t="str">
        <f>IFERROR(__XLUDF.DUMMYFUNCTION("PROPER(REGEXREPLACE(D801,""[^A-Za-z]+ "",""""))"),"Copernic")</f>
        <v>Copernic</v>
      </c>
      <c r="G4396" s="4" t="s">
        <v>31137</v>
      </c>
      <c r="H4396" s="4">
        <v>41</v>
      </c>
      <c r="I4396" s="4" t="s">
        <v>9161</v>
      </c>
      <c r="J4396" s="4" t="str">
        <f>IFERROR(__XLUDF.DUMMYFUNCTION("VLOOKUP(H801,IMPORTRANGE(""https://docs.google.com/spreadsheets/d/1opm6ZNvGZ7KditA9TuJwrZ25eFLfTNIkrNnY6mhV5Eg"",""list!A1:C115""),3,TRUE)"),"le secteur du marketing")</f>
        <v xml:space="preserve">le secteur du marketing</v>
      </c>
      <c r="K4396" s="5" t="s">
        <v>31138</v>
      </c>
      <c r="L4396" s="5" t="s">
        <v>31139</v>
      </c>
      <c r="M4396" s="4" t="s">
        <v>39</v>
      </c>
      <c r="N4396" s="4" t="s">
        <v>29</v>
      </c>
      <c r="O4396" s="4" t="s">
        <v>21067</v>
      </c>
      <c r="P4396" s="4" t="s">
        <v>29</v>
      </c>
      <c r="Q4396" s="4" t="s">
        <v>9761</v>
      </c>
      <c r="R4396" s="6"/>
      <c r="S4396" s="6"/>
      <c r="T4396" s="6"/>
      <c r="U4396" s="6"/>
      <c r="V4396" s="6"/>
      <c r="W4396" s="6"/>
      <c r="X4396" s="6"/>
      <c r="Y4396" s="6"/>
      <c r="Z4396" s="6"/>
      <c r="AA4396" s="6"/>
    </row>
    <row r="4397" ht="14.25">
      <c r="B4397" s="4" t="s">
        <v>31140</v>
      </c>
      <c r="C4397" s="4" t="s">
        <v>31141</v>
      </c>
      <c r="D4397" s="4" t="s">
        <v>87</v>
      </c>
      <c r="E4397" s="4" t="s">
        <v>31142</v>
      </c>
      <c r="F4397" s="4" t="str">
        <f>IFERROR(__XLUDF.DUMMYFUNCTION("PROPER(REGEXREPLACE(D802,""[^A-Za-z]+ "",""""))"),"Dentsu Creative France")</f>
        <v xml:space="preserve">Dentsu Creative France</v>
      </c>
      <c r="G4397" s="4" t="s">
        <v>31143</v>
      </c>
      <c r="H4397" s="4">
        <v>49</v>
      </c>
      <c r="I4397" s="4" t="s">
        <v>9161</v>
      </c>
      <c r="J4397" s="4" t="str">
        <f>IFERROR(__XLUDF.DUMMYFUNCTION("VLOOKUP(H802,IMPORTRANGE(""https://docs.google.com/spreadsheets/d/1opm6ZNvGZ7KditA9TuJwrZ25eFLfTNIkrNnY6mhV5Eg"",""list!A1:C115""),3,TRUE)"),"le secteur du marketing")</f>
        <v xml:space="preserve">le secteur du marketing</v>
      </c>
      <c r="K4397" s="5" t="s">
        <v>31144</v>
      </c>
      <c r="L4397" s="5" t="s">
        <v>31145</v>
      </c>
      <c r="M4397" s="4" t="s">
        <v>39</v>
      </c>
      <c r="N4397" s="4" t="s">
        <v>29</v>
      </c>
      <c r="O4397" s="4" t="s">
        <v>31146</v>
      </c>
      <c r="P4397" s="4" t="s">
        <v>29</v>
      </c>
      <c r="Q4397" s="6"/>
      <c r="R4397" s="6"/>
      <c r="S4397" s="6"/>
      <c r="T4397" s="6"/>
      <c r="U4397" s="6"/>
      <c r="V4397" s="6"/>
      <c r="W4397" s="6"/>
      <c r="X4397" s="6"/>
      <c r="Y4397" s="6"/>
      <c r="Z4397" s="6"/>
      <c r="AA4397" s="6"/>
    </row>
    <row r="4398" ht="14.25">
      <c r="B4398" s="4" t="s">
        <v>206</v>
      </c>
      <c r="C4398" s="4" t="s">
        <v>31147</v>
      </c>
      <c r="D4398" s="4" t="s">
        <v>172</v>
      </c>
      <c r="E4398" s="4" t="s">
        <v>12341</v>
      </c>
      <c r="F4398" s="4" t="str">
        <f>IFERROR(__XLUDF.DUMMYFUNCTION("PROPER(REGEXREPLACE(D803,""[^A-Za-z]+ "",""""))"),"Agence 4Août")</f>
        <v xml:space="preserve">Agence 4Août</v>
      </c>
      <c r="G4398" s="4" t="s">
        <v>31148</v>
      </c>
      <c r="H4398" s="4">
        <v>24</v>
      </c>
      <c r="I4398" s="4" t="s">
        <v>9161</v>
      </c>
      <c r="J4398" s="4" t="str">
        <f>IFERROR(__XLUDF.DUMMYFUNCTION("VLOOKUP(H803,IMPORTRANGE(""https://docs.google.com/spreadsheets/d/1opm6ZNvGZ7KditA9TuJwrZ25eFLfTNIkrNnY6mhV5Eg"",""list!A1:C115""),3,TRUE)"),"le secteur du marketing")</f>
        <v xml:space="preserve">le secteur du marketing</v>
      </c>
      <c r="K4398" s="5" t="s">
        <v>31149</v>
      </c>
      <c r="L4398" s="5" t="s">
        <v>31150</v>
      </c>
      <c r="M4398" s="4" t="s">
        <v>39</v>
      </c>
      <c r="N4398" s="4" t="s">
        <v>29</v>
      </c>
      <c r="O4398" s="4" t="s">
        <v>31151</v>
      </c>
      <c r="P4398" s="4" t="s">
        <v>29</v>
      </c>
      <c r="Q4398" s="4" t="s">
        <v>12346</v>
      </c>
      <c r="R4398" s="6"/>
      <c r="S4398" s="6"/>
      <c r="T4398" s="6"/>
      <c r="U4398" s="6"/>
      <c r="V4398" s="6"/>
      <c r="W4398" s="6"/>
      <c r="X4398" s="6"/>
      <c r="Y4398" s="6"/>
      <c r="Z4398" s="6"/>
      <c r="AA4398" s="6"/>
    </row>
    <row r="4399" ht="14.25">
      <c r="B4399" s="4" t="s">
        <v>255</v>
      </c>
      <c r="C4399" s="4" t="s">
        <v>532</v>
      </c>
      <c r="D4399" s="4" t="s">
        <v>265</v>
      </c>
      <c r="E4399" s="4" t="s">
        <v>31152</v>
      </c>
      <c r="F4399" s="4" t="str">
        <f>IFERROR(__XLUDF.DUMMYFUNCTION("PROPER(REGEXREPLACE(D804,""[^A-Za-z]+ "",""""))"),"Newscreen")</f>
        <v>Newscreen</v>
      </c>
      <c r="G4399" s="4" t="s">
        <v>31153</v>
      </c>
      <c r="H4399" s="4">
        <v>17</v>
      </c>
      <c r="I4399" s="4" t="s">
        <v>9161</v>
      </c>
      <c r="J4399" s="4" t="str">
        <f>IFERROR(__XLUDF.DUMMYFUNCTION("VLOOKUP(H804,IMPORTRANGE(""https://docs.google.com/spreadsheets/d/1opm6ZNvGZ7KditA9TuJwrZ25eFLfTNIkrNnY6mhV5Eg"",""list!A1:C115""),3,TRUE)"),"le secteur du marketing")</f>
        <v xml:space="preserve">le secteur du marketing</v>
      </c>
      <c r="K4399" s="5" t="s">
        <v>31154</v>
      </c>
      <c r="L4399" s="5" t="s">
        <v>31155</v>
      </c>
      <c r="M4399" s="6"/>
      <c r="N4399" s="4" t="s">
        <v>29</v>
      </c>
      <c r="O4399" s="4" t="s">
        <v>67</v>
      </c>
      <c r="P4399" s="4" t="s">
        <v>29</v>
      </c>
      <c r="Q4399" s="4" t="s">
        <v>31156</v>
      </c>
      <c r="R4399" s="6"/>
      <c r="S4399" s="6"/>
      <c r="T4399" s="6"/>
      <c r="U4399" s="6"/>
      <c r="V4399" s="6"/>
      <c r="W4399" s="6"/>
      <c r="X4399" s="6"/>
      <c r="Y4399" s="6"/>
      <c r="Z4399" s="6"/>
      <c r="AA4399" s="6"/>
    </row>
    <row r="4400" ht="14.25">
      <c r="B4400" s="4" t="s">
        <v>1153</v>
      </c>
      <c r="C4400" s="4" t="s">
        <v>31157</v>
      </c>
      <c r="D4400" s="4" t="s">
        <v>172</v>
      </c>
      <c r="E4400" s="4" t="s">
        <v>31158</v>
      </c>
      <c r="F4400" s="4" t="str">
        <f>IFERROR(__XLUDF.DUMMYFUNCTION("PROPER(REGEXREPLACE(D805,""[^A-Za-z]+ "",""""))"),"Cadactuel")</f>
        <v>Cadactuel</v>
      </c>
      <c r="G4400" s="4" t="s">
        <v>31159</v>
      </c>
      <c r="H4400" s="4">
        <v>29</v>
      </c>
      <c r="I4400" s="4" t="s">
        <v>9161</v>
      </c>
      <c r="J4400" s="4" t="str">
        <f>IFERROR(__XLUDF.DUMMYFUNCTION("VLOOKUP(H805,IMPORTRANGE(""https://docs.google.com/spreadsheets/d/1opm6ZNvGZ7KditA9TuJwrZ25eFLfTNIkrNnY6mhV5Eg"",""list!A1:C115""),3,TRUE)"),"le secteur du marketing")</f>
        <v xml:space="preserve">le secteur du marketing</v>
      </c>
      <c r="K4400" s="5" t="s">
        <v>31160</v>
      </c>
      <c r="L4400" s="5" t="s">
        <v>31161</v>
      </c>
      <c r="M4400" s="4" t="s">
        <v>6777</v>
      </c>
      <c r="N4400" s="4" t="s">
        <v>29</v>
      </c>
      <c r="O4400" s="4" t="s">
        <v>31162</v>
      </c>
      <c r="P4400" s="4" t="s">
        <v>29</v>
      </c>
      <c r="Q4400" s="4" t="s">
        <v>31163</v>
      </c>
      <c r="R4400" s="6"/>
      <c r="S4400" s="6"/>
      <c r="T4400" s="6"/>
      <c r="U4400" s="6"/>
      <c r="V4400" s="6"/>
      <c r="W4400" s="6"/>
      <c r="X4400" s="6"/>
      <c r="Y4400" s="6"/>
      <c r="Z4400" s="6"/>
      <c r="AA4400" s="6"/>
    </row>
    <row r="4401" ht="14.25">
      <c r="B4401" s="4" t="s">
        <v>2462</v>
      </c>
      <c r="C4401" s="4" t="s">
        <v>31164</v>
      </c>
      <c r="D4401" s="4" t="s">
        <v>120</v>
      </c>
      <c r="E4401" s="4" t="s">
        <v>31165</v>
      </c>
      <c r="F4401" s="4" t="str">
        <f>IFERROR(__XLUDF.DUMMYFUNCTION("PROPER(REGEXREPLACE(D806,""[^A-Za-z]+ "",""""))"),"Boomerang")</f>
        <v>Boomerang</v>
      </c>
      <c r="G4401" s="4" t="s">
        <v>31166</v>
      </c>
      <c r="H4401" s="4">
        <v>27</v>
      </c>
      <c r="I4401" s="4" t="s">
        <v>9161</v>
      </c>
      <c r="J4401" s="4" t="str">
        <f>IFERROR(__XLUDF.DUMMYFUNCTION("VLOOKUP(H806,IMPORTRANGE(""https://docs.google.com/spreadsheets/d/1opm6ZNvGZ7KditA9TuJwrZ25eFLfTNIkrNnY6mhV5Eg"",""list!A1:C115""),3,TRUE)"),"le secteur du marketing")</f>
        <v xml:space="preserve">le secteur du marketing</v>
      </c>
      <c r="K4401" s="5" t="s">
        <v>31167</v>
      </c>
      <c r="L4401" s="5" t="s">
        <v>31168</v>
      </c>
      <c r="M4401" s="6"/>
      <c r="N4401" s="4" t="s">
        <v>29</v>
      </c>
      <c r="O4401" s="4" t="s">
        <v>31169</v>
      </c>
      <c r="P4401" s="4" t="s">
        <v>1261</v>
      </c>
      <c r="Q4401" s="6"/>
      <c r="R4401" s="6"/>
      <c r="S4401" s="6"/>
      <c r="T4401" s="6"/>
      <c r="U4401" s="6"/>
      <c r="V4401" s="6"/>
      <c r="W4401" s="6"/>
      <c r="X4401" s="6"/>
      <c r="Y4401" s="6"/>
      <c r="Z4401" s="6"/>
      <c r="AA4401" s="6"/>
    </row>
    <row r="4402" ht="14.25">
      <c r="B4402" s="4" t="s">
        <v>2824</v>
      </c>
      <c r="C4402" s="4" t="s">
        <v>31170</v>
      </c>
      <c r="D4402" s="4" t="s">
        <v>120</v>
      </c>
      <c r="E4402" s="4" t="s">
        <v>31171</v>
      </c>
      <c r="F4402" s="4" t="str">
        <f>IFERROR(__XLUDF.DUMMYFUNCTION("PROPER(REGEXREPLACE(D807,""[^A-Za-z]+ "",""""))"),"Brioche")</f>
        <v>Brioche</v>
      </c>
      <c r="G4402" s="4" t="s">
        <v>31172</v>
      </c>
      <c r="H4402" s="4">
        <v>25</v>
      </c>
      <c r="I4402" s="4" t="s">
        <v>9161</v>
      </c>
      <c r="J4402" s="4" t="str">
        <f>IFERROR(__XLUDF.DUMMYFUNCTION("VLOOKUP(H807,IMPORTRANGE(""https://docs.google.com/spreadsheets/d/1opm6ZNvGZ7KditA9TuJwrZ25eFLfTNIkrNnY6mhV5Eg"",""list!A1:C115""),3,TRUE)"),"le secteur du marketing")</f>
        <v xml:space="preserve">le secteur du marketing</v>
      </c>
      <c r="K4402" s="5" t="s">
        <v>31173</v>
      </c>
      <c r="L4402" s="5" t="s">
        <v>31174</v>
      </c>
      <c r="M4402" s="4" t="s">
        <v>39</v>
      </c>
      <c r="N4402" s="4" t="s">
        <v>29</v>
      </c>
      <c r="O4402" s="4" t="s">
        <v>67</v>
      </c>
      <c r="P4402" s="4" t="s">
        <v>29</v>
      </c>
      <c r="Q4402" s="6"/>
      <c r="R4402" s="6"/>
      <c r="S4402" s="6"/>
      <c r="T4402" s="6"/>
      <c r="U4402" s="6"/>
      <c r="V4402" s="6"/>
      <c r="W4402" s="6"/>
      <c r="X4402" s="6"/>
      <c r="Y4402" s="6"/>
      <c r="Z4402" s="6"/>
      <c r="AA4402" s="6"/>
    </row>
    <row r="4403" ht="14.25">
      <c r="B4403" s="4" t="s">
        <v>110</v>
      </c>
      <c r="C4403" s="4" t="s">
        <v>31175</v>
      </c>
      <c r="D4403" s="4" t="s">
        <v>120</v>
      </c>
      <c r="E4403" s="4" t="s">
        <v>31176</v>
      </c>
      <c r="F4403" s="4" t="str">
        <f>IFERROR(__XLUDF.DUMMYFUNCTION("PROPER(REGEXREPLACE(D808,""[^A-Za-z]+ "",""""))"),"Pause-Com")</f>
        <v>Pause-Com</v>
      </c>
      <c r="G4403" s="4" t="s">
        <v>31177</v>
      </c>
      <c r="H4403" s="4">
        <v>17</v>
      </c>
      <c r="I4403" s="4" t="s">
        <v>9161</v>
      </c>
      <c r="J4403" s="4" t="str">
        <f>IFERROR(__XLUDF.DUMMYFUNCTION("VLOOKUP(H808,IMPORTRANGE(""https://docs.google.com/spreadsheets/d/1opm6ZNvGZ7KditA9TuJwrZ25eFLfTNIkrNnY6mhV5Eg"",""list!A1:C115""),3,TRUE)"),"le secteur du marketing")</f>
        <v xml:space="preserve">le secteur du marketing</v>
      </c>
      <c r="K4403" s="5" t="s">
        <v>31178</v>
      </c>
      <c r="L4403" s="5" t="s">
        <v>31179</v>
      </c>
      <c r="M4403" s="4" t="s">
        <v>7827</v>
      </c>
      <c r="N4403" s="4" t="s">
        <v>29</v>
      </c>
      <c r="O4403" s="4" t="s">
        <v>31180</v>
      </c>
      <c r="P4403" s="4" t="s">
        <v>29</v>
      </c>
      <c r="Q4403" s="4" t="s">
        <v>31181</v>
      </c>
      <c r="R4403" s="6"/>
      <c r="S4403" s="6"/>
      <c r="T4403" s="6"/>
      <c r="U4403" s="6"/>
      <c r="V4403" s="6"/>
      <c r="W4403" s="6"/>
      <c r="X4403" s="6"/>
      <c r="Y4403" s="6"/>
      <c r="Z4403" s="6"/>
      <c r="AA4403" s="6"/>
    </row>
    <row r="4404" ht="14.25">
      <c r="B4404" s="4" t="s">
        <v>24920</v>
      </c>
      <c r="C4404" s="4" t="s">
        <v>24436</v>
      </c>
      <c r="D4404" s="4" t="s">
        <v>315</v>
      </c>
      <c r="E4404" s="4" t="s">
        <v>31182</v>
      </c>
      <c r="F4404" s="4" t="str">
        <f>IFERROR(__XLUDF.DUMMYFUNCTION("PROPER(REGEXREPLACE(D809,""[^A-Za-z]+ "",""""))"),"The Node")</f>
        <v xml:space="preserve">The Node</v>
      </c>
      <c r="G4404" s="4" t="s">
        <v>31183</v>
      </c>
      <c r="H4404" s="4">
        <v>9</v>
      </c>
      <c r="I4404" s="4" t="s">
        <v>9161</v>
      </c>
      <c r="J4404" s="4" t="str">
        <f>IFERROR(__XLUDF.DUMMYFUNCTION("VLOOKUP(H809,IMPORTRANGE(""https://docs.google.com/spreadsheets/d/1opm6ZNvGZ7KditA9TuJwrZ25eFLfTNIkrNnY6mhV5Eg"",""list!A1:C115""),3,TRUE)"),"le secteur du marketing")</f>
        <v xml:space="preserve">le secteur du marketing</v>
      </c>
      <c r="K4404" s="5" t="s">
        <v>31184</v>
      </c>
      <c r="L4404" s="5" t="s">
        <v>31185</v>
      </c>
      <c r="M4404" s="4" t="s">
        <v>482</v>
      </c>
      <c r="N4404" s="4" t="s">
        <v>29</v>
      </c>
      <c r="O4404" s="4" t="s">
        <v>31186</v>
      </c>
      <c r="P4404" s="4" t="s">
        <v>29</v>
      </c>
      <c r="Q4404" s="4" t="s">
        <v>31187</v>
      </c>
      <c r="R4404" s="6"/>
      <c r="S4404" s="6"/>
      <c r="T4404" s="6"/>
      <c r="U4404" s="6"/>
      <c r="V4404" s="6"/>
      <c r="W4404" s="6"/>
      <c r="X4404" s="6"/>
      <c r="Y4404" s="6"/>
      <c r="Z4404" s="6"/>
      <c r="AA4404" s="6"/>
    </row>
    <row r="4405" ht="14.25">
      <c r="B4405" s="4" t="s">
        <v>76</v>
      </c>
      <c r="C4405" s="4" t="s">
        <v>31188</v>
      </c>
      <c r="D4405" s="4" t="s">
        <v>11790</v>
      </c>
      <c r="E4405" s="4" t="s">
        <v>31189</v>
      </c>
      <c r="F4405" s="4" t="str">
        <f>IFERROR(__XLUDF.DUMMYFUNCTION("PROPER(REGEXREPLACE(D810,""[^A-Za-z]+ "",""""))"),"Publimat")</f>
        <v>Publimat</v>
      </c>
      <c r="G4405" s="4" t="s">
        <v>31190</v>
      </c>
      <c r="H4405" s="4">
        <v>29</v>
      </c>
      <c r="I4405" s="4" t="s">
        <v>9161</v>
      </c>
      <c r="J4405" s="4" t="str">
        <f>IFERROR(__XLUDF.DUMMYFUNCTION("VLOOKUP(H810,IMPORTRANGE(""https://docs.google.com/spreadsheets/d/1opm6ZNvGZ7KditA9TuJwrZ25eFLfTNIkrNnY6mhV5Eg"",""list!A1:C115""),3,TRUE)"),"le secteur du marketing")</f>
        <v xml:space="preserve">le secteur du marketing</v>
      </c>
      <c r="K4405" s="5" t="s">
        <v>31191</v>
      </c>
      <c r="L4405" s="5" t="s">
        <v>31192</v>
      </c>
      <c r="M4405" s="4" t="s">
        <v>4922</v>
      </c>
      <c r="N4405" s="4" t="s">
        <v>29</v>
      </c>
      <c r="O4405" s="4" t="s">
        <v>31193</v>
      </c>
      <c r="P4405" s="4" t="s">
        <v>29</v>
      </c>
      <c r="Q4405" s="4" t="s">
        <v>31194</v>
      </c>
      <c r="R4405" s="6"/>
      <c r="S4405" s="6"/>
      <c r="T4405" s="6"/>
      <c r="U4405" s="6"/>
      <c r="V4405" s="6"/>
      <c r="W4405" s="6"/>
      <c r="X4405" s="6"/>
      <c r="Y4405" s="6"/>
      <c r="Z4405" s="6"/>
      <c r="AA4405" s="6"/>
    </row>
    <row r="4406" ht="14.25">
      <c r="B4406" s="4" t="s">
        <v>7525</v>
      </c>
      <c r="C4406" s="4" t="s">
        <v>31195</v>
      </c>
      <c r="D4406" s="4" t="s">
        <v>3637</v>
      </c>
      <c r="E4406" s="4" t="s">
        <v>31196</v>
      </c>
      <c r="F4406" s="4" t="str">
        <f>IFERROR(__XLUDF.DUMMYFUNCTION("PROPER(REGEXREPLACE(D811,""[^A-Za-z]+ "",""""))"),"Inconito")</f>
        <v>Inconito</v>
      </c>
      <c r="G4406" s="4" t="s">
        <v>31197</v>
      </c>
      <c r="H4406" s="4">
        <v>46</v>
      </c>
      <c r="I4406" s="4" t="s">
        <v>9161</v>
      </c>
      <c r="J4406" s="4" t="str">
        <f>IFERROR(__XLUDF.DUMMYFUNCTION("VLOOKUP(H811,IMPORTRANGE(""https://docs.google.com/spreadsheets/d/1opm6ZNvGZ7KditA9TuJwrZ25eFLfTNIkrNnY6mhV5Eg"",""list!A1:C115""),3,TRUE)"),"le secteur du marketing")</f>
        <v xml:space="preserve">le secteur du marketing</v>
      </c>
      <c r="K4406" s="5" t="s">
        <v>31198</v>
      </c>
      <c r="L4406" s="5" t="s">
        <v>31199</v>
      </c>
      <c r="M4406" s="4" t="s">
        <v>83</v>
      </c>
      <c r="N4406" s="4" t="s">
        <v>29</v>
      </c>
      <c r="O4406" s="4" t="s">
        <v>31200</v>
      </c>
      <c r="P4406" s="4" t="s">
        <v>29</v>
      </c>
      <c r="Q4406" s="6"/>
      <c r="R4406" s="6"/>
      <c r="S4406" s="6"/>
      <c r="T4406" s="6"/>
      <c r="U4406" s="6"/>
      <c r="V4406" s="6"/>
      <c r="W4406" s="6"/>
      <c r="X4406" s="6"/>
      <c r="Y4406" s="6"/>
      <c r="Z4406" s="6"/>
      <c r="AA4406" s="6"/>
    </row>
    <row r="4407" ht="14.25">
      <c r="B4407" s="4" t="s">
        <v>76</v>
      </c>
      <c r="C4407" s="4" t="s">
        <v>7170</v>
      </c>
      <c r="D4407" s="4" t="s">
        <v>341</v>
      </c>
      <c r="E4407" s="4" t="s">
        <v>22698</v>
      </c>
      <c r="F4407" s="4" t="str">
        <f>IFERROR(__XLUDF.DUMMYFUNCTION("PROPER(REGEXREPLACE(D812,""[^A-Za-z]+ "",""""))"),"Sportmidable")</f>
        <v>Sportmidable</v>
      </c>
      <c r="G4407" s="4" t="s">
        <v>22699</v>
      </c>
      <c r="H4407" s="4">
        <v>17</v>
      </c>
      <c r="I4407" s="4" t="s">
        <v>9161</v>
      </c>
      <c r="J4407" s="4" t="str">
        <f>IFERROR(__XLUDF.DUMMYFUNCTION("VLOOKUP(H812,IMPORTRANGE(""https://docs.google.com/spreadsheets/d/1opm6ZNvGZ7KditA9TuJwrZ25eFLfTNIkrNnY6mhV5Eg"",""list!A1:C115""),3,TRUE)"),"le secteur du marketing")</f>
        <v xml:space="preserve">le secteur du marketing</v>
      </c>
      <c r="K4407" s="5" t="s">
        <v>22700</v>
      </c>
      <c r="L4407" s="5" t="s">
        <v>22701</v>
      </c>
      <c r="M4407" s="4" t="s">
        <v>22702</v>
      </c>
      <c r="N4407" s="4" t="s">
        <v>29</v>
      </c>
      <c r="O4407" s="4" t="s">
        <v>22703</v>
      </c>
      <c r="P4407" s="4" t="s">
        <v>29</v>
      </c>
      <c r="Q4407" s="6"/>
      <c r="R4407" s="6"/>
      <c r="S4407" s="6"/>
      <c r="T4407" s="6"/>
      <c r="U4407" s="6"/>
      <c r="V4407" s="6"/>
      <c r="W4407" s="6"/>
      <c r="X4407" s="6"/>
      <c r="Y4407" s="6"/>
      <c r="Z4407" s="6"/>
      <c r="AA4407" s="6"/>
    </row>
    <row r="4408" ht="14.25">
      <c r="B4408" s="4" t="s">
        <v>3186</v>
      </c>
      <c r="C4408" s="4" t="s">
        <v>777</v>
      </c>
      <c r="D4408" s="4" t="s">
        <v>172</v>
      </c>
      <c r="E4408" s="4" t="s">
        <v>31201</v>
      </c>
      <c r="F4408" s="4" t="str">
        <f>IFERROR(__XLUDF.DUMMYFUNCTION("PROPER(REGEXREPLACE(D813,""[^A-Za-z]+ "",""""))"),"La Provence Médias")</f>
        <v xml:space="preserve">La Provence Médias</v>
      </c>
      <c r="G4408" s="4" t="s">
        <v>31202</v>
      </c>
      <c r="H4408" s="4">
        <v>19</v>
      </c>
      <c r="I4408" s="4" t="s">
        <v>9161</v>
      </c>
      <c r="J4408" s="4" t="str">
        <f>IFERROR(__XLUDF.DUMMYFUNCTION("VLOOKUP(H813,IMPORTRANGE(""https://docs.google.com/spreadsheets/d/1opm6ZNvGZ7KditA9TuJwrZ25eFLfTNIkrNnY6mhV5Eg"",""list!A1:C115""),3,TRUE)"),"le secteur du marketing")</f>
        <v xml:space="preserve">le secteur du marketing</v>
      </c>
      <c r="K4408" s="5" t="s">
        <v>31203</v>
      </c>
      <c r="L4408" s="5" t="s">
        <v>31204</v>
      </c>
      <c r="M4408" s="4" t="s">
        <v>295</v>
      </c>
      <c r="N4408" s="4" t="s">
        <v>29</v>
      </c>
      <c r="O4408" s="4" t="s">
        <v>31205</v>
      </c>
      <c r="P4408" s="4" t="s">
        <v>29</v>
      </c>
      <c r="Q4408" s="4" t="s">
        <v>31206</v>
      </c>
      <c r="R4408" s="6"/>
      <c r="S4408" s="6"/>
      <c r="T4408" s="6"/>
      <c r="U4408" s="6"/>
      <c r="V4408" s="6"/>
      <c r="W4408" s="6"/>
      <c r="X4408" s="6"/>
      <c r="Y4408" s="6"/>
      <c r="Z4408" s="6"/>
      <c r="AA4408" s="6"/>
    </row>
    <row r="4409" ht="14.25">
      <c r="B4409" s="4" t="s">
        <v>5252</v>
      </c>
      <c r="C4409" s="4" t="s">
        <v>31207</v>
      </c>
      <c r="D4409" s="4" t="s">
        <v>31208</v>
      </c>
      <c r="E4409" s="4" t="s">
        <v>31209</v>
      </c>
      <c r="F4409" s="4" t="str">
        <f>IFERROR(__XLUDF.DUMMYFUNCTION("PROPER(REGEXREPLACE(D814,""[^A-Za-z]+ "",""""))"),"Premium Events")</f>
        <v xml:space="preserve">Premium Events</v>
      </c>
      <c r="G4409" s="4" t="s">
        <v>31210</v>
      </c>
      <c r="H4409" s="4">
        <v>49</v>
      </c>
      <c r="I4409" s="4" t="s">
        <v>9161</v>
      </c>
      <c r="J4409" s="4" t="str">
        <f>IFERROR(__XLUDF.DUMMYFUNCTION("VLOOKUP(H814,IMPORTRANGE(""https://docs.google.com/spreadsheets/d/1opm6ZNvGZ7KditA9TuJwrZ25eFLfTNIkrNnY6mhV5Eg"",""list!A1:C115""),3,TRUE)"),"le secteur du marketing")</f>
        <v xml:space="preserve">le secteur du marketing</v>
      </c>
      <c r="K4409" s="5" t="s">
        <v>31211</v>
      </c>
      <c r="L4409" s="5" t="s">
        <v>31212</v>
      </c>
      <c r="M4409" s="6"/>
      <c r="N4409" s="4" t="s">
        <v>29</v>
      </c>
      <c r="O4409" s="4" t="s">
        <v>31213</v>
      </c>
      <c r="P4409" s="4" t="s">
        <v>29</v>
      </c>
      <c r="Q4409" s="4" t="s">
        <v>31214</v>
      </c>
      <c r="R4409" s="6"/>
      <c r="S4409" s="6"/>
      <c r="T4409" s="6"/>
      <c r="U4409" s="6"/>
      <c r="V4409" s="6"/>
      <c r="W4409" s="6"/>
      <c r="X4409" s="6"/>
      <c r="Y4409" s="6"/>
      <c r="Z4409" s="6"/>
      <c r="AA4409" s="6"/>
    </row>
    <row r="4410" ht="14.25">
      <c r="B4410" s="4" t="s">
        <v>30872</v>
      </c>
      <c r="C4410" s="4" t="s">
        <v>31215</v>
      </c>
      <c r="D4410" s="4" t="s">
        <v>87</v>
      </c>
      <c r="E4410" s="4" t="s">
        <v>31216</v>
      </c>
      <c r="F4410" s="4" t="str">
        <f>IFERROR(__XLUDF.DUMMYFUNCTION("PROPER(REGEXREPLACE(D815,""[^A-Za-z]+ "",""""))"),"Avomark Sas")</f>
        <v xml:space="preserve">Avomark Sas</v>
      </c>
      <c r="G4410" s="4" t="s">
        <v>31217</v>
      </c>
      <c r="H4410" s="4">
        <v>16</v>
      </c>
      <c r="I4410" s="4" t="s">
        <v>9161</v>
      </c>
      <c r="J4410" s="4" t="str">
        <f>IFERROR(__XLUDF.DUMMYFUNCTION("VLOOKUP(H815,IMPORTRANGE(""https://docs.google.com/spreadsheets/d/1opm6ZNvGZ7KditA9TuJwrZ25eFLfTNIkrNnY6mhV5Eg"",""list!A1:C115""),3,TRUE)"),"le secteur du marketing")</f>
        <v xml:space="preserve">le secteur du marketing</v>
      </c>
      <c r="K4410" s="5" t="s">
        <v>31218</v>
      </c>
      <c r="L4410" s="5" t="s">
        <v>31219</v>
      </c>
      <c r="M4410" s="4" t="s">
        <v>39</v>
      </c>
      <c r="N4410" s="4" t="s">
        <v>29</v>
      </c>
      <c r="O4410" s="4" t="s">
        <v>31220</v>
      </c>
      <c r="P4410" s="4" t="s">
        <v>29</v>
      </c>
      <c r="Q4410" s="4" t="s">
        <v>31221</v>
      </c>
      <c r="R4410" s="6"/>
      <c r="S4410" s="6"/>
      <c r="T4410" s="6"/>
      <c r="U4410" s="6"/>
      <c r="V4410" s="6"/>
      <c r="W4410" s="6"/>
      <c r="X4410" s="6"/>
      <c r="Y4410" s="6"/>
      <c r="Z4410" s="6"/>
      <c r="AA4410" s="6"/>
    </row>
    <row r="4411" ht="14.25">
      <c r="B4411" s="4" t="s">
        <v>402</v>
      </c>
      <c r="C4411" s="4" t="s">
        <v>31222</v>
      </c>
      <c r="D4411" s="4" t="s">
        <v>31223</v>
      </c>
      <c r="E4411" s="4" t="s">
        <v>31224</v>
      </c>
      <c r="F4411" s="4" t="str">
        <f>IFERROR(__XLUDF.DUMMYFUNCTION("PROPER(REGEXREPLACE(D816,""[^A-Za-z]+ "",""""))"),"Chuton Vous Écoute")</f>
        <v xml:space="preserve">Chuton Vous Écoute</v>
      </c>
      <c r="G4411" s="4" t="s">
        <v>31225</v>
      </c>
      <c r="H4411" s="4">
        <v>11</v>
      </c>
      <c r="I4411" s="4" t="s">
        <v>9161</v>
      </c>
      <c r="J4411" s="4" t="str">
        <f>IFERROR(__XLUDF.DUMMYFUNCTION("VLOOKUP(H816,IMPORTRANGE(""https://docs.google.com/spreadsheets/d/1opm6ZNvGZ7KditA9TuJwrZ25eFLfTNIkrNnY6mhV5Eg"",""list!A1:C115""),3,TRUE)"),"le secteur du marketing")</f>
        <v xml:space="preserve">le secteur du marketing</v>
      </c>
      <c r="K4411" s="5" t="s">
        <v>31226</v>
      </c>
      <c r="L4411" s="5" t="s">
        <v>31227</v>
      </c>
      <c r="M4411" s="4" t="s">
        <v>39</v>
      </c>
      <c r="N4411" s="4" t="s">
        <v>29</v>
      </c>
      <c r="O4411" s="4" t="s">
        <v>31228</v>
      </c>
      <c r="P4411" s="4" t="s">
        <v>29</v>
      </c>
      <c r="Q4411" s="4" t="s">
        <v>31229</v>
      </c>
      <c r="R4411" s="6"/>
      <c r="S4411" s="6"/>
      <c r="T4411" s="6"/>
      <c r="U4411" s="6"/>
      <c r="V4411" s="6"/>
      <c r="W4411" s="6"/>
      <c r="X4411" s="6"/>
      <c r="Y4411" s="6"/>
      <c r="Z4411" s="6"/>
      <c r="AA4411" s="6"/>
    </row>
    <row r="4412" ht="14.25">
      <c r="B4412" s="4" t="s">
        <v>1198</v>
      </c>
      <c r="C4412" s="4" t="s">
        <v>29501</v>
      </c>
      <c r="D4412" s="4" t="s">
        <v>10202</v>
      </c>
      <c r="E4412" s="4" t="s">
        <v>31230</v>
      </c>
      <c r="F4412" s="4" t="str">
        <f>IFERROR(__XLUDF.DUMMYFUNCTION("PROPER(REGEXREPLACE(D817,""[^A-Za-z]+ "",""""))"),"Agence Spoutnik")</f>
        <v xml:space="preserve">Agence Spoutnik</v>
      </c>
      <c r="G4412" s="4" t="s">
        <v>31231</v>
      </c>
      <c r="H4412" s="4">
        <v>15</v>
      </c>
      <c r="I4412" s="4" t="s">
        <v>9161</v>
      </c>
      <c r="J4412" s="4" t="str">
        <f>IFERROR(__XLUDF.DUMMYFUNCTION("VLOOKUP(H817,IMPORTRANGE(""https://docs.google.com/spreadsheets/d/1opm6ZNvGZ7KditA9TuJwrZ25eFLfTNIkrNnY6mhV5Eg"",""list!A1:C115""),3,TRUE)"),"le secteur du marketing")</f>
        <v xml:space="preserve">le secteur du marketing</v>
      </c>
      <c r="K4412" s="5" t="s">
        <v>31232</v>
      </c>
      <c r="L4412" s="5" t="s">
        <v>31233</v>
      </c>
      <c r="M4412" s="4" t="s">
        <v>39</v>
      </c>
      <c r="N4412" s="4" t="s">
        <v>29</v>
      </c>
      <c r="O4412" s="4" t="s">
        <v>31234</v>
      </c>
      <c r="P4412" s="4" t="s">
        <v>29</v>
      </c>
      <c r="Q4412" s="4" t="s">
        <v>31235</v>
      </c>
      <c r="R4412" s="6"/>
      <c r="S4412" s="6"/>
      <c r="T4412" s="6"/>
      <c r="U4412" s="6"/>
      <c r="V4412" s="6"/>
      <c r="W4412" s="6"/>
      <c r="X4412" s="6"/>
      <c r="Y4412" s="6"/>
      <c r="Z4412" s="6"/>
      <c r="AA4412" s="6"/>
    </row>
    <row r="4413" ht="14.25">
      <c r="B4413" s="4" t="s">
        <v>4522</v>
      </c>
      <c r="C4413" s="4" t="s">
        <v>31236</v>
      </c>
      <c r="D4413" s="4" t="s">
        <v>164</v>
      </c>
      <c r="E4413" s="4" t="s">
        <v>31237</v>
      </c>
      <c r="F4413" s="4" t="str">
        <f>IFERROR(__XLUDF.DUMMYFUNCTION("PROPER(REGEXREPLACE(D818,""[^A-Za-z]+ "",""""))"),"Udecam")</f>
        <v>Udecam</v>
      </c>
      <c r="G4413" s="4" t="s">
        <v>31238</v>
      </c>
      <c r="H4413" s="4">
        <v>15</v>
      </c>
      <c r="I4413" s="4" t="s">
        <v>9161</v>
      </c>
      <c r="J4413" s="4" t="str">
        <f>IFERROR(__XLUDF.DUMMYFUNCTION("VLOOKUP(H818,IMPORTRANGE(""https://docs.google.com/spreadsheets/d/1opm6ZNvGZ7KditA9TuJwrZ25eFLfTNIkrNnY6mhV5Eg"",""list!A1:C115""),3,TRUE)"),"le secteur du marketing")</f>
        <v xml:space="preserve">le secteur du marketing</v>
      </c>
      <c r="K4413" s="5" t="s">
        <v>31239</v>
      </c>
      <c r="L4413" s="5" t="s">
        <v>31240</v>
      </c>
      <c r="M4413" s="4" t="s">
        <v>39</v>
      </c>
      <c r="N4413" s="4" t="s">
        <v>29</v>
      </c>
      <c r="O4413" s="4" t="s">
        <v>31241</v>
      </c>
      <c r="P4413" s="4" t="s">
        <v>29</v>
      </c>
      <c r="Q4413" s="6"/>
      <c r="R4413" s="6"/>
      <c r="S4413" s="6"/>
      <c r="T4413" s="6"/>
      <c r="U4413" s="6"/>
      <c r="V4413" s="6"/>
      <c r="W4413" s="6"/>
      <c r="X4413" s="6"/>
      <c r="Y4413" s="6"/>
      <c r="Z4413" s="6"/>
      <c r="AA4413" s="6"/>
    </row>
    <row r="4414" ht="14.25">
      <c r="B4414" s="4" t="s">
        <v>330</v>
      </c>
      <c r="C4414" s="4" t="s">
        <v>7255</v>
      </c>
      <c r="D4414" s="4" t="s">
        <v>31242</v>
      </c>
      <c r="E4414" s="4" t="s">
        <v>31243</v>
      </c>
      <c r="F4414" s="4" t="str">
        <f>IFERROR(__XLUDF.DUMMYFUNCTION("PROPER(REGEXREPLACE(D819,""[^A-Za-z]+ "",""""))"),"M2A Merchandising")</f>
        <v xml:space="preserve">M2A Merchandising</v>
      </c>
      <c r="G4414" s="4" t="s">
        <v>31244</v>
      </c>
      <c r="H4414" s="4">
        <v>24</v>
      </c>
      <c r="I4414" s="4" t="s">
        <v>9161</v>
      </c>
      <c r="J4414" s="4" t="str">
        <f>IFERROR(__XLUDF.DUMMYFUNCTION("VLOOKUP(H819,IMPORTRANGE(""https://docs.google.com/spreadsheets/d/1opm6ZNvGZ7KditA9TuJwrZ25eFLfTNIkrNnY6mhV5Eg"",""list!A1:C115""),3,TRUE)"),"le secteur du marketing")</f>
        <v xml:space="preserve">le secteur du marketing</v>
      </c>
      <c r="K4414" s="5" t="s">
        <v>31245</v>
      </c>
      <c r="L4414" s="5" t="s">
        <v>31246</v>
      </c>
      <c r="M4414" s="6"/>
      <c r="N4414" s="4" t="s">
        <v>29</v>
      </c>
      <c r="O4414" s="4" t="s">
        <v>125</v>
      </c>
      <c r="P4414" s="4" t="s">
        <v>29</v>
      </c>
      <c r="Q4414" s="4" t="s">
        <v>31247</v>
      </c>
      <c r="R4414" s="6"/>
      <c r="S4414" s="6"/>
      <c r="T4414" s="6"/>
      <c r="U4414" s="6"/>
      <c r="V4414" s="6"/>
      <c r="W4414" s="6"/>
      <c r="X4414" s="6"/>
      <c r="Y4414" s="6"/>
      <c r="Z4414" s="6"/>
      <c r="AA4414" s="6"/>
    </row>
    <row r="4415" ht="14.25">
      <c r="B4415" s="4" t="s">
        <v>31248</v>
      </c>
      <c r="C4415" s="4" t="s">
        <v>31249</v>
      </c>
      <c r="D4415" s="4" t="s">
        <v>2911</v>
      </c>
      <c r="E4415" s="4" t="s">
        <v>31250</v>
      </c>
      <c r="F4415" s="4" t="str">
        <f>IFERROR(__XLUDF.DUMMYFUNCTION("PROPER(REGEXREPLACE(D820,""[^A-Za-z]+ "",""""))"),"Mark Copy")</f>
        <v xml:space="preserve">Mark Copy</v>
      </c>
      <c r="G4415" s="4" t="s">
        <v>31251</v>
      </c>
      <c r="H4415" s="4">
        <v>9</v>
      </c>
      <c r="I4415" s="4" t="s">
        <v>9161</v>
      </c>
      <c r="J4415" s="4" t="str">
        <f>IFERROR(__XLUDF.DUMMYFUNCTION("VLOOKUP(H820,IMPORTRANGE(""https://docs.google.com/spreadsheets/d/1opm6ZNvGZ7KditA9TuJwrZ25eFLfTNIkrNnY6mhV5Eg"",""list!A1:C115""),3,TRUE)"),"le secteur du marketing")</f>
        <v xml:space="preserve">le secteur du marketing</v>
      </c>
      <c r="K4415" s="5" t="s">
        <v>31252</v>
      </c>
      <c r="L4415" s="5" t="s">
        <v>31253</v>
      </c>
      <c r="M4415" s="4" t="s">
        <v>2186</v>
      </c>
      <c r="N4415" s="4" t="s">
        <v>29</v>
      </c>
      <c r="O4415" s="4" t="s">
        <v>546</v>
      </c>
      <c r="P4415" s="4" t="s">
        <v>29</v>
      </c>
      <c r="Q4415" s="6"/>
      <c r="R4415" s="6"/>
      <c r="S4415" s="6"/>
      <c r="T4415" s="6"/>
      <c r="U4415" s="6"/>
      <c r="V4415" s="6"/>
      <c r="W4415" s="6"/>
      <c r="X4415" s="6"/>
      <c r="Y4415" s="6"/>
      <c r="Z4415" s="6"/>
      <c r="AA4415" s="6"/>
    </row>
    <row r="4416" ht="14.25">
      <c r="B4416" s="4" t="s">
        <v>330</v>
      </c>
      <c r="C4416" s="4" t="s">
        <v>27005</v>
      </c>
      <c r="D4416" s="4" t="s">
        <v>1867</v>
      </c>
      <c r="E4416" s="4" t="s">
        <v>31254</v>
      </c>
      <c r="F4416" s="4" t="str">
        <f>IFERROR(__XLUDF.DUMMYFUNCTION("PROPER(REGEXREPLACE(D821,""[^A-Za-z]+ "",""""))"),"Graphipub")</f>
        <v>Graphipub</v>
      </c>
      <c r="G4416" s="4" t="s">
        <v>31255</v>
      </c>
      <c r="H4416" s="4">
        <v>13</v>
      </c>
      <c r="I4416" s="4" t="s">
        <v>9161</v>
      </c>
      <c r="J4416" s="4" t="str">
        <f>IFERROR(__XLUDF.DUMMYFUNCTION("VLOOKUP(H821,IMPORTRANGE(""https://docs.google.com/spreadsheets/d/1opm6ZNvGZ7KditA9TuJwrZ25eFLfTNIkrNnY6mhV5Eg"",""list!A1:C115""),3,TRUE)"),"le secteur du marketing")</f>
        <v xml:space="preserve">le secteur du marketing</v>
      </c>
      <c r="K4416" s="5" t="s">
        <v>31256</v>
      </c>
      <c r="L4416" s="5" t="s">
        <v>31257</v>
      </c>
      <c r="M4416" s="6"/>
      <c r="N4416" s="4" t="s">
        <v>29</v>
      </c>
      <c r="O4416" s="4" t="s">
        <v>31258</v>
      </c>
      <c r="P4416" s="4" t="s">
        <v>29</v>
      </c>
      <c r="Q4416" s="6"/>
      <c r="R4416" s="6"/>
      <c r="S4416" s="6"/>
      <c r="T4416" s="6"/>
      <c r="U4416" s="6"/>
      <c r="V4416" s="6"/>
      <c r="W4416" s="6"/>
      <c r="X4416" s="6"/>
      <c r="Y4416" s="6"/>
      <c r="Z4416" s="6"/>
      <c r="AA4416" s="6"/>
    </row>
    <row r="4417" ht="14.25">
      <c r="B4417" s="4" t="s">
        <v>222</v>
      </c>
      <c r="C4417" s="4" t="s">
        <v>31259</v>
      </c>
      <c r="D4417" s="4" t="s">
        <v>172</v>
      </c>
      <c r="E4417" s="4" t="s">
        <v>31260</v>
      </c>
      <c r="F4417" s="4" t="str">
        <f>IFERROR(__XLUDF.DUMMYFUNCTION("PROPER(REGEXREPLACE(D822,""[^A-Za-z]+ "",""""))"),"Societe Europeenne De Publicite")</f>
        <v xml:space="preserve">Societe Europeenne De Publicite</v>
      </c>
      <c r="G4417" s="4" t="s">
        <v>31261</v>
      </c>
      <c r="H4417" s="4">
        <v>15</v>
      </c>
      <c r="I4417" s="4" t="s">
        <v>9161</v>
      </c>
      <c r="J4417" s="4" t="str">
        <f>IFERROR(__XLUDF.DUMMYFUNCTION("VLOOKUP(H822,IMPORTRANGE(""https://docs.google.com/spreadsheets/d/1opm6ZNvGZ7KditA9TuJwrZ25eFLfTNIkrNnY6mhV5Eg"",""list!A1:C115""),3,TRUE)"),"le secteur du marketing")</f>
        <v xml:space="preserve">le secteur du marketing</v>
      </c>
      <c r="K4417" s="5" t="s">
        <v>31262</v>
      </c>
      <c r="L4417" s="5" t="s">
        <v>31263</v>
      </c>
      <c r="M4417" s="6"/>
      <c r="N4417" s="4" t="s">
        <v>29</v>
      </c>
      <c r="O4417" s="4" t="s">
        <v>67</v>
      </c>
      <c r="P4417" s="4" t="s">
        <v>29</v>
      </c>
      <c r="Q4417" s="4" t="s">
        <v>31264</v>
      </c>
      <c r="R4417" s="6"/>
      <c r="S4417" s="6"/>
      <c r="T4417" s="6"/>
      <c r="U4417" s="6"/>
      <c r="V4417" s="6"/>
      <c r="W4417" s="6"/>
      <c r="X4417" s="6"/>
      <c r="Y4417" s="6"/>
      <c r="Z4417" s="6"/>
      <c r="AA4417" s="6"/>
    </row>
    <row r="4418" ht="14.25">
      <c r="B4418" s="4" t="s">
        <v>2589</v>
      </c>
      <c r="C4418" s="4" t="s">
        <v>12609</v>
      </c>
      <c r="D4418" s="4" t="s">
        <v>672</v>
      </c>
      <c r="E4418" s="4" t="s">
        <v>31265</v>
      </c>
      <c r="F4418" s="4" t="str">
        <f>IFERROR(__XLUDF.DUMMYFUNCTION("PROPER(REGEXREPLACE(D823,""[^A-Za-z]+ "",""""))"),"Gangstères")</f>
        <v>Gangstères</v>
      </c>
      <c r="G4418" s="4" t="s">
        <v>31266</v>
      </c>
      <c r="H4418" s="4">
        <v>27</v>
      </c>
      <c r="I4418" s="4" t="s">
        <v>9161</v>
      </c>
      <c r="J4418" s="4" t="str">
        <f>IFERROR(__XLUDF.DUMMYFUNCTION("VLOOKUP(H823,IMPORTRANGE(""https://docs.google.com/spreadsheets/d/1opm6ZNvGZ7KditA9TuJwrZ25eFLfTNIkrNnY6mhV5Eg"",""list!A1:C115""),3,TRUE)"),"le secteur du marketing")</f>
        <v xml:space="preserve">le secteur du marketing</v>
      </c>
      <c r="K4418" s="5" t="s">
        <v>31267</v>
      </c>
      <c r="L4418" s="5" t="s">
        <v>31268</v>
      </c>
      <c r="M4418" s="4" t="s">
        <v>39</v>
      </c>
      <c r="N4418" s="4" t="s">
        <v>29</v>
      </c>
      <c r="O4418" s="4" t="s">
        <v>31269</v>
      </c>
      <c r="P4418" s="4" t="s">
        <v>29</v>
      </c>
      <c r="Q4418" s="4" t="s">
        <v>31270</v>
      </c>
      <c r="R4418" s="6"/>
      <c r="S4418" s="6"/>
      <c r="T4418" s="6"/>
      <c r="U4418" s="6"/>
      <c r="V4418" s="6"/>
      <c r="W4418" s="6"/>
      <c r="X4418" s="6"/>
      <c r="Y4418" s="6"/>
      <c r="Z4418" s="6"/>
      <c r="AA4418" s="6"/>
    </row>
    <row r="4419" ht="14.25">
      <c r="B4419" s="4" t="s">
        <v>322</v>
      </c>
      <c r="C4419" s="4" t="s">
        <v>31271</v>
      </c>
      <c r="D4419" s="4" t="s">
        <v>172</v>
      </c>
      <c r="E4419" s="4" t="s">
        <v>31272</v>
      </c>
      <c r="F4419" s="4" t="str">
        <f>IFERROR(__XLUDF.DUMMYFUNCTION("PROPER(REGEXREPLACE(D824,""[^A-Za-z]+ "",""""))"),"Slap Digital")</f>
        <v xml:space="preserve">Slap Digital</v>
      </c>
      <c r="G4419" s="4" t="s">
        <v>31273</v>
      </c>
      <c r="H4419" s="4">
        <v>16</v>
      </c>
      <c r="I4419" s="4" t="s">
        <v>9161</v>
      </c>
      <c r="J4419" s="4" t="str">
        <f>IFERROR(__XLUDF.DUMMYFUNCTION("VLOOKUP(H824,IMPORTRANGE(""https://docs.google.com/spreadsheets/d/1opm6ZNvGZ7KditA9TuJwrZ25eFLfTNIkrNnY6mhV5Eg"",""list!A1:C115""),3,TRUE)"),"le secteur du marketing")</f>
        <v xml:space="preserve">le secteur du marketing</v>
      </c>
      <c r="K4419" s="5" t="s">
        <v>31274</v>
      </c>
      <c r="L4419" s="5" t="s">
        <v>31275</v>
      </c>
      <c r="M4419" s="4" t="s">
        <v>39</v>
      </c>
      <c r="N4419" s="4" t="s">
        <v>29</v>
      </c>
      <c r="O4419" s="4" t="s">
        <v>31276</v>
      </c>
      <c r="P4419" s="4" t="s">
        <v>29</v>
      </c>
      <c r="Q4419" s="4" t="s">
        <v>31277</v>
      </c>
      <c r="R4419" s="6"/>
      <c r="S4419" s="6"/>
      <c r="T4419" s="6"/>
      <c r="U4419" s="6"/>
      <c r="V4419" s="6"/>
      <c r="W4419" s="6"/>
      <c r="X4419" s="6"/>
      <c r="Y4419" s="6"/>
      <c r="Z4419" s="6"/>
      <c r="AA4419" s="6"/>
    </row>
    <row r="4420" ht="14.25">
      <c r="B4420" s="4" t="s">
        <v>6626</v>
      </c>
      <c r="C4420" s="4" t="s">
        <v>31278</v>
      </c>
      <c r="D4420" s="4" t="s">
        <v>31279</v>
      </c>
      <c r="E4420" s="4" t="s">
        <v>31280</v>
      </c>
      <c r="F4420" s="4" t="str">
        <f>IFERROR(__XLUDF.DUMMYFUNCTION("PROPER(REGEXREPLACE(D825,""[^A-Za-z]+ "",""""))"),"Wands Paris")</f>
        <v xml:space="preserve">Wands Paris</v>
      </c>
      <c r="G4420" s="4" t="s">
        <v>31281</v>
      </c>
      <c r="H4420" s="4">
        <v>20</v>
      </c>
      <c r="I4420" s="4" t="s">
        <v>9161</v>
      </c>
      <c r="J4420" s="4" t="str">
        <f>IFERROR(__XLUDF.DUMMYFUNCTION("VLOOKUP(H825,IMPORTRANGE(""https://docs.google.com/spreadsheets/d/1opm6ZNvGZ7KditA9TuJwrZ25eFLfTNIkrNnY6mhV5Eg"",""list!A1:C115""),3,TRUE)"),"le secteur du marketing")</f>
        <v xml:space="preserve">le secteur du marketing</v>
      </c>
      <c r="K4420" s="5" t="s">
        <v>31282</v>
      </c>
      <c r="L4420" s="5" t="s">
        <v>31283</v>
      </c>
      <c r="M4420" s="4" t="s">
        <v>39</v>
      </c>
      <c r="N4420" s="4" t="s">
        <v>29</v>
      </c>
      <c r="O4420" s="4" t="s">
        <v>31276</v>
      </c>
      <c r="P4420" s="4" t="s">
        <v>29</v>
      </c>
      <c r="Q4420" s="4" t="s">
        <v>31284</v>
      </c>
      <c r="R4420" s="6"/>
      <c r="S4420" s="6"/>
      <c r="T4420" s="6"/>
      <c r="U4420" s="6"/>
      <c r="V4420" s="6"/>
      <c r="W4420" s="6"/>
      <c r="X4420" s="6"/>
      <c r="Y4420" s="6"/>
      <c r="Z4420" s="6"/>
      <c r="AA4420" s="6"/>
    </row>
    <row r="4421" ht="14.25">
      <c r="B4421" s="4" t="s">
        <v>31285</v>
      </c>
      <c r="C4421" s="4" t="s">
        <v>3695</v>
      </c>
      <c r="D4421" s="4" t="s">
        <v>120</v>
      </c>
      <c r="E4421" s="4" t="s">
        <v>21106</v>
      </c>
      <c r="F4421" s="4" t="str">
        <f>IFERROR(__XLUDF.DUMMYFUNCTION("PROPER(REGEXREPLACE(D826,""[^A-Za-z]+ "",""""))"),"Logia")</f>
        <v>Logia</v>
      </c>
      <c r="G4421" s="4" t="s">
        <v>31286</v>
      </c>
      <c r="H4421" s="4">
        <v>10</v>
      </c>
      <c r="I4421" s="4" t="s">
        <v>9161</v>
      </c>
      <c r="J4421" s="4" t="str">
        <f>IFERROR(__XLUDF.DUMMYFUNCTION("VLOOKUP(H826,IMPORTRANGE(""https://docs.google.com/spreadsheets/d/1opm6ZNvGZ7KditA9TuJwrZ25eFLfTNIkrNnY6mhV5Eg"",""list!A1:C115""),3,TRUE)"),"le secteur du marketing")</f>
        <v xml:space="preserve">le secteur du marketing</v>
      </c>
      <c r="K4421" s="5" t="s">
        <v>31287</v>
      </c>
      <c r="L4421" s="5" t="s">
        <v>21109</v>
      </c>
      <c r="M4421" s="4" t="s">
        <v>1150</v>
      </c>
      <c r="N4421" s="4" t="s">
        <v>29</v>
      </c>
      <c r="O4421" s="4" t="s">
        <v>21111</v>
      </c>
      <c r="P4421" s="4" t="s">
        <v>29</v>
      </c>
      <c r="Q4421" s="4" t="s">
        <v>21112</v>
      </c>
      <c r="R4421" s="6"/>
      <c r="S4421" s="6"/>
      <c r="T4421" s="6"/>
      <c r="U4421" s="6"/>
      <c r="V4421" s="6"/>
      <c r="W4421" s="6"/>
      <c r="X4421" s="6"/>
      <c r="Y4421" s="6"/>
      <c r="Z4421" s="6"/>
      <c r="AA4421" s="6"/>
    </row>
    <row r="4422" ht="14.25">
      <c r="B4422" s="4" t="s">
        <v>4115</v>
      </c>
      <c r="C4422" s="4" t="s">
        <v>31288</v>
      </c>
      <c r="D4422" s="4" t="s">
        <v>31289</v>
      </c>
      <c r="E4422" s="4" t="s">
        <v>31290</v>
      </c>
      <c r="F4422" s="4" t="str">
        <f>IFERROR(__XLUDF.DUMMYFUNCTION("PROPER(REGEXREPLACE(D827,""[^A-Za-z]+ "",""""))"),"Adpremier")</f>
        <v>Adpremier</v>
      </c>
      <c r="G4422" s="4" t="s">
        <v>31291</v>
      </c>
      <c r="H4422" s="4">
        <v>35</v>
      </c>
      <c r="I4422" s="4" t="s">
        <v>9161</v>
      </c>
      <c r="J4422" s="4" t="str">
        <f>IFERROR(__XLUDF.DUMMYFUNCTION("VLOOKUP(H827,IMPORTRANGE(""https://docs.google.com/spreadsheets/d/1opm6ZNvGZ7KditA9TuJwrZ25eFLfTNIkrNnY6mhV5Eg"",""list!A1:C115""),3,TRUE)"),"le secteur du marketing")</f>
        <v xml:space="preserve">le secteur du marketing</v>
      </c>
      <c r="K4422" s="5" t="s">
        <v>31292</v>
      </c>
      <c r="L4422" s="5" t="s">
        <v>31293</v>
      </c>
      <c r="M4422" s="4" t="s">
        <v>49</v>
      </c>
      <c r="N4422" s="4" t="s">
        <v>29</v>
      </c>
      <c r="O4422" s="4" t="s">
        <v>31294</v>
      </c>
      <c r="P4422" s="4" t="s">
        <v>29</v>
      </c>
      <c r="Q4422" s="4" t="s">
        <v>31295</v>
      </c>
      <c r="R4422" s="6"/>
      <c r="S4422" s="6"/>
      <c r="T4422" s="6"/>
      <c r="U4422" s="6"/>
      <c r="V4422" s="6"/>
      <c r="W4422" s="6"/>
      <c r="X4422" s="6"/>
      <c r="Y4422" s="6"/>
      <c r="Z4422" s="6"/>
      <c r="AA4422" s="6"/>
    </row>
    <row r="4423" ht="14.25">
      <c r="B4423" s="4" t="s">
        <v>20</v>
      </c>
      <c r="C4423" s="4" t="s">
        <v>4885</v>
      </c>
      <c r="D4423" s="4" t="s">
        <v>31296</v>
      </c>
      <c r="E4423" s="4" t="s">
        <v>31297</v>
      </c>
      <c r="F4423" s="4" t="str">
        <f>IFERROR(__XLUDF.DUMMYFUNCTION("PROPER(REGEXREPLACE(D828,""[^A-Za-z]+ "",""""))"),"Tire-Fesses")</f>
        <v>Tire-Fesses</v>
      </c>
      <c r="G4423" s="4" t="s">
        <v>31298</v>
      </c>
      <c r="H4423" s="4">
        <v>46</v>
      </c>
      <c r="I4423" s="4" t="s">
        <v>9161</v>
      </c>
      <c r="J4423" s="4" t="str">
        <f>IFERROR(__XLUDF.DUMMYFUNCTION("VLOOKUP(H828,IMPORTRANGE(""https://docs.google.com/spreadsheets/d/1opm6ZNvGZ7KditA9TuJwrZ25eFLfTNIkrNnY6mhV5Eg"",""list!A1:C115""),3,TRUE)"),"le secteur du marketing")</f>
        <v xml:space="preserve">le secteur du marketing</v>
      </c>
      <c r="K4423" s="5" t="s">
        <v>31299</v>
      </c>
      <c r="L4423" s="5" t="s">
        <v>31300</v>
      </c>
      <c r="M4423" s="4" t="s">
        <v>1826</v>
      </c>
      <c r="N4423" s="4" t="s">
        <v>29</v>
      </c>
      <c r="O4423" s="4" t="s">
        <v>2286</v>
      </c>
      <c r="P4423" s="4" t="s">
        <v>29</v>
      </c>
      <c r="Q4423" s="6"/>
      <c r="R4423" s="6"/>
      <c r="S4423" s="6"/>
      <c r="T4423" s="6"/>
      <c r="U4423" s="6"/>
      <c r="V4423" s="6"/>
      <c r="W4423" s="6"/>
      <c r="X4423" s="6"/>
      <c r="Y4423" s="6"/>
      <c r="Z4423" s="6"/>
      <c r="AA4423" s="6"/>
    </row>
    <row r="4424" ht="14.25">
      <c r="B4424" s="4" t="s">
        <v>170</v>
      </c>
      <c r="C4424" s="4" t="s">
        <v>11130</v>
      </c>
      <c r="D4424" s="4" t="s">
        <v>7759</v>
      </c>
      <c r="E4424" s="4" t="s">
        <v>31301</v>
      </c>
      <c r="F4424" s="4" t="str">
        <f>IFERROR(__XLUDF.DUMMYFUNCTION("PROPER(REGEXREPLACE(D829,""[^A-Za-z]+ "",""""))"),"Design Duval")</f>
        <v xml:space="preserve">Design Duval</v>
      </c>
      <c r="G4424" s="4" t="s">
        <v>31302</v>
      </c>
      <c r="H4424" s="4">
        <v>15</v>
      </c>
      <c r="I4424" s="4" t="s">
        <v>9161</v>
      </c>
      <c r="J4424" s="4" t="str">
        <f>IFERROR(__XLUDF.DUMMYFUNCTION("VLOOKUP(H829,IMPORTRANGE(""https://docs.google.com/spreadsheets/d/1opm6ZNvGZ7KditA9TuJwrZ25eFLfTNIkrNnY6mhV5Eg"",""list!A1:C115""),3,TRUE)"),"le secteur du marketing")</f>
        <v xml:space="preserve">le secteur du marketing</v>
      </c>
      <c r="K4424" s="5" t="s">
        <v>31303</v>
      </c>
      <c r="L4424" s="5" t="s">
        <v>31304</v>
      </c>
      <c r="M4424" s="4" t="s">
        <v>1826</v>
      </c>
      <c r="N4424" s="4" t="s">
        <v>29</v>
      </c>
      <c r="O4424" s="4" t="s">
        <v>31305</v>
      </c>
      <c r="P4424" s="4" t="s">
        <v>29</v>
      </c>
      <c r="Q4424" s="4" t="s">
        <v>31306</v>
      </c>
      <c r="R4424" s="6"/>
      <c r="S4424" s="6"/>
      <c r="T4424" s="6"/>
      <c r="U4424" s="6"/>
      <c r="V4424" s="6"/>
      <c r="W4424" s="6"/>
      <c r="X4424" s="6"/>
      <c r="Y4424" s="6"/>
      <c r="Z4424" s="6"/>
      <c r="AA4424" s="6"/>
    </row>
    <row r="4425" ht="14.25">
      <c r="B4425" s="4" t="s">
        <v>485</v>
      </c>
      <c r="C4425" s="4" t="s">
        <v>31307</v>
      </c>
      <c r="D4425" s="4" t="s">
        <v>1130</v>
      </c>
      <c r="E4425" s="4" t="s">
        <v>31308</v>
      </c>
      <c r="F4425" s="4" t="str">
        <f>IFERROR(__XLUDF.DUMMYFUNCTION("PROPER(REGEXREPLACE(D830,""[^A-Za-z]+ "",""""))"),"Sensorys")</f>
        <v>Sensorys</v>
      </c>
      <c r="G4425" s="4" t="s">
        <v>31309</v>
      </c>
      <c r="H4425" s="4">
        <v>12</v>
      </c>
      <c r="I4425" s="4" t="s">
        <v>9161</v>
      </c>
      <c r="J4425" s="4" t="str">
        <f>IFERROR(__XLUDF.DUMMYFUNCTION("VLOOKUP(H830,IMPORTRANGE(""https://docs.google.com/spreadsheets/d/1opm6ZNvGZ7KditA9TuJwrZ25eFLfTNIkrNnY6mhV5Eg"",""list!A1:C115""),3,TRUE)"),"le secteur du marketing")</f>
        <v xml:space="preserve">le secteur du marketing</v>
      </c>
      <c r="K4425" s="5" t="s">
        <v>31310</v>
      </c>
      <c r="L4425" s="5" t="s">
        <v>31311</v>
      </c>
      <c r="M4425" s="4" t="s">
        <v>11084</v>
      </c>
      <c r="N4425" s="4" t="s">
        <v>29</v>
      </c>
      <c r="O4425" s="4" t="s">
        <v>19153</v>
      </c>
      <c r="P4425" s="4" t="s">
        <v>29</v>
      </c>
      <c r="Q4425" s="4" t="s">
        <v>31312</v>
      </c>
      <c r="R4425" s="6"/>
      <c r="S4425" s="6"/>
      <c r="T4425" s="6"/>
      <c r="U4425" s="6"/>
      <c r="V4425" s="6"/>
      <c r="W4425" s="6"/>
      <c r="X4425" s="6"/>
      <c r="Y4425" s="6"/>
      <c r="Z4425" s="6"/>
      <c r="AA4425" s="6"/>
    </row>
    <row r="4426" ht="14.25">
      <c r="B4426" s="4" t="s">
        <v>76</v>
      </c>
      <c r="C4426" s="4" t="s">
        <v>31313</v>
      </c>
      <c r="D4426" s="4" t="s">
        <v>31314</v>
      </c>
      <c r="E4426" s="4" t="s">
        <v>31315</v>
      </c>
      <c r="F4426" s="4" t="str">
        <f>IFERROR(__XLUDF.DUMMYFUNCTION("PROPER(REGEXREPLACE(D831,""[^A-Za-z]+ "",""""))"),"Lbmedia")</f>
        <v>Lbmedia</v>
      </c>
      <c r="G4426" s="4" t="s">
        <v>31316</v>
      </c>
      <c r="H4426" s="4">
        <v>13</v>
      </c>
      <c r="I4426" s="4" t="s">
        <v>9161</v>
      </c>
      <c r="J4426" s="4" t="str">
        <f>IFERROR(__XLUDF.DUMMYFUNCTION("VLOOKUP(H831,IMPORTRANGE(""https://docs.google.com/spreadsheets/d/1opm6ZNvGZ7KditA9TuJwrZ25eFLfTNIkrNnY6mhV5Eg"",""list!A1:C115""),3,TRUE)"),"le secteur du marketing")</f>
        <v xml:space="preserve">le secteur du marketing</v>
      </c>
      <c r="K4426" s="5" t="s">
        <v>31317</v>
      </c>
      <c r="L4426" s="5" t="s">
        <v>31318</v>
      </c>
      <c r="M4426" s="4" t="s">
        <v>10628</v>
      </c>
      <c r="N4426" s="4" t="s">
        <v>29</v>
      </c>
      <c r="O4426" s="4" t="s">
        <v>31319</v>
      </c>
      <c r="P4426" s="4" t="s">
        <v>29</v>
      </c>
      <c r="Q4426" s="4" t="s">
        <v>31320</v>
      </c>
      <c r="R4426" s="6"/>
      <c r="S4426" s="6"/>
      <c r="T4426" s="6"/>
      <c r="U4426" s="6"/>
      <c r="V4426" s="6"/>
      <c r="W4426" s="6"/>
      <c r="X4426" s="6"/>
      <c r="Y4426" s="6"/>
      <c r="Z4426" s="6"/>
      <c r="AA4426" s="6"/>
    </row>
    <row r="4427" ht="14.25">
      <c r="B4427" s="4" t="s">
        <v>5252</v>
      </c>
      <c r="C4427" s="4" t="s">
        <v>31321</v>
      </c>
      <c r="D4427" s="4" t="s">
        <v>172</v>
      </c>
      <c r="E4427" s="4" t="s">
        <v>31322</v>
      </c>
      <c r="F4427" s="4" t="str">
        <f>IFERROR(__XLUDF.DUMMYFUNCTION("PROPER(REGEXREPLACE(D832,""[^A-Za-z]+ "",""""))"),"Bleu Vif")</f>
        <v xml:space="preserve">Bleu Vif</v>
      </c>
      <c r="G4427" s="4" t="s">
        <v>31323</v>
      </c>
      <c r="H4427" s="4">
        <v>11</v>
      </c>
      <c r="I4427" s="4" t="s">
        <v>9161</v>
      </c>
      <c r="J4427" s="4" t="str">
        <f>IFERROR(__XLUDF.DUMMYFUNCTION("VLOOKUP(H832,IMPORTRANGE(""https://docs.google.com/spreadsheets/d/1opm6ZNvGZ7KditA9TuJwrZ25eFLfTNIkrNnY6mhV5Eg"",""list!A1:C115""),3,TRUE)"),"le secteur du marketing")</f>
        <v xml:space="preserve">le secteur du marketing</v>
      </c>
      <c r="K4427" s="5" t="s">
        <v>31324</v>
      </c>
      <c r="L4427" s="5" t="s">
        <v>31325</v>
      </c>
      <c r="M4427" s="4" t="s">
        <v>16456</v>
      </c>
      <c r="N4427" s="4" t="s">
        <v>29</v>
      </c>
      <c r="O4427" s="4" t="s">
        <v>31326</v>
      </c>
      <c r="P4427" s="4" t="s">
        <v>29</v>
      </c>
      <c r="Q4427" s="4" t="s">
        <v>31327</v>
      </c>
      <c r="R4427" s="6"/>
      <c r="S4427" s="6"/>
      <c r="T4427" s="6"/>
      <c r="U4427" s="6"/>
      <c r="V4427" s="6"/>
      <c r="W4427" s="6"/>
      <c r="X4427" s="6"/>
      <c r="Y4427" s="6"/>
      <c r="Z4427" s="6"/>
      <c r="AA4427" s="6"/>
    </row>
    <row r="4428" ht="14.25">
      <c r="B4428" s="4" t="s">
        <v>31328</v>
      </c>
      <c r="C4428" s="4" t="s">
        <v>5891</v>
      </c>
      <c r="D4428" s="4" t="s">
        <v>487</v>
      </c>
      <c r="E4428" s="4" t="s">
        <v>31329</v>
      </c>
      <c r="F4428" s="4" t="str">
        <f>IFERROR(__XLUDF.DUMMYFUNCTION("PROPER(REGEXREPLACE(D833,""[^A-Za-z]+ "",""""))"),"My Production")</f>
        <v xml:space="preserve">My Production</v>
      </c>
      <c r="G4428" s="4" t="s">
        <v>31330</v>
      </c>
      <c r="H4428" s="4">
        <v>15</v>
      </c>
      <c r="I4428" s="4" t="s">
        <v>9161</v>
      </c>
      <c r="J4428" s="4" t="str">
        <f>IFERROR(__XLUDF.DUMMYFUNCTION("VLOOKUP(H833,IMPORTRANGE(""https://docs.google.com/spreadsheets/d/1opm6ZNvGZ7KditA9TuJwrZ25eFLfTNIkrNnY6mhV5Eg"",""list!A1:C115""),3,TRUE)"),"le secteur du marketing")</f>
        <v xml:space="preserve">le secteur du marketing</v>
      </c>
      <c r="K4428" s="5" t="s">
        <v>31331</v>
      </c>
      <c r="L4428" s="5" t="s">
        <v>31332</v>
      </c>
      <c r="M4428" s="4" t="s">
        <v>31333</v>
      </c>
      <c r="N4428" s="4" t="s">
        <v>29</v>
      </c>
      <c r="O4428" s="4" t="s">
        <v>31334</v>
      </c>
      <c r="P4428" s="4" t="s">
        <v>29</v>
      </c>
      <c r="Q4428" s="4" t="s">
        <v>31335</v>
      </c>
      <c r="R4428" s="6"/>
      <c r="S4428" s="6"/>
      <c r="T4428" s="6"/>
      <c r="U4428" s="6"/>
      <c r="V4428" s="6"/>
      <c r="W4428" s="6"/>
      <c r="X4428" s="6"/>
      <c r="Y4428" s="6"/>
      <c r="Z4428" s="6"/>
      <c r="AA4428" s="6"/>
    </row>
    <row r="4429" ht="14.25">
      <c r="B4429" s="4" t="s">
        <v>31336</v>
      </c>
      <c r="C4429" s="4" t="s">
        <v>31337</v>
      </c>
      <c r="D4429" s="4" t="s">
        <v>31338</v>
      </c>
      <c r="E4429" s="4" t="s">
        <v>31339</v>
      </c>
      <c r="F4429" s="4" t="str">
        <f>IFERROR(__XLUDF.DUMMYFUNCTION("PROPER(REGEXREPLACE(D834,""[^A-Za-z]+ "",""""))"),"Agence Tribu")</f>
        <v xml:space="preserve">Agence Tribu</v>
      </c>
      <c r="G4429" s="4" t="s">
        <v>31340</v>
      </c>
      <c r="H4429" s="4">
        <v>43</v>
      </c>
      <c r="I4429" s="4" t="s">
        <v>9161</v>
      </c>
      <c r="J4429" s="4" t="str">
        <f>IFERROR(__XLUDF.DUMMYFUNCTION("VLOOKUP(H834,IMPORTRANGE(""https://docs.google.com/spreadsheets/d/1opm6ZNvGZ7KditA9TuJwrZ25eFLfTNIkrNnY6mhV5Eg"",""list!A1:C115""),3,TRUE)"),"le secteur du marketing")</f>
        <v xml:space="preserve">le secteur du marketing</v>
      </c>
      <c r="K4429" s="5" t="s">
        <v>31341</v>
      </c>
      <c r="L4429" s="5" t="s">
        <v>31342</v>
      </c>
      <c r="M4429" s="6"/>
      <c r="N4429" s="4" t="s">
        <v>29</v>
      </c>
      <c r="O4429" s="4" t="s">
        <v>31343</v>
      </c>
      <c r="P4429" s="4" t="s">
        <v>29</v>
      </c>
      <c r="Q4429" s="4" t="s">
        <v>31344</v>
      </c>
      <c r="R4429" s="6"/>
      <c r="S4429" s="6"/>
      <c r="T4429" s="6"/>
      <c r="U4429" s="6"/>
      <c r="V4429" s="6"/>
      <c r="W4429" s="6"/>
      <c r="X4429" s="6"/>
      <c r="Y4429" s="6"/>
      <c r="Z4429" s="6"/>
      <c r="AA4429" s="6"/>
    </row>
    <row r="4430" ht="14.25">
      <c r="B4430" s="4" t="s">
        <v>31345</v>
      </c>
      <c r="C4430" s="4" t="s">
        <v>31346</v>
      </c>
      <c r="D4430" s="4" t="s">
        <v>341</v>
      </c>
      <c r="E4430" s="4" t="s">
        <v>31347</v>
      </c>
      <c r="F4430" s="4" t="str">
        <f>IFERROR(__XLUDF.DUMMYFUNCTION("PROPER(REGEXREPLACE(D835,""[^A-Za-z]+ "",""""))"),"Monsieur Darmon")</f>
        <v xml:space="preserve">Monsieur Darmon</v>
      </c>
      <c r="G4430" s="4" t="s">
        <v>31348</v>
      </c>
      <c r="H4430" s="4">
        <v>9</v>
      </c>
      <c r="I4430" s="4" t="s">
        <v>9161</v>
      </c>
      <c r="J4430" s="4" t="str">
        <f>IFERROR(__XLUDF.DUMMYFUNCTION("VLOOKUP(H835,IMPORTRANGE(""https://docs.google.com/spreadsheets/d/1opm6ZNvGZ7KditA9TuJwrZ25eFLfTNIkrNnY6mhV5Eg"",""list!A1:C115""),3,TRUE)"),"le secteur du marketing")</f>
        <v xml:space="preserve">le secteur du marketing</v>
      </c>
      <c r="K4430" s="5" t="s">
        <v>31349</v>
      </c>
      <c r="L4430" s="5" t="s">
        <v>31350</v>
      </c>
      <c r="M4430" s="4" t="s">
        <v>49</v>
      </c>
      <c r="N4430" s="4" t="s">
        <v>29</v>
      </c>
      <c r="O4430" s="4" t="s">
        <v>416</v>
      </c>
      <c r="P4430" s="4" t="s">
        <v>29</v>
      </c>
      <c r="Q4430" s="6"/>
      <c r="R4430" s="6"/>
      <c r="S4430" s="6"/>
      <c r="T4430" s="6"/>
      <c r="U4430" s="6"/>
      <c r="V4430" s="6"/>
      <c r="W4430" s="6"/>
      <c r="X4430" s="6"/>
      <c r="Y4430" s="6"/>
      <c r="Z4430" s="6"/>
      <c r="AA4430" s="6"/>
    </row>
    <row r="4431" ht="14.25">
      <c r="B4431" s="4" t="s">
        <v>2419</v>
      </c>
      <c r="C4431" s="4" t="s">
        <v>31351</v>
      </c>
      <c r="D4431" s="4" t="s">
        <v>172</v>
      </c>
      <c r="E4431" s="4" t="s">
        <v>31352</v>
      </c>
      <c r="F4431" s="4" t="str">
        <f>IFERROR(__XLUDF.DUMMYFUNCTION("PROPER(REGEXREPLACE(D836,""[^A-Za-z]+ "",""""))"),"Go2Digital")</f>
        <v>Go2Digital</v>
      </c>
      <c r="G4431" s="4" t="s">
        <v>31353</v>
      </c>
      <c r="H4431" s="4">
        <v>20</v>
      </c>
      <c r="I4431" s="4" t="s">
        <v>9161</v>
      </c>
      <c r="J4431" s="4" t="str">
        <f>IFERROR(__XLUDF.DUMMYFUNCTION("VLOOKUP(H836,IMPORTRANGE(""https://docs.google.com/spreadsheets/d/1opm6ZNvGZ7KditA9TuJwrZ25eFLfTNIkrNnY6mhV5Eg"",""list!A1:C115""),3,TRUE)"),"le secteur du marketing")</f>
        <v xml:space="preserve">le secteur du marketing</v>
      </c>
      <c r="K4431" s="5" t="s">
        <v>31354</v>
      </c>
      <c r="L4431" s="5" t="s">
        <v>31355</v>
      </c>
      <c r="M4431" s="4" t="s">
        <v>39</v>
      </c>
      <c r="N4431" s="4" t="s">
        <v>29</v>
      </c>
      <c r="O4431" s="4" t="s">
        <v>31356</v>
      </c>
      <c r="P4431" s="4" t="s">
        <v>31357</v>
      </c>
      <c r="Q4431" s="6"/>
      <c r="R4431" s="6"/>
      <c r="S4431" s="6"/>
      <c r="T4431" s="6"/>
      <c r="U4431" s="6"/>
      <c r="V4431" s="6"/>
      <c r="W4431" s="6"/>
      <c r="X4431" s="6"/>
      <c r="Y4431" s="6"/>
      <c r="Z4431" s="6"/>
      <c r="AA4431" s="6"/>
    </row>
    <row r="4432" ht="14.25">
      <c r="B4432" s="4" t="s">
        <v>4115</v>
      </c>
      <c r="C4432" s="4" t="s">
        <v>6282</v>
      </c>
      <c r="D4432" s="4" t="s">
        <v>468</v>
      </c>
      <c r="E4432" s="4" t="s">
        <v>31358</v>
      </c>
      <c r="F4432" s="4" t="str">
        <f>IFERROR(__XLUDF.DUMMYFUNCTION("PROPER(REGEXREPLACE(D837,""[^A-Za-z]+ "",""""))"),"Agence Bastille")</f>
        <v xml:space="preserve">Agence Bastille</v>
      </c>
      <c r="G4432" s="4" t="s">
        <v>31359</v>
      </c>
      <c r="H4432" s="4">
        <v>34</v>
      </c>
      <c r="I4432" s="4" t="s">
        <v>9161</v>
      </c>
      <c r="J4432" s="4" t="str">
        <f>IFERROR(__XLUDF.DUMMYFUNCTION("VLOOKUP(H837,IMPORTRANGE(""https://docs.google.com/spreadsheets/d/1opm6ZNvGZ7KditA9TuJwrZ25eFLfTNIkrNnY6mhV5Eg"",""list!A1:C115""),3,TRUE)"),"le secteur du marketing")</f>
        <v xml:space="preserve">le secteur du marketing</v>
      </c>
      <c r="K4432" s="5" t="s">
        <v>31360</v>
      </c>
      <c r="L4432" s="5" t="s">
        <v>31361</v>
      </c>
      <c r="M4432" s="4" t="s">
        <v>39</v>
      </c>
      <c r="N4432" s="4" t="s">
        <v>29</v>
      </c>
      <c r="O4432" s="4" t="s">
        <v>31362</v>
      </c>
      <c r="P4432" s="4" t="s">
        <v>29</v>
      </c>
      <c r="Q4432" s="4" t="s">
        <v>31363</v>
      </c>
      <c r="R4432" s="6"/>
      <c r="S4432" s="6"/>
      <c r="T4432" s="6"/>
      <c r="U4432" s="6"/>
      <c r="V4432" s="6"/>
      <c r="W4432" s="6"/>
      <c r="X4432" s="6"/>
      <c r="Y4432" s="6"/>
      <c r="Z4432" s="6"/>
      <c r="AA4432" s="6"/>
    </row>
    <row r="4433" ht="14.25">
      <c r="B4433" s="4" t="s">
        <v>2909</v>
      </c>
      <c r="C4433" s="4" t="s">
        <v>31364</v>
      </c>
      <c r="D4433" s="4" t="s">
        <v>230</v>
      </c>
      <c r="E4433" s="4" t="s">
        <v>31365</v>
      </c>
      <c r="F4433" s="4" t="str">
        <f>IFERROR(__XLUDF.DUMMYFUNCTION("PROPER(REGEXREPLACE(D838,""[^A-Za-z]+ "",""""))"),"Neads")</f>
        <v>Neads</v>
      </c>
      <c r="G4433" s="4" t="s">
        <v>31366</v>
      </c>
      <c r="H4433" s="4">
        <v>18</v>
      </c>
      <c r="I4433" s="4" t="s">
        <v>9161</v>
      </c>
      <c r="J4433" s="4" t="str">
        <f>IFERROR(__XLUDF.DUMMYFUNCTION("VLOOKUP(H838,IMPORTRANGE(""https://docs.google.com/spreadsheets/d/1opm6ZNvGZ7KditA9TuJwrZ25eFLfTNIkrNnY6mhV5Eg"",""list!A1:C115""),3,TRUE)"),"le secteur du marketing")</f>
        <v xml:space="preserve">le secteur du marketing</v>
      </c>
      <c r="K4433" s="5" t="s">
        <v>31367</v>
      </c>
      <c r="L4433" s="5" t="s">
        <v>31368</v>
      </c>
      <c r="M4433" s="6"/>
      <c r="N4433" s="4" t="s">
        <v>29</v>
      </c>
      <c r="O4433" s="4" t="s">
        <v>31369</v>
      </c>
      <c r="P4433" s="4" t="s">
        <v>29</v>
      </c>
      <c r="Q4433" s="4" t="s">
        <v>31370</v>
      </c>
      <c r="R4433" s="6"/>
      <c r="S4433" s="6"/>
      <c r="T4433" s="6"/>
      <c r="U4433" s="6"/>
      <c r="V4433" s="6"/>
      <c r="W4433" s="6"/>
      <c r="X4433" s="6"/>
      <c r="Y4433" s="6"/>
      <c r="Z4433" s="6"/>
      <c r="AA4433" s="6"/>
    </row>
    <row r="4434" ht="14.25">
      <c r="B4434" s="4" t="s">
        <v>5671</v>
      </c>
      <c r="C4434" s="4" t="s">
        <v>31371</v>
      </c>
      <c r="D4434" s="4" t="s">
        <v>164</v>
      </c>
      <c r="E4434" s="4" t="s">
        <v>31372</v>
      </c>
      <c r="F4434" s="4" t="str">
        <f>IFERROR(__XLUDF.DUMMYFUNCTION("PROPER(REGEXREPLACE(D839,""[^A-Za-z]+ "",""""))"),"Base Sud")</f>
        <v xml:space="preserve">Base Sud</v>
      </c>
      <c r="G4434" s="4" t="s">
        <v>31373</v>
      </c>
      <c r="H4434" s="4">
        <v>10</v>
      </c>
      <c r="I4434" s="4" t="s">
        <v>9161</v>
      </c>
      <c r="J4434" s="4" t="str">
        <f>IFERROR(__XLUDF.DUMMYFUNCTION("VLOOKUP(H839,IMPORTRANGE(""https://docs.google.com/spreadsheets/d/1opm6ZNvGZ7KditA9TuJwrZ25eFLfTNIkrNnY6mhV5Eg"",""list!A1:C115""),3,TRUE)"),"le secteur du marketing")</f>
        <v xml:space="preserve">le secteur du marketing</v>
      </c>
      <c r="K4434" s="5" t="s">
        <v>31374</v>
      </c>
      <c r="L4434" s="5" t="s">
        <v>31375</v>
      </c>
      <c r="M4434" s="4" t="s">
        <v>49</v>
      </c>
      <c r="N4434" s="4" t="s">
        <v>29</v>
      </c>
      <c r="O4434" s="4" t="s">
        <v>31376</v>
      </c>
      <c r="P4434" s="4" t="s">
        <v>29</v>
      </c>
      <c r="Q4434" s="4" t="s">
        <v>31377</v>
      </c>
      <c r="R4434" s="6"/>
      <c r="S4434" s="6"/>
      <c r="T4434" s="6"/>
      <c r="U4434" s="6"/>
      <c r="V4434" s="6"/>
      <c r="W4434" s="6"/>
      <c r="X4434" s="6"/>
      <c r="Y4434" s="6"/>
      <c r="Z4434" s="6"/>
      <c r="AA4434" s="6"/>
    </row>
    <row r="4435" ht="14.25">
      <c r="B4435" s="4" t="s">
        <v>948</v>
      </c>
      <c r="C4435" s="4" t="s">
        <v>31378</v>
      </c>
      <c r="D4435" s="4" t="s">
        <v>426</v>
      </c>
      <c r="E4435" s="4" t="s">
        <v>31379</v>
      </c>
      <c r="F4435" s="4" t="str">
        <f>IFERROR(__XLUDF.DUMMYFUNCTION("PROPER(REGEXREPLACE(D840,""[^A-Za-z]+ "",""""))"),"Ponceblanc Echantillonnage")</f>
        <v xml:space="preserve">Ponceblanc Echantillonnage</v>
      </c>
      <c r="G4435" s="4" t="s">
        <v>31380</v>
      </c>
      <c r="H4435" s="4">
        <v>17</v>
      </c>
      <c r="I4435" s="4" t="s">
        <v>9161</v>
      </c>
      <c r="J4435" s="4" t="str">
        <f>IFERROR(__XLUDF.DUMMYFUNCTION("VLOOKUP(H840,IMPORTRANGE(""https://docs.google.com/spreadsheets/d/1opm6ZNvGZ7KditA9TuJwrZ25eFLfTNIkrNnY6mhV5Eg"",""list!A1:C115""),3,TRUE)"),"le secteur du marketing")</f>
        <v xml:space="preserve">le secteur du marketing</v>
      </c>
      <c r="K4435" s="5" t="s">
        <v>31381</v>
      </c>
      <c r="L4435" s="5" t="s">
        <v>31382</v>
      </c>
      <c r="M4435" s="4" t="s">
        <v>14784</v>
      </c>
      <c r="N4435" s="4" t="s">
        <v>29</v>
      </c>
      <c r="O4435" s="4" t="s">
        <v>31383</v>
      </c>
      <c r="P4435" s="4" t="s">
        <v>29</v>
      </c>
      <c r="Q4435" s="6"/>
      <c r="R4435" s="6"/>
      <c r="S4435" s="6"/>
      <c r="T4435" s="6"/>
      <c r="U4435" s="6"/>
      <c r="V4435" s="6"/>
      <c r="W4435" s="6"/>
      <c r="X4435" s="6"/>
      <c r="Y4435" s="6"/>
      <c r="Z4435" s="6"/>
      <c r="AA4435" s="6"/>
    </row>
    <row r="4436" ht="14.25">
      <c r="B4436" s="4" t="s">
        <v>95</v>
      </c>
      <c r="C4436" s="4" t="s">
        <v>9346</v>
      </c>
      <c r="D4436" s="4" t="s">
        <v>468</v>
      </c>
      <c r="E4436" s="4" t="s">
        <v>26052</v>
      </c>
      <c r="F4436" s="4" t="str">
        <f>IFERROR(__XLUDF.DUMMYFUNCTION("PROPER(REGEXREPLACE(D841,""[^A-Za-z]+ "",""""))"),"Relatia")</f>
        <v>Relatia</v>
      </c>
      <c r="G4436" s="4" t="s">
        <v>31384</v>
      </c>
      <c r="H4436" s="4">
        <v>32</v>
      </c>
      <c r="I4436" s="4" t="s">
        <v>9161</v>
      </c>
      <c r="J4436" s="4" t="str">
        <f>IFERROR(__XLUDF.DUMMYFUNCTION("VLOOKUP(H841,IMPORTRANGE(""https://docs.google.com/spreadsheets/d/1opm6ZNvGZ7KditA9TuJwrZ25eFLfTNIkrNnY6mhV5Eg"",""list!A1:C115""),3,TRUE)"),"le secteur du marketing")</f>
        <v xml:space="preserve">le secteur du marketing</v>
      </c>
      <c r="K4436" s="5" t="s">
        <v>31385</v>
      </c>
      <c r="L4436" s="5" t="s">
        <v>26055</v>
      </c>
      <c r="M4436" s="4" t="s">
        <v>39</v>
      </c>
      <c r="N4436" s="4" t="s">
        <v>29</v>
      </c>
      <c r="O4436" s="4" t="s">
        <v>26056</v>
      </c>
      <c r="P4436" s="4" t="s">
        <v>29</v>
      </c>
      <c r="Q4436" s="6"/>
      <c r="R4436" s="6"/>
      <c r="S4436" s="6"/>
      <c r="T4436" s="6"/>
      <c r="U4436" s="6"/>
      <c r="V4436" s="6"/>
      <c r="W4436" s="6"/>
      <c r="X4436" s="6"/>
      <c r="Y4436" s="6"/>
      <c r="Z4436" s="6"/>
      <c r="AA4436" s="6"/>
    </row>
    <row r="4437" ht="14.25">
      <c r="B4437" s="4" t="s">
        <v>20612</v>
      </c>
      <c r="C4437" s="4" t="s">
        <v>31386</v>
      </c>
      <c r="D4437" s="4" t="s">
        <v>31387</v>
      </c>
      <c r="E4437" s="4" t="s">
        <v>31388</v>
      </c>
      <c r="F4437" s="4" t="str">
        <f>IFERROR(__XLUDF.DUMMYFUNCTION("PROPER(REGEXREPLACE(D842,""[^A-Za-z]+ "",""""))"),"Sharing")</f>
        <v>Sharing</v>
      </c>
      <c r="G4437" s="4" t="s">
        <v>31389</v>
      </c>
      <c r="H4437" s="4">
        <v>40</v>
      </c>
      <c r="I4437" s="4" t="s">
        <v>9161</v>
      </c>
      <c r="J4437" s="4" t="str">
        <f>IFERROR(__XLUDF.DUMMYFUNCTION("VLOOKUP(H842,IMPORTRANGE(""https://docs.google.com/spreadsheets/d/1opm6ZNvGZ7KditA9TuJwrZ25eFLfTNIkrNnY6mhV5Eg"",""list!A1:C115""),3,TRUE)"),"le secteur du marketing")</f>
        <v xml:space="preserve">le secteur du marketing</v>
      </c>
      <c r="K4437" s="5" t="s">
        <v>31390</v>
      </c>
      <c r="L4437" s="5" t="s">
        <v>31391</v>
      </c>
      <c r="M4437" s="4" t="s">
        <v>39</v>
      </c>
      <c r="N4437" s="4" t="s">
        <v>29</v>
      </c>
      <c r="O4437" s="4" t="s">
        <v>3163</v>
      </c>
      <c r="P4437" s="4" t="s">
        <v>29</v>
      </c>
      <c r="Q4437" s="4" t="s">
        <v>31392</v>
      </c>
      <c r="R4437" s="6"/>
      <c r="S4437" s="6"/>
      <c r="T4437" s="6"/>
      <c r="U4437" s="6"/>
      <c r="V4437" s="6"/>
      <c r="W4437" s="6"/>
      <c r="X4437" s="6"/>
      <c r="Y4437" s="6"/>
      <c r="Z4437" s="6"/>
      <c r="AA4437" s="6"/>
    </row>
    <row r="4438" ht="14.25">
      <c r="B4438" s="4" t="s">
        <v>4769</v>
      </c>
      <c r="C4438" s="4" t="s">
        <v>25609</v>
      </c>
      <c r="D4438" s="4" t="s">
        <v>4586</v>
      </c>
      <c r="E4438" s="4" t="s">
        <v>25610</v>
      </c>
      <c r="F4438" s="4" t="str">
        <f>IFERROR(__XLUDF.DUMMYFUNCTION("PROPER(REGEXREPLACE(D843,""[^A-Za-z]+ "",""""))"),"Resosign")</f>
        <v>Resosign</v>
      </c>
      <c r="G4438" s="4" t="s">
        <v>31393</v>
      </c>
      <c r="H4438" s="4">
        <v>14</v>
      </c>
      <c r="I4438" s="4" t="s">
        <v>9161</v>
      </c>
      <c r="J4438" s="4" t="str">
        <f>IFERROR(__XLUDF.DUMMYFUNCTION("VLOOKUP(H843,IMPORTRANGE(""https://docs.google.com/spreadsheets/d/1opm6ZNvGZ7KditA9TuJwrZ25eFLfTNIkrNnY6mhV5Eg"",""list!A1:C115""),3,TRUE)"),"le secteur du marketing")</f>
        <v xml:space="preserve">le secteur du marketing</v>
      </c>
      <c r="K4438" s="5" t="s">
        <v>31394</v>
      </c>
      <c r="L4438" s="5" t="s">
        <v>25613</v>
      </c>
      <c r="M4438" s="4" t="s">
        <v>295</v>
      </c>
      <c r="N4438" s="4" t="s">
        <v>29</v>
      </c>
      <c r="O4438" s="4" t="s">
        <v>3642</v>
      </c>
      <c r="P4438" s="4" t="s">
        <v>29</v>
      </c>
      <c r="Q4438" s="4" t="s">
        <v>25614</v>
      </c>
      <c r="R4438" s="6"/>
      <c r="S4438" s="6"/>
      <c r="T4438" s="6"/>
      <c r="U4438" s="6"/>
      <c r="V4438" s="6"/>
      <c r="W4438" s="6"/>
      <c r="X4438" s="6"/>
      <c r="Y4438" s="6"/>
      <c r="Z4438" s="6"/>
      <c r="AA4438" s="6"/>
    </row>
    <row r="4439" ht="14.25">
      <c r="B4439" s="4" t="s">
        <v>3744</v>
      </c>
      <c r="C4439" s="4" t="s">
        <v>31395</v>
      </c>
      <c r="D4439" s="4" t="s">
        <v>18673</v>
      </c>
      <c r="E4439" s="4" t="s">
        <v>31396</v>
      </c>
      <c r="F4439" s="4" t="str">
        <f>IFERROR(__XLUDF.DUMMYFUNCTION("PROPER(REGEXREPLACE(D844,""[^A-Za-z]+ "",""""))"),"Bbird")</f>
        <v>Bbird</v>
      </c>
      <c r="G4439" s="4" t="s">
        <v>31397</v>
      </c>
      <c r="H4439" s="4">
        <v>17</v>
      </c>
      <c r="I4439" s="4" t="s">
        <v>9161</v>
      </c>
      <c r="J4439" s="4" t="str">
        <f>IFERROR(__XLUDF.DUMMYFUNCTION("VLOOKUP(H844,IMPORTRANGE(""https://docs.google.com/spreadsheets/d/1opm6ZNvGZ7KditA9TuJwrZ25eFLfTNIkrNnY6mhV5Eg"",""list!A1:C115""),3,TRUE)"),"le secteur du marketing")</f>
        <v xml:space="preserve">le secteur du marketing</v>
      </c>
      <c r="K4439" s="5" t="s">
        <v>31398</v>
      </c>
      <c r="L4439" s="5" t="s">
        <v>31399</v>
      </c>
      <c r="M4439" s="4" t="s">
        <v>492</v>
      </c>
      <c r="N4439" s="4" t="s">
        <v>29</v>
      </c>
      <c r="O4439" s="4" t="s">
        <v>31400</v>
      </c>
      <c r="P4439" s="4" t="s">
        <v>29</v>
      </c>
      <c r="Q4439" s="4" t="s">
        <v>31401</v>
      </c>
      <c r="R4439" s="6"/>
      <c r="S4439" s="6"/>
      <c r="T4439" s="6"/>
      <c r="U4439" s="6"/>
      <c r="V4439" s="6"/>
      <c r="W4439" s="6"/>
      <c r="X4439" s="6"/>
      <c r="Y4439" s="6"/>
      <c r="Z4439" s="6"/>
      <c r="AA4439" s="6"/>
    </row>
    <row r="4440" ht="14.25">
      <c r="B4440" s="4" t="s">
        <v>1215</v>
      </c>
      <c r="C4440" s="4" t="s">
        <v>31402</v>
      </c>
      <c r="D4440" s="4" t="s">
        <v>172</v>
      </c>
      <c r="E4440" s="4" t="s">
        <v>31403</v>
      </c>
      <c r="F4440" s="4" t="str">
        <f>IFERROR(__XLUDF.DUMMYFUNCTION("PROPER(REGEXREPLACE(D845,""[^A-Za-z]+ "",""""))"),"Agence Rc2C")</f>
        <v xml:space="preserve">Agence Rc2C</v>
      </c>
      <c r="G4440" s="4" t="s">
        <v>31404</v>
      </c>
      <c r="H4440" s="4">
        <v>14</v>
      </c>
      <c r="I4440" s="4" t="s">
        <v>9161</v>
      </c>
      <c r="J4440" s="4" t="str">
        <f>IFERROR(__XLUDF.DUMMYFUNCTION("VLOOKUP(H845,IMPORTRANGE(""https://docs.google.com/spreadsheets/d/1opm6ZNvGZ7KditA9TuJwrZ25eFLfTNIkrNnY6mhV5Eg"",""list!A1:C115""),3,TRUE)"),"le secteur du marketing")</f>
        <v xml:space="preserve">le secteur du marketing</v>
      </c>
      <c r="K4440" s="5" t="s">
        <v>31405</v>
      </c>
      <c r="L4440" s="5" t="s">
        <v>31406</v>
      </c>
      <c r="M4440" s="4" t="s">
        <v>2186</v>
      </c>
      <c r="N4440" s="4" t="s">
        <v>29</v>
      </c>
      <c r="O4440" s="4" t="s">
        <v>31407</v>
      </c>
      <c r="P4440" s="4" t="s">
        <v>29</v>
      </c>
      <c r="Q4440" s="4" t="s">
        <v>31408</v>
      </c>
      <c r="R4440" s="6"/>
      <c r="S4440" s="6"/>
      <c r="T4440" s="6"/>
      <c r="U4440" s="6"/>
      <c r="V4440" s="6"/>
      <c r="W4440" s="6"/>
      <c r="X4440" s="6"/>
      <c r="Y4440" s="6"/>
      <c r="Z4440" s="6"/>
      <c r="AA4440" s="6"/>
    </row>
    <row r="4441" ht="14.25">
      <c r="B4441" s="4" t="s">
        <v>1499</v>
      </c>
      <c r="C4441" s="4" t="s">
        <v>19404</v>
      </c>
      <c r="D4441" s="4" t="s">
        <v>247</v>
      </c>
      <c r="E4441" s="4" t="s">
        <v>31409</v>
      </c>
      <c r="F4441" s="4" t="str">
        <f>IFERROR(__XLUDF.DUMMYFUNCTION("PROPER(REGEXREPLACE(D846,""[^A-Za-z]+ "",""""))"),"Atelier Asap")</f>
        <v xml:space="preserve">Atelier Asap</v>
      </c>
      <c r="G4441" s="4" t="s">
        <v>31410</v>
      </c>
      <c r="H4441" s="4">
        <v>11</v>
      </c>
      <c r="I4441" s="4" t="s">
        <v>9161</v>
      </c>
      <c r="J4441" s="4" t="str">
        <f>IFERROR(__XLUDF.DUMMYFUNCTION("VLOOKUP(H846,IMPORTRANGE(""https://docs.google.com/spreadsheets/d/1opm6ZNvGZ7KditA9TuJwrZ25eFLfTNIkrNnY6mhV5Eg"",""list!A1:C115""),3,TRUE)"),"le secteur du marketing")</f>
        <v xml:space="preserve">le secteur du marketing</v>
      </c>
      <c r="K4441" s="5" t="s">
        <v>31411</v>
      </c>
      <c r="L4441" s="5" t="s">
        <v>31412</v>
      </c>
      <c r="M4441" s="4" t="s">
        <v>1312</v>
      </c>
      <c r="N4441" s="4" t="s">
        <v>29</v>
      </c>
      <c r="O4441" s="4" t="s">
        <v>31413</v>
      </c>
      <c r="P4441" s="4" t="s">
        <v>29</v>
      </c>
      <c r="Q4441" s="4" t="s">
        <v>31414</v>
      </c>
      <c r="R4441" s="6"/>
      <c r="S4441" s="6"/>
      <c r="T4441" s="6"/>
      <c r="U4441" s="6"/>
      <c r="V4441" s="6"/>
      <c r="W4441" s="6"/>
      <c r="X4441" s="6"/>
      <c r="Y4441" s="6"/>
      <c r="Z4441" s="6"/>
      <c r="AA4441" s="6"/>
    </row>
    <row r="4442" ht="14.25">
      <c r="B4442" s="4" t="s">
        <v>1948</v>
      </c>
      <c r="C4442" s="4" t="s">
        <v>31415</v>
      </c>
      <c r="D4442" s="4" t="s">
        <v>1130</v>
      </c>
      <c r="E4442" s="4" t="s">
        <v>31416</v>
      </c>
      <c r="F4442" s="4" t="str">
        <f>IFERROR(__XLUDF.DUMMYFUNCTION("PROPER(REGEXREPLACE(D847,""[^A-Za-z]+ "",""""))"),"Klarsen")</f>
        <v>Klarsen</v>
      </c>
      <c r="G4442" s="4" t="s">
        <v>31417</v>
      </c>
      <c r="H4442" s="4">
        <v>19</v>
      </c>
      <c r="I4442" s="4" t="s">
        <v>9161</v>
      </c>
      <c r="J4442" s="4" t="str">
        <f>IFERROR(__XLUDF.DUMMYFUNCTION("VLOOKUP(H847,IMPORTRANGE(""https://docs.google.com/spreadsheets/d/1opm6ZNvGZ7KditA9TuJwrZ25eFLfTNIkrNnY6mhV5Eg"",""list!A1:C115""),3,TRUE)"),"le secteur du marketing")</f>
        <v xml:space="preserve">le secteur du marketing</v>
      </c>
      <c r="K4442" s="5" t="s">
        <v>31418</v>
      </c>
      <c r="L4442" s="5" t="s">
        <v>31419</v>
      </c>
      <c r="M4442" s="4" t="s">
        <v>243</v>
      </c>
      <c r="N4442" s="4" t="s">
        <v>29</v>
      </c>
      <c r="O4442" s="4" t="s">
        <v>31420</v>
      </c>
      <c r="P4442" s="4" t="s">
        <v>29</v>
      </c>
      <c r="Q4442" s="6"/>
      <c r="R4442" s="6"/>
      <c r="S4442" s="6"/>
      <c r="T4442" s="6"/>
      <c r="U4442" s="6"/>
      <c r="V4442" s="6"/>
      <c r="W4442" s="6"/>
      <c r="X4442" s="6"/>
      <c r="Y4442" s="6"/>
      <c r="Z4442" s="6"/>
      <c r="AA4442" s="6"/>
    </row>
    <row r="4443" ht="14.25">
      <c r="B4443" s="4" t="s">
        <v>971</v>
      </c>
      <c r="C4443" s="4" t="s">
        <v>31421</v>
      </c>
      <c r="D4443" s="4" t="s">
        <v>172</v>
      </c>
      <c r="E4443" s="4" t="s">
        <v>31422</v>
      </c>
      <c r="F4443" s="4" t="str">
        <f>IFERROR(__XLUDF.DUMMYFUNCTION("PROPER(REGEXREPLACE(D848,""[^A-Za-z]+ "",""""))"),"Agence Régionale Bras Droit Des Dirigeants")</f>
        <v xml:space="preserve">Agence Régionale Bras Droit Des Dirigeants</v>
      </c>
      <c r="G4443" s="4" t="s">
        <v>31423</v>
      </c>
      <c r="H4443" s="4">
        <v>10</v>
      </c>
      <c r="I4443" s="4" t="s">
        <v>9161</v>
      </c>
      <c r="J4443" s="4" t="str">
        <f>IFERROR(__XLUDF.DUMMYFUNCTION("VLOOKUP(H848,IMPORTRANGE(""https://docs.google.com/spreadsheets/d/1opm6ZNvGZ7KditA9TuJwrZ25eFLfTNIkrNnY6mhV5Eg"",""list!A1:C115""),3,TRUE)"),"le secteur du marketing")</f>
        <v xml:space="preserve">le secteur du marketing</v>
      </c>
      <c r="K4443" s="5" t="s">
        <v>31424</v>
      </c>
      <c r="L4443" s="5" t="s">
        <v>31425</v>
      </c>
      <c r="M4443" s="4" t="s">
        <v>31426</v>
      </c>
      <c r="N4443" s="4" t="s">
        <v>29</v>
      </c>
      <c r="O4443" s="4" t="s">
        <v>31427</v>
      </c>
      <c r="P4443" s="4" t="s">
        <v>29</v>
      </c>
      <c r="Q4443" s="6"/>
      <c r="R4443" s="6"/>
      <c r="S4443" s="6"/>
      <c r="T4443" s="6"/>
      <c r="U4443" s="6"/>
      <c r="V4443" s="6"/>
      <c r="W4443" s="6"/>
      <c r="X4443" s="6"/>
      <c r="Y4443" s="6"/>
      <c r="Z4443" s="6"/>
      <c r="AA4443" s="6"/>
    </row>
    <row r="4444" ht="14.25">
      <c r="B4444" s="4" t="s">
        <v>31428</v>
      </c>
      <c r="C4444" s="4" t="s">
        <v>31429</v>
      </c>
      <c r="D4444" s="4" t="s">
        <v>198</v>
      </c>
      <c r="E4444" s="4" t="s">
        <v>31430</v>
      </c>
      <c r="F4444" s="4" t="str">
        <f>IFERROR(__XLUDF.DUMMYFUNCTION("PROPER(REGEXREPLACE(D849,""[^A-Za-z]+ "",""""))"),"Opaline")</f>
        <v>Opaline</v>
      </c>
      <c r="G4444" s="4" t="s">
        <v>31431</v>
      </c>
      <c r="H4444" s="4">
        <v>20</v>
      </c>
      <c r="I4444" s="4" t="s">
        <v>9161</v>
      </c>
      <c r="J4444" s="4" t="str">
        <f>IFERROR(__XLUDF.DUMMYFUNCTION("VLOOKUP(H849,IMPORTRANGE(""https://docs.google.com/spreadsheets/d/1opm6ZNvGZ7KditA9TuJwrZ25eFLfTNIkrNnY6mhV5Eg"",""list!A1:C115""),3,TRUE)"),"le secteur du marketing")</f>
        <v xml:space="preserve">le secteur du marketing</v>
      </c>
      <c r="K4444" s="5" t="s">
        <v>31432</v>
      </c>
      <c r="L4444" s="5" t="s">
        <v>31433</v>
      </c>
      <c r="M4444" s="4" t="s">
        <v>185</v>
      </c>
      <c r="N4444" s="4" t="s">
        <v>29</v>
      </c>
      <c r="O4444" s="4" t="s">
        <v>31434</v>
      </c>
      <c r="P4444" s="4" t="s">
        <v>29</v>
      </c>
      <c r="Q4444" s="4" t="s">
        <v>31435</v>
      </c>
      <c r="R4444" s="6"/>
      <c r="S4444" s="6"/>
      <c r="T4444" s="6"/>
      <c r="U4444" s="6"/>
      <c r="V4444" s="6"/>
      <c r="W4444" s="6"/>
      <c r="X4444" s="6"/>
      <c r="Y4444" s="6"/>
      <c r="Z4444" s="6"/>
      <c r="AA4444" s="6"/>
    </row>
    <row r="4445" ht="14.25">
      <c r="B4445" s="4" t="s">
        <v>330</v>
      </c>
      <c r="C4445" s="4" t="s">
        <v>31436</v>
      </c>
      <c r="D4445" s="4" t="s">
        <v>31437</v>
      </c>
      <c r="E4445" s="4" t="s">
        <v>31438</v>
      </c>
      <c r="F4445" s="4" t="str">
        <f>IFERROR(__XLUDF.DUMMYFUNCTION("PROPER(REGEXREPLACE(D850,""[^A-Za-z]+ "",""""))"),"Sowink")</f>
        <v>Sowink</v>
      </c>
      <c r="G4445" s="4" t="s">
        <v>31439</v>
      </c>
      <c r="H4445" s="4">
        <v>19</v>
      </c>
      <c r="I4445" s="4" t="s">
        <v>9161</v>
      </c>
      <c r="J4445" s="4" t="str">
        <f>IFERROR(__XLUDF.DUMMYFUNCTION("VLOOKUP(H850,IMPORTRANGE(""https://docs.google.com/spreadsheets/d/1opm6ZNvGZ7KditA9TuJwrZ25eFLfTNIkrNnY6mhV5Eg"",""list!A1:C115""),3,TRUE)"),"le secteur du marketing")</f>
        <v xml:space="preserve">le secteur du marketing</v>
      </c>
      <c r="K4445" s="5" t="s">
        <v>31440</v>
      </c>
      <c r="L4445" s="5" t="s">
        <v>31441</v>
      </c>
      <c r="M4445" s="4" t="s">
        <v>9237</v>
      </c>
      <c r="N4445" s="4" t="s">
        <v>29</v>
      </c>
      <c r="O4445" s="4" t="s">
        <v>1313</v>
      </c>
      <c r="P4445" s="4" t="s">
        <v>29</v>
      </c>
      <c r="Q4445" s="6"/>
      <c r="R4445" s="6"/>
      <c r="S4445" s="6"/>
      <c r="T4445" s="6"/>
      <c r="U4445" s="6"/>
      <c r="V4445" s="6"/>
      <c r="W4445" s="6"/>
      <c r="X4445" s="6"/>
      <c r="Y4445" s="6"/>
      <c r="Z4445" s="6"/>
      <c r="AA4445" s="6"/>
    </row>
    <row r="4446" ht="14.25">
      <c r="B4446" s="4" t="s">
        <v>1153</v>
      </c>
      <c r="C4446" s="4" t="s">
        <v>31442</v>
      </c>
      <c r="D4446" s="4" t="s">
        <v>468</v>
      </c>
      <c r="E4446" s="4" t="s">
        <v>31443</v>
      </c>
      <c r="F4446" s="4" t="str">
        <f>IFERROR(__XLUDF.DUMMYFUNCTION("PROPER(REGEXREPLACE(D851,""[^A-Za-z]+ "",""""))"),"Auditoire Shopper")</f>
        <v xml:space="preserve">Auditoire Shopper</v>
      </c>
      <c r="G4446" s="4" t="s">
        <v>31444</v>
      </c>
      <c r="H4446" s="4">
        <v>22</v>
      </c>
      <c r="I4446" s="4" t="s">
        <v>9161</v>
      </c>
      <c r="J4446" s="4" t="str">
        <f>IFERROR(__XLUDF.DUMMYFUNCTION("VLOOKUP(H851,IMPORTRANGE(""https://docs.google.com/spreadsheets/d/1opm6ZNvGZ7KditA9TuJwrZ25eFLfTNIkrNnY6mhV5Eg"",""list!A1:C115""),3,TRUE)"),"le secteur du marketing")</f>
        <v xml:space="preserve">le secteur du marketing</v>
      </c>
      <c r="K4446" s="5" t="s">
        <v>31445</v>
      </c>
      <c r="L4446" s="5" t="s">
        <v>31446</v>
      </c>
      <c r="M4446" s="4" t="s">
        <v>39</v>
      </c>
      <c r="N4446" s="4" t="s">
        <v>29</v>
      </c>
      <c r="O4446" s="4" t="s">
        <v>31447</v>
      </c>
      <c r="P4446" s="4" t="s">
        <v>29</v>
      </c>
      <c r="Q4446" s="4" t="s">
        <v>31448</v>
      </c>
      <c r="R4446" s="6"/>
      <c r="S4446" s="6"/>
      <c r="T4446" s="6"/>
      <c r="U4446" s="6"/>
      <c r="V4446" s="6"/>
      <c r="W4446" s="6"/>
      <c r="X4446" s="6"/>
      <c r="Y4446" s="6"/>
      <c r="Z4446" s="6"/>
      <c r="AA4446" s="6"/>
    </row>
    <row r="4447" ht="14.25">
      <c r="B4447" s="4" t="s">
        <v>110</v>
      </c>
      <c r="C4447" s="4" t="s">
        <v>31449</v>
      </c>
      <c r="D4447" s="4" t="s">
        <v>5500</v>
      </c>
      <c r="E4447" s="4" t="s">
        <v>31450</v>
      </c>
      <c r="F4447" s="4" t="str">
        <f>IFERROR(__XLUDF.DUMMYFUNCTION("PROPER(REGEXREPLACE(D852,""[^A-Za-z]+ "",""""))"),"Sidièse")</f>
        <v>Sidièse</v>
      </c>
      <c r="G4447" s="4" t="s">
        <v>31451</v>
      </c>
      <c r="H4447" s="4">
        <v>28</v>
      </c>
      <c r="I4447" s="4" t="s">
        <v>9161</v>
      </c>
      <c r="J4447" s="4" t="str">
        <f>IFERROR(__XLUDF.DUMMYFUNCTION("VLOOKUP(H852,IMPORTRANGE(""https://docs.google.com/spreadsheets/d/1opm6ZNvGZ7KditA9TuJwrZ25eFLfTNIkrNnY6mhV5Eg"",""list!A1:C115""),3,TRUE)"),"le secteur du marketing")</f>
        <v xml:space="preserve">le secteur du marketing</v>
      </c>
      <c r="K4447" s="5" t="s">
        <v>31452</v>
      </c>
      <c r="L4447" s="5" t="s">
        <v>31453</v>
      </c>
      <c r="M4447" s="6"/>
      <c r="N4447" s="4" t="s">
        <v>29</v>
      </c>
      <c r="O4447" s="4" t="s">
        <v>31454</v>
      </c>
      <c r="P4447" s="4" t="s">
        <v>29</v>
      </c>
      <c r="Q4447" s="4" t="s">
        <v>31455</v>
      </c>
      <c r="R4447" s="6"/>
      <c r="S4447" s="6"/>
      <c r="T4447" s="6"/>
      <c r="U4447" s="6"/>
      <c r="V4447" s="6"/>
      <c r="W4447" s="6"/>
      <c r="X4447" s="6"/>
      <c r="Y4447" s="6"/>
      <c r="Z4447" s="6"/>
      <c r="AA4447" s="6"/>
    </row>
    <row r="4448" ht="14.25">
      <c r="B4448" s="4" t="s">
        <v>3909</v>
      </c>
      <c r="C4448" s="4" t="s">
        <v>110</v>
      </c>
      <c r="D4448" s="4" t="s">
        <v>31456</v>
      </c>
      <c r="E4448" s="4" t="s">
        <v>31457</v>
      </c>
      <c r="F4448" s="4" t="str">
        <f>IFERROR(__XLUDF.DUMMYFUNCTION("PROPER(REGEXREPLACE(D853,""[^A-Za-z]+ "",""""))"),"Ooeo")</f>
        <v>Ooeo</v>
      </c>
      <c r="G4448" s="4" t="s">
        <v>31458</v>
      </c>
      <c r="H4448" s="4">
        <v>12</v>
      </c>
      <c r="I4448" s="4" t="s">
        <v>9161</v>
      </c>
      <c r="J4448" s="4" t="str">
        <f>IFERROR(__XLUDF.DUMMYFUNCTION("VLOOKUP(H853,IMPORTRANGE(""https://docs.google.com/spreadsheets/d/1opm6ZNvGZ7KditA9TuJwrZ25eFLfTNIkrNnY6mhV5Eg"",""list!A1:C115""),3,TRUE)"),"le secteur du marketing")</f>
        <v xml:space="preserve">le secteur du marketing</v>
      </c>
      <c r="K4448" s="5" t="s">
        <v>31459</v>
      </c>
      <c r="L4448" s="5" t="s">
        <v>31460</v>
      </c>
      <c r="M4448" s="4" t="s">
        <v>6603</v>
      </c>
      <c r="N4448" s="4" t="s">
        <v>29</v>
      </c>
      <c r="O4448" s="4" t="s">
        <v>31461</v>
      </c>
      <c r="P4448" s="4" t="s">
        <v>29</v>
      </c>
      <c r="Q4448" s="4" t="s">
        <v>31462</v>
      </c>
      <c r="R4448" s="6"/>
      <c r="S4448" s="6"/>
      <c r="T4448" s="6"/>
      <c r="U4448" s="6"/>
      <c r="V4448" s="6"/>
      <c r="W4448" s="6"/>
      <c r="X4448" s="6"/>
      <c r="Y4448" s="6"/>
      <c r="Z4448" s="6"/>
      <c r="AA4448" s="6"/>
    </row>
    <row r="4449" ht="14.25">
      <c r="B4449" s="4" t="s">
        <v>7943</v>
      </c>
      <c r="C4449" s="4" t="s">
        <v>31463</v>
      </c>
      <c r="D4449" s="4" t="s">
        <v>2425</v>
      </c>
      <c r="E4449" s="4" t="s">
        <v>31464</v>
      </c>
      <c r="F4449" s="4" t="str">
        <f>IFERROR(__XLUDF.DUMMYFUNCTION("PROPER(REGEXREPLACE(D854,""[^A-Za-z]+ "",""""))"),"Feronialab")</f>
        <v>Feronialab</v>
      </c>
      <c r="G4449" s="4" t="s">
        <v>31465</v>
      </c>
      <c r="H4449" s="4">
        <v>14</v>
      </c>
      <c r="I4449" s="4" t="s">
        <v>9161</v>
      </c>
      <c r="J4449" s="4" t="str">
        <f>IFERROR(__XLUDF.DUMMYFUNCTION("VLOOKUP(H854,IMPORTRANGE(""https://docs.google.com/spreadsheets/d/1opm6ZNvGZ7KditA9TuJwrZ25eFLfTNIkrNnY6mhV5Eg"",""list!A1:C115""),3,TRUE)"),"le secteur du marketing")</f>
        <v xml:space="preserve">le secteur du marketing</v>
      </c>
      <c r="K4449" s="5" t="s">
        <v>31466</v>
      </c>
      <c r="L4449" s="5" t="s">
        <v>31467</v>
      </c>
      <c r="M4449" s="4" t="s">
        <v>39</v>
      </c>
      <c r="N4449" s="4" t="s">
        <v>29</v>
      </c>
      <c r="O4449" s="4" t="s">
        <v>31468</v>
      </c>
      <c r="P4449" s="4" t="s">
        <v>3495</v>
      </c>
      <c r="Q4449" s="4" t="s">
        <v>31469</v>
      </c>
      <c r="R4449" s="6"/>
      <c r="S4449" s="6"/>
      <c r="T4449" s="6"/>
      <c r="U4449" s="6"/>
      <c r="V4449" s="6"/>
      <c r="W4449" s="6"/>
      <c r="X4449" s="6"/>
      <c r="Y4449" s="6"/>
      <c r="Z4449" s="6"/>
      <c r="AA4449" s="6"/>
    </row>
    <row r="4450" ht="14.25">
      <c r="B4450" s="4" t="s">
        <v>768</v>
      </c>
      <c r="C4450" s="4" t="s">
        <v>31470</v>
      </c>
      <c r="D4450" s="4" t="s">
        <v>29084</v>
      </c>
      <c r="E4450" s="4" t="s">
        <v>31471</v>
      </c>
      <c r="F4450" s="4" t="str">
        <f>IFERROR(__XLUDF.DUMMYFUNCTION("PROPER(REGEXREPLACE(D855,""[^A-Za-z]+ "",""""))"),"Trends Paris")</f>
        <v xml:space="preserve">Trends Paris</v>
      </c>
      <c r="G4450" s="4" t="s">
        <v>31472</v>
      </c>
      <c r="H4450" s="4">
        <v>29</v>
      </c>
      <c r="I4450" s="4" t="s">
        <v>9161</v>
      </c>
      <c r="J4450" s="4" t="str">
        <f>IFERROR(__XLUDF.DUMMYFUNCTION("VLOOKUP(H855,IMPORTRANGE(""https://docs.google.com/spreadsheets/d/1opm6ZNvGZ7KditA9TuJwrZ25eFLfTNIkrNnY6mhV5Eg"",""list!A1:C115""),3,TRUE)"),"le secteur du marketing")</f>
        <v xml:space="preserve">le secteur du marketing</v>
      </c>
      <c r="K4450" s="5" t="s">
        <v>31473</v>
      </c>
      <c r="L4450" s="5" t="s">
        <v>31474</v>
      </c>
      <c r="M4450" s="4" t="s">
        <v>39</v>
      </c>
      <c r="N4450" s="4" t="s">
        <v>29</v>
      </c>
      <c r="O4450" s="4" t="s">
        <v>31475</v>
      </c>
      <c r="P4450" s="4" t="s">
        <v>29</v>
      </c>
      <c r="Q4450" s="4" t="s">
        <v>31476</v>
      </c>
      <c r="R4450" s="6"/>
      <c r="S4450" s="6"/>
      <c r="T4450" s="6"/>
      <c r="U4450" s="6"/>
      <c r="V4450" s="6"/>
      <c r="W4450" s="6"/>
      <c r="X4450" s="6"/>
      <c r="Y4450" s="6"/>
      <c r="Z4450" s="6"/>
      <c r="AA4450" s="6"/>
    </row>
    <row r="4451" ht="14.25">
      <c r="B4451" s="4" t="s">
        <v>110</v>
      </c>
      <c r="C4451" s="4" t="s">
        <v>6138</v>
      </c>
      <c r="D4451" s="4" t="s">
        <v>62</v>
      </c>
      <c r="E4451" s="4" t="s">
        <v>31477</v>
      </c>
      <c r="F4451" s="4" t="str">
        <f>IFERROR(__XLUDF.DUMMYFUNCTION("PROPER(REGEXREPLACE(D856,""[^A-Za-z]+ "",""""))"),"Nineteen Groupe")</f>
        <v xml:space="preserve">Nineteen Groupe</v>
      </c>
      <c r="G4451" s="4" t="s">
        <v>31478</v>
      </c>
      <c r="H4451" s="4">
        <v>21</v>
      </c>
      <c r="I4451" s="4" t="s">
        <v>9161</v>
      </c>
      <c r="J4451" s="4" t="str">
        <f>IFERROR(__XLUDF.DUMMYFUNCTION("VLOOKUP(H856,IMPORTRANGE(""https://docs.google.com/spreadsheets/d/1opm6ZNvGZ7KditA9TuJwrZ25eFLfTNIkrNnY6mhV5Eg"",""list!A1:C115""),3,TRUE)"),"le secteur du marketing")</f>
        <v xml:space="preserve">le secteur du marketing</v>
      </c>
      <c r="K4451" s="5" t="s">
        <v>31479</v>
      </c>
      <c r="L4451" s="5" t="s">
        <v>31480</v>
      </c>
      <c r="M4451" s="4" t="s">
        <v>6603</v>
      </c>
      <c r="N4451" s="4" t="s">
        <v>29</v>
      </c>
      <c r="O4451" s="4" t="s">
        <v>7599</v>
      </c>
      <c r="P4451" s="4" t="s">
        <v>29</v>
      </c>
      <c r="Q4451" s="4" t="s">
        <v>31481</v>
      </c>
      <c r="R4451" s="6"/>
      <c r="S4451" s="6"/>
      <c r="T4451" s="6"/>
      <c r="U4451" s="6"/>
      <c r="V4451" s="6"/>
      <c r="W4451" s="6"/>
      <c r="X4451" s="6"/>
      <c r="Y4451" s="6"/>
      <c r="Z4451" s="6"/>
      <c r="AA4451" s="6"/>
    </row>
    <row r="4452" ht="14.25">
      <c r="B4452" s="4" t="s">
        <v>322</v>
      </c>
      <c r="C4452" s="4" t="s">
        <v>31482</v>
      </c>
      <c r="D4452" s="4" t="s">
        <v>112</v>
      </c>
      <c r="E4452" s="4" t="s">
        <v>31483</v>
      </c>
      <c r="F4452" s="4" t="str">
        <f>IFERROR(__XLUDF.DUMMYFUNCTION("PROPER(REGEXREPLACE(D857,""[^A-Za-z]+ "",""""))"),"Htag")</f>
        <v>Htag</v>
      </c>
      <c r="G4452" s="4" t="s">
        <v>31484</v>
      </c>
      <c r="H4452" s="4">
        <v>33</v>
      </c>
      <c r="I4452" s="4" t="s">
        <v>9161</v>
      </c>
      <c r="J4452" s="4" t="str">
        <f>IFERROR(__XLUDF.DUMMYFUNCTION("VLOOKUP(H857,IMPORTRANGE(""https://docs.google.com/spreadsheets/d/1opm6ZNvGZ7KditA9TuJwrZ25eFLfTNIkrNnY6mhV5Eg"",""list!A1:C115""),3,TRUE)"),"le secteur du marketing")</f>
        <v xml:space="preserve">le secteur du marketing</v>
      </c>
      <c r="K4452" s="5" t="s">
        <v>31485</v>
      </c>
      <c r="L4452" s="5" t="s">
        <v>31486</v>
      </c>
      <c r="M4452" s="4" t="s">
        <v>20332</v>
      </c>
      <c r="N4452" s="4" t="s">
        <v>29</v>
      </c>
      <c r="O4452" s="4" t="s">
        <v>31487</v>
      </c>
      <c r="P4452" s="4" t="s">
        <v>29</v>
      </c>
      <c r="Q4452" s="4" t="s">
        <v>31488</v>
      </c>
      <c r="R4452" s="6"/>
      <c r="S4452" s="6"/>
      <c r="T4452" s="6"/>
      <c r="U4452" s="6"/>
      <c r="V4452" s="6"/>
      <c r="W4452" s="6"/>
      <c r="X4452" s="6"/>
      <c r="Y4452" s="6"/>
      <c r="Z4452" s="6"/>
      <c r="AA4452" s="6"/>
    </row>
    <row r="4453" ht="14.25">
      <c r="B4453" s="4" t="s">
        <v>13355</v>
      </c>
      <c r="C4453" s="4" t="s">
        <v>31489</v>
      </c>
      <c r="D4453" s="4" t="s">
        <v>31490</v>
      </c>
      <c r="E4453" s="5" t="s">
        <v>31491</v>
      </c>
      <c r="F4453" s="5" t="str">
        <f>IFERROR(__XLUDF.DUMMYFUNCTION("PROPER(REGEXREPLACE(D858,""[^A-Za-z]+ "",""""))"),"Perfmaker.Com")</f>
        <v>Perfmaker.Com</v>
      </c>
      <c r="G4453" s="4" t="s">
        <v>31492</v>
      </c>
      <c r="H4453" s="4">
        <v>11</v>
      </c>
      <c r="I4453" s="4" t="s">
        <v>9161</v>
      </c>
      <c r="J4453" s="4" t="str">
        <f>IFERROR(__XLUDF.DUMMYFUNCTION("VLOOKUP(H858,IMPORTRANGE(""https://docs.google.com/spreadsheets/d/1opm6ZNvGZ7KditA9TuJwrZ25eFLfTNIkrNnY6mhV5Eg"",""list!A1:C115""),3,TRUE)"),"le secteur du marketing")</f>
        <v xml:space="preserve">le secteur du marketing</v>
      </c>
      <c r="K4453" s="5" t="s">
        <v>31493</v>
      </c>
      <c r="L4453" s="5" t="s">
        <v>31494</v>
      </c>
      <c r="M4453" s="4" t="s">
        <v>39</v>
      </c>
      <c r="N4453" s="4" t="s">
        <v>29</v>
      </c>
      <c r="O4453" s="4" t="s">
        <v>31495</v>
      </c>
      <c r="P4453" s="4" t="s">
        <v>29</v>
      </c>
      <c r="Q4453" s="4" t="s">
        <v>31496</v>
      </c>
      <c r="R4453" s="6"/>
      <c r="S4453" s="6"/>
      <c r="T4453" s="6"/>
      <c r="U4453" s="6"/>
      <c r="V4453" s="6"/>
      <c r="W4453" s="6"/>
      <c r="X4453" s="6"/>
      <c r="Y4453" s="6"/>
      <c r="Z4453" s="6"/>
      <c r="AA4453" s="6"/>
    </row>
    <row r="4454" ht="14.25">
      <c r="B4454" s="4" t="s">
        <v>5029</v>
      </c>
      <c r="C4454" s="4" t="s">
        <v>31497</v>
      </c>
      <c r="D4454" s="4" t="s">
        <v>172</v>
      </c>
      <c r="E4454" s="4" t="s">
        <v>31498</v>
      </c>
      <c r="F4454" s="4" t="str">
        <f>IFERROR(__XLUDF.DUMMYFUNCTION("PROPER(REGEXREPLACE(D859,""[^A-Za-z]+ "",""""))"),"Feedastic")</f>
        <v>Feedastic</v>
      </c>
      <c r="G4454" s="4" t="s">
        <v>31499</v>
      </c>
      <c r="H4454" s="4">
        <v>11</v>
      </c>
      <c r="I4454" s="4" t="s">
        <v>9161</v>
      </c>
      <c r="J4454" s="4" t="str">
        <f>IFERROR(__XLUDF.DUMMYFUNCTION("VLOOKUP(H859,IMPORTRANGE(""https://docs.google.com/spreadsheets/d/1opm6ZNvGZ7KditA9TuJwrZ25eFLfTNIkrNnY6mhV5Eg"",""list!A1:C115""),3,TRUE)"),"le secteur du marketing")</f>
        <v xml:space="preserve">le secteur du marketing</v>
      </c>
      <c r="K4454" s="5" t="s">
        <v>31500</v>
      </c>
      <c r="L4454" s="5" t="s">
        <v>31501</v>
      </c>
      <c r="M4454" s="4" t="s">
        <v>243</v>
      </c>
      <c r="N4454" s="4" t="s">
        <v>29</v>
      </c>
      <c r="O4454" s="4" t="s">
        <v>31502</v>
      </c>
      <c r="P4454" s="4" t="s">
        <v>29</v>
      </c>
      <c r="Q4454" s="4" t="s">
        <v>31503</v>
      </c>
      <c r="R4454" s="6"/>
      <c r="S4454" s="6"/>
      <c r="T4454" s="6"/>
      <c r="U4454" s="6"/>
      <c r="V4454" s="6"/>
      <c r="W4454" s="6"/>
      <c r="X4454" s="6"/>
      <c r="Y4454" s="6"/>
      <c r="Z4454" s="6"/>
      <c r="AA4454" s="6"/>
    </row>
    <row r="4455" ht="14.25">
      <c r="B4455" s="4" t="s">
        <v>3540</v>
      </c>
      <c r="C4455" s="4" t="s">
        <v>31504</v>
      </c>
      <c r="D4455" s="4" t="s">
        <v>164</v>
      </c>
      <c r="E4455" s="4" t="s">
        <v>31505</v>
      </c>
      <c r="F4455" s="4" t="str">
        <f>IFERROR(__XLUDF.DUMMYFUNCTION("PROPER(REGEXREPLACE(D860,""[^A-Za-z]+ "",""""))"),"Agence Kozy")</f>
        <v xml:space="preserve">Agence Kozy</v>
      </c>
      <c r="G4455" s="4" t="s">
        <v>31506</v>
      </c>
      <c r="H4455" s="4">
        <v>34</v>
      </c>
      <c r="I4455" s="4" t="s">
        <v>9161</v>
      </c>
      <c r="J4455" s="4" t="str">
        <f>IFERROR(__XLUDF.DUMMYFUNCTION("VLOOKUP(H860,IMPORTRANGE(""https://docs.google.com/spreadsheets/d/1opm6ZNvGZ7KditA9TuJwrZ25eFLfTNIkrNnY6mhV5Eg"",""list!A1:C115""),3,TRUE)"),"le secteur du marketing")</f>
        <v xml:space="preserve">le secteur du marketing</v>
      </c>
      <c r="K4455" s="5" t="s">
        <v>31507</v>
      </c>
      <c r="L4455" s="5" t="s">
        <v>31508</v>
      </c>
      <c r="M4455" s="4" t="s">
        <v>482</v>
      </c>
      <c r="N4455" s="4" t="s">
        <v>29</v>
      </c>
      <c r="O4455" s="4" t="s">
        <v>31509</v>
      </c>
      <c r="P4455" s="4" t="s">
        <v>29</v>
      </c>
      <c r="Q4455" s="4" t="s">
        <v>31510</v>
      </c>
      <c r="R4455" s="6"/>
      <c r="S4455" s="6"/>
      <c r="T4455" s="6"/>
      <c r="U4455" s="6"/>
      <c r="V4455" s="6"/>
      <c r="W4455" s="6"/>
      <c r="X4455" s="6"/>
      <c r="Y4455" s="6"/>
      <c r="Z4455" s="6"/>
      <c r="AA4455" s="6"/>
    </row>
    <row r="4456" ht="14.25">
      <c r="B4456" s="4" t="s">
        <v>4115</v>
      </c>
      <c r="C4456" s="4" t="s">
        <v>31511</v>
      </c>
      <c r="D4456" s="4" t="s">
        <v>5500</v>
      </c>
      <c r="E4456" s="4" t="s">
        <v>31512</v>
      </c>
      <c r="F4456" s="4" t="str">
        <f>IFERROR(__XLUDF.DUMMYFUNCTION("PROPER(REGEXREPLACE(D861,""[^A-Za-z]+ "",""""))"),"Press•Agrum")</f>
        <v>Press•Agrum</v>
      </c>
      <c r="G4456" s="4" t="s">
        <v>31513</v>
      </c>
      <c r="H4456" s="4">
        <v>15</v>
      </c>
      <c r="I4456" s="4" t="s">
        <v>9161</v>
      </c>
      <c r="J4456" s="4" t="str">
        <f>IFERROR(__XLUDF.DUMMYFUNCTION("VLOOKUP(H861,IMPORTRANGE(""https://docs.google.com/spreadsheets/d/1opm6ZNvGZ7KditA9TuJwrZ25eFLfTNIkrNnY6mhV5Eg"",""list!A1:C115""),3,TRUE)"),"le secteur du marketing")</f>
        <v xml:space="preserve">le secteur du marketing</v>
      </c>
      <c r="K4456" s="5" t="s">
        <v>31514</v>
      </c>
      <c r="L4456" s="5" t="s">
        <v>31515</v>
      </c>
      <c r="M4456" s="4" t="s">
        <v>651</v>
      </c>
      <c r="N4456" s="4" t="s">
        <v>29</v>
      </c>
      <c r="O4456" s="4" t="s">
        <v>31516</v>
      </c>
      <c r="P4456" s="4" t="s">
        <v>29</v>
      </c>
      <c r="Q4456" s="4" t="s">
        <v>31517</v>
      </c>
      <c r="R4456" s="6"/>
      <c r="S4456" s="6"/>
      <c r="T4456" s="6"/>
      <c r="U4456" s="6"/>
      <c r="V4456" s="6"/>
      <c r="W4456" s="6"/>
      <c r="X4456" s="6"/>
      <c r="Y4456" s="6"/>
      <c r="Z4456" s="6"/>
      <c r="AA4456" s="6"/>
    </row>
    <row r="4457" ht="14.25">
      <c r="B4457" s="4" t="s">
        <v>596</v>
      </c>
      <c r="C4457" s="4" t="s">
        <v>20926</v>
      </c>
      <c r="D4457" s="4" t="s">
        <v>688</v>
      </c>
      <c r="E4457" s="4" t="s">
        <v>31518</v>
      </c>
      <c r="F4457" s="4" t="str">
        <f>IFERROR(__XLUDF.DUMMYFUNCTION("PROPER(REGEXREPLACE(D862,""[^A-Za-z]+ "",""""))"),"Appaso")</f>
        <v>Appaso</v>
      </c>
      <c r="G4457" s="4" t="s">
        <v>31519</v>
      </c>
      <c r="H4457" s="4">
        <v>15</v>
      </c>
      <c r="I4457" s="4" t="s">
        <v>9161</v>
      </c>
      <c r="J4457" s="4" t="str">
        <f>IFERROR(__XLUDF.DUMMYFUNCTION("VLOOKUP(H862,IMPORTRANGE(""https://docs.google.com/spreadsheets/d/1opm6ZNvGZ7KditA9TuJwrZ25eFLfTNIkrNnY6mhV5Eg"",""list!A1:C115""),3,TRUE)"),"le secteur du marketing")</f>
        <v xml:space="preserve">le secteur du marketing</v>
      </c>
      <c r="K4457" s="5" t="s">
        <v>31520</v>
      </c>
      <c r="L4457" s="5" t="s">
        <v>31521</v>
      </c>
      <c r="M4457" s="4" t="s">
        <v>39</v>
      </c>
      <c r="N4457" s="4" t="s">
        <v>29</v>
      </c>
      <c r="O4457" s="4" t="s">
        <v>67</v>
      </c>
      <c r="P4457" s="4" t="s">
        <v>29</v>
      </c>
      <c r="Q4457" s="4" t="s">
        <v>31522</v>
      </c>
      <c r="R4457" s="6"/>
      <c r="S4457" s="6"/>
      <c r="T4457" s="6"/>
      <c r="U4457" s="6"/>
      <c r="V4457" s="6"/>
      <c r="W4457" s="6"/>
      <c r="X4457" s="6"/>
      <c r="Y4457" s="6"/>
      <c r="Z4457" s="6"/>
      <c r="AA4457" s="6"/>
    </row>
    <row r="4458" ht="14.25">
      <c r="B4458" s="4" t="s">
        <v>1526</v>
      </c>
      <c r="C4458" s="4" t="s">
        <v>31523</v>
      </c>
      <c r="D4458" s="4" t="s">
        <v>31524</v>
      </c>
      <c r="E4458" s="4" t="s">
        <v>31525</v>
      </c>
      <c r="F4458" s="4" t="str">
        <f>IFERROR(__XLUDF.DUMMYFUNCTION("PROPER(REGEXREPLACE(D863,""[^A-Za-z]+ "",""""))"),"En Personne")</f>
        <v xml:space="preserve">En Personne</v>
      </c>
      <c r="G4458" s="4" t="s">
        <v>31526</v>
      </c>
      <c r="H4458" s="4">
        <v>29</v>
      </c>
      <c r="I4458" s="4" t="s">
        <v>9161</v>
      </c>
      <c r="J4458" s="4" t="str">
        <f>IFERROR(__XLUDF.DUMMYFUNCTION("VLOOKUP(H863,IMPORTRANGE(""https://docs.google.com/spreadsheets/d/1opm6ZNvGZ7KditA9TuJwrZ25eFLfTNIkrNnY6mhV5Eg"",""list!A1:C115""),3,TRUE)"),"le secteur du marketing")</f>
        <v xml:space="preserve">le secteur du marketing</v>
      </c>
      <c r="K4458" s="5" t="s">
        <v>31527</v>
      </c>
      <c r="L4458" s="5" t="s">
        <v>31528</v>
      </c>
      <c r="M4458" s="4" t="s">
        <v>39</v>
      </c>
      <c r="N4458" s="4" t="s">
        <v>29</v>
      </c>
      <c r="O4458" s="4" t="s">
        <v>31529</v>
      </c>
      <c r="P4458" s="4" t="s">
        <v>29</v>
      </c>
      <c r="Q4458" s="4" t="s">
        <v>31530</v>
      </c>
      <c r="R4458" s="6"/>
      <c r="S4458" s="6"/>
      <c r="T4458" s="6"/>
      <c r="U4458" s="6"/>
      <c r="V4458" s="6"/>
      <c r="W4458" s="6"/>
      <c r="X4458" s="6"/>
      <c r="Y4458" s="6"/>
      <c r="Z4458" s="6"/>
      <c r="AA4458" s="6"/>
    </row>
    <row r="4459" ht="14.25">
      <c r="B4459" s="4" t="s">
        <v>378</v>
      </c>
      <c r="C4459" s="4" t="s">
        <v>31531</v>
      </c>
      <c r="D4459" s="4" t="s">
        <v>247</v>
      </c>
      <c r="E4459" s="4" t="s">
        <v>31532</v>
      </c>
      <c r="F4459" s="4" t="str">
        <f>IFERROR(__XLUDF.DUMMYFUNCTION("PROPER(REGEXREPLACE(D864,""[^A-Za-z]+ "",""""))"),"Acracy")</f>
        <v>Acracy</v>
      </c>
      <c r="G4459" s="4" t="s">
        <v>31533</v>
      </c>
      <c r="H4459" s="4">
        <v>13</v>
      </c>
      <c r="I4459" s="4" t="s">
        <v>9161</v>
      </c>
      <c r="J4459" s="4" t="str">
        <f>IFERROR(__XLUDF.DUMMYFUNCTION("VLOOKUP(H864,IMPORTRANGE(""https://docs.google.com/spreadsheets/d/1opm6ZNvGZ7KditA9TuJwrZ25eFLfTNIkrNnY6mhV5Eg"",""list!A1:C115""),3,TRUE)"),"le secteur du marketing")</f>
        <v xml:space="preserve">le secteur du marketing</v>
      </c>
      <c r="K4459" s="5" t="s">
        <v>31534</v>
      </c>
      <c r="L4459" s="5" t="s">
        <v>31535</v>
      </c>
      <c r="M4459" s="4" t="s">
        <v>39</v>
      </c>
      <c r="N4459" s="4" t="s">
        <v>29</v>
      </c>
      <c r="O4459" s="4" t="s">
        <v>31536</v>
      </c>
      <c r="P4459" s="4" t="s">
        <v>29</v>
      </c>
      <c r="Q4459" s="4" t="s">
        <v>31537</v>
      </c>
      <c r="R4459" s="6"/>
      <c r="S4459" s="6"/>
      <c r="T4459" s="6"/>
      <c r="U4459" s="6"/>
      <c r="V4459" s="6"/>
      <c r="W4459" s="6"/>
      <c r="X4459" s="6"/>
      <c r="Y4459" s="6"/>
      <c r="Z4459" s="6"/>
      <c r="AA4459" s="6"/>
    </row>
    <row r="4460" ht="14.25">
      <c r="B4460" s="4" t="s">
        <v>23709</v>
      </c>
      <c r="C4460" s="4" t="s">
        <v>27398</v>
      </c>
      <c r="D4460" s="4" t="s">
        <v>31538</v>
      </c>
      <c r="E4460" s="4" t="s">
        <v>31539</v>
      </c>
      <c r="F4460" s="4" t="str">
        <f>IFERROR(__XLUDF.DUMMYFUNCTION("PROPER(REGEXREPLACE(D865,""[^A-Za-z]+ "",""""))"),"Gramica")</f>
        <v>Gramica</v>
      </c>
      <c r="G4460" s="4" t="s">
        <v>31540</v>
      </c>
      <c r="H4460" s="4">
        <v>14</v>
      </c>
      <c r="I4460" s="4" t="s">
        <v>9161</v>
      </c>
      <c r="J4460" s="4" t="str">
        <f>IFERROR(__XLUDF.DUMMYFUNCTION("VLOOKUP(H865,IMPORTRANGE(""https://docs.google.com/spreadsheets/d/1opm6ZNvGZ7KditA9TuJwrZ25eFLfTNIkrNnY6mhV5Eg"",""list!A1:C115""),3,TRUE)"),"le secteur du marketing")</f>
        <v xml:space="preserve">le secteur du marketing</v>
      </c>
      <c r="K4460" s="5" t="s">
        <v>31541</v>
      </c>
      <c r="L4460" s="5" t="s">
        <v>31542</v>
      </c>
      <c r="M4460" s="4" t="s">
        <v>185</v>
      </c>
      <c r="N4460" s="4" t="s">
        <v>29</v>
      </c>
      <c r="O4460" s="4" t="s">
        <v>1283</v>
      </c>
      <c r="P4460" s="4" t="s">
        <v>29</v>
      </c>
      <c r="Q4460" s="4" t="s">
        <v>5069</v>
      </c>
      <c r="R4460" s="6"/>
      <c r="S4460" s="6"/>
      <c r="T4460" s="6"/>
      <c r="U4460" s="6"/>
      <c r="V4460" s="6"/>
      <c r="W4460" s="6"/>
      <c r="X4460" s="6"/>
      <c r="Y4460" s="6"/>
      <c r="Z4460" s="6"/>
      <c r="AA4460" s="6"/>
    </row>
    <row r="4461" ht="14.25">
      <c r="B4461" s="4" t="s">
        <v>5671</v>
      </c>
      <c r="C4461" s="4" t="s">
        <v>31543</v>
      </c>
      <c r="D4461" s="4" t="s">
        <v>31544</v>
      </c>
      <c r="E4461" s="4" t="s">
        <v>31545</v>
      </c>
      <c r="F4461" s="4" t="str">
        <f>IFERROR(__XLUDF.DUMMYFUNCTION("PROPER(REGEXREPLACE(D866,""[^A-Za-z]+ "",""""))"),"Be Brandon")</f>
        <v xml:space="preserve">Be Brandon</v>
      </c>
      <c r="G4461" s="4" t="s">
        <v>31546</v>
      </c>
      <c r="H4461" s="4">
        <v>35</v>
      </c>
      <c r="I4461" s="4" t="s">
        <v>9161</v>
      </c>
      <c r="J4461" s="4" t="str">
        <f>IFERROR(__XLUDF.DUMMYFUNCTION("VLOOKUP(H866,IMPORTRANGE(""https://docs.google.com/spreadsheets/d/1opm6ZNvGZ7KditA9TuJwrZ25eFLfTNIkrNnY6mhV5Eg"",""list!A1:C115""),3,TRUE)"),"le secteur du marketing")</f>
        <v xml:space="preserve">le secteur du marketing</v>
      </c>
      <c r="K4461" s="5" t="s">
        <v>31547</v>
      </c>
      <c r="L4461" s="5" t="s">
        <v>31548</v>
      </c>
      <c r="M4461" s="4" t="s">
        <v>6603</v>
      </c>
      <c r="N4461" s="4" t="s">
        <v>29</v>
      </c>
      <c r="O4461" s="4" t="s">
        <v>31549</v>
      </c>
      <c r="P4461" s="4" t="s">
        <v>29</v>
      </c>
      <c r="Q4461" s="4" t="s">
        <v>31550</v>
      </c>
      <c r="R4461" s="6"/>
      <c r="S4461" s="6"/>
      <c r="T4461" s="6"/>
      <c r="U4461" s="6"/>
      <c r="V4461" s="6"/>
      <c r="W4461" s="6"/>
      <c r="X4461" s="6"/>
      <c r="Y4461" s="6"/>
      <c r="Z4461" s="6"/>
      <c r="AA4461" s="6"/>
    </row>
    <row r="4462" ht="14.25">
      <c r="B4462" s="4" t="s">
        <v>1583</v>
      </c>
      <c r="C4462" s="4" t="s">
        <v>31551</v>
      </c>
      <c r="D4462" s="4" t="s">
        <v>341</v>
      </c>
      <c r="E4462" s="4" t="s">
        <v>31552</v>
      </c>
      <c r="F4462" s="4" t="str">
        <f>IFERROR(__XLUDF.DUMMYFUNCTION("PROPER(REGEXREPLACE(D867,""[^A-Za-z]+ "",""""))"),"Cithéa")</f>
        <v>Cithéa</v>
      </c>
      <c r="G4462" s="4" t="s">
        <v>31553</v>
      </c>
      <c r="H4462" s="4">
        <v>46</v>
      </c>
      <c r="I4462" s="4" t="s">
        <v>9161</v>
      </c>
      <c r="J4462" s="4" t="str">
        <f>IFERROR(__XLUDF.DUMMYFUNCTION("VLOOKUP(H867,IMPORTRANGE(""https://docs.google.com/spreadsheets/d/1opm6ZNvGZ7KditA9TuJwrZ25eFLfTNIkrNnY6mhV5Eg"",""list!A1:C115""),3,TRUE)"),"le secteur du marketing")</f>
        <v xml:space="preserve">le secteur du marketing</v>
      </c>
      <c r="K4462" s="5" t="s">
        <v>31554</v>
      </c>
      <c r="L4462" s="5" t="s">
        <v>31555</v>
      </c>
      <c r="M4462" s="6"/>
      <c r="N4462" s="4" t="s">
        <v>29</v>
      </c>
      <c r="O4462" s="4" t="s">
        <v>31556</v>
      </c>
      <c r="P4462" s="4" t="s">
        <v>29</v>
      </c>
      <c r="Q4462" s="4" t="s">
        <v>31557</v>
      </c>
      <c r="R4462" s="6"/>
      <c r="S4462" s="6"/>
      <c r="T4462" s="6"/>
      <c r="U4462" s="6"/>
      <c r="V4462" s="6"/>
      <c r="W4462" s="6"/>
      <c r="X4462" s="6"/>
      <c r="Y4462" s="6"/>
      <c r="Z4462" s="6"/>
      <c r="AA4462" s="6"/>
    </row>
    <row r="4463" ht="14.25">
      <c r="B4463" s="4" t="s">
        <v>1667</v>
      </c>
      <c r="C4463" s="4" t="s">
        <v>31558</v>
      </c>
      <c r="D4463" s="4" t="s">
        <v>468</v>
      </c>
      <c r="E4463" s="4" t="s">
        <v>31559</v>
      </c>
      <c r="F4463" s="4" t="str">
        <f>IFERROR(__XLUDF.DUMMYFUNCTION("PROPER(REGEXREPLACE(D868,""[^A-Za-z]+ "",""""))"),"Heartsscience France")</f>
        <v xml:space="preserve">Heartsscience France</v>
      </c>
      <c r="G4463" s="4" t="s">
        <v>31560</v>
      </c>
      <c r="H4463" s="4">
        <v>14</v>
      </c>
      <c r="I4463" s="4" t="s">
        <v>9161</v>
      </c>
      <c r="J4463" s="4" t="str">
        <f>IFERROR(__XLUDF.DUMMYFUNCTION("VLOOKUP(H868,IMPORTRANGE(""https://docs.google.com/spreadsheets/d/1opm6ZNvGZ7KditA9TuJwrZ25eFLfTNIkrNnY6mhV5Eg"",""list!A1:C115""),3,TRUE)"),"le secteur du marketing")</f>
        <v xml:space="preserve">le secteur du marketing</v>
      </c>
      <c r="K4463" s="5" t="s">
        <v>31561</v>
      </c>
      <c r="L4463" s="5" t="s">
        <v>31562</v>
      </c>
      <c r="M4463" s="6"/>
      <c r="N4463" s="4" t="s">
        <v>29</v>
      </c>
      <c r="O4463" s="4" t="s">
        <v>31563</v>
      </c>
      <c r="P4463" s="4" t="s">
        <v>29</v>
      </c>
      <c r="Q4463" s="6"/>
      <c r="R4463" s="6"/>
      <c r="S4463" s="6"/>
      <c r="T4463" s="6"/>
      <c r="U4463" s="6"/>
      <c r="V4463" s="6"/>
      <c r="W4463" s="6"/>
      <c r="X4463" s="6"/>
      <c r="Y4463" s="6"/>
      <c r="Z4463" s="6"/>
      <c r="AA4463" s="6"/>
    </row>
    <row r="4464" ht="14.25">
      <c r="B4464" s="4" t="s">
        <v>955</v>
      </c>
      <c r="C4464" s="4" t="s">
        <v>31564</v>
      </c>
      <c r="D4464" s="4" t="s">
        <v>5003</v>
      </c>
      <c r="E4464" s="4" t="s">
        <v>31565</v>
      </c>
      <c r="F4464" s="4" t="str">
        <f>IFERROR(__XLUDF.DUMMYFUNCTION("PROPER(REGEXREPLACE(D869,""[^A-Za-z]+ "",""""))"),"Unicom")</f>
        <v>Unicom</v>
      </c>
      <c r="G4464" s="4" t="s">
        <v>31566</v>
      </c>
      <c r="H4464" s="4">
        <v>11</v>
      </c>
      <c r="I4464" s="4" t="s">
        <v>9161</v>
      </c>
      <c r="J4464" s="4" t="str">
        <f>IFERROR(__XLUDF.DUMMYFUNCTION("VLOOKUP(H869,IMPORTRANGE(""https://docs.google.com/spreadsheets/d/1opm6ZNvGZ7KditA9TuJwrZ25eFLfTNIkrNnY6mhV5Eg"",""list!A1:C115""),3,TRUE)"),"le secteur du marketing")</f>
        <v xml:space="preserve">le secteur du marketing</v>
      </c>
      <c r="K4464" s="5" t="s">
        <v>31567</v>
      </c>
      <c r="L4464" s="5" t="s">
        <v>31568</v>
      </c>
      <c r="M4464" s="4" t="s">
        <v>31569</v>
      </c>
      <c r="N4464" s="4" t="s">
        <v>29</v>
      </c>
      <c r="O4464" s="4" t="s">
        <v>31570</v>
      </c>
      <c r="P4464" s="4" t="s">
        <v>29</v>
      </c>
      <c r="Q4464" s="4" t="s">
        <v>31571</v>
      </c>
      <c r="R4464" s="6"/>
      <c r="S4464" s="6"/>
      <c r="T4464" s="6"/>
      <c r="U4464" s="6"/>
      <c r="V4464" s="6"/>
      <c r="W4464" s="6"/>
      <c r="X4464" s="6"/>
      <c r="Y4464" s="6"/>
      <c r="Z4464" s="6"/>
      <c r="AA4464" s="6"/>
    </row>
    <row r="4465" ht="14.25">
      <c r="B4465" s="4" t="s">
        <v>3599</v>
      </c>
      <c r="C4465" s="4" t="s">
        <v>31572</v>
      </c>
      <c r="D4465" s="4" t="s">
        <v>44</v>
      </c>
      <c r="E4465" s="4" t="s">
        <v>31573</v>
      </c>
      <c r="F4465" s="4" t="str">
        <f>IFERROR(__XLUDF.DUMMYFUNCTION("PROPER(REGEXREPLACE(D870,""[^A-Za-z]+ "",""""))"),"Agecco")</f>
        <v>Agecco</v>
      </c>
      <c r="G4465" s="4" t="s">
        <v>31574</v>
      </c>
      <c r="H4465" s="4">
        <v>21</v>
      </c>
      <c r="I4465" s="4" t="s">
        <v>9161</v>
      </c>
      <c r="J4465" s="4" t="str">
        <f>IFERROR(__XLUDF.DUMMYFUNCTION("VLOOKUP(H870,IMPORTRANGE(""https://docs.google.com/spreadsheets/d/1opm6ZNvGZ7KditA9TuJwrZ25eFLfTNIkrNnY6mhV5Eg"",""list!A1:C115""),3,TRUE)"),"le secteur du marketing")</f>
        <v xml:space="preserve">le secteur du marketing</v>
      </c>
      <c r="K4465" s="5" t="s">
        <v>31575</v>
      </c>
      <c r="L4465" s="5" t="s">
        <v>31576</v>
      </c>
      <c r="M4465" s="4" t="s">
        <v>31577</v>
      </c>
      <c r="N4465" s="4" t="s">
        <v>29</v>
      </c>
      <c r="O4465" s="4" t="s">
        <v>31578</v>
      </c>
      <c r="P4465" s="4" t="s">
        <v>29</v>
      </c>
      <c r="Q4465" s="6"/>
      <c r="R4465" s="6"/>
      <c r="S4465" s="6"/>
      <c r="T4465" s="6"/>
      <c r="U4465" s="6"/>
      <c r="V4465" s="6"/>
      <c r="W4465" s="6"/>
      <c r="X4465" s="6"/>
      <c r="Y4465" s="6"/>
      <c r="Z4465" s="6"/>
      <c r="AA4465" s="6"/>
    </row>
    <row r="4466" ht="14.25">
      <c r="B4466" s="4" t="s">
        <v>4800</v>
      </c>
      <c r="C4466" s="4" t="s">
        <v>31579</v>
      </c>
      <c r="D4466" s="4" t="s">
        <v>31580</v>
      </c>
      <c r="E4466" s="4" t="s">
        <v>31581</v>
      </c>
      <c r="F4466" s="4" t="str">
        <f>IFERROR(__XLUDF.DUMMYFUNCTION("PROPER(REGEXREPLACE(D871,""[^A-Za-z]+ "",""""))"),"Cfi")</f>
        <v>Cfi</v>
      </c>
      <c r="G4466" s="4" t="s">
        <v>31582</v>
      </c>
      <c r="H4466" s="4">
        <v>48</v>
      </c>
      <c r="I4466" s="4" t="s">
        <v>9161</v>
      </c>
      <c r="J4466" s="4" t="str">
        <f>IFERROR(__XLUDF.DUMMYFUNCTION("VLOOKUP(H871,IMPORTRANGE(""https://docs.google.com/spreadsheets/d/1opm6ZNvGZ7KditA9TuJwrZ25eFLfTNIkrNnY6mhV5Eg"",""list!A1:C115""),3,TRUE)"),"le secteur du marketing")</f>
        <v xml:space="preserve">le secteur du marketing</v>
      </c>
      <c r="K4466" s="5" t="s">
        <v>31583</v>
      </c>
      <c r="L4466" s="5" t="s">
        <v>31584</v>
      </c>
      <c r="M4466" s="4" t="s">
        <v>26756</v>
      </c>
      <c r="N4466" s="4" t="s">
        <v>29</v>
      </c>
      <c r="O4466" s="4" t="s">
        <v>31585</v>
      </c>
      <c r="P4466" s="4" t="s">
        <v>29</v>
      </c>
      <c r="Q4466" s="4" t="s">
        <v>31586</v>
      </c>
      <c r="R4466" s="6"/>
      <c r="S4466" s="6"/>
      <c r="T4466" s="6"/>
      <c r="U4466" s="6"/>
      <c r="V4466" s="6"/>
      <c r="W4466" s="6"/>
      <c r="X4466" s="6"/>
      <c r="Y4466" s="6"/>
      <c r="Z4466" s="6"/>
      <c r="AA4466" s="6"/>
    </row>
    <row r="4467" ht="14.25">
      <c r="B4467" s="4" t="s">
        <v>866</v>
      </c>
      <c r="C4467" s="4" t="s">
        <v>31587</v>
      </c>
      <c r="D4467" s="4" t="s">
        <v>426</v>
      </c>
      <c r="E4467" s="4" t="s">
        <v>31588</v>
      </c>
      <c r="F4467" s="4" t="str">
        <f>IFERROR(__XLUDF.DUMMYFUNCTION("PROPER(REGEXREPLACE(D872,""[^A-Za-z]+ "",""""))"),"Scentair France")</f>
        <v xml:space="preserve">Scentair France</v>
      </c>
      <c r="G4467" s="4" t="s">
        <v>31589</v>
      </c>
      <c r="H4467" s="4">
        <v>26</v>
      </c>
      <c r="I4467" s="4" t="s">
        <v>9161</v>
      </c>
      <c r="J4467" s="4" t="str">
        <f>IFERROR(__XLUDF.DUMMYFUNCTION("VLOOKUP(H872,IMPORTRANGE(""https://docs.google.com/spreadsheets/d/1opm6ZNvGZ7KditA9TuJwrZ25eFLfTNIkrNnY6mhV5Eg"",""list!A1:C115""),3,TRUE)"),"le secteur du marketing")</f>
        <v xml:space="preserve">le secteur du marketing</v>
      </c>
      <c r="K4467" s="5" t="s">
        <v>31590</v>
      </c>
      <c r="L4467" s="5" t="s">
        <v>31591</v>
      </c>
      <c r="M4467" s="4" t="s">
        <v>16314</v>
      </c>
      <c r="N4467" s="4" t="s">
        <v>29</v>
      </c>
      <c r="O4467" s="4" t="s">
        <v>31592</v>
      </c>
      <c r="P4467" s="4" t="s">
        <v>29</v>
      </c>
      <c r="Q4467" s="6"/>
      <c r="R4467" s="6"/>
      <c r="S4467" s="6"/>
      <c r="T4467" s="6"/>
      <c r="U4467" s="6"/>
      <c r="V4467" s="6"/>
      <c r="W4467" s="6"/>
      <c r="X4467" s="6"/>
      <c r="Y4467" s="6"/>
      <c r="Z4467" s="6"/>
      <c r="AA4467" s="6"/>
    </row>
    <row r="4468" ht="14.25">
      <c r="B4468" s="4" t="s">
        <v>279</v>
      </c>
      <c r="C4468" s="4" t="s">
        <v>31593</v>
      </c>
      <c r="D4468" s="4" t="s">
        <v>31594</v>
      </c>
      <c r="E4468" s="4" t="s">
        <v>31595</v>
      </c>
      <c r="F4468" s="4" t="str">
        <f>IFERROR(__XLUDF.DUMMYFUNCTION("PROPER(REGEXREPLACE(D873,""[^A-Za-z]+ "",""""))"),"Urban Connect")</f>
        <v xml:space="preserve">Urban Connect</v>
      </c>
      <c r="G4468" s="4" t="s">
        <v>31596</v>
      </c>
      <c r="H4468" s="4">
        <v>17</v>
      </c>
      <c r="I4468" s="4" t="s">
        <v>9161</v>
      </c>
      <c r="J4468" s="4" t="str">
        <f>IFERROR(__XLUDF.DUMMYFUNCTION("VLOOKUP(H873,IMPORTRANGE(""https://docs.google.com/spreadsheets/d/1opm6ZNvGZ7KditA9TuJwrZ25eFLfTNIkrNnY6mhV5Eg"",""list!A1:C115""),3,TRUE)"),"le secteur du marketing")</f>
        <v xml:space="preserve">le secteur du marketing</v>
      </c>
      <c r="K4468" s="5" t="s">
        <v>31597</v>
      </c>
      <c r="L4468" s="5" t="s">
        <v>31598</v>
      </c>
      <c r="M4468" s="4" t="s">
        <v>11084</v>
      </c>
      <c r="N4468" s="4" t="s">
        <v>29</v>
      </c>
      <c r="O4468" s="4" t="s">
        <v>31599</v>
      </c>
      <c r="P4468" s="4" t="s">
        <v>29</v>
      </c>
      <c r="Q4468" s="4" t="s">
        <v>31600</v>
      </c>
      <c r="R4468" s="6"/>
      <c r="S4468" s="6"/>
      <c r="T4468" s="6"/>
      <c r="U4468" s="6"/>
      <c r="V4468" s="6"/>
      <c r="W4468" s="6"/>
      <c r="X4468" s="6"/>
      <c r="Y4468" s="6"/>
      <c r="Z4468" s="6"/>
      <c r="AA4468" s="6"/>
    </row>
    <row r="4469" ht="14.25">
      <c r="B4469" s="4" t="s">
        <v>322</v>
      </c>
      <c r="C4469" s="4" t="s">
        <v>31601</v>
      </c>
      <c r="D4469" s="4" t="s">
        <v>315</v>
      </c>
      <c r="E4469" s="4" t="s">
        <v>31602</v>
      </c>
      <c r="F4469" s="4" t="str">
        <f>IFERROR(__XLUDF.DUMMYFUNCTION("PROPER(REGEXREPLACE(D874,""[^A-Za-z]+ "",""""))"),"Xplore Digital")</f>
        <v xml:space="preserve">Xplore Digital</v>
      </c>
      <c r="G4469" s="4" t="s">
        <v>31603</v>
      </c>
      <c r="H4469" s="4">
        <v>12</v>
      </c>
      <c r="I4469" s="4" t="s">
        <v>9161</v>
      </c>
      <c r="J4469" s="4" t="str">
        <f>IFERROR(__XLUDF.DUMMYFUNCTION("VLOOKUP(H874,IMPORTRANGE(""https://docs.google.com/spreadsheets/d/1opm6ZNvGZ7KditA9TuJwrZ25eFLfTNIkrNnY6mhV5Eg"",""list!A1:C115""),3,TRUE)"),"le secteur du marketing")</f>
        <v xml:space="preserve">le secteur du marketing</v>
      </c>
      <c r="K4469" s="5" t="s">
        <v>31604</v>
      </c>
      <c r="L4469" s="5" t="s">
        <v>31605</v>
      </c>
      <c r="M4469" s="6"/>
      <c r="N4469" s="4" t="s">
        <v>29</v>
      </c>
      <c r="O4469" s="4" t="s">
        <v>31606</v>
      </c>
      <c r="P4469" s="4" t="s">
        <v>1548</v>
      </c>
      <c r="Q4469" s="4" t="s">
        <v>31607</v>
      </c>
      <c r="R4469" s="6"/>
      <c r="S4469" s="6"/>
      <c r="T4469" s="6"/>
      <c r="U4469" s="6"/>
      <c r="V4469" s="6"/>
      <c r="W4469" s="6"/>
      <c r="X4469" s="6"/>
      <c r="Y4469" s="6"/>
      <c r="Z4469" s="6"/>
      <c r="AA4469" s="6"/>
    </row>
    <row r="4470" ht="14.25">
      <c r="B4470" s="4" t="s">
        <v>52</v>
      </c>
      <c r="C4470" s="4" t="s">
        <v>31608</v>
      </c>
      <c r="D4470" s="4" t="s">
        <v>10189</v>
      </c>
      <c r="E4470" s="4" t="s">
        <v>31609</v>
      </c>
      <c r="F4470" s="4" t="str">
        <f>IFERROR(__XLUDF.DUMMYFUNCTION("PROPER(REGEXREPLACE(D875,""[^A-Za-z]+ "",""""))"),"Socialsky")</f>
        <v>Socialsky</v>
      </c>
      <c r="G4470" s="4" t="s">
        <v>31610</v>
      </c>
      <c r="H4470" s="4">
        <v>21</v>
      </c>
      <c r="I4470" s="4" t="s">
        <v>9161</v>
      </c>
      <c r="J4470" s="4" t="str">
        <f>IFERROR(__XLUDF.DUMMYFUNCTION("VLOOKUP(H875,IMPORTRANGE(""https://docs.google.com/spreadsheets/d/1opm6ZNvGZ7KditA9TuJwrZ25eFLfTNIkrNnY6mhV5Eg"",""list!A1:C115""),3,TRUE)"),"le secteur du marketing")</f>
        <v xml:space="preserve">le secteur du marketing</v>
      </c>
      <c r="K4470" s="5" t="s">
        <v>31611</v>
      </c>
      <c r="L4470" s="5" t="s">
        <v>31612</v>
      </c>
      <c r="M4470" s="4" t="s">
        <v>39</v>
      </c>
      <c r="N4470" s="4" t="s">
        <v>29</v>
      </c>
      <c r="O4470" s="4" t="s">
        <v>31613</v>
      </c>
      <c r="P4470" s="4" t="s">
        <v>2953</v>
      </c>
      <c r="Q4470" s="4" t="s">
        <v>31614</v>
      </c>
      <c r="R4470" s="6"/>
      <c r="S4470" s="6"/>
      <c r="T4470" s="6"/>
      <c r="U4470" s="6"/>
      <c r="V4470" s="6"/>
      <c r="W4470" s="6"/>
      <c r="X4470" s="6"/>
      <c r="Y4470" s="6"/>
      <c r="Z4470" s="6"/>
      <c r="AA4470" s="6"/>
    </row>
    <row r="4471" ht="14.25">
      <c r="B4471" s="4" t="s">
        <v>3673</v>
      </c>
      <c r="C4471" s="4" t="s">
        <v>31615</v>
      </c>
      <c r="D4471" s="4" t="s">
        <v>19070</v>
      </c>
      <c r="E4471" s="4" t="s">
        <v>31616</v>
      </c>
      <c r="F4471" s="4" t="str">
        <f>IFERROR(__XLUDF.DUMMYFUNCTION("PROPER(REGEXREPLACE(D876,""[^A-Za-z]+ "",""""))"),"Agence Kaolin")</f>
        <v xml:space="preserve">Agence Kaolin</v>
      </c>
      <c r="G4471" s="4" t="s">
        <v>31617</v>
      </c>
      <c r="H4471" s="4">
        <v>12</v>
      </c>
      <c r="I4471" s="4" t="s">
        <v>9161</v>
      </c>
      <c r="J4471" s="4" t="str">
        <f>IFERROR(__XLUDF.DUMMYFUNCTION("VLOOKUP(H876,IMPORTRANGE(""https://docs.google.com/spreadsheets/d/1opm6ZNvGZ7KditA9TuJwrZ25eFLfTNIkrNnY6mhV5Eg"",""list!A1:C115""),3,TRUE)"),"le secteur du marketing")</f>
        <v xml:space="preserve">le secteur du marketing</v>
      </c>
      <c r="K4471" s="5" t="s">
        <v>31618</v>
      </c>
      <c r="L4471" s="5" t="s">
        <v>31619</v>
      </c>
      <c r="M4471" s="4" t="s">
        <v>39</v>
      </c>
      <c r="N4471" s="4" t="s">
        <v>29</v>
      </c>
      <c r="O4471" s="4" t="s">
        <v>31620</v>
      </c>
      <c r="P4471" s="4" t="s">
        <v>29</v>
      </c>
      <c r="Q4471" s="6"/>
      <c r="R4471" s="6"/>
      <c r="S4471" s="6"/>
      <c r="T4471" s="6"/>
      <c r="U4471" s="6"/>
      <c r="V4471" s="6"/>
      <c r="W4471" s="6"/>
      <c r="X4471" s="6"/>
      <c r="Y4471" s="6"/>
      <c r="Z4471" s="6"/>
      <c r="AA4471" s="6"/>
    </row>
    <row r="4472" ht="14.25">
      <c r="B4472" s="4" t="s">
        <v>2299</v>
      </c>
      <c r="C4472" s="4" t="s">
        <v>28006</v>
      </c>
      <c r="D4472" s="4" t="s">
        <v>112</v>
      </c>
      <c r="E4472" s="4" t="s">
        <v>31621</v>
      </c>
      <c r="F4472" s="4" t="str">
        <f>IFERROR(__XLUDF.DUMMYFUNCTION("PROPER(REGEXREPLACE(D877,""[^A-Za-z]+ "",""""))"),"Lead Camp")</f>
        <v xml:space="preserve">Lead Camp</v>
      </c>
      <c r="G4472" s="4" t="s">
        <v>31622</v>
      </c>
      <c r="H4472" s="4">
        <v>39</v>
      </c>
      <c r="I4472" s="4" t="s">
        <v>9161</v>
      </c>
      <c r="J4472" s="4" t="str">
        <f>IFERROR(__XLUDF.DUMMYFUNCTION("VLOOKUP(H877,IMPORTRANGE(""https://docs.google.com/spreadsheets/d/1opm6ZNvGZ7KditA9TuJwrZ25eFLfTNIkrNnY6mhV5Eg"",""list!A1:C115""),3,TRUE)"),"le secteur du marketing")</f>
        <v xml:space="preserve">le secteur du marketing</v>
      </c>
      <c r="K4472" s="5" t="s">
        <v>31623</v>
      </c>
      <c r="L4472" s="5" t="s">
        <v>31624</v>
      </c>
      <c r="M4472" s="4" t="s">
        <v>482</v>
      </c>
      <c r="N4472" s="4" t="s">
        <v>29</v>
      </c>
      <c r="O4472" s="4" t="s">
        <v>31625</v>
      </c>
      <c r="P4472" s="4" t="s">
        <v>29</v>
      </c>
      <c r="Q4472" s="6"/>
      <c r="R4472" s="6"/>
      <c r="S4472" s="6"/>
      <c r="T4472" s="6"/>
      <c r="U4472" s="6"/>
      <c r="V4472" s="6"/>
      <c r="W4472" s="6"/>
      <c r="X4472" s="6"/>
      <c r="Y4472" s="6"/>
      <c r="Z4472" s="6"/>
      <c r="AA4472" s="6"/>
    </row>
    <row r="4473" ht="14.25">
      <c r="B4473" s="4" t="s">
        <v>26861</v>
      </c>
      <c r="C4473" s="4" t="s">
        <v>31626</v>
      </c>
      <c r="D4473" s="4" t="s">
        <v>315</v>
      </c>
      <c r="E4473" s="4" t="s">
        <v>31627</v>
      </c>
      <c r="F4473" s="4" t="str">
        <f>IFERROR(__XLUDF.DUMMYFUNCTION("PROPER(REGEXREPLACE(D878,""[^A-Za-z]+ "",""""))"),"Mb Agency")</f>
        <v xml:space="preserve">Mb Agency</v>
      </c>
      <c r="G4473" s="4" t="s">
        <v>31628</v>
      </c>
      <c r="H4473" s="4">
        <v>10</v>
      </c>
      <c r="I4473" s="4" t="s">
        <v>9161</v>
      </c>
      <c r="J4473" s="4" t="str">
        <f>IFERROR(__XLUDF.DUMMYFUNCTION("VLOOKUP(H878,IMPORTRANGE(""https://docs.google.com/spreadsheets/d/1opm6ZNvGZ7KditA9TuJwrZ25eFLfTNIkrNnY6mhV5Eg"",""list!A1:C115""),3,TRUE)"),"le secteur du marketing")</f>
        <v xml:space="preserve">le secteur du marketing</v>
      </c>
      <c r="K4473" s="5" t="s">
        <v>31629</v>
      </c>
      <c r="L4473" s="5" t="s">
        <v>31630</v>
      </c>
      <c r="M4473" s="4" t="s">
        <v>83</v>
      </c>
      <c r="N4473" s="4" t="s">
        <v>29</v>
      </c>
      <c r="O4473" s="4" t="s">
        <v>31631</v>
      </c>
      <c r="P4473" s="4" t="s">
        <v>29</v>
      </c>
      <c r="Q4473" s="4" t="s">
        <v>31632</v>
      </c>
      <c r="R4473" s="6"/>
      <c r="S4473" s="6"/>
      <c r="T4473" s="6"/>
      <c r="U4473" s="6"/>
      <c r="V4473" s="6"/>
      <c r="W4473" s="6"/>
      <c r="X4473" s="6"/>
      <c r="Y4473" s="6"/>
      <c r="Z4473" s="6"/>
      <c r="AA4473" s="6"/>
    </row>
    <row r="4474" ht="14.25">
      <c r="B4474" s="4" t="s">
        <v>1948</v>
      </c>
      <c r="C4474" s="4" t="s">
        <v>14051</v>
      </c>
      <c r="D4474" s="4" t="s">
        <v>31633</v>
      </c>
      <c r="E4474" s="4" t="s">
        <v>31634</v>
      </c>
      <c r="F4474" s="4" t="str">
        <f>IFERROR(__XLUDF.DUMMYFUNCTION("PROPER(REGEXREPLACE(D879,""[^A-Za-z]+ "",""""))"),"Soli")</f>
        <v>Soli</v>
      </c>
      <c r="G4474" s="4" t="s">
        <v>31635</v>
      </c>
      <c r="H4474" s="4">
        <v>31</v>
      </c>
      <c r="I4474" s="4" t="s">
        <v>9161</v>
      </c>
      <c r="J4474" s="4" t="str">
        <f>IFERROR(__XLUDF.DUMMYFUNCTION("VLOOKUP(H879,IMPORTRANGE(""https://docs.google.com/spreadsheets/d/1opm6ZNvGZ7KditA9TuJwrZ25eFLfTNIkrNnY6mhV5Eg"",""list!A1:C115""),3,TRUE)"),"le secteur du marketing")</f>
        <v xml:space="preserve">le secteur du marketing</v>
      </c>
      <c r="K4474" s="5" t="s">
        <v>31636</v>
      </c>
      <c r="L4474" s="5" t="s">
        <v>31637</v>
      </c>
      <c r="M4474" s="6"/>
      <c r="N4474" s="4" t="s">
        <v>29</v>
      </c>
      <c r="O4474" s="4" t="s">
        <v>31638</v>
      </c>
      <c r="P4474" s="4" t="s">
        <v>1261</v>
      </c>
      <c r="Q4474" s="6"/>
      <c r="R4474" s="6"/>
      <c r="S4474" s="6"/>
      <c r="T4474" s="6"/>
      <c r="U4474" s="6"/>
      <c r="V4474" s="6"/>
      <c r="W4474" s="6"/>
      <c r="X4474" s="6"/>
      <c r="Y4474" s="6"/>
      <c r="Z4474" s="6"/>
      <c r="AA4474" s="6"/>
    </row>
    <row r="4475" ht="14.25">
      <c r="B4475" s="4" t="s">
        <v>1596</v>
      </c>
      <c r="C4475" s="4" t="s">
        <v>31639</v>
      </c>
      <c r="D4475" s="4" t="s">
        <v>7759</v>
      </c>
      <c r="E4475" s="4" t="s">
        <v>31640</v>
      </c>
      <c r="F4475" s="4" t="str">
        <f>IFERROR(__XLUDF.DUMMYFUNCTION("PROPER(REGEXREPLACE(D880,""[^A-Za-z]+ "",""""))"),"La Griffe")</f>
        <v xml:space="preserve">La Griffe</v>
      </c>
      <c r="G4475" s="4" t="s">
        <v>31641</v>
      </c>
      <c r="H4475" s="4">
        <v>16</v>
      </c>
      <c r="I4475" s="4" t="s">
        <v>9161</v>
      </c>
      <c r="J4475" s="4" t="str">
        <f>IFERROR(__XLUDF.DUMMYFUNCTION("VLOOKUP(H880,IMPORTRANGE(""https://docs.google.com/spreadsheets/d/1opm6ZNvGZ7KditA9TuJwrZ25eFLfTNIkrNnY6mhV5Eg"",""list!A1:C115""),3,TRUE)"),"le secteur du marketing")</f>
        <v xml:space="preserve">le secteur du marketing</v>
      </c>
      <c r="K4475" s="5" t="s">
        <v>31642</v>
      </c>
      <c r="L4475" s="5" t="s">
        <v>31643</v>
      </c>
      <c r="M4475" s="4" t="s">
        <v>149</v>
      </c>
      <c r="N4475" s="4" t="s">
        <v>29</v>
      </c>
      <c r="O4475" s="4" t="s">
        <v>31644</v>
      </c>
      <c r="P4475" s="4" t="s">
        <v>29</v>
      </c>
      <c r="Q4475" s="4" t="s">
        <v>31645</v>
      </c>
      <c r="R4475" s="6"/>
      <c r="S4475" s="6"/>
      <c r="T4475" s="6"/>
      <c r="U4475" s="6"/>
      <c r="V4475" s="6"/>
      <c r="W4475" s="6"/>
      <c r="X4475" s="6"/>
      <c r="Y4475" s="6"/>
      <c r="Z4475" s="6"/>
      <c r="AA4475" s="6"/>
    </row>
    <row r="4476" ht="14.25">
      <c r="B4476" s="4" t="s">
        <v>2462</v>
      </c>
      <c r="C4476" s="4" t="s">
        <v>31646</v>
      </c>
      <c r="D4476" s="4" t="s">
        <v>164</v>
      </c>
      <c r="E4476" s="4" t="s">
        <v>31647</v>
      </c>
      <c r="F4476" s="4" t="str">
        <f>IFERROR(__XLUDF.DUMMYFUNCTION("PROPER(REGEXREPLACE(D881,""[^A-Za-z]+ "",""""))"),"Socialclub")</f>
        <v>Socialclub</v>
      </c>
      <c r="G4476" s="4" t="s">
        <v>31648</v>
      </c>
      <c r="H4476" s="4">
        <v>37</v>
      </c>
      <c r="I4476" s="4" t="s">
        <v>9161</v>
      </c>
      <c r="J4476" s="4" t="str">
        <f>IFERROR(__XLUDF.DUMMYFUNCTION("VLOOKUP(H881,IMPORTRANGE(""https://docs.google.com/spreadsheets/d/1opm6ZNvGZ7KditA9TuJwrZ25eFLfTNIkrNnY6mhV5Eg"",""list!A1:C115""),3,TRUE)"),"le secteur du marketing")</f>
        <v xml:space="preserve">le secteur du marketing</v>
      </c>
      <c r="K4476" s="5" t="s">
        <v>31649</v>
      </c>
      <c r="L4476" s="5" t="s">
        <v>31650</v>
      </c>
      <c r="M4476" s="4" t="s">
        <v>39</v>
      </c>
      <c r="N4476" s="4" t="s">
        <v>29</v>
      </c>
      <c r="O4476" s="4" t="s">
        <v>31651</v>
      </c>
      <c r="P4476" s="4" t="s">
        <v>29</v>
      </c>
      <c r="Q4476" s="4" t="s">
        <v>31652</v>
      </c>
      <c r="R4476" s="6"/>
      <c r="S4476" s="6"/>
      <c r="T4476" s="6"/>
      <c r="U4476" s="6"/>
      <c r="V4476" s="6"/>
      <c r="W4476" s="6"/>
      <c r="X4476" s="6"/>
      <c r="Y4476" s="6"/>
      <c r="Z4476" s="6"/>
      <c r="AA4476" s="6"/>
    </row>
    <row r="4477" ht="14.25">
      <c r="B4477" s="4" t="s">
        <v>170</v>
      </c>
      <c r="C4477" s="4" t="s">
        <v>23196</v>
      </c>
      <c r="D4477" s="4" t="s">
        <v>341</v>
      </c>
      <c r="E4477" s="4" t="s">
        <v>31653</v>
      </c>
      <c r="F4477" s="4" t="str">
        <f>IFERROR(__XLUDF.DUMMYFUNCTION("PROPER(REGEXREPLACE(D882,""[^A-Za-z]+ "",""""))"),"Agence Sw")</f>
        <v xml:space="preserve">Agence Sw</v>
      </c>
      <c r="G4477" s="4" t="s">
        <v>31654</v>
      </c>
      <c r="H4477" s="4">
        <v>11</v>
      </c>
      <c r="I4477" s="4" t="s">
        <v>9161</v>
      </c>
      <c r="J4477" s="4" t="str">
        <f>IFERROR(__XLUDF.DUMMYFUNCTION("VLOOKUP(H882,IMPORTRANGE(""https://docs.google.com/spreadsheets/d/1opm6ZNvGZ7KditA9TuJwrZ25eFLfTNIkrNnY6mhV5Eg"",""list!A1:C115""),3,TRUE)"),"le secteur du marketing")</f>
        <v xml:space="preserve">le secteur du marketing</v>
      </c>
      <c r="K4477" s="5" t="s">
        <v>31655</v>
      </c>
      <c r="L4477" s="5" t="s">
        <v>31656</v>
      </c>
      <c r="M4477" s="4" t="s">
        <v>1780</v>
      </c>
      <c r="N4477" s="4" t="s">
        <v>29</v>
      </c>
      <c r="O4477" s="4" t="s">
        <v>31657</v>
      </c>
      <c r="P4477" s="4" t="s">
        <v>29</v>
      </c>
      <c r="Q4477" s="4" t="s">
        <v>31658</v>
      </c>
      <c r="R4477" s="6"/>
      <c r="S4477" s="6"/>
      <c r="T4477" s="6"/>
      <c r="U4477" s="6"/>
      <c r="V4477" s="6"/>
      <c r="W4477" s="6"/>
      <c r="X4477" s="6"/>
      <c r="Y4477" s="6"/>
      <c r="Z4477" s="6"/>
      <c r="AA4477" s="6"/>
    </row>
    <row r="4478" ht="14.25">
      <c r="B4478" s="4" t="s">
        <v>661</v>
      </c>
      <c r="C4478" s="4" t="s">
        <v>20867</v>
      </c>
      <c r="D4478" s="4" t="s">
        <v>31659</v>
      </c>
      <c r="E4478" s="4" t="s">
        <v>31660</v>
      </c>
      <c r="F4478" s="4" t="str">
        <f>IFERROR(__XLUDF.DUMMYFUNCTION("PROPER(REGEXREPLACE(D883,""[^A-Za-z]+ "",""""))"),"Agence Le Square")</f>
        <v xml:space="preserve">Agence Le Square</v>
      </c>
      <c r="G4478" s="4" t="s">
        <v>31661</v>
      </c>
      <c r="H4478" s="4">
        <v>13</v>
      </c>
      <c r="I4478" s="4" t="s">
        <v>9161</v>
      </c>
      <c r="J4478" s="4" t="str">
        <f>IFERROR(__XLUDF.DUMMYFUNCTION("VLOOKUP(H883,IMPORTRANGE(""https://docs.google.com/spreadsheets/d/1opm6ZNvGZ7KditA9TuJwrZ25eFLfTNIkrNnY6mhV5Eg"",""list!A1:C115""),3,TRUE)"),"le secteur du marketing")</f>
        <v xml:space="preserve">le secteur du marketing</v>
      </c>
      <c r="K4478" s="5" t="s">
        <v>31662</v>
      </c>
      <c r="L4478" s="5" t="s">
        <v>31663</v>
      </c>
      <c r="M4478" s="4" t="s">
        <v>39</v>
      </c>
      <c r="N4478" s="4" t="s">
        <v>29</v>
      </c>
      <c r="O4478" s="4" t="s">
        <v>31664</v>
      </c>
      <c r="P4478" s="4" t="s">
        <v>29</v>
      </c>
      <c r="Q4478" s="6"/>
      <c r="R4478" s="6"/>
      <c r="S4478" s="6"/>
      <c r="T4478" s="6"/>
      <c r="U4478" s="6"/>
      <c r="V4478" s="6"/>
      <c r="W4478" s="6"/>
      <c r="X4478" s="6"/>
      <c r="Y4478" s="6"/>
      <c r="Z4478" s="6"/>
      <c r="AA4478" s="6"/>
    </row>
    <row r="4479" ht="14.25">
      <c r="B4479" s="4" t="s">
        <v>7451</v>
      </c>
      <c r="C4479" s="4" t="s">
        <v>31665</v>
      </c>
      <c r="D4479" s="4" t="s">
        <v>31666</v>
      </c>
      <c r="E4479" s="4" t="s">
        <v>31667</v>
      </c>
      <c r="F4479" s="4" t="str">
        <f>IFERROR(__XLUDF.DUMMYFUNCTION("PROPER(REGEXREPLACE(D884,""[^A-Za-z]+ "",""""))"),"Impact Plus")</f>
        <v xml:space="preserve">Impact Plus</v>
      </c>
      <c r="G4479" s="4" t="s">
        <v>31668</v>
      </c>
      <c r="H4479" s="4">
        <v>35</v>
      </c>
      <c r="I4479" s="4" t="s">
        <v>9161</v>
      </c>
      <c r="J4479" s="4" t="str">
        <f>IFERROR(__XLUDF.DUMMYFUNCTION("VLOOKUP(H884,IMPORTRANGE(""https://docs.google.com/spreadsheets/d/1opm6ZNvGZ7KditA9TuJwrZ25eFLfTNIkrNnY6mhV5Eg"",""list!A1:C115""),3,TRUE)"),"le secteur du marketing")</f>
        <v xml:space="preserve">le secteur du marketing</v>
      </c>
      <c r="K4479" s="5" t="s">
        <v>31669</v>
      </c>
      <c r="L4479" s="5" t="s">
        <v>31670</v>
      </c>
      <c r="M4479" s="4" t="s">
        <v>39</v>
      </c>
      <c r="N4479" s="4" t="s">
        <v>29</v>
      </c>
      <c r="O4479" s="4" t="s">
        <v>67</v>
      </c>
      <c r="P4479" s="4" t="s">
        <v>29</v>
      </c>
      <c r="Q4479" s="4" t="s">
        <v>31671</v>
      </c>
      <c r="R4479" s="6"/>
      <c r="S4479" s="6"/>
      <c r="T4479" s="6"/>
      <c r="U4479" s="6"/>
      <c r="V4479" s="6"/>
      <c r="W4479" s="6"/>
      <c r="X4479" s="6"/>
      <c r="Y4479" s="6"/>
      <c r="Z4479" s="6"/>
      <c r="AA4479" s="6"/>
    </row>
    <row r="4480" ht="14.25">
      <c r="B4480" s="4" t="s">
        <v>734</v>
      </c>
      <c r="C4480" s="4" t="s">
        <v>31672</v>
      </c>
      <c r="D4480" s="4" t="s">
        <v>172</v>
      </c>
      <c r="E4480" s="4" t="s">
        <v>31673</v>
      </c>
      <c r="F4480" s="4" t="str">
        <f>IFERROR(__XLUDF.DUMMYFUNCTION("PROPER(REGEXREPLACE(D885,""[^A-Za-z]+ "",""""))"),"Bogogroup")</f>
        <v>Bogogroup</v>
      </c>
      <c r="G4480" s="4" t="s">
        <v>31674</v>
      </c>
      <c r="H4480" s="4">
        <v>11</v>
      </c>
      <c r="I4480" s="4" t="s">
        <v>9161</v>
      </c>
      <c r="J4480" s="4" t="str">
        <f>IFERROR(__XLUDF.DUMMYFUNCTION("VLOOKUP(H885,IMPORTRANGE(""https://docs.google.com/spreadsheets/d/1opm6ZNvGZ7KditA9TuJwrZ25eFLfTNIkrNnY6mhV5Eg"",""list!A1:C115""),3,TRUE)"),"le secteur du marketing")</f>
        <v xml:space="preserve">le secteur du marketing</v>
      </c>
      <c r="K4480" s="5" t="s">
        <v>31675</v>
      </c>
      <c r="L4480" s="5" t="s">
        <v>31676</v>
      </c>
      <c r="M4480" s="4" t="s">
        <v>39</v>
      </c>
      <c r="N4480" s="4" t="s">
        <v>29</v>
      </c>
      <c r="O4480" s="4" t="s">
        <v>31677</v>
      </c>
      <c r="P4480" s="4" t="s">
        <v>29</v>
      </c>
      <c r="Q4480" s="4" t="s">
        <v>31678</v>
      </c>
      <c r="R4480" s="6"/>
      <c r="S4480" s="6"/>
      <c r="T4480" s="6"/>
      <c r="U4480" s="6"/>
      <c r="V4480" s="6"/>
      <c r="W4480" s="6"/>
      <c r="X4480" s="6"/>
      <c r="Y4480" s="6"/>
      <c r="Z4480" s="6"/>
      <c r="AA4480" s="6"/>
    </row>
    <row r="4481" ht="14.25">
      <c r="B4481" s="4" t="s">
        <v>785</v>
      </c>
      <c r="C4481" s="4" t="s">
        <v>31679</v>
      </c>
      <c r="D4481" s="4" t="s">
        <v>341</v>
      </c>
      <c r="E4481" s="4" t="s">
        <v>31680</v>
      </c>
      <c r="F4481" s="4" t="str">
        <f>IFERROR(__XLUDF.DUMMYFUNCTION("PROPER(REGEXREPLACE(D886,""[^A-Za-z]+ "",""""))"),"Pilot'​In")</f>
        <v>Pilot'​In</v>
      </c>
      <c r="G4481" s="4" t="s">
        <v>31681</v>
      </c>
      <c r="H4481" s="4">
        <v>34</v>
      </c>
      <c r="I4481" s="4" t="s">
        <v>9161</v>
      </c>
      <c r="J4481" s="4" t="str">
        <f>IFERROR(__XLUDF.DUMMYFUNCTION("VLOOKUP(H886,IMPORTRANGE(""https://docs.google.com/spreadsheets/d/1opm6ZNvGZ7KditA9TuJwrZ25eFLfTNIkrNnY6mhV5Eg"",""list!A1:C115""),3,TRUE)"),"le secteur du marketing")</f>
        <v xml:space="preserve">le secteur du marketing</v>
      </c>
      <c r="K4481" s="5" t="s">
        <v>31682</v>
      </c>
      <c r="L4481" s="5" t="s">
        <v>31683</v>
      </c>
      <c r="M4481" s="4" t="s">
        <v>185</v>
      </c>
      <c r="N4481" s="4" t="s">
        <v>29</v>
      </c>
      <c r="O4481" s="4" t="s">
        <v>1283</v>
      </c>
      <c r="P4481" s="4" t="s">
        <v>29</v>
      </c>
      <c r="Q4481" s="4" t="s">
        <v>31684</v>
      </c>
      <c r="R4481" s="6"/>
      <c r="S4481" s="6"/>
      <c r="T4481" s="6"/>
      <c r="U4481" s="6"/>
      <c r="V4481" s="6"/>
      <c r="W4481" s="6"/>
      <c r="X4481" s="6"/>
      <c r="Y4481" s="6"/>
      <c r="Z4481" s="6"/>
      <c r="AA4481" s="6"/>
    </row>
    <row r="4482" ht="14.25">
      <c r="B4482" s="4" t="s">
        <v>4196</v>
      </c>
      <c r="C4482" s="4" t="s">
        <v>31685</v>
      </c>
      <c r="D4482" s="4" t="s">
        <v>198</v>
      </c>
      <c r="E4482" s="4" t="s">
        <v>31686</v>
      </c>
      <c r="F4482" s="4" t="str">
        <f>IFERROR(__XLUDF.DUMMYFUNCTION("PROPER(REGEXREPLACE(D887,""[^A-Za-z]+ "",""""))"),"Pilotes Plv Marketing Point De Vente")</f>
        <v xml:space="preserve">Pilotes Plv Marketing Point De Vente</v>
      </c>
      <c r="G4482" s="4" t="s">
        <v>31687</v>
      </c>
      <c r="H4482" s="4">
        <v>25</v>
      </c>
      <c r="I4482" s="4" t="s">
        <v>9161</v>
      </c>
      <c r="J4482" s="4" t="str">
        <f>IFERROR(__XLUDF.DUMMYFUNCTION("VLOOKUP(H887,IMPORTRANGE(""https://docs.google.com/spreadsheets/d/1opm6ZNvGZ7KditA9TuJwrZ25eFLfTNIkrNnY6mhV5Eg"",""list!A1:C115""),3,TRUE)"),"le secteur du marketing")</f>
        <v xml:space="preserve">le secteur du marketing</v>
      </c>
      <c r="K4482" s="5" t="s">
        <v>31688</v>
      </c>
      <c r="L4482" s="5" t="s">
        <v>31689</v>
      </c>
      <c r="M4482" s="4" t="s">
        <v>846</v>
      </c>
      <c r="N4482" s="4" t="s">
        <v>29</v>
      </c>
      <c r="O4482" s="4" t="s">
        <v>31690</v>
      </c>
      <c r="P4482" s="4" t="s">
        <v>29</v>
      </c>
      <c r="Q4482" s="4" t="s">
        <v>31691</v>
      </c>
      <c r="R4482" s="6"/>
      <c r="S4482" s="6"/>
      <c r="T4482" s="6"/>
      <c r="U4482" s="6"/>
      <c r="V4482" s="6"/>
      <c r="W4482" s="6"/>
      <c r="X4482" s="6"/>
      <c r="Y4482" s="6"/>
      <c r="Z4482" s="6"/>
      <c r="AA4482" s="6"/>
    </row>
    <row r="4483" ht="14.25">
      <c r="B4483" s="4" t="s">
        <v>30252</v>
      </c>
      <c r="C4483" s="4" t="s">
        <v>31692</v>
      </c>
      <c r="D4483" s="4" t="s">
        <v>172</v>
      </c>
      <c r="E4483" s="4" t="s">
        <v>31693</v>
      </c>
      <c r="F4483" s="4" t="str">
        <f>IFERROR(__XLUDF.DUMMYFUNCTION("PROPER(REGEXREPLACE(D888,""[^A-Za-z]+ "",""""))"),"Cocktail Vision")</f>
        <v xml:space="preserve">Cocktail Vision</v>
      </c>
      <c r="G4483" s="4" t="s">
        <v>31694</v>
      </c>
      <c r="H4483" s="4">
        <v>39</v>
      </c>
      <c r="I4483" s="4" t="s">
        <v>9161</v>
      </c>
      <c r="J4483" s="4" t="str">
        <f>IFERROR(__XLUDF.DUMMYFUNCTION("VLOOKUP(H888,IMPORTRANGE(""https://docs.google.com/spreadsheets/d/1opm6ZNvGZ7KditA9TuJwrZ25eFLfTNIkrNnY6mhV5Eg"",""list!A1:C115""),3,TRUE)"),"le secteur du marketing")</f>
        <v xml:space="preserve">le secteur du marketing</v>
      </c>
      <c r="K4483" s="5" t="s">
        <v>31695</v>
      </c>
      <c r="L4483" s="5" t="s">
        <v>31696</v>
      </c>
      <c r="M4483" s="4" t="s">
        <v>4303</v>
      </c>
      <c r="N4483" s="4" t="s">
        <v>29</v>
      </c>
      <c r="O4483" s="4" t="s">
        <v>6771</v>
      </c>
      <c r="P4483" s="4" t="s">
        <v>29</v>
      </c>
      <c r="Q4483" s="4" t="s">
        <v>31697</v>
      </c>
      <c r="R4483" s="6"/>
      <c r="S4483" s="6"/>
      <c r="T4483" s="6"/>
      <c r="U4483" s="6"/>
      <c r="V4483" s="6"/>
      <c r="W4483" s="6"/>
      <c r="X4483" s="6"/>
      <c r="Y4483" s="6"/>
      <c r="Z4483" s="6"/>
      <c r="AA4483" s="6"/>
    </row>
    <row r="4484" ht="14.25">
      <c r="B4484" s="4" t="s">
        <v>817</v>
      </c>
      <c r="C4484" s="4" t="s">
        <v>31698</v>
      </c>
      <c r="D4484" s="4" t="s">
        <v>31699</v>
      </c>
      <c r="E4484" s="4" t="s">
        <v>31700</v>
      </c>
      <c r="F4484" s="4" t="str">
        <f>IFERROR(__XLUDF.DUMMYFUNCTION("PROPER(REGEXREPLACE(D889,""[^A-Za-z]+ "",""""))"),"Mo&amp;Jo")</f>
        <v>Mo&amp;Jo</v>
      </c>
      <c r="G4484" s="4" t="s">
        <v>31701</v>
      </c>
      <c r="H4484" s="4">
        <v>35</v>
      </c>
      <c r="I4484" s="4" t="s">
        <v>9161</v>
      </c>
      <c r="J4484" s="4" t="str">
        <f>IFERROR(__XLUDF.DUMMYFUNCTION("VLOOKUP(H889,IMPORTRANGE(""https://docs.google.com/spreadsheets/d/1opm6ZNvGZ7KditA9TuJwrZ25eFLfTNIkrNnY6mhV5Eg"",""list!A1:C115""),3,TRUE)"),"le secteur du marketing")</f>
        <v xml:space="preserve">le secteur du marketing</v>
      </c>
      <c r="K4484" s="5" t="s">
        <v>31702</v>
      </c>
      <c r="L4484" s="5" t="s">
        <v>31703</v>
      </c>
      <c r="M4484" s="4" t="s">
        <v>846</v>
      </c>
      <c r="N4484" s="4" t="s">
        <v>29</v>
      </c>
      <c r="O4484" s="4" t="s">
        <v>31704</v>
      </c>
      <c r="P4484" s="4" t="s">
        <v>29</v>
      </c>
      <c r="Q4484" s="4" t="s">
        <v>31705</v>
      </c>
      <c r="R4484" s="6"/>
      <c r="S4484" s="6"/>
      <c r="T4484" s="6"/>
      <c r="U4484" s="6"/>
      <c r="V4484" s="6"/>
      <c r="W4484" s="6"/>
      <c r="X4484" s="6"/>
      <c r="Y4484" s="6"/>
      <c r="Z4484" s="6"/>
      <c r="AA4484" s="6"/>
    </row>
    <row r="4485" ht="14.25">
      <c r="B4485" s="4" t="s">
        <v>31706</v>
      </c>
      <c r="C4485" s="4" t="s">
        <v>31707</v>
      </c>
      <c r="D4485" s="4" t="s">
        <v>87</v>
      </c>
      <c r="E4485" s="4" t="s">
        <v>31708</v>
      </c>
      <c r="F4485" s="4" t="str">
        <f>IFERROR(__XLUDF.DUMMYFUNCTION("PROPER(REGEXREPLACE(D890,""[^A-Za-z]+ "",""""))"),"Angelstudio")</f>
        <v>Angelstudio</v>
      </c>
      <c r="G4485" s="4" t="s">
        <v>31709</v>
      </c>
      <c r="H4485" s="4">
        <v>18</v>
      </c>
      <c r="I4485" s="4" t="s">
        <v>9161</v>
      </c>
      <c r="J4485" s="4" t="str">
        <f>IFERROR(__XLUDF.DUMMYFUNCTION("VLOOKUP(H890,IMPORTRANGE(""https://docs.google.com/spreadsheets/d/1opm6ZNvGZ7KditA9TuJwrZ25eFLfTNIkrNnY6mhV5Eg"",""list!A1:C115""),3,TRUE)"),"le secteur du marketing")</f>
        <v xml:space="preserve">le secteur du marketing</v>
      </c>
      <c r="K4485" s="5" t="s">
        <v>31710</v>
      </c>
      <c r="L4485" s="5" t="s">
        <v>31711</v>
      </c>
      <c r="M4485" s="4" t="s">
        <v>39</v>
      </c>
      <c r="N4485" s="4" t="s">
        <v>29</v>
      </c>
      <c r="O4485" s="4" t="s">
        <v>31712</v>
      </c>
      <c r="P4485" s="4" t="s">
        <v>29</v>
      </c>
      <c r="Q4485" s="4" t="s">
        <v>31713</v>
      </c>
      <c r="R4485" s="6"/>
      <c r="S4485" s="6"/>
      <c r="T4485" s="6"/>
      <c r="U4485" s="6"/>
      <c r="V4485" s="6"/>
      <c r="W4485" s="6"/>
      <c r="X4485" s="6"/>
      <c r="Y4485" s="6"/>
      <c r="Z4485" s="6"/>
      <c r="AA4485" s="6"/>
    </row>
    <row r="4486" ht="14.25">
      <c r="B4486" s="4" t="s">
        <v>31714</v>
      </c>
      <c r="C4486" s="4" t="s">
        <v>31715</v>
      </c>
      <c r="D4486" s="4" t="s">
        <v>9582</v>
      </c>
      <c r="E4486" s="4" t="s">
        <v>31716</v>
      </c>
      <c r="F4486" s="4" t="str">
        <f>IFERROR(__XLUDF.DUMMYFUNCTION("PROPER(REGEXREPLACE(D891,""[^A-Za-z]+ "",""""))"),"Studio Ikadia")</f>
        <v xml:space="preserve">Studio Ikadia</v>
      </c>
      <c r="G4486" s="4" t="s">
        <v>31717</v>
      </c>
      <c r="H4486" s="4">
        <v>12</v>
      </c>
      <c r="I4486" s="4" t="s">
        <v>9161</v>
      </c>
      <c r="J4486" s="4" t="str">
        <f>IFERROR(__XLUDF.DUMMYFUNCTION("VLOOKUP(H891,IMPORTRANGE(""https://docs.google.com/spreadsheets/d/1opm6ZNvGZ7KditA9TuJwrZ25eFLfTNIkrNnY6mhV5Eg"",""list!A1:C115""),3,TRUE)"),"le secteur du marketing")</f>
        <v xml:space="preserve">le secteur du marketing</v>
      </c>
      <c r="K4486" s="5" t="s">
        <v>31718</v>
      </c>
      <c r="L4486" s="5" t="s">
        <v>31719</v>
      </c>
      <c r="M4486" s="4" t="s">
        <v>11716</v>
      </c>
      <c r="N4486" s="4" t="s">
        <v>29</v>
      </c>
      <c r="O4486" s="4" t="s">
        <v>31720</v>
      </c>
      <c r="P4486" s="4" t="s">
        <v>29</v>
      </c>
      <c r="Q4486" s="4" t="s">
        <v>31721</v>
      </c>
      <c r="R4486" s="6"/>
      <c r="S4486" s="6"/>
      <c r="T4486" s="6"/>
      <c r="U4486" s="6"/>
      <c r="V4486" s="6"/>
      <c r="W4486" s="6"/>
      <c r="X4486" s="6"/>
      <c r="Y4486" s="6"/>
      <c r="Z4486" s="6"/>
      <c r="AA4486" s="6"/>
    </row>
    <row r="4487" ht="14.25">
      <c r="B4487" s="4" t="s">
        <v>3359</v>
      </c>
      <c r="C4487" s="4" t="s">
        <v>18213</v>
      </c>
      <c r="D4487" s="4" t="s">
        <v>31722</v>
      </c>
      <c r="E4487" s="4" t="s">
        <v>31723</v>
      </c>
      <c r="F4487" s="4" t="str">
        <f>IFERROR(__XLUDF.DUMMYFUNCTION("PROPER(REGEXREPLACE(D892,""[^A-Za-z]+ "",""""))"),"Copylot Group")</f>
        <v xml:space="preserve">Copylot Group</v>
      </c>
      <c r="G4487" s="4" t="s">
        <v>31724</v>
      </c>
      <c r="H4487" s="4">
        <v>18</v>
      </c>
      <c r="I4487" s="4" t="s">
        <v>9161</v>
      </c>
      <c r="J4487" s="4" t="str">
        <f>IFERROR(__XLUDF.DUMMYFUNCTION("VLOOKUP(H892,IMPORTRANGE(""https://docs.google.com/spreadsheets/d/1opm6ZNvGZ7KditA9TuJwrZ25eFLfTNIkrNnY6mhV5Eg"",""list!A1:C115""),3,TRUE)"),"le secteur du marketing")</f>
        <v xml:space="preserve">le secteur du marketing</v>
      </c>
      <c r="K4487" s="5" t="s">
        <v>31725</v>
      </c>
      <c r="L4487" s="5" t="s">
        <v>31726</v>
      </c>
      <c r="M4487" s="4" t="s">
        <v>1711</v>
      </c>
      <c r="N4487" s="4" t="s">
        <v>29</v>
      </c>
      <c r="O4487" s="4" t="s">
        <v>1712</v>
      </c>
      <c r="P4487" s="4" t="s">
        <v>29</v>
      </c>
      <c r="Q4487" s="4" t="s">
        <v>31727</v>
      </c>
      <c r="R4487" s="6"/>
      <c r="S4487" s="6"/>
      <c r="T4487" s="6"/>
      <c r="U4487" s="6"/>
      <c r="V4487" s="6"/>
      <c r="W4487" s="6"/>
      <c r="X4487" s="6"/>
      <c r="Y4487" s="6"/>
      <c r="Z4487" s="6"/>
      <c r="AA4487" s="6"/>
    </row>
    <row r="4488" ht="14.25">
      <c r="B4488" s="4" t="s">
        <v>31728</v>
      </c>
      <c r="C4488" s="4" t="s">
        <v>31729</v>
      </c>
      <c r="D4488" s="4" t="s">
        <v>172</v>
      </c>
      <c r="E4488" s="4" t="s">
        <v>31730</v>
      </c>
      <c r="F4488" s="4" t="str">
        <f>IFERROR(__XLUDF.DUMMYFUNCTION("PROPER(REGEXREPLACE(D893,""[^A-Za-z]+ "",""""))"),"Africa Business Market Place")</f>
        <v xml:space="preserve">Africa Business Market Place</v>
      </c>
      <c r="G4488" s="4" t="s">
        <v>31731</v>
      </c>
      <c r="H4488" s="4">
        <v>31</v>
      </c>
      <c r="I4488" s="4" t="s">
        <v>9161</v>
      </c>
      <c r="J4488" s="4" t="str">
        <f>IFERROR(__XLUDF.DUMMYFUNCTION("VLOOKUP(H893,IMPORTRANGE(""https://docs.google.com/spreadsheets/d/1opm6ZNvGZ7KditA9TuJwrZ25eFLfTNIkrNnY6mhV5Eg"",""list!A1:C115""),3,TRUE)"),"le secteur du marketing")</f>
        <v xml:space="preserve">le secteur du marketing</v>
      </c>
      <c r="K4488" s="5" t="s">
        <v>31732</v>
      </c>
      <c r="L4488" s="5" t="s">
        <v>31733</v>
      </c>
      <c r="M4488" s="4" t="s">
        <v>9237</v>
      </c>
      <c r="N4488" s="4" t="s">
        <v>29</v>
      </c>
      <c r="O4488" s="4" t="s">
        <v>31734</v>
      </c>
      <c r="P4488" s="4" t="s">
        <v>30882</v>
      </c>
      <c r="Q4488" s="4" t="s">
        <v>31735</v>
      </c>
      <c r="R4488" s="6"/>
      <c r="S4488" s="6"/>
      <c r="T4488" s="6"/>
      <c r="U4488" s="6"/>
      <c r="V4488" s="6"/>
      <c r="W4488" s="6"/>
      <c r="X4488" s="6"/>
      <c r="Y4488" s="6"/>
      <c r="Z4488" s="6"/>
      <c r="AA4488" s="6"/>
    </row>
    <row r="4489" ht="14.25">
      <c r="B4489" s="4" t="s">
        <v>8373</v>
      </c>
      <c r="C4489" s="4" t="s">
        <v>22803</v>
      </c>
      <c r="D4489" s="4" t="s">
        <v>688</v>
      </c>
      <c r="E4489" s="4" t="s">
        <v>31736</v>
      </c>
      <c r="F4489" s="4" t="str">
        <f>IFERROR(__XLUDF.DUMMYFUNCTION("PROPER(REGEXREPLACE(D894,""[^A-Za-z]+ "",""""))"),"Héhocom")</f>
        <v>Héhocom</v>
      </c>
      <c r="G4489" s="4" t="s">
        <v>31737</v>
      </c>
      <c r="H4489" s="4">
        <v>15</v>
      </c>
      <c r="I4489" s="4" t="s">
        <v>19088</v>
      </c>
      <c r="J4489" s="4" t="str">
        <f>IFERROR(__XLUDF.DUMMYFUNCTION("VLOOKUP(H894,IMPORTRANGE(""https://docs.google.com/spreadsheets/d/1opm6ZNvGZ7KditA9TuJwrZ25eFLfTNIkrNnY6mhV5Eg"",""list!A1:C115""),3,TRUE)"),"le secteur des médias en ligne")</f>
        <v xml:space="preserve">le secteur des médias en ligne</v>
      </c>
      <c r="K4489" s="5" t="s">
        <v>31738</v>
      </c>
      <c r="L4489" s="5" t="s">
        <v>31739</v>
      </c>
      <c r="M4489" s="4" t="s">
        <v>31740</v>
      </c>
      <c r="N4489" s="4" t="s">
        <v>29</v>
      </c>
      <c r="O4489" s="4" t="s">
        <v>28411</v>
      </c>
      <c r="P4489" s="4" t="s">
        <v>29</v>
      </c>
      <c r="Q4489" s="4" t="s">
        <v>31741</v>
      </c>
      <c r="R4489" s="6"/>
      <c r="S4489" s="6"/>
      <c r="T4489" s="6"/>
      <c r="U4489" s="6"/>
      <c r="V4489" s="6"/>
      <c r="W4489" s="6"/>
      <c r="X4489" s="6"/>
      <c r="Y4489" s="6"/>
      <c r="Z4489" s="6"/>
      <c r="AA4489" s="6"/>
    </row>
    <row r="4490" ht="14.25">
      <c r="B4490" s="4" t="s">
        <v>7198</v>
      </c>
      <c r="C4490" s="4" t="s">
        <v>31742</v>
      </c>
      <c r="D4490" s="4" t="s">
        <v>21321</v>
      </c>
      <c r="E4490" s="4" t="s">
        <v>31743</v>
      </c>
      <c r="F4490" s="4" t="str">
        <f>IFERROR(__XLUDF.DUMMYFUNCTION("PROPER(REGEXREPLACE(D895,""[^A-Za-z]+ "",""""))"),"Digital Unicorn")</f>
        <v xml:space="preserve">Digital Unicorn</v>
      </c>
      <c r="G4490" s="4" t="s">
        <v>31744</v>
      </c>
      <c r="H4490" s="4">
        <v>35</v>
      </c>
      <c r="I4490" s="4" t="s">
        <v>31745</v>
      </c>
      <c r="J4490" s="4" t="str">
        <f>IFERROR(__XLUDF.DUMMYFUNCTION("VLOOKUP(H895,IMPORTRANGE(""https://docs.google.com/spreadsheets/d/1opm6ZNvGZ7KditA9TuJwrZ25eFLfTNIkrNnY6mhV5Eg"",""list!A1:C115""),3,TRUE)"),"le secteur de l'outsourcing")</f>
        <v xml:space="preserve">le secteur de l'outsourcing</v>
      </c>
      <c r="K4490" s="5" t="s">
        <v>31746</v>
      </c>
      <c r="L4490" s="5" t="s">
        <v>31747</v>
      </c>
      <c r="M4490" s="4" t="s">
        <v>39</v>
      </c>
      <c r="N4490" s="4" t="s">
        <v>29</v>
      </c>
      <c r="O4490" s="4" t="s">
        <v>31748</v>
      </c>
      <c r="P4490" s="4" t="s">
        <v>29</v>
      </c>
      <c r="Q4490" s="4" t="s">
        <v>31749</v>
      </c>
      <c r="R4490" s="6"/>
      <c r="S4490" s="6"/>
      <c r="T4490" s="6"/>
      <c r="U4490" s="6"/>
      <c r="V4490" s="6"/>
      <c r="W4490" s="6"/>
      <c r="X4490" s="6"/>
      <c r="Y4490" s="6"/>
      <c r="Z4490" s="6"/>
      <c r="AA4490" s="6"/>
    </row>
    <row r="4491" ht="14.25">
      <c r="B4491" s="4" t="s">
        <v>3359</v>
      </c>
      <c r="C4491" s="4" t="s">
        <v>31750</v>
      </c>
      <c r="D4491" s="4" t="s">
        <v>31751</v>
      </c>
      <c r="E4491" s="4" t="s">
        <v>24770</v>
      </c>
      <c r="F4491" s="4" t="str">
        <f>IFERROR(__XLUDF.DUMMYFUNCTION("PROPER(REGEXREPLACE(D896,""[^A-Za-z]+ "",""""))"),"Whistcom")</f>
        <v>Whistcom</v>
      </c>
      <c r="G4491" s="4" t="s">
        <v>31752</v>
      </c>
      <c r="H4491" s="4">
        <v>21</v>
      </c>
      <c r="I4491" s="4" t="s">
        <v>5048</v>
      </c>
      <c r="J4491" s="4" t="str">
        <f>IFERROR(__XLUDF.DUMMYFUNCTION("VLOOKUP(H896,IMPORTRANGE(""https://docs.google.com/spreadsheets/d/1opm6ZNvGZ7KditA9TuJwrZ25eFLfTNIkrNnY6mhV5Eg"",""list!A1:C115""),3,TRUE)"),"le secteur de la formation pro et du coaching")</f>
        <v xml:space="preserve">le secteur de la formation pro et du coaching</v>
      </c>
      <c r="K4491" s="5" t="s">
        <v>31753</v>
      </c>
      <c r="L4491" s="5" t="s">
        <v>24773</v>
      </c>
      <c r="M4491" s="4" t="s">
        <v>39</v>
      </c>
      <c r="N4491" s="4" t="s">
        <v>29</v>
      </c>
      <c r="O4491" s="4" t="s">
        <v>24774</v>
      </c>
      <c r="P4491" s="4" t="s">
        <v>29</v>
      </c>
      <c r="Q4491" s="4" t="s">
        <v>24775</v>
      </c>
      <c r="R4491" s="6"/>
      <c r="S4491" s="6"/>
      <c r="T4491" s="6"/>
      <c r="U4491" s="6"/>
      <c r="V4491" s="6"/>
      <c r="W4491" s="6"/>
      <c r="X4491" s="6"/>
      <c r="Y4491" s="6"/>
      <c r="Z4491" s="6"/>
      <c r="AA4491" s="6"/>
    </row>
    <row r="4492" ht="14.25">
      <c r="B4492" s="4" t="s">
        <v>330</v>
      </c>
      <c r="C4492" s="4" t="s">
        <v>31754</v>
      </c>
      <c r="D4492" s="4" t="s">
        <v>3216</v>
      </c>
      <c r="E4492" s="4" t="s">
        <v>31755</v>
      </c>
      <c r="F4492" s="4" t="str">
        <f>IFERROR(__XLUDF.DUMMYFUNCTION("PROPER(REGEXREPLACE(D897,""[^A-Za-z]+ "",""""))"),"Ecole Des Vins Et Spiritueux")</f>
        <v xml:space="preserve">Ecole Des Vins Et Spiritueux</v>
      </c>
      <c r="G4492" s="4" t="s">
        <v>31756</v>
      </c>
      <c r="H4492" s="4">
        <v>13</v>
      </c>
      <c r="I4492" s="4" t="s">
        <v>5048</v>
      </c>
      <c r="J4492" s="4" t="str">
        <f>IFERROR(__XLUDF.DUMMYFUNCTION("VLOOKUP(H897,IMPORTRANGE(""https://docs.google.com/spreadsheets/d/1opm6ZNvGZ7KditA9TuJwrZ25eFLfTNIkrNnY6mhV5Eg"",""list!A1:C115""),3,TRUE)"),"le secteur de la formation pro et du coaching")</f>
        <v xml:space="preserve">le secteur de la formation pro et du coaching</v>
      </c>
      <c r="K4492" s="5" t="s">
        <v>31757</v>
      </c>
      <c r="L4492" s="5" t="s">
        <v>31758</v>
      </c>
      <c r="M4492" s="4" t="s">
        <v>39</v>
      </c>
      <c r="N4492" s="4" t="s">
        <v>29</v>
      </c>
      <c r="O4492" s="4" t="s">
        <v>31759</v>
      </c>
      <c r="P4492" s="4" t="s">
        <v>29</v>
      </c>
      <c r="Q4492" s="4" t="s">
        <v>31760</v>
      </c>
      <c r="R4492" s="6"/>
      <c r="S4492" s="6"/>
      <c r="T4492" s="6"/>
      <c r="U4492" s="6"/>
      <c r="V4492" s="6"/>
      <c r="W4492" s="6"/>
      <c r="X4492" s="6"/>
      <c r="Y4492" s="6"/>
      <c r="Z4492" s="6"/>
      <c r="AA4492" s="6"/>
    </row>
    <row r="4493" ht="14.25">
      <c r="B4493" s="4" t="s">
        <v>1562</v>
      </c>
      <c r="C4493" s="4" t="s">
        <v>31761</v>
      </c>
      <c r="D4493" s="4" t="s">
        <v>112</v>
      </c>
      <c r="E4493" s="4" t="s">
        <v>31762</v>
      </c>
      <c r="F4493" s="4" t="str">
        <f>IFERROR(__XLUDF.DUMMYFUNCTION("PROPER(REGEXREPLACE(D898,""[^A-Za-z]+ "",""""))"),"Isq Certification")</f>
        <v xml:space="preserve">Isq Certification</v>
      </c>
      <c r="G4493" s="4" t="s">
        <v>31763</v>
      </c>
      <c r="H4493" s="4">
        <v>19</v>
      </c>
      <c r="I4493" s="4" t="s">
        <v>5048</v>
      </c>
      <c r="J4493" s="4" t="str">
        <f>IFERROR(__XLUDF.DUMMYFUNCTION("VLOOKUP(H898,IMPORTRANGE(""https://docs.google.com/spreadsheets/d/1opm6ZNvGZ7KditA9TuJwrZ25eFLfTNIkrNnY6mhV5Eg"",""list!A1:C115""),3,TRUE)"),"le secteur de la formation pro et du coaching")</f>
        <v xml:space="preserve">le secteur de la formation pro et du coaching</v>
      </c>
      <c r="K4493" s="5" t="s">
        <v>31764</v>
      </c>
      <c r="L4493" s="5" t="s">
        <v>31765</v>
      </c>
      <c r="M4493" s="4" t="s">
        <v>39</v>
      </c>
      <c r="N4493" s="4" t="s">
        <v>29</v>
      </c>
      <c r="O4493" s="4" t="s">
        <v>7599</v>
      </c>
      <c r="P4493" s="4" t="s">
        <v>29</v>
      </c>
      <c r="Q4493" s="4" t="s">
        <v>31766</v>
      </c>
      <c r="R4493" s="6"/>
      <c r="S4493" s="6"/>
      <c r="T4493" s="6"/>
      <c r="U4493" s="6"/>
      <c r="V4493" s="6"/>
      <c r="W4493" s="6"/>
      <c r="X4493" s="6"/>
      <c r="Y4493" s="6"/>
      <c r="Z4493" s="6"/>
      <c r="AA4493" s="6"/>
    </row>
    <row r="4494" ht="14.25">
      <c r="B4494" s="4" t="s">
        <v>355</v>
      </c>
      <c r="C4494" s="4" t="s">
        <v>31767</v>
      </c>
      <c r="D4494" s="4" t="s">
        <v>112</v>
      </c>
      <c r="E4494" s="4" t="s">
        <v>31768</v>
      </c>
      <c r="F4494" s="4" t="str">
        <f>IFERROR(__XLUDF.DUMMYFUNCTION("PROPER(REGEXREPLACE(D899,""[^A-Za-z]+ "",""""))"),"Commstrat")</f>
        <v>Commstrat</v>
      </c>
      <c r="G4494" s="4" t="s">
        <v>31769</v>
      </c>
      <c r="H4494" s="4">
        <v>16</v>
      </c>
      <c r="I4494" s="4" t="s">
        <v>10639</v>
      </c>
      <c r="J4494" s="4" t="str">
        <f>IFERROR(__XLUDF.DUMMYFUNCTION("VLOOKUP(H899,IMPORTRANGE(""https://docs.google.com/spreadsheets/d/1opm6ZNvGZ7KditA9TuJwrZ25eFLfTNIkrNnY6mhV5Eg"",""list!A1:C115""),3,TRUE)"),"le secteur de la communication")</f>
        <v xml:space="preserve">le secteur de la communication</v>
      </c>
      <c r="K4494" s="5" t="s">
        <v>31770</v>
      </c>
      <c r="L4494" s="5" t="s">
        <v>31771</v>
      </c>
      <c r="M4494" s="4" t="s">
        <v>39</v>
      </c>
      <c r="N4494" s="4" t="s">
        <v>29</v>
      </c>
      <c r="O4494" s="4" t="s">
        <v>31772</v>
      </c>
      <c r="P4494" s="4" t="s">
        <v>29</v>
      </c>
      <c r="Q4494" s="4" t="s">
        <v>31773</v>
      </c>
      <c r="R4494" s="6"/>
      <c r="S4494" s="6"/>
      <c r="T4494" s="6"/>
      <c r="U4494" s="6"/>
      <c r="V4494" s="6"/>
      <c r="W4494" s="6"/>
      <c r="X4494" s="6"/>
      <c r="Y4494" s="6"/>
      <c r="Z4494" s="6"/>
      <c r="AA4494" s="6"/>
    </row>
    <row r="4495" ht="14.25">
      <c r="B4495" s="4" t="s">
        <v>2419</v>
      </c>
      <c r="C4495" s="4" t="s">
        <v>17767</v>
      </c>
      <c r="D4495" s="4" t="s">
        <v>1950</v>
      </c>
      <c r="E4495" s="4" t="s">
        <v>31774</v>
      </c>
      <c r="F4495" s="4" t="str">
        <f>IFERROR(__XLUDF.DUMMYFUNCTION("PROPER(REGEXREPLACE(D900,""[^A-Za-z]+ "",""""))"),"Ekno")</f>
        <v>Ekno</v>
      </c>
      <c r="G4495" s="4" t="s">
        <v>31775</v>
      </c>
      <c r="H4495" s="4">
        <v>43</v>
      </c>
      <c r="I4495" s="4" t="s">
        <v>10639</v>
      </c>
      <c r="J4495" s="4" t="str">
        <f>IFERROR(__XLUDF.DUMMYFUNCTION("VLOOKUP(H900,IMPORTRANGE(""https://docs.google.com/spreadsheets/d/1opm6ZNvGZ7KditA9TuJwrZ25eFLfTNIkrNnY6mhV5Eg"",""list!A1:C115""),3,TRUE)"),"le secteur de la communication")</f>
        <v xml:space="preserve">le secteur de la communication</v>
      </c>
      <c r="K4495" s="5" t="s">
        <v>31776</v>
      </c>
      <c r="L4495" s="5" t="s">
        <v>31777</v>
      </c>
      <c r="M4495" s="4" t="s">
        <v>185</v>
      </c>
      <c r="N4495" s="4" t="s">
        <v>29</v>
      </c>
      <c r="O4495" s="4" t="s">
        <v>31778</v>
      </c>
      <c r="P4495" s="4" t="s">
        <v>29</v>
      </c>
      <c r="Q4495" s="4" t="s">
        <v>31779</v>
      </c>
      <c r="R4495" s="6"/>
      <c r="S4495" s="6"/>
      <c r="T4495" s="6"/>
      <c r="U4495" s="6"/>
      <c r="V4495" s="6"/>
      <c r="W4495" s="6"/>
      <c r="X4495" s="6"/>
      <c r="Y4495" s="6"/>
      <c r="Z4495" s="6"/>
      <c r="AA4495" s="6"/>
    </row>
    <row r="4496" ht="14.25">
      <c r="B4496" s="4" t="s">
        <v>1009</v>
      </c>
      <c r="C4496" s="4" t="s">
        <v>31780</v>
      </c>
      <c r="D4496" s="4" t="s">
        <v>31781</v>
      </c>
      <c r="E4496" s="4" t="s">
        <v>31782</v>
      </c>
      <c r="F4496" s="4" t="str">
        <f>IFERROR(__XLUDF.DUMMYFUNCTION("PROPER(REGEXREPLACE(D901,""[^A-Za-z]+ "",""""))"),"Bonne Nouvelle !")</f>
        <v xml:space="preserve">Bonne Nouvelle !</v>
      </c>
      <c r="G4496" s="4" t="s">
        <v>31783</v>
      </c>
      <c r="H4496" s="4">
        <v>10</v>
      </c>
      <c r="I4496" s="4" t="s">
        <v>10639</v>
      </c>
      <c r="J4496" s="4" t="str">
        <f>IFERROR(__XLUDF.DUMMYFUNCTION("VLOOKUP(H901,IMPORTRANGE(""https://docs.google.com/spreadsheets/d/1opm6ZNvGZ7KditA9TuJwrZ25eFLfTNIkrNnY6mhV5Eg"",""list!A1:C115""),3,TRUE)"),"le secteur de la communication")</f>
        <v xml:space="preserve">le secteur de la communication</v>
      </c>
      <c r="K4496" s="5" t="s">
        <v>31784</v>
      </c>
      <c r="L4496" s="5" t="s">
        <v>31785</v>
      </c>
      <c r="M4496" s="4" t="s">
        <v>1150</v>
      </c>
      <c r="N4496" s="4" t="s">
        <v>29</v>
      </c>
      <c r="O4496" s="4" t="s">
        <v>31786</v>
      </c>
      <c r="P4496" s="4" t="s">
        <v>29</v>
      </c>
      <c r="Q4496" s="4" t="s">
        <v>31787</v>
      </c>
      <c r="R4496" s="6"/>
      <c r="S4496" s="6"/>
      <c r="T4496" s="6"/>
      <c r="U4496" s="6"/>
      <c r="V4496" s="6"/>
      <c r="W4496" s="6"/>
      <c r="X4496" s="6"/>
      <c r="Y4496" s="6"/>
      <c r="Z4496" s="6"/>
      <c r="AA4496" s="6"/>
    </row>
    <row r="4497" ht="14.25">
      <c r="B4497" s="4" t="s">
        <v>222</v>
      </c>
      <c r="C4497" s="4" t="s">
        <v>31788</v>
      </c>
      <c r="D4497" s="4" t="s">
        <v>1950</v>
      </c>
      <c r="E4497" s="4" t="s">
        <v>31789</v>
      </c>
      <c r="F4497" s="4" t="str">
        <f>IFERROR(__XLUDF.DUMMYFUNCTION("PROPER(REGEXREPLACE(D902,""[^A-Za-z]+ "",""""))"),"Comfluence")</f>
        <v>Comfluence</v>
      </c>
      <c r="G4497" s="4" t="s">
        <v>31790</v>
      </c>
      <c r="H4497" s="4">
        <v>42</v>
      </c>
      <c r="I4497" s="4" t="s">
        <v>10639</v>
      </c>
      <c r="J4497" s="4" t="str">
        <f>IFERROR(__XLUDF.DUMMYFUNCTION("VLOOKUP(H902,IMPORTRANGE(""https://docs.google.com/spreadsheets/d/1opm6ZNvGZ7KditA9TuJwrZ25eFLfTNIkrNnY6mhV5Eg"",""list!A1:C115""),3,TRUE)"),"le secteur de la communication")</f>
        <v xml:space="preserve">le secteur de la communication</v>
      </c>
      <c r="K4497" s="5" t="s">
        <v>31791</v>
      </c>
      <c r="L4497" s="5" t="s">
        <v>31792</v>
      </c>
      <c r="M4497" s="4" t="s">
        <v>39</v>
      </c>
      <c r="N4497" s="4" t="s">
        <v>29</v>
      </c>
      <c r="O4497" s="4" t="s">
        <v>31793</v>
      </c>
      <c r="P4497" s="4" t="s">
        <v>29</v>
      </c>
      <c r="Q4497" s="4" t="s">
        <v>31794</v>
      </c>
      <c r="R4497" s="6"/>
      <c r="S4497" s="6"/>
      <c r="T4497" s="6"/>
      <c r="U4497" s="6"/>
      <c r="V4497" s="6"/>
      <c r="W4497" s="6"/>
      <c r="X4497" s="6"/>
      <c r="Y4497" s="6"/>
      <c r="Z4497" s="6"/>
      <c r="AA4497" s="6"/>
    </row>
    <row r="4498" ht="14.25">
      <c r="B4498" s="4" t="s">
        <v>1732</v>
      </c>
      <c r="C4498" s="4" t="s">
        <v>31795</v>
      </c>
      <c r="D4498" s="4" t="s">
        <v>62</v>
      </c>
      <c r="E4498" s="4" t="s">
        <v>31796</v>
      </c>
      <c r="F4498" s="4" t="str">
        <f>IFERROR(__XLUDF.DUMMYFUNCTION("PROPER(REGEXREPLACE(D903,""[^A-Za-z]+ "",""""))"),"Starteo")</f>
        <v>Starteo</v>
      </c>
      <c r="G4498" s="4" t="s">
        <v>31797</v>
      </c>
      <c r="H4498" s="4">
        <v>14</v>
      </c>
      <c r="I4498" s="4" t="s">
        <v>10639</v>
      </c>
      <c r="J4498" s="4" t="str">
        <f>IFERROR(__XLUDF.DUMMYFUNCTION("VLOOKUP(H903,IMPORTRANGE(""https://docs.google.com/spreadsheets/d/1opm6ZNvGZ7KditA9TuJwrZ25eFLfTNIkrNnY6mhV5Eg"",""list!A1:C115""),3,TRUE)"),"le secteur de la communication")</f>
        <v xml:space="preserve">le secteur de la communication</v>
      </c>
      <c r="K4498" s="5" t="s">
        <v>31798</v>
      </c>
      <c r="L4498" s="5" t="s">
        <v>31799</v>
      </c>
      <c r="M4498" s="4" t="s">
        <v>1150</v>
      </c>
      <c r="N4498" s="4" t="s">
        <v>29</v>
      </c>
      <c r="O4498" s="4" t="s">
        <v>31800</v>
      </c>
      <c r="P4498" s="4" t="s">
        <v>29</v>
      </c>
      <c r="Q4498" s="6"/>
      <c r="R4498" s="6"/>
      <c r="S4498" s="6"/>
      <c r="T4498" s="6"/>
      <c r="U4498" s="6"/>
      <c r="V4498" s="6"/>
      <c r="W4498" s="6"/>
      <c r="X4498" s="6"/>
      <c r="Y4498" s="6"/>
      <c r="Z4498" s="6"/>
      <c r="AA4498" s="6"/>
    </row>
    <row r="4499" ht="14.25">
      <c r="B4499" s="4" t="s">
        <v>26568</v>
      </c>
      <c r="C4499" s="4" t="s">
        <v>31801</v>
      </c>
      <c r="D4499" s="4" t="s">
        <v>332</v>
      </c>
      <c r="E4499" s="4" t="s">
        <v>31802</v>
      </c>
      <c r="F4499" s="4" t="str">
        <f>IFERROR(__XLUDF.DUMMYFUNCTION("PROPER(REGEXREPLACE(D904,""[^A-Za-z]+ "",""""))"),"Size Upagence De Growth Marketing")</f>
        <v xml:space="preserve">Size Upagence De Growth Marketing</v>
      </c>
      <c r="G4499" s="4" t="s">
        <v>31803</v>
      </c>
      <c r="H4499" s="4">
        <v>12</v>
      </c>
      <c r="I4499" s="4" t="s">
        <v>10639</v>
      </c>
      <c r="J4499" s="4" t="str">
        <f>IFERROR(__XLUDF.DUMMYFUNCTION("VLOOKUP(H904,IMPORTRANGE(""https://docs.google.com/spreadsheets/d/1opm6ZNvGZ7KditA9TuJwrZ25eFLfTNIkrNnY6mhV5Eg"",""list!A1:C115""),3,TRUE)"),"le secteur de la communication")</f>
        <v xml:space="preserve">le secteur de la communication</v>
      </c>
      <c r="K4499" s="5" t="s">
        <v>31804</v>
      </c>
      <c r="L4499" s="5" t="s">
        <v>31805</v>
      </c>
      <c r="M4499" s="4" t="s">
        <v>1826</v>
      </c>
      <c r="N4499" s="4" t="s">
        <v>29</v>
      </c>
      <c r="O4499" s="4" t="s">
        <v>31806</v>
      </c>
      <c r="P4499" s="4" t="s">
        <v>29</v>
      </c>
      <c r="Q4499" s="6"/>
      <c r="R4499" s="6"/>
      <c r="S4499" s="6"/>
      <c r="T4499" s="6"/>
      <c r="U4499" s="6"/>
      <c r="V4499" s="6"/>
      <c r="W4499" s="6"/>
      <c r="X4499" s="6"/>
      <c r="Y4499" s="6"/>
      <c r="Z4499" s="6"/>
      <c r="AA4499" s="6"/>
    </row>
    <row r="4500" ht="14.25">
      <c r="B4500" s="4" t="s">
        <v>5781</v>
      </c>
      <c r="C4500" s="4" t="s">
        <v>31807</v>
      </c>
      <c r="D4500" s="4" t="s">
        <v>247</v>
      </c>
      <c r="E4500" s="4" t="s">
        <v>31808</v>
      </c>
      <c r="F4500" s="4" t="str">
        <f>IFERROR(__XLUDF.DUMMYFUNCTION("PROPER(REGEXREPLACE(D905,""[^A-Za-z]+ "",""""))"),"Adesias")</f>
        <v>Adesias</v>
      </c>
      <c r="G4500" s="4" t="s">
        <v>31809</v>
      </c>
      <c r="H4500" s="4">
        <v>14</v>
      </c>
      <c r="I4500" s="4" t="s">
        <v>10639</v>
      </c>
      <c r="J4500" s="4" t="str">
        <f>IFERROR(__XLUDF.DUMMYFUNCTION("VLOOKUP(H905,IMPORTRANGE(""https://docs.google.com/spreadsheets/d/1opm6ZNvGZ7KditA9TuJwrZ25eFLfTNIkrNnY6mhV5Eg"",""list!A1:C115""),3,TRUE)"),"le secteur de la communication")</f>
        <v xml:space="preserve">le secteur de la communication</v>
      </c>
      <c r="K4500" s="5" t="s">
        <v>31810</v>
      </c>
      <c r="L4500" s="5" t="s">
        <v>31811</v>
      </c>
      <c r="M4500" s="4" t="s">
        <v>39</v>
      </c>
      <c r="N4500" s="4" t="s">
        <v>29</v>
      </c>
      <c r="O4500" s="4" t="s">
        <v>31812</v>
      </c>
      <c r="P4500" s="4" t="s">
        <v>29</v>
      </c>
      <c r="Q4500" s="4" t="s">
        <v>31813</v>
      </c>
      <c r="R4500" s="6"/>
      <c r="S4500" s="6"/>
      <c r="T4500" s="6"/>
      <c r="U4500" s="6"/>
      <c r="V4500" s="6"/>
      <c r="W4500" s="6"/>
      <c r="X4500" s="6"/>
      <c r="Y4500" s="6"/>
      <c r="Z4500" s="6"/>
      <c r="AA4500" s="6"/>
    </row>
    <row r="4501" ht="14.25">
      <c r="B4501" s="4" t="s">
        <v>8373</v>
      </c>
      <c r="C4501" s="4" t="s">
        <v>30803</v>
      </c>
      <c r="D4501" s="4" t="s">
        <v>172</v>
      </c>
      <c r="E4501" s="4" t="s">
        <v>31814</v>
      </c>
      <c r="F4501" s="4" t="str">
        <f>IFERROR(__XLUDF.DUMMYFUNCTION("PROPER(REGEXREPLACE(D906,""[^A-Za-z]+ "",""""))"),"Agence Grenadine Rp")</f>
        <v xml:space="preserve">Agence Grenadine Rp</v>
      </c>
      <c r="G4501" s="4" t="s">
        <v>31815</v>
      </c>
      <c r="H4501" s="4">
        <v>44</v>
      </c>
      <c r="I4501" s="4" t="s">
        <v>10639</v>
      </c>
      <c r="J4501" s="4" t="str">
        <f>IFERROR(__XLUDF.DUMMYFUNCTION("VLOOKUP(H906,IMPORTRANGE(""https://docs.google.com/spreadsheets/d/1opm6ZNvGZ7KditA9TuJwrZ25eFLfTNIkrNnY6mhV5Eg"",""list!A1:C115""),3,TRUE)"),"le secteur de la communication")</f>
        <v xml:space="preserve">le secteur de la communication</v>
      </c>
      <c r="K4501" s="5" t="s">
        <v>31816</v>
      </c>
      <c r="L4501" s="5" t="s">
        <v>31817</v>
      </c>
      <c r="M4501" s="6"/>
      <c r="N4501" s="4" t="s">
        <v>29</v>
      </c>
      <c r="O4501" s="4" t="s">
        <v>31818</v>
      </c>
      <c r="P4501" s="4" t="s">
        <v>29</v>
      </c>
      <c r="Q4501" s="6"/>
      <c r="R4501" s="6"/>
      <c r="S4501" s="6"/>
      <c r="T4501" s="6"/>
      <c r="U4501" s="6"/>
      <c r="V4501" s="6"/>
      <c r="W4501" s="6"/>
      <c r="X4501" s="6"/>
      <c r="Y4501" s="6"/>
      <c r="Z4501" s="6"/>
      <c r="AA4501" s="6"/>
    </row>
    <row r="4502" ht="14.25">
      <c r="B4502" s="4" t="s">
        <v>31819</v>
      </c>
      <c r="C4502" s="4" t="s">
        <v>1909</v>
      </c>
      <c r="D4502" s="4" t="s">
        <v>315</v>
      </c>
      <c r="E4502" s="4" t="s">
        <v>31820</v>
      </c>
      <c r="F4502" s="4" t="str">
        <f>IFERROR(__XLUDF.DUMMYFUNCTION("PROPER(REGEXREPLACE(D907,""[^A-Za-z]+ "",""""))"),"Atlas Hiseas")</f>
        <v xml:space="preserve">Atlas Hiseas</v>
      </c>
      <c r="G4502" s="4" t="s">
        <v>31821</v>
      </c>
      <c r="H4502" s="4">
        <v>11</v>
      </c>
      <c r="I4502" s="4" t="s">
        <v>10639</v>
      </c>
      <c r="J4502" s="4" t="str">
        <f>IFERROR(__XLUDF.DUMMYFUNCTION("VLOOKUP(H907,IMPORTRANGE(""https://docs.google.com/spreadsheets/d/1opm6ZNvGZ7KditA9TuJwrZ25eFLfTNIkrNnY6mhV5Eg"",""list!A1:C115""),3,TRUE)"),"le secteur de la communication")</f>
        <v xml:space="preserve">le secteur de la communication</v>
      </c>
      <c r="K4502" s="5" t="s">
        <v>31822</v>
      </c>
      <c r="L4502" s="5" t="s">
        <v>31823</v>
      </c>
      <c r="M4502" s="4" t="s">
        <v>39</v>
      </c>
      <c r="N4502" s="4" t="s">
        <v>29</v>
      </c>
      <c r="O4502" s="4" t="s">
        <v>31824</v>
      </c>
      <c r="P4502" s="4" t="s">
        <v>2953</v>
      </c>
      <c r="Q4502" s="4" t="s">
        <v>31825</v>
      </c>
      <c r="R4502" s="6"/>
      <c r="S4502" s="6"/>
      <c r="T4502" s="6"/>
      <c r="U4502" s="6"/>
      <c r="V4502" s="6"/>
      <c r="W4502" s="6"/>
      <c r="X4502" s="6"/>
      <c r="Y4502" s="6"/>
      <c r="Z4502" s="6"/>
      <c r="AA4502" s="6"/>
    </row>
    <row r="4503" ht="14.25">
      <c r="B4503" s="4" t="s">
        <v>355</v>
      </c>
      <c r="C4503" s="4" t="s">
        <v>31826</v>
      </c>
      <c r="D4503" s="4" t="s">
        <v>62</v>
      </c>
      <c r="E4503" s="4" t="s">
        <v>31827</v>
      </c>
      <c r="F4503" s="4" t="str">
        <f>IFERROR(__XLUDF.DUMMYFUNCTION("PROPER(REGEXREPLACE(D908,""[^A-Za-z]+ "",""""))"),"Mgh")</f>
        <v>Mgh</v>
      </c>
      <c r="G4503" s="4" t="s">
        <v>31828</v>
      </c>
      <c r="H4503" s="4">
        <v>27</v>
      </c>
      <c r="I4503" s="4" t="s">
        <v>10639</v>
      </c>
      <c r="J4503" s="4" t="str">
        <f>IFERROR(__XLUDF.DUMMYFUNCTION("VLOOKUP(H908,IMPORTRANGE(""https://docs.google.com/spreadsheets/d/1opm6ZNvGZ7KditA9TuJwrZ25eFLfTNIkrNnY6mhV5Eg"",""list!A1:C115""),3,TRUE)"),"le secteur de la communication")</f>
        <v xml:space="preserve">le secteur de la communication</v>
      </c>
      <c r="K4503" s="5" t="s">
        <v>31829</v>
      </c>
      <c r="L4503" s="5" t="s">
        <v>31830</v>
      </c>
      <c r="M4503" s="4" t="s">
        <v>39</v>
      </c>
      <c r="N4503" s="4" t="s">
        <v>29</v>
      </c>
      <c r="O4503" s="4" t="s">
        <v>31831</v>
      </c>
      <c r="P4503" s="4" t="s">
        <v>29</v>
      </c>
      <c r="Q4503" s="4" t="s">
        <v>31832</v>
      </c>
      <c r="R4503" s="6"/>
      <c r="S4503" s="6"/>
      <c r="T4503" s="6"/>
      <c r="U4503" s="6"/>
      <c r="V4503" s="6"/>
      <c r="W4503" s="6"/>
      <c r="X4503" s="6"/>
      <c r="Y4503" s="6"/>
      <c r="Z4503" s="6"/>
      <c r="AA4503" s="6"/>
    </row>
    <row r="4504" ht="14.25">
      <c r="B4504" s="4" t="s">
        <v>31833</v>
      </c>
      <c r="C4504" s="4" t="s">
        <v>31834</v>
      </c>
      <c r="D4504" s="4" t="s">
        <v>31835</v>
      </c>
      <c r="E4504" s="4" t="s">
        <v>31836</v>
      </c>
      <c r="F4504" s="4" t="str">
        <f>IFERROR(__XLUDF.DUMMYFUNCTION("PROPER(REGEXREPLACE(D909,""[^A-Za-z]+ "",""""))"),"Santa Bla Bla")</f>
        <v xml:space="preserve">Santa Bla Bla</v>
      </c>
      <c r="G4504" s="4" t="s">
        <v>31837</v>
      </c>
      <c r="H4504" s="4">
        <v>13</v>
      </c>
      <c r="I4504" s="4" t="s">
        <v>10639</v>
      </c>
      <c r="J4504" s="4" t="str">
        <f>IFERROR(__XLUDF.DUMMYFUNCTION("VLOOKUP(H909,IMPORTRANGE(""https://docs.google.com/spreadsheets/d/1opm6ZNvGZ7KditA9TuJwrZ25eFLfTNIkrNnY6mhV5Eg"",""list!A1:C115""),3,TRUE)"),"le secteur de la communication")</f>
        <v xml:space="preserve">le secteur de la communication</v>
      </c>
      <c r="K4504" s="5" t="s">
        <v>31838</v>
      </c>
      <c r="L4504" s="5" t="s">
        <v>31839</v>
      </c>
      <c r="M4504" s="4" t="s">
        <v>39</v>
      </c>
      <c r="N4504" s="4" t="s">
        <v>29</v>
      </c>
      <c r="O4504" s="4" t="s">
        <v>31840</v>
      </c>
      <c r="P4504" s="4" t="s">
        <v>29</v>
      </c>
      <c r="Q4504" s="4" t="s">
        <v>31841</v>
      </c>
      <c r="R4504" s="6"/>
      <c r="S4504" s="6"/>
      <c r="T4504" s="6"/>
      <c r="U4504" s="6"/>
      <c r="V4504" s="6"/>
      <c r="W4504" s="6"/>
      <c r="X4504" s="6"/>
      <c r="Y4504" s="6"/>
      <c r="Z4504" s="6"/>
      <c r="AA4504" s="6"/>
    </row>
    <row r="4505" ht="14.25">
      <c r="B4505" s="4" t="s">
        <v>1704</v>
      </c>
      <c r="C4505" s="4" t="s">
        <v>31842</v>
      </c>
      <c r="D4505" s="4" t="s">
        <v>468</v>
      </c>
      <c r="E4505" s="4" t="s">
        <v>31843</v>
      </c>
      <c r="F4505" s="4" t="str">
        <f>IFERROR(__XLUDF.DUMMYFUNCTION("PROPER(REGEXREPLACE(D910,""[^A-Za-z]+ "",""""))"),"Bona Fidé")</f>
        <v xml:space="preserve">Bona Fidé</v>
      </c>
      <c r="G4505" s="4" t="s">
        <v>31844</v>
      </c>
      <c r="H4505" s="4">
        <v>36</v>
      </c>
      <c r="I4505" s="4" t="s">
        <v>10639</v>
      </c>
      <c r="J4505" s="4" t="str">
        <f>IFERROR(__XLUDF.DUMMYFUNCTION("VLOOKUP(H910,IMPORTRANGE(""https://docs.google.com/spreadsheets/d/1opm6ZNvGZ7KditA9TuJwrZ25eFLfTNIkrNnY6mhV5Eg"",""list!A1:C115""),3,TRUE)"),"le secteur de la communication")</f>
        <v xml:space="preserve">le secteur de la communication</v>
      </c>
      <c r="K4505" s="5" t="s">
        <v>31845</v>
      </c>
      <c r="L4505" s="5" t="s">
        <v>31846</v>
      </c>
      <c r="M4505" s="4" t="s">
        <v>39</v>
      </c>
      <c r="N4505" s="4" t="s">
        <v>29</v>
      </c>
      <c r="O4505" s="4" t="s">
        <v>67</v>
      </c>
      <c r="P4505" s="4" t="s">
        <v>29</v>
      </c>
      <c r="Q4505" s="6"/>
      <c r="R4505" s="6"/>
      <c r="S4505" s="6"/>
      <c r="T4505" s="6"/>
      <c r="U4505" s="6"/>
      <c r="V4505" s="6"/>
      <c r="W4505" s="6"/>
      <c r="X4505" s="6"/>
      <c r="Y4505" s="6"/>
      <c r="Z4505" s="6"/>
      <c r="AA4505" s="6"/>
    </row>
    <row r="4506" ht="14.25">
      <c r="B4506" s="4" t="s">
        <v>3870</v>
      </c>
      <c r="C4506" s="4" t="s">
        <v>31847</v>
      </c>
      <c r="D4506" s="4" t="s">
        <v>17216</v>
      </c>
      <c r="E4506" s="4" t="s">
        <v>31848</v>
      </c>
      <c r="F4506" s="4" t="str">
        <f>IFERROR(__XLUDF.DUMMYFUNCTION("PROPER(REGEXREPLACE(D911,""[^A-Za-z]+ "",""""))"),"Agence Observatoire")</f>
        <v xml:space="preserve">Agence Observatoire</v>
      </c>
      <c r="G4506" s="4" t="s">
        <v>31849</v>
      </c>
      <c r="H4506" s="4">
        <v>12</v>
      </c>
      <c r="I4506" s="4" t="s">
        <v>10639</v>
      </c>
      <c r="J4506" s="4" t="str">
        <f>IFERROR(__XLUDF.DUMMYFUNCTION("VLOOKUP(H911,IMPORTRANGE(""https://docs.google.com/spreadsheets/d/1opm6ZNvGZ7KditA9TuJwrZ25eFLfTNIkrNnY6mhV5Eg"",""list!A1:C115""),3,TRUE)"),"le secteur de la communication")</f>
        <v xml:space="preserve">le secteur de la communication</v>
      </c>
      <c r="K4506" s="5" t="s">
        <v>31850</v>
      </c>
      <c r="L4506" s="5" t="s">
        <v>31851</v>
      </c>
      <c r="M4506" s="4" t="s">
        <v>39</v>
      </c>
      <c r="N4506" s="4" t="s">
        <v>29</v>
      </c>
      <c r="O4506" s="4" t="s">
        <v>31852</v>
      </c>
      <c r="P4506" s="4" t="s">
        <v>29</v>
      </c>
      <c r="Q4506" s="6"/>
      <c r="R4506" s="6"/>
      <c r="S4506" s="6"/>
      <c r="T4506" s="6"/>
      <c r="U4506" s="6"/>
      <c r="V4506" s="6"/>
      <c r="W4506" s="6"/>
      <c r="X4506" s="6"/>
      <c r="Y4506" s="6"/>
      <c r="Z4506" s="6"/>
      <c r="AA4506" s="6"/>
    </row>
    <row r="4507" ht="14.25">
      <c r="B4507" s="4" t="s">
        <v>3516</v>
      </c>
      <c r="C4507" s="4" t="s">
        <v>31853</v>
      </c>
      <c r="D4507" s="4" t="s">
        <v>164</v>
      </c>
      <c r="E4507" s="4" t="s">
        <v>31854</v>
      </c>
      <c r="F4507" s="4" t="str">
        <f>IFERROR(__XLUDF.DUMMYFUNCTION("PROPER(REGEXREPLACE(D912,""[^A-Za-z]+ "",""""))"),"Progressif Media")</f>
        <v xml:space="preserve">Progressif Media</v>
      </c>
      <c r="G4507" s="4" t="s">
        <v>31855</v>
      </c>
      <c r="H4507" s="4">
        <v>12</v>
      </c>
      <c r="I4507" s="4" t="s">
        <v>10639</v>
      </c>
      <c r="J4507" s="4" t="str">
        <f>IFERROR(__XLUDF.DUMMYFUNCTION("VLOOKUP(H912,IMPORTRANGE(""https://docs.google.com/spreadsheets/d/1opm6ZNvGZ7KditA9TuJwrZ25eFLfTNIkrNnY6mhV5Eg"",""list!A1:C115""),3,TRUE)"),"le secteur de la communication")</f>
        <v xml:space="preserve">le secteur de la communication</v>
      </c>
      <c r="K4507" s="5" t="s">
        <v>31856</v>
      </c>
      <c r="L4507" s="5" t="s">
        <v>31857</v>
      </c>
      <c r="M4507" s="4" t="s">
        <v>39</v>
      </c>
      <c r="N4507" s="4" t="s">
        <v>29</v>
      </c>
      <c r="O4507" s="4" t="s">
        <v>67</v>
      </c>
      <c r="P4507" s="4" t="s">
        <v>29</v>
      </c>
      <c r="Q4507" s="4" t="s">
        <v>31858</v>
      </c>
      <c r="R4507" s="6"/>
      <c r="S4507" s="6"/>
      <c r="T4507" s="6"/>
      <c r="U4507" s="6"/>
      <c r="V4507" s="6"/>
      <c r="W4507" s="6"/>
      <c r="X4507" s="6"/>
      <c r="Y4507" s="6"/>
      <c r="Z4507" s="6"/>
      <c r="AA4507" s="6"/>
    </row>
    <row r="4508" ht="14.25">
      <c r="B4508" s="4" t="s">
        <v>76</v>
      </c>
      <c r="C4508" s="4" t="s">
        <v>31859</v>
      </c>
      <c r="D4508" s="4" t="s">
        <v>10189</v>
      </c>
      <c r="E4508" s="4" t="s">
        <v>31860</v>
      </c>
      <c r="F4508" s="4" t="str">
        <f>IFERROR(__XLUDF.DUMMYFUNCTION("PROPER(REGEXREPLACE(D913,""[^A-Za-z]+ "",""""))"),"Skillscommunication")</f>
        <v>Skillscommunication</v>
      </c>
      <c r="G4508" s="4" t="s">
        <v>31861</v>
      </c>
      <c r="H4508" s="4">
        <v>16</v>
      </c>
      <c r="I4508" s="4" t="s">
        <v>10639</v>
      </c>
      <c r="J4508" s="4" t="str">
        <f>IFERROR(__XLUDF.DUMMYFUNCTION("VLOOKUP(H913,IMPORTRANGE(""https://docs.google.com/spreadsheets/d/1opm6ZNvGZ7KditA9TuJwrZ25eFLfTNIkrNnY6mhV5Eg"",""list!A1:C115""),3,TRUE)"),"le secteur de la communication")</f>
        <v xml:space="preserve">le secteur de la communication</v>
      </c>
      <c r="K4508" s="5" t="s">
        <v>31862</v>
      </c>
      <c r="L4508" s="5" t="s">
        <v>31863</v>
      </c>
      <c r="M4508" s="4" t="s">
        <v>39</v>
      </c>
      <c r="N4508" s="4" t="s">
        <v>29</v>
      </c>
      <c r="O4508" s="4" t="s">
        <v>24626</v>
      </c>
      <c r="P4508" s="4" t="s">
        <v>29</v>
      </c>
      <c r="Q4508" s="4" t="s">
        <v>31864</v>
      </c>
      <c r="R4508" s="6"/>
      <c r="S4508" s="6"/>
      <c r="T4508" s="6"/>
      <c r="U4508" s="6"/>
      <c r="V4508" s="6"/>
      <c r="W4508" s="6"/>
      <c r="X4508" s="6"/>
      <c r="Y4508" s="6"/>
      <c r="Z4508" s="6"/>
      <c r="AA4508" s="6"/>
    </row>
    <row r="4509" ht="14.25">
      <c r="B4509" s="4" t="s">
        <v>702</v>
      </c>
      <c r="C4509" s="4" t="s">
        <v>31865</v>
      </c>
      <c r="D4509" s="4" t="s">
        <v>31866</v>
      </c>
      <c r="E4509" s="4" t="s">
        <v>31867</v>
      </c>
      <c r="F4509" s="4" t="str">
        <f>IFERROR(__XLUDF.DUMMYFUNCTION("PROPER(REGEXREPLACE(D914,""[^A-Za-z]+ "",""""))"),"Esprit Des Sens")</f>
        <v xml:space="preserve">Esprit Des Sens</v>
      </c>
      <c r="G4509" s="4" t="s">
        <v>31868</v>
      </c>
      <c r="H4509" s="4">
        <v>18</v>
      </c>
      <c r="I4509" s="4" t="s">
        <v>10639</v>
      </c>
      <c r="J4509" s="4" t="str">
        <f>IFERROR(__XLUDF.DUMMYFUNCTION("VLOOKUP(H914,IMPORTRANGE(""https://docs.google.com/spreadsheets/d/1opm6ZNvGZ7KditA9TuJwrZ25eFLfTNIkrNnY6mhV5Eg"",""list!A1:C115""),3,TRUE)"),"le secteur de la communication")</f>
        <v xml:space="preserve">le secteur de la communication</v>
      </c>
      <c r="K4509" s="5" t="s">
        <v>31869</v>
      </c>
      <c r="L4509" s="5" t="s">
        <v>31870</v>
      </c>
      <c r="M4509" s="4" t="s">
        <v>185</v>
      </c>
      <c r="N4509" s="4" t="s">
        <v>29</v>
      </c>
      <c r="O4509" s="4" t="s">
        <v>1283</v>
      </c>
      <c r="P4509" s="4" t="s">
        <v>29</v>
      </c>
      <c r="Q4509" s="4" t="s">
        <v>31871</v>
      </c>
      <c r="R4509" s="6"/>
      <c r="S4509" s="6"/>
      <c r="T4509" s="6"/>
      <c r="U4509" s="6"/>
      <c r="V4509" s="6"/>
      <c r="W4509" s="6"/>
      <c r="X4509" s="6"/>
      <c r="Y4509" s="6"/>
      <c r="Z4509" s="6"/>
      <c r="AA4509" s="6"/>
    </row>
    <row r="4510" ht="14.25">
      <c r="B4510" s="4" t="s">
        <v>1215</v>
      </c>
      <c r="C4510" s="4" t="s">
        <v>31872</v>
      </c>
      <c r="D4510" s="4" t="s">
        <v>31873</v>
      </c>
      <c r="E4510" s="4" t="s">
        <v>31874</v>
      </c>
      <c r="F4510" s="4" t="str">
        <f>IFERROR(__XLUDF.DUMMYFUNCTION("PROPER(REGEXREPLACE(D915,""[^A-Za-z]+ "",""""))"),"Verticalparis")</f>
        <v>Verticalparis</v>
      </c>
      <c r="G4510" s="4" t="s">
        <v>31875</v>
      </c>
      <c r="H4510" s="4">
        <v>13</v>
      </c>
      <c r="I4510" s="4" t="s">
        <v>10639</v>
      </c>
      <c r="J4510" s="4" t="str">
        <f>IFERROR(__XLUDF.DUMMYFUNCTION("VLOOKUP(H915,IMPORTRANGE(""https://docs.google.com/spreadsheets/d/1opm6ZNvGZ7KditA9TuJwrZ25eFLfTNIkrNnY6mhV5Eg"",""list!A1:C115""),3,TRUE)"),"le secteur de la communication")</f>
        <v xml:space="preserve">le secteur de la communication</v>
      </c>
      <c r="K4510" s="5" t="s">
        <v>31876</v>
      </c>
      <c r="L4510" s="5" t="s">
        <v>31877</v>
      </c>
      <c r="M4510" s="4" t="s">
        <v>39</v>
      </c>
      <c r="N4510" s="4" t="s">
        <v>29</v>
      </c>
      <c r="O4510" s="4" t="s">
        <v>31878</v>
      </c>
      <c r="P4510" s="4" t="s">
        <v>29</v>
      </c>
      <c r="Q4510" s="6"/>
      <c r="R4510" s="6"/>
      <c r="S4510" s="6"/>
      <c r="T4510" s="6"/>
      <c r="U4510" s="6"/>
      <c r="V4510" s="6"/>
      <c r="W4510" s="6"/>
      <c r="X4510" s="6"/>
      <c r="Y4510" s="6"/>
      <c r="Z4510" s="6"/>
      <c r="AA4510" s="6"/>
    </row>
    <row r="4511" ht="14.25">
      <c r="B4511" s="4" t="s">
        <v>31879</v>
      </c>
      <c r="C4511" s="4" t="s">
        <v>2165</v>
      </c>
      <c r="D4511" s="4" t="s">
        <v>833</v>
      </c>
      <c r="E4511" s="4" t="s">
        <v>31880</v>
      </c>
      <c r="F4511" s="4" t="str">
        <f>IFERROR(__XLUDF.DUMMYFUNCTION("PROPER(REGEXREPLACE(D916,""[^A-Za-z]+ "",""""))"),"5E Rue")</f>
        <v xml:space="preserve">5E Rue</v>
      </c>
      <c r="G4511" s="4" t="s">
        <v>31881</v>
      </c>
      <c r="H4511" s="4">
        <v>24</v>
      </c>
      <c r="I4511" s="4" t="s">
        <v>10639</v>
      </c>
      <c r="J4511" s="4" t="str">
        <f>IFERROR(__XLUDF.DUMMYFUNCTION("VLOOKUP(H916,IMPORTRANGE(""https://docs.google.com/spreadsheets/d/1opm6ZNvGZ7KditA9TuJwrZ25eFLfTNIkrNnY6mhV5Eg"",""list!A1:C115""),3,TRUE)"),"le secteur de la communication")</f>
        <v xml:space="preserve">le secteur de la communication</v>
      </c>
      <c r="K4511" s="5" t="s">
        <v>31882</v>
      </c>
      <c r="L4511" s="5" t="s">
        <v>31883</v>
      </c>
      <c r="M4511" s="4" t="s">
        <v>39</v>
      </c>
      <c r="N4511" s="4" t="s">
        <v>29</v>
      </c>
      <c r="O4511" s="4" t="s">
        <v>20820</v>
      </c>
      <c r="P4511" s="4" t="s">
        <v>29</v>
      </c>
      <c r="Q4511" s="4" t="s">
        <v>31884</v>
      </c>
      <c r="R4511" s="6"/>
      <c r="S4511" s="6"/>
      <c r="T4511" s="6"/>
      <c r="U4511" s="6"/>
      <c r="V4511" s="6"/>
      <c r="W4511" s="6"/>
      <c r="X4511" s="6"/>
      <c r="Y4511" s="6"/>
      <c r="Z4511" s="6"/>
      <c r="AA4511" s="6"/>
    </row>
    <row r="4512" ht="14.25">
      <c r="B4512" s="4" t="s">
        <v>31885</v>
      </c>
      <c r="C4512" s="4" t="s">
        <v>31886</v>
      </c>
      <c r="D4512" s="4" t="s">
        <v>4586</v>
      </c>
      <c r="E4512" s="4" t="s">
        <v>18207</v>
      </c>
      <c r="F4512" s="4" t="str">
        <f>IFERROR(__XLUDF.DUMMYFUNCTION("PROPER(REGEXREPLACE(D917,""[^A-Za-z]+ "",""""))"),"Séance Publique")</f>
        <v xml:space="preserve">Séance Publique</v>
      </c>
      <c r="G4512" s="4" t="s">
        <v>31887</v>
      </c>
      <c r="H4512" s="4">
        <v>22</v>
      </c>
      <c r="I4512" s="4" t="s">
        <v>10639</v>
      </c>
      <c r="J4512" s="4" t="str">
        <f>IFERROR(__XLUDF.DUMMYFUNCTION("VLOOKUP(H917,IMPORTRANGE(""https://docs.google.com/spreadsheets/d/1opm6ZNvGZ7KditA9TuJwrZ25eFLfTNIkrNnY6mhV5Eg"",""list!A1:C115""),3,TRUE)"),"le secteur de la communication")</f>
        <v xml:space="preserve">le secteur de la communication</v>
      </c>
      <c r="K4512" s="5" t="s">
        <v>31888</v>
      </c>
      <c r="L4512" s="5" t="s">
        <v>18210</v>
      </c>
      <c r="M4512" s="6"/>
      <c r="N4512" s="4" t="s">
        <v>29</v>
      </c>
      <c r="O4512" s="4" t="s">
        <v>18211</v>
      </c>
      <c r="P4512" s="4" t="s">
        <v>29</v>
      </c>
      <c r="Q4512" s="4" t="s">
        <v>18212</v>
      </c>
      <c r="R4512" s="6"/>
      <c r="S4512" s="6"/>
      <c r="T4512" s="6"/>
      <c r="U4512" s="6"/>
      <c r="V4512" s="6"/>
      <c r="W4512" s="6"/>
      <c r="X4512" s="6"/>
      <c r="Y4512" s="6"/>
      <c r="Z4512" s="6"/>
      <c r="AA4512" s="6"/>
    </row>
    <row r="4513" ht="14.25">
      <c r="B4513" s="4" t="s">
        <v>596</v>
      </c>
      <c r="C4513" s="4" t="s">
        <v>31889</v>
      </c>
      <c r="D4513" s="4" t="s">
        <v>31890</v>
      </c>
      <c r="E4513" s="4" t="s">
        <v>31891</v>
      </c>
      <c r="F4513" s="4" t="str">
        <f>IFERROR(__XLUDF.DUMMYFUNCTION("PROPER(REGEXREPLACE(D918,""[^A-Za-z]+ "",""""))"),"The Arcane")</f>
        <v xml:space="preserve">The Arcane</v>
      </c>
      <c r="G4513" s="4" t="s">
        <v>31892</v>
      </c>
      <c r="H4513" s="4">
        <v>34</v>
      </c>
      <c r="I4513" s="4" t="s">
        <v>10639</v>
      </c>
      <c r="J4513" s="4" t="str">
        <f>IFERROR(__XLUDF.DUMMYFUNCTION("VLOOKUP(H918,IMPORTRANGE(""https://docs.google.com/spreadsheets/d/1opm6ZNvGZ7KditA9TuJwrZ25eFLfTNIkrNnY6mhV5Eg"",""list!A1:C115""),3,TRUE)"),"le secteur de la communication")</f>
        <v xml:space="preserve">le secteur de la communication</v>
      </c>
      <c r="K4513" s="5" t="s">
        <v>31893</v>
      </c>
      <c r="L4513" s="5" t="s">
        <v>31894</v>
      </c>
      <c r="M4513" s="4" t="s">
        <v>39</v>
      </c>
      <c r="N4513" s="4" t="s">
        <v>29</v>
      </c>
      <c r="O4513" s="4" t="s">
        <v>67</v>
      </c>
      <c r="P4513" s="4" t="s">
        <v>29</v>
      </c>
      <c r="Q4513" s="4" t="s">
        <v>31895</v>
      </c>
      <c r="R4513" s="6"/>
      <c r="S4513" s="6"/>
      <c r="T4513" s="6"/>
      <c r="U4513" s="6"/>
      <c r="V4513" s="6"/>
      <c r="W4513" s="6"/>
      <c r="X4513" s="6"/>
      <c r="Y4513" s="6"/>
      <c r="Z4513" s="6"/>
      <c r="AA4513" s="6"/>
    </row>
    <row r="4514" ht="14.25">
      <c r="B4514" s="4" t="s">
        <v>4169</v>
      </c>
      <c r="C4514" s="4" t="s">
        <v>31896</v>
      </c>
      <c r="D4514" s="4" t="s">
        <v>31897</v>
      </c>
      <c r="E4514" s="4" t="s">
        <v>31774</v>
      </c>
      <c r="F4514" s="4" t="str">
        <f>IFERROR(__XLUDF.DUMMYFUNCTION("PROPER(REGEXREPLACE(D919,""[^A-Za-z]+ "",""""))"),"Ekno")</f>
        <v>Ekno</v>
      </c>
      <c r="G4514" s="4" t="s">
        <v>31898</v>
      </c>
      <c r="H4514" s="4">
        <v>43</v>
      </c>
      <c r="I4514" s="4" t="s">
        <v>10639</v>
      </c>
      <c r="J4514" s="4" t="str">
        <f>IFERROR(__XLUDF.DUMMYFUNCTION("VLOOKUP(H919,IMPORTRANGE(""https://docs.google.com/spreadsheets/d/1opm6ZNvGZ7KditA9TuJwrZ25eFLfTNIkrNnY6mhV5Eg"",""list!A1:C115""),3,TRUE)"),"le secteur de la communication")</f>
        <v xml:space="preserve">le secteur de la communication</v>
      </c>
      <c r="K4514" s="5" t="s">
        <v>31899</v>
      </c>
      <c r="L4514" s="5" t="s">
        <v>31777</v>
      </c>
      <c r="M4514" s="4" t="s">
        <v>185</v>
      </c>
      <c r="N4514" s="4" t="s">
        <v>29</v>
      </c>
      <c r="O4514" s="4" t="s">
        <v>31778</v>
      </c>
      <c r="P4514" s="4" t="s">
        <v>29</v>
      </c>
      <c r="Q4514" s="4" t="s">
        <v>31779</v>
      </c>
      <c r="R4514" s="6"/>
      <c r="S4514" s="6"/>
      <c r="T4514" s="6"/>
      <c r="U4514" s="6"/>
      <c r="V4514" s="6"/>
      <c r="W4514" s="6"/>
      <c r="X4514" s="6"/>
      <c r="Y4514" s="6"/>
      <c r="Z4514" s="6"/>
      <c r="AA4514" s="6"/>
    </row>
    <row r="4515" ht="14.25">
      <c r="B4515" s="4" t="s">
        <v>1499</v>
      </c>
      <c r="C4515" s="4" t="s">
        <v>31900</v>
      </c>
      <c r="D4515" s="4" t="s">
        <v>31901</v>
      </c>
      <c r="E4515" s="4" t="s">
        <v>31902</v>
      </c>
      <c r="F4515" s="4" t="str">
        <f>IFERROR(__XLUDF.DUMMYFUNCTION("PROPER(REGEXREPLACE(D920,""[^A-Za-z]+ "",""""))"),"Agence Samba")</f>
        <v xml:space="preserve">Agence Samba</v>
      </c>
      <c r="G4515" s="4" t="s">
        <v>31903</v>
      </c>
      <c r="H4515" s="4">
        <v>14</v>
      </c>
      <c r="I4515" s="4" t="s">
        <v>10639</v>
      </c>
      <c r="J4515" s="4" t="str">
        <f>IFERROR(__XLUDF.DUMMYFUNCTION("VLOOKUP(H920,IMPORTRANGE(""https://docs.google.com/spreadsheets/d/1opm6ZNvGZ7KditA9TuJwrZ25eFLfTNIkrNnY6mhV5Eg"",""list!A1:C115""),3,TRUE)"),"le secteur de la communication")</f>
        <v xml:space="preserve">le secteur de la communication</v>
      </c>
      <c r="K4515" s="5" t="s">
        <v>31904</v>
      </c>
      <c r="L4515" s="5" t="s">
        <v>31905</v>
      </c>
      <c r="M4515" s="4" t="s">
        <v>83</v>
      </c>
      <c r="N4515" s="4" t="s">
        <v>29</v>
      </c>
      <c r="O4515" s="4" t="s">
        <v>84</v>
      </c>
      <c r="P4515" s="4" t="s">
        <v>29</v>
      </c>
      <c r="Q4515" s="4" t="s">
        <v>31906</v>
      </c>
      <c r="R4515" s="6"/>
      <c r="S4515" s="6"/>
      <c r="T4515" s="6"/>
      <c r="U4515" s="6"/>
      <c r="V4515" s="6"/>
      <c r="W4515" s="6"/>
      <c r="X4515" s="6"/>
      <c r="Y4515" s="6"/>
      <c r="Z4515" s="6"/>
      <c r="AA4515" s="6"/>
    </row>
    <row r="4516" ht="14.25">
      <c r="B4516" s="4" t="s">
        <v>2372</v>
      </c>
      <c r="C4516" s="4" t="s">
        <v>31907</v>
      </c>
      <c r="D4516" s="4" t="s">
        <v>4586</v>
      </c>
      <c r="E4516" s="4" t="s">
        <v>31908</v>
      </c>
      <c r="F4516" s="4" t="str">
        <f>IFERROR(__XLUDF.DUMMYFUNCTION("PROPER(REGEXREPLACE(D921,""[^A-Za-z]+ "",""""))"),"Thomas Markoassociés")</f>
        <v xml:space="preserve">Thomas Markoassociés</v>
      </c>
      <c r="G4516" s="4" t="s">
        <v>31909</v>
      </c>
      <c r="H4516" s="4">
        <v>35</v>
      </c>
      <c r="I4516" s="4" t="s">
        <v>10639</v>
      </c>
      <c r="J4516" s="4" t="str">
        <f>IFERROR(__XLUDF.DUMMYFUNCTION("VLOOKUP(H921,IMPORTRANGE(""https://docs.google.com/spreadsheets/d/1opm6ZNvGZ7KditA9TuJwrZ25eFLfTNIkrNnY6mhV5Eg"",""list!A1:C115""),3,TRUE)"),"le secteur de la communication")</f>
        <v xml:space="preserve">le secteur de la communication</v>
      </c>
      <c r="K4516" s="5" t="s">
        <v>31910</v>
      </c>
      <c r="L4516" s="5" t="s">
        <v>31911</v>
      </c>
      <c r="M4516" s="6"/>
      <c r="N4516" s="4" t="s">
        <v>29</v>
      </c>
      <c r="O4516" s="4" t="s">
        <v>31912</v>
      </c>
      <c r="P4516" s="4" t="s">
        <v>29</v>
      </c>
      <c r="Q4516" s="6"/>
      <c r="R4516" s="6"/>
      <c r="S4516" s="6"/>
      <c r="T4516" s="6"/>
      <c r="U4516" s="6"/>
      <c r="V4516" s="6"/>
      <c r="W4516" s="6"/>
      <c r="X4516" s="6"/>
      <c r="Y4516" s="6"/>
      <c r="Z4516" s="6"/>
      <c r="AA4516" s="6"/>
    </row>
    <row r="4517" ht="14.25">
      <c r="B4517" s="4" t="s">
        <v>26223</v>
      </c>
      <c r="C4517" s="4" t="s">
        <v>31913</v>
      </c>
      <c r="D4517" s="4" t="s">
        <v>426</v>
      </c>
      <c r="E4517" s="4" t="s">
        <v>31914</v>
      </c>
      <c r="F4517" s="4" t="str">
        <f>IFERROR(__XLUDF.DUMMYFUNCTION("PROPER(REGEXREPLACE(D922,""[^A-Za-z]+ "",""""))"),"Seine-Maritime Attractivité")</f>
        <v xml:space="preserve">Seine-Maritime Attractivité</v>
      </c>
      <c r="G4517" s="4" t="s">
        <v>31915</v>
      </c>
      <c r="H4517" s="4">
        <v>34</v>
      </c>
      <c r="I4517" s="4" t="s">
        <v>10639</v>
      </c>
      <c r="J4517" s="4" t="str">
        <f>IFERROR(__XLUDF.DUMMYFUNCTION("VLOOKUP(H922,IMPORTRANGE(""https://docs.google.com/spreadsheets/d/1opm6ZNvGZ7KditA9TuJwrZ25eFLfTNIkrNnY6mhV5Eg"",""list!A1:C115""),3,TRUE)"),"le secteur de la communication")</f>
        <v xml:space="preserve">le secteur de la communication</v>
      </c>
      <c r="K4517" s="5" t="s">
        <v>31916</v>
      </c>
      <c r="L4517" s="5" t="s">
        <v>31917</v>
      </c>
      <c r="M4517" s="4" t="s">
        <v>12138</v>
      </c>
      <c r="N4517" s="4" t="s">
        <v>29</v>
      </c>
      <c r="O4517" s="4" t="s">
        <v>31918</v>
      </c>
      <c r="P4517" s="4" t="s">
        <v>29</v>
      </c>
      <c r="Q4517" s="4" t="s">
        <v>31919</v>
      </c>
      <c r="R4517" s="6"/>
      <c r="S4517" s="6"/>
      <c r="T4517" s="6"/>
      <c r="U4517" s="6"/>
      <c r="V4517" s="6"/>
      <c r="W4517" s="6"/>
      <c r="X4517" s="6"/>
      <c r="Y4517" s="6"/>
      <c r="Z4517" s="6"/>
      <c r="AA4517" s="6"/>
    </row>
    <row r="4518" ht="14.25">
      <c r="B4518" s="4" t="s">
        <v>95</v>
      </c>
      <c r="C4518" s="4" t="s">
        <v>31920</v>
      </c>
      <c r="D4518" s="4" t="s">
        <v>172</v>
      </c>
      <c r="E4518" s="4" t="s">
        <v>31921</v>
      </c>
      <c r="F4518" s="4" t="str">
        <f>IFERROR(__XLUDF.DUMMYFUNCTION("PROPER(REGEXREPLACE(D923,""[^A-Za-z]+ "",""""))"),"Deltalia")</f>
        <v>Deltalia</v>
      </c>
      <c r="G4518" s="4" t="s">
        <v>31922</v>
      </c>
      <c r="H4518" s="4">
        <v>17</v>
      </c>
      <c r="I4518" s="4" t="s">
        <v>4293</v>
      </c>
      <c r="J4518" s="4" t="str">
        <f>IFERROR(__XLUDF.DUMMYFUNCTION("VLOOKUP(H923,IMPORTRANGE(""https://docs.google.com/spreadsheets/d/1opm6ZNvGZ7KditA9TuJwrZ25eFLfTNIkrNnY6mhV5Eg"",""list!A1:C115""),3,TRUE)"),"le secteur de l'immobilier")</f>
        <v xml:space="preserve">le secteur de l'immobilier</v>
      </c>
      <c r="K4518" s="5" t="s">
        <v>31923</v>
      </c>
      <c r="L4518" s="5" t="s">
        <v>31924</v>
      </c>
      <c r="M4518" s="6"/>
      <c r="N4518" s="4" t="s">
        <v>29</v>
      </c>
      <c r="O4518" s="4" t="s">
        <v>3642</v>
      </c>
      <c r="P4518" s="4" t="s">
        <v>29</v>
      </c>
      <c r="Q4518" s="6"/>
      <c r="R4518" s="6"/>
      <c r="S4518" s="6"/>
      <c r="T4518" s="6"/>
      <c r="U4518" s="6"/>
      <c r="V4518" s="6"/>
      <c r="W4518" s="6"/>
      <c r="X4518" s="6"/>
      <c r="Y4518" s="6"/>
      <c r="Z4518" s="6"/>
      <c r="AA4518" s="6"/>
    </row>
    <row r="4519" ht="14.25">
      <c r="B4519" s="4" t="s">
        <v>110</v>
      </c>
      <c r="C4519" s="4" t="s">
        <v>31925</v>
      </c>
      <c r="D4519" s="4" t="s">
        <v>172</v>
      </c>
      <c r="E4519" s="4" t="s">
        <v>31926</v>
      </c>
      <c r="F4519" s="4" t="str">
        <f>IFERROR(__XLUDF.DUMMYFUNCTION("PROPER(REGEXREPLACE(D924,""[^A-Za-z]+ "",""""))"),"Sa Mont-Blanc")</f>
        <v xml:space="preserve">Sa Mont-Blanc</v>
      </c>
      <c r="G4519" s="4" t="s">
        <v>31927</v>
      </c>
      <c r="H4519" s="4">
        <v>33</v>
      </c>
      <c r="I4519" s="4" t="s">
        <v>4293</v>
      </c>
      <c r="J4519" s="4" t="str">
        <f>IFERROR(__XLUDF.DUMMYFUNCTION("VLOOKUP(H924,IMPORTRANGE(""https://docs.google.com/spreadsheets/d/1opm6ZNvGZ7KditA9TuJwrZ25eFLfTNIkrNnY6mhV5Eg"",""list!A1:C115""),3,TRUE)"),"le secteur de l'immobilier")</f>
        <v xml:space="preserve">le secteur de l'immobilier</v>
      </c>
      <c r="K4519" s="5" t="s">
        <v>31928</v>
      </c>
      <c r="L4519" s="5" t="s">
        <v>31929</v>
      </c>
      <c r="M4519" s="4" t="s">
        <v>423</v>
      </c>
      <c r="N4519" s="4" t="s">
        <v>29</v>
      </c>
      <c r="O4519" s="4" t="s">
        <v>3890</v>
      </c>
      <c r="P4519" s="4" t="s">
        <v>29</v>
      </c>
      <c r="Q4519" s="4" t="s">
        <v>31930</v>
      </c>
      <c r="R4519" s="6"/>
      <c r="S4519" s="6"/>
      <c r="T4519" s="6"/>
      <c r="U4519" s="6"/>
      <c r="V4519" s="6"/>
      <c r="W4519" s="6"/>
      <c r="X4519" s="6"/>
      <c r="Y4519" s="6"/>
      <c r="Z4519" s="6"/>
      <c r="AA4519" s="6"/>
    </row>
    <row r="4520" ht="14.25">
      <c r="B4520" s="4" t="s">
        <v>7601</v>
      </c>
      <c r="C4520" s="4" t="s">
        <v>31931</v>
      </c>
      <c r="D4520" s="4" t="s">
        <v>172</v>
      </c>
      <c r="E4520" s="4" t="s">
        <v>31932</v>
      </c>
      <c r="F4520" s="4" t="str">
        <f>IFERROR(__XLUDF.DUMMYFUNCTION("PROPER(REGEXREPLACE(D925,""[^A-Za-z]+ "",""""))"),"Terres De Loire Habitat")</f>
        <v xml:space="preserve">Terres De Loire Habitat</v>
      </c>
      <c r="G4520" s="4" t="s">
        <v>31933</v>
      </c>
      <c r="H4520" s="4">
        <v>43</v>
      </c>
      <c r="I4520" s="4" t="s">
        <v>4293</v>
      </c>
      <c r="J4520" s="4" t="str">
        <f>IFERROR(__XLUDF.DUMMYFUNCTION("VLOOKUP(H925,IMPORTRANGE(""https://docs.google.com/spreadsheets/d/1opm6ZNvGZ7KditA9TuJwrZ25eFLfTNIkrNnY6mhV5Eg"",""list!A1:C115""),3,TRUE)"),"le secteur de l'immobilier")</f>
        <v xml:space="preserve">le secteur de l'immobilier</v>
      </c>
      <c r="K4520" s="5" t="s">
        <v>31934</v>
      </c>
      <c r="L4520" s="5" t="s">
        <v>31935</v>
      </c>
      <c r="M4520" s="4" t="s">
        <v>7531</v>
      </c>
      <c r="N4520" s="4" t="s">
        <v>29</v>
      </c>
      <c r="O4520" s="4" t="s">
        <v>31936</v>
      </c>
      <c r="P4520" s="4" t="s">
        <v>29</v>
      </c>
      <c r="Q4520" s="6"/>
      <c r="R4520" s="6"/>
      <c r="S4520" s="6"/>
      <c r="T4520" s="6"/>
      <c r="U4520" s="6"/>
      <c r="V4520" s="6"/>
      <c r="W4520" s="6"/>
      <c r="X4520" s="6"/>
      <c r="Y4520" s="6"/>
      <c r="Z4520" s="6"/>
      <c r="AA4520" s="6"/>
    </row>
    <row r="4521" ht="14.25">
      <c r="B4521" s="4" t="s">
        <v>95</v>
      </c>
      <c r="C4521" s="4" t="s">
        <v>31937</v>
      </c>
      <c r="D4521" s="4" t="s">
        <v>468</v>
      </c>
      <c r="E4521" s="4" t="s">
        <v>31938</v>
      </c>
      <c r="F4521" s="4" t="str">
        <f>IFERROR(__XLUDF.DUMMYFUNCTION("PROPER(REGEXREPLACE(D926,""[^A-Za-z]+ "",""""))"),"Commespace")</f>
        <v>Commespace</v>
      </c>
      <c r="G4521" s="4" t="s">
        <v>31939</v>
      </c>
      <c r="H4521" s="4">
        <v>12</v>
      </c>
      <c r="I4521" s="4" t="s">
        <v>4293</v>
      </c>
      <c r="J4521" s="4" t="str">
        <f>IFERROR(__XLUDF.DUMMYFUNCTION("VLOOKUP(H926,IMPORTRANGE(""https://docs.google.com/spreadsheets/d/1opm6ZNvGZ7KditA9TuJwrZ25eFLfTNIkrNnY6mhV5Eg"",""list!A1:C115""),3,TRUE)"),"le secteur de l'immobilier")</f>
        <v xml:space="preserve">le secteur de l'immobilier</v>
      </c>
      <c r="K4521" s="5" t="s">
        <v>31940</v>
      </c>
      <c r="L4521" s="5" t="s">
        <v>31941</v>
      </c>
      <c r="M4521" s="4" t="s">
        <v>20178</v>
      </c>
      <c r="N4521" s="4" t="s">
        <v>29</v>
      </c>
      <c r="O4521" s="4" t="s">
        <v>31942</v>
      </c>
      <c r="P4521" s="4" t="s">
        <v>29</v>
      </c>
      <c r="Q4521" s="4" t="s">
        <v>31943</v>
      </c>
      <c r="R4521" s="6"/>
      <c r="S4521" s="6"/>
      <c r="T4521" s="6"/>
      <c r="U4521" s="6"/>
      <c r="V4521" s="6"/>
      <c r="W4521" s="6"/>
      <c r="X4521" s="6"/>
      <c r="Y4521" s="6"/>
      <c r="Z4521" s="6"/>
      <c r="AA4521" s="6"/>
    </row>
    <row r="4522" ht="14.25">
      <c r="B4522" s="4" t="s">
        <v>31944</v>
      </c>
      <c r="C4522" s="4" t="s">
        <v>31945</v>
      </c>
      <c r="D4522" s="4" t="s">
        <v>31946</v>
      </c>
      <c r="E4522" s="4" t="s">
        <v>31947</v>
      </c>
      <c r="F4522" s="4" t="str">
        <f>IFERROR(__XLUDF.DUMMYFUNCTION("PROPER(REGEXREPLACE(D927,""[^A-Za-z]+ "",""""))"),"Buildrz")</f>
        <v>Buildrz</v>
      </c>
      <c r="G4522" s="4" t="s">
        <v>31948</v>
      </c>
      <c r="H4522" s="4">
        <v>20</v>
      </c>
      <c r="I4522" s="4" t="s">
        <v>4293</v>
      </c>
      <c r="J4522" s="4" t="str">
        <f>IFERROR(__XLUDF.DUMMYFUNCTION("VLOOKUP(H927,IMPORTRANGE(""https://docs.google.com/spreadsheets/d/1opm6ZNvGZ7KditA9TuJwrZ25eFLfTNIkrNnY6mhV5Eg"",""list!A1:C115""),3,TRUE)"),"le secteur de l'immobilier")</f>
        <v xml:space="preserve">le secteur de l'immobilier</v>
      </c>
      <c r="K4522" s="5" t="s">
        <v>31949</v>
      </c>
      <c r="L4522" s="5" t="s">
        <v>31950</v>
      </c>
      <c r="M4522" s="4" t="s">
        <v>39</v>
      </c>
      <c r="N4522" s="4" t="s">
        <v>29</v>
      </c>
      <c r="O4522" s="4" t="s">
        <v>31951</v>
      </c>
      <c r="P4522" s="4" t="s">
        <v>29</v>
      </c>
      <c r="Q4522" s="4" t="s">
        <v>31952</v>
      </c>
      <c r="R4522" s="6"/>
      <c r="S4522" s="6"/>
      <c r="T4522" s="6"/>
      <c r="U4522" s="6"/>
      <c r="V4522" s="6"/>
      <c r="W4522" s="6"/>
      <c r="X4522" s="6"/>
      <c r="Y4522" s="6"/>
      <c r="Z4522" s="6"/>
      <c r="AA4522" s="6"/>
    </row>
    <row r="4523" ht="14.25">
      <c r="B4523" s="4" t="s">
        <v>5873</v>
      </c>
      <c r="C4523" s="4" t="s">
        <v>31953</v>
      </c>
      <c r="D4523" s="4" t="s">
        <v>3637</v>
      </c>
      <c r="E4523" s="4" t="s">
        <v>31954</v>
      </c>
      <c r="F4523" s="4" t="str">
        <f>IFERROR(__XLUDF.DUMMYFUNCTION("PROPER(REGEXREPLACE(D928,""[^A-Za-z]+ "",""""))"),"Le Vapoteur Discount")</f>
        <v xml:space="preserve">Le Vapoteur Discount</v>
      </c>
      <c r="G4523" s="4" t="s">
        <v>31955</v>
      </c>
      <c r="H4523" s="4">
        <v>28</v>
      </c>
      <c r="I4523" s="4" t="s">
        <v>4525</v>
      </c>
      <c r="J4523" s="4" t="str">
        <f>IFERROR(__XLUDF.DUMMYFUNCTION("VLOOKUP(H928,IMPORTRANGE(""https://docs.google.com/spreadsheets/d/1opm6ZNvGZ7KditA9TuJwrZ25eFLfTNIkrNnY6mhV5Eg"",""list!A1:C115""),3,TRUE)"),"le secteur du retail")</f>
        <v xml:space="preserve">le secteur du retail</v>
      </c>
      <c r="K4523" s="5" t="s">
        <v>31956</v>
      </c>
      <c r="L4523" s="5" t="s">
        <v>31957</v>
      </c>
      <c r="M4523" s="4" t="s">
        <v>31958</v>
      </c>
      <c r="N4523" s="4" t="s">
        <v>29</v>
      </c>
      <c r="O4523" s="4" t="s">
        <v>31959</v>
      </c>
      <c r="P4523" s="4" t="s">
        <v>29</v>
      </c>
      <c r="Q4523" s="4" t="s">
        <v>31960</v>
      </c>
      <c r="R4523" s="6"/>
      <c r="S4523" s="6"/>
      <c r="T4523" s="6"/>
      <c r="U4523" s="6"/>
      <c r="V4523" s="6"/>
      <c r="W4523" s="6"/>
      <c r="X4523" s="6"/>
      <c r="Y4523" s="6"/>
      <c r="Z4523" s="6"/>
      <c r="AA4523" s="6"/>
    </row>
    <row r="4524" ht="14.25">
      <c r="B4524" s="4" t="s">
        <v>20188</v>
      </c>
      <c r="C4524" s="4" t="s">
        <v>31961</v>
      </c>
      <c r="D4524" s="4" t="s">
        <v>31962</v>
      </c>
      <c r="E4524" s="4" t="s">
        <v>31963</v>
      </c>
      <c r="F4524" s="4" t="str">
        <f>IFERROR(__XLUDF.DUMMYFUNCTION("PROPER(REGEXREPLACE(D929,""[^A-Za-z]+ "",""""))"),"Axes Sygmalab")</f>
        <v xml:space="preserve">Axes Sygmalab</v>
      </c>
      <c r="G4524" s="4" t="s">
        <v>31964</v>
      </c>
      <c r="H4524" s="4">
        <v>34</v>
      </c>
      <c r="I4524" s="4" t="s">
        <v>4525</v>
      </c>
      <c r="J4524" s="4" t="str">
        <f>IFERROR(__XLUDF.DUMMYFUNCTION("VLOOKUP(H929,IMPORTRANGE(""https://docs.google.com/spreadsheets/d/1opm6ZNvGZ7KditA9TuJwrZ25eFLfTNIkrNnY6mhV5Eg"",""list!A1:C115""),3,TRUE)"),"le secteur du retail")</f>
        <v xml:space="preserve">le secteur du retail</v>
      </c>
      <c r="K4524" s="5" t="s">
        <v>31965</v>
      </c>
      <c r="L4524" s="5" t="s">
        <v>31966</v>
      </c>
      <c r="M4524" s="4" t="s">
        <v>31967</v>
      </c>
      <c r="N4524" s="4" t="s">
        <v>29</v>
      </c>
      <c r="O4524" s="4" t="s">
        <v>31968</v>
      </c>
      <c r="P4524" s="4" t="s">
        <v>29</v>
      </c>
      <c r="Q4524" s="4" t="s">
        <v>31969</v>
      </c>
      <c r="R4524" s="6"/>
      <c r="S4524" s="6"/>
      <c r="T4524" s="6"/>
      <c r="U4524" s="6"/>
      <c r="V4524" s="6"/>
      <c r="W4524" s="6"/>
      <c r="X4524" s="6"/>
      <c r="Y4524" s="6"/>
      <c r="Z4524" s="6"/>
      <c r="AA4524" s="6"/>
    </row>
    <row r="4525" ht="14.25">
      <c r="B4525" s="4" t="s">
        <v>5728</v>
      </c>
      <c r="C4525" s="4" t="s">
        <v>31970</v>
      </c>
      <c r="D4525" s="4" t="s">
        <v>4463</v>
      </c>
      <c r="E4525" s="4" t="s">
        <v>31971</v>
      </c>
      <c r="F4525" s="4" t="str">
        <f>IFERROR(__XLUDF.DUMMYFUNCTION("PROPER(REGEXREPLACE(D930,""[^A-Za-z]+ "",""""))"),"Seignouret Freres")</f>
        <v xml:space="preserve">Seignouret Freres</v>
      </c>
      <c r="G4525" s="4" t="s">
        <v>31972</v>
      </c>
      <c r="H4525" s="4">
        <v>9</v>
      </c>
      <c r="I4525" s="4" t="s">
        <v>4525</v>
      </c>
      <c r="J4525" s="4" t="str">
        <f>IFERROR(__XLUDF.DUMMYFUNCTION("VLOOKUP(H930,IMPORTRANGE(""https://docs.google.com/spreadsheets/d/1opm6ZNvGZ7KditA9TuJwrZ25eFLfTNIkrNnY6mhV5Eg"",""list!A1:C115""),3,TRUE)"),"le secteur du retail")</f>
        <v xml:space="preserve">le secteur du retail</v>
      </c>
      <c r="K4525" s="5" t="s">
        <v>31973</v>
      </c>
      <c r="L4525" s="5" t="s">
        <v>31974</v>
      </c>
      <c r="M4525" s="4" t="s">
        <v>243</v>
      </c>
      <c r="N4525" s="4" t="s">
        <v>29</v>
      </c>
      <c r="O4525" s="4" t="s">
        <v>929</v>
      </c>
      <c r="P4525" s="4" t="s">
        <v>29</v>
      </c>
      <c r="Q4525" s="4" t="s">
        <v>31975</v>
      </c>
      <c r="R4525" s="6"/>
      <c r="S4525" s="6"/>
      <c r="T4525" s="6"/>
      <c r="U4525" s="6"/>
      <c r="V4525" s="6"/>
      <c r="W4525" s="6"/>
      <c r="X4525" s="6"/>
      <c r="Y4525" s="6"/>
      <c r="Z4525" s="6"/>
      <c r="AA4525" s="6"/>
    </row>
    <row r="4526" ht="14.25">
      <c r="B4526" s="4" t="s">
        <v>1198</v>
      </c>
      <c r="C4526" s="4" t="s">
        <v>31976</v>
      </c>
      <c r="D4526" s="4" t="s">
        <v>28295</v>
      </c>
      <c r="E4526" s="4" t="s">
        <v>31977</v>
      </c>
      <c r="F4526" s="4" t="str">
        <f>IFERROR(__XLUDF.DUMMYFUNCTION("PROPER(REGEXREPLACE(D931,""[^A-Za-z]+ "",""""))"),"Groupe Bouchard")</f>
        <v xml:space="preserve">Groupe Bouchard</v>
      </c>
      <c r="G4526" s="4" t="s">
        <v>31978</v>
      </c>
      <c r="H4526" s="4">
        <v>24</v>
      </c>
      <c r="I4526" s="4" t="s">
        <v>4525</v>
      </c>
      <c r="J4526" s="4" t="str">
        <f>IFERROR(__XLUDF.DUMMYFUNCTION("VLOOKUP(H931,IMPORTRANGE(""https://docs.google.com/spreadsheets/d/1opm6ZNvGZ7KditA9TuJwrZ25eFLfTNIkrNnY6mhV5Eg"",""list!A1:C115""),3,TRUE)"),"le secteur du retail")</f>
        <v xml:space="preserve">le secteur du retail</v>
      </c>
      <c r="K4526" s="5" t="s">
        <v>31979</v>
      </c>
      <c r="L4526" s="5" t="s">
        <v>31980</v>
      </c>
      <c r="M4526" s="4" t="s">
        <v>21493</v>
      </c>
      <c r="N4526" s="4" t="s">
        <v>29</v>
      </c>
      <c r="O4526" s="4" t="s">
        <v>31981</v>
      </c>
      <c r="P4526" s="4" t="s">
        <v>29</v>
      </c>
      <c r="Q4526" s="4" t="s">
        <v>31982</v>
      </c>
      <c r="R4526" s="6"/>
      <c r="S4526" s="6"/>
      <c r="T4526" s="6"/>
      <c r="U4526" s="6"/>
      <c r="V4526" s="6"/>
      <c r="W4526" s="6"/>
      <c r="X4526" s="6"/>
      <c r="Y4526" s="6"/>
      <c r="Z4526" s="6"/>
      <c r="AA4526" s="6"/>
    </row>
    <row r="4527" ht="14.25">
      <c r="B4527" s="4" t="s">
        <v>76</v>
      </c>
      <c r="C4527" s="4" t="s">
        <v>31983</v>
      </c>
      <c r="D4527" s="4" t="s">
        <v>172</v>
      </c>
      <c r="E4527" s="4" t="s">
        <v>31984</v>
      </c>
      <c r="F4527" s="4" t="str">
        <f>IFERROR(__XLUDF.DUMMYFUNCTION("PROPER(REGEXREPLACE(D932,""[^A-Za-z]+ "",""""))"),"Duret Sa")</f>
        <v xml:space="preserve">Duret Sa</v>
      </c>
      <c r="G4527" s="4" t="s">
        <v>31985</v>
      </c>
      <c r="H4527" s="4">
        <v>26</v>
      </c>
      <c r="I4527" s="4" t="s">
        <v>4525</v>
      </c>
      <c r="J4527" s="4" t="str">
        <f>IFERROR(__XLUDF.DUMMYFUNCTION("VLOOKUP(H932,IMPORTRANGE(""https://docs.google.com/spreadsheets/d/1opm6ZNvGZ7KditA9TuJwrZ25eFLfTNIkrNnY6mhV5Eg"",""list!A1:C115""),3,TRUE)"),"le secteur du retail")</f>
        <v xml:space="preserve">le secteur du retail</v>
      </c>
      <c r="K4527" s="5" t="s">
        <v>31986</v>
      </c>
      <c r="L4527" s="5" t="s">
        <v>31987</v>
      </c>
      <c r="M4527" s="4" t="s">
        <v>5565</v>
      </c>
      <c r="N4527" s="4" t="s">
        <v>29</v>
      </c>
      <c r="O4527" s="4" t="s">
        <v>31988</v>
      </c>
      <c r="P4527" s="4" t="s">
        <v>29</v>
      </c>
      <c r="Q4527" s="6"/>
      <c r="R4527" s="6"/>
      <c r="S4527" s="6"/>
      <c r="T4527" s="6"/>
      <c r="U4527" s="6"/>
      <c r="V4527" s="6"/>
      <c r="W4527" s="6"/>
      <c r="X4527" s="6"/>
      <c r="Y4527" s="6"/>
      <c r="Z4527" s="6"/>
      <c r="AA4527" s="6"/>
    </row>
    <row r="4528" ht="14.25">
      <c r="B4528" s="4" t="s">
        <v>255</v>
      </c>
      <c r="C4528" s="4" t="s">
        <v>31989</v>
      </c>
      <c r="D4528" s="4" t="s">
        <v>688</v>
      </c>
      <c r="E4528" s="4" t="s">
        <v>31990</v>
      </c>
      <c r="F4528" s="4" t="str">
        <f>IFERROR(__XLUDF.DUMMYFUNCTION("PROPER(REGEXREPLACE(D933,""[^A-Za-z]+ "",""""))"),"Coco Cooking")</f>
        <v xml:space="preserve">Coco Cooking</v>
      </c>
      <c r="G4528" s="4" t="s">
        <v>31991</v>
      </c>
      <c r="H4528" s="4">
        <v>54</v>
      </c>
      <c r="I4528" s="4" t="s">
        <v>4525</v>
      </c>
      <c r="J4528" s="4" t="str">
        <f>IFERROR(__XLUDF.DUMMYFUNCTION("VLOOKUP(H933,IMPORTRANGE(""https://docs.google.com/spreadsheets/d/1opm6ZNvGZ7KditA9TuJwrZ25eFLfTNIkrNnY6mhV5Eg"",""list!A1:C115""),3,TRUE)"),"le secteur du retail")</f>
        <v xml:space="preserve">le secteur du retail</v>
      </c>
      <c r="K4528" s="5" t="s">
        <v>31992</v>
      </c>
      <c r="L4528" s="5" t="s">
        <v>31993</v>
      </c>
      <c r="M4528" s="4" t="s">
        <v>846</v>
      </c>
      <c r="N4528" s="4" t="s">
        <v>29</v>
      </c>
      <c r="O4528" s="4" t="s">
        <v>31994</v>
      </c>
      <c r="P4528" s="4" t="s">
        <v>1261</v>
      </c>
      <c r="Q4528" s="4" t="s">
        <v>31995</v>
      </c>
      <c r="R4528" s="6"/>
      <c r="S4528" s="6"/>
      <c r="T4528" s="6"/>
      <c r="U4528" s="6"/>
      <c r="V4528" s="6"/>
      <c r="W4528" s="6"/>
      <c r="X4528" s="6"/>
      <c r="Y4528" s="6"/>
      <c r="Z4528" s="6"/>
      <c r="AA4528" s="6"/>
    </row>
    <row r="4529" ht="14.25">
      <c r="B4529" s="4" t="s">
        <v>874</v>
      </c>
      <c r="C4529" s="4" t="s">
        <v>31996</v>
      </c>
      <c r="D4529" s="4" t="s">
        <v>120</v>
      </c>
      <c r="E4529" s="4" t="s">
        <v>31997</v>
      </c>
      <c r="F4529" s="4" t="str">
        <f>IFERROR(__XLUDF.DUMMYFUNCTION("PROPER(REGEXREPLACE(D934,""[^A-Za-z]+ "",""""))"),"Enr Pro Optimal Solution")</f>
        <v xml:space="preserve">Enr Pro Optimal Solution</v>
      </c>
      <c r="G4529" s="4" t="s">
        <v>31998</v>
      </c>
      <c r="H4529" s="4">
        <v>18</v>
      </c>
      <c r="I4529" s="4" t="s">
        <v>4525</v>
      </c>
      <c r="J4529" s="4" t="str">
        <f>IFERROR(__XLUDF.DUMMYFUNCTION("VLOOKUP(H934,IMPORTRANGE(""https://docs.google.com/spreadsheets/d/1opm6ZNvGZ7KditA9TuJwrZ25eFLfTNIkrNnY6mhV5Eg"",""list!A1:C115""),3,TRUE)"),"le secteur du retail")</f>
        <v xml:space="preserve">le secteur du retail</v>
      </c>
      <c r="K4529" s="5" t="s">
        <v>31999</v>
      </c>
      <c r="L4529" s="5" t="s">
        <v>32000</v>
      </c>
      <c r="M4529" s="4" t="s">
        <v>27718</v>
      </c>
      <c r="N4529" s="4" t="s">
        <v>29</v>
      </c>
      <c r="O4529" s="4" t="s">
        <v>32001</v>
      </c>
      <c r="P4529" s="4" t="s">
        <v>29</v>
      </c>
      <c r="Q4529" s="6"/>
      <c r="R4529" s="6"/>
      <c r="S4529" s="6"/>
      <c r="T4529" s="6"/>
      <c r="U4529" s="6"/>
      <c r="V4529" s="6"/>
      <c r="W4529" s="6"/>
      <c r="X4529" s="6"/>
      <c r="Y4529" s="6"/>
      <c r="Z4529" s="6"/>
      <c r="AA4529" s="6"/>
    </row>
    <row r="4530" ht="14.25">
      <c r="B4530" s="4" t="s">
        <v>3164</v>
      </c>
      <c r="C4530" s="4" t="s">
        <v>6811</v>
      </c>
      <c r="D4530" s="4" t="s">
        <v>341</v>
      </c>
      <c r="E4530" s="4" t="s">
        <v>32002</v>
      </c>
      <c r="F4530" s="4" t="str">
        <f>IFERROR(__XLUDF.DUMMYFUNCTION("PROPER(REGEXREPLACE(D935,""[^A-Za-z]+ "",""""))"),"Le Groupe Prestige")</f>
        <v xml:space="preserve">Le Groupe Prestige</v>
      </c>
      <c r="G4530" s="4" t="s">
        <v>32003</v>
      </c>
      <c r="H4530" s="4">
        <v>16</v>
      </c>
      <c r="I4530" s="4" t="s">
        <v>4525</v>
      </c>
      <c r="J4530" s="4" t="str">
        <f>IFERROR(__XLUDF.DUMMYFUNCTION("VLOOKUP(H935,IMPORTRANGE(""https://docs.google.com/spreadsheets/d/1opm6ZNvGZ7KditA9TuJwrZ25eFLfTNIkrNnY6mhV5Eg"",""list!A1:C115""),3,TRUE)"),"le secteur du retail")</f>
        <v xml:space="preserve">le secteur du retail</v>
      </c>
      <c r="K4530" s="5" t="s">
        <v>32004</v>
      </c>
      <c r="L4530" s="5" t="s">
        <v>32005</v>
      </c>
      <c r="M4530" s="4" t="s">
        <v>1711</v>
      </c>
      <c r="N4530" s="4" t="s">
        <v>29</v>
      </c>
      <c r="O4530" s="4" t="s">
        <v>32006</v>
      </c>
      <c r="P4530" s="4" t="s">
        <v>29</v>
      </c>
      <c r="Q4530" s="4" t="s">
        <v>32007</v>
      </c>
      <c r="R4530" s="6"/>
      <c r="S4530" s="6"/>
      <c r="T4530" s="6"/>
      <c r="U4530" s="6"/>
      <c r="V4530" s="6"/>
      <c r="W4530" s="6"/>
      <c r="X4530" s="6"/>
      <c r="Y4530" s="6"/>
      <c r="Z4530" s="6"/>
      <c r="AA4530" s="6"/>
    </row>
    <row r="4531" ht="14.25">
      <c r="B4531" s="4" t="s">
        <v>2932</v>
      </c>
      <c r="C4531" s="4" t="s">
        <v>9469</v>
      </c>
      <c r="D4531" s="4" t="s">
        <v>172</v>
      </c>
      <c r="E4531" s="4" t="s">
        <v>9471</v>
      </c>
      <c r="F4531" s="4" t="str">
        <f>IFERROR(__XLUDF.DUMMYFUNCTION("PROPER(REGEXREPLACE(D936,""[^A-Za-z]+ "",""""))"),"Pierre Bergassociés")</f>
        <v xml:space="preserve">Pierre Bergassociés</v>
      </c>
      <c r="G4531" s="4" t="s">
        <v>32008</v>
      </c>
      <c r="H4531" s="4">
        <v>14</v>
      </c>
      <c r="I4531" s="4" t="s">
        <v>4525</v>
      </c>
      <c r="J4531" s="4" t="str">
        <f>IFERROR(__XLUDF.DUMMYFUNCTION("VLOOKUP(H936,IMPORTRANGE(""https://docs.google.com/spreadsheets/d/1opm6ZNvGZ7KditA9TuJwrZ25eFLfTNIkrNnY6mhV5Eg"",""list!A1:C115""),3,TRUE)"),"le secteur du retail")</f>
        <v xml:space="preserve">le secteur du retail</v>
      </c>
      <c r="K4531" s="5" t="s">
        <v>32009</v>
      </c>
      <c r="L4531" s="5" t="s">
        <v>32010</v>
      </c>
      <c r="M4531" s="4" t="s">
        <v>39</v>
      </c>
      <c r="N4531" s="4" t="s">
        <v>29</v>
      </c>
      <c r="O4531" s="4" t="s">
        <v>32011</v>
      </c>
      <c r="P4531" s="4" t="s">
        <v>29</v>
      </c>
      <c r="Q4531" s="6"/>
      <c r="R4531" s="6"/>
      <c r="S4531" s="6"/>
      <c r="T4531" s="6"/>
      <c r="U4531" s="6"/>
      <c r="V4531" s="6"/>
      <c r="W4531" s="6"/>
      <c r="X4531" s="6"/>
      <c r="Y4531" s="6"/>
      <c r="Z4531" s="6"/>
      <c r="AA4531" s="6"/>
    </row>
    <row r="4532" ht="14.25">
      <c r="B4532" s="4" t="s">
        <v>2634</v>
      </c>
      <c r="C4532" s="4" t="s">
        <v>32012</v>
      </c>
      <c r="D4532" s="4" t="s">
        <v>164</v>
      </c>
      <c r="E4532" s="4" t="s">
        <v>32013</v>
      </c>
      <c r="F4532" s="4" t="str">
        <f>IFERROR(__XLUDF.DUMMYFUNCTION("PROPER(REGEXREPLACE(D937,""[^A-Za-z]+ "",""""))"),"Plastimea")</f>
        <v>Plastimea</v>
      </c>
      <c r="G4532" s="4" t="s">
        <v>32014</v>
      </c>
      <c r="H4532" s="4">
        <v>9</v>
      </c>
      <c r="I4532" s="4" t="s">
        <v>4525</v>
      </c>
      <c r="J4532" s="4" t="str">
        <f>IFERROR(__XLUDF.DUMMYFUNCTION("VLOOKUP(H937,IMPORTRANGE(""https://docs.google.com/spreadsheets/d/1opm6ZNvGZ7KditA9TuJwrZ25eFLfTNIkrNnY6mhV5Eg"",""list!A1:C115""),3,TRUE)"),"le secteur du retail")</f>
        <v xml:space="preserve">le secteur du retail</v>
      </c>
      <c r="K4532" s="5" t="s">
        <v>32015</v>
      </c>
      <c r="L4532" s="5" t="s">
        <v>32016</v>
      </c>
      <c r="M4532" s="4" t="s">
        <v>39</v>
      </c>
      <c r="N4532" s="4" t="s">
        <v>29</v>
      </c>
      <c r="O4532" s="4" t="s">
        <v>32017</v>
      </c>
      <c r="P4532" s="4" t="s">
        <v>29</v>
      </c>
      <c r="Q4532" s="4" t="s">
        <v>32018</v>
      </c>
      <c r="R4532" s="6"/>
      <c r="S4532" s="6"/>
      <c r="T4532" s="6"/>
      <c r="U4532" s="6"/>
      <c r="V4532" s="6"/>
      <c r="W4532" s="6"/>
      <c r="X4532" s="6"/>
      <c r="Y4532" s="6"/>
      <c r="Z4532" s="6"/>
      <c r="AA4532" s="6"/>
    </row>
    <row r="4533" ht="14.25">
      <c r="B4533" s="4" t="s">
        <v>1215</v>
      </c>
      <c r="C4533" s="4" t="s">
        <v>32019</v>
      </c>
      <c r="D4533" s="4" t="s">
        <v>172</v>
      </c>
      <c r="E4533" s="4" t="s">
        <v>32020</v>
      </c>
      <c r="F4533" s="4" t="str">
        <f>IFERROR(__XLUDF.DUMMYFUNCTION("PROPER(REGEXREPLACE(D938,""[^A-Za-z]+ "",""""))"),"Duplo France")</f>
        <v xml:space="preserve">Duplo France</v>
      </c>
      <c r="G4533" s="4" t="s">
        <v>32021</v>
      </c>
      <c r="H4533" s="4">
        <v>31</v>
      </c>
      <c r="I4533" s="4" t="s">
        <v>4525</v>
      </c>
      <c r="J4533" s="4" t="str">
        <f>IFERROR(__XLUDF.DUMMYFUNCTION("VLOOKUP(H938,IMPORTRANGE(""https://docs.google.com/spreadsheets/d/1opm6ZNvGZ7KditA9TuJwrZ25eFLfTNIkrNnY6mhV5Eg"",""list!A1:C115""),3,TRUE)"),"le secteur du retail")</f>
        <v xml:space="preserve">le secteur du retail</v>
      </c>
      <c r="K4533" s="5" t="s">
        <v>32022</v>
      </c>
      <c r="L4533" s="5" t="s">
        <v>32023</v>
      </c>
      <c r="M4533" s="4" t="s">
        <v>39</v>
      </c>
      <c r="N4533" s="4" t="s">
        <v>29</v>
      </c>
      <c r="O4533" s="4" t="s">
        <v>32024</v>
      </c>
      <c r="P4533" s="4" t="s">
        <v>29</v>
      </c>
      <c r="Q4533" s="6"/>
      <c r="R4533" s="6"/>
      <c r="S4533" s="6"/>
      <c r="T4533" s="6"/>
      <c r="U4533" s="6"/>
      <c r="V4533" s="6"/>
      <c r="W4533" s="6"/>
      <c r="X4533" s="6"/>
      <c r="Y4533" s="6"/>
      <c r="Z4533" s="6"/>
      <c r="AA4533" s="6"/>
    </row>
    <row r="4534" ht="14.25">
      <c r="B4534" s="4" t="s">
        <v>245</v>
      </c>
      <c r="C4534" s="4" t="s">
        <v>32025</v>
      </c>
      <c r="D4534" s="4" t="s">
        <v>541</v>
      </c>
      <c r="E4534" s="4" t="s">
        <v>32026</v>
      </c>
      <c r="F4534" s="4" t="str">
        <f>IFERROR(__XLUDF.DUMMYFUNCTION("PROPER(REGEXREPLACE(D939,""[^A-Za-z]+ "",""""))"),"Willy Anti-Gaspi")</f>
        <v xml:space="preserve">Willy Anti-Gaspi</v>
      </c>
      <c r="G4534" s="4" t="s">
        <v>32027</v>
      </c>
      <c r="H4534" s="4">
        <v>10</v>
      </c>
      <c r="I4534" s="4" t="s">
        <v>4525</v>
      </c>
      <c r="J4534" s="4" t="str">
        <f>IFERROR(__XLUDF.DUMMYFUNCTION("VLOOKUP(H939,IMPORTRANGE(""https://docs.google.com/spreadsheets/d/1opm6ZNvGZ7KditA9TuJwrZ25eFLfTNIkrNnY6mhV5Eg"",""list!A1:C115""),3,TRUE)"),"le secteur du retail")</f>
        <v xml:space="preserve">le secteur du retail</v>
      </c>
      <c r="K4534" s="5" t="s">
        <v>32028</v>
      </c>
      <c r="L4534" s="5" t="s">
        <v>32029</v>
      </c>
      <c r="M4534" s="6"/>
      <c r="N4534" s="4" t="s">
        <v>29</v>
      </c>
      <c r="O4534" s="4" t="s">
        <v>32030</v>
      </c>
      <c r="P4534" s="4" t="s">
        <v>29</v>
      </c>
      <c r="Q4534" s="4" t="s">
        <v>32031</v>
      </c>
      <c r="R4534" s="6"/>
      <c r="S4534" s="6"/>
      <c r="T4534" s="6"/>
      <c r="U4534" s="6"/>
      <c r="V4534" s="6"/>
      <c r="W4534" s="6"/>
      <c r="X4534" s="6"/>
      <c r="Y4534" s="6"/>
      <c r="Z4534" s="6"/>
      <c r="AA4534" s="6"/>
    </row>
    <row r="4535" ht="14.25">
      <c r="B4535" s="4" t="s">
        <v>1499</v>
      </c>
      <c r="C4535" s="4" t="s">
        <v>32032</v>
      </c>
      <c r="D4535" s="4" t="s">
        <v>172</v>
      </c>
      <c r="E4535" s="4" t="s">
        <v>32033</v>
      </c>
      <c r="F4535" s="4" t="str">
        <f>IFERROR(__XLUDF.DUMMYFUNCTION("PROPER(REGEXREPLACE(D940,""[^A-Za-z]+ "",""""))"),"Actimat")</f>
        <v>Actimat</v>
      </c>
      <c r="G4535" s="4" t="s">
        <v>32034</v>
      </c>
      <c r="H4535" s="4">
        <v>16</v>
      </c>
      <c r="I4535" s="4" t="s">
        <v>4525</v>
      </c>
      <c r="J4535" s="4" t="str">
        <f>IFERROR(__XLUDF.DUMMYFUNCTION("VLOOKUP(H940,IMPORTRANGE(""https://docs.google.com/spreadsheets/d/1opm6ZNvGZ7KditA9TuJwrZ25eFLfTNIkrNnY6mhV5Eg"",""list!A1:C115""),3,TRUE)"),"le secteur du retail")</f>
        <v xml:space="preserve">le secteur du retail</v>
      </c>
      <c r="K4535" s="5" t="s">
        <v>32035</v>
      </c>
      <c r="L4535" s="5" t="s">
        <v>32036</v>
      </c>
      <c r="M4535" s="4" t="s">
        <v>1826</v>
      </c>
      <c r="N4535" s="4" t="s">
        <v>29</v>
      </c>
      <c r="O4535" s="4" t="s">
        <v>32037</v>
      </c>
      <c r="P4535" s="4" t="s">
        <v>29</v>
      </c>
      <c r="Q4535" s="4" t="s">
        <v>32038</v>
      </c>
      <c r="R4535" s="6"/>
      <c r="S4535" s="6"/>
      <c r="T4535" s="6"/>
      <c r="U4535" s="6"/>
      <c r="V4535" s="6"/>
      <c r="W4535" s="6"/>
      <c r="X4535" s="6"/>
      <c r="Y4535" s="6"/>
      <c r="Z4535" s="6"/>
      <c r="AA4535" s="6"/>
    </row>
    <row r="4536" ht="14.25">
      <c r="B4536" s="4" t="s">
        <v>76</v>
      </c>
      <c r="C4536" s="4" t="s">
        <v>1338</v>
      </c>
      <c r="D4536" s="4" t="s">
        <v>172</v>
      </c>
      <c r="E4536" s="4" t="s">
        <v>32039</v>
      </c>
      <c r="F4536" s="4" t="str">
        <f>IFERROR(__XLUDF.DUMMYFUNCTION("PROPER(REGEXREPLACE(D941,""[^A-Za-z]+ "",""""))"),"Lopez Fi")</f>
        <v xml:space="preserve">Lopez Fi</v>
      </c>
      <c r="G4536" s="4" t="s">
        <v>32040</v>
      </c>
      <c r="H4536" s="4">
        <v>14</v>
      </c>
      <c r="I4536" s="4" t="s">
        <v>4525</v>
      </c>
      <c r="J4536" s="4" t="str">
        <f>IFERROR(__XLUDF.DUMMYFUNCTION("VLOOKUP(H941,IMPORTRANGE(""https://docs.google.com/spreadsheets/d/1opm6ZNvGZ7KditA9TuJwrZ25eFLfTNIkrNnY6mhV5Eg"",""list!A1:C115""),3,TRUE)"),"le secteur du retail")</f>
        <v xml:space="preserve">le secteur du retail</v>
      </c>
      <c r="K4536" s="5" t="s">
        <v>32041</v>
      </c>
      <c r="L4536" s="5" t="s">
        <v>32042</v>
      </c>
      <c r="M4536" s="6"/>
      <c r="N4536" s="4" t="s">
        <v>29</v>
      </c>
      <c r="O4536" s="4" t="s">
        <v>32043</v>
      </c>
      <c r="P4536" s="4" t="s">
        <v>29</v>
      </c>
      <c r="Q4536" s="4" t="s">
        <v>32044</v>
      </c>
      <c r="R4536" s="6"/>
      <c r="S4536" s="6"/>
      <c r="T4536" s="6"/>
      <c r="U4536" s="6"/>
      <c r="V4536" s="6"/>
      <c r="W4536" s="6"/>
      <c r="X4536" s="6"/>
      <c r="Y4536" s="6"/>
      <c r="Z4536" s="6"/>
      <c r="AA4536" s="6"/>
    </row>
    <row r="4537" ht="14.25">
      <c r="B4537" s="4" t="s">
        <v>32045</v>
      </c>
      <c r="C4537" s="4" t="s">
        <v>32046</v>
      </c>
      <c r="D4537" s="4" t="s">
        <v>1130</v>
      </c>
      <c r="E4537" s="4" t="s">
        <v>32047</v>
      </c>
      <c r="F4537" s="4" t="str">
        <f>IFERROR(__XLUDF.DUMMYFUNCTION("PROPER(REGEXREPLACE(D942,""[^A-Za-z]+ "",""""))"),"Allo Solar")</f>
        <v xml:space="preserve">Allo Solar</v>
      </c>
      <c r="G4537" s="4" t="s">
        <v>32048</v>
      </c>
      <c r="H4537" s="4">
        <v>24</v>
      </c>
      <c r="I4537" s="4" t="s">
        <v>4525</v>
      </c>
      <c r="J4537" s="4" t="str">
        <f>IFERROR(__XLUDF.DUMMYFUNCTION("VLOOKUP(H942,IMPORTRANGE(""https://docs.google.com/spreadsheets/d/1opm6ZNvGZ7KditA9TuJwrZ25eFLfTNIkrNnY6mhV5Eg"",""list!A1:C115""),3,TRUE)"),"le secteur du retail")</f>
        <v xml:space="preserve">le secteur du retail</v>
      </c>
      <c r="K4537" s="5" t="s">
        <v>32049</v>
      </c>
      <c r="L4537" s="5" t="s">
        <v>32050</v>
      </c>
      <c r="M4537" s="4" t="s">
        <v>32051</v>
      </c>
      <c r="N4537" s="4" t="s">
        <v>29</v>
      </c>
      <c r="O4537" s="4" t="s">
        <v>32052</v>
      </c>
      <c r="P4537" s="4" t="s">
        <v>29</v>
      </c>
      <c r="Q4537" s="6"/>
      <c r="R4537" s="6"/>
      <c r="S4537" s="6"/>
      <c r="T4537" s="6"/>
      <c r="U4537" s="6"/>
      <c r="V4537" s="6"/>
      <c r="W4537" s="6"/>
      <c r="X4537" s="6"/>
      <c r="Y4537" s="6"/>
      <c r="Z4537" s="6"/>
      <c r="AA4537" s="6"/>
    </row>
    <row r="4538" ht="14.25">
      <c r="B4538" s="4" t="s">
        <v>653</v>
      </c>
      <c r="C4538" s="4" t="s">
        <v>16584</v>
      </c>
      <c r="D4538" s="4" t="s">
        <v>172</v>
      </c>
      <c r="E4538" s="4" t="s">
        <v>32053</v>
      </c>
      <c r="F4538" s="4" t="str">
        <f>IFERROR(__XLUDF.DUMMYFUNCTION("PROPER(REGEXREPLACE(D943,""[^A-Za-z]+ "",""""))"),"La Maison Du Gainable")</f>
        <v xml:space="preserve">La Maison Du Gainable</v>
      </c>
      <c r="G4538" s="4" t="s">
        <v>32054</v>
      </c>
      <c r="H4538" s="4">
        <v>14</v>
      </c>
      <c r="I4538" s="4" t="s">
        <v>4525</v>
      </c>
      <c r="J4538" s="4" t="str">
        <f>IFERROR(__XLUDF.DUMMYFUNCTION("VLOOKUP(H943,IMPORTRANGE(""https://docs.google.com/spreadsheets/d/1opm6ZNvGZ7KditA9TuJwrZ25eFLfTNIkrNnY6mhV5Eg"",""list!A1:C115""),3,TRUE)"),"le secteur du retail")</f>
        <v xml:space="preserve">le secteur du retail</v>
      </c>
      <c r="K4538" s="5" t="s">
        <v>32055</v>
      </c>
      <c r="L4538" s="5" t="s">
        <v>32056</v>
      </c>
      <c r="M4538" s="4" t="s">
        <v>16314</v>
      </c>
      <c r="N4538" s="4" t="s">
        <v>29</v>
      </c>
      <c r="O4538" s="4" t="s">
        <v>29</v>
      </c>
      <c r="P4538" s="4" t="s">
        <v>29</v>
      </c>
      <c r="Q4538" s="4" t="s">
        <v>32057</v>
      </c>
      <c r="R4538" s="6"/>
      <c r="S4538" s="6"/>
      <c r="T4538" s="6"/>
      <c r="U4538" s="6"/>
      <c r="V4538" s="6"/>
      <c r="W4538" s="6"/>
      <c r="X4538" s="6"/>
      <c r="Y4538" s="6"/>
      <c r="Z4538" s="6"/>
      <c r="AA4538" s="6"/>
    </row>
    <row r="4539" ht="14.25">
      <c r="B4539" s="4" t="s">
        <v>118</v>
      </c>
      <c r="C4539" s="4" t="s">
        <v>1861</v>
      </c>
      <c r="D4539" s="4" t="s">
        <v>172</v>
      </c>
      <c r="E4539" s="4" t="s">
        <v>32058</v>
      </c>
      <c r="F4539" s="4" t="str">
        <f>IFERROR(__XLUDF.DUMMYFUNCTION("PROPER(REGEXREPLACE(D944,""[^A-Za-z]+ "",""""))"),"Groupe Jeker Automobiles Concessionnaire Peugeot Et Agent Citroën Vosges")</f>
        <v xml:space="preserve">Groupe Jeker Automobiles Concessionnaire Peugeot Et Agent Citroën Vosges</v>
      </c>
      <c r="G4539" s="4" t="s">
        <v>32059</v>
      </c>
      <c r="H4539" s="4">
        <v>15</v>
      </c>
      <c r="I4539" s="4" t="s">
        <v>4525</v>
      </c>
      <c r="J4539" s="4" t="str">
        <f>IFERROR(__XLUDF.DUMMYFUNCTION("VLOOKUP(H944,IMPORTRANGE(""https://docs.google.com/spreadsheets/d/1opm6ZNvGZ7KditA9TuJwrZ25eFLfTNIkrNnY6mhV5Eg"",""list!A1:C115""),3,TRUE)"),"le secteur du retail")</f>
        <v xml:space="preserve">le secteur du retail</v>
      </c>
      <c r="K4539" s="5" t="s">
        <v>32060</v>
      </c>
      <c r="L4539" s="5" t="s">
        <v>32061</v>
      </c>
      <c r="M4539" s="4" t="s">
        <v>32062</v>
      </c>
      <c r="N4539" s="4" t="s">
        <v>29</v>
      </c>
      <c r="O4539" s="4" t="s">
        <v>32063</v>
      </c>
      <c r="P4539" s="4" t="s">
        <v>29</v>
      </c>
      <c r="Q4539" s="4" t="s">
        <v>32064</v>
      </c>
      <c r="R4539" s="6"/>
      <c r="S4539" s="6"/>
      <c r="T4539" s="6"/>
      <c r="U4539" s="6"/>
      <c r="V4539" s="6"/>
      <c r="W4539" s="6"/>
      <c r="X4539" s="6"/>
      <c r="Y4539" s="6"/>
      <c r="Z4539" s="6"/>
      <c r="AA4539" s="6"/>
    </row>
    <row r="4540" ht="14.25">
      <c r="B4540" s="4" t="s">
        <v>22725</v>
      </c>
      <c r="C4540" s="4" t="s">
        <v>32065</v>
      </c>
      <c r="D4540" s="4" t="s">
        <v>879</v>
      </c>
      <c r="E4540" s="4" t="s">
        <v>32066</v>
      </c>
      <c r="F4540" s="4" t="str">
        <f>IFERROR(__XLUDF.DUMMYFUNCTION("PROPER(REGEXREPLACE(D945,""[^A-Za-z]+ "",""""))"),"Graines D'Ici")</f>
        <v xml:space="preserve">Graines D'Ici</v>
      </c>
      <c r="G4540" s="4" t="s">
        <v>32067</v>
      </c>
      <c r="H4540" s="4">
        <v>13</v>
      </c>
      <c r="I4540" s="4" t="s">
        <v>4525</v>
      </c>
      <c r="J4540" s="4" t="str">
        <f>IFERROR(__XLUDF.DUMMYFUNCTION("VLOOKUP(H945,IMPORTRANGE(""https://docs.google.com/spreadsheets/d/1opm6ZNvGZ7KditA9TuJwrZ25eFLfTNIkrNnY6mhV5Eg"",""list!A1:C115""),3,TRUE)"),"le secteur du retail")</f>
        <v xml:space="preserve">le secteur du retail</v>
      </c>
      <c r="K4540" s="5" t="s">
        <v>32068</v>
      </c>
      <c r="L4540" s="5" t="s">
        <v>32069</v>
      </c>
      <c r="M4540" s="4" t="s">
        <v>14443</v>
      </c>
      <c r="N4540" s="4" t="s">
        <v>29</v>
      </c>
      <c r="O4540" s="4" t="s">
        <v>32070</v>
      </c>
      <c r="P4540" s="4" t="s">
        <v>29</v>
      </c>
      <c r="Q4540" s="4" t="s">
        <v>32071</v>
      </c>
      <c r="R4540" s="6"/>
      <c r="S4540" s="6"/>
      <c r="T4540" s="6"/>
      <c r="U4540" s="6"/>
      <c r="V4540" s="6"/>
      <c r="W4540" s="6"/>
      <c r="X4540" s="6"/>
      <c r="Y4540" s="6"/>
      <c r="Z4540" s="6"/>
      <c r="AA4540" s="6"/>
    </row>
    <row r="4541" ht="14.25">
      <c r="B4541" s="4" t="s">
        <v>6931</v>
      </c>
      <c r="C4541" s="4" t="s">
        <v>7069</v>
      </c>
      <c r="D4541" s="4" t="s">
        <v>5500</v>
      </c>
      <c r="E4541" s="4" t="s">
        <v>32072</v>
      </c>
      <c r="F4541" s="4" t="str">
        <f>IFERROR(__XLUDF.DUMMYFUNCTION("PROPER(REGEXREPLACE(D946,""[^A-Za-z]+ "",""""))"),"Groupe Bms")</f>
        <v xml:space="preserve">Groupe Bms</v>
      </c>
      <c r="G4541" s="4" t="s">
        <v>32073</v>
      </c>
      <c r="H4541" s="4">
        <v>16</v>
      </c>
      <c r="I4541" s="4" t="s">
        <v>4525</v>
      </c>
      <c r="J4541" s="4" t="str">
        <f>IFERROR(__XLUDF.DUMMYFUNCTION("VLOOKUP(H946,IMPORTRANGE(""https://docs.google.com/spreadsheets/d/1opm6ZNvGZ7KditA9TuJwrZ25eFLfTNIkrNnY6mhV5Eg"",""list!A1:C115""),3,TRUE)"),"le secteur du retail")</f>
        <v xml:space="preserve">le secteur du retail</v>
      </c>
      <c r="K4541" s="5" t="s">
        <v>32074</v>
      </c>
      <c r="L4541" s="5" t="s">
        <v>32075</v>
      </c>
      <c r="M4541" s="4" t="s">
        <v>31577</v>
      </c>
      <c r="N4541" s="4" t="s">
        <v>29</v>
      </c>
      <c r="O4541" s="4" t="s">
        <v>32076</v>
      </c>
      <c r="P4541" s="4" t="s">
        <v>29</v>
      </c>
      <c r="Q4541" s="6"/>
      <c r="R4541" s="6"/>
      <c r="S4541" s="6"/>
      <c r="T4541" s="6"/>
      <c r="U4541" s="6"/>
      <c r="V4541" s="6"/>
      <c r="W4541" s="6"/>
      <c r="X4541" s="6"/>
      <c r="Y4541" s="6"/>
      <c r="Z4541" s="6"/>
      <c r="AA4541" s="6"/>
    </row>
    <row r="4542" ht="14.25">
      <c r="B4542" s="4" t="s">
        <v>32077</v>
      </c>
      <c r="C4542" s="4" t="s">
        <v>13356</v>
      </c>
      <c r="D4542" s="4" t="s">
        <v>32078</v>
      </c>
      <c r="E4542" s="4" t="s">
        <v>32079</v>
      </c>
      <c r="F4542" s="4" t="str">
        <f>IFERROR(__XLUDF.DUMMYFUNCTION("PROPER(REGEXREPLACE(D947,""[^A-Za-z]+ "",""""))"),"Lib&amp;Loulocation De Jouets Et Jeux")</f>
        <v xml:space="preserve">Lib&amp;Loulocation De Jouets Et Jeux</v>
      </c>
      <c r="G4542" s="4" t="s">
        <v>32080</v>
      </c>
      <c r="H4542" s="4">
        <v>6</v>
      </c>
      <c r="I4542" s="4" t="s">
        <v>4525</v>
      </c>
      <c r="J4542" s="4" t="str">
        <f>IFERROR(__XLUDF.DUMMYFUNCTION("VLOOKUP(H947,IMPORTRANGE(""https://docs.google.com/spreadsheets/d/1opm6ZNvGZ7KditA9TuJwrZ25eFLfTNIkrNnY6mhV5Eg"",""list!A1:C115""),3,TRUE)"),"le secteur du retail")</f>
        <v xml:space="preserve">le secteur du retail</v>
      </c>
      <c r="K4542" s="5" t="s">
        <v>32081</v>
      </c>
      <c r="L4542" s="5" t="s">
        <v>32082</v>
      </c>
      <c r="M4542" s="4" t="s">
        <v>32083</v>
      </c>
      <c r="N4542" s="4" t="s">
        <v>29</v>
      </c>
      <c r="O4542" s="4" t="s">
        <v>32084</v>
      </c>
      <c r="P4542" s="4" t="s">
        <v>29</v>
      </c>
      <c r="Q4542" s="4" t="s">
        <v>32085</v>
      </c>
      <c r="R4542" s="6"/>
      <c r="S4542" s="6"/>
      <c r="T4542" s="6"/>
      <c r="U4542" s="6"/>
      <c r="V4542" s="6"/>
      <c r="W4542" s="6"/>
      <c r="X4542" s="6"/>
      <c r="Y4542" s="6"/>
      <c r="Z4542" s="6"/>
      <c r="AA4542" s="6"/>
    </row>
    <row r="4543" ht="14.25">
      <c r="B4543" s="4" t="s">
        <v>206</v>
      </c>
      <c r="C4543" s="4" t="s">
        <v>7650</v>
      </c>
      <c r="D4543" s="4" t="s">
        <v>172</v>
      </c>
      <c r="E4543" s="4" t="s">
        <v>18198</v>
      </c>
      <c r="F4543" s="4" t="str">
        <f>IFERROR(__XLUDF.DUMMYFUNCTION("PROPER(REGEXREPLACE(D948,""[^A-Za-z]+ "",""""))"),"Raimond Sas")</f>
        <v xml:space="preserve">Raimond Sas</v>
      </c>
      <c r="G4543" s="4" t="s">
        <v>32086</v>
      </c>
      <c r="H4543" s="4">
        <v>30</v>
      </c>
      <c r="I4543" s="4" t="s">
        <v>4525</v>
      </c>
      <c r="J4543" s="4" t="str">
        <f>IFERROR(__XLUDF.DUMMYFUNCTION("VLOOKUP(H948,IMPORTRANGE(""https://docs.google.com/spreadsheets/d/1opm6ZNvGZ7KditA9TuJwrZ25eFLfTNIkrNnY6mhV5Eg"",""list!A1:C115""),3,TRUE)"),"le secteur du retail")</f>
        <v xml:space="preserve">le secteur du retail</v>
      </c>
      <c r="K4543" s="5" t="s">
        <v>32087</v>
      </c>
      <c r="L4543" s="5" t="s">
        <v>18201</v>
      </c>
      <c r="M4543" s="4" t="s">
        <v>1711</v>
      </c>
      <c r="N4543" s="4" t="s">
        <v>29</v>
      </c>
      <c r="O4543" s="4" t="s">
        <v>18203</v>
      </c>
      <c r="P4543" s="4" t="s">
        <v>29</v>
      </c>
      <c r="Q4543" s="4" t="s">
        <v>18204</v>
      </c>
      <c r="R4543" s="6"/>
      <c r="S4543" s="6"/>
      <c r="T4543" s="6"/>
      <c r="U4543" s="6"/>
      <c r="V4543" s="6"/>
      <c r="W4543" s="6"/>
      <c r="X4543" s="6"/>
      <c r="Y4543" s="6"/>
      <c r="Z4543" s="6"/>
      <c r="AA4543" s="6"/>
    </row>
    <row r="4544" ht="14.25">
      <c r="B4544" s="4" t="s">
        <v>4026</v>
      </c>
      <c r="C4544" s="4" t="s">
        <v>32088</v>
      </c>
      <c r="D4544" s="4" t="s">
        <v>879</v>
      </c>
      <c r="E4544" s="4" t="s">
        <v>32089</v>
      </c>
      <c r="F4544" s="4" t="str">
        <f>IFERROR(__XLUDF.DUMMYFUNCTION("PROPER(REGEXREPLACE(D949,""[^A-Za-z]+ "",""""))"),"Boreal Hygiene")</f>
        <v xml:space="preserve">Boreal Hygiene</v>
      </c>
      <c r="G4544" s="4" t="s">
        <v>32090</v>
      </c>
      <c r="H4544" s="4">
        <v>10</v>
      </c>
      <c r="I4544" s="4" t="s">
        <v>4525</v>
      </c>
      <c r="J4544" s="4" t="str">
        <f>IFERROR(__XLUDF.DUMMYFUNCTION("VLOOKUP(H949,IMPORTRANGE(""https://docs.google.com/spreadsheets/d/1opm6ZNvGZ7KditA9TuJwrZ25eFLfTNIkrNnY6mhV5Eg"",""list!A1:C115""),3,TRUE)"),"le secteur du retail")</f>
        <v xml:space="preserve">le secteur du retail</v>
      </c>
      <c r="K4544" s="5" t="s">
        <v>32091</v>
      </c>
      <c r="L4544" s="5" t="s">
        <v>32092</v>
      </c>
      <c r="M4544" s="4" t="s">
        <v>32093</v>
      </c>
      <c r="N4544" s="4" t="s">
        <v>29</v>
      </c>
      <c r="O4544" s="4" t="s">
        <v>32094</v>
      </c>
      <c r="P4544" s="4" t="s">
        <v>29</v>
      </c>
      <c r="Q4544" s="4" t="s">
        <v>32095</v>
      </c>
      <c r="R4544" s="6"/>
      <c r="S4544" s="6"/>
      <c r="T4544" s="6"/>
      <c r="U4544" s="6"/>
      <c r="V4544" s="6"/>
      <c r="W4544" s="6"/>
      <c r="X4544" s="6"/>
      <c r="Y4544" s="6"/>
      <c r="Z4544" s="6"/>
      <c r="AA4544" s="6"/>
    </row>
    <row r="4545" ht="14.25">
      <c r="B4545" s="4" t="s">
        <v>670</v>
      </c>
      <c r="C4545" s="4" t="s">
        <v>32096</v>
      </c>
      <c r="D4545" s="4" t="s">
        <v>172</v>
      </c>
      <c r="E4545" s="4" t="s">
        <v>32097</v>
      </c>
      <c r="F4545" s="4" t="str">
        <f>IFERROR(__XLUDF.DUMMYFUNCTION("PROPER(REGEXREPLACE(D950,""[^A-Za-z]+ "",""""))"),"Sarevi")</f>
        <v>Sarevi</v>
      </c>
      <c r="G4545" s="4" t="s">
        <v>32098</v>
      </c>
      <c r="H4545" s="4">
        <v>28</v>
      </c>
      <c r="I4545" s="4" t="s">
        <v>4525</v>
      </c>
      <c r="J4545" s="4" t="str">
        <f>IFERROR(__XLUDF.DUMMYFUNCTION("VLOOKUP(H950,IMPORTRANGE(""https://docs.google.com/spreadsheets/d/1opm6ZNvGZ7KditA9TuJwrZ25eFLfTNIkrNnY6mhV5Eg"",""list!A1:C115""),3,TRUE)"),"le secteur du retail")</f>
        <v xml:space="preserve">le secteur du retail</v>
      </c>
      <c r="K4545" s="5" t="s">
        <v>32099</v>
      </c>
      <c r="L4545" s="5" t="s">
        <v>32100</v>
      </c>
      <c r="M4545" s="4" t="s">
        <v>39</v>
      </c>
      <c r="N4545" s="4" t="s">
        <v>29</v>
      </c>
      <c r="O4545" s="4" t="s">
        <v>32101</v>
      </c>
      <c r="P4545" s="4" t="s">
        <v>29</v>
      </c>
      <c r="Q4545" s="4" t="s">
        <v>32102</v>
      </c>
      <c r="R4545" s="6"/>
      <c r="S4545" s="6"/>
      <c r="T4545" s="6"/>
      <c r="U4545" s="6"/>
      <c r="V4545" s="6"/>
      <c r="W4545" s="6"/>
      <c r="X4545" s="6"/>
      <c r="Y4545" s="6"/>
      <c r="Z4545" s="6"/>
      <c r="AA4545" s="6"/>
    </row>
    <row r="4546" ht="14.25">
      <c r="B4546" s="4" t="s">
        <v>322</v>
      </c>
      <c r="C4546" s="4" t="s">
        <v>32103</v>
      </c>
      <c r="D4546" s="4" t="s">
        <v>172</v>
      </c>
      <c r="E4546" s="4" t="s">
        <v>32104</v>
      </c>
      <c r="F4546" s="4" t="str">
        <f>IFERROR(__XLUDF.DUMMYFUNCTION("PROPER(REGEXREPLACE(D951,""[^A-Za-z]+ "",""""))"),"Catequip")</f>
        <v>Catequip</v>
      </c>
      <c r="G4546" s="4" t="s">
        <v>32105</v>
      </c>
      <c r="H4546" s="4">
        <v>25</v>
      </c>
      <c r="I4546" s="4" t="s">
        <v>4525</v>
      </c>
      <c r="J4546" s="4" t="str">
        <f>IFERROR(__XLUDF.DUMMYFUNCTION("VLOOKUP(H951,IMPORTRANGE(""https://docs.google.com/spreadsheets/d/1opm6ZNvGZ7KditA9TuJwrZ25eFLfTNIkrNnY6mhV5Eg"",""list!A1:C115""),3,TRUE)"),"le secteur du retail")</f>
        <v xml:space="preserve">le secteur du retail</v>
      </c>
      <c r="K4546" s="5" t="s">
        <v>32106</v>
      </c>
      <c r="L4546" s="5" t="s">
        <v>32107</v>
      </c>
      <c r="M4546" s="4" t="s">
        <v>39</v>
      </c>
      <c r="N4546" s="4" t="s">
        <v>29</v>
      </c>
      <c r="O4546" s="4" t="s">
        <v>32108</v>
      </c>
      <c r="P4546" s="4" t="s">
        <v>29</v>
      </c>
      <c r="Q4546" s="4" t="s">
        <v>32109</v>
      </c>
      <c r="R4546" s="6"/>
      <c r="S4546" s="6"/>
      <c r="T4546" s="6"/>
      <c r="U4546" s="6"/>
      <c r="V4546" s="6"/>
      <c r="W4546" s="6"/>
      <c r="X4546" s="6"/>
      <c r="Y4546" s="6"/>
      <c r="Z4546" s="6"/>
      <c r="AA4546" s="6"/>
    </row>
    <row r="4547" ht="14.25">
      <c r="B4547" s="4" t="s">
        <v>1153</v>
      </c>
      <c r="C4547" s="4" t="s">
        <v>32110</v>
      </c>
      <c r="D4547" s="4" t="s">
        <v>172</v>
      </c>
      <c r="E4547" s="4" t="s">
        <v>32111</v>
      </c>
      <c r="F4547" s="4" t="str">
        <f>IFERROR(__XLUDF.DUMMYFUNCTION("PROPER(REGEXREPLACE(D952,""[^A-Za-z]+ "",""""))"),"Cave Du Val D'Or")</f>
        <v xml:space="preserve">Cave Du Val D'Or</v>
      </c>
      <c r="G4547" s="4" t="s">
        <v>32112</v>
      </c>
      <c r="H4547" s="4">
        <v>26</v>
      </c>
      <c r="I4547" s="4" t="s">
        <v>4525</v>
      </c>
      <c r="J4547" s="4" t="str">
        <f>IFERROR(__XLUDF.DUMMYFUNCTION("VLOOKUP(H952,IMPORTRANGE(""https://docs.google.com/spreadsheets/d/1opm6ZNvGZ7KditA9TuJwrZ25eFLfTNIkrNnY6mhV5Eg"",""list!A1:C115""),3,TRUE)"),"le secteur du retail")</f>
        <v xml:space="preserve">le secteur du retail</v>
      </c>
      <c r="K4547" s="5" t="s">
        <v>32113</v>
      </c>
      <c r="L4547" s="5" t="s">
        <v>32114</v>
      </c>
      <c r="M4547" s="4" t="s">
        <v>32115</v>
      </c>
      <c r="N4547" s="4" t="s">
        <v>29</v>
      </c>
      <c r="O4547" s="4" t="s">
        <v>32116</v>
      </c>
      <c r="P4547" s="4" t="s">
        <v>29</v>
      </c>
      <c r="Q4547" s="6"/>
      <c r="R4547" s="6"/>
      <c r="S4547" s="6"/>
      <c r="T4547" s="6"/>
      <c r="U4547" s="6"/>
      <c r="V4547" s="6"/>
      <c r="W4547" s="6"/>
      <c r="X4547" s="6"/>
      <c r="Y4547" s="6"/>
      <c r="Z4547" s="6"/>
      <c r="AA4547" s="6"/>
    </row>
    <row r="4548" ht="14.25">
      <c r="B4548" s="4" t="s">
        <v>2242</v>
      </c>
      <c r="C4548" s="4" t="s">
        <v>32117</v>
      </c>
      <c r="D4548" s="4" t="s">
        <v>1950</v>
      </c>
      <c r="E4548" s="4" t="s">
        <v>32118</v>
      </c>
      <c r="F4548" s="4" t="str">
        <f>IFERROR(__XLUDF.DUMMYFUNCTION("PROPER(REGEXREPLACE(D953,""[^A-Za-z]+ "",""""))"),"Abcd Optique")</f>
        <v xml:space="preserve">Abcd Optique</v>
      </c>
      <c r="G4548" s="4" t="s">
        <v>32119</v>
      </c>
      <c r="H4548" s="4">
        <v>15</v>
      </c>
      <c r="I4548" s="4" t="s">
        <v>4525</v>
      </c>
      <c r="J4548" s="4" t="str">
        <f>IFERROR(__XLUDF.DUMMYFUNCTION("VLOOKUP(H953,IMPORTRANGE(""https://docs.google.com/spreadsheets/d/1opm6ZNvGZ7KditA9TuJwrZ25eFLfTNIkrNnY6mhV5Eg"",""list!A1:C115""),3,TRUE)"),"le secteur du retail")</f>
        <v xml:space="preserve">le secteur du retail</v>
      </c>
      <c r="K4548" s="5" t="s">
        <v>32120</v>
      </c>
      <c r="L4548" s="5" t="s">
        <v>32121</v>
      </c>
      <c r="M4548" s="4" t="s">
        <v>295</v>
      </c>
      <c r="N4548" s="4" t="s">
        <v>29</v>
      </c>
      <c r="O4548" s="4" t="s">
        <v>32122</v>
      </c>
      <c r="P4548" s="4" t="s">
        <v>29</v>
      </c>
      <c r="Q4548" s="6"/>
      <c r="R4548" s="6"/>
      <c r="S4548" s="6"/>
      <c r="T4548" s="6"/>
      <c r="U4548" s="6"/>
      <c r="V4548" s="6"/>
      <c r="W4548" s="6"/>
      <c r="X4548" s="6"/>
      <c r="Y4548" s="6"/>
      <c r="Z4548" s="6"/>
      <c r="AA4548" s="6"/>
    </row>
    <row r="4549" ht="14.25">
      <c r="B4549" s="4" t="s">
        <v>1215</v>
      </c>
      <c r="C4549" s="4" t="s">
        <v>32123</v>
      </c>
      <c r="D4549" s="4" t="s">
        <v>172</v>
      </c>
      <c r="E4549" s="4" t="s">
        <v>23166</v>
      </c>
      <c r="F4549" s="4" t="str">
        <f>IFERROR(__XLUDF.DUMMYFUNCTION("PROPER(REGEXREPLACE(D954,""[^A-Za-z]+ "",""""))"),"Ek France")</f>
        <v xml:space="preserve">Ek France</v>
      </c>
      <c r="G4549" s="4" t="s">
        <v>32124</v>
      </c>
      <c r="H4549" s="4">
        <v>30</v>
      </c>
      <c r="I4549" s="4" t="s">
        <v>4525</v>
      </c>
      <c r="J4549" s="4" t="str">
        <f>IFERROR(__XLUDF.DUMMYFUNCTION("VLOOKUP(H954,IMPORTRANGE(""https://docs.google.com/spreadsheets/d/1opm6ZNvGZ7KditA9TuJwrZ25eFLfTNIkrNnY6mhV5Eg"",""list!A1:C115""),3,TRUE)"),"le secteur du retail")</f>
        <v xml:space="preserve">le secteur du retail</v>
      </c>
      <c r="K4549" s="5" t="s">
        <v>32125</v>
      </c>
      <c r="L4549" s="5" t="s">
        <v>23169</v>
      </c>
      <c r="M4549" s="6"/>
      <c r="N4549" s="4" t="s">
        <v>29</v>
      </c>
      <c r="O4549" s="4" t="s">
        <v>23170</v>
      </c>
      <c r="P4549" s="4" t="s">
        <v>29</v>
      </c>
      <c r="Q4549" s="6"/>
      <c r="R4549" s="6"/>
      <c r="S4549" s="6"/>
      <c r="T4549" s="6"/>
      <c r="U4549" s="6"/>
      <c r="V4549" s="6"/>
      <c r="W4549" s="6"/>
      <c r="X4549" s="6"/>
      <c r="Y4549" s="6"/>
      <c r="Z4549" s="6"/>
      <c r="AA4549" s="6"/>
    </row>
    <row r="4550" ht="14.25">
      <c r="B4550" s="4" t="s">
        <v>2299</v>
      </c>
      <c r="C4550" s="4" t="s">
        <v>32126</v>
      </c>
      <c r="D4550" s="4" t="s">
        <v>172</v>
      </c>
      <c r="E4550" s="4" t="s">
        <v>32127</v>
      </c>
      <c r="F4550" s="4" t="str">
        <f>IFERROR(__XLUDF.DUMMYFUNCTION("PROPER(REGEXREPLACE(D955,""[^A-Za-z]+ "",""""))"),"Atelierdelacreation")</f>
        <v>Atelierdelacreation</v>
      </c>
      <c r="G4550" s="4" t="s">
        <v>32128</v>
      </c>
      <c r="H4550" s="4">
        <v>5</v>
      </c>
      <c r="I4550" s="4" t="s">
        <v>4525</v>
      </c>
      <c r="J4550" s="4" t="str">
        <f>IFERROR(__XLUDF.DUMMYFUNCTION("VLOOKUP(H955,IMPORTRANGE(""https://docs.google.com/spreadsheets/d/1opm6ZNvGZ7KditA9TuJwrZ25eFLfTNIkrNnY6mhV5Eg"",""list!A1:C115""),3,TRUE)"),"le secteur du retail")</f>
        <v xml:space="preserve">le secteur du retail</v>
      </c>
      <c r="K4550" s="5" t="s">
        <v>32129</v>
      </c>
      <c r="L4550" s="5" t="s">
        <v>32130</v>
      </c>
      <c r="M4550" s="4" t="s">
        <v>39</v>
      </c>
      <c r="N4550" s="4" t="s">
        <v>29</v>
      </c>
      <c r="O4550" s="4" t="s">
        <v>32131</v>
      </c>
      <c r="P4550" s="4" t="s">
        <v>29</v>
      </c>
      <c r="Q4550" s="6"/>
      <c r="R4550" s="6"/>
      <c r="S4550" s="6"/>
      <c r="T4550" s="6"/>
      <c r="U4550" s="6"/>
      <c r="V4550" s="6"/>
      <c r="W4550" s="6"/>
      <c r="X4550" s="6"/>
      <c r="Y4550" s="6"/>
      <c r="Z4550" s="6"/>
      <c r="AA4550" s="6"/>
    </row>
    <row r="4551" ht="14.25">
      <c r="B4551" s="4" t="s">
        <v>32132</v>
      </c>
      <c r="C4551" s="4" t="s">
        <v>10222</v>
      </c>
      <c r="D4551" s="4" t="s">
        <v>164</v>
      </c>
      <c r="E4551" s="4" t="s">
        <v>32133</v>
      </c>
      <c r="F4551" s="4" t="str">
        <f>IFERROR(__XLUDF.DUMMYFUNCTION("PROPER(REGEXREPLACE(D956,""[^A-Za-z]+ "",""""))"),"Ac2R Securite Electronique Et Electricite")</f>
        <v xml:space="preserve">Ac2R Securite Electronique Et Electricite</v>
      </c>
      <c r="G4551" s="4" t="s">
        <v>32134</v>
      </c>
      <c r="H4551" s="4">
        <v>16</v>
      </c>
      <c r="I4551" s="4" t="s">
        <v>4525</v>
      </c>
      <c r="J4551" s="4" t="str">
        <f>IFERROR(__XLUDF.DUMMYFUNCTION("VLOOKUP(H956,IMPORTRANGE(""https://docs.google.com/spreadsheets/d/1opm6ZNvGZ7KditA9TuJwrZ25eFLfTNIkrNnY6mhV5Eg"",""list!A1:C115""),3,TRUE)"),"le secteur du retail")</f>
        <v xml:space="preserve">le secteur du retail</v>
      </c>
      <c r="K4551" s="5" t="s">
        <v>32135</v>
      </c>
      <c r="L4551" s="5" t="s">
        <v>32136</v>
      </c>
      <c r="M4551" s="4" t="s">
        <v>185</v>
      </c>
      <c r="N4551" s="4" t="s">
        <v>29</v>
      </c>
      <c r="O4551" s="4" t="s">
        <v>32137</v>
      </c>
      <c r="P4551" s="4" t="s">
        <v>29</v>
      </c>
      <c r="Q4551" s="4" t="s">
        <v>32138</v>
      </c>
      <c r="R4551" s="6"/>
      <c r="S4551" s="6"/>
      <c r="T4551" s="6"/>
      <c r="U4551" s="6"/>
      <c r="V4551" s="6"/>
      <c r="W4551" s="6"/>
      <c r="X4551" s="6"/>
      <c r="Y4551" s="6"/>
      <c r="Z4551" s="6"/>
      <c r="AA4551" s="6"/>
    </row>
    <row r="4552" ht="14.25">
      <c r="B4552" s="4" t="s">
        <v>1571</v>
      </c>
      <c r="C4552" s="4" t="s">
        <v>32139</v>
      </c>
      <c r="D4552" s="4" t="s">
        <v>164</v>
      </c>
      <c r="E4552" s="4" t="s">
        <v>32140</v>
      </c>
      <c r="F4552" s="4" t="str">
        <f>IFERROR(__XLUDF.DUMMYFUNCTION("PROPER(REGEXREPLACE(D957,""[^A-Za-z]+ "",""""))"),"L'Appel Du Livre")</f>
        <v xml:space="preserve">L'Appel Du Livre</v>
      </c>
      <c r="G4552" s="4" t="s">
        <v>32141</v>
      </c>
      <c r="H4552" s="4">
        <v>16</v>
      </c>
      <c r="I4552" s="4" t="s">
        <v>4525</v>
      </c>
      <c r="J4552" s="4" t="str">
        <f>IFERROR(__XLUDF.DUMMYFUNCTION("VLOOKUP(H957,IMPORTRANGE(""https://docs.google.com/spreadsheets/d/1opm6ZNvGZ7KditA9TuJwrZ25eFLfTNIkrNnY6mhV5Eg"",""list!A1:C115""),3,TRUE)"),"le secteur du retail")</f>
        <v xml:space="preserve">le secteur du retail</v>
      </c>
      <c r="K4552" s="5" t="s">
        <v>32142</v>
      </c>
      <c r="L4552" s="5" t="s">
        <v>32143</v>
      </c>
      <c r="M4552" s="4" t="s">
        <v>39</v>
      </c>
      <c r="N4552" s="4" t="s">
        <v>29</v>
      </c>
      <c r="O4552" s="4" t="s">
        <v>32144</v>
      </c>
      <c r="P4552" s="4" t="s">
        <v>29</v>
      </c>
      <c r="Q4552" s="6"/>
      <c r="R4552" s="6"/>
      <c r="S4552" s="6"/>
      <c r="T4552" s="6"/>
      <c r="U4552" s="6"/>
      <c r="V4552" s="6"/>
      <c r="W4552" s="6"/>
      <c r="X4552" s="6"/>
      <c r="Y4552" s="6"/>
      <c r="Z4552" s="6"/>
      <c r="AA4552" s="6"/>
    </row>
    <row r="4553" ht="14.25">
      <c r="B4553" s="4" t="s">
        <v>32145</v>
      </c>
      <c r="C4553" s="4" t="s">
        <v>32146</v>
      </c>
      <c r="D4553" s="4" t="s">
        <v>9849</v>
      </c>
      <c r="E4553" s="4" t="s">
        <v>32147</v>
      </c>
      <c r="F4553" s="4" t="str">
        <f>IFERROR(__XLUDF.DUMMYFUNCTION("PROPER(REGEXREPLACE(D958,""[^A-Za-z]+ "",""""))"),"Dps Market")</f>
        <v xml:space="preserve">Dps Market</v>
      </c>
      <c r="G4553" s="4" t="s">
        <v>32148</v>
      </c>
      <c r="H4553" s="4">
        <v>37</v>
      </c>
      <c r="I4553" s="4" t="s">
        <v>4525</v>
      </c>
      <c r="J4553" s="4" t="str">
        <f>IFERROR(__XLUDF.DUMMYFUNCTION("VLOOKUP(H958,IMPORTRANGE(""https://docs.google.com/spreadsheets/d/1opm6ZNvGZ7KditA9TuJwrZ25eFLfTNIkrNnY6mhV5Eg"",""list!A1:C115""),3,TRUE)"),"le secteur du retail")</f>
        <v xml:space="preserve">le secteur du retail</v>
      </c>
      <c r="K4553" s="5" t="s">
        <v>32149</v>
      </c>
      <c r="L4553" s="5" t="s">
        <v>32150</v>
      </c>
      <c r="M4553" s="6"/>
      <c r="N4553" s="4" t="s">
        <v>29</v>
      </c>
      <c r="O4553" s="4" t="s">
        <v>32151</v>
      </c>
      <c r="P4553" s="4" t="s">
        <v>29</v>
      </c>
      <c r="Q4553" s="4" t="s">
        <v>32152</v>
      </c>
      <c r="R4553" s="6"/>
      <c r="S4553" s="6"/>
      <c r="T4553" s="6"/>
      <c r="U4553" s="6"/>
      <c r="V4553" s="6"/>
      <c r="W4553" s="6"/>
      <c r="X4553" s="6"/>
      <c r="Y4553" s="6"/>
      <c r="Z4553" s="6"/>
      <c r="AA4553" s="6"/>
    </row>
    <row r="4554" ht="14.25">
      <c r="B4554" s="4" t="s">
        <v>808</v>
      </c>
      <c r="C4554" s="4" t="s">
        <v>32153</v>
      </c>
      <c r="D4554" s="4" t="s">
        <v>13450</v>
      </c>
      <c r="E4554" s="4" t="s">
        <v>32154</v>
      </c>
      <c r="F4554" s="4" t="str">
        <f>IFERROR(__XLUDF.DUMMYFUNCTION("PROPER(REGEXREPLACE(D959,""[^A-Za-z]+ "",""""))"),"Chr-Avenue")</f>
        <v>Chr-Avenue</v>
      </c>
      <c r="G4554" s="4" t="s">
        <v>32155</v>
      </c>
      <c r="H4554" s="4">
        <v>20</v>
      </c>
      <c r="I4554" s="4" t="s">
        <v>4525</v>
      </c>
      <c r="J4554" s="4" t="str">
        <f>IFERROR(__XLUDF.DUMMYFUNCTION("VLOOKUP(H959,IMPORTRANGE(""https://docs.google.com/spreadsheets/d/1opm6ZNvGZ7KditA9TuJwrZ25eFLfTNIkrNnY6mhV5Eg"",""list!A1:C115""),3,TRUE)"),"le secteur du retail")</f>
        <v xml:space="preserve">le secteur du retail</v>
      </c>
      <c r="K4554" s="5" t="s">
        <v>32156</v>
      </c>
      <c r="L4554" s="5" t="s">
        <v>32157</v>
      </c>
      <c r="M4554" s="4" t="s">
        <v>1711</v>
      </c>
      <c r="N4554" s="4" t="s">
        <v>29</v>
      </c>
      <c r="O4554" s="4" t="s">
        <v>32158</v>
      </c>
      <c r="P4554" s="4" t="s">
        <v>29</v>
      </c>
      <c r="Q4554" s="4" t="s">
        <v>32159</v>
      </c>
      <c r="R4554" s="6"/>
      <c r="S4554" s="6"/>
      <c r="T4554" s="6"/>
      <c r="U4554" s="6"/>
      <c r="V4554" s="6"/>
      <c r="W4554" s="6"/>
      <c r="X4554" s="6"/>
      <c r="Y4554" s="6"/>
      <c r="Z4554" s="6"/>
      <c r="AA4554" s="6"/>
    </row>
    <row r="4555" ht="14.25">
      <c r="B4555" s="4" t="s">
        <v>785</v>
      </c>
      <c r="C4555" s="4" t="s">
        <v>32160</v>
      </c>
      <c r="D4555" s="4" t="s">
        <v>468</v>
      </c>
      <c r="E4555" s="4" t="s">
        <v>32161</v>
      </c>
      <c r="F4555" s="4" t="str">
        <f>IFERROR(__XLUDF.DUMMYFUNCTION("PROPER(REGEXREPLACE(D960,""[^A-Za-z]+ "",""""))"),"E-Liquide-Fr")</f>
        <v>E-Liquide-Fr</v>
      </c>
      <c r="G4555" s="4" t="s">
        <v>32162</v>
      </c>
      <c r="H4555" s="4">
        <v>13</v>
      </c>
      <c r="I4555" s="4" t="s">
        <v>4525</v>
      </c>
      <c r="J4555" s="4" t="str">
        <f>IFERROR(__XLUDF.DUMMYFUNCTION("VLOOKUP(H960,IMPORTRANGE(""https://docs.google.com/spreadsheets/d/1opm6ZNvGZ7KditA9TuJwrZ25eFLfTNIkrNnY6mhV5Eg"",""list!A1:C115""),3,TRUE)"),"le secteur du retail")</f>
        <v xml:space="preserve">le secteur du retail</v>
      </c>
      <c r="K4555" s="5" t="s">
        <v>32163</v>
      </c>
      <c r="L4555" s="5" t="s">
        <v>32164</v>
      </c>
      <c r="M4555" s="4" t="s">
        <v>32165</v>
      </c>
      <c r="N4555" s="4" t="s">
        <v>29</v>
      </c>
      <c r="O4555" s="4" t="s">
        <v>32166</v>
      </c>
      <c r="P4555" s="4" t="s">
        <v>29</v>
      </c>
      <c r="Q4555" s="4" t="s">
        <v>32167</v>
      </c>
      <c r="R4555" s="6"/>
      <c r="S4555" s="6"/>
      <c r="T4555" s="6"/>
      <c r="U4555" s="6"/>
      <c r="V4555" s="6"/>
      <c r="W4555" s="6"/>
      <c r="X4555" s="6"/>
      <c r="Y4555" s="6"/>
      <c r="Z4555" s="6"/>
      <c r="AA4555" s="6"/>
    </row>
    <row r="4556" ht="14.25">
      <c r="B4556" s="4" t="s">
        <v>3870</v>
      </c>
      <c r="C4556" s="4" t="s">
        <v>32168</v>
      </c>
      <c r="D4556" s="4" t="s">
        <v>7185</v>
      </c>
      <c r="E4556" s="4" t="s">
        <v>32169</v>
      </c>
      <c r="F4556" s="4" t="str">
        <f>IFERROR(__XLUDF.DUMMYFUNCTION("PROPER(REGEXREPLACE(D961,""[^A-Za-z]+ "",""""))"),"Abry-Arnold")</f>
        <v>Abry-Arnold</v>
      </c>
      <c r="G4556" s="4" t="s">
        <v>32170</v>
      </c>
      <c r="H4556" s="4">
        <v>21</v>
      </c>
      <c r="I4556" s="4" t="s">
        <v>4525</v>
      </c>
      <c r="J4556" s="4" t="str">
        <f>IFERROR(__XLUDF.DUMMYFUNCTION("VLOOKUP(H961,IMPORTRANGE(""https://docs.google.com/spreadsheets/d/1opm6ZNvGZ7KditA9TuJwrZ25eFLfTNIkrNnY6mhV5Eg"",""list!A1:C115""),3,TRUE)"),"le secteur du retail")</f>
        <v xml:space="preserve">le secteur du retail</v>
      </c>
      <c r="K4556" s="5" t="s">
        <v>32171</v>
      </c>
      <c r="L4556" s="5" t="s">
        <v>32172</v>
      </c>
      <c r="M4556" s="4" t="s">
        <v>651</v>
      </c>
      <c r="N4556" s="4" t="s">
        <v>29</v>
      </c>
      <c r="O4556" s="4" t="s">
        <v>6216</v>
      </c>
      <c r="P4556" s="4" t="s">
        <v>29</v>
      </c>
      <c r="Q4556" s="6"/>
      <c r="R4556" s="6"/>
      <c r="S4556" s="6"/>
      <c r="T4556" s="6"/>
      <c r="U4556" s="6"/>
      <c r="V4556" s="6"/>
      <c r="W4556" s="6"/>
      <c r="X4556" s="6"/>
      <c r="Y4556" s="6"/>
      <c r="Z4556" s="6"/>
      <c r="AA4556" s="6"/>
    </row>
    <row r="4557" ht="14.25">
      <c r="B4557" s="4" t="s">
        <v>7198</v>
      </c>
      <c r="C4557" s="4" t="s">
        <v>32173</v>
      </c>
      <c r="D4557" s="4" t="s">
        <v>62</v>
      </c>
      <c r="E4557" s="4" t="s">
        <v>32174</v>
      </c>
      <c r="F4557" s="4" t="str">
        <f>IFERROR(__XLUDF.DUMMYFUNCTION("PROPER(REGEXREPLACE(D962,""[^A-Za-z]+ "",""""))"),"Green Owl")</f>
        <v xml:space="preserve">Green Owl</v>
      </c>
      <c r="G4557" s="4" t="s">
        <v>32175</v>
      </c>
      <c r="H4557" s="4">
        <v>18</v>
      </c>
      <c r="I4557" s="4" t="s">
        <v>4525</v>
      </c>
      <c r="J4557" s="4" t="str">
        <f>IFERROR(__XLUDF.DUMMYFUNCTION("VLOOKUP(H962,IMPORTRANGE(""https://docs.google.com/spreadsheets/d/1opm6ZNvGZ7KditA9TuJwrZ25eFLfTNIkrNnY6mhV5Eg"",""list!A1:C115""),3,TRUE)"),"le secteur du retail")</f>
        <v xml:space="preserve">le secteur du retail</v>
      </c>
      <c r="K4557" s="5" t="s">
        <v>32176</v>
      </c>
      <c r="L4557" s="5" t="s">
        <v>32177</v>
      </c>
      <c r="M4557" s="4" t="s">
        <v>39</v>
      </c>
      <c r="N4557" s="4" t="s">
        <v>29</v>
      </c>
      <c r="O4557" s="4" t="s">
        <v>32178</v>
      </c>
      <c r="P4557" s="4" t="s">
        <v>29</v>
      </c>
      <c r="Q4557" s="4" t="s">
        <v>32179</v>
      </c>
      <c r="R4557" s="6"/>
      <c r="S4557" s="6"/>
      <c r="T4557" s="6"/>
      <c r="U4557" s="6"/>
      <c r="V4557" s="6"/>
      <c r="W4557" s="6"/>
      <c r="X4557" s="6"/>
      <c r="Y4557" s="6"/>
      <c r="Z4557" s="6"/>
      <c r="AA4557" s="6"/>
    </row>
    <row r="4558" ht="14.25">
      <c r="B4558" s="4" t="s">
        <v>255</v>
      </c>
      <c r="C4558" s="4" t="s">
        <v>32180</v>
      </c>
      <c r="D4558" s="4" t="s">
        <v>44</v>
      </c>
      <c r="E4558" s="4" t="s">
        <v>22797</v>
      </c>
      <c r="F4558" s="4" t="str">
        <f>IFERROR(__XLUDF.DUMMYFUNCTION("PROPER(REGEXREPLACE(D963,""[^A-Za-z]+ "",""""))"),"Faubourg 54")</f>
        <v xml:space="preserve">Faubourg 54</v>
      </c>
      <c r="G4558" s="4" t="s">
        <v>32181</v>
      </c>
      <c r="H4558" s="4">
        <v>9</v>
      </c>
      <c r="I4558" s="4" t="s">
        <v>4525</v>
      </c>
      <c r="J4558" s="4" t="str">
        <f>IFERROR(__XLUDF.DUMMYFUNCTION("VLOOKUP(H963,IMPORTRANGE(""https://docs.google.com/spreadsheets/d/1opm6ZNvGZ7KditA9TuJwrZ25eFLfTNIkrNnY6mhV5Eg"",""list!A1:C115""),3,TRUE)"),"le secteur du retail")</f>
        <v xml:space="preserve">le secteur du retail</v>
      </c>
      <c r="K4558" s="5" t="s">
        <v>32182</v>
      </c>
      <c r="L4558" s="5" t="s">
        <v>22800</v>
      </c>
      <c r="M4558" s="4" t="s">
        <v>39</v>
      </c>
      <c r="N4558" s="4" t="s">
        <v>29</v>
      </c>
      <c r="O4558" s="4" t="s">
        <v>22801</v>
      </c>
      <c r="P4558" s="4" t="s">
        <v>29</v>
      </c>
      <c r="Q4558" s="4" t="s">
        <v>22802</v>
      </c>
      <c r="R4558" s="6"/>
      <c r="S4558" s="6"/>
      <c r="T4558" s="6"/>
      <c r="U4558" s="6"/>
      <c r="V4558" s="6"/>
      <c r="W4558" s="6"/>
      <c r="X4558" s="6"/>
      <c r="Y4558" s="6"/>
      <c r="Z4558" s="6"/>
      <c r="AA4558" s="6"/>
    </row>
    <row r="4559" ht="14.25">
      <c r="B4559" s="4" t="s">
        <v>32183</v>
      </c>
      <c r="C4559" s="4" t="s">
        <v>32184</v>
      </c>
      <c r="D4559" s="4" t="s">
        <v>230</v>
      </c>
      <c r="E4559" s="4" t="s">
        <v>32185</v>
      </c>
      <c r="F4559" s="4" t="str">
        <f>IFERROR(__XLUDF.DUMMYFUNCTION("PROPER(REGEXREPLACE(D964,""[^A-Za-z]+ "",""""))"),"Focus Coworking")</f>
        <v xml:space="preserve">Focus Coworking</v>
      </c>
      <c r="G4559" s="4" t="s">
        <v>32186</v>
      </c>
      <c r="H4559" s="4">
        <v>12</v>
      </c>
      <c r="I4559" s="4" t="s">
        <v>4525</v>
      </c>
      <c r="J4559" s="4" t="str">
        <f>IFERROR(__XLUDF.DUMMYFUNCTION("VLOOKUP(H964,IMPORTRANGE(""https://docs.google.com/spreadsheets/d/1opm6ZNvGZ7KditA9TuJwrZ25eFLfTNIkrNnY6mhV5Eg"",""list!A1:C115""),3,TRUE)"),"le secteur du retail")</f>
        <v xml:space="preserve">le secteur du retail</v>
      </c>
      <c r="K4559" s="5" t="s">
        <v>32187</v>
      </c>
      <c r="L4559" s="5" t="s">
        <v>32188</v>
      </c>
      <c r="M4559" s="4" t="s">
        <v>39</v>
      </c>
      <c r="N4559" s="4" t="s">
        <v>29</v>
      </c>
      <c r="O4559" s="4" t="s">
        <v>32189</v>
      </c>
      <c r="P4559" s="4" t="s">
        <v>29</v>
      </c>
      <c r="Q4559" s="4" t="s">
        <v>32190</v>
      </c>
      <c r="R4559" s="6"/>
      <c r="S4559" s="6"/>
      <c r="T4559" s="6"/>
      <c r="U4559" s="6"/>
      <c r="V4559" s="6"/>
      <c r="W4559" s="6"/>
      <c r="X4559" s="6"/>
      <c r="Y4559" s="6"/>
      <c r="Z4559" s="6"/>
      <c r="AA4559" s="6"/>
    </row>
    <row r="4560" ht="14.25">
      <c r="B4560" s="4" t="s">
        <v>32191</v>
      </c>
      <c r="C4560" s="4" t="s">
        <v>32192</v>
      </c>
      <c r="D4560" s="4" t="s">
        <v>44</v>
      </c>
      <c r="E4560" s="4" t="s">
        <v>22797</v>
      </c>
      <c r="F4560" s="4" t="str">
        <f>IFERROR(__XLUDF.DUMMYFUNCTION("PROPER(REGEXREPLACE(D965,""[^A-Za-z]+ "",""""))"),"Faubourg 54")</f>
        <v xml:space="preserve">Faubourg 54</v>
      </c>
      <c r="G4560" s="4" t="s">
        <v>32193</v>
      </c>
      <c r="H4560" s="4">
        <v>9</v>
      </c>
      <c r="I4560" s="4" t="s">
        <v>4525</v>
      </c>
      <c r="J4560" s="4" t="str">
        <f>IFERROR(__XLUDF.DUMMYFUNCTION("VLOOKUP(H965,IMPORTRANGE(""https://docs.google.com/spreadsheets/d/1opm6ZNvGZ7KditA9TuJwrZ25eFLfTNIkrNnY6mhV5Eg"",""list!A1:C115""),3,TRUE)"),"le secteur du retail")</f>
        <v xml:space="preserve">le secteur du retail</v>
      </c>
      <c r="K4560" s="5" t="s">
        <v>32194</v>
      </c>
      <c r="L4560" s="5" t="s">
        <v>22800</v>
      </c>
      <c r="M4560" s="4" t="s">
        <v>39</v>
      </c>
      <c r="N4560" s="4" t="s">
        <v>29</v>
      </c>
      <c r="O4560" s="4" t="s">
        <v>22801</v>
      </c>
      <c r="P4560" s="4" t="s">
        <v>29</v>
      </c>
      <c r="Q4560" s="4" t="s">
        <v>22802</v>
      </c>
      <c r="R4560" s="6"/>
      <c r="S4560" s="6"/>
      <c r="T4560" s="6"/>
      <c r="U4560" s="6"/>
      <c r="V4560" s="6"/>
      <c r="W4560" s="6"/>
      <c r="X4560" s="6"/>
      <c r="Y4560" s="6"/>
      <c r="Z4560" s="6"/>
      <c r="AA4560" s="6"/>
    </row>
    <row r="4561" ht="14.25">
      <c r="B4561" s="4" t="s">
        <v>963</v>
      </c>
      <c r="C4561" s="4" t="s">
        <v>32195</v>
      </c>
      <c r="D4561" s="4" t="s">
        <v>32196</v>
      </c>
      <c r="E4561" s="4" t="s">
        <v>32197</v>
      </c>
      <c r="F4561" s="4" t="str">
        <f>IFERROR(__XLUDF.DUMMYFUNCTION("PROPER(REGEXREPLACE(D966,""[^A-Za-z]+ "",""""))"),"Arkhane Asylum Publishing")</f>
        <v xml:space="preserve">Arkhane Asylum Publishing</v>
      </c>
      <c r="G4561" s="4" t="s">
        <v>32198</v>
      </c>
      <c r="H4561" s="4">
        <v>17</v>
      </c>
      <c r="I4561" s="4" t="s">
        <v>4525</v>
      </c>
      <c r="J4561" s="4" t="str">
        <f>IFERROR(__XLUDF.DUMMYFUNCTION("VLOOKUP(H966,IMPORTRANGE(""https://docs.google.com/spreadsheets/d/1opm6ZNvGZ7KditA9TuJwrZ25eFLfTNIkrNnY6mhV5Eg"",""list!A1:C115""),3,TRUE)"),"le secteur du retail")</f>
        <v xml:space="preserve">le secteur du retail</v>
      </c>
      <c r="K4561" s="5" t="s">
        <v>32199</v>
      </c>
      <c r="L4561" s="5" t="s">
        <v>32200</v>
      </c>
      <c r="M4561" s="6"/>
      <c r="N4561" s="4" t="s">
        <v>29</v>
      </c>
      <c r="O4561" s="4" t="s">
        <v>32201</v>
      </c>
      <c r="P4561" s="4" t="s">
        <v>29</v>
      </c>
      <c r="Q4561" s="4" t="s">
        <v>32202</v>
      </c>
      <c r="R4561" s="6"/>
      <c r="S4561" s="6"/>
      <c r="T4561" s="6"/>
      <c r="U4561" s="6"/>
      <c r="V4561" s="6"/>
      <c r="W4561" s="6"/>
      <c r="X4561" s="6"/>
      <c r="Y4561" s="6"/>
      <c r="Z4561" s="6"/>
      <c r="AA4561" s="6"/>
    </row>
    <row r="4562" ht="14.25">
      <c r="B4562" s="4" t="s">
        <v>971</v>
      </c>
      <c r="C4562" s="4" t="s">
        <v>17114</v>
      </c>
      <c r="D4562" s="4" t="s">
        <v>172</v>
      </c>
      <c r="E4562" s="4" t="s">
        <v>32203</v>
      </c>
      <c r="F4562" s="4" t="str">
        <f>IFERROR(__XLUDF.DUMMYFUNCTION("PROPER(REGEXREPLACE(D967,""[^A-Za-z]+ "",""""))"),"Prieur Sports")</f>
        <v xml:space="preserve">Prieur Sports</v>
      </c>
      <c r="G4562" s="4" t="s">
        <v>32204</v>
      </c>
      <c r="H4562" s="4">
        <v>7</v>
      </c>
      <c r="I4562" s="4" t="s">
        <v>4525</v>
      </c>
      <c r="J4562" s="4" t="str">
        <f>IFERROR(__XLUDF.DUMMYFUNCTION("VLOOKUP(H967,IMPORTRANGE(""https://docs.google.com/spreadsheets/d/1opm6ZNvGZ7KditA9TuJwrZ25eFLfTNIkrNnY6mhV5Eg"",""list!A1:C115""),3,TRUE)"),"le secteur du retail")</f>
        <v xml:space="preserve">le secteur du retail</v>
      </c>
      <c r="K4562" s="5" t="s">
        <v>32205</v>
      </c>
      <c r="L4562" s="5" t="s">
        <v>32206</v>
      </c>
      <c r="M4562" s="4" t="s">
        <v>32207</v>
      </c>
      <c r="N4562" s="4" t="s">
        <v>29</v>
      </c>
      <c r="O4562" s="4" t="s">
        <v>32208</v>
      </c>
      <c r="P4562" s="4" t="s">
        <v>29</v>
      </c>
      <c r="Q4562" s="4" t="s">
        <v>32209</v>
      </c>
      <c r="R4562" s="6"/>
      <c r="S4562" s="6"/>
      <c r="T4562" s="6"/>
      <c r="U4562" s="6"/>
      <c r="V4562" s="6"/>
      <c r="W4562" s="6"/>
      <c r="X4562" s="6"/>
      <c r="Y4562" s="6"/>
      <c r="Z4562" s="6"/>
      <c r="AA4562" s="6"/>
    </row>
    <row r="4563" ht="14.25">
      <c r="B4563" s="4" t="s">
        <v>653</v>
      </c>
      <c r="C4563" s="4" t="s">
        <v>32210</v>
      </c>
      <c r="D4563" s="4" t="s">
        <v>172</v>
      </c>
      <c r="E4563" s="4" t="s">
        <v>32211</v>
      </c>
      <c r="F4563" s="4" t="str">
        <f>IFERROR(__XLUDF.DUMMYFUNCTION("PROPER(REGEXREPLACE(D968,""[^A-Za-z]+ "",""""))"),"Algi Equipements")</f>
        <v xml:space="preserve">Algi Equipements</v>
      </c>
      <c r="G4563" s="4" t="s">
        <v>32212</v>
      </c>
      <c r="H4563" s="4">
        <v>19</v>
      </c>
      <c r="I4563" s="4" t="s">
        <v>4525</v>
      </c>
      <c r="J4563" s="4" t="str">
        <f>IFERROR(__XLUDF.DUMMYFUNCTION("VLOOKUP(H968,IMPORTRANGE(""https://docs.google.com/spreadsheets/d/1opm6ZNvGZ7KditA9TuJwrZ25eFLfTNIkrNnY6mhV5Eg"",""list!A1:C115""),3,TRUE)"),"le secteur du retail")</f>
        <v xml:space="preserve">le secteur du retail</v>
      </c>
      <c r="K4563" s="5" t="s">
        <v>32213</v>
      </c>
      <c r="L4563" s="5" t="s">
        <v>32214</v>
      </c>
      <c r="M4563" s="6"/>
      <c r="N4563" s="4" t="s">
        <v>29</v>
      </c>
      <c r="O4563" s="4" t="s">
        <v>32215</v>
      </c>
      <c r="P4563" s="4" t="s">
        <v>29</v>
      </c>
      <c r="Q4563" s="4" t="s">
        <v>32216</v>
      </c>
      <c r="R4563" s="6"/>
      <c r="S4563" s="6"/>
      <c r="T4563" s="6"/>
      <c r="U4563" s="6"/>
      <c r="V4563" s="6"/>
      <c r="W4563" s="6"/>
      <c r="X4563" s="6"/>
      <c r="Y4563" s="6"/>
      <c r="Z4563" s="6"/>
      <c r="AA4563" s="6"/>
    </row>
    <row r="4564" ht="14.25">
      <c r="B4564" s="4" t="s">
        <v>6243</v>
      </c>
      <c r="C4564" s="4" t="s">
        <v>32217</v>
      </c>
      <c r="D4564" s="4" t="s">
        <v>32218</v>
      </c>
      <c r="E4564" s="4" t="s">
        <v>32219</v>
      </c>
      <c r="F4564" s="4" t="str">
        <f>IFERROR(__XLUDF.DUMMYFUNCTION("PROPER(REGEXREPLACE(D969,""[^A-Za-z]+ "",""""))"),"C-Monetiquette")</f>
        <v>C-Monetiquette</v>
      </c>
      <c r="G4564" s="4" t="s">
        <v>32220</v>
      </c>
      <c r="H4564" s="4">
        <v>34</v>
      </c>
      <c r="I4564" s="4" t="s">
        <v>4525</v>
      </c>
      <c r="J4564" s="4" t="str">
        <f>IFERROR(__XLUDF.DUMMYFUNCTION("VLOOKUP(H969,IMPORTRANGE(""https://docs.google.com/spreadsheets/d/1opm6ZNvGZ7KditA9TuJwrZ25eFLfTNIkrNnY6mhV5Eg"",""list!A1:C115""),3,TRUE)"),"le secteur du retail")</f>
        <v xml:space="preserve">le secteur du retail</v>
      </c>
      <c r="K4564" s="5" t="s">
        <v>32221</v>
      </c>
      <c r="L4564" s="5" t="s">
        <v>32222</v>
      </c>
      <c r="M4564" s="4" t="s">
        <v>243</v>
      </c>
      <c r="N4564" s="4" t="s">
        <v>29</v>
      </c>
      <c r="O4564" s="4" t="s">
        <v>1533</v>
      </c>
      <c r="P4564" s="4" t="s">
        <v>29</v>
      </c>
      <c r="Q4564" s="4" t="s">
        <v>32223</v>
      </c>
      <c r="R4564" s="6"/>
      <c r="S4564" s="6"/>
      <c r="T4564" s="6"/>
      <c r="U4564" s="6"/>
      <c r="V4564" s="6"/>
      <c r="W4564" s="6"/>
      <c r="X4564" s="6"/>
      <c r="Y4564" s="6"/>
      <c r="Z4564" s="6"/>
      <c r="AA4564" s="6"/>
    </row>
    <row r="4565" ht="14.25">
      <c r="B4565" s="4" t="s">
        <v>6634</v>
      </c>
      <c r="C4565" s="4" t="s">
        <v>32224</v>
      </c>
      <c r="D4565" s="4" t="s">
        <v>7759</v>
      </c>
      <c r="E4565" s="4" t="s">
        <v>32225</v>
      </c>
      <c r="F4565" s="4" t="str">
        <f>IFERROR(__XLUDF.DUMMYFUNCTION("PROPER(REGEXREPLACE(D970,""[^A-Za-z]+ "",""""))"),"Charcuterie Sibilia")</f>
        <v xml:space="preserve">Charcuterie Sibilia</v>
      </c>
      <c r="G4565" s="4" t="s">
        <v>32226</v>
      </c>
      <c r="H4565" s="4">
        <v>15</v>
      </c>
      <c r="I4565" s="4" t="s">
        <v>4525</v>
      </c>
      <c r="J4565" s="4" t="str">
        <f>IFERROR(__XLUDF.DUMMYFUNCTION("VLOOKUP(H970,IMPORTRANGE(""https://docs.google.com/spreadsheets/d/1opm6ZNvGZ7KditA9TuJwrZ25eFLfTNIkrNnY6mhV5Eg"",""list!A1:C115""),3,TRUE)"),"le secteur du retail")</f>
        <v xml:space="preserve">le secteur du retail</v>
      </c>
      <c r="K4565" s="5" t="s">
        <v>32227</v>
      </c>
      <c r="L4565" s="5" t="s">
        <v>32228</v>
      </c>
      <c r="M4565" s="4" t="s">
        <v>185</v>
      </c>
      <c r="N4565" s="4" t="s">
        <v>29</v>
      </c>
      <c r="O4565" s="4" t="s">
        <v>32229</v>
      </c>
      <c r="P4565" s="4" t="s">
        <v>29</v>
      </c>
      <c r="Q4565" s="4" t="s">
        <v>32230</v>
      </c>
      <c r="R4565" s="6"/>
      <c r="S4565" s="6"/>
      <c r="T4565" s="6"/>
      <c r="U4565" s="6"/>
      <c r="V4565" s="6"/>
      <c r="W4565" s="6"/>
      <c r="X4565" s="6"/>
      <c r="Y4565" s="6"/>
      <c r="Z4565" s="6"/>
      <c r="AA4565" s="6"/>
    </row>
    <row r="4566" ht="14.25">
      <c r="B4566" s="4" t="s">
        <v>579</v>
      </c>
      <c r="C4566" s="4" t="s">
        <v>32231</v>
      </c>
      <c r="D4566" s="4" t="s">
        <v>8042</v>
      </c>
      <c r="E4566" s="4" t="s">
        <v>32232</v>
      </c>
      <c r="F4566" s="4" t="str">
        <f>IFERROR(__XLUDF.DUMMYFUNCTION("PROPER(REGEXREPLACE(D971,""[^A-Za-z]+ "",""""))"),"La Perle Des Dieux")</f>
        <v xml:space="preserve">La Perle Des Dieux</v>
      </c>
      <c r="G4566" s="4" t="s">
        <v>32233</v>
      </c>
      <c r="H4566" s="4">
        <v>33</v>
      </c>
      <c r="I4566" s="4" t="s">
        <v>4525</v>
      </c>
      <c r="J4566" s="4" t="str">
        <f>IFERROR(__XLUDF.DUMMYFUNCTION("VLOOKUP(H971,IMPORTRANGE(""https://docs.google.com/spreadsheets/d/1opm6ZNvGZ7KditA9TuJwrZ25eFLfTNIkrNnY6mhV5Eg"",""list!A1:C115""),3,TRUE)"),"le secteur du retail")</f>
        <v xml:space="preserve">le secteur du retail</v>
      </c>
      <c r="K4566" s="5" t="s">
        <v>32234</v>
      </c>
      <c r="L4566" s="5" t="s">
        <v>32235</v>
      </c>
      <c r="M4566" s="4" t="s">
        <v>1711</v>
      </c>
      <c r="N4566" s="4" t="s">
        <v>29</v>
      </c>
      <c r="O4566" s="4" t="s">
        <v>32236</v>
      </c>
      <c r="P4566" s="4" t="s">
        <v>29</v>
      </c>
      <c r="Q4566" s="4" t="s">
        <v>32237</v>
      </c>
      <c r="R4566" s="6"/>
      <c r="S4566" s="6"/>
      <c r="T4566" s="6"/>
      <c r="U4566" s="6"/>
      <c r="V4566" s="6"/>
      <c r="W4566" s="6"/>
      <c r="X4566" s="6"/>
      <c r="Y4566" s="6"/>
      <c r="Z4566" s="6"/>
      <c r="AA4566" s="6"/>
    </row>
    <row r="4567" ht="14.25">
      <c r="B4567" s="4" t="s">
        <v>5001</v>
      </c>
      <c r="C4567" s="4" t="s">
        <v>32238</v>
      </c>
      <c r="D4567" s="4" t="s">
        <v>32239</v>
      </c>
      <c r="E4567" s="4" t="s">
        <v>32240</v>
      </c>
      <c r="F4567" s="4" t="str">
        <f>IFERROR(__XLUDF.DUMMYFUNCTION("PROPER(REGEXREPLACE(D972,""[^A-Za-z]+ "",""""))"),"Espace Bricolage")</f>
        <v xml:space="preserve">Espace Bricolage</v>
      </c>
      <c r="G4567" s="4" t="s">
        <v>32241</v>
      </c>
      <c r="H4567" s="4">
        <v>13</v>
      </c>
      <c r="I4567" s="4" t="s">
        <v>4525</v>
      </c>
      <c r="J4567" s="4" t="str">
        <f>IFERROR(__XLUDF.DUMMYFUNCTION("VLOOKUP(H972,IMPORTRANGE(""https://docs.google.com/spreadsheets/d/1opm6ZNvGZ7KditA9TuJwrZ25eFLfTNIkrNnY6mhV5Eg"",""list!A1:C115""),3,TRUE)"),"le secteur du retail")</f>
        <v xml:space="preserve">le secteur du retail</v>
      </c>
      <c r="K4567" s="5" t="s">
        <v>32242</v>
      </c>
      <c r="L4567" s="5" t="s">
        <v>32243</v>
      </c>
      <c r="M4567" s="4" t="s">
        <v>49</v>
      </c>
      <c r="N4567" s="4" t="s">
        <v>29</v>
      </c>
      <c r="O4567" s="4" t="s">
        <v>32244</v>
      </c>
      <c r="P4567" s="4" t="s">
        <v>29</v>
      </c>
      <c r="Q4567" s="4" t="s">
        <v>32245</v>
      </c>
      <c r="R4567" s="6"/>
      <c r="S4567" s="6"/>
      <c r="T4567" s="6"/>
      <c r="U4567" s="6"/>
      <c r="V4567" s="6"/>
      <c r="W4567" s="6"/>
      <c r="X4567" s="6"/>
      <c r="Y4567" s="6"/>
      <c r="Z4567" s="6"/>
      <c r="AA4567" s="6"/>
    </row>
    <row r="4568" ht="14.25">
      <c r="B4568" s="4" t="s">
        <v>32246</v>
      </c>
      <c r="C4568" s="4" t="s">
        <v>32247</v>
      </c>
      <c r="D4568" s="4" t="s">
        <v>164</v>
      </c>
      <c r="E4568" s="4" t="s">
        <v>32248</v>
      </c>
      <c r="F4568" s="4" t="str">
        <f>IFERROR(__XLUDF.DUMMYFUNCTION("PROPER(REGEXREPLACE(D973,""[^A-Za-z]+ "",""""))"),"Foraloc")</f>
        <v>Foraloc</v>
      </c>
      <c r="G4568" s="4" t="s">
        <v>32249</v>
      </c>
      <c r="H4568" s="4">
        <v>26</v>
      </c>
      <c r="I4568" s="4" t="s">
        <v>4525</v>
      </c>
      <c r="J4568" s="4" t="str">
        <f>IFERROR(__XLUDF.DUMMYFUNCTION("VLOOKUP(H973,IMPORTRANGE(""https://docs.google.com/spreadsheets/d/1opm6ZNvGZ7KditA9TuJwrZ25eFLfTNIkrNnY6mhV5Eg"",""list!A1:C115""),3,TRUE)"),"le secteur du retail")</f>
        <v xml:space="preserve">le secteur du retail</v>
      </c>
      <c r="K4568" s="5" t="s">
        <v>32250</v>
      </c>
      <c r="L4568" s="5" t="s">
        <v>32251</v>
      </c>
      <c r="M4568" s="6"/>
      <c r="N4568" s="4" t="s">
        <v>29</v>
      </c>
      <c r="O4568" s="4" t="s">
        <v>32252</v>
      </c>
      <c r="P4568" s="4" t="s">
        <v>29</v>
      </c>
      <c r="Q4568" s="4" t="s">
        <v>32253</v>
      </c>
      <c r="R4568" s="6"/>
      <c r="S4568" s="6"/>
      <c r="T4568" s="6"/>
      <c r="U4568" s="6"/>
      <c r="V4568" s="6"/>
      <c r="W4568" s="6"/>
      <c r="X4568" s="6"/>
      <c r="Y4568" s="6"/>
      <c r="Z4568" s="6"/>
      <c r="AA4568" s="6"/>
    </row>
    <row r="4569" ht="14.25">
      <c r="B4569" s="4" t="s">
        <v>1562</v>
      </c>
      <c r="C4569" s="4" t="s">
        <v>3030</v>
      </c>
      <c r="D4569" s="4" t="s">
        <v>172</v>
      </c>
      <c r="E4569" s="4" t="s">
        <v>32254</v>
      </c>
      <c r="F4569" s="4" t="str">
        <f>IFERROR(__XLUDF.DUMMYFUNCTION("PROPER(REGEXREPLACE(D974,""[^A-Za-z]+ "",""""))"),"Classotech")</f>
        <v>Classotech</v>
      </c>
      <c r="G4569" s="4" t="s">
        <v>32255</v>
      </c>
      <c r="H4569" s="4">
        <v>16</v>
      </c>
      <c r="I4569" s="4" t="s">
        <v>4525</v>
      </c>
      <c r="J4569" s="4" t="str">
        <f>IFERROR(__XLUDF.DUMMYFUNCTION("VLOOKUP(H974,IMPORTRANGE(""https://docs.google.com/spreadsheets/d/1opm6ZNvGZ7KditA9TuJwrZ25eFLfTNIkrNnY6mhV5Eg"",""list!A1:C115""),3,TRUE)"),"le secteur du retail")</f>
        <v xml:space="preserve">le secteur du retail</v>
      </c>
      <c r="K4569" s="5" t="s">
        <v>32256</v>
      </c>
      <c r="L4569" s="5" t="s">
        <v>32257</v>
      </c>
      <c r="M4569" s="4" t="s">
        <v>32258</v>
      </c>
      <c r="N4569" s="4" t="s">
        <v>29</v>
      </c>
      <c r="O4569" s="4" t="s">
        <v>32259</v>
      </c>
      <c r="P4569" s="4" t="s">
        <v>29</v>
      </c>
      <c r="Q4569" s="4" t="s">
        <v>32260</v>
      </c>
      <c r="R4569" s="6"/>
      <c r="S4569" s="6"/>
      <c r="T4569" s="6"/>
      <c r="U4569" s="6"/>
      <c r="V4569" s="6"/>
      <c r="W4569" s="6"/>
      <c r="X4569" s="6"/>
      <c r="Y4569" s="6"/>
      <c r="Z4569" s="6"/>
      <c r="AA4569" s="6"/>
    </row>
    <row r="4570" ht="14.25">
      <c r="B4570" s="4" t="s">
        <v>32261</v>
      </c>
      <c r="C4570" s="4" t="s">
        <v>32262</v>
      </c>
      <c r="D4570" s="4" t="s">
        <v>172</v>
      </c>
      <c r="E4570" s="5" t="s">
        <v>32263</v>
      </c>
      <c r="F4570" s="5" t="str">
        <f>IFERROR(__XLUDF.DUMMYFUNCTION("PROPER(REGEXREPLACE(D975,""[^A-Za-z]+ "",""""))"),"Ipln.Fr")</f>
        <v>Ipln.Fr</v>
      </c>
      <c r="G4570" s="4" t="s">
        <v>32264</v>
      </c>
      <c r="H4570" s="4">
        <v>20</v>
      </c>
      <c r="I4570" s="4" t="s">
        <v>4525</v>
      </c>
      <c r="J4570" s="4" t="str">
        <f>IFERROR(__XLUDF.DUMMYFUNCTION("VLOOKUP(H975,IMPORTRANGE(""https://docs.google.com/spreadsheets/d/1opm6ZNvGZ7KditA9TuJwrZ25eFLfTNIkrNnY6mhV5Eg"",""list!A1:C115""),3,TRUE)"),"le secteur du retail")</f>
        <v xml:space="preserve">le secteur du retail</v>
      </c>
      <c r="K4570" s="5" t="s">
        <v>32265</v>
      </c>
      <c r="L4570" s="5" t="s">
        <v>32266</v>
      </c>
      <c r="M4570" s="4" t="s">
        <v>185</v>
      </c>
      <c r="N4570" s="4" t="s">
        <v>29</v>
      </c>
      <c r="O4570" s="4" t="s">
        <v>32267</v>
      </c>
      <c r="P4570" s="4" t="s">
        <v>29</v>
      </c>
      <c r="Q4570" s="4" t="s">
        <v>32268</v>
      </c>
      <c r="R4570" s="6"/>
      <c r="S4570" s="6"/>
      <c r="T4570" s="6"/>
      <c r="U4570" s="6"/>
      <c r="V4570" s="6"/>
      <c r="W4570" s="6"/>
      <c r="X4570" s="6"/>
      <c r="Y4570" s="6"/>
      <c r="Z4570" s="6"/>
      <c r="AA4570" s="6"/>
    </row>
    <row r="4571" ht="14.25">
      <c r="B4571" s="4" t="s">
        <v>4245</v>
      </c>
      <c r="C4571" s="4" t="s">
        <v>6318</v>
      </c>
      <c r="D4571" s="4" t="s">
        <v>112</v>
      </c>
      <c r="E4571" s="4" t="s">
        <v>16339</v>
      </c>
      <c r="F4571" s="4" t="str">
        <f>IFERROR(__XLUDF.DUMMYFUNCTION("PROPER(REGEXREPLACE(D976,""[^A-Za-z]+ "",""""))"),"Concessions Mouton")</f>
        <v xml:space="preserve">Concessions Mouton</v>
      </c>
      <c r="G4571" s="4" t="s">
        <v>32269</v>
      </c>
      <c r="H4571" s="4">
        <v>21</v>
      </c>
      <c r="I4571" s="4" t="s">
        <v>4525</v>
      </c>
      <c r="J4571" s="4" t="str">
        <f>IFERROR(__XLUDF.DUMMYFUNCTION("VLOOKUP(H976,IMPORTRANGE(""https://docs.google.com/spreadsheets/d/1opm6ZNvGZ7KditA9TuJwrZ25eFLfTNIkrNnY6mhV5Eg"",""list!A1:C115""),3,TRUE)"),"le secteur du retail")</f>
        <v xml:space="preserve">le secteur du retail</v>
      </c>
      <c r="K4571" s="5" t="s">
        <v>32270</v>
      </c>
      <c r="L4571" s="5" t="s">
        <v>32271</v>
      </c>
      <c r="M4571" s="4" t="s">
        <v>1826</v>
      </c>
      <c r="N4571" s="4" t="s">
        <v>29</v>
      </c>
      <c r="O4571" s="4" t="s">
        <v>32272</v>
      </c>
      <c r="P4571" s="4" t="s">
        <v>29</v>
      </c>
      <c r="Q4571" s="6"/>
      <c r="R4571" s="6"/>
      <c r="S4571" s="6"/>
      <c r="T4571" s="6"/>
      <c r="U4571" s="6"/>
      <c r="V4571" s="6"/>
      <c r="W4571" s="6"/>
      <c r="X4571" s="6"/>
      <c r="Y4571" s="6"/>
      <c r="Z4571" s="6"/>
      <c r="AA4571" s="6"/>
    </row>
    <row r="4572" ht="14.25">
      <c r="B4572" s="4" t="s">
        <v>1190</v>
      </c>
      <c r="C4572" s="4" t="s">
        <v>32273</v>
      </c>
      <c r="D4572" s="4" t="s">
        <v>172</v>
      </c>
      <c r="E4572" s="4" t="s">
        <v>32274</v>
      </c>
      <c r="F4572" s="4" t="str">
        <f>IFERROR(__XLUDF.DUMMYFUNCTION("PROPER(REGEXREPLACE(D977,""[^A-Za-z]+ "",""""))"),"Spcm")</f>
        <v>Spcm</v>
      </c>
      <c r="G4572" s="4" t="s">
        <v>32275</v>
      </c>
      <c r="H4572" s="4">
        <v>33</v>
      </c>
      <c r="I4572" s="4" t="s">
        <v>4525</v>
      </c>
      <c r="J4572" s="4" t="str">
        <f>IFERROR(__XLUDF.DUMMYFUNCTION("VLOOKUP(H977,IMPORTRANGE(""https://docs.google.com/spreadsheets/d/1opm6ZNvGZ7KditA9TuJwrZ25eFLfTNIkrNnY6mhV5Eg"",""list!A1:C115""),3,TRUE)"),"le secteur du retail")</f>
        <v xml:space="preserve">le secteur du retail</v>
      </c>
      <c r="K4572" s="5" t="s">
        <v>32276</v>
      </c>
      <c r="L4572" s="5" t="s">
        <v>32277</v>
      </c>
      <c r="M4572" s="4" t="s">
        <v>32278</v>
      </c>
      <c r="N4572" s="4" t="s">
        <v>29</v>
      </c>
      <c r="O4572" s="4" t="s">
        <v>32279</v>
      </c>
      <c r="P4572" s="4" t="s">
        <v>29</v>
      </c>
      <c r="Q4572" s="6"/>
      <c r="R4572" s="6"/>
      <c r="S4572" s="6"/>
      <c r="T4572" s="6"/>
      <c r="U4572" s="6"/>
      <c r="V4572" s="6"/>
      <c r="W4572" s="6"/>
      <c r="X4572" s="6"/>
      <c r="Y4572" s="6"/>
      <c r="Z4572" s="6"/>
      <c r="AA4572" s="6"/>
    </row>
    <row r="4573" ht="14.25">
      <c r="B4573" s="4" t="s">
        <v>32280</v>
      </c>
      <c r="C4573" s="4" t="s">
        <v>32281</v>
      </c>
      <c r="D4573" s="4" t="s">
        <v>1950</v>
      </c>
      <c r="E4573" s="4" t="s">
        <v>32118</v>
      </c>
      <c r="F4573" s="4" t="str">
        <f>IFERROR(__XLUDF.DUMMYFUNCTION("PROPER(REGEXREPLACE(D978,""[^A-Za-z]+ "",""""))"),"Abcd Optique")</f>
        <v xml:space="preserve">Abcd Optique</v>
      </c>
      <c r="G4573" s="4" t="s">
        <v>32282</v>
      </c>
      <c r="H4573" s="4">
        <v>15</v>
      </c>
      <c r="I4573" s="4" t="s">
        <v>4525</v>
      </c>
      <c r="J4573" s="4" t="str">
        <f>IFERROR(__XLUDF.DUMMYFUNCTION("VLOOKUP(H978,IMPORTRANGE(""https://docs.google.com/spreadsheets/d/1opm6ZNvGZ7KditA9TuJwrZ25eFLfTNIkrNnY6mhV5Eg"",""list!A1:C115""),3,TRUE)"),"le secteur du retail")</f>
        <v xml:space="preserve">le secteur du retail</v>
      </c>
      <c r="K4573" s="5" t="s">
        <v>32283</v>
      </c>
      <c r="L4573" s="5" t="s">
        <v>32121</v>
      </c>
      <c r="M4573" s="4" t="s">
        <v>492</v>
      </c>
      <c r="N4573" s="4" t="s">
        <v>29</v>
      </c>
      <c r="O4573" s="4" t="s">
        <v>32122</v>
      </c>
      <c r="P4573" s="4" t="s">
        <v>29</v>
      </c>
      <c r="Q4573" s="6"/>
      <c r="R4573" s="6"/>
      <c r="S4573" s="6"/>
      <c r="T4573" s="6"/>
      <c r="U4573" s="6"/>
      <c r="V4573" s="6"/>
      <c r="W4573" s="6"/>
      <c r="X4573" s="6"/>
      <c r="Y4573" s="6"/>
      <c r="Z4573" s="6"/>
      <c r="AA4573" s="6"/>
    </row>
    <row r="4574" ht="14.25">
      <c r="B4574" s="4" t="s">
        <v>808</v>
      </c>
      <c r="C4574" s="4" t="s">
        <v>28970</v>
      </c>
      <c r="D4574" s="4" t="s">
        <v>172</v>
      </c>
      <c r="E4574" s="4" t="s">
        <v>32284</v>
      </c>
      <c r="F4574" s="4" t="str">
        <f>IFERROR(__XLUDF.DUMMYFUNCTION("PROPER(REGEXREPLACE(D979,""[^A-Za-z]+ "",""""))"),"Euro Vape Distrib")</f>
        <v xml:space="preserve">Euro Vape Distrib</v>
      </c>
      <c r="G4574" s="4" t="s">
        <v>32285</v>
      </c>
      <c r="H4574" s="4">
        <v>10</v>
      </c>
      <c r="I4574" s="4" t="s">
        <v>4525</v>
      </c>
      <c r="J4574" s="4" t="str">
        <f>IFERROR(__XLUDF.DUMMYFUNCTION("VLOOKUP(H979,IMPORTRANGE(""https://docs.google.com/spreadsheets/d/1opm6ZNvGZ7KditA9TuJwrZ25eFLfTNIkrNnY6mhV5Eg"",""list!A1:C115""),3,TRUE)"),"le secteur du retail")</f>
        <v xml:space="preserve">le secteur du retail</v>
      </c>
      <c r="K4574" s="5" t="s">
        <v>32286</v>
      </c>
      <c r="L4574" s="5" t="s">
        <v>32287</v>
      </c>
      <c r="M4574" s="4" t="s">
        <v>32288</v>
      </c>
      <c r="N4574" s="4" t="s">
        <v>29</v>
      </c>
      <c r="O4574" s="4" t="s">
        <v>32289</v>
      </c>
      <c r="P4574" s="4" t="s">
        <v>29</v>
      </c>
      <c r="Q4574" s="4" t="s">
        <v>32290</v>
      </c>
      <c r="R4574" s="6"/>
      <c r="S4574" s="6"/>
      <c r="T4574" s="6"/>
      <c r="U4574" s="6"/>
      <c r="V4574" s="6"/>
      <c r="W4574" s="6"/>
      <c r="X4574" s="6"/>
      <c r="Y4574" s="6"/>
      <c r="Z4574" s="6"/>
      <c r="AA4574" s="6"/>
    </row>
    <row r="4575" ht="14.25">
      <c r="B4575" s="4" t="s">
        <v>6945</v>
      </c>
      <c r="C4575" s="4" t="s">
        <v>32291</v>
      </c>
      <c r="D4575" s="4" t="s">
        <v>172</v>
      </c>
      <c r="E4575" s="4" t="s">
        <v>32292</v>
      </c>
      <c r="F4575" s="4" t="str">
        <f>IFERROR(__XLUDF.DUMMYFUNCTION("PROPER(REGEXREPLACE(D980,""[^A-Za-z]+ "",""""))"),"Tracto Pieces")</f>
        <v xml:space="preserve">Tracto Pieces</v>
      </c>
      <c r="G4575" s="4" t="s">
        <v>32293</v>
      </c>
      <c r="H4575" s="4">
        <v>24</v>
      </c>
      <c r="I4575" s="4" t="s">
        <v>4525</v>
      </c>
      <c r="J4575" s="4" t="str">
        <f>IFERROR(__XLUDF.DUMMYFUNCTION("VLOOKUP(H980,IMPORTRANGE(""https://docs.google.com/spreadsheets/d/1opm6ZNvGZ7KditA9TuJwrZ25eFLfTNIkrNnY6mhV5Eg"",""list!A1:C115""),3,TRUE)"),"le secteur du retail")</f>
        <v xml:space="preserve">le secteur du retail</v>
      </c>
      <c r="K4575" s="5" t="s">
        <v>32294</v>
      </c>
      <c r="L4575" s="5" t="s">
        <v>32295</v>
      </c>
      <c r="M4575" s="4" t="s">
        <v>1826</v>
      </c>
      <c r="N4575" s="4" t="s">
        <v>29</v>
      </c>
      <c r="O4575" s="4" t="s">
        <v>32296</v>
      </c>
      <c r="P4575" s="4" t="s">
        <v>29</v>
      </c>
      <c r="Q4575" s="4" t="s">
        <v>32297</v>
      </c>
      <c r="R4575" s="6"/>
      <c r="S4575" s="6"/>
      <c r="T4575" s="6"/>
      <c r="U4575" s="6"/>
      <c r="V4575" s="6"/>
      <c r="W4575" s="6"/>
      <c r="X4575" s="6"/>
      <c r="Y4575" s="6"/>
      <c r="Z4575" s="6"/>
      <c r="AA4575" s="6"/>
    </row>
    <row r="4576" ht="14.25">
      <c r="B4576" s="4" t="s">
        <v>32298</v>
      </c>
      <c r="C4576" s="4" t="s">
        <v>32299</v>
      </c>
      <c r="D4576" s="4" t="s">
        <v>112</v>
      </c>
      <c r="E4576" s="4" t="s">
        <v>32300</v>
      </c>
      <c r="F4576" s="4" t="str">
        <f>IFERROR(__XLUDF.DUMMYFUNCTION("PROPER(REGEXREPLACE(D981,""[^A-Za-z]+ "",""""))"),"Osint Industries")</f>
        <v xml:space="preserve">Osint Industries</v>
      </c>
      <c r="G4576" s="4" t="s">
        <v>32301</v>
      </c>
      <c r="H4576" s="4">
        <v>19</v>
      </c>
      <c r="I4576" s="4" t="s">
        <v>5931</v>
      </c>
      <c r="J4576" s="4" t="str">
        <f>IFERROR(__XLUDF.DUMMYFUNCTION("VLOOKUP(H981,IMPORTRANGE(""https://docs.google.com/spreadsheets/d/1opm6ZNvGZ7KditA9TuJwrZ25eFLfTNIkrNnY6mhV5Eg"",""list!A1:C115""),3,TRUE)"),"le secteur de la sécurité")</f>
        <v xml:space="preserve">le secteur de la sécurité</v>
      </c>
      <c r="K4576" s="5" t="s">
        <v>32302</v>
      </c>
      <c r="L4576" s="5" t="s">
        <v>32303</v>
      </c>
      <c r="M4576" s="6"/>
      <c r="N4576" s="4" t="s">
        <v>29</v>
      </c>
      <c r="O4576" s="4" t="s">
        <v>21137</v>
      </c>
      <c r="P4576" s="4" t="s">
        <v>1548</v>
      </c>
      <c r="Q4576" s="4" t="s">
        <v>32304</v>
      </c>
      <c r="R4576" s="6"/>
      <c r="S4576" s="6"/>
      <c r="T4576" s="6"/>
      <c r="U4576" s="6"/>
      <c r="V4576" s="6"/>
      <c r="W4576" s="6"/>
      <c r="X4576" s="6"/>
      <c r="Y4576" s="6"/>
      <c r="Z4576" s="6"/>
      <c r="AA4576" s="6"/>
    </row>
    <row r="4577" ht="14.25">
      <c r="B4577" s="4" t="s">
        <v>1562</v>
      </c>
      <c r="C4577" s="4" t="s">
        <v>2080</v>
      </c>
      <c r="D4577" s="4" t="s">
        <v>3982</v>
      </c>
      <c r="E4577" s="4" t="s">
        <v>32305</v>
      </c>
      <c r="F4577" s="4" t="str">
        <f>IFERROR(__XLUDF.DUMMYFUNCTION("PROPER(REGEXREPLACE(D982,""[^A-Za-z]+ "",""""))"),"Antivol")</f>
        <v>Antivol</v>
      </c>
      <c r="G4577" s="4" t="s">
        <v>32306</v>
      </c>
      <c r="H4577" s="4">
        <v>9</v>
      </c>
      <c r="I4577" s="4" t="s">
        <v>5931</v>
      </c>
      <c r="J4577" s="4" t="str">
        <f>IFERROR(__XLUDF.DUMMYFUNCTION("VLOOKUP(H982,IMPORTRANGE(""https://docs.google.com/spreadsheets/d/1opm6ZNvGZ7KditA9TuJwrZ25eFLfTNIkrNnY6mhV5Eg"",""list!A1:C115""),3,TRUE)"),"le secteur de la sécurité")</f>
        <v xml:space="preserve">le secteur de la sécurité</v>
      </c>
      <c r="K4577" s="5" t="s">
        <v>32307</v>
      </c>
      <c r="L4577" s="5" t="s">
        <v>32308</v>
      </c>
      <c r="M4577" s="4" t="s">
        <v>562</v>
      </c>
      <c r="N4577" s="4" t="s">
        <v>29</v>
      </c>
      <c r="O4577" s="4" t="s">
        <v>5941</v>
      </c>
      <c r="P4577" s="4" t="s">
        <v>29</v>
      </c>
      <c r="Q4577" s="4" t="s">
        <v>32309</v>
      </c>
      <c r="R4577" s="6"/>
      <c r="S4577" s="6"/>
      <c r="T4577" s="6"/>
      <c r="U4577" s="6"/>
      <c r="V4577" s="6"/>
      <c r="W4577" s="6"/>
      <c r="X4577" s="6"/>
      <c r="Y4577" s="6"/>
      <c r="Z4577" s="6"/>
      <c r="AA4577" s="6"/>
    </row>
    <row r="4578" ht="14.25">
      <c r="B4578" s="4" t="s">
        <v>3072</v>
      </c>
      <c r="C4578" s="4" t="s">
        <v>32310</v>
      </c>
      <c r="D4578" s="4" t="s">
        <v>265</v>
      </c>
      <c r="E4578" s="4" t="s">
        <v>32311</v>
      </c>
      <c r="F4578" s="4" t="str">
        <f>IFERROR(__XLUDF.DUMMYFUNCTION("PROPER(REGEXREPLACE(D983,""[^A-Za-z]+ "",""""))"),"Trusted Objects")</f>
        <v xml:space="preserve">Trusted Objects</v>
      </c>
      <c r="G4578" s="4" t="s">
        <v>32312</v>
      </c>
      <c r="H4578" s="4">
        <v>11</v>
      </c>
      <c r="I4578" s="4" t="s">
        <v>32313</v>
      </c>
      <c r="J4578" s="4" t="str">
        <f>IFERROR(__XLUDF.DUMMYFUNCTION("VLOOKUP(H983,IMPORTRANGE(""https://docs.google.com/spreadsheets/d/1opm6ZNvGZ7KditA9TuJwrZ25eFLfTNIkrNnY6mhV5Eg"",""list!A1:C115""),3,TRUE)"),"le secteur des semi-conducteurs")</f>
        <v xml:space="preserve">le secteur des semi-conducteurs</v>
      </c>
      <c r="K4578" s="5" t="s">
        <v>32314</v>
      </c>
      <c r="L4578" s="5" t="s">
        <v>32315</v>
      </c>
      <c r="M4578" s="4" t="s">
        <v>39</v>
      </c>
      <c r="N4578" s="4" t="s">
        <v>29</v>
      </c>
      <c r="O4578" s="4" t="s">
        <v>32316</v>
      </c>
      <c r="P4578" s="4" t="s">
        <v>29</v>
      </c>
      <c r="Q4578" s="4" t="s">
        <v>32317</v>
      </c>
      <c r="R4578" s="6"/>
      <c r="S4578" s="6"/>
      <c r="T4578" s="6"/>
      <c r="U4578" s="6"/>
      <c r="V4578" s="6"/>
      <c r="W4578" s="6"/>
      <c r="X4578" s="6"/>
      <c r="Y4578" s="6"/>
      <c r="Z4578" s="6"/>
      <c r="AA4578" s="6"/>
    </row>
    <row r="4579" ht="14.25">
      <c r="B4579" s="4" t="s">
        <v>24271</v>
      </c>
      <c r="C4579" s="4" t="s">
        <v>32318</v>
      </c>
      <c r="D4579" s="4" t="s">
        <v>23879</v>
      </c>
      <c r="E4579" s="4" t="s">
        <v>32311</v>
      </c>
      <c r="F4579" s="4" t="str">
        <f>IFERROR(__XLUDF.DUMMYFUNCTION("PROPER(REGEXREPLACE(D984,""[^A-Za-z]+ "",""""))"),"Trusted Objects")</f>
        <v xml:space="preserve">Trusted Objects</v>
      </c>
      <c r="G4579" s="4" t="s">
        <v>32319</v>
      </c>
      <c r="H4579" s="4">
        <v>11</v>
      </c>
      <c r="I4579" s="4" t="s">
        <v>32313</v>
      </c>
      <c r="J4579" s="4" t="str">
        <f>IFERROR(__XLUDF.DUMMYFUNCTION("VLOOKUP(H984,IMPORTRANGE(""https://docs.google.com/spreadsheets/d/1opm6ZNvGZ7KditA9TuJwrZ25eFLfTNIkrNnY6mhV5Eg"",""list!A1:C115""),3,TRUE)"),"le secteur des semi-conducteurs")</f>
        <v xml:space="preserve">le secteur des semi-conducteurs</v>
      </c>
      <c r="K4579" s="5" t="s">
        <v>32320</v>
      </c>
      <c r="L4579" s="5" t="s">
        <v>32315</v>
      </c>
      <c r="M4579" s="4" t="s">
        <v>39</v>
      </c>
      <c r="N4579" s="4" t="s">
        <v>29</v>
      </c>
      <c r="O4579" s="4" t="s">
        <v>32316</v>
      </c>
      <c r="P4579" s="4" t="s">
        <v>29</v>
      </c>
      <c r="Q4579" s="4" t="s">
        <v>32317</v>
      </c>
      <c r="R4579" s="6"/>
      <c r="S4579" s="6"/>
      <c r="T4579" s="6"/>
      <c r="U4579" s="6"/>
      <c r="V4579" s="6"/>
      <c r="W4579" s="6"/>
      <c r="X4579" s="6"/>
      <c r="Y4579" s="6"/>
      <c r="Z4579" s="6"/>
      <c r="AA4579" s="6"/>
    </row>
    <row r="4580" ht="14.25">
      <c r="B4580" s="4" t="s">
        <v>4012</v>
      </c>
      <c r="C4580" s="4" t="s">
        <v>9346</v>
      </c>
      <c r="D4580" s="4" t="s">
        <v>2281</v>
      </c>
      <c r="E4580" s="4" t="s">
        <v>32321</v>
      </c>
      <c r="F4580" s="4" t="str">
        <f>IFERROR(__XLUDF.DUMMYFUNCTION("PROPER(REGEXREPLACE(D985,""[^A-Za-z]+ "",""""))"),"Planet Network International")</f>
        <v xml:space="preserve">Planet Network International</v>
      </c>
      <c r="G4580" s="4" t="s">
        <v>32322</v>
      </c>
      <c r="H4580" s="4">
        <v>14</v>
      </c>
      <c r="I4580" s="4" t="s">
        <v>9184</v>
      </c>
      <c r="J4580" s="4" t="str">
        <f>IFERROR(__XLUDF.DUMMYFUNCTION("VLOOKUP(H985,IMPORTRANGE(""https://docs.google.com/spreadsheets/d/1opm6ZNvGZ7KditA9TuJwrZ25eFLfTNIkrNnY6mhV5Eg"",""list!A1:C115""),3,TRUE)"),"le secteur des télécommunications")</f>
        <v xml:space="preserve">le secteur des télécommunications</v>
      </c>
      <c r="K4580" s="5" t="s">
        <v>32323</v>
      </c>
      <c r="L4580" s="5" t="s">
        <v>32324</v>
      </c>
      <c r="M4580" s="4" t="s">
        <v>83</v>
      </c>
      <c r="N4580" s="4" t="s">
        <v>29</v>
      </c>
      <c r="O4580" s="4" t="s">
        <v>32325</v>
      </c>
      <c r="P4580" s="4" t="s">
        <v>29</v>
      </c>
      <c r="Q4580" s="6"/>
      <c r="R4580" s="6"/>
      <c r="S4580" s="6"/>
      <c r="T4580" s="6"/>
      <c r="U4580" s="6"/>
      <c r="V4580" s="6"/>
      <c r="W4580" s="6"/>
      <c r="X4580" s="6"/>
      <c r="Y4580" s="6"/>
      <c r="Z4580" s="6"/>
      <c r="AA4580" s="6"/>
    </row>
    <row r="4581" ht="14.25">
      <c r="B4581" s="4" t="s">
        <v>1596</v>
      </c>
      <c r="C4581" s="4" t="s">
        <v>32326</v>
      </c>
      <c r="D4581" s="4" t="s">
        <v>172</v>
      </c>
      <c r="E4581" s="4" t="s">
        <v>32327</v>
      </c>
      <c r="F4581" s="4" t="str">
        <f>IFERROR(__XLUDF.DUMMYFUNCTION("PROPER(REGEXREPLACE(D986,""[^A-Za-z]+ "",""""))"),"Numerisat")</f>
        <v>Numerisat</v>
      </c>
      <c r="G4581" s="4" t="s">
        <v>32328</v>
      </c>
      <c r="H4581" s="4">
        <v>11</v>
      </c>
      <c r="I4581" s="4" t="s">
        <v>9184</v>
      </c>
      <c r="J4581" s="4" t="str">
        <f>IFERROR(__XLUDF.DUMMYFUNCTION("VLOOKUP(H986,IMPORTRANGE(""https://docs.google.com/spreadsheets/d/1opm6ZNvGZ7KditA9TuJwrZ25eFLfTNIkrNnY6mhV5Eg"",""list!A1:C115""),3,TRUE)"),"le secteur des télécommunications")</f>
        <v xml:space="preserve">le secteur des télécommunications</v>
      </c>
      <c r="K4581" s="5" t="s">
        <v>32329</v>
      </c>
      <c r="L4581" s="5" t="s">
        <v>32330</v>
      </c>
      <c r="M4581" s="4" t="s">
        <v>32331</v>
      </c>
      <c r="N4581" s="4" t="s">
        <v>29</v>
      </c>
      <c r="O4581" s="4" t="s">
        <v>32332</v>
      </c>
      <c r="P4581" s="4" t="s">
        <v>29</v>
      </c>
      <c r="Q4581" s="4" t="s">
        <v>32333</v>
      </c>
      <c r="R4581" s="6"/>
      <c r="S4581" s="6"/>
      <c r="T4581" s="6"/>
      <c r="U4581" s="6"/>
      <c r="V4581" s="6"/>
      <c r="W4581" s="6"/>
      <c r="X4581" s="6"/>
      <c r="Y4581" s="6"/>
      <c r="Z4581" s="6"/>
      <c r="AA4581" s="6"/>
    </row>
    <row r="4582" ht="14.25">
      <c r="B4582" s="4" t="s">
        <v>485</v>
      </c>
      <c r="C4582" s="4" t="s">
        <v>32334</v>
      </c>
      <c r="D4582" s="4" t="s">
        <v>32335</v>
      </c>
      <c r="E4582" s="4" t="s">
        <v>32336</v>
      </c>
      <c r="F4582" s="4" t="str">
        <f>IFERROR(__XLUDF.DUMMYFUNCTION("PROPER(REGEXREPLACE(D987,""[^A-Za-z]+ "",""""))"),"Telecoop France")</f>
        <v xml:space="preserve">Telecoop France</v>
      </c>
      <c r="G4582" s="4" t="s">
        <v>32337</v>
      </c>
      <c r="H4582" s="4">
        <v>21</v>
      </c>
      <c r="I4582" s="4" t="s">
        <v>9184</v>
      </c>
      <c r="J4582" s="4" t="str">
        <f>IFERROR(__XLUDF.DUMMYFUNCTION("VLOOKUP(H987,IMPORTRANGE(""https://docs.google.com/spreadsheets/d/1opm6ZNvGZ7KditA9TuJwrZ25eFLfTNIkrNnY6mhV5Eg"",""list!A1:C115""),3,TRUE)"),"le secteur des télécommunications")</f>
        <v xml:space="preserve">le secteur des télécommunications</v>
      </c>
      <c r="K4582" s="5" t="s">
        <v>32338</v>
      </c>
      <c r="L4582" s="5" t="s">
        <v>32339</v>
      </c>
      <c r="M4582" s="6"/>
      <c r="N4582" s="4" t="s">
        <v>29</v>
      </c>
      <c r="O4582" s="4" t="s">
        <v>67</v>
      </c>
      <c r="P4582" s="4" t="s">
        <v>29</v>
      </c>
      <c r="Q4582" s="4" t="s">
        <v>32340</v>
      </c>
      <c r="R4582" s="6"/>
      <c r="S4582" s="6"/>
      <c r="T4582" s="6"/>
      <c r="U4582" s="6"/>
      <c r="V4582" s="6"/>
      <c r="W4582" s="6"/>
      <c r="X4582" s="6"/>
      <c r="Y4582" s="6"/>
      <c r="Z4582" s="6"/>
      <c r="AA4582" s="6"/>
    </row>
    <row r="4583" ht="14.25">
      <c r="B4583" s="4" t="s">
        <v>32341</v>
      </c>
      <c r="C4583" s="4" t="s">
        <v>32342</v>
      </c>
      <c r="D4583" s="4" t="s">
        <v>29606</v>
      </c>
      <c r="E4583" s="4" t="s">
        <v>32343</v>
      </c>
      <c r="F4583" s="4" t="str">
        <f>IFERROR(__XLUDF.DUMMYFUNCTION("PROPER(REGEXREPLACE(D988,""[^A-Za-z]+ "",""""))"),"Satmena")</f>
        <v>Satmena</v>
      </c>
      <c r="G4583" s="4" t="s">
        <v>32344</v>
      </c>
      <c r="H4583" s="4">
        <v>5</v>
      </c>
      <c r="I4583" s="4" t="s">
        <v>9184</v>
      </c>
      <c r="J4583" s="4" t="str">
        <f>IFERROR(__XLUDF.DUMMYFUNCTION("VLOOKUP(H988,IMPORTRANGE(""https://docs.google.com/spreadsheets/d/1opm6ZNvGZ7KditA9TuJwrZ25eFLfTNIkrNnY6mhV5Eg"",""list!A1:C115""),3,TRUE)"),"le secteur des télécommunications")</f>
        <v xml:space="preserve">le secteur des télécommunications</v>
      </c>
      <c r="K4583" s="5" t="s">
        <v>32345</v>
      </c>
      <c r="L4583" s="5" t="s">
        <v>32346</v>
      </c>
      <c r="M4583" s="4" t="s">
        <v>846</v>
      </c>
      <c r="N4583" s="4" t="s">
        <v>29</v>
      </c>
      <c r="O4583" s="4" t="s">
        <v>32347</v>
      </c>
      <c r="P4583" s="4" t="s">
        <v>32348</v>
      </c>
      <c r="Q4583" s="6"/>
      <c r="R4583" s="6"/>
      <c r="S4583" s="6"/>
      <c r="T4583" s="6"/>
      <c r="U4583" s="6"/>
      <c r="V4583" s="6"/>
      <c r="W4583" s="6"/>
      <c r="X4583" s="6"/>
      <c r="Y4583" s="6"/>
      <c r="Z4583" s="6"/>
      <c r="AA4583" s="6"/>
    </row>
    <row r="4584" ht="14.25">
      <c r="B4584" s="4" t="s">
        <v>32349</v>
      </c>
      <c r="C4584" s="4" t="s">
        <v>32350</v>
      </c>
      <c r="D4584" s="4" t="s">
        <v>32351</v>
      </c>
      <c r="E4584" s="4" t="s">
        <v>32352</v>
      </c>
      <c r="F4584" s="4" t="str">
        <f>IFERROR(__XLUDF.DUMMYFUNCTION("PROPER(REGEXREPLACE(D989,""[^A-Za-z]+ "",""""))"),"Bak♻️💻")</f>
        <v>Bak♻️💻</v>
      </c>
      <c r="G4584" s="4" t="s">
        <v>32353</v>
      </c>
      <c r="H4584" s="4">
        <v>12</v>
      </c>
      <c r="I4584" s="4" t="s">
        <v>9184</v>
      </c>
      <c r="J4584" s="4" t="str">
        <f>IFERROR(__XLUDF.DUMMYFUNCTION("VLOOKUP(H989,IMPORTRANGE(""https://docs.google.com/spreadsheets/d/1opm6ZNvGZ7KditA9TuJwrZ25eFLfTNIkrNnY6mhV5Eg"",""list!A1:C115""),3,TRUE)"),"le secteur des télécommunications")</f>
        <v xml:space="preserve">le secteur des télécommunications</v>
      </c>
      <c r="K4584" s="5" t="s">
        <v>32354</v>
      </c>
      <c r="L4584" s="5" t="s">
        <v>32355</v>
      </c>
      <c r="M4584" s="4" t="s">
        <v>39</v>
      </c>
      <c r="N4584" s="4" t="s">
        <v>29</v>
      </c>
      <c r="O4584" s="4" t="s">
        <v>32356</v>
      </c>
      <c r="P4584" s="4" t="s">
        <v>29</v>
      </c>
      <c r="Q4584" s="6"/>
      <c r="R4584" s="6"/>
      <c r="S4584" s="6"/>
      <c r="T4584" s="6"/>
      <c r="U4584" s="6"/>
      <c r="V4584" s="6"/>
      <c r="W4584" s="6"/>
      <c r="X4584" s="6"/>
      <c r="Y4584" s="6"/>
      <c r="Z4584" s="6"/>
      <c r="AA4584" s="6"/>
    </row>
    <row r="4585" ht="14.25">
      <c r="B4585" s="4" t="s">
        <v>255</v>
      </c>
      <c r="C4585" s="4" t="s">
        <v>32357</v>
      </c>
      <c r="D4585" s="4" t="s">
        <v>172</v>
      </c>
      <c r="E4585" s="4" t="s">
        <v>32358</v>
      </c>
      <c r="F4585" s="4" t="str">
        <f>IFERROR(__XLUDF.DUMMYFUNCTION("PROPER(REGEXREPLACE(D990,""[^A-Za-z]+ "",""""))"),"Fédération Française Des Télécoms")</f>
        <v xml:space="preserve">Fédération Française Des Télécoms</v>
      </c>
      <c r="G4585" s="4" t="s">
        <v>32359</v>
      </c>
      <c r="H4585" s="4">
        <v>17</v>
      </c>
      <c r="I4585" s="4" t="s">
        <v>9184</v>
      </c>
      <c r="J4585" s="4" t="str">
        <f>IFERROR(__XLUDF.DUMMYFUNCTION("VLOOKUP(H990,IMPORTRANGE(""https://docs.google.com/spreadsheets/d/1opm6ZNvGZ7KditA9TuJwrZ25eFLfTNIkrNnY6mhV5Eg"",""list!A1:C115""),3,TRUE)"),"le secteur des télécommunications")</f>
        <v xml:space="preserve">le secteur des télécommunications</v>
      </c>
      <c r="K4585" s="5" t="s">
        <v>32360</v>
      </c>
      <c r="L4585" s="5" t="s">
        <v>32361</v>
      </c>
      <c r="M4585" s="4" t="s">
        <v>39</v>
      </c>
      <c r="N4585" s="4" t="s">
        <v>29</v>
      </c>
      <c r="O4585" s="4" t="s">
        <v>32362</v>
      </c>
      <c r="P4585" s="4" t="s">
        <v>29</v>
      </c>
      <c r="Q4585" s="4" t="s">
        <v>32363</v>
      </c>
      <c r="R4585" s="6"/>
      <c r="S4585" s="6"/>
      <c r="T4585" s="6"/>
      <c r="U4585" s="6"/>
      <c r="V4585" s="6"/>
      <c r="W4585" s="6"/>
      <c r="X4585" s="6"/>
      <c r="Y4585" s="6"/>
      <c r="Z4585" s="6"/>
      <c r="AA4585" s="6"/>
    </row>
    <row r="4586" ht="14.25">
      <c r="B4586" s="4" t="s">
        <v>32364</v>
      </c>
      <c r="C4586" s="4" t="s">
        <v>32365</v>
      </c>
      <c r="D4586" s="4" t="s">
        <v>2281</v>
      </c>
      <c r="E4586" s="4" t="s">
        <v>32366</v>
      </c>
      <c r="F4586" s="4" t="str">
        <f>IFERROR(__XLUDF.DUMMYFUNCTION("PROPER(REGEXREPLACE(D991,""[^A-Za-z]+ "",""""))"),"Dis-Connect")</f>
        <v>Dis-Connect</v>
      </c>
      <c r="G4586" s="4" t="s">
        <v>32367</v>
      </c>
      <c r="H4586" s="4">
        <v>26</v>
      </c>
      <c r="I4586" s="4" t="s">
        <v>9184</v>
      </c>
      <c r="J4586" s="4" t="str">
        <f>IFERROR(__XLUDF.DUMMYFUNCTION("VLOOKUP(H991,IMPORTRANGE(""https://docs.google.com/spreadsheets/d/1opm6ZNvGZ7KditA9TuJwrZ25eFLfTNIkrNnY6mhV5Eg"",""list!A1:C115""),3,TRUE)"),"le secteur des télécommunications")</f>
        <v xml:space="preserve">le secteur des télécommunications</v>
      </c>
      <c r="K4586" s="5" t="s">
        <v>32368</v>
      </c>
      <c r="L4586" s="5" t="s">
        <v>32369</v>
      </c>
      <c r="M4586" s="4" t="s">
        <v>39</v>
      </c>
      <c r="N4586" s="4" t="s">
        <v>29</v>
      </c>
      <c r="O4586" s="4" t="s">
        <v>32370</v>
      </c>
      <c r="P4586" s="4" t="s">
        <v>595</v>
      </c>
      <c r="Q4586" s="6"/>
      <c r="R4586" s="6"/>
      <c r="S4586" s="6"/>
      <c r="T4586" s="6"/>
      <c r="U4586" s="6"/>
      <c r="V4586" s="6"/>
      <c r="W4586" s="6"/>
      <c r="X4586" s="6"/>
      <c r="Y4586" s="6"/>
      <c r="Z4586" s="6"/>
      <c r="AA4586" s="6"/>
    </row>
    <row r="4587" ht="14.25">
      <c r="B4587" s="4" t="s">
        <v>32371</v>
      </c>
      <c r="C4587" s="4" t="s">
        <v>32372</v>
      </c>
      <c r="D4587" s="4" t="s">
        <v>20935</v>
      </c>
      <c r="E4587" s="4" t="s">
        <v>32373</v>
      </c>
      <c r="F4587" s="4" t="str">
        <f>IFERROR(__XLUDF.DUMMYFUNCTION("PROPER(REGEXREPLACE(D992,""[^A-Za-z]+ "",""""))"),"Cayon Cloud Communications")</f>
        <v xml:space="preserve">Cayon Cloud Communications</v>
      </c>
      <c r="G4587" s="4" t="s">
        <v>32374</v>
      </c>
      <c r="H4587" s="4">
        <v>12</v>
      </c>
      <c r="I4587" s="4" t="s">
        <v>9184</v>
      </c>
      <c r="J4587" s="4" t="str">
        <f>IFERROR(__XLUDF.DUMMYFUNCTION("VLOOKUP(H992,IMPORTRANGE(""https://docs.google.com/spreadsheets/d/1opm6ZNvGZ7KditA9TuJwrZ25eFLfTNIkrNnY6mhV5Eg"",""list!A1:C115""),3,TRUE)"),"le secteur des télécommunications")</f>
        <v xml:space="preserve">le secteur des télécommunications</v>
      </c>
      <c r="K4587" s="5" t="s">
        <v>32375</v>
      </c>
      <c r="L4587" s="5" t="s">
        <v>32376</v>
      </c>
      <c r="M4587" s="4" t="s">
        <v>39</v>
      </c>
      <c r="N4587" s="4" t="s">
        <v>29</v>
      </c>
      <c r="O4587" s="4" t="s">
        <v>32377</v>
      </c>
      <c r="P4587" s="4" t="s">
        <v>9969</v>
      </c>
      <c r="Q4587" s="6"/>
      <c r="R4587" s="6"/>
      <c r="S4587" s="6"/>
      <c r="T4587" s="6"/>
      <c r="U4587" s="6"/>
      <c r="V4587" s="6"/>
      <c r="W4587" s="6"/>
      <c r="X4587" s="6"/>
      <c r="Y4587" s="6"/>
      <c r="Z4587" s="6"/>
      <c r="AA4587" s="6"/>
    </row>
    <row r="4588" ht="14.25">
      <c r="B4588" s="4" t="s">
        <v>3002</v>
      </c>
      <c r="C4588" s="4" t="s">
        <v>9837</v>
      </c>
      <c r="D4588" s="4" t="s">
        <v>172</v>
      </c>
      <c r="E4588" s="4" t="s">
        <v>32378</v>
      </c>
      <c r="F4588" s="4" t="str">
        <f>IFERROR(__XLUDF.DUMMYFUNCTION("PROPER(REGEXREPLACE(D993,""[^A-Za-z]+ "",""""))"),"Nfcom")</f>
        <v>Nfcom</v>
      </c>
      <c r="G4588" s="4" t="s">
        <v>32379</v>
      </c>
      <c r="H4588" s="4">
        <v>19</v>
      </c>
      <c r="I4588" s="4" t="s">
        <v>9184</v>
      </c>
      <c r="J4588" s="4" t="str">
        <f>IFERROR(__XLUDF.DUMMYFUNCTION("VLOOKUP(H993,IMPORTRANGE(""https://docs.google.com/spreadsheets/d/1opm6ZNvGZ7KditA9TuJwrZ25eFLfTNIkrNnY6mhV5Eg"",""list!A1:C115""),3,TRUE)"),"le secteur des télécommunications")</f>
        <v xml:space="preserve">le secteur des télécommunications</v>
      </c>
      <c r="K4588" s="5" t="s">
        <v>32380</v>
      </c>
      <c r="L4588" s="5" t="s">
        <v>32381</v>
      </c>
      <c r="M4588" s="4" t="s">
        <v>492</v>
      </c>
      <c r="N4588" s="4" t="s">
        <v>29</v>
      </c>
      <c r="O4588" s="4" t="s">
        <v>32382</v>
      </c>
      <c r="P4588" s="4" t="s">
        <v>29</v>
      </c>
      <c r="Q4588" s="4" t="s">
        <v>32383</v>
      </c>
      <c r="R4588" s="6"/>
      <c r="S4588" s="6"/>
      <c r="T4588" s="6"/>
      <c r="U4588" s="6"/>
      <c r="V4588" s="6"/>
      <c r="W4588" s="6"/>
      <c r="X4588" s="6"/>
      <c r="Y4588" s="6"/>
      <c r="Z4588" s="6"/>
      <c r="AA4588" s="6"/>
    </row>
    <row r="4589" ht="14.25">
      <c r="B4589" s="4" t="s">
        <v>2119</v>
      </c>
      <c r="C4589" s="4" t="s">
        <v>26264</v>
      </c>
      <c r="D4589" s="4" t="s">
        <v>7594</v>
      </c>
      <c r="E4589" s="4" t="s">
        <v>32384</v>
      </c>
      <c r="F4589" s="4" t="str">
        <f>IFERROR(__XLUDF.DUMMYFUNCTION("PROPER(REGEXREPLACE(D994,""[^A-Za-z]+ "",""""))"),"Phone In Corsica")</f>
        <v xml:space="preserve">Phone In Corsica</v>
      </c>
      <c r="G4589" s="4" t="s">
        <v>32385</v>
      </c>
      <c r="H4589" s="4">
        <v>14</v>
      </c>
      <c r="I4589" s="4" t="s">
        <v>9184</v>
      </c>
      <c r="J4589" s="4" t="str">
        <f>IFERROR(__XLUDF.DUMMYFUNCTION("VLOOKUP(H994,IMPORTRANGE(""https://docs.google.com/spreadsheets/d/1opm6ZNvGZ7KditA9TuJwrZ25eFLfTNIkrNnY6mhV5Eg"",""list!A1:C115""),3,TRUE)"),"le secteur des télécommunications")</f>
        <v xml:space="preserve">le secteur des télécommunications</v>
      </c>
      <c r="K4589" s="5" t="s">
        <v>32386</v>
      </c>
      <c r="L4589" s="5" t="s">
        <v>32387</v>
      </c>
      <c r="M4589" s="4" t="s">
        <v>32388</v>
      </c>
      <c r="N4589" s="4" t="s">
        <v>29</v>
      </c>
      <c r="O4589" s="4" t="s">
        <v>32389</v>
      </c>
      <c r="P4589" s="4" t="s">
        <v>29</v>
      </c>
      <c r="Q4589" s="6"/>
      <c r="R4589" s="6"/>
      <c r="S4589" s="6"/>
      <c r="T4589" s="6"/>
      <c r="U4589" s="6"/>
      <c r="V4589" s="6"/>
      <c r="W4589" s="6"/>
      <c r="X4589" s="6"/>
      <c r="Y4589" s="6"/>
      <c r="Z4589" s="6"/>
      <c r="AA4589" s="6"/>
    </row>
    <row r="4590" ht="14.25">
      <c r="B4590" s="4" t="s">
        <v>355</v>
      </c>
      <c r="C4590" s="4" t="s">
        <v>32390</v>
      </c>
      <c r="D4590" s="4" t="s">
        <v>172</v>
      </c>
      <c r="E4590" s="4" t="s">
        <v>32391</v>
      </c>
      <c r="F4590" s="4" t="str">
        <f>IFERROR(__XLUDF.DUMMYFUNCTION("PROPER(REGEXREPLACE(D995,""[^A-Za-z]+ "",""""))"),"Abc Téléphoniesuite Digital")</f>
        <v xml:space="preserve">Abc Téléphoniesuite Digital</v>
      </c>
      <c r="G4590" s="4" t="s">
        <v>32392</v>
      </c>
      <c r="H4590" s="4">
        <v>26</v>
      </c>
      <c r="I4590" s="4" t="s">
        <v>9184</v>
      </c>
      <c r="J4590" s="4" t="str">
        <f>IFERROR(__XLUDF.DUMMYFUNCTION("VLOOKUP(H995,IMPORTRANGE(""https://docs.google.com/spreadsheets/d/1opm6ZNvGZ7KditA9TuJwrZ25eFLfTNIkrNnY6mhV5Eg"",""list!A1:C115""),3,TRUE)"),"le secteur des télécommunications")</f>
        <v xml:space="preserve">le secteur des télécommunications</v>
      </c>
      <c r="K4590" s="5" t="s">
        <v>32393</v>
      </c>
      <c r="L4590" s="5" t="s">
        <v>32394</v>
      </c>
      <c r="M4590" s="4" t="s">
        <v>12209</v>
      </c>
      <c r="N4590" s="4" t="s">
        <v>29</v>
      </c>
      <c r="O4590" s="4" t="s">
        <v>29394</v>
      </c>
      <c r="P4590" s="4" t="s">
        <v>29</v>
      </c>
      <c r="Q4590" s="4" t="s">
        <v>32395</v>
      </c>
      <c r="R4590" s="6"/>
      <c r="S4590" s="6"/>
      <c r="T4590" s="6"/>
      <c r="U4590" s="6"/>
      <c r="V4590" s="6"/>
      <c r="W4590" s="6"/>
      <c r="X4590" s="6"/>
      <c r="Y4590" s="6"/>
      <c r="Z4590" s="6"/>
      <c r="AA4590" s="6"/>
    </row>
    <row r="4591" ht="14.25">
      <c r="B4591" s="4" t="s">
        <v>734</v>
      </c>
      <c r="C4591" s="4" t="s">
        <v>32396</v>
      </c>
      <c r="D4591" s="4" t="s">
        <v>172</v>
      </c>
      <c r="E4591" s="4" t="s">
        <v>11876</v>
      </c>
      <c r="F4591" s="4" t="str">
        <f>IFERROR(__XLUDF.DUMMYFUNCTION("PROPER(REGEXREPLACE(D996,""[^A-Za-z]+ "",""""))"),"Valocîme")</f>
        <v>Valocîme</v>
      </c>
      <c r="G4591" s="4" t="s">
        <v>32397</v>
      </c>
      <c r="H4591" s="4">
        <v>45</v>
      </c>
      <c r="I4591" s="4" t="s">
        <v>9184</v>
      </c>
      <c r="J4591" s="4" t="str">
        <f>IFERROR(__XLUDF.DUMMYFUNCTION("VLOOKUP(H996,IMPORTRANGE(""https://docs.google.com/spreadsheets/d/1opm6ZNvGZ7KditA9TuJwrZ25eFLfTNIkrNnY6mhV5Eg"",""list!A1:C115""),3,TRUE)"),"le secteur des télécommunications")</f>
        <v xml:space="preserve">le secteur des télécommunications</v>
      </c>
      <c r="K4591" s="5" t="s">
        <v>32398</v>
      </c>
      <c r="L4591" s="5" t="s">
        <v>32399</v>
      </c>
      <c r="M4591" s="6"/>
      <c r="N4591" s="4" t="s">
        <v>29</v>
      </c>
      <c r="O4591" s="4" t="s">
        <v>32400</v>
      </c>
      <c r="P4591" s="4" t="s">
        <v>29</v>
      </c>
      <c r="Q4591" s="6"/>
      <c r="R4591" s="6"/>
      <c r="S4591" s="6"/>
      <c r="T4591" s="6"/>
      <c r="U4591" s="6"/>
      <c r="V4591" s="6"/>
      <c r="W4591" s="6"/>
      <c r="X4591" s="6"/>
      <c r="Y4591" s="6"/>
      <c r="Z4591" s="6"/>
      <c r="AA4591" s="6"/>
    </row>
    <row r="4592" ht="14.25">
      <c r="B4592" s="4" t="s">
        <v>1198</v>
      </c>
      <c r="C4592" s="4" t="s">
        <v>32401</v>
      </c>
      <c r="D4592" s="4" t="s">
        <v>3188</v>
      </c>
      <c r="E4592" s="4" t="s">
        <v>19605</v>
      </c>
      <c r="F4592" s="4" t="str">
        <f>IFERROR(__XLUDF.DUMMYFUNCTION("PROPER(REGEXREPLACE(D997,""[^A-Za-z]+ "",""""))"),"Airnity")</f>
        <v>Airnity</v>
      </c>
      <c r="G4592" s="4" t="s">
        <v>32402</v>
      </c>
      <c r="H4592" s="4">
        <v>30</v>
      </c>
      <c r="I4592" s="4" t="s">
        <v>9184</v>
      </c>
      <c r="J4592" s="4" t="str">
        <f>IFERROR(__XLUDF.DUMMYFUNCTION("VLOOKUP(H997,IMPORTRANGE(""https://docs.google.com/spreadsheets/d/1opm6ZNvGZ7KditA9TuJwrZ25eFLfTNIkrNnY6mhV5Eg"",""list!A1:C115""),3,TRUE)"),"le secteur des télécommunications")</f>
        <v xml:space="preserve">le secteur des télécommunications</v>
      </c>
      <c r="K4592" s="5" t="s">
        <v>32403</v>
      </c>
      <c r="L4592" s="5" t="s">
        <v>19608</v>
      </c>
      <c r="M4592" s="4" t="s">
        <v>39</v>
      </c>
      <c r="N4592" s="4" t="s">
        <v>29</v>
      </c>
      <c r="O4592" s="4" t="s">
        <v>19609</v>
      </c>
      <c r="P4592" s="4" t="s">
        <v>29</v>
      </c>
      <c r="Q4592" s="6"/>
      <c r="R4592" s="6"/>
      <c r="S4592" s="6"/>
      <c r="T4592" s="6"/>
      <c r="U4592" s="6"/>
      <c r="V4592" s="6"/>
      <c r="W4592" s="6"/>
      <c r="X4592" s="6"/>
      <c r="Y4592" s="6"/>
      <c r="Z4592" s="6"/>
      <c r="AA4592" s="6"/>
    </row>
    <row r="4593" ht="14.25">
      <c r="B4593" s="4" t="s">
        <v>2516</v>
      </c>
      <c r="C4593" s="4" t="s">
        <v>32404</v>
      </c>
      <c r="D4593" s="4" t="s">
        <v>681</v>
      </c>
      <c r="E4593" s="4" t="s">
        <v>32405</v>
      </c>
      <c r="F4593" s="4" t="str">
        <f>IFERROR(__XLUDF.DUMMYFUNCTION("PROPER(REGEXREPLACE(D998,""[^A-Za-z]+ "",""""))"),"Axiom Paris")</f>
        <v xml:space="preserve">Axiom Paris</v>
      </c>
      <c r="G4593" s="4" t="s">
        <v>32406</v>
      </c>
      <c r="H4593" s="4">
        <v>9</v>
      </c>
      <c r="I4593" s="4" t="s">
        <v>9184</v>
      </c>
      <c r="J4593" s="4" t="str">
        <f>IFERROR(__XLUDF.DUMMYFUNCTION("VLOOKUP(H998,IMPORTRANGE(""https://docs.google.com/spreadsheets/d/1opm6ZNvGZ7KditA9TuJwrZ25eFLfTNIkrNnY6mhV5Eg"",""list!A1:C115""),3,TRUE)"),"le secteur des télécommunications")</f>
        <v xml:space="preserve">le secteur des télécommunications</v>
      </c>
      <c r="K4593" s="5" t="s">
        <v>32407</v>
      </c>
      <c r="L4593" s="5" t="s">
        <v>32408</v>
      </c>
      <c r="M4593" s="4" t="s">
        <v>39</v>
      </c>
      <c r="N4593" s="4" t="s">
        <v>29</v>
      </c>
      <c r="O4593" s="4" t="s">
        <v>32409</v>
      </c>
      <c r="P4593" s="4" t="s">
        <v>29</v>
      </c>
      <c r="Q4593" s="6"/>
      <c r="R4593" s="6"/>
      <c r="S4593" s="6"/>
      <c r="T4593" s="6"/>
      <c r="U4593" s="6"/>
      <c r="V4593" s="6"/>
      <c r="W4593" s="6"/>
      <c r="X4593" s="6"/>
      <c r="Y4593" s="6"/>
      <c r="Z4593" s="6"/>
      <c r="AA4593" s="6"/>
    </row>
    <row r="4594" ht="14.25">
      <c r="B4594" s="4" t="s">
        <v>3142</v>
      </c>
      <c r="C4594" s="4" t="s">
        <v>32410</v>
      </c>
      <c r="D4594" s="4" t="s">
        <v>172</v>
      </c>
      <c r="E4594" s="4" t="s">
        <v>32411</v>
      </c>
      <c r="F4594" s="4" t="str">
        <f>IFERROR(__XLUDF.DUMMYFUNCTION("PROPER(REGEXREPLACE(D999,""[^A-Za-z]+ "",""""))"),"Bercytel")</f>
        <v>Bercytel</v>
      </c>
      <c r="G4594" s="4" t="s">
        <v>32412</v>
      </c>
      <c r="H4594" s="4">
        <v>13</v>
      </c>
      <c r="I4594" s="4" t="s">
        <v>9184</v>
      </c>
      <c r="J4594" s="4" t="str">
        <f>IFERROR(__XLUDF.DUMMYFUNCTION("VLOOKUP(H999,IMPORTRANGE(""https://docs.google.com/spreadsheets/d/1opm6ZNvGZ7KditA9TuJwrZ25eFLfTNIkrNnY6mhV5Eg"",""list!A1:C115""),3,TRUE)"),"le secteur des télécommunications")</f>
        <v xml:space="preserve">le secteur des télécommunications</v>
      </c>
      <c r="K4594" s="5" t="s">
        <v>32413</v>
      </c>
      <c r="L4594" s="5" t="s">
        <v>32414</v>
      </c>
      <c r="M4594" s="4" t="s">
        <v>32415</v>
      </c>
      <c r="N4594" s="4" t="s">
        <v>29</v>
      </c>
      <c r="O4594" s="4" t="s">
        <v>32416</v>
      </c>
      <c r="P4594" s="4" t="s">
        <v>29</v>
      </c>
      <c r="Q4594" s="4" t="s">
        <v>32417</v>
      </c>
      <c r="R4594" s="6"/>
      <c r="S4594" s="6"/>
      <c r="T4594" s="6"/>
      <c r="U4594" s="6"/>
      <c r="V4594" s="6"/>
      <c r="W4594" s="6"/>
      <c r="X4594" s="6"/>
      <c r="Y4594" s="6"/>
      <c r="Z4594" s="6"/>
      <c r="AA4594" s="6"/>
    </row>
    <row r="4595" ht="14.25">
      <c r="B4595" s="4" t="s">
        <v>2419</v>
      </c>
      <c r="C4595" s="4" t="s">
        <v>32418</v>
      </c>
      <c r="D4595" s="4" t="s">
        <v>2281</v>
      </c>
      <c r="E4595" s="4" t="s">
        <v>32419</v>
      </c>
      <c r="F4595" s="4" t="str">
        <f>IFERROR(__XLUDF.DUMMYFUNCTION("PROPER(REGEXREPLACE(D1000,""[^A-Za-z]+ "",""""))"),"Area Tech")</f>
        <v xml:space="preserve">Area Tech</v>
      </c>
      <c r="G4595" s="4" t="s">
        <v>32420</v>
      </c>
      <c r="H4595" s="4">
        <v>11</v>
      </c>
      <c r="I4595" s="4" t="s">
        <v>9184</v>
      </c>
      <c r="J4595" s="4" t="str">
        <f>IFERROR(__XLUDF.DUMMYFUNCTION("VLOOKUP(H1000,IMPORTRANGE(""https://docs.google.com/spreadsheets/d/1opm6ZNvGZ7KditA9TuJwrZ25eFLfTNIkrNnY6mhV5Eg"",""list!A1:C115""),3,TRUE)"),"le secteur des télécommunications")</f>
        <v xml:space="preserve">le secteur des télécommunications</v>
      </c>
      <c r="K4595" s="5" t="s">
        <v>32421</v>
      </c>
      <c r="L4595" s="5" t="s">
        <v>32422</v>
      </c>
      <c r="M4595" s="4" t="s">
        <v>846</v>
      </c>
      <c r="N4595" s="4" t="s">
        <v>29</v>
      </c>
      <c r="O4595" s="4" t="s">
        <v>32423</v>
      </c>
      <c r="P4595" s="4" t="s">
        <v>29</v>
      </c>
      <c r="Q4595" s="6"/>
      <c r="R4595" s="6"/>
      <c r="S4595" s="6"/>
      <c r="T4595" s="6"/>
      <c r="U4595" s="6"/>
      <c r="V4595" s="6"/>
      <c r="W4595" s="6"/>
      <c r="X4595" s="6"/>
      <c r="Y4595" s="6"/>
      <c r="Z4595" s="6"/>
      <c r="AA4595" s="6"/>
    </row>
    <row r="4596" ht="14.25">
      <c r="B4596" s="4" t="s">
        <v>222</v>
      </c>
      <c r="C4596" s="4" t="s">
        <v>32424</v>
      </c>
      <c r="D4596" s="4" t="s">
        <v>172</v>
      </c>
      <c r="E4596" s="4" t="s">
        <v>32425</v>
      </c>
      <c r="F4596" s="4" t="str">
        <f>IFERROR(__XLUDF.DUMMYFUNCTION("PROPER(REGEXREPLACE(D1001,""[^A-Za-z]+ "",""""))"),"Acrt")</f>
        <v>Acrt</v>
      </c>
      <c r="G4596" s="4" t="s">
        <v>32426</v>
      </c>
      <c r="H4596" s="4">
        <v>46</v>
      </c>
      <c r="I4596" s="4" t="s">
        <v>9184</v>
      </c>
      <c r="J4596" s="4" t="str">
        <f>IFERROR(__XLUDF.DUMMYFUNCTION("VLOOKUP(H1001,IMPORTRANGE(""https://docs.google.com/spreadsheets/d/1opm6ZNvGZ7KditA9TuJwrZ25eFLfTNIkrNnY6mhV5Eg"",""list!A1:C115""),3,TRUE)"),"le secteur des télécommunications")</f>
        <v xml:space="preserve">le secteur des télécommunications</v>
      </c>
      <c r="K4596" s="5" t="s">
        <v>32427</v>
      </c>
      <c r="L4596" s="5" t="s">
        <v>32428</v>
      </c>
      <c r="M4596" s="4" t="s">
        <v>185</v>
      </c>
      <c r="N4596" s="4" t="s">
        <v>29</v>
      </c>
      <c r="O4596" s="4" t="s">
        <v>32429</v>
      </c>
      <c r="P4596" s="4" t="s">
        <v>29</v>
      </c>
      <c r="Q4596" s="6"/>
      <c r="R4596" s="6"/>
      <c r="S4596" s="6"/>
      <c r="T4596" s="6"/>
      <c r="U4596" s="6"/>
      <c r="V4596" s="6"/>
      <c r="W4596" s="6"/>
      <c r="X4596" s="6"/>
      <c r="Y4596" s="6"/>
      <c r="Z4596" s="6"/>
      <c r="AA4596" s="6"/>
    </row>
    <row r="4597" ht="14.25">
      <c r="B4597" s="4" t="s">
        <v>2471</v>
      </c>
      <c r="C4597" s="4" t="s">
        <v>32430</v>
      </c>
      <c r="D4597" s="4" t="s">
        <v>87</v>
      </c>
      <c r="E4597" s="4" t="s">
        <v>32431</v>
      </c>
      <c r="F4597" s="4" t="str">
        <f>IFERROR(__XLUDF.DUMMYFUNCTION("PROPER(REGEXREPLACE(D1002,""[^A-Za-z]+ "",""""))"),"As Communication Tunis")</f>
        <v xml:space="preserve">As Communication Tunis</v>
      </c>
      <c r="G4597" s="4" t="s">
        <v>32432</v>
      </c>
      <c r="H4597" s="4">
        <v>12</v>
      </c>
      <c r="I4597" s="4" t="s">
        <v>9184</v>
      </c>
      <c r="J4597" s="4" t="str">
        <f>IFERROR(__XLUDF.DUMMYFUNCTION("VLOOKUP(H1002,IMPORTRANGE(""https://docs.google.com/spreadsheets/d/1opm6ZNvGZ7KditA9TuJwrZ25eFLfTNIkrNnY6mhV5Eg"",""list!A1:C115""),3,TRUE)"),"le secteur des télécommunications")</f>
        <v xml:space="preserve">le secteur des télécommunications</v>
      </c>
      <c r="K4597" s="5" t="s">
        <v>32433</v>
      </c>
      <c r="L4597" s="5" t="s">
        <v>32434</v>
      </c>
      <c r="M4597" s="4" t="s">
        <v>295</v>
      </c>
      <c r="N4597" s="4" t="s">
        <v>29</v>
      </c>
      <c r="O4597" s="4" t="s">
        <v>27583</v>
      </c>
      <c r="P4597" s="4" t="s">
        <v>9969</v>
      </c>
      <c r="Q4597" s="6"/>
      <c r="R4597" s="6"/>
      <c r="S4597" s="6"/>
      <c r="T4597" s="6"/>
      <c r="U4597" s="6"/>
      <c r="V4597" s="6"/>
      <c r="W4597" s="6"/>
      <c r="X4597" s="6"/>
      <c r="Y4597" s="6"/>
      <c r="Z4597" s="6"/>
      <c r="AA4597" s="6"/>
    </row>
    <row r="4598" ht="14.25">
      <c r="B4598" s="4" t="s">
        <v>548</v>
      </c>
      <c r="C4598" s="4" t="s">
        <v>28805</v>
      </c>
      <c r="D4598" s="4" t="s">
        <v>32435</v>
      </c>
      <c r="E4598" s="4" t="s">
        <v>32436</v>
      </c>
      <c r="F4598" s="4" t="str">
        <f>IFERROR(__XLUDF.DUMMYFUNCTION("PROPER(REGEXREPLACE(D1003,""[^A-Za-z]+ "",""""))"),"Wi6Labs")</f>
        <v>Wi6Labs</v>
      </c>
      <c r="G4598" s="4" t="s">
        <v>32437</v>
      </c>
      <c r="H4598" s="4">
        <v>16</v>
      </c>
      <c r="I4598" s="4" t="s">
        <v>9184</v>
      </c>
      <c r="J4598" s="4" t="str">
        <f>IFERROR(__XLUDF.DUMMYFUNCTION("VLOOKUP(H1003,IMPORTRANGE(""https://docs.google.com/spreadsheets/d/1opm6ZNvGZ7KditA9TuJwrZ25eFLfTNIkrNnY6mhV5Eg"",""list!A1:C115""),3,TRUE)"),"le secteur des télécommunications")</f>
        <v xml:space="preserve">le secteur des télécommunications</v>
      </c>
      <c r="K4598" s="5" t="s">
        <v>32438</v>
      </c>
      <c r="L4598" s="5" t="s">
        <v>32439</v>
      </c>
      <c r="M4598" s="6"/>
      <c r="N4598" s="4" t="s">
        <v>29</v>
      </c>
      <c r="O4598" s="4" t="s">
        <v>24800</v>
      </c>
      <c r="P4598" s="4" t="s">
        <v>29</v>
      </c>
      <c r="Q4598" s="4" t="s">
        <v>32440</v>
      </c>
      <c r="R4598" s="6"/>
      <c r="S4598" s="6"/>
      <c r="T4598" s="6"/>
      <c r="U4598" s="6"/>
      <c r="V4598" s="6"/>
      <c r="W4598" s="6"/>
      <c r="X4598" s="6"/>
      <c r="Y4598" s="6"/>
      <c r="Z4598" s="6"/>
      <c r="AA4598" s="6"/>
    </row>
    <row r="4599" ht="14.25">
      <c r="B4599" s="4" t="s">
        <v>817</v>
      </c>
      <c r="C4599" s="4" t="s">
        <v>32441</v>
      </c>
      <c r="D4599" s="4" t="s">
        <v>172</v>
      </c>
      <c r="E4599" s="4" t="s">
        <v>32442</v>
      </c>
      <c r="F4599" s="4" t="str">
        <f>IFERROR(__XLUDF.DUMMYFUNCTION("PROPER(REGEXREPLACE(D1004,""[^A-Za-z]+ "",""""))"),"Desmarez Sas")</f>
        <v xml:space="preserve">Desmarez Sas</v>
      </c>
      <c r="G4599" s="4" t="s">
        <v>32443</v>
      </c>
      <c r="H4599" s="4">
        <v>30</v>
      </c>
      <c r="I4599" s="4" t="s">
        <v>9184</v>
      </c>
      <c r="J4599" s="4" t="str">
        <f>IFERROR(__XLUDF.DUMMYFUNCTION("VLOOKUP(H1004,IMPORTRANGE(""https://docs.google.com/spreadsheets/d/1opm6ZNvGZ7KditA9TuJwrZ25eFLfTNIkrNnY6mhV5Eg"",""list!A1:C115""),3,TRUE)"),"le secteur des télécommunications")</f>
        <v xml:space="preserve">le secteur des télécommunications</v>
      </c>
      <c r="K4599" s="5" t="s">
        <v>32444</v>
      </c>
      <c r="L4599" s="5" t="s">
        <v>32445</v>
      </c>
      <c r="M4599" s="4" t="s">
        <v>13294</v>
      </c>
      <c r="N4599" s="4" t="s">
        <v>29</v>
      </c>
      <c r="O4599" s="4" t="s">
        <v>32446</v>
      </c>
      <c r="P4599" s="4" t="s">
        <v>29</v>
      </c>
      <c r="Q4599" s="4" t="s">
        <v>32447</v>
      </c>
      <c r="R4599" s="6"/>
      <c r="S4599" s="6"/>
      <c r="T4599" s="6"/>
      <c r="U4599" s="6"/>
      <c r="V4599" s="6"/>
      <c r="W4599" s="6"/>
      <c r="X4599" s="6"/>
      <c r="Y4599" s="6"/>
      <c r="Z4599" s="6"/>
      <c r="AA4599" s="6"/>
    </row>
    <row r="4600" ht="14.25">
      <c r="B4600" s="4" t="s">
        <v>3164</v>
      </c>
      <c r="C4600" s="4" t="s">
        <v>32448</v>
      </c>
      <c r="D4600" s="4" t="s">
        <v>468</v>
      </c>
      <c r="E4600" s="4" t="s">
        <v>32449</v>
      </c>
      <c r="F4600" s="4" t="str">
        <f>IFERROR(__XLUDF.DUMMYFUNCTION("PROPER(REGEXREPLACE(D1005,""[^A-Za-z]+ "",""""))"),"Cekoya")</f>
        <v>Cekoya</v>
      </c>
      <c r="G4600" s="4" t="s">
        <v>32450</v>
      </c>
      <c r="H4600" s="4">
        <v>13</v>
      </c>
      <c r="I4600" s="4" t="s">
        <v>9184</v>
      </c>
      <c r="J4600" s="4" t="str">
        <f>IFERROR(__XLUDF.DUMMYFUNCTION("VLOOKUP(H1005,IMPORTRANGE(""https://docs.google.com/spreadsheets/d/1opm6ZNvGZ7KditA9TuJwrZ25eFLfTNIkrNnY6mhV5Eg"",""list!A1:C115""),3,TRUE)"),"le secteur des télécommunications")</f>
        <v xml:space="preserve">le secteur des télécommunications</v>
      </c>
      <c r="K4600" s="5" t="s">
        <v>32451</v>
      </c>
      <c r="L4600" s="5" t="s">
        <v>32452</v>
      </c>
      <c r="M4600" s="4" t="s">
        <v>1745</v>
      </c>
      <c r="N4600" s="4" t="s">
        <v>29</v>
      </c>
      <c r="O4600" s="4" t="s">
        <v>32453</v>
      </c>
      <c r="P4600" s="4" t="s">
        <v>29</v>
      </c>
      <c r="Q4600" s="6"/>
      <c r="R4600" s="6"/>
      <c r="S4600" s="6"/>
      <c r="T4600" s="6"/>
      <c r="U4600" s="6"/>
      <c r="V4600" s="6"/>
      <c r="W4600" s="6"/>
      <c r="X4600" s="6"/>
      <c r="Y4600" s="6"/>
      <c r="Z4600" s="6"/>
      <c r="AA4600" s="6"/>
    </row>
    <row r="4601" ht="14.25">
      <c r="B4601" s="4" t="s">
        <v>2299</v>
      </c>
      <c r="C4601" s="4" t="s">
        <v>1499</v>
      </c>
      <c r="D4601" s="4" t="s">
        <v>265</v>
      </c>
      <c r="E4601" s="4" t="s">
        <v>32454</v>
      </c>
      <c r="F4601" s="4" t="str">
        <f>IFERROR(__XLUDF.DUMMYFUNCTION("PROPER(REGEXREPLACE(D1006,""[^A-Za-z]+ "",""""))"),"Groupe H4")</f>
        <v xml:space="preserve">Groupe H4</v>
      </c>
      <c r="G4601" s="4" t="s">
        <v>32455</v>
      </c>
      <c r="H4601" s="4">
        <v>15</v>
      </c>
      <c r="I4601" s="4" t="s">
        <v>9184</v>
      </c>
      <c r="J4601" s="4" t="str">
        <f>IFERROR(__XLUDF.DUMMYFUNCTION("VLOOKUP(H1006,IMPORTRANGE(""https://docs.google.com/spreadsheets/d/1opm6ZNvGZ7KditA9TuJwrZ25eFLfTNIkrNnY6mhV5Eg"",""list!A1:C115""),3,TRUE)"),"le secteur des télécommunications")</f>
        <v xml:space="preserve">le secteur des télécommunications</v>
      </c>
      <c r="K4601" s="5" t="s">
        <v>32456</v>
      </c>
      <c r="L4601" s="5" t="s">
        <v>32457</v>
      </c>
      <c r="M4601" s="4" t="s">
        <v>39</v>
      </c>
      <c r="N4601" s="4" t="s">
        <v>29</v>
      </c>
      <c r="O4601" s="4" t="s">
        <v>20839</v>
      </c>
      <c r="P4601" s="4" t="s">
        <v>29</v>
      </c>
      <c r="Q4601" s="4" t="s">
        <v>32458</v>
      </c>
      <c r="R4601" s="6"/>
      <c r="S4601" s="6"/>
      <c r="T4601" s="6"/>
      <c r="U4601" s="6"/>
      <c r="V4601" s="6"/>
      <c r="W4601" s="6"/>
      <c r="X4601" s="6"/>
      <c r="Y4601" s="6"/>
      <c r="Z4601" s="6"/>
      <c r="AA4601" s="6"/>
    </row>
    <row r="4602" ht="14.25">
      <c r="B4602" s="4" t="s">
        <v>76</v>
      </c>
      <c r="C4602" s="4" t="s">
        <v>32459</v>
      </c>
      <c r="D4602" s="4" t="s">
        <v>172</v>
      </c>
      <c r="E4602" s="4" t="s">
        <v>32460</v>
      </c>
      <c r="F4602" s="4" t="str">
        <f>IFERROR(__XLUDF.DUMMYFUNCTION("PROPER(REGEXREPLACE(D1007,""[^A-Za-z]+ "",""""))"),"Fibre 31")</f>
        <v xml:space="preserve">Fibre 31</v>
      </c>
      <c r="G4602" s="4" t="s">
        <v>32461</v>
      </c>
      <c r="H4602" s="4">
        <v>12</v>
      </c>
      <c r="I4602" s="4" t="s">
        <v>9184</v>
      </c>
      <c r="J4602" s="4" t="str">
        <f>IFERROR(__XLUDF.DUMMYFUNCTION("VLOOKUP(H1007,IMPORTRANGE(""https://docs.google.com/spreadsheets/d/1opm6ZNvGZ7KditA9TuJwrZ25eFLfTNIkrNnY6mhV5Eg"",""list!A1:C115""),3,TRUE)"),"le secteur des télécommunications")</f>
        <v xml:space="preserve">le secteur des télécommunications</v>
      </c>
      <c r="K4602" s="5" t="s">
        <v>32462</v>
      </c>
      <c r="L4602" s="5" t="s">
        <v>32463</v>
      </c>
      <c r="M4602" s="4" t="s">
        <v>16314</v>
      </c>
      <c r="N4602" s="4" t="s">
        <v>29</v>
      </c>
      <c r="O4602" s="4" t="s">
        <v>32464</v>
      </c>
      <c r="P4602" s="4" t="s">
        <v>29</v>
      </c>
      <c r="Q4602" s="6"/>
      <c r="R4602" s="6"/>
      <c r="S4602" s="6"/>
      <c r="T4602" s="6"/>
      <c r="U4602" s="6"/>
      <c r="V4602" s="6"/>
      <c r="W4602" s="6"/>
      <c r="X4602" s="6"/>
      <c r="Y4602" s="6"/>
      <c r="Z4602" s="6"/>
      <c r="AA4602" s="6"/>
    </row>
    <row r="4603" ht="14.25">
      <c r="B4603" s="4" t="s">
        <v>1454</v>
      </c>
      <c r="C4603" s="4" t="s">
        <v>32465</v>
      </c>
      <c r="D4603" s="4" t="s">
        <v>87</v>
      </c>
      <c r="E4603" s="4" t="s">
        <v>22335</v>
      </c>
      <c r="F4603" s="4" t="str">
        <f>IFERROR(__XLUDF.DUMMYFUNCTION("PROPER(REGEXREPLACE(D1008,""[^A-Za-z]+ "",""""))"),"Whispeak")</f>
        <v>Whispeak</v>
      </c>
      <c r="G4603" s="4" t="s">
        <v>32466</v>
      </c>
      <c r="H4603" s="4">
        <v>9</v>
      </c>
      <c r="I4603" s="4" t="s">
        <v>9184</v>
      </c>
      <c r="J4603" s="4" t="str">
        <f>IFERROR(__XLUDF.DUMMYFUNCTION("VLOOKUP(H1008,IMPORTRANGE(""https://docs.google.com/spreadsheets/d/1opm6ZNvGZ7KditA9TuJwrZ25eFLfTNIkrNnY6mhV5Eg"",""list!A1:C115""),3,TRUE)"),"le secteur des télécommunications")</f>
        <v xml:space="preserve">le secteur des télécommunications</v>
      </c>
      <c r="K4603" s="5" t="s">
        <v>32467</v>
      </c>
      <c r="L4603" s="5" t="s">
        <v>22338</v>
      </c>
      <c r="M4603" s="4" t="s">
        <v>39</v>
      </c>
      <c r="N4603" s="4" t="s">
        <v>29</v>
      </c>
      <c r="O4603" s="4" t="s">
        <v>5865</v>
      </c>
      <c r="P4603" s="4" t="s">
        <v>29</v>
      </c>
      <c r="Q4603" s="4" t="s">
        <v>22339</v>
      </c>
      <c r="R4603" s="6"/>
      <c r="S4603" s="6"/>
      <c r="T4603" s="6"/>
      <c r="U4603" s="6"/>
      <c r="V4603" s="6"/>
      <c r="W4603" s="6"/>
      <c r="X4603" s="6"/>
      <c r="Y4603" s="6"/>
      <c r="Z4603" s="6"/>
      <c r="AA4603" s="6"/>
    </row>
    <row r="4604" ht="14.25">
      <c r="B4604" s="4" t="s">
        <v>32468</v>
      </c>
      <c r="C4604" s="4" t="s">
        <v>3609</v>
      </c>
      <c r="D4604" s="4" t="s">
        <v>1950</v>
      </c>
      <c r="E4604" s="4" t="s">
        <v>32469</v>
      </c>
      <c r="F4604" s="4" t="str">
        <f>IFERROR(__XLUDF.DUMMYFUNCTION("PROPER(REGEXREPLACE(D1009,""[^A-Za-z]+ "",""""))"),"Sct Telecom")</f>
        <v xml:space="preserve">Sct Telecom</v>
      </c>
      <c r="G4604" s="4" t="s">
        <v>32470</v>
      </c>
      <c r="H4604" s="4">
        <v>28</v>
      </c>
      <c r="I4604" s="4" t="s">
        <v>9184</v>
      </c>
      <c r="J4604" s="4" t="str">
        <f>IFERROR(__XLUDF.DUMMYFUNCTION("VLOOKUP(H1009,IMPORTRANGE(""https://docs.google.com/spreadsheets/d/1opm6ZNvGZ7KditA9TuJwrZ25eFLfTNIkrNnY6mhV5Eg"",""list!A1:C115""),3,TRUE)"),"le secteur des télécommunications")</f>
        <v xml:space="preserve">le secteur des télécommunications</v>
      </c>
      <c r="K4604" s="5" t="s">
        <v>32471</v>
      </c>
      <c r="L4604" s="5" t="s">
        <v>32472</v>
      </c>
      <c r="M4604" s="4" t="s">
        <v>39</v>
      </c>
      <c r="N4604" s="4" t="s">
        <v>29</v>
      </c>
      <c r="O4604" s="4" t="s">
        <v>32473</v>
      </c>
      <c r="P4604" s="4" t="s">
        <v>1152</v>
      </c>
      <c r="Q4604" s="4" t="s">
        <v>32474</v>
      </c>
      <c r="R4604" s="6"/>
      <c r="S4604" s="6"/>
      <c r="T4604" s="6"/>
      <c r="U4604" s="6"/>
      <c r="V4604" s="6"/>
      <c r="W4604" s="6"/>
      <c r="X4604" s="6"/>
      <c r="Y4604" s="6"/>
      <c r="Z4604" s="6"/>
      <c r="AA4604" s="6"/>
    </row>
    <row r="4605" ht="14.25">
      <c r="B4605" s="4" t="s">
        <v>27213</v>
      </c>
      <c r="C4605" s="4" t="s">
        <v>6179</v>
      </c>
      <c r="D4605" s="4" t="s">
        <v>3982</v>
      </c>
      <c r="E4605" s="4" t="s">
        <v>32475</v>
      </c>
      <c r="F4605" s="4" t="str">
        <f>IFERROR(__XLUDF.DUMMYFUNCTION("PROPER(REGEXREPLACE(D1010,""[^A-Za-z]+ "",""""))"),"Lemnia")</f>
        <v>Lemnia</v>
      </c>
      <c r="G4605" s="4" t="s">
        <v>32476</v>
      </c>
      <c r="H4605" s="4">
        <v>10</v>
      </c>
      <c r="I4605" s="4" t="s">
        <v>9184</v>
      </c>
      <c r="J4605" s="4" t="str">
        <f>IFERROR(__XLUDF.DUMMYFUNCTION("VLOOKUP(H1010,IMPORTRANGE(""https://docs.google.com/spreadsheets/d/1opm6ZNvGZ7KditA9TuJwrZ25eFLfTNIkrNnY6mhV5Eg"",""list!A1:C115""),3,TRUE)"),"le secteur des télécommunications")</f>
        <v xml:space="preserve">le secteur des télécommunications</v>
      </c>
      <c r="K4605" s="5" t="s">
        <v>32477</v>
      </c>
      <c r="L4605" s="5" t="s">
        <v>32478</v>
      </c>
      <c r="M4605" s="4" t="s">
        <v>1312</v>
      </c>
      <c r="N4605" s="4" t="s">
        <v>29</v>
      </c>
      <c r="O4605" s="4" t="s">
        <v>32479</v>
      </c>
      <c r="P4605" s="4" t="s">
        <v>29</v>
      </c>
      <c r="Q4605" s="4" t="s">
        <v>32480</v>
      </c>
      <c r="R4605" s="6"/>
      <c r="S4605" s="6"/>
      <c r="T4605" s="6"/>
      <c r="U4605" s="6"/>
      <c r="V4605" s="6"/>
      <c r="W4605" s="6"/>
      <c r="X4605" s="6"/>
      <c r="Y4605" s="6"/>
      <c r="Z4605" s="6"/>
      <c r="AA4605" s="6"/>
    </row>
    <row r="4606" ht="14.25">
      <c r="B4606" s="4" t="s">
        <v>32481</v>
      </c>
      <c r="C4606" s="4" t="s">
        <v>23551</v>
      </c>
      <c r="D4606" s="4" t="s">
        <v>32482</v>
      </c>
      <c r="E4606" s="4" t="s">
        <v>32483</v>
      </c>
      <c r="F4606" s="4" t="str">
        <f>IFERROR(__XLUDF.DUMMYFUNCTION("PROPER(REGEXREPLACE(D1011,""[^A-Za-z]+ "",""""))"),"Groupe President Electronics")</f>
        <v xml:space="preserve">Groupe President Electronics</v>
      </c>
      <c r="G4606" s="4" t="s">
        <v>32484</v>
      </c>
      <c r="H4606" s="4">
        <v>16</v>
      </c>
      <c r="I4606" s="4" t="s">
        <v>9184</v>
      </c>
      <c r="J4606" s="4" t="str">
        <f>IFERROR(__XLUDF.DUMMYFUNCTION("VLOOKUP(H1011,IMPORTRANGE(""https://docs.google.com/spreadsheets/d/1opm6ZNvGZ7KditA9TuJwrZ25eFLfTNIkrNnY6mhV5Eg"",""list!A1:C115""),3,TRUE)"),"le secteur des télécommunications")</f>
        <v xml:space="preserve">le secteur des télécommunications</v>
      </c>
      <c r="K4606" s="5" t="s">
        <v>32485</v>
      </c>
      <c r="L4606" s="5" t="s">
        <v>32486</v>
      </c>
      <c r="M4606" s="4" t="s">
        <v>482</v>
      </c>
      <c r="N4606" s="4" t="s">
        <v>29</v>
      </c>
      <c r="O4606" s="4" t="s">
        <v>32487</v>
      </c>
      <c r="P4606" s="4" t="s">
        <v>29</v>
      </c>
      <c r="Q4606" s="6"/>
      <c r="R4606" s="6"/>
      <c r="S4606" s="6"/>
      <c r="T4606" s="6"/>
      <c r="U4606" s="6"/>
      <c r="V4606" s="6"/>
      <c r="W4606" s="6"/>
      <c r="X4606" s="6"/>
      <c r="Y4606" s="6"/>
      <c r="Z4606" s="6"/>
      <c r="AA4606" s="6"/>
    </row>
    <row r="4607" ht="14.25">
      <c r="B4607" s="4" t="s">
        <v>5716</v>
      </c>
      <c r="C4607" s="4" t="s">
        <v>32488</v>
      </c>
      <c r="D4607" s="4" t="s">
        <v>172</v>
      </c>
      <c r="E4607" s="4" t="s">
        <v>32489</v>
      </c>
      <c r="F4607" s="4" t="str">
        <f>IFERROR(__XLUDF.DUMMYFUNCTION("PROPER(REGEXREPLACE(D1012,""[^A-Za-z]+ "",""""))"),"Tourmag")</f>
        <v>Tourmag</v>
      </c>
      <c r="G4607" s="4" t="s">
        <v>32490</v>
      </c>
      <c r="H4607" s="4">
        <v>24</v>
      </c>
      <c r="I4607" s="4" t="s">
        <v>9184</v>
      </c>
      <c r="J4607" s="4" t="str">
        <f>IFERROR(__XLUDF.DUMMYFUNCTION("VLOOKUP(H1012,IMPORTRANGE(""https://docs.google.com/spreadsheets/d/1opm6ZNvGZ7KditA9TuJwrZ25eFLfTNIkrNnY6mhV5Eg"",""list!A1:C115""),3,TRUE)"),"le secteur des télécommunications")</f>
        <v xml:space="preserve">le secteur des télécommunications</v>
      </c>
      <c r="K4607" s="5" t="s">
        <v>32491</v>
      </c>
      <c r="L4607" s="5" t="s">
        <v>32492</v>
      </c>
      <c r="M4607" s="4" t="s">
        <v>295</v>
      </c>
      <c r="N4607" s="4" t="s">
        <v>29</v>
      </c>
      <c r="O4607" s="4" t="s">
        <v>32493</v>
      </c>
      <c r="P4607" s="4" t="s">
        <v>29</v>
      </c>
      <c r="Q4607" s="4" t="s">
        <v>32494</v>
      </c>
      <c r="R4607" s="6"/>
      <c r="S4607" s="6"/>
      <c r="T4607" s="6"/>
      <c r="U4607" s="6"/>
      <c r="V4607" s="6"/>
      <c r="W4607" s="6"/>
      <c r="X4607" s="6"/>
      <c r="Y4607" s="6"/>
      <c r="Z4607" s="6"/>
      <c r="AA4607" s="6"/>
    </row>
    <row r="4608" ht="14.25">
      <c r="B4608" s="4" t="s">
        <v>1153</v>
      </c>
      <c r="C4608" s="4" t="s">
        <v>32495</v>
      </c>
      <c r="D4608" s="4" t="s">
        <v>426</v>
      </c>
      <c r="E4608" s="4" t="s">
        <v>32496</v>
      </c>
      <c r="F4608" s="4" t="str">
        <f>IFERROR(__XLUDF.DUMMYFUNCTION("PROPER(REGEXREPLACE(D1013,""[^A-Za-z]+ "",""""))"),"Commend France")</f>
        <v xml:space="preserve">Commend France</v>
      </c>
      <c r="G4608" s="4" t="s">
        <v>32497</v>
      </c>
      <c r="H4608" s="4">
        <v>29</v>
      </c>
      <c r="I4608" s="4" t="s">
        <v>9184</v>
      </c>
      <c r="J4608" s="4" t="str">
        <f>IFERROR(__XLUDF.DUMMYFUNCTION("VLOOKUP(H1013,IMPORTRANGE(""https://docs.google.com/spreadsheets/d/1opm6ZNvGZ7KditA9TuJwrZ25eFLfTNIkrNnY6mhV5Eg"",""list!A1:C115""),3,TRUE)"),"le secteur des télécommunications")</f>
        <v xml:space="preserve">le secteur des télécommunications</v>
      </c>
      <c r="K4608" s="5" t="s">
        <v>32498</v>
      </c>
      <c r="L4608" s="5" t="s">
        <v>32499</v>
      </c>
      <c r="M4608" s="4" t="s">
        <v>39</v>
      </c>
      <c r="N4608" s="4" t="s">
        <v>29</v>
      </c>
      <c r="O4608" s="4" t="s">
        <v>32030</v>
      </c>
      <c r="P4608" s="4" t="s">
        <v>29</v>
      </c>
      <c r="Q4608" s="6"/>
      <c r="R4608" s="6"/>
      <c r="S4608" s="6"/>
      <c r="T4608" s="6"/>
      <c r="U4608" s="6"/>
      <c r="V4608" s="6"/>
      <c r="W4608" s="6"/>
      <c r="X4608" s="6"/>
      <c r="Y4608" s="6"/>
      <c r="Z4608" s="6"/>
      <c r="AA4608" s="6"/>
    </row>
    <row r="4609" ht="14.25">
      <c r="B4609" s="4" t="s">
        <v>330</v>
      </c>
      <c r="C4609" s="4" t="s">
        <v>32500</v>
      </c>
      <c r="D4609" s="4" t="s">
        <v>468</v>
      </c>
      <c r="E4609" s="4" t="s">
        <v>32358</v>
      </c>
      <c r="F4609" s="4" t="str">
        <f>IFERROR(__XLUDF.DUMMYFUNCTION("PROPER(REGEXREPLACE(D1014,""[^A-Za-z]+ "",""""))"),"Fédération Française Des Télécoms")</f>
        <v xml:space="preserve">Fédération Française Des Télécoms</v>
      </c>
      <c r="G4609" s="4" t="s">
        <v>32501</v>
      </c>
      <c r="H4609" s="4">
        <v>17</v>
      </c>
      <c r="I4609" s="4" t="s">
        <v>9184</v>
      </c>
      <c r="J4609" s="4" t="str">
        <f>IFERROR(__XLUDF.DUMMYFUNCTION("VLOOKUP(H1014,IMPORTRANGE(""https://docs.google.com/spreadsheets/d/1opm6ZNvGZ7KditA9TuJwrZ25eFLfTNIkrNnY6mhV5Eg"",""list!A1:C115""),3,TRUE)"),"le secteur des télécommunications")</f>
        <v xml:space="preserve">le secteur des télécommunications</v>
      </c>
      <c r="K4609" s="5" t="s">
        <v>32502</v>
      </c>
      <c r="L4609" s="5" t="s">
        <v>32361</v>
      </c>
      <c r="M4609" s="4" t="s">
        <v>39</v>
      </c>
      <c r="N4609" s="4" t="s">
        <v>29</v>
      </c>
      <c r="O4609" s="4" t="s">
        <v>32362</v>
      </c>
      <c r="P4609" s="4" t="s">
        <v>29</v>
      </c>
      <c r="Q4609" s="4" t="s">
        <v>32363</v>
      </c>
      <c r="R4609" s="6"/>
      <c r="S4609" s="6"/>
      <c r="T4609" s="6"/>
      <c r="U4609" s="6"/>
      <c r="V4609" s="6"/>
      <c r="W4609" s="6"/>
      <c r="X4609" s="6"/>
      <c r="Y4609" s="6"/>
      <c r="Z4609" s="6"/>
      <c r="AA4609" s="6"/>
    </row>
    <row r="4610" ht="14.25">
      <c r="B4610" s="4" t="s">
        <v>866</v>
      </c>
      <c r="C4610" s="4" t="s">
        <v>32503</v>
      </c>
      <c r="D4610" s="4" t="s">
        <v>172</v>
      </c>
      <c r="E4610" s="4" t="s">
        <v>11876</v>
      </c>
      <c r="F4610" s="4" t="str">
        <f>IFERROR(__XLUDF.DUMMYFUNCTION("PROPER(REGEXREPLACE(D1015,""[^A-Za-z]+ "",""""))"),"Valocîme")</f>
        <v>Valocîme</v>
      </c>
      <c r="G4610" s="4" t="s">
        <v>32504</v>
      </c>
      <c r="H4610" s="4">
        <v>45</v>
      </c>
      <c r="I4610" s="4" t="s">
        <v>9184</v>
      </c>
      <c r="J4610" s="4" t="str">
        <f>IFERROR(__XLUDF.DUMMYFUNCTION("VLOOKUP(H1015,IMPORTRANGE(""https://docs.google.com/spreadsheets/d/1opm6ZNvGZ7KditA9TuJwrZ25eFLfTNIkrNnY6mhV5Eg"",""list!A1:C115""),3,TRUE)"),"le secteur des télécommunications")</f>
        <v xml:space="preserve">le secteur des télécommunications</v>
      </c>
      <c r="K4610" s="5" t="s">
        <v>32505</v>
      </c>
      <c r="L4610" s="5" t="s">
        <v>32399</v>
      </c>
      <c r="M4610" s="4" t="s">
        <v>32506</v>
      </c>
      <c r="N4610" s="4" t="s">
        <v>29</v>
      </c>
      <c r="O4610" s="4" t="s">
        <v>32400</v>
      </c>
      <c r="P4610" s="4" t="s">
        <v>29</v>
      </c>
      <c r="Q4610" s="6"/>
      <c r="R4610" s="6"/>
      <c r="S4610" s="6"/>
      <c r="T4610" s="6"/>
      <c r="U4610" s="6"/>
      <c r="V4610" s="6"/>
      <c r="W4610" s="6"/>
      <c r="X4610" s="6"/>
      <c r="Y4610" s="6"/>
      <c r="Z4610" s="6"/>
      <c r="AA4610" s="6"/>
    </row>
    <row r="4611" ht="14.25">
      <c r="B4611" s="4" t="s">
        <v>1027</v>
      </c>
      <c r="C4611" s="4" t="s">
        <v>32507</v>
      </c>
      <c r="D4611" s="4" t="s">
        <v>1950</v>
      </c>
      <c r="E4611" s="4" t="s">
        <v>32508</v>
      </c>
      <c r="F4611" s="4" t="str">
        <f>IFERROR(__XLUDF.DUMMYFUNCTION("PROPER(REGEXREPLACE(D1016,""[^A-Za-z]+ "",""""))"),"Cdi Médiasservices")</f>
        <v xml:space="preserve">Cdi Médiasservices</v>
      </c>
      <c r="G4611" s="4" t="s">
        <v>32509</v>
      </c>
      <c r="H4611" s="4">
        <v>22</v>
      </c>
      <c r="I4611" s="4" t="s">
        <v>9184</v>
      </c>
      <c r="J4611" s="4" t="str">
        <f>IFERROR(__XLUDF.DUMMYFUNCTION("VLOOKUP(H1016,IMPORTRANGE(""https://docs.google.com/spreadsheets/d/1opm6ZNvGZ7KditA9TuJwrZ25eFLfTNIkrNnY6mhV5Eg"",""list!A1:C115""),3,TRUE)"),"le secteur des télécommunications")</f>
        <v xml:space="preserve">le secteur des télécommunications</v>
      </c>
      <c r="K4611" s="5" t="s">
        <v>32510</v>
      </c>
      <c r="L4611" s="5" t="s">
        <v>32511</v>
      </c>
      <c r="M4611" s="4" t="s">
        <v>39</v>
      </c>
      <c r="N4611" s="4" t="s">
        <v>29</v>
      </c>
      <c r="O4611" s="4" t="s">
        <v>32512</v>
      </c>
      <c r="P4611" s="4" t="s">
        <v>29</v>
      </c>
      <c r="Q4611" s="6"/>
      <c r="R4611" s="6"/>
      <c r="S4611" s="6"/>
      <c r="T4611" s="6"/>
      <c r="U4611" s="6"/>
      <c r="V4611" s="6"/>
      <c r="W4611" s="6"/>
      <c r="X4611" s="6"/>
      <c r="Y4611" s="6"/>
      <c r="Z4611" s="6"/>
      <c r="AA4611" s="6"/>
    </row>
    <row r="4612" ht="14.25">
      <c r="B4612" s="4" t="s">
        <v>12387</v>
      </c>
      <c r="C4612" s="4" t="s">
        <v>32513</v>
      </c>
      <c r="D4612" s="4" t="s">
        <v>3775</v>
      </c>
      <c r="E4612" s="4" t="s">
        <v>19605</v>
      </c>
      <c r="F4612" s="4" t="str">
        <f>IFERROR(__XLUDF.DUMMYFUNCTION("PROPER(REGEXREPLACE(D1017,""[^A-Za-z]+ "",""""))"),"Airnity")</f>
        <v>Airnity</v>
      </c>
      <c r="G4612" s="4" t="s">
        <v>32514</v>
      </c>
      <c r="H4612" s="4">
        <v>30</v>
      </c>
      <c r="I4612" s="4" t="s">
        <v>9184</v>
      </c>
      <c r="J4612" s="4" t="str">
        <f>IFERROR(__XLUDF.DUMMYFUNCTION("VLOOKUP(H1017,IMPORTRANGE(""https://docs.google.com/spreadsheets/d/1opm6ZNvGZ7KditA9TuJwrZ25eFLfTNIkrNnY6mhV5Eg"",""list!A1:C115""),3,TRUE)"),"le secteur des télécommunications")</f>
        <v xml:space="preserve">le secteur des télécommunications</v>
      </c>
      <c r="K4612" s="5" t="s">
        <v>32515</v>
      </c>
      <c r="L4612" s="5" t="s">
        <v>19608</v>
      </c>
      <c r="M4612" s="4" t="s">
        <v>83</v>
      </c>
      <c r="N4612" s="4" t="s">
        <v>29</v>
      </c>
      <c r="O4612" s="4" t="s">
        <v>19609</v>
      </c>
      <c r="P4612" s="4" t="s">
        <v>29</v>
      </c>
      <c r="Q4612" s="6"/>
      <c r="R4612" s="6"/>
      <c r="S4612" s="6"/>
      <c r="T4612" s="6"/>
      <c r="U4612" s="6"/>
      <c r="V4612" s="6"/>
      <c r="W4612" s="6"/>
      <c r="X4612" s="6"/>
      <c r="Y4612" s="6"/>
      <c r="Z4612" s="6"/>
      <c r="AA4612" s="6"/>
    </row>
    <row r="4613" ht="14.25">
      <c r="B4613" s="4" t="s">
        <v>1153</v>
      </c>
      <c r="C4613" s="4" t="s">
        <v>32516</v>
      </c>
      <c r="D4613" s="4" t="s">
        <v>2084</v>
      </c>
      <c r="E4613" s="4" t="s">
        <v>32517</v>
      </c>
      <c r="F4613" s="4" t="str">
        <f>IFERROR(__XLUDF.DUMMYFUNCTION("PROPER(REGEXREPLACE(D1018,""[^A-Za-z]+ "",""""))"),"Mosaik Solutions")</f>
        <v xml:space="preserve">Mosaik Solutions</v>
      </c>
      <c r="G4613" s="4" t="s">
        <v>32518</v>
      </c>
      <c r="H4613" s="4">
        <v>13</v>
      </c>
      <c r="I4613" s="4" t="s">
        <v>9184</v>
      </c>
      <c r="J4613" s="4" t="str">
        <f>IFERROR(__XLUDF.DUMMYFUNCTION("VLOOKUP(H1018,IMPORTRANGE(""https://docs.google.com/spreadsheets/d/1opm6ZNvGZ7KditA9TuJwrZ25eFLfTNIkrNnY6mhV5Eg"",""list!A1:C115""),3,TRUE)"),"le secteur des télécommunications")</f>
        <v xml:space="preserve">le secteur des télécommunications</v>
      </c>
      <c r="K4613" s="5" t="s">
        <v>32519</v>
      </c>
      <c r="L4613" s="5" t="s">
        <v>32520</v>
      </c>
      <c r="M4613" s="4" t="s">
        <v>39</v>
      </c>
      <c r="N4613" s="4" t="s">
        <v>29</v>
      </c>
      <c r="O4613" s="4" t="s">
        <v>32521</v>
      </c>
      <c r="P4613" s="4" t="s">
        <v>1261</v>
      </c>
      <c r="Q4613" s="6"/>
      <c r="R4613" s="6"/>
      <c r="S4613" s="6"/>
      <c r="T4613" s="6"/>
      <c r="U4613" s="6"/>
      <c r="V4613" s="6"/>
      <c r="W4613" s="6"/>
      <c r="X4613" s="6"/>
      <c r="Y4613" s="6"/>
      <c r="Z4613" s="6"/>
      <c r="AA4613" s="6"/>
    </row>
    <row r="4614" ht="14.25">
      <c r="B4614" s="4" t="s">
        <v>12573</v>
      </c>
      <c r="C4614" s="4" t="s">
        <v>14144</v>
      </c>
      <c r="D4614" s="4" t="s">
        <v>32522</v>
      </c>
      <c r="E4614" s="4" t="s">
        <v>15428</v>
      </c>
      <c r="F4614" s="4" t="str">
        <f>IFERROR(__XLUDF.DUMMYFUNCTION("PROPER(REGEXREPLACE(D1019,""[^A-Za-z]+ "",""""))"),"Dc2Scale")</f>
        <v>Dc2Scale</v>
      </c>
      <c r="G4614" s="4" t="s">
        <v>32523</v>
      </c>
      <c r="H4614" s="4">
        <v>13</v>
      </c>
      <c r="I4614" s="4" t="s">
        <v>9184</v>
      </c>
      <c r="J4614" s="4" t="str">
        <f>IFERROR(__XLUDF.DUMMYFUNCTION("VLOOKUP(H1019,IMPORTRANGE(""https://docs.google.com/spreadsheets/d/1opm6ZNvGZ7KditA9TuJwrZ25eFLfTNIkrNnY6mhV5Eg"",""list!A1:C115""),3,TRUE)"),"le secteur des télécommunications")</f>
        <v xml:space="preserve">le secteur des télécommunications</v>
      </c>
      <c r="K4614" s="5" t="s">
        <v>32524</v>
      </c>
      <c r="L4614" s="5" t="s">
        <v>32525</v>
      </c>
      <c r="M4614" s="4" t="s">
        <v>8537</v>
      </c>
      <c r="N4614" s="4" t="s">
        <v>29</v>
      </c>
      <c r="O4614" s="4" t="s">
        <v>32526</v>
      </c>
      <c r="P4614" s="4" t="s">
        <v>29</v>
      </c>
      <c r="Q4614" s="6"/>
      <c r="R4614" s="6"/>
      <c r="S4614" s="6"/>
      <c r="T4614" s="6"/>
      <c r="U4614" s="6"/>
      <c r="V4614" s="6"/>
      <c r="W4614" s="6"/>
      <c r="X4614" s="6"/>
      <c r="Y4614" s="6"/>
      <c r="Z4614" s="6"/>
      <c r="AA4614" s="6"/>
    </row>
    <row r="4615" ht="14.25">
      <c r="B4615" s="4" t="s">
        <v>32527</v>
      </c>
      <c r="C4615" s="4" t="s">
        <v>32528</v>
      </c>
      <c r="D4615" s="4" t="s">
        <v>32529</v>
      </c>
      <c r="E4615" s="4" t="s">
        <v>32530</v>
      </c>
      <c r="F4615" s="4" t="str">
        <f>IFERROR(__XLUDF.DUMMYFUNCTION("PROPER(REGEXREPLACE(D1020,""[^A-Za-z]+ "",""""))"),"Swag")</f>
        <v>Swag</v>
      </c>
      <c r="G4615" s="4" t="s">
        <v>32531</v>
      </c>
      <c r="H4615" s="4">
        <v>18</v>
      </c>
      <c r="I4615" s="4" t="s">
        <v>2639</v>
      </c>
      <c r="J4615" s="4" t="str">
        <f>IFERROR(__XLUDF.DUMMYFUNCTION("VLOOKUP(H1020,IMPORTRANGE(""https://docs.google.com/spreadsheets/d/1opm6ZNvGZ7KditA9TuJwrZ25eFLfTNIkrNnY6mhV5Eg"",""list!A1:C115""),3,TRUE)"),"le secteur du commerce de gros")</f>
        <v xml:space="preserve">le secteur du commerce de gros</v>
      </c>
      <c r="K4615" s="5" t="s">
        <v>32532</v>
      </c>
      <c r="L4615" s="5" t="s">
        <v>32533</v>
      </c>
      <c r="M4615" s="6"/>
      <c r="N4615" s="4" t="s">
        <v>29</v>
      </c>
      <c r="O4615" s="4" t="s">
        <v>32534</v>
      </c>
      <c r="P4615" s="4" t="s">
        <v>1548</v>
      </c>
      <c r="Q4615" s="4" t="s">
        <v>32535</v>
      </c>
      <c r="R4615" s="6"/>
      <c r="S4615" s="6"/>
      <c r="T4615" s="6"/>
      <c r="U4615" s="6"/>
      <c r="V4615" s="6"/>
      <c r="W4615" s="6"/>
      <c r="X4615" s="6"/>
      <c r="Y4615" s="6"/>
      <c r="Z4615" s="6"/>
      <c r="AA4615" s="6"/>
    </row>
    <row r="4616" ht="14.25">
      <c r="B4616" s="6"/>
      <c r="C4616" s="6"/>
      <c r="D4616" s="6"/>
      <c r="E4616" s="6"/>
      <c r="F4616" s="6"/>
      <c r="G4616" s="6"/>
      <c r="H4616" s="6"/>
      <c r="I4616" s="6"/>
      <c r="J4616" s="6"/>
      <c r="K4616" s="6"/>
      <c r="L4616" s="6"/>
      <c r="M4616" s="6"/>
      <c r="N4616" s="6"/>
      <c r="O4616" s="6"/>
      <c r="P4616" s="6"/>
      <c r="Q4616" s="6"/>
      <c r="R4616" s="6"/>
      <c r="S4616" s="6"/>
      <c r="T4616" s="6"/>
      <c r="U4616" s="6"/>
      <c r="V4616" s="6"/>
      <c r="W4616" s="6"/>
      <c r="X4616" s="6"/>
      <c r="Y4616" s="6"/>
      <c r="Z4616" s="6"/>
      <c r="AA4616" s="6"/>
    </row>
    <row r="4617" ht="14.25">
      <c r="B4617" s="6"/>
      <c r="C4617" s="6"/>
      <c r="D4617" s="6"/>
      <c r="E4617" s="6"/>
      <c r="F4617" s="6"/>
      <c r="G4617" s="6"/>
      <c r="H4617" s="6"/>
      <c r="I4617" s="6"/>
      <c r="J4617" s="6"/>
      <c r="K4617" s="6"/>
      <c r="L4617" s="6"/>
      <c r="M4617" s="6"/>
      <c r="N4617" s="6"/>
      <c r="O4617" s="6"/>
      <c r="P4617" s="6"/>
      <c r="Q4617" s="6"/>
      <c r="R4617" s="6"/>
      <c r="S4617" s="6"/>
      <c r="T4617" s="6"/>
      <c r="U4617" s="6"/>
      <c r="V4617" s="6"/>
      <c r="W4617" s="6"/>
      <c r="X4617" s="6"/>
      <c r="Y4617" s="6"/>
      <c r="Z4617" s="6"/>
      <c r="AA4617" s="6"/>
    </row>
    <row r="4618" ht="14.25">
      <c r="B4618" s="6"/>
      <c r="C4618" s="6"/>
      <c r="D4618" s="6"/>
      <c r="E4618" s="6"/>
      <c r="F4618" s="6"/>
      <c r="G4618" s="6"/>
      <c r="H4618" s="6"/>
      <c r="I4618" s="6"/>
      <c r="J4618" s="6"/>
      <c r="K4618" s="6"/>
      <c r="L4618" s="6"/>
      <c r="M4618" s="6"/>
      <c r="N4618" s="6"/>
      <c r="O4618" s="6"/>
      <c r="P4618" s="6"/>
      <c r="Q4618" s="6"/>
      <c r="R4618" s="6"/>
      <c r="S4618" s="6"/>
      <c r="T4618" s="6"/>
      <c r="U4618" s="6"/>
      <c r="V4618" s="6"/>
      <c r="W4618" s="6"/>
      <c r="X4618" s="6"/>
      <c r="Y4618" s="6"/>
      <c r="Z4618" s="6"/>
      <c r="AA4618" s="6"/>
    </row>
    <row r="4619" ht="14.25">
      <c r="B4619" s="6"/>
      <c r="C4619" s="6"/>
      <c r="D4619" s="6"/>
      <c r="E4619" s="6"/>
      <c r="F4619" s="6"/>
      <c r="G4619" s="6"/>
      <c r="H4619" s="6"/>
      <c r="I4619" s="6"/>
      <c r="J4619" s="6"/>
      <c r="K4619" s="6"/>
      <c r="L4619" s="6"/>
      <c r="M4619" s="6"/>
      <c r="N4619" s="6"/>
      <c r="O4619" s="6"/>
      <c r="P4619" s="6"/>
      <c r="Q4619" s="6"/>
      <c r="R4619" s="6"/>
      <c r="S4619" s="6"/>
      <c r="T4619" s="6"/>
      <c r="U4619" s="6"/>
      <c r="V4619" s="6"/>
      <c r="W4619" s="6"/>
      <c r="X4619" s="6"/>
      <c r="Y4619" s="6"/>
      <c r="Z4619" s="6"/>
      <c r="AA4619" s="6"/>
    </row>
    <row r="4620" ht="14.25">
      <c r="B4620" s="13" t="s">
        <v>32536</v>
      </c>
      <c r="C4620" s="12" t="s">
        <v>9136</v>
      </c>
      <c r="D4620" s="12" t="s">
        <v>9134</v>
      </c>
      <c r="E4620" s="12" t="s">
        <v>32537</v>
      </c>
      <c r="F4620" s="12" t="s">
        <v>32538</v>
      </c>
      <c r="G4620" s="12" t="s">
        <v>32539</v>
      </c>
      <c r="H4620" s="6"/>
      <c r="I4620" s="6"/>
      <c r="J4620" s="6"/>
      <c r="K4620" s="6"/>
      <c r="L4620" s="6"/>
      <c r="M4620" s="6"/>
      <c r="N4620" s="6"/>
      <c r="O4620" s="6"/>
      <c r="P4620" s="6"/>
      <c r="Q4620" s="6"/>
      <c r="R4620" s="6"/>
      <c r="S4620" s="6"/>
      <c r="T4620" s="6"/>
      <c r="U4620" s="6"/>
      <c r="V4620" s="6"/>
      <c r="W4620" s="6"/>
      <c r="X4620" s="6"/>
      <c r="Y4620" s="6"/>
      <c r="Z4620" s="6"/>
      <c r="AA4620" s="6"/>
    </row>
    <row r="4621" ht="14.25">
      <c r="B4621" s="14" t="s">
        <v>32540</v>
      </c>
      <c r="C4621" s="4" t="s">
        <v>32541</v>
      </c>
      <c r="D4621" s="4" t="s">
        <v>32542</v>
      </c>
      <c r="E4621" s="6"/>
      <c r="F4621" s="4" t="s">
        <v>4003</v>
      </c>
      <c r="G4621" s="4" t="s">
        <v>32543</v>
      </c>
      <c r="H4621" s="6"/>
      <c r="I4621" s="6"/>
      <c r="J4621" s="6"/>
      <c r="K4621" s="6"/>
      <c r="L4621" s="6"/>
      <c r="M4621" s="6"/>
      <c r="N4621" s="6"/>
      <c r="O4621" s="6"/>
      <c r="P4621" s="6"/>
      <c r="Q4621" s="6"/>
      <c r="R4621" s="6"/>
      <c r="S4621" s="6"/>
      <c r="T4621" s="6"/>
      <c r="U4621" s="6"/>
      <c r="V4621" s="6"/>
      <c r="W4621" s="6"/>
      <c r="X4621" s="6"/>
      <c r="Y4621" s="6"/>
      <c r="Z4621" s="6"/>
      <c r="AA4621" s="6"/>
    </row>
    <row r="4622" ht="14.25">
      <c r="B4622" s="14" t="s">
        <v>32544</v>
      </c>
      <c r="C4622" s="4" t="s">
        <v>32545</v>
      </c>
      <c r="D4622" s="4" t="s">
        <v>32546</v>
      </c>
      <c r="E4622" s="4" t="s">
        <v>32547</v>
      </c>
      <c r="F4622" s="4" t="s">
        <v>32548</v>
      </c>
      <c r="G4622" s="4" t="s">
        <v>32549</v>
      </c>
      <c r="H4622" s="6"/>
      <c r="I4622" s="6"/>
      <c r="J4622" s="6"/>
      <c r="K4622" s="6"/>
      <c r="L4622" s="6"/>
      <c r="M4622" s="6"/>
      <c r="N4622" s="6"/>
      <c r="O4622" s="6"/>
      <c r="P4622" s="6"/>
      <c r="Q4622" s="6"/>
      <c r="R4622" s="6"/>
      <c r="S4622" s="6"/>
      <c r="T4622" s="6"/>
      <c r="U4622" s="6"/>
      <c r="V4622" s="6"/>
      <c r="W4622" s="6"/>
      <c r="X4622" s="6"/>
      <c r="Y4622" s="6"/>
      <c r="Z4622" s="6"/>
      <c r="AA4622" s="6"/>
    </row>
    <row r="4623" ht="14.25">
      <c r="B4623" s="14" t="s">
        <v>32544</v>
      </c>
      <c r="C4623" s="4" t="s">
        <v>32545</v>
      </c>
      <c r="D4623" s="4" t="s">
        <v>32550</v>
      </c>
      <c r="E4623" s="4" t="s">
        <v>32547</v>
      </c>
      <c r="F4623" s="4" t="s">
        <v>2925</v>
      </c>
      <c r="G4623" s="4" t="s">
        <v>32551</v>
      </c>
      <c r="H4623" s="6"/>
      <c r="I4623" s="6"/>
      <c r="J4623" s="6"/>
      <c r="K4623" s="6"/>
      <c r="L4623" s="6"/>
      <c r="M4623" s="6"/>
      <c r="N4623" s="6"/>
      <c r="O4623" s="6"/>
      <c r="P4623" s="6"/>
      <c r="Q4623" s="6"/>
      <c r="R4623" s="6"/>
      <c r="S4623" s="6"/>
      <c r="T4623" s="6"/>
      <c r="U4623" s="6"/>
      <c r="V4623" s="6"/>
      <c r="W4623" s="6"/>
      <c r="X4623" s="6"/>
      <c r="Y4623" s="6"/>
      <c r="Z4623" s="6"/>
      <c r="AA4623" s="6"/>
    </row>
    <row r="4624" ht="14.25">
      <c r="B4624" s="14" t="s">
        <v>32544</v>
      </c>
      <c r="C4624" s="4" t="s">
        <v>32545</v>
      </c>
      <c r="D4624" s="4" t="s">
        <v>32552</v>
      </c>
      <c r="E4624" s="4" t="s">
        <v>32547</v>
      </c>
      <c r="F4624" s="4" t="s">
        <v>1499</v>
      </c>
      <c r="G4624" s="4" t="s">
        <v>32553</v>
      </c>
      <c r="H4624" s="6"/>
      <c r="I4624" s="6"/>
      <c r="J4624" s="6"/>
      <c r="K4624" s="6"/>
      <c r="L4624" s="6"/>
      <c r="M4624" s="6"/>
      <c r="N4624" s="6"/>
      <c r="O4624" s="6"/>
      <c r="P4624" s="6"/>
      <c r="Q4624" s="6"/>
      <c r="R4624" s="6"/>
      <c r="S4624" s="6"/>
      <c r="T4624" s="6"/>
      <c r="U4624" s="6"/>
      <c r="V4624" s="6"/>
      <c r="W4624" s="6"/>
      <c r="X4624" s="6"/>
      <c r="Y4624" s="6"/>
      <c r="Z4624" s="6"/>
      <c r="AA4624" s="6"/>
    </row>
    <row r="4625" ht="14.25">
      <c r="B4625" s="14" t="s">
        <v>32544</v>
      </c>
      <c r="C4625" s="4" t="s">
        <v>32545</v>
      </c>
      <c r="D4625" s="4" t="s">
        <v>32554</v>
      </c>
      <c r="E4625" s="4" t="s">
        <v>32547</v>
      </c>
      <c r="F4625" s="4" t="s">
        <v>355</v>
      </c>
      <c r="G4625" s="4" t="s">
        <v>32555</v>
      </c>
      <c r="H4625" s="6"/>
      <c r="I4625" s="6"/>
      <c r="J4625" s="6"/>
      <c r="K4625" s="6"/>
      <c r="L4625" s="6"/>
      <c r="M4625" s="6"/>
      <c r="N4625" s="6"/>
      <c r="O4625" s="6"/>
      <c r="P4625" s="6"/>
      <c r="Q4625" s="6"/>
      <c r="R4625" s="6"/>
      <c r="S4625" s="6"/>
      <c r="T4625" s="6"/>
      <c r="U4625" s="6"/>
      <c r="V4625" s="6"/>
      <c r="W4625" s="6"/>
      <c r="X4625" s="6"/>
      <c r="Y4625" s="6"/>
      <c r="Z4625" s="6"/>
      <c r="AA4625" s="6"/>
    </row>
    <row r="4626" ht="14.25">
      <c r="B4626" s="14" t="s">
        <v>32544</v>
      </c>
      <c r="C4626" s="4" t="s">
        <v>32545</v>
      </c>
      <c r="D4626" s="4" t="s">
        <v>32556</v>
      </c>
      <c r="E4626" s="4" t="s">
        <v>32547</v>
      </c>
      <c r="F4626" s="4" t="s">
        <v>1732</v>
      </c>
      <c r="G4626" s="4" t="s">
        <v>32557</v>
      </c>
      <c r="H4626" s="6"/>
      <c r="I4626" s="6"/>
      <c r="J4626" s="6"/>
      <c r="K4626" s="6"/>
      <c r="L4626" s="6"/>
      <c r="M4626" s="6"/>
      <c r="N4626" s="6"/>
      <c r="O4626" s="6"/>
      <c r="P4626" s="6"/>
      <c r="Q4626" s="6"/>
      <c r="R4626" s="6"/>
      <c r="S4626" s="6"/>
      <c r="T4626" s="6"/>
      <c r="U4626" s="6"/>
      <c r="V4626" s="6"/>
      <c r="W4626" s="6"/>
      <c r="X4626" s="6"/>
      <c r="Y4626" s="6"/>
      <c r="Z4626" s="6"/>
      <c r="AA4626" s="6"/>
    </row>
    <row r="4627" ht="14.25">
      <c r="B4627" s="14" t="s">
        <v>32544</v>
      </c>
      <c r="C4627" s="4" t="s">
        <v>32545</v>
      </c>
      <c r="D4627" s="4" t="s">
        <v>32558</v>
      </c>
      <c r="E4627" s="4" t="s">
        <v>32547</v>
      </c>
      <c r="F4627" s="4" t="s">
        <v>76</v>
      </c>
      <c r="G4627" s="4" t="s">
        <v>32559</v>
      </c>
      <c r="H4627" s="6"/>
      <c r="I4627" s="6"/>
      <c r="J4627" s="6"/>
      <c r="K4627" s="6"/>
      <c r="L4627" s="6"/>
      <c r="M4627" s="6"/>
      <c r="N4627" s="6"/>
      <c r="O4627" s="6"/>
      <c r="P4627" s="6"/>
      <c r="Q4627" s="6"/>
      <c r="R4627" s="6"/>
      <c r="S4627" s="6"/>
      <c r="T4627" s="6"/>
      <c r="U4627" s="6"/>
      <c r="V4627" s="6"/>
      <c r="W4627" s="6"/>
      <c r="X4627" s="6"/>
      <c r="Y4627" s="6"/>
      <c r="Z4627" s="6"/>
      <c r="AA4627" s="6"/>
    </row>
    <row r="4628" ht="14.25">
      <c r="B4628" s="14" t="s">
        <v>32560</v>
      </c>
      <c r="C4628" s="4" t="s">
        <v>32561</v>
      </c>
      <c r="D4628" s="4" t="s">
        <v>32562</v>
      </c>
      <c r="E4628" s="6"/>
      <c r="F4628" s="4" t="s">
        <v>32563</v>
      </c>
      <c r="G4628" s="4" t="s">
        <v>32564</v>
      </c>
      <c r="H4628" s="6"/>
      <c r="I4628" s="6"/>
      <c r="J4628" s="6"/>
      <c r="K4628" s="6"/>
      <c r="L4628" s="6"/>
      <c r="M4628" s="6"/>
      <c r="N4628" s="6"/>
      <c r="O4628" s="6"/>
      <c r="P4628" s="6"/>
      <c r="Q4628" s="6"/>
      <c r="R4628" s="6"/>
      <c r="S4628" s="6"/>
      <c r="T4628" s="6"/>
      <c r="U4628" s="6"/>
      <c r="V4628" s="6"/>
      <c r="W4628" s="6"/>
      <c r="X4628" s="6"/>
      <c r="Y4628" s="6"/>
      <c r="Z4628" s="6"/>
      <c r="AA4628" s="6"/>
    </row>
    <row r="4629" ht="14.25">
      <c r="B4629" s="14" t="s">
        <v>32565</v>
      </c>
      <c r="C4629" s="4" t="s">
        <v>32566</v>
      </c>
      <c r="D4629" s="4" t="s">
        <v>32567</v>
      </c>
      <c r="E4629" s="4" t="s">
        <v>32568</v>
      </c>
      <c r="F4629" s="4" t="s">
        <v>2249</v>
      </c>
      <c r="G4629" s="4" t="s">
        <v>32569</v>
      </c>
      <c r="H4629" s="6"/>
      <c r="I4629" s="6"/>
      <c r="J4629" s="6"/>
      <c r="K4629" s="6"/>
      <c r="L4629" s="6"/>
      <c r="M4629" s="6"/>
      <c r="N4629" s="6"/>
      <c r="O4629" s="6"/>
      <c r="P4629" s="6"/>
      <c r="Q4629" s="6"/>
      <c r="R4629" s="6"/>
      <c r="S4629" s="6"/>
      <c r="T4629" s="6"/>
      <c r="U4629" s="6"/>
      <c r="V4629" s="6"/>
      <c r="W4629" s="6"/>
      <c r="X4629" s="6"/>
      <c r="Y4629" s="6"/>
      <c r="Z4629" s="6"/>
      <c r="AA4629" s="6"/>
    </row>
    <row r="4630" ht="14.25">
      <c r="B4630" s="14" t="s">
        <v>32565</v>
      </c>
      <c r="C4630" s="4" t="s">
        <v>32566</v>
      </c>
      <c r="D4630" s="4" t="s">
        <v>32570</v>
      </c>
      <c r="E4630" s="4" t="s">
        <v>32568</v>
      </c>
      <c r="F4630" s="4" t="s">
        <v>3892</v>
      </c>
      <c r="G4630" s="4" t="s">
        <v>32571</v>
      </c>
      <c r="H4630" s="6"/>
      <c r="I4630" s="6"/>
      <c r="J4630" s="6"/>
      <c r="K4630" s="6"/>
      <c r="L4630" s="6"/>
      <c r="M4630" s="6"/>
      <c r="N4630" s="6"/>
      <c r="O4630" s="6"/>
      <c r="P4630" s="6"/>
      <c r="Q4630" s="6"/>
      <c r="R4630" s="6"/>
      <c r="S4630" s="6"/>
      <c r="T4630" s="6"/>
      <c r="U4630" s="6"/>
      <c r="V4630" s="6"/>
      <c r="W4630" s="6"/>
      <c r="X4630" s="6"/>
      <c r="Y4630" s="6"/>
      <c r="Z4630" s="6"/>
      <c r="AA4630" s="6"/>
    </row>
    <row r="4631" ht="14.25">
      <c r="B4631" s="14" t="s">
        <v>32565</v>
      </c>
      <c r="C4631" s="4" t="s">
        <v>32566</v>
      </c>
      <c r="D4631" s="4" t="s">
        <v>32572</v>
      </c>
      <c r="E4631" s="4" t="s">
        <v>32568</v>
      </c>
      <c r="F4631" s="4" t="s">
        <v>24006</v>
      </c>
      <c r="G4631" s="4" t="s">
        <v>32573</v>
      </c>
      <c r="H4631" s="6"/>
      <c r="I4631" s="6"/>
      <c r="J4631" s="6"/>
      <c r="K4631" s="6"/>
      <c r="L4631" s="6"/>
      <c r="M4631" s="6"/>
      <c r="N4631" s="6"/>
      <c r="O4631" s="6"/>
      <c r="P4631" s="6"/>
      <c r="Q4631" s="6"/>
      <c r="R4631" s="6"/>
      <c r="S4631" s="6"/>
      <c r="T4631" s="6"/>
      <c r="U4631" s="6"/>
      <c r="V4631" s="6"/>
      <c r="W4631" s="6"/>
      <c r="X4631" s="6"/>
      <c r="Y4631" s="6"/>
      <c r="Z4631" s="6"/>
      <c r="AA4631" s="6"/>
    </row>
    <row r="4632" ht="14.25">
      <c r="B4632" s="14" t="s">
        <v>32565</v>
      </c>
      <c r="C4632" s="4" t="s">
        <v>32566</v>
      </c>
      <c r="D4632" s="4" t="s">
        <v>32574</v>
      </c>
      <c r="E4632" s="4" t="s">
        <v>32568</v>
      </c>
      <c r="F4632" s="4" t="s">
        <v>178</v>
      </c>
      <c r="G4632" s="4" t="s">
        <v>32575</v>
      </c>
      <c r="H4632" s="6"/>
      <c r="I4632" s="6"/>
      <c r="J4632" s="6"/>
      <c r="K4632" s="6"/>
      <c r="L4632" s="6"/>
      <c r="M4632" s="6"/>
      <c r="N4632" s="6"/>
      <c r="O4632" s="6"/>
      <c r="P4632" s="6"/>
      <c r="Q4632" s="6"/>
      <c r="R4632" s="6"/>
      <c r="S4632" s="6"/>
      <c r="T4632" s="6"/>
      <c r="U4632" s="6"/>
      <c r="V4632" s="6"/>
      <c r="W4632" s="6"/>
      <c r="X4632" s="6"/>
      <c r="Y4632" s="6"/>
      <c r="Z4632" s="6"/>
      <c r="AA4632" s="6"/>
    </row>
    <row r="4633" ht="14.25">
      <c r="B4633" s="14" t="s">
        <v>32565</v>
      </c>
      <c r="C4633" s="4" t="s">
        <v>32566</v>
      </c>
      <c r="D4633" s="4" t="s">
        <v>32576</v>
      </c>
      <c r="E4633" s="4" t="s">
        <v>32568</v>
      </c>
      <c r="F4633" s="4" t="s">
        <v>2242</v>
      </c>
      <c r="G4633" s="4" t="s">
        <v>32577</v>
      </c>
      <c r="H4633" s="6"/>
      <c r="I4633" s="6"/>
      <c r="J4633" s="6"/>
      <c r="K4633" s="6"/>
      <c r="L4633" s="6"/>
      <c r="M4633" s="6"/>
      <c r="N4633" s="6"/>
      <c r="O4633" s="6"/>
      <c r="P4633" s="6"/>
      <c r="Q4633" s="6"/>
      <c r="R4633" s="6"/>
      <c r="S4633" s="6"/>
      <c r="T4633" s="6"/>
      <c r="U4633" s="6"/>
      <c r="V4633" s="6"/>
      <c r="W4633" s="6"/>
      <c r="X4633" s="6"/>
      <c r="Y4633" s="6"/>
      <c r="Z4633" s="6"/>
      <c r="AA4633" s="6"/>
    </row>
    <row r="4634" ht="14.25">
      <c r="B4634" s="14" t="s">
        <v>32565</v>
      </c>
      <c r="C4634" s="4" t="s">
        <v>32566</v>
      </c>
      <c r="D4634" s="4" t="s">
        <v>32578</v>
      </c>
      <c r="E4634" s="4" t="s">
        <v>32568</v>
      </c>
      <c r="F4634" s="4" t="s">
        <v>32579</v>
      </c>
      <c r="G4634" s="4" t="s">
        <v>32580</v>
      </c>
      <c r="H4634" s="6"/>
      <c r="I4634" s="6"/>
      <c r="J4634" s="6"/>
      <c r="K4634" s="6"/>
      <c r="L4634" s="6"/>
      <c r="M4634" s="6"/>
      <c r="N4634" s="6"/>
      <c r="O4634" s="6"/>
      <c r="P4634" s="6"/>
      <c r="Q4634" s="6"/>
      <c r="R4634" s="6"/>
      <c r="S4634" s="6"/>
      <c r="T4634" s="6"/>
      <c r="U4634" s="6"/>
      <c r="V4634" s="6"/>
      <c r="W4634" s="6"/>
      <c r="X4634" s="6"/>
      <c r="Y4634" s="6"/>
      <c r="Z4634" s="6"/>
      <c r="AA4634" s="6"/>
    </row>
    <row r="4635" ht="14.25">
      <c r="B4635" s="14" t="s">
        <v>32581</v>
      </c>
      <c r="C4635" s="4" t="s">
        <v>32582</v>
      </c>
      <c r="D4635" s="4" t="s">
        <v>32583</v>
      </c>
      <c r="E4635" s="6"/>
      <c r="F4635" s="4" t="s">
        <v>222</v>
      </c>
      <c r="G4635" s="4" t="s">
        <v>32584</v>
      </c>
      <c r="H4635" s="6"/>
      <c r="I4635" s="6"/>
      <c r="J4635" s="6"/>
      <c r="K4635" s="6"/>
      <c r="L4635" s="6"/>
      <c r="M4635" s="6"/>
      <c r="N4635" s="6"/>
      <c r="O4635" s="6"/>
      <c r="P4635" s="6"/>
      <c r="Q4635" s="6"/>
      <c r="R4635" s="6"/>
      <c r="S4635" s="6"/>
      <c r="T4635" s="6"/>
      <c r="U4635" s="6"/>
      <c r="V4635" s="6"/>
      <c r="W4635" s="6"/>
      <c r="X4635" s="6"/>
      <c r="Y4635" s="6"/>
      <c r="Z4635" s="6"/>
      <c r="AA4635" s="6"/>
    </row>
    <row r="4636" ht="14.25">
      <c r="B4636" s="14" t="s">
        <v>32585</v>
      </c>
      <c r="C4636" s="4" t="s">
        <v>32586</v>
      </c>
      <c r="D4636" s="4" t="s">
        <v>32587</v>
      </c>
      <c r="E4636" s="4" t="s">
        <v>32588</v>
      </c>
      <c r="F4636" s="4" t="s">
        <v>178</v>
      </c>
      <c r="G4636" s="4" t="s">
        <v>32589</v>
      </c>
      <c r="H4636" s="6"/>
      <c r="I4636" s="6"/>
      <c r="J4636" s="6"/>
      <c r="K4636" s="6"/>
      <c r="L4636" s="6"/>
      <c r="M4636" s="6"/>
      <c r="N4636" s="6"/>
      <c r="O4636" s="6"/>
      <c r="P4636" s="6"/>
      <c r="Q4636" s="6"/>
      <c r="R4636" s="6"/>
      <c r="S4636" s="6"/>
      <c r="T4636" s="6"/>
      <c r="U4636" s="6"/>
      <c r="V4636" s="6"/>
      <c r="W4636" s="6"/>
      <c r="X4636" s="6"/>
      <c r="Y4636" s="6"/>
      <c r="Z4636" s="6"/>
      <c r="AA4636" s="6"/>
    </row>
    <row r="4637" ht="14.25">
      <c r="B4637" s="14" t="s">
        <v>32585</v>
      </c>
      <c r="C4637" s="4" t="s">
        <v>32586</v>
      </c>
      <c r="D4637" s="4" t="s">
        <v>32590</v>
      </c>
      <c r="E4637" s="4" t="s">
        <v>32588</v>
      </c>
      <c r="F4637" s="4" t="s">
        <v>963</v>
      </c>
      <c r="G4637" s="4" t="s">
        <v>32591</v>
      </c>
      <c r="H4637" s="6"/>
      <c r="I4637" s="6"/>
      <c r="J4637" s="6"/>
      <c r="K4637" s="6"/>
      <c r="L4637" s="6"/>
      <c r="M4637" s="6"/>
      <c r="N4637" s="6"/>
      <c r="O4637" s="6"/>
      <c r="P4637" s="6"/>
      <c r="Q4637" s="6"/>
      <c r="R4637" s="6"/>
      <c r="S4637" s="6"/>
      <c r="T4637" s="6"/>
      <c r="U4637" s="6"/>
      <c r="V4637" s="6"/>
      <c r="W4637" s="6"/>
      <c r="X4637" s="6"/>
      <c r="Y4637" s="6"/>
      <c r="Z4637" s="6"/>
      <c r="AA4637" s="6"/>
    </row>
    <row r="4638" ht="14.25">
      <c r="B4638" s="14" t="s">
        <v>32585</v>
      </c>
      <c r="C4638" s="4" t="s">
        <v>32586</v>
      </c>
      <c r="D4638" s="4" t="s">
        <v>32588</v>
      </c>
      <c r="E4638" s="6"/>
      <c r="F4638" s="4" t="s">
        <v>971</v>
      </c>
      <c r="G4638" s="4" t="s">
        <v>32592</v>
      </c>
      <c r="H4638" s="6"/>
      <c r="I4638" s="6"/>
      <c r="J4638" s="6"/>
      <c r="K4638" s="6"/>
      <c r="L4638" s="6"/>
      <c r="M4638" s="6"/>
      <c r="N4638" s="6"/>
      <c r="O4638" s="6"/>
      <c r="P4638" s="6"/>
      <c r="Q4638" s="6"/>
      <c r="R4638" s="6"/>
      <c r="S4638" s="6"/>
      <c r="T4638" s="6"/>
      <c r="U4638" s="6"/>
      <c r="V4638" s="6"/>
      <c r="W4638" s="6"/>
      <c r="X4638" s="6"/>
      <c r="Y4638" s="6"/>
      <c r="Z4638" s="6"/>
      <c r="AA4638" s="6"/>
    </row>
    <row r="4639" ht="14.25">
      <c r="B4639" s="14" t="s">
        <v>32585</v>
      </c>
      <c r="C4639" s="4" t="s">
        <v>32586</v>
      </c>
      <c r="D4639" s="4" t="s">
        <v>32593</v>
      </c>
      <c r="E4639" s="4" t="s">
        <v>32588</v>
      </c>
      <c r="F4639" s="4" t="s">
        <v>4961</v>
      </c>
      <c r="G4639" s="4" t="s">
        <v>32594</v>
      </c>
      <c r="H4639" s="6"/>
      <c r="I4639" s="6"/>
      <c r="J4639" s="6"/>
      <c r="K4639" s="6"/>
      <c r="L4639" s="6"/>
      <c r="M4639" s="6"/>
      <c r="N4639" s="6"/>
      <c r="O4639" s="6"/>
      <c r="P4639" s="6"/>
      <c r="Q4639" s="6"/>
      <c r="R4639" s="6"/>
      <c r="S4639" s="6"/>
      <c r="T4639" s="6"/>
      <c r="U4639" s="6"/>
      <c r="V4639" s="6"/>
      <c r="W4639" s="6"/>
      <c r="X4639" s="6"/>
      <c r="Y4639" s="6"/>
      <c r="Z4639" s="6"/>
      <c r="AA4639" s="6"/>
    </row>
    <row r="4640" ht="14.25">
      <c r="B4640" s="14" t="s">
        <v>32585</v>
      </c>
      <c r="C4640" s="4" t="s">
        <v>32595</v>
      </c>
      <c r="D4640" s="4" t="s">
        <v>32596</v>
      </c>
      <c r="E4640" s="4" t="s">
        <v>32597</v>
      </c>
      <c r="F4640" s="4" t="s">
        <v>1571</v>
      </c>
      <c r="G4640" s="4" t="s">
        <v>32598</v>
      </c>
      <c r="H4640" s="6"/>
      <c r="I4640" s="6"/>
      <c r="J4640" s="6"/>
      <c r="K4640" s="6"/>
      <c r="L4640" s="6"/>
      <c r="M4640" s="6"/>
      <c r="N4640" s="6"/>
      <c r="O4640" s="6"/>
      <c r="P4640" s="6"/>
      <c r="Q4640" s="6"/>
      <c r="R4640" s="6"/>
      <c r="S4640" s="6"/>
      <c r="T4640" s="6"/>
      <c r="U4640" s="6"/>
      <c r="V4640" s="6"/>
      <c r="W4640" s="6"/>
      <c r="X4640" s="6"/>
      <c r="Y4640" s="6"/>
      <c r="Z4640" s="6"/>
      <c r="AA4640" s="6"/>
    </row>
    <row r="4641" ht="14.25">
      <c r="B4641" s="14" t="s">
        <v>32585</v>
      </c>
      <c r="C4641" s="4" t="s">
        <v>32595</v>
      </c>
      <c r="D4641" s="4" t="s">
        <v>32599</v>
      </c>
      <c r="E4641" s="4" t="s">
        <v>32597</v>
      </c>
      <c r="F4641" s="4" t="s">
        <v>1596</v>
      </c>
      <c r="G4641" s="4" t="s">
        <v>32600</v>
      </c>
      <c r="H4641" s="6"/>
      <c r="I4641" s="6"/>
      <c r="J4641" s="6"/>
      <c r="K4641" s="6"/>
      <c r="L4641" s="6"/>
      <c r="M4641" s="6"/>
      <c r="N4641" s="6"/>
      <c r="O4641" s="6"/>
      <c r="P4641" s="6"/>
      <c r="Q4641" s="6"/>
      <c r="R4641" s="6"/>
      <c r="S4641" s="6"/>
      <c r="T4641" s="6"/>
      <c r="U4641" s="6"/>
      <c r="V4641" s="6"/>
      <c r="W4641" s="6"/>
      <c r="X4641" s="6"/>
      <c r="Y4641" s="6"/>
      <c r="Z4641" s="6"/>
      <c r="AA4641" s="6"/>
    </row>
    <row r="4642" ht="14.25">
      <c r="B4642" s="14" t="s">
        <v>32585</v>
      </c>
      <c r="C4642" s="4" t="s">
        <v>32586</v>
      </c>
      <c r="D4642" s="4" t="s">
        <v>32601</v>
      </c>
      <c r="E4642" s="4" t="s">
        <v>32588</v>
      </c>
      <c r="F4642" s="4" t="s">
        <v>2242</v>
      </c>
      <c r="G4642" s="4" t="s">
        <v>32602</v>
      </c>
      <c r="H4642" s="6"/>
      <c r="I4642" s="6"/>
      <c r="J4642" s="6"/>
      <c r="K4642" s="6"/>
      <c r="L4642" s="6"/>
      <c r="M4642" s="6"/>
      <c r="N4642" s="6"/>
      <c r="O4642" s="6"/>
      <c r="P4642" s="6"/>
      <c r="Q4642" s="6"/>
      <c r="R4642" s="6"/>
      <c r="S4642" s="6"/>
      <c r="T4642" s="6"/>
      <c r="U4642" s="6"/>
      <c r="V4642" s="6"/>
      <c r="W4642" s="6"/>
      <c r="X4642" s="6"/>
      <c r="Y4642" s="6"/>
      <c r="Z4642" s="6"/>
      <c r="AA4642" s="6"/>
    </row>
    <row r="4643" ht="14.25">
      <c r="B4643" s="14" t="s">
        <v>32585</v>
      </c>
      <c r="C4643" s="4" t="s">
        <v>32603</v>
      </c>
      <c r="D4643" s="4" t="s">
        <v>32604</v>
      </c>
      <c r="E4643" s="6"/>
      <c r="F4643" s="4" t="s">
        <v>1732</v>
      </c>
      <c r="G4643" s="4" t="s">
        <v>32605</v>
      </c>
      <c r="H4643" s="6"/>
      <c r="I4643" s="6"/>
      <c r="J4643" s="6"/>
      <c r="K4643" s="6"/>
      <c r="L4643" s="6"/>
      <c r="M4643" s="6"/>
      <c r="N4643" s="6"/>
      <c r="O4643" s="6"/>
      <c r="P4643" s="6"/>
      <c r="Q4643" s="6"/>
      <c r="R4643" s="6"/>
      <c r="S4643" s="6"/>
      <c r="T4643" s="6"/>
      <c r="U4643" s="6"/>
      <c r="V4643" s="6"/>
      <c r="W4643" s="6"/>
      <c r="X4643" s="6"/>
      <c r="Y4643" s="6"/>
      <c r="Z4643" s="6"/>
      <c r="AA4643" s="6"/>
    </row>
    <row r="4644" ht="14.25">
      <c r="B4644" s="14" t="s">
        <v>32585</v>
      </c>
      <c r="C4644" s="4" t="s">
        <v>32586</v>
      </c>
      <c r="D4644" s="4" t="s">
        <v>32606</v>
      </c>
      <c r="E4644" s="4" t="s">
        <v>32588</v>
      </c>
      <c r="F4644" s="4" t="s">
        <v>355</v>
      </c>
      <c r="G4644" s="4" t="s">
        <v>32607</v>
      </c>
      <c r="H4644" s="6"/>
      <c r="I4644" s="6"/>
      <c r="J4644" s="6"/>
      <c r="K4644" s="6"/>
      <c r="L4644" s="6"/>
      <c r="M4644" s="6"/>
      <c r="N4644" s="6"/>
      <c r="O4644" s="6"/>
      <c r="P4644" s="6"/>
      <c r="Q4644" s="6"/>
      <c r="R4644" s="6"/>
      <c r="S4644" s="6"/>
      <c r="T4644" s="6"/>
      <c r="U4644" s="6"/>
      <c r="V4644" s="6"/>
      <c r="W4644" s="6"/>
      <c r="X4644" s="6"/>
      <c r="Y4644" s="6"/>
      <c r="Z4644" s="6"/>
      <c r="AA4644" s="6"/>
    </row>
    <row r="4645" ht="14.25">
      <c r="B4645" s="14" t="s">
        <v>32585</v>
      </c>
      <c r="C4645" s="4" t="s">
        <v>32608</v>
      </c>
      <c r="D4645" s="4" t="s">
        <v>32609</v>
      </c>
      <c r="E4645" s="6"/>
      <c r="F4645" s="4" t="s">
        <v>2598</v>
      </c>
      <c r="G4645" s="4" t="s">
        <v>32610</v>
      </c>
      <c r="H4645" s="6"/>
      <c r="I4645" s="6"/>
      <c r="J4645" s="6"/>
      <c r="K4645" s="6"/>
      <c r="L4645" s="6"/>
      <c r="M4645" s="6"/>
      <c r="N4645" s="6"/>
      <c r="O4645" s="6"/>
      <c r="P4645" s="6"/>
      <c r="Q4645" s="6"/>
      <c r="R4645" s="6"/>
      <c r="S4645" s="6"/>
      <c r="T4645" s="6"/>
      <c r="U4645" s="6"/>
      <c r="V4645" s="6"/>
      <c r="W4645" s="6"/>
      <c r="X4645" s="6"/>
      <c r="Y4645" s="6"/>
      <c r="Z4645" s="6"/>
      <c r="AA4645" s="6"/>
    </row>
    <row r="4646" ht="14.25">
      <c r="B4646" s="14" t="s">
        <v>32585</v>
      </c>
      <c r="C4646" s="4" t="s">
        <v>32586</v>
      </c>
      <c r="D4646" s="4" t="s">
        <v>32611</v>
      </c>
      <c r="E4646" s="4" t="s">
        <v>32588</v>
      </c>
      <c r="F4646" s="4" t="s">
        <v>255</v>
      </c>
      <c r="G4646" s="4" t="s">
        <v>32612</v>
      </c>
      <c r="H4646" s="6"/>
      <c r="I4646" s="6"/>
      <c r="J4646" s="6"/>
      <c r="K4646" s="6"/>
      <c r="L4646" s="6"/>
      <c r="M4646" s="6"/>
      <c r="N4646" s="6"/>
      <c r="O4646" s="6"/>
      <c r="P4646" s="6"/>
      <c r="Q4646" s="6"/>
      <c r="R4646" s="6"/>
      <c r="S4646" s="6"/>
      <c r="T4646" s="6"/>
      <c r="U4646" s="6"/>
      <c r="V4646" s="6"/>
      <c r="W4646" s="6"/>
      <c r="X4646" s="6"/>
      <c r="Y4646" s="6"/>
      <c r="Z4646" s="6"/>
      <c r="AA4646" s="6"/>
    </row>
    <row r="4647" ht="14.25">
      <c r="B4647" s="14" t="s">
        <v>32585</v>
      </c>
      <c r="C4647" s="4" t="s">
        <v>32586</v>
      </c>
      <c r="D4647" s="4" t="s">
        <v>32613</v>
      </c>
      <c r="E4647" s="4" t="s">
        <v>32588</v>
      </c>
      <c r="F4647" s="4" t="s">
        <v>32614</v>
      </c>
      <c r="G4647" s="4" t="s">
        <v>32615</v>
      </c>
      <c r="H4647" s="6"/>
      <c r="I4647" s="6"/>
      <c r="J4647" s="6"/>
      <c r="K4647" s="6"/>
      <c r="L4647" s="6"/>
      <c r="M4647" s="6"/>
      <c r="N4647" s="6"/>
      <c r="O4647" s="6"/>
      <c r="P4647" s="6"/>
      <c r="Q4647" s="6"/>
      <c r="R4647" s="6"/>
      <c r="S4647" s="6"/>
      <c r="T4647" s="6"/>
      <c r="U4647" s="6"/>
      <c r="V4647" s="6"/>
      <c r="W4647" s="6"/>
      <c r="X4647" s="6"/>
      <c r="Y4647" s="6"/>
      <c r="Z4647" s="6"/>
      <c r="AA4647" s="6"/>
    </row>
    <row r="4648" ht="14.25">
      <c r="B4648" s="14" t="s">
        <v>32585</v>
      </c>
      <c r="C4648" s="4" t="s">
        <v>32595</v>
      </c>
      <c r="D4648" s="4" t="s">
        <v>32597</v>
      </c>
      <c r="E4648" s="6"/>
      <c r="F4648" s="4" t="s">
        <v>32616</v>
      </c>
      <c r="G4648" s="4" t="s">
        <v>32617</v>
      </c>
      <c r="H4648" s="6"/>
      <c r="I4648" s="6"/>
      <c r="J4648" s="6"/>
      <c r="K4648" s="6"/>
      <c r="L4648" s="6"/>
      <c r="M4648" s="6"/>
      <c r="N4648" s="6"/>
      <c r="O4648" s="6"/>
      <c r="P4648" s="6"/>
      <c r="Q4648" s="6"/>
      <c r="R4648" s="6"/>
      <c r="S4648" s="6"/>
      <c r="T4648" s="6"/>
      <c r="U4648" s="6"/>
      <c r="V4648" s="6"/>
      <c r="W4648" s="6"/>
      <c r="X4648" s="6"/>
      <c r="Y4648" s="6"/>
      <c r="Z4648" s="6"/>
      <c r="AA4648" s="6"/>
    </row>
    <row r="4649" ht="14.25">
      <c r="B4649" s="14" t="s">
        <v>32618</v>
      </c>
      <c r="C4649" s="4" t="s">
        <v>32619</v>
      </c>
      <c r="D4649" s="4" t="s">
        <v>32620</v>
      </c>
      <c r="E4649" s="4" t="s">
        <v>32621</v>
      </c>
      <c r="F4649" s="4" t="s">
        <v>32622</v>
      </c>
      <c r="G4649" s="4" t="s">
        <v>32623</v>
      </c>
      <c r="H4649" s="6"/>
      <c r="I4649" s="6"/>
      <c r="J4649" s="6"/>
      <c r="K4649" s="6"/>
      <c r="L4649" s="6"/>
      <c r="M4649" s="6"/>
      <c r="N4649" s="6"/>
      <c r="O4649" s="6"/>
      <c r="P4649" s="6"/>
      <c r="Q4649" s="6"/>
      <c r="R4649" s="6"/>
      <c r="S4649" s="6"/>
      <c r="T4649" s="6"/>
      <c r="U4649" s="6"/>
      <c r="V4649" s="6"/>
      <c r="W4649" s="6"/>
      <c r="X4649" s="6"/>
      <c r="Y4649" s="6"/>
      <c r="Z4649" s="6"/>
      <c r="AA4649" s="6"/>
    </row>
    <row r="4650" ht="14.25">
      <c r="B4650" s="14" t="s">
        <v>32624</v>
      </c>
      <c r="C4650" s="4" t="s">
        <v>32625</v>
      </c>
      <c r="D4650" s="4" t="s">
        <v>32626</v>
      </c>
      <c r="E4650" s="4" t="s">
        <v>32627</v>
      </c>
      <c r="F4650" s="4" t="s">
        <v>330</v>
      </c>
      <c r="G4650" s="4" t="s">
        <v>32628</v>
      </c>
      <c r="H4650" s="6"/>
      <c r="I4650" s="6"/>
      <c r="J4650" s="6"/>
      <c r="K4650" s="6"/>
      <c r="L4650" s="6"/>
      <c r="M4650" s="6"/>
      <c r="N4650" s="6"/>
      <c r="O4650" s="6"/>
      <c r="P4650" s="6"/>
      <c r="Q4650" s="6"/>
      <c r="R4650" s="6"/>
      <c r="S4650" s="6"/>
      <c r="T4650" s="6"/>
      <c r="U4650" s="6"/>
      <c r="V4650" s="6"/>
      <c r="W4650" s="6"/>
      <c r="X4650" s="6"/>
      <c r="Y4650" s="6"/>
      <c r="Z4650" s="6"/>
      <c r="AA4650" s="6"/>
    </row>
    <row r="4651" ht="14.25">
      <c r="B4651" s="14" t="s">
        <v>32629</v>
      </c>
      <c r="C4651" s="4" t="s">
        <v>32630</v>
      </c>
      <c r="D4651" s="4" t="s">
        <v>32631</v>
      </c>
      <c r="E4651" s="4" t="s">
        <v>32632</v>
      </c>
      <c r="F4651" s="4" t="s">
        <v>670</v>
      </c>
      <c r="G4651" s="4" t="s">
        <v>32633</v>
      </c>
      <c r="H4651" s="6"/>
      <c r="I4651" s="6"/>
      <c r="J4651" s="6"/>
      <c r="K4651" s="6"/>
      <c r="L4651" s="6"/>
      <c r="M4651" s="6"/>
      <c r="N4651" s="6"/>
      <c r="O4651" s="6"/>
      <c r="P4651" s="6"/>
      <c r="Q4651" s="6"/>
      <c r="R4651" s="6"/>
      <c r="S4651" s="6"/>
      <c r="T4651" s="6"/>
      <c r="U4651" s="6"/>
      <c r="V4651" s="6"/>
      <c r="W4651" s="6"/>
      <c r="X4651" s="6"/>
      <c r="Y4651" s="6"/>
      <c r="Z4651" s="6"/>
      <c r="AA4651" s="6"/>
    </row>
    <row r="4652" ht="14.25">
      <c r="B4652" s="14" t="s">
        <v>32629</v>
      </c>
      <c r="C4652" s="4" t="s">
        <v>32634</v>
      </c>
      <c r="D4652" s="4" t="s">
        <v>32635</v>
      </c>
      <c r="E4652" s="6"/>
      <c r="F4652" s="4" t="s">
        <v>32636</v>
      </c>
      <c r="G4652" s="4" t="s">
        <v>32637</v>
      </c>
      <c r="H4652" s="6"/>
      <c r="I4652" s="6"/>
      <c r="J4652" s="6"/>
      <c r="K4652" s="6"/>
      <c r="L4652" s="6"/>
      <c r="M4652" s="6"/>
      <c r="N4652" s="6"/>
      <c r="O4652" s="6"/>
      <c r="P4652" s="6"/>
      <c r="Q4652" s="6"/>
      <c r="R4652" s="6"/>
      <c r="S4652" s="6"/>
      <c r="T4652" s="6"/>
      <c r="U4652" s="6"/>
      <c r="V4652" s="6"/>
      <c r="W4652" s="6"/>
      <c r="X4652" s="6"/>
      <c r="Y4652" s="6"/>
      <c r="Z4652" s="6"/>
      <c r="AA4652" s="6"/>
    </row>
    <row r="4653" ht="14.25">
      <c r="B4653" s="14" t="s">
        <v>32629</v>
      </c>
      <c r="C4653" s="4" t="s">
        <v>32634</v>
      </c>
      <c r="D4653" s="4" t="s">
        <v>32638</v>
      </c>
      <c r="E4653" s="4" t="s">
        <v>32639</v>
      </c>
      <c r="F4653" s="4" t="s">
        <v>32640</v>
      </c>
      <c r="G4653" s="4" t="s">
        <v>32641</v>
      </c>
      <c r="H4653" s="6"/>
      <c r="I4653" s="6"/>
      <c r="J4653" s="6"/>
      <c r="K4653" s="6"/>
      <c r="L4653" s="6"/>
      <c r="M4653" s="6"/>
      <c r="N4653" s="6"/>
      <c r="O4653" s="6"/>
      <c r="P4653" s="6"/>
      <c r="Q4653" s="6"/>
      <c r="R4653" s="6"/>
      <c r="S4653" s="6"/>
      <c r="T4653" s="6"/>
      <c r="U4653" s="6"/>
      <c r="V4653" s="6"/>
      <c r="W4653" s="6"/>
      <c r="X4653" s="6"/>
      <c r="Y4653" s="6"/>
      <c r="Z4653" s="6"/>
      <c r="AA4653" s="6"/>
    </row>
    <row r="4654" ht="14.25">
      <c r="B4654" s="14" t="s">
        <v>32629</v>
      </c>
      <c r="C4654" s="4" t="s">
        <v>32642</v>
      </c>
      <c r="D4654" s="4" t="s">
        <v>32643</v>
      </c>
      <c r="E4654" s="4" t="s">
        <v>32644</v>
      </c>
      <c r="F4654" s="4" t="s">
        <v>1583</v>
      </c>
      <c r="G4654" s="4" t="s">
        <v>32645</v>
      </c>
      <c r="H4654" s="6"/>
      <c r="I4654" s="6"/>
      <c r="J4654" s="6"/>
      <c r="K4654" s="6"/>
      <c r="L4654" s="6"/>
      <c r="M4654" s="6"/>
      <c r="N4654" s="6"/>
      <c r="O4654" s="6"/>
      <c r="P4654" s="6"/>
      <c r="Q4654" s="6"/>
      <c r="R4654" s="6"/>
      <c r="S4654" s="6"/>
      <c r="T4654" s="6"/>
      <c r="U4654" s="6"/>
      <c r="V4654" s="6"/>
      <c r="W4654" s="6"/>
      <c r="X4654" s="6"/>
      <c r="Y4654" s="6"/>
      <c r="Z4654" s="6"/>
      <c r="AA4654" s="6"/>
    </row>
    <row r="4655" ht="14.25">
      <c r="B4655" s="14" t="s">
        <v>32629</v>
      </c>
      <c r="C4655" s="4" t="s">
        <v>32630</v>
      </c>
      <c r="D4655" s="4" t="s">
        <v>32646</v>
      </c>
      <c r="E4655" s="4" t="s">
        <v>32632</v>
      </c>
      <c r="F4655" s="4" t="s">
        <v>32622</v>
      </c>
      <c r="G4655" s="4" t="s">
        <v>32647</v>
      </c>
      <c r="H4655" s="6"/>
      <c r="I4655" s="6"/>
      <c r="J4655" s="6"/>
      <c r="K4655" s="6"/>
      <c r="L4655" s="6"/>
      <c r="M4655" s="6"/>
      <c r="N4655" s="6"/>
      <c r="O4655" s="6"/>
      <c r="P4655" s="6"/>
      <c r="Q4655" s="6"/>
      <c r="R4655" s="6"/>
      <c r="S4655" s="6"/>
      <c r="T4655" s="6"/>
      <c r="U4655" s="6"/>
      <c r="V4655" s="6"/>
      <c r="W4655" s="6"/>
      <c r="X4655" s="6"/>
      <c r="Y4655" s="6"/>
      <c r="Z4655" s="6"/>
      <c r="AA4655" s="6"/>
    </row>
    <row r="4656" ht="14.25">
      <c r="B4656" s="14" t="s">
        <v>32629</v>
      </c>
      <c r="C4656" s="4" t="s">
        <v>32648</v>
      </c>
      <c r="D4656" s="4" t="s">
        <v>32649</v>
      </c>
      <c r="E4656" s="4" t="s">
        <v>32650</v>
      </c>
      <c r="F4656" s="4" t="s">
        <v>1215</v>
      </c>
      <c r="G4656" s="4" t="s">
        <v>32651</v>
      </c>
      <c r="H4656" s="6"/>
      <c r="I4656" s="6"/>
      <c r="J4656" s="6"/>
      <c r="K4656" s="6"/>
      <c r="L4656" s="6"/>
      <c r="M4656" s="6"/>
      <c r="N4656" s="6"/>
      <c r="O4656" s="6"/>
      <c r="P4656" s="6"/>
      <c r="Q4656" s="6"/>
      <c r="R4656" s="6"/>
      <c r="S4656" s="6"/>
      <c r="T4656" s="6"/>
      <c r="U4656" s="6"/>
      <c r="V4656" s="6"/>
      <c r="W4656" s="6"/>
      <c r="X4656" s="6"/>
      <c r="Y4656" s="6"/>
      <c r="Z4656" s="6"/>
      <c r="AA4656" s="6"/>
    </row>
    <row r="4657" ht="14.25">
      <c r="B4657" s="14" t="s">
        <v>32629</v>
      </c>
      <c r="C4657" s="4" t="s">
        <v>32652</v>
      </c>
      <c r="D4657" s="4" t="s">
        <v>32653</v>
      </c>
      <c r="E4657" s="6"/>
      <c r="F4657" s="4" t="s">
        <v>785</v>
      </c>
      <c r="G4657" s="4" t="s">
        <v>32654</v>
      </c>
      <c r="H4657" s="6"/>
      <c r="I4657" s="6"/>
      <c r="J4657" s="6"/>
      <c r="K4657" s="6"/>
      <c r="L4657" s="6"/>
      <c r="M4657" s="6"/>
      <c r="N4657" s="6"/>
      <c r="O4657" s="6"/>
      <c r="P4657" s="6"/>
      <c r="Q4657" s="6"/>
      <c r="R4657" s="6"/>
      <c r="S4657" s="6"/>
      <c r="T4657" s="6"/>
      <c r="U4657" s="6"/>
      <c r="V4657" s="6"/>
      <c r="W4657" s="6"/>
      <c r="X4657" s="6"/>
      <c r="Y4657" s="6"/>
      <c r="Z4657" s="6"/>
      <c r="AA4657" s="6"/>
    </row>
    <row r="4658" ht="14.25">
      <c r="B4658" s="14" t="s">
        <v>32629</v>
      </c>
      <c r="C4658" s="4" t="s">
        <v>32630</v>
      </c>
      <c r="D4658" s="4" t="s">
        <v>32655</v>
      </c>
      <c r="E4658" s="4" t="s">
        <v>32632</v>
      </c>
      <c r="F4658" s="4" t="s">
        <v>1499</v>
      </c>
      <c r="G4658" s="4" t="s">
        <v>32656</v>
      </c>
      <c r="H4658" s="6"/>
      <c r="I4658" s="6"/>
      <c r="J4658" s="6"/>
      <c r="K4658" s="6"/>
      <c r="L4658" s="6"/>
      <c r="M4658" s="6"/>
      <c r="N4658" s="6"/>
      <c r="O4658" s="6"/>
      <c r="P4658" s="6"/>
      <c r="Q4658" s="6"/>
      <c r="R4658" s="6"/>
      <c r="S4658" s="6"/>
      <c r="T4658" s="6"/>
      <c r="U4658" s="6"/>
      <c r="V4658" s="6"/>
      <c r="W4658" s="6"/>
      <c r="X4658" s="6"/>
      <c r="Y4658" s="6"/>
      <c r="Z4658" s="6"/>
      <c r="AA4658" s="6"/>
    </row>
    <row r="4659" ht="14.25">
      <c r="B4659" s="14" t="s">
        <v>32629</v>
      </c>
      <c r="C4659" s="4" t="s">
        <v>32630</v>
      </c>
      <c r="D4659" s="4" t="s">
        <v>32657</v>
      </c>
      <c r="E4659" s="4" t="s">
        <v>32632</v>
      </c>
      <c r="F4659" s="4" t="s">
        <v>32658</v>
      </c>
      <c r="G4659" s="4" t="s">
        <v>32659</v>
      </c>
      <c r="H4659" s="6"/>
      <c r="I4659" s="6"/>
      <c r="J4659" s="6"/>
      <c r="K4659" s="6"/>
      <c r="L4659" s="6"/>
      <c r="M4659" s="6"/>
      <c r="N4659" s="6"/>
      <c r="O4659" s="6"/>
      <c r="P4659" s="6"/>
      <c r="Q4659" s="6"/>
      <c r="R4659" s="6"/>
      <c r="S4659" s="6"/>
      <c r="T4659" s="6"/>
      <c r="U4659" s="6"/>
      <c r="V4659" s="6"/>
      <c r="W4659" s="6"/>
      <c r="X4659" s="6"/>
      <c r="Y4659" s="6"/>
      <c r="Z4659" s="6"/>
      <c r="AA4659" s="6"/>
    </row>
    <row r="4660" ht="14.25">
      <c r="B4660" s="14" t="s">
        <v>32629</v>
      </c>
      <c r="C4660" s="4" t="s">
        <v>32630</v>
      </c>
      <c r="D4660" s="4" t="s">
        <v>32660</v>
      </c>
      <c r="E4660" s="4" t="s">
        <v>32632</v>
      </c>
      <c r="F4660" s="4" t="s">
        <v>32661</v>
      </c>
      <c r="G4660" s="4" t="s">
        <v>32662</v>
      </c>
      <c r="H4660" s="6"/>
      <c r="I4660" s="6"/>
      <c r="J4660" s="6"/>
      <c r="K4660" s="6"/>
      <c r="L4660" s="6"/>
      <c r="M4660" s="6"/>
      <c r="N4660" s="6"/>
      <c r="O4660" s="6"/>
      <c r="P4660" s="6"/>
      <c r="Q4660" s="6"/>
      <c r="R4660" s="6"/>
      <c r="S4660" s="6"/>
      <c r="T4660" s="6"/>
      <c r="U4660" s="6"/>
      <c r="V4660" s="6"/>
      <c r="W4660" s="6"/>
      <c r="X4660" s="6"/>
      <c r="Y4660" s="6"/>
      <c r="Z4660" s="6"/>
      <c r="AA4660" s="6"/>
    </row>
    <row r="4661" ht="14.25">
      <c r="B4661" s="14" t="s">
        <v>32629</v>
      </c>
      <c r="C4661" s="4" t="s">
        <v>32663</v>
      </c>
      <c r="D4661" s="4" t="s">
        <v>32664</v>
      </c>
      <c r="E4661" s="4" t="s">
        <v>32665</v>
      </c>
      <c r="F4661" s="4" t="s">
        <v>32666</v>
      </c>
      <c r="G4661" s="4" t="s">
        <v>32564</v>
      </c>
      <c r="H4661" s="6"/>
      <c r="I4661" s="6"/>
      <c r="J4661" s="6"/>
      <c r="K4661" s="6"/>
      <c r="L4661" s="6"/>
      <c r="M4661" s="6"/>
      <c r="N4661" s="6"/>
      <c r="O4661" s="6"/>
      <c r="P4661" s="6"/>
      <c r="Q4661" s="6"/>
      <c r="R4661" s="6"/>
      <c r="S4661" s="6"/>
      <c r="T4661" s="6"/>
      <c r="U4661" s="6"/>
      <c r="V4661" s="6"/>
      <c r="W4661" s="6"/>
      <c r="X4661" s="6"/>
      <c r="Y4661" s="6"/>
      <c r="Z4661" s="6"/>
      <c r="AA4661" s="6"/>
    </row>
    <row r="4662" ht="14.25">
      <c r="B4662" s="14" t="s">
        <v>32629</v>
      </c>
      <c r="C4662" s="4" t="s">
        <v>32667</v>
      </c>
      <c r="D4662" s="4" t="s">
        <v>32668</v>
      </c>
      <c r="E4662" s="4" t="s">
        <v>32669</v>
      </c>
      <c r="F4662" s="4" t="s">
        <v>3850</v>
      </c>
      <c r="G4662" s="4" t="s">
        <v>32670</v>
      </c>
      <c r="H4662" s="6"/>
      <c r="I4662" s="6"/>
      <c r="J4662" s="6"/>
      <c r="K4662" s="6"/>
      <c r="L4662" s="6"/>
      <c r="M4662" s="6"/>
      <c r="N4662" s="6"/>
      <c r="O4662" s="6"/>
      <c r="P4662" s="6"/>
      <c r="Q4662" s="6"/>
      <c r="R4662" s="6"/>
      <c r="S4662" s="6"/>
      <c r="T4662" s="6"/>
      <c r="U4662" s="6"/>
      <c r="V4662" s="6"/>
      <c r="W4662" s="6"/>
      <c r="X4662" s="6"/>
      <c r="Y4662" s="6"/>
      <c r="Z4662" s="6"/>
      <c r="AA4662" s="6"/>
    </row>
    <row r="4663" ht="14.25">
      <c r="B4663" s="14" t="s">
        <v>32671</v>
      </c>
      <c r="C4663" s="4" t="s">
        <v>32672</v>
      </c>
      <c r="D4663" s="4" t="s">
        <v>32673</v>
      </c>
      <c r="E4663" s="4" t="s">
        <v>32674</v>
      </c>
      <c r="F4663" s="4" t="s">
        <v>20612</v>
      </c>
      <c r="G4663" s="4" t="s">
        <v>32675</v>
      </c>
      <c r="H4663" s="6"/>
      <c r="I4663" s="6"/>
      <c r="J4663" s="6"/>
      <c r="K4663" s="6"/>
      <c r="L4663" s="6"/>
      <c r="M4663" s="6"/>
      <c r="N4663" s="6"/>
      <c r="O4663" s="6"/>
      <c r="P4663" s="6"/>
      <c r="Q4663" s="6"/>
      <c r="R4663" s="6"/>
      <c r="S4663" s="6"/>
      <c r="T4663" s="6"/>
      <c r="U4663" s="6"/>
      <c r="V4663" s="6"/>
      <c r="W4663" s="6"/>
      <c r="X4663" s="6"/>
      <c r="Y4663" s="6"/>
      <c r="Z4663" s="6"/>
      <c r="AA4663" s="6"/>
    </row>
    <row r="4664" ht="14.25">
      <c r="B4664" s="14" t="s">
        <v>32671</v>
      </c>
      <c r="C4664" s="4" t="s">
        <v>32676</v>
      </c>
      <c r="D4664" s="4" t="s">
        <v>32677</v>
      </c>
      <c r="E4664" s="4" t="s">
        <v>32678</v>
      </c>
      <c r="F4664" s="4" t="s">
        <v>32548</v>
      </c>
      <c r="G4664" s="4" t="s">
        <v>32679</v>
      </c>
      <c r="H4664" s="6"/>
      <c r="I4664" s="6"/>
      <c r="J4664" s="6"/>
      <c r="K4664" s="6"/>
      <c r="L4664" s="6"/>
      <c r="M4664" s="6"/>
      <c r="N4664" s="6"/>
      <c r="O4664" s="6"/>
      <c r="P4664" s="6"/>
      <c r="Q4664" s="6"/>
      <c r="R4664" s="6"/>
      <c r="S4664" s="6"/>
      <c r="T4664" s="6"/>
      <c r="U4664" s="6"/>
      <c r="V4664" s="6"/>
      <c r="W4664" s="6"/>
      <c r="X4664" s="6"/>
      <c r="Y4664" s="6"/>
      <c r="Z4664" s="6"/>
      <c r="AA4664" s="6"/>
    </row>
    <row r="4665" ht="14.25">
      <c r="B4665" s="14" t="s">
        <v>32671</v>
      </c>
      <c r="C4665" s="4" t="s">
        <v>32676</v>
      </c>
      <c r="D4665" s="4" t="s">
        <v>32680</v>
      </c>
      <c r="E4665" s="4" t="s">
        <v>32678</v>
      </c>
      <c r="F4665" s="4" t="s">
        <v>1592</v>
      </c>
      <c r="G4665" s="4" t="s">
        <v>32681</v>
      </c>
      <c r="H4665" s="6"/>
      <c r="I4665" s="6"/>
      <c r="J4665" s="6"/>
      <c r="K4665" s="6"/>
      <c r="L4665" s="6"/>
      <c r="M4665" s="6"/>
      <c r="N4665" s="6"/>
      <c r="O4665" s="6"/>
      <c r="P4665" s="6"/>
      <c r="Q4665" s="6"/>
      <c r="R4665" s="6"/>
      <c r="S4665" s="6"/>
      <c r="T4665" s="6"/>
      <c r="U4665" s="6"/>
      <c r="V4665" s="6"/>
      <c r="W4665" s="6"/>
      <c r="X4665" s="6"/>
      <c r="Y4665" s="6"/>
      <c r="Z4665" s="6"/>
      <c r="AA4665" s="6"/>
    </row>
    <row r="4666" ht="14.25">
      <c r="B4666" s="14" t="s">
        <v>32682</v>
      </c>
      <c r="C4666" s="4" t="s">
        <v>32683</v>
      </c>
      <c r="D4666" s="4" t="s">
        <v>32684</v>
      </c>
      <c r="E4666" s="4" t="s">
        <v>32685</v>
      </c>
      <c r="F4666" s="4" t="s">
        <v>2119</v>
      </c>
      <c r="G4666" s="4" t="s">
        <v>32686</v>
      </c>
      <c r="H4666" s="6"/>
      <c r="I4666" s="6"/>
      <c r="J4666" s="6"/>
      <c r="K4666" s="6"/>
      <c r="L4666" s="6"/>
      <c r="M4666" s="6"/>
      <c r="N4666" s="6"/>
      <c r="O4666" s="6"/>
      <c r="P4666" s="6"/>
      <c r="Q4666" s="6"/>
      <c r="R4666" s="6"/>
      <c r="S4666" s="6"/>
      <c r="T4666" s="6"/>
      <c r="U4666" s="6"/>
      <c r="V4666" s="6"/>
      <c r="W4666" s="6"/>
      <c r="X4666" s="6"/>
      <c r="Y4666" s="6"/>
      <c r="Z4666" s="6"/>
      <c r="AA4666" s="6"/>
    </row>
    <row r="4667" ht="14.25">
      <c r="B4667" s="14" t="s">
        <v>32682</v>
      </c>
      <c r="C4667" s="4" t="s">
        <v>32687</v>
      </c>
      <c r="D4667" s="4" t="s">
        <v>32688</v>
      </c>
      <c r="E4667" s="4" t="s">
        <v>32689</v>
      </c>
      <c r="F4667" s="4" t="s">
        <v>3850</v>
      </c>
      <c r="G4667" s="4" t="s">
        <v>32690</v>
      </c>
      <c r="H4667" s="6"/>
      <c r="I4667" s="6"/>
      <c r="J4667" s="6"/>
      <c r="K4667" s="6"/>
      <c r="L4667" s="6"/>
      <c r="M4667" s="6"/>
      <c r="N4667" s="6"/>
      <c r="O4667" s="6"/>
      <c r="P4667" s="6"/>
      <c r="Q4667" s="6"/>
      <c r="R4667" s="6"/>
      <c r="S4667" s="6"/>
      <c r="T4667" s="6"/>
      <c r="U4667" s="6"/>
      <c r="V4667" s="6"/>
      <c r="W4667" s="6"/>
      <c r="X4667" s="6"/>
      <c r="Y4667" s="6"/>
      <c r="Z4667" s="6"/>
      <c r="AA4667" s="6"/>
    </row>
    <row r="4668" ht="14.25">
      <c r="B4668" s="14" t="s">
        <v>32682</v>
      </c>
      <c r="C4668" s="4" t="s">
        <v>32691</v>
      </c>
      <c r="D4668" s="4" t="s">
        <v>32692</v>
      </c>
      <c r="E4668" s="4" t="s">
        <v>32693</v>
      </c>
      <c r="F4668" s="4" t="s">
        <v>110</v>
      </c>
      <c r="G4668" s="4" t="s">
        <v>32694</v>
      </c>
      <c r="H4668" s="6"/>
      <c r="I4668" s="6"/>
      <c r="J4668" s="6"/>
      <c r="K4668" s="6"/>
      <c r="L4668" s="6"/>
      <c r="M4668" s="6"/>
      <c r="N4668" s="6"/>
      <c r="O4668" s="6"/>
      <c r="P4668" s="6"/>
      <c r="Q4668" s="6"/>
      <c r="R4668" s="6"/>
      <c r="S4668" s="6"/>
      <c r="T4668" s="6"/>
      <c r="U4668" s="6"/>
      <c r="V4668" s="6"/>
      <c r="W4668" s="6"/>
      <c r="X4668" s="6"/>
      <c r="Y4668" s="6"/>
      <c r="Z4668" s="6"/>
      <c r="AA4668" s="6"/>
    </row>
    <row r="4669" ht="14.25">
      <c r="B4669" s="14" t="s">
        <v>32682</v>
      </c>
      <c r="C4669" s="4" t="s">
        <v>32695</v>
      </c>
      <c r="D4669" s="4" t="s">
        <v>32696</v>
      </c>
      <c r="E4669" s="6"/>
      <c r="F4669" s="4" t="s">
        <v>32697</v>
      </c>
      <c r="G4669" s="4" t="s">
        <v>32698</v>
      </c>
      <c r="H4669" s="6"/>
      <c r="I4669" s="6"/>
      <c r="J4669" s="6"/>
      <c r="K4669" s="6"/>
      <c r="L4669" s="6"/>
      <c r="M4669" s="6"/>
      <c r="N4669" s="6"/>
      <c r="O4669" s="6"/>
      <c r="P4669" s="6"/>
      <c r="Q4669" s="6"/>
      <c r="R4669" s="6"/>
      <c r="S4669" s="6"/>
      <c r="T4669" s="6"/>
      <c r="U4669" s="6"/>
      <c r="V4669" s="6"/>
      <c r="W4669" s="6"/>
      <c r="X4669" s="6"/>
      <c r="Y4669" s="6"/>
      <c r="Z4669" s="6"/>
      <c r="AA4669" s="6"/>
    </row>
    <row r="4670" ht="14.25">
      <c r="B4670" s="14" t="s">
        <v>32682</v>
      </c>
      <c r="C4670" s="4" t="s">
        <v>32691</v>
      </c>
      <c r="D4670" s="4" t="s">
        <v>32699</v>
      </c>
      <c r="E4670" s="4" t="s">
        <v>32693</v>
      </c>
      <c r="F4670" s="4" t="s">
        <v>485</v>
      </c>
      <c r="G4670" s="4" t="s">
        <v>32694</v>
      </c>
      <c r="H4670" s="6"/>
      <c r="I4670" s="6"/>
      <c r="J4670" s="6"/>
      <c r="K4670" s="6"/>
      <c r="L4670" s="6"/>
      <c r="M4670" s="6"/>
      <c r="N4670" s="6"/>
      <c r="O4670" s="6"/>
      <c r="P4670" s="6"/>
      <c r="Q4670" s="6"/>
      <c r="R4670" s="6"/>
      <c r="S4670" s="6"/>
      <c r="T4670" s="6"/>
      <c r="U4670" s="6"/>
      <c r="V4670" s="6"/>
      <c r="W4670" s="6"/>
      <c r="X4670" s="6"/>
      <c r="Y4670" s="6"/>
      <c r="Z4670" s="6"/>
      <c r="AA4670" s="6"/>
    </row>
    <row r="4671" ht="14.25">
      <c r="B4671" s="14" t="s">
        <v>32682</v>
      </c>
      <c r="C4671" s="4" t="s">
        <v>32691</v>
      </c>
      <c r="D4671" s="4" t="s">
        <v>32700</v>
      </c>
      <c r="E4671" s="4" t="s">
        <v>32693</v>
      </c>
      <c r="F4671" s="4" t="s">
        <v>32701</v>
      </c>
      <c r="G4671" s="4" t="s">
        <v>32702</v>
      </c>
      <c r="H4671" s="6"/>
      <c r="I4671" s="6"/>
      <c r="J4671" s="6"/>
      <c r="K4671" s="6"/>
      <c r="L4671" s="6"/>
      <c r="M4671" s="6"/>
      <c r="N4671" s="6"/>
      <c r="O4671" s="6"/>
      <c r="P4671" s="6"/>
      <c r="Q4671" s="6"/>
      <c r="R4671" s="6"/>
      <c r="S4671" s="6"/>
      <c r="T4671" s="6"/>
      <c r="U4671" s="6"/>
      <c r="V4671" s="6"/>
      <c r="W4671" s="6"/>
      <c r="X4671" s="6"/>
      <c r="Y4671" s="6"/>
      <c r="Z4671" s="6"/>
      <c r="AA4671" s="6"/>
    </row>
    <row r="4672" ht="14.25">
      <c r="B4672" s="14" t="s">
        <v>32682</v>
      </c>
      <c r="C4672" s="4" t="s">
        <v>32703</v>
      </c>
      <c r="D4672" s="4" t="s">
        <v>32704</v>
      </c>
      <c r="E4672" s="4" t="s">
        <v>32705</v>
      </c>
      <c r="F4672" s="4" t="s">
        <v>32706</v>
      </c>
      <c r="G4672" s="4" t="s">
        <v>32707</v>
      </c>
      <c r="H4672" s="6"/>
      <c r="I4672" s="6"/>
      <c r="J4672" s="6"/>
      <c r="K4672" s="6"/>
      <c r="L4672" s="6"/>
      <c r="M4672" s="6"/>
      <c r="N4672" s="6"/>
      <c r="O4672" s="6"/>
      <c r="P4672" s="6"/>
      <c r="Q4672" s="6"/>
      <c r="R4672" s="6"/>
      <c r="S4672" s="6"/>
      <c r="T4672" s="6"/>
      <c r="U4672" s="6"/>
      <c r="V4672" s="6"/>
      <c r="W4672" s="6"/>
      <c r="X4672" s="6"/>
      <c r="Y4672" s="6"/>
      <c r="Z4672" s="6"/>
      <c r="AA4672" s="6"/>
    </row>
    <row r="4673" ht="14.25">
      <c r="B4673" s="14" t="s">
        <v>32682</v>
      </c>
      <c r="C4673" s="4" t="s">
        <v>32687</v>
      </c>
      <c r="D4673" s="4" t="s">
        <v>32708</v>
      </c>
      <c r="E4673" s="4" t="s">
        <v>32689</v>
      </c>
      <c r="F4673" s="4" t="s">
        <v>32709</v>
      </c>
      <c r="G4673" s="4" t="s">
        <v>32710</v>
      </c>
      <c r="H4673" s="6"/>
      <c r="I4673" s="6"/>
      <c r="J4673" s="6"/>
      <c r="K4673" s="6"/>
      <c r="L4673" s="6"/>
      <c r="M4673" s="6"/>
      <c r="N4673" s="6"/>
      <c r="O4673" s="6"/>
      <c r="P4673" s="6"/>
      <c r="Q4673" s="6"/>
      <c r="R4673" s="6"/>
      <c r="S4673" s="6"/>
      <c r="T4673" s="6"/>
      <c r="U4673" s="6"/>
      <c r="V4673" s="6"/>
      <c r="W4673" s="6"/>
      <c r="X4673" s="6"/>
      <c r="Y4673" s="6"/>
      <c r="Z4673" s="6"/>
      <c r="AA4673" s="6"/>
    </row>
    <row r="4674" ht="14.25">
      <c r="B4674" s="14" t="s">
        <v>32711</v>
      </c>
      <c r="C4674" s="4" t="s">
        <v>32712</v>
      </c>
      <c r="D4674" s="4" t="s">
        <v>32713</v>
      </c>
      <c r="E4674" s="4" t="s">
        <v>32714</v>
      </c>
      <c r="F4674" s="4" t="s">
        <v>5907</v>
      </c>
      <c r="G4674" s="4" t="s">
        <v>32715</v>
      </c>
      <c r="H4674" s="6"/>
      <c r="I4674" s="6"/>
      <c r="J4674" s="6"/>
      <c r="K4674" s="6"/>
      <c r="L4674" s="6"/>
      <c r="M4674" s="6"/>
      <c r="N4674" s="6"/>
      <c r="O4674" s="6"/>
      <c r="P4674" s="6"/>
      <c r="Q4674" s="6"/>
      <c r="R4674" s="6"/>
      <c r="S4674" s="6"/>
      <c r="T4674" s="6"/>
      <c r="U4674" s="6"/>
      <c r="V4674" s="6"/>
      <c r="W4674" s="6"/>
      <c r="X4674" s="6"/>
      <c r="Y4674" s="6"/>
      <c r="Z4674" s="6"/>
      <c r="AA4674" s="6"/>
    </row>
    <row r="4675" ht="14.25">
      <c r="B4675" s="14" t="s">
        <v>32711</v>
      </c>
      <c r="C4675" s="4" t="s">
        <v>32716</v>
      </c>
      <c r="D4675" s="4" t="s">
        <v>32717</v>
      </c>
      <c r="E4675" s="6"/>
      <c r="F4675" s="4" t="s">
        <v>32622</v>
      </c>
      <c r="G4675" s="4" t="s">
        <v>32718</v>
      </c>
      <c r="H4675" s="6"/>
      <c r="I4675" s="6"/>
      <c r="J4675" s="6"/>
      <c r="K4675" s="6"/>
      <c r="L4675" s="6"/>
      <c r="M4675" s="6"/>
      <c r="N4675" s="6"/>
      <c r="O4675" s="6"/>
      <c r="P4675" s="6"/>
      <c r="Q4675" s="6"/>
      <c r="R4675" s="6"/>
      <c r="S4675" s="6"/>
      <c r="T4675" s="6"/>
      <c r="U4675" s="6"/>
      <c r="V4675" s="6"/>
      <c r="W4675" s="6"/>
      <c r="X4675" s="6"/>
      <c r="Y4675" s="6"/>
      <c r="Z4675" s="6"/>
      <c r="AA4675" s="6"/>
    </row>
    <row r="4676" ht="14.25">
      <c r="B4676" s="14" t="s">
        <v>32719</v>
      </c>
      <c r="C4676" s="4" t="s">
        <v>32720</v>
      </c>
      <c r="D4676" s="4" t="s">
        <v>32721</v>
      </c>
      <c r="E4676" s="4" t="s">
        <v>32722</v>
      </c>
      <c r="F4676" s="4" t="s">
        <v>330</v>
      </c>
      <c r="G4676" s="4" t="s">
        <v>32723</v>
      </c>
      <c r="H4676" s="6"/>
      <c r="I4676" s="6"/>
      <c r="J4676" s="6"/>
      <c r="K4676" s="6"/>
      <c r="L4676" s="6"/>
      <c r="M4676" s="6"/>
      <c r="N4676" s="6"/>
      <c r="O4676" s="6"/>
      <c r="P4676" s="6"/>
      <c r="Q4676" s="6"/>
      <c r="R4676" s="6"/>
      <c r="S4676" s="6"/>
      <c r="T4676" s="6"/>
      <c r="U4676" s="6"/>
      <c r="V4676" s="6"/>
      <c r="W4676" s="6"/>
      <c r="X4676" s="6"/>
      <c r="Y4676" s="6"/>
      <c r="Z4676" s="6"/>
      <c r="AA4676" s="6"/>
    </row>
    <row r="4677" ht="14.25">
      <c r="B4677" s="14" t="s">
        <v>32719</v>
      </c>
      <c r="C4677" s="4" t="s">
        <v>32720</v>
      </c>
      <c r="D4677" s="4" t="s">
        <v>32724</v>
      </c>
      <c r="E4677" s="4" t="s">
        <v>32722</v>
      </c>
      <c r="F4677" s="4" t="s">
        <v>32725</v>
      </c>
      <c r="G4677" s="4" t="s">
        <v>32726</v>
      </c>
      <c r="H4677" s="6"/>
      <c r="I4677" s="6"/>
      <c r="J4677" s="6"/>
      <c r="K4677" s="6"/>
      <c r="L4677" s="6"/>
      <c r="M4677" s="6"/>
      <c r="N4677" s="6"/>
      <c r="O4677" s="6"/>
      <c r="P4677" s="6"/>
      <c r="Q4677" s="6"/>
      <c r="R4677" s="6"/>
      <c r="S4677" s="6"/>
      <c r="T4677" s="6"/>
      <c r="U4677" s="6"/>
      <c r="V4677" s="6"/>
      <c r="W4677" s="6"/>
      <c r="X4677" s="6"/>
      <c r="Y4677" s="6"/>
      <c r="Z4677" s="6"/>
      <c r="AA4677" s="6"/>
    </row>
    <row r="4678" ht="14.25">
      <c r="B4678" s="14" t="s">
        <v>32719</v>
      </c>
      <c r="C4678" s="4" t="s">
        <v>32727</v>
      </c>
      <c r="D4678" s="4" t="s">
        <v>32728</v>
      </c>
      <c r="E4678" s="4" t="s">
        <v>32729</v>
      </c>
      <c r="F4678" s="4" t="s">
        <v>355</v>
      </c>
      <c r="G4678" s="4" t="s">
        <v>32730</v>
      </c>
      <c r="H4678" s="6"/>
      <c r="I4678" s="6"/>
      <c r="J4678" s="6"/>
      <c r="K4678" s="6"/>
      <c r="L4678" s="6"/>
      <c r="M4678" s="6"/>
      <c r="N4678" s="6"/>
      <c r="O4678" s="6"/>
      <c r="P4678" s="6"/>
      <c r="Q4678" s="6"/>
      <c r="R4678" s="6"/>
      <c r="S4678" s="6"/>
      <c r="T4678" s="6"/>
      <c r="U4678" s="6"/>
      <c r="V4678" s="6"/>
      <c r="W4678" s="6"/>
      <c r="X4678" s="6"/>
      <c r="Y4678" s="6"/>
      <c r="Z4678" s="6"/>
      <c r="AA4678" s="6"/>
    </row>
    <row r="4679" ht="14.25">
      <c r="B4679" s="14" t="s">
        <v>32731</v>
      </c>
      <c r="C4679" s="4" t="s">
        <v>32732</v>
      </c>
      <c r="D4679" s="4" t="s">
        <v>32733</v>
      </c>
      <c r="E4679" s="4" t="s">
        <v>32734</v>
      </c>
      <c r="F4679" s="4" t="s">
        <v>32735</v>
      </c>
      <c r="G4679" s="4" t="s">
        <v>32736</v>
      </c>
      <c r="H4679" s="6"/>
      <c r="I4679" s="6"/>
      <c r="J4679" s="6"/>
      <c r="K4679" s="6"/>
      <c r="L4679" s="6"/>
      <c r="M4679" s="6"/>
      <c r="N4679" s="6"/>
      <c r="O4679" s="6"/>
      <c r="P4679" s="6"/>
      <c r="Q4679" s="6"/>
      <c r="R4679" s="6"/>
      <c r="S4679" s="6"/>
      <c r="T4679" s="6"/>
      <c r="U4679" s="6"/>
      <c r="V4679" s="6"/>
      <c r="W4679" s="6"/>
      <c r="X4679" s="6"/>
      <c r="Y4679" s="6"/>
      <c r="Z4679" s="6"/>
      <c r="AA4679" s="6"/>
    </row>
    <row r="4680" ht="14.25">
      <c r="B4680" s="14" t="s">
        <v>32731</v>
      </c>
      <c r="C4680" s="4" t="s">
        <v>32732</v>
      </c>
      <c r="D4680" s="4" t="s">
        <v>32737</v>
      </c>
      <c r="E4680" s="4" t="s">
        <v>32734</v>
      </c>
      <c r="F4680" s="4" t="s">
        <v>10945</v>
      </c>
      <c r="G4680" s="4" t="s">
        <v>32736</v>
      </c>
      <c r="H4680" s="6"/>
      <c r="I4680" s="6"/>
      <c r="J4680" s="6"/>
      <c r="K4680" s="6"/>
      <c r="L4680" s="6"/>
      <c r="M4680" s="6"/>
      <c r="N4680" s="6"/>
      <c r="O4680" s="6"/>
      <c r="P4680" s="6"/>
      <c r="Q4680" s="6"/>
      <c r="R4680" s="6"/>
      <c r="S4680" s="6"/>
      <c r="T4680" s="6"/>
      <c r="U4680" s="6"/>
      <c r="V4680" s="6"/>
      <c r="W4680" s="6"/>
      <c r="X4680" s="6"/>
      <c r="Y4680" s="6"/>
      <c r="Z4680" s="6"/>
      <c r="AA4680" s="6"/>
    </row>
    <row r="4681" ht="14.25">
      <c r="B4681" s="14" t="s">
        <v>32738</v>
      </c>
      <c r="C4681" s="4" t="s">
        <v>32739</v>
      </c>
      <c r="D4681" s="4" t="s">
        <v>32740</v>
      </c>
      <c r="E4681" s="6"/>
      <c r="F4681" s="4" t="s">
        <v>355</v>
      </c>
      <c r="G4681" s="4" t="s">
        <v>32741</v>
      </c>
      <c r="H4681" s="6"/>
      <c r="I4681" s="6"/>
      <c r="J4681" s="6"/>
      <c r="K4681" s="6"/>
      <c r="L4681" s="6"/>
      <c r="M4681" s="6"/>
      <c r="N4681" s="6"/>
      <c r="O4681" s="6"/>
      <c r="P4681" s="6"/>
      <c r="Q4681" s="6"/>
      <c r="R4681" s="6"/>
      <c r="S4681" s="6"/>
      <c r="T4681" s="6"/>
      <c r="U4681" s="6"/>
      <c r="V4681" s="6"/>
      <c r="W4681" s="6"/>
      <c r="X4681" s="6"/>
      <c r="Y4681" s="6"/>
      <c r="Z4681" s="6"/>
      <c r="AA4681" s="6"/>
    </row>
    <row r="4682" ht="14.25">
      <c r="B4682" s="14" t="s">
        <v>32738</v>
      </c>
      <c r="C4682" s="4" t="s">
        <v>32742</v>
      </c>
      <c r="D4682" s="4" t="s">
        <v>32743</v>
      </c>
      <c r="E4682" s="6"/>
      <c r="F4682" s="4" t="s">
        <v>1732</v>
      </c>
      <c r="G4682" s="4" t="s">
        <v>32744</v>
      </c>
      <c r="H4682" s="6"/>
      <c r="I4682" s="6"/>
      <c r="J4682" s="6"/>
      <c r="K4682" s="6"/>
      <c r="L4682" s="6"/>
      <c r="M4682" s="6"/>
      <c r="N4682" s="6"/>
      <c r="O4682" s="6"/>
      <c r="P4682" s="6"/>
      <c r="Q4682" s="6"/>
      <c r="R4682" s="6"/>
      <c r="S4682" s="6"/>
      <c r="T4682" s="6"/>
      <c r="U4682" s="6"/>
      <c r="V4682" s="6"/>
      <c r="W4682" s="6"/>
      <c r="X4682" s="6"/>
      <c r="Y4682" s="6"/>
      <c r="Z4682" s="6"/>
      <c r="AA4682" s="6"/>
    </row>
    <row r="4683" ht="14.25">
      <c r="B4683" s="14" t="s">
        <v>32745</v>
      </c>
      <c r="C4683" s="4" t="s">
        <v>32746</v>
      </c>
      <c r="D4683" s="4" t="s">
        <v>32747</v>
      </c>
      <c r="E4683" s="6"/>
      <c r="F4683" s="4" t="s">
        <v>6634</v>
      </c>
      <c r="G4683" s="4" t="s">
        <v>32736</v>
      </c>
      <c r="H4683" s="6"/>
      <c r="I4683" s="6"/>
      <c r="J4683" s="6"/>
      <c r="K4683" s="6"/>
      <c r="L4683" s="6"/>
      <c r="M4683" s="6"/>
      <c r="N4683" s="6"/>
      <c r="O4683" s="6"/>
      <c r="P4683" s="6"/>
      <c r="Q4683" s="6"/>
      <c r="R4683" s="6"/>
      <c r="S4683" s="6"/>
      <c r="T4683" s="6"/>
      <c r="U4683" s="6"/>
      <c r="V4683" s="6"/>
      <c r="W4683" s="6"/>
      <c r="X4683" s="6"/>
      <c r="Y4683" s="6"/>
      <c r="Z4683" s="6"/>
      <c r="AA4683" s="6"/>
    </row>
    <row r="4684" ht="14.25">
      <c r="B4684" s="14" t="s">
        <v>32748</v>
      </c>
      <c r="C4684" s="4" t="s">
        <v>32749</v>
      </c>
      <c r="D4684" s="4" t="s">
        <v>32750</v>
      </c>
      <c r="E4684" s="4" t="s">
        <v>32751</v>
      </c>
      <c r="F4684" s="4" t="s">
        <v>769</v>
      </c>
      <c r="G4684" s="4" t="s">
        <v>32752</v>
      </c>
      <c r="H4684" s="6"/>
      <c r="I4684" s="6"/>
      <c r="J4684" s="6"/>
      <c r="K4684" s="6"/>
      <c r="L4684" s="6"/>
      <c r="M4684" s="6"/>
      <c r="N4684" s="6"/>
      <c r="O4684" s="6"/>
      <c r="P4684" s="6"/>
      <c r="Q4684" s="6"/>
      <c r="R4684" s="6"/>
      <c r="S4684" s="6"/>
      <c r="T4684" s="6"/>
      <c r="U4684" s="6"/>
      <c r="V4684" s="6"/>
      <c r="W4684" s="6"/>
      <c r="X4684" s="6"/>
      <c r="Y4684" s="6"/>
      <c r="Z4684" s="6"/>
      <c r="AA4684" s="6"/>
    </row>
    <row r="4685" ht="14.25">
      <c r="B4685" s="14" t="s">
        <v>32748</v>
      </c>
      <c r="C4685" s="4" t="s">
        <v>32753</v>
      </c>
      <c r="D4685" s="4" t="s">
        <v>32754</v>
      </c>
      <c r="E4685" s="6"/>
      <c r="F4685" s="4" t="s">
        <v>4977</v>
      </c>
      <c r="G4685" s="4" t="s">
        <v>32755</v>
      </c>
      <c r="H4685" s="6"/>
      <c r="I4685" s="6"/>
      <c r="J4685" s="6"/>
      <c r="K4685" s="6"/>
      <c r="L4685" s="6"/>
      <c r="M4685" s="6"/>
      <c r="N4685" s="6"/>
      <c r="O4685" s="6"/>
      <c r="P4685" s="6"/>
      <c r="Q4685" s="6"/>
      <c r="R4685" s="6"/>
      <c r="S4685" s="6"/>
      <c r="T4685" s="6"/>
      <c r="U4685" s="6"/>
      <c r="V4685" s="6"/>
      <c r="W4685" s="6"/>
      <c r="X4685" s="6"/>
      <c r="Y4685" s="6"/>
      <c r="Z4685" s="6"/>
      <c r="AA4685" s="6"/>
    </row>
    <row r="4686" ht="14.25">
      <c r="B4686" s="14" t="s">
        <v>32748</v>
      </c>
      <c r="C4686" s="4" t="s">
        <v>32749</v>
      </c>
      <c r="D4686" s="4" t="s">
        <v>32756</v>
      </c>
      <c r="E4686" s="4" t="s">
        <v>32751</v>
      </c>
      <c r="F4686" s="4" t="s">
        <v>32616</v>
      </c>
      <c r="G4686" s="4" t="s">
        <v>32757</v>
      </c>
      <c r="H4686" s="6"/>
      <c r="I4686" s="6"/>
      <c r="J4686" s="6"/>
      <c r="K4686" s="6"/>
      <c r="L4686" s="6"/>
      <c r="M4686" s="6"/>
      <c r="N4686" s="6"/>
      <c r="O4686" s="6"/>
      <c r="P4686" s="6"/>
      <c r="Q4686" s="6"/>
      <c r="R4686" s="6"/>
      <c r="S4686" s="6"/>
      <c r="T4686" s="6"/>
      <c r="U4686" s="6"/>
      <c r="V4686" s="6"/>
      <c r="W4686" s="6"/>
      <c r="X4686" s="6"/>
      <c r="Y4686" s="6"/>
      <c r="Z4686" s="6"/>
      <c r="AA4686" s="6"/>
    </row>
    <row r="4687" ht="14.25">
      <c r="B4687" s="14" t="s">
        <v>32758</v>
      </c>
      <c r="C4687" s="4" t="s">
        <v>32759</v>
      </c>
      <c r="D4687" s="4" t="s">
        <v>32760</v>
      </c>
      <c r="E4687" s="4" t="s">
        <v>32761</v>
      </c>
      <c r="F4687" s="4" t="s">
        <v>330</v>
      </c>
      <c r="G4687" s="4" t="s">
        <v>32762</v>
      </c>
      <c r="H4687" s="6"/>
      <c r="I4687" s="6"/>
      <c r="J4687" s="6"/>
      <c r="K4687" s="6"/>
      <c r="L4687" s="6"/>
      <c r="M4687" s="6"/>
      <c r="N4687" s="6"/>
      <c r="O4687" s="6"/>
      <c r="P4687" s="6"/>
      <c r="Q4687" s="6"/>
      <c r="R4687" s="6"/>
      <c r="S4687" s="6"/>
      <c r="T4687" s="6"/>
      <c r="U4687" s="6"/>
      <c r="V4687" s="6"/>
      <c r="W4687" s="6"/>
      <c r="X4687" s="6"/>
      <c r="Y4687" s="6"/>
      <c r="Z4687" s="6"/>
      <c r="AA4687" s="6"/>
    </row>
    <row r="4688" ht="14.25">
      <c r="B4688" s="14" t="s">
        <v>32763</v>
      </c>
      <c r="C4688" s="4" t="s">
        <v>32764</v>
      </c>
      <c r="D4688" s="4" t="s">
        <v>32765</v>
      </c>
      <c r="E4688" s="4" t="s">
        <v>32766</v>
      </c>
      <c r="F4688" s="4" t="s">
        <v>14276</v>
      </c>
      <c r="G4688" s="4" t="s">
        <v>32767</v>
      </c>
      <c r="H4688" s="6"/>
      <c r="I4688" s="6"/>
      <c r="J4688" s="6"/>
      <c r="K4688" s="6"/>
      <c r="L4688" s="6"/>
      <c r="M4688" s="6"/>
      <c r="N4688" s="6"/>
      <c r="O4688" s="6"/>
      <c r="P4688" s="6"/>
      <c r="Q4688" s="6"/>
      <c r="R4688" s="6"/>
      <c r="S4688" s="6"/>
      <c r="T4688" s="6"/>
      <c r="U4688" s="6"/>
      <c r="V4688" s="6"/>
      <c r="W4688" s="6"/>
      <c r="X4688" s="6"/>
      <c r="Y4688" s="6"/>
      <c r="Z4688" s="6"/>
      <c r="AA4688" s="6"/>
    </row>
    <row r="4689" ht="14.25">
      <c r="B4689" s="14" t="s">
        <v>32768</v>
      </c>
      <c r="C4689" s="4" t="s">
        <v>32769</v>
      </c>
      <c r="D4689" s="4" t="s">
        <v>32770</v>
      </c>
      <c r="E4689" s="4" t="s">
        <v>32771</v>
      </c>
      <c r="F4689" s="4" t="s">
        <v>95</v>
      </c>
      <c r="G4689" s="4" t="s">
        <v>32772</v>
      </c>
      <c r="H4689" s="6"/>
      <c r="I4689" s="6"/>
      <c r="J4689" s="6"/>
      <c r="K4689" s="6"/>
      <c r="L4689" s="6"/>
      <c r="M4689" s="6"/>
      <c r="N4689" s="6"/>
      <c r="O4689" s="6"/>
      <c r="P4689" s="6"/>
      <c r="Q4689" s="6"/>
      <c r="R4689" s="6"/>
      <c r="S4689" s="6"/>
      <c r="T4689" s="6"/>
      <c r="U4689" s="6"/>
      <c r="V4689" s="6"/>
      <c r="W4689" s="6"/>
      <c r="X4689" s="6"/>
      <c r="Y4689" s="6"/>
      <c r="Z4689" s="6"/>
      <c r="AA4689" s="6"/>
    </row>
    <row r="4690" ht="14.25">
      <c r="B4690" s="14" t="s">
        <v>32768</v>
      </c>
      <c r="C4690" s="4" t="s">
        <v>32773</v>
      </c>
      <c r="D4690" s="4" t="s">
        <v>32774</v>
      </c>
      <c r="E4690" s="4" t="s">
        <v>32775</v>
      </c>
      <c r="F4690" s="4" t="s">
        <v>32622</v>
      </c>
      <c r="G4690" s="4" t="s">
        <v>32776</v>
      </c>
      <c r="H4690" s="6"/>
      <c r="I4690" s="6"/>
      <c r="J4690" s="6"/>
      <c r="K4690" s="6"/>
      <c r="L4690" s="6"/>
      <c r="M4690" s="6"/>
      <c r="N4690" s="6"/>
      <c r="O4690" s="6"/>
      <c r="P4690" s="6"/>
      <c r="Q4690" s="6"/>
      <c r="R4690" s="6"/>
      <c r="S4690" s="6"/>
      <c r="T4690" s="6"/>
      <c r="U4690" s="6"/>
      <c r="V4690" s="6"/>
      <c r="W4690" s="6"/>
      <c r="X4690" s="6"/>
      <c r="Y4690" s="6"/>
      <c r="Z4690" s="6"/>
      <c r="AA4690" s="6"/>
    </row>
    <row r="4691" ht="14.25">
      <c r="B4691" s="14" t="s">
        <v>32777</v>
      </c>
      <c r="C4691" s="4" t="s">
        <v>32778</v>
      </c>
      <c r="D4691" s="4" t="s">
        <v>32779</v>
      </c>
      <c r="E4691" s="6"/>
      <c r="F4691" s="4" t="s">
        <v>579</v>
      </c>
      <c r="G4691" s="4" t="s">
        <v>32780</v>
      </c>
      <c r="H4691" s="6"/>
      <c r="I4691" s="6"/>
      <c r="J4691" s="6"/>
      <c r="K4691" s="6"/>
      <c r="L4691" s="6"/>
      <c r="M4691" s="6"/>
      <c r="N4691" s="6"/>
      <c r="O4691" s="6"/>
      <c r="P4691" s="6"/>
      <c r="Q4691" s="6"/>
      <c r="R4691" s="6"/>
      <c r="S4691" s="6"/>
      <c r="T4691" s="6"/>
      <c r="U4691" s="6"/>
      <c r="V4691" s="6"/>
      <c r="W4691" s="6"/>
      <c r="X4691" s="6"/>
      <c r="Y4691" s="6"/>
      <c r="Z4691" s="6"/>
      <c r="AA4691" s="6"/>
    </row>
    <row r="4692" ht="14.25">
      <c r="B4692" s="14" t="s">
        <v>32777</v>
      </c>
      <c r="C4692" s="4" t="s">
        <v>32778</v>
      </c>
      <c r="D4692" s="4" t="s">
        <v>32781</v>
      </c>
      <c r="E4692" s="4" t="s">
        <v>32779</v>
      </c>
      <c r="F4692" s="4" t="s">
        <v>1740</v>
      </c>
      <c r="G4692" s="4" t="s">
        <v>32782</v>
      </c>
      <c r="H4692" s="6"/>
      <c r="I4692" s="6"/>
      <c r="J4692" s="6"/>
      <c r="K4692" s="6"/>
      <c r="L4692" s="6"/>
      <c r="M4692" s="6"/>
      <c r="N4692" s="6"/>
      <c r="O4692" s="6"/>
      <c r="P4692" s="6"/>
      <c r="Q4692" s="6"/>
      <c r="R4692" s="6"/>
      <c r="S4692" s="6"/>
      <c r="T4692" s="6"/>
      <c r="U4692" s="6"/>
      <c r="V4692" s="6"/>
      <c r="W4692" s="6"/>
      <c r="X4692" s="6"/>
      <c r="Y4692" s="6"/>
      <c r="Z4692" s="6"/>
      <c r="AA4692" s="6"/>
    </row>
    <row r="4693" ht="14.25">
      <c r="B4693" s="14" t="s">
        <v>32783</v>
      </c>
      <c r="C4693" s="4" t="s">
        <v>32784</v>
      </c>
      <c r="D4693" s="4" t="s">
        <v>32785</v>
      </c>
      <c r="E4693" s="4" t="s">
        <v>32786</v>
      </c>
      <c r="F4693" s="4" t="s">
        <v>32787</v>
      </c>
      <c r="G4693" s="4" t="s">
        <v>32788</v>
      </c>
      <c r="H4693" s="6"/>
      <c r="I4693" s="6"/>
      <c r="J4693" s="6"/>
      <c r="K4693" s="6"/>
      <c r="L4693" s="6"/>
      <c r="M4693" s="6"/>
      <c r="N4693" s="6"/>
      <c r="O4693" s="6"/>
      <c r="P4693" s="6"/>
      <c r="Q4693" s="6"/>
      <c r="R4693" s="6"/>
      <c r="S4693" s="6"/>
      <c r="T4693" s="6"/>
      <c r="U4693" s="6"/>
      <c r="V4693" s="6"/>
      <c r="W4693" s="6"/>
      <c r="X4693" s="6"/>
      <c r="Y4693" s="6"/>
      <c r="Z4693" s="6"/>
      <c r="AA4693" s="6"/>
    </row>
    <row r="4694" ht="14.25">
      <c r="B4694" s="14" t="s">
        <v>32783</v>
      </c>
      <c r="C4694" s="4" t="s">
        <v>32789</v>
      </c>
      <c r="D4694" s="4" t="s">
        <v>32790</v>
      </c>
      <c r="E4694" s="4" t="s">
        <v>32791</v>
      </c>
      <c r="F4694" s="4" t="s">
        <v>32622</v>
      </c>
      <c r="G4694" s="4" t="s">
        <v>32792</v>
      </c>
      <c r="H4694" s="6"/>
      <c r="I4694" s="6"/>
      <c r="J4694" s="6"/>
      <c r="K4694" s="6"/>
      <c r="L4694" s="6"/>
      <c r="M4694" s="6"/>
      <c r="N4694" s="6"/>
      <c r="O4694" s="6"/>
      <c r="P4694" s="6"/>
      <c r="Q4694" s="6"/>
      <c r="R4694" s="6"/>
      <c r="S4694" s="6"/>
      <c r="T4694" s="6"/>
      <c r="U4694" s="6"/>
      <c r="V4694" s="6"/>
      <c r="W4694" s="6"/>
      <c r="X4694" s="6"/>
      <c r="Y4694" s="6"/>
      <c r="Z4694" s="6"/>
      <c r="AA4694" s="6"/>
    </row>
    <row r="4695" ht="14.25">
      <c r="B4695" s="14" t="s">
        <v>32793</v>
      </c>
      <c r="C4695" s="4" t="s">
        <v>32794</v>
      </c>
      <c r="D4695" s="4" t="s">
        <v>32795</v>
      </c>
      <c r="E4695" s="4" t="s">
        <v>32796</v>
      </c>
      <c r="F4695" s="4" t="s">
        <v>4245</v>
      </c>
      <c r="G4695" s="4" t="s">
        <v>32797</v>
      </c>
      <c r="H4695" s="6"/>
      <c r="I4695" s="6"/>
      <c r="J4695" s="6"/>
      <c r="K4695" s="6"/>
      <c r="L4695" s="6"/>
      <c r="M4695" s="6"/>
      <c r="N4695" s="6"/>
      <c r="O4695" s="6"/>
      <c r="P4695" s="6"/>
      <c r="Q4695" s="6"/>
      <c r="R4695" s="6"/>
      <c r="S4695" s="6"/>
      <c r="T4695" s="6"/>
      <c r="U4695" s="6"/>
      <c r="V4695" s="6"/>
      <c r="W4695" s="6"/>
      <c r="X4695" s="6"/>
      <c r="Y4695" s="6"/>
      <c r="Z4695" s="6"/>
      <c r="AA4695" s="6"/>
    </row>
    <row r="4696" ht="14.25">
      <c r="B4696" s="14" t="s">
        <v>32793</v>
      </c>
      <c r="C4696" s="4" t="s">
        <v>32798</v>
      </c>
      <c r="D4696" s="4" t="s">
        <v>32799</v>
      </c>
      <c r="E4696" s="4" t="s">
        <v>32800</v>
      </c>
      <c r="F4696" s="4" t="s">
        <v>769</v>
      </c>
      <c r="G4696" s="4" t="s">
        <v>32801</v>
      </c>
      <c r="H4696" s="6"/>
      <c r="I4696" s="6"/>
      <c r="J4696" s="6"/>
      <c r="K4696" s="6"/>
      <c r="L4696" s="6"/>
      <c r="M4696" s="6"/>
      <c r="N4696" s="6"/>
      <c r="O4696" s="6"/>
      <c r="P4696" s="6"/>
      <c r="Q4696" s="6"/>
      <c r="R4696" s="6"/>
      <c r="S4696" s="6"/>
      <c r="T4696" s="6"/>
      <c r="U4696" s="6"/>
      <c r="V4696" s="6"/>
      <c r="W4696" s="6"/>
      <c r="X4696" s="6"/>
      <c r="Y4696" s="6"/>
      <c r="Z4696" s="6"/>
      <c r="AA4696" s="6"/>
    </row>
    <row r="4697" ht="14.25">
      <c r="B4697" s="14" t="s">
        <v>32793</v>
      </c>
      <c r="C4697" s="4" t="s">
        <v>32802</v>
      </c>
      <c r="D4697" s="4" t="s">
        <v>32803</v>
      </c>
      <c r="E4697" s="4" t="s">
        <v>32804</v>
      </c>
      <c r="F4697" s="4" t="s">
        <v>330</v>
      </c>
      <c r="G4697" s="4" t="s">
        <v>32805</v>
      </c>
      <c r="H4697" s="6"/>
      <c r="I4697" s="6"/>
      <c r="J4697" s="6"/>
      <c r="K4697" s="6"/>
      <c r="L4697" s="6"/>
      <c r="M4697" s="6"/>
      <c r="N4697" s="6"/>
      <c r="O4697" s="6"/>
      <c r="P4697" s="6"/>
      <c r="Q4697" s="6"/>
      <c r="R4697" s="6"/>
      <c r="S4697" s="6"/>
      <c r="T4697" s="6"/>
      <c r="U4697" s="6"/>
      <c r="V4697" s="6"/>
      <c r="W4697" s="6"/>
      <c r="X4697" s="6"/>
      <c r="Y4697" s="6"/>
      <c r="Z4697" s="6"/>
      <c r="AA4697" s="6"/>
    </row>
    <row r="4698" ht="14.25">
      <c r="B4698" s="14" t="s">
        <v>32793</v>
      </c>
      <c r="C4698" s="4" t="s">
        <v>32806</v>
      </c>
      <c r="D4698" s="4" t="s">
        <v>32807</v>
      </c>
      <c r="E4698" s="4" t="s">
        <v>32808</v>
      </c>
      <c r="F4698" s="4" t="s">
        <v>485</v>
      </c>
      <c r="G4698" s="4" t="s">
        <v>32809</v>
      </c>
      <c r="H4698" s="6"/>
      <c r="I4698" s="6"/>
      <c r="J4698" s="6"/>
      <c r="K4698" s="6"/>
      <c r="L4698" s="6"/>
      <c r="M4698" s="6"/>
      <c r="N4698" s="6"/>
      <c r="O4698" s="6"/>
      <c r="P4698" s="6"/>
      <c r="Q4698" s="6"/>
      <c r="R4698" s="6"/>
      <c r="S4698" s="6"/>
      <c r="T4698" s="6"/>
      <c r="U4698" s="6"/>
      <c r="V4698" s="6"/>
      <c r="W4698" s="6"/>
      <c r="X4698" s="6"/>
      <c r="Y4698" s="6"/>
      <c r="Z4698" s="6"/>
      <c r="AA4698" s="6"/>
    </row>
    <row r="4699" ht="14.25">
      <c r="B4699" s="14" t="s">
        <v>32793</v>
      </c>
      <c r="C4699" s="4" t="s">
        <v>32810</v>
      </c>
      <c r="D4699" s="4" t="s">
        <v>32811</v>
      </c>
      <c r="E4699" s="4" t="s">
        <v>32812</v>
      </c>
      <c r="F4699" s="4" t="s">
        <v>32813</v>
      </c>
      <c r="G4699" s="4" t="s">
        <v>32814</v>
      </c>
      <c r="H4699" s="6"/>
      <c r="I4699" s="6"/>
      <c r="J4699" s="6"/>
      <c r="K4699" s="6"/>
      <c r="L4699" s="6"/>
      <c r="M4699" s="6"/>
      <c r="N4699" s="6"/>
      <c r="O4699" s="6"/>
      <c r="P4699" s="6"/>
      <c r="Q4699" s="6"/>
      <c r="R4699" s="6"/>
      <c r="S4699" s="6"/>
      <c r="T4699" s="6"/>
      <c r="U4699" s="6"/>
      <c r="V4699" s="6"/>
      <c r="W4699" s="6"/>
      <c r="X4699" s="6"/>
      <c r="Y4699" s="6"/>
      <c r="Z4699" s="6"/>
      <c r="AA4699" s="6"/>
    </row>
    <row r="4700" ht="14.25">
      <c r="B4700" s="14" t="s">
        <v>32793</v>
      </c>
      <c r="C4700" s="4" t="s">
        <v>32806</v>
      </c>
      <c r="D4700" s="4" t="s">
        <v>32815</v>
      </c>
      <c r="E4700" s="4" t="s">
        <v>32808</v>
      </c>
      <c r="F4700" s="4" t="s">
        <v>32816</v>
      </c>
      <c r="G4700" s="4" t="s">
        <v>32817</v>
      </c>
      <c r="H4700" s="6"/>
      <c r="I4700" s="6"/>
      <c r="J4700" s="6"/>
      <c r="K4700" s="6"/>
      <c r="L4700" s="6"/>
      <c r="M4700" s="6"/>
      <c r="N4700" s="6"/>
      <c r="O4700" s="6"/>
      <c r="P4700" s="6"/>
      <c r="Q4700" s="6"/>
      <c r="R4700" s="6"/>
      <c r="S4700" s="6"/>
      <c r="T4700" s="6"/>
      <c r="U4700" s="6"/>
      <c r="V4700" s="6"/>
      <c r="W4700" s="6"/>
      <c r="X4700" s="6"/>
      <c r="Y4700" s="6"/>
      <c r="Z4700" s="6"/>
      <c r="AA4700" s="6"/>
    </row>
    <row r="4701" ht="14.25">
      <c r="B4701" s="14" t="s">
        <v>32793</v>
      </c>
      <c r="C4701" s="4" t="s">
        <v>32806</v>
      </c>
      <c r="D4701" s="4" t="s">
        <v>32818</v>
      </c>
      <c r="E4701" s="4" t="s">
        <v>32808</v>
      </c>
      <c r="F4701" s="4" t="s">
        <v>5111</v>
      </c>
      <c r="G4701" s="4" t="s">
        <v>32819</v>
      </c>
      <c r="H4701" s="6"/>
      <c r="I4701" s="6"/>
      <c r="J4701" s="6"/>
      <c r="K4701" s="6"/>
      <c r="L4701" s="6"/>
      <c r="M4701" s="6"/>
      <c r="N4701" s="6"/>
      <c r="O4701" s="6"/>
      <c r="P4701" s="6"/>
      <c r="Q4701" s="6"/>
      <c r="R4701" s="6"/>
      <c r="S4701" s="6"/>
      <c r="T4701" s="6"/>
      <c r="U4701" s="6"/>
      <c r="V4701" s="6"/>
      <c r="W4701" s="6"/>
      <c r="X4701" s="6"/>
      <c r="Y4701" s="6"/>
      <c r="Z4701" s="6"/>
      <c r="AA4701" s="6"/>
    </row>
    <row r="4702" ht="14.25">
      <c r="B4702" s="14" t="s">
        <v>32793</v>
      </c>
      <c r="C4702" s="4" t="s">
        <v>32810</v>
      </c>
      <c r="D4702" s="4" t="s">
        <v>32820</v>
      </c>
      <c r="E4702" s="4" t="s">
        <v>32812</v>
      </c>
      <c r="F4702" s="4" t="s">
        <v>32821</v>
      </c>
      <c r="G4702" s="4" t="s">
        <v>32814</v>
      </c>
      <c r="H4702" s="6"/>
      <c r="I4702" s="6"/>
      <c r="J4702" s="6"/>
      <c r="K4702" s="6"/>
      <c r="L4702" s="6"/>
      <c r="M4702" s="6"/>
      <c r="N4702" s="6"/>
      <c r="O4702" s="6"/>
      <c r="P4702" s="6"/>
      <c r="Q4702" s="6"/>
      <c r="R4702" s="6"/>
      <c r="S4702" s="6"/>
      <c r="T4702" s="6"/>
      <c r="U4702" s="6"/>
      <c r="V4702" s="6"/>
      <c r="W4702" s="6"/>
      <c r="X4702" s="6"/>
      <c r="Y4702" s="6"/>
      <c r="Z4702" s="6"/>
      <c r="AA4702" s="6"/>
    </row>
    <row r="4703" ht="14.25">
      <c r="B4703" s="14" t="s">
        <v>32793</v>
      </c>
      <c r="C4703" s="4" t="s">
        <v>32794</v>
      </c>
      <c r="D4703" s="4" t="s">
        <v>32822</v>
      </c>
      <c r="E4703" s="4" t="s">
        <v>32796</v>
      </c>
      <c r="F4703" s="4" t="s">
        <v>670</v>
      </c>
      <c r="G4703" s="4" t="s">
        <v>32797</v>
      </c>
      <c r="H4703" s="6"/>
      <c r="I4703" s="6"/>
      <c r="J4703" s="6"/>
      <c r="K4703" s="6"/>
      <c r="L4703" s="6"/>
      <c r="M4703" s="6"/>
      <c r="N4703" s="6"/>
      <c r="O4703" s="6"/>
      <c r="P4703" s="6"/>
      <c r="Q4703" s="6"/>
      <c r="R4703" s="6"/>
      <c r="S4703" s="6"/>
      <c r="T4703" s="6"/>
      <c r="U4703" s="6"/>
      <c r="V4703" s="6"/>
      <c r="W4703" s="6"/>
      <c r="X4703" s="6"/>
      <c r="Y4703" s="6"/>
      <c r="Z4703" s="6"/>
      <c r="AA4703" s="6"/>
    </row>
    <row r="4704" ht="14.25">
      <c r="B4704" s="14" t="s">
        <v>32823</v>
      </c>
      <c r="C4704" s="4" t="s">
        <v>32824</v>
      </c>
      <c r="D4704" s="4" t="s">
        <v>32825</v>
      </c>
      <c r="E4704" s="4" t="s">
        <v>32826</v>
      </c>
      <c r="F4704" s="4" t="s">
        <v>1387</v>
      </c>
      <c r="G4704" s="4" t="s">
        <v>32827</v>
      </c>
      <c r="H4704" s="6"/>
      <c r="I4704" s="6"/>
      <c r="J4704" s="6"/>
      <c r="K4704" s="6"/>
      <c r="L4704" s="6"/>
      <c r="M4704" s="6"/>
      <c r="N4704" s="6"/>
      <c r="O4704" s="6"/>
      <c r="P4704" s="6"/>
      <c r="Q4704" s="6"/>
      <c r="R4704" s="6"/>
      <c r="S4704" s="6"/>
      <c r="T4704" s="6"/>
      <c r="U4704" s="6"/>
      <c r="V4704" s="6"/>
      <c r="W4704" s="6"/>
      <c r="X4704" s="6"/>
      <c r="Y4704" s="6"/>
      <c r="Z4704" s="6"/>
      <c r="AA4704" s="6"/>
    </row>
    <row r="4705" ht="14.25">
      <c r="B4705" s="14" t="s">
        <v>32823</v>
      </c>
      <c r="C4705" s="4" t="s">
        <v>32828</v>
      </c>
      <c r="D4705" s="4" t="s">
        <v>32829</v>
      </c>
      <c r="E4705" s="4" t="s">
        <v>32830</v>
      </c>
      <c r="F4705" s="4" t="s">
        <v>32831</v>
      </c>
      <c r="G4705" s="4" t="s">
        <v>32832</v>
      </c>
      <c r="H4705" s="6"/>
      <c r="I4705" s="6"/>
      <c r="J4705" s="6"/>
      <c r="K4705" s="6"/>
      <c r="L4705" s="6"/>
      <c r="M4705" s="6"/>
      <c r="N4705" s="6"/>
      <c r="O4705" s="6"/>
      <c r="P4705" s="6"/>
      <c r="Q4705" s="6"/>
      <c r="R4705" s="6"/>
      <c r="S4705" s="6"/>
      <c r="T4705" s="6"/>
      <c r="U4705" s="6"/>
      <c r="V4705" s="6"/>
      <c r="W4705" s="6"/>
      <c r="X4705" s="6"/>
      <c r="Y4705" s="6"/>
      <c r="Z4705" s="6"/>
      <c r="AA4705" s="6"/>
    </row>
    <row r="4706" ht="14.25">
      <c r="B4706" s="14" t="s">
        <v>32823</v>
      </c>
      <c r="C4706" s="4" t="s">
        <v>32824</v>
      </c>
      <c r="D4706" s="4" t="s">
        <v>32833</v>
      </c>
      <c r="E4706" s="4" t="s">
        <v>32826</v>
      </c>
      <c r="F4706" s="4" t="s">
        <v>32831</v>
      </c>
      <c r="G4706" s="4" t="s">
        <v>32834</v>
      </c>
      <c r="H4706" s="6"/>
      <c r="I4706" s="6"/>
      <c r="J4706" s="6"/>
      <c r="K4706" s="6"/>
      <c r="L4706" s="6"/>
      <c r="M4706" s="6"/>
      <c r="N4706" s="6"/>
      <c r="O4706" s="6"/>
      <c r="P4706" s="6"/>
      <c r="Q4706" s="6"/>
      <c r="R4706" s="6"/>
      <c r="S4706" s="6"/>
      <c r="T4706" s="6"/>
      <c r="U4706" s="6"/>
      <c r="V4706" s="6"/>
      <c r="W4706" s="6"/>
      <c r="X4706" s="6"/>
      <c r="Y4706" s="6"/>
      <c r="Z4706" s="6"/>
      <c r="AA4706" s="6"/>
    </row>
    <row r="4707" ht="14.25">
      <c r="B4707" s="14" t="s">
        <v>32835</v>
      </c>
      <c r="C4707" s="4" t="s">
        <v>32836</v>
      </c>
      <c r="D4707" s="4" t="s">
        <v>32837</v>
      </c>
      <c r="E4707" s="6"/>
      <c r="F4707" s="4" t="s">
        <v>76</v>
      </c>
      <c r="G4707" s="4" t="s">
        <v>32838</v>
      </c>
      <c r="H4707" s="6"/>
      <c r="I4707" s="6"/>
      <c r="J4707" s="6"/>
      <c r="K4707" s="6"/>
      <c r="L4707" s="6"/>
      <c r="M4707" s="6"/>
      <c r="N4707" s="6"/>
      <c r="O4707" s="6"/>
      <c r="P4707" s="6"/>
      <c r="Q4707" s="6"/>
      <c r="R4707" s="6"/>
      <c r="S4707" s="6"/>
      <c r="T4707" s="6"/>
      <c r="U4707" s="6"/>
      <c r="V4707" s="6"/>
      <c r="W4707" s="6"/>
      <c r="X4707" s="6"/>
      <c r="Y4707" s="6"/>
      <c r="Z4707" s="6"/>
      <c r="AA4707" s="6"/>
    </row>
    <row r="4708" ht="14.25">
      <c r="B4708" s="14" t="s">
        <v>32839</v>
      </c>
      <c r="C4708" s="4" t="s">
        <v>32840</v>
      </c>
      <c r="D4708" s="4" t="s">
        <v>32841</v>
      </c>
      <c r="E4708" s="4" t="s">
        <v>32842</v>
      </c>
      <c r="F4708" s="4" t="s">
        <v>4236</v>
      </c>
      <c r="G4708" s="4" t="s">
        <v>32843</v>
      </c>
      <c r="H4708" s="6"/>
      <c r="I4708" s="6"/>
      <c r="J4708" s="6"/>
      <c r="K4708" s="6"/>
      <c r="L4708" s="6"/>
      <c r="M4708" s="6"/>
      <c r="N4708" s="6"/>
      <c r="O4708" s="6"/>
      <c r="P4708" s="6"/>
      <c r="Q4708" s="6"/>
      <c r="R4708" s="6"/>
      <c r="S4708" s="6"/>
      <c r="T4708" s="6"/>
      <c r="U4708" s="6"/>
      <c r="V4708" s="6"/>
      <c r="W4708" s="6"/>
      <c r="X4708" s="6"/>
      <c r="Y4708" s="6"/>
      <c r="Z4708" s="6"/>
      <c r="AA4708" s="6"/>
    </row>
    <row r="4709" ht="14.25">
      <c r="B4709" s="14" t="s">
        <v>32839</v>
      </c>
      <c r="C4709" s="4" t="s">
        <v>32840</v>
      </c>
      <c r="D4709" s="4" t="s">
        <v>32844</v>
      </c>
      <c r="E4709" s="4" t="s">
        <v>32842</v>
      </c>
      <c r="F4709" s="4" t="s">
        <v>630</v>
      </c>
      <c r="G4709" s="4" t="s">
        <v>32845</v>
      </c>
      <c r="H4709" s="6"/>
      <c r="I4709" s="6"/>
      <c r="J4709" s="6"/>
      <c r="K4709" s="6"/>
      <c r="L4709" s="6"/>
      <c r="M4709" s="6"/>
      <c r="N4709" s="6"/>
      <c r="O4709" s="6"/>
      <c r="P4709" s="6"/>
      <c r="Q4709" s="6"/>
      <c r="R4709" s="6"/>
      <c r="S4709" s="6"/>
      <c r="T4709" s="6"/>
      <c r="U4709" s="6"/>
      <c r="V4709" s="6"/>
      <c r="W4709" s="6"/>
      <c r="X4709" s="6"/>
      <c r="Y4709" s="6"/>
      <c r="Z4709" s="6"/>
      <c r="AA4709" s="6"/>
    </row>
    <row r="4710" ht="14.25">
      <c r="B4710" s="14" t="s">
        <v>32839</v>
      </c>
      <c r="C4710" s="4" t="s">
        <v>32840</v>
      </c>
      <c r="D4710" s="4" t="s">
        <v>32846</v>
      </c>
      <c r="E4710" s="4" t="s">
        <v>32842</v>
      </c>
      <c r="F4710" s="4" t="s">
        <v>785</v>
      </c>
      <c r="G4710" s="4" t="s">
        <v>32847</v>
      </c>
      <c r="H4710" s="6"/>
      <c r="I4710" s="6"/>
      <c r="J4710" s="6"/>
      <c r="K4710" s="6"/>
      <c r="L4710" s="6"/>
      <c r="M4710" s="6"/>
      <c r="N4710" s="6"/>
      <c r="O4710" s="6"/>
      <c r="P4710" s="6"/>
      <c r="Q4710" s="6"/>
      <c r="R4710" s="6"/>
      <c r="S4710" s="6"/>
      <c r="T4710" s="6"/>
      <c r="U4710" s="6"/>
      <c r="V4710" s="6"/>
      <c r="W4710" s="6"/>
      <c r="X4710" s="6"/>
      <c r="Y4710" s="6"/>
      <c r="Z4710" s="6"/>
      <c r="AA4710" s="6"/>
    </row>
    <row r="4711" ht="14.25">
      <c r="B4711" s="14" t="s">
        <v>32848</v>
      </c>
      <c r="C4711" s="4" t="s">
        <v>32849</v>
      </c>
      <c r="D4711" s="4" t="s">
        <v>32850</v>
      </c>
      <c r="E4711" s="6"/>
      <c r="F4711" s="4" t="s">
        <v>1732</v>
      </c>
      <c r="G4711" s="4" t="s">
        <v>32851</v>
      </c>
      <c r="H4711" s="6"/>
      <c r="I4711" s="6"/>
      <c r="J4711" s="6"/>
      <c r="K4711" s="6"/>
      <c r="L4711" s="6"/>
      <c r="M4711" s="6"/>
      <c r="N4711" s="6"/>
      <c r="O4711" s="6"/>
      <c r="P4711" s="6"/>
      <c r="Q4711" s="6"/>
      <c r="R4711" s="6"/>
      <c r="S4711" s="6"/>
      <c r="T4711" s="6"/>
      <c r="U4711" s="6"/>
      <c r="V4711" s="6"/>
      <c r="W4711" s="6"/>
      <c r="X4711" s="6"/>
      <c r="Y4711" s="6"/>
      <c r="Z4711" s="6"/>
      <c r="AA4711" s="6"/>
    </row>
    <row r="4712" ht="14.25">
      <c r="B4712" s="14" t="s">
        <v>32848</v>
      </c>
      <c r="C4712" s="4" t="s">
        <v>32852</v>
      </c>
      <c r="D4712" s="4" t="s">
        <v>32853</v>
      </c>
      <c r="E4712" s="6"/>
      <c r="F4712" s="4" t="s">
        <v>330</v>
      </c>
      <c r="G4712" s="4" t="s">
        <v>32854</v>
      </c>
      <c r="H4712" s="6"/>
      <c r="I4712" s="6"/>
      <c r="J4712" s="6"/>
      <c r="K4712" s="6"/>
      <c r="L4712" s="6"/>
      <c r="M4712" s="6"/>
      <c r="N4712" s="6"/>
      <c r="O4712" s="6"/>
      <c r="P4712" s="6"/>
      <c r="Q4712" s="6"/>
      <c r="R4712" s="6"/>
      <c r="S4712" s="6"/>
      <c r="T4712" s="6"/>
      <c r="U4712" s="6"/>
      <c r="V4712" s="6"/>
      <c r="W4712" s="6"/>
      <c r="X4712" s="6"/>
      <c r="Y4712" s="6"/>
      <c r="Z4712" s="6"/>
      <c r="AA4712" s="6"/>
    </row>
    <row r="4713" ht="14.25">
      <c r="B4713" s="14" t="s">
        <v>32855</v>
      </c>
      <c r="C4713" s="4" t="s">
        <v>32856</v>
      </c>
      <c r="D4713" s="4" t="s">
        <v>32857</v>
      </c>
      <c r="E4713" s="6"/>
      <c r="F4713" s="4" t="s">
        <v>32858</v>
      </c>
      <c r="G4713" s="4" t="s">
        <v>32859</v>
      </c>
      <c r="H4713" s="6"/>
      <c r="I4713" s="6"/>
      <c r="J4713" s="6"/>
      <c r="K4713" s="6"/>
      <c r="L4713" s="6"/>
      <c r="M4713" s="6"/>
      <c r="N4713" s="6"/>
      <c r="O4713" s="6"/>
      <c r="P4713" s="6"/>
      <c r="Q4713" s="6"/>
      <c r="R4713" s="6"/>
      <c r="S4713" s="6"/>
      <c r="T4713" s="6"/>
      <c r="U4713" s="6"/>
      <c r="V4713" s="6"/>
      <c r="W4713" s="6"/>
      <c r="X4713" s="6"/>
      <c r="Y4713" s="6"/>
      <c r="Z4713" s="6"/>
      <c r="AA4713" s="6"/>
    </row>
    <row r="4714" ht="14.25">
      <c r="B4714" s="14" t="s">
        <v>32860</v>
      </c>
      <c r="C4714" s="4" t="s">
        <v>32861</v>
      </c>
      <c r="D4714" s="4" t="s">
        <v>32862</v>
      </c>
      <c r="E4714" s="6"/>
      <c r="F4714" s="4" t="s">
        <v>222</v>
      </c>
      <c r="G4714" s="4" t="s">
        <v>32863</v>
      </c>
      <c r="H4714" s="6"/>
      <c r="I4714" s="6"/>
      <c r="J4714" s="6"/>
      <c r="K4714" s="6"/>
      <c r="L4714" s="6"/>
      <c r="M4714" s="6"/>
      <c r="N4714" s="6"/>
      <c r="O4714" s="6"/>
      <c r="P4714" s="6"/>
      <c r="Q4714" s="6"/>
      <c r="R4714" s="6"/>
      <c r="S4714" s="6"/>
      <c r="T4714" s="6"/>
      <c r="U4714" s="6"/>
      <c r="V4714" s="6"/>
      <c r="W4714" s="6"/>
      <c r="X4714" s="6"/>
      <c r="Y4714" s="6"/>
      <c r="Z4714" s="6"/>
      <c r="AA4714" s="6"/>
    </row>
    <row r="4715" ht="14.25">
      <c r="B4715" s="14" t="s">
        <v>32864</v>
      </c>
      <c r="C4715" s="4" t="s">
        <v>32865</v>
      </c>
      <c r="D4715" s="4" t="s">
        <v>32866</v>
      </c>
      <c r="E4715" s="4" t="s">
        <v>32867</v>
      </c>
      <c r="F4715" s="4" t="s">
        <v>330</v>
      </c>
      <c r="G4715" s="4" t="s">
        <v>32868</v>
      </c>
      <c r="H4715" s="6"/>
      <c r="I4715" s="6"/>
      <c r="J4715" s="6"/>
      <c r="K4715" s="6"/>
      <c r="L4715" s="6"/>
      <c r="M4715" s="6"/>
      <c r="N4715" s="6"/>
      <c r="O4715" s="6"/>
      <c r="P4715" s="6"/>
      <c r="Q4715" s="6"/>
      <c r="R4715" s="6"/>
      <c r="S4715" s="6"/>
      <c r="T4715" s="6"/>
      <c r="U4715" s="6"/>
      <c r="V4715" s="6"/>
      <c r="W4715" s="6"/>
      <c r="X4715" s="6"/>
      <c r="Y4715" s="6"/>
      <c r="Z4715" s="6"/>
      <c r="AA4715" s="6"/>
    </row>
    <row r="4716" ht="14.25">
      <c r="B4716" s="14" t="s">
        <v>32869</v>
      </c>
      <c r="C4716" s="4" t="s">
        <v>32870</v>
      </c>
      <c r="D4716" s="4" t="s">
        <v>32871</v>
      </c>
      <c r="E4716" s="4" t="s">
        <v>32872</v>
      </c>
      <c r="F4716" s="4" t="s">
        <v>20</v>
      </c>
      <c r="G4716" s="4" t="s">
        <v>32873</v>
      </c>
      <c r="H4716" s="6"/>
      <c r="I4716" s="6"/>
      <c r="J4716" s="6"/>
      <c r="K4716" s="6"/>
      <c r="L4716" s="6"/>
      <c r="M4716" s="6"/>
      <c r="N4716" s="6"/>
      <c r="O4716" s="6"/>
      <c r="P4716" s="6"/>
      <c r="Q4716" s="6"/>
      <c r="R4716" s="6"/>
      <c r="S4716" s="6"/>
      <c r="T4716" s="6"/>
      <c r="U4716" s="6"/>
      <c r="V4716" s="6"/>
      <c r="W4716" s="6"/>
      <c r="X4716" s="6"/>
      <c r="Y4716" s="6"/>
      <c r="Z4716" s="6"/>
      <c r="AA4716" s="6"/>
    </row>
    <row r="4717" ht="14.25">
      <c r="B4717" s="14" t="s">
        <v>32874</v>
      </c>
      <c r="C4717" s="4" t="s">
        <v>32875</v>
      </c>
      <c r="D4717" s="4" t="s">
        <v>32876</v>
      </c>
      <c r="E4717" s="4" t="s">
        <v>32877</v>
      </c>
      <c r="F4717" s="4" t="s">
        <v>8944</v>
      </c>
      <c r="G4717" s="4" t="s">
        <v>32878</v>
      </c>
      <c r="H4717" s="6"/>
      <c r="I4717" s="6"/>
      <c r="J4717" s="6"/>
      <c r="K4717" s="6"/>
      <c r="L4717" s="6"/>
      <c r="M4717" s="6"/>
      <c r="N4717" s="6"/>
      <c r="O4717" s="6"/>
      <c r="P4717" s="6"/>
      <c r="Q4717" s="6"/>
      <c r="R4717" s="6"/>
      <c r="S4717" s="6"/>
      <c r="T4717" s="6"/>
      <c r="U4717" s="6"/>
      <c r="V4717" s="6"/>
      <c r="W4717" s="6"/>
      <c r="X4717" s="6"/>
      <c r="Y4717" s="6"/>
      <c r="Z4717" s="6"/>
      <c r="AA4717" s="6"/>
    </row>
    <row r="4718" ht="14.25">
      <c r="B4718" s="14" t="s">
        <v>32874</v>
      </c>
      <c r="C4718" s="4" t="s">
        <v>32875</v>
      </c>
      <c r="D4718" s="4" t="s">
        <v>32879</v>
      </c>
      <c r="E4718" s="4" t="s">
        <v>32877</v>
      </c>
      <c r="F4718" s="4" t="s">
        <v>32880</v>
      </c>
      <c r="G4718" s="4" t="s">
        <v>32881</v>
      </c>
      <c r="H4718" s="6"/>
      <c r="I4718" s="6"/>
      <c r="J4718" s="6"/>
      <c r="K4718" s="6"/>
      <c r="L4718" s="6"/>
      <c r="M4718" s="6"/>
      <c r="N4718" s="6"/>
      <c r="O4718" s="6"/>
      <c r="P4718" s="6"/>
      <c r="Q4718" s="6"/>
      <c r="R4718" s="6"/>
      <c r="S4718" s="6"/>
      <c r="T4718" s="6"/>
      <c r="U4718" s="6"/>
      <c r="V4718" s="6"/>
      <c r="W4718" s="6"/>
      <c r="X4718" s="6"/>
      <c r="Y4718" s="6"/>
      <c r="Z4718" s="6"/>
      <c r="AA4718" s="6"/>
    </row>
    <row r="4719" ht="14.25">
      <c r="B4719" s="14" t="s">
        <v>32882</v>
      </c>
      <c r="C4719" s="4" t="s">
        <v>32883</v>
      </c>
      <c r="D4719" s="4" t="s">
        <v>32884</v>
      </c>
      <c r="E4719" s="4" t="s">
        <v>32885</v>
      </c>
      <c r="F4719" s="4" t="s">
        <v>670</v>
      </c>
      <c r="G4719" s="4" t="s">
        <v>32886</v>
      </c>
      <c r="H4719" s="6"/>
      <c r="I4719" s="6"/>
      <c r="J4719" s="6"/>
      <c r="K4719" s="6"/>
      <c r="L4719" s="6"/>
      <c r="M4719" s="6"/>
      <c r="N4719" s="6"/>
      <c r="O4719" s="6"/>
      <c r="P4719" s="6"/>
      <c r="Q4719" s="6"/>
      <c r="R4719" s="6"/>
      <c r="S4719" s="6"/>
      <c r="T4719" s="6"/>
      <c r="U4719" s="6"/>
      <c r="V4719" s="6"/>
      <c r="W4719" s="6"/>
      <c r="X4719" s="6"/>
      <c r="Y4719" s="6"/>
      <c r="Z4719" s="6"/>
      <c r="AA4719" s="6"/>
    </row>
    <row r="4720" ht="14.25">
      <c r="B4720" s="14" t="s">
        <v>32887</v>
      </c>
      <c r="C4720" s="4" t="s">
        <v>32888</v>
      </c>
      <c r="D4720" s="4" t="s">
        <v>32889</v>
      </c>
      <c r="E4720" s="4" t="s">
        <v>32890</v>
      </c>
      <c r="F4720" s="4" t="s">
        <v>32891</v>
      </c>
      <c r="G4720" s="4" t="s">
        <v>32892</v>
      </c>
      <c r="H4720" s="6"/>
      <c r="I4720" s="6"/>
      <c r="J4720" s="6"/>
      <c r="K4720" s="6"/>
      <c r="L4720" s="6"/>
      <c r="M4720" s="6"/>
      <c r="N4720" s="6"/>
      <c r="O4720" s="6"/>
      <c r="P4720" s="6"/>
      <c r="Q4720" s="6"/>
      <c r="R4720" s="6"/>
      <c r="S4720" s="6"/>
      <c r="T4720" s="6"/>
      <c r="U4720" s="6"/>
      <c r="V4720" s="6"/>
      <c r="W4720" s="6"/>
      <c r="X4720" s="6"/>
      <c r="Y4720" s="6"/>
      <c r="Z4720" s="6"/>
      <c r="AA4720" s="6"/>
    </row>
    <row r="4721" ht="14.25">
      <c r="B4721" s="14" t="s">
        <v>32887</v>
      </c>
      <c r="C4721" s="4" t="s">
        <v>32893</v>
      </c>
      <c r="D4721" s="4" t="s">
        <v>32894</v>
      </c>
      <c r="E4721" s="4" t="s">
        <v>32895</v>
      </c>
      <c r="F4721" s="4" t="s">
        <v>679</v>
      </c>
      <c r="G4721" s="4" t="s">
        <v>32896</v>
      </c>
      <c r="H4721" s="6"/>
      <c r="I4721" s="6"/>
      <c r="J4721" s="6"/>
      <c r="K4721" s="6"/>
      <c r="L4721" s="6"/>
      <c r="M4721" s="6"/>
      <c r="N4721" s="6"/>
      <c r="O4721" s="6"/>
      <c r="P4721" s="6"/>
      <c r="Q4721" s="6"/>
      <c r="R4721" s="6"/>
      <c r="S4721" s="6"/>
      <c r="T4721" s="6"/>
      <c r="U4721" s="6"/>
      <c r="V4721" s="6"/>
      <c r="W4721" s="6"/>
      <c r="X4721" s="6"/>
      <c r="Y4721" s="6"/>
      <c r="Z4721" s="6"/>
      <c r="AA4721" s="6"/>
    </row>
    <row r="4722" ht="14.25">
      <c r="B4722" s="14" t="s">
        <v>32887</v>
      </c>
      <c r="C4722" s="4" t="s">
        <v>32888</v>
      </c>
      <c r="D4722" s="4" t="s">
        <v>32897</v>
      </c>
      <c r="E4722" s="4" t="s">
        <v>32890</v>
      </c>
      <c r="F4722" s="4" t="s">
        <v>18475</v>
      </c>
      <c r="G4722" s="4" t="s">
        <v>32898</v>
      </c>
      <c r="H4722" s="6"/>
      <c r="I4722" s="6"/>
      <c r="J4722" s="6"/>
      <c r="K4722" s="6"/>
      <c r="L4722" s="6"/>
      <c r="M4722" s="6"/>
      <c r="N4722" s="6"/>
      <c r="O4722" s="6"/>
      <c r="P4722" s="6"/>
      <c r="Q4722" s="6"/>
      <c r="R4722" s="6"/>
      <c r="S4722" s="6"/>
      <c r="T4722" s="6"/>
      <c r="U4722" s="6"/>
      <c r="V4722" s="6"/>
      <c r="W4722" s="6"/>
      <c r="X4722" s="6"/>
      <c r="Y4722" s="6"/>
      <c r="Z4722" s="6"/>
      <c r="AA4722" s="6"/>
    </row>
    <row r="4723" ht="14.25">
      <c r="B4723" s="14" t="s">
        <v>32899</v>
      </c>
      <c r="C4723" s="4" t="s">
        <v>32900</v>
      </c>
      <c r="D4723" s="4" t="s">
        <v>32901</v>
      </c>
      <c r="E4723" s="6"/>
      <c r="F4723" s="4" t="s">
        <v>222</v>
      </c>
      <c r="G4723" s="4" t="s">
        <v>32902</v>
      </c>
      <c r="H4723" s="6"/>
      <c r="I4723" s="6"/>
      <c r="J4723" s="6"/>
      <c r="K4723" s="6"/>
      <c r="L4723" s="6"/>
      <c r="M4723" s="6"/>
      <c r="N4723" s="6"/>
      <c r="O4723" s="6"/>
      <c r="P4723" s="6"/>
      <c r="Q4723" s="6"/>
      <c r="R4723" s="6"/>
      <c r="S4723" s="6"/>
      <c r="T4723" s="6"/>
      <c r="U4723" s="6"/>
      <c r="V4723" s="6"/>
      <c r="W4723" s="6"/>
      <c r="X4723" s="6"/>
      <c r="Y4723" s="6"/>
      <c r="Z4723" s="6"/>
      <c r="AA4723" s="6"/>
    </row>
    <row r="4724" ht="14.25">
      <c r="B4724" s="14" t="s">
        <v>32903</v>
      </c>
      <c r="C4724" s="4" t="s">
        <v>32904</v>
      </c>
      <c r="D4724" s="4" t="s">
        <v>32905</v>
      </c>
      <c r="E4724" s="4" t="s">
        <v>32906</v>
      </c>
      <c r="F4724" s="4" t="s">
        <v>330</v>
      </c>
      <c r="G4724" s="4" t="s">
        <v>32907</v>
      </c>
      <c r="H4724" s="6"/>
      <c r="I4724" s="6"/>
      <c r="J4724" s="6"/>
      <c r="K4724" s="6"/>
      <c r="L4724" s="6"/>
      <c r="M4724" s="6"/>
      <c r="N4724" s="6"/>
      <c r="O4724" s="6"/>
      <c r="P4724" s="6"/>
      <c r="Q4724" s="6"/>
      <c r="R4724" s="6"/>
      <c r="S4724" s="6"/>
      <c r="T4724" s="6"/>
      <c r="U4724" s="6"/>
      <c r="V4724" s="6"/>
      <c r="W4724" s="6"/>
      <c r="X4724" s="6"/>
      <c r="Y4724" s="6"/>
      <c r="Z4724" s="6"/>
      <c r="AA4724" s="6"/>
    </row>
    <row r="4725" ht="14.25">
      <c r="B4725" s="14" t="s">
        <v>32903</v>
      </c>
      <c r="C4725" s="4" t="s">
        <v>32904</v>
      </c>
      <c r="D4725" s="4" t="s">
        <v>32908</v>
      </c>
      <c r="E4725" s="4" t="s">
        <v>32906</v>
      </c>
      <c r="F4725" s="4" t="s">
        <v>20</v>
      </c>
      <c r="G4725" s="4" t="s">
        <v>32909</v>
      </c>
      <c r="H4725" s="6"/>
      <c r="I4725" s="6"/>
      <c r="J4725" s="6"/>
      <c r="K4725" s="6"/>
      <c r="L4725" s="6"/>
      <c r="M4725" s="6"/>
      <c r="N4725" s="6"/>
      <c r="O4725" s="6"/>
      <c r="P4725" s="6"/>
      <c r="Q4725" s="6"/>
      <c r="R4725" s="6"/>
      <c r="S4725" s="6"/>
      <c r="T4725" s="6"/>
      <c r="U4725" s="6"/>
      <c r="V4725" s="6"/>
      <c r="W4725" s="6"/>
      <c r="X4725" s="6"/>
      <c r="Y4725" s="6"/>
      <c r="Z4725" s="6"/>
      <c r="AA4725" s="6"/>
    </row>
    <row r="4726" ht="14.25">
      <c r="B4726" s="14" t="s">
        <v>32903</v>
      </c>
      <c r="C4726" s="4" t="s">
        <v>32904</v>
      </c>
      <c r="D4726" s="4" t="s">
        <v>32910</v>
      </c>
      <c r="E4726" s="4" t="s">
        <v>32906</v>
      </c>
      <c r="F4726" s="4" t="s">
        <v>26223</v>
      </c>
      <c r="G4726" s="4" t="s">
        <v>32911</v>
      </c>
      <c r="H4726" s="6"/>
      <c r="I4726" s="6"/>
      <c r="J4726" s="6"/>
      <c r="K4726" s="6"/>
      <c r="L4726" s="6"/>
      <c r="M4726" s="6"/>
      <c r="N4726" s="6"/>
      <c r="O4726" s="6"/>
      <c r="P4726" s="6"/>
      <c r="Q4726" s="6"/>
      <c r="R4726" s="6"/>
      <c r="S4726" s="6"/>
      <c r="T4726" s="6"/>
      <c r="U4726" s="6"/>
      <c r="V4726" s="6"/>
      <c r="W4726" s="6"/>
      <c r="X4726" s="6"/>
      <c r="Y4726" s="6"/>
      <c r="Z4726" s="6"/>
      <c r="AA4726" s="6"/>
    </row>
    <row r="4727" ht="14.25">
      <c r="B4727" s="14" t="s">
        <v>32903</v>
      </c>
      <c r="C4727" s="4" t="s">
        <v>32904</v>
      </c>
      <c r="D4727" s="4" t="s">
        <v>32912</v>
      </c>
      <c r="E4727" s="4" t="s">
        <v>32906</v>
      </c>
      <c r="F4727" s="4" t="s">
        <v>32579</v>
      </c>
      <c r="G4727" s="4" t="s">
        <v>32913</v>
      </c>
      <c r="H4727" s="6"/>
      <c r="I4727" s="6"/>
      <c r="J4727" s="6"/>
      <c r="K4727" s="6"/>
      <c r="L4727" s="6"/>
      <c r="M4727" s="6"/>
      <c r="N4727" s="6"/>
      <c r="O4727" s="6"/>
      <c r="P4727" s="6"/>
      <c r="Q4727" s="6"/>
      <c r="R4727" s="6"/>
      <c r="S4727" s="6"/>
      <c r="T4727" s="6"/>
      <c r="U4727" s="6"/>
      <c r="V4727" s="6"/>
      <c r="W4727" s="6"/>
      <c r="X4727" s="6"/>
      <c r="Y4727" s="6"/>
      <c r="Z4727" s="6"/>
      <c r="AA4727" s="6"/>
    </row>
    <row r="4728" ht="14.25">
      <c r="B4728" s="14" t="s">
        <v>32903</v>
      </c>
      <c r="C4728" s="4" t="s">
        <v>32904</v>
      </c>
      <c r="D4728" s="4" t="s">
        <v>32914</v>
      </c>
      <c r="E4728" s="4" t="s">
        <v>32906</v>
      </c>
      <c r="F4728" s="4" t="s">
        <v>2419</v>
      </c>
      <c r="G4728" s="4" t="s">
        <v>32594</v>
      </c>
      <c r="H4728" s="6"/>
      <c r="I4728" s="6"/>
      <c r="J4728" s="6"/>
      <c r="K4728" s="6"/>
      <c r="L4728" s="6"/>
      <c r="M4728" s="6"/>
      <c r="N4728" s="6"/>
      <c r="O4728" s="6"/>
      <c r="P4728" s="6"/>
      <c r="Q4728" s="6"/>
      <c r="R4728" s="6"/>
      <c r="S4728" s="6"/>
      <c r="T4728" s="6"/>
      <c r="U4728" s="6"/>
      <c r="V4728" s="6"/>
      <c r="W4728" s="6"/>
      <c r="X4728" s="6"/>
      <c r="Y4728" s="6"/>
      <c r="Z4728" s="6"/>
      <c r="AA4728" s="6"/>
    </row>
    <row r="4729" ht="14.25">
      <c r="B4729" s="14" t="s">
        <v>32903</v>
      </c>
      <c r="C4729" s="4" t="s">
        <v>32904</v>
      </c>
      <c r="D4729" s="4" t="s">
        <v>32915</v>
      </c>
      <c r="E4729" s="4" t="s">
        <v>32906</v>
      </c>
      <c r="F4729" s="4" t="s">
        <v>6923</v>
      </c>
      <c r="G4729" s="4" t="s">
        <v>32916</v>
      </c>
      <c r="H4729" s="6"/>
      <c r="I4729" s="6"/>
      <c r="J4729" s="6"/>
      <c r="K4729" s="6"/>
      <c r="L4729" s="6"/>
      <c r="M4729" s="6"/>
      <c r="N4729" s="6"/>
      <c r="O4729" s="6"/>
      <c r="P4729" s="6"/>
      <c r="Q4729" s="6"/>
      <c r="R4729" s="6"/>
      <c r="S4729" s="6"/>
      <c r="T4729" s="6"/>
      <c r="U4729" s="6"/>
      <c r="V4729" s="6"/>
      <c r="W4729" s="6"/>
      <c r="X4729" s="6"/>
      <c r="Y4729" s="6"/>
      <c r="Z4729" s="6"/>
      <c r="AA4729" s="6"/>
    </row>
    <row r="4730" ht="14.25">
      <c r="B4730" s="14" t="s">
        <v>32917</v>
      </c>
      <c r="C4730" s="4" t="s">
        <v>32918</v>
      </c>
      <c r="D4730" s="4" t="s">
        <v>32919</v>
      </c>
      <c r="E4730" s="6"/>
      <c r="F4730" s="4" t="s">
        <v>355</v>
      </c>
      <c r="G4730" s="4" t="s">
        <v>32920</v>
      </c>
      <c r="H4730" s="6"/>
      <c r="I4730" s="6"/>
      <c r="J4730" s="6"/>
      <c r="K4730" s="6"/>
      <c r="L4730" s="6"/>
      <c r="M4730" s="6"/>
      <c r="N4730" s="6"/>
      <c r="O4730" s="6"/>
      <c r="P4730" s="6"/>
      <c r="Q4730" s="6"/>
      <c r="R4730" s="6"/>
      <c r="S4730" s="6"/>
      <c r="T4730" s="6"/>
      <c r="U4730" s="6"/>
      <c r="V4730" s="6"/>
      <c r="W4730" s="6"/>
      <c r="X4730" s="6"/>
      <c r="Y4730" s="6"/>
      <c r="Z4730" s="6"/>
      <c r="AA4730" s="6"/>
    </row>
    <row r="4731" ht="14.25">
      <c r="B4731" s="14" t="s">
        <v>32921</v>
      </c>
      <c r="C4731" s="4" t="s">
        <v>32922</v>
      </c>
      <c r="D4731" s="4" t="s">
        <v>32923</v>
      </c>
      <c r="E4731" s="4" t="s">
        <v>32924</v>
      </c>
      <c r="F4731" s="4" t="s">
        <v>279</v>
      </c>
      <c r="G4731" s="4" t="s">
        <v>32925</v>
      </c>
      <c r="H4731" s="6"/>
      <c r="I4731" s="6"/>
      <c r="J4731" s="6"/>
      <c r="K4731" s="6"/>
      <c r="L4731" s="6"/>
      <c r="M4731" s="6"/>
      <c r="N4731" s="6"/>
      <c r="O4731" s="6"/>
      <c r="P4731" s="6"/>
      <c r="Q4731" s="6"/>
      <c r="R4731" s="6"/>
      <c r="S4731" s="6"/>
      <c r="T4731" s="6"/>
      <c r="U4731" s="6"/>
      <c r="V4731" s="6"/>
      <c r="W4731" s="6"/>
      <c r="X4731" s="6"/>
      <c r="Y4731" s="6"/>
      <c r="Z4731" s="6"/>
      <c r="AA4731" s="6"/>
    </row>
    <row r="4732" ht="14.25">
      <c r="B4732" s="14" t="s">
        <v>32926</v>
      </c>
      <c r="C4732" s="4" t="s">
        <v>32927</v>
      </c>
      <c r="D4732" s="4" t="s">
        <v>32928</v>
      </c>
      <c r="E4732" s="4" t="s">
        <v>32929</v>
      </c>
      <c r="F4732" s="4" t="s">
        <v>32930</v>
      </c>
      <c r="G4732" s="4" t="s">
        <v>32931</v>
      </c>
      <c r="H4732" s="6"/>
      <c r="I4732" s="6"/>
      <c r="J4732" s="6"/>
      <c r="K4732" s="6"/>
      <c r="L4732" s="6"/>
      <c r="M4732" s="6"/>
      <c r="N4732" s="6"/>
      <c r="O4732" s="6"/>
      <c r="P4732" s="6"/>
      <c r="Q4732" s="6"/>
      <c r="R4732" s="6"/>
      <c r="S4732" s="6"/>
      <c r="T4732" s="6"/>
      <c r="U4732" s="6"/>
      <c r="V4732" s="6"/>
      <c r="W4732" s="6"/>
      <c r="X4732" s="6"/>
      <c r="Y4732" s="6"/>
      <c r="Z4732" s="6"/>
      <c r="AA4732" s="6"/>
    </row>
    <row r="4733" ht="14.25">
      <c r="B4733" s="14" t="s">
        <v>32926</v>
      </c>
      <c r="C4733" s="4" t="s">
        <v>32927</v>
      </c>
      <c r="D4733" s="4" t="s">
        <v>32929</v>
      </c>
      <c r="E4733" s="6"/>
      <c r="F4733" s="4" t="s">
        <v>579</v>
      </c>
      <c r="G4733" s="4" t="s">
        <v>32932</v>
      </c>
      <c r="H4733" s="6"/>
      <c r="I4733" s="6"/>
      <c r="J4733" s="6"/>
      <c r="K4733" s="6"/>
      <c r="L4733" s="6"/>
      <c r="M4733" s="6"/>
      <c r="N4733" s="6"/>
      <c r="O4733" s="6"/>
      <c r="P4733" s="6"/>
      <c r="Q4733" s="6"/>
      <c r="R4733" s="6"/>
      <c r="S4733" s="6"/>
      <c r="T4733" s="6"/>
      <c r="U4733" s="6"/>
      <c r="V4733" s="6"/>
      <c r="W4733" s="6"/>
      <c r="X4733" s="6"/>
      <c r="Y4733" s="6"/>
      <c r="Z4733" s="6"/>
      <c r="AA4733" s="6"/>
    </row>
    <row r="4734" ht="14.25">
      <c r="B4734" s="14" t="s">
        <v>32926</v>
      </c>
      <c r="C4734" s="4" t="s">
        <v>32927</v>
      </c>
      <c r="D4734" s="4" t="s">
        <v>32929</v>
      </c>
      <c r="E4734" s="6"/>
      <c r="F4734" s="4" t="s">
        <v>3019</v>
      </c>
      <c r="G4734" s="4" t="s">
        <v>32933</v>
      </c>
      <c r="H4734" s="6"/>
      <c r="I4734" s="6"/>
      <c r="J4734" s="6"/>
      <c r="K4734" s="6"/>
      <c r="L4734" s="6"/>
      <c r="M4734" s="6"/>
      <c r="N4734" s="6"/>
      <c r="O4734" s="6"/>
      <c r="P4734" s="6"/>
      <c r="Q4734" s="6"/>
      <c r="R4734" s="6"/>
      <c r="S4734" s="6"/>
      <c r="T4734" s="6"/>
      <c r="U4734" s="6"/>
      <c r="V4734" s="6"/>
      <c r="W4734" s="6"/>
      <c r="X4734" s="6"/>
      <c r="Y4734" s="6"/>
      <c r="Z4734" s="6"/>
      <c r="AA4734" s="6"/>
    </row>
    <row r="4735" ht="14.25">
      <c r="B4735" s="14" t="s">
        <v>32934</v>
      </c>
      <c r="C4735" s="4" t="s">
        <v>32935</v>
      </c>
      <c r="D4735" s="4" t="s">
        <v>32936</v>
      </c>
      <c r="E4735" s="4" t="s">
        <v>32937</v>
      </c>
      <c r="F4735" s="4" t="s">
        <v>32938</v>
      </c>
      <c r="G4735" s="4" t="s">
        <v>32939</v>
      </c>
      <c r="H4735" s="6"/>
      <c r="I4735" s="6"/>
      <c r="J4735" s="6"/>
      <c r="K4735" s="6"/>
      <c r="L4735" s="6"/>
      <c r="M4735" s="6"/>
      <c r="N4735" s="6"/>
      <c r="O4735" s="6"/>
      <c r="P4735" s="6"/>
      <c r="Q4735" s="6"/>
      <c r="R4735" s="6"/>
      <c r="S4735" s="6"/>
      <c r="T4735" s="6"/>
      <c r="U4735" s="6"/>
      <c r="V4735" s="6"/>
      <c r="W4735" s="6"/>
      <c r="X4735" s="6"/>
      <c r="Y4735" s="6"/>
      <c r="Z4735" s="6"/>
      <c r="AA4735" s="6"/>
    </row>
    <row r="4736" ht="14.25">
      <c r="B4736" s="14" t="s">
        <v>32934</v>
      </c>
      <c r="C4736" s="4" t="s">
        <v>32935</v>
      </c>
      <c r="D4736" s="4" t="s">
        <v>32940</v>
      </c>
      <c r="E4736" s="4" t="s">
        <v>32937</v>
      </c>
      <c r="F4736" s="4" t="s">
        <v>2436</v>
      </c>
      <c r="G4736" s="4" t="s">
        <v>32941</v>
      </c>
      <c r="H4736" s="6"/>
      <c r="I4736" s="6"/>
      <c r="J4736" s="6"/>
      <c r="K4736" s="6"/>
      <c r="L4736" s="6"/>
      <c r="M4736" s="6"/>
      <c r="N4736" s="6"/>
      <c r="O4736" s="6"/>
      <c r="P4736" s="6"/>
      <c r="Q4736" s="6"/>
      <c r="R4736" s="6"/>
      <c r="S4736" s="6"/>
      <c r="T4736" s="6"/>
      <c r="U4736" s="6"/>
      <c r="V4736" s="6"/>
      <c r="W4736" s="6"/>
      <c r="X4736" s="6"/>
      <c r="Y4736" s="6"/>
      <c r="Z4736" s="6"/>
      <c r="AA4736" s="6"/>
    </row>
    <row r="4737" ht="14.25">
      <c r="B4737" s="14" t="s">
        <v>32942</v>
      </c>
      <c r="C4737" s="4" t="s">
        <v>32943</v>
      </c>
      <c r="D4737" s="4" t="s">
        <v>32944</v>
      </c>
      <c r="E4737" s="4" t="s">
        <v>32945</v>
      </c>
      <c r="F4737" s="4" t="s">
        <v>768</v>
      </c>
      <c r="G4737" s="4" t="s">
        <v>32946</v>
      </c>
      <c r="H4737" s="6"/>
      <c r="I4737" s="6"/>
      <c r="J4737" s="6"/>
      <c r="K4737" s="6"/>
      <c r="L4737" s="6"/>
      <c r="M4737" s="6"/>
      <c r="N4737" s="6"/>
      <c r="O4737" s="6"/>
      <c r="P4737" s="6"/>
      <c r="Q4737" s="6"/>
      <c r="R4737" s="6"/>
      <c r="S4737" s="6"/>
      <c r="T4737" s="6"/>
      <c r="U4737" s="6"/>
      <c r="V4737" s="6"/>
      <c r="W4737" s="6"/>
      <c r="X4737" s="6"/>
      <c r="Y4737" s="6"/>
      <c r="Z4737" s="6"/>
      <c r="AA4737" s="6"/>
    </row>
    <row r="4738" ht="14.25">
      <c r="B4738" s="14" t="s">
        <v>32942</v>
      </c>
      <c r="C4738" s="4" t="s">
        <v>32947</v>
      </c>
      <c r="D4738" s="4" t="s">
        <v>32948</v>
      </c>
      <c r="E4738" s="6"/>
      <c r="F4738" s="4" t="s">
        <v>1153</v>
      </c>
      <c r="G4738" s="4" t="s">
        <v>32949</v>
      </c>
      <c r="H4738" s="6"/>
      <c r="I4738" s="6"/>
      <c r="J4738" s="6"/>
      <c r="K4738" s="6"/>
      <c r="L4738" s="6"/>
      <c r="M4738" s="6"/>
      <c r="N4738" s="6"/>
      <c r="O4738" s="6"/>
      <c r="P4738" s="6"/>
      <c r="Q4738" s="6"/>
      <c r="R4738" s="6"/>
      <c r="S4738" s="6"/>
      <c r="T4738" s="6"/>
      <c r="U4738" s="6"/>
      <c r="V4738" s="6"/>
      <c r="W4738" s="6"/>
      <c r="X4738" s="6"/>
      <c r="Y4738" s="6"/>
      <c r="Z4738" s="6"/>
      <c r="AA4738" s="6"/>
    </row>
    <row r="4739" ht="14.25">
      <c r="B4739" s="14" t="s">
        <v>32942</v>
      </c>
      <c r="C4739" s="4" t="s">
        <v>32943</v>
      </c>
      <c r="D4739" s="4" t="s">
        <v>32945</v>
      </c>
      <c r="E4739" s="6"/>
      <c r="F4739" s="4" t="s">
        <v>710</v>
      </c>
      <c r="G4739" s="4" t="s">
        <v>32950</v>
      </c>
      <c r="H4739" s="6"/>
      <c r="I4739" s="6"/>
      <c r="J4739" s="6"/>
      <c r="K4739" s="6"/>
      <c r="L4739" s="6"/>
      <c r="M4739" s="6"/>
      <c r="N4739" s="6"/>
      <c r="O4739" s="6"/>
      <c r="P4739" s="6"/>
      <c r="Q4739" s="6"/>
      <c r="R4739" s="6"/>
      <c r="S4739" s="6"/>
      <c r="T4739" s="6"/>
      <c r="U4739" s="6"/>
      <c r="V4739" s="6"/>
      <c r="W4739" s="6"/>
      <c r="X4739" s="6"/>
      <c r="Y4739" s="6"/>
      <c r="Z4739" s="6"/>
      <c r="AA4739" s="6"/>
    </row>
    <row r="4740" ht="14.25">
      <c r="B4740" s="14" t="s">
        <v>32942</v>
      </c>
      <c r="C4740" s="4" t="s">
        <v>32951</v>
      </c>
      <c r="D4740" s="4" t="s">
        <v>32952</v>
      </c>
      <c r="E4740" s="4" t="s">
        <v>32953</v>
      </c>
      <c r="F4740" s="4" t="s">
        <v>6243</v>
      </c>
      <c r="G4740" s="4" t="s">
        <v>32954</v>
      </c>
      <c r="H4740" s="6"/>
      <c r="I4740" s="6"/>
      <c r="J4740" s="6"/>
      <c r="K4740" s="6"/>
      <c r="L4740" s="6"/>
      <c r="M4740" s="6"/>
      <c r="N4740" s="6"/>
      <c r="O4740" s="6"/>
      <c r="P4740" s="6"/>
      <c r="Q4740" s="6"/>
      <c r="R4740" s="6"/>
      <c r="S4740" s="6"/>
      <c r="T4740" s="6"/>
      <c r="U4740" s="6"/>
      <c r="V4740" s="6"/>
      <c r="W4740" s="6"/>
      <c r="X4740" s="6"/>
      <c r="Y4740" s="6"/>
      <c r="Z4740" s="6"/>
      <c r="AA4740" s="6"/>
    </row>
    <row r="4741" ht="14.25">
      <c r="B4741" s="14" t="s">
        <v>32942</v>
      </c>
      <c r="C4741" s="4" t="s">
        <v>32947</v>
      </c>
      <c r="D4741" s="4" t="s">
        <v>32955</v>
      </c>
      <c r="E4741" s="4" t="s">
        <v>32948</v>
      </c>
      <c r="F4741" s="4" t="s">
        <v>5579</v>
      </c>
      <c r="G4741" s="4" t="s">
        <v>32956</v>
      </c>
      <c r="H4741" s="6"/>
      <c r="I4741" s="6"/>
      <c r="J4741" s="6"/>
      <c r="K4741" s="6"/>
      <c r="L4741" s="6"/>
      <c r="M4741" s="6"/>
      <c r="N4741" s="6"/>
      <c r="O4741" s="6"/>
      <c r="P4741" s="6"/>
      <c r="Q4741" s="6"/>
      <c r="R4741" s="6"/>
      <c r="S4741" s="6"/>
      <c r="T4741" s="6"/>
      <c r="U4741" s="6"/>
      <c r="V4741" s="6"/>
      <c r="W4741" s="6"/>
      <c r="X4741" s="6"/>
      <c r="Y4741" s="6"/>
      <c r="Z4741" s="6"/>
      <c r="AA4741" s="6"/>
    </row>
    <row r="4742" ht="14.25">
      <c r="B4742" s="14" t="s">
        <v>32942</v>
      </c>
      <c r="C4742" s="4" t="s">
        <v>32947</v>
      </c>
      <c r="D4742" s="4" t="s">
        <v>32957</v>
      </c>
      <c r="E4742" s="4" t="s">
        <v>32948</v>
      </c>
      <c r="F4742" s="4" t="s">
        <v>32958</v>
      </c>
      <c r="G4742" s="4" t="s">
        <v>32956</v>
      </c>
      <c r="H4742" s="6"/>
      <c r="I4742" s="6"/>
      <c r="J4742" s="6"/>
      <c r="K4742" s="6"/>
      <c r="L4742" s="6"/>
      <c r="M4742" s="6"/>
      <c r="N4742" s="6"/>
      <c r="O4742" s="6"/>
      <c r="P4742" s="6"/>
      <c r="Q4742" s="6"/>
      <c r="R4742" s="6"/>
      <c r="S4742" s="6"/>
      <c r="T4742" s="6"/>
      <c r="U4742" s="6"/>
      <c r="V4742" s="6"/>
      <c r="W4742" s="6"/>
      <c r="X4742" s="6"/>
      <c r="Y4742" s="6"/>
      <c r="Z4742" s="6"/>
      <c r="AA4742" s="6"/>
    </row>
    <row r="4743" ht="14.25">
      <c r="B4743" s="14" t="s">
        <v>32959</v>
      </c>
      <c r="C4743" s="4" t="s">
        <v>32960</v>
      </c>
      <c r="D4743" s="4" t="s">
        <v>32961</v>
      </c>
      <c r="E4743" s="4" t="s">
        <v>32962</v>
      </c>
      <c r="F4743" s="4" t="s">
        <v>743</v>
      </c>
      <c r="G4743" s="4" t="s">
        <v>32963</v>
      </c>
      <c r="H4743" s="6"/>
      <c r="I4743" s="6"/>
      <c r="J4743" s="6"/>
      <c r="K4743" s="6"/>
      <c r="L4743" s="6"/>
      <c r="M4743" s="6"/>
      <c r="N4743" s="6"/>
      <c r="O4743" s="6"/>
      <c r="P4743" s="6"/>
      <c r="Q4743" s="6"/>
      <c r="R4743" s="6"/>
      <c r="S4743" s="6"/>
      <c r="T4743" s="6"/>
      <c r="U4743" s="6"/>
      <c r="V4743" s="6"/>
      <c r="W4743" s="6"/>
      <c r="X4743" s="6"/>
      <c r="Y4743" s="6"/>
      <c r="Z4743" s="6"/>
      <c r="AA4743" s="6"/>
    </row>
    <row r="4744" ht="14.25">
      <c r="B4744" s="14" t="s">
        <v>32959</v>
      </c>
      <c r="C4744" s="4" t="s">
        <v>32964</v>
      </c>
      <c r="D4744" s="4" t="s">
        <v>32965</v>
      </c>
      <c r="E4744" s="4" t="s">
        <v>32966</v>
      </c>
      <c r="F4744" s="4" t="s">
        <v>2299</v>
      </c>
      <c r="G4744" s="4" t="s">
        <v>32967</v>
      </c>
      <c r="H4744" s="6"/>
      <c r="I4744" s="6"/>
      <c r="J4744" s="6"/>
      <c r="K4744" s="6"/>
      <c r="L4744" s="6"/>
      <c r="M4744" s="6"/>
      <c r="N4744" s="6"/>
      <c r="O4744" s="6"/>
      <c r="P4744" s="6"/>
      <c r="Q4744" s="6"/>
      <c r="R4744" s="6"/>
      <c r="S4744" s="6"/>
      <c r="T4744" s="6"/>
      <c r="U4744" s="6"/>
      <c r="V4744" s="6"/>
      <c r="W4744" s="6"/>
      <c r="X4744" s="6"/>
      <c r="Y4744" s="6"/>
      <c r="Z4744" s="6"/>
      <c r="AA4744" s="6"/>
    </row>
    <row r="4745" ht="14.25">
      <c r="B4745" s="14" t="s">
        <v>32959</v>
      </c>
      <c r="C4745" s="4" t="s">
        <v>32964</v>
      </c>
      <c r="D4745" s="4" t="s">
        <v>32968</v>
      </c>
      <c r="E4745" s="4" t="s">
        <v>32966</v>
      </c>
      <c r="F4745" s="4" t="s">
        <v>874</v>
      </c>
      <c r="G4745" s="4" t="s">
        <v>32969</v>
      </c>
      <c r="H4745" s="6"/>
      <c r="I4745" s="6"/>
      <c r="J4745" s="6"/>
      <c r="K4745" s="6"/>
      <c r="L4745" s="6"/>
      <c r="M4745" s="6"/>
      <c r="N4745" s="6"/>
      <c r="O4745" s="6"/>
      <c r="P4745" s="6"/>
      <c r="Q4745" s="6"/>
      <c r="R4745" s="6"/>
      <c r="S4745" s="6"/>
      <c r="T4745" s="6"/>
      <c r="U4745" s="6"/>
      <c r="V4745" s="6"/>
      <c r="W4745" s="6"/>
      <c r="X4745" s="6"/>
      <c r="Y4745" s="6"/>
      <c r="Z4745" s="6"/>
      <c r="AA4745" s="6"/>
    </row>
    <row r="4746" ht="14.25">
      <c r="B4746" s="14" t="s">
        <v>32959</v>
      </c>
      <c r="C4746" s="4" t="s">
        <v>32960</v>
      </c>
      <c r="D4746" s="4" t="s">
        <v>32970</v>
      </c>
      <c r="E4746" s="4" t="s">
        <v>32962</v>
      </c>
      <c r="F4746" s="4" t="s">
        <v>32971</v>
      </c>
      <c r="G4746" s="4" t="s">
        <v>32972</v>
      </c>
      <c r="H4746" s="6"/>
      <c r="I4746" s="6"/>
      <c r="J4746" s="6"/>
      <c r="K4746" s="6"/>
      <c r="L4746" s="6"/>
      <c r="M4746" s="6"/>
      <c r="N4746" s="6"/>
      <c r="O4746" s="6"/>
      <c r="P4746" s="6"/>
      <c r="Q4746" s="6"/>
      <c r="R4746" s="6"/>
      <c r="S4746" s="6"/>
      <c r="T4746" s="6"/>
      <c r="U4746" s="6"/>
      <c r="V4746" s="6"/>
      <c r="W4746" s="6"/>
      <c r="X4746" s="6"/>
      <c r="Y4746" s="6"/>
      <c r="Z4746" s="6"/>
      <c r="AA4746" s="6"/>
    </row>
    <row r="4747" ht="14.25">
      <c r="B4747" s="14" t="s">
        <v>32973</v>
      </c>
      <c r="C4747" s="4" t="s">
        <v>32974</v>
      </c>
      <c r="D4747" s="4" t="s">
        <v>32975</v>
      </c>
      <c r="E4747" s="4" t="s">
        <v>32976</v>
      </c>
      <c r="F4747" s="4" t="s">
        <v>76</v>
      </c>
      <c r="G4747" s="4" t="s">
        <v>32977</v>
      </c>
      <c r="H4747" s="6"/>
      <c r="I4747" s="6"/>
      <c r="J4747" s="6"/>
      <c r="K4747" s="6"/>
      <c r="L4747" s="6"/>
      <c r="M4747" s="6"/>
      <c r="N4747" s="6"/>
      <c r="O4747" s="6"/>
      <c r="P4747" s="6"/>
      <c r="Q4747" s="6"/>
      <c r="R4747" s="6"/>
      <c r="S4747" s="6"/>
      <c r="T4747" s="6"/>
      <c r="U4747" s="6"/>
      <c r="V4747" s="6"/>
      <c r="W4747" s="6"/>
      <c r="X4747" s="6"/>
      <c r="Y4747" s="6"/>
      <c r="Z4747" s="6"/>
      <c r="AA4747" s="6"/>
    </row>
    <row r="4748" ht="14.25">
      <c r="B4748" s="14" t="s">
        <v>32973</v>
      </c>
      <c r="C4748" s="4" t="s">
        <v>32978</v>
      </c>
      <c r="D4748" s="4" t="s">
        <v>32979</v>
      </c>
      <c r="E4748" s="4" t="s">
        <v>32980</v>
      </c>
      <c r="F4748" s="4" t="s">
        <v>2059</v>
      </c>
      <c r="G4748" s="4" t="s">
        <v>32981</v>
      </c>
      <c r="H4748" s="6"/>
      <c r="I4748" s="6"/>
      <c r="J4748" s="6"/>
      <c r="K4748" s="6"/>
      <c r="L4748" s="6"/>
      <c r="M4748" s="6"/>
      <c r="N4748" s="6"/>
      <c r="O4748" s="6"/>
      <c r="P4748" s="6"/>
      <c r="Q4748" s="6"/>
      <c r="R4748" s="6"/>
      <c r="S4748" s="6"/>
      <c r="T4748" s="6"/>
      <c r="U4748" s="6"/>
      <c r="V4748" s="6"/>
      <c r="W4748" s="6"/>
      <c r="X4748" s="6"/>
      <c r="Y4748" s="6"/>
      <c r="Z4748" s="6"/>
      <c r="AA4748" s="6"/>
    </row>
    <row r="4749" ht="14.25">
      <c r="B4749" s="14" t="s">
        <v>32982</v>
      </c>
      <c r="C4749" s="4" t="s">
        <v>32983</v>
      </c>
      <c r="D4749" s="4" t="s">
        <v>32984</v>
      </c>
      <c r="E4749" s="4" t="s">
        <v>32985</v>
      </c>
      <c r="F4749" s="4" t="s">
        <v>874</v>
      </c>
      <c r="G4749" s="4" t="s">
        <v>32986</v>
      </c>
      <c r="H4749" s="6"/>
      <c r="I4749" s="6"/>
      <c r="J4749" s="6"/>
      <c r="K4749" s="6"/>
      <c r="L4749" s="6"/>
      <c r="M4749" s="6"/>
      <c r="N4749" s="6"/>
      <c r="O4749" s="6"/>
      <c r="P4749" s="6"/>
      <c r="Q4749" s="6"/>
      <c r="R4749" s="6"/>
      <c r="S4749" s="6"/>
      <c r="T4749" s="6"/>
      <c r="U4749" s="6"/>
      <c r="V4749" s="6"/>
      <c r="W4749" s="6"/>
      <c r="X4749" s="6"/>
      <c r="Y4749" s="6"/>
      <c r="Z4749" s="6"/>
      <c r="AA4749" s="6"/>
    </row>
    <row r="4750" ht="14.25">
      <c r="B4750" s="14" t="s">
        <v>32987</v>
      </c>
      <c r="C4750" s="4" t="s">
        <v>32988</v>
      </c>
      <c r="D4750" s="4" t="s">
        <v>32989</v>
      </c>
      <c r="E4750" s="4" t="s">
        <v>32990</v>
      </c>
      <c r="F4750" s="4" t="s">
        <v>6788</v>
      </c>
      <c r="G4750" s="4" t="s">
        <v>32991</v>
      </c>
      <c r="H4750" s="6"/>
      <c r="I4750" s="6"/>
      <c r="J4750" s="6"/>
      <c r="K4750" s="6"/>
      <c r="L4750" s="6"/>
      <c r="M4750" s="6"/>
      <c r="N4750" s="6"/>
      <c r="O4750" s="6"/>
      <c r="P4750" s="6"/>
      <c r="Q4750" s="6"/>
      <c r="R4750" s="6"/>
      <c r="S4750" s="6"/>
      <c r="T4750" s="6"/>
      <c r="U4750" s="6"/>
      <c r="V4750" s="6"/>
      <c r="W4750" s="6"/>
      <c r="X4750" s="6"/>
      <c r="Y4750" s="6"/>
      <c r="Z4750" s="6"/>
      <c r="AA4750" s="6"/>
    </row>
    <row r="4751" ht="14.25">
      <c r="B4751" s="14" t="s">
        <v>32987</v>
      </c>
      <c r="C4751" s="4" t="s">
        <v>32988</v>
      </c>
      <c r="D4751" s="4" t="s">
        <v>32992</v>
      </c>
      <c r="E4751" s="4" t="s">
        <v>32990</v>
      </c>
      <c r="F4751" s="4" t="s">
        <v>26247</v>
      </c>
      <c r="G4751" s="4" t="s">
        <v>32993</v>
      </c>
      <c r="H4751" s="6"/>
      <c r="I4751" s="6"/>
      <c r="J4751" s="6"/>
      <c r="K4751" s="6"/>
      <c r="L4751" s="6"/>
      <c r="M4751" s="6"/>
      <c r="N4751" s="6"/>
      <c r="O4751" s="6"/>
      <c r="P4751" s="6"/>
      <c r="Q4751" s="6"/>
      <c r="R4751" s="6"/>
      <c r="S4751" s="6"/>
      <c r="T4751" s="6"/>
      <c r="U4751" s="6"/>
      <c r="V4751" s="6"/>
      <c r="W4751" s="6"/>
      <c r="X4751" s="6"/>
      <c r="Y4751" s="6"/>
      <c r="Z4751" s="6"/>
      <c r="AA4751" s="6"/>
    </row>
    <row r="4752" ht="14.25">
      <c r="B4752" s="14" t="s">
        <v>32987</v>
      </c>
      <c r="C4752" s="4" t="s">
        <v>32988</v>
      </c>
      <c r="D4752" s="4" t="s">
        <v>32994</v>
      </c>
      <c r="E4752" s="4" t="s">
        <v>32990</v>
      </c>
      <c r="F4752" s="4" t="s">
        <v>768</v>
      </c>
      <c r="G4752" s="4" t="s">
        <v>32995</v>
      </c>
      <c r="H4752" s="6"/>
      <c r="I4752" s="6"/>
      <c r="J4752" s="6"/>
      <c r="K4752" s="6"/>
      <c r="L4752" s="6"/>
      <c r="M4752" s="6"/>
      <c r="N4752" s="6"/>
      <c r="O4752" s="6"/>
      <c r="P4752" s="6"/>
      <c r="Q4752" s="6"/>
      <c r="R4752" s="6"/>
      <c r="S4752" s="6"/>
      <c r="T4752" s="6"/>
      <c r="U4752" s="6"/>
      <c r="V4752" s="6"/>
      <c r="W4752" s="6"/>
      <c r="X4752" s="6"/>
      <c r="Y4752" s="6"/>
      <c r="Z4752" s="6"/>
      <c r="AA4752" s="6"/>
    </row>
    <row r="4753" ht="14.25">
      <c r="B4753" s="14" t="s">
        <v>32987</v>
      </c>
      <c r="C4753" s="4" t="s">
        <v>32988</v>
      </c>
      <c r="D4753" s="4" t="s">
        <v>32996</v>
      </c>
      <c r="E4753" s="4" t="s">
        <v>32990</v>
      </c>
      <c r="F4753" s="4" t="s">
        <v>32997</v>
      </c>
      <c r="G4753" s="4" t="s">
        <v>32998</v>
      </c>
      <c r="H4753" s="6"/>
      <c r="I4753" s="6"/>
      <c r="J4753" s="6"/>
      <c r="K4753" s="6"/>
      <c r="L4753" s="6"/>
      <c r="M4753" s="6"/>
      <c r="N4753" s="6"/>
      <c r="O4753" s="6"/>
      <c r="P4753" s="6"/>
      <c r="Q4753" s="6"/>
      <c r="R4753" s="6"/>
      <c r="S4753" s="6"/>
      <c r="T4753" s="6"/>
      <c r="U4753" s="6"/>
      <c r="V4753" s="6"/>
      <c r="W4753" s="6"/>
      <c r="X4753" s="6"/>
      <c r="Y4753" s="6"/>
      <c r="Z4753" s="6"/>
      <c r="AA4753" s="6"/>
    </row>
    <row r="4754" ht="14.25">
      <c r="B4754" s="14" t="s">
        <v>32987</v>
      </c>
      <c r="C4754" s="4" t="s">
        <v>32988</v>
      </c>
      <c r="D4754" s="4" t="s">
        <v>32999</v>
      </c>
      <c r="E4754" s="4" t="s">
        <v>32990</v>
      </c>
      <c r="F4754" s="4" t="s">
        <v>3165</v>
      </c>
      <c r="G4754" s="4" t="s">
        <v>32594</v>
      </c>
      <c r="H4754" s="6"/>
      <c r="I4754" s="6"/>
      <c r="J4754" s="6"/>
      <c r="K4754" s="6"/>
      <c r="L4754" s="6"/>
      <c r="M4754" s="6"/>
      <c r="N4754" s="6"/>
      <c r="O4754" s="6"/>
      <c r="P4754" s="6"/>
      <c r="Q4754" s="6"/>
      <c r="R4754" s="6"/>
      <c r="S4754" s="6"/>
      <c r="T4754" s="6"/>
      <c r="U4754" s="6"/>
      <c r="V4754" s="6"/>
      <c r="W4754" s="6"/>
      <c r="X4754" s="6"/>
      <c r="Y4754" s="6"/>
      <c r="Z4754" s="6"/>
      <c r="AA4754" s="6"/>
    </row>
    <row r="4755" ht="14.25">
      <c r="B4755" s="14" t="s">
        <v>33000</v>
      </c>
      <c r="C4755" s="4" t="s">
        <v>33001</v>
      </c>
      <c r="D4755" s="4" t="s">
        <v>33002</v>
      </c>
      <c r="E4755" s="4" t="s">
        <v>33003</v>
      </c>
      <c r="F4755" s="4" t="s">
        <v>330</v>
      </c>
      <c r="G4755" s="4" t="s">
        <v>33004</v>
      </c>
      <c r="H4755" s="6"/>
      <c r="I4755" s="6"/>
      <c r="J4755" s="6"/>
      <c r="K4755" s="6"/>
      <c r="L4755" s="6"/>
      <c r="M4755" s="6"/>
      <c r="N4755" s="6"/>
      <c r="O4755" s="6"/>
      <c r="P4755" s="6"/>
      <c r="Q4755" s="6"/>
      <c r="R4755" s="6"/>
      <c r="S4755" s="6"/>
      <c r="T4755" s="6"/>
      <c r="U4755" s="6"/>
      <c r="V4755" s="6"/>
      <c r="W4755" s="6"/>
      <c r="X4755" s="6"/>
      <c r="Y4755" s="6"/>
      <c r="Z4755" s="6"/>
      <c r="AA4755" s="6"/>
    </row>
    <row r="4756" ht="14.25">
      <c r="B4756" s="14" t="s">
        <v>33000</v>
      </c>
      <c r="C4756" s="4" t="s">
        <v>33001</v>
      </c>
      <c r="D4756" s="4" t="s">
        <v>33005</v>
      </c>
      <c r="E4756" s="4" t="s">
        <v>33003</v>
      </c>
      <c r="F4756" s="4" t="s">
        <v>24006</v>
      </c>
      <c r="G4756" s="4" t="s">
        <v>33006</v>
      </c>
      <c r="H4756" s="6"/>
      <c r="I4756" s="6"/>
      <c r="J4756" s="6"/>
      <c r="K4756" s="6"/>
      <c r="L4756" s="6"/>
      <c r="M4756" s="6"/>
      <c r="N4756" s="6"/>
      <c r="O4756" s="6"/>
      <c r="P4756" s="6"/>
      <c r="Q4756" s="6"/>
      <c r="R4756" s="6"/>
      <c r="S4756" s="6"/>
      <c r="T4756" s="6"/>
      <c r="U4756" s="6"/>
      <c r="V4756" s="6"/>
      <c r="W4756" s="6"/>
      <c r="X4756" s="6"/>
      <c r="Y4756" s="6"/>
      <c r="Z4756" s="6"/>
      <c r="AA4756" s="6"/>
    </row>
    <row r="4757" ht="14.25">
      <c r="B4757" s="14" t="s">
        <v>33000</v>
      </c>
      <c r="C4757" s="4" t="s">
        <v>33007</v>
      </c>
      <c r="D4757" s="4" t="s">
        <v>33008</v>
      </c>
      <c r="E4757" s="4" t="s">
        <v>33009</v>
      </c>
      <c r="F4757" s="4" t="s">
        <v>33010</v>
      </c>
      <c r="G4757" s="4" t="s">
        <v>33011</v>
      </c>
      <c r="H4757" s="6"/>
      <c r="I4757" s="6"/>
      <c r="J4757" s="6"/>
      <c r="K4757" s="6"/>
      <c r="L4757" s="6"/>
      <c r="M4757" s="6"/>
      <c r="N4757" s="6"/>
      <c r="O4757" s="6"/>
      <c r="P4757" s="6"/>
      <c r="Q4757" s="6"/>
      <c r="R4757" s="6"/>
      <c r="S4757" s="6"/>
      <c r="T4757" s="6"/>
      <c r="U4757" s="6"/>
      <c r="V4757" s="6"/>
      <c r="W4757" s="6"/>
      <c r="X4757" s="6"/>
      <c r="Y4757" s="6"/>
      <c r="Z4757" s="6"/>
      <c r="AA4757" s="6"/>
    </row>
    <row r="4758" ht="14.25">
      <c r="B4758" s="14" t="s">
        <v>33012</v>
      </c>
      <c r="C4758" s="4" t="s">
        <v>33013</v>
      </c>
      <c r="D4758" s="4" t="s">
        <v>33014</v>
      </c>
      <c r="E4758" s="4" t="s">
        <v>33015</v>
      </c>
      <c r="F4758" s="4" t="s">
        <v>170</v>
      </c>
      <c r="G4758" s="4" t="s">
        <v>33016</v>
      </c>
      <c r="H4758" s="6"/>
      <c r="I4758" s="6"/>
      <c r="J4758" s="6"/>
      <c r="K4758" s="6"/>
      <c r="L4758" s="6"/>
      <c r="M4758" s="6"/>
      <c r="N4758" s="6"/>
      <c r="O4758" s="6"/>
      <c r="P4758" s="6"/>
      <c r="Q4758" s="6"/>
      <c r="R4758" s="6"/>
      <c r="S4758" s="6"/>
      <c r="T4758" s="6"/>
      <c r="U4758" s="6"/>
      <c r="V4758" s="6"/>
      <c r="W4758" s="6"/>
      <c r="X4758" s="6"/>
      <c r="Y4758" s="6"/>
      <c r="Z4758" s="6"/>
      <c r="AA4758" s="6"/>
    </row>
    <row r="4759" ht="14.25">
      <c r="B4759" s="14" t="s">
        <v>33012</v>
      </c>
      <c r="C4759" s="4" t="s">
        <v>33013</v>
      </c>
      <c r="D4759" s="4" t="s">
        <v>33017</v>
      </c>
      <c r="E4759" s="4" t="s">
        <v>33015</v>
      </c>
      <c r="F4759" s="4" t="s">
        <v>485</v>
      </c>
      <c r="G4759" s="4" t="s">
        <v>33018</v>
      </c>
      <c r="H4759" s="6"/>
      <c r="I4759" s="6"/>
      <c r="J4759" s="6"/>
      <c r="K4759" s="6"/>
      <c r="L4759" s="6"/>
      <c r="M4759" s="6"/>
      <c r="N4759" s="6"/>
      <c r="O4759" s="6"/>
      <c r="P4759" s="6"/>
      <c r="Q4759" s="6"/>
      <c r="R4759" s="6"/>
      <c r="S4759" s="6"/>
      <c r="T4759" s="6"/>
      <c r="U4759" s="6"/>
      <c r="V4759" s="6"/>
      <c r="W4759" s="6"/>
      <c r="X4759" s="6"/>
      <c r="Y4759" s="6"/>
      <c r="Z4759" s="6"/>
      <c r="AA4759" s="6"/>
    </row>
    <row r="4760" ht="14.25">
      <c r="B4760" s="14" t="s">
        <v>33019</v>
      </c>
      <c r="C4760" s="4" t="s">
        <v>33020</v>
      </c>
      <c r="D4760" s="4" t="s">
        <v>33021</v>
      </c>
      <c r="E4760" s="4" t="s">
        <v>33022</v>
      </c>
      <c r="F4760" s="4" t="s">
        <v>1619</v>
      </c>
      <c r="G4760" s="4" t="s">
        <v>33023</v>
      </c>
      <c r="H4760" s="6"/>
      <c r="I4760" s="6"/>
      <c r="J4760" s="6"/>
      <c r="K4760" s="6"/>
      <c r="L4760" s="6"/>
      <c r="M4760" s="6"/>
      <c r="N4760" s="6"/>
      <c r="O4760" s="6"/>
      <c r="P4760" s="6"/>
      <c r="Q4760" s="6"/>
      <c r="R4760" s="6"/>
      <c r="S4760" s="6"/>
      <c r="T4760" s="6"/>
      <c r="U4760" s="6"/>
      <c r="V4760" s="6"/>
      <c r="W4760" s="6"/>
      <c r="X4760" s="6"/>
      <c r="Y4760" s="6"/>
      <c r="Z4760" s="6"/>
      <c r="AA4760" s="6"/>
    </row>
    <row r="4761" ht="14.25">
      <c r="B4761" s="14" t="s">
        <v>33019</v>
      </c>
      <c r="C4761" s="4" t="s">
        <v>33020</v>
      </c>
      <c r="D4761" s="4" t="s">
        <v>33024</v>
      </c>
      <c r="E4761" s="4" t="s">
        <v>33022</v>
      </c>
      <c r="F4761" s="4" t="s">
        <v>222</v>
      </c>
      <c r="G4761" s="4" t="s">
        <v>33025</v>
      </c>
      <c r="H4761" s="6"/>
      <c r="I4761" s="6"/>
      <c r="J4761" s="6"/>
      <c r="K4761" s="6"/>
      <c r="L4761" s="6"/>
      <c r="M4761" s="6"/>
      <c r="N4761" s="6"/>
      <c r="O4761" s="6"/>
      <c r="P4761" s="6"/>
      <c r="Q4761" s="6"/>
      <c r="R4761" s="6"/>
      <c r="S4761" s="6"/>
      <c r="T4761" s="6"/>
      <c r="U4761" s="6"/>
      <c r="V4761" s="6"/>
      <c r="W4761" s="6"/>
      <c r="X4761" s="6"/>
      <c r="Y4761" s="6"/>
      <c r="Z4761" s="6"/>
      <c r="AA4761" s="6"/>
    </row>
    <row r="4762" ht="14.25">
      <c r="B4762" s="14" t="s">
        <v>33019</v>
      </c>
      <c r="C4762" s="4" t="s">
        <v>33020</v>
      </c>
      <c r="D4762" s="4" t="s">
        <v>33026</v>
      </c>
      <c r="E4762" s="4" t="s">
        <v>33022</v>
      </c>
      <c r="F4762" s="4" t="s">
        <v>1861</v>
      </c>
      <c r="G4762" s="4" t="s">
        <v>33027</v>
      </c>
      <c r="H4762" s="6"/>
      <c r="I4762" s="6"/>
      <c r="J4762" s="6"/>
      <c r="K4762" s="6"/>
      <c r="L4762" s="6"/>
      <c r="M4762" s="6"/>
      <c r="N4762" s="6"/>
      <c r="O4762" s="6"/>
      <c r="P4762" s="6"/>
      <c r="Q4762" s="6"/>
      <c r="R4762" s="6"/>
      <c r="S4762" s="6"/>
      <c r="T4762" s="6"/>
      <c r="U4762" s="6"/>
      <c r="V4762" s="6"/>
      <c r="W4762" s="6"/>
      <c r="X4762" s="6"/>
      <c r="Y4762" s="6"/>
      <c r="Z4762" s="6"/>
      <c r="AA4762" s="6"/>
    </row>
    <row r="4763" ht="14.25">
      <c r="B4763" s="14" t="s">
        <v>33019</v>
      </c>
      <c r="C4763" s="4" t="s">
        <v>33020</v>
      </c>
      <c r="D4763" s="4" t="s">
        <v>33028</v>
      </c>
      <c r="E4763" s="4" t="s">
        <v>33022</v>
      </c>
      <c r="F4763" s="4" t="s">
        <v>3752</v>
      </c>
      <c r="G4763" s="4" t="s">
        <v>33029</v>
      </c>
      <c r="H4763" s="6"/>
      <c r="I4763" s="6"/>
      <c r="J4763" s="6"/>
      <c r="K4763" s="6"/>
      <c r="L4763" s="6"/>
      <c r="M4763" s="6"/>
      <c r="N4763" s="6"/>
      <c r="O4763" s="6"/>
      <c r="P4763" s="6"/>
      <c r="Q4763" s="6"/>
      <c r="R4763" s="6"/>
      <c r="S4763" s="6"/>
      <c r="T4763" s="6"/>
      <c r="U4763" s="6"/>
      <c r="V4763" s="6"/>
      <c r="W4763" s="6"/>
      <c r="X4763" s="6"/>
      <c r="Y4763" s="6"/>
      <c r="Z4763" s="6"/>
      <c r="AA4763" s="6"/>
    </row>
    <row r="4764" ht="14.25">
      <c r="B4764" s="14" t="s">
        <v>33019</v>
      </c>
      <c r="C4764" s="4" t="s">
        <v>33020</v>
      </c>
      <c r="D4764" s="4" t="s">
        <v>33030</v>
      </c>
      <c r="E4764" s="4" t="s">
        <v>33022</v>
      </c>
      <c r="F4764" s="4" t="s">
        <v>33031</v>
      </c>
      <c r="G4764" s="4" t="s">
        <v>33032</v>
      </c>
      <c r="H4764" s="6"/>
      <c r="I4764" s="6"/>
      <c r="J4764" s="6"/>
      <c r="K4764" s="6"/>
      <c r="L4764" s="6"/>
      <c r="M4764" s="6"/>
      <c r="N4764" s="6"/>
      <c r="O4764" s="6"/>
      <c r="P4764" s="6"/>
      <c r="Q4764" s="6"/>
      <c r="R4764" s="6"/>
      <c r="S4764" s="6"/>
      <c r="T4764" s="6"/>
      <c r="U4764" s="6"/>
      <c r="V4764" s="6"/>
      <c r="W4764" s="6"/>
      <c r="X4764" s="6"/>
      <c r="Y4764" s="6"/>
      <c r="Z4764" s="6"/>
      <c r="AA4764" s="6"/>
    </row>
    <row r="4765" ht="14.25">
      <c r="B4765" s="14" t="s">
        <v>33019</v>
      </c>
      <c r="C4765" s="4" t="s">
        <v>33020</v>
      </c>
      <c r="D4765" s="4" t="s">
        <v>33033</v>
      </c>
      <c r="E4765" s="4" t="s">
        <v>33022</v>
      </c>
      <c r="F4765" s="4" t="s">
        <v>817</v>
      </c>
      <c r="G4765" s="4" t="s">
        <v>33034</v>
      </c>
      <c r="H4765" s="6"/>
      <c r="I4765" s="6"/>
      <c r="J4765" s="6"/>
      <c r="K4765" s="6"/>
      <c r="L4765" s="6"/>
      <c r="M4765" s="6"/>
      <c r="N4765" s="6"/>
      <c r="O4765" s="6"/>
      <c r="P4765" s="6"/>
      <c r="Q4765" s="6"/>
      <c r="R4765" s="6"/>
      <c r="S4765" s="6"/>
      <c r="T4765" s="6"/>
      <c r="U4765" s="6"/>
      <c r="V4765" s="6"/>
      <c r="W4765" s="6"/>
      <c r="X4765" s="6"/>
      <c r="Y4765" s="6"/>
      <c r="Z4765" s="6"/>
      <c r="AA4765" s="6"/>
    </row>
    <row r="4766" ht="14.25">
      <c r="B4766" s="14" t="s">
        <v>33035</v>
      </c>
      <c r="C4766" s="4" t="s">
        <v>33036</v>
      </c>
      <c r="D4766" s="4" t="s">
        <v>33037</v>
      </c>
      <c r="E4766" s="4" t="s">
        <v>33038</v>
      </c>
      <c r="F4766" s="4" t="s">
        <v>4245</v>
      </c>
      <c r="G4766" s="4" t="s">
        <v>33039</v>
      </c>
      <c r="H4766" s="6"/>
      <c r="I4766" s="6"/>
      <c r="J4766" s="6"/>
      <c r="K4766" s="6"/>
      <c r="L4766" s="6"/>
      <c r="M4766" s="6"/>
      <c r="N4766" s="6"/>
      <c r="O4766" s="6"/>
      <c r="P4766" s="6"/>
      <c r="Q4766" s="6"/>
      <c r="R4766" s="6"/>
      <c r="S4766" s="6"/>
      <c r="T4766" s="6"/>
      <c r="U4766" s="6"/>
      <c r="V4766" s="6"/>
      <c r="W4766" s="6"/>
      <c r="X4766" s="6"/>
      <c r="Y4766" s="6"/>
      <c r="Z4766" s="6"/>
      <c r="AA4766" s="6"/>
    </row>
    <row r="4767" ht="14.25">
      <c r="B4767" s="14" t="s">
        <v>33035</v>
      </c>
      <c r="C4767" s="4" t="s">
        <v>33040</v>
      </c>
      <c r="D4767" s="4" t="s">
        <v>33041</v>
      </c>
      <c r="E4767" s="4" t="s">
        <v>33042</v>
      </c>
      <c r="F4767" s="4" t="s">
        <v>330</v>
      </c>
      <c r="G4767" s="4" t="s">
        <v>33043</v>
      </c>
      <c r="H4767" s="6"/>
      <c r="I4767" s="6"/>
      <c r="J4767" s="6"/>
      <c r="K4767" s="6"/>
      <c r="L4767" s="6"/>
      <c r="M4767" s="6"/>
      <c r="N4767" s="6"/>
      <c r="O4767" s="6"/>
      <c r="P4767" s="6"/>
      <c r="Q4767" s="6"/>
      <c r="R4767" s="6"/>
      <c r="S4767" s="6"/>
      <c r="T4767" s="6"/>
      <c r="U4767" s="6"/>
      <c r="V4767" s="6"/>
      <c r="W4767" s="6"/>
      <c r="X4767" s="6"/>
      <c r="Y4767" s="6"/>
      <c r="Z4767" s="6"/>
      <c r="AA4767" s="6"/>
    </row>
    <row r="4768" ht="14.25">
      <c r="B4768" s="14" t="s">
        <v>33035</v>
      </c>
      <c r="C4768" s="4" t="s">
        <v>33040</v>
      </c>
      <c r="D4768" s="4" t="s">
        <v>33044</v>
      </c>
      <c r="E4768" s="4" t="s">
        <v>33042</v>
      </c>
      <c r="F4768" s="4" t="s">
        <v>215</v>
      </c>
      <c r="G4768" s="4" t="s">
        <v>33045</v>
      </c>
      <c r="H4768" s="6"/>
      <c r="I4768" s="6"/>
      <c r="J4768" s="6"/>
      <c r="K4768" s="6"/>
      <c r="L4768" s="6"/>
      <c r="M4768" s="6"/>
      <c r="N4768" s="6"/>
      <c r="O4768" s="6"/>
      <c r="P4768" s="6"/>
      <c r="Q4768" s="6"/>
      <c r="R4768" s="6"/>
      <c r="S4768" s="6"/>
      <c r="T4768" s="6"/>
      <c r="U4768" s="6"/>
      <c r="V4768" s="6"/>
      <c r="W4768" s="6"/>
      <c r="X4768" s="6"/>
      <c r="Y4768" s="6"/>
      <c r="Z4768" s="6"/>
      <c r="AA4768" s="6"/>
    </row>
    <row r="4769" ht="14.25">
      <c r="B4769" s="14" t="s">
        <v>33035</v>
      </c>
      <c r="C4769" s="4" t="s">
        <v>33046</v>
      </c>
      <c r="D4769" s="4" t="s">
        <v>33047</v>
      </c>
      <c r="E4769" s="4" t="s">
        <v>33048</v>
      </c>
      <c r="F4769" s="4" t="s">
        <v>32616</v>
      </c>
      <c r="G4769" s="4" t="s">
        <v>33049</v>
      </c>
      <c r="H4769" s="6"/>
      <c r="I4769" s="6"/>
      <c r="J4769" s="6"/>
      <c r="K4769" s="6"/>
      <c r="L4769" s="6"/>
      <c r="M4769" s="6"/>
      <c r="N4769" s="6"/>
      <c r="O4769" s="6"/>
      <c r="P4769" s="6"/>
      <c r="Q4769" s="6"/>
      <c r="R4769" s="6"/>
      <c r="S4769" s="6"/>
      <c r="T4769" s="6"/>
      <c r="U4769" s="6"/>
      <c r="V4769" s="6"/>
      <c r="W4769" s="6"/>
      <c r="X4769" s="6"/>
      <c r="Y4769" s="6"/>
      <c r="Z4769" s="6"/>
      <c r="AA4769" s="6"/>
    </row>
    <row r="4770" ht="14.25">
      <c r="B4770" s="14" t="s">
        <v>33050</v>
      </c>
      <c r="C4770" s="4" t="s">
        <v>33051</v>
      </c>
      <c r="D4770" s="4" t="s">
        <v>33052</v>
      </c>
      <c r="E4770" s="4" t="s">
        <v>33053</v>
      </c>
      <c r="F4770" s="4" t="s">
        <v>33054</v>
      </c>
      <c r="G4770" s="4" t="s">
        <v>33055</v>
      </c>
      <c r="H4770" s="6"/>
      <c r="I4770" s="6"/>
      <c r="J4770" s="6"/>
      <c r="K4770" s="6"/>
      <c r="L4770" s="6"/>
      <c r="M4770" s="6"/>
      <c r="N4770" s="6"/>
      <c r="O4770" s="6"/>
      <c r="P4770" s="6"/>
      <c r="Q4770" s="6"/>
      <c r="R4770" s="6"/>
      <c r="S4770" s="6"/>
      <c r="T4770" s="6"/>
      <c r="U4770" s="6"/>
      <c r="V4770" s="6"/>
      <c r="W4770" s="6"/>
      <c r="X4770" s="6"/>
      <c r="Y4770" s="6"/>
      <c r="Z4770" s="6"/>
      <c r="AA4770" s="6"/>
    </row>
    <row r="4771" ht="14.25">
      <c r="B4771" s="14" t="s">
        <v>33056</v>
      </c>
      <c r="C4771" s="4" t="s">
        <v>33057</v>
      </c>
      <c r="D4771" s="4" t="s">
        <v>33058</v>
      </c>
      <c r="E4771" s="4" t="s">
        <v>33059</v>
      </c>
      <c r="F4771" s="4" t="s">
        <v>1704</v>
      </c>
      <c r="G4771" s="4" t="s">
        <v>33060</v>
      </c>
      <c r="H4771" s="6"/>
      <c r="I4771" s="6"/>
      <c r="J4771" s="6"/>
      <c r="K4771" s="6"/>
      <c r="L4771" s="6"/>
      <c r="M4771" s="6"/>
      <c r="N4771" s="6"/>
      <c r="O4771" s="6"/>
      <c r="P4771" s="6"/>
      <c r="Q4771" s="6"/>
      <c r="R4771" s="6"/>
      <c r="S4771" s="6"/>
      <c r="T4771" s="6"/>
      <c r="U4771" s="6"/>
      <c r="V4771" s="6"/>
      <c r="W4771" s="6"/>
      <c r="X4771" s="6"/>
      <c r="Y4771" s="6"/>
      <c r="Z4771" s="6"/>
      <c r="AA4771" s="6"/>
    </row>
    <row r="4772" ht="14.25">
      <c r="B4772" s="14" t="s">
        <v>33056</v>
      </c>
      <c r="C4772" s="4" t="s">
        <v>33057</v>
      </c>
      <c r="D4772" s="4" t="s">
        <v>33061</v>
      </c>
      <c r="E4772" s="4" t="s">
        <v>33059</v>
      </c>
      <c r="F4772" s="4" t="s">
        <v>6634</v>
      </c>
      <c r="G4772" s="4" t="s">
        <v>33062</v>
      </c>
      <c r="H4772" s="6"/>
      <c r="I4772" s="6"/>
      <c r="J4772" s="6"/>
      <c r="K4772" s="6"/>
      <c r="L4772" s="6"/>
      <c r="M4772" s="6"/>
      <c r="N4772" s="6"/>
      <c r="O4772" s="6"/>
      <c r="P4772" s="6"/>
      <c r="Q4772" s="6"/>
      <c r="R4772" s="6"/>
      <c r="S4772" s="6"/>
      <c r="T4772" s="6"/>
      <c r="U4772" s="6"/>
      <c r="V4772" s="6"/>
      <c r="W4772" s="6"/>
      <c r="X4772" s="6"/>
      <c r="Y4772" s="6"/>
      <c r="Z4772" s="6"/>
      <c r="AA4772" s="6"/>
    </row>
    <row r="4773" ht="14.25">
      <c r="B4773" s="14" t="s">
        <v>33056</v>
      </c>
      <c r="C4773" s="4" t="s">
        <v>33057</v>
      </c>
      <c r="D4773" s="4" t="s">
        <v>33063</v>
      </c>
      <c r="E4773" s="4" t="s">
        <v>33059</v>
      </c>
      <c r="F4773" s="4" t="s">
        <v>32616</v>
      </c>
      <c r="G4773" s="4" t="s">
        <v>33064</v>
      </c>
      <c r="H4773" s="6"/>
      <c r="I4773" s="6"/>
      <c r="J4773" s="6"/>
      <c r="K4773" s="6"/>
      <c r="L4773" s="6"/>
      <c r="M4773" s="6"/>
      <c r="N4773" s="6"/>
      <c r="O4773" s="6"/>
      <c r="P4773" s="6"/>
      <c r="Q4773" s="6"/>
      <c r="R4773" s="6"/>
      <c r="S4773" s="6"/>
      <c r="T4773" s="6"/>
      <c r="U4773" s="6"/>
      <c r="V4773" s="6"/>
      <c r="W4773" s="6"/>
      <c r="X4773" s="6"/>
      <c r="Y4773" s="6"/>
      <c r="Z4773" s="6"/>
      <c r="AA4773" s="6"/>
    </row>
    <row r="4774" ht="14.25">
      <c r="B4774" s="14" t="s">
        <v>33065</v>
      </c>
      <c r="C4774" s="4" t="s">
        <v>33066</v>
      </c>
      <c r="D4774" s="4" t="s">
        <v>33067</v>
      </c>
      <c r="E4774" s="4" t="s">
        <v>33068</v>
      </c>
      <c r="F4774" s="4" t="s">
        <v>808</v>
      </c>
      <c r="G4774" s="4" t="s">
        <v>33069</v>
      </c>
      <c r="H4774" s="6"/>
      <c r="I4774" s="6"/>
      <c r="J4774" s="6"/>
      <c r="K4774" s="6"/>
      <c r="L4774" s="6"/>
      <c r="M4774" s="6"/>
      <c r="N4774" s="6"/>
      <c r="O4774" s="6"/>
      <c r="P4774" s="6"/>
      <c r="Q4774" s="6"/>
      <c r="R4774" s="6"/>
      <c r="S4774" s="6"/>
      <c r="T4774" s="6"/>
      <c r="U4774" s="6"/>
      <c r="V4774" s="6"/>
      <c r="W4774" s="6"/>
      <c r="X4774" s="6"/>
      <c r="Y4774" s="6"/>
      <c r="Z4774" s="6"/>
      <c r="AA4774" s="6"/>
    </row>
    <row r="4775" ht="14.25">
      <c r="B4775" s="14" t="s">
        <v>33065</v>
      </c>
      <c r="C4775" s="4" t="s">
        <v>33066</v>
      </c>
      <c r="D4775" s="4" t="s">
        <v>33070</v>
      </c>
      <c r="E4775" s="4" t="s">
        <v>33068</v>
      </c>
      <c r="F4775" s="4" t="s">
        <v>556</v>
      </c>
      <c r="G4775" s="4" t="s">
        <v>33071</v>
      </c>
      <c r="H4775" s="6"/>
      <c r="I4775" s="6"/>
      <c r="J4775" s="6"/>
      <c r="K4775" s="6"/>
      <c r="L4775" s="6"/>
      <c r="M4775" s="6"/>
      <c r="N4775" s="6"/>
      <c r="O4775" s="6"/>
      <c r="P4775" s="6"/>
      <c r="Q4775" s="6"/>
      <c r="R4775" s="6"/>
      <c r="S4775" s="6"/>
      <c r="T4775" s="6"/>
      <c r="U4775" s="6"/>
      <c r="V4775" s="6"/>
      <c r="W4775" s="6"/>
      <c r="X4775" s="6"/>
      <c r="Y4775" s="6"/>
      <c r="Z4775" s="6"/>
      <c r="AA4775" s="6"/>
    </row>
    <row r="4776" ht="14.25">
      <c r="B4776" s="14" t="s">
        <v>33072</v>
      </c>
      <c r="C4776" s="4" t="s">
        <v>33073</v>
      </c>
      <c r="D4776" s="4" t="s">
        <v>33074</v>
      </c>
      <c r="E4776" s="4" t="s">
        <v>33075</v>
      </c>
      <c r="F4776" s="4" t="s">
        <v>32548</v>
      </c>
      <c r="G4776" s="4" t="s">
        <v>33076</v>
      </c>
      <c r="H4776" s="6"/>
      <c r="I4776" s="6"/>
      <c r="J4776" s="6"/>
      <c r="K4776" s="6"/>
      <c r="L4776" s="6"/>
      <c r="M4776" s="6"/>
      <c r="N4776" s="6"/>
      <c r="O4776" s="6"/>
      <c r="P4776" s="6"/>
      <c r="Q4776" s="6"/>
      <c r="R4776" s="6"/>
      <c r="S4776" s="6"/>
      <c r="T4776" s="6"/>
      <c r="U4776" s="6"/>
      <c r="V4776" s="6"/>
      <c r="W4776" s="6"/>
      <c r="X4776" s="6"/>
      <c r="Y4776" s="6"/>
      <c r="Z4776" s="6"/>
      <c r="AA4776" s="6"/>
    </row>
    <row r="4777" ht="14.25">
      <c r="B4777" s="14" t="s">
        <v>33077</v>
      </c>
      <c r="C4777" s="4" t="s">
        <v>33078</v>
      </c>
      <c r="D4777" s="4" t="s">
        <v>33079</v>
      </c>
      <c r="E4777" s="6"/>
      <c r="F4777" s="4" t="s">
        <v>4800</v>
      </c>
      <c r="G4777" s="4" t="s">
        <v>33080</v>
      </c>
      <c r="H4777" s="6"/>
      <c r="I4777" s="6"/>
      <c r="J4777" s="6"/>
      <c r="K4777" s="6"/>
      <c r="L4777" s="6"/>
      <c r="M4777" s="6"/>
      <c r="N4777" s="6"/>
      <c r="O4777" s="6"/>
      <c r="P4777" s="6"/>
      <c r="Q4777" s="6"/>
      <c r="R4777" s="6"/>
      <c r="S4777" s="6"/>
      <c r="T4777" s="6"/>
      <c r="U4777" s="6"/>
      <c r="V4777" s="6"/>
      <c r="W4777" s="6"/>
      <c r="X4777" s="6"/>
      <c r="Y4777" s="6"/>
      <c r="Z4777" s="6"/>
      <c r="AA4777" s="6"/>
    </row>
    <row r="4778" ht="14.25">
      <c r="B4778" s="14" t="s">
        <v>33077</v>
      </c>
      <c r="C4778" s="4" t="s">
        <v>33081</v>
      </c>
      <c r="D4778" s="4" t="s">
        <v>33082</v>
      </c>
      <c r="E4778" s="4" t="s">
        <v>33083</v>
      </c>
      <c r="F4778" s="4" t="s">
        <v>33084</v>
      </c>
      <c r="G4778" s="4" t="s">
        <v>33085</v>
      </c>
      <c r="H4778" s="6"/>
      <c r="I4778" s="6"/>
      <c r="J4778" s="6"/>
      <c r="K4778" s="6"/>
      <c r="L4778" s="6"/>
      <c r="M4778" s="6"/>
      <c r="N4778" s="6"/>
      <c r="O4778" s="6"/>
      <c r="P4778" s="6"/>
      <c r="Q4778" s="6"/>
      <c r="R4778" s="6"/>
      <c r="S4778" s="6"/>
      <c r="T4778" s="6"/>
      <c r="U4778" s="6"/>
      <c r="V4778" s="6"/>
      <c r="W4778" s="6"/>
      <c r="X4778" s="6"/>
      <c r="Y4778" s="6"/>
      <c r="Z4778" s="6"/>
      <c r="AA4778" s="6"/>
    </row>
    <row r="4779" ht="14.25">
      <c r="B4779" s="14" t="s">
        <v>33077</v>
      </c>
      <c r="C4779" s="4" t="s">
        <v>33078</v>
      </c>
      <c r="D4779" s="4" t="s">
        <v>33086</v>
      </c>
      <c r="E4779" s="4" t="s">
        <v>33079</v>
      </c>
      <c r="F4779" s="4" t="s">
        <v>20</v>
      </c>
      <c r="G4779" s="4" t="s">
        <v>33087</v>
      </c>
      <c r="H4779" s="6"/>
      <c r="I4779" s="6"/>
      <c r="J4779" s="6"/>
      <c r="K4779" s="6"/>
      <c r="L4779" s="6"/>
      <c r="M4779" s="6"/>
      <c r="N4779" s="6"/>
      <c r="O4779" s="6"/>
      <c r="P4779" s="6"/>
      <c r="Q4779" s="6"/>
      <c r="R4779" s="6"/>
      <c r="S4779" s="6"/>
      <c r="T4779" s="6"/>
      <c r="U4779" s="6"/>
      <c r="V4779" s="6"/>
      <c r="W4779" s="6"/>
      <c r="X4779" s="6"/>
      <c r="Y4779" s="6"/>
      <c r="Z4779" s="6"/>
      <c r="AA4779" s="6"/>
    </row>
    <row r="4780" ht="14.25">
      <c r="B4780" s="14" t="s">
        <v>33077</v>
      </c>
      <c r="C4780" s="4" t="s">
        <v>33088</v>
      </c>
      <c r="D4780" s="4" t="s">
        <v>33089</v>
      </c>
      <c r="E4780" s="4" t="s">
        <v>33090</v>
      </c>
      <c r="F4780" s="4" t="s">
        <v>30872</v>
      </c>
      <c r="G4780" s="4" t="s">
        <v>33091</v>
      </c>
      <c r="H4780" s="6"/>
      <c r="I4780" s="6"/>
      <c r="J4780" s="6"/>
      <c r="K4780" s="6"/>
      <c r="L4780" s="6"/>
      <c r="M4780" s="6"/>
      <c r="N4780" s="6"/>
      <c r="O4780" s="6"/>
      <c r="P4780" s="6"/>
      <c r="Q4780" s="6"/>
      <c r="R4780" s="6"/>
      <c r="S4780" s="6"/>
      <c r="T4780" s="6"/>
      <c r="U4780" s="6"/>
      <c r="V4780" s="6"/>
      <c r="W4780" s="6"/>
      <c r="X4780" s="6"/>
      <c r="Y4780" s="6"/>
      <c r="Z4780" s="6"/>
      <c r="AA4780" s="6"/>
    </row>
    <row r="4781" ht="14.25">
      <c r="B4781" s="14" t="s">
        <v>33077</v>
      </c>
      <c r="C4781" s="4" t="s">
        <v>33092</v>
      </c>
      <c r="D4781" s="4" t="s">
        <v>33093</v>
      </c>
      <c r="E4781" s="4" t="s">
        <v>33094</v>
      </c>
      <c r="F4781" s="4" t="s">
        <v>7323</v>
      </c>
      <c r="G4781" s="4" t="s">
        <v>33095</v>
      </c>
      <c r="H4781" s="6"/>
      <c r="I4781" s="6"/>
      <c r="J4781" s="6"/>
      <c r="K4781" s="6"/>
      <c r="L4781" s="6"/>
      <c r="M4781" s="6"/>
      <c r="N4781" s="6"/>
      <c r="O4781" s="6"/>
      <c r="P4781" s="6"/>
      <c r="Q4781" s="6"/>
      <c r="R4781" s="6"/>
      <c r="S4781" s="6"/>
      <c r="T4781" s="6"/>
      <c r="U4781" s="6"/>
      <c r="V4781" s="6"/>
      <c r="W4781" s="6"/>
      <c r="X4781" s="6"/>
      <c r="Y4781" s="6"/>
      <c r="Z4781" s="6"/>
      <c r="AA4781" s="6"/>
    </row>
    <row r="4782" ht="14.25">
      <c r="B4782" s="14" t="s">
        <v>33077</v>
      </c>
      <c r="C4782" s="4" t="s">
        <v>33078</v>
      </c>
      <c r="D4782" s="4" t="s">
        <v>33096</v>
      </c>
      <c r="E4782" s="4" t="s">
        <v>33079</v>
      </c>
      <c r="F4782" s="4" t="s">
        <v>866</v>
      </c>
      <c r="G4782" s="4" t="s">
        <v>33097</v>
      </c>
      <c r="H4782" s="6"/>
      <c r="I4782" s="6"/>
      <c r="J4782" s="6"/>
      <c r="K4782" s="6"/>
      <c r="L4782" s="6"/>
      <c r="M4782" s="6"/>
      <c r="N4782" s="6"/>
      <c r="O4782" s="6"/>
      <c r="P4782" s="6"/>
      <c r="Q4782" s="6"/>
      <c r="R4782" s="6"/>
      <c r="S4782" s="6"/>
      <c r="T4782" s="6"/>
      <c r="U4782" s="6"/>
      <c r="V4782" s="6"/>
      <c r="W4782" s="6"/>
      <c r="X4782" s="6"/>
      <c r="Y4782" s="6"/>
      <c r="Z4782" s="6"/>
      <c r="AA4782" s="6"/>
    </row>
    <row r="4783" ht="14.25">
      <c r="B4783" s="14" t="s">
        <v>33098</v>
      </c>
      <c r="C4783" s="4" t="s">
        <v>33099</v>
      </c>
      <c r="D4783" s="4" t="s">
        <v>33100</v>
      </c>
      <c r="E4783" s="6"/>
      <c r="F4783" s="4" t="s">
        <v>31</v>
      </c>
      <c r="G4783" s="4" t="s">
        <v>33101</v>
      </c>
      <c r="H4783" s="6"/>
      <c r="I4783" s="6"/>
      <c r="J4783" s="6"/>
      <c r="K4783" s="6"/>
      <c r="L4783" s="6"/>
      <c r="M4783" s="6"/>
      <c r="N4783" s="6"/>
      <c r="O4783" s="6"/>
      <c r="P4783" s="6"/>
      <c r="Q4783" s="6"/>
      <c r="R4783" s="6"/>
      <c r="S4783" s="6"/>
      <c r="T4783" s="6"/>
      <c r="U4783" s="6"/>
      <c r="V4783" s="6"/>
      <c r="W4783" s="6"/>
      <c r="X4783" s="6"/>
      <c r="Y4783" s="6"/>
      <c r="Z4783" s="6"/>
      <c r="AA4783" s="6"/>
    </row>
    <row r="4784" ht="14.25">
      <c r="B4784" s="14" t="s">
        <v>33102</v>
      </c>
      <c r="C4784" s="4" t="s">
        <v>33103</v>
      </c>
      <c r="D4784" s="4" t="s">
        <v>33104</v>
      </c>
      <c r="E4784" s="6"/>
      <c r="F4784" s="4" t="s">
        <v>33054</v>
      </c>
      <c r="G4784" s="4" t="s">
        <v>33105</v>
      </c>
      <c r="H4784" s="6"/>
      <c r="I4784" s="6"/>
      <c r="J4784" s="6"/>
      <c r="K4784" s="6"/>
      <c r="L4784" s="6"/>
      <c r="M4784" s="6"/>
      <c r="N4784" s="6"/>
      <c r="O4784" s="6"/>
      <c r="P4784" s="6"/>
      <c r="Q4784" s="6"/>
      <c r="R4784" s="6"/>
      <c r="S4784" s="6"/>
      <c r="T4784" s="6"/>
      <c r="U4784" s="6"/>
      <c r="V4784" s="6"/>
      <c r="W4784" s="6"/>
      <c r="X4784" s="6"/>
      <c r="Y4784" s="6"/>
      <c r="Z4784" s="6"/>
      <c r="AA4784" s="6"/>
    </row>
    <row r="4785" ht="14.25">
      <c r="B4785" s="14" t="s">
        <v>33106</v>
      </c>
      <c r="C4785" s="4" t="s">
        <v>33107</v>
      </c>
      <c r="D4785" s="4" t="s">
        <v>33108</v>
      </c>
      <c r="E4785" s="4" t="s">
        <v>33109</v>
      </c>
      <c r="F4785" s="4" t="s">
        <v>33110</v>
      </c>
      <c r="G4785" s="4" t="s">
        <v>33111</v>
      </c>
      <c r="H4785" s="6"/>
      <c r="I4785" s="6"/>
      <c r="J4785" s="6"/>
      <c r="K4785" s="6"/>
      <c r="L4785" s="6"/>
      <c r="M4785" s="6"/>
      <c r="N4785" s="6"/>
      <c r="O4785" s="6"/>
      <c r="P4785" s="6"/>
      <c r="Q4785" s="6"/>
      <c r="R4785" s="6"/>
      <c r="S4785" s="6"/>
      <c r="T4785" s="6"/>
      <c r="U4785" s="6"/>
      <c r="V4785" s="6"/>
      <c r="W4785" s="6"/>
      <c r="X4785" s="6"/>
      <c r="Y4785" s="6"/>
      <c r="Z4785" s="6"/>
      <c r="AA4785" s="6"/>
    </row>
    <row r="4786" ht="14.25">
      <c r="B4786" s="14" t="s">
        <v>33106</v>
      </c>
      <c r="C4786" s="4" t="s">
        <v>33107</v>
      </c>
      <c r="D4786" s="4" t="s">
        <v>33112</v>
      </c>
      <c r="E4786" s="4" t="s">
        <v>33109</v>
      </c>
      <c r="F4786" s="4" t="s">
        <v>76</v>
      </c>
      <c r="G4786" s="4" t="s">
        <v>33113</v>
      </c>
      <c r="H4786" s="6"/>
      <c r="I4786" s="6"/>
      <c r="J4786" s="6"/>
      <c r="K4786" s="6"/>
      <c r="L4786" s="6"/>
      <c r="M4786" s="6"/>
      <c r="N4786" s="6"/>
      <c r="O4786" s="6"/>
      <c r="P4786" s="6"/>
      <c r="Q4786" s="6"/>
      <c r="R4786" s="6"/>
      <c r="S4786" s="6"/>
      <c r="T4786" s="6"/>
      <c r="U4786" s="6"/>
      <c r="V4786" s="6"/>
      <c r="W4786" s="6"/>
      <c r="X4786" s="6"/>
      <c r="Y4786" s="6"/>
      <c r="Z4786" s="6"/>
      <c r="AA4786" s="6"/>
    </row>
    <row r="4787" ht="14.25">
      <c r="B4787" s="14" t="s">
        <v>33106</v>
      </c>
      <c r="C4787" s="4" t="s">
        <v>33107</v>
      </c>
      <c r="D4787" s="4" t="s">
        <v>33114</v>
      </c>
      <c r="E4787" s="4" t="s">
        <v>33109</v>
      </c>
      <c r="F4787" s="4" t="s">
        <v>1353</v>
      </c>
      <c r="G4787" s="4" t="s">
        <v>33115</v>
      </c>
      <c r="H4787" s="6"/>
      <c r="I4787" s="6"/>
      <c r="J4787" s="6"/>
      <c r="K4787" s="6"/>
      <c r="L4787" s="6"/>
      <c r="M4787" s="6"/>
      <c r="N4787" s="6"/>
      <c r="O4787" s="6"/>
      <c r="P4787" s="6"/>
      <c r="Q4787" s="6"/>
      <c r="R4787" s="6"/>
      <c r="S4787" s="6"/>
      <c r="T4787" s="6"/>
      <c r="U4787" s="6"/>
      <c r="V4787" s="6"/>
      <c r="W4787" s="6"/>
      <c r="X4787" s="6"/>
      <c r="Y4787" s="6"/>
      <c r="Z4787" s="6"/>
      <c r="AA4787" s="6"/>
    </row>
    <row r="4788" ht="14.25">
      <c r="B4788" s="14" t="s">
        <v>33116</v>
      </c>
      <c r="C4788" s="4" t="s">
        <v>33117</v>
      </c>
      <c r="D4788" s="4" t="s">
        <v>33118</v>
      </c>
      <c r="E4788" s="4" t="s">
        <v>33119</v>
      </c>
      <c r="F4788" s="4" t="s">
        <v>32548</v>
      </c>
      <c r="G4788" s="4" t="s">
        <v>33120</v>
      </c>
      <c r="H4788" s="6"/>
      <c r="I4788" s="6"/>
      <c r="J4788" s="6"/>
      <c r="K4788" s="6"/>
      <c r="L4788" s="6"/>
      <c r="M4788" s="6"/>
      <c r="N4788" s="6"/>
      <c r="O4788" s="6"/>
      <c r="P4788" s="6"/>
      <c r="Q4788" s="6"/>
      <c r="R4788" s="6"/>
      <c r="S4788" s="6"/>
      <c r="T4788" s="6"/>
      <c r="U4788" s="6"/>
      <c r="V4788" s="6"/>
      <c r="W4788" s="6"/>
      <c r="X4788" s="6"/>
      <c r="Y4788" s="6"/>
      <c r="Z4788" s="6"/>
      <c r="AA4788" s="6"/>
    </row>
    <row r="4789" ht="14.25">
      <c r="B4789" s="14" t="s">
        <v>33121</v>
      </c>
      <c r="C4789" s="4" t="s">
        <v>33122</v>
      </c>
      <c r="D4789" s="4" t="s">
        <v>33123</v>
      </c>
      <c r="E4789" s="4" t="s">
        <v>33124</v>
      </c>
      <c r="F4789" s="4" t="s">
        <v>579</v>
      </c>
      <c r="G4789" s="4" t="s">
        <v>33125</v>
      </c>
      <c r="H4789" s="6"/>
      <c r="I4789" s="6"/>
      <c r="J4789" s="6"/>
      <c r="K4789" s="6"/>
      <c r="L4789" s="6"/>
      <c r="M4789" s="6"/>
      <c r="N4789" s="6"/>
      <c r="O4789" s="6"/>
      <c r="P4789" s="6"/>
      <c r="Q4789" s="6"/>
      <c r="R4789" s="6"/>
      <c r="S4789" s="6"/>
      <c r="T4789" s="6"/>
      <c r="U4789" s="6"/>
      <c r="V4789" s="6"/>
      <c r="W4789" s="6"/>
      <c r="X4789" s="6"/>
      <c r="Y4789" s="6"/>
      <c r="Z4789" s="6"/>
      <c r="AA4789" s="6"/>
    </row>
    <row r="4790" ht="14.25">
      <c r="B4790" s="14" t="s">
        <v>33126</v>
      </c>
      <c r="C4790" s="4" t="s">
        <v>33127</v>
      </c>
      <c r="D4790" s="4" t="s">
        <v>33128</v>
      </c>
      <c r="E4790" s="4" t="s">
        <v>33129</v>
      </c>
      <c r="F4790" s="4" t="s">
        <v>11873</v>
      </c>
      <c r="G4790" s="4" t="s">
        <v>33130</v>
      </c>
      <c r="H4790" s="6"/>
      <c r="I4790" s="6"/>
      <c r="J4790" s="6"/>
      <c r="K4790" s="6"/>
      <c r="L4790" s="6"/>
      <c r="M4790" s="6"/>
      <c r="N4790" s="6"/>
      <c r="O4790" s="6"/>
      <c r="P4790" s="6"/>
      <c r="Q4790" s="6"/>
      <c r="R4790" s="6"/>
      <c r="S4790" s="6"/>
      <c r="T4790" s="6"/>
      <c r="U4790" s="6"/>
      <c r="V4790" s="6"/>
      <c r="W4790" s="6"/>
      <c r="X4790" s="6"/>
      <c r="Y4790" s="6"/>
      <c r="Z4790" s="6"/>
      <c r="AA4790" s="6"/>
    </row>
    <row r="4791" ht="14.25">
      <c r="B4791" s="14" t="s">
        <v>33131</v>
      </c>
      <c r="C4791" s="4" t="s">
        <v>33132</v>
      </c>
      <c r="D4791" s="4" t="s">
        <v>33133</v>
      </c>
      <c r="E4791" s="4" t="s">
        <v>33134</v>
      </c>
      <c r="F4791" s="4" t="s">
        <v>33135</v>
      </c>
      <c r="G4791" s="4" t="s">
        <v>33136</v>
      </c>
      <c r="H4791" s="6"/>
      <c r="I4791" s="6"/>
      <c r="J4791" s="6"/>
      <c r="K4791" s="6"/>
      <c r="L4791" s="6"/>
      <c r="M4791" s="6"/>
      <c r="N4791" s="6"/>
      <c r="O4791" s="6"/>
      <c r="P4791" s="6"/>
      <c r="Q4791" s="6"/>
      <c r="R4791" s="6"/>
      <c r="S4791" s="6"/>
      <c r="T4791" s="6"/>
      <c r="U4791" s="6"/>
      <c r="V4791" s="6"/>
      <c r="W4791" s="6"/>
      <c r="X4791" s="6"/>
      <c r="Y4791" s="6"/>
      <c r="Z4791" s="6"/>
      <c r="AA4791" s="6"/>
    </row>
    <row r="4792" ht="14.25">
      <c r="B4792" s="14" t="s">
        <v>33137</v>
      </c>
      <c r="C4792" s="4" t="s">
        <v>33138</v>
      </c>
      <c r="D4792" s="4" t="s">
        <v>33139</v>
      </c>
      <c r="E4792" s="4" t="s">
        <v>33140</v>
      </c>
      <c r="F4792" s="4" t="s">
        <v>866</v>
      </c>
      <c r="G4792" s="4" t="s">
        <v>33141</v>
      </c>
      <c r="H4792" s="6"/>
      <c r="I4792" s="6"/>
      <c r="J4792" s="6"/>
      <c r="K4792" s="6"/>
      <c r="L4792" s="6"/>
      <c r="M4792" s="6"/>
      <c r="N4792" s="6"/>
      <c r="O4792" s="6"/>
      <c r="P4792" s="6"/>
      <c r="Q4792" s="6"/>
      <c r="R4792" s="6"/>
      <c r="S4792" s="6"/>
      <c r="T4792" s="6"/>
      <c r="U4792" s="6"/>
      <c r="V4792" s="6"/>
      <c r="W4792" s="6"/>
      <c r="X4792" s="6"/>
      <c r="Y4792" s="6"/>
      <c r="Z4792" s="6"/>
      <c r="AA4792" s="6"/>
    </row>
    <row r="4793" ht="14.25">
      <c r="B4793" s="14" t="s">
        <v>33142</v>
      </c>
      <c r="C4793" s="4" t="s">
        <v>33143</v>
      </c>
      <c r="D4793" s="4" t="s">
        <v>33144</v>
      </c>
      <c r="E4793" s="6"/>
      <c r="F4793" s="4" t="s">
        <v>2625</v>
      </c>
      <c r="G4793" s="4" t="s">
        <v>33145</v>
      </c>
      <c r="H4793" s="6"/>
      <c r="I4793" s="6"/>
      <c r="J4793" s="6"/>
      <c r="K4793" s="6"/>
      <c r="L4793" s="6"/>
      <c r="M4793" s="6"/>
      <c r="N4793" s="6"/>
      <c r="O4793" s="6"/>
      <c r="P4793" s="6"/>
      <c r="Q4793" s="6"/>
      <c r="R4793" s="6"/>
      <c r="S4793" s="6"/>
      <c r="T4793" s="6"/>
      <c r="U4793" s="6"/>
      <c r="V4793" s="6"/>
      <c r="W4793" s="6"/>
      <c r="X4793" s="6"/>
      <c r="Y4793" s="6"/>
      <c r="Z4793" s="6"/>
      <c r="AA4793" s="6"/>
    </row>
    <row r="4794" ht="14.25">
      <c r="B4794" s="14" t="s">
        <v>33142</v>
      </c>
      <c r="C4794" s="4" t="s">
        <v>33146</v>
      </c>
      <c r="D4794" s="4" t="s">
        <v>33147</v>
      </c>
      <c r="E4794" s="6"/>
      <c r="F4794" s="4" t="s">
        <v>30381</v>
      </c>
      <c r="G4794" s="4" t="s">
        <v>33148</v>
      </c>
      <c r="H4794" s="6"/>
      <c r="I4794" s="6"/>
      <c r="J4794" s="6"/>
      <c r="K4794" s="6"/>
      <c r="L4794" s="6"/>
      <c r="M4794" s="6"/>
      <c r="N4794" s="6"/>
      <c r="O4794" s="6"/>
      <c r="P4794" s="6"/>
      <c r="Q4794" s="6"/>
      <c r="R4794" s="6"/>
      <c r="S4794" s="6"/>
      <c r="T4794" s="6"/>
      <c r="U4794" s="6"/>
      <c r="V4794" s="6"/>
      <c r="W4794" s="6"/>
      <c r="X4794" s="6"/>
      <c r="Y4794" s="6"/>
      <c r="Z4794" s="6"/>
      <c r="AA4794" s="6"/>
    </row>
    <row r="4795" ht="14.25">
      <c r="B4795" s="14" t="s">
        <v>33149</v>
      </c>
      <c r="C4795" s="4" t="s">
        <v>33150</v>
      </c>
      <c r="D4795" s="4" t="s">
        <v>33151</v>
      </c>
      <c r="E4795" s="4" t="s">
        <v>33152</v>
      </c>
      <c r="F4795" s="4" t="s">
        <v>866</v>
      </c>
      <c r="G4795" s="4" t="s">
        <v>33153</v>
      </c>
      <c r="H4795" s="6"/>
      <c r="I4795" s="6"/>
      <c r="J4795" s="6"/>
      <c r="K4795" s="6"/>
      <c r="L4795" s="6"/>
      <c r="M4795" s="6"/>
      <c r="N4795" s="6"/>
      <c r="O4795" s="6"/>
      <c r="P4795" s="6"/>
      <c r="Q4795" s="6"/>
      <c r="R4795" s="6"/>
      <c r="S4795" s="6"/>
      <c r="T4795" s="6"/>
      <c r="U4795" s="6"/>
      <c r="V4795" s="6"/>
      <c r="W4795" s="6"/>
      <c r="X4795" s="6"/>
      <c r="Y4795" s="6"/>
      <c r="Z4795" s="6"/>
      <c r="AA4795" s="6"/>
    </row>
    <row r="4796" ht="14.25">
      <c r="B4796" s="14" t="s">
        <v>33149</v>
      </c>
      <c r="C4796" s="4" t="s">
        <v>33154</v>
      </c>
      <c r="D4796" s="4" t="s">
        <v>33155</v>
      </c>
      <c r="E4796" s="4" t="s">
        <v>33156</v>
      </c>
      <c r="F4796" s="4" t="s">
        <v>963</v>
      </c>
      <c r="G4796" s="4" t="s">
        <v>33157</v>
      </c>
      <c r="H4796" s="6"/>
      <c r="I4796" s="6"/>
      <c r="J4796" s="6"/>
      <c r="K4796" s="6"/>
      <c r="L4796" s="6"/>
      <c r="M4796" s="6"/>
      <c r="N4796" s="6"/>
      <c r="O4796" s="6"/>
      <c r="P4796" s="6"/>
      <c r="Q4796" s="6"/>
      <c r="R4796" s="6"/>
      <c r="S4796" s="6"/>
      <c r="T4796" s="6"/>
      <c r="U4796" s="6"/>
      <c r="V4796" s="6"/>
      <c r="W4796" s="6"/>
      <c r="X4796" s="6"/>
      <c r="Y4796" s="6"/>
      <c r="Z4796" s="6"/>
      <c r="AA4796" s="6"/>
    </row>
    <row r="4797" ht="14.25">
      <c r="B4797" s="14" t="s">
        <v>33149</v>
      </c>
      <c r="C4797" s="4" t="s">
        <v>33150</v>
      </c>
      <c r="D4797" s="4" t="s">
        <v>33158</v>
      </c>
      <c r="E4797" s="4" t="s">
        <v>33152</v>
      </c>
      <c r="F4797" s="4" t="s">
        <v>1667</v>
      </c>
      <c r="G4797" s="4" t="s">
        <v>33159</v>
      </c>
      <c r="H4797" s="6"/>
      <c r="I4797" s="6"/>
      <c r="J4797" s="6"/>
      <c r="K4797" s="6"/>
      <c r="L4797" s="6"/>
      <c r="M4797" s="6"/>
      <c r="N4797" s="6"/>
      <c r="O4797" s="6"/>
      <c r="P4797" s="6"/>
      <c r="Q4797" s="6"/>
      <c r="R4797" s="6"/>
      <c r="S4797" s="6"/>
      <c r="T4797" s="6"/>
      <c r="U4797" s="6"/>
      <c r="V4797" s="6"/>
      <c r="W4797" s="6"/>
      <c r="X4797" s="6"/>
      <c r="Y4797" s="6"/>
      <c r="Z4797" s="6"/>
      <c r="AA4797" s="6"/>
    </row>
    <row r="4798" ht="14.25">
      <c r="B4798" s="14" t="s">
        <v>33149</v>
      </c>
      <c r="C4798" s="4" t="s">
        <v>33150</v>
      </c>
      <c r="D4798" s="4" t="s">
        <v>33160</v>
      </c>
      <c r="E4798" s="4" t="s">
        <v>33152</v>
      </c>
      <c r="F4798" s="4" t="s">
        <v>355</v>
      </c>
      <c r="G4798" s="4" t="s">
        <v>33161</v>
      </c>
      <c r="H4798" s="6"/>
      <c r="I4798" s="6"/>
      <c r="J4798" s="6"/>
      <c r="K4798" s="6"/>
      <c r="L4798" s="6"/>
      <c r="M4798" s="6"/>
      <c r="N4798" s="6"/>
      <c r="O4798" s="6"/>
      <c r="P4798" s="6"/>
      <c r="Q4798" s="6"/>
      <c r="R4798" s="6"/>
      <c r="S4798" s="6"/>
      <c r="T4798" s="6"/>
      <c r="U4798" s="6"/>
      <c r="V4798" s="6"/>
      <c r="W4798" s="6"/>
      <c r="X4798" s="6"/>
      <c r="Y4798" s="6"/>
      <c r="Z4798" s="6"/>
      <c r="AA4798" s="6"/>
    </row>
    <row r="4799" ht="14.25">
      <c r="B4799" s="14" t="s">
        <v>33149</v>
      </c>
      <c r="C4799" s="4" t="s">
        <v>33162</v>
      </c>
      <c r="D4799" s="4" t="s">
        <v>33163</v>
      </c>
      <c r="E4799" s="4" t="s">
        <v>33164</v>
      </c>
      <c r="F4799" s="4" t="s">
        <v>32616</v>
      </c>
      <c r="G4799" s="4" t="s">
        <v>33165</v>
      </c>
      <c r="H4799" s="6"/>
      <c r="I4799" s="6"/>
      <c r="J4799" s="6"/>
      <c r="K4799" s="6"/>
      <c r="L4799" s="6"/>
      <c r="M4799" s="6"/>
      <c r="N4799" s="6"/>
      <c r="O4799" s="6"/>
      <c r="P4799" s="6"/>
      <c r="Q4799" s="6"/>
      <c r="R4799" s="6"/>
      <c r="S4799" s="6"/>
      <c r="T4799" s="6"/>
      <c r="U4799" s="6"/>
      <c r="V4799" s="6"/>
      <c r="W4799" s="6"/>
      <c r="X4799" s="6"/>
      <c r="Y4799" s="6"/>
      <c r="Z4799" s="6"/>
      <c r="AA4799" s="6"/>
    </row>
    <row r="4800" ht="14.25">
      <c r="B4800" s="14" t="s">
        <v>33149</v>
      </c>
      <c r="C4800" s="4" t="s">
        <v>33166</v>
      </c>
      <c r="D4800" s="4" t="s">
        <v>33167</v>
      </c>
      <c r="E4800" s="6"/>
      <c r="F4800" s="4" t="s">
        <v>1592</v>
      </c>
      <c r="G4800" s="4" t="s">
        <v>33168</v>
      </c>
      <c r="H4800" s="6"/>
      <c r="I4800" s="6"/>
      <c r="J4800" s="6"/>
      <c r="K4800" s="6"/>
      <c r="L4800" s="6"/>
      <c r="M4800" s="6"/>
      <c r="N4800" s="6"/>
      <c r="O4800" s="6"/>
      <c r="P4800" s="6"/>
      <c r="Q4800" s="6"/>
      <c r="R4800" s="6"/>
      <c r="S4800" s="6"/>
      <c r="T4800" s="6"/>
      <c r="U4800" s="6"/>
      <c r="V4800" s="6"/>
      <c r="W4800" s="6"/>
      <c r="X4800" s="6"/>
      <c r="Y4800" s="6"/>
      <c r="Z4800" s="6"/>
      <c r="AA4800" s="6"/>
    </row>
    <row r="4801" ht="14.25">
      <c r="B4801" s="14" t="s">
        <v>32956</v>
      </c>
      <c r="C4801" s="4" t="s">
        <v>33169</v>
      </c>
      <c r="D4801" s="4" t="s">
        <v>33170</v>
      </c>
      <c r="E4801" s="6"/>
      <c r="F4801" s="4" t="s">
        <v>808</v>
      </c>
      <c r="G4801" s="4" t="s">
        <v>33171</v>
      </c>
      <c r="H4801" s="6"/>
      <c r="I4801" s="6"/>
      <c r="J4801" s="6"/>
      <c r="K4801" s="6"/>
      <c r="L4801" s="6"/>
      <c r="M4801" s="6"/>
      <c r="N4801" s="6"/>
      <c r="O4801" s="6"/>
      <c r="P4801" s="6"/>
      <c r="Q4801" s="6"/>
      <c r="R4801" s="6"/>
      <c r="S4801" s="6"/>
      <c r="T4801" s="6"/>
      <c r="U4801" s="6"/>
      <c r="V4801" s="6"/>
      <c r="W4801" s="6"/>
      <c r="X4801" s="6"/>
      <c r="Y4801" s="6"/>
      <c r="Z4801" s="6"/>
      <c r="AA4801" s="6"/>
    </row>
    <row r="4802" ht="14.25">
      <c r="B4802" s="14" t="s">
        <v>33172</v>
      </c>
      <c r="C4802" s="4" t="s">
        <v>33173</v>
      </c>
      <c r="D4802" s="4" t="s">
        <v>33174</v>
      </c>
      <c r="E4802" s="4" t="s">
        <v>33175</v>
      </c>
      <c r="F4802" s="4" t="s">
        <v>6243</v>
      </c>
      <c r="G4802" s="4" t="s">
        <v>33176</v>
      </c>
      <c r="H4802" s="6"/>
      <c r="I4802" s="6"/>
      <c r="J4802" s="6"/>
      <c r="K4802" s="6"/>
      <c r="L4802" s="6"/>
      <c r="M4802" s="6"/>
      <c r="N4802" s="6"/>
      <c r="O4802" s="6"/>
      <c r="P4802" s="6"/>
      <c r="Q4802" s="6"/>
      <c r="R4802" s="6"/>
      <c r="S4802" s="6"/>
      <c r="T4802" s="6"/>
      <c r="U4802" s="6"/>
      <c r="V4802" s="6"/>
      <c r="W4802" s="6"/>
      <c r="X4802" s="6"/>
      <c r="Y4802" s="6"/>
      <c r="Z4802" s="6"/>
      <c r="AA4802" s="6"/>
    </row>
    <row r="4803" ht="14.25">
      <c r="B4803" s="14" t="s">
        <v>33177</v>
      </c>
      <c r="C4803" s="4" t="s">
        <v>33178</v>
      </c>
      <c r="D4803" s="4" t="s">
        <v>33179</v>
      </c>
      <c r="E4803" s="4" t="s">
        <v>33180</v>
      </c>
      <c r="F4803" s="4" t="s">
        <v>33181</v>
      </c>
      <c r="G4803" s="4" t="s">
        <v>33182</v>
      </c>
      <c r="H4803" s="6"/>
      <c r="I4803" s="6"/>
      <c r="J4803" s="6"/>
      <c r="K4803" s="6"/>
      <c r="L4803" s="6"/>
      <c r="M4803" s="6"/>
      <c r="N4803" s="6"/>
      <c r="O4803" s="6"/>
      <c r="P4803" s="6"/>
      <c r="Q4803" s="6"/>
      <c r="R4803" s="6"/>
      <c r="S4803" s="6"/>
      <c r="T4803" s="6"/>
      <c r="U4803" s="6"/>
      <c r="V4803" s="6"/>
      <c r="W4803" s="6"/>
      <c r="X4803" s="6"/>
      <c r="Y4803" s="6"/>
      <c r="Z4803" s="6"/>
      <c r="AA4803" s="6"/>
    </row>
    <row r="4804" ht="14.25">
      <c r="B4804" s="14" t="s">
        <v>33177</v>
      </c>
      <c r="C4804" s="4" t="s">
        <v>33178</v>
      </c>
      <c r="D4804" s="4" t="s">
        <v>33183</v>
      </c>
      <c r="E4804" s="4" t="s">
        <v>33180</v>
      </c>
      <c r="F4804" s="4" t="s">
        <v>33184</v>
      </c>
      <c r="G4804" s="4" t="s">
        <v>33185</v>
      </c>
      <c r="H4804" s="6"/>
      <c r="I4804" s="6"/>
      <c r="J4804" s="6"/>
      <c r="K4804" s="6"/>
      <c r="L4804" s="6"/>
      <c r="M4804" s="6"/>
      <c r="N4804" s="6"/>
      <c r="O4804" s="6"/>
      <c r="P4804" s="6"/>
      <c r="Q4804" s="6"/>
      <c r="R4804" s="6"/>
      <c r="S4804" s="6"/>
      <c r="T4804" s="6"/>
      <c r="U4804" s="6"/>
      <c r="V4804" s="6"/>
      <c r="W4804" s="6"/>
      <c r="X4804" s="6"/>
      <c r="Y4804" s="6"/>
      <c r="Z4804" s="6"/>
      <c r="AA4804" s="6"/>
    </row>
    <row r="4805" ht="14.25">
      <c r="B4805" s="14" t="s">
        <v>33186</v>
      </c>
      <c r="C4805" s="4" t="s">
        <v>33187</v>
      </c>
      <c r="D4805" s="4" t="s">
        <v>33188</v>
      </c>
      <c r="E4805" s="4" t="s">
        <v>33189</v>
      </c>
      <c r="F4805" s="4" t="s">
        <v>1900</v>
      </c>
      <c r="G4805" s="4" t="s">
        <v>33190</v>
      </c>
      <c r="H4805" s="6"/>
      <c r="I4805" s="6"/>
      <c r="J4805" s="6"/>
      <c r="K4805" s="6"/>
      <c r="L4805" s="6"/>
      <c r="M4805" s="6"/>
      <c r="N4805" s="6"/>
      <c r="O4805" s="6"/>
      <c r="P4805" s="6"/>
      <c r="Q4805" s="6"/>
      <c r="R4805" s="6"/>
      <c r="S4805" s="6"/>
      <c r="T4805" s="6"/>
      <c r="U4805" s="6"/>
      <c r="V4805" s="6"/>
      <c r="W4805" s="6"/>
      <c r="X4805" s="6"/>
      <c r="Y4805" s="6"/>
      <c r="Z4805" s="6"/>
      <c r="AA4805" s="6"/>
    </row>
    <row r="4806" ht="14.25">
      <c r="B4806" s="14" t="s">
        <v>33186</v>
      </c>
      <c r="C4806" s="4" t="s">
        <v>33187</v>
      </c>
      <c r="D4806" s="4" t="s">
        <v>33191</v>
      </c>
      <c r="E4806" s="4" t="s">
        <v>33189</v>
      </c>
      <c r="F4806" s="4" t="s">
        <v>1215</v>
      </c>
      <c r="G4806" s="4" t="s">
        <v>33192</v>
      </c>
      <c r="H4806" s="6"/>
      <c r="I4806" s="6"/>
      <c r="J4806" s="6"/>
      <c r="K4806" s="6"/>
      <c r="L4806" s="6"/>
      <c r="M4806" s="6"/>
      <c r="N4806" s="6"/>
      <c r="O4806" s="6"/>
      <c r="P4806" s="6"/>
      <c r="Q4806" s="6"/>
      <c r="R4806" s="6"/>
      <c r="S4806" s="6"/>
      <c r="T4806" s="6"/>
      <c r="U4806" s="6"/>
      <c r="V4806" s="6"/>
      <c r="W4806" s="6"/>
      <c r="X4806" s="6"/>
      <c r="Y4806" s="6"/>
      <c r="Z4806" s="6"/>
      <c r="AA4806" s="6"/>
    </row>
    <row r="4807" ht="14.25">
      <c r="B4807" s="14" t="s">
        <v>33193</v>
      </c>
      <c r="C4807" s="4" t="s">
        <v>33194</v>
      </c>
      <c r="D4807" s="4" t="s">
        <v>33195</v>
      </c>
      <c r="E4807" s="4" t="s">
        <v>33196</v>
      </c>
      <c r="F4807" s="4" t="s">
        <v>32831</v>
      </c>
      <c r="G4807" s="4" t="s">
        <v>33197</v>
      </c>
      <c r="H4807" s="6"/>
      <c r="I4807" s="6"/>
      <c r="J4807" s="6"/>
      <c r="K4807" s="6"/>
      <c r="L4807" s="6"/>
      <c r="M4807" s="6"/>
      <c r="N4807" s="6"/>
      <c r="O4807" s="6"/>
      <c r="P4807" s="6"/>
      <c r="Q4807" s="6"/>
      <c r="R4807" s="6"/>
      <c r="S4807" s="6"/>
      <c r="T4807" s="6"/>
      <c r="U4807" s="6"/>
      <c r="V4807" s="6"/>
      <c r="W4807" s="6"/>
      <c r="X4807" s="6"/>
      <c r="Y4807" s="6"/>
      <c r="Z4807" s="6"/>
      <c r="AA4807" s="6"/>
    </row>
    <row r="4808" ht="14.25">
      <c r="B4808" s="14" t="s">
        <v>33193</v>
      </c>
      <c r="C4808" s="4" t="s">
        <v>33198</v>
      </c>
      <c r="D4808" s="4" t="s">
        <v>33199</v>
      </c>
      <c r="E4808" s="4" t="s">
        <v>33200</v>
      </c>
      <c r="F4808" s="4" t="s">
        <v>32622</v>
      </c>
      <c r="G4808" s="4" t="s">
        <v>33201</v>
      </c>
      <c r="H4808" s="6"/>
      <c r="I4808" s="6"/>
      <c r="J4808" s="6"/>
      <c r="K4808" s="6"/>
      <c r="L4808" s="6"/>
      <c r="M4808" s="6"/>
      <c r="N4808" s="6"/>
      <c r="O4808" s="6"/>
      <c r="P4808" s="6"/>
      <c r="Q4808" s="6"/>
      <c r="R4808" s="6"/>
      <c r="S4808" s="6"/>
      <c r="T4808" s="6"/>
      <c r="U4808" s="6"/>
      <c r="V4808" s="6"/>
      <c r="W4808" s="6"/>
      <c r="X4808" s="6"/>
      <c r="Y4808" s="6"/>
      <c r="Z4808" s="6"/>
      <c r="AA4808" s="6"/>
    </row>
    <row r="4809" ht="14.25">
      <c r="B4809" s="14" t="s">
        <v>33193</v>
      </c>
      <c r="C4809" s="4" t="s">
        <v>33202</v>
      </c>
      <c r="D4809" s="4" t="s">
        <v>33203</v>
      </c>
      <c r="E4809" s="4" t="s">
        <v>33204</v>
      </c>
      <c r="F4809" s="4" t="s">
        <v>679</v>
      </c>
      <c r="G4809" s="4" t="s">
        <v>33205</v>
      </c>
      <c r="H4809" s="6"/>
      <c r="I4809" s="6"/>
      <c r="J4809" s="6"/>
      <c r="K4809" s="6"/>
      <c r="L4809" s="6"/>
      <c r="M4809" s="6"/>
      <c r="N4809" s="6"/>
      <c r="O4809" s="6"/>
      <c r="P4809" s="6"/>
      <c r="Q4809" s="6"/>
      <c r="R4809" s="6"/>
      <c r="S4809" s="6"/>
      <c r="T4809" s="6"/>
      <c r="U4809" s="6"/>
      <c r="V4809" s="6"/>
      <c r="W4809" s="6"/>
      <c r="X4809" s="6"/>
      <c r="Y4809" s="6"/>
      <c r="Z4809" s="6"/>
      <c r="AA4809" s="6"/>
    </row>
    <row r="4810" ht="14.25">
      <c r="B4810" s="14" t="s">
        <v>33193</v>
      </c>
      <c r="C4810" s="4" t="s">
        <v>33206</v>
      </c>
      <c r="D4810" s="4" t="s">
        <v>33207</v>
      </c>
      <c r="E4810" s="4" t="s">
        <v>33208</v>
      </c>
      <c r="F4810" s="4" t="s">
        <v>1740</v>
      </c>
      <c r="G4810" s="4" t="s">
        <v>33209</v>
      </c>
      <c r="H4810" s="6"/>
      <c r="I4810" s="6"/>
      <c r="J4810" s="6"/>
      <c r="K4810" s="6"/>
      <c r="L4810" s="6"/>
      <c r="M4810" s="6"/>
      <c r="N4810" s="6"/>
      <c r="O4810" s="6"/>
      <c r="P4810" s="6"/>
      <c r="Q4810" s="6"/>
      <c r="R4810" s="6"/>
      <c r="S4810" s="6"/>
      <c r="T4810" s="6"/>
      <c r="U4810" s="6"/>
      <c r="V4810" s="6"/>
      <c r="W4810" s="6"/>
      <c r="X4810" s="6"/>
      <c r="Y4810" s="6"/>
      <c r="Z4810" s="6"/>
      <c r="AA4810" s="6"/>
    </row>
    <row r="4811" ht="14.25">
      <c r="B4811" s="14" t="s">
        <v>33193</v>
      </c>
      <c r="C4811" s="4" t="s">
        <v>33210</v>
      </c>
      <c r="D4811" s="4" t="s">
        <v>33211</v>
      </c>
      <c r="E4811" s="4" t="s">
        <v>33212</v>
      </c>
      <c r="F4811" s="4" t="s">
        <v>2508</v>
      </c>
      <c r="G4811" s="4" t="s">
        <v>33213</v>
      </c>
      <c r="H4811" s="6"/>
      <c r="I4811" s="6"/>
      <c r="J4811" s="6"/>
      <c r="K4811" s="6"/>
      <c r="L4811" s="6"/>
      <c r="M4811" s="6"/>
      <c r="N4811" s="6"/>
      <c r="O4811" s="6"/>
      <c r="P4811" s="6"/>
      <c r="Q4811" s="6"/>
      <c r="R4811" s="6"/>
      <c r="S4811" s="6"/>
      <c r="T4811" s="6"/>
      <c r="U4811" s="6"/>
      <c r="V4811" s="6"/>
      <c r="W4811" s="6"/>
      <c r="X4811" s="6"/>
      <c r="Y4811" s="6"/>
      <c r="Z4811" s="6"/>
      <c r="AA4811" s="6"/>
    </row>
    <row r="4812" ht="14.25">
      <c r="B4812" s="14" t="s">
        <v>33193</v>
      </c>
      <c r="C4812" s="4" t="s">
        <v>33206</v>
      </c>
      <c r="D4812" s="4" t="s">
        <v>33214</v>
      </c>
      <c r="E4812" s="4" t="s">
        <v>33208</v>
      </c>
      <c r="F4812" s="4" t="s">
        <v>6356</v>
      </c>
      <c r="G4812" s="4" t="s">
        <v>33215</v>
      </c>
      <c r="H4812" s="6"/>
      <c r="I4812" s="6"/>
      <c r="J4812" s="6"/>
      <c r="K4812" s="6"/>
      <c r="L4812" s="6"/>
      <c r="M4812" s="6"/>
      <c r="N4812" s="6"/>
      <c r="O4812" s="6"/>
      <c r="P4812" s="6"/>
      <c r="Q4812" s="6"/>
      <c r="R4812" s="6"/>
      <c r="S4812" s="6"/>
      <c r="T4812" s="6"/>
      <c r="U4812" s="6"/>
      <c r="V4812" s="6"/>
      <c r="W4812" s="6"/>
      <c r="X4812" s="6"/>
      <c r="Y4812" s="6"/>
      <c r="Z4812" s="6"/>
      <c r="AA4812" s="6"/>
    </row>
    <row r="4813" ht="14.25">
      <c r="B4813" s="14" t="s">
        <v>33193</v>
      </c>
      <c r="C4813" s="4" t="s">
        <v>33202</v>
      </c>
      <c r="D4813" s="4" t="s">
        <v>33216</v>
      </c>
      <c r="E4813" s="4" t="s">
        <v>33204</v>
      </c>
      <c r="F4813" s="4" t="s">
        <v>33217</v>
      </c>
      <c r="G4813" s="4" t="s">
        <v>33218</v>
      </c>
      <c r="H4813" s="6"/>
      <c r="I4813" s="6"/>
      <c r="J4813" s="6"/>
      <c r="K4813" s="6"/>
      <c r="L4813" s="6"/>
      <c r="M4813" s="6"/>
      <c r="N4813" s="6"/>
      <c r="O4813" s="6"/>
      <c r="P4813" s="6"/>
      <c r="Q4813" s="6"/>
      <c r="R4813" s="6"/>
      <c r="S4813" s="6"/>
      <c r="T4813" s="6"/>
      <c r="U4813" s="6"/>
      <c r="V4813" s="6"/>
      <c r="W4813" s="6"/>
      <c r="X4813" s="6"/>
      <c r="Y4813" s="6"/>
      <c r="Z4813" s="6"/>
      <c r="AA4813" s="6"/>
    </row>
    <row r="4814" ht="14.25">
      <c r="B4814" s="14" t="s">
        <v>33193</v>
      </c>
      <c r="C4814" s="4" t="s">
        <v>33219</v>
      </c>
      <c r="D4814" s="4" t="s">
        <v>33220</v>
      </c>
      <c r="E4814" s="6"/>
      <c r="F4814" s="4" t="s">
        <v>7559</v>
      </c>
      <c r="G4814" s="4" t="s">
        <v>33221</v>
      </c>
      <c r="H4814" s="6"/>
      <c r="I4814" s="6"/>
      <c r="J4814" s="6"/>
      <c r="K4814" s="6"/>
      <c r="L4814" s="6"/>
      <c r="M4814" s="6"/>
      <c r="N4814" s="6"/>
      <c r="O4814" s="6"/>
      <c r="P4814" s="6"/>
      <c r="Q4814" s="6"/>
      <c r="R4814" s="6"/>
      <c r="S4814" s="6"/>
      <c r="T4814" s="6"/>
      <c r="U4814" s="6"/>
      <c r="V4814" s="6"/>
      <c r="W4814" s="6"/>
      <c r="X4814" s="6"/>
      <c r="Y4814" s="6"/>
      <c r="Z4814" s="6"/>
      <c r="AA4814" s="6"/>
    </row>
    <row r="4815" ht="14.25">
      <c r="B4815" s="14" t="s">
        <v>33193</v>
      </c>
      <c r="C4815" s="4" t="s">
        <v>33206</v>
      </c>
      <c r="D4815" s="4" t="s">
        <v>33222</v>
      </c>
      <c r="E4815" s="4" t="s">
        <v>33208</v>
      </c>
      <c r="F4815" s="4" t="s">
        <v>6634</v>
      </c>
      <c r="G4815" s="4" t="s">
        <v>33223</v>
      </c>
      <c r="H4815" s="6"/>
      <c r="I4815" s="6"/>
      <c r="J4815" s="6"/>
      <c r="K4815" s="6"/>
      <c r="L4815" s="6"/>
      <c r="M4815" s="6"/>
      <c r="N4815" s="6"/>
      <c r="O4815" s="6"/>
      <c r="P4815" s="6"/>
      <c r="Q4815" s="6"/>
      <c r="R4815" s="6"/>
      <c r="S4815" s="6"/>
      <c r="T4815" s="6"/>
      <c r="U4815" s="6"/>
      <c r="V4815" s="6"/>
      <c r="W4815" s="6"/>
      <c r="X4815" s="6"/>
      <c r="Y4815" s="6"/>
      <c r="Z4815" s="6"/>
      <c r="AA4815" s="6"/>
    </row>
    <row r="4816" ht="14.25">
      <c r="B4816" s="14" t="s">
        <v>33224</v>
      </c>
      <c r="C4816" s="4" t="s">
        <v>33225</v>
      </c>
      <c r="D4816" s="4" t="s">
        <v>33226</v>
      </c>
      <c r="E4816" s="4" t="s">
        <v>33227</v>
      </c>
      <c r="F4816" s="4" t="s">
        <v>20</v>
      </c>
      <c r="G4816" s="4" t="s">
        <v>33228</v>
      </c>
      <c r="H4816" s="6"/>
      <c r="I4816" s="6"/>
      <c r="J4816" s="6"/>
      <c r="K4816" s="6"/>
      <c r="L4816" s="6"/>
      <c r="M4816" s="6"/>
      <c r="N4816" s="6"/>
      <c r="O4816" s="6"/>
      <c r="P4816" s="6"/>
      <c r="Q4816" s="6"/>
      <c r="R4816" s="6"/>
      <c r="S4816" s="6"/>
      <c r="T4816" s="6"/>
      <c r="U4816" s="6"/>
      <c r="V4816" s="6"/>
      <c r="W4816" s="6"/>
      <c r="X4816" s="6"/>
      <c r="Y4816" s="6"/>
      <c r="Z4816" s="6"/>
      <c r="AA4816" s="6"/>
    </row>
    <row r="4817" ht="14.25">
      <c r="B4817" s="14" t="s">
        <v>33224</v>
      </c>
      <c r="C4817" s="4" t="s">
        <v>33225</v>
      </c>
      <c r="D4817" s="4" t="s">
        <v>33229</v>
      </c>
      <c r="E4817" s="4" t="s">
        <v>33227</v>
      </c>
      <c r="F4817" s="4" t="s">
        <v>32616</v>
      </c>
      <c r="G4817" s="4" t="s">
        <v>33230</v>
      </c>
      <c r="H4817" s="6"/>
      <c r="I4817" s="6"/>
      <c r="J4817" s="6"/>
      <c r="K4817" s="6"/>
      <c r="L4817" s="6"/>
      <c r="M4817" s="6"/>
      <c r="N4817" s="6"/>
      <c r="O4817" s="6"/>
      <c r="P4817" s="6"/>
      <c r="Q4817" s="6"/>
      <c r="R4817" s="6"/>
      <c r="S4817" s="6"/>
      <c r="T4817" s="6"/>
      <c r="U4817" s="6"/>
      <c r="V4817" s="6"/>
      <c r="W4817" s="6"/>
      <c r="X4817" s="6"/>
      <c r="Y4817" s="6"/>
      <c r="Z4817" s="6"/>
      <c r="AA4817" s="6"/>
    </row>
    <row r="4818" ht="14.25">
      <c r="B4818" s="14" t="s">
        <v>33224</v>
      </c>
      <c r="C4818" s="4" t="s">
        <v>33225</v>
      </c>
      <c r="D4818" s="4" t="s">
        <v>33231</v>
      </c>
      <c r="E4818" s="4" t="s">
        <v>33227</v>
      </c>
      <c r="F4818" s="4" t="s">
        <v>3164</v>
      </c>
      <c r="G4818" s="4" t="s">
        <v>33232</v>
      </c>
      <c r="H4818" s="6"/>
      <c r="I4818" s="6"/>
      <c r="J4818" s="6"/>
      <c r="K4818" s="6"/>
      <c r="L4818" s="6"/>
      <c r="M4818" s="6"/>
      <c r="N4818" s="6"/>
      <c r="O4818" s="6"/>
      <c r="P4818" s="6"/>
      <c r="Q4818" s="6"/>
      <c r="R4818" s="6"/>
      <c r="S4818" s="6"/>
      <c r="T4818" s="6"/>
      <c r="U4818" s="6"/>
      <c r="V4818" s="6"/>
      <c r="W4818" s="6"/>
      <c r="X4818" s="6"/>
      <c r="Y4818" s="6"/>
      <c r="Z4818" s="6"/>
      <c r="AA4818" s="6"/>
    </row>
    <row r="4819" ht="14.25">
      <c r="B4819" s="14" t="s">
        <v>33233</v>
      </c>
      <c r="C4819" s="4" t="s">
        <v>33234</v>
      </c>
      <c r="D4819" s="4" t="s">
        <v>33235</v>
      </c>
      <c r="E4819" s="4" t="s">
        <v>33236</v>
      </c>
      <c r="F4819" s="4" t="s">
        <v>9272</v>
      </c>
      <c r="G4819" s="4" t="s">
        <v>33237</v>
      </c>
      <c r="H4819" s="6"/>
      <c r="I4819" s="6"/>
      <c r="J4819" s="6"/>
      <c r="K4819" s="6"/>
      <c r="L4819" s="6"/>
      <c r="M4819" s="6"/>
      <c r="N4819" s="6"/>
      <c r="O4819" s="6"/>
      <c r="P4819" s="6"/>
      <c r="Q4819" s="6"/>
      <c r="R4819" s="6"/>
      <c r="S4819" s="6"/>
      <c r="T4819" s="6"/>
      <c r="U4819" s="6"/>
      <c r="V4819" s="6"/>
      <c r="W4819" s="6"/>
      <c r="X4819" s="6"/>
      <c r="Y4819" s="6"/>
      <c r="Z4819" s="6"/>
      <c r="AA4819" s="6"/>
    </row>
    <row r="4820" ht="14.25">
      <c r="B4820" s="14" t="s">
        <v>33233</v>
      </c>
      <c r="C4820" s="4" t="s">
        <v>33234</v>
      </c>
      <c r="D4820" s="4" t="s">
        <v>33238</v>
      </c>
      <c r="E4820" s="4" t="s">
        <v>33236</v>
      </c>
      <c r="F4820" s="4" t="s">
        <v>76</v>
      </c>
      <c r="G4820" s="4" t="s">
        <v>33239</v>
      </c>
      <c r="H4820" s="6"/>
      <c r="I4820" s="6"/>
      <c r="J4820" s="6"/>
      <c r="K4820" s="6"/>
      <c r="L4820" s="6"/>
      <c r="M4820" s="6"/>
      <c r="N4820" s="6"/>
      <c r="O4820" s="6"/>
      <c r="P4820" s="6"/>
      <c r="Q4820" s="6"/>
      <c r="R4820" s="6"/>
      <c r="S4820" s="6"/>
      <c r="T4820" s="6"/>
      <c r="U4820" s="6"/>
      <c r="V4820" s="6"/>
      <c r="W4820" s="6"/>
      <c r="X4820" s="6"/>
      <c r="Y4820" s="6"/>
      <c r="Z4820" s="6"/>
      <c r="AA4820" s="6"/>
    </row>
    <row r="4821" ht="14.25">
      <c r="B4821" s="14" t="s">
        <v>33233</v>
      </c>
      <c r="C4821" s="4" t="s">
        <v>33234</v>
      </c>
      <c r="D4821" s="4" t="s">
        <v>33240</v>
      </c>
      <c r="E4821" s="4" t="s">
        <v>33236</v>
      </c>
      <c r="F4821" s="4" t="s">
        <v>1732</v>
      </c>
      <c r="G4821" s="4" t="s">
        <v>33241</v>
      </c>
      <c r="H4821" s="6"/>
      <c r="I4821" s="6"/>
      <c r="J4821" s="6"/>
      <c r="K4821" s="6"/>
      <c r="L4821" s="6"/>
      <c r="M4821" s="6"/>
      <c r="N4821" s="6"/>
      <c r="O4821" s="6"/>
      <c r="P4821" s="6"/>
      <c r="Q4821" s="6"/>
      <c r="R4821" s="6"/>
      <c r="S4821" s="6"/>
      <c r="T4821" s="6"/>
      <c r="U4821" s="6"/>
      <c r="V4821" s="6"/>
      <c r="W4821" s="6"/>
      <c r="X4821" s="6"/>
      <c r="Y4821" s="6"/>
      <c r="Z4821" s="6"/>
      <c r="AA4821" s="6"/>
    </row>
    <row r="4822" ht="14.25">
      <c r="B4822" s="14" t="s">
        <v>33242</v>
      </c>
      <c r="C4822" s="4" t="s">
        <v>33243</v>
      </c>
      <c r="D4822" s="4" t="s">
        <v>33244</v>
      </c>
      <c r="E4822" s="4" t="s">
        <v>33245</v>
      </c>
      <c r="F4822" s="4" t="s">
        <v>24006</v>
      </c>
      <c r="G4822" s="4" t="s">
        <v>33246</v>
      </c>
      <c r="H4822" s="6"/>
      <c r="I4822" s="6"/>
      <c r="J4822" s="6"/>
      <c r="K4822" s="6"/>
      <c r="L4822" s="6"/>
      <c r="M4822" s="6"/>
      <c r="N4822" s="6"/>
      <c r="O4822" s="6"/>
      <c r="P4822" s="6"/>
      <c r="Q4822" s="6"/>
      <c r="R4822" s="6"/>
      <c r="S4822" s="6"/>
      <c r="T4822" s="6"/>
      <c r="U4822" s="6"/>
      <c r="V4822" s="6"/>
      <c r="W4822" s="6"/>
      <c r="X4822" s="6"/>
      <c r="Y4822" s="6"/>
      <c r="Z4822" s="6"/>
      <c r="AA4822" s="6"/>
    </row>
    <row r="4823" ht="14.25">
      <c r="B4823" s="14" t="s">
        <v>33247</v>
      </c>
      <c r="C4823" s="4" t="s">
        <v>33248</v>
      </c>
      <c r="D4823" s="4" t="s">
        <v>33249</v>
      </c>
      <c r="E4823" s="4" t="s">
        <v>33250</v>
      </c>
      <c r="F4823" s="4" t="s">
        <v>33251</v>
      </c>
      <c r="G4823" s="4" t="s">
        <v>33252</v>
      </c>
      <c r="H4823" s="6"/>
      <c r="I4823" s="6"/>
      <c r="J4823" s="6"/>
      <c r="K4823" s="6"/>
      <c r="L4823" s="6"/>
      <c r="M4823" s="6"/>
      <c r="N4823" s="6"/>
      <c r="O4823" s="6"/>
      <c r="P4823" s="6"/>
      <c r="Q4823" s="6"/>
      <c r="R4823" s="6"/>
      <c r="S4823" s="6"/>
      <c r="T4823" s="6"/>
      <c r="U4823" s="6"/>
      <c r="V4823" s="6"/>
      <c r="W4823" s="6"/>
      <c r="X4823" s="6"/>
      <c r="Y4823" s="6"/>
      <c r="Z4823" s="6"/>
      <c r="AA4823" s="6"/>
    </row>
    <row r="4824" ht="14.25">
      <c r="B4824" s="14" t="s">
        <v>33253</v>
      </c>
      <c r="C4824" s="4" t="s">
        <v>33254</v>
      </c>
      <c r="D4824" s="4" t="s">
        <v>33255</v>
      </c>
      <c r="E4824" s="6"/>
      <c r="F4824" s="4" t="s">
        <v>1153</v>
      </c>
      <c r="G4824" s="4" t="s">
        <v>33256</v>
      </c>
      <c r="H4824" s="6"/>
      <c r="I4824" s="6"/>
      <c r="J4824" s="6"/>
      <c r="K4824" s="6"/>
      <c r="L4824" s="6"/>
      <c r="M4824" s="6"/>
      <c r="N4824" s="6"/>
      <c r="O4824" s="6"/>
      <c r="P4824" s="6"/>
      <c r="Q4824" s="6"/>
      <c r="R4824" s="6"/>
      <c r="S4824" s="6"/>
      <c r="T4824" s="6"/>
      <c r="U4824" s="6"/>
      <c r="V4824" s="6"/>
      <c r="W4824" s="6"/>
      <c r="X4824" s="6"/>
      <c r="Y4824" s="6"/>
      <c r="Z4824" s="6"/>
      <c r="AA4824" s="6"/>
    </row>
    <row r="4825" ht="14.25">
      <c r="B4825" s="14" t="s">
        <v>33253</v>
      </c>
      <c r="C4825" s="4" t="s">
        <v>33257</v>
      </c>
      <c r="D4825" s="4" t="s">
        <v>33258</v>
      </c>
      <c r="E4825" s="4" t="s">
        <v>33259</v>
      </c>
      <c r="F4825" s="4" t="s">
        <v>170</v>
      </c>
      <c r="G4825" s="4" t="s">
        <v>33260</v>
      </c>
      <c r="H4825" s="6"/>
      <c r="I4825" s="6"/>
      <c r="J4825" s="6"/>
      <c r="K4825" s="6"/>
      <c r="L4825" s="6"/>
      <c r="M4825" s="6"/>
      <c r="N4825" s="6"/>
      <c r="O4825" s="6"/>
      <c r="P4825" s="6"/>
      <c r="Q4825" s="6"/>
      <c r="R4825" s="6"/>
      <c r="S4825" s="6"/>
      <c r="T4825" s="6"/>
      <c r="U4825" s="6"/>
      <c r="V4825" s="6"/>
      <c r="W4825" s="6"/>
      <c r="X4825" s="6"/>
      <c r="Y4825" s="6"/>
      <c r="Z4825" s="6"/>
      <c r="AA4825" s="6"/>
    </row>
    <row r="4826" ht="14.25">
      <c r="B4826" s="14" t="s">
        <v>33261</v>
      </c>
      <c r="C4826" s="4" t="s">
        <v>33262</v>
      </c>
      <c r="D4826" s="4" t="s">
        <v>33263</v>
      </c>
      <c r="E4826" s="6"/>
      <c r="F4826" s="4" t="s">
        <v>33264</v>
      </c>
      <c r="G4826" s="4" t="s">
        <v>33265</v>
      </c>
      <c r="H4826" s="6"/>
      <c r="I4826" s="6"/>
      <c r="J4826" s="6"/>
      <c r="K4826" s="6"/>
      <c r="L4826" s="6"/>
      <c r="M4826" s="6"/>
      <c r="N4826" s="6"/>
      <c r="O4826" s="6"/>
      <c r="P4826" s="6"/>
      <c r="Q4826" s="6"/>
      <c r="R4826" s="6"/>
      <c r="S4826" s="6"/>
      <c r="T4826" s="6"/>
      <c r="U4826" s="6"/>
      <c r="V4826" s="6"/>
      <c r="W4826" s="6"/>
      <c r="X4826" s="6"/>
      <c r="Y4826" s="6"/>
      <c r="Z4826" s="6"/>
      <c r="AA4826" s="6"/>
    </row>
    <row r="4827" ht="14.25">
      <c r="B4827" s="14" t="s">
        <v>33261</v>
      </c>
      <c r="C4827" s="4" t="s">
        <v>33266</v>
      </c>
      <c r="D4827" s="4" t="s">
        <v>33267</v>
      </c>
      <c r="E4827" s="4" t="s">
        <v>33268</v>
      </c>
      <c r="F4827" s="4" t="s">
        <v>33135</v>
      </c>
      <c r="G4827" s="4" t="s">
        <v>33269</v>
      </c>
      <c r="H4827" s="6"/>
      <c r="I4827" s="6"/>
      <c r="J4827" s="6"/>
      <c r="K4827" s="6"/>
      <c r="L4827" s="6"/>
      <c r="M4827" s="6"/>
      <c r="N4827" s="6"/>
      <c r="O4827" s="6"/>
      <c r="P4827" s="6"/>
      <c r="Q4827" s="6"/>
      <c r="R4827" s="6"/>
      <c r="S4827" s="6"/>
      <c r="T4827" s="6"/>
      <c r="U4827" s="6"/>
      <c r="V4827" s="6"/>
      <c r="W4827" s="6"/>
      <c r="X4827" s="6"/>
      <c r="Y4827" s="6"/>
      <c r="Z4827" s="6"/>
      <c r="AA4827" s="6"/>
    </row>
    <row r="4828" ht="14.25">
      <c r="B4828" s="14" t="s">
        <v>33261</v>
      </c>
      <c r="C4828" s="4" t="s">
        <v>33266</v>
      </c>
      <c r="D4828" s="4" t="s">
        <v>33268</v>
      </c>
      <c r="E4828" s="6"/>
      <c r="F4828" s="4" t="s">
        <v>2242</v>
      </c>
      <c r="G4828" s="4" t="s">
        <v>33270</v>
      </c>
      <c r="H4828" s="6"/>
      <c r="I4828" s="6"/>
      <c r="J4828" s="6"/>
      <c r="K4828" s="6"/>
      <c r="L4828" s="6"/>
      <c r="M4828" s="6"/>
      <c r="N4828" s="6"/>
      <c r="O4828" s="6"/>
      <c r="P4828" s="6"/>
      <c r="Q4828" s="6"/>
      <c r="R4828" s="6"/>
      <c r="S4828" s="6"/>
      <c r="T4828" s="6"/>
      <c r="U4828" s="6"/>
      <c r="V4828" s="6"/>
      <c r="W4828" s="6"/>
      <c r="X4828" s="6"/>
      <c r="Y4828" s="6"/>
      <c r="Z4828" s="6"/>
      <c r="AA4828" s="6"/>
    </row>
    <row r="4829" ht="14.25">
      <c r="B4829" s="14" t="s">
        <v>33261</v>
      </c>
      <c r="C4829" s="4" t="s">
        <v>33271</v>
      </c>
      <c r="D4829" s="4" t="s">
        <v>33272</v>
      </c>
      <c r="E4829" s="4" t="s">
        <v>33273</v>
      </c>
      <c r="F4829" s="4" t="s">
        <v>13010</v>
      </c>
      <c r="G4829" s="4" t="s">
        <v>33274</v>
      </c>
      <c r="H4829" s="6"/>
      <c r="I4829" s="6"/>
      <c r="J4829" s="6"/>
      <c r="K4829" s="6"/>
      <c r="L4829" s="6"/>
      <c r="M4829" s="6"/>
      <c r="N4829" s="6"/>
      <c r="O4829" s="6"/>
      <c r="P4829" s="6"/>
      <c r="Q4829" s="6"/>
      <c r="R4829" s="6"/>
      <c r="S4829" s="6"/>
      <c r="T4829" s="6"/>
      <c r="U4829" s="6"/>
      <c r="V4829" s="6"/>
      <c r="W4829" s="6"/>
      <c r="X4829" s="6"/>
      <c r="Y4829" s="6"/>
      <c r="Z4829" s="6"/>
      <c r="AA4829" s="6"/>
    </row>
    <row r="4830" ht="14.25">
      <c r="B4830" s="14" t="s">
        <v>33275</v>
      </c>
      <c r="C4830" s="4" t="s">
        <v>33276</v>
      </c>
      <c r="D4830" s="4" t="s">
        <v>33277</v>
      </c>
      <c r="E4830" s="4" t="s">
        <v>33278</v>
      </c>
      <c r="F4830" s="4" t="s">
        <v>7559</v>
      </c>
      <c r="G4830" s="4" t="s">
        <v>32549</v>
      </c>
      <c r="H4830" s="6"/>
      <c r="I4830" s="6"/>
      <c r="J4830" s="6"/>
      <c r="K4830" s="6"/>
      <c r="L4830" s="6"/>
      <c r="M4830" s="6"/>
      <c r="N4830" s="6"/>
      <c r="O4830" s="6"/>
      <c r="P4830" s="6"/>
      <c r="Q4830" s="6"/>
      <c r="R4830" s="6"/>
      <c r="S4830" s="6"/>
      <c r="T4830" s="6"/>
      <c r="U4830" s="6"/>
      <c r="V4830" s="6"/>
      <c r="W4830" s="6"/>
      <c r="X4830" s="6"/>
      <c r="Y4830" s="6"/>
      <c r="Z4830" s="6"/>
      <c r="AA4830" s="6"/>
    </row>
    <row r="4831" ht="14.25">
      <c r="B4831" s="14" t="s">
        <v>33279</v>
      </c>
      <c r="C4831" s="4" t="s">
        <v>33280</v>
      </c>
      <c r="D4831" s="4" t="s">
        <v>33281</v>
      </c>
      <c r="E4831" s="4" t="s">
        <v>33282</v>
      </c>
      <c r="F4831" s="4" t="s">
        <v>33283</v>
      </c>
      <c r="G4831" s="4" t="s">
        <v>33284</v>
      </c>
      <c r="H4831" s="6"/>
      <c r="I4831" s="6"/>
      <c r="J4831" s="6"/>
      <c r="K4831" s="6"/>
      <c r="L4831" s="6"/>
      <c r="M4831" s="6"/>
      <c r="N4831" s="6"/>
      <c r="O4831" s="6"/>
      <c r="P4831" s="6"/>
      <c r="Q4831" s="6"/>
      <c r="R4831" s="6"/>
      <c r="S4831" s="6"/>
      <c r="T4831" s="6"/>
      <c r="U4831" s="6"/>
      <c r="V4831" s="6"/>
      <c r="W4831" s="6"/>
      <c r="X4831" s="6"/>
      <c r="Y4831" s="6"/>
      <c r="Z4831" s="6"/>
      <c r="AA4831" s="6"/>
    </row>
    <row r="4832" ht="14.25">
      <c r="B4832" s="14" t="s">
        <v>33279</v>
      </c>
      <c r="C4832" s="4" t="s">
        <v>33280</v>
      </c>
      <c r="D4832" s="4" t="s">
        <v>33285</v>
      </c>
      <c r="E4832" s="4" t="s">
        <v>33282</v>
      </c>
      <c r="F4832" s="4" t="s">
        <v>1215</v>
      </c>
      <c r="G4832" s="4" t="s">
        <v>33286</v>
      </c>
      <c r="H4832" s="6"/>
      <c r="I4832" s="6"/>
      <c r="J4832" s="6"/>
      <c r="K4832" s="6"/>
      <c r="L4832" s="6"/>
      <c r="M4832" s="6"/>
      <c r="N4832" s="6"/>
      <c r="O4832" s="6"/>
      <c r="P4832" s="6"/>
      <c r="Q4832" s="6"/>
      <c r="R4832" s="6"/>
      <c r="S4832" s="6"/>
      <c r="T4832" s="6"/>
      <c r="U4832" s="6"/>
      <c r="V4832" s="6"/>
      <c r="W4832" s="6"/>
      <c r="X4832" s="6"/>
      <c r="Y4832" s="6"/>
      <c r="Z4832" s="6"/>
      <c r="AA4832" s="6"/>
    </row>
    <row r="4833" ht="14.25">
      <c r="B4833" s="14" t="s">
        <v>33279</v>
      </c>
      <c r="C4833" s="4" t="s">
        <v>33280</v>
      </c>
      <c r="D4833" s="4" t="s">
        <v>33287</v>
      </c>
      <c r="E4833" s="4" t="s">
        <v>33282</v>
      </c>
      <c r="F4833" s="4" t="s">
        <v>33288</v>
      </c>
      <c r="G4833" s="4" t="s">
        <v>33289</v>
      </c>
      <c r="H4833" s="6"/>
      <c r="I4833" s="6"/>
      <c r="J4833" s="6"/>
      <c r="K4833" s="6"/>
      <c r="L4833" s="6"/>
      <c r="M4833" s="6"/>
      <c r="N4833" s="6"/>
      <c r="O4833" s="6"/>
      <c r="P4833" s="6"/>
      <c r="Q4833" s="6"/>
      <c r="R4833" s="6"/>
      <c r="S4833" s="6"/>
      <c r="T4833" s="6"/>
      <c r="U4833" s="6"/>
      <c r="V4833" s="6"/>
      <c r="W4833" s="6"/>
      <c r="X4833" s="6"/>
      <c r="Y4833" s="6"/>
      <c r="Z4833" s="6"/>
      <c r="AA4833" s="6"/>
    </row>
    <row r="4834" ht="14.25">
      <c r="B4834" s="14" t="s">
        <v>33290</v>
      </c>
      <c r="C4834" s="4" t="s">
        <v>33291</v>
      </c>
      <c r="D4834" s="4" t="s">
        <v>33292</v>
      </c>
      <c r="E4834" s="4" t="s">
        <v>33293</v>
      </c>
      <c r="F4834" s="4" t="s">
        <v>4961</v>
      </c>
      <c r="G4834" s="4" t="s">
        <v>33294</v>
      </c>
      <c r="H4834" s="6"/>
      <c r="I4834" s="6"/>
      <c r="J4834" s="6"/>
      <c r="K4834" s="6"/>
      <c r="L4834" s="6"/>
      <c r="M4834" s="6"/>
      <c r="N4834" s="6"/>
      <c r="O4834" s="6"/>
      <c r="P4834" s="6"/>
      <c r="Q4834" s="6"/>
      <c r="R4834" s="6"/>
      <c r="S4834" s="6"/>
      <c r="T4834" s="6"/>
      <c r="U4834" s="6"/>
      <c r="V4834" s="6"/>
      <c r="W4834" s="6"/>
      <c r="X4834" s="6"/>
      <c r="Y4834" s="6"/>
      <c r="Z4834" s="6"/>
      <c r="AA4834" s="6"/>
    </row>
    <row r="4835" ht="14.25">
      <c r="B4835" s="14" t="s">
        <v>33290</v>
      </c>
      <c r="C4835" s="4" t="s">
        <v>33291</v>
      </c>
      <c r="D4835" s="4" t="s">
        <v>33293</v>
      </c>
      <c r="E4835" s="6"/>
      <c r="F4835" s="4" t="s">
        <v>1499</v>
      </c>
      <c r="G4835" s="4" t="s">
        <v>33294</v>
      </c>
      <c r="H4835" s="6"/>
      <c r="I4835" s="6"/>
      <c r="J4835" s="6"/>
      <c r="K4835" s="6"/>
      <c r="L4835" s="6"/>
      <c r="M4835" s="6"/>
      <c r="N4835" s="6"/>
      <c r="O4835" s="6"/>
      <c r="P4835" s="6"/>
      <c r="Q4835" s="6"/>
      <c r="R4835" s="6"/>
      <c r="S4835" s="6"/>
      <c r="T4835" s="6"/>
      <c r="U4835" s="6"/>
      <c r="V4835" s="6"/>
      <c r="W4835" s="6"/>
      <c r="X4835" s="6"/>
      <c r="Y4835" s="6"/>
      <c r="Z4835" s="6"/>
      <c r="AA4835" s="6"/>
    </row>
    <row r="4836" ht="14.25">
      <c r="B4836" s="14" t="s">
        <v>33295</v>
      </c>
      <c r="C4836" s="4" t="s">
        <v>33296</v>
      </c>
      <c r="D4836" s="4" t="s">
        <v>33297</v>
      </c>
      <c r="E4836" s="4" t="s">
        <v>33298</v>
      </c>
      <c r="F4836" s="4" t="s">
        <v>1160</v>
      </c>
      <c r="G4836" s="4" t="s">
        <v>33299</v>
      </c>
      <c r="H4836" s="6"/>
      <c r="I4836" s="6"/>
      <c r="J4836" s="6"/>
      <c r="K4836" s="6"/>
      <c r="L4836" s="6"/>
      <c r="M4836" s="6"/>
      <c r="N4836" s="6"/>
      <c r="O4836" s="6"/>
      <c r="P4836" s="6"/>
      <c r="Q4836" s="6"/>
      <c r="R4836" s="6"/>
      <c r="S4836" s="6"/>
      <c r="T4836" s="6"/>
      <c r="U4836" s="6"/>
      <c r="V4836" s="6"/>
      <c r="W4836" s="6"/>
      <c r="X4836" s="6"/>
      <c r="Y4836" s="6"/>
      <c r="Z4836" s="6"/>
      <c r="AA4836" s="6"/>
    </row>
    <row r="4837" ht="14.25">
      <c r="B4837" s="14" t="s">
        <v>33295</v>
      </c>
      <c r="C4837" s="4" t="s">
        <v>33296</v>
      </c>
      <c r="D4837" s="4" t="s">
        <v>33300</v>
      </c>
      <c r="E4837" s="4" t="s">
        <v>33298</v>
      </c>
      <c r="F4837" s="4" t="s">
        <v>6931</v>
      </c>
      <c r="G4837" s="4" t="s">
        <v>33301</v>
      </c>
      <c r="H4837" s="6"/>
      <c r="I4837" s="6"/>
      <c r="J4837" s="6"/>
      <c r="K4837" s="6"/>
      <c r="L4837" s="6"/>
      <c r="M4837" s="6"/>
      <c r="N4837" s="6"/>
      <c r="O4837" s="6"/>
      <c r="P4837" s="6"/>
      <c r="Q4837" s="6"/>
      <c r="R4837" s="6"/>
      <c r="S4837" s="6"/>
      <c r="T4837" s="6"/>
      <c r="U4837" s="6"/>
      <c r="V4837" s="6"/>
      <c r="W4837" s="6"/>
      <c r="X4837" s="6"/>
      <c r="Y4837" s="6"/>
      <c r="Z4837" s="6"/>
      <c r="AA4837" s="6"/>
    </row>
    <row r="4838" ht="14.25">
      <c r="B4838" s="14" t="s">
        <v>33302</v>
      </c>
      <c r="C4838" s="4" t="s">
        <v>33303</v>
      </c>
      <c r="D4838" s="4" t="s">
        <v>33304</v>
      </c>
      <c r="E4838" s="4" t="s">
        <v>33305</v>
      </c>
      <c r="F4838" s="4" t="s">
        <v>1215</v>
      </c>
      <c r="G4838" s="4" t="s">
        <v>33306</v>
      </c>
      <c r="H4838" s="6"/>
      <c r="I4838" s="6"/>
      <c r="J4838" s="6"/>
      <c r="K4838" s="6"/>
      <c r="L4838" s="6"/>
      <c r="M4838" s="6"/>
      <c r="N4838" s="6"/>
      <c r="O4838" s="6"/>
      <c r="P4838" s="6"/>
      <c r="Q4838" s="6"/>
      <c r="R4838" s="6"/>
      <c r="S4838" s="6"/>
      <c r="T4838" s="6"/>
      <c r="U4838" s="6"/>
      <c r="V4838" s="6"/>
      <c r="W4838" s="6"/>
      <c r="X4838" s="6"/>
      <c r="Y4838" s="6"/>
      <c r="Z4838" s="6"/>
      <c r="AA4838" s="6"/>
    </row>
    <row r="4839" ht="14.25">
      <c r="B4839" s="14" t="s">
        <v>33307</v>
      </c>
      <c r="C4839" s="4" t="s">
        <v>33308</v>
      </c>
      <c r="D4839" s="4" t="s">
        <v>33309</v>
      </c>
      <c r="E4839" s="6"/>
      <c r="F4839" s="4" t="s">
        <v>355</v>
      </c>
      <c r="G4839" s="4" t="s">
        <v>33310</v>
      </c>
      <c r="H4839" s="6"/>
      <c r="I4839" s="6"/>
      <c r="J4839" s="6"/>
      <c r="K4839" s="6"/>
      <c r="L4839" s="6"/>
      <c r="M4839" s="6"/>
      <c r="N4839" s="6"/>
      <c r="O4839" s="6"/>
      <c r="P4839" s="6"/>
      <c r="Q4839" s="6"/>
      <c r="R4839" s="6"/>
      <c r="S4839" s="6"/>
      <c r="T4839" s="6"/>
      <c r="U4839" s="6"/>
      <c r="V4839" s="6"/>
      <c r="W4839" s="6"/>
      <c r="X4839" s="6"/>
      <c r="Y4839" s="6"/>
      <c r="Z4839" s="6"/>
      <c r="AA4839" s="6"/>
    </row>
    <row r="4840" ht="14.25">
      <c r="B4840" s="14" t="s">
        <v>33311</v>
      </c>
      <c r="C4840" s="4" t="s">
        <v>33312</v>
      </c>
      <c r="D4840" s="4" t="s">
        <v>33313</v>
      </c>
      <c r="E4840" s="4" t="s">
        <v>33314</v>
      </c>
      <c r="F4840" s="4" t="s">
        <v>33084</v>
      </c>
      <c r="G4840" s="4" t="s">
        <v>33315</v>
      </c>
      <c r="H4840" s="6"/>
      <c r="I4840" s="6"/>
      <c r="J4840" s="6"/>
      <c r="K4840" s="6"/>
      <c r="L4840" s="6"/>
      <c r="M4840" s="6"/>
      <c r="N4840" s="6"/>
      <c r="O4840" s="6"/>
      <c r="P4840" s="6"/>
      <c r="Q4840" s="6"/>
      <c r="R4840" s="6"/>
      <c r="S4840" s="6"/>
      <c r="T4840" s="6"/>
      <c r="U4840" s="6"/>
      <c r="V4840" s="6"/>
      <c r="W4840" s="6"/>
      <c r="X4840" s="6"/>
      <c r="Y4840" s="6"/>
      <c r="Z4840" s="6"/>
      <c r="AA4840" s="6"/>
    </row>
    <row r="4841" ht="14.25">
      <c r="B4841" s="14" t="s">
        <v>33311</v>
      </c>
      <c r="C4841" s="4" t="s">
        <v>33316</v>
      </c>
      <c r="D4841" s="4" t="s">
        <v>33317</v>
      </c>
      <c r="E4841" s="4" t="s">
        <v>33318</v>
      </c>
      <c r="F4841" s="4" t="s">
        <v>1579</v>
      </c>
      <c r="G4841" s="4" t="s">
        <v>33319</v>
      </c>
      <c r="H4841" s="6"/>
      <c r="I4841" s="6"/>
      <c r="J4841" s="6"/>
      <c r="K4841" s="6"/>
      <c r="L4841" s="6"/>
      <c r="M4841" s="6"/>
      <c r="N4841" s="6"/>
      <c r="O4841" s="6"/>
      <c r="P4841" s="6"/>
      <c r="Q4841" s="6"/>
      <c r="R4841" s="6"/>
      <c r="S4841" s="6"/>
      <c r="T4841" s="6"/>
      <c r="U4841" s="6"/>
      <c r="V4841" s="6"/>
      <c r="W4841" s="6"/>
      <c r="X4841" s="6"/>
      <c r="Y4841" s="6"/>
      <c r="Z4841" s="6"/>
      <c r="AA4841" s="6"/>
    </row>
    <row r="4842" ht="14.25">
      <c r="B4842" s="14" t="s">
        <v>33311</v>
      </c>
      <c r="C4842" s="4" t="s">
        <v>33312</v>
      </c>
      <c r="D4842" s="4" t="s">
        <v>33320</v>
      </c>
      <c r="E4842" s="4" t="s">
        <v>33314</v>
      </c>
      <c r="F4842" s="4" t="s">
        <v>33264</v>
      </c>
      <c r="G4842" s="4" t="s">
        <v>33321</v>
      </c>
      <c r="H4842" s="6"/>
      <c r="I4842" s="6"/>
      <c r="J4842" s="6"/>
      <c r="K4842" s="6"/>
      <c r="L4842" s="6"/>
      <c r="M4842" s="6"/>
      <c r="N4842" s="6"/>
      <c r="O4842" s="6"/>
      <c r="P4842" s="6"/>
      <c r="Q4842" s="6"/>
      <c r="R4842" s="6"/>
      <c r="S4842" s="6"/>
      <c r="T4842" s="6"/>
      <c r="U4842" s="6"/>
      <c r="V4842" s="6"/>
      <c r="W4842" s="6"/>
      <c r="X4842" s="6"/>
      <c r="Y4842" s="6"/>
      <c r="Z4842" s="6"/>
      <c r="AA4842" s="6"/>
    </row>
    <row r="4843" ht="14.25">
      <c r="B4843" s="14" t="s">
        <v>33311</v>
      </c>
      <c r="C4843" s="4" t="s">
        <v>33322</v>
      </c>
      <c r="D4843" s="4" t="s">
        <v>33323</v>
      </c>
      <c r="E4843" s="6"/>
      <c r="F4843" s="4" t="s">
        <v>32891</v>
      </c>
      <c r="G4843" s="4" t="s">
        <v>33324</v>
      </c>
      <c r="H4843" s="6"/>
      <c r="I4843" s="6"/>
      <c r="J4843" s="6"/>
      <c r="K4843" s="6"/>
      <c r="L4843" s="6"/>
      <c r="M4843" s="6"/>
      <c r="N4843" s="6"/>
      <c r="O4843" s="6"/>
      <c r="P4843" s="6"/>
      <c r="Q4843" s="6"/>
      <c r="R4843" s="6"/>
      <c r="S4843" s="6"/>
      <c r="T4843" s="6"/>
      <c r="U4843" s="6"/>
      <c r="V4843" s="6"/>
      <c r="W4843" s="6"/>
      <c r="X4843" s="6"/>
      <c r="Y4843" s="6"/>
      <c r="Z4843" s="6"/>
      <c r="AA4843" s="6"/>
    </row>
    <row r="4844" ht="14.25">
      <c r="B4844" s="14" t="s">
        <v>33311</v>
      </c>
      <c r="C4844" s="4" t="s">
        <v>33312</v>
      </c>
      <c r="D4844" s="4" t="s">
        <v>33325</v>
      </c>
      <c r="E4844" s="4" t="s">
        <v>33314</v>
      </c>
      <c r="F4844" s="4" t="s">
        <v>33326</v>
      </c>
      <c r="G4844" s="4" t="s">
        <v>33327</v>
      </c>
      <c r="H4844" s="6"/>
      <c r="I4844" s="6"/>
      <c r="J4844" s="6"/>
      <c r="K4844" s="6"/>
      <c r="L4844" s="6"/>
      <c r="M4844" s="6"/>
      <c r="N4844" s="6"/>
      <c r="O4844" s="6"/>
      <c r="P4844" s="6"/>
      <c r="Q4844" s="6"/>
      <c r="R4844" s="6"/>
      <c r="S4844" s="6"/>
      <c r="T4844" s="6"/>
      <c r="U4844" s="6"/>
      <c r="V4844" s="6"/>
      <c r="W4844" s="6"/>
      <c r="X4844" s="6"/>
      <c r="Y4844" s="6"/>
      <c r="Z4844" s="6"/>
      <c r="AA4844" s="6"/>
    </row>
    <row r="4845" ht="14.25">
      <c r="B4845" s="14" t="s">
        <v>33311</v>
      </c>
      <c r="C4845" s="4" t="s">
        <v>33312</v>
      </c>
      <c r="D4845" s="4" t="s">
        <v>33328</v>
      </c>
      <c r="E4845" s="4" t="s">
        <v>33314</v>
      </c>
      <c r="F4845" s="4" t="s">
        <v>32622</v>
      </c>
      <c r="G4845" s="4" t="s">
        <v>33329</v>
      </c>
      <c r="H4845" s="6"/>
      <c r="I4845" s="6"/>
      <c r="J4845" s="6"/>
      <c r="K4845" s="6"/>
      <c r="L4845" s="6"/>
      <c r="M4845" s="6"/>
      <c r="N4845" s="6"/>
      <c r="O4845" s="6"/>
      <c r="P4845" s="6"/>
      <c r="Q4845" s="6"/>
      <c r="R4845" s="6"/>
      <c r="S4845" s="6"/>
      <c r="T4845" s="6"/>
      <c r="U4845" s="6"/>
      <c r="V4845" s="6"/>
      <c r="W4845" s="6"/>
      <c r="X4845" s="6"/>
      <c r="Y4845" s="6"/>
      <c r="Z4845" s="6"/>
      <c r="AA4845" s="6"/>
    </row>
    <row r="4846" ht="14.25">
      <c r="B4846" s="14" t="s">
        <v>33330</v>
      </c>
      <c r="C4846" s="4" t="s">
        <v>33331</v>
      </c>
      <c r="D4846" s="4" t="s">
        <v>33332</v>
      </c>
      <c r="E4846" s="4" t="s">
        <v>33333</v>
      </c>
      <c r="F4846" s="4" t="s">
        <v>95</v>
      </c>
      <c r="G4846" s="4" t="s">
        <v>33334</v>
      </c>
      <c r="H4846" s="6"/>
      <c r="I4846" s="6"/>
      <c r="J4846" s="6"/>
      <c r="K4846" s="6"/>
      <c r="L4846" s="6"/>
      <c r="M4846" s="6"/>
      <c r="N4846" s="6"/>
      <c r="O4846" s="6"/>
      <c r="P4846" s="6"/>
      <c r="Q4846" s="6"/>
      <c r="R4846" s="6"/>
      <c r="S4846" s="6"/>
      <c r="T4846" s="6"/>
      <c r="U4846" s="6"/>
      <c r="V4846" s="6"/>
      <c r="W4846" s="6"/>
      <c r="X4846" s="6"/>
      <c r="Y4846" s="6"/>
      <c r="Z4846" s="6"/>
      <c r="AA4846" s="6"/>
    </row>
    <row r="4847" ht="14.25">
      <c r="B4847" s="14" t="s">
        <v>33330</v>
      </c>
      <c r="C4847" s="4" t="s">
        <v>33331</v>
      </c>
      <c r="D4847" s="4" t="s">
        <v>33335</v>
      </c>
      <c r="E4847" s="4" t="s">
        <v>33333</v>
      </c>
      <c r="F4847" s="4" t="s">
        <v>18475</v>
      </c>
      <c r="G4847" s="4" t="s">
        <v>33336</v>
      </c>
      <c r="H4847" s="6"/>
      <c r="I4847" s="6"/>
      <c r="J4847" s="6"/>
      <c r="K4847" s="6"/>
      <c r="L4847" s="6"/>
      <c r="M4847" s="6"/>
      <c r="N4847" s="6"/>
      <c r="O4847" s="6"/>
      <c r="P4847" s="6"/>
      <c r="Q4847" s="6"/>
      <c r="R4847" s="6"/>
      <c r="S4847" s="6"/>
      <c r="T4847" s="6"/>
      <c r="U4847" s="6"/>
      <c r="V4847" s="6"/>
      <c r="W4847" s="6"/>
      <c r="X4847" s="6"/>
      <c r="Y4847" s="6"/>
      <c r="Z4847" s="6"/>
      <c r="AA4847" s="6"/>
    </row>
    <row r="4848" ht="14.25">
      <c r="B4848" s="14" t="s">
        <v>33330</v>
      </c>
      <c r="C4848" s="4" t="s">
        <v>33331</v>
      </c>
      <c r="D4848" s="4" t="s">
        <v>33337</v>
      </c>
      <c r="E4848" s="4" t="s">
        <v>33333</v>
      </c>
      <c r="F4848" s="4" t="s">
        <v>32891</v>
      </c>
      <c r="G4848" s="4" t="s">
        <v>33338</v>
      </c>
      <c r="H4848" s="6"/>
      <c r="I4848" s="6"/>
      <c r="J4848" s="6"/>
      <c r="K4848" s="6"/>
      <c r="L4848" s="6"/>
      <c r="M4848" s="6"/>
      <c r="N4848" s="6"/>
      <c r="O4848" s="6"/>
      <c r="P4848" s="6"/>
      <c r="Q4848" s="6"/>
      <c r="R4848" s="6"/>
      <c r="S4848" s="6"/>
      <c r="T4848" s="6"/>
      <c r="U4848" s="6"/>
      <c r="V4848" s="6"/>
      <c r="W4848" s="6"/>
      <c r="X4848" s="6"/>
      <c r="Y4848" s="6"/>
      <c r="Z4848" s="6"/>
      <c r="AA4848" s="6"/>
    </row>
    <row r="4849" ht="14.25">
      <c r="B4849" s="14" t="s">
        <v>33339</v>
      </c>
      <c r="C4849" s="4" t="s">
        <v>33340</v>
      </c>
      <c r="D4849" s="4" t="s">
        <v>33341</v>
      </c>
      <c r="E4849" s="4" t="s">
        <v>33342</v>
      </c>
      <c r="F4849" s="4" t="s">
        <v>1732</v>
      </c>
      <c r="G4849" s="4" t="s">
        <v>33343</v>
      </c>
      <c r="H4849" s="6"/>
      <c r="I4849" s="6"/>
      <c r="J4849" s="6"/>
      <c r="K4849" s="6"/>
      <c r="L4849" s="6"/>
      <c r="M4849" s="6"/>
      <c r="N4849" s="6"/>
      <c r="O4849" s="6"/>
      <c r="P4849" s="6"/>
      <c r="Q4849" s="6"/>
      <c r="R4849" s="6"/>
      <c r="S4849" s="6"/>
      <c r="T4849" s="6"/>
      <c r="U4849" s="6"/>
      <c r="V4849" s="6"/>
      <c r="W4849" s="6"/>
      <c r="X4849" s="6"/>
      <c r="Y4849" s="6"/>
      <c r="Z4849" s="6"/>
      <c r="AA4849" s="6"/>
    </row>
    <row r="4850" ht="14.25">
      <c r="B4850" s="14" t="s">
        <v>33339</v>
      </c>
      <c r="C4850" s="4" t="s">
        <v>33340</v>
      </c>
      <c r="D4850" s="4" t="s">
        <v>33344</v>
      </c>
      <c r="E4850" s="4" t="s">
        <v>33342</v>
      </c>
      <c r="F4850" s="4" t="s">
        <v>6356</v>
      </c>
      <c r="G4850" s="4" t="s">
        <v>33345</v>
      </c>
      <c r="H4850" s="6"/>
      <c r="I4850" s="6"/>
      <c r="J4850" s="6"/>
      <c r="K4850" s="6"/>
      <c r="L4850" s="6"/>
      <c r="M4850" s="6"/>
      <c r="N4850" s="6"/>
      <c r="O4850" s="6"/>
      <c r="P4850" s="6"/>
      <c r="Q4850" s="6"/>
      <c r="R4850" s="6"/>
      <c r="S4850" s="6"/>
      <c r="T4850" s="6"/>
      <c r="U4850" s="6"/>
      <c r="V4850" s="6"/>
      <c r="W4850" s="6"/>
      <c r="X4850" s="6"/>
      <c r="Y4850" s="6"/>
      <c r="Z4850" s="6"/>
      <c r="AA4850" s="6"/>
    </row>
    <row r="4851" ht="14.25">
      <c r="B4851" s="14" t="s">
        <v>33346</v>
      </c>
      <c r="C4851" s="4" t="s">
        <v>33347</v>
      </c>
      <c r="D4851" s="4" t="s">
        <v>33348</v>
      </c>
      <c r="E4851" s="4" t="s">
        <v>33349</v>
      </c>
      <c r="F4851" s="4" t="s">
        <v>32622</v>
      </c>
      <c r="G4851" s="4" t="s">
        <v>33350</v>
      </c>
      <c r="H4851" s="6"/>
      <c r="I4851" s="6"/>
      <c r="J4851" s="6"/>
      <c r="K4851" s="6"/>
      <c r="L4851" s="6"/>
      <c r="M4851" s="6"/>
      <c r="N4851" s="6"/>
      <c r="O4851" s="6"/>
      <c r="P4851" s="6"/>
      <c r="Q4851" s="6"/>
      <c r="R4851" s="6"/>
      <c r="S4851" s="6"/>
      <c r="T4851" s="6"/>
      <c r="U4851" s="6"/>
      <c r="V4851" s="6"/>
      <c r="W4851" s="6"/>
      <c r="X4851" s="6"/>
      <c r="Y4851" s="6"/>
      <c r="Z4851" s="6"/>
      <c r="AA4851" s="6"/>
    </row>
    <row r="4852" ht="14.25">
      <c r="B4852" s="14" t="s">
        <v>33346</v>
      </c>
      <c r="C4852" s="4" t="s">
        <v>33351</v>
      </c>
      <c r="D4852" s="4" t="s">
        <v>33352</v>
      </c>
      <c r="E4852" s="4" t="s">
        <v>33353</v>
      </c>
      <c r="F4852" s="4" t="s">
        <v>33354</v>
      </c>
      <c r="G4852" s="4" t="s">
        <v>33355</v>
      </c>
      <c r="H4852" s="6"/>
      <c r="I4852" s="6"/>
      <c r="J4852" s="6"/>
      <c r="K4852" s="6"/>
      <c r="L4852" s="6"/>
      <c r="M4852" s="6"/>
      <c r="N4852" s="6"/>
      <c r="O4852" s="6"/>
      <c r="P4852" s="6"/>
      <c r="Q4852" s="6"/>
      <c r="R4852" s="6"/>
      <c r="S4852" s="6"/>
      <c r="T4852" s="6"/>
      <c r="U4852" s="6"/>
      <c r="V4852" s="6"/>
      <c r="W4852" s="6"/>
      <c r="X4852" s="6"/>
      <c r="Y4852" s="6"/>
      <c r="Z4852" s="6"/>
      <c r="AA4852" s="6"/>
    </row>
    <row r="4853" ht="14.25">
      <c r="B4853" s="14" t="s">
        <v>33346</v>
      </c>
      <c r="C4853" s="4" t="s">
        <v>33356</v>
      </c>
      <c r="D4853" s="4" t="s">
        <v>33357</v>
      </c>
      <c r="E4853" s="4" t="s">
        <v>33358</v>
      </c>
      <c r="F4853" s="4" t="s">
        <v>808</v>
      </c>
      <c r="G4853" s="4" t="s">
        <v>33359</v>
      </c>
      <c r="H4853" s="6"/>
      <c r="I4853" s="6"/>
      <c r="J4853" s="6"/>
      <c r="K4853" s="6"/>
      <c r="L4853" s="6"/>
      <c r="M4853" s="6"/>
      <c r="N4853" s="6"/>
      <c r="O4853" s="6"/>
      <c r="P4853" s="6"/>
      <c r="Q4853" s="6"/>
      <c r="R4853" s="6"/>
      <c r="S4853" s="6"/>
      <c r="T4853" s="6"/>
      <c r="U4853" s="6"/>
      <c r="V4853" s="6"/>
      <c r="W4853" s="6"/>
      <c r="X4853" s="6"/>
      <c r="Y4853" s="6"/>
      <c r="Z4853" s="6"/>
      <c r="AA4853" s="6"/>
    </row>
    <row r="4854" ht="14.25">
      <c r="B4854" s="14" t="s">
        <v>33346</v>
      </c>
      <c r="C4854" s="4" t="s">
        <v>33360</v>
      </c>
      <c r="D4854" s="4" t="s">
        <v>33361</v>
      </c>
      <c r="E4854" s="4" t="s">
        <v>33362</v>
      </c>
      <c r="F4854" s="4" t="s">
        <v>32787</v>
      </c>
      <c r="G4854" s="4" t="s">
        <v>33363</v>
      </c>
      <c r="H4854" s="6"/>
      <c r="I4854" s="6"/>
      <c r="J4854" s="6"/>
      <c r="K4854" s="6"/>
      <c r="L4854" s="6"/>
      <c r="M4854" s="6"/>
      <c r="N4854" s="6"/>
      <c r="O4854" s="6"/>
      <c r="P4854" s="6"/>
      <c r="Q4854" s="6"/>
      <c r="R4854" s="6"/>
      <c r="S4854" s="6"/>
      <c r="T4854" s="6"/>
      <c r="U4854" s="6"/>
      <c r="V4854" s="6"/>
      <c r="W4854" s="6"/>
      <c r="X4854" s="6"/>
      <c r="Y4854" s="6"/>
      <c r="Z4854" s="6"/>
      <c r="AA4854" s="6"/>
    </row>
    <row r="4855" ht="14.25">
      <c r="B4855" s="14" t="s">
        <v>33346</v>
      </c>
      <c r="C4855" s="4" t="s">
        <v>33347</v>
      </c>
      <c r="D4855" s="4" t="s">
        <v>33364</v>
      </c>
      <c r="E4855" s="4" t="s">
        <v>33349</v>
      </c>
      <c r="F4855" s="4" t="s">
        <v>32563</v>
      </c>
      <c r="G4855" s="4" t="s">
        <v>33365</v>
      </c>
      <c r="H4855" s="6"/>
      <c r="I4855" s="6"/>
      <c r="J4855" s="6"/>
      <c r="K4855" s="6"/>
      <c r="L4855" s="6"/>
      <c r="M4855" s="6"/>
      <c r="N4855" s="6"/>
      <c r="O4855" s="6"/>
      <c r="P4855" s="6"/>
      <c r="Q4855" s="6"/>
      <c r="R4855" s="6"/>
      <c r="S4855" s="6"/>
      <c r="T4855" s="6"/>
      <c r="U4855" s="6"/>
      <c r="V4855" s="6"/>
      <c r="W4855" s="6"/>
      <c r="X4855" s="6"/>
      <c r="Y4855" s="6"/>
      <c r="Z4855" s="6"/>
      <c r="AA4855" s="6"/>
    </row>
    <row r="4856" ht="14.25">
      <c r="B4856" s="14" t="s">
        <v>33366</v>
      </c>
      <c r="C4856" s="4" t="s">
        <v>33367</v>
      </c>
      <c r="D4856" s="4" t="s">
        <v>33368</v>
      </c>
      <c r="E4856" s="4" t="s">
        <v>33369</v>
      </c>
      <c r="F4856" s="4" t="s">
        <v>33370</v>
      </c>
      <c r="G4856" s="4" t="s">
        <v>33371</v>
      </c>
      <c r="H4856" s="6"/>
      <c r="I4856" s="6"/>
      <c r="J4856" s="6"/>
      <c r="K4856" s="6"/>
      <c r="L4856" s="6"/>
      <c r="M4856" s="6"/>
      <c r="N4856" s="6"/>
      <c r="O4856" s="6"/>
      <c r="P4856" s="6"/>
      <c r="Q4856" s="6"/>
      <c r="R4856" s="6"/>
      <c r="S4856" s="6"/>
      <c r="T4856" s="6"/>
      <c r="U4856" s="6"/>
      <c r="V4856" s="6"/>
      <c r="W4856" s="6"/>
      <c r="X4856" s="6"/>
      <c r="Y4856" s="6"/>
      <c r="Z4856" s="6"/>
      <c r="AA4856" s="6"/>
    </row>
    <row r="4857" ht="14.25">
      <c r="B4857" s="14" t="s">
        <v>33372</v>
      </c>
      <c r="C4857" s="4" t="s">
        <v>33373</v>
      </c>
      <c r="D4857" s="4" t="s">
        <v>33374</v>
      </c>
      <c r="E4857" s="4" t="s">
        <v>33375</v>
      </c>
      <c r="F4857" s="4" t="s">
        <v>7525</v>
      </c>
      <c r="G4857" s="4" t="s">
        <v>33376</v>
      </c>
      <c r="H4857" s="6"/>
      <c r="I4857" s="6"/>
      <c r="J4857" s="6"/>
      <c r="K4857" s="6"/>
      <c r="L4857" s="6"/>
      <c r="M4857" s="6"/>
      <c r="N4857" s="6"/>
      <c r="O4857" s="6"/>
      <c r="P4857" s="6"/>
      <c r="Q4857" s="6"/>
      <c r="R4857" s="6"/>
      <c r="S4857" s="6"/>
      <c r="T4857" s="6"/>
      <c r="U4857" s="6"/>
      <c r="V4857" s="6"/>
      <c r="W4857" s="6"/>
      <c r="X4857" s="6"/>
      <c r="Y4857" s="6"/>
      <c r="Z4857" s="6"/>
      <c r="AA4857" s="6"/>
    </row>
    <row r="4858" ht="14.25">
      <c r="B4858" s="14" t="s">
        <v>33377</v>
      </c>
      <c r="C4858" s="4" t="s">
        <v>33378</v>
      </c>
      <c r="D4858" s="4" t="s">
        <v>33379</v>
      </c>
      <c r="E4858" s="6"/>
      <c r="F4858" s="4" t="s">
        <v>33380</v>
      </c>
      <c r="G4858" s="4" t="s">
        <v>33381</v>
      </c>
      <c r="H4858" s="6"/>
      <c r="I4858" s="6"/>
      <c r="J4858" s="6"/>
      <c r="K4858" s="6"/>
      <c r="L4858" s="6"/>
      <c r="M4858" s="6"/>
      <c r="N4858" s="6"/>
      <c r="O4858" s="6"/>
      <c r="P4858" s="6"/>
      <c r="Q4858" s="6"/>
      <c r="R4858" s="6"/>
      <c r="S4858" s="6"/>
      <c r="T4858" s="6"/>
      <c r="U4858" s="6"/>
      <c r="V4858" s="6"/>
      <c r="W4858" s="6"/>
      <c r="X4858" s="6"/>
      <c r="Y4858" s="6"/>
      <c r="Z4858" s="6"/>
      <c r="AA4858" s="6"/>
    </row>
    <row r="4859" ht="14.25">
      <c r="B4859" s="14" t="s">
        <v>33382</v>
      </c>
      <c r="C4859" s="4" t="s">
        <v>33383</v>
      </c>
      <c r="D4859" s="4" t="s">
        <v>33384</v>
      </c>
      <c r="E4859" s="4" t="s">
        <v>33385</v>
      </c>
      <c r="F4859" s="4" t="s">
        <v>8778</v>
      </c>
      <c r="G4859" s="4" t="s">
        <v>33386</v>
      </c>
      <c r="H4859" s="6"/>
      <c r="I4859" s="6"/>
      <c r="J4859" s="6"/>
      <c r="K4859" s="6"/>
      <c r="L4859" s="6"/>
      <c r="M4859" s="6"/>
      <c r="N4859" s="6"/>
      <c r="O4859" s="6"/>
      <c r="P4859" s="6"/>
      <c r="Q4859" s="6"/>
      <c r="R4859" s="6"/>
      <c r="S4859" s="6"/>
      <c r="T4859" s="6"/>
      <c r="U4859" s="6"/>
      <c r="V4859" s="6"/>
      <c r="W4859" s="6"/>
      <c r="X4859" s="6"/>
      <c r="Y4859" s="6"/>
      <c r="Z4859" s="6"/>
      <c r="AA4859" s="6"/>
    </row>
    <row r="4860" ht="14.25">
      <c r="B4860" s="14" t="s">
        <v>33382</v>
      </c>
      <c r="C4860" s="4" t="s">
        <v>33383</v>
      </c>
      <c r="D4860" s="4" t="s">
        <v>33385</v>
      </c>
      <c r="E4860" s="6"/>
      <c r="F4860" s="4" t="s">
        <v>571</v>
      </c>
      <c r="G4860" s="4" t="s">
        <v>33387</v>
      </c>
      <c r="H4860" s="6"/>
      <c r="I4860" s="6"/>
      <c r="J4860" s="6"/>
      <c r="K4860" s="6"/>
      <c r="L4860" s="6"/>
      <c r="M4860" s="6"/>
      <c r="N4860" s="6"/>
      <c r="O4860" s="6"/>
      <c r="P4860" s="6"/>
      <c r="Q4860" s="6"/>
      <c r="R4860" s="6"/>
      <c r="S4860" s="6"/>
      <c r="T4860" s="6"/>
      <c r="U4860" s="6"/>
      <c r="V4860" s="6"/>
      <c r="W4860" s="6"/>
      <c r="X4860" s="6"/>
      <c r="Y4860" s="6"/>
      <c r="Z4860" s="6"/>
      <c r="AA4860" s="6"/>
    </row>
    <row r="4861" ht="14.25">
      <c r="B4861" s="14" t="s">
        <v>33388</v>
      </c>
      <c r="C4861" s="4" t="s">
        <v>33389</v>
      </c>
      <c r="D4861" s="4" t="s">
        <v>33390</v>
      </c>
      <c r="E4861" s="4" t="s">
        <v>33391</v>
      </c>
      <c r="F4861" s="4" t="s">
        <v>2419</v>
      </c>
      <c r="G4861" s="4" t="s">
        <v>33392</v>
      </c>
      <c r="H4861" s="6"/>
      <c r="I4861" s="6"/>
      <c r="J4861" s="6"/>
      <c r="K4861" s="6"/>
      <c r="L4861" s="6"/>
      <c r="M4861" s="6"/>
      <c r="N4861" s="6"/>
      <c r="O4861" s="6"/>
      <c r="P4861" s="6"/>
      <c r="Q4861" s="6"/>
      <c r="R4861" s="6"/>
      <c r="S4861" s="6"/>
      <c r="T4861" s="6"/>
      <c r="U4861" s="6"/>
      <c r="V4861" s="6"/>
      <c r="W4861" s="6"/>
      <c r="X4861" s="6"/>
      <c r="Y4861" s="6"/>
      <c r="Z4861" s="6"/>
      <c r="AA4861" s="6"/>
    </row>
    <row r="4862" ht="14.25">
      <c r="B4862" s="14" t="s">
        <v>33388</v>
      </c>
      <c r="C4862" s="4" t="s">
        <v>33389</v>
      </c>
      <c r="D4862" s="4" t="s">
        <v>33393</v>
      </c>
      <c r="E4862" s="4" t="s">
        <v>33391</v>
      </c>
      <c r="F4862" s="4" t="s">
        <v>2652</v>
      </c>
      <c r="G4862" s="4" t="s">
        <v>33394</v>
      </c>
      <c r="H4862" s="6"/>
      <c r="I4862" s="6"/>
      <c r="J4862" s="6"/>
      <c r="K4862" s="6"/>
      <c r="L4862" s="6"/>
      <c r="M4862" s="6"/>
      <c r="N4862" s="6"/>
      <c r="O4862" s="6"/>
      <c r="P4862" s="6"/>
      <c r="Q4862" s="6"/>
      <c r="R4862" s="6"/>
      <c r="S4862" s="6"/>
      <c r="T4862" s="6"/>
      <c r="U4862" s="6"/>
      <c r="V4862" s="6"/>
      <c r="W4862" s="6"/>
      <c r="X4862" s="6"/>
      <c r="Y4862" s="6"/>
      <c r="Z4862" s="6"/>
      <c r="AA4862" s="6"/>
    </row>
    <row r="4863" ht="14.25">
      <c r="B4863" s="14" t="s">
        <v>33388</v>
      </c>
      <c r="C4863" s="4" t="s">
        <v>33389</v>
      </c>
      <c r="D4863" s="4" t="s">
        <v>33395</v>
      </c>
      <c r="E4863" s="4" t="s">
        <v>33391</v>
      </c>
      <c r="F4863" s="4" t="s">
        <v>4177</v>
      </c>
      <c r="G4863" s="4" t="s">
        <v>33396</v>
      </c>
      <c r="H4863" s="6"/>
      <c r="I4863" s="6"/>
      <c r="J4863" s="6"/>
      <c r="K4863" s="6"/>
      <c r="L4863" s="6"/>
      <c r="M4863" s="6"/>
      <c r="N4863" s="6"/>
      <c r="O4863" s="6"/>
      <c r="P4863" s="6"/>
      <c r="Q4863" s="6"/>
      <c r="R4863" s="6"/>
      <c r="S4863" s="6"/>
      <c r="T4863" s="6"/>
      <c r="U4863" s="6"/>
      <c r="V4863" s="6"/>
      <c r="W4863" s="6"/>
      <c r="X4863" s="6"/>
      <c r="Y4863" s="6"/>
      <c r="Z4863" s="6"/>
      <c r="AA4863" s="6"/>
    </row>
    <row r="4864" ht="14.25">
      <c r="B4864" s="14" t="s">
        <v>33397</v>
      </c>
      <c r="C4864" s="4" t="s">
        <v>33398</v>
      </c>
      <c r="D4864" s="4" t="s">
        <v>33399</v>
      </c>
      <c r="E4864" s="4" t="s">
        <v>33400</v>
      </c>
      <c r="F4864" s="4" t="s">
        <v>33401</v>
      </c>
      <c r="G4864" s="4" t="s">
        <v>33402</v>
      </c>
      <c r="H4864" s="6"/>
      <c r="I4864" s="6"/>
      <c r="J4864" s="6"/>
      <c r="K4864" s="6"/>
      <c r="L4864" s="6"/>
      <c r="M4864" s="6"/>
      <c r="N4864" s="6"/>
      <c r="O4864" s="6"/>
      <c r="P4864" s="6"/>
      <c r="Q4864" s="6"/>
      <c r="R4864" s="6"/>
      <c r="S4864" s="6"/>
      <c r="T4864" s="6"/>
      <c r="U4864" s="6"/>
      <c r="V4864" s="6"/>
      <c r="W4864" s="6"/>
      <c r="X4864" s="6"/>
      <c r="Y4864" s="6"/>
      <c r="Z4864" s="6"/>
      <c r="AA4864" s="6"/>
    </row>
    <row r="4865" ht="14.25">
      <c r="B4865" s="14" t="s">
        <v>33403</v>
      </c>
      <c r="C4865" s="4" t="s">
        <v>33404</v>
      </c>
      <c r="D4865" s="4" t="s">
        <v>33405</v>
      </c>
      <c r="E4865" s="4" t="s">
        <v>33406</v>
      </c>
      <c r="F4865" s="4" t="s">
        <v>32661</v>
      </c>
      <c r="G4865" s="4" t="s">
        <v>33407</v>
      </c>
      <c r="H4865" s="6"/>
      <c r="I4865" s="6"/>
      <c r="J4865" s="6"/>
      <c r="K4865" s="6"/>
      <c r="L4865" s="6"/>
      <c r="M4865" s="6"/>
      <c r="N4865" s="6"/>
      <c r="O4865" s="6"/>
      <c r="P4865" s="6"/>
      <c r="Q4865" s="6"/>
      <c r="R4865" s="6"/>
      <c r="S4865" s="6"/>
      <c r="T4865" s="6"/>
      <c r="U4865" s="6"/>
      <c r="V4865" s="6"/>
      <c r="W4865" s="6"/>
      <c r="X4865" s="6"/>
      <c r="Y4865" s="6"/>
      <c r="Z4865" s="6"/>
      <c r="AA4865" s="6"/>
    </row>
    <row r="4866" ht="14.25">
      <c r="B4866" s="14" t="s">
        <v>33403</v>
      </c>
      <c r="C4866" s="4" t="s">
        <v>33404</v>
      </c>
      <c r="D4866" s="4" t="s">
        <v>33408</v>
      </c>
      <c r="E4866" s="4" t="s">
        <v>33406</v>
      </c>
      <c r="F4866" s="4" t="s">
        <v>8074</v>
      </c>
      <c r="G4866" s="4" t="s">
        <v>33409</v>
      </c>
      <c r="H4866" s="6"/>
      <c r="I4866" s="6"/>
      <c r="J4866" s="6"/>
      <c r="K4866" s="6"/>
      <c r="L4866" s="6"/>
      <c r="M4866" s="6"/>
      <c r="N4866" s="6"/>
      <c r="O4866" s="6"/>
      <c r="P4866" s="6"/>
      <c r="Q4866" s="6"/>
      <c r="R4866" s="6"/>
      <c r="S4866" s="6"/>
      <c r="T4866" s="6"/>
      <c r="U4866" s="6"/>
      <c r="V4866" s="6"/>
      <c r="W4866" s="6"/>
      <c r="X4866" s="6"/>
      <c r="Y4866" s="6"/>
      <c r="Z4866" s="6"/>
      <c r="AA4866" s="6"/>
    </row>
    <row r="4867" ht="14.25">
      <c r="B4867" s="14" t="s">
        <v>33403</v>
      </c>
      <c r="C4867" s="4" t="s">
        <v>33404</v>
      </c>
      <c r="D4867" s="4" t="s">
        <v>33410</v>
      </c>
      <c r="E4867" s="4" t="s">
        <v>33406</v>
      </c>
      <c r="F4867" s="4" t="s">
        <v>1215</v>
      </c>
      <c r="G4867" s="4" t="s">
        <v>33411</v>
      </c>
      <c r="H4867" s="6"/>
      <c r="I4867" s="6"/>
      <c r="J4867" s="6"/>
      <c r="K4867" s="6"/>
      <c r="L4867" s="6"/>
      <c r="M4867" s="6"/>
      <c r="N4867" s="6"/>
      <c r="O4867" s="6"/>
      <c r="P4867" s="6"/>
      <c r="Q4867" s="6"/>
      <c r="R4867" s="6"/>
      <c r="S4867" s="6"/>
      <c r="T4867" s="6"/>
      <c r="U4867" s="6"/>
      <c r="V4867" s="6"/>
      <c r="W4867" s="6"/>
      <c r="X4867" s="6"/>
      <c r="Y4867" s="6"/>
      <c r="Z4867" s="6"/>
      <c r="AA4867" s="6"/>
    </row>
    <row r="4868" ht="14.25">
      <c r="B4868" s="14" t="s">
        <v>33403</v>
      </c>
      <c r="C4868" s="4" t="s">
        <v>33412</v>
      </c>
      <c r="D4868" s="4" t="s">
        <v>33413</v>
      </c>
      <c r="E4868" s="4" t="s">
        <v>33414</v>
      </c>
      <c r="F4868" s="4" t="s">
        <v>33415</v>
      </c>
      <c r="G4868" s="4" t="s">
        <v>33416</v>
      </c>
      <c r="H4868" s="6"/>
      <c r="I4868" s="6"/>
      <c r="J4868" s="6"/>
      <c r="K4868" s="6"/>
      <c r="L4868" s="6"/>
      <c r="M4868" s="6"/>
      <c r="N4868" s="6"/>
      <c r="O4868" s="6"/>
      <c r="P4868" s="6"/>
      <c r="Q4868" s="6"/>
      <c r="R4868" s="6"/>
      <c r="S4868" s="6"/>
      <c r="T4868" s="6"/>
      <c r="U4868" s="6"/>
      <c r="V4868" s="6"/>
      <c r="W4868" s="6"/>
      <c r="X4868" s="6"/>
      <c r="Y4868" s="6"/>
      <c r="Z4868" s="6"/>
      <c r="AA4868" s="6"/>
    </row>
    <row r="4869" ht="14.25">
      <c r="B4869" s="14" t="s">
        <v>33417</v>
      </c>
      <c r="C4869" s="4" t="s">
        <v>33418</v>
      </c>
      <c r="D4869" s="4" t="s">
        <v>33419</v>
      </c>
      <c r="E4869" s="6"/>
      <c r="F4869" s="4" t="s">
        <v>971</v>
      </c>
      <c r="G4869" s="4" t="s">
        <v>33420</v>
      </c>
      <c r="H4869" s="6"/>
      <c r="I4869" s="6"/>
      <c r="J4869" s="6"/>
      <c r="K4869" s="6"/>
      <c r="L4869" s="6"/>
      <c r="M4869" s="6"/>
      <c r="N4869" s="6"/>
      <c r="O4869" s="6"/>
      <c r="P4869" s="6"/>
      <c r="Q4869" s="6"/>
      <c r="R4869" s="6"/>
      <c r="S4869" s="6"/>
      <c r="T4869" s="6"/>
      <c r="U4869" s="6"/>
      <c r="V4869" s="6"/>
      <c r="W4869" s="6"/>
      <c r="X4869" s="6"/>
      <c r="Y4869" s="6"/>
      <c r="Z4869" s="6"/>
      <c r="AA4869" s="6"/>
    </row>
    <row r="4870" ht="14.25">
      <c r="B4870" s="14" t="s">
        <v>33421</v>
      </c>
      <c r="C4870" s="4" t="s">
        <v>33422</v>
      </c>
      <c r="D4870" s="4" t="s">
        <v>33423</v>
      </c>
      <c r="E4870" s="6"/>
      <c r="F4870" s="4" t="s">
        <v>95</v>
      </c>
      <c r="G4870" s="4" t="s">
        <v>33424</v>
      </c>
      <c r="H4870" s="6"/>
      <c r="I4870" s="6"/>
      <c r="J4870" s="6"/>
      <c r="K4870" s="6"/>
      <c r="L4870" s="6"/>
      <c r="M4870" s="6"/>
      <c r="N4870" s="6"/>
      <c r="O4870" s="6"/>
      <c r="P4870" s="6"/>
      <c r="Q4870" s="6"/>
      <c r="R4870" s="6"/>
      <c r="S4870" s="6"/>
      <c r="T4870" s="6"/>
      <c r="U4870" s="6"/>
      <c r="V4870" s="6"/>
      <c r="W4870" s="6"/>
      <c r="X4870" s="6"/>
      <c r="Y4870" s="6"/>
      <c r="Z4870" s="6"/>
      <c r="AA4870" s="6"/>
    </row>
    <row r="4871" ht="14.25">
      <c r="B4871" s="14" t="s">
        <v>33425</v>
      </c>
      <c r="C4871" s="4" t="s">
        <v>33426</v>
      </c>
      <c r="D4871" s="4" t="s">
        <v>33427</v>
      </c>
      <c r="E4871" s="4" t="s">
        <v>33428</v>
      </c>
      <c r="F4871" s="4" t="s">
        <v>11766</v>
      </c>
      <c r="G4871" s="4" t="s">
        <v>33429</v>
      </c>
      <c r="H4871" s="6"/>
      <c r="I4871" s="6"/>
      <c r="J4871" s="6"/>
      <c r="K4871" s="6"/>
      <c r="L4871" s="6"/>
      <c r="M4871" s="6"/>
      <c r="N4871" s="6"/>
      <c r="O4871" s="6"/>
      <c r="P4871" s="6"/>
      <c r="Q4871" s="6"/>
      <c r="R4871" s="6"/>
      <c r="S4871" s="6"/>
      <c r="T4871" s="6"/>
      <c r="U4871" s="6"/>
      <c r="V4871" s="6"/>
      <c r="W4871" s="6"/>
      <c r="X4871" s="6"/>
      <c r="Y4871" s="6"/>
      <c r="Z4871" s="6"/>
      <c r="AA4871" s="6"/>
    </row>
    <row r="4872" ht="14.25">
      <c r="B4872" s="14" t="s">
        <v>33430</v>
      </c>
      <c r="C4872" s="4" t="s">
        <v>33431</v>
      </c>
      <c r="D4872" s="4" t="s">
        <v>33432</v>
      </c>
      <c r="E4872" s="4" t="s">
        <v>33433</v>
      </c>
      <c r="F4872" s="4" t="s">
        <v>33434</v>
      </c>
      <c r="G4872" s="4" t="s">
        <v>33435</v>
      </c>
      <c r="H4872" s="6"/>
      <c r="I4872" s="6"/>
      <c r="J4872" s="6"/>
      <c r="K4872" s="6"/>
      <c r="L4872" s="6"/>
      <c r="M4872" s="6"/>
      <c r="N4872" s="6"/>
      <c r="O4872" s="6"/>
      <c r="P4872" s="6"/>
      <c r="Q4872" s="6"/>
      <c r="R4872" s="6"/>
      <c r="S4872" s="6"/>
      <c r="T4872" s="6"/>
      <c r="U4872" s="6"/>
      <c r="V4872" s="6"/>
      <c r="W4872" s="6"/>
      <c r="X4872" s="6"/>
      <c r="Y4872" s="6"/>
      <c r="Z4872" s="6"/>
      <c r="AA4872" s="6"/>
    </row>
    <row r="4873" ht="14.25">
      <c r="B4873" s="14" t="s">
        <v>33430</v>
      </c>
      <c r="C4873" s="4" t="s">
        <v>33436</v>
      </c>
      <c r="D4873" s="4" t="s">
        <v>33437</v>
      </c>
      <c r="E4873" s="4" t="s">
        <v>33438</v>
      </c>
      <c r="F4873" s="4" t="s">
        <v>5728</v>
      </c>
      <c r="G4873" s="4" t="s">
        <v>33439</v>
      </c>
      <c r="H4873" s="6"/>
      <c r="I4873" s="6"/>
      <c r="J4873" s="6"/>
      <c r="K4873" s="6"/>
      <c r="L4873" s="6"/>
      <c r="M4873" s="6"/>
      <c r="N4873" s="6"/>
      <c r="O4873" s="6"/>
      <c r="P4873" s="6"/>
      <c r="Q4873" s="6"/>
      <c r="R4873" s="6"/>
      <c r="S4873" s="6"/>
      <c r="T4873" s="6"/>
      <c r="U4873" s="6"/>
      <c r="V4873" s="6"/>
      <c r="W4873" s="6"/>
      <c r="X4873" s="6"/>
      <c r="Y4873" s="6"/>
      <c r="Z4873" s="6"/>
      <c r="AA4873" s="6"/>
    </row>
    <row r="4874" ht="14.25">
      <c r="B4874" s="14" t="s">
        <v>33430</v>
      </c>
      <c r="C4874" s="4" t="s">
        <v>33431</v>
      </c>
      <c r="D4874" s="4" t="s">
        <v>33440</v>
      </c>
      <c r="E4874" s="4" t="s">
        <v>33433</v>
      </c>
      <c r="F4874" s="4" t="s">
        <v>1861</v>
      </c>
      <c r="G4874" s="4" t="s">
        <v>33441</v>
      </c>
      <c r="H4874" s="6"/>
      <c r="I4874" s="6"/>
      <c r="J4874" s="6"/>
      <c r="K4874" s="6"/>
      <c r="L4874" s="6"/>
      <c r="M4874" s="6"/>
      <c r="N4874" s="6"/>
      <c r="O4874" s="6"/>
      <c r="P4874" s="6"/>
      <c r="Q4874" s="6"/>
      <c r="R4874" s="6"/>
      <c r="S4874" s="6"/>
      <c r="T4874" s="6"/>
      <c r="U4874" s="6"/>
      <c r="V4874" s="6"/>
      <c r="W4874" s="6"/>
      <c r="X4874" s="6"/>
      <c r="Y4874" s="6"/>
      <c r="Z4874" s="6"/>
      <c r="AA4874" s="6"/>
    </row>
    <row r="4875" ht="14.25">
      <c r="B4875" s="14" t="s">
        <v>33430</v>
      </c>
      <c r="C4875" s="4" t="s">
        <v>33431</v>
      </c>
      <c r="D4875" s="4" t="s">
        <v>33442</v>
      </c>
      <c r="E4875" s="4" t="s">
        <v>33433</v>
      </c>
      <c r="F4875" s="4" t="s">
        <v>7559</v>
      </c>
      <c r="G4875" s="4" t="s">
        <v>33443</v>
      </c>
      <c r="H4875" s="6"/>
      <c r="I4875" s="6"/>
      <c r="J4875" s="6"/>
      <c r="K4875" s="6"/>
      <c r="L4875" s="6"/>
      <c r="M4875" s="6"/>
      <c r="N4875" s="6"/>
      <c r="O4875" s="6"/>
      <c r="P4875" s="6"/>
      <c r="Q4875" s="6"/>
      <c r="R4875" s="6"/>
      <c r="S4875" s="6"/>
      <c r="T4875" s="6"/>
      <c r="U4875" s="6"/>
      <c r="V4875" s="6"/>
      <c r="W4875" s="6"/>
      <c r="X4875" s="6"/>
      <c r="Y4875" s="6"/>
      <c r="Z4875" s="6"/>
      <c r="AA4875" s="6"/>
    </row>
    <row r="4876" ht="14.25">
      <c r="B4876" s="14" t="s">
        <v>33430</v>
      </c>
      <c r="C4876" s="4" t="s">
        <v>33431</v>
      </c>
      <c r="D4876" s="4" t="s">
        <v>33444</v>
      </c>
      <c r="E4876" s="4" t="s">
        <v>33433</v>
      </c>
      <c r="F4876" s="4" t="s">
        <v>971</v>
      </c>
      <c r="G4876" s="4" t="s">
        <v>33445</v>
      </c>
      <c r="H4876" s="6"/>
      <c r="I4876" s="6"/>
      <c r="J4876" s="6"/>
      <c r="K4876" s="6"/>
      <c r="L4876" s="6"/>
      <c r="M4876" s="6"/>
      <c r="N4876" s="6"/>
      <c r="O4876" s="6"/>
      <c r="P4876" s="6"/>
      <c r="Q4876" s="6"/>
      <c r="R4876" s="6"/>
      <c r="S4876" s="6"/>
      <c r="T4876" s="6"/>
      <c r="U4876" s="6"/>
      <c r="V4876" s="6"/>
      <c r="W4876" s="6"/>
      <c r="X4876" s="6"/>
      <c r="Y4876" s="6"/>
      <c r="Z4876" s="6"/>
      <c r="AA4876" s="6"/>
    </row>
    <row r="4877" ht="14.25">
      <c r="B4877" s="14" t="s">
        <v>33430</v>
      </c>
      <c r="C4877" s="4" t="s">
        <v>33431</v>
      </c>
      <c r="D4877" s="4" t="s">
        <v>33446</v>
      </c>
      <c r="E4877" s="4" t="s">
        <v>33433</v>
      </c>
      <c r="F4877" s="4" t="s">
        <v>279</v>
      </c>
      <c r="G4877" s="4" t="s">
        <v>33447</v>
      </c>
      <c r="H4877" s="6"/>
      <c r="I4877" s="6"/>
      <c r="J4877" s="6"/>
      <c r="K4877" s="6"/>
      <c r="L4877" s="6"/>
      <c r="M4877" s="6"/>
      <c r="N4877" s="6"/>
      <c r="O4877" s="6"/>
      <c r="P4877" s="6"/>
      <c r="Q4877" s="6"/>
      <c r="R4877" s="6"/>
      <c r="S4877" s="6"/>
      <c r="T4877" s="6"/>
      <c r="U4877" s="6"/>
      <c r="V4877" s="6"/>
      <c r="W4877" s="6"/>
      <c r="X4877" s="6"/>
      <c r="Y4877" s="6"/>
      <c r="Z4877" s="6"/>
      <c r="AA4877" s="6"/>
    </row>
    <row r="4878" ht="14.25">
      <c r="B4878" s="14" t="s">
        <v>33430</v>
      </c>
      <c r="C4878" s="4" t="s">
        <v>33436</v>
      </c>
      <c r="D4878" s="4" t="s">
        <v>33448</v>
      </c>
      <c r="E4878" s="4" t="s">
        <v>33438</v>
      </c>
      <c r="F4878" s="4" t="s">
        <v>32891</v>
      </c>
      <c r="G4878" s="4" t="s">
        <v>33449</v>
      </c>
      <c r="H4878" s="6"/>
      <c r="I4878" s="6"/>
      <c r="J4878" s="6"/>
      <c r="K4878" s="6"/>
      <c r="L4878" s="6"/>
      <c r="M4878" s="6"/>
      <c r="N4878" s="6"/>
      <c r="O4878" s="6"/>
      <c r="P4878" s="6"/>
      <c r="Q4878" s="6"/>
      <c r="R4878" s="6"/>
      <c r="S4878" s="6"/>
      <c r="T4878" s="6"/>
      <c r="U4878" s="6"/>
      <c r="V4878" s="6"/>
      <c r="W4878" s="6"/>
      <c r="X4878" s="6"/>
      <c r="Y4878" s="6"/>
      <c r="Z4878" s="6"/>
      <c r="AA4878" s="6"/>
    </row>
    <row r="4879" ht="14.25">
      <c r="B4879" s="14" t="s">
        <v>33430</v>
      </c>
      <c r="C4879" s="4" t="s">
        <v>33431</v>
      </c>
      <c r="D4879" s="4" t="s">
        <v>33450</v>
      </c>
      <c r="E4879" s="4" t="s">
        <v>33433</v>
      </c>
      <c r="F4879" s="4" t="s">
        <v>33451</v>
      </c>
      <c r="G4879" s="4" t="s">
        <v>32736</v>
      </c>
      <c r="H4879" s="6"/>
      <c r="I4879" s="6"/>
      <c r="J4879" s="6"/>
      <c r="K4879" s="6"/>
      <c r="L4879" s="6"/>
      <c r="M4879" s="6"/>
      <c r="N4879" s="6"/>
      <c r="O4879" s="6"/>
      <c r="P4879" s="6"/>
      <c r="Q4879" s="6"/>
      <c r="R4879" s="6"/>
      <c r="S4879" s="6"/>
      <c r="T4879" s="6"/>
      <c r="U4879" s="6"/>
      <c r="V4879" s="6"/>
      <c r="W4879" s="6"/>
      <c r="X4879" s="6"/>
      <c r="Y4879" s="6"/>
      <c r="Z4879" s="6"/>
      <c r="AA4879" s="6"/>
    </row>
    <row r="4880" ht="14.25">
      <c r="B4880" s="14" t="s">
        <v>33430</v>
      </c>
      <c r="C4880" s="4" t="s">
        <v>33436</v>
      </c>
      <c r="D4880" s="4" t="s">
        <v>33452</v>
      </c>
      <c r="E4880" s="4" t="s">
        <v>33438</v>
      </c>
      <c r="F4880" s="4" t="s">
        <v>2462</v>
      </c>
      <c r="G4880" s="4" t="s">
        <v>33439</v>
      </c>
      <c r="H4880" s="6"/>
      <c r="I4880" s="6"/>
      <c r="J4880" s="6"/>
      <c r="K4880" s="6"/>
      <c r="L4880" s="6"/>
      <c r="M4880" s="6"/>
      <c r="N4880" s="6"/>
      <c r="O4880" s="6"/>
      <c r="P4880" s="6"/>
      <c r="Q4880" s="6"/>
      <c r="R4880" s="6"/>
      <c r="S4880" s="6"/>
      <c r="T4880" s="6"/>
      <c r="U4880" s="6"/>
      <c r="V4880" s="6"/>
      <c r="W4880" s="6"/>
      <c r="X4880" s="6"/>
      <c r="Y4880" s="6"/>
      <c r="Z4880" s="6"/>
      <c r="AA4880" s="6"/>
    </row>
    <row r="4881" ht="14.25">
      <c r="B4881" s="14" t="s">
        <v>33430</v>
      </c>
      <c r="C4881" s="4" t="s">
        <v>33431</v>
      </c>
      <c r="D4881" s="4" t="s">
        <v>33453</v>
      </c>
      <c r="E4881" s="4" t="s">
        <v>33433</v>
      </c>
      <c r="F4881" s="4" t="s">
        <v>8049</v>
      </c>
      <c r="G4881" s="4" t="s">
        <v>33454</v>
      </c>
      <c r="H4881" s="6"/>
      <c r="I4881" s="6"/>
      <c r="J4881" s="6"/>
      <c r="K4881" s="6"/>
      <c r="L4881" s="6"/>
      <c r="M4881" s="6"/>
      <c r="N4881" s="6"/>
      <c r="O4881" s="6"/>
      <c r="P4881" s="6"/>
      <c r="Q4881" s="6"/>
      <c r="R4881" s="6"/>
      <c r="S4881" s="6"/>
      <c r="T4881" s="6"/>
      <c r="U4881" s="6"/>
      <c r="V4881" s="6"/>
      <c r="W4881" s="6"/>
      <c r="X4881" s="6"/>
      <c r="Y4881" s="6"/>
      <c r="Z4881" s="6"/>
      <c r="AA4881" s="6"/>
    </row>
    <row r="4882" ht="14.25">
      <c r="B4882" s="14" t="s">
        <v>33430</v>
      </c>
      <c r="C4882" s="4" t="s">
        <v>33431</v>
      </c>
      <c r="D4882" s="4" t="s">
        <v>33455</v>
      </c>
      <c r="E4882" s="4" t="s">
        <v>33433</v>
      </c>
      <c r="F4882" s="4" t="s">
        <v>33456</v>
      </c>
      <c r="G4882" s="4" t="s">
        <v>33457</v>
      </c>
      <c r="H4882" s="6"/>
      <c r="I4882" s="6"/>
      <c r="J4882" s="6"/>
      <c r="K4882" s="6"/>
      <c r="L4882" s="6"/>
      <c r="M4882" s="6"/>
      <c r="N4882" s="6"/>
      <c r="O4882" s="6"/>
      <c r="P4882" s="6"/>
      <c r="Q4882" s="6"/>
      <c r="R4882" s="6"/>
      <c r="S4882" s="6"/>
      <c r="T4882" s="6"/>
      <c r="U4882" s="6"/>
      <c r="V4882" s="6"/>
      <c r="W4882" s="6"/>
      <c r="X4882" s="6"/>
      <c r="Y4882" s="6"/>
      <c r="Z4882" s="6"/>
      <c r="AA4882" s="6"/>
    </row>
    <row r="4883" ht="14.25">
      <c r="B4883" s="14" t="s">
        <v>33430</v>
      </c>
      <c r="C4883" s="4" t="s">
        <v>33431</v>
      </c>
      <c r="D4883" s="4" t="s">
        <v>33458</v>
      </c>
      <c r="E4883" s="4" t="s">
        <v>33433</v>
      </c>
      <c r="F4883" s="4" t="s">
        <v>33459</v>
      </c>
      <c r="G4883" s="4" t="s">
        <v>33460</v>
      </c>
      <c r="H4883" s="6"/>
      <c r="I4883" s="6"/>
      <c r="J4883" s="6"/>
      <c r="K4883" s="6"/>
      <c r="L4883" s="6"/>
      <c r="M4883" s="6"/>
      <c r="N4883" s="6"/>
      <c r="O4883" s="6"/>
      <c r="P4883" s="6"/>
      <c r="Q4883" s="6"/>
      <c r="R4883" s="6"/>
      <c r="S4883" s="6"/>
      <c r="T4883" s="6"/>
      <c r="U4883" s="6"/>
      <c r="V4883" s="6"/>
      <c r="W4883" s="6"/>
      <c r="X4883" s="6"/>
      <c r="Y4883" s="6"/>
      <c r="Z4883" s="6"/>
      <c r="AA4883" s="6"/>
    </row>
    <row r="4884" ht="14.25">
      <c r="B4884" s="14" t="s">
        <v>33430</v>
      </c>
      <c r="C4884" s="4" t="s">
        <v>33436</v>
      </c>
      <c r="D4884" s="4" t="s">
        <v>33461</v>
      </c>
      <c r="E4884" s="4" t="s">
        <v>33438</v>
      </c>
      <c r="F4884" s="4" t="s">
        <v>32701</v>
      </c>
      <c r="G4884" s="4" t="s">
        <v>33462</v>
      </c>
      <c r="H4884" s="6"/>
      <c r="I4884" s="6"/>
      <c r="J4884" s="6"/>
      <c r="K4884" s="6"/>
      <c r="L4884" s="6"/>
      <c r="M4884" s="6"/>
      <c r="N4884" s="6"/>
      <c r="O4884" s="6"/>
      <c r="P4884" s="6"/>
      <c r="Q4884" s="6"/>
      <c r="R4884" s="6"/>
      <c r="S4884" s="6"/>
      <c r="T4884" s="6"/>
      <c r="U4884" s="6"/>
      <c r="V4884" s="6"/>
      <c r="W4884" s="6"/>
      <c r="X4884" s="6"/>
      <c r="Y4884" s="6"/>
      <c r="Z4884" s="6"/>
      <c r="AA4884" s="6"/>
    </row>
    <row r="4885" ht="14.25">
      <c r="B4885" s="14" t="s">
        <v>33430</v>
      </c>
      <c r="C4885" s="4" t="s">
        <v>33436</v>
      </c>
      <c r="D4885" s="4" t="s">
        <v>33463</v>
      </c>
      <c r="E4885" s="4" t="s">
        <v>33438</v>
      </c>
      <c r="F4885" s="4" t="s">
        <v>330</v>
      </c>
      <c r="G4885" s="4" t="s">
        <v>33464</v>
      </c>
      <c r="H4885" s="6"/>
      <c r="I4885" s="6"/>
      <c r="J4885" s="6"/>
      <c r="K4885" s="6"/>
      <c r="L4885" s="6"/>
      <c r="M4885" s="6"/>
      <c r="N4885" s="6"/>
      <c r="O4885" s="6"/>
      <c r="P4885" s="6"/>
      <c r="Q4885" s="6"/>
      <c r="R4885" s="6"/>
      <c r="S4885" s="6"/>
      <c r="T4885" s="6"/>
      <c r="U4885" s="6"/>
      <c r="V4885" s="6"/>
      <c r="W4885" s="6"/>
      <c r="X4885" s="6"/>
      <c r="Y4885" s="6"/>
      <c r="Z4885" s="6"/>
      <c r="AA4885" s="6"/>
    </row>
    <row r="4886" ht="14.25">
      <c r="B4886" s="14" t="s">
        <v>33430</v>
      </c>
      <c r="C4886" s="4" t="s">
        <v>33431</v>
      </c>
      <c r="D4886" s="4" t="s">
        <v>33465</v>
      </c>
      <c r="E4886" s="4" t="s">
        <v>33433</v>
      </c>
      <c r="F4886" s="4" t="s">
        <v>4048</v>
      </c>
      <c r="G4886" s="4" t="s">
        <v>33447</v>
      </c>
      <c r="H4886" s="6"/>
      <c r="I4886" s="6"/>
      <c r="J4886" s="6"/>
      <c r="K4886" s="6"/>
      <c r="L4886" s="6"/>
      <c r="M4886" s="6"/>
      <c r="N4886" s="6"/>
      <c r="O4886" s="6"/>
      <c r="P4886" s="6"/>
      <c r="Q4886" s="6"/>
      <c r="R4886" s="6"/>
      <c r="S4886" s="6"/>
      <c r="T4886" s="6"/>
      <c r="U4886" s="6"/>
      <c r="V4886" s="6"/>
      <c r="W4886" s="6"/>
      <c r="X4886" s="6"/>
      <c r="Y4886" s="6"/>
      <c r="Z4886" s="6"/>
      <c r="AA4886" s="6"/>
    </row>
    <row r="4887" ht="14.25">
      <c r="B4887" s="14" t="s">
        <v>33430</v>
      </c>
      <c r="C4887" s="4" t="s">
        <v>33431</v>
      </c>
      <c r="D4887" s="4" t="s">
        <v>33466</v>
      </c>
      <c r="E4887" s="4" t="s">
        <v>33433</v>
      </c>
      <c r="F4887" s="4" t="s">
        <v>1732</v>
      </c>
      <c r="G4887" s="4" t="s">
        <v>33467</v>
      </c>
      <c r="H4887" s="6"/>
      <c r="I4887" s="6"/>
      <c r="J4887" s="6"/>
      <c r="K4887" s="6"/>
      <c r="L4887" s="6"/>
      <c r="M4887" s="6"/>
      <c r="N4887" s="6"/>
      <c r="O4887" s="6"/>
      <c r="P4887" s="6"/>
      <c r="Q4887" s="6"/>
      <c r="R4887" s="6"/>
      <c r="S4887" s="6"/>
      <c r="T4887" s="6"/>
      <c r="U4887" s="6"/>
      <c r="V4887" s="6"/>
      <c r="W4887" s="6"/>
      <c r="X4887" s="6"/>
      <c r="Y4887" s="6"/>
      <c r="Z4887" s="6"/>
      <c r="AA4887" s="6"/>
    </row>
    <row r="4888" ht="14.25">
      <c r="B4888" s="14" t="s">
        <v>33468</v>
      </c>
      <c r="C4888" s="4" t="s">
        <v>33469</v>
      </c>
      <c r="D4888" s="4" t="s">
        <v>33470</v>
      </c>
      <c r="E4888" s="4" t="s">
        <v>33471</v>
      </c>
      <c r="F4888" s="4" t="s">
        <v>5579</v>
      </c>
      <c r="G4888" s="4" t="s">
        <v>33472</v>
      </c>
      <c r="H4888" s="6"/>
      <c r="I4888" s="6"/>
      <c r="J4888" s="6"/>
      <c r="K4888" s="6"/>
      <c r="L4888" s="6"/>
      <c r="M4888" s="6"/>
      <c r="N4888" s="6"/>
      <c r="O4888" s="6"/>
      <c r="P4888" s="6"/>
      <c r="Q4888" s="6"/>
      <c r="R4888" s="6"/>
      <c r="S4888" s="6"/>
      <c r="T4888" s="6"/>
      <c r="U4888" s="6"/>
      <c r="V4888" s="6"/>
      <c r="W4888" s="6"/>
      <c r="X4888" s="6"/>
      <c r="Y4888" s="6"/>
      <c r="Z4888" s="6"/>
      <c r="AA4888" s="6"/>
    </row>
    <row r="4889" ht="14.25">
      <c r="B4889" s="14" t="s">
        <v>33473</v>
      </c>
      <c r="C4889" s="4" t="s">
        <v>33474</v>
      </c>
      <c r="D4889" s="4" t="s">
        <v>33475</v>
      </c>
      <c r="E4889" s="4" t="s">
        <v>33476</v>
      </c>
      <c r="F4889" s="4" t="s">
        <v>1596</v>
      </c>
      <c r="G4889" s="4" t="s">
        <v>33477</v>
      </c>
      <c r="H4889" s="6"/>
      <c r="I4889" s="6"/>
      <c r="J4889" s="6"/>
      <c r="K4889" s="6"/>
      <c r="L4889" s="6"/>
      <c r="M4889" s="6"/>
      <c r="N4889" s="6"/>
      <c r="O4889" s="6"/>
      <c r="P4889" s="6"/>
      <c r="Q4889" s="6"/>
      <c r="R4889" s="6"/>
      <c r="S4889" s="6"/>
      <c r="T4889" s="6"/>
      <c r="U4889" s="6"/>
      <c r="V4889" s="6"/>
      <c r="W4889" s="6"/>
      <c r="X4889" s="6"/>
      <c r="Y4889" s="6"/>
      <c r="Z4889" s="6"/>
      <c r="AA4889" s="6"/>
    </row>
    <row r="4890" ht="14.25">
      <c r="B4890" s="14" t="s">
        <v>33478</v>
      </c>
      <c r="C4890" s="4" t="s">
        <v>33479</v>
      </c>
      <c r="D4890" s="4" t="s">
        <v>33480</v>
      </c>
      <c r="E4890" s="4" t="s">
        <v>33481</v>
      </c>
      <c r="F4890" s="4" t="s">
        <v>32579</v>
      </c>
      <c r="G4890" s="4" t="s">
        <v>33482</v>
      </c>
      <c r="H4890" s="6"/>
      <c r="I4890" s="6"/>
      <c r="J4890" s="6"/>
      <c r="K4890" s="6"/>
      <c r="L4890" s="6"/>
      <c r="M4890" s="6"/>
      <c r="N4890" s="6"/>
      <c r="O4890" s="6"/>
      <c r="P4890" s="6"/>
      <c r="Q4890" s="6"/>
      <c r="R4890" s="6"/>
      <c r="S4890" s="6"/>
      <c r="T4890" s="6"/>
      <c r="U4890" s="6"/>
      <c r="V4890" s="6"/>
      <c r="W4890" s="6"/>
      <c r="X4890" s="6"/>
      <c r="Y4890" s="6"/>
      <c r="Z4890" s="6"/>
      <c r="AA4890" s="6"/>
    </row>
    <row r="4891" ht="14.25">
      <c r="B4891" s="14" t="s">
        <v>33483</v>
      </c>
      <c r="C4891" s="4" t="s">
        <v>33484</v>
      </c>
      <c r="D4891" s="4" t="s">
        <v>33485</v>
      </c>
      <c r="E4891" s="4" t="s">
        <v>33486</v>
      </c>
      <c r="F4891" s="4" t="s">
        <v>2652</v>
      </c>
      <c r="G4891" s="4" t="s">
        <v>33487</v>
      </c>
      <c r="H4891" s="6"/>
      <c r="I4891" s="6"/>
      <c r="J4891" s="6"/>
      <c r="K4891" s="6"/>
      <c r="L4891" s="6"/>
      <c r="M4891" s="6"/>
      <c r="N4891" s="6"/>
      <c r="O4891" s="6"/>
      <c r="P4891" s="6"/>
      <c r="Q4891" s="6"/>
      <c r="R4891" s="6"/>
      <c r="S4891" s="6"/>
      <c r="T4891" s="6"/>
      <c r="U4891" s="6"/>
      <c r="V4891" s="6"/>
      <c r="W4891" s="6"/>
      <c r="X4891" s="6"/>
      <c r="Y4891" s="6"/>
      <c r="Z4891" s="6"/>
      <c r="AA4891" s="6"/>
    </row>
    <row r="4892" ht="14.25">
      <c r="B4892" s="14" t="s">
        <v>33483</v>
      </c>
      <c r="C4892" s="4" t="s">
        <v>33484</v>
      </c>
      <c r="D4892" s="4" t="s">
        <v>33488</v>
      </c>
      <c r="E4892" s="4" t="s">
        <v>33486</v>
      </c>
      <c r="F4892" s="4" t="s">
        <v>33489</v>
      </c>
      <c r="G4892" s="4" t="s">
        <v>33490</v>
      </c>
      <c r="H4892" s="6"/>
      <c r="I4892" s="6"/>
      <c r="J4892" s="6"/>
      <c r="K4892" s="6"/>
      <c r="L4892" s="6"/>
      <c r="M4892" s="6"/>
      <c r="N4892" s="6"/>
      <c r="O4892" s="6"/>
      <c r="P4892" s="6"/>
      <c r="Q4892" s="6"/>
      <c r="R4892" s="6"/>
      <c r="S4892" s="6"/>
      <c r="T4892" s="6"/>
      <c r="U4892" s="6"/>
      <c r="V4892" s="6"/>
      <c r="W4892" s="6"/>
      <c r="X4892" s="6"/>
      <c r="Y4892" s="6"/>
      <c r="Z4892" s="6"/>
      <c r="AA4892" s="6"/>
    </row>
    <row r="4893" ht="14.25">
      <c r="B4893" s="14" t="s">
        <v>33483</v>
      </c>
      <c r="C4893" s="4" t="s">
        <v>33491</v>
      </c>
      <c r="D4893" s="4" t="s">
        <v>33492</v>
      </c>
      <c r="E4893" s="6"/>
      <c r="F4893" s="4" t="s">
        <v>955</v>
      </c>
      <c r="G4893" s="4" t="s">
        <v>33493</v>
      </c>
      <c r="H4893" s="6"/>
      <c r="I4893" s="6"/>
      <c r="J4893" s="6"/>
      <c r="K4893" s="6"/>
      <c r="L4893" s="6"/>
      <c r="M4893" s="6"/>
      <c r="N4893" s="6"/>
      <c r="O4893" s="6"/>
      <c r="P4893" s="6"/>
      <c r="Q4893" s="6"/>
      <c r="R4893" s="6"/>
      <c r="S4893" s="6"/>
      <c r="T4893" s="6"/>
      <c r="U4893" s="6"/>
      <c r="V4893" s="6"/>
      <c r="W4893" s="6"/>
      <c r="X4893" s="6"/>
      <c r="Y4893" s="6"/>
      <c r="Z4893" s="6"/>
      <c r="AA4893" s="6"/>
    </row>
    <row r="4894" ht="14.25">
      <c r="B4894" s="14" t="s">
        <v>33483</v>
      </c>
      <c r="C4894" s="4" t="s">
        <v>33494</v>
      </c>
      <c r="D4894" s="4" t="s">
        <v>33495</v>
      </c>
      <c r="E4894" s="4" t="s">
        <v>33496</v>
      </c>
      <c r="F4894" s="4" t="s">
        <v>170</v>
      </c>
      <c r="G4894" s="4" t="s">
        <v>33497</v>
      </c>
      <c r="H4894" s="6"/>
      <c r="I4894" s="6"/>
      <c r="J4894" s="6"/>
      <c r="K4894" s="6"/>
      <c r="L4894" s="6"/>
      <c r="M4894" s="6"/>
      <c r="N4894" s="6"/>
      <c r="O4894" s="6"/>
      <c r="P4894" s="6"/>
      <c r="Q4894" s="6"/>
      <c r="R4894" s="6"/>
      <c r="S4894" s="6"/>
      <c r="T4894" s="6"/>
      <c r="U4894" s="6"/>
      <c r="V4894" s="6"/>
      <c r="W4894" s="6"/>
      <c r="X4894" s="6"/>
      <c r="Y4894" s="6"/>
      <c r="Z4894" s="6"/>
      <c r="AA4894" s="6"/>
    </row>
    <row r="4895" ht="14.25">
      <c r="B4895" s="14" t="s">
        <v>33483</v>
      </c>
      <c r="C4895" s="4" t="s">
        <v>33484</v>
      </c>
      <c r="D4895" s="4" t="s">
        <v>33498</v>
      </c>
      <c r="E4895" s="4" t="s">
        <v>33486</v>
      </c>
      <c r="F4895" s="4" t="s">
        <v>4012</v>
      </c>
      <c r="G4895" s="4" t="s">
        <v>33499</v>
      </c>
      <c r="H4895" s="6"/>
      <c r="I4895" s="6"/>
      <c r="J4895" s="6"/>
      <c r="K4895" s="6"/>
      <c r="L4895" s="6"/>
      <c r="M4895" s="6"/>
      <c r="N4895" s="6"/>
      <c r="O4895" s="6"/>
      <c r="P4895" s="6"/>
      <c r="Q4895" s="6"/>
      <c r="R4895" s="6"/>
      <c r="S4895" s="6"/>
      <c r="T4895" s="6"/>
      <c r="U4895" s="6"/>
      <c r="V4895" s="6"/>
      <c r="W4895" s="6"/>
      <c r="X4895" s="6"/>
      <c r="Y4895" s="6"/>
      <c r="Z4895" s="6"/>
      <c r="AA4895" s="6"/>
    </row>
    <row r="4896" ht="14.25">
      <c r="B4896" s="14" t="s">
        <v>33483</v>
      </c>
      <c r="C4896" s="4" t="s">
        <v>33500</v>
      </c>
      <c r="D4896" s="4" t="s">
        <v>33501</v>
      </c>
      <c r="E4896" s="4" t="s">
        <v>33502</v>
      </c>
      <c r="F4896" s="4" t="s">
        <v>222</v>
      </c>
      <c r="G4896" s="4" t="s">
        <v>33503</v>
      </c>
      <c r="H4896" s="6"/>
      <c r="I4896" s="6"/>
      <c r="J4896" s="6"/>
      <c r="K4896" s="6"/>
      <c r="L4896" s="6"/>
      <c r="M4896" s="6"/>
      <c r="N4896" s="6"/>
      <c r="O4896" s="6"/>
      <c r="P4896" s="6"/>
      <c r="Q4896" s="6"/>
      <c r="R4896" s="6"/>
      <c r="S4896" s="6"/>
      <c r="T4896" s="6"/>
      <c r="U4896" s="6"/>
      <c r="V4896" s="6"/>
      <c r="W4896" s="6"/>
      <c r="X4896" s="6"/>
      <c r="Y4896" s="6"/>
      <c r="Z4896" s="6"/>
      <c r="AA4896" s="6"/>
    </row>
    <row r="4897" ht="14.25">
      <c r="B4897" s="14" t="s">
        <v>33483</v>
      </c>
      <c r="C4897" s="4" t="s">
        <v>33504</v>
      </c>
      <c r="D4897" s="4" t="s">
        <v>33505</v>
      </c>
      <c r="E4897" s="6"/>
      <c r="F4897" s="4" t="s">
        <v>2870</v>
      </c>
      <c r="G4897" s="4" t="s">
        <v>33506</v>
      </c>
      <c r="H4897" s="6"/>
      <c r="I4897" s="6"/>
      <c r="J4897" s="6"/>
      <c r="K4897" s="6"/>
      <c r="L4897" s="6"/>
      <c r="M4897" s="6"/>
      <c r="N4897" s="6"/>
      <c r="O4897" s="6"/>
      <c r="P4897" s="6"/>
      <c r="Q4897" s="6"/>
      <c r="R4897" s="6"/>
      <c r="S4897" s="6"/>
      <c r="T4897" s="6"/>
      <c r="U4897" s="6"/>
      <c r="V4897" s="6"/>
      <c r="W4897" s="6"/>
      <c r="X4897" s="6"/>
      <c r="Y4897" s="6"/>
      <c r="Z4897" s="6"/>
      <c r="AA4897" s="6"/>
    </row>
    <row r="4898" ht="14.25">
      <c r="B4898" s="14" t="s">
        <v>33483</v>
      </c>
      <c r="C4898" s="4" t="s">
        <v>33484</v>
      </c>
      <c r="D4898" s="4" t="s">
        <v>33507</v>
      </c>
      <c r="E4898" s="4" t="s">
        <v>33486</v>
      </c>
      <c r="F4898" s="4" t="s">
        <v>255</v>
      </c>
      <c r="G4898" s="4" t="s">
        <v>33508</v>
      </c>
      <c r="H4898" s="6"/>
      <c r="I4898" s="6"/>
      <c r="J4898" s="6"/>
      <c r="K4898" s="6"/>
      <c r="L4898" s="6"/>
      <c r="M4898" s="6"/>
      <c r="N4898" s="6"/>
      <c r="O4898" s="6"/>
      <c r="P4898" s="6"/>
      <c r="Q4898" s="6"/>
      <c r="R4898" s="6"/>
      <c r="S4898" s="6"/>
      <c r="T4898" s="6"/>
      <c r="U4898" s="6"/>
      <c r="V4898" s="6"/>
      <c r="W4898" s="6"/>
      <c r="X4898" s="6"/>
      <c r="Y4898" s="6"/>
      <c r="Z4898" s="6"/>
      <c r="AA4898" s="6"/>
    </row>
    <row r="4899" ht="14.25">
      <c r="B4899" s="14" t="s">
        <v>33483</v>
      </c>
      <c r="C4899" s="4" t="s">
        <v>33484</v>
      </c>
      <c r="D4899" s="4" t="s">
        <v>33509</v>
      </c>
      <c r="E4899" s="4" t="s">
        <v>33486</v>
      </c>
      <c r="F4899" s="4" t="s">
        <v>2398</v>
      </c>
      <c r="G4899" s="4" t="s">
        <v>33510</v>
      </c>
      <c r="H4899" s="6"/>
      <c r="I4899" s="6"/>
      <c r="J4899" s="6"/>
      <c r="K4899" s="6"/>
      <c r="L4899" s="6"/>
      <c r="M4899" s="6"/>
      <c r="N4899" s="6"/>
      <c r="O4899" s="6"/>
      <c r="P4899" s="6"/>
      <c r="Q4899" s="6"/>
      <c r="R4899" s="6"/>
      <c r="S4899" s="6"/>
      <c r="T4899" s="6"/>
      <c r="U4899" s="6"/>
      <c r="V4899" s="6"/>
      <c r="W4899" s="6"/>
      <c r="X4899" s="6"/>
      <c r="Y4899" s="6"/>
      <c r="Z4899" s="6"/>
      <c r="AA4899" s="6"/>
    </row>
    <row r="4900" ht="14.25">
      <c r="B4900" s="14" t="s">
        <v>33483</v>
      </c>
      <c r="C4900" s="4" t="s">
        <v>33511</v>
      </c>
      <c r="D4900" s="4" t="s">
        <v>33512</v>
      </c>
      <c r="E4900" s="4" t="s">
        <v>33513</v>
      </c>
      <c r="F4900" s="4" t="s">
        <v>1732</v>
      </c>
      <c r="G4900" s="4" t="s">
        <v>33514</v>
      </c>
      <c r="H4900" s="6"/>
      <c r="I4900" s="6"/>
      <c r="J4900" s="6"/>
      <c r="K4900" s="6"/>
      <c r="L4900" s="6"/>
      <c r="M4900" s="6"/>
      <c r="N4900" s="6"/>
      <c r="O4900" s="6"/>
      <c r="P4900" s="6"/>
      <c r="Q4900" s="6"/>
      <c r="R4900" s="6"/>
      <c r="S4900" s="6"/>
      <c r="T4900" s="6"/>
      <c r="U4900" s="6"/>
      <c r="V4900" s="6"/>
      <c r="W4900" s="6"/>
      <c r="X4900" s="6"/>
      <c r="Y4900" s="6"/>
      <c r="Z4900" s="6"/>
      <c r="AA4900" s="6"/>
    </row>
    <row r="4901" ht="14.25">
      <c r="B4901" s="14" t="s">
        <v>33515</v>
      </c>
      <c r="C4901" s="4" t="s">
        <v>33516</v>
      </c>
      <c r="D4901" s="4" t="s">
        <v>33517</v>
      </c>
      <c r="E4901" s="6"/>
      <c r="F4901" s="4" t="s">
        <v>808</v>
      </c>
      <c r="G4901" s="4" t="s">
        <v>33518</v>
      </c>
      <c r="H4901" s="6"/>
      <c r="I4901" s="6"/>
      <c r="J4901" s="6"/>
      <c r="K4901" s="6"/>
      <c r="L4901" s="6"/>
      <c r="M4901" s="6"/>
      <c r="N4901" s="6"/>
      <c r="O4901" s="6"/>
      <c r="P4901" s="6"/>
      <c r="Q4901" s="6"/>
      <c r="R4901" s="6"/>
      <c r="S4901" s="6"/>
      <c r="T4901" s="6"/>
      <c r="U4901" s="6"/>
      <c r="V4901" s="6"/>
      <c r="W4901" s="6"/>
      <c r="X4901" s="6"/>
      <c r="Y4901" s="6"/>
      <c r="Z4901" s="6"/>
      <c r="AA4901" s="6"/>
    </row>
    <row r="4902" ht="14.25">
      <c r="B4902" s="14" t="s">
        <v>33519</v>
      </c>
      <c r="C4902" s="4" t="s">
        <v>33520</v>
      </c>
      <c r="D4902" s="4" t="s">
        <v>33521</v>
      </c>
      <c r="E4902" s="4" t="s">
        <v>33522</v>
      </c>
      <c r="F4902" s="4" t="s">
        <v>33523</v>
      </c>
      <c r="G4902" s="4" t="s">
        <v>33524</v>
      </c>
      <c r="H4902" s="6"/>
      <c r="I4902" s="6"/>
      <c r="J4902" s="6"/>
      <c r="K4902" s="6"/>
      <c r="L4902" s="6"/>
      <c r="M4902" s="6"/>
      <c r="N4902" s="6"/>
      <c r="O4902" s="6"/>
      <c r="P4902" s="6"/>
      <c r="Q4902" s="6"/>
      <c r="R4902" s="6"/>
      <c r="S4902" s="6"/>
      <c r="T4902" s="6"/>
      <c r="U4902" s="6"/>
      <c r="V4902" s="6"/>
      <c r="W4902" s="6"/>
      <c r="X4902" s="6"/>
      <c r="Y4902" s="6"/>
      <c r="Z4902" s="6"/>
      <c r="AA4902" s="6"/>
    </row>
    <row r="4903" ht="14.25">
      <c r="B4903" s="14" t="s">
        <v>33519</v>
      </c>
      <c r="C4903" s="4" t="s">
        <v>33525</v>
      </c>
      <c r="D4903" s="4" t="s">
        <v>33526</v>
      </c>
      <c r="E4903" s="4" t="s">
        <v>33527</v>
      </c>
      <c r="F4903" s="4" t="s">
        <v>485</v>
      </c>
      <c r="G4903" s="4" t="s">
        <v>33528</v>
      </c>
      <c r="H4903" s="6"/>
      <c r="I4903" s="6"/>
      <c r="J4903" s="6"/>
      <c r="K4903" s="6"/>
      <c r="L4903" s="6"/>
      <c r="M4903" s="6"/>
      <c r="N4903" s="6"/>
      <c r="O4903" s="6"/>
      <c r="P4903" s="6"/>
      <c r="Q4903" s="6"/>
      <c r="R4903" s="6"/>
      <c r="S4903" s="6"/>
      <c r="T4903" s="6"/>
      <c r="U4903" s="6"/>
      <c r="V4903" s="6"/>
      <c r="W4903" s="6"/>
      <c r="X4903" s="6"/>
      <c r="Y4903" s="6"/>
      <c r="Z4903" s="6"/>
      <c r="AA4903" s="6"/>
    </row>
    <row r="4904" ht="14.25">
      <c r="B4904" s="14" t="s">
        <v>33529</v>
      </c>
      <c r="C4904" s="4" t="s">
        <v>33530</v>
      </c>
      <c r="D4904" s="4" t="s">
        <v>33531</v>
      </c>
      <c r="E4904" s="6"/>
      <c r="F4904" s="4" t="s">
        <v>32622</v>
      </c>
      <c r="G4904" s="4" t="s">
        <v>33532</v>
      </c>
      <c r="H4904" s="6"/>
      <c r="I4904" s="6"/>
      <c r="J4904" s="6"/>
      <c r="K4904" s="6"/>
      <c r="L4904" s="6"/>
      <c r="M4904" s="6"/>
      <c r="N4904" s="6"/>
      <c r="O4904" s="6"/>
      <c r="P4904" s="6"/>
      <c r="Q4904" s="6"/>
      <c r="R4904" s="6"/>
      <c r="S4904" s="6"/>
      <c r="T4904" s="6"/>
      <c r="U4904" s="6"/>
      <c r="V4904" s="6"/>
      <c r="W4904" s="6"/>
      <c r="X4904" s="6"/>
      <c r="Y4904" s="6"/>
      <c r="Z4904" s="6"/>
      <c r="AA4904" s="6"/>
    </row>
    <row r="4905" ht="14.25">
      <c r="B4905" s="14" t="s">
        <v>33533</v>
      </c>
      <c r="C4905" s="4" t="s">
        <v>33534</v>
      </c>
      <c r="D4905" s="4" t="s">
        <v>33535</v>
      </c>
      <c r="E4905" s="6"/>
      <c r="F4905" s="4" t="s">
        <v>32787</v>
      </c>
      <c r="G4905" s="4" t="s">
        <v>33536</v>
      </c>
      <c r="H4905" s="6"/>
      <c r="I4905" s="6"/>
      <c r="J4905" s="6"/>
      <c r="K4905" s="6"/>
      <c r="L4905" s="6"/>
      <c r="M4905" s="6"/>
      <c r="N4905" s="6"/>
      <c r="O4905" s="6"/>
      <c r="P4905" s="6"/>
      <c r="Q4905" s="6"/>
      <c r="R4905" s="6"/>
      <c r="S4905" s="6"/>
      <c r="T4905" s="6"/>
      <c r="U4905" s="6"/>
      <c r="V4905" s="6"/>
      <c r="W4905" s="6"/>
      <c r="X4905" s="6"/>
      <c r="Y4905" s="6"/>
      <c r="Z4905" s="6"/>
      <c r="AA4905" s="6"/>
    </row>
    <row r="4906" ht="14.25">
      <c r="B4906" s="14" t="s">
        <v>33537</v>
      </c>
      <c r="C4906" s="4" t="s">
        <v>33538</v>
      </c>
      <c r="D4906" s="4" t="s">
        <v>33539</v>
      </c>
      <c r="E4906" s="6"/>
      <c r="F4906" s="4" t="s">
        <v>355</v>
      </c>
      <c r="G4906" s="4" t="s">
        <v>33540</v>
      </c>
      <c r="H4906" s="6"/>
      <c r="I4906" s="6"/>
      <c r="J4906" s="6"/>
      <c r="K4906" s="6"/>
      <c r="L4906" s="6"/>
      <c r="M4906" s="6"/>
      <c r="N4906" s="6"/>
      <c r="O4906" s="6"/>
      <c r="P4906" s="6"/>
      <c r="Q4906" s="6"/>
      <c r="R4906" s="6"/>
      <c r="S4906" s="6"/>
      <c r="T4906" s="6"/>
      <c r="U4906" s="6"/>
      <c r="V4906" s="6"/>
      <c r="W4906" s="6"/>
      <c r="X4906" s="6"/>
      <c r="Y4906" s="6"/>
      <c r="Z4906" s="6"/>
      <c r="AA4906" s="6"/>
    </row>
    <row r="4907" ht="14.25">
      <c r="B4907" s="14" t="s">
        <v>33537</v>
      </c>
      <c r="C4907" s="4" t="s">
        <v>33538</v>
      </c>
      <c r="D4907" s="4" t="s">
        <v>33541</v>
      </c>
      <c r="E4907" s="4" t="s">
        <v>33539</v>
      </c>
      <c r="F4907" s="4" t="s">
        <v>743</v>
      </c>
      <c r="G4907" s="4" t="s">
        <v>33542</v>
      </c>
      <c r="H4907" s="6"/>
      <c r="I4907" s="6"/>
      <c r="J4907" s="6"/>
      <c r="K4907" s="6"/>
      <c r="L4907" s="6"/>
      <c r="M4907" s="6"/>
      <c r="N4907" s="6"/>
      <c r="O4907" s="6"/>
      <c r="P4907" s="6"/>
      <c r="Q4907" s="6"/>
      <c r="R4907" s="6"/>
      <c r="S4907" s="6"/>
      <c r="T4907" s="6"/>
      <c r="U4907" s="6"/>
      <c r="V4907" s="6"/>
      <c r="W4907" s="6"/>
      <c r="X4907" s="6"/>
      <c r="Y4907" s="6"/>
      <c r="Z4907" s="6"/>
      <c r="AA4907" s="6"/>
    </row>
    <row r="4908" ht="14.25">
      <c r="B4908" s="14" t="s">
        <v>33543</v>
      </c>
      <c r="C4908" s="4" t="s">
        <v>33544</v>
      </c>
      <c r="D4908" s="4" t="s">
        <v>33545</v>
      </c>
      <c r="E4908" s="4" t="s">
        <v>33546</v>
      </c>
      <c r="F4908" s="4" t="s">
        <v>1583</v>
      </c>
      <c r="G4908" s="4" t="s">
        <v>33547</v>
      </c>
      <c r="H4908" s="6"/>
      <c r="I4908" s="6"/>
      <c r="J4908" s="6"/>
      <c r="K4908" s="6"/>
      <c r="L4908" s="6"/>
      <c r="M4908" s="6"/>
      <c r="N4908" s="6"/>
      <c r="O4908" s="6"/>
      <c r="P4908" s="6"/>
      <c r="Q4908" s="6"/>
      <c r="R4908" s="6"/>
      <c r="S4908" s="6"/>
      <c r="T4908" s="6"/>
      <c r="U4908" s="6"/>
      <c r="V4908" s="6"/>
      <c r="W4908" s="6"/>
      <c r="X4908" s="6"/>
      <c r="Y4908" s="6"/>
      <c r="Z4908" s="6"/>
      <c r="AA4908" s="6"/>
    </row>
    <row r="4909" ht="14.25">
      <c r="B4909" s="14" t="s">
        <v>33543</v>
      </c>
      <c r="C4909" s="4" t="s">
        <v>33544</v>
      </c>
      <c r="D4909" s="4" t="s">
        <v>33548</v>
      </c>
      <c r="E4909" s="4" t="s">
        <v>33546</v>
      </c>
      <c r="F4909" s="4" t="s">
        <v>330</v>
      </c>
      <c r="G4909" s="4" t="s">
        <v>33549</v>
      </c>
      <c r="H4909" s="6"/>
      <c r="I4909" s="6"/>
      <c r="J4909" s="6"/>
      <c r="K4909" s="6"/>
      <c r="L4909" s="6"/>
      <c r="M4909" s="6"/>
      <c r="N4909" s="6"/>
      <c r="O4909" s="6"/>
      <c r="P4909" s="6"/>
      <c r="Q4909" s="6"/>
      <c r="R4909" s="6"/>
      <c r="S4909" s="6"/>
      <c r="T4909" s="6"/>
      <c r="U4909" s="6"/>
      <c r="V4909" s="6"/>
      <c r="W4909" s="6"/>
      <c r="X4909" s="6"/>
      <c r="Y4909" s="6"/>
      <c r="Z4909" s="6"/>
      <c r="AA4909" s="6"/>
    </row>
    <row r="4910" ht="14.25">
      <c r="B4910" s="14" t="s">
        <v>33550</v>
      </c>
      <c r="C4910" s="4" t="s">
        <v>33551</v>
      </c>
      <c r="D4910" s="4" t="s">
        <v>33552</v>
      </c>
      <c r="E4910" s="4" t="s">
        <v>33553</v>
      </c>
      <c r="F4910" s="4" t="s">
        <v>17867</v>
      </c>
      <c r="G4910" s="4" t="s">
        <v>33554</v>
      </c>
      <c r="H4910" s="6"/>
      <c r="I4910" s="6"/>
      <c r="J4910" s="6"/>
      <c r="K4910" s="6"/>
      <c r="L4910" s="6"/>
      <c r="M4910" s="6"/>
      <c r="N4910" s="6"/>
      <c r="O4910" s="6"/>
      <c r="P4910" s="6"/>
      <c r="Q4910" s="6"/>
      <c r="R4910" s="6"/>
      <c r="S4910" s="6"/>
      <c r="T4910" s="6"/>
      <c r="U4910" s="6"/>
      <c r="V4910" s="6"/>
      <c r="W4910" s="6"/>
      <c r="X4910" s="6"/>
      <c r="Y4910" s="6"/>
      <c r="Z4910" s="6"/>
      <c r="AA4910" s="6"/>
    </row>
    <row r="4911" ht="14.25">
      <c r="B4911" s="14" t="s">
        <v>33555</v>
      </c>
      <c r="C4911" s="4" t="s">
        <v>33556</v>
      </c>
      <c r="D4911" s="4" t="s">
        <v>33557</v>
      </c>
      <c r="E4911" s="6"/>
      <c r="F4911" s="4" t="s">
        <v>110</v>
      </c>
      <c r="G4911" s="4" t="s">
        <v>33558</v>
      </c>
      <c r="H4911" s="6"/>
      <c r="I4911" s="6"/>
      <c r="J4911" s="6"/>
      <c r="K4911" s="6"/>
      <c r="L4911" s="6"/>
      <c r="M4911" s="6"/>
      <c r="N4911" s="6"/>
      <c r="O4911" s="6"/>
      <c r="P4911" s="6"/>
      <c r="Q4911" s="6"/>
      <c r="R4911" s="6"/>
      <c r="S4911" s="6"/>
      <c r="T4911" s="6"/>
      <c r="U4911" s="6"/>
      <c r="V4911" s="6"/>
      <c r="W4911" s="6"/>
      <c r="X4911" s="6"/>
      <c r="Y4911" s="6"/>
      <c r="Z4911" s="6"/>
      <c r="AA4911" s="6"/>
    </row>
    <row r="4912" ht="14.25">
      <c r="B4912" s="14" t="s">
        <v>33559</v>
      </c>
      <c r="C4912" s="4" t="s">
        <v>33560</v>
      </c>
      <c r="D4912" s="4" t="s">
        <v>33561</v>
      </c>
      <c r="E4912" s="6"/>
      <c r="F4912" s="4" t="s">
        <v>8944</v>
      </c>
      <c r="G4912" s="4" t="s">
        <v>33562</v>
      </c>
      <c r="H4912" s="6"/>
      <c r="I4912" s="6"/>
      <c r="J4912" s="6"/>
      <c r="K4912" s="6"/>
      <c r="L4912" s="6"/>
      <c r="M4912" s="6"/>
      <c r="N4912" s="6"/>
      <c r="O4912" s="6"/>
      <c r="P4912" s="6"/>
      <c r="Q4912" s="6"/>
      <c r="R4912" s="6"/>
      <c r="S4912" s="6"/>
      <c r="T4912" s="6"/>
      <c r="U4912" s="6"/>
      <c r="V4912" s="6"/>
      <c r="W4912" s="6"/>
      <c r="X4912" s="6"/>
      <c r="Y4912" s="6"/>
      <c r="Z4912" s="6"/>
      <c r="AA4912" s="6"/>
    </row>
    <row r="4913" ht="14.25">
      <c r="B4913" s="14" t="s">
        <v>33559</v>
      </c>
      <c r="C4913" s="4" t="s">
        <v>33563</v>
      </c>
      <c r="D4913" s="4" t="s">
        <v>33564</v>
      </c>
      <c r="E4913" s="4" t="s">
        <v>33565</v>
      </c>
      <c r="F4913" s="4" t="s">
        <v>33566</v>
      </c>
      <c r="G4913" s="4" t="s">
        <v>33567</v>
      </c>
      <c r="H4913" s="6"/>
      <c r="I4913" s="6"/>
      <c r="J4913" s="6"/>
      <c r="K4913" s="6"/>
      <c r="L4913" s="6"/>
      <c r="M4913" s="6"/>
      <c r="N4913" s="6"/>
      <c r="O4913" s="6"/>
      <c r="P4913" s="6"/>
      <c r="Q4913" s="6"/>
      <c r="R4913" s="6"/>
      <c r="S4913" s="6"/>
      <c r="T4913" s="6"/>
      <c r="U4913" s="6"/>
      <c r="V4913" s="6"/>
      <c r="W4913" s="6"/>
      <c r="X4913" s="6"/>
      <c r="Y4913" s="6"/>
      <c r="Z4913" s="6"/>
      <c r="AA4913" s="6"/>
    </row>
    <row r="4914" ht="14.25">
      <c r="B4914" s="14" t="s">
        <v>33568</v>
      </c>
      <c r="C4914" s="4" t="s">
        <v>33569</v>
      </c>
      <c r="D4914" s="4" t="s">
        <v>33570</v>
      </c>
      <c r="E4914" s="4" t="s">
        <v>33571</v>
      </c>
      <c r="F4914" s="4" t="s">
        <v>1215</v>
      </c>
      <c r="G4914" s="4" t="s">
        <v>33572</v>
      </c>
      <c r="H4914" s="6"/>
      <c r="I4914" s="6"/>
      <c r="J4914" s="6"/>
      <c r="K4914" s="6"/>
      <c r="L4914" s="6"/>
      <c r="M4914" s="6"/>
      <c r="N4914" s="6"/>
      <c r="O4914" s="6"/>
      <c r="P4914" s="6"/>
      <c r="Q4914" s="6"/>
      <c r="R4914" s="6"/>
      <c r="S4914" s="6"/>
      <c r="T4914" s="6"/>
      <c r="U4914" s="6"/>
      <c r="V4914" s="6"/>
      <c r="W4914" s="6"/>
      <c r="X4914" s="6"/>
      <c r="Y4914" s="6"/>
      <c r="Z4914" s="6"/>
      <c r="AA4914" s="6"/>
    </row>
    <row r="4915" ht="14.25">
      <c r="B4915" s="14" t="s">
        <v>33568</v>
      </c>
      <c r="C4915" s="4" t="s">
        <v>33573</v>
      </c>
      <c r="D4915" s="4" t="s">
        <v>33574</v>
      </c>
      <c r="E4915" s="4" t="s">
        <v>33575</v>
      </c>
      <c r="F4915" s="4" t="s">
        <v>33576</v>
      </c>
      <c r="G4915" s="4" t="s">
        <v>33577</v>
      </c>
      <c r="H4915" s="6"/>
      <c r="I4915" s="6"/>
      <c r="J4915" s="6"/>
      <c r="K4915" s="6"/>
      <c r="L4915" s="6"/>
      <c r="M4915" s="6"/>
      <c r="N4915" s="6"/>
      <c r="O4915" s="6"/>
      <c r="P4915" s="6"/>
      <c r="Q4915" s="6"/>
      <c r="R4915" s="6"/>
      <c r="S4915" s="6"/>
      <c r="T4915" s="6"/>
      <c r="U4915" s="6"/>
      <c r="V4915" s="6"/>
      <c r="W4915" s="6"/>
      <c r="X4915" s="6"/>
      <c r="Y4915" s="6"/>
      <c r="Z4915" s="6"/>
      <c r="AA4915" s="6"/>
    </row>
    <row r="4916" ht="14.25">
      <c r="B4916" s="14" t="s">
        <v>33578</v>
      </c>
      <c r="C4916" s="4" t="s">
        <v>33579</v>
      </c>
      <c r="D4916" s="4" t="s">
        <v>33580</v>
      </c>
      <c r="E4916" s="4" t="s">
        <v>33581</v>
      </c>
      <c r="F4916" s="4" t="s">
        <v>20</v>
      </c>
      <c r="G4916" s="4" t="s">
        <v>33582</v>
      </c>
      <c r="H4916" s="6"/>
      <c r="I4916" s="6"/>
      <c r="J4916" s="6"/>
      <c r="K4916" s="6"/>
      <c r="L4916" s="6"/>
      <c r="M4916" s="6"/>
      <c r="N4916" s="6"/>
      <c r="O4916" s="6"/>
      <c r="P4916" s="6"/>
      <c r="Q4916" s="6"/>
      <c r="R4916" s="6"/>
      <c r="S4916" s="6"/>
      <c r="T4916" s="6"/>
      <c r="U4916" s="6"/>
      <c r="V4916" s="6"/>
      <c r="W4916" s="6"/>
      <c r="X4916" s="6"/>
      <c r="Y4916" s="6"/>
      <c r="Z4916" s="6"/>
      <c r="AA4916" s="6"/>
    </row>
    <row r="4917" ht="14.25">
      <c r="B4917" s="14" t="s">
        <v>33583</v>
      </c>
      <c r="C4917" s="4" t="s">
        <v>33584</v>
      </c>
      <c r="D4917" s="4" t="s">
        <v>33585</v>
      </c>
      <c r="E4917" s="6"/>
      <c r="F4917" s="4" t="s">
        <v>110</v>
      </c>
      <c r="G4917" s="4" t="s">
        <v>33586</v>
      </c>
      <c r="H4917" s="6"/>
      <c r="I4917" s="6"/>
      <c r="J4917" s="6"/>
      <c r="K4917" s="6"/>
      <c r="L4917" s="6"/>
      <c r="M4917" s="6"/>
      <c r="N4917" s="6"/>
      <c r="O4917" s="6"/>
      <c r="P4917" s="6"/>
      <c r="Q4917" s="6"/>
      <c r="R4917" s="6"/>
      <c r="S4917" s="6"/>
      <c r="T4917" s="6"/>
      <c r="U4917" s="6"/>
      <c r="V4917" s="6"/>
      <c r="W4917" s="6"/>
      <c r="X4917" s="6"/>
      <c r="Y4917" s="6"/>
      <c r="Z4917" s="6"/>
      <c r="AA4917" s="6"/>
    </row>
    <row r="4918" ht="14.25">
      <c r="B4918" s="14" t="s">
        <v>33583</v>
      </c>
      <c r="C4918" s="4" t="s">
        <v>33587</v>
      </c>
      <c r="D4918" s="4" t="s">
        <v>33588</v>
      </c>
      <c r="E4918" s="4" t="s">
        <v>33589</v>
      </c>
      <c r="F4918" s="4" t="s">
        <v>7559</v>
      </c>
      <c r="G4918" s="4" t="s">
        <v>33590</v>
      </c>
      <c r="H4918" s="6"/>
      <c r="I4918" s="6"/>
      <c r="J4918" s="6"/>
      <c r="K4918" s="6"/>
      <c r="L4918" s="6"/>
      <c r="M4918" s="6"/>
      <c r="N4918" s="6"/>
      <c r="O4918" s="6"/>
      <c r="P4918" s="6"/>
      <c r="Q4918" s="6"/>
      <c r="R4918" s="6"/>
      <c r="S4918" s="6"/>
      <c r="T4918" s="6"/>
      <c r="U4918" s="6"/>
      <c r="V4918" s="6"/>
      <c r="W4918" s="6"/>
      <c r="X4918" s="6"/>
      <c r="Y4918" s="6"/>
      <c r="Z4918" s="6"/>
      <c r="AA4918" s="6"/>
    </row>
    <row r="4919" ht="14.25">
      <c r="B4919" s="14" t="s">
        <v>33591</v>
      </c>
      <c r="C4919" s="4" t="s">
        <v>33592</v>
      </c>
      <c r="D4919" s="4" t="s">
        <v>33593</v>
      </c>
      <c r="E4919" s="4" t="s">
        <v>33594</v>
      </c>
      <c r="F4919" s="4" t="s">
        <v>4204</v>
      </c>
      <c r="G4919" s="4" t="s">
        <v>33595</v>
      </c>
      <c r="H4919" s="6"/>
      <c r="I4919" s="6"/>
      <c r="J4919" s="6"/>
      <c r="K4919" s="4"/>
      <c r="L4919" s="6"/>
      <c r="M4919" s="6"/>
      <c r="N4919" s="6"/>
      <c r="O4919" s="6"/>
      <c r="P4919" s="6"/>
      <c r="Q4919" s="6"/>
      <c r="R4919" s="6"/>
      <c r="S4919" s="6"/>
      <c r="T4919" s="6"/>
      <c r="U4919" s="6"/>
      <c r="V4919" s="6"/>
      <c r="W4919" s="6"/>
      <c r="X4919" s="6"/>
      <c r="Y4919" s="6"/>
      <c r="Z4919" s="6"/>
      <c r="AA4919" s="6"/>
    </row>
    <row r="4920" ht="14.25">
      <c r="B4920" s="14" t="s">
        <v>33591</v>
      </c>
      <c r="C4920" s="4" t="s">
        <v>33596</v>
      </c>
      <c r="D4920" s="4" t="s">
        <v>33597</v>
      </c>
      <c r="E4920" s="4" t="s">
        <v>33598</v>
      </c>
      <c r="F4920" s="4" t="s">
        <v>4800</v>
      </c>
      <c r="G4920" s="4" t="s">
        <v>33599</v>
      </c>
      <c r="H4920" s="6"/>
      <c r="I4920" s="6"/>
      <c r="J4920" s="6"/>
      <c r="K4920" s="6"/>
      <c r="L4920" s="6"/>
      <c r="M4920" s="6"/>
      <c r="N4920" s="6"/>
      <c r="O4920" s="6"/>
      <c r="P4920" s="6"/>
      <c r="Q4920" s="6"/>
      <c r="R4920" s="6"/>
      <c r="S4920" s="6"/>
      <c r="T4920" s="6"/>
      <c r="U4920" s="6"/>
      <c r="V4920" s="6"/>
      <c r="W4920" s="6"/>
      <c r="X4920" s="6"/>
      <c r="Y4920" s="6"/>
      <c r="Z4920" s="6"/>
      <c r="AA4920" s="6"/>
    </row>
    <row r="4921" ht="14.25">
      <c r="B4921" s="14" t="s">
        <v>33591</v>
      </c>
      <c r="C4921" s="4" t="s">
        <v>33596</v>
      </c>
      <c r="D4921" s="4" t="s">
        <v>33600</v>
      </c>
      <c r="E4921" s="4" t="s">
        <v>33598</v>
      </c>
      <c r="F4921" s="4" t="s">
        <v>13010</v>
      </c>
      <c r="G4921" s="4" t="s">
        <v>33601</v>
      </c>
      <c r="H4921" s="6"/>
      <c r="I4921" s="6"/>
      <c r="J4921" s="6"/>
      <c r="K4921" s="6"/>
      <c r="L4921" s="6"/>
      <c r="M4921" s="6"/>
      <c r="N4921" s="6"/>
      <c r="O4921" s="6"/>
      <c r="P4921" s="6"/>
      <c r="Q4921" s="6"/>
      <c r="R4921" s="6"/>
      <c r="S4921" s="6"/>
      <c r="T4921" s="6"/>
      <c r="U4921" s="6"/>
      <c r="V4921" s="6"/>
      <c r="W4921" s="6"/>
      <c r="X4921" s="6"/>
      <c r="Y4921" s="6"/>
      <c r="Z4921" s="6"/>
      <c r="AA4921" s="6"/>
    </row>
    <row r="4922" ht="14.25">
      <c r="B4922" s="14" t="s">
        <v>33591</v>
      </c>
      <c r="C4922" s="4" t="s">
        <v>33592</v>
      </c>
      <c r="D4922" s="4" t="s">
        <v>33602</v>
      </c>
      <c r="E4922" s="4" t="s">
        <v>33594</v>
      </c>
      <c r="F4922" s="4" t="s">
        <v>255</v>
      </c>
      <c r="G4922" s="4" t="s">
        <v>33603</v>
      </c>
      <c r="H4922" s="6"/>
      <c r="I4922" s="6"/>
      <c r="J4922" s="6"/>
      <c r="K4922" s="6"/>
      <c r="L4922" s="6"/>
      <c r="M4922" s="6"/>
      <c r="N4922" s="6"/>
      <c r="O4922" s="6"/>
      <c r="P4922" s="6"/>
      <c r="Q4922" s="6"/>
      <c r="R4922" s="6"/>
      <c r="S4922" s="6"/>
      <c r="T4922" s="6"/>
      <c r="U4922" s="6"/>
      <c r="V4922" s="6"/>
      <c r="W4922" s="6"/>
      <c r="X4922" s="6"/>
      <c r="Y4922" s="6"/>
      <c r="Z4922" s="6"/>
      <c r="AA4922" s="6"/>
    </row>
    <row r="4923" ht="14.25">
      <c r="B4923" s="14" t="s">
        <v>33604</v>
      </c>
      <c r="C4923" s="4" t="s">
        <v>33605</v>
      </c>
      <c r="D4923" s="4" t="s">
        <v>33606</v>
      </c>
      <c r="E4923" s="4" t="s">
        <v>33607</v>
      </c>
      <c r="F4923" s="4" t="s">
        <v>971</v>
      </c>
      <c r="G4923" s="4" t="s">
        <v>33608</v>
      </c>
      <c r="H4923" s="6"/>
      <c r="I4923" s="6"/>
      <c r="J4923" s="6"/>
      <c r="K4923" s="6"/>
      <c r="L4923" s="6"/>
      <c r="M4923" s="6"/>
      <c r="N4923" s="6"/>
      <c r="O4923" s="6"/>
      <c r="P4923" s="6"/>
      <c r="Q4923" s="6"/>
      <c r="R4923" s="6"/>
      <c r="S4923" s="6"/>
      <c r="T4923" s="6"/>
      <c r="U4923" s="6"/>
      <c r="V4923" s="6"/>
      <c r="W4923" s="6"/>
      <c r="X4923" s="6"/>
      <c r="Y4923" s="6"/>
      <c r="Z4923" s="6"/>
      <c r="AA4923" s="6"/>
    </row>
    <row r="4924" ht="14.25">
      <c r="B4924" s="14" t="s">
        <v>33604</v>
      </c>
      <c r="C4924" s="4" t="s">
        <v>33605</v>
      </c>
      <c r="D4924" s="4" t="s">
        <v>33609</v>
      </c>
      <c r="E4924" s="4" t="s">
        <v>33607</v>
      </c>
      <c r="F4924" s="4" t="s">
        <v>32725</v>
      </c>
      <c r="G4924" s="4" t="s">
        <v>33610</v>
      </c>
      <c r="H4924" s="6"/>
      <c r="I4924" s="6"/>
      <c r="J4924" s="6"/>
      <c r="K4924" s="6"/>
      <c r="L4924" s="6"/>
      <c r="M4924" s="6"/>
      <c r="N4924" s="6"/>
      <c r="O4924" s="6"/>
      <c r="P4924" s="6"/>
      <c r="Q4924" s="6"/>
      <c r="R4924" s="6"/>
      <c r="S4924" s="6"/>
      <c r="T4924" s="6"/>
      <c r="U4924" s="6"/>
      <c r="V4924" s="6"/>
      <c r="W4924" s="6"/>
      <c r="X4924" s="6"/>
      <c r="Y4924" s="6"/>
      <c r="Z4924" s="6"/>
      <c r="AA4924" s="6"/>
    </row>
    <row r="4925" ht="14.25">
      <c r="B4925" s="14" t="s">
        <v>33604</v>
      </c>
      <c r="C4925" s="4" t="s">
        <v>33605</v>
      </c>
      <c r="D4925" s="4" t="s">
        <v>33611</v>
      </c>
      <c r="E4925" s="4" t="s">
        <v>33607</v>
      </c>
      <c r="F4925" s="4" t="s">
        <v>32725</v>
      </c>
      <c r="G4925" s="4" t="s">
        <v>33612</v>
      </c>
      <c r="H4925" s="6"/>
      <c r="I4925" s="6"/>
      <c r="J4925" s="6"/>
      <c r="K4925" s="6"/>
      <c r="L4925" s="6"/>
      <c r="M4925" s="6"/>
      <c r="N4925" s="6"/>
      <c r="O4925" s="6"/>
      <c r="P4925" s="6"/>
      <c r="Q4925" s="6"/>
      <c r="R4925" s="6"/>
      <c r="S4925" s="6"/>
      <c r="T4925" s="6"/>
      <c r="U4925" s="6"/>
      <c r="V4925" s="6"/>
      <c r="W4925" s="6"/>
      <c r="X4925" s="6"/>
      <c r="Y4925" s="6"/>
      <c r="Z4925" s="6"/>
      <c r="AA4925" s="6"/>
    </row>
    <row r="4926" ht="14.25">
      <c r="B4926" s="14" t="s">
        <v>33613</v>
      </c>
      <c r="C4926" s="4" t="s">
        <v>33614</v>
      </c>
      <c r="D4926" s="4" t="s">
        <v>33615</v>
      </c>
      <c r="E4926" s="4" t="s">
        <v>33616</v>
      </c>
      <c r="F4926" s="4" t="s">
        <v>4800</v>
      </c>
      <c r="G4926" s="4" t="s">
        <v>33617</v>
      </c>
      <c r="H4926" s="6"/>
      <c r="I4926" s="6"/>
      <c r="J4926" s="6"/>
      <c r="K4926" s="6"/>
      <c r="L4926" s="6"/>
      <c r="M4926" s="6"/>
      <c r="N4926" s="6"/>
      <c r="O4926" s="6"/>
      <c r="P4926" s="6"/>
      <c r="Q4926" s="6"/>
      <c r="R4926" s="6"/>
      <c r="S4926" s="6"/>
      <c r="T4926" s="6"/>
      <c r="U4926" s="6"/>
      <c r="V4926" s="6"/>
      <c r="W4926" s="6"/>
      <c r="X4926" s="6"/>
      <c r="Y4926" s="6"/>
      <c r="Z4926" s="6"/>
      <c r="AA4926" s="6"/>
    </row>
    <row r="4927" ht="14.25">
      <c r="B4927" s="14" t="s">
        <v>33618</v>
      </c>
      <c r="C4927" s="4" t="s">
        <v>33619</v>
      </c>
      <c r="D4927" s="4" t="s">
        <v>33620</v>
      </c>
      <c r="E4927" s="6"/>
      <c r="F4927" s="4" t="s">
        <v>33621</v>
      </c>
      <c r="G4927" s="4" t="s">
        <v>33622</v>
      </c>
      <c r="H4927" s="6"/>
      <c r="I4927" s="6"/>
      <c r="J4927" s="6"/>
      <c r="K4927" s="6"/>
      <c r="L4927" s="6"/>
      <c r="M4927" s="6"/>
      <c r="N4927" s="6"/>
      <c r="O4927" s="6"/>
      <c r="P4927" s="6"/>
      <c r="Q4927" s="6"/>
      <c r="R4927" s="6"/>
      <c r="S4927" s="6"/>
      <c r="T4927" s="6"/>
      <c r="U4927" s="6"/>
      <c r="V4927" s="6"/>
      <c r="W4927" s="6"/>
      <c r="X4927" s="6"/>
      <c r="Y4927" s="6"/>
      <c r="Z4927" s="6"/>
      <c r="AA4927" s="6"/>
    </row>
    <row r="4928" ht="14.25">
      <c r="B4928" s="14" t="s">
        <v>33623</v>
      </c>
      <c r="C4928" s="4" t="s">
        <v>33624</v>
      </c>
      <c r="D4928" s="4" t="s">
        <v>33625</v>
      </c>
      <c r="E4928" s="6"/>
      <c r="F4928" s="4" t="s">
        <v>3371</v>
      </c>
      <c r="G4928" s="4" t="s">
        <v>33626</v>
      </c>
      <c r="H4928" s="6"/>
      <c r="I4928" s="6"/>
      <c r="J4928" s="6"/>
      <c r="K4928" s="6"/>
      <c r="L4928" s="6"/>
      <c r="M4928" s="6"/>
      <c r="N4928" s="6"/>
      <c r="O4928" s="6"/>
      <c r="P4928" s="6"/>
      <c r="Q4928" s="6"/>
      <c r="R4928" s="6"/>
      <c r="S4928" s="6"/>
      <c r="T4928" s="6"/>
      <c r="U4928" s="6"/>
      <c r="V4928" s="6"/>
      <c r="W4928" s="6"/>
      <c r="X4928" s="6"/>
      <c r="Y4928" s="6"/>
      <c r="Z4928" s="6"/>
      <c r="AA4928" s="6"/>
    </row>
    <row r="4929" ht="14.25">
      <c r="B4929" s="14" t="s">
        <v>33627</v>
      </c>
      <c r="C4929" s="4" t="s">
        <v>33628</v>
      </c>
      <c r="D4929" s="4" t="s">
        <v>33629</v>
      </c>
      <c r="E4929" s="6"/>
      <c r="F4929" s="4" t="s">
        <v>630</v>
      </c>
      <c r="G4929" s="4" t="s">
        <v>33630</v>
      </c>
      <c r="H4929" s="6"/>
      <c r="I4929" s="6"/>
      <c r="J4929" s="6"/>
      <c r="K4929" s="6"/>
      <c r="L4929" s="6"/>
      <c r="M4929" s="6"/>
      <c r="N4929" s="6"/>
      <c r="O4929" s="6"/>
      <c r="P4929" s="6"/>
      <c r="Q4929" s="6"/>
      <c r="R4929" s="6"/>
      <c r="S4929" s="6"/>
      <c r="T4929" s="6"/>
      <c r="U4929" s="6"/>
      <c r="V4929" s="6"/>
      <c r="W4929" s="6"/>
      <c r="X4929" s="6"/>
      <c r="Y4929" s="6"/>
      <c r="Z4929" s="6"/>
      <c r="AA4929" s="6"/>
    </row>
    <row r="4930" ht="14.25">
      <c r="B4930" s="14" t="s">
        <v>33631</v>
      </c>
      <c r="C4930" s="4" t="s">
        <v>33632</v>
      </c>
      <c r="D4930" s="4" t="s">
        <v>33633</v>
      </c>
      <c r="E4930" s="4" t="s">
        <v>33634</v>
      </c>
      <c r="F4930" s="4" t="s">
        <v>1215</v>
      </c>
      <c r="G4930" s="4" t="s">
        <v>33635</v>
      </c>
      <c r="H4930" s="6"/>
      <c r="I4930" s="6"/>
      <c r="J4930" s="6"/>
      <c r="K4930" s="6"/>
      <c r="L4930" s="6"/>
      <c r="M4930" s="6"/>
      <c r="N4930" s="6"/>
      <c r="O4930" s="6"/>
      <c r="P4930" s="6"/>
      <c r="Q4930" s="6"/>
      <c r="R4930" s="6"/>
      <c r="S4930" s="6"/>
      <c r="T4930" s="6"/>
      <c r="U4930" s="6"/>
      <c r="V4930" s="6"/>
      <c r="W4930" s="6"/>
      <c r="X4930" s="6"/>
      <c r="Y4930" s="6"/>
      <c r="Z4930" s="6"/>
      <c r="AA4930" s="6"/>
    </row>
    <row r="4931" ht="14.25">
      <c r="B4931" s="14" t="s">
        <v>33636</v>
      </c>
      <c r="C4931" s="4" t="s">
        <v>33637</v>
      </c>
      <c r="D4931" s="4" t="s">
        <v>33638</v>
      </c>
      <c r="E4931" s="4" t="s">
        <v>33639</v>
      </c>
      <c r="F4931" s="4" t="s">
        <v>1499</v>
      </c>
      <c r="G4931" s="4" t="s">
        <v>33640</v>
      </c>
      <c r="H4931" s="6"/>
      <c r="I4931" s="6"/>
      <c r="J4931" s="6"/>
      <c r="K4931" s="6"/>
      <c r="L4931" s="6"/>
      <c r="M4931" s="6"/>
      <c r="N4931" s="6"/>
      <c r="O4931" s="6"/>
      <c r="P4931" s="6"/>
      <c r="Q4931" s="6"/>
      <c r="R4931" s="6"/>
      <c r="S4931" s="6"/>
      <c r="T4931" s="6"/>
      <c r="U4931" s="6"/>
      <c r="V4931" s="6"/>
      <c r="W4931" s="6"/>
      <c r="X4931" s="6"/>
      <c r="Y4931" s="6"/>
      <c r="Z4931" s="6"/>
      <c r="AA4931" s="6"/>
    </row>
    <row r="4932" ht="14.25">
      <c r="B4932" s="14" t="s">
        <v>33641</v>
      </c>
      <c r="C4932" s="4" t="s">
        <v>33642</v>
      </c>
      <c r="D4932" s="4" t="s">
        <v>33643</v>
      </c>
      <c r="E4932" s="6"/>
      <c r="F4932" s="4" t="s">
        <v>33644</v>
      </c>
      <c r="G4932" s="4" t="s">
        <v>33645</v>
      </c>
      <c r="H4932" s="6"/>
      <c r="I4932" s="6"/>
      <c r="J4932" s="6"/>
      <c r="K4932" s="6"/>
      <c r="L4932" s="6"/>
      <c r="M4932" s="6"/>
      <c r="N4932" s="6"/>
      <c r="O4932" s="6"/>
      <c r="P4932" s="6"/>
      <c r="Q4932" s="6"/>
      <c r="R4932" s="6"/>
      <c r="S4932" s="6"/>
      <c r="T4932" s="6"/>
      <c r="U4932" s="6"/>
      <c r="V4932" s="6"/>
      <c r="W4932" s="6"/>
      <c r="X4932" s="6"/>
      <c r="Y4932" s="6"/>
      <c r="Z4932" s="6"/>
      <c r="AA4932" s="6"/>
    </row>
    <row r="4933" ht="14.25">
      <c r="B4933" s="14" t="s">
        <v>33641</v>
      </c>
      <c r="C4933" s="4" t="s">
        <v>33646</v>
      </c>
      <c r="D4933" s="4" t="s">
        <v>33647</v>
      </c>
      <c r="E4933" s="4" t="s">
        <v>33648</v>
      </c>
      <c r="F4933" s="4" t="s">
        <v>33649</v>
      </c>
      <c r="G4933" s="4" t="s">
        <v>33650</v>
      </c>
      <c r="H4933" s="6"/>
      <c r="I4933" s="6"/>
      <c r="J4933" s="6"/>
      <c r="K4933" s="6"/>
      <c r="L4933" s="6"/>
      <c r="M4933" s="6"/>
      <c r="N4933" s="6"/>
      <c r="O4933" s="6"/>
      <c r="P4933" s="6"/>
      <c r="Q4933" s="6"/>
      <c r="R4933" s="6"/>
      <c r="S4933" s="6"/>
      <c r="T4933" s="6"/>
      <c r="U4933" s="6"/>
      <c r="V4933" s="6"/>
      <c r="W4933" s="6"/>
      <c r="X4933" s="6"/>
      <c r="Y4933" s="6"/>
      <c r="Z4933" s="6"/>
      <c r="AA4933" s="6"/>
    </row>
    <row r="4934" ht="14.25">
      <c r="B4934" s="14" t="s">
        <v>33641</v>
      </c>
      <c r="C4934" s="4" t="s">
        <v>33651</v>
      </c>
      <c r="D4934" s="4" t="s">
        <v>33652</v>
      </c>
      <c r="E4934" s="4" t="s">
        <v>33653</v>
      </c>
      <c r="F4934" s="4" t="s">
        <v>808</v>
      </c>
      <c r="G4934" s="4" t="s">
        <v>33654</v>
      </c>
      <c r="H4934" s="6"/>
      <c r="I4934" s="6"/>
      <c r="J4934" s="6"/>
      <c r="K4934" s="6"/>
      <c r="L4934" s="6"/>
      <c r="M4934" s="6"/>
      <c r="N4934" s="6"/>
      <c r="O4934" s="6"/>
      <c r="P4934" s="6"/>
      <c r="Q4934" s="6"/>
      <c r="R4934" s="6"/>
      <c r="S4934" s="6"/>
      <c r="T4934" s="6"/>
      <c r="U4934" s="6"/>
      <c r="V4934" s="6"/>
      <c r="W4934" s="6"/>
      <c r="X4934" s="6"/>
      <c r="Y4934" s="6"/>
      <c r="Z4934" s="6"/>
      <c r="AA4934" s="6"/>
    </row>
    <row r="4935" ht="14.25">
      <c r="B4935" s="14" t="s">
        <v>33655</v>
      </c>
      <c r="C4935" s="4" t="s">
        <v>33656</v>
      </c>
      <c r="D4935" s="4" t="s">
        <v>33657</v>
      </c>
      <c r="E4935" s="4" t="s">
        <v>33658</v>
      </c>
      <c r="F4935" s="4" t="s">
        <v>670</v>
      </c>
      <c r="G4935" s="4" t="s">
        <v>33659</v>
      </c>
      <c r="H4935" s="6"/>
      <c r="I4935" s="6"/>
      <c r="J4935" s="6"/>
      <c r="K4935" s="6"/>
      <c r="L4935" s="6"/>
      <c r="M4935" s="6"/>
      <c r="N4935" s="6"/>
      <c r="O4935" s="6"/>
      <c r="P4935" s="6"/>
      <c r="Q4935" s="6"/>
      <c r="R4935" s="6"/>
      <c r="S4935" s="6"/>
      <c r="T4935" s="6"/>
      <c r="U4935" s="6"/>
      <c r="V4935" s="6"/>
      <c r="W4935" s="6"/>
      <c r="X4935" s="6"/>
      <c r="Y4935" s="6"/>
      <c r="Z4935" s="6"/>
      <c r="AA4935" s="6"/>
    </row>
    <row r="4936" ht="14.25">
      <c r="B4936" s="14" t="s">
        <v>33655</v>
      </c>
      <c r="C4936" s="4" t="s">
        <v>33656</v>
      </c>
      <c r="D4936" s="4" t="s">
        <v>33660</v>
      </c>
      <c r="E4936" s="4" t="s">
        <v>33658</v>
      </c>
      <c r="F4936" s="4" t="s">
        <v>743</v>
      </c>
      <c r="G4936" s="4" t="s">
        <v>33661</v>
      </c>
      <c r="H4936" s="6"/>
      <c r="I4936" s="6"/>
      <c r="J4936" s="6"/>
      <c r="K4936" s="6"/>
      <c r="L4936" s="6"/>
      <c r="M4936" s="6"/>
      <c r="N4936" s="6"/>
      <c r="O4936" s="6"/>
      <c r="P4936" s="6"/>
      <c r="Q4936" s="6"/>
      <c r="R4936" s="6"/>
      <c r="S4936" s="6"/>
      <c r="T4936" s="6"/>
      <c r="U4936" s="6"/>
      <c r="V4936" s="6"/>
      <c r="W4936" s="6"/>
      <c r="X4936" s="6"/>
      <c r="Y4936" s="6"/>
      <c r="Z4936" s="6"/>
      <c r="AA4936" s="6"/>
    </row>
    <row r="4937" ht="14.25">
      <c r="B4937" s="14" t="s">
        <v>33655</v>
      </c>
      <c r="C4937" s="4" t="s">
        <v>33656</v>
      </c>
      <c r="D4937" s="4" t="s">
        <v>33662</v>
      </c>
      <c r="E4937" s="4" t="s">
        <v>33658</v>
      </c>
      <c r="F4937" s="4" t="s">
        <v>4132</v>
      </c>
      <c r="G4937" s="4" t="s">
        <v>33663</v>
      </c>
      <c r="H4937" s="6"/>
      <c r="I4937" s="6"/>
      <c r="J4937" s="6"/>
      <c r="K4937" s="6"/>
      <c r="L4937" s="6"/>
      <c r="M4937" s="6"/>
      <c r="N4937" s="6"/>
      <c r="O4937" s="6"/>
      <c r="P4937" s="6"/>
      <c r="Q4937" s="6"/>
      <c r="R4937" s="6"/>
      <c r="S4937" s="6"/>
      <c r="T4937" s="6"/>
      <c r="U4937" s="6"/>
      <c r="V4937" s="6"/>
      <c r="W4937" s="6"/>
      <c r="X4937" s="6"/>
      <c r="Y4937" s="6"/>
      <c r="Z4937" s="6"/>
      <c r="AA4937" s="6"/>
    </row>
    <row r="4938" ht="14.25">
      <c r="B4938" s="14" t="s">
        <v>33655</v>
      </c>
      <c r="C4938" s="4" t="s">
        <v>33656</v>
      </c>
      <c r="D4938" s="4" t="s">
        <v>33664</v>
      </c>
      <c r="E4938" s="4" t="s">
        <v>33658</v>
      </c>
      <c r="F4938" s="4" t="s">
        <v>1704</v>
      </c>
      <c r="G4938" s="4" t="s">
        <v>33665</v>
      </c>
      <c r="H4938" s="6"/>
      <c r="I4938" s="6"/>
      <c r="J4938" s="6"/>
      <c r="K4938" s="6"/>
      <c r="L4938" s="6"/>
      <c r="M4938" s="6"/>
      <c r="N4938" s="6"/>
      <c r="O4938" s="6"/>
      <c r="P4938" s="6"/>
      <c r="Q4938" s="6"/>
      <c r="R4938" s="6"/>
      <c r="S4938" s="6"/>
      <c r="T4938" s="6"/>
      <c r="U4938" s="6"/>
      <c r="V4938" s="6"/>
      <c r="W4938" s="6"/>
      <c r="X4938" s="6"/>
      <c r="Y4938" s="6"/>
      <c r="Z4938" s="6"/>
      <c r="AA4938" s="6"/>
    </row>
    <row r="4939" ht="14.25">
      <c r="B4939" s="14" t="s">
        <v>33655</v>
      </c>
      <c r="C4939" s="4" t="s">
        <v>33656</v>
      </c>
      <c r="D4939" s="4" t="s">
        <v>33666</v>
      </c>
      <c r="E4939" s="4" t="s">
        <v>33658</v>
      </c>
      <c r="F4939" s="4" t="s">
        <v>1215</v>
      </c>
      <c r="G4939" s="4" t="s">
        <v>33667</v>
      </c>
      <c r="H4939" s="6"/>
      <c r="I4939" s="6"/>
      <c r="J4939" s="6"/>
      <c r="K4939" s="6"/>
      <c r="L4939" s="6"/>
      <c r="M4939" s="6"/>
      <c r="N4939" s="6"/>
      <c r="O4939" s="6"/>
      <c r="P4939" s="6"/>
      <c r="Q4939" s="6"/>
      <c r="R4939" s="6"/>
      <c r="S4939" s="6"/>
      <c r="T4939" s="6"/>
      <c r="U4939" s="6"/>
      <c r="V4939" s="6"/>
      <c r="W4939" s="6"/>
      <c r="X4939" s="6"/>
      <c r="Y4939" s="6"/>
      <c r="Z4939" s="6"/>
      <c r="AA4939" s="6"/>
    </row>
    <row r="4940" ht="14.25">
      <c r="B4940" s="14" t="s">
        <v>33668</v>
      </c>
      <c r="C4940" s="4" t="s">
        <v>33669</v>
      </c>
      <c r="D4940" s="4" t="s">
        <v>33670</v>
      </c>
      <c r="E4940" s="4" t="s">
        <v>33671</v>
      </c>
      <c r="F4940" s="4" t="s">
        <v>32891</v>
      </c>
      <c r="G4940" s="4" t="s">
        <v>33672</v>
      </c>
      <c r="H4940" s="6"/>
      <c r="I4940" s="6"/>
      <c r="J4940" s="6"/>
      <c r="K4940" s="6"/>
      <c r="L4940" s="6"/>
      <c r="M4940" s="6"/>
      <c r="N4940" s="6"/>
      <c r="O4940" s="6"/>
      <c r="P4940" s="6"/>
      <c r="Q4940" s="6"/>
      <c r="R4940" s="6"/>
      <c r="S4940" s="6"/>
      <c r="T4940" s="6"/>
      <c r="U4940" s="6"/>
      <c r="V4940" s="6"/>
      <c r="W4940" s="6"/>
      <c r="X4940" s="6"/>
      <c r="Y4940" s="6"/>
      <c r="Z4940" s="6"/>
      <c r="AA4940" s="6"/>
    </row>
    <row r="4941" ht="14.25">
      <c r="B4941" s="14" t="s">
        <v>33673</v>
      </c>
      <c r="C4941" s="4" t="s">
        <v>33674</v>
      </c>
      <c r="D4941" s="4" t="s">
        <v>33675</v>
      </c>
      <c r="E4941" s="6"/>
      <c r="F4941" s="4" t="s">
        <v>32831</v>
      </c>
      <c r="G4941" s="4" t="s">
        <v>33676</v>
      </c>
      <c r="H4941" s="6"/>
      <c r="I4941" s="6"/>
      <c r="J4941" s="6"/>
      <c r="K4941" s="6"/>
      <c r="L4941" s="6"/>
      <c r="M4941" s="6"/>
      <c r="N4941" s="6"/>
      <c r="O4941" s="6"/>
      <c r="P4941" s="6"/>
      <c r="Q4941" s="6"/>
      <c r="R4941" s="6"/>
      <c r="S4941" s="6"/>
      <c r="T4941" s="6"/>
      <c r="U4941" s="6"/>
      <c r="V4941" s="6"/>
      <c r="W4941" s="6"/>
      <c r="X4941" s="6"/>
      <c r="Y4941" s="6"/>
      <c r="Z4941" s="6"/>
      <c r="AA4941" s="6"/>
    </row>
    <row r="4942" ht="14.25">
      <c r="B4942" s="14" t="s">
        <v>33677</v>
      </c>
      <c r="C4942" s="4" t="s">
        <v>33678</v>
      </c>
      <c r="D4942" s="4" t="s">
        <v>33679</v>
      </c>
      <c r="E4942" s="4" t="s">
        <v>33680</v>
      </c>
      <c r="F4942" s="4" t="s">
        <v>2372</v>
      </c>
      <c r="G4942" s="4" t="s">
        <v>33681</v>
      </c>
      <c r="H4942" s="6"/>
      <c r="I4942" s="6"/>
      <c r="J4942" s="6"/>
      <c r="K4942" s="6"/>
      <c r="L4942" s="6"/>
      <c r="M4942" s="6"/>
      <c r="N4942" s="6"/>
      <c r="O4942" s="6"/>
      <c r="P4942" s="6"/>
      <c r="Q4942" s="6"/>
      <c r="R4942" s="6"/>
      <c r="S4942" s="6"/>
      <c r="T4942" s="6"/>
      <c r="U4942" s="6"/>
      <c r="V4942" s="6"/>
      <c r="W4942" s="6"/>
      <c r="X4942" s="6"/>
      <c r="Y4942" s="6"/>
      <c r="Z4942" s="6"/>
      <c r="AA4942" s="6"/>
    </row>
    <row r="4943" ht="14.25">
      <c r="B4943" s="14" t="s">
        <v>33677</v>
      </c>
      <c r="C4943" s="4" t="s">
        <v>33682</v>
      </c>
      <c r="D4943" s="4" t="s">
        <v>33683</v>
      </c>
      <c r="E4943" s="4" t="s">
        <v>33684</v>
      </c>
      <c r="F4943" s="4" t="s">
        <v>33621</v>
      </c>
      <c r="G4943" s="4" t="s">
        <v>33685</v>
      </c>
      <c r="H4943" s="6"/>
      <c r="I4943" s="6"/>
      <c r="J4943" s="6"/>
      <c r="K4943" s="6"/>
      <c r="L4943" s="6"/>
      <c r="M4943" s="6"/>
      <c r="N4943" s="6"/>
      <c r="O4943" s="6"/>
      <c r="P4943" s="6"/>
      <c r="Q4943" s="6"/>
      <c r="R4943" s="6"/>
      <c r="S4943" s="6"/>
      <c r="T4943" s="6"/>
      <c r="U4943" s="6"/>
      <c r="V4943" s="6"/>
      <c r="W4943" s="6"/>
      <c r="X4943" s="6"/>
      <c r="Y4943" s="6"/>
      <c r="Z4943" s="6"/>
      <c r="AA4943" s="6"/>
    </row>
    <row r="4944" ht="14.25">
      <c r="B4944" s="14" t="s">
        <v>33677</v>
      </c>
      <c r="C4944" s="4" t="s">
        <v>33686</v>
      </c>
      <c r="D4944" s="4" t="s">
        <v>33687</v>
      </c>
      <c r="E4944" s="4" t="s">
        <v>33688</v>
      </c>
      <c r="F4944" s="4" t="s">
        <v>7525</v>
      </c>
      <c r="G4944" s="4" t="s">
        <v>33689</v>
      </c>
      <c r="H4944" s="6"/>
      <c r="I4944" s="6"/>
      <c r="J4944" s="6"/>
      <c r="K4944" s="6"/>
      <c r="L4944" s="6"/>
      <c r="M4944" s="6"/>
      <c r="N4944" s="6"/>
      <c r="O4944" s="6"/>
      <c r="P4944" s="6"/>
      <c r="Q4944" s="6"/>
      <c r="R4944" s="6"/>
      <c r="S4944" s="6"/>
      <c r="T4944" s="6"/>
      <c r="U4944" s="6"/>
      <c r="V4944" s="6"/>
      <c r="W4944" s="6"/>
      <c r="X4944" s="6"/>
      <c r="Y4944" s="6"/>
      <c r="Z4944" s="6"/>
      <c r="AA4944" s="6"/>
    </row>
    <row r="4945" ht="14.25">
      <c r="B4945" s="14" t="s">
        <v>33677</v>
      </c>
      <c r="C4945" s="4" t="s">
        <v>33686</v>
      </c>
      <c r="D4945" s="4" t="s">
        <v>33690</v>
      </c>
      <c r="E4945" s="4" t="s">
        <v>33688</v>
      </c>
      <c r="F4945" s="4" t="s">
        <v>2299</v>
      </c>
      <c r="G4945" s="4" t="s">
        <v>33691</v>
      </c>
      <c r="H4945" s="6"/>
      <c r="I4945" s="6"/>
      <c r="J4945" s="6"/>
      <c r="K4945" s="6"/>
      <c r="L4945" s="6"/>
      <c r="M4945" s="6"/>
      <c r="N4945" s="6"/>
      <c r="O4945" s="6"/>
      <c r="P4945" s="6"/>
      <c r="Q4945" s="6"/>
      <c r="R4945" s="6"/>
      <c r="S4945" s="6"/>
      <c r="T4945" s="6"/>
      <c r="U4945" s="6"/>
      <c r="V4945" s="6"/>
      <c r="W4945" s="6"/>
      <c r="X4945" s="6"/>
      <c r="Y4945" s="6"/>
      <c r="Z4945" s="6"/>
      <c r="AA4945" s="6"/>
    </row>
    <row r="4946" ht="14.25">
      <c r="B4946" s="14" t="s">
        <v>33692</v>
      </c>
      <c r="C4946" s="4" t="s">
        <v>33693</v>
      </c>
      <c r="D4946" s="4" t="s">
        <v>33694</v>
      </c>
      <c r="E4946" s="6"/>
      <c r="F4946" s="4" t="s">
        <v>785</v>
      </c>
      <c r="G4946" s="4" t="s">
        <v>33695</v>
      </c>
      <c r="H4946" s="6"/>
      <c r="I4946" s="6"/>
      <c r="J4946" s="6"/>
      <c r="K4946" s="6"/>
      <c r="L4946" s="6"/>
      <c r="M4946" s="6"/>
      <c r="N4946" s="6"/>
      <c r="O4946" s="6"/>
      <c r="P4946" s="6"/>
      <c r="Q4946" s="6"/>
      <c r="R4946" s="6"/>
      <c r="S4946" s="6"/>
      <c r="T4946" s="6"/>
      <c r="U4946" s="6"/>
      <c r="V4946" s="6"/>
      <c r="W4946" s="6"/>
      <c r="X4946" s="6"/>
      <c r="Y4946" s="6"/>
      <c r="Z4946" s="6"/>
      <c r="AA4946" s="6"/>
    </row>
    <row r="4947" ht="14.25">
      <c r="B4947" s="14" t="s">
        <v>33696</v>
      </c>
      <c r="C4947" s="4" t="s">
        <v>33697</v>
      </c>
      <c r="D4947" s="4" t="s">
        <v>33698</v>
      </c>
      <c r="E4947" s="4" t="s">
        <v>33699</v>
      </c>
      <c r="F4947" s="4" t="s">
        <v>32622</v>
      </c>
      <c r="G4947" s="4" t="s">
        <v>33700</v>
      </c>
      <c r="H4947" s="6"/>
      <c r="I4947" s="6"/>
      <c r="J4947" s="6"/>
      <c r="K4947" s="6"/>
      <c r="L4947" s="6"/>
      <c r="M4947" s="6"/>
      <c r="N4947" s="6"/>
      <c r="O4947" s="6"/>
      <c r="P4947" s="6"/>
      <c r="Q4947" s="6"/>
      <c r="R4947" s="6"/>
      <c r="S4947" s="6"/>
      <c r="T4947" s="6"/>
      <c r="U4947" s="6"/>
      <c r="V4947" s="6"/>
      <c r="W4947" s="6"/>
      <c r="X4947" s="6"/>
      <c r="Y4947" s="6"/>
      <c r="Z4947" s="6"/>
      <c r="AA4947" s="6"/>
    </row>
    <row r="4948" ht="14.25">
      <c r="B4948" s="14" t="s">
        <v>33701</v>
      </c>
      <c r="C4948" s="4" t="s">
        <v>33702</v>
      </c>
      <c r="D4948" s="4" t="s">
        <v>33703</v>
      </c>
      <c r="E4948" s="6"/>
      <c r="F4948" s="4" t="s">
        <v>17867</v>
      </c>
      <c r="G4948" s="4" t="s">
        <v>33704</v>
      </c>
      <c r="H4948" s="6"/>
      <c r="I4948" s="6"/>
      <c r="J4948" s="6"/>
      <c r="K4948" s="6"/>
      <c r="L4948" s="6"/>
      <c r="M4948" s="6"/>
      <c r="N4948" s="6"/>
      <c r="O4948" s="6"/>
      <c r="P4948" s="6"/>
      <c r="Q4948" s="6"/>
      <c r="R4948" s="6"/>
      <c r="S4948" s="6"/>
      <c r="T4948" s="6"/>
      <c r="U4948" s="6"/>
      <c r="V4948" s="6"/>
      <c r="W4948" s="6"/>
      <c r="X4948" s="6"/>
      <c r="Y4948" s="6"/>
      <c r="Z4948" s="6"/>
      <c r="AA4948" s="6"/>
    </row>
    <row r="4949" ht="14.25">
      <c r="B4949" s="14" t="s">
        <v>33705</v>
      </c>
      <c r="C4949" s="4" t="s">
        <v>33706</v>
      </c>
      <c r="D4949" s="4" t="s">
        <v>33707</v>
      </c>
      <c r="E4949" s="4" t="s">
        <v>33708</v>
      </c>
      <c r="F4949" s="4" t="s">
        <v>110</v>
      </c>
      <c r="G4949" s="4" t="s">
        <v>33709</v>
      </c>
      <c r="H4949" s="6"/>
      <c r="I4949" s="6"/>
      <c r="J4949" s="6"/>
      <c r="K4949" s="6"/>
      <c r="L4949" s="6"/>
      <c r="M4949" s="6"/>
      <c r="N4949" s="6"/>
      <c r="O4949" s="6"/>
      <c r="P4949" s="6"/>
      <c r="Q4949" s="6"/>
      <c r="R4949" s="6"/>
      <c r="S4949" s="6"/>
      <c r="T4949" s="6"/>
      <c r="U4949" s="6"/>
      <c r="V4949" s="6"/>
      <c r="W4949" s="6"/>
      <c r="X4949" s="6"/>
      <c r="Y4949" s="6"/>
      <c r="Z4949" s="6"/>
      <c r="AA4949" s="6"/>
    </row>
    <row r="4950" ht="14.25">
      <c r="B4950" s="14" t="s">
        <v>33705</v>
      </c>
      <c r="C4950" s="4" t="s">
        <v>33710</v>
      </c>
      <c r="D4950" s="4" t="s">
        <v>33711</v>
      </c>
      <c r="E4950" s="6"/>
      <c r="F4950" s="4" t="s">
        <v>33712</v>
      </c>
      <c r="G4950" s="4" t="s">
        <v>33713</v>
      </c>
      <c r="H4950" s="6"/>
      <c r="I4950" s="6"/>
      <c r="J4950" s="6"/>
      <c r="K4950" s="6"/>
      <c r="L4950" s="6"/>
      <c r="M4950" s="6"/>
      <c r="N4950" s="6"/>
      <c r="O4950" s="6"/>
      <c r="P4950" s="6"/>
      <c r="Q4950" s="6"/>
      <c r="R4950" s="6"/>
      <c r="S4950" s="6"/>
      <c r="T4950" s="6"/>
      <c r="U4950" s="6"/>
      <c r="V4950" s="6"/>
      <c r="W4950" s="6"/>
      <c r="X4950" s="6"/>
      <c r="Y4950" s="6"/>
      <c r="Z4950" s="6"/>
      <c r="AA4950" s="6"/>
    </row>
    <row r="4951" ht="14.25">
      <c r="B4951" s="14" t="s">
        <v>33705</v>
      </c>
      <c r="C4951" s="4" t="s">
        <v>33714</v>
      </c>
      <c r="D4951" s="4" t="s">
        <v>33715</v>
      </c>
      <c r="E4951" s="4" t="s">
        <v>33716</v>
      </c>
      <c r="F4951" s="4" t="s">
        <v>866</v>
      </c>
      <c r="G4951" s="4" t="s">
        <v>33717</v>
      </c>
      <c r="H4951" s="6"/>
      <c r="I4951" s="6"/>
      <c r="J4951" s="6"/>
      <c r="K4951" s="6"/>
      <c r="L4951" s="6"/>
      <c r="M4951" s="6"/>
      <c r="N4951" s="6"/>
      <c r="O4951" s="6"/>
      <c r="P4951" s="6"/>
      <c r="Q4951" s="6"/>
      <c r="R4951" s="6"/>
      <c r="S4951" s="6"/>
      <c r="T4951" s="6"/>
      <c r="U4951" s="6"/>
      <c r="V4951" s="6"/>
      <c r="W4951" s="6"/>
      <c r="X4951" s="6"/>
      <c r="Y4951" s="6"/>
      <c r="Z4951" s="6"/>
      <c r="AA4951" s="6"/>
    </row>
    <row r="4952" ht="14.25">
      <c r="B4952" s="14" t="s">
        <v>33718</v>
      </c>
      <c r="C4952" s="4" t="s">
        <v>33719</v>
      </c>
      <c r="D4952" s="4" t="s">
        <v>33720</v>
      </c>
      <c r="E4952" s="6"/>
      <c r="F4952" s="4" t="s">
        <v>2508</v>
      </c>
      <c r="G4952" s="4" t="s">
        <v>33721</v>
      </c>
      <c r="H4952" s="6"/>
      <c r="I4952" s="6"/>
      <c r="J4952" s="6"/>
      <c r="K4952" s="6"/>
      <c r="L4952" s="6"/>
      <c r="M4952" s="6"/>
      <c r="N4952" s="6"/>
      <c r="O4952" s="6"/>
      <c r="P4952" s="6"/>
      <c r="Q4952" s="6"/>
      <c r="R4952" s="6"/>
      <c r="S4952" s="6"/>
      <c r="T4952" s="6"/>
      <c r="U4952" s="6"/>
      <c r="V4952" s="6"/>
      <c r="W4952" s="6"/>
      <c r="X4952" s="6"/>
      <c r="Y4952" s="6"/>
      <c r="Z4952" s="6"/>
      <c r="AA4952" s="6"/>
    </row>
    <row r="4953" ht="14.25">
      <c r="B4953" s="14" t="s">
        <v>33718</v>
      </c>
      <c r="C4953" s="4" t="s">
        <v>33722</v>
      </c>
      <c r="D4953" s="4" t="s">
        <v>33723</v>
      </c>
      <c r="E4953" s="4" t="s">
        <v>33724</v>
      </c>
      <c r="F4953" s="4" t="s">
        <v>32622</v>
      </c>
      <c r="G4953" s="4" t="s">
        <v>33725</v>
      </c>
      <c r="H4953" s="6"/>
      <c r="I4953" s="6"/>
      <c r="J4953" s="6"/>
      <c r="K4953" s="6"/>
      <c r="L4953" s="6"/>
      <c r="M4953" s="6"/>
      <c r="N4953" s="6"/>
      <c r="O4953" s="6"/>
      <c r="P4953" s="6"/>
      <c r="Q4953" s="6"/>
      <c r="R4953" s="6"/>
      <c r="S4953" s="6"/>
      <c r="T4953" s="6"/>
      <c r="U4953" s="6"/>
      <c r="V4953" s="6"/>
      <c r="W4953" s="6"/>
      <c r="X4953" s="6"/>
      <c r="Y4953" s="6"/>
      <c r="Z4953" s="6"/>
      <c r="AA4953" s="6"/>
    </row>
    <row r="4954" ht="14.25">
      <c r="B4954" s="14" t="s">
        <v>33726</v>
      </c>
      <c r="C4954" s="4" t="s">
        <v>33727</v>
      </c>
      <c r="D4954" s="4" t="s">
        <v>33728</v>
      </c>
      <c r="E4954" s="4" t="s">
        <v>33729</v>
      </c>
      <c r="F4954" s="4" t="s">
        <v>1583</v>
      </c>
      <c r="G4954" s="4" t="s">
        <v>33730</v>
      </c>
      <c r="H4954" s="6"/>
      <c r="I4954" s="6"/>
      <c r="J4954" s="6"/>
      <c r="K4954" s="6"/>
      <c r="L4954" s="6"/>
      <c r="M4954" s="6"/>
      <c r="N4954" s="6"/>
      <c r="O4954" s="6"/>
      <c r="P4954" s="6"/>
      <c r="Q4954" s="6"/>
      <c r="R4954" s="6"/>
      <c r="S4954" s="6"/>
      <c r="T4954" s="6"/>
      <c r="U4954" s="6"/>
      <c r="V4954" s="6"/>
      <c r="W4954" s="6"/>
      <c r="X4954" s="6"/>
      <c r="Y4954" s="6"/>
      <c r="Z4954" s="6"/>
      <c r="AA4954" s="6"/>
    </row>
    <row r="4955" ht="14.25">
      <c r="B4955" s="14" t="s">
        <v>33726</v>
      </c>
      <c r="C4955" s="4" t="s">
        <v>33727</v>
      </c>
      <c r="D4955" s="4" t="s">
        <v>33731</v>
      </c>
      <c r="E4955" s="4" t="s">
        <v>33729</v>
      </c>
      <c r="F4955" s="4" t="s">
        <v>1215</v>
      </c>
      <c r="G4955" s="4" t="s">
        <v>33732</v>
      </c>
      <c r="H4955" s="6"/>
      <c r="I4955" s="6"/>
      <c r="J4955" s="6"/>
      <c r="K4955" s="6"/>
      <c r="L4955" s="6"/>
      <c r="M4955" s="6"/>
      <c r="N4955" s="6"/>
      <c r="O4955" s="6"/>
      <c r="P4955" s="6"/>
      <c r="Q4955" s="6"/>
      <c r="R4955" s="6"/>
      <c r="S4955" s="6"/>
      <c r="T4955" s="6"/>
      <c r="U4955" s="6"/>
      <c r="V4955" s="6"/>
      <c r="W4955" s="6"/>
      <c r="X4955" s="6"/>
      <c r="Y4955" s="6"/>
      <c r="Z4955" s="6"/>
      <c r="AA4955" s="6"/>
    </row>
    <row r="4956" ht="14.25">
      <c r="B4956" s="14" t="s">
        <v>33733</v>
      </c>
      <c r="C4956" s="4" t="s">
        <v>33734</v>
      </c>
      <c r="D4956" s="4" t="s">
        <v>33735</v>
      </c>
      <c r="E4956" s="6"/>
      <c r="F4956" s="4" t="s">
        <v>21744</v>
      </c>
      <c r="G4956" s="4" t="s">
        <v>33736</v>
      </c>
      <c r="H4956" s="6"/>
      <c r="I4956" s="6"/>
      <c r="J4956" s="6"/>
      <c r="K4956" s="6"/>
      <c r="L4956" s="6"/>
      <c r="M4956" s="6"/>
      <c r="N4956" s="6"/>
      <c r="O4956" s="6"/>
      <c r="P4956" s="6"/>
      <c r="Q4956" s="6"/>
      <c r="R4956" s="6"/>
      <c r="S4956" s="6"/>
      <c r="T4956" s="6"/>
      <c r="U4956" s="6"/>
      <c r="V4956" s="6"/>
      <c r="W4956" s="6"/>
      <c r="X4956" s="6"/>
      <c r="Y4956" s="6"/>
      <c r="Z4956" s="6"/>
      <c r="AA4956" s="6"/>
    </row>
    <row r="4957" ht="14.25">
      <c r="B4957" s="14" t="s">
        <v>33737</v>
      </c>
      <c r="C4957" s="4" t="s">
        <v>33738</v>
      </c>
      <c r="D4957" s="4" t="s">
        <v>33739</v>
      </c>
      <c r="E4957" s="4" t="s">
        <v>33740</v>
      </c>
      <c r="F4957" s="4" t="s">
        <v>330</v>
      </c>
      <c r="G4957" s="4" t="s">
        <v>33741</v>
      </c>
      <c r="H4957" s="6"/>
      <c r="I4957" s="6"/>
      <c r="J4957" s="6"/>
      <c r="K4957" s="6"/>
      <c r="L4957" s="6"/>
      <c r="M4957" s="6"/>
      <c r="N4957" s="6"/>
      <c r="O4957" s="6"/>
      <c r="P4957" s="6"/>
      <c r="Q4957" s="6"/>
      <c r="R4957" s="6"/>
      <c r="S4957" s="6"/>
      <c r="T4957" s="6"/>
      <c r="U4957" s="6"/>
      <c r="V4957" s="6"/>
      <c r="W4957" s="6"/>
      <c r="X4957" s="6"/>
      <c r="Y4957" s="6"/>
      <c r="Z4957" s="6"/>
      <c r="AA4957" s="6"/>
    </row>
    <row r="4958" ht="14.25">
      <c r="B4958" s="14" t="s">
        <v>33742</v>
      </c>
      <c r="C4958" s="4" t="s">
        <v>33743</v>
      </c>
      <c r="D4958" s="4" t="s">
        <v>33744</v>
      </c>
      <c r="E4958" s="4" t="s">
        <v>33745</v>
      </c>
      <c r="F4958" s="4" t="s">
        <v>26223</v>
      </c>
      <c r="G4958" s="4" t="s">
        <v>33746</v>
      </c>
      <c r="H4958" s="6"/>
      <c r="I4958" s="6"/>
      <c r="J4958" s="6"/>
      <c r="K4958" s="6"/>
      <c r="L4958" s="6"/>
      <c r="M4958" s="6"/>
      <c r="N4958" s="6"/>
      <c r="O4958" s="6"/>
      <c r="P4958" s="6"/>
      <c r="Q4958" s="6"/>
      <c r="R4958" s="6"/>
      <c r="S4958" s="6"/>
      <c r="T4958" s="6"/>
      <c r="U4958" s="6"/>
      <c r="V4958" s="6"/>
      <c r="W4958" s="6"/>
      <c r="X4958" s="6"/>
      <c r="Y4958" s="6"/>
      <c r="Z4958" s="6"/>
      <c r="AA4958" s="6"/>
    </row>
    <row r="4959" ht="14.25">
      <c r="B4959" s="14" t="s">
        <v>33747</v>
      </c>
      <c r="C4959" s="4" t="s">
        <v>33748</v>
      </c>
      <c r="D4959" s="4" t="s">
        <v>33749</v>
      </c>
      <c r="E4959" s="6"/>
      <c r="F4959" s="4" t="s">
        <v>4800</v>
      </c>
      <c r="G4959" s="4" t="s">
        <v>33750</v>
      </c>
      <c r="H4959" s="6"/>
      <c r="I4959" s="6"/>
      <c r="J4959" s="6"/>
      <c r="K4959" s="6"/>
      <c r="L4959" s="6"/>
      <c r="M4959" s="6"/>
      <c r="N4959" s="6"/>
      <c r="O4959" s="6"/>
      <c r="P4959" s="6"/>
      <c r="Q4959" s="6"/>
      <c r="R4959" s="6"/>
      <c r="S4959" s="6"/>
      <c r="T4959" s="6"/>
      <c r="U4959" s="6"/>
      <c r="V4959" s="6"/>
      <c r="W4959" s="6"/>
      <c r="X4959" s="6"/>
      <c r="Y4959" s="6"/>
      <c r="Z4959" s="6"/>
      <c r="AA4959" s="6"/>
    </row>
    <row r="4960" ht="14.25">
      <c r="B4960" s="14" t="s">
        <v>33751</v>
      </c>
      <c r="C4960" s="4" t="s">
        <v>33752</v>
      </c>
      <c r="D4960" s="4" t="s">
        <v>33753</v>
      </c>
      <c r="E4960" s="4" t="s">
        <v>33754</v>
      </c>
      <c r="F4960" s="4" t="s">
        <v>653</v>
      </c>
      <c r="G4960" s="4" t="s">
        <v>33755</v>
      </c>
      <c r="H4960" s="6"/>
      <c r="I4960" s="6"/>
      <c r="J4960" s="6"/>
      <c r="K4960" s="6"/>
      <c r="L4960" s="6"/>
      <c r="M4960" s="6"/>
      <c r="N4960" s="6"/>
      <c r="O4960" s="6"/>
      <c r="P4960" s="6"/>
      <c r="Q4960" s="6"/>
      <c r="R4960" s="6"/>
      <c r="S4960" s="6"/>
      <c r="T4960" s="6"/>
      <c r="U4960" s="6"/>
      <c r="V4960" s="6"/>
      <c r="W4960" s="6"/>
      <c r="X4960" s="6"/>
      <c r="Y4960" s="6"/>
      <c r="Z4960" s="6"/>
      <c r="AA4960" s="6"/>
    </row>
    <row r="4961" ht="14.25">
      <c r="B4961" s="14" t="s">
        <v>33751</v>
      </c>
      <c r="C4961" s="4" t="s">
        <v>33756</v>
      </c>
      <c r="D4961" s="4" t="s">
        <v>33757</v>
      </c>
      <c r="E4961" s="4" t="s">
        <v>33758</v>
      </c>
      <c r="F4961" s="4" t="s">
        <v>1153</v>
      </c>
      <c r="G4961" s="4" t="s">
        <v>33759</v>
      </c>
      <c r="H4961" s="6"/>
      <c r="I4961" s="6"/>
      <c r="J4961" s="6"/>
      <c r="K4961" s="6"/>
      <c r="L4961" s="6"/>
      <c r="M4961" s="6"/>
      <c r="N4961" s="6"/>
      <c r="O4961" s="6"/>
      <c r="P4961" s="6"/>
      <c r="Q4961" s="6"/>
      <c r="R4961" s="6"/>
      <c r="S4961" s="6"/>
      <c r="T4961" s="6"/>
      <c r="U4961" s="6"/>
      <c r="V4961" s="6"/>
      <c r="W4961" s="6"/>
      <c r="X4961" s="6"/>
      <c r="Y4961" s="6"/>
      <c r="Z4961" s="6"/>
      <c r="AA4961" s="6"/>
    </row>
    <row r="4962" ht="14.25">
      <c r="B4962" s="14" t="s">
        <v>33751</v>
      </c>
      <c r="C4962" s="4" t="s">
        <v>33756</v>
      </c>
      <c r="D4962" s="4" t="s">
        <v>33760</v>
      </c>
      <c r="E4962" s="4" t="s">
        <v>33758</v>
      </c>
      <c r="F4962" s="4" t="s">
        <v>6390</v>
      </c>
      <c r="G4962" s="4" t="s">
        <v>33761</v>
      </c>
      <c r="H4962" s="6"/>
      <c r="I4962" s="6"/>
      <c r="J4962" s="6"/>
      <c r="K4962" s="6"/>
      <c r="L4962" s="6"/>
      <c r="M4962" s="6"/>
      <c r="N4962" s="6"/>
      <c r="O4962" s="6"/>
      <c r="P4962" s="6"/>
      <c r="Q4962" s="6"/>
      <c r="R4962" s="6"/>
      <c r="S4962" s="6"/>
      <c r="T4962" s="6"/>
      <c r="U4962" s="6"/>
      <c r="V4962" s="6"/>
      <c r="W4962" s="6"/>
      <c r="X4962" s="6"/>
      <c r="Y4962" s="6"/>
      <c r="Z4962" s="6"/>
      <c r="AA4962" s="6"/>
    </row>
    <row r="4963" ht="14.25">
      <c r="B4963" s="14" t="s">
        <v>33762</v>
      </c>
      <c r="C4963" s="4" t="s">
        <v>33763</v>
      </c>
      <c r="D4963" s="4" t="s">
        <v>33764</v>
      </c>
      <c r="E4963" s="4" t="s">
        <v>33765</v>
      </c>
      <c r="F4963" s="4" t="s">
        <v>1215</v>
      </c>
      <c r="G4963" s="4" t="s">
        <v>33766</v>
      </c>
      <c r="H4963" s="6"/>
      <c r="I4963" s="6"/>
      <c r="J4963" s="6"/>
      <c r="K4963" s="6"/>
      <c r="L4963" s="6"/>
      <c r="M4963" s="6"/>
      <c r="N4963" s="6"/>
      <c r="O4963" s="6"/>
      <c r="P4963" s="6"/>
      <c r="Q4963" s="6"/>
      <c r="R4963" s="6"/>
      <c r="S4963" s="6"/>
      <c r="T4963" s="6"/>
      <c r="U4963" s="6"/>
      <c r="V4963" s="6"/>
      <c r="W4963" s="6"/>
      <c r="X4963" s="6"/>
      <c r="Y4963" s="6"/>
      <c r="Z4963" s="6"/>
      <c r="AA4963" s="6"/>
    </row>
    <row r="4964" ht="14.25">
      <c r="B4964" s="14" t="s">
        <v>33762</v>
      </c>
      <c r="C4964" s="4" t="s">
        <v>33763</v>
      </c>
      <c r="D4964" s="4" t="s">
        <v>33767</v>
      </c>
      <c r="E4964" s="4" t="s">
        <v>33765</v>
      </c>
      <c r="F4964" s="4" t="s">
        <v>330</v>
      </c>
      <c r="G4964" s="4" t="s">
        <v>33768</v>
      </c>
      <c r="H4964" s="6"/>
      <c r="I4964" s="6"/>
      <c r="J4964" s="6"/>
      <c r="K4964" s="6"/>
      <c r="L4964" s="6"/>
      <c r="M4964" s="6"/>
      <c r="N4964" s="6"/>
      <c r="O4964" s="6"/>
      <c r="P4964" s="6"/>
      <c r="Q4964" s="6"/>
      <c r="R4964" s="6"/>
      <c r="S4964" s="6"/>
      <c r="T4964" s="6"/>
      <c r="U4964" s="6"/>
      <c r="V4964" s="6"/>
      <c r="W4964" s="6"/>
      <c r="X4964" s="6"/>
      <c r="Y4964" s="6"/>
      <c r="Z4964" s="6"/>
      <c r="AA4964" s="6"/>
    </row>
    <row r="4965" ht="14.25">
      <c r="B4965" s="14" t="s">
        <v>33762</v>
      </c>
      <c r="C4965" s="4" t="s">
        <v>33763</v>
      </c>
      <c r="D4965" s="4" t="s">
        <v>33769</v>
      </c>
      <c r="E4965" s="4" t="s">
        <v>33765</v>
      </c>
      <c r="F4965" s="4" t="s">
        <v>33770</v>
      </c>
      <c r="G4965" s="4" t="s">
        <v>33771</v>
      </c>
      <c r="H4965" s="6"/>
      <c r="I4965" s="6"/>
      <c r="J4965" s="6"/>
      <c r="K4965" s="6"/>
      <c r="L4965" s="6"/>
      <c r="M4965" s="6"/>
      <c r="N4965" s="6"/>
      <c r="O4965" s="6"/>
      <c r="P4965" s="6"/>
      <c r="Q4965" s="6"/>
      <c r="R4965" s="6"/>
      <c r="S4965" s="6"/>
      <c r="T4965" s="6"/>
      <c r="U4965" s="6"/>
      <c r="V4965" s="6"/>
      <c r="W4965" s="6"/>
      <c r="X4965" s="6"/>
      <c r="Y4965" s="6"/>
      <c r="Z4965" s="6"/>
      <c r="AA4965" s="6"/>
    </row>
    <row r="4966" ht="14.25">
      <c r="B4966" s="14" t="s">
        <v>33762</v>
      </c>
      <c r="C4966" s="4" t="s">
        <v>33763</v>
      </c>
      <c r="D4966" s="4" t="s">
        <v>33772</v>
      </c>
      <c r="E4966" s="4" t="s">
        <v>33765</v>
      </c>
      <c r="F4966" s="4" t="s">
        <v>963</v>
      </c>
      <c r="G4966" s="4" t="s">
        <v>33773</v>
      </c>
      <c r="H4966" s="6"/>
      <c r="I4966" s="6"/>
      <c r="J4966" s="6"/>
      <c r="K4966" s="6"/>
      <c r="L4966" s="6"/>
      <c r="M4966" s="6"/>
      <c r="N4966" s="6"/>
      <c r="O4966" s="6"/>
      <c r="P4966" s="6"/>
      <c r="Q4966" s="6"/>
      <c r="R4966" s="6"/>
      <c r="S4966" s="6"/>
      <c r="T4966" s="6"/>
      <c r="U4966" s="6"/>
      <c r="V4966" s="6"/>
      <c r="W4966" s="6"/>
      <c r="X4966" s="6"/>
      <c r="Y4966" s="6"/>
      <c r="Z4966" s="6"/>
      <c r="AA4966" s="6"/>
    </row>
    <row r="4967" ht="14.25">
      <c r="B4967" s="14" t="s">
        <v>33774</v>
      </c>
      <c r="C4967" s="4" t="s">
        <v>33775</v>
      </c>
      <c r="D4967" s="4" t="s">
        <v>33776</v>
      </c>
      <c r="E4967" s="4" t="s">
        <v>33777</v>
      </c>
      <c r="F4967" s="4" t="s">
        <v>330</v>
      </c>
      <c r="G4967" s="4" t="s">
        <v>33778</v>
      </c>
      <c r="H4967" s="6"/>
      <c r="I4967" s="6"/>
      <c r="J4967" s="6"/>
      <c r="K4967" s="6"/>
      <c r="L4967" s="6"/>
      <c r="M4967" s="6"/>
      <c r="N4967" s="6"/>
      <c r="O4967" s="6"/>
      <c r="P4967" s="6"/>
      <c r="Q4967" s="6"/>
      <c r="R4967" s="6"/>
      <c r="S4967" s="6"/>
      <c r="T4967" s="6"/>
      <c r="U4967" s="6"/>
      <c r="V4967" s="6"/>
      <c r="W4967" s="6"/>
      <c r="X4967" s="6"/>
      <c r="Y4967" s="6"/>
      <c r="Z4967" s="6"/>
      <c r="AA4967" s="6"/>
    </row>
    <row r="4968" ht="14.25">
      <c r="B4968" s="14" t="s">
        <v>33774</v>
      </c>
      <c r="C4968" s="4" t="s">
        <v>33775</v>
      </c>
      <c r="D4968" s="4" t="s">
        <v>33779</v>
      </c>
      <c r="E4968" s="4" t="s">
        <v>33777</v>
      </c>
      <c r="F4968" s="4" t="s">
        <v>785</v>
      </c>
      <c r="G4968" s="4" t="s">
        <v>33780</v>
      </c>
      <c r="H4968" s="6"/>
      <c r="I4968" s="6"/>
      <c r="J4968" s="6"/>
      <c r="K4968" s="6"/>
      <c r="L4968" s="6"/>
      <c r="M4968" s="6"/>
      <c r="N4968" s="6"/>
      <c r="O4968" s="6"/>
      <c r="P4968" s="6"/>
      <c r="Q4968" s="6"/>
      <c r="R4968" s="6"/>
      <c r="S4968" s="6"/>
      <c r="T4968" s="6"/>
      <c r="U4968" s="6"/>
      <c r="V4968" s="6"/>
      <c r="W4968" s="6"/>
      <c r="X4968" s="6"/>
      <c r="Y4968" s="6"/>
      <c r="Z4968" s="6"/>
      <c r="AA4968" s="6"/>
    </row>
    <row r="4969" ht="14.25">
      <c r="B4969" s="14" t="s">
        <v>33781</v>
      </c>
      <c r="C4969" s="4" t="s">
        <v>33782</v>
      </c>
      <c r="D4969" s="4" t="s">
        <v>33783</v>
      </c>
      <c r="E4969" s="4" t="s">
        <v>33784</v>
      </c>
      <c r="F4969" s="4" t="s">
        <v>20</v>
      </c>
      <c r="G4969" s="4" t="s">
        <v>33785</v>
      </c>
      <c r="H4969" s="6"/>
      <c r="I4969" s="6"/>
      <c r="J4969" s="6"/>
      <c r="K4969" s="6"/>
      <c r="L4969" s="6"/>
      <c r="M4969" s="6"/>
      <c r="N4969" s="6"/>
      <c r="O4969" s="6"/>
      <c r="P4969" s="6"/>
      <c r="Q4969" s="6"/>
      <c r="R4969" s="6"/>
      <c r="S4969" s="6"/>
      <c r="T4969" s="6"/>
      <c r="U4969" s="6"/>
      <c r="V4969" s="6"/>
      <c r="W4969" s="6"/>
      <c r="X4969" s="6"/>
      <c r="Y4969" s="6"/>
      <c r="Z4969" s="6"/>
      <c r="AA4969" s="6"/>
    </row>
    <row r="4970" ht="14.25">
      <c r="B4970" s="14" t="s">
        <v>33781</v>
      </c>
      <c r="C4970" s="4" t="s">
        <v>33782</v>
      </c>
      <c r="D4970" s="4" t="s">
        <v>33786</v>
      </c>
      <c r="E4970" s="4" t="s">
        <v>33784</v>
      </c>
      <c r="F4970" s="4" t="s">
        <v>32831</v>
      </c>
      <c r="G4970" s="4" t="s">
        <v>33787</v>
      </c>
      <c r="H4970" s="6"/>
      <c r="I4970" s="6"/>
      <c r="J4970" s="6"/>
      <c r="K4970" s="6"/>
      <c r="L4970" s="6"/>
      <c r="M4970" s="6"/>
      <c r="N4970" s="6"/>
      <c r="O4970" s="6"/>
      <c r="P4970" s="6"/>
      <c r="Q4970" s="6"/>
      <c r="R4970" s="6"/>
      <c r="S4970" s="6"/>
      <c r="T4970" s="6"/>
      <c r="U4970" s="6"/>
      <c r="V4970" s="6"/>
      <c r="W4970" s="6"/>
      <c r="X4970" s="6"/>
      <c r="Y4970" s="6"/>
      <c r="Z4970" s="6"/>
      <c r="AA4970" s="6"/>
    </row>
    <row r="4971" ht="14.25">
      <c r="B4971" s="14" t="s">
        <v>33788</v>
      </c>
      <c r="C4971" s="4" t="s">
        <v>33789</v>
      </c>
      <c r="D4971" s="4" t="s">
        <v>33790</v>
      </c>
      <c r="E4971" s="6"/>
      <c r="F4971" s="4" t="s">
        <v>571</v>
      </c>
      <c r="G4971" s="4" t="s">
        <v>33791</v>
      </c>
      <c r="H4971" s="6"/>
      <c r="I4971" s="6"/>
      <c r="J4971" s="6"/>
      <c r="K4971" s="6"/>
      <c r="L4971" s="6"/>
      <c r="M4971" s="6"/>
      <c r="N4971" s="6"/>
      <c r="O4971" s="6"/>
      <c r="P4971" s="6"/>
      <c r="Q4971" s="6"/>
      <c r="R4971" s="6"/>
      <c r="S4971" s="6"/>
      <c r="T4971" s="6"/>
      <c r="U4971" s="6"/>
      <c r="V4971" s="6"/>
      <c r="W4971" s="6"/>
      <c r="X4971" s="6"/>
      <c r="Y4971" s="6"/>
      <c r="Z4971" s="6"/>
      <c r="AA4971" s="6"/>
    </row>
    <row r="4972" ht="14.25">
      <c r="B4972" s="14" t="s">
        <v>33792</v>
      </c>
      <c r="C4972" s="4" t="s">
        <v>33793</v>
      </c>
      <c r="D4972" s="4" t="s">
        <v>33794</v>
      </c>
      <c r="E4972" s="4" t="s">
        <v>33795</v>
      </c>
      <c r="F4972" s="4" t="s">
        <v>298</v>
      </c>
      <c r="G4972" s="4" t="s">
        <v>33796</v>
      </c>
      <c r="H4972" s="6"/>
      <c r="I4972" s="6"/>
      <c r="J4972" s="6"/>
      <c r="K4972" s="6"/>
      <c r="L4972" s="6"/>
      <c r="M4972" s="6"/>
      <c r="N4972" s="6"/>
      <c r="O4972" s="6"/>
      <c r="P4972" s="6"/>
      <c r="Q4972" s="6"/>
      <c r="R4972" s="6"/>
      <c r="S4972" s="6"/>
      <c r="T4972" s="6"/>
      <c r="U4972" s="6"/>
      <c r="V4972" s="6"/>
      <c r="W4972" s="6"/>
      <c r="X4972" s="6"/>
      <c r="Y4972" s="6"/>
      <c r="Z4972" s="6"/>
      <c r="AA4972" s="6"/>
    </row>
    <row r="4973" ht="14.25">
      <c r="B4973" s="14" t="s">
        <v>33792</v>
      </c>
      <c r="C4973" s="4" t="s">
        <v>33797</v>
      </c>
      <c r="D4973" s="4" t="s">
        <v>33798</v>
      </c>
      <c r="E4973" s="4" t="s">
        <v>33799</v>
      </c>
      <c r="F4973" s="4" t="s">
        <v>6356</v>
      </c>
      <c r="G4973" s="4" t="s">
        <v>33800</v>
      </c>
      <c r="H4973" s="6"/>
      <c r="I4973" s="6"/>
      <c r="J4973" s="6"/>
      <c r="K4973" s="6"/>
      <c r="L4973" s="6"/>
      <c r="M4973" s="6"/>
      <c r="N4973" s="6"/>
      <c r="O4973" s="6"/>
      <c r="P4973" s="6"/>
      <c r="Q4973" s="6"/>
      <c r="R4973" s="6"/>
      <c r="S4973" s="6"/>
      <c r="T4973" s="6"/>
      <c r="U4973" s="6"/>
      <c r="V4973" s="6"/>
      <c r="W4973" s="6"/>
      <c r="X4973" s="6"/>
      <c r="Y4973" s="6"/>
      <c r="Z4973" s="6"/>
      <c r="AA4973" s="6"/>
    </row>
    <row r="4974" ht="14.25">
      <c r="B4974" s="14" t="s">
        <v>33801</v>
      </c>
      <c r="C4974" s="4" t="s">
        <v>33802</v>
      </c>
      <c r="D4974" s="4" t="s">
        <v>33803</v>
      </c>
      <c r="E4974" s="6"/>
      <c r="F4974" s="4" t="s">
        <v>222</v>
      </c>
      <c r="G4974" s="4" t="s">
        <v>33804</v>
      </c>
      <c r="H4974" s="6"/>
      <c r="I4974" s="6"/>
      <c r="J4974" s="6"/>
      <c r="K4974" s="6"/>
      <c r="L4974" s="6"/>
      <c r="M4974" s="6"/>
      <c r="N4974" s="6"/>
      <c r="O4974" s="6"/>
      <c r="P4974" s="6"/>
      <c r="Q4974" s="6"/>
      <c r="R4974" s="6"/>
      <c r="S4974" s="6"/>
      <c r="T4974" s="6"/>
      <c r="U4974" s="6"/>
      <c r="V4974" s="6"/>
      <c r="W4974" s="6"/>
      <c r="X4974" s="6"/>
      <c r="Y4974" s="6"/>
      <c r="Z4974" s="6"/>
      <c r="AA4974" s="6"/>
    </row>
    <row r="4975" ht="14.25">
      <c r="B4975" s="14" t="s">
        <v>33805</v>
      </c>
      <c r="C4975" s="4" t="s">
        <v>33806</v>
      </c>
      <c r="D4975" s="4" t="s">
        <v>33807</v>
      </c>
      <c r="E4975" s="4" t="s">
        <v>33808</v>
      </c>
      <c r="F4975" s="4" t="s">
        <v>4245</v>
      </c>
      <c r="G4975" s="4" t="s">
        <v>33809</v>
      </c>
      <c r="H4975" s="6"/>
      <c r="I4975" s="6"/>
      <c r="J4975" s="6"/>
      <c r="K4975" s="6"/>
      <c r="L4975" s="6"/>
      <c r="M4975" s="6"/>
      <c r="N4975" s="6"/>
      <c r="O4975" s="6"/>
      <c r="P4975" s="6"/>
      <c r="Q4975" s="6"/>
      <c r="R4975" s="6"/>
      <c r="S4975" s="6"/>
      <c r="T4975" s="6"/>
      <c r="U4975" s="6"/>
      <c r="V4975" s="6"/>
      <c r="W4975" s="6"/>
      <c r="X4975" s="6"/>
      <c r="Y4975" s="6"/>
      <c r="Z4975" s="6"/>
      <c r="AA4975" s="6"/>
    </row>
    <row r="4976" ht="14.25">
      <c r="B4976" s="14" t="s">
        <v>33805</v>
      </c>
      <c r="C4976" s="4" t="s">
        <v>33810</v>
      </c>
      <c r="D4976" s="4" t="s">
        <v>33811</v>
      </c>
      <c r="E4976" s="4" t="s">
        <v>33812</v>
      </c>
      <c r="F4976" s="4" t="s">
        <v>33813</v>
      </c>
      <c r="G4976" s="4" t="s">
        <v>33562</v>
      </c>
      <c r="H4976" s="6"/>
      <c r="I4976" s="6"/>
      <c r="J4976" s="6"/>
      <c r="K4976" s="6"/>
      <c r="L4976" s="6"/>
      <c r="M4976" s="6"/>
      <c r="N4976" s="6"/>
      <c r="O4976" s="6"/>
      <c r="P4976" s="6"/>
      <c r="Q4976" s="6"/>
      <c r="R4976" s="6"/>
      <c r="S4976" s="6"/>
      <c r="T4976" s="6"/>
      <c r="U4976" s="6"/>
      <c r="V4976" s="6"/>
      <c r="W4976" s="6"/>
      <c r="X4976" s="6"/>
      <c r="Y4976" s="6"/>
      <c r="Z4976" s="6"/>
      <c r="AA4976" s="6"/>
    </row>
    <row r="4977" ht="14.25">
      <c r="B4977" s="14" t="s">
        <v>33805</v>
      </c>
      <c r="C4977" s="4" t="s">
        <v>33810</v>
      </c>
      <c r="D4977" s="4" t="s">
        <v>33814</v>
      </c>
      <c r="E4977" s="4" t="s">
        <v>33812</v>
      </c>
      <c r="F4977" s="4" t="s">
        <v>32891</v>
      </c>
      <c r="G4977" s="4" t="s">
        <v>33815</v>
      </c>
      <c r="H4977" s="6"/>
      <c r="I4977" s="6"/>
      <c r="J4977" s="6"/>
      <c r="K4977" s="6"/>
      <c r="L4977" s="6"/>
      <c r="M4977" s="6"/>
      <c r="N4977" s="6"/>
      <c r="O4977" s="6"/>
      <c r="P4977" s="6"/>
      <c r="Q4977" s="6"/>
      <c r="R4977" s="6"/>
      <c r="S4977" s="6"/>
      <c r="T4977" s="6"/>
      <c r="U4977" s="6"/>
      <c r="V4977" s="6"/>
      <c r="W4977" s="6"/>
      <c r="X4977" s="6"/>
      <c r="Y4977" s="6"/>
      <c r="Z4977" s="6"/>
      <c r="AA4977" s="6"/>
    </row>
    <row r="4978" ht="14.25">
      <c r="B4978" s="14" t="s">
        <v>33816</v>
      </c>
      <c r="C4978" s="4" t="s">
        <v>33817</v>
      </c>
      <c r="D4978" s="4" t="s">
        <v>33818</v>
      </c>
      <c r="E4978" s="4" t="s">
        <v>33819</v>
      </c>
      <c r="F4978" s="4" t="s">
        <v>1215</v>
      </c>
      <c r="G4978" s="4" t="s">
        <v>33820</v>
      </c>
      <c r="H4978" s="6"/>
      <c r="I4978" s="6"/>
      <c r="J4978" s="6"/>
      <c r="K4978" s="6"/>
      <c r="L4978" s="6"/>
      <c r="M4978" s="6"/>
      <c r="N4978" s="6"/>
      <c r="O4978" s="6"/>
      <c r="P4978" s="6"/>
      <c r="Q4978" s="6"/>
      <c r="R4978" s="6"/>
      <c r="S4978" s="6"/>
      <c r="T4978" s="6"/>
      <c r="U4978" s="6"/>
      <c r="V4978" s="6"/>
      <c r="W4978" s="6"/>
      <c r="X4978" s="6"/>
      <c r="Y4978" s="6"/>
      <c r="Z4978" s="6"/>
      <c r="AA4978" s="6"/>
    </row>
    <row r="4979" ht="14.25">
      <c r="B4979" s="14" t="s">
        <v>33816</v>
      </c>
      <c r="C4979" s="4" t="s">
        <v>33817</v>
      </c>
      <c r="D4979" s="4" t="s">
        <v>33821</v>
      </c>
      <c r="E4979" s="4" t="s">
        <v>33819</v>
      </c>
      <c r="F4979" s="4" t="s">
        <v>32563</v>
      </c>
      <c r="G4979" s="4" t="s">
        <v>33822</v>
      </c>
      <c r="H4979" s="6"/>
      <c r="I4979" s="6"/>
      <c r="J4979" s="6"/>
      <c r="K4979" s="6"/>
      <c r="L4979" s="6"/>
      <c r="M4979" s="6"/>
      <c r="N4979" s="6"/>
      <c r="O4979" s="6"/>
      <c r="P4979" s="6"/>
      <c r="Q4979" s="6"/>
      <c r="R4979" s="6"/>
      <c r="S4979" s="6"/>
      <c r="T4979" s="6"/>
      <c r="U4979" s="6"/>
      <c r="V4979" s="6"/>
      <c r="W4979" s="6"/>
      <c r="X4979" s="6"/>
      <c r="Y4979" s="6"/>
      <c r="Z4979" s="6"/>
      <c r="AA4979" s="6"/>
    </row>
    <row r="4980" ht="14.25">
      <c r="B4980" s="14" t="s">
        <v>33816</v>
      </c>
      <c r="C4980" s="4" t="s">
        <v>33817</v>
      </c>
      <c r="D4980" s="4" t="s">
        <v>33823</v>
      </c>
      <c r="E4980" s="4" t="s">
        <v>33819</v>
      </c>
      <c r="F4980" s="4" t="s">
        <v>679</v>
      </c>
      <c r="G4980" s="4" t="s">
        <v>33824</v>
      </c>
      <c r="H4980" s="6"/>
      <c r="I4980" s="6"/>
      <c r="J4980" s="6"/>
      <c r="K4980" s="6"/>
      <c r="L4980" s="6"/>
      <c r="M4980" s="6"/>
      <c r="N4980" s="6"/>
      <c r="O4980" s="6"/>
      <c r="P4980" s="6"/>
      <c r="Q4980" s="6"/>
      <c r="R4980" s="6"/>
      <c r="S4980" s="6"/>
      <c r="T4980" s="6"/>
      <c r="U4980" s="6"/>
      <c r="V4980" s="6"/>
      <c r="W4980" s="6"/>
      <c r="X4980" s="6"/>
      <c r="Y4980" s="6"/>
      <c r="Z4980" s="6"/>
      <c r="AA4980" s="6"/>
    </row>
    <row r="4981" ht="14.25">
      <c r="B4981" s="14" t="s">
        <v>33816</v>
      </c>
      <c r="C4981" s="4" t="s">
        <v>33817</v>
      </c>
      <c r="D4981" s="4" t="s">
        <v>33825</v>
      </c>
      <c r="E4981" s="4" t="s">
        <v>33819</v>
      </c>
      <c r="F4981" s="4" t="s">
        <v>16721</v>
      </c>
      <c r="G4981" s="4" t="s">
        <v>33826</v>
      </c>
      <c r="H4981" s="6"/>
      <c r="I4981" s="6"/>
      <c r="J4981" s="6"/>
      <c r="K4981" s="6"/>
      <c r="L4981" s="6"/>
      <c r="M4981" s="6"/>
      <c r="N4981" s="6"/>
      <c r="O4981" s="6"/>
      <c r="P4981" s="6"/>
      <c r="Q4981" s="6"/>
      <c r="R4981" s="6"/>
      <c r="S4981" s="6"/>
      <c r="T4981" s="6"/>
      <c r="U4981" s="6"/>
      <c r="V4981" s="6"/>
      <c r="W4981" s="6"/>
      <c r="X4981" s="6"/>
      <c r="Y4981" s="6"/>
      <c r="Z4981" s="6"/>
      <c r="AA4981" s="6"/>
    </row>
    <row r="4982" ht="14.25">
      <c r="B4982" s="14" t="s">
        <v>33816</v>
      </c>
      <c r="C4982" s="4" t="s">
        <v>33817</v>
      </c>
      <c r="D4982" s="4" t="s">
        <v>33827</v>
      </c>
      <c r="E4982" s="4" t="s">
        <v>33819</v>
      </c>
      <c r="F4982" s="4" t="s">
        <v>20</v>
      </c>
      <c r="G4982" s="4" t="s">
        <v>33828</v>
      </c>
      <c r="H4982" s="6"/>
      <c r="I4982" s="6"/>
      <c r="J4982" s="6"/>
      <c r="K4982" s="6"/>
      <c r="L4982" s="6"/>
      <c r="M4982" s="6"/>
      <c r="N4982" s="6"/>
      <c r="O4982" s="6"/>
      <c r="P4982" s="6"/>
      <c r="Q4982" s="6"/>
      <c r="R4982" s="6"/>
      <c r="S4982" s="6"/>
      <c r="T4982" s="6"/>
      <c r="U4982" s="6"/>
      <c r="V4982" s="6"/>
      <c r="W4982" s="6"/>
      <c r="X4982" s="6"/>
      <c r="Y4982" s="6"/>
      <c r="Z4982" s="6"/>
      <c r="AA4982" s="6"/>
    </row>
    <row r="4983" ht="14.25">
      <c r="B4983" s="14" t="s">
        <v>33816</v>
      </c>
      <c r="C4983" s="4" t="s">
        <v>33829</v>
      </c>
      <c r="D4983" s="4" t="s">
        <v>33830</v>
      </c>
      <c r="E4983" s="4" t="s">
        <v>33831</v>
      </c>
      <c r="F4983" s="4" t="s">
        <v>11873</v>
      </c>
      <c r="G4983" s="4" t="s">
        <v>33832</v>
      </c>
      <c r="H4983" s="6"/>
      <c r="I4983" s="6"/>
      <c r="J4983" s="6"/>
      <c r="K4983" s="6"/>
      <c r="L4983" s="6"/>
      <c r="M4983" s="6"/>
      <c r="N4983" s="6"/>
      <c r="O4983" s="6"/>
      <c r="P4983" s="6"/>
      <c r="Q4983" s="6"/>
      <c r="R4983" s="6"/>
      <c r="S4983" s="6"/>
      <c r="T4983" s="6"/>
      <c r="U4983" s="6"/>
      <c r="V4983" s="6"/>
      <c r="W4983" s="6"/>
      <c r="X4983" s="6"/>
      <c r="Y4983" s="6"/>
      <c r="Z4983" s="6"/>
      <c r="AA4983" s="6"/>
    </row>
    <row r="4984" ht="14.25">
      <c r="B4984" s="14" t="s">
        <v>33816</v>
      </c>
      <c r="C4984" s="4" t="s">
        <v>33817</v>
      </c>
      <c r="D4984" s="4" t="s">
        <v>33833</v>
      </c>
      <c r="E4984" s="4" t="s">
        <v>33819</v>
      </c>
      <c r="F4984" s="4" t="s">
        <v>222</v>
      </c>
      <c r="G4984" s="4" t="s">
        <v>33834</v>
      </c>
      <c r="H4984" s="6"/>
      <c r="I4984" s="6"/>
      <c r="J4984" s="6"/>
      <c r="K4984" s="6"/>
      <c r="L4984" s="6"/>
      <c r="M4984" s="6"/>
      <c r="N4984" s="6"/>
      <c r="O4984" s="6"/>
      <c r="P4984" s="6"/>
      <c r="Q4984" s="6"/>
      <c r="R4984" s="6"/>
      <c r="S4984" s="6"/>
      <c r="T4984" s="6"/>
      <c r="U4984" s="6"/>
      <c r="V4984" s="6"/>
      <c r="W4984" s="6"/>
      <c r="X4984" s="6"/>
      <c r="Y4984" s="6"/>
      <c r="Z4984" s="6"/>
      <c r="AA4984" s="6"/>
    </row>
    <row r="4985" ht="14.25">
      <c r="B4985" s="14" t="s">
        <v>33816</v>
      </c>
      <c r="C4985" s="4" t="s">
        <v>33817</v>
      </c>
      <c r="D4985" s="4" t="s">
        <v>33835</v>
      </c>
      <c r="E4985" s="4" t="s">
        <v>33819</v>
      </c>
      <c r="F4985" s="4" t="s">
        <v>33836</v>
      </c>
      <c r="G4985" s="4" t="s">
        <v>33837</v>
      </c>
      <c r="H4985" s="6"/>
      <c r="I4985" s="6"/>
      <c r="J4985" s="6"/>
      <c r="K4985" s="6"/>
      <c r="L4985" s="6"/>
      <c r="M4985" s="6"/>
      <c r="N4985" s="6"/>
      <c r="O4985" s="6"/>
      <c r="P4985" s="6"/>
      <c r="Q4985" s="6"/>
      <c r="R4985" s="6"/>
      <c r="S4985" s="6"/>
      <c r="T4985" s="6"/>
      <c r="U4985" s="6"/>
      <c r="V4985" s="6"/>
      <c r="W4985" s="6"/>
      <c r="X4985" s="6"/>
      <c r="Y4985" s="6"/>
      <c r="Z4985" s="6"/>
      <c r="AA4985" s="6"/>
    </row>
    <row r="4986" ht="14.25">
      <c r="B4986" s="14" t="s">
        <v>33816</v>
      </c>
      <c r="C4986" s="4" t="s">
        <v>33817</v>
      </c>
      <c r="D4986" s="4" t="s">
        <v>33838</v>
      </c>
      <c r="E4986" s="4" t="s">
        <v>33819</v>
      </c>
      <c r="F4986" s="4" t="s">
        <v>32821</v>
      </c>
      <c r="G4986" s="4" t="s">
        <v>33839</v>
      </c>
      <c r="H4986" s="6"/>
      <c r="I4986" s="6"/>
      <c r="J4986" s="6"/>
      <c r="K4986" s="6"/>
      <c r="L4986" s="6"/>
      <c r="M4986" s="6"/>
      <c r="N4986" s="6"/>
      <c r="O4986" s="6"/>
      <c r="P4986" s="6"/>
      <c r="Q4986" s="6"/>
      <c r="R4986" s="6"/>
      <c r="S4986" s="6"/>
      <c r="T4986" s="6"/>
      <c r="U4986" s="6"/>
      <c r="V4986" s="6"/>
      <c r="W4986" s="6"/>
      <c r="X4986" s="6"/>
      <c r="Y4986" s="6"/>
      <c r="Z4986" s="6"/>
      <c r="AA4986" s="6"/>
    </row>
    <row r="4987" ht="14.25">
      <c r="B4987" s="14" t="s">
        <v>33816</v>
      </c>
      <c r="C4987" s="4" t="s">
        <v>33817</v>
      </c>
      <c r="D4987" s="4" t="s">
        <v>33840</v>
      </c>
      <c r="E4987" s="4" t="s">
        <v>33819</v>
      </c>
      <c r="F4987" s="4" t="s">
        <v>32548</v>
      </c>
      <c r="G4987" s="4" t="s">
        <v>33841</v>
      </c>
      <c r="H4987" s="6"/>
      <c r="I4987" s="6"/>
      <c r="J4987" s="6"/>
      <c r="K4987" s="6"/>
      <c r="L4987" s="6"/>
      <c r="M4987" s="6"/>
      <c r="N4987" s="6"/>
      <c r="O4987" s="6"/>
      <c r="P4987" s="6"/>
      <c r="Q4987" s="6"/>
      <c r="R4987" s="6"/>
      <c r="S4987" s="6"/>
      <c r="T4987" s="6"/>
      <c r="U4987" s="6"/>
      <c r="V4987" s="6"/>
      <c r="W4987" s="6"/>
      <c r="X4987" s="6"/>
      <c r="Y4987" s="6"/>
      <c r="Z4987" s="6"/>
      <c r="AA4987" s="6"/>
    </row>
    <row r="4988" ht="14.25">
      <c r="B4988" s="14" t="s">
        <v>33816</v>
      </c>
      <c r="C4988" s="4" t="s">
        <v>33817</v>
      </c>
      <c r="D4988" s="4" t="s">
        <v>33842</v>
      </c>
      <c r="E4988" s="4" t="s">
        <v>33819</v>
      </c>
      <c r="F4988" s="4" t="s">
        <v>2508</v>
      </c>
      <c r="G4988" s="4" t="s">
        <v>33843</v>
      </c>
      <c r="H4988" s="6"/>
      <c r="I4988" s="6"/>
      <c r="J4988" s="6"/>
      <c r="K4988" s="6"/>
      <c r="L4988" s="6"/>
      <c r="M4988" s="6"/>
      <c r="N4988" s="6"/>
      <c r="O4988" s="6"/>
      <c r="P4988" s="6"/>
      <c r="Q4988" s="6"/>
      <c r="R4988" s="6"/>
      <c r="S4988" s="6"/>
      <c r="T4988" s="6"/>
      <c r="U4988" s="6"/>
      <c r="V4988" s="6"/>
      <c r="W4988" s="6"/>
      <c r="X4988" s="6"/>
      <c r="Y4988" s="6"/>
      <c r="Z4988" s="6"/>
      <c r="AA4988" s="6"/>
    </row>
    <row r="4989" ht="14.25">
      <c r="B4989" s="14" t="s">
        <v>33844</v>
      </c>
      <c r="C4989" s="4" t="s">
        <v>33845</v>
      </c>
      <c r="D4989" s="4" t="s">
        <v>33846</v>
      </c>
      <c r="E4989" s="4" t="s">
        <v>33847</v>
      </c>
      <c r="F4989" s="4" t="s">
        <v>33848</v>
      </c>
      <c r="G4989" s="4" t="s">
        <v>33849</v>
      </c>
      <c r="H4989" s="6"/>
      <c r="I4989" s="6"/>
      <c r="J4989" s="6"/>
      <c r="K4989" s="6"/>
      <c r="L4989" s="6"/>
      <c r="M4989" s="6"/>
      <c r="N4989" s="6"/>
      <c r="O4989" s="6"/>
      <c r="P4989" s="6"/>
      <c r="Q4989" s="6"/>
      <c r="R4989" s="6"/>
      <c r="S4989" s="6"/>
      <c r="T4989" s="6"/>
      <c r="U4989" s="6"/>
      <c r="V4989" s="6"/>
      <c r="W4989" s="6"/>
      <c r="X4989" s="6"/>
      <c r="Y4989" s="6"/>
      <c r="Z4989" s="6"/>
      <c r="AA4989" s="6"/>
    </row>
    <row r="4990" ht="14.25">
      <c r="B4990" s="14" t="s">
        <v>33844</v>
      </c>
      <c r="C4990" s="4" t="s">
        <v>33845</v>
      </c>
      <c r="D4990" s="4" t="s">
        <v>33850</v>
      </c>
      <c r="E4990" s="4" t="s">
        <v>33847</v>
      </c>
      <c r="F4990" s="4" t="s">
        <v>955</v>
      </c>
      <c r="G4990" s="4" t="s">
        <v>33851</v>
      </c>
      <c r="H4990" s="6"/>
      <c r="I4990" s="6"/>
      <c r="J4990" s="6"/>
      <c r="K4990" s="6"/>
      <c r="L4990" s="6"/>
      <c r="M4990" s="6"/>
      <c r="N4990" s="6"/>
      <c r="O4990" s="6"/>
      <c r="P4990" s="6"/>
      <c r="Q4990" s="6"/>
      <c r="R4990" s="6"/>
      <c r="S4990" s="6"/>
      <c r="T4990" s="6"/>
      <c r="U4990" s="6"/>
      <c r="V4990" s="6"/>
      <c r="W4990" s="6"/>
      <c r="X4990" s="6"/>
      <c r="Y4990" s="6"/>
      <c r="Z4990" s="6"/>
      <c r="AA4990" s="6"/>
    </row>
    <row r="4991" ht="14.25">
      <c r="B4991" s="14" t="s">
        <v>33844</v>
      </c>
      <c r="C4991" s="4" t="s">
        <v>33845</v>
      </c>
      <c r="D4991" s="4" t="s">
        <v>33852</v>
      </c>
      <c r="E4991" s="4" t="s">
        <v>33847</v>
      </c>
      <c r="F4991" s="4" t="s">
        <v>32616</v>
      </c>
      <c r="G4991" s="4" t="s">
        <v>33853</v>
      </c>
      <c r="H4991" s="6"/>
      <c r="I4991" s="6"/>
      <c r="J4991" s="6"/>
      <c r="K4991" s="6"/>
      <c r="L4991" s="6"/>
      <c r="M4991" s="6"/>
      <c r="N4991" s="6"/>
      <c r="O4991" s="6"/>
      <c r="P4991" s="6"/>
      <c r="Q4991" s="6"/>
      <c r="R4991" s="6"/>
      <c r="S4991" s="6"/>
      <c r="T4991" s="6"/>
      <c r="U4991" s="6"/>
      <c r="V4991" s="6"/>
      <c r="W4991" s="6"/>
      <c r="X4991" s="6"/>
      <c r="Y4991" s="6"/>
      <c r="Z4991" s="6"/>
      <c r="AA4991" s="6"/>
    </row>
    <row r="4992" ht="14.25">
      <c r="B4992" s="14" t="s">
        <v>33844</v>
      </c>
      <c r="C4992" s="4" t="s">
        <v>33845</v>
      </c>
      <c r="D4992" s="4" t="s">
        <v>33854</v>
      </c>
      <c r="E4992" s="4" t="s">
        <v>33847</v>
      </c>
      <c r="F4992" s="4" t="s">
        <v>170</v>
      </c>
      <c r="G4992" s="4" t="s">
        <v>33855</v>
      </c>
      <c r="H4992" s="6"/>
      <c r="I4992" s="6"/>
      <c r="J4992" s="6"/>
      <c r="K4992" s="6"/>
      <c r="L4992" s="6"/>
      <c r="M4992" s="6"/>
      <c r="N4992" s="6"/>
      <c r="O4992" s="6"/>
      <c r="P4992" s="6"/>
      <c r="Q4992" s="6"/>
      <c r="R4992" s="6"/>
      <c r="S4992" s="6"/>
      <c r="T4992" s="6"/>
      <c r="U4992" s="6"/>
      <c r="V4992" s="6"/>
      <c r="W4992" s="6"/>
      <c r="X4992" s="6"/>
      <c r="Y4992" s="6"/>
      <c r="Z4992" s="6"/>
      <c r="AA4992" s="6"/>
    </row>
    <row r="4993" ht="14.25">
      <c r="B4993" s="14" t="s">
        <v>33844</v>
      </c>
      <c r="C4993" s="4" t="s">
        <v>33845</v>
      </c>
      <c r="D4993" s="4" t="s">
        <v>33856</v>
      </c>
      <c r="E4993" s="4" t="s">
        <v>33847</v>
      </c>
      <c r="F4993" s="4" t="s">
        <v>33857</v>
      </c>
      <c r="G4993" s="4" t="s">
        <v>33858</v>
      </c>
      <c r="H4993" s="6"/>
      <c r="I4993" s="6"/>
      <c r="J4993" s="6"/>
      <c r="K4993" s="6"/>
      <c r="L4993" s="6"/>
      <c r="M4993" s="6"/>
      <c r="N4993" s="6"/>
      <c r="O4993" s="6"/>
      <c r="P4993" s="6"/>
      <c r="Q4993" s="6"/>
      <c r="R4993" s="6"/>
      <c r="S4993" s="6"/>
      <c r="T4993" s="6"/>
      <c r="U4993" s="6"/>
      <c r="V4993" s="6"/>
      <c r="W4993" s="6"/>
      <c r="X4993" s="6"/>
      <c r="Y4993" s="6"/>
      <c r="Z4993" s="6"/>
      <c r="AA4993" s="6"/>
    </row>
    <row r="4994" ht="14.25">
      <c r="B4994" s="14" t="s">
        <v>33859</v>
      </c>
      <c r="C4994" s="4" t="s">
        <v>33860</v>
      </c>
      <c r="D4994" s="4" t="s">
        <v>33861</v>
      </c>
      <c r="E4994" s="4" t="s">
        <v>33862</v>
      </c>
      <c r="F4994" s="4" t="s">
        <v>5579</v>
      </c>
      <c r="G4994" s="4" t="s">
        <v>33863</v>
      </c>
      <c r="H4994" s="6"/>
      <c r="I4994" s="6"/>
      <c r="J4994" s="6"/>
      <c r="K4994" s="6"/>
      <c r="L4994" s="6"/>
      <c r="M4994" s="6"/>
      <c r="N4994" s="6"/>
      <c r="O4994" s="6"/>
      <c r="P4994" s="6"/>
      <c r="Q4994" s="6"/>
      <c r="R4994" s="6"/>
      <c r="S4994" s="6"/>
      <c r="T4994" s="6"/>
      <c r="U4994" s="6"/>
      <c r="V4994" s="6"/>
      <c r="W4994" s="6"/>
      <c r="X4994" s="6"/>
      <c r="Y4994" s="6"/>
      <c r="Z4994" s="6"/>
      <c r="AA4994" s="6"/>
    </row>
    <row r="4995" ht="14.25">
      <c r="B4995" s="14" t="s">
        <v>33859</v>
      </c>
      <c r="C4995" s="4" t="s">
        <v>33864</v>
      </c>
      <c r="D4995" s="4" t="s">
        <v>33865</v>
      </c>
      <c r="E4995" s="4" t="s">
        <v>33866</v>
      </c>
      <c r="F4995" s="4" t="s">
        <v>604</v>
      </c>
      <c r="G4995" s="4" t="s">
        <v>33867</v>
      </c>
      <c r="H4995" s="6"/>
      <c r="I4995" s="6"/>
      <c r="J4995" s="6"/>
      <c r="K4995" s="6"/>
      <c r="L4995" s="6"/>
      <c r="M4995" s="6"/>
      <c r="N4995" s="6"/>
      <c r="O4995" s="6"/>
      <c r="P4995" s="6"/>
      <c r="Q4995" s="6"/>
      <c r="R4995" s="6"/>
      <c r="S4995" s="6"/>
      <c r="T4995" s="6"/>
      <c r="U4995" s="6"/>
      <c r="V4995" s="6"/>
      <c r="W4995" s="6"/>
      <c r="X4995" s="6"/>
      <c r="Y4995" s="6"/>
      <c r="Z4995" s="6"/>
      <c r="AA4995" s="6"/>
    </row>
    <row r="4996" ht="14.25">
      <c r="B4996" s="14" t="s">
        <v>33868</v>
      </c>
      <c r="C4996" s="4" t="s">
        <v>33869</v>
      </c>
      <c r="D4996" s="4" t="s">
        <v>33870</v>
      </c>
      <c r="E4996" s="4" t="s">
        <v>33871</v>
      </c>
      <c r="F4996" s="4" t="s">
        <v>215</v>
      </c>
      <c r="G4996" s="4" t="s">
        <v>33872</v>
      </c>
      <c r="H4996" s="6"/>
      <c r="I4996" s="6"/>
      <c r="J4996" s="6"/>
      <c r="K4996" s="6"/>
      <c r="L4996" s="6"/>
      <c r="M4996" s="6"/>
      <c r="N4996" s="6"/>
      <c r="O4996" s="6"/>
      <c r="P4996" s="6"/>
      <c r="Q4996" s="6"/>
      <c r="R4996" s="6"/>
      <c r="S4996" s="6"/>
      <c r="T4996" s="6"/>
      <c r="U4996" s="6"/>
      <c r="V4996" s="6"/>
      <c r="W4996" s="6"/>
      <c r="X4996" s="6"/>
      <c r="Y4996" s="6"/>
      <c r="Z4996" s="6"/>
      <c r="AA4996" s="6"/>
    </row>
    <row r="4997" ht="14.25">
      <c r="B4997" s="14" t="s">
        <v>33873</v>
      </c>
      <c r="C4997" s="4" t="s">
        <v>33874</v>
      </c>
      <c r="D4997" s="4" t="s">
        <v>33875</v>
      </c>
      <c r="E4997" s="4" t="s">
        <v>33876</v>
      </c>
      <c r="F4997" s="4" t="s">
        <v>866</v>
      </c>
      <c r="G4997" s="4" t="s">
        <v>33877</v>
      </c>
      <c r="H4997" s="6"/>
      <c r="I4997" s="6"/>
      <c r="J4997" s="6"/>
      <c r="K4997" s="6"/>
      <c r="L4997" s="6"/>
      <c r="M4997" s="6"/>
      <c r="N4997" s="6"/>
      <c r="O4997" s="6"/>
      <c r="P4997" s="6"/>
      <c r="Q4997" s="6"/>
      <c r="R4997" s="6"/>
      <c r="S4997" s="6"/>
      <c r="T4997" s="6"/>
      <c r="U4997" s="6"/>
      <c r="V4997" s="6"/>
      <c r="W4997" s="6"/>
      <c r="X4997" s="6"/>
      <c r="Y4997" s="6"/>
      <c r="Z4997" s="6"/>
      <c r="AA4997" s="6"/>
    </row>
    <row r="4998" ht="14.25">
      <c r="B4998" s="14" t="s">
        <v>33878</v>
      </c>
      <c r="C4998" s="4" t="s">
        <v>33879</v>
      </c>
      <c r="D4998" s="4" t="s">
        <v>33880</v>
      </c>
      <c r="E4998" s="4" t="s">
        <v>33881</v>
      </c>
      <c r="F4998" s="4" t="s">
        <v>817</v>
      </c>
      <c r="G4998" s="4" t="s">
        <v>33882</v>
      </c>
      <c r="H4998" s="6"/>
      <c r="I4998" s="6"/>
      <c r="J4998" s="6"/>
      <c r="K4998" s="6"/>
      <c r="L4998" s="6"/>
      <c r="M4998" s="6"/>
      <c r="N4998" s="6"/>
      <c r="O4998" s="6"/>
      <c r="P4998" s="6"/>
      <c r="Q4998" s="6"/>
      <c r="R4998" s="6"/>
      <c r="S4998" s="6"/>
      <c r="T4998" s="6"/>
      <c r="U4998" s="6"/>
      <c r="V4998" s="6"/>
      <c r="W4998" s="6"/>
      <c r="X4998" s="6"/>
      <c r="Y4998" s="6"/>
      <c r="Z4998" s="6"/>
      <c r="AA4998" s="6"/>
    </row>
    <row r="4999" ht="14.25">
      <c r="B4999" s="14" t="s">
        <v>33883</v>
      </c>
      <c r="C4999" s="4" t="s">
        <v>33884</v>
      </c>
      <c r="D4999" s="4" t="s">
        <v>33885</v>
      </c>
      <c r="E4999" s="4" t="s">
        <v>33886</v>
      </c>
      <c r="F4999" s="4" t="s">
        <v>7714</v>
      </c>
      <c r="G4999" s="4" t="s">
        <v>33887</v>
      </c>
      <c r="H4999" s="6"/>
      <c r="I4999" s="6"/>
      <c r="J4999" s="6"/>
      <c r="K4999" s="6"/>
      <c r="L4999" s="6"/>
      <c r="M4999" s="6"/>
      <c r="N4999" s="6"/>
      <c r="O4999" s="6"/>
      <c r="P4999" s="6"/>
      <c r="Q4999" s="6"/>
      <c r="R4999" s="6"/>
      <c r="S4999" s="6"/>
      <c r="T4999" s="6"/>
      <c r="U4999" s="6"/>
      <c r="V4999" s="6"/>
      <c r="W4999" s="6"/>
      <c r="X4999" s="6"/>
      <c r="Y4999" s="6"/>
      <c r="Z4999" s="6"/>
      <c r="AA4999" s="6"/>
    </row>
    <row r="5000" ht="14.25">
      <c r="B5000" s="14" t="s">
        <v>33883</v>
      </c>
      <c r="C5000" s="4" t="s">
        <v>33884</v>
      </c>
      <c r="D5000" s="4" t="s">
        <v>33888</v>
      </c>
      <c r="E5000" s="4" t="s">
        <v>33886</v>
      </c>
      <c r="F5000" s="4" t="s">
        <v>110</v>
      </c>
      <c r="G5000" s="4" t="s">
        <v>33889</v>
      </c>
      <c r="H5000" s="6"/>
      <c r="I5000" s="6"/>
      <c r="J5000" s="6"/>
      <c r="K5000" s="6"/>
      <c r="L5000" s="6"/>
      <c r="M5000" s="6"/>
      <c r="N5000" s="6"/>
      <c r="O5000" s="6"/>
      <c r="P5000" s="6"/>
      <c r="Q5000" s="6"/>
      <c r="R5000" s="6"/>
      <c r="S5000" s="6"/>
      <c r="T5000" s="6"/>
      <c r="U5000" s="6"/>
      <c r="V5000" s="6"/>
      <c r="W5000" s="6"/>
      <c r="X5000" s="6"/>
      <c r="Y5000" s="6"/>
      <c r="Z5000" s="6"/>
      <c r="AA5000" s="6"/>
    </row>
    <row r="5001" ht="14.25">
      <c r="B5001" s="14" t="s">
        <v>33890</v>
      </c>
      <c r="C5001" s="4" t="s">
        <v>33891</v>
      </c>
      <c r="D5001" s="4" t="s">
        <v>33892</v>
      </c>
      <c r="E5001" s="4" t="s">
        <v>33893</v>
      </c>
      <c r="F5001" s="4" t="s">
        <v>6634</v>
      </c>
      <c r="G5001" s="4" t="s">
        <v>33894</v>
      </c>
      <c r="H5001" s="6"/>
      <c r="I5001" s="6"/>
      <c r="J5001" s="6"/>
      <c r="K5001" s="6"/>
      <c r="L5001" s="6"/>
      <c r="M5001" s="6"/>
      <c r="N5001" s="6"/>
      <c r="O5001" s="6"/>
      <c r="P5001" s="6"/>
      <c r="Q5001" s="6"/>
      <c r="R5001" s="6"/>
      <c r="S5001" s="6"/>
      <c r="T5001" s="6"/>
      <c r="U5001" s="6"/>
      <c r="V5001" s="6"/>
      <c r="W5001" s="6"/>
      <c r="X5001" s="6"/>
      <c r="Y5001" s="6"/>
      <c r="Z5001" s="6"/>
      <c r="AA5001" s="6"/>
    </row>
    <row r="5002" ht="14.25">
      <c r="B5002" s="14" t="s">
        <v>33890</v>
      </c>
      <c r="C5002" s="4" t="s">
        <v>33891</v>
      </c>
      <c r="D5002" s="4" t="s">
        <v>33895</v>
      </c>
      <c r="E5002" s="4" t="s">
        <v>33893</v>
      </c>
      <c r="F5002" s="4" t="s">
        <v>2419</v>
      </c>
      <c r="G5002" s="4" t="s">
        <v>33896</v>
      </c>
      <c r="H5002" s="6"/>
      <c r="I5002" s="6"/>
      <c r="J5002" s="6"/>
      <c r="K5002" s="6"/>
      <c r="L5002" s="6"/>
      <c r="M5002" s="6"/>
      <c r="N5002" s="6"/>
      <c r="O5002" s="6"/>
      <c r="P5002" s="6"/>
      <c r="Q5002" s="6"/>
      <c r="R5002" s="6"/>
      <c r="S5002" s="6"/>
      <c r="T5002" s="6"/>
      <c r="U5002" s="6"/>
      <c r="V5002" s="6"/>
      <c r="W5002" s="6"/>
      <c r="X5002" s="6"/>
      <c r="Y5002" s="6"/>
      <c r="Z5002" s="6"/>
      <c r="AA5002" s="6"/>
    </row>
    <row r="5003" ht="14.25">
      <c r="B5003" s="14" t="s">
        <v>33897</v>
      </c>
      <c r="C5003" s="4" t="s">
        <v>33898</v>
      </c>
      <c r="D5003" s="4" t="s">
        <v>33899</v>
      </c>
      <c r="E5003" s="6"/>
      <c r="F5003" s="4" t="s">
        <v>206</v>
      </c>
      <c r="G5003" s="4" t="s">
        <v>33900</v>
      </c>
      <c r="H5003" s="6"/>
      <c r="I5003" s="6"/>
      <c r="J5003" s="6"/>
      <c r="K5003" s="6"/>
      <c r="L5003" s="6"/>
      <c r="M5003" s="6"/>
      <c r="N5003" s="6"/>
      <c r="O5003" s="6"/>
      <c r="P5003" s="6"/>
      <c r="Q5003" s="6"/>
      <c r="R5003" s="6"/>
      <c r="S5003" s="6"/>
      <c r="T5003" s="6"/>
      <c r="U5003" s="6"/>
      <c r="V5003" s="6"/>
      <c r="W5003" s="6"/>
      <c r="X5003" s="6"/>
      <c r="Y5003" s="6"/>
      <c r="Z5003" s="6"/>
      <c r="AA5003" s="6"/>
    </row>
    <row r="5004" ht="14.25">
      <c r="B5004" s="14" t="s">
        <v>33901</v>
      </c>
      <c r="C5004" s="4" t="s">
        <v>33902</v>
      </c>
      <c r="D5004" s="4" t="s">
        <v>33903</v>
      </c>
      <c r="E5004" s="4" t="s">
        <v>33904</v>
      </c>
      <c r="F5004" s="4" t="s">
        <v>33905</v>
      </c>
      <c r="G5004" s="4" t="s">
        <v>33906</v>
      </c>
      <c r="H5004" s="6"/>
      <c r="I5004" s="6"/>
      <c r="J5004" s="6"/>
      <c r="K5004" s="6"/>
      <c r="L5004" s="6"/>
      <c r="M5004" s="6"/>
      <c r="N5004" s="6"/>
      <c r="O5004" s="6"/>
      <c r="P5004" s="6"/>
      <c r="Q5004" s="6"/>
      <c r="R5004" s="6"/>
      <c r="S5004" s="6"/>
      <c r="T5004" s="6"/>
      <c r="U5004" s="6"/>
      <c r="V5004" s="6"/>
      <c r="W5004" s="6"/>
      <c r="X5004" s="6"/>
      <c r="Y5004" s="6"/>
      <c r="Z5004" s="6"/>
      <c r="AA5004" s="6"/>
    </row>
    <row r="5005" ht="14.25">
      <c r="B5005" s="14" t="s">
        <v>33907</v>
      </c>
      <c r="C5005" s="4" t="s">
        <v>33908</v>
      </c>
      <c r="D5005" s="4" t="s">
        <v>33909</v>
      </c>
      <c r="E5005" s="4" t="s">
        <v>33910</v>
      </c>
      <c r="F5005" s="4" t="s">
        <v>2436</v>
      </c>
      <c r="G5005" s="4" t="s">
        <v>33911</v>
      </c>
      <c r="H5005" s="6"/>
      <c r="I5005" s="6"/>
      <c r="J5005" s="6"/>
      <c r="K5005" s="6"/>
      <c r="L5005" s="6"/>
      <c r="M5005" s="6"/>
      <c r="N5005" s="6"/>
      <c r="O5005" s="6"/>
      <c r="P5005" s="6"/>
      <c r="Q5005" s="6"/>
      <c r="R5005" s="6"/>
      <c r="S5005" s="6"/>
      <c r="T5005" s="6"/>
      <c r="U5005" s="6"/>
      <c r="V5005" s="6"/>
      <c r="W5005" s="6"/>
      <c r="X5005" s="6"/>
      <c r="Y5005" s="6"/>
      <c r="Z5005" s="6"/>
      <c r="AA5005" s="6"/>
    </row>
    <row r="5006" ht="14.25">
      <c r="B5006" s="14" t="s">
        <v>33912</v>
      </c>
      <c r="C5006" s="4" t="s">
        <v>33913</v>
      </c>
      <c r="D5006" s="4" t="s">
        <v>33914</v>
      </c>
      <c r="E5006" s="4" t="s">
        <v>33915</v>
      </c>
      <c r="F5006" s="4" t="s">
        <v>32579</v>
      </c>
      <c r="G5006" s="4" t="s">
        <v>33916</v>
      </c>
      <c r="H5006" s="6"/>
      <c r="I5006" s="6"/>
      <c r="J5006" s="6"/>
      <c r="K5006" s="6"/>
      <c r="L5006" s="6"/>
      <c r="M5006" s="6"/>
      <c r="N5006" s="6"/>
      <c r="O5006" s="6"/>
      <c r="P5006" s="6"/>
      <c r="Q5006" s="6"/>
      <c r="R5006" s="6"/>
      <c r="S5006" s="6"/>
      <c r="T5006" s="6"/>
      <c r="U5006" s="6"/>
      <c r="V5006" s="6"/>
      <c r="W5006" s="6"/>
      <c r="X5006" s="6"/>
      <c r="Y5006" s="6"/>
      <c r="Z5006" s="6"/>
      <c r="AA5006" s="6"/>
    </row>
    <row r="5007" ht="14.25">
      <c r="B5007" s="14" t="s">
        <v>33912</v>
      </c>
      <c r="C5007" s="4" t="s">
        <v>33913</v>
      </c>
      <c r="D5007" s="4" t="s">
        <v>33917</v>
      </c>
      <c r="E5007" s="4" t="s">
        <v>33915</v>
      </c>
      <c r="F5007" s="4" t="s">
        <v>32622</v>
      </c>
      <c r="G5007" s="4" t="s">
        <v>33877</v>
      </c>
      <c r="H5007" s="6"/>
      <c r="I5007" s="6"/>
      <c r="J5007" s="6"/>
      <c r="K5007" s="6"/>
      <c r="L5007" s="6"/>
      <c r="M5007" s="6"/>
      <c r="N5007" s="6"/>
      <c r="O5007" s="6"/>
      <c r="P5007" s="6"/>
      <c r="Q5007" s="6"/>
      <c r="R5007" s="6"/>
      <c r="S5007" s="6"/>
      <c r="T5007" s="6"/>
      <c r="U5007" s="6"/>
      <c r="V5007" s="6"/>
      <c r="W5007" s="6"/>
      <c r="X5007" s="6"/>
      <c r="Y5007" s="6"/>
      <c r="Z5007" s="6"/>
      <c r="AA5007" s="6"/>
    </row>
    <row r="5008" ht="14.25">
      <c r="B5008" s="14" t="s">
        <v>33912</v>
      </c>
      <c r="C5008" s="4" t="s">
        <v>33918</v>
      </c>
      <c r="D5008" s="4" t="s">
        <v>33919</v>
      </c>
      <c r="E5008" s="4" t="s">
        <v>33920</v>
      </c>
      <c r="F5008" s="4" t="s">
        <v>1153</v>
      </c>
      <c r="G5008" s="4" t="s">
        <v>33921</v>
      </c>
      <c r="H5008" s="6"/>
      <c r="I5008" s="6"/>
      <c r="J5008" s="6"/>
      <c r="K5008" s="6"/>
      <c r="L5008" s="6"/>
      <c r="M5008" s="6"/>
      <c r="N5008" s="6"/>
      <c r="O5008" s="6"/>
      <c r="P5008" s="6"/>
      <c r="Q5008" s="6"/>
      <c r="R5008" s="6"/>
      <c r="S5008" s="6"/>
      <c r="T5008" s="6"/>
      <c r="U5008" s="6"/>
      <c r="V5008" s="6"/>
      <c r="W5008" s="6"/>
      <c r="X5008" s="6"/>
      <c r="Y5008" s="6"/>
      <c r="Z5008" s="6"/>
      <c r="AA5008" s="6"/>
    </row>
    <row r="5009" ht="14.25">
      <c r="B5009" s="14" t="s">
        <v>33912</v>
      </c>
      <c r="C5009" s="4" t="s">
        <v>33913</v>
      </c>
      <c r="D5009" s="4" t="s">
        <v>33922</v>
      </c>
      <c r="E5009" s="4" t="s">
        <v>33915</v>
      </c>
      <c r="F5009" s="4" t="s">
        <v>33923</v>
      </c>
      <c r="G5009" s="4" t="s">
        <v>33924</v>
      </c>
      <c r="H5009" s="6"/>
      <c r="I5009" s="6"/>
      <c r="J5009" s="6"/>
      <c r="K5009" s="6"/>
      <c r="L5009" s="6"/>
      <c r="M5009" s="6"/>
      <c r="N5009" s="6"/>
      <c r="O5009" s="6"/>
      <c r="P5009" s="6"/>
      <c r="Q5009" s="6"/>
      <c r="R5009" s="6"/>
      <c r="S5009" s="6"/>
      <c r="T5009" s="6"/>
      <c r="U5009" s="6"/>
      <c r="V5009" s="6"/>
      <c r="W5009" s="6"/>
      <c r="X5009" s="6"/>
      <c r="Y5009" s="6"/>
      <c r="Z5009" s="6"/>
      <c r="AA5009" s="6"/>
    </row>
    <row r="5010" ht="14.25">
      <c r="B5010" s="14" t="s">
        <v>33912</v>
      </c>
      <c r="C5010" s="4" t="s">
        <v>33913</v>
      </c>
      <c r="D5010" s="4" t="s">
        <v>33925</v>
      </c>
      <c r="E5010" s="4" t="s">
        <v>33915</v>
      </c>
      <c r="F5010" s="4" t="s">
        <v>21046</v>
      </c>
      <c r="G5010" s="4" t="s">
        <v>33916</v>
      </c>
      <c r="H5010" s="6"/>
      <c r="I5010" s="6"/>
      <c r="J5010" s="6"/>
      <c r="K5010" s="6"/>
      <c r="L5010" s="6"/>
      <c r="M5010" s="6"/>
      <c r="N5010" s="6"/>
      <c r="O5010" s="6"/>
      <c r="P5010" s="6"/>
      <c r="Q5010" s="6"/>
      <c r="R5010" s="6"/>
      <c r="S5010" s="6"/>
      <c r="T5010" s="6"/>
      <c r="U5010" s="6"/>
      <c r="V5010" s="6"/>
      <c r="W5010" s="6"/>
      <c r="X5010" s="6"/>
      <c r="Y5010" s="6"/>
      <c r="Z5010" s="6"/>
      <c r="AA5010" s="6"/>
    </row>
    <row r="5011" ht="14.25">
      <c r="B5011" s="14" t="s">
        <v>33926</v>
      </c>
      <c r="C5011" s="4" t="s">
        <v>33927</v>
      </c>
      <c r="D5011" s="4" t="s">
        <v>33928</v>
      </c>
      <c r="E5011" s="4" t="s">
        <v>33929</v>
      </c>
      <c r="F5011" s="4" t="s">
        <v>20</v>
      </c>
      <c r="G5011" s="4" t="s">
        <v>33930</v>
      </c>
      <c r="H5011" s="6"/>
      <c r="I5011" s="6"/>
      <c r="J5011" s="6"/>
      <c r="K5011" s="6"/>
      <c r="L5011" s="6"/>
      <c r="M5011" s="6"/>
      <c r="N5011" s="6"/>
      <c r="O5011" s="6"/>
      <c r="P5011" s="6"/>
      <c r="Q5011" s="6"/>
      <c r="R5011" s="6"/>
      <c r="S5011" s="6"/>
      <c r="T5011" s="6"/>
      <c r="U5011" s="6"/>
      <c r="V5011" s="6"/>
      <c r="W5011" s="6"/>
      <c r="X5011" s="6"/>
      <c r="Y5011" s="6"/>
      <c r="Z5011" s="6"/>
      <c r="AA5011" s="6"/>
    </row>
    <row r="5012" ht="14.25">
      <c r="B5012" s="14" t="s">
        <v>33926</v>
      </c>
      <c r="C5012" s="4" t="s">
        <v>33927</v>
      </c>
      <c r="D5012" s="4" t="s">
        <v>33931</v>
      </c>
      <c r="E5012" s="4" t="s">
        <v>33929</v>
      </c>
      <c r="F5012" s="4" t="s">
        <v>33217</v>
      </c>
      <c r="G5012" s="4" t="s">
        <v>33932</v>
      </c>
      <c r="H5012" s="6"/>
      <c r="I5012" s="6"/>
      <c r="J5012" s="6"/>
      <c r="K5012" s="6"/>
      <c r="L5012" s="6"/>
      <c r="M5012" s="6"/>
      <c r="N5012" s="6"/>
      <c r="O5012" s="6"/>
      <c r="P5012" s="6"/>
      <c r="Q5012" s="6"/>
      <c r="R5012" s="6"/>
      <c r="S5012" s="6"/>
      <c r="T5012" s="6"/>
      <c r="U5012" s="6"/>
      <c r="V5012" s="6"/>
      <c r="W5012" s="6"/>
      <c r="X5012" s="6"/>
      <c r="Y5012" s="6"/>
      <c r="Z5012" s="6"/>
      <c r="AA5012" s="6"/>
    </row>
    <row r="5013" ht="14.25">
      <c r="B5013" s="14" t="s">
        <v>33933</v>
      </c>
      <c r="C5013" s="4" t="s">
        <v>33934</v>
      </c>
      <c r="D5013" s="4" t="s">
        <v>33935</v>
      </c>
      <c r="E5013" s="4" t="s">
        <v>33936</v>
      </c>
      <c r="F5013" s="4" t="s">
        <v>33354</v>
      </c>
      <c r="G5013" s="4" t="s">
        <v>33937</v>
      </c>
      <c r="H5013" s="6"/>
      <c r="I5013" s="6"/>
      <c r="J5013" s="6"/>
      <c r="K5013" s="6"/>
      <c r="L5013" s="6"/>
      <c r="M5013" s="6"/>
      <c r="N5013" s="6"/>
      <c r="O5013" s="6"/>
      <c r="P5013" s="6"/>
      <c r="Q5013" s="6"/>
      <c r="R5013" s="6"/>
      <c r="S5013" s="6"/>
      <c r="T5013" s="6"/>
      <c r="U5013" s="6"/>
      <c r="V5013" s="6"/>
      <c r="W5013" s="6"/>
      <c r="X5013" s="6"/>
      <c r="Y5013" s="6"/>
      <c r="Z5013" s="6"/>
      <c r="AA5013" s="6"/>
    </row>
    <row r="5014" ht="14.25">
      <c r="B5014" s="14" t="s">
        <v>33933</v>
      </c>
      <c r="C5014" s="4" t="s">
        <v>33934</v>
      </c>
      <c r="D5014" s="4" t="s">
        <v>33938</v>
      </c>
      <c r="E5014" s="4" t="s">
        <v>33936</v>
      </c>
      <c r="F5014" s="4" t="s">
        <v>330</v>
      </c>
      <c r="G5014" s="4" t="s">
        <v>32633</v>
      </c>
      <c r="H5014" s="6"/>
      <c r="I5014" s="6"/>
      <c r="J5014" s="6"/>
      <c r="K5014" s="6"/>
      <c r="L5014" s="6"/>
      <c r="M5014" s="6"/>
      <c r="N5014" s="6"/>
      <c r="O5014" s="6"/>
      <c r="P5014" s="6"/>
      <c r="Q5014" s="6"/>
      <c r="R5014" s="6"/>
      <c r="S5014" s="6"/>
      <c r="T5014" s="6"/>
      <c r="U5014" s="6"/>
      <c r="V5014" s="6"/>
      <c r="W5014" s="6"/>
      <c r="X5014" s="6"/>
      <c r="Y5014" s="6"/>
      <c r="Z5014" s="6"/>
      <c r="AA5014" s="6"/>
    </row>
    <row r="5015" ht="14.25">
      <c r="B5015" s="14" t="s">
        <v>33939</v>
      </c>
      <c r="C5015" s="4" t="s">
        <v>33940</v>
      </c>
      <c r="D5015" s="4" t="s">
        <v>33941</v>
      </c>
      <c r="E5015" s="4" t="s">
        <v>33942</v>
      </c>
      <c r="F5015" s="4" t="s">
        <v>485</v>
      </c>
      <c r="G5015" s="4" t="s">
        <v>33943</v>
      </c>
      <c r="H5015" s="6"/>
      <c r="I5015" s="6"/>
      <c r="J5015" s="6"/>
      <c r="K5015" s="6"/>
      <c r="L5015" s="6"/>
      <c r="M5015" s="6"/>
      <c r="N5015" s="6"/>
      <c r="O5015" s="6"/>
      <c r="P5015" s="6"/>
      <c r="Q5015" s="6"/>
      <c r="R5015" s="6"/>
      <c r="S5015" s="6"/>
      <c r="T5015" s="6"/>
      <c r="U5015" s="6"/>
      <c r="V5015" s="6"/>
      <c r="W5015" s="6"/>
      <c r="X5015" s="6"/>
      <c r="Y5015" s="6"/>
      <c r="Z5015" s="6"/>
      <c r="AA5015" s="6"/>
    </row>
    <row r="5016" ht="14.25">
      <c r="B5016" s="14" t="s">
        <v>33939</v>
      </c>
      <c r="C5016" s="4" t="s">
        <v>33940</v>
      </c>
      <c r="D5016" s="4" t="s">
        <v>33944</v>
      </c>
      <c r="E5016" s="4" t="s">
        <v>33942</v>
      </c>
      <c r="F5016" s="4" t="s">
        <v>785</v>
      </c>
      <c r="G5016" s="4" t="s">
        <v>33945</v>
      </c>
      <c r="H5016" s="6"/>
      <c r="I5016" s="6"/>
      <c r="J5016" s="6"/>
      <c r="K5016" s="6"/>
      <c r="L5016" s="6"/>
      <c r="M5016" s="6"/>
      <c r="N5016" s="6"/>
      <c r="O5016" s="6"/>
      <c r="P5016" s="6"/>
      <c r="Q5016" s="6"/>
      <c r="R5016" s="6"/>
      <c r="S5016" s="6"/>
      <c r="T5016" s="6"/>
      <c r="U5016" s="6"/>
      <c r="V5016" s="6"/>
      <c r="W5016" s="6"/>
      <c r="X5016" s="6"/>
      <c r="Y5016" s="6"/>
      <c r="Z5016" s="6"/>
      <c r="AA5016" s="6"/>
    </row>
    <row r="5017" ht="14.25">
      <c r="B5017" s="14" t="s">
        <v>33939</v>
      </c>
      <c r="C5017" s="4" t="s">
        <v>33940</v>
      </c>
      <c r="D5017" s="4" t="s">
        <v>33946</v>
      </c>
      <c r="E5017" s="4" t="s">
        <v>33942</v>
      </c>
      <c r="F5017" s="4" t="s">
        <v>3100</v>
      </c>
      <c r="G5017" s="4" t="s">
        <v>33947</v>
      </c>
      <c r="H5017" s="6"/>
      <c r="I5017" s="6"/>
      <c r="J5017" s="6"/>
      <c r="K5017" s="6"/>
      <c r="L5017" s="6"/>
      <c r="M5017" s="6"/>
      <c r="N5017" s="6"/>
      <c r="O5017" s="6"/>
      <c r="P5017" s="6"/>
      <c r="Q5017" s="6"/>
      <c r="R5017" s="6"/>
      <c r="S5017" s="6"/>
      <c r="T5017" s="6"/>
      <c r="U5017" s="6"/>
      <c r="V5017" s="6"/>
      <c r="W5017" s="6"/>
      <c r="X5017" s="6"/>
      <c r="Y5017" s="6"/>
      <c r="Z5017" s="6"/>
      <c r="AA5017" s="6"/>
    </row>
    <row r="5018" ht="14.25">
      <c r="B5018" s="14" t="s">
        <v>33948</v>
      </c>
      <c r="C5018" s="4" t="s">
        <v>33949</v>
      </c>
      <c r="D5018" s="4" t="s">
        <v>33950</v>
      </c>
      <c r="E5018" s="6"/>
      <c r="F5018" s="4" t="s">
        <v>33434</v>
      </c>
      <c r="G5018" s="4" t="s">
        <v>33951</v>
      </c>
      <c r="H5018" s="6"/>
      <c r="I5018" s="6"/>
      <c r="J5018" s="6"/>
      <c r="K5018" s="6"/>
      <c r="L5018" s="6"/>
      <c r="M5018" s="6"/>
      <c r="N5018" s="6"/>
      <c r="O5018" s="6"/>
      <c r="P5018" s="6"/>
      <c r="Q5018" s="6"/>
      <c r="R5018" s="6"/>
      <c r="S5018" s="6"/>
      <c r="T5018" s="6"/>
      <c r="U5018" s="6"/>
      <c r="V5018" s="6"/>
      <c r="W5018" s="6"/>
      <c r="X5018" s="6"/>
      <c r="Y5018" s="6"/>
      <c r="Z5018" s="6"/>
      <c r="AA5018" s="6"/>
    </row>
    <row r="5019" ht="14.25">
      <c r="B5019" s="14" t="s">
        <v>33952</v>
      </c>
      <c r="C5019" s="4" t="s">
        <v>33953</v>
      </c>
      <c r="D5019" s="4" t="s">
        <v>33954</v>
      </c>
      <c r="E5019" s="4" t="s">
        <v>33955</v>
      </c>
      <c r="F5019" s="4" t="s">
        <v>32706</v>
      </c>
      <c r="G5019" s="4" t="s">
        <v>33956</v>
      </c>
      <c r="H5019" s="6"/>
      <c r="I5019" s="6"/>
      <c r="J5019" s="6"/>
      <c r="K5019" s="6"/>
      <c r="L5019" s="6"/>
      <c r="M5019" s="6"/>
      <c r="N5019" s="6"/>
      <c r="O5019" s="6"/>
      <c r="P5019" s="6"/>
      <c r="Q5019" s="6"/>
      <c r="R5019" s="6"/>
      <c r="S5019" s="6"/>
      <c r="T5019" s="6"/>
      <c r="U5019" s="6"/>
      <c r="V5019" s="6"/>
      <c r="W5019" s="6"/>
      <c r="X5019" s="6"/>
      <c r="Y5019" s="6"/>
      <c r="Z5019" s="6"/>
      <c r="AA5019" s="6"/>
    </row>
    <row r="5020" ht="14.25">
      <c r="B5020" s="14" t="s">
        <v>33952</v>
      </c>
      <c r="C5020" s="4" t="s">
        <v>33953</v>
      </c>
      <c r="D5020" s="4" t="s">
        <v>33957</v>
      </c>
      <c r="E5020" s="4" t="s">
        <v>33955</v>
      </c>
      <c r="F5020" s="4" t="s">
        <v>679</v>
      </c>
      <c r="G5020" s="4" t="s">
        <v>32868</v>
      </c>
      <c r="H5020" s="6"/>
      <c r="I5020" s="6"/>
      <c r="J5020" s="6"/>
      <c r="K5020" s="6"/>
      <c r="L5020" s="6"/>
      <c r="M5020" s="6"/>
      <c r="N5020" s="6"/>
      <c r="O5020" s="6"/>
      <c r="P5020" s="6"/>
      <c r="Q5020" s="6"/>
      <c r="R5020" s="6"/>
      <c r="S5020" s="6"/>
      <c r="T5020" s="6"/>
      <c r="U5020" s="6"/>
      <c r="V5020" s="6"/>
      <c r="W5020" s="6"/>
      <c r="X5020" s="6"/>
      <c r="Y5020" s="6"/>
      <c r="Z5020" s="6"/>
      <c r="AA5020" s="6"/>
    </row>
    <row r="5021" ht="14.25">
      <c r="B5021" s="14" t="s">
        <v>33958</v>
      </c>
      <c r="C5021" s="4" t="s">
        <v>33959</v>
      </c>
      <c r="D5021" s="4" t="s">
        <v>33960</v>
      </c>
      <c r="E5021" s="4" t="s">
        <v>33961</v>
      </c>
      <c r="F5021" s="4" t="s">
        <v>1153</v>
      </c>
      <c r="G5021" s="4" t="s">
        <v>33962</v>
      </c>
      <c r="H5021" s="6"/>
      <c r="I5021" s="6"/>
      <c r="J5021" s="6"/>
      <c r="K5021" s="6"/>
      <c r="L5021" s="6"/>
      <c r="M5021" s="6"/>
      <c r="N5021" s="6"/>
      <c r="O5021" s="6"/>
      <c r="P5021" s="6"/>
      <c r="Q5021" s="6"/>
      <c r="R5021" s="6"/>
      <c r="S5021" s="6"/>
      <c r="T5021" s="6"/>
      <c r="U5021" s="6"/>
      <c r="V5021" s="6"/>
      <c r="W5021" s="6"/>
      <c r="X5021" s="6"/>
      <c r="Y5021" s="6"/>
      <c r="Z5021" s="6"/>
      <c r="AA5021" s="6"/>
    </row>
    <row r="5022" ht="14.25">
      <c r="B5022" s="14" t="s">
        <v>33958</v>
      </c>
      <c r="C5022" s="4" t="s">
        <v>33963</v>
      </c>
      <c r="D5022" s="4" t="s">
        <v>33964</v>
      </c>
      <c r="E5022" s="4" t="s">
        <v>33965</v>
      </c>
      <c r="F5022" s="4" t="s">
        <v>222</v>
      </c>
      <c r="G5022" s="4" t="s">
        <v>33966</v>
      </c>
      <c r="H5022" s="6"/>
      <c r="I5022" s="6"/>
      <c r="J5022" s="6"/>
      <c r="K5022" s="6"/>
      <c r="L5022" s="6"/>
      <c r="M5022" s="6"/>
      <c r="N5022" s="6"/>
      <c r="O5022" s="6"/>
      <c r="P5022" s="6"/>
      <c r="Q5022" s="6"/>
      <c r="R5022" s="6"/>
      <c r="S5022" s="6"/>
      <c r="T5022" s="6"/>
      <c r="U5022" s="6"/>
      <c r="V5022" s="6"/>
      <c r="W5022" s="6"/>
      <c r="X5022" s="6"/>
      <c r="Y5022" s="6"/>
      <c r="Z5022" s="6"/>
      <c r="AA5022" s="6"/>
    </row>
    <row r="5023" ht="14.25">
      <c r="B5023" s="14" t="s">
        <v>33958</v>
      </c>
      <c r="C5023" s="4" t="s">
        <v>33967</v>
      </c>
      <c r="D5023" s="4" t="s">
        <v>33968</v>
      </c>
      <c r="E5023" s="4" t="s">
        <v>33969</v>
      </c>
      <c r="F5023" s="4" t="s">
        <v>330</v>
      </c>
      <c r="G5023" s="4" t="s">
        <v>33970</v>
      </c>
      <c r="H5023" s="6"/>
      <c r="I5023" s="6"/>
      <c r="J5023" s="6"/>
      <c r="K5023" s="6"/>
      <c r="L5023" s="6"/>
      <c r="M5023" s="6"/>
      <c r="N5023" s="6"/>
      <c r="O5023" s="6"/>
      <c r="P5023" s="6"/>
      <c r="Q5023" s="6"/>
      <c r="R5023" s="6"/>
      <c r="S5023" s="6"/>
      <c r="T5023" s="6"/>
      <c r="U5023" s="6"/>
      <c r="V5023" s="6"/>
      <c r="W5023" s="6"/>
      <c r="X5023" s="6"/>
      <c r="Y5023" s="6"/>
      <c r="Z5023" s="6"/>
      <c r="AA5023" s="6"/>
    </row>
    <row r="5024" ht="14.25">
      <c r="B5024" s="14" t="s">
        <v>33958</v>
      </c>
      <c r="C5024" s="4" t="s">
        <v>33963</v>
      </c>
      <c r="D5024" s="4" t="s">
        <v>33971</v>
      </c>
      <c r="E5024" s="4" t="s">
        <v>33965</v>
      </c>
      <c r="F5024" s="4" t="s">
        <v>986</v>
      </c>
      <c r="G5024" s="4" t="s">
        <v>33972</v>
      </c>
      <c r="H5024" s="6"/>
      <c r="I5024" s="6"/>
      <c r="J5024" s="6"/>
      <c r="K5024" s="6"/>
      <c r="L5024" s="6"/>
      <c r="M5024" s="6"/>
      <c r="N5024" s="6"/>
      <c r="O5024" s="6"/>
      <c r="P5024" s="6"/>
      <c r="Q5024" s="6"/>
      <c r="R5024" s="6"/>
      <c r="S5024" s="6"/>
      <c r="T5024" s="6"/>
      <c r="U5024" s="6"/>
      <c r="V5024" s="6"/>
      <c r="W5024" s="6"/>
      <c r="X5024" s="6"/>
      <c r="Y5024" s="6"/>
      <c r="Z5024" s="6"/>
      <c r="AA5024" s="6"/>
    </row>
    <row r="5025" ht="14.25">
      <c r="B5025" s="14" t="s">
        <v>33973</v>
      </c>
      <c r="C5025" s="4" t="s">
        <v>33974</v>
      </c>
      <c r="D5025" s="4" t="s">
        <v>33975</v>
      </c>
      <c r="E5025" s="4" t="s">
        <v>33976</v>
      </c>
      <c r="F5025" s="4" t="s">
        <v>33977</v>
      </c>
      <c r="G5025" s="4" t="s">
        <v>33978</v>
      </c>
      <c r="H5025" s="6"/>
      <c r="I5025" s="6"/>
      <c r="J5025" s="6"/>
      <c r="K5025" s="6"/>
      <c r="L5025" s="6"/>
      <c r="M5025" s="6"/>
      <c r="N5025" s="6"/>
      <c r="O5025" s="6"/>
      <c r="P5025" s="6"/>
      <c r="Q5025" s="6"/>
      <c r="R5025" s="6"/>
      <c r="S5025" s="6"/>
      <c r="T5025" s="6"/>
      <c r="U5025" s="6"/>
      <c r="V5025" s="6"/>
      <c r="W5025" s="6"/>
      <c r="X5025" s="6"/>
      <c r="Y5025" s="6"/>
      <c r="Z5025" s="6"/>
      <c r="AA5025" s="6"/>
    </row>
    <row r="5026" ht="14.25">
      <c r="B5026" s="14" t="s">
        <v>33979</v>
      </c>
      <c r="C5026" s="4" t="s">
        <v>33980</v>
      </c>
      <c r="D5026" s="4" t="s">
        <v>33981</v>
      </c>
      <c r="E5026" s="4" t="s">
        <v>33982</v>
      </c>
      <c r="F5026" s="4" t="s">
        <v>32616</v>
      </c>
      <c r="G5026" s="4" t="s">
        <v>33983</v>
      </c>
      <c r="H5026" s="6"/>
      <c r="I5026" s="6"/>
      <c r="J5026" s="6"/>
      <c r="K5026" s="6"/>
      <c r="L5026" s="6"/>
      <c r="M5026" s="6"/>
      <c r="N5026" s="6"/>
      <c r="O5026" s="6"/>
      <c r="P5026" s="6"/>
      <c r="Q5026" s="6"/>
      <c r="R5026" s="6"/>
      <c r="S5026" s="6"/>
      <c r="T5026" s="6"/>
      <c r="U5026" s="6"/>
      <c r="V5026" s="6"/>
      <c r="W5026" s="6"/>
      <c r="X5026" s="6"/>
      <c r="Y5026" s="6"/>
      <c r="Z5026" s="6"/>
      <c r="AA5026" s="6"/>
    </row>
    <row r="5027" ht="14.25">
      <c r="B5027" s="14" t="s">
        <v>33984</v>
      </c>
      <c r="C5027" s="4" t="s">
        <v>33985</v>
      </c>
      <c r="D5027" s="4" t="s">
        <v>33986</v>
      </c>
      <c r="E5027" s="4" t="s">
        <v>33987</v>
      </c>
      <c r="F5027" s="4" t="s">
        <v>17911</v>
      </c>
      <c r="G5027" s="4" t="s">
        <v>33988</v>
      </c>
      <c r="H5027" s="6"/>
      <c r="I5027" s="6"/>
      <c r="J5027" s="6"/>
      <c r="K5027" s="6"/>
      <c r="L5027" s="6"/>
      <c r="M5027" s="6"/>
      <c r="N5027" s="6"/>
      <c r="O5027" s="6"/>
      <c r="P5027" s="6"/>
      <c r="Q5027" s="6"/>
      <c r="R5027" s="6"/>
      <c r="S5027" s="6"/>
      <c r="T5027" s="6"/>
      <c r="U5027" s="6"/>
      <c r="V5027" s="6"/>
      <c r="W5027" s="6"/>
      <c r="X5027" s="6"/>
      <c r="Y5027" s="6"/>
      <c r="Z5027" s="6"/>
      <c r="AA5027" s="6"/>
    </row>
    <row r="5028" ht="14.25">
      <c r="B5028" s="14" t="s">
        <v>33989</v>
      </c>
      <c r="C5028" s="4" t="s">
        <v>33990</v>
      </c>
      <c r="D5028" s="4" t="s">
        <v>33991</v>
      </c>
      <c r="E5028" s="4" t="s">
        <v>33992</v>
      </c>
      <c r="F5028" s="4" t="s">
        <v>1153</v>
      </c>
      <c r="G5028" s="4" t="s">
        <v>33993</v>
      </c>
      <c r="H5028" s="6"/>
      <c r="I5028" s="6"/>
      <c r="J5028" s="6"/>
      <c r="K5028" s="6"/>
      <c r="L5028" s="6"/>
      <c r="M5028" s="6"/>
      <c r="N5028" s="6"/>
      <c r="O5028" s="6"/>
      <c r="P5028" s="6"/>
      <c r="Q5028" s="6"/>
      <c r="R5028" s="6"/>
      <c r="S5028" s="6"/>
      <c r="T5028" s="6"/>
      <c r="U5028" s="6"/>
      <c r="V5028" s="6"/>
      <c r="W5028" s="6"/>
      <c r="X5028" s="6"/>
      <c r="Y5028" s="6"/>
      <c r="Z5028" s="6"/>
      <c r="AA5028" s="6"/>
    </row>
    <row r="5029" ht="14.25">
      <c r="B5029" s="14" t="s">
        <v>33994</v>
      </c>
      <c r="C5029" s="4" t="s">
        <v>33995</v>
      </c>
      <c r="D5029" s="4" t="s">
        <v>33996</v>
      </c>
      <c r="E5029" s="4" t="s">
        <v>33997</v>
      </c>
      <c r="F5029" s="4" t="s">
        <v>32891</v>
      </c>
      <c r="G5029" s="4" t="s">
        <v>33998</v>
      </c>
      <c r="H5029" s="6"/>
      <c r="I5029" s="6"/>
      <c r="J5029" s="6"/>
      <c r="K5029" s="6"/>
      <c r="L5029" s="6"/>
      <c r="M5029" s="6"/>
      <c r="N5029" s="6"/>
      <c r="O5029" s="6"/>
      <c r="P5029" s="6"/>
      <c r="Q5029" s="6"/>
      <c r="R5029" s="6"/>
      <c r="S5029" s="6"/>
      <c r="T5029" s="6"/>
      <c r="U5029" s="6"/>
      <c r="V5029" s="6"/>
      <c r="W5029" s="6"/>
      <c r="X5029" s="6"/>
      <c r="Y5029" s="6"/>
      <c r="Z5029" s="6"/>
      <c r="AA5029" s="6"/>
    </row>
    <row r="5030" ht="14.25">
      <c r="B5030" s="14" t="s">
        <v>33999</v>
      </c>
      <c r="C5030" s="4" t="s">
        <v>34000</v>
      </c>
      <c r="D5030" s="4" t="s">
        <v>34001</v>
      </c>
      <c r="E5030" s="4" t="s">
        <v>34002</v>
      </c>
      <c r="F5030" s="4" t="s">
        <v>4048</v>
      </c>
      <c r="G5030" s="4" t="s">
        <v>34003</v>
      </c>
      <c r="H5030" s="6"/>
      <c r="I5030" s="6"/>
      <c r="J5030" s="6"/>
      <c r="K5030" s="6"/>
      <c r="L5030" s="6"/>
      <c r="M5030" s="6"/>
      <c r="N5030" s="6"/>
      <c r="O5030" s="6"/>
      <c r="P5030" s="6"/>
      <c r="Q5030" s="6"/>
      <c r="R5030" s="6"/>
      <c r="S5030" s="6"/>
      <c r="T5030" s="6"/>
      <c r="U5030" s="6"/>
      <c r="V5030" s="6"/>
      <c r="W5030" s="6"/>
      <c r="X5030" s="6"/>
      <c r="Y5030" s="6"/>
      <c r="Z5030" s="6"/>
      <c r="AA5030" s="6"/>
    </row>
    <row r="5031" ht="14.25">
      <c r="B5031" s="14" t="s">
        <v>34004</v>
      </c>
      <c r="C5031" s="4" t="s">
        <v>34005</v>
      </c>
      <c r="D5031" s="4" t="s">
        <v>34006</v>
      </c>
      <c r="E5031" s="4" t="s">
        <v>34007</v>
      </c>
      <c r="F5031" s="4" t="s">
        <v>485</v>
      </c>
      <c r="G5031" s="4" t="s">
        <v>34008</v>
      </c>
      <c r="H5031" s="6"/>
      <c r="I5031" s="6"/>
      <c r="J5031" s="6"/>
      <c r="K5031" s="6"/>
      <c r="L5031" s="6"/>
      <c r="M5031" s="6"/>
      <c r="N5031" s="6"/>
      <c r="O5031" s="6"/>
      <c r="P5031" s="6"/>
      <c r="Q5031" s="6"/>
      <c r="R5031" s="6"/>
      <c r="S5031" s="6"/>
      <c r="T5031" s="6"/>
      <c r="U5031" s="6"/>
      <c r="V5031" s="6"/>
      <c r="W5031" s="6"/>
      <c r="X5031" s="6"/>
      <c r="Y5031" s="6"/>
      <c r="Z5031" s="6"/>
      <c r="AA5031" s="6"/>
    </row>
    <row r="5032" ht="14.25">
      <c r="B5032" s="14" t="s">
        <v>34004</v>
      </c>
      <c r="C5032" s="4" t="s">
        <v>34005</v>
      </c>
      <c r="D5032" s="4" t="s">
        <v>34009</v>
      </c>
      <c r="E5032" s="4" t="s">
        <v>34007</v>
      </c>
      <c r="F5032" s="4" t="s">
        <v>588</v>
      </c>
      <c r="G5032" s="4" t="s">
        <v>34010</v>
      </c>
      <c r="H5032" s="6"/>
      <c r="I5032" s="6"/>
      <c r="J5032" s="6"/>
      <c r="K5032" s="6"/>
      <c r="L5032" s="6"/>
      <c r="M5032" s="6"/>
      <c r="N5032" s="6"/>
      <c r="O5032" s="6"/>
      <c r="P5032" s="6"/>
      <c r="Q5032" s="6"/>
      <c r="R5032" s="6"/>
      <c r="S5032" s="6"/>
      <c r="T5032" s="6"/>
      <c r="U5032" s="6"/>
      <c r="V5032" s="6"/>
      <c r="W5032" s="6"/>
      <c r="X5032" s="6"/>
      <c r="Y5032" s="6"/>
      <c r="Z5032" s="6"/>
      <c r="AA5032" s="6"/>
    </row>
    <row r="5033" ht="14.25">
      <c r="B5033" s="14" t="s">
        <v>34011</v>
      </c>
      <c r="C5033" s="4" t="s">
        <v>34012</v>
      </c>
      <c r="D5033" s="4" t="s">
        <v>34013</v>
      </c>
      <c r="E5033" s="6"/>
      <c r="F5033" s="4" t="s">
        <v>12452</v>
      </c>
      <c r="G5033" s="4" t="s">
        <v>34014</v>
      </c>
      <c r="H5033" s="6"/>
      <c r="I5033" s="6"/>
      <c r="J5033" s="6"/>
      <c r="K5033" s="6"/>
      <c r="L5033" s="6"/>
      <c r="M5033" s="6"/>
      <c r="N5033" s="6"/>
      <c r="O5033" s="4"/>
      <c r="P5033" s="6"/>
      <c r="Q5033" s="6"/>
      <c r="R5033" s="6"/>
      <c r="S5033" s="6"/>
      <c r="T5033" s="6"/>
      <c r="U5033" s="6"/>
      <c r="V5033" s="6"/>
      <c r="W5033" s="6"/>
      <c r="X5033" s="6"/>
      <c r="Y5033" s="6"/>
      <c r="Z5033" s="6"/>
      <c r="AA5033" s="6"/>
    </row>
    <row r="5034" ht="14.25">
      <c r="B5034" s="14" t="s">
        <v>34015</v>
      </c>
      <c r="C5034" s="4" t="s">
        <v>34016</v>
      </c>
      <c r="D5034" s="4" t="s">
        <v>34017</v>
      </c>
      <c r="E5034" s="4" t="s">
        <v>34018</v>
      </c>
      <c r="F5034" s="4" t="s">
        <v>2348</v>
      </c>
      <c r="G5034" s="4" t="s">
        <v>34019</v>
      </c>
      <c r="H5034" s="6"/>
      <c r="I5034" s="6"/>
      <c r="J5034" s="6"/>
      <c r="K5034" s="6"/>
      <c r="L5034" s="6"/>
      <c r="M5034" s="6"/>
      <c r="N5034" s="6"/>
      <c r="O5034" s="6"/>
      <c r="P5034" s="6"/>
      <c r="Q5034" s="6"/>
      <c r="R5034" s="6"/>
      <c r="S5034" s="6"/>
      <c r="T5034" s="6"/>
      <c r="U5034" s="6"/>
      <c r="V5034" s="6"/>
      <c r="W5034" s="6"/>
      <c r="X5034" s="6"/>
      <c r="Y5034" s="6"/>
      <c r="Z5034" s="6"/>
      <c r="AA5034" s="6"/>
    </row>
    <row r="5035" ht="14.25">
      <c r="B5035" s="14" t="s">
        <v>34015</v>
      </c>
      <c r="C5035" s="4" t="s">
        <v>34016</v>
      </c>
      <c r="D5035" s="4" t="s">
        <v>34020</v>
      </c>
      <c r="E5035" s="4" t="s">
        <v>34018</v>
      </c>
      <c r="F5035" s="4" t="s">
        <v>6356</v>
      </c>
      <c r="G5035" s="4" t="s">
        <v>34021</v>
      </c>
      <c r="H5035" s="6"/>
      <c r="I5035" s="6"/>
      <c r="J5035" s="6"/>
      <c r="K5035" s="6"/>
      <c r="L5035" s="6"/>
      <c r="M5035" s="6"/>
      <c r="N5035" s="6"/>
      <c r="O5035" s="6"/>
      <c r="P5035" s="6"/>
      <c r="Q5035" s="6"/>
      <c r="R5035" s="6"/>
      <c r="S5035" s="6"/>
      <c r="T5035" s="6"/>
      <c r="U5035" s="6"/>
      <c r="V5035" s="6"/>
      <c r="W5035" s="6"/>
      <c r="X5035" s="6"/>
      <c r="Y5035" s="6"/>
      <c r="Z5035" s="6"/>
      <c r="AA5035" s="6"/>
    </row>
    <row r="5036" ht="14.25">
      <c r="B5036" s="14" t="s">
        <v>34015</v>
      </c>
      <c r="C5036" s="4" t="s">
        <v>34022</v>
      </c>
      <c r="D5036" s="4" t="s">
        <v>34023</v>
      </c>
      <c r="E5036" s="4" t="s">
        <v>34024</v>
      </c>
      <c r="F5036" s="4" t="s">
        <v>866</v>
      </c>
      <c r="G5036" s="4" t="s">
        <v>34025</v>
      </c>
      <c r="H5036" s="6"/>
      <c r="I5036" s="6"/>
      <c r="J5036" s="6"/>
      <c r="K5036" s="6"/>
      <c r="L5036" s="6"/>
      <c r="M5036" s="6"/>
      <c r="N5036" s="6"/>
      <c r="O5036" s="6"/>
      <c r="P5036" s="6"/>
      <c r="Q5036" s="6"/>
      <c r="R5036" s="6"/>
      <c r="S5036" s="6"/>
      <c r="T5036" s="6"/>
      <c r="U5036" s="6"/>
      <c r="V5036" s="6"/>
      <c r="W5036" s="6"/>
      <c r="X5036" s="6"/>
      <c r="Y5036" s="6"/>
      <c r="Z5036" s="6"/>
      <c r="AA5036" s="6"/>
    </row>
    <row r="5037" ht="14.25">
      <c r="B5037" s="14" t="s">
        <v>34026</v>
      </c>
      <c r="C5037" s="4" t="s">
        <v>34027</v>
      </c>
      <c r="D5037" s="4" t="s">
        <v>34028</v>
      </c>
      <c r="E5037" s="4" t="s">
        <v>34029</v>
      </c>
      <c r="F5037" s="4" t="s">
        <v>7714</v>
      </c>
      <c r="G5037" s="4" t="s">
        <v>34030</v>
      </c>
      <c r="H5037" s="6"/>
      <c r="I5037" s="6"/>
      <c r="J5037" s="6"/>
      <c r="K5037" s="6"/>
      <c r="L5037" s="6"/>
      <c r="M5037" s="6"/>
      <c r="N5037" s="6"/>
      <c r="O5037" s="6"/>
      <c r="P5037" s="6"/>
      <c r="Q5037" s="6"/>
      <c r="R5037" s="6"/>
      <c r="S5037" s="6"/>
      <c r="T5037" s="6"/>
      <c r="U5037" s="6"/>
      <c r="V5037" s="6"/>
      <c r="W5037" s="6"/>
      <c r="X5037" s="6"/>
      <c r="Y5037" s="6"/>
      <c r="Z5037" s="6"/>
      <c r="AA5037" s="6"/>
    </row>
    <row r="5038" ht="14.25">
      <c r="B5038" s="14" t="s">
        <v>34031</v>
      </c>
      <c r="C5038" s="4" t="s">
        <v>34032</v>
      </c>
      <c r="D5038" s="4" t="s">
        <v>34033</v>
      </c>
      <c r="E5038" s="4" t="s">
        <v>34034</v>
      </c>
      <c r="F5038" s="4" t="s">
        <v>485</v>
      </c>
      <c r="G5038" s="4" t="s">
        <v>34035</v>
      </c>
      <c r="H5038" s="6"/>
      <c r="I5038" s="6"/>
      <c r="J5038" s="6"/>
      <c r="K5038" s="6"/>
      <c r="L5038" s="6"/>
      <c r="M5038" s="6"/>
      <c r="N5038" s="6"/>
      <c r="O5038" s="6"/>
      <c r="P5038" s="6"/>
      <c r="Q5038" s="6"/>
      <c r="R5038" s="6"/>
      <c r="S5038" s="6"/>
      <c r="T5038" s="6"/>
      <c r="U5038" s="6"/>
      <c r="V5038" s="6"/>
      <c r="W5038" s="6"/>
      <c r="X5038" s="6"/>
      <c r="Y5038" s="6"/>
      <c r="Z5038" s="6"/>
      <c r="AA5038" s="6"/>
    </row>
    <row r="5039" ht="14.25">
      <c r="B5039" s="14" t="s">
        <v>34031</v>
      </c>
      <c r="C5039" s="4" t="s">
        <v>34032</v>
      </c>
      <c r="D5039" s="4" t="s">
        <v>34036</v>
      </c>
      <c r="E5039" s="4" t="s">
        <v>34034</v>
      </c>
      <c r="F5039" s="4" t="s">
        <v>785</v>
      </c>
      <c r="G5039" s="4" t="s">
        <v>34037</v>
      </c>
      <c r="H5039" s="6"/>
      <c r="I5039" s="6"/>
      <c r="J5039" s="6"/>
      <c r="K5039" s="6"/>
      <c r="L5039" s="6"/>
      <c r="M5039" s="6"/>
      <c r="N5039" s="6"/>
      <c r="O5039" s="6"/>
      <c r="P5039" s="6"/>
      <c r="Q5039" s="6"/>
      <c r="R5039" s="6"/>
      <c r="S5039" s="6"/>
      <c r="T5039" s="6"/>
      <c r="U5039" s="6"/>
      <c r="V5039" s="6"/>
      <c r="W5039" s="6"/>
      <c r="X5039" s="6"/>
      <c r="Y5039" s="6"/>
      <c r="Z5039" s="6"/>
      <c r="AA5039" s="6"/>
    </row>
    <row r="5040" ht="14.25">
      <c r="B5040" s="14" t="s">
        <v>34038</v>
      </c>
      <c r="C5040" s="4" t="s">
        <v>34039</v>
      </c>
      <c r="D5040" s="4" t="s">
        <v>34040</v>
      </c>
      <c r="E5040" s="4" t="s">
        <v>34041</v>
      </c>
      <c r="F5040" s="4" t="s">
        <v>13300</v>
      </c>
      <c r="G5040" s="4" t="s">
        <v>34042</v>
      </c>
      <c r="H5040" s="6"/>
      <c r="I5040" s="6"/>
      <c r="J5040" s="6"/>
      <c r="K5040" s="6"/>
      <c r="L5040" s="6"/>
      <c r="M5040" s="6"/>
      <c r="N5040" s="6"/>
      <c r="O5040" s="6"/>
      <c r="P5040" s="6"/>
      <c r="Q5040" s="6"/>
      <c r="R5040" s="6"/>
      <c r="S5040" s="6"/>
      <c r="T5040" s="6"/>
      <c r="U5040" s="6"/>
      <c r="V5040" s="6"/>
      <c r="W5040" s="6"/>
      <c r="X5040" s="6"/>
      <c r="Y5040" s="6"/>
      <c r="Z5040" s="6"/>
      <c r="AA5040" s="6"/>
    </row>
    <row r="5041" ht="14.25">
      <c r="B5041" s="14" t="s">
        <v>34043</v>
      </c>
      <c r="C5041" s="4" t="s">
        <v>34044</v>
      </c>
      <c r="D5041" s="4" t="s">
        <v>34045</v>
      </c>
      <c r="E5041" s="6"/>
      <c r="F5041" s="4" t="s">
        <v>808</v>
      </c>
      <c r="G5041" s="4" t="s">
        <v>34046</v>
      </c>
      <c r="H5041" s="6"/>
      <c r="I5041" s="6"/>
      <c r="J5041" s="6"/>
      <c r="K5041" s="6"/>
      <c r="L5041" s="6"/>
      <c r="M5041" s="6"/>
      <c r="N5041" s="6"/>
      <c r="O5041" s="6"/>
      <c r="P5041" s="6"/>
      <c r="Q5041" s="6"/>
      <c r="R5041" s="6"/>
      <c r="S5041" s="6"/>
      <c r="T5041" s="6"/>
      <c r="U5041" s="6"/>
      <c r="V5041" s="6"/>
      <c r="W5041" s="6"/>
      <c r="X5041" s="6"/>
      <c r="Y5041" s="6"/>
      <c r="Z5041" s="6"/>
      <c r="AA5041" s="6"/>
    </row>
    <row r="5042" ht="14.25">
      <c r="B5042" s="14" t="s">
        <v>34043</v>
      </c>
      <c r="C5042" s="4" t="s">
        <v>34047</v>
      </c>
      <c r="D5042" s="4" t="s">
        <v>34048</v>
      </c>
      <c r="E5042" s="4" t="s">
        <v>34049</v>
      </c>
      <c r="F5042" s="4" t="s">
        <v>7525</v>
      </c>
      <c r="G5042" s="4" t="s">
        <v>34050</v>
      </c>
      <c r="H5042" s="6"/>
      <c r="I5042" s="6"/>
      <c r="J5042" s="6"/>
      <c r="K5042" s="6"/>
      <c r="L5042" s="6"/>
      <c r="M5042" s="6"/>
      <c r="N5042" s="6"/>
      <c r="O5042" s="6"/>
      <c r="P5042" s="6"/>
      <c r="Q5042" s="6"/>
      <c r="R5042" s="6"/>
      <c r="S5042" s="6"/>
      <c r="T5042" s="6"/>
      <c r="U5042" s="6"/>
      <c r="V5042" s="6"/>
      <c r="W5042" s="6"/>
      <c r="X5042" s="6"/>
      <c r="Y5042" s="6"/>
      <c r="Z5042" s="6"/>
      <c r="AA5042" s="6"/>
    </row>
    <row r="5043" ht="14.25">
      <c r="B5043" s="14" t="s">
        <v>34051</v>
      </c>
      <c r="C5043" s="4" t="s">
        <v>34052</v>
      </c>
      <c r="D5043" s="4" t="s">
        <v>34053</v>
      </c>
      <c r="E5043" s="4" t="s">
        <v>34054</v>
      </c>
      <c r="F5043" s="4" t="s">
        <v>95</v>
      </c>
      <c r="G5043" s="4" t="s">
        <v>34055</v>
      </c>
      <c r="H5043" s="6"/>
      <c r="I5043" s="6"/>
      <c r="J5043" s="6"/>
      <c r="K5043" s="6"/>
      <c r="L5043" s="6"/>
      <c r="M5043" s="6"/>
      <c r="N5043" s="6"/>
      <c r="O5043" s="6"/>
      <c r="P5043" s="6"/>
      <c r="Q5043" s="6"/>
      <c r="R5043" s="6"/>
      <c r="S5043" s="6"/>
      <c r="T5043" s="6"/>
      <c r="U5043" s="6"/>
      <c r="V5043" s="6"/>
      <c r="W5043" s="6"/>
      <c r="X5043" s="6"/>
      <c r="Y5043" s="6"/>
      <c r="Z5043" s="6"/>
      <c r="AA5043" s="6"/>
    </row>
    <row r="5044" ht="14.25">
      <c r="B5044" s="14" t="s">
        <v>34051</v>
      </c>
      <c r="C5044" s="4" t="s">
        <v>34052</v>
      </c>
      <c r="D5044" s="4" t="s">
        <v>34056</v>
      </c>
      <c r="E5044" s="4" t="s">
        <v>34054</v>
      </c>
      <c r="F5044" s="4" t="s">
        <v>32548</v>
      </c>
      <c r="G5044" s="4" t="s">
        <v>34057</v>
      </c>
      <c r="H5044" s="6"/>
      <c r="I5044" s="6"/>
      <c r="J5044" s="6"/>
      <c r="K5044" s="6"/>
      <c r="L5044" s="6"/>
      <c r="M5044" s="6"/>
      <c r="N5044" s="6"/>
      <c r="O5044" s="6"/>
      <c r="P5044" s="6"/>
      <c r="Q5044" s="6"/>
      <c r="R5044" s="6"/>
      <c r="S5044" s="6"/>
      <c r="T5044" s="6"/>
      <c r="U5044" s="6"/>
      <c r="V5044" s="6"/>
      <c r="W5044" s="6"/>
      <c r="X5044" s="6"/>
      <c r="Y5044" s="6"/>
      <c r="Z5044" s="6"/>
      <c r="AA5044" s="6"/>
    </row>
    <row r="5045" ht="14.25">
      <c r="B5045" s="14" t="s">
        <v>34051</v>
      </c>
      <c r="C5045" s="4" t="s">
        <v>34052</v>
      </c>
      <c r="D5045" s="4" t="s">
        <v>34058</v>
      </c>
      <c r="E5045" s="4" t="s">
        <v>34054</v>
      </c>
      <c r="F5045" s="4" t="s">
        <v>571</v>
      </c>
      <c r="G5045" s="4" t="s">
        <v>34059</v>
      </c>
      <c r="H5045" s="6"/>
      <c r="I5045" s="6"/>
      <c r="J5045" s="6"/>
      <c r="K5045" s="6"/>
      <c r="L5045" s="6"/>
      <c r="M5045" s="6"/>
      <c r="N5045" s="6"/>
      <c r="O5045" s="6"/>
      <c r="P5045" s="6"/>
      <c r="Q5045" s="6"/>
      <c r="R5045" s="6"/>
      <c r="S5045" s="6"/>
      <c r="T5045" s="6"/>
      <c r="U5045" s="6"/>
      <c r="V5045" s="6"/>
      <c r="W5045" s="6"/>
      <c r="X5045" s="6"/>
      <c r="Y5045" s="6"/>
      <c r="Z5045" s="6"/>
      <c r="AA5045" s="6"/>
    </row>
    <row r="5046" ht="14.25">
      <c r="B5046" s="14" t="s">
        <v>34060</v>
      </c>
      <c r="C5046" s="4" t="s">
        <v>34061</v>
      </c>
      <c r="D5046" s="4" t="s">
        <v>34062</v>
      </c>
      <c r="E5046" s="4" t="s">
        <v>34063</v>
      </c>
      <c r="F5046" s="4" t="s">
        <v>32622</v>
      </c>
      <c r="G5046" s="4" t="s">
        <v>34064</v>
      </c>
      <c r="H5046" s="6"/>
      <c r="I5046" s="6"/>
      <c r="J5046" s="6"/>
      <c r="K5046" s="6"/>
      <c r="L5046" s="6"/>
      <c r="M5046" s="6"/>
      <c r="N5046" s="6"/>
      <c r="O5046" s="6"/>
      <c r="P5046" s="6"/>
      <c r="Q5046" s="6"/>
      <c r="R5046" s="6"/>
      <c r="S5046" s="6"/>
      <c r="T5046" s="6"/>
      <c r="U5046" s="6"/>
      <c r="V5046" s="6"/>
      <c r="W5046" s="6"/>
      <c r="X5046" s="6"/>
      <c r="Y5046" s="6"/>
      <c r="Z5046" s="6"/>
      <c r="AA5046" s="6"/>
    </row>
    <row r="5047" ht="14.25">
      <c r="B5047" s="14" t="s">
        <v>34060</v>
      </c>
      <c r="C5047" s="4" t="s">
        <v>34061</v>
      </c>
      <c r="D5047" s="4" t="s">
        <v>34065</v>
      </c>
      <c r="E5047" s="4" t="s">
        <v>34063</v>
      </c>
      <c r="F5047" s="4" t="s">
        <v>32622</v>
      </c>
      <c r="G5047" s="4" t="s">
        <v>34066</v>
      </c>
      <c r="H5047" s="6"/>
      <c r="I5047" s="6"/>
      <c r="J5047" s="6"/>
      <c r="K5047" s="6"/>
      <c r="L5047" s="6"/>
      <c r="M5047" s="6"/>
      <c r="N5047" s="6"/>
      <c r="O5047" s="6"/>
      <c r="P5047" s="6"/>
      <c r="Q5047" s="6"/>
      <c r="R5047" s="6"/>
      <c r="S5047" s="6"/>
      <c r="T5047" s="6"/>
      <c r="U5047" s="6"/>
      <c r="V5047" s="6"/>
      <c r="W5047" s="6"/>
      <c r="X5047" s="6"/>
      <c r="Y5047" s="6"/>
      <c r="Z5047" s="6"/>
      <c r="AA5047" s="6"/>
    </row>
    <row r="5048" ht="14.25">
      <c r="B5048" s="14" t="s">
        <v>34060</v>
      </c>
      <c r="C5048" s="4" t="s">
        <v>34061</v>
      </c>
      <c r="D5048" s="4" t="s">
        <v>34067</v>
      </c>
      <c r="E5048" s="4" t="s">
        <v>34063</v>
      </c>
      <c r="F5048" s="4" t="s">
        <v>485</v>
      </c>
      <c r="G5048" s="4" t="s">
        <v>34068</v>
      </c>
      <c r="H5048" s="6"/>
      <c r="I5048" s="6"/>
      <c r="J5048" s="6"/>
      <c r="K5048" s="6"/>
      <c r="L5048" s="6"/>
      <c r="M5048" s="6"/>
      <c r="N5048" s="6"/>
      <c r="O5048" s="6"/>
      <c r="P5048" s="6"/>
      <c r="Q5048" s="6"/>
      <c r="R5048" s="6"/>
      <c r="S5048" s="6"/>
      <c r="T5048" s="6"/>
      <c r="U5048" s="6"/>
      <c r="V5048" s="6"/>
      <c r="W5048" s="6"/>
      <c r="X5048" s="6"/>
      <c r="Y5048" s="6"/>
      <c r="Z5048" s="6"/>
      <c r="AA5048" s="6"/>
    </row>
    <row r="5049" ht="14.25">
      <c r="B5049" s="14" t="s">
        <v>34060</v>
      </c>
      <c r="C5049" s="4" t="s">
        <v>34061</v>
      </c>
      <c r="D5049" s="4" t="s">
        <v>34069</v>
      </c>
      <c r="E5049" s="4" t="s">
        <v>34063</v>
      </c>
      <c r="F5049" s="4" t="s">
        <v>34070</v>
      </c>
      <c r="G5049" s="4" t="s">
        <v>34071</v>
      </c>
      <c r="H5049" s="6"/>
      <c r="I5049" s="6"/>
      <c r="J5049" s="6"/>
      <c r="K5049" s="6"/>
      <c r="L5049" s="6"/>
      <c r="M5049" s="6"/>
      <c r="N5049" s="6"/>
      <c r="O5049" s="4"/>
      <c r="P5049" s="6"/>
      <c r="Q5049" s="6"/>
      <c r="R5049" s="6"/>
      <c r="S5049" s="6"/>
      <c r="T5049" s="6"/>
      <c r="U5049" s="6"/>
      <c r="V5049" s="6"/>
      <c r="W5049" s="6"/>
      <c r="X5049" s="6"/>
      <c r="Y5049" s="6"/>
      <c r="Z5049" s="6"/>
      <c r="AA5049" s="6"/>
    </row>
    <row r="5050" ht="14.25">
      <c r="B5050" s="14" t="s">
        <v>34060</v>
      </c>
      <c r="C5050" s="4" t="s">
        <v>34061</v>
      </c>
      <c r="D5050" s="4" t="s">
        <v>34072</v>
      </c>
      <c r="E5050" s="4" t="s">
        <v>34063</v>
      </c>
      <c r="F5050" s="4" t="s">
        <v>32891</v>
      </c>
      <c r="G5050" s="4" t="s">
        <v>34073</v>
      </c>
      <c r="H5050" s="6"/>
      <c r="I5050" s="6"/>
      <c r="J5050" s="6"/>
      <c r="K5050" s="6"/>
      <c r="L5050" s="6"/>
      <c r="M5050" s="6"/>
      <c r="N5050" s="6"/>
      <c r="O5050" s="6"/>
      <c r="P5050" s="6"/>
      <c r="Q5050" s="6"/>
      <c r="R5050" s="6"/>
      <c r="S5050" s="6"/>
      <c r="T5050" s="6"/>
      <c r="U5050" s="6"/>
      <c r="V5050" s="6"/>
      <c r="W5050" s="6"/>
      <c r="X5050" s="6"/>
      <c r="Y5050" s="6"/>
      <c r="Z5050" s="6"/>
      <c r="AA5050" s="6"/>
    </row>
    <row r="5051" ht="14.25">
      <c r="B5051" s="14" t="s">
        <v>34060</v>
      </c>
      <c r="C5051" s="4" t="s">
        <v>34074</v>
      </c>
      <c r="D5051" s="4" t="s">
        <v>34075</v>
      </c>
      <c r="E5051" s="4" t="s">
        <v>34076</v>
      </c>
      <c r="F5051" s="4" t="s">
        <v>785</v>
      </c>
      <c r="G5051" s="4" t="s">
        <v>34077</v>
      </c>
      <c r="H5051" s="6"/>
      <c r="I5051" s="6"/>
      <c r="J5051" s="6"/>
      <c r="K5051" s="6"/>
      <c r="L5051" s="6"/>
      <c r="M5051" s="6"/>
      <c r="N5051" s="6"/>
      <c r="O5051" s="6"/>
      <c r="P5051" s="6"/>
      <c r="Q5051" s="6"/>
      <c r="R5051" s="6"/>
      <c r="S5051" s="6"/>
      <c r="T5051" s="6"/>
      <c r="U5051" s="6"/>
      <c r="V5051" s="6"/>
      <c r="W5051" s="6"/>
      <c r="X5051" s="6"/>
      <c r="Y5051" s="6"/>
      <c r="Z5051" s="6"/>
      <c r="AA5051" s="6"/>
    </row>
    <row r="5052" ht="14.25">
      <c r="B5052" s="14" t="s">
        <v>34060</v>
      </c>
      <c r="C5052" s="4" t="s">
        <v>34061</v>
      </c>
      <c r="D5052" s="4" t="s">
        <v>34078</v>
      </c>
      <c r="E5052" s="4" t="s">
        <v>34063</v>
      </c>
      <c r="F5052" s="4" t="s">
        <v>110</v>
      </c>
      <c r="G5052" s="4" t="s">
        <v>34079</v>
      </c>
      <c r="H5052" s="6"/>
      <c r="I5052" s="6"/>
      <c r="J5052" s="6"/>
      <c r="K5052" s="6"/>
      <c r="L5052" s="6"/>
      <c r="M5052" s="6"/>
      <c r="N5052" s="6"/>
      <c r="O5052" s="6"/>
      <c r="P5052" s="6"/>
      <c r="Q5052" s="6"/>
      <c r="R5052" s="6"/>
      <c r="S5052" s="6"/>
      <c r="T5052" s="6"/>
      <c r="U5052" s="6"/>
      <c r="V5052" s="6"/>
      <c r="W5052" s="6"/>
      <c r="X5052" s="6"/>
      <c r="Y5052" s="6"/>
      <c r="Z5052" s="6"/>
      <c r="AA5052" s="6"/>
    </row>
    <row r="5053" ht="14.25">
      <c r="B5053" s="14" t="s">
        <v>34060</v>
      </c>
      <c r="C5053" s="4" t="s">
        <v>34074</v>
      </c>
      <c r="D5053" s="4" t="s">
        <v>34080</v>
      </c>
      <c r="E5053" s="4" t="s">
        <v>34076</v>
      </c>
      <c r="F5053" s="4" t="s">
        <v>955</v>
      </c>
      <c r="G5053" s="4" t="s">
        <v>34081</v>
      </c>
      <c r="H5053" s="6"/>
      <c r="I5053" s="6"/>
      <c r="J5053" s="6"/>
      <c r="K5053" s="6"/>
      <c r="L5053" s="6"/>
      <c r="M5053" s="6"/>
      <c r="N5053" s="6"/>
      <c r="O5053" s="6"/>
      <c r="P5053" s="6"/>
      <c r="Q5053" s="6"/>
      <c r="R5053" s="6"/>
      <c r="S5053" s="6"/>
      <c r="T5053" s="6"/>
      <c r="U5053" s="6"/>
      <c r="V5053" s="6"/>
      <c r="W5053" s="6"/>
      <c r="X5053" s="6"/>
      <c r="Y5053" s="6"/>
      <c r="Z5053" s="6"/>
      <c r="AA5053" s="6"/>
    </row>
    <row r="5054" ht="14.25">
      <c r="B5054" s="14" t="s">
        <v>34082</v>
      </c>
      <c r="C5054" s="4" t="s">
        <v>34083</v>
      </c>
      <c r="D5054" s="4" t="s">
        <v>34084</v>
      </c>
      <c r="E5054" s="6"/>
      <c r="F5054" s="4" t="s">
        <v>21744</v>
      </c>
      <c r="G5054" s="4" t="s">
        <v>34085</v>
      </c>
      <c r="H5054" s="6"/>
      <c r="I5054" s="6"/>
      <c r="J5054" s="6"/>
      <c r="K5054" s="6"/>
      <c r="L5054" s="6"/>
      <c r="M5054" s="6"/>
      <c r="N5054" s="6"/>
      <c r="O5054" s="6"/>
      <c r="P5054" s="6"/>
      <c r="Q5054" s="6"/>
      <c r="R5054" s="6"/>
      <c r="S5054" s="6"/>
      <c r="T5054" s="6"/>
      <c r="U5054" s="6"/>
      <c r="V5054" s="6"/>
      <c r="W5054" s="6"/>
      <c r="X5054" s="6"/>
      <c r="Y5054" s="6"/>
      <c r="Z5054" s="6"/>
      <c r="AA5054" s="6"/>
    </row>
    <row r="5055" ht="14.25">
      <c r="B5055" s="14" t="s">
        <v>34086</v>
      </c>
      <c r="C5055" s="4" t="s">
        <v>34087</v>
      </c>
      <c r="D5055" s="4" t="s">
        <v>34088</v>
      </c>
      <c r="E5055" s="4" t="s">
        <v>34089</v>
      </c>
      <c r="F5055" s="4" t="s">
        <v>1583</v>
      </c>
      <c r="G5055" s="4" t="s">
        <v>34090</v>
      </c>
      <c r="H5055" s="6"/>
      <c r="I5055" s="6"/>
      <c r="J5055" s="6"/>
      <c r="K5055" s="6"/>
      <c r="L5055" s="6"/>
      <c r="M5055" s="6"/>
      <c r="N5055" s="6"/>
      <c r="O5055" s="6"/>
      <c r="P5055" s="6"/>
      <c r="Q5055" s="6"/>
      <c r="R5055" s="6"/>
      <c r="S5055" s="6"/>
      <c r="T5055" s="6"/>
      <c r="U5055" s="6"/>
      <c r="V5055" s="6"/>
      <c r="W5055" s="6"/>
      <c r="X5055" s="6"/>
      <c r="Y5055" s="6"/>
      <c r="Z5055" s="6"/>
      <c r="AA5055" s="6"/>
    </row>
    <row r="5056" ht="14.25">
      <c r="B5056" s="14" t="s">
        <v>34091</v>
      </c>
      <c r="C5056" s="4" t="s">
        <v>34092</v>
      </c>
      <c r="D5056" s="4" t="s">
        <v>34093</v>
      </c>
      <c r="E5056" s="4" t="s">
        <v>34094</v>
      </c>
      <c r="F5056" s="4" t="s">
        <v>21744</v>
      </c>
      <c r="G5056" s="4" t="s">
        <v>32592</v>
      </c>
      <c r="H5056" s="6"/>
      <c r="I5056" s="6"/>
      <c r="J5056" s="6"/>
      <c r="K5056" s="6"/>
      <c r="L5056" s="6"/>
      <c r="M5056" s="6"/>
      <c r="N5056" s="6"/>
      <c r="O5056" s="6"/>
      <c r="P5056" s="6"/>
      <c r="Q5056" s="6"/>
      <c r="R5056" s="6"/>
      <c r="S5056" s="6"/>
      <c r="T5056" s="6"/>
      <c r="U5056" s="6"/>
      <c r="V5056" s="6"/>
      <c r="W5056" s="6"/>
      <c r="X5056" s="6"/>
      <c r="Y5056" s="6"/>
      <c r="Z5056" s="6"/>
      <c r="AA5056" s="6"/>
    </row>
    <row r="5057" ht="14.25">
      <c r="B5057" s="14" t="s">
        <v>34091</v>
      </c>
      <c r="C5057" s="4" t="s">
        <v>34092</v>
      </c>
      <c r="D5057" s="4" t="s">
        <v>34095</v>
      </c>
      <c r="E5057" s="4" t="s">
        <v>34094</v>
      </c>
      <c r="F5057" s="4" t="s">
        <v>2419</v>
      </c>
      <c r="G5057" s="4" t="s">
        <v>34096</v>
      </c>
      <c r="H5057" s="6"/>
      <c r="I5057" s="6"/>
      <c r="J5057" s="6"/>
      <c r="K5057" s="6"/>
      <c r="L5057" s="6"/>
      <c r="M5057" s="6"/>
      <c r="N5057" s="6"/>
      <c r="O5057" s="6"/>
      <c r="P5057" s="6"/>
      <c r="Q5057" s="6"/>
      <c r="R5057" s="6"/>
      <c r="S5057" s="6"/>
      <c r="T5057" s="6"/>
      <c r="U5057" s="6"/>
      <c r="V5057" s="6"/>
      <c r="W5057" s="6"/>
      <c r="X5057" s="6"/>
      <c r="Y5057" s="6"/>
      <c r="Z5057" s="6"/>
      <c r="AA5057" s="6"/>
    </row>
    <row r="5058" ht="14.25">
      <c r="B5058" s="14" t="s">
        <v>34091</v>
      </c>
      <c r="C5058" s="4" t="s">
        <v>34092</v>
      </c>
      <c r="D5058" s="4" t="s">
        <v>34097</v>
      </c>
      <c r="E5058" s="4" t="s">
        <v>34094</v>
      </c>
      <c r="F5058" s="4" t="s">
        <v>12648</v>
      </c>
      <c r="G5058" s="4" t="s">
        <v>34098</v>
      </c>
      <c r="H5058" s="6"/>
      <c r="I5058" s="6"/>
      <c r="J5058" s="6"/>
      <c r="K5058" s="6"/>
      <c r="L5058" s="6"/>
      <c r="M5058" s="6"/>
      <c r="N5058" s="6"/>
      <c r="O5058" s="6"/>
      <c r="P5058" s="6"/>
      <c r="Q5058" s="6"/>
      <c r="R5058" s="6"/>
      <c r="S5058" s="6"/>
      <c r="T5058" s="6"/>
      <c r="U5058" s="6"/>
      <c r="V5058" s="6"/>
      <c r="W5058" s="6"/>
      <c r="X5058" s="6"/>
      <c r="Y5058" s="6"/>
      <c r="Z5058" s="6"/>
      <c r="AA5058" s="6"/>
    </row>
    <row r="5059" ht="14.25">
      <c r="B5059" s="14" t="s">
        <v>34099</v>
      </c>
      <c r="C5059" s="4" t="s">
        <v>34100</v>
      </c>
      <c r="D5059" s="4" t="s">
        <v>34101</v>
      </c>
      <c r="E5059" s="4" t="s">
        <v>34102</v>
      </c>
      <c r="F5059" s="4" t="s">
        <v>110</v>
      </c>
      <c r="G5059" s="4" t="s">
        <v>34103</v>
      </c>
      <c r="H5059" s="6"/>
      <c r="I5059" s="6"/>
      <c r="J5059" s="6"/>
      <c r="K5059" s="6"/>
      <c r="L5059" s="6"/>
      <c r="M5059" s="6"/>
      <c r="N5059" s="6"/>
      <c r="O5059" s="6"/>
      <c r="P5059" s="6"/>
      <c r="Q5059" s="6"/>
      <c r="R5059" s="6"/>
      <c r="S5059" s="6"/>
      <c r="T5059" s="6"/>
      <c r="U5059" s="6"/>
      <c r="V5059" s="6"/>
      <c r="W5059" s="6"/>
      <c r="X5059" s="6"/>
      <c r="Y5059" s="6"/>
      <c r="Z5059" s="6"/>
      <c r="AA5059" s="6"/>
    </row>
    <row r="5060" ht="14.25">
      <c r="B5060" s="14" t="s">
        <v>34099</v>
      </c>
      <c r="C5060" s="4" t="s">
        <v>34100</v>
      </c>
      <c r="D5060" s="4" t="s">
        <v>34104</v>
      </c>
      <c r="E5060" s="4" t="s">
        <v>34102</v>
      </c>
      <c r="F5060" s="4" t="s">
        <v>32548</v>
      </c>
      <c r="G5060" s="4" t="s">
        <v>34105</v>
      </c>
      <c r="H5060" s="6"/>
      <c r="I5060" s="6"/>
      <c r="J5060" s="6"/>
      <c r="K5060" s="6"/>
      <c r="L5060" s="6"/>
      <c r="M5060" s="6"/>
      <c r="N5060" s="6"/>
      <c r="O5060" s="6"/>
      <c r="P5060" s="6"/>
      <c r="Q5060" s="6"/>
      <c r="R5060" s="6"/>
      <c r="S5060" s="6"/>
      <c r="T5060" s="6"/>
      <c r="U5060" s="6"/>
      <c r="V5060" s="6"/>
      <c r="W5060" s="6"/>
      <c r="X5060" s="6"/>
      <c r="Y5060" s="6"/>
      <c r="Z5060" s="6"/>
      <c r="AA5060" s="6"/>
    </row>
    <row r="5061" ht="14.25">
      <c r="B5061" s="14" t="s">
        <v>34106</v>
      </c>
      <c r="C5061" s="4" t="s">
        <v>34107</v>
      </c>
      <c r="D5061" s="4" t="s">
        <v>34108</v>
      </c>
      <c r="E5061" s="4" t="s">
        <v>34109</v>
      </c>
      <c r="F5061" s="4" t="s">
        <v>32622</v>
      </c>
      <c r="G5061" s="4" t="s">
        <v>34110</v>
      </c>
      <c r="H5061" s="6"/>
      <c r="I5061" s="6"/>
      <c r="J5061" s="6"/>
      <c r="K5061" s="6"/>
      <c r="L5061" s="6"/>
      <c r="M5061" s="6"/>
      <c r="N5061" s="6"/>
      <c r="O5061" s="6"/>
      <c r="P5061" s="6"/>
      <c r="Q5061" s="6"/>
      <c r="R5061" s="6"/>
      <c r="S5061" s="6"/>
      <c r="T5061" s="6"/>
      <c r="U5061" s="6"/>
      <c r="V5061" s="6"/>
      <c r="W5061" s="6"/>
      <c r="X5061" s="6"/>
      <c r="Y5061" s="6"/>
      <c r="Z5061" s="6"/>
      <c r="AA5061" s="6"/>
    </row>
    <row r="5062" ht="14.25">
      <c r="B5062" s="14" t="s">
        <v>34106</v>
      </c>
      <c r="C5062" s="4" t="s">
        <v>34107</v>
      </c>
      <c r="D5062" s="4" t="s">
        <v>34111</v>
      </c>
      <c r="E5062" s="4" t="s">
        <v>34109</v>
      </c>
      <c r="F5062" s="4" t="s">
        <v>34112</v>
      </c>
      <c r="G5062" s="4" t="s">
        <v>34113</v>
      </c>
      <c r="H5062" s="6"/>
      <c r="I5062" s="6"/>
      <c r="J5062" s="6"/>
      <c r="K5062" s="6"/>
      <c r="L5062" s="6"/>
      <c r="M5062" s="6"/>
      <c r="N5062" s="6"/>
      <c r="O5062" s="6"/>
      <c r="P5062" s="6"/>
      <c r="Q5062" s="6"/>
      <c r="R5062" s="6"/>
      <c r="S5062" s="6"/>
      <c r="T5062" s="6"/>
      <c r="U5062" s="6"/>
      <c r="V5062" s="6"/>
      <c r="W5062" s="6"/>
      <c r="X5062" s="6"/>
      <c r="Y5062" s="6"/>
      <c r="Z5062" s="6"/>
      <c r="AA5062" s="6"/>
    </row>
    <row r="5063" ht="14.25">
      <c r="B5063" s="14" t="s">
        <v>34114</v>
      </c>
      <c r="C5063" s="4" t="s">
        <v>34115</v>
      </c>
      <c r="D5063" s="4" t="s">
        <v>34116</v>
      </c>
      <c r="E5063" s="6"/>
      <c r="F5063" s="4" t="s">
        <v>7525</v>
      </c>
      <c r="G5063" s="4" t="s">
        <v>34117</v>
      </c>
      <c r="H5063" s="6"/>
      <c r="I5063" s="6"/>
      <c r="J5063" s="6"/>
      <c r="K5063" s="6"/>
      <c r="L5063" s="6"/>
      <c r="M5063" s="6"/>
      <c r="N5063" s="6"/>
      <c r="O5063" s="6"/>
      <c r="P5063" s="6"/>
      <c r="Q5063" s="6"/>
      <c r="R5063" s="6"/>
      <c r="S5063" s="6"/>
      <c r="T5063" s="6"/>
      <c r="U5063" s="6"/>
      <c r="V5063" s="6"/>
      <c r="W5063" s="6"/>
      <c r="X5063" s="6"/>
      <c r="Y5063" s="6"/>
      <c r="Z5063" s="6"/>
      <c r="AA5063" s="6"/>
    </row>
    <row r="5064" ht="14.25">
      <c r="B5064" s="14" t="s">
        <v>34118</v>
      </c>
      <c r="C5064" s="4" t="s">
        <v>34119</v>
      </c>
      <c r="D5064" s="4" t="s">
        <v>34120</v>
      </c>
      <c r="E5064" s="4" t="s">
        <v>34121</v>
      </c>
      <c r="F5064" s="4" t="s">
        <v>32831</v>
      </c>
      <c r="G5064" s="4" t="s">
        <v>34122</v>
      </c>
      <c r="H5064" s="6"/>
      <c r="I5064" s="6"/>
      <c r="J5064" s="6"/>
      <c r="K5064" s="6"/>
      <c r="L5064" s="6"/>
      <c r="M5064" s="6"/>
      <c r="N5064" s="6"/>
      <c r="O5064" s="6"/>
      <c r="P5064" s="6"/>
      <c r="Q5064" s="6"/>
      <c r="R5064" s="6"/>
      <c r="S5064" s="6"/>
      <c r="T5064" s="6"/>
      <c r="U5064" s="6"/>
      <c r="V5064" s="6"/>
      <c r="W5064" s="6"/>
      <c r="X5064" s="6"/>
      <c r="Y5064" s="6"/>
      <c r="Z5064" s="6"/>
      <c r="AA5064" s="6"/>
    </row>
    <row r="5065" ht="14.25">
      <c r="B5065" s="14" t="s">
        <v>34118</v>
      </c>
      <c r="C5065" s="4" t="s">
        <v>34123</v>
      </c>
      <c r="D5065" s="4" t="s">
        <v>34124</v>
      </c>
      <c r="E5065" s="4" t="s">
        <v>34125</v>
      </c>
      <c r="F5065" s="4" t="s">
        <v>1215</v>
      </c>
      <c r="G5065" s="4" t="s">
        <v>33302</v>
      </c>
      <c r="H5065" s="6"/>
      <c r="I5065" s="6"/>
      <c r="J5065" s="6"/>
      <c r="K5065" s="6"/>
      <c r="L5065" s="6"/>
      <c r="M5065" s="6"/>
      <c r="N5065" s="6"/>
      <c r="O5065" s="6"/>
      <c r="P5065" s="6"/>
      <c r="Q5065" s="6"/>
      <c r="R5065" s="6"/>
      <c r="S5065" s="6"/>
      <c r="T5065" s="6"/>
      <c r="U5065" s="6"/>
      <c r="V5065" s="6"/>
      <c r="W5065" s="6"/>
      <c r="X5065" s="6"/>
      <c r="Y5065" s="6"/>
      <c r="Z5065" s="6"/>
      <c r="AA5065" s="6"/>
    </row>
    <row r="5066" ht="14.25">
      <c r="B5066" s="14" t="s">
        <v>34118</v>
      </c>
      <c r="C5066" s="4" t="s">
        <v>34126</v>
      </c>
      <c r="D5066" s="4" t="s">
        <v>34127</v>
      </c>
      <c r="E5066" s="4" t="s">
        <v>34128</v>
      </c>
      <c r="F5066" s="4" t="s">
        <v>33644</v>
      </c>
      <c r="G5066" s="4" t="s">
        <v>34129</v>
      </c>
      <c r="H5066" s="6"/>
      <c r="I5066" s="6"/>
      <c r="J5066" s="6"/>
      <c r="K5066" s="6"/>
      <c r="L5066" s="6"/>
      <c r="M5066" s="6"/>
      <c r="N5066" s="6"/>
      <c r="O5066" s="6"/>
      <c r="P5066" s="6"/>
      <c r="Q5066" s="6"/>
      <c r="R5066" s="6"/>
      <c r="S5066" s="6"/>
      <c r="T5066" s="6"/>
      <c r="U5066" s="6"/>
      <c r="V5066" s="6"/>
      <c r="W5066" s="6"/>
      <c r="X5066" s="6"/>
      <c r="Y5066" s="6"/>
      <c r="Z5066" s="6"/>
      <c r="AA5066" s="6"/>
    </row>
    <row r="5067" ht="14.25">
      <c r="B5067" s="14" t="s">
        <v>34130</v>
      </c>
      <c r="C5067" s="4" t="s">
        <v>34131</v>
      </c>
      <c r="D5067" s="4" t="s">
        <v>34132</v>
      </c>
      <c r="E5067" s="4" t="s">
        <v>34133</v>
      </c>
      <c r="F5067" s="4" t="s">
        <v>32563</v>
      </c>
      <c r="G5067" s="4" t="s">
        <v>34134</v>
      </c>
      <c r="H5067" s="6"/>
      <c r="I5067" s="6"/>
      <c r="J5067" s="6"/>
      <c r="K5067" s="6"/>
      <c r="L5067" s="6"/>
      <c r="M5067" s="6"/>
      <c r="N5067" s="6"/>
      <c r="O5067" s="6"/>
      <c r="P5067" s="6"/>
      <c r="Q5067" s="6"/>
      <c r="R5067" s="6"/>
      <c r="S5067" s="6"/>
      <c r="T5067" s="6"/>
      <c r="U5067" s="6"/>
      <c r="V5067" s="6"/>
      <c r="W5067" s="6"/>
      <c r="X5067" s="6"/>
      <c r="Y5067" s="6"/>
      <c r="Z5067" s="6"/>
      <c r="AA5067" s="6"/>
    </row>
    <row r="5068" ht="14.25">
      <c r="B5068" s="14" t="s">
        <v>34130</v>
      </c>
      <c r="C5068" s="4" t="s">
        <v>34135</v>
      </c>
      <c r="D5068" s="4" t="s">
        <v>34136</v>
      </c>
      <c r="E5068" s="4" t="s">
        <v>34137</v>
      </c>
      <c r="F5068" s="4" t="s">
        <v>2119</v>
      </c>
      <c r="G5068" s="4" t="s">
        <v>34138</v>
      </c>
      <c r="H5068" s="6"/>
      <c r="I5068" s="6"/>
      <c r="J5068" s="6"/>
      <c r="K5068" s="6"/>
      <c r="L5068" s="6"/>
      <c r="M5068" s="6"/>
      <c r="N5068" s="6"/>
      <c r="O5068" s="6"/>
      <c r="P5068" s="6"/>
      <c r="Q5068" s="6"/>
      <c r="R5068" s="6"/>
      <c r="S5068" s="6"/>
      <c r="T5068" s="6"/>
      <c r="U5068" s="6"/>
      <c r="V5068" s="6"/>
      <c r="W5068" s="6"/>
      <c r="X5068" s="6"/>
      <c r="Y5068" s="6"/>
      <c r="Z5068" s="6"/>
      <c r="AA5068" s="6"/>
    </row>
    <row r="5069" ht="14.25">
      <c r="B5069" s="14" t="s">
        <v>34130</v>
      </c>
      <c r="C5069" s="4" t="s">
        <v>34131</v>
      </c>
      <c r="D5069" s="4" t="s">
        <v>34139</v>
      </c>
      <c r="E5069" s="4" t="s">
        <v>34133</v>
      </c>
      <c r="F5069" s="4" t="s">
        <v>32958</v>
      </c>
      <c r="G5069" s="4" t="s">
        <v>34140</v>
      </c>
      <c r="H5069" s="6"/>
      <c r="I5069" s="6"/>
      <c r="J5069" s="6"/>
      <c r="K5069" s="6"/>
      <c r="L5069" s="6"/>
      <c r="M5069" s="6"/>
      <c r="N5069" s="6"/>
      <c r="O5069" s="6"/>
      <c r="P5069" s="6"/>
      <c r="Q5069" s="6"/>
      <c r="R5069" s="6"/>
      <c r="S5069" s="6"/>
      <c r="T5069" s="6"/>
      <c r="U5069" s="6"/>
      <c r="V5069" s="6"/>
      <c r="W5069" s="6"/>
      <c r="X5069" s="6"/>
      <c r="Y5069" s="6"/>
      <c r="Z5069" s="6"/>
      <c r="AA5069" s="6"/>
    </row>
    <row r="5070" ht="14.25">
      <c r="B5070" s="14" t="s">
        <v>34130</v>
      </c>
      <c r="C5070" s="4" t="s">
        <v>34131</v>
      </c>
      <c r="D5070" s="4" t="s">
        <v>34141</v>
      </c>
      <c r="E5070" s="4" t="s">
        <v>34133</v>
      </c>
      <c r="F5070" s="4" t="s">
        <v>32787</v>
      </c>
      <c r="G5070" s="4" t="s">
        <v>34142</v>
      </c>
      <c r="H5070" s="6"/>
      <c r="I5070" s="6"/>
      <c r="J5070" s="6"/>
      <c r="K5070" s="6"/>
      <c r="L5070" s="6"/>
      <c r="M5070" s="6"/>
      <c r="N5070" s="6"/>
      <c r="O5070" s="6"/>
      <c r="P5070" s="6"/>
      <c r="Q5070" s="6"/>
      <c r="R5070" s="6"/>
      <c r="S5070" s="6"/>
      <c r="T5070" s="6"/>
      <c r="U5070" s="6"/>
      <c r="V5070" s="6"/>
      <c r="W5070" s="6"/>
      <c r="X5070" s="6"/>
      <c r="Y5070" s="6"/>
      <c r="Z5070" s="6"/>
      <c r="AA5070" s="6"/>
    </row>
    <row r="5071" ht="14.25">
      <c r="B5071" s="14" t="s">
        <v>34143</v>
      </c>
      <c r="C5071" s="4" t="s">
        <v>34144</v>
      </c>
      <c r="D5071" s="4" t="s">
        <v>34145</v>
      </c>
      <c r="E5071" s="4" t="s">
        <v>34146</v>
      </c>
      <c r="F5071" s="4" t="s">
        <v>630</v>
      </c>
      <c r="G5071" s="4" t="s">
        <v>34147</v>
      </c>
      <c r="H5071" s="6"/>
      <c r="I5071" s="6"/>
      <c r="J5071" s="6"/>
      <c r="K5071" s="6"/>
      <c r="L5071" s="6"/>
      <c r="M5071" s="6"/>
      <c r="N5071" s="6"/>
      <c r="O5071" s="6"/>
      <c r="P5071" s="6"/>
      <c r="Q5071" s="6"/>
      <c r="R5071" s="6"/>
      <c r="S5071" s="6"/>
      <c r="T5071" s="6"/>
      <c r="U5071" s="6"/>
      <c r="V5071" s="6"/>
      <c r="W5071" s="6"/>
      <c r="X5071" s="6"/>
      <c r="Y5071" s="6"/>
      <c r="Z5071" s="6"/>
      <c r="AA5071" s="6"/>
    </row>
    <row r="5072" ht="14.25">
      <c r="B5072" s="14" t="s">
        <v>34143</v>
      </c>
      <c r="C5072" s="4" t="s">
        <v>34144</v>
      </c>
      <c r="D5072" s="4" t="s">
        <v>34148</v>
      </c>
      <c r="E5072" s="4" t="s">
        <v>34146</v>
      </c>
      <c r="F5072" s="4" t="s">
        <v>33217</v>
      </c>
      <c r="G5072" s="4" t="s">
        <v>32898</v>
      </c>
      <c r="H5072" s="6"/>
      <c r="I5072" s="6"/>
      <c r="J5072" s="6"/>
      <c r="K5072" s="6"/>
      <c r="L5072" s="6"/>
      <c r="M5072" s="6"/>
      <c r="N5072" s="6"/>
      <c r="O5072" s="6"/>
      <c r="P5072" s="6"/>
      <c r="Q5072" s="6"/>
      <c r="R5072" s="6"/>
      <c r="S5072" s="6"/>
      <c r="T5072" s="6"/>
      <c r="U5072" s="6"/>
      <c r="V5072" s="6"/>
      <c r="W5072" s="6"/>
      <c r="X5072" s="6"/>
      <c r="Y5072" s="6"/>
      <c r="Z5072" s="6"/>
      <c r="AA5072" s="6"/>
    </row>
    <row r="5073" ht="14.25">
      <c r="B5073" s="14" t="s">
        <v>34143</v>
      </c>
      <c r="C5073" s="4" t="s">
        <v>34149</v>
      </c>
      <c r="D5073" s="4" t="s">
        <v>34150</v>
      </c>
      <c r="E5073" s="4" t="s">
        <v>34151</v>
      </c>
      <c r="F5073" s="4" t="s">
        <v>604</v>
      </c>
      <c r="G5073" s="4" t="s">
        <v>34152</v>
      </c>
      <c r="H5073" s="6"/>
      <c r="I5073" s="6"/>
      <c r="J5073" s="6"/>
      <c r="K5073" s="6"/>
      <c r="L5073" s="6"/>
      <c r="M5073" s="6"/>
      <c r="N5073" s="6"/>
      <c r="O5073" s="6"/>
      <c r="P5073" s="6"/>
      <c r="Q5073" s="6"/>
      <c r="R5073" s="6"/>
      <c r="S5073" s="6"/>
      <c r="T5073" s="6"/>
      <c r="U5073" s="6"/>
      <c r="V5073" s="6"/>
      <c r="W5073" s="6"/>
      <c r="X5073" s="6"/>
      <c r="Y5073" s="6"/>
      <c r="Z5073" s="6"/>
      <c r="AA5073" s="6"/>
    </row>
    <row r="5074" ht="14.25">
      <c r="B5074" s="14" t="s">
        <v>34143</v>
      </c>
      <c r="C5074" s="4" t="s">
        <v>34149</v>
      </c>
      <c r="D5074" s="4" t="s">
        <v>34153</v>
      </c>
      <c r="E5074" s="4" t="s">
        <v>34151</v>
      </c>
      <c r="F5074" s="4" t="s">
        <v>1861</v>
      </c>
      <c r="G5074" s="4" t="s">
        <v>32551</v>
      </c>
      <c r="H5074" s="6"/>
      <c r="I5074" s="6"/>
      <c r="J5074" s="6"/>
      <c r="K5074" s="6"/>
      <c r="L5074" s="6"/>
      <c r="M5074" s="6"/>
      <c r="N5074" s="6"/>
      <c r="O5074" s="6"/>
      <c r="P5074" s="6"/>
      <c r="Q5074" s="6"/>
      <c r="R5074" s="6"/>
      <c r="S5074" s="6"/>
      <c r="T5074" s="6"/>
      <c r="U5074" s="6"/>
      <c r="V5074" s="6"/>
      <c r="W5074" s="6"/>
      <c r="X5074" s="6"/>
      <c r="Y5074" s="6"/>
      <c r="Z5074" s="6"/>
      <c r="AA5074" s="6"/>
    </row>
    <row r="5075" ht="14.25">
      <c r="B5075" s="14" t="s">
        <v>34143</v>
      </c>
      <c r="C5075" s="4" t="s">
        <v>34154</v>
      </c>
      <c r="D5075" s="4" t="s">
        <v>34155</v>
      </c>
      <c r="E5075" s="4" t="s">
        <v>34156</v>
      </c>
      <c r="F5075" s="4" t="s">
        <v>955</v>
      </c>
      <c r="G5075" s="4" t="s">
        <v>34157</v>
      </c>
      <c r="H5075" s="6"/>
      <c r="I5075" s="6"/>
      <c r="J5075" s="6"/>
      <c r="K5075" s="6"/>
      <c r="L5075" s="6"/>
      <c r="M5075" s="6"/>
      <c r="N5075" s="6"/>
      <c r="O5075" s="6"/>
      <c r="P5075" s="6"/>
      <c r="Q5075" s="6"/>
      <c r="R5075" s="6"/>
      <c r="S5075" s="6"/>
      <c r="T5075" s="6"/>
      <c r="U5075" s="6"/>
      <c r="V5075" s="6"/>
      <c r="W5075" s="6"/>
      <c r="X5075" s="6"/>
      <c r="Y5075" s="6"/>
      <c r="Z5075" s="6"/>
      <c r="AA5075" s="6"/>
    </row>
    <row r="5076" ht="14.25">
      <c r="B5076" s="14" t="s">
        <v>34158</v>
      </c>
      <c r="C5076" s="4" t="s">
        <v>34159</v>
      </c>
      <c r="D5076" s="4" t="s">
        <v>34160</v>
      </c>
      <c r="E5076" s="4" t="s">
        <v>34161</v>
      </c>
      <c r="F5076" s="4" t="s">
        <v>6788</v>
      </c>
      <c r="G5076" s="4" t="s">
        <v>34162</v>
      </c>
      <c r="H5076" s="6"/>
      <c r="I5076" s="6"/>
      <c r="J5076" s="6"/>
      <c r="K5076" s="6"/>
      <c r="L5076" s="6"/>
      <c r="M5076" s="6"/>
      <c r="N5076" s="6"/>
      <c r="O5076" s="6"/>
      <c r="P5076" s="6"/>
      <c r="Q5076" s="6"/>
      <c r="R5076" s="6"/>
      <c r="S5076" s="6"/>
      <c r="T5076" s="6"/>
      <c r="U5076" s="6"/>
      <c r="V5076" s="6"/>
      <c r="W5076" s="6"/>
      <c r="X5076" s="6"/>
      <c r="Y5076" s="6"/>
      <c r="Z5076" s="6"/>
      <c r="AA5076" s="6"/>
    </row>
    <row r="5077" ht="14.25">
      <c r="B5077" s="14" t="s">
        <v>34158</v>
      </c>
      <c r="C5077" s="4" t="s">
        <v>34159</v>
      </c>
      <c r="D5077" s="4" t="s">
        <v>34163</v>
      </c>
      <c r="E5077" s="4" t="s">
        <v>34161</v>
      </c>
      <c r="F5077" s="4" t="s">
        <v>2419</v>
      </c>
      <c r="G5077" s="4" t="s">
        <v>34164</v>
      </c>
      <c r="H5077" s="6"/>
      <c r="I5077" s="6"/>
      <c r="J5077" s="6"/>
      <c r="K5077" s="6"/>
      <c r="L5077" s="6"/>
      <c r="M5077" s="6"/>
      <c r="N5077" s="6"/>
      <c r="O5077" s="6"/>
      <c r="P5077" s="6"/>
      <c r="Q5077" s="6"/>
      <c r="R5077" s="6"/>
      <c r="S5077" s="6"/>
      <c r="T5077" s="6"/>
      <c r="U5077" s="6"/>
      <c r="V5077" s="6"/>
      <c r="W5077" s="6"/>
      <c r="X5077" s="6"/>
      <c r="Y5077" s="6"/>
      <c r="Z5077" s="6"/>
      <c r="AA5077" s="6"/>
    </row>
    <row r="5078" ht="14.25">
      <c r="B5078" s="14" t="s">
        <v>34165</v>
      </c>
      <c r="C5078" s="4" t="s">
        <v>34166</v>
      </c>
      <c r="D5078" s="4" t="s">
        <v>34167</v>
      </c>
      <c r="E5078" s="4" t="s">
        <v>34168</v>
      </c>
      <c r="F5078" s="4" t="s">
        <v>222</v>
      </c>
      <c r="G5078" s="4" t="s">
        <v>34169</v>
      </c>
      <c r="H5078" s="6"/>
      <c r="I5078" s="6"/>
      <c r="J5078" s="6"/>
      <c r="K5078" s="6"/>
      <c r="L5078" s="6"/>
      <c r="M5078" s="6"/>
      <c r="N5078" s="6"/>
      <c r="O5078" s="6"/>
      <c r="P5078" s="6"/>
      <c r="Q5078" s="6"/>
      <c r="R5078" s="6"/>
      <c r="S5078" s="6"/>
      <c r="T5078" s="6"/>
      <c r="U5078" s="6"/>
      <c r="V5078" s="6"/>
      <c r="W5078" s="6"/>
      <c r="X5078" s="6"/>
      <c r="Y5078" s="6"/>
      <c r="Z5078" s="6"/>
      <c r="AA5078" s="6"/>
    </row>
    <row r="5079" ht="14.25">
      <c r="B5079" s="14" t="s">
        <v>34170</v>
      </c>
      <c r="C5079" s="4" t="s">
        <v>34171</v>
      </c>
      <c r="D5079" s="4" t="s">
        <v>34172</v>
      </c>
      <c r="E5079" s="4" t="s">
        <v>34173</v>
      </c>
      <c r="F5079" s="4" t="s">
        <v>34174</v>
      </c>
      <c r="G5079" s="4" t="s">
        <v>34169</v>
      </c>
      <c r="H5079" s="6"/>
      <c r="I5079" s="6"/>
      <c r="J5079" s="6"/>
      <c r="K5079" s="6"/>
      <c r="L5079" s="6"/>
      <c r="M5079" s="6"/>
      <c r="N5079" s="6"/>
      <c r="O5079" s="6"/>
      <c r="P5079" s="6"/>
      <c r="Q5079" s="6"/>
      <c r="R5079" s="6"/>
      <c r="S5079" s="6"/>
      <c r="T5079" s="6"/>
      <c r="U5079" s="6"/>
      <c r="V5079" s="6"/>
      <c r="W5079" s="6"/>
      <c r="X5079" s="6"/>
      <c r="Y5079" s="6"/>
      <c r="Z5079" s="6"/>
      <c r="AA5079" s="6"/>
    </row>
    <row r="5080" ht="14.25">
      <c r="B5080" s="14" t="s">
        <v>34170</v>
      </c>
      <c r="C5080" s="4" t="s">
        <v>34171</v>
      </c>
      <c r="D5080" s="4" t="s">
        <v>34175</v>
      </c>
      <c r="E5080" s="4" t="s">
        <v>34173</v>
      </c>
      <c r="F5080" s="4" t="s">
        <v>222</v>
      </c>
      <c r="G5080" s="4" t="s">
        <v>34176</v>
      </c>
      <c r="H5080" s="6"/>
      <c r="I5080" s="6"/>
      <c r="J5080" s="6"/>
      <c r="K5080" s="6"/>
      <c r="L5080" s="6"/>
      <c r="M5080" s="6"/>
      <c r="N5080" s="6"/>
      <c r="O5080" s="6"/>
      <c r="P5080" s="6"/>
      <c r="Q5080" s="6"/>
      <c r="R5080" s="6"/>
      <c r="S5080" s="6"/>
      <c r="T5080" s="6"/>
      <c r="U5080" s="6"/>
      <c r="V5080" s="6"/>
      <c r="W5080" s="6"/>
      <c r="X5080" s="6"/>
      <c r="Y5080" s="6"/>
      <c r="Z5080" s="6"/>
      <c r="AA5080" s="6"/>
    </row>
    <row r="5081" ht="14.25">
      <c r="B5081" s="14" t="s">
        <v>34177</v>
      </c>
      <c r="C5081" s="4" t="s">
        <v>34178</v>
      </c>
      <c r="D5081" s="4" t="s">
        <v>34179</v>
      </c>
      <c r="E5081" s="4" t="s">
        <v>34180</v>
      </c>
      <c r="F5081" s="4" t="s">
        <v>6923</v>
      </c>
      <c r="G5081" s="4" t="s">
        <v>34181</v>
      </c>
      <c r="H5081" s="6"/>
      <c r="I5081" s="6"/>
      <c r="J5081" s="6"/>
      <c r="K5081" s="6"/>
      <c r="L5081" s="6"/>
      <c r="M5081" s="6"/>
      <c r="N5081" s="6"/>
      <c r="O5081" s="6"/>
      <c r="P5081" s="6"/>
      <c r="Q5081" s="6"/>
      <c r="R5081" s="6"/>
      <c r="S5081" s="6"/>
      <c r="T5081" s="6"/>
      <c r="U5081" s="6"/>
      <c r="V5081" s="6"/>
      <c r="W5081" s="6"/>
      <c r="X5081" s="6"/>
      <c r="Y5081" s="6"/>
      <c r="Z5081" s="6"/>
      <c r="AA5081" s="6"/>
    </row>
    <row r="5082" ht="14.25">
      <c r="B5082" s="14" t="s">
        <v>34177</v>
      </c>
      <c r="C5082" s="4" t="s">
        <v>34178</v>
      </c>
      <c r="D5082" s="4" t="s">
        <v>34182</v>
      </c>
      <c r="E5082" s="4" t="s">
        <v>34180</v>
      </c>
      <c r="F5082" s="4" t="s">
        <v>653</v>
      </c>
      <c r="G5082" s="4" t="s">
        <v>33043</v>
      </c>
      <c r="H5082" s="6"/>
      <c r="I5082" s="6"/>
      <c r="J5082" s="6"/>
      <c r="K5082" s="6"/>
      <c r="L5082" s="6"/>
      <c r="M5082" s="6"/>
      <c r="N5082" s="6"/>
      <c r="O5082" s="6"/>
      <c r="P5082" s="6"/>
      <c r="Q5082" s="6"/>
      <c r="R5082" s="6"/>
      <c r="S5082" s="6"/>
      <c r="T5082" s="6"/>
      <c r="U5082" s="6"/>
      <c r="V5082" s="6"/>
      <c r="W5082" s="6"/>
      <c r="X5082" s="6"/>
      <c r="Y5082" s="6"/>
      <c r="Z5082" s="6"/>
      <c r="AA5082" s="6"/>
    </row>
    <row r="5083" ht="14.25">
      <c r="B5083" s="14" t="s">
        <v>34183</v>
      </c>
      <c r="C5083" s="4" t="s">
        <v>34184</v>
      </c>
      <c r="D5083" s="4" t="s">
        <v>34185</v>
      </c>
      <c r="E5083" s="4" t="s">
        <v>34186</v>
      </c>
      <c r="F5083" s="4" t="s">
        <v>34187</v>
      </c>
      <c r="G5083" s="4" t="s">
        <v>34188</v>
      </c>
      <c r="H5083" s="6"/>
      <c r="I5083" s="6"/>
      <c r="J5083" s="6"/>
      <c r="K5083" s="6"/>
      <c r="L5083" s="6"/>
      <c r="M5083" s="6"/>
      <c r="N5083" s="6"/>
      <c r="O5083" s="6"/>
      <c r="P5083" s="6"/>
      <c r="Q5083" s="6"/>
      <c r="R5083" s="6"/>
      <c r="S5083" s="6"/>
      <c r="T5083" s="6"/>
      <c r="U5083" s="6"/>
      <c r="V5083" s="6"/>
      <c r="W5083" s="6"/>
      <c r="X5083" s="6"/>
      <c r="Y5083" s="6"/>
      <c r="Z5083" s="6"/>
      <c r="AA5083" s="6"/>
    </row>
    <row r="5084" ht="14.25">
      <c r="B5084" s="14" t="s">
        <v>34189</v>
      </c>
      <c r="C5084" s="4" t="s">
        <v>34190</v>
      </c>
      <c r="D5084" s="4" t="s">
        <v>34191</v>
      </c>
      <c r="E5084" s="4" t="s">
        <v>34192</v>
      </c>
      <c r="F5084" s="4" t="s">
        <v>34193</v>
      </c>
      <c r="G5084" s="4" t="s">
        <v>34194</v>
      </c>
      <c r="H5084" s="6"/>
      <c r="I5084" s="6"/>
      <c r="J5084" s="6"/>
      <c r="K5084" s="6"/>
      <c r="L5084" s="6"/>
      <c r="M5084" s="6"/>
      <c r="N5084" s="6"/>
      <c r="O5084" s="6"/>
      <c r="P5084" s="6"/>
      <c r="Q5084" s="6"/>
      <c r="R5084" s="6"/>
      <c r="S5084" s="6"/>
      <c r="T5084" s="6"/>
      <c r="U5084" s="6"/>
      <c r="V5084" s="6"/>
      <c r="W5084" s="6"/>
      <c r="X5084" s="6"/>
      <c r="Y5084" s="6"/>
      <c r="Z5084" s="6"/>
      <c r="AA5084" s="6"/>
    </row>
    <row r="5085" ht="14.25">
      <c r="B5085" s="14" t="s">
        <v>34195</v>
      </c>
      <c r="C5085" s="4" t="s">
        <v>34196</v>
      </c>
      <c r="D5085" s="4" t="s">
        <v>34197</v>
      </c>
      <c r="E5085" s="4" t="s">
        <v>34198</v>
      </c>
      <c r="F5085" s="4" t="s">
        <v>817</v>
      </c>
      <c r="G5085" s="4" t="s">
        <v>34199</v>
      </c>
      <c r="H5085" s="6"/>
      <c r="I5085" s="6"/>
      <c r="J5085" s="6"/>
      <c r="K5085" s="6"/>
      <c r="L5085" s="6"/>
      <c r="M5085" s="6"/>
      <c r="N5085" s="6"/>
      <c r="O5085" s="6"/>
      <c r="P5085" s="6"/>
      <c r="Q5085" s="6"/>
      <c r="R5085" s="6"/>
      <c r="S5085" s="6"/>
      <c r="T5085" s="6"/>
      <c r="U5085" s="6"/>
      <c r="V5085" s="6"/>
      <c r="W5085" s="6"/>
      <c r="X5085" s="6"/>
      <c r="Y5085" s="6"/>
      <c r="Z5085" s="6"/>
      <c r="AA5085" s="6"/>
    </row>
    <row r="5086" ht="14.25">
      <c r="B5086" s="14" t="s">
        <v>34195</v>
      </c>
      <c r="C5086" s="4" t="s">
        <v>34196</v>
      </c>
      <c r="D5086" s="4" t="s">
        <v>34200</v>
      </c>
      <c r="E5086" s="4" t="s">
        <v>34198</v>
      </c>
      <c r="F5086" s="4" t="s">
        <v>34201</v>
      </c>
      <c r="G5086" s="4" t="s">
        <v>34202</v>
      </c>
      <c r="H5086" s="6"/>
      <c r="I5086" s="6"/>
      <c r="J5086" s="6"/>
      <c r="K5086" s="6"/>
      <c r="L5086" s="6"/>
      <c r="M5086" s="6"/>
      <c r="N5086" s="6"/>
      <c r="O5086" s="6"/>
      <c r="P5086" s="6"/>
      <c r="Q5086" s="6"/>
      <c r="R5086" s="6"/>
      <c r="S5086" s="6"/>
      <c r="T5086" s="6"/>
      <c r="U5086" s="6"/>
      <c r="V5086" s="6"/>
      <c r="W5086" s="6"/>
      <c r="X5086" s="6"/>
      <c r="Y5086" s="6"/>
      <c r="Z5086" s="6"/>
      <c r="AA5086" s="6"/>
    </row>
    <row r="5087" ht="14.25">
      <c r="B5087" s="14" t="s">
        <v>34203</v>
      </c>
      <c r="C5087" s="4" t="s">
        <v>34204</v>
      </c>
      <c r="D5087" s="4" t="s">
        <v>34205</v>
      </c>
      <c r="E5087" s="4" t="s">
        <v>34206</v>
      </c>
      <c r="F5087" s="4" t="s">
        <v>110</v>
      </c>
      <c r="G5087" s="4" t="s">
        <v>34207</v>
      </c>
      <c r="H5087" s="6"/>
      <c r="I5087" s="6"/>
      <c r="J5087" s="6"/>
      <c r="K5087" s="6"/>
      <c r="L5087" s="6"/>
      <c r="M5087" s="6"/>
      <c r="N5087" s="6"/>
      <c r="O5087" s="6"/>
      <c r="P5087" s="6"/>
      <c r="Q5087" s="6"/>
      <c r="R5087" s="6"/>
      <c r="S5087" s="6"/>
      <c r="T5087" s="6"/>
      <c r="U5087" s="6"/>
      <c r="V5087" s="6"/>
      <c r="W5087" s="6"/>
      <c r="X5087" s="6"/>
      <c r="Y5087" s="6"/>
      <c r="Z5087" s="6"/>
      <c r="AA5087" s="6"/>
    </row>
    <row r="5088" ht="14.25">
      <c r="B5088" s="14" t="s">
        <v>34203</v>
      </c>
      <c r="C5088" s="4" t="s">
        <v>34204</v>
      </c>
      <c r="D5088" s="4" t="s">
        <v>34208</v>
      </c>
      <c r="E5088" s="4" t="s">
        <v>34206</v>
      </c>
      <c r="F5088" s="4" t="s">
        <v>11417</v>
      </c>
      <c r="G5088" s="4" t="s">
        <v>34209</v>
      </c>
      <c r="H5088" s="6"/>
      <c r="I5088" s="6"/>
      <c r="J5088" s="6"/>
      <c r="K5088" s="6"/>
      <c r="L5088" s="6"/>
      <c r="M5088" s="6"/>
      <c r="N5088" s="6"/>
      <c r="O5088" s="6"/>
      <c r="P5088" s="6"/>
      <c r="Q5088" s="6"/>
      <c r="R5088" s="6"/>
      <c r="S5088" s="6"/>
      <c r="T5088" s="6"/>
      <c r="U5088" s="6"/>
      <c r="V5088" s="6"/>
      <c r="W5088" s="6"/>
      <c r="X5088" s="6"/>
      <c r="Y5088" s="6"/>
      <c r="Z5088" s="6"/>
      <c r="AA5088" s="6"/>
    </row>
    <row r="5089" ht="14.25">
      <c r="B5089" s="14" t="s">
        <v>34210</v>
      </c>
      <c r="C5089" s="4" t="s">
        <v>34211</v>
      </c>
      <c r="D5089" s="4" t="s">
        <v>34212</v>
      </c>
      <c r="E5089" s="4" t="s">
        <v>34213</v>
      </c>
      <c r="F5089" s="4" t="s">
        <v>6634</v>
      </c>
      <c r="G5089" s="4" t="s">
        <v>34214</v>
      </c>
      <c r="H5089" s="6"/>
      <c r="I5089" s="6"/>
      <c r="J5089" s="6"/>
      <c r="K5089" s="6"/>
      <c r="L5089" s="6"/>
      <c r="M5089" s="6"/>
      <c r="N5089" s="6"/>
      <c r="O5089" s="6"/>
      <c r="P5089" s="6"/>
      <c r="Q5089" s="6"/>
      <c r="R5089" s="6"/>
      <c r="S5089" s="6"/>
      <c r="T5089" s="6"/>
      <c r="U5089" s="6"/>
      <c r="V5089" s="6"/>
      <c r="W5089" s="6"/>
      <c r="X5089" s="6"/>
      <c r="Y5089" s="6"/>
      <c r="Z5089" s="6"/>
      <c r="AA5089" s="6"/>
    </row>
    <row r="5090" ht="14.25">
      <c r="B5090" s="14" t="s">
        <v>34210</v>
      </c>
      <c r="C5090" s="4" t="s">
        <v>34211</v>
      </c>
      <c r="D5090" s="4" t="s">
        <v>34215</v>
      </c>
      <c r="E5090" s="4" t="s">
        <v>34213</v>
      </c>
      <c r="F5090" s="4" t="s">
        <v>33135</v>
      </c>
      <c r="G5090" s="4" t="s">
        <v>34216</v>
      </c>
      <c r="H5090" s="6"/>
      <c r="I5090" s="6"/>
      <c r="J5090" s="6"/>
      <c r="K5090" s="6"/>
      <c r="L5090" s="6"/>
      <c r="M5090" s="6"/>
      <c r="N5090" s="6"/>
      <c r="O5090" s="6"/>
      <c r="P5090" s="6"/>
      <c r="Q5090" s="6"/>
      <c r="R5090" s="6"/>
      <c r="S5090" s="6"/>
      <c r="T5090" s="6"/>
      <c r="U5090" s="6"/>
      <c r="V5090" s="6"/>
      <c r="W5090" s="6"/>
      <c r="X5090" s="6"/>
      <c r="Y5090" s="6"/>
      <c r="Z5090" s="6"/>
      <c r="AA5090" s="6"/>
    </row>
    <row r="5091" ht="14.25">
      <c r="B5091" s="14" t="s">
        <v>34217</v>
      </c>
      <c r="C5091" s="4" t="s">
        <v>34218</v>
      </c>
      <c r="D5091" s="4" t="s">
        <v>34219</v>
      </c>
      <c r="E5091" s="4" t="s">
        <v>34220</v>
      </c>
      <c r="F5091" s="4" t="s">
        <v>34221</v>
      </c>
      <c r="G5091" s="4" t="s">
        <v>34222</v>
      </c>
      <c r="H5091" s="6"/>
      <c r="I5091" s="6"/>
      <c r="J5091" s="6"/>
      <c r="K5091" s="6"/>
      <c r="L5091" s="6"/>
      <c r="M5091" s="6"/>
      <c r="N5091" s="6"/>
      <c r="O5091" s="6"/>
      <c r="P5091" s="6"/>
      <c r="Q5091" s="6"/>
      <c r="R5091" s="6"/>
      <c r="S5091" s="6"/>
      <c r="T5091" s="6"/>
      <c r="U5091" s="6"/>
      <c r="V5091" s="6"/>
      <c r="W5091" s="6"/>
      <c r="X5091" s="6"/>
      <c r="Y5091" s="6"/>
      <c r="Z5091" s="6"/>
      <c r="AA5091" s="6"/>
    </row>
    <row r="5092" ht="14.25">
      <c r="B5092" s="14" t="s">
        <v>34217</v>
      </c>
      <c r="C5092" s="4" t="s">
        <v>34218</v>
      </c>
      <c r="D5092" s="4" t="s">
        <v>34223</v>
      </c>
      <c r="E5092" s="4" t="s">
        <v>34220</v>
      </c>
      <c r="F5092" s="4" t="s">
        <v>1732</v>
      </c>
      <c r="G5092" s="4" t="s">
        <v>34224</v>
      </c>
      <c r="H5092" s="6"/>
      <c r="I5092" s="6"/>
      <c r="J5092" s="6"/>
      <c r="K5092" s="6"/>
      <c r="L5092" s="6"/>
      <c r="M5092" s="6"/>
      <c r="N5092" s="6"/>
      <c r="O5092" s="6"/>
      <c r="P5092" s="6"/>
      <c r="Q5092" s="6"/>
      <c r="R5092" s="6"/>
      <c r="S5092" s="6"/>
      <c r="T5092" s="6"/>
      <c r="U5092" s="6"/>
      <c r="V5092" s="6"/>
      <c r="W5092" s="6"/>
      <c r="X5092" s="6"/>
      <c r="Y5092" s="6"/>
      <c r="Z5092" s="6"/>
      <c r="AA5092" s="6"/>
    </row>
    <row r="5093" ht="14.25">
      <c r="B5093" s="14" t="s">
        <v>34217</v>
      </c>
      <c r="C5093" s="4" t="s">
        <v>34218</v>
      </c>
      <c r="D5093" s="4" t="s">
        <v>34225</v>
      </c>
      <c r="E5093" s="4" t="s">
        <v>34220</v>
      </c>
      <c r="F5093" s="4" t="s">
        <v>1215</v>
      </c>
      <c r="G5093" s="4" t="s">
        <v>34226</v>
      </c>
      <c r="H5093" s="6"/>
      <c r="I5093" s="6"/>
      <c r="J5093" s="6"/>
      <c r="K5093" s="6"/>
      <c r="L5093" s="6"/>
      <c r="M5093" s="6"/>
      <c r="N5093" s="6"/>
      <c r="O5093" s="6"/>
      <c r="P5093" s="6"/>
      <c r="Q5093" s="6"/>
      <c r="R5093" s="6"/>
      <c r="S5093" s="6"/>
      <c r="T5093" s="6"/>
      <c r="U5093" s="6"/>
      <c r="V5093" s="6"/>
      <c r="W5093" s="6"/>
      <c r="X5093" s="6"/>
      <c r="Y5093" s="6"/>
      <c r="Z5093" s="6"/>
      <c r="AA5093" s="6"/>
    </row>
    <row r="5094" ht="14.25">
      <c r="B5094" s="14" t="s">
        <v>34217</v>
      </c>
      <c r="C5094" s="4" t="s">
        <v>34218</v>
      </c>
      <c r="D5094" s="4" t="s">
        <v>34227</v>
      </c>
      <c r="E5094" s="4" t="s">
        <v>34220</v>
      </c>
      <c r="F5094" s="4" t="s">
        <v>32891</v>
      </c>
      <c r="G5094" s="4" t="s">
        <v>34228</v>
      </c>
      <c r="H5094" s="6"/>
      <c r="I5094" s="6"/>
      <c r="J5094" s="6"/>
      <c r="K5094" s="6"/>
      <c r="L5094" s="6"/>
      <c r="M5094" s="6"/>
      <c r="N5094" s="6"/>
      <c r="O5094" s="6"/>
      <c r="P5094" s="6"/>
      <c r="Q5094" s="6"/>
      <c r="R5094" s="6"/>
      <c r="S5094" s="6"/>
      <c r="T5094" s="6"/>
      <c r="U5094" s="6"/>
      <c r="V5094" s="6"/>
      <c r="W5094" s="6"/>
      <c r="X5094" s="6"/>
      <c r="Y5094" s="6"/>
      <c r="Z5094" s="6"/>
      <c r="AA5094" s="6"/>
    </row>
    <row r="5095" ht="14.25">
      <c r="B5095" s="14" t="s">
        <v>34229</v>
      </c>
      <c r="C5095" s="4" t="s">
        <v>34230</v>
      </c>
      <c r="D5095" s="4" t="s">
        <v>34231</v>
      </c>
      <c r="E5095" s="4" t="s">
        <v>34232</v>
      </c>
      <c r="F5095" s="4" t="s">
        <v>32622</v>
      </c>
      <c r="G5095" s="4" t="s">
        <v>34233</v>
      </c>
      <c r="H5095" s="6"/>
      <c r="I5095" s="6"/>
      <c r="J5095" s="6"/>
      <c r="K5095" s="6"/>
      <c r="L5095" s="6"/>
      <c r="M5095" s="6"/>
      <c r="N5095" s="6"/>
      <c r="O5095" s="6"/>
      <c r="P5095" s="6"/>
      <c r="Q5095" s="6"/>
      <c r="R5095" s="6"/>
      <c r="S5095" s="6"/>
      <c r="T5095" s="6"/>
      <c r="U5095" s="6"/>
      <c r="V5095" s="6"/>
      <c r="W5095" s="6"/>
      <c r="X5095" s="6"/>
      <c r="Y5095" s="6"/>
      <c r="Z5095" s="6"/>
      <c r="AA5095" s="6"/>
    </row>
    <row r="5096" ht="14.25">
      <c r="B5096" s="14" t="s">
        <v>34234</v>
      </c>
      <c r="C5096" s="4" t="s">
        <v>34235</v>
      </c>
      <c r="D5096" s="4" t="s">
        <v>34236</v>
      </c>
      <c r="E5096" s="4" t="s">
        <v>34237</v>
      </c>
      <c r="F5096" s="4" t="s">
        <v>9922</v>
      </c>
      <c r="G5096" s="4" t="s">
        <v>34238</v>
      </c>
      <c r="H5096" s="6"/>
      <c r="I5096" s="6"/>
      <c r="J5096" s="6"/>
      <c r="K5096" s="6"/>
      <c r="L5096" s="6"/>
      <c r="M5096" s="6"/>
      <c r="N5096" s="6"/>
      <c r="O5096" s="6"/>
      <c r="P5096" s="6"/>
      <c r="Q5096" s="6"/>
      <c r="R5096" s="6"/>
      <c r="S5096" s="6"/>
      <c r="T5096" s="6"/>
      <c r="U5096" s="6"/>
      <c r="V5096" s="6"/>
      <c r="W5096" s="6"/>
      <c r="X5096" s="6"/>
      <c r="Y5096" s="6"/>
      <c r="Z5096" s="6"/>
      <c r="AA5096" s="6"/>
    </row>
    <row r="5097" ht="14.25">
      <c r="B5097" s="14" t="s">
        <v>34234</v>
      </c>
      <c r="C5097" s="4" t="s">
        <v>34235</v>
      </c>
      <c r="D5097" s="4" t="s">
        <v>34239</v>
      </c>
      <c r="E5097" s="4" t="s">
        <v>34237</v>
      </c>
      <c r="F5097" s="4" t="s">
        <v>34240</v>
      </c>
      <c r="G5097" s="4" t="s">
        <v>34238</v>
      </c>
      <c r="H5097" s="6"/>
      <c r="I5097" s="6"/>
      <c r="J5097" s="6"/>
      <c r="K5097" s="6"/>
      <c r="L5097" s="6"/>
      <c r="M5097" s="6"/>
      <c r="N5097" s="6"/>
      <c r="O5097" s="6"/>
      <c r="P5097" s="6"/>
      <c r="Q5097" s="6"/>
      <c r="R5097" s="6"/>
      <c r="S5097" s="6"/>
      <c r="T5097" s="6"/>
      <c r="U5097" s="6"/>
      <c r="V5097" s="6"/>
      <c r="W5097" s="6"/>
      <c r="X5097" s="6"/>
      <c r="Y5097" s="6"/>
      <c r="Z5097" s="6"/>
      <c r="AA5097" s="6"/>
    </row>
    <row r="5098" ht="14.25">
      <c r="B5098" s="14" t="s">
        <v>34241</v>
      </c>
      <c r="C5098" s="4" t="s">
        <v>34242</v>
      </c>
      <c r="D5098" s="4" t="s">
        <v>34243</v>
      </c>
      <c r="E5098" s="4" t="s">
        <v>34244</v>
      </c>
      <c r="F5098" s="4" t="s">
        <v>222</v>
      </c>
      <c r="G5098" s="4" t="s">
        <v>34245</v>
      </c>
      <c r="H5098" s="6"/>
      <c r="I5098" s="6"/>
      <c r="J5098" s="6"/>
      <c r="K5098" s="6"/>
      <c r="L5098" s="6"/>
      <c r="M5098" s="6"/>
      <c r="N5098" s="6"/>
      <c r="O5098" s="6"/>
      <c r="P5098" s="6"/>
      <c r="Q5098" s="6"/>
      <c r="R5098" s="6"/>
      <c r="S5098" s="6"/>
      <c r="T5098" s="6"/>
      <c r="U5098" s="6"/>
      <c r="V5098" s="6"/>
      <c r="W5098" s="6"/>
      <c r="X5098" s="6"/>
      <c r="Y5098" s="6"/>
      <c r="Z5098" s="6"/>
      <c r="AA5098" s="6"/>
    </row>
    <row r="5099" ht="14.25">
      <c r="B5099" s="14" t="s">
        <v>34246</v>
      </c>
      <c r="C5099" s="4" t="s">
        <v>34247</v>
      </c>
      <c r="D5099" s="4" t="s">
        <v>34248</v>
      </c>
      <c r="E5099" s="4" t="s">
        <v>34249</v>
      </c>
      <c r="F5099" s="4" t="s">
        <v>15070</v>
      </c>
      <c r="G5099" s="4" t="s">
        <v>34250</v>
      </c>
      <c r="H5099" s="6"/>
      <c r="I5099" s="6"/>
      <c r="J5099" s="6"/>
      <c r="K5099" s="6"/>
      <c r="L5099" s="6"/>
      <c r="M5099" s="6"/>
      <c r="N5099" s="6"/>
      <c r="O5099" s="6"/>
      <c r="P5099" s="6"/>
      <c r="Q5099" s="6"/>
      <c r="R5099" s="6"/>
      <c r="S5099" s="6"/>
      <c r="T5099" s="6"/>
      <c r="U5099" s="6"/>
      <c r="V5099" s="6"/>
      <c r="W5099" s="6"/>
      <c r="X5099" s="6"/>
      <c r="Y5099" s="6"/>
      <c r="Z5099" s="6"/>
      <c r="AA5099" s="6"/>
    </row>
    <row r="5100" ht="14.25">
      <c r="B5100" s="14" t="s">
        <v>34246</v>
      </c>
      <c r="C5100" s="4" t="s">
        <v>34247</v>
      </c>
      <c r="D5100" s="4" t="s">
        <v>34251</v>
      </c>
      <c r="E5100" s="4" t="s">
        <v>34249</v>
      </c>
      <c r="F5100" s="4" t="s">
        <v>69</v>
      </c>
      <c r="G5100" s="4" t="s">
        <v>34252</v>
      </c>
      <c r="H5100" s="6"/>
      <c r="I5100" s="6"/>
      <c r="J5100" s="6"/>
      <c r="K5100" s="6"/>
      <c r="L5100" s="6"/>
      <c r="M5100" s="6"/>
      <c r="N5100" s="6"/>
      <c r="O5100" s="6"/>
      <c r="P5100" s="6"/>
      <c r="Q5100" s="6"/>
      <c r="R5100" s="6"/>
      <c r="S5100" s="6"/>
      <c r="T5100" s="6"/>
      <c r="U5100" s="6"/>
      <c r="V5100" s="6"/>
      <c r="W5100" s="6"/>
      <c r="X5100" s="6"/>
      <c r="Y5100" s="6"/>
      <c r="Z5100" s="6"/>
      <c r="AA5100" s="6"/>
    </row>
    <row r="5101" ht="14.25">
      <c r="B5101" s="14" t="s">
        <v>34253</v>
      </c>
      <c r="C5101" s="4" t="s">
        <v>34254</v>
      </c>
      <c r="D5101" s="4" t="s">
        <v>34255</v>
      </c>
      <c r="E5101" s="6"/>
      <c r="F5101" s="4" t="s">
        <v>1704</v>
      </c>
      <c r="G5101" s="4" t="s">
        <v>34256</v>
      </c>
      <c r="H5101" s="6"/>
      <c r="I5101" s="6"/>
      <c r="J5101" s="6"/>
      <c r="K5101" s="6"/>
      <c r="L5101" s="6"/>
      <c r="M5101" s="6"/>
      <c r="N5101" s="6"/>
      <c r="O5101" s="6"/>
      <c r="P5101" s="6"/>
      <c r="Q5101" s="6"/>
      <c r="R5101" s="6"/>
      <c r="S5101" s="6"/>
      <c r="T5101" s="6"/>
      <c r="U5101" s="6"/>
      <c r="V5101" s="6"/>
      <c r="W5101" s="6"/>
      <c r="X5101" s="6"/>
      <c r="Y5101" s="6"/>
      <c r="Z5101" s="6"/>
      <c r="AA5101" s="6"/>
    </row>
    <row r="5102" ht="14.25">
      <c r="B5102" s="14" t="s">
        <v>34257</v>
      </c>
      <c r="C5102" s="4" t="s">
        <v>34258</v>
      </c>
      <c r="D5102" s="4" t="s">
        <v>34259</v>
      </c>
      <c r="E5102" s="4" t="s">
        <v>34260</v>
      </c>
      <c r="F5102" s="4" t="s">
        <v>866</v>
      </c>
      <c r="G5102" s="4" t="s">
        <v>34261</v>
      </c>
      <c r="H5102" s="6"/>
      <c r="I5102" s="6"/>
      <c r="J5102" s="6"/>
      <c r="K5102" s="6"/>
      <c r="L5102" s="6"/>
      <c r="M5102" s="6"/>
      <c r="N5102" s="6"/>
      <c r="O5102" s="6"/>
      <c r="P5102" s="6"/>
      <c r="Q5102" s="6"/>
      <c r="R5102" s="6"/>
      <c r="S5102" s="6"/>
      <c r="T5102" s="6"/>
      <c r="U5102" s="6"/>
      <c r="V5102" s="6"/>
      <c r="W5102" s="6"/>
      <c r="X5102" s="6"/>
      <c r="Y5102" s="6"/>
      <c r="Z5102" s="6"/>
      <c r="AA5102" s="6"/>
    </row>
    <row r="5103" ht="14.25">
      <c r="B5103" s="14" t="s">
        <v>34257</v>
      </c>
      <c r="C5103" s="4" t="s">
        <v>34258</v>
      </c>
      <c r="D5103" s="4" t="s">
        <v>34262</v>
      </c>
      <c r="E5103" s="4" t="s">
        <v>34260</v>
      </c>
      <c r="F5103" s="4" t="s">
        <v>32666</v>
      </c>
      <c r="G5103" s="4" t="s">
        <v>34263</v>
      </c>
      <c r="H5103" s="6"/>
      <c r="I5103" s="6"/>
      <c r="J5103" s="6"/>
      <c r="K5103" s="6"/>
      <c r="L5103" s="6"/>
      <c r="M5103" s="6"/>
      <c r="N5103" s="6"/>
      <c r="O5103" s="6"/>
      <c r="P5103" s="6"/>
      <c r="Q5103" s="6"/>
      <c r="R5103" s="6"/>
      <c r="S5103" s="6"/>
      <c r="T5103" s="6"/>
      <c r="U5103" s="6"/>
      <c r="V5103" s="6"/>
      <c r="W5103" s="6"/>
      <c r="X5103" s="6"/>
      <c r="Y5103" s="6"/>
      <c r="Z5103" s="6"/>
      <c r="AA5103" s="6"/>
    </row>
    <row r="5104" ht="14.25">
      <c r="B5104" s="14" t="s">
        <v>34257</v>
      </c>
      <c r="C5104" s="4" t="s">
        <v>34258</v>
      </c>
      <c r="D5104" s="4" t="s">
        <v>34264</v>
      </c>
      <c r="E5104" s="4" t="s">
        <v>34260</v>
      </c>
      <c r="F5104" s="4" t="s">
        <v>32666</v>
      </c>
      <c r="G5104" s="4" t="s">
        <v>34265</v>
      </c>
      <c r="H5104" s="6"/>
      <c r="I5104" s="6"/>
      <c r="J5104" s="6"/>
      <c r="K5104" s="6"/>
      <c r="L5104" s="6"/>
      <c r="M5104" s="6"/>
      <c r="N5104" s="6"/>
      <c r="O5104" s="6"/>
      <c r="P5104" s="6"/>
      <c r="Q5104" s="6"/>
      <c r="R5104" s="6"/>
      <c r="S5104" s="6"/>
      <c r="T5104" s="6"/>
      <c r="U5104" s="6"/>
      <c r="V5104" s="6"/>
      <c r="W5104" s="6"/>
      <c r="X5104" s="6"/>
      <c r="Y5104" s="6"/>
      <c r="Z5104" s="6"/>
      <c r="AA5104" s="6"/>
    </row>
    <row r="5105" ht="14.25">
      <c r="B5105" s="14" t="s">
        <v>34257</v>
      </c>
      <c r="C5105" s="4" t="s">
        <v>34258</v>
      </c>
      <c r="D5105" s="4" t="s">
        <v>34266</v>
      </c>
      <c r="E5105" s="4" t="s">
        <v>34260</v>
      </c>
      <c r="F5105" s="4" t="s">
        <v>69</v>
      </c>
      <c r="G5105" s="4" t="s">
        <v>34267</v>
      </c>
      <c r="H5105" s="6"/>
      <c r="I5105" s="6"/>
      <c r="J5105" s="6"/>
      <c r="K5105" s="6"/>
      <c r="L5105" s="6"/>
      <c r="M5105" s="6"/>
      <c r="N5105" s="6"/>
      <c r="O5105" s="6"/>
      <c r="P5105" s="6"/>
      <c r="Q5105" s="6"/>
      <c r="R5105" s="6"/>
      <c r="S5105" s="6"/>
      <c r="T5105" s="6"/>
      <c r="U5105" s="6"/>
      <c r="V5105" s="6"/>
      <c r="W5105" s="6"/>
      <c r="X5105" s="6"/>
      <c r="Y5105" s="6"/>
      <c r="Z5105" s="6"/>
      <c r="AA5105" s="6"/>
    </row>
    <row r="5106" ht="14.25">
      <c r="B5106" s="14" t="s">
        <v>34268</v>
      </c>
      <c r="C5106" s="4" t="s">
        <v>34269</v>
      </c>
      <c r="D5106" s="4" t="s">
        <v>34270</v>
      </c>
      <c r="E5106" s="6"/>
      <c r="F5106" s="4" t="s">
        <v>808</v>
      </c>
      <c r="G5106" s="4" t="s">
        <v>34271</v>
      </c>
      <c r="H5106" s="6"/>
      <c r="I5106" s="6"/>
      <c r="J5106" s="6"/>
      <c r="K5106" s="6"/>
      <c r="L5106" s="6"/>
      <c r="M5106" s="6"/>
      <c r="N5106" s="6"/>
      <c r="O5106" s="6"/>
      <c r="P5106" s="6"/>
      <c r="Q5106" s="6"/>
      <c r="R5106" s="6"/>
      <c r="S5106" s="6"/>
      <c r="T5106" s="6"/>
      <c r="U5106" s="6"/>
      <c r="V5106" s="6"/>
      <c r="W5106" s="6"/>
      <c r="X5106" s="6"/>
      <c r="Y5106" s="6"/>
      <c r="Z5106" s="6"/>
      <c r="AA5106" s="6"/>
    </row>
    <row r="5107" ht="14.25">
      <c r="B5107" s="14" t="s">
        <v>34272</v>
      </c>
      <c r="C5107" s="4" t="s">
        <v>34273</v>
      </c>
      <c r="D5107" s="4" t="s">
        <v>34274</v>
      </c>
      <c r="E5107" s="4" t="s">
        <v>34275</v>
      </c>
      <c r="F5107" s="4" t="s">
        <v>4012</v>
      </c>
      <c r="G5107" s="4" t="s">
        <v>34276</v>
      </c>
      <c r="H5107" s="6"/>
      <c r="I5107" s="6"/>
      <c r="J5107" s="6"/>
      <c r="K5107" s="6"/>
      <c r="L5107" s="6"/>
      <c r="M5107" s="6"/>
      <c r="N5107" s="6"/>
      <c r="O5107" s="6"/>
      <c r="P5107" s="6"/>
      <c r="Q5107" s="6"/>
      <c r="R5107" s="6"/>
      <c r="S5107" s="6"/>
      <c r="T5107" s="6"/>
      <c r="U5107" s="6"/>
      <c r="V5107" s="6"/>
      <c r="W5107" s="6"/>
      <c r="X5107" s="6"/>
      <c r="Y5107" s="6"/>
      <c r="Z5107" s="6"/>
      <c r="AA5107" s="6"/>
    </row>
    <row r="5108" ht="14.25">
      <c r="B5108" s="14" t="s">
        <v>34272</v>
      </c>
      <c r="C5108" s="4" t="s">
        <v>34273</v>
      </c>
      <c r="D5108" s="4" t="s">
        <v>34277</v>
      </c>
      <c r="E5108" s="4" t="s">
        <v>34275</v>
      </c>
      <c r="F5108" s="4" t="s">
        <v>222</v>
      </c>
      <c r="G5108" s="4" t="s">
        <v>34278</v>
      </c>
      <c r="H5108" s="6"/>
      <c r="I5108" s="6"/>
      <c r="J5108" s="6"/>
      <c r="K5108" s="6"/>
      <c r="L5108" s="6"/>
      <c r="M5108" s="6"/>
      <c r="N5108" s="6"/>
      <c r="O5108" s="6"/>
      <c r="P5108" s="6"/>
      <c r="Q5108" s="6"/>
      <c r="R5108" s="6"/>
      <c r="S5108" s="6"/>
      <c r="T5108" s="6"/>
      <c r="U5108" s="6"/>
      <c r="V5108" s="6"/>
      <c r="W5108" s="6"/>
      <c r="X5108" s="6"/>
      <c r="Y5108" s="6"/>
      <c r="Z5108" s="6"/>
      <c r="AA5108" s="6"/>
    </row>
    <row r="5109" ht="14.25">
      <c r="B5109" s="14" t="s">
        <v>34272</v>
      </c>
      <c r="C5109" s="4" t="s">
        <v>34273</v>
      </c>
      <c r="D5109" s="4" t="s">
        <v>34279</v>
      </c>
      <c r="E5109" s="4" t="s">
        <v>34275</v>
      </c>
      <c r="F5109" s="4" t="s">
        <v>8778</v>
      </c>
      <c r="G5109" s="4" t="s">
        <v>34280</v>
      </c>
      <c r="H5109" s="6"/>
      <c r="I5109" s="6"/>
      <c r="J5109" s="6"/>
      <c r="K5109" s="6"/>
      <c r="L5109" s="6"/>
      <c r="M5109" s="6"/>
      <c r="N5109" s="6"/>
      <c r="O5109" s="6"/>
      <c r="P5109" s="6"/>
      <c r="Q5109" s="6"/>
      <c r="R5109" s="6"/>
      <c r="S5109" s="6"/>
      <c r="T5109" s="6"/>
      <c r="U5109" s="6"/>
      <c r="V5109" s="6"/>
      <c r="W5109" s="6"/>
      <c r="X5109" s="6"/>
      <c r="Y5109" s="6"/>
      <c r="Z5109" s="6"/>
      <c r="AA5109" s="6"/>
    </row>
    <row r="5110" ht="14.25">
      <c r="B5110" s="14" t="s">
        <v>34281</v>
      </c>
      <c r="C5110" s="4" t="s">
        <v>34282</v>
      </c>
      <c r="D5110" s="4" t="s">
        <v>34283</v>
      </c>
      <c r="E5110" s="6"/>
      <c r="F5110" s="4" t="s">
        <v>34284</v>
      </c>
      <c r="G5110" s="4" t="s">
        <v>34285</v>
      </c>
      <c r="H5110" s="6"/>
      <c r="I5110" s="6"/>
      <c r="J5110" s="6"/>
      <c r="K5110" s="6"/>
      <c r="L5110" s="6"/>
      <c r="M5110" s="6"/>
      <c r="N5110" s="6"/>
      <c r="O5110" s="6"/>
      <c r="P5110" s="6"/>
      <c r="Q5110" s="6"/>
      <c r="R5110" s="6"/>
      <c r="S5110" s="6"/>
      <c r="T5110" s="6"/>
      <c r="U5110" s="6"/>
      <c r="V5110" s="6"/>
      <c r="W5110" s="6"/>
      <c r="X5110" s="6"/>
      <c r="Y5110" s="6"/>
      <c r="Z5110" s="6"/>
      <c r="AA5110" s="6"/>
    </row>
    <row r="5111" ht="14.25">
      <c r="B5111" s="14" t="s">
        <v>34286</v>
      </c>
      <c r="C5111" s="4" t="s">
        <v>34287</v>
      </c>
      <c r="D5111" s="4" t="s">
        <v>34288</v>
      </c>
      <c r="E5111" s="4" t="s">
        <v>34289</v>
      </c>
      <c r="F5111" s="4" t="s">
        <v>6634</v>
      </c>
      <c r="G5111" s="4" t="s">
        <v>34290</v>
      </c>
      <c r="H5111" s="6"/>
      <c r="I5111" s="6"/>
      <c r="J5111" s="6"/>
      <c r="K5111" s="6"/>
      <c r="L5111" s="6"/>
      <c r="M5111" s="6"/>
      <c r="N5111" s="6"/>
      <c r="O5111" s="6"/>
      <c r="P5111" s="6"/>
      <c r="Q5111" s="6"/>
      <c r="R5111" s="6"/>
      <c r="S5111" s="6"/>
      <c r="T5111" s="6"/>
      <c r="U5111" s="6"/>
      <c r="V5111" s="6"/>
      <c r="W5111" s="6"/>
      <c r="X5111" s="6"/>
      <c r="Y5111" s="6"/>
      <c r="Z5111" s="6"/>
      <c r="AA5111" s="6"/>
    </row>
    <row r="5112" ht="14.25">
      <c r="B5112" s="14" t="s">
        <v>34286</v>
      </c>
      <c r="C5112" s="4" t="s">
        <v>34287</v>
      </c>
      <c r="D5112" s="4" t="s">
        <v>34291</v>
      </c>
      <c r="E5112" s="4" t="s">
        <v>34289</v>
      </c>
      <c r="F5112" s="4" t="s">
        <v>1207</v>
      </c>
      <c r="G5112" s="4" t="s">
        <v>34292</v>
      </c>
      <c r="H5112" s="6"/>
      <c r="I5112" s="6"/>
      <c r="J5112" s="6"/>
      <c r="K5112" s="6"/>
      <c r="L5112" s="6"/>
      <c r="M5112" s="6"/>
      <c r="N5112" s="6"/>
      <c r="O5112" s="6"/>
      <c r="P5112" s="6"/>
      <c r="Q5112" s="6"/>
      <c r="R5112" s="6"/>
      <c r="S5112" s="6"/>
      <c r="T5112" s="6"/>
      <c r="U5112" s="6"/>
      <c r="V5112" s="6"/>
      <c r="W5112" s="6"/>
      <c r="X5112" s="6"/>
      <c r="Y5112" s="6"/>
      <c r="Z5112" s="6"/>
      <c r="AA5112" s="6"/>
    </row>
    <row r="5113" ht="14.25">
      <c r="B5113" s="14" t="s">
        <v>34286</v>
      </c>
      <c r="C5113" s="4" t="s">
        <v>34287</v>
      </c>
      <c r="D5113" s="4" t="s">
        <v>34293</v>
      </c>
      <c r="E5113" s="4" t="s">
        <v>34289</v>
      </c>
      <c r="F5113" s="4" t="s">
        <v>76</v>
      </c>
      <c r="G5113" s="4" t="s">
        <v>34294</v>
      </c>
      <c r="H5113" s="6"/>
      <c r="I5113" s="6"/>
      <c r="J5113" s="6"/>
      <c r="K5113" s="6"/>
      <c r="L5113" s="6"/>
      <c r="M5113" s="6"/>
      <c r="N5113" s="6"/>
      <c r="O5113" s="6"/>
      <c r="P5113" s="6"/>
      <c r="Q5113" s="6"/>
      <c r="R5113" s="6"/>
      <c r="S5113" s="6"/>
      <c r="T5113" s="6"/>
      <c r="U5113" s="6"/>
      <c r="V5113" s="6"/>
      <c r="W5113" s="6"/>
      <c r="X5113" s="6"/>
      <c r="Y5113" s="6"/>
      <c r="Z5113" s="6"/>
      <c r="AA5113" s="6"/>
    </row>
    <row r="5114" ht="14.25">
      <c r="B5114" s="14" t="s">
        <v>34286</v>
      </c>
      <c r="C5114" s="4" t="s">
        <v>34287</v>
      </c>
      <c r="D5114" s="4" t="s">
        <v>34295</v>
      </c>
      <c r="E5114" s="4" t="s">
        <v>34289</v>
      </c>
      <c r="F5114" s="4" t="s">
        <v>21744</v>
      </c>
      <c r="G5114" s="4" t="s">
        <v>34296</v>
      </c>
      <c r="H5114" s="6"/>
      <c r="I5114" s="6"/>
      <c r="J5114" s="6"/>
      <c r="K5114" s="6"/>
      <c r="L5114" s="6"/>
      <c r="M5114" s="6"/>
      <c r="N5114" s="6"/>
      <c r="O5114" s="6"/>
      <c r="P5114" s="6"/>
      <c r="Q5114" s="6"/>
      <c r="R5114" s="6"/>
      <c r="S5114" s="6"/>
      <c r="T5114" s="6"/>
      <c r="U5114" s="6"/>
      <c r="V5114" s="6"/>
      <c r="W5114" s="6"/>
      <c r="X5114" s="6"/>
      <c r="Y5114" s="6"/>
      <c r="Z5114" s="6"/>
      <c r="AA5114" s="6"/>
    </row>
    <row r="5115" ht="14.25">
      <c r="B5115" s="14" t="s">
        <v>34297</v>
      </c>
      <c r="C5115" s="4" t="s">
        <v>34298</v>
      </c>
      <c r="D5115" s="4" t="s">
        <v>34299</v>
      </c>
      <c r="E5115" s="6"/>
      <c r="F5115" s="4" t="s">
        <v>34300</v>
      </c>
      <c r="G5115" s="4" t="s">
        <v>34301</v>
      </c>
      <c r="H5115" s="6"/>
      <c r="I5115" s="6"/>
      <c r="J5115" s="6"/>
      <c r="K5115" s="6"/>
      <c r="L5115" s="6"/>
      <c r="M5115" s="6"/>
      <c r="N5115" s="6"/>
      <c r="O5115" s="6"/>
      <c r="P5115" s="6"/>
      <c r="Q5115" s="6"/>
      <c r="R5115" s="6"/>
      <c r="S5115" s="6"/>
      <c r="T5115" s="6"/>
      <c r="U5115" s="6"/>
      <c r="V5115" s="6"/>
      <c r="W5115" s="6"/>
      <c r="X5115" s="6"/>
      <c r="Y5115" s="6"/>
      <c r="Z5115" s="6"/>
      <c r="AA5115" s="6"/>
    </row>
    <row r="5116" ht="14.25">
      <c r="B5116" s="14" t="s">
        <v>34302</v>
      </c>
      <c r="C5116" s="4" t="s">
        <v>34303</v>
      </c>
      <c r="D5116" s="4" t="s">
        <v>34304</v>
      </c>
      <c r="E5116" s="4" t="s">
        <v>34305</v>
      </c>
      <c r="F5116" s="4" t="s">
        <v>785</v>
      </c>
      <c r="G5116" s="4" t="s">
        <v>33098</v>
      </c>
      <c r="H5116" s="6"/>
      <c r="I5116" s="6"/>
      <c r="J5116" s="6"/>
      <c r="K5116" s="6"/>
      <c r="L5116" s="6"/>
      <c r="M5116" s="6"/>
      <c r="N5116" s="6"/>
      <c r="O5116" s="6"/>
      <c r="P5116" s="6"/>
      <c r="Q5116" s="6"/>
      <c r="R5116" s="6"/>
      <c r="S5116" s="6"/>
      <c r="T5116" s="6"/>
      <c r="U5116" s="6"/>
      <c r="V5116" s="6"/>
      <c r="W5116" s="6"/>
      <c r="X5116" s="6"/>
      <c r="Y5116" s="6"/>
      <c r="Z5116" s="6"/>
      <c r="AA5116" s="6"/>
    </row>
    <row r="5117" ht="14.25">
      <c r="B5117" s="14" t="s">
        <v>34302</v>
      </c>
      <c r="C5117" s="4" t="s">
        <v>34303</v>
      </c>
      <c r="D5117" s="4" t="s">
        <v>34306</v>
      </c>
      <c r="E5117" s="4" t="s">
        <v>34305</v>
      </c>
      <c r="F5117" s="4" t="s">
        <v>32706</v>
      </c>
      <c r="G5117" s="4" t="s">
        <v>34307</v>
      </c>
      <c r="H5117" s="6"/>
      <c r="I5117" s="6"/>
      <c r="J5117" s="6"/>
      <c r="K5117" s="6"/>
      <c r="L5117" s="6"/>
      <c r="M5117" s="6"/>
      <c r="N5117" s="6"/>
      <c r="O5117" s="6"/>
      <c r="P5117" s="6"/>
      <c r="Q5117" s="6"/>
      <c r="R5117" s="6"/>
      <c r="S5117" s="6"/>
      <c r="T5117" s="6"/>
      <c r="U5117" s="6"/>
      <c r="V5117" s="6"/>
      <c r="W5117" s="6"/>
      <c r="X5117" s="6"/>
      <c r="Y5117" s="6"/>
      <c r="Z5117" s="6"/>
      <c r="AA5117" s="6"/>
    </row>
    <row r="5118" ht="14.25">
      <c r="B5118" s="14" t="s">
        <v>34308</v>
      </c>
      <c r="C5118" s="4" t="s">
        <v>34309</v>
      </c>
      <c r="D5118" s="4" t="s">
        <v>34310</v>
      </c>
      <c r="E5118" s="4" t="s">
        <v>34311</v>
      </c>
      <c r="F5118" s="4" t="s">
        <v>3164</v>
      </c>
      <c r="G5118" s="4" t="s">
        <v>34312</v>
      </c>
      <c r="H5118" s="6"/>
      <c r="I5118" s="6"/>
      <c r="J5118" s="6"/>
      <c r="K5118" s="6"/>
      <c r="L5118" s="6"/>
      <c r="M5118" s="6"/>
      <c r="N5118" s="6"/>
      <c r="O5118" s="6"/>
      <c r="P5118" s="6"/>
      <c r="Q5118" s="6"/>
      <c r="R5118" s="6"/>
      <c r="S5118" s="6"/>
      <c r="T5118" s="6"/>
      <c r="U5118" s="6"/>
      <c r="V5118" s="6"/>
      <c r="W5118" s="6"/>
      <c r="X5118" s="6"/>
      <c r="Y5118" s="6"/>
      <c r="Z5118" s="6"/>
      <c r="AA5118" s="6"/>
    </row>
    <row r="5119" ht="14.25">
      <c r="B5119" s="14" t="s">
        <v>34313</v>
      </c>
      <c r="C5119" s="4" t="s">
        <v>34314</v>
      </c>
      <c r="D5119" s="4" t="s">
        <v>34315</v>
      </c>
      <c r="E5119" s="6"/>
      <c r="F5119" s="4" t="s">
        <v>355</v>
      </c>
      <c r="G5119" s="4" t="s">
        <v>34316</v>
      </c>
      <c r="H5119" s="6"/>
      <c r="I5119" s="6"/>
      <c r="J5119" s="6"/>
      <c r="K5119" s="6"/>
      <c r="L5119" s="6"/>
      <c r="M5119" s="6"/>
      <c r="N5119" s="6"/>
      <c r="O5119" s="6"/>
      <c r="P5119" s="6"/>
      <c r="Q5119" s="6"/>
      <c r="R5119" s="6"/>
      <c r="S5119" s="6"/>
      <c r="T5119" s="6"/>
      <c r="U5119" s="6"/>
      <c r="V5119" s="6"/>
      <c r="W5119" s="6"/>
      <c r="X5119" s="6"/>
      <c r="Y5119" s="6"/>
      <c r="Z5119" s="6"/>
      <c r="AA5119" s="6"/>
    </row>
    <row r="5120" ht="14.25">
      <c r="B5120" s="14" t="s">
        <v>34313</v>
      </c>
      <c r="C5120" s="4" t="s">
        <v>34317</v>
      </c>
      <c r="D5120" s="4" t="s">
        <v>34318</v>
      </c>
      <c r="E5120" s="4" t="s">
        <v>34319</v>
      </c>
      <c r="F5120" s="4" t="s">
        <v>5579</v>
      </c>
      <c r="G5120" s="4" t="s">
        <v>34320</v>
      </c>
      <c r="H5120" s="6"/>
      <c r="I5120" s="6"/>
      <c r="J5120" s="6"/>
      <c r="K5120" s="6"/>
      <c r="L5120" s="6"/>
      <c r="M5120" s="6"/>
      <c r="N5120" s="6"/>
      <c r="O5120" s="6"/>
      <c r="P5120" s="6"/>
      <c r="Q5120" s="6"/>
      <c r="R5120" s="6"/>
      <c r="S5120" s="6"/>
      <c r="T5120" s="6"/>
      <c r="U5120" s="6"/>
      <c r="V5120" s="6"/>
      <c r="W5120" s="6"/>
      <c r="X5120" s="6"/>
      <c r="Y5120" s="6"/>
      <c r="Z5120" s="6"/>
      <c r="AA5120" s="6"/>
    </row>
    <row r="5121" ht="14.25">
      <c r="B5121" s="14" t="s">
        <v>34313</v>
      </c>
      <c r="C5121" s="4" t="s">
        <v>34317</v>
      </c>
      <c r="D5121" s="4" t="s">
        <v>34321</v>
      </c>
      <c r="E5121" s="4" t="s">
        <v>34319</v>
      </c>
      <c r="F5121" s="4" t="s">
        <v>330</v>
      </c>
      <c r="G5121" s="4" t="s">
        <v>33725</v>
      </c>
      <c r="H5121" s="6"/>
      <c r="I5121" s="6"/>
      <c r="J5121" s="6"/>
      <c r="K5121" s="6"/>
      <c r="L5121" s="6"/>
      <c r="M5121" s="6"/>
      <c r="N5121" s="6"/>
      <c r="O5121" s="6"/>
      <c r="P5121" s="6"/>
      <c r="Q5121" s="6"/>
      <c r="R5121" s="6"/>
      <c r="S5121" s="6"/>
      <c r="T5121" s="6"/>
      <c r="U5121" s="6"/>
      <c r="V5121" s="6"/>
      <c r="W5121" s="6"/>
      <c r="X5121" s="6"/>
      <c r="Y5121" s="6"/>
      <c r="Z5121" s="6"/>
      <c r="AA5121" s="6"/>
    </row>
    <row r="5122" ht="14.25">
      <c r="B5122" s="14" t="s">
        <v>34322</v>
      </c>
      <c r="C5122" s="4" t="s">
        <v>34323</v>
      </c>
      <c r="D5122" s="4" t="s">
        <v>34324</v>
      </c>
      <c r="E5122" s="4" t="s">
        <v>34325</v>
      </c>
      <c r="F5122" s="4" t="s">
        <v>1732</v>
      </c>
      <c r="G5122" s="4" t="s">
        <v>34326</v>
      </c>
      <c r="H5122" s="6"/>
      <c r="I5122" s="6"/>
      <c r="J5122" s="6"/>
      <c r="K5122" s="6"/>
      <c r="L5122" s="6"/>
      <c r="M5122" s="6"/>
      <c r="N5122" s="6"/>
      <c r="O5122" s="6"/>
      <c r="P5122" s="6"/>
      <c r="Q5122" s="6"/>
      <c r="R5122" s="6"/>
      <c r="S5122" s="6"/>
      <c r="T5122" s="6"/>
      <c r="U5122" s="6"/>
      <c r="V5122" s="6"/>
      <c r="W5122" s="6"/>
      <c r="X5122" s="6"/>
      <c r="Y5122" s="6"/>
      <c r="Z5122" s="6"/>
      <c r="AA5122" s="6"/>
    </row>
    <row r="5123" ht="14.25">
      <c r="B5123" s="14" t="s">
        <v>34327</v>
      </c>
      <c r="C5123" s="4" t="s">
        <v>34328</v>
      </c>
      <c r="D5123" s="4" t="s">
        <v>34329</v>
      </c>
      <c r="E5123" s="6"/>
      <c r="F5123" s="4" t="s">
        <v>34330</v>
      </c>
      <c r="G5123" s="4" t="s">
        <v>34331</v>
      </c>
      <c r="H5123" s="6"/>
      <c r="I5123" s="6"/>
      <c r="J5123" s="6"/>
      <c r="K5123" s="6"/>
      <c r="L5123" s="6"/>
      <c r="M5123" s="6"/>
      <c r="N5123" s="6"/>
      <c r="O5123" s="6"/>
      <c r="P5123" s="6"/>
      <c r="Q5123" s="6"/>
      <c r="R5123" s="6"/>
      <c r="S5123" s="6"/>
      <c r="T5123" s="6"/>
      <c r="U5123" s="6"/>
      <c r="V5123" s="6"/>
      <c r="W5123" s="6"/>
      <c r="X5123" s="6"/>
      <c r="Y5123" s="6"/>
      <c r="Z5123" s="6"/>
      <c r="AA5123" s="6"/>
    </row>
    <row r="5124" ht="14.25">
      <c r="B5124" s="14" t="s">
        <v>34332</v>
      </c>
      <c r="C5124" s="4" t="s">
        <v>34333</v>
      </c>
      <c r="D5124" s="4" t="s">
        <v>34334</v>
      </c>
      <c r="E5124" s="4" t="s">
        <v>34335</v>
      </c>
      <c r="F5124" s="4" t="s">
        <v>32579</v>
      </c>
      <c r="G5124" s="4" t="s">
        <v>34336</v>
      </c>
      <c r="H5124" s="6"/>
      <c r="I5124" s="6"/>
      <c r="J5124" s="6"/>
      <c r="K5124" s="6"/>
      <c r="L5124" s="6"/>
      <c r="M5124" s="6"/>
      <c r="N5124" s="6"/>
      <c r="O5124" s="6"/>
      <c r="P5124" s="6"/>
      <c r="Q5124" s="6"/>
      <c r="R5124" s="6"/>
      <c r="S5124" s="6"/>
      <c r="T5124" s="6"/>
      <c r="U5124" s="6"/>
      <c r="V5124" s="6"/>
      <c r="W5124" s="6"/>
      <c r="X5124" s="6"/>
      <c r="Y5124" s="6"/>
      <c r="Z5124" s="6"/>
      <c r="AA5124" s="6"/>
    </row>
    <row r="5125" ht="14.25">
      <c r="B5125" s="14" t="s">
        <v>34337</v>
      </c>
      <c r="C5125" s="4" t="s">
        <v>34338</v>
      </c>
      <c r="D5125" s="4" t="s">
        <v>34339</v>
      </c>
      <c r="E5125" s="4" t="s">
        <v>34340</v>
      </c>
      <c r="F5125" s="4" t="s">
        <v>196</v>
      </c>
      <c r="G5125" s="4" t="s">
        <v>34341</v>
      </c>
      <c r="H5125" s="6"/>
      <c r="I5125" s="6"/>
      <c r="J5125" s="6"/>
      <c r="K5125" s="6"/>
      <c r="L5125" s="6"/>
      <c r="M5125" s="6"/>
      <c r="N5125" s="6"/>
      <c r="O5125" s="6"/>
      <c r="P5125" s="6"/>
      <c r="Q5125" s="6"/>
      <c r="R5125" s="6"/>
      <c r="S5125" s="6"/>
      <c r="T5125" s="6"/>
      <c r="U5125" s="6"/>
      <c r="V5125" s="6"/>
      <c r="W5125" s="6"/>
      <c r="X5125" s="6"/>
      <c r="Y5125" s="6"/>
      <c r="Z5125" s="6"/>
      <c r="AA5125" s="6"/>
    </row>
    <row r="5126" ht="14.25">
      <c r="B5126" s="14" t="s">
        <v>34337</v>
      </c>
      <c r="C5126" s="4" t="s">
        <v>34338</v>
      </c>
      <c r="D5126" s="4" t="s">
        <v>34342</v>
      </c>
      <c r="E5126" s="4" t="s">
        <v>34340</v>
      </c>
      <c r="F5126" s="4" t="s">
        <v>33456</v>
      </c>
      <c r="G5126" s="4" t="s">
        <v>32645</v>
      </c>
      <c r="H5126" s="6"/>
      <c r="I5126" s="6"/>
      <c r="J5126" s="6"/>
      <c r="K5126" s="6"/>
      <c r="L5126" s="6"/>
      <c r="M5126" s="6"/>
      <c r="N5126" s="6"/>
      <c r="O5126" s="6"/>
      <c r="P5126" s="6"/>
      <c r="Q5126" s="6"/>
      <c r="R5126" s="6"/>
      <c r="S5126" s="6"/>
      <c r="T5126" s="6"/>
      <c r="U5126" s="6"/>
      <c r="V5126" s="6"/>
      <c r="W5126" s="6"/>
      <c r="X5126" s="6"/>
      <c r="Y5126" s="6"/>
      <c r="Z5126" s="6"/>
      <c r="AA5126" s="6"/>
    </row>
    <row r="5127" ht="14.25">
      <c r="B5127" s="14" t="s">
        <v>34337</v>
      </c>
      <c r="C5127" s="4" t="s">
        <v>34338</v>
      </c>
      <c r="D5127" s="4" t="s">
        <v>34343</v>
      </c>
      <c r="E5127" s="4" t="s">
        <v>34340</v>
      </c>
      <c r="F5127" s="4" t="s">
        <v>15545</v>
      </c>
      <c r="G5127" s="4" t="s">
        <v>34344</v>
      </c>
      <c r="H5127" s="6"/>
      <c r="I5127" s="6"/>
      <c r="J5127" s="6"/>
      <c r="K5127" s="6"/>
      <c r="L5127" s="6"/>
      <c r="M5127" s="6"/>
      <c r="N5127" s="6"/>
      <c r="O5127" s="6"/>
      <c r="P5127" s="6"/>
      <c r="Q5127" s="6"/>
      <c r="R5127" s="6"/>
      <c r="S5127" s="6"/>
      <c r="T5127" s="6"/>
      <c r="U5127" s="6"/>
      <c r="V5127" s="6"/>
      <c r="W5127" s="6"/>
      <c r="X5127" s="6"/>
      <c r="Y5127" s="6"/>
      <c r="Z5127" s="6"/>
      <c r="AA5127" s="6"/>
    </row>
    <row r="5128" ht="14.25">
      <c r="B5128" s="14" t="s">
        <v>34345</v>
      </c>
      <c r="C5128" s="4" t="s">
        <v>34346</v>
      </c>
      <c r="D5128" s="4" t="s">
        <v>34347</v>
      </c>
      <c r="E5128" s="4" t="s">
        <v>34348</v>
      </c>
      <c r="F5128" s="4" t="s">
        <v>32666</v>
      </c>
      <c r="G5128" s="4" t="s">
        <v>34349</v>
      </c>
      <c r="H5128" s="6"/>
      <c r="I5128" s="6"/>
      <c r="J5128" s="6"/>
      <c r="K5128" s="6"/>
      <c r="L5128" s="6"/>
      <c r="M5128" s="6"/>
      <c r="N5128" s="6"/>
      <c r="O5128" s="6"/>
      <c r="P5128" s="6"/>
      <c r="Q5128" s="6"/>
      <c r="R5128" s="6"/>
      <c r="S5128" s="6"/>
      <c r="T5128" s="6"/>
      <c r="U5128" s="6"/>
      <c r="V5128" s="6"/>
      <c r="W5128" s="6"/>
      <c r="X5128" s="6"/>
      <c r="Y5128" s="6"/>
      <c r="Z5128" s="6"/>
      <c r="AA5128" s="6"/>
    </row>
    <row r="5129" ht="14.25">
      <c r="B5129" s="14" t="s">
        <v>34350</v>
      </c>
      <c r="C5129" s="4" t="s">
        <v>34351</v>
      </c>
      <c r="D5129" s="4" t="s">
        <v>34352</v>
      </c>
      <c r="E5129" s="6"/>
      <c r="F5129" s="4" t="s">
        <v>13376</v>
      </c>
      <c r="G5129" s="4" t="s">
        <v>34233</v>
      </c>
      <c r="H5129" s="6"/>
      <c r="I5129" s="6"/>
      <c r="J5129" s="6"/>
      <c r="K5129" s="6"/>
      <c r="L5129" s="6"/>
      <c r="M5129" s="6"/>
      <c r="N5129" s="6"/>
      <c r="O5129" s="6"/>
      <c r="P5129" s="6"/>
      <c r="Q5129" s="6"/>
      <c r="R5129" s="6"/>
      <c r="S5129" s="6"/>
      <c r="T5129" s="6"/>
      <c r="U5129" s="6"/>
      <c r="V5129" s="6"/>
      <c r="W5129" s="6"/>
      <c r="X5129" s="6"/>
      <c r="Y5129" s="6"/>
      <c r="Z5129" s="6"/>
      <c r="AA5129" s="6"/>
    </row>
    <row r="5130" ht="14.25">
      <c r="B5130" s="14" t="s">
        <v>34353</v>
      </c>
      <c r="C5130" s="4" t="s">
        <v>34354</v>
      </c>
      <c r="D5130" s="4" t="s">
        <v>34355</v>
      </c>
      <c r="E5130" s="6"/>
      <c r="F5130" s="4" t="s">
        <v>1583</v>
      </c>
      <c r="G5130" s="4" t="s">
        <v>34356</v>
      </c>
      <c r="H5130" s="6"/>
      <c r="I5130" s="6"/>
      <c r="J5130" s="6"/>
      <c r="K5130" s="6"/>
      <c r="L5130" s="6"/>
      <c r="M5130" s="6"/>
      <c r="N5130" s="6"/>
      <c r="O5130" s="6"/>
      <c r="P5130" s="6"/>
      <c r="Q5130" s="6"/>
      <c r="R5130" s="6"/>
      <c r="S5130" s="6"/>
      <c r="T5130" s="6"/>
      <c r="U5130" s="6"/>
      <c r="V5130" s="6"/>
      <c r="W5130" s="6"/>
      <c r="X5130" s="6"/>
      <c r="Y5130" s="6"/>
      <c r="Z5130" s="6"/>
      <c r="AA5130" s="6"/>
    </row>
    <row r="5131" ht="14.25">
      <c r="B5131" s="14" t="s">
        <v>34353</v>
      </c>
      <c r="C5131" s="4" t="s">
        <v>34357</v>
      </c>
      <c r="D5131" s="4" t="s">
        <v>34358</v>
      </c>
      <c r="E5131" s="6"/>
      <c r="F5131" s="4" t="s">
        <v>355</v>
      </c>
      <c r="G5131" s="4" t="s">
        <v>34359</v>
      </c>
      <c r="H5131" s="6"/>
      <c r="I5131" s="6"/>
      <c r="J5131" s="6"/>
      <c r="K5131" s="6"/>
      <c r="L5131" s="6"/>
      <c r="M5131" s="6"/>
      <c r="N5131" s="6"/>
      <c r="O5131" s="6"/>
      <c r="P5131" s="6"/>
      <c r="Q5131" s="6"/>
      <c r="R5131" s="6"/>
      <c r="S5131" s="6"/>
      <c r="T5131" s="6"/>
      <c r="U5131" s="6"/>
      <c r="V5131" s="6"/>
      <c r="W5131" s="6"/>
      <c r="X5131" s="6"/>
      <c r="Y5131" s="6"/>
      <c r="Z5131" s="6"/>
      <c r="AA5131" s="6"/>
    </row>
    <row r="5132" ht="14.25">
      <c r="B5132" s="14" t="s">
        <v>34360</v>
      </c>
      <c r="C5132" s="4" t="s">
        <v>34361</v>
      </c>
      <c r="D5132" s="4" t="s">
        <v>34362</v>
      </c>
      <c r="E5132" s="4" t="s">
        <v>34363</v>
      </c>
      <c r="F5132" s="4" t="s">
        <v>556</v>
      </c>
      <c r="G5132" s="4" t="s">
        <v>34364</v>
      </c>
      <c r="H5132" s="6"/>
      <c r="I5132" s="6"/>
      <c r="J5132" s="6"/>
      <c r="K5132" s="6"/>
      <c r="L5132" s="6"/>
      <c r="M5132" s="6"/>
      <c r="N5132" s="6"/>
      <c r="O5132" s="6"/>
      <c r="P5132" s="6"/>
      <c r="Q5132" s="6"/>
      <c r="R5132" s="6"/>
      <c r="S5132" s="6"/>
      <c r="T5132" s="6"/>
      <c r="U5132" s="6"/>
      <c r="V5132" s="6"/>
      <c r="W5132" s="6"/>
      <c r="X5132" s="6"/>
      <c r="Y5132" s="6"/>
      <c r="Z5132" s="6"/>
      <c r="AA5132" s="6"/>
    </row>
    <row r="5133" ht="14.25">
      <c r="B5133" s="14" t="s">
        <v>34360</v>
      </c>
      <c r="C5133" s="4" t="s">
        <v>34365</v>
      </c>
      <c r="D5133" s="4" t="s">
        <v>34366</v>
      </c>
      <c r="E5133" s="4" t="s">
        <v>34367</v>
      </c>
      <c r="F5133" s="4" t="s">
        <v>110</v>
      </c>
      <c r="G5133" s="4" t="s">
        <v>34368</v>
      </c>
      <c r="H5133" s="6"/>
      <c r="I5133" s="6"/>
      <c r="J5133" s="6"/>
      <c r="K5133" s="6"/>
      <c r="L5133" s="6"/>
      <c r="M5133" s="6"/>
      <c r="N5133" s="6"/>
      <c r="O5133" s="6"/>
      <c r="P5133" s="6"/>
      <c r="Q5133" s="6"/>
      <c r="R5133" s="6"/>
      <c r="S5133" s="6"/>
      <c r="T5133" s="6"/>
      <c r="U5133" s="6"/>
      <c r="V5133" s="6"/>
      <c r="W5133" s="6"/>
      <c r="X5133" s="6"/>
      <c r="Y5133" s="6"/>
      <c r="Z5133" s="6"/>
      <c r="AA5133" s="6"/>
    </row>
    <row r="5134" ht="14.25">
      <c r="B5134" s="14" t="s">
        <v>34360</v>
      </c>
      <c r="C5134" s="4" t="s">
        <v>34365</v>
      </c>
      <c r="D5134" s="4" t="s">
        <v>34369</v>
      </c>
      <c r="E5134" s="4" t="s">
        <v>34367</v>
      </c>
      <c r="F5134" s="4" t="s">
        <v>13300</v>
      </c>
      <c r="G5134" s="4" t="s">
        <v>34370</v>
      </c>
      <c r="H5134" s="6"/>
      <c r="I5134" s="6"/>
      <c r="J5134" s="6"/>
      <c r="K5134" s="6"/>
      <c r="L5134" s="6"/>
      <c r="M5134" s="6"/>
      <c r="N5134" s="6"/>
      <c r="O5134" s="6"/>
      <c r="P5134" s="6"/>
      <c r="Q5134" s="6"/>
      <c r="R5134" s="6"/>
      <c r="S5134" s="6"/>
      <c r="T5134" s="6"/>
      <c r="U5134" s="6"/>
      <c r="V5134" s="6"/>
      <c r="W5134" s="6"/>
      <c r="X5134" s="6"/>
      <c r="Y5134" s="6"/>
      <c r="Z5134" s="6"/>
      <c r="AA5134" s="6"/>
    </row>
    <row r="5135" ht="14.25">
      <c r="B5135" s="14" t="s">
        <v>34360</v>
      </c>
      <c r="C5135" s="4" t="s">
        <v>34361</v>
      </c>
      <c r="D5135" s="4" t="s">
        <v>34371</v>
      </c>
      <c r="E5135" s="4" t="s">
        <v>34363</v>
      </c>
      <c r="F5135" s="4" t="s">
        <v>33217</v>
      </c>
      <c r="G5135" s="4" t="s">
        <v>34372</v>
      </c>
      <c r="H5135" s="6"/>
      <c r="I5135" s="6"/>
      <c r="J5135" s="6"/>
      <c r="K5135" s="6"/>
      <c r="L5135" s="6"/>
      <c r="M5135" s="6"/>
      <c r="N5135" s="6"/>
      <c r="O5135" s="6"/>
      <c r="P5135" s="6"/>
      <c r="Q5135" s="6"/>
      <c r="R5135" s="6"/>
      <c r="S5135" s="6"/>
      <c r="T5135" s="6"/>
      <c r="U5135" s="6"/>
      <c r="V5135" s="6"/>
      <c r="W5135" s="6"/>
      <c r="X5135" s="6"/>
      <c r="Y5135" s="6"/>
      <c r="Z5135" s="6"/>
      <c r="AA5135" s="6"/>
    </row>
    <row r="5136" ht="14.25">
      <c r="B5136" s="14" t="s">
        <v>34360</v>
      </c>
      <c r="C5136" s="4" t="s">
        <v>34365</v>
      </c>
      <c r="D5136" s="4" t="s">
        <v>34373</v>
      </c>
      <c r="E5136" s="4" t="s">
        <v>34367</v>
      </c>
      <c r="F5136" s="4" t="s">
        <v>34374</v>
      </c>
      <c r="G5136" s="4" t="s">
        <v>34375</v>
      </c>
      <c r="H5136" s="6"/>
      <c r="I5136" s="6"/>
      <c r="J5136" s="6"/>
      <c r="K5136" s="6"/>
      <c r="L5136" s="6"/>
      <c r="M5136" s="6"/>
      <c r="N5136" s="6"/>
      <c r="O5136" s="6"/>
      <c r="P5136" s="6"/>
      <c r="Q5136" s="6"/>
      <c r="R5136" s="6"/>
      <c r="S5136" s="6"/>
      <c r="T5136" s="6"/>
      <c r="U5136" s="6"/>
      <c r="V5136" s="6"/>
      <c r="W5136" s="6"/>
      <c r="X5136" s="6"/>
      <c r="Y5136" s="6"/>
      <c r="Z5136" s="6"/>
      <c r="AA5136" s="6"/>
    </row>
    <row r="5137" ht="14.25">
      <c r="B5137" s="14" t="s">
        <v>34360</v>
      </c>
      <c r="C5137" s="4" t="s">
        <v>34361</v>
      </c>
      <c r="D5137" s="4" t="s">
        <v>34376</v>
      </c>
      <c r="E5137" s="4" t="s">
        <v>34363</v>
      </c>
      <c r="F5137" s="4" t="s">
        <v>604</v>
      </c>
      <c r="G5137" s="4" t="s">
        <v>32564</v>
      </c>
      <c r="H5137" s="6"/>
      <c r="I5137" s="6"/>
      <c r="J5137" s="6"/>
      <c r="K5137" s="6"/>
      <c r="L5137" s="6"/>
      <c r="M5137" s="6"/>
      <c r="N5137" s="6"/>
      <c r="O5137" s="6"/>
      <c r="P5137" s="6"/>
      <c r="Q5137" s="6"/>
      <c r="R5137" s="6"/>
      <c r="S5137" s="6"/>
      <c r="T5137" s="6"/>
      <c r="U5137" s="6"/>
      <c r="V5137" s="6"/>
      <c r="W5137" s="6"/>
      <c r="X5137" s="6"/>
      <c r="Y5137" s="6"/>
      <c r="Z5137" s="6"/>
      <c r="AA5137" s="6"/>
    </row>
    <row r="5138" ht="14.25">
      <c r="B5138" s="14" t="s">
        <v>34360</v>
      </c>
      <c r="C5138" s="4" t="s">
        <v>34361</v>
      </c>
      <c r="D5138" s="4" t="s">
        <v>34377</v>
      </c>
      <c r="E5138" s="4" t="s">
        <v>34363</v>
      </c>
      <c r="F5138" s="4" t="s">
        <v>34378</v>
      </c>
      <c r="G5138" s="4" t="s">
        <v>34379</v>
      </c>
      <c r="H5138" s="6"/>
      <c r="I5138" s="6"/>
      <c r="J5138" s="6"/>
      <c r="K5138" s="6"/>
      <c r="L5138" s="6"/>
      <c r="M5138" s="6"/>
      <c r="N5138" s="6"/>
      <c r="O5138" s="6"/>
      <c r="P5138" s="6"/>
      <c r="Q5138" s="6"/>
      <c r="R5138" s="6"/>
      <c r="S5138" s="6"/>
      <c r="T5138" s="6"/>
      <c r="U5138" s="6"/>
      <c r="V5138" s="6"/>
      <c r="W5138" s="6"/>
      <c r="X5138" s="6"/>
      <c r="Y5138" s="6"/>
      <c r="Z5138" s="6"/>
      <c r="AA5138" s="6"/>
    </row>
    <row r="5139" ht="14.25">
      <c r="B5139" s="14" t="s">
        <v>34380</v>
      </c>
      <c r="C5139" s="4" t="s">
        <v>34381</v>
      </c>
      <c r="D5139" s="4" t="s">
        <v>34382</v>
      </c>
      <c r="E5139" s="4" t="s">
        <v>34383</v>
      </c>
      <c r="F5139" s="4" t="s">
        <v>21089</v>
      </c>
      <c r="G5139" s="4" t="s">
        <v>34384</v>
      </c>
      <c r="H5139" s="6"/>
      <c r="I5139" s="6"/>
      <c r="J5139" s="6"/>
      <c r="K5139" s="6"/>
      <c r="L5139" s="6"/>
      <c r="M5139" s="6"/>
      <c r="N5139" s="6"/>
      <c r="O5139" s="6"/>
      <c r="P5139" s="6"/>
      <c r="Q5139" s="6"/>
      <c r="R5139" s="6"/>
      <c r="S5139" s="6"/>
      <c r="T5139" s="6"/>
      <c r="U5139" s="6"/>
      <c r="V5139" s="6"/>
      <c r="W5139" s="6"/>
      <c r="X5139" s="6"/>
      <c r="Y5139" s="6"/>
      <c r="Z5139" s="6"/>
      <c r="AA5139" s="6"/>
    </row>
    <row r="5140" ht="14.25">
      <c r="B5140" s="14" t="s">
        <v>34385</v>
      </c>
      <c r="C5140" s="4" t="s">
        <v>34386</v>
      </c>
      <c r="D5140" s="4" t="s">
        <v>34387</v>
      </c>
      <c r="E5140" s="4" t="s">
        <v>34388</v>
      </c>
      <c r="F5140" s="4" t="s">
        <v>4969</v>
      </c>
      <c r="G5140" s="4" t="s">
        <v>34389</v>
      </c>
      <c r="H5140" s="6"/>
      <c r="I5140" s="6"/>
      <c r="J5140" s="6"/>
      <c r="K5140" s="6"/>
      <c r="L5140" s="6"/>
      <c r="M5140" s="6"/>
      <c r="N5140" s="6"/>
      <c r="O5140" s="6"/>
      <c r="P5140" s="6"/>
      <c r="Q5140" s="6"/>
      <c r="R5140" s="6"/>
      <c r="S5140" s="6"/>
      <c r="T5140" s="6"/>
      <c r="U5140" s="6"/>
      <c r="V5140" s="6"/>
      <c r="W5140" s="6"/>
      <c r="X5140" s="6"/>
      <c r="Y5140" s="6"/>
      <c r="Z5140" s="6"/>
      <c r="AA5140" s="6"/>
    </row>
    <row r="5141" ht="14.25">
      <c r="B5141" s="14" t="s">
        <v>34390</v>
      </c>
      <c r="C5141" s="4" t="s">
        <v>34391</v>
      </c>
      <c r="D5141" s="4" t="s">
        <v>34392</v>
      </c>
      <c r="E5141" s="4" t="s">
        <v>34393</v>
      </c>
      <c r="F5141" s="4" t="s">
        <v>604</v>
      </c>
      <c r="G5141" s="4" t="s">
        <v>34394</v>
      </c>
      <c r="H5141" s="6"/>
      <c r="I5141" s="6"/>
      <c r="J5141" s="6"/>
      <c r="K5141" s="6"/>
      <c r="L5141" s="6"/>
      <c r="M5141" s="6"/>
      <c r="N5141" s="6"/>
      <c r="O5141" s="6"/>
      <c r="P5141" s="6"/>
      <c r="Q5141" s="6"/>
      <c r="R5141" s="6"/>
      <c r="S5141" s="6"/>
      <c r="T5141" s="6"/>
      <c r="U5141" s="6"/>
      <c r="V5141" s="6"/>
      <c r="W5141" s="6"/>
      <c r="X5141" s="6"/>
      <c r="Y5141" s="6"/>
      <c r="Z5141" s="6"/>
      <c r="AA5141" s="6"/>
    </row>
    <row r="5142" ht="14.25">
      <c r="B5142" s="14" t="s">
        <v>34390</v>
      </c>
      <c r="C5142" s="4" t="s">
        <v>34391</v>
      </c>
      <c r="D5142" s="4" t="s">
        <v>34395</v>
      </c>
      <c r="E5142" s="4" t="s">
        <v>34393</v>
      </c>
      <c r="F5142" s="4" t="s">
        <v>34396</v>
      </c>
      <c r="G5142" s="4" t="s">
        <v>34397</v>
      </c>
      <c r="H5142" s="6"/>
      <c r="I5142" s="6"/>
      <c r="J5142" s="6"/>
      <c r="K5142" s="6"/>
      <c r="L5142" s="6"/>
      <c r="M5142" s="6"/>
      <c r="N5142" s="6"/>
      <c r="O5142" s="6"/>
      <c r="P5142" s="6"/>
      <c r="Q5142" s="6"/>
      <c r="R5142" s="6"/>
      <c r="S5142" s="6"/>
      <c r="T5142" s="6"/>
      <c r="U5142" s="6"/>
      <c r="V5142" s="6"/>
      <c r="W5142" s="6"/>
      <c r="X5142" s="6"/>
      <c r="Y5142" s="6"/>
      <c r="Z5142" s="6"/>
      <c r="AA5142" s="6"/>
    </row>
    <row r="5143" ht="14.25">
      <c r="B5143" s="14" t="s">
        <v>34390</v>
      </c>
      <c r="C5143" s="4" t="s">
        <v>34391</v>
      </c>
      <c r="D5143" s="4" t="s">
        <v>34398</v>
      </c>
      <c r="E5143" s="4" t="s">
        <v>34393</v>
      </c>
      <c r="F5143" s="4" t="s">
        <v>1215</v>
      </c>
      <c r="G5143" s="4" t="s">
        <v>34399</v>
      </c>
      <c r="H5143" s="6"/>
      <c r="I5143" s="6"/>
      <c r="J5143" s="6"/>
      <c r="K5143" s="6"/>
      <c r="L5143" s="6"/>
      <c r="M5143" s="6"/>
      <c r="N5143" s="6"/>
      <c r="O5143" s="6"/>
      <c r="P5143" s="6"/>
      <c r="Q5143" s="6"/>
      <c r="R5143" s="6"/>
      <c r="S5143" s="6"/>
      <c r="T5143" s="6"/>
      <c r="U5143" s="6"/>
      <c r="V5143" s="6"/>
      <c r="W5143" s="6"/>
      <c r="X5143" s="6"/>
      <c r="Y5143" s="6"/>
      <c r="Z5143" s="6"/>
      <c r="AA5143" s="6"/>
    </row>
    <row r="5144" ht="14.25">
      <c r="B5144" s="14" t="s">
        <v>34400</v>
      </c>
      <c r="C5144" s="4" t="s">
        <v>34401</v>
      </c>
      <c r="D5144" s="4" t="s">
        <v>34402</v>
      </c>
      <c r="E5144" s="4" t="s">
        <v>34403</v>
      </c>
      <c r="F5144" s="4" t="s">
        <v>32622</v>
      </c>
      <c r="G5144" s="4" t="s">
        <v>34404</v>
      </c>
      <c r="H5144" s="6"/>
      <c r="I5144" s="6"/>
      <c r="J5144" s="6"/>
      <c r="K5144" s="6"/>
      <c r="L5144" s="6"/>
      <c r="M5144" s="6"/>
      <c r="N5144" s="6"/>
      <c r="O5144" s="6"/>
      <c r="P5144" s="6"/>
      <c r="Q5144" s="6"/>
      <c r="R5144" s="6"/>
      <c r="S5144" s="6"/>
      <c r="T5144" s="6"/>
      <c r="U5144" s="6"/>
      <c r="V5144" s="6"/>
      <c r="W5144" s="6"/>
      <c r="X5144" s="6"/>
      <c r="Y5144" s="6"/>
      <c r="Z5144" s="6"/>
      <c r="AA5144" s="6"/>
    </row>
    <row r="5145" ht="14.25">
      <c r="B5145" s="14" t="s">
        <v>34405</v>
      </c>
      <c r="C5145" s="4" t="s">
        <v>34406</v>
      </c>
      <c r="D5145" s="4" t="s">
        <v>34407</v>
      </c>
      <c r="E5145" s="4" t="s">
        <v>34408</v>
      </c>
      <c r="F5145" s="4" t="s">
        <v>33283</v>
      </c>
      <c r="G5145" s="4" t="s">
        <v>34409</v>
      </c>
      <c r="H5145" s="6"/>
      <c r="I5145" s="6"/>
      <c r="J5145" s="6"/>
      <c r="K5145" s="6"/>
      <c r="L5145" s="6"/>
      <c r="M5145" s="6"/>
      <c r="N5145" s="6"/>
      <c r="O5145" s="6"/>
      <c r="P5145" s="6"/>
      <c r="Q5145" s="6"/>
      <c r="R5145" s="6"/>
      <c r="S5145" s="6"/>
      <c r="T5145" s="6"/>
      <c r="U5145" s="6"/>
      <c r="V5145" s="6"/>
      <c r="W5145" s="6"/>
      <c r="X5145" s="6"/>
      <c r="Y5145" s="6"/>
      <c r="Z5145" s="6"/>
      <c r="AA5145" s="6"/>
    </row>
    <row r="5146" ht="14.25">
      <c r="B5146" s="14" t="s">
        <v>34405</v>
      </c>
      <c r="C5146" s="4" t="s">
        <v>34406</v>
      </c>
      <c r="D5146" s="4" t="s">
        <v>34410</v>
      </c>
      <c r="E5146" s="4" t="s">
        <v>34408</v>
      </c>
      <c r="F5146" s="4" t="s">
        <v>5716</v>
      </c>
      <c r="G5146" s="4" t="s">
        <v>34411</v>
      </c>
      <c r="H5146" s="6"/>
      <c r="I5146" s="6"/>
      <c r="J5146" s="6"/>
      <c r="K5146" s="6"/>
      <c r="L5146" s="6"/>
      <c r="M5146" s="6"/>
      <c r="N5146" s="6"/>
      <c r="O5146" s="6"/>
      <c r="P5146" s="6"/>
      <c r="Q5146" s="6"/>
      <c r="R5146" s="6"/>
      <c r="S5146" s="6"/>
      <c r="T5146" s="6"/>
      <c r="U5146" s="6"/>
      <c r="V5146" s="6"/>
      <c r="W5146" s="6"/>
      <c r="X5146" s="6"/>
      <c r="Y5146" s="6"/>
      <c r="Z5146" s="6"/>
      <c r="AA5146" s="6"/>
    </row>
    <row r="5147" ht="14.25">
      <c r="B5147" s="14" t="s">
        <v>34412</v>
      </c>
      <c r="C5147" s="4" t="s">
        <v>34413</v>
      </c>
      <c r="D5147" s="4" t="s">
        <v>34414</v>
      </c>
      <c r="E5147" s="4" t="s">
        <v>34415</v>
      </c>
      <c r="F5147" s="4" t="s">
        <v>1562</v>
      </c>
      <c r="G5147" s="4" t="s">
        <v>34416</v>
      </c>
      <c r="H5147" s="6"/>
      <c r="I5147" s="6"/>
      <c r="J5147" s="6"/>
      <c r="K5147" s="6"/>
      <c r="L5147" s="6"/>
      <c r="M5147" s="6"/>
      <c r="N5147" s="6"/>
      <c r="O5147" s="6"/>
      <c r="P5147" s="6"/>
      <c r="Q5147" s="6"/>
      <c r="R5147" s="6"/>
      <c r="S5147" s="6"/>
      <c r="T5147" s="6"/>
      <c r="U5147" s="6"/>
      <c r="V5147" s="6"/>
      <c r="W5147" s="6"/>
      <c r="X5147" s="6"/>
      <c r="Y5147" s="6"/>
      <c r="Z5147" s="6"/>
      <c r="AA5147" s="6"/>
    </row>
    <row r="5148" ht="14.25">
      <c r="B5148" s="14" t="s">
        <v>34417</v>
      </c>
      <c r="C5148" s="4" t="s">
        <v>34418</v>
      </c>
      <c r="D5148" s="4" t="s">
        <v>34419</v>
      </c>
      <c r="E5148" s="4" t="s">
        <v>34420</v>
      </c>
      <c r="F5148" s="4" t="s">
        <v>34421</v>
      </c>
      <c r="G5148" s="4" t="s">
        <v>34422</v>
      </c>
      <c r="H5148" s="6"/>
      <c r="I5148" s="6"/>
      <c r="J5148" s="6"/>
      <c r="K5148" s="6"/>
      <c r="L5148" s="6"/>
      <c r="M5148" s="6"/>
      <c r="N5148" s="6"/>
      <c r="O5148" s="6"/>
      <c r="P5148" s="6"/>
      <c r="Q5148" s="6"/>
      <c r="R5148" s="6"/>
      <c r="S5148" s="6"/>
      <c r="T5148" s="6"/>
      <c r="U5148" s="6"/>
      <c r="V5148" s="6"/>
      <c r="W5148" s="6"/>
      <c r="X5148" s="6"/>
      <c r="Y5148" s="6"/>
      <c r="Z5148" s="6"/>
      <c r="AA5148" s="6"/>
    </row>
    <row r="5149" ht="14.25">
      <c r="B5149" s="14" t="s">
        <v>34417</v>
      </c>
      <c r="C5149" s="4" t="s">
        <v>34418</v>
      </c>
      <c r="D5149" s="4" t="s">
        <v>34423</v>
      </c>
      <c r="E5149" s="4" t="s">
        <v>34420</v>
      </c>
      <c r="F5149" s="4" t="s">
        <v>330</v>
      </c>
      <c r="G5149" s="4" t="s">
        <v>34424</v>
      </c>
      <c r="H5149" s="6"/>
      <c r="I5149" s="6"/>
      <c r="J5149" s="6"/>
      <c r="K5149" s="6"/>
      <c r="L5149" s="6"/>
      <c r="M5149" s="6"/>
      <c r="N5149" s="6"/>
      <c r="O5149" s="6"/>
      <c r="P5149" s="6"/>
      <c r="Q5149" s="6"/>
      <c r="R5149" s="6"/>
      <c r="S5149" s="6"/>
      <c r="T5149" s="6"/>
      <c r="U5149" s="6"/>
      <c r="V5149" s="6"/>
      <c r="W5149" s="6"/>
      <c r="X5149" s="6"/>
      <c r="Y5149" s="6"/>
      <c r="Z5149" s="6"/>
      <c r="AA5149" s="6"/>
    </row>
    <row r="5150" ht="14.25">
      <c r="B5150" s="14" t="s">
        <v>34425</v>
      </c>
      <c r="C5150" s="4" t="s">
        <v>34426</v>
      </c>
      <c r="D5150" s="4" t="s">
        <v>34427</v>
      </c>
      <c r="E5150" s="4" t="s">
        <v>34428</v>
      </c>
      <c r="F5150" s="4" t="s">
        <v>14448</v>
      </c>
      <c r="G5150" s="4" t="s">
        <v>34429</v>
      </c>
      <c r="H5150" s="6"/>
      <c r="I5150" s="6"/>
      <c r="J5150" s="6"/>
      <c r="K5150" s="6"/>
      <c r="L5150" s="6"/>
      <c r="M5150" s="6"/>
      <c r="N5150" s="6"/>
      <c r="O5150" s="6"/>
      <c r="P5150" s="6"/>
      <c r="Q5150" s="6"/>
      <c r="R5150" s="6"/>
      <c r="S5150" s="6"/>
      <c r="T5150" s="6"/>
      <c r="U5150" s="6"/>
      <c r="V5150" s="6"/>
      <c r="W5150" s="6"/>
      <c r="X5150" s="6"/>
      <c r="Y5150" s="6"/>
      <c r="Z5150" s="6"/>
      <c r="AA5150" s="6"/>
    </row>
    <row r="5151" ht="14.25">
      <c r="B5151" s="14" t="s">
        <v>34425</v>
      </c>
      <c r="C5151" s="4" t="s">
        <v>34430</v>
      </c>
      <c r="D5151" s="4" t="s">
        <v>34431</v>
      </c>
      <c r="E5151" s="4" t="s">
        <v>34432</v>
      </c>
      <c r="F5151" s="4" t="s">
        <v>34433</v>
      </c>
      <c r="G5151" s="4" t="s">
        <v>34434</v>
      </c>
      <c r="H5151" s="6"/>
      <c r="I5151" s="6"/>
      <c r="J5151" s="6"/>
      <c r="K5151" s="6"/>
      <c r="L5151" s="6"/>
      <c r="M5151" s="6"/>
      <c r="N5151" s="6"/>
      <c r="O5151" s="6"/>
      <c r="P5151" s="6"/>
      <c r="Q5151" s="6"/>
      <c r="R5151" s="6"/>
      <c r="S5151" s="6"/>
      <c r="T5151" s="6"/>
      <c r="U5151" s="6"/>
      <c r="V5151" s="6"/>
      <c r="W5151" s="6"/>
      <c r="X5151" s="6"/>
      <c r="Y5151" s="6"/>
      <c r="Z5151" s="6"/>
      <c r="AA5151" s="6"/>
    </row>
    <row r="5152" ht="14.25">
      <c r="B5152" s="14" t="s">
        <v>34425</v>
      </c>
      <c r="C5152" s="4" t="s">
        <v>34430</v>
      </c>
      <c r="D5152" s="4" t="s">
        <v>34435</v>
      </c>
      <c r="E5152" s="4" t="s">
        <v>34432</v>
      </c>
      <c r="F5152" s="4" t="s">
        <v>34436</v>
      </c>
      <c r="G5152" s="4" t="s">
        <v>34437</v>
      </c>
      <c r="H5152" s="6"/>
      <c r="I5152" s="6"/>
      <c r="J5152" s="6"/>
      <c r="K5152" s="6"/>
      <c r="L5152" s="6"/>
      <c r="M5152" s="6"/>
      <c r="N5152" s="6"/>
      <c r="O5152" s="6"/>
      <c r="P5152" s="6"/>
      <c r="Q5152" s="6"/>
      <c r="R5152" s="6"/>
      <c r="S5152" s="6"/>
      <c r="T5152" s="6"/>
      <c r="U5152" s="6"/>
      <c r="V5152" s="6"/>
      <c r="W5152" s="6"/>
      <c r="X5152" s="6"/>
      <c r="Y5152" s="6"/>
      <c r="Z5152" s="6"/>
      <c r="AA5152" s="6"/>
    </row>
    <row r="5153" ht="14.25">
      <c r="B5153" s="14" t="s">
        <v>34425</v>
      </c>
      <c r="C5153" s="4" t="s">
        <v>34430</v>
      </c>
      <c r="D5153" s="4" t="s">
        <v>34438</v>
      </c>
      <c r="E5153" s="4" t="s">
        <v>34432</v>
      </c>
      <c r="F5153" s="4" t="s">
        <v>32831</v>
      </c>
      <c r="G5153" s="4" t="s">
        <v>34439</v>
      </c>
      <c r="H5153" s="6"/>
      <c r="I5153" s="6"/>
      <c r="J5153" s="6"/>
      <c r="K5153" s="6"/>
      <c r="L5153" s="6"/>
      <c r="M5153" s="6"/>
      <c r="N5153" s="6"/>
      <c r="O5153" s="6"/>
      <c r="P5153" s="6"/>
      <c r="Q5153" s="6"/>
      <c r="R5153" s="6"/>
      <c r="S5153" s="6"/>
      <c r="T5153" s="6"/>
      <c r="U5153" s="6"/>
      <c r="V5153" s="6"/>
      <c r="W5153" s="6"/>
      <c r="X5153" s="6"/>
      <c r="Y5153" s="6"/>
      <c r="Z5153" s="6"/>
      <c r="AA5153" s="6"/>
    </row>
    <row r="5154" ht="14.25">
      <c r="B5154" s="14" t="s">
        <v>34440</v>
      </c>
      <c r="C5154" s="4" t="s">
        <v>34441</v>
      </c>
      <c r="D5154" s="4" t="s">
        <v>34442</v>
      </c>
      <c r="E5154" s="4" t="s">
        <v>34443</v>
      </c>
      <c r="F5154" s="4" t="s">
        <v>6945</v>
      </c>
      <c r="G5154" s="4" t="s">
        <v>34444</v>
      </c>
      <c r="H5154" s="6"/>
      <c r="I5154" s="6"/>
      <c r="J5154" s="6"/>
      <c r="K5154" s="6"/>
      <c r="L5154" s="6"/>
      <c r="M5154" s="6"/>
      <c r="N5154" s="6"/>
      <c r="O5154" s="6"/>
      <c r="P5154" s="6"/>
      <c r="Q5154" s="6"/>
      <c r="R5154" s="6"/>
      <c r="S5154" s="6"/>
      <c r="T5154" s="6"/>
      <c r="U5154" s="6"/>
      <c r="V5154" s="6"/>
      <c r="W5154" s="6"/>
      <c r="X5154" s="6"/>
      <c r="Y5154" s="6"/>
      <c r="Z5154" s="6"/>
      <c r="AA5154" s="6"/>
    </row>
    <row r="5155" ht="14.25">
      <c r="B5155" s="14" t="s">
        <v>34440</v>
      </c>
      <c r="C5155" s="4" t="s">
        <v>34441</v>
      </c>
      <c r="D5155" s="4" t="s">
        <v>34445</v>
      </c>
      <c r="E5155" s="4" t="s">
        <v>34443</v>
      </c>
      <c r="F5155" s="4" t="s">
        <v>3850</v>
      </c>
      <c r="G5155" s="4" t="s">
        <v>34446</v>
      </c>
      <c r="H5155" s="6"/>
      <c r="I5155" s="6"/>
      <c r="J5155" s="6"/>
      <c r="K5155" s="6"/>
      <c r="L5155" s="6"/>
      <c r="M5155" s="6"/>
      <c r="N5155" s="6"/>
      <c r="O5155" s="4"/>
      <c r="P5155" s="6"/>
      <c r="Q5155" s="6"/>
      <c r="R5155" s="6"/>
      <c r="S5155" s="6"/>
      <c r="T5155" s="6"/>
      <c r="U5155" s="6"/>
      <c r="V5155" s="6"/>
      <c r="W5155" s="6"/>
      <c r="X5155" s="6"/>
      <c r="Y5155" s="6"/>
      <c r="Z5155" s="6"/>
      <c r="AA5155" s="6"/>
    </row>
    <row r="5156" ht="14.25">
      <c r="B5156" s="14" t="s">
        <v>34440</v>
      </c>
      <c r="C5156" s="4" t="s">
        <v>34441</v>
      </c>
      <c r="D5156" s="4" t="s">
        <v>34447</v>
      </c>
      <c r="E5156" s="4" t="s">
        <v>34443</v>
      </c>
      <c r="F5156" s="4" t="s">
        <v>95</v>
      </c>
      <c r="G5156" s="4" t="s">
        <v>34448</v>
      </c>
      <c r="H5156" s="6"/>
      <c r="I5156" s="6"/>
      <c r="J5156" s="6"/>
      <c r="K5156" s="6"/>
      <c r="L5156" s="6"/>
      <c r="M5156" s="6"/>
      <c r="N5156" s="6"/>
      <c r="O5156" s="6"/>
      <c r="P5156" s="6"/>
      <c r="Q5156" s="6"/>
      <c r="R5156" s="6"/>
      <c r="S5156" s="6"/>
      <c r="T5156" s="6"/>
      <c r="U5156" s="6"/>
      <c r="V5156" s="6"/>
      <c r="W5156" s="6"/>
      <c r="X5156" s="6"/>
      <c r="Y5156" s="6"/>
      <c r="Z5156" s="6"/>
      <c r="AA5156" s="6"/>
    </row>
    <row r="5157" ht="14.25">
      <c r="B5157" s="14" t="s">
        <v>34449</v>
      </c>
      <c r="C5157" s="4" t="s">
        <v>34450</v>
      </c>
      <c r="D5157" s="4" t="s">
        <v>34451</v>
      </c>
      <c r="E5157" s="4" t="s">
        <v>34452</v>
      </c>
      <c r="F5157" s="4" t="s">
        <v>32548</v>
      </c>
      <c r="G5157" s="4" t="s">
        <v>34453</v>
      </c>
      <c r="H5157" s="6"/>
      <c r="I5157" s="6"/>
      <c r="J5157" s="6"/>
      <c r="K5157" s="6"/>
      <c r="L5157" s="6"/>
      <c r="M5157" s="6"/>
      <c r="N5157" s="6"/>
      <c r="O5157" s="6"/>
      <c r="P5157" s="6"/>
      <c r="Q5157" s="6"/>
      <c r="R5157" s="6"/>
      <c r="S5157" s="6"/>
      <c r="T5157" s="6"/>
      <c r="U5157" s="6"/>
      <c r="V5157" s="6"/>
      <c r="W5157" s="6"/>
      <c r="X5157" s="6"/>
      <c r="Y5157" s="6"/>
      <c r="Z5157" s="6"/>
      <c r="AA5157" s="6"/>
    </row>
    <row r="5158" ht="14.25">
      <c r="B5158" s="14" t="s">
        <v>34454</v>
      </c>
      <c r="C5158" s="4" t="s">
        <v>34455</v>
      </c>
      <c r="D5158" s="4" t="s">
        <v>34456</v>
      </c>
      <c r="E5158" s="4" t="s">
        <v>34457</v>
      </c>
      <c r="F5158" s="4" t="s">
        <v>2299</v>
      </c>
      <c r="G5158" s="4" t="s">
        <v>34458</v>
      </c>
      <c r="H5158" s="6"/>
      <c r="I5158" s="6"/>
      <c r="J5158" s="6"/>
      <c r="K5158" s="6"/>
      <c r="L5158" s="6"/>
      <c r="M5158" s="6"/>
      <c r="N5158" s="6"/>
      <c r="O5158" s="6"/>
      <c r="P5158" s="6"/>
      <c r="Q5158" s="6"/>
      <c r="R5158" s="6"/>
      <c r="S5158" s="6"/>
      <c r="T5158" s="6"/>
      <c r="U5158" s="6"/>
      <c r="V5158" s="6"/>
      <c r="W5158" s="6"/>
      <c r="X5158" s="6"/>
      <c r="Y5158" s="6"/>
      <c r="Z5158" s="6"/>
      <c r="AA5158" s="6"/>
    </row>
    <row r="5159" ht="14.25">
      <c r="B5159" s="14" t="s">
        <v>34459</v>
      </c>
      <c r="C5159" s="4" t="s">
        <v>34460</v>
      </c>
      <c r="D5159" s="4" t="s">
        <v>34461</v>
      </c>
      <c r="E5159" s="4" t="s">
        <v>34462</v>
      </c>
      <c r="F5159" s="4" t="s">
        <v>32579</v>
      </c>
      <c r="G5159" s="4" t="s">
        <v>34463</v>
      </c>
      <c r="H5159" s="6"/>
      <c r="I5159" s="6"/>
      <c r="J5159" s="6"/>
      <c r="K5159" s="6"/>
      <c r="L5159" s="6"/>
      <c r="M5159" s="6"/>
      <c r="N5159" s="6"/>
      <c r="O5159" s="6"/>
      <c r="P5159" s="6"/>
      <c r="Q5159" s="6"/>
      <c r="R5159" s="6"/>
      <c r="S5159" s="6"/>
      <c r="T5159" s="6"/>
      <c r="U5159" s="6"/>
      <c r="V5159" s="6"/>
      <c r="W5159" s="6"/>
      <c r="X5159" s="6"/>
      <c r="Y5159" s="6"/>
      <c r="Z5159" s="6"/>
      <c r="AA5159" s="6"/>
    </row>
    <row r="5160" ht="14.25">
      <c r="B5160" s="14" t="s">
        <v>34464</v>
      </c>
      <c r="C5160" s="4" t="s">
        <v>34465</v>
      </c>
      <c r="D5160" s="4" t="s">
        <v>34466</v>
      </c>
      <c r="E5160" s="6"/>
      <c r="F5160" s="4" t="s">
        <v>32831</v>
      </c>
      <c r="G5160" s="4" t="s">
        <v>34467</v>
      </c>
      <c r="H5160" s="6"/>
      <c r="I5160" s="6"/>
      <c r="J5160" s="6"/>
      <c r="K5160" s="6"/>
      <c r="L5160" s="6"/>
      <c r="M5160" s="6"/>
      <c r="N5160" s="6"/>
      <c r="O5160" s="6"/>
      <c r="P5160" s="6"/>
      <c r="Q5160" s="6"/>
      <c r="R5160" s="6"/>
      <c r="S5160" s="6"/>
      <c r="T5160" s="6"/>
      <c r="U5160" s="6"/>
      <c r="V5160" s="6"/>
      <c r="W5160" s="6"/>
      <c r="X5160" s="6"/>
      <c r="Y5160" s="6"/>
      <c r="Z5160" s="6"/>
      <c r="AA5160" s="6"/>
    </row>
    <row r="5161" ht="14.25">
      <c r="B5161" s="14" t="s">
        <v>34468</v>
      </c>
      <c r="C5161" s="4" t="s">
        <v>34469</v>
      </c>
      <c r="D5161" s="4" t="s">
        <v>34470</v>
      </c>
      <c r="E5161" s="4" t="s">
        <v>34471</v>
      </c>
      <c r="F5161" s="4" t="s">
        <v>6945</v>
      </c>
      <c r="G5161" s="4" t="s">
        <v>34472</v>
      </c>
      <c r="H5161" s="6"/>
      <c r="I5161" s="6"/>
      <c r="J5161" s="6"/>
      <c r="K5161" s="6"/>
      <c r="L5161" s="6"/>
      <c r="M5161" s="6"/>
      <c r="N5161" s="6"/>
      <c r="O5161" s="6"/>
      <c r="P5161" s="6"/>
      <c r="Q5161" s="6"/>
      <c r="R5161" s="6"/>
      <c r="S5161" s="6"/>
      <c r="T5161" s="6"/>
      <c r="U5161" s="6"/>
      <c r="V5161" s="6"/>
      <c r="W5161" s="6"/>
      <c r="X5161" s="6"/>
      <c r="Y5161" s="6"/>
      <c r="Z5161" s="6"/>
      <c r="AA5161" s="6"/>
    </row>
    <row r="5162" ht="14.25">
      <c r="B5162" s="14" t="s">
        <v>34468</v>
      </c>
      <c r="C5162" s="4" t="s">
        <v>34469</v>
      </c>
      <c r="D5162" s="4" t="s">
        <v>34473</v>
      </c>
      <c r="E5162" s="4" t="s">
        <v>34471</v>
      </c>
      <c r="F5162" s="4" t="s">
        <v>32666</v>
      </c>
      <c r="G5162" s="4" t="s">
        <v>34474</v>
      </c>
      <c r="H5162" s="6"/>
      <c r="I5162" s="6"/>
      <c r="J5162" s="6"/>
      <c r="K5162" s="6"/>
      <c r="L5162" s="6"/>
      <c r="M5162" s="6"/>
      <c r="N5162" s="6"/>
      <c r="O5162" s="6"/>
      <c r="P5162" s="6"/>
      <c r="Q5162" s="6"/>
      <c r="R5162" s="6"/>
      <c r="S5162" s="6"/>
      <c r="T5162" s="6"/>
      <c r="U5162" s="6"/>
      <c r="V5162" s="6"/>
      <c r="W5162" s="6"/>
      <c r="X5162" s="6"/>
      <c r="Y5162" s="6"/>
      <c r="Z5162" s="6"/>
      <c r="AA5162" s="6"/>
    </row>
    <row r="5163" ht="14.25">
      <c r="B5163" s="14" t="s">
        <v>34475</v>
      </c>
      <c r="C5163" s="4" t="s">
        <v>34476</v>
      </c>
      <c r="D5163" s="4" t="s">
        <v>34477</v>
      </c>
      <c r="E5163" s="4" t="s">
        <v>34478</v>
      </c>
      <c r="F5163" s="4" t="s">
        <v>33576</v>
      </c>
      <c r="G5163" s="4" t="s">
        <v>34479</v>
      </c>
      <c r="H5163" s="6"/>
      <c r="I5163" s="6"/>
      <c r="J5163" s="6"/>
      <c r="K5163" s="6"/>
      <c r="L5163" s="6"/>
      <c r="M5163" s="6"/>
      <c r="N5163" s="6"/>
      <c r="O5163" s="6"/>
      <c r="P5163" s="6"/>
      <c r="Q5163" s="6"/>
      <c r="R5163" s="6"/>
      <c r="S5163" s="6"/>
      <c r="T5163" s="6"/>
      <c r="U5163" s="6"/>
      <c r="V5163" s="6"/>
      <c r="W5163" s="6"/>
      <c r="X5163" s="6"/>
      <c r="Y5163" s="6"/>
      <c r="Z5163" s="6"/>
      <c r="AA5163" s="6"/>
    </row>
    <row r="5164" ht="14.25">
      <c r="B5164" s="14" t="s">
        <v>34480</v>
      </c>
      <c r="C5164" s="4" t="s">
        <v>34481</v>
      </c>
      <c r="D5164" s="4" t="s">
        <v>34482</v>
      </c>
      <c r="E5164" s="4" t="s">
        <v>34483</v>
      </c>
      <c r="F5164" s="4" t="s">
        <v>330</v>
      </c>
      <c r="G5164" s="4" t="s">
        <v>34484</v>
      </c>
      <c r="H5164" s="6"/>
      <c r="I5164" s="6"/>
      <c r="J5164" s="6"/>
      <c r="K5164" s="6"/>
      <c r="L5164" s="6"/>
      <c r="M5164" s="6"/>
      <c r="N5164" s="6"/>
      <c r="O5164" s="6"/>
      <c r="P5164" s="6"/>
      <c r="Q5164" s="6"/>
      <c r="R5164" s="6"/>
      <c r="S5164" s="6"/>
      <c r="T5164" s="6"/>
      <c r="U5164" s="6"/>
      <c r="V5164" s="6"/>
      <c r="W5164" s="6"/>
      <c r="X5164" s="6"/>
      <c r="Y5164" s="6"/>
      <c r="Z5164" s="6"/>
      <c r="AA5164" s="6"/>
    </row>
    <row r="5165" ht="14.25">
      <c r="B5165" s="14" t="s">
        <v>34485</v>
      </c>
      <c r="C5165" s="4" t="s">
        <v>34486</v>
      </c>
      <c r="D5165" s="4" t="s">
        <v>34487</v>
      </c>
      <c r="E5165" s="4" t="s">
        <v>34488</v>
      </c>
      <c r="F5165" s="4" t="s">
        <v>76</v>
      </c>
      <c r="G5165" s="4" t="s">
        <v>34489</v>
      </c>
      <c r="H5165" s="6"/>
      <c r="I5165" s="6"/>
      <c r="J5165" s="6"/>
      <c r="K5165" s="6"/>
      <c r="L5165" s="6"/>
      <c r="M5165" s="6"/>
      <c r="N5165" s="6"/>
      <c r="O5165" s="6"/>
      <c r="P5165" s="6"/>
      <c r="Q5165" s="6"/>
      <c r="R5165" s="6"/>
      <c r="S5165" s="6"/>
      <c r="T5165" s="6"/>
      <c r="U5165" s="6"/>
      <c r="V5165" s="6"/>
      <c r="W5165" s="6"/>
      <c r="X5165" s="6"/>
      <c r="Y5165" s="6"/>
      <c r="Z5165" s="6"/>
      <c r="AA5165" s="6"/>
    </row>
    <row r="5166" ht="14.25">
      <c r="B5166" s="14" t="s">
        <v>34490</v>
      </c>
      <c r="C5166" s="4" t="s">
        <v>34491</v>
      </c>
      <c r="D5166" s="4" t="s">
        <v>34492</v>
      </c>
      <c r="E5166" s="4" t="s">
        <v>34493</v>
      </c>
      <c r="F5166" s="4" t="s">
        <v>743</v>
      </c>
      <c r="G5166" s="4" t="s">
        <v>34494</v>
      </c>
      <c r="H5166" s="6"/>
      <c r="I5166" s="6"/>
      <c r="J5166" s="6"/>
      <c r="K5166" s="6"/>
      <c r="L5166" s="6"/>
      <c r="M5166" s="6"/>
      <c r="N5166" s="6"/>
      <c r="O5166" s="6"/>
      <c r="P5166" s="6"/>
      <c r="Q5166" s="6"/>
      <c r="R5166" s="6"/>
      <c r="S5166" s="6"/>
      <c r="T5166" s="6"/>
      <c r="U5166" s="6"/>
      <c r="V5166" s="6"/>
      <c r="W5166" s="6"/>
      <c r="X5166" s="6"/>
      <c r="Y5166" s="6"/>
      <c r="Z5166" s="6"/>
      <c r="AA5166" s="6"/>
    </row>
    <row r="5167" ht="14.25">
      <c r="B5167" s="14" t="s">
        <v>34495</v>
      </c>
      <c r="C5167" s="4" t="s">
        <v>34496</v>
      </c>
      <c r="D5167" s="4" t="s">
        <v>34497</v>
      </c>
      <c r="E5167" s="4" t="s">
        <v>34498</v>
      </c>
      <c r="F5167" s="4" t="s">
        <v>34499</v>
      </c>
      <c r="G5167" s="4" t="s">
        <v>34500</v>
      </c>
      <c r="H5167" s="6"/>
      <c r="I5167" s="6"/>
      <c r="J5167" s="6"/>
      <c r="K5167" s="6"/>
      <c r="L5167" s="6"/>
      <c r="M5167" s="6"/>
      <c r="N5167" s="6"/>
      <c r="O5167" s="6"/>
      <c r="P5167" s="6"/>
      <c r="Q5167" s="6"/>
      <c r="R5167" s="6"/>
      <c r="S5167" s="6"/>
      <c r="T5167" s="6"/>
      <c r="U5167" s="6"/>
      <c r="V5167" s="6"/>
      <c r="W5167" s="6"/>
      <c r="X5167" s="6"/>
      <c r="Y5167" s="6"/>
      <c r="Z5167" s="6"/>
      <c r="AA5167" s="6"/>
    </row>
    <row r="5168" ht="14.25">
      <c r="B5168" s="14" t="s">
        <v>34495</v>
      </c>
      <c r="C5168" s="4" t="s">
        <v>34496</v>
      </c>
      <c r="D5168" s="4" t="s">
        <v>34501</v>
      </c>
      <c r="E5168" s="4" t="s">
        <v>34498</v>
      </c>
      <c r="F5168" s="4" t="s">
        <v>2652</v>
      </c>
      <c r="G5168" s="4" t="s">
        <v>34502</v>
      </c>
      <c r="H5168" s="6"/>
      <c r="I5168" s="6"/>
      <c r="J5168" s="6"/>
      <c r="K5168" s="6"/>
      <c r="L5168" s="6"/>
      <c r="M5168" s="6"/>
      <c r="N5168" s="6"/>
      <c r="O5168" s="6"/>
      <c r="P5168" s="6"/>
      <c r="Q5168" s="6"/>
      <c r="R5168" s="6"/>
      <c r="S5168" s="6"/>
      <c r="T5168" s="6"/>
      <c r="U5168" s="6"/>
      <c r="V5168" s="6"/>
      <c r="W5168" s="6"/>
      <c r="X5168" s="6"/>
      <c r="Y5168" s="6"/>
      <c r="Z5168" s="6"/>
      <c r="AA5168" s="6"/>
    </row>
    <row r="5169" ht="14.25">
      <c r="B5169" s="14" t="s">
        <v>34495</v>
      </c>
      <c r="C5169" s="4" t="s">
        <v>34496</v>
      </c>
      <c r="D5169" s="4" t="s">
        <v>34503</v>
      </c>
      <c r="E5169" s="4" t="s">
        <v>34498</v>
      </c>
      <c r="F5169" s="4" t="s">
        <v>76</v>
      </c>
      <c r="G5169" s="4" t="s">
        <v>34504</v>
      </c>
      <c r="H5169" s="6"/>
      <c r="I5169" s="6"/>
      <c r="J5169" s="6"/>
      <c r="K5169" s="6"/>
      <c r="L5169" s="6"/>
      <c r="M5169" s="6"/>
      <c r="N5169" s="6"/>
      <c r="O5169" s="6"/>
      <c r="P5169" s="6"/>
      <c r="Q5169" s="6"/>
      <c r="R5169" s="6"/>
      <c r="S5169" s="6"/>
      <c r="T5169" s="6"/>
      <c r="U5169" s="6"/>
      <c r="V5169" s="6"/>
      <c r="W5169" s="6"/>
      <c r="X5169" s="6"/>
      <c r="Y5169" s="6"/>
      <c r="Z5169" s="6"/>
      <c r="AA5169" s="6"/>
    </row>
    <row r="5170" ht="14.25">
      <c r="B5170" s="14" t="s">
        <v>34495</v>
      </c>
      <c r="C5170" s="4" t="s">
        <v>34496</v>
      </c>
      <c r="D5170" s="4" t="s">
        <v>34505</v>
      </c>
      <c r="E5170" s="4" t="s">
        <v>34498</v>
      </c>
      <c r="F5170" s="4" t="s">
        <v>32579</v>
      </c>
      <c r="G5170" s="4" t="s">
        <v>34506</v>
      </c>
      <c r="H5170" s="6"/>
      <c r="I5170" s="6"/>
      <c r="J5170" s="6"/>
      <c r="K5170" s="6"/>
      <c r="L5170" s="6"/>
      <c r="M5170" s="6"/>
      <c r="N5170" s="6"/>
      <c r="O5170" s="6"/>
      <c r="P5170" s="6"/>
      <c r="Q5170" s="6"/>
      <c r="R5170" s="6"/>
      <c r="S5170" s="6"/>
      <c r="T5170" s="6"/>
      <c r="U5170" s="6"/>
      <c r="V5170" s="6"/>
      <c r="W5170" s="6"/>
      <c r="X5170" s="6"/>
      <c r="Y5170" s="6"/>
      <c r="Z5170" s="6"/>
      <c r="AA5170" s="6"/>
    </row>
    <row r="5171" ht="14.25">
      <c r="B5171" s="14" t="s">
        <v>34507</v>
      </c>
      <c r="C5171" s="4" t="s">
        <v>34508</v>
      </c>
      <c r="D5171" s="4" t="s">
        <v>34509</v>
      </c>
      <c r="E5171" s="4" t="s">
        <v>34510</v>
      </c>
      <c r="F5171" s="4" t="s">
        <v>808</v>
      </c>
      <c r="G5171" s="4" t="s">
        <v>34511</v>
      </c>
      <c r="H5171" s="6"/>
      <c r="I5171" s="6"/>
      <c r="J5171" s="6"/>
      <c r="K5171" s="6"/>
      <c r="L5171" s="6"/>
      <c r="M5171" s="6"/>
      <c r="N5171" s="6"/>
      <c r="O5171" s="6"/>
      <c r="P5171" s="6"/>
      <c r="Q5171" s="6"/>
      <c r="R5171" s="6"/>
      <c r="S5171" s="6"/>
      <c r="T5171" s="6"/>
      <c r="U5171" s="6"/>
      <c r="V5171" s="6"/>
      <c r="W5171" s="6"/>
      <c r="X5171" s="6"/>
      <c r="Y5171" s="6"/>
      <c r="Z5171" s="6"/>
      <c r="AA5171" s="6"/>
    </row>
    <row r="5172" ht="14.25">
      <c r="B5172" s="14" t="s">
        <v>34507</v>
      </c>
      <c r="C5172" s="4" t="s">
        <v>34512</v>
      </c>
      <c r="D5172" s="4" t="s">
        <v>34513</v>
      </c>
      <c r="E5172" s="4" t="s">
        <v>34514</v>
      </c>
      <c r="F5172" s="4" t="s">
        <v>34515</v>
      </c>
      <c r="G5172" s="4" t="s">
        <v>34512</v>
      </c>
      <c r="H5172" s="6"/>
      <c r="I5172" s="6"/>
      <c r="J5172" s="6"/>
      <c r="K5172" s="6"/>
      <c r="L5172" s="6"/>
      <c r="M5172" s="6"/>
      <c r="N5172" s="6"/>
      <c r="O5172" s="6"/>
      <c r="P5172" s="6"/>
      <c r="Q5172" s="6"/>
      <c r="R5172" s="6"/>
      <c r="S5172" s="6"/>
      <c r="T5172" s="6"/>
      <c r="U5172" s="6"/>
      <c r="V5172" s="6"/>
      <c r="W5172" s="6"/>
      <c r="X5172" s="6"/>
      <c r="Y5172" s="6"/>
      <c r="Z5172" s="6"/>
      <c r="AA5172" s="6"/>
    </row>
    <row r="5173" ht="14.25">
      <c r="B5173" s="14" t="s">
        <v>34516</v>
      </c>
      <c r="C5173" s="4" t="s">
        <v>34517</v>
      </c>
      <c r="D5173" s="4" t="s">
        <v>34518</v>
      </c>
      <c r="E5173" s="4" t="s">
        <v>34519</v>
      </c>
      <c r="F5173" s="4" t="s">
        <v>3850</v>
      </c>
      <c r="G5173" s="4" t="s">
        <v>34520</v>
      </c>
      <c r="H5173" s="6"/>
      <c r="I5173" s="6"/>
      <c r="J5173" s="6"/>
      <c r="K5173" s="6"/>
      <c r="L5173" s="6"/>
      <c r="M5173" s="6"/>
      <c r="N5173" s="6"/>
      <c r="O5173" s="6"/>
      <c r="P5173" s="6"/>
      <c r="Q5173" s="6"/>
      <c r="R5173" s="6"/>
      <c r="S5173" s="6"/>
      <c r="T5173" s="6"/>
      <c r="U5173" s="6"/>
      <c r="V5173" s="6"/>
      <c r="W5173" s="6"/>
      <c r="X5173" s="6"/>
      <c r="Y5173" s="6"/>
      <c r="Z5173" s="6"/>
      <c r="AA5173" s="6"/>
    </row>
    <row r="5174" ht="14.25">
      <c r="B5174" s="14" t="s">
        <v>34516</v>
      </c>
      <c r="C5174" s="4" t="s">
        <v>34517</v>
      </c>
      <c r="D5174" s="4" t="s">
        <v>34521</v>
      </c>
      <c r="E5174" s="4" t="s">
        <v>34519</v>
      </c>
      <c r="F5174" s="4" t="s">
        <v>110</v>
      </c>
      <c r="G5174" s="4" t="s">
        <v>34522</v>
      </c>
      <c r="H5174" s="6"/>
      <c r="I5174" s="6"/>
      <c r="J5174" s="6"/>
      <c r="K5174" s="6"/>
      <c r="L5174" s="6"/>
      <c r="M5174" s="6"/>
      <c r="N5174" s="6"/>
      <c r="O5174" s="6"/>
      <c r="P5174" s="6"/>
      <c r="Q5174" s="6"/>
      <c r="R5174" s="6"/>
      <c r="S5174" s="6"/>
      <c r="T5174" s="6"/>
      <c r="U5174" s="6"/>
      <c r="V5174" s="6"/>
      <c r="W5174" s="6"/>
      <c r="X5174" s="6"/>
      <c r="Y5174" s="6"/>
      <c r="Z5174" s="6"/>
      <c r="AA5174" s="6"/>
    </row>
    <row r="5175" ht="14.25">
      <c r="B5175" s="14" t="s">
        <v>34516</v>
      </c>
      <c r="C5175" s="4" t="s">
        <v>34517</v>
      </c>
      <c r="D5175" s="4" t="s">
        <v>34523</v>
      </c>
      <c r="E5175" s="4" t="s">
        <v>34519</v>
      </c>
      <c r="F5175" s="4" t="s">
        <v>4003</v>
      </c>
      <c r="G5175" s="4" t="s">
        <v>34524</v>
      </c>
      <c r="H5175" s="6"/>
      <c r="I5175" s="6"/>
      <c r="J5175" s="6"/>
      <c r="K5175" s="6"/>
      <c r="L5175" s="6"/>
      <c r="M5175" s="6"/>
      <c r="N5175" s="6"/>
      <c r="O5175" s="6"/>
      <c r="P5175" s="6"/>
      <c r="Q5175" s="6"/>
      <c r="R5175" s="6"/>
      <c r="S5175" s="6"/>
      <c r="T5175" s="6"/>
      <c r="U5175" s="6"/>
      <c r="V5175" s="6"/>
      <c r="W5175" s="6"/>
      <c r="X5175" s="6"/>
      <c r="Y5175" s="6"/>
      <c r="Z5175" s="6"/>
      <c r="AA5175" s="6"/>
    </row>
    <row r="5176" ht="14.25">
      <c r="B5176" s="14" t="s">
        <v>34516</v>
      </c>
      <c r="C5176" s="4" t="s">
        <v>34525</v>
      </c>
      <c r="D5176" s="4" t="s">
        <v>34526</v>
      </c>
      <c r="E5176" s="4" t="s">
        <v>34527</v>
      </c>
      <c r="F5176" s="4" t="s">
        <v>17911</v>
      </c>
      <c r="G5176" s="4" t="s">
        <v>817</v>
      </c>
      <c r="H5176" s="6"/>
      <c r="I5176" s="6"/>
      <c r="J5176" s="6"/>
      <c r="K5176" s="6"/>
      <c r="L5176" s="6"/>
      <c r="M5176" s="6"/>
      <c r="N5176" s="6"/>
      <c r="O5176" s="6"/>
      <c r="P5176" s="6"/>
      <c r="Q5176" s="6"/>
      <c r="R5176" s="6"/>
      <c r="S5176" s="6"/>
      <c r="T5176" s="6"/>
      <c r="U5176" s="6"/>
      <c r="V5176" s="6"/>
      <c r="W5176" s="6"/>
      <c r="X5176" s="6"/>
      <c r="Y5176" s="6"/>
      <c r="Z5176" s="6"/>
      <c r="AA5176" s="6"/>
    </row>
    <row r="5177" ht="14.25">
      <c r="B5177" s="14" t="s">
        <v>34528</v>
      </c>
      <c r="C5177" s="4" t="s">
        <v>34529</v>
      </c>
      <c r="D5177" s="4" t="s">
        <v>34530</v>
      </c>
      <c r="E5177" s="4" t="s">
        <v>34531</v>
      </c>
      <c r="F5177" s="4" t="s">
        <v>4012</v>
      </c>
      <c r="G5177" s="4" t="s">
        <v>34532</v>
      </c>
      <c r="H5177" s="6"/>
      <c r="I5177" s="6"/>
      <c r="J5177" s="6"/>
      <c r="K5177" s="6"/>
      <c r="L5177" s="6"/>
      <c r="M5177" s="6"/>
      <c r="N5177" s="6"/>
      <c r="O5177" s="6"/>
      <c r="P5177" s="6"/>
      <c r="Q5177" s="6"/>
      <c r="R5177" s="6"/>
      <c r="S5177" s="6"/>
      <c r="T5177" s="6"/>
      <c r="U5177" s="6"/>
      <c r="V5177" s="6"/>
      <c r="W5177" s="6"/>
      <c r="X5177" s="6"/>
      <c r="Y5177" s="6"/>
      <c r="Z5177" s="6"/>
      <c r="AA5177" s="6"/>
    </row>
    <row r="5178" ht="14.25">
      <c r="B5178" s="14" t="s">
        <v>34533</v>
      </c>
      <c r="C5178" s="4" t="s">
        <v>34534</v>
      </c>
      <c r="D5178" s="4" t="s">
        <v>34535</v>
      </c>
      <c r="E5178" s="4" t="s">
        <v>34536</v>
      </c>
      <c r="F5178" s="4" t="s">
        <v>21168</v>
      </c>
      <c r="G5178" s="4" t="s">
        <v>34537</v>
      </c>
      <c r="H5178" s="6"/>
      <c r="I5178" s="6"/>
      <c r="J5178" s="6"/>
      <c r="K5178" s="6"/>
      <c r="L5178" s="6"/>
      <c r="M5178" s="6"/>
      <c r="N5178" s="6"/>
      <c r="O5178" s="6"/>
      <c r="P5178" s="6"/>
      <c r="Q5178" s="6"/>
      <c r="R5178" s="6"/>
      <c r="S5178" s="6"/>
      <c r="T5178" s="6"/>
      <c r="U5178" s="6"/>
      <c r="V5178" s="6"/>
      <c r="W5178" s="6"/>
      <c r="X5178" s="6"/>
      <c r="Y5178" s="6"/>
      <c r="Z5178" s="6"/>
      <c r="AA5178" s="6"/>
    </row>
    <row r="5179" ht="14.25">
      <c r="B5179" s="14" t="s">
        <v>34533</v>
      </c>
      <c r="C5179" s="4" t="s">
        <v>34534</v>
      </c>
      <c r="D5179" s="4" t="s">
        <v>34538</v>
      </c>
      <c r="E5179" s="4" t="s">
        <v>34536</v>
      </c>
      <c r="F5179" s="4" t="s">
        <v>769</v>
      </c>
      <c r="G5179" s="4" t="s">
        <v>33610</v>
      </c>
      <c r="H5179" s="6"/>
      <c r="I5179" s="6"/>
      <c r="J5179" s="6"/>
      <c r="K5179" s="6"/>
      <c r="L5179" s="6"/>
      <c r="M5179" s="6"/>
      <c r="N5179" s="6"/>
      <c r="O5179" s="6"/>
      <c r="P5179" s="6"/>
      <c r="Q5179" s="6"/>
      <c r="R5179" s="6"/>
      <c r="S5179" s="6"/>
      <c r="T5179" s="6"/>
      <c r="U5179" s="6"/>
      <c r="V5179" s="6"/>
      <c r="W5179" s="6"/>
      <c r="X5179" s="6"/>
      <c r="Y5179" s="6"/>
      <c r="Z5179" s="6"/>
      <c r="AA5179" s="6"/>
    </row>
    <row r="5180" ht="14.25">
      <c r="B5180" s="14" t="s">
        <v>34539</v>
      </c>
      <c r="C5180" s="4" t="s">
        <v>34540</v>
      </c>
      <c r="D5180" s="4" t="s">
        <v>34541</v>
      </c>
      <c r="E5180" s="4" t="s">
        <v>34542</v>
      </c>
      <c r="F5180" s="4" t="s">
        <v>33415</v>
      </c>
      <c r="G5180" s="4" t="s">
        <v>34543</v>
      </c>
      <c r="H5180" s="6"/>
      <c r="I5180" s="6"/>
      <c r="J5180" s="6"/>
      <c r="K5180" s="6"/>
      <c r="L5180" s="6"/>
      <c r="M5180" s="6"/>
      <c r="N5180" s="6"/>
      <c r="O5180" s="6"/>
      <c r="P5180" s="6"/>
      <c r="Q5180" s="6"/>
      <c r="R5180" s="6"/>
      <c r="S5180" s="6"/>
      <c r="T5180" s="6"/>
      <c r="U5180" s="6"/>
      <c r="V5180" s="6"/>
      <c r="W5180" s="6"/>
      <c r="X5180" s="6"/>
      <c r="Y5180" s="6"/>
      <c r="Z5180" s="6"/>
      <c r="AA5180" s="6"/>
    </row>
    <row r="5181" ht="14.25">
      <c r="B5181" s="14" t="s">
        <v>34544</v>
      </c>
      <c r="C5181" s="4" t="s">
        <v>34545</v>
      </c>
      <c r="D5181" s="4" t="s">
        <v>34546</v>
      </c>
      <c r="E5181" s="6"/>
      <c r="F5181" s="4" t="s">
        <v>1732</v>
      </c>
      <c r="G5181" s="4" t="s">
        <v>34547</v>
      </c>
      <c r="H5181" s="6"/>
      <c r="I5181" s="6"/>
      <c r="J5181" s="6"/>
      <c r="K5181" s="6"/>
      <c r="L5181" s="6"/>
      <c r="M5181" s="6"/>
      <c r="N5181" s="6"/>
      <c r="O5181" s="6"/>
      <c r="P5181" s="6"/>
      <c r="Q5181" s="6"/>
      <c r="R5181" s="6"/>
      <c r="S5181" s="6"/>
      <c r="T5181" s="6"/>
      <c r="U5181" s="6"/>
      <c r="V5181" s="6"/>
      <c r="W5181" s="6"/>
      <c r="X5181" s="6"/>
      <c r="Y5181" s="6"/>
      <c r="Z5181" s="6"/>
      <c r="AA5181" s="6"/>
    </row>
    <row r="5182" ht="14.25">
      <c r="B5182" s="14" t="s">
        <v>34548</v>
      </c>
      <c r="C5182" s="4" t="s">
        <v>34549</v>
      </c>
      <c r="D5182" s="4" t="s">
        <v>34550</v>
      </c>
      <c r="E5182" s="4" t="s">
        <v>34551</v>
      </c>
      <c r="F5182" s="4" t="s">
        <v>222</v>
      </c>
      <c r="G5182" s="4" t="s">
        <v>34552</v>
      </c>
      <c r="H5182" s="6"/>
      <c r="I5182" s="6"/>
      <c r="J5182" s="6"/>
      <c r="K5182" s="6"/>
      <c r="L5182" s="6"/>
      <c r="M5182" s="6"/>
      <c r="N5182" s="6"/>
      <c r="O5182" s="6"/>
      <c r="P5182" s="6"/>
      <c r="Q5182" s="6"/>
      <c r="R5182" s="6"/>
      <c r="S5182" s="6"/>
      <c r="T5182" s="6"/>
      <c r="U5182" s="6"/>
      <c r="V5182" s="6"/>
      <c r="W5182" s="6"/>
      <c r="X5182" s="6"/>
      <c r="Y5182" s="6"/>
      <c r="Z5182" s="6"/>
      <c r="AA5182" s="6"/>
    </row>
    <row r="5183" ht="14.25">
      <c r="B5183" s="14" t="s">
        <v>34548</v>
      </c>
      <c r="C5183" s="4" t="s">
        <v>34549</v>
      </c>
      <c r="D5183" s="4" t="s">
        <v>34553</v>
      </c>
      <c r="E5183" s="4" t="s">
        <v>34551</v>
      </c>
      <c r="F5183" s="4" t="s">
        <v>4012</v>
      </c>
      <c r="G5183" s="4" t="s">
        <v>34554</v>
      </c>
      <c r="H5183" s="6"/>
      <c r="I5183" s="6"/>
      <c r="J5183" s="6"/>
      <c r="K5183" s="6"/>
      <c r="L5183" s="6"/>
      <c r="M5183" s="6"/>
      <c r="N5183" s="6"/>
      <c r="O5183" s="6"/>
      <c r="P5183" s="6"/>
      <c r="Q5183" s="6"/>
      <c r="R5183" s="6"/>
      <c r="S5183" s="6"/>
      <c r="T5183" s="6"/>
      <c r="U5183" s="6"/>
      <c r="V5183" s="6"/>
      <c r="W5183" s="6"/>
      <c r="X5183" s="6"/>
      <c r="Y5183" s="6"/>
      <c r="Z5183" s="6"/>
      <c r="AA5183" s="6"/>
    </row>
    <row r="5184" ht="14.25">
      <c r="B5184" s="14" t="s">
        <v>34555</v>
      </c>
      <c r="C5184" s="4" t="s">
        <v>34556</v>
      </c>
      <c r="D5184" s="4" t="s">
        <v>34557</v>
      </c>
      <c r="E5184" s="4" t="s">
        <v>34558</v>
      </c>
      <c r="F5184" s="4" t="s">
        <v>1353</v>
      </c>
      <c r="G5184" s="4" t="s">
        <v>33528</v>
      </c>
      <c r="H5184" s="6"/>
      <c r="I5184" s="6"/>
      <c r="J5184" s="6"/>
      <c r="K5184" s="6"/>
      <c r="L5184" s="6"/>
      <c r="M5184" s="6"/>
      <c r="N5184" s="6"/>
      <c r="O5184" s="6"/>
      <c r="P5184" s="6"/>
      <c r="Q5184" s="6"/>
      <c r="R5184" s="6"/>
      <c r="S5184" s="6"/>
      <c r="T5184" s="6"/>
      <c r="U5184" s="6"/>
      <c r="V5184" s="6"/>
      <c r="W5184" s="6"/>
      <c r="X5184" s="6"/>
      <c r="Y5184" s="6"/>
      <c r="Z5184" s="6"/>
      <c r="AA5184" s="6"/>
    </row>
    <row r="5185" ht="14.25">
      <c r="B5185" s="14" t="s">
        <v>34555</v>
      </c>
      <c r="C5185" s="4" t="s">
        <v>34556</v>
      </c>
      <c r="D5185" s="4" t="s">
        <v>34558</v>
      </c>
      <c r="E5185" s="6"/>
      <c r="F5185" s="4" t="s">
        <v>34559</v>
      </c>
      <c r="G5185" s="4" t="s">
        <v>34560</v>
      </c>
      <c r="H5185" s="6"/>
      <c r="I5185" s="6"/>
      <c r="J5185" s="6"/>
      <c r="K5185" s="6"/>
      <c r="L5185" s="6"/>
      <c r="M5185" s="6"/>
      <c r="N5185" s="6"/>
      <c r="O5185" s="6"/>
      <c r="P5185" s="6"/>
      <c r="Q5185" s="6"/>
      <c r="R5185" s="6"/>
      <c r="S5185" s="6"/>
      <c r="T5185" s="6"/>
      <c r="U5185" s="6"/>
      <c r="V5185" s="6"/>
      <c r="W5185" s="6"/>
      <c r="X5185" s="6"/>
      <c r="Y5185" s="6"/>
      <c r="Z5185" s="6"/>
      <c r="AA5185" s="6"/>
    </row>
    <row r="5186" ht="14.25">
      <c r="B5186" s="14" t="s">
        <v>34561</v>
      </c>
      <c r="C5186" s="4" t="s">
        <v>34562</v>
      </c>
      <c r="D5186" s="4" t="s">
        <v>34563</v>
      </c>
      <c r="E5186" s="4" t="s">
        <v>34564</v>
      </c>
      <c r="F5186" s="4" t="s">
        <v>33576</v>
      </c>
      <c r="G5186" s="4" t="s">
        <v>34565</v>
      </c>
      <c r="H5186" s="6"/>
      <c r="I5186" s="6"/>
      <c r="J5186" s="6"/>
      <c r="K5186" s="6"/>
      <c r="L5186" s="6"/>
      <c r="M5186" s="6"/>
      <c r="N5186" s="6"/>
      <c r="O5186" s="6"/>
      <c r="P5186" s="6"/>
      <c r="Q5186" s="6"/>
      <c r="R5186" s="6"/>
      <c r="S5186" s="6"/>
      <c r="T5186" s="6"/>
      <c r="U5186" s="6"/>
      <c r="V5186" s="6"/>
      <c r="W5186" s="6"/>
      <c r="X5186" s="6"/>
      <c r="Y5186" s="6"/>
      <c r="Z5186" s="6"/>
      <c r="AA5186" s="6"/>
    </row>
    <row r="5187" ht="14.25">
      <c r="B5187" s="14" t="s">
        <v>34561</v>
      </c>
      <c r="C5187" s="4" t="s">
        <v>34562</v>
      </c>
      <c r="D5187" s="4" t="s">
        <v>34566</v>
      </c>
      <c r="E5187" s="4" t="s">
        <v>34564</v>
      </c>
      <c r="F5187" s="4" t="s">
        <v>6923</v>
      </c>
      <c r="G5187" s="4" t="s">
        <v>34567</v>
      </c>
      <c r="H5187" s="6"/>
      <c r="I5187" s="6"/>
      <c r="J5187" s="6"/>
      <c r="K5187" s="6"/>
      <c r="L5187" s="6"/>
      <c r="M5187" s="6"/>
      <c r="N5187" s="6"/>
      <c r="O5187" s="6"/>
      <c r="P5187" s="6"/>
      <c r="Q5187" s="6"/>
      <c r="R5187" s="6"/>
      <c r="S5187" s="6"/>
      <c r="T5187" s="6"/>
      <c r="U5187" s="6"/>
      <c r="V5187" s="6"/>
      <c r="W5187" s="6"/>
      <c r="X5187" s="6"/>
      <c r="Y5187" s="6"/>
      <c r="Z5187" s="6"/>
      <c r="AA5187" s="6"/>
    </row>
    <row r="5188" ht="14.25">
      <c r="B5188" s="14" t="s">
        <v>34561</v>
      </c>
      <c r="C5188" s="4" t="s">
        <v>34562</v>
      </c>
      <c r="D5188" s="4" t="s">
        <v>34568</v>
      </c>
      <c r="E5188" s="4" t="s">
        <v>34564</v>
      </c>
      <c r="F5188" s="4" t="s">
        <v>2119</v>
      </c>
      <c r="G5188" s="4" t="s">
        <v>34569</v>
      </c>
      <c r="H5188" s="6"/>
      <c r="I5188" s="6"/>
      <c r="J5188" s="6"/>
      <c r="K5188" s="6"/>
      <c r="L5188" s="6"/>
      <c r="M5188" s="6"/>
      <c r="N5188" s="6"/>
      <c r="O5188" s="6"/>
      <c r="P5188" s="6"/>
      <c r="Q5188" s="6"/>
      <c r="R5188" s="6"/>
      <c r="S5188" s="6"/>
      <c r="T5188" s="6"/>
      <c r="U5188" s="6"/>
      <c r="V5188" s="6"/>
      <c r="W5188" s="6"/>
      <c r="X5188" s="6"/>
      <c r="Y5188" s="6"/>
      <c r="Z5188" s="6"/>
      <c r="AA5188" s="6"/>
    </row>
    <row r="5189" ht="14.25">
      <c r="B5189" s="14" t="s">
        <v>34570</v>
      </c>
      <c r="C5189" s="4" t="s">
        <v>34571</v>
      </c>
      <c r="D5189" s="4" t="s">
        <v>34572</v>
      </c>
      <c r="E5189" s="4" t="s">
        <v>34573</v>
      </c>
      <c r="F5189" s="4" t="s">
        <v>8049</v>
      </c>
      <c r="G5189" s="4" t="s">
        <v>34574</v>
      </c>
      <c r="H5189" s="6"/>
      <c r="I5189" s="6"/>
      <c r="J5189" s="6"/>
      <c r="K5189" s="6"/>
      <c r="L5189" s="6"/>
      <c r="M5189" s="6"/>
      <c r="N5189" s="6"/>
      <c r="O5189" s="6"/>
      <c r="P5189" s="6"/>
      <c r="Q5189" s="6"/>
      <c r="R5189" s="6"/>
      <c r="S5189" s="6"/>
      <c r="T5189" s="6"/>
      <c r="U5189" s="6"/>
      <c r="V5189" s="6"/>
      <c r="W5189" s="6"/>
      <c r="X5189" s="6"/>
      <c r="Y5189" s="6"/>
      <c r="Z5189" s="6"/>
      <c r="AA5189" s="6"/>
    </row>
    <row r="5190" ht="14.25">
      <c r="B5190" s="14" t="s">
        <v>34575</v>
      </c>
      <c r="C5190" s="4" t="s">
        <v>34576</v>
      </c>
      <c r="D5190" s="4" t="s">
        <v>34577</v>
      </c>
      <c r="E5190" s="4" t="s">
        <v>34578</v>
      </c>
      <c r="F5190" s="4" t="s">
        <v>1732</v>
      </c>
      <c r="G5190" s="4" t="s">
        <v>34579</v>
      </c>
      <c r="H5190" s="6"/>
      <c r="I5190" s="6"/>
      <c r="J5190" s="6"/>
      <c r="K5190" s="6"/>
      <c r="L5190" s="6"/>
      <c r="M5190" s="6"/>
      <c r="N5190" s="6"/>
      <c r="O5190" s="6"/>
      <c r="P5190" s="6"/>
      <c r="Q5190" s="6"/>
      <c r="R5190" s="6"/>
      <c r="S5190" s="6"/>
      <c r="T5190" s="6"/>
      <c r="U5190" s="6"/>
      <c r="V5190" s="6"/>
      <c r="W5190" s="6"/>
      <c r="X5190" s="6"/>
      <c r="Y5190" s="6"/>
      <c r="Z5190" s="6"/>
      <c r="AA5190" s="6"/>
    </row>
    <row r="5191" ht="14.25">
      <c r="B5191" s="14" t="s">
        <v>34580</v>
      </c>
      <c r="C5191" s="4" t="s">
        <v>34581</v>
      </c>
      <c r="D5191" s="4" t="s">
        <v>34582</v>
      </c>
      <c r="E5191" s="6"/>
      <c r="F5191" s="4" t="s">
        <v>4584</v>
      </c>
      <c r="G5191" s="4" t="s">
        <v>34583</v>
      </c>
      <c r="H5191" s="6"/>
      <c r="I5191" s="6"/>
      <c r="J5191" s="6"/>
      <c r="K5191" s="6"/>
      <c r="L5191" s="6"/>
      <c r="M5191" s="6"/>
      <c r="N5191" s="6"/>
      <c r="O5191" s="6"/>
      <c r="P5191" s="6"/>
      <c r="Q5191" s="6"/>
      <c r="R5191" s="6"/>
      <c r="S5191" s="6"/>
      <c r="T5191" s="6"/>
      <c r="U5191" s="6"/>
      <c r="V5191" s="6"/>
      <c r="W5191" s="6"/>
      <c r="X5191" s="6"/>
      <c r="Y5191" s="6"/>
      <c r="Z5191" s="6"/>
      <c r="AA5191" s="6"/>
    </row>
    <row r="5192" ht="14.25">
      <c r="B5192" s="14" t="s">
        <v>34584</v>
      </c>
      <c r="C5192" s="4" t="s">
        <v>34585</v>
      </c>
      <c r="D5192" s="4" t="s">
        <v>34586</v>
      </c>
      <c r="E5192" s="4" t="s">
        <v>34587</v>
      </c>
      <c r="F5192" s="4" t="s">
        <v>1215</v>
      </c>
      <c r="G5192" s="4" t="s">
        <v>34588</v>
      </c>
      <c r="H5192" s="6"/>
      <c r="I5192" s="6"/>
      <c r="J5192" s="6"/>
      <c r="K5192" s="6"/>
      <c r="L5192" s="6"/>
      <c r="M5192" s="6"/>
      <c r="N5192" s="6"/>
      <c r="O5192" s="6"/>
      <c r="P5192" s="6"/>
      <c r="Q5192" s="6"/>
      <c r="R5192" s="6"/>
      <c r="S5192" s="6"/>
      <c r="T5192" s="6"/>
      <c r="U5192" s="6"/>
      <c r="V5192" s="6"/>
      <c r="W5192" s="6"/>
      <c r="X5192" s="6"/>
      <c r="Y5192" s="6"/>
      <c r="Z5192" s="6"/>
      <c r="AA5192" s="6"/>
    </row>
    <row r="5193" ht="14.25">
      <c r="B5193" s="14" t="s">
        <v>34584</v>
      </c>
      <c r="C5193" s="4" t="s">
        <v>34585</v>
      </c>
      <c r="D5193" s="4" t="s">
        <v>34589</v>
      </c>
      <c r="E5193" s="4" t="s">
        <v>34587</v>
      </c>
      <c r="F5193" s="4" t="s">
        <v>34590</v>
      </c>
      <c r="G5193" s="4" t="s">
        <v>34591</v>
      </c>
      <c r="H5193" s="6"/>
      <c r="I5193" s="6"/>
      <c r="J5193" s="6"/>
      <c r="K5193" s="6"/>
      <c r="L5193" s="6"/>
      <c r="M5193" s="6"/>
      <c r="N5193" s="6"/>
      <c r="O5193" s="6"/>
      <c r="P5193" s="6"/>
      <c r="Q5193" s="6"/>
      <c r="R5193" s="6"/>
      <c r="S5193" s="6"/>
      <c r="T5193" s="6"/>
      <c r="U5193" s="6"/>
      <c r="V5193" s="6"/>
      <c r="W5193" s="6"/>
      <c r="X5193" s="6"/>
      <c r="Y5193" s="6"/>
      <c r="Z5193" s="6"/>
      <c r="AA5193" s="6"/>
    </row>
    <row r="5194" ht="14.25">
      <c r="B5194" s="14" t="s">
        <v>34592</v>
      </c>
      <c r="C5194" s="4" t="s">
        <v>34593</v>
      </c>
      <c r="D5194" s="4" t="s">
        <v>34594</v>
      </c>
      <c r="E5194" s="6"/>
      <c r="F5194" s="4" t="s">
        <v>6788</v>
      </c>
      <c r="G5194" s="4" t="s">
        <v>34595</v>
      </c>
      <c r="H5194" s="6"/>
      <c r="I5194" s="6"/>
      <c r="J5194" s="6"/>
      <c r="K5194" s="6"/>
      <c r="L5194" s="6"/>
      <c r="M5194" s="6"/>
      <c r="N5194" s="6"/>
      <c r="O5194" s="6"/>
      <c r="P5194" s="6"/>
      <c r="Q5194" s="6"/>
      <c r="R5194" s="6"/>
      <c r="S5194" s="6"/>
      <c r="T5194" s="6"/>
      <c r="U5194" s="6"/>
      <c r="V5194" s="6"/>
      <c r="W5194" s="6"/>
      <c r="X5194" s="6"/>
      <c r="Y5194" s="6"/>
      <c r="Z5194" s="6"/>
      <c r="AA5194" s="6"/>
    </row>
    <row r="5195" ht="14.25">
      <c r="B5195" s="14" t="s">
        <v>34596</v>
      </c>
      <c r="C5195" s="4" t="s">
        <v>34597</v>
      </c>
      <c r="D5195" s="4" t="s">
        <v>34598</v>
      </c>
      <c r="E5195" s="4" t="s">
        <v>34599</v>
      </c>
      <c r="F5195" s="4" t="s">
        <v>604</v>
      </c>
      <c r="G5195" s="4" t="s">
        <v>34600</v>
      </c>
      <c r="H5195" s="6"/>
      <c r="I5195" s="6"/>
      <c r="J5195" s="6"/>
      <c r="K5195" s="6"/>
      <c r="L5195" s="6"/>
      <c r="M5195" s="6"/>
      <c r="N5195" s="6"/>
      <c r="O5195" s="6"/>
      <c r="P5195" s="6"/>
      <c r="Q5195" s="6"/>
      <c r="R5195" s="6"/>
      <c r="S5195" s="6"/>
      <c r="T5195" s="6"/>
      <c r="U5195" s="6"/>
      <c r="V5195" s="6"/>
      <c r="W5195" s="6"/>
      <c r="X5195" s="6"/>
      <c r="Y5195" s="6"/>
      <c r="Z5195" s="6"/>
      <c r="AA5195" s="6"/>
    </row>
    <row r="5196" ht="14.25">
      <c r="B5196" s="14" t="s">
        <v>34596</v>
      </c>
      <c r="C5196" s="4" t="s">
        <v>34597</v>
      </c>
      <c r="D5196" s="4" t="s">
        <v>34601</v>
      </c>
      <c r="E5196" s="4" t="s">
        <v>34599</v>
      </c>
      <c r="F5196" s="4" t="s">
        <v>34602</v>
      </c>
      <c r="G5196" s="4" t="s">
        <v>32659</v>
      </c>
      <c r="H5196" s="6"/>
      <c r="I5196" s="6"/>
      <c r="J5196" s="6"/>
      <c r="K5196" s="6"/>
      <c r="L5196" s="6"/>
      <c r="M5196" s="6"/>
      <c r="N5196" s="6"/>
      <c r="O5196" s="6"/>
      <c r="P5196" s="6"/>
      <c r="Q5196" s="6"/>
      <c r="R5196" s="6"/>
      <c r="S5196" s="6"/>
      <c r="T5196" s="6"/>
      <c r="U5196" s="6"/>
      <c r="V5196" s="6"/>
      <c r="W5196" s="6"/>
      <c r="X5196" s="6"/>
      <c r="Y5196" s="6"/>
      <c r="Z5196" s="6"/>
      <c r="AA5196" s="6"/>
    </row>
    <row r="5197" ht="14.25">
      <c r="B5197" s="14" t="s">
        <v>34603</v>
      </c>
      <c r="C5197" s="4" t="s">
        <v>34604</v>
      </c>
      <c r="D5197" s="4" t="s">
        <v>34605</v>
      </c>
      <c r="E5197" s="4" t="s">
        <v>34606</v>
      </c>
      <c r="F5197" s="4" t="s">
        <v>1948</v>
      </c>
      <c r="G5197" s="4" t="s">
        <v>34607</v>
      </c>
      <c r="H5197" s="6"/>
      <c r="I5197" s="6"/>
      <c r="J5197" s="6"/>
      <c r="K5197" s="6"/>
      <c r="L5197" s="6"/>
      <c r="M5197" s="6"/>
      <c r="N5197" s="6"/>
      <c r="O5197" s="6"/>
      <c r="P5197" s="6"/>
      <c r="Q5197" s="6"/>
      <c r="R5197" s="6"/>
      <c r="S5197" s="6"/>
      <c r="T5197" s="6"/>
      <c r="U5197" s="6"/>
      <c r="V5197" s="6"/>
      <c r="W5197" s="6"/>
      <c r="X5197" s="6"/>
      <c r="Y5197" s="6"/>
      <c r="Z5197" s="6"/>
      <c r="AA5197" s="6"/>
    </row>
    <row r="5198" ht="14.25">
      <c r="B5198" s="14" t="s">
        <v>34608</v>
      </c>
      <c r="C5198" s="4" t="s">
        <v>34609</v>
      </c>
      <c r="D5198" s="4" t="s">
        <v>34610</v>
      </c>
      <c r="E5198" s="4" t="s">
        <v>34611</v>
      </c>
      <c r="F5198" s="4" t="s">
        <v>76</v>
      </c>
      <c r="G5198" s="4" t="s">
        <v>34612</v>
      </c>
      <c r="H5198" s="6"/>
      <c r="I5198" s="6"/>
      <c r="J5198" s="6"/>
      <c r="K5198" s="6"/>
      <c r="L5198" s="6"/>
      <c r="M5198" s="6"/>
      <c r="N5198" s="6"/>
      <c r="O5198" s="6"/>
      <c r="P5198" s="6"/>
      <c r="Q5198" s="6"/>
      <c r="R5198" s="6"/>
      <c r="S5198" s="6"/>
      <c r="T5198" s="6"/>
      <c r="U5198" s="6"/>
      <c r="V5198" s="6"/>
      <c r="W5198" s="6"/>
      <c r="X5198" s="6"/>
      <c r="Y5198" s="6"/>
      <c r="Z5198" s="6"/>
      <c r="AA5198" s="6"/>
    </row>
    <row r="5199" ht="14.25">
      <c r="B5199" s="14" t="s">
        <v>34608</v>
      </c>
      <c r="C5199" s="4" t="s">
        <v>34609</v>
      </c>
      <c r="D5199" s="4" t="s">
        <v>34613</v>
      </c>
      <c r="E5199" s="4" t="s">
        <v>34611</v>
      </c>
      <c r="F5199" s="4" t="s">
        <v>571</v>
      </c>
      <c r="G5199" s="4" t="s">
        <v>34614</v>
      </c>
      <c r="H5199" s="6"/>
      <c r="I5199" s="6"/>
      <c r="J5199" s="6"/>
      <c r="K5199" s="6"/>
      <c r="L5199" s="6"/>
      <c r="M5199" s="6"/>
      <c r="N5199" s="6"/>
      <c r="O5199" s="6"/>
      <c r="P5199" s="6"/>
      <c r="Q5199" s="6"/>
      <c r="R5199" s="6"/>
      <c r="S5199" s="6"/>
      <c r="T5199" s="6"/>
      <c r="U5199" s="6"/>
      <c r="V5199" s="6"/>
      <c r="W5199" s="6"/>
      <c r="X5199" s="6"/>
      <c r="Y5199" s="6"/>
      <c r="Z5199" s="6"/>
      <c r="AA5199" s="6"/>
    </row>
    <row r="5200" ht="14.25">
      <c r="B5200" s="14" t="s">
        <v>34608</v>
      </c>
      <c r="C5200" s="4" t="s">
        <v>34609</v>
      </c>
      <c r="D5200" s="4" t="s">
        <v>34615</v>
      </c>
      <c r="E5200" s="4" t="s">
        <v>34611</v>
      </c>
      <c r="F5200" s="4" t="s">
        <v>6923</v>
      </c>
      <c r="G5200" s="4" t="s">
        <v>34616</v>
      </c>
      <c r="H5200" s="6"/>
      <c r="I5200" s="6"/>
      <c r="J5200" s="6"/>
      <c r="K5200" s="6"/>
      <c r="L5200" s="6"/>
      <c r="M5200" s="6"/>
      <c r="N5200" s="6"/>
      <c r="O5200" s="6"/>
      <c r="P5200" s="6"/>
      <c r="Q5200" s="6"/>
      <c r="R5200" s="6"/>
      <c r="S5200" s="6"/>
      <c r="T5200" s="6"/>
      <c r="U5200" s="6"/>
      <c r="V5200" s="6"/>
      <c r="W5200" s="6"/>
      <c r="X5200" s="6"/>
      <c r="Y5200" s="6"/>
      <c r="Z5200" s="6"/>
      <c r="AA5200" s="6"/>
    </row>
    <row r="5201" ht="14.25">
      <c r="B5201" s="14" t="s">
        <v>34617</v>
      </c>
      <c r="C5201" s="4" t="s">
        <v>34618</v>
      </c>
      <c r="D5201" s="4" t="s">
        <v>34619</v>
      </c>
      <c r="E5201" s="4" t="s">
        <v>34620</v>
      </c>
      <c r="F5201" s="4" t="s">
        <v>33084</v>
      </c>
      <c r="G5201" s="4" t="s">
        <v>34621</v>
      </c>
      <c r="H5201" s="6"/>
      <c r="I5201" s="6"/>
      <c r="J5201" s="6"/>
      <c r="K5201" s="6"/>
      <c r="L5201" s="6"/>
      <c r="M5201" s="6"/>
      <c r="N5201" s="6"/>
      <c r="O5201" s="6"/>
      <c r="P5201" s="6"/>
      <c r="Q5201" s="6"/>
      <c r="R5201" s="6"/>
      <c r="S5201" s="6"/>
      <c r="T5201" s="6"/>
      <c r="U5201" s="6"/>
      <c r="V5201" s="6"/>
      <c r="W5201" s="6"/>
      <c r="X5201" s="6"/>
      <c r="Y5201" s="6"/>
      <c r="Z5201" s="6"/>
      <c r="AA5201" s="6"/>
    </row>
    <row r="5202" ht="14.25">
      <c r="B5202" s="14" t="s">
        <v>34617</v>
      </c>
      <c r="C5202" s="4" t="s">
        <v>34622</v>
      </c>
      <c r="D5202" s="4" t="s">
        <v>34623</v>
      </c>
      <c r="E5202" s="4" t="s">
        <v>34624</v>
      </c>
      <c r="F5202" s="4" t="s">
        <v>4026</v>
      </c>
      <c r="G5202" s="4" t="s">
        <v>34625</v>
      </c>
      <c r="H5202" s="6"/>
      <c r="I5202" s="6"/>
      <c r="J5202" s="6"/>
      <c r="K5202" s="6"/>
      <c r="L5202" s="6"/>
      <c r="M5202" s="6"/>
      <c r="N5202" s="6"/>
      <c r="O5202" s="6"/>
      <c r="P5202" s="6"/>
      <c r="Q5202" s="6"/>
      <c r="R5202" s="6"/>
      <c r="S5202" s="6"/>
      <c r="T5202" s="6"/>
      <c r="U5202" s="6"/>
      <c r="V5202" s="6"/>
      <c r="W5202" s="6"/>
      <c r="X5202" s="6"/>
      <c r="Y5202" s="6"/>
      <c r="Z5202" s="6"/>
      <c r="AA5202" s="6"/>
    </row>
    <row r="5203" ht="14.25">
      <c r="B5203" s="14" t="s">
        <v>34617</v>
      </c>
      <c r="C5203" s="4" t="s">
        <v>34626</v>
      </c>
      <c r="D5203" s="4" t="s">
        <v>34627</v>
      </c>
      <c r="E5203" s="6"/>
      <c r="F5203" s="4" t="s">
        <v>32787</v>
      </c>
      <c r="G5203" s="4" t="s">
        <v>34628</v>
      </c>
      <c r="H5203" s="6"/>
      <c r="I5203" s="6"/>
      <c r="J5203" s="6"/>
      <c r="K5203" s="6"/>
      <c r="L5203" s="6"/>
      <c r="M5203" s="6"/>
      <c r="N5203" s="6"/>
      <c r="O5203" s="6"/>
      <c r="P5203" s="6"/>
      <c r="Q5203" s="6"/>
      <c r="R5203" s="6"/>
      <c r="S5203" s="6"/>
      <c r="T5203" s="6"/>
      <c r="U5203" s="6"/>
      <c r="V5203" s="6"/>
      <c r="W5203" s="6"/>
      <c r="X5203" s="6"/>
      <c r="Y5203" s="6"/>
      <c r="Z5203" s="6"/>
      <c r="AA5203" s="6"/>
    </row>
    <row r="5204" ht="14.25">
      <c r="B5204" s="14" t="s">
        <v>34617</v>
      </c>
      <c r="C5204" s="4" t="s">
        <v>34629</v>
      </c>
      <c r="D5204" s="4" t="s">
        <v>34630</v>
      </c>
      <c r="E5204" s="4" t="s">
        <v>34631</v>
      </c>
      <c r="F5204" s="4" t="s">
        <v>17383</v>
      </c>
      <c r="G5204" s="4" t="s">
        <v>34612</v>
      </c>
      <c r="H5204" s="6"/>
      <c r="I5204" s="6"/>
      <c r="J5204" s="6"/>
      <c r="K5204" s="6"/>
      <c r="L5204" s="6"/>
      <c r="M5204" s="6"/>
      <c r="N5204" s="6"/>
      <c r="O5204" s="6"/>
      <c r="P5204" s="6"/>
      <c r="Q5204" s="6"/>
      <c r="R5204" s="6"/>
      <c r="S5204" s="6"/>
      <c r="T5204" s="6"/>
      <c r="U5204" s="6"/>
      <c r="V5204" s="6"/>
      <c r="W5204" s="6"/>
      <c r="X5204" s="6"/>
      <c r="Y5204" s="6"/>
      <c r="Z5204" s="6"/>
      <c r="AA5204" s="6"/>
    </row>
    <row r="5205" ht="14.25">
      <c r="B5205" s="14" t="s">
        <v>34617</v>
      </c>
      <c r="C5205" s="4" t="s">
        <v>34629</v>
      </c>
      <c r="D5205" s="4" t="s">
        <v>34631</v>
      </c>
      <c r="E5205" s="6"/>
      <c r="F5205" s="4" t="s">
        <v>874</v>
      </c>
      <c r="G5205" s="4" t="s">
        <v>34612</v>
      </c>
      <c r="H5205" s="6"/>
      <c r="I5205" s="6"/>
      <c r="J5205" s="6"/>
      <c r="K5205" s="6"/>
      <c r="L5205" s="6"/>
      <c r="M5205" s="6"/>
      <c r="N5205" s="6"/>
      <c r="O5205" s="6"/>
      <c r="P5205" s="6"/>
      <c r="Q5205" s="6"/>
      <c r="R5205" s="6"/>
      <c r="S5205" s="6"/>
      <c r="T5205" s="6"/>
      <c r="U5205" s="6"/>
      <c r="V5205" s="6"/>
      <c r="W5205" s="6"/>
      <c r="X5205" s="6"/>
      <c r="Y5205" s="6"/>
      <c r="Z5205" s="6"/>
      <c r="AA5205" s="6"/>
    </row>
    <row r="5206" ht="14.25">
      <c r="B5206" s="14" t="s">
        <v>34617</v>
      </c>
      <c r="C5206" s="4" t="s">
        <v>34632</v>
      </c>
      <c r="D5206" s="4" t="s">
        <v>34633</v>
      </c>
      <c r="E5206" s="6"/>
      <c r="F5206" s="4" t="s">
        <v>34634</v>
      </c>
      <c r="G5206" s="4" t="s">
        <v>34635</v>
      </c>
      <c r="H5206" s="6"/>
      <c r="I5206" s="6"/>
      <c r="J5206" s="6"/>
      <c r="K5206" s="6"/>
      <c r="L5206" s="6"/>
      <c r="M5206" s="6"/>
      <c r="N5206" s="6"/>
      <c r="O5206" s="6"/>
      <c r="P5206" s="6"/>
      <c r="Q5206" s="6"/>
      <c r="R5206" s="6"/>
      <c r="S5206" s="6"/>
      <c r="T5206" s="6"/>
      <c r="U5206" s="6"/>
      <c r="V5206" s="6"/>
      <c r="W5206" s="6"/>
      <c r="X5206" s="6"/>
      <c r="Y5206" s="6"/>
      <c r="Z5206" s="6"/>
      <c r="AA5206" s="6"/>
    </row>
    <row r="5207" ht="14.25">
      <c r="B5207" s="14" t="s">
        <v>34617</v>
      </c>
      <c r="C5207" s="4" t="s">
        <v>34636</v>
      </c>
      <c r="D5207" s="4" t="s">
        <v>34637</v>
      </c>
      <c r="E5207" s="6"/>
      <c r="F5207" s="4" t="s">
        <v>3744</v>
      </c>
      <c r="G5207" s="4" t="s">
        <v>34638</v>
      </c>
      <c r="H5207" s="6"/>
      <c r="I5207" s="6"/>
      <c r="J5207" s="6"/>
      <c r="K5207" s="6"/>
      <c r="L5207" s="6"/>
      <c r="M5207" s="6"/>
      <c r="N5207" s="6"/>
      <c r="O5207" s="6"/>
      <c r="P5207" s="6"/>
      <c r="Q5207" s="6"/>
      <c r="R5207" s="6"/>
      <c r="S5207" s="6"/>
      <c r="T5207" s="6"/>
      <c r="U5207" s="6"/>
      <c r="V5207" s="6"/>
      <c r="W5207" s="6"/>
      <c r="X5207" s="6"/>
      <c r="Y5207" s="6"/>
      <c r="Z5207" s="6"/>
      <c r="AA5207" s="6"/>
    </row>
    <row r="5208" ht="14.25">
      <c r="B5208" s="14" t="s">
        <v>34617</v>
      </c>
      <c r="C5208" s="4" t="s">
        <v>34639</v>
      </c>
      <c r="D5208" s="4" t="s">
        <v>34640</v>
      </c>
      <c r="E5208" s="4" t="s">
        <v>34641</v>
      </c>
      <c r="F5208" s="4" t="s">
        <v>34642</v>
      </c>
      <c r="G5208" s="4" t="s">
        <v>34643</v>
      </c>
      <c r="H5208" s="6"/>
      <c r="I5208" s="6"/>
      <c r="J5208" s="6"/>
      <c r="K5208" s="6"/>
      <c r="L5208" s="6"/>
      <c r="M5208" s="6"/>
      <c r="N5208" s="6"/>
      <c r="O5208" s="6"/>
      <c r="P5208" s="6"/>
      <c r="Q5208" s="6"/>
      <c r="R5208" s="6"/>
      <c r="S5208" s="6"/>
      <c r="T5208" s="6"/>
      <c r="U5208" s="6"/>
      <c r="V5208" s="6"/>
      <c r="W5208" s="6"/>
      <c r="X5208" s="6"/>
      <c r="Y5208" s="6"/>
      <c r="Z5208" s="6"/>
      <c r="AA5208" s="6"/>
    </row>
    <row r="5209" ht="14.25">
      <c r="B5209" s="14" t="s">
        <v>34617</v>
      </c>
      <c r="C5209" s="4" t="s">
        <v>34644</v>
      </c>
      <c r="D5209" s="4" t="s">
        <v>34645</v>
      </c>
      <c r="E5209" s="4" t="s">
        <v>34646</v>
      </c>
      <c r="F5209" s="4" t="s">
        <v>33370</v>
      </c>
      <c r="G5209" s="4" t="s">
        <v>34647</v>
      </c>
      <c r="H5209" s="6"/>
      <c r="I5209" s="6"/>
      <c r="J5209" s="6"/>
      <c r="K5209" s="6"/>
      <c r="L5209" s="6"/>
      <c r="M5209" s="6"/>
      <c r="N5209" s="6"/>
      <c r="O5209" s="6"/>
      <c r="P5209" s="6"/>
      <c r="Q5209" s="6"/>
      <c r="R5209" s="6"/>
      <c r="S5209" s="6"/>
      <c r="T5209" s="6"/>
      <c r="U5209" s="6"/>
      <c r="V5209" s="6"/>
      <c r="W5209" s="6"/>
      <c r="X5209" s="6"/>
      <c r="Y5209" s="6"/>
      <c r="Z5209" s="6"/>
      <c r="AA5209" s="6"/>
    </row>
    <row r="5210" ht="14.25">
      <c r="B5210" s="14" t="s">
        <v>34617</v>
      </c>
      <c r="C5210" s="4" t="s">
        <v>34618</v>
      </c>
      <c r="D5210" s="4" t="s">
        <v>34620</v>
      </c>
      <c r="E5210" s="6"/>
      <c r="F5210" s="4" t="s">
        <v>1027</v>
      </c>
      <c r="G5210" s="4" t="s">
        <v>34648</v>
      </c>
      <c r="H5210" s="6"/>
      <c r="I5210" s="6"/>
      <c r="J5210" s="6"/>
      <c r="K5210" s="6"/>
      <c r="L5210" s="6"/>
      <c r="M5210" s="6"/>
      <c r="N5210" s="6"/>
      <c r="O5210" s="6"/>
      <c r="P5210" s="6"/>
      <c r="Q5210" s="6"/>
      <c r="R5210" s="6"/>
      <c r="S5210" s="6"/>
      <c r="T5210" s="6"/>
      <c r="U5210" s="6"/>
      <c r="V5210" s="6"/>
      <c r="W5210" s="6"/>
      <c r="X5210" s="6"/>
      <c r="Y5210" s="6"/>
      <c r="Z5210" s="6"/>
      <c r="AA5210" s="6"/>
    </row>
    <row r="5211" ht="14.25">
      <c r="B5211" s="14" t="s">
        <v>34617</v>
      </c>
      <c r="C5211" s="4" t="s">
        <v>34649</v>
      </c>
      <c r="D5211" s="4" t="s">
        <v>34650</v>
      </c>
      <c r="E5211" s="6"/>
      <c r="F5211" s="4" t="s">
        <v>110</v>
      </c>
      <c r="G5211" s="4" t="s">
        <v>34651</v>
      </c>
      <c r="H5211" s="6"/>
      <c r="I5211" s="6"/>
      <c r="J5211" s="6"/>
      <c r="K5211" s="6"/>
      <c r="L5211" s="6"/>
      <c r="M5211" s="6"/>
      <c r="N5211" s="6"/>
      <c r="O5211" s="6"/>
      <c r="P5211" s="6"/>
      <c r="Q5211" s="6"/>
      <c r="R5211" s="6"/>
      <c r="S5211" s="6"/>
      <c r="T5211" s="6"/>
      <c r="U5211" s="6"/>
      <c r="V5211" s="6"/>
      <c r="W5211" s="6"/>
      <c r="X5211" s="6"/>
      <c r="Y5211" s="6"/>
      <c r="Z5211" s="6"/>
      <c r="AA5211" s="6"/>
    </row>
    <row r="5212" ht="14.25">
      <c r="B5212" s="14" t="s">
        <v>34617</v>
      </c>
      <c r="C5212" s="4" t="s">
        <v>34652</v>
      </c>
      <c r="D5212" s="4" t="s">
        <v>34653</v>
      </c>
      <c r="E5212" s="6"/>
      <c r="F5212" s="4" t="s">
        <v>23478</v>
      </c>
      <c r="G5212" s="4" t="s">
        <v>34654</v>
      </c>
      <c r="H5212" s="6"/>
      <c r="I5212" s="6"/>
      <c r="J5212" s="6"/>
      <c r="K5212" s="6"/>
      <c r="L5212" s="6"/>
      <c r="M5212" s="6"/>
      <c r="N5212" s="6"/>
      <c r="O5212" s="6"/>
      <c r="P5212" s="6"/>
      <c r="Q5212" s="6"/>
      <c r="R5212" s="6"/>
      <c r="S5212" s="6"/>
      <c r="T5212" s="6"/>
      <c r="U5212" s="6"/>
      <c r="V5212" s="6"/>
      <c r="W5212" s="6"/>
      <c r="X5212" s="6"/>
      <c r="Y5212" s="6"/>
      <c r="Z5212" s="6"/>
      <c r="AA5212" s="6"/>
    </row>
    <row r="5213" ht="14.25">
      <c r="B5213" s="14" t="s">
        <v>34617</v>
      </c>
      <c r="C5213" s="4" t="s">
        <v>34655</v>
      </c>
      <c r="D5213" s="4" t="s">
        <v>34656</v>
      </c>
      <c r="E5213" s="6"/>
      <c r="F5213" s="4" t="s">
        <v>2652</v>
      </c>
      <c r="G5213" s="4" t="s">
        <v>34657</v>
      </c>
      <c r="H5213" s="6"/>
      <c r="I5213" s="6"/>
      <c r="J5213" s="6"/>
      <c r="K5213" s="6"/>
      <c r="L5213" s="6"/>
      <c r="M5213" s="6"/>
      <c r="N5213" s="6"/>
      <c r="O5213" s="6"/>
      <c r="P5213" s="6"/>
      <c r="Q5213" s="6"/>
      <c r="R5213" s="6"/>
      <c r="S5213" s="6"/>
      <c r="T5213" s="6"/>
      <c r="U5213" s="6"/>
      <c r="V5213" s="6"/>
      <c r="W5213" s="6"/>
      <c r="X5213" s="6"/>
      <c r="Y5213" s="6"/>
      <c r="Z5213" s="6"/>
      <c r="AA5213" s="6"/>
    </row>
    <row r="5214" ht="14.25">
      <c r="B5214" s="14" t="s">
        <v>34617</v>
      </c>
      <c r="C5214" s="4" t="s">
        <v>34655</v>
      </c>
      <c r="D5214" s="4" t="s">
        <v>34658</v>
      </c>
      <c r="E5214" s="4" t="s">
        <v>34656</v>
      </c>
      <c r="F5214" s="4" t="s">
        <v>7347</v>
      </c>
      <c r="G5214" s="4" t="s">
        <v>32881</v>
      </c>
      <c r="H5214" s="6"/>
      <c r="I5214" s="6"/>
      <c r="J5214" s="6"/>
      <c r="K5214" s="6"/>
      <c r="L5214" s="6"/>
      <c r="M5214" s="6"/>
      <c r="N5214" s="6"/>
      <c r="O5214" s="6"/>
      <c r="P5214" s="6"/>
      <c r="Q5214" s="6"/>
      <c r="R5214" s="6"/>
      <c r="S5214" s="6"/>
      <c r="T5214" s="6"/>
      <c r="U5214" s="6"/>
      <c r="V5214" s="6"/>
      <c r="W5214" s="6"/>
      <c r="X5214" s="6"/>
      <c r="Y5214" s="6"/>
      <c r="Z5214" s="6"/>
      <c r="AA5214" s="6"/>
    </row>
    <row r="5215" ht="14.25">
      <c r="B5215" s="14" t="s">
        <v>34659</v>
      </c>
      <c r="C5215" s="4" t="s">
        <v>34660</v>
      </c>
      <c r="D5215" s="4" t="s">
        <v>34661</v>
      </c>
      <c r="E5215" s="4" t="s">
        <v>34662</v>
      </c>
      <c r="F5215" s="4" t="s">
        <v>2652</v>
      </c>
      <c r="G5215" s="4" t="s">
        <v>34663</v>
      </c>
      <c r="H5215" s="6"/>
      <c r="I5215" s="6"/>
      <c r="J5215" s="6"/>
      <c r="K5215" s="6"/>
      <c r="L5215" s="6"/>
      <c r="M5215" s="6"/>
      <c r="N5215" s="6"/>
      <c r="O5215" s="6"/>
      <c r="P5215" s="6"/>
      <c r="Q5215" s="6"/>
      <c r="R5215" s="6"/>
      <c r="S5215" s="6"/>
      <c r="T5215" s="6"/>
      <c r="U5215" s="6"/>
      <c r="V5215" s="6"/>
      <c r="W5215" s="6"/>
      <c r="X5215" s="6"/>
      <c r="Y5215" s="6"/>
      <c r="Z5215" s="6"/>
      <c r="AA5215" s="6"/>
    </row>
    <row r="5216" ht="14.25">
      <c r="B5216" s="14" t="s">
        <v>34659</v>
      </c>
      <c r="C5216" s="4" t="s">
        <v>34660</v>
      </c>
      <c r="D5216" s="4" t="s">
        <v>34664</v>
      </c>
      <c r="E5216" s="4" t="s">
        <v>34662</v>
      </c>
      <c r="F5216" s="4" t="s">
        <v>32679</v>
      </c>
      <c r="G5216" s="4" t="s">
        <v>34665</v>
      </c>
      <c r="H5216" s="6"/>
      <c r="I5216" s="6"/>
      <c r="J5216" s="6"/>
      <c r="K5216" s="6"/>
      <c r="L5216" s="6"/>
      <c r="M5216" s="6"/>
      <c r="N5216" s="6"/>
      <c r="O5216" s="6"/>
      <c r="P5216" s="6"/>
      <c r="Q5216" s="6"/>
      <c r="R5216" s="6"/>
      <c r="S5216" s="6"/>
      <c r="T5216" s="6"/>
      <c r="U5216" s="6"/>
      <c r="V5216" s="6"/>
      <c r="W5216" s="6"/>
      <c r="X5216" s="6"/>
      <c r="Y5216" s="6"/>
      <c r="Z5216" s="6"/>
      <c r="AA5216" s="6"/>
    </row>
    <row r="5217" ht="14.25">
      <c r="B5217" s="14" t="s">
        <v>34666</v>
      </c>
      <c r="C5217" s="4" t="s">
        <v>34667</v>
      </c>
      <c r="D5217" s="4" t="s">
        <v>34668</v>
      </c>
      <c r="E5217" s="4" t="s">
        <v>34669</v>
      </c>
      <c r="F5217" s="4" t="s">
        <v>670</v>
      </c>
      <c r="G5217" s="4" t="s">
        <v>34670</v>
      </c>
      <c r="H5217" s="6"/>
      <c r="I5217" s="6"/>
      <c r="J5217" s="6"/>
      <c r="K5217" s="6"/>
      <c r="L5217" s="6"/>
      <c r="M5217" s="6"/>
      <c r="N5217" s="6"/>
      <c r="O5217" s="6"/>
      <c r="P5217" s="6"/>
      <c r="Q5217" s="6"/>
      <c r="R5217" s="6"/>
      <c r="S5217" s="6"/>
      <c r="T5217" s="6"/>
      <c r="U5217" s="6"/>
      <c r="V5217" s="6"/>
      <c r="W5217" s="6"/>
      <c r="X5217" s="6"/>
      <c r="Y5217" s="6"/>
      <c r="Z5217" s="6"/>
      <c r="AA5217" s="6"/>
    </row>
    <row r="5218" ht="14.25">
      <c r="B5218" s="14" t="s">
        <v>34666</v>
      </c>
      <c r="C5218" s="4" t="s">
        <v>34667</v>
      </c>
      <c r="D5218" s="4" t="s">
        <v>34671</v>
      </c>
      <c r="E5218" s="4" t="s">
        <v>34669</v>
      </c>
      <c r="F5218" s="4" t="s">
        <v>34672</v>
      </c>
      <c r="G5218" s="4" t="s">
        <v>34673</v>
      </c>
      <c r="H5218" s="6"/>
      <c r="I5218" s="6"/>
      <c r="J5218" s="6"/>
      <c r="K5218" s="6"/>
      <c r="L5218" s="6"/>
      <c r="M5218" s="6"/>
      <c r="N5218" s="6"/>
      <c r="O5218" s="6"/>
      <c r="P5218" s="6"/>
      <c r="Q5218" s="6"/>
      <c r="R5218" s="6"/>
      <c r="S5218" s="6"/>
      <c r="T5218" s="6"/>
      <c r="U5218" s="6"/>
      <c r="V5218" s="6"/>
      <c r="W5218" s="6"/>
      <c r="X5218" s="6"/>
      <c r="Y5218" s="6"/>
      <c r="Z5218" s="6"/>
      <c r="AA5218" s="6"/>
    </row>
    <row r="5219" ht="14.25">
      <c r="B5219" s="14" t="s">
        <v>34666</v>
      </c>
      <c r="C5219" s="4" t="s">
        <v>34667</v>
      </c>
      <c r="D5219" s="4" t="s">
        <v>34674</v>
      </c>
      <c r="E5219" s="4" t="s">
        <v>34669</v>
      </c>
      <c r="F5219" s="4" t="s">
        <v>33054</v>
      </c>
      <c r="G5219" s="4" t="s">
        <v>34675</v>
      </c>
      <c r="H5219" s="6"/>
      <c r="I5219" s="6"/>
      <c r="J5219" s="6"/>
      <c r="K5219" s="6"/>
      <c r="L5219" s="6"/>
      <c r="M5219" s="6"/>
      <c r="N5219" s="6"/>
      <c r="O5219" s="6"/>
      <c r="P5219" s="6"/>
      <c r="Q5219" s="6"/>
      <c r="R5219" s="6"/>
      <c r="S5219" s="6"/>
      <c r="T5219" s="6"/>
      <c r="U5219" s="6"/>
      <c r="V5219" s="6"/>
      <c r="W5219" s="6"/>
      <c r="X5219" s="6"/>
      <c r="Y5219" s="6"/>
      <c r="Z5219" s="6"/>
      <c r="AA5219" s="6"/>
    </row>
    <row r="5220" ht="14.25">
      <c r="B5220" s="14" t="s">
        <v>34666</v>
      </c>
      <c r="C5220" s="4" t="s">
        <v>34667</v>
      </c>
      <c r="D5220" s="4" t="s">
        <v>34676</v>
      </c>
      <c r="E5220" s="4" t="s">
        <v>34669</v>
      </c>
      <c r="F5220" s="4" t="s">
        <v>20</v>
      </c>
      <c r="G5220" s="4" t="s">
        <v>34677</v>
      </c>
      <c r="H5220" s="6"/>
      <c r="I5220" s="6"/>
      <c r="J5220" s="6"/>
      <c r="K5220" s="6"/>
      <c r="L5220" s="6"/>
      <c r="M5220" s="6"/>
      <c r="N5220" s="6"/>
      <c r="O5220" s="6"/>
      <c r="P5220" s="6"/>
      <c r="Q5220" s="6"/>
      <c r="R5220" s="6"/>
      <c r="S5220" s="6"/>
      <c r="T5220" s="6"/>
      <c r="U5220" s="6"/>
      <c r="V5220" s="6"/>
      <c r="W5220" s="6"/>
      <c r="X5220" s="6"/>
      <c r="Y5220" s="6"/>
      <c r="Z5220" s="6"/>
      <c r="AA5220" s="6"/>
    </row>
    <row r="5221" ht="14.25">
      <c r="B5221" s="14" t="s">
        <v>34666</v>
      </c>
      <c r="C5221" s="4" t="s">
        <v>34667</v>
      </c>
      <c r="D5221" s="4" t="s">
        <v>34678</v>
      </c>
      <c r="E5221" s="4" t="s">
        <v>34669</v>
      </c>
      <c r="F5221" s="4" t="s">
        <v>33621</v>
      </c>
      <c r="G5221" s="4" t="s">
        <v>34679</v>
      </c>
      <c r="H5221" s="6"/>
      <c r="I5221" s="6"/>
      <c r="J5221" s="6"/>
      <c r="K5221" s="6"/>
      <c r="L5221" s="6"/>
      <c r="M5221" s="6"/>
      <c r="N5221" s="6"/>
      <c r="O5221" s="6"/>
      <c r="P5221" s="6"/>
      <c r="Q5221" s="6"/>
      <c r="R5221" s="6"/>
      <c r="S5221" s="6"/>
      <c r="T5221" s="6"/>
      <c r="U5221" s="6"/>
      <c r="V5221" s="6"/>
      <c r="W5221" s="6"/>
      <c r="X5221" s="6"/>
      <c r="Y5221" s="6"/>
      <c r="Z5221" s="6"/>
      <c r="AA5221" s="6"/>
    </row>
    <row r="5222" ht="14.25">
      <c r="B5222" s="14" t="s">
        <v>34666</v>
      </c>
      <c r="C5222" s="4" t="s">
        <v>34667</v>
      </c>
      <c r="D5222" s="4" t="s">
        <v>34680</v>
      </c>
      <c r="E5222" s="4" t="s">
        <v>34669</v>
      </c>
      <c r="F5222" s="4" t="s">
        <v>769</v>
      </c>
      <c r="G5222" s="4" t="s">
        <v>34681</v>
      </c>
      <c r="H5222" s="6"/>
      <c r="I5222" s="6"/>
      <c r="J5222" s="6"/>
      <c r="K5222" s="6"/>
      <c r="L5222" s="6"/>
      <c r="M5222" s="6"/>
      <c r="N5222" s="6"/>
      <c r="O5222" s="6"/>
      <c r="P5222" s="6"/>
      <c r="Q5222" s="6"/>
      <c r="R5222" s="6"/>
      <c r="S5222" s="6"/>
      <c r="T5222" s="6"/>
      <c r="U5222" s="6"/>
      <c r="V5222" s="6"/>
      <c r="W5222" s="6"/>
      <c r="X5222" s="6"/>
      <c r="Y5222" s="6"/>
      <c r="Z5222" s="6"/>
      <c r="AA5222" s="6"/>
    </row>
    <row r="5223" ht="14.25">
      <c r="B5223" s="14" t="s">
        <v>34666</v>
      </c>
      <c r="C5223" s="4" t="s">
        <v>34667</v>
      </c>
      <c r="D5223" s="4" t="s">
        <v>34682</v>
      </c>
      <c r="E5223" s="4" t="s">
        <v>34669</v>
      </c>
      <c r="F5223" s="4" t="s">
        <v>785</v>
      </c>
      <c r="G5223" s="4" t="s">
        <v>34683</v>
      </c>
      <c r="H5223" s="6"/>
      <c r="I5223" s="6"/>
      <c r="J5223" s="6"/>
      <c r="K5223" s="6"/>
      <c r="L5223" s="6"/>
      <c r="M5223" s="6"/>
      <c r="N5223" s="6"/>
      <c r="O5223" s="6"/>
      <c r="P5223" s="6"/>
      <c r="Q5223" s="6"/>
      <c r="R5223" s="6"/>
      <c r="S5223" s="6"/>
      <c r="T5223" s="6"/>
      <c r="U5223" s="6"/>
      <c r="V5223" s="6"/>
      <c r="W5223" s="6"/>
      <c r="X5223" s="6"/>
      <c r="Y5223" s="6"/>
      <c r="Z5223" s="6"/>
      <c r="AA5223" s="6"/>
    </row>
    <row r="5224" ht="14.25">
      <c r="B5224" s="14" t="s">
        <v>34666</v>
      </c>
      <c r="C5224" s="4" t="s">
        <v>34684</v>
      </c>
      <c r="D5224" s="4" t="s">
        <v>34685</v>
      </c>
      <c r="E5224" s="4" t="s">
        <v>34686</v>
      </c>
      <c r="F5224" s="4" t="s">
        <v>5579</v>
      </c>
      <c r="G5224" s="4" t="s">
        <v>32868</v>
      </c>
      <c r="H5224" s="6"/>
      <c r="I5224" s="6"/>
      <c r="J5224" s="6"/>
      <c r="K5224" s="6"/>
      <c r="L5224" s="6"/>
      <c r="M5224" s="6"/>
      <c r="N5224" s="6"/>
      <c r="O5224" s="6"/>
      <c r="P5224" s="6"/>
      <c r="Q5224" s="6"/>
      <c r="R5224" s="6"/>
      <c r="S5224" s="6"/>
      <c r="T5224" s="6"/>
      <c r="U5224" s="6"/>
      <c r="V5224" s="6"/>
      <c r="W5224" s="6"/>
      <c r="X5224" s="6"/>
      <c r="Y5224" s="6"/>
      <c r="Z5224" s="6"/>
      <c r="AA5224" s="6"/>
    </row>
    <row r="5225" ht="14.25">
      <c r="B5225" s="14" t="s">
        <v>34666</v>
      </c>
      <c r="C5225" s="4" t="s">
        <v>34667</v>
      </c>
      <c r="D5225" s="4" t="s">
        <v>34687</v>
      </c>
      <c r="E5225" s="4" t="s">
        <v>34669</v>
      </c>
      <c r="F5225" s="4" t="s">
        <v>7525</v>
      </c>
      <c r="G5225" s="4" t="s">
        <v>34688</v>
      </c>
      <c r="H5225" s="6"/>
      <c r="I5225" s="6"/>
      <c r="J5225" s="6"/>
      <c r="K5225" s="6"/>
      <c r="L5225" s="6"/>
      <c r="M5225" s="6"/>
      <c r="N5225" s="6"/>
      <c r="O5225" s="6"/>
      <c r="P5225" s="6"/>
      <c r="Q5225" s="6"/>
      <c r="R5225" s="6"/>
      <c r="S5225" s="6"/>
      <c r="T5225" s="6"/>
      <c r="U5225" s="6"/>
      <c r="V5225" s="6"/>
      <c r="W5225" s="6"/>
      <c r="X5225" s="6"/>
      <c r="Y5225" s="6"/>
      <c r="Z5225" s="6"/>
      <c r="AA5225" s="6"/>
    </row>
    <row r="5226" ht="14.25">
      <c r="B5226" s="14" t="s">
        <v>34666</v>
      </c>
      <c r="C5226" s="4" t="s">
        <v>34667</v>
      </c>
      <c r="D5226" s="4" t="s">
        <v>34689</v>
      </c>
      <c r="E5226" s="4" t="s">
        <v>34669</v>
      </c>
      <c r="F5226" s="4" t="s">
        <v>1704</v>
      </c>
      <c r="G5226" s="4" t="s">
        <v>34690</v>
      </c>
      <c r="H5226" s="6"/>
      <c r="I5226" s="6"/>
      <c r="J5226" s="6"/>
      <c r="K5226" s="6"/>
      <c r="L5226" s="6"/>
      <c r="M5226" s="6"/>
      <c r="N5226" s="6"/>
      <c r="O5226" s="6"/>
      <c r="P5226" s="6"/>
      <c r="Q5226" s="6"/>
      <c r="R5226" s="6"/>
      <c r="S5226" s="6"/>
      <c r="T5226" s="6"/>
      <c r="U5226" s="6"/>
      <c r="V5226" s="6"/>
      <c r="W5226" s="6"/>
      <c r="X5226" s="6"/>
      <c r="Y5226" s="6"/>
      <c r="Z5226" s="6"/>
      <c r="AA5226" s="6"/>
    </row>
    <row r="5227" ht="14.25">
      <c r="B5227" s="14" t="s">
        <v>34666</v>
      </c>
      <c r="C5227" s="4" t="s">
        <v>34667</v>
      </c>
      <c r="D5227" s="4" t="s">
        <v>34691</v>
      </c>
      <c r="E5227" s="4" t="s">
        <v>34669</v>
      </c>
      <c r="F5227" s="4" t="s">
        <v>2720</v>
      </c>
      <c r="G5227" s="4" t="s">
        <v>34692</v>
      </c>
      <c r="H5227" s="6"/>
      <c r="I5227" s="6"/>
      <c r="J5227" s="6"/>
      <c r="K5227" s="6"/>
      <c r="L5227" s="6"/>
      <c r="M5227" s="6"/>
      <c r="N5227" s="6"/>
      <c r="O5227" s="6"/>
      <c r="P5227" s="6"/>
      <c r="Q5227" s="6"/>
      <c r="R5227" s="6"/>
      <c r="S5227" s="6"/>
      <c r="T5227" s="6"/>
      <c r="U5227" s="6"/>
      <c r="V5227" s="6"/>
      <c r="W5227" s="6"/>
      <c r="X5227" s="6"/>
      <c r="Y5227" s="6"/>
      <c r="Z5227" s="6"/>
      <c r="AA5227" s="6"/>
    </row>
    <row r="5228" ht="14.25">
      <c r="B5228" s="14" t="s">
        <v>34666</v>
      </c>
      <c r="C5228" s="4" t="s">
        <v>34667</v>
      </c>
      <c r="D5228" s="4" t="s">
        <v>34693</v>
      </c>
      <c r="E5228" s="4" t="s">
        <v>34669</v>
      </c>
      <c r="F5228" s="4" t="s">
        <v>1215</v>
      </c>
      <c r="G5228" s="4" t="s">
        <v>34694</v>
      </c>
      <c r="H5228" s="6"/>
      <c r="I5228" s="6"/>
      <c r="J5228" s="6"/>
      <c r="K5228" s="6"/>
      <c r="L5228" s="6"/>
      <c r="M5228" s="6"/>
      <c r="N5228" s="6"/>
      <c r="O5228" s="6"/>
      <c r="P5228" s="6"/>
      <c r="Q5228" s="6"/>
      <c r="R5228" s="6"/>
      <c r="S5228" s="6"/>
      <c r="T5228" s="6"/>
      <c r="U5228" s="6"/>
      <c r="V5228" s="6"/>
      <c r="W5228" s="6"/>
      <c r="X5228" s="6"/>
      <c r="Y5228" s="6"/>
      <c r="Z5228" s="6"/>
      <c r="AA5228" s="6"/>
    </row>
    <row r="5229" ht="14.25">
      <c r="B5229" s="14" t="s">
        <v>34666</v>
      </c>
      <c r="C5229" s="4" t="s">
        <v>34667</v>
      </c>
      <c r="D5229" s="4" t="s">
        <v>34695</v>
      </c>
      <c r="E5229" s="4" t="s">
        <v>34669</v>
      </c>
      <c r="F5229" s="4" t="s">
        <v>33459</v>
      </c>
      <c r="G5229" s="4" t="s">
        <v>34696</v>
      </c>
      <c r="H5229" s="6"/>
      <c r="I5229" s="6"/>
      <c r="J5229" s="6"/>
      <c r="K5229" s="6"/>
      <c r="L5229" s="6"/>
      <c r="M5229" s="6"/>
      <c r="N5229" s="6"/>
      <c r="O5229" s="6"/>
      <c r="P5229" s="6"/>
      <c r="Q5229" s="6"/>
      <c r="R5229" s="6"/>
      <c r="S5229" s="6"/>
      <c r="T5229" s="6"/>
      <c r="U5229" s="6"/>
      <c r="V5229" s="6"/>
      <c r="W5229" s="6"/>
      <c r="X5229" s="6"/>
      <c r="Y5229" s="6"/>
      <c r="Z5229" s="6"/>
      <c r="AA5229" s="6"/>
    </row>
    <row r="5230" ht="14.25">
      <c r="B5230" s="14" t="s">
        <v>34697</v>
      </c>
      <c r="C5230" s="4" t="s">
        <v>34698</v>
      </c>
      <c r="D5230" s="4" t="s">
        <v>34699</v>
      </c>
      <c r="E5230" s="4" t="s">
        <v>34700</v>
      </c>
      <c r="F5230" s="4" t="s">
        <v>6243</v>
      </c>
      <c r="G5230" s="4" t="s">
        <v>34701</v>
      </c>
      <c r="H5230" s="6"/>
      <c r="I5230" s="6"/>
      <c r="J5230" s="6"/>
      <c r="K5230" s="6"/>
      <c r="L5230" s="6"/>
      <c r="M5230" s="6"/>
      <c r="N5230" s="6"/>
      <c r="O5230" s="6"/>
      <c r="P5230" s="6"/>
      <c r="Q5230" s="6"/>
      <c r="R5230" s="6"/>
      <c r="S5230" s="6"/>
      <c r="T5230" s="6"/>
      <c r="U5230" s="6"/>
      <c r="V5230" s="6"/>
      <c r="W5230" s="6"/>
      <c r="X5230" s="6"/>
      <c r="Y5230" s="6"/>
      <c r="Z5230" s="6"/>
      <c r="AA5230" s="6"/>
    </row>
    <row r="5231" ht="14.25">
      <c r="B5231" s="14" t="s">
        <v>34702</v>
      </c>
      <c r="C5231" s="4" t="s">
        <v>34703</v>
      </c>
      <c r="D5231" s="4" t="s">
        <v>34704</v>
      </c>
      <c r="E5231" s="6"/>
      <c r="F5231" s="4" t="s">
        <v>1571</v>
      </c>
      <c r="G5231" s="4" t="s">
        <v>34705</v>
      </c>
      <c r="H5231" s="6"/>
      <c r="I5231" s="6"/>
      <c r="J5231" s="6"/>
      <c r="K5231" s="6"/>
      <c r="L5231" s="6"/>
      <c r="M5231" s="6"/>
      <c r="N5231" s="6"/>
      <c r="O5231" s="6"/>
      <c r="P5231" s="6"/>
      <c r="Q5231" s="6"/>
      <c r="R5231" s="6"/>
      <c r="S5231" s="6"/>
      <c r="T5231" s="6"/>
      <c r="U5231" s="6"/>
      <c r="V5231" s="6"/>
      <c r="W5231" s="6"/>
      <c r="X5231" s="6"/>
      <c r="Y5231" s="6"/>
      <c r="Z5231" s="6"/>
      <c r="AA5231" s="6"/>
    </row>
    <row r="5232" ht="14.25">
      <c r="B5232" s="14" t="s">
        <v>34706</v>
      </c>
      <c r="C5232" s="4" t="s">
        <v>34707</v>
      </c>
      <c r="D5232" s="4" t="s">
        <v>34708</v>
      </c>
      <c r="E5232" s="6"/>
      <c r="F5232" s="4" t="s">
        <v>1596</v>
      </c>
      <c r="G5232" s="4" t="s">
        <v>34709</v>
      </c>
      <c r="H5232" s="6"/>
      <c r="I5232" s="6"/>
      <c r="J5232" s="6"/>
      <c r="K5232" s="6"/>
      <c r="L5232" s="6"/>
      <c r="M5232" s="6"/>
      <c r="N5232" s="6"/>
      <c r="O5232" s="6"/>
      <c r="P5232" s="6"/>
      <c r="Q5232" s="6"/>
      <c r="R5232" s="6"/>
      <c r="S5232" s="6"/>
      <c r="T5232" s="6"/>
      <c r="U5232" s="6"/>
      <c r="V5232" s="6"/>
      <c r="W5232" s="6"/>
      <c r="X5232" s="6"/>
      <c r="Y5232" s="6"/>
      <c r="Z5232" s="6"/>
      <c r="AA5232" s="6"/>
    </row>
    <row r="5233" ht="14.25">
      <c r="B5233" s="14" t="s">
        <v>34706</v>
      </c>
      <c r="C5233" s="4" t="s">
        <v>34710</v>
      </c>
      <c r="D5233" s="4" t="s">
        <v>34711</v>
      </c>
      <c r="E5233" s="6"/>
      <c r="F5233" s="4" t="s">
        <v>670</v>
      </c>
      <c r="G5233" s="4" t="s">
        <v>34712</v>
      </c>
      <c r="H5233" s="6"/>
      <c r="I5233" s="6"/>
      <c r="J5233" s="6"/>
      <c r="K5233" s="6"/>
      <c r="L5233" s="6"/>
      <c r="M5233" s="6"/>
      <c r="N5233" s="6"/>
      <c r="O5233" s="6"/>
      <c r="P5233" s="6"/>
      <c r="Q5233" s="6"/>
      <c r="R5233" s="6"/>
      <c r="S5233" s="6"/>
      <c r="T5233" s="6"/>
      <c r="U5233" s="6"/>
      <c r="V5233" s="6"/>
      <c r="W5233" s="6"/>
      <c r="X5233" s="6"/>
      <c r="Y5233" s="6"/>
      <c r="Z5233" s="6"/>
      <c r="AA5233" s="6"/>
    </row>
    <row r="5234" ht="14.25">
      <c r="B5234" s="14" t="s">
        <v>34706</v>
      </c>
      <c r="C5234" s="4" t="s">
        <v>34713</v>
      </c>
      <c r="D5234" s="4" t="s">
        <v>34714</v>
      </c>
      <c r="E5234" s="6"/>
      <c r="F5234" s="4" t="s">
        <v>1215</v>
      </c>
      <c r="G5234" s="4" t="s">
        <v>34715</v>
      </c>
      <c r="H5234" s="6"/>
      <c r="I5234" s="6"/>
      <c r="J5234" s="6"/>
      <c r="K5234" s="6"/>
      <c r="L5234" s="6"/>
      <c r="M5234" s="6"/>
      <c r="N5234" s="6"/>
      <c r="O5234" s="6"/>
      <c r="P5234" s="6"/>
      <c r="Q5234" s="6"/>
      <c r="R5234" s="6"/>
      <c r="S5234" s="6"/>
      <c r="T5234" s="6"/>
      <c r="U5234" s="6"/>
      <c r="V5234" s="6"/>
      <c r="W5234" s="6"/>
      <c r="X5234" s="6"/>
      <c r="Y5234" s="6"/>
      <c r="Z5234" s="6"/>
      <c r="AA5234" s="6"/>
    </row>
    <row r="5235" ht="14.25">
      <c r="B5235" s="14" t="s">
        <v>34706</v>
      </c>
      <c r="C5235" s="4" t="s">
        <v>34710</v>
      </c>
      <c r="D5235" s="4" t="s">
        <v>34716</v>
      </c>
      <c r="E5235" s="4" t="s">
        <v>34711</v>
      </c>
      <c r="F5235" s="4" t="s">
        <v>6390</v>
      </c>
      <c r="G5235" s="4" t="s">
        <v>34717</v>
      </c>
      <c r="H5235" s="6"/>
      <c r="I5235" s="6"/>
      <c r="J5235" s="6"/>
      <c r="K5235" s="6"/>
      <c r="L5235" s="6"/>
      <c r="M5235" s="6"/>
      <c r="N5235" s="6"/>
      <c r="O5235" s="6"/>
      <c r="P5235" s="6"/>
      <c r="Q5235" s="6"/>
      <c r="R5235" s="6"/>
      <c r="S5235" s="6"/>
      <c r="T5235" s="6"/>
      <c r="U5235" s="6"/>
      <c r="V5235" s="6"/>
      <c r="W5235" s="6"/>
      <c r="X5235" s="6"/>
      <c r="Y5235" s="6"/>
      <c r="Z5235" s="6"/>
      <c r="AA5235" s="6"/>
    </row>
    <row r="5236" ht="14.25">
      <c r="B5236" s="14" t="s">
        <v>34718</v>
      </c>
      <c r="C5236" s="4" t="s">
        <v>34719</v>
      </c>
      <c r="D5236" s="4" t="s">
        <v>34720</v>
      </c>
      <c r="E5236" s="4" t="s">
        <v>34721</v>
      </c>
      <c r="F5236" s="4" t="s">
        <v>679</v>
      </c>
      <c r="G5236" s="4" t="s">
        <v>34722</v>
      </c>
      <c r="H5236" s="6"/>
      <c r="I5236" s="6"/>
      <c r="J5236" s="6"/>
      <c r="K5236" s="6"/>
      <c r="L5236" s="6"/>
      <c r="M5236" s="6"/>
      <c r="N5236" s="6"/>
      <c r="O5236" s="6"/>
      <c r="P5236" s="6"/>
      <c r="Q5236" s="6"/>
      <c r="R5236" s="6"/>
      <c r="S5236" s="6"/>
      <c r="T5236" s="6"/>
      <c r="U5236" s="6"/>
      <c r="V5236" s="6"/>
      <c r="W5236" s="6"/>
      <c r="X5236" s="6"/>
      <c r="Y5236" s="6"/>
      <c r="Z5236" s="6"/>
      <c r="AA5236" s="6"/>
    </row>
    <row r="5237" ht="14.25">
      <c r="B5237" s="14" t="s">
        <v>34723</v>
      </c>
      <c r="C5237" s="4" t="s">
        <v>34724</v>
      </c>
      <c r="D5237" s="4" t="s">
        <v>34725</v>
      </c>
      <c r="E5237" s="6"/>
      <c r="F5237" s="4" t="s">
        <v>1215</v>
      </c>
      <c r="G5237" s="4" t="s">
        <v>34726</v>
      </c>
      <c r="H5237" s="6"/>
      <c r="I5237" s="6"/>
      <c r="J5237" s="6"/>
      <c r="K5237" s="6"/>
      <c r="L5237" s="6"/>
      <c r="M5237" s="6"/>
      <c r="N5237" s="6"/>
      <c r="O5237" s="6"/>
      <c r="P5237" s="6"/>
      <c r="Q5237" s="6"/>
      <c r="R5237" s="6"/>
      <c r="S5237" s="6"/>
      <c r="T5237" s="6"/>
      <c r="U5237" s="6"/>
      <c r="V5237" s="6"/>
      <c r="W5237" s="6"/>
      <c r="X5237" s="6"/>
      <c r="Y5237" s="6"/>
      <c r="Z5237" s="6"/>
      <c r="AA5237" s="6"/>
    </row>
    <row r="5238" ht="14.25">
      <c r="B5238" s="14" t="s">
        <v>34723</v>
      </c>
      <c r="C5238" s="4" t="s">
        <v>34727</v>
      </c>
      <c r="D5238" s="4" t="s">
        <v>34728</v>
      </c>
      <c r="E5238" s="4" t="s">
        <v>34729</v>
      </c>
      <c r="F5238" s="4" t="s">
        <v>2598</v>
      </c>
      <c r="G5238" s="4" t="s">
        <v>34730</v>
      </c>
      <c r="H5238" s="6"/>
      <c r="I5238" s="6"/>
      <c r="J5238" s="6"/>
      <c r="K5238" s="6"/>
      <c r="L5238" s="6"/>
      <c r="M5238" s="6"/>
      <c r="N5238" s="6"/>
      <c r="O5238" s="6"/>
      <c r="P5238" s="6"/>
      <c r="Q5238" s="6"/>
      <c r="R5238" s="6"/>
      <c r="S5238" s="6"/>
      <c r="T5238" s="6"/>
      <c r="U5238" s="6"/>
      <c r="V5238" s="6"/>
      <c r="W5238" s="6"/>
      <c r="X5238" s="6"/>
      <c r="Y5238" s="6"/>
      <c r="Z5238" s="6"/>
      <c r="AA5238" s="6"/>
    </row>
    <row r="5239" ht="14.25">
      <c r="B5239" s="14" t="s">
        <v>34731</v>
      </c>
      <c r="C5239" s="4" t="s">
        <v>34732</v>
      </c>
      <c r="D5239" s="4" t="s">
        <v>34733</v>
      </c>
      <c r="E5239" s="4" t="s">
        <v>34734</v>
      </c>
      <c r="F5239" s="4" t="s">
        <v>2419</v>
      </c>
      <c r="G5239" s="4" t="s">
        <v>34735</v>
      </c>
      <c r="H5239" s="6"/>
      <c r="I5239" s="6"/>
      <c r="J5239" s="6"/>
      <c r="K5239" s="6"/>
      <c r="L5239" s="6"/>
      <c r="M5239" s="6"/>
      <c r="N5239" s="6"/>
      <c r="O5239" s="6"/>
      <c r="P5239" s="6"/>
      <c r="Q5239" s="6"/>
      <c r="R5239" s="6"/>
      <c r="S5239" s="6"/>
      <c r="T5239" s="6"/>
      <c r="U5239" s="6"/>
      <c r="V5239" s="6"/>
      <c r="W5239" s="6"/>
      <c r="X5239" s="6"/>
      <c r="Y5239" s="6"/>
      <c r="Z5239" s="6"/>
      <c r="AA5239" s="6"/>
    </row>
    <row r="5240" ht="14.25">
      <c r="B5240" s="14" t="s">
        <v>34736</v>
      </c>
      <c r="C5240" s="4" t="s">
        <v>34737</v>
      </c>
      <c r="D5240" s="4" t="s">
        <v>34738</v>
      </c>
      <c r="E5240" s="6"/>
      <c r="F5240" s="4" t="s">
        <v>33576</v>
      </c>
      <c r="G5240" s="4" t="s">
        <v>34739</v>
      </c>
      <c r="H5240" s="6"/>
      <c r="I5240" s="6"/>
      <c r="J5240" s="6"/>
      <c r="K5240" s="6"/>
      <c r="L5240" s="6"/>
      <c r="M5240" s="6"/>
      <c r="N5240" s="6"/>
      <c r="O5240" s="6"/>
      <c r="P5240" s="6"/>
      <c r="Q5240" s="6"/>
      <c r="R5240" s="6"/>
      <c r="S5240" s="6"/>
      <c r="T5240" s="6"/>
      <c r="U5240" s="6"/>
      <c r="V5240" s="6"/>
      <c r="W5240" s="6"/>
      <c r="X5240" s="6"/>
      <c r="Y5240" s="6"/>
      <c r="Z5240" s="6"/>
      <c r="AA5240" s="6"/>
    </row>
    <row r="5241" ht="14.25">
      <c r="B5241" s="14" t="s">
        <v>34740</v>
      </c>
      <c r="C5241" s="4" t="s">
        <v>34741</v>
      </c>
      <c r="D5241" s="4" t="s">
        <v>34742</v>
      </c>
      <c r="E5241" s="4" t="s">
        <v>34743</v>
      </c>
      <c r="F5241" s="4" t="s">
        <v>1353</v>
      </c>
      <c r="G5241" s="4" t="s">
        <v>34744</v>
      </c>
      <c r="H5241" s="6"/>
      <c r="I5241" s="6"/>
      <c r="J5241" s="6"/>
      <c r="K5241" s="6"/>
      <c r="L5241" s="6"/>
      <c r="M5241" s="6"/>
      <c r="N5241" s="6"/>
      <c r="O5241" s="6"/>
      <c r="P5241" s="6"/>
      <c r="Q5241" s="6"/>
      <c r="R5241" s="6"/>
      <c r="S5241" s="6"/>
      <c r="T5241" s="6"/>
      <c r="U5241" s="6"/>
      <c r="V5241" s="6"/>
      <c r="W5241" s="6"/>
      <c r="X5241" s="6"/>
      <c r="Y5241" s="6"/>
      <c r="Z5241" s="6"/>
      <c r="AA5241" s="6"/>
    </row>
    <row r="5242" ht="14.25">
      <c r="B5242" s="14" t="s">
        <v>34745</v>
      </c>
      <c r="C5242" s="4" t="s">
        <v>34746</v>
      </c>
      <c r="D5242" s="4" t="s">
        <v>34747</v>
      </c>
      <c r="E5242" s="6"/>
      <c r="F5242" s="4" t="s">
        <v>21089</v>
      </c>
      <c r="G5242" s="4" t="s">
        <v>34748</v>
      </c>
      <c r="H5242" s="6"/>
      <c r="I5242" s="6"/>
      <c r="J5242" s="6"/>
      <c r="K5242" s="6"/>
      <c r="L5242" s="6"/>
      <c r="M5242" s="6"/>
      <c r="N5242" s="6"/>
      <c r="O5242" s="6"/>
      <c r="P5242" s="6"/>
      <c r="Q5242" s="6"/>
      <c r="R5242" s="6"/>
      <c r="S5242" s="6"/>
      <c r="T5242" s="6"/>
      <c r="U5242" s="6"/>
      <c r="V5242" s="6"/>
      <c r="W5242" s="6"/>
      <c r="X5242" s="6"/>
      <c r="Y5242" s="6"/>
      <c r="Z5242" s="6"/>
      <c r="AA5242" s="6"/>
    </row>
    <row r="5243" ht="14.25">
      <c r="B5243" s="14" t="s">
        <v>34749</v>
      </c>
      <c r="C5243" s="4" t="s">
        <v>34750</v>
      </c>
      <c r="D5243" s="4" t="s">
        <v>34751</v>
      </c>
      <c r="E5243" s="4" t="s">
        <v>34752</v>
      </c>
      <c r="F5243" s="4" t="s">
        <v>76</v>
      </c>
      <c r="G5243" s="4" t="s">
        <v>34753</v>
      </c>
      <c r="H5243" s="6"/>
      <c r="I5243" s="6"/>
      <c r="J5243" s="6"/>
      <c r="K5243" s="6"/>
      <c r="L5243" s="6"/>
      <c r="M5243" s="6"/>
      <c r="N5243" s="6"/>
      <c r="O5243" s="6"/>
      <c r="P5243" s="6"/>
      <c r="Q5243" s="6"/>
      <c r="R5243" s="6"/>
      <c r="S5243" s="6"/>
      <c r="T5243" s="6"/>
      <c r="U5243" s="6"/>
      <c r="V5243" s="6"/>
      <c r="W5243" s="6"/>
      <c r="X5243" s="6"/>
      <c r="Y5243" s="6"/>
      <c r="Z5243" s="6"/>
      <c r="AA5243" s="6"/>
    </row>
    <row r="5244" ht="14.25">
      <c r="B5244" s="14" t="s">
        <v>34754</v>
      </c>
      <c r="C5244" s="4" t="s">
        <v>34755</v>
      </c>
      <c r="D5244" s="4" t="s">
        <v>34756</v>
      </c>
      <c r="E5244" s="4" t="s">
        <v>34757</v>
      </c>
      <c r="F5244" s="4" t="s">
        <v>32579</v>
      </c>
      <c r="G5244" s="4" t="s">
        <v>34758</v>
      </c>
      <c r="H5244" s="6"/>
      <c r="I5244" s="6"/>
      <c r="J5244" s="6"/>
      <c r="K5244" s="6"/>
      <c r="L5244" s="6"/>
      <c r="M5244" s="6"/>
      <c r="N5244" s="6"/>
      <c r="O5244" s="6"/>
      <c r="P5244" s="6"/>
      <c r="Q5244" s="6"/>
      <c r="R5244" s="6"/>
      <c r="S5244" s="6"/>
      <c r="T5244" s="6"/>
      <c r="U5244" s="6"/>
      <c r="V5244" s="6"/>
      <c r="W5244" s="6"/>
      <c r="X5244" s="6"/>
      <c r="Y5244" s="6"/>
      <c r="Z5244" s="6"/>
      <c r="AA5244" s="6"/>
    </row>
    <row r="5245" ht="14.25">
      <c r="B5245" s="14" t="s">
        <v>34754</v>
      </c>
      <c r="C5245" s="4" t="s">
        <v>34759</v>
      </c>
      <c r="D5245" s="4" t="s">
        <v>34760</v>
      </c>
      <c r="E5245" s="4" t="s">
        <v>34761</v>
      </c>
      <c r="F5245" s="4" t="s">
        <v>4012</v>
      </c>
      <c r="G5245" s="4" t="s">
        <v>34762</v>
      </c>
      <c r="H5245" s="6"/>
      <c r="I5245" s="6"/>
      <c r="J5245" s="6"/>
      <c r="K5245" s="6"/>
      <c r="L5245" s="6"/>
      <c r="M5245" s="6"/>
      <c r="N5245" s="6"/>
      <c r="O5245" s="6"/>
      <c r="P5245" s="6"/>
      <c r="Q5245" s="6"/>
      <c r="R5245" s="6"/>
      <c r="S5245" s="6"/>
      <c r="T5245" s="6"/>
      <c r="U5245" s="6"/>
      <c r="V5245" s="6"/>
      <c r="W5245" s="6"/>
      <c r="X5245" s="6"/>
      <c r="Y5245" s="6"/>
      <c r="Z5245" s="6"/>
      <c r="AA5245" s="6"/>
    </row>
    <row r="5246" ht="14.25">
      <c r="B5246" s="14" t="s">
        <v>34754</v>
      </c>
      <c r="C5246" s="4" t="s">
        <v>34759</v>
      </c>
      <c r="D5246" s="4" t="s">
        <v>34763</v>
      </c>
      <c r="E5246" s="4" t="s">
        <v>34761</v>
      </c>
      <c r="F5246" s="4" t="s">
        <v>7198</v>
      </c>
      <c r="G5246" s="4" t="s">
        <v>34446</v>
      </c>
      <c r="H5246" s="6"/>
      <c r="I5246" s="6"/>
      <c r="J5246" s="6"/>
      <c r="K5246" s="6"/>
      <c r="L5246" s="6"/>
      <c r="M5246" s="6"/>
      <c r="N5246" s="6"/>
      <c r="O5246" s="6"/>
      <c r="P5246" s="6"/>
      <c r="Q5246" s="6"/>
      <c r="R5246" s="6"/>
      <c r="S5246" s="6"/>
      <c r="T5246" s="6"/>
      <c r="U5246" s="6"/>
      <c r="V5246" s="6"/>
      <c r="W5246" s="6"/>
      <c r="X5246" s="6"/>
      <c r="Y5246" s="6"/>
      <c r="Z5246" s="6"/>
      <c r="AA5246" s="6"/>
    </row>
    <row r="5247" ht="14.25">
      <c r="B5247" s="14" t="s">
        <v>34754</v>
      </c>
      <c r="C5247" s="4" t="s">
        <v>34755</v>
      </c>
      <c r="D5247" s="4" t="s">
        <v>34764</v>
      </c>
      <c r="E5247" s="4" t="s">
        <v>34757</v>
      </c>
      <c r="F5247" s="4" t="s">
        <v>1861</v>
      </c>
      <c r="G5247" s="4" t="s">
        <v>34765</v>
      </c>
      <c r="H5247" s="6"/>
      <c r="I5247" s="6"/>
      <c r="J5247" s="6"/>
      <c r="K5247" s="6"/>
      <c r="L5247" s="6"/>
      <c r="M5247" s="6"/>
      <c r="N5247" s="6"/>
      <c r="O5247" s="6"/>
      <c r="P5247" s="6"/>
      <c r="Q5247" s="6"/>
      <c r="R5247" s="6"/>
      <c r="S5247" s="6"/>
      <c r="T5247" s="6"/>
      <c r="U5247" s="6"/>
      <c r="V5247" s="6"/>
      <c r="W5247" s="6"/>
      <c r="X5247" s="6"/>
      <c r="Y5247" s="6"/>
      <c r="Z5247" s="6"/>
      <c r="AA5247" s="6"/>
    </row>
    <row r="5248" ht="14.25">
      <c r="B5248" s="14" t="s">
        <v>34754</v>
      </c>
      <c r="C5248" s="4" t="s">
        <v>34755</v>
      </c>
      <c r="D5248" s="4" t="s">
        <v>34766</v>
      </c>
      <c r="E5248" s="4" t="s">
        <v>34757</v>
      </c>
      <c r="F5248" s="4" t="s">
        <v>5671</v>
      </c>
      <c r="G5248" s="4" t="s">
        <v>34767</v>
      </c>
      <c r="H5248" s="6"/>
      <c r="I5248" s="6"/>
      <c r="J5248" s="6"/>
      <c r="K5248" s="6"/>
      <c r="L5248" s="6"/>
      <c r="M5248" s="6"/>
      <c r="N5248" s="6"/>
      <c r="O5248" s="6"/>
      <c r="P5248" s="6"/>
      <c r="Q5248" s="6"/>
      <c r="R5248" s="6"/>
      <c r="S5248" s="6"/>
      <c r="T5248" s="6"/>
      <c r="U5248" s="6"/>
      <c r="V5248" s="6"/>
      <c r="W5248" s="6"/>
      <c r="X5248" s="6"/>
      <c r="Y5248" s="6"/>
      <c r="Z5248" s="6"/>
      <c r="AA5248" s="6"/>
    </row>
    <row r="5249" ht="14.25">
      <c r="B5249" s="14" t="s">
        <v>34768</v>
      </c>
      <c r="C5249" s="4" t="s">
        <v>34769</v>
      </c>
      <c r="D5249" s="4" t="s">
        <v>34770</v>
      </c>
      <c r="E5249" s="4" t="s">
        <v>34771</v>
      </c>
      <c r="F5249" s="4" t="s">
        <v>32622</v>
      </c>
      <c r="G5249" s="4" t="s">
        <v>34772</v>
      </c>
      <c r="H5249" s="6"/>
      <c r="I5249" s="6"/>
      <c r="J5249" s="6"/>
      <c r="K5249" s="6"/>
      <c r="L5249" s="6"/>
      <c r="M5249" s="6"/>
      <c r="N5249" s="6"/>
      <c r="O5249" s="6"/>
      <c r="P5249" s="6"/>
      <c r="Q5249" s="6"/>
      <c r="R5249" s="6"/>
      <c r="S5249" s="6"/>
      <c r="T5249" s="6"/>
      <c r="U5249" s="6"/>
      <c r="V5249" s="6"/>
      <c r="W5249" s="6"/>
      <c r="X5249" s="6"/>
      <c r="Y5249" s="6"/>
      <c r="Z5249" s="6"/>
      <c r="AA5249" s="6"/>
    </row>
    <row r="5250" ht="14.25">
      <c r="B5250" s="14" t="s">
        <v>34773</v>
      </c>
      <c r="C5250" s="4" t="s">
        <v>34774</v>
      </c>
      <c r="D5250" s="4" t="s">
        <v>34775</v>
      </c>
      <c r="E5250" s="4" t="s">
        <v>34776</v>
      </c>
      <c r="F5250" s="4" t="s">
        <v>3164</v>
      </c>
      <c r="G5250" s="4" t="s">
        <v>34777</v>
      </c>
      <c r="H5250" s="6"/>
      <c r="I5250" s="6"/>
      <c r="J5250" s="6"/>
      <c r="K5250" s="6"/>
      <c r="L5250" s="6"/>
      <c r="M5250" s="6"/>
      <c r="N5250" s="6"/>
      <c r="O5250" s="6"/>
      <c r="P5250" s="6"/>
      <c r="Q5250" s="6"/>
      <c r="R5250" s="6"/>
      <c r="S5250" s="6"/>
      <c r="T5250" s="6"/>
      <c r="U5250" s="6"/>
      <c r="V5250" s="6"/>
      <c r="W5250" s="6"/>
      <c r="X5250" s="6"/>
      <c r="Y5250" s="6"/>
      <c r="Z5250" s="6"/>
      <c r="AA5250" s="6"/>
    </row>
    <row r="5251" ht="14.25">
      <c r="B5251" s="14" t="s">
        <v>34778</v>
      </c>
      <c r="C5251" s="4" t="s">
        <v>34779</v>
      </c>
      <c r="D5251" s="4" t="s">
        <v>34780</v>
      </c>
      <c r="E5251" s="4" t="s">
        <v>34781</v>
      </c>
      <c r="F5251" s="4" t="s">
        <v>32831</v>
      </c>
      <c r="G5251" s="4" t="s">
        <v>34782</v>
      </c>
      <c r="H5251" s="6"/>
      <c r="I5251" s="6"/>
      <c r="J5251" s="6"/>
      <c r="K5251" s="6"/>
      <c r="L5251" s="6"/>
      <c r="M5251" s="6"/>
      <c r="N5251" s="6"/>
      <c r="O5251" s="6"/>
      <c r="P5251" s="6"/>
      <c r="Q5251" s="6"/>
      <c r="R5251" s="6"/>
      <c r="S5251" s="6"/>
      <c r="T5251" s="6"/>
      <c r="U5251" s="6"/>
      <c r="V5251" s="6"/>
      <c r="W5251" s="6"/>
      <c r="X5251" s="6"/>
      <c r="Y5251" s="6"/>
      <c r="Z5251" s="6"/>
      <c r="AA5251" s="6"/>
    </row>
    <row r="5252" ht="14.25">
      <c r="B5252" s="14" t="s">
        <v>34783</v>
      </c>
      <c r="C5252" s="4" t="s">
        <v>34784</v>
      </c>
      <c r="D5252" s="4" t="s">
        <v>34785</v>
      </c>
      <c r="E5252" s="4" t="s">
        <v>34786</v>
      </c>
      <c r="F5252" s="4" t="s">
        <v>2398</v>
      </c>
      <c r="G5252" s="4" t="s">
        <v>34787</v>
      </c>
      <c r="H5252" s="6"/>
      <c r="I5252" s="6"/>
      <c r="J5252" s="6"/>
      <c r="K5252" s="6"/>
      <c r="L5252" s="6"/>
      <c r="M5252" s="6"/>
      <c r="N5252" s="6"/>
      <c r="O5252" s="6"/>
      <c r="P5252" s="6"/>
      <c r="Q5252" s="6"/>
      <c r="R5252" s="6"/>
      <c r="S5252" s="6"/>
      <c r="T5252" s="6"/>
      <c r="U5252" s="6"/>
      <c r="V5252" s="6"/>
      <c r="W5252" s="6"/>
      <c r="X5252" s="6"/>
      <c r="Y5252" s="6"/>
      <c r="Z5252" s="6"/>
      <c r="AA5252" s="6"/>
    </row>
    <row r="5253" ht="14.25">
      <c r="B5253" s="14" t="s">
        <v>34783</v>
      </c>
      <c r="C5253" s="4" t="s">
        <v>34784</v>
      </c>
      <c r="D5253" s="4" t="s">
        <v>34788</v>
      </c>
      <c r="E5253" s="4" t="s">
        <v>34786</v>
      </c>
      <c r="F5253" s="4" t="s">
        <v>34789</v>
      </c>
      <c r="G5253" s="4" t="s">
        <v>34790</v>
      </c>
      <c r="H5253" s="6"/>
      <c r="I5253" s="6"/>
      <c r="J5253" s="6"/>
      <c r="K5253" s="6"/>
      <c r="L5253" s="6"/>
      <c r="M5253" s="6"/>
      <c r="N5253" s="6"/>
      <c r="O5253" s="6"/>
      <c r="P5253" s="6"/>
      <c r="Q5253" s="6"/>
      <c r="R5253" s="6"/>
      <c r="S5253" s="6"/>
      <c r="T5253" s="6"/>
      <c r="U5253" s="6"/>
      <c r="V5253" s="6"/>
      <c r="W5253" s="6"/>
      <c r="X5253" s="6"/>
      <c r="Y5253" s="6"/>
      <c r="Z5253" s="6"/>
      <c r="AA5253" s="6"/>
    </row>
    <row r="5254" ht="14.25">
      <c r="B5254" s="14" t="s">
        <v>34791</v>
      </c>
      <c r="C5254" s="4" t="s">
        <v>34792</v>
      </c>
      <c r="D5254" s="4" t="s">
        <v>34793</v>
      </c>
      <c r="E5254" s="4" t="s">
        <v>34794</v>
      </c>
      <c r="F5254" s="4" t="s">
        <v>222</v>
      </c>
      <c r="G5254" s="4" t="s">
        <v>34795</v>
      </c>
      <c r="H5254" s="6"/>
      <c r="I5254" s="6"/>
      <c r="J5254" s="6"/>
      <c r="K5254" s="6"/>
      <c r="L5254" s="6"/>
      <c r="M5254" s="6"/>
      <c r="N5254" s="6"/>
      <c r="O5254" s="6"/>
      <c r="P5254" s="6"/>
      <c r="Q5254" s="6"/>
      <c r="R5254" s="6"/>
      <c r="S5254" s="6"/>
      <c r="T5254" s="6"/>
      <c r="U5254" s="6"/>
      <c r="V5254" s="6"/>
      <c r="W5254" s="6"/>
      <c r="X5254" s="6"/>
      <c r="Y5254" s="6"/>
      <c r="Z5254" s="6"/>
      <c r="AA5254" s="6"/>
    </row>
    <row r="5255" ht="14.25">
      <c r="B5255" s="14" t="s">
        <v>34796</v>
      </c>
      <c r="C5255" s="4" t="s">
        <v>34797</v>
      </c>
      <c r="D5255" s="4" t="s">
        <v>34798</v>
      </c>
      <c r="E5255" s="4" t="s">
        <v>34799</v>
      </c>
      <c r="F5255" s="4" t="s">
        <v>32579</v>
      </c>
      <c r="G5255" s="4" t="s">
        <v>34800</v>
      </c>
      <c r="H5255" s="6"/>
      <c r="I5255" s="6"/>
      <c r="J5255" s="6"/>
      <c r="K5255" s="6"/>
      <c r="L5255" s="6"/>
      <c r="M5255" s="6"/>
      <c r="N5255" s="6"/>
      <c r="O5255" s="6"/>
      <c r="P5255" s="6"/>
      <c r="Q5255" s="6"/>
      <c r="R5255" s="6"/>
      <c r="S5255" s="6"/>
      <c r="T5255" s="6"/>
      <c r="U5255" s="6"/>
      <c r="V5255" s="6"/>
      <c r="W5255" s="6"/>
      <c r="X5255" s="6"/>
      <c r="Y5255" s="6"/>
      <c r="Z5255" s="6"/>
      <c r="AA5255" s="6"/>
    </row>
    <row r="5256" ht="14.25">
      <c r="B5256" s="14" t="s">
        <v>34801</v>
      </c>
      <c r="C5256" s="4" t="s">
        <v>34802</v>
      </c>
      <c r="D5256" s="4" t="s">
        <v>34803</v>
      </c>
      <c r="E5256" s="4" t="s">
        <v>34804</v>
      </c>
      <c r="F5256" s="4" t="s">
        <v>5716</v>
      </c>
      <c r="G5256" s="4" t="s">
        <v>34805</v>
      </c>
      <c r="H5256" s="6"/>
      <c r="I5256" s="6"/>
      <c r="J5256" s="6"/>
      <c r="K5256" s="6"/>
      <c r="L5256" s="6"/>
      <c r="M5256" s="6"/>
      <c r="N5256" s="6"/>
      <c r="O5256" s="6"/>
      <c r="P5256" s="6"/>
      <c r="Q5256" s="6"/>
      <c r="R5256" s="6"/>
      <c r="S5256" s="6"/>
      <c r="T5256" s="6"/>
      <c r="U5256" s="6"/>
      <c r="V5256" s="6"/>
      <c r="W5256" s="6"/>
      <c r="X5256" s="6"/>
      <c r="Y5256" s="6"/>
      <c r="Z5256" s="6"/>
      <c r="AA5256" s="6"/>
    </row>
    <row r="5257" ht="14.25">
      <c r="B5257" s="14" t="s">
        <v>34801</v>
      </c>
      <c r="C5257" s="4" t="s">
        <v>34802</v>
      </c>
      <c r="D5257" s="4" t="s">
        <v>34806</v>
      </c>
      <c r="E5257" s="4" t="s">
        <v>34804</v>
      </c>
      <c r="F5257" s="4" t="s">
        <v>76</v>
      </c>
      <c r="G5257" s="4" t="s">
        <v>34807</v>
      </c>
      <c r="H5257" s="6"/>
      <c r="I5257" s="6"/>
      <c r="J5257" s="6"/>
      <c r="K5257" s="6"/>
      <c r="L5257" s="6"/>
      <c r="M5257" s="6"/>
      <c r="N5257" s="6"/>
      <c r="O5257" s="6"/>
      <c r="P5257" s="6"/>
      <c r="Q5257" s="6"/>
      <c r="R5257" s="6"/>
      <c r="S5257" s="6"/>
      <c r="T5257" s="6"/>
      <c r="U5257" s="6"/>
      <c r="V5257" s="6"/>
      <c r="W5257" s="6"/>
      <c r="X5257" s="6"/>
      <c r="Y5257" s="6"/>
      <c r="Z5257" s="6"/>
      <c r="AA5257" s="6"/>
    </row>
    <row r="5258" ht="14.25">
      <c r="B5258" s="14" t="s">
        <v>34808</v>
      </c>
      <c r="C5258" s="4" t="s">
        <v>34809</v>
      </c>
      <c r="D5258" s="4" t="s">
        <v>34810</v>
      </c>
      <c r="E5258" s="4" t="s">
        <v>34811</v>
      </c>
      <c r="F5258" s="4" t="s">
        <v>3850</v>
      </c>
      <c r="G5258" s="4" t="s">
        <v>34812</v>
      </c>
      <c r="H5258" s="6"/>
      <c r="I5258" s="6"/>
      <c r="J5258" s="6"/>
      <c r="K5258" s="6"/>
      <c r="L5258" s="6"/>
      <c r="M5258" s="6"/>
      <c r="N5258" s="6"/>
      <c r="O5258" s="6"/>
      <c r="P5258" s="6"/>
      <c r="Q5258" s="6"/>
      <c r="R5258" s="6"/>
      <c r="S5258" s="6"/>
      <c r="T5258" s="6"/>
      <c r="U5258" s="6"/>
      <c r="V5258" s="6"/>
      <c r="W5258" s="6"/>
      <c r="X5258" s="6"/>
      <c r="Y5258" s="6"/>
      <c r="Z5258" s="6"/>
      <c r="AA5258" s="6"/>
    </row>
    <row r="5259" ht="14.25">
      <c r="B5259" s="14" t="s">
        <v>34808</v>
      </c>
      <c r="C5259" s="4" t="s">
        <v>34809</v>
      </c>
      <c r="D5259" s="4" t="s">
        <v>34813</v>
      </c>
      <c r="E5259" s="4" t="s">
        <v>34811</v>
      </c>
      <c r="F5259" s="4" t="s">
        <v>26223</v>
      </c>
      <c r="G5259" s="4" t="s">
        <v>34814</v>
      </c>
      <c r="H5259" s="6"/>
      <c r="I5259" s="6"/>
      <c r="J5259" s="6"/>
      <c r="K5259" s="6"/>
      <c r="L5259" s="6"/>
      <c r="M5259" s="6"/>
      <c r="N5259" s="6"/>
      <c r="O5259" s="6"/>
      <c r="P5259" s="6"/>
      <c r="Q5259" s="6"/>
      <c r="R5259" s="6"/>
      <c r="S5259" s="6"/>
      <c r="T5259" s="6"/>
      <c r="U5259" s="6"/>
      <c r="V5259" s="6"/>
      <c r="W5259" s="6"/>
      <c r="X5259" s="6"/>
      <c r="Y5259" s="6"/>
      <c r="Z5259" s="6"/>
      <c r="AA5259" s="6"/>
    </row>
    <row r="5260" ht="14.25">
      <c r="B5260" s="14" t="s">
        <v>34808</v>
      </c>
      <c r="C5260" s="4" t="s">
        <v>34815</v>
      </c>
      <c r="D5260" s="4" t="s">
        <v>34816</v>
      </c>
      <c r="E5260" s="6"/>
      <c r="F5260" s="4" t="s">
        <v>866</v>
      </c>
      <c r="G5260" s="4" t="s">
        <v>34817</v>
      </c>
      <c r="H5260" s="6"/>
      <c r="I5260" s="6"/>
      <c r="J5260" s="6"/>
      <c r="K5260" s="6"/>
      <c r="L5260" s="6"/>
      <c r="M5260" s="6"/>
      <c r="N5260" s="6"/>
      <c r="O5260" s="6"/>
      <c r="P5260" s="6"/>
      <c r="Q5260" s="6"/>
      <c r="R5260" s="6"/>
      <c r="S5260" s="6"/>
      <c r="T5260" s="6"/>
      <c r="U5260" s="6"/>
      <c r="V5260" s="6"/>
      <c r="W5260" s="6"/>
      <c r="X5260" s="6"/>
      <c r="Y5260" s="6"/>
      <c r="Z5260" s="6"/>
      <c r="AA5260" s="6"/>
    </row>
    <row r="5261" ht="14.25">
      <c r="B5261" s="14" t="s">
        <v>34818</v>
      </c>
      <c r="C5261" s="4" t="s">
        <v>34819</v>
      </c>
      <c r="D5261" s="4" t="s">
        <v>34820</v>
      </c>
      <c r="E5261" s="6"/>
      <c r="F5261" s="4" t="s">
        <v>6844</v>
      </c>
      <c r="G5261" s="4" t="s">
        <v>34821</v>
      </c>
      <c r="H5261" s="6"/>
      <c r="I5261" s="6"/>
      <c r="J5261" s="6"/>
      <c r="K5261" s="6"/>
      <c r="L5261" s="6"/>
      <c r="M5261" s="6"/>
      <c r="N5261" s="6"/>
      <c r="O5261" s="6"/>
      <c r="P5261" s="6"/>
      <c r="Q5261" s="6"/>
      <c r="R5261" s="6"/>
      <c r="S5261" s="6"/>
      <c r="T5261" s="6"/>
      <c r="U5261" s="6"/>
      <c r="V5261" s="6"/>
      <c r="W5261" s="6"/>
      <c r="X5261" s="6"/>
      <c r="Y5261" s="6"/>
      <c r="Z5261" s="6"/>
      <c r="AA5261" s="6"/>
    </row>
    <row r="5262" ht="14.25">
      <c r="B5262" s="14" t="s">
        <v>34822</v>
      </c>
      <c r="C5262" s="4" t="s">
        <v>34823</v>
      </c>
      <c r="D5262" s="4" t="s">
        <v>34824</v>
      </c>
      <c r="E5262" s="6"/>
      <c r="F5262" s="4" t="s">
        <v>34825</v>
      </c>
      <c r="G5262" s="4" t="s">
        <v>34826</v>
      </c>
      <c r="H5262" s="6"/>
      <c r="I5262" s="6"/>
      <c r="J5262" s="6"/>
      <c r="K5262" s="6"/>
      <c r="L5262" s="6"/>
      <c r="M5262" s="6"/>
      <c r="N5262" s="6"/>
      <c r="O5262" s="6"/>
      <c r="P5262" s="6"/>
      <c r="Q5262" s="6"/>
      <c r="R5262" s="6"/>
      <c r="S5262" s="6"/>
      <c r="T5262" s="6"/>
      <c r="U5262" s="6"/>
      <c r="V5262" s="6"/>
      <c r="W5262" s="6"/>
      <c r="X5262" s="6"/>
      <c r="Y5262" s="6"/>
      <c r="Z5262" s="6"/>
      <c r="AA5262" s="6"/>
    </row>
    <row r="5263" ht="14.25">
      <c r="B5263" s="14" t="s">
        <v>34827</v>
      </c>
      <c r="C5263" s="4" t="s">
        <v>34828</v>
      </c>
      <c r="D5263" s="4" t="s">
        <v>34829</v>
      </c>
      <c r="E5263" s="4" t="s">
        <v>34830</v>
      </c>
      <c r="F5263" s="4" t="s">
        <v>4115</v>
      </c>
      <c r="G5263" s="4" t="s">
        <v>34831</v>
      </c>
      <c r="H5263" s="6"/>
      <c r="I5263" s="6"/>
      <c r="J5263" s="6"/>
      <c r="K5263" s="6"/>
      <c r="L5263" s="6"/>
      <c r="M5263" s="6"/>
      <c r="N5263" s="6"/>
      <c r="O5263" s="6"/>
      <c r="P5263" s="6"/>
      <c r="Q5263" s="6"/>
      <c r="R5263" s="6"/>
      <c r="S5263" s="6"/>
      <c r="T5263" s="6"/>
      <c r="U5263" s="6"/>
      <c r="V5263" s="6"/>
      <c r="W5263" s="6"/>
      <c r="X5263" s="6"/>
      <c r="Y5263" s="6"/>
      <c r="Z5263" s="6"/>
      <c r="AA5263" s="6"/>
    </row>
    <row r="5264" ht="14.25">
      <c r="B5264" s="14" t="s">
        <v>34827</v>
      </c>
      <c r="C5264" s="4" t="s">
        <v>34832</v>
      </c>
      <c r="D5264" s="4" t="s">
        <v>34833</v>
      </c>
      <c r="E5264" s="4" t="s">
        <v>34834</v>
      </c>
      <c r="F5264" s="4" t="s">
        <v>7914</v>
      </c>
      <c r="G5264" s="4" t="s">
        <v>34835</v>
      </c>
      <c r="H5264" s="6"/>
      <c r="I5264" s="6"/>
      <c r="J5264" s="6"/>
      <c r="K5264" s="6"/>
      <c r="L5264" s="6"/>
      <c r="M5264" s="6"/>
      <c r="N5264" s="6"/>
      <c r="O5264" s="6"/>
      <c r="P5264" s="6"/>
      <c r="Q5264" s="6"/>
      <c r="R5264" s="6"/>
      <c r="S5264" s="6"/>
      <c r="T5264" s="6"/>
      <c r="U5264" s="6"/>
      <c r="V5264" s="6"/>
      <c r="W5264" s="6"/>
      <c r="X5264" s="6"/>
      <c r="Y5264" s="6"/>
      <c r="Z5264" s="6"/>
      <c r="AA5264" s="6"/>
    </row>
    <row r="5265" ht="14.25">
      <c r="B5265" s="14" t="s">
        <v>34827</v>
      </c>
      <c r="C5265" s="4" t="s">
        <v>34832</v>
      </c>
      <c r="D5265" s="4" t="s">
        <v>34836</v>
      </c>
      <c r="E5265" s="4" t="s">
        <v>34834</v>
      </c>
      <c r="F5265" s="4" t="s">
        <v>6243</v>
      </c>
      <c r="G5265" s="4" t="s">
        <v>34837</v>
      </c>
      <c r="H5265" s="6"/>
      <c r="I5265" s="6"/>
      <c r="J5265" s="6"/>
      <c r="K5265" s="6"/>
      <c r="L5265" s="6"/>
      <c r="M5265" s="6"/>
      <c r="N5265" s="6"/>
      <c r="O5265" s="6"/>
      <c r="P5265" s="6"/>
      <c r="Q5265" s="6"/>
      <c r="R5265" s="6"/>
      <c r="S5265" s="6"/>
      <c r="T5265" s="6"/>
      <c r="U5265" s="6"/>
      <c r="V5265" s="6"/>
      <c r="W5265" s="6"/>
      <c r="X5265" s="6"/>
      <c r="Y5265" s="6"/>
      <c r="Z5265" s="6"/>
      <c r="AA5265" s="6"/>
    </row>
    <row r="5266" ht="14.25">
      <c r="B5266" s="14" t="s">
        <v>34827</v>
      </c>
      <c r="C5266" s="4" t="s">
        <v>34832</v>
      </c>
      <c r="D5266" s="4" t="s">
        <v>34838</v>
      </c>
      <c r="E5266" s="4" t="s">
        <v>34834</v>
      </c>
      <c r="F5266" s="4" t="s">
        <v>6634</v>
      </c>
      <c r="G5266" s="4" t="s">
        <v>34839</v>
      </c>
      <c r="H5266" s="6"/>
      <c r="I5266" s="6"/>
      <c r="J5266" s="6"/>
      <c r="K5266" s="6"/>
      <c r="L5266" s="6"/>
      <c r="M5266" s="6"/>
      <c r="N5266" s="6"/>
      <c r="O5266" s="6"/>
      <c r="P5266" s="6"/>
      <c r="Q5266" s="6"/>
      <c r="R5266" s="6"/>
      <c r="S5266" s="6"/>
      <c r="T5266" s="6"/>
      <c r="U5266" s="6"/>
      <c r="V5266" s="6"/>
      <c r="W5266" s="6"/>
      <c r="X5266" s="6"/>
      <c r="Y5266" s="6"/>
      <c r="Z5266" s="6"/>
      <c r="AA5266" s="6"/>
    </row>
    <row r="5267" ht="14.25">
      <c r="B5267" s="14" t="s">
        <v>34827</v>
      </c>
      <c r="C5267" s="4" t="s">
        <v>34832</v>
      </c>
      <c r="D5267" s="4" t="s">
        <v>34840</v>
      </c>
      <c r="E5267" s="4" t="s">
        <v>34834</v>
      </c>
      <c r="F5267" s="4" t="s">
        <v>4969</v>
      </c>
      <c r="G5267" s="4" t="s">
        <v>34292</v>
      </c>
      <c r="H5267" s="6"/>
      <c r="I5267" s="6"/>
      <c r="J5267" s="6"/>
      <c r="K5267" s="6"/>
      <c r="L5267" s="6"/>
      <c r="M5267" s="6"/>
      <c r="N5267" s="6"/>
      <c r="O5267" s="6"/>
      <c r="P5267" s="6"/>
      <c r="Q5267" s="6"/>
      <c r="R5267" s="6"/>
      <c r="S5267" s="6"/>
      <c r="T5267" s="6"/>
      <c r="U5267" s="6"/>
      <c r="V5267" s="6"/>
      <c r="W5267" s="6"/>
      <c r="X5267" s="6"/>
      <c r="Y5267" s="6"/>
      <c r="Z5267" s="6"/>
      <c r="AA5267" s="6"/>
    </row>
    <row r="5268" ht="14.25">
      <c r="B5268" s="14" t="s">
        <v>34827</v>
      </c>
      <c r="C5268" s="4" t="s">
        <v>34828</v>
      </c>
      <c r="D5268" s="4" t="s">
        <v>34841</v>
      </c>
      <c r="E5268" s="4" t="s">
        <v>34830</v>
      </c>
      <c r="F5268" s="4" t="s">
        <v>110</v>
      </c>
      <c r="G5268" s="4" t="s">
        <v>34842</v>
      </c>
      <c r="H5268" s="6"/>
      <c r="I5268" s="6"/>
      <c r="J5268" s="6"/>
      <c r="K5268" s="6"/>
      <c r="L5268" s="6"/>
      <c r="M5268" s="6"/>
      <c r="N5268" s="6"/>
      <c r="O5268" s="6"/>
      <c r="P5268" s="6"/>
      <c r="Q5268" s="6"/>
      <c r="R5268" s="6"/>
      <c r="S5268" s="6"/>
      <c r="T5268" s="6"/>
      <c r="U5268" s="6"/>
      <c r="V5268" s="6"/>
      <c r="W5268" s="6"/>
      <c r="X5268" s="6"/>
      <c r="Y5268" s="6"/>
      <c r="Z5268" s="6"/>
      <c r="AA5268" s="6"/>
    </row>
    <row r="5269" ht="14.25">
      <c r="B5269" s="14" t="s">
        <v>34827</v>
      </c>
      <c r="C5269" s="4" t="s">
        <v>34832</v>
      </c>
      <c r="D5269" s="4" t="s">
        <v>34843</v>
      </c>
      <c r="E5269" s="4" t="s">
        <v>34834</v>
      </c>
      <c r="F5269" s="4" t="s">
        <v>653</v>
      </c>
      <c r="G5269" s="4" t="s">
        <v>34844</v>
      </c>
      <c r="H5269" s="6"/>
      <c r="I5269" s="6"/>
      <c r="J5269" s="6"/>
      <c r="K5269" s="6"/>
      <c r="L5269" s="6"/>
      <c r="M5269" s="6"/>
      <c r="N5269" s="6"/>
      <c r="O5269" s="6"/>
      <c r="P5269" s="6"/>
      <c r="Q5269" s="6"/>
      <c r="R5269" s="6"/>
      <c r="S5269" s="6"/>
      <c r="T5269" s="6"/>
      <c r="U5269" s="6"/>
      <c r="V5269" s="6"/>
      <c r="W5269" s="6"/>
      <c r="X5269" s="6"/>
      <c r="Y5269" s="6"/>
      <c r="Z5269" s="6"/>
      <c r="AA5269" s="6"/>
    </row>
    <row r="5270" ht="14.25">
      <c r="B5270" s="14" t="s">
        <v>34827</v>
      </c>
      <c r="C5270" s="4" t="s">
        <v>34832</v>
      </c>
      <c r="D5270" s="4" t="s">
        <v>34845</v>
      </c>
      <c r="E5270" s="4" t="s">
        <v>34834</v>
      </c>
      <c r="F5270" s="4" t="s">
        <v>34846</v>
      </c>
      <c r="G5270" s="4" t="s">
        <v>34847</v>
      </c>
      <c r="H5270" s="6"/>
      <c r="I5270" s="6"/>
      <c r="J5270" s="6"/>
      <c r="K5270" s="6"/>
      <c r="L5270" s="6"/>
      <c r="M5270" s="6"/>
      <c r="N5270" s="6"/>
      <c r="O5270" s="6"/>
      <c r="P5270" s="6"/>
      <c r="Q5270" s="6"/>
      <c r="R5270" s="6"/>
      <c r="S5270" s="6"/>
      <c r="T5270" s="6"/>
      <c r="U5270" s="6"/>
      <c r="V5270" s="6"/>
      <c r="W5270" s="6"/>
      <c r="X5270" s="6"/>
      <c r="Y5270" s="6"/>
      <c r="Z5270" s="6"/>
      <c r="AA5270" s="6"/>
    </row>
    <row r="5271" ht="14.25">
      <c r="B5271" s="14" t="s">
        <v>34848</v>
      </c>
      <c r="C5271" s="4" t="s">
        <v>34849</v>
      </c>
      <c r="D5271" s="4" t="s">
        <v>34850</v>
      </c>
      <c r="E5271" s="6"/>
      <c r="F5271" s="4" t="s">
        <v>1619</v>
      </c>
      <c r="G5271" s="4" t="s">
        <v>34851</v>
      </c>
      <c r="H5271" s="6"/>
      <c r="I5271" s="6"/>
      <c r="J5271" s="6"/>
      <c r="K5271" s="6"/>
      <c r="L5271" s="6"/>
      <c r="M5271" s="6"/>
      <c r="N5271" s="6"/>
      <c r="O5271" s="6"/>
      <c r="P5271" s="6"/>
      <c r="Q5271" s="6"/>
      <c r="R5271" s="6"/>
      <c r="S5271" s="6"/>
      <c r="T5271" s="6"/>
      <c r="U5271" s="6"/>
      <c r="V5271" s="6"/>
      <c r="W5271" s="6"/>
      <c r="X5271" s="6"/>
      <c r="Y5271" s="6"/>
      <c r="Z5271" s="6"/>
      <c r="AA5271" s="6"/>
    </row>
    <row r="5272" ht="14.25">
      <c r="B5272" s="14" t="s">
        <v>34852</v>
      </c>
      <c r="C5272" s="4" t="s">
        <v>34853</v>
      </c>
      <c r="D5272" s="4" t="s">
        <v>34854</v>
      </c>
      <c r="E5272" s="4" t="s">
        <v>34855</v>
      </c>
      <c r="F5272" s="4" t="s">
        <v>2119</v>
      </c>
      <c r="G5272" s="4" t="s">
        <v>34856</v>
      </c>
      <c r="H5272" s="6"/>
      <c r="I5272" s="6"/>
      <c r="J5272" s="6"/>
      <c r="K5272" s="6"/>
      <c r="L5272" s="6"/>
      <c r="M5272" s="6"/>
      <c r="N5272" s="6"/>
      <c r="O5272" s="6"/>
      <c r="P5272" s="6"/>
      <c r="Q5272" s="6"/>
      <c r="R5272" s="6"/>
      <c r="S5272" s="6"/>
      <c r="T5272" s="6"/>
      <c r="U5272" s="6"/>
      <c r="V5272" s="6"/>
      <c r="W5272" s="6"/>
      <c r="X5272" s="6"/>
      <c r="Y5272" s="6"/>
      <c r="Z5272" s="6"/>
      <c r="AA5272" s="6"/>
    </row>
    <row r="5273" ht="14.25">
      <c r="B5273" s="14" t="s">
        <v>34857</v>
      </c>
      <c r="C5273" s="4" t="s">
        <v>34858</v>
      </c>
      <c r="D5273" s="4" t="s">
        <v>34859</v>
      </c>
      <c r="E5273" s="4" t="s">
        <v>34860</v>
      </c>
      <c r="F5273" s="4" t="s">
        <v>1027</v>
      </c>
      <c r="G5273" s="4" t="s">
        <v>33911</v>
      </c>
      <c r="H5273" s="6"/>
      <c r="I5273" s="6"/>
      <c r="J5273" s="6"/>
      <c r="K5273" s="6"/>
      <c r="L5273" s="6"/>
      <c r="M5273" s="6"/>
      <c r="N5273" s="6"/>
      <c r="O5273" s="6"/>
      <c r="P5273" s="6"/>
      <c r="Q5273" s="6"/>
      <c r="R5273" s="6"/>
      <c r="S5273" s="6"/>
      <c r="T5273" s="6"/>
      <c r="U5273" s="6"/>
      <c r="V5273" s="6"/>
      <c r="W5273" s="6"/>
      <c r="X5273" s="6"/>
      <c r="Y5273" s="6"/>
      <c r="Z5273" s="6"/>
      <c r="AA5273" s="6"/>
    </row>
    <row r="5274" ht="14.25">
      <c r="B5274" s="14" t="s">
        <v>34857</v>
      </c>
      <c r="C5274" s="4" t="s">
        <v>34858</v>
      </c>
      <c r="D5274" s="4" t="s">
        <v>34861</v>
      </c>
      <c r="E5274" s="4" t="s">
        <v>34860</v>
      </c>
      <c r="F5274" s="4" t="s">
        <v>355</v>
      </c>
      <c r="G5274" s="4" t="s">
        <v>34862</v>
      </c>
      <c r="H5274" s="6"/>
      <c r="I5274" s="6"/>
      <c r="J5274" s="6"/>
      <c r="K5274" s="6"/>
      <c r="L5274" s="6"/>
      <c r="M5274" s="6"/>
      <c r="N5274" s="6"/>
      <c r="O5274" s="6"/>
      <c r="P5274" s="6"/>
      <c r="Q5274" s="6"/>
      <c r="R5274" s="6"/>
      <c r="S5274" s="6"/>
      <c r="T5274" s="6"/>
      <c r="U5274" s="6"/>
      <c r="V5274" s="6"/>
      <c r="W5274" s="6"/>
      <c r="X5274" s="6"/>
      <c r="Y5274" s="6"/>
      <c r="Z5274" s="6"/>
      <c r="AA5274" s="6"/>
    </row>
    <row r="5275" ht="14.25">
      <c r="B5275" s="14" t="s">
        <v>34863</v>
      </c>
      <c r="C5275" s="4" t="s">
        <v>34864</v>
      </c>
      <c r="D5275" s="4" t="s">
        <v>34865</v>
      </c>
      <c r="E5275" s="4" t="s">
        <v>34866</v>
      </c>
      <c r="F5275" s="4" t="s">
        <v>5579</v>
      </c>
      <c r="G5275" s="4" t="s">
        <v>34867</v>
      </c>
      <c r="H5275" s="6"/>
      <c r="I5275" s="6"/>
      <c r="J5275" s="6"/>
      <c r="K5275" s="6"/>
      <c r="L5275" s="6"/>
      <c r="M5275" s="6"/>
      <c r="N5275" s="6"/>
      <c r="O5275" s="6"/>
      <c r="P5275" s="6"/>
      <c r="Q5275" s="6"/>
      <c r="R5275" s="6"/>
      <c r="S5275" s="6"/>
      <c r="T5275" s="6"/>
      <c r="U5275" s="6"/>
      <c r="V5275" s="6"/>
      <c r="W5275" s="6"/>
      <c r="X5275" s="6"/>
      <c r="Y5275" s="6"/>
      <c r="Z5275" s="6"/>
      <c r="AA5275" s="6"/>
    </row>
    <row r="5276" ht="14.25">
      <c r="B5276" s="14" t="s">
        <v>34863</v>
      </c>
      <c r="C5276" s="4" t="s">
        <v>34864</v>
      </c>
      <c r="D5276" s="4" t="s">
        <v>34868</v>
      </c>
      <c r="E5276" s="4" t="s">
        <v>34866</v>
      </c>
      <c r="F5276" s="4" t="s">
        <v>206</v>
      </c>
      <c r="G5276" s="4" t="s">
        <v>32549</v>
      </c>
      <c r="H5276" s="6"/>
      <c r="I5276" s="6"/>
      <c r="J5276" s="6"/>
      <c r="K5276" s="6"/>
      <c r="L5276" s="6"/>
      <c r="M5276" s="6"/>
      <c r="N5276" s="6"/>
      <c r="O5276" s="6"/>
      <c r="P5276" s="6"/>
      <c r="Q5276" s="6"/>
      <c r="R5276" s="6"/>
      <c r="S5276" s="6"/>
      <c r="T5276" s="6"/>
      <c r="U5276" s="6"/>
      <c r="V5276" s="6"/>
      <c r="W5276" s="6"/>
      <c r="X5276" s="6"/>
      <c r="Y5276" s="6"/>
      <c r="Z5276" s="6"/>
      <c r="AA5276" s="6"/>
    </row>
    <row r="5277" ht="14.25">
      <c r="B5277" s="14" t="s">
        <v>34863</v>
      </c>
      <c r="C5277" s="4" t="s">
        <v>34864</v>
      </c>
      <c r="D5277" s="4" t="s">
        <v>34869</v>
      </c>
      <c r="E5277" s="4" t="s">
        <v>34866</v>
      </c>
      <c r="F5277" s="4" t="s">
        <v>2508</v>
      </c>
      <c r="G5277" s="4" t="s">
        <v>34870</v>
      </c>
      <c r="H5277" s="6"/>
      <c r="I5277" s="6"/>
      <c r="J5277" s="6"/>
      <c r="K5277" s="6"/>
      <c r="L5277" s="6"/>
      <c r="M5277" s="6"/>
      <c r="N5277" s="6"/>
      <c r="O5277" s="6"/>
      <c r="P5277" s="6"/>
      <c r="Q5277" s="6"/>
      <c r="R5277" s="6"/>
      <c r="S5277" s="6"/>
      <c r="T5277" s="6"/>
      <c r="U5277" s="6"/>
      <c r="V5277" s="6"/>
      <c r="W5277" s="6"/>
      <c r="X5277" s="6"/>
      <c r="Y5277" s="6"/>
      <c r="Z5277" s="6"/>
      <c r="AA5277" s="6"/>
    </row>
    <row r="5278" ht="14.25">
      <c r="B5278" s="14" t="s">
        <v>34871</v>
      </c>
      <c r="C5278" s="4" t="s">
        <v>34872</v>
      </c>
      <c r="D5278" s="4" t="s">
        <v>34873</v>
      </c>
      <c r="E5278" s="6"/>
      <c r="F5278" s="4" t="s">
        <v>9210</v>
      </c>
      <c r="G5278" s="4" t="s">
        <v>34874</v>
      </c>
      <c r="H5278" s="6"/>
      <c r="I5278" s="6"/>
      <c r="J5278" s="6"/>
      <c r="K5278" s="6"/>
      <c r="L5278" s="6"/>
      <c r="M5278" s="6"/>
      <c r="N5278" s="6"/>
      <c r="O5278" s="6"/>
      <c r="P5278" s="6"/>
      <c r="Q5278" s="6"/>
      <c r="R5278" s="6"/>
      <c r="S5278" s="6"/>
      <c r="T5278" s="6"/>
      <c r="U5278" s="6"/>
      <c r="V5278" s="6"/>
      <c r="W5278" s="6"/>
      <c r="X5278" s="6"/>
      <c r="Y5278" s="6"/>
      <c r="Z5278" s="6"/>
      <c r="AA5278" s="6"/>
    </row>
    <row r="5279" ht="14.25">
      <c r="B5279" s="14" t="s">
        <v>34875</v>
      </c>
      <c r="C5279" s="4" t="s">
        <v>34876</v>
      </c>
      <c r="D5279" s="4" t="s">
        <v>34877</v>
      </c>
      <c r="E5279" s="6"/>
      <c r="F5279" s="4" t="s">
        <v>34878</v>
      </c>
      <c r="G5279" s="4" t="s">
        <v>34879</v>
      </c>
      <c r="H5279" s="6"/>
      <c r="I5279" s="6"/>
      <c r="J5279" s="6"/>
      <c r="K5279" s="6"/>
      <c r="L5279" s="6"/>
      <c r="M5279" s="6"/>
      <c r="N5279" s="6"/>
      <c r="O5279" s="6"/>
      <c r="P5279" s="6"/>
      <c r="Q5279" s="6"/>
      <c r="R5279" s="6"/>
      <c r="S5279" s="6"/>
      <c r="T5279" s="6"/>
      <c r="U5279" s="6"/>
      <c r="V5279" s="6"/>
      <c r="W5279" s="6"/>
      <c r="X5279" s="6"/>
      <c r="Y5279" s="6"/>
      <c r="Z5279" s="6"/>
      <c r="AA5279" s="6"/>
    </row>
    <row r="5280" ht="14.25">
      <c r="B5280" s="14" t="s">
        <v>34880</v>
      </c>
      <c r="C5280" s="4" t="s">
        <v>34881</v>
      </c>
      <c r="D5280" s="4" t="s">
        <v>34882</v>
      </c>
      <c r="E5280" s="4" t="s">
        <v>34883</v>
      </c>
      <c r="F5280" s="4" t="s">
        <v>34884</v>
      </c>
      <c r="G5280" s="4" t="s">
        <v>34885</v>
      </c>
      <c r="H5280" s="6"/>
      <c r="I5280" s="6"/>
      <c r="J5280" s="6"/>
      <c r="K5280" s="6"/>
      <c r="L5280" s="6"/>
      <c r="M5280" s="6"/>
      <c r="N5280" s="6"/>
      <c r="O5280" s="6"/>
      <c r="P5280" s="6"/>
      <c r="Q5280" s="6"/>
      <c r="R5280" s="6"/>
      <c r="S5280" s="6"/>
      <c r="T5280" s="6"/>
      <c r="U5280" s="6"/>
      <c r="V5280" s="6"/>
      <c r="W5280" s="6"/>
      <c r="X5280" s="6"/>
      <c r="Y5280" s="6"/>
      <c r="Z5280" s="6"/>
      <c r="AA5280" s="6"/>
    </row>
    <row r="5281" ht="14.25">
      <c r="B5281" s="14" t="s">
        <v>34886</v>
      </c>
      <c r="C5281" s="4" t="s">
        <v>34887</v>
      </c>
      <c r="D5281" s="4" t="s">
        <v>34888</v>
      </c>
      <c r="E5281" s="4" t="s">
        <v>34889</v>
      </c>
      <c r="F5281" s="4" t="s">
        <v>2419</v>
      </c>
      <c r="G5281" s="4" t="s">
        <v>34890</v>
      </c>
      <c r="H5281" s="6"/>
      <c r="I5281" s="6"/>
      <c r="J5281" s="6"/>
      <c r="K5281" s="6"/>
      <c r="L5281" s="6"/>
      <c r="M5281" s="6"/>
      <c r="N5281" s="6"/>
      <c r="O5281" s="6"/>
      <c r="P5281" s="6"/>
      <c r="Q5281" s="6"/>
      <c r="R5281" s="6"/>
      <c r="S5281" s="6"/>
      <c r="T5281" s="6"/>
      <c r="U5281" s="6"/>
      <c r="V5281" s="6"/>
      <c r="W5281" s="6"/>
      <c r="X5281" s="6"/>
      <c r="Y5281" s="6"/>
      <c r="Z5281" s="6"/>
      <c r="AA5281" s="6"/>
    </row>
    <row r="5282" ht="14.25">
      <c r="B5282" s="14" t="s">
        <v>34886</v>
      </c>
      <c r="C5282" s="4" t="s">
        <v>34891</v>
      </c>
      <c r="D5282" s="4" t="s">
        <v>34892</v>
      </c>
      <c r="E5282" s="4" t="s">
        <v>34893</v>
      </c>
      <c r="F5282" s="4" t="s">
        <v>4003</v>
      </c>
      <c r="G5282" s="4" t="s">
        <v>34894</v>
      </c>
      <c r="H5282" s="6"/>
      <c r="I5282" s="6"/>
      <c r="J5282" s="6"/>
      <c r="K5282" s="6"/>
      <c r="L5282" s="6"/>
      <c r="M5282" s="6"/>
      <c r="N5282" s="6"/>
      <c r="O5282" s="6"/>
      <c r="P5282" s="6"/>
      <c r="Q5282" s="6"/>
      <c r="R5282" s="6"/>
      <c r="S5282" s="6"/>
      <c r="T5282" s="6"/>
      <c r="U5282" s="6"/>
      <c r="V5282" s="6"/>
      <c r="W5282" s="6"/>
      <c r="X5282" s="6"/>
      <c r="Y5282" s="6"/>
      <c r="Z5282" s="6"/>
      <c r="AA5282" s="6"/>
    </row>
    <row r="5283" ht="14.25">
      <c r="B5283" s="14" t="s">
        <v>34886</v>
      </c>
      <c r="C5283" s="4" t="s">
        <v>34891</v>
      </c>
      <c r="D5283" s="4" t="s">
        <v>34895</v>
      </c>
      <c r="E5283" s="4" t="s">
        <v>34893</v>
      </c>
      <c r="F5283" s="4" t="s">
        <v>1215</v>
      </c>
      <c r="G5283" s="4" t="s">
        <v>34896</v>
      </c>
      <c r="H5283" s="6"/>
      <c r="I5283" s="6"/>
      <c r="J5283" s="6"/>
      <c r="K5283" s="6"/>
      <c r="L5283" s="6"/>
      <c r="M5283" s="6"/>
      <c r="N5283" s="6"/>
      <c r="O5283" s="6"/>
      <c r="P5283" s="6"/>
      <c r="Q5283" s="6"/>
      <c r="R5283" s="6"/>
      <c r="S5283" s="6"/>
      <c r="T5283" s="6"/>
      <c r="U5283" s="6"/>
      <c r="V5283" s="6"/>
      <c r="W5283" s="6"/>
      <c r="X5283" s="6"/>
      <c r="Y5283" s="6"/>
      <c r="Z5283" s="6"/>
      <c r="AA5283" s="6"/>
    </row>
    <row r="5284" ht="14.25">
      <c r="B5284" s="14" t="s">
        <v>34897</v>
      </c>
      <c r="C5284" s="4" t="s">
        <v>34898</v>
      </c>
      <c r="D5284" s="4" t="s">
        <v>34899</v>
      </c>
      <c r="E5284" s="4" t="s">
        <v>34900</v>
      </c>
      <c r="F5284" s="4" t="s">
        <v>808</v>
      </c>
      <c r="G5284" s="4" t="s">
        <v>34901</v>
      </c>
      <c r="H5284" s="6"/>
      <c r="I5284" s="6"/>
      <c r="J5284" s="6"/>
      <c r="K5284" s="6"/>
      <c r="L5284" s="6"/>
      <c r="M5284" s="6"/>
      <c r="N5284" s="6"/>
      <c r="O5284" s="6"/>
      <c r="P5284" s="6"/>
      <c r="Q5284" s="6"/>
      <c r="R5284" s="6"/>
      <c r="S5284" s="6"/>
      <c r="T5284" s="6"/>
      <c r="U5284" s="6"/>
      <c r="V5284" s="6"/>
      <c r="W5284" s="6"/>
      <c r="X5284" s="6"/>
      <c r="Y5284" s="6"/>
      <c r="Z5284" s="6"/>
      <c r="AA5284" s="6"/>
    </row>
    <row r="5285" ht="14.25">
      <c r="B5285" s="14" t="s">
        <v>34902</v>
      </c>
      <c r="C5285" s="4" t="s">
        <v>34903</v>
      </c>
      <c r="D5285" s="4" t="s">
        <v>34904</v>
      </c>
      <c r="E5285" s="6"/>
      <c r="F5285" s="4" t="s">
        <v>1704</v>
      </c>
      <c r="G5285" s="4" t="s">
        <v>34905</v>
      </c>
      <c r="H5285" s="6"/>
      <c r="I5285" s="6"/>
      <c r="J5285" s="6"/>
      <c r="K5285" s="6"/>
      <c r="L5285" s="6"/>
      <c r="M5285" s="6"/>
      <c r="N5285" s="6"/>
      <c r="O5285" s="6"/>
      <c r="P5285" s="6"/>
      <c r="Q5285" s="6"/>
      <c r="R5285" s="6"/>
      <c r="S5285" s="6"/>
      <c r="T5285" s="6"/>
      <c r="U5285" s="6"/>
      <c r="V5285" s="6"/>
      <c r="W5285" s="6"/>
      <c r="X5285" s="6"/>
      <c r="Y5285" s="6"/>
      <c r="Z5285" s="6"/>
      <c r="AA5285" s="6"/>
    </row>
    <row r="5286" ht="14.25">
      <c r="B5286" s="14" t="s">
        <v>34906</v>
      </c>
      <c r="C5286" s="4" t="s">
        <v>34907</v>
      </c>
      <c r="D5286" s="4" t="s">
        <v>34908</v>
      </c>
      <c r="E5286" s="4" t="s">
        <v>34909</v>
      </c>
      <c r="F5286" s="4" t="s">
        <v>5579</v>
      </c>
      <c r="G5286" s="4" t="s">
        <v>34910</v>
      </c>
      <c r="H5286" s="6"/>
      <c r="I5286" s="6"/>
      <c r="J5286" s="6"/>
      <c r="K5286" s="6"/>
      <c r="L5286" s="6"/>
      <c r="M5286" s="6"/>
      <c r="N5286" s="6"/>
      <c r="O5286" s="6"/>
      <c r="P5286" s="6"/>
      <c r="Q5286" s="6"/>
      <c r="R5286" s="6"/>
      <c r="S5286" s="6"/>
      <c r="T5286" s="6"/>
      <c r="U5286" s="6"/>
      <c r="V5286" s="6"/>
      <c r="W5286" s="6"/>
      <c r="X5286" s="6"/>
      <c r="Y5286" s="6"/>
      <c r="Z5286" s="6"/>
      <c r="AA5286" s="6"/>
    </row>
    <row r="5287" ht="14.25">
      <c r="B5287" s="14" t="s">
        <v>34906</v>
      </c>
      <c r="C5287" s="4" t="s">
        <v>34907</v>
      </c>
      <c r="D5287" s="4" t="s">
        <v>34911</v>
      </c>
      <c r="E5287" s="4" t="s">
        <v>34909</v>
      </c>
      <c r="F5287" s="4" t="s">
        <v>3850</v>
      </c>
      <c r="G5287" s="4" t="s">
        <v>34912</v>
      </c>
      <c r="H5287" s="6"/>
      <c r="I5287" s="6"/>
      <c r="J5287" s="6"/>
      <c r="K5287" s="6"/>
      <c r="L5287" s="6"/>
      <c r="M5287" s="6"/>
      <c r="N5287" s="6"/>
      <c r="O5287" s="6"/>
      <c r="P5287" s="6"/>
      <c r="Q5287" s="6"/>
      <c r="R5287" s="6"/>
      <c r="S5287" s="6"/>
      <c r="T5287" s="6"/>
      <c r="U5287" s="6"/>
      <c r="V5287" s="6"/>
      <c r="W5287" s="6"/>
      <c r="X5287" s="6"/>
      <c r="Y5287" s="6"/>
      <c r="Z5287" s="6"/>
      <c r="AA5287" s="6"/>
    </row>
    <row r="5288" ht="14.25">
      <c r="B5288" s="14" t="s">
        <v>34906</v>
      </c>
      <c r="C5288" s="4" t="s">
        <v>34907</v>
      </c>
      <c r="D5288" s="4" t="s">
        <v>34913</v>
      </c>
      <c r="E5288" s="4" t="s">
        <v>34909</v>
      </c>
      <c r="F5288" s="4" t="s">
        <v>785</v>
      </c>
      <c r="G5288" s="4" t="s">
        <v>34914</v>
      </c>
      <c r="H5288" s="6"/>
      <c r="I5288" s="6"/>
      <c r="J5288" s="6"/>
      <c r="K5288" s="6"/>
      <c r="L5288" s="6"/>
      <c r="M5288" s="6"/>
      <c r="N5288" s="6"/>
      <c r="O5288" s="6"/>
      <c r="P5288" s="6"/>
      <c r="Q5288" s="6"/>
      <c r="R5288" s="6"/>
      <c r="S5288" s="6"/>
      <c r="T5288" s="6"/>
      <c r="U5288" s="6"/>
      <c r="V5288" s="6"/>
      <c r="W5288" s="6"/>
      <c r="X5288" s="6"/>
      <c r="Y5288" s="6"/>
      <c r="Z5288" s="6"/>
      <c r="AA5288" s="6"/>
    </row>
    <row r="5289" ht="14.25">
      <c r="B5289" s="14" t="s">
        <v>34915</v>
      </c>
      <c r="C5289" s="4" t="s">
        <v>34916</v>
      </c>
      <c r="D5289" s="4" t="s">
        <v>34917</v>
      </c>
      <c r="E5289" s="6"/>
      <c r="F5289" s="4" t="s">
        <v>110</v>
      </c>
      <c r="G5289" s="4" t="s">
        <v>34918</v>
      </c>
      <c r="H5289" s="6"/>
      <c r="I5289" s="6"/>
      <c r="J5289" s="6"/>
      <c r="K5289" s="6"/>
      <c r="L5289" s="6"/>
      <c r="M5289" s="6"/>
      <c r="N5289" s="6"/>
      <c r="O5289" s="6"/>
      <c r="P5289" s="6"/>
      <c r="Q5289" s="6"/>
      <c r="R5289" s="6"/>
      <c r="S5289" s="6"/>
      <c r="T5289" s="6"/>
      <c r="U5289" s="6"/>
      <c r="V5289" s="6"/>
      <c r="W5289" s="6"/>
      <c r="X5289" s="6"/>
      <c r="Y5289" s="6"/>
      <c r="Z5289" s="6"/>
      <c r="AA5289" s="6"/>
    </row>
    <row r="5290" ht="14.25">
      <c r="B5290" s="14" t="s">
        <v>34919</v>
      </c>
      <c r="C5290" s="4" t="s">
        <v>34920</v>
      </c>
      <c r="D5290" s="4" t="s">
        <v>34921</v>
      </c>
      <c r="E5290" s="4" t="s">
        <v>34922</v>
      </c>
      <c r="F5290" s="4" t="s">
        <v>20</v>
      </c>
      <c r="G5290" s="4" t="s">
        <v>34923</v>
      </c>
      <c r="H5290" s="6"/>
      <c r="I5290" s="6"/>
      <c r="J5290" s="6"/>
      <c r="K5290" s="6"/>
      <c r="L5290" s="6"/>
      <c r="M5290" s="6"/>
      <c r="N5290" s="6"/>
      <c r="O5290" s="6"/>
      <c r="P5290" s="6"/>
      <c r="Q5290" s="6"/>
      <c r="R5290" s="6"/>
      <c r="S5290" s="6"/>
      <c r="T5290" s="6"/>
      <c r="U5290" s="6"/>
      <c r="V5290" s="6"/>
      <c r="W5290" s="6"/>
      <c r="X5290" s="6"/>
      <c r="Y5290" s="6"/>
      <c r="Z5290" s="6"/>
      <c r="AA5290" s="6"/>
    </row>
    <row r="5291" ht="14.25">
      <c r="B5291" s="14" t="s">
        <v>34919</v>
      </c>
      <c r="C5291" s="4" t="s">
        <v>34920</v>
      </c>
      <c r="D5291" s="4" t="s">
        <v>34924</v>
      </c>
      <c r="E5291" s="4" t="s">
        <v>34922</v>
      </c>
      <c r="F5291" s="4" t="s">
        <v>2436</v>
      </c>
      <c r="G5291" s="4" t="s">
        <v>34925</v>
      </c>
      <c r="H5291" s="6"/>
      <c r="I5291" s="6"/>
      <c r="J5291" s="6"/>
      <c r="K5291" s="6"/>
      <c r="L5291" s="6"/>
      <c r="M5291" s="6"/>
      <c r="N5291" s="6"/>
      <c r="O5291" s="6"/>
      <c r="P5291" s="6"/>
      <c r="Q5291" s="6"/>
      <c r="R5291" s="6"/>
      <c r="S5291" s="6"/>
      <c r="T5291" s="6"/>
      <c r="U5291" s="6"/>
      <c r="V5291" s="6"/>
      <c r="W5291" s="6"/>
      <c r="X5291" s="6"/>
      <c r="Y5291" s="6"/>
      <c r="Z5291" s="6"/>
      <c r="AA5291" s="6"/>
    </row>
    <row r="5292" ht="14.25">
      <c r="B5292" s="14" t="s">
        <v>34926</v>
      </c>
      <c r="C5292" s="4" t="s">
        <v>34927</v>
      </c>
      <c r="D5292" s="4" t="s">
        <v>34928</v>
      </c>
      <c r="E5292" s="4" t="s">
        <v>34929</v>
      </c>
      <c r="F5292" s="4" t="s">
        <v>1215</v>
      </c>
      <c r="G5292" s="4" t="s">
        <v>34930</v>
      </c>
      <c r="H5292" s="6"/>
      <c r="I5292" s="6"/>
      <c r="J5292" s="6"/>
      <c r="K5292" s="6"/>
      <c r="L5292" s="6"/>
      <c r="M5292" s="6"/>
      <c r="N5292" s="6"/>
      <c r="O5292" s="6"/>
      <c r="P5292" s="6"/>
      <c r="Q5292" s="6"/>
      <c r="R5292" s="6"/>
      <c r="S5292" s="6"/>
      <c r="T5292" s="6"/>
      <c r="U5292" s="6"/>
      <c r="V5292" s="6"/>
      <c r="W5292" s="6"/>
      <c r="X5292" s="6"/>
      <c r="Y5292" s="6"/>
      <c r="Z5292" s="6"/>
      <c r="AA5292" s="6"/>
    </row>
    <row r="5293" ht="14.25">
      <c r="B5293" s="14" t="s">
        <v>34926</v>
      </c>
      <c r="C5293" s="4" t="s">
        <v>34927</v>
      </c>
      <c r="D5293" s="4" t="s">
        <v>34931</v>
      </c>
      <c r="E5293" s="4" t="s">
        <v>34929</v>
      </c>
      <c r="F5293" s="4" t="s">
        <v>1153</v>
      </c>
      <c r="G5293" s="4" t="s">
        <v>34932</v>
      </c>
      <c r="H5293" s="6"/>
      <c r="I5293" s="6"/>
      <c r="J5293" s="6"/>
      <c r="K5293" s="6"/>
      <c r="L5293" s="6"/>
      <c r="M5293" s="6"/>
      <c r="N5293" s="6"/>
      <c r="O5293" s="6"/>
      <c r="P5293" s="6"/>
      <c r="Q5293" s="6"/>
      <c r="R5293" s="6"/>
      <c r="S5293" s="6"/>
      <c r="T5293" s="6"/>
      <c r="U5293" s="6"/>
      <c r="V5293" s="6"/>
      <c r="W5293" s="6"/>
      <c r="X5293" s="6"/>
      <c r="Y5293" s="6"/>
      <c r="Z5293" s="6"/>
      <c r="AA5293" s="6"/>
    </row>
    <row r="5294" ht="14.25">
      <c r="B5294" s="14" t="s">
        <v>34933</v>
      </c>
      <c r="C5294" s="4" t="s">
        <v>34934</v>
      </c>
      <c r="D5294" s="4" t="s">
        <v>34935</v>
      </c>
      <c r="E5294" s="4" t="s">
        <v>34936</v>
      </c>
      <c r="F5294" s="4" t="s">
        <v>971</v>
      </c>
      <c r="G5294" s="4" t="s">
        <v>34937</v>
      </c>
      <c r="H5294" s="6"/>
      <c r="I5294" s="6"/>
      <c r="J5294" s="6"/>
      <c r="K5294" s="6"/>
      <c r="L5294" s="6"/>
      <c r="M5294" s="6"/>
      <c r="N5294" s="6"/>
      <c r="O5294" s="6"/>
      <c r="P5294" s="6"/>
      <c r="Q5294" s="6"/>
      <c r="R5294" s="6"/>
      <c r="S5294" s="6"/>
      <c r="T5294" s="6"/>
      <c r="U5294" s="6"/>
      <c r="V5294" s="6"/>
      <c r="W5294" s="6"/>
      <c r="X5294" s="6"/>
      <c r="Y5294" s="6"/>
      <c r="Z5294" s="6"/>
      <c r="AA5294" s="6"/>
    </row>
    <row r="5295" ht="14.25">
      <c r="B5295" s="14" t="s">
        <v>34938</v>
      </c>
      <c r="C5295" s="4" t="s">
        <v>34939</v>
      </c>
      <c r="D5295" s="4" t="s">
        <v>34940</v>
      </c>
      <c r="E5295" s="4" t="s">
        <v>34941</v>
      </c>
      <c r="F5295" s="4" t="s">
        <v>743</v>
      </c>
      <c r="G5295" s="4" t="s">
        <v>34942</v>
      </c>
      <c r="H5295" s="6"/>
      <c r="I5295" s="6"/>
      <c r="J5295" s="6"/>
      <c r="K5295" s="6"/>
      <c r="L5295" s="6"/>
      <c r="M5295" s="6"/>
      <c r="N5295" s="6"/>
      <c r="O5295" s="6"/>
      <c r="P5295" s="6"/>
      <c r="Q5295" s="6"/>
      <c r="R5295" s="6"/>
      <c r="S5295" s="6"/>
      <c r="T5295" s="6"/>
      <c r="U5295" s="6"/>
      <c r="V5295" s="6"/>
      <c r="W5295" s="6"/>
      <c r="X5295" s="6"/>
      <c r="Y5295" s="6"/>
      <c r="Z5295" s="6"/>
      <c r="AA5295" s="6"/>
    </row>
    <row r="5296" ht="14.25">
      <c r="B5296" s="14" t="s">
        <v>34938</v>
      </c>
      <c r="C5296" s="4" t="s">
        <v>34939</v>
      </c>
      <c r="D5296" s="4" t="s">
        <v>34941</v>
      </c>
      <c r="E5296" s="6"/>
      <c r="F5296" s="4" t="s">
        <v>2419</v>
      </c>
      <c r="G5296" s="4" t="s">
        <v>34943</v>
      </c>
      <c r="H5296" s="6"/>
      <c r="I5296" s="6"/>
      <c r="J5296" s="6"/>
      <c r="K5296" s="6"/>
      <c r="L5296" s="6"/>
      <c r="M5296" s="6"/>
      <c r="N5296" s="6"/>
      <c r="O5296" s="6"/>
      <c r="P5296" s="6"/>
      <c r="Q5296" s="6"/>
      <c r="R5296" s="6"/>
      <c r="S5296" s="6"/>
      <c r="T5296" s="6"/>
      <c r="U5296" s="6"/>
      <c r="V5296" s="6"/>
      <c r="W5296" s="6"/>
      <c r="X5296" s="6"/>
      <c r="Y5296" s="6"/>
      <c r="Z5296" s="6"/>
      <c r="AA5296" s="6"/>
    </row>
    <row r="5297" ht="14.25">
      <c r="B5297" s="14" t="s">
        <v>34944</v>
      </c>
      <c r="C5297" s="4" t="s">
        <v>34945</v>
      </c>
      <c r="D5297" s="4" t="s">
        <v>34946</v>
      </c>
      <c r="E5297" s="4" t="s">
        <v>34947</v>
      </c>
      <c r="F5297" s="4" t="s">
        <v>32787</v>
      </c>
      <c r="G5297" s="4" t="s">
        <v>34948</v>
      </c>
      <c r="H5297" s="6"/>
      <c r="I5297" s="6"/>
      <c r="J5297" s="6"/>
      <c r="K5297" s="6"/>
      <c r="L5297" s="6"/>
      <c r="M5297" s="6"/>
      <c r="N5297" s="6"/>
      <c r="O5297" s="6"/>
      <c r="P5297" s="6"/>
      <c r="Q5297" s="6"/>
      <c r="R5297" s="6"/>
      <c r="S5297" s="6"/>
      <c r="T5297" s="6"/>
      <c r="U5297" s="6"/>
      <c r="V5297" s="6"/>
      <c r="W5297" s="6"/>
      <c r="X5297" s="6"/>
      <c r="Y5297" s="6"/>
      <c r="Z5297" s="6"/>
      <c r="AA5297" s="6"/>
    </row>
    <row r="5298" ht="14.25">
      <c r="B5298" s="14" t="s">
        <v>34949</v>
      </c>
      <c r="C5298" s="4" t="s">
        <v>34950</v>
      </c>
      <c r="D5298" s="4" t="s">
        <v>34951</v>
      </c>
      <c r="E5298" s="4" t="s">
        <v>34952</v>
      </c>
      <c r="F5298" s="4" t="s">
        <v>4986</v>
      </c>
      <c r="G5298" s="4" t="s">
        <v>34953</v>
      </c>
      <c r="H5298" s="6"/>
      <c r="I5298" s="6"/>
      <c r="J5298" s="6"/>
      <c r="K5298" s="6"/>
      <c r="L5298" s="6"/>
      <c r="M5298" s="6"/>
      <c r="N5298" s="6"/>
      <c r="O5298" s="6"/>
      <c r="P5298" s="6"/>
      <c r="Q5298" s="6"/>
      <c r="R5298" s="6"/>
      <c r="S5298" s="6"/>
      <c r="T5298" s="6"/>
      <c r="U5298" s="6"/>
      <c r="V5298" s="6"/>
      <c r="W5298" s="6"/>
      <c r="X5298" s="6"/>
      <c r="Y5298" s="6"/>
      <c r="Z5298" s="6"/>
      <c r="AA5298" s="6"/>
    </row>
    <row r="5299" ht="14.25">
      <c r="B5299" s="14" t="s">
        <v>34949</v>
      </c>
      <c r="C5299" s="4" t="s">
        <v>34950</v>
      </c>
      <c r="D5299" s="4" t="s">
        <v>34954</v>
      </c>
      <c r="E5299" s="4" t="s">
        <v>34952</v>
      </c>
      <c r="F5299" s="4" t="s">
        <v>769</v>
      </c>
      <c r="G5299" s="4" t="s">
        <v>34953</v>
      </c>
      <c r="H5299" s="6"/>
      <c r="I5299" s="6"/>
      <c r="J5299" s="6"/>
      <c r="K5299" s="6"/>
      <c r="L5299" s="6"/>
      <c r="M5299" s="6"/>
      <c r="N5299" s="6"/>
      <c r="O5299" s="6"/>
      <c r="P5299" s="6"/>
      <c r="Q5299" s="6"/>
      <c r="R5299" s="6"/>
      <c r="S5299" s="6"/>
      <c r="T5299" s="6"/>
      <c r="U5299" s="6"/>
      <c r="V5299" s="6"/>
      <c r="W5299" s="6"/>
      <c r="X5299" s="6"/>
      <c r="Y5299" s="6"/>
      <c r="Z5299" s="6"/>
      <c r="AA5299" s="6"/>
    </row>
    <row r="5300" ht="14.25">
      <c r="B5300" s="14" t="s">
        <v>34955</v>
      </c>
      <c r="C5300" s="4" t="s">
        <v>34956</v>
      </c>
      <c r="D5300" s="4" t="s">
        <v>34957</v>
      </c>
      <c r="E5300" s="4" t="s">
        <v>34958</v>
      </c>
      <c r="F5300" s="4" t="s">
        <v>1861</v>
      </c>
      <c r="G5300" s="4" t="s">
        <v>34959</v>
      </c>
      <c r="H5300" s="6"/>
      <c r="I5300" s="6"/>
      <c r="J5300" s="6"/>
      <c r="K5300" s="6"/>
      <c r="L5300" s="6"/>
      <c r="M5300" s="6"/>
      <c r="N5300" s="6"/>
      <c r="O5300" s="6"/>
      <c r="P5300" s="6"/>
      <c r="Q5300" s="6"/>
      <c r="R5300" s="6"/>
      <c r="S5300" s="6"/>
      <c r="T5300" s="6"/>
      <c r="U5300" s="6"/>
      <c r="V5300" s="6"/>
      <c r="W5300" s="6"/>
      <c r="X5300" s="6"/>
      <c r="Y5300" s="6"/>
      <c r="Z5300" s="6"/>
      <c r="AA5300" s="6"/>
    </row>
    <row r="5301" ht="14.25">
      <c r="B5301" s="14" t="s">
        <v>34955</v>
      </c>
      <c r="C5301" s="4" t="s">
        <v>34956</v>
      </c>
      <c r="D5301" s="4" t="s">
        <v>34960</v>
      </c>
      <c r="E5301" s="4" t="s">
        <v>34958</v>
      </c>
      <c r="F5301" s="4" t="s">
        <v>34961</v>
      </c>
      <c r="G5301" s="4" t="s">
        <v>34962</v>
      </c>
      <c r="H5301" s="6"/>
      <c r="I5301" s="6"/>
      <c r="J5301" s="6"/>
      <c r="K5301" s="6"/>
      <c r="L5301" s="6"/>
      <c r="M5301" s="6"/>
      <c r="N5301" s="6"/>
      <c r="O5301" s="6"/>
      <c r="P5301" s="6"/>
      <c r="Q5301" s="6"/>
      <c r="R5301" s="6"/>
      <c r="S5301" s="6"/>
      <c r="T5301" s="6"/>
      <c r="U5301" s="6"/>
      <c r="V5301" s="6"/>
      <c r="W5301" s="6"/>
      <c r="X5301" s="6"/>
      <c r="Y5301" s="6"/>
      <c r="Z5301" s="6"/>
      <c r="AA5301" s="6"/>
    </row>
    <row r="5302" ht="14.25">
      <c r="B5302" s="14" t="s">
        <v>34963</v>
      </c>
      <c r="C5302" s="4" t="s">
        <v>34964</v>
      </c>
      <c r="D5302" s="4" t="s">
        <v>34965</v>
      </c>
      <c r="E5302" s="4" t="s">
        <v>34966</v>
      </c>
      <c r="F5302" s="4" t="s">
        <v>485</v>
      </c>
      <c r="G5302" s="4" t="s">
        <v>34967</v>
      </c>
      <c r="H5302" s="6"/>
      <c r="I5302" s="6"/>
      <c r="J5302" s="6"/>
      <c r="K5302" s="6"/>
      <c r="L5302" s="6"/>
      <c r="M5302" s="6"/>
      <c r="N5302" s="6"/>
      <c r="O5302" s="6"/>
      <c r="P5302" s="6"/>
      <c r="Q5302" s="6"/>
      <c r="R5302" s="6"/>
      <c r="S5302" s="6"/>
      <c r="T5302" s="6"/>
      <c r="U5302" s="6"/>
      <c r="V5302" s="6"/>
      <c r="W5302" s="6"/>
      <c r="X5302" s="6"/>
      <c r="Y5302" s="6"/>
      <c r="Z5302" s="6"/>
      <c r="AA5302" s="6"/>
    </row>
    <row r="5303" ht="14.25">
      <c r="B5303" s="14" t="s">
        <v>34968</v>
      </c>
      <c r="C5303" s="4" t="s">
        <v>34969</v>
      </c>
      <c r="D5303" s="4" t="s">
        <v>34970</v>
      </c>
      <c r="E5303" s="4" t="s">
        <v>34971</v>
      </c>
      <c r="F5303" s="4" t="s">
        <v>34972</v>
      </c>
      <c r="G5303" s="4" t="s">
        <v>34973</v>
      </c>
      <c r="H5303" s="6"/>
      <c r="I5303" s="6"/>
      <c r="J5303" s="6"/>
      <c r="K5303" s="6"/>
      <c r="L5303" s="6"/>
      <c r="M5303" s="6"/>
      <c r="N5303" s="6"/>
      <c r="O5303" s="6"/>
      <c r="P5303" s="6"/>
      <c r="Q5303" s="6"/>
      <c r="R5303" s="6"/>
      <c r="S5303" s="6"/>
      <c r="T5303" s="6"/>
      <c r="U5303" s="6"/>
      <c r="V5303" s="6"/>
      <c r="W5303" s="6"/>
      <c r="X5303" s="6"/>
      <c r="Y5303" s="6"/>
      <c r="Z5303" s="6"/>
      <c r="AA5303" s="6"/>
    </row>
    <row r="5304" ht="14.25">
      <c r="B5304" s="14" t="s">
        <v>34968</v>
      </c>
      <c r="C5304" s="4" t="s">
        <v>34969</v>
      </c>
      <c r="D5304" s="4" t="s">
        <v>34974</v>
      </c>
      <c r="E5304" s="4" t="s">
        <v>34971</v>
      </c>
      <c r="F5304" s="4" t="s">
        <v>255</v>
      </c>
      <c r="G5304" s="4" t="s">
        <v>34975</v>
      </c>
      <c r="H5304" s="6"/>
      <c r="I5304" s="6"/>
      <c r="J5304" s="6"/>
      <c r="K5304" s="6"/>
      <c r="L5304" s="6"/>
      <c r="M5304" s="6"/>
      <c r="N5304" s="6"/>
      <c r="O5304" s="6"/>
      <c r="P5304" s="6"/>
      <c r="Q5304" s="6"/>
      <c r="R5304" s="6"/>
      <c r="S5304" s="6"/>
      <c r="T5304" s="6"/>
      <c r="U5304" s="6"/>
      <c r="V5304" s="6"/>
      <c r="W5304" s="6"/>
      <c r="X5304" s="6"/>
      <c r="Y5304" s="6"/>
      <c r="Z5304" s="6"/>
      <c r="AA5304" s="6"/>
    </row>
    <row r="5305" ht="14.25">
      <c r="B5305" s="14" t="s">
        <v>34968</v>
      </c>
      <c r="C5305" s="4" t="s">
        <v>34969</v>
      </c>
      <c r="D5305" s="4" t="s">
        <v>34976</v>
      </c>
      <c r="E5305" s="4" t="s">
        <v>34971</v>
      </c>
      <c r="F5305" s="4" t="s">
        <v>1732</v>
      </c>
      <c r="G5305" s="4" t="s">
        <v>34977</v>
      </c>
      <c r="H5305" s="6"/>
      <c r="I5305" s="6"/>
      <c r="J5305" s="6"/>
      <c r="K5305" s="6"/>
      <c r="L5305" s="6"/>
      <c r="M5305" s="6"/>
      <c r="N5305" s="6"/>
      <c r="O5305" s="6"/>
      <c r="P5305" s="6"/>
      <c r="Q5305" s="6"/>
      <c r="R5305" s="6"/>
      <c r="S5305" s="6"/>
      <c r="T5305" s="6"/>
      <c r="U5305" s="6"/>
      <c r="V5305" s="6"/>
      <c r="W5305" s="6"/>
      <c r="X5305" s="6"/>
      <c r="Y5305" s="6"/>
      <c r="Z5305" s="6"/>
      <c r="AA5305" s="6"/>
    </row>
    <row r="5306" ht="14.25">
      <c r="B5306" s="14" t="s">
        <v>34978</v>
      </c>
      <c r="C5306" s="4" t="s">
        <v>34979</v>
      </c>
      <c r="D5306" s="4" t="s">
        <v>34980</v>
      </c>
      <c r="E5306" s="4" t="s">
        <v>34981</v>
      </c>
      <c r="F5306" s="4" t="s">
        <v>3797</v>
      </c>
      <c r="G5306" s="4" t="s">
        <v>34982</v>
      </c>
      <c r="H5306" s="6"/>
      <c r="I5306" s="6"/>
      <c r="J5306" s="6"/>
      <c r="K5306" s="6"/>
      <c r="L5306" s="6"/>
      <c r="M5306" s="6"/>
      <c r="N5306" s="6"/>
      <c r="O5306" s="6"/>
      <c r="P5306" s="6"/>
      <c r="Q5306" s="6"/>
      <c r="R5306" s="6"/>
      <c r="S5306" s="6"/>
      <c r="T5306" s="6"/>
      <c r="U5306" s="6"/>
      <c r="V5306" s="6"/>
      <c r="W5306" s="6"/>
      <c r="X5306" s="6"/>
      <c r="Y5306" s="6"/>
      <c r="Z5306" s="6"/>
      <c r="AA5306" s="6"/>
    </row>
    <row r="5307" ht="14.25">
      <c r="B5307" s="14" t="s">
        <v>34978</v>
      </c>
      <c r="C5307" s="4" t="s">
        <v>34983</v>
      </c>
      <c r="D5307" s="4" t="s">
        <v>34984</v>
      </c>
      <c r="E5307" s="4" t="s">
        <v>34985</v>
      </c>
      <c r="F5307" s="4" t="s">
        <v>32616</v>
      </c>
      <c r="G5307" s="4" t="s">
        <v>34986</v>
      </c>
      <c r="H5307" s="6"/>
      <c r="I5307" s="6"/>
      <c r="J5307" s="6"/>
      <c r="K5307" s="6"/>
      <c r="L5307" s="6"/>
      <c r="M5307" s="6"/>
      <c r="N5307" s="6"/>
      <c r="O5307" s="6"/>
      <c r="P5307" s="6"/>
      <c r="Q5307" s="6"/>
      <c r="R5307" s="6"/>
      <c r="S5307" s="6"/>
      <c r="T5307" s="6"/>
      <c r="U5307" s="6"/>
      <c r="V5307" s="6"/>
      <c r="W5307" s="6"/>
      <c r="X5307" s="6"/>
      <c r="Y5307" s="6"/>
      <c r="Z5307" s="6"/>
      <c r="AA5307" s="6"/>
    </row>
    <row r="5308" ht="14.25">
      <c r="B5308" s="14" t="s">
        <v>34987</v>
      </c>
      <c r="C5308" s="4" t="s">
        <v>34988</v>
      </c>
      <c r="D5308" s="4" t="s">
        <v>34989</v>
      </c>
      <c r="E5308" s="4" t="s">
        <v>34990</v>
      </c>
      <c r="F5308" s="4" t="s">
        <v>32831</v>
      </c>
      <c r="G5308" s="4" t="s">
        <v>34991</v>
      </c>
      <c r="H5308" s="6"/>
      <c r="I5308" s="6"/>
      <c r="J5308" s="6"/>
      <c r="K5308" s="6"/>
      <c r="L5308" s="6"/>
      <c r="M5308" s="6"/>
      <c r="N5308" s="6"/>
      <c r="O5308" s="6"/>
      <c r="P5308" s="6"/>
      <c r="Q5308" s="6"/>
      <c r="R5308" s="6"/>
      <c r="S5308" s="6"/>
      <c r="T5308" s="6"/>
      <c r="U5308" s="6"/>
      <c r="V5308" s="6"/>
      <c r="W5308" s="6"/>
      <c r="X5308" s="6"/>
      <c r="Y5308" s="6"/>
      <c r="Z5308" s="6"/>
      <c r="AA5308" s="6"/>
    </row>
    <row r="5309" ht="14.25">
      <c r="B5309" s="14" t="s">
        <v>34992</v>
      </c>
      <c r="C5309" s="4" t="s">
        <v>34993</v>
      </c>
      <c r="D5309" s="4" t="s">
        <v>34994</v>
      </c>
      <c r="E5309" s="4" t="s">
        <v>34995</v>
      </c>
      <c r="F5309" s="4" t="s">
        <v>2372</v>
      </c>
      <c r="G5309" s="4" t="s">
        <v>34996</v>
      </c>
      <c r="H5309" s="6"/>
      <c r="I5309" s="6"/>
      <c r="J5309" s="6"/>
      <c r="K5309" s="6"/>
      <c r="L5309" s="6"/>
      <c r="M5309" s="6"/>
      <c r="N5309" s="6"/>
      <c r="O5309" s="6"/>
      <c r="P5309" s="6"/>
      <c r="Q5309" s="6"/>
      <c r="R5309" s="6"/>
      <c r="S5309" s="6"/>
      <c r="T5309" s="6"/>
      <c r="U5309" s="6"/>
      <c r="V5309" s="6"/>
      <c r="W5309" s="6"/>
      <c r="X5309" s="6"/>
      <c r="Y5309" s="6"/>
      <c r="Z5309" s="6"/>
      <c r="AA5309" s="6"/>
    </row>
    <row r="5310" ht="14.25">
      <c r="B5310" s="14" t="s">
        <v>34992</v>
      </c>
      <c r="C5310" s="4" t="s">
        <v>34993</v>
      </c>
      <c r="D5310" s="4" t="s">
        <v>34997</v>
      </c>
      <c r="E5310" s="4" t="s">
        <v>34995</v>
      </c>
      <c r="F5310" s="4" t="s">
        <v>33857</v>
      </c>
      <c r="G5310" s="4" t="s">
        <v>34998</v>
      </c>
      <c r="H5310" s="6"/>
      <c r="I5310" s="6"/>
      <c r="J5310" s="6"/>
      <c r="K5310" s="6"/>
      <c r="L5310" s="6"/>
      <c r="M5310" s="6"/>
      <c r="N5310" s="6"/>
      <c r="O5310" s="6"/>
      <c r="P5310" s="6"/>
      <c r="Q5310" s="6"/>
      <c r="R5310" s="6"/>
      <c r="S5310" s="6"/>
      <c r="T5310" s="6"/>
      <c r="U5310" s="6"/>
      <c r="V5310" s="6"/>
      <c r="W5310" s="6"/>
      <c r="X5310" s="6"/>
      <c r="Y5310" s="6"/>
      <c r="Z5310" s="6"/>
      <c r="AA5310" s="6"/>
    </row>
    <row r="5311" ht="14.25">
      <c r="B5311" s="14" t="s">
        <v>34999</v>
      </c>
      <c r="C5311" s="4" t="s">
        <v>35000</v>
      </c>
      <c r="D5311" s="4" t="s">
        <v>35001</v>
      </c>
      <c r="E5311" s="4" t="s">
        <v>35002</v>
      </c>
      <c r="F5311" s="4" t="s">
        <v>1619</v>
      </c>
      <c r="G5311" s="4" t="s">
        <v>35003</v>
      </c>
      <c r="H5311" s="6"/>
      <c r="I5311" s="6"/>
      <c r="J5311" s="6"/>
      <c r="K5311" s="6"/>
      <c r="L5311" s="6"/>
      <c r="M5311" s="6"/>
      <c r="N5311" s="6"/>
      <c r="O5311" s="6"/>
      <c r="P5311" s="6"/>
      <c r="Q5311" s="6"/>
      <c r="R5311" s="6"/>
      <c r="S5311" s="6"/>
      <c r="T5311" s="6"/>
      <c r="U5311" s="6"/>
      <c r="V5311" s="6"/>
      <c r="W5311" s="6"/>
      <c r="X5311" s="6"/>
      <c r="Y5311" s="6"/>
      <c r="Z5311" s="6"/>
      <c r="AA5311" s="6"/>
    </row>
    <row r="5312" ht="14.25">
      <c r="B5312" s="14" t="s">
        <v>35004</v>
      </c>
      <c r="C5312" s="4" t="s">
        <v>35005</v>
      </c>
      <c r="D5312" s="4" t="s">
        <v>35006</v>
      </c>
      <c r="E5312" s="4" t="s">
        <v>35007</v>
      </c>
      <c r="F5312" s="4" t="s">
        <v>1027</v>
      </c>
      <c r="G5312" s="4" t="s">
        <v>35008</v>
      </c>
      <c r="H5312" s="6"/>
      <c r="I5312" s="6"/>
      <c r="J5312" s="6"/>
      <c r="K5312" s="6"/>
      <c r="L5312" s="6"/>
      <c r="M5312" s="6"/>
      <c r="N5312" s="6"/>
      <c r="O5312" s="6"/>
      <c r="P5312" s="6"/>
      <c r="Q5312" s="6"/>
      <c r="R5312" s="6"/>
      <c r="S5312" s="6"/>
      <c r="T5312" s="6"/>
      <c r="U5312" s="6"/>
      <c r="V5312" s="6"/>
      <c r="W5312" s="6"/>
      <c r="X5312" s="6"/>
      <c r="Y5312" s="6"/>
      <c r="Z5312" s="6"/>
      <c r="AA5312" s="6"/>
    </row>
    <row r="5313" ht="14.25">
      <c r="B5313" s="14" t="s">
        <v>35009</v>
      </c>
      <c r="C5313" s="4" t="s">
        <v>35010</v>
      </c>
      <c r="D5313" s="4" t="s">
        <v>35011</v>
      </c>
      <c r="E5313" s="4" t="s">
        <v>35012</v>
      </c>
      <c r="F5313" s="4" t="s">
        <v>35013</v>
      </c>
      <c r="G5313" s="4" t="s">
        <v>35014</v>
      </c>
      <c r="H5313" s="6"/>
      <c r="I5313" s="6"/>
      <c r="J5313" s="6"/>
      <c r="K5313" s="6"/>
      <c r="L5313" s="6"/>
      <c r="M5313" s="6"/>
      <c r="N5313" s="6"/>
      <c r="O5313" s="6"/>
      <c r="P5313" s="6"/>
      <c r="Q5313" s="6"/>
      <c r="R5313" s="6"/>
      <c r="S5313" s="6"/>
      <c r="T5313" s="6"/>
      <c r="U5313" s="6"/>
      <c r="V5313" s="6"/>
      <c r="W5313" s="6"/>
      <c r="X5313" s="6"/>
      <c r="Y5313" s="6"/>
      <c r="Z5313" s="6"/>
      <c r="AA5313" s="6"/>
    </row>
    <row r="5314" ht="14.25">
      <c r="B5314" s="14" t="s">
        <v>35015</v>
      </c>
      <c r="C5314" s="4" t="s">
        <v>35016</v>
      </c>
      <c r="D5314" s="4" t="s">
        <v>35017</v>
      </c>
      <c r="E5314" s="4" t="s">
        <v>35018</v>
      </c>
      <c r="F5314" s="4" t="s">
        <v>31336</v>
      </c>
      <c r="G5314" s="4" t="s">
        <v>35019</v>
      </c>
      <c r="H5314" s="6"/>
      <c r="I5314" s="6"/>
      <c r="J5314" s="6"/>
      <c r="K5314" s="6"/>
      <c r="L5314" s="6"/>
      <c r="M5314" s="6"/>
      <c r="N5314" s="6"/>
      <c r="O5314" s="6"/>
      <c r="P5314" s="6"/>
      <c r="Q5314" s="6"/>
      <c r="R5314" s="6"/>
      <c r="S5314" s="6"/>
      <c r="T5314" s="6"/>
      <c r="U5314" s="6"/>
      <c r="V5314" s="6"/>
      <c r="W5314" s="6"/>
      <c r="X5314" s="6"/>
      <c r="Y5314" s="6"/>
      <c r="Z5314" s="6"/>
      <c r="AA5314" s="6"/>
    </row>
    <row r="5315" ht="14.25">
      <c r="B5315" s="14" t="s">
        <v>35015</v>
      </c>
      <c r="C5315" s="4" t="s">
        <v>35016</v>
      </c>
      <c r="D5315" s="4" t="s">
        <v>35020</v>
      </c>
      <c r="E5315" s="4" t="s">
        <v>35018</v>
      </c>
      <c r="F5315" s="4" t="s">
        <v>653</v>
      </c>
      <c r="G5315" s="4" t="s">
        <v>35021</v>
      </c>
      <c r="H5315" s="6"/>
      <c r="I5315" s="6"/>
      <c r="J5315" s="6"/>
      <c r="K5315" s="6"/>
      <c r="L5315" s="6"/>
      <c r="M5315" s="6"/>
      <c r="N5315" s="6"/>
      <c r="O5315" s="6"/>
      <c r="P5315" s="6"/>
      <c r="Q5315" s="6"/>
      <c r="R5315" s="6"/>
      <c r="S5315" s="6"/>
      <c r="T5315" s="6"/>
      <c r="U5315" s="6"/>
      <c r="V5315" s="6"/>
      <c r="W5315" s="6"/>
      <c r="X5315" s="6"/>
      <c r="Y5315" s="6"/>
      <c r="Z5315" s="6"/>
      <c r="AA5315" s="6"/>
    </row>
    <row r="5316" ht="14.25">
      <c r="B5316" s="14" t="s">
        <v>35022</v>
      </c>
      <c r="C5316" s="4" t="s">
        <v>35023</v>
      </c>
      <c r="D5316" s="4" t="s">
        <v>35024</v>
      </c>
      <c r="E5316" s="4" t="s">
        <v>35025</v>
      </c>
      <c r="F5316" s="4" t="s">
        <v>17867</v>
      </c>
      <c r="G5316" s="4" t="s">
        <v>35026</v>
      </c>
      <c r="H5316" s="6"/>
      <c r="I5316" s="6"/>
      <c r="J5316" s="6"/>
      <c r="K5316" s="6"/>
      <c r="L5316" s="6"/>
      <c r="M5316" s="6"/>
      <c r="N5316" s="6"/>
      <c r="O5316" s="6"/>
      <c r="P5316" s="6"/>
      <c r="Q5316" s="6"/>
      <c r="R5316" s="6"/>
      <c r="S5316" s="6"/>
      <c r="T5316" s="6"/>
      <c r="U5316" s="6"/>
      <c r="V5316" s="6"/>
      <c r="W5316" s="6"/>
      <c r="X5316" s="6"/>
      <c r="Y5316" s="6"/>
      <c r="Z5316" s="6"/>
      <c r="AA5316" s="6"/>
    </row>
    <row r="5317" ht="14.25">
      <c r="B5317" s="14" t="s">
        <v>35027</v>
      </c>
      <c r="C5317" s="4" t="s">
        <v>35028</v>
      </c>
      <c r="D5317" s="4" t="s">
        <v>35029</v>
      </c>
      <c r="E5317" s="4" t="s">
        <v>35030</v>
      </c>
      <c r="F5317" s="4" t="s">
        <v>35031</v>
      </c>
      <c r="G5317" s="4" t="s">
        <v>35032</v>
      </c>
      <c r="H5317" s="6"/>
      <c r="I5317" s="6"/>
      <c r="J5317" s="6"/>
      <c r="K5317" s="6"/>
      <c r="L5317" s="6"/>
      <c r="M5317" s="6"/>
      <c r="N5317" s="6"/>
      <c r="O5317" s="6"/>
      <c r="P5317" s="6"/>
      <c r="Q5317" s="6"/>
      <c r="R5317" s="6"/>
      <c r="S5317" s="6"/>
      <c r="T5317" s="6"/>
      <c r="U5317" s="6"/>
      <c r="V5317" s="6"/>
      <c r="W5317" s="6"/>
      <c r="X5317" s="6"/>
      <c r="Y5317" s="6"/>
      <c r="Z5317" s="6"/>
      <c r="AA5317" s="6"/>
    </row>
    <row r="5318" ht="14.25">
      <c r="B5318" s="14" t="s">
        <v>35027</v>
      </c>
      <c r="C5318" s="4" t="s">
        <v>35028</v>
      </c>
      <c r="D5318" s="4" t="s">
        <v>35030</v>
      </c>
      <c r="E5318" s="6"/>
      <c r="F5318" s="4" t="s">
        <v>32616</v>
      </c>
      <c r="G5318" s="4" t="s">
        <v>35033</v>
      </c>
      <c r="H5318" s="6"/>
      <c r="I5318" s="6"/>
      <c r="J5318" s="6"/>
      <c r="K5318" s="6"/>
      <c r="L5318" s="6"/>
      <c r="M5318" s="6"/>
      <c r="N5318" s="6"/>
      <c r="O5318" s="6"/>
      <c r="P5318" s="6"/>
      <c r="Q5318" s="6"/>
      <c r="R5318" s="6"/>
      <c r="S5318" s="6"/>
      <c r="T5318" s="6"/>
      <c r="U5318" s="6"/>
      <c r="V5318" s="6"/>
      <c r="W5318" s="6"/>
      <c r="X5318" s="6"/>
      <c r="Y5318" s="6"/>
      <c r="Z5318" s="6"/>
      <c r="AA5318" s="6"/>
    </row>
    <row r="5319" ht="14.25">
      <c r="B5319" s="14" t="s">
        <v>35034</v>
      </c>
      <c r="C5319" s="4" t="s">
        <v>35035</v>
      </c>
      <c r="D5319" s="4" t="s">
        <v>35036</v>
      </c>
      <c r="E5319" s="6"/>
      <c r="F5319" s="4" t="s">
        <v>35037</v>
      </c>
      <c r="G5319" s="4" t="s">
        <v>35038</v>
      </c>
      <c r="H5319" s="6"/>
      <c r="I5319" s="6"/>
      <c r="J5319" s="6"/>
      <c r="K5319" s="6"/>
      <c r="L5319" s="6"/>
      <c r="M5319" s="6"/>
      <c r="N5319" s="6"/>
      <c r="O5319" s="6"/>
      <c r="P5319" s="6"/>
      <c r="Q5319" s="6"/>
      <c r="R5319" s="6"/>
      <c r="S5319" s="6"/>
      <c r="T5319" s="6"/>
      <c r="U5319" s="6"/>
      <c r="V5319" s="6"/>
      <c r="W5319" s="6"/>
      <c r="X5319" s="6"/>
      <c r="Y5319" s="6"/>
      <c r="Z5319" s="6"/>
      <c r="AA5319" s="6"/>
    </row>
    <row r="5320" ht="14.25">
      <c r="B5320" s="14" t="s">
        <v>35039</v>
      </c>
      <c r="C5320" s="4" t="s">
        <v>35040</v>
      </c>
      <c r="D5320" s="4" t="s">
        <v>35041</v>
      </c>
      <c r="E5320" s="6"/>
      <c r="F5320" s="4" t="s">
        <v>4961</v>
      </c>
      <c r="G5320" s="4" t="s">
        <v>35042</v>
      </c>
      <c r="H5320" s="6"/>
      <c r="I5320" s="6"/>
      <c r="J5320" s="6"/>
      <c r="K5320" s="6"/>
      <c r="L5320" s="6"/>
      <c r="M5320" s="6"/>
      <c r="N5320" s="6"/>
      <c r="O5320" s="6"/>
      <c r="P5320" s="6"/>
      <c r="Q5320" s="6"/>
      <c r="R5320" s="6"/>
      <c r="S5320" s="6"/>
      <c r="T5320" s="6"/>
      <c r="U5320" s="6"/>
      <c r="V5320" s="6"/>
      <c r="W5320" s="6"/>
      <c r="X5320" s="6"/>
      <c r="Y5320" s="6"/>
      <c r="Z5320" s="6"/>
      <c r="AA5320" s="6"/>
    </row>
    <row r="5321" ht="14.25">
      <c r="B5321" s="14" t="s">
        <v>35043</v>
      </c>
      <c r="C5321" s="4" t="s">
        <v>35044</v>
      </c>
      <c r="D5321" s="4" t="s">
        <v>35045</v>
      </c>
      <c r="E5321" s="4" t="s">
        <v>35046</v>
      </c>
      <c r="F5321" s="4" t="s">
        <v>33370</v>
      </c>
      <c r="G5321" s="4" t="s">
        <v>35047</v>
      </c>
      <c r="H5321" s="6"/>
      <c r="I5321" s="6"/>
      <c r="J5321" s="6"/>
      <c r="K5321" s="6"/>
      <c r="L5321" s="6"/>
      <c r="M5321" s="6"/>
      <c r="N5321" s="6"/>
      <c r="O5321" s="6"/>
      <c r="P5321" s="6"/>
      <c r="Q5321" s="6"/>
      <c r="R5321" s="6"/>
      <c r="S5321" s="6"/>
      <c r="T5321" s="6"/>
      <c r="U5321" s="6"/>
      <c r="V5321" s="6"/>
      <c r="W5321" s="6"/>
      <c r="X5321" s="6"/>
      <c r="Y5321" s="6"/>
      <c r="Z5321" s="6"/>
      <c r="AA5321" s="6"/>
    </row>
    <row r="5322" ht="14.25">
      <c r="B5322" s="14" t="s">
        <v>35048</v>
      </c>
      <c r="C5322" s="4" t="s">
        <v>35049</v>
      </c>
      <c r="D5322" s="4" t="s">
        <v>35050</v>
      </c>
      <c r="E5322" s="6"/>
      <c r="F5322" s="4" t="s">
        <v>6243</v>
      </c>
      <c r="G5322" s="4" t="s">
        <v>35051</v>
      </c>
      <c r="H5322" s="6"/>
      <c r="I5322" s="6"/>
      <c r="J5322" s="6"/>
      <c r="K5322" s="6"/>
      <c r="L5322" s="6"/>
      <c r="M5322" s="6"/>
      <c r="N5322" s="6"/>
      <c r="O5322" s="6"/>
      <c r="P5322" s="6"/>
      <c r="Q5322" s="6"/>
      <c r="R5322" s="6"/>
      <c r="S5322" s="6"/>
      <c r="T5322" s="6"/>
      <c r="U5322" s="6"/>
      <c r="V5322" s="6"/>
      <c r="W5322" s="6"/>
      <c r="X5322" s="6"/>
      <c r="Y5322" s="6"/>
      <c r="Z5322" s="6"/>
      <c r="AA5322" s="6"/>
    </row>
    <row r="5323" ht="14.25">
      <c r="B5323" s="14" t="s">
        <v>35052</v>
      </c>
      <c r="C5323" s="4" t="s">
        <v>35053</v>
      </c>
      <c r="D5323" s="4" t="s">
        <v>35054</v>
      </c>
      <c r="E5323" s="6"/>
      <c r="F5323" s="4" t="s">
        <v>785</v>
      </c>
      <c r="G5323" s="4" t="s">
        <v>35055</v>
      </c>
      <c r="H5323" s="6"/>
      <c r="I5323" s="6"/>
      <c r="J5323" s="6"/>
      <c r="K5323" s="6"/>
      <c r="L5323" s="6"/>
      <c r="M5323" s="6"/>
      <c r="N5323" s="6"/>
      <c r="O5323" s="6"/>
      <c r="P5323" s="6"/>
      <c r="Q5323" s="6"/>
      <c r="R5323" s="6"/>
      <c r="S5323" s="6"/>
      <c r="T5323" s="6"/>
      <c r="U5323" s="6"/>
      <c r="V5323" s="6"/>
      <c r="W5323" s="6"/>
      <c r="X5323" s="6"/>
      <c r="Y5323" s="6"/>
      <c r="Z5323" s="6"/>
      <c r="AA5323" s="6"/>
    </row>
    <row r="5324" ht="14.25">
      <c r="B5324" s="14" t="s">
        <v>35056</v>
      </c>
      <c r="C5324" s="4" t="s">
        <v>35057</v>
      </c>
      <c r="D5324" s="4" t="s">
        <v>35058</v>
      </c>
      <c r="E5324" s="6"/>
      <c r="F5324" s="4" t="s">
        <v>32616</v>
      </c>
      <c r="G5324" s="4" t="s">
        <v>35059</v>
      </c>
      <c r="H5324" s="6"/>
      <c r="I5324" s="6"/>
      <c r="J5324" s="6"/>
      <c r="K5324" s="6"/>
      <c r="L5324" s="6"/>
      <c r="M5324" s="6"/>
      <c r="N5324" s="6"/>
      <c r="O5324" s="6"/>
      <c r="P5324" s="6"/>
      <c r="Q5324" s="6"/>
      <c r="R5324" s="6"/>
      <c r="S5324" s="6"/>
      <c r="T5324" s="6"/>
      <c r="U5324" s="6"/>
      <c r="V5324" s="6"/>
      <c r="W5324" s="6"/>
      <c r="X5324" s="6"/>
      <c r="Y5324" s="6"/>
      <c r="Z5324" s="6"/>
      <c r="AA5324" s="6"/>
    </row>
    <row r="5325" ht="14.25">
      <c r="B5325" s="14" t="s">
        <v>35056</v>
      </c>
      <c r="C5325" s="4" t="s">
        <v>35057</v>
      </c>
      <c r="D5325" s="4" t="s">
        <v>35060</v>
      </c>
      <c r="E5325" s="4" t="s">
        <v>35058</v>
      </c>
      <c r="F5325" s="4" t="s">
        <v>1009</v>
      </c>
      <c r="G5325" s="4" t="s">
        <v>35061</v>
      </c>
      <c r="H5325" s="6"/>
      <c r="I5325" s="6"/>
      <c r="J5325" s="6"/>
      <c r="K5325" s="6"/>
      <c r="L5325" s="6"/>
      <c r="M5325" s="6"/>
      <c r="N5325" s="6"/>
      <c r="O5325" s="6"/>
      <c r="P5325" s="6"/>
      <c r="Q5325" s="6"/>
      <c r="R5325" s="6"/>
      <c r="S5325" s="6"/>
      <c r="T5325" s="6"/>
      <c r="U5325" s="6"/>
      <c r="V5325" s="6"/>
      <c r="W5325" s="6"/>
      <c r="X5325" s="6"/>
      <c r="Y5325" s="6"/>
      <c r="Z5325" s="6"/>
      <c r="AA5325" s="6"/>
    </row>
    <row r="5326" ht="14.25">
      <c r="B5326" s="14" t="s">
        <v>35062</v>
      </c>
      <c r="C5326" s="4" t="s">
        <v>35063</v>
      </c>
      <c r="D5326" s="4" t="s">
        <v>35064</v>
      </c>
      <c r="E5326" s="6"/>
      <c r="F5326" s="4" t="s">
        <v>330</v>
      </c>
      <c r="G5326" s="4" t="s">
        <v>35065</v>
      </c>
      <c r="H5326" s="6"/>
      <c r="I5326" s="6"/>
      <c r="J5326" s="6"/>
      <c r="K5326" s="6"/>
      <c r="L5326" s="6"/>
      <c r="M5326" s="6"/>
      <c r="N5326" s="6"/>
      <c r="O5326" s="6"/>
      <c r="P5326" s="6"/>
      <c r="Q5326" s="6"/>
      <c r="R5326" s="6"/>
      <c r="S5326" s="6"/>
      <c r="T5326" s="6"/>
      <c r="U5326" s="6"/>
      <c r="V5326" s="6"/>
      <c r="W5326" s="6"/>
      <c r="X5326" s="6"/>
      <c r="Y5326" s="6"/>
      <c r="Z5326" s="6"/>
      <c r="AA5326" s="6"/>
    </row>
    <row r="5327" ht="14.25">
      <c r="B5327" s="14" t="s">
        <v>35066</v>
      </c>
      <c r="C5327" s="4" t="s">
        <v>35067</v>
      </c>
      <c r="D5327" s="4" t="s">
        <v>35068</v>
      </c>
      <c r="E5327" s="4" t="s">
        <v>35069</v>
      </c>
      <c r="F5327" s="4" t="s">
        <v>5716</v>
      </c>
      <c r="G5327" s="4" t="s">
        <v>35070</v>
      </c>
      <c r="H5327" s="6"/>
      <c r="I5327" s="6"/>
      <c r="J5327" s="6"/>
      <c r="K5327" s="6"/>
      <c r="L5327" s="6"/>
      <c r="M5327" s="6"/>
      <c r="N5327" s="6"/>
      <c r="O5327" s="6"/>
      <c r="P5327" s="6"/>
      <c r="Q5327" s="6"/>
      <c r="R5327" s="6"/>
      <c r="S5327" s="6"/>
      <c r="T5327" s="6"/>
      <c r="U5327" s="6"/>
      <c r="V5327" s="6"/>
      <c r="W5327" s="6"/>
      <c r="X5327" s="6"/>
      <c r="Y5327" s="6"/>
      <c r="Z5327" s="6"/>
      <c r="AA5327" s="6"/>
    </row>
    <row r="5328" ht="14.25">
      <c r="B5328" s="14" t="s">
        <v>35066</v>
      </c>
      <c r="C5328" s="4" t="s">
        <v>35067</v>
      </c>
      <c r="D5328" s="4" t="s">
        <v>35071</v>
      </c>
      <c r="E5328" s="4" t="s">
        <v>35069</v>
      </c>
      <c r="F5328" s="4" t="s">
        <v>12452</v>
      </c>
      <c r="G5328" s="4" t="s">
        <v>35072</v>
      </c>
      <c r="H5328" s="6"/>
      <c r="I5328" s="6"/>
      <c r="J5328" s="6"/>
      <c r="K5328" s="6"/>
      <c r="L5328" s="6"/>
      <c r="M5328" s="6"/>
      <c r="N5328" s="6"/>
      <c r="O5328" s="6"/>
      <c r="P5328" s="6"/>
      <c r="Q5328" s="6"/>
      <c r="R5328" s="6"/>
      <c r="S5328" s="6"/>
      <c r="T5328" s="6"/>
      <c r="U5328" s="6"/>
      <c r="V5328" s="6"/>
      <c r="W5328" s="6"/>
      <c r="X5328" s="6"/>
      <c r="Y5328" s="6"/>
      <c r="Z5328" s="6"/>
      <c r="AA5328" s="6"/>
    </row>
    <row r="5329" ht="14.25">
      <c r="B5329" s="14" t="s">
        <v>35073</v>
      </c>
      <c r="C5329" s="4" t="s">
        <v>35074</v>
      </c>
      <c r="D5329" s="4" t="s">
        <v>35075</v>
      </c>
      <c r="E5329" s="4" t="s">
        <v>35076</v>
      </c>
      <c r="F5329" s="4" t="s">
        <v>1596</v>
      </c>
      <c r="G5329" s="4" t="s">
        <v>35077</v>
      </c>
      <c r="H5329" s="6"/>
      <c r="I5329" s="6"/>
      <c r="J5329" s="6"/>
      <c r="K5329" s="6"/>
      <c r="L5329" s="6"/>
      <c r="M5329" s="6"/>
      <c r="N5329" s="6"/>
      <c r="O5329" s="6"/>
      <c r="P5329" s="6"/>
      <c r="Q5329" s="6"/>
      <c r="R5329" s="6"/>
      <c r="S5329" s="6"/>
      <c r="T5329" s="6"/>
      <c r="U5329" s="6"/>
      <c r="V5329" s="6"/>
      <c r="W5329" s="6"/>
      <c r="X5329" s="6"/>
      <c r="Y5329" s="6"/>
      <c r="Z5329" s="6"/>
      <c r="AA5329" s="6"/>
    </row>
    <row r="5330" ht="14.25">
      <c r="B5330" s="14" t="s">
        <v>35078</v>
      </c>
      <c r="C5330" s="4" t="s">
        <v>35079</v>
      </c>
      <c r="D5330" s="4" t="s">
        <v>35080</v>
      </c>
      <c r="E5330" s="6"/>
      <c r="F5330" s="4" t="s">
        <v>4969</v>
      </c>
      <c r="G5330" s="4" t="s">
        <v>35081</v>
      </c>
      <c r="H5330" s="6"/>
      <c r="I5330" s="6"/>
      <c r="J5330" s="6"/>
      <c r="K5330" s="6"/>
      <c r="L5330" s="6"/>
      <c r="M5330" s="6"/>
      <c r="N5330" s="6"/>
      <c r="O5330" s="6"/>
      <c r="P5330" s="6"/>
      <c r="Q5330" s="6"/>
      <c r="R5330" s="6"/>
      <c r="S5330" s="6"/>
      <c r="T5330" s="6"/>
      <c r="U5330" s="6"/>
      <c r="V5330" s="6"/>
      <c r="W5330" s="6"/>
      <c r="X5330" s="6"/>
      <c r="Y5330" s="6"/>
      <c r="Z5330" s="6"/>
      <c r="AA5330" s="6"/>
    </row>
    <row r="5331" ht="14.25">
      <c r="B5331" s="14" t="s">
        <v>35082</v>
      </c>
      <c r="C5331" s="4" t="s">
        <v>35083</v>
      </c>
      <c r="D5331" s="4" t="s">
        <v>35084</v>
      </c>
      <c r="E5331" s="6"/>
      <c r="F5331" s="4" t="s">
        <v>4800</v>
      </c>
      <c r="G5331" s="4" t="s">
        <v>35085</v>
      </c>
      <c r="H5331" s="6"/>
      <c r="I5331" s="6"/>
      <c r="J5331" s="6"/>
      <c r="K5331" s="6"/>
      <c r="L5331" s="6"/>
      <c r="M5331" s="6"/>
      <c r="N5331" s="6"/>
      <c r="O5331" s="6"/>
      <c r="P5331" s="6"/>
      <c r="Q5331" s="6"/>
      <c r="R5331" s="6"/>
      <c r="S5331" s="6"/>
      <c r="T5331" s="6"/>
      <c r="U5331" s="6"/>
      <c r="V5331" s="6"/>
      <c r="W5331" s="6"/>
      <c r="X5331" s="6"/>
      <c r="Y5331" s="6"/>
      <c r="Z5331" s="6"/>
      <c r="AA5331" s="6"/>
    </row>
    <row r="5332" ht="14.25">
      <c r="B5332" s="14" t="s">
        <v>35086</v>
      </c>
      <c r="C5332" s="4" t="s">
        <v>35087</v>
      </c>
      <c r="D5332" s="4" t="s">
        <v>35088</v>
      </c>
      <c r="E5332" s="6"/>
      <c r="F5332" s="4" t="s">
        <v>1596</v>
      </c>
      <c r="G5332" s="4" t="s">
        <v>35089</v>
      </c>
      <c r="H5332" s="6"/>
      <c r="I5332" s="6"/>
      <c r="J5332" s="6"/>
      <c r="K5332" s="6"/>
      <c r="L5332" s="6"/>
      <c r="M5332" s="6"/>
      <c r="N5332" s="6"/>
      <c r="O5332" s="6"/>
      <c r="P5332" s="6"/>
      <c r="Q5332" s="6"/>
      <c r="R5332" s="6"/>
      <c r="S5332" s="6"/>
      <c r="T5332" s="6"/>
      <c r="U5332" s="6"/>
      <c r="V5332" s="6"/>
      <c r="W5332" s="6"/>
      <c r="X5332" s="6"/>
      <c r="Y5332" s="6"/>
      <c r="Z5332" s="6"/>
      <c r="AA5332" s="6"/>
    </row>
    <row r="5333" ht="14.25">
      <c r="B5333" s="14" t="s">
        <v>35090</v>
      </c>
      <c r="C5333" s="4" t="s">
        <v>35091</v>
      </c>
      <c r="D5333" s="4" t="s">
        <v>35092</v>
      </c>
      <c r="E5333" s="4" t="s">
        <v>35093</v>
      </c>
      <c r="F5333" s="4" t="s">
        <v>670</v>
      </c>
      <c r="G5333" s="4" t="s">
        <v>34748</v>
      </c>
      <c r="H5333" s="6"/>
      <c r="I5333" s="6"/>
      <c r="J5333" s="6"/>
      <c r="K5333" s="6"/>
      <c r="L5333" s="6"/>
      <c r="M5333" s="6"/>
      <c r="N5333" s="6"/>
      <c r="O5333" s="6"/>
      <c r="P5333" s="6"/>
      <c r="Q5333" s="6"/>
      <c r="R5333" s="6"/>
      <c r="S5333" s="6"/>
      <c r="T5333" s="6"/>
      <c r="U5333" s="6"/>
      <c r="V5333" s="6"/>
      <c r="W5333" s="6"/>
      <c r="X5333" s="6"/>
      <c r="Y5333" s="6"/>
      <c r="Z5333" s="6"/>
      <c r="AA5333" s="6"/>
    </row>
    <row r="5334" ht="14.25">
      <c r="B5334" s="14" t="s">
        <v>35090</v>
      </c>
      <c r="C5334" s="4" t="s">
        <v>35091</v>
      </c>
      <c r="D5334" s="4" t="s">
        <v>35094</v>
      </c>
      <c r="E5334" s="4" t="s">
        <v>35093</v>
      </c>
      <c r="F5334" s="4" t="s">
        <v>170</v>
      </c>
      <c r="G5334" s="4" t="s">
        <v>35095</v>
      </c>
      <c r="H5334" s="6"/>
      <c r="I5334" s="6"/>
      <c r="J5334" s="6"/>
      <c r="K5334" s="6"/>
      <c r="L5334" s="6"/>
      <c r="M5334" s="6"/>
      <c r="N5334" s="6"/>
      <c r="O5334" s="6"/>
      <c r="P5334" s="6"/>
      <c r="Q5334" s="6"/>
      <c r="R5334" s="6"/>
      <c r="S5334" s="6"/>
      <c r="T5334" s="6"/>
      <c r="U5334" s="6"/>
      <c r="V5334" s="6"/>
      <c r="W5334" s="6"/>
      <c r="X5334" s="6"/>
      <c r="Y5334" s="6"/>
      <c r="Z5334" s="6"/>
      <c r="AA5334" s="6"/>
    </row>
    <row r="5335" ht="14.25">
      <c r="B5335" s="14" t="s">
        <v>35090</v>
      </c>
      <c r="C5335" s="4" t="s">
        <v>35091</v>
      </c>
      <c r="D5335" s="4" t="s">
        <v>35096</v>
      </c>
      <c r="E5335" s="4" t="s">
        <v>35093</v>
      </c>
      <c r="F5335" s="4" t="s">
        <v>110</v>
      </c>
      <c r="G5335" s="4" t="s">
        <v>35097</v>
      </c>
      <c r="H5335" s="6"/>
      <c r="I5335" s="6"/>
      <c r="J5335" s="6"/>
      <c r="K5335" s="6"/>
      <c r="L5335" s="6"/>
      <c r="M5335" s="6"/>
      <c r="N5335" s="6"/>
      <c r="O5335" s="6"/>
      <c r="P5335" s="6"/>
      <c r="Q5335" s="6"/>
      <c r="R5335" s="6"/>
      <c r="S5335" s="6"/>
      <c r="T5335" s="6"/>
      <c r="U5335" s="6"/>
      <c r="V5335" s="6"/>
      <c r="W5335" s="6"/>
      <c r="X5335" s="6"/>
      <c r="Y5335" s="6"/>
      <c r="Z5335" s="6"/>
      <c r="AA5335" s="6"/>
    </row>
    <row r="5336" ht="14.25">
      <c r="B5336" s="14" t="s">
        <v>35098</v>
      </c>
      <c r="C5336" s="4" t="s">
        <v>35099</v>
      </c>
      <c r="D5336" s="4" t="s">
        <v>35100</v>
      </c>
      <c r="E5336" s="6"/>
      <c r="F5336" s="4" t="s">
        <v>971</v>
      </c>
      <c r="G5336" s="4" t="s">
        <v>35101</v>
      </c>
      <c r="H5336" s="6"/>
      <c r="I5336" s="6"/>
      <c r="J5336" s="6"/>
      <c r="K5336" s="6"/>
      <c r="L5336" s="6"/>
      <c r="M5336" s="6"/>
      <c r="N5336" s="6"/>
      <c r="O5336" s="6"/>
      <c r="P5336" s="6"/>
      <c r="Q5336" s="6"/>
      <c r="R5336" s="6"/>
      <c r="S5336" s="6"/>
      <c r="T5336" s="6"/>
      <c r="U5336" s="6"/>
      <c r="V5336" s="6"/>
      <c r="W5336" s="6"/>
      <c r="X5336" s="6"/>
      <c r="Y5336" s="6"/>
      <c r="Z5336" s="6"/>
      <c r="AA5336" s="6"/>
    </row>
    <row r="5337" ht="14.25">
      <c r="B5337" s="14" t="s">
        <v>35098</v>
      </c>
      <c r="C5337" s="4" t="s">
        <v>35102</v>
      </c>
      <c r="D5337" s="4" t="s">
        <v>35103</v>
      </c>
      <c r="E5337" s="4" t="s">
        <v>35104</v>
      </c>
      <c r="F5337" s="4" t="s">
        <v>5579</v>
      </c>
      <c r="G5337" s="4" t="s">
        <v>35105</v>
      </c>
      <c r="H5337" s="6"/>
      <c r="I5337" s="6"/>
      <c r="J5337" s="6"/>
      <c r="K5337" s="6"/>
      <c r="L5337" s="6"/>
      <c r="M5337" s="6"/>
      <c r="N5337" s="6"/>
      <c r="O5337" s="6"/>
      <c r="P5337" s="6"/>
      <c r="Q5337" s="6"/>
      <c r="R5337" s="6"/>
      <c r="S5337" s="6"/>
      <c r="T5337" s="6"/>
      <c r="U5337" s="6"/>
      <c r="V5337" s="6"/>
      <c r="W5337" s="6"/>
      <c r="X5337" s="6"/>
      <c r="Y5337" s="6"/>
      <c r="Z5337" s="6"/>
      <c r="AA5337" s="6"/>
    </row>
    <row r="5338" ht="14.25">
      <c r="B5338" s="14" t="s">
        <v>35106</v>
      </c>
      <c r="C5338" s="4" t="s">
        <v>35107</v>
      </c>
      <c r="D5338" s="4" t="s">
        <v>35108</v>
      </c>
      <c r="E5338" s="4" t="s">
        <v>35109</v>
      </c>
      <c r="F5338" s="4" t="s">
        <v>35110</v>
      </c>
      <c r="G5338" s="4" t="s">
        <v>35111</v>
      </c>
      <c r="H5338" s="6"/>
      <c r="I5338" s="6"/>
      <c r="J5338" s="6"/>
      <c r="K5338" s="6"/>
      <c r="L5338" s="6"/>
      <c r="M5338" s="6"/>
      <c r="N5338" s="6"/>
      <c r="O5338" s="6"/>
      <c r="P5338" s="6"/>
      <c r="Q5338" s="6"/>
      <c r="R5338" s="6"/>
      <c r="S5338" s="6"/>
      <c r="T5338" s="6"/>
      <c r="U5338" s="6"/>
      <c r="V5338" s="6"/>
      <c r="W5338" s="6"/>
      <c r="X5338" s="6"/>
      <c r="Y5338" s="6"/>
      <c r="Z5338" s="6"/>
      <c r="AA5338" s="6"/>
    </row>
    <row r="5339" ht="14.25">
      <c r="B5339" s="14" t="s">
        <v>35112</v>
      </c>
      <c r="C5339" s="4" t="s">
        <v>35113</v>
      </c>
      <c r="D5339" s="4" t="s">
        <v>35114</v>
      </c>
      <c r="E5339" s="4" t="s">
        <v>35115</v>
      </c>
      <c r="F5339" s="4" t="s">
        <v>33489</v>
      </c>
      <c r="G5339" s="4" t="s">
        <v>35116</v>
      </c>
      <c r="H5339" s="6"/>
      <c r="I5339" s="6"/>
      <c r="J5339" s="6"/>
      <c r="K5339" s="6"/>
      <c r="L5339" s="6"/>
      <c r="M5339" s="6"/>
      <c r="N5339" s="6"/>
      <c r="O5339" s="6"/>
      <c r="P5339" s="6"/>
      <c r="Q5339" s="6"/>
      <c r="R5339" s="6"/>
      <c r="S5339" s="6"/>
      <c r="T5339" s="6"/>
      <c r="U5339" s="6"/>
      <c r="V5339" s="6"/>
      <c r="W5339" s="6"/>
      <c r="X5339" s="6"/>
      <c r="Y5339" s="6"/>
      <c r="Z5339" s="6"/>
      <c r="AA5339" s="6"/>
    </row>
    <row r="5340" ht="14.25">
      <c r="B5340" s="14" t="s">
        <v>35117</v>
      </c>
      <c r="C5340" s="4" t="s">
        <v>35118</v>
      </c>
      <c r="D5340" s="4" t="s">
        <v>35119</v>
      </c>
      <c r="E5340" s="4" t="s">
        <v>35120</v>
      </c>
      <c r="F5340" s="4" t="s">
        <v>20</v>
      </c>
      <c r="G5340" s="4" t="s">
        <v>35121</v>
      </c>
      <c r="H5340" s="6"/>
      <c r="I5340" s="6"/>
      <c r="J5340" s="6"/>
      <c r="K5340" s="6"/>
      <c r="L5340" s="6"/>
      <c r="M5340" s="6"/>
      <c r="N5340" s="6"/>
      <c r="O5340" s="6"/>
      <c r="P5340" s="6"/>
      <c r="Q5340" s="6"/>
      <c r="R5340" s="6"/>
      <c r="S5340" s="6"/>
      <c r="T5340" s="6"/>
      <c r="U5340" s="6"/>
      <c r="V5340" s="6"/>
      <c r="W5340" s="6"/>
      <c r="X5340" s="6"/>
      <c r="Y5340" s="6"/>
      <c r="Z5340" s="6"/>
      <c r="AA5340" s="6"/>
    </row>
    <row r="5341" ht="14.25">
      <c r="B5341" s="14" t="s">
        <v>35122</v>
      </c>
      <c r="C5341" s="4" t="s">
        <v>35123</v>
      </c>
      <c r="D5341" s="4" t="s">
        <v>35124</v>
      </c>
      <c r="E5341" s="4" t="s">
        <v>35125</v>
      </c>
      <c r="F5341" s="4" t="s">
        <v>2372</v>
      </c>
      <c r="G5341" s="4" t="s">
        <v>35126</v>
      </c>
      <c r="H5341" s="6"/>
      <c r="I5341" s="6"/>
      <c r="J5341" s="6"/>
      <c r="K5341" s="6"/>
      <c r="L5341" s="6"/>
      <c r="M5341" s="6"/>
      <c r="N5341" s="6"/>
      <c r="O5341" s="6"/>
      <c r="P5341" s="6"/>
      <c r="Q5341" s="6"/>
      <c r="R5341" s="6"/>
      <c r="S5341" s="6"/>
      <c r="T5341" s="6"/>
      <c r="U5341" s="6"/>
      <c r="V5341" s="6"/>
      <c r="W5341" s="6"/>
      <c r="X5341" s="6"/>
      <c r="Y5341" s="6"/>
      <c r="Z5341" s="6"/>
      <c r="AA5341" s="6"/>
    </row>
    <row r="5342" ht="14.25">
      <c r="B5342" s="14" t="s">
        <v>35122</v>
      </c>
      <c r="C5342" s="4" t="s">
        <v>35123</v>
      </c>
      <c r="D5342" s="4" t="s">
        <v>35127</v>
      </c>
      <c r="E5342" s="4" t="s">
        <v>35125</v>
      </c>
      <c r="F5342" s="4" t="s">
        <v>222</v>
      </c>
      <c r="G5342" s="4" t="s">
        <v>33640</v>
      </c>
      <c r="H5342" s="6"/>
      <c r="I5342" s="6"/>
      <c r="J5342" s="6"/>
      <c r="K5342" s="6"/>
      <c r="L5342" s="6"/>
      <c r="M5342" s="6"/>
      <c r="N5342" s="6"/>
      <c r="O5342" s="6"/>
      <c r="P5342" s="6"/>
      <c r="Q5342" s="6"/>
      <c r="R5342" s="6"/>
      <c r="S5342" s="6"/>
      <c r="T5342" s="6"/>
      <c r="U5342" s="6"/>
      <c r="V5342" s="6"/>
      <c r="W5342" s="6"/>
      <c r="X5342" s="6"/>
      <c r="Y5342" s="6"/>
      <c r="Z5342" s="6"/>
      <c r="AA5342" s="6"/>
    </row>
    <row r="5343" ht="14.25">
      <c r="B5343" s="14" t="s">
        <v>35128</v>
      </c>
      <c r="C5343" s="4" t="s">
        <v>35129</v>
      </c>
      <c r="D5343" s="4" t="s">
        <v>35130</v>
      </c>
      <c r="E5343" s="4" t="s">
        <v>35131</v>
      </c>
      <c r="F5343" s="4" t="s">
        <v>743</v>
      </c>
      <c r="G5343" s="4" t="s">
        <v>35132</v>
      </c>
      <c r="H5343" s="6"/>
      <c r="I5343" s="6"/>
      <c r="J5343" s="6"/>
      <c r="K5343" s="6"/>
      <c r="L5343" s="6"/>
      <c r="M5343" s="6"/>
      <c r="N5343" s="6"/>
      <c r="O5343" s="6"/>
      <c r="P5343" s="6"/>
      <c r="Q5343" s="6"/>
      <c r="R5343" s="6"/>
      <c r="S5343" s="6"/>
      <c r="T5343" s="6"/>
      <c r="U5343" s="6"/>
      <c r="V5343" s="6"/>
      <c r="W5343" s="6"/>
      <c r="X5343" s="6"/>
      <c r="Y5343" s="6"/>
      <c r="Z5343" s="6"/>
      <c r="AA5343" s="6"/>
    </row>
    <row r="5344" ht="14.25">
      <c r="B5344" s="14" t="s">
        <v>35128</v>
      </c>
      <c r="C5344" s="4" t="s">
        <v>35129</v>
      </c>
      <c r="D5344" s="4" t="s">
        <v>35131</v>
      </c>
      <c r="E5344" s="6"/>
      <c r="F5344" s="4" t="s">
        <v>986</v>
      </c>
      <c r="G5344" s="4" t="s">
        <v>35133</v>
      </c>
      <c r="H5344" s="6"/>
      <c r="I5344" s="6"/>
      <c r="J5344" s="6"/>
      <c r="K5344" s="6"/>
      <c r="L5344" s="6"/>
      <c r="M5344" s="6"/>
      <c r="N5344" s="6"/>
      <c r="O5344" s="6"/>
      <c r="P5344" s="6"/>
      <c r="Q5344" s="6"/>
      <c r="R5344" s="6"/>
      <c r="S5344" s="6"/>
      <c r="T5344" s="6"/>
      <c r="U5344" s="6"/>
      <c r="V5344" s="6"/>
      <c r="W5344" s="6"/>
      <c r="X5344" s="6"/>
      <c r="Y5344" s="6"/>
      <c r="Z5344" s="6"/>
      <c r="AA5344" s="6"/>
    </row>
    <row r="5345" ht="14.25">
      <c r="B5345" s="14" t="s">
        <v>35134</v>
      </c>
      <c r="C5345" s="4" t="s">
        <v>35135</v>
      </c>
      <c r="D5345" s="4" t="s">
        <v>35136</v>
      </c>
      <c r="E5345" s="4" t="s">
        <v>35137</v>
      </c>
      <c r="F5345" s="4" t="s">
        <v>1732</v>
      </c>
      <c r="G5345" s="4" t="s">
        <v>35138</v>
      </c>
      <c r="H5345" s="6"/>
      <c r="I5345" s="6"/>
      <c r="J5345" s="6"/>
      <c r="K5345" s="6"/>
      <c r="L5345" s="6"/>
      <c r="M5345" s="6"/>
      <c r="N5345" s="6"/>
      <c r="O5345" s="6"/>
      <c r="P5345" s="6"/>
      <c r="Q5345" s="6"/>
      <c r="R5345" s="6"/>
      <c r="S5345" s="6"/>
      <c r="T5345" s="6"/>
      <c r="U5345" s="6"/>
      <c r="V5345" s="6"/>
      <c r="W5345" s="6"/>
      <c r="X5345" s="6"/>
      <c r="Y5345" s="6"/>
      <c r="Z5345" s="6"/>
      <c r="AA5345" s="6"/>
    </row>
    <row r="5346" ht="14.25">
      <c r="B5346" s="14" t="s">
        <v>35139</v>
      </c>
      <c r="C5346" s="4" t="s">
        <v>35140</v>
      </c>
      <c r="D5346" s="4" t="s">
        <v>35141</v>
      </c>
      <c r="E5346" s="4" t="s">
        <v>35142</v>
      </c>
      <c r="F5346" s="4" t="s">
        <v>1215</v>
      </c>
      <c r="G5346" s="4" t="s">
        <v>35143</v>
      </c>
      <c r="H5346" s="6"/>
      <c r="I5346" s="6"/>
      <c r="J5346" s="6"/>
      <c r="K5346" s="6"/>
      <c r="L5346" s="6"/>
      <c r="M5346" s="6"/>
      <c r="N5346" s="6"/>
      <c r="O5346" s="6"/>
      <c r="P5346" s="6"/>
      <c r="Q5346" s="6"/>
      <c r="R5346" s="6"/>
      <c r="S5346" s="6"/>
      <c r="T5346" s="6"/>
      <c r="U5346" s="6"/>
      <c r="V5346" s="6"/>
      <c r="W5346" s="6"/>
      <c r="X5346" s="6"/>
      <c r="Y5346" s="6"/>
      <c r="Z5346" s="6"/>
      <c r="AA5346" s="6"/>
    </row>
    <row r="5347" ht="14.25">
      <c r="B5347" s="14" t="s">
        <v>35144</v>
      </c>
      <c r="C5347" s="4" t="s">
        <v>35145</v>
      </c>
      <c r="D5347" s="4" t="s">
        <v>35146</v>
      </c>
      <c r="E5347" s="4" t="s">
        <v>35147</v>
      </c>
      <c r="F5347" s="4" t="s">
        <v>32831</v>
      </c>
      <c r="G5347" s="4" t="s">
        <v>35148</v>
      </c>
      <c r="H5347" s="6"/>
      <c r="I5347" s="6"/>
      <c r="J5347" s="6"/>
      <c r="K5347" s="6"/>
      <c r="L5347" s="6"/>
      <c r="M5347" s="6"/>
      <c r="N5347" s="6"/>
      <c r="O5347" s="6"/>
      <c r="P5347" s="6"/>
      <c r="Q5347" s="6"/>
      <c r="R5347" s="6"/>
      <c r="S5347" s="6"/>
      <c r="T5347" s="6"/>
      <c r="U5347" s="6"/>
      <c r="V5347" s="6"/>
      <c r="W5347" s="6"/>
      <c r="X5347" s="6"/>
      <c r="Y5347" s="6"/>
      <c r="Z5347" s="6"/>
      <c r="AA5347" s="6"/>
    </row>
    <row r="5348" ht="14.25">
      <c r="B5348" s="14" t="s">
        <v>35149</v>
      </c>
      <c r="C5348" s="4" t="s">
        <v>35150</v>
      </c>
      <c r="D5348" s="4" t="s">
        <v>35151</v>
      </c>
      <c r="E5348" s="6"/>
      <c r="F5348" s="4" t="s">
        <v>6744</v>
      </c>
      <c r="G5348" s="4" t="s">
        <v>35152</v>
      </c>
      <c r="H5348" s="6"/>
      <c r="I5348" s="6"/>
      <c r="J5348" s="6"/>
      <c r="K5348" s="6"/>
      <c r="L5348" s="6"/>
      <c r="M5348" s="6"/>
      <c r="N5348" s="6"/>
      <c r="O5348" s="6"/>
      <c r="P5348" s="6"/>
      <c r="Q5348" s="6"/>
      <c r="R5348" s="6"/>
      <c r="S5348" s="6"/>
      <c r="T5348" s="6"/>
      <c r="U5348" s="6"/>
      <c r="V5348" s="6"/>
      <c r="W5348" s="6"/>
      <c r="X5348" s="6"/>
      <c r="Y5348" s="6"/>
      <c r="Z5348" s="6"/>
      <c r="AA5348" s="6"/>
    </row>
    <row r="5349" ht="14.25">
      <c r="B5349" s="14" t="s">
        <v>35153</v>
      </c>
      <c r="C5349" s="4" t="s">
        <v>35154</v>
      </c>
      <c r="D5349" s="4" t="s">
        <v>35155</v>
      </c>
      <c r="E5349" s="4" t="s">
        <v>35156</v>
      </c>
      <c r="F5349" s="4" t="s">
        <v>1215</v>
      </c>
      <c r="G5349" s="4" t="s">
        <v>35157</v>
      </c>
      <c r="H5349" s="6"/>
      <c r="I5349" s="6"/>
      <c r="J5349" s="6"/>
      <c r="K5349" s="6"/>
      <c r="L5349" s="6"/>
      <c r="M5349" s="6"/>
      <c r="N5349" s="6"/>
      <c r="O5349" s="6"/>
      <c r="P5349" s="6"/>
      <c r="Q5349" s="6"/>
      <c r="R5349" s="6"/>
      <c r="S5349" s="6"/>
      <c r="T5349" s="6"/>
      <c r="U5349" s="6"/>
      <c r="V5349" s="6"/>
      <c r="W5349" s="6"/>
      <c r="X5349" s="6"/>
      <c r="Y5349" s="6"/>
      <c r="Z5349" s="6"/>
      <c r="AA5349" s="6"/>
    </row>
    <row r="5350" ht="14.25">
      <c r="B5350" s="14" t="s">
        <v>35153</v>
      </c>
      <c r="C5350" s="4" t="s">
        <v>35154</v>
      </c>
      <c r="D5350" s="4" t="s">
        <v>35158</v>
      </c>
      <c r="E5350" s="4" t="s">
        <v>35156</v>
      </c>
      <c r="F5350" s="4" t="s">
        <v>8944</v>
      </c>
      <c r="G5350" s="4" t="s">
        <v>35159</v>
      </c>
      <c r="H5350" s="6"/>
      <c r="I5350" s="6"/>
      <c r="J5350" s="6"/>
      <c r="K5350" s="6"/>
      <c r="L5350" s="6"/>
      <c r="M5350" s="6"/>
      <c r="N5350" s="6"/>
      <c r="O5350" s="6"/>
      <c r="P5350" s="6"/>
      <c r="Q5350" s="6"/>
      <c r="R5350" s="6"/>
      <c r="S5350" s="6"/>
      <c r="T5350" s="6"/>
      <c r="U5350" s="6"/>
      <c r="V5350" s="6"/>
      <c r="W5350" s="6"/>
      <c r="X5350" s="6"/>
      <c r="Y5350" s="6"/>
      <c r="Z5350" s="6"/>
      <c r="AA5350" s="6"/>
    </row>
    <row r="5351" ht="14.25">
      <c r="B5351" s="14" t="s">
        <v>35153</v>
      </c>
      <c r="C5351" s="4" t="s">
        <v>35154</v>
      </c>
      <c r="D5351" s="4" t="s">
        <v>35160</v>
      </c>
      <c r="E5351" s="4" t="s">
        <v>35156</v>
      </c>
      <c r="F5351" s="4" t="s">
        <v>4177</v>
      </c>
      <c r="G5351" s="4" t="s">
        <v>35161</v>
      </c>
      <c r="H5351" s="6"/>
      <c r="I5351" s="6"/>
      <c r="J5351" s="6"/>
      <c r="K5351" s="6"/>
      <c r="L5351" s="6"/>
      <c r="M5351" s="6"/>
      <c r="N5351" s="6"/>
      <c r="O5351" s="6"/>
      <c r="P5351" s="6"/>
      <c r="Q5351" s="6"/>
      <c r="R5351" s="6"/>
      <c r="S5351" s="6"/>
      <c r="T5351" s="6"/>
      <c r="U5351" s="6"/>
      <c r="V5351" s="6"/>
      <c r="W5351" s="6"/>
      <c r="X5351" s="6"/>
      <c r="Y5351" s="6"/>
      <c r="Z5351" s="6"/>
      <c r="AA5351" s="6"/>
    </row>
    <row r="5352" ht="14.25">
      <c r="B5352" s="14" t="s">
        <v>35162</v>
      </c>
      <c r="C5352" s="4" t="s">
        <v>35163</v>
      </c>
      <c r="D5352" s="4" t="s">
        <v>35164</v>
      </c>
      <c r="E5352" s="4" t="s">
        <v>35165</v>
      </c>
      <c r="F5352" s="4" t="s">
        <v>110</v>
      </c>
      <c r="G5352" s="4" t="s">
        <v>35166</v>
      </c>
      <c r="H5352" s="6"/>
      <c r="I5352" s="6"/>
      <c r="J5352" s="6"/>
      <c r="K5352" s="6"/>
      <c r="L5352" s="6"/>
      <c r="M5352" s="6"/>
      <c r="N5352" s="6"/>
      <c r="O5352" s="6"/>
      <c r="P5352" s="6"/>
      <c r="Q5352" s="6"/>
      <c r="R5352" s="6"/>
      <c r="S5352" s="6"/>
      <c r="T5352" s="6"/>
      <c r="U5352" s="6"/>
      <c r="V5352" s="6"/>
      <c r="W5352" s="6"/>
      <c r="X5352" s="6"/>
      <c r="Y5352" s="6"/>
      <c r="Z5352" s="6"/>
      <c r="AA5352" s="6"/>
    </row>
    <row r="5353" ht="14.25">
      <c r="B5353" s="14" t="s">
        <v>35162</v>
      </c>
      <c r="C5353" s="4" t="s">
        <v>35163</v>
      </c>
      <c r="D5353" s="4" t="s">
        <v>35167</v>
      </c>
      <c r="E5353" s="4" t="s">
        <v>35165</v>
      </c>
      <c r="F5353" s="4" t="s">
        <v>6356</v>
      </c>
      <c r="G5353" s="4" t="s">
        <v>35168</v>
      </c>
      <c r="H5353" s="6"/>
      <c r="I5353" s="6"/>
      <c r="J5353" s="6"/>
      <c r="K5353" s="6"/>
      <c r="L5353" s="6"/>
      <c r="M5353" s="6"/>
      <c r="N5353" s="6"/>
      <c r="O5353" s="6"/>
      <c r="P5353" s="6"/>
      <c r="Q5353" s="6"/>
      <c r="R5353" s="6"/>
      <c r="S5353" s="6"/>
      <c r="T5353" s="6"/>
      <c r="U5353" s="6"/>
      <c r="V5353" s="6"/>
      <c r="W5353" s="6"/>
      <c r="X5353" s="6"/>
      <c r="Y5353" s="6"/>
      <c r="Z5353" s="6"/>
      <c r="AA5353" s="6"/>
    </row>
    <row r="5354" ht="14.25">
      <c r="B5354" s="14" t="s">
        <v>35162</v>
      </c>
      <c r="C5354" s="4" t="s">
        <v>35169</v>
      </c>
      <c r="D5354" s="4" t="s">
        <v>35170</v>
      </c>
      <c r="E5354" s="4" t="s">
        <v>35171</v>
      </c>
      <c r="F5354" s="4" t="s">
        <v>32622</v>
      </c>
      <c r="G5354" s="4" t="s">
        <v>35172</v>
      </c>
      <c r="H5354" s="6"/>
      <c r="I5354" s="6"/>
      <c r="J5354" s="6"/>
      <c r="K5354" s="6"/>
      <c r="L5354" s="6"/>
      <c r="M5354" s="6"/>
      <c r="N5354" s="6"/>
      <c r="O5354" s="6"/>
      <c r="P5354" s="6"/>
      <c r="Q5354" s="6"/>
      <c r="R5354" s="6"/>
      <c r="S5354" s="6"/>
      <c r="T5354" s="6"/>
      <c r="U5354" s="6"/>
      <c r="V5354" s="6"/>
      <c r="W5354" s="6"/>
      <c r="X5354" s="6"/>
      <c r="Y5354" s="6"/>
      <c r="Z5354" s="6"/>
      <c r="AA5354" s="6"/>
    </row>
    <row r="5355" ht="14.25">
      <c r="B5355" s="14" t="s">
        <v>35162</v>
      </c>
      <c r="C5355" s="4" t="s">
        <v>35163</v>
      </c>
      <c r="D5355" s="4" t="s">
        <v>35173</v>
      </c>
      <c r="E5355" s="4" t="s">
        <v>35165</v>
      </c>
      <c r="F5355" s="4" t="s">
        <v>170</v>
      </c>
      <c r="G5355" s="4" t="s">
        <v>35174</v>
      </c>
      <c r="H5355" s="6"/>
      <c r="I5355" s="6"/>
      <c r="J5355" s="6"/>
      <c r="K5355" s="6"/>
      <c r="L5355" s="6"/>
      <c r="M5355" s="6"/>
      <c r="N5355" s="6"/>
      <c r="O5355" s="6"/>
      <c r="P5355" s="6"/>
      <c r="Q5355" s="6"/>
      <c r="R5355" s="6"/>
      <c r="S5355" s="6"/>
      <c r="T5355" s="6"/>
      <c r="U5355" s="6"/>
      <c r="V5355" s="6"/>
      <c r="W5355" s="6"/>
      <c r="X5355" s="6"/>
      <c r="Y5355" s="6"/>
      <c r="Z5355" s="6"/>
      <c r="AA5355" s="6"/>
    </row>
    <row r="5356" ht="14.25">
      <c r="B5356" s="14" t="s">
        <v>35162</v>
      </c>
      <c r="C5356" s="4" t="s">
        <v>35175</v>
      </c>
      <c r="D5356" s="4" t="s">
        <v>35176</v>
      </c>
      <c r="E5356" s="4" t="s">
        <v>35177</v>
      </c>
      <c r="F5356" s="4" t="s">
        <v>222</v>
      </c>
      <c r="G5356" s="4" t="s">
        <v>35178</v>
      </c>
      <c r="H5356" s="6"/>
      <c r="I5356" s="6"/>
      <c r="J5356" s="6"/>
      <c r="K5356" s="6"/>
      <c r="L5356" s="6"/>
      <c r="M5356" s="6"/>
      <c r="N5356" s="6"/>
      <c r="O5356" s="6"/>
      <c r="P5356" s="6"/>
      <c r="Q5356" s="6"/>
      <c r="R5356" s="6"/>
      <c r="S5356" s="6"/>
      <c r="T5356" s="6"/>
      <c r="U5356" s="6"/>
      <c r="V5356" s="6"/>
      <c r="W5356" s="6"/>
      <c r="X5356" s="6"/>
      <c r="Y5356" s="6"/>
      <c r="Z5356" s="6"/>
      <c r="AA5356" s="6"/>
    </row>
    <row r="5357" ht="14.25">
      <c r="B5357" s="14" t="s">
        <v>35162</v>
      </c>
      <c r="C5357" s="4" t="s">
        <v>35163</v>
      </c>
      <c r="D5357" s="4" t="s">
        <v>35179</v>
      </c>
      <c r="E5357" s="4" t="s">
        <v>35165</v>
      </c>
      <c r="F5357" s="4" t="s">
        <v>32725</v>
      </c>
      <c r="G5357" s="4" t="s">
        <v>35180</v>
      </c>
      <c r="H5357" s="6"/>
      <c r="I5357" s="6"/>
      <c r="J5357" s="6"/>
      <c r="K5357" s="6"/>
      <c r="L5357" s="6"/>
      <c r="M5357" s="6"/>
      <c r="N5357" s="6"/>
      <c r="O5357" s="6"/>
      <c r="P5357" s="6"/>
      <c r="Q5357" s="6"/>
      <c r="R5357" s="6"/>
      <c r="S5357" s="6"/>
      <c r="T5357" s="6"/>
      <c r="U5357" s="6"/>
      <c r="V5357" s="6"/>
      <c r="W5357" s="6"/>
      <c r="X5357" s="6"/>
      <c r="Y5357" s="6"/>
      <c r="Z5357" s="6"/>
      <c r="AA5357" s="6"/>
    </row>
    <row r="5358" ht="14.25">
      <c r="B5358" s="14" t="s">
        <v>35181</v>
      </c>
      <c r="C5358" s="4" t="s">
        <v>35182</v>
      </c>
      <c r="D5358" s="4" t="s">
        <v>35183</v>
      </c>
      <c r="E5358" s="4" t="s">
        <v>35184</v>
      </c>
      <c r="F5358" s="4" t="s">
        <v>35185</v>
      </c>
      <c r="G5358" s="4" t="s">
        <v>35186</v>
      </c>
      <c r="H5358" s="6"/>
      <c r="I5358" s="6"/>
      <c r="J5358" s="6"/>
      <c r="K5358" s="6"/>
      <c r="L5358" s="6"/>
      <c r="M5358" s="6"/>
      <c r="N5358" s="6"/>
      <c r="O5358" s="6"/>
      <c r="P5358" s="6"/>
      <c r="Q5358" s="6"/>
      <c r="R5358" s="6"/>
      <c r="S5358" s="6"/>
      <c r="T5358" s="6"/>
      <c r="U5358" s="6"/>
      <c r="V5358" s="6"/>
      <c r="W5358" s="6"/>
      <c r="X5358" s="6"/>
      <c r="Y5358" s="6"/>
      <c r="Z5358" s="6"/>
      <c r="AA5358" s="6"/>
    </row>
    <row r="5359" ht="14.25">
      <c r="B5359" s="14" t="s">
        <v>35181</v>
      </c>
      <c r="C5359" s="4" t="s">
        <v>35187</v>
      </c>
      <c r="D5359" s="4" t="s">
        <v>35188</v>
      </c>
      <c r="E5359" s="4" t="s">
        <v>35189</v>
      </c>
      <c r="F5359" s="4" t="s">
        <v>1215</v>
      </c>
      <c r="G5359" s="4" t="s">
        <v>35190</v>
      </c>
      <c r="H5359" s="6"/>
      <c r="I5359" s="6"/>
      <c r="J5359" s="6"/>
      <c r="K5359" s="6"/>
      <c r="L5359" s="6"/>
      <c r="M5359" s="6"/>
      <c r="N5359" s="6"/>
      <c r="O5359" s="6"/>
      <c r="P5359" s="6"/>
      <c r="Q5359" s="6"/>
      <c r="R5359" s="6"/>
      <c r="S5359" s="6"/>
      <c r="T5359" s="6"/>
      <c r="U5359" s="6"/>
      <c r="V5359" s="6"/>
      <c r="W5359" s="6"/>
      <c r="X5359" s="6"/>
      <c r="Y5359" s="6"/>
      <c r="Z5359" s="6"/>
      <c r="AA5359" s="6"/>
    </row>
    <row r="5360" ht="14.25">
      <c r="B5360" s="14" t="s">
        <v>35181</v>
      </c>
      <c r="C5360" s="4" t="s">
        <v>35187</v>
      </c>
      <c r="D5360" s="4" t="s">
        <v>35191</v>
      </c>
      <c r="E5360" s="4" t="s">
        <v>35189</v>
      </c>
      <c r="F5360" s="4" t="s">
        <v>6634</v>
      </c>
      <c r="G5360" s="4" t="s">
        <v>35192</v>
      </c>
      <c r="H5360" s="6"/>
      <c r="I5360" s="6"/>
      <c r="J5360" s="6"/>
      <c r="K5360" s="6"/>
      <c r="L5360" s="6"/>
      <c r="M5360" s="6"/>
      <c r="N5360" s="6"/>
      <c r="O5360" s="6"/>
      <c r="P5360" s="6"/>
      <c r="Q5360" s="6"/>
      <c r="R5360" s="6"/>
      <c r="S5360" s="6"/>
      <c r="T5360" s="6"/>
      <c r="U5360" s="6"/>
      <c r="V5360" s="6"/>
      <c r="W5360" s="6"/>
      <c r="X5360" s="6"/>
      <c r="Y5360" s="6"/>
      <c r="Z5360" s="6"/>
      <c r="AA5360" s="6"/>
    </row>
    <row r="5361" ht="14.25">
      <c r="B5361" s="14" t="s">
        <v>35193</v>
      </c>
      <c r="C5361" s="4" t="s">
        <v>35194</v>
      </c>
      <c r="D5361" s="4" t="s">
        <v>35195</v>
      </c>
      <c r="E5361" s="6"/>
      <c r="F5361" s="4" t="s">
        <v>670</v>
      </c>
      <c r="G5361" s="4" t="s">
        <v>35196</v>
      </c>
      <c r="H5361" s="6"/>
      <c r="I5361" s="6"/>
      <c r="J5361" s="6"/>
      <c r="K5361" s="6"/>
      <c r="L5361" s="6"/>
      <c r="M5361" s="6"/>
      <c r="N5361" s="6"/>
      <c r="O5361" s="6"/>
      <c r="P5361" s="6"/>
      <c r="Q5361" s="6"/>
      <c r="R5361" s="6"/>
      <c r="S5361" s="6"/>
      <c r="T5361" s="6"/>
      <c r="U5361" s="6"/>
      <c r="V5361" s="6"/>
      <c r="W5361" s="6"/>
      <c r="X5361" s="6"/>
      <c r="Y5361" s="6"/>
      <c r="Z5361" s="6"/>
      <c r="AA5361" s="6"/>
    </row>
    <row r="5362" ht="14.25">
      <c r="B5362" s="14" t="s">
        <v>35197</v>
      </c>
      <c r="C5362" s="4" t="s">
        <v>35198</v>
      </c>
      <c r="D5362" s="4" t="s">
        <v>35199</v>
      </c>
      <c r="E5362" s="4" t="s">
        <v>35200</v>
      </c>
      <c r="F5362" s="4" t="s">
        <v>1667</v>
      </c>
      <c r="G5362" s="4" t="s">
        <v>35201</v>
      </c>
      <c r="H5362" s="6"/>
      <c r="I5362" s="6"/>
      <c r="J5362" s="6"/>
      <c r="K5362" s="6"/>
      <c r="L5362" s="6"/>
      <c r="M5362" s="6"/>
      <c r="N5362" s="6"/>
      <c r="O5362" s="6"/>
      <c r="P5362" s="6"/>
      <c r="Q5362" s="6"/>
      <c r="R5362" s="6"/>
      <c r="S5362" s="6"/>
      <c r="T5362" s="6"/>
      <c r="U5362" s="6"/>
      <c r="V5362" s="6"/>
      <c r="W5362" s="6"/>
      <c r="X5362" s="6"/>
      <c r="Y5362" s="6"/>
      <c r="Z5362" s="6"/>
      <c r="AA5362" s="6"/>
    </row>
    <row r="5363" ht="14.25">
      <c r="B5363" s="14" t="s">
        <v>35197</v>
      </c>
      <c r="C5363" s="4" t="s">
        <v>35198</v>
      </c>
      <c r="D5363" s="4" t="s">
        <v>35202</v>
      </c>
      <c r="E5363" s="4" t="s">
        <v>35200</v>
      </c>
      <c r="F5363" s="4" t="s">
        <v>5716</v>
      </c>
      <c r="G5363" s="4" t="s">
        <v>35203</v>
      </c>
      <c r="H5363" s="6"/>
      <c r="I5363" s="6"/>
      <c r="J5363" s="6"/>
      <c r="K5363" s="6"/>
      <c r="L5363" s="6"/>
      <c r="M5363" s="6"/>
      <c r="N5363" s="6"/>
      <c r="O5363" s="6"/>
      <c r="P5363" s="6"/>
      <c r="Q5363" s="6"/>
      <c r="R5363" s="6"/>
      <c r="S5363" s="6"/>
      <c r="T5363" s="6"/>
      <c r="U5363" s="6"/>
      <c r="V5363" s="6"/>
      <c r="W5363" s="6"/>
      <c r="X5363" s="6"/>
      <c r="Y5363" s="6"/>
      <c r="Z5363" s="6"/>
      <c r="AA5363" s="6"/>
    </row>
    <row r="5364" ht="14.25">
      <c r="B5364" s="14" t="s">
        <v>35197</v>
      </c>
      <c r="C5364" s="4" t="s">
        <v>35198</v>
      </c>
      <c r="D5364" s="4" t="s">
        <v>35204</v>
      </c>
      <c r="E5364" s="4" t="s">
        <v>35200</v>
      </c>
      <c r="F5364" s="4" t="s">
        <v>1619</v>
      </c>
      <c r="G5364" s="4" t="s">
        <v>35205</v>
      </c>
      <c r="H5364" s="6"/>
      <c r="I5364" s="6"/>
      <c r="J5364" s="6"/>
      <c r="K5364" s="6"/>
      <c r="L5364" s="6"/>
      <c r="M5364" s="6"/>
      <c r="N5364" s="6"/>
      <c r="O5364" s="6"/>
      <c r="P5364" s="6"/>
      <c r="Q5364" s="6"/>
      <c r="R5364" s="6"/>
      <c r="S5364" s="6"/>
      <c r="T5364" s="6"/>
      <c r="U5364" s="6"/>
      <c r="V5364" s="6"/>
      <c r="W5364" s="6"/>
      <c r="X5364" s="6"/>
      <c r="Y5364" s="6"/>
      <c r="Z5364" s="6"/>
      <c r="AA5364" s="6"/>
    </row>
    <row r="5365" ht="14.25">
      <c r="B5365" s="14" t="s">
        <v>35197</v>
      </c>
      <c r="C5365" s="4" t="s">
        <v>35198</v>
      </c>
      <c r="D5365" s="4" t="s">
        <v>35206</v>
      </c>
      <c r="E5365" s="4" t="s">
        <v>35200</v>
      </c>
      <c r="F5365" s="4" t="s">
        <v>485</v>
      </c>
      <c r="G5365" s="4" t="s">
        <v>34625</v>
      </c>
      <c r="H5365" s="6"/>
      <c r="I5365" s="6"/>
      <c r="J5365" s="6"/>
      <c r="K5365" s="6"/>
      <c r="L5365" s="6"/>
      <c r="M5365" s="6"/>
      <c r="N5365" s="6"/>
      <c r="O5365" s="6"/>
      <c r="P5365" s="6"/>
      <c r="Q5365" s="6"/>
      <c r="R5365" s="6"/>
      <c r="S5365" s="6"/>
      <c r="T5365" s="6"/>
      <c r="U5365" s="6"/>
      <c r="V5365" s="6"/>
      <c r="W5365" s="6"/>
      <c r="X5365" s="6"/>
      <c r="Y5365" s="6"/>
      <c r="Z5365" s="6"/>
      <c r="AA5365" s="6"/>
    </row>
    <row r="5366" ht="14.25">
      <c r="B5366" s="14" t="s">
        <v>35207</v>
      </c>
      <c r="C5366" s="4" t="s">
        <v>35208</v>
      </c>
      <c r="D5366" s="4" t="s">
        <v>35209</v>
      </c>
      <c r="E5366" s="4" t="s">
        <v>35210</v>
      </c>
      <c r="F5366" s="4" t="s">
        <v>330</v>
      </c>
      <c r="G5366" s="4" t="s">
        <v>35211</v>
      </c>
      <c r="H5366" s="6"/>
      <c r="I5366" s="6"/>
      <c r="J5366" s="6"/>
      <c r="K5366" s="6"/>
      <c r="L5366" s="6"/>
      <c r="M5366" s="6"/>
      <c r="N5366" s="6"/>
      <c r="O5366" s="6"/>
      <c r="P5366" s="6"/>
      <c r="Q5366" s="6"/>
      <c r="R5366" s="6"/>
      <c r="S5366" s="6"/>
      <c r="T5366" s="6"/>
      <c r="U5366" s="6"/>
      <c r="V5366" s="6"/>
      <c r="W5366" s="6"/>
      <c r="X5366" s="6"/>
      <c r="Y5366" s="6"/>
      <c r="Z5366" s="6"/>
      <c r="AA5366" s="6"/>
    </row>
    <row r="5367" ht="14.25">
      <c r="B5367" s="14" t="s">
        <v>35212</v>
      </c>
      <c r="C5367" s="4" t="s">
        <v>35213</v>
      </c>
      <c r="D5367" s="4" t="s">
        <v>35214</v>
      </c>
      <c r="E5367" s="4" t="s">
        <v>35215</v>
      </c>
      <c r="F5367" s="4" t="s">
        <v>6243</v>
      </c>
      <c r="G5367" s="4" t="s">
        <v>35216</v>
      </c>
      <c r="H5367" s="6"/>
      <c r="I5367" s="6"/>
      <c r="J5367" s="6"/>
      <c r="K5367" s="6"/>
      <c r="L5367" s="6"/>
      <c r="M5367" s="6"/>
      <c r="N5367" s="6"/>
      <c r="O5367" s="6"/>
      <c r="P5367" s="6"/>
      <c r="Q5367" s="6"/>
      <c r="R5367" s="6"/>
      <c r="S5367" s="6"/>
      <c r="T5367" s="6"/>
      <c r="U5367" s="6"/>
      <c r="V5367" s="6"/>
      <c r="W5367" s="6"/>
      <c r="X5367" s="6"/>
      <c r="Y5367" s="6"/>
      <c r="Z5367" s="6"/>
      <c r="AA5367" s="6"/>
    </row>
    <row r="5368" ht="14.25">
      <c r="B5368" s="14" t="s">
        <v>35217</v>
      </c>
      <c r="C5368" s="4" t="s">
        <v>35218</v>
      </c>
      <c r="D5368" s="4" t="s">
        <v>35219</v>
      </c>
      <c r="E5368" s="4" t="s">
        <v>35220</v>
      </c>
      <c r="F5368" s="4" t="s">
        <v>6945</v>
      </c>
      <c r="G5368" s="4" t="s">
        <v>35221</v>
      </c>
      <c r="H5368" s="6"/>
      <c r="I5368" s="6"/>
      <c r="J5368" s="6"/>
      <c r="K5368" s="6"/>
      <c r="L5368" s="6"/>
      <c r="M5368" s="6"/>
      <c r="N5368" s="6"/>
      <c r="O5368" s="6"/>
      <c r="P5368" s="6"/>
      <c r="Q5368" s="6"/>
      <c r="R5368" s="6"/>
      <c r="S5368" s="6"/>
      <c r="T5368" s="6"/>
      <c r="U5368" s="6"/>
      <c r="V5368" s="6"/>
      <c r="W5368" s="6"/>
      <c r="X5368" s="6"/>
      <c r="Y5368" s="6"/>
      <c r="Z5368" s="6"/>
      <c r="AA5368" s="6"/>
    </row>
    <row r="5369" ht="14.25">
      <c r="B5369" s="14" t="s">
        <v>35217</v>
      </c>
      <c r="C5369" s="4" t="s">
        <v>35218</v>
      </c>
      <c r="D5369" s="4" t="s">
        <v>35222</v>
      </c>
      <c r="E5369" s="4" t="s">
        <v>35220</v>
      </c>
      <c r="F5369" s="4" t="s">
        <v>1215</v>
      </c>
      <c r="G5369" s="4" t="s">
        <v>35223</v>
      </c>
      <c r="H5369" s="6"/>
      <c r="I5369" s="6"/>
      <c r="J5369" s="6"/>
      <c r="K5369" s="6"/>
      <c r="L5369" s="6"/>
      <c r="M5369" s="6"/>
      <c r="N5369" s="6"/>
      <c r="O5369" s="6"/>
      <c r="P5369" s="6"/>
      <c r="Q5369" s="6"/>
      <c r="R5369" s="6"/>
      <c r="S5369" s="6"/>
      <c r="T5369" s="6"/>
      <c r="U5369" s="6"/>
      <c r="V5369" s="6"/>
      <c r="W5369" s="6"/>
      <c r="X5369" s="6"/>
      <c r="Y5369" s="6"/>
      <c r="Z5369" s="6"/>
      <c r="AA5369" s="6"/>
    </row>
    <row r="5370" ht="14.25">
      <c r="B5370" s="14" t="s">
        <v>35217</v>
      </c>
      <c r="C5370" s="4" t="s">
        <v>35224</v>
      </c>
      <c r="D5370" s="4" t="s">
        <v>35225</v>
      </c>
      <c r="E5370" s="4" t="s">
        <v>35226</v>
      </c>
      <c r="F5370" s="4" t="s">
        <v>35227</v>
      </c>
      <c r="G5370" s="4" t="s">
        <v>35228</v>
      </c>
      <c r="H5370" s="6"/>
      <c r="I5370" s="6"/>
      <c r="J5370" s="6"/>
      <c r="K5370" s="6"/>
      <c r="L5370" s="6"/>
      <c r="M5370" s="6"/>
      <c r="N5370" s="6"/>
      <c r="O5370" s="6"/>
      <c r="P5370" s="6"/>
      <c r="Q5370" s="6"/>
      <c r="R5370" s="6"/>
      <c r="S5370" s="6"/>
      <c r="T5370" s="6"/>
      <c r="U5370" s="6"/>
      <c r="V5370" s="6"/>
      <c r="W5370" s="6"/>
      <c r="X5370" s="6"/>
      <c r="Y5370" s="6"/>
      <c r="Z5370" s="6"/>
      <c r="AA5370" s="6"/>
    </row>
    <row r="5371" ht="14.25">
      <c r="B5371" s="14" t="s">
        <v>35217</v>
      </c>
      <c r="C5371" s="4" t="s">
        <v>35224</v>
      </c>
      <c r="D5371" s="4" t="s">
        <v>35229</v>
      </c>
      <c r="E5371" s="4" t="s">
        <v>35226</v>
      </c>
      <c r="F5371" s="4" t="s">
        <v>32616</v>
      </c>
      <c r="G5371" s="4" t="s">
        <v>35230</v>
      </c>
      <c r="H5371" s="6"/>
      <c r="I5371" s="6"/>
      <c r="J5371" s="6"/>
      <c r="K5371" s="6"/>
      <c r="L5371" s="6"/>
      <c r="M5371" s="6"/>
      <c r="N5371" s="6"/>
      <c r="O5371" s="6"/>
      <c r="P5371" s="6"/>
      <c r="Q5371" s="6"/>
      <c r="R5371" s="6"/>
      <c r="S5371" s="6"/>
      <c r="T5371" s="6"/>
      <c r="U5371" s="6"/>
      <c r="V5371" s="6"/>
      <c r="W5371" s="6"/>
      <c r="X5371" s="6"/>
      <c r="Y5371" s="6"/>
      <c r="Z5371" s="6"/>
      <c r="AA5371" s="6"/>
    </row>
    <row r="5372" ht="14.25">
      <c r="B5372" s="14" t="s">
        <v>35217</v>
      </c>
      <c r="C5372" s="4" t="s">
        <v>35224</v>
      </c>
      <c r="D5372" s="4" t="s">
        <v>35231</v>
      </c>
      <c r="E5372" s="4" t="s">
        <v>35226</v>
      </c>
      <c r="F5372" s="4" t="s">
        <v>110</v>
      </c>
      <c r="G5372" s="4" t="s">
        <v>35232</v>
      </c>
      <c r="H5372" s="6"/>
      <c r="I5372" s="6"/>
      <c r="J5372" s="6"/>
      <c r="K5372" s="6"/>
      <c r="L5372" s="6"/>
      <c r="M5372" s="6"/>
      <c r="N5372" s="6"/>
      <c r="O5372" s="6"/>
      <c r="P5372" s="6"/>
      <c r="Q5372" s="6"/>
      <c r="R5372" s="6"/>
      <c r="S5372" s="6"/>
      <c r="T5372" s="6"/>
      <c r="U5372" s="6"/>
      <c r="V5372" s="6"/>
      <c r="W5372" s="6"/>
      <c r="X5372" s="6"/>
      <c r="Y5372" s="6"/>
      <c r="Z5372" s="6"/>
      <c r="AA5372" s="6"/>
    </row>
    <row r="5373" ht="14.25">
      <c r="B5373" s="14" t="s">
        <v>35217</v>
      </c>
      <c r="C5373" s="4" t="s">
        <v>35224</v>
      </c>
      <c r="D5373" s="4" t="s">
        <v>35233</v>
      </c>
      <c r="E5373" s="4" t="s">
        <v>35226</v>
      </c>
      <c r="F5373" s="4" t="s">
        <v>7914</v>
      </c>
      <c r="G5373" s="4" t="s">
        <v>35234</v>
      </c>
      <c r="H5373" s="6"/>
      <c r="I5373" s="6"/>
      <c r="J5373" s="6"/>
      <c r="K5373" s="6"/>
      <c r="L5373" s="6"/>
      <c r="M5373" s="6"/>
      <c r="N5373" s="6"/>
      <c r="O5373" s="6"/>
      <c r="P5373" s="6"/>
      <c r="Q5373" s="6"/>
      <c r="R5373" s="6"/>
      <c r="S5373" s="6"/>
      <c r="T5373" s="6"/>
      <c r="U5373" s="6"/>
      <c r="V5373" s="6"/>
      <c r="W5373" s="6"/>
      <c r="X5373" s="6"/>
      <c r="Y5373" s="6"/>
      <c r="Z5373" s="6"/>
      <c r="AA5373" s="6"/>
    </row>
    <row r="5374" ht="14.25">
      <c r="B5374" s="14" t="s">
        <v>35235</v>
      </c>
      <c r="C5374" s="4" t="s">
        <v>35236</v>
      </c>
      <c r="D5374" s="4" t="s">
        <v>35237</v>
      </c>
      <c r="E5374" s="4" t="s">
        <v>35238</v>
      </c>
      <c r="F5374" s="4" t="s">
        <v>32622</v>
      </c>
      <c r="G5374" s="4" t="s">
        <v>35239</v>
      </c>
      <c r="H5374" s="6"/>
      <c r="I5374" s="6"/>
      <c r="J5374" s="6"/>
      <c r="K5374" s="6"/>
      <c r="L5374" s="6"/>
      <c r="M5374" s="6"/>
      <c r="N5374" s="6"/>
      <c r="O5374" s="6"/>
      <c r="P5374" s="6"/>
      <c r="Q5374" s="6"/>
      <c r="R5374" s="6"/>
      <c r="S5374" s="6"/>
      <c r="T5374" s="6"/>
      <c r="U5374" s="6"/>
      <c r="V5374" s="6"/>
      <c r="W5374" s="6"/>
      <c r="X5374" s="6"/>
      <c r="Y5374" s="6"/>
      <c r="Z5374" s="6"/>
      <c r="AA5374" s="6"/>
    </row>
    <row r="5375" ht="14.25">
      <c r="B5375" s="14" t="s">
        <v>35240</v>
      </c>
      <c r="C5375" s="4" t="s">
        <v>35241</v>
      </c>
      <c r="D5375" s="4" t="s">
        <v>35242</v>
      </c>
      <c r="E5375" s="4" t="s">
        <v>35243</v>
      </c>
      <c r="F5375" s="4" t="s">
        <v>35244</v>
      </c>
      <c r="G5375" s="4" t="s">
        <v>35245</v>
      </c>
      <c r="H5375" s="6"/>
      <c r="I5375" s="6"/>
      <c r="J5375" s="6"/>
      <c r="K5375" s="6"/>
      <c r="L5375" s="6"/>
      <c r="M5375" s="6"/>
      <c r="N5375" s="6"/>
      <c r="O5375" s="6"/>
      <c r="P5375" s="6"/>
      <c r="Q5375" s="6"/>
      <c r="R5375" s="6"/>
      <c r="S5375" s="6"/>
      <c r="T5375" s="6"/>
      <c r="U5375" s="6"/>
      <c r="V5375" s="6"/>
      <c r="W5375" s="6"/>
      <c r="X5375" s="6"/>
      <c r="Y5375" s="6"/>
      <c r="Z5375" s="6"/>
      <c r="AA5375" s="6"/>
    </row>
    <row r="5376" ht="14.25">
      <c r="B5376" s="14" t="s">
        <v>35246</v>
      </c>
      <c r="C5376" s="4" t="s">
        <v>35247</v>
      </c>
      <c r="D5376" s="4" t="s">
        <v>35248</v>
      </c>
      <c r="E5376" s="4" t="s">
        <v>35249</v>
      </c>
      <c r="F5376" s="4" t="s">
        <v>1732</v>
      </c>
      <c r="G5376" s="4" t="s">
        <v>35250</v>
      </c>
      <c r="H5376" s="6"/>
      <c r="I5376" s="6"/>
      <c r="J5376" s="6"/>
      <c r="K5376" s="6"/>
      <c r="L5376" s="6"/>
      <c r="M5376" s="6"/>
      <c r="N5376" s="6"/>
      <c r="O5376" s="6"/>
      <c r="P5376" s="6"/>
      <c r="Q5376" s="6"/>
      <c r="R5376" s="6"/>
      <c r="S5376" s="6"/>
      <c r="T5376" s="6"/>
      <c r="U5376" s="6"/>
      <c r="V5376" s="6"/>
      <c r="W5376" s="6"/>
      <c r="X5376" s="6"/>
      <c r="Y5376" s="6"/>
      <c r="Z5376" s="6"/>
      <c r="AA5376" s="6"/>
    </row>
    <row r="5377" ht="14.25">
      <c r="B5377" s="14" t="s">
        <v>35251</v>
      </c>
      <c r="C5377" s="4" t="s">
        <v>35252</v>
      </c>
      <c r="D5377" s="4" t="s">
        <v>35253</v>
      </c>
      <c r="E5377" s="4" t="s">
        <v>35254</v>
      </c>
      <c r="F5377" s="4" t="s">
        <v>2311</v>
      </c>
      <c r="G5377" s="4" t="s">
        <v>35255</v>
      </c>
      <c r="H5377" s="6"/>
      <c r="I5377" s="6"/>
      <c r="J5377" s="6"/>
      <c r="K5377" s="6"/>
      <c r="L5377" s="6"/>
      <c r="M5377" s="6"/>
      <c r="N5377" s="6"/>
      <c r="O5377" s="6"/>
      <c r="P5377" s="6"/>
      <c r="Q5377" s="6"/>
      <c r="R5377" s="6"/>
      <c r="S5377" s="6"/>
      <c r="T5377" s="6"/>
      <c r="U5377" s="6"/>
      <c r="V5377" s="6"/>
      <c r="W5377" s="6"/>
      <c r="X5377" s="6"/>
      <c r="Y5377" s="6"/>
      <c r="Z5377" s="6"/>
      <c r="AA5377" s="6"/>
    </row>
    <row r="5378" ht="14.25">
      <c r="B5378" s="14" t="s">
        <v>35251</v>
      </c>
      <c r="C5378" s="4" t="s">
        <v>35252</v>
      </c>
      <c r="D5378" s="4" t="s">
        <v>35256</v>
      </c>
      <c r="E5378" s="4" t="s">
        <v>35254</v>
      </c>
      <c r="F5378" s="4" t="s">
        <v>222</v>
      </c>
      <c r="G5378" s="4" t="s">
        <v>35257</v>
      </c>
      <c r="H5378" s="6"/>
      <c r="I5378" s="6"/>
      <c r="J5378" s="6"/>
      <c r="K5378" s="6"/>
      <c r="L5378" s="6"/>
      <c r="M5378" s="6"/>
      <c r="N5378" s="6"/>
      <c r="O5378" s="6"/>
      <c r="P5378" s="6"/>
      <c r="Q5378" s="6"/>
      <c r="R5378" s="6"/>
      <c r="S5378" s="6"/>
      <c r="T5378" s="6"/>
      <c r="U5378" s="6"/>
      <c r="V5378" s="6"/>
      <c r="W5378" s="6"/>
      <c r="X5378" s="6"/>
      <c r="Y5378" s="6"/>
      <c r="Z5378" s="6"/>
      <c r="AA5378" s="6"/>
    </row>
    <row r="5379" ht="14.25">
      <c r="B5379" s="14" t="s">
        <v>35251</v>
      </c>
      <c r="C5379" s="4" t="s">
        <v>35252</v>
      </c>
      <c r="D5379" s="4" t="s">
        <v>35258</v>
      </c>
      <c r="E5379" s="4" t="s">
        <v>35254</v>
      </c>
      <c r="F5379" s="4" t="s">
        <v>785</v>
      </c>
      <c r="G5379" s="4" t="s">
        <v>35180</v>
      </c>
      <c r="H5379" s="6"/>
      <c r="I5379" s="6"/>
      <c r="J5379" s="6"/>
      <c r="K5379" s="6"/>
      <c r="L5379" s="6"/>
      <c r="M5379" s="6"/>
      <c r="N5379" s="6"/>
      <c r="O5379" s="6"/>
      <c r="P5379" s="6"/>
      <c r="Q5379" s="6"/>
      <c r="R5379" s="6"/>
      <c r="S5379" s="6"/>
      <c r="T5379" s="6"/>
      <c r="U5379" s="6"/>
      <c r="V5379" s="6"/>
      <c r="W5379" s="6"/>
      <c r="X5379" s="6"/>
      <c r="Y5379" s="6"/>
      <c r="Z5379" s="6"/>
      <c r="AA5379" s="6"/>
    </row>
    <row r="5380" ht="14.25">
      <c r="B5380" s="14" t="s">
        <v>35251</v>
      </c>
      <c r="C5380" s="4" t="s">
        <v>35252</v>
      </c>
      <c r="D5380" s="4" t="s">
        <v>35259</v>
      </c>
      <c r="E5380" s="4" t="s">
        <v>35254</v>
      </c>
      <c r="F5380" s="4" t="s">
        <v>21744</v>
      </c>
      <c r="G5380" s="4" t="s">
        <v>35260</v>
      </c>
      <c r="H5380" s="6"/>
      <c r="I5380" s="6"/>
      <c r="J5380" s="6"/>
      <c r="K5380" s="6"/>
      <c r="L5380" s="6"/>
      <c r="M5380" s="6"/>
      <c r="N5380" s="6"/>
      <c r="O5380" s="6"/>
      <c r="P5380" s="6"/>
      <c r="Q5380" s="6"/>
      <c r="R5380" s="6"/>
      <c r="S5380" s="6"/>
      <c r="T5380" s="6"/>
      <c r="U5380" s="6"/>
      <c r="V5380" s="6"/>
      <c r="W5380" s="6"/>
      <c r="X5380" s="6"/>
      <c r="Y5380" s="6"/>
      <c r="Z5380" s="6"/>
      <c r="AA5380" s="6"/>
    </row>
    <row r="5381" ht="14.25">
      <c r="B5381" s="14" t="s">
        <v>35251</v>
      </c>
      <c r="C5381" s="4" t="s">
        <v>35252</v>
      </c>
      <c r="D5381" s="4" t="s">
        <v>35261</v>
      </c>
      <c r="E5381" s="4" t="s">
        <v>35254</v>
      </c>
      <c r="F5381" s="4" t="s">
        <v>33264</v>
      </c>
      <c r="G5381" s="4" t="s">
        <v>35262</v>
      </c>
      <c r="H5381" s="6"/>
      <c r="I5381" s="6"/>
      <c r="J5381" s="6"/>
      <c r="K5381" s="6"/>
      <c r="L5381" s="6"/>
      <c r="M5381" s="6"/>
      <c r="N5381" s="6"/>
      <c r="O5381" s="6"/>
      <c r="P5381" s="6"/>
      <c r="Q5381" s="6"/>
      <c r="R5381" s="6"/>
      <c r="S5381" s="6"/>
      <c r="T5381" s="6"/>
      <c r="U5381" s="6"/>
      <c r="V5381" s="6"/>
      <c r="W5381" s="6"/>
      <c r="X5381" s="6"/>
      <c r="Y5381" s="6"/>
      <c r="Z5381" s="6"/>
      <c r="AA5381" s="6"/>
    </row>
    <row r="5382" ht="14.25">
      <c r="B5382" s="14" t="s">
        <v>35251</v>
      </c>
      <c r="C5382" s="4" t="s">
        <v>35252</v>
      </c>
      <c r="D5382" s="4" t="s">
        <v>35263</v>
      </c>
      <c r="E5382" s="4" t="s">
        <v>35254</v>
      </c>
      <c r="F5382" s="4" t="s">
        <v>6788</v>
      </c>
      <c r="G5382" s="4" t="s">
        <v>34625</v>
      </c>
      <c r="H5382" s="6"/>
      <c r="I5382" s="6"/>
      <c r="J5382" s="6"/>
      <c r="K5382" s="6"/>
      <c r="L5382" s="6"/>
      <c r="M5382" s="6"/>
      <c r="N5382" s="6"/>
      <c r="O5382" s="6"/>
      <c r="P5382" s="6"/>
      <c r="Q5382" s="6"/>
      <c r="R5382" s="6"/>
      <c r="S5382" s="6"/>
      <c r="T5382" s="6"/>
      <c r="U5382" s="6"/>
      <c r="V5382" s="6"/>
      <c r="W5382" s="6"/>
      <c r="X5382" s="6"/>
      <c r="Y5382" s="6"/>
      <c r="Z5382" s="6"/>
      <c r="AA5382" s="6"/>
    </row>
    <row r="5383" ht="14.25">
      <c r="B5383" s="14" t="s">
        <v>35264</v>
      </c>
      <c r="C5383" s="4" t="s">
        <v>35265</v>
      </c>
      <c r="D5383" s="4" t="s">
        <v>35266</v>
      </c>
      <c r="E5383" s="4" t="s">
        <v>35267</v>
      </c>
      <c r="F5383" s="4" t="s">
        <v>2299</v>
      </c>
      <c r="G5383" s="4" t="s">
        <v>35268</v>
      </c>
      <c r="H5383" s="6"/>
      <c r="I5383" s="6"/>
      <c r="J5383" s="6"/>
      <c r="K5383" s="6"/>
      <c r="L5383" s="6"/>
      <c r="M5383" s="6"/>
      <c r="N5383" s="6"/>
      <c r="O5383" s="6"/>
      <c r="P5383" s="6"/>
      <c r="Q5383" s="6"/>
      <c r="R5383" s="6"/>
      <c r="S5383" s="6"/>
      <c r="T5383" s="6"/>
      <c r="U5383" s="6"/>
      <c r="V5383" s="6"/>
      <c r="W5383" s="6"/>
      <c r="X5383" s="6"/>
      <c r="Y5383" s="6"/>
      <c r="Z5383" s="6"/>
      <c r="AA5383" s="6"/>
    </row>
    <row r="5384" ht="14.25">
      <c r="B5384" s="14" t="s">
        <v>35264</v>
      </c>
      <c r="C5384" s="4" t="s">
        <v>35265</v>
      </c>
      <c r="D5384" s="4" t="s">
        <v>35269</v>
      </c>
      <c r="E5384" s="4" t="s">
        <v>35267</v>
      </c>
      <c r="F5384" s="4" t="s">
        <v>32563</v>
      </c>
      <c r="G5384" s="4" t="s">
        <v>35270</v>
      </c>
      <c r="H5384" s="6"/>
      <c r="I5384" s="6"/>
      <c r="J5384" s="6"/>
      <c r="K5384" s="6"/>
      <c r="L5384" s="6"/>
      <c r="M5384" s="6"/>
      <c r="N5384" s="6"/>
      <c r="O5384" s="6"/>
      <c r="P5384" s="6"/>
      <c r="Q5384" s="6"/>
      <c r="R5384" s="6"/>
      <c r="S5384" s="6"/>
      <c r="T5384" s="6"/>
      <c r="U5384" s="6"/>
      <c r="V5384" s="6"/>
      <c r="W5384" s="6"/>
      <c r="X5384" s="6"/>
      <c r="Y5384" s="6"/>
      <c r="Z5384" s="6"/>
      <c r="AA5384" s="6"/>
    </row>
    <row r="5385" ht="14.25">
      <c r="B5385" s="14" t="s">
        <v>35264</v>
      </c>
      <c r="C5385" s="4" t="s">
        <v>35265</v>
      </c>
      <c r="D5385" s="4" t="s">
        <v>35271</v>
      </c>
      <c r="E5385" s="4" t="s">
        <v>35267</v>
      </c>
      <c r="F5385" s="4" t="s">
        <v>710</v>
      </c>
      <c r="G5385" s="4" t="s">
        <v>35272</v>
      </c>
      <c r="H5385" s="6"/>
      <c r="I5385" s="6"/>
      <c r="J5385" s="6"/>
      <c r="K5385" s="6"/>
      <c r="L5385" s="6"/>
      <c r="M5385" s="6"/>
      <c r="N5385" s="6"/>
      <c r="O5385" s="6"/>
      <c r="P5385" s="6"/>
      <c r="Q5385" s="6"/>
      <c r="R5385" s="6"/>
      <c r="S5385" s="6"/>
      <c r="T5385" s="6"/>
      <c r="U5385" s="6"/>
      <c r="V5385" s="6"/>
      <c r="W5385" s="6"/>
      <c r="X5385" s="6"/>
      <c r="Y5385" s="6"/>
      <c r="Z5385" s="6"/>
      <c r="AA5385" s="6"/>
    </row>
    <row r="5386" ht="14.25">
      <c r="B5386" s="14" t="s">
        <v>35264</v>
      </c>
      <c r="C5386" s="4" t="s">
        <v>35273</v>
      </c>
      <c r="D5386" s="4" t="s">
        <v>35274</v>
      </c>
      <c r="E5386" s="4" t="s">
        <v>35275</v>
      </c>
      <c r="F5386" s="4" t="s">
        <v>5716</v>
      </c>
      <c r="G5386" s="4" t="s">
        <v>35276</v>
      </c>
      <c r="H5386" s="6"/>
      <c r="I5386" s="6"/>
      <c r="J5386" s="6"/>
      <c r="K5386" s="6"/>
      <c r="L5386" s="6"/>
      <c r="M5386" s="6"/>
      <c r="N5386" s="6"/>
      <c r="O5386" s="6"/>
      <c r="P5386" s="6"/>
      <c r="Q5386" s="6"/>
      <c r="R5386" s="6"/>
      <c r="S5386" s="6"/>
      <c r="T5386" s="6"/>
      <c r="U5386" s="6"/>
      <c r="V5386" s="6"/>
      <c r="W5386" s="6"/>
      <c r="X5386" s="6"/>
      <c r="Y5386" s="6"/>
      <c r="Z5386" s="6"/>
      <c r="AA5386" s="6"/>
    </row>
    <row r="5387" ht="14.25">
      <c r="B5387" s="14" t="s">
        <v>35277</v>
      </c>
      <c r="C5387" s="4" t="s">
        <v>35278</v>
      </c>
      <c r="D5387" s="4" t="s">
        <v>35279</v>
      </c>
      <c r="E5387" s="4" t="s">
        <v>35280</v>
      </c>
      <c r="F5387" s="4" t="s">
        <v>32622</v>
      </c>
      <c r="G5387" s="4" t="s">
        <v>35281</v>
      </c>
      <c r="H5387" s="6"/>
      <c r="I5387" s="6"/>
      <c r="J5387" s="6"/>
      <c r="K5387" s="6"/>
      <c r="L5387" s="6"/>
      <c r="M5387" s="6"/>
      <c r="N5387" s="6"/>
      <c r="O5387" s="6"/>
      <c r="P5387" s="6"/>
      <c r="Q5387" s="6"/>
      <c r="R5387" s="6"/>
      <c r="S5387" s="6"/>
      <c r="T5387" s="6"/>
      <c r="U5387" s="6"/>
      <c r="V5387" s="6"/>
      <c r="W5387" s="6"/>
      <c r="X5387" s="6"/>
      <c r="Y5387" s="6"/>
      <c r="Z5387" s="6"/>
      <c r="AA5387" s="6"/>
    </row>
    <row r="5388" ht="14.25">
      <c r="B5388" s="14" t="s">
        <v>35282</v>
      </c>
      <c r="C5388" s="4" t="s">
        <v>35283</v>
      </c>
      <c r="D5388" s="4" t="s">
        <v>35284</v>
      </c>
      <c r="E5388" s="6"/>
      <c r="F5388" s="4" t="s">
        <v>32787</v>
      </c>
      <c r="G5388" s="4" t="s">
        <v>35285</v>
      </c>
      <c r="H5388" s="6"/>
      <c r="I5388" s="6"/>
      <c r="J5388" s="6"/>
      <c r="K5388" s="6"/>
      <c r="L5388" s="6"/>
      <c r="M5388" s="6"/>
      <c r="N5388" s="6"/>
      <c r="O5388" s="6"/>
      <c r="P5388" s="6"/>
      <c r="Q5388" s="6"/>
      <c r="R5388" s="6"/>
      <c r="S5388" s="6"/>
      <c r="T5388" s="6"/>
      <c r="U5388" s="6"/>
      <c r="V5388" s="6"/>
      <c r="W5388" s="6"/>
      <c r="X5388" s="6"/>
      <c r="Y5388" s="6"/>
      <c r="Z5388" s="6"/>
      <c r="AA5388" s="6"/>
    </row>
    <row r="5389" ht="14.25">
      <c r="B5389" s="14" t="s">
        <v>35286</v>
      </c>
      <c r="C5389" s="4" t="s">
        <v>35287</v>
      </c>
      <c r="D5389" s="4" t="s">
        <v>35288</v>
      </c>
      <c r="E5389" s="6"/>
      <c r="F5389" s="4" t="s">
        <v>33264</v>
      </c>
      <c r="G5389" s="4" t="s">
        <v>35289</v>
      </c>
      <c r="H5389" s="6"/>
      <c r="I5389" s="6"/>
      <c r="J5389" s="6"/>
      <c r="K5389" s="6"/>
      <c r="L5389" s="6"/>
      <c r="M5389" s="6"/>
      <c r="N5389" s="6"/>
      <c r="O5389" s="6"/>
      <c r="P5389" s="6"/>
      <c r="Q5389" s="6"/>
      <c r="R5389" s="6"/>
      <c r="S5389" s="6"/>
      <c r="T5389" s="6"/>
      <c r="U5389" s="6"/>
      <c r="V5389" s="6"/>
      <c r="W5389" s="6"/>
      <c r="X5389" s="6"/>
      <c r="Y5389" s="6"/>
      <c r="Z5389" s="6"/>
      <c r="AA5389" s="6"/>
    </row>
    <row r="5390" ht="14.25">
      <c r="B5390" s="14" t="s">
        <v>35290</v>
      </c>
      <c r="C5390" s="4" t="s">
        <v>35291</v>
      </c>
      <c r="D5390" s="4" t="s">
        <v>35292</v>
      </c>
      <c r="E5390" s="6"/>
      <c r="F5390" s="4" t="s">
        <v>2508</v>
      </c>
      <c r="G5390" s="4" t="s">
        <v>35293</v>
      </c>
      <c r="H5390" s="6"/>
      <c r="I5390" s="6"/>
      <c r="J5390" s="6"/>
      <c r="K5390" s="6"/>
      <c r="L5390" s="6"/>
      <c r="M5390" s="6"/>
      <c r="N5390" s="6"/>
      <c r="O5390" s="6"/>
      <c r="P5390" s="6"/>
      <c r="Q5390" s="6"/>
      <c r="R5390" s="6"/>
      <c r="S5390" s="6"/>
      <c r="T5390" s="6"/>
      <c r="U5390" s="6"/>
      <c r="V5390" s="6"/>
      <c r="W5390" s="6"/>
      <c r="X5390" s="6"/>
      <c r="Y5390" s="6"/>
      <c r="Z5390" s="6"/>
      <c r="AA5390" s="6"/>
    </row>
    <row r="5391" ht="14.25">
      <c r="B5391" s="14" t="s">
        <v>35294</v>
      </c>
      <c r="C5391" s="4" t="s">
        <v>35295</v>
      </c>
      <c r="D5391" s="4" t="s">
        <v>35296</v>
      </c>
      <c r="E5391" s="4" t="s">
        <v>35297</v>
      </c>
      <c r="F5391" s="4" t="s">
        <v>1215</v>
      </c>
      <c r="G5391" s="4" t="s">
        <v>35298</v>
      </c>
      <c r="H5391" s="6"/>
      <c r="I5391" s="6"/>
      <c r="J5391" s="6"/>
      <c r="K5391" s="6"/>
      <c r="L5391" s="6"/>
      <c r="M5391" s="6"/>
      <c r="N5391" s="6"/>
      <c r="O5391" s="6"/>
      <c r="P5391" s="6"/>
      <c r="Q5391" s="6"/>
      <c r="R5391" s="6"/>
      <c r="S5391" s="6"/>
      <c r="T5391" s="6"/>
      <c r="U5391" s="6"/>
      <c r="V5391" s="6"/>
      <c r="W5391" s="6"/>
      <c r="X5391" s="6"/>
      <c r="Y5391" s="6"/>
      <c r="Z5391" s="6"/>
      <c r="AA5391" s="6"/>
    </row>
    <row r="5392" ht="14.25">
      <c r="B5392" s="14" t="s">
        <v>35299</v>
      </c>
      <c r="C5392" s="4" t="s">
        <v>35300</v>
      </c>
      <c r="D5392" s="4" t="s">
        <v>35301</v>
      </c>
      <c r="E5392" s="4" t="s">
        <v>35302</v>
      </c>
      <c r="F5392" s="4" t="s">
        <v>3072</v>
      </c>
      <c r="G5392" s="4" t="s">
        <v>35303</v>
      </c>
      <c r="H5392" s="6"/>
      <c r="I5392" s="6"/>
      <c r="J5392" s="6"/>
      <c r="K5392" s="6"/>
      <c r="L5392" s="6"/>
      <c r="M5392" s="6"/>
      <c r="N5392" s="6"/>
      <c r="O5392" s="6"/>
      <c r="P5392" s="6"/>
      <c r="Q5392" s="6"/>
      <c r="R5392" s="6"/>
      <c r="S5392" s="6"/>
      <c r="T5392" s="6"/>
      <c r="U5392" s="6"/>
      <c r="V5392" s="6"/>
      <c r="W5392" s="6"/>
      <c r="X5392" s="6"/>
      <c r="Y5392" s="6"/>
      <c r="Z5392" s="6"/>
      <c r="AA5392" s="6"/>
    </row>
    <row r="5393" ht="14.25">
      <c r="B5393" s="14" t="s">
        <v>35299</v>
      </c>
      <c r="C5393" s="4" t="s">
        <v>35300</v>
      </c>
      <c r="D5393" s="4" t="s">
        <v>35304</v>
      </c>
      <c r="E5393" s="4" t="s">
        <v>35302</v>
      </c>
      <c r="F5393" s="4" t="s">
        <v>33054</v>
      </c>
      <c r="G5393" s="4" t="s">
        <v>35305</v>
      </c>
      <c r="H5393" s="6"/>
      <c r="I5393" s="6"/>
      <c r="J5393" s="6"/>
      <c r="K5393" s="6"/>
      <c r="L5393" s="6"/>
      <c r="M5393" s="6"/>
      <c r="N5393" s="6"/>
      <c r="O5393" s="6"/>
      <c r="P5393" s="6"/>
      <c r="Q5393" s="6"/>
      <c r="R5393" s="6"/>
      <c r="S5393" s="6"/>
      <c r="T5393" s="6"/>
      <c r="U5393" s="6"/>
      <c r="V5393" s="6"/>
      <c r="W5393" s="6"/>
      <c r="X5393" s="6"/>
      <c r="Y5393" s="6"/>
      <c r="Z5393" s="6"/>
      <c r="AA5393" s="6"/>
    </row>
    <row r="5394" ht="14.25">
      <c r="B5394" s="14" t="s">
        <v>35306</v>
      </c>
      <c r="C5394" s="4" t="s">
        <v>35307</v>
      </c>
      <c r="D5394" s="4" t="s">
        <v>35308</v>
      </c>
      <c r="E5394" s="6"/>
      <c r="F5394" s="4" t="s">
        <v>4969</v>
      </c>
      <c r="G5394" s="4" t="s">
        <v>35309</v>
      </c>
      <c r="H5394" s="6"/>
      <c r="I5394" s="6"/>
      <c r="J5394" s="6"/>
      <c r="K5394" s="6"/>
      <c r="L5394" s="6"/>
      <c r="M5394" s="6"/>
      <c r="N5394" s="6"/>
      <c r="O5394" s="6"/>
      <c r="P5394" s="6"/>
      <c r="Q5394" s="6"/>
      <c r="R5394" s="6"/>
      <c r="S5394" s="6"/>
      <c r="T5394" s="6"/>
      <c r="U5394" s="6"/>
      <c r="V5394" s="6"/>
      <c r="W5394" s="6"/>
      <c r="X5394" s="6"/>
      <c r="Y5394" s="6"/>
      <c r="Z5394" s="6"/>
      <c r="AA5394" s="6"/>
    </row>
    <row r="5395" ht="14.25">
      <c r="B5395" s="14" t="s">
        <v>35306</v>
      </c>
      <c r="C5395" s="4" t="s">
        <v>35310</v>
      </c>
      <c r="D5395" s="4" t="s">
        <v>35311</v>
      </c>
      <c r="E5395" s="6"/>
      <c r="F5395" s="4" t="s">
        <v>670</v>
      </c>
      <c r="G5395" s="4" t="s">
        <v>35309</v>
      </c>
      <c r="H5395" s="6"/>
      <c r="I5395" s="6"/>
      <c r="J5395" s="6"/>
      <c r="K5395" s="6"/>
      <c r="L5395" s="6"/>
      <c r="M5395" s="6"/>
      <c r="N5395" s="6"/>
      <c r="O5395" s="6"/>
      <c r="P5395" s="6"/>
      <c r="Q5395" s="6"/>
      <c r="R5395" s="6"/>
      <c r="S5395" s="6"/>
      <c r="T5395" s="6"/>
      <c r="U5395" s="6"/>
      <c r="V5395" s="6"/>
      <c r="W5395" s="6"/>
      <c r="X5395" s="6"/>
      <c r="Y5395" s="6"/>
      <c r="Z5395" s="6"/>
      <c r="AA5395" s="6"/>
    </row>
    <row r="5396" ht="14.25">
      <c r="B5396" s="14" t="s">
        <v>35312</v>
      </c>
      <c r="C5396" s="4" t="s">
        <v>35313</v>
      </c>
      <c r="D5396" s="4" t="s">
        <v>35314</v>
      </c>
      <c r="E5396" s="6"/>
      <c r="F5396" s="4" t="s">
        <v>817</v>
      </c>
      <c r="G5396" s="4" t="s">
        <v>35315</v>
      </c>
      <c r="H5396" s="6"/>
      <c r="I5396" s="6"/>
      <c r="J5396" s="6"/>
      <c r="K5396" s="6"/>
      <c r="L5396" s="6"/>
      <c r="M5396" s="6"/>
      <c r="N5396" s="6"/>
      <c r="O5396" s="6"/>
      <c r="P5396" s="6"/>
      <c r="Q5396" s="6"/>
      <c r="R5396" s="6"/>
      <c r="S5396" s="6"/>
      <c r="T5396" s="6"/>
      <c r="U5396" s="6"/>
      <c r="V5396" s="6"/>
      <c r="W5396" s="6"/>
      <c r="X5396" s="6"/>
      <c r="Y5396" s="6"/>
      <c r="Z5396" s="6"/>
      <c r="AA5396" s="6"/>
    </row>
    <row r="5397" ht="14.25">
      <c r="B5397" s="14" t="s">
        <v>35316</v>
      </c>
      <c r="C5397" s="4" t="s">
        <v>35317</v>
      </c>
      <c r="D5397" s="4" t="s">
        <v>35318</v>
      </c>
      <c r="E5397" s="4" t="s">
        <v>35319</v>
      </c>
      <c r="F5397" s="4" t="s">
        <v>1153</v>
      </c>
      <c r="G5397" s="4" t="s">
        <v>35320</v>
      </c>
      <c r="H5397" s="6"/>
      <c r="I5397" s="6"/>
      <c r="J5397" s="6"/>
      <c r="K5397" s="6"/>
      <c r="L5397" s="6"/>
      <c r="M5397" s="6"/>
      <c r="N5397" s="6"/>
      <c r="O5397" s="6"/>
      <c r="P5397" s="6"/>
      <c r="Q5397" s="6"/>
      <c r="R5397" s="6"/>
      <c r="S5397" s="6"/>
      <c r="T5397" s="6"/>
      <c r="U5397" s="6"/>
      <c r="V5397" s="6"/>
      <c r="W5397" s="6"/>
      <c r="X5397" s="6"/>
      <c r="Y5397" s="6"/>
      <c r="Z5397" s="6"/>
      <c r="AA5397" s="6"/>
    </row>
    <row r="5398" ht="14.25">
      <c r="B5398" s="14" t="s">
        <v>35321</v>
      </c>
      <c r="C5398" s="4" t="s">
        <v>35322</v>
      </c>
      <c r="D5398" s="4" t="s">
        <v>35323</v>
      </c>
      <c r="E5398" s="6"/>
      <c r="F5398" s="4" t="s">
        <v>7451</v>
      </c>
      <c r="G5398" s="4" t="s">
        <v>35324</v>
      </c>
      <c r="H5398" s="6"/>
      <c r="I5398" s="6"/>
      <c r="J5398" s="6"/>
      <c r="K5398" s="6"/>
      <c r="L5398" s="6"/>
      <c r="M5398" s="6"/>
      <c r="N5398" s="6"/>
      <c r="O5398" s="6"/>
      <c r="P5398" s="6"/>
      <c r="Q5398" s="6"/>
      <c r="R5398" s="6"/>
      <c r="S5398" s="6"/>
      <c r="T5398" s="6"/>
      <c r="U5398" s="6"/>
      <c r="V5398" s="6"/>
      <c r="W5398" s="6"/>
      <c r="X5398" s="6"/>
      <c r="Y5398" s="6"/>
      <c r="Z5398" s="6"/>
      <c r="AA5398" s="6"/>
    </row>
    <row r="5399" ht="14.25">
      <c r="B5399" s="14" t="s">
        <v>35325</v>
      </c>
      <c r="C5399" s="4" t="s">
        <v>35326</v>
      </c>
      <c r="D5399" s="4" t="s">
        <v>35327</v>
      </c>
      <c r="E5399" s="4" t="s">
        <v>35328</v>
      </c>
      <c r="F5399" s="4" t="s">
        <v>3165</v>
      </c>
      <c r="G5399" s="4" t="s">
        <v>35329</v>
      </c>
      <c r="H5399" s="6"/>
      <c r="I5399" s="6"/>
      <c r="J5399" s="6"/>
      <c r="K5399" s="6"/>
      <c r="L5399" s="6"/>
      <c r="M5399" s="6"/>
      <c r="N5399" s="6"/>
      <c r="O5399" s="6"/>
      <c r="P5399" s="6"/>
      <c r="Q5399" s="6"/>
      <c r="R5399" s="6"/>
      <c r="S5399" s="6"/>
      <c r="T5399" s="6"/>
      <c r="U5399" s="6"/>
      <c r="V5399" s="6"/>
      <c r="W5399" s="6"/>
      <c r="X5399" s="6"/>
      <c r="Y5399" s="6"/>
      <c r="Z5399" s="6"/>
      <c r="AA5399" s="6"/>
    </row>
    <row r="5400" ht="14.25">
      <c r="B5400" s="14" t="s">
        <v>35325</v>
      </c>
      <c r="C5400" s="4" t="s">
        <v>35326</v>
      </c>
      <c r="D5400" s="4" t="s">
        <v>35330</v>
      </c>
      <c r="E5400" s="4" t="s">
        <v>35328</v>
      </c>
      <c r="F5400" s="4" t="s">
        <v>32616</v>
      </c>
      <c r="G5400" s="4" t="s">
        <v>35331</v>
      </c>
      <c r="H5400" s="6"/>
      <c r="I5400" s="6"/>
      <c r="J5400" s="6"/>
      <c r="K5400" s="6"/>
      <c r="L5400" s="6"/>
      <c r="M5400" s="6"/>
      <c r="N5400" s="6"/>
      <c r="O5400" s="6"/>
      <c r="P5400" s="6"/>
      <c r="Q5400" s="6"/>
      <c r="R5400" s="6"/>
      <c r="S5400" s="6"/>
      <c r="T5400" s="6"/>
      <c r="U5400" s="6"/>
      <c r="V5400" s="6"/>
      <c r="W5400" s="6"/>
      <c r="X5400" s="6"/>
      <c r="Y5400" s="6"/>
      <c r="Z5400" s="6"/>
      <c r="AA5400" s="6"/>
    </row>
    <row r="5401" ht="14.25">
      <c r="B5401" s="14" t="s">
        <v>35332</v>
      </c>
      <c r="C5401" s="4" t="s">
        <v>35333</v>
      </c>
      <c r="D5401" s="4" t="s">
        <v>35334</v>
      </c>
      <c r="E5401" s="4" t="s">
        <v>35335</v>
      </c>
      <c r="F5401" s="4" t="s">
        <v>1619</v>
      </c>
      <c r="G5401" s="4" t="s">
        <v>35336</v>
      </c>
      <c r="H5401" s="6"/>
      <c r="I5401" s="6"/>
      <c r="J5401" s="6"/>
      <c r="K5401" s="6"/>
      <c r="L5401" s="6"/>
      <c r="M5401" s="6"/>
      <c r="N5401" s="6"/>
      <c r="O5401" s="6"/>
      <c r="P5401" s="6"/>
      <c r="Q5401" s="6"/>
      <c r="R5401" s="6"/>
      <c r="S5401" s="6"/>
      <c r="T5401" s="6"/>
      <c r="U5401" s="6"/>
      <c r="V5401" s="6"/>
      <c r="W5401" s="6"/>
      <c r="X5401" s="6"/>
      <c r="Y5401" s="6"/>
      <c r="Z5401" s="6"/>
      <c r="AA5401" s="6"/>
    </row>
    <row r="5402" ht="14.25">
      <c r="B5402" s="14" t="s">
        <v>35337</v>
      </c>
      <c r="C5402" s="4" t="s">
        <v>35338</v>
      </c>
      <c r="D5402" s="4" t="s">
        <v>35339</v>
      </c>
      <c r="E5402" s="6"/>
      <c r="F5402" s="4" t="s">
        <v>32616</v>
      </c>
      <c r="G5402" s="4" t="s">
        <v>35340</v>
      </c>
      <c r="H5402" s="6"/>
      <c r="I5402" s="6"/>
      <c r="J5402" s="6"/>
      <c r="K5402" s="6"/>
      <c r="L5402" s="6"/>
      <c r="M5402" s="6"/>
      <c r="N5402" s="6"/>
      <c r="O5402" s="6"/>
      <c r="P5402" s="6"/>
      <c r="Q5402" s="6"/>
      <c r="R5402" s="6"/>
      <c r="S5402" s="6"/>
      <c r="T5402" s="6"/>
      <c r="U5402" s="6"/>
      <c r="V5402" s="6"/>
      <c r="W5402" s="6"/>
      <c r="X5402" s="6"/>
      <c r="Y5402" s="6"/>
      <c r="Z5402" s="6"/>
      <c r="AA5402" s="6"/>
    </row>
    <row r="5403" ht="14.25">
      <c r="B5403" s="14" t="s">
        <v>35341</v>
      </c>
      <c r="C5403" s="4" t="s">
        <v>35342</v>
      </c>
      <c r="D5403" s="4" t="s">
        <v>35343</v>
      </c>
      <c r="E5403" s="6"/>
      <c r="F5403" s="4" t="s">
        <v>76</v>
      </c>
      <c r="G5403" s="4" t="s">
        <v>35344</v>
      </c>
      <c r="H5403" s="6"/>
      <c r="I5403" s="6"/>
      <c r="J5403" s="6"/>
      <c r="K5403" s="6"/>
      <c r="L5403" s="6"/>
      <c r="M5403" s="6"/>
      <c r="N5403" s="6"/>
      <c r="O5403" s="6"/>
      <c r="P5403" s="6"/>
      <c r="Q5403" s="6"/>
      <c r="R5403" s="6"/>
      <c r="S5403" s="6"/>
      <c r="T5403" s="6"/>
      <c r="U5403" s="6"/>
      <c r="V5403" s="6"/>
      <c r="W5403" s="6"/>
      <c r="X5403" s="6"/>
      <c r="Y5403" s="6"/>
      <c r="Z5403" s="6"/>
      <c r="AA5403" s="6"/>
    </row>
    <row r="5404" ht="14.25">
      <c r="B5404" s="14" t="s">
        <v>35345</v>
      </c>
      <c r="C5404" s="4" t="s">
        <v>35346</v>
      </c>
      <c r="D5404" s="4" t="s">
        <v>35347</v>
      </c>
      <c r="E5404" s="4" t="s">
        <v>35348</v>
      </c>
      <c r="F5404" s="4" t="s">
        <v>76</v>
      </c>
      <c r="G5404" s="4" t="s">
        <v>35349</v>
      </c>
      <c r="H5404" s="6"/>
      <c r="I5404" s="6"/>
      <c r="J5404" s="6"/>
      <c r="K5404" s="6"/>
      <c r="L5404" s="6"/>
      <c r="M5404" s="6"/>
      <c r="N5404" s="6"/>
      <c r="O5404" s="6"/>
      <c r="P5404" s="6"/>
      <c r="Q5404" s="6"/>
      <c r="R5404" s="6"/>
      <c r="S5404" s="6"/>
      <c r="T5404" s="6"/>
      <c r="U5404" s="6"/>
      <c r="V5404" s="6"/>
      <c r="W5404" s="6"/>
      <c r="X5404" s="6"/>
      <c r="Y5404" s="6"/>
      <c r="Z5404" s="6"/>
      <c r="AA5404" s="6"/>
    </row>
    <row r="5405" ht="14.25">
      <c r="B5405" s="14" t="s">
        <v>35350</v>
      </c>
      <c r="C5405" s="4" t="s">
        <v>35351</v>
      </c>
      <c r="D5405" s="4" t="s">
        <v>35352</v>
      </c>
      <c r="E5405" s="4" t="s">
        <v>35353</v>
      </c>
      <c r="F5405" s="4" t="s">
        <v>95</v>
      </c>
      <c r="G5405" s="4" t="s">
        <v>35354</v>
      </c>
      <c r="H5405" s="6"/>
      <c r="I5405" s="6"/>
      <c r="J5405" s="6"/>
      <c r="K5405" s="6"/>
      <c r="L5405" s="6"/>
      <c r="M5405" s="6"/>
      <c r="N5405" s="6"/>
      <c r="O5405" s="6"/>
      <c r="P5405" s="6"/>
      <c r="Q5405" s="6"/>
      <c r="R5405" s="6"/>
      <c r="S5405" s="6"/>
      <c r="T5405" s="6"/>
      <c r="U5405" s="6"/>
      <c r="V5405" s="6"/>
      <c r="W5405" s="6"/>
      <c r="X5405" s="6"/>
      <c r="Y5405" s="6"/>
      <c r="Z5405" s="6"/>
      <c r="AA5405" s="6"/>
    </row>
    <row r="5406" ht="14.25">
      <c r="B5406" s="14" t="s">
        <v>35355</v>
      </c>
      <c r="C5406" s="4" t="s">
        <v>35356</v>
      </c>
      <c r="D5406" s="4" t="s">
        <v>35357</v>
      </c>
      <c r="E5406" s="4" t="s">
        <v>35358</v>
      </c>
      <c r="F5406" s="4" t="s">
        <v>33283</v>
      </c>
      <c r="G5406" s="4" t="s">
        <v>35359</v>
      </c>
      <c r="H5406" s="6"/>
      <c r="I5406" s="6"/>
      <c r="J5406" s="6"/>
      <c r="K5406" s="6"/>
      <c r="L5406" s="6"/>
      <c r="M5406" s="6"/>
      <c r="N5406" s="6"/>
      <c r="O5406" s="6"/>
      <c r="P5406" s="6"/>
      <c r="Q5406" s="6"/>
      <c r="R5406" s="6"/>
      <c r="S5406" s="6"/>
      <c r="T5406" s="6"/>
      <c r="U5406" s="6"/>
      <c r="V5406" s="6"/>
      <c r="W5406" s="6"/>
      <c r="X5406" s="6"/>
      <c r="Y5406" s="6"/>
      <c r="Z5406" s="6"/>
      <c r="AA5406" s="6"/>
    </row>
    <row r="5407" ht="14.25">
      <c r="B5407" s="14" t="s">
        <v>35360</v>
      </c>
      <c r="C5407" s="4" t="s">
        <v>35361</v>
      </c>
      <c r="D5407" s="4" t="s">
        <v>35362</v>
      </c>
      <c r="E5407" s="4" t="s">
        <v>35363</v>
      </c>
      <c r="F5407" s="4" t="s">
        <v>32658</v>
      </c>
      <c r="G5407" s="4" t="s">
        <v>35364</v>
      </c>
      <c r="H5407" s="6"/>
      <c r="I5407" s="6"/>
      <c r="J5407" s="6"/>
      <c r="K5407" s="6"/>
      <c r="L5407" s="6"/>
      <c r="M5407" s="6"/>
      <c r="N5407" s="6"/>
      <c r="O5407" s="6"/>
      <c r="P5407" s="6"/>
      <c r="Q5407" s="6"/>
      <c r="R5407" s="6"/>
      <c r="S5407" s="6"/>
      <c r="T5407" s="6"/>
      <c r="U5407" s="6"/>
      <c r="V5407" s="6"/>
      <c r="W5407" s="6"/>
      <c r="X5407" s="6"/>
      <c r="Y5407" s="6"/>
      <c r="Z5407" s="6"/>
      <c r="AA5407" s="6"/>
    </row>
    <row r="5408" ht="14.25">
      <c r="B5408" s="14" t="s">
        <v>35360</v>
      </c>
      <c r="C5408" s="4" t="s">
        <v>35361</v>
      </c>
      <c r="D5408" s="4" t="s">
        <v>35365</v>
      </c>
      <c r="E5408" s="4" t="s">
        <v>35363</v>
      </c>
      <c r="F5408" s="4" t="s">
        <v>579</v>
      </c>
      <c r="G5408" s="4" t="s">
        <v>35366</v>
      </c>
      <c r="H5408" s="6"/>
      <c r="I5408" s="6"/>
      <c r="J5408" s="6"/>
      <c r="K5408" s="6"/>
      <c r="L5408" s="6"/>
      <c r="M5408" s="6"/>
      <c r="N5408" s="6"/>
      <c r="O5408" s="6"/>
      <c r="P5408" s="6"/>
      <c r="Q5408" s="6"/>
      <c r="R5408" s="6"/>
      <c r="S5408" s="6"/>
      <c r="T5408" s="6"/>
      <c r="U5408" s="6"/>
      <c r="V5408" s="6"/>
      <c r="W5408" s="6"/>
      <c r="X5408" s="6"/>
      <c r="Y5408" s="6"/>
      <c r="Z5408" s="6"/>
      <c r="AA5408" s="6"/>
    </row>
    <row r="5409" ht="14.25">
      <c r="B5409" s="14" t="s">
        <v>35360</v>
      </c>
      <c r="C5409" s="4" t="s">
        <v>35361</v>
      </c>
      <c r="D5409" s="4" t="s">
        <v>35367</v>
      </c>
      <c r="E5409" s="4" t="s">
        <v>35363</v>
      </c>
      <c r="F5409" s="4" t="s">
        <v>35368</v>
      </c>
      <c r="G5409" s="4" t="s">
        <v>35369</v>
      </c>
      <c r="H5409" s="6"/>
      <c r="I5409" s="6"/>
      <c r="J5409" s="6"/>
      <c r="K5409" s="6"/>
      <c r="L5409" s="6"/>
      <c r="M5409" s="6"/>
      <c r="N5409" s="6"/>
      <c r="O5409" s="6"/>
      <c r="P5409" s="6"/>
      <c r="Q5409" s="6"/>
      <c r="R5409" s="6"/>
      <c r="S5409" s="6"/>
      <c r="T5409" s="6"/>
      <c r="U5409" s="6"/>
      <c r="V5409" s="6"/>
      <c r="W5409" s="6"/>
      <c r="X5409" s="6"/>
      <c r="Y5409" s="6"/>
      <c r="Z5409" s="6"/>
      <c r="AA5409" s="6"/>
    </row>
    <row r="5410" ht="14.25">
      <c r="B5410" s="14" t="s">
        <v>35360</v>
      </c>
      <c r="C5410" s="4" t="s">
        <v>35361</v>
      </c>
      <c r="D5410" s="4" t="s">
        <v>35370</v>
      </c>
      <c r="E5410" s="4" t="s">
        <v>35363</v>
      </c>
      <c r="F5410" s="4" t="s">
        <v>808</v>
      </c>
      <c r="G5410" s="4" t="s">
        <v>35371</v>
      </c>
      <c r="H5410" s="6"/>
      <c r="I5410" s="6"/>
      <c r="J5410" s="6"/>
      <c r="K5410" s="6"/>
      <c r="L5410" s="6"/>
      <c r="M5410" s="6"/>
      <c r="N5410" s="6"/>
      <c r="O5410" s="6"/>
      <c r="P5410" s="6"/>
      <c r="Q5410" s="6"/>
      <c r="R5410" s="6"/>
      <c r="S5410" s="6"/>
      <c r="T5410" s="6"/>
      <c r="U5410" s="6"/>
      <c r="V5410" s="6"/>
      <c r="W5410" s="6"/>
      <c r="X5410" s="6"/>
      <c r="Y5410" s="6"/>
      <c r="Z5410" s="6"/>
      <c r="AA5410" s="6"/>
    </row>
    <row r="5411" ht="14.25">
      <c r="B5411" s="14" t="s">
        <v>35372</v>
      </c>
      <c r="C5411" s="4" t="s">
        <v>35373</v>
      </c>
      <c r="D5411" s="4" t="s">
        <v>35374</v>
      </c>
      <c r="E5411" s="4" t="s">
        <v>35375</v>
      </c>
      <c r="F5411" s="4" t="s">
        <v>18559</v>
      </c>
      <c r="G5411" s="4" t="s">
        <v>35376</v>
      </c>
      <c r="H5411" s="6"/>
      <c r="I5411" s="6"/>
      <c r="J5411" s="6"/>
      <c r="K5411" s="6"/>
      <c r="L5411" s="6"/>
      <c r="M5411" s="6"/>
      <c r="N5411" s="6"/>
      <c r="O5411" s="6"/>
      <c r="P5411" s="6"/>
      <c r="Q5411" s="6"/>
      <c r="R5411" s="6"/>
      <c r="S5411" s="6"/>
      <c r="T5411" s="6"/>
      <c r="U5411" s="6"/>
      <c r="V5411" s="6"/>
      <c r="W5411" s="6"/>
      <c r="X5411" s="6"/>
      <c r="Y5411" s="6"/>
      <c r="Z5411" s="6"/>
      <c r="AA5411" s="6"/>
    </row>
    <row r="5412" ht="14.25">
      <c r="B5412" s="14" t="s">
        <v>35372</v>
      </c>
      <c r="C5412" s="4" t="s">
        <v>35377</v>
      </c>
      <c r="D5412" s="4" t="s">
        <v>35378</v>
      </c>
      <c r="E5412" s="4" t="s">
        <v>35379</v>
      </c>
      <c r="F5412" s="4" t="s">
        <v>5001</v>
      </c>
      <c r="G5412" s="4" t="s">
        <v>35380</v>
      </c>
      <c r="H5412" s="6"/>
      <c r="I5412" s="6"/>
      <c r="J5412" s="6"/>
      <c r="K5412" s="6"/>
      <c r="L5412" s="6"/>
      <c r="M5412" s="6"/>
      <c r="N5412" s="6"/>
      <c r="O5412" s="6"/>
      <c r="P5412" s="6"/>
      <c r="Q5412" s="6"/>
      <c r="R5412" s="6"/>
      <c r="S5412" s="6"/>
      <c r="T5412" s="6"/>
      <c r="U5412" s="6"/>
      <c r="V5412" s="6"/>
      <c r="W5412" s="6"/>
      <c r="X5412" s="6"/>
      <c r="Y5412" s="6"/>
      <c r="Z5412" s="6"/>
      <c r="AA5412" s="6"/>
    </row>
    <row r="5413" ht="14.25">
      <c r="B5413" s="14" t="s">
        <v>35372</v>
      </c>
      <c r="C5413" s="4" t="s">
        <v>35377</v>
      </c>
      <c r="D5413" s="4" t="s">
        <v>35381</v>
      </c>
      <c r="E5413" s="4" t="s">
        <v>35379</v>
      </c>
      <c r="F5413" s="4" t="s">
        <v>32548</v>
      </c>
      <c r="G5413" s="4" t="s">
        <v>35382</v>
      </c>
      <c r="H5413" s="6"/>
      <c r="I5413" s="6"/>
      <c r="J5413" s="6"/>
      <c r="K5413" s="6"/>
      <c r="L5413" s="6"/>
      <c r="M5413" s="6"/>
      <c r="N5413" s="6"/>
      <c r="O5413" s="6"/>
      <c r="P5413" s="6"/>
      <c r="Q5413" s="6"/>
      <c r="R5413" s="6"/>
      <c r="S5413" s="6"/>
      <c r="T5413" s="6"/>
      <c r="U5413" s="6"/>
      <c r="V5413" s="6"/>
      <c r="W5413" s="6"/>
      <c r="X5413" s="6"/>
      <c r="Y5413" s="6"/>
      <c r="Z5413" s="6"/>
      <c r="AA5413" s="6"/>
    </row>
    <row r="5414" ht="14.25">
      <c r="B5414" s="14" t="s">
        <v>35383</v>
      </c>
      <c r="C5414" s="4" t="s">
        <v>35384</v>
      </c>
      <c r="D5414" s="4" t="s">
        <v>35385</v>
      </c>
      <c r="E5414" s="4" t="s">
        <v>35386</v>
      </c>
      <c r="F5414" s="4" t="s">
        <v>35387</v>
      </c>
      <c r="G5414" s="4" t="s">
        <v>35388</v>
      </c>
      <c r="H5414" s="6"/>
      <c r="I5414" s="6"/>
      <c r="J5414" s="6"/>
      <c r="K5414" s="6"/>
      <c r="L5414" s="6"/>
      <c r="M5414" s="6"/>
      <c r="N5414" s="6"/>
      <c r="O5414" s="6"/>
      <c r="P5414" s="6"/>
      <c r="Q5414" s="6"/>
      <c r="R5414" s="6"/>
      <c r="S5414" s="6"/>
      <c r="T5414" s="6"/>
      <c r="U5414" s="6"/>
      <c r="V5414" s="6"/>
      <c r="W5414" s="6"/>
      <c r="X5414" s="6"/>
      <c r="Y5414" s="6"/>
      <c r="Z5414" s="6"/>
      <c r="AA5414" s="6"/>
    </row>
    <row r="5415" ht="14.25">
      <c r="B5415" s="14" t="s">
        <v>35383</v>
      </c>
      <c r="C5415" s="4" t="s">
        <v>35384</v>
      </c>
      <c r="D5415" s="4" t="s">
        <v>35389</v>
      </c>
      <c r="E5415" s="4" t="s">
        <v>35386</v>
      </c>
      <c r="F5415" s="4" t="s">
        <v>35368</v>
      </c>
      <c r="G5415" s="4" t="s">
        <v>35390</v>
      </c>
      <c r="H5415" s="6"/>
      <c r="I5415" s="6"/>
      <c r="J5415" s="6"/>
      <c r="K5415" s="6"/>
      <c r="L5415" s="6"/>
      <c r="M5415" s="6"/>
      <c r="N5415" s="6"/>
      <c r="O5415" s="6"/>
      <c r="P5415" s="6"/>
      <c r="Q5415" s="6"/>
      <c r="R5415" s="6"/>
      <c r="S5415" s="6"/>
      <c r="T5415" s="6"/>
      <c r="U5415" s="6"/>
      <c r="V5415" s="6"/>
      <c r="W5415" s="6"/>
      <c r="X5415" s="6"/>
      <c r="Y5415" s="6"/>
      <c r="Z5415" s="6"/>
      <c r="AA5415" s="6"/>
    </row>
    <row r="5416" ht="14.25">
      <c r="B5416" s="14" t="s">
        <v>35391</v>
      </c>
      <c r="C5416" s="4" t="s">
        <v>35392</v>
      </c>
      <c r="D5416" s="4" t="s">
        <v>35393</v>
      </c>
      <c r="E5416" s="6"/>
      <c r="F5416" s="4" t="s">
        <v>110</v>
      </c>
      <c r="G5416" s="4" t="s">
        <v>35394</v>
      </c>
      <c r="H5416" s="6"/>
      <c r="I5416" s="6"/>
      <c r="J5416" s="6"/>
      <c r="K5416" s="6"/>
      <c r="L5416" s="6"/>
      <c r="M5416" s="6"/>
      <c r="N5416" s="6"/>
      <c r="O5416" s="6"/>
      <c r="P5416" s="6"/>
      <c r="Q5416" s="6"/>
      <c r="R5416" s="6"/>
      <c r="S5416" s="6"/>
      <c r="T5416" s="6"/>
      <c r="U5416" s="6"/>
      <c r="V5416" s="6"/>
      <c r="W5416" s="6"/>
      <c r="X5416" s="6"/>
      <c r="Y5416" s="6"/>
      <c r="Z5416" s="6"/>
      <c r="AA5416" s="6"/>
    </row>
    <row r="5417" ht="14.25">
      <c r="B5417" s="14" t="s">
        <v>35391</v>
      </c>
      <c r="C5417" s="4" t="s">
        <v>35395</v>
      </c>
      <c r="D5417" s="4" t="s">
        <v>35396</v>
      </c>
      <c r="E5417" s="4" t="s">
        <v>35397</v>
      </c>
      <c r="F5417" s="4" t="s">
        <v>4245</v>
      </c>
      <c r="G5417" s="4" t="s">
        <v>35398</v>
      </c>
      <c r="H5417" s="6"/>
      <c r="I5417" s="6"/>
      <c r="J5417" s="6"/>
      <c r="K5417" s="6"/>
      <c r="L5417" s="6"/>
      <c r="M5417" s="6"/>
      <c r="N5417" s="6"/>
      <c r="O5417" s="4"/>
      <c r="P5417" s="6"/>
      <c r="Q5417" s="6"/>
      <c r="R5417" s="6"/>
      <c r="S5417" s="6"/>
      <c r="T5417" s="6"/>
      <c r="U5417" s="6"/>
      <c r="V5417" s="6"/>
      <c r="W5417" s="6"/>
      <c r="X5417" s="6"/>
      <c r="Y5417" s="6"/>
      <c r="Z5417" s="6"/>
      <c r="AA5417" s="6"/>
    </row>
    <row r="5418" ht="14.25">
      <c r="B5418" s="14" t="s">
        <v>35391</v>
      </c>
      <c r="C5418" s="4" t="s">
        <v>35395</v>
      </c>
      <c r="D5418" s="4" t="s">
        <v>35399</v>
      </c>
      <c r="E5418" s="4" t="s">
        <v>35397</v>
      </c>
      <c r="F5418" s="4" t="s">
        <v>35400</v>
      </c>
      <c r="G5418" s="4" t="s">
        <v>35401</v>
      </c>
      <c r="H5418" s="6"/>
      <c r="I5418" s="6"/>
      <c r="J5418" s="6"/>
      <c r="K5418" s="6"/>
      <c r="L5418" s="6"/>
      <c r="M5418" s="6"/>
      <c r="N5418" s="6"/>
      <c r="O5418" s="6"/>
      <c r="P5418" s="6"/>
      <c r="Q5418" s="6"/>
      <c r="R5418" s="6"/>
      <c r="S5418" s="6"/>
      <c r="T5418" s="6"/>
      <c r="U5418" s="6"/>
      <c r="V5418" s="6"/>
      <c r="W5418" s="6"/>
      <c r="X5418" s="6"/>
      <c r="Y5418" s="6"/>
      <c r="Z5418" s="6"/>
      <c r="AA5418" s="6"/>
    </row>
    <row r="5419" ht="14.25">
      <c r="B5419" s="14" t="s">
        <v>35402</v>
      </c>
      <c r="C5419" s="4" t="s">
        <v>35403</v>
      </c>
      <c r="D5419" s="4" t="s">
        <v>35404</v>
      </c>
      <c r="E5419" s="6"/>
      <c r="F5419" s="4" t="s">
        <v>222</v>
      </c>
      <c r="G5419" s="4" t="s">
        <v>33445</v>
      </c>
      <c r="H5419" s="6"/>
      <c r="I5419" s="6"/>
      <c r="J5419" s="6"/>
      <c r="K5419" s="6"/>
      <c r="L5419" s="6"/>
      <c r="M5419" s="6"/>
      <c r="N5419" s="6"/>
      <c r="O5419" s="6"/>
      <c r="P5419" s="6"/>
      <c r="Q5419" s="6"/>
      <c r="R5419" s="6"/>
      <c r="S5419" s="6"/>
      <c r="T5419" s="6"/>
      <c r="U5419" s="6"/>
      <c r="V5419" s="6"/>
      <c r="W5419" s="6"/>
      <c r="X5419" s="6"/>
      <c r="Y5419" s="6"/>
      <c r="Z5419" s="6"/>
      <c r="AA5419" s="6"/>
    </row>
    <row r="5420" ht="14.25">
      <c r="B5420" s="14" t="s">
        <v>35405</v>
      </c>
      <c r="C5420" s="4" t="s">
        <v>35406</v>
      </c>
      <c r="D5420" s="4" t="s">
        <v>35407</v>
      </c>
      <c r="E5420" s="4" t="s">
        <v>35408</v>
      </c>
      <c r="F5420" s="4" t="s">
        <v>222</v>
      </c>
      <c r="G5420" s="4" t="s">
        <v>34506</v>
      </c>
      <c r="H5420" s="6"/>
      <c r="I5420" s="6"/>
      <c r="J5420" s="6"/>
      <c r="K5420" s="6"/>
      <c r="L5420" s="6"/>
      <c r="M5420" s="6"/>
      <c r="N5420" s="6"/>
      <c r="O5420" s="6"/>
      <c r="P5420" s="6"/>
      <c r="Q5420" s="6"/>
      <c r="R5420" s="6"/>
      <c r="S5420" s="6"/>
      <c r="T5420" s="6"/>
      <c r="U5420" s="6"/>
      <c r="V5420" s="6"/>
      <c r="W5420" s="6"/>
      <c r="X5420" s="6"/>
      <c r="Y5420" s="6"/>
      <c r="Z5420" s="6"/>
      <c r="AA5420" s="6"/>
    </row>
    <row r="5421" ht="14.25">
      <c r="B5421" s="14" t="s">
        <v>35409</v>
      </c>
      <c r="C5421" s="4" t="s">
        <v>35410</v>
      </c>
      <c r="D5421" s="4" t="s">
        <v>35411</v>
      </c>
      <c r="E5421" s="4" t="s">
        <v>35412</v>
      </c>
      <c r="F5421" s="4" t="s">
        <v>33923</v>
      </c>
      <c r="G5421" s="4" t="s">
        <v>35413</v>
      </c>
      <c r="H5421" s="6"/>
      <c r="I5421" s="6"/>
      <c r="J5421" s="6"/>
      <c r="K5421" s="6"/>
      <c r="L5421" s="6"/>
      <c r="M5421" s="6"/>
      <c r="N5421" s="6"/>
      <c r="O5421" s="6"/>
      <c r="P5421" s="6"/>
      <c r="Q5421" s="6"/>
      <c r="R5421" s="6"/>
      <c r="S5421" s="6"/>
      <c r="T5421" s="6"/>
      <c r="U5421" s="6"/>
      <c r="V5421" s="6"/>
      <c r="W5421" s="6"/>
      <c r="X5421" s="6"/>
      <c r="Y5421" s="6"/>
      <c r="Z5421" s="6"/>
      <c r="AA5421" s="6"/>
    </row>
    <row r="5422" ht="14.25">
      <c r="B5422" s="14" t="s">
        <v>35409</v>
      </c>
      <c r="C5422" s="4" t="s">
        <v>35414</v>
      </c>
      <c r="D5422" s="4" t="s">
        <v>35415</v>
      </c>
      <c r="E5422" s="6"/>
      <c r="F5422" s="4" t="s">
        <v>6923</v>
      </c>
      <c r="G5422" s="4" t="s">
        <v>35416</v>
      </c>
      <c r="H5422" s="6"/>
      <c r="I5422" s="6"/>
      <c r="J5422" s="6"/>
      <c r="K5422" s="6"/>
      <c r="L5422" s="6"/>
      <c r="M5422" s="6"/>
      <c r="N5422" s="6"/>
      <c r="O5422" s="6"/>
      <c r="P5422" s="6"/>
      <c r="Q5422" s="6"/>
      <c r="R5422" s="6"/>
      <c r="S5422" s="6"/>
      <c r="T5422" s="6"/>
      <c r="U5422" s="6"/>
      <c r="V5422" s="6"/>
      <c r="W5422" s="6"/>
      <c r="X5422" s="6"/>
      <c r="Y5422" s="6"/>
      <c r="Z5422" s="6"/>
      <c r="AA5422" s="6"/>
    </row>
    <row r="5423" ht="14.25">
      <c r="B5423" s="14" t="s">
        <v>35417</v>
      </c>
      <c r="C5423" s="4" t="s">
        <v>35418</v>
      </c>
      <c r="D5423" s="4" t="s">
        <v>35419</v>
      </c>
      <c r="E5423" s="4" t="s">
        <v>35420</v>
      </c>
      <c r="F5423" s="4" t="s">
        <v>32579</v>
      </c>
      <c r="G5423" s="4" t="s">
        <v>34625</v>
      </c>
      <c r="H5423" s="6"/>
      <c r="I5423" s="6"/>
      <c r="J5423" s="6"/>
      <c r="K5423" s="6"/>
      <c r="L5423" s="6"/>
      <c r="M5423" s="6"/>
      <c r="N5423" s="6"/>
      <c r="O5423" s="6"/>
      <c r="P5423" s="6"/>
      <c r="Q5423" s="6"/>
      <c r="R5423" s="6"/>
      <c r="S5423" s="6"/>
      <c r="T5423" s="6"/>
      <c r="U5423" s="6"/>
      <c r="V5423" s="6"/>
      <c r="W5423" s="6"/>
      <c r="X5423" s="6"/>
      <c r="Y5423" s="6"/>
      <c r="Z5423" s="6"/>
      <c r="AA5423" s="6"/>
    </row>
    <row r="5424" ht="14.25">
      <c r="B5424" s="14" t="s">
        <v>35417</v>
      </c>
      <c r="C5424" s="4" t="s">
        <v>35418</v>
      </c>
      <c r="D5424" s="4" t="s">
        <v>35421</v>
      </c>
      <c r="E5424" s="4" t="s">
        <v>35420</v>
      </c>
      <c r="F5424" s="4" t="s">
        <v>355</v>
      </c>
      <c r="G5424" s="4" t="s">
        <v>33159</v>
      </c>
      <c r="H5424" s="6"/>
      <c r="I5424" s="6"/>
      <c r="J5424" s="6"/>
      <c r="K5424" s="6"/>
      <c r="L5424" s="6"/>
      <c r="M5424" s="6"/>
      <c r="N5424" s="6"/>
      <c r="O5424" s="6"/>
      <c r="P5424" s="6"/>
      <c r="Q5424" s="6"/>
      <c r="R5424" s="6"/>
      <c r="S5424" s="6"/>
      <c r="T5424" s="6"/>
      <c r="U5424" s="6"/>
      <c r="V5424" s="6"/>
      <c r="W5424" s="6"/>
      <c r="X5424" s="6"/>
      <c r="Y5424" s="6"/>
      <c r="Z5424" s="6"/>
      <c r="AA5424" s="6"/>
    </row>
    <row r="5425" ht="14.25">
      <c r="B5425" s="14" t="s">
        <v>35417</v>
      </c>
      <c r="C5425" s="4" t="s">
        <v>35418</v>
      </c>
      <c r="D5425" s="4" t="s">
        <v>35422</v>
      </c>
      <c r="E5425" s="4" t="s">
        <v>35420</v>
      </c>
      <c r="F5425" s="4" t="s">
        <v>170</v>
      </c>
      <c r="G5425" s="4" t="s">
        <v>35423</v>
      </c>
      <c r="H5425" s="6"/>
      <c r="I5425" s="6"/>
      <c r="J5425" s="6"/>
      <c r="K5425" s="6"/>
      <c r="L5425" s="6"/>
      <c r="M5425" s="6"/>
      <c r="N5425" s="6"/>
      <c r="O5425" s="6"/>
      <c r="P5425" s="6"/>
      <c r="Q5425" s="6"/>
      <c r="R5425" s="6"/>
      <c r="S5425" s="6"/>
      <c r="T5425" s="6"/>
      <c r="U5425" s="6"/>
      <c r="V5425" s="6"/>
      <c r="W5425" s="6"/>
      <c r="X5425" s="6"/>
      <c r="Y5425" s="6"/>
      <c r="Z5425" s="6"/>
      <c r="AA5425" s="6"/>
    </row>
    <row r="5426" ht="14.25">
      <c r="B5426" s="14" t="s">
        <v>35417</v>
      </c>
      <c r="C5426" s="4" t="s">
        <v>35418</v>
      </c>
      <c r="D5426" s="4" t="s">
        <v>35424</v>
      </c>
      <c r="E5426" s="4" t="s">
        <v>35420</v>
      </c>
      <c r="F5426" s="4" t="s">
        <v>110</v>
      </c>
      <c r="G5426" s="4" t="s">
        <v>34767</v>
      </c>
      <c r="H5426" s="6"/>
      <c r="I5426" s="6"/>
      <c r="J5426" s="6"/>
      <c r="K5426" s="6"/>
      <c r="L5426" s="6"/>
      <c r="M5426" s="6"/>
      <c r="N5426" s="6"/>
      <c r="O5426" s="6"/>
      <c r="P5426" s="6"/>
      <c r="Q5426" s="6"/>
      <c r="R5426" s="6"/>
      <c r="S5426" s="6"/>
      <c r="T5426" s="6"/>
      <c r="U5426" s="6"/>
      <c r="V5426" s="6"/>
      <c r="W5426" s="6"/>
      <c r="X5426" s="6"/>
      <c r="Y5426" s="6"/>
      <c r="Z5426" s="6"/>
      <c r="AA5426" s="6"/>
    </row>
    <row r="5427" ht="14.25">
      <c r="B5427" s="14" t="s">
        <v>35425</v>
      </c>
      <c r="C5427" s="4" t="s">
        <v>35426</v>
      </c>
      <c r="D5427" s="4" t="s">
        <v>35427</v>
      </c>
      <c r="E5427" s="4" t="s">
        <v>35428</v>
      </c>
      <c r="F5427" s="4" t="s">
        <v>95</v>
      </c>
      <c r="G5427" s="4" t="s">
        <v>32868</v>
      </c>
      <c r="H5427" s="6"/>
      <c r="I5427" s="6"/>
      <c r="J5427" s="6"/>
      <c r="K5427" s="6"/>
      <c r="L5427" s="6"/>
      <c r="M5427" s="6"/>
      <c r="N5427" s="6"/>
      <c r="O5427" s="6"/>
      <c r="P5427" s="6"/>
      <c r="Q5427" s="6"/>
      <c r="R5427" s="6"/>
      <c r="S5427" s="6"/>
      <c r="T5427" s="6"/>
      <c r="U5427" s="6"/>
      <c r="V5427" s="6"/>
      <c r="W5427" s="6"/>
      <c r="X5427" s="6"/>
      <c r="Y5427" s="6"/>
      <c r="Z5427" s="6"/>
      <c r="AA5427" s="6"/>
    </row>
    <row r="5428" ht="14.25">
      <c r="B5428" s="14" t="s">
        <v>35429</v>
      </c>
      <c r="C5428" s="4" t="s">
        <v>35430</v>
      </c>
      <c r="D5428" s="4" t="s">
        <v>35431</v>
      </c>
      <c r="E5428" s="4" t="s">
        <v>35432</v>
      </c>
      <c r="F5428" s="4" t="s">
        <v>1153</v>
      </c>
      <c r="G5428" s="4" t="s">
        <v>35433</v>
      </c>
      <c r="H5428" s="6"/>
      <c r="I5428" s="6"/>
      <c r="J5428" s="6"/>
      <c r="K5428" s="6"/>
      <c r="L5428" s="6"/>
      <c r="M5428" s="6"/>
      <c r="N5428" s="6"/>
      <c r="O5428" s="6"/>
      <c r="P5428" s="6"/>
      <c r="Q5428" s="6"/>
      <c r="R5428" s="6"/>
      <c r="S5428" s="6"/>
      <c r="T5428" s="6"/>
      <c r="U5428" s="6"/>
      <c r="V5428" s="6"/>
      <c r="W5428" s="6"/>
      <c r="X5428" s="6"/>
      <c r="Y5428" s="6"/>
      <c r="Z5428" s="6"/>
      <c r="AA5428" s="6"/>
    </row>
    <row r="5429" ht="14.25">
      <c r="B5429" s="14" t="s">
        <v>35429</v>
      </c>
      <c r="C5429" s="4" t="s">
        <v>35430</v>
      </c>
      <c r="D5429" s="4" t="s">
        <v>35434</v>
      </c>
      <c r="E5429" s="4" t="s">
        <v>35432</v>
      </c>
      <c r="F5429" s="4" t="s">
        <v>32891</v>
      </c>
      <c r="G5429" s="4" t="s">
        <v>35435</v>
      </c>
      <c r="H5429" s="6"/>
      <c r="I5429" s="6"/>
      <c r="J5429" s="6"/>
      <c r="K5429" s="6"/>
      <c r="L5429" s="6"/>
      <c r="M5429" s="6"/>
      <c r="N5429" s="6"/>
      <c r="O5429" s="6"/>
      <c r="P5429" s="6"/>
      <c r="Q5429" s="6"/>
      <c r="R5429" s="6"/>
      <c r="S5429" s="6"/>
      <c r="T5429" s="6"/>
      <c r="U5429" s="6"/>
      <c r="V5429" s="6"/>
      <c r="W5429" s="6"/>
      <c r="X5429" s="6"/>
      <c r="Y5429" s="6"/>
      <c r="Z5429" s="6"/>
      <c r="AA5429" s="6"/>
    </row>
    <row r="5430" ht="14.25">
      <c r="B5430" s="14" t="s">
        <v>35429</v>
      </c>
      <c r="C5430" s="4" t="s">
        <v>35430</v>
      </c>
      <c r="D5430" s="4" t="s">
        <v>35436</v>
      </c>
      <c r="E5430" s="4" t="s">
        <v>35432</v>
      </c>
      <c r="F5430" s="4" t="s">
        <v>355</v>
      </c>
      <c r="G5430" s="4" t="s">
        <v>35437</v>
      </c>
      <c r="H5430" s="6"/>
      <c r="I5430" s="6"/>
      <c r="J5430" s="6"/>
      <c r="K5430" s="6"/>
      <c r="L5430" s="6"/>
      <c r="M5430" s="6"/>
      <c r="N5430" s="6"/>
      <c r="O5430" s="6"/>
      <c r="P5430" s="6"/>
      <c r="Q5430" s="6"/>
      <c r="R5430" s="6"/>
      <c r="S5430" s="6"/>
      <c r="T5430" s="6"/>
      <c r="U5430" s="6"/>
      <c r="V5430" s="6"/>
      <c r="W5430" s="6"/>
      <c r="X5430" s="6"/>
      <c r="Y5430" s="6"/>
      <c r="Z5430" s="6"/>
      <c r="AA5430" s="6"/>
    </row>
    <row r="5431" ht="14.25">
      <c r="B5431" s="14" t="s">
        <v>35438</v>
      </c>
      <c r="C5431" s="4" t="s">
        <v>35439</v>
      </c>
      <c r="D5431" s="4" t="s">
        <v>35440</v>
      </c>
      <c r="E5431" s="4" t="s">
        <v>35441</v>
      </c>
      <c r="F5431" s="4" t="s">
        <v>1499</v>
      </c>
      <c r="G5431" s="4" t="s">
        <v>35442</v>
      </c>
      <c r="H5431" s="6"/>
      <c r="I5431" s="6"/>
      <c r="J5431" s="6"/>
      <c r="K5431" s="6"/>
      <c r="L5431" s="6"/>
      <c r="M5431" s="6"/>
      <c r="N5431" s="6"/>
      <c r="O5431" s="6"/>
      <c r="P5431" s="6"/>
      <c r="Q5431" s="6"/>
      <c r="R5431" s="6"/>
      <c r="S5431" s="6"/>
      <c r="T5431" s="6"/>
      <c r="U5431" s="6"/>
      <c r="V5431" s="6"/>
      <c r="W5431" s="6"/>
      <c r="X5431" s="6"/>
      <c r="Y5431" s="6"/>
      <c r="Z5431" s="6"/>
      <c r="AA5431" s="6"/>
    </row>
    <row r="5432" ht="14.25">
      <c r="B5432" s="14" t="s">
        <v>35438</v>
      </c>
      <c r="C5432" s="4" t="s">
        <v>35439</v>
      </c>
      <c r="D5432" s="4" t="s">
        <v>35441</v>
      </c>
      <c r="E5432" s="6"/>
      <c r="F5432" s="4" t="s">
        <v>20</v>
      </c>
      <c r="G5432" s="4" t="s">
        <v>35443</v>
      </c>
      <c r="H5432" s="6"/>
      <c r="I5432" s="6"/>
      <c r="J5432" s="6"/>
      <c r="K5432" s="6"/>
      <c r="L5432" s="6"/>
      <c r="M5432" s="6"/>
      <c r="N5432" s="6"/>
      <c r="O5432" s="6"/>
      <c r="P5432" s="6"/>
      <c r="Q5432" s="6"/>
      <c r="R5432" s="6"/>
      <c r="S5432" s="6"/>
      <c r="T5432" s="6"/>
      <c r="U5432" s="6"/>
      <c r="V5432" s="6"/>
      <c r="W5432" s="6"/>
      <c r="X5432" s="6"/>
      <c r="Y5432" s="6"/>
      <c r="Z5432" s="6"/>
      <c r="AA5432" s="6"/>
    </row>
    <row r="5433" ht="14.25">
      <c r="B5433" s="14" t="s">
        <v>35444</v>
      </c>
      <c r="C5433" s="4" t="s">
        <v>35445</v>
      </c>
      <c r="D5433" s="4" t="s">
        <v>35446</v>
      </c>
      <c r="E5433" s="6"/>
      <c r="F5433" s="4" t="s">
        <v>4115</v>
      </c>
      <c r="G5433" s="4" t="s">
        <v>35447</v>
      </c>
      <c r="H5433" s="6"/>
      <c r="I5433" s="6"/>
      <c r="J5433" s="6"/>
      <c r="K5433" s="6"/>
      <c r="L5433" s="6"/>
      <c r="M5433" s="6"/>
      <c r="N5433" s="6"/>
      <c r="O5433" s="6"/>
      <c r="P5433" s="6"/>
      <c r="Q5433" s="6"/>
      <c r="R5433" s="6"/>
      <c r="S5433" s="6"/>
      <c r="T5433" s="6"/>
      <c r="U5433" s="6"/>
      <c r="V5433" s="6"/>
      <c r="W5433" s="6"/>
      <c r="X5433" s="6"/>
      <c r="Y5433" s="6"/>
      <c r="Z5433" s="6"/>
      <c r="AA5433" s="6"/>
    </row>
    <row r="5434" ht="14.25">
      <c r="B5434" s="14" t="s">
        <v>35448</v>
      </c>
      <c r="C5434" s="4" t="s">
        <v>35449</v>
      </c>
      <c r="D5434" s="4" t="s">
        <v>35450</v>
      </c>
      <c r="E5434" s="4" t="s">
        <v>35451</v>
      </c>
      <c r="F5434" s="4" t="s">
        <v>23753</v>
      </c>
      <c r="G5434" s="4" t="s">
        <v>35452</v>
      </c>
      <c r="H5434" s="6"/>
      <c r="I5434" s="6"/>
      <c r="J5434" s="6"/>
      <c r="K5434" s="6"/>
      <c r="L5434" s="6"/>
      <c r="M5434" s="6"/>
      <c r="N5434" s="6"/>
      <c r="O5434" s="6"/>
      <c r="P5434" s="6"/>
      <c r="Q5434" s="6"/>
      <c r="R5434" s="6"/>
      <c r="S5434" s="6"/>
      <c r="T5434" s="6"/>
      <c r="U5434" s="6"/>
      <c r="V5434" s="6"/>
      <c r="W5434" s="6"/>
      <c r="X5434" s="6"/>
      <c r="Y5434" s="6"/>
      <c r="Z5434" s="6"/>
      <c r="AA5434" s="6"/>
    </row>
    <row r="5435" ht="14.25">
      <c r="B5435" s="14" t="s">
        <v>35448</v>
      </c>
      <c r="C5435" s="4" t="s">
        <v>35449</v>
      </c>
      <c r="D5435" s="4" t="s">
        <v>35453</v>
      </c>
      <c r="E5435" s="4" t="s">
        <v>35451</v>
      </c>
      <c r="F5435" s="4" t="s">
        <v>10945</v>
      </c>
      <c r="G5435" s="4" t="s">
        <v>35454</v>
      </c>
      <c r="H5435" s="6"/>
      <c r="I5435" s="6"/>
      <c r="J5435" s="6"/>
      <c r="K5435" s="6"/>
      <c r="L5435" s="6"/>
      <c r="M5435" s="6"/>
      <c r="N5435" s="6"/>
      <c r="O5435" s="6"/>
      <c r="P5435" s="6"/>
      <c r="Q5435" s="6"/>
      <c r="R5435" s="6"/>
      <c r="S5435" s="6"/>
      <c r="T5435" s="6"/>
      <c r="U5435" s="6"/>
      <c r="V5435" s="6"/>
      <c r="W5435" s="6"/>
      <c r="X5435" s="6"/>
      <c r="Y5435" s="6"/>
      <c r="Z5435" s="6"/>
      <c r="AA5435" s="6"/>
    </row>
    <row r="5436" ht="14.25">
      <c r="B5436" s="14" t="s">
        <v>35455</v>
      </c>
      <c r="C5436" s="4" t="s">
        <v>35456</v>
      </c>
      <c r="D5436" s="4" t="s">
        <v>35457</v>
      </c>
      <c r="E5436" s="4" t="s">
        <v>35458</v>
      </c>
      <c r="F5436" s="4" t="s">
        <v>1387</v>
      </c>
      <c r="G5436" s="4" t="s">
        <v>35459</v>
      </c>
      <c r="H5436" s="6"/>
      <c r="I5436" s="6"/>
      <c r="J5436" s="6"/>
      <c r="K5436" s="6"/>
      <c r="L5436" s="6"/>
      <c r="M5436" s="6"/>
      <c r="N5436" s="6"/>
      <c r="O5436" s="6"/>
      <c r="P5436" s="6"/>
      <c r="Q5436" s="6"/>
      <c r="R5436" s="6"/>
      <c r="S5436" s="6"/>
      <c r="T5436" s="6"/>
      <c r="U5436" s="6"/>
      <c r="V5436" s="6"/>
      <c r="W5436" s="6"/>
      <c r="X5436" s="6"/>
      <c r="Y5436" s="6"/>
      <c r="Z5436" s="6"/>
      <c r="AA5436" s="6"/>
    </row>
    <row r="5437" ht="14.25">
      <c r="B5437" s="14" t="s">
        <v>35460</v>
      </c>
      <c r="C5437" s="4" t="s">
        <v>35461</v>
      </c>
      <c r="D5437" s="4" t="s">
        <v>35462</v>
      </c>
      <c r="E5437" s="4" t="s">
        <v>35463</v>
      </c>
      <c r="F5437" s="4" t="s">
        <v>6356</v>
      </c>
      <c r="G5437" s="4" t="s">
        <v>35464</v>
      </c>
      <c r="H5437" s="6"/>
      <c r="I5437" s="6"/>
      <c r="J5437" s="6"/>
      <c r="K5437" s="6"/>
      <c r="L5437" s="6"/>
      <c r="M5437" s="6"/>
      <c r="N5437" s="6"/>
      <c r="O5437" s="6"/>
      <c r="P5437" s="6"/>
      <c r="Q5437" s="6"/>
      <c r="R5437" s="6"/>
      <c r="S5437" s="6"/>
      <c r="T5437" s="6"/>
      <c r="U5437" s="6"/>
      <c r="V5437" s="6"/>
      <c r="W5437" s="6"/>
      <c r="X5437" s="6"/>
      <c r="Y5437" s="6"/>
      <c r="Z5437" s="6"/>
      <c r="AA5437" s="6"/>
    </row>
    <row r="5438" ht="14.25">
      <c r="B5438" s="14" t="s">
        <v>35465</v>
      </c>
      <c r="C5438" s="4" t="s">
        <v>35466</v>
      </c>
      <c r="D5438" s="4" t="s">
        <v>35467</v>
      </c>
      <c r="E5438" s="4" t="s">
        <v>35468</v>
      </c>
      <c r="F5438" s="4" t="s">
        <v>32548</v>
      </c>
      <c r="G5438" s="4" t="s">
        <v>35469</v>
      </c>
      <c r="H5438" s="6"/>
      <c r="I5438" s="6"/>
      <c r="J5438" s="6"/>
      <c r="K5438" s="6"/>
      <c r="L5438" s="6"/>
      <c r="M5438" s="6"/>
      <c r="N5438" s="6"/>
      <c r="O5438" s="6"/>
      <c r="P5438" s="6"/>
      <c r="Q5438" s="6"/>
      <c r="R5438" s="6"/>
      <c r="S5438" s="6"/>
      <c r="T5438" s="6"/>
      <c r="U5438" s="6"/>
      <c r="V5438" s="6"/>
      <c r="W5438" s="6"/>
      <c r="X5438" s="6"/>
      <c r="Y5438" s="6"/>
      <c r="Z5438" s="6"/>
      <c r="AA5438" s="6"/>
    </row>
    <row r="5439" ht="14.25">
      <c r="B5439" s="14" t="s">
        <v>35465</v>
      </c>
      <c r="C5439" s="4" t="s">
        <v>35466</v>
      </c>
      <c r="D5439" s="4" t="s">
        <v>35470</v>
      </c>
      <c r="E5439" s="4" t="s">
        <v>35468</v>
      </c>
      <c r="F5439" s="4" t="s">
        <v>35471</v>
      </c>
      <c r="G5439" s="4" t="s">
        <v>35472</v>
      </c>
      <c r="H5439" s="6"/>
      <c r="I5439" s="6"/>
      <c r="J5439" s="6"/>
      <c r="K5439" s="6"/>
      <c r="L5439" s="6"/>
      <c r="M5439" s="6"/>
      <c r="N5439" s="6"/>
      <c r="O5439" s="6"/>
      <c r="P5439" s="6"/>
      <c r="Q5439" s="6"/>
      <c r="R5439" s="6"/>
      <c r="S5439" s="6"/>
      <c r="T5439" s="6"/>
      <c r="U5439" s="6"/>
      <c r="V5439" s="6"/>
      <c r="W5439" s="6"/>
      <c r="X5439" s="6"/>
      <c r="Y5439" s="6"/>
      <c r="Z5439" s="6"/>
      <c r="AA5439" s="6"/>
    </row>
    <row r="5440" ht="14.25">
      <c r="B5440" s="14" t="s">
        <v>35473</v>
      </c>
      <c r="C5440" s="4" t="s">
        <v>35474</v>
      </c>
      <c r="D5440" s="4" t="s">
        <v>35475</v>
      </c>
      <c r="E5440" s="6"/>
      <c r="F5440" s="4" t="s">
        <v>32579</v>
      </c>
      <c r="G5440" s="4" t="s">
        <v>35476</v>
      </c>
      <c r="H5440" s="6"/>
      <c r="I5440" s="6"/>
      <c r="J5440" s="6"/>
      <c r="K5440" s="6"/>
      <c r="L5440" s="6"/>
      <c r="M5440" s="6"/>
      <c r="N5440" s="6"/>
      <c r="O5440" s="6"/>
      <c r="P5440" s="6"/>
      <c r="Q5440" s="6"/>
      <c r="R5440" s="6"/>
      <c r="S5440" s="6"/>
      <c r="T5440" s="6"/>
      <c r="U5440" s="6"/>
      <c r="V5440" s="6"/>
      <c r="W5440" s="6"/>
      <c r="X5440" s="6"/>
      <c r="Y5440" s="6"/>
      <c r="Z5440" s="6"/>
      <c r="AA5440" s="6"/>
    </row>
    <row r="5441" ht="14.25">
      <c r="B5441" s="14" t="s">
        <v>35477</v>
      </c>
      <c r="C5441" s="4" t="s">
        <v>35478</v>
      </c>
      <c r="D5441" s="4" t="s">
        <v>35479</v>
      </c>
      <c r="E5441" s="4" t="s">
        <v>35480</v>
      </c>
      <c r="F5441" s="4" t="s">
        <v>35481</v>
      </c>
      <c r="G5441" s="4" t="s">
        <v>35065</v>
      </c>
      <c r="H5441" s="6"/>
      <c r="I5441" s="6"/>
      <c r="J5441" s="6"/>
      <c r="K5441" s="6"/>
      <c r="L5441" s="6"/>
      <c r="M5441" s="6"/>
      <c r="N5441" s="6"/>
      <c r="O5441" s="6"/>
      <c r="P5441" s="6"/>
      <c r="Q5441" s="6"/>
      <c r="R5441" s="6"/>
      <c r="S5441" s="6"/>
      <c r="T5441" s="6"/>
      <c r="U5441" s="6"/>
      <c r="V5441" s="6"/>
      <c r="W5441" s="6"/>
      <c r="X5441" s="6"/>
      <c r="Y5441" s="6"/>
      <c r="Z5441" s="6"/>
      <c r="AA5441" s="6"/>
    </row>
    <row r="5442" ht="14.25">
      <c r="B5442" s="14" t="s">
        <v>35477</v>
      </c>
      <c r="C5442" s="4" t="s">
        <v>35482</v>
      </c>
      <c r="D5442" s="4" t="s">
        <v>35483</v>
      </c>
      <c r="E5442" s="4" t="s">
        <v>35484</v>
      </c>
      <c r="F5442" s="4" t="s">
        <v>18731</v>
      </c>
      <c r="G5442" s="4" t="s">
        <v>34439</v>
      </c>
      <c r="H5442" s="6"/>
      <c r="I5442" s="6"/>
      <c r="J5442" s="6"/>
      <c r="K5442" s="6"/>
      <c r="L5442" s="6"/>
      <c r="M5442" s="6"/>
      <c r="N5442" s="6"/>
      <c r="O5442" s="6"/>
      <c r="P5442" s="6"/>
      <c r="Q5442" s="6"/>
      <c r="R5442" s="6"/>
      <c r="S5442" s="6"/>
      <c r="T5442" s="6"/>
      <c r="U5442" s="6"/>
      <c r="V5442" s="6"/>
      <c r="W5442" s="6"/>
      <c r="X5442" s="6"/>
      <c r="Y5442" s="6"/>
      <c r="Z5442" s="6"/>
      <c r="AA5442" s="6"/>
    </row>
    <row r="5443" ht="14.25">
      <c r="B5443" s="14" t="s">
        <v>35485</v>
      </c>
      <c r="C5443" s="4" t="s">
        <v>35486</v>
      </c>
      <c r="D5443" s="4" t="s">
        <v>35487</v>
      </c>
      <c r="E5443" s="4" t="s">
        <v>35488</v>
      </c>
      <c r="F5443" s="4" t="s">
        <v>3850</v>
      </c>
      <c r="G5443" s="4" t="s">
        <v>35489</v>
      </c>
      <c r="H5443" s="6"/>
      <c r="I5443" s="6"/>
      <c r="J5443" s="6"/>
      <c r="K5443" s="6"/>
      <c r="L5443" s="6"/>
      <c r="M5443" s="6"/>
      <c r="N5443" s="6"/>
      <c r="O5443" s="6"/>
      <c r="P5443" s="6"/>
      <c r="Q5443" s="6"/>
      <c r="R5443" s="6"/>
      <c r="S5443" s="6"/>
      <c r="T5443" s="6"/>
      <c r="U5443" s="6"/>
      <c r="V5443" s="6"/>
      <c r="W5443" s="6"/>
      <c r="X5443" s="6"/>
      <c r="Y5443" s="6"/>
      <c r="Z5443" s="6"/>
      <c r="AA5443" s="6"/>
    </row>
    <row r="5444" ht="14.25">
      <c r="B5444" s="14" t="s">
        <v>35490</v>
      </c>
      <c r="C5444" s="4" t="s">
        <v>35491</v>
      </c>
      <c r="D5444" s="4" t="s">
        <v>35492</v>
      </c>
      <c r="E5444" s="4" t="s">
        <v>35493</v>
      </c>
      <c r="F5444" s="4" t="s">
        <v>32831</v>
      </c>
      <c r="G5444" s="4" t="s">
        <v>35494</v>
      </c>
      <c r="H5444" s="6"/>
      <c r="I5444" s="6"/>
      <c r="J5444" s="6"/>
      <c r="K5444" s="6"/>
      <c r="L5444" s="6"/>
      <c r="M5444" s="6"/>
      <c r="N5444" s="6"/>
      <c r="O5444" s="6"/>
      <c r="P5444" s="6"/>
      <c r="Q5444" s="6"/>
      <c r="R5444" s="6"/>
      <c r="S5444" s="6"/>
      <c r="T5444" s="6"/>
      <c r="U5444" s="6"/>
      <c r="V5444" s="6"/>
      <c r="W5444" s="6"/>
      <c r="X5444" s="6"/>
      <c r="Y5444" s="6"/>
      <c r="Z5444" s="6"/>
      <c r="AA5444" s="6"/>
    </row>
    <row r="5445" ht="14.25">
      <c r="B5445" s="14" t="s">
        <v>35495</v>
      </c>
      <c r="C5445" s="4" t="s">
        <v>35496</v>
      </c>
      <c r="D5445" s="4" t="s">
        <v>35497</v>
      </c>
      <c r="E5445" s="6"/>
      <c r="F5445" s="4" t="s">
        <v>32891</v>
      </c>
      <c r="G5445" s="4" t="s">
        <v>35498</v>
      </c>
      <c r="H5445" s="6"/>
      <c r="I5445" s="6"/>
      <c r="J5445" s="6"/>
      <c r="K5445" s="6"/>
      <c r="L5445" s="6"/>
      <c r="M5445" s="6"/>
      <c r="N5445" s="6"/>
      <c r="O5445" s="6"/>
      <c r="P5445" s="6"/>
      <c r="Q5445" s="6"/>
      <c r="R5445" s="6"/>
      <c r="S5445" s="6"/>
      <c r="T5445" s="6"/>
      <c r="U5445" s="6"/>
      <c r="V5445" s="6"/>
      <c r="W5445" s="6"/>
      <c r="X5445" s="6"/>
      <c r="Y5445" s="6"/>
      <c r="Z5445" s="6"/>
      <c r="AA5445" s="6"/>
    </row>
    <row r="5446" ht="14.25">
      <c r="B5446" s="14" t="s">
        <v>35499</v>
      </c>
      <c r="C5446" s="4" t="s">
        <v>35500</v>
      </c>
      <c r="D5446" s="4" t="s">
        <v>35501</v>
      </c>
      <c r="E5446" s="4" t="s">
        <v>35502</v>
      </c>
      <c r="F5446" s="4" t="s">
        <v>1215</v>
      </c>
      <c r="G5446" s="4" t="s">
        <v>35503</v>
      </c>
      <c r="H5446" s="6"/>
      <c r="I5446" s="6"/>
      <c r="J5446" s="6"/>
      <c r="K5446" s="6"/>
      <c r="L5446" s="6"/>
      <c r="M5446" s="6"/>
      <c r="N5446" s="6"/>
      <c r="O5446" s="6"/>
      <c r="P5446" s="6"/>
      <c r="Q5446" s="6"/>
      <c r="R5446" s="6"/>
      <c r="S5446" s="6"/>
      <c r="T5446" s="6"/>
      <c r="U5446" s="6"/>
      <c r="V5446" s="6"/>
      <c r="W5446" s="6"/>
      <c r="X5446" s="6"/>
      <c r="Y5446" s="6"/>
      <c r="Z5446" s="6"/>
      <c r="AA5446" s="6"/>
    </row>
    <row r="5447" ht="14.25">
      <c r="B5447" s="14" t="s">
        <v>35504</v>
      </c>
      <c r="C5447" s="4" t="s">
        <v>35505</v>
      </c>
      <c r="D5447" s="4" t="s">
        <v>35506</v>
      </c>
      <c r="E5447" s="6"/>
      <c r="F5447" s="4" t="s">
        <v>1732</v>
      </c>
      <c r="G5447" s="4" t="s">
        <v>35507</v>
      </c>
      <c r="H5447" s="6"/>
      <c r="I5447" s="6"/>
      <c r="J5447" s="6"/>
      <c r="K5447" s="6"/>
      <c r="L5447" s="6"/>
      <c r="M5447" s="6"/>
      <c r="N5447" s="6"/>
      <c r="O5447" s="6"/>
      <c r="P5447" s="6"/>
      <c r="Q5447" s="6"/>
      <c r="R5447" s="6"/>
      <c r="S5447" s="6"/>
      <c r="T5447" s="6"/>
      <c r="U5447" s="6"/>
      <c r="V5447" s="6"/>
      <c r="W5447" s="6"/>
      <c r="X5447" s="6"/>
      <c r="Y5447" s="6"/>
      <c r="Z5447" s="6"/>
      <c r="AA5447" s="6"/>
    </row>
    <row r="5448" ht="14.25">
      <c r="B5448" s="14" t="s">
        <v>35504</v>
      </c>
      <c r="C5448" s="4" t="s">
        <v>35508</v>
      </c>
      <c r="D5448" s="4" t="s">
        <v>35509</v>
      </c>
      <c r="E5448" s="4" t="s">
        <v>35510</v>
      </c>
      <c r="F5448" s="4" t="s">
        <v>32622</v>
      </c>
      <c r="G5448" s="4" t="s">
        <v>35511</v>
      </c>
      <c r="H5448" s="6"/>
      <c r="I5448" s="6"/>
      <c r="J5448" s="6"/>
      <c r="K5448" s="6"/>
      <c r="L5448" s="6"/>
      <c r="M5448" s="6"/>
      <c r="N5448" s="6"/>
      <c r="O5448" s="6"/>
      <c r="P5448" s="6"/>
      <c r="Q5448" s="6"/>
      <c r="R5448" s="6"/>
      <c r="S5448" s="6"/>
      <c r="T5448" s="6"/>
      <c r="U5448" s="6"/>
      <c r="V5448" s="6"/>
      <c r="W5448" s="6"/>
      <c r="X5448" s="6"/>
      <c r="Y5448" s="6"/>
      <c r="Z5448" s="6"/>
      <c r="AA5448" s="6"/>
    </row>
    <row r="5449" ht="14.25">
      <c r="B5449" s="14" t="s">
        <v>35512</v>
      </c>
      <c r="C5449" s="4" t="s">
        <v>35513</v>
      </c>
      <c r="D5449" s="4" t="s">
        <v>35514</v>
      </c>
      <c r="E5449" s="4" t="s">
        <v>35515</v>
      </c>
      <c r="F5449" s="4" t="s">
        <v>7323</v>
      </c>
      <c r="G5449" s="4" t="s">
        <v>35516</v>
      </c>
      <c r="H5449" s="6"/>
      <c r="I5449" s="6"/>
      <c r="J5449" s="6"/>
      <c r="K5449" s="6"/>
      <c r="L5449" s="6"/>
      <c r="M5449" s="6"/>
      <c r="N5449" s="6"/>
      <c r="O5449" s="6"/>
      <c r="P5449" s="6"/>
      <c r="Q5449" s="6"/>
      <c r="R5449" s="6"/>
      <c r="S5449" s="6"/>
      <c r="T5449" s="6"/>
      <c r="U5449" s="6"/>
      <c r="V5449" s="6"/>
      <c r="W5449" s="6"/>
      <c r="X5449" s="6"/>
      <c r="Y5449" s="6"/>
      <c r="Z5449" s="6"/>
      <c r="AA5449" s="6"/>
    </row>
    <row r="5450" ht="14.25">
      <c r="B5450" s="14" t="s">
        <v>35517</v>
      </c>
      <c r="C5450" s="4" t="s">
        <v>35518</v>
      </c>
      <c r="D5450" s="4" t="s">
        <v>35519</v>
      </c>
      <c r="E5450" s="6"/>
      <c r="F5450" s="4" t="s">
        <v>4245</v>
      </c>
      <c r="G5450" s="4" t="s">
        <v>35520</v>
      </c>
      <c r="H5450" s="6"/>
      <c r="I5450" s="6"/>
      <c r="J5450" s="6"/>
      <c r="K5450" s="6"/>
      <c r="L5450" s="6"/>
      <c r="M5450" s="6"/>
      <c r="N5450" s="6"/>
      <c r="O5450" s="6"/>
      <c r="P5450" s="6"/>
      <c r="Q5450" s="6"/>
      <c r="R5450" s="6"/>
      <c r="S5450" s="6"/>
      <c r="T5450" s="6"/>
      <c r="U5450" s="6"/>
      <c r="V5450" s="6"/>
      <c r="W5450" s="6"/>
      <c r="X5450" s="6"/>
      <c r="Y5450" s="6"/>
      <c r="Z5450" s="6"/>
      <c r="AA5450" s="6"/>
    </row>
    <row r="5451" ht="14.25">
      <c r="B5451" s="14" t="s">
        <v>35521</v>
      </c>
      <c r="C5451" s="4" t="s">
        <v>35522</v>
      </c>
      <c r="D5451" s="4" t="s">
        <v>35523</v>
      </c>
      <c r="E5451" s="6"/>
      <c r="F5451" s="4" t="s">
        <v>32831</v>
      </c>
      <c r="G5451" s="4" t="s">
        <v>35524</v>
      </c>
      <c r="H5451" s="6"/>
      <c r="I5451" s="6"/>
      <c r="J5451" s="6"/>
      <c r="K5451" s="6"/>
      <c r="L5451" s="6"/>
      <c r="M5451" s="6"/>
      <c r="N5451" s="6"/>
      <c r="O5451" s="6"/>
      <c r="P5451" s="6"/>
      <c r="Q5451" s="6"/>
      <c r="R5451" s="6"/>
      <c r="S5451" s="6"/>
      <c r="T5451" s="6"/>
      <c r="U5451" s="6"/>
      <c r="V5451" s="6"/>
      <c r="W5451" s="6"/>
      <c r="X5451" s="6"/>
      <c r="Y5451" s="6"/>
      <c r="Z5451" s="6"/>
      <c r="AA5451" s="6"/>
    </row>
    <row r="5452" ht="14.25">
      <c r="B5452" s="14" t="s">
        <v>35521</v>
      </c>
      <c r="C5452" s="4" t="s">
        <v>35522</v>
      </c>
      <c r="D5452" s="4" t="s">
        <v>35525</v>
      </c>
      <c r="E5452" s="4" t="s">
        <v>35523</v>
      </c>
      <c r="F5452" s="4" t="s">
        <v>1562</v>
      </c>
      <c r="G5452" s="4" t="s">
        <v>35526</v>
      </c>
      <c r="H5452" s="6"/>
      <c r="I5452" s="6"/>
      <c r="J5452" s="6"/>
      <c r="K5452" s="6"/>
      <c r="L5452" s="6"/>
      <c r="M5452" s="6"/>
      <c r="N5452" s="6"/>
      <c r="O5452" s="6"/>
      <c r="P5452" s="6"/>
      <c r="Q5452" s="6"/>
      <c r="R5452" s="6"/>
      <c r="S5452" s="6"/>
      <c r="T5452" s="6"/>
      <c r="U5452" s="6"/>
      <c r="V5452" s="6"/>
      <c r="W5452" s="6"/>
      <c r="X5452" s="6"/>
      <c r="Y5452" s="6"/>
      <c r="Z5452" s="6"/>
      <c r="AA5452" s="6"/>
    </row>
    <row r="5453" ht="14.25">
      <c r="B5453" s="14" t="s">
        <v>35521</v>
      </c>
      <c r="C5453" s="4" t="s">
        <v>35527</v>
      </c>
      <c r="D5453" s="4" t="s">
        <v>35528</v>
      </c>
      <c r="E5453" s="4" t="s">
        <v>35529</v>
      </c>
      <c r="F5453" s="4" t="s">
        <v>1861</v>
      </c>
      <c r="G5453" s="4" t="s">
        <v>35530</v>
      </c>
      <c r="H5453" s="6"/>
      <c r="I5453" s="6"/>
      <c r="J5453" s="6"/>
      <c r="K5453" s="6"/>
      <c r="L5453" s="6"/>
      <c r="M5453" s="6"/>
      <c r="N5453" s="6"/>
      <c r="O5453" s="6"/>
      <c r="P5453" s="6"/>
      <c r="Q5453" s="6"/>
      <c r="R5453" s="6"/>
      <c r="S5453" s="6"/>
      <c r="T5453" s="6"/>
      <c r="U5453" s="6"/>
      <c r="V5453" s="6"/>
      <c r="W5453" s="6"/>
      <c r="X5453" s="6"/>
      <c r="Y5453" s="6"/>
      <c r="Z5453" s="6"/>
      <c r="AA5453" s="6"/>
    </row>
    <row r="5454" ht="14.25">
      <c r="B5454" s="14" t="s">
        <v>35521</v>
      </c>
      <c r="C5454" s="4" t="s">
        <v>35527</v>
      </c>
      <c r="D5454" s="4" t="s">
        <v>35531</v>
      </c>
      <c r="E5454" s="4" t="s">
        <v>35529</v>
      </c>
      <c r="F5454" s="4" t="s">
        <v>206</v>
      </c>
      <c r="G5454" s="4" t="s">
        <v>35532</v>
      </c>
      <c r="H5454" s="6"/>
      <c r="I5454" s="6"/>
      <c r="J5454" s="6"/>
      <c r="K5454" s="6"/>
      <c r="L5454" s="6"/>
      <c r="M5454" s="6"/>
      <c r="N5454" s="6"/>
      <c r="O5454" s="6"/>
      <c r="P5454" s="6"/>
      <c r="Q5454" s="6"/>
      <c r="R5454" s="6"/>
      <c r="S5454" s="6"/>
      <c r="T5454" s="6"/>
      <c r="U5454" s="6"/>
      <c r="V5454" s="6"/>
      <c r="W5454" s="6"/>
      <c r="X5454" s="6"/>
      <c r="Y5454" s="6"/>
      <c r="Z5454" s="6"/>
      <c r="AA5454" s="6"/>
    </row>
    <row r="5455" ht="14.25">
      <c r="B5455" s="14" t="s">
        <v>35521</v>
      </c>
      <c r="C5455" s="4" t="s">
        <v>35527</v>
      </c>
      <c r="D5455" s="4" t="s">
        <v>35533</v>
      </c>
      <c r="E5455" s="4" t="s">
        <v>35529</v>
      </c>
      <c r="F5455" s="4" t="s">
        <v>18424</v>
      </c>
      <c r="G5455" s="4" t="s">
        <v>35534</v>
      </c>
      <c r="H5455" s="6"/>
      <c r="I5455" s="6"/>
      <c r="J5455" s="6"/>
      <c r="K5455" s="6"/>
      <c r="L5455" s="6"/>
      <c r="M5455" s="6"/>
      <c r="N5455" s="6"/>
      <c r="O5455" s="6"/>
      <c r="P5455" s="6"/>
      <c r="Q5455" s="6"/>
      <c r="R5455" s="6"/>
      <c r="S5455" s="6"/>
      <c r="T5455" s="6"/>
      <c r="U5455" s="6"/>
      <c r="V5455" s="6"/>
      <c r="W5455" s="6"/>
      <c r="X5455" s="6"/>
      <c r="Y5455" s="6"/>
      <c r="Z5455" s="6"/>
      <c r="AA5455" s="6"/>
    </row>
    <row r="5456" ht="14.25">
      <c r="B5456" s="14" t="s">
        <v>35521</v>
      </c>
      <c r="C5456" s="4" t="s">
        <v>35527</v>
      </c>
      <c r="D5456" s="4" t="s">
        <v>35535</v>
      </c>
      <c r="E5456" s="4" t="s">
        <v>35529</v>
      </c>
      <c r="F5456" s="4" t="s">
        <v>2299</v>
      </c>
      <c r="G5456" s="4" t="s">
        <v>35536</v>
      </c>
      <c r="H5456" s="6"/>
      <c r="I5456" s="6"/>
      <c r="J5456" s="6"/>
      <c r="K5456" s="6"/>
      <c r="L5456" s="6"/>
      <c r="M5456" s="6"/>
      <c r="N5456" s="6"/>
      <c r="O5456" s="6"/>
      <c r="P5456" s="6"/>
      <c r="Q5456" s="6"/>
      <c r="R5456" s="6"/>
      <c r="S5456" s="6"/>
      <c r="T5456" s="6"/>
      <c r="U5456" s="6"/>
      <c r="V5456" s="6"/>
      <c r="W5456" s="6"/>
      <c r="X5456" s="6"/>
      <c r="Y5456" s="6"/>
      <c r="Z5456" s="6"/>
      <c r="AA5456" s="6"/>
    </row>
    <row r="5457" ht="14.25">
      <c r="B5457" s="14" t="s">
        <v>35537</v>
      </c>
      <c r="C5457" s="4" t="s">
        <v>35538</v>
      </c>
      <c r="D5457" s="4" t="s">
        <v>35539</v>
      </c>
      <c r="E5457" s="4" t="s">
        <v>35540</v>
      </c>
      <c r="F5457" s="4" t="s">
        <v>110</v>
      </c>
      <c r="G5457" s="4" t="s">
        <v>32551</v>
      </c>
      <c r="H5457" s="6"/>
      <c r="I5457" s="6"/>
      <c r="J5457" s="6"/>
      <c r="K5457" s="6"/>
      <c r="L5457" s="6"/>
      <c r="M5457" s="6"/>
      <c r="N5457" s="6"/>
      <c r="O5457" s="6"/>
      <c r="P5457" s="6"/>
      <c r="Q5457" s="6"/>
      <c r="R5457" s="6"/>
      <c r="S5457" s="6"/>
      <c r="T5457" s="6"/>
      <c r="U5457" s="6"/>
      <c r="V5457" s="6"/>
      <c r="W5457" s="6"/>
      <c r="X5457" s="6"/>
      <c r="Y5457" s="6"/>
      <c r="Z5457" s="6"/>
      <c r="AA5457" s="6"/>
    </row>
    <row r="5458" ht="14.25">
      <c r="B5458" s="14" t="s">
        <v>35537</v>
      </c>
      <c r="C5458" s="4" t="s">
        <v>35538</v>
      </c>
      <c r="D5458" s="4" t="s">
        <v>35541</v>
      </c>
      <c r="E5458" s="4" t="s">
        <v>35540</v>
      </c>
      <c r="F5458" s="4" t="s">
        <v>222</v>
      </c>
      <c r="G5458" s="4" t="s">
        <v>35542</v>
      </c>
      <c r="H5458" s="6"/>
      <c r="I5458" s="6"/>
      <c r="J5458" s="6"/>
      <c r="K5458" s="6"/>
      <c r="L5458" s="6"/>
      <c r="M5458" s="6"/>
      <c r="N5458" s="6"/>
      <c r="O5458" s="6"/>
      <c r="P5458" s="6"/>
      <c r="Q5458" s="6"/>
      <c r="R5458" s="6"/>
      <c r="S5458" s="6"/>
      <c r="T5458" s="6"/>
      <c r="U5458" s="6"/>
      <c r="V5458" s="6"/>
      <c r="W5458" s="6"/>
      <c r="X5458" s="6"/>
      <c r="Y5458" s="6"/>
      <c r="Z5458" s="6"/>
      <c r="AA5458" s="6"/>
    </row>
    <row r="5459" ht="14.25">
      <c r="B5459" s="14" t="s">
        <v>35543</v>
      </c>
      <c r="C5459" s="4" t="s">
        <v>35544</v>
      </c>
      <c r="D5459" s="4" t="s">
        <v>35545</v>
      </c>
      <c r="E5459" s="4" t="s">
        <v>35546</v>
      </c>
      <c r="F5459" s="4" t="s">
        <v>1215</v>
      </c>
      <c r="G5459" s="4" t="s">
        <v>35547</v>
      </c>
      <c r="H5459" s="6"/>
      <c r="I5459" s="6"/>
      <c r="J5459" s="6"/>
      <c r="K5459" s="6"/>
      <c r="L5459" s="6"/>
      <c r="M5459" s="6"/>
      <c r="N5459" s="6"/>
      <c r="O5459" s="6"/>
      <c r="P5459" s="6"/>
      <c r="Q5459" s="6"/>
      <c r="R5459" s="6"/>
      <c r="S5459" s="6"/>
      <c r="T5459" s="6"/>
      <c r="U5459" s="6"/>
      <c r="V5459" s="6"/>
      <c r="W5459" s="6"/>
      <c r="X5459" s="6"/>
      <c r="Y5459" s="6"/>
      <c r="Z5459" s="6"/>
      <c r="AA5459" s="6"/>
    </row>
    <row r="5460" ht="14.25">
      <c r="B5460" s="14" t="s">
        <v>35548</v>
      </c>
      <c r="C5460" s="4" t="s">
        <v>35549</v>
      </c>
      <c r="D5460" s="4" t="s">
        <v>35550</v>
      </c>
      <c r="E5460" s="4" t="s">
        <v>35551</v>
      </c>
      <c r="F5460" s="4" t="s">
        <v>32616</v>
      </c>
      <c r="G5460" s="4" t="s">
        <v>35552</v>
      </c>
      <c r="H5460" s="6"/>
      <c r="I5460" s="6"/>
      <c r="J5460" s="6"/>
      <c r="K5460" s="6"/>
      <c r="L5460" s="6"/>
      <c r="M5460" s="6"/>
      <c r="N5460" s="6"/>
      <c r="O5460" s="6"/>
      <c r="P5460" s="6"/>
      <c r="Q5460" s="6"/>
      <c r="R5460" s="6"/>
      <c r="S5460" s="6"/>
      <c r="T5460" s="6"/>
      <c r="U5460" s="6"/>
      <c r="V5460" s="6"/>
      <c r="W5460" s="6"/>
      <c r="X5460" s="6"/>
      <c r="Y5460" s="6"/>
      <c r="Z5460" s="6"/>
      <c r="AA5460" s="6"/>
    </row>
    <row r="5461" ht="14.25">
      <c r="B5461" s="14" t="s">
        <v>35548</v>
      </c>
      <c r="C5461" s="4" t="s">
        <v>35553</v>
      </c>
      <c r="D5461" s="4" t="s">
        <v>35554</v>
      </c>
      <c r="E5461" s="4" t="s">
        <v>35555</v>
      </c>
      <c r="F5461" s="4" t="s">
        <v>110</v>
      </c>
      <c r="G5461" s="4" t="s">
        <v>35556</v>
      </c>
      <c r="H5461" s="6"/>
      <c r="I5461" s="6"/>
      <c r="J5461" s="6"/>
      <c r="K5461" s="6"/>
      <c r="L5461" s="6"/>
      <c r="M5461" s="6"/>
      <c r="N5461" s="6"/>
      <c r="O5461" s="6"/>
      <c r="P5461" s="6"/>
      <c r="Q5461" s="6"/>
      <c r="R5461" s="6"/>
      <c r="S5461" s="6"/>
      <c r="T5461" s="6"/>
      <c r="U5461" s="6"/>
      <c r="V5461" s="6"/>
      <c r="W5461" s="6"/>
      <c r="X5461" s="6"/>
      <c r="Y5461" s="6"/>
      <c r="Z5461" s="6"/>
      <c r="AA5461" s="6"/>
    </row>
    <row r="5462" ht="14.25">
      <c r="B5462" s="14" t="s">
        <v>35548</v>
      </c>
      <c r="C5462" s="4" t="s">
        <v>35553</v>
      </c>
      <c r="D5462" s="4" t="s">
        <v>35557</v>
      </c>
      <c r="E5462" s="4" t="s">
        <v>35555</v>
      </c>
      <c r="F5462" s="4" t="s">
        <v>6788</v>
      </c>
      <c r="G5462" s="4" t="s">
        <v>35558</v>
      </c>
      <c r="H5462" s="6"/>
      <c r="I5462" s="6"/>
      <c r="J5462" s="6"/>
      <c r="K5462" s="6"/>
      <c r="L5462" s="6"/>
      <c r="M5462" s="6"/>
      <c r="N5462" s="6"/>
      <c r="O5462" s="6"/>
      <c r="P5462" s="6"/>
      <c r="Q5462" s="6"/>
      <c r="R5462" s="6"/>
      <c r="S5462" s="6"/>
      <c r="T5462" s="6"/>
      <c r="U5462" s="6"/>
      <c r="V5462" s="6"/>
      <c r="W5462" s="6"/>
      <c r="X5462" s="6"/>
      <c r="Y5462" s="6"/>
      <c r="Z5462" s="6"/>
      <c r="AA5462" s="6"/>
    </row>
    <row r="5463" ht="14.25">
      <c r="B5463" s="14" t="s">
        <v>35548</v>
      </c>
      <c r="C5463" s="4" t="s">
        <v>35559</v>
      </c>
      <c r="D5463" s="4" t="s">
        <v>35560</v>
      </c>
      <c r="E5463" s="4" t="s">
        <v>35561</v>
      </c>
      <c r="F5463" s="4" t="s">
        <v>35562</v>
      </c>
      <c r="G5463" s="4" t="s">
        <v>35563</v>
      </c>
      <c r="H5463" s="6"/>
      <c r="I5463" s="6"/>
      <c r="J5463" s="6"/>
      <c r="K5463" s="6"/>
      <c r="L5463" s="6"/>
      <c r="M5463" s="6"/>
      <c r="N5463" s="6"/>
      <c r="O5463" s="6"/>
      <c r="P5463" s="6"/>
      <c r="Q5463" s="6"/>
      <c r="R5463" s="6"/>
      <c r="S5463" s="6"/>
      <c r="T5463" s="6"/>
      <c r="U5463" s="6"/>
      <c r="V5463" s="6"/>
      <c r="W5463" s="6"/>
      <c r="X5463" s="6"/>
      <c r="Y5463" s="6"/>
      <c r="Z5463" s="6"/>
      <c r="AA5463" s="6"/>
    </row>
    <row r="5464" ht="14.25">
      <c r="B5464" s="14" t="s">
        <v>35548</v>
      </c>
      <c r="C5464" s="4" t="s">
        <v>35553</v>
      </c>
      <c r="D5464" s="4" t="s">
        <v>35564</v>
      </c>
      <c r="E5464" s="4" t="s">
        <v>35555</v>
      </c>
      <c r="F5464" s="4" t="s">
        <v>32658</v>
      </c>
      <c r="G5464" s="4" t="s">
        <v>32549</v>
      </c>
      <c r="H5464" s="6"/>
      <c r="I5464" s="6"/>
      <c r="J5464" s="6"/>
      <c r="K5464" s="6"/>
      <c r="L5464" s="6"/>
      <c r="M5464" s="6"/>
      <c r="N5464" s="6"/>
      <c r="O5464" s="6"/>
      <c r="P5464" s="6"/>
      <c r="Q5464" s="6"/>
      <c r="R5464" s="6"/>
      <c r="S5464" s="6"/>
      <c r="T5464" s="6"/>
      <c r="U5464" s="6"/>
      <c r="V5464" s="6"/>
      <c r="W5464" s="6"/>
      <c r="X5464" s="6"/>
      <c r="Y5464" s="6"/>
      <c r="Z5464" s="6"/>
      <c r="AA5464" s="6"/>
    </row>
    <row r="5465" ht="14.25">
      <c r="B5465" s="14" t="s">
        <v>35548</v>
      </c>
      <c r="C5465" s="4" t="s">
        <v>35565</v>
      </c>
      <c r="D5465" s="4" t="s">
        <v>35566</v>
      </c>
      <c r="E5465" s="4" t="s">
        <v>35567</v>
      </c>
      <c r="F5465" s="4" t="s">
        <v>768</v>
      </c>
      <c r="G5465" s="4" t="s">
        <v>35568</v>
      </c>
      <c r="H5465" s="6"/>
      <c r="I5465" s="6"/>
      <c r="J5465" s="6"/>
      <c r="K5465" s="6"/>
      <c r="L5465" s="6"/>
      <c r="M5465" s="6"/>
      <c r="N5465" s="6"/>
      <c r="O5465" s="6"/>
      <c r="P5465" s="6"/>
      <c r="Q5465" s="6"/>
      <c r="R5465" s="6"/>
      <c r="S5465" s="6"/>
      <c r="T5465" s="6"/>
      <c r="U5465" s="6"/>
      <c r="V5465" s="6"/>
      <c r="W5465" s="6"/>
      <c r="X5465" s="6"/>
      <c r="Y5465" s="6"/>
      <c r="Z5465" s="6"/>
      <c r="AA5465" s="6"/>
    </row>
    <row r="5466" ht="14.25">
      <c r="B5466" s="14" t="s">
        <v>35548</v>
      </c>
      <c r="C5466" s="4" t="s">
        <v>35565</v>
      </c>
      <c r="D5466" s="4" t="s">
        <v>35569</v>
      </c>
      <c r="E5466" s="4" t="s">
        <v>35567</v>
      </c>
      <c r="F5466" s="4" t="s">
        <v>1153</v>
      </c>
      <c r="G5466" s="4" t="s">
        <v>35570</v>
      </c>
      <c r="H5466" s="6"/>
      <c r="I5466" s="6"/>
      <c r="J5466" s="6"/>
      <c r="K5466" s="6"/>
      <c r="L5466" s="6"/>
      <c r="M5466" s="6"/>
      <c r="N5466" s="6"/>
      <c r="O5466" s="6"/>
      <c r="P5466" s="6"/>
      <c r="Q5466" s="6"/>
      <c r="R5466" s="6"/>
      <c r="S5466" s="6"/>
      <c r="T5466" s="6"/>
      <c r="U5466" s="6"/>
      <c r="V5466" s="6"/>
      <c r="W5466" s="6"/>
      <c r="X5466" s="6"/>
      <c r="Y5466" s="6"/>
      <c r="Z5466" s="6"/>
      <c r="AA5466" s="6"/>
    </row>
    <row r="5467" ht="14.25">
      <c r="B5467" s="14" t="s">
        <v>35548</v>
      </c>
      <c r="C5467" s="4" t="s">
        <v>35571</v>
      </c>
      <c r="D5467" s="4" t="s">
        <v>35572</v>
      </c>
      <c r="E5467" s="6"/>
      <c r="F5467" s="4" t="s">
        <v>579</v>
      </c>
      <c r="G5467" s="4" t="s">
        <v>35573</v>
      </c>
      <c r="H5467" s="6"/>
      <c r="I5467" s="6"/>
      <c r="J5467" s="6"/>
      <c r="K5467" s="6"/>
      <c r="L5467" s="6"/>
      <c r="M5467" s="6"/>
      <c r="N5467" s="6"/>
      <c r="O5467" s="6"/>
      <c r="P5467" s="6"/>
      <c r="Q5467" s="6"/>
      <c r="R5467" s="6"/>
      <c r="S5467" s="6"/>
      <c r="T5467" s="6"/>
      <c r="U5467" s="6"/>
      <c r="V5467" s="6"/>
      <c r="W5467" s="6"/>
      <c r="X5467" s="6"/>
      <c r="Y5467" s="6"/>
      <c r="Z5467" s="6"/>
      <c r="AA5467" s="6"/>
    </row>
    <row r="5468" ht="14.25">
      <c r="B5468" s="14" t="s">
        <v>35548</v>
      </c>
      <c r="C5468" s="4" t="s">
        <v>35559</v>
      </c>
      <c r="D5468" s="4" t="s">
        <v>35574</v>
      </c>
      <c r="E5468" s="4" t="s">
        <v>35561</v>
      </c>
      <c r="F5468" s="4" t="s">
        <v>2299</v>
      </c>
      <c r="G5468" s="4" t="s">
        <v>35575</v>
      </c>
      <c r="H5468" s="6"/>
      <c r="I5468" s="6"/>
      <c r="J5468" s="6"/>
      <c r="K5468" s="6"/>
      <c r="L5468" s="6"/>
      <c r="M5468" s="6"/>
      <c r="N5468" s="6"/>
      <c r="O5468" s="6"/>
      <c r="P5468" s="6"/>
      <c r="Q5468" s="6"/>
      <c r="R5468" s="6"/>
      <c r="S5468" s="6"/>
      <c r="T5468" s="6"/>
      <c r="U5468" s="6"/>
      <c r="V5468" s="6"/>
      <c r="W5468" s="6"/>
      <c r="X5468" s="6"/>
      <c r="Y5468" s="6"/>
      <c r="Z5468" s="6"/>
      <c r="AA5468" s="6"/>
    </row>
    <row r="5469" ht="14.25">
      <c r="B5469" s="14" t="s">
        <v>35548</v>
      </c>
      <c r="C5469" s="4" t="s">
        <v>35576</v>
      </c>
      <c r="D5469" s="4" t="s">
        <v>35577</v>
      </c>
      <c r="E5469" s="4" t="s">
        <v>35578</v>
      </c>
      <c r="F5469" s="4" t="s">
        <v>6356</v>
      </c>
      <c r="G5469" s="4" t="s">
        <v>35579</v>
      </c>
      <c r="H5469" s="6"/>
      <c r="I5469" s="6"/>
      <c r="J5469" s="6"/>
      <c r="K5469" s="6"/>
      <c r="L5469" s="6"/>
      <c r="M5469" s="6"/>
      <c r="N5469" s="6"/>
      <c r="O5469" s="6"/>
      <c r="P5469" s="6"/>
      <c r="Q5469" s="6"/>
      <c r="R5469" s="6"/>
      <c r="S5469" s="6"/>
      <c r="T5469" s="6"/>
      <c r="U5469" s="6"/>
      <c r="V5469" s="6"/>
      <c r="W5469" s="6"/>
      <c r="X5469" s="6"/>
      <c r="Y5469" s="6"/>
      <c r="Z5469" s="6"/>
      <c r="AA5469" s="6"/>
    </row>
    <row r="5470" ht="14.25">
      <c r="B5470" s="14" t="s">
        <v>35548</v>
      </c>
      <c r="C5470" s="4" t="s">
        <v>35565</v>
      </c>
      <c r="D5470" s="4" t="s">
        <v>35580</v>
      </c>
      <c r="E5470" s="4" t="s">
        <v>35567</v>
      </c>
      <c r="F5470" s="4" t="s">
        <v>1732</v>
      </c>
      <c r="G5470" s="4" t="s">
        <v>35581</v>
      </c>
      <c r="H5470" s="6"/>
      <c r="I5470" s="6"/>
      <c r="J5470" s="6"/>
      <c r="K5470" s="6"/>
      <c r="L5470" s="6"/>
      <c r="M5470" s="6"/>
      <c r="N5470" s="6"/>
      <c r="O5470" s="6"/>
      <c r="P5470" s="6"/>
      <c r="Q5470" s="6"/>
      <c r="R5470" s="6"/>
      <c r="S5470" s="6"/>
      <c r="T5470" s="6"/>
      <c r="U5470" s="6"/>
      <c r="V5470" s="6"/>
      <c r="W5470" s="6"/>
      <c r="X5470" s="6"/>
      <c r="Y5470" s="6"/>
      <c r="Z5470" s="6"/>
      <c r="AA5470" s="6"/>
    </row>
    <row r="5471" ht="14.25">
      <c r="B5471" s="14" t="s">
        <v>35548</v>
      </c>
      <c r="C5471" s="4" t="s">
        <v>35576</v>
      </c>
      <c r="D5471" s="4" t="s">
        <v>35582</v>
      </c>
      <c r="E5471" s="4" t="s">
        <v>35578</v>
      </c>
      <c r="F5471" s="4" t="s">
        <v>4986</v>
      </c>
      <c r="G5471" s="4" t="s">
        <v>35583</v>
      </c>
      <c r="H5471" s="6"/>
      <c r="I5471" s="6"/>
      <c r="J5471" s="6"/>
      <c r="K5471" s="6"/>
      <c r="L5471" s="6"/>
      <c r="M5471" s="6"/>
      <c r="N5471" s="6"/>
      <c r="O5471" s="6"/>
      <c r="P5471" s="6"/>
      <c r="Q5471" s="6"/>
      <c r="R5471" s="6"/>
      <c r="S5471" s="6"/>
      <c r="T5471" s="6"/>
      <c r="U5471" s="6"/>
      <c r="V5471" s="6"/>
      <c r="W5471" s="6"/>
      <c r="X5471" s="6"/>
      <c r="Y5471" s="6"/>
      <c r="Z5471" s="6"/>
      <c r="AA5471" s="6"/>
    </row>
    <row r="5472" ht="14.25">
      <c r="B5472" s="14" t="s">
        <v>35548</v>
      </c>
      <c r="C5472" s="4" t="s">
        <v>35584</v>
      </c>
      <c r="D5472" s="4" t="s">
        <v>35585</v>
      </c>
      <c r="E5472" s="4" t="s">
        <v>35586</v>
      </c>
      <c r="F5472" s="4" t="s">
        <v>95</v>
      </c>
      <c r="G5472" s="4" t="s">
        <v>35587</v>
      </c>
      <c r="H5472" s="6"/>
      <c r="I5472" s="6"/>
      <c r="J5472" s="6"/>
      <c r="K5472" s="6"/>
      <c r="L5472" s="6"/>
      <c r="M5472" s="6"/>
      <c r="N5472" s="6"/>
      <c r="O5472" s="6"/>
      <c r="P5472" s="6"/>
      <c r="Q5472" s="6"/>
      <c r="R5472" s="6"/>
      <c r="S5472" s="6"/>
      <c r="T5472" s="6"/>
      <c r="U5472" s="6"/>
      <c r="V5472" s="6"/>
      <c r="W5472" s="6"/>
      <c r="X5472" s="6"/>
      <c r="Y5472" s="6"/>
      <c r="Z5472" s="6"/>
      <c r="AA5472" s="6"/>
    </row>
    <row r="5473" ht="14.25">
      <c r="B5473" s="14" t="s">
        <v>35588</v>
      </c>
      <c r="C5473" s="4" t="s">
        <v>35589</v>
      </c>
      <c r="D5473" s="4" t="s">
        <v>35590</v>
      </c>
      <c r="E5473" s="6"/>
      <c r="F5473" s="4" t="s">
        <v>1667</v>
      </c>
      <c r="G5473" s="4" t="s">
        <v>35591</v>
      </c>
      <c r="H5473" s="6"/>
      <c r="I5473" s="6"/>
      <c r="J5473" s="6"/>
      <c r="K5473" s="6"/>
      <c r="L5473" s="6"/>
      <c r="M5473" s="6"/>
      <c r="N5473" s="6"/>
      <c r="O5473" s="6"/>
      <c r="P5473" s="6"/>
      <c r="Q5473" s="6"/>
      <c r="R5473" s="6"/>
      <c r="S5473" s="6"/>
      <c r="T5473" s="6"/>
      <c r="U5473" s="6"/>
      <c r="V5473" s="6"/>
      <c r="W5473" s="6"/>
      <c r="X5473" s="6"/>
      <c r="Y5473" s="6"/>
      <c r="Z5473" s="6"/>
      <c r="AA5473" s="6"/>
    </row>
    <row r="5474" ht="14.25">
      <c r="B5474" s="14" t="s">
        <v>35592</v>
      </c>
      <c r="C5474" s="4" t="s">
        <v>35593</v>
      </c>
      <c r="D5474" s="4" t="s">
        <v>35594</v>
      </c>
      <c r="E5474" s="6"/>
      <c r="F5474" s="4" t="s">
        <v>32891</v>
      </c>
      <c r="G5474" s="4" t="s">
        <v>35595</v>
      </c>
      <c r="H5474" s="6"/>
      <c r="I5474" s="6"/>
      <c r="J5474" s="6"/>
      <c r="K5474" s="6"/>
      <c r="L5474" s="6"/>
      <c r="M5474" s="6"/>
      <c r="N5474" s="6"/>
      <c r="O5474" s="6"/>
      <c r="P5474" s="6"/>
      <c r="Q5474" s="6"/>
      <c r="R5474" s="6"/>
      <c r="S5474" s="6"/>
      <c r="T5474" s="6"/>
      <c r="U5474" s="6"/>
      <c r="V5474" s="6"/>
      <c r="W5474" s="6"/>
      <c r="X5474" s="6"/>
      <c r="Y5474" s="6"/>
      <c r="Z5474" s="6"/>
      <c r="AA5474" s="6"/>
    </row>
    <row r="5475" ht="14.25">
      <c r="B5475" s="14" t="s">
        <v>35592</v>
      </c>
      <c r="C5475" s="4" t="s">
        <v>35596</v>
      </c>
      <c r="D5475" s="4" t="s">
        <v>35597</v>
      </c>
      <c r="E5475" s="4" t="s">
        <v>35598</v>
      </c>
      <c r="F5475" s="4" t="s">
        <v>670</v>
      </c>
      <c r="G5475" s="4" t="s">
        <v>35599</v>
      </c>
      <c r="H5475" s="6"/>
      <c r="I5475" s="6"/>
      <c r="J5475" s="6"/>
      <c r="K5475" s="6"/>
      <c r="L5475" s="6"/>
      <c r="M5475" s="6"/>
      <c r="N5475" s="6"/>
      <c r="O5475" s="6"/>
      <c r="P5475" s="6"/>
      <c r="Q5475" s="6"/>
      <c r="R5475" s="6"/>
      <c r="S5475" s="6"/>
      <c r="T5475" s="6"/>
      <c r="U5475" s="6"/>
      <c r="V5475" s="6"/>
      <c r="W5475" s="6"/>
      <c r="X5475" s="6"/>
      <c r="Y5475" s="6"/>
      <c r="Z5475" s="6"/>
      <c r="AA5475" s="6"/>
    </row>
    <row r="5476" ht="14.25">
      <c r="B5476" s="14" t="s">
        <v>35592</v>
      </c>
      <c r="C5476" s="4" t="s">
        <v>35596</v>
      </c>
      <c r="D5476" s="4" t="s">
        <v>35600</v>
      </c>
      <c r="E5476" s="4" t="s">
        <v>35598</v>
      </c>
      <c r="F5476" s="4" t="s">
        <v>2994</v>
      </c>
      <c r="G5476" s="4" t="s">
        <v>35599</v>
      </c>
      <c r="H5476" s="6"/>
      <c r="I5476" s="6"/>
      <c r="J5476" s="6"/>
      <c r="K5476" s="6"/>
      <c r="L5476" s="6"/>
      <c r="M5476" s="6"/>
      <c r="N5476" s="6"/>
      <c r="O5476" s="6"/>
      <c r="P5476" s="6"/>
      <c r="Q5476" s="6"/>
      <c r="R5476" s="6"/>
      <c r="S5476" s="6"/>
      <c r="T5476" s="6"/>
      <c r="U5476" s="6"/>
      <c r="V5476" s="6"/>
      <c r="W5476" s="6"/>
      <c r="X5476" s="6"/>
      <c r="Y5476" s="6"/>
      <c r="Z5476" s="6"/>
      <c r="AA5476" s="6"/>
    </row>
    <row r="5477" ht="14.25">
      <c r="B5477" s="14" t="s">
        <v>35592</v>
      </c>
      <c r="C5477" s="4" t="s">
        <v>35601</v>
      </c>
      <c r="D5477" s="4" t="s">
        <v>35602</v>
      </c>
      <c r="E5477" s="4" t="s">
        <v>35603</v>
      </c>
      <c r="F5477" s="4" t="s">
        <v>178</v>
      </c>
      <c r="G5477" s="4" t="s">
        <v>35604</v>
      </c>
      <c r="H5477" s="6"/>
      <c r="I5477" s="6"/>
      <c r="J5477" s="6"/>
      <c r="K5477" s="6"/>
      <c r="L5477" s="6"/>
      <c r="M5477" s="6"/>
      <c r="N5477" s="6"/>
      <c r="O5477" s="6"/>
      <c r="P5477" s="6"/>
      <c r="Q5477" s="6"/>
      <c r="R5477" s="6"/>
      <c r="S5477" s="6"/>
      <c r="T5477" s="6"/>
      <c r="U5477" s="6"/>
      <c r="V5477" s="6"/>
      <c r="W5477" s="6"/>
      <c r="X5477" s="6"/>
      <c r="Y5477" s="6"/>
      <c r="Z5477" s="6"/>
      <c r="AA5477" s="6"/>
    </row>
    <row r="5478" ht="14.25">
      <c r="B5478" s="14" t="s">
        <v>35592</v>
      </c>
      <c r="C5478" s="4" t="s">
        <v>35605</v>
      </c>
      <c r="D5478" s="4" t="s">
        <v>35606</v>
      </c>
      <c r="E5478" s="4" t="s">
        <v>35607</v>
      </c>
      <c r="F5478" s="4" t="s">
        <v>1596</v>
      </c>
      <c r="G5478" s="4" t="s">
        <v>35608</v>
      </c>
      <c r="H5478" s="6"/>
      <c r="I5478" s="6"/>
      <c r="J5478" s="6"/>
      <c r="K5478" s="6"/>
      <c r="L5478" s="6"/>
      <c r="M5478" s="6"/>
      <c r="N5478" s="6"/>
      <c r="O5478" s="6"/>
      <c r="P5478" s="6"/>
      <c r="Q5478" s="6"/>
      <c r="R5478" s="6"/>
      <c r="S5478" s="6"/>
      <c r="T5478" s="6"/>
      <c r="U5478" s="6"/>
      <c r="V5478" s="6"/>
      <c r="W5478" s="6"/>
      <c r="X5478" s="6"/>
      <c r="Y5478" s="6"/>
      <c r="Z5478" s="6"/>
      <c r="AA5478" s="6"/>
    </row>
    <row r="5479" ht="14.25">
      <c r="B5479" s="14" t="s">
        <v>35609</v>
      </c>
      <c r="C5479" s="4" t="s">
        <v>35610</v>
      </c>
      <c r="D5479" s="4" t="s">
        <v>35611</v>
      </c>
      <c r="E5479" s="4" t="s">
        <v>35612</v>
      </c>
      <c r="F5479" s="4" t="s">
        <v>4026</v>
      </c>
      <c r="G5479" s="4" t="s">
        <v>35613</v>
      </c>
      <c r="H5479" s="6"/>
      <c r="I5479" s="6"/>
      <c r="J5479" s="6"/>
      <c r="K5479" s="6"/>
      <c r="L5479" s="6"/>
      <c r="M5479" s="6"/>
      <c r="N5479" s="6"/>
      <c r="O5479" s="6"/>
      <c r="P5479" s="6"/>
      <c r="Q5479" s="6"/>
      <c r="R5479" s="6"/>
      <c r="S5479" s="6"/>
      <c r="T5479" s="6"/>
      <c r="U5479" s="6"/>
      <c r="V5479" s="6"/>
      <c r="W5479" s="6"/>
      <c r="X5479" s="6"/>
      <c r="Y5479" s="6"/>
      <c r="Z5479" s="6"/>
      <c r="AA5479" s="6"/>
    </row>
    <row r="5480" ht="14.25">
      <c r="B5480" s="14" t="s">
        <v>35609</v>
      </c>
      <c r="C5480" s="4" t="s">
        <v>35610</v>
      </c>
      <c r="D5480" s="4" t="s">
        <v>35614</v>
      </c>
      <c r="E5480" s="4" t="s">
        <v>35612</v>
      </c>
      <c r="F5480" s="4" t="s">
        <v>32548</v>
      </c>
      <c r="G5480" s="4" t="s">
        <v>35615</v>
      </c>
      <c r="H5480" s="6"/>
      <c r="I5480" s="6"/>
      <c r="J5480" s="6"/>
      <c r="K5480" s="6"/>
      <c r="L5480" s="6"/>
      <c r="M5480" s="6"/>
      <c r="N5480" s="6"/>
      <c r="O5480" s="6"/>
      <c r="P5480" s="6"/>
      <c r="Q5480" s="6"/>
      <c r="R5480" s="6"/>
      <c r="S5480" s="6"/>
      <c r="T5480" s="6"/>
      <c r="U5480" s="6"/>
      <c r="V5480" s="6"/>
      <c r="W5480" s="6"/>
      <c r="X5480" s="6"/>
      <c r="Y5480" s="6"/>
      <c r="Z5480" s="6"/>
      <c r="AA5480" s="6"/>
    </row>
    <row r="5481" ht="14.25">
      <c r="B5481" s="14" t="s">
        <v>35609</v>
      </c>
      <c r="C5481" s="4" t="s">
        <v>35610</v>
      </c>
      <c r="D5481" s="4" t="s">
        <v>35616</v>
      </c>
      <c r="E5481" s="4" t="s">
        <v>35612</v>
      </c>
      <c r="F5481" s="4" t="s">
        <v>4115</v>
      </c>
      <c r="G5481" s="4" t="s">
        <v>35617</v>
      </c>
      <c r="H5481" s="6"/>
      <c r="I5481" s="6"/>
      <c r="J5481" s="6"/>
      <c r="K5481" s="6"/>
      <c r="L5481" s="6"/>
      <c r="M5481" s="6"/>
      <c r="N5481" s="6"/>
      <c r="O5481" s="6"/>
      <c r="P5481" s="6"/>
      <c r="Q5481" s="6"/>
      <c r="R5481" s="6"/>
      <c r="S5481" s="6"/>
      <c r="T5481" s="6"/>
      <c r="U5481" s="6"/>
      <c r="V5481" s="6"/>
      <c r="W5481" s="6"/>
      <c r="X5481" s="6"/>
      <c r="Y5481" s="6"/>
      <c r="Z5481" s="6"/>
      <c r="AA5481" s="6"/>
    </row>
    <row r="5482" ht="14.25">
      <c r="B5482" s="14" t="s">
        <v>35609</v>
      </c>
      <c r="C5482" s="4" t="s">
        <v>35610</v>
      </c>
      <c r="D5482" s="4" t="s">
        <v>35618</v>
      </c>
      <c r="E5482" s="4" t="s">
        <v>35612</v>
      </c>
      <c r="F5482" s="4" t="s">
        <v>2419</v>
      </c>
      <c r="G5482" s="4" t="s">
        <v>35619</v>
      </c>
      <c r="H5482" s="6"/>
      <c r="I5482" s="6"/>
      <c r="J5482" s="6"/>
      <c r="K5482" s="6"/>
      <c r="L5482" s="6"/>
      <c r="M5482" s="6"/>
      <c r="N5482" s="6"/>
      <c r="O5482" s="6"/>
      <c r="P5482" s="6"/>
      <c r="Q5482" s="6"/>
      <c r="R5482" s="6"/>
      <c r="S5482" s="6"/>
      <c r="T5482" s="6"/>
      <c r="U5482" s="6"/>
      <c r="V5482" s="6"/>
      <c r="W5482" s="6"/>
      <c r="X5482" s="6"/>
      <c r="Y5482" s="6"/>
      <c r="Z5482" s="6"/>
      <c r="AA5482" s="6"/>
    </row>
    <row r="5483" ht="14.25">
      <c r="B5483" s="14" t="s">
        <v>35620</v>
      </c>
      <c r="C5483" s="4" t="s">
        <v>35621</v>
      </c>
      <c r="D5483" s="4" t="s">
        <v>35622</v>
      </c>
      <c r="E5483" s="4" t="s">
        <v>35623</v>
      </c>
      <c r="F5483" s="4" t="s">
        <v>32736</v>
      </c>
      <c r="G5483" s="4" t="s">
        <v>35624</v>
      </c>
      <c r="H5483" s="6"/>
      <c r="I5483" s="6"/>
      <c r="J5483" s="6"/>
      <c r="K5483" s="6"/>
      <c r="L5483" s="6"/>
      <c r="M5483" s="6"/>
      <c r="N5483" s="6"/>
      <c r="O5483" s="6"/>
      <c r="P5483" s="6"/>
      <c r="Q5483" s="6"/>
      <c r="R5483" s="6"/>
      <c r="S5483" s="6"/>
      <c r="T5483" s="6"/>
      <c r="U5483" s="6"/>
      <c r="V5483" s="6"/>
      <c r="W5483" s="6"/>
      <c r="X5483" s="6"/>
      <c r="Y5483" s="6"/>
      <c r="Z5483" s="6"/>
      <c r="AA5483" s="6"/>
    </row>
    <row r="5484" ht="14.25">
      <c r="B5484" s="14" t="s">
        <v>35625</v>
      </c>
      <c r="C5484" s="4" t="s">
        <v>35626</v>
      </c>
      <c r="D5484" s="4" t="s">
        <v>35627</v>
      </c>
      <c r="E5484" s="4" t="s">
        <v>35628</v>
      </c>
      <c r="F5484" s="4" t="s">
        <v>35629</v>
      </c>
      <c r="G5484" s="4" t="s">
        <v>35630</v>
      </c>
      <c r="H5484" s="6"/>
      <c r="I5484" s="6"/>
      <c r="J5484" s="6"/>
      <c r="K5484" s="6"/>
      <c r="L5484" s="6"/>
      <c r="M5484" s="6"/>
      <c r="N5484" s="6"/>
      <c r="O5484" s="6"/>
      <c r="P5484" s="6"/>
      <c r="Q5484" s="6"/>
      <c r="R5484" s="6"/>
      <c r="S5484" s="6"/>
      <c r="T5484" s="6"/>
      <c r="U5484" s="6"/>
      <c r="V5484" s="6"/>
      <c r="W5484" s="6"/>
      <c r="X5484" s="6"/>
      <c r="Y5484" s="6"/>
      <c r="Z5484" s="6"/>
      <c r="AA5484" s="6"/>
    </row>
    <row r="5485" ht="14.25">
      <c r="B5485" s="14" t="s">
        <v>35625</v>
      </c>
      <c r="C5485" s="4" t="s">
        <v>35626</v>
      </c>
      <c r="D5485" s="4" t="s">
        <v>35631</v>
      </c>
      <c r="E5485" s="4" t="s">
        <v>35628</v>
      </c>
      <c r="F5485" s="4" t="s">
        <v>35368</v>
      </c>
      <c r="G5485" s="4" t="s">
        <v>35632</v>
      </c>
      <c r="H5485" s="6"/>
      <c r="I5485" s="6"/>
      <c r="J5485" s="6"/>
      <c r="K5485" s="6"/>
      <c r="L5485" s="6"/>
      <c r="M5485" s="6"/>
      <c r="N5485" s="6"/>
      <c r="O5485" s="6"/>
      <c r="P5485" s="6"/>
      <c r="Q5485" s="6"/>
      <c r="R5485" s="6"/>
      <c r="S5485" s="6"/>
      <c r="T5485" s="6"/>
      <c r="U5485" s="6"/>
      <c r="V5485" s="6"/>
      <c r="W5485" s="6"/>
      <c r="X5485" s="6"/>
      <c r="Y5485" s="6"/>
      <c r="Z5485" s="6"/>
      <c r="AA5485" s="6"/>
    </row>
    <row r="5486" ht="14.25">
      <c r="B5486" s="14" t="s">
        <v>35625</v>
      </c>
      <c r="C5486" s="4" t="s">
        <v>35626</v>
      </c>
      <c r="D5486" s="4" t="s">
        <v>35633</v>
      </c>
      <c r="E5486" s="4" t="s">
        <v>35628</v>
      </c>
      <c r="F5486" s="4" t="s">
        <v>1948</v>
      </c>
      <c r="G5486" s="4" t="s">
        <v>35634</v>
      </c>
      <c r="H5486" s="6"/>
      <c r="I5486" s="6"/>
      <c r="J5486" s="6"/>
      <c r="K5486" s="6"/>
      <c r="L5486" s="6"/>
      <c r="M5486" s="6"/>
      <c r="N5486" s="6"/>
      <c r="O5486" s="6"/>
      <c r="P5486" s="6"/>
      <c r="Q5486" s="6"/>
      <c r="R5486" s="6"/>
      <c r="S5486" s="6"/>
      <c r="T5486" s="6"/>
      <c r="U5486" s="6"/>
      <c r="V5486" s="6"/>
      <c r="W5486" s="6"/>
      <c r="X5486" s="6"/>
      <c r="Y5486" s="6"/>
      <c r="Z5486" s="6"/>
      <c r="AA5486" s="6"/>
    </row>
    <row r="5487" ht="14.25">
      <c r="B5487" s="14" t="s">
        <v>35625</v>
      </c>
      <c r="C5487" s="4" t="s">
        <v>35635</v>
      </c>
      <c r="D5487" s="4" t="s">
        <v>35636</v>
      </c>
      <c r="E5487" s="4" t="s">
        <v>35637</v>
      </c>
      <c r="F5487" s="4" t="s">
        <v>1583</v>
      </c>
      <c r="G5487" s="4" t="s">
        <v>35638</v>
      </c>
      <c r="H5487" s="6"/>
      <c r="I5487" s="6"/>
      <c r="J5487" s="6"/>
      <c r="K5487" s="6"/>
      <c r="L5487" s="6"/>
      <c r="M5487" s="6"/>
      <c r="N5487" s="6"/>
      <c r="O5487" s="6"/>
      <c r="P5487" s="6"/>
      <c r="Q5487" s="6"/>
      <c r="R5487" s="6"/>
      <c r="S5487" s="6"/>
      <c r="T5487" s="6"/>
      <c r="U5487" s="6"/>
      <c r="V5487" s="6"/>
      <c r="W5487" s="6"/>
      <c r="X5487" s="6"/>
      <c r="Y5487" s="6"/>
      <c r="Z5487" s="6"/>
      <c r="AA5487" s="6"/>
    </row>
    <row r="5488" ht="14.25">
      <c r="B5488" s="14" t="s">
        <v>35639</v>
      </c>
      <c r="C5488" s="4" t="s">
        <v>35640</v>
      </c>
      <c r="D5488" s="4" t="s">
        <v>35641</v>
      </c>
      <c r="E5488" s="4" t="s">
        <v>35642</v>
      </c>
      <c r="F5488" s="4" t="s">
        <v>485</v>
      </c>
      <c r="G5488" s="4" t="s">
        <v>35643</v>
      </c>
      <c r="H5488" s="6"/>
      <c r="I5488" s="6"/>
      <c r="J5488" s="6"/>
      <c r="K5488" s="6"/>
      <c r="L5488" s="6"/>
      <c r="M5488" s="6"/>
      <c r="N5488" s="6"/>
      <c r="O5488" s="6"/>
      <c r="P5488" s="6"/>
      <c r="Q5488" s="6"/>
      <c r="R5488" s="6"/>
      <c r="S5488" s="6"/>
      <c r="T5488" s="6"/>
      <c r="U5488" s="6"/>
      <c r="V5488" s="6"/>
      <c r="W5488" s="6"/>
      <c r="X5488" s="6"/>
      <c r="Y5488" s="6"/>
      <c r="Z5488" s="6"/>
      <c r="AA5488" s="6"/>
    </row>
    <row r="5489" ht="14.25">
      <c r="B5489" s="14" t="s">
        <v>35644</v>
      </c>
      <c r="C5489" s="4" t="s">
        <v>35645</v>
      </c>
      <c r="D5489" s="4" t="s">
        <v>35646</v>
      </c>
      <c r="E5489" s="6"/>
      <c r="F5489" s="4" t="s">
        <v>4012</v>
      </c>
      <c r="G5489" s="4" t="s">
        <v>35647</v>
      </c>
      <c r="H5489" s="6"/>
      <c r="I5489" s="6"/>
      <c r="J5489" s="6"/>
      <c r="K5489" s="6"/>
      <c r="L5489" s="6"/>
      <c r="M5489" s="6"/>
      <c r="N5489" s="6"/>
      <c r="O5489" s="6"/>
      <c r="P5489" s="6"/>
      <c r="Q5489" s="6"/>
      <c r="R5489" s="6"/>
      <c r="S5489" s="6"/>
      <c r="T5489" s="6"/>
      <c r="U5489" s="6"/>
      <c r="V5489" s="6"/>
      <c r="W5489" s="6"/>
      <c r="X5489" s="6"/>
      <c r="Y5489" s="6"/>
      <c r="Z5489" s="6"/>
      <c r="AA5489" s="6"/>
    </row>
    <row r="5490" ht="14.25">
      <c r="B5490" s="14" t="s">
        <v>35648</v>
      </c>
      <c r="C5490" s="4" t="s">
        <v>35649</v>
      </c>
      <c r="D5490" s="4" t="s">
        <v>35650</v>
      </c>
      <c r="E5490" s="6"/>
      <c r="F5490" s="4" t="s">
        <v>808</v>
      </c>
      <c r="G5490" s="4" t="s">
        <v>35651</v>
      </c>
      <c r="H5490" s="6"/>
      <c r="I5490" s="6"/>
      <c r="J5490" s="6"/>
      <c r="K5490" s="6"/>
      <c r="L5490" s="6"/>
      <c r="M5490" s="6"/>
      <c r="N5490" s="6"/>
      <c r="O5490" s="6"/>
      <c r="P5490" s="6"/>
      <c r="Q5490" s="6"/>
      <c r="R5490" s="6"/>
      <c r="S5490" s="6"/>
      <c r="T5490" s="6"/>
      <c r="U5490" s="6"/>
      <c r="V5490" s="6"/>
      <c r="W5490" s="6"/>
      <c r="X5490" s="6"/>
      <c r="Y5490" s="6"/>
      <c r="Z5490" s="6"/>
      <c r="AA5490" s="6"/>
    </row>
    <row r="5491" ht="14.25">
      <c r="B5491" s="14" t="s">
        <v>35652</v>
      </c>
      <c r="C5491" s="4" t="s">
        <v>35653</v>
      </c>
      <c r="D5491" s="4" t="s">
        <v>35654</v>
      </c>
      <c r="E5491" s="6"/>
      <c r="F5491" s="4" t="s">
        <v>6634</v>
      </c>
      <c r="G5491" s="4" t="s">
        <v>35655</v>
      </c>
      <c r="H5491" s="6"/>
      <c r="I5491" s="6"/>
      <c r="J5491" s="6"/>
      <c r="K5491" s="6"/>
      <c r="L5491" s="6"/>
      <c r="M5491" s="6"/>
      <c r="N5491" s="6"/>
      <c r="O5491" s="6"/>
      <c r="P5491" s="6"/>
      <c r="Q5491" s="6"/>
      <c r="R5491" s="6"/>
      <c r="S5491" s="6"/>
      <c r="T5491" s="6"/>
      <c r="U5491" s="6"/>
      <c r="V5491" s="6"/>
      <c r="W5491" s="6"/>
      <c r="X5491" s="6"/>
      <c r="Y5491" s="6"/>
      <c r="Z5491" s="6"/>
      <c r="AA5491" s="6"/>
    </row>
    <row r="5492" ht="14.25">
      <c r="B5492" s="14" t="s">
        <v>35656</v>
      </c>
      <c r="C5492" s="4" t="s">
        <v>35657</v>
      </c>
      <c r="D5492" s="4" t="s">
        <v>35658</v>
      </c>
      <c r="E5492" s="4" t="s">
        <v>35659</v>
      </c>
      <c r="F5492" s="4" t="s">
        <v>76</v>
      </c>
      <c r="G5492" s="4" t="s">
        <v>35660</v>
      </c>
      <c r="H5492" s="6"/>
      <c r="I5492" s="6"/>
      <c r="J5492" s="6"/>
      <c r="K5492" s="6"/>
      <c r="L5492" s="6"/>
      <c r="M5492" s="6"/>
      <c r="N5492" s="6"/>
      <c r="O5492" s="6"/>
      <c r="P5492" s="6"/>
      <c r="Q5492" s="6"/>
      <c r="R5492" s="6"/>
      <c r="S5492" s="6"/>
      <c r="T5492" s="6"/>
      <c r="U5492" s="6"/>
      <c r="V5492" s="6"/>
      <c r="W5492" s="6"/>
      <c r="X5492" s="6"/>
      <c r="Y5492" s="6"/>
      <c r="Z5492" s="6"/>
      <c r="AA5492" s="6"/>
    </row>
    <row r="5493" ht="14.25">
      <c r="B5493" s="14" t="s">
        <v>35656</v>
      </c>
      <c r="C5493" s="4" t="s">
        <v>35657</v>
      </c>
      <c r="D5493" s="4" t="s">
        <v>35661</v>
      </c>
      <c r="E5493" s="4" t="s">
        <v>35659</v>
      </c>
      <c r="F5493" s="4" t="s">
        <v>679</v>
      </c>
      <c r="G5493" s="4" t="s">
        <v>35662</v>
      </c>
      <c r="H5493" s="6"/>
      <c r="I5493" s="6"/>
      <c r="J5493" s="6"/>
      <c r="K5493" s="6"/>
      <c r="L5493" s="6"/>
      <c r="M5493" s="6"/>
      <c r="N5493" s="6"/>
      <c r="O5493" s="6"/>
      <c r="P5493" s="6"/>
      <c r="Q5493" s="6"/>
      <c r="R5493" s="6"/>
      <c r="S5493" s="6"/>
      <c r="T5493" s="6"/>
      <c r="U5493" s="6"/>
      <c r="V5493" s="6"/>
      <c r="W5493" s="6"/>
      <c r="X5493" s="6"/>
      <c r="Y5493" s="6"/>
      <c r="Z5493" s="6"/>
      <c r="AA5493" s="6"/>
    </row>
    <row r="5494" ht="14.25">
      <c r="B5494" s="14" t="s">
        <v>35656</v>
      </c>
      <c r="C5494" s="4" t="s">
        <v>35657</v>
      </c>
      <c r="D5494" s="4" t="s">
        <v>35663</v>
      </c>
      <c r="E5494" s="4" t="s">
        <v>35659</v>
      </c>
      <c r="F5494" s="4" t="s">
        <v>33084</v>
      </c>
      <c r="G5494" s="4" t="s">
        <v>35664</v>
      </c>
      <c r="H5494" s="6"/>
      <c r="I5494" s="6"/>
      <c r="J5494" s="6"/>
      <c r="K5494" s="6"/>
      <c r="L5494" s="6"/>
      <c r="M5494" s="6"/>
      <c r="N5494" s="6"/>
      <c r="O5494" s="6"/>
      <c r="P5494" s="6"/>
      <c r="Q5494" s="6"/>
      <c r="R5494" s="6"/>
      <c r="S5494" s="6"/>
      <c r="T5494" s="6"/>
      <c r="U5494" s="6"/>
      <c r="V5494" s="6"/>
      <c r="W5494" s="6"/>
      <c r="X5494" s="6"/>
      <c r="Y5494" s="6"/>
      <c r="Z5494" s="6"/>
      <c r="AA5494" s="6"/>
    </row>
    <row r="5495" ht="14.25">
      <c r="B5495" s="14" t="s">
        <v>35665</v>
      </c>
      <c r="C5495" s="4" t="s">
        <v>35666</v>
      </c>
      <c r="D5495" s="4" t="s">
        <v>35667</v>
      </c>
      <c r="E5495" s="4" t="s">
        <v>35668</v>
      </c>
      <c r="F5495" s="4" t="s">
        <v>6356</v>
      </c>
      <c r="G5495" s="4" t="s">
        <v>35669</v>
      </c>
      <c r="H5495" s="6"/>
      <c r="I5495" s="6"/>
      <c r="J5495" s="6"/>
      <c r="K5495" s="6"/>
      <c r="L5495" s="6"/>
      <c r="M5495" s="6"/>
      <c r="N5495" s="6"/>
      <c r="O5495" s="6"/>
      <c r="P5495" s="6"/>
      <c r="Q5495" s="6"/>
      <c r="R5495" s="6"/>
      <c r="S5495" s="6"/>
      <c r="T5495" s="6"/>
      <c r="U5495" s="6"/>
      <c r="V5495" s="6"/>
      <c r="W5495" s="6"/>
      <c r="X5495" s="6"/>
      <c r="Y5495" s="6"/>
      <c r="Z5495" s="6"/>
      <c r="AA5495" s="6"/>
    </row>
    <row r="5496" ht="14.25">
      <c r="B5496" s="14" t="s">
        <v>35670</v>
      </c>
      <c r="C5496" s="4" t="s">
        <v>35671</v>
      </c>
      <c r="D5496" s="4" t="s">
        <v>35672</v>
      </c>
      <c r="E5496" s="4" t="s">
        <v>35673</v>
      </c>
      <c r="F5496" s="4" t="s">
        <v>6923</v>
      </c>
      <c r="G5496" s="4" t="s">
        <v>35674</v>
      </c>
      <c r="H5496" s="6"/>
      <c r="I5496" s="6"/>
      <c r="J5496" s="6"/>
      <c r="K5496" s="6"/>
      <c r="L5496" s="6"/>
      <c r="M5496" s="6"/>
      <c r="N5496" s="6"/>
      <c r="O5496" s="6"/>
      <c r="P5496" s="6"/>
      <c r="Q5496" s="6"/>
      <c r="R5496" s="6"/>
      <c r="S5496" s="6"/>
      <c r="T5496" s="6"/>
      <c r="U5496" s="6"/>
      <c r="V5496" s="6"/>
      <c r="W5496" s="6"/>
      <c r="X5496" s="6"/>
      <c r="Y5496" s="6"/>
      <c r="Z5496" s="6"/>
      <c r="AA5496" s="6"/>
    </row>
    <row r="5497" ht="14.25">
      <c r="B5497" s="14" t="s">
        <v>35675</v>
      </c>
      <c r="C5497" s="4" t="s">
        <v>35676</v>
      </c>
      <c r="D5497" s="4" t="s">
        <v>35677</v>
      </c>
      <c r="E5497" s="6"/>
      <c r="F5497" s="4" t="s">
        <v>4026</v>
      </c>
      <c r="G5497" s="4" t="s">
        <v>35678</v>
      </c>
      <c r="H5497" s="6"/>
      <c r="I5497" s="6"/>
      <c r="J5497" s="6"/>
      <c r="K5497" s="6"/>
      <c r="L5497" s="6"/>
      <c r="M5497" s="6"/>
      <c r="N5497" s="6"/>
      <c r="O5497" s="6"/>
      <c r="P5497" s="6"/>
      <c r="Q5497" s="6"/>
      <c r="R5497" s="6"/>
      <c r="S5497" s="6"/>
      <c r="T5497" s="6"/>
      <c r="U5497" s="6"/>
      <c r="V5497" s="6"/>
      <c r="W5497" s="6"/>
      <c r="X5497" s="6"/>
      <c r="Y5497" s="6"/>
      <c r="Z5497" s="6"/>
      <c r="AA5497" s="6"/>
    </row>
    <row r="5498" ht="14.25">
      <c r="B5498" s="14" t="s">
        <v>35679</v>
      </c>
      <c r="C5498" s="4" t="s">
        <v>35680</v>
      </c>
      <c r="D5498" s="4" t="s">
        <v>35681</v>
      </c>
      <c r="E5498" s="6"/>
      <c r="F5498" s="4" t="s">
        <v>32622</v>
      </c>
      <c r="G5498" s="4" t="s">
        <v>35682</v>
      </c>
      <c r="H5498" s="6"/>
      <c r="I5498" s="6"/>
      <c r="J5498" s="6"/>
      <c r="K5498" s="6"/>
      <c r="L5498" s="6"/>
      <c r="M5498" s="6"/>
      <c r="N5498" s="6"/>
      <c r="O5498" s="6"/>
      <c r="P5498" s="6"/>
      <c r="Q5498" s="6"/>
      <c r="R5498" s="6"/>
      <c r="S5498" s="6"/>
      <c r="T5498" s="6"/>
      <c r="U5498" s="6"/>
      <c r="V5498" s="6"/>
      <c r="W5498" s="6"/>
      <c r="X5498" s="6"/>
      <c r="Y5498" s="6"/>
      <c r="Z5498" s="6"/>
      <c r="AA5498" s="6"/>
    </row>
    <row r="5499" ht="14.25">
      <c r="B5499" s="14" t="s">
        <v>35683</v>
      </c>
      <c r="C5499" s="4" t="s">
        <v>35684</v>
      </c>
      <c r="D5499" s="4" t="s">
        <v>35685</v>
      </c>
      <c r="E5499" s="6"/>
      <c r="F5499" s="4" t="s">
        <v>76</v>
      </c>
      <c r="G5499" s="4" t="s">
        <v>34959</v>
      </c>
      <c r="H5499" s="6"/>
      <c r="I5499" s="6"/>
      <c r="J5499" s="6"/>
      <c r="K5499" s="6"/>
      <c r="L5499" s="6"/>
      <c r="M5499" s="6"/>
      <c r="N5499" s="6"/>
      <c r="O5499" s="6"/>
      <c r="P5499" s="6"/>
      <c r="Q5499" s="6"/>
      <c r="R5499" s="6"/>
      <c r="S5499" s="6"/>
      <c r="T5499" s="6"/>
      <c r="U5499" s="6"/>
      <c r="V5499" s="6"/>
      <c r="W5499" s="6"/>
      <c r="X5499" s="6"/>
      <c r="Y5499" s="6"/>
      <c r="Z5499" s="6"/>
      <c r="AA5499" s="6"/>
    </row>
    <row r="5500" ht="14.25">
      <c r="B5500" s="14" t="s">
        <v>35683</v>
      </c>
      <c r="C5500" s="4" t="s">
        <v>35684</v>
      </c>
      <c r="D5500" s="4" t="s">
        <v>35686</v>
      </c>
      <c r="E5500" s="4" t="s">
        <v>35685</v>
      </c>
      <c r="F5500" s="4" t="s">
        <v>255</v>
      </c>
      <c r="G5500" s="4" t="s">
        <v>35687</v>
      </c>
      <c r="H5500" s="6"/>
      <c r="I5500" s="6"/>
      <c r="J5500" s="6"/>
      <c r="K5500" s="6"/>
      <c r="L5500" s="6"/>
      <c r="M5500" s="6"/>
      <c r="N5500" s="6"/>
      <c r="O5500" s="6"/>
      <c r="P5500" s="6"/>
      <c r="Q5500" s="6"/>
      <c r="R5500" s="6"/>
      <c r="S5500" s="6"/>
      <c r="T5500" s="6"/>
      <c r="U5500" s="6"/>
      <c r="V5500" s="6"/>
      <c r="W5500" s="6"/>
      <c r="X5500" s="6"/>
      <c r="Y5500" s="6"/>
      <c r="Z5500" s="6"/>
      <c r="AA5500" s="6"/>
    </row>
    <row r="5501" ht="14.25">
      <c r="B5501" s="14" t="s">
        <v>35683</v>
      </c>
      <c r="C5501" s="4" t="s">
        <v>35688</v>
      </c>
      <c r="D5501" s="4" t="s">
        <v>35689</v>
      </c>
      <c r="E5501" s="6"/>
      <c r="F5501" s="4" t="s">
        <v>35690</v>
      </c>
      <c r="G5501" s="4" t="s">
        <v>35691</v>
      </c>
      <c r="H5501" s="6"/>
      <c r="I5501" s="6"/>
      <c r="J5501" s="6"/>
      <c r="K5501" s="6"/>
      <c r="L5501" s="6"/>
      <c r="M5501" s="6"/>
      <c r="N5501" s="6"/>
      <c r="O5501" s="6"/>
      <c r="P5501" s="6"/>
      <c r="Q5501" s="6"/>
      <c r="R5501" s="6"/>
      <c r="S5501" s="6"/>
      <c r="T5501" s="6"/>
      <c r="U5501" s="6"/>
      <c r="V5501" s="6"/>
      <c r="W5501" s="6"/>
      <c r="X5501" s="6"/>
      <c r="Y5501" s="6"/>
      <c r="Z5501" s="6"/>
      <c r="AA5501" s="6"/>
    </row>
    <row r="5502" ht="14.25">
      <c r="B5502" s="14" t="s">
        <v>35692</v>
      </c>
      <c r="C5502" s="4" t="s">
        <v>35693</v>
      </c>
      <c r="D5502" s="4" t="s">
        <v>35694</v>
      </c>
      <c r="E5502" s="4" t="s">
        <v>35695</v>
      </c>
      <c r="F5502" s="4" t="s">
        <v>34878</v>
      </c>
      <c r="G5502" s="4" t="s">
        <v>32868</v>
      </c>
      <c r="H5502" s="6"/>
      <c r="I5502" s="6"/>
      <c r="J5502" s="6"/>
      <c r="K5502" s="6"/>
      <c r="L5502" s="6"/>
      <c r="M5502" s="6"/>
      <c r="N5502" s="6"/>
      <c r="O5502" s="6"/>
      <c r="P5502" s="6"/>
      <c r="Q5502" s="6"/>
      <c r="R5502" s="6"/>
      <c r="S5502" s="6"/>
      <c r="T5502" s="6"/>
      <c r="U5502" s="6"/>
      <c r="V5502" s="6"/>
      <c r="W5502" s="6"/>
      <c r="X5502" s="6"/>
      <c r="Y5502" s="6"/>
      <c r="Z5502" s="6"/>
      <c r="AA5502" s="6"/>
    </row>
    <row r="5503" ht="14.25">
      <c r="B5503" s="14" t="s">
        <v>35692</v>
      </c>
      <c r="C5503" s="4" t="s">
        <v>35693</v>
      </c>
      <c r="D5503" s="4" t="s">
        <v>35696</v>
      </c>
      <c r="E5503" s="4" t="s">
        <v>35695</v>
      </c>
      <c r="F5503" s="4" t="s">
        <v>35697</v>
      </c>
      <c r="G5503" s="4" t="s">
        <v>35698</v>
      </c>
      <c r="H5503" s="6"/>
      <c r="I5503" s="6"/>
      <c r="J5503" s="6"/>
      <c r="K5503" s="6"/>
      <c r="L5503" s="6"/>
      <c r="M5503" s="6"/>
      <c r="N5503" s="6"/>
      <c r="O5503" s="6"/>
      <c r="P5503" s="6"/>
      <c r="Q5503" s="6"/>
      <c r="R5503" s="6"/>
      <c r="S5503" s="6"/>
      <c r="T5503" s="6"/>
      <c r="U5503" s="6"/>
      <c r="V5503" s="6"/>
      <c r="W5503" s="6"/>
      <c r="X5503" s="6"/>
      <c r="Y5503" s="6"/>
      <c r="Z5503" s="6"/>
      <c r="AA5503" s="6"/>
    </row>
    <row r="5504" ht="14.25">
      <c r="B5504" s="14" t="s">
        <v>35692</v>
      </c>
      <c r="C5504" s="4" t="s">
        <v>35693</v>
      </c>
      <c r="D5504" s="4" t="s">
        <v>35699</v>
      </c>
      <c r="E5504" s="4" t="s">
        <v>35695</v>
      </c>
      <c r="F5504" s="4" t="s">
        <v>1027</v>
      </c>
      <c r="G5504" s="4" t="s">
        <v>33251</v>
      </c>
      <c r="H5504" s="6"/>
      <c r="I5504" s="6"/>
      <c r="J5504" s="6"/>
      <c r="K5504" s="6"/>
      <c r="L5504" s="6"/>
      <c r="M5504" s="6"/>
      <c r="N5504" s="6"/>
      <c r="O5504" s="6"/>
      <c r="P5504" s="6"/>
      <c r="Q5504" s="6"/>
      <c r="R5504" s="6"/>
      <c r="S5504" s="6"/>
      <c r="T5504" s="6"/>
      <c r="U5504" s="6"/>
      <c r="V5504" s="6"/>
      <c r="W5504" s="6"/>
      <c r="X5504" s="6"/>
      <c r="Y5504" s="6"/>
      <c r="Z5504" s="6"/>
      <c r="AA5504" s="6"/>
    </row>
    <row r="5505" ht="14.25">
      <c r="B5505" s="14" t="s">
        <v>35692</v>
      </c>
      <c r="C5505" s="4" t="s">
        <v>35693</v>
      </c>
      <c r="D5505" s="4" t="s">
        <v>35700</v>
      </c>
      <c r="E5505" s="4" t="s">
        <v>35695</v>
      </c>
      <c r="F5505" s="4" t="s">
        <v>2419</v>
      </c>
      <c r="G5505" s="4" t="s">
        <v>34506</v>
      </c>
      <c r="H5505" s="6"/>
      <c r="I5505" s="6"/>
      <c r="J5505" s="6"/>
      <c r="K5505" s="6"/>
      <c r="L5505" s="6"/>
      <c r="M5505" s="6"/>
      <c r="N5505" s="6"/>
      <c r="O5505" s="6"/>
      <c r="P5505" s="6"/>
      <c r="Q5505" s="6"/>
      <c r="R5505" s="6"/>
      <c r="S5505" s="6"/>
      <c r="T5505" s="6"/>
      <c r="U5505" s="6"/>
      <c r="V5505" s="6"/>
      <c r="W5505" s="6"/>
      <c r="X5505" s="6"/>
      <c r="Y5505" s="6"/>
      <c r="Z5505" s="6"/>
      <c r="AA5505" s="6"/>
    </row>
    <row r="5506" ht="14.25">
      <c r="B5506" s="14" t="s">
        <v>35692</v>
      </c>
      <c r="C5506" s="4" t="s">
        <v>35693</v>
      </c>
      <c r="D5506" s="4" t="s">
        <v>35701</v>
      </c>
      <c r="E5506" s="4" t="s">
        <v>35695</v>
      </c>
      <c r="F5506" s="4" t="s">
        <v>17867</v>
      </c>
      <c r="G5506" s="4" t="s">
        <v>35702</v>
      </c>
      <c r="H5506" s="6"/>
      <c r="I5506" s="6"/>
      <c r="J5506" s="6"/>
      <c r="K5506" s="6"/>
      <c r="L5506" s="6"/>
      <c r="M5506" s="6"/>
      <c r="N5506" s="6"/>
      <c r="O5506" s="6"/>
      <c r="P5506" s="6"/>
      <c r="Q5506" s="6"/>
      <c r="R5506" s="6"/>
      <c r="S5506" s="6"/>
      <c r="T5506" s="6"/>
      <c r="U5506" s="6"/>
      <c r="V5506" s="6"/>
      <c r="W5506" s="6"/>
      <c r="X5506" s="6"/>
      <c r="Y5506" s="6"/>
      <c r="Z5506" s="6"/>
      <c r="AA5506" s="6"/>
    </row>
    <row r="5507" ht="14.25">
      <c r="B5507" s="14" t="s">
        <v>35692</v>
      </c>
      <c r="C5507" s="4" t="s">
        <v>35693</v>
      </c>
      <c r="D5507" s="4" t="s">
        <v>35703</v>
      </c>
      <c r="E5507" s="4" t="s">
        <v>35695</v>
      </c>
      <c r="F5507" s="4" t="s">
        <v>33644</v>
      </c>
      <c r="G5507" s="4" t="s">
        <v>35704</v>
      </c>
      <c r="H5507" s="6"/>
      <c r="I5507" s="6"/>
      <c r="J5507" s="6"/>
      <c r="K5507" s="6"/>
      <c r="L5507" s="6"/>
      <c r="M5507" s="6"/>
      <c r="N5507" s="6"/>
      <c r="O5507" s="6"/>
      <c r="P5507" s="6"/>
      <c r="Q5507" s="6"/>
      <c r="R5507" s="6"/>
      <c r="S5507" s="6"/>
      <c r="T5507" s="6"/>
      <c r="U5507" s="6"/>
      <c r="V5507" s="6"/>
      <c r="W5507" s="6"/>
      <c r="X5507" s="6"/>
      <c r="Y5507" s="6"/>
      <c r="Z5507" s="6"/>
      <c r="AA5507" s="6"/>
    </row>
    <row r="5508" ht="14.25">
      <c r="B5508" s="14" t="s">
        <v>35692</v>
      </c>
      <c r="C5508" s="4" t="s">
        <v>35693</v>
      </c>
      <c r="D5508" s="4" t="s">
        <v>35705</v>
      </c>
      <c r="E5508" s="4" t="s">
        <v>35695</v>
      </c>
      <c r="F5508" s="4" t="s">
        <v>1153</v>
      </c>
      <c r="G5508" s="4" t="s">
        <v>34506</v>
      </c>
      <c r="H5508" s="6"/>
      <c r="I5508" s="6"/>
      <c r="J5508" s="6"/>
      <c r="K5508" s="6"/>
      <c r="L5508" s="6"/>
      <c r="M5508" s="6"/>
      <c r="N5508" s="6"/>
      <c r="O5508" s="6"/>
      <c r="P5508" s="6"/>
      <c r="Q5508" s="6"/>
      <c r="R5508" s="6"/>
      <c r="S5508" s="6"/>
      <c r="T5508" s="6"/>
      <c r="U5508" s="6"/>
      <c r="V5508" s="6"/>
      <c r="W5508" s="6"/>
      <c r="X5508" s="6"/>
      <c r="Y5508" s="6"/>
      <c r="Z5508" s="6"/>
      <c r="AA5508" s="6"/>
    </row>
    <row r="5509" ht="14.25">
      <c r="B5509" s="14" t="s">
        <v>35692</v>
      </c>
      <c r="C5509" s="4" t="s">
        <v>35693</v>
      </c>
      <c r="D5509" s="4" t="s">
        <v>35706</v>
      </c>
      <c r="E5509" s="4" t="s">
        <v>35695</v>
      </c>
      <c r="F5509" s="4" t="s">
        <v>8977</v>
      </c>
      <c r="G5509" s="4" t="s">
        <v>35707</v>
      </c>
      <c r="H5509" s="6"/>
      <c r="I5509" s="6"/>
      <c r="J5509" s="6"/>
      <c r="K5509" s="6"/>
      <c r="L5509" s="6"/>
      <c r="M5509" s="6"/>
      <c r="N5509" s="6"/>
      <c r="O5509" s="6"/>
      <c r="P5509" s="6"/>
      <c r="Q5509" s="6"/>
      <c r="R5509" s="6"/>
      <c r="S5509" s="6"/>
      <c r="T5509" s="6"/>
      <c r="U5509" s="6"/>
      <c r="V5509" s="6"/>
      <c r="W5509" s="6"/>
      <c r="X5509" s="6"/>
      <c r="Y5509" s="6"/>
      <c r="Z5509" s="6"/>
      <c r="AA5509" s="6"/>
    </row>
    <row r="5510" ht="14.25">
      <c r="B5510" s="14" t="s">
        <v>35708</v>
      </c>
      <c r="C5510" s="4" t="s">
        <v>35709</v>
      </c>
      <c r="D5510" s="4" t="s">
        <v>35710</v>
      </c>
      <c r="E5510" s="4" t="s">
        <v>35711</v>
      </c>
      <c r="F5510" s="4" t="s">
        <v>485</v>
      </c>
      <c r="G5510" s="4" t="s">
        <v>35712</v>
      </c>
      <c r="H5510" s="6"/>
      <c r="I5510" s="6"/>
      <c r="J5510" s="6"/>
      <c r="K5510" s="6"/>
      <c r="L5510" s="6"/>
      <c r="M5510" s="6"/>
      <c r="N5510" s="6"/>
      <c r="O5510" s="6"/>
      <c r="P5510" s="6"/>
      <c r="Q5510" s="6"/>
      <c r="R5510" s="6"/>
      <c r="S5510" s="6"/>
      <c r="T5510" s="6"/>
      <c r="U5510" s="6"/>
      <c r="V5510" s="6"/>
      <c r="W5510" s="6"/>
      <c r="X5510" s="6"/>
      <c r="Y5510" s="6"/>
      <c r="Z5510" s="6"/>
      <c r="AA5510" s="6"/>
    </row>
    <row r="5511" ht="14.25">
      <c r="B5511" s="14" t="s">
        <v>35708</v>
      </c>
      <c r="C5511" s="4" t="s">
        <v>35709</v>
      </c>
      <c r="D5511" s="4" t="s">
        <v>35711</v>
      </c>
      <c r="E5511" s="6"/>
      <c r="F5511" s="4" t="s">
        <v>1153</v>
      </c>
      <c r="G5511" s="4" t="s">
        <v>35713</v>
      </c>
      <c r="H5511" s="6"/>
      <c r="I5511" s="6"/>
      <c r="J5511" s="6"/>
      <c r="K5511" s="6"/>
      <c r="L5511" s="6"/>
      <c r="M5511" s="6"/>
      <c r="N5511" s="6"/>
      <c r="O5511" s="6"/>
      <c r="P5511" s="6"/>
      <c r="Q5511" s="6"/>
      <c r="R5511" s="6"/>
      <c r="S5511" s="6"/>
      <c r="T5511" s="6"/>
      <c r="U5511" s="6"/>
      <c r="V5511" s="6"/>
      <c r="W5511" s="6"/>
      <c r="X5511" s="6"/>
      <c r="Y5511" s="6"/>
      <c r="Z5511" s="6"/>
      <c r="AA5511" s="6"/>
    </row>
    <row r="5512" ht="14.25">
      <c r="B5512" s="14" t="s">
        <v>35714</v>
      </c>
      <c r="C5512" s="4" t="s">
        <v>35715</v>
      </c>
      <c r="D5512" s="4" t="s">
        <v>35716</v>
      </c>
      <c r="E5512" s="4" t="s">
        <v>35717</v>
      </c>
      <c r="F5512" s="4" t="s">
        <v>679</v>
      </c>
      <c r="G5512" s="4" t="s">
        <v>35718</v>
      </c>
      <c r="H5512" s="6"/>
      <c r="I5512" s="6"/>
      <c r="J5512" s="6"/>
      <c r="K5512" s="6"/>
      <c r="L5512" s="6"/>
      <c r="M5512" s="6"/>
      <c r="N5512" s="6"/>
      <c r="O5512" s="6"/>
      <c r="P5512" s="6"/>
      <c r="Q5512" s="6"/>
      <c r="R5512" s="6"/>
      <c r="S5512" s="6"/>
      <c r="T5512" s="6"/>
      <c r="U5512" s="6"/>
      <c r="V5512" s="6"/>
      <c r="W5512" s="6"/>
      <c r="X5512" s="6"/>
      <c r="Y5512" s="6"/>
      <c r="Z5512" s="6"/>
      <c r="AA5512" s="6"/>
    </row>
    <row r="5513" ht="14.25">
      <c r="B5513" s="14" t="s">
        <v>35719</v>
      </c>
      <c r="C5513" s="4" t="s">
        <v>35720</v>
      </c>
      <c r="D5513" s="4" t="s">
        <v>35721</v>
      </c>
      <c r="E5513" s="4" t="s">
        <v>35722</v>
      </c>
      <c r="F5513" s="4" t="s">
        <v>255</v>
      </c>
      <c r="G5513" s="4" t="s">
        <v>35723</v>
      </c>
      <c r="H5513" s="6"/>
      <c r="I5513" s="6"/>
      <c r="J5513" s="6"/>
      <c r="K5513" s="6"/>
      <c r="L5513" s="6"/>
      <c r="M5513" s="6"/>
      <c r="N5513" s="6"/>
      <c r="O5513" s="6"/>
      <c r="P5513" s="6"/>
      <c r="Q5513" s="6"/>
      <c r="R5513" s="6"/>
      <c r="S5513" s="6"/>
      <c r="T5513" s="6"/>
      <c r="U5513" s="6"/>
      <c r="V5513" s="6"/>
      <c r="W5513" s="6"/>
      <c r="X5513" s="6"/>
      <c r="Y5513" s="6"/>
      <c r="Z5513" s="6"/>
      <c r="AA5513" s="6"/>
    </row>
    <row r="5514" ht="14.25">
      <c r="B5514" s="14" t="s">
        <v>35724</v>
      </c>
      <c r="C5514" s="4" t="s">
        <v>35725</v>
      </c>
      <c r="D5514" s="4" t="s">
        <v>35726</v>
      </c>
      <c r="E5514" s="4" t="s">
        <v>35727</v>
      </c>
      <c r="F5514" s="4" t="s">
        <v>35728</v>
      </c>
      <c r="G5514" s="4" t="s">
        <v>35729</v>
      </c>
      <c r="H5514" s="6"/>
      <c r="I5514" s="6"/>
      <c r="J5514" s="6"/>
      <c r="K5514" s="6"/>
      <c r="L5514" s="6"/>
      <c r="M5514" s="6"/>
      <c r="N5514" s="6"/>
      <c r="O5514" s="6"/>
      <c r="P5514" s="6"/>
      <c r="Q5514" s="6"/>
      <c r="R5514" s="6"/>
      <c r="S5514" s="6"/>
      <c r="T5514" s="6"/>
      <c r="U5514" s="6"/>
      <c r="V5514" s="6"/>
      <c r="W5514" s="6"/>
      <c r="X5514" s="6"/>
      <c r="Y5514" s="6"/>
      <c r="Z5514" s="6"/>
      <c r="AA5514" s="6"/>
    </row>
    <row r="5515" ht="14.25">
      <c r="B5515" s="14" t="s">
        <v>35730</v>
      </c>
      <c r="C5515" s="4" t="s">
        <v>35731</v>
      </c>
      <c r="D5515" s="4" t="s">
        <v>35732</v>
      </c>
      <c r="E5515" s="4" t="s">
        <v>35733</v>
      </c>
      <c r="F5515" s="4" t="s">
        <v>1571</v>
      </c>
      <c r="G5515" s="4" t="s">
        <v>35734</v>
      </c>
      <c r="H5515" s="6"/>
      <c r="I5515" s="6"/>
      <c r="J5515" s="6"/>
      <c r="K5515" s="6"/>
      <c r="L5515" s="6"/>
      <c r="M5515" s="6"/>
      <c r="N5515" s="6"/>
      <c r="O5515" s="6"/>
      <c r="P5515" s="6"/>
      <c r="Q5515" s="6"/>
      <c r="R5515" s="6"/>
      <c r="S5515" s="6"/>
      <c r="T5515" s="6"/>
      <c r="U5515" s="6"/>
      <c r="V5515" s="6"/>
      <c r="W5515" s="6"/>
      <c r="X5515" s="6"/>
      <c r="Y5515" s="6"/>
      <c r="Z5515" s="6"/>
      <c r="AA5515" s="6"/>
    </row>
    <row r="5516" ht="14.25">
      <c r="B5516" s="14" t="s">
        <v>35735</v>
      </c>
      <c r="C5516" s="4" t="s">
        <v>35736</v>
      </c>
      <c r="D5516" s="4" t="s">
        <v>35737</v>
      </c>
      <c r="E5516" s="4" t="s">
        <v>35738</v>
      </c>
      <c r="F5516" s="4" t="s">
        <v>33923</v>
      </c>
      <c r="G5516" s="4" t="s">
        <v>35739</v>
      </c>
      <c r="H5516" s="6"/>
      <c r="I5516" s="6"/>
      <c r="J5516" s="6"/>
      <c r="K5516" s="6"/>
      <c r="L5516" s="6"/>
      <c r="M5516" s="6"/>
      <c r="N5516" s="6"/>
      <c r="O5516" s="6"/>
      <c r="P5516" s="6"/>
      <c r="Q5516" s="6"/>
      <c r="R5516" s="6"/>
      <c r="S5516" s="6"/>
      <c r="T5516" s="6"/>
      <c r="U5516" s="6"/>
      <c r="V5516" s="6"/>
      <c r="W5516" s="6"/>
      <c r="X5516" s="6"/>
      <c r="Y5516" s="6"/>
      <c r="Z5516" s="6"/>
      <c r="AA5516" s="6"/>
    </row>
    <row r="5517" ht="14.25">
      <c r="B5517" s="14" t="s">
        <v>35735</v>
      </c>
      <c r="C5517" s="4" t="s">
        <v>35736</v>
      </c>
      <c r="D5517" s="4" t="s">
        <v>35740</v>
      </c>
      <c r="E5517" s="4" t="s">
        <v>35738</v>
      </c>
      <c r="F5517" s="4" t="s">
        <v>3164</v>
      </c>
      <c r="G5517" s="4" t="s">
        <v>35741</v>
      </c>
      <c r="H5517" s="6"/>
      <c r="I5517" s="6"/>
      <c r="J5517" s="6"/>
      <c r="K5517" s="6"/>
      <c r="L5517" s="6"/>
      <c r="M5517" s="6"/>
      <c r="N5517" s="6"/>
      <c r="O5517" s="6"/>
      <c r="P5517" s="6"/>
      <c r="Q5517" s="6"/>
      <c r="R5517" s="6"/>
      <c r="S5517" s="6"/>
      <c r="T5517" s="6"/>
      <c r="U5517" s="6"/>
      <c r="V5517" s="6"/>
      <c r="W5517" s="6"/>
      <c r="X5517" s="6"/>
      <c r="Y5517" s="6"/>
      <c r="Z5517" s="6"/>
      <c r="AA5517" s="6"/>
    </row>
    <row r="5518" ht="14.25">
      <c r="B5518" s="14" t="s">
        <v>35735</v>
      </c>
      <c r="C5518" s="4" t="s">
        <v>35736</v>
      </c>
      <c r="D5518" s="4" t="s">
        <v>35742</v>
      </c>
      <c r="E5518" s="4" t="s">
        <v>35738</v>
      </c>
      <c r="F5518" s="4" t="s">
        <v>1324</v>
      </c>
      <c r="G5518" s="4" t="s">
        <v>35743</v>
      </c>
      <c r="H5518" s="6"/>
      <c r="I5518" s="6"/>
      <c r="J5518" s="6"/>
      <c r="K5518" s="6"/>
      <c r="L5518" s="6"/>
      <c r="M5518" s="6"/>
      <c r="N5518" s="6"/>
      <c r="O5518" s="6"/>
      <c r="P5518" s="6"/>
      <c r="Q5518" s="6"/>
      <c r="R5518" s="6"/>
      <c r="S5518" s="6"/>
      <c r="T5518" s="6"/>
      <c r="U5518" s="6"/>
      <c r="V5518" s="6"/>
      <c r="W5518" s="6"/>
      <c r="X5518" s="6"/>
      <c r="Y5518" s="6"/>
      <c r="Z5518" s="6"/>
      <c r="AA5518" s="6"/>
    </row>
    <row r="5519" ht="14.25">
      <c r="B5519" s="14" t="s">
        <v>35735</v>
      </c>
      <c r="C5519" s="4" t="s">
        <v>35736</v>
      </c>
      <c r="D5519" s="4" t="s">
        <v>35744</v>
      </c>
      <c r="E5519" s="4" t="s">
        <v>35738</v>
      </c>
      <c r="F5519" s="4" t="s">
        <v>363</v>
      </c>
      <c r="G5519" s="4" t="s">
        <v>35745</v>
      </c>
      <c r="H5519" s="6"/>
      <c r="I5519" s="6"/>
      <c r="J5519" s="6"/>
      <c r="K5519" s="6"/>
      <c r="L5519" s="6"/>
      <c r="M5519" s="6"/>
      <c r="N5519" s="6"/>
      <c r="O5519" s="6"/>
      <c r="P5519" s="6"/>
      <c r="Q5519" s="6"/>
      <c r="R5519" s="6"/>
      <c r="S5519" s="6"/>
      <c r="T5519" s="6"/>
      <c r="U5519" s="6"/>
      <c r="V5519" s="6"/>
      <c r="W5519" s="6"/>
      <c r="X5519" s="6"/>
      <c r="Y5519" s="6"/>
      <c r="Z5519" s="6"/>
      <c r="AA5519" s="6"/>
    </row>
    <row r="5520" ht="14.25">
      <c r="B5520" s="14" t="s">
        <v>35735</v>
      </c>
      <c r="C5520" s="4" t="s">
        <v>35736</v>
      </c>
      <c r="D5520" s="4" t="s">
        <v>35746</v>
      </c>
      <c r="E5520" s="4" t="s">
        <v>35738</v>
      </c>
      <c r="F5520" s="4" t="s">
        <v>485</v>
      </c>
      <c r="G5520" s="4" t="s">
        <v>35747</v>
      </c>
      <c r="H5520" s="6"/>
      <c r="I5520" s="6"/>
      <c r="J5520" s="6"/>
      <c r="K5520" s="6"/>
      <c r="L5520" s="6"/>
      <c r="M5520" s="6"/>
      <c r="N5520" s="6"/>
      <c r="O5520" s="6"/>
      <c r="P5520" s="6"/>
      <c r="Q5520" s="6"/>
      <c r="R5520" s="6"/>
      <c r="S5520" s="6"/>
      <c r="T5520" s="6"/>
      <c r="U5520" s="6"/>
      <c r="V5520" s="6"/>
      <c r="W5520" s="6"/>
      <c r="X5520" s="6"/>
      <c r="Y5520" s="6"/>
      <c r="Z5520" s="6"/>
      <c r="AA5520" s="6"/>
    </row>
    <row r="5521" ht="14.25">
      <c r="B5521" s="14" t="s">
        <v>35748</v>
      </c>
      <c r="C5521" s="4" t="s">
        <v>35749</v>
      </c>
      <c r="D5521" s="4" t="s">
        <v>35750</v>
      </c>
      <c r="E5521" s="4" t="s">
        <v>35751</v>
      </c>
      <c r="F5521" s="4" t="s">
        <v>35752</v>
      </c>
      <c r="G5521" s="4" t="s">
        <v>35753</v>
      </c>
      <c r="H5521" s="6"/>
      <c r="I5521" s="6"/>
      <c r="J5521" s="6"/>
      <c r="K5521" s="6"/>
      <c r="L5521" s="6"/>
      <c r="M5521" s="6"/>
      <c r="N5521" s="6"/>
      <c r="O5521" s="6"/>
      <c r="P5521" s="6"/>
      <c r="Q5521" s="6"/>
      <c r="R5521" s="6"/>
      <c r="S5521" s="6"/>
      <c r="T5521" s="6"/>
      <c r="U5521" s="6"/>
      <c r="V5521" s="6"/>
      <c r="W5521" s="6"/>
      <c r="X5521" s="6"/>
      <c r="Y5521" s="6"/>
      <c r="Z5521" s="6"/>
      <c r="AA5521" s="6"/>
    </row>
    <row r="5522" ht="14.25">
      <c r="B5522" s="14" t="s">
        <v>35754</v>
      </c>
      <c r="C5522" s="4" t="s">
        <v>35755</v>
      </c>
      <c r="D5522" s="4" t="s">
        <v>35756</v>
      </c>
      <c r="E5522" s="6"/>
      <c r="F5522" s="4" t="s">
        <v>76</v>
      </c>
      <c r="G5522" s="4" t="s">
        <v>33843</v>
      </c>
      <c r="H5522" s="6"/>
      <c r="I5522" s="6"/>
      <c r="J5522" s="6"/>
      <c r="K5522" s="6"/>
      <c r="L5522" s="6"/>
      <c r="M5522" s="6"/>
      <c r="N5522" s="6"/>
      <c r="O5522" s="6"/>
      <c r="P5522" s="6"/>
      <c r="Q5522" s="6"/>
      <c r="R5522" s="6"/>
      <c r="S5522" s="6"/>
      <c r="T5522" s="6"/>
      <c r="U5522" s="6"/>
      <c r="V5522" s="6"/>
      <c r="W5522" s="6"/>
      <c r="X5522" s="6"/>
      <c r="Y5522" s="6"/>
      <c r="Z5522" s="6"/>
      <c r="AA5522" s="6"/>
    </row>
    <row r="5523" ht="14.25">
      <c r="B5523" s="14" t="s">
        <v>35754</v>
      </c>
      <c r="C5523" s="4" t="s">
        <v>35755</v>
      </c>
      <c r="D5523" s="4" t="s">
        <v>35757</v>
      </c>
      <c r="E5523" s="4" t="s">
        <v>35756</v>
      </c>
      <c r="F5523" s="4" t="s">
        <v>35758</v>
      </c>
      <c r="G5523" s="4" t="s">
        <v>35759</v>
      </c>
      <c r="H5523" s="6"/>
      <c r="I5523" s="6"/>
      <c r="J5523" s="6"/>
      <c r="K5523" s="6"/>
      <c r="L5523" s="6"/>
      <c r="M5523" s="6"/>
      <c r="N5523" s="6"/>
      <c r="O5523" s="6"/>
      <c r="P5523" s="6"/>
      <c r="Q5523" s="6"/>
      <c r="R5523" s="6"/>
      <c r="S5523" s="6"/>
      <c r="T5523" s="6"/>
      <c r="U5523" s="6"/>
      <c r="V5523" s="6"/>
      <c r="W5523" s="6"/>
      <c r="X5523" s="6"/>
      <c r="Y5523" s="6"/>
      <c r="Z5523" s="6"/>
      <c r="AA5523" s="6"/>
    </row>
    <row r="5524" ht="14.25">
      <c r="B5524" s="14" t="s">
        <v>35754</v>
      </c>
      <c r="C5524" s="4" t="s">
        <v>35755</v>
      </c>
      <c r="D5524" s="4" t="s">
        <v>35760</v>
      </c>
      <c r="E5524" s="4" t="s">
        <v>35756</v>
      </c>
      <c r="F5524" s="4" t="s">
        <v>525</v>
      </c>
      <c r="G5524" s="4" t="s">
        <v>35761</v>
      </c>
      <c r="H5524" s="6"/>
      <c r="I5524" s="6"/>
      <c r="J5524" s="6"/>
      <c r="K5524" s="6"/>
      <c r="L5524" s="6"/>
      <c r="M5524" s="6"/>
      <c r="N5524" s="6"/>
      <c r="O5524" s="6"/>
      <c r="P5524" s="6"/>
      <c r="Q5524" s="6"/>
      <c r="R5524" s="6"/>
      <c r="S5524" s="6"/>
      <c r="T5524" s="6"/>
      <c r="U5524" s="6"/>
      <c r="V5524" s="6"/>
      <c r="W5524" s="6"/>
      <c r="X5524" s="6"/>
      <c r="Y5524" s="6"/>
      <c r="Z5524" s="6"/>
      <c r="AA5524" s="6"/>
    </row>
    <row r="5525" ht="14.25">
      <c r="B5525" s="14" t="s">
        <v>35762</v>
      </c>
      <c r="C5525" s="4" t="s">
        <v>35763</v>
      </c>
      <c r="D5525" s="4" t="s">
        <v>35764</v>
      </c>
      <c r="E5525" s="6"/>
      <c r="F5525" s="4" t="s">
        <v>5716</v>
      </c>
      <c r="G5525" s="4" t="s">
        <v>33721</v>
      </c>
      <c r="H5525" s="6"/>
      <c r="I5525" s="6"/>
      <c r="J5525" s="6"/>
      <c r="K5525" s="6"/>
      <c r="L5525" s="6"/>
      <c r="M5525" s="6"/>
      <c r="N5525" s="6"/>
      <c r="O5525" s="6"/>
      <c r="P5525" s="6"/>
      <c r="Q5525" s="6"/>
      <c r="R5525" s="6"/>
      <c r="S5525" s="6"/>
      <c r="T5525" s="6"/>
      <c r="U5525" s="6"/>
      <c r="V5525" s="6"/>
      <c r="W5525" s="6"/>
      <c r="X5525" s="6"/>
      <c r="Y5525" s="6"/>
      <c r="Z5525" s="6"/>
      <c r="AA5525" s="6"/>
    </row>
    <row r="5526" ht="14.25">
      <c r="B5526" s="14" t="s">
        <v>35765</v>
      </c>
      <c r="C5526" s="4" t="s">
        <v>35766</v>
      </c>
      <c r="D5526" s="4" t="s">
        <v>35767</v>
      </c>
      <c r="E5526" s="4" t="s">
        <v>35768</v>
      </c>
      <c r="F5526" s="4" t="s">
        <v>8049</v>
      </c>
      <c r="G5526" s="4" t="s">
        <v>35769</v>
      </c>
      <c r="H5526" s="6"/>
      <c r="I5526" s="6"/>
      <c r="J5526" s="6"/>
      <c r="K5526" s="6"/>
      <c r="L5526" s="6"/>
      <c r="M5526" s="6"/>
      <c r="N5526" s="6"/>
      <c r="O5526" s="6"/>
      <c r="P5526" s="6"/>
      <c r="Q5526" s="6"/>
      <c r="R5526" s="6"/>
      <c r="S5526" s="6"/>
      <c r="T5526" s="6"/>
      <c r="U5526" s="6"/>
      <c r="V5526" s="6"/>
      <c r="W5526" s="6"/>
      <c r="X5526" s="6"/>
      <c r="Y5526" s="6"/>
      <c r="Z5526" s="6"/>
      <c r="AA5526" s="6"/>
    </row>
    <row r="5527" ht="14.25">
      <c r="B5527" s="14" t="s">
        <v>35765</v>
      </c>
      <c r="C5527" s="4" t="s">
        <v>35766</v>
      </c>
      <c r="D5527" s="4" t="s">
        <v>35770</v>
      </c>
      <c r="E5527" s="4" t="s">
        <v>35768</v>
      </c>
      <c r="F5527" s="4" t="s">
        <v>2119</v>
      </c>
      <c r="G5527" s="4" t="s">
        <v>35771</v>
      </c>
      <c r="H5527" s="6"/>
      <c r="I5527" s="6"/>
      <c r="J5527" s="6"/>
      <c r="K5527" s="6"/>
      <c r="L5527" s="6"/>
      <c r="M5527" s="6"/>
      <c r="N5527" s="6"/>
      <c r="O5527" s="6"/>
      <c r="P5527" s="6"/>
      <c r="Q5527" s="6"/>
      <c r="R5527" s="6"/>
      <c r="S5527" s="6"/>
      <c r="T5527" s="6"/>
      <c r="U5527" s="6"/>
      <c r="V5527" s="6"/>
      <c r="W5527" s="6"/>
      <c r="X5527" s="6"/>
      <c r="Y5527" s="6"/>
      <c r="Z5527" s="6"/>
      <c r="AA5527" s="6"/>
    </row>
    <row r="5528" ht="14.25">
      <c r="B5528" s="14" t="s">
        <v>35765</v>
      </c>
      <c r="C5528" s="4" t="s">
        <v>35766</v>
      </c>
      <c r="D5528" s="4" t="s">
        <v>35772</v>
      </c>
      <c r="E5528" s="4" t="s">
        <v>35768</v>
      </c>
      <c r="F5528" s="4" t="s">
        <v>785</v>
      </c>
      <c r="G5528" s="4" t="s">
        <v>35773</v>
      </c>
      <c r="H5528" s="6"/>
      <c r="I5528" s="6"/>
      <c r="J5528" s="6"/>
      <c r="K5528" s="6"/>
      <c r="L5528" s="6"/>
      <c r="M5528" s="6"/>
      <c r="N5528" s="6"/>
      <c r="O5528" s="6"/>
      <c r="P5528" s="6"/>
      <c r="Q5528" s="6"/>
      <c r="R5528" s="6"/>
      <c r="S5528" s="6"/>
      <c r="T5528" s="6"/>
      <c r="U5528" s="6"/>
      <c r="V5528" s="6"/>
      <c r="W5528" s="6"/>
      <c r="X5528" s="6"/>
      <c r="Y5528" s="6"/>
      <c r="Z5528" s="6"/>
      <c r="AA5528" s="6"/>
    </row>
    <row r="5529" ht="14.25">
      <c r="B5529" s="14" t="s">
        <v>35774</v>
      </c>
      <c r="C5529" s="4" t="s">
        <v>35775</v>
      </c>
      <c r="D5529" s="4" t="s">
        <v>35776</v>
      </c>
      <c r="E5529" s="4" t="s">
        <v>35777</v>
      </c>
      <c r="F5529" s="4" t="s">
        <v>2652</v>
      </c>
      <c r="G5529" s="4" t="s">
        <v>35778</v>
      </c>
      <c r="H5529" s="6"/>
      <c r="I5529" s="6"/>
      <c r="J5529" s="6"/>
      <c r="K5529" s="6"/>
      <c r="L5529" s="6"/>
      <c r="M5529" s="6"/>
      <c r="N5529" s="6"/>
      <c r="O5529" s="6"/>
      <c r="P5529" s="6"/>
      <c r="Q5529" s="6"/>
      <c r="R5529" s="6"/>
      <c r="S5529" s="6"/>
      <c r="T5529" s="6"/>
      <c r="U5529" s="6"/>
      <c r="V5529" s="6"/>
      <c r="W5529" s="6"/>
      <c r="X5529" s="6"/>
      <c r="Y5529" s="6"/>
      <c r="Z5529" s="6"/>
      <c r="AA5529" s="6"/>
    </row>
    <row r="5530" ht="14.25">
      <c r="B5530" s="14" t="s">
        <v>35774</v>
      </c>
      <c r="C5530" s="4" t="s">
        <v>35775</v>
      </c>
      <c r="D5530" s="4" t="s">
        <v>35779</v>
      </c>
      <c r="E5530" s="4" t="s">
        <v>35777</v>
      </c>
      <c r="F5530" s="4" t="s">
        <v>32616</v>
      </c>
      <c r="G5530" s="4" t="s">
        <v>35780</v>
      </c>
      <c r="H5530" s="6"/>
      <c r="I5530" s="6"/>
      <c r="J5530" s="6"/>
      <c r="K5530" s="6"/>
      <c r="L5530" s="6"/>
      <c r="M5530" s="6"/>
      <c r="N5530" s="6"/>
      <c r="O5530" s="6"/>
      <c r="P5530" s="6"/>
      <c r="Q5530" s="6"/>
      <c r="R5530" s="6"/>
      <c r="S5530" s="6"/>
      <c r="T5530" s="6"/>
      <c r="U5530" s="6"/>
      <c r="V5530" s="6"/>
      <c r="W5530" s="6"/>
      <c r="X5530" s="6"/>
      <c r="Y5530" s="6"/>
      <c r="Z5530" s="6"/>
      <c r="AA5530" s="6"/>
    </row>
    <row r="5531" ht="14.25">
      <c r="B5531" s="14" t="s">
        <v>35774</v>
      </c>
      <c r="C5531" s="4" t="s">
        <v>35775</v>
      </c>
      <c r="D5531" s="4" t="s">
        <v>35781</v>
      </c>
      <c r="E5531" s="4" t="s">
        <v>35777</v>
      </c>
      <c r="F5531" s="4" t="s">
        <v>1999</v>
      </c>
      <c r="G5531" s="4" t="s">
        <v>35081</v>
      </c>
      <c r="H5531" s="6"/>
      <c r="I5531" s="6"/>
      <c r="J5531" s="6"/>
      <c r="K5531" s="6"/>
      <c r="L5531" s="6"/>
      <c r="M5531" s="6"/>
      <c r="N5531" s="6"/>
      <c r="O5531" s="6"/>
      <c r="P5531" s="6"/>
      <c r="Q5531" s="6"/>
      <c r="R5531" s="6"/>
      <c r="S5531" s="6"/>
      <c r="T5531" s="6"/>
      <c r="U5531" s="6"/>
      <c r="V5531" s="6"/>
      <c r="W5531" s="6"/>
      <c r="X5531" s="6"/>
      <c r="Y5531" s="6"/>
      <c r="Z5531" s="6"/>
      <c r="AA5531" s="6"/>
    </row>
    <row r="5532" ht="14.25">
      <c r="B5532" s="14" t="s">
        <v>35774</v>
      </c>
      <c r="C5532" s="4" t="s">
        <v>35775</v>
      </c>
      <c r="D5532" s="4" t="s">
        <v>35782</v>
      </c>
      <c r="E5532" s="4" t="s">
        <v>35777</v>
      </c>
      <c r="F5532" s="4" t="s">
        <v>955</v>
      </c>
      <c r="G5532" s="4" t="s">
        <v>35783</v>
      </c>
      <c r="H5532" s="6"/>
      <c r="I5532" s="6"/>
      <c r="J5532" s="6"/>
      <c r="K5532" s="6"/>
      <c r="L5532" s="6"/>
      <c r="M5532" s="6"/>
      <c r="N5532" s="6"/>
      <c r="O5532" s="6"/>
      <c r="P5532" s="6"/>
      <c r="Q5532" s="6"/>
      <c r="R5532" s="6"/>
      <c r="S5532" s="6"/>
      <c r="T5532" s="6"/>
      <c r="U5532" s="6"/>
      <c r="V5532" s="6"/>
      <c r="W5532" s="6"/>
      <c r="X5532" s="6"/>
      <c r="Y5532" s="6"/>
      <c r="Z5532" s="6"/>
      <c r="AA5532" s="6"/>
    </row>
    <row r="5533" ht="14.25">
      <c r="B5533" s="14" t="s">
        <v>35784</v>
      </c>
      <c r="C5533" s="4" t="s">
        <v>35785</v>
      </c>
      <c r="D5533" s="4" t="s">
        <v>35786</v>
      </c>
      <c r="E5533" s="4" t="s">
        <v>35787</v>
      </c>
      <c r="F5533" s="4" t="s">
        <v>35481</v>
      </c>
      <c r="G5533" s="4" t="s">
        <v>35788</v>
      </c>
      <c r="H5533" s="6"/>
      <c r="I5533" s="6"/>
      <c r="J5533" s="6"/>
      <c r="K5533" s="6"/>
      <c r="L5533" s="6"/>
      <c r="M5533" s="6"/>
      <c r="N5533" s="6"/>
      <c r="O5533" s="6"/>
      <c r="P5533" s="6"/>
      <c r="Q5533" s="6"/>
      <c r="R5533" s="6"/>
      <c r="S5533" s="6"/>
      <c r="T5533" s="6"/>
      <c r="U5533" s="6"/>
      <c r="V5533" s="6"/>
      <c r="W5533" s="6"/>
      <c r="X5533" s="6"/>
      <c r="Y5533" s="6"/>
      <c r="Z5533" s="6"/>
      <c r="AA5533" s="6"/>
    </row>
    <row r="5534" ht="14.25">
      <c r="B5534" s="14" t="s">
        <v>35784</v>
      </c>
      <c r="C5534" s="4" t="s">
        <v>35785</v>
      </c>
      <c r="D5534" s="4" t="s">
        <v>35789</v>
      </c>
      <c r="E5534" s="4" t="s">
        <v>35787</v>
      </c>
      <c r="F5534" s="4" t="s">
        <v>7525</v>
      </c>
      <c r="G5534" s="4" t="s">
        <v>35790</v>
      </c>
      <c r="H5534" s="6"/>
      <c r="I5534" s="6"/>
      <c r="J5534" s="6"/>
      <c r="K5534" s="6"/>
      <c r="L5534" s="6"/>
      <c r="M5534" s="6"/>
      <c r="N5534" s="6"/>
      <c r="O5534" s="6"/>
      <c r="P5534" s="6"/>
      <c r="Q5534" s="6"/>
      <c r="R5534" s="6"/>
      <c r="S5534" s="6"/>
      <c r="T5534" s="6"/>
      <c r="U5534" s="6"/>
      <c r="V5534" s="6"/>
      <c r="W5534" s="6"/>
      <c r="X5534" s="6"/>
      <c r="Y5534" s="6"/>
      <c r="Z5534" s="6"/>
      <c r="AA5534" s="6"/>
    </row>
    <row r="5535" ht="14.25">
      <c r="B5535" s="14" t="s">
        <v>35791</v>
      </c>
      <c r="C5535" s="4" t="s">
        <v>35792</v>
      </c>
      <c r="D5535" s="4" t="s">
        <v>35793</v>
      </c>
      <c r="E5535" s="4" t="s">
        <v>35794</v>
      </c>
      <c r="F5535" s="4" t="s">
        <v>9479</v>
      </c>
      <c r="G5535" s="4" t="s">
        <v>35795</v>
      </c>
      <c r="H5535" s="6"/>
      <c r="I5535" s="6"/>
      <c r="J5535" s="6"/>
      <c r="K5535" s="6"/>
      <c r="L5535" s="6"/>
      <c r="M5535" s="6"/>
      <c r="N5535" s="6"/>
      <c r="O5535" s="6"/>
      <c r="P5535" s="6"/>
      <c r="Q5535" s="6"/>
      <c r="R5535" s="6"/>
      <c r="S5535" s="6"/>
      <c r="T5535" s="6"/>
      <c r="U5535" s="6"/>
      <c r="V5535" s="6"/>
      <c r="W5535" s="6"/>
      <c r="X5535" s="6"/>
      <c r="Y5535" s="6"/>
      <c r="Z5535" s="6"/>
      <c r="AA5535" s="6"/>
    </row>
    <row r="5536" ht="14.25">
      <c r="B5536" s="14" t="s">
        <v>35791</v>
      </c>
      <c r="C5536" s="4" t="s">
        <v>35792</v>
      </c>
      <c r="D5536" s="4" t="s">
        <v>35796</v>
      </c>
      <c r="E5536" s="4" t="s">
        <v>35794</v>
      </c>
      <c r="F5536" s="4" t="s">
        <v>32706</v>
      </c>
      <c r="G5536" s="4" t="s">
        <v>35797</v>
      </c>
      <c r="H5536" s="6"/>
      <c r="I5536" s="6"/>
      <c r="J5536" s="6"/>
      <c r="K5536" s="6"/>
      <c r="L5536" s="6"/>
      <c r="M5536" s="6"/>
      <c r="N5536" s="6"/>
      <c r="O5536" s="6"/>
      <c r="P5536" s="6"/>
      <c r="Q5536" s="6"/>
      <c r="R5536" s="6"/>
      <c r="S5536" s="6"/>
      <c r="T5536" s="6"/>
      <c r="U5536" s="6"/>
      <c r="V5536" s="6"/>
      <c r="W5536" s="6"/>
      <c r="X5536" s="6"/>
      <c r="Y5536" s="6"/>
      <c r="Z5536" s="6"/>
      <c r="AA5536" s="6"/>
    </row>
    <row r="5537" ht="14.25">
      <c r="B5537" s="14" t="s">
        <v>35791</v>
      </c>
      <c r="C5537" s="4" t="s">
        <v>35792</v>
      </c>
      <c r="D5537" s="4" t="s">
        <v>35798</v>
      </c>
      <c r="E5537" s="4" t="s">
        <v>35794</v>
      </c>
      <c r="F5537" s="4" t="s">
        <v>32891</v>
      </c>
      <c r="G5537" s="4" t="s">
        <v>35799</v>
      </c>
      <c r="H5537" s="6"/>
      <c r="I5537" s="6"/>
      <c r="J5537" s="6"/>
      <c r="K5537" s="6"/>
      <c r="L5537" s="6"/>
      <c r="M5537" s="6"/>
      <c r="N5537" s="6"/>
      <c r="O5537" s="6"/>
      <c r="P5537" s="6"/>
      <c r="Q5537" s="6"/>
      <c r="R5537" s="6"/>
      <c r="S5537" s="6"/>
      <c r="T5537" s="6"/>
      <c r="U5537" s="6"/>
      <c r="V5537" s="6"/>
      <c r="W5537" s="6"/>
      <c r="X5537" s="6"/>
      <c r="Y5537" s="6"/>
      <c r="Z5537" s="6"/>
      <c r="AA5537" s="6"/>
    </row>
    <row r="5538" ht="14.25">
      <c r="B5538" s="14" t="s">
        <v>35791</v>
      </c>
      <c r="C5538" s="4" t="s">
        <v>35792</v>
      </c>
      <c r="D5538" s="4" t="s">
        <v>35800</v>
      </c>
      <c r="E5538" s="4" t="s">
        <v>35794</v>
      </c>
      <c r="F5538" s="4" t="s">
        <v>6634</v>
      </c>
      <c r="G5538" s="4" t="s">
        <v>35801</v>
      </c>
      <c r="H5538" s="6"/>
      <c r="I5538" s="6"/>
      <c r="J5538" s="6"/>
      <c r="K5538" s="6"/>
      <c r="L5538" s="6"/>
      <c r="M5538" s="6"/>
      <c r="N5538" s="6"/>
      <c r="O5538" s="6"/>
      <c r="P5538" s="6"/>
      <c r="Q5538" s="6"/>
      <c r="R5538" s="6"/>
      <c r="S5538" s="6"/>
      <c r="T5538" s="6"/>
      <c r="U5538" s="6"/>
      <c r="V5538" s="6"/>
      <c r="W5538" s="6"/>
      <c r="X5538" s="6"/>
      <c r="Y5538" s="6"/>
      <c r="Z5538" s="6"/>
      <c r="AA5538" s="6"/>
    </row>
    <row r="5539" ht="14.25">
      <c r="B5539" s="14" t="s">
        <v>35791</v>
      </c>
      <c r="C5539" s="4" t="s">
        <v>35792</v>
      </c>
      <c r="D5539" s="4" t="s">
        <v>35802</v>
      </c>
      <c r="E5539" s="4" t="s">
        <v>35794</v>
      </c>
      <c r="F5539" s="4" t="s">
        <v>355</v>
      </c>
      <c r="G5539" s="4" t="s">
        <v>35803</v>
      </c>
      <c r="H5539" s="6"/>
      <c r="I5539" s="6"/>
      <c r="J5539" s="6"/>
      <c r="K5539" s="6"/>
      <c r="L5539" s="6"/>
      <c r="M5539" s="6"/>
      <c r="N5539" s="6"/>
      <c r="O5539" s="6"/>
      <c r="P5539" s="6"/>
      <c r="Q5539" s="6"/>
      <c r="R5539" s="6"/>
      <c r="S5539" s="6"/>
      <c r="T5539" s="6"/>
      <c r="U5539" s="6"/>
      <c r="V5539" s="6"/>
      <c r="W5539" s="6"/>
      <c r="X5539" s="6"/>
      <c r="Y5539" s="6"/>
      <c r="Z5539" s="6"/>
      <c r="AA5539" s="6"/>
    </row>
    <row r="5540" ht="14.25">
      <c r="B5540" s="14" t="s">
        <v>35791</v>
      </c>
      <c r="C5540" s="4" t="s">
        <v>35792</v>
      </c>
      <c r="D5540" s="4" t="s">
        <v>35804</v>
      </c>
      <c r="E5540" s="4" t="s">
        <v>35794</v>
      </c>
      <c r="F5540" s="4" t="s">
        <v>874</v>
      </c>
      <c r="G5540" s="4" t="s">
        <v>35805</v>
      </c>
      <c r="H5540" s="6"/>
      <c r="I5540" s="6"/>
      <c r="J5540" s="6"/>
      <c r="K5540" s="6"/>
      <c r="L5540" s="6"/>
      <c r="M5540" s="6"/>
      <c r="N5540" s="6"/>
      <c r="O5540" s="6"/>
      <c r="P5540" s="6"/>
      <c r="Q5540" s="6"/>
      <c r="R5540" s="6"/>
      <c r="S5540" s="6"/>
      <c r="T5540" s="6"/>
      <c r="U5540" s="6"/>
      <c r="V5540" s="6"/>
      <c r="W5540" s="6"/>
      <c r="X5540" s="6"/>
      <c r="Y5540" s="6"/>
      <c r="Z5540" s="6"/>
      <c r="AA5540" s="6"/>
    </row>
    <row r="5541" ht="14.25">
      <c r="B5541" s="14" t="s">
        <v>35791</v>
      </c>
      <c r="C5541" s="4" t="s">
        <v>35792</v>
      </c>
      <c r="D5541" s="4" t="s">
        <v>35806</v>
      </c>
      <c r="E5541" s="4" t="s">
        <v>35794</v>
      </c>
      <c r="F5541" s="4" t="s">
        <v>6931</v>
      </c>
      <c r="G5541" s="4" t="s">
        <v>35807</v>
      </c>
      <c r="H5541" s="6"/>
      <c r="I5541" s="6"/>
      <c r="J5541" s="6"/>
      <c r="K5541" s="6"/>
      <c r="L5541" s="6"/>
      <c r="M5541" s="6"/>
      <c r="N5541" s="6"/>
      <c r="O5541" s="6"/>
      <c r="P5541" s="6"/>
      <c r="Q5541" s="6"/>
      <c r="R5541" s="6"/>
      <c r="S5541" s="6"/>
      <c r="T5541" s="6"/>
      <c r="U5541" s="6"/>
      <c r="V5541" s="6"/>
      <c r="W5541" s="6"/>
      <c r="X5541" s="6"/>
      <c r="Y5541" s="6"/>
      <c r="Z5541" s="6"/>
      <c r="AA5541" s="6"/>
    </row>
    <row r="5542" ht="14.25">
      <c r="B5542" s="14" t="s">
        <v>35808</v>
      </c>
      <c r="C5542" s="4" t="s">
        <v>35809</v>
      </c>
      <c r="D5542" s="4" t="s">
        <v>35810</v>
      </c>
      <c r="E5542" s="4" t="s">
        <v>35811</v>
      </c>
      <c r="F5542" s="4" t="s">
        <v>35812</v>
      </c>
      <c r="G5542" s="4" t="s">
        <v>33490</v>
      </c>
      <c r="H5542" s="6"/>
      <c r="I5542" s="6"/>
      <c r="J5542" s="6"/>
      <c r="K5542" s="6"/>
      <c r="L5542" s="6"/>
      <c r="M5542" s="6"/>
      <c r="N5542" s="6"/>
      <c r="O5542" s="6"/>
      <c r="P5542" s="6"/>
      <c r="Q5542" s="6"/>
      <c r="R5542" s="6"/>
      <c r="S5542" s="6"/>
      <c r="T5542" s="6"/>
      <c r="U5542" s="6"/>
      <c r="V5542" s="6"/>
      <c r="W5542" s="6"/>
      <c r="X5542" s="6"/>
      <c r="Y5542" s="6"/>
      <c r="Z5542" s="6"/>
      <c r="AA5542" s="6"/>
    </row>
    <row r="5543" ht="14.25">
      <c r="B5543" s="14" t="s">
        <v>35813</v>
      </c>
      <c r="C5543" s="4" t="s">
        <v>35814</v>
      </c>
      <c r="D5543" s="4" t="s">
        <v>35815</v>
      </c>
      <c r="E5543" s="4" t="s">
        <v>35816</v>
      </c>
      <c r="F5543" s="4" t="s">
        <v>76</v>
      </c>
      <c r="G5543" s="4" t="s">
        <v>35817</v>
      </c>
      <c r="H5543" s="6"/>
      <c r="I5543" s="6"/>
      <c r="J5543" s="6"/>
      <c r="K5543" s="6"/>
      <c r="L5543" s="6"/>
      <c r="M5543" s="6"/>
      <c r="N5543" s="6"/>
      <c r="O5543" s="6"/>
      <c r="P5543" s="6"/>
      <c r="Q5543" s="6"/>
      <c r="R5543" s="6"/>
      <c r="S5543" s="6"/>
      <c r="T5543" s="6"/>
      <c r="U5543" s="6"/>
      <c r="V5543" s="6"/>
      <c r="W5543" s="6"/>
      <c r="X5543" s="6"/>
      <c r="Y5543" s="6"/>
      <c r="Z5543" s="6"/>
      <c r="AA5543" s="6"/>
    </row>
    <row r="5544" ht="14.25">
      <c r="B5544" s="14" t="s">
        <v>35813</v>
      </c>
      <c r="C5544" s="4" t="s">
        <v>35814</v>
      </c>
      <c r="D5544" s="4" t="s">
        <v>35818</v>
      </c>
      <c r="E5544" s="4" t="s">
        <v>35816</v>
      </c>
      <c r="F5544" s="4" t="s">
        <v>33084</v>
      </c>
      <c r="G5544" s="4" t="s">
        <v>35819</v>
      </c>
      <c r="H5544" s="6"/>
      <c r="I5544" s="6"/>
      <c r="J5544" s="6"/>
      <c r="K5544" s="6"/>
      <c r="L5544" s="6"/>
      <c r="M5544" s="6"/>
      <c r="N5544" s="6"/>
      <c r="O5544" s="6"/>
      <c r="P5544" s="6"/>
      <c r="Q5544" s="6"/>
      <c r="R5544" s="6"/>
      <c r="S5544" s="6"/>
      <c r="T5544" s="6"/>
      <c r="U5544" s="6"/>
      <c r="V5544" s="6"/>
      <c r="W5544" s="6"/>
      <c r="X5544" s="6"/>
      <c r="Y5544" s="6"/>
      <c r="Z5544" s="6"/>
      <c r="AA5544" s="6"/>
    </row>
    <row r="5545" ht="14.25">
      <c r="B5545" s="14" t="s">
        <v>35813</v>
      </c>
      <c r="C5545" s="4" t="s">
        <v>35814</v>
      </c>
      <c r="D5545" s="4" t="s">
        <v>35820</v>
      </c>
      <c r="E5545" s="4" t="s">
        <v>35816</v>
      </c>
      <c r="F5545" s="4" t="s">
        <v>32548</v>
      </c>
      <c r="G5545" s="4" t="s">
        <v>35821</v>
      </c>
      <c r="H5545" s="6"/>
      <c r="I5545" s="6"/>
      <c r="J5545" s="6"/>
      <c r="K5545" s="6"/>
      <c r="L5545" s="6"/>
      <c r="M5545" s="6"/>
      <c r="N5545" s="6"/>
      <c r="O5545" s="6"/>
      <c r="P5545" s="6"/>
      <c r="Q5545" s="6"/>
      <c r="R5545" s="6"/>
      <c r="S5545" s="6"/>
      <c r="T5545" s="6"/>
      <c r="U5545" s="6"/>
      <c r="V5545" s="6"/>
      <c r="W5545" s="6"/>
      <c r="X5545" s="6"/>
      <c r="Y5545" s="6"/>
      <c r="Z5545" s="6"/>
      <c r="AA5545" s="6"/>
    </row>
    <row r="5546" ht="14.25">
      <c r="B5546" s="14" t="s">
        <v>35813</v>
      </c>
      <c r="C5546" s="4" t="s">
        <v>35822</v>
      </c>
      <c r="D5546" s="4" t="s">
        <v>35823</v>
      </c>
      <c r="E5546" s="4" t="s">
        <v>35824</v>
      </c>
      <c r="F5546" s="4" t="s">
        <v>134</v>
      </c>
      <c r="G5546" s="4" t="s">
        <v>35780</v>
      </c>
      <c r="H5546" s="6"/>
      <c r="I5546" s="6"/>
      <c r="J5546" s="6"/>
      <c r="K5546" s="6"/>
      <c r="L5546" s="6"/>
      <c r="M5546" s="6"/>
      <c r="N5546" s="6"/>
      <c r="O5546" s="6"/>
      <c r="P5546" s="6"/>
      <c r="Q5546" s="6"/>
      <c r="R5546" s="6"/>
      <c r="S5546" s="6"/>
      <c r="T5546" s="6"/>
      <c r="U5546" s="6"/>
      <c r="V5546" s="6"/>
      <c r="W5546" s="6"/>
      <c r="X5546" s="6"/>
      <c r="Y5546" s="6"/>
      <c r="Z5546" s="6"/>
      <c r="AA5546" s="6"/>
    </row>
    <row r="5547" ht="14.25">
      <c r="B5547" s="14" t="s">
        <v>35825</v>
      </c>
      <c r="C5547" s="4" t="s">
        <v>35826</v>
      </c>
      <c r="D5547" s="4" t="s">
        <v>35827</v>
      </c>
      <c r="E5547" s="4" t="s">
        <v>35828</v>
      </c>
      <c r="F5547" s="4" t="s">
        <v>222</v>
      </c>
      <c r="G5547" s="4" t="s">
        <v>35829</v>
      </c>
      <c r="H5547" s="6"/>
      <c r="I5547" s="6"/>
      <c r="J5547" s="6"/>
      <c r="K5547" s="6"/>
      <c r="L5547" s="6"/>
      <c r="M5547" s="6"/>
      <c r="N5547" s="6"/>
      <c r="O5547" s="6"/>
      <c r="P5547" s="6"/>
      <c r="Q5547" s="6"/>
      <c r="R5547" s="6"/>
      <c r="S5547" s="6"/>
      <c r="T5547" s="6"/>
      <c r="U5547" s="6"/>
      <c r="V5547" s="6"/>
      <c r="W5547" s="6"/>
      <c r="X5547" s="6"/>
      <c r="Y5547" s="6"/>
      <c r="Z5547" s="6"/>
      <c r="AA5547" s="6"/>
    </row>
    <row r="5548" ht="14.25">
      <c r="B5548" s="14" t="s">
        <v>35830</v>
      </c>
      <c r="C5548" s="4" t="s">
        <v>35831</v>
      </c>
      <c r="D5548" s="4" t="s">
        <v>35832</v>
      </c>
      <c r="E5548" s="6"/>
      <c r="F5548" s="4" t="s">
        <v>630</v>
      </c>
      <c r="G5548" s="4" t="s">
        <v>35833</v>
      </c>
      <c r="H5548" s="6"/>
      <c r="I5548" s="6"/>
      <c r="J5548" s="6"/>
      <c r="K5548" s="6"/>
      <c r="L5548" s="6"/>
      <c r="M5548" s="6"/>
      <c r="N5548" s="6"/>
      <c r="O5548" s="6"/>
      <c r="P5548" s="6"/>
      <c r="Q5548" s="6"/>
      <c r="R5548" s="6"/>
      <c r="S5548" s="6"/>
      <c r="T5548" s="6"/>
      <c r="U5548" s="6"/>
      <c r="V5548" s="6"/>
      <c r="W5548" s="6"/>
      <c r="X5548" s="6"/>
      <c r="Y5548" s="6"/>
      <c r="Z5548" s="6"/>
      <c r="AA5548" s="6"/>
    </row>
    <row r="5549" ht="14.25">
      <c r="B5549" s="14" t="s">
        <v>35834</v>
      </c>
      <c r="C5549" s="4" t="s">
        <v>35835</v>
      </c>
      <c r="D5549" s="4" t="s">
        <v>35836</v>
      </c>
      <c r="E5549" s="6"/>
      <c r="F5549" s="4" t="s">
        <v>35837</v>
      </c>
      <c r="G5549" s="4" t="s">
        <v>35838</v>
      </c>
      <c r="H5549" s="6"/>
      <c r="I5549" s="6"/>
      <c r="J5549" s="6"/>
      <c r="K5549" s="6"/>
      <c r="L5549" s="6"/>
      <c r="M5549" s="6"/>
      <c r="N5549" s="6"/>
      <c r="O5549" s="6"/>
      <c r="P5549" s="6"/>
      <c r="Q5549" s="6"/>
      <c r="R5549" s="6"/>
      <c r="S5549" s="6"/>
      <c r="T5549" s="6"/>
      <c r="U5549" s="6"/>
      <c r="V5549" s="6"/>
      <c r="W5549" s="6"/>
      <c r="X5549" s="6"/>
      <c r="Y5549" s="6"/>
      <c r="Z5549" s="6"/>
      <c r="AA5549" s="6"/>
    </row>
    <row r="5550" ht="14.25">
      <c r="B5550" s="14" t="s">
        <v>35834</v>
      </c>
      <c r="C5550" s="4" t="s">
        <v>35839</v>
      </c>
      <c r="D5550" s="4" t="s">
        <v>35840</v>
      </c>
      <c r="E5550" s="4" t="s">
        <v>35841</v>
      </c>
      <c r="F5550" s="4" t="s">
        <v>35842</v>
      </c>
      <c r="G5550" s="4" t="s">
        <v>290</v>
      </c>
      <c r="H5550" s="6"/>
      <c r="I5550" s="6"/>
      <c r="J5550" s="6"/>
      <c r="K5550" s="6"/>
      <c r="L5550" s="6"/>
      <c r="M5550" s="6"/>
      <c r="N5550" s="6"/>
      <c r="O5550" s="6"/>
      <c r="P5550" s="6"/>
      <c r="Q5550" s="6"/>
      <c r="R5550" s="6"/>
      <c r="S5550" s="6"/>
      <c r="T5550" s="6"/>
      <c r="U5550" s="6"/>
      <c r="V5550" s="6"/>
      <c r="W5550" s="6"/>
      <c r="X5550" s="6"/>
      <c r="Y5550" s="6"/>
      <c r="Z5550" s="6"/>
      <c r="AA5550" s="6"/>
    </row>
    <row r="5551" ht="14.25">
      <c r="B5551" s="14" t="s">
        <v>35834</v>
      </c>
      <c r="C5551" s="4" t="s">
        <v>35843</v>
      </c>
      <c r="D5551" s="4" t="s">
        <v>35844</v>
      </c>
      <c r="E5551" s="6"/>
      <c r="F5551" s="4" t="s">
        <v>35845</v>
      </c>
      <c r="G5551" s="4" t="s">
        <v>35846</v>
      </c>
      <c r="H5551" s="6"/>
      <c r="I5551" s="6"/>
      <c r="J5551" s="6"/>
      <c r="K5551" s="6"/>
      <c r="L5551" s="6"/>
      <c r="M5551" s="6"/>
      <c r="N5551" s="6"/>
      <c r="O5551" s="6"/>
      <c r="P5551" s="6"/>
      <c r="Q5551" s="6"/>
      <c r="R5551" s="6"/>
      <c r="S5551" s="6"/>
      <c r="T5551" s="6"/>
      <c r="U5551" s="6"/>
      <c r="V5551" s="6"/>
      <c r="W5551" s="6"/>
      <c r="X5551" s="6"/>
      <c r="Y5551" s="6"/>
      <c r="Z5551" s="6"/>
      <c r="AA5551" s="6"/>
    </row>
    <row r="5552" ht="14.25">
      <c r="B5552" s="14" t="s">
        <v>35834</v>
      </c>
      <c r="C5552" s="4" t="s">
        <v>35839</v>
      </c>
      <c r="D5552" s="4" t="s">
        <v>35847</v>
      </c>
      <c r="E5552" s="4" t="s">
        <v>35841</v>
      </c>
      <c r="F5552" s="4" t="s">
        <v>32701</v>
      </c>
      <c r="G5552" s="4" t="s">
        <v>35848</v>
      </c>
      <c r="H5552" s="6"/>
      <c r="I5552" s="6"/>
      <c r="J5552" s="6"/>
      <c r="K5552" s="6"/>
      <c r="L5552" s="6"/>
      <c r="M5552" s="6"/>
      <c r="N5552" s="6"/>
      <c r="O5552" s="6"/>
      <c r="P5552" s="6"/>
      <c r="Q5552" s="6"/>
      <c r="R5552" s="6"/>
      <c r="S5552" s="6"/>
      <c r="T5552" s="6"/>
      <c r="U5552" s="6"/>
      <c r="V5552" s="6"/>
      <c r="W5552" s="6"/>
      <c r="X5552" s="6"/>
      <c r="Y5552" s="6"/>
      <c r="Z5552" s="6"/>
      <c r="AA5552" s="6"/>
    </row>
    <row r="5553" ht="14.25">
      <c r="B5553" s="14" t="s">
        <v>35834</v>
      </c>
      <c r="C5553" s="4" t="s">
        <v>35839</v>
      </c>
      <c r="D5553" s="4" t="s">
        <v>35849</v>
      </c>
      <c r="E5553" s="4" t="s">
        <v>35841</v>
      </c>
      <c r="F5553" s="4" t="s">
        <v>32548</v>
      </c>
      <c r="G5553" s="4" t="s">
        <v>35848</v>
      </c>
      <c r="H5553" s="6"/>
      <c r="I5553" s="6"/>
      <c r="J5553" s="6"/>
      <c r="K5553" s="6"/>
      <c r="L5553" s="6"/>
      <c r="M5553" s="6"/>
      <c r="N5553" s="6"/>
      <c r="O5553" s="6"/>
      <c r="P5553" s="6"/>
      <c r="Q5553" s="6"/>
      <c r="R5553" s="6"/>
      <c r="S5553" s="6"/>
      <c r="T5553" s="6"/>
      <c r="U5553" s="6"/>
      <c r="V5553" s="6"/>
      <c r="W5553" s="6"/>
      <c r="X5553" s="6"/>
      <c r="Y5553" s="6"/>
      <c r="Z5553" s="6"/>
      <c r="AA5553" s="6"/>
    </row>
    <row r="5554" ht="14.25">
      <c r="B5554" s="14" t="s">
        <v>35834</v>
      </c>
      <c r="C5554" s="4" t="s">
        <v>35850</v>
      </c>
      <c r="D5554" s="4" t="s">
        <v>35851</v>
      </c>
      <c r="E5554" s="6"/>
      <c r="F5554" s="4" t="s">
        <v>808</v>
      </c>
      <c r="G5554" s="4" t="s">
        <v>35852</v>
      </c>
      <c r="H5554" s="6"/>
      <c r="I5554" s="6"/>
      <c r="J5554" s="6"/>
      <c r="K5554" s="6"/>
      <c r="L5554" s="6"/>
      <c r="M5554" s="6"/>
      <c r="N5554" s="6"/>
      <c r="O5554" s="6"/>
      <c r="P5554" s="6"/>
      <c r="Q5554" s="6"/>
      <c r="R5554" s="6"/>
      <c r="S5554" s="6"/>
      <c r="T5554" s="6"/>
      <c r="U5554" s="6"/>
      <c r="V5554" s="6"/>
      <c r="W5554" s="6"/>
      <c r="X5554" s="6"/>
      <c r="Y5554" s="6"/>
      <c r="Z5554" s="6"/>
      <c r="AA5554" s="6"/>
    </row>
    <row r="5555" ht="14.25">
      <c r="B5555" s="14" t="s">
        <v>35834</v>
      </c>
      <c r="C5555" s="4" t="s">
        <v>35853</v>
      </c>
      <c r="D5555" s="4" t="s">
        <v>35854</v>
      </c>
      <c r="E5555" s="6"/>
      <c r="F5555" s="4" t="s">
        <v>571</v>
      </c>
      <c r="G5555" s="4" t="s">
        <v>35855</v>
      </c>
      <c r="H5555" s="6"/>
      <c r="I5555" s="6"/>
      <c r="J5555" s="6"/>
      <c r="K5555" s="6"/>
      <c r="L5555" s="6"/>
      <c r="M5555" s="6"/>
      <c r="N5555" s="6"/>
      <c r="O5555" s="6"/>
      <c r="P5555" s="6"/>
      <c r="Q5555" s="6"/>
      <c r="R5555" s="6"/>
      <c r="S5555" s="6"/>
      <c r="T5555" s="6"/>
      <c r="U5555" s="6"/>
      <c r="V5555" s="6"/>
      <c r="W5555" s="6"/>
      <c r="X5555" s="6"/>
      <c r="Y5555" s="6"/>
      <c r="Z5555" s="6"/>
      <c r="AA5555" s="6"/>
    </row>
    <row r="5556" ht="14.25">
      <c r="B5556" s="14" t="s">
        <v>35834</v>
      </c>
      <c r="C5556" s="4" t="s">
        <v>35856</v>
      </c>
      <c r="D5556" s="4" t="s">
        <v>35857</v>
      </c>
      <c r="E5556" s="4" t="s">
        <v>35858</v>
      </c>
      <c r="F5556" s="4" t="s">
        <v>10123</v>
      </c>
      <c r="G5556" s="4" t="s">
        <v>4961</v>
      </c>
      <c r="H5556" s="6"/>
      <c r="I5556" s="6"/>
      <c r="J5556" s="6"/>
      <c r="K5556" s="6"/>
      <c r="L5556" s="6"/>
      <c r="M5556" s="6"/>
      <c r="N5556" s="6"/>
      <c r="O5556" s="6"/>
      <c r="P5556" s="6"/>
      <c r="Q5556" s="6"/>
      <c r="R5556" s="6"/>
      <c r="S5556" s="6"/>
      <c r="T5556" s="6"/>
      <c r="U5556" s="6"/>
      <c r="V5556" s="6"/>
      <c r="W5556" s="6"/>
      <c r="X5556" s="6"/>
      <c r="Y5556" s="6"/>
      <c r="Z5556" s="6"/>
      <c r="AA5556" s="6"/>
    </row>
    <row r="5557" ht="14.25">
      <c r="B5557" s="14" t="s">
        <v>35834</v>
      </c>
      <c r="C5557" s="4" t="s">
        <v>35859</v>
      </c>
      <c r="D5557" s="4" t="s">
        <v>35860</v>
      </c>
      <c r="E5557" s="4" t="s">
        <v>35861</v>
      </c>
      <c r="F5557" s="4" t="s">
        <v>4800</v>
      </c>
      <c r="G5557" s="4" t="s">
        <v>35862</v>
      </c>
      <c r="H5557" s="6"/>
      <c r="I5557" s="6"/>
      <c r="J5557" s="6"/>
      <c r="K5557" s="6"/>
      <c r="L5557" s="6"/>
      <c r="M5557" s="6"/>
      <c r="N5557" s="6"/>
      <c r="O5557" s="6"/>
      <c r="P5557" s="6"/>
      <c r="Q5557" s="6"/>
      <c r="R5557" s="6"/>
      <c r="S5557" s="6"/>
      <c r="T5557" s="6"/>
      <c r="U5557" s="6"/>
      <c r="V5557" s="6"/>
      <c r="W5557" s="6"/>
      <c r="X5557" s="6"/>
      <c r="Y5557" s="6"/>
      <c r="Z5557" s="6"/>
      <c r="AA5557" s="6"/>
    </row>
    <row r="5558" ht="14.25">
      <c r="B5558" s="14" t="s">
        <v>35863</v>
      </c>
      <c r="C5558" s="4" t="s">
        <v>35864</v>
      </c>
      <c r="D5558" s="4" t="s">
        <v>35865</v>
      </c>
      <c r="E5558" s="4" t="s">
        <v>35866</v>
      </c>
      <c r="F5558" s="4" t="s">
        <v>1215</v>
      </c>
      <c r="G5558" s="4" t="s">
        <v>32551</v>
      </c>
      <c r="H5558" s="6"/>
      <c r="I5558" s="6"/>
      <c r="J5558" s="6"/>
      <c r="K5558" s="6"/>
      <c r="L5558" s="6"/>
      <c r="M5558" s="6"/>
      <c r="N5558" s="6"/>
      <c r="O5558" s="6"/>
      <c r="P5558" s="6"/>
      <c r="Q5558" s="6"/>
      <c r="R5558" s="6"/>
      <c r="S5558" s="6"/>
      <c r="T5558" s="6"/>
      <c r="U5558" s="6"/>
      <c r="V5558" s="6"/>
      <c r="W5558" s="6"/>
      <c r="X5558" s="6"/>
      <c r="Y5558" s="6"/>
      <c r="Z5558" s="6"/>
      <c r="AA5558" s="6"/>
    </row>
    <row r="5559" ht="14.25">
      <c r="B5559" s="14" t="s">
        <v>35867</v>
      </c>
      <c r="C5559" s="4" t="s">
        <v>35868</v>
      </c>
      <c r="D5559" s="4" t="s">
        <v>35869</v>
      </c>
      <c r="E5559" s="4" t="s">
        <v>35870</v>
      </c>
      <c r="F5559" s="4" t="s">
        <v>330</v>
      </c>
      <c r="G5559" s="4" t="s">
        <v>35871</v>
      </c>
      <c r="H5559" s="6"/>
      <c r="I5559" s="6"/>
      <c r="J5559" s="6"/>
      <c r="K5559" s="6"/>
      <c r="L5559" s="6"/>
      <c r="M5559" s="6"/>
      <c r="N5559" s="6"/>
      <c r="O5559" s="6"/>
      <c r="P5559" s="6"/>
      <c r="Q5559" s="6"/>
      <c r="R5559" s="6"/>
      <c r="S5559" s="6"/>
      <c r="T5559" s="6"/>
      <c r="U5559" s="6"/>
      <c r="V5559" s="6"/>
      <c r="W5559" s="6"/>
      <c r="X5559" s="6"/>
      <c r="Y5559" s="6"/>
      <c r="Z5559" s="6"/>
      <c r="AA5559" s="6"/>
    </row>
    <row r="5560" ht="14.25">
      <c r="B5560" s="14" t="s">
        <v>35867</v>
      </c>
      <c r="C5560" s="4" t="s">
        <v>35872</v>
      </c>
      <c r="D5560" s="4" t="s">
        <v>35873</v>
      </c>
      <c r="E5560" s="6"/>
      <c r="F5560" s="4" t="s">
        <v>33264</v>
      </c>
      <c r="G5560" s="4" t="s">
        <v>34767</v>
      </c>
      <c r="H5560" s="6"/>
      <c r="I5560" s="6"/>
      <c r="J5560" s="6"/>
      <c r="K5560" s="6"/>
      <c r="L5560" s="6"/>
      <c r="M5560" s="6"/>
      <c r="N5560" s="6"/>
      <c r="O5560" s="6"/>
      <c r="P5560" s="6"/>
      <c r="Q5560" s="6"/>
      <c r="R5560" s="6"/>
      <c r="S5560" s="6"/>
      <c r="T5560" s="6"/>
      <c r="U5560" s="6"/>
      <c r="V5560" s="6"/>
      <c r="W5560" s="6"/>
      <c r="X5560" s="6"/>
      <c r="Y5560" s="6"/>
      <c r="Z5560" s="6"/>
      <c r="AA5560" s="6"/>
    </row>
    <row r="5561" ht="14.25">
      <c r="B5561" s="14" t="s">
        <v>35874</v>
      </c>
      <c r="C5561" s="4" t="s">
        <v>35875</v>
      </c>
      <c r="D5561" s="4" t="s">
        <v>35876</v>
      </c>
      <c r="E5561" s="4" t="s">
        <v>35877</v>
      </c>
      <c r="F5561" s="4" t="s">
        <v>35878</v>
      </c>
      <c r="G5561" s="4" t="s">
        <v>35879</v>
      </c>
      <c r="H5561" s="6"/>
      <c r="I5561" s="6"/>
      <c r="J5561" s="6"/>
      <c r="K5561" s="6"/>
      <c r="L5561" s="6"/>
      <c r="M5561" s="6"/>
      <c r="N5561" s="6"/>
      <c r="O5561" s="6"/>
      <c r="P5561" s="6"/>
      <c r="Q5561" s="6"/>
      <c r="R5561" s="6"/>
      <c r="S5561" s="6"/>
      <c r="T5561" s="6"/>
      <c r="U5561" s="6"/>
      <c r="V5561" s="6"/>
      <c r="W5561" s="6"/>
      <c r="X5561" s="6"/>
      <c r="Y5561" s="6"/>
      <c r="Z5561" s="6"/>
      <c r="AA5561" s="6"/>
    </row>
    <row r="5562" ht="14.25">
      <c r="B5562" s="14" t="s">
        <v>35880</v>
      </c>
      <c r="C5562" s="4" t="s">
        <v>35881</v>
      </c>
      <c r="D5562" s="4" t="s">
        <v>35882</v>
      </c>
      <c r="E5562" s="4" t="s">
        <v>35883</v>
      </c>
      <c r="F5562" s="4" t="s">
        <v>35884</v>
      </c>
      <c r="G5562" s="4" t="s">
        <v>33725</v>
      </c>
      <c r="H5562" s="6"/>
      <c r="I5562" s="6"/>
      <c r="J5562" s="6"/>
      <c r="K5562" s="6"/>
      <c r="L5562" s="6"/>
      <c r="M5562" s="6"/>
      <c r="N5562" s="6"/>
      <c r="O5562" s="6"/>
      <c r="P5562" s="6"/>
      <c r="Q5562" s="6"/>
      <c r="R5562" s="6"/>
      <c r="S5562" s="6"/>
      <c r="T5562" s="6"/>
      <c r="U5562" s="6"/>
      <c r="V5562" s="6"/>
      <c r="W5562" s="6"/>
      <c r="X5562" s="6"/>
      <c r="Y5562" s="6"/>
      <c r="Z5562" s="6"/>
      <c r="AA5562" s="6"/>
    </row>
    <row r="5563" ht="14.25">
      <c r="B5563" s="14" t="s">
        <v>35880</v>
      </c>
      <c r="C5563" s="4" t="s">
        <v>35881</v>
      </c>
      <c r="D5563" s="4" t="s">
        <v>35885</v>
      </c>
      <c r="E5563" s="4" t="s">
        <v>35883</v>
      </c>
      <c r="F5563" s="4" t="s">
        <v>4969</v>
      </c>
      <c r="G5563" s="4" t="s">
        <v>35886</v>
      </c>
      <c r="H5563" s="6"/>
      <c r="I5563" s="6"/>
      <c r="J5563" s="6"/>
      <c r="K5563" s="6"/>
      <c r="L5563" s="6"/>
      <c r="M5563" s="6"/>
      <c r="N5563" s="6"/>
      <c r="O5563" s="6"/>
      <c r="P5563" s="6"/>
      <c r="Q5563" s="6"/>
      <c r="R5563" s="6"/>
      <c r="S5563" s="6"/>
      <c r="T5563" s="6"/>
      <c r="U5563" s="6"/>
      <c r="V5563" s="6"/>
      <c r="W5563" s="6"/>
      <c r="X5563" s="6"/>
      <c r="Y5563" s="6"/>
      <c r="Z5563" s="6"/>
      <c r="AA5563" s="6"/>
    </row>
    <row r="5564" ht="14.25">
      <c r="B5564" s="14" t="s">
        <v>35880</v>
      </c>
      <c r="C5564" s="4" t="s">
        <v>35881</v>
      </c>
      <c r="D5564" s="4" t="s">
        <v>35887</v>
      </c>
      <c r="E5564" s="4" t="s">
        <v>35883</v>
      </c>
      <c r="F5564" s="4" t="s">
        <v>679</v>
      </c>
      <c r="G5564" s="4" t="s">
        <v>35888</v>
      </c>
      <c r="H5564" s="6"/>
      <c r="I5564" s="6"/>
      <c r="J5564" s="6"/>
      <c r="K5564" s="6"/>
      <c r="L5564" s="6"/>
      <c r="M5564" s="6"/>
      <c r="N5564" s="6"/>
      <c r="O5564" s="6"/>
      <c r="P5564" s="6"/>
      <c r="Q5564" s="6"/>
      <c r="R5564" s="6"/>
      <c r="S5564" s="6"/>
      <c r="T5564" s="6"/>
      <c r="U5564" s="6"/>
      <c r="V5564" s="6"/>
      <c r="W5564" s="6"/>
      <c r="X5564" s="6"/>
      <c r="Y5564" s="6"/>
      <c r="Z5564" s="6"/>
      <c r="AA5564" s="6"/>
    </row>
    <row r="5565" ht="14.25">
      <c r="B5565" s="14" t="s">
        <v>35889</v>
      </c>
      <c r="C5565" s="4" t="s">
        <v>35890</v>
      </c>
      <c r="D5565" s="4" t="s">
        <v>35891</v>
      </c>
      <c r="E5565" s="4" t="s">
        <v>35892</v>
      </c>
      <c r="F5565" s="4" t="s">
        <v>33135</v>
      </c>
      <c r="G5565" s="4" t="s">
        <v>35893</v>
      </c>
      <c r="H5565" s="6"/>
      <c r="I5565" s="6"/>
      <c r="J5565" s="6"/>
      <c r="K5565" s="6"/>
      <c r="L5565" s="6"/>
      <c r="M5565" s="6"/>
      <c r="N5565" s="6"/>
      <c r="O5565" s="6"/>
      <c r="P5565" s="6"/>
      <c r="Q5565" s="6"/>
      <c r="R5565" s="6"/>
      <c r="S5565" s="6"/>
      <c r="T5565" s="6"/>
      <c r="U5565" s="6"/>
      <c r="V5565" s="6"/>
      <c r="W5565" s="6"/>
      <c r="X5565" s="6"/>
      <c r="Y5565" s="6"/>
      <c r="Z5565" s="6"/>
      <c r="AA5565" s="6"/>
    </row>
    <row r="5566" ht="14.25">
      <c r="B5566" s="14" t="s">
        <v>35894</v>
      </c>
      <c r="C5566" s="4" t="s">
        <v>35895</v>
      </c>
      <c r="D5566" s="4" t="s">
        <v>35896</v>
      </c>
      <c r="E5566" s="4" t="s">
        <v>35897</v>
      </c>
      <c r="F5566" s="4" t="s">
        <v>1732</v>
      </c>
      <c r="G5566" s="4" t="s">
        <v>35898</v>
      </c>
      <c r="H5566" s="6"/>
      <c r="I5566" s="6"/>
      <c r="J5566" s="6"/>
      <c r="K5566" s="6"/>
      <c r="L5566" s="6"/>
      <c r="M5566" s="6"/>
      <c r="N5566" s="6"/>
      <c r="O5566" s="6"/>
      <c r="P5566" s="6"/>
      <c r="Q5566" s="6"/>
      <c r="R5566" s="6"/>
      <c r="S5566" s="6"/>
      <c r="T5566" s="6"/>
      <c r="U5566" s="6"/>
      <c r="V5566" s="6"/>
      <c r="W5566" s="6"/>
      <c r="X5566" s="6"/>
      <c r="Y5566" s="6"/>
      <c r="Z5566" s="6"/>
      <c r="AA5566" s="6"/>
    </row>
    <row r="5567" ht="14.25">
      <c r="B5567" s="14" t="s">
        <v>35894</v>
      </c>
      <c r="C5567" s="4" t="s">
        <v>35895</v>
      </c>
      <c r="D5567" s="4" t="s">
        <v>35897</v>
      </c>
      <c r="E5567" s="6"/>
      <c r="F5567" s="4" t="s">
        <v>6356</v>
      </c>
      <c r="G5567" s="4" t="s">
        <v>35899</v>
      </c>
      <c r="H5567" s="6"/>
      <c r="I5567" s="6"/>
      <c r="J5567" s="6"/>
      <c r="K5567" s="6"/>
      <c r="L5567" s="6"/>
      <c r="M5567" s="6"/>
      <c r="N5567" s="6"/>
      <c r="O5567" s="6"/>
      <c r="P5567" s="6"/>
      <c r="Q5567" s="6"/>
      <c r="R5567" s="6"/>
      <c r="S5567" s="6"/>
      <c r="T5567" s="6"/>
      <c r="U5567" s="6"/>
      <c r="V5567" s="6"/>
      <c r="W5567" s="6"/>
      <c r="X5567" s="6"/>
      <c r="Y5567" s="6"/>
      <c r="Z5567" s="6"/>
      <c r="AA5567" s="6"/>
    </row>
    <row r="5568" ht="14.25">
      <c r="B5568" s="14" t="s">
        <v>35900</v>
      </c>
      <c r="C5568" s="4" t="s">
        <v>35901</v>
      </c>
      <c r="D5568" s="4" t="s">
        <v>35902</v>
      </c>
      <c r="E5568" s="6"/>
      <c r="F5568" s="4" t="s">
        <v>955</v>
      </c>
      <c r="G5568" s="4" t="s">
        <v>35903</v>
      </c>
      <c r="H5568" s="6"/>
      <c r="I5568" s="6"/>
      <c r="J5568" s="6"/>
      <c r="K5568" s="6"/>
      <c r="L5568" s="6"/>
      <c r="M5568" s="6"/>
      <c r="N5568" s="6"/>
      <c r="O5568" s="6"/>
      <c r="P5568" s="6"/>
      <c r="Q5568" s="6"/>
      <c r="R5568" s="6"/>
      <c r="S5568" s="6"/>
      <c r="T5568" s="6"/>
      <c r="U5568" s="6"/>
      <c r="V5568" s="6"/>
      <c r="W5568" s="6"/>
      <c r="X5568" s="6"/>
      <c r="Y5568" s="6"/>
      <c r="Z5568" s="6"/>
      <c r="AA5568" s="6"/>
    </row>
    <row r="5569" ht="14.25">
      <c r="B5569" s="14" t="s">
        <v>35900</v>
      </c>
      <c r="C5569" s="4" t="s">
        <v>35904</v>
      </c>
      <c r="D5569" s="4" t="s">
        <v>35905</v>
      </c>
      <c r="E5569" s="4" t="s">
        <v>35906</v>
      </c>
      <c r="F5569" s="4" t="s">
        <v>35907</v>
      </c>
      <c r="G5569" s="4" t="s">
        <v>35908</v>
      </c>
      <c r="H5569" s="6"/>
      <c r="I5569" s="6"/>
      <c r="J5569" s="6"/>
      <c r="K5569" s="6"/>
      <c r="L5569" s="6"/>
      <c r="M5569" s="6"/>
      <c r="N5569" s="6"/>
      <c r="O5569" s="6"/>
      <c r="P5569" s="6"/>
      <c r="Q5569" s="6"/>
      <c r="R5569" s="6"/>
      <c r="S5569" s="6"/>
      <c r="T5569" s="6"/>
      <c r="U5569" s="6"/>
      <c r="V5569" s="6"/>
      <c r="W5569" s="6"/>
      <c r="X5569" s="6"/>
      <c r="Y5569" s="6"/>
      <c r="Z5569" s="6"/>
      <c r="AA5569" s="6"/>
    </row>
    <row r="5570" ht="14.25">
      <c r="B5570" s="14" t="s">
        <v>35900</v>
      </c>
      <c r="C5570" s="4" t="s">
        <v>35901</v>
      </c>
      <c r="D5570" s="4" t="s">
        <v>35909</v>
      </c>
      <c r="E5570" s="4" t="s">
        <v>35902</v>
      </c>
      <c r="F5570" s="4" t="s">
        <v>4341</v>
      </c>
      <c r="G5570" s="4" t="s">
        <v>35910</v>
      </c>
      <c r="H5570" s="6"/>
      <c r="I5570" s="6"/>
      <c r="J5570" s="6"/>
      <c r="K5570" s="6"/>
      <c r="L5570" s="6"/>
      <c r="M5570" s="6"/>
      <c r="N5570" s="6"/>
      <c r="O5570" s="6"/>
      <c r="P5570" s="6"/>
      <c r="Q5570" s="6"/>
      <c r="R5570" s="6"/>
      <c r="S5570" s="6"/>
      <c r="T5570" s="6"/>
      <c r="U5570" s="6"/>
      <c r="V5570" s="6"/>
      <c r="W5570" s="6"/>
      <c r="X5570" s="6"/>
      <c r="Y5570" s="6"/>
      <c r="Z5570" s="6"/>
      <c r="AA5570" s="6"/>
    </row>
    <row r="5571" ht="14.25">
      <c r="B5571" s="14" t="s">
        <v>35911</v>
      </c>
      <c r="C5571" s="4" t="s">
        <v>35912</v>
      </c>
      <c r="D5571" s="4" t="s">
        <v>35913</v>
      </c>
      <c r="E5571" s="6"/>
      <c r="F5571" s="4" t="s">
        <v>1732</v>
      </c>
      <c r="G5571" s="4" t="s">
        <v>35914</v>
      </c>
      <c r="H5571" s="6"/>
      <c r="I5571" s="6"/>
      <c r="J5571" s="6"/>
      <c r="K5571" s="6"/>
      <c r="L5571" s="6"/>
      <c r="M5571" s="6"/>
      <c r="N5571" s="6"/>
      <c r="O5571" s="6"/>
      <c r="P5571" s="6"/>
      <c r="Q5571" s="6"/>
      <c r="R5571" s="6"/>
      <c r="S5571" s="6"/>
      <c r="T5571" s="6"/>
      <c r="U5571" s="6"/>
      <c r="V5571" s="6"/>
      <c r="W5571" s="6"/>
      <c r="X5571" s="6"/>
      <c r="Y5571" s="6"/>
      <c r="Z5571" s="6"/>
      <c r="AA5571" s="6"/>
    </row>
    <row r="5572" ht="14.25">
      <c r="B5572" s="14" t="s">
        <v>35915</v>
      </c>
      <c r="C5572" s="4" t="s">
        <v>35916</v>
      </c>
      <c r="D5572" s="4" t="s">
        <v>35917</v>
      </c>
      <c r="E5572" s="4" t="s">
        <v>35918</v>
      </c>
      <c r="F5572" s="4" t="s">
        <v>485</v>
      </c>
      <c r="G5572" s="4" t="s">
        <v>35919</v>
      </c>
      <c r="H5572" s="6"/>
      <c r="I5572" s="6"/>
      <c r="J5572" s="6"/>
      <c r="K5572" s="6"/>
      <c r="L5572" s="6"/>
      <c r="M5572" s="6"/>
      <c r="N5572" s="6"/>
      <c r="O5572" s="6"/>
      <c r="P5572" s="6"/>
      <c r="Q5572" s="6"/>
      <c r="R5572" s="6"/>
      <c r="S5572" s="6"/>
      <c r="T5572" s="6"/>
      <c r="U5572" s="6"/>
      <c r="V5572" s="6"/>
      <c r="W5572" s="6"/>
      <c r="X5572" s="6"/>
      <c r="Y5572" s="6"/>
      <c r="Z5572" s="6"/>
      <c r="AA5572" s="6"/>
    </row>
    <row r="5573" ht="14.25">
      <c r="B5573" s="14" t="s">
        <v>35915</v>
      </c>
      <c r="C5573" s="4" t="s">
        <v>35920</v>
      </c>
      <c r="D5573" s="4" t="s">
        <v>35921</v>
      </c>
      <c r="E5573" s="4" t="s">
        <v>35922</v>
      </c>
      <c r="F5573" s="4" t="s">
        <v>2436</v>
      </c>
      <c r="G5573" s="4" t="s">
        <v>34625</v>
      </c>
      <c r="H5573" s="6"/>
      <c r="I5573" s="6"/>
      <c r="J5573" s="6"/>
      <c r="K5573" s="6"/>
      <c r="L5573" s="6"/>
      <c r="M5573" s="6"/>
      <c r="N5573" s="6"/>
      <c r="O5573" s="6"/>
      <c r="P5573" s="6"/>
      <c r="Q5573" s="6"/>
      <c r="R5573" s="6"/>
      <c r="S5573" s="6"/>
      <c r="T5573" s="6"/>
      <c r="U5573" s="6"/>
      <c r="V5573" s="6"/>
      <c r="W5573" s="6"/>
      <c r="X5573" s="6"/>
      <c r="Y5573" s="6"/>
      <c r="Z5573" s="6"/>
      <c r="AA5573" s="6"/>
    </row>
    <row r="5574" ht="14.25">
      <c r="B5574" s="14" t="s">
        <v>35915</v>
      </c>
      <c r="C5574" s="4" t="s">
        <v>35920</v>
      </c>
      <c r="D5574" s="4" t="s">
        <v>35923</v>
      </c>
      <c r="E5574" s="4" t="s">
        <v>35922</v>
      </c>
      <c r="F5574" s="4" t="s">
        <v>32831</v>
      </c>
      <c r="G5574" s="4" t="s">
        <v>35924</v>
      </c>
      <c r="H5574" s="6"/>
      <c r="I5574" s="6"/>
      <c r="J5574" s="6"/>
      <c r="K5574" s="6"/>
      <c r="L5574" s="6"/>
      <c r="M5574" s="6"/>
      <c r="N5574" s="6"/>
      <c r="O5574" s="6"/>
      <c r="P5574" s="6"/>
      <c r="Q5574" s="6"/>
      <c r="R5574" s="6"/>
      <c r="S5574" s="6"/>
      <c r="T5574" s="6"/>
      <c r="U5574" s="6"/>
      <c r="V5574" s="6"/>
      <c r="W5574" s="6"/>
      <c r="X5574" s="6"/>
      <c r="Y5574" s="6"/>
      <c r="Z5574" s="6"/>
      <c r="AA5574" s="6"/>
    </row>
    <row r="5575" ht="14.25">
      <c r="B5575" s="14" t="s">
        <v>35925</v>
      </c>
      <c r="C5575" s="4" t="s">
        <v>35926</v>
      </c>
      <c r="D5575" s="4" t="s">
        <v>35927</v>
      </c>
      <c r="E5575" s="6"/>
      <c r="F5575" s="4" t="s">
        <v>32548</v>
      </c>
      <c r="G5575" s="4" t="s">
        <v>35928</v>
      </c>
      <c r="H5575" s="6"/>
      <c r="I5575" s="6"/>
      <c r="J5575" s="6"/>
      <c r="K5575" s="6"/>
      <c r="L5575" s="6"/>
      <c r="M5575" s="6"/>
      <c r="N5575" s="6"/>
      <c r="O5575" s="6"/>
      <c r="P5575" s="6"/>
      <c r="Q5575" s="6"/>
      <c r="R5575" s="6"/>
      <c r="S5575" s="6"/>
      <c r="T5575" s="6"/>
      <c r="U5575" s="6"/>
      <c r="V5575" s="6"/>
      <c r="W5575" s="6"/>
      <c r="X5575" s="6"/>
      <c r="Y5575" s="6"/>
      <c r="Z5575" s="6"/>
      <c r="AA5575" s="6"/>
    </row>
    <row r="5576" ht="14.25">
      <c r="B5576" s="14" t="s">
        <v>35929</v>
      </c>
      <c r="C5576" s="4" t="s">
        <v>35930</v>
      </c>
      <c r="D5576" s="4" t="s">
        <v>35931</v>
      </c>
      <c r="E5576" s="4" t="s">
        <v>35932</v>
      </c>
      <c r="F5576" s="4" t="s">
        <v>6356</v>
      </c>
      <c r="G5576" s="4" t="s">
        <v>35933</v>
      </c>
      <c r="H5576" s="6"/>
      <c r="I5576" s="6"/>
      <c r="J5576" s="6"/>
      <c r="K5576" s="6"/>
      <c r="L5576" s="6"/>
      <c r="M5576" s="6"/>
      <c r="N5576" s="6"/>
      <c r="O5576" s="6"/>
      <c r="P5576" s="6"/>
      <c r="Q5576" s="6"/>
      <c r="R5576" s="6"/>
      <c r="S5576" s="6"/>
      <c r="T5576" s="6"/>
      <c r="U5576" s="6"/>
      <c r="V5576" s="6"/>
      <c r="W5576" s="6"/>
      <c r="X5576" s="6"/>
      <c r="Y5576" s="6"/>
      <c r="Z5576" s="6"/>
      <c r="AA5576" s="6"/>
    </row>
    <row r="5577" ht="14.25">
      <c r="B5577" s="14" t="s">
        <v>35929</v>
      </c>
      <c r="C5577" s="4" t="s">
        <v>35930</v>
      </c>
      <c r="D5577" s="4" t="s">
        <v>35934</v>
      </c>
      <c r="E5577" s="4" t="s">
        <v>35932</v>
      </c>
      <c r="F5577" s="4" t="s">
        <v>5716</v>
      </c>
      <c r="G5577" s="4" t="s">
        <v>35935</v>
      </c>
      <c r="H5577" s="6"/>
      <c r="I5577" s="6"/>
      <c r="J5577" s="6"/>
      <c r="K5577" s="6"/>
      <c r="L5577" s="6"/>
      <c r="M5577" s="6"/>
      <c r="N5577" s="6"/>
      <c r="O5577" s="6"/>
      <c r="P5577" s="6"/>
      <c r="Q5577" s="6"/>
      <c r="R5577" s="6"/>
      <c r="S5577" s="6"/>
      <c r="T5577" s="6"/>
      <c r="U5577" s="6"/>
      <c r="V5577" s="6"/>
      <c r="W5577" s="6"/>
      <c r="X5577" s="6"/>
      <c r="Y5577" s="6"/>
      <c r="Z5577" s="6"/>
      <c r="AA5577" s="6"/>
    </row>
    <row r="5578" ht="14.25">
      <c r="B5578" s="14" t="s">
        <v>35929</v>
      </c>
      <c r="C5578" s="4" t="s">
        <v>35930</v>
      </c>
      <c r="D5578" s="4" t="s">
        <v>35932</v>
      </c>
      <c r="E5578" s="6"/>
      <c r="F5578" s="4" t="s">
        <v>986</v>
      </c>
      <c r="G5578" s="4" t="s">
        <v>35936</v>
      </c>
      <c r="H5578" s="6"/>
      <c r="I5578" s="6"/>
      <c r="J5578" s="6"/>
      <c r="K5578" s="6"/>
      <c r="L5578" s="6"/>
      <c r="M5578" s="6"/>
      <c r="N5578" s="6"/>
      <c r="O5578" s="6"/>
      <c r="P5578" s="6"/>
      <c r="Q5578" s="6"/>
      <c r="R5578" s="6"/>
      <c r="S5578" s="6"/>
      <c r="T5578" s="6"/>
      <c r="U5578" s="6"/>
      <c r="V5578" s="6"/>
      <c r="W5578" s="6"/>
      <c r="X5578" s="6"/>
      <c r="Y5578" s="6"/>
      <c r="Z5578" s="6"/>
      <c r="AA5578" s="6"/>
    </row>
    <row r="5579" ht="14.25">
      <c r="B5579" s="14" t="s">
        <v>35929</v>
      </c>
      <c r="C5579" s="4" t="s">
        <v>35930</v>
      </c>
      <c r="D5579" s="4" t="s">
        <v>35937</v>
      </c>
      <c r="E5579" s="4" t="s">
        <v>35932</v>
      </c>
      <c r="F5579" s="4" t="s">
        <v>33370</v>
      </c>
      <c r="G5579" s="4" t="s">
        <v>35938</v>
      </c>
      <c r="H5579" s="6"/>
      <c r="I5579" s="6"/>
      <c r="J5579" s="6"/>
      <c r="K5579" s="6"/>
      <c r="L5579" s="6"/>
      <c r="M5579" s="6"/>
      <c r="N5579" s="6"/>
      <c r="O5579" s="6"/>
      <c r="P5579" s="6"/>
      <c r="Q5579" s="6"/>
      <c r="R5579" s="6"/>
      <c r="S5579" s="6"/>
      <c r="T5579" s="6"/>
      <c r="U5579" s="6"/>
      <c r="V5579" s="6"/>
      <c r="W5579" s="6"/>
      <c r="X5579" s="6"/>
      <c r="Y5579" s="6"/>
      <c r="Z5579" s="6"/>
      <c r="AA5579" s="6"/>
    </row>
    <row r="5580" ht="14.25">
      <c r="B5580" s="14" t="s">
        <v>35939</v>
      </c>
      <c r="C5580" s="4" t="s">
        <v>35940</v>
      </c>
      <c r="D5580" s="4" t="s">
        <v>35941</v>
      </c>
      <c r="E5580" s="4" t="s">
        <v>35942</v>
      </c>
      <c r="F5580" s="4" t="s">
        <v>1215</v>
      </c>
      <c r="G5580" s="4" t="s">
        <v>35943</v>
      </c>
      <c r="H5580" s="6"/>
      <c r="I5580" s="6"/>
      <c r="J5580" s="6"/>
      <c r="K5580" s="6"/>
      <c r="L5580" s="6"/>
      <c r="M5580" s="6"/>
      <c r="N5580" s="6"/>
      <c r="O5580" s="6"/>
      <c r="P5580" s="6"/>
      <c r="Q5580" s="6"/>
      <c r="R5580" s="6"/>
      <c r="S5580" s="6"/>
      <c r="T5580" s="6"/>
      <c r="U5580" s="6"/>
      <c r="V5580" s="6"/>
      <c r="W5580" s="6"/>
      <c r="X5580" s="6"/>
      <c r="Y5580" s="6"/>
      <c r="Z5580" s="6"/>
      <c r="AA5580" s="6"/>
    </row>
    <row r="5581" ht="14.25">
      <c r="B5581" s="14" t="s">
        <v>35944</v>
      </c>
      <c r="C5581" s="4" t="s">
        <v>35945</v>
      </c>
      <c r="D5581" s="4" t="s">
        <v>35946</v>
      </c>
      <c r="E5581" s="4" t="s">
        <v>35947</v>
      </c>
      <c r="F5581" s="4" t="s">
        <v>35948</v>
      </c>
      <c r="G5581" s="4" t="s">
        <v>35949</v>
      </c>
      <c r="H5581" s="6"/>
      <c r="I5581" s="6"/>
      <c r="J5581" s="6"/>
      <c r="K5581" s="6"/>
      <c r="L5581" s="6"/>
      <c r="M5581" s="6"/>
      <c r="N5581" s="6"/>
      <c r="O5581" s="6"/>
      <c r="P5581" s="6"/>
      <c r="Q5581" s="6"/>
      <c r="R5581" s="6"/>
      <c r="S5581" s="6"/>
      <c r="T5581" s="6"/>
      <c r="U5581" s="6"/>
      <c r="V5581" s="6"/>
      <c r="W5581" s="6"/>
      <c r="X5581" s="6"/>
      <c r="Y5581" s="6"/>
      <c r="Z5581" s="6"/>
      <c r="AA5581" s="6"/>
    </row>
    <row r="5582" ht="14.25">
      <c r="B5582" s="14" t="s">
        <v>35950</v>
      </c>
      <c r="C5582" s="4" t="s">
        <v>35951</v>
      </c>
      <c r="D5582" s="4" t="s">
        <v>35952</v>
      </c>
      <c r="E5582" s="4" t="s">
        <v>35953</v>
      </c>
      <c r="F5582" s="4" t="s">
        <v>222</v>
      </c>
      <c r="G5582" s="4" t="s">
        <v>35954</v>
      </c>
      <c r="H5582" s="6"/>
      <c r="I5582" s="6"/>
      <c r="J5582" s="6"/>
      <c r="K5582" s="6"/>
      <c r="L5582" s="6"/>
      <c r="M5582" s="6"/>
      <c r="N5582" s="6"/>
      <c r="O5582" s="6"/>
      <c r="P5582" s="6"/>
      <c r="Q5582" s="6"/>
      <c r="R5582" s="6"/>
      <c r="S5582" s="6"/>
      <c r="T5582" s="6"/>
      <c r="U5582" s="6"/>
      <c r="V5582" s="6"/>
      <c r="W5582" s="6"/>
      <c r="X5582" s="6"/>
      <c r="Y5582" s="6"/>
      <c r="Z5582" s="6"/>
      <c r="AA5582" s="6"/>
    </row>
    <row r="5583" ht="14.25">
      <c r="B5583" s="14" t="s">
        <v>35950</v>
      </c>
      <c r="C5583" s="4" t="s">
        <v>35955</v>
      </c>
      <c r="D5583" s="4" t="s">
        <v>35956</v>
      </c>
      <c r="E5583" s="6"/>
      <c r="F5583" s="4" t="s">
        <v>6744</v>
      </c>
      <c r="G5583" s="4" t="s">
        <v>35957</v>
      </c>
      <c r="H5583" s="6"/>
      <c r="I5583" s="6"/>
      <c r="J5583" s="6"/>
      <c r="K5583" s="6"/>
      <c r="L5583" s="6"/>
      <c r="M5583" s="6"/>
      <c r="N5583" s="6"/>
      <c r="O5583" s="6"/>
      <c r="P5583" s="6"/>
      <c r="Q5583" s="6"/>
      <c r="R5583" s="6"/>
      <c r="S5583" s="6"/>
      <c r="T5583" s="6"/>
      <c r="U5583" s="6"/>
      <c r="V5583" s="6"/>
      <c r="W5583" s="6"/>
      <c r="X5583" s="6"/>
      <c r="Y5583" s="6"/>
      <c r="Z5583" s="6"/>
      <c r="AA5583" s="6"/>
    </row>
    <row r="5584" ht="14.25">
      <c r="B5584" s="14" t="s">
        <v>35958</v>
      </c>
      <c r="C5584" s="4" t="s">
        <v>35959</v>
      </c>
      <c r="D5584" s="4" t="s">
        <v>35960</v>
      </c>
      <c r="E5584" s="6"/>
      <c r="F5584" s="4" t="s">
        <v>1215</v>
      </c>
      <c r="G5584" s="4" t="s">
        <v>35961</v>
      </c>
      <c r="H5584" s="6"/>
      <c r="I5584" s="6"/>
      <c r="J5584" s="6"/>
      <c r="K5584" s="6"/>
      <c r="L5584" s="6"/>
      <c r="M5584" s="6"/>
      <c r="N5584" s="6"/>
      <c r="O5584" s="6"/>
      <c r="P5584" s="6"/>
      <c r="Q5584" s="6"/>
      <c r="R5584" s="6"/>
      <c r="S5584" s="6"/>
      <c r="T5584" s="6"/>
      <c r="U5584" s="6"/>
      <c r="V5584" s="6"/>
      <c r="W5584" s="6"/>
      <c r="X5584" s="6"/>
      <c r="Y5584" s="6"/>
      <c r="Z5584" s="6"/>
      <c r="AA5584" s="6"/>
    </row>
    <row r="5585" ht="14.25">
      <c r="B5585" s="14" t="s">
        <v>35962</v>
      </c>
      <c r="C5585" s="4" t="s">
        <v>35963</v>
      </c>
      <c r="D5585" s="4" t="s">
        <v>35964</v>
      </c>
      <c r="E5585" s="6"/>
      <c r="F5585" s="4" t="s">
        <v>15564</v>
      </c>
      <c r="G5585" s="4" t="s">
        <v>35965</v>
      </c>
      <c r="H5585" s="6"/>
      <c r="I5585" s="6"/>
      <c r="J5585" s="6"/>
      <c r="K5585" s="6"/>
      <c r="L5585" s="6"/>
      <c r="M5585" s="6"/>
      <c r="N5585" s="6"/>
      <c r="O5585" s="6"/>
      <c r="P5585" s="6"/>
      <c r="Q5585" s="6"/>
      <c r="R5585" s="6"/>
      <c r="S5585" s="6"/>
      <c r="T5585" s="6"/>
      <c r="U5585" s="6"/>
      <c r="V5585" s="6"/>
      <c r="W5585" s="6"/>
      <c r="X5585" s="6"/>
      <c r="Y5585" s="6"/>
      <c r="Z5585" s="6"/>
      <c r="AA5585" s="6"/>
    </row>
    <row r="5586" ht="14.25">
      <c r="B5586" s="14" t="s">
        <v>35966</v>
      </c>
      <c r="C5586" s="4" t="s">
        <v>35967</v>
      </c>
      <c r="D5586" s="4" t="s">
        <v>35968</v>
      </c>
      <c r="E5586" s="4" t="s">
        <v>35969</v>
      </c>
      <c r="F5586" s="4" t="s">
        <v>955</v>
      </c>
      <c r="G5586" s="4" t="s">
        <v>35970</v>
      </c>
      <c r="H5586" s="6"/>
      <c r="I5586" s="6"/>
      <c r="J5586" s="6"/>
      <c r="K5586" s="6"/>
      <c r="L5586" s="6"/>
      <c r="M5586" s="6"/>
      <c r="N5586" s="6"/>
      <c r="O5586" s="6"/>
      <c r="P5586" s="6"/>
      <c r="Q5586" s="6"/>
      <c r="R5586" s="6"/>
      <c r="S5586" s="6"/>
      <c r="T5586" s="6"/>
      <c r="U5586" s="6"/>
      <c r="V5586" s="6"/>
      <c r="W5586" s="6"/>
      <c r="X5586" s="6"/>
      <c r="Y5586" s="6"/>
      <c r="Z5586" s="6"/>
      <c r="AA5586" s="6"/>
    </row>
    <row r="5587" ht="14.25">
      <c r="B5587" s="14" t="s">
        <v>35966</v>
      </c>
      <c r="C5587" s="4" t="s">
        <v>35971</v>
      </c>
      <c r="D5587" s="4" t="s">
        <v>35972</v>
      </c>
      <c r="E5587" s="4" t="s">
        <v>35973</v>
      </c>
      <c r="F5587" s="4" t="s">
        <v>785</v>
      </c>
      <c r="G5587" s="4" t="s">
        <v>35974</v>
      </c>
      <c r="H5587" s="6"/>
      <c r="I5587" s="6"/>
      <c r="J5587" s="6"/>
      <c r="K5587" s="6"/>
      <c r="L5587" s="6"/>
      <c r="M5587" s="6"/>
      <c r="N5587" s="6"/>
      <c r="O5587" s="6"/>
      <c r="P5587" s="6"/>
      <c r="Q5587" s="6"/>
      <c r="R5587" s="6"/>
      <c r="S5587" s="6"/>
      <c r="T5587" s="6"/>
      <c r="U5587" s="6"/>
      <c r="V5587" s="6"/>
      <c r="W5587" s="6"/>
      <c r="X5587" s="6"/>
      <c r="Y5587" s="6"/>
      <c r="Z5587" s="6"/>
      <c r="AA5587" s="6"/>
    </row>
    <row r="5588" ht="14.25">
      <c r="B5588" s="14" t="s">
        <v>35966</v>
      </c>
      <c r="C5588" s="4" t="s">
        <v>35971</v>
      </c>
      <c r="D5588" s="4" t="s">
        <v>35975</v>
      </c>
      <c r="E5588" s="4" t="s">
        <v>35973</v>
      </c>
      <c r="F5588" s="4" t="s">
        <v>2419</v>
      </c>
      <c r="G5588" s="4" t="s">
        <v>35976</v>
      </c>
      <c r="H5588" s="6"/>
      <c r="I5588" s="6"/>
      <c r="J5588" s="6"/>
      <c r="K5588" s="6"/>
      <c r="L5588" s="6"/>
      <c r="M5588" s="6"/>
      <c r="N5588" s="6"/>
      <c r="O5588" s="6"/>
      <c r="P5588" s="6"/>
      <c r="Q5588" s="6"/>
      <c r="R5588" s="6"/>
      <c r="S5588" s="6"/>
      <c r="T5588" s="6"/>
      <c r="U5588" s="6"/>
      <c r="V5588" s="6"/>
      <c r="W5588" s="6"/>
      <c r="X5588" s="6"/>
      <c r="Y5588" s="6"/>
      <c r="Z5588" s="6"/>
      <c r="AA5588" s="6"/>
    </row>
    <row r="5589" ht="14.25">
      <c r="B5589" s="14" t="s">
        <v>35977</v>
      </c>
      <c r="C5589" s="4" t="s">
        <v>35978</v>
      </c>
      <c r="D5589" s="4" t="s">
        <v>35979</v>
      </c>
      <c r="E5589" s="4" t="s">
        <v>35980</v>
      </c>
      <c r="F5589" s="4" t="s">
        <v>769</v>
      </c>
      <c r="G5589" s="4" t="s">
        <v>35981</v>
      </c>
      <c r="H5589" s="6"/>
      <c r="I5589" s="6"/>
      <c r="J5589" s="6"/>
      <c r="K5589" s="6"/>
      <c r="L5589" s="6"/>
      <c r="M5589" s="6"/>
      <c r="N5589" s="6"/>
      <c r="O5589" s="6"/>
      <c r="P5589" s="6"/>
      <c r="Q5589" s="6"/>
      <c r="R5589" s="6"/>
      <c r="S5589" s="6"/>
      <c r="T5589" s="6"/>
      <c r="U5589" s="6"/>
      <c r="V5589" s="6"/>
      <c r="W5589" s="6"/>
      <c r="X5589" s="6"/>
      <c r="Y5589" s="6"/>
      <c r="Z5589" s="6"/>
      <c r="AA5589" s="6"/>
    </row>
    <row r="5590" ht="14.25">
      <c r="B5590" s="14" t="s">
        <v>35977</v>
      </c>
      <c r="C5590" s="4" t="s">
        <v>35978</v>
      </c>
      <c r="D5590" s="4" t="s">
        <v>35982</v>
      </c>
      <c r="E5590" s="4" t="s">
        <v>35980</v>
      </c>
      <c r="F5590" s="4" t="s">
        <v>32579</v>
      </c>
      <c r="G5590" s="4" t="s">
        <v>35983</v>
      </c>
      <c r="H5590" s="6"/>
      <c r="I5590" s="6"/>
      <c r="J5590" s="6"/>
      <c r="K5590" s="6"/>
      <c r="L5590" s="6"/>
      <c r="M5590" s="6"/>
      <c r="N5590" s="6"/>
      <c r="O5590" s="6"/>
      <c r="P5590" s="6"/>
      <c r="Q5590" s="6"/>
      <c r="R5590" s="6"/>
      <c r="S5590" s="6"/>
      <c r="T5590" s="6"/>
      <c r="U5590" s="6"/>
      <c r="V5590" s="6"/>
      <c r="W5590" s="6"/>
      <c r="X5590" s="6"/>
      <c r="Y5590" s="6"/>
      <c r="Z5590" s="6"/>
      <c r="AA5590" s="6"/>
    </row>
    <row r="5591" ht="14.25">
      <c r="B5591" s="14" t="s">
        <v>35984</v>
      </c>
      <c r="C5591" s="4" t="s">
        <v>35985</v>
      </c>
      <c r="D5591" s="4" t="s">
        <v>35986</v>
      </c>
      <c r="E5591" s="4" t="s">
        <v>35987</v>
      </c>
      <c r="F5591" s="4" t="s">
        <v>5252</v>
      </c>
      <c r="G5591" s="4" t="s">
        <v>35983</v>
      </c>
      <c r="H5591" s="6"/>
      <c r="I5591" s="6"/>
      <c r="J5591" s="6"/>
      <c r="K5591" s="6"/>
      <c r="L5591" s="6"/>
      <c r="M5591" s="6"/>
      <c r="N5591" s="6"/>
      <c r="O5591" s="6"/>
      <c r="P5591" s="6"/>
      <c r="Q5591" s="6"/>
      <c r="R5591" s="6"/>
      <c r="S5591" s="6"/>
      <c r="T5591" s="6"/>
      <c r="U5591" s="6"/>
      <c r="V5591" s="6"/>
      <c r="W5591" s="6"/>
      <c r="X5591" s="6"/>
      <c r="Y5591" s="6"/>
      <c r="Z5591" s="6"/>
      <c r="AA5591" s="6"/>
    </row>
    <row r="5592" ht="14.25">
      <c r="B5592" s="14" t="s">
        <v>35988</v>
      </c>
      <c r="C5592" s="4" t="s">
        <v>35989</v>
      </c>
      <c r="D5592" s="4" t="s">
        <v>35990</v>
      </c>
      <c r="E5592" s="4" t="s">
        <v>35991</v>
      </c>
      <c r="F5592" s="4" t="s">
        <v>222</v>
      </c>
      <c r="G5592" s="4" t="s">
        <v>35992</v>
      </c>
      <c r="H5592" s="6"/>
      <c r="I5592" s="6"/>
      <c r="J5592" s="6"/>
      <c r="K5592" s="6"/>
      <c r="L5592" s="6"/>
      <c r="M5592" s="6"/>
      <c r="N5592" s="6"/>
      <c r="O5592" s="6"/>
      <c r="P5592" s="6"/>
      <c r="Q5592" s="6"/>
      <c r="R5592" s="6"/>
      <c r="S5592" s="6"/>
      <c r="T5592" s="6"/>
      <c r="U5592" s="6"/>
      <c r="V5592" s="6"/>
      <c r="W5592" s="6"/>
      <c r="X5592" s="6"/>
      <c r="Y5592" s="6"/>
      <c r="Z5592" s="6"/>
      <c r="AA5592" s="6"/>
    </row>
    <row r="5593" ht="14.25">
      <c r="B5593" s="14" t="s">
        <v>35988</v>
      </c>
      <c r="C5593" s="4" t="s">
        <v>35993</v>
      </c>
      <c r="D5593" s="4" t="s">
        <v>35994</v>
      </c>
      <c r="E5593" s="4" t="s">
        <v>35995</v>
      </c>
      <c r="F5593" s="4" t="s">
        <v>35996</v>
      </c>
      <c r="G5593" s="4" t="s">
        <v>35997</v>
      </c>
      <c r="H5593" s="6"/>
      <c r="I5593" s="6"/>
      <c r="J5593" s="6"/>
      <c r="K5593" s="6"/>
      <c r="L5593" s="6"/>
      <c r="M5593" s="6"/>
      <c r="N5593" s="6"/>
      <c r="O5593" s="6"/>
      <c r="P5593" s="6"/>
      <c r="Q5593" s="6"/>
      <c r="R5593" s="6"/>
      <c r="S5593" s="6"/>
      <c r="T5593" s="6"/>
      <c r="U5593" s="6"/>
      <c r="V5593" s="6"/>
      <c r="W5593" s="6"/>
      <c r="X5593" s="6"/>
      <c r="Y5593" s="6"/>
      <c r="Z5593" s="6"/>
      <c r="AA5593" s="6"/>
    </row>
    <row r="5594" ht="14.25">
      <c r="B5594" s="14" t="s">
        <v>35998</v>
      </c>
      <c r="C5594" s="4" t="s">
        <v>35999</v>
      </c>
      <c r="D5594" s="4" t="s">
        <v>36000</v>
      </c>
      <c r="E5594" s="4" t="s">
        <v>36001</v>
      </c>
      <c r="F5594" s="4" t="s">
        <v>32831</v>
      </c>
      <c r="G5594" s="4" t="s">
        <v>36002</v>
      </c>
      <c r="H5594" s="6"/>
      <c r="I5594" s="6"/>
      <c r="J5594" s="6"/>
      <c r="K5594" s="6"/>
      <c r="L5594" s="6"/>
      <c r="M5594" s="6"/>
      <c r="N5594" s="6"/>
      <c r="O5594" s="6"/>
      <c r="P5594" s="6"/>
      <c r="Q5594" s="6"/>
      <c r="R5594" s="6"/>
      <c r="S5594" s="6"/>
      <c r="T5594" s="6"/>
      <c r="U5594" s="6"/>
      <c r="V5594" s="6"/>
      <c r="W5594" s="6"/>
      <c r="X5594" s="6"/>
      <c r="Y5594" s="6"/>
      <c r="Z5594" s="6"/>
      <c r="AA5594" s="6"/>
    </row>
    <row r="5595" ht="14.25">
      <c r="B5595" s="14" t="s">
        <v>35998</v>
      </c>
      <c r="C5595" s="4" t="s">
        <v>35999</v>
      </c>
      <c r="D5595" s="4" t="s">
        <v>36003</v>
      </c>
      <c r="E5595" s="4" t="s">
        <v>36001</v>
      </c>
      <c r="F5595" s="4" t="s">
        <v>1387</v>
      </c>
      <c r="G5595" s="4" t="s">
        <v>36004</v>
      </c>
      <c r="H5595" s="6"/>
      <c r="I5595" s="6"/>
      <c r="J5595" s="6"/>
      <c r="K5595" s="6"/>
      <c r="L5595" s="6"/>
      <c r="M5595" s="6"/>
      <c r="N5595" s="6"/>
      <c r="O5595" s="6"/>
      <c r="P5595" s="6"/>
      <c r="Q5595" s="6"/>
      <c r="R5595" s="6"/>
      <c r="S5595" s="6"/>
      <c r="T5595" s="6"/>
      <c r="U5595" s="6"/>
      <c r="V5595" s="6"/>
      <c r="W5595" s="6"/>
      <c r="X5595" s="6"/>
      <c r="Y5595" s="6"/>
      <c r="Z5595" s="6"/>
      <c r="AA5595" s="6"/>
    </row>
    <row r="5596" ht="14.25">
      <c r="B5596" s="14" t="s">
        <v>35998</v>
      </c>
      <c r="C5596" s="4" t="s">
        <v>36005</v>
      </c>
      <c r="D5596" s="4" t="s">
        <v>36006</v>
      </c>
      <c r="E5596" s="6"/>
      <c r="F5596" s="4" t="s">
        <v>1562</v>
      </c>
      <c r="G5596" s="4" t="s">
        <v>36007</v>
      </c>
      <c r="H5596" s="6"/>
      <c r="I5596" s="6"/>
      <c r="J5596" s="6"/>
      <c r="K5596" s="6"/>
      <c r="L5596" s="6"/>
      <c r="M5596" s="6"/>
      <c r="N5596" s="6"/>
      <c r="O5596" s="6"/>
      <c r="P5596" s="6"/>
      <c r="Q5596" s="6"/>
      <c r="R5596" s="6"/>
      <c r="S5596" s="6"/>
      <c r="T5596" s="6"/>
      <c r="U5596" s="6"/>
      <c r="V5596" s="6"/>
      <c r="W5596" s="6"/>
      <c r="X5596" s="6"/>
      <c r="Y5596" s="6"/>
      <c r="Z5596" s="6"/>
      <c r="AA5596" s="6"/>
    </row>
    <row r="5597" ht="14.25">
      <c r="B5597" s="14" t="s">
        <v>36008</v>
      </c>
      <c r="C5597" s="4" t="s">
        <v>36009</v>
      </c>
      <c r="D5597" s="4" t="s">
        <v>36010</v>
      </c>
      <c r="E5597" s="4" t="s">
        <v>36011</v>
      </c>
      <c r="F5597" s="4" t="s">
        <v>23365</v>
      </c>
      <c r="G5597" s="4" t="s">
        <v>36012</v>
      </c>
      <c r="H5597" s="6"/>
      <c r="I5597" s="6"/>
      <c r="J5597" s="6"/>
      <c r="K5597" s="6"/>
      <c r="L5597" s="6"/>
      <c r="M5597" s="6"/>
      <c r="N5597" s="6"/>
      <c r="O5597" s="4"/>
      <c r="P5597" s="6"/>
      <c r="Q5597" s="6"/>
      <c r="R5597" s="6"/>
      <c r="S5597" s="6"/>
      <c r="T5597" s="6"/>
      <c r="U5597" s="6"/>
      <c r="V5597" s="6"/>
      <c r="W5597" s="6"/>
      <c r="X5597" s="6"/>
      <c r="Y5597" s="6"/>
      <c r="Z5597" s="6"/>
      <c r="AA5597" s="6"/>
    </row>
    <row r="5598" ht="14.25">
      <c r="B5598" s="14" t="s">
        <v>36013</v>
      </c>
      <c r="C5598" s="4" t="s">
        <v>36014</v>
      </c>
      <c r="D5598" s="4" t="s">
        <v>36015</v>
      </c>
      <c r="E5598" s="4" t="s">
        <v>36016</v>
      </c>
      <c r="F5598" s="4" t="s">
        <v>32831</v>
      </c>
      <c r="G5598" s="4" t="s">
        <v>36017</v>
      </c>
      <c r="H5598" s="6"/>
      <c r="I5598" s="6"/>
      <c r="J5598" s="6"/>
      <c r="K5598" s="6"/>
      <c r="L5598" s="6"/>
      <c r="M5598" s="6"/>
      <c r="N5598" s="6"/>
      <c r="O5598" s="6"/>
      <c r="P5598" s="6"/>
      <c r="Q5598" s="6"/>
      <c r="R5598" s="6"/>
      <c r="S5598" s="6"/>
      <c r="T5598" s="6"/>
      <c r="U5598" s="6"/>
      <c r="V5598" s="6"/>
      <c r="W5598" s="6"/>
      <c r="X5598" s="6"/>
      <c r="Y5598" s="6"/>
      <c r="Z5598" s="6"/>
      <c r="AA5598" s="6"/>
    </row>
    <row r="5599" ht="14.25">
      <c r="B5599" s="14" t="s">
        <v>36013</v>
      </c>
      <c r="C5599" s="4" t="s">
        <v>36014</v>
      </c>
      <c r="D5599" s="4" t="s">
        <v>36018</v>
      </c>
      <c r="E5599" s="4" t="s">
        <v>36016</v>
      </c>
      <c r="F5599" s="4" t="s">
        <v>32831</v>
      </c>
      <c r="G5599" s="4" t="s">
        <v>36019</v>
      </c>
      <c r="H5599" s="6"/>
      <c r="I5599" s="6"/>
      <c r="J5599" s="6"/>
      <c r="K5599" s="6"/>
      <c r="L5599" s="6"/>
      <c r="M5599" s="6"/>
      <c r="N5599" s="6"/>
      <c r="O5599" s="6"/>
      <c r="P5599" s="6"/>
      <c r="Q5599" s="6"/>
      <c r="R5599" s="6"/>
      <c r="S5599" s="6"/>
      <c r="T5599" s="6"/>
      <c r="U5599" s="6"/>
      <c r="V5599" s="6"/>
      <c r="W5599" s="6"/>
      <c r="X5599" s="6"/>
      <c r="Y5599" s="6"/>
      <c r="Z5599" s="6"/>
      <c r="AA5599" s="6"/>
    </row>
    <row r="5600" ht="14.25">
      <c r="B5600" s="14" t="s">
        <v>36013</v>
      </c>
      <c r="C5600" s="4" t="s">
        <v>36014</v>
      </c>
      <c r="D5600" s="4" t="s">
        <v>36020</v>
      </c>
      <c r="E5600" s="4" t="s">
        <v>36016</v>
      </c>
      <c r="F5600" s="4" t="s">
        <v>710</v>
      </c>
      <c r="G5600" s="4" t="s">
        <v>36021</v>
      </c>
      <c r="H5600" s="6"/>
      <c r="I5600" s="6"/>
      <c r="J5600" s="6"/>
      <c r="K5600" s="6"/>
      <c r="L5600" s="6"/>
      <c r="M5600" s="6"/>
      <c r="N5600" s="6"/>
      <c r="O5600" s="6"/>
      <c r="P5600" s="6"/>
      <c r="Q5600" s="6"/>
      <c r="R5600" s="6"/>
      <c r="S5600" s="6"/>
      <c r="T5600" s="6"/>
      <c r="U5600" s="6"/>
      <c r="V5600" s="6"/>
      <c r="W5600" s="6"/>
      <c r="X5600" s="6"/>
      <c r="Y5600" s="6"/>
      <c r="Z5600" s="6"/>
      <c r="AA5600" s="6"/>
    </row>
    <row r="5601" ht="14.25">
      <c r="B5601" s="14" t="s">
        <v>36013</v>
      </c>
      <c r="C5601" s="4" t="s">
        <v>36014</v>
      </c>
      <c r="D5601" s="4" t="s">
        <v>36022</v>
      </c>
      <c r="E5601" s="4" t="s">
        <v>36016</v>
      </c>
      <c r="F5601" s="4" t="s">
        <v>808</v>
      </c>
      <c r="G5601" s="4" t="s">
        <v>36023</v>
      </c>
      <c r="H5601" s="6"/>
      <c r="I5601" s="6"/>
      <c r="J5601" s="6"/>
      <c r="K5601" s="6"/>
      <c r="L5601" s="6"/>
      <c r="M5601" s="6"/>
      <c r="N5601" s="6"/>
      <c r="O5601" s="6"/>
      <c r="P5601" s="6"/>
      <c r="Q5601" s="6"/>
      <c r="R5601" s="6"/>
      <c r="S5601" s="6"/>
      <c r="T5601" s="6"/>
      <c r="U5601" s="6"/>
      <c r="V5601" s="6"/>
      <c r="W5601" s="6"/>
      <c r="X5601" s="6"/>
      <c r="Y5601" s="6"/>
      <c r="Z5601" s="6"/>
      <c r="AA5601" s="6"/>
    </row>
    <row r="5602" ht="14.25">
      <c r="B5602" s="14" t="s">
        <v>36013</v>
      </c>
      <c r="C5602" s="4" t="s">
        <v>36014</v>
      </c>
      <c r="D5602" s="4" t="s">
        <v>36024</v>
      </c>
      <c r="E5602" s="4" t="s">
        <v>36016</v>
      </c>
      <c r="F5602" s="4" t="s">
        <v>817</v>
      </c>
      <c r="G5602" s="4" t="s">
        <v>36025</v>
      </c>
      <c r="H5602" s="6"/>
      <c r="I5602" s="6"/>
      <c r="J5602" s="6"/>
      <c r="K5602" s="6"/>
      <c r="L5602" s="6"/>
      <c r="M5602" s="6"/>
      <c r="N5602" s="6"/>
      <c r="O5602" s="6"/>
      <c r="P5602" s="6"/>
      <c r="Q5602" s="6"/>
      <c r="R5602" s="6"/>
      <c r="S5602" s="6"/>
      <c r="T5602" s="6"/>
      <c r="U5602" s="6"/>
      <c r="V5602" s="6"/>
      <c r="W5602" s="6"/>
      <c r="X5602" s="6"/>
      <c r="Y5602" s="6"/>
      <c r="Z5602" s="6"/>
      <c r="AA5602" s="6"/>
    </row>
    <row r="5603" ht="14.25">
      <c r="B5603" s="14" t="s">
        <v>36013</v>
      </c>
      <c r="C5603" s="4" t="s">
        <v>36014</v>
      </c>
      <c r="D5603" s="4" t="s">
        <v>36026</v>
      </c>
      <c r="E5603" s="4" t="s">
        <v>36016</v>
      </c>
      <c r="F5603" s="4" t="s">
        <v>3516</v>
      </c>
      <c r="G5603" s="4" t="s">
        <v>36027</v>
      </c>
      <c r="H5603" s="6"/>
      <c r="I5603" s="6"/>
      <c r="J5603" s="6"/>
      <c r="K5603" s="6"/>
      <c r="L5603" s="6"/>
      <c r="M5603" s="6"/>
      <c r="N5603" s="6"/>
      <c r="O5603" s="6"/>
      <c r="P5603" s="6"/>
      <c r="Q5603" s="6"/>
      <c r="R5603" s="6"/>
      <c r="S5603" s="6"/>
      <c r="T5603" s="6"/>
      <c r="U5603" s="6"/>
      <c r="V5603" s="6"/>
      <c r="W5603" s="6"/>
      <c r="X5603" s="6"/>
      <c r="Y5603" s="6"/>
      <c r="Z5603" s="6"/>
      <c r="AA5603" s="6"/>
    </row>
    <row r="5604" ht="14.25">
      <c r="B5604" s="14" t="s">
        <v>36013</v>
      </c>
      <c r="C5604" s="4" t="s">
        <v>36014</v>
      </c>
      <c r="D5604" s="4" t="s">
        <v>36028</v>
      </c>
      <c r="E5604" s="4" t="s">
        <v>36016</v>
      </c>
      <c r="F5604" s="4" t="s">
        <v>2508</v>
      </c>
      <c r="G5604" s="4" t="s">
        <v>36029</v>
      </c>
      <c r="H5604" s="6"/>
      <c r="I5604" s="6"/>
      <c r="J5604" s="6"/>
      <c r="K5604" s="6"/>
      <c r="L5604" s="6"/>
      <c r="M5604" s="6"/>
      <c r="N5604" s="6"/>
      <c r="O5604" s="6"/>
      <c r="P5604" s="6"/>
      <c r="Q5604" s="6"/>
      <c r="R5604" s="6"/>
      <c r="S5604" s="6"/>
      <c r="T5604" s="6"/>
      <c r="U5604" s="6"/>
      <c r="V5604" s="6"/>
      <c r="W5604" s="6"/>
      <c r="X5604" s="6"/>
      <c r="Y5604" s="6"/>
      <c r="Z5604" s="6"/>
      <c r="AA5604" s="6"/>
    </row>
    <row r="5605" ht="14.25">
      <c r="B5605" s="14" t="s">
        <v>36013</v>
      </c>
      <c r="C5605" s="4" t="s">
        <v>36014</v>
      </c>
      <c r="D5605" s="4" t="s">
        <v>36030</v>
      </c>
      <c r="E5605" s="4" t="s">
        <v>36016</v>
      </c>
      <c r="F5605" s="4" t="s">
        <v>32701</v>
      </c>
      <c r="G5605" s="4" t="s">
        <v>36031</v>
      </c>
      <c r="H5605" s="6"/>
      <c r="I5605" s="6"/>
      <c r="J5605" s="6"/>
      <c r="K5605" s="6"/>
      <c r="L5605" s="6"/>
      <c r="M5605" s="6"/>
      <c r="N5605" s="6"/>
      <c r="O5605" s="6"/>
      <c r="P5605" s="6"/>
      <c r="Q5605" s="6"/>
      <c r="R5605" s="6"/>
      <c r="S5605" s="6"/>
      <c r="T5605" s="6"/>
      <c r="U5605" s="6"/>
      <c r="V5605" s="6"/>
      <c r="W5605" s="6"/>
      <c r="X5605" s="6"/>
      <c r="Y5605" s="6"/>
      <c r="Z5605" s="6"/>
      <c r="AA5605" s="6"/>
    </row>
    <row r="5606" ht="14.25">
      <c r="B5606" s="14" t="s">
        <v>36032</v>
      </c>
      <c r="C5606" s="4" t="s">
        <v>36033</v>
      </c>
      <c r="D5606" s="4" t="s">
        <v>36034</v>
      </c>
      <c r="E5606" s="6"/>
      <c r="F5606" s="4" t="s">
        <v>32548</v>
      </c>
      <c r="G5606" s="4" t="s">
        <v>36035</v>
      </c>
      <c r="H5606" s="6"/>
      <c r="I5606" s="6"/>
      <c r="J5606" s="6"/>
      <c r="K5606" s="6"/>
      <c r="L5606" s="6"/>
      <c r="M5606" s="6"/>
      <c r="N5606" s="6"/>
      <c r="O5606" s="6"/>
      <c r="P5606" s="6"/>
      <c r="Q5606" s="6"/>
      <c r="R5606" s="6"/>
      <c r="S5606" s="6"/>
      <c r="T5606" s="6"/>
      <c r="U5606" s="6"/>
      <c r="V5606" s="6"/>
      <c r="W5606" s="6"/>
      <c r="X5606" s="6"/>
      <c r="Y5606" s="6"/>
      <c r="Z5606" s="6"/>
      <c r="AA5606" s="6"/>
    </row>
    <row r="5607" ht="14.25">
      <c r="B5607" s="14" t="s">
        <v>36032</v>
      </c>
      <c r="C5607" s="4" t="s">
        <v>36036</v>
      </c>
      <c r="D5607" s="4" t="s">
        <v>36037</v>
      </c>
      <c r="E5607" s="4" t="s">
        <v>36038</v>
      </c>
      <c r="F5607" s="4" t="s">
        <v>222</v>
      </c>
      <c r="G5607" s="4" t="s">
        <v>36039</v>
      </c>
      <c r="H5607" s="6"/>
      <c r="I5607" s="6"/>
      <c r="J5607" s="6"/>
      <c r="K5607" s="6"/>
      <c r="L5607" s="6"/>
      <c r="M5607" s="6"/>
      <c r="N5607" s="6"/>
      <c r="O5607" s="6"/>
      <c r="P5607" s="6"/>
      <c r="Q5607" s="6"/>
      <c r="R5607" s="6"/>
      <c r="S5607" s="6"/>
      <c r="T5607" s="6"/>
      <c r="U5607" s="6"/>
      <c r="V5607" s="6"/>
      <c r="W5607" s="6"/>
      <c r="X5607" s="6"/>
      <c r="Y5607" s="6"/>
      <c r="Z5607" s="6"/>
      <c r="AA5607" s="6"/>
    </row>
    <row r="5608" ht="14.25">
      <c r="B5608" s="14" t="s">
        <v>36040</v>
      </c>
      <c r="C5608" s="4" t="s">
        <v>36041</v>
      </c>
      <c r="D5608" s="4" t="s">
        <v>36042</v>
      </c>
      <c r="E5608" s="4" t="s">
        <v>36043</v>
      </c>
      <c r="F5608" s="4" t="s">
        <v>768</v>
      </c>
      <c r="G5608" s="4" t="s">
        <v>36044</v>
      </c>
      <c r="H5608" s="6"/>
      <c r="I5608" s="6"/>
      <c r="J5608" s="6"/>
      <c r="K5608" s="6"/>
      <c r="L5608" s="6"/>
      <c r="M5608" s="6"/>
      <c r="N5608" s="6"/>
      <c r="O5608" s="6"/>
      <c r="P5608" s="6"/>
      <c r="Q5608" s="6"/>
      <c r="R5608" s="6"/>
      <c r="S5608" s="6"/>
      <c r="T5608" s="6"/>
      <c r="U5608" s="6"/>
      <c r="V5608" s="6"/>
      <c r="W5608" s="6"/>
      <c r="X5608" s="6"/>
      <c r="Y5608" s="6"/>
      <c r="Z5608" s="6"/>
      <c r="AA5608" s="6"/>
    </row>
    <row r="5609" ht="14.25">
      <c r="B5609" s="14" t="s">
        <v>36045</v>
      </c>
      <c r="C5609" s="4" t="s">
        <v>36046</v>
      </c>
      <c r="D5609" s="4" t="s">
        <v>36047</v>
      </c>
      <c r="E5609" s="4" t="s">
        <v>36048</v>
      </c>
      <c r="F5609" s="4" t="s">
        <v>32579</v>
      </c>
      <c r="G5609" s="4" t="s">
        <v>36049</v>
      </c>
      <c r="H5609" s="6"/>
      <c r="I5609" s="6"/>
      <c r="J5609" s="6"/>
      <c r="K5609" s="6"/>
      <c r="L5609" s="6"/>
      <c r="M5609" s="6"/>
      <c r="N5609" s="6"/>
      <c r="O5609" s="6"/>
      <c r="P5609" s="6"/>
      <c r="Q5609" s="6"/>
      <c r="R5609" s="6"/>
      <c r="S5609" s="6"/>
      <c r="T5609" s="6"/>
      <c r="U5609" s="6"/>
      <c r="V5609" s="6"/>
      <c r="W5609" s="6"/>
      <c r="X5609" s="6"/>
      <c r="Y5609" s="6"/>
      <c r="Z5609" s="6"/>
      <c r="AA5609" s="6"/>
    </row>
    <row r="5610" ht="14.25">
      <c r="B5610" s="14" t="s">
        <v>36050</v>
      </c>
      <c r="C5610" s="4" t="s">
        <v>36051</v>
      </c>
      <c r="D5610" s="4" t="s">
        <v>36052</v>
      </c>
      <c r="E5610" s="4" t="s">
        <v>36053</v>
      </c>
      <c r="F5610" s="4" t="s">
        <v>2249</v>
      </c>
      <c r="G5610" s="4" t="s">
        <v>36054</v>
      </c>
      <c r="H5610" s="6"/>
      <c r="I5610" s="6"/>
      <c r="J5610" s="6"/>
      <c r="K5610" s="6"/>
      <c r="L5610" s="6"/>
      <c r="M5610" s="6"/>
      <c r="N5610" s="6"/>
      <c r="O5610" s="6"/>
      <c r="P5610" s="6"/>
      <c r="Q5610" s="6"/>
      <c r="R5610" s="6"/>
      <c r="S5610" s="6"/>
      <c r="T5610" s="6"/>
      <c r="U5610" s="6"/>
      <c r="V5610" s="6"/>
      <c r="W5610" s="6"/>
      <c r="X5610" s="6"/>
      <c r="Y5610" s="6"/>
      <c r="Z5610" s="6"/>
      <c r="AA5610" s="6"/>
    </row>
    <row r="5611" ht="14.25">
      <c r="B5611" s="14" t="s">
        <v>36050</v>
      </c>
      <c r="C5611" s="4" t="s">
        <v>36051</v>
      </c>
      <c r="D5611" s="4" t="s">
        <v>36055</v>
      </c>
      <c r="E5611" s="4" t="s">
        <v>36053</v>
      </c>
      <c r="F5611" s="4" t="s">
        <v>32548</v>
      </c>
      <c r="G5611" s="4" t="s">
        <v>36056</v>
      </c>
      <c r="H5611" s="6"/>
      <c r="I5611" s="6"/>
      <c r="J5611" s="6"/>
      <c r="K5611" s="6"/>
      <c r="L5611" s="6"/>
      <c r="M5611" s="6"/>
      <c r="N5611" s="6"/>
      <c r="O5611" s="6"/>
      <c r="P5611" s="6"/>
      <c r="Q5611" s="6"/>
      <c r="R5611" s="6"/>
      <c r="S5611" s="6"/>
      <c r="T5611" s="6"/>
      <c r="U5611" s="6"/>
      <c r="V5611" s="6"/>
      <c r="W5611" s="6"/>
      <c r="X5611" s="6"/>
      <c r="Y5611" s="6"/>
      <c r="Z5611" s="6"/>
      <c r="AA5611" s="6"/>
    </row>
    <row r="5612" ht="14.25">
      <c r="B5612" s="14" t="s">
        <v>36050</v>
      </c>
      <c r="C5612" s="4" t="s">
        <v>36051</v>
      </c>
      <c r="D5612" s="4" t="s">
        <v>36057</v>
      </c>
      <c r="E5612" s="4" t="s">
        <v>36053</v>
      </c>
      <c r="F5612" s="4" t="s">
        <v>971</v>
      </c>
      <c r="G5612" s="4" t="s">
        <v>36058</v>
      </c>
      <c r="H5612" s="6"/>
      <c r="I5612" s="6"/>
      <c r="J5612" s="6"/>
      <c r="K5612" s="6"/>
      <c r="L5612" s="6"/>
      <c r="M5612" s="6"/>
      <c r="N5612" s="6"/>
      <c r="O5612" s="6"/>
      <c r="P5612" s="6"/>
      <c r="Q5612" s="6"/>
      <c r="R5612" s="6"/>
      <c r="S5612" s="6"/>
      <c r="T5612" s="6"/>
      <c r="U5612" s="6"/>
      <c r="V5612" s="6"/>
      <c r="W5612" s="6"/>
      <c r="X5612" s="6"/>
      <c r="Y5612" s="6"/>
      <c r="Z5612" s="6"/>
      <c r="AA5612" s="6"/>
    </row>
    <row r="5613" ht="14.25">
      <c r="B5613" s="14" t="s">
        <v>36050</v>
      </c>
      <c r="C5613" s="4" t="s">
        <v>36051</v>
      </c>
      <c r="D5613" s="4" t="s">
        <v>36059</v>
      </c>
      <c r="E5613" s="4" t="s">
        <v>36053</v>
      </c>
      <c r="F5613" s="4" t="s">
        <v>32548</v>
      </c>
      <c r="G5613" s="4" t="s">
        <v>36060</v>
      </c>
      <c r="H5613" s="6"/>
      <c r="I5613" s="6"/>
      <c r="J5613" s="6"/>
      <c r="K5613" s="6"/>
      <c r="L5613" s="6"/>
      <c r="M5613" s="6"/>
      <c r="N5613" s="6"/>
      <c r="O5613" s="6"/>
      <c r="P5613" s="6"/>
      <c r="Q5613" s="6"/>
      <c r="R5613" s="6"/>
      <c r="S5613" s="6"/>
      <c r="T5613" s="6"/>
      <c r="U5613" s="6"/>
      <c r="V5613" s="6"/>
      <c r="W5613" s="6"/>
      <c r="X5613" s="6"/>
      <c r="Y5613" s="6"/>
      <c r="Z5613" s="6"/>
      <c r="AA5613" s="6"/>
    </row>
    <row r="5614" ht="14.25">
      <c r="B5614" s="14" t="s">
        <v>36050</v>
      </c>
      <c r="C5614" s="4" t="s">
        <v>36051</v>
      </c>
      <c r="D5614" s="4" t="s">
        <v>36061</v>
      </c>
      <c r="E5614" s="4" t="s">
        <v>36053</v>
      </c>
      <c r="F5614" s="4" t="s">
        <v>33380</v>
      </c>
      <c r="G5614" s="4" t="s">
        <v>36062</v>
      </c>
      <c r="H5614" s="6"/>
      <c r="I5614" s="6"/>
      <c r="J5614" s="6"/>
      <c r="K5614" s="6"/>
      <c r="L5614" s="6"/>
      <c r="M5614" s="6"/>
      <c r="N5614" s="6"/>
      <c r="O5614" s="6"/>
      <c r="P5614" s="6"/>
      <c r="Q5614" s="6"/>
      <c r="R5614" s="6"/>
      <c r="S5614" s="6"/>
      <c r="T5614" s="6"/>
      <c r="U5614" s="6"/>
      <c r="V5614" s="6"/>
      <c r="W5614" s="6"/>
      <c r="X5614" s="6"/>
      <c r="Y5614" s="6"/>
      <c r="Z5614" s="6"/>
      <c r="AA5614" s="6"/>
    </row>
    <row r="5615" ht="14.25">
      <c r="B5615" s="14" t="s">
        <v>36063</v>
      </c>
      <c r="C5615" s="4" t="s">
        <v>36064</v>
      </c>
      <c r="D5615" s="4" t="s">
        <v>36065</v>
      </c>
      <c r="E5615" s="6"/>
      <c r="F5615" s="4" t="s">
        <v>1732</v>
      </c>
      <c r="G5615" s="4" t="s">
        <v>36066</v>
      </c>
      <c r="H5615" s="6"/>
      <c r="I5615" s="6"/>
      <c r="J5615" s="6"/>
      <c r="K5615" s="6"/>
      <c r="L5615" s="6"/>
      <c r="M5615" s="6"/>
      <c r="N5615" s="6"/>
      <c r="O5615" s="6"/>
      <c r="P5615" s="6"/>
      <c r="Q5615" s="6"/>
      <c r="R5615" s="6"/>
      <c r="S5615" s="6"/>
      <c r="T5615" s="6"/>
      <c r="U5615" s="6"/>
      <c r="V5615" s="6"/>
      <c r="W5615" s="6"/>
      <c r="X5615" s="6"/>
      <c r="Y5615" s="6"/>
      <c r="Z5615" s="6"/>
      <c r="AA5615" s="6"/>
    </row>
    <row r="5616" ht="14.25">
      <c r="B5616" s="14" t="s">
        <v>36063</v>
      </c>
      <c r="C5616" s="4" t="s">
        <v>36064</v>
      </c>
      <c r="D5616" s="4" t="s">
        <v>36067</v>
      </c>
      <c r="E5616" s="4" t="s">
        <v>36065</v>
      </c>
      <c r="F5616" s="4" t="s">
        <v>110</v>
      </c>
      <c r="G5616" s="4" t="s">
        <v>36068</v>
      </c>
      <c r="H5616" s="6"/>
      <c r="I5616" s="6"/>
      <c r="J5616" s="6"/>
      <c r="K5616" s="6"/>
      <c r="L5616" s="6"/>
      <c r="M5616" s="6"/>
      <c r="N5616" s="6"/>
      <c r="O5616" s="6"/>
      <c r="P5616" s="6"/>
      <c r="Q5616" s="6"/>
      <c r="R5616" s="6"/>
      <c r="S5616" s="6"/>
      <c r="T5616" s="6"/>
      <c r="U5616" s="6"/>
      <c r="V5616" s="6"/>
      <c r="W5616" s="6"/>
      <c r="X5616" s="6"/>
      <c r="Y5616" s="6"/>
      <c r="Z5616" s="6"/>
      <c r="AA5616" s="6"/>
    </row>
    <row r="5617" ht="14.25">
      <c r="B5617" s="14" t="s">
        <v>36069</v>
      </c>
      <c r="C5617" s="4" t="s">
        <v>36070</v>
      </c>
      <c r="D5617" s="4" t="s">
        <v>36071</v>
      </c>
      <c r="E5617" s="4" t="s">
        <v>36072</v>
      </c>
      <c r="F5617" s="4" t="s">
        <v>32548</v>
      </c>
      <c r="G5617" s="4" t="s">
        <v>36073</v>
      </c>
      <c r="H5617" s="6"/>
      <c r="I5617" s="6"/>
      <c r="J5617" s="6"/>
      <c r="K5617" s="6"/>
      <c r="L5617" s="6"/>
      <c r="M5617" s="6"/>
      <c r="N5617" s="6"/>
      <c r="O5617" s="6"/>
      <c r="P5617" s="6"/>
      <c r="Q5617" s="6"/>
      <c r="R5617" s="6"/>
      <c r="S5617" s="6"/>
      <c r="T5617" s="6"/>
      <c r="U5617" s="6"/>
      <c r="V5617" s="6"/>
      <c r="W5617" s="6"/>
      <c r="X5617" s="6"/>
      <c r="Y5617" s="6"/>
      <c r="Z5617" s="6"/>
      <c r="AA5617" s="6"/>
    </row>
    <row r="5618" ht="14.25">
      <c r="B5618" s="14" t="s">
        <v>36074</v>
      </c>
      <c r="C5618" s="4" t="s">
        <v>36075</v>
      </c>
      <c r="D5618" s="4" t="s">
        <v>36076</v>
      </c>
      <c r="E5618" s="4" t="s">
        <v>36077</v>
      </c>
      <c r="F5618" s="4" t="s">
        <v>5103</v>
      </c>
      <c r="G5618" s="4" t="s">
        <v>36078</v>
      </c>
      <c r="H5618" s="6"/>
      <c r="I5618" s="6"/>
      <c r="J5618" s="6"/>
      <c r="K5618" s="6"/>
      <c r="L5618" s="6"/>
      <c r="M5618" s="6"/>
      <c r="N5618" s="6"/>
      <c r="O5618" s="6"/>
      <c r="P5618" s="6"/>
      <c r="Q5618" s="6"/>
      <c r="R5618" s="6"/>
      <c r="S5618" s="6"/>
      <c r="T5618" s="6"/>
      <c r="U5618" s="6"/>
      <c r="V5618" s="6"/>
      <c r="W5618" s="6"/>
      <c r="X5618" s="6"/>
      <c r="Y5618" s="6"/>
      <c r="Z5618" s="6"/>
      <c r="AA5618" s="6"/>
    </row>
    <row r="5619" ht="14.25">
      <c r="B5619" s="14" t="s">
        <v>36074</v>
      </c>
      <c r="C5619" s="4" t="s">
        <v>36075</v>
      </c>
      <c r="D5619" s="4" t="s">
        <v>36079</v>
      </c>
      <c r="E5619" s="4" t="s">
        <v>36077</v>
      </c>
      <c r="F5619" s="4" t="s">
        <v>1592</v>
      </c>
      <c r="G5619" s="4" t="s">
        <v>36078</v>
      </c>
      <c r="H5619" s="6"/>
      <c r="I5619" s="6"/>
      <c r="J5619" s="6"/>
      <c r="K5619" s="6"/>
      <c r="L5619" s="6"/>
      <c r="M5619" s="6"/>
      <c r="N5619" s="6"/>
      <c r="O5619" s="6"/>
      <c r="P5619" s="6"/>
      <c r="Q5619" s="6"/>
      <c r="R5619" s="6"/>
      <c r="S5619" s="6"/>
      <c r="T5619" s="6"/>
      <c r="U5619" s="6"/>
      <c r="V5619" s="6"/>
      <c r="W5619" s="6"/>
      <c r="X5619" s="6"/>
      <c r="Y5619" s="6"/>
      <c r="Z5619" s="6"/>
      <c r="AA5619" s="6"/>
    </row>
    <row r="5620" ht="14.25">
      <c r="B5620" s="14" t="s">
        <v>36080</v>
      </c>
      <c r="C5620" s="4" t="s">
        <v>36081</v>
      </c>
      <c r="D5620" s="4" t="s">
        <v>36082</v>
      </c>
      <c r="E5620" s="4" t="s">
        <v>36083</v>
      </c>
      <c r="F5620" s="4" t="s">
        <v>986</v>
      </c>
      <c r="G5620" s="4" t="s">
        <v>36084</v>
      </c>
      <c r="H5620" s="6"/>
      <c r="I5620" s="6"/>
      <c r="J5620" s="6"/>
      <c r="K5620" s="6"/>
      <c r="L5620" s="6"/>
      <c r="M5620" s="6"/>
      <c r="N5620" s="6"/>
      <c r="O5620" s="6"/>
      <c r="P5620" s="6"/>
      <c r="Q5620" s="6"/>
      <c r="R5620" s="6"/>
      <c r="S5620" s="6"/>
      <c r="T5620" s="6"/>
      <c r="U5620" s="6"/>
      <c r="V5620" s="6"/>
      <c r="W5620" s="6"/>
      <c r="X5620" s="6"/>
      <c r="Y5620" s="6"/>
      <c r="Z5620" s="6"/>
      <c r="AA5620" s="6"/>
    </row>
    <row r="5621" ht="14.25">
      <c r="B5621" s="14" t="s">
        <v>36080</v>
      </c>
      <c r="C5621" s="4" t="s">
        <v>36081</v>
      </c>
      <c r="D5621" s="4" t="s">
        <v>36085</v>
      </c>
      <c r="E5621" s="4" t="s">
        <v>36083</v>
      </c>
      <c r="F5621" s="4" t="s">
        <v>1215</v>
      </c>
      <c r="G5621" s="4" t="s">
        <v>36086</v>
      </c>
      <c r="H5621" s="6"/>
      <c r="I5621" s="6"/>
      <c r="J5621" s="6"/>
      <c r="K5621" s="6"/>
      <c r="L5621" s="6"/>
      <c r="M5621" s="6"/>
      <c r="N5621" s="6"/>
      <c r="O5621" s="6"/>
      <c r="P5621" s="6"/>
      <c r="Q5621" s="6"/>
      <c r="R5621" s="6"/>
      <c r="S5621" s="6"/>
      <c r="T5621" s="6"/>
      <c r="U5621" s="6"/>
      <c r="V5621" s="6"/>
      <c r="W5621" s="6"/>
      <c r="X5621" s="6"/>
      <c r="Y5621" s="6"/>
      <c r="Z5621" s="6"/>
      <c r="AA5621" s="6"/>
    </row>
    <row r="5622" ht="14.25">
      <c r="B5622" s="14" t="s">
        <v>36080</v>
      </c>
      <c r="C5622" s="4" t="s">
        <v>36081</v>
      </c>
      <c r="D5622" s="4" t="s">
        <v>36087</v>
      </c>
      <c r="E5622" s="4" t="s">
        <v>36083</v>
      </c>
      <c r="F5622" s="4" t="s">
        <v>35368</v>
      </c>
      <c r="G5622" s="4" t="s">
        <v>36088</v>
      </c>
      <c r="H5622" s="6"/>
      <c r="I5622" s="6"/>
      <c r="J5622" s="6"/>
      <c r="K5622" s="6"/>
      <c r="L5622" s="6"/>
      <c r="M5622" s="6"/>
      <c r="N5622" s="6"/>
      <c r="O5622" s="6"/>
      <c r="P5622" s="6"/>
      <c r="Q5622" s="6"/>
      <c r="R5622" s="6"/>
      <c r="S5622" s="6"/>
      <c r="T5622" s="6"/>
      <c r="U5622" s="6"/>
      <c r="V5622" s="6"/>
      <c r="W5622" s="6"/>
      <c r="X5622" s="6"/>
      <c r="Y5622" s="6"/>
      <c r="Z5622" s="6"/>
      <c r="AA5622" s="6"/>
    </row>
    <row r="5623" ht="14.25">
      <c r="B5623" s="14" t="s">
        <v>36089</v>
      </c>
      <c r="C5623" s="4" t="s">
        <v>36090</v>
      </c>
      <c r="D5623" s="4" t="s">
        <v>36091</v>
      </c>
      <c r="E5623" s="4" t="s">
        <v>36092</v>
      </c>
      <c r="F5623" s="4" t="s">
        <v>32622</v>
      </c>
      <c r="G5623" s="4" t="s">
        <v>36093</v>
      </c>
      <c r="H5623" s="6"/>
      <c r="I5623" s="6"/>
      <c r="J5623" s="6"/>
      <c r="K5623" s="6"/>
      <c r="L5623" s="6"/>
      <c r="M5623" s="6"/>
      <c r="N5623" s="6"/>
      <c r="O5623" s="6"/>
      <c r="P5623" s="6"/>
      <c r="Q5623" s="6"/>
      <c r="R5623" s="6"/>
      <c r="S5623" s="6"/>
      <c r="T5623" s="6"/>
      <c r="U5623" s="6"/>
      <c r="V5623" s="6"/>
      <c r="W5623" s="6"/>
      <c r="X5623" s="6"/>
      <c r="Y5623" s="6"/>
      <c r="Z5623" s="6"/>
      <c r="AA5623" s="6"/>
    </row>
    <row r="5624" ht="14.25">
      <c r="B5624" s="14" t="s">
        <v>36089</v>
      </c>
      <c r="C5624" s="4" t="s">
        <v>36090</v>
      </c>
      <c r="D5624" s="4" t="s">
        <v>36094</v>
      </c>
      <c r="E5624" s="4" t="s">
        <v>36092</v>
      </c>
      <c r="F5624" s="4" t="s">
        <v>32831</v>
      </c>
      <c r="G5624" s="4" t="s">
        <v>36095</v>
      </c>
      <c r="H5624" s="6"/>
      <c r="I5624" s="6"/>
      <c r="J5624" s="6"/>
      <c r="K5624" s="6"/>
      <c r="L5624" s="6"/>
      <c r="M5624" s="6"/>
      <c r="N5624" s="6"/>
      <c r="O5624" s="6"/>
      <c r="P5624" s="6"/>
      <c r="Q5624" s="6"/>
      <c r="R5624" s="6"/>
      <c r="S5624" s="6"/>
      <c r="T5624" s="6"/>
      <c r="U5624" s="6"/>
      <c r="V5624" s="6"/>
      <c r="W5624" s="6"/>
      <c r="X5624" s="6"/>
      <c r="Y5624" s="6"/>
      <c r="Z5624" s="6"/>
      <c r="AA5624" s="6"/>
    </row>
    <row r="5625" ht="14.25">
      <c r="B5625" s="14" t="s">
        <v>36089</v>
      </c>
      <c r="C5625" s="4" t="s">
        <v>36090</v>
      </c>
      <c r="D5625" s="4" t="s">
        <v>36096</v>
      </c>
      <c r="E5625" s="4" t="s">
        <v>36092</v>
      </c>
      <c r="F5625" s="4" t="s">
        <v>670</v>
      </c>
      <c r="G5625" s="4" t="s">
        <v>36097</v>
      </c>
      <c r="H5625" s="6"/>
      <c r="I5625" s="6"/>
      <c r="J5625" s="6"/>
      <c r="K5625" s="6"/>
      <c r="L5625" s="6"/>
      <c r="M5625" s="6"/>
      <c r="N5625" s="6"/>
      <c r="O5625" s="6"/>
      <c r="P5625" s="6"/>
      <c r="Q5625" s="6"/>
      <c r="R5625" s="6"/>
      <c r="S5625" s="6"/>
      <c r="T5625" s="6"/>
      <c r="U5625" s="6"/>
      <c r="V5625" s="6"/>
      <c r="W5625" s="6"/>
      <c r="X5625" s="6"/>
      <c r="Y5625" s="6"/>
      <c r="Z5625" s="6"/>
      <c r="AA5625" s="6"/>
    </row>
    <row r="5626" ht="14.25">
      <c r="B5626" s="14" t="s">
        <v>36089</v>
      </c>
      <c r="C5626" s="4" t="s">
        <v>36090</v>
      </c>
      <c r="D5626" s="4" t="s">
        <v>36098</v>
      </c>
      <c r="E5626" s="4" t="s">
        <v>36092</v>
      </c>
      <c r="F5626" s="4" t="s">
        <v>2340</v>
      </c>
      <c r="G5626" s="4" t="s">
        <v>36099</v>
      </c>
      <c r="H5626" s="6"/>
      <c r="I5626" s="6"/>
      <c r="J5626" s="6"/>
      <c r="K5626" s="6"/>
      <c r="L5626" s="6"/>
      <c r="M5626" s="6"/>
      <c r="N5626" s="6"/>
      <c r="O5626" s="6"/>
      <c r="P5626" s="6"/>
      <c r="Q5626" s="6"/>
      <c r="R5626" s="6"/>
      <c r="S5626" s="6"/>
      <c r="T5626" s="6"/>
      <c r="U5626" s="6"/>
      <c r="V5626" s="6"/>
      <c r="W5626" s="6"/>
      <c r="X5626" s="6"/>
      <c r="Y5626" s="6"/>
      <c r="Z5626" s="6"/>
      <c r="AA5626" s="6"/>
    </row>
    <row r="5627" ht="14.25">
      <c r="B5627" s="14" t="s">
        <v>36089</v>
      </c>
      <c r="C5627" s="4" t="s">
        <v>36090</v>
      </c>
      <c r="D5627" s="4" t="s">
        <v>36100</v>
      </c>
      <c r="E5627" s="4" t="s">
        <v>36092</v>
      </c>
      <c r="F5627" s="4" t="s">
        <v>3100</v>
      </c>
      <c r="G5627" s="4" t="s">
        <v>35047</v>
      </c>
      <c r="H5627" s="6"/>
      <c r="I5627" s="6"/>
      <c r="J5627" s="6"/>
      <c r="K5627" s="6"/>
      <c r="L5627" s="6"/>
      <c r="M5627" s="6"/>
      <c r="N5627" s="6"/>
      <c r="O5627" s="6"/>
      <c r="P5627" s="6"/>
      <c r="Q5627" s="6"/>
      <c r="R5627" s="6"/>
      <c r="S5627" s="6"/>
      <c r="T5627" s="6"/>
      <c r="U5627" s="6"/>
      <c r="V5627" s="6"/>
      <c r="W5627" s="6"/>
      <c r="X5627" s="6"/>
      <c r="Y5627" s="6"/>
      <c r="Z5627" s="6"/>
      <c r="AA5627" s="6"/>
    </row>
    <row r="5628" ht="14.25">
      <c r="B5628" s="14" t="s">
        <v>36089</v>
      </c>
      <c r="C5628" s="4" t="s">
        <v>36090</v>
      </c>
      <c r="D5628" s="4" t="s">
        <v>36101</v>
      </c>
      <c r="E5628" s="4" t="s">
        <v>36092</v>
      </c>
      <c r="F5628" s="4" t="s">
        <v>6243</v>
      </c>
      <c r="G5628" s="4" t="s">
        <v>36102</v>
      </c>
      <c r="H5628" s="6"/>
      <c r="I5628" s="6"/>
      <c r="J5628" s="6"/>
      <c r="K5628" s="6"/>
      <c r="L5628" s="6"/>
      <c r="M5628" s="6"/>
      <c r="N5628" s="6"/>
      <c r="O5628" s="6"/>
      <c r="P5628" s="6"/>
      <c r="Q5628" s="4"/>
      <c r="R5628" s="6"/>
      <c r="S5628" s="6"/>
      <c r="T5628" s="6"/>
      <c r="U5628" s="6"/>
      <c r="V5628" s="6"/>
      <c r="W5628" s="6"/>
      <c r="X5628" s="6"/>
      <c r="Y5628" s="6"/>
      <c r="Z5628" s="6"/>
      <c r="AA5628" s="6"/>
    </row>
    <row r="5629" ht="14.25">
      <c r="B5629" s="14" t="s">
        <v>36089</v>
      </c>
      <c r="C5629" s="4" t="s">
        <v>36090</v>
      </c>
      <c r="D5629" s="4" t="s">
        <v>36103</v>
      </c>
      <c r="E5629" s="4" t="s">
        <v>36092</v>
      </c>
      <c r="F5629" s="4" t="s">
        <v>3909</v>
      </c>
      <c r="G5629" s="4" t="s">
        <v>36104</v>
      </c>
      <c r="H5629" s="6"/>
      <c r="I5629" s="6"/>
      <c r="J5629" s="6"/>
      <c r="K5629" s="6"/>
      <c r="L5629" s="6"/>
      <c r="M5629" s="6"/>
      <c r="N5629" s="6"/>
      <c r="O5629" s="6"/>
      <c r="P5629" s="6"/>
      <c r="Q5629" s="6"/>
      <c r="R5629" s="6"/>
      <c r="S5629" s="6"/>
      <c r="T5629" s="6"/>
      <c r="U5629" s="6"/>
      <c r="V5629" s="6"/>
      <c r="W5629" s="6"/>
      <c r="X5629" s="6"/>
      <c r="Y5629" s="6"/>
      <c r="Z5629" s="6"/>
      <c r="AA5629" s="6"/>
    </row>
    <row r="5630" ht="14.25">
      <c r="B5630" s="14" t="s">
        <v>36089</v>
      </c>
      <c r="C5630" s="4" t="s">
        <v>36090</v>
      </c>
      <c r="D5630" s="4" t="s">
        <v>36105</v>
      </c>
      <c r="E5630" s="4" t="s">
        <v>36092</v>
      </c>
      <c r="F5630" s="4" t="s">
        <v>2419</v>
      </c>
      <c r="G5630" s="4" t="s">
        <v>36106</v>
      </c>
      <c r="H5630" s="6"/>
      <c r="I5630" s="6"/>
      <c r="J5630" s="6"/>
      <c r="K5630" s="6"/>
      <c r="L5630" s="6"/>
      <c r="M5630" s="6"/>
      <c r="N5630" s="6"/>
      <c r="O5630" s="6"/>
      <c r="P5630" s="6"/>
      <c r="Q5630" s="6"/>
      <c r="R5630" s="6"/>
      <c r="S5630" s="6"/>
      <c r="T5630" s="6"/>
      <c r="U5630" s="6"/>
      <c r="V5630" s="6"/>
      <c r="W5630" s="6"/>
      <c r="X5630" s="6"/>
      <c r="Y5630" s="6"/>
      <c r="Z5630" s="6"/>
      <c r="AA5630" s="6"/>
    </row>
    <row r="5631" ht="14.25">
      <c r="B5631" s="14" t="s">
        <v>36089</v>
      </c>
      <c r="C5631" s="4" t="s">
        <v>36090</v>
      </c>
      <c r="D5631" s="4" t="s">
        <v>36107</v>
      </c>
      <c r="E5631" s="4" t="s">
        <v>36092</v>
      </c>
      <c r="F5631" s="4" t="s">
        <v>330</v>
      </c>
      <c r="G5631" s="4" t="s">
        <v>32767</v>
      </c>
      <c r="H5631" s="6"/>
      <c r="I5631" s="6"/>
      <c r="J5631" s="6"/>
      <c r="K5631" s="6"/>
      <c r="L5631" s="6"/>
      <c r="M5631" s="6"/>
      <c r="N5631" s="6"/>
      <c r="O5631" s="6"/>
      <c r="P5631" s="6"/>
      <c r="Q5631" s="6"/>
      <c r="R5631" s="6"/>
      <c r="S5631" s="6"/>
      <c r="T5631" s="6"/>
      <c r="U5631" s="6"/>
      <c r="V5631" s="6"/>
      <c r="W5631" s="6"/>
      <c r="X5631" s="6"/>
      <c r="Y5631" s="6"/>
      <c r="Z5631" s="6"/>
      <c r="AA5631" s="6"/>
    </row>
    <row r="5632" ht="14.25">
      <c r="B5632" s="14" t="s">
        <v>36089</v>
      </c>
      <c r="C5632" s="4" t="s">
        <v>36090</v>
      </c>
      <c r="D5632" s="4" t="s">
        <v>36108</v>
      </c>
      <c r="E5632" s="4" t="s">
        <v>36092</v>
      </c>
      <c r="F5632" s="4" t="s">
        <v>6356</v>
      </c>
      <c r="G5632" s="4" t="s">
        <v>36109</v>
      </c>
      <c r="H5632" s="6"/>
      <c r="I5632" s="6"/>
      <c r="J5632" s="6"/>
      <c r="K5632" s="6"/>
      <c r="L5632" s="6"/>
      <c r="M5632" s="6"/>
      <c r="N5632" s="6"/>
      <c r="O5632" s="6"/>
      <c r="P5632" s="6"/>
      <c r="Q5632" s="6"/>
      <c r="R5632" s="6"/>
      <c r="S5632" s="6"/>
      <c r="T5632" s="6"/>
      <c r="U5632" s="6"/>
      <c r="V5632" s="6"/>
      <c r="W5632" s="6"/>
      <c r="X5632" s="6"/>
      <c r="Y5632" s="6"/>
      <c r="Z5632" s="6"/>
      <c r="AA5632" s="6"/>
    </row>
    <row r="5633" ht="14.25">
      <c r="B5633" s="14" t="s">
        <v>36110</v>
      </c>
      <c r="C5633" s="4" t="s">
        <v>36111</v>
      </c>
      <c r="D5633" s="4" t="s">
        <v>36112</v>
      </c>
      <c r="E5633" s="4" t="s">
        <v>36113</v>
      </c>
      <c r="F5633" s="4" t="s">
        <v>170</v>
      </c>
      <c r="G5633" s="4" t="s">
        <v>36114</v>
      </c>
      <c r="H5633" s="6"/>
      <c r="I5633" s="6"/>
      <c r="J5633" s="6"/>
      <c r="K5633" s="6"/>
      <c r="L5633" s="6"/>
      <c r="M5633" s="6"/>
      <c r="N5633" s="6"/>
      <c r="O5633" s="6"/>
      <c r="P5633" s="6"/>
      <c r="Q5633" s="6"/>
      <c r="R5633" s="6"/>
      <c r="S5633" s="6"/>
      <c r="T5633" s="6"/>
      <c r="U5633" s="6"/>
      <c r="V5633" s="6"/>
      <c r="W5633" s="6"/>
      <c r="X5633" s="6"/>
      <c r="Y5633" s="6"/>
      <c r="Z5633" s="6"/>
      <c r="AA5633" s="6"/>
    </row>
    <row r="5634" ht="14.25">
      <c r="B5634" s="14" t="s">
        <v>36110</v>
      </c>
      <c r="C5634" s="4" t="s">
        <v>36111</v>
      </c>
      <c r="D5634" s="4" t="s">
        <v>36115</v>
      </c>
      <c r="E5634" s="4" t="s">
        <v>36113</v>
      </c>
      <c r="F5634" s="4" t="s">
        <v>3019</v>
      </c>
      <c r="G5634" s="4" t="s">
        <v>35761</v>
      </c>
      <c r="H5634" s="6"/>
      <c r="I5634" s="6"/>
      <c r="J5634" s="6"/>
      <c r="K5634" s="6"/>
      <c r="L5634" s="6"/>
      <c r="M5634" s="6"/>
      <c r="N5634" s="6"/>
      <c r="O5634" s="6"/>
      <c r="P5634" s="6"/>
      <c r="Q5634" s="6"/>
      <c r="R5634" s="6"/>
      <c r="S5634" s="6"/>
      <c r="T5634" s="6"/>
      <c r="U5634" s="6"/>
      <c r="V5634" s="6"/>
      <c r="W5634" s="6"/>
      <c r="X5634" s="6"/>
      <c r="Y5634" s="6"/>
      <c r="Z5634" s="6"/>
      <c r="AA5634" s="6"/>
    </row>
    <row r="5635" ht="14.25">
      <c r="B5635" s="14" t="s">
        <v>36110</v>
      </c>
      <c r="C5635" s="4" t="s">
        <v>36111</v>
      </c>
      <c r="D5635" s="4" t="s">
        <v>36116</v>
      </c>
      <c r="E5635" s="4" t="s">
        <v>36113</v>
      </c>
      <c r="F5635" s="4" t="s">
        <v>32548</v>
      </c>
      <c r="G5635" s="4" t="s">
        <v>32868</v>
      </c>
      <c r="H5635" s="6"/>
      <c r="I5635" s="6"/>
      <c r="J5635" s="6"/>
      <c r="K5635" s="6"/>
      <c r="L5635" s="6"/>
      <c r="M5635" s="6"/>
      <c r="N5635" s="6"/>
      <c r="O5635" s="6"/>
      <c r="P5635" s="6"/>
      <c r="Q5635" s="6"/>
      <c r="R5635" s="6"/>
      <c r="S5635" s="6"/>
      <c r="T5635" s="6"/>
      <c r="U5635" s="6"/>
      <c r="V5635" s="6"/>
      <c r="W5635" s="6"/>
      <c r="X5635" s="6"/>
      <c r="Y5635" s="6"/>
      <c r="Z5635" s="6"/>
      <c r="AA5635" s="6"/>
    </row>
    <row r="5636" ht="14.25">
      <c r="B5636" s="14" t="s">
        <v>36117</v>
      </c>
      <c r="C5636" s="4" t="s">
        <v>36118</v>
      </c>
      <c r="D5636" s="4" t="s">
        <v>36119</v>
      </c>
      <c r="E5636" s="4" t="s">
        <v>36120</v>
      </c>
      <c r="F5636" s="4" t="s">
        <v>3850</v>
      </c>
      <c r="G5636" s="4" t="s">
        <v>36121</v>
      </c>
      <c r="H5636" s="6"/>
      <c r="I5636" s="6"/>
      <c r="J5636" s="6"/>
      <c r="K5636" s="6"/>
      <c r="L5636" s="6"/>
      <c r="M5636" s="6"/>
      <c r="N5636" s="6"/>
      <c r="O5636" s="6"/>
      <c r="P5636" s="6"/>
      <c r="Q5636" s="6"/>
      <c r="R5636" s="6"/>
      <c r="S5636" s="6"/>
      <c r="T5636" s="6"/>
      <c r="U5636" s="6"/>
      <c r="V5636" s="6"/>
      <c r="W5636" s="6"/>
      <c r="X5636" s="6"/>
      <c r="Y5636" s="6"/>
      <c r="Z5636" s="6"/>
      <c r="AA5636" s="6"/>
    </row>
    <row r="5637" ht="14.25">
      <c r="B5637" s="14" t="s">
        <v>36117</v>
      </c>
      <c r="C5637" s="4" t="s">
        <v>36122</v>
      </c>
      <c r="D5637" s="4" t="s">
        <v>36123</v>
      </c>
      <c r="E5637" s="6"/>
      <c r="F5637" s="4" t="s">
        <v>7323</v>
      </c>
      <c r="G5637" s="4" t="s">
        <v>36124</v>
      </c>
      <c r="H5637" s="6"/>
      <c r="I5637" s="6"/>
      <c r="J5637" s="6"/>
      <c r="K5637" s="6"/>
      <c r="L5637" s="6"/>
      <c r="M5637" s="6"/>
      <c r="N5637" s="6"/>
      <c r="O5637" s="6"/>
      <c r="P5637" s="6"/>
      <c r="Q5637" s="6"/>
      <c r="R5637" s="6"/>
      <c r="S5637" s="6"/>
      <c r="T5637" s="6"/>
      <c r="U5637" s="6"/>
      <c r="V5637" s="6"/>
      <c r="W5637" s="6"/>
      <c r="X5637" s="6"/>
      <c r="Y5637" s="6"/>
      <c r="Z5637" s="6"/>
      <c r="AA5637" s="6"/>
    </row>
    <row r="5638" ht="14.25">
      <c r="B5638" s="14" t="s">
        <v>36125</v>
      </c>
      <c r="C5638" s="4" t="s">
        <v>36126</v>
      </c>
      <c r="D5638" s="4" t="s">
        <v>36127</v>
      </c>
      <c r="E5638" s="4" t="s">
        <v>36128</v>
      </c>
      <c r="F5638" s="4" t="s">
        <v>571</v>
      </c>
      <c r="G5638" s="4" t="s">
        <v>36129</v>
      </c>
      <c r="H5638" s="6"/>
      <c r="I5638" s="6"/>
      <c r="J5638" s="6"/>
      <c r="K5638" s="6"/>
      <c r="L5638" s="6"/>
      <c r="M5638" s="6"/>
      <c r="N5638" s="6"/>
      <c r="O5638" s="6"/>
      <c r="P5638" s="6"/>
      <c r="Q5638" s="6"/>
      <c r="R5638" s="6"/>
      <c r="S5638" s="6"/>
      <c r="T5638" s="6"/>
      <c r="U5638" s="6"/>
      <c r="V5638" s="6"/>
      <c r="W5638" s="6"/>
      <c r="X5638" s="6"/>
      <c r="Y5638" s="6"/>
      <c r="Z5638" s="6"/>
      <c r="AA5638" s="6"/>
    </row>
    <row r="5639" ht="14.25">
      <c r="B5639" s="14" t="s">
        <v>36125</v>
      </c>
      <c r="C5639" s="4" t="s">
        <v>36126</v>
      </c>
      <c r="D5639" s="4" t="s">
        <v>36130</v>
      </c>
      <c r="E5639" s="4" t="s">
        <v>36128</v>
      </c>
      <c r="F5639" s="4" t="s">
        <v>1732</v>
      </c>
      <c r="G5639" s="4" t="s">
        <v>36131</v>
      </c>
      <c r="H5639" s="6"/>
      <c r="I5639" s="6"/>
      <c r="J5639" s="6"/>
      <c r="K5639" s="6"/>
      <c r="L5639" s="6"/>
      <c r="M5639" s="6"/>
      <c r="N5639" s="6"/>
      <c r="O5639" s="6"/>
      <c r="P5639" s="6"/>
      <c r="Q5639" s="6"/>
      <c r="R5639" s="6"/>
      <c r="S5639" s="6"/>
      <c r="T5639" s="6"/>
      <c r="U5639" s="6"/>
      <c r="V5639" s="6"/>
      <c r="W5639" s="6"/>
      <c r="X5639" s="6"/>
      <c r="Y5639" s="6"/>
      <c r="Z5639" s="6"/>
      <c r="AA5639" s="6"/>
    </row>
    <row r="5640" ht="14.25">
      <c r="B5640" s="14" t="s">
        <v>36132</v>
      </c>
      <c r="C5640" s="4" t="s">
        <v>36133</v>
      </c>
      <c r="D5640" s="4" t="s">
        <v>36134</v>
      </c>
      <c r="E5640" s="4" t="s">
        <v>36135</v>
      </c>
      <c r="F5640" s="4" t="s">
        <v>485</v>
      </c>
      <c r="G5640" s="4" t="s">
        <v>36136</v>
      </c>
      <c r="H5640" s="6"/>
      <c r="I5640" s="6"/>
      <c r="J5640" s="6"/>
      <c r="K5640" s="6"/>
      <c r="L5640" s="6"/>
      <c r="M5640" s="6"/>
      <c r="N5640" s="6"/>
      <c r="O5640" s="6"/>
      <c r="P5640" s="6"/>
      <c r="Q5640" s="6"/>
      <c r="R5640" s="6"/>
      <c r="S5640" s="6"/>
      <c r="T5640" s="6"/>
      <c r="U5640" s="6"/>
      <c r="V5640" s="6"/>
      <c r="W5640" s="6"/>
      <c r="X5640" s="6"/>
      <c r="Y5640" s="6"/>
      <c r="Z5640" s="6"/>
      <c r="AA5640" s="6"/>
    </row>
    <row r="5641" ht="14.25">
      <c r="B5641" s="14" t="s">
        <v>36137</v>
      </c>
      <c r="C5641" s="4" t="s">
        <v>36138</v>
      </c>
      <c r="D5641" s="4" t="s">
        <v>36139</v>
      </c>
      <c r="E5641" s="4" t="s">
        <v>36140</v>
      </c>
      <c r="F5641" s="4" t="s">
        <v>986</v>
      </c>
      <c r="G5641" s="4" t="s">
        <v>36141</v>
      </c>
      <c r="H5641" s="6"/>
      <c r="I5641" s="6"/>
      <c r="J5641" s="6"/>
      <c r="K5641" s="6"/>
      <c r="L5641" s="6"/>
      <c r="M5641" s="6"/>
      <c r="N5641" s="6"/>
      <c r="O5641" s="6"/>
      <c r="P5641" s="6"/>
      <c r="Q5641" s="6"/>
      <c r="R5641" s="6"/>
      <c r="S5641" s="6"/>
      <c r="T5641" s="6"/>
      <c r="U5641" s="6"/>
      <c r="V5641" s="6"/>
      <c r="W5641" s="6"/>
      <c r="X5641" s="6"/>
      <c r="Y5641" s="6"/>
      <c r="Z5641" s="6"/>
      <c r="AA5641" s="6"/>
    </row>
    <row r="5642" ht="14.25">
      <c r="B5642" s="14" t="s">
        <v>36137</v>
      </c>
      <c r="C5642" s="4" t="s">
        <v>36138</v>
      </c>
      <c r="D5642" s="4" t="s">
        <v>36142</v>
      </c>
      <c r="E5642" s="4" t="s">
        <v>36140</v>
      </c>
      <c r="F5642" s="4" t="s">
        <v>19682</v>
      </c>
      <c r="G5642" s="4" t="s">
        <v>36143</v>
      </c>
      <c r="H5642" s="6"/>
      <c r="I5642" s="6"/>
      <c r="J5642" s="6"/>
      <c r="K5642" s="6"/>
      <c r="L5642" s="6"/>
      <c r="M5642" s="6"/>
      <c r="N5642" s="6"/>
      <c r="O5642" s="6"/>
      <c r="P5642" s="6"/>
      <c r="Q5642" s="6"/>
      <c r="R5642" s="6"/>
      <c r="S5642" s="6"/>
      <c r="T5642" s="6"/>
      <c r="U5642" s="6"/>
      <c r="V5642" s="6"/>
      <c r="W5642" s="6"/>
      <c r="X5642" s="6"/>
      <c r="Y5642" s="6"/>
      <c r="Z5642" s="6"/>
      <c r="AA5642" s="6"/>
    </row>
    <row r="5643" ht="14.25">
      <c r="B5643" s="14" t="s">
        <v>36144</v>
      </c>
      <c r="C5643" s="4" t="s">
        <v>36145</v>
      </c>
      <c r="D5643" s="4" t="s">
        <v>36146</v>
      </c>
      <c r="E5643" s="4" t="s">
        <v>36147</v>
      </c>
      <c r="F5643" s="4" t="s">
        <v>670</v>
      </c>
      <c r="G5643" s="4" t="s">
        <v>36148</v>
      </c>
      <c r="H5643" s="6"/>
      <c r="I5643" s="6"/>
      <c r="J5643" s="6"/>
      <c r="K5643" s="6"/>
      <c r="L5643" s="6"/>
      <c r="M5643" s="6"/>
      <c r="N5643" s="6"/>
      <c r="O5643" s="6"/>
      <c r="P5643" s="6"/>
      <c r="Q5643" s="6"/>
      <c r="R5643" s="6"/>
      <c r="S5643" s="6"/>
      <c r="T5643" s="6"/>
      <c r="U5643" s="6"/>
      <c r="V5643" s="6"/>
      <c r="W5643" s="6"/>
      <c r="X5643" s="6"/>
      <c r="Y5643" s="6"/>
      <c r="Z5643" s="6"/>
      <c r="AA5643" s="6"/>
    </row>
    <row r="5644" ht="14.25">
      <c r="B5644" s="14" t="s">
        <v>36144</v>
      </c>
      <c r="C5644" s="4" t="s">
        <v>36145</v>
      </c>
      <c r="D5644" s="4" t="s">
        <v>36149</v>
      </c>
      <c r="E5644" s="4" t="s">
        <v>36147</v>
      </c>
      <c r="F5644" s="4" t="s">
        <v>1583</v>
      </c>
      <c r="G5644" s="4" t="s">
        <v>36150</v>
      </c>
      <c r="H5644" s="6"/>
      <c r="I5644" s="6"/>
      <c r="J5644" s="6"/>
      <c r="K5644" s="6"/>
      <c r="L5644" s="6"/>
      <c r="M5644" s="6"/>
      <c r="N5644" s="6"/>
      <c r="O5644" s="6"/>
      <c r="P5644" s="6"/>
      <c r="Q5644" s="6"/>
      <c r="R5644" s="6"/>
      <c r="S5644" s="6"/>
      <c r="T5644" s="6"/>
      <c r="U5644" s="6"/>
      <c r="V5644" s="6"/>
      <c r="W5644" s="6"/>
      <c r="X5644" s="6"/>
      <c r="Y5644" s="6"/>
      <c r="Z5644" s="6"/>
      <c r="AA5644" s="6"/>
    </row>
    <row r="5645" ht="14.25">
      <c r="B5645" s="14" t="s">
        <v>36151</v>
      </c>
      <c r="C5645" s="4" t="s">
        <v>36152</v>
      </c>
      <c r="D5645" s="4" t="s">
        <v>36153</v>
      </c>
      <c r="E5645" s="4" t="s">
        <v>36154</v>
      </c>
      <c r="F5645" s="4" t="s">
        <v>330</v>
      </c>
      <c r="G5645" s="4" t="s">
        <v>36155</v>
      </c>
      <c r="H5645" s="6"/>
      <c r="I5645" s="6"/>
      <c r="J5645" s="6"/>
      <c r="K5645" s="6"/>
      <c r="L5645" s="6"/>
      <c r="M5645" s="6"/>
      <c r="N5645" s="6"/>
      <c r="O5645" s="6"/>
      <c r="P5645" s="6"/>
      <c r="Q5645" s="6"/>
      <c r="R5645" s="6"/>
      <c r="S5645" s="6"/>
      <c r="T5645" s="6"/>
      <c r="U5645" s="6"/>
      <c r="V5645" s="6"/>
      <c r="W5645" s="6"/>
      <c r="X5645" s="6"/>
      <c r="Y5645" s="6"/>
      <c r="Z5645" s="6"/>
      <c r="AA5645" s="6"/>
    </row>
    <row r="5646" ht="14.25">
      <c r="B5646" s="14" t="s">
        <v>36151</v>
      </c>
      <c r="C5646" s="4" t="s">
        <v>36152</v>
      </c>
      <c r="D5646" s="4" t="s">
        <v>36156</v>
      </c>
      <c r="E5646" s="4" t="s">
        <v>36154</v>
      </c>
      <c r="F5646" s="4" t="s">
        <v>2242</v>
      </c>
      <c r="G5646" s="4" t="s">
        <v>32659</v>
      </c>
      <c r="H5646" s="6"/>
      <c r="I5646" s="6"/>
      <c r="J5646" s="6"/>
      <c r="K5646" s="6"/>
      <c r="L5646" s="6"/>
      <c r="M5646" s="6"/>
      <c r="N5646" s="6"/>
      <c r="O5646" s="6"/>
      <c r="P5646" s="6"/>
      <c r="Q5646" s="6"/>
      <c r="R5646" s="6"/>
      <c r="S5646" s="6"/>
      <c r="T5646" s="6"/>
      <c r="U5646" s="6"/>
      <c r="V5646" s="6"/>
      <c r="W5646" s="6"/>
      <c r="X5646" s="6"/>
      <c r="Y5646" s="6"/>
      <c r="Z5646" s="6"/>
      <c r="AA5646" s="6"/>
    </row>
    <row r="5647" ht="14.25">
      <c r="B5647" s="14" t="s">
        <v>36151</v>
      </c>
      <c r="C5647" s="4" t="s">
        <v>36152</v>
      </c>
      <c r="D5647" s="4" t="s">
        <v>36157</v>
      </c>
      <c r="E5647" s="4" t="s">
        <v>36154</v>
      </c>
      <c r="F5647" s="4" t="s">
        <v>32622</v>
      </c>
      <c r="G5647" s="4" t="s">
        <v>36158</v>
      </c>
      <c r="H5647" s="6"/>
      <c r="I5647" s="6"/>
      <c r="J5647" s="6"/>
      <c r="K5647" s="6"/>
      <c r="L5647" s="6"/>
      <c r="M5647" s="6"/>
      <c r="N5647" s="6"/>
      <c r="O5647" s="6"/>
      <c r="P5647" s="6"/>
      <c r="Q5647" s="6"/>
      <c r="R5647" s="6"/>
      <c r="S5647" s="6"/>
      <c r="T5647" s="6"/>
      <c r="U5647" s="6"/>
      <c r="V5647" s="6"/>
      <c r="W5647" s="6"/>
      <c r="X5647" s="6"/>
      <c r="Y5647" s="6"/>
      <c r="Z5647" s="6"/>
      <c r="AA5647" s="6"/>
    </row>
    <row r="5648" ht="14.25">
      <c r="B5648" s="14" t="s">
        <v>36159</v>
      </c>
      <c r="C5648" s="4" t="s">
        <v>36160</v>
      </c>
      <c r="D5648" s="4" t="s">
        <v>36161</v>
      </c>
      <c r="E5648" s="4" t="s">
        <v>36162</v>
      </c>
      <c r="F5648" s="4" t="s">
        <v>36163</v>
      </c>
      <c r="G5648" s="4" t="s">
        <v>36164</v>
      </c>
      <c r="H5648" s="6"/>
      <c r="I5648" s="6"/>
      <c r="J5648" s="6"/>
      <c r="K5648" s="6"/>
      <c r="L5648" s="6"/>
      <c r="M5648" s="6"/>
      <c r="N5648" s="6"/>
      <c r="O5648" s="6"/>
      <c r="P5648" s="6"/>
      <c r="Q5648" s="6"/>
      <c r="R5648" s="6"/>
      <c r="S5648" s="6"/>
      <c r="T5648" s="6"/>
      <c r="U5648" s="6"/>
      <c r="V5648" s="6"/>
      <c r="W5648" s="6"/>
      <c r="X5648" s="6"/>
      <c r="Y5648" s="6"/>
      <c r="Z5648" s="6"/>
      <c r="AA5648" s="6"/>
    </row>
    <row r="5649" ht="14.25">
      <c r="B5649" s="14" t="s">
        <v>36159</v>
      </c>
      <c r="C5649" s="4" t="s">
        <v>36165</v>
      </c>
      <c r="D5649" s="4" t="s">
        <v>36166</v>
      </c>
      <c r="E5649" s="4" t="s">
        <v>36167</v>
      </c>
      <c r="F5649" s="4" t="s">
        <v>866</v>
      </c>
      <c r="G5649" s="4" t="s">
        <v>36168</v>
      </c>
      <c r="H5649" s="6"/>
      <c r="I5649" s="6"/>
      <c r="J5649" s="6"/>
      <c r="K5649" s="6"/>
      <c r="L5649" s="6"/>
      <c r="M5649" s="6"/>
      <c r="N5649" s="6"/>
      <c r="O5649" s="6"/>
      <c r="P5649" s="6"/>
      <c r="Q5649" s="6"/>
      <c r="R5649" s="6"/>
      <c r="S5649" s="6"/>
      <c r="T5649" s="6"/>
      <c r="U5649" s="6"/>
      <c r="V5649" s="6"/>
      <c r="W5649" s="6"/>
      <c r="X5649" s="6"/>
      <c r="Y5649" s="6"/>
      <c r="Z5649" s="6"/>
      <c r="AA5649" s="6"/>
    </row>
    <row r="5650" ht="14.25">
      <c r="B5650" s="14" t="s">
        <v>36159</v>
      </c>
      <c r="C5650" s="4" t="s">
        <v>36165</v>
      </c>
      <c r="D5650" s="4" t="s">
        <v>36169</v>
      </c>
      <c r="E5650" s="4" t="s">
        <v>36167</v>
      </c>
      <c r="F5650" s="4" t="s">
        <v>33434</v>
      </c>
      <c r="G5650" s="4" t="s">
        <v>36170</v>
      </c>
      <c r="H5650" s="6"/>
      <c r="I5650" s="6"/>
      <c r="J5650" s="6"/>
      <c r="K5650" s="6"/>
      <c r="L5650" s="6"/>
      <c r="M5650" s="6"/>
      <c r="N5650" s="6"/>
      <c r="O5650" s="6"/>
      <c r="P5650" s="6"/>
      <c r="Q5650" s="6"/>
      <c r="R5650" s="6"/>
      <c r="S5650" s="6"/>
      <c r="T5650" s="6"/>
      <c r="U5650" s="6"/>
      <c r="V5650" s="6"/>
      <c r="W5650" s="6"/>
      <c r="X5650" s="6"/>
      <c r="Y5650" s="6"/>
      <c r="Z5650" s="6"/>
      <c r="AA5650" s="6"/>
    </row>
    <row r="5651" ht="14.25">
      <c r="B5651" s="14" t="s">
        <v>36171</v>
      </c>
      <c r="C5651" s="4" t="s">
        <v>36172</v>
      </c>
      <c r="D5651" s="4" t="s">
        <v>36173</v>
      </c>
      <c r="E5651" s="4" t="s">
        <v>36174</v>
      </c>
      <c r="F5651" s="4" t="s">
        <v>963</v>
      </c>
      <c r="G5651" s="4" t="s">
        <v>36175</v>
      </c>
      <c r="H5651" s="6"/>
      <c r="I5651" s="6"/>
      <c r="J5651" s="6"/>
      <c r="K5651" s="6"/>
      <c r="L5651" s="6"/>
      <c r="M5651" s="6"/>
      <c r="N5651" s="6"/>
      <c r="O5651" s="6"/>
      <c r="P5651" s="6"/>
      <c r="Q5651" s="6"/>
      <c r="R5651" s="6"/>
      <c r="S5651" s="6"/>
      <c r="T5651" s="6"/>
      <c r="U5651" s="6"/>
      <c r="V5651" s="6"/>
      <c r="W5651" s="6"/>
      <c r="X5651" s="6"/>
      <c r="Y5651" s="6"/>
      <c r="Z5651" s="6"/>
      <c r="AA5651" s="6"/>
    </row>
    <row r="5652" ht="14.25">
      <c r="B5652" s="14" t="s">
        <v>36171</v>
      </c>
      <c r="C5652" s="4" t="s">
        <v>36172</v>
      </c>
      <c r="D5652" s="4" t="s">
        <v>36176</v>
      </c>
      <c r="E5652" s="4" t="s">
        <v>36174</v>
      </c>
      <c r="F5652" s="4" t="s">
        <v>170</v>
      </c>
      <c r="G5652" s="4" t="s">
        <v>36177</v>
      </c>
      <c r="H5652" s="6"/>
      <c r="I5652" s="6"/>
      <c r="J5652" s="6"/>
      <c r="K5652" s="6"/>
      <c r="L5652" s="6"/>
      <c r="M5652" s="6"/>
      <c r="N5652" s="6"/>
      <c r="O5652" s="6"/>
      <c r="P5652" s="6"/>
      <c r="Q5652" s="6"/>
      <c r="R5652" s="6"/>
      <c r="S5652" s="6"/>
      <c r="T5652" s="6"/>
      <c r="U5652" s="6"/>
      <c r="V5652" s="6"/>
      <c r="W5652" s="6"/>
      <c r="X5652" s="6"/>
      <c r="Y5652" s="6"/>
      <c r="Z5652" s="6"/>
      <c r="AA5652" s="6"/>
    </row>
    <row r="5653" ht="14.25">
      <c r="B5653" s="14" t="s">
        <v>36171</v>
      </c>
      <c r="C5653" s="4" t="s">
        <v>36172</v>
      </c>
      <c r="D5653" s="4" t="s">
        <v>36178</v>
      </c>
      <c r="E5653" s="4" t="s">
        <v>36174</v>
      </c>
      <c r="F5653" s="4" t="s">
        <v>2668</v>
      </c>
      <c r="G5653" s="4" t="s">
        <v>36179</v>
      </c>
      <c r="H5653" s="6"/>
      <c r="I5653" s="6"/>
      <c r="J5653" s="6"/>
      <c r="K5653" s="6"/>
      <c r="L5653" s="6"/>
      <c r="M5653" s="6"/>
      <c r="N5653" s="6"/>
      <c r="O5653" s="6"/>
      <c r="P5653" s="6"/>
      <c r="Q5653" s="6"/>
      <c r="R5653" s="6"/>
      <c r="S5653" s="6"/>
      <c r="T5653" s="6"/>
      <c r="U5653" s="6"/>
      <c r="V5653" s="6"/>
      <c r="W5653" s="6"/>
      <c r="X5653" s="6"/>
      <c r="Y5653" s="6"/>
      <c r="Z5653" s="6"/>
      <c r="AA5653" s="6"/>
    </row>
    <row r="5654" ht="14.25">
      <c r="B5654" s="14" t="s">
        <v>36171</v>
      </c>
      <c r="C5654" s="4" t="s">
        <v>36172</v>
      </c>
      <c r="D5654" s="4" t="s">
        <v>36180</v>
      </c>
      <c r="E5654" s="4" t="s">
        <v>36174</v>
      </c>
      <c r="F5654" s="4" t="s">
        <v>4800</v>
      </c>
      <c r="G5654" s="4" t="s">
        <v>36181</v>
      </c>
      <c r="H5654" s="6"/>
      <c r="I5654" s="6"/>
      <c r="J5654" s="6"/>
      <c r="K5654" s="6"/>
      <c r="L5654" s="6"/>
      <c r="M5654" s="6"/>
      <c r="N5654" s="6"/>
      <c r="O5654" s="6"/>
      <c r="P5654" s="6"/>
      <c r="Q5654" s="6"/>
      <c r="R5654" s="6"/>
      <c r="S5654" s="6"/>
      <c r="T5654" s="6"/>
      <c r="U5654" s="6"/>
      <c r="V5654" s="6"/>
      <c r="W5654" s="6"/>
      <c r="X5654" s="6"/>
      <c r="Y5654" s="6"/>
      <c r="Z5654" s="6"/>
      <c r="AA5654" s="6"/>
    </row>
    <row r="5655" ht="14.25">
      <c r="B5655" s="14" t="s">
        <v>36171</v>
      </c>
      <c r="C5655" s="4" t="s">
        <v>36172</v>
      </c>
      <c r="D5655" s="4" t="s">
        <v>36182</v>
      </c>
      <c r="E5655" s="4" t="s">
        <v>36174</v>
      </c>
      <c r="F5655" s="4" t="s">
        <v>32666</v>
      </c>
      <c r="G5655" s="4" t="s">
        <v>36183</v>
      </c>
      <c r="H5655" s="6"/>
      <c r="I5655" s="6"/>
      <c r="J5655" s="6"/>
      <c r="K5655" s="6"/>
      <c r="L5655" s="6"/>
      <c r="M5655" s="6"/>
      <c r="N5655" s="6"/>
      <c r="O5655" s="6"/>
      <c r="P5655" s="6"/>
      <c r="Q5655" s="6"/>
      <c r="R5655" s="6"/>
      <c r="S5655" s="6"/>
      <c r="T5655" s="6"/>
      <c r="U5655" s="6"/>
      <c r="V5655" s="6"/>
      <c r="W5655" s="6"/>
      <c r="X5655" s="6"/>
      <c r="Y5655" s="6"/>
      <c r="Z5655" s="6"/>
      <c r="AA5655" s="6"/>
    </row>
    <row r="5656" ht="14.25">
      <c r="B5656" s="14" t="s">
        <v>36171</v>
      </c>
      <c r="C5656" s="4" t="s">
        <v>36172</v>
      </c>
      <c r="D5656" s="4" t="s">
        <v>36184</v>
      </c>
      <c r="E5656" s="4" t="s">
        <v>36174</v>
      </c>
      <c r="F5656" s="4" t="s">
        <v>32787</v>
      </c>
      <c r="G5656" s="4" t="s">
        <v>36185</v>
      </c>
      <c r="H5656" s="6"/>
      <c r="I5656" s="6"/>
      <c r="J5656" s="6"/>
      <c r="K5656" s="6"/>
      <c r="L5656" s="6"/>
      <c r="M5656" s="6"/>
      <c r="N5656" s="6"/>
      <c r="O5656" s="6"/>
      <c r="P5656" s="6"/>
      <c r="Q5656" s="6"/>
      <c r="R5656" s="6"/>
      <c r="S5656" s="6"/>
      <c r="T5656" s="6"/>
      <c r="U5656" s="6"/>
      <c r="V5656" s="6"/>
      <c r="W5656" s="6"/>
      <c r="X5656" s="6"/>
      <c r="Y5656" s="6"/>
      <c r="Z5656" s="6"/>
      <c r="AA5656" s="6"/>
    </row>
    <row r="5657" ht="14.25">
      <c r="B5657" s="14" t="s">
        <v>36186</v>
      </c>
      <c r="C5657" s="4" t="s">
        <v>36187</v>
      </c>
      <c r="D5657" s="4" t="s">
        <v>36188</v>
      </c>
      <c r="E5657" s="4" t="s">
        <v>36189</v>
      </c>
      <c r="F5657" s="4" t="s">
        <v>330</v>
      </c>
      <c r="G5657" s="4" t="s">
        <v>36190</v>
      </c>
      <c r="H5657" s="6"/>
      <c r="I5657" s="6"/>
      <c r="J5657" s="6"/>
      <c r="K5657" s="6"/>
      <c r="L5657" s="6"/>
      <c r="M5657" s="6"/>
      <c r="N5657" s="6"/>
      <c r="O5657" s="6"/>
      <c r="P5657" s="6"/>
      <c r="Q5657" s="6"/>
      <c r="R5657" s="6"/>
      <c r="S5657" s="6"/>
      <c r="T5657" s="6"/>
      <c r="U5657" s="6"/>
      <c r="V5657" s="6"/>
      <c r="W5657" s="6"/>
      <c r="X5657" s="6"/>
      <c r="Y5657" s="6"/>
      <c r="Z5657" s="6"/>
      <c r="AA5657" s="6"/>
    </row>
    <row r="5658" ht="14.25">
      <c r="B5658" s="14" t="s">
        <v>36191</v>
      </c>
      <c r="C5658" s="4" t="s">
        <v>36192</v>
      </c>
      <c r="D5658" s="4" t="s">
        <v>36193</v>
      </c>
      <c r="E5658" s="4" t="s">
        <v>36194</v>
      </c>
      <c r="F5658" s="4" t="s">
        <v>1571</v>
      </c>
      <c r="G5658" s="4" t="s">
        <v>36195</v>
      </c>
      <c r="H5658" s="6"/>
      <c r="I5658" s="6"/>
      <c r="J5658" s="6"/>
      <c r="K5658" s="6"/>
      <c r="L5658" s="6"/>
      <c r="M5658" s="6"/>
      <c r="N5658" s="6"/>
      <c r="O5658" s="6"/>
      <c r="P5658" s="6"/>
      <c r="Q5658" s="6"/>
      <c r="R5658" s="6"/>
      <c r="S5658" s="6"/>
      <c r="T5658" s="6"/>
      <c r="U5658" s="6"/>
      <c r="V5658" s="6"/>
      <c r="W5658" s="6"/>
      <c r="X5658" s="6"/>
      <c r="Y5658" s="6"/>
      <c r="Z5658" s="6"/>
      <c r="AA5658" s="6"/>
    </row>
    <row r="5659" ht="14.25">
      <c r="B5659" s="14" t="s">
        <v>36191</v>
      </c>
      <c r="C5659" s="4" t="s">
        <v>36192</v>
      </c>
      <c r="D5659" s="4" t="s">
        <v>36196</v>
      </c>
      <c r="E5659" s="4" t="s">
        <v>36194</v>
      </c>
      <c r="F5659" s="4" t="s">
        <v>2242</v>
      </c>
      <c r="G5659" s="4" t="s">
        <v>36197</v>
      </c>
      <c r="H5659" s="6"/>
      <c r="I5659" s="6"/>
      <c r="J5659" s="6"/>
      <c r="K5659" s="6"/>
      <c r="L5659" s="6"/>
      <c r="M5659" s="6"/>
      <c r="N5659" s="6"/>
      <c r="O5659" s="6"/>
      <c r="P5659" s="6"/>
      <c r="Q5659" s="6"/>
      <c r="R5659" s="6"/>
      <c r="S5659" s="6"/>
      <c r="T5659" s="6"/>
      <c r="U5659" s="6"/>
      <c r="V5659" s="6"/>
      <c r="W5659" s="6"/>
      <c r="X5659" s="6"/>
      <c r="Y5659" s="6"/>
      <c r="Z5659" s="6"/>
      <c r="AA5659" s="6"/>
    </row>
    <row r="5660" ht="14.25">
      <c r="B5660" s="14" t="s">
        <v>36191</v>
      </c>
      <c r="C5660" s="4" t="s">
        <v>36192</v>
      </c>
      <c r="D5660" s="4" t="s">
        <v>36198</v>
      </c>
      <c r="E5660" s="4" t="s">
        <v>36194</v>
      </c>
      <c r="F5660" s="4" t="s">
        <v>32831</v>
      </c>
      <c r="G5660" s="4" t="s">
        <v>36199</v>
      </c>
      <c r="H5660" s="6"/>
      <c r="I5660" s="6"/>
      <c r="J5660" s="6"/>
      <c r="K5660" s="6"/>
      <c r="L5660" s="6"/>
      <c r="M5660" s="6"/>
      <c r="N5660" s="6"/>
      <c r="O5660" s="6"/>
      <c r="P5660" s="6"/>
      <c r="Q5660" s="6"/>
      <c r="R5660" s="6"/>
      <c r="S5660" s="6"/>
      <c r="T5660" s="6"/>
      <c r="U5660" s="6"/>
      <c r="V5660" s="6"/>
      <c r="W5660" s="6"/>
      <c r="X5660" s="6"/>
      <c r="Y5660" s="6"/>
      <c r="Z5660" s="6"/>
      <c r="AA5660" s="6"/>
    </row>
    <row r="5661" ht="14.25">
      <c r="B5661" s="14" t="s">
        <v>36191</v>
      </c>
      <c r="C5661" s="4" t="s">
        <v>36192</v>
      </c>
      <c r="D5661" s="4" t="s">
        <v>36200</v>
      </c>
      <c r="E5661" s="4" t="s">
        <v>36194</v>
      </c>
      <c r="F5661" s="4" t="s">
        <v>33459</v>
      </c>
      <c r="G5661" s="4" t="s">
        <v>36201</v>
      </c>
      <c r="H5661" s="6"/>
      <c r="I5661" s="6"/>
      <c r="J5661" s="6"/>
      <c r="K5661" s="6"/>
      <c r="L5661" s="6"/>
      <c r="M5661" s="6"/>
      <c r="N5661" s="6"/>
      <c r="O5661" s="6"/>
      <c r="P5661" s="6"/>
      <c r="Q5661" s="6"/>
      <c r="R5661" s="6"/>
      <c r="S5661" s="6"/>
      <c r="T5661" s="6"/>
      <c r="U5661" s="6"/>
      <c r="V5661" s="6"/>
      <c r="W5661" s="6"/>
      <c r="X5661" s="6"/>
      <c r="Y5661" s="6"/>
      <c r="Z5661" s="6"/>
      <c r="AA5661" s="6"/>
    </row>
    <row r="5662" ht="14.25">
      <c r="B5662" s="14" t="s">
        <v>36191</v>
      </c>
      <c r="C5662" s="4" t="s">
        <v>36192</v>
      </c>
      <c r="D5662" s="4" t="s">
        <v>36202</v>
      </c>
      <c r="E5662" s="4" t="s">
        <v>36194</v>
      </c>
      <c r="F5662" s="4" t="s">
        <v>19798</v>
      </c>
      <c r="G5662" s="4" t="s">
        <v>36203</v>
      </c>
      <c r="H5662" s="6"/>
      <c r="I5662" s="6"/>
      <c r="J5662" s="6"/>
      <c r="K5662" s="6"/>
      <c r="L5662" s="6"/>
      <c r="M5662" s="6"/>
      <c r="N5662" s="6"/>
      <c r="O5662" s="6"/>
      <c r="P5662" s="6"/>
      <c r="Q5662" s="6"/>
      <c r="R5662" s="6"/>
      <c r="S5662" s="6"/>
      <c r="T5662" s="6"/>
      <c r="U5662" s="6"/>
      <c r="V5662" s="6"/>
      <c r="W5662" s="6"/>
      <c r="X5662" s="6"/>
      <c r="Y5662" s="6"/>
      <c r="Z5662" s="6"/>
      <c r="AA5662" s="6"/>
    </row>
    <row r="5663" ht="14.25">
      <c r="B5663" s="14" t="s">
        <v>36204</v>
      </c>
      <c r="C5663" s="4" t="s">
        <v>36205</v>
      </c>
      <c r="D5663" s="4" t="s">
        <v>36206</v>
      </c>
      <c r="E5663" s="4" t="s">
        <v>36207</v>
      </c>
      <c r="F5663" s="4" t="s">
        <v>32548</v>
      </c>
      <c r="G5663" s="4" t="s">
        <v>36208</v>
      </c>
      <c r="H5663" s="6"/>
      <c r="I5663" s="6"/>
      <c r="J5663" s="6"/>
      <c r="K5663" s="6"/>
      <c r="L5663" s="6"/>
      <c r="M5663" s="6"/>
      <c r="N5663" s="6"/>
      <c r="O5663" s="6"/>
      <c r="P5663" s="6"/>
      <c r="Q5663" s="6"/>
      <c r="R5663" s="6"/>
      <c r="S5663" s="6"/>
      <c r="T5663" s="6"/>
      <c r="U5663" s="6"/>
      <c r="V5663" s="6"/>
      <c r="W5663" s="6"/>
      <c r="X5663" s="6"/>
      <c r="Y5663" s="6"/>
      <c r="Z5663" s="6"/>
      <c r="AA5663" s="6"/>
    </row>
    <row r="5664" ht="14.25">
      <c r="B5664" s="14" t="s">
        <v>36204</v>
      </c>
      <c r="C5664" s="4" t="s">
        <v>36205</v>
      </c>
      <c r="D5664" s="4" t="s">
        <v>36209</v>
      </c>
      <c r="E5664" s="4" t="s">
        <v>36207</v>
      </c>
      <c r="F5664" s="4" t="s">
        <v>785</v>
      </c>
      <c r="G5664" s="4" t="s">
        <v>36210</v>
      </c>
      <c r="H5664" s="6"/>
      <c r="I5664" s="6"/>
      <c r="J5664" s="6"/>
      <c r="K5664" s="6"/>
      <c r="L5664" s="6"/>
      <c r="M5664" s="6"/>
      <c r="N5664" s="6"/>
      <c r="O5664" s="6"/>
      <c r="P5664" s="6"/>
      <c r="Q5664" s="6"/>
      <c r="R5664" s="6"/>
      <c r="S5664" s="6"/>
      <c r="T5664" s="6"/>
      <c r="U5664" s="6"/>
      <c r="V5664" s="6"/>
      <c r="W5664" s="6"/>
      <c r="X5664" s="6"/>
      <c r="Y5664" s="6"/>
      <c r="Z5664" s="6"/>
      <c r="AA5664" s="6"/>
    </row>
    <row r="5665" ht="14.25">
      <c r="B5665" s="14" t="s">
        <v>36204</v>
      </c>
      <c r="C5665" s="4" t="s">
        <v>36205</v>
      </c>
      <c r="D5665" s="4" t="s">
        <v>36211</v>
      </c>
      <c r="E5665" s="4" t="s">
        <v>36207</v>
      </c>
      <c r="F5665" s="4" t="s">
        <v>36212</v>
      </c>
      <c r="G5665" s="4" t="s">
        <v>36213</v>
      </c>
      <c r="H5665" s="6"/>
      <c r="I5665" s="6"/>
      <c r="J5665" s="6"/>
      <c r="K5665" s="6"/>
      <c r="L5665" s="6"/>
      <c r="M5665" s="6"/>
      <c r="N5665" s="6"/>
      <c r="O5665" s="6"/>
      <c r="P5665" s="6"/>
      <c r="Q5665" s="6"/>
      <c r="R5665" s="6"/>
      <c r="S5665" s="6"/>
      <c r="T5665" s="6"/>
      <c r="U5665" s="6"/>
      <c r="V5665" s="6"/>
      <c r="W5665" s="6"/>
      <c r="X5665" s="6"/>
      <c r="Y5665" s="6"/>
      <c r="Z5665" s="6"/>
      <c r="AA5665" s="6"/>
    </row>
    <row r="5666" ht="14.25">
      <c r="B5666" s="14" t="s">
        <v>36204</v>
      </c>
      <c r="C5666" s="4" t="s">
        <v>36205</v>
      </c>
      <c r="D5666" s="4" t="s">
        <v>36214</v>
      </c>
      <c r="E5666" s="4" t="s">
        <v>36207</v>
      </c>
      <c r="F5666" s="4" t="s">
        <v>653</v>
      </c>
      <c r="G5666" s="4" t="s">
        <v>36215</v>
      </c>
      <c r="H5666" s="6"/>
      <c r="I5666" s="6"/>
      <c r="J5666" s="6"/>
      <c r="K5666" s="6"/>
      <c r="L5666" s="6"/>
      <c r="M5666" s="6"/>
      <c r="N5666" s="6"/>
      <c r="O5666" s="6"/>
      <c r="P5666" s="6"/>
      <c r="Q5666" s="6"/>
      <c r="R5666" s="6"/>
      <c r="S5666" s="6"/>
      <c r="T5666" s="6"/>
      <c r="U5666" s="6"/>
      <c r="V5666" s="6"/>
      <c r="W5666" s="6"/>
      <c r="X5666" s="6"/>
      <c r="Y5666" s="6"/>
      <c r="Z5666" s="6"/>
      <c r="AA5666" s="6"/>
    </row>
    <row r="5667" ht="14.25">
      <c r="B5667" s="14" t="s">
        <v>36204</v>
      </c>
      <c r="C5667" s="4" t="s">
        <v>36216</v>
      </c>
      <c r="D5667" s="4" t="s">
        <v>36217</v>
      </c>
      <c r="E5667" s="4" t="s">
        <v>36218</v>
      </c>
      <c r="F5667" s="4" t="s">
        <v>36219</v>
      </c>
      <c r="G5667" s="4" t="s">
        <v>32551</v>
      </c>
      <c r="H5667" s="6"/>
      <c r="I5667" s="6"/>
      <c r="J5667" s="6"/>
      <c r="K5667" s="6"/>
      <c r="L5667" s="6"/>
      <c r="M5667" s="6"/>
      <c r="N5667" s="6"/>
      <c r="O5667" s="6"/>
      <c r="P5667" s="6"/>
      <c r="Q5667" s="6"/>
      <c r="R5667" s="6"/>
      <c r="S5667" s="6"/>
      <c r="T5667" s="6"/>
      <c r="U5667" s="6"/>
      <c r="V5667" s="6"/>
      <c r="W5667" s="6"/>
      <c r="X5667" s="6"/>
      <c r="Y5667" s="6"/>
      <c r="Z5667" s="6"/>
      <c r="AA5667" s="6"/>
    </row>
    <row r="5668" ht="14.25">
      <c r="B5668" s="14" t="s">
        <v>36204</v>
      </c>
      <c r="C5668" s="4" t="s">
        <v>36220</v>
      </c>
      <c r="D5668" s="4" t="s">
        <v>36221</v>
      </c>
      <c r="E5668" s="4" t="s">
        <v>36222</v>
      </c>
      <c r="F5668" s="4" t="s">
        <v>7525</v>
      </c>
      <c r="G5668" s="4" t="s">
        <v>36223</v>
      </c>
      <c r="H5668" s="6"/>
      <c r="I5668" s="6"/>
      <c r="J5668" s="6"/>
      <c r="K5668" s="6"/>
      <c r="L5668" s="6"/>
      <c r="M5668" s="6"/>
      <c r="N5668" s="6"/>
      <c r="O5668" s="6"/>
      <c r="P5668" s="6"/>
      <c r="Q5668" s="6"/>
      <c r="R5668" s="6"/>
      <c r="S5668" s="6"/>
      <c r="T5668" s="6"/>
      <c r="U5668" s="6"/>
      <c r="V5668" s="6"/>
      <c r="W5668" s="6"/>
      <c r="X5668" s="6"/>
      <c r="Y5668" s="6"/>
      <c r="Z5668" s="6"/>
      <c r="AA5668" s="6"/>
    </row>
    <row r="5669" ht="14.25">
      <c r="B5669" s="14" t="s">
        <v>36204</v>
      </c>
      <c r="C5669" s="4" t="s">
        <v>36224</v>
      </c>
      <c r="D5669" s="4" t="s">
        <v>36225</v>
      </c>
      <c r="E5669" s="6"/>
      <c r="F5669" s="4" t="s">
        <v>670</v>
      </c>
      <c r="G5669" s="4" t="s">
        <v>36226</v>
      </c>
      <c r="H5669" s="6"/>
      <c r="I5669" s="6"/>
      <c r="J5669" s="6"/>
      <c r="K5669" s="6"/>
      <c r="L5669" s="6"/>
      <c r="M5669" s="6"/>
      <c r="N5669" s="6"/>
      <c r="O5669" s="6"/>
      <c r="P5669" s="6"/>
      <c r="Q5669" s="6"/>
      <c r="R5669" s="6"/>
      <c r="S5669" s="6"/>
      <c r="T5669" s="6"/>
      <c r="U5669" s="6"/>
      <c r="V5669" s="6"/>
      <c r="W5669" s="6"/>
      <c r="X5669" s="6"/>
      <c r="Y5669" s="6"/>
      <c r="Z5669" s="6"/>
      <c r="AA5669" s="6"/>
    </row>
    <row r="5670" ht="14.25">
      <c r="B5670" s="14" t="s">
        <v>36204</v>
      </c>
      <c r="C5670" s="4" t="s">
        <v>36205</v>
      </c>
      <c r="D5670" s="4" t="s">
        <v>36227</v>
      </c>
      <c r="E5670" s="4" t="s">
        <v>36207</v>
      </c>
      <c r="F5670" s="4" t="s">
        <v>874</v>
      </c>
      <c r="G5670" s="4" t="s">
        <v>36228</v>
      </c>
      <c r="H5670" s="6"/>
      <c r="I5670" s="6"/>
      <c r="J5670" s="6"/>
      <c r="K5670" s="6"/>
      <c r="L5670" s="6"/>
      <c r="M5670" s="6"/>
      <c r="N5670" s="6"/>
      <c r="O5670" s="6"/>
      <c r="P5670" s="6"/>
      <c r="Q5670" s="6"/>
      <c r="R5670" s="6"/>
      <c r="S5670" s="6"/>
      <c r="T5670" s="6"/>
      <c r="U5670" s="6"/>
      <c r="V5670" s="6"/>
      <c r="W5670" s="6"/>
      <c r="X5670" s="6"/>
      <c r="Y5670" s="6"/>
      <c r="Z5670" s="6"/>
      <c r="AA5670" s="6"/>
    </row>
    <row r="5671" ht="14.25">
      <c r="B5671" s="14" t="s">
        <v>36204</v>
      </c>
      <c r="C5671" s="4" t="s">
        <v>36205</v>
      </c>
      <c r="D5671" s="4" t="s">
        <v>36229</v>
      </c>
      <c r="E5671" s="4" t="s">
        <v>36207</v>
      </c>
      <c r="F5671" s="4" t="s">
        <v>1583</v>
      </c>
      <c r="G5671" s="4" t="s">
        <v>36230</v>
      </c>
      <c r="H5671" s="6"/>
      <c r="I5671" s="6"/>
      <c r="J5671" s="6"/>
      <c r="K5671" s="6"/>
      <c r="L5671" s="6"/>
      <c r="M5671" s="6"/>
      <c r="N5671" s="6"/>
      <c r="O5671" s="6"/>
      <c r="P5671" s="6"/>
      <c r="Q5671" s="6"/>
      <c r="R5671" s="6"/>
      <c r="S5671" s="6"/>
      <c r="T5671" s="6"/>
      <c r="U5671" s="6"/>
      <c r="V5671" s="6"/>
      <c r="W5671" s="6"/>
      <c r="X5671" s="6"/>
      <c r="Y5671" s="6"/>
      <c r="Z5671" s="6"/>
      <c r="AA5671" s="6"/>
    </row>
    <row r="5672" ht="14.25">
      <c r="B5672" s="14" t="s">
        <v>36204</v>
      </c>
      <c r="C5672" s="4" t="s">
        <v>36205</v>
      </c>
      <c r="D5672" s="4" t="s">
        <v>36231</v>
      </c>
      <c r="E5672" s="4" t="s">
        <v>36207</v>
      </c>
      <c r="F5672" s="4" t="s">
        <v>110</v>
      </c>
      <c r="G5672" s="4" t="s">
        <v>36232</v>
      </c>
      <c r="H5672" s="6"/>
      <c r="I5672" s="6"/>
      <c r="J5672" s="6"/>
      <c r="K5672" s="6"/>
      <c r="L5672" s="6"/>
      <c r="M5672" s="6"/>
      <c r="N5672" s="6"/>
      <c r="O5672" s="6"/>
      <c r="P5672" s="6"/>
      <c r="Q5672" s="6"/>
      <c r="R5672" s="6"/>
      <c r="S5672" s="6"/>
      <c r="T5672" s="6"/>
      <c r="U5672" s="6"/>
      <c r="V5672" s="6"/>
      <c r="W5672" s="6"/>
      <c r="X5672" s="6"/>
      <c r="Y5672" s="6"/>
      <c r="Z5672" s="6"/>
      <c r="AA5672" s="6"/>
    </row>
    <row r="5673" ht="14.25">
      <c r="B5673" s="14" t="s">
        <v>36204</v>
      </c>
      <c r="C5673" s="4" t="s">
        <v>36205</v>
      </c>
      <c r="D5673" s="4" t="s">
        <v>36233</v>
      </c>
      <c r="E5673" s="4" t="s">
        <v>36207</v>
      </c>
      <c r="F5673" s="4" t="s">
        <v>670</v>
      </c>
      <c r="G5673" s="4" t="s">
        <v>36234</v>
      </c>
      <c r="H5673" s="6"/>
      <c r="I5673" s="6"/>
      <c r="J5673" s="6"/>
      <c r="K5673" s="6"/>
      <c r="L5673" s="6"/>
      <c r="M5673" s="6"/>
      <c r="N5673" s="6"/>
      <c r="O5673" s="6"/>
      <c r="P5673" s="6"/>
      <c r="Q5673" s="6"/>
      <c r="R5673" s="6"/>
      <c r="S5673" s="6"/>
      <c r="T5673" s="6"/>
      <c r="U5673" s="6"/>
      <c r="V5673" s="6"/>
      <c r="W5673" s="6"/>
      <c r="X5673" s="6"/>
      <c r="Y5673" s="6"/>
      <c r="Z5673" s="6"/>
      <c r="AA5673" s="6"/>
    </row>
    <row r="5674" ht="14.25">
      <c r="B5674" s="14" t="s">
        <v>36204</v>
      </c>
      <c r="C5674" s="4" t="s">
        <v>36235</v>
      </c>
      <c r="D5674" s="4" t="s">
        <v>36236</v>
      </c>
      <c r="E5674" s="4" t="s">
        <v>36237</v>
      </c>
      <c r="F5674" s="4" t="s">
        <v>2419</v>
      </c>
      <c r="G5674" s="4" t="s">
        <v>36238</v>
      </c>
      <c r="H5674" s="6"/>
      <c r="I5674" s="6"/>
      <c r="J5674" s="6"/>
      <c r="K5674" s="6"/>
      <c r="L5674" s="6"/>
      <c r="M5674" s="6"/>
      <c r="N5674" s="6"/>
      <c r="O5674" s="6"/>
      <c r="P5674" s="6"/>
      <c r="Q5674" s="6"/>
      <c r="R5674" s="6"/>
      <c r="S5674" s="6"/>
      <c r="T5674" s="6"/>
      <c r="U5674" s="6"/>
      <c r="V5674" s="6"/>
      <c r="W5674" s="6"/>
      <c r="X5674" s="6"/>
      <c r="Y5674" s="6"/>
      <c r="Z5674" s="6"/>
      <c r="AA5674" s="6"/>
    </row>
    <row r="5675" ht="14.25">
      <c r="B5675" s="14" t="s">
        <v>36204</v>
      </c>
      <c r="C5675" s="4" t="s">
        <v>36239</v>
      </c>
      <c r="D5675" s="4" t="s">
        <v>36240</v>
      </c>
      <c r="E5675" s="4" t="s">
        <v>36241</v>
      </c>
      <c r="F5675" s="4" t="s">
        <v>670</v>
      </c>
      <c r="G5675" s="4" t="s">
        <v>35276</v>
      </c>
      <c r="H5675" s="6"/>
      <c r="I5675" s="6"/>
      <c r="J5675" s="6"/>
      <c r="K5675" s="6"/>
      <c r="L5675" s="6"/>
      <c r="M5675" s="6"/>
      <c r="N5675" s="6"/>
      <c r="O5675" s="6"/>
      <c r="P5675" s="6"/>
      <c r="Q5675" s="6"/>
      <c r="R5675" s="6"/>
      <c r="S5675" s="6"/>
      <c r="T5675" s="6"/>
      <c r="U5675" s="6"/>
      <c r="V5675" s="6"/>
      <c r="W5675" s="6"/>
      <c r="X5675" s="6"/>
      <c r="Y5675" s="6"/>
      <c r="Z5675" s="6"/>
      <c r="AA5675" s="6"/>
    </row>
    <row r="5676" ht="14.25">
      <c r="B5676" s="14" t="s">
        <v>36204</v>
      </c>
      <c r="C5676" s="4" t="s">
        <v>36216</v>
      </c>
      <c r="D5676" s="4" t="s">
        <v>36242</v>
      </c>
      <c r="E5676" s="4" t="s">
        <v>36218</v>
      </c>
      <c r="F5676" s="4" t="s">
        <v>110</v>
      </c>
      <c r="G5676" s="4" t="s">
        <v>36243</v>
      </c>
      <c r="H5676" s="6"/>
      <c r="I5676" s="6"/>
      <c r="J5676" s="6"/>
      <c r="K5676" s="6"/>
      <c r="L5676" s="6"/>
      <c r="M5676" s="6"/>
      <c r="N5676" s="6"/>
      <c r="O5676" s="6"/>
      <c r="P5676" s="6"/>
      <c r="Q5676" s="6"/>
      <c r="R5676" s="6"/>
      <c r="S5676" s="6"/>
      <c r="T5676" s="6"/>
      <c r="U5676" s="6"/>
      <c r="V5676" s="6"/>
      <c r="W5676" s="6"/>
      <c r="X5676" s="6"/>
      <c r="Y5676" s="6"/>
      <c r="Z5676" s="6"/>
      <c r="AA5676" s="6"/>
    </row>
    <row r="5677" ht="14.25">
      <c r="B5677" s="14" t="s">
        <v>36204</v>
      </c>
      <c r="C5677" s="4" t="s">
        <v>36205</v>
      </c>
      <c r="D5677" s="4" t="s">
        <v>36244</v>
      </c>
      <c r="E5677" s="4" t="s">
        <v>36207</v>
      </c>
      <c r="F5677" s="4" t="s">
        <v>874</v>
      </c>
      <c r="G5677" s="4" t="s">
        <v>36245</v>
      </c>
      <c r="H5677" s="6"/>
      <c r="I5677" s="6"/>
      <c r="J5677" s="6"/>
      <c r="K5677" s="6"/>
      <c r="L5677" s="6"/>
      <c r="M5677" s="6"/>
      <c r="N5677" s="6"/>
      <c r="O5677" s="6"/>
      <c r="P5677" s="6"/>
      <c r="Q5677" s="6"/>
      <c r="R5677" s="6"/>
      <c r="S5677" s="6"/>
      <c r="T5677" s="6"/>
      <c r="U5677" s="6"/>
      <c r="V5677" s="6"/>
      <c r="W5677" s="6"/>
      <c r="X5677" s="6"/>
      <c r="Y5677" s="6"/>
      <c r="Z5677" s="6"/>
      <c r="AA5677" s="6"/>
    </row>
    <row r="5678" ht="14.25">
      <c r="B5678" s="14" t="s">
        <v>36204</v>
      </c>
      <c r="C5678" s="4" t="s">
        <v>36246</v>
      </c>
      <c r="D5678" s="4" t="s">
        <v>36247</v>
      </c>
      <c r="E5678" s="6"/>
      <c r="F5678" s="4" t="s">
        <v>33264</v>
      </c>
      <c r="G5678" s="4" t="s">
        <v>33120</v>
      </c>
      <c r="H5678" s="6"/>
      <c r="I5678" s="6"/>
      <c r="J5678" s="6"/>
      <c r="K5678" s="6"/>
      <c r="L5678" s="6"/>
      <c r="M5678" s="6"/>
      <c r="N5678" s="6"/>
      <c r="O5678" s="6"/>
      <c r="P5678" s="6"/>
      <c r="Q5678" s="6"/>
      <c r="R5678" s="6"/>
      <c r="S5678" s="6"/>
      <c r="T5678" s="6"/>
      <c r="U5678" s="6"/>
      <c r="V5678" s="6"/>
      <c r="W5678" s="6"/>
      <c r="X5678" s="6"/>
      <c r="Y5678" s="6"/>
      <c r="Z5678" s="6"/>
      <c r="AA5678" s="6"/>
    </row>
    <row r="5679" ht="14.25">
      <c r="B5679" s="14" t="s">
        <v>36204</v>
      </c>
      <c r="C5679" s="4" t="s">
        <v>36248</v>
      </c>
      <c r="D5679" s="4" t="s">
        <v>36249</v>
      </c>
      <c r="E5679" s="4" t="s">
        <v>36250</v>
      </c>
      <c r="F5679" s="4" t="s">
        <v>32831</v>
      </c>
      <c r="G5679" s="4" t="s">
        <v>36251</v>
      </c>
      <c r="H5679" s="6"/>
      <c r="I5679" s="6"/>
      <c r="J5679" s="6"/>
      <c r="K5679" s="6"/>
      <c r="L5679" s="6"/>
      <c r="M5679" s="6"/>
      <c r="N5679" s="6"/>
      <c r="O5679" s="6"/>
      <c r="P5679" s="6"/>
      <c r="Q5679" s="6"/>
      <c r="R5679" s="6"/>
      <c r="S5679" s="6"/>
      <c r="T5679" s="6"/>
      <c r="U5679" s="6"/>
      <c r="V5679" s="6"/>
      <c r="W5679" s="6"/>
      <c r="X5679" s="6"/>
      <c r="Y5679" s="6"/>
      <c r="Z5679" s="6"/>
      <c r="AA5679" s="6"/>
    </row>
    <row r="5680" ht="14.25">
      <c r="B5680" s="14" t="s">
        <v>36252</v>
      </c>
      <c r="C5680" s="4" t="s">
        <v>36253</v>
      </c>
      <c r="D5680" s="4" t="s">
        <v>36254</v>
      </c>
      <c r="E5680" s="4" t="s">
        <v>36255</v>
      </c>
      <c r="F5680" s="4" t="s">
        <v>32891</v>
      </c>
      <c r="G5680" s="4" t="s">
        <v>36256</v>
      </c>
      <c r="H5680" s="6"/>
      <c r="I5680" s="6"/>
      <c r="J5680" s="6"/>
      <c r="K5680" s="6"/>
      <c r="L5680" s="6"/>
      <c r="M5680" s="6"/>
      <c r="N5680" s="6"/>
      <c r="O5680" s="6"/>
      <c r="P5680" s="6"/>
      <c r="Q5680" s="6"/>
      <c r="R5680" s="6"/>
      <c r="S5680" s="6"/>
      <c r="T5680" s="6"/>
      <c r="U5680" s="6"/>
      <c r="V5680" s="6"/>
      <c r="W5680" s="6"/>
      <c r="X5680" s="6"/>
      <c r="Y5680" s="6"/>
      <c r="Z5680" s="6"/>
      <c r="AA5680" s="6"/>
    </row>
    <row r="5681" ht="14.25">
      <c r="B5681" s="14" t="s">
        <v>36252</v>
      </c>
      <c r="C5681" s="4" t="s">
        <v>36257</v>
      </c>
      <c r="D5681" s="4" t="s">
        <v>36258</v>
      </c>
      <c r="E5681" s="4" t="s">
        <v>36259</v>
      </c>
      <c r="F5681" s="4" t="s">
        <v>32548</v>
      </c>
      <c r="G5681" s="4" t="s">
        <v>36260</v>
      </c>
      <c r="H5681" s="6"/>
      <c r="I5681" s="6"/>
      <c r="J5681" s="6"/>
      <c r="K5681" s="6"/>
      <c r="L5681" s="6"/>
      <c r="M5681" s="6"/>
      <c r="N5681" s="6"/>
      <c r="O5681" s="6"/>
      <c r="P5681" s="6"/>
      <c r="Q5681" s="6"/>
      <c r="R5681" s="6"/>
      <c r="S5681" s="6"/>
      <c r="T5681" s="6"/>
      <c r="U5681" s="6"/>
      <c r="V5681" s="6"/>
      <c r="W5681" s="6"/>
      <c r="X5681" s="6"/>
      <c r="Y5681" s="6"/>
      <c r="Z5681" s="6"/>
      <c r="AA5681" s="6"/>
    </row>
    <row r="5682" ht="14.25">
      <c r="B5682" s="14" t="s">
        <v>36252</v>
      </c>
      <c r="C5682" s="4" t="s">
        <v>36257</v>
      </c>
      <c r="D5682" s="4" t="s">
        <v>36261</v>
      </c>
      <c r="E5682" s="4" t="s">
        <v>36259</v>
      </c>
      <c r="F5682" s="4" t="s">
        <v>110</v>
      </c>
      <c r="G5682" s="4" t="s">
        <v>36262</v>
      </c>
      <c r="H5682" s="6"/>
      <c r="I5682" s="6"/>
      <c r="J5682" s="6"/>
      <c r="K5682" s="6"/>
      <c r="L5682" s="6"/>
      <c r="M5682" s="6"/>
      <c r="N5682" s="6"/>
      <c r="O5682" s="6"/>
      <c r="P5682" s="6"/>
      <c r="Q5682" s="6"/>
      <c r="R5682" s="6"/>
      <c r="S5682" s="6"/>
      <c r="T5682" s="6"/>
      <c r="U5682" s="6"/>
      <c r="V5682" s="6"/>
      <c r="W5682" s="6"/>
      <c r="X5682" s="6"/>
      <c r="Y5682" s="6"/>
      <c r="Z5682" s="6"/>
      <c r="AA5682" s="6"/>
    </row>
    <row r="5683" ht="14.25">
      <c r="B5683" s="14" t="s">
        <v>36263</v>
      </c>
      <c r="C5683" s="4" t="s">
        <v>36264</v>
      </c>
      <c r="D5683" s="4" t="s">
        <v>36265</v>
      </c>
      <c r="E5683" s="4" t="s">
        <v>36266</v>
      </c>
      <c r="F5683" s="4" t="s">
        <v>20</v>
      </c>
      <c r="G5683" s="4" t="s">
        <v>36267</v>
      </c>
      <c r="H5683" s="6"/>
      <c r="I5683" s="6"/>
      <c r="J5683" s="6"/>
      <c r="K5683" s="6"/>
      <c r="L5683" s="6"/>
      <c r="M5683" s="6"/>
      <c r="N5683" s="6"/>
      <c r="O5683" s="6"/>
      <c r="P5683" s="6"/>
      <c r="Q5683" s="6"/>
      <c r="R5683" s="6"/>
      <c r="S5683" s="6"/>
      <c r="T5683" s="6"/>
      <c r="U5683" s="6"/>
      <c r="V5683" s="6"/>
      <c r="W5683" s="6"/>
      <c r="X5683" s="6"/>
      <c r="Y5683" s="6"/>
      <c r="Z5683" s="6"/>
      <c r="AA5683" s="6"/>
    </row>
    <row r="5684" ht="14.25">
      <c r="B5684" s="14" t="s">
        <v>36268</v>
      </c>
      <c r="C5684" s="4" t="s">
        <v>36269</v>
      </c>
      <c r="D5684" s="4" t="s">
        <v>36270</v>
      </c>
      <c r="E5684" s="4" t="s">
        <v>36271</v>
      </c>
      <c r="F5684" s="4" t="s">
        <v>1324</v>
      </c>
      <c r="G5684" s="4" t="s">
        <v>36272</v>
      </c>
      <c r="H5684" s="6"/>
      <c r="I5684" s="6"/>
      <c r="J5684" s="6"/>
      <c r="K5684" s="6"/>
      <c r="L5684" s="6"/>
      <c r="M5684" s="6"/>
      <c r="N5684" s="6"/>
      <c r="O5684" s="6"/>
      <c r="P5684" s="6"/>
      <c r="Q5684" s="6"/>
      <c r="R5684" s="6"/>
      <c r="S5684" s="6"/>
      <c r="T5684" s="6"/>
      <c r="U5684" s="6"/>
      <c r="V5684" s="6"/>
      <c r="W5684" s="6"/>
      <c r="X5684" s="6"/>
      <c r="Y5684" s="6"/>
      <c r="Z5684" s="6"/>
      <c r="AA5684" s="6"/>
    </row>
    <row r="5685" ht="14.25">
      <c r="B5685" s="14" t="s">
        <v>36268</v>
      </c>
      <c r="C5685" s="4" t="s">
        <v>36269</v>
      </c>
      <c r="D5685" s="4" t="s">
        <v>36273</v>
      </c>
      <c r="E5685" s="4" t="s">
        <v>36271</v>
      </c>
      <c r="F5685" s="4" t="s">
        <v>36274</v>
      </c>
      <c r="G5685" s="4" t="s">
        <v>36275</v>
      </c>
      <c r="H5685" s="6"/>
      <c r="I5685" s="6"/>
      <c r="J5685" s="6"/>
      <c r="K5685" s="6"/>
      <c r="L5685" s="6"/>
      <c r="M5685" s="6"/>
      <c r="N5685" s="6"/>
      <c r="O5685" s="6"/>
      <c r="P5685" s="6"/>
      <c r="Q5685" s="6"/>
      <c r="R5685" s="6"/>
      <c r="S5685" s="6"/>
      <c r="T5685" s="6"/>
      <c r="U5685" s="6"/>
      <c r="V5685" s="6"/>
      <c r="W5685" s="6"/>
      <c r="X5685" s="6"/>
      <c r="Y5685" s="6"/>
      <c r="Z5685" s="6"/>
      <c r="AA5685" s="6"/>
    </row>
    <row r="5686" ht="14.25">
      <c r="B5686" s="14" t="s">
        <v>36268</v>
      </c>
      <c r="C5686" s="4" t="s">
        <v>36269</v>
      </c>
      <c r="D5686" s="4" t="s">
        <v>36276</v>
      </c>
      <c r="E5686" s="4" t="s">
        <v>36271</v>
      </c>
      <c r="F5686" s="4" t="s">
        <v>355</v>
      </c>
      <c r="G5686" s="4" t="s">
        <v>36277</v>
      </c>
      <c r="H5686" s="6"/>
      <c r="I5686" s="6"/>
      <c r="J5686" s="6"/>
      <c r="K5686" s="6"/>
      <c r="L5686" s="6"/>
      <c r="M5686" s="6"/>
      <c r="N5686" s="6"/>
      <c r="O5686" s="6"/>
      <c r="P5686" s="6"/>
      <c r="Q5686" s="6"/>
      <c r="R5686" s="6"/>
      <c r="S5686" s="6"/>
      <c r="T5686" s="6"/>
      <c r="U5686" s="6"/>
      <c r="V5686" s="6"/>
      <c r="W5686" s="6"/>
      <c r="X5686" s="6"/>
      <c r="Y5686" s="6"/>
      <c r="Z5686" s="6"/>
      <c r="AA5686" s="6"/>
    </row>
    <row r="5687" ht="14.25">
      <c r="B5687" s="14" t="s">
        <v>36278</v>
      </c>
      <c r="C5687" s="4" t="s">
        <v>36279</v>
      </c>
      <c r="D5687" s="4" t="s">
        <v>36280</v>
      </c>
      <c r="E5687" s="4" t="s">
        <v>36281</v>
      </c>
      <c r="F5687" s="4" t="s">
        <v>33644</v>
      </c>
      <c r="G5687" s="4" t="s">
        <v>36282</v>
      </c>
      <c r="H5687" s="6"/>
      <c r="I5687" s="6"/>
      <c r="J5687" s="6"/>
      <c r="K5687" s="6"/>
      <c r="L5687" s="6"/>
      <c r="M5687" s="6"/>
      <c r="N5687" s="6"/>
      <c r="O5687" s="6"/>
      <c r="P5687" s="6"/>
      <c r="Q5687" s="6"/>
      <c r="R5687" s="6"/>
      <c r="S5687" s="6"/>
      <c r="T5687" s="6"/>
      <c r="U5687" s="6"/>
      <c r="V5687" s="6"/>
      <c r="W5687" s="6"/>
      <c r="X5687" s="6"/>
      <c r="Y5687" s="6"/>
      <c r="Z5687" s="6"/>
      <c r="AA5687" s="6"/>
    </row>
    <row r="5688" ht="14.25">
      <c r="B5688" s="14" t="s">
        <v>36278</v>
      </c>
      <c r="C5688" s="4" t="s">
        <v>36279</v>
      </c>
      <c r="D5688" s="4" t="s">
        <v>36281</v>
      </c>
      <c r="E5688" s="6"/>
      <c r="F5688" s="4" t="s">
        <v>36283</v>
      </c>
      <c r="G5688" s="4" t="s">
        <v>36284</v>
      </c>
      <c r="H5688" s="6"/>
      <c r="I5688" s="6"/>
      <c r="J5688" s="6"/>
      <c r="K5688" s="6"/>
      <c r="L5688" s="6"/>
      <c r="M5688" s="6"/>
      <c r="N5688" s="6"/>
      <c r="O5688" s="6"/>
      <c r="P5688" s="6"/>
      <c r="Q5688" s="6"/>
      <c r="R5688" s="6"/>
      <c r="S5688" s="6"/>
      <c r="T5688" s="6"/>
      <c r="U5688" s="6"/>
      <c r="V5688" s="6"/>
      <c r="W5688" s="6"/>
      <c r="X5688" s="6"/>
      <c r="Y5688" s="6"/>
      <c r="Z5688" s="6"/>
      <c r="AA5688" s="6"/>
    </row>
    <row r="5689" ht="14.25">
      <c r="B5689" s="14" t="s">
        <v>36285</v>
      </c>
      <c r="C5689" s="4" t="s">
        <v>36286</v>
      </c>
      <c r="D5689" s="4" t="s">
        <v>36287</v>
      </c>
      <c r="E5689" s="6"/>
      <c r="F5689" s="4" t="s">
        <v>32579</v>
      </c>
      <c r="G5689" s="4" t="s">
        <v>35662</v>
      </c>
      <c r="H5689" s="6"/>
      <c r="I5689" s="6"/>
      <c r="J5689" s="6"/>
      <c r="K5689" s="6"/>
      <c r="L5689" s="6"/>
      <c r="M5689" s="6"/>
      <c r="N5689" s="6"/>
      <c r="O5689" s="6"/>
      <c r="P5689" s="6"/>
      <c r="Q5689" s="6"/>
      <c r="R5689" s="6"/>
      <c r="S5689" s="6"/>
      <c r="T5689" s="6"/>
      <c r="U5689" s="6"/>
      <c r="V5689" s="6"/>
      <c r="W5689" s="6"/>
      <c r="X5689" s="6"/>
      <c r="Y5689" s="6"/>
      <c r="Z5689" s="6"/>
      <c r="AA5689" s="6"/>
    </row>
    <row r="5690" ht="14.25">
      <c r="B5690" s="14" t="s">
        <v>36285</v>
      </c>
      <c r="C5690" s="4" t="s">
        <v>36286</v>
      </c>
      <c r="D5690" s="4" t="s">
        <v>36288</v>
      </c>
      <c r="E5690" s="4" t="s">
        <v>36287</v>
      </c>
      <c r="F5690" s="4" t="s">
        <v>32548</v>
      </c>
      <c r="G5690" s="4" t="s">
        <v>36289</v>
      </c>
      <c r="H5690" s="6"/>
      <c r="I5690" s="6"/>
      <c r="J5690" s="6"/>
      <c r="K5690" s="6"/>
      <c r="L5690" s="6"/>
      <c r="M5690" s="6"/>
      <c r="N5690" s="6"/>
      <c r="O5690" s="6"/>
      <c r="P5690" s="6"/>
      <c r="Q5690" s="6"/>
      <c r="R5690" s="6"/>
      <c r="S5690" s="6"/>
      <c r="T5690" s="6"/>
      <c r="U5690" s="6"/>
      <c r="V5690" s="6"/>
      <c r="W5690" s="6"/>
      <c r="X5690" s="6"/>
      <c r="Y5690" s="6"/>
      <c r="Z5690" s="6"/>
      <c r="AA5690" s="6"/>
    </row>
    <row r="5691" ht="14.25">
      <c r="B5691" s="14" t="s">
        <v>36285</v>
      </c>
      <c r="C5691" s="4" t="s">
        <v>36286</v>
      </c>
      <c r="D5691" s="4" t="s">
        <v>36290</v>
      </c>
      <c r="E5691" s="4" t="s">
        <v>36287</v>
      </c>
      <c r="F5691" s="4" t="s">
        <v>36291</v>
      </c>
      <c r="G5691" s="4" t="s">
        <v>32868</v>
      </c>
      <c r="H5691" s="6"/>
      <c r="I5691" s="6"/>
      <c r="J5691" s="6"/>
      <c r="K5691" s="6"/>
      <c r="L5691" s="6"/>
      <c r="M5691" s="6"/>
      <c r="N5691" s="6"/>
      <c r="O5691" s="6"/>
      <c r="P5691" s="6"/>
      <c r="Q5691" s="6"/>
      <c r="R5691" s="6"/>
      <c r="S5691" s="6"/>
      <c r="T5691" s="6"/>
      <c r="U5691" s="6"/>
      <c r="V5691" s="6"/>
      <c r="W5691" s="6"/>
      <c r="X5691" s="6"/>
      <c r="Y5691" s="6"/>
      <c r="Z5691" s="6"/>
      <c r="AA5691" s="6"/>
    </row>
    <row r="5692" ht="14.25">
      <c r="B5692" s="14" t="s">
        <v>36285</v>
      </c>
      <c r="C5692" s="4" t="s">
        <v>36286</v>
      </c>
      <c r="D5692" s="4" t="s">
        <v>36287</v>
      </c>
      <c r="E5692" s="6"/>
      <c r="F5692" s="4" t="s">
        <v>32579</v>
      </c>
      <c r="G5692" s="4" t="s">
        <v>35662</v>
      </c>
      <c r="H5692" s="6"/>
      <c r="I5692" s="6"/>
      <c r="J5692" s="6"/>
      <c r="K5692" s="6"/>
      <c r="L5692" s="6"/>
      <c r="M5692" s="6"/>
      <c r="N5692" s="6"/>
      <c r="O5692" s="6"/>
      <c r="P5692" s="6"/>
      <c r="Q5692" s="6"/>
      <c r="R5692" s="6"/>
      <c r="S5692" s="6"/>
      <c r="T5692" s="6"/>
      <c r="U5692" s="6"/>
      <c r="V5692" s="6"/>
      <c r="W5692" s="6"/>
      <c r="X5692" s="6"/>
      <c r="Y5692" s="6"/>
      <c r="Z5692" s="6"/>
      <c r="AA5692" s="6"/>
    </row>
    <row r="5693" ht="14.25">
      <c r="B5693" s="14" t="s">
        <v>36285</v>
      </c>
      <c r="C5693" s="4" t="s">
        <v>36292</v>
      </c>
      <c r="D5693" s="4" t="s">
        <v>36293</v>
      </c>
      <c r="E5693" s="4" t="s">
        <v>36294</v>
      </c>
      <c r="F5693" s="4" t="s">
        <v>2462</v>
      </c>
      <c r="G5693" s="4" t="s">
        <v>36295</v>
      </c>
      <c r="H5693" s="6"/>
      <c r="I5693" s="6"/>
      <c r="J5693" s="6"/>
      <c r="K5693" s="6"/>
      <c r="L5693" s="6"/>
      <c r="M5693" s="6"/>
      <c r="N5693" s="6"/>
      <c r="O5693" s="6"/>
      <c r="P5693" s="6"/>
      <c r="Q5693" s="6"/>
      <c r="R5693" s="6"/>
      <c r="S5693" s="6"/>
      <c r="T5693" s="6"/>
      <c r="U5693" s="6"/>
      <c r="V5693" s="6"/>
      <c r="W5693" s="6"/>
      <c r="X5693" s="6"/>
      <c r="Y5693" s="6"/>
      <c r="Z5693" s="6"/>
      <c r="AA5693" s="6"/>
    </row>
    <row r="5694" ht="14.25">
      <c r="B5694" s="14" t="s">
        <v>36285</v>
      </c>
      <c r="C5694" s="4" t="s">
        <v>36286</v>
      </c>
      <c r="D5694" s="4" t="s">
        <v>36296</v>
      </c>
      <c r="E5694" s="4" t="s">
        <v>36287</v>
      </c>
      <c r="F5694" s="4" t="s">
        <v>36297</v>
      </c>
      <c r="G5694" s="4" t="s">
        <v>36298</v>
      </c>
      <c r="H5694" s="6"/>
      <c r="I5694" s="6"/>
      <c r="J5694" s="6"/>
      <c r="K5694" s="6"/>
      <c r="L5694" s="6"/>
      <c r="M5694" s="6"/>
      <c r="N5694" s="6"/>
      <c r="O5694" s="6"/>
      <c r="P5694" s="6"/>
      <c r="Q5694" s="6"/>
      <c r="R5694" s="6"/>
      <c r="S5694" s="6"/>
      <c r="T5694" s="6"/>
      <c r="U5694" s="6"/>
      <c r="V5694" s="6"/>
      <c r="W5694" s="6"/>
      <c r="X5694" s="6"/>
      <c r="Y5694" s="6"/>
      <c r="Z5694" s="6"/>
      <c r="AA5694" s="6"/>
    </row>
    <row r="5695" ht="14.25">
      <c r="B5695" s="14" t="s">
        <v>36285</v>
      </c>
      <c r="C5695" s="4" t="s">
        <v>36292</v>
      </c>
      <c r="D5695" s="4" t="s">
        <v>36299</v>
      </c>
      <c r="E5695" s="4" t="s">
        <v>36294</v>
      </c>
      <c r="F5695" s="4" t="s">
        <v>3164</v>
      </c>
      <c r="G5695" s="4" t="s">
        <v>36300</v>
      </c>
      <c r="H5695" s="6"/>
      <c r="I5695" s="6"/>
      <c r="J5695" s="6"/>
      <c r="K5695" s="6"/>
      <c r="L5695" s="6"/>
      <c r="M5695" s="6"/>
      <c r="N5695" s="6"/>
      <c r="O5695" s="6"/>
      <c r="P5695" s="6"/>
      <c r="Q5695" s="6"/>
      <c r="R5695" s="6"/>
      <c r="S5695" s="6"/>
      <c r="T5695" s="6"/>
      <c r="U5695" s="6"/>
      <c r="V5695" s="6"/>
      <c r="W5695" s="6"/>
      <c r="X5695" s="6"/>
      <c r="Y5695" s="6"/>
      <c r="Z5695" s="6"/>
      <c r="AA5695" s="6"/>
    </row>
    <row r="5696" ht="14.25">
      <c r="B5696" s="14" t="s">
        <v>36285</v>
      </c>
      <c r="C5696" s="4" t="s">
        <v>36286</v>
      </c>
      <c r="D5696" s="4" t="s">
        <v>36301</v>
      </c>
      <c r="E5696" s="4" t="s">
        <v>36287</v>
      </c>
      <c r="F5696" s="4" t="s">
        <v>36302</v>
      </c>
      <c r="G5696" s="4" t="s">
        <v>32868</v>
      </c>
      <c r="H5696" s="6"/>
      <c r="I5696" s="6"/>
      <c r="J5696" s="6"/>
      <c r="K5696" s="6"/>
      <c r="L5696" s="6"/>
      <c r="M5696" s="6"/>
      <c r="N5696" s="6"/>
      <c r="O5696" s="6"/>
      <c r="P5696" s="6"/>
      <c r="Q5696" s="6"/>
      <c r="R5696" s="6"/>
      <c r="S5696" s="6"/>
      <c r="T5696" s="6"/>
      <c r="U5696" s="6"/>
      <c r="V5696" s="6"/>
      <c r="W5696" s="6"/>
      <c r="X5696" s="6"/>
      <c r="Y5696" s="6"/>
      <c r="Z5696" s="6"/>
      <c r="AA5696" s="6"/>
    </row>
    <row r="5697" ht="14.25">
      <c r="B5697" s="14" t="s">
        <v>36303</v>
      </c>
      <c r="C5697" s="4" t="s">
        <v>36304</v>
      </c>
      <c r="D5697" s="4" t="s">
        <v>36305</v>
      </c>
      <c r="E5697" s="6"/>
      <c r="F5697" s="4" t="s">
        <v>32891</v>
      </c>
      <c r="G5697" s="4" t="s">
        <v>36306</v>
      </c>
      <c r="H5697" s="6"/>
      <c r="I5697" s="6"/>
      <c r="J5697" s="6"/>
      <c r="K5697" s="6"/>
      <c r="L5697" s="6"/>
      <c r="M5697" s="6"/>
      <c r="N5697" s="6"/>
      <c r="O5697" s="4"/>
      <c r="P5697" s="6"/>
      <c r="Q5697" s="6"/>
      <c r="R5697" s="6"/>
      <c r="S5697" s="6"/>
      <c r="T5697" s="6"/>
      <c r="U5697" s="6"/>
      <c r="V5697" s="6"/>
      <c r="W5697" s="6"/>
      <c r="X5697" s="6"/>
      <c r="Y5697" s="6"/>
      <c r="Z5697" s="6"/>
      <c r="AA5697" s="6"/>
    </row>
    <row r="5698" ht="14.25">
      <c r="B5698" s="14" t="s">
        <v>36307</v>
      </c>
      <c r="C5698" s="4" t="s">
        <v>36308</v>
      </c>
      <c r="D5698" s="4" t="s">
        <v>36309</v>
      </c>
      <c r="E5698" s="4" t="s">
        <v>36310</v>
      </c>
      <c r="F5698" s="4" t="s">
        <v>36311</v>
      </c>
      <c r="G5698" s="4" t="s">
        <v>36312</v>
      </c>
      <c r="H5698" s="6"/>
      <c r="I5698" s="6"/>
      <c r="J5698" s="6"/>
      <c r="K5698" s="6"/>
      <c r="L5698" s="6"/>
      <c r="M5698" s="6"/>
      <c r="N5698" s="6"/>
      <c r="O5698" s="6"/>
      <c r="P5698" s="6"/>
      <c r="Q5698" s="6"/>
      <c r="R5698" s="6"/>
      <c r="S5698" s="6"/>
      <c r="T5698" s="6"/>
      <c r="U5698" s="6"/>
      <c r="V5698" s="6"/>
      <c r="W5698" s="6"/>
      <c r="X5698" s="6"/>
      <c r="Y5698" s="6"/>
      <c r="Z5698" s="6"/>
      <c r="AA5698" s="6"/>
    </row>
    <row r="5699" ht="14.25">
      <c r="B5699" s="14" t="s">
        <v>36307</v>
      </c>
      <c r="C5699" s="4" t="s">
        <v>36308</v>
      </c>
      <c r="D5699" s="4" t="s">
        <v>36313</v>
      </c>
      <c r="E5699" s="4" t="s">
        <v>36310</v>
      </c>
      <c r="F5699" s="4" t="s">
        <v>95</v>
      </c>
      <c r="G5699" s="4" t="s">
        <v>34625</v>
      </c>
      <c r="H5699" s="6"/>
      <c r="I5699" s="6"/>
      <c r="J5699" s="6"/>
      <c r="K5699" s="6"/>
      <c r="L5699" s="6"/>
      <c r="M5699" s="6"/>
      <c r="N5699" s="6"/>
      <c r="O5699" s="6"/>
      <c r="P5699" s="6"/>
      <c r="Q5699" s="6"/>
      <c r="R5699" s="6"/>
      <c r="S5699" s="6"/>
      <c r="T5699" s="6"/>
      <c r="U5699" s="6"/>
      <c r="V5699" s="6"/>
      <c r="W5699" s="6"/>
      <c r="X5699" s="6"/>
      <c r="Y5699" s="6"/>
      <c r="Z5699" s="6"/>
      <c r="AA5699" s="6"/>
    </row>
    <row r="5700" ht="14.25">
      <c r="B5700" s="14" t="s">
        <v>36314</v>
      </c>
      <c r="C5700" s="4" t="s">
        <v>36315</v>
      </c>
      <c r="D5700" s="4" t="s">
        <v>36316</v>
      </c>
      <c r="E5700" s="6"/>
      <c r="F5700" s="4" t="s">
        <v>24071</v>
      </c>
      <c r="G5700" s="4" t="s">
        <v>36317</v>
      </c>
      <c r="H5700" s="6"/>
      <c r="I5700" s="6"/>
      <c r="J5700" s="6"/>
      <c r="K5700" s="6"/>
      <c r="L5700" s="6"/>
      <c r="M5700" s="6"/>
      <c r="N5700" s="6"/>
      <c r="O5700" s="6"/>
      <c r="P5700" s="6"/>
      <c r="Q5700" s="6"/>
      <c r="R5700" s="6"/>
      <c r="S5700" s="6"/>
      <c r="T5700" s="6"/>
      <c r="U5700" s="6"/>
      <c r="V5700" s="6"/>
      <c r="W5700" s="6"/>
      <c r="X5700" s="6"/>
      <c r="Y5700" s="6"/>
      <c r="Z5700" s="6"/>
      <c r="AA5700" s="6"/>
    </row>
    <row r="5701" ht="14.25">
      <c r="B5701" s="14" t="s">
        <v>36318</v>
      </c>
      <c r="C5701" s="4" t="s">
        <v>36319</v>
      </c>
      <c r="D5701" s="4" t="s">
        <v>36320</v>
      </c>
      <c r="E5701" s="4" t="s">
        <v>36321</v>
      </c>
      <c r="F5701" s="4" t="s">
        <v>36322</v>
      </c>
      <c r="G5701" s="4" t="s">
        <v>36323</v>
      </c>
      <c r="H5701" s="6"/>
      <c r="I5701" s="6"/>
      <c r="J5701" s="6"/>
      <c r="K5701" s="6"/>
      <c r="L5701" s="6"/>
      <c r="M5701" s="6"/>
      <c r="N5701" s="6"/>
      <c r="O5701" s="6"/>
      <c r="P5701" s="6"/>
      <c r="Q5701" s="6"/>
      <c r="R5701" s="6"/>
      <c r="S5701" s="6"/>
      <c r="T5701" s="6"/>
      <c r="U5701" s="6"/>
      <c r="V5701" s="6"/>
      <c r="W5701" s="6"/>
      <c r="X5701" s="6"/>
      <c r="Y5701" s="6"/>
      <c r="Z5701" s="6"/>
      <c r="AA5701" s="6"/>
    </row>
    <row r="5702" ht="14.25">
      <c r="B5702" s="14" t="s">
        <v>36324</v>
      </c>
      <c r="C5702" s="4" t="s">
        <v>36325</v>
      </c>
      <c r="D5702" s="4" t="s">
        <v>36326</v>
      </c>
      <c r="E5702" s="4" t="s">
        <v>36327</v>
      </c>
      <c r="F5702" s="4" t="s">
        <v>330</v>
      </c>
      <c r="G5702" s="4" t="s">
        <v>36328</v>
      </c>
      <c r="H5702" s="6"/>
      <c r="I5702" s="6"/>
      <c r="J5702" s="6"/>
      <c r="K5702" s="6"/>
      <c r="L5702" s="6"/>
      <c r="M5702" s="6"/>
      <c r="N5702" s="6"/>
      <c r="O5702" s="6"/>
      <c r="P5702" s="6"/>
      <c r="Q5702" s="6"/>
      <c r="R5702" s="6"/>
      <c r="S5702" s="6"/>
      <c r="T5702" s="6"/>
      <c r="U5702" s="6"/>
      <c r="V5702" s="6"/>
      <c r="W5702" s="6"/>
      <c r="X5702" s="6"/>
      <c r="Y5702" s="6"/>
      <c r="Z5702" s="6"/>
      <c r="AA5702" s="6"/>
    </row>
    <row r="5703" ht="14.25">
      <c r="B5703" s="14" t="s">
        <v>36324</v>
      </c>
      <c r="C5703" s="4" t="s">
        <v>36325</v>
      </c>
      <c r="D5703" s="4" t="s">
        <v>36329</v>
      </c>
      <c r="E5703" s="4" t="s">
        <v>36327</v>
      </c>
      <c r="F5703" s="4" t="s">
        <v>33712</v>
      </c>
      <c r="G5703" s="4" t="s">
        <v>36330</v>
      </c>
      <c r="H5703" s="6"/>
      <c r="I5703" s="6"/>
      <c r="J5703" s="6"/>
      <c r="K5703" s="6"/>
      <c r="L5703" s="6"/>
      <c r="M5703" s="6"/>
      <c r="N5703" s="6"/>
      <c r="O5703" s="6"/>
      <c r="P5703" s="6"/>
      <c r="Q5703" s="6"/>
      <c r="R5703" s="6"/>
      <c r="S5703" s="6"/>
      <c r="T5703" s="6"/>
      <c r="U5703" s="6"/>
      <c r="V5703" s="6"/>
      <c r="W5703" s="6"/>
      <c r="X5703" s="6"/>
      <c r="Y5703" s="6"/>
      <c r="Z5703" s="6"/>
      <c r="AA5703" s="6"/>
    </row>
    <row r="5704" ht="14.25">
      <c r="B5704" s="14" t="s">
        <v>36331</v>
      </c>
      <c r="C5704" s="4" t="s">
        <v>36332</v>
      </c>
      <c r="D5704" s="4" t="s">
        <v>36333</v>
      </c>
      <c r="E5704" s="4" t="s">
        <v>36334</v>
      </c>
      <c r="F5704" s="4" t="s">
        <v>808</v>
      </c>
      <c r="G5704" s="4" t="s">
        <v>36335</v>
      </c>
      <c r="H5704" s="6"/>
      <c r="I5704" s="6"/>
      <c r="J5704" s="6"/>
      <c r="K5704" s="6"/>
      <c r="L5704" s="6"/>
      <c r="M5704" s="6"/>
      <c r="N5704" s="6"/>
      <c r="O5704" s="6"/>
      <c r="P5704" s="6"/>
      <c r="Q5704" s="6"/>
      <c r="R5704" s="6"/>
      <c r="S5704" s="6"/>
      <c r="T5704" s="6"/>
      <c r="U5704" s="6"/>
      <c r="V5704" s="6"/>
      <c r="W5704" s="6"/>
      <c r="X5704" s="6"/>
      <c r="Y5704" s="6"/>
      <c r="Z5704" s="6"/>
      <c r="AA5704" s="6"/>
    </row>
    <row r="5705" ht="14.25">
      <c r="B5705" s="14" t="s">
        <v>36336</v>
      </c>
      <c r="C5705" s="4" t="s">
        <v>36337</v>
      </c>
      <c r="D5705" s="4" t="s">
        <v>36338</v>
      </c>
      <c r="E5705" s="4" t="s">
        <v>36339</v>
      </c>
      <c r="F5705" s="4" t="s">
        <v>33923</v>
      </c>
      <c r="G5705" s="4" t="s">
        <v>33863</v>
      </c>
      <c r="H5705" s="6"/>
      <c r="I5705" s="6"/>
      <c r="J5705" s="6"/>
      <c r="K5705" s="6"/>
      <c r="L5705" s="6"/>
      <c r="M5705" s="6"/>
      <c r="N5705" s="6"/>
      <c r="O5705" s="6"/>
      <c r="P5705" s="6"/>
      <c r="Q5705" s="6"/>
      <c r="R5705" s="6"/>
      <c r="S5705" s="6"/>
      <c r="T5705" s="6"/>
      <c r="U5705" s="6"/>
      <c r="V5705" s="6"/>
      <c r="W5705" s="6"/>
      <c r="X5705" s="6"/>
      <c r="Y5705" s="6"/>
      <c r="Z5705" s="6"/>
      <c r="AA5705" s="6"/>
    </row>
    <row r="5706" ht="14.25">
      <c r="B5706" s="14" t="s">
        <v>36336</v>
      </c>
      <c r="C5706" s="4" t="s">
        <v>36337</v>
      </c>
      <c r="D5706" s="4" t="s">
        <v>36340</v>
      </c>
      <c r="E5706" s="4" t="s">
        <v>36339</v>
      </c>
      <c r="F5706" s="4" t="s">
        <v>32622</v>
      </c>
      <c r="G5706" s="4" t="s">
        <v>36341</v>
      </c>
      <c r="H5706" s="6"/>
      <c r="I5706" s="6"/>
      <c r="J5706" s="6"/>
      <c r="K5706" s="6"/>
      <c r="L5706" s="6"/>
      <c r="M5706" s="6"/>
      <c r="N5706" s="6"/>
      <c r="O5706" s="6"/>
      <c r="P5706" s="6"/>
      <c r="Q5706" s="6"/>
      <c r="R5706" s="6"/>
      <c r="S5706" s="6"/>
      <c r="T5706" s="6"/>
      <c r="U5706" s="6"/>
      <c r="V5706" s="6"/>
      <c r="W5706" s="6"/>
      <c r="X5706" s="6"/>
      <c r="Y5706" s="6"/>
      <c r="Z5706" s="6"/>
      <c r="AA5706" s="6"/>
    </row>
    <row r="5707" ht="14.25">
      <c r="B5707" s="14" t="s">
        <v>36342</v>
      </c>
      <c r="C5707" s="4" t="s">
        <v>36343</v>
      </c>
      <c r="D5707" s="4" t="s">
        <v>36344</v>
      </c>
      <c r="E5707" s="6"/>
      <c r="F5707" s="4" t="s">
        <v>808</v>
      </c>
      <c r="G5707" s="4" t="s">
        <v>36345</v>
      </c>
      <c r="H5707" s="6"/>
      <c r="I5707" s="6"/>
      <c r="J5707" s="6"/>
      <c r="K5707" s="6"/>
      <c r="L5707" s="6"/>
      <c r="M5707" s="6"/>
      <c r="N5707" s="6"/>
      <c r="O5707" s="6"/>
      <c r="P5707" s="6"/>
      <c r="Q5707" s="6"/>
      <c r="R5707" s="6"/>
      <c r="S5707" s="6"/>
      <c r="T5707" s="6"/>
      <c r="U5707" s="6"/>
      <c r="V5707" s="6"/>
      <c r="W5707" s="6"/>
      <c r="X5707" s="6"/>
      <c r="Y5707" s="6"/>
      <c r="Z5707" s="6"/>
      <c r="AA5707" s="6"/>
    </row>
    <row r="5708" ht="14.25">
      <c r="B5708" s="14" t="s">
        <v>36342</v>
      </c>
      <c r="C5708" s="4" t="s">
        <v>36346</v>
      </c>
      <c r="D5708" s="4" t="s">
        <v>36347</v>
      </c>
      <c r="E5708" s="4" t="s">
        <v>36348</v>
      </c>
      <c r="F5708" s="4" t="s">
        <v>866</v>
      </c>
      <c r="G5708" s="4" t="s">
        <v>36349</v>
      </c>
      <c r="H5708" s="6"/>
      <c r="I5708" s="6"/>
      <c r="J5708" s="6"/>
      <c r="K5708" s="6"/>
      <c r="L5708" s="6"/>
      <c r="M5708" s="6"/>
      <c r="N5708" s="6"/>
      <c r="O5708" s="6"/>
      <c r="P5708" s="6"/>
      <c r="Q5708" s="6"/>
      <c r="R5708" s="6"/>
      <c r="S5708" s="6"/>
      <c r="T5708" s="6"/>
      <c r="U5708" s="6"/>
      <c r="V5708" s="6"/>
      <c r="W5708" s="6"/>
      <c r="X5708" s="6"/>
      <c r="Y5708" s="6"/>
      <c r="Z5708" s="6"/>
      <c r="AA5708" s="6"/>
    </row>
    <row r="5709" ht="14.25">
      <c r="B5709" s="14" t="s">
        <v>36342</v>
      </c>
      <c r="C5709" s="4" t="s">
        <v>36346</v>
      </c>
      <c r="D5709" s="4" t="s">
        <v>36350</v>
      </c>
      <c r="E5709" s="4" t="s">
        <v>36348</v>
      </c>
      <c r="F5709" s="4" t="s">
        <v>5103</v>
      </c>
      <c r="G5709" s="4" t="s">
        <v>36351</v>
      </c>
      <c r="H5709" s="6"/>
      <c r="I5709" s="6"/>
      <c r="J5709" s="6"/>
      <c r="K5709" s="6"/>
      <c r="L5709" s="6"/>
      <c r="M5709" s="6"/>
      <c r="N5709" s="6"/>
      <c r="O5709" s="6"/>
      <c r="P5709" s="6"/>
      <c r="Q5709" s="6"/>
      <c r="R5709" s="6"/>
      <c r="S5709" s="6"/>
      <c r="T5709" s="6"/>
      <c r="U5709" s="6"/>
      <c r="V5709" s="6"/>
      <c r="W5709" s="6"/>
      <c r="X5709" s="6"/>
      <c r="Y5709" s="6"/>
      <c r="Z5709" s="6"/>
      <c r="AA5709" s="6"/>
    </row>
    <row r="5710" ht="14.25">
      <c r="B5710" s="14" t="s">
        <v>36342</v>
      </c>
      <c r="C5710" s="4" t="s">
        <v>36346</v>
      </c>
      <c r="D5710" s="4" t="s">
        <v>36352</v>
      </c>
      <c r="E5710" s="4" t="s">
        <v>36348</v>
      </c>
      <c r="F5710" s="4" t="s">
        <v>1215</v>
      </c>
      <c r="G5710" s="4" t="s">
        <v>36353</v>
      </c>
      <c r="H5710" s="6"/>
      <c r="I5710" s="6"/>
      <c r="J5710" s="6"/>
      <c r="K5710" s="6"/>
      <c r="L5710" s="6"/>
      <c r="M5710" s="6"/>
      <c r="N5710" s="6"/>
      <c r="O5710" s="6"/>
      <c r="P5710" s="6"/>
      <c r="Q5710" s="6"/>
      <c r="R5710" s="6"/>
      <c r="S5710" s="6"/>
      <c r="T5710" s="6"/>
      <c r="U5710" s="6"/>
      <c r="V5710" s="6"/>
      <c r="W5710" s="6"/>
      <c r="X5710" s="6"/>
      <c r="Y5710" s="6"/>
      <c r="Z5710" s="6"/>
      <c r="AA5710" s="6"/>
    </row>
    <row r="5711" ht="14.25">
      <c r="B5711" s="14" t="s">
        <v>36354</v>
      </c>
      <c r="C5711" s="4" t="s">
        <v>36355</v>
      </c>
      <c r="D5711" s="4" t="s">
        <v>36356</v>
      </c>
      <c r="E5711" s="6"/>
      <c r="F5711" s="4" t="s">
        <v>866</v>
      </c>
      <c r="G5711" s="4" t="s">
        <v>36357</v>
      </c>
      <c r="H5711" s="6"/>
      <c r="I5711" s="6"/>
      <c r="J5711" s="6"/>
      <c r="K5711" s="6"/>
      <c r="L5711" s="6"/>
      <c r="M5711" s="6"/>
      <c r="N5711" s="6"/>
      <c r="O5711" s="6"/>
      <c r="P5711" s="6"/>
      <c r="Q5711" s="6"/>
      <c r="R5711" s="6"/>
      <c r="S5711" s="6"/>
      <c r="T5711" s="6"/>
      <c r="U5711" s="6"/>
      <c r="V5711" s="6"/>
      <c r="W5711" s="6"/>
      <c r="X5711" s="6"/>
      <c r="Y5711" s="6"/>
      <c r="Z5711" s="6"/>
      <c r="AA5711" s="6"/>
    </row>
    <row r="5712" ht="14.25">
      <c r="B5712" s="14" t="s">
        <v>36354</v>
      </c>
      <c r="C5712" s="4" t="s">
        <v>36355</v>
      </c>
      <c r="D5712" s="4" t="s">
        <v>36358</v>
      </c>
      <c r="E5712" s="4" t="s">
        <v>36356</v>
      </c>
      <c r="F5712" s="4" t="s">
        <v>36359</v>
      </c>
      <c r="G5712" s="4" t="s">
        <v>36360</v>
      </c>
      <c r="H5712" s="6"/>
      <c r="I5712" s="6"/>
      <c r="J5712" s="6"/>
      <c r="K5712" s="6"/>
      <c r="L5712" s="6"/>
      <c r="M5712" s="6"/>
      <c r="N5712" s="6"/>
      <c r="O5712" s="6"/>
      <c r="P5712" s="6"/>
      <c r="Q5712" s="6"/>
      <c r="R5712" s="6"/>
      <c r="S5712" s="6"/>
      <c r="T5712" s="6"/>
      <c r="U5712" s="6"/>
      <c r="V5712" s="6"/>
      <c r="W5712" s="6"/>
      <c r="X5712" s="6"/>
      <c r="Y5712" s="6"/>
      <c r="Z5712" s="6"/>
      <c r="AA5712" s="6"/>
    </row>
    <row r="5713" ht="14.25">
      <c r="B5713" s="14" t="s">
        <v>36361</v>
      </c>
      <c r="C5713" s="4" t="s">
        <v>36362</v>
      </c>
      <c r="D5713" s="4" t="s">
        <v>36363</v>
      </c>
      <c r="E5713" s="4" t="s">
        <v>36364</v>
      </c>
      <c r="F5713" s="4" t="s">
        <v>994</v>
      </c>
      <c r="G5713" s="4" t="s">
        <v>36365</v>
      </c>
      <c r="H5713" s="6"/>
      <c r="I5713" s="6"/>
      <c r="J5713" s="6"/>
      <c r="K5713" s="6"/>
      <c r="L5713" s="6"/>
      <c r="M5713" s="6"/>
      <c r="N5713" s="6"/>
      <c r="O5713" s="6"/>
      <c r="P5713" s="6"/>
      <c r="Q5713" s="6"/>
      <c r="R5713" s="6"/>
      <c r="S5713" s="6"/>
      <c r="T5713" s="6"/>
      <c r="U5713" s="6"/>
      <c r="V5713" s="6"/>
      <c r="W5713" s="6"/>
      <c r="X5713" s="6"/>
      <c r="Y5713" s="6"/>
      <c r="Z5713" s="6"/>
      <c r="AA5713" s="6"/>
    </row>
    <row r="5714" ht="14.25">
      <c r="B5714" s="14" t="s">
        <v>36366</v>
      </c>
      <c r="C5714" s="4" t="s">
        <v>36367</v>
      </c>
      <c r="D5714" s="4" t="s">
        <v>36368</v>
      </c>
      <c r="E5714" s="4" t="s">
        <v>36369</v>
      </c>
      <c r="F5714" s="4" t="s">
        <v>1353</v>
      </c>
      <c r="G5714" s="4" t="s">
        <v>36370</v>
      </c>
      <c r="H5714" s="6"/>
      <c r="I5714" s="6"/>
      <c r="J5714" s="6"/>
      <c r="K5714" s="6"/>
      <c r="L5714" s="6"/>
      <c r="M5714" s="6"/>
      <c r="N5714" s="6"/>
      <c r="O5714" s="6"/>
      <c r="P5714" s="6"/>
      <c r="Q5714" s="6"/>
      <c r="R5714" s="6"/>
      <c r="S5714" s="6"/>
      <c r="T5714" s="6"/>
      <c r="U5714" s="6"/>
      <c r="V5714" s="6"/>
      <c r="W5714" s="6"/>
      <c r="X5714" s="6"/>
      <c r="Y5714" s="6"/>
      <c r="Z5714" s="6"/>
      <c r="AA5714" s="6"/>
    </row>
    <row r="5715" ht="14.25">
      <c r="B5715" s="14" t="s">
        <v>36366</v>
      </c>
      <c r="C5715" s="4" t="s">
        <v>36367</v>
      </c>
      <c r="D5715" s="4" t="s">
        <v>36371</v>
      </c>
      <c r="E5715" s="4" t="s">
        <v>36369</v>
      </c>
      <c r="F5715" s="4" t="s">
        <v>32616</v>
      </c>
      <c r="G5715" s="4" t="s">
        <v>36372</v>
      </c>
      <c r="H5715" s="6"/>
      <c r="I5715" s="6"/>
      <c r="J5715" s="6"/>
      <c r="K5715" s="6"/>
      <c r="L5715" s="6"/>
      <c r="M5715" s="6"/>
      <c r="N5715" s="6"/>
      <c r="O5715" s="6"/>
      <c r="P5715" s="6"/>
      <c r="Q5715" s="6"/>
      <c r="R5715" s="6"/>
      <c r="S5715" s="6"/>
      <c r="T5715" s="6"/>
      <c r="U5715" s="6"/>
      <c r="V5715" s="6"/>
      <c r="W5715" s="6"/>
      <c r="X5715" s="6"/>
      <c r="Y5715" s="6"/>
      <c r="Z5715" s="6"/>
      <c r="AA5715" s="6"/>
    </row>
    <row r="5716" ht="14.25">
      <c r="B5716" s="14" t="s">
        <v>36366</v>
      </c>
      <c r="C5716" s="4" t="s">
        <v>36373</v>
      </c>
      <c r="D5716" s="4" t="s">
        <v>36374</v>
      </c>
      <c r="E5716" s="4" t="s">
        <v>36375</v>
      </c>
      <c r="F5716" s="4" t="s">
        <v>33923</v>
      </c>
      <c r="G5716" s="4" t="s">
        <v>36376</v>
      </c>
      <c r="H5716" s="6"/>
      <c r="I5716" s="6"/>
      <c r="J5716" s="6"/>
      <c r="K5716" s="6"/>
      <c r="L5716" s="6"/>
      <c r="M5716" s="6"/>
      <c r="N5716" s="6"/>
      <c r="O5716" s="6"/>
      <c r="P5716" s="6"/>
      <c r="Q5716" s="6"/>
      <c r="R5716" s="6"/>
      <c r="S5716" s="6"/>
      <c r="T5716" s="6"/>
      <c r="U5716" s="6"/>
      <c r="V5716" s="6"/>
      <c r="W5716" s="6"/>
      <c r="X5716" s="6"/>
      <c r="Y5716" s="6"/>
      <c r="Z5716" s="6"/>
      <c r="AA5716" s="6"/>
    </row>
    <row r="5717" ht="14.25">
      <c r="B5717" s="14" t="s">
        <v>36366</v>
      </c>
      <c r="C5717" s="4" t="s">
        <v>36367</v>
      </c>
      <c r="D5717" s="4" t="s">
        <v>36377</v>
      </c>
      <c r="E5717" s="4" t="s">
        <v>36369</v>
      </c>
      <c r="F5717" s="4" t="s">
        <v>32725</v>
      </c>
      <c r="G5717" s="4" t="s">
        <v>36378</v>
      </c>
      <c r="H5717" s="6"/>
      <c r="I5717" s="6"/>
      <c r="J5717" s="6"/>
      <c r="K5717" s="6"/>
      <c r="L5717" s="6"/>
      <c r="M5717" s="6"/>
      <c r="N5717" s="6"/>
      <c r="O5717" s="6"/>
      <c r="P5717" s="6"/>
      <c r="Q5717" s="6"/>
      <c r="R5717" s="6"/>
      <c r="S5717" s="6"/>
      <c r="T5717" s="6"/>
      <c r="U5717" s="6"/>
      <c r="V5717" s="6"/>
      <c r="W5717" s="6"/>
      <c r="X5717" s="6"/>
      <c r="Y5717" s="6"/>
      <c r="Z5717" s="6"/>
      <c r="AA5717" s="6"/>
    </row>
    <row r="5718" ht="14.25">
      <c r="B5718" s="14" t="s">
        <v>36366</v>
      </c>
      <c r="C5718" s="4" t="s">
        <v>36373</v>
      </c>
      <c r="D5718" s="4" t="s">
        <v>36379</v>
      </c>
      <c r="E5718" s="4" t="s">
        <v>36375</v>
      </c>
      <c r="F5718" s="4" t="s">
        <v>5679</v>
      </c>
      <c r="G5718" s="4" t="s">
        <v>36380</v>
      </c>
      <c r="H5718" s="6"/>
      <c r="I5718" s="6"/>
      <c r="J5718" s="6"/>
      <c r="K5718" s="6"/>
      <c r="L5718" s="6"/>
      <c r="M5718" s="6"/>
      <c r="N5718" s="6"/>
      <c r="O5718" s="6"/>
      <c r="P5718" s="6"/>
      <c r="Q5718" s="6"/>
      <c r="R5718" s="6"/>
      <c r="S5718" s="6"/>
      <c r="T5718" s="6"/>
      <c r="U5718" s="6"/>
      <c r="V5718" s="6"/>
      <c r="W5718" s="6"/>
      <c r="X5718" s="6"/>
      <c r="Y5718" s="6"/>
      <c r="Z5718" s="6"/>
      <c r="AA5718" s="6"/>
    </row>
    <row r="5719" ht="14.25">
      <c r="B5719" s="14" t="s">
        <v>36381</v>
      </c>
      <c r="C5719" s="4" t="s">
        <v>36382</v>
      </c>
      <c r="D5719" s="4" t="s">
        <v>36383</v>
      </c>
      <c r="E5719" s="6"/>
      <c r="F5719" s="4" t="s">
        <v>33135</v>
      </c>
      <c r="G5719" s="4" t="s">
        <v>36384</v>
      </c>
      <c r="H5719" s="6"/>
      <c r="I5719" s="6"/>
      <c r="J5719" s="6"/>
      <c r="K5719" s="6"/>
      <c r="L5719" s="6"/>
      <c r="M5719" s="6"/>
      <c r="N5719" s="6"/>
      <c r="O5719" s="6"/>
      <c r="P5719" s="6"/>
      <c r="Q5719" s="6"/>
      <c r="R5719" s="6"/>
      <c r="S5719" s="6"/>
      <c r="T5719" s="6"/>
      <c r="U5719" s="6"/>
      <c r="V5719" s="6"/>
      <c r="W5719" s="6"/>
      <c r="X5719" s="6"/>
      <c r="Y5719" s="6"/>
      <c r="Z5719" s="6"/>
      <c r="AA5719" s="6"/>
    </row>
    <row r="5720" ht="14.25">
      <c r="B5720" s="14" t="s">
        <v>36385</v>
      </c>
      <c r="C5720" s="4" t="s">
        <v>36386</v>
      </c>
      <c r="D5720" s="4" t="s">
        <v>36387</v>
      </c>
      <c r="E5720" s="4" t="s">
        <v>36388</v>
      </c>
      <c r="F5720" s="4" t="s">
        <v>32579</v>
      </c>
      <c r="G5720" s="4" t="s">
        <v>36389</v>
      </c>
      <c r="H5720" s="6"/>
      <c r="I5720" s="6"/>
      <c r="J5720" s="6"/>
      <c r="K5720" s="6"/>
      <c r="L5720" s="6"/>
      <c r="M5720" s="6"/>
      <c r="N5720" s="6"/>
      <c r="O5720" s="6"/>
      <c r="P5720" s="6"/>
      <c r="Q5720" s="6"/>
      <c r="R5720" s="6"/>
      <c r="S5720" s="6"/>
      <c r="T5720" s="6"/>
      <c r="U5720" s="6"/>
      <c r="V5720" s="6"/>
      <c r="W5720" s="6"/>
      <c r="X5720" s="6"/>
      <c r="Y5720" s="6"/>
      <c r="Z5720" s="6"/>
      <c r="AA5720" s="6"/>
    </row>
    <row r="5721" ht="14.25">
      <c r="B5721" s="14" t="s">
        <v>36390</v>
      </c>
      <c r="C5721" s="4" t="s">
        <v>36391</v>
      </c>
      <c r="D5721" s="4" t="s">
        <v>36392</v>
      </c>
      <c r="E5721" s="4" t="s">
        <v>36393</v>
      </c>
      <c r="F5721" s="4" t="s">
        <v>27569</v>
      </c>
      <c r="G5721" s="4" t="s">
        <v>36394</v>
      </c>
      <c r="H5721" s="6"/>
      <c r="I5721" s="6"/>
      <c r="J5721" s="6"/>
      <c r="K5721" s="6"/>
      <c r="L5721" s="6"/>
      <c r="M5721" s="6"/>
      <c r="N5721" s="6"/>
      <c r="O5721" s="6"/>
      <c r="P5721" s="6"/>
      <c r="Q5721" s="6"/>
      <c r="R5721" s="6"/>
      <c r="S5721" s="6"/>
      <c r="T5721" s="6"/>
      <c r="U5721" s="6"/>
      <c r="V5721" s="6"/>
      <c r="W5721" s="6"/>
      <c r="X5721" s="6"/>
      <c r="Y5721" s="6"/>
      <c r="Z5721" s="6"/>
      <c r="AA5721" s="6"/>
    </row>
    <row r="5722" ht="14.25">
      <c r="B5722" s="14" t="s">
        <v>36390</v>
      </c>
      <c r="C5722" s="4" t="s">
        <v>36395</v>
      </c>
      <c r="D5722" s="4" t="s">
        <v>36396</v>
      </c>
      <c r="E5722" s="6"/>
      <c r="F5722" s="4" t="s">
        <v>13010</v>
      </c>
      <c r="G5722" s="4" t="s">
        <v>36397</v>
      </c>
      <c r="H5722" s="6"/>
      <c r="I5722" s="6"/>
      <c r="J5722" s="6"/>
      <c r="K5722" s="6"/>
      <c r="L5722" s="6"/>
      <c r="M5722" s="6"/>
      <c r="N5722" s="6"/>
      <c r="O5722" s="6"/>
      <c r="P5722" s="6"/>
      <c r="Q5722" s="6"/>
      <c r="R5722" s="6"/>
      <c r="S5722" s="6"/>
      <c r="T5722" s="6"/>
      <c r="U5722" s="6"/>
      <c r="V5722" s="6"/>
      <c r="W5722" s="6"/>
      <c r="X5722" s="6"/>
      <c r="Y5722" s="6"/>
      <c r="Z5722" s="6"/>
      <c r="AA5722" s="6"/>
    </row>
    <row r="5723" ht="14.25">
      <c r="B5723" s="14" t="s">
        <v>36390</v>
      </c>
      <c r="C5723" s="4" t="s">
        <v>36398</v>
      </c>
      <c r="D5723" s="4" t="s">
        <v>36399</v>
      </c>
      <c r="E5723" s="4" t="s">
        <v>36400</v>
      </c>
      <c r="F5723" s="4" t="s">
        <v>4026</v>
      </c>
      <c r="G5723" s="4" t="s">
        <v>36401</v>
      </c>
      <c r="H5723" s="6"/>
      <c r="I5723" s="6"/>
      <c r="J5723" s="6"/>
      <c r="K5723" s="6"/>
      <c r="L5723" s="6"/>
      <c r="M5723" s="6"/>
      <c r="N5723" s="6"/>
      <c r="O5723" s="6"/>
      <c r="P5723" s="6"/>
      <c r="Q5723" s="6"/>
      <c r="R5723" s="6"/>
      <c r="S5723" s="6"/>
      <c r="T5723" s="6"/>
      <c r="U5723" s="6"/>
      <c r="V5723" s="6"/>
      <c r="W5723" s="6"/>
      <c r="X5723" s="6"/>
      <c r="Y5723" s="6"/>
      <c r="Z5723" s="6"/>
      <c r="AA5723" s="6"/>
    </row>
    <row r="5724" ht="14.25">
      <c r="B5724" s="14" t="s">
        <v>36390</v>
      </c>
      <c r="C5724" s="4" t="s">
        <v>36391</v>
      </c>
      <c r="D5724" s="4" t="s">
        <v>36402</v>
      </c>
      <c r="E5724" s="4" t="s">
        <v>36393</v>
      </c>
      <c r="F5724" s="4" t="s">
        <v>330</v>
      </c>
      <c r="G5724" s="4" t="s">
        <v>36403</v>
      </c>
      <c r="H5724" s="6"/>
      <c r="I5724" s="6"/>
      <c r="J5724" s="6"/>
      <c r="K5724" s="6"/>
      <c r="L5724" s="6"/>
      <c r="M5724" s="6"/>
      <c r="N5724" s="6"/>
      <c r="O5724" s="6"/>
      <c r="P5724" s="6"/>
      <c r="Q5724" s="6"/>
      <c r="R5724" s="6"/>
      <c r="S5724" s="6"/>
      <c r="T5724" s="6"/>
      <c r="U5724" s="6"/>
      <c r="V5724" s="6"/>
      <c r="W5724" s="6"/>
      <c r="X5724" s="6"/>
      <c r="Y5724" s="6"/>
      <c r="Z5724" s="6"/>
      <c r="AA5724" s="6"/>
    </row>
    <row r="5725" ht="14.25">
      <c r="B5725" s="14" t="s">
        <v>36390</v>
      </c>
      <c r="C5725" s="4" t="s">
        <v>36404</v>
      </c>
      <c r="D5725" s="4" t="s">
        <v>36405</v>
      </c>
      <c r="E5725" s="6"/>
      <c r="F5725" s="4" t="s">
        <v>36406</v>
      </c>
      <c r="G5725" s="4" t="s">
        <v>36407</v>
      </c>
      <c r="H5725" s="6"/>
      <c r="I5725" s="6"/>
      <c r="J5725" s="6"/>
      <c r="K5725" s="6"/>
      <c r="L5725" s="6"/>
      <c r="M5725" s="6"/>
      <c r="N5725" s="6"/>
      <c r="O5725" s="6"/>
      <c r="P5725" s="6"/>
      <c r="Q5725" s="6"/>
      <c r="R5725" s="6"/>
      <c r="S5725" s="6"/>
      <c r="T5725" s="6"/>
      <c r="U5725" s="6"/>
      <c r="V5725" s="6"/>
      <c r="W5725" s="6"/>
      <c r="X5725" s="6"/>
      <c r="Y5725" s="6"/>
      <c r="Z5725" s="6"/>
      <c r="AA5725" s="6"/>
    </row>
    <row r="5726" ht="14.25">
      <c r="B5726" s="14" t="s">
        <v>36390</v>
      </c>
      <c r="C5726" s="4" t="s">
        <v>36391</v>
      </c>
      <c r="D5726" s="4" t="s">
        <v>36408</v>
      </c>
      <c r="E5726" s="4" t="s">
        <v>36393</v>
      </c>
      <c r="F5726" s="4" t="s">
        <v>6788</v>
      </c>
      <c r="G5726" s="4" t="s">
        <v>36409</v>
      </c>
      <c r="H5726" s="6"/>
      <c r="I5726" s="6"/>
      <c r="J5726" s="6"/>
      <c r="K5726" s="6"/>
      <c r="L5726" s="6"/>
      <c r="M5726" s="6"/>
      <c r="N5726" s="6"/>
      <c r="O5726" s="6"/>
      <c r="P5726" s="6"/>
      <c r="Q5726" s="6"/>
      <c r="R5726" s="6"/>
      <c r="S5726" s="6"/>
      <c r="T5726" s="6"/>
      <c r="U5726" s="6"/>
      <c r="V5726" s="6"/>
      <c r="W5726" s="6"/>
      <c r="X5726" s="6"/>
      <c r="Y5726" s="6"/>
      <c r="Z5726" s="6"/>
      <c r="AA5726" s="6"/>
    </row>
    <row r="5727" ht="14.25">
      <c r="B5727" s="14" t="s">
        <v>36390</v>
      </c>
      <c r="C5727" s="4" t="s">
        <v>36410</v>
      </c>
      <c r="D5727" s="4" t="s">
        <v>36411</v>
      </c>
      <c r="E5727" s="6"/>
      <c r="F5727" s="4" t="s">
        <v>485</v>
      </c>
      <c r="G5727" s="4" t="s">
        <v>36412</v>
      </c>
      <c r="H5727" s="6"/>
      <c r="I5727" s="6"/>
      <c r="J5727" s="6"/>
      <c r="K5727" s="6"/>
      <c r="L5727" s="6"/>
      <c r="M5727" s="6"/>
      <c r="N5727" s="6"/>
      <c r="O5727" s="6"/>
      <c r="P5727" s="6"/>
      <c r="Q5727" s="6"/>
      <c r="R5727" s="6"/>
      <c r="S5727" s="6"/>
      <c r="T5727" s="6"/>
      <c r="U5727" s="6"/>
      <c r="V5727" s="6"/>
      <c r="W5727" s="6"/>
      <c r="X5727" s="6"/>
      <c r="Y5727" s="6"/>
      <c r="Z5727" s="6"/>
      <c r="AA5727" s="6"/>
    </row>
    <row r="5728" ht="14.25">
      <c r="B5728" s="14" t="s">
        <v>36390</v>
      </c>
      <c r="C5728" s="4" t="s">
        <v>36391</v>
      </c>
      <c r="D5728" s="4" t="s">
        <v>36413</v>
      </c>
      <c r="E5728" s="4" t="s">
        <v>36393</v>
      </c>
      <c r="F5728" s="4" t="s">
        <v>1583</v>
      </c>
      <c r="G5728" s="4" t="s">
        <v>36414</v>
      </c>
      <c r="H5728" s="6"/>
      <c r="I5728" s="6"/>
      <c r="J5728" s="6"/>
      <c r="K5728" s="6"/>
      <c r="L5728" s="6"/>
      <c r="M5728" s="6"/>
      <c r="N5728" s="6"/>
      <c r="O5728" s="6"/>
      <c r="P5728" s="6"/>
      <c r="Q5728" s="6"/>
      <c r="R5728" s="6"/>
      <c r="S5728" s="6"/>
      <c r="T5728" s="6"/>
      <c r="U5728" s="6"/>
      <c r="V5728" s="6"/>
      <c r="W5728" s="6"/>
      <c r="X5728" s="6"/>
      <c r="Y5728" s="6"/>
      <c r="Z5728" s="6"/>
      <c r="AA5728" s="6"/>
    </row>
    <row r="5729" ht="14.25">
      <c r="B5729" s="14" t="s">
        <v>36390</v>
      </c>
      <c r="C5729" s="4" t="s">
        <v>36391</v>
      </c>
      <c r="D5729" s="4" t="s">
        <v>36415</v>
      </c>
      <c r="E5729" s="4" t="s">
        <v>36393</v>
      </c>
      <c r="F5729" s="4" t="s">
        <v>32831</v>
      </c>
      <c r="G5729" s="4" t="s">
        <v>36416</v>
      </c>
      <c r="H5729" s="6"/>
      <c r="I5729" s="6"/>
      <c r="J5729" s="6"/>
      <c r="K5729" s="6"/>
      <c r="L5729" s="6"/>
      <c r="M5729" s="6"/>
      <c r="N5729" s="6"/>
      <c r="O5729" s="6"/>
      <c r="P5729" s="6"/>
      <c r="Q5729" s="6"/>
      <c r="R5729" s="6"/>
      <c r="S5729" s="6"/>
      <c r="T5729" s="6"/>
      <c r="U5729" s="6"/>
      <c r="V5729" s="6"/>
      <c r="W5729" s="6"/>
      <c r="X5729" s="6"/>
      <c r="Y5729" s="6"/>
      <c r="Z5729" s="6"/>
      <c r="AA5729" s="6"/>
    </row>
    <row r="5730" ht="14.25">
      <c r="B5730" s="14" t="s">
        <v>36390</v>
      </c>
      <c r="C5730" s="4" t="s">
        <v>36391</v>
      </c>
      <c r="D5730" s="4" t="s">
        <v>36417</v>
      </c>
      <c r="E5730" s="4" t="s">
        <v>36393</v>
      </c>
      <c r="F5730" s="4" t="s">
        <v>6634</v>
      </c>
      <c r="G5730" s="4" t="s">
        <v>36418</v>
      </c>
      <c r="H5730" s="6"/>
      <c r="I5730" s="6"/>
      <c r="J5730" s="6"/>
      <c r="K5730" s="6"/>
      <c r="L5730" s="6"/>
      <c r="M5730" s="6"/>
      <c r="N5730" s="6"/>
      <c r="O5730" s="6"/>
      <c r="P5730" s="6"/>
      <c r="Q5730" s="6"/>
      <c r="R5730" s="6"/>
      <c r="S5730" s="6"/>
      <c r="T5730" s="6"/>
      <c r="U5730" s="6"/>
      <c r="V5730" s="6"/>
      <c r="W5730" s="6"/>
      <c r="X5730" s="6"/>
      <c r="Y5730" s="6"/>
      <c r="Z5730" s="6"/>
      <c r="AA5730" s="6"/>
    </row>
    <row r="5731" ht="14.25">
      <c r="B5731" s="14" t="s">
        <v>36390</v>
      </c>
      <c r="C5731" s="4" t="s">
        <v>36391</v>
      </c>
      <c r="D5731" s="4" t="s">
        <v>36419</v>
      </c>
      <c r="E5731" s="4" t="s">
        <v>36393</v>
      </c>
      <c r="F5731" s="4" t="s">
        <v>20612</v>
      </c>
      <c r="G5731" s="4" t="s">
        <v>36420</v>
      </c>
      <c r="H5731" s="6"/>
      <c r="I5731" s="6"/>
      <c r="J5731" s="6"/>
      <c r="K5731" s="6"/>
      <c r="L5731" s="6"/>
      <c r="M5731" s="6"/>
      <c r="N5731" s="6"/>
      <c r="O5731" s="6"/>
      <c r="P5731" s="6"/>
      <c r="Q5731" s="6"/>
      <c r="R5731" s="6"/>
      <c r="S5731" s="6"/>
      <c r="T5731" s="6"/>
      <c r="U5731" s="6"/>
      <c r="V5731" s="6"/>
      <c r="W5731" s="6"/>
      <c r="X5731" s="6"/>
      <c r="Y5731" s="6"/>
      <c r="Z5731" s="6"/>
      <c r="AA5731" s="6"/>
    </row>
    <row r="5732" ht="14.25">
      <c r="B5732" s="14" t="s">
        <v>36390</v>
      </c>
      <c r="C5732" s="4" t="s">
        <v>36421</v>
      </c>
      <c r="D5732" s="4" t="s">
        <v>36422</v>
      </c>
      <c r="E5732" s="6"/>
      <c r="F5732" s="4" t="s">
        <v>2119</v>
      </c>
      <c r="G5732" s="4" t="s">
        <v>36423</v>
      </c>
      <c r="H5732" s="6"/>
      <c r="I5732" s="6"/>
      <c r="J5732" s="6"/>
      <c r="K5732" s="6"/>
      <c r="L5732" s="6"/>
      <c r="M5732" s="6"/>
      <c r="N5732" s="6"/>
      <c r="O5732" s="6"/>
      <c r="P5732" s="6"/>
      <c r="Q5732" s="6"/>
      <c r="R5732" s="6"/>
      <c r="S5732" s="6"/>
      <c r="T5732" s="6"/>
      <c r="U5732" s="6"/>
      <c r="V5732" s="6"/>
      <c r="W5732" s="6"/>
      <c r="X5732" s="6"/>
      <c r="Y5732" s="6"/>
      <c r="Z5732" s="6"/>
      <c r="AA5732" s="6"/>
    </row>
    <row r="5733" ht="14.25">
      <c r="B5733" s="14" t="s">
        <v>36390</v>
      </c>
      <c r="C5733" s="4" t="s">
        <v>36391</v>
      </c>
      <c r="D5733" s="4" t="s">
        <v>36424</v>
      </c>
      <c r="E5733" s="4" t="s">
        <v>36393</v>
      </c>
      <c r="F5733" s="4" t="s">
        <v>1215</v>
      </c>
      <c r="G5733" s="4" t="s">
        <v>36425</v>
      </c>
      <c r="H5733" s="6"/>
      <c r="I5733" s="6"/>
      <c r="J5733" s="6"/>
      <c r="K5733" s="6"/>
      <c r="L5733" s="6"/>
      <c r="M5733" s="6"/>
      <c r="N5733" s="6"/>
      <c r="O5733" s="6"/>
      <c r="P5733" s="6"/>
      <c r="Q5733" s="6"/>
      <c r="R5733" s="6"/>
      <c r="S5733" s="6"/>
      <c r="T5733" s="6"/>
      <c r="U5733" s="6"/>
      <c r="V5733" s="6"/>
      <c r="W5733" s="6"/>
      <c r="X5733" s="6"/>
      <c r="Y5733" s="6"/>
      <c r="Z5733" s="6"/>
      <c r="AA5733" s="6"/>
    </row>
    <row r="5734" ht="14.25">
      <c r="B5734" s="14" t="s">
        <v>36390</v>
      </c>
      <c r="C5734" s="4" t="s">
        <v>36391</v>
      </c>
      <c r="D5734" s="4" t="s">
        <v>36426</v>
      </c>
      <c r="E5734" s="4" t="s">
        <v>36393</v>
      </c>
      <c r="F5734" s="4" t="s">
        <v>1571</v>
      </c>
      <c r="G5734" s="4" t="s">
        <v>36427</v>
      </c>
      <c r="H5734" s="6"/>
      <c r="I5734" s="6"/>
      <c r="J5734" s="6"/>
      <c r="K5734" s="6"/>
      <c r="L5734" s="6"/>
      <c r="M5734" s="6"/>
      <c r="N5734" s="6"/>
      <c r="O5734" s="6"/>
      <c r="P5734" s="6"/>
      <c r="Q5734" s="6"/>
      <c r="R5734" s="6"/>
      <c r="S5734" s="6"/>
      <c r="T5734" s="6"/>
      <c r="U5734" s="6"/>
      <c r="V5734" s="6"/>
      <c r="W5734" s="6"/>
      <c r="X5734" s="6"/>
      <c r="Y5734" s="6"/>
      <c r="Z5734" s="6"/>
      <c r="AA5734" s="6"/>
    </row>
    <row r="5735" ht="14.25">
      <c r="B5735" s="14" t="s">
        <v>36390</v>
      </c>
      <c r="C5735" s="4" t="s">
        <v>36428</v>
      </c>
      <c r="D5735" s="4" t="s">
        <v>36429</v>
      </c>
      <c r="E5735" s="4" t="s">
        <v>36430</v>
      </c>
      <c r="F5735" s="4" t="s">
        <v>95</v>
      </c>
      <c r="G5735" s="4" t="s">
        <v>36431</v>
      </c>
      <c r="H5735" s="6"/>
      <c r="I5735" s="6"/>
      <c r="J5735" s="6"/>
      <c r="K5735" s="6"/>
      <c r="L5735" s="6"/>
      <c r="M5735" s="6"/>
      <c r="N5735" s="6"/>
      <c r="O5735" s="6"/>
      <c r="P5735" s="6"/>
      <c r="Q5735" s="6"/>
      <c r="R5735" s="6"/>
      <c r="S5735" s="6"/>
      <c r="T5735" s="6"/>
      <c r="U5735" s="6"/>
      <c r="V5735" s="6"/>
      <c r="W5735" s="6"/>
      <c r="X5735" s="6"/>
      <c r="Y5735" s="6"/>
      <c r="Z5735" s="6"/>
      <c r="AA5735" s="6"/>
    </row>
    <row r="5736" ht="14.25">
      <c r="B5736" s="14" t="s">
        <v>36390</v>
      </c>
      <c r="C5736" s="4" t="s">
        <v>36391</v>
      </c>
      <c r="D5736" s="4" t="s">
        <v>36432</v>
      </c>
      <c r="E5736" s="4" t="s">
        <v>36393</v>
      </c>
      <c r="F5736" s="4" t="s">
        <v>808</v>
      </c>
      <c r="G5736" s="4" t="s">
        <v>36433</v>
      </c>
      <c r="H5736" s="6"/>
      <c r="I5736" s="6"/>
      <c r="J5736" s="6"/>
      <c r="K5736" s="6"/>
      <c r="L5736" s="6"/>
      <c r="M5736" s="6"/>
      <c r="N5736" s="6"/>
      <c r="O5736" s="6"/>
      <c r="P5736" s="6"/>
      <c r="Q5736" s="6"/>
      <c r="R5736" s="6"/>
      <c r="S5736" s="6"/>
      <c r="T5736" s="6"/>
      <c r="U5736" s="6"/>
      <c r="V5736" s="6"/>
      <c r="W5736" s="6"/>
      <c r="X5736" s="6"/>
      <c r="Y5736" s="6"/>
      <c r="Z5736" s="6"/>
      <c r="AA5736" s="6"/>
    </row>
    <row r="5737" ht="14.25">
      <c r="B5737" s="14" t="s">
        <v>36390</v>
      </c>
      <c r="C5737" s="4" t="s">
        <v>36391</v>
      </c>
      <c r="D5737" s="4" t="s">
        <v>36434</v>
      </c>
      <c r="E5737" s="4" t="s">
        <v>36393</v>
      </c>
      <c r="F5737" s="4" t="s">
        <v>33644</v>
      </c>
      <c r="G5737" s="4" t="s">
        <v>36435</v>
      </c>
      <c r="H5737" s="6"/>
      <c r="I5737" s="6"/>
      <c r="J5737" s="6"/>
      <c r="K5737" s="6"/>
      <c r="L5737" s="6"/>
      <c r="M5737" s="6"/>
      <c r="N5737" s="6"/>
      <c r="O5737" s="6"/>
      <c r="P5737" s="6"/>
      <c r="Q5737" s="6"/>
      <c r="R5737" s="6"/>
      <c r="S5737" s="6"/>
      <c r="T5737" s="6"/>
      <c r="U5737" s="6"/>
      <c r="V5737" s="6"/>
      <c r="W5737" s="6"/>
      <c r="X5737" s="6"/>
      <c r="Y5737" s="6"/>
      <c r="Z5737" s="6"/>
      <c r="AA5737" s="6"/>
    </row>
    <row r="5738" ht="14.25">
      <c r="B5738" s="14" t="s">
        <v>36390</v>
      </c>
      <c r="C5738" s="4" t="s">
        <v>36391</v>
      </c>
      <c r="D5738" s="4" t="s">
        <v>36436</v>
      </c>
      <c r="E5738" s="4" t="s">
        <v>36393</v>
      </c>
      <c r="F5738" s="4" t="s">
        <v>604</v>
      </c>
      <c r="G5738" s="4" t="s">
        <v>36437</v>
      </c>
      <c r="H5738" s="6"/>
      <c r="I5738" s="6"/>
      <c r="J5738" s="6"/>
      <c r="K5738" s="6"/>
      <c r="L5738" s="6"/>
      <c r="M5738" s="6"/>
      <c r="N5738" s="6"/>
      <c r="O5738" s="6"/>
      <c r="P5738" s="6"/>
      <c r="Q5738" s="6"/>
      <c r="R5738" s="6"/>
      <c r="S5738" s="6"/>
      <c r="T5738" s="6"/>
      <c r="U5738" s="6"/>
      <c r="V5738" s="6"/>
      <c r="W5738" s="6"/>
      <c r="X5738" s="6"/>
      <c r="Y5738" s="6"/>
      <c r="Z5738" s="6"/>
      <c r="AA5738" s="6"/>
    </row>
    <row r="5739" ht="14.25">
      <c r="B5739" s="14" t="s">
        <v>36390</v>
      </c>
      <c r="C5739" s="4" t="s">
        <v>36391</v>
      </c>
      <c r="D5739" s="4" t="s">
        <v>36438</v>
      </c>
      <c r="E5739" s="4" t="s">
        <v>36393</v>
      </c>
      <c r="F5739" s="4" t="s">
        <v>604</v>
      </c>
      <c r="G5739" s="4" t="s">
        <v>36439</v>
      </c>
      <c r="H5739" s="6"/>
      <c r="I5739" s="6"/>
      <c r="J5739" s="6"/>
      <c r="K5739" s="6"/>
      <c r="L5739" s="6"/>
      <c r="M5739" s="6"/>
      <c r="N5739" s="6"/>
      <c r="O5739" s="6"/>
      <c r="P5739" s="6"/>
      <c r="Q5739" s="6"/>
      <c r="R5739" s="6"/>
      <c r="S5739" s="6"/>
      <c r="T5739" s="6"/>
      <c r="U5739" s="6"/>
      <c r="V5739" s="6"/>
      <c r="W5739" s="6"/>
      <c r="X5739" s="6"/>
      <c r="Y5739" s="6"/>
      <c r="Z5739" s="6"/>
      <c r="AA5739" s="6"/>
    </row>
    <row r="5740" ht="14.25">
      <c r="B5740" s="14" t="s">
        <v>36440</v>
      </c>
      <c r="C5740" s="4" t="s">
        <v>36441</v>
      </c>
      <c r="D5740" s="4" t="s">
        <v>36442</v>
      </c>
      <c r="E5740" s="4" t="s">
        <v>36443</v>
      </c>
      <c r="F5740" s="4" t="s">
        <v>32579</v>
      </c>
      <c r="G5740" s="4" t="s">
        <v>36444</v>
      </c>
      <c r="H5740" s="6"/>
      <c r="I5740" s="6"/>
      <c r="J5740" s="6"/>
      <c r="K5740" s="6"/>
      <c r="L5740" s="6"/>
      <c r="M5740" s="6"/>
      <c r="N5740" s="6"/>
      <c r="O5740" s="4"/>
      <c r="P5740" s="6"/>
      <c r="Q5740" s="6"/>
      <c r="R5740" s="6"/>
      <c r="S5740" s="6"/>
      <c r="T5740" s="6"/>
      <c r="U5740" s="6"/>
      <c r="V5740" s="6"/>
      <c r="W5740" s="6"/>
      <c r="X5740" s="6"/>
      <c r="Y5740" s="6"/>
      <c r="Z5740" s="6"/>
      <c r="AA5740" s="6"/>
    </row>
    <row r="5741" ht="14.25">
      <c r="B5741" s="14" t="s">
        <v>36445</v>
      </c>
      <c r="C5741" s="4" t="s">
        <v>36446</v>
      </c>
      <c r="D5741" s="4" t="s">
        <v>36447</v>
      </c>
      <c r="E5741" s="6"/>
      <c r="F5741" s="4" t="s">
        <v>4969</v>
      </c>
      <c r="G5741" s="4" t="s">
        <v>36448</v>
      </c>
      <c r="H5741" s="6"/>
      <c r="I5741" s="6"/>
      <c r="J5741" s="6"/>
      <c r="K5741" s="6"/>
      <c r="L5741" s="6"/>
      <c r="M5741" s="6"/>
      <c r="N5741" s="6"/>
      <c r="O5741" s="6"/>
      <c r="P5741" s="6"/>
      <c r="Q5741" s="6"/>
      <c r="R5741" s="6"/>
      <c r="S5741" s="6"/>
      <c r="T5741" s="6"/>
      <c r="U5741" s="6"/>
      <c r="V5741" s="6"/>
      <c r="W5741" s="6"/>
      <c r="X5741" s="6"/>
      <c r="Y5741" s="6"/>
      <c r="Z5741" s="6"/>
      <c r="AA5741" s="6"/>
    </row>
    <row r="5742" ht="14.25">
      <c r="B5742" s="14" t="s">
        <v>36449</v>
      </c>
      <c r="C5742" s="4" t="s">
        <v>36450</v>
      </c>
      <c r="D5742" s="4" t="s">
        <v>36451</v>
      </c>
      <c r="E5742" s="4" t="s">
        <v>36452</v>
      </c>
      <c r="F5742" s="4" t="s">
        <v>170</v>
      </c>
      <c r="G5742" s="4" t="s">
        <v>36453</v>
      </c>
      <c r="H5742" s="6"/>
      <c r="I5742" s="6"/>
      <c r="J5742" s="6"/>
      <c r="K5742" s="6"/>
      <c r="L5742" s="6"/>
      <c r="M5742" s="6"/>
      <c r="N5742" s="6"/>
      <c r="O5742" s="6"/>
      <c r="P5742" s="6"/>
      <c r="Q5742" s="6"/>
      <c r="R5742" s="6"/>
      <c r="S5742" s="6"/>
      <c r="T5742" s="6"/>
      <c r="U5742" s="6"/>
      <c r="V5742" s="6"/>
      <c r="W5742" s="6"/>
      <c r="X5742" s="6"/>
      <c r="Y5742" s="6"/>
      <c r="Z5742" s="6"/>
      <c r="AA5742" s="6"/>
    </row>
    <row r="5743" ht="14.25">
      <c r="B5743" s="14" t="s">
        <v>36449</v>
      </c>
      <c r="C5743" s="4" t="s">
        <v>36454</v>
      </c>
      <c r="D5743" s="4" t="s">
        <v>36455</v>
      </c>
      <c r="E5743" s="4" t="s">
        <v>36456</v>
      </c>
      <c r="F5743" s="4" t="s">
        <v>5103</v>
      </c>
      <c r="G5743" s="4" t="s">
        <v>36457</v>
      </c>
      <c r="H5743" s="6"/>
      <c r="I5743" s="6"/>
      <c r="J5743" s="6"/>
      <c r="K5743" s="6"/>
      <c r="L5743" s="6"/>
      <c r="M5743" s="6"/>
      <c r="N5743" s="6"/>
      <c r="O5743" s="6"/>
      <c r="P5743" s="6"/>
      <c r="Q5743" s="6"/>
      <c r="R5743" s="6"/>
      <c r="S5743" s="6"/>
      <c r="T5743" s="6"/>
      <c r="U5743" s="6"/>
      <c r="V5743" s="6"/>
      <c r="W5743" s="6"/>
      <c r="X5743" s="6"/>
      <c r="Y5743" s="6"/>
      <c r="Z5743" s="6"/>
      <c r="AA5743" s="6"/>
    </row>
    <row r="5744" ht="14.25">
      <c r="B5744" s="14" t="s">
        <v>36449</v>
      </c>
      <c r="C5744" s="4" t="s">
        <v>36454</v>
      </c>
      <c r="D5744" s="4" t="s">
        <v>36458</v>
      </c>
      <c r="E5744" s="4" t="s">
        <v>36456</v>
      </c>
      <c r="F5744" s="4" t="s">
        <v>1153</v>
      </c>
      <c r="G5744" s="4" t="s">
        <v>36459</v>
      </c>
      <c r="H5744" s="6"/>
      <c r="I5744" s="6"/>
      <c r="J5744" s="6"/>
      <c r="K5744" s="6"/>
      <c r="L5744" s="6"/>
      <c r="M5744" s="6"/>
      <c r="N5744" s="6"/>
      <c r="O5744" s="6"/>
      <c r="P5744" s="6"/>
      <c r="Q5744" s="6"/>
      <c r="R5744" s="6"/>
      <c r="S5744" s="6"/>
      <c r="T5744" s="6"/>
      <c r="U5744" s="6"/>
      <c r="V5744" s="6"/>
      <c r="W5744" s="6"/>
      <c r="X5744" s="6"/>
      <c r="Y5744" s="6"/>
      <c r="Z5744" s="6"/>
      <c r="AA5744" s="6"/>
    </row>
    <row r="5745" ht="14.25">
      <c r="B5745" s="14" t="s">
        <v>36460</v>
      </c>
      <c r="C5745" s="4" t="s">
        <v>36461</v>
      </c>
      <c r="D5745" s="4" t="s">
        <v>36462</v>
      </c>
      <c r="E5745" s="4" t="s">
        <v>36463</v>
      </c>
      <c r="F5745" s="4" t="s">
        <v>1815</v>
      </c>
      <c r="G5745" s="4" t="s">
        <v>36464</v>
      </c>
      <c r="H5745" s="6"/>
      <c r="I5745" s="6"/>
      <c r="J5745" s="6"/>
      <c r="K5745" s="6"/>
      <c r="L5745" s="6"/>
      <c r="M5745" s="6"/>
      <c r="N5745" s="6"/>
      <c r="O5745" s="6"/>
      <c r="P5745" s="6"/>
      <c r="Q5745" s="6"/>
      <c r="R5745" s="6"/>
      <c r="S5745" s="6"/>
      <c r="T5745" s="6"/>
      <c r="U5745" s="6"/>
      <c r="V5745" s="6"/>
      <c r="W5745" s="6"/>
      <c r="X5745" s="6"/>
      <c r="Y5745" s="6"/>
      <c r="Z5745" s="6"/>
      <c r="AA5745" s="6"/>
    </row>
    <row r="5746" ht="14.25">
      <c r="B5746" s="14" t="s">
        <v>36465</v>
      </c>
      <c r="C5746" s="4" t="s">
        <v>36466</v>
      </c>
      <c r="D5746" s="4" t="s">
        <v>36467</v>
      </c>
      <c r="E5746" s="4" t="s">
        <v>36468</v>
      </c>
      <c r="F5746" s="4" t="s">
        <v>1562</v>
      </c>
      <c r="G5746" s="4" t="s">
        <v>36469</v>
      </c>
      <c r="H5746" s="6"/>
      <c r="I5746" s="6"/>
      <c r="J5746" s="6"/>
      <c r="K5746" s="6"/>
      <c r="L5746" s="6"/>
      <c r="M5746" s="6"/>
      <c r="N5746" s="6"/>
      <c r="O5746" s="6"/>
      <c r="P5746" s="6"/>
      <c r="Q5746" s="6"/>
      <c r="R5746" s="6"/>
      <c r="S5746" s="6"/>
      <c r="T5746" s="6"/>
      <c r="U5746" s="6"/>
      <c r="V5746" s="6"/>
      <c r="W5746" s="6"/>
      <c r="X5746" s="6"/>
      <c r="Y5746" s="6"/>
      <c r="Z5746" s="6"/>
      <c r="AA5746" s="6"/>
    </row>
    <row r="5747" ht="14.25">
      <c r="B5747" s="14" t="s">
        <v>36465</v>
      </c>
      <c r="C5747" s="4" t="s">
        <v>36466</v>
      </c>
      <c r="D5747" s="4" t="s">
        <v>36470</v>
      </c>
      <c r="E5747" s="4" t="s">
        <v>36468</v>
      </c>
      <c r="F5747" s="4" t="s">
        <v>785</v>
      </c>
      <c r="G5747" s="4" t="s">
        <v>36471</v>
      </c>
      <c r="H5747" s="6"/>
      <c r="I5747" s="6"/>
      <c r="J5747" s="6"/>
      <c r="K5747" s="6"/>
      <c r="L5747" s="6"/>
      <c r="M5747" s="6"/>
      <c r="N5747" s="6"/>
      <c r="O5747" s="6"/>
      <c r="P5747" s="6"/>
      <c r="Q5747" s="6"/>
      <c r="R5747" s="6"/>
      <c r="S5747" s="6"/>
      <c r="T5747" s="6"/>
      <c r="U5747" s="6"/>
      <c r="V5747" s="6"/>
      <c r="W5747" s="6"/>
      <c r="X5747" s="6"/>
      <c r="Y5747" s="6"/>
      <c r="Z5747" s="6"/>
      <c r="AA5747" s="6"/>
    </row>
    <row r="5748" ht="14.25">
      <c r="B5748" s="14" t="s">
        <v>36465</v>
      </c>
      <c r="C5748" s="4" t="s">
        <v>36466</v>
      </c>
      <c r="D5748" s="4" t="s">
        <v>36472</v>
      </c>
      <c r="E5748" s="4" t="s">
        <v>36468</v>
      </c>
      <c r="F5748" s="4" t="s">
        <v>95</v>
      </c>
      <c r="G5748" s="4" t="s">
        <v>36473</v>
      </c>
      <c r="H5748" s="6"/>
      <c r="I5748" s="6"/>
      <c r="J5748" s="6"/>
      <c r="K5748" s="6"/>
      <c r="L5748" s="6"/>
      <c r="M5748" s="6"/>
      <c r="N5748" s="6"/>
      <c r="O5748" s="6"/>
      <c r="P5748" s="6"/>
      <c r="Q5748" s="6"/>
      <c r="R5748" s="6"/>
      <c r="S5748" s="6"/>
      <c r="T5748" s="6"/>
      <c r="U5748" s="6"/>
      <c r="V5748" s="6"/>
      <c r="W5748" s="6"/>
      <c r="X5748" s="6"/>
      <c r="Y5748" s="6"/>
      <c r="Z5748" s="6"/>
      <c r="AA5748" s="6"/>
    </row>
    <row r="5749" ht="14.25">
      <c r="B5749" s="14" t="s">
        <v>36465</v>
      </c>
      <c r="C5749" s="4" t="s">
        <v>36466</v>
      </c>
      <c r="D5749" s="4" t="s">
        <v>36474</v>
      </c>
      <c r="E5749" s="4" t="s">
        <v>36468</v>
      </c>
      <c r="F5749" s="4" t="s">
        <v>32831</v>
      </c>
      <c r="G5749" s="4" t="s">
        <v>36475</v>
      </c>
      <c r="H5749" s="6"/>
      <c r="I5749" s="6"/>
      <c r="J5749" s="6"/>
      <c r="K5749" s="6"/>
      <c r="L5749" s="6"/>
      <c r="M5749" s="6"/>
      <c r="N5749" s="6"/>
      <c r="O5749" s="6"/>
      <c r="P5749" s="6"/>
      <c r="Q5749" s="6"/>
      <c r="R5749" s="6"/>
      <c r="S5749" s="6"/>
      <c r="T5749" s="6"/>
      <c r="U5749" s="6"/>
      <c r="V5749" s="6"/>
      <c r="W5749" s="6"/>
      <c r="X5749" s="6"/>
      <c r="Y5749" s="6"/>
      <c r="Z5749" s="6"/>
      <c r="AA5749" s="6"/>
    </row>
    <row r="5750" ht="14.25">
      <c r="B5750" s="14" t="s">
        <v>36476</v>
      </c>
      <c r="C5750" s="4" t="s">
        <v>36477</v>
      </c>
      <c r="D5750" s="4" t="s">
        <v>36478</v>
      </c>
      <c r="E5750" s="6"/>
      <c r="F5750" s="4" t="s">
        <v>604</v>
      </c>
      <c r="G5750" s="4" t="s">
        <v>34472</v>
      </c>
      <c r="H5750" s="6"/>
      <c r="I5750" s="6"/>
      <c r="J5750" s="6"/>
      <c r="K5750" s="6"/>
      <c r="L5750" s="6"/>
      <c r="M5750" s="6"/>
      <c r="N5750" s="6"/>
      <c r="O5750" s="6"/>
      <c r="P5750" s="6"/>
      <c r="Q5750" s="6"/>
      <c r="R5750" s="6"/>
      <c r="S5750" s="6"/>
      <c r="T5750" s="6"/>
      <c r="U5750" s="6"/>
      <c r="V5750" s="6"/>
      <c r="W5750" s="6"/>
      <c r="X5750" s="6"/>
      <c r="Y5750" s="6"/>
      <c r="Z5750" s="6"/>
      <c r="AA5750" s="6"/>
    </row>
    <row r="5751" ht="14.25">
      <c r="B5751" s="14" t="s">
        <v>36476</v>
      </c>
      <c r="C5751" s="4" t="s">
        <v>36479</v>
      </c>
      <c r="D5751" s="4" t="s">
        <v>36480</v>
      </c>
      <c r="E5751" s="4" t="s">
        <v>36481</v>
      </c>
      <c r="F5751" s="4" t="s">
        <v>76</v>
      </c>
      <c r="G5751" s="4" t="s">
        <v>36482</v>
      </c>
      <c r="H5751" s="6"/>
      <c r="I5751" s="6"/>
      <c r="J5751" s="6"/>
      <c r="K5751" s="6"/>
      <c r="L5751" s="6"/>
      <c r="M5751" s="6"/>
      <c r="N5751" s="6"/>
      <c r="O5751" s="6"/>
      <c r="P5751" s="6"/>
      <c r="Q5751" s="6"/>
      <c r="R5751" s="6"/>
      <c r="S5751" s="6"/>
      <c r="T5751" s="6"/>
      <c r="U5751" s="6"/>
      <c r="V5751" s="6"/>
      <c r="W5751" s="6"/>
      <c r="X5751" s="6"/>
      <c r="Y5751" s="6"/>
      <c r="Z5751" s="6"/>
      <c r="AA5751" s="6"/>
    </row>
    <row r="5752" ht="14.25">
      <c r="B5752" s="14" t="s">
        <v>36476</v>
      </c>
      <c r="C5752" s="4" t="s">
        <v>36477</v>
      </c>
      <c r="D5752" s="4" t="s">
        <v>36483</v>
      </c>
      <c r="E5752" s="4" t="s">
        <v>36478</v>
      </c>
      <c r="F5752" s="4" t="s">
        <v>908</v>
      </c>
      <c r="G5752" s="4" t="s">
        <v>36484</v>
      </c>
      <c r="H5752" s="6"/>
      <c r="I5752" s="6"/>
      <c r="J5752" s="6"/>
      <c r="K5752" s="6"/>
      <c r="L5752" s="6"/>
      <c r="M5752" s="6"/>
      <c r="N5752" s="6"/>
      <c r="O5752" s="6"/>
      <c r="P5752" s="6"/>
      <c r="Q5752" s="6"/>
      <c r="R5752" s="6"/>
      <c r="S5752" s="6"/>
      <c r="T5752" s="6"/>
      <c r="U5752" s="6"/>
      <c r="V5752" s="6"/>
      <c r="W5752" s="6"/>
      <c r="X5752" s="6"/>
      <c r="Y5752" s="6"/>
      <c r="Z5752" s="6"/>
      <c r="AA5752" s="6"/>
    </row>
    <row r="5753" ht="14.25">
      <c r="B5753" s="14" t="s">
        <v>36476</v>
      </c>
      <c r="C5753" s="4" t="s">
        <v>36485</v>
      </c>
      <c r="D5753" s="4" t="s">
        <v>36486</v>
      </c>
      <c r="E5753" s="4" t="s">
        <v>36487</v>
      </c>
      <c r="F5753" s="4" t="s">
        <v>32891</v>
      </c>
      <c r="G5753" s="4" t="s">
        <v>36488</v>
      </c>
      <c r="H5753" s="6"/>
      <c r="I5753" s="6"/>
      <c r="J5753" s="6"/>
      <c r="K5753" s="6"/>
      <c r="L5753" s="6"/>
      <c r="M5753" s="6"/>
      <c r="N5753" s="6"/>
      <c r="O5753" s="6"/>
      <c r="P5753" s="6"/>
      <c r="Q5753" s="6"/>
      <c r="R5753" s="6"/>
      <c r="S5753" s="6"/>
      <c r="T5753" s="6"/>
      <c r="U5753" s="6"/>
      <c r="V5753" s="6"/>
      <c r="W5753" s="6"/>
      <c r="X5753" s="6"/>
      <c r="Y5753" s="6"/>
      <c r="Z5753" s="6"/>
      <c r="AA5753" s="6"/>
    </row>
    <row r="5754" ht="14.25">
      <c r="B5754" s="14" t="s">
        <v>36476</v>
      </c>
      <c r="C5754" s="4" t="s">
        <v>36485</v>
      </c>
      <c r="D5754" s="4" t="s">
        <v>36489</v>
      </c>
      <c r="E5754" s="4" t="s">
        <v>36487</v>
      </c>
      <c r="F5754" s="4" t="s">
        <v>5579</v>
      </c>
      <c r="G5754" s="4" t="s">
        <v>36490</v>
      </c>
      <c r="H5754" s="6"/>
      <c r="I5754" s="6"/>
      <c r="J5754" s="6"/>
      <c r="K5754" s="6"/>
      <c r="L5754" s="6"/>
      <c r="M5754" s="6"/>
      <c r="N5754" s="6"/>
      <c r="O5754" s="6"/>
      <c r="P5754" s="6"/>
      <c r="Q5754" s="6"/>
      <c r="R5754" s="6"/>
      <c r="S5754" s="6"/>
      <c r="T5754" s="6"/>
      <c r="U5754" s="6"/>
      <c r="V5754" s="6"/>
      <c r="W5754" s="6"/>
      <c r="X5754" s="6"/>
      <c r="Y5754" s="6"/>
      <c r="Z5754" s="6"/>
      <c r="AA5754" s="6"/>
    </row>
    <row r="5755" ht="14.25">
      <c r="B5755" s="14" t="s">
        <v>36476</v>
      </c>
      <c r="C5755" s="4" t="s">
        <v>36491</v>
      </c>
      <c r="D5755" s="4" t="s">
        <v>36492</v>
      </c>
      <c r="E5755" s="4" t="s">
        <v>36493</v>
      </c>
      <c r="F5755" s="4" t="s">
        <v>8049</v>
      </c>
      <c r="G5755" s="4" t="s">
        <v>36494</v>
      </c>
      <c r="H5755" s="6"/>
      <c r="I5755" s="6"/>
      <c r="J5755" s="6"/>
      <c r="K5755" s="6"/>
      <c r="L5755" s="6"/>
      <c r="M5755" s="6"/>
      <c r="N5755" s="6"/>
      <c r="O5755" s="6"/>
      <c r="P5755" s="6"/>
      <c r="Q5755" s="6"/>
      <c r="R5755" s="6"/>
      <c r="S5755" s="6"/>
      <c r="T5755" s="6"/>
      <c r="U5755" s="6"/>
      <c r="V5755" s="6"/>
      <c r="W5755" s="6"/>
      <c r="X5755" s="6"/>
      <c r="Y5755" s="6"/>
      <c r="Z5755" s="6"/>
      <c r="AA5755" s="6"/>
    </row>
    <row r="5756" ht="14.25">
      <c r="B5756" s="14" t="s">
        <v>36476</v>
      </c>
      <c r="C5756" s="4" t="s">
        <v>36495</v>
      </c>
      <c r="D5756" s="4" t="s">
        <v>36496</v>
      </c>
      <c r="E5756" s="4" t="s">
        <v>36497</v>
      </c>
      <c r="F5756" s="4" t="s">
        <v>6844</v>
      </c>
      <c r="G5756" s="4" t="s">
        <v>36498</v>
      </c>
      <c r="H5756" s="6"/>
      <c r="I5756" s="6"/>
      <c r="J5756" s="6"/>
      <c r="K5756" s="6"/>
      <c r="L5756" s="6"/>
      <c r="M5756" s="6"/>
      <c r="N5756" s="6"/>
      <c r="O5756" s="6"/>
      <c r="P5756" s="6"/>
      <c r="Q5756" s="6"/>
      <c r="R5756" s="6"/>
      <c r="S5756" s="6"/>
      <c r="T5756" s="6"/>
      <c r="U5756" s="6"/>
      <c r="V5756" s="6"/>
      <c r="W5756" s="6"/>
      <c r="X5756" s="6"/>
      <c r="Y5756" s="6"/>
      <c r="Z5756" s="6"/>
      <c r="AA5756" s="6"/>
    </row>
    <row r="5757" ht="14.25">
      <c r="B5757" s="14" t="s">
        <v>36476</v>
      </c>
      <c r="C5757" s="4" t="s">
        <v>36485</v>
      </c>
      <c r="D5757" s="4" t="s">
        <v>36499</v>
      </c>
      <c r="E5757" s="4" t="s">
        <v>36487</v>
      </c>
      <c r="F5757" s="4" t="s">
        <v>3359</v>
      </c>
      <c r="G5757" s="4" t="s">
        <v>36500</v>
      </c>
      <c r="H5757" s="6"/>
      <c r="I5757" s="6"/>
      <c r="J5757" s="6"/>
      <c r="K5757" s="6"/>
      <c r="L5757" s="6"/>
      <c r="M5757" s="6"/>
      <c r="N5757" s="6"/>
      <c r="O5757" s="6"/>
      <c r="P5757" s="6"/>
      <c r="Q5757" s="6"/>
      <c r="R5757" s="6"/>
      <c r="S5757" s="6"/>
      <c r="T5757" s="6"/>
      <c r="U5757" s="6"/>
      <c r="V5757" s="6"/>
      <c r="W5757" s="6"/>
      <c r="X5757" s="6"/>
      <c r="Y5757" s="6"/>
      <c r="Z5757" s="6"/>
      <c r="AA5757" s="6"/>
    </row>
    <row r="5758" ht="14.25">
      <c r="B5758" s="14" t="s">
        <v>36501</v>
      </c>
      <c r="C5758" s="4" t="s">
        <v>36502</v>
      </c>
      <c r="D5758" s="4" t="s">
        <v>36503</v>
      </c>
      <c r="E5758" s="4" t="s">
        <v>36504</v>
      </c>
      <c r="F5758" s="4" t="s">
        <v>7559</v>
      </c>
      <c r="G5758" s="4" t="s">
        <v>36505</v>
      </c>
      <c r="H5758" s="6"/>
      <c r="I5758" s="6"/>
      <c r="J5758" s="6"/>
      <c r="K5758" s="6"/>
      <c r="L5758" s="6"/>
      <c r="M5758" s="6"/>
      <c r="N5758" s="6"/>
      <c r="O5758" s="6"/>
      <c r="P5758" s="6"/>
      <c r="Q5758" s="6"/>
      <c r="R5758" s="6"/>
      <c r="S5758" s="6"/>
      <c r="T5758" s="6"/>
      <c r="U5758" s="6"/>
      <c r="V5758" s="6"/>
      <c r="W5758" s="6"/>
      <c r="X5758" s="6"/>
      <c r="Y5758" s="6"/>
      <c r="Z5758" s="6"/>
      <c r="AA5758" s="6"/>
    </row>
    <row r="5759" ht="14.25">
      <c r="B5759" s="14" t="s">
        <v>36501</v>
      </c>
      <c r="C5759" s="4" t="s">
        <v>36506</v>
      </c>
      <c r="D5759" s="4" t="s">
        <v>36507</v>
      </c>
      <c r="E5759" s="4" t="s">
        <v>36508</v>
      </c>
      <c r="F5759" s="4" t="s">
        <v>6923</v>
      </c>
      <c r="G5759" s="4" t="s">
        <v>36509</v>
      </c>
      <c r="H5759" s="6"/>
      <c r="I5759" s="6"/>
      <c r="J5759" s="6"/>
      <c r="K5759" s="6"/>
      <c r="L5759" s="6"/>
      <c r="M5759" s="6"/>
      <c r="N5759" s="6"/>
      <c r="O5759" s="6"/>
      <c r="P5759" s="6"/>
      <c r="Q5759" s="6"/>
      <c r="R5759" s="6"/>
      <c r="S5759" s="6"/>
      <c r="T5759" s="6"/>
      <c r="U5759" s="6"/>
      <c r="V5759" s="6"/>
      <c r="W5759" s="6"/>
      <c r="X5759" s="6"/>
      <c r="Y5759" s="6"/>
      <c r="Z5759" s="6"/>
      <c r="AA5759" s="6"/>
    </row>
    <row r="5760" ht="14.25">
      <c r="B5760" s="14" t="s">
        <v>36501</v>
      </c>
      <c r="C5760" s="4" t="s">
        <v>36510</v>
      </c>
      <c r="D5760" s="4" t="s">
        <v>36511</v>
      </c>
      <c r="E5760" s="6"/>
      <c r="F5760" s="4" t="s">
        <v>5716</v>
      </c>
      <c r="G5760" s="4" t="s">
        <v>36512</v>
      </c>
      <c r="H5760" s="6"/>
      <c r="I5760" s="6"/>
      <c r="J5760" s="6"/>
      <c r="K5760" s="6"/>
      <c r="L5760" s="6"/>
      <c r="M5760" s="6"/>
      <c r="N5760" s="6"/>
      <c r="O5760" s="6"/>
      <c r="P5760" s="6"/>
      <c r="Q5760" s="6"/>
      <c r="R5760" s="6"/>
      <c r="S5760" s="6"/>
      <c r="T5760" s="6"/>
      <c r="U5760" s="6"/>
      <c r="V5760" s="6"/>
      <c r="W5760" s="6"/>
      <c r="X5760" s="6"/>
      <c r="Y5760" s="6"/>
      <c r="Z5760" s="6"/>
      <c r="AA5760" s="6"/>
    </row>
    <row r="5761" ht="14.25">
      <c r="B5761" s="14" t="s">
        <v>36501</v>
      </c>
      <c r="C5761" s="4" t="s">
        <v>36513</v>
      </c>
      <c r="D5761" s="4" t="s">
        <v>36514</v>
      </c>
      <c r="E5761" s="4" t="s">
        <v>36515</v>
      </c>
      <c r="F5761" s="4" t="s">
        <v>3609</v>
      </c>
      <c r="G5761" s="4" t="s">
        <v>36516</v>
      </c>
      <c r="H5761" s="6"/>
      <c r="I5761" s="6"/>
      <c r="J5761" s="6"/>
      <c r="K5761" s="6"/>
      <c r="L5761" s="6"/>
      <c r="M5761" s="6"/>
      <c r="N5761" s="6"/>
      <c r="O5761" s="6"/>
      <c r="P5761" s="6"/>
      <c r="Q5761" s="6"/>
      <c r="R5761" s="6"/>
      <c r="S5761" s="6"/>
      <c r="T5761" s="6"/>
      <c r="U5761" s="6"/>
      <c r="V5761" s="6"/>
      <c r="W5761" s="6"/>
      <c r="X5761" s="6"/>
      <c r="Y5761" s="6"/>
      <c r="Z5761" s="6"/>
      <c r="AA5761" s="6"/>
    </row>
    <row r="5762" ht="14.25">
      <c r="B5762" s="14" t="s">
        <v>36501</v>
      </c>
      <c r="C5762" s="4" t="s">
        <v>36513</v>
      </c>
      <c r="D5762" s="4" t="s">
        <v>36517</v>
      </c>
      <c r="E5762" s="4" t="s">
        <v>36515</v>
      </c>
      <c r="F5762" s="4" t="s">
        <v>2508</v>
      </c>
      <c r="G5762" s="4" t="s">
        <v>36518</v>
      </c>
      <c r="H5762" s="6"/>
      <c r="I5762" s="6"/>
      <c r="J5762" s="6"/>
      <c r="K5762" s="6"/>
      <c r="L5762" s="6"/>
      <c r="M5762" s="6"/>
      <c r="N5762" s="6"/>
      <c r="O5762" s="6"/>
      <c r="P5762" s="6"/>
      <c r="Q5762" s="6"/>
      <c r="R5762" s="6"/>
      <c r="S5762" s="6"/>
      <c r="T5762" s="6"/>
      <c r="U5762" s="6"/>
      <c r="V5762" s="6"/>
      <c r="W5762" s="6"/>
      <c r="X5762" s="6"/>
      <c r="Y5762" s="6"/>
      <c r="Z5762" s="6"/>
      <c r="AA5762" s="6"/>
    </row>
    <row r="5763" ht="14.25">
      <c r="B5763" s="14" t="s">
        <v>36501</v>
      </c>
      <c r="C5763" s="4" t="s">
        <v>36519</v>
      </c>
      <c r="D5763" s="4" t="s">
        <v>36520</v>
      </c>
      <c r="E5763" s="4" t="s">
        <v>36521</v>
      </c>
      <c r="F5763" s="4" t="s">
        <v>32622</v>
      </c>
      <c r="G5763" s="4" t="s">
        <v>33820</v>
      </c>
      <c r="H5763" s="6"/>
      <c r="I5763" s="6"/>
      <c r="J5763" s="6"/>
      <c r="K5763" s="6"/>
      <c r="L5763" s="6"/>
      <c r="M5763" s="6"/>
      <c r="N5763" s="6"/>
      <c r="O5763" s="6"/>
      <c r="P5763" s="6"/>
      <c r="Q5763" s="6"/>
      <c r="R5763" s="6"/>
      <c r="S5763" s="6"/>
      <c r="T5763" s="6"/>
      <c r="U5763" s="6"/>
      <c r="V5763" s="6"/>
      <c r="W5763" s="6"/>
      <c r="X5763" s="6"/>
      <c r="Y5763" s="6"/>
      <c r="Z5763" s="6"/>
      <c r="AA5763" s="6"/>
    </row>
    <row r="5764" ht="14.25">
      <c r="B5764" s="14" t="s">
        <v>36501</v>
      </c>
      <c r="C5764" s="4" t="s">
        <v>36513</v>
      </c>
      <c r="D5764" s="4" t="s">
        <v>36522</v>
      </c>
      <c r="E5764" s="4" t="s">
        <v>36515</v>
      </c>
      <c r="F5764" s="4" t="s">
        <v>2994</v>
      </c>
      <c r="G5764" s="4" t="s">
        <v>36523</v>
      </c>
      <c r="H5764" s="6"/>
      <c r="I5764" s="6"/>
      <c r="J5764" s="6"/>
      <c r="K5764" s="6"/>
      <c r="L5764" s="6"/>
      <c r="M5764" s="6"/>
      <c r="N5764" s="6"/>
      <c r="O5764" s="6"/>
      <c r="P5764" s="6"/>
      <c r="Q5764" s="6"/>
      <c r="R5764" s="6"/>
      <c r="S5764" s="6"/>
      <c r="T5764" s="6"/>
      <c r="U5764" s="6"/>
      <c r="V5764" s="6"/>
      <c r="W5764" s="6"/>
      <c r="X5764" s="6"/>
      <c r="Y5764" s="6"/>
      <c r="Z5764" s="6"/>
      <c r="AA5764" s="6"/>
    </row>
    <row r="5765" ht="14.25">
      <c r="B5765" s="14" t="s">
        <v>36524</v>
      </c>
      <c r="C5765" s="4" t="s">
        <v>36525</v>
      </c>
      <c r="D5765" s="4" t="s">
        <v>36526</v>
      </c>
      <c r="E5765" s="4" t="s">
        <v>36527</v>
      </c>
      <c r="F5765" s="4" t="s">
        <v>679</v>
      </c>
      <c r="G5765" s="4" t="s">
        <v>36528</v>
      </c>
      <c r="H5765" s="6"/>
      <c r="I5765" s="6"/>
      <c r="J5765" s="6"/>
      <c r="K5765" s="6"/>
      <c r="L5765" s="6"/>
      <c r="M5765" s="6"/>
      <c r="N5765" s="6"/>
      <c r="O5765" s="6"/>
      <c r="P5765" s="6"/>
      <c r="Q5765" s="6"/>
      <c r="R5765" s="6"/>
      <c r="S5765" s="6"/>
      <c r="T5765" s="6"/>
      <c r="U5765" s="6"/>
      <c r="V5765" s="6"/>
      <c r="W5765" s="6"/>
      <c r="X5765" s="6"/>
      <c r="Y5765" s="6"/>
      <c r="Z5765" s="6"/>
      <c r="AA5765" s="6"/>
    </row>
    <row r="5766" ht="14.25">
      <c r="B5766" s="14" t="s">
        <v>36524</v>
      </c>
      <c r="C5766" s="4" t="s">
        <v>36525</v>
      </c>
      <c r="D5766" s="4" t="s">
        <v>36529</v>
      </c>
      <c r="E5766" s="4" t="s">
        <v>36527</v>
      </c>
      <c r="F5766" s="4" t="s">
        <v>33283</v>
      </c>
      <c r="G5766" s="4" t="s">
        <v>36530</v>
      </c>
      <c r="H5766" s="6"/>
      <c r="I5766" s="6"/>
      <c r="J5766" s="6"/>
      <c r="K5766" s="6"/>
      <c r="L5766" s="6"/>
      <c r="M5766" s="6"/>
      <c r="N5766" s="6"/>
      <c r="O5766" s="6"/>
      <c r="P5766" s="6"/>
      <c r="Q5766" s="6"/>
      <c r="R5766" s="6"/>
      <c r="S5766" s="6"/>
      <c r="T5766" s="6"/>
      <c r="U5766" s="6"/>
      <c r="V5766" s="6"/>
      <c r="W5766" s="6"/>
      <c r="X5766" s="6"/>
      <c r="Y5766" s="6"/>
      <c r="Z5766" s="6"/>
      <c r="AA5766" s="6"/>
    </row>
    <row r="5767" ht="14.25">
      <c r="B5767" s="14" t="s">
        <v>36531</v>
      </c>
      <c r="C5767" s="4" t="s">
        <v>36532</v>
      </c>
      <c r="D5767" s="4" t="s">
        <v>36533</v>
      </c>
      <c r="E5767" s="6"/>
      <c r="F5767" s="4" t="s">
        <v>110</v>
      </c>
      <c r="G5767" s="4" t="s">
        <v>36534</v>
      </c>
      <c r="H5767" s="6"/>
      <c r="I5767" s="6"/>
      <c r="J5767" s="6"/>
      <c r="K5767" s="6"/>
      <c r="L5767" s="6"/>
      <c r="M5767" s="6"/>
      <c r="N5767" s="6"/>
      <c r="O5767" s="6"/>
      <c r="P5767" s="6"/>
      <c r="Q5767" s="6"/>
      <c r="R5767" s="6"/>
      <c r="S5767" s="6"/>
      <c r="T5767" s="6"/>
      <c r="U5767" s="6"/>
      <c r="V5767" s="6"/>
      <c r="W5767" s="6"/>
      <c r="X5767" s="6"/>
      <c r="Y5767" s="6"/>
      <c r="Z5767" s="6"/>
      <c r="AA5767" s="6"/>
    </row>
    <row r="5768" ht="14.25">
      <c r="B5768" s="14" t="s">
        <v>36535</v>
      </c>
      <c r="C5768" s="4" t="s">
        <v>36536</v>
      </c>
      <c r="D5768" s="4" t="s">
        <v>36537</v>
      </c>
      <c r="E5768" s="6"/>
      <c r="F5768" s="4" t="s">
        <v>355</v>
      </c>
      <c r="G5768" s="4" t="s">
        <v>36538</v>
      </c>
      <c r="H5768" s="6"/>
      <c r="I5768" s="6"/>
      <c r="J5768" s="6"/>
      <c r="K5768" s="6"/>
      <c r="L5768" s="6"/>
      <c r="M5768" s="6"/>
      <c r="N5768" s="6"/>
      <c r="O5768" s="6"/>
      <c r="P5768" s="6"/>
      <c r="Q5768" s="6"/>
      <c r="R5768" s="6"/>
      <c r="S5768" s="6"/>
      <c r="T5768" s="6"/>
      <c r="U5768" s="6"/>
      <c r="V5768" s="6"/>
      <c r="W5768" s="6"/>
      <c r="X5768" s="6"/>
      <c r="Y5768" s="6"/>
      <c r="Z5768" s="6"/>
      <c r="AA5768" s="6"/>
    </row>
    <row r="5769" ht="14.25">
      <c r="B5769" s="14" t="s">
        <v>36539</v>
      </c>
      <c r="C5769" s="4" t="s">
        <v>36540</v>
      </c>
      <c r="D5769" s="4" t="s">
        <v>36541</v>
      </c>
      <c r="E5769" s="4" t="s">
        <v>36542</v>
      </c>
      <c r="F5769" s="4" t="s">
        <v>7331</v>
      </c>
      <c r="G5769" s="4" t="s">
        <v>36543</v>
      </c>
      <c r="H5769" s="6"/>
      <c r="I5769" s="6"/>
      <c r="J5769" s="6"/>
      <c r="K5769" s="6"/>
      <c r="L5769" s="6"/>
      <c r="M5769" s="6"/>
      <c r="N5769" s="6"/>
      <c r="O5769" s="6"/>
      <c r="P5769" s="6"/>
      <c r="Q5769" s="6"/>
      <c r="R5769" s="6"/>
      <c r="S5769" s="6"/>
      <c r="T5769" s="6"/>
      <c r="U5769" s="6"/>
      <c r="V5769" s="6"/>
      <c r="W5769" s="6"/>
      <c r="X5769" s="6"/>
      <c r="Y5769" s="6"/>
      <c r="Z5769" s="6"/>
      <c r="AA5769" s="6"/>
    </row>
    <row r="5770" ht="14.25">
      <c r="B5770" s="14" t="s">
        <v>36539</v>
      </c>
      <c r="C5770" s="4" t="s">
        <v>36540</v>
      </c>
      <c r="D5770" s="4" t="s">
        <v>36544</v>
      </c>
      <c r="E5770" s="4" t="s">
        <v>36542</v>
      </c>
      <c r="F5770" s="4" t="s">
        <v>222</v>
      </c>
      <c r="G5770" s="4" t="s">
        <v>36545</v>
      </c>
      <c r="H5770" s="6"/>
      <c r="I5770" s="6"/>
      <c r="J5770" s="6"/>
      <c r="K5770" s="6"/>
      <c r="L5770" s="6"/>
      <c r="M5770" s="6"/>
      <c r="N5770" s="6"/>
      <c r="O5770" s="6"/>
      <c r="P5770" s="6"/>
      <c r="Q5770" s="6"/>
      <c r="R5770" s="6"/>
      <c r="S5770" s="6"/>
      <c r="T5770" s="6"/>
      <c r="U5770" s="6"/>
      <c r="V5770" s="6"/>
      <c r="W5770" s="6"/>
      <c r="X5770" s="6"/>
      <c r="Y5770" s="6"/>
      <c r="Z5770" s="6"/>
      <c r="AA5770" s="6"/>
    </row>
    <row r="5771" ht="14.25">
      <c r="B5771" s="14" t="s">
        <v>36539</v>
      </c>
      <c r="C5771" s="4" t="s">
        <v>36540</v>
      </c>
      <c r="D5771" s="4" t="s">
        <v>36546</v>
      </c>
      <c r="E5771" s="4" t="s">
        <v>36542</v>
      </c>
      <c r="F5771" s="4" t="s">
        <v>5679</v>
      </c>
      <c r="G5771" s="4" t="s">
        <v>36547</v>
      </c>
      <c r="H5771" s="6"/>
      <c r="I5771" s="6"/>
      <c r="J5771" s="6"/>
      <c r="K5771" s="6"/>
      <c r="L5771" s="6"/>
      <c r="M5771" s="6"/>
      <c r="N5771" s="6"/>
      <c r="O5771" s="6"/>
      <c r="P5771" s="6"/>
      <c r="Q5771" s="6"/>
      <c r="R5771" s="6"/>
      <c r="S5771" s="6"/>
      <c r="T5771" s="6"/>
      <c r="U5771" s="6"/>
      <c r="V5771" s="6"/>
      <c r="W5771" s="6"/>
      <c r="X5771" s="6"/>
      <c r="Y5771" s="6"/>
      <c r="Z5771" s="6"/>
      <c r="AA5771" s="6"/>
    </row>
    <row r="5772" ht="14.25">
      <c r="B5772" s="14" t="s">
        <v>36548</v>
      </c>
      <c r="C5772" s="4" t="s">
        <v>36549</v>
      </c>
      <c r="D5772" s="4" t="s">
        <v>36550</v>
      </c>
      <c r="E5772" s="4" t="s">
        <v>36551</v>
      </c>
      <c r="F5772" s="4" t="s">
        <v>1215</v>
      </c>
      <c r="G5772" s="4" t="s">
        <v>36552</v>
      </c>
      <c r="H5772" s="6"/>
      <c r="I5772" s="6"/>
      <c r="J5772" s="6"/>
      <c r="K5772" s="6"/>
      <c r="L5772" s="6"/>
      <c r="M5772" s="6"/>
      <c r="N5772" s="6"/>
      <c r="O5772" s="6"/>
      <c r="P5772" s="6"/>
      <c r="Q5772" s="6"/>
      <c r="R5772" s="6"/>
      <c r="S5772" s="6"/>
      <c r="T5772" s="6"/>
      <c r="U5772" s="6"/>
      <c r="V5772" s="6"/>
      <c r="W5772" s="6"/>
      <c r="X5772" s="6"/>
      <c r="Y5772" s="6"/>
      <c r="Z5772" s="6"/>
      <c r="AA5772" s="6"/>
    </row>
    <row r="5773" ht="14.25">
      <c r="B5773" s="14" t="s">
        <v>36553</v>
      </c>
      <c r="C5773" s="4" t="s">
        <v>36554</v>
      </c>
      <c r="D5773" s="4" t="s">
        <v>36555</v>
      </c>
      <c r="E5773" s="4" t="s">
        <v>36556</v>
      </c>
      <c r="F5773" s="4" t="s">
        <v>2311</v>
      </c>
      <c r="G5773" s="4" t="s">
        <v>36557</v>
      </c>
      <c r="H5773" s="6"/>
      <c r="I5773" s="6"/>
      <c r="J5773" s="6"/>
      <c r="K5773" s="6"/>
      <c r="L5773" s="6"/>
      <c r="M5773" s="6"/>
      <c r="N5773" s="6"/>
      <c r="O5773" s="6"/>
      <c r="P5773" s="6"/>
      <c r="Q5773" s="6"/>
      <c r="R5773" s="6"/>
      <c r="S5773" s="6"/>
      <c r="T5773" s="6"/>
      <c r="U5773" s="6"/>
      <c r="V5773" s="6"/>
      <c r="W5773" s="6"/>
      <c r="X5773" s="6"/>
      <c r="Y5773" s="6"/>
      <c r="Z5773" s="6"/>
      <c r="AA5773" s="6"/>
    </row>
    <row r="5774" ht="14.25">
      <c r="B5774" s="14" t="s">
        <v>36553</v>
      </c>
      <c r="C5774" s="4" t="s">
        <v>36554</v>
      </c>
      <c r="D5774" s="4" t="s">
        <v>36558</v>
      </c>
      <c r="E5774" s="4" t="s">
        <v>36556</v>
      </c>
      <c r="F5774" s="4" t="s">
        <v>1215</v>
      </c>
      <c r="G5774" s="4" t="s">
        <v>36559</v>
      </c>
      <c r="H5774" s="6"/>
      <c r="I5774" s="6"/>
      <c r="J5774" s="6"/>
      <c r="K5774" s="6"/>
      <c r="L5774" s="6"/>
      <c r="M5774" s="6"/>
      <c r="N5774" s="6"/>
      <c r="O5774" s="6"/>
      <c r="P5774" s="6"/>
      <c r="Q5774" s="6"/>
      <c r="R5774" s="6"/>
      <c r="S5774" s="6"/>
      <c r="T5774" s="6"/>
      <c r="U5774" s="6"/>
      <c r="V5774" s="6"/>
      <c r="W5774" s="6"/>
      <c r="X5774" s="6"/>
      <c r="Y5774" s="6"/>
      <c r="Z5774" s="6"/>
      <c r="AA5774" s="6"/>
    </row>
    <row r="5775" ht="14.25">
      <c r="B5775" s="14" t="s">
        <v>36553</v>
      </c>
      <c r="C5775" s="4" t="s">
        <v>36554</v>
      </c>
      <c r="D5775" s="4" t="s">
        <v>36560</v>
      </c>
      <c r="E5775" s="4" t="s">
        <v>36556</v>
      </c>
      <c r="F5775" s="4" t="s">
        <v>32579</v>
      </c>
      <c r="G5775" s="4" t="s">
        <v>36561</v>
      </c>
      <c r="H5775" s="6"/>
      <c r="I5775" s="6"/>
      <c r="J5775" s="6"/>
      <c r="K5775" s="6"/>
      <c r="L5775" s="6"/>
      <c r="M5775" s="6"/>
      <c r="N5775" s="6"/>
      <c r="O5775" s="6"/>
      <c r="P5775" s="6"/>
      <c r="Q5775" s="6"/>
      <c r="R5775" s="6"/>
      <c r="S5775" s="6"/>
      <c r="T5775" s="6"/>
      <c r="U5775" s="6"/>
      <c r="V5775" s="6"/>
      <c r="W5775" s="6"/>
      <c r="X5775" s="6"/>
      <c r="Y5775" s="6"/>
      <c r="Z5775" s="6"/>
      <c r="AA5775" s="6"/>
    </row>
    <row r="5776" ht="14.25">
      <c r="B5776" s="14" t="s">
        <v>36553</v>
      </c>
      <c r="C5776" s="4" t="s">
        <v>36562</v>
      </c>
      <c r="D5776" s="4" t="s">
        <v>36563</v>
      </c>
      <c r="E5776" s="6"/>
      <c r="F5776" s="4" t="s">
        <v>604</v>
      </c>
      <c r="G5776" s="4" t="s">
        <v>36564</v>
      </c>
      <c r="H5776" s="6"/>
      <c r="I5776" s="6"/>
      <c r="J5776" s="6"/>
      <c r="K5776" s="6"/>
      <c r="L5776" s="6"/>
      <c r="M5776" s="6"/>
      <c r="N5776" s="6"/>
      <c r="O5776" s="6"/>
      <c r="P5776" s="6"/>
      <c r="Q5776" s="6"/>
      <c r="R5776" s="6"/>
      <c r="S5776" s="6"/>
      <c r="T5776" s="6"/>
      <c r="U5776" s="6"/>
      <c r="V5776" s="6"/>
      <c r="W5776" s="6"/>
      <c r="X5776" s="6"/>
      <c r="Y5776" s="6"/>
      <c r="Z5776" s="6"/>
      <c r="AA5776" s="6"/>
    </row>
    <row r="5777" ht="14.25">
      <c r="B5777" s="14" t="s">
        <v>36565</v>
      </c>
      <c r="C5777" s="4" t="s">
        <v>36566</v>
      </c>
      <c r="D5777" s="4" t="s">
        <v>36567</v>
      </c>
      <c r="E5777" s="6"/>
      <c r="F5777" s="4" t="s">
        <v>5579</v>
      </c>
      <c r="G5777" s="4" t="s">
        <v>36568</v>
      </c>
      <c r="H5777" s="6"/>
      <c r="I5777" s="6"/>
      <c r="J5777" s="6"/>
      <c r="K5777" s="6"/>
      <c r="L5777" s="6"/>
      <c r="M5777" s="6"/>
      <c r="N5777" s="6"/>
      <c r="O5777" s="6"/>
      <c r="P5777" s="6"/>
      <c r="Q5777" s="6"/>
      <c r="R5777" s="6"/>
      <c r="S5777" s="6"/>
      <c r="T5777" s="6"/>
      <c r="U5777" s="6"/>
      <c r="V5777" s="6"/>
      <c r="W5777" s="6"/>
      <c r="X5777" s="6"/>
      <c r="Y5777" s="6"/>
      <c r="Z5777" s="6"/>
      <c r="AA5777" s="6"/>
    </row>
    <row r="5778" ht="14.25">
      <c r="B5778" s="14" t="s">
        <v>36569</v>
      </c>
      <c r="C5778" s="4" t="s">
        <v>36570</v>
      </c>
      <c r="D5778" s="4" t="s">
        <v>36571</v>
      </c>
      <c r="E5778" s="4" t="s">
        <v>36572</v>
      </c>
      <c r="F5778" s="4" t="s">
        <v>36573</v>
      </c>
      <c r="G5778" s="4" t="s">
        <v>36574</v>
      </c>
      <c r="H5778" s="6"/>
      <c r="I5778" s="6"/>
      <c r="J5778" s="6"/>
      <c r="K5778" s="6"/>
      <c r="L5778" s="6"/>
      <c r="M5778" s="6"/>
      <c r="N5778" s="6"/>
      <c r="O5778" s="6"/>
      <c r="P5778" s="6"/>
      <c r="Q5778" s="6"/>
      <c r="R5778" s="6"/>
      <c r="S5778" s="6"/>
      <c r="T5778" s="6"/>
      <c r="U5778" s="6"/>
      <c r="V5778" s="6"/>
      <c r="W5778" s="6"/>
      <c r="X5778" s="6"/>
      <c r="Y5778" s="6"/>
      <c r="Z5778" s="6"/>
      <c r="AA5778" s="6"/>
    </row>
    <row r="5779" ht="14.25">
      <c r="B5779" s="14" t="s">
        <v>36575</v>
      </c>
      <c r="C5779" s="4" t="s">
        <v>36576</v>
      </c>
      <c r="D5779" s="4" t="s">
        <v>36577</v>
      </c>
      <c r="E5779" s="6"/>
      <c r="F5779" s="4" t="s">
        <v>110</v>
      </c>
      <c r="G5779" s="4" t="s">
        <v>36578</v>
      </c>
      <c r="H5779" s="6"/>
      <c r="I5779" s="6"/>
      <c r="J5779" s="6"/>
      <c r="K5779" s="6"/>
      <c r="L5779" s="6"/>
      <c r="M5779" s="6"/>
      <c r="N5779" s="6"/>
      <c r="O5779" s="6"/>
      <c r="P5779" s="6"/>
      <c r="Q5779" s="6"/>
      <c r="R5779" s="6"/>
      <c r="S5779" s="6"/>
      <c r="T5779" s="6"/>
      <c r="U5779" s="6"/>
      <c r="V5779" s="6"/>
      <c r="W5779" s="6"/>
      <c r="X5779" s="6"/>
      <c r="Y5779" s="6"/>
      <c r="Z5779" s="6"/>
      <c r="AA5779" s="6"/>
    </row>
    <row r="5780" ht="14.25">
      <c r="B5780" s="14" t="s">
        <v>36575</v>
      </c>
      <c r="C5780" s="4" t="s">
        <v>36579</v>
      </c>
      <c r="D5780" s="4" t="s">
        <v>36580</v>
      </c>
      <c r="E5780" s="6"/>
      <c r="F5780" s="4" t="s">
        <v>2119</v>
      </c>
      <c r="G5780" s="4" t="s">
        <v>36581</v>
      </c>
      <c r="H5780" s="6"/>
      <c r="I5780" s="6"/>
      <c r="J5780" s="6"/>
      <c r="K5780" s="6"/>
      <c r="L5780" s="6"/>
      <c r="M5780" s="6"/>
      <c r="N5780" s="6"/>
      <c r="O5780" s="6"/>
      <c r="P5780" s="6"/>
      <c r="Q5780" s="6"/>
      <c r="R5780" s="6"/>
      <c r="S5780" s="6"/>
      <c r="T5780" s="6"/>
      <c r="U5780" s="6"/>
      <c r="V5780" s="6"/>
      <c r="W5780" s="6"/>
      <c r="X5780" s="6"/>
      <c r="Y5780" s="6"/>
      <c r="Z5780" s="6"/>
      <c r="AA5780" s="6"/>
    </row>
    <row r="5781" ht="14.25">
      <c r="B5781" s="14" t="s">
        <v>36575</v>
      </c>
      <c r="C5781" s="4" t="s">
        <v>36579</v>
      </c>
      <c r="D5781" s="4" t="s">
        <v>36582</v>
      </c>
      <c r="E5781" s="4" t="s">
        <v>36580</v>
      </c>
      <c r="F5781" s="4" t="s">
        <v>32548</v>
      </c>
      <c r="G5781" s="4" t="s">
        <v>36583</v>
      </c>
      <c r="H5781" s="6"/>
      <c r="I5781" s="6"/>
      <c r="J5781" s="6"/>
      <c r="K5781" s="6"/>
      <c r="L5781" s="6"/>
      <c r="M5781" s="6"/>
      <c r="N5781" s="6"/>
      <c r="O5781" s="6"/>
      <c r="P5781" s="6"/>
      <c r="Q5781" s="6"/>
      <c r="R5781" s="6"/>
      <c r="S5781" s="6"/>
      <c r="T5781" s="6"/>
      <c r="U5781" s="6"/>
      <c r="V5781" s="6"/>
      <c r="W5781" s="6"/>
      <c r="X5781" s="6"/>
      <c r="Y5781" s="6"/>
      <c r="Z5781" s="6"/>
      <c r="AA5781" s="6"/>
    </row>
    <row r="5782" ht="14.25">
      <c r="B5782" s="14" t="s">
        <v>36575</v>
      </c>
      <c r="C5782" s="4" t="s">
        <v>36579</v>
      </c>
      <c r="D5782" s="4" t="s">
        <v>36584</v>
      </c>
      <c r="E5782" s="4" t="s">
        <v>36580</v>
      </c>
      <c r="F5782" s="4" t="s">
        <v>768</v>
      </c>
      <c r="G5782" s="4" t="s">
        <v>36585</v>
      </c>
      <c r="H5782" s="6"/>
      <c r="I5782" s="6"/>
      <c r="J5782" s="6"/>
      <c r="K5782" s="6"/>
      <c r="L5782" s="6"/>
      <c r="M5782" s="6"/>
      <c r="N5782" s="6"/>
      <c r="O5782" s="6"/>
      <c r="P5782" s="6"/>
      <c r="Q5782" s="6"/>
      <c r="R5782" s="6"/>
      <c r="S5782" s="6"/>
      <c r="T5782" s="6"/>
      <c r="U5782" s="6"/>
      <c r="V5782" s="6"/>
      <c r="W5782" s="6"/>
      <c r="X5782" s="6"/>
      <c r="Y5782" s="6"/>
      <c r="Z5782" s="6"/>
      <c r="AA5782" s="6"/>
    </row>
    <row r="5783" ht="14.25">
      <c r="B5783" s="14" t="s">
        <v>36575</v>
      </c>
      <c r="C5783" s="4" t="s">
        <v>36579</v>
      </c>
      <c r="D5783" s="4" t="s">
        <v>36586</v>
      </c>
      <c r="E5783" s="4" t="s">
        <v>36580</v>
      </c>
      <c r="F5783" s="4" t="s">
        <v>33923</v>
      </c>
      <c r="G5783" s="4" t="s">
        <v>36587</v>
      </c>
      <c r="H5783" s="6"/>
      <c r="I5783" s="6"/>
      <c r="J5783" s="6"/>
      <c r="K5783" s="6"/>
      <c r="L5783" s="6"/>
      <c r="M5783" s="6"/>
      <c r="N5783" s="6"/>
      <c r="O5783" s="6"/>
      <c r="P5783" s="6"/>
      <c r="Q5783" s="6"/>
      <c r="R5783" s="6"/>
      <c r="S5783" s="6"/>
      <c r="T5783" s="6"/>
      <c r="U5783" s="6"/>
      <c r="V5783" s="6"/>
      <c r="W5783" s="6"/>
      <c r="X5783" s="6"/>
      <c r="Y5783" s="6"/>
      <c r="Z5783" s="6"/>
      <c r="AA5783" s="6"/>
    </row>
    <row r="5784" ht="14.25">
      <c r="B5784" s="14" t="s">
        <v>36575</v>
      </c>
      <c r="C5784" s="4" t="s">
        <v>36579</v>
      </c>
      <c r="D5784" s="4" t="s">
        <v>36588</v>
      </c>
      <c r="E5784" s="4" t="s">
        <v>36580</v>
      </c>
      <c r="F5784" s="4" t="s">
        <v>20</v>
      </c>
      <c r="G5784" s="4" t="s">
        <v>35161</v>
      </c>
      <c r="H5784" s="6"/>
      <c r="I5784" s="6"/>
      <c r="J5784" s="6"/>
      <c r="K5784" s="6"/>
      <c r="L5784" s="6"/>
      <c r="M5784" s="6"/>
      <c r="N5784" s="6"/>
      <c r="O5784" s="6"/>
      <c r="P5784" s="6"/>
      <c r="Q5784" s="6"/>
      <c r="R5784" s="6"/>
      <c r="S5784" s="6"/>
      <c r="T5784" s="6"/>
      <c r="U5784" s="6"/>
      <c r="V5784" s="6"/>
      <c r="W5784" s="6"/>
      <c r="X5784" s="6"/>
      <c r="Y5784" s="6"/>
      <c r="Z5784" s="6"/>
      <c r="AA5784" s="6"/>
    </row>
    <row r="5785" ht="14.25">
      <c r="B5785" s="14" t="s">
        <v>36575</v>
      </c>
      <c r="C5785" s="4" t="s">
        <v>36579</v>
      </c>
      <c r="D5785" s="4" t="s">
        <v>36589</v>
      </c>
      <c r="E5785" s="4" t="s">
        <v>36580</v>
      </c>
      <c r="F5785" s="4" t="s">
        <v>2299</v>
      </c>
      <c r="G5785" s="4" t="s">
        <v>36590</v>
      </c>
      <c r="H5785" s="6"/>
      <c r="I5785" s="6"/>
      <c r="J5785" s="6"/>
      <c r="K5785" s="6"/>
      <c r="L5785" s="6"/>
      <c r="M5785" s="6"/>
      <c r="N5785" s="6"/>
      <c r="O5785" s="6"/>
      <c r="P5785" s="6"/>
      <c r="Q5785" s="6"/>
      <c r="R5785" s="6"/>
      <c r="S5785" s="6"/>
      <c r="T5785" s="6"/>
      <c r="U5785" s="6"/>
      <c r="V5785" s="6"/>
      <c r="W5785" s="6"/>
      <c r="X5785" s="6"/>
      <c r="Y5785" s="6"/>
      <c r="Z5785" s="6"/>
      <c r="AA5785" s="6"/>
    </row>
    <row r="5786" ht="14.25">
      <c r="B5786" s="14" t="s">
        <v>36591</v>
      </c>
      <c r="C5786" s="4" t="s">
        <v>36592</v>
      </c>
      <c r="D5786" s="4" t="s">
        <v>36593</v>
      </c>
      <c r="E5786" s="6"/>
      <c r="F5786" s="4" t="s">
        <v>5679</v>
      </c>
      <c r="G5786" s="4" t="s">
        <v>36594</v>
      </c>
      <c r="H5786" s="6"/>
      <c r="I5786" s="6"/>
      <c r="J5786" s="6"/>
      <c r="K5786" s="6"/>
      <c r="L5786" s="6"/>
      <c r="M5786" s="6"/>
      <c r="N5786" s="6"/>
      <c r="O5786" s="6"/>
      <c r="P5786" s="6"/>
      <c r="Q5786" s="6"/>
      <c r="R5786" s="6"/>
      <c r="S5786" s="6"/>
      <c r="T5786" s="6"/>
      <c r="U5786" s="6"/>
      <c r="V5786" s="6"/>
      <c r="W5786" s="6"/>
      <c r="X5786" s="6"/>
      <c r="Y5786" s="6"/>
      <c r="Z5786" s="6"/>
      <c r="AA5786" s="6"/>
    </row>
    <row r="5787" ht="14.25">
      <c r="B5787" s="14" t="s">
        <v>36595</v>
      </c>
      <c r="C5787" s="4" t="s">
        <v>36596</v>
      </c>
      <c r="D5787" s="4" t="s">
        <v>36597</v>
      </c>
      <c r="E5787" s="4" t="s">
        <v>36598</v>
      </c>
      <c r="F5787" s="4" t="s">
        <v>69</v>
      </c>
      <c r="G5787" s="4" t="s">
        <v>36599</v>
      </c>
      <c r="H5787" s="6"/>
      <c r="I5787" s="6"/>
      <c r="J5787" s="6"/>
      <c r="K5787" s="6"/>
      <c r="L5787" s="6"/>
      <c r="M5787" s="6"/>
      <c r="N5787" s="6"/>
      <c r="O5787" s="6"/>
      <c r="P5787" s="6"/>
      <c r="Q5787" s="6"/>
      <c r="R5787" s="6"/>
      <c r="S5787" s="6"/>
      <c r="T5787" s="6"/>
      <c r="U5787" s="6"/>
      <c r="V5787" s="6"/>
      <c r="W5787" s="6"/>
      <c r="X5787" s="6"/>
      <c r="Y5787" s="6"/>
      <c r="Z5787" s="6"/>
      <c r="AA5787" s="6"/>
    </row>
    <row r="5788" ht="14.25">
      <c r="B5788" s="14" t="s">
        <v>36600</v>
      </c>
      <c r="C5788" s="4" t="s">
        <v>36601</v>
      </c>
      <c r="D5788" s="4" t="s">
        <v>36602</v>
      </c>
      <c r="E5788" s="4" t="s">
        <v>36603</v>
      </c>
      <c r="F5788" s="4" t="s">
        <v>866</v>
      </c>
      <c r="G5788" s="4" t="s">
        <v>36604</v>
      </c>
      <c r="H5788" s="6"/>
      <c r="I5788" s="6"/>
      <c r="J5788" s="6"/>
      <c r="K5788" s="6"/>
      <c r="L5788" s="6"/>
      <c r="M5788" s="6"/>
      <c r="N5788" s="6"/>
      <c r="O5788" s="6"/>
      <c r="P5788" s="6"/>
      <c r="Q5788" s="6"/>
      <c r="R5788" s="6"/>
      <c r="S5788" s="6"/>
      <c r="T5788" s="6"/>
      <c r="U5788" s="6"/>
      <c r="V5788" s="6"/>
      <c r="W5788" s="6"/>
      <c r="X5788" s="6"/>
      <c r="Y5788" s="6"/>
      <c r="Z5788" s="6"/>
      <c r="AA5788" s="6"/>
    </row>
    <row r="5789" ht="14.25">
      <c r="B5789" s="14" t="s">
        <v>36600</v>
      </c>
      <c r="C5789" s="4" t="s">
        <v>36601</v>
      </c>
      <c r="D5789" s="4" t="s">
        <v>36605</v>
      </c>
      <c r="E5789" s="4" t="s">
        <v>36603</v>
      </c>
      <c r="F5789" s="4" t="s">
        <v>36606</v>
      </c>
      <c r="G5789" s="4" t="s">
        <v>36607</v>
      </c>
      <c r="H5789" s="6"/>
      <c r="I5789" s="6"/>
      <c r="J5789" s="6"/>
      <c r="K5789" s="6"/>
      <c r="L5789" s="6"/>
      <c r="M5789" s="6"/>
      <c r="N5789" s="6"/>
      <c r="O5789" s="6"/>
      <c r="P5789" s="6"/>
      <c r="Q5789" s="6"/>
      <c r="R5789" s="6"/>
      <c r="S5789" s="6"/>
      <c r="T5789" s="6"/>
      <c r="U5789" s="6"/>
      <c r="V5789" s="6"/>
      <c r="W5789" s="6"/>
      <c r="X5789" s="6"/>
      <c r="Y5789" s="6"/>
      <c r="Z5789" s="6"/>
      <c r="AA5789" s="6"/>
    </row>
    <row r="5790" ht="14.25">
      <c r="B5790" s="14" t="s">
        <v>36600</v>
      </c>
      <c r="C5790" s="4" t="s">
        <v>36601</v>
      </c>
      <c r="D5790" s="4" t="s">
        <v>36608</v>
      </c>
      <c r="E5790" s="4" t="s">
        <v>36603</v>
      </c>
      <c r="F5790" s="4" t="s">
        <v>866</v>
      </c>
      <c r="G5790" s="4" t="s">
        <v>36609</v>
      </c>
      <c r="H5790" s="6"/>
      <c r="I5790" s="6"/>
      <c r="J5790" s="6"/>
      <c r="K5790" s="6"/>
      <c r="L5790" s="6"/>
      <c r="M5790" s="6"/>
      <c r="N5790" s="6"/>
      <c r="O5790" s="6"/>
      <c r="P5790" s="6"/>
      <c r="Q5790" s="6"/>
      <c r="R5790" s="6"/>
      <c r="S5790" s="6"/>
      <c r="T5790" s="6"/>
      <c r="U5790" s="6"/>
      <c r="V5790" s="6"/>
      <c r="W5790" s="6"/>
      <c r="X5790" s="6"/>
      <c r="Y5790" s="6"/>
      <c r="Z5790" s="6"/>
      <c r="AA5790" s="6"/>
    </row>
    <row r="5791" ht="14.25">
      <c r="B5791" s="14" t="s">
        <v>36600</v>
      </c>
      <c r="C5791" s="4" t="s">
        <v>36601</v>
      </c>
      <c r="D5791" s="4" t="s">
        <v>36610</v>
      </c>
      <c r="E5791" s="4" t="s">
        <v>36603</v>
      </c>
      <c r="F5791" s="4" t="s">
        <v>36359</v>
      </c>
      <c r="G5791" s="4" t="s">
        <v>36611</v>
      </c>
      <c r="H5791" s="6"/>
      <c r="I5791" s="6"/>
      <c r="J5791" s="6"/>
      <c r="K5791" s="6"/>
      <c r="L5791" s="6"/>
      <c r="M5791" s="6"/>
      <c r="N5791" s="6"/>
      <c r="O5791" s="6"/>
      <c r="P5791" s="6"/>
      <c r="Q5791" s="6"/>
      <c r="R5791" s="6"/>
      <c r="S5791" s="6"/>
      <c r="T5791" s="6"/>
      <c r="U5791" s="6"/>
      <c r="V5791" s="6"/>
      <c r="W5791" s="6"/>
      <c r="X5791" s="6"/>
      <c r="Y5791" s="6"/>
      <c r="Z5791" s="6"/>
      <c r="AA5791" s="6"/>
    </row>
    <row r="5792" ht="14.25">
      <c r="B5792" s="14" t="s">
        <v>36612</v>
      </c>
      <c r="C5792" s="4" t="s">
        <v>36613</v>
      </c>
      <c r="D5792" s="4" t="s">
        <v>36614</v>
      </c>
      <c r="E5792" s="4" t="s">
        <v>36615</v>
      </c>
      <c r="F5792" s="4" t="s">
        <v>32880</v>
      </c>
      <c r="G5792" s="4" t="s">
        <v>36616</v>
      </c>
      <c r="H5792" s="6"/>
      <c r="I5792" s="6"/>
      <c r="J5792" s="6"/>
      <c r="K5792" s="6"/>
      <c r="L5792" s="6"/>
      <c r="M5792" s="6"/>
      <c r="N5792" s="6"/>
      <c r="O5792" s="6"/>
      <c r="P5792" s="6"/>
      <c r="Q5792" s="6"/>
      <c r="R5792" s="6"/>
      <c r="S5792" s="6"/>
      <c r="T5792" s="6"/>
      <c r="U5792" s="6"/>
      <c r="V5792" s="6"/>
      <c r="W5792" s="6"/>
      <c r="X5792" s="6"/>
      <c r="Y5792" s="6"/>
      <c r="Z5792" s="6"/>
      <c r="AA5792" s="6"/>
    </row>
    <row r="5793" ht="14.25">
      <c r="B5793" s="14" t="s">
        <v>36617</v>
      </c>
      <c r="C5793" s="4" t="s">
        <v>36618</v>
      </c>
      <c r="D5793" s="4" t="s">
        <v>36619</v>
      </c>
      <c r="E5793" s="4" t="s">
        <v>36620</v>
      </c>
      <c r="F5793" s="4" t="s">
        <v>1499</v>
      </c>
      <c r="G5793" s="4" t="s">
        <v>36621</v>
      </c>
      <c r="H5793" s="6"/>
      <c r="I5793" s="6"/>
      <c r="J5793" s="6"/>
      <c r="K5793" s="6"/>
      <c r="L5793" s="6"/>
      <c r="M5793" s="6"/>
      <c r="N5793" s="6"/>
      <c r="O5793" s="6"/>
      <c r="P5793" s="6"/>
      <c r="Q5793" s="6"/>
      <c r="R5793" s="6"/>
      <c r="S5793" s="6"/>
      <c r="T5793" s="6"/>
      <c r="U5793" s="6"/>
      <c r="V5793" s="6"/>
      <c r="W5793" s="6"/>
      <c r="X5793" s="6"/>
      <c r="Y5793" s="6"/>
      <c r="Z5793" s="6"/>
      <c r="AA5793" s="6"/>
    </row>
    <row r="5794" ht="14.25">
      <c r="B5794" s="14" t="s">
        <v>36622</v>
      </c>
      <c r="C5794" s="4" t="s">
        <v>36623</v>
      </c>
      <c r="D5794" s="4" t="s">
        <v>36624</v>
      </c>
      <c r="E5794" s="4" t="s">
        <v>36625</v>
      </c>
      <c r="F5794" s="4" t="s">
        <v>5579</v>
      </c>
      <c r="G5794" s="4" t="s">
        <v>36626</v>
      </c>
      <c r="H5794" s="6"/>
      <c r="I5794" s="6"/>
      <c r="J5794" s="6"/>
      <c r="K5794" s="6"/>
      <c r="L5794" s="6"/>
      <c r="M5794" s="6"/>
      <c r="N5794" s="6"/>
      <c r="O5794" s="6"/>
      <c r="P5794" s="6"/>
      <c r="Q5794" s="6"/>
      <c r="R5794" s="6"/>
      <c r="S5794" s="6"/>
      <c r="T5794" s="6"/>
      <c r="U5794" s="6"/>
      <c r="V5794" s="6"/>
      <c r="W5794" s="6"/>
      <c r="X5794" s="6"/>
      <c r="Y5794" s="6"/>
      <c r="Z5794" s="6"/>
      <c r="AA5794" s="6"/>
    </row>
    <row r="5795" ht="14.25">
      <c r="B5795" s="14" t="s">
        <v>36627</v>
      </c>
      <c r="C5795" s="4" t="s">
        <v>36628</v>
      </c>
      <c r="D5795" s="4" t="s">
        <v>36629</v>
      </c>
      <c r="E5795" s="4" t="s">
        <v>36630</v>
      </c>
      <c r="F5795" s="4" t="s">
        <v>4012</v>
      </c>
      <c r="G5795" s="4" t="s">
        <v>36631</v>
      </c>
      <c r="H5795" s="6"/>
      <c r="I5795" s="6"/>
      <c r="J5795" s="6"/>
      <c r="K5795" s="6"/>
      <c r="L5795" s="6"/>
      <c r="M5795" s="6"/>
      <c r="N5795" s="6"/>
      <c r="O5795" s="6"/>
      <c r="P5795" s="6"/>
      <c r="Q5795" s="6"/>
      <c r="R5795" s="6"/>
      <c r="S5795" s="6"/>
      <c r="T5795" s="6"/>
      <c r="U5795" s="6"/>
      <c r="V5795" s="6"/>
      <c r="W5795" s="6"/>
      <c r="X5795" s="6"/>
      <c r="Y5795" s="6"/>
      <c r="Z5795" s="6"/>
      <c r="AA5795" s="6"/>
    </row>
    <row r="5796" ht="14.25">
      <c r="B5796" s="14" t="s">
        <v>36632</v>
      </c>
      <c r="C5796" s="4" t="s">
        <v>36633</v>
      </c>
      <c r="D5796" s="4" t="s">
        <v>36634</v>
      </c>
      <c r="E5796" s="4" t="s">
        <v>36635</v>
      </c>
      <c r="F5796" s="4" t="s">
        <v>36636</v>
      </c>
      <c r="G5796" s="4" t="s">
        <v>35983</v>
      </c>
      <c r="H5796" s="6"/>
      <c r="I5796" s="6"/>
      <c r="J5796" s="6"/>
      <c r="K5796" s="6"/>
      <c r="L5796" s="6"/>
      <c r="M5796" s="6"/>
      <c r="N5796" s="6"/>
      <c r="O5796" s="6"/>
      <c r="P5796" s="6"/>
      <c r="Q5796" s="6"/>
      <c r="R5796" s="6"/>
      <c r="S5796" s="6"/>
      <c r="T5796" s="6"/>
      <c r="U5796" s="6"/>
      <c r="V5796" s="6"/>
      <c r="W5796" s="6"/>
      <c r="X5796" s="6"/>
      <c r="Y5796" s="6"/>
      <c r="Z5796" s="6"/>
      <c r="AA5796" s="6"/>
    </row>
    <row r="5797" ht="14.25">
      <c r="B5797" s="14" t="s">
        <v>36632</v>
      </c>
      <c r="C5797" s="4" t="s">
        <v>36633</v>
      </c>
      <c r="D5797" s="4" t="s">
        <v>36637</v>
      </c>
      <c r="E5797" s="4" t="s">
        <v>36635</v>
      </c>
      <c r="F5797" s="4" t="s">
        <v>355</v>
      </c>
      <c r="G5797" s="4" t="s">
        <v>36638</v>
      </c>
      <c r="H5797" s="6"/>
      <c r="I5797" s="6"/>
      <c r="J5797" s="6"/>
      <c r="K5797" s="6"/>
      <c r="L5797" s="6"/>
      <c r="M5797" s="6"/>
      <c r="N5797" s="6"/>
      <c r="O5797" s="6"/>
      <c r="P5797" s="6"/>
      <c r="Q5797" s="6"/>
      <c r="R5797" s="6"/>
      <c r="S5797" s="6"/>
      <c r="T5797" s="6"/>
      <c r="U5797" s="6"/>
      <c r="V5797" s="6"/>
      <c r="W5797" s="6"/>
      <c r="X5797" s="6"/>
      <c r="Y5797" s="6"/>
      <c r="Z5797" s="6"/>
      <c r="AA5797" s="6"/>
    </row>
    <row r="5798" ht="14.25">
      <c r="B5798" s="14" t="s">
        <v>36639</v>
      </c>
      <c r="C5798" s="4" t="s">
        <v>36640</v>
      </c>
      <c r="D5798" s="4" t="s">
        <v>36641</v>
      </c>
      <c r="E5798" s="4" t="s">
        <v>36642</v>
      </c>
      <c r="F5798" s="4" t="s">
        <v>32831</v>
      </c>
      <c r="G5798" s="4" t="s">
        <v>36643</v>
      </c>
      <c r="H5798" s="6"/>
      <c r="I5798" s="6"/>
      <c r="J5798" s="6"/>
      <c r="K5798" s="6"/>
      <c r="L5798" s="6"/>
      <c r="M5798" s="6"/>
      <c r="N5798" s="6"/>
      <c r="O5798" s="6"/>
      <c r="P5798" s="6"/>
      <c r="Q5798" s="6"/>
      <c r="R5798" s="6"/>
      <c r="S5798" s="6"/>
      <c r="T5798" s="6"/>
      <c r="U5798" s="6"/>
      <c r="V5798" s="6"/>
      <c r="W5798" s="6"/>
      <c r="X5798" s="6"/>
      <c r="Y5798" s="6"/>
      <c r="Z5798" s="6"/>
      <c r="AA5798" s="6"/>
    </row>
    <row r="5799" ht="14.25">
      <c r="B5799" s="14" t="s">
        <v>36644</v>
      </c>
      <c r="C5799" s="4" t="s">
        <v>36645</v>
      </c>
      <c r="D5799" s="4" t="s">
        <v>36646</v>
      </c>
      <c r="E5799" s="4" t="s">
        <v>36647</v>
      </c>
      <c r="F5799" s="4" t="s">
        <v>16860</v>
      </c>
      <c r="G5799" s="4" t="s">
        <v>36648</v>
      </c>
      <c r="H5799" s="6"/>
      <c r="I5799" s="6"/>
      <c r="J5799" s="6"/>
      <c r="K5799" s="6"/>
      <c r="L5799" s="6"/>
      <c r="M5799" s="6"/>
      <c r="N5799" s="6"/>
      <c r="O5799" s="6"/>
      <c r="P5799" s="6"/>
      <c r="Q5799" s="6"/>
      <c r="R5799" s="6"/>
      <c r="S5799" s="6"/>
      <c r="T5799" s="6"/>
      <c r="U5799" s="6"/>
      <c r="V5799" s="6"/>
      <c r="W5799" s="6"/>
      <c r="X5799" s="6"/>
      <c r="Y5799" s="6"/>
      <c r="Z5799" s="6"/>
      <c r="AA5799" s="6"/>
    </row>
    <row r="5800" ht="14.25">
      <c r="B5800" s="14" t="s">
        <v>36644</v>
      </c>
      <c r="C5800" s="4" t="s">
        <v>36645</v>
      </c>
      <c r="D5800" s="4" t="s">
        <v>36649</v>
      </c>
      <c r="E5800" s="4" t="s">
        <v>36647</v>
      </c>
      <c r="F5800" s="4" t="s">
        <v>7714</v>
      </c>
      <c r="G5800" s="4" t="s">
        <v>36648</v>
      </c>
      <c r="H5800" s="6"/>
      <c r="I5800" s="6"/>
      <c r="J5800" s="6"/>
      <c r="K5800" s="6"/>
      <c r="L5800" s="6"/>
      <c r="M5800" s="6"/>
      <c r="N5800" s="6"/>
      <c r="O5800" s="6"/>
      <c r="P5800" s="6"/>
      <c r="Q5800" s="6"/>
      <c r="R5800" s="6"/>
      <c r="S5800" s="6"/>
      <c r="T5800" s="6"/>
      <c r="U5800" s="6"/>
      <c r="V5800" s="6"/>
      <c r="W5800" s="6"/>
      <c r="X5800" s="6"/>
      <c r="Y5800" s="6"/>
      <c r="Z5800" s="6"/>
      <c r="AA5800" s="6"/>
    </row>
    <row r="5801" ht="14.25">
      <c r="B5801" s="14" t="s">
        <v>36644</v>
      </c>
      <c r="C5801" s="4" t="s">
        <v>36645</v>
      </c>
      <c r="D5801" s="4" t="s">
        <v>36650</v>
      </c>
      <c r="E5801" s="4" t="s">
        <v>36647</v>
      </c>
      <c r="F5801" s="4" t="s">
        <v>36359</v>
      </c>
      <c r="G5801" s="4" t="s">
        <v>36651</v>
      </c>
      <c r="H5801" s="6"/>
      <c r="I5801" s="6"/>
      <c r="J5801" s="6"/>
      <c r="K5801" s="6"/>
      <c r="L5801" s="6"/>
      <c r="M5801" s="6"/>
      <c r="N5801" s="6"/>
      <c r="O5801" s="6"/>
      <c r="P5801" s="6"/>
      <c r="Q5801" s="6"/>
      <c r="R5801" s="6"/>
      <c r="S5801" s="6"/>
      <c r="T5801" s="6"/>
      <c r="U5801" s="6"/>
      <c r="V5801" s="6"/>
      <c r="W5801" s="6"/>
      <c r="X5801" s="6"/>
      <c r="Y5801" s="6"/>
      <c r="Z5801" s="6"/>
      <c r="AA5801" s="6"/>
    </row>
    <row r="5802" ht="14.25">
      <c r="B5802" s="14" t="s">
        <v>36652</v>
      </c>
      <c r="C5802" s="4" t="s">
        <v>36653</v>
      </c>
      <c r="D5802" s="4" t="s">
        <v>36654</v>
      </c>
      <c r="E5802" s="4" t="s">
        <v>36655</v>
      </c>
      <c r="F5802" s="4" t="s">
        <v>32787</v>
      </c>
      <c r="G5802" s="4" t="s">
        <v>36656</v>
      </c>
      <c r="H5802" s="6"/>
      <c r="I5802" s="6"/>
      <c r="J5802" s="6"/>
      <c r="K5802" s="6"/>
      <c r="L5802" s="6"/>
      <c r="M5802" s="6"/>
      <c r="N5802" s="6"/>
      <c r="O5802" s="6"/>
      <c r="P5802" s="6"/>
      <c r="Q5802" s="6"/>
      <c r="R5802" s="6"/>
      <c r="S5802" s="6"/>
      <c r="T5802" s="6"/>
      <c r="U5802" s="6"/>
      <c r="V5802" s="6"/>
      <c r="W5802" s="6"/>
      <c r="X5802" s="6"/>
      <c r="Y5802" s="6"/>
      <c r="Z5802" s="6"/>
      <c r="AA5802" s="6"/>
    </row>
    <row r="5803" ht="14.25">
      <c r="B5803" s="14" t="s">
        <v>32540</v>
      </c>
      <c r="C5803" s="4" t="s">
        <v>36657</v>
      </c>
      <c r="D5803" s="4" t="s">
        <v>36658</v>
      </c>
      <c r="E5803" s="4" t="s">
        <v>36659</v>
      </c>
      <c r="F5803" s="4" t="s">
        <v>1215</v>
      </c>
      <c r="G5803" s="4" t="s">
        <v>36660</v>
      </c>
      <c r="H5803" s="6"/>
      <c r="I5803" s="6"/>
      <c r="J5803" s="6"/>
      <c r="K5803" s="6"/>
      <c r="L5803" s="6"/>
      <c r="M5803" s="6"/>
      <c r="N5803" s="6"/>
      <c r="O5803" s="6"/>
      <c r="P5803" s="6"/>
      <c r="Q5803" s="6"/>
      <c r="R5803" s="6"/>
      <c r="S5803" s="6"/>
      <c r="T5803" s="6"/>
      <c r="U5803" s="6"/>
      <c r="V5803" s="6"/>
      <c r="W5803" s="6"/>
      <c r="X5803" s="6"/>
      <c r="Y5803" s="6"/>
      <c r="Z5803" s="6"/>
      <c r="AA5803" s="6"/>
    </row>
    <row r="5804" ht="14.25">
      <c r="B5804" s="14" t="s">
        <v>32540</v>
      </c>
      <c r="C5804" s="4" t="s">
        <v>36657</v>
      </c>
      <c r="D5804" s="4" t="s">
        <v>36661</v>
      </c>
      <c r="E5804" s="4" t="s">
        <v>36659</v>
      </c>
      <c r="F5804" s="4" t="s">
        <v>95</v>
      </c>
      <c r="G5804" s="4" t="s">
        <v>35081</v>
      </c>
      <c r="H5804" s="6"/>
      <c r="I5804" s="6"/>
      <c r="J5804" s="6"/>
      <c r="K5804" s="6"/>
      <c r="L5804" s="6"/>
      <c r="M5804" s="6"/>
      <c r="N5804" s="6"/>
      <c r="O5804" s="4"/>
      <c r="P5804" s="6"/>
      <c r="Q5804" s="6"/>
      <c r="R5804" s="6"/>
      <c r="S5804" s="6"/>
      <c r="T5804" s="6"/>
      <c r="U5804" s="6"/>
      <c r="V5804" s="6"/>
      <c r="W5804" s="6"/>
      <c r="X5804" s="6"/>
      <c r="Y5804" s="6"/>
      <c r="Z5804" s="6"/>
      <c r="AA5804" s="6"/>
    </row>
    <row r="5805" ht="14.25">
      <c r="B5805" s="14" t="s">
        <v>32540</v>
      </c>
      <c r="C5805" s="4" t="s">
        <v>36657</v>
      </c>
      <c r="D5805" s="4" t="s">
        <v>36662</v>
      </c>
      <c r="E5805" s="4" t="s">
        <v>36659</v>
      </c>
      <c r="F5805" s="4" t="s">
        <v>17524</v>
      </c>
      <c r="G5805" s="4" t="s">
        <v>36663</v>
      </c>
    </row>
    <row r="5806" ht="14.25">
      <c r="B5806" s="14" t="s">
        <v>32540</v>
      </c>
      <c r="C5806" s="4" t="s">
        <v>36657</v>
      </c>
      <c r="D5806" s="4" t="s">
        <v>36664</v>
      </c>
      <c r="E5806" s="4" t="s">
        <v>36659</v>
      </c>
      <c r="F5806" s="4" t="s">
        <v>32658</v>
      </c>
      <c r="G5806" s="4" t="s">
        <v>36665</v>
      </c>
    </row>
    <row r="5807" ht="14.25">
      <c r="B5807" s="14" t="s">
        <v>32540</v>
      </c>
      <c r="C5807" s="4" t="s">
        <v>36666</v>
      </c>
      <c r="D5807" s="4" t="s">
        <v>36667</v>
      </c>
      <c r="E5807" s="4" t="s">
        <v>36668</v>
      </c>
      <c r="F5807" s="4" t="s">
        <v>9922</v>
      </c>
      <c r="G5807" s="4" t="s">
        <v>35376</v>
      </c>
    </row>
    <row r="5808" ht="14.25">
      <c r="B5808" s="14" t="s">
        <v>36669</v>
      </c>
      <c r="C5808" s="4" t="s">
        <v>36670</v>
      </c>
      <c r="D5808" s="4" t="s">
        <v>36671</v>
      </c>
      <c r="E5808" s="4" t="s">
        <v>36672</v>
      </c>
      <c r="F5808" s="4" t="s">
        <v>33621</v>
      </c>
      <c r="G5808" s="4" t="s">
        <v>36673</v>
      </c>
    </row>
    <row r="5809" ht="14.25">
      <c r="B5809" s="14" t="s">
        <v>36674</v>
      </c>
      <c r="C5809" s="4" t="s">
        <v>36675</v>
      </c>
      <c r="D5809" s="4" t="s">
        <v>36676</v>
      </c>
      <c r="E5809" s="4" t="s">
        <v>36677</v>
      </c>
      <c r="F5809" s="4" t="s">
        <v>3850</v>
      </c>
      <c r="G5809" s="4" t="s">
        <v>36678</v>
      </c>
    </row>
    <row r="5810" ht="14.25">
      <c r="B5810" s="14" t="s">
        <v>36679</v>
      </c>
      <c r="C5810" s="4" t="s">
        <v>36680</v>
      </c>
      <c r="D5810" s="4" t="s">
        <v>36681</v>
      </c>
      <c r="E5810" s="4" t="s">
        <v>36682</v>
      </c>
      <c r="F5810" s="4" t="s">
        <v>817</v>
      </c>
      <c r="G5810" s="4" t="s">
        <v>36210</v>
      </c>
    </row>
    <row r="5811" ht="14.25">
      <c r="B5811" s="14" t="s">
        <v>36679</v>
      </c>
      <c r="C5811" s="4" t="s">
        <v>36680</v>
      </c>
      <c r="D5811" s="4" t="s">
        <v>36683</v>
      </c>
      <c r="E5811" s="4" t="s">
        <v>36682</v>
      </c>
      <c r="F5811" s="4" t="s">
        <v>36684</v>
      </c>
      <c r="G5811" s="4" t="s">
        <v>36685</v>
      </c>
    </row>
    <row r="5812" ht="14.25">
      <c r="B5812" s="14" t="s">
        <v>36679</v>
      </c>
      <c r="C5812" s="4" t="s">
        <v>36680</v>
      </c>
      <c r="D5812" s="4" t="s">
        <v>36686</v>
      </c>
      <c r="E5812" s="4" t="s">
        <v>36682</v>
      </c>
      <c r="F5812" s="4" t="s">
        <v>963</v>
      </c>
      <c r="G5812" s="4" t="s">
        <v>32868</v>
      </c>
    </row>
    <row r="5813" ht="14.25">
      <c r="B5813" s="14" t="s">
        <v>36679</v>
      </c>
      <c r="C5813" s="4" t="s">
        <v>36687</v>
      </c>
      <c r="D5813" s="4" t="s">
        <v>36688</v>
      </c>
      <c r="E5813" s="4" t="s">
        <v>36689</v>
      </c>
      <c r="F5813" s="4" t="s">
        <v>2348</v>
      </c>
      <c r="G5813" s="4" t="s">
        <v>36690</v>
      </c>
    </row>
    <row r="5814" ht="14.25">
      <c r="B5814" s="14" t="s">
        <v>36679</v>
      </c>
      <c r="C5814" s="4" t="s">
        <v>36691</v>
      </c>
      <c r="D5814" s="4" t="s">
        <v>36692</v>
      </c>
      <c r="E5814" s="4" t="s">
        <v>36693</v>
      </c>
      <c r="F5814" s="4" t="s">
        <v>36694</v>
      </c>
      <c r="G5814" s="4" t="s">
        <v>36695</v>
      </c>
    </row>
    <row r="5815" ht="14.25">
      <c r="B5815" s="14" t="s">
        <v>36679</v>
      </c>
      <c r="C5815" s="4" t="s">
        <v>36680</v>
      </c>
      <c r="D5815" s="4" t="s">
        <v>36696</v>
      </c>
      <c r="E5815" s="4" t="s">
        <v>36682</v>
      </c>
      <c r="F5815" s="4" t="s">
        <v>2372</v>
      </c>
      <c r="G5815" s="4" t="s">
        <v>36697</v>
      </c>
    </row>
    <row r="5816" ht="14.25">
      <c r="B5816" s="14" t="s">
        <v>36679</v>
      </c>
      <c r="C5816" s="4" t="s">
        <v>36680</v>
      </c>
      <c r="D5816" s="4" t="s">
        <v>36698</v>
      </c>
      <c r="E5816" s="4" t="s">
        <v>36682</v>
      </c>
      <c r="F5816" s="4" t="s">
        <v>3781</v>
      </c>
      <c r="G5816" s="4" t="s">
        <v>36699</v>
      </c>
    </row>
    <row r="5817" ht="14.25">
      <c r="B5817" s="14" t="s">
        <v>36679</v>
      </c>
      <c r="C5817" s="4" t="s">
        <v>36680</v>
      </c>
      <c r="D5817" s="4" t="s">
        <v>36700</v>
      </c>
      <c r="E5817" s="4" t="s">
        <v>36682</v>
      </c>
      <c r="F5817" s="4" t="s">
        <v>4800</v>
      </c>
      <c r="G5817" s="4" t="s">
        <v>36701</v>
      </c>
    </row>
    <row r="5818" ht="14.25">
      <c r="B5818" s="14" t="s">
        <v>36679</v>
      </c>
      <c r="C5818" s="4" t="s">
        <v>36687</v>
      </c>
      <c r="D5818" s="4" t="s">
        <v>36702</v>
      </c>
      <c r="E5818" s="4" t="s">
        <v>36689</v>
      </c>
      <c r="F5818" s="4" t="s">
        <v>255</v>
      </c>
      <c r="G5818" s="4" t="s">
        <v>36703</v>
      </c>
    </row>
    <row r="5819" ht="14.25">
      <c r="B5819" s="14" t="s">
        <v>36679</v>
      </c>
      <c r="C5819" s="4" t="s">
        <v>36680</v>
      </c>
      <c r="D5819" s="4" t="s">
        <v>36704</v>
      </c>
      <c r="E5819" s="4" t="s">
        <v>36682</v>
      </c>
      <c r="F5819" s="4" t="s">
        <v>7246</v>
      </c>
      <c r="G5819" s="4" t="s">
        <v>36705</v>
      </c>
    </row>
    <row r="5820" ht="14.25">
      <c r="B5820" s="14" t="s">
        <v>36679</v>
      </c>
      <c r="C5820" s="4" t="s">
        <v>36680</v>
      </c>
      <c r="D5820" s="4" t="s">
        <v>36706</v>
      </c>
      <c r="E5820" s="4" t="s">
        <v>36682</v>
      </c>
      <c r="F5820" s="4" t="s">
        <v>2409</v>
      </c>
      <c r="G5820" s="4" t="s">
        <v>36707</v>
      </c>
    </row>
    <row r="5821" ht="14.25">
      <c r="B5821" s="14" t="s">
        <v>36679</v>
      </c>
      <c r="C5821" s="4" t="s">
        <v>36680</v>
      </c>
      <c r="D5821" s="4" t="s">
        <v>36708</v>
      </c>
      <c r="E5821" s="4" t="s">
        <v>36682</v>
      </c>
      <c r="F5821" s="4" t="s">
        <v>32616</v>
      </c>
      <c r="G5821" s="4" t="s">
        <v>36709</v>
      </c>
    </row>
    <row r="5822" ht="14.25">
      <c r="B5822" s="14" t="s">
        <v>36679</v>
      </c>
      <c r="C5822" s="4" t="s">
        <v>36710</v>
      </c>
      <c r="D5822" s="4" t="s">
        <v>36711</v>
      </c>
      <c r="E5822" s="6"/>
      <c r="F5822" s="4" t="s">
        <v>33576</v>
      </c>
      <c r="G5822" s="4" t="s">
        <v>36712</v>
      </c>
    </row>
    <row r="5823" ht="14.25">
      <c r="B5823" s="14" t="s">
        <v>36679</v>
      </c>
      <c r="C5823" s="4" t="s">
        <v>36680</v>
      </c>
      <c r="D5823" s="4" t="s">
        <v>36713</v>
      </c>
      <c r="E5823" s="4" t="s">
        <v>36682</v>
      </c>
      <c r="F5823" s="4" t="s">
        <v>6356</v>
      </c>
      <c r="G5823" s="4" t="s">
        <v>36714</v>
      </c>
    </row>
    <row r="5824" ht="14.25">
      <c r="B5824" s="14" t="s">
        <v>36679</v>
      </c>
      <c r="C5824" s="4" t="s">
        <v>36680</v>
      </c>
      <c r="D5824" s="4" t="s">
        <v>36715</v>
      </c>
      <c r="E5824" s="4" t="s">
        <v>36682</v>
      </c>
      <c r="F5824" s="4" t="s">
        <v>32666</v>
      </c>
      <c r="G5824" s="4" t="s">
        <v>36716</v>
      </c>
    </row>
    <row r="5825" ht="14.25">
      <c r="B5825" s="14" t="s">
        <v>36679</v>
      </c>
      <c r="C5825" s="4" t="s">
        <v>36680</v>
      </c>
      <c r="D5825" s="4" t="s">
        <v>36717</v>
      </c>
      <c r="E5825" s="4" t="s">
        <v>36682</v>
      </c>
      <c r="F5825" s="4" t="s">
        <v>3516</v>
      </c>
      <c r="G5825" s="4" t="s">
        <v>36718</v>
      </c>
    </row>
    <row r="5826" ht="14.25">
      <c r="B5826" s="14" t="s">
        <v>36679</v>
      </c>
      <c r="C5826" s="4" t="s">
        <v>36680</v>
      </c>
      <c r="D5826" s="4" t="s">
        <v>36719</v>
      </c>
      <c r="E5826" s="4" t="s">
        <v>36682</v>
      </c>
      <c r="F5826" s="4" t="s">
        <v>2311</v>
      </c>
      <c r="G5826" s="4" t="s">
        <v>36720</v>
      </c>
    </row>
    <row r="5827" ht="14.25">
      <c r="B5827" s="14" t="s">
        <v>36679</v>
      </c>
      <c r="C5827" s="4" t="s">
        <v>36680</v>
      </c>
      <c r="D5827" s="4" t="s">
        <v>36721</v>
      </c>
      <c r="E5827" s="4" t="s">
        <v>36682</v>
      </c>
      <c r="F5827" s="4" t="s">
        <v>255</v>
      </c>
      <c r="G5827" s="4" t="s">
        <v>36722</v>
      </c>
    </row>
    <row r="5828" ht="14.25">
      <c r="B5828" s="14" t="s">
        <v>36679</v>
      </c>
      <c r="C5828" s="4" t="s">
        <v>36680</v>
      </c>
      <c r="D5828" s="4" t="s">
        <v>36723</v>
      </c>
      <c r="E5828" s="4" t="s">
        <v>36682</v>
      </c>
      <c r="F5828" s="4" t="s">
        <v>2816</v>
      </c>
      <c r="G5828" s="4" t="s">
        <v>34098</v>
      </c>
    </row>
    <row r="5829" ht="14.25">
      <c r="B5829" s="14" t="s">
        <v>36679</v>
      </c>
      <c r="C5829" s="4" t="s">
        <v>36680</v>
      </c>
      <c r="D5829" s="4" t="s">
        <v>36724</v>
      </c>
      <c r="E5829" s="4" t="s">
        <v>36682</v>
      </c>
      <c r="F5829" s="4" t="s">
        <v>2398</v>
      </c>
      <c r="G5829" s="4" t="s">
        <v>36725</v>
      </c>
    </row>
    <row r="5830" ht="14.25">
      <c r="B5830" s="14" t="s">
        <v>36679</v>
      </c>
      <c r="C5830" s="4" t="s">
        <v>36680</v>
      </c>
      <c r="D5830" s="4" t="s">
        <v>36726</v>
      </c>
      <c r="E5830" s="4" t="s">
        <v>36682</v>
      </c>
      <c r="F5830" s="4" t="s">
        <v>52</v>
      </c>
      <c r="G5830" s="4" t="s">
        <v>36727</v>
      </c>
    </row>
    <row r="5831" ht="14.25">
      <c r="B5831" s="14" t="s">
        <v>36679</v>
      </c>
      <c r="C5831" s="4" t="s">
        <v>36691</v>
      </c>
      <c r="D5831" s="4" t="s">
        <v>36728</v>
      </c>
      <c r="E5831" s="4" t="s">
        <v>36693</v>
      </c>
      <c r="F5831" s="4" t="s">
        <v>8585</v>
      </c>
      <c r="G5831" s="4" t="s">
        <v>36729</v>
      </c>
    </row>
    <row r="5832" ht="14.25">
      <c r="B5832" s="14" t="s">
        <v>36679</v>
      </c>
      <c r="C5832" s="4" t="s">
        <v>36680</v>
      </c>
      <c r="D5832" s="4" t="s">
        <v>36730</v>
      </c>
      <c r="E5832" s="4" t="s">
        <v>36682</v>
      </c>
      <c r="F5832" s="4" t="s">
        <v>2249</v>
      </c>
      <c r="G5832" s="4" t="s">
        <v>36731</v>
      </c>
    </row>
    <row r="5833" ht="14.25">
      <c r="B5833" s="14" t="s">
        <v>36679</v>
      </c>
      <c r="C5833" s="4" t="s">
        <v>36680</v>
      </c>
      <c r="D5833" s="4" t="s">
        <v>36732</v>
      </c>
      <c r="E5833" s="4" t="s">
        <v>36682</v>
      </c>
      <c r="F5833" s="4" t="s">
        <v>355</v>
      </c>
      <c r="G5833" s="4" t="s">
        <v>32715</v>
      </c>
    </row>
    <row r="5834" ht="14.25">
      <c r="B5834" s="14" t="s">
        <v>36679</v>
      </c>
      <c r="C5834" s="4" t="s">
        <v>36680</v>
      </c>
      <c r="D5834" s="4" t="s">
        <v>36733</v>
      </c>
      <c r="E5834" s="4" t="s">
        <v>36682</v>
      </c>
      <c r="F5834" s="4" t="s">
        <v>32831</v>
      </c>
      <c r="G5834" s="4" t="s">
        <v>36734</v>
      </c>
    </row>
    <row r="5835" ht="14.25">
      <c r="B5835" s="14" t="s">
        <v>36679</v>
      </c>
      <c r="C5835" s="4" t="s">
        <v>36687</v>
      </c>
      <c r="D5835" s="4" t="s">
        <v>36735</v>
      </c>
      <c r="E5835" s="4" t="s">
        <v>36689</v>
      </c>
      <c r="F5835" s="4" t="s">
        <v>32548</v>
      </c>
      <c r="G5835" s="4" t="s">
        <v>36736</v>
      </c>
    </row>
    <row r="5836" ht="14.25">
      <c r="B5836" s="14" t="s">
        <v>36737</v>
      </c>
      <c r="C5836" s="4" t="s">
        <v>36738</v>
      </c>
      <c r="D5836" s="4" t="s">
        <v>36739</v>
      </c>
      <c r="E5836" s="4" t="s">
        <v>36740</v>
      </c>
      <c r="F5836" s="4" t="s">
        <v>7525</v>
      </c>
      <c r="G5836" s="4" t="s">
        <v>36741</v>
      </c>
    </row>
    <row r="5837" ht="14.25">
      <c r="B5837" s="14" t="s">
        <v>36737</v>
      </c>
      <c r="C5837" s="4" t="s">
        <v>36742</v>
      </c>
      <c r="D5837" s="4" t="s">
        <v>36743</v>
      </c>
      <c r="E5837" s="4" t="s">
        <v>36744</v>
      </c>
      <c r="F5837" s="4" t="s">
        <v>4425</v>
      </c>
      <c r="G5837" s="4" t="s">
        <v>36745</v>
      </c>
    </row>
    <row r="5838" ht="14.25">
      <c r="B5838" s="14" t="s">
        <v>36737</v>
      </c>
      <c r="C5838" s="4" t="s">
        <v>36742</v>
      </c>
      <c r="D5838" s="4" t="s">
        <v>36746</v>
      </c>
      <c r="E5838" s="4" t="s">
        <v>36744</v>
      </c>
      <c r="F5838" s="4" t="s">
        <v>4800</v>
      </c>
      <c r="G5838" s="4" t="s">
        <v>36747</v>
      </c>
    </row>
    <row r="5839" ht="14.25">
      <c r="B5839" s="14" t="s">
        <v>36737</v>
      </c>
      <c r="C5839" s="4" t="s">
        <v>36738</v>
      </c>
      <c r="D5839" s="4" t="s">
        <v>36748</v>
      </c>
      <c r="E5839" s="4" t="s">
        <v>36740</v>
      </c>
      <c r="F5839" s="4" t="s">
        <v>35368</v>
      </c>
      <c r="G5839" s="4" t="s">
        <v>36749</v>
      </c>
    </row>
    <row r="5840" ht="14.25">
      <c r="B5840" s="14" t="s">
        <v>36737</v>
      </c>
      <c r="C5840" s="4" t="s">
        <v>36742</v>
      </c>
      <c r="D5840" s="4" t="s">
        <v>36750</v>
      </c>
      <c r="E5840" s="4" t="s">
        <v>36744</v>
      </c>
      <c r="F5840" s="4" t="s">
        <v>69</v>
      </c>
      <c r="G5840" s="4" t="s">
        <v>36751</v>
      </c>
    </row>
    <row r="5841" ht="14.25">
      <c r="B5841" s="14" t="s">
        <v>36737</v>
      </c>
      <c r="C5841" s="4" t="s">
        <v>36742</v>
      </c>
      <c r="D5841" s="4" t="s">
        <v>36752</v>
      </c>
      <c r="E5841" s="4" t="s">
        <v>36744</v>
      </c>
      <c r="F5841" s="4" t="s">
        <v>32548</v>
      </c>
      <c r="G5841" s="4" t="s">
        <v>36753</v>
      </c>
    </row>
    <row r="5842" ht="14.25">
      <c r="B5842" s="14" t="s">
        <v>36737</v>
      </c>
      <c r="C5842" s="4" t="s">
        <v>36754</v>
      </c>
      <c r="D5842" s="4" t="s">
        <v>36755</v>
      </c>
      <c r="E5842" s="4" t="s">
        <v>36756</v>
      </c>
      <c r="F5842" s="4" t="s">
        <v>679</v>
      </c>
      <c r="G5842" s="4" t="s">
        <v>36757</v>
      </c>
    </row>
    <row r="5843" ht="14.25">
      <c r="B5843" s="14" t="s">
        <v>36737</v>
      </c>
      <c r="C5843" s="4" t="s">
        <v>36738</v>
      </c>
      <c r="D5843" s="4" t="s">
        <v>36758</v>
      </c>
      <c r="E5843" s="4" t="s">
        <v>36740</v>
      </c>
      <c r="F5843" s="4" t="s">
        <v>298</v>
      </c>
      <c r="G5843" s="4" t="s">
        <v>36759</v>
      </c>
    </row>
    <row r="5844" ht="14.25">
      <c r="B5844" s="14" t="s">
        <v>36737</v>
      </c>
      <c r="C5844" s="4" t="s">
        <v>36742</v>
      </c>
      <c r="D5844" s="4" t="s">
        <v>36760</v>
      </c>
      <c r="E5844" s="4" t="s">
        <v>36744</v>
      </c>
      <c r="F5844" s="4" t="s">
        <v>2409</v>
      </c>
      <c r="G5844" s="4" t="s">
        <v>36761</v>
      </c>
    </row>
    <row r="5845" ht="14.25">
      <c r="B5845" s="14" t="s">
        <v>36762</v>
      </c>
      <c r="C5845" s="4" t="s">
        <v>36763</v>
      </c>
      <c r="D5845" s="4" t="s">
        <v>36764</v>
      </c>
      <c r="E5845" s="4" t="s">
        <v>36765</v>
      </c>
      <c r="F5845" s="4" t="s">
        <v>808</v>
      </c>
      <c r="G5845" s="4" t="s">
        <v>36766</v>
      </c>
    </row>
    <row r="5846" ht="14.25">
      <c r="B5846" s="14" t="s">
        <v>36762</v>
      </c>
      <c r="C5846" s="4" t="s">
        <v>36767</v>
      </c>
      <c r="D5846" s="4" t="s">
        <v>36768</v>
      </c>
      <c r="E5846" s="4" t="s">
        <v>36769</v>
      </c>
      <c r="F5846" s="4" t="s">
        <v>556</v>
      </c>
      <c r="G5846" s="4" t="s">
        <v>36770</v>
      </c>
    </row>
    <row r="5847" ht="14.25">
      <c r="B5847" s="14" t="s">
        <v>36762</v>
      </c>
      <c r="C5847" s="4" t="s">
        <v>36767</v>
      </c>
      <c r="D5847" s="4" t="s">
        <v>36771</v>
      </c>
      <c r="E5847" s="4" t="s">
        <v>36769</v>
      </c>
      <c r="F5847" s="4" t="s">
        <v>1027</v>
      </c>
      <c r="G5847" s="4" t="s">
        <v>36772</v>
      </c>
    </row>
    <row r="5848" ht="14.25">
      <c r="B5848" s="14" t="s">
        <v>36762</v>
      </c>
      <c r="C5848" s="4" t="s">
        <v>36763</v>
      </c>
      <c r="D5848" s="4" t="s">
        <v>36773</v>
      </c>
      <c r="E5848" s="4" t="s">
        <v>36765</v>
      </c>
      <c r="F5848" s="4" t="s">
        <v>874</v>
      </c>
      <c r="G5848" s="4" t="s">
        <v>36774</v>
      </c>
    </row>
    <row r="5849" ht="14.25">
      <c r="B5849" s="14" t="s">
        <v>36775</v>
      </c>
      <c r="C5849" s="4" t="s">
        <v>36776</v>
      </c>
      <c r="D5849" s="4" t="s">
        <v>36777</v>
      </c>
      <c r="E5849" s="6"/>
      <c r="F5849" s="4" t="s">
        <v>36778</v>
      </c>
      <c r="G5849" s="4" t="s">
        <v>36779</v>
      </c>
    </row>
    <row r="5850" ht="14.25">
      <c r="B5850" s="14" t="s">
        <v>36775</v>
      </c>
      <c r="C5850" s="4" t="s">
        <v>36780</v>
      </c>
      <c r="D5850" s="4" t="s">
        <v>36781</v>
      </c>
      <c r="E5850" s="4" t="s">
        <v>36782</v>
      </c>
      <c r="F5850" s="4" t="s">
        <v>1387</v>
      </c>
      <c r="G5850" s="4" t="s">
        <v>36783</v>
      </c>
    </row>
    <row r="5851" ht="14.25">
      <c r="B5851" s="14" t="s">
        <v>36784</v>
      </c>
      <c r="C5851" s="4" t="s">
        <v>36785</v>
      </c>
      <c r="D5851" s="4" t="s">
        <v>36786</v>
      </c>
      <c r="E5851" s="4" t="s">
        <v>36787</v>
      </c>
      <c r="F5851" s="4" t="s">
        <v>2372</v>
      </c>
      <c r="G5851" s="4" t="s">
        <v>36788</v>
      </c>
    </row>
    <row r="5852" ht="14.25">
      <c r="B5852" s="14" t="s">
        <v>36784</v>
      </c>
      <c r="C5852" s="4" t="s">
        <v>36785</v>
      </c>
      <c r="D5852" s="4" t="s">
        <v>36789</v>
      </c>
      <c r="E5852" s="4" t="s">
        <v>36787</v>
      </c>
      <c r="F5852" s="4" t="s">
        <v>4115</v>
      </c>
      <c r="G5852" s="4" t="s">
        <v>32868</v>
      </c>
    </row>
    <row r="5853" ht="14.25">
      <c r="B5853" s="14" t="s">
        <v>36784</v>
      </c>
      <c r="C5853" s="4" t="s">
        <v>36790</v>
      </c>
      <c r="D5853" s="4" t="s">
        <v>36791</v>
      </c>
      <c r="E5853" s="4" t="s">
        <v>36792</v>
      </c>
      <c r="F5853" s="4" t="s">
        <v>2348</v>
      </c>
      <c r="G5853" s="4" t="s">
        <v>36793</v>
      </c>
    </row>
    <row r="5854" ht="14.25">
      <c r="B5854" s="14" t="s">
        <v>36784</v>
      </c>
      <c r="C5854" s="4" t="s">
        <v>36794</v>
      </c>
      <c r="D5854" s="4" t="s">
        <v>36795</v>
      </c>
      <c r="E5854" s="4" t="s">
        <v>36796</v>
      </c>
      <c r="F5854" s="4" t="s">
        <v>2508</v>
      </c>
      <c r="G5854" s="4" t="s">
        <v>36797</v>
      </c>
    </row>
    <row r="5855" ht="14.25">
      <c r="B5855" s="14" t="s">
        <v>36784</v>
      </c>
      <c r="C5855" s="4" t="s">
        <v>36798</v>
      </c>
      <c r="D5855" s="4" t="s">
        <v>36799</v>
      </c>
      <c r="E5855" s="4" t="s">
        <v>36800</v>
      </c>
      <c r="F5855" s="4" t="s">
        <v>4245</v>
      </c>
      <c r="G5855" s="4" t="s">
        <v>35047</v>
      </c>
    </row>
    <row r="5856" ht="14.25">
      <c r="B5856" s="14" t="s">
        <v>36784</v>
      </c>
      <c r="C5856" s="4" t="s">
        <v>36790</v>
      </c>
      <c r="D5856" s="4" t="s">
        <v>36801</v>
      </c>
      <c r="E5856" s="4" t="s">
        <v>36792</v>
      </c>
      <c r="F5856" s="4" t="s">
        <v>36802</v>
      </c>
      <c r="G5856" s="4" t="s">
        <v>36803</v>
      </c>
    </row>
    <row r="5857" ht="14.25">
      <c r="B5857" s="14" t="s">
        <v>36784</v>
      </c>
      <c r="C5857" s="4" t="s">
        <v>36794</v>
      </c>
      <c r="D5857" s="4" t="s">
        <v>36804</v>
      </c>
      <c r="E5857" s="4" t="s">
        <v>36796</v>
      </c>
      <c r="F5857" s="4" t="s">
        <v>743</v>
      </c>
      <c r="G5857" s="4" t="s">
        <v>36805</v>
      </c>
    </row>
    <row r="5858" ht="14.25">
      <c r="B5858" s="14" t="s">
        <v>36784</v>
      </c>
      <c r="C5858" s="4" t="s">
        <v>36785</v>
      </c>
      <c r="D5858" s="4" t="s">
        <v>36806</v>
      </c>
      <c r="E5858" s="4" t="s">
        <v>36787</v>
      </c>
      <c r="F5858" s="4" t="s">
        <v>785</v>
      </c>
      <c r="G5858" s="4" t="s">
        <v>34098</v>
      </c>
    </row>
    <row r="5859" ht="14.25">
      <c r="B5859" s="14" t="s">
        <v>36784</v>
      </c>
      <c r="C5859" s="4" t="s">
        <v>36785</v>
      </c>
      <c r="D5859" s="4" t="s">
        <v>36806</v>
      </c>
      <c r="E5859" s="4" t="s">
        <v>36787</v>
      </c>
      <c r="F5859" s="4" t="s">
        <v>785</v>
      </c>
      <c r="G5859" s="4" t="s">
        <v>34098</v>
      </c>
    </row>
    <row r="5860" ht="14.25">
      <c r="B5860" s="14" t="s">
        <v>36807</v>
      </c>
      <c r="C5860" s="4" t="s">
        <v>36808</v>
      </c>
      <c r="D5860" s="4" t="s">
        <v>36809</v>
      </c>
      <c r="E5860" s="4" t="s">
        <v>36810</v>
      </c>
      <c r="F5860" s="4" t="s">
        <v>32579</v>
      </c>
      <c r="G5860" s="4" t="s">
        <v>36811</v>
      </c>
    </row>
    <row r="5861" ht="14.25">
      <c r="B5861" s="14" t="s">
        <v>36807</v>
      </c>
      <c r="C5861" s="4" t="s">
        <v>36808</v>
      </c>
      <c r="D5861" s="4" t="s">
        <v>36812</v>
      </c>
      <c r="E5861" s="4" t="s">
        <v>36810</v>
      </c>
      <c r="F5861" s="4" t="s">
        <v>6356</v>
      </c>
      <c r="G5861" s="4" t="s">
        <v>36201</v>
      </c>
    </row>
    <row r="5862" ht="14.25">
      <c r="B5862" s="14" t="s">
        <v>36807</v>
      </c>
      <c r="C5862" s="4" t="s">
        <v>36808</v>
      </c>
      <c r="D5862" s="4" t="s">
        <v>36812</v>
      </c>
      <c r="E5862" s="4" t="s">
        <v>36810</v>
      </c>
      <c r="F5862" s="4" t="s">
        <v>6356</v>
      </c>
      <c r="G5862" s="4" t="s">
        <v>36201</v>
      </c>
    </row>
    <row r="5863" ht="14.25">
      <c r="B5863" s="14" t="s">
        <v>36813</v>
      </c>
      <c r="C5863" s="4" t="s">
        <v>36814</v>
      </c>
      <c r="D5863" s="4" t="s">
        <v>36815</v>
      </c>
      <c r="E5863" s="4" t="s">
        <v>36816</v>
      </c>
      <c r="F5863" s="4" t="s">
        <v>36817</v>
      </c>
      <c r="G5863" s="4" t="s">
        <v>32679</v>
      </c>
    </row>
    <row r="5864" ht="14.25">
      <c r="B5864" s="14" t="s">
        <v>36813</v>
      </c>
      <c r="C5864" s="4" t="s">
        <v>36814</v>
      </c>
      <c r="D5864" s="4" t="s">
        <v>36818</v>
      </c>
      <c r="E5864" s="4" t="s">
        <v>36816</v>
      </c>
      <c r="F5864" s="4" t="s">
        <v>670</v>
      </c>
      <c r="G5864" s="4" t="s">
        <v>36819</v>
      </c>
    </row>
    <row r="5865" ht="14.25">
      <c r="B5865" s="14" t="s">
        <v>36820</v>
      </c>
      <c r="C5865" s="4" t="s">
        <v>36821</v>
      </c>
      <c r="D5865" s="4" t="s">
        <v>36822</v>
      </c>
      <c r="E5865" s="4" t="s">
        <v>36823</v>
      </c>
      <c r="F5865" s="4" t="s">
        <v>33217</v>
      </c>
      <c r="G5865" s="4" t="s">
        <v>36824</v>
      </c>
    </row>
    <row r="5866" ht="14.25">
      <c r="B5866" s="14" t="s">
        <v>36820</v>
      </c>
      <c r="C5866" s="4" t="s">
        <v>36821</v>
      </c>
      <c r="D5866" s="4" t="s">
        <v>36823</v>
      </c>
      <c r="E5866" s="6"/>
      <c r="F5866" s="4" t="s">
        <v>6634</v>
      </c>
      <c r="G5866" s="4" t="s">
        <v>36825</v>
      </c>
    </row>
    <row r="5867" ht="14.25">
      <c r="B5867" s="14" t="s">
        <v>36820</v>
      </c>
      <c r="C5867" s="4" t="s">
        <v>36821</v>
      </c>
      <c r="D5867" s="4" t="s">
        <v>36826</v>
      </c>
      <c r="E5867" s="4" t="s">
        <v>36823</v>
      </c>
      <c r="F5867" s="4" t="s">
        <v>874</v>
      </c>
      <c r="G5867" s="4" t="s">
        <v>36827</v>
      </c>
    </row>
    <row r="5868" ht="14.25">
      <c r="B5868" s="14" t="s">
        <v>36820</v>
      </c>
      <c r="C5868" s="4" t="s">
        <v>36828</v>
      </c>
      <c r="D5868" s="4" t="s">
        <v>36829</v>
      </c>
      <c r="E5868" s="4" t="s">
        <v>36830</v>
      </c>
      <c r="F5868" s="4" t="s">
        <v>963</v>
      </c>
      <c r="G5868" s="4" t="s">
        <v>36831</v>
      </c>
    </row>
    <row r="5869" ht="14.25">
      <c r="B5869" s="14" t="s">
        <v>36820</v>
      </c>
      <c r="C5869" s="4" t="s">
        <v>36821</v>
      </c>
      <c r="D5869" s="4" t="s">
        <v>36832</v>
      </c>
      <c r="E5869" s="4" t="s">
        <v>36823</v>
      </c>
      <c r="F5869" s="4" t="s">
        <v>33576</v>
      </c>
      <c r="G5869" s="4" t="s">
        <v>36833</v>
      </c>
    </row>
    <row r="5870" ht="14.25">
      <c r="B5870" s="14" t="s">
        <v>36834</v>
      </c>
      <c r="C5870" s="4" t="s">
        <v>36835</v>
      </c>
      <c r="D5870" s="4" t="s">
        <v>36836</v>
      </c>
      <c r="E5870" s="4" t="s">
        <v>36837</v>
      </c>
      <c r="F5870" s="4" t="s">
        <v>32622</v>
      </c>
      <c r="G5870" s="4" t="s">
        <v>34164</v>
      </c>
    </row>
    <row r="5871" ht="14.25">
      <c r="B5871" s="14" t="s">
        <v>36834</v>
      </c>
      <c r="C5871" s="4" t="s">
        <v>36835</v>
      </c>
      <c r="D5871" s="4" t="s">
        <v>36838</v>
      </c>
      <c r="E5871" s="4" t="s">
        <v>36837</v>
      </c>
      <c r="F5871" s="4" t="s">
        <v>215</v>
      </c>
      <c r="G5871" s="4" t="s">
        <v>36839</v>
      </c>
    </row>
    <row r="5872" ht="14.25">
      <c r="B5872" s="14" t="s">
        <v>36840</v>
      </c>
      <c r="C5872" s="4" t="s">
        <v>36841</v>
      </c>
      <c r="D5872" s="4" t="s">
        <v>36842</v>
      </c>
      <c r="E5872" s="4" t="s">
        <v>36843</v>
      </c>
      <c r="F5872" s="4" t="s">
        <v>5579</v>
      </c>
      <c r="G5872" s="4" t="s">
        <v>36844</v>
      </c>
    </row>
    <row r="5873" ht="14.25">
      <c r="B5873" s="14" t="s">
        <v>36840</v>
      </c>
      <c r="C5873" s="4" t="s">
        <v>36841</v>
      </c>
      <c r="D5873" s="4" t="s">
        <v>36845</v>
      </c>
      <c r="E5873" s="4" t="s">
        <v>36843</v>
      </c>
      <c r="F5873" s="4" t="s">
        <v>3072</v>
      </c>
      <c r="G5873" s="4" t="s">
        <v>36846</v>
      </c>
    </row>
    <row r="5874" ht="14.25">
      <c r="B5874" s="14" t="s">
        <v>36840</v>
      </c>
      <c r="C5874" s="4" t="s">
        <v>36847</v>
      </c>
      <c r="D5874" s="4" t="s">
        <v>36848</v>
      </c>
      <c r="E5874" s="4" t="s">
        <v>36849</v>
      </c>
      <c r="F5874" s="4" t="s">
        <v>32616</v>
      </c>
      <c r="G5874" s="4" t="s">
        <v>36850</v>
      </c>
    </row>
    <row r="5875" ht="14.25">
      <c r="B5875" s="14" t="s">
        <v>36840</v>
      </c>
      <c r="C5875" s="4" t="s">
        <v>36851</v>
      </c>
      <c r="D5875" s="4" t="s">
        <v>36852</v>
      </c>
      <c r="E5875" s="4" t="s">
        <v>36853</v>
      </c>
      <c r="F5875" s="4" t="s">
        <v>1215</v>
      </c>
      <c r="G5875" s="4" t="s">
        <v>36854</v>
      </c>
    </row>
    <row r="5876" ht="14.25">
      <c r="B5876" s="14" t="s">
        <v>36840</v>
      </c>
      <c r="C5876" s="4" t="s">
        <v>36841</v>
      </c>
      <c r="D5876" s="4" t="s">
        <v>36855</v>
      </c>
      <c r="E5876" s="4" t="s">
        <v>36843</v>
      </c>
      <c r="F5876" s="4" t="s">
        <v>36856</v>
      </c>
      <c r="G5876" s="4" t="s">
        <v>36857</v>
      </c>
    </row>
    <row r="5877" ht="14.25">
      <c r="B5877" s="14" t="s">
        <v>36840</v>
      </c>
      <c r="C5877" s="4" t="s">
        <v>36858</v>
      </c>
      <c r="D5877" s="4" t="s">
        <v>36859</v>
      </c>
      <c r="E5877" s="4" t="s">
        <v>36860</v>
      </c>
      <c r="F5877" s="4" t="s">
        <v>8049</v>
      </c>
      <c r="G5877" s="4" t="s">
        <v>36861</v>
      </c>
    </row>
    <row r="5878" ht="14.25">
      <c r="B5878" s="14" t="s">
        <v>36862</v>
      </c>
      <c r="C5878" s="4" t="s">
        <v>36863</v>
      </c>
      <c r="D5878" s="4" t="s">
        <v>36864</v>
      </c>
      <c r="E5878" s="6"/>
      <c r="F5878" s="4" t="s">
        <v>7559</v>
      </c>
      <c r="G5878" s="4" t="s">
        <v>36865</v>
      </c>
    </row>
    <row r="5879" ht="14.25">
      <c r="B5879" s="14" t="s">
        <v>36862</v>
      </c>
      <c r="C5879" s="4" t="s">
        <v>36863</v>
      </c>
      <c r="D5879" s="4" t="s">
        <v>36866</v>
      </c>
      <c r="E5879" s="4" t="s">
        <v>36864</v>
      </c>
      <c r="F5879" s="4" t="s">
        <v>2419</v>
      </c>
      <c r="G5879" s="4" t="s">
        <v>36867</v>
      </c>
    </row>
    <row r="5880" ht="14.25">
      <c r="B5880" s="14" t="s">
        <v>36868</v>
      </c>
      <c r="C5880" s="4" t="s">
        <v>36869</v>
      </c>
      <c r="D5880" s="4" t="s">
        <v>36870</v>
      </c>
      <c r="E5880" s="4" t="s">
        <v>36871</v>
      </c>
      <c r="F5880" s="4" t="s">
        <v>33264</v>
      </c>
      <c r="G5880" s="4" t="s">
        <v>36872</v>
      </c>
    </row>
    <row r="5881" ht="14.25">
      <c r="B5881" s="14" t="s">
        <v>36868</v>
      </c>
      <c r="C5881" s="4" t="s">
        <v>36869</v>
      </c>
      <c r="D5881" s="4" t="s">
        <v>36873</v>
      </c>
      <c r="E5881" s="4" t="s">
        <v>36871</v>
      </c>
      <c r="F5881" s="4" t="s">
        <v>33621</v>
      </c>
      <c r="G5881" s="4" t="s">
        <v>32868</v>
      </c>
    </row>
    <row r="5882" ht="14.25">
      <c r="B5882" s="14" t="s">
        <v>36868</v>
      </c>
      <c r="C5882" s="4" t="s">
        <v>36869</v>
      </c>
      <c r="D5882" s="4" t="s">
        <v>36874</v>
      </c>
      <c r="E5882" s="4" t="s">
        <v>36871</v>
      </c>
      <c r="F5882" s="4" t="s">
        <v>13010</v>
      </c>
      <c r="G5882" s="4" t="s">
        <v>36875</v>
      </c>
    </row>
    <row r="5883" ht="14.25">
      <c r="B5883" s="14" t="s">
        <v>36868</v>
      </c>
      <c r="C5883" s="4" t="s">
        <v>36869</v>
      </c>
      <c r="D5883" s="4" t="s">
        <v>36876</v>
      </c>
      <c r="E5883" s="4" t="s">
        <v>36871</v>
      </c>
      <c r="F5883" s="4" t="s">
        <v>1732</v>
      </c>
      <c r="G5883" s="4" t="s">
        <v>36877</v>
      </c>
    </row>
    <row r="5884" ht="14.25">
      <c r="B5884" s="14" t="s">
        <v>36868</v>
      </c>
      <c r="C5884" s="4" t="s">
        <v>36869</v>
      </c>
      <c r="D5884" s="4" t="s">
        <v>36878</v>
      </c>
      <c r="E5884" s="4" t="s">
        <v>36871</v>
      </c>
      <c r="F5884" s="4" t="s">
        <v>23470</v>
      </c>
      <c r="G5884" s="4" t="s">
        <v>36879</v>
      </c>
    </row>
    <row r="5885" ht="14.25">
      <c r="B5885" s="14" t="s">
        <v>36868</v>
      </c>
      <c r="C5885" s="4" t="s">
        <v>36869</v>
      </c>
      <c r="D5885" s="4" t="s">
        <v>36880</v>
      </c>
      <c r="E5885" s="4" t="s">
        <v>36871</v>
      </c>
      <c r="F5885" s="4" t="s">
        <v>785</v>
      </c>
      <c r="G5885" s="4" t="s">
        <v>36881</v>
      </c>
    </row>
    <row r="5886" ht="14.25">
      <c r="B5886" s="14" t="s">
        <v>36868</v>
      </c>
      <c r="C5886" s="4" t="s">
        <v>36869</v>
      </c>
      <c r="D5886" s="4" t="s">
        <v>36882</v>
      </c>
      <c r="E5886" s="4" t="s">
        <v>36871</v>
      </c>
      <c r="F5886" s="4" t="s">
        <v>1001</v>
      </c>
      <c r="G5886" s="4" t="s">
        <v>36883</v>
      </c>
    </row>
    <row r="5887" ht="14.25">
      <c r="B5887" s="14" t="s">
        <v>36868</v>
      </c>
      <c r="C5887" s="4" t="s">
        <v>36869</v>
      </c>
      <c r="D5887" s="4" t="s">
        <v>36884</v>
      </c>
      <c r="E5887" s="4" t="s">
        <v>36871</v>
      </c>
      <c r="F5887" s="4" t="s">
        <v>355</v>
      </c>
      <c r="G5887" s="4" t="s">
        <v>32594</v>
      </c>
    </row>
    <row r="5888" ht="14.25">
      <c r="B5888" s="14" t="s">
        <v>36885</v>
      </c>
      <c r="C5888" s="4" t="s">
        <v>36886</v>
      </c>
      <c r="D5888" s="4" t="s">
        <v>36887</v>
      </c>
      <c r="E5888" s="6"/>
      <c r="F5888" s="4" t="s">
        <v>32622</v>
      </c>
      <c r="G5888" s="4" t="s">
        <v>36888</v>
      </c>
    </row>
    <row r="5889" ht="14.25">
      <c r="B5889" s="14" t="s">
        <v>36885</v>
      </c>
      <c r="C5889" s="4" t="s">
        <v>36889</v>
      </c>
      <c r="D5889" s="4" t="s">
        <v>36890</v>
      </c>
      <c r="E5889" s="4" t="s">
        <v>36891</v>
      </c>
      <c r="F5889" s="4" t="s">
        <v>20</v>
      </c>
      <c r="G5889" s="4" t="s">
        <v>35743</v>
      </c>
    </row>
    <row r="5890" ht="14.25">
      <c r="B5890" s="14" t="s">
        <v>36885</v>
      </c>
      <c r="C5890" s="4" t="s">
        <v>36892</v>
      </c>
      <c r="D5890" s="4" t="s">
        <v>36893</v>
      </c>
      <c r="E5890" s="4" t="s">
        <v>36894</v>
      </c>
      <c r="F5890" s="4" t="s">
        <v>1562</v>
      </c>
      <c r="G5890" s="4" t="s">
        <v>36199</v>
      </c>
    </row>
    <row r="5891" ht="14.25">
      <c r="B5891" s="14" t="s">
        <v>36885</v>
      </c>
      <c r="C5891" s="4" t="s">
        <v>36895</v>
      </c>
      <c r="D5891" s="4" t="s">
        <v>36896</v>
      </c>
      <c r="E5891" s="4" t="s">
        <v>36897</v>
      </c>
      <c r="F5891" s="4" t="s">
        <v>3072</v>
      </c>
      <c r="G5891" s="4" t="s">
        <v>36898</v>
      </c>
    </row>
    <row r="5892" ht="14.25">
      <c r="B5892" s="14" t="s">
        <v>36885</v>
      </c>
      <c r="C5892" s="4" t="s">
        <v>36899</v>
      </c>
      <c r="D5892" s="4" t="s">
        <v>36900</v>
      </c>
      <c r="E5892" s="4" t="s">
        <v>36901</v>
      </c>
      <c r="F5892" s="4" t="s">
        <v>33380</v>
      </c>
      <c r="G5892" s="4" t="s">
        <v>33700</v>
      </c>
    </row>
    <row r="5893" ht="14.25">
      <c r="B5893" s="14" t="s">
        <v>36885</v>
      </c>
      <c r="C5893" s="4" t="s">
        <v>36899</v>
      </c>
      <c r="D5893" s="4" t="s">
        <v>36902</v>
      </c>
      <c r="E5893" s="4" t="s">
        <v>36901</v>
      </c>
      <c r="F5893" s="4" t="s">
        <v>785</v>
      </c>
      <c r="G5893" s="4" t="s">
        <v>36903</v>
      </c>
    </row>
    <row r="5894" ht="14.25">
      <c r="B5894" s="14" t="s">
        <v>36885</v>
      </c>
      <c r="C5894" s="4" t="s">
        <v>36899</v>
      </c>
      <c r="D5894" s="4" t="s">
        <v>36904</v>
      </c>
      <c r="E5894" s="4" t="s">
        <v>36901</v>
      </c>
      <c r="F5894" s="4" t="s">
        <v>2508</v>
      </c>
      <c r="G5894" s="4" t="s">
        <v>36905</v>
      </c>
    </row>
    <row r="5895" ht="14.25">
      <c r="B5895" s="14" t="s">
        <v>36885</v>
      </c>
      <c r="C5895" s="4" t="s">
        <v>36899</v>
      </c>
      <c r="D5895" s="4" t="s">
        <v>36906</v>
      </c>
      <c r="E5895" s="4" t="s">
        <v>36901</v>
      </c>
      <c r="F5895" s="4" t="s">
        <v>222</v>
      </c>
      <c r="G5895" s="4" t="s">
        <v>36907</v>
      </c>
    </row>
    <row r="5896" ht="14.25">
      <c r="B5896" s="14" t="s">
        <v>36908</v>
      </c>
      <c r="C5896" s="4" t="s">
        <v>36909</v>
      </c>
      <c r="D5896" s="4" t="s">
        <v>36910</v>
      </c>
      <c r="E5896" s="4" t="s">
        <v>36911</v>
      </c>
      <c r="F5896" s="4" t="s">
        <v>3072</v>
      </c>
      <c r="G5896" s="4" t="s">
        <v>36912</v>
      </c>
    </row>
    <row r="5897" ht="14.25">
      <c r="B5897" s="14" t="s">
        <v>36908</v>
      </c>
      <c r="C5897" s="4" t="s">
        <v>36913</v>
      </c>
      <c r="D5897" s="4" t="s">
        <v>36914</v>
      </c>
      <c r="E5897" s="4" t="s">
        <v>36915</v>
      </c>
      <c r="F5897" s="4" t="s">
        <v>110</v>
      </c>
      <c r="G5897" s="4" t="s">
        <v>36916</v>
      </c>
    </row>
    <row r="5898" ht="14.25">
      <c r="B5898" s="14" t="s">
        <v>36908</v>
      </c>
      <c r="C5898" s="4" t="s">
        <v>36909</v>
      </c>
      <c r="D5898" s="4" t="s">
        <v>36917</v>
      </c>
      <c r="E5898" s="4" t="s">
        <v>36911</v>
      </c>
      <c r="F5898" s="4" t="s">
        <v>1732</v>
      </c>
      <c r="G5898" s="4" t="s">
        <v>35651</v>
      </c>
    </row>
    <row r="5899" ht="14.25">
      <c r="B5899" s="14" t="s">
        <v>36908</v>
      </c>
      <c r="C5899" s="4" t="s">
        <v>36913</v>
      </c>
      <c r="D5899" s="4" t="s">
        <v>36918</v>
      </c>
      <c r="E5899" s="4" t="s">
        <v>36915</v>
      </c>
      <c r="F5899" s="4" t="s">
        <v>33451</v>
      </c>
      <c r="G5899" s="4" t="s">
        <v>36919</v>
      </c>
    </row>
    <row r="5900" ht="14.25">
      <c r="B5900" s="14" t="s">
        <v>36920</v>
      </c>
      <c r="C5900" s="4" t="s">
        <v>36921</v>
      </c>
      <c r="D5900" s="4" t="s">
        <v>36922</v>
      </c>
      <c r="E5900" s="4" t="s">
        <v>36923</v>
      </c>
      <c r="F5900" s="4" t="s">
        <v>2508</v>
      </c>
      <c r="G5900" s="4" t="s">
        <v>36924</v>
      </c>
    </row>
    <row r="5901" ht="14.25">
      <c r="B5901" s="14" t="s">
        <v>36920</v>
      </c>
      <c r="C5901" s="4" t="s">
        <v>36921</v>
      </c>
      <c r="D5901" s="4" t="s">
        <v>36925</v>
      </c>
      <c r="E5901" s="4" t="s">
        <v>36923</v>
      </c>
      <c r="F5901" s="4" t="s">
        <v>4115</v>
      </c>
      <c r="G5901" s="4" t="s">
        <v>36926</v>
      </c>
    </row>
    <row r="5902" ht="14.25">
      <c r="B5902" s="14" t="s">
        <v>36920</v>
      </c>
      <c r="C5902" s="4" t="s">
        <v>36921</v>
      </c>
      <c r="D5902" s="4" t="s">
        <v>36927</v>
      </c>
      <c r="E5902" s="4" t="s">
        <v>36923</v>
      </c>
      <c r="F5902" s="4" t="s">
        <v>817</v>
      </c>
      <c r="G5902" s="4" t="s">
        <v>36928</v>
      </c>
    </row>
    <row r="5903" ht="14.25">
      <c r="B5903" s="14" t="s">
        <v>36920</v>
      </c>
      <c r="C5903" s="4" t="s">
        <v>36929</v>
      </c>
      <c r="D5903" s="4" t="s">
        <v>36930</v>
      </c>
      <c r="E5903" s="4" t="s">
        <v>36931</v>
      </c>
      <c r="F5903" s="4" t="s">
        <v>1732</v>
      </c>
      <c r="G5903" s="4" t="s">
        <v>36932</v>
      </c>
    </row>
    <row r="5904" ht="14.25">
      <c r="B5904" s="14" t="s">
        <v>36920</v>
      </c>
      <c r="C5904" s="4" t="s">
        <v>36921</v>
      </c>
      <c r="D5904" s="4" t="s">
        <v>36933</v>
      </c>
      <c r="E5904" s="4" t="s">
        <v>36923</v>
      </c>
      <c r="F5904" s="4" t="s">
        <v>35368</v>
      </c>
      <c r="G5904" s="4" t="s">
        <v>36934</v>
      </c>
    </row>
    <row r="5905" ht="14.25">
      <c r="B5905" s="14" t="s">
        <v>36920</v>
      </c>
      <c r="C5905" s="4" t="s">
        <v>36935</v>
      </c>
      <c r="D5905" s="4" t="s">
        <v>36936</v>
      </c>
      <c r="E5905" s="6"/>
      <c r="F5905" s="4" t="s">
        <v>36937</v>
      </c>
      <c r="G5905" s="4" t="s">
        <v>36938</v>
      </c>
    </row>
    <row r="5906" ht="14.25">
      <c r="B5906" s="14" t="s">
        <v>36920</v>
      </c>
      <c r="C5906" s="4" t="s">
        <v>36929</v>
      </c>
      <c r="D5906" s="4" t="s">
        <v>36939</v>
      </c>
      <c r="E5906" s="4" t="s">
        <v>36931</v>
      </c>
      <c r="F5906" s="4" t="s">
        <v>1571</v>
      </c>
      <c r="G5906" s="4" t="s">
        <v>36940</v>
      </c>
    </row>
    <row r="5907" ht="14.25">
      <c r="B5907" s="14" t="s">
        <v>36920</v>
      </c>
      <c r="C5907" s="4" t="s">
        <v>36921</v>
      </c>
      <c r="D5907" s="4" t="s">
        <v>36941</v>
      </c>
      <c r="E5907" s="4" t="s">
        <v>36923</v>
      </c>
      <c r="F5907" s="4" t="s">
        <v>670</v>
      </c>
      <c r="G5907" s="4" t="s">
        <v>36942</v>
      </c>
    </row>
    <row r="5908" ht="14.25">
      <c r="B5908" s="14" t="s">
        <v>36920</v>
      </c>
      <c r="C5908" s="4" t="s">
        <v>36929</v>
      </c>
      <c r="D5908" s="4" t="s">
        <v>36943</v>
      </c>
      <c r="E5908" s="4" t="s">
        <v>36931</v>
      </c>
      <c r="F5908" s="4" t="s">
        <v>1732</v>
      </c>
      <c r="G5908" s="4" t="s">
        <v>36944</v>
      </c>
    </row>
    <row r="5909" ht="14.25">
      <c r="B5909" s="14" t="s">
        <v>36920</v>
      </c>
      <c r="C5909" s="4" t="s">
        <v>36921</v>
      </c>
      <c r="D5909" s="4" t="s">
        <v>36945</v>
      </c>
      <c r="E5909" s="4" t="s">
        <v>36923</v>
      </c>
      <c r="F5909" s="4" t="s">
        <v>20</v>
      </c>
      <c r="G5909" s="4" t="s">
        <v>36946</v>
      </c>
    </row>
    <row r="5910" ht="14.25">
      <c r="B5910" s="14" t="s">
        <v>36920</v>
      </c>
      <c r="C5910" s="4" t="s">
        <v>36921</v>
      </c>
      <c r="D5910" s="4" t="s">
        <v>36947</v>
      </c>
      <c r="E5910" s="4" t="s">
        <v>36923</v>
      </c>
      <c r="F5910" s="4" t="s">
        <v>874</v>
      </c>
      <c r="G5910" s="4" t="s">
        <v>34955</v>
      </c>
    </row>
    <row r="5911" ht="14.25">
      <c r="B5911" s="14" t="s">
        <v>36920</v>
      </c>
      <c r="C5911" s="4" t="s">
        <v>36921</v>
      </c>
      <c r="D5911" s="4" t="s">
        <v>36948</v>
      </c>
      <c r="E5911" s="4" t="s">
        <v>36923</v>
      </c>
      <c r="F5911" s="4" t="s">
        <v>22725</v>
      </c>
      <c r="G5911" s="4" t="s">
        <v>36949</v>
      </c>
    </row>
    <row r="5912" ht="14.25">
      <c r="B5912" s="14" t="s">
        <v>36920</v>
      </c>
      <c r="C5912" s="4" t="s">
        <v>36921</v>
      </c>
      <c r="D5912" s="4" t="s">
        <v>36950</v>
      </c>
      <c r="E5912" s="4" t="s">
        <v>36923</v>
      </c>
      <c r="F5912" s="4" t="s">
        <v>15058</v>
      </c>
      <c r="G5912" s="4" t="s">
        <v>36951</v>
      </c>
    </row>
    <row r="5913" ht="14.25">
      <c r="B5913" s="14" t="s">
        <v>36920</v>
      </c>
      <c r="C5913" s="4" t="s">
        <v>36921</v>
      </c>
      <c r="D5913" s="4" t="s">
        <v>36952</v>
      </c>
      <c r="E5913" s="4" t="s">
        <v>36923</v>
      </c>
      <c r="F5913" s="4" t="s">
        <v>20</v>
      </c>
      <c r="G5913" s="4" t="s">
        <v>36953</v>
      </c>
    </row>
    <row r="5914" ht="14.25">
      <c r="B5914" s="14" t="s">
        <v>36920</v>
      </c>
      <c r="C5914" s="4" t="s">
        <v>36921</v>
      </c>
      <c r="D5914" s="4" t="s">
        <v>36954</v>
      </c>
      <c r="E5914" s="4" t="s">
        <v>36923</v>
      </c>
      <c r="F5914" s="4" t="s">
        <v>36955</v>
      </c>
      <c r="G5914" s="4" t="s">
        <v>36956</v>
      </c>
    </row>
    <row r="5915" ht="14.25">
      <c r="B5915" s="14" t="s">
        <v>36957</v>
      </c>
      <c r="C5915" s="4" t="s">
        <v>36958</v>
      </c>
      <c r="D5915" s="4" t="s">
        <v>36959</v>
      </c>
      <c r="E5915" s="4" t="s">
        <v>36960</v>
      </c>
      <c r="F5915" s="4" t="s">
        <v>874</v>
      </c>
      <c r="G5915" s="4" t="s">
        <v>36961</v>
      </c>
    </row>
    <row r="5916" ht="14.25">
      <c r="B5916" s="14" t="s">
        <v>36957</v>
      </c>
      <c r="C5916" s="4" t="s">
        <v>36962</v>
      </c>
      <c r="D5916" s="4" t="s">
        <v>36963</v>
      </c>
      <c r="E5916" s="6"/>
      <c r="F5916" s="4" t="s">
        <v>32701</v>
      </c>
      <c r="G5916" s="4" t="s">
        <v>36964</v>
      </c>
    </row>
    <row r="5917" ht="14.25">
      <c r="B5917" s="14" t="s">
        <v>36957</v>
      </c>
      <c r="C5917" s="4" t="s">
        <v>36962</v>
      </c>
      <c r="D5917" s="4" t="s">
        <v>36965</v>
      </c>
      <c r="E5917" s="4" t="s">
        <v>36963</v>
      </c>
      <c r="F5917" s="4" t="s">
        <v>4177</v>
      </c>
      <c r="G5917" s="4" t="s">
        <v>36966</v>
      </c>
    </row>
    <row r="5918" ht="14.25">
      <c r="B5918" s="14" t="s">
        <v>36967</v>
      </c>
      <c r="C5918" s="4" t="s">
        <v>36968</v>
      </c>
      <c r="D5918" s="4" t="s">
        <v>36969</v>
      </c>
      <c r="E5918" s="6"/>
      <c r="F5918" s="4" t="s">
        <v>7559</v>
      </c>
      <c r="G5918" s="4" t="s">
        <v>36210</v>
      </c>
    </row>
    <row r="5919" ht="14.25">
      <c r="B5919" s="14" t="s">
        <v>36970</v>
      </c>
      <c r="C5919" s="4" t="s">
        <v>36971</v>
      </c>
      <c r="D5919" s="4" t="s">
        <v>36972</v>
      </c>
      <c r="E5919" s="6"/>
      <c r="F5919" s="4" t="s">
        <v>32831</v>
      </c>
      <c r="G5919" s="4" t="s">
        <v>36973</v>
      </c>
    </row>
    <row r="5920" ht="14.25">
      <c r="B5920" s="14" t="s">
        <v>36974</v>
      </c>
      <c r="C5920" s="4" t="s">
        <v>36975</v>
      </c>
      <c r="D5920" s="4" t="s">
        <v>36976</v>
      </c>
      <c r="E5920" s="4" t="s">
        <v>36977</v>
      </c>
      <c r="F5920" s="4" t="s">
        <v>23753</v>
      </c>
      <c r="G5920" s="4" t="s">
        <v>36978</v>
      </c>
    </row>
    <row r="5921" ht="14.25">
      <c r="B5921" s="14" t="s">
        <v>36974</v>
      </c>
      <c r="C5921" s="4" t="s">
        <v>36975</v>
      </c>
      <c r="D5921" s="4" t="s">
        <v>36979</v>
      </c>
      <c r="E5921" s="4" t="s">
        <v>36977</v>
      </c>
      <c r="F5921" s="4" t="s">
        <v>330</v>
      </c>
      <c r="G5921" s="4" t="s">
        <v>36980</v>
      </c>
    </row>
    <row r="5922" ht="14.25">
      <c r="B5922" s="14" t="s">
        <v>36981</v>
      </c>
      <c r="C5922" s="4" t="s">
        <v>36982</v>
      </c>
      <c r="D5922" s="4" t="s">
        <v>36983</v>
      </c>
      <c r="E5922" s="6"/>
      <c r="F5922" s="4" t="s">
        <v>1596</v>
      </c>
      <c r="G5922" s="4" t="s">
        <v>36984</v>
      </c>
    </row>
    <row r="5923" ht="14.25">
      <c r="B5923" s="14" t="s">
        <v>36985</v>
      </c>
      <c r="C5923" s="4" t="s">
        <v>36986</v>
      </c>
      <c r="D5923" s="4" t="s">
        <v>36987</v>
      </c>
      <c r="E5923" s="4" t="s">
        <v>36988</v>
      </c>
      <c r="F5923" s="4" t="s">
        <v>34878</v>
      </c>
      <c r="G5923" s="4" t="s">
        <v>36989</v>
      </c>
    </row>
    <row r="5924" ht="14.25">
      <c r="B5924" s="14" t="s">
        <v>36985</v>
      </c>
      <c r="C5924" s="4" t="s">
        <v>36986</v>
      </c>
      <c r="D5924" s="4" t="s">
        <v>36990</v>
      </c>
      <c r="E5924" s="4" t="s">
        <v>36988</v>
      </c>
      <c r="F5924" s="4" t="s">
        <v>670</v>
      </c>
      <c r="G5924" s="4" t="s">
        <v>36991</v>
      </c>
    </row>
    <row r="5925" ht="14.25">
      <c r="B5925" s="14" t="s">
        <v>36985</v>
      </c>
      <c r="C5925" s="4" t="s">
        <v>36986</v>
      </c>
      <c r="D5925" s="4" t="s">
        <v>36992</v>
      </c>
      <c r="E5925" s="4" t="s">
        <v>36988</v>
      </c>
      <c r="F5925" s="4" t="s">
        <v>670</v>
      </c>
      <c r="G5925" s="4" t="s">
        <v>36993</v>
      </c>
    </row>
    <row r="5926" ht="14.25">
      <c r="B5926" s="14" t="s">
        <v>36985</v>
      </c>
      <c r="C5926" s="4" t="s">
        <v>36986</v>
      </c>
      <c r="D5926" s="4" t="s">
        <v>36994</v>
      </c>
      <c r="E5926" s="4" t="s">
        <v>36988</v>
      </c>
      <c r="F5926" s="4" t="s">
        <v>2372</v>
      </c>
      <c r="G5926" s="4" t="s">
        <v>36995</v>
      </c>
    </row>
    <row r="5927" ht="14.25">
      <c r="B5927" s="14" t="s">
        <v>36996</v>
      </c>
      <c r="C5927" s="4" t="s">
        <v>36997</v>
      </c>
      <c r="D5927" s="4" t="s">
        <v>36998</v>
      </c>
      <c r="E5927" s="4" t="s">
        <v>36999</v>
      </c>
      <c r="F5927" s="4" t="s">
        <v>35481</v>
      </c>
      <c r="G5927" s="4" t="s">
        <v>37000</v>
      </c>
    </row>
    <row r="5928" ht="14.25">
      <c r="B5928" s="14" t="s">
        <v>37001</v>
      </c>
      <c r="C5928" s="4" t="s">
        <v>37002</v>
      </c>
      <c r="D5928" s="4" t="s">
        <v>37003</v>
      </c>
      <c r="E5928" s="4" t="s">
        <v>37004</v>
      </c>
      <c r="F5928" s="4" t="s">
        <v>37005</v>
      </c>
      <c r="G5928" s="4" t="s">
        <v>37006</v>
      </c>
    </row>
    <row r="5929" ht="14.25">
      <c r="B5929" s="14" t="s">
        <v>37007</v>
      </c>
      <c r="C5929" s="4" t="s">
        <v>37008</v>
      </c>
      <c r="D5929" s="4" t="s">
        <v>37009</v>
      </c>
      <c r="E5929" s="6"/>
      <c r="F5929" s="4" t="s">
        <v>8049</v>
      </c>
      <c r="G5929" s="4" t="s">
        <v>37010</v>
      </c>
    </row>
    <row r="5930" ht="14.25">
      <c r="B5930" s="14" t="s">
        <v>37007</v>
      </c>
      <c r="C5930" s="4" t="s">
        <v>37008</v>
      </c>
      <c r="D5930" s="4" t="s">
        <v>37011</v>
      </c>
      <c r="E5930" s="4" t="s">
        <v>37009</v>
      </c>
      <c r="F5930" s="4" t="s">
        <v>37012</v>
      </c>
      <c r="G5930" s="4" t="s">
        <v>33327</v>
      </c>
    </row>
    <row r="5931" ht="14.25">
      <c r="B5931" s="14" t="s">
        <v>37013</v>
      </c>
      <c r="C5931" s="4" t="s">
        <v>37014</v>
      </c>
      <c r="D5931" s="4" t="s">
        <v>37015</v>
      </c>
      <c r="E5931" s="6"/>
      <c r="F5931" s="4" t="s">
        <v>21089</v>
      </c>
      <c r="G5931" s="4" t="s">
        <v>37016</v>
      </c>
    </row>
    <row r="5932" ht="14.25">
      <c r="B5932" s="14" t="s">
        <v>37017</v>
      </c>
      <c r="C5932" s="4" t="s">
        <v>37018</v>
      </c>
      <c r="D5932" s="4" t="s">
        <v>37019</v>
      </c>
      <c r="E5932" s="6"/>
      <c r="F5932" s="4" t="s">
        <v>16133</v>
      </c>
      <c r="G5932" s="4" t="s">
        <v>37020</v>
      </c>
    </row>
    <row r="5933" ht="14.25">
      <c r="B5933" s="14" t="s">
        <v>37021</v>
      </c>
      <c r="C5933" s="4" t="s">
        <v>37022</v>
      </c>
      <c r="D5933" s="4" t="s">
        <v>37023</v>
      </c>
      <c r="E5933" s="6"/>
      <c r="F5933" s="4" t="s">
        <v>971</v>
      </c>
      <c r="G5933" s="4" t="s">
        <v>37024</v>
      </c>
    </row>
    <row r="5934" ht="14.25">
      <c r="B5934" s="14" t="s">
        <v>37025</v>
      </c>
      <c r="C5934" s="4" t="s">
        <v>37026</v>
      </c>
      <c r="D5934" s="4" t="s">
        <v>37027</v>
      </c>
      <c r="E5934" s="4" t="s">
        <v>37028</v>
      </c>
      <c r="F5934" s="4" t="s">
        <v>1732</v>
      </c>
      <c r="G5934" s="4" t="s">
        <v>37029</v>
      </c>
    </row>
    <row r="5935" ht="14.25">
      <c r="B5935" s="14" t="s">
        <v>37025</v>
      </c>
      <c r="C5935" s="4" t="s">
        <v>37026</v>
      </c>
      <c r="D5935" s="4" t="s">
        <v>37030</v>
      </c>
      <c r="E5935" s="4" t="s">
        <v>37028</v>
      </c>
      <c r="F5935" s="4" t="s">
        <v>6992</v>
      </c>
      <c r="G5935" s="4" t="s">
        <v>37029</v>
      </c>
    </row>
    <row r="5936" ht="14.25">
      <c r="B5936" s="14" t="s">
        <v>37031</v>
      </c>
      <c r="C5936" s="4" t="s">
        <v>37032</v>
      </c>
      <c r="D5936" s="4" t="s">
        <v>37033</v>
      </c>
      <c r="E5936" s="4" t="s">
        <v>37034</v>
      </c>
      <c r="F5936" s="4" t="s">
        <v>23070</v>
      </c>
      <c r="G5936" s="4" t="s">
        <v>37035</v>
      </c>
    </row>
    <row r="5937" ht="14.25">
      <c r="B5937" s="14" t="s">
        <v>37036</v>
      </c>
      <c r="C5937" s="4" t="s">
        <v>37037</v>
      </c>
      <c r="D5937" s="4" t="s">
        <v>37038</v>
      </c>
      <c r="E5937" s="4" t="s">
        <v>37039</v>
      </c>
      <c r="F5937" s="4" t="s">
        <v>1571</v>
      </c>
      <c r="G5937" s="4" t="s">
        <v>37040</v>
      </c>
    </row>
    <row r="5938" ht="14.25">
      <c r="B5938" s="14" t="s">
        <v>37041</v>
      </c>
      <c r="C5938" s="4" t="s">
        <v>37042</v>
      </c>
      <c r="D5938" s="4" t="s">
        <v>37043</v>
      </c>
      <c r="E5938" s="4" t="s">
        <v>37044</v>
      </c>
      <c r="F5938" s="4" t="s">
        <v>1215</v>
      </c>
      <c r="G5938" s="4" t="s">
        <v>32623</v>
      </c>
    </row>
    <row r="5939" ht="14.25">
      <c r="B5939" s="14" t="s">
        <v>37045</v>
      </c>
      <c r="C5939" s="4" t="s">
        <v>37046</v>
      </c>
      <c r="D5939" s="4" t="s">
        <v>37047</v>
      </c>
      <c r="E5939" s="6"/>
      <c r="F5939" s="4" t="s">
        <v>95</v>
      </c>
      <c r="G5939" s="4" t="s">
        <v>37048</v>
      </c>
    </row>
    <row r="5940" ht="14.25">
      <c r="B5940" s="14" t="s">
        <v>37049</v>
      </c>
      <c r="C5940" s="4" t="s">
        <v>37050</v>
      </c>
      <c r="D5940" s="4" t="s">
        <v>37051</v>
      </c>
      <c r="E5940" s="4" t="s">
        <v>37052</v>
      </c>
      <c r="F5940" s="4" t="s">
        <v>355</v>
      </c>
      <c r="G5940" s="4" t="s">
        <v>37053</v>
      </c>
    </row>
    <row r="5941" ht="14.25">
      <c r="B5941" s="14" t="s">
        <v>37049</v>
      </c>
      <c r="C5941" s="4" t="s">
        <v>37050</v>
      </c>
      <c r="D5941" s="4" t="s">
        <v>37054</v>
      </c>
      <c r="E5941" s="4" t="s">
        <v>37052</v>
      </c>
      <c r="F5941" s="4" t="s">
        <v>26223</v>
      </c>
      <c r="G5941" s="4" t="s">
        <v>33759</v>
      </c>
    </row>
    <row r="5942" ht="14.25">
      <c r="B5942" s="14" t="s">
        <v>37055</v>
      </c>
      <c r="C5942" s="4" t="s">
        <v>37056</v>
      </c>
      <c r="D5942" s="4" t="s">
        <v>37057</v>
      </c>
      <c r="E5942" s="6"/>
      <c r="F5942" s="4" t="s">
        <v>32622</v>
      </c>
      <c r="G5942" s="4" t="s">
        <v>36656</v>
      </c>
    </row>
    <row r="5943" ht="14.25">
      <c r="B5943" s="14" t="s">
        <v>37058</v>
      </c>
      <c r="C5943" s="4" t="s">
        <v>37059</v>
      </c>
      <c r="D5943" s="4" t="s">
        <v>37060</v>
      </c>
      <c r="E5943" s="6"/>
      <c r="F5943" s="4" t="s">
        <v>35481</v>
      </c>
      <c r="G5943" s="4" t="s">
        <v>37061</v>
      </c>
    </row>
    <row r="5944" ht="14.25">
      <c r="B5944" s="14" t="s">
        <v>37062</v>
      </c>
      <c r="C5944" s="4" t="s">
        <v>37063</v>
      </c>
      <c r="D5944" s="4" t="s">
        <v>37064</v>
      </c>
      <c r="E5944" s="6"/>
      <c r="F5944" s="4" t="s">
        <v>20</v>
      </c>
      <c r="G5944" s="4" t="s">
        <v>37065</v>
      </c>
    </row>
    <row r="5945" ht="14.25">
      <c r="B5945" s="14" t="s">
        <v>37062</v>
      </c>
      <c r="C5945" s="4" t="s">
        <v>37066</v>
      </c>
      <c r="D5945" s="4" t="s">
        <v>37067</v>
      </c>
      <c r="E5945" s="4" t="s">
        <v>37068</v>
      </c>
      <c r="F5945" s="4" t="s">
        <v>32563</v>
      </c>
      <c r="G5945" s="4" t="s">
        <v>37069</v>
      </c>
    </row>
    <row r="5946" ht="14.25">
      <c r="B5946" s="14" t="s">
        <v>37070</v>
      </c>
      <c r="C5946" s="4" t="s">
        <v>37071</v>
      </c>
      <c r="D5946" s="4" t="s">
        <v>37072</v>
      </c>
      <c r="E5946" s="4" t="s">
        <v>37073</v>
      </c>
      <c r="F5946" s="4" t="s">
        <v>36694</v>
      </c>
      <c r="G5946" s="4" t="s">
        <v>37074</v>
      </c>
    </row>
    <row r="5947" ht="14.25">
      <c r="B5947" s="14" t="s">
        <v>37075</v>
      </c>
      <c r="C5947" s="4" t="s">
        <v>37076</v>
      </c>
      <c r="D5947" s="4" t="s">
        <v>37077</v>
      </c>
      <c r="E5947" s="6"/>
      <c r="F5947" s="4" t="s">
        <v>1153</v>
      </c>
      <c r="G5947" s="4" t="s">
        <v>37078</v>
      </c>
    </row>
    <row r="5948" ht="14.25">
      <c r="B5948" s="14" t="s">
        <v>37079</v>
      </c>
      <c r="C5948" s="4" t="s">
        <v>37080</v>
      </c>
      <c r="D5948" s="4" t="s">
        <v>37081</v>
      </c>
      <c r="E5948" s="4" t="s">
        <v>37082</v>
      </c>
      <c r="F5948" s="4" t="s">
        <v>95</v>
      </c>
      <c r="G5948" s="4" t="s">
        <v>37083</v>
      </c>
    </row>
    <row r="5949" ht="14.25">
      <c r="B5949" s="14" t="s">
        <v>37084</v>
      </c>
      <c r="C5949" s="4" t="s">
        <v>37085</v>
      </c>
      <c r="D5949" s="4" t="s">
        <v>37086</v>
      </c>
      <c r="E5949" s="6"/>
      <c r="F5949" s="4" t="s">
        <v>37087</v>
      </c>
      <c r="G5949" s="4" t="s">
        <v>37088</v>
      </c>
    </row>
    <row r="5950" ht="14.25">
      <c r="B5950" s="14" t="s">
        <v>37089</v>
      </c>
      <c r="C5950" s="4" t="s">
        <v>37090</v>
      </c>
      <c r="D5950" s="4" t="s">
        <v>37091</v>
      </c>
      <c r="E5950" s="6"/>
      <c r="F5950" s="4" t="s">
        <v>1732</v>
      </c>
      <c r="G5950" s="4" t="s">
        <v>37092</v>
      </c>
    </row>
    <row r="5951" ht="14.25">
      <c r="B5951" s="14" t="s">
        <v>37093</v>
      </c>
      <c r="C5951" s="4" t="s">
        <v>37094</v>
      </c>
      <c r="D5951" s="4" t="s">
        <v>37095</v>
      </c>
      <c r="E5951" s="4" t="s">
        <v>37096</v>
      </c>
      <c r="F5951" s="4" t="s">
        <v>4236</v>
      </c>
      <c r="G5951" s="4" t="s">
        <v>34625</v>
      </c>
    </row>
    <row r="5952" ht="14.25">
      <c r="B5952" s="14" t="s">
        <v>37097</v>
      </c>
      <c r="C5952" s="4" t="s">
        <v>37098</v>
      </c>
      <c r="D5952" s="4" t="s">
        <v>37099</v>
      </c>
      <c r="E5952" s="4" t="s">
        <v>37100</v>
      </c>
      <c r="F5952" s="4" t="s">
        <v>3516</v>
      </c>
      <c r="G5952" s="4" t="s">
        <v>37101</v>
      </c>
    </row>
    <row r="5953" ht="14.25">
      <c r="B5953" s="14" t="s">
        <v>37097</v>
      </c>
      <c r="C5953" s="4" t="s">
        <v>37098</v>
      </c>
      <c r="D5953" s="4" t="s">
        <v>37102</v>
      </c>
      <c r="E5953" s="4" t="s">
        <v>37100</v>
      </c>
      <c r="F5953" s="4" t="s">
        <v>679</v>
      </c>
      <c r="G5953" s="4" t="s">
        <v>37103</v>
      </c>
    </row>
    <row r="5954" ht="14.25">
      <c r="B5954" s="14" t="s">
        <v>37097</v>
      </c>
      <c r="C5954" s="4" t="s">
        <v>37098</v>
      </c>
      <c r="D5954" s="4" t="s">
        <v>37104</v>
      </c>
      <c r="E5954" s="4" t="s">
        <v>37100</v>
      </c>
      <c r="F5954" s="4" t="s">
        <v>222</v>
      </c>
      <c r="G5954" s="4" t="s">
        <v>37105</v>
      </c>
    </row>
    <row r="5955" ht="14.25">
      <c r="B5955" s="14" t="s">
        <v>37106</v>
      </c>
      <c r="C5955" s="4" t="s">
        <v>37107</v>
      </c>
      <c r="D5955" s="4" t="s">
        <v>37108</v>
      </c>
      <c r="E5955" s="4" t="s">
        <v>37109</v>
      </c>
      <c r="F5955" s="4" t="s">
        <v>1596</v>
      </c>
      <c r="G5955" s="4" t="s">
        <v>35747</v>
      </c>
    </row>
    <row r="5956" ht="14.25">
      <c r="B5956" s="14" t="s">
        <v>37110</v>
      </c>
      <c r="C5956" s="4" t="s">
        <v>37111</v>
      </c>
      <c r="D5956" s="4" t="s">
        <v>37112</v>
      </c>
      <c r="E5956" s="6"/>
      <c r="F5956" s="4" t="s">
        <v>35368</v>
      </c>
      <c r="G5956" s="4" t="s">
        <v>37113</v>
      </c>
    </row>
    <row r="5957" ht="14.25">
      <c r="B5957" s="14" t="s">
        <v>37114</v>
      </c>
      <c r="C5957" s="4" t="s">
        <v>37115</v>
      </c>
      <c r="D5957" s="4" t="s">
        <v>37116</v>
      </c>
      <c r="E5957" s="4" t="s">
        <v>37117</v>
      </c>
      <c r="F5957" s="4" t="s">
        <v>1009</v>
      </c>
      <c r="G5957" s="4" t="s">
        <v>37118</v>
      </c>
    </row>
    <row r="5958" ht="14.25">
      <c r="B5958" s="14" t="s">
        <v>37119</v>
      </c>
      <c r="C5958" s="4" t="s">
        <v>37120</v>
      </c>
      <c r="D5958" s="4" t="s">
        <v>37121</v>
      </c>
      <c r="E5958" s="4" t="s">
        <v>37122</v>
      </c>
      <c r="F5958" s="4" t="s">
        <v>330</v>
      </c>
      <c r="G5958" s="4" t="s">
        <v>37123</v>
      </c>
    </row>
    <row r="5959" ht="14.25">
      <c r="B5959" s="14" t="s">
        <v>37124</v>
      </c>
      <c r="C5959" s="4" t="s">
        <v>37125</v>
      </c>
      <c r="D5959" s="4" t="s">
        <v>37126</v>
      </c>
      <c r="E5959" s="4" t="s">
        <v>37127</v>
      </c>
      <c r="F5959" s="4" t="s">
        <v>670</v>
      </c>
      <c r="G5959" s="4" t="s">
        <v>34663</v>
      </c>
    </row>
    <row r="5960" ht="14.25">
      <c r="B5960" s="14" t="s">
        <v>37124</v>
      </c>
      <c r="C5960" s="4" t="s">
        <v>37125</v>
      </c>
      <c r="D5960" s="4" t="s">
        <v>37128</v>
      </c>
      <c r="E5960" s="4" t="s">
        <v>37127</v>
      </c>
      <c r="F5960" s="4" t="s">
        <v>355</v>
      </c>
      <c r="G5960" s="4" t="s">
        <v>37129</v>
      </c>
    </row>
    <row r="5961" ht="14.25">
      <c r="B5961" s="14" t="s">
        <v>37124</v>
      </c>
      <c r="C5961" s="4" t="s">
        <v>37125</v>
      </c>
      <c r="D5961" s="4" t="s">
        <v>37130</v>
      </c>
      <c r="E5961" s="4" t="s">
        <v>37127</v>
      </c>
      <c r="F5961" s="4" t="s">
        <v>2870</v>
      </c>
      <c r="G5961" s="4" t="s">
        <v>34663</v>
      </c>
    </row>
    <row r="5962" ht="14.25">
      <c r="B5962" s="14" t="s">
        <v>37131</v>
      </c>
      <c r="C5962" s="4" t="s">
        <v>37132</v>
      </c>
      <c r="D5962" s="4" t="s">
        <v>37133</v>
      </c>
      <c r="E5962" s="6"/>
      <c r="F5962" s="4" t="s">
        <v>6744</v>
      </c>
      <c r="G5962" s="4" t="s">
        <v>37134</v>
      </c>
    </row>
    <row r="5963" ht="14.25">
      <c r="B5963" s="14" t="s">
        <v>37131</v>
      </c>
      <c r="C5963" s="4" t="s">
        <v>37135</v>
      </c>
      <c r="D5963" s="4" t="s">
        <v>37136</v>
      </c>
      <c r="E5963" s="4" t="s">
        <v>37137</v>
      </c>
      <c r="F5963" s="4" t="s">
        <v>20</v>
      </c>
      <c r="G5963" s="4" t="s">
        <v>37138</v>
      </c>
    </row>
    <row r="5964" ht="14.25">
      <c r="B5964" s="14" t="s">
        <v>37131</v>
      </c>
      <c r="C5964" s="4" t="s">
        <v>37135</v>
      </c>
      <c r="D5964" s="4" t="s">
        <v>37137</v>
      </c>
      <c r="E5964" s="6"/>
      <c r="F5964" s="4" t="s">
        <v>679</v>
      </c>
      <c r="G5964" s="4" t="s">
        <v>37139</v>
      </c>
    </row>
    <row r="5965" ht="14.25">
      <c r="B5965" s="14" t="s">
        <v>37131</v>
      </c>
      <c r="C5965" s="4" t="s">
        <v>37135</v>
      </c>
      <c r="D5965" s="4" t="s">
        <v>37140</v>
      </c>
      <c r="E5965" s="4" t="s">
        <v>37137</v>
      </c>
      <c r="F5965" s="4" t="s">
        <v>330</v>
      </c>
      <c r="G5965" s="4" t="s">
        <v>37141</v>
      </c>
    </row>
    <row r="5966" ht="14.25">
      <c r="B5966" s="14" t="s">
        <v>37131</v>
      </c>
      <c r="C5966" s="4" t="s">
        <v>37142</v>
      </c>
      <c r="D5966" s="4" t="s">
        <v>37143</v>
      </c>
      <c r="E5966" s="6"/>
      <c r="F5966" s="4" t="s">
        <v>808</v>
      </c>
      <c r="G5966" s="4" t="s">
        <v>37144</v>
      </c>
    </row>
    <row r="5967" ht="14.25">
      <c r="B5967" s="14" t="s">
        <v>37145</v>
      </c>
      <c r="C5967" s="4" t="s">
        <v>37146</v>
      </c>
      <c r="D5967" s="4" t="s">
        <v>37147</v>
      </c>
      <c r="E5967" s="6"/>
      <c r="F5967" s="4" t="s">
        <v>9210</v>
      </c>
      <c r="G5967" s="4" t="s">
        <v>32868</v>
      </c>
    </row>
    <row r="5968" ht="14.25">
      <c r="B5968" s="14" t="s">
        <v>37145</v>
      </c>
      <c r="C5968" s="4" t="s">
        <v>37146</v>
      </c>
      <c r="D5968" s="4" t="s">
        <v>37148</v>
      </c>
      <c r="E5968" s="4" t="s">
        <v>37147</v>
      </c>
      <c r="F5968" s="4" t="s">
        <v>52</v>
      </c>
      <c r="G5968" s="4" t="s">
        <v>37149</v>
      </c>
    </row>
    <row r="5969" ht="14.25">
      <c r="B5969" s="14" t="s">
        <v>37145</v>
      </c>
      <c r="C5969" s="4" t="s">
        <v>37146</v>
      </c>
      <c r="D5969" s="4" t="s">
        <v>37150</v>
      </c>
      <c r="E5969" s="4" t="s">
        <v>37147</v>
      </c>
      <c r="F5969" s="4" t="s">
        <v>2508</v>
      </c>
      <c r="G5969" s="4" t="s">
        <v>37151</v>
      </c>
    </row>
    <row r="5970" ht="14.25">
      <c r="B5970" s="14" t="s">
        <v>37145</v>
      </c>
      <c r="C5970" s="4" t="s">
        <v>37146</v>
      </c>
      <c r="D5970" s="4" t="s">
        <v>37152</v>
      </c>
      <c r="E5970" s="4" t="s">
        <v>37147</v>
      </c>
      <c r="F5970" s="4" t="s">
        <v>37153</v>
      </c>
      <c r="G5970" s="4" t="s">
        <v>32868</v>
      </c>
    </row>
    <row r="5971" ht="14.25">
      <c r="B5971" s="14" t="s">
        <v>37154</v>
      </c>
      <c r="C5971" s="4" t="s">
        <v>37155</v>
      </c>
      <c r="D5971" s="4" t="s">
        <v>37156</v>
      </c>
      <c r="E5971" s="6"/>
      <c r="F5971" s="4" t="s">
        <v>874</v>
      </c>
      <c r="G5971" s="4" t="s">
        <v>37157</v>
      </c>
    </row>
    <row r="5972" ht="14.25">
      <c r="B5972" s="14" t="s">
        <v>37158</v>
      </c>
      <c r="C5972" s="4" t="s">
        <v>37159</v>
      </c>
      <c r="D5972" s="4" t="s">
        <v>37160</v>
      </c>
      <c r="E5972" s="4" t="s">
        <v>37161</v>
      </c>
      <c r="F5972" s="4" t="s">
        <v>37162</v>
      </c>
      <c r="G5972" s="4" t="s">
        <v>37163</v>
      </c>
    </row>
    <row r="5973" ht="14.25">
      <c r="B5973" s="14" t="s">
        <v>37158</v>
      </c>
      <c r="C5973" s="4" t="s">
        <v>37159</v>
      </c>
      <c r="D5973" s="4" t="s">
        <v>37164</v>
      </c>
      <c r="E5973" s="4" t="s">
        <v>37161</v>
      </c>
      <c r="F5973" s="4" t="s">
        <v>9030</v>
      </c>
      <c r="G5973" s="4" t="s">
        <v>37165</v>
      </c>
    </row>
    <row r="5974" ht="14.25">
      <c r="B5974" s="14" t="s">
        <v>37158</v>
      </c>
      <c r="C5974" s="4" t="s">
        <v>37159</v>
      </c>
      <c r="D5974" s="4" t="s">
        <v>37166</v>
      </c>
      <c r="E5974" s="4" t="s">
        <v>37161</v>
      </c>
      <c r="F5974" s="4" t="s">
        <v>36694</v>
      </c>
      <c r="G5974" s="4" t="s">
        <v>37165</v>
      </c>
    </row>
    <row r="5975" ht="14.25">
      <c r="B5975" s="14" t="s">
        <v>37158</v>
      </c>
      <c r="C5975" s="4" t="s">
        <v>37159</v>
      </c>
      <c r="D5975" s="4" t="s">
        <v>37167</v>
      </c>
      <c r="E5975" s="4" t="s">
        <v>37161</v>
      </c>
      <c r="F5975" s="4" t="s">
        <v>5579</v>
      </c>
      <c r="G5975" s="4" t="s">
        <v>37168</v>
      </c>
    </row>
    <row r="5976" ht="14.25">
      <c r="B5976" s="14" t="s">
        <v>37158</v>
      </c>
      <c r="C5976" s="4" t="s">
        <v>37159</v>
      </c>
      <c r="D5976" s="4" t="s">
        <v>37169</v>
      </c>
      <c r="E5976" s="4" t="s">
        <v>37161</v>
      </c>
      <c r="F5976" s="4" t="s">
        <v>37170</v>
      </c>
      <c r="G5976" s="4" t="s">
        <v>37171</v>
      </c>
    </row>
    <row r="5977" ht="14.25">
      <c r="B5977" s="14" t="s">
        <v>37172</v>
      </c>
      <c r="C5977" s="4" t="s">
        <v>37173</v>
      </c>
      <c r="D5977" s="4" t="s">
        <v>37174</v>
      </c>
      <c r="E5977" s="4" t="s">
        <v>37175</v>
      </c>
      <c r="F5977" s="4" t="s">
        <v>20</v>
      </c>
      <c r="G5977" s="4" t="s">
        <v>37176</v>
      </c>
    </row>
    <row r="5978" ht="14.25">
      <c r="B5978" s="14" t="s">
        <v>37172</v>
      </c>
      <c r="C5978" s="4" t="s">
        <v>37173</v>
      </c>
      <c r="D5978" s="4" t="s">
        <v>37175</v>
      </c>
      <c r="E5978" s="6"/>
      <c r="F5978" s="4" t="s">
        <v>963</v>
      </c>
      <c r="G5978" s="4" t="s">
        <v>37177</v>
      </c>
    </row>
    <row r="5979" ht="14.25">
      <c r="B5979" s="14" t="s">
        <v>37178</v>
      </c>
      <c r="C5979" s="4" t="s">
        <v>37179</v>
      </c>
      <c r="D5979" s="4" t="s">
        <v>37180</v>
      </c>
      <c r="E5979" s="4" t="s">
        <v>37181</v>
      </c>
      <c r="F5979" s="4" t="s">
        <v>1619</v>
      </c>
      <c r="G5979" s="4" t="s">
        <v>37182</v>
      </c>
    </row>
    <row r="5980" ht="14.25">
      <c r="B5980" s="14" t="s">
        <v>37178</v>
      </c>
      <c r="C5980" s="4" t="s">
        <v>37179</v>
      </c>
      <c r="D5980" s="4" t="s">
        <v>37183</v>
      </c>
      <c r="E5980" s="4" t="s">
        <v>37181</v>
      </c>
      <c r="F5980" s="4" t="s">
        <v>3165</v>
      </c>
      <c r="G5980" s="4" t="s">
        <v>37184</v>
      </c>
    </row>
    <row r="5981" ht="14.25">
      <c r="B5981" s="14" t="s">
        <v>37178</v>
      </c>
      <c r="C5981" s="4" t="s">
        <v>37179</v>
      </c>
      <c r="D5981" s="4" t="s">
        <v>37185</v>
      </c>
      <c r="E5981" s="4" t="s">
        <v>37181</v>
      </c>
      <c r="F5981" s="4" t="s">
        <v>1861</v>
      </c>
      <c r="G5981" s="4" t="s">
        <v>37186</v>
      </c>
    </row>
    <row r="5982" ht="14.25">
      <c r="B5982" s="14" t="s">
        <v>37178</v>
      </c>
      <c r="C5982" s="4" t="s">
        <v>37179</v>
      </c>
      <c r="D5982" s="4" t="s">
        <v>37187</v>
      </c>
      <c r="E5982" s="4" t="s">
        <v>37181</v>
      </c>
      <c r="F5982" s="4" t="s">
        <v>1499</v>
      </c>
      <c r="G5982" s="4" t="s">
        <v>37188</v>
      </c>
    </row>
    <row r="5983" ht="14.25">
      <c r="B5983" s="14" t="s">
        <v>37178</v>
      </c>
      <c r="C5983" s="4" t="s">
        <v>37179</v>
      </c>
      <c r="D5983" s="4" t="s">
        <v>37189</v>
      </c>
      <c r="E5983" s="4" t="s">
        <v>37181</v>
      </c>
      <c r="F5983" s="4" t="s">
        <v>330</v>
      </c>
      <c r="G5983" s="4" t="s">
        <v>37190</v>
      </c>
    </row>
    <row r="5984" ht="14.25">
      <c r="B5984" s="14" t="s">
        <v>37191</v>
      </c>
      <c r="C5984" s="4" t="s">
        <v>37192</v>
      </c>
      <c r="D5984" s="4" t="s">
        <v>37193</v>
      </c>
      <c r="E5984" s="6"/>
      <c r="F5984" s="4" t="s">
        <v>12648</v>
      </c>
      <c r="G5984" s="4" t="s">
        <v>32972</v>
      </c>
    </row>
    <row r="5985" ht="14.25">
      <c r="B5985" s="14" t="s">
        <v>37191</v>
      </c>
      <c r="C5985" s="4" t="s">
        <v>37194</v>
      </c>
      <c r="D5985" s="4" t="s">
        <v>37195</v>
      </c>
      <c r="E5985" s="6"/>
      <c r="F5985" s="4" t="s">
        <v>3599</v>
      </c>
      <c r="G5985" s="4" t="s">
        <v>37194</v>
      </c>
    </row>
    <row r="5986" ht="14.25">
      <c r="B5986" s="14" t="s">
        <v>37191</v>
      </c>
      <c r="C5986" s="4" t="s">
        <v>37196</v>
      </c>
      <c r="D5986" s="4" t="s">
        <v>37197</v>
      </c>
      <c r="E5986" s="6"/>
      <c r="F5986" s="4" t="s">
        <v>9200</v>
      </c>
      <c r="G5986" s="4" t="s">
        <v>37198</v>
      </c>
    </row>
    <row r="5987" ht="14.25">
      <c r="B5987" s="14" t="s">
        <v>37191</v>
      </c>
      <c r="C5987" s="4" t="s">
        <v>37199</v>
      </c>
      <c r="D5987" s="4" t="s">
        <v>37200</v>
      </c>
      <c r="E5987" s="4" t="s">
        <v>37201</v>
      </c>
      <c r="F5987" s="4" t="s">
        <v>808</v>
      </c>
      <c r="G5987" s="4" t="s">
        <v>37202</v>
      </c>
    </row>
    <row r="5988" ht="14.25">
      <c r="B5988" s="14" t="s">
        <v>37191</v>
      </c>
      <c r="C5988" s="4" t="s">
        <v>37203</v>
      </c>
      <c r="D5988" s="4" t="s">
        <v>37204</v>
      </c>
      <c r="E5988" s="4" t="s">
        <v>37205</v>
      </c>
      <c r="F5988" s="4" t="s">
        <v>769</v>
      </c>
      <c r="G5988" s="4" t="s">
        <v>32868</v>
      </c>
    </row>
    <row r="5989" ht="14.25">
      <c r="B5989" s="14" t="s">
        <v>37191</v>
      </c>
      <c r="C5989" s="4" t="s">
        <v>37196</v>
      </c>
      <c r="D5989" s="4" t="s">
        <v>37206</v>
      </c>
      <c r="E5989" s="4" t="s">
        <v>37197</v>
      </c>
      <c r="F5989" s="4" t="s">
        <v>34396</v>
      </c>
      <c r="G5989" s="4" t="s">
        <v>37207</v>
      </c>
    </row>
    <row r="5990" ht="14.25">
      <c r="B5990" s="14" t="s">
        <v>37208</v>
      </c>
      <c r="C5990" s="4" t="s">
        <v>37209</v>
      </c>
      <c r="D5990" s="4" t="s">
        <v>37210</v>
      </c>
      <c r="E5990" s="4" t="s">
        <v>37211</v>
      </c>
      <c r="F5990" s="4" t="s">
        <v>5716</v>
      </c>
      <c r="G5990" s="4" t="s">
        <v>37212</v>
      </c>
    </row>
    <row r="5991" ht="14.25">
      <c r="B5991" s="14" t="s">
        <v>37208</v>
      </c>
      <c r="C5991" s="4" t="s">
        <v>37213</v>
      </c>
      <c r="D5991" s="4" t="s">
        <v>37214</v>
      </c>
      <c r="E5991" s="4" t="s">
        <v>37215</v>
      </c>
      <c r="F5991" s="4" t="s">
        <v>330</v>
      </c>
      <c r="G5991" s="4" t="s">
        <v>37212</v>
      </c>
    </row>
    <row r="5992" ht="14.25">
      <c r="B5992" s="14" t="s">
        <v>37208</v>
      </c>
      <c r="C5992" s="4" t="s">
        <v>37209</v>
      </c>
      <c r="D5992" s="4" t="s">
        <v>37216</v>
      </c>
      <c r="E5992" s="4" t="s">
        <v>37211</v>
      </c>
      <c r="F5992" s="4" t="s">
        <v>1696</v>
      </c>
      <c r="G5992" s="4" t="s">
        <v>36372</v>
      </c>
    </row>
    <row r="5993" ht="14.25">
      <c r="B5993" s="14" t="s">
        <v>37217</v>
      </c>
      <c r="C5993" s="4" t="s">
        <v>37218</v>
      </c>
      <c r="D5993" s="4" t="s">
        <v>37219</v>
      </c>
      <c r="E5993" s="4" t="s">
        <v>37220</v>
      </c>
      <c r="F5993" s="4" t="s">
        <v>1583</v>
      </c>
      <c r="G5993" s="4" t="s">
        <v>37221</v>
      </c>
    </row>
    <row r="5994" ht="14.25">
      <c r="B5994" s="14" t="s">
        <v>37222</v>
      </c>
      <c r="C5994" s="4" t="s">
        <v>37223</v>
      </c>
      <c r="D5994" s="4" t="s">
        <v>37224</v>
      </c>
      <c r="E5994" s="4" t="s">
        <v>37225</v>
      </c>
      <c r="F5994" s="4" t="s">
        <v>76</v>
      </c>
      <c r="G5994" s="4" t="s">
        <v>37226</v>
      </c>
    </row>
    <row r="5995" ht="14.25">
      <c r="B5995" s="14" t="s">
        <v>37222</v>
      </c>
      <c r="C5995" s="4" t="s">
        <v>37223</v>
      </c>
      <c r="D5995" s="4" t="s">
        <v>37227</v>
      </c>
      <c r="E5995" s="4" t="s">
        <v>37225</v>
      </c>
      <c r="F5995" s="4" t="s">
        <v>2598</v>
      </c>
      <c r="G5995" s="4" t="s">
        <v>37228</v>
      </c>
    </row>
    <row r="5996" ht="14.25">
      <c r="B5996" s="14" t="s">
        <v>37222</v>
      </c>
      <c r="C5996" s="4" t="s">
        <v>37223</v>
      </c>
      <c r="D5996" s="4" t="s">
        <v>37229</v>
      </c>
      <c r="E5996" s="4" t="s">
        <v>37225</v>
      </c>
      <c r="F5996" s="4" t="s">
        <v>710</v>
      </c>
      <c r="G5996" s="4" t="s">
        <v>37230</v>
      </c>
    </row>
    <row r="5997" ht="14.25">
      <c r="B5997" s="14" t="s">
        <v>37222</v>
      </c>
      <c r="C5997" s="4" t="s">
        <v>37223</v>
      </c>
      <c r="D5997" s="4" t="s">
        <v>37231</v>
      </c>
      <c r="E5997" s="4" t="s">
        <v>37225</v>
      </c>
      <c r="F5997" s="4" t="s">
        <v>7323</v>
      </c>
      <c r="G5997" s="4" t="s">
        <v>32868</v>
      </c>
    </row>
    <row r="5998" ht="14.25">
      <c r="B5998" s="14" t="s">
        <v>37222</v>
      </c>
      <c r="C5998" s="4" t="s">
        <v>37232</v>
      </c>
      <c r="D5998" s="4" t="s">
        <v>37233</v>
      </c>
      <c r="E5998" s="4" t="s">
        <v>37234</v>
      </c>
      <c r="F5998" s="4" t="s">
        <v>4341</v>
      </c>
      <c r="G5998" s="4" t="s">
        <v>34199</v>
      </c>
    </row>
    <row r="5999" ht="14.25">
      <c r="B5999" s="14" t="s">
        <v>37222</v>
      </c>
      <c r="C5999" s="4" t="s">
        <v>37223</v>
      </c>
      <c r="D5999" s="4" t="s">
        <v>37235</v>
      </c>
      <c r="E5999" s="4" t="s">
        <v>37225</v>
      </c>
      <c r="F5999" s="4" t="s">
        <v>2398</v>
      </c>
      <c r="G5999" s="4" t="s">
        <v>37236</v>
      </c>
    </row>
    <row r="6000" ht="14.25">
      <c r="B6000" s="14" t="s">
        <v>37222</v>
      </c>
      <c r="C6000" s="4" t="s">
        <v>37223</v>
      </c>
      <c r="D6000" s="4" t="s">
        <v>37237</v>
      </c>
      <c r="E6000" s="4" t="s">
        <v>37225</v>
      </c>
      <c r="F6000" s="4" t="s">
        <v>2419</v>
      </c>
      <c r="G6000" s="4" t="s">
        <v>37238</v>
      </c>
    </row>
    <row r="6001" ht="14.25">
      <c r="B6001" s="14" t="s">
        <v>37222</v>
      </c>
      <c r="C6001" s="4" t="s">
        <v>37223</v>
      </c>
      <c r="D6001" s="4" t="s">
        <v>37239</v>
      </c>
      <c r="E6001" s="4" t="s">
        <v>37225</v>
      </c>
      <c r="F6001" s="4" t="s">
        <v>37240</v>
      </c>
      <c r="G6001" s="4" t="s">
        <v>37241</v>
      </c>
    </row>
    <row r="6002" ht="14.25">
      <c r="B6002" s="14" t="s">
        <v>37242</v>
      </c>
      <c r="C6002" s="4" t="s">
        <v>37243</v>
      </c>
      <c r="D6002" s="4" t="s">
        <v>37244</v>
      </c>
      <c r="E6002" s="4" t="s">
        <v>37245</v>
      </c>
      <c r="F6002" s="4" t="s">
        <v>37012</v>
      </c>
      <c r="G6002" s="4" t="s">
        <v>37246</v>
      </c>
    </row>
    <row r="6003" ht="14.25">
      <c r="B6003" s="14" t="s">
        <v>37242</v>
      </c>
      <c r="C6003" s="4" t="s">
        <v>37247</v>
      </c>
      <c r="D6003" s="4" t="s">
        <v>37248</v>
      </c>
      <c r="E6003" s="4" t="s">
        <v>37249</v>
      </c>
      <c r="F6003" s="4" t="s">
        <v>110</v>
      </c>
      <c r="G6003" s="4" t="s">
        <v>37250</v>
      </c>
    </row>
    <row r="6004" ht="14.25">
      <c r="B6004" s="14" t="s">
        <v>37251</v>
      </c>
      <c r="C6004" s="4" t="s">
        <v>37252</v>
      </c>
      <c r="D6004" s="4" t="s">
        <v>37253</v>
      </c>
      <c r="E6004" s="4" t="s">
        <v>37254</v>
      </c>
      <c r="F6004" s="4" t="s">
        <v>355</v>
      </c>
      <c r="G6004" s="4" t="s">
        <v>37255</v>
      </c>
    </row>
    <row r="6005" ht="14.25">
      <c r="B6005" s="14" t="s">
        <v>37256</v>
      </c>
      <c r="C6005" s="4" t="s">
        <v>37257</v>
      </c>
      <c r="D6005" s="4" t="s">
        <v>37258</v>
      </c>
      <c r="E6005" s="4" t="s">
        <v>37259</v>
      </c>
      <c r="F6005" s="4" t="s">
        <v>37260</v>
      </c>
      <c r="G6005" s="4" t="s">
        <v>37261</v>
      </c>
    </row>
    <row r="6006" ht="14.25">
      <c r="B6006" s="14" t="s">
        <v>37262</v>
      </c>
      <c r="C6006" s="4" t="s">
        <v>37263</v>
      </c>
      <c r="D6006" s="4" t="s">
        <v>37264</v>
      </c>
      <c r="E6006" s="4" t="s">
        <v>37265</v>
      </c>
      <c r="F6006" s="4" t="s">
        <v>32666</v>
      </c>
      <c r="G6006" s="4" t="s">
        <v>37266</v>
      </c>
    </row>
    <row r="6007" ht="14.25">
      <c r="B6007" s="14" t="s">
        <v>37262</v>
      </c>
      <c r="C6007" s="4" t="s">
        <v>37263</v>
      </c>
      <c r="D6007" s="4" t="s">
        <v>37267</v>
      </c>
      <c r="E6007" s="4" t="s">
        <v>37265</v>
      </c>
      <c r="F6007" s="4" t="s">
        <v>33110</v>
      </c>
      <c r="G6007" s="4" t="s">
        <v>37268</v>
      </c>
    </row>
    <row r="6008" ht="14.25">
      <c r="B6008" s="14" t="s">
        <v>37269</v>
      </c>
      <c r="C6008" s="4" t="s">
        <v>37270</v>
      </c>
      <c r="D6008" s="4" t="s">
        <v>37271</v>
      </c>
      <c r="E6008" s="6"/>
      <c r="F6008" s="4" t="s">
        <v>2119</v>
      </c>
      <c r="G6008" s="4" t="s">
        <v>37272</v>
      </c>
    </row>
    <row r="6009" ht="14.25">
      <c r="B6009" s="14" t="s">
        <v>37273</v>
      </c>
      <c r="C6009" s="4" t="s">
        <v>37274</v>
      </c>
      <c r="D6009" s="4" t="s">
        <v>37275</v>
      </c>
      <c r="E6009" s="6"/>
      <c r="F6009" s="4" t="s">
        <v>32831</v>
      </c>
      <c r="G6009" s="4" t="s">
        <v>37276</v>
      </c>
    </row>
    <row r="6010" ht="14.25">
      <c r="B6010" s="14" t="s">
        <v>37277</v>
      </c>
      <c r="C6010" s="4" t="s">
        <v>37278</v>
      </c>
      <c r="D6010" s="4" t="s">
        <v>37279</v>
      </c>
      <c r="E6010" s="6"/>
      <c r="F6010" s="4" t="s">
        <v>817</v>
      </c>
      <c r="G6010" s="4" t="s">
        <v>36626</v>
      </c>
    </row>
    <row r="6011" ht="14.25">
      <c r="B6011" s="14" t="s">
        <v>37280</v>
      </c>
      <c r="C6011" s="4" t="s">
        <v>37281</v>
      </c>
      <c r="D6011" s="4" t="s">
        <v>37282</v>
      </c>
      <c r="E6011" s="4" t="s">
        <v>37283</v>
      </c>
      <c r="F6011" s="4" t="s">
        <v>32622</v>
      </c>
      <c r="G6011" s="4" t="s">
        <v>37284</v>
      </c>
    </row>
    <row r="6012" ht="14.25">
      <c r="B6012" s="14" t="s">
        <v>37280</v>
      </c>
      <c r="C6012" s="4" t="s">
        <v>37281</v>
      </c>
      <c r="D6012" s="4" t="s">
        <v>37285</v>
      </c>
      <c r="E6012" s="4" t="s">
        <v>37283</v>
      </c>
      <c r="F6012" s="4" t="s">
        <v>1732</v>
      </c>
      <c r="G6012" s="4" t="s">
        <v>37286</v>
      </c>
    </row>
    <row r="6013" ht="14.25">
      <c r="B6013" s="14" t="s">
        <v>37280</v>
      </c>
      <c r="C6013" s="4" t="s">
        <v>37281</v>
      </c>
      <c r="D6013" s="4" t="s">
        <v>37287</v>
      </c>
      <c r="E6013" s="4" t="s">
        <v>37283</v>
      </c>
      <c r="F6013" s="4" t="s">
        <v>596</v>
      </c>
      <c r="G6013" s="4" t="s">
        <v>37288</v>
      </c>
    </row>
    <row r="6014" ht="14.25">
      <c r="B6014" s="14" t="s">
        <v>37280</v>
      </c>
      <c r="C6014" s="4" t="s">
        <v>37289</v>
      </c>
      <c r="D6014" s="4" t="s">
        <v>37290</v>
      </c>
      <c r="E6014" s="6"/>
      <c r="F6014" s="4" t="s">
        <v>571</v>
      </c>
      <c r="G6014" s="4" t="s">
        <v>37291</v>
      </c>
    </row>
    <row r="6015" ht="14.25">
      <c r="B6015" s="14" t="s">
        <v>37292</v>
      </c>
      <c r="C6015" s="4" t="s">
        <v>37293</v>
      </c>
      <c r="D6015" s="4" t="s">
        <v>37294</v>
      </c>
      <c r="E6015" s="4" t="s">
        <v>37295</v>
      </c>
      <c r="F6015" s="4" t="s">
        <v>32658</v>
      </c>
      <c r="G6015" s="4" t="s">
        <v>34233</v>
      </c>
    </row>
    <row r="6016" ht="14.25">
      <c r="B6016" s="14" t="s">
        <v>37292</v>
      </c>
      <c r="C6016" s="4" t="s">
        <v>37293</v>
      </c>
      <c r="D6016" s="4" t="s">
        <v>37296</v>
      </c>
      <c r="E6016" s="4" t="s">
        <v>37295</v>
      </c>
      <c r="F6016" s="4" t="s">
        <v>355</v>
      </c>
      <c r="G6016" s="4" t="s">
        <v>37297</v>
      </c>
    </row>
    <row r="6017" ht="14.25">
      <c r="B6017" s="14" t="s">
        <v>37292</v>
      </c>
      <c r="C6017" s="4" t="s">
        <v>37293</v>
      </c>
      <c r="D6017" s="4" t="s">
        <v>37298</v>
      </c>
      <c r="E6017" s="4" t="s">
        <v>37295</v>
      </c>
      <c r="F6017" s="4" t="s">
        <v>35884</v>
      </c>
      <c r="G6017" s="4" t="s">
        <v>37299</v>
      </c>
    </row>
    <row r="6018" ht="14.25">
      <c r="B6018" s="14" t="s">
        <v>37300</v>
      </c>
      <c r="C6018" s="4" t="s">
        <v>37301</v>
      </c>
      <c r="D6018" s="4" t="s">
        <v>37302</v>
      </c>
      <c r="E6018" s="4" t="s">
        <v>37303</v>
      </c>
      <c r="F6018" s="4" t="s">
        <v>9272</v>
      </c>
      <c r="G6018" s="4" t="s">
        <v>37304</v>
      </c>
    </row>
    <row r="6019" ht="14.25">
      <c r="B6019" s="14" t="s">
        <v>37300</v>
      </c>
      <c r="C6019" s="4" t="s">
        <v>37305</v>
      </c>
      <c r="D6019" s="4" t="s">
        <v>37306</v>
      </c>
      <c r="E6019" s="4" t="s">
        <v>37307</v>
      </c>
      <c r="F6019" s="4" t="s">
        <v>1583</v>
      </c>
      <c r="G6019" s="4" t="s">
        <v>37308</v>
      </c>
    </row>
    <row r="6020" ht="14.25">
      <c r="B6020" s="14" t="s">
        <v>37300</v>
      </c>
      <c r="C6020" s="4" t="s">
        <v>37305</v>
      </c>
      <c r="D6020" s="4" t="s">
        <v>37309</v>
      </c>
      <c r="E6020" s="4" t="s">
        <v>37307</v>
      </c>
      <c r="F6020" s="4" t="s">
        <v>11463</v>
      </c>
      <c r="G6020" s="4" t="s">
        <v>37310</v>
      </c>
    </row>
    <row r="6021" ht="14.25">
      <c r="B6021" s="14" t="s">
        <v>37300</v>
      </c>
      <c r="C6021" s="4" t="s">
        <v>37301</v>
      </c>
      <c r="D6021" s="4" t="s">
        <v>37311</v>
      </c>
      <c r="E6021" s="4" t="s">
        <v>37303</v>
      </c>
      <c r="F6021" s="4" t="s">
        <v>37312</v>
      </c>
      <c r="G6021" s="4" t="s">
        <v>37313</v>
      </c>
    </row>
    <row r="6022" ht="14.25">
      <c r="B6022" s="14" t="s">
        <v>37300</v>
      </c>
      <c r="C6022" s="4" t="s">
        <v>37305</v>
      </c>
      <c r="D6022" s="4" t="s">
        <v>37314</v>
      </c>
      <c r="E6022" s="4" t="s">
        <v>37307</v>
      </c>
      <c r="F6022" s="4" t="s">
        <v>32579</v>
      </c>
      <c r="G6022" s="4" t="s">
        <v>37315</v>
      </c>
    </row>
    <row r="6023" ht="14.25">
      <c r="B6023" s="14" t="s">
        <v>37300</v>
      </c>
      <c r="C6023" s="4" t="s">
        <v>37305</v>
      </c>
      <c r="D6023" s="4" t="s">
        <v>37316</v>
      </c>
      <c r="E6023" s="4" t="s">
        <v>37307</v>
      </c>
      <c r="F6023" s="4" t="s">
        <v>110</v>
      </c>
      <c r="G6023" s="4" t="s">
        <v>37317</v>
      </c>
    </row>
    <row r="6024" ht="14.25">
      <c r="B6024" s="14" t="s">
        <v>37300</v>
      </c>
      <c r="C6024" s="4" t="s">
        <v>37305</v>
      </c>
      <c r="D6024" s="4" t="s">
        <v>37318</v>
      </c>
      <c r="E6024" s="4" t="s">
        <v>37307</v>
      </c>
      <c r="F6024" s="4" t="s">
        <v>16812</v>
      </c>
      <c r="G6024" s="4" t="s">
        <v>37319</v>
      </c>
    </row>
    <row r="6025" ht="14.25">
      <c r="B6025" s="14" t="s">
        <v>37320</v>
      </c>
      <c r="C6025" s="4" t="s">
        <v>37321</v>
      </c>
      <c r="D6025" s="4" t="s">
        <v>37322</v>
      </c>
      <c r="E6025" s="4" t="s">
        <v>37323</v>
      </c>
      <c r="F6025" s="4" t="s">
        <v>2419</v>
      </c>
      <c r="G6025" s="4" t="s">
        <v>37324</v>
      </c>
    </row>
    <row r="6026" ht="14.25">
      <c r="B6026" s="14" t="s">
        <v>37320</v>
      </c>
      <c r="C6026" s="4" t="s">
        <v>37325</v>
      </c>
      <c r="D6026" s="4" t="s">
        <v>37326</v>
      </c>
      <c r="E6026" s="4" t="s">
        <v>37327</v>
      </c>
      <c r="F6026" s="4" t="s">
        <v>5001</v>
      </c>
      <c r="G6026" s="4" t="s">
        <v>37328</v>
      </c>
    </row>
    <row r="6027" ht="14.25">
      <c r="B6027" s="14" t="s">
        <v>37320</v>
      </c>
      <c r="C6027" s="4" t="s">
        <v>37321</v>
      </c>
      <c r="D6027" s="4" t="s">
        <v>37329</v>
      </c>
      <c r="E6027" s="4" t="s">
        <v>37323</v>
      </c>
      <c r="F6027" s="4" t="s">
        <v>4986</v>
      </c>
      <c r="G6027" s="4" t="s">
        <v>37330</v>
      </c>
    </row>
    <row r="6028" ht="14.25">
      <c r="B6028" s="14" t="s">
        <v>37320</v>
      </c>
      <c r="C6028" s="4" t="s">
        <v>37325</v>
      </c>
      <c r="D6028" s="4" t="s">
        <v>37331</v>
      </c>
      <c r="E6028" s="4" t="s">
        <v>37327</v>
      </c>
      <c r="F6028" s="4" t="s">
        <v>6844</v>
      </c>
      <c r="G6028" s="4" t="s">
        <v>37332</v>
      </c>
    </row>
    <row r="6029" ht="14.25">
      <c r="B6029" s="14" t="s">
        <v>37320</v>
      </c>
      <c r="C6029" s="4" t="s">
        <v>37321</v>
      </c>
      <c r="D6029" s="4" t="s">
        <v>37333</v>
      </c>
      <c r="E6029" s="4" t="s">
        <v>37323</v>
      </c>
      <c r="F6029" s="4" t="s">
        <v>1732</v>
      </c>
      <c r="G6029" s="4" t="s">
        <v>37334</v>
      </c>
    </row>
    <row r="6030" ht="14.25">
      <c r="B6030" s="14" t="s">
        <v>37320</v>
      </c>
      <c r="C6030" s="4" t="s">
        <v>37335</v>
      </c>
      <c r="D6030" s="4" t="s">
        <v>37336</v>
      </c>
      <c r="E6030" s="4" t="s">
        <v>37337</v>
      </c>
      <c r="F6030" s="4" t="s">
        <v>222</v>
      </c>
      <c r="G6030" s="4" t="s">
        <v>37338</v>
      </c>
    </row>
    <row r="6031" ht="14.25">
      <c r="B6031" s="14" t="s">
        <v>37339</v>
      </c>
      <c r="C6031" s="4" t="s">
        <v>37340</v>
      </c>
      <c r="D6031" s="4" t="s">
        <v>37341</v>
      </c>
      <c r="E6031" s="6"/>
      <c r="F6031" s="4" t="s">
        <v>6634</v>
      </c>
      <c r="G6031" s="4" t="s">
        <v>37342</v>
      </c>
    </row>
    <row r="6032" ht="14.25">
      <c r="B6032" s="14" t="s">
        <v>37343</v>
      </c>
      <c r="C6032" s="4" t="s">
        <v>37344</v>
      </c>
      <c r="D6032" s="4" t="s">
        <v>37345</v>
      </c>
      <c r="E6032" s="4" t="s">
        <v>37346</v>
      </c>
      <c r="F6032" s="4" t="s">
        <v>5679</v>
      </c>
      <c r="G6032" s="4" t="s">
        <v>37347</v>
      </c>
    </row>
    <row r="6033" ht="14.25">
      <c r="B6033" s="14" t="s">
        <v>37343</v>
      </c>
      <c r="C6033" s="4" t="s">
        <v>37344</v>
      </c>
      <c r="D6033" s="4" t="s">
        <v>37348</v>
      </c>
      <c r="E6033" s="4" t="s">
        <v>37346</v>
      </c>
      <c r="F6033" s="4" t="s">
        <v>1948</v>
      </c>
      <c r="G6033" s="4" t="s">
        <v>37349</v>
      </c>
    </row>
    <row r="6034" ht="14.25">
      <c r="B6034" s="14" t="s">
        <v>37343</v>
      </c>
      <c r="C6034" s="4" t="s">
        <v>37350</v>
      </c>
      <c r="D6034" s="4" t="s">
        <v>37351</v>
      </c>
      <c r="E6034" s="4" t="s">
        <v>37352</v>
      </c>
      <c r="F6034" s="4" t="s">
        <v>76</v>
      </c>
      <c r="G6034" s="4" t="s">
        <v>35180</v>
      </c>
    </row>
    <row r="6035" ht="14.25">
      <c r="B6035" s="14" t="s">
        <v>37353</v>
      </c>
      <c r="C6035" s="4" t="s">
        <v>37354</v>
      </c>
      <c r="D6035" s="4" t="s">
        <v>37355</v>
      </c>
      <c r="E6035" s="6"/>
      <c r="F6035" s="4" t="s">
        <v>298</v>
      </c>
      <c r="G6035" s="4" t="s">
        <v>37356</v>
      </c>
    </row>
    <row r="6036" ht="14.25">
      <c r="B6036" s="14" t="s">
        <v>37357</v>
      </c>
      <c r="C6036" s="4" t="s">
        <v>37358</v>
      </c>
      <c r="D6036" s="4" t="s">
        <v>37359</v>
      </c>
      <c r="E6036" s="4" t="s">
        <v>37360</v>
      </c>
      <c r="F6036" s="4" t="s">
        <v>1153</v>
      </c>
      <c r="G6036" s="4" t="s">
        <v>37361</v>
      </c>
    </row>
    <row r="6037" ht="14.25">
      <c r="B6037" s="14" t="s">
        <v>37357</v>
      </c>
      <c r="C6037" s="4" t="s">
        <v>37358</v>
      </c>
      <c r="D6037" s="4" t="s">
        <v>37362</v>
      </c>
      <c r="E6037" s="4" t="s">
        <v>37360</v>
      </c>
      <c r="F6037" s="4" t="s">
        <v>743</v>
      </c>
      <c r="G6037" s="4" t="s">
        <v>37363</v>
      </c>
    </row>
    <row r="6038" ht="14.25">
      <c r="B6038" s="14" t="s">
        <v>37364</v>
      </c>
      <c r="C6038" s="4" t="s">
        <v>37365</v>
      </c>
      <c r="D6038" s="4" t="s">
        <v>37366</v>
      </c>
      <c r="E6038" s="4" t="s">
        <v>37367</v>
      </c>
      <c r="F6038" s="4" t="s">
        <v>37368</v>
      </c>
      <c r="G6038" s="4" t="s">
        <v>37369</v>
      </c>
    </row>
    <row r="6039" ht="14.25">
      <c r="B6039" s="14" t="s">
        <v>37370</v>
      </c>
      <c r="C6039" s="4" t="s">
        <v>37371</v>
      </c>
      <c r="D6039" s="4" t="s">
        <v>37372</v>
      </c>
      <c r="E6039" s="6"/>
      <c r="F6039" s="4" t="s">
        <v>785</v>
      </c>
      <c r="G6039" s="4" t="s">
        <v>37373</v>
      </c>
    </row>
    <row r="6040" ht="14.25">
      <c r="B6040" s="14" t="s">
        <v>37374</v>
      </c>
      <c r="C6040" s="4" t="s">
        <v>37375</v>
      </c>
      <c r="D6040" s="4" t="s">
        <v>37376</v>
      </c>
      <c r="E6040" s="4" t="s">
        <v>37377</v>
      </c>
      <c r="F6040" s="4" t="s">
        <v>6634</v>
      </c>
      <c r="G6040" s="4" t="s">
        <v>37378</v>
      </c>
    </row>
    <row r="6041" ht="14.25">
      <c r="B6041" s="14" t="s">
        <v>37374</v>
      </c>
      <c r="C6041" s="4" t="s">
        <v>37379</v>
      </c>
      <c r="D6041" s="4" t="s">
        <v>37380</v>
      </c>
      <c r="E6041" s="4" t="s">
        <v>37381</v>
      </c>
      <c r="F6041" s="4" t="s">
        <v>32579</v>
      </c>
      <c r="G6041" s="4" t="s">
        <v>37382</v>
      </c>
    </row>
    <row r="6042" ht="14.25">
      <c r="B6042" s="14" t="s">
        <v>37374</v>
      </c>
      <c r="C6042" s="4" t="s">
        <v>37383</v>
      </c>
      <c r="D6042" s="4" t="s">
        <v>37384</v>
      </c>
      <c r="E6042" s="4" t="s">
        <v>37385</v>
      </c>
      <c r="F6042" s="4" t="s">
        <v>808</v>
      </c>
      <c r="G6042" s="4" t="s">
        <v>37386</v>
      </c>
    </row>
    <row r="6043" ht="14.25">
      <c r="B6043" s="14" t="s">
        <v>37387</v>
      </c>
      <c r="C6043" s="4" t="s">
        <v>37388</v>
      </c>
      <c r="D6043" s="4" t="s">
        <v>37389</v>
      </c>
      <c r="E6043" s="4" t="s">
        <v>37390</v>
      </c>
      <c r="F6043" s="4" t="s">
        <v>33054</v>
      </c>
      <c r="G6043" s="4" t="s">
        <v>37391</v>
      </c>
    </row>
    <row r="6044" ht="14.25">
      <c r="B6044" s="14" t="s">
        <v>37392</v>
      </c>
      <c r="C6044" s="4" t="s">
        <v>37393</v>
      </c>
      <c r="D6044" s="4" t="s">
        <v>37394</v>
      </c>
      <c r="E6044" s="6"/>
      <c r="F6044" s="4" t="s">
        <v>32563</v>
      </c>
      <c r="G6044" s="4" t="s">
        <v>34446</v>
      </c>
    </row>
    <row r="6045" ht="14.25">
      <c r="B6045" s="14" t="s">
        <v>37392</v>
      </c>
      <c r="C6045" s="4" t="s">
        <v>37395</v>
      </c>
      <c r="D6045" s="4" t="s">
        <v>37396</v>
      </c>
      <c r="E6045" s="4" t="s">
        <v>37397</v>
      </c>
      <c r="F6045" s="4" t="s">
        <v>37398</v>
      </c>
      <c r="G6045" s="4" t="s">
        <v>37399</v>
      </c>
    </row>
    <row r="6046" ht="14.25">
      <c r="B6046" s="14" t="s">
        <v>37392</v>
      </c>
      <c r="C6046" s="4" t="s">
        <v>37395</v>
      </c>
      <c r="D6046" s="4" t="s">
        <v>37400</v>
      </c>
      <c r="E6046" s="4" t="s">
        <v>37397</v>
      </c>
      <c r="F6046" s="4" t="s">
        <v>33135</v>
      </c>
      <c r="G6046" s="4" t="s">
        <v>37401</v>
      </c>
    </row>
    <row r="6047" ht="14.25">
      <c r="B6047" s="14" t="s">
        <v>37402</v>
      </c>
      <c r="C6047" s="4" t="s">
        <v>37403</v>
      </c>
      <c r="D6047" s="4" t="s">
        <v>37404</v>
      </c>
      <c r="E6047" s="4" t="s">
        <v>37405</v>
      </c>
      <c r="F6047" s="4" t="s">
        <v>33217</v>
      </c>
      <c r="G6047" s="4" t="s">
        <v>36298</v>
      </c>
    </row>
    <row r="6048" ht="14.25">
      <c r="B6048" s="14" t="s">
        <v>37406</v>
      </c>
      <c r="C6048" s="4" t="s">
        <v>37407</v>
      </c>
      <c r="D6048" s="4" t="s">
        <v>37408</v>
      </c>
      <c r="E6048" s="4" t="s">
        <v>37409</v>
      </c>
      <c r="F6048" s="4" t="s">
        <v>37410</v>
      </c>
      <c r="G6048" s="4" t="s">
        <v>37411</v>
      </c>
    </row>
    <row r="6049" ht="14.25">
      <c r="B6049" s="14" t="s">
        <v>37406</v>
      </c>
      <c r="C6049" s="4" t="s">
        <v>37407</v>
      </c>
      <c r="D6049" s="4" t="s">
        <v>37412</v>
      </c>
      <c r="E6049" s="4" t="s">
        <v>37409</v>
      </c>
      <c r="F6049" s="4" t="s">
        <v>32622</v>
      </c>
      <c r="G6049" s="4" t="s">
        <v>37411</v>
      </c>
    </row>
    <row r="6050" ht="14.25">
      <c r="B6050" s="14" t="s">
        <v>37413</v>
      </c>
      <c r="C6050" s="4" t="s">
        <v>37414</v>
      </c>
      <c r="D6050" s="4" t="s">
        <v>37415</v>
      </c>
      <c r="E6050" s="4" t="s">
        <v>37416</v>
      </c>
      <c r="F6050" s="4" t="s">
        <v>1732</v>
      </c>
      <c r="G6050" s="4" t="s">
        <v>34416</v>
      </c>
    </row>
    <row r="6051" ht="14.25">
      <c r="B6051" s="14" t="s">
        <v>37417</v>
      </c>
      <c r="C6051" s="4" t="s">
        <v>37418</v>
      </c>
      <c r="D6051" s="4" t="s">
        <v>37419</v>
      </c>
      <c r="E6051" s="4" t="s">
        <v>37420</v>
      </c>
      <c r="F6051" s="4" t="s">
        <v>6634</v>
      </c>
      <c r="G6051" s="4" t="s">
        <v>37421</v>
      </c>
    </row>
    <row r="6052" ht="14.25">
      <c r="B6052" s="14" t="s">
        <v>37422</v>
      </c>
      <c r="C6052" s="4" t="s">
        <v>37423</v>
      </c>
      <c r="D6052" s="4" t="s">
        <v>37424</v>
      </c>
      <c r="E6052" s="4" t="s">
        <v>37425</v>
      </c>
      <c r="F6052" s="4" t="s">
        <v>222</v>
      </c>
      <c r="G6052" s="4" t="s">
        <v>37426</v>
      </c>
    </row>
    <row r="6053" ht="14.25">
      <c r="B6053" s="14" t="s">
        <v>37422</v>
      </c>
      <c r="C6053" s="4" t="s">
        <v>37423</v>
      </c>
      <c r="D6053" s="4" t="s">
        <v>37427</v>
      </c>
      <c r="E6053" s="4" t="s">
        <v>37425</v>
      </c>
      <c r="F6053" s="4" t="s">
        <v>1948</v>
      </c>
      <c r="G6053" s="4" t="s">
        <v>34959</v>
      </c>
    </row>
    <row r="6054" ht="14.25">
      <c r="B6054" s="14" t="s">
        <v>37428</v>
      </c>
      <c r="C6054" s="4" t="s">
        <v>37429</v>
      </c>
      <c r="D6054" s="4" t="s">
        <v>37430</v>
      </c>
      <c r="E6054" s="4" t="s">
        <v>37431</v>
      </c>
      <c r="F6054" s="4" t="s">
        <v>52</v>
      </c>
      <c r="G6054" s="4" t="s">
        <v>34625</v>
      </c>
    </row>
    <row r="6055" ht="14.25">
      <c r="B6055" s="14" t="s">
        <v>37432</v>
      </c>
      <c r="C6055" s="4" t="s">
        <v>37433</v>
      </c>
      <c r="D6055" s="4" t="s">
        <v>37434</v>
      </c>
      <c r="E6055" s="4" t="s">
        <v>37435</v>
      </c>
      <c r="F6055" s="4" t="s">
        <v>7525</v>
      </c>
      <c r="G6055" s="4" t="s">
        <v>37436</v>
      </c>
    </row>
    <row r="6056" ht="14.25">
      <c r="B6056" s="14" t="s">
        <v>37432</v>
      </c>
      <c r="C6056" s="4" t="s">
        <v>37433</v>
      </c>
      <c r="D6056" s="4" t="s">
        <v>37437</v>
      </c>
      <c r="E6056" s="4" t="s">
        <v>37435</v>
      </c>
      <c r="F6056" s="4" t="s">
        <v>21062</v>
      </c>
      <c r="G6056" s="4" t="s">
        <v>37438</v>
      </c>
    </row>
    <row r="6057" ht="14.25">
      <c r="B6057" s="14" t="s">
        <v>37432</v>
      </c>
      <c r="C6057" s="4" t="s">
        <v>37433</v>
      </c>
      <c r="D6057" s="4" t="s">
        <v>37439</v>
      </c>
      <c r="E6057" s="4" t="s">
        <v>37435</v>
      </c>
      <c r="F6057" s="4" t="s">
        <v>2299</v>
      </c>
      <c r="G6057" s="4" t="s">
        <v>34991</v>
      </c>
    </row>
    <row r="6058" ht="14.25">
      <c r="B6058" s="14" t="s">
        <v>37432</v>
      </c>
      <c r="C6058" s="4" t="s">
        <v>37433</v>
      </c>
      <c r="D6058" s="4" t="s">
        <v>37440</v>
      </c>
      <c r="E6058" s="4" t="s">
        <v>37435</v>
      </c>
      <c r="F6058" s="4" t="s">
        <v>955</v>
      </c>
      <c r="G6058" s="4" t="s">
        <v>37438</v>
      </c>
    </row>
    <row r="6059" ht="14.25">
      <c r="B6059" s="14" t="s">
        <v>37441</v>
      </c>
      <c r="C6059" s="4" t="s">
        <v>37442</v>
      </c>
      <c r="D6059" s="4" t="s">
        <v>37443</v>
      </c>
      <c r="E6059" s="4" t="s">
        <v>37444</v>
      </c>
      <c r="F6059" s="4" t="s">
        <v>485</v>
      </c>
      <c r="G6059" s="4" t="s">
        <v>37445</v>
      </c>
    </row>
    <row r="6060" ht="14.25">
      <c r="B6060" s="14" t="s">
        <v>37441</v>
      </c>
      <c r="C6060" s="4" t="s">
        <v>37442</v>
      </c>
      <c r="D6060" s="4" t="s">
        <v>37446</v>
      </c>
      <c r="E6060" s="4" t="s">
        <v>37444</v>
      </c>
      <c r="F6060" s="4" t="s">
        <v>76</v>
      </c>
      <c r="G6060" s="4" t="s">
        <v>37447</v>
      </c>
    </row>
    <row r="6061" ht="14.25">
      <c r="B6061" s="14" t="s">
        <v>37441</v>
      </c>
      <c r="C6061" s="4" t="s">
        <v>37442</v>
      </c>
      <c r="D6061" s="4" t="s">
        <v>37448</v>
      </c>
      <c r="E6061" s="4" t="s">
        <v>37444</v>
      </c>
      <c r="F6061" s="4" t="s">
        <v>8107</v>
      </c>
      <c r="G6061" s="4" t="s">
        <v>34795</v>
      </c>
    </row>
    <row r="6062" ht="14.25">
      <c r="B6062" s="14" t="s">
        <v>37449</v>
      </c>
      <c r="C6062" s="4" t="s">
        <v>37450</v>
      </c>
      <c r="D6062" s="4" t="s">
        <v>37451</v>
      </c>
      <c r="E6062" s="4" t="s">
        <v>37452</v>
      </c>
      <c r="F6062" s="4" t="s">
        <v>3850</v>
      </c>
      <c r="G6062" s="4" t="s">
        <v>37453</v>
      </c>
    </row>
    <row r="6063" ht="14.25">
      <c r="B6063" s="14" t="s">
        <v>37449</v>
      </c>
      <c r="C6063" s="4" t="s">
        <v>37450</v>
      </c>
      <c r="D6063" s="4" t="s">
        <v>37454</v>
      </c>
      <c r="E6063" s="4" t="s">
        <v>37452</v>
      </c>
      <c r="F6063" s="4" t="s">
        <v>604</v>
      </c>
      <c r="G6063" s="4" t="s">
        <v>37455</v>
      </c>
    </row>
    <row r="6064" ht="14.25">
      <c r="B6064" s="14" t="s">
        <v>37456</v>
      </c>
      <c r="C6064" s="4" t="s">
        <v>37457</v>
      </c>
      <c r="D6064" s="4" t="s">
        <v>37458</v>
      </c>
      <c r="E6064" s="4" t="s">
        <v>37459</v>
      </c>
      <c r="F6064" s="4" t="s">
        <v>808</v>
      </c>
      <c r="G6064" s="4" t="s">
        <v>37460</v>
      </c>
    </row>
    <row r="6065" ht="14.25">
      <c r="B6065" s="14" t="s">
        <v>37456</v>
      </c>
      <c r="C6065" s="4" t="s">
        <v>37461</v>
      </c>
      <c r="D6065" s="4" t="s">
        <v>37462</v>
      </c>
      <c r="E6065" s="4" t="s">
        <v>37463</v>
      </c>
      <c r="F6065" s="4" t="s">
        <v>4977</v>
      </c>
      <c r="G6065" s="4" t="s">
        <v>37464</v>
      </c>
    </row>
    <row r="6066" ht="14.25">
      <c r="B6066" s="14" t="s">
        <v>37456</v>
      </c>
      <c r="C6066" s="4" t="s">
        <v>37465</v>
      </c>
      <c r="D6066" s="4" t="s">
        <v>37466</v>
      </c>
      <c r="E6066" s="4" t="s">
        <v>37467</v>
      </c>
      <c r="F6066" s="4" t="s">
        <v>2119</v>
      </c>
      <c r="G6066" s="4" t="s">
        <v>32551</v>
      </c>
    </row>
    <row r="6067" ht="14.25">
      <c r="B6067" s="14" t="s">
        <v>37468</v>
      </c>
      <c r="C6067" s="4" t="s">
        <v>37469</v>
      </c>
      <c r="D6067" s="4" t="s">
        <v>37470</v>
      </c>
      <c r="E6067" s="4" t="s">
        <v>37471</v>
      </c>
      <c r="F6067" s="4" t="s">
        <v>18559</v>
      </c>
      <c r="G6067" s="4" t="s">
        <v>37472</v>
      </c>
    </row>
    <row r="6068" ht="14.25">
      <c r="B6068" s="14" t="s">
        <v>37468</v>
      </c>
      <c r="C6068" s="4" t="s">
        <v>37469</v>
      </c>
      <c r="D6068" s="4" t="s">
        <v>37473</v>
      </c>
      <c r="E6068" s="4" t="s">
        <v>37471</v>
      </c>
      <c r="F6068" s="4" t="s">
        <v>874</v>
      </c>
      <c r="G6068" s="4" t="s">
        <v>37474</v>
      </c>
    </row>
    <row r="6069" ht="14.25">
      <c r="B6069" s="14" t="s">
        <v>37475</v>
      </c>
      <c r="C6069" s="4" t="s">
        <v>37476</v>
      </c>
      <c r="D6069" s="4" t="s">
        <v>37477</v>
      </c>
      <c r="E6069" s="6"/>
      <c r="F6069" s="4" t="s">
        <v>37478</v>
      </c>
      <c r="G6069" s="4" t="s">
        <v>37479</v>
      </c>
    </row>
    <row r="6070" ht="14.25">
      <c r="B6070" s="14" t="s">
        <v>37480</v>
      </c>
      <c r="C6070" s="4" t="s">
        <v>37481</v>
      </c>
      <c r="D6070" s="4" t="s">
        <v>37482</v>
      </c>
      <c r="E6070" s="4" t="s">
        <v>37483</v>
      </c>
      <c r="F6070" s="4" t="s">
        <v>4800</v>
      </c>
      <c r="G6070" s="4" t="s">
        <v>37484</v>
      </c>
    </row>
    <row r="6071" ht="14.25">
      <c r="B6071" s="14" t="s">
        <v>37480</v>
      </c>
      <c r="C6071" s="4" t="s">
        <v>37481</v>
      </c>
      <c r="D6071" s="4" t="s">
        <v>37485</v>
      </c>
      <c r="E6071" s="4" t="s">
        <v>37483</v>
      </c>
      <c r="F6071" s="4" t="s">
        <v>32706</v>
      </c>
      <c r="G6071" s="4" t="s">
        <v>37486</v>
      </c>
    </row>
    <row r="6072" ht="14.25">
      <c r="B6072" s="14" t="s">
        <v>37480</v>
      </c>
      <c r="C6072" s="4" t="s">
        <v>37481</v>
      </c>
      <c r="D6072" s="4" t="s">
        <v>37487</v>
      </c>
      <c r="E6072" s="4" t="s">
        <v>37483</v>
      </c>
      <c r="F6072" s="4" t="s">
        <v>95</v>
      </c>
      <c r="G6072" s="4" t="s">
        <v>37488</v>
      </c>
    </row>
    <row r="6073" ht="14.25">
      <c r="B6073" s="14" t="s">
        <v>37480</v>
      </c>
      <c r="C6073" s="4" t="s">
        <v>37481</v>
      </c>
      <c r="D6073" s="4" t="s">
        <v>37489</v>
      </c>
      <c r="E6073" s="4" t="s">
        <v>37483</v>
      </c>
      <c r="F6073" s="4" t="s">
        <v>37490</v>
      </c>
      <c r="G6073" s="4" t="s">
        <v>35743</v>
      </c>
    </row>
    <row r="6074" ht="14.25">
      <c r="B6074" s="14" t="s">
        <v>37491</v>
      </c>
      <c r="C6074" s="4" t="s">
        <v>37492</v>
      </c>
      <c r="D6074" s="4" t="s">
        <v>37493</v>
      </c>
      <c r="E6074" s="4" t="s">
        <v>37494</v>
      </c>
      <c r="F6074" s="4" t="s">
        <v>1583</v>
      </c>
      <c r="G6074" s="4" t="s">
        <v>37495</v>
      </c>
    </row>
    <row r="6075" ht="14.25">
      <c r="B6075" s="14" t="s">
        <v>37491</v>
      </c>
      <c r="C6075" s="4" t="s">
        <v>37492</v>
      </c>
      <c r="D6075" s="4" t="s">
        <v>37496</v>
      </c>
      <c r="E6075" s="4" t="s">
        <v>37494</v>
      </c>
      <c r="F6075" s="4" t="s">
        <v>6923</v>
      </c>
      <c r="G6075" s="4" t="s">
        <v>37497</v>
      </c>
    </row>
    <row r="6076" ht="14.25">
      <c r="B6076" s="14" t="s">
        <v>37498</v>
      </c>
      <c r="C6076" s="4" t="s">
        <v>37499</v>
      </c>
      <c r="D6076" s="4" t="s">
        <v>37500</v>
      </c>
      <c r="E6076" s="6"/>
      <c r="F6076" s="4" t="s">
        <v>206</v>
      </c>
      <c r="G6076" s="4" t="s">
        <v>37501</v>
      </c>
    </row>
    <row r="6077" ht="14.25">
      <c r="B6077" s="14" t="s">
        <v>37502</v>
      </c>
      <c r="C6077" s="4" t="s">
        <v>37503</v>
      </c>
      <c r="D6077" s="4" t="s">
        <v>37504</v>
      </c>
      <c r="E6077" s="4" t="s">
        <v>37505</v>
      </c>
      <c r="F6077" s="4" t="s">
        <v>4800</v>
      </c>
      <c r="G6077" s="4" t="s">
        <v>32594</v>
      </c>
    </row>
    <row r="6078" ht="14.25">
      <c r="B6078" s="14" t="s">
        <v>37502</v>
      </c>
      <c r="C6078" s="4" t="s">
        <v>37503</v>
      </c>
      <c r="D6078" s="4" t="s">
        <v>37506</v>
      </c>
      <c r="E6078" s="4" t="s">
        <v>37505</v>
      </c>
      <c r="F6078" s="4" t="s">
        <v>52</v>
      </c>
      <c r="G6078" s="4" t="s">
        <v>37507</v>
      </c>
    </row>
    <row r="6079" ht="14.25">
      <c r="B6079" s="14" t="s">
        <v>37502</v>
      </c>
      <c r="C6079" s="4" t="s">
        <v>37503</v>
      </c>
      <c r="D6079" s="4" t="s">
        <v>37508</v>
      </c>
      <c r="E6079" s="4" t="s">
        <v>37505</v>
      </c>
      <c r="F6079" s="4" t="s">
        <v>5103</v>
      </c>
      <c r="G6079" s="4" t="s">
        <v>37509</v>
      </c>
    </row>
    <row r="6080" ht="14.25">
      <c r="B6080" s="14" t="s">
        <v>37502</v>
      </c>
      <c r="C6080" s="4" t="s">
        <v>37503</v>
      </c>
      <c r="D6080" s="4" t="s">
        <v>37510</v>
      </c>
      <c r="E6080" s="4" t="s">
        <v>37505</v>
      </c>
      <c r="F6080" s="4" t="s">
        <v>1153</v>
      </c>
      <c r="G6080" s="4" t="s">
        <v>37511</v>
      </c>
    </row>
    <row r="6081" ht="14.25">
      <c r="B6081" s="14" t="s">
        <v>37502</v>
      </c>
      <c r="C6081" s="4" t="s">
        <v>37503</v>
      </c>
      <c r="D6081" s="4" t="s">
        <v>37512</v>
      </c>
      <c r="E6081" s="4" t="s">
        <v>37505</v>
      </c>
      <c r="F6081" s="4" t="s">
        <v>2409</v>
      </c>
      <c r="G6081" s="4" t="s">
        <v>35089</v>
      </c>
    </row>
    <row r="6082" ht="14.25">
      <c r="B6082" s="14" t="s">
        <v>37502</v>
      </c>
      <c r="C6082" s="4" t="s">
        <v>37503</v>
      </c>
      <c r="D6082" s="4" t="s">
        <v>37513</v>
      </c>
      <c r="E6082" s="4" t="s">
        <v>37505</v>
      </c>
      <c r="F6082" s="4" t="s">
        <v>31879</v>
      </c>
      <c r="G6082" s="4" t="s">
        <v>37514</v>
      </c>
    </row>
    <row r="6083" ht="14.25">
      <c r="B6083" s="14" t="s">
        <v>37502</v>
      </c>
      <c r="C6083" s="4" t="s">
        <v>37503</v>
      </c>
      <c r="D6083" s="4" t="s">
        <v>37515</v>
      </c>
      <c r="E6083" s="4" t="s">
        <v>37505</v>
      </c>
      <c r="F6083" s="4" t="s">
        <v>255</v>
      </c>
      <c r="G6083" s="4" t="s">
        <v>37516</v>
      </c>
    </row>
    <row r="6084" ht="14.25">
      <c r="B6084" s="14" t="s">
        <v>37517</v>
      </c>
      <c r="C6084" s="4" t="s">
        <v>37518</v>
      </c>
      <c r="D6084" s="4" t="s">
        <v>37519</v>
      </c>
      <c r="E6084" s="4" t="s">
        <v>37520</v>
      </c>
      <c r="F6084" s="4" t="s">
        <v>7559</v>
      </c>
      <c r="G6084" s="4" t="s">
        <v>34856</v>
      </c>
    </row>
    <row r="6085" ht="14.25">
      <c r="B6085" s="14" t="s">
        <v>37521</v>
      </c>
      <c r="C6085" s="4" t="s">
        <v>37522</v>
      </c>
      <c r="D6085" s="4" t="s">
        <v>37523</v>
      </c>
      <c r="E6085" s="6"/>
      <c r="F6085" s="4" t="s">
        <v>21744</v>
      </c>
      <c r="G6085" s="4" t="s">
        <v>37524</v>
      </c>
    </row>
    <row r="6086" ht="14.25">
      <c r="B6086" s="14" t="s">
        <v>37525</v>
      </c>
      <c r="C6086" s="4" t="s">
        <v>37526</v>
      </c>
      <c r="D6086" s="4" t="s">
        <v>37527</v>
      </c>
      <c r="E6086" s="4" t="s">
        <v>37528</v>
      </c>
      <c r="F6086" s="4" t="s">
        <v>785</v>
      </c>
      <c r="G6086" s="4" t="s">
        <v>37529</v>
      </c>
    </row>
    <row r="6087" ht="14.25">
      <c r="B6087" s="14" t="s">
        <v>37530</v>
      </c>
      <c r="C6087" s="4" t="s">
        <v>37531</v>
      </c>
      <c r="D6087" s="4" t="s">
        <v>37532</v>
      </c>
      <c r="E6087" s="6"/>
      <c r="F6087" s="4" t="s">
        <v>1153</v>
      </c>
      <c r="G6087" s="4" t="s">
        <v>37533</v>
      </c>
    </row>
    <row r="6088" ht="14.25">
      <c r="B6088" s="14" t="s">
        <v>37534</v>
      </c>
      <c r="C6088" s="4" t="s">
        <v>37535</v>
      </c>
      <c r="D6088" s="4" t="s">
        <v>37536</v>
      </c>
      <c r="E6088" s="4" t="s">
        <v>37537</v>
      </c>
      <c r="F6088" s="4" t="s">
        <v>6744</v>
      </c>
      <c r="G6088" s="4" t="s">
        <v>34767</v>
      </c>
    </row>
    <row r="6089" ht="14.25">
      <c r="B6089" s="14" t="s">
        <v>37534</v>
      </c>
      <c r="C6089" s="4" t="s">
        <v>37535</v>
      </c>
      <c r="D6089" s="4" t="s">
        <v>37538</v>
      </c>
      <c r="E6089" s="4" t="s">
        <v>37537</v>
      </c>
      <c r="F6089" s="4" t="s">
        <v>222</v>
      </c>
      <c r="G6089" s="4" t="s">
        <v>37539</v>
      </c>
    </row>
    <row r="6090" ht="14.25">
      <c r="B6090" s="14" t="s">
        <v>37540</v>
      </c>
      <c r="C6090" s="4" t="s">
        <v>37541</v>
      </c>
      <c r="D6090" s="4" t="s">
        <v>37542</v>
      </c>
      <c r="E6090" s="4" t="s">
        <v>37543</v>
      </c>
      <c r="F6090" s="4" t="s">
        <v>8049</v>
      </c>
      <c r="G6090" s="4" t="s">
        <v>36049</v>
      </c>
    </row>
    <row r="6091" ht="14.25">
      <c r="B6091" s="14" t="s">
        <v>37540</v>
      </c>
      <c r="C6091" s="4" t="s">
        <v>37541</v>
      </c>
      <c r="D6091" s="4" t="s">
        <v>37544</v>
      </c>
      <c r="E6091" s="4" t="s">
        <v>37543</v>
      </c>
      <c r="F6091" s="4" t="s">
        <v>222</v>
      </c>
      <c r="G6091" s="4" t="s">
        <v>32605</v>
      </c>
    </row>
    <row r="6092" ht="14.25">
      <c r="B6092" s="14" t="s">
        <v>37540</v>
      </c>
      <c r="C6092" s="4" t="s">
        <v>37541</v>
      </c>
      <c r="D6092" s="4" t="s">
        <v>37545</v>
      </c>
      <c r="E6092" s="4" t="s">
        <v>37543</v>
      </c>
      <c r="F6092" s="4" t="s">
        <v>18475</v>
      </c>
      <c r="G6092" s="4" t="s">
        <v>37546</v>
      </c>
    </row>
    <row r="6093" ht="14.25">
      <c r="B6093" s="14" t="s">
        <v>37547</v>
      </c>
      <c r="C6093" s="4" t="s">
        <v>37548</v>
      </c>
      <c r="D6093" s="4" t="s">
        <v>37549</v>
      </c>
      <c r="E6093" s="4" t="s">
        <v>37550</v>
      </c>
      <c r="F6093" s="4" t="s">
        <v>1732</v>
      </c>
      <c r="G6093" s="4" t="s">
        <v>37551</v>
      </c>
    </row>
    <row r="6094" ht="14.25">
      <c r="B6094" s="14" t="s">
        <v>37552</v>
      </c>
      <c r="C6094" s="4" t="s">
        <v>37553</v>
      </c>
      <c r="D6094" s="4" t="s">
        <v>37554</v>
      </c>
      <c r="E6094" s="4" t="s">
        <v>37555</v>
      </c>
      <c r="F6094" s="4" t="s">
        <v>2652</v>
      </c>
      <c r="G6094" s="4" t="s">
        <v>32868</v>
      </c>
    </row>
    <row r="6095" ht="14.25">
      <c r="B6095" s="14" t="s">
        <v>37552</v>
      </c>
      <c r="C6095" s="4" t="s">
        <v>37556</v>
      </c>
      <c r="D6095" s="4" t="s">
        <v>37557</v>
      </c>
      <c r="E6095" s="4" t="s">
        <v>37558</v>
      </c>
      <c r="F6095" s="4" t="s">
        <v>3304</v>
      </c>
      <c r="G6095" s="4" t="s">
        <v>37559</v>
      </c>
    </row>
    <row r="6096" ht="14.25">
      <c r="B6096" s="14" t="s">
        <v>37552</v>
      </c>
      <c r="C6096" s="4" t="s">
        <v>37556</v>
      </c>
      <c r="D6096" s="4" t="s">
        <v>37560</v>
      </c>
      <c r="E6096" s="4" t="s">
        <v>37558</v>
      </c>
      <c r="F6096" s="4" t="s">
        <v>20</v>
      </c>
      <c r="G6096" s="4" t="s">
        <v>37561</v>
      </c>
    </row>
    <row r="6097" ht="14.25">
      <c r="B6097" s="14" t="s">
        <v>37552</v>
      </c>
      <c r="C6097" s="4" t="s">
        <v>37556</v>
      </c>
      <c r="D6097" s="4" t="s">
        <v>37562</v>
      </c>
      <c r="E6097" s="4" t="s">
        <v>37558</v>
      </c>
      <c r="F6097" s="4" t="s">
        <v>33434</v>
      </c>
      <c r="G6097" s="4" t="s">
        <v>33294</v>
      </c>
    </row>
    <row r="6098" ht="14.25">
      <c r="B6098" s="14" t="s">
        <v>37552</v>
      </c>
      <c r="C6098" s="4" t="s">
        <v>37556</v>
      </c>
      <c r="D6098" s="4" t="s">
        <v>37563</v>
      </c>
      <c r="E6098" s="4" t="s">
        <v>37558</v>
      </c>
      <c r="F6098" s="4" t="s">
        <v>3540</v>
      </c>
      <c r="G6098" s="4" t="s">
        <v>37564</v>
      </c>
    </row>
    <row r="6099" ht="14.25">
      <c r="B6099" s="14" t="s">
        <v>37552</v>
      </c>
      <c r="C6099" s="4" t="s">
        <v>37556</v>
      </c>
      <c r="D6099" s="4" t="s">
        <v>37565</v>
      </c>
      <c r="E6099" s="4" t="s">
        <v>37558</v>
      </c>
      <c r="F6099" s="4" t="s">
        <v>1732</v>
      </c>
      <c r="G6099" s="4" t="s">
        <v>37566</v>
      </c>
    </row>
    <row r="6100" ht="14.25">
      <c r="B6100" s="14" t="s">
        <v>37552</v>
      </c>
      <c r="C6100" s="4" t="s">
        <v>37556</v>
      </c>
      <c r="D6100" s="4" t="s">
        <v>37567</v>
      </c>
      <c r="E6100" s="4" t="s">
        <v>37558</v>
      </c>
      <c r="F6100" s="4" t="s">
        <v>4986</v>
      </c>
      <c r="G6100" s="4" t="s">
        <v>37568</v>
      </c>
    </row>
    <row r="6101" ht="14.25">
      <c r="B6101" s="14" t="s">
        <v>37569</v>
      </c>
      <c r="C6101" s="4" t="s">
        <v>37570</v>
      </c>
      <c r="D6101" s="4" t="s">
        <v>37571</v>
      </c>
      <c r="E6101" s="4" t="s">
        <v>37572</v>
      </c>
      <c r="F6101" s="4" t="s">
        <v>32725</v>
      </c>
      <c r="G6101" s="4" t="s">
        <v>37573</v>
      </c>
    </row>
    <row r="6102" ht="14.25">
      <c r="B6102" s="14" t="s">
        <v>37569</v>
      </c>
      <c r="C6102" s="4" t="s">
        <v>37570</v>
      </c>
      <c r="D6102" s="4" t="s">
        <v>37574</v>
      </c>
      <c r="E6102" s="4" t="s">
        <v>37572</v>
      </c>
      <c r="F6102" s="4" t="s">
        <v>32831</v>
      </c>
      <c r="G6102" s="4" t="s">
        <v>35983</v>
      </c>
    </row>
    <row r="6103" ht="14.25">
      <c r="B6103" s="14" t="s">
        <v>37575</v>
      </c>
      <c r="C6103" s="4" t="s">
        <v>37576</v>
      </c>
      <c r="D6103" s="4" t="s">
        <v>37577</v>
      </c>
      <c r="E6103" s="6"/>
      <c r="F6103" s="4" t="s">
        <v>36694</v>
      </c>
      <c r="G6103" s="4" t="s">
        <v>37578</v>
      </c>
    </row>
    <row r="6104" ht="14.25">
      <c r="B6104" s="14" t="s">
        <v>37575</v>
      </c>
      <c r="C6104" s="4" t="s">
        <v>37579</v>
      </c>
      <c r="D6104" s="4" t="s">
        <v>37580</v>
      </c>
      <c r="E6104" s="4" t="s">
        <v>37581</v>
      </c>
      <c r="F6104" s="4" t="s">
        <v>17867</v>
      </c>
      <c r="G6104" s="4" t="s">
        <v>37582</v>
      </c>
    </row>
    <row r="6105" ht="14.25">
      <c r="B6105" s="14" t="s">
        <v>37575</v>
      </c>
      <c r="C6105" s="4" t="s">
        <v>37579</v>
      </c>
      <c r="D6105" s="4" t="s">
        <v>37583</v>
      </c>
      <c r="E6105" s="4" t="s">
        <v>37581</v>
      </c>
      <c r="F6105" s="4" t="s">
        <v>6744</v>
      </c>
      <c r="G6105" s="4" t="s">
        <v>37584</v>
      </c>
    </row>
    <row r="6106" ht="14.25">
      <c r="B6106" s="14" t="s">
        <v>37575</v>
      </c>
      <c r="C6106" s="4" t="s">
        <v>37576</v>
      </c>
      <c r="D6106" s="4" t="s">
        <v>37585</v>
      </c>
      <c r="E6106" s="4" t="s">
        <v>37577</v>
      </c>
      <c r="F6106" s="4" t="s">
        <v>32579</v>
      </c>
      <c r="G6106" s="4" t="s">
        <v>37586</v>
      </c>
    </row>
    <row r="6107" ht="14.25">
      <c r="B6107" s="14" t="s">
        <v>37587</v>
      </c>
      <c r="C6107" s="4" t="s">
        <v>37588</v>
      </c>
      <c r="D6107" s="4" t="s">
        <v>37589</v>
      </c>
      <c r="E6107" s="4" t="s">
        <v>37590</v>
      </c>
      <c r="F6107" s="4" t="s">
        <v>2508</v>
      </c>
      <c r="G6107" s="4" t="s">
        <v>37591</v>
      </c>
    </row>
    <row r="6108" ht="14.25">
      <c r="B6108" s="14" t="s">
        <v>37587</v>
      </c>
      <c r="C6108" s="4" t="s">
        <v>37588</v>
      </c>
      <c r="D6108" s="4" t="s">
        <v>37592</v>
      </c>
      <c r="E6108" s="4" t="s">
        <v>37590</v>
      </c>
      <c r="F6108" s="4" t="s">
        <v>32706</v>
      </c>
      <c r="G6108" s="4" t="s">
        <v>33815</v>
      </c>
    </row>
    <row r="6109" ht="14.25">
      <c r="B6109" s="14" t="s">
        <v>37587</v>
      </c>
      <c r="C6109" s="4" t="s">
        <v>37588</v>
      </c>
      <c r="D6109" s="4" t="s">
        <v>37593</v>
      </c>
      <c r="E6109" s="4" t="s">
        <v>37590</v>
      </c>
      <c r="F6109" s="4" t="s">
        <v>32622</v>
      </c>
      <c r="G6109" s="4" t="s">
        <v>37594</v>
      </c>
    </row>
    <row r="6110" ht="14.25">
      <c r="B6110" s="14" t="s">
        <v>37595</v>
      </c>
      <c r="C6110" s="4" t="s">
        <v>37596</v>
      </c>
      <c r="D6110" s="4" t="s">
        <v>37597</v>
      </c>
      <c r="E6110" s="4" t="s">
        <v>37598</v>
      </c>
      <c r="F6110" s="4" t="s">
        <v>37599</v>
      </c>
      <c r="G6110" s="4" t="s">
        <v>37600</v>
      </c>
    </row>
    <row r="6111" ht="14.25">
      <c r="B6111" s="14" t="s">
        <v>37595</v>
      </c>
      <c r="C6111" s="4" t="s">
        <v>37596</v>
      </c>
      <c r="D6111" s="4" t="s">
        <v>37601</v>
      </c>
      <c r="E6111" s="4" t="s">
        <v>37598</v>
      </c>
      <c r="F6111" s="4" t="s">
        <v>37602</v>
      </c>
      <c r="G6111" s="4" t="s">
        <v>32575</v>
      </c>
    </row>
    <row r="6112" ht="14.25">
      <c r="B6112" s="14" t="s">
        <v>37603</v>
      </c>
      <c r="C6112" s="4" t="s">
        <v>37604</v>
      </c>
      <c r="D6112" s="4" t="s">
        <v>37605</v>
      </c>
      <c r="E6112" s="4" t="s">
        <v>37606</v>
      </c>
      <c r="F6112" s="4" t="s">
        <v>37607</v>
      </c>
      <c r="G6112" s="4" t="s">
        <v>37608</v>
      </c>
    </row>
    <row r="6113" ht="14.25">
      <c r="B6113" s="14" t="s">
        <v>37609</v>
      </c>
      <c r="C6113" s="4" t="s">
        <v>37610</v>
      </c>
      <c r="D6113" s="4" t="s">
        <v>37611</v>
      </c>
      <c r="E6113" s="4" t="s">
        <v>37612</v>
      </c>
      <c r="F6113" s="4" t="s">
        <v>808</v>
      </c>
      <c r="G6113" s="4" t="s">
        <v>37613</v>
      </c>
    </row>
    <row r="6114" ht="14.25">
      <c r="B6114" s="14" t="s">
        <v>37609</v>
      </c>
      <c r="C6114" s="4" t="s">
        <v>37610</v>
      </c>
      <c r="D6114" s="4" t="s">
        <v>37614</v>
      </c>
      <c r="E6114" s="4" t="s">
        <v>37612</v>
      </c>
      <c r="F6114" s="4" t="s">
        <v>485</v>
      </c>
      <c r="G6114" s="4" t="s">
        <v>37615</v>
      </c>
    </row>
    <row r="6115" ht="14.25">
      <c r="B6115" s="14" t="s">
        <v>37609</v>
      </c>
      <c r="C6115" s="4" t="s">
        <v>37610</v>
      </c>
      <c r="D6115" s="4" t="s">
        <v>37616</v>
      </c>
      <c r="E6115" s="4" t="s">
        <v>37612</v>
      </c>
      <c r="F6115" s="4" t="s">
        <v>34300</v>
      </c>
      <c r="G6115" s="4" t="s">
        <v>37617</v>
      </c>
    </row>
    <row r="6116" ht="14.25">
      <c r="B6116" s="14" t="s">
        <v>37609</v>
      </c>
      <c r="C6116" s="4" t="s">
        <v>37610</v>
      </c>
      <c r="D6116" s="4" t="s">
        <v>37618</v>
      </c>
      <c r="E6116" s="4" t="s">
        <v>37612</v>
      </c>
      <c r="F6116" s="4" t="s">
        <v>37619</v>
      </c>
      <c r="G6116" s="4" t="s">
        <v>34625</v>
      </c>
    </row>
    <row r="6117" ht="14.25">
      <c r="B6117" s="14" t="s">
        <v>37609</v>
      </c>
      <c r="C6117" s="4" t="s">
        <v>37610</v>
      </c>
      <c r="D6117" s="4" t="s">
        <v>37620</v>
      </c>
      <c r="E6117" s="4" t="s">
        <v>37612</v>
      </c>
      <c r="F6117" s="4" t="s">
        <v>3271</v>
      </c>
      <c r="G6117" s="4" t="s">
        <v>37621</v>
      </c>
    </row>
    <row r="6118" ht="14.25">
      <c r="B6118" s="14" t="s">
        <v>37609</v>
      </c>
      <c r="C6118" s="4" t="s">
        <v>37610</v>
      </c>
      <c r="D6118" s="4" t="s">
        <v>37622</v>
      </c>
      <c r="E6118" s="4" t="s">
        <v>37612</v>
      </c>
      <c r="F6118" s="4" t="s">
        <v>579</v>
      </c>
      <c r="G6118" s="4" t="s">
        <v>37623</v>
      </c>
    </row>
    <row r="6119" ht="14.25">
      <c r="B6119" s="14" t="s">
        <v>37609</v>
      </c>
      <c r="C6119" s="4" t="s">
        <v>37610</v>
      </c>
      <c r="D6119" s="4" t="s">
        <v>37624</v>
      </c>
      <c r="E6119" s="4" t="s">
        <v>37612</v>
      </c>
      <c r="F6119" s="4" t="s">
        <v>330</v>
      </c>
      <c r="G6119" s="4" t="s">
        <v>37625</v>
      </c>
    </row>
    <row r="6120" ht="14.25">
      <c r="B6120" s="14" t="s">
        <v>37609</v>
      </c>
      <c r="C6120" s="4" t="s">
        <v>37610</v>
      </c>
      <c r="D6120" s="4" t="s">
        <v>37626</v>
      </c>
      <c r="E6120" s="4" t="s">
        <v>37612</v>
      </c>
      <c r="F6120" s="4" t="s">
        <v>110</v>
      </c>
      <c r="G6120" s="4" t="s">
        <v>37627</v>
      </c>
    </row>
    <row r="6121" ht="14.25">
      <c r="B6121" s="14" t="s">
        <v>37609</v>
      </c>
      <c r="C6121" s="4" t="s">
        <v>37610</v>
      </c>
      <c r="D6121" s="4" t="s">
        <v>37628</v>
      </c>
      <c r="E6121" s="4" t="s">
        <v>37612</v>
      </c>
      <c r="F6121" s="4" t="s">
        <v>30423</v>
      </c>
      <c r="G6121" s="4" t="s">
        <v>95</v>
      </c>
    </row>
    <row r="6122" ht="14.25">
      <c r="B6122" s="14" t="s">
        <v>37629</v>
      </c>
      <c r="C6122" s="4" t="s">
        <v>37630</v>
      </c>
      <c r="D6122" s="4" t="s">
        <v>37631</v>
      </c>
      <c r="E6122" s="4" t="s">
        <v>37632</v>
      </c>
      <c r="F6122" s="4" t="s">
        <v>33084</v>
      </c>
      <c r="G6122" s="4" t="s">
        <v>37633</v>
      </c>
    </row>
    <row r="6123" ht="14.25">
      <c r="B6123" s="14" t="s">
        <v>37629</v>
      </c>
      <c r="C6123" s="4" t="s">
        <v>37630</v>
      </c>
      <c r="D6123" s="4" t="s">
        <v>37634</v>
      </c>
      <c r="E6123" s="4" t="s">
        <v>37632</v>
      </c>
      <c r="F6123" s="4" t="s">
        <v>76</v>
      </c>
      <c r="G6123" s="4" t="s">
        <v>37635</v>
      </c>
    </row>
    <row r="6124" ht="14.25">
      <c r="B6124" s="14" t="s">
        <v>37636</v>
      </c>
      <c r="C6124" s="4" t="s">
        <v>37637</v>
      </c>
      <c r="D6124" s="4" t="s">
        <v>37638</v>
      </c>
      <c r="E6124" s="4" t="s">
        <v>37639</v>
      </c>
      <c r="F6124" s="4" t="s">
        <v>485</v>
      </c>
      <c r="G6124" s="4" t="s">
        <v>37640</v>
      </c>
    </row>
    <row r="6125" ht="14.25">
      <c r="B6125" s="14" t="s">
        <v>37636</v>
      </c>
      <c r="C6125" s="4" t="s">
        <v>37641</v>
      </c>
      <c r="D6125" s="4" t="s">
        <v>37642</v>
      </c>
      <c r="E6125" s="4" t="s">
        <v>37643</v>
      </c>
      <c r="F6125" s="4" t="s">
        <v>11701</v>
      </c>
      <c r="G6125" s="4" t="s">
        <v>37644</v>
      </c>
    </row>
    <row r="6126" ht="14.25">
      <c r="B6126" s="14" t="s">
        <v>37636</v>
      </c>
      <c r="C6126" s="4" t="s">
        <v>37645</v>
      </c>
      <c r="D6126" s="4" t="s">
        <v>37646</v>
      </c>
      <c r="E6126" s="4" t="s">
        <v>37647</v>
      </c>
      <c r="F6126" s="4" t="s">
        <v>6945</v>
      </c>
      <c r="G6126" s="4" t="s">
        <v>37648</v>
      </c>
    </row>
    <row r="6127" ht="14.25">
      <c r="B6127" s="14" t="s">
        <v>37649</v>
      </c>
      <c r="C6127" s="4" t="s">
        <v>37650</v>
      </c>
      <c r="D6127" s="4" t="s">
        <v>37651</v>
      </c>
      <c r="E6127" s="4" t="s">
        <v>37652</v>
      </c>
      <c r="F6127" s="4" t="s">
        <v>1583</v>
      </c>
      <c r="G6127" s="4" t="s">
        <v>37653</v>
      </c>
    </row>
    <row r="6128" ht="14.25">
      <c r="B6128" s="14" t="s">
        <v>37654</v>
      </c>
      <c r="C6128" s="4" t="s">
        <v>37655</v>
      </c>
      <c r="D6128" s="4" t="s">
        <v>37656</v>
      </c>
      <c r="E6128" s="4" t="s">
        <v>37657</v>
      </c>
      <c r="F6128" s="4" t="s">
        <v>32891</v>
      </c>
      <c r="G6128" s="4" t="s">
        <v>37658</v>
      </c>
    </row>
    <row r="6129" ht="14.25">
      <c r="B6129" s="14" t="s">
        <v>37654</v>
      </c>
      <c r="C6129" s="4" t="s">
        <v>37659</v>
      </c>
      <c r="D6129" s="4" t="s">
        <v>37660</v>
      </c>
      <c r="E6129" s="4" t="s">
        <v>37661</v>
      </c>
      <c r="F6129" s="4" t="s">
        <v>76</v>
      </c>
      <c r="G6129" s="4" t="s">
        <v>32679</v>
      </c>
    </row>
    <row r="6130" ht="14.25">
      <c r="B6130" s="14" t="s">
        <v>37662</v>
      </c>
      <c r="C6130" s="4" t="s">
        <v>37663</v>
      </c>
      <c r="D6130" s="4" t="s">
        <v>37664</v>
      </c>
      <c r="E6130" s="4" t="s">
        <v>37665</v>
      </c>
      <c r="F6130" s="4" t="s">
        <v>3019</v>
      </c>
      <c r="G6130" s="4" t="s">
        <v>37666</v>
      </c>
    </row>
    <row r="6131" ht="14.25">
      <c r="B6131" s="14" t="s">
        <v>37667</v>
      </c>
      <c r="C6131" s="4" t="s">
        <v>37668</v>
      </c>
      <c r="D6131" s="4" t="s">
        <v>37669</v>
      </c>
      <c r="E6131" s="4" t="s">
        <v>37670</v>
      </c>
      <c r="F6131" s="4" t="s">
        <v>95</v>
      </c>
      <c r="G6131" s="4" t="s">
        <v>37671</v>
      </c>
    </row>
    <row r="6132" ht="14.25">
      <c r="B6132" s="14" t="s">
        <v>37672</v>
      </c>
      <c r="C6132" s="4" t="s">
        <v>37673</v>
      </c>
      <c r="D6132" s="4" t="s">
        <v>37674</v>
      </c>
      <c r="E6132" s="4" t="s">
        <v>37675</v>
      </c>
      <c r="F6132" s="4" t="s">
        <v>2419</v>
      </c>
      <c r="G6132" s="4" t="s">
        <v>37460</v>
      </c>
    </row>
    <row r="6133" ht="14.25">
      <c r="B6133" s="14" t="s">
        <v>37676</v>
      </c>
      <c r="C6133" s="4" t="s">
        <v>37677</v>
      </c>
      <c r="D6133" s="4" t="s">
        <v>37678</v>
      </c>
      <c r="E6133" s="6"/>
      <c r="F6133" s="4" t="s">
        <v>18475</v>
      </c>
      <c r="G6133" s="4" t="s">
        <v>37679</v>
      </c>
    </row>
    <row r="6134" ht="14.25">
      <c r="B6134" s="14" t="s">
        <v>37680</v>
      </c>
      <c r="C6134" s="4" t="s">
        <v>37681</v>
      </c>
      <c r="D6134" s="4" t="s">
        <v>37682</v>
      </c>
      <c r="E6134" s="4" t="s">
        <v>37683</v>
      </c>
      <c r="F6134" s="4" t="s">
        <v>32787</v>
      </c>
      <c r="G6134" s="4" t="s">
        <v>37684</v>
      </c>
    </row>
    <row r="6135" ht="14.25">
      <c r="B6135" s="14" t="s">
        <v>37685</v>
      </c>
      <c r="C6135" s="4" t="s">
        <v>37686</v>
      </c>
      <c r="D6135" s="4" t="s">
        <v>37687</v>
      </c>
      <c r="E6135" s="4" t="s">
        <v>37688</v>
      </c>
      <c r="F6135" s="4" t="s">
        <v>37689</v>
      </c>
      <c r="G6135" s="4" t="s">
        <v>37690</v>
      </c>
    </row>
    <row r="6136" ht="14.25">
      <c r="B6136" s="14" t="s">
        <v>37691</v>
      </c>
      <c r="C6136" s="4" t="s">
        <v>37692</v>
      </c>
      <c r="D6136" s="4" t="s">
        <v>37693</v>
      </c>
      <c r="E6136" s="4" t="s">
        <v>37694</v>
      </c>
      <c r="F6136" s="4" t="s">
        <v>32661</v>
      </c>
      <c r="G6136" s="4" t="s">
        <v>33746</v>
      </c>
    </row>
    <row r="6137" ht="14.25">
      <c r="B6137" s="14" t="s">
        <v>37691</v>
      </c>
      <c r="C6137" s="4" t="s">
        <v>37692</v>
      </c>
      <c r="D6137" s="4" t="s">
        <v>37695</v>
      </c>
      <c r="E6137" s="4" t="s">
        <v>37694</v>
      </c>
      <c r="F6137" s="4" t="s">
        <v>33135</v>
      </c>
      <c r="G6137" s="4" t="s">
        <v>37696</v>
      </c>
    </row>
    <row r="6138" ht="14.25">
      <c r="B6138" s="14" t="s">
        <v>37691</v>
      </c>
      <c r="C6138" s="4" t="s">
        <v>37692</v>
      </c>
      <c r="D6138" s="4" t="s">
        <v>37697</v>
      </c>
      <c r="E6138" s="4" t="s">
        <v>37694</v>
      </c>
      <c r="F6138" s="4" t="s">
        <v>7559</v>
      </c>
      <c r="G6138" s="4" t="s">
        <v>37698</v>
      </c>
    </row>
    <row r="6139" ht="14.25">
      <c r="B6139" s="14" t="s">
        <v>37699</v>
      </c>
      <c r="C6139" s="4" t="s">
        <v>37700</v>
      </c>
      <c r="D6139" s="4" t="s">
        <v>37701</v>
      </c>
      <c r="E6139" s="6"/>
      <c r="F6139" s="4" t="s">
        <v>37702</v>
      </c>
      <c r="G6139" s="4" t="s">
        <v>37703</v>
      </c>
    </row>
    <row r="6140" ht="14.25">
      <c r="B6140" s="14" t="s">
        <v>37704</v>
      </c>
      <c r="C6140" s="4" t="s">
        <v>37705</v>
      </c>
      <c r="D6140" s="4" t="s">
        <v>37706</v>
      </c>
      <c r="E6140" s="4" t="s">
        <v>37707</v>
      </c>
      <c r="F6140" s="4" t="s">
        <v>355</v>
      </c>
      <c r="G6140" s="4" t="s">
        <v>37708</v>
      </c>
    </row>
    <row r="6141" ht="14.25">
      <c r="B6141" s="14" t="s">
        <v>37709</v>
      </c>
      <c r="C6141" s="4" t="s">
        <v>37710</v>
      </c>
      <c r="D6141" s="4" t="s">
        <v>37711</v>
      </c>
      <c r="E6141" s="6"/>
      <c r="F6141" s="4" t="s">
        <v>808</v>
      </c>
      <c r="G6141" s="4" t="s">
        <v>34879</v>
      </c>
    </row>
    <row r="6142" ht="14.25">
      <c r="B6142" s="14" t="s">
        <v>37712</v>
      </c>
      <c r="C6142" s="4" t="s">
        <v>37713</v>
      </c>
      <c r="D6142" s="4" t="s">
        <v>37714</v>
      </c>
      <c r="E6142" s="4" t="s">
        <v>37715</v>
      </c>
      <c r="F6142" s="4" t="s">
        <v>1583</v>
      </c>
      <c r="G6142" s="4" t="s">
        <v>37716</v>
      </c>
    </row>
    <row r="6143" ht="14.25">
      <c r="B6143" s="14" t="s">
        <v>37712</v>
      </c>
      <c r="C6143" s="4" t="s">
        <v>37713</v>
      </c>
      <c r="D6143" s="4" t="s">
        <v>37717</v>
      </c>
      <c r="E6143" s="4" t="s">
        <v>37715</v>
      </c>
      <c r="F6143" s="4" t="s">
        <v>3892</v>
      </c>
      <c r="G6143" s="4" t="s">
        <v>37718</v>
      </c>
    </row>
    <row r="6144" ht="14.25">
      <c r="B6144" s="14" t="s">
        <v>37712</v>
      </c>
      <c r="C6144" s="4" t="s">
        <v>37713</v>
      </c>
      <c r="D6144" s="4" t="s">
        <v>37719</v>
      </c>
      <c r="E6144" s="4" t="s">
        <v>37715</v>
      </c>
      <c r="F6144" s="4" t="s">
        <v>955</v>
      </c>
      <c r="G6144" s="4" t="s">
        <v>37720</v>
      </c>
    </row>
    <row r="6145" ht="14.25">
      <c r="B6145" s="14" t="s">
        <v>37721</v>
      </c>
      <c r="C6145" s="4" t="s">
        <v>37722</v>
      </c>
      <c r="D6145" s="4" t="s">
        <v>37723</v>
      </c>
      <c r="E6145" s="4" t="s">
        <v>37724</v>
      </c>
      <c r="F6145" s="4" t="s">
        <v>7525</v>
      </c>
      <c r="G6145" s="4" t="s">
        <v>37725</v>
      </c>
    </row>
    <row r="6146" ht="14.25">
      <c r="B6146" s="14" t="s">
        <v>37721</v>
      </c>
      <c r="C6146" s="4" t="s">
        <v>37726</v>
      </c>
      <c r="D6146" s="4" t="s">
        <v>37727</v>
      </c>
      <c r="E6146" s="6"/>
      <c r="F6146" s="4" t="s">
        <v>808</v>
      </c>
      <c r="G6146" s="4" t="s">
        <v>37728</v>
      </c>
    </row>
    <row r="6147" ht="14.25">
      <c r="B6147" s="14" t="s">
        <v>37729</v>
      </c>
      <c r="C6147" s="4" t="s">
        <v>37730</v>
      </c>
      <c r="D6147" s="4" t="s">
        <v>37731</v>
      </c>
      <c r="E6147" s="4" t="s">
        <v>37732</v>
      </c>
      <c r="F6147" s="4" t="s">
        <v>32891</v>
      </c>
      <c r="G6147" s="4" t="s">
        <v>37733</v>
      </c>
    </row>
    <row r="6148" ht="14.25">
      <c r="B6148" s="14" t="s">
        <v>37729</v>
      </c>
      <c r="C6148" s="4" t="s">
        <v>37730</v>
      </c>
      <c r="D6148" s="4" t="s">
        <v>37734</v>
      </c>
      <c r="E6148" s="4" t="s">
        <v>37732</v>
      </c>
      <c r="F6148" s="4" t="s">
        <v>37735</v>
      </c>
      <c r="G6148" s="4" t="s">
        <v>37736</v>
      </c>
    </row>
    <row r="6149" ht="14.25">
      <c r="B6149" s="14" t="s">
        <v>37729</v>
      </c>
      <c r="C6149" s="4" t="s">
        <v>37730</v>
      </c>
      <c r="D6149" s="4" t="s">
        <v>37737</v>
      </c>
      <c r="E6149" s="4" t="s">
        <v>37732</v>
      </c>
      <c r="F6149" s="4" t="s">
        <v>5716</v>
      </c>
      <c r="G6149" s="4" t="s">
        <v>37738</v>
      </c>
    </row>
    <row r="6150" ht="14.25">
      <c r="B6150" s="14" t="s">
        <v>37729</v>
      </c>
      <c r="C6150" s="4" t="s">
        <v>37739</v>
      </c>
      <c r="D6150" s="4" t="s">
        <v>37740</v>
      </c>
      <c r="E6150" s="6"/>
      <c r="F6150" s="4" t="s">
        <v>6844</v>
      </c>
      <c r="G6150" s="4" t="s">
        <v>37741</v>
      </c>
    </row>
    <row r="6151" ht="14.25">
      <c r="B6151" s="14" t="s">
        <v>37742</v>
      </c>
      <c r="C6151" s="4" t="s">
        <v>37743</v>
      </c>
      <c r="D6151" s="4" t="s">
        <v>37744</v>
      </c>
      <c r="E6151" s="6"/>
      <c r="F6151" s="4" t="s">
        <v>10945</v>
      </c>
      <c r="G6151" s="4" t="s">
        <v>37745</v>
      </c>
    </row>
    <row r="6152" ht="14.25">
      <c r="B6152" s="14" t="s">
        <v>37746</v>
      </c>
      <c r="C6152" s="4" t="s">
        <v>37747</v>
      </c>
      <c r="D6152" s="4" t="s">
        <v>37748</v>
      </c>
      <c r="E6152" s="6"/>
      <c r="F6152" s="4" t="s">
        <v>32622</v>
      </c>
      <c r="G6152" s="4" t="s">
        <v>37749</v>
      </c>
    </row>
    <row r="6153" ht="14.25">
      <c r="B6153" s="14" t="s">
        <v>37750</v>
      </c>
      <c r="C6153" s="4" t="s">
        <v>37751</v>
      </c>
      <c r="D6153" s="4" t="s">
        <v>37752</v>
      </c>
      <c r="E6153" s="4" t="s">
        <v>37753</v>
      </c>
      <c r="F6153" s="4" t="s">
        <v>330</v>
      </c>
      <c r="G6153" s="4" t="s">
        <v>37754</v>
      </c>
    </row>
    <row r="6154" ht="14.25">
      <c r="B6154" s="14" t="s">
        <v>37750</v>
      </c>
      <c r="C6154" s="4" t="s">
        <v>37751</v>
      </c>
      <c r="D6154" s="4" t="s">
        <v>37755</v>
      </c>
      <c r="E6154" s="4" t="s">
        <v>37753</v>
      </c>
      <c r="F6154" s="4" t="s">
        <v>3850</v>
      </c>
      <c r="G6154" s="4" t="s">
        <v>37756</v>
      </c>
    </row>
    <row r="6155" ht="14.25">
      <c r="B6155" s="14" t="s">
        <v>37757</v>
      </c>
      <c r="C6155" s="4" t="s">
        <v>37758</v>
      </c>
      <c r="D6155" s="4" t="s">
        <v>37759</v>
      </c>
      <c r="E6155" s="4" t="s">
        <v>37760</v>
      </c>
      <c r="F6155" s="4" t="s">
        <v>32891</v>
      </c>
      <c r="G6155" s="4" t="s">
        <v>37761</v>
      </c>
    </row>
    <row r="6156" ht="14.25">
      <c r="B6156" s="14" t="s">
        <v>37762</v>
      </c>
      <c r="C6156" s="4" t="s">
        <v>37763</v>
      </c>
      <c r="D6156" s="4" t="s">
        <v>37764</v>
      </c>
      <c r="E6156" s="6"/>
      <c r="F6156" s="4" t="s">
        <v>1583</v>
      </c>
      <c r="G6156" s="4" t="s">
        <v>37765</v>
      </c>
    </row>
    <row r="6157" ht="14.25">
      <c r="B6157" s="14" t="s">
        <v>37766</v>
      </c>
      <c r="C6157" s="4" t="s">
        <v>37767</v>
      </c>
      <c r="D6157" s="4" t="s">
        <v>37768</v>
      </c>
      <c r="E6157" s="4" t="s">
        <v>37769</v>
      </c>
      <c r="F6157" s="4" t="s">
        <v>196</v>
      </c>
      <c r="G6157" s="4" t="s">
        <v>37770</v>
      </c>
    </row>
    <row r="6158" ht="14.25">
      <c r="B6158" s="14" t="s">
        <v>37766</v>
      </c>
      <c r="C6158" s="4" t="s">
        <v>37767</v>
      </c>
      <c r="D6158" s="4" t="s">
        <v>37769</v>
      </c>
      <c r="E6158" s="6"/>
      <c r="F6158" s="4" t="s">
        <v>630</v>
      </c>
      <c r="G6158" s="4" t="s">
        <v>34625</v>
      </c>
    </row>
    <row r="6159" ht="14.25">
      <c r="B6159" s="14" t="s">
        <v>37766</v>
      </c>
      <c r="C6159" s="4" t="s">
        <v>37767</v>
      </c>
      <c r="D6159" s="4" t="s">
        <v>37771</v>
      </c>
      <c r="E6159" s="4" t="s">
        <v>37769</v>
      </c>
      <c r="F6159" s="4" t="s">
        <v>355</v>
      </c>
      <c r="G6159" s="4" t="s">
        <v>37772</v>
      </c>
    </row>
    <row r="6160" ht="14.25">
      <c r="B6160" s="14" t="s">
        <v>37773</v>
      </c>
      <c r="C6160" s="4" t="s">
        <v>37774</v>
      </c>
      <c r="D6160" s="4" t="s">
        <v>37775</v>
      </c>
      <c r="E6160" s="4" t="s">
        <v>37776</v>
      </c>
      <c r="F6160" s="4" t="s">
        <v>110</v>
      </c>
      <c r="G6160" s="4" t="s">
        <v>32592</v>
      </c>
    </row>
    <row r="6161" ht="14.25">
      <c r="B6161" s="14" t="s">
        <v>37777</v>
      </c>
      <c r="C6161" s="4" t="s">
        <v>37778</v>
      </c>
      <c r="D6161" s="4" t="s">
        <v>37779</v>
      </c>
      <c r="E6161" s="4" t="s">
        <v>37780</v>
      </c>
      <c r="F6161" s="4" t="s">
        <v>355</v>
      </c>
      <c r="G6161" s="4" t="s">
        <v>37781</v>
      </c>
    </row>
    <row r="6162" ht="14.25">
      <c r="B6162" s="14" t="s">
        <v>37777</v>
      </c>
      <c r="C6162" s="4" t="s">
        <v>37782</v>
      </c>
      <c r="D6162" s="4" t="s">
        <v>37783</v>
      </c>
      <c r="E6162" s="4" t="s">
        <v>37784</v>
      </c>
      <c r="F6162" s="4" t="s">
        <v>32579</v>
      </c>
      <c r="G6162" s="4" t="s">
        <v>37785</v>
      </c>
    </row>
    <row r="6163" ht="14.25">
      <c r="B6163" s="14" t="s">
        <v>37777</v>
      </c>
      <c r="C6163" s="4" t="s">
        <v>37786</v>
      </c>
      <c r="D6163" s="4" t="s">
        <v>37787</v>
      </c>
      <c r="E6163" s="4" t="s">
        <v>37788</v>
      </c>
      <c r="F6163" s="4" t="s">
        <v>32891</v>
      </c>
      <c r="G6163" s="4" t="s">
        <v>34625</v>
      </c>
    </row>
    <row r="6164" ht="14.25">
      <c r="B6164" s="14" t="s">
        <v>37789</v>
      </c>
      <c r="C6164" s="4" t="s">
        <v>37790</v>
      </c>
      <c r="D6164" s="4" t="s">
        <v>37791</v>
      </c>
      <c r="E6164" s="4" t="s">
        <v>37792</v>
      </c>
      <c r="F6164" s="4" t="s">
        <v>222</v>
      </c>
      <c r="G6164" s="4" t="s">
        <v>37793</v>
      </c>
    </row>
    <row r="6165" ht="14.25">
      <c r="B6165" s="14" t="s">
        <v>37789</v>
      </c>
      <c r="C6165" s="4" t="s">
        <v>37790</v>
      </c>
      <c r="D6165" s="4" t="s">
        <v>37794</v>
      </c>
      <c r="E6165" s="4" t="s">
        <v>37792</v>
      </c>
      <c r="F6165" s="4" t="s">
        <v>32787</v>
      </c>
      <c r="G6165" s="4" t="s">
        <v>37795</v>
      </c>
    </row>
    <row r="6166" ht="14.25">
      <c r="B6166" s="14" t="s">
        <v>37796</v>
      </c>
      <c r="C6166" s="4" t="s">
        <v>37797</v>
      </c>
      <c r="D6166" s="4" t="s">
        <v>37798</v>
      </c>
      <c r="E6166" s="4" t="s">
        <v>37799</v>
      </c>
      <c r="F6166" s="4" t="s">
        <v>2652</v>
      </c>
      <c r="G6166" s="4" t="s">
        <v>37800</v>
      </c>
    </row>
    <row r="6167" ht="14.25">
      <c r="B6167" s="14" t="s">
        <v>37801</v>
      </c>
      <c r="C6167" s="4" t="s">
        <v>37802</v>
      </c>
      <c r="D6167" s="4" t="s">
        <v>37803</v>
      </c>
      <c r="E6167" s="6"/>
      <c r="F6167" s="4" t="s">
        <v>2994</v>
      </c>
      <c r="G6167" s="4" t="s">
        <v>32868</v>
      </c>
    </row>
    <row r="6168" ht="14.25">
      <c r="B6168" s="14" t="s">
        <v>37804</v>
      </c>
      <c r="C6168" s="4" t="s">
        <v>37805</v>
      </c>
      <c r="D6168" s="4" t="s">
        <v>37806</v>
      </c>
      <c r="E6168" s="4" t="s">
        <v>37807</v>
      </c>
      <c r="F6168" s="4" t="s">
        <v>1696</v>
      </c>
      <c r="G6168" s="4" t="s">
        <v>35081</v>
      </c>
    </row>
    <row r="6169" ht="14.25">
      <c r="B6169" s="14" t="s">
        <v>37804</v>
      </c>
      <c r="C6169" s="4" t="s">
        <v>37805</v>
      </c>
      <c r="D6169" s="4" t="s">
        <v>37808</v>
      </c>
      <c r="E6169" s="4" t="s">
        <v>37807</v>
      </c>
      <c r="F6169" s="4" t="s">
        <v>4012</v>
      </c>
      <c r="G6169" s="4" t="s">
        <v>33700</v>
      </c>
    </row>
    <row r="6170" ht="14.25">
      <c r="B6170" s="14" t="s">
        <v>37804</v>
      </c>
      <c r="C6170" s="4" t="s">
        <v>37809</v>
      </c>
      <c r="D6170" s="4" t="s">
        <v>37810</v>
      </c>
      <c r="E6170" s="4" t="s">
        <v>37811</v>
      </c>
      <c r="F6170" s="4" t="s">
        <v>13010</v>
      </c>
      <c r="G6170" s="4" t="s">
        <v>37812</v>
      </c>
    </row>
    <row r="6171" ht="14.25">
      <c r="B6171" s="14" t="s">
        <v>37804</v>
      </c>
      <c r="C6171" s="4" t="s">
        <v>37805</v>
      </c>
      <c r="D6171" s="4" t="s">
        <v>37813</v>
      </c>
      <c r="E6171" s="4" t="s">
        <v>37807</v>
      </c>
      <c r="F6171" s="4" t="s">
        <v>2299</v>
      </c>
      <c r="G6171" s="4" t="s">
        <v>37814</v>
      </c>
    </row>
    <row r="6172" ht="14.25">
      <c r="B6172" s="14" t="s">
        <v>37804</v>
      </c>
      <c r="C6172" s="4" t="s">
        <v>37815</v>
      </c>
      <c r="D6172" s="4" t="s">
        <v>37816</v>
      </c>
      <c r="E6172" s="6"/>
      <c r="F6172" s="4" t="s">
        <v>971</v>
      </c>
      <c r="G6172" s="4" t="s">
        <v>37817</v>
      </c>
    </row>
    <row r="6173" ht="14.25">
      <c r="B6173" s="14" t="s">
        <v>37818</v>
      </c>
      <c r="C6173" s="4" t="s">
        <v>37819</v>
      </c>
      <c r="D6173" s="4" t="s">
        <v>37820</v>
      </c>
      <c r="E6173" s="4" t="s">
        <v>37821</v>
      </c>
      <c r="F6173" s="4" t="s">
        <v>5716</v>
      </c>
      <c r="G6173" s="4" t="s">
        <v>37822</v>
      </c>
    </row>
    <row r="6174" ht="14.25">
      <c r="B6174" s="14" t="s">
        <v>37823</v>
      </c>
      <c r="C6174" s="4" t="s">
        <v>37824</v>
      </c>
      <c r="D6174" s="4" t="s">
        <v>37825</v>
      </c>
      <c r="E6174" s="6"/>
      <c r="F6174" s="4" t="s">
        <v>32622</v>
      </c>
      <c r="G6174" s="4" t="s">
        <v>37826</v>
      </c>
    </row>
    <row r="6175" ht="14.25">
      <c r="B6175" s="14" t="s">
        <v>37827</v>
      </c>
      <c r="C6175" s="4" t="s">
        <v>37828</v>
      </c>
      <c r="D6175" s="4" t="s">
        <v>37829</v>
      </c>
      <c r="E6175" s="4" t="s">
        <v>37830</v>
      </c>
      <c r="F6175" s="4" t="s">
        <v>15058</v>
      </c>
      <c r="G6175" s="4" t="s">
        <v>37831</v>
      </c>
    </row>
    <row r="6176" ht="14.25">
      <c r="B6176" s="14" t="s">
        <v>37827</v>
      </c>
      <c r="C6176" s="4" t="s">
        <v>37828</v>
      </c>
      <c r="D6176" s="4" t="s">
        <v>37830</v>
      </c>
      <c r="E6176" s="6"/>
      <c r="F6176" s="4" t="s">
        <v>2994</v>
      </c>
      <c r="G6176" s="4" t="s">
        <v>37831</v>
      </c>
    </row>
    <row r="6177" ht="14.25">
      <c r="B6177" s="14" t="s">
        <v>37832</v>
      </c>
      <c r="C6177" s="4" t="s">
        <v>37833</v>
      </c>
      <c r="D6177" s="4" t="s">
        <v>37834</v>
      </c>
      <c r="E6177" s="6"/>
      <c r="F6177" s="4" t="s">
        <v>866</v>
      </c>
      <c r="G6177" s="4" t="s">
        <v>37835</v>
      </c>
    </row>
    <row r="6178" ht="14.25">
      <c r="B6178" s="14" t="s">
        <v>37832</v>
      </c>
      <c r="C6178" s="4" t="s">
        <v>37836</v>
      </c>
      <c r="D6178" s="4" t="s">
        <v>37837</v>
      </c>
      <c r="E6178" s="6"/>
      <c r="F6178" s="4" t="s">
        <v>4977</v>
      </c>
      <c r="G6178" s="4" t="s">
        <v>32738</v>
      </c>
    </row>
    <row r="6179" ht="14.25">
      <c r="B6179" s="14" t="s">
        <v>37832</v>
      </c>
      <c r="C6179" s="4" t="s">
        <v>37838</v>
      </c>
      <c r="D6179" s="4" t="s">
        <v>37839</v>
      </c>
      <c r="E6179" s="6"/>
      <c r="F6179" s="4" t="s">
        <v>6080</v>
      </c>
      <c r="G6179" s="4" t="s">
        <v>37840</v>
      </c>
    </row>
    <row r="6180" ht="14.25">
      <c r="B6180" s="14" t="s">
        <v>37841</v>
      </c>
      <c r="C6180" s="4" t="s">
        <v>37842</v>
      </c>
      <c r="D6180" s="4" t="s">
        <v>37843</v>
      </c>
      <c r="E6180" s="4" t="s">
        <v>37844</v>
      </c>
      <c r="F6180" s="4" t="s">
        <v>1596</v>
      </c>
      <c r="G6180" s="4" t="s">
        <v>37845</v>
      </c>
    </row>
    <row r="6181" ht="14.25">
      <c r="B6181" s="14" t="s">
        <v>37841</v>
      </c>
      <c r="C6181" s="4" t="s">
        <v>37842</v>
      </c>
      <c r="D6181" s="4" t="s">
        <v>37846</v>
      </c>
      <c r="E6181" s="4" t="s">
        <v>37844</v>
      </c>
      <c r="F6181" s="4" t="s">
        <v>30252</v>
      </c>
      <c r="G6181" s="4" t="s">
        <v>37847</v>
      </c>
    </row>
    <row r="6182" ht="14.25">
      <c r="B6182" s="14" t="s">
        <v>37841</v>
      </c>
      <c r="C6182" s="4" t="s">
        <v>37842</v>
      </c>
      <c r="D6182" s="4" t="s">
        <v>37848</v>
      </c>
      <c r="E6182" s="4" t="s">
        <v>37844</v>
      </c>
      <c r="F6182" s="4" t="s">
        <v>3019</v>
      </c>
      <c r="G6182" s="4" t="s">
        <v>37849</v>
      </c>
    </row>
    <row r="6183" ht="14.25">
      <c r="B6183" s="14" t="s">
        <v>37850</v>
      </c>
      <c r="C6183" s="4" t="s">
        <v>37851</v>
      </c>
      <c r="D6183" s="4" t="s">
        <v>37852</v>
      </c>
      <c r="E6183" s="4" t="s">
        <v>37853</v>
      </c>
      <c r="F6183" s="4" t="s">
        <v>37854</v>
      </c>
      <c r="G6183" s="4" t="s">
        <v>35161</v>
      </c>
    </row>
    <row r="6184" ht="14.25">
      <c r="B6184" s="14" t="s">
        <v>37850</v>
      </c>
      <c r="C6184" s="4" t="s">
        <v>37851</v>
      </c>
      <c r="D6184" s="4" t="s">
        <v>37855</v>
      </c>
      <c r="E6184" s="4" t="s">
        <v>37853</v>
      </c>
      <c r="F6184" s="4" t="s">
        <v>37856</v>
      </c>
      <c r="G6184" s="4" t="s">
        <v>37857</v>
      </c>
    </row>
    <row r="6185" ht="14.25">
      <c r="B6185" s="14" t="s">
        <v>37850</v>
      </c>
      <c r="C6185" s="4" t="s">
        <v>37851</v>
      </c>
      <c r="D6185" s="4" t="s">
        <v>37858</v>
      </c>
      <c r="E6185" s="4" t="s">
        <v>37853</v>
      </c>
      <c r="F6185" s="4" t="s">
        <v>37859</v>
      </c>
      <c r="G6185" s="4" t="s">
        <v>37857</v>
      </c>
    </row>
    <row r="6186" ht="14.25">
      <c r="B6186" s="14" t="s">
        <v>37860</v>
      </c>
      <c r="C6186" s="4" t="s">
        <v>37861</v>
      </c>
      <c r="D6186" s="4" t="s">
        <v>37862</v>
      </c>
      <c r="E6186" s="6"/>
      <c r="F6186" s="4" t="s">
        <v>37863</v>
      </c>
      <c r="G6186" s="4" t="s">
        <v>37864</v>
      </c>
    </row>
    <row r="6187" ht="14.25">
      <c r="B6187" s="14" t="s">
        <v>37865</v>
      </c>
      <c r="C6187" s="4" t="s">
        <v>37866</v>
      </c>
      <c r="D6187" s="4" t="s">
        <v>37867</v>
      </c>
      <c r="E6187" s="4" t="s">
        <v>37868</v>
      </c>
      <c r="F6187" s="4" t="s">
        <v>33135</v>
      </c>
      <c r="G6187" s="4" t="s">
        <v>34663</v>
      </c>
    </row>
    <row r="6188" ht="14.25">
      <c r="B6188" s="14" t="s">
        <v>37869</v>
      </c>
      <c r="C6188" s="4" t="s">
        <v>37870</v>
      </c>
      <c r="D6188" s="4" t="s">
        <v>37871</v>
      </c>
      <c r="E6188" s="6"/>
      <c r="F6188" s="4" t="s">
        <v>35629</v>
      </c>
      <c r="G6188" s="4" t="s">
        <v>37872</v>
      </c>
    </row>
    <row r="6189" ht="14.25">
      <c r="B6189" s="14" t="s">
        <v>37869</v>
      </c>
      <c r="C6189" s="4" t="s">
        <v>37870</v>
      </c>
      <c r="D6189" s="4" t="s">
        <v>37873</v>
      </c>
      <c r="E6189" s="4" t="s">
        <v>37871</v>
      </c>
      <c r="F6189" s="4" t="s">
        <v>1619</v>
      </c>
      <c r="G6189" s="4" t="s">
        <v>37874</v>
      </c>
    </row>
    <row r="6190" ht="14.25">
      <c r="B6190" s="14" t="s">
        <v>37875</v>
      </c>
      <c r="C6190" s="4" t="s">
        <v>37876</v>
      </c>
      <c r="D6190" s="4" t="s">
        <v>37877</v>
      </c>
      <c r="E6190" s="6"/>
      <c r="F6190" s="4" t="s">
        <v>4003</v>
      </c>
      <c r="G6190" s="4" t="s">
        <v>37878</v>
      </c>
    </row>
    <row r="6191" ht="14.25">
      <c r="B6191" s="14" t="s">
        <v>37879</v>
      </c>
      <c r="C6191" s="4" t="s">
        <v>37880</v>
      </c>
      <c r="D6191" s="4" t="s">
        <v>37881</v>
      </c>
      <c r="E6191" s="4" t="s">
        <v>37882</v>
      </c>
      <c r="F6191" s="4" t="s">
        <v>32579</v>
      </c>
      <c r="G6191" s="4" t="s">
        <v>37883</v>
      </c>
    </row>
    <row r="6192" ht="14.25">
      <c r="B6192" s="14" t="s">
        <v>37879</v>
      </c>
      <c r="C6192" s="4" t="s">
        <v>37880</v>
      </c>
      <c r="D6192" s="4" t="s">
        <v>37884</v>
      </c>
      <c r="E6192" s="4" t="s">
        <v>37882</v>
      </c>
      <c r="F6192" s="4" t="s">
        <v>37885</v>
      </c>
      <c r="G6192" s="4" t="s">
        <v>37886</v>
      </c>
    </row>
    <row r="6193" ht="14.25">
      <c r="B6193" s="14" t="s">
        <v>37879</v>
      </c>
      <c r="C6193" s="4" t="s">
        <v>37880</v>
      </c>
      <c r="D6193" s="4" t="s">
        <v>37887</v>
      </c>
      <c r="E6193" s="4" t="s">
        <v>37882</v>
      </c>
      <c r="F6193" s="4" t="s">
        <v>33264</v>
      </c>
      <c r="G6193" s="4" t="s">
        <v>37888</v>
      </c>
    </row>
    <row r="6194" ht="14.25">
      <c r="B6194" s="14" t="s">
        <v>37889</v>
      </c>
      <c r="C6194" s="4" t="s">
        <v>37890</v>
      </c>
      <c r="D6194" s="4" t="s">
        <v>37891</v>
      </c>
      <c r="E6194" s="4" t="s">
        <v>37892</v>
      </c>
      <c r="F6194" s="4" t="s">
        <v>33135</v>
      </c>
      <c r="G6194" s="4" t="s">
        <v>37893</v>
      </c>
    </row>
    <row r="6195" ht="14.25">
      <c r="B6195" s="14" t="s">
        <v>37894</v>
      </c>
      <c r="C6195" s="4" t="s">
        <v>37895</v>
      </c>
      <c r="D6195" s="4" t="s">
        <v>37896</v>
      </c>
      <c r="E6195" s="6"/>
      <c r="F6195" s="4" t="s">
        <v>37897</v>
      </c>
      <c r="G6195" s="4" t="s">
        <v>37898</v>
      </c>
    </row>
    <row r="6196" ht="14.25">
      <c r="B6196" s="14" t="s">
        <v>37899</v>
      </c>
      <c r="C6196" s="4" t="s">
        <v>37900</v>
      </c>
      <c r="D6196" s="4" t="s">
        <v>37901</v>
      </c>
      <c r="E6196" s="6"/>
      <c r="F6196" s="4" t="s">
        <v>95</v>
      </c>
      <c r="G6196" s="4" t="s">
        <v>37902</v>
      </c>
    </row>
    <row r="6197" ht="14.25">
      <c r="B6197" s="14" t="s">
        <v>37903</v>
      </c>
      <c r="C6197" s="4" t="s">
        <v>37904</v>
      </c>
      <c r="D6197" s="4" t="s">
        <v>37905</v>
      </c>
      <c r="E6197" s="4" t="s">
        <v>37906</v>
      </c>
      <c r="F6197" s="4" t="s">
        <v>6788</v>
      </c>
      <c r="G6197" s="4" t="s">
        <v>37907</v>
      </c>
    </row>
    <row r="6198" ht="14.25">
      <c r="B6198" s="14" t="s">
        <v>37903</v>
      </c>
      <c r="C6198" s="4" t="s">
        <v>37904</v>
      </c>
      <c r="D6198" s="4" t="s">
        <v>37908</v>
      </c>
      <c r="E6198" s="4" t="s">
        <v>37906</v>
      </c>
      <c r="F6198" s="4" t="s">
        <v>35368</v>
      </c>
      <c r="G6198" s="4" t="s">
        <v>37909</v>
      </c>
    </row>
    <row r="6199" ht="14.25">
      <c r="B6199" s="14" t="s">
        <v>37910</v>
      </c>
      <c r="C6199" s="4" t="s">
        <v>37911</v>
      </c>
      <c r="D6199" s="4" t="s">
        <v>37912</v>
      </c>
      <c r="E6199" s="6"/>
      <c r="F6199" s="4" t="s">
        <v>1583</v>
      </c>
      <c r="G6199" s="4" t="s">
        <v>37913</v>
      </c>
    </row>
    <row r="6200" ht="14.25">
      <c r="B6200" s="14" t="s">
        <v>37914</v>
      </c>
      <c r="C6200" s="4" t="s">
        <v>37915</v>
      </c>
      <c r="D6200" s="4" t="s">
        <v>37916</v>
      </c>
      <c r="E6200" s="4" t="s">
        <v>37917</v>
      </c>
      <c r="F6200" s="4" t="s">
        <v>1499</v>
      </c>
      <c r="G6200" s="4" t="s">
        <v>37918</v>
      </c>
    </row>
    <row r="6201" ht="14.25">
      <c r="B6201" s="14" t="s">
        <v>37914</v>
      </c>
      <c r="C6201" s="4" t="s">
        <v>37915</v>
      </c>
      <c r="D6201" s="4" t="s">
        <v>37919</v>
      </c>
      <c r="E6201" s="4" t="s">
        <v>37917</v>
      </c>
      <c r="F6201" s="4" t="s">
        <v>485</v>
      </c>
      <c r="G6201" s="4" t="s">
        <v>37920</v>
      </c>
    </row>
    <row r="6202" ht="14.25">
      <c r="B6202" s="14" t="s">
        <v>37914</v>
      </c>
      <c r="C6202" s="4" t="s">
        <v>37915</v>
      </c>
      <c r="D6202" s="4" t="s">
        <v>37921</v>
      </c>
      <c r="E6202" s="4" t="s">
        <v>37917</v>
      </c>
      <c r="F6202" s="4" t="s">
        <v>32891</v>
      </c>
      <c r="G6202" s="4" t="s">
        <v>37922</v>
      </c>
    </row>
    <row r="6203" ht="14.25">
      <c r="B6203" s="14" t="s">
        <v>37914</v>
      </c>
      <c r="C6203" s="4" t="s">
        <v>37915</v>
      </c>
      <c r="D6203" s="4" t="s">
        <v>37923</v>
      </c>
      <c r="E6203" s="4" t="s">
        <v>37917</v>
      </c>
      <c r="F6203" s="4" t="s">
        <v>1732</v>
      </c>
      <c r="G6203" s="4" t="s">
        <v>37924</v>
      </c>
    </row>
    <row r="6204" ht="14.25">
      <c r="B6204" s="14" t="s">
        <v>37914</v>
      </c>
      <c r="C6204" s="4" t="s">
        <v>37915</v>
      </c>
      <c r="D6204" s="4" t="s">
        <v>37925</v>
      </c>
      <c r="E6204" s="4" t="s">
        <v>37917</v>
      </c>
      <c r="F6204" s="4" t="s">
        <v>1861</v>
      </c>
      <c r="G6204" s="4" t="s">
        <v>37926</v>
      </c>
    </row>
    <row r="6205" ht="14.25">
      <c r="B6205" s="14" t="s">
        <v>37914</v>
      </c>
      <c r="C6205" s="4" t="s">
        <v>37915</v>
      </c>
      <c r="D6205" s="4" t="s">
        <v>37927</v>
      </c>
      <c r="E6205" s="4" t="s">
        <v>37917</v>
      </c>
      <c r="F6205" s="4" t="s">
        <v>35368</v>
      </c>
      <c r="G6205" s="4" t="s">
        <v>37928</v>
      </c>
    </row>
    <row r="6206" ht="14.25">
      <c r="B6206" s="14" t="s">
        <v>37914</v>
      </c>
      <c r="C6206" s="4" t="s">
        <v>37915</v>
      </c>
      <c r="D6206" s="4" t="s">
        <v>37929</v>
      </c>
      <c r="E6206" s="4" t="s">
        <v>37917</v>
      </c>
      <c r="F6206" s="4" t="s">
        <v>3909</v>
      </c>
      <c r="G6206" s="4" t="s">
        <v>37930</v>
      </c>
    </row>
    <row r="6207" ht="14.25">
      <c r="B6207" s="14" t="s">
        <v>37914</v>
      </c>
      <c r="C6207" s="4" t="s">
        <v>37915</v>
      </c>
      <c r="D6207" s="4" t="s">
        <v>37931</v>
      </c>
      <c r="E6207" s="4" t="s">
        <v>37917</v>
      </c>
      <c r="F6207" s="4" t="s">
        <v>178</v>
      </c>
      <c r="G6207" s="4" t="s">
        <v>37932</v>
      </c>
    </row>
    <row r="6208" ht="14.25">
      <c r="B6208" s="14" t="s">
        <v>37914</v>
      </c>
      <c r="C6208" s="4" t="s">
        <v>37915</v>
      </c>
      <c r="D6208" s="4" t="s">
        <v>37933</v>
      </c>
      <c r="E6208" s="4" t="s">
        <v>37917</v>
      </c>
      <c r="F6208" s="4" t="s">
        <v>32548</v>
      </c>
      <c r="G6208" s="4" t="s">
        <v>37934</v>
      </c>
    </row>
    <row r="6209" ht="14.25">
      <c r="B6209" s="14" t="s">
        <v>37914</v>
      </c>
      <c r="C6209" s="4" t="s">
        <v>37915</v>
      </c>
      <c r="D6209" s="4" t="s">
        <v>37935</v>
      </c>
      <c r="E6209" s="4" t="s">
        <v>37917</v>
      </c>
      <c r="F6209" s="4" t="s">
        <v>2994</v>
      </c>
      <c r="G6209" s="4" t="s">
        <v>37936</v>
      </c>
    </row>
    <row r="6210" ht="14.25">
      <c r="B6210" s="14" t="s">
        <v>37914</v>
      </c>
      <c r="C6210" s="4" t="s">
        <v>37915</v>
      </c>
      <c r="D6210" s="4" t="s">
        <v>37937</v>
      </c>
      <c r="E6210" s="4" t="s">
        <v>37917</v>
      </c>
      <c r="F6210" s="4" t="s">
        <v>355</v>
      </c>
      <c r="G6210" s="4" t="s">
        <v>37938</v>
      </c>
    </row>
    <row r="6211" ht="14.25">
      <c r="B6211" s="14" t="s">
        <v>37914</v>
      </c>
      <c r="C6211" s="4" t="s">
        <v>37915</v>
      </c>
      <c r="D6211" s="4" t="s">
        <v>37939</v>
      </c>
      <c r="E6211" s="4" t="s">
        <v>37917</v>
      </c>
      <c r="F6211" s="4" t="s">
        <v>206</v>
      </c>
      <c r="G6211" s="4" t="s">
        <v>35743</v>
      </c>
    </row>
    <row r="6212" ht="14.25">
      <c r="B6212" s="14" t="s">
        <v>37914</v>
      </c>
      <c r="C6212" s="4" t="s">
        <v>37915</v>
      </c>
      <c r="D6212" s="4" t="s">
        <v>37940</v>
      </c>
      <c r="E6212" s="4" t="s">
        <v>37917</v>
      </c>
      <c r="F6212" s="4" t="s">
        <v>19682</v>
      </c>
      <c r="G6212" s="4" t="s">
        <v>37941</v>
      </c>
    </row>
    <row r="6213" ht="14.25">
      <c r="B6213" s="14" t="s">
        <v>37942</v>
      </c>
      <c r="C6213" s="4" t="s">
        <v>37943</v>
      </c>
      <c r="D6213" s="4" t="s">
        <v>37944</v>
      </c>
      <c r="E6213" s="4" t="s">
        <v>37945</v>
      </c>
      <c r="F6213" s="4" t="s">
        <v>15070</v>
      </c>
      <c r="G6213" s="4" t="s">
        <v>36616</v>
      </c>
    </row>
    <row r="6214" ht="14.25">
      <c r="B6214" s="14" t="s">
        <v>37942</v>
      </c>
      <c r="C6214" s="4" t="s">
        <v>37943</v>
      </c>
      <c r="D6214" s="4" t="s">
        <v>37946</v>
      </c>
      <c r="E6214" s="4" t="s">
        <v>37945</v>
      </c>
      <c r="F6214" s="4" t="s">
        <v>28659</v>
      </c>
      <c r="G6214" s="4" t="s">
        <v>37947</v>
      </c>
    </row>
    <row r="6215" ht="14.25">
      <c r="B6215" s="14" t="s">
        <v>37942</v>
      </c>
      <c r="C6215" s="4" t="s">
        <v>37948</v>
      </c>
      <c r="D6215" s="4" t="s">
        <v>37949</v>
      </c>
      <c r="E6215" s="6"/>
      <c r="F6215" s="4" t="s">
        <v>6243</v>
      </c>
      <c r="G6215" s="4" t="s">
        <v>37950</v>
      </c>
    </row>
    <row r="6216" ht="14.25">
      <c r="B6216" s="14" t="s">
        <v>37951</v>
      </c>
      <c r="C6216" s="4" t="s">
        <v>37952</v>
      </c>
      <c r="D6216" s="4" t="s">
        <v>37953</v>
      </c>
      <c r="E6216" s="4" t="s">
        <v>37954</v>
      </c>
      <c r="F6216" s="4" t="s">
        <v>37955</v>
      </c>
      <c r="G6216" s="4" t="s">
        <v>32679</v>
      </c>
    </row>
    <row r="6217" ht="14.25">
      <c r="B6217" s="14" t="s">
        <v>37956</v>
      </c>
      <c r="C6217" s="4" t="s">
        <v>37957</v>
      </c>
      <c r="D6217" s="4" t="s">
        <v>37958</v>
      </c>
      <c r="E6217" s="6"/>
      <c r="F6217" s="4" t="s">
        <v>485</v>
      </c>
      <c r="G6217" s="4" t="s">
        <v>37959</v>
      </c>
    </row>
    <row r="6218" ht="14.25">
      <c r="B6218" s="14" t="s">
        <v>37960</v>
      </c>
      <c r="C6218" s="4" t="s">
        <v>37961</v>
      </c>
      <c r="D6218" s="4" t="s">
        <v>37962</v>
      </c>
      <c r="E6218" s="4" t="s">
        <v>37723</v>
      </c>
      <c r="F6218" s="4" t="s">
        <v>34590</v>
      </c>
      <c r="G6218" s="4" t="s">
        <v>37963</v>
      </c>
    </row>
    <row r="6219" ht="14.25">
      <c r="B6219" s="14" t="s">
        <v>37960</v>
      </c>
      <c r="C6219" s="4" t="s">
        <v>37961</v>
      </c>
      <c r="D6219" s="4" t="s">
        <v>37964</v>
      </c>
      <c r="E6219" s="4" t="s">
        <v>37723</v>
      </c>
      <c r="F6219" s="4" t="s">
        <v>33370</v>
      </c>
      <c r="G6219" s="4" t="s">
        <v>37965</v>
      </c>
    </row>
    <row r="6220" ht="14.25">
      <c r="B6220" s="14" t="s">
        <v>37966</v>
      </c>
      <c r="C6220" s="4" t="s">
        <v>37967</v>
      </c>
      <c r="D6220" s="4" t="s">
        <v>37968</v>
      </c>
      <c r="E6220" s="4" t="s">
        <v>37969</v>
      </c>
      <c r="F6220" s="4" t="s">
        <v>1583</v>
      </c>
      <c r="G6220" s="4" t="s">
        <v>35161</v>
      </c>
    </row>
    <row r="6221" ht="14.25">
      <c r="B6221" s="14" t="s">
        <v>37970</v>
      </c>
      <c r="C6221" s="4" t="s">
        <v>37971</v>
      </c>
      <c r="D6221" s="4" t="s">
        <v>37972</v>
      </c>
      <c r="E6221" s="4" t="s">
        <v>37973</v>
      </c>
      <c r="F6221" s="4" t="s">
        <v>3332</v>
      </c>
      <c r="G6221" s="4" t="s">
        <v>37974</v>
      </c>
    </row>
    <row r="6222" ht="14.25">
      <c r="B6222" s="14" t="s">
        <v>37975</v>
      </c>
      <c r="C6222" s="4" t="s">
        <v>37976</v>
      </c>
      <c r="D6222" s="4" t="s">
        <v>37977</v>
      </c>
      <c r="E6222" s="4" t="s">
        <v>37978</v>
      </c>
      <c r="F6222" s="4" t="s">
        <v>110</v>
      </c>
      <c r="G6222" s="4" t="s">
        <v>37979</v>
      </c>
    </row>
    <row r="6223" ht="14.25">
      <c r="B6223" s="14" t="s">
        <v>37980</v>
      </c>
      <c r="C6223" s="4" t="s">
        <v>37981</v>
      </c>
      <c r="D6223" s="4" t="s">
        <v>37982</v>
      </c>
      <c r="E6223" s="4" t="s">
        <v>37983</v>
      </c>
      <c r="F6223" s="4" t="s">
        <v>33135</v>
      </c>
      <c r="G6223" s="4" t="s">
        <v>37984</v>
      </c>
    </row>
    <row r="6224" ht="14.25">
      <c r="B6224" s="14" t="s">
        <v>37980</v>
      </c>
      <c r="C6224" s="4" t="s">
        <v>37985</v>
      </c>
      <c r="D6224" s="4" t="s">
        <v>37986</v>
      </c>
      <c r="E6224" s="4" t="s">
        <v>37987</v>
      </c>
      <c r="F6224" s="4" t="s">
        <v>32658</v>
      </c>
      <c r="G6224" s="4" t="s">
        <v>37988</v>
      </c>
    </row>
    <row r="6225" ht="14.25">
      <c r="B6225" s="14" t="s">
        <v>37980</v>
      </c>
      <c r="C6225" s="4" t="s">
        <v>37989</v>
      </c>
      <c r="D6225" s="4" t="s">
        <v>37990</v>
      </c>
      <c r="E6225" s="4" t="s">
        <v>37991</v>
      </c>
      <c r="F6225" s="4" t="s">
        <v>808</v>
      </c>
      <c r="G6225" s="4" t="s">
        <v>37992</v>
      </c>
    </row>
    <row r="6226" ht="14.25">
      <c r="B6226" s="14" t="s">
        <v>37980</v>
      </c>
      <c r="C6226" s="4" t="s">
        <v>37985</v>
      </c>
      <c r="D6226" s="4" t="s">
        <v>37987</v>
      </c>
      <c r="E6226" s="6"/>
      <c r="F6226" s="4" t="s">
        <v>37993</v>
      </c>
      <c r="G6226" s="4" t="s">
        <v>37994</v>
      </c>
    </row>
    <row r="6227" ht="14.25">
      <c r="B6227" s="14" t="s">
        <v>37995</v>
      </c>
      <c r="C6227" s="4" t="s">
        <v>37996</v>
      </c>
      <c r="D6227" s="4" t="s">
        <v>37997</v>
      </c>
      <c r="E6227" s="4" t="s">
        <v>37998</v>
      </c>
      <c r="F6227" s="4" t="s">
        <v>32706</v>
      </c>
      <c r="G6227" s="4" t="s">
        <v>37999</v>
      </c>
    </row>
    <row r="6228" ht="14.25">
      <c r="B6228" s="14" t="s">
        <v>38000</v>
      </c>
      <c r="C6228" s="4" t="s">
        <v>38001</v>
      </c>
      <c r="D6228" s="4" t="s">
        <v>38002</v>
      </c>
      <c r="E6228" s="6"/>
      <c r="F6228" s="4" t="s">
        <v>33836</v>
      </c>
      <c r="G6228" s="4" t="s">
        <v>38003</v>
      </c>
    </row>
    <row r="6229" ht="14.25">
      <c r="B6229" s="14" t="s">
        <v>38000</v>
      </c>
      <c r="C6229" s="4" t="s">
        <v>38001</v>
      </c>
      <c r="D6229" s="4" t="s">
        <v>38004</v>
      </c>
      <c r="E6229" s="4" t="s">
        <v>38002</v>
      </c>
      <c r="F6229" s="4" t="s">
        <v>330</v>
      </c>
      <c r="G6229" s="4" t="s">
        <v>38005</v>
      </c>
    </row>
    <row r="6230" ht="14.25">
      <c r="B6230" s="14" t="s">
        <v>38006</v>
      </c>
      <c r="C6230" s="4" t="s">
        <v>38007</v>
      </c>
      <c r="D6230" s="4" t="s">
        <v>38008</v>
      </c>
      <c r="E6230" s="4" t="s">
        <v>38009</v>
      </c>
      <c r="F6230" s="4" t="s">
        <v>808</v>
      </c>
      <c r="G6230" s="4" t="s">
        <v>38010</v>
      </c>
    </row>
    <row r="6231" ht="14.25">
      <c r="B6231" s="14" t="s">
        <v>38011</v>
      </c>
      <c r="C6231" s="4" t="s">
        <v>38012</v>
      </c>
      <c r="D6231" s="4" t="s">
        <v>38013</v>
      </c>
      <c r="E6231" s="6"/>
      <c r="F6231" s="4" t="s">
        <v>808</v>
      </c>
      <c r="G6231" s="4" t="s">
        <v>38014</v>
      </c>
    </row>
    <row r="6232" ht="14.25">
      <c r="B6232" s="14" t="s">
        <v>38011</v>
      </c>
      <c r="C6232" s="4" t="s">
        <v>38012</v>
      </c>
      <c r="D6232" s="4" t="s">
        <v>38015</v>
      </c>
      <c r="E6232" s="4" t="s">
        <v>38013</v>
      </c>
      <c r="F6232" s="4" t="s">
        <v>33054</v>
      </c>
      <c r="G6232" s="4" t="s">
        <v>38016</v>
      </c>
    </row>
    <row r="6233" ht="14.25">
      <c r="B6233" s="14" t="s">
        <v>38017</v>
      </c>
      <c r="C6233" s="4" t="s">
        <v>38018</v>
      </c>
      <c r="D6233" s="4" t="s">
        <v>38019</v>
      </c>
      <c r="E6233" s="4" t="s">
        <v>38020</v>
      </c>
      <c r="F6233" s="4" t="s">
        <v>670</v>
      </c>
      <c r="G6233" s="4" t="s">
        <v>35983</v>
      </c>
    </row>
    <row r="6234" ht="14.25">
      <c r="B6234" s="14" t="s">
        <v>38017</v>
      </c>
      <c r="C6234" s="4" t="s">
        <v>38018</v>
      </c>
      <c r="D6234" s="4" t="s">
        <v>38021</v>
      </c>
      <c r="E6234" s="4" t="s">
        <v>38020</v>
      </c>
      <c r="F6234" s="4" t="s">
        <v>6945</v>
      </c>
      <c r="G6234" s="4" t="s">
        <v>38022</v>
      </c>
    </row>
    <row r="6235" ht="14.25">
      <c r="B6235" s="14" t="s">
        <v>38023</v>
      </c>
      <c r="C6235" s="4" t="s">
        <v>38024</v>
      </c>
      <c r="D6235" s="4" t="s">
        <v>38025</v>
      </c>
      <c r="E6235" s="4" t="s">
        <v>38026</v>
      </c>
      <c r="F6235" s="4" t="s">
        <v>4961</v>
      </c>
      <c r="G6235" s="4" t="s">
        <v>38027</v>
      </c>
    </row>
    <row r="6236" ht="14.25">
      <c r="B6236" s="14" t="s">
        <v>38028</v>
      </c>
      <c r="C6236" s="4" t="s">
        <v>38029</v>
      </c>
      <c r="D6236" s="4" t="s">
        <v>38030</v>
      </c>
      <c r="E6236" s="6"/>
      <c r="F6236" s="4" t="s">
        <v>33135</v>
      </c>
      <c r="G6236" s="4" t="s">
        <v>38031</v>
      </c>
    </row>
    <row r="6237" ht="14.25">
      <c r="B6237" s="14" t="s">
        <v>38032</v>
      </c>
      <c r="C6237" s="4" t="s">
        <v>38033</v>
      </c>
      <c r="D6237" s="4" t="s">
        <v>38034</v>
      </c>
      <c r="E6237" s="4" t="s">
        <v>38035</v>
      </c>
      <c r="F6237" s="4" t="s">
        <v>670</v>
      </c>
      <c r="G6237" s="4" t="s">
        <v>36179</v>
      </c>
    </row>
    <row r="6238" ht="14.25">
      <c r="B6238" s="14" t="s">
        <v>38036</v>
      </c>
      <c r="C6238" s="4" t="s">
        <v>38037</v>
      </c>
      <c r="D6238" s="4" t="s">
        <v>38038</v>
      </c>
      <c r="E6238" s="4" t="s">
        <v>38039</v>
      </c>
      <c r="F6238" s="4" t="s">
        <v>769</v>
      </c>
      <c r="G6238" s="4" t="s">
        <v>38040</v>
      </c>
    </row>
    <row r="6239" ht="14.25">
      <c r="B6239" s="14" t="s">
        <v>38036</v>
      </c>
      <c r="C6239" s="4" t="s">
        <v>38037</v>
      </c>
      <c r="D6239" s="4" t="s">
        <v>38041</v>
      </c>
      <c r="E6239" s="4" t="s">
        <v>38039</v>
      </c>
      <c r="F6239" s="4" t="s">
        <v>7323</v>
      </c>
      <c r="G6239" s="4" t="s">
        <v>38042</v>
      </c>
    </row>
    <row r="6240" ht="14.25">
      <c r="B6240" s="14" t="s">
        <v>38036</v>
      </c>
      <c r="C6240" s="4" t="s">
        <v>38037</v>
      </c>
      <c r="D6240" s="4" t="s">
        <v>38043</v>
      </c>
      <c r="E6240" s="4" t="s">
        <v>38039</v>
      </c>
      <c r="F6240" s="4" t="s">
        <v>38044</v>
      </c>
      <c r="G6240" s="4" t="s">
        <v>38045</v>
      </c>
    </row>
    <row r="6241" ht="14.25">
      <c r="B6241" s="14" t="s">
        <v>38046</v>
      </c>
      <c r="C6241" s="4" t="s">
        <v>38047</v>
      </c>
      <c r="D6241" s="4" t="s">
        <v>38048</v>
      </c>
      <c r="E6241" s="4" t="s">
        <v>38049</v>
      </c>
      <c r="F6241" s="4" t="s">
        <v>1583</v>
      </c>
      <c r="G6241" s="4" t="s">
        <v>38050</v>
      </c>
    </row>
    <row r="6242" ht="14.25">
      <c r="B6242" s="14" t="s">
        <v>38046</v>
      </c>
      <c r="C6242" s="4" t="s">
        <v>38047</v>
      </c>
      <c r="D6242" s="4" t="s">
        <v>38051</v>
      </c>
      <c r="E6242" s="4" t="s">
        <v>38049</v>
      </c>
      <c r="F6242" s="4" t="s">
        <v>785</v>
      </c>
      <c r="G6242" s="4" t="s">
        <v>36403</v>
      </c>
    </row>
    <row r="6243" ht="14.25">
      <c r="B6243" s="14" t="s">
        <v>38052</v>
      </c>
      <c r="C6243" s="4" t="s">
        <v>38053</v>
      </c>
      <c r="D6243" s="4" t="s">
        <v>38054</v>
      </c>
      <c r="E6243" s="4" t="s">
        <v>38055</v>
      </c>
      <c r="F6243" s="4" t="s">
        <v>4800</v>
      </c>
      <c r="G6243" s="4" t="s">
        <v>38056</v>
      </c>
    </row>
    <row r="6244" ht="14.25">
      <c r="B6244" s="14" t="s">
        <v>38052</v>
      </c>
      <c r="C6244" s="4" t="s">
        <v>38053</v>
      </c>
      <c r="D6244" s="4" t="s">
        <v>38057</v>
      </c>
      <c r="E6244" s="4" t="s">
        <v>38055</v>
      </c>
      <c r="F6244" s="4" t="s">
        <v>12573</v>
      </c>
      <c r="G6244" s="4" t="s">
        <v>38058</v>
      </c>
    </row>
    <row r="6245" ht="14.25">
      <c r="B6245" s="14" t="s">
        <v>38059</v>
      </c>
      <c r="C6245" s="4" t="s">
        <v>38060</v>
      </c>
      <c r="D6245" s="4" t="s">
        <v>38061</v>
      </c>
      <c r="E6245" s="4" t="s">
        <v>38062</v>
      </c>
      <c r="F6245" s="4" t="s">
        <v>785</v>
      </c>
      <c r="G6245" s="4" t="s">
        <v>38063</v>
      </c>
    </row>
    <row r="6246" ht="14.25">
      <c r="B6246" s="14" t="s">
        <v>38059</v>
      </c>
      <c r="C6246" s="4" t="s">
        <v>38060</v>
      </c>
      <c r="D6246" s="4" t="s">
        <v>38064</v>
      </c>
      <c r="E6246" s="4" t="s">
        <v>38062</v>
      </c>
      <c r="F6246" s="4" t="s">
        <v>6788</v>
      </c>
      <c r="G6246" s="4" t="s">
        <v>38065</v>
      </c>
    </row>
    <row r="6247" ht="14.25">
      <c r="B6247" s="14" t="s">
        <v>38059</v>
      </c>
      <c r="C6247" s="4" t="s">
        <v>38060</v>
      </c>
      <c r="D6247" s="4" t="s">
        <v>38066</v>
      </c>
      <c r="E6247" s="4" t="s">
        <v>38062</v>
      </c>
      <c r="F6247" s="4" t="s">
        <v>7559</v>
      </c>
      <c r="G6247" s="4" t="s">
        <v>38067</v>
      </c>
    </row>
    <row r="6248" ht="14.25">
      <c r="B6248" s="14" t="s">
        <v>38059</v>
      </c>
      <c r="C6248" s="4" t="s">
        <v>38060</v>
      </c>
      <c r="D6248" s="4" t="s">
        <v>38068</v>
      </c>
      <c r="E6248" s="4" t="s">
        <v>38062</v>
      </c>
      <c r="F6248" s="4" t="s">
        <v>35368</v>
      </c>
      <c r="G6248" s="4" t="s">
        <v>38069</v>
      </c>
    </row>
    <row r="6249" ht="14.25">
      <c r="B6249" s="14" t="s">
        <v>38070</v>
      </c>
      <c r="C6249" s="4" t="s">
        <v>38071</v>
      </c>
      <c r="D6249" s="4" t="s">
        <v>38072</v>
      </c>
      <c r="E6249" s="4" t="s">
        <v>38073</v>
      </c>
      <c r="F6249" s="4" t="s">
        <v>4003</v>
      </c>
      <c r="G6249" s="4" t="s">
        <v>36066</v>
      </c>
    </row>
    <row r="6250" ht="14.25">
      <c r="B6250" s="14" t="s">
        <v>38070</v>
      </c>
      <c r="C6250" s="4" t="s">
        <v>38071</v>
      </c>
      <c r="D6250" s="4" t="s">
        <v>38074</v>
      </c>
      <c r="E6250" s="4" t="s">
        <v>38073</v>
      </c>
      <c r="F6250" s="4" t="s">
        <v>34846</v>
      </c>
      <c r="G6250" s="4" t="s">
        <v>38075</v>
      </c>
    </row>
    <row r="6251" ht="14.25">
      <c r="B6251" s="14" t="s">
        <v>38076</v>
      </c>
      <c r="C6251" s="4" t="s">
        <v>38077</v>
      </c>
      <c r="D6251" s="4" t="s">
        <v>38078</v>
      </c>
      <c r="E6251" s="4" t="s">
        <v>38079</v>
      </c>
      <c r="F6251" s="4" t="s">
        <v>485</v>
      </c>
      <c r="G6251" s="4" t="s">
        <v>38080</v>
      </c>
    </row>
    <row r="6252" ht="14.25">
      <c r="B6252" s="14" t="s">
        <v>38076</v>
      </c>
      <c r="C6252" s="4" t="s">
        <v>38081</v>
      </c>
      <c r="D6252" s="4" t="s">
        <v>38082</v>
      </c>
      <c r="E6252" s="6"/>
      <c r="F6252" s="4" t="s">
        <v>110</v>
      </c>
      <c r="G6252" s="4" t="s">
        <v>38083</v>
      </c>
    </row>
    <row r="6253" ht="14.25">
      <c r="B6253" s="14" t="s">
        <v>38084</v>
      </c>
      <c r="C6253" s="4" t="s">
        <v>38085</v>
      </c>
      <c r="D6253" s="4" t="s">
        <v>38086</v>
      </c>
      <c r="E6253" s="4" t="s">
        <v>38087</v>
      </c>
      <c r="F6253" s="4" t="s">
        <v>20</v>
      </c>
      <c r="G6253" s="4" t="s">
        <v>38088</v>
      </c>
    </row>
    <row r="6254" ht="14.25">
      <c r="B6254" s="14" t="s">
        <v>38084</v>
      </c>
      <c r="C6254" s="4" t="s">
        <v>38085</v>
      </c>
      <c r="D6254" s="4" t="s">
        <v>38089</v>
      </c>
      <c r="E6254" s="4" t="s">
        <v>38087</v>
      </c>
      <c r="F6254" s="4" t="s">
        <v>32622</v>
      </c>
      <c r="G6254" s="4" t="s">
        <v>35192</v>
      </c>
    </row>
    <row r="6255" ht="14.25">
      <c r="B6255" s="14" t="s">
        <v>38084</v>
      </c>
      <c r="C6255" s="4" t="s">
        <v>38085</v>
      </c>
      <c r="D6255" s="4" t="s">
        <v>38090</v>
      </c>
      <c r="E6255" s="4" t="s">
        <v>38087</v>
      </c>
      <c r="F6255" s="4" t="s">
        <v>35878</v>
      </c>
      <c r="G6255" s="4" t="s">
        <v>38091</v>
      </c>
    </row>
    <row r="6256" ht="14.25">
      <c r="B6256" s="14" t="s">
        <v>38084</v>
      </c>
      <c r="C6256" s="4" t="s">
        <v>38085</v>
      </c>
      <c r="D6256" s="4" t="s">
        <v>38092</v>
      </c>
      <c r="E6256" s="4" t="s">
        <v>38087</v>
      </c>
      <c r="F6256" s="4" t="s">
        <v>785</v>
      </c>
      <c r="G6256" s="4" t="s">
        <v>38093</v>
      </c>
    </row>
    <row r="6257" ht="14.25">
      <c r="B6257" s="14" t="s">
        <v>38094</v>
      </c>
      <c r="C6257" s="4" t="s">
        <v>38095</v>
      </c>
      <c r="D6257" s="4" t="s">
        <v>38096</v>
      </c>
      <c r="E6257" s="4" t="s">
        <v>38097</v>
      </c>
      <c r="F6257" s="4" t="s">
        <v>2720</v>
      </c>
      <c r="G6257" s="4" t="s">
        <v>38098</v>
      </c>
    </row>
    <row r="6258" ht="14.25">
      <c r="B6258" s="14" t="s">
        <v>38099</v>
      </c>
      <c r="C6258" s="4" t="s">
        <v>38100</v>
      </c>
      <c r="D6258" s="4" t="s">
        <v>38101</v>
      </c>
      <c r="E6258" s="4" t="s">
        <v>38102</v>
      </c>
      <c r="F6258" s="4" t="s">
        <v>33434</v>
      </c>
      <c r="G6258" s="4" t="s">
        <v>38103</v>
      </c>
    </row>
    <row r="6259" ht="14.25">
      <c r="B6259" s="14" t="s">
        <v>38099</v>
      </c>
      <c r="C6259" s="4" t="s">
        <v>38100</v>
      </c>
      <c r="D6259" s="4" t="s">
        <v>38104</v>
      </c>
      <c r="E6259" s="4" t="s">
        <v>38102</v>
      </c>
      <c r="F6259" s="4" t="s">
        <v>20</v>
      </c>
      <c r="G6259" s="4" t="s">
        <v>38105</v>
      </c>
    </row>
    <row r="6260" ht="14.25">
      <c r="B6260" s="14" t="s">
        <v>38106</v>
      </c>
      <c r="C6260" s="4" t="s">
        <v>38107</v>
      </c>
      <c r="D6260" s="4" t="s">
        <v>38108</v>
      </c>
      <c r="E6260" s="4" t="s">
        <v>38109</v>
      </c>
      <c r="F6260" s="4" t="s">
        <v>6744</v>
      </c>
      <c r="G6260" s="4" t="s">
        <v>38110</v>
      </c>
    </row>
    <row r="6261" ht="14.25">
      <c r="B6261" s="14" t="s">
        <v>38111</v>
      </c>
      <c r="C6261" s="4" t="s">
        <v>38112</v>
      </c>
      <c r="D6261" s="4" t="s">
        <v>38113</v>
      </c>
      <c r="E6261" s="4" t="s">
        <v>38114</v>
      </c>
      <c r="F6261" s="4" t="s">
        <v>34201</v>
      </c>
      <c r="G6261" s="4" t="s">
        <v>38115</v>
      </c>
    </row>
    <row r="6262" ht="14.25">
      <c r="B6262" s="14" t="s">
        <v>38111</v>
      </c>
      <c r="C6262" s="4" t="s">
        <v>38112</v>
      </c>
      <c r="D6262" s="4" t="s">
        <v>38116</v>
      </c>
      <c r="E6262" s="4" t="s">
        <v>38114</v>
      </c>
      <c r="F6262" s="4" t="s">
        <v>69</v>
      </c>
      <c r="G6262" s="4" t="s">
        <v>38117</v>
      </c>
    </row>
    <row r="6263" ht="14.25">
      <c r="B6263" s="14" t="s">
        <v>38111</v>
      </c>
      <c r="C6263" s="4" t="s">
        <v>38112</v>
      </c>
      <c r="D6263" s="4" t="s">
        <v>38118</v>
      </c>
      <c r="E6263" s="4" t="s">
        <v>38114</v>
      </c>
      <c r="F6263" s="4" t="s">
        <v>255</v>
      </c>
      <c r="G6263" s="4" t="s">
        <v>38119</v>
      </c>
    </row>
    <row r="6264" ht="14.25">
      <c r="B6264" s="14" t="s">
        <v>38111</v>
      </c>
      <c r="C6264" s="4" t="s">
        <v>38112</v>
      </c>
      <c r="D6264" s="4" t="s">
        <v>38120</v>
      </c>
      <c r="E6264" s="4" t="s">
        <v>38114</v>
      </c>
      <c r="F6264" s="4" t="s">
        <v>21046</v>
      </c>
      <c r="G6264" s="4" t="s">
        <v>38121</v>
      </c>
    </row>
    <row r="6265" ht="14.25">
      <c r="B6265" s="14" t="s">
        <v>38111</v>
      </c>
      <c r="C6265" s="4" t="s">
        <v>38112</v>
      </c>
      <c r="D6265" s="4" t="s">
        <v>38122</v>
      </c>
      <c r="E6265" s="4" t="s">
        <v>38114</v>
      </c>
      <c r="F6265" s="4" t="s">
        <v>28942</v>
      </c>
      <c r="G6265" s="4" t="s">
        <v>38123</v>
      </c>
    </row>
    <row r="6266" ht="14.25">
      <c r="B6266" s="14" t="s">
        <v>38111</v>
      </c>
      <c r="C6266" s="4" t="s">
        <v>38112</v>
      </c>
      <c r="D6266" s="4" t="s">
        <v>38124</v>
      </c>
      <c r="E6266" s="4" t="s">
        <v>38114</v>
      </c>
      <c r="F6266" s="4" t="s">
        <v>4245</v>
      </c>
      <c r="G6266" s="4" t="s">
        <v>38125</v>
      </c>
    </row>
    <row r="6267" ht="14.25">
      <c r="B6267" s="14" t="s">
        <v>38111</v>
      </c>
      <c r="C6267" s="4" t="s">
        <v>38112</v>
      </c>
      <c r="D6267" s="4" t="s">
        <v>38126</v>
      </c>
      <c r="E6267" s="4" t="s">
        <v>38114</v>
      </c>
      <c r="F6267" s="4" t="s">
        <v>485</v>
      </c>
      <c r="G6267" s="4" t="s">
        <v>38127</v>
      </c>
    </row>
    <row r="6268" ht="14.25">
      <c r="B6268" s="14" t="s">
        <v>38128</v>
      </c>
      <c r="C6268" s="4" t="s">
        <v>38129</v>
      </c>
      <c r="D6268" s="4" t="s">
        <v>38130</v>
      </c>
      <c r="E6268" s="4" t="s">
        <v>38131</v>
      </c>
      <c r="F6268" s="4" t="s">
        <v>34602</v>
      </c>
      <c r="G6268" s="4" t="s">
        <v>38132</v>
      </c>
    </row>
    <row r="6269" ht="14.25">
      <c r="B6269" s="14" t="s">
        <v>38133</v>
      </c>
      <c r="C6269" s="4" t="s">
        <v>38134</v>
      </c>
      <c r="D6269" s="4" t="s">
        <v>38135</v>
      </c>
      <c r="E6269" s="4" t="s">
        <v>38136</v>
      </c>
      <c r="F6269" s="4" t="s">
        <v>874</v>
      </c>
      <c r="G6269" s="4" t="s">
        <v>38137</v>
      </c>
    </row>
    <row r="6270" ht="14.25">
      <c r="B6270" s="14" t="s">
        <v>38133</v>
      </c>
      <c r="C6270" s="4" t="s">
        <v>38134</v>
      </c>
      <c r="D6270" s="4" t="s">
        <v>38138</v>
      </c>
      <c r="E6270" s="4" t="s">
        <v>38136</v>
      </c>
      <c r="F6270" s="4" t="s">
        <v>2870</v>
      </c>
      <c r="G6270" s="4" t="s">
        <v>34918</v>
      </c>
    </row>
    <row r="6271" ht="14.25">
      <c r="B6271" s="14" t="s">
        <v>38139</v>
      </c>
      <c r="C6271" s="4" t="s">
        <v>38140</v>
      </c>
      <c r="D6271" s="4" t="s">
        <v>38141</v>
      </c>
      <c r="E6271" s="6"/>
      <c r="F6271" s="4" t="s">
        <v>38142</v>
      </c>
      <c r="G6271" s="4" t="s">
        <v>38143</v>
      </c>
    </row>
    <row r="6272" ht="14.25">
      <c r="B6272" s="14" t="s">
        <v>38144</v>
      </c>
      <c r="C6272" s="4" t="s">
        <v>38145</v>
      </c>
      <c r="D6272" s="4" t="s">
        <v>38146</v>
      </c>
      <c r="E6272" s="6"/>
      <c r="F6272" s="4" t="s">
        <v>866</v>
      </c>
      <c r="G6272" s="4" t="s">
        <v>38147</v>
      </c>
    </row>
    <row r="6273" ht="14.25">
      <c r="B6273" s="14" t="s">
        <v>38148</v>
      </c>
      <c r="C6273" s="4" t="s">
        <v>38149</v>
      </c>
      <c r="D6273" s="4" t="s">
        <v>38150</v>
      </c>
      <c r="E6273" s="6"/>
      <c r="F6273" s="4" t="s">
        <v>32579</v>
      </c>
      <c r="G6273" s="4" t="s">
        <v>38151</v>
      </c>
    </row>
    <row r="6274" ht="14.25">
      <c r="B6274" s="14" t="s">
        <v>38152</v>
      </c>
      <c r="C6274" s="4" t="s">
        <v>38153</v>
      </c>
      <c r="D6274" s="4" t="s">
        <v>38154</v>
      </c>
      <c r="E6274" s="4" t="s">
        <v>38155</v>
      </c>
      <c r="F6274" s="4" t="s">
        <v>33084</v>
      </c>
      <c r="G6274" s="4" t="s">
        <v>38156</v>
      </c>
    </row>
    <row r="6275" ht="14.25">
      <c r="B6275" s="14" t="s">
        <v>38157</v>
      </c>
      <c r="C6275" s="4" t="s">
        <v>38158</v>
      </c>
      <c r="D6275" s="4" t="s">
        <v>38159</v>
      </c>
      <c r="E6275" s="4" t="s">
        <v>38160</v>
      </c>
      <c r="F6275" s="4" t="s">
        <v>32616</v>
      </c>
      <c r="G6275" s="4" t="s">
        <v>38161</v>
      </c>
    </row>
    <row r="6276" ht="14.25">
      <c r="B6276" s="14" t="s">
        <v>38157</v>
      </c>
      <c r="C6276" s="4" t="s">
        <v>38158</v>
      </c>
      <c r="D6276" s="4" t="s">
        <v>38162</v>
      </c>
      <c r="E6276" s="4" t="s">
        <v>38160</v>
      </c>
      <c r="F6276" s="4" t="s">
        <v>679</v>
      </c>
      <c r="G6276" s="4" t="s">
        <v>32868</v>
      </c>
    </row>
    <row r="6277" ht="14.25">
      <c r="B6277" s="14" t="s">
        <v>38163</v>
      </c>
      <c r="C6277" s="4" t="s">
        <v>38164</v>
      </c>
      <c r="D6277" s="4" t="s">
        <v>38165</v>
      </c>
      <c r="E6277" s="4" t="s">
        <v>38166</v>
      </c>
      <c r="F6277" s="4" t="s">
        <v>4341</v>
      </c>
      <c r="G6277" s="4" t="s">
        <v>38167</v>
      </c>
    </row>
    <row r="6278" ht="14.25">
      <c r="B6278" s="14" t="s">
        <v>38168</v>
      </c>
      <c r="C6278" s="4" t="s">
        <v>38169</v>
      </c>
      <c r="D6278" s="4" t="s">
        <v>38170</v>
      </c>
      <c r="E6278" s="4" t="s">
        <v>38171</v>
      </c>
      <c r="F6278" s="4" t="s">
        <v>32616</v>
      </c>
      <c r="G6278" s="4" t="s">
        <v>36251</v>
      </c>
    </row>
    <row r="6279" ht="14.25">
      <c r="B6279" s="14" t="s">
        <v>38172</v>
      </c>
      <c r="C6279" s="4" t="s">
        <v>38173</v>
      </c>
      <c r="D6279" s="4" t="s">
        <v>38174</v>
      </c>
      <c r="E6279" s="4" t="s">
        <v>38175</v>
      </c>
      <c r="F6279" s="4" t="s">
        <v>33644</v>
      </c>
      <c r="G6279" s="4" t="s">
        <v>35180</v>
      </c>
    </row>
    <row r="6280" ht="14.25">
      <c r="B6280" s="14" t="s">
        <v>38176</v>
      </c>
      <c r="C6280" s="4" t="s">
        <v>38177</v>
      </c>
      <c r="D6280" s="4" t="s">
        <v>38178</v>
      </c>
      <c r="E6280" s="4" t="s">
        <v>38179</v>
      </c>
      <c r="F6280" s="4" t="s">
        <v>1387</v>
      </c>
      <c r="G6280" s="4" t="s">
        <v>38180</v>
      </c>
    </row>
    <row r="6281" ht="14.25">
      <c r="B6281" s="14" t="s">
        <v>38176</v>
      </c>
      <c r="C6281" s="4" t="s">
        <v>38177</v>
      </c>
      <c r="D6281" s="4" t="s">
        <v>38181</v>
      </c>
      <c r="E6281" s="4" t="s">
        <v>38179</v>
      </c>
      <c r="F6281" s="4" t="s">
        <v>1215</v>
      </c>
      <c r="G6281" s="4" t="s">
        <v>38182</v>
      </c>
    </row>
    <row r="6282" ht="14.25">
      <c r="B6282" s="14" t="s">
        <v>38183</v>
      </c>
      <c r="C6282" s="4" t="s">
        <v>38184</v>
      </c>
      <c r="D6282" s="4" t="s">
        <v>38185</v>
      </c>
      <c r="E6282" s="4" t="s">
        <v>38186</v>
      </c>
      <c r="F6282" s="4" t="s">
        <v>743</v>
      </c>
      <c r="G6282" s="4" t="s">
        <v>38187</v>
      </c>
    </row>
    <row r="6283" ht="14.25">
      <c r="B6283" s="14" t="s">
        <v>38183</v>
      </c>
      <c r="C6283" s="4" t="s">
        <v>38184</v>
      </c>
      <c r="D6283" s="4" t="s">
        <v>38188</v>
      </c>
      <c r="E6283" s="4" t="s">
        <v>38186</v>
      </c>
      <c r="F6283" s="4" t="s">
        <v>19814</v>
      </c>
      <c r="G6283" s="4" t="s">
        <v>38189</v>
      </c>
    </row>
    <row r="6284" ht="14.25">
      <c r="B6284" s="14" t="s">
        <v>38183</v>
      </c>
      <c r="C6284" s="4" t="s">
        <v>38184</v>
      </c>
      <c r="D6284" s="4" t="s">
        <v>38190</v>
      </c>
      <c r="E6284" s="4" t="s">
        <v>38186</v>
      </c>
      <c r="F6284" s="4" t="s">
        <v>32548</v>
      </c>
      <c r="G6284" s="4" t="s">
        <v>38191</v>
      </c>
    </row>
    <row r="6285" ht="14.25">
      <c r="B6285" s="14" t="s">
        <v>38183</v>
      </c>
      <c r="C6285" s="4" t="s">
        <v>38184</v>
      </c>
      <c r="D6285" s="4" t="s">
        <v>38192</v>
      </c>
      <c r="E6285" s="4" t="s">
        <v>38186</v>
      </c>
      <c r="F6285" s="4" t="s">
        <v>38193</v>
      </c>
      <c r="G6285" s="4" t="s">
        <v>38194</v>
      </c>
    </row>
    <row r="6286" ht="14.25">
      <c r="B6286" s="14" t="s">
        <v>38183</v>
      </c>
      <c r="C6286" s="4" t="s">
        <v>38184</v>
      </c>
      <c r="D6286" s="4" t="s">
        <v>38195</v>
      </c>
      <c r="E6286" s="4" t="s">
        <v>38186</v>
      </c>
      <c r="F6286" s="4" t="s">
        <v>768</v>
      </c>
      <c r="G6286" s="4" t="s">
        <v>36685</v>
      </c>
    </row>
    <row r="6287" ht="14.25">
      <c r="B6287" s="14" t="s">
        <v>38183</v>
      </c>
      <c r="C6287" s="4" t="s">
        <v>38184</v>
      </c>
      <c r="D6287" s="4" t="s">
        <v>38196</v>
      </c>
      <c r="E6287" s="4" t="s">
        <v>38186</v>
      </c>
      <c r="F6287" s="4" t="s">
        <v>76</v>
      </c>
      <c r="G6287" s="4" t="s">
        <v>38197</v>
      </c>
    </row>
    <row r="6288" ht="14.25">
      <c r="B6288" s="14" t="s">
        <v>38183</v>
      </c>
      <c r="C6288" s="4" t="s">
        <v>38184</v>
      </c>
      <c r="D6288" s="4" t="s">
        <v>38198</v>
      </c>
      <c r="E6288" s="4" t="s">
        <v>38186</v>
      </c>
      <c r="F6288" s="4" t="s">
        <v>710</v>
      </c>
      <c r="G6288" s="4" t="s">
        <v>38199</v>
      </c>
    </row>
    <row r="6289" ht="14.25">
      <c r="B6289" s="14" t="s">
        <v>38200</v>
      </c>
      <c r="C6289" s="4" t="s">
        <v>38201</v>
      </c>
      <c r="D6289" s="4" t="s">
        <v>38202</v>
      </c>
      <c r="E6289" s="4" t="s">
        <v>38203</v>
      </c>
      <c r="F6289" s="4" t="s">
        <v>7559</v>
      </c>
      <c r="G6289" s="4" t="s">
        <v>38204</v>
      </c>
    </row>
    <row r="6290" ht="14.25">
      <c r="B6290" s="14" t="s">
        <v>38200</v>
      </c>
      <c r="C6290" s="4" t="s">
        <v>38201</v>
      </c>
      <c r="D6290" s="4" t="s">
        <v>38205</v>
      </c>
      <c r="E6290" s="4" t="s">
        <v>38203</v>
      </c>
      <c r="F6290" s="4" t="s">
        <v>76</v>
      </c>
      <c r="G6290" s="4" t="s">
        <v>38206</v>
      </c>
    </row>
    <row r="6291" ht="14.25">
      <c r="B6291" s="14" t="s">
        <v>38200</v>
      </c>
      <c r="C6291" s="4" t="s">
        <v>38201</v>
      </c>
      <c r="D6291" s="4" t="s">
        <v>38207</v>
      </c>
      <c r="E6291" s="4" t="s">
        <v>38203</v>
      </c>
      <c r="F6291" s="4" t="s">
        <v>6356</v>
      </c>
      <c r="G6291" s="4" t="s">
        <v>38208</v>
      </c>
    </row>
    <row r="6292" ht="14.25">
      <c r="B6292" s="14" t="s">
        <v>38209</v>
      </c>
      <c r="C6292" s="4" t="s">
        <v>38210</v>
      </c>
      <c r="D6292" s="4" t="s">
        <v>38211</v>
      </c>
      <c r="E6292" s="6"/>
      <c r="F6292" s="4" t="s">
        <v>32813</v>
      </c>
      <c r="G6292" s="4" t="s">
        <v>38212</v>
      </c>
    </row>
    <row r="6293" ht="14.25">
      <c r="B6293" s="14" t="s">
        <v>38213</v>
      </c>
      <c r="C6293" s="4" t="s">
        <v>38214</v>
      </c>
      <c r="D6293" s="4" t="s">
        <v>38215</v>
      </c>
      <c r="E6293" s="4" t="s">
        <v>38216</v>
      </c>
      <c r="F6293" s="4" t="s">
        <v>38217</v>
      </c>
      <c r="G6293" s="4" t="s">
        <v>38218</v>
      </c>
    </row>
    <row r="6294" ht="14.25">
      <c r="B6294" s="14" t="s">
        <v>38219</v>
      </c>
      <c r="C6294" s="4" t="s">
        <v>38220</v>
      </c>
      <c r="D6294" s="4" t="s">
        <v>38221</v>
      </c>
      <c r="E6294" s="6"/>
      <c r="F6294" s="4" t="s">
        <v>3540</v>
      </c>
      <c r="G6294" s="4" t="s">
        <v>38222</v>
      </c>
    </row>
    <row r="6295" ht="14.25">
      <c r="B6295" s="14" t="s">
        <v>38223</v>
      </c>
      <c r="C6295" s="4" t="s">
        <v>38224</v>
      </c>
      <c r="D6295" s="4" t="s">
        <v>38225</v>
      </c>
      <c r="E6295" s="4" t="s">
        <v>38226</v>
      </c>
      <c r="F6295" s="4" t="s">
        <v>31</v>
      </c>
      <c r="G6295" s="4" t="s">
        <v>38227</v>
      </c>
    </row>
    <row r="6296" ht="14.25">
      <c r="B6296" s="14" t="s">
        <v>38223</v>
      </c>
      <c r="C6296" s="4" t="s">
        <v>38224</v>
      </c>
      <c r="D6296" s="4" t="s">
        <v>38228</v>
      </c>
      <c r="E6296" s="4" t="s">
        <v>38226</v>
      </c>
      <c r="F6296" s="4" t="s">
        <v>32821</v>
      </c>
      <c r="G6296" s="4" t="s">
        <v>38229</v>
      </c>
    </row>
    <row r="6297" ht="14.25">
      <c r="B6297" s="14" t="s">
        <v>38223</v>
      </c>
      <c r="C6297" s="4" t="s">
        <v>38224</v>
      </c>
      <c r="D6297" s="4" t="s">
        <v>38230</v>
      </c>
      <c r="E6297" s="4" t="s">
        <v>38226</v>
      </c>
      <c r="F6297" s="4" t="s">
        <v>485</v>
      </c>
      <c r="G6297" s="4" t="s">
        <v>38231</v>
      </c>
    </row>
    <row r="6298" ht="14.25">
      <c r="B6298" s="14" t="s">
        <v>38223</v>
      </c>
      <c r="C6298" s="4" t="s">
        <v>38224</v>
      </c>
      <c r="D6298" s="4" t="s">
        <v>38232</v>
      </c>
      <c r="E6298" s="4" t="s">
        <v>38226</v>
      </c>
      <c r="F6298" s="4" t="s">
        <v>1499</v>
      </c>
      <c r="G6298" s="4" t="s">
        <v>35898</v>
      </c>
    </row>
    <row r="6299" ht="14.25">
      <c r="B6299" s="14" t="s">
        <v>38233</v>
      </c>
      <c r="C6299" s="4" t="s">
        <v>38234</v>
      </c>
      <c r="D6299" s="4" t="s">
        <v>38235</v>
      </c>
      <c r="E6299" s="4" t="s">
        <v>38236</v>
      </c>
      <c r="F6299" s="4" t="s">
        <v>3744</v>
      </c>
      <c r="G6299" s="4" t="s">
        <v>38237</v>
      </c>
    </row>
    <row r="6300" ht="14.25">
      <c r="B6300" s="14" t="s">
        <v>38238</v>
      </c>
      <c r="C6300" s="4" t="s">
        <v>38239</v>
      </c>
      <c r="D6300" s="4" t="s">
        <v>38240</v>
      </c>
      <c r="E6300" s="4" t="s">
        <v>38241</v>
      </c>
      <c r="F6300" s="4" t="s">
        <v>808</v>
      </c>
      <c r="G6300" s="4" t="s">
        <v>38242</v>
      </c>
    </row>
    <row r="6301" ht="14.25">
      <c r="B6301" s="14" t="s">
        <v>38238</v>
      </c>
      <c r="C6301" s="4" t="s">
        <v>38243</v>
      </c>
      <c r="D6301" s="4" t="s">
        <v>38244</v>
      </c>
      <c r="E6301" s="6"/>
      <c r="F6301" s="4" t="s">
        <v>670</v>
      </c>
      <c r="G6301" s="4" t="s">
        <v>38245</v>
      </c>
    </row>
    <row r="6302" ht="14.25">
      <c r="B6302" s="14" t="s">
        <v>38246</v>
      </c>
      <c r="C6302" s="4" t="s">
        <v>38247</v>
      </c>
      <c r="D6302" s="4" t="s">
        <v>38248</v>
      </c>
      <c r="E6302" s="4" t="s">
        <v>38249</v>
      </c>
      <c r="F6302" s="4" t="s">
        <v>38250</v>
      </c>
      <c r="G6302" s="4" t="s">
        <v>38251</v>
      </c>
    </row>
    <row r="6303" ht="14.25">
      <c r="B6303" s="14" t="s">
        <v>38246</v>
      </c>
      <c r="C6303" s="4" t="s">
        <v>38247</v>
      </c>
      <c r="D6303" s="4" t="s">
        <v>38252</v>
      </c>
      <c r="E6303" s="4" t="s">
        <v>38249</v>
      </c>
      <c r="F6303" s="4" t="s">
        <v>4986</v>
      </c>
      <c r="G6303" s="4" t="s">
        <v>38253</v>
      </c>
    </row>
    <row r="6304" ht="14.25">
      <c r="B6304" s="14" t="s">
        <v>38246</v>
      </c>
      <c r="C6304" s="4" t="s">
        <v>38247</v>
      </c>
      <c r="D6304" s="4" t="s">
        <v>38254</v>
      </c>
      <c r="E6304" s="4" t="s">
        <v>38249</v>
      </c>
      <c r="F6304" s="4" t="s">
        <v>3850</v>
      </c>
      <c r="G6304" s="4" t="s">
        <v>35376</v>
      </c>
    </row>
    <row r="6305" ht="14.25">
      <c r="B6305" s="14" t="s">
        <v>38255</v>
      </c>
      <c r="C6305" s="4" t="s">
        <v>38256</v>
      </c>
      <c r="D6305" s="4" t="s">
        <v>38257</v>
      </c>
      <c r="E6305" s="4" t="s">
        <v>38258</v>
      </c>
      <c r="F6305" s="4" t="s">
        <v>206</v>
      </c>
      <c r="G6305" s="4" t="s">
        <v>38259</v>
      </c>
    </row>
    <row r="6306" ht="14.25">
      <c r="B6306" s="14" t="s">
        <v>38255</v>
      </c>
      <c r="C6306" s="4" t="s">
        <v>38260</v>
      </c>
      <c r="D6306" s="4" t="s">
        <v>38261</v>
      </c>
      <c r="E6306" s="4" t="s">
        <v>38262</v>
      </c>
      <c r="F6306" s="4" t="s">
        <v>38263</v>
      </c>
      <c r="G6306" s="4" t="s">
        <v>38264</v>
      </c>
    </row>
    <row r="6307" ht="14.25">
      <c r="B6307" s="14" t="s">
        <v>38255</v>
      </c>
      <c r="C6307" s="4" t="s">
        <v>38260</v>
      </c>
      <c r="D6307" s="4" t="s">
        <v>38265</v>
      </c>
      <c r="E6307" s="4" t="s">
        <v>38262</v>
      </c>
      <c r="F6307" s="4" t="s">
        <v>6356</v>
      </c>
      <c r="G6307" s="4" t="s">
        <v>38266</v>
      </c>
    </row>
    <row r="6308" ht="14.25">
      <c r="B6308" s="14" t="s">
        <v>38255</v>
      </c>
      <c r="C6308" s="4" t="s">
        <v>38267</v>
      </c>
      <c r="D6308" s="4" t="s">
        <v>38268</v>
      </c>
      <c r="E6308" s="4" t="s">
        <v>38269</v>
      </c>
      <c r="F6308" s="4" t="s">
        <v>1583</v>
      </c>
      <c r="G6308" s="4" t="s">
        <v>33695</v>
      </c>
    </row>
    <row r="6309" ht="14.25">
      <c r="B6309" s="14" t="s">
        <v>38255</v>
      </c>
      <c r="C6309" s="4" t="s">
        <v>38260</v>
      </c>
      <c r="D6309" s="4" t="s">
        <v>38270</v>
      </c>
      <c r="E6309" s="4" t="s">
        <v>38262</v>
      </c>
      <c r="F6309" s="4" t="s">
        <v>1215</v>
      </c>
      <c r="G6309" s="4" t="s">
        <v>38271</v>
      </c>
    </row>
    <row r="6310" ht="14.25">
      <c r="B6310" s="14" t="s">
        <v>38255</v>
      </c>
      <c r="C6310" s="4" t="s">
        <v>38256</v>
      </c>
      <c r="D6310" s="4" t="s">
        <v>38272</v>
      </c>
      <c r="E6310" s="4" t="s">
        <v>38258</v>
      </c>
      <c r="F6310" s="4" t="s">
        <v>355</v>
      </c>
      <c r="G6310" s="4" t="s">
        <v>38273</v>
      </c>
    </row>
    <row r="6311" ht="14.25">
      <c r="B6311" s="14" t="s">
        <v>38255</v>
      </c>
      <c r="C6311" s="4" t="s">
        <v>38260</v>
      </c>
      <c r="D6311" s="4" t="s">
        <v>38274</v>
      </c>
      <c r="E6311" s="4" t="s">
        <v>38262</v>
      </c>
      <c r="F6311" s="4" t="s">
        <v>2409</v>
      </c>
      <c r="G6311" s="4" t="s">
        <v>36827</v>
      </c>
    </row>
    <row r="6312" ht="14.25">
      <c r="B6312" s="14" t="s">
        <v>38275</v>
      </c>
      <c r="C6312" s="4" t="s">
        <v>38276</v>
      </c>
      <c r="D6312" s="4" t="s">
        <v>38277</v>
      </c>
      <c r="E6312" s="4" t="s">
        <v>38278</v>
      </c>
      <c r="F6312" s="4" t="s">
        <v>6356</v>
      </c>
      <c r="G6312" s="4" t="s">
        <v>38279</v>
      </c>
    </row>
    <row r="6313" ht="14.25">
      <c r="B6313" s="14" t="s">
        <v>38280</v>
      </c>
      <c r="C6313" s="4" t="s">
        <v>38281</v>
      </c>
      <c r="D6313" s="4" t="s">
        <v>38282</v>
      </c>
      <c r="E6313" s="4" t="s">
        <v>38283</v>
      </c>
      <c r="F6313" s="4" t="s">
        <v>34590</v>
      </c>
      <c r="G6313" s="4" t="s">
        <v>38284</v>
      </c>
    </row>
    <row r="6314" ht="14.25">
      <c r="B6314" s="14" t="s">
        <v>38280</v>
      </c>
      <c r="C6314" s="4" t="s">
        <v>38281</v>
      </c>
      <c r="D6314" s="4" t="s">
        <v>38285</v>
      </c>
      <c r="E6314" s="4" t="s">
        <v>38283</v>
      </c>
      <c r="F6314" s="4" t="s">
        <v>32622</v>
      </c>
      <c r="G6314" s="4" t="s">
        <v>38286</v>
      </c>
    </row>
    <row r="6315" ht="14.25">
      <c r="B6315" s="14" t="s">
        <v>38287</v>
      </c>
      <c r="C6315" s="4" t="s">
        <v>38288</v>
      </c>
      <c r="D6315" s="4" t="s">
        <v>38289</v>
      </c>
      <c r="E6315" s="4" t="s">
        <v>38290</v>
      </c>
      <c r="F6315" s="4" t="s">
        <v>604</v>
      </c>
      <c r="G6315" s="4" t="s">
        <v>38291</v>
      </c>
    </row>
    <row r="6316" ht="14.25">
      <c r="B6316" s="14" t="s">
        <v>38287</v>
      </c>
      <c r="C6316" s="4" t="s">
        <v>38288</v>
      </c>
      <c r="D6316" s="4" t="s">
        <v>38292</v>
      </c>
      <c r="E6316" s="4" t="s">
        <v>38290</v>
      </c>
      <c r="F6316" s="4" t="s">
        <v>1153</v>
      </c>
      <c r="G6316" s="4" t="s">
        <v>38293</v>
      </c>
    </row>
    <row r="6317" ht="14.25">
      <c r="B6317" s="14" t="s">
        <v>38287</v>
      </c>
      <c r="C6317" s="4" t="s">
        <v>38294</v>
      </c>
      <c r="D6317" s="4" t="s">
        <v>38295</v>
      </c>
      <c r="E6317" s="4" t="s">
        <v>38296</v>
      </c>
      <c r="F6317" s="4" t="s">
        <v>2299</v>
      </c>
      <c r="G6317" s="4" t="s">
        <v>38297</v>
      </c>
    </row>
    <row r="6318" ht="14.25">
      <c r="B6318" s="14" t="s">
        <v>38298</v>
      </c>
      <c r="C6318" s="4" t="s">
        <v>38299</v>
      </c>
      <c r="D6318" s="4" t="s">
        <v>38300</v>
      </c>
      <c r="E6318" s="4" t="s">
        <v>38301</v>
      </c>
      <c r="F6318" s="4" t="s">
        <v>13010</v>
      </c>
      <c r="G6318" s="4" t="s">
        <v>36552</v>
      </c>
    </row>
    <row r="6319" ht="14.25">
      <c r="B6319" s="14" t="s">
        <v>38302</v>
      </c>
      <c r="C6319" s="4" t="s">
        <v>38303</v>
      </c>
      <c r="D6319" s="4" t="s">
        <v>38304</v>
      </c>
      <c r="E6319" s="4" t="s">
        <v>38305</v>
      </c>
      <c r="F6319" s="4" t="s">
        <v>4969</v>
      </c>
      <c r="G6319" s="4" t="s">
        <v>38306</v>
      </c>
    </row>
    <row r="6320" ht="14.25">
      <c r="B6320" s="14" t="s">
        <v>38302</v>
      </c>
      <c r="C6320" s="4" t="s">
        <v>38307</v>
      </c>
      <c r="D6320" s="4" t="s">
        <v>38308</v>
      </c>
      <c r="E6320" s="4" t="s">
        <v>38309</v>
      </c>
      <c r="F6320" s="4" t="s">
        <v>32622</v>
      </c>
      <c r="G6320" s="4" t="s">
        <v>38310</v>
      </c>
    </row>
    <row r="6321" ht="14.25">
      <c r="B6321" s="14" t="s">
        <v>38311</v>
      </c>
      <c r="C6321" s="4" t="s">
        <v>38312</v>
      </c>
      <c r="D6321" s="4" t="s">
        <v>38313</v>
      </c>
      <c r="E6321" s="4" t="s">
        <v>38314</v>
      </c>
      <c r="F6321" s="4" t="s">
        <v>76</v>
      </c>
      <c r="G6321" s="4" t="s">
        <v>38315</v>
      </c>
    </row>
    <row r="6322" ht="14.25">
      <c r="B6322" s="14" t="s">
        <v>38311</v>
      </c>
      <c r="C6322" s="4" t="s">
        <v>38316</v>
      </c>
      <c r="D6322" s="4" t="s">
        <v>38317</v>
      </c>
      <c r="E6322" s="4" t="s">
        <v>38318</v>
      </c>
      <c r="F6322" s="4" t="s">
        <v>6844</v>
      </c>
      <c r="G6322" s="4" t="s">
        <v>38319</v>
      </c>
    </row>
    <row r="6323" ht="14.25">
      <c r="B6323" s="14" t="s">
        <v>38320</v>
      </c>
      <c r="C6323" s="4" t="s">
        <v>38321</v>
      </c>
      <c r="D6323" s="4" t="s">
        <v>38322</v>
      </c>
      <c r="E6323" s="4" t="s">
        <v>38323</v>
      </c>
      <c r="F6323" s="4" t="s">
        <v>7451</v>
      </c>
      <c r="G6323" s="4" t="s">
        <v>38324</v>
      </c>
    </row>
    <row r="6324" ht="14.25">
      <c r="B6324" s="14" t="s">
        <v>38325</v>
      </c>
      <c r="C6324" s="4" t="s">
        <v>38326</v>
      </c>
      <c r="D6324" s="4" t="s">
        <v>38327</v>
      </c>
      <c r="E6324" s="4" t="s">
        <v>38328</v>
      </c>
      <c r="F6324" s="4" t="s">
        <v>6788</v>
      </c>
      <c r="G6324" s="4" t="s">
        <v>38329</v>
      </c>
    </row>
    <row r="6325" ht="14.25">
      <c r="B6325" s="14" t="s">
        <v>38325</v>
      </c>
      <c r="C6325" s="4" t="s">
        <v>38326</v>
      </c>
      <c r="D6325" s="4" t="s">
        <v>38330</v>
      </c>
      <c r="E6325" s="4" t="s">
        <v>38328</v>
      </c>
      <c r="F6325" s="4" t="s">
        <v>556</v>
      </c>
      <c r="G6325" s="4" t="s">
        <v>38331</v>
      </c>
    </row>
    <row r="6326" ht="14.25">
      <c r="B6326" s="14" t="s">
        <v>38332</v>
      </c>
      <c r="C6326" s="4" t="s">
        <v>38333</v>
      </c>
      <c r="D6326" s="4" t="s">
        <v>38334</v>
      </c>
      <c r="E6326" s="4" t="s">
        <v>38335</v>
      </c>
      <c r="F6326" s="4" t="s">
        <v>1499</v>
      </c>
      <c r="G6326" s="4" t="s">
        <v>38123</v>
      </c>
    </row>
    <row r="6327" ht="14.25">
      <c r="B6327" s="14" t="s">
        <v>38332</v>
      </c>
      <c r="C6327" s="4" t="s">
        <v>38333</v>
      </c>
      <c r="D6327" s="4" t="s">
        <v>38336</v>
      </c>
      <c r="E6327" s="4" t="s">
        <v>38335</v>
      </c>
      <c r="F6327" s="4" t="s">
        <v>485</v>
      </c>
      <c r="G6327" s="4" t="s">
        <v>38337</v>
      </c>
    </row>
    <row r="6328" ht="14.25">
      <c r="B6328" s="14" t="s">
        <v>38332</v>
      </c>
      <c r="C6328" s="4" t="s">
        <v>38333</v>
      </c>
      <c r="D6328" s="4" t="s">
        <v>38338</v>
      </c>
      <c r="E6328" s="4" t="s">
        <v>38335</v>
      </c>
      <c r="F6328" s="4" t="s">
        <v>36359</v>
      </c>
      <c r="G6328" s="4" t="s">
        <v>38339</v>
      </c>
    </row>
    <row r="6329" ht="14.25">
      <c r="B6329" s="14" t="s">
        <v>38340</v>
      </c>
      <c r="C6329" s="4" t="s">
        <v>38341</v>
      </c>
      <c r="D6329" s="4" t="s">
        <v>38342</v>
      </c>
      <c r="E6329" s="4" t="s">
        <v>38343</v>
      </c>
      <c r="F6329" s="4" t="s">
        <v>3516</v>
      </c>
      <c r="G6329" s="4" t="s">
        <v>38344</v>
      </c>
    </row>
    <row r="6330" ht="14.25">
      <c r="B6330" s="14" t="s">
        <v>38340</v>
      </c>
      <c r="C6330" s="4" t="s">
        <v>38341</v>
      </c>
      <c r="D6330" s="4" t="s">
        <v>38345</v>
      </c>
      <c r="E6330" s="4" t="s">
        <v>38343</v>
      </c>
      <c r="F6330" s="4" t="s">
        <v>2242</v>
      </c>
      <c r="G6330" s="4" t="s">
        <v>38346</v>
      </c>
    </row>
    <row r="6331" ht="14.25">
      <c r="B6331" s="14" t="s">
        <v>38347</v>
      </c>
      <c r="C6331" s="4" t="s">
        <v>38348</v>
      </c>
      <c r="D6331" s="4" t="s">
        <v>38349</v>
      </c>
      <c r="E6331" s="4" t="s">
        <v>38350</v>
      </c>
      <c r="F6331" s="4" t="s">
        <v>588</v>
      </c>
      <c r="G6331" s="4" t="s">
        <v>38351</v>
      </c>
    </row>
    <row r="6332" ht="14.25">
      <c r="B6332" s="14" t="s">
        <v>38347</v>
      </c>
      <c r="C6332" s="4" t="s">
        <v>38352</v>
      </c>
      <c r="D6332" s="4" t="s">
        <v>38353</v>
      </c>
      <c r="E6332" s="4" t="s">
        <v>38354</v>
      </c>
      <c r="F6332" s="4" t="s">
        <v>330</v>
      </c>
      <c r="G6332" s="4" t="s">
        <v>33691</v>
      </c>
    </row>
    <row r="6333" ht="14.25">
      <c r="B6333" s="14" t="s">
        <v>38347</v>
      </c>
      <c r="C6333" s="4" t="s">
        <v>38355</v>
      </c>
      <c r="D6333" s="4" t="s">
        <v>38356</v>
      </c>
      <c r="E6333" s="4" t="s">
        <v>38357</v>
      </c>
      <c r="F6333" s="4" t="s">
        <v>4969</v>
      </c>
      <c r="G6333" s="4" t="s">
        <v>38358</v>
      </c>
    </row>
    <row r="6334" ht="14.25">
      <c r="B6334" s="14" t="s">
        <v>38347</v>
      </c>
      <c r="C6334" s="4" t="s">
        <v>38348</v>
      </c>
      <c r="D6334" s="4" t="s">
        <v>38359</v>
      </c>
      <c r="E6334" s="4" t="s">
        <v>38350</v>
      </c>
      <c r="F6334" s="4" t="s">
        <v>1861</v>
      </c>
      <c r="G6334" s="4" t="s">
        <v>38360</v>
      </c>
    </row>
    <row r="6335" ht="14.25">
      <c r="B6335" s="14" t="s">
        <v>38347</v>
      </c>
      <c r="C6335" s="4" t="s">
        <v>38361</v>
      </c>
      <c r="D6335" s="4" t="s">
        <v>38362</v>
      </c>
      <c r="E6335" s="4" t="s">
        <v>38363</v>
      </c>
      <c r="F6335" s="4" t="s">
        <v>330</v>
      </c>
      <c r="G6335" s="4" t="s">
        <v>38364</v>
      </c>
    </row>
    <row r="6336" ht="14.25">
      <c r="B6336" s="14" t="s">
        <v>38347</v>
      </c>
      <c r="C6336" s="4" t="s">
        <v>38365</v>
      </c>
      <c r="D6336" s="4" t="s">
        <v>38366</v>
      </c>
      <c r="E6336" s="6"/>
      <c r="F6336" s="4" t="s">
        <v>1442</v>
      </c>
      <c r="G6336" s="4" t="s">
        <v>38367</v>
      </c>
    </row>
    <row r="6337" ht="14.25">
      <c r="B6337" s="14" t="s">
        <v>38347</v>
      </c>
      <c r="C6337" s="4" t="s">
        <v>38368</v>
      </c>
      <c r="D6337" s="4" t="s">
        <v>38369</v>
      </c>
      <c r="E6337" s="4" t="s">
        <v>38370</v>
      </c>
      <c r="F6337" s="4" t="s">
        <v>2419</v>
      </c>
      <c r="G6337" s="4" t="s">
        <v>38371</v>
      </c>
    </row>
    <row r="6338" ht="14.25">
      <c r="B6338" s="14" t="s">
        <v>38347</v>
      </c>
      <c r="C6338" s="4" t="s">
        <v>38348</v>
      </c>
      <c r="D6338" s="4" t="s">
        <v>38372</v>
      </c>
      <c r="E6338" s="4" t="s">
        <v>38350</v>
      </c>
      <c r="F6338" s="4" t="s">
        <v>20</v>
      </c>
      <c r="G6338" s="4" t="s">
        <v>38373</v>
      </c>
    </row>
    <row r="6339" ht="14.25">
      <c r="B6339" s="14" t="s">
        <v>38347</v>
      </c>
      <c r="C6339" s="4" t="s">
        <v>38348</v>
      </c>
      <c r="D6339" s="4" t="s">
        <v>38374</v>
      </c>
      <c r="E6339" s="4" t="s">
        <v>38350</v>
      </c>
      <c r="F6339" s="4" t="s">
        <v>653</v>
      </c>
      <c r="G6339" s="4" t="s">
        <v>38375</v>
      </c>
    </row>
    <row r="6340" ht="14.25">
      <c r="B6340" s="14" t="s">
        <v>38347</v>
      </c>
      <c r="C6340" s="4" t="s">
        <v>38348</v>
      </c>
      <c r="D6340" s="4" t="s">
        <v>38376</v>
      </c>
      <c r="E6340" s="4" t="s">
        <v>38350</v>
      </c>
      <c r="F6340" s="4" t="s">
        <v>1596</v>
      </c>
      <c r="G6340" s="4" t="s">
        <v>37761</v>
      </c>
    </row>
    <row r="6341" ht="14.25">
      <c r="B6341" s="14" t="s">
        <v>38347</v>
      </c>
      <c r="C6341" s="4" t="s">
        <v>38377</v>
      </c>
      <c r="D6341" s="4" t="s">
        <v>38378</v>
      </c>
      <c r="E6341" s="4" t="s">
        <v>38379</v>
      </c>
      <c r="F6341" s="4" t="s">
        <v>76</v>
      </c>
      <c r="G6341" s="4" t="s">
        <v>38380</v>
      </c>
    </row>
    <row r="6342" ht="14.25">
      <c r="B6342" s="14" t="s">
        <v>38347</v>
      </c>
      <c r="C6342" s="4" t="s">
        <v>38381</v>
      </c>
      <c r="D6342" s="4" t="s">
        <v>38382</v>
      </c>
      <c r="E6342" s="6"/>
      <c r="F6342" s="4" t="s">
        <v>23753</v>
      </c>
      <c r="G6342" s="4" t="s">
        <v>38383</v>
      </c>
    </row>
    <row r="6343" ht="14.25">
      <c r="B6343" s="14" t="s">
        <v>38347</v>
      </c>
      <c r="C6343" s="4" t="s">
        <v>38368</v>
      </c>
      <c r="D6343" s="4" t="s">
        <v>38384</v>
      </c>
      <c r="E6343" s="4" t="s">
        <v>38370</v>
      </c>
      <c r="F6343" s="4" t="s">
        <v>4026</v>
      </c>
      <c r="G6343" s="4" t="s">
        <v>38385</v>
      </c>
    </row>
    <row r="6344" ht="14.25">
      <c r="B6344" s="14" t="s">
        <v>38347</v>
      </c>
      <c r="C6344" s="4" t="s">
        <v>38361</v>
      </c>
      <c r="D6344" s="4" t="s">
        <v>38386</v>
      </c>
      <c r="E6344" s="4" t="s">
        <v>38363</v>
      </c>
      <c r="F6344" s="4" t="s">
        <v>1732</v>
      </c>
      <c r="G6344" s="4" t="s">
        <v>38387</v>
      </c>
    </row>
    <row r="6345" ht="14.25">
      <c r="B6345" s="14" t="s">
        <v>38347</v>
      </c>
      <c r="C6345" s="4" t="s">
        <v>38355</v>
      </c>
      <c r="D6345" s="4" t="s">
        <v>38357</v>
      </c>
      <c r="E6345" s="6"/>
      <c r="F6345" s="4" t="s">
        <v>7451</v>
      </c>
      <c r="G6345" s="4" t="s">
        <v>38388</v>
      </c>
    </row>
    <row r="6346" ht="14.25">
      <c r="B6346" s="14" t="s">
        <v>38389</v>
      </c>
      <c r="C6346" s="4" t="s">
        <v>38390</v>
      </c>
      <c r="D6346" s="4" t="s">
        <v>38391</v>
      </c>
      <c r="E6346" s="4" t="s">
        <v>38392</v>
      </c>
      <c r="F6346" s="4" t="s">
        <v>32831</v>
      </c>
      <c r="G6346" s="4" t="s">
        <v>38393</v>
      </c>
    </row>
    <row r="6347" ht="14.25">
      <c r="B6347" s="14" t="s">
        <v>38389</v>
      </c>
      <c r="C6347" s="4" t="s">
        <v>38394</v>
      </c>
      <c r="D6347" s="4" t="s">
        <v>38395</v>
      </c>
      <c r="E6347" s="4" t="s">
        <v>38396</v>
      </c>
      <c r="F6347" s="4" t="s">
        <v>1732</v>
      </c>
      <c r="G6347" s="4" t="s">
        <v>38397</v>
      </c>
    </row>
    <row r="6348" ht="14.25">
      <c r="B6348" s="14" t="s">
        <v>38398</v>
      </c>
      <c r="C6348" s="4" t="s">
        <v>38399</v>
      </c>
      <c r="D6348" s="4" t="s">
        <v>38400</v>
      </c>
      <c r="E6348" s="4" t="s">
        <v>38401</v>
      </c>
      <c r="F6348" s="4" t="s">
        <v>630</v>
      </c>
      <c r="G6348" s="4" t="s">
        <v>38402</v>
      </c>
    </row>
    <row r="6349" ht="14.25">
      <c r="B6349" s="14" t="s">
        <v>38398</v>
      </c>
      <c r="C6349" s="4" t="s">
        <v>38399</v>
      </c>
      <c r="D6349" s="4" t="s">
        <v>38403</v>
      </c>
      <c r="E6349" s="4" t="s">
        <v>38401</v>
      </c>
      <c r="F6349" s="4" t="s">
        <v>14276</v>
      </c>
      <c r="G6349" s="4" t="s">
        <v>38404</v>
      </c>
    </row>
    <row r="6350" ht="14.25">
      <c r="B6350" s="14" t="s">
        <v>38398</v>
      </c>
      <c r="C6350" s="4" t="s">
        <v>38399</v>
      </c>
      <c r="D6350" s="4" t="s">
        <v>38405</v>
      </c>
      <c r="E6350" s="4" t="s">
        <v>38401</v>
      </c>
      <c r="F6350" s="4" t="s">
        <v>4800</v>
      </c>
      <c r="G6350" s="4" t="s">
        <v>38406</v>
      </c>
    </row>
    <row r="6351" ht="14.25">
      <c r="B6351" s="14" t="s">
        <v>38398</v>
      </c>
      <c r="C6351" s="4" t="s">
        <v>38399</v>
      </c>
      <c r="D6351" s="4" t="s">
        <v>38407</v>
      </c>
      <c r="E6351" s="4" t="s">
        <v>38401</v>
      </c>
      <c r="F6351" s="4" t="s">
        <v>6356</v>
      </c>
      <c r="G6351" s="4" t="s">
        <v>38408</v>
      </c>
    </row>
    <row r="6352" ht="14.25">
      <c r="B6352" s="14" t="s">
        <v>38409</v>
      </c>
      <c r="C6352" s="4" t="s">
        <v>38410</v>
      </c>
      <c r="D6352" s="4" t="s">
        <v>38411</v>
      </c>
      <c r="E6352" s="4" t="s">
        <v>38412</v>
      </c>
      <c r="F6352" s="4" t="s">
        <v>38413</v>
      </c>
      <c r="G6352" s="4" t="s">
        <v>38414</v>
      </c>
    </row>
    <row r="6353" ht="14.25">
      <c r="B6353" s="14" t="s">
        <v>38415</v>
      </c>
      <c r="C6353" s="4" t="s">
        <v>38416</v>
      </c>
      <c r="D6353" s="4" t="s">
        <v>38417</v>
      </c>
      <c r="E6353" s="4" t="s">
        <v>38418</v>
      </c>
      <c r="F6353" s="4" t="s">
        <v>5103</v>
      </c>
      <c r="G6353" s="4" t="s">
        <v>38419</v>
      </c>
    </row>
    <row r="6354" ht="14.25">
      <c r="B6354" s="14" t="s">
        <v>38415</v>
      </c>
      <c r="C6354" s="4" t="s">
        <v>38416</v>
      </c>
      <c r="D6354" s="4" t="s">
        <v>38420</v>
      </c>
      <c r="E6354" s="4" t="s">
        <v>38418</v>
      </c>
      <c r="F6354" s="4" t="s">
        <v>5679</v>
      </c>
      <c r="G6354" s="4" t="s">
        <v>36651</v>
      </c>
    </row>
    <row r="6355" ht="14.25">
      <c r="B6355" s="14" t="s">
        <v>38415</v>
      </c>
      <c r="C6355" s="4" t="s">
        <v>38421</v>
      </c>
      <c r="D6355" s="4" t="s">
        <v>38422</v>
      </c>
      <c r="E6355" s="4" t="s">
        <v>38423</v>
      </c>
      <c r="F6355" s="4" t="s">
        <v>355</v>
      </c>
      <c r="G6355" s="4" t="s">
        <v>38424</v>
      </c>
    </row>
    <row r="6356" ht="14.25">
      <c r="B6356" s="14" t="s">
        <v>38415</v>
      </c>
      <c r="C6356" s="4" t="s">
        <v>38416</v>
      </c>
      <c r="D6356" s="4" t="s">
        <v>38425</v>
      </c>
      <c r="E6356" s="4" t="s">
        <v>38418</v>
      </c>
      <c r="F6356" s="4" t="s">
        <v>95</v>
      </c>
      <c r="G6356" s="4" t="s">
        <v>38426</v>
      </c>
    </row>
    <row r="6357" ht="14.25">
      <c r="B6357" s="14" t="s">
        <v>38415</v>
      </c>
      <c r="C6357" s="4" t="s">
        <v>38416</v>
      </c>
      <c r="D6357" s="4" t="s">
        <v>38427</v>
      </c>
      <c r="E6357" s="4" t="s">
        <v>38418</v>
      </c>
      <c r="F6357" s="4" t="s">
        <v>768</v>
      </c>
      <c r="G6357" s="4" t="s">
        <v>38428</v>
      </c>
    </row>
    <row r="6358" ht="14.25">
      <c r="B6358" s="14" t="s">
        <v>38415</v>
      </c>
      <c r="C6358" s="4" t="s">
        <v>38416</v>
      </c>
      <c r="D6358" s="4" t="s">
        <v>38429</v>
      </c>
      <c r="E6358" s="4" t="s">
        <v>38418</v>
      </c>
      <c r="F6358" s="4" t="s">
        <v>38430</v>
      </c>
      <c r="G6358" s="4" t="s">
        <v>38431</v>
      </c>
    </row>
    <row r="6359" ht="14.25">
      <c r="B6359" s="14" t="s">
        <v>38415</v>
      </c>
      <c r="C6359" s="4" t="s">
        <v>38421</v>
      </c>
      <c r="D6359" s="4" t="s">
        <v>38432</v>
      </c>
      <c r="E6359" s="4" t="s">
        <v>38423</v>
      </c>
      <c r="F6359" s="4" t="s">
        <v>32616</v>
      </c>
      <c r="G6359" s="4" t="s">
        <v>38433</v>
      </c>
    </row>
    <row r="6360" ht="14.25">
      <c r="B6360" s="14" t="s">
        <v>38415</v>
      </c>
      <c r="C6360" s="4" t="s">
        <v>38416</v>
      </c>
      <c r="D6360" s="4" t="s">
        <v>38434</v>
      </c>
      <c r="E6360" s="4" t="s">
        <v>38418</v>
      </c>
      <c r="F6360" s="4" t="s">
        <v>7525</v>
      </c>
      <c r="G6360" s="4" t="s">
        <v>38435</v>
      </c>
    </row>
    <row r="6361" ht="14.25">
      <c r="B6361" s="14" t="s">
        <v>38415</v>
      </c>
      <c r="C6361" s="4" t="s">
        <v>38421</v>
      </c>
      <c r="D6361" s="4" t="s">
        <v>38436</v>
      </c>
      <c r="E6361" s="4" t="s">
        <v>38423</v>
      </c>
      <c r="F6361" s="4" t="s">
        <v>6356</v>
      </c>
      <c r="G6361" s="4" t="s">
        <v>38437</v>
      </c>
    </row>
    <row r="6362" ht="14.25">
      <c r="B6362" s="14" t="s">
        <v>38438</v>
      </c>
      <c r="C6362" s="4" t="s">
        <v>38439</v>
      </c>
      <c r="D6362" s="4" t="s">
        <v>38440</v>
      </c>
      <c r="E6362" s="6"/>
      <c r="F6362" s="4" t="s">
        <v>355</v>
      </c>
      <c r="G6362" s="4" t="s">
        <v>38441</v>
      </c>
    </row>
    <row r="6363" ht="14.25">
      <c r="B6363" s="14" t="s">
        <v>38442</v>
      </c>
      <c r="C6363" s="4" t="s">
        <v>38443</v>
      </c>
      <c r="D6363" s="4" t="s">
        <v>38444</v>
      </c>
      <c r="E6363" s="4" t="s">
        <v>38445</v>
      </c>
      <c r="F6363" s="4" t="s">
        <v>32548</v>
      </c>
      <c r="G6363" s="4" t="s">
        <v>38446</v>
      </c>
    </row>
    <row r="6364" ht="14.25">
      <c r="B6364" s="14" t="s">
        <v>38442</v>
      </c>
      <c r="C6364" s="4" t="s">
        <v>38443</v>
      </c>
      <c r="D6364" s="4" t="s">
        <v>38445</v>
      </c>
      <c r="E6364" s="6"/>
      <c r="F6364" s="4" t="s">
        <v>38447</v>
      </c>
      <c r="G6364" s="4" t="s">
        <v>32551</v>
      </c>
    </row>
    <row r="6365" ht="14.25">
      <c r="B6365" s="14" t="s">
        <v>38442</v>
      </c>
      <c r="C6365" s="4" t="s">
        <v>38443</v>
      </c>
      <c r="D6365" s="4" t="s">
        <v>38448</v>
      </c>
      <c r="E6365" s="4" t="s">
        <v>38445</v>
      </c>
      <c r="F6365" s="4" t="s">
        <v>3516</v>
      </c>
      <c r="G6365" s="4" t="s">
        <v>32551</v>
      </c>
    </row>
    <row r="6366" ht="14.25">
      <c r="B6366" s="14" t="s">
        <v>38449</v>
      </c>
      <c r="C6366" s="4" t="s">
        <v>38450</v>
      </c>
      <c r="D6366" s="4" t="s">
        <v>38451</v>
      </c>
      <c r="E6366" s="4" t="s">
        <v>38452</v>
      </c>
      <c r="F6366" s="4" t="s">
        <v>32579</v>
      </c>
      <c r="G6366" s="4" t="s">
        <v>38453</v>
      </c>
    </row>
    <row r="6367" ht="14.25">
      <c r="B6367" s="14" t="s">
        <v>38454</v>
      </c>
      <c r="C6367" s="4" t="s">
        <v>38455</v>
      </c>
      <c r="D6367" s="4" t="s">
        <v>38456</v>
      </c>
      <c r="E6367" s="4" t="s">
        <v>38457</v>
      </c>
      <c r="F6367" s="4" t="s">
        <v>38458</v>
      </c>
      <c r="G6367" s="4" t="s">
        <v>38459</v>
      </c>
    </row>
    <row r="6368" ht="14.25">
      <c r="B6368" s="14" t="s">
        <v>38454</v>
      </c>
      <c r="C6368" s="4" t="s">
        <v>38455</v>
      </c>
      <c r="D6368" s="4" t="s">
        <v>38460</v>
      </c>
      <c r="E6368" s="4" t="s">
        <v>38457</v>
      </c>
      <c r="F6368" s="4" t="s">
        <v>32616</v>
      </c>
      <c r="G6368" s="4" t="s">
        <v>38461</v>
      </c>
    </row>
    <row r="6369" ht="14.25">
      <c r="B6369" s="14" t="s">
        <v>38454</v>
      </c>
      <c r="C6369" s="4" t="s">
        <v>38455</v>
      </c>
      <c r="D6369" s="4" t="s">
        <v>38462</v>
      </c>
      <c r="E6369" s="4" t="s">
        <v>38457</v>
      </c>
      <c r="F6369" s="4" t="s">
        <v>1499</v>
      </c>
      <c r="G6369" s="4" t="s">
        <v>38463</v>
      </c>
    </row>
    <row r="6370" ht="14.25">
      <c r="B6370" s="14" t="s">
        <v>38454</v>
      </c>
      <c r="C6370" s="4" t="s">
        <v>38455</v>
      </c>
      <c r="D6370" s="4" t="s">
        <v>38464</v>
      </c>
      <c r="E6370" s="4" t="s">
        <v>38457</v>
      </c>
      <c r="F6370" s="4" t="s">
        <v>32622</v>
      </c>
      <c r="G6370" s="4" t="s">
        <v>38465</v>
      </c>
    </row>
    <row r="6371" ht="14.25">
      <c r="B6371" s="14" t="s">
        <v>38454</v>
      </c>
      <c r="C6371" s="4" t="s">
        <v>38466</v>
      </c>
      <c r="D6371" s="4" t="s">
        <v>38467</v>
      </c>
      <c r="E6371" s="4" t="s">
        <v>38468</v>
      </c>
      <c r="F6371" s="4" t="s">
        <v>1704</v>
      </c>
      <c r="G6371" s="4" t="s">
        <v>38469</v>
      </c>
    </row>
    <row r="6372" ht="14.25">
      <c r="B6372" s="14" t="s">
        <v>38454</v>
      </c>
      <c r="C6372" s="4" t="s">
        <v>38466</v>
      </c>
      <c r="D6372" s="4" t="s">
        <v>38470</v>
      </c>
      <c r="E6372" s="4" t="s">
        <v>38468</v>
      </c>
      <c r="F6372" s="4" t="s">
        <v>768</v>
      </c>
      <c r="G6372" s="4" t="s">
        <v>37236</v>
      </c>
    </row>
    <row r="6373" ht="14.25">
      <c r="B6373" s="14" t="s">
        <v>38454</v>
      </c>
      <c r="C6373" s="4" t="s">
        <v>38455</v>
      </c>
      <c r="D6373" s="4" t="s">
        <v>38471</v>
      </c>
      <c r="E6373" s="4" t="s">
        <v>38457</v>
      </c>
      <c r="F6373" s="4" t="s">
        <v>178</v>
      </c>
      <c r="G6373" s="4" t="s">
        <v>38463</v>
      </c>
    </row>
    <row r="6374" ht="14.25">
      <c r="B6374" s="14" t="s">
        <v>38472</v>
      </c>
      <c r="C6374" s="4" t="s">
        <v>38473</v>
      </c>
      <c r="D6374" s="4" t="s">
        <v>38474</v>
      </c>
      <c r="E6374" s="4" t="s">
        <v>38475</v>
      </c>
      <c r="F6374" s="4" t="s">
        <v>34602</v>
      </c>
      <c r="G6374" s="4" t="s">
        <v>38476</v>
      </c>
    </row>
    <row r="6375" ht="14.25">
      <c r="B6375" s="14" t="s">
        <v>38472</v>
      </c>
      <c r="C6375" s="4" t="s">
        <v>38473</v>
      </c>
      <c r="D6375" s="4" t="s">
        <v>38477</v>
      </c>
      <c r="E6375" s="4" t="s">
        <v>38475</v>
      </c>
      <c r="F6375" s="4" t="s">
        <v>110</v>
      </c>
      <c r="G6375" s="4" t="s">
        <v>38478</v>
      </c>
    </row>
    <row r="6376" ht="14.25">
      <c r="B6376" s="14" t="s">
        <v>38472</v>
      </c>
      <c r="C6376" s="4" t="s">
        <v>38473</v>
      </c>
      <c r="D6376" s="4" t="s">
        <v>38479</v>
      </c>
      <c r="E6376" s="4" t="s">
        <v>38475</v>
      </c>
      <c r="F6376" s="4" t="s">
        <v>76</v>
      </c>
      <c r="G6376" s="4" t="s">
        <v>38480</v>
      </c>
    </row>
    <row r="6377" ht="14.25">
      <c r="B6377" s="14" t="s">
        <v>38472</v>
      </c>
      <c r="C6377" s="4" t="s">
        <v>38473</v>
      </c>
      <c r="D6377" s="4" t="s">
        <v>38481</v>
      </c>
      <c r="E6377" s="4" t="s">
        <v>38475</v>
      </c>
      <c r="F6377" s="4" t="s">
        <v>785</v>
      </c>
      <c r="G6377" s="4" t="s">
        <v>37761</v>
      </c>
    </row>
    <row r="6378" ht="14.25">
      <c r="B6378" s="14" t="s">
        <v>38482</v>
      </c>
      <c r="C6378" s="4" t="s">
        <v>38483</v>
      </c>
      <c r="D6378" s="4" t="s">
        <v>38484</v>
      </c>
      <c r="E6378" s="4" t="s">
        <v>38485</v>
      </c>
      <c r="F6378" s="4" t="s">
        <v>2508</v>
      </c>
      <c r="G6378" s="4" t="s">
        <v>38486</v>
      </c>
    </row>
    <row r="6379" ht="14.25">
      <c r="B6379" s="14" t="s">
        <v>38487</v>
      </c>
      <c r="C6379" s="4" t="s">
        <v>38488</v>
      </c>
      <c r="D6379" s="4" t="s">
        <v>38489</v>
      </c>
      <c r="E6379" s="4" t="s">
        <v>38490</v>
      </c>
      <c r="F6379" s="4" t="s">
        <v>33135</v>
      </c>
      <c r="G6379" s="4" t="s">
        <v>38491</v>
      </c>
    </row>
    <row r="6380" ht="14.25">
      <c r="B6380" s="14" t="s">
        <v>38492</v>
      </c>
      <c r="C6380" s="4" t="s">
        <v>38493</v>
      </c>
      <c r="D6380" s="4" t="s">
        <v>38494</v>
      </c>
      <c r="E6380" s="4" t="s">
        <v>38495</v>
      </c>
      <c r="F6380" s="4" t="s">
        <v>3165</v>
      </c>
      <c r="G6380" s="4" t="s">
        <v>38496</v>
      </c>
    </row>
    <row r="6381" ht="14.25">
      <c r="B6381" s="14" t="s">
        <v>38492</v>
      </c>
      <c r="C6381" s="4" t="s">
        <v>38497</v>
      </c>
      <c r="D6381" s="4" t="s">
        <v>38498</v>
      </c>
      <c r="E6381" s="6"/>
      <c r="F6381" s="4" t="s">
        <v>38499</v>
      </c>
      <c r="G6381" s="4" t="s">
        <v>38500</v>
      </c>
    </row>
    <row r="6382" ht="14.25">
      <c r="B6382" s="14" t="s">
        <v>38501</v>
      </c>
      <c r="C6382" s="4" t="s">
        <v>38502</v>
      </c>
      <c r="D6382" s="4" t="s">
        <v>38503</v>
      </c>
      <c r="E6382" s="4" t="s">
        <v>38504</v>
      </c>
      <c r="F6382" s="4" t="s">
        <v>1562</v>
      </c>
      <c r="G6382" s="4" t="s">
        <v>38505</v>
      </c>
    </row>
    <row r="6383" ht="14.25">
      <c r="B6383" s="14" t="s">
        <v>38506</v>
      </c>
      <c r="C6383" s="4" t="s">
        <v>38507</v>
      </c>
      <c r="D6383" s="4" t="s">
        <v>38508</v>
      </c>
      <c r="E6383" s="4" t="s">
        <v>38509</v>
      </c>
      <c r="F6383" s="4" t="s">
        <v>21744</v>
      </c>
      <c r="G6383" s="4" t="s">
        <v>35293</v>
      </c>
    </row>
    <row r="6384" ht="14.25">
      <c r="B6384" s="14" t="s">
        <v>38506</v>
      </c>
      <c r="C6384" s="4" t="s">
        <v>38510</v>
      </c>
      <c r="D6384" s="4" t="s">
        <v>38511</v>
      </c>
      <c r="E6384" s="4" t="s">
        <v>38512</v>
      </c>
      <c r="F6384" s="4" t="s">
        <v>38513</v>
      </c>
      <c r="G6384" s="4" t="s">
        <v>36872</v>
      </c>
    </row>
    <row r="6385" ht="14.25">
      <c r="B6385" s="14" t="s">
        <v>38514</v>
      </c>
      <c r="C6385" s="4" t="s">
        <v>38515</v>
      </c>
      <c r="D6385" s="4" t="s">
        <v>38516</v>
      </c>
      <c r="E6385" s="4" t="s">
        <v>38517</v>
      </c>
      <c r="F6385" s="4" t="s">
        <v>2299</v>
      </c>
      <c r="G6385" s="4" t="s">
        <v>38518</v>
      </c>
    </row>
    <row r="6386" ht="14.25">
      <c r="B6386" s="14" t="s">
        <v>38514</v>
      </c>
      <c r="C6386" s="4" t="s">
        <v>38515</v>
      </c>
      <c r="D6386" s="4" t="s">
        <v>38519</v>
      </c>
      <c r="E6386" s="4" t="s">
        <v>38517</v>
      </c>
      <c r="F6386" s="4" t="s">
        <v>1815</v>
      </c>
      <c r="G6386" s="4" t="s">
        <v>38520</v>
      </c>
    </row>
    <row r="6387" ht="14.25">
      <c r="B6387" s="14" t="s">
        <v>38521</v>
      </c>
      <c r="C6387" s="4" t="s">
        <v>38522</v>
      </c>
      <c r="D6387" s="4" t="s">
        <v>38523</v>
      </c>
      <c r="E6387" s="4" t="s">
        <v>38524</v>
      </c>
      <c r="F6387" s="4" t="s">
        <v>170</v>
      </c>
      <c r="G6387" s="4" t="s">
        <v>38525</v>
      </c>
    </row>
    <row r="6388" ht="14.25">
      <c r="B6388" s="14" t="s">
        <v>38526</v>
      </c>
      <c r="C6388" s="4" t="s">
        <v>38527</v>
      </c>
      <c r="D6388" s="4" t="s">
        <v>38528</v>
      </c>
      <c r="E6388" s="4" t="s">
        <v>38529</v>
      </c>
      <c r="F6388" s="4" t="s">
        <v>6243</v>
      </c>
      <c r="G6388" s="4" t="s">
        <v>38530</v>
      </c>
    </row>
    <row r="6389" ht="14.25">
      <c r="B6389" s="14" t="s">
        <v>38531</v>
      </c>
      <c r="C6389" s="4" t="s">
        <v>38532</v>
      </c>
      <c r="D6389" s="4" t="s">
        <v>38533</v>
      </c>
      <c r="E6389" s="4" t="s">
        <v>38534</v>
      </c>
      <c r="F6389" s="4" t="s">
        <v>222</v>
      </c>
      <c r="G6389" s="4" t="s">
        <v>32592</v>
      </c>
    </row>
    <row r="6390" ht="14.25">
      <c r="B6390" s="14" t="s">
        <v>38531</v>
      </c>
      <c r="C6390" s="4" t="s">
        <v>38535</v>
      </c>
      <c r="D6390" s="4" t="s">
        <v>38536</v>
      </c>
      <c r="E6390" s="6"/>
      <c r="F6390" s="4" t="s">
        <v>1396</v>
      </c>
      <c r="G6390" s="4" t="s">
        <v>38537</v>
      </c>
    </row>
    <row r="6391" ht="14.25">
      <c r="B6391" s="14" t="s">
        <v>38531</v>
      </c>
      <c r="C6391" s="4" t="s">
        <v>38538</v>
      </c>
      <c r="D6391" s="4" t="s">
        <v>38539</v>
      </c>
      <c r="E6391" s="4" t="s">
        <v>38540</v>
      </c>
      <c r="F6391" s="4" t="s">
        <v>330</v>
      </c>
      <c r="G6391" s="4" t="s">
        <v>38541</v>
      </c>
    </row>
    <row r="6392" ht="14.25">
      <c r="B6392" s="14" t="s">
        <v>38531</v>
      </c>
      <c r="C6392" s="4" t="s">
        <v>38532</v>
      </c>
      <c r="D6392" s="4" t="s">
        <v>38542</v>
      </c>
      <c r="E6392" s="4" t="s">
        <v>38534</v>
      </c>
      <c r="F6392" s="4" t="s">
        <v>32622</v>
      </c>
      <c r="G6392" s="4" t="s">
        <v>33947</v>
      </c>
    </row>
    <row r="6393" ht="14.25">
      <c r="B6393" s="14" t="s">
        <v>38543</v>
      </c>
      <c r="C6393" s="4" t="s">
        <v>38544</v>
      </c>
      <c r="D6393" s="4" t="s">
        <v>38545</v>
      </c>
      <c r="E6393" s="4" t="s">
        <v>38546</v>
      </c>
      <c r="F6393" s="4" t="s">
        <v>785</v>
      </c>
      <c r="G6393" s="4" t="s">
        <v>36049</v>
      </c>
    </row>
    <row r="6394" ht="14.25">
      <c r="B6394" s="14" t="s">
        <v>38543</v>
      </c>
      <c r="C6394" s="4" t="s">
        <v>38547</v>
      </c>
      <c r="D6394" s="4" t="s">
        <v>38548</v>
      </c>
      <c r="E6394" s="4" t="s">
        <v>38549</v>
      </c>
      <c r="F6394" s="4" t="s">
        <v>32666</v>
      </c>
      <c r="G6394" s="4" t="s">
        <v>38550</v>
      </c>
    </row>
    <row r="6395" ht="14.25">
      <c r="B6395" s="14" t="s">
        <v>38543</v>
      </c>
      <c r="C6395" s="4" t="s">
        <v>38544</v>
      </c>
      <c r="D6395" s="4" t="s">
        <v>38551</v>
      </c>
      <c r="E6395" s="4" t="s">
        <v>38546</v>
      </c>
      <c r="F6395" s="4" t="s">
        <v>33644</v>
      </c>
      <c r="G6395" s="4" t="s">
        <v>38552</v>
      </c>
    </row>
    <row r="6396" ht="14.25">
      <c r="B6396" s="14" t="s">
        <v>38553</v>
      </c>
      <c r="C6396" s="4" t="s">
        <v>38554</v>
      </c>
      <c r="D6396" s="4" t="s">
        <v>38555</v>
      </c>
      <c r="E6396" s="4" t="s">
        <v>38556</v>
      </c>
      <c r="F6396" s="4" t="s">
        <v>1596</v>
      </c>
      <c r="G6396" s="4" t="s">
        <v>38557</v>
      </c>
    </row>
    <row r="6397" ht="14.25">
      <c r="B6397" s="14" t="s">
        <v>38558</v>
      </c>
      <c r="C6397" s="4" t="s">
        <v>38559</v>
      </c>
      <c r="D6397" s="4" t="s">
        <v>38560</v>
      </c>
      <c r="E6397" s="4" t="s">
        <v>38561</v>
      </c>
      <c r="F6397" s="4" t="s">
        <v>32077</v>
      </c>
      <c r="G6397" s="4" t="s">
        <v>38562</v>
      </c>
    </row>
    <row r="6398" ht="14.25">
      <c r="B6398" s="14" t="s">
        <v>38558</v>
      </c>
      <c r="C6398" s="4" t="s">
        <v>38559</v>
      </c>
      <c r="D6398" s="4" t="s">
        <v>38563</v>
      </c>
      <c r="E6398" s="4" t="s">
        <v>38561</v>
      </c>
      <c r="F6398" s="4" t="s">
        <v>1027</v>
      </c>
      <c r="G6398" s="4" t="s">
        <v>38564</v>
      </c>
    </row>
    <row r="6399" ht="14.25">
      <c r="B6399" s="14" t="s">
        <v>38565</v>
      </c>
      <c r="C6399" s="4" t="s">
        <v>38566</v>
      </c>
      <c r="D6399" s="4" t="s">
        <v>38567</v>
      </c>
      <c r="E6399" s="4" t="s">
        <v>38568</v>
      </c>
      <c r="F6399" s="4" t="s">
        <v>215</v>
      </c>
      <c r="G6399" s="4" t="s">
        <v>34506</v>
      </c>
    </row>
    <row r="6400" ht="14.25">
      <c r="B6400" s="14" t="s">
        <v>38565</v>
      </c>
      <c r="C6400" s="4" t="s">
        <v>38566</v>
      </c>
      <c r="D6400" s="4" t="s">
        <v>38569</v>
      </c>
      <c r="E6400" s="4" t="s">
        <v>38568</v>
      </c>
      <c r="F6400" s="4" t="s">
        <v>33836</v>
      </c>
      <c r="G6400" s="4" t="s">
        <v>38570</v>
      </c>
    </row>
    <row r="6401" ht="14.25">
      <c r="B6401" s="14" t="s">
        <v>38565</v>
      </c>
      <c r="C6401" s="4" t="s">
        <v>38566</v>
      </c>
      <c r="D6401" s="4" t="s">
        <v>38571</v>
      </c>
      <c r="E6401" s="4" t="s">
        <v>38568</v>
      </c>
      <c r="F6401" s="4" t="s">
        <v>38572</v>
      </c>
      <c r="G6401" s="4" t="s">
        <v>38573</v>
      </c>
    </row>
    <row r="6402" ht="14.25">
      <c r="B6402" s="14" t="s">
        <v>38565</v>
      </c>
      <c r="C6402" s="4" t="s">
        <v>38566</v>
      </c>
      <c r="D6402" s="4" t="s">
        <v>38574</v>
      </c>
      <c r="E6402" s="4" t="s">
        <v>38568</v>
      </c>
      <c r="F6402" s="4" t="s">
        <v>743</v>
      </c>
      <c r="G6402" s="4" t="s">
        <v>38575</v>
      </c>
    </row>
    <row r="6403" ht="14.25">
      <c r="B6403" s="14" t="s">
        <v>38565</v>
      </c>
      <c r="C6403" s="4" t="s">
        <v>38566</v>
      </c>
      <c r="D6403" s="4" t="s">
        <v>38576</v>
      </c>
      <c r="E6403" s="4" t="s">
        <v>38568</v>
      </c>
      <c r="F6403" s="4" t="s">
        <v>32616</v>
      </c>
      <c r="G6403" s="4" t="s">
        <v>38577</v>
      </c>
    </row>
    <row r="6404" ht="14.25">
      <c r="B6404" s="14" t="s">
        <v>38565</v>
      </c>
      <c r="C6404" s="4" t="s">
        <v>38566</v>
      </c>
      <c r="D6404" s="4" t="s">
        <v>38578</v>
      </c>
      <c r="E6404" s="4" t="s">
        <v>38568</v>
      </c>
      <c r="F6404" s="4" t="s">
        <v>1562</v>
      </c>
      <c r="G6404" s="4" t="s">
        <v>38579</v>
      </c>
    </row>
    <row r="6405" ht="14.25">
      <c r="B6405" s="14" t="s">
        <v>38565</v>
      </c>
      <c r="C6405" s="4" t="s">
        <v>38566</v>
      </c>
      <c r="D6405" s="4" t="s">
        <v>38580</v>
      </c>
      <c r="E6405" s="4" t="s">
        <v>38568</v>
      </c>
      <c r="F6405" s="4" t="s">
        <v>15545</v>
      </c>
      <c r="G6405" s="4" t="s">
        <v>38581</v>
      </c>
    </row>
    <row r="6406" ht="14.25">
      <c r="B6406" s="14" t="s">
        <v>38565</v>
      </c>
      <c r="C6406" s="4" t="s">
        <v>38566</v>
      </c>
      <c r="D6406" s="4" t="s">
        <v>38568</v>
      </c>
      <c r="E6406" s="6"/>
      <c r="F6406" s="4" t="s">
        <v>874</v>
      </c>
      <c r="G6406" s="4" t="s">
        <v>38582</v>
      </c>
    </row>
    <row r="6407" ht="14.25">
      <c r="B6407" s="14" t="s">
        <v>38583</v>
      </c>
      <c r="C6407" s="4" t="s">
        <v>38584</v>
      </c>
      <c r="D6407" s="4" t="s">
        <v>38585</v>
      </c>
      <c r="E6407" s="4" t="s">
        <v>38586</v>
      </c>
      <c r="F6407" s="4" t="s">
        <v>5579</v>
      </c>
      <c r="G6407" s="4" t="s">
        <v>38587</v>
      </c>
    </row>
    <row r="6408" ht="14.25">
      <c r="B6408" s="14" t="s">
        <v>38583</v>
      </c>
      <c r="C6408" s="4" t="s">
        <v>38584</v>
      </c>
      <c r="D6408" s="4" t="s">
        <v>38588</v>
      </c>
      <c r="E6408" s="4" t="s">
        <v>38586</v>
      </c>
      <c r="F6408" s="4" t="s">
        <v>32891</v>
      </c>
      <c r="G6408" s="4" t="s">
        <v>38587</v>
      </c>
    </row>
    <row r="6409" ht="14.25">
      <c r="B6409" s="14" t="s">
        <v>38583</v>
      </c>
      <c r="C6409" s="4" t="s">
        <v>38584</v>
      </c>
      <c r="D6409" s="4" t="s">
        <v>38589</v>
      </c>
      <c r="E6409" s="4" t="s">
        <v>38586</v>
      </c>
      <c r="F6409" s="4" t="s">
        <v>330</v>
      </c>
      <c r="G6409" s="4" t="s">
        <v>33365</v>
      </c>
    </row>
    <row r="6410" ht="14.25">
      <c r="B6410" s="14" t="s">
        <v>38583</v>
      </c>
      <c r="C6410" s="4" t="s">
        <v>38584</v>
      </c>
      <c r="D6410" s="4" t="s">
        <v>38590</v>
      </c>
      <c r="E6410" s="4" t="s">
        <v>38586</v>
      </c>
      <c r="F6410" s="4" t="s">
        <v>355</v>
      </c>
      <c r="G6410" s="4" t="s">
        <v>38591</v>
      </c>
    </row>
    <row r="6411" ht="14.25">
      <c r="B6411" s="14" t="s">
        <v>38592</v>
      </c>
      <c r="C6411" s="4" t="s">
        <v>38593</v>
      </c>
      <c r="D6411" s="4" t="s">
        <v>38594</v>
      </c>
      <c r="E6411" s="4" t="s">
        <v>38595</v>
      </c>
      <c r="F6411" s="4" t="s">
        <v>485</v>
      </c>
      <c r="G6411" s="4" t="s">
        <v>38596</v>
      </c>
    </row>
    <row r="6412" ht="14.25">
      <c r="B6412" s="14" t="s">
        <v>38592</v>
      </c>
      <c r="C6412" s="4" t="s">
        <v>38593</v>
      </c>
      <c r="D6412" s="4" t="s">
        <v>38597</v>
      </c>
      <c r="E6412" s="4" t="s">
        <v>38595</v>
      </c>
      <c r="F6412" s="4" t="s">
        <v>37955</v>
      </c>
      <c r="G6412" s="4" t="s">
        <v>38596</v>
      </c>
    </row>
    <row r="6413" ht="14.25">
      <c r="B6413" s="14" t="s">
        <v>38592</v>
      </c>
      <c r="C6413" s="4" t="s">
        <v>38593</v>
      </c>
      <c r="D6413" s="4" t="s">
        <v>38598</v>
      </c>
      <c r="E6413" s="4" t="s">
        <v>38595</v>
      </c>
      <c r="F6413" s="4" t="s">
        <v>255</v>
      </c>
      <c r="G6413" s="4" t="s">
        <v>38599</v>
      </c>
    </row>
    <row r="6414" ht="14.25">
      <c r="B6414" s="14" t="s">
        <v>38600</v>
      </c>
      <c r="C6414" s="4" t="s">
        <v>38601</v>
      </c>
      <c r="D6414" s="4" t="s">
        <v>38602</v>
      </c>
      <c r="E6414" s="6"/>
      <c r="F6414" s="4" t="s">
        <v>2242</v>
      </c>
      <c r="G6414" s="4" t="s">
        <v>38603</v>
      </c>
    </row>
    <row r="6415" ht="14.25">
      <c r="B6415" s="14" t="s">
        <v>38604</v>
      </c>
      <c r="C6415" s="4" t="s">
        <v>38605</v>
      </c>
      <c r="D6415" s="4" t="s">
        <v>38606</v>
      </c>
      <c r="E6415" s="4" t="s">
        <v>38607</v>
      </c>
      <c r="F6415" s="4" t="s">
        <v>5103</v>
      </c>
      <c r="G6415" s="4" t="s">
        <v>38608</v>
      </c>
    </row>
    <row r="6416" ht="14.25">
      <c r="B6416" s="14" t="s">
        <v>38604</v>
      </c>
      <c r="C6416" s="4" t="s">
        <v>38605</v>
      </c>
      <c r="D6416" s="4" t="s">
        <v>38609</v>
      </c>
      <c r="E6416" s="4" t="s">
        <v>38607</v>
      </c>
      <c r="F6416" s="4" t="s">
        <v>2348</v>
      </c>
      <c r="G6416" s="4" t="s">
        <v>38610</v>
      </c>
    </row>
    <row r="6417" ht="14.25">
      <c r="B6417" s="14" t="s">
        <v>38604</v>
      </c>
      <c r="C6417" s="4" t="s">
        <v>38605</v>
      </c>
      <c r="D6417" s="4" t="s">
        <v>38611</v>
      </c>
      <c r="E6417" s="4" t="s">
        <v>38607</v>
      </c>
      <c r="F6417" s="4" t="s">
        <v>1592</v>
      </c>
      <c r="G6417" s="4" t="s">
        <v>34037</v>
      </c>
    </row>
    <row r="6418" ht="14.25">
      <c r="B6418" s="14" t="s">
        <v>38612</v>
      </c>
      <c r="C6418" s="4" t="s">
        <v>38613</v>
      </c>
      <c r="D6418" s="4" t="s">
        <v>38614</v>
      </c>
      <c r="E6418" s="6"/>
      <c r="F6418" s="4" t="s">
        <v>768</v>
      </c>
      <c r="G6418" s="4" t="s">
        <v>37625</v>
      </c>
    </row>
    <row r="6419" ht="14.25">
      <c r="B6419" s="14" t="s">
        <v>38615</v>
      </c>
      <c r="C6419" s="4" t="s">
        <v>38616</v>
      </c>
      <c r="D6419" s="4" t="s">
        <v>38617</v>
      </c>
      <c r="E6419" s="6"/>
      <c r="F6419" s="4" t="s">
        <v>21744</v>
      </c>
      <c r="G6419" s="4" t="s">
        <v>38618</v>
      </c>
    </row>
    <row r="6420" ht="14.25">
      <c r="B6420" s="14" t="s">
        <v>38619</v>
      </c>
      <c r="C6420" s="4" t="s">
        <v>38620</v>
      </c>
      <c r="D6420" s="4" t="s">
        <v>38621</v>
      </c>
      <c r="E6420" s="4" t="s">
        <v>38622</v>
      </c>
      <c r="F6420" s="4" t="s">
        <v>702</v>
      </c>
      <c r="G6420" s="4" t="s">
        <v>38623</v>
      </c>
    </row>
    <row r="6421" ht="14.25">
      <c r="B6421" s="14" t="s">
        <v>38624</v>
      </c>
      <c r="C6421" s="4" t="s">
        <v>38625</v>
      </c>
      <c r="D6421" s="4" t="s">
        <v>38626</v>
      </c>
      <c r="E6421" s="4" t="s">
        <v>38627</v>
      </c>
      <c r="F6421" s="4" t="s">
        <v>604</v>
      </c>
      <c r="G6421" s="4" t="s">
        <v>38628</v>
      </c>
    </row>
    <row r="6422" ht="14.25">
      <c r="B6422" s="14" t="s">
        <v>38629</v>
      </c>
      <c r="C6422" s="4" t="s">
        <v>38630</v>
      </c>
      <c r="D6422" s="4" t="s">
        <v>38631</v>
      </c>
      <c r="E6422" s="4" t="s">
        <v>38632</v>
      </c>
      <c r="F6422" s="4" t="s">
        <v>769</v>
      </c>
      <c r="G6422" s="4" t="s">
        <v>38633</v>
      </c>
    </row>
    <row r="6423" ht="14.25">
      <c r="B6423" s="14" t="s">
        <v>38634</v>
      </c>
      <c r="C6423" s="4" t="s">
        <v>38635</v>
      </c>
      <c r="D6423" s="4" t="s">
        <v>38636</v>
      </c>
      <c r="E6423" s="4" t="s">
        <v>38637</v>
      </c>
      <c r="F6423" s="4" t="s">
        <v>3540</v>
      </c>
      <c r="G6423" s="4" t="s">
        <v>38638</v>
      </c>
    </row>
    <row r="6424" ht="14.25">
      <c r="B6424" s="14" t="s">
        <v>38634</v>
      </c>
      <c r="C6424" s="4" t="s">
        <v>38639</v>
      </c>
      <c r="D6424" s="4" t="s">
        <v>38640</v>
      </c>
      <c r="E6424" s="4" t="s">
        <v>38641</v>
      </c>
      <c r="F6424" s="4" t="s">
        <v>785</v>
      </c>
      <c r="G6424" s="4" t="s">
        <v>38642</v>
      </c>
    </row>
    <row r="6425" ht="14.25">
      <c r="B6425" s="14" t="s">
        <v>38634</v>
      </c>
      <c r="C6425" s="4" t="s">
        <v>38635</v>
      </c>
      <c r="D6425" s="4" t="s">
        <v>38643</v>
      </c>
      <c r="E6425" s="4" t="s">
        <v>38637</v>
      </c>
      <c r="F6425" s="4" t="s">
        <v>95</v>
      </c>
      <c r="G6425" s="4" t="s">
        <v>38644</v>
      </c>
    </row>
    <row r="6426" ht="14.25">
      <c r="B6426" s="14" t="s">
        <v>38645</v>
      </c>
      <c r="C6426" s="4" t="s">
        <v>38646</v>
      </c>
      <c r="D6426" s="4" t="s">
        <v>38647</v>
      </c>
      <c r="E6426" s="6"/>
      <c r="F6426" s="4" t="s">
        <v>1592</v>
      </c>
      <c r="G6426" s="4" t="s">
        <v>35081</v>
      </c>
    </row>
    <row r="6427" ht="14.25">
      <c r="B6427" s="14" t="s">
        <v>38645</v>
      </c>
      <c r="C6427" s="4" t="s">
        <v>38648</v>
      </c>
      <c r="D6427" s="4" t="s">
        <v>38649</v>
      </c>
      <c r="E6427" s="6"/>
      <c r="F6427" s="4" t="s">
        <v>485</v>
      </c>
      <c r="G6427" s="4" t="s">
        <v>38650</v>
      </c>
    </row>
    <row r="6428" ht="14.25">
      <c r="B6428" s="14" t="s">
        <v>38645</v>
      </c>
      <c r="C6428" s="4" t="s">
        <v>38648</v>
      </c>
      <c r="D6428" s="4" t="s">
        <v>38651</v>
      </c>
      <c r="E6428" s="4" t="s">
        <v>38649</v>
      </c>
      <c r="F6428" s="4" t="s">
        <v>32706</v>
      </c>
      <c r="G6428" s="4" t="s">
        <v>34901</v>
      </c>
    </row>
    <row r="6429" ht="14.25">
      <c r="B6429" s="14" t="s">
        <v>38652</v>
      </c>
      <c r="C6429" s="4" t="s">
        <v>38653</v>
      </c>
      <c r="D6429" s="4" t="s">
        <v>38654</v>
      </c>
      <c r="E6429" s="4" t="s">
        <v>38655</v>
      </c>
      <c r="F6429" s="4" t="s">
        <v>8778</v>
      </c>
      <c r="G6429" s="4" t="s">
        <v>38656</v>
      </c>
    </row>
    <row r="6430" ht="14.25">
      <c r="B6430" s="14" t="s">
        <v>38657</v>
      </c>
      <c r="C6430" s="4" t="s">
        <v>38658</v>
      </c>
      <c r="D6430" s="4" t="s">
        <v>38659</v>
      </c>
      <c r="E6430" s="4" t="s">
        <v>38660</v>
      </c>
      <c r="F6430" s="4" t="s">
        <v>18475</v>
      </c>
      <c r="G6430" s="4" t="s">
        <v>32637</v>
      </c>
    </row>
    <row r="6431" ht="14.25">
      <c r="B6431" s="14" t="s">
        <v>38657</v>
      </c>
      <c r="C6431" s="4" t="s">
        <v>38658</v>
      </c>
      <c r="D6431" s="4" t="s">
        <v>38661</v>
      </c>
      <c r="E6431" s="4" t="s">
        <v>38660</v>
      </c>
      <c r="F6431" s="4" t="s">
        <v>33135</v>
      </c>
      <c r="G6431" s="4" t="s">
        <v>38662</v>
      </c>
    </row>
    <row r="6432" ht="14.25">
      <c r="B6432" s="14" t="s">
        <v>38657</v>
      </c>
      <c r="C6432" s="4" t="s">
        <v>38658</v>
      </c>
      <c r="D6432" s="4" t="s">
        <v>38663</v>
      </c>
      <c r="E6432" s="4" t="s">
        <v>38660</v>
      </c>
      <c r="F6432" s="4" t="s">
        <v>330</v>
      </c>
      <c r="G6432" s="4" t="s">
        <v>38664</v>
      </c>
    </row>
    <row r="6433" ht="14.25">
      <c r="B6433" s="14" t="s">
        <v>38657</v>
      </c>
      <c r="C6433" s="4" t="s">
        <v>38658</v>
      </c>
      <c r="D6433" s="4" t="s">
        <v>38665</v>
      </c>
      <c r="E6433" s="4" t="s">
        <v>38660</v>
      </c>
      <c r="F6433" s="4" t="s">
        <v>2652</v>
      </c>
      <c r="G6433" s="4" t="s">
        <v>38666</v>
      </c>
    </row>
    <row r="6434" ht="14.25">
      <c r="B6434" s="14" t="s">
        <v>38667</v>
      </c>
      <c r="C6434" s="4" t="s">
        <v>38668</v>
      </c>
      <c r="D6434" s="4" t="s">
        <v>38669</v>
      </c>
      <c r="E6434" s="4" t="s">
        <v>38670</v>
      </c>
      <c r="F6434" s="4" t="s">
        <v>5728</v>
      </c>
      <c r="G6434" s="4" t="s">
        <v>38671</v>
      </c>
    </row>
    <row r="6435" ht="14.25">
      <c r="B6435" s="14" t="s">
        <v>38667</v>
      </c>
      <c r="C6435" s="4" t="s">
        <v>38668</v>
      </c>
      <c r="D6435" s="4" t="s">
        <v>38672</v>
      </c>
      <c r="E6435" s="4" t="s">
        <v>38670</v>
      </c>
      <c r="F6435" s="4" t="s">
        <v>32622</v>
      </c>
      <c r="G6435" s="4" t="s">
        <v>37386</v>
      </c>
    </row>
    <row r="6436" ht="14.25">
      <c r="B6436" s="14" t="s">
        <v>38667</v>
      </c>
      <c r="C6436" s="4" t="s">
        <v>38673</v>
      </c>
      <c r="D6436" s="4" t="s">
        <v>38674</v>
      </c>
      <c r="E6436" s="6"/>
      <c r="F6436" s="4" t="s">
        <v>6744</v>
      </c>
      <c r="G6436" s="4" t="s">
        <v>38675</v>
      </c>
    </row>
    <row r="6437" ht="14.25">
      <c r="B6437" s="14" t="s">
        <v>38667</v>
      </c>
      <c r="C6437" s="4" t="s">
        <v>38668</v>
      </c>
      <c r="D6437" s="4" t="s">
        <v>38676</v>
      </c>
      <c r="E6437" s="4" t="s">
        <v>38670</v>
      </c>
      <c r="F6437" s="4" t="s">
        <v>1215</v>
      </c>
      <c r="G6437" s="4" t="s">
        <v>34261</v>
      </c>
    </row>
    <row r="6438" ht="14.25">
      <c r="B6438" s="14" t="s">
        <v>38677</v>
      </c>
      <c r="C6438" s="4" t="s">
        <v>38678</v>
      </c>
      <c r="D6438" s="4" t="s">
        <v>38679</v>
      </c>
      <c r="E6438" s="6"/>
      <c r="F6438" s="4" t="s">
        <v>7525</v>
      </c>
      <c r="G6438" s="4" t="s">
        <v>38680</v>
      </c>
    </row>
    <row r="6439" ht="14.25">
      <c r="B6439" s="14" t="s">
        <v>38681</v>
      </c>
      <c r="C6439" s="4" t="s">
        <v>38682</v>
      </c>
      <c r="D6439" s="4" t="s">
        <v>38683</v>
      </c>
      <c r="E6439" s="4" t="s">
        <v>38684</v>
      </c>
      <c r="F6439" s="4" t="s">
        <v>170</v>
      </c>
      <c r="G6439" s="4" t="s">
        <v>38685</v>
      </c>
    </row>
    <row r="6440" ht="14.25">
      <c r="B6440" s="14" t="s">
        <v>38686</v>
      </c>
      <c r="C6440" s="4" t="s">
        <v>38687</v>
      </c>
      <c r="D6440" s="4" t="s">
        <v>38688</v>
      </c>
      <c r="E6440" s="4" t="s">
        <v>38689</v>
      </c>
      <c r="F6440" s="4" t="s">
        <v>33283</v>
      </c>
      <c r="G6440" s="4" t="s">
        <v>38690</v>
      </c>
    </row>
    <row r="6441" ht="14.25">
      <c r="B6441" s="14" t="s">
        <v>38686</v>
      </c>
      <c r="C6441" s="4" t="s">
        <v>38687</v>
      </c>
      <c r="D6441" s="4" t="s">
        <v>38691</v>
      </c>
      <c r="E6441" s="4" t="s">
        <v>38689</v>
      </c>
      <c r="F6441" s="4" t="s">
        <v>32622</v>
      </c>
      <c r="G6441" s="4" t="s">
        <v>37817</v>
      </c>
    </row>
    <row r="6442" ht="14.25">
      <c r="B6442" s="14" t="s">
        <v>38692</v>
      </c>
      <c r="C6442" s="4" t="s">
        <v>38693</v>
      </c>
      <c r="D6442" s="4" t="s">
        <v>38694</v>
      </c>
      <c r="E6442" s="4" t="s">
        <v>38695</v>
      </c>
      <c r="F6442" s="4" t="s">
        <v>32183</v>
      </c>
      <c r="G6442" s="4" t="s">
        <v>34222</v>
      </c>
    </row>
    <row r="6443" ht="14.25">
      <c r="B6443" s="14" t="s">
        <v>38696</v>
      </c>
      <c r="C6443" s="4" t="s">
        <v>38697</v>
      </c>
      <c r="D6443" s="4" t="s">
        <v>38698</v>
      </c>
      <c r="E6443" s="6"/>
      <c r="F6443" s="4" t="s">
        <v>330</v>
      </c>
      <c r="G6443" s="4" t="s">
        <v>38699</v>
      </c>
    </row>
    <row r="6444" ht="14.25">
      <c r="B6444" s="14" t="s">
        <v>38700</v>
      </c>
      <c r="C6444" s="4" t="s">
        <v>38701</v>
      </c>
      <c r="D6444" s="4" t="s">
        <v>38702</v>
      </c>
      <c r="E6444" s="4" t="s">
        <v>38703</v>
      </c>
      <c r="F6444" s="4" t="s">
        <v>110</v>
      </c>
      <c r="G6444" s="4" t="s">
        <v>38704</v>
      </c>
    </row>
    <row r="6445" ht="14.25">
      <c r="B6445" s="14" t="s">
        <v>38700</v>
      </c>
      <c r="C6445" s="4" t="s">
        <v>38701</v>
      </c>
      <c r="D6445" s="4" t="s">
        <v>38705</v>
      </c>
      <c r="E6445" s="4" t="s">
        <v>38703</v>
      </c>
      <c r="F6445" s="4" t="s">
        <v>785</v>
      </c>
      <c r="G6445" s="4" t="s">
        <v>38706</v>
      </c>
    </row>
    <row r="6446" ht="14.25">
      <c r="B6446" s="14" t="s">
        <v>38700</v>
      </c>
      <c r="C6446" s="4" t="s">
        <v>38701</v>
      </c>
      <c r="D6446" s="4" t="s">
        <v>38707</v>
      </c>
      <c r="E6446" s="4" t="s">
        <v>38703</v>
      </c>
      <c r="F6446" s="4" t="s">
        <v>963</v>
      </c>
      <c r="G6446" s="4" t="s">
        <v>38708</v>
      </c>
    </row>
    <row r="6447" ht="14.25">
      <c r="B6447" s="14" t="s">
        <v>38700</v>
      </c>
      <c r="C6447" s="4" t="s">
        <v>38701</v>
      </c>
      <c r="D6447" s="4" t="s">
        <v>38709</v>
      </c>
      <c r="E6447" s="4" t="s">
        <v>38703</v>
      </c>
      <c r="F6447" s="4" t="s">
        <v>4012</v>
      </c>
      <c r="G6447" s="4" t="s">
        <v>38710</v>
      </c>
    </row>
    <row r="6448" ht="14.25">
      <c r="B6448" s="14" t="s">
        <v>38700</v>
      </c>
      <c r="C6448" s="4" t="s">
        <v>38701</v>
      </c>
      <c r="D6448" s="4" t="s">
        <v>38711</v>
      </c>
      <c r="E6448" s="4" t="s">
        <v>38703</v>
      </c>
      <c r="F6448" s="4" t="s">
        <v>36311</v>
      </c>
      <c r="G6448" s="4" t="s">
        <v>38712</v>
      </c>
    </row>
    <row r="6449" ht="14.25">
      <c r="B6449" s="14" t="s">
        <v>38700</v>
      </c>
      <c r="C6449" s="4" t="s">
        <v>38701</v>
      </c>
      <c r="D6449" s="4" t="s">
        <v>38713</v>
      </c>
      <c r="E6449" s="4" t="s">
        <v>38703</v>
      </c>
      <c r="F6449" s="4" t="s">
        <v>817</v>
      </c>
      <c r="G6449" s="4" t="s">
        <v>38714</v>
      </c>
    </row>
    <row r="6450" ht="14.25">
      <c r="B6450" s="14" t="s">
        <v>38700</v>
      </c>
      <c r="C6450" s="4" t="s">
        <v>38701</v>
      </c>
      <c r="D6450" s="4" t="s">
        <v>38715</v>
      </c>
      <c r="E6450" s="4" t="s">
        <v>38703</v>
      </c>
      <c r="F6450" s="4" t="s">
        <v>76</v>
      </c>
      <c r="G6450" s="4" t="s">
        <v>38716</v>
      </c>
    </row>
    <row r="6451" ht="14.25">
      <c r="B6451" s="14" t="s">
        <v>38717</v>
      </c>
      <c r="C6451" s="4" t="s">
        <v>38718</v>
      </c>
      <c r="D6451" s="4" t="s">
        <v>38719</v>
      </c>
      <c r="E6451" s="4" t="s">
        <v>38720</v>
      </c>
      <c r="F6451" s="4" t="s">
        <v>3850</v>
      </c>
      <c r="G6451" s="4" t="s">
        <v>38721</v>
      </c>
    </row>
    <row r="6452" ht="14.25">
      <c r="B6452" s="14" t="s">
        <v>38722</v>
      </c>
      <c r="C6452" s="4" t="s">
        <v>38723</v>
      </c>
      <c r="D6452" s="4" t="s">
        <v>38724</v>
      </c>
      <c r="E6452" s="4" t="s">
        <v>38725</v>
      </c>
      <c r="F6452" s="4" t="s">
        <v>38726</v>
      </c>
      <c r="G6452" s="4" t="s">
        <v>38727</v>
      </c>
    </row>
    <row r="6453" ht="14.25">
      <c r="B6453" s="14" t="s">
        <v>38722</v>
      </c>
      <c r="C6453" s="4" t="s">
        <v>38723</v>
      </c>
      <c r="D6453" s="4" t="s">
        <v>38728</v>
      </c>
      <c r="E6453" s="4" t="s">
        <v>38725</v>
      </c>
      <c r="F6453" s="4" t="s">
        <v>32579</v>
      </c>
      <c r="G6453" s="4" t="s">
        <v>38729</v>
      </c>
    </row>
    <row r="6454" ht="14.25">
      <c r="B6454" s="14" t="s">
        <v>38730</v>
      </c>
      <c r="C6454" s="4" t="s">
        <v>38731</v>
      </c>
      <c r="D6454" s="4" t="s">
        <v>38732</v>
      </c>
      <c r="E6454" s="4" t="s">
        <v>38733</v>
      </c>
      <c r="F6454" s="4" t="s">
        <v>1215</v>
      </c>
      <c r="G6454" s="4" t="s">
        <v>38734</v>
      </c>
    </row>
    <row r="6455" ht="14.25">
      <c r="B6455" s="14" t="s">
        <v>38735</v>
      </c>
      <c r="C6455" s="4" t="s">
        <v>38736</v>
      </c>
      <c r="D6455" s="4" t="s">
        <v>38737</v>
      </c>
      <c r="E6455" s="4" t="s">
        <v>38738</v>
      </c>
      <c r="F6455" s="4" t="s">
        <v>2299</v>
      </c>
      <c r="G6455" s="4" t="s">
        <v>38739</v>
      </c>
    </row>
    <row r="6456" ht="14.25">
      <c r="B6456" s="14" t="s">
        <v>38740</v>
      </c>
      <c r="C6456" s="4" t="s">
        <v>38741</v>
      </c>
      <c r="D6456" s="4" t="s">
        <v>38742</v>
      </c>
      <c r="E6456" s="4" t="s">
        <v>38743</v>
      </c>
      <c r="F6456" s="4" t="s">
        <v>579</v>
      </c>
      <c r="G6456" s="4" t="s">
        <v>38744</v>
      </c>
    </row>
    <row r="6457" ht="14.25">
      <c r="B6457" s="14" t="s">
        <v>38740</v>
      </c>
      <c r="C6457" s="4" t="s">
        <v>38741</v>
      </c>
      <c r="D6457" s="4" t="s">
        <v>38745</v>
      </c>
      <c r="E6457" s="4" t="s">
        <v>38743</v>
      </c>
      <c r="F6457" s="4" t="s">
        <v>4236</v>
      </c>
      <c r="G6457" s="4" t="s">
        <v>33228</v>
      </c>
    </row>
    <row r="6458" ht="14.25">
      <c r="B6458" s="14" t="s">
        <v>38740</v>
      </c>
      <c r="C6458" s="4" t="s">
        <v>38741</v>
      </c>
      <c r="D6458" s="4" t="s">
        <v>38746</v>
      </c>
      <c r="E6458" s="4" t="s">
        <v>38743</v>
      </c>
      <c r="F6458" s="4" t="s">
        <v>1861</v>
      </c>
      <c r="G6458" s="4" t="s">
        <v>32736</v>
      </c>
    </row>
    <row r="6459" ht="14.25">
      <c r="B6459" s="14" t="s">
        <v>38747</v>
      </c>
      <c r="C6459" s="4" t="s">
        <v>38748</v>
      </c>
      <c r="D6459" s="4" t="s">
        <v>38749</v>
      </c>
      <c r="E6459" s="4" t="s">
        <v>38750</v>
      </c>
      <c r="F6459" s="4" t="s">
        <v>1215</v>
      </c>
      <c r="G6459" s="4" t="s">
        <v>36690</v>
      </c>
    </row>
    <row r="6460" ht="14.25">
      <c r="B6460" s="14" t="s">
        <v>38751</v>
      </c>
      <c r="C6460" s="4" t="s">
        <v>38752</v>
      </c>
      <c r="D6460" s="4" t="s">
        <v>38753</v>
      </c>
      <c r="E6460" s="6"/>
      <c r="F6460" s="4" t="s">
        <v>4236</v>
      </c>
      <c r="G6460" s="4" t="s">
        <v>38754</v>
      </c>
    </row>
    <row r="6461" ht="14.25">
      <c r="B6461" s="14" t="s">
        <v>38751</v>
      </c>
      <c r="C6461" s="4" t="s">
        <v>38755</v>
      </c>
      <c r="D6461" s="4" t="s">
        <v>38756</v>
      </c>
      <c r="E6461" s="4" t="s">
        <v>38757</v>
      </c>
      <c r="F6461" s="4" t="s">
        <v>110</v>
      </c>
      <c r="G6461" s="4" t="s">
        <v>36753</v>
      </c>
    </row>
    <row r="6462" ht="14.25">
      <c r="B6462" s="14" t="s">
        <v>38751</v>
      </c>
      <c r="C6462" s="4" t="s">
        <v>38758</v>
      </c>
      <c r="D6462" s="4" t="s">
        <v>38759</v>
      </c>
      <c r="E6462" s="4" t="s">
        <v>38760</v>
      </c>
      <c r="F6462" s="4" t="s">
        <v>32831</v>
      </c>
      <c r="G6462" s="4" t="s">
        <v>38761</v>
      </c>
    </row>
    <row r="6463" ht="14.25">
      <c r="B6463" s="14" t="s">
        <v>38751</v>
      </c>
      <c r="C6463" s="4" t="s">
        <v>38752</v>
      </c>
      <c r="D6463" s="4" t="s">
        <v>38762</v>
      </c>
      <c r="E6463" s="4" t="s">
        <v>38753</v>
      </c>
      <c r="F6463" s="4" t="s">
        <v>32658</v>
      </c>
      <c r="G6463" s="4" t="s">
        <v>38754</v>
      </c>
    </row>
    <row r="6464" ht="14.25">
      <c r="B6464" s="14" t="s">
        <v>38763</v>
      </c>
      <c r="C6464" s="4" t="s">
        <v>38764</v>
      </c>
      <c r="D6464" s="4" t="s">
        <v>38765</v>
      </c>
      <c r="E6464" s="4" t="s">
        <v>38766</v>
      </c>
      <c r="F6464" s="4" t="s">
        <v>7559</v>
      </c>
      <c r="G6464" s="4" t="s">
        <v>38767</v>
      </c>
    </row>
    <row r="6465" ht="14.25">
      <c r="B6465" s="14" t="s">
        <v>38763</v>
      </c>
      <c r="C6465" s="4" t="s">
        <v>38764</v>
      </c>
      <c r="D6465" s="4" t="s">
        <v>38768</v>
      </c>
      <c r="E6465" s="4" t="s">
        <v>38766</v>
      </c>
      <c r="F6465" s="4" t="s">
        <v>38769</v>
      </c>
      <c r="G6465" s="4" t="s">
        <v>38770</v>
      </c>
    </row>
    <row r="6466" ht="14.25">
      <c r="B6466" s="14" t="s">
        <v>38763</v>
      </c>
      <c r="C6466" s="4" t="s">
        <v>38764</v>
      </c>
      <c r="D6466" s="4" t="s">
        <v>38771</v>
      </c>
      <c r="E6466" s="4" t="s">
        <v>38766</v>
      </c>
      <c r="F6466" s="4" t="s">
        <v>32548</v>
      </c>
      <c r="G6466" s="4" t="s">
        <v>38772</v>
      </c>
    </row>
    <row r="6467" ht="14.25">
      <c r="B6467" s="14" t="s">
        <v>38773</v>
      </c>
      <c r="C6467" s="4" t="s">
        <v>38774</v>
      </c>
      <c r="D6467" s="4" t="s">
        <v>38775</v>
      </c>
      <c r="E6467" s="4" t="s">
        <v>38776</v>
      </c>
      <c r="F6467" s="4" t="s">
        <v>355</v>
      </c>
      <c r="G6467" s="4" t="s">
        <v>38777</v>
      </c>
    </row>
    <row r="6468" ht="14.25">
      <c r="B6468" s="14" t="s">
        <v>38773</v>
      </c>
      <c r="C6468" s="4" t="s">
        <v>38774</v>
      </c>
      <c r="D6468" s="4" t="s">
        <v>38778</v>
      </c>
      <c r="E6468" s="4" t="s">
        <v>38776</v>
      </c>
      <c r="F6468" s="4" t="s">
        <v>32622</v>
      </c>
      <c r="G6468" s="4" t="s">
        <v>38779</v>
      </c>
    </row>
    <row r="6469" ht="14.25">
      <c r="B6469" s="14" t="s">
        <v>38773</v>
      </c>
      <c r="C6469" s="4" t="s">
        <v>38774</v>
      </c>
      <c r="D6469" s="4" t="s">
        <v>38780</v>
      </c>
      <c r="E6469" s="4" t="s">
        <v>38776</v>
      </c>
      <c r="F6469" s="4" t="s">
        <v>5111</v>
      </c>
      <c r="G6469" s="4" t="s">
        <v>38777</v>
      </c>
    </row>
    <row r="6470" ht="14.25">
      <c r="B6470" s="14" t="s">
        <v>38773</v>
      </c>
      <c r="C6470" s="4" t="s">
        <v>38774</v>
      </c>
      <c r="D6470" s="4" t="s">
        <v>38781</v>
      </c>
      <c r="E6470" s="4" t="s">
        <v>38776</v>
      </c>
      <c r="F6470" s="4" t="s">
        <v>170</v>
      </c>
      <c r="G6470" s="4" t="s">
        <v>38782</v>
      </c>
    </row>
    <row r="6471" ht="14.25">
      <c r="B6471" s="14" t="s">
        <v>38783</v>
      </c>
      <c r="C6471" s="4" t="s">
        <v>38784</v>
      </c>
      <c r="D6471" s="4" t="s">
        <v>38785</v>
      </c>
      <c r="E6471" s="6"/>
      <c r="F6471" s="4" t="s">
        <v>670</v>
      </c>
      <c r="G6471" s="4" t="s">
        <v>38786</v>
      </c>
    </row>
    <row r="6472" ht="14.25">
      <c r="B6472" s="14" t="s">
        <v>38787</v>
      </c>
      <c r="C6472" s="4" t="s">
        <v>38788</v>
      </c>
      <c r="D6472" s="4" t="s">
        <v>38789</v>
      </c>
      <c r="E6472" s="4" t="s">
        <v>38790</v>
      </c>
      <c r="F6472" s="4" t="s">
        <v>5111</v>
      </c>
      <c r="G6472" s="4" t="s">
        <v>38791</v>
      </c>
    </row>
    <row r="6473" ht="14.25">
      <c r="B6473" s="14" t="s">
        <v>38792</v>
      </c>
      <c r="C6473" s="4" t="s">
        <v>38793</v>
      </c>
      <c r="D6473" s="4" t="s">
        <v>38794</v>
      </c>
      <c r="E6473" s="6"/>
      <c r="F6473" s="4" t="s">
        <v>23753</v>
      </c>
      <c r="G6473" s="4" t="s">
        <v>38795</v>
      </c>
    </row>
    <row r="6474" ht="14.25">
      <c r="B6474" s="14" t="s">
        <v>38796</v>
      </c>
      <c r="C6474" s="4" t="s">
        <v>38797</v>
      </c>
      <c r="D6474" s="4" t="s">
        <v>38798</v>
      </c>
      <c r="E6474" s="4" t="s">
        <v>38799</v>
      </c>
      <c r="F6474" s="4" t="s">
        <v>7525</v>
      </c>
      <c r="G6474" s="4" t="s">
        <v>38800</v>
      </c>
    </row>
    <row r="6475" ht="14.25">
      <c r="B6475" s="14" t="s">
        <v>38801</v>
      </c>
      <c r="C6475" s="4" t="s">
        <v>38802</v>
      </c>
      <c r="D6475" s="4" t="s">
        <v>38803</v>
      </c>
      <c r="E6475" s="4" t="s">
        <v>38804</v>
      </c>
      <c r="F6475" s="4" t="s">
        <v>2119</v>
      </c>
      <c r="G6475" s="4" t="s">
        <v>38805</v>
      </c>
    </row>
    <row r="6476" ht="14.25">
      <c r="B6476" s="14" t="s">
        <v>38801</v>
      </c>
      <c r="C6476" s="4" t="s">
        <v>38802</v>
      </c>
      <c r="D6476" s="4" t="s">
        <v>38806</v>
      </c>
      <c r="E6476" s="4" t="s">
        <v>38804</v>
      </c>
      <c r="F6476" s="4" t="s">
        <v>33644</v>
      </c>
      <c r="G6476" s="4" t="s">
        <v>38807</v>
      </c>
    </row>
    <row r="6477" ht="14.25">
      <c r="B6477" s="14" t="s">
        <v>38808</v>
      </c>
      <c r="C6477" s="4" t="s">
        <v>38809</v>
      </c>
      <c r="D6477" s="4" t="s">
        <v>38810</v>
      </c>
      <c r="E6477" s="4" t="s">
        <v>38811</v>
      </c>
      <c r="F6477" s="4" t="s">
        <v>222</v>
      </c>
      <c r="G6477" s="4" t="s">
        <v>38812</v>
      </c>
    </row>
    <row r="6478" ht="14.25">
      <c r="B6478" s="14" t="s">
        <v>38813</v>
      </c>
      <c r="C6478" s="4" t="s">
        <v>38814</v>
      </c>
      <c r="D6478" s="4" t="s">
        <v>38815</v>
      </c>
      <c r="E6478" s="4" t="s">
        <v>38816</v>
      </c>
      <c r="F6478" s="4" t="s">
        <v>7188</v>
      </c>
      <c r="G6478" s="4" t="s">
        <v>36007</v>
      </c>
    </row>
    <row r="6479" ht="14.25">
      <c r="B6479" s="14" t="s">
        <v>38817</v>
      </c>
      <c r="C6479" s="4" t="s">
        <v>38818</v>
      </c>
      <c r="D6479" s="4" t="s">
        <v>38819</v>
      </c>
      <c r="E6479" s="4" t="s">
        <v>38820</v>
      </c>
      <c r="F6479" s="4" t="s">
        <v>6634</v>
      </c>
      <c r="G6479" s="4" t="s">
        <v>38821</v>
      </c>
    </row>
    <row r="6480" ht="14.25">
      <c r="B6480" s="14" t="s">
        <v>38817</v>
      </c>
      <c r="C6480" s="4" t="s">
        <v>38818</v>
      </c>
      <c r="D6480" s="4" t="s">
        <v>38822</v>
      </c>
      <c r="E6480" s="4" t="s">
        <v>38820</v>
      </c>
      <c r="F6480" s="4" t="s">
        <v>3781</v>
      </c>
      <c r="G6480" s="4" t="s">
        <v>38823</v>
      </c>
    </row>
    <row r="6481" ht="14.25">
      <c r="B6481" s="14" t="s">
        <v>38824</v>
      </c>
      <c r="C6481" s="4" t="s">
        <v>38825</v>
      </c>
      <c r="D6481" s="4" t="s">
        <v>38826</v>
      </c>
      <c r="E6481" s="6"/>
      <c r="F6481" s="4" t="s">
        <v>33135</v>
      </c>
      <c r="G6481" s="4" t="s">
        <v>38827</v>
      </c>
    </row>
    <row r="6482" ht="14.25">
      <c r="B6482" s="14" t="s">
        <v>38828</v>
      </c>
      <c r="C6482" s="4" t="s">
        <v>38829</v>
      </c>
      <c r="D6482" s="4" t="s">
        <v>38830</v>
      </c>
      <c r="E6482" s="4" t="s">
        <v>38831</v>
      </c>
      <c r="F6482" s="4" t="s">
        <v>2419</v>
      </c>
      <c r="G6482" s="4" t="s">
        <v>34625</v>
      </c>
    </row>
    <row r="6483" ht="14.25">
      <c r="B6483" s="14" t="s">
        <v>38828</v>
      </c>
      <c r="C6483" s="4" t="s">
        <v>38829</v>
      </c>
      <c r="D6483" s="4" t="s">
        <v>38832</v>
      </c>
      <c r="E6483" s="4" t="s">
        <v>38831</v>
      </c>
      <c r="F6483" s="4" t="s">
        <v>2462</v>
      </c>
      <c r="G6483" s="4" t="s">
        <v>33841</v>
      </c>
    </row>
    <row r="6484" ht="14.25">
      <c r="B6484" s="14" t="s">
        <v>38828</v>
      </c>
      <c r="C6484" s="4" t="s">
        <v>38829</v>
      </c>
      <c r="D6484" s="4" t="s">
        <v>38833</v>
      </c>
      <c r="E6484" s="4" t="s">
        <v>38831</v>
      </c>
      <c r="F6484" s="4" t="s">
        <v>38834</v>
      </c>
      <c r="G6484" s="4" t="s">
        <v>34942</v>
      </c>
    </row>
    <row r="6488" ht="14.25">
      <c r="B6488" s="13" t="s">
        <v>32536</v>
      </c>
      <c r="C6488" s="12" t="s">
        <v>9136</v>
      </c>
      <c r="D6488" s="12" t="s">
        <v>9134</v>
      </c>
      <c r="E6488" s="12" t="s">
        <v>32537</v>
      </c>
      <c r="F6488" s="12" t="s">
        <v>32538</v>
      </c>
      <c r="G6488" s="12" t="s">
        <v>32539</v>
      </c>
    </row>
    <row r="6489" ht="14.25">
      <c r="B6489" s="14" t="s">
        <v>32793</v>
      </c>
      <c r="C6489" s="4" t="s">
        <v>32794</v>
      </c>
      <c r="D6489" s="4" t="s">
        <v>32822</v>
      </c>
      <c r="E6489" s="4" t="s">
        <v>32796</v>
      </c>
      <c r="F6489" s="4" t="s">
        <v>670</v>
      </c>
      <c r="G6489" s="4" t="s">
        <v>32797</v>
      </c>
    </row>
    <row r="6490" ht="14.25">
      <c r="B6490" s="14" t="s">
        <v>32874</v>
      </c>
      <c r="C6490" s="4" t="s">
        <v>32875</v>
      </c>
      <c r="D6490" s="4" t="s">
        <v>32879</v>
      </c>
      <c r="E6490" s="4" t="s">
        <v>32877</v>
      </c>
      <c r="F6490" s="4" t="s">
        <v>32880</v>
      </c>
      <c r="G6490" s="4" t="s">
        <v>32881</v>
      </c>
    </row>
    <row r="6491" ht="14.25">
      <c r="B6491" s="14" t="s">
        <v>32882</v>
      </c>
      <c r="C6491" s="4" t="s">
        <v>32883</v>
      </c>
      <c r="D6491" s="4" t="s">
        <v>32884</v>
      </c>
      <c r="E6491" s="4" t="s">
        <v>32885</v>
      </c>
      <c r="F6491" s="4" t="s">
        <v>670</v>
      </c>
      <c r="G6491" s="4" t="s">
        <v>32886</v>
      </c>
    </row>
    <row r="6492" ht="14.25">
      <c r="B6492" s="14" t="s">
        <v>32887</v>
      </c>
      <c r="C6492" s="4" t="s">
        <v>32888</v>
      </c>
      <c r="D6492" s="4" t="s">
        <v>32889</v>
      </c>
      <c r="E6492" s="4" t="s">
        <v>32890</v>
      </c>
      <c r="F6492" s="4" t="s">
        <v>32891</v>
      </c>
      <c r="G6492" s="4" t="s">
        <v>32892</v>
      </c>
    </row>
    <row r="6493" ht="14.25">
      <c r="B6493" s="14" t="s">
        <v>32887</v>
      </c>
      <c r="C6493" s="4" t="s">
        <v>32893</v>
      </c>
      <c r="D6493" s="4" t="s">
        <v>32894</v>
      </c>
      <c r="E6493" s="4" t="s">
        <v>32895</v>
      </c>
      <c r="F6493" s="4" t="s">
        <v>679</v>
      </c>
      <c r="G6493" s="4" t="s">
        <v>32896</v>
      </c>
    </row>
    <row r="6494" ht="14.25">
      <c r="B6494" s="14" t="s">
        <v>32887</v>
      </c>
      <c r="C6494" s="4" t="s">
        <v>32888</v>
      </c>
      <c r="D6494" s="4" t="s">
        <v>32897</v>
      </c>
      <c r="E6494" s="4" t="s">
        <v>32890</v>
      </c>
      <c r="F6494" s="4" t="s">
        <v>18475</v>
      </c>
      <c r="G6494" s="4" t="s">
        <v>32898</v>
      </c>
    </row>
    <row r="6495" ht="14.25">
      <c r="B6495" s="14" t="s">
        <v>32899</v>
      </c>
      <c r="C6495" s="4" t="s">
        <v>32900</v>
      </c>
      <c r="D6495" s="4" t="s">
        <v>32901</v>
      </c>
      <c r="E6495" s="6"/>
      <c r="F6495" s="4" t="s">
        <v>222</v>
      </c>
      <c r="G6495" s="4" t="s">
        <v>32902</v>
      </c>
    </row>
    <row r="6496" ht="14.25">
      <c r="B6496" s="14" t="s">
        <v>32903</v>
      </c>
      <c r="C6496" s="4" t="s">
        <v>32904</v>
      </c>
      <c r="D6496" s="4" t="s">
        <v>32905</v>
      </c>
      <c r="E6496" s="4" t="s">
        <v>32906</v>
      </c>
      <c r="F6496" s="4" t="s">
        <v>330</v>
      </c>
      <c r="G6496" s="4" t="s">
        <v>32907</v>
      </c>
    </row>
    <row r="6497" ht="14.25">
      <c r="B6497" s="14" t="s">
        <v>32903</v>
      </c>
      <c r="C6497" s="4" t="s">
        <v>32904</v>
      </c>
      <c r="D6497" s="4" t="s">
        <v>32908</v>
      </c>
      <c r="E6497" s="4" t="s">
        <v>32906</v>
      </c>
      <c r="F6497" s="4" t="s">
        <v>20</v>
      </c>
      <c r="G6497" s="4" t="s">
        <v>32909</v>
      </c>
    </row>
    <row r="6498" ht="14.25">
      <c r="B6498" s="14" t="s">
        <v>32903</v>
      </c>
      <c r="C6498" s="4" t="s">
        <v>32904</v>
      </c>
      <c r="D6498" s="4" t="s">
        <v>32910</v>
      </c>
      <c r="E6498" s="4" t="s">
        <v>32906</v>
      </c>
      <c r="F6498" s="4" t="s">
        <v>26223</v>
      </c>
      <c r="G6498" s="4" t="s">
        <v>32911</v>
      </c>
    </row>
    <row r="6499" ht="14.25">
      <c r="B6499" s="14" t="s">
        <v>32903</v>
      </c>
      <c r="C6499" s="4" t="s">
        <v>32904</v>
      </c>
      <c r="D6499" s="4" t="s">
        <v>32912</v>
      </c>
      <c r="E6499" s="4" t="s">
        <v>32906</v>
      </c>
      <c r="F6499" s="4" t="s">
        <v>32579</v>
      </c>
      <c r="G6499" s="4" t="s">
        <v>32913</v>
      </c>
    </row>
    <row r="6500" ht="14.25">
      <c r="B6500" s="14" t="s">
        <v>32903</v>
      </c>
      <c r="C6500" s="4" t="s">
        <v>32904</v>
      </c>
      <c r="D6500" s="4" t="s">
        <v>32914</v>
      </c>
      <c r="E6500" s="4" t="s">
        <v>32906</v>
      </c>
      <c r="F6500" s="4" t="s">
        <v>2419</v>
      </c>
      <c r="G6500" s="4" t="s">
        <v>32594</v>
      </c>
    </row>
    <row r="6501" ht="14.25">
      <c r="B6501" s="14" t="s">
        <v>32903</v>
      </c>
      <c r="C6501" s="4" t="s">
        <v>32904</v>
      </c>
      <c r="D6501" s="4" t="s">
        <v>32915</v>
      </c>
      <c r="E6501" s="4" t="s">
        <v>32906</v>
      </c>
      <c r="F6501" s="4" t="s">
        <v>6923</v>
      </c>
      <c r="G6501" s="4" t="s">
        <v>32916</v>
      </c>
    </row>
    <row r="6502" ht="14.25">
      <c r="B6502" s="14" t="s">
        <v>32917</v>
      </c>
      <c r="C6502" s="4" t="s">
        <v>32918</v>
      </c>
      <c r="D6502" s="4" t="s">
        <v>32919</v>
      </c>
      <c r="E6502" s="6"/>
      <c r="F6502" s="4" t="s">
        <v>355</v>
      </c>
      <c r="G6502" s="4" t="s">
        <v>32920</v>
      </c>
    </row>
    <row r="6503" ht="14.25">
      <c r="B6503" s="14" t="s">
        <v>32921</v>
      </c>
      <c r="C6503" s="4" t="s">
        <v>32922</v>
      </c>
      <c r="D6503" s="4" t="s">
        <v>32923</v>
      </c>
      <c r="E6503" s="4" t="s">
        <v>32924</v>
      </c>
      <c r="F6503" s="4" t="s">
        <v>279</v>
      </c>
      <c r="G6503" s="4" t="s">
        <v>32925</v>
      </c>
    </row>
    <row r="6504" ht="14.25">
      <c r="B6504" s="14" t="s">
        <v>32926</v>
      </c>
      <c r="C6504" s="4" t="s">
        <v>32927</v>
      </c>
      <c r="D6504" s="4" t="s">
        <v>32928</v>
      </c>
      <c r="E6504" s="4" t="s">
        <v>32929</v>
      </c>
      <c r="F6504" s="4" t="s">
        <v>32930</v>
      </c>
      <c r="G6504" s="4" t="s">
        <v>32931</v>
      </c>
    </row>
    <row r="6505" ht="14.25">
      <c r="B6505" s="14" t="s">
        <v>32926</v>
      </c>
      <c r="C6505" s="4" t="s">
        <v>32927</v>
      </c>
      <c r="D6505" s="4" t="s">
        <v>32929</v>
      </c>
      <c r="E6505" s="6"/>
      <c r="F6505" s="4" t="s">
        <v>579</v>
      </c>
      <c r="G6505" s="4" t="s">
        <v>32932</v>
      </c>
    </row>
    <row r="6506" ht="14.25">
      <c r="B6506" s="14" t="s">
        <v>32926</v>
      </c>
      <c r="C6506" s="4" t="s">
        <v>32927</v>
      </c>
      <c r="D6506" s="4" t="s">
        <v>32929</v>
      </c>
      <c r="E6506" s="6"/>
      <c r="F6506" s="4" t="s">
        <v>3019</v>
      </c>
      <c r="G6506" s="4" t="s">
        <v>32933</v>
      </c>
    </row>
    <row r="6507" ht="14.25">
      <c r="B6507" s="14" t="s">
        <v>32934</v>
      </c>
      <c r="C6507" s="4" t="s">
        <v>32935</v>
      </c>
      <c r="D6507" s="4" t="s">
        <v>32936</v>
      </c>
      <c r="E6507" s="4" t="s">
        <v>32937</v>
      </c>
      <c r="F6507" s="4" t="s">
        <v>32938</v>
      </c>
      <c r="G6507" s="4" t="s">
        <v>32939</v>
      </c>
    </row>
    <row r="6508" ht="14.25">
      <c r="B6508" s="14" t="s">
        <v>32934</v>
      </c>
      <c r="C6508" s="4" t="s">
        <v>32935</v>
      </c>
      <c r="D6508" s="4" t="s">
        <v>32940</v>
      </c>
      <c r="E6508" s="4" t="s">
        <v>32937</v>
      </c>
      <c r="F6508" s="4" t="s">
        <v>2436</v>
      </c>
      <c r="G6508" s="4" t="s">
        <v>32941</v>
      </c>
    </row>
    <row r="6509" ht="14.25">
      <c r="B6509" s="14" t="s">
        <v>32942</v>
      </c>
      <c r="C6509" s="4" t="s">
        <v>32943</v>
      </c>
      <c r="D6509" s="4" t="s">
        <v>32944</v>
      </c>
      <c r="E6509" s="4" t="s">
        <v>32945</v>
      </c>
      <c r="F6509" s="4" t="s">
        <v>768</v>
      </c>
      <c r="G6509" s="4" t="s">
        <v>32946</v>
      </c>
    </row>
    <row r="6510" ht="14.25">
      <c r="B6510" s="14" t="s">
        <v>32942</v>
      </c>
      <c r="C6510" s="4" t="s">
        <v>32943</v>
      </c>
      <c r="D6510" s="4" t="s">
        <v>32945</v>
      </c>
      <c r="E6510" s="6"/>
      <c r="F6510" s="4" t="s">
        <v>710</v>
      </c>
      <c r="G6510" s="4" t="s">
        <v>32950</v>
      </c>
    </row>
    <row r="6511" ht="14.25">
      <c r="B6511" s="14" t="s">
        <v>32942</v>
      </c>
      <c r="C6511" s="4" t="s">
        <v>32951</v>
      </c>
      <c r="D6511" s="4" t="s">
        <v>32952</v>
      </c>
      <c r="E6511" s="4" t="s">
        <v>32953</v>
      </c>
      <c r="F6511" s="4" t="s">
        <v>6243</v>
      </c>
      <c r="G6511" s="4" t="s">
        <v>32954</v>
      </c>
    </row>
    <row r="6512" ht="14.25">
      <c r="B6512" s="14" t="s">
        <v>32942</v>
      </c>
      <c r="C6512" s="4" t="s">
        <v>32947</v>
      </c>
      <c r="D6512" s="4" t="s">
        <v>32955</v>
      </c>
      <c r="E6512" s="4" t="s">
        <v>32948</v>
      </c>
      <c r="F6512" s="4" t="s">
        <v>5579</v>
      </c>
      <c r="G6512" s="4" t="s">
        <v>32956</v>
      </c>
    </row>
    <row r="6513" ht="14.25">
      <c r="B6513" s="14" t="s">
        <v>32959</v>
      </c>
      <c r="C6513" s="4" t="s">
        <v>32960</v>
      </c>
      <c r="D6513" s="4" t="s">
        <v>32961</v>
      </c>
      <c r="E6513" s="4" t="s">
        <v>32962</v>
      </c>
      <c r="F6513" s="4" t="s">
        <v>743</v>
      </c>
      <c r="G6513" s="4" t="s">
        <v>32963</v>
      </c>
    </row>
    <row r="6514" ht="14.25">
      <c r="B6514" s="14" t="s">
        <v>32959</v>
      </c>
      <c r="C6514" s="4" t="s">
        <v>32964</v>
      </c>
      <c r="D6514" s="4" t="s">
        <v>32965</v>
      </c>
      <c r="E6514" s="4" t="s">
        <v>32966</v>
      </c>
      <c r="F6514" s="4" t="s">
        <v>2299</v>
      </c>
      <c r="G6514" s="4" t="s">
        <v>32967</v>
      </c>
    </row>
    <row r="6515" ht="14.25">
      <c r="B6515" s="14" t="s">
        <v>32959</v>
      </c>
      <c r="C6515" s="4" t="s">
        <v>32964</v>
      </c>
      <c r="D6515" s="4" t="s">
        <v>32968</v>
      </c>
      <c r="E6515" s="4" t="s">
        <v>32966</v>
      </c>
      <c r="F6515" s="4" t="s">
        <v>874</v>
      </c>
      <c r="G6515" s="4" t="s">
        <v>32969</v>
      </c>
    </row>
    <row r="6516" ht="14.25">
      <c r="B6516" s="14" t="s">
        <v>32959</v>
      </c>
      <c r="C6516" s="4" t="s">
        <v>32960</v>
      </c>
      <c r="D6516" s="4" t="s">
        <v>32970</v>
      </c>
      <c r="E6516" s="4" t="s">
        <v>32962</v>
      </c>
      <c r="F6516" s="4" t="s">
        <v>32971</v>
      </c>
      <c r="G6516" s="4" t="s">
        <v>32972</v>
      </c>
    </row>
    <row r="6517" ht="14.25">
      <c r="B6517" s="14" t="s">
        <v>32973</v>
      </c>
      <c r="C6517" s="4" t="s">
        <v>32974</v>
      </c>
      <c r="D6517" s="4" t="s">
        <v>32975</v>
      </c>
      <c r="E6517" s="4" t="s">
        <v>32976</v>
      </c>
      <c r="F6517" s="4" t="s">
        <v>76</v>
      </c>
      <c r="G6517" s="4" t="s">
        <v>32977</v>
      </c>
    </row>
    <row r="6518" ht="14.25">
      <c r="B6518" s="14" t="s">
        <v>32973</v>
      </c>
      <c r="C6518" s="4" t="s">
        <v>32978</v>
      </c>
      <c r="D6518" s="4" t="s">
        <v>32979</v>
      </c>
      <c r="E6518" s="4" t="s">
        <v>32980</v>
      </c>
      <c r="F6518" s="4" t="s">
        <v>2059</v>
      </c>
      <c r="G6518" s="4" t="s">
        <v>32981</v>
      </c>
    </row>
    <row r="6519" ht="14.25">
      <c r="B6519" s="14" t="s">
        <v>32982</v>
      </c>
      <c r="C6519" s="4" t="s">
        <v>32983</v>
      </c>
      <c r="D6519" s="4" t="s">
        <v>32984</v>
      </c>
      <c r="E6519" s="4" t="s">
        <v>32985</v>
      </c>
      <c r="F6519" s="4" t="s">
        <v>874</v>
      </c>
      <c r="G6519" s="4" t="s">
        <v>32986</v>
      </c>
    </row>
    <row r="6520" ht="14.25">
      <c r="B6520" s="14" t="s">
        <v>32987</v>
      </c>
      <c r="C6520" s="4" t="s">
        <v>32988</v>
      </c>
      <c r="D6520" s="4" t="s">
        <v>32989</v>
      </c>
      <c r="E6520" s="4" t="s">
        <v>32990</v>
      </c>
      <c r="F6520" s="4" t="s">
        <v>6788</v>
      </c>
      <c r="G6520" s="4" t="s">
        <v>32991</v>
      </c>
    </row>
    <row r="6521" ht="14.25">
      <c r="B6521" s="14" t="s">
        <v>32987</v>
      </c>
      <c r="C6521" s="4" t="s">
        <v>32988</v>
      </c>
      <c r="D6521" s="4" t="s">
        <v>32992</v>
      </c>
      <c r="E6521" s="4" t="s">
        <v>32990</v>
      </c>
      <c r="F6521" s="4" t="s">
        <v>26247</v>
      </c>
      <c r="G6521" s="4" t="s">
        <v>32993</v>
      </c>
    </row>
    <row r="6522" ht="14.25">
      <c r="B6522" s="14" t="s">
        <v>32987</v>
      </c>
      <c r="C6522" s="4" t="s">
        <v>32988</v>
      </c>
      <c r="D6522" s="4" t="s">
        <v>32994</v>
      </c>
      <c r="E6522" s="4" t="s">
        <v>32990</v>
      </c>
      <c r="F6522" s="4" t="s">
        <v>768</v>
      </c>
      <c r="G6522" s="4" t="s">
        <v>32995</v>
      </c>
    </row>
    <row r="6523" ht="14.25">
      <c r="B6523" s="14" t="s">
        <v>32987</v>
      </c>
      <c r="C6523" s="4" t="s">
        <v>32988</v>
      </c>
      <c r="D6523" s="4" t="s">
        <v>32996</v>
      </c>
      <c r="E6523" s="4" t="s">
        <v>32990</v>
      </c>
      <c r="F6523" s="4" t="s">
        <v>32997</v>
      </c>
      <c r="G6523" s="4" t="s">
        <v>32998</v>
      </c>
    </row>
    <row r="6524" ht="14.25">
      <c r="B6524" s="14" t="s">
        <v>32987</v>
      </c>
      <c r="C6524" s="4" t="s">
        <v>32988</v>
      </c>
      <c r="D6524" s="4" t="s">
        <v>32999</v>
      </c>
      <c r="E6524" s="4" t="s">
        <v>32990</v>
      </c>
      <c r="F6524" s="4" t="s">
        <v>3165</v>
      </c>
      <c r="G6524" s="4" t="s">
        <v>32594</v>
      </c>
    </row>
    <row r="6525" ht="14.25">
      <c r="B6525" s="14" t="s">
        <v>33000</v>
      </c>
      <c r="C6525" s="4" t="s">
        <v>33001</v>
      </c>
      <c r="D6525" s="4" t="s">
        <v>33002</v>
      </c>
      <c r="E6525" s="4" t="s">
        <v>33003</v>
      </c>
      <c r="F6525" s="4" t="s">
        <v>330</v>
      </c>
      <c r="G6525" s="4" t="s">
        <v>33004</v>
      </c>
    </row>
    <row r="6526" ht="14.25">
      <c r="B6526" s="14" t="s">
        <v>33000</v>
      </c>
      <c r="C6526" s="4" t="s">
        <v>33001</v>
      </c>
      <c r="D6526" s="4" t="s">
        <v>33005</v>
      </c>
      <c r="E6526" s="4" t="s">
        <v>33003</v>
      </c>
      <c r="F6526" s="4" t="s">
        <v>24006</v>
      </c>
      <c r="G6526" s="4" t="s">
        <v>33006</v>
      </c>
    </row>
    <row r="6527" ht="14.25">
      <c r="B6527" s="14" t="s">
        <v>33000</v>
      </c>
      <c r="C6527" s="4" t="s">
        <v>33007</v>
      </c>
      <c r="D6527" s="4" t="s">
        <v>33008</v>
      </c>
      <c r="E6527" s="4" t="s">
        <v>33009</v>
      </c>
      <c r="F6527" s="4" t="s">
        <v>33010</v>
      </c>
      <c r="G6527" s="4" t="s">
        <v>33011</v>
      </c>
    </row>
    <row r="6528" ht="14.25">
      <c r="B6528" s="14" t="s">
        <v>33012</v>
      </c>
      <c r="C6528" s="4" t="s">
        <v>33013</v>
      </c>
      <c r="D6528" s="4" t="s">
        <v>33014</v>
      </c>
      <c r="E6528" s="4" t="s">
        <v>33015</v>
      </c>
      <c r="F6528" s="4" t="s">
        <v>170</v>
      </c>
      <c r="G6528" s="4" t="s">
        <v>33016</v>
      </c>
    </row>
    <row r="6529" ht="14.25">
      <c r="B6529" s="14" t="s">
        <v>33012</v>
      </c>
      <c r="C6529" s="4" t="s">
        <v>33013</v>
      </c>
      <c r="D6529" s="4" t="s">
        <v>33017</v>
      </c>
      <c r="E6529" s="4" t="s">
        <v>33015</v>
      </c>
      <c r="F6529" s="4" t="s">
        <v>485</v>
      </c>
      <c r="G6529" s="4" t="s">
        <v>33018</v>
      </c>
    </row>
    <row r="6530" ht="14.25">
      <c r="B6530" s="14" t="s">
        <v>33019</v>
      </c>
      <c r="C6530" s="4" t="s">
        <v>33020</v>
      </c>
      <c r="D6530" s="4" t="s">
        <v>33021</v>
      </c>
      <c r="E6530" s="4" t="s">
        <v>33022</v>
      </c>
      <c r="F6530" s="4" t="s">
        <v>1619</v>
      </c>
      <c r="G6530" s="4" t="s">
        <v>33023</v>
      </c>
    </row>
    <row r="6531" ht="14.25">
      <c r="B6531" s="14" t="s">
        <v>33019</v>
      </c>
      <c r="C6531" s="4" t="s">
        <v>33020</v>
      </c>
      <c r="D6531" s="4" t="s">
        <v>33024</v>
      </c>
      <c r="E6531" s="4" t="s">
        <v>33022</v>
      </c>
      <c r="F6531" s="4" t="s">
        <v>222</v>
      </c>
      <c r="G6531" s="4" t="s">
        <v>33025</v>
      </c>
    </row>
    <row r="6532" ht="14.25">
      <c r="B6532" s="14" t="s">
        <v>33019</v>
      </c>
      <c r="C6532" s="4" t="s">
        <v>33020</v>
      </c>
      <c r="D6532" s="4" t="s">
        <v>33026</v>
      </c>
      <c r="E6532" s="4" t="s">
        <v>33022</v>
      </c>
      <c r="F6532" s="4" t="s">
        <v>1861</v>
      </c>
      <c r="G6532" s="4" t="s">
        <v>33027</v>
      </c>
    </row>
    <row r="6533" ht="14.25">
      <c r="B6533" s="14" t="s">
        <v>33019</v>
      </c>
      <c r="C6533" s="4" t="s">
        <v>33020</v>
      </c>
      <c r="D6533" s="4" t="s">
        <v>33028</v>
      </c>
      <c r="E6533" s="4" t="s">
        <v>33022</v>
      </c>
      <c r="F6533" s="4" t="s">
        <v>3752</v>
      </c>
      <c r="G6533" s="4" t="s">
        <v>33029</v>
      </c>
    </row>
    <row r="6534" ht="14.25">
      <c r="B6534" s="14" t="s">
        <v>33019</v>
      </c>
      <c r="C6534" s="4" t="s">
        <v>33020</v>
      </c>
      <c r="D6534" s="4" t="s">
        <v>33030</v>
      </c>
      <c r="E6534" s="4" t="s">
        <v>33022</v>
      </c>
      <c r="F6534" s="4" t="s">
        <v>33031</v>
      </c>
      <c r="G6534" s="4" t="s">
        <v>33032</v>
      </c>
    </row>
    <row r="6535" ht="14.25">
      <c r="B6535" s="14" t="s">
        <v>33019</v>
      </c>
      <c r="C6535" s="4" t="s">
        <v>33020</v>
      </c>
      <c r="D6535" s="4" t="s">
        <v>33033</v>
      </c>
      <c r="E6535" s="4" t="s">
        <v>33022</v>
      </c>
      <c r="F6535" s="4" t="s">
        <v>817</v>
      </c>
      <c r="G6535" s="4" t="s">
        <v>33034</v>
      </c>
    </row>
    <row r="6536" ht="14.25">
      <c r="B6536" s="14" t="s">
        <v>33035</v>
      </c>
      <c r="C6536" s="4" t="s">
        <v>33036</v>
      </c>
      <c r="D6536" s="4" t="s">
        <v>33037</v>
      </c>
      <c r="E6536" s="4" t="s">
        <v>33038</v>
      </c>
      <c r="F6536" s="4" t="s">
        <v>4245</v>
      </c>
      <c r="G6536" s="4" t="s">
        <v>33039</v>
      </c>
    </row>
    <row r="6537" ht="14.25">
      <c r="B6537" s="14" t="s">
        <v>33035</v>
      </c>
      <c r="C6537" s="4" t="s">
        <v>33040</v>
      </c>
      <c r="D6537" s="4" t="s">
        <v>33041</v>
      </c>
      <c r="E6537" s="4" t="s">
        <v>33042</v>
      </c>
      <c r="F6537" s="4" t="s">
        <v>330</v>
      </c>
      <c r="G6537" s="4" t="s">
        <v>33043</v>
      </c>
    </row>
    <row r="6538" ht="14.25">
      <c r="B6538" s="14" t="s">
        <v>33035</v>
      </c>
      <c r="C6538" s="4" t="s">
        <v>33040</v>
      </c>
      <c r="D6538" s="4" t="s">
        <v>33044</v>
      </c>
      <c r="E6538" s="4" t="s">
        <v>33042</v>
      </c>
      <c r="F6538" s="4" t="s">
        <v>215</v>
      </c>
      <c r="G6538" s="4" t="s">
        <v>33045</v>
      </c>
    </row>
    <row r="6539" ht="14.25">
      <c r="B6539" s="14" t="s">
        <v>33035</v>
      </c>
      <c r="C6539" s="4" t="s">
        <v>33046</v>
      </c>
      <c r="D6539" s="4" t="s">
        <v>33047</v>
      </c>
      <c r="E6539" s="4" t="s">
        <v>33048</v>
      </c>
      <c r="F6539" s="4" t="s">
        <v>32616</v>
      </c>
      <c r="G6539" s="4" t="s">
        <v>33049</v>
      </c>
    </row>
    <row r="6540" ht="14.25">
      <c r="B6540" s="14" t="s">
        <v>33050</v>
      </c>
      <c r="C6540" s="4" t="s">
        <v>33051</v>
      </c>
      <c r="D6540" s="4" t="s">
        <v>33052</v>
      </c>
      <c r="E6540" s="4" t="s">
        <v>33053</v>
      </c>
      <c r="F6540" s="4" t="s">
        <v>33054</v>
      </c>
      <c r="G6540" s="4" t="s">
        <v>33055</v>
      </c>
    </row>
    <row r="6541" ht="14.25">
      <c r="B6541" s="14" t="s">
        <v>33056</v>
      </c>
      <c r="C6541" s="4" t="s">
        <v>33057</v>
      </c>
      <c r="D6541" s="4" t="s">
        <v>33058</v>
      </c>
      <c r="E6541" s="4" t="s">
        <v>33059</v>
      </c>
      <c r="F6541" s="4" t="s">
        <v>1704</v>
      </c>
      <c r="G6541" s="4" t="s">
        <v>33060</v>
      </c>
    </row>
    <row r="6542" ht="14.25">
      <c r="B6542" s="14" t="s">
        <v>33056</v>
      </c>
      <c r="C6542" s="4" t="s">
        <v>33057</v>
      </c>
      <c r="D6542" s="4" t="s">
        <v>33061</v>
      </c>
      <c r="E6542" s="4" t="s">
        <v>33059</v>
      </c>
      <c r="F6542" s="4" t="s">
        <v>6634</v>
      </c>
      <c r="G6542" s="4" t="s">
        <v>33062</v>
      </c>
    </row>
    <row r="6543" ht="14.25">
      <c r="B6543" s="14" t="s">
        <v>33056</v>
      </c>
      <c r="C6543" s="4" t="s">
        <v>33057</v>
      </c>
      <c r="D6543" s="4" t="s">
        <v>33063</v>
      </c>
      <c r="E6543" s="4" t="s">
        <v>33059</v>
      </c>
      <c r="F6543" s="4" t="s">
        <v>32616</v>
      </c>
      <c r="G6543" s="4" t="s">
        <v>33064</v>
      </c>
    </row>
    <row r="6544" ht="14.25">
      <c r="B6544" s="14" t="s">
        <v>33065</v>
      </c>
      <c r="C6544" s="4" t="s">
        <v>33066</v>
      </c>
      <c r="D6544" s="4" t="s">
        <v>33067</v>
      </c>
      <c r="E6544" s="4" t="s">
        <v>33068</v>
      </c>
      <c r="F6544" s="4" t="s">
        <v>808</v>
      </c>
      <c r="G6544" s="4" t="s">
        <v>33069</v>
      </c>
    </row>
    <row r="6545" ht="14.25">
      <c r="B6545" s="14" t="s">
        <v>33065</v>
      </c>
      <c r="C6545" s="4" t="s">
        <v>33066</v>
      </c>
      <c r="D6545" s="4" t="s">
        <v>33070</v>
      </c>
      <c r="E6545" s="4" t="s">
        <v>33068</v>
      </c>
      <c r="F6545" s="4" t="s">
        <v>556</v>
      </c>
      <c r="G6545" s="4" t="s">
        <v>33071</v>
      </c>
    </row>
    <row r="6546" ht="14.25">
      <c r="B6546" s="14" t="s">
        <v>33072</v>
      </c>
      <c r="C6546" s="4" t="s">
        <v>33073</v>
      </c>
      <c r="D6546" s="4" t="s">
        <v>33074</v>
      </c>
      <c r="E6546" s="4" t="s">
        <v>33075</v>
      </c>
      <c r="F6546" s="4" t="s">
        <v>32548</v>
      </c>
      <c r="G6546" s="4" t="s">
        <v>33076</v>
      </c>
    </row>
    <row r="6547" ht="14.25">
      <c r="B6547" s="14" t="s">
        <v>33077</v>
      </c>
      <c r="C6547" s="4" t="s">
        <v>33078</v>
      </c>
      <c r="D6547" s="4" t="s">
        <v>33079</v>
      </c>
      <c r="E6547" s="6"/>
      <c r="F6547" s="4" t="s">
        <v>4800</v>
      </c>
      <c r="G6547" s="4" t="s">
        <v>33080</v>
      </c>
    </row>
    <row r="6548" ht="14.25">
      <c r="B6548" s="14" t="s">
        <v>33077</v>
      </c>
      <c r="C6548" s="4" t="s">
        <v>33081</v>
      </c>
      <c r="D6548" s="4" t="s">
        <v>33082</v>
      </c>
      <c r="E6548" s="4" t="s">
        <v>33083</v>
      </c>
      <c r="F6548" s="4" t="s">
        <v>33084</v>
      </c>
      <c r="G6548" s="4" t="s">
        <v>33085</v>
      </c>
    </row>
    <row r="6549" ht="14.25">
      <c r="B6549" s="14" t="s">
        <v>33077</v>
      </c>
      <c r="C6549" s="4" t="s">
        <v>33078</v>
      </c>
      <c r="D6549" s="4" t="s">
        <v>33086</v>
      </c>
      <c r="E6549" s="4" t="s">
        <v>33079</v>
      </c>
      <c r="F6549" s="4" t="s">
        <v>20</v>
      </c>
      <c r="G6549" s="4" t="s">
        <v>33087</v>
      </c>
    </row>
    <row r="6550" ht="14.25">
      <c r="B6550" s="14" t="s">
        <v>33077</v>
      </c>
      <c r="C6550" s="4" t="s">
        <v>33088</v>
      </c>
      <c r="D6550" s="4" t="s">
        <v>33089</v>
      </c>
      <c r="E6550" s="4" t="s">
        <v>33090</v>
      </c>
      <c r="F6550" s="4" t="s">
        <v>30872</v>
      </c>
      <c r="G6550" s="4" t="s">
        <v>33091</v>
      </c>
    </row>
    <row r="6551" ht="14.25">
      <c r="B6551" s="14" t="s">
        <v>33077</v>
      </c>
      <c r="C6551" s="4" t="s">
        <v>33092</v>
      </c>
      <c r="D6551" s="4" t="s">
        <v>33093</v>
      </c>
      <c r="E6551" s="4" t="s">
        <v>33094</v>
      </c>
      <c r="F6551" s="4" t="s">
        <v>7323</v>
      </c>
      <c r="G6551" s="4" t="s">
        <v>33095</v>
      </c>
    </row>
    <row r="6552" ht="14.25">
      <c r="B6552" s="14" t="s">
        <v>33077</v>
      </c>
      <c r="C6552" s="4" t="s">
        <v>33078</v>
      </c>
      <c r="D6552" s="4" t="s">
        <v>33096</v>
      </c>
      <c r="E6552" s="4" t="s">
        <v>33079</v>
      </c>
      <c r="F6552" s="4" t="s">
        <v>866</v>
      </c>
      <c r="G6552" s="4" t="s">
        <v>33097</v>
      </c>
    </row>
    <row r="6553" ht="14.25">
      <c r="B6553" s="14" t="s">
        <v>33098</v>
      </c>
      <c r="C6553" s="4" t="s">
        <v>33099</v>
      </c>
      <c r="D6553" s="4" t="s">
        <v>33100</v>
      </c>
      <c r="E6553" s="6"/>
      <c r="F6553" s="4" t="s">
        <v>31</v>
      </c>
      <c r="G6553" s="4" t="s">
        <v>33101</v>
      </c>
    </row>
    <row r="6554" ht="14.25">
      <c r="B6554" s="14" t="s">
        <v>33102</v>
      </c>
      <c r="C6554" s="4" t="s">
        <v>33103</v>
      </c>
      <c r="D6554" s="4" t="s">
        <v>33104</v>
      </c>
      <c r="E6554" s="6"/>
      <c r="F6554" s="4" t="s">
        <v>33054</v>
      </c>
      <c r="G6554" s="4" t="s">
        <v>33105</v>
      </c>
    </row>
    <row r="6555" ht="14.25">
      <c r="B6555" s="14" t="s">
        <v>33106</v>
      </c>
      <c r="C6555" s="4" t="s">
        <v>33107</v>
      </c>
      <c r="D6555" s="4" t="s">
        <v>33108</v>
      </c>
      <c r="E6555" s="4" t="s">
        <v>33109</v>
      </c>
      <c r="F6555" s="4" t="s">
        <v>33110</v>
      </c>
      <c r="G6555" s="4" t="s">
        <v>33111</v>
      </c>
    </row>
    <row r="6556" ht="14.25">
      <c r="B6556" s="14" t="s">
        <v>33106</v>
      </c>
      <c r="C6556" s="4" t="s">
        <v>33107</v>
      </c>
      <c r="D6556" s="4" t="s">
        <v>33112</v>
      </c>
      <c r="E6556" s="4" t="s">
        <v>33109</v>
      </c>
      <c r="F6556" s="4" t="s">
        <v>76</v>
      </c>
      <c r="G6556" s="4" t="s">
        <v>33113</v>
      </c>
    </row>
    <row r="6557" ht="14.25">
      <c r="B6557" s="14" t="s">
        <v>33106</v>
      </c>
      <c r="C6557" s="4" t="s">
        <v>33107</v>
      </c>
      <c r="D6557" s="4" t="s">
        <v>33114</v>
      </c>
      <c r="E6557" s="4" t="s">
        <v>33109</v>
      </c>
      <c r="F6557" s="4" t="s">
        <v>1353</v>
      </c>
      <c r="G6557" s="4" t="s">
        <v>33115</v>
      </c>
    </row>
    <row r="6558" ht="14.25">
      <c r="B6558" s="14" t="s">
        <v>33116</v>
      </c>
      <c r="C6558" s="4" t="s">
        <v>33117</v>
      </c>
      <c r="D6558" s="4" t="s">
        <v>33118</v>
      </c>
      <c r="E6558" s="4" t="s">
        <v>33119</v>
      </c>
      <c r="F6558" s="4" t="s">
        <v>32548</v>
      </c>
      <c r="G6558" s="4" t="s">
        <v>33120</v>
      </c>
    </row>
    <row r="6559" ht="14.25">
      <c r="B6559" s="14" t="s">
        <v>33121</v>
      </c>
      <c r="C6559" s="4" t="s">
        <v>33122</v>
      </c>
      <c r="D6559" s="4" t="s">
        <v>33123</v>
      </c>
      <c r="E6559" s="4" t="s">
        <v>33124</v>
      </c>
      <c r="F6559" s="4" t="s">
        <v>579</v>
      </c>
      <c r="G6559" s="4" t="s">
        <v>33125</v>
      </c>
    </row>
    <row r="6560" ht="14.25">
      <c r="B6560" s="14" t="s">
        <v>33126</v>
      </c>
      <c r="C6560" s="4" t="s">
        <v>33127</v>
      </c>
      <c r="D6560" s="4" t="s">
        <v>33128</v>
      </c>
      <c r="E6560" s="4" t="s">
        <v>33129</v>
      </c>
      <c r="F6560" s="4" t="s">
        <v>11873</v>
      </c>
      <c r="G6560" s="4" t="s">
        <v>33130</v>
      </c>
    </row>
    <row r="6561" ht="14.25">
      <c r="B6561" s="14" t="s">
        <v>33131</v>
      </c>
      <c r="C6561" s="4" t="s">
        <v>33132</v>
      </c>
      <c r="D6561" s="4" t="s">
        <v>33133</v>
      </c>
      <c r="E6561" s="4" t="s">
        <v>33134</v>
      </c>
      <c r="F6561" s="4" t="s">
        <v>33135</v>
      </c>
      <c r="G6561" s="4" t="s">
        <v>33136</v>
      </c>
    </row>
    <row r="6562" ht="14.25">
      <c r="B6562" s="14" t="s">
        <v>33137</v>
      </c>
      <c r="C6562" s="4" t="s">
        <v>33138</v>
      </c>
      <c r="D6562" s="4" t="s">
        <v>33139</v>
      </c>
      <c r="E6562" s="4" t="s">
        <v>33140</v>
      </c>
      <c r="F6562" s="4" t="s">
        <v>866</v>
      </c>
      <c r="G6562" s="4" t="s">
        <v>33141</v>
      </c>
    </row>
    <row r="6563" ht="14.25">
      <c r="B6563" s="14" t="s">
        <v>33142</v>
      </c>
      <c r="C6563" s="4" t="s">
        <v>33143</v>
      </c>
      <c r="D6563" s="4" t="s">
        <v>33144</v>
      </c>
      <c r="E6563" s="6"/>
      <c r="F6563" s="4" t="s">
        <v>2625</v>
      </c>
      <c r="G6563" s="4" t="s">
        <v>33145</v>
      </c>
    </row>
    <row r="6564" ht="14.25">
      <c r="B6564" s="14" t="s">
        <v>33142</v>
      </c>
      <c r="C6564" s="4" t="s">
        <v>33146</v>
      </c>
      <c r="D6564" s="4" t="s">
        <v>33147</v>
      </c>
      <c r="E6564" s="6"/>
      <c r="F6564" s="4" t="s">
        <v>30381</v>
      </c>
      <c r="G6564" s="4" t="s">
        <v>33148</v>
      </c>
    </row>
    <row r="6565" ht="14.25">
      <c r="B6565" s="14" t="s">
        <v>33149</v>
      </c>
      <c r="C6565" s="4" t="s">
        <v>33150</v>
      </c>
      <c r="D6565" s="4" t="s">
        <v>33151</v>
      </c>
      <c r="E6565" s="4" t="s">
        <v>33152</v>
      </c>
      <c r="F6565" s="4" t="s">
        <v>866</v>
      </c>
      <c r="G6565" s="4" t="s">
        <v>33153</v>
      </c>
    </row>
    <row r="6566" ht="14.25">
      <c r="B6566" s="14" t="s">
        <v>33149</v>
      </c>
      <c r="C6566" s="4" t="s">
        <v>33154</v>
      </c>
      <c r="D6566" s="4" t="s">
        <v>33155</v>
      </c>
      <c r="E6566" s="4" t="s">
        <v>33156</v>
      </c>
      <c r="F6566" s="4" t="s">
        <v>963</v>
      </c>
      <c r="G6566" s="4" t="s">
        <v>33157</v>
      </c>
    </row>
    <row r="6567" ht="14.25">
      <c r="B6567" s="14" t="s">
        <v>33149</v>
      </c>
      <c r="C6567" s="4" t="s">
        <v>33150</v>
      </c>
      <c r="D6567" s="4" t="s">
        <v>33158</v>
      </c>
      <c r="E6567" s="4" t="s">
        <v>33152</v>
      </c>
      <c r="F6567" s="4" t="s">
        <v>1667</v>
      </c>
      <c r="G6567" s="4" t="s">
        <v>33159</v>
      </c>
    </row>
    <row r="6568" ht="14.25">
      <c r="B6568" s="14" t="s">
        <v>33149</v>
      </c>
      <c r="C6568" s="4" t="s">
        <v>33150</v>
      </c>
      <c r="D6568" s="4" t="s">
        <v>33160</v>
      </c>
      <c r="E6568" s="4" t="s">
        <v>33152</v>
      </c>
      <c r="F6568" s="4" t="s">
        <v>355</v>
      </c>
      <c r="G6568" s="4" t="s">
        <v>33161</v>
      </c>
    </row>
    <row r="6569" ht="14.25">
      <c r="B6569" s="14" t="s">
        <v>33149</v>
      </c>
      <c r="C6569" s="4" t="s">
        <v>33162</v>
      </c>
      <c r="D6569" s="4" t="s">
        <v>33163</v>
      </c>
      <c r="E6569" s="4" t="s">
        <v>33164</v>
      </c>
      <c r="F6569" s="4" t="s">
        <v>32616</v>
      </c>
      <c r="G6569" s="4" t="s">
        <v>33165</v>
      </c>
    </row>
    <row r="6570" ht="14.25">
      <c r="B6570" s="14" t="s">
        <v>33149</v>
      </c>
      <c r="C6570" s="4" t="s">
        <v>33166</v>
      </c>
      <c r="D6570" s="4" t="s">
        <v>33167</v>
      </c>
      <c r="E6570" s="6"/>
      <c r="F6570" s="4" t="s">
        <v>1592</v>
      </c>
      <c r="G6570" s="4" t="s">
        <v>33168</v>
      </c>
    </row>
    <row r="6571" ht="14.25">
      <c r="B6571" s="14" t="s">
        <v>32956</v>
      </c>
      <c r="C6571" s="4" t="s">
        <v>33169</v>
      </c>
      <c r="D6571" s="4" t="s">
        <v>33170</v>
      </c>
      <c r="E6571" s="6"/>
      <c r="F6571" s="4" t="s">
        <v>808</v>
      </c>
      <c r="G6571" s="4" t="s">
        <v>33171</v>
      </c>
    </row>
    <row r="6572" ht="14.25">
      <c r="B6572" s="14" t="s">
        <v>33172</v>
      </c>
      <c r="C6572" s="4" t="s">
        <v>33173</v>
      </c>
      <c r="D6572" s="4" t="s">
        <v>33174</v>
      </c>
      <c r="E6572" s="4" t="s">
        <v>33175</v>
      </c>
      <c r="F6572" s="4" t="s">
        <v>6243</v>
      </c>
      <c r="G6572" s="4" t="s">
        <v>33176</v>
      </c>
    </row>
    <row r="6573" ht="14.25">
      <c r="B6573" s="14" t="s">
        <v>33177</v>
      </c>
      <c r="C6573" s="4" t="s">
        <v>33178</v>
      </c>
      <c r="D6573" s="4" t="s">
        <v>33179</v>
      </c>
      <c r="E6573" s="4" t="s">
        <v>33180</v>
      </c>
      <c r="F6573" s="4" t="s">
        <v>33181</v>
      </c>
      <c r="G6573" s="4" t="s">
        <v>33182</v>
      </c>
    </row>
    <row r="6574" ht="14.25">
      <c r="B6574" s="14" t="s">
        <v>33177</v>
      </c>
      <c r="C6574" s="4" t="s">
        <v>33178</v>
      </c>
      <c r="D6574" s="4" t="s">
        <v>33183</v>
      </c>
      <c r="E6574" s="4" t="s">
        <v>33180</v>
      </c>
      <c r="F6574" s="4" t="s">
        <v>33184</v>
      </c>
      <c r="G6574" s="4" t="s">
        <v>33185</v>
      </c>
    </row>
    <row r="6575" ht="14.25">
      <c r="B6575" s="14" t="s">
        <v>33186</v>
      </c>
      <c r="C6575" s="4" t="s">
        <v>33187</v>
      </c>
      <c r="D6575" s="4" t="s">
        <v>33188</v>
      </c>
      <c r="E6575" s="4" t="s">
        <v>33189</v>
      </c>
      <c r="F6575" s="4" t="s">
        <v>1900</v>
      </c>
      <c r="G6575" s="4" t="s">
        <v>33190</v>
      </c>
    </row>
    <row r="6576" ht="14.25">
      <c r="B6576" s="14" t="s">
        <v>33186</v>
      </c>
      <c r="C6576" s="4" t="s">
        <v>33187</v>
      </c>
      <c r="D6576" s="4" t="s">
        <v>33191</v>
      </c>
      <c r="E6576" s="4" t="s">
        <v>33189</v>
      </c>
      <c r="F6576" s="4" t="s">
        <v>1215</v>
      </c>
      <c r="G6576" s="4" t="s">
        <v>33192</v>
      </c>
    </row>
    <row r="6577" ht="14.25">
      <c r="B6577" s="14" t="s">
        <v>33193</v>
      </c>
      <c r="C6577" s="4" t="s">
        <v>33194</v>
      </c>
      <c r="D6577" s="4" t="s">
        <v>33195</v>
      </c>
      <c r="E6577" s="4" t="s">
        <v>33196</v>
      </c>
      <c r="F6577" s="4" t="s">
        <v>32831</v>
      </c>
      <c r="G6577" s="4" t="s">
        <v>33197</v>
      </c>
    </row>
    <row r="6578" ht="14.25">
      <c r="B6578" s="14" t="s">
        <v>33193</v>
      </c>
      <c r="C6578" s="4" t="s">
        <v>33198</v>
      </c>
      <c r="D6578" s="4" t="s">
        <v>33199</v>
      </c>
      <c r="E6578" s="4" t="s">
        <v>33200</v>
      </c>
      <c r="F6578" s="4" t="s">
        <v>32622</v>
      </c>
      <c r="G6578" s="4" t="s">
        <v>33201</v>
      </c>
    </row>
    <row r="6579" ht="14.25">
      <c r="B6579" s="14" t="s">
        <v>33193</v>
      </c>
      <c r="C6579" s="4" t="s">
        <v>33202</v>
      </c>
      <c r="D6579" s="4" t="s">
        <v>33203</v>
      </c>
      <c r="E6579" s="4" t="s">
        <v>33204</v>
      </c>
      <c r="F6579" s="4" t="s">
        <v>679</v>
      </c>
      <c r="G6579" s="4" t="s">
        <v>33205</v>
      </c>
    </row>
    <row r="6580" ht="14.25">
      <c r="B6580" s="14" t="s">
        <v>33193</v>
      </c>
      <c r="C6580" s="4" t="s">
        <v>33206</v>
      </c>
      <c r="D6580" s="4" t="s">
        <v>33207</v>
      </c>
      <c r="E6580" s="4" t="s">
        <v>33208</v>
      </c>
      <c r="F6580" s="4" t="s">
        <v>1740</v>
      </c>
      <c r="G6580" s="4" t="s">
        <v>33209</v>
      </c>
    </row>
    <row r="6581" ht="14.25">
      <c r="B6581" s="14" t="s">
        <v>33193</v>
      </c>
      <c r="C6581" s="4" t="s">
        <v>33210</v>
      </c>
      <c r="D6581" s="4" t="s">
        <v>33211</v>
      </c>
      <c r="E6581" s="4" t="s">
        <v>33212</v>
      </c>
      <c r="F6581" s="4" t="s">
        <v>2508</v>
      </c>
      <c r="G6581" s="4" t="s">
        <v>33213</v>
      </c>
    </row>
    <row r="6582" ht="14.25">
      <c r="B6582" s="14" t="s">
        <v>33193</v>
      </c>
      <c r="C6582" s="4" t="s">
        <v>33206</v>
      </c>
      <c r="D6582" s="4" t="s">
        <v>33214</v>
      </c>
      <c r="E6582" s="4" t="s">
        <v>33208</v>
      </c>
      <c r="F6582" s="4" t="s">
        <v>6356</v>
      </c>
      <c r="G6582" s="4" t="s">
        <v>33215</v>
      </c>
    </row>
    <row r="6583" ht="14.25">
      <c r="B6583" s="14" t="s">
        <v>33193</v>
      </c>
      <c r="C6583" s="4" t="s">
        <v>33202</v>
      </c>
      <c r="D6583" s="4" t="s">
        <v>33216</v>
      </c>
      <c r="E6583" s="4" t="s">
        <v>33204</v>
      </c>
      <c r="F6583" s="4" t="s">
        <v>33217</v>
      </c>
      <c r="G6583" s="4" t="s">
        <v>33218</v>
      </c>
    </row>
    <row r="6584" ht="14.25">
      <c r="B6584" s="14" t="s">
        <v>33193</v>
      </c>
      <c r="C6584" s="4" t="s">
        <v>33219</v>
      </c>
      <c r="D6584" s="4" t="s">
        <v>33220</v>
      </c>
      <c r="E6584" s="6"/>
      <c r="F6584" s="4" t="s">
        <v>7559</v>
      </c>
      <c r="G6584" s="4" t="s">
        <v>33221</v>
      </c>
    </row>
    <row r="6585" ht="14.25">
      <c r="B6585" s="14" t="s">
        <v>33193</v>
      </c>
      <c r="C6585" s="4" t="s">
        <v>33206</v>
      </c>
      <c r="D6585" s="4" t="s">
        <v>33222</v>
      </c>
      <c r="E6585" s="4" t="s">
        <v>33208</v>
      </c>
      <c r="F6585" s="4" t="s">
        <v>6634</v>
      </c>
      <c r="G6585" s="4" t="s">
        <v>33223</v>
      </c>
    </row>
    <row r="6586" ht="14.25">
      <c r="B6586" s="14" t="s">
        <v>33224</v>
      </c>
      <c r="C6586" s="4" t="s">
        <v>33225</v>
      </c>
      <c r="D6586" s="4" t="s">
        <v>33226</v>
      </c>
      <c r="E6586" s="4" t="s">
        <v>33227</v>
      </c>
      <c r="F6586" s="4" t="s">
        <v>20</v>
      </c>
      <c r="G6586" s="4" t="s">
        <v>33228</v>
      </c>
    </row>
    <row r="6587" ht="14.25">
      <c r="B6587" s="14" t="s">
        <v>33224</v>
      </c>
      <c r="C6587" s="4" t="s">
        <v>33225</v>
      </c>
      <c r="D6587" s="4" t="s">
        <v>33229</v>
      </c>
      <c r="E6587" s="4" t="s">
        <v>33227</v>
      </c>
      <c r="F6587" s="4" t="s">
        <v>32616</v>
      </c>
      <c r="G6587" s="4" t="s">
        <v>33230</v>
      </c>
    </row>
    <row r="6588" ht="14.25">
      <c r="B6588" s="14" t="s">
        <v>33224</v>
      </c>
      <c r="C6588" s="4" t="s">
        <v>33225</v>
      </c>
      <c r="D6588" s="4" t="s">
        <v>33231</v>
      </c>
      <c r="E6588" s="4" t="s">
        <v>33227</v>
      </c>
      <c r="F6588" s="4" t="s">
        <v>3164</v>
      </c>
      <c r="G6588" s="4" t="s">
        <v>33232</v>
      </c>
    </row>
    <row r="6589" ht="14.25">
      <c r="B6589" s="14" t="s">
        <v>33233</v>
      </c>
      <c r="C6589" s="4" t="s">
        <v>33234</v>
      </c>
      <c r="D6589" s="4" t="s">
        <v>33235</v>
      </c>
      <c r="E6589" s="4" t="s">
        <v>33236</v>
      </c>
      <c r="F6589" s="4" t="s">
        <v>9272</v>
      </c>
      <c r="G6589" s="4" t="s">
        <v>33237</v>
      </c>
    </row>
    <row r="6590" ht="14.25">
      <c r="B6590" s="14" t="s">
        <v>33233</v>
      </c>
      <c r="C6590" s="4" t="s">
        <v>33234</v>
      </c>
      <c r="D6590" s="4" t="s">
        <v>33238</v>
      </c>
      <c r="E6590" s="4" t="s">
        <v>33236</v>
      </c>
      <c r="F6590" s="4" t="s">
        <v>76</v>
      </c>
      <c r="G6590" s="4" t="s">
        <v>33239</v>
      </c>
    </row>
    <row r="6591" ht="14.25">
      <c r="B6591" s="14" t="s">
        <v>33233</v>
      </c>
      <c r="C6591" s="4" t="s">
        <v>33234</v>
      </c>
      <c r="D6591" s="4" t="s">
        <v>33240</v>
      </c>
      <c r="E6591" s="4" t="s">
        <v>33236</v>
      </c>
      <c r="F6591" s="4" t="s">
        <v>1732</v>
      </c>
      <c r="G6591" s="4" t="s">
        <v>33241</v>
      </c>
    </row>
    <row r="6592" ht="14.25">
      <c r="B6592" s="14" t="s">
        <v>33242</v>
      </c>
      <c r="C6592" s="4" t="s">
        <v>33243</v>
      </c>
      <c r="D6592" s="4" t="s">
        <v>33244</v>
      </c>
      <c r="E6592" s="4" t="s">
        <v>33245</v>
      </c>
      <c r="F6592" s="4" t="s">
        <v>24006</v>
      </c>
      <c r="G6592" s="4" t="s">
        <v>33246</v>
      </c>
    </row>
    <row r="6593" ht="14.25">
      <c r="B6593" s="14" t="s">
        <v>33247</v>
      </c>
      <c r="C6593" s="4" t="s">
        <v>33248</v>
      </c>
      <c r="D6593" s="4" t="s">
        <v>33249</v>
      </c>
      <c r="E6593" s="4" t="s">
        <v>33250</v>
      </c>
      <c r="F6593" s="4" t="s">
        <v>33251</v>
      </c>
      <c r="G6593" s="4" t="s">
        <v>33252</v>
      </c>
    </row>
    <row r="6594" ht="14.25">
      <c r="B6594" s="14" t="s">
        <v>33253</v>
      </c>
      <c r="C6594" s="4" t="s">
        <v>33254</v>
      </c>
      <c r="D6594" s="4" t="s">
        <v>33255</v>
      </c>
      <c r="E6594" s="6"/>
      <c r="F6594" s="4" t="s">
        <v>1153</v>
      </c>
      <c r="G6594" s="4" t="s">
        <v>33256</v>
      </c>
    </row>
    <row r="6595" ht="14.25">
      <c r="B6595" s="14" t="s">
        <v>33253</v>
      </c>
      <c r="C6595" s="4" t="s">
        <v>33257</v>
      </c>
      <c r="D6595" s="4" t="s">
        <v>33258</v>
      </c>
      <c r="E6595" s="4" t="s">
        <v>33259</v>
      </c>
      <c r="F6595" s="4" t="s">
        <v>170</v>
      </c>
      <c r="G6595" s="4" t="s">
        <v>33260</v>
      </c>
    </row>
    <row r="6596" ht="14.25">
      <c r="B6596" s="14" t="s">
        <v>33261</v>
      </c>
      <c r="C6596" s="4" t="s">
        <v>33262</v>
      </c>
      <c r="D6596" s="4" t="s">
        <v>33263</v>
      </c>
      <c r="E6596" s="6"/>
      <c r="F6596" s="4" t="s">
        <v>33264</v>
      </c>
      <c r="G6596" s="4" t="s">
        <v>33265</v>
      </c>
    </row>
    <row r="6597" ht="14.25">
      <c r="B6597" s="14" t="s">
        <v>33261</v>
      </c>
      <c r="C6597" s="4" t="s">
        <v>33266</v>
      </c>
      <c r="D6597" s="4" t="s">
        <v>33267</v>
      </c>
      <c r="E6597" s="4" t="s">
        <v>33268</v>
      </c>
      <c r="F6597" s="4" t="s">
        <v>33135</v>
      </c>
      <c r="G6597" s="4" t="s">
        <v>33269</v>
      </c>
    </row>
    <row r="6598" ht="14.25">
      <c r="B6598" s="14" t="s">
        <v>33261</v>
      </c>
      <c r="C6598" s="4" t="s">
        <v>33266</v>
      </c>
      <c r="D6598" s="4" t="s">
        <v>33268</v>
      </c>
      <c r="E6598" s="6"/>
      <c r="F6598" s="4" t="s">
        <v>2242</v>
      </c>
      <c r="G6598" s="4" t="s">
        <v>33270</v>
      </c>
    </row>
    <row r="6599" ht="14.25">
      <c r="B6599" s="14" t="s">
        <v>33261</v>
      </c>
      <c r="C6599" s="4" t="s">
        <v>33271</v>
      </c>
      <c r="D6599" s="4" t="s">
        <v>33272</v>
      </c>
      <c r="E6599" s="4" t="s">
        <v>33273</v>
      </c>
      <c r="F6599" s="4" t="s">
        <v>13010</v>
      </c>
      <c r="G6599" s="4" t="s">
        <v>33274</v>
      </c>
    </row>
    <row r="6600" ht="14.25">
      <c r="B6600" s="14" t="s">
        <v>33275</v>
      </c>
      <c r="C6600" s="4" t="s">
        <v>33276</v>
      </c>
      <c r="D6600" s="4" t="s">
        <v>33277</v>
      </c>
      <c r="E6600" s="4" t="s">
        <v>33278</v>
      </c>
      <c r="F6600" s="4" t="s">
        <v>7559</v>
      </c>
      <c r="G6600" s="4" t="s">
        <v>32549</v>
      </c>
    </row>
    <row r="6601" ht="14.25">
      <c r="B6601" s="14" t="s">
        <v>33279</v>
      </c>
      <c r="C6601" s="4" t="s">
        <v>33280</v>
      </c>
      <c r="D6601" s="4" t="s">
        <v>33281</v>
      </c>
      <c r="E6601" s="4" t="s">
        <v>33282</v>
      </c>
      <c r="F6601" s="4" t="s">
        <v>33283</v>
      </c>
      <c r="G6601" s="4" t="s">
        <v>33284</v>
      </c>
    </row>
    <row r="6602" ht="14.25">
      <c r="B6602" s="14" t="s">
        <v>33279</v>
      </c>
      <c r="C6602" s="4" t="s">
        <v>33280</v>
      </c>
      <c r="D6602" s="4" t="s">
        <v>33285</v>
      </c>
      <c r="E6602" s="4" t="s">
        <v>33282</v>
      </c>
      <c r="F6602" s="4" t="s">
        <v>1215</v>
      </c>
      <c r="G6602" s="4" t="s">
        <v>33286</v>
      </c>
    </row>
    <row r="6603" ht="14.25">
      <c r="B6603" s="14" t="s">
        <v>33279</v>
      </c>
      <c r="C6603" s="4" t="s">
        <v>33280</v>
      </c>
      <c r="D6603" s="4" t="s">
        <v>33287</v>
      </c>
      <c r="E6603" s="4" t="s">
        <v>33282</v>
      </c>
      <c r="F6603" s="4" t="s">
        <v>33288</v>
      </c>
      <c r="G6603" s="4" t="s">
        <v>33289</v>
      </c>
    </row>
    <row r="6604" ht="14.25">
      <c r="B6604" s="14" t="s">
        <v>33290</v>
      </c>
      <c r="C6604" s="4" t="s">
        <v>33291</v>
      </c>
      <c r="D6604" s="4" t="s">
        <v>33292</v>
      </c>
      <c r="E6604" s="4" t="s">
        <v>33293</v>
      </c>
      <c r="F6604" s="4" t="s">
        <v>4961</v>
      </c>
      <c r="G6604" s="4" t="s">
        <v>33294</v>
      </c>
    </row>
    <row r="6605" ht="14.25">
      <c r="B6605" s="14" t="s">
        <v>33290</v>
      </c>
      <c r="C6605" s="4" t="s">
        <v>33291</v>
      </c>
      <c r="D6605" s="4" t="s">
        <v>33293</v>
      </c>
      <c r="E6605" s="6"/>
      <c r="F6605" s="4" t="s">
        <v>1499</v>
      </c>
      <c r="G6605" s="4" t="s">
        <v>33294</v>
      </c>
    </row>
    <row r="6606" ht="14.25">
      <c r="B6606" s="14" t="s">
        <v>33295</v>
      </c>
      <c r="C6606" s="4" t="s">
        <v>33296</v>
      </c>
      <c r="D6606" s="4" t="s">
        <v>33297</v>
      </c>
      <c r="E6606" s="4" t="s">
        <v>33298</v>
      </c>
      <c r="F6606" s="4" t="s">
        <v>1160</v>
      </c>
      <c r="G6606" s="4" t="s">
        <v>33299</v>
      </c>
    </row>
    <row r="6607" ht="14.25">
      <c r="B6607" s="14" t="s">
        <v>33295</v>
      </c>
      <c r="C6607" s="4" t="s">
        <v>33296</v>
      </c>
      <c r="D6607" s="4" t="s">
        <v>33300</v>
      </c>
      <c r="E6607" s="4" t="s">
        <v>33298</v>
      </c>
      <c r="F6607" s="4" t="s">
        <v>6931</v>
      </c>
      <c r="G6607" s="4" t="s">
        <v>33301</v>
      </c>
    </row>
    <row r="6608" ht="14.25">
      <c r="B6608" s="14" t="s">
        <v>33302</v>
      </c>
      <c r="C6608" s="4" t="s">
        <v>33303</v>
      </c>
      <c r="D6608" s="4" t="s">
        <v>33304</v>
      </c>
      <c r="E6608" s="4" t="s">
        <v>33305</v>
      </c>
      <c r="F6608" s="4" t="s">
        <v>1215</v>
      </c>
      <c r="G6608" s="4" t="s">
        <v>33306</v>
      </c>
    </row>
    <row r="6609" ht="14.25">
      <c r="B6609" s="14" t="s">
        <v>33307</v>
      </c>
      <c r="C6609" s="4" t="s">
        <v>33308</v>
      </c>
      <c r="D6609" s="4" t="s">
        <v>33309</v>
      </c>
      <c r="E6609" s="6"/>
      <c r="F6609" s="4" t="s">
        <v>355</v>
      </c>
      <c r="G6609" s="4" t="s">
        <v>33310</v>
      </c>
    </row>
    <row r="6610" ht="14.25">
      <c r="B6610" s="14" t="s">
        <v>33311</v>
      </c>
      <c r="C6610" s="4" t="s">
        <v>33312</v>
      </c>
      <c r="D6610" s="4" t="s">
        <v>33313</v>
      </c>
      <c r="E6610" s="4" t="s">
        <v>33314</v>
      </c>
      <c r="F6610" s="4" t="s">
        <v>33084</v>
      </c>
      <c r="G6610" s="4" t="s">
        <v>33315</v>
      </c>
    </row>
    <row r="6611" ht="14.25">
      <c r="B6611" s="14" t="s">
        <v>33311</v>
      </c>
      <c r="C6611" s="4" t="s">
        <v>33316</v>
      </c>
      <c r="D6611" s="4" t="s">
        <v>33317</v>
      </c>
      <c r="E6611" s="4" t="s">
        <v>33318</v>
      </c>
      <c r="F6611" s="4" t="s">
        <v>1579</v>
      </c>
      <c r="G6611" s="4" t="s">
        <v>33319</v>
      </c>
    </row>
    <row r="6612" ht="14.25">
      <c r="B6612" s="14" t="s">
        <v>33311</v>
      </c>
      <c r="C6612" s="4" t="s">
        <v>33312</v>
      </c>
      <c r="D6612" s="4" t="s">
        <v>33320</v>
      </c>
      <c r="E6612" s="4" t="s">
        <v>33314</v>
      </c>
      <c r="F6612" s="4" t="s">
        <v>33264</v>
      </c>
      <c r="G6612" s="4" t="s">
        <v>33321</v>
      </c>
    </row>
    <row r="6613" ht="14.25">
      <c r="B6613" s="14" t="s">
        <v>33311</v>
      </c>
      <c r="C6613" s="4" t="s">
        <v>33322</v>
      </c>
      <c r="D6613" s="4" t="s">
        <v>33323</v>
      </c>
      <c r="E6613" s="6"/>
      <c r="F6613" s="4" t="s">
        <v>32891</v>
      </c>
      <c r="G6613" s="4" t="s">
        <v>33324</v>
      </c>
    </row>
    <row r="6614" ht="14.25">
      <c r="B6614" s="14" t="s">
        <v>33311</v>
      </c>
      <c r="C6614" s="4" t="s">
        <v>33312</v>
      </c>
      <c r="D6614" s="4" t="s">
        <v>33325</v>
      </c>
      <c r="E6614" s="4" t="s">
        <v>33314</v>
      </c>
      <c r="F6614" s="4" t="s">
        <v>33326</v>
      </c>
      <c r="G6614" s="4" t="s">
        <v>33327</v>
      </c>
    </row>
    <row r="6615" ht="14.25">
      <c r="B6615" s="14" t="s">
        <v>33311</v>
      </c>
      <c r="C6615" s="4" t="s">
        <v>33312</v>
      </c>
      <c r="D6615" s="4" t="s">
        <v>33328</v>
      </c>
      <c r="E6615" s="4" t="s">
        <v>33314</v>
      </c>
      <c r="F6615" s="4" t="s">
        <v>32622</v>
      </c>
      <c r="G6615" s="4" t="s">
        <v>33329</v>
      </c>
    </row>
    <row r="6616" ht="14.25">
      <c r="B6616" s="14" t="s">
        <v>33330</v>
      </c>
      <c r="C6616" s="4" t="s">
        <v>33331</v>
      </c>
      <c r="D6616" s="4" t="s">
        <v>33332</v>
      </c>
      <c r="E6616" s="4" t="s">
        <v>33333</v>
      </c>
      <c r="F6616" s="4" t="s">
        <v>95</v>
      </c>
      <c r="G6616" s="4" t="s">
        <v>33334</v>
      </c>
    </row>
    <row r="6617" ht="14.25">
      <c r="B6617" s="14" t="s">
        <v>33330</v>
      </c>
      <c r="C6617" s="4" t="s">
        <v>33331</v>
      </c>
      <c r="D6617" s="4" t="s">
        <v>33335</v>
      </c>
      <c r="E6617" s="4" t="s">
        <v>33333</v>
      </c>
      <c r="F6617" s="4" t="s">
        <v>18475</v>
      </c>
      <c r="G6617" s="4" t="s">
        <v>33336</v>
      </c>
    </row>
    <row r="6618" ht="14.25">
      <c r="B6618" s="14" t="s">
        <v>33330</v>
      </c>
      <c r="C6618" s="4" t="s">
        <v>33331</v>
      </c>
      <c r="D6618" s="4" t="s">
        <v>33337</v>
      </c>
      <c r="E6618" s="4" t="s">
        <v>33333</v>
      </c>
      <c r="F6618" s="4" t="s">
        <v>32891</v>
      </c>
      <c r="G6618" s="4" t="s">
        <v>33338</v>
      </c>
    </row>
    <row r="6619" ht="14.25">
      <c r="B6619" s="14" t="s">
        <v>33339</v>
      </c>
      <c r="C6619" s="4" t="s">
        <v>33340</v>
      </c>
      <c r="D6619" s="4" t="s">
        <v>33341</v>
      </c>
      <c r="E6619" s="4" t="s">
        <v>33342</v>
      </c>
      <c r="F6619" s="4" t="s">
        <v>1732</v>
      </c>
      <c r="G6619" s="4" t="s">
        <v>33343</v>
      </c>
    </row>
    <row r="6620" ht="14.25">
      <c r="B6620" s="14" t="s">
        <v>33339</v>
      </c>
      <c r="C6620" s="4" t="s">
        <v>33340</v>
      </c>
      <c r="D6620" s="4" t="s">
        <v>33344</v>
      </c>
      <c r="E6620" s="4" t="s">
        <v>33342</v>
      </c>
      <c r="F6620" s="4" t="s">
        <v>6356</v>
      </c>
      <c r="G6620" s="4" t="s">
        <v>33345</v>
      </c>
    </row>
    <row r="6621" ht="14.25">
      <c r="B6621" s="14" t="s">
        <v>33346</v>
      </c>
      <c r="C6621" s="4" t="s">
        <v>33347</v>
      </c>
      <c r="D6621" s="4" t="s">
        <v>33348</v>
      </c>
      <c r="E6621" s="4" t="s">
        <v>33349</v>
      </c>
      <c r="F6621" s="4" t="s">
        <v>32622</v>
      </c>
      <c r="G6621" s="4" t="s">
        <v>33350</v>
      </c>
    </row>
    <row r="6622" ht="14.25">
      <c r="B6622" s="14" t="s">
        <v>33346</v>
      </c>
      <c r="C6622" s="4" t="s">
        <v>33351</v>
      </c>
      <c r="D6622" s="4" t="s">
        <v>33352</v>
      </c>
      <c r="E6622" s="4" t="s">
        <v>33353</v>
      </c>
      <c r="F6622" s="4" t="s">
        <v>33354</v>
      </c>
      <c r="G6622" s="4" t="s">
        <v>33355</v>
      </c>
    </row>
    <row r="6623" ht="14.25">
      <c r="B6623" s="14" t="s">
        <v>33346</v>
      </c>
      <c r="C6623" s="4" t="s">
        <v>33356</v>
      </c>
      <c r="D6623" s="4" t="s">
        <v>33357</v>
      </c>
      <c r="E6623" s="4" t="s">
        <v>33358</v>
      </c>
      <c r="F6623" s="4" t="s">
        <v>808</v>
      </c>
      <c r="G6623" s="4" t="s">
        <v>33359</v>
      </c>
    </row>
    <row r="6624" ht="14.25">
      <c r="B6624" s="14" t="s">
        <v>33346</v>
      </c>
      <c r="C6624" s="4" t="s">
        <v>33360</v>
      </c>
      <c r="D6624" s="4" t="s">
        <v>33361</v>
      </c>
      <c r="E6624" s="4" t="s">
        <v>33362</v>
      </c>
      <c r="F6624" s="4" t="s">
        <v>32787</v>
      </c>
      <c r="G6624" s="4" t="s">
        <v>33363</v>
      </c>
    </row>
    <row r="6625" ht="14.25">
      <c r="B6625" s="14" t="s">
        <v>33346</v>
      </c>
      <c r="C6625" s="4" t="s">
        <v>33347</v>
      </c>
      <c r="D6625" s="4" t="s">
        <v>33364</v>
      </c>
      <c r="E6625" s="4" t="s">
        <v>33349</v>
      </c>
      <c r="F6625" s="4" t="s">
        <v>32563</v>
      </c>
      <c r="G6625" s="4" t="s">
        <v>33365</v>
      </c>
    </row>
    <row r="6626" ht="14.25">
      <c r="B6626" s="14" t="s">
        <v>33366</v>
      </c>
      <c r="C6626" s="4" t="s">
        <v>33367</v>
      </c>
      <c r="D6626" s="4" t="s">
        <v>33368</v>
      </c>
      <c r="E6626" s="4" t="s">
        <v>33369</v>
      </c>
      <c r="F6626" s="4" t="s">
        <v>33370</v>
      </c>
      <c r="G6626" s="4" t="s">
        <v>33371</v>
      </c>
    </row>
    <row r="6627" ht="14.25">
      <c r="B6627" s="14" t="s">
        <v>33372</v>
      </c>
      <c r="C6627" s="4" t="s">
        <v>33373</v>
      </c>
      <c r="D6627" s="4" t="s">
        <v>33374</v>
      </c>
      <c r="E6627" s="4" t="s">
        <v>33375</v>
      </c>
      <c r="F6627" s="4" t="s">
        <v>7525</v>
      </c>
      <c r="G6627" s="4" t="s">
        <v>33376</v>
      </c>
    </row>
    <row r="6628" ht="14.25">
      <c r="B6628" s="14" t="s">
        <v>33377</v>
      </c>
      <c r="C6628" s="4" t="s">
        <v>33378</v>
      </c>
      <c r="D6628" s="4" t="s">
        <v>33379</v>
      </c>
      <c r="E6628" s="6"/>
      <c r="F6628" s="4" t="s">
        <v>33380</v>
      </c>
      <c r="G6628" s="4" t="s">
        <v>33381</v>
      </c>
    </row>
    <row r="6629" ht="14.25">
      <c r="B6629" s="14" t="s">
        <v>33382</v>
      </c>
      <c r="C6629" s="4" t="s">
        <v>33383</v>
      </c>
      <c r="D6629" s="4" t="s">
        <v>33384</v>
      </c>
      <c r="E6629" s="4" t="s">
        <v>33385</v>
      </c>
      <c r="F6629" s="4" t="s">
        <v>8778</v>
      </c>
      <c r="G6629" s="4" t="s">
        <v>33386</v>
      </c>
    </row>
    <row r="6630" ht="14.25">
      <c r="B6630" s="14" t="s">
        <v>33382</v>
      </c>
      <c r="C6630" s="4" t="s">
        <v>33383</v>
      </c>
      <c r="D6630" s="4" t="s">
        <v>33385</v>
      </c>
      <c r="E6630" s="6"/>
      <c r="F6630" s="4" t="s">
        <v>571</v>
      </c>
      <c r="G6630" s="4" t="s">
        <v>33387</v>
      </c>
    </row>
    <row r="6631" ht="14.25">
      <c r="B6631" s="14" t="s">
        <v>33388</v>
      </c>
      <c r="C6631" s="4" t="s">
        <v>33389</v>
      </c>
      <c r="D6631" s="4" t="s">
        <v>33390</v>
      </c>
      <c r="E6631" s="4" t="s">
        <v>33391</v>
      </c>
      <c r="F6631" s="4" t="s">
        <v>2419</v>
      </c>
      <c r="G6631" s="4" t="s">
        <v>33392</v>
      </c>
    </row>
    <row r="6632" ht="14.25">
      <c r="B6632" s="14" t="s">
        <v>33388</v>
      </c>
      <c r="C6632" s="4" t="s">
        <v>33389</v>
      </c>
      <c r="D6632" s="4" t="s">
        <v>33393</v>
      </c>
      <c r="E6632" s="4" t="s">
        <v>33391</v>
      </c>
      <c r="F6632" s="4" t="s">
        <v>2652</v>
      </c>
      <c r="G6632" s="4" t="s">
        <v>33394</v>
      </c>
    </row>
    <row r="6633" ht="14.25">
      <c r="B6633" s="14" t="s">
        <v>33388</v>
      </c>
      <c r="C6633" s="4" t="s">
        <v>33389</v>
      </c>
      <c r="D6633" s="4" t="s">
        <v>33395</v>
      </c>
      <c r="E6633" s="4" t="s">
        <v>33391</v>
      </c>
      <c r="F6633" s="4" t="s">
        <v>4177</v>
      </c>
      <c r="G6633" s="4" t="s">
        <v>33396</v>
      </c>
    </row>
    <row r="6634" ht="14.25">
      <c r="B6634" s="14" t="s">
        <v>33397</v>
      </c>
      <c r="C6634" s="4" t="s">
        <v>33398</v>
      </c>
      <c r="D6634" s="4" t="s">
        <v>33399</v>
      </c>
      <c r="E6634" s="4" t="s">
        <v>33400</v>
      </c>
      <c r="F6634" s="4" t="s">
        <v>33401</v>
      </c>
      <c r="G6634" s="4" t="s">
        <v>33402</v>
      </c>
    </row>
    <row r="6635" ht="14.25">
      <c r="B6635" s="14" t="s">
        <v>33403</v>
      </c>
      <c r="C6635" s="4" t="s">
        <v>33404</v>
      </c>
      <c r="D6635" s="4" t="s">
        <v>33405</v>
      </c>
      <c r="E6635" s="4" t="s">
        <v>33406</v>
      </c>
      <c r="F6635" s="4" t="s">
        <v>32661</v>
      </c>
      <c r="G6635" s="4" t="s">
        <v>33407</v>
      </c>
    </row>
    <row r="6636" ht="14.25">
      <c r="B6636" s="14" t="s">
        <v>33403</v>
      </c>
      <c r="C6636" s="4" t="s">
        <v>33404</v>
      </c>
      <c r="D6636" s="4" t="s">
        <v>33408</v>
      </c>
      <c r="E6636" s="4" t="s">
        <v>33406</v>
      </c>
      <c r="F6636" s="4" t="s">
        <v>8074</v>
      </c>
      <c r="G6636" s="4" t="s">
        <v>33409</v>
      </c>
    </row>
    <row r="6637" ht="14.25">
      <c r="B6637" s="14" t="s">
        <v>33403</v>
      </c>
      <c r="C6637" s="4" t="s">
        <v>33404</v>
      </c>
      <c r="D6637" s="4" t="s">
        <v>33410</v>
      </c>
      <c r="E6637" s="4" t="s">
        <v>33406</v>
      </c>
      <c r="F6637" s="4" t="s">
        <v>1215</v>
      </c>
      <c r="G6637" s="4" t="s">
        <v>33411</v>
      </c>
    </row>
    <row r="6638" ht="14.25">
      <c r="B6638" s="14" t="s">
        <v>33403</v>
      </c>
      <c r="C6638" s="4" t="s">
        <v>33412</v>
      </c>
      <c r="D6638" s="4" t="s">
        <v>33413</v>
      </c>
      <c r="E6638" s="4" t="s">
        <v>33414</v>
      </c>
      <c r="F6638" s="4" t="s">
        <v>33415</v>
      </c>
      <c r="G6638" s="4" t="s">
        <v>33416</v>
      </c>
    </row>
    <row r="6639" ht="14.25">
      <c r="B6639" s="14" t="s">
        <v>33417</v>
      </c>
      <c r="C6639" s="4" t="s">
        <v>33418</v>
      </c>
      <c r="D6639" s="4" t="s">
        <v>33419</v>
      </c>
      <c r="E6639" s="6"/>
      <c r="F6639" s="4" t="s">
        <v>971</v>
      </c>
      <c r="G6639" s="4" t="s">
        <v>33420</v>
      </c>
    </row>
    <row r="6640" ht="14.25">
      <c r="B6640" s="14" t="s">
        <v>33421</v>
      </c>
      <c r="C6640" s="4" t="s">
        <v>33422</v>
      </c>
      <c r="D6640" s="4" t="s">
        <v>33423</v>
      </c>
      <c r="E6640" s="6"/>
      <c r="F6640" s="4" t="s">
        <v>95</v>
      </c>
      <c r="G6640" s="4" t="s">
        <v>33424</v>
      </c>
    </row>
    <row r="6641" ht="14.25">
      <c r="B6641" s="14" t="s">
        <v>33425</v>
      </c>
      <c r="C6641" s="4" t="s">
        <v>33426</v>
      </c>
      <c r="D6641" s="4" t="s">
        <v>33427</v>
      </c>
      <c r="E6641" s="4" t="s">
        <v>33428</v>
      </c>
      <c r="F6641" s="4" t="s">
        <v>11766</v>
      </c>
      <c r="G6641" s="4" t="s">
        <v>33429</v>
      </c>
    </row>
    <row r="6642" ht="14.25">
      <c r="B6642" s="14" t="s">
        <v>33430</v>
      </c>
      <c r="C6642" s="4" t="s">
        <v>33431</v>
      </c>
      <c r="D6642" s="4" t="s">
        <v>33432</v>
      </c>
      <c r="E6642" s="4" t="s">
        <v>33433</v>
      </c>
      <c r="F6642" s="4" t="s">
        <v>33434</v>
      </c>
      <c r="G6642" s="4" t="s">
        <v>33435</v>
      </c>
    </row>
    <row r="6643" ht="14.25">
      <c r="B6643" s="14" t="s">
        <v>33430</v>
      </c>
      <c r="C6643" s="4" t="s">
        <v>33436</v>
      </c>
      <c r="D6643" s="4" t="s">
        <v>33437</v>
      </c>
      <c r="E6643" s="4" t="s">
        <v>33438</v>
      </c>
      <c r="F6643" s="4" t="s">
        <v>5728</v>
      </c>
      <c r="G6643" s="4" t="s">
        <v>33439</v>
      </c>
    </row>
    <row r="6644" ht="14.25">
      <c r="B6644" s="14" t="s">
        <v>33430</v>
      </c>
      <c r="C6644" s="4" t="s">
        <v>33431</v>
      </c>
      <c r="D6644" s="4" t="s">
        <v>33440</v>
      </c>
      <c r="E6644" s="4" t="s">
        <v>33433</v>
      </c>
      <c r="F6644" s="4" t="s">
        <v>1861</v>
      </c>
      <c r="G6644" s="4" t="s">
        <v>33441</v>
      </c>
    </row>
    <row r="6645" ht="14.25">
      <c r="B6645" s="14" t="s">
        <v>33430</v>
      </c>
      <c r="C6645" s="4" t="s">
        <v>33431</v>
      </c>
      <c r="D6645" s="4" t="s">
        <v>33442</v>
      </c>
      <c r="E6645" s="4" t="s">
        <v>33433</v>
      </c>
      <c r="F6645" s="4" t="s">
        <v>7559</v>
      </c>
      <c r="G6645" s="4" t="s">
        <v>33443</v>
      </c>
    </row>
    <row r="6646" ht="14.25">
      <c r="B6646" s="14" t="s">
        <v>33430</v>
      </c>
      <c r="C6646" s="4" t="s">
        <v>33431</v>
      </c>
      <c r="D6646" s="4" t="s">
        <v>33444</v>
      </c>
      <c r="E6646" s="4" t="s">
        <v>33433</v>
      </c>
      <c r="F6646" s="4" t="s">
        <v>971</v>
      </c>
      <c r="G6646" s="4" t="s">
        <v>33445</v>
      </c>
    </row>
    <row r="6647" ht="14.25">
      <c r="B6647" s="14" t="s">
        <v>33430</v>
      </c>
      <c r="C6647" s="4" t="s">
        <v>33431</v>
      </c>
      <c r="D6647" s="4" t="s">
        <v>33446</v>
      </c>
      <c r="E6647" s="4" t="s">
        <v>33433</v>
      </c>
      <c r="F6647" s="4" t="s">
        <v>279</v>
      </c>
      <c r="G6647" s="4" t="s">
        <v>33447</v>
      </c>
    </row>
    <row r="6648" ht="14.25">
      <c r="B6648" s="14" t="s">
        <v>33430</v>
      </c>
      <c r="C6648" s="4" t="s">
        <v>33436</v>
      </c>
      <c r="D6648" s="4" t="s">
        <v>33448</v>
      </c>
      <c r="E6648" s="4" t="s">
        <v>33438</v>
      </c>
      <c r="F6648" s="4" t="s">
        <v>32891</v>
      </c>
      <c r="G6648" s="4" t="s">
        <v>33449</v>
      </c>
    </row>
    <row r="6649" ht="14.25">
      <c r="B6649" s="14" t="s">
        <v>33430</v>
      </c>
      <c r="C6649" s="4" t="s">
        <v>33431</v>
      </c>
      <c r="D6649" s="4" t="s">
        <v>33450</v>
      </c>
      <c r="E6649" s="4" t="s">
        <v>33433</v>
      </c>
      <c r="F6649" s="4" t="s">
        <v>33451</v>
      </c>
      <c r="G6649" s="4" t="s">
        <v>32736</v>
      </c>
    </row>
    <row r="6650" ht="14.25">
      <c r="B6650" s="14" t="s">
        <v>33430</v>
      </c>
      <c r="C6650" s="4" t="s">
        <v>33436</v>
      </c>
      <c r="D6650" s="4" t="s">
        <v>33452</v>
      </c>
      <c r="E6650" s="4" t="s">
        <v>33438</v>
      </c>
      <c r="F6650" s="4" t="s">
        <v>2462</v>
      </c>
      <c r="G6650" s="4" t="s">
        <v>33439</v>
      </c>
    </row>
    <row r="6651" ht="14.25">
      <c r="B6651" s="14" t="s">
        <v>33430</v>
      </c>
      <c r="C6651" s="4" t="s">
        <v>33431</v>
      </c>
      <c r="D6651" s="4" t="s">
        <v>33453</v>
      </c>
      <c r="E6651" s="4" t="s">
        <v>33433</v>
      </c>
      <c r="F6651" s="4" t="s">
        <v>8049</v>
      </c>
      <c r="G6651" s="4" t="s">
        <v>33454</v>
      </c>
    </row>
    <row r="6652" ht="14.25">
      <c r="B6652" s="14" t="s">
        <v>33430</v>
      </c>
      <c r="C6652" s="4" t="s">
        <v>33431</v>
      </c>
      <c r="D6652" s="4" t="s">
        <v>33455</v>
      </c>
      <c r="E6652" s="4" t="s">
        <v>33433</v>
      </c>
      <c r="F6652" s="4" t="s">
        <v>33456</v>
      </c>
      <c r="G6652" s="4" t="s">
        <v>33457</v>
      </c>
    </row>
    <row r="6653" ht="14.25">
      <c r="B6653" s="14" t="s">
        <v>33430</v>
      </c>
      <c r="C6653" s="4" t="s">
        <v>33431</v>
      </c>
      <c r="D6653" s="4" t="s">
        <v>33458</v>
      </c>
      <c r="E6653" s="4" t="s">
        <v>33433</v>
      </c>
      <c r="F6653" s="4" t="s">
        <v>33459</v>
      </c>
      <c r="G6653" s="4" t="s">
        <v>33460</v>
      </c>
    </row>
    <row r="6654" ht="14.25">
      <c r="B6654" s="14" t="s">
        <v>33430</v>
      </c>
      <c r="C6654" s="4" t="s">
        <v>33436</v>
      </c>
      <c r="D6654" s="4" t="s">
        <v>33461</v>
      </c>
      <c r="E6654" s="4" t="s">
        <v>33438</v>
      </c>
      <c r="F6654" s="4" t="s">
        <v>32701</v>
      </c>
      <c r="G6654" s="4" t="s">
        <v>33462</v>
      </c>
    </row>
    <row r="6655" ht="14.25">
      <c r="B6655" s="14" t="s">
        <v>33430</v>
      </c>
      <c r="C6655" s="4" t="s">
        <v>33436</v>
      </c>
      <c r="D6655" s="4" t="s">
        <v>33463</v>
      </c>
      <c r="E6655" s="4" t="s">
        <v>33438</v>
      </c>
      <c r="F6655" s="4" t="s">
        <v>330</v>
      </c>
      <c r="G6655" s="4" t="s">
        <v>33464</v>
      </c>
    </row>
    <row r="6656" ht="14.25">
      <c r="B6656" s="14" t="s">
        <v>33430</v>
      </c>
      <c r="C6656" s="4" t="s">
        <v>33431</v>
      </c>
      <c r="D6656" s="4" t="s">
        <v>33465</v>
      </c>
      <c r="E6656" s="4" t="s">
        <v>33433</v>
      </c>
      <c r="F6656" s="4" t="s">
        <v>4048</v>
      </c>
      <c r="G6656" s="4" t="s">
        <v>33447</v>
      </c>
    </row>
    <row r="6657" ht="14.25">
      <c r="B6657" s="14" t="s">
        <v>33430</v>
      </c>
      <c r="C6657" s="4" t="s">
        <v>33431</v>
      </c>
      <c r="D6657" s="4" t="s">
        <v>33466</v>
      </c>
      <c r="E6657" s="4" t="s">
        <v>33433</v>
      </c>
      <c r="F6657" s="4" t="s">
        <v>1732</v>
      </c>
      <c r="G6657" s="4" t="s">
        <v>33467</v>
      </c>
    </row>
    <row r="6658" ht="14.25">
      <c r="B6658" s="14" t="s">
        <v>33468</v>
      </c>
      <c r="C6658" s="4" t="s">
        <v>33469</v>
      </c>
      <c r="D6658" s="4" t="s">
        <v>33470</v>
      </c>
      <c r="E6658" s="4" t="s">
        <v>33471</v>
      </c>
      <c r="F6658" s="4" t="s">
        <v>5579</v>
      </c>
      <c r="G6658" s="4" t="s">
        <v>33472</v>
      </c>
    </row>
    <row r="6659" ht="14.25">
      <c r="B6659" s="14" t="s">
        <v>33473</v>
      </c>
      <c r="C6659" s="4" t="s">
        <v>33474</v>
      </c>
      <c r="D6659" s="4" t="s">
        <v>33475</v>
      </c>
      <c r="E6659" s="4" t="s">
        <v>33476</v>
      </c>
      <c r="F6659" s="4" t="s">
        <v>1596</v>
      </c>
      <c r="G6659" s="4" t="s">
        <v>33477</v>
      </c>
    </row>
    <row r="6660" ht="14.25">
      <c r="B6660" s="14" t="s">
        <v>33478</v>
      </c>
      <c r="C6660" s="4" t="s">
        <v>33479</v>
      </c>
      <c r="D6660" s="4" t="s">
        <v>33480</v>
      </c>
      <c r="E6660" s="4" t="s">
        <v>33481</v>
      </c>
      <c r="F6660" s="4" t="s">
        <v>32579</v>
      </c>
      <c r="G6660" s="4" t="s">
        <v>33482</v>
      </c>
    </row>
    <row r="6661" ht="14.25">
      <c r="B6661" s="14" t="s">
        <v>33483</v>
      </c>
      <c r="C6661" s="4" t="s">
        <v>33484</v>
      </c>
      <c r="D6661" s="4" t="s">
        <v>33485</v>
      </c>
      <c r="E6661" s="4" t="s">
        <v>33486</v>
      </c>
      <c r="F6661" s="4" t="s">
        <v>2652</v>
      </c>
      <c r="G6661" s="4" t="s">
        <v>33487</v>
      </c>
    </row>
    <row r="6662" ht="14.25">
      <c r="B6662" s="14" t="s">
        <v>33483</v>
      </c>
      <c r="C6662" s="4" t="s">
        <v>33484</v>
      </c>
      <c r="D6662" s="4" t="s">
        <v>33488</v>
      </c>
      <c r="E6662" s="4" t="s">
        <v>33486</v>
      </c>
      <c r="F6662" s="4" t="s">
        <v>33489</v>
      </c>
      <c r="G6662" s="4" t="s">
        <v>33490</v>
      </c>
    </row>
    <row r="6663" ht="14.25">
      <c r="B6663" s="14" t="s">
        <v>33483</v>
      </c>
      <c r="C6663" s="4" t="s">
        <v>33491</v>
      </c>
      <c r="D6663" s="4" t="s">
        <v>33492</v>
      </c>
      <c r="E6663" s="6"/>
      <c r="F6663" s="4" t="s">
        <v>955</v>
      </c>
      <c r="G6663" s="4" t="s">
        <v>33493</v>
      </c>
    </row>
    <row r="6664" ht="14.25">
      <c r="B6664" s="14" t="s">
        <v>33483</v>
      </c>
      <c r="C6664" s="4" t="s">
        <v>33494</v>
      </c>
      <c r="D6664" s="4" t="s">
        <v>33495</v>
      </c>
      <c r="E6664" s="4" t="s">
        <v>33496</v>
      </c>
      <c r="F6664" s="4" t="s">
        <v>170</v>
      </c>
      <c r="G6664" s="4" t="s">
        <v>33497</v>
      </c>
    </row>
    <row r="6665" ht="14.25">
      <c r="B6665" s="14" t="s">
        <v>33483</v>
      </c>
      <c r="C6665" s="4" t="s">
        <v>33484</v>
      </c>
      <c r="D6665" s="4" t="s">
        <v>33498</v>
      </c>
      <c r="E6665" s="4" t="s">
        <v>33486</v>
      </c>
      <c r="F6665" s="4" t="s">
        <v>4012</v>
      </c>
      <c r="G6665" s="4" t="s">
        <v>33499</v>
      </c>
    </row>
    <row r="6666" ht="14.25">
      <c r="B6666" s="14" t="s">
        <v>33483</v>
      </c>
      <c r="C6666" s="4" t="s">
        <v>33500</v>
      </c>
      <c r="D6666" s="4" t="s">
        <v>33501</v>
      </c>
      <c r="E6666" s="4" t="s">
        <v>33502</v>
      </c>
      <c r="F6666" s="4" t="s">
        <v>222</v>
      </c>
      <c r="G6666" s="4" t="s">
        <v>33503</v>
      </c>
    </row>
    <row r="6667" ht="14.25">
      <c r="B6667" s="14" t="s">
        <v>33483</v>
      </c>
      <c r="C6667" s="4" t="s">
        <v>33504</v>
      </c>
      <c r="D6667" s="4" t="s">
        <v>33505</v>
      </c>
      <c r="E6667" s="6"/>
      <c r="F6667" s="4" t="s">
        <v>2870</v>
      </c>
      <c r="G6667" s="4" t="s">
        <v>33506</v>
      </c>
    </row>
    <row r="6668" ht="14.25">
      <c r="B6668" s="14" t="s">
        <v>33483</v>
      </c>
      <c r="C6668" s="4" t="s">
        <v>33484</v>
      </c>
      <c r="D6668" s="4" t="s">
        <v>33507</v>
      </c>
      <c r="E6668" s="4" t="s">
        <v>33486</v>
      </c>
      <c r="F6668" s="4" t="s">
        <v>255</v>
      </c>
      <c r="G6668" s="4" t="s">
        <v>33508</v>
      </c>
    </row>
    <row r="6669" ht="14.25">
      <c r="B6669" s="14" t="s">
        <v>33483</v>
      </c>
      <c r="C6669" s="4" t="s">
        <v>33484</v>
      </c>
      <c r="D6669" s="4" t="s">
        <v>33509</v>
      </c>
      <c r="E6669" s="4" t="s">
        <v>33486</v>
      </c>
      <c r="F6669" s="4" t="s">
        <v>2398</v>
      </c>
      <c r="G6669" s="4" t="s">
        <v>33510</v>
      </c>
    </row>
    <row r="6670" ht="14.25">
      <c r="B6670" s="14" t="s">
        <v>33483</v>
      </c>
      <c r="C6670" s="4" t="s">
        <v>33511</v>
      </c>
      <c r="D6670" s="4" t="s">
        <v>33512</v>
      </c>
      <c r="E6670" s="4" t="s">
        <v>33513</v>
      </c>
      <c r="F6670" s="4" t="s">
        <v>1732</v>
      </c>
      <c r="G6670" s="4" t="s">
        <v>33514</v>
      </c>
    </row>
    <row r="6671" ht="14.25">
      <c r="B6671" s="14" t="s">
        <v>33515</v>
      </c>
      <c r="C6671" s="4" t="s">
        <v>33516</v>
      </c>
      <c r="D6671" s="4" t="s">
        <v>33517</v>
      </c>
      <c r="E6671" s="6"/>
      <c r="F6671" s="4" t="s">
        <v>808</v>
      </c>
      <c r="G6671" s="4" t="s">
        <v>33518</v>
      </c>
    </row>
    <row r="6672" ht="14.25">
      <c r="B6672" s="14" t="s">
        <v>33519</v>
      </c>
      <c r="C6672" s="4" t="s">
        <v>33520</v>
      </c>
      <c r="D6672" s="4" t="s">
        <v>33521</v>
      </c>
      <c r="E6672" s="4" t="s">
        <v>33522</v>
      </c>
      <c r="F6672" s="4" t="s">
        <v>33523</v>
      </c>
      <c r="G6672" s="4" t="s">
        <v>33524</v>
      </c>
    </row>
    <row r="6673" ht="14.25">
      <c r="B6673" s="14" t="s">
        <v>33519</v>
      </c>
      <c r="C6673" s="4" t="s">
        <v>33525</v>
      </c>
      <c r="D6673" s="4" t="s">
        <v>33526</v>
      </c>
      <c r="E6673" s="4" t="s">
        <v>33527</v>
      </c>
      <c r="F6673" s="4" t="s">
        <v>485</v>
      </c>
      <c r="G6673" s="4" t="s">
        <v>33528</v>
      </c>
    </row>
    <row r="6674" ht="14.25">
      <c r="B6674" s="14" t="s">
        <v>33529</v>
      </c>
      <c r="C6674" s="4" t="s">
        <v>33530</v>
      </c>
      <c r="D6674" s="4" t="s">
        <v>33531</v>
      </c>
      <c r="E6674" s="6"/>
      <c r="F6674" s="4" t="s">
        <v>32622</v>
      </c>
      <c r="G6674" s="4" t="s">
        <v>33532</v>
      </c>
    </row>
    <row r="6675" ht="14.25">
      <c r="B6675" s="14" t="s">
        <v>33533</v>
      </c>
      <c r="C6675" s="4" t="s">
        <v>33534</v>
      </c>
      <c r="D6675" s="4" t="s">
        <v>33535</v>
      </c>
      <c r="E6675" s="6"/>
      <c r="F6675" s="4" t="s">
        <v>32787</v>
      </c>
      <c r="G6675" s="4" t="s">
        <v>33536</v>
      </c>
    </row>
    <row r="6676" ht="14.25">
      <c r="B6676" s="14" t="s">
        <v>33537</v>
      </c>
      <c r="C6676" s="4" t="s">
        <v>33538</v>
      </c>
      <c r="D6676" s="4" t="s">
        <v>33539</v>
      </c>
      <c r="E6676" s="6"/>
      <c r="F6676" s="4" t="s">
        <v>355</v>
      </c>
      <c r="G6676" s="4" t="s">
        <v>33540</v>
      </c>
    </row>
    <row r="6677" ht="14.25">
      <c r="B6677" s="14" t="s">
        <v>33537</v>
      </c>
      <c r="C6677" s="4" t="s">
        <v>33538</v>
      </c>
      <c r="D6677" s="4" t="s">
        <v>33541</v>
      </c>
      <c r="E6677" s="4" t="s">
        <v>33539</v>
      </c>
      <c r="F6677" s="4" t="s">
        <v>743</v>
      </c>
      <c r="G6677" s="4" t="s">
        <v>33542</v>
      </c>
    </row>
    <row r="6678" ht="14.25">
      <c r="B6678" s="14" t="s">
        <v>33543</v>
      </c>
      <c r="C6678" s="4" t="s">
        <v>33544</v>
      </c>
      <c r="D6678" s="4" t="s">
        <v>33545</v>
      </c>
      <c r="E6678" s="4" t="s">
        <v>33546</v>
      </c>
      <c r="F6678" s="4" t="s">
        <v>1583</v>
      </c>
      <c r="G6678" s="4" t="s">
        <v>33547</v>
      </c>
    </row>
    <row r="6679" ht="14.25">
      <c r="B6679" s="14" t="s">
        <v>33543</v>
      </c>
      <c r="C6679" s="4" t="s">
        <v>33544</v>
      </c>
      <c r="D6679" s="4" t="s">
        <v>33548</v>
      </c>
      <c r="E6679" s="4" t="s">
        <v>33546</v>
      </c>
      <c r="F6679" s="4" t="s">
        <v>330</v>
      </c>
      <c r="G6679" s="4" t="s">
        <v>33549</v>
      </c>
    </row>
    <row r="6680" ht="14.25">
      <c r="B6680" s="14" t="s">
        <v>33550</v>
      </c>
      <c r="C6680" s="4" t="s">
        <v>33551</v>
      </c>
      <c r="D6680" s="4" t="s">
        <v>33552</v>
      </c>
      <c r="E6680" s="4" t="s">
        <v>33553</v>
      </c>
      <c r="F6680" s="4" t="s">
        <v>17867</v>
      </c>
      <c r="G6680" s="4" t="s">
        <v>33554</v>
      </c>
    </row>
    <row r="6681" ht="14.25">
      <c r="B6681" s="14" t="s">
        <v>33555</v>
      </c>
      <c r="C6681" s="4" t="s">
        <v>33556</v>
      </c>
      <c r="D6681" s="4" t="s">
        <v>33557</v>
      </c>
      <c r="E6681" s="6"/>
      <c r="F6681" s="4" t="s">
        <v>110</v>
      </c>
      <c r="G6681" s="4" t="s">
        <v>33558</v>
      </c>
    </row>
    <row r="6682" ht="14.25">
      <c r="B6682" s="14" t="s">
        <v>33559</v>
      </c>
      <c r="C6682" s="4" t="s">
        <v>33560</v>
      </c>
      <c r="D6682" s="4" t="s">
        <v>33561</v>
      </c>
      <c r="E6682" s="6"/>
      <c r="F6682" s="4" t="s">
        <v>8944</v>
      </c>
      <c r="G6682" s="4" t="s">
        <v>33562</v>
      </c>
    </row>
    <row r="6683" ht="14.25">
      <c r="B6683" s="14" t="s">
        <v>33559</v>
      </c>
      <c r="C6683" s="4" t="s">
        <v>33563</v>
      </c>
      <c r="D6683" s="4" t="s">
        <v>33564</v>
      </c>
      <c r="E6683" s="4" t="s">
        <v>33565</v>
      </c>
      <c r="F6683" s="4" t="s">
        <v>33566</v>
      </c>
      <c r="G6683" s="4" t="s">
        <v>33567</v>
      </c>
    </row>
    <row r="6684" ht="14.25">
      <c r="B6684" s="14" t="s">
        <v>33568</v>
      </c>
      <c r="C6684" s="4" t="s">
        <v>33569</v>
      </c>
      <c r="D6684" s="4" t="s">
        <v>33570</v>
      </c>
      <c r="E6684" s="4" t="s">
        <v>33571</v>
      </c>
      <c r="F6684" s="4" t="s">
        <v>1215</v>
      </c>
      <c r="G6684" s="4" t="s">
        <v>33572</v>
      </c>
    </row>
    <row r="6685" ht="14.25">
      <c r="B6685" s="14" t="s">
        <v>33568</v>
      </c>
      <c r="C6685" s="4" t="s">
        <v>33573</v>
      </c>
      <c r="D6685" s="4" t="s">
        <v>33574</v>
      </c>
      <c r="E6685" s="4" t="s">
        <v>33575</v>
      </c>
      <c r="F6685" s="4" t="s">
        <v>33576</v>
      </c>
      <c r="G6685" s="4" t="s">
        <v>33577</v>
      </c>
    </row>
    <row r="6686" ht="14.25">
      <c r="B6686" s="14" t="s">
        <v>33578</v>
      </c>
      <c r="C6686" s="4" t="s">
        <v>33579</v>
      </c>
      <c r="D6686" s="4" t="s">
        <v>33580</v>
      </c>
      <c r="E6686" s="4" t="s">
        <v>33581</v>
      </c>
      <c r="F6686" s="4" t="s">
        <v>20</v>
      </c>
      <c r="G6686" s="4" t="s">
        <v>33582</v>
      </c>
    </row>
    <row r="6687" ht="14.25">
      <c r="B6687" s="14" t="s">
        <v>33583</v>
      </c>
      <c r="C6687" s="4" t="s">
        <v>33584</v>
      </c>
      <c r="D6687" s="4" t="s">
        <v>33585</v>
      </c>
      <c r="E6687" s="6"/>
      <c r="F6687" s="4" t="s">
        <v>110</v>
      </c>
      <c r="G6687" s="4" t="s">
        <v>33586</v>
      </c>
    </row>
    <row r="6688" ht="14.25">
      <c r="B6688" s="14" t="s">
        <v>33583</v>
      </c>
      <c r="C6688" s="4" t="s">
        <v>33587</v>
      </c>
      <c r="D6688" s="4" t="s">
        <v>33588</v>
      </c>
      <c r="E6688" s="4" t="s">
        <v>33589</v>
      </c>
      <c r="F6688" s="4" t="s">
        <v>7559</v>
      </c>
      <c r="G6688" s="4" t="s">
        <v>33590</v>
      </c>
    </row>
    <row r="6689" ht="14.25">
      <c r="B6689" s="14" t="s">
        <v>33591</v>
      </c>
      <c r="C6689" s="4" t="s">
        <v>33592</v>
      </c>
      <c r="D6689" s="4" t="s">
        <v>33593</v>
      </c>
      <c r="E6689" s="4" t="s">
        <v>33594</v>
      </c>
      <c r="F6689" s="4" t="s">
        <v>4204</v>
      </c>
      <c r="G6689" s="4" t="s">
        <v>33595</v>
      </c>
    </row>
    <row r="6690" ht="14.25">
      <c r="B6690" s="14" t="s">
        <v>33591</v>
      </c>
      <c r="C6690" s="4" t="s">
        <v>33596</v>
      </c>
      <c r="D6690" s="4" t="s">
        <v>33597</v>
      </c>
      <c r="E6690" s="4" t="s">
        <v>33598</v>
      </c>
      <c r="F6690" s="4" t="s">
        <v>4800</v>
      </c>
      <c r="G6690" s="4" t="s">
        <v>33599</v>
      </c>
    </row>
    <row r="6691" ht="14.25">
      <c r="B6691" s="14" t="s">
        <v>33591</v>
      </c>
      <c r="C6691" s="4" t="s">
        <v>33596</v>
      </c>
      <c r="D6691" s="4" t="s">
        <v>33600</v>
      </c>
      <c r="E6691" s="4" t="s">
        <v>33598</v>
      </c>
      <c r="F6691" s="4" t="s">
        <v>13010</v>
      </c>
      <c r="G6691" s="4" t="s">
        <v>33601</v>
      </c>
    </row>
    <row r="6692" ht="14.25">
      <c r="B6692" s="14" t="s">
        <v>33591</v>
      </c>
      <c r="C6692" s="4" t="s">
        <v>33592</v>
      </c>
      <c r="D6692" s="4" t="s">
        <v>33602</v>
      </c>
      <c r="E6692" s="4" t="s">
        <v>33594</v>
      </c>
      <c r="F6692" s="4" t="s">
        <v>255</v>
      </c>
      <c r="G6692" s="4" t="s">
        <v>33603</v>
      </c>
    </row>
    <row r="6693" ht="14.25">
      <c r="B6693" s="14" t="s">
        <v>33604</v>
      </c>
      <c r="C6693" s="4" t="s">
        <v>33605</v>
      </c>
      <c r="D6693" s="4" t="s">
        <v>33606</v>
      </c>
      <c r="E6693" s="4" t="s">
        <v>33607</v>
      </c>
      <c r="F6693" s="4" t="s">
        <v>971</v>
      </c>
      <c r="G6693" s="4" t="s">
        <v>33608</v>
      </c>
    </row>
    <row r="6694" ht="14.25">
      <c r="B6694" s="14" t="s">
        <v>33604</v>
      </c>
      <c r="C6694" s="4" t="s">
        <v>33605</v>
      </c>
      <c r="D6694" s="4" t="s">
        <v>33609</v>
      </c>
      <c r="E6694" s="4" t="s">
        <v>33607</v>
      </c>
      <c r="F6694" s="4" t="s">
        <v>32725</v>
      </c>
      <c r="G6694" s="4" t="s">
        <v>33610</v>
      </c>
    </row>
    <row r="6695" ht="14.25">
      <c r="B6695" s="14" t="s">
        <v>33604</v>
      </c>
      <c r="C6695" s="4" t="s">
        <v>33605</v>
      </c>
      <c r="D6695" s="4" t="s">
        <v>33611</v>
      </c>
      <c r="E6695" s="4" t="s">
        <v>33607</v>
      </c>
      <c r="F6695" s="4" t="s">
        <v>32725</v>
      </c>
      <c r="G6695" s="4" t="s">
        <v>33612</v>
      </c>
    </row>
    <row r="6696" ht="14.25">
      <c r="B6696" s="14" t="s">
        <v>33613</v>
      </c>
      <c r="C6696" s="4" t="s">
        <v>33614</v>
      </c>
      <c r="D6696" s="4" t="s">
        <v>33615</v>
      </c>
      <c r="E6696" s="4" t="s">
        <v>33616</v>
      </c>
      <c r="F6696" s="4" t="s">
        <v>4800</v>
      </c>
      <c r="G6696" s="4" t="s">
        <v>33617</v>
      </c>
    </row>
    <row r="6697" ht="14.25">
      <c r="B6697" s="14" t="s">
        <v>33618</v>
      </c>
      <c r="C6697" s="4" t="s">
        <v>33619</v>
      </c>
      <c r="D6697" s="4" t="s">
        <v>33620</v>
      </c>
      <c r="E6697" s="6"/>
      <c r="F6697" s="4" t="s">
        <v>33621</v>
      </c>
      <c r="G6697" s="4" t="s">
        <v>33622</v>
      </c>
    </row>
    <row r="6698" ht="14.25">
      <c r="B6698" s="14" t="s">
        <v>33623</v>
      </c>
      <c r="C6698" s="4" t="s">
        <v>33624</v>
      </c>
      <c r="D6698" s="4" t="s">
        <v>33625</v>
      </c>
      <c r="E6698" s="6"/>
      <c r="F6698" s="4" t="s">
        <v>3371</v>
      </c>
      <c r="G6698" s="4" t="s">
        <v>33626</v>
      </c>
    </row>
    <row r="6699" ht="14.25">
      <c r="B6699" s="14" t="s">
        <v>33627</v>
      </c>
      <c r="C6699" s="4" t="s">
        <v>33628</v>
      </c>
      <c r="D6699" s="4" t="s">
        <v>33629</v>
      </c>
      <c r="E6699" s="6"/>
      <c r="F6699" s="4" t="s">
        <v>630</v>
      </c>
      <c r="G6699" s="4" t="s">
        <v>33630</v>
      </c>
    </row>
    <row r="6700" ht="14.25">
      <c r="B6700" s="14" t="s">
        <v>33631</v>
      </c>
      <c r="C6700" s="4" t="s">
        <v>33632</v>
      </c>
      <c r="D6700" s="4" t="s">
        <v>33633</v>
      </c>
      <c r="E6700" s="4" t="s">
        <v>33634</v>
      </c>
      <c r="F6700" s="4" t="s">
        <v>1215</v>
      </c>
      <c r="G6700" s="4" t="s">
        <v>33635</v>
      </c>
    </row>
    <row r="6701" ht="14.25">
      <c r="B6701" s="14" t="s">
        <v>33636</v>
      </c>
      <c r="C6701" s="4" t="s">
        <v>33637</v>
      </c>
      <c r="D6701" s="4" t="s">
        <v>33638</v>
      </c>
      <c r="E6701" s="4" t="s">
        <v>33639</v>
      </c>
      <c r="F6701" s="4" t="s">
        <v>1499</v>
      </c>
      <c r="G6701" s="4" t="s">
        <v>33640</v>
      </c>
    </row>
    <row r="6702" ht="14.25">
      <c r="B6702" s="14" t="s">
        <v>33641</v>
      </c>
      <c r="C6702" s="4" t="s">
        <v>33642</v>
      </c>
      <c r="D6702" s="4" t="s">
        <v>33643</v>
      </c>
      <c r="E6702" s="6"/>
      <c r="F6702" s="4" t="s">
        <v>33644</v>
      </c>
      <c r="G6702" s="4" t="s">
        <v>33645</v>
      </c>
    </row>
    <row r="6703" ht="14.25">
      <c r="B6703" s="14" t="s">
        <v>33641</v>
      </c>
      <c r="C6703" s="4" t="s">
        <v>33646</v>
      </c>
      <c r="D6703" s="4" t="s">
        <v>33647</v>
      </c>
      <c r="E6703" s="4" t="s">
        <v>33648</v>
      </c>
      <c r="F6703" s="4" t="s">
        <v>33649</v>
      </c>
      <c r="G6703" s="4" t="s">
        <v>33650</v>
      </c>
    </row>
    <row r="6704" ht="14.25">
      <c r="B6704" s="14" t="s">
        <v>33641</v>
      </c>
      <c r="C6704" s="4" t="s">
        <v>33651</v>
      </c>
      <c r="D6704" s="4" t="s">
        <v>33652</v>
      </c>
      <c r="E6704" s="4" t="s">
        <v>33653</v>
      </c>
      <c r="F6704" s="4" t="s">
        <v>808</v>
      </c>
      <c r="G6704" s="4" t="s">
        <v>33654</v>
      </c>
    </row>
    <row r="6705" ht="14.25">
      <c r="B6705" s="14" t="s">
        <v>33655</v>
      </c>
      <c r="C6705" s="4" t="s">
        <v>33656</v>
      </c>
      <c r="D6705" s="4" t="s">
        <v>33657</v>
      </c>
      <c r="E6705" s="4" t="s">
        <v>33658</v>
      </c>
      <c r="F6705" s="4" t="s">
        <v>670</v>
      </c>
      <c r="G6705" s="4" t="s">
        <v>33659</v>
      </c>
    </row>
    <row r="6706" ht="14.25">
      <c r="B6706" s="14" t="s">
        <v>33655</v>
      </c>
      <c r="C6706" s="4" t="s">
        <v>33656</v>
      </c>
      <c r="D6706" s="4" t="s">
        <v>33660</v>
      </c>
      <c r="E6706" s="4" t="s">
        <v>33658</v>
      </c>
      <c r="F6706" s="4" t="s">
        <v>743</v>
      </c>
      <c r="G6706" s="4" t="s">
        <v>33661</v>
      </c>
    </row>
    <row r="6707" ht="14.25">
      <c r="B6707" s="14" t="s">
        <v>33655</v>
      </c>
      <c r="C6707" s="4" t="s">
        <v>33656</v>
      </c>
      <c r="D6707" s="4" t="s">
        <v>33662</v>
      </c>
      <c r="E6707" s="4" t="s">
        <v>33658</v>
      </c>
      <c r="F6707" s="4" t="s">
        <v>4132</v>
      </c>
      <c r="G6707" s="4" t="s">
        <v>33663</v>
      </c>
    </row>
    <row r="6708" ht="14.25">
      <c r="B6708" s="14" t="s">
        <v>33655</v>
      </c>
      <c r="C6708" s="4" t="s">
        <v>33656</v>
      </c>
      <c r="D6708" s="4" t="s">
        <v>33664</v>
      </c>
      <c r="E6708" s="4" t="s">
        <v>33658</v>
      </c>
      <c r="F6708" s="4" t="s">
        <v>1704</v>
      </c>
      <c r="G6708" s="4" t="s">
        <v>33665</v>
      </c>
    </row>
    <row r="6709" ht="14.25">
      <c r="B6709" s="14" t="s">
        <v>33655</v>
      </c>
      <c r="C6709" s="4" t="s">
        <v>33656</v>
      </c>
      <c r="D6709" s="4" t="s">
        <v>33666</v>
      </c>
      <c r="E6709" s="4" t="s">
        <v>33658</v>
      </c>
      <c r="F6709" s="4" t="s">
        <v>1215</v>
      </c>
      <c r="G6709" s="4" t="s">
        <v>33667</v>
      </c>
    </row>
    <row r="6710" ht="14.25">
      <c r="B6710" s="14" t="s">
        <v>33668</v>
      </c>
      <c r="C6710" s="4" t="s">
        <v>33669</v>
      </c>
      <c r="D6710" s="4" t="s">
        <v>33670</v>
      </c>
      <c r="E6710" s="4" t="s">
        <v>33671</v>
      </c>
      <c r="F6710" s="4" t="s">
        <v>32891</v>
      </c>
      <c r="G6710" s="4" t="s">
        <v>33672</v>
      </c>
    </row>
    <row r="6711" ht="14.25">
      <c r="B6711" s="14" t="s">
        <v>33673</v>
      </c>
      <c r="C6711" s="4" t="s">
        <v>33674</v>
      </c>
      <c r="D6711" s="4" t="s">
        <v>33675</v>
      </c>
      <c r="E6711" s="6"/>
      <c r="F6711" s="4" t="s">
        <v>32831</v>
      </c>
      <c r="G6711" s="4" t="s">
        <v>33676</v>
      </c>
    </row>
    <row r="6712" ht="14.25">
      <c r="B6712" s="14" t="s">
        <v>33677</v>
      </c>
      <c r="C6712" s="4" t="s">
        <v>33678</v>
      </c>
      <c r="D6712" s="4" t="s">
        <v>33679</v>
      </c>
      <c r="E6712" s="4" t="s">
        <v>33680</v>
      </c>
      <c r="F6712" s="4" t="s">
        <v>2372</v>
      </c>
      <c r="G6712" s="4" t="s">
        <v>33681</v>
      </c>
    </row>
    <row r="6713" ht="14.25">
      <c r="B6713" s="14" t="s">
        <v>33677</v>
      </c>
      <c r="C6713" s="4" t="s">
        <v>33682</v>
      </c>
      <c r="D6713" s="4" t="s">
        <v>33683</v>
      </c>
      <c r="E6713" s="4" t="s">
        <v>33684</v>
      </c>
      <c r="F6713" s="4" t="s">
        <v>33621</v>
      </c>
      <c r="G6713" s="4" t="s">
        <v>33685</v>
      </c>
    </row>
    <row r="6714" ht="14.25">
      <c r="B6714" s="14" t="s">
        <v>33677</v>
      </c>
      <c r="C6714" s="4" t="s">
        <v>33686</v>
      </c>
      <c r="D6714" s="4" t="s">
        <v>33687</v>
      </c>
      <c r="E6714" s="4" t="s">
        <v>33688</v>
      </c>
      <c r="F6714" s="4" t="s">
        <v>7525</v>
      </c>
      <c r="G6714" s="4" t="s">
        <v>33689</v>
      </c>
    </row>
    <row r="6715" ht="14.25">
      <c r="B6715" s="14" t="s">
        <v>33677</v>
      </c>
      <c r="C6715" s="4" t="s">
        <v>33686</v>
      </c>
      <c r="D6715" s="4" t="s">
        <v>33690</v>
      </c>
      <c r="E6715" s="4" t="s">
        <v>33688</v>
      </c>
      <c r="F6715" s="4" t="s">
        <v>2299</v>
      </c>
      <c r="G6715" s="4" t="s">
        <v>33691</v>
      </c>
    </row>
    <row r="6716" ht="14.25">
      <c r="B6716" s="14" t="s">
        <v>33692</v>
      </c>
      <c r="C6716" s="4" t="s">
        <v>33693</v>
      </c>
      <c r="D6716" s="4" t="s">
        <v>33694</v>
      </c>
      <c r="E6716" s="6"/>
      <c r="F6716" s="4" t="s">
        <v>785</v>
      </c>
      <c r="G6716" s="4" t="s">
        <v>33695</v>
      </c>
    </row>
    <row r="6717" ht="14.25">
      <c r="B6717" s="14" t="s">
        <v>33696</v>
      </c>
      <c r="C6717" s="4" t="s">
        <v>33697</v>
      </c>
      <c r="D6717" s="4" t="s">
        <v>33698</v>
      </c>
      <c r="E6717" s="4" t="s">
        <v>33699</v>
      </c>
      <c r="F6717" s="4" t="s">
        <v>32622</v>
      </c>
      <c r="G6717" s="4" t="s">
        <v>33700</v>
      </c>
    </row>
    <row r="6718" ht="14.25">
      <c r="B6718" s="14" t="s">
        <v>33701</v>
      </c>
      <c r="C6718" s="4" t="s">
        <v>33702</v>
      </c>
      <c r="D6718" s="4" t="s">
        <v>33703</v>
      </c>
      <c r="E6718" s="6"/>
      <c r="F6718" s="4" t="s">
        <v>17867</v>
      </c>
      <c r="G6718" s="4" t="s">
        <v>33704</v>
      </c>
    </row>
    <row r="6719" ht="14.25">
      <c r="B6719" s="14" t="s">
        <v>33705</v>
      </c>
      <c r="C6719" s="4" t="s">
        <v>33706</v>
      </c>
      <c r="D6719" s="4" t="s">
        <v>33707</v>
      </c>
      <c r="E6719" s="4" t="s">
        <v>33708</v>
      </c>
      <c r="F6719" s="4" t="s">
        <v>110</v>
      </c>
      <c r="G6719" s="4" t="s">
        <v>33709</v>
      </c>
    </row>
    <row r="6720" ht="14.25">
      <c r="B6720" s="14" t="s">
        <v>33705</v>
      </c>
      <c r="C6720" s="4" t="s">
        <v>33710</v>
      </c>
      <c r="D6720" s="4" t="s">
        <v>33711</v>
      </c>
      <c r="E6720" s="6"/>
      <c r="F6720" s="4" t="s">
        <v>33712</v>
      </c>
      <c r="G6720" s="4" t="s">
        <v>33713</v>
      </c>
    </row>
    <row r="6721" ht="14.25">
      <c r="B6721" s="14" t="s">
        <v>33705</v>
      </c>
      <c r="C6721" s="4" t="s">
        <v>33714</v>
      </c>
      <c r="D6721" s="4" t="s">
        <v>33715</v>
      </c>
      <c r="E6721" s="4" t="s">
        <v>33716</v>
      </c>
      <c r="F6721" s="4" t="s">
        <v>866</v>
      </c>
      <c r="G6721" s="4" t="s">
        <v>33717</v>
      </c>
    </row>
    <row r="6722" ht="14.25">
      <c r="B6722" s="14" t="s">
        <v>33718</v>
      </c>
      <c r="C6722" s="4" t="s">
        <v>33719</v>
      </c>
      <c r="D6722" s="4" t="s">
        <v>33720</v>
      </c>
      <c r="E6722" s="6"/>
      <c r="F6722" s="4" t="s">
        <v>2508</v>
      </c>
      <c r="G6722" s="4" t="s">
        <v>33721</v>
      </c>
    </row>
    <row r="6723" ht="14.25">
      <c r="B6723" s="14" t="s">
        <v>33718</v>
      </c>
      <c r="C6723" s="4" t="s">
        <v>33722</v>
      </c>
      <c r="D6723" s="4" t="s">
        <v>33723</v>
      </c>
      <c r="E6723" s="4" t="s">
        <v>33724</v>
      </c>
      <c r="F6723" s="4" t="s">
        <v>32622</v>
      </c>
      <c r="G6723" s="4" t="s">
        <v>33725</v>
      </c>
    </row>
    <row r="6724" ht="14.25">
      <c r="B6724" s="14" t="s">
        <v>33726</v>
      </c>
      <c r="C6724" s="4" t="s">
        <v>33727</v>
      </c>
      <c r="D6724" s="4" t="s">
        <v>33728</v>
      </c>
      <c r="E6724" s="4" t="s">
        <v>33729</v>
      </c>
      <c r="F6724" s="4" t="s">
        <v>1583</v>
      </c>
      <c r="G6724" s="4" t="s">
        <v>33730</v>
      </c>
    </row>
    <row r="6725" ht="14.25">
      <c r="B6725" s="14" t="s">
        <v>33726</v>
      </c>
      <c r="C6725" s="4" t="s">
        <v>33727</v>
      </c>
      <c r="D6725" s="4" t="s">
        <v>33731</v>
      </c>
      <c r="E6725" s="4" t="s">
        <v>33729</v>
      </c>
      <c r="F6725" s="4" t="s">
        <v>1215</v>
      </c>
      <c r="G6725" s="4" t="s">
        <v>33732</v>
      </c>
    </row>
    <row r="6726" ht="14.25">
      <c r="B6726" s="14" t="s">
        <v>33733</v>
      </c>
      <c r="C6726" s="4" t="s">
        <v>33734</v>
      </c>
      <c r="D6726" s="4" t="s">
        <v>33735</v>
      </c>
      <c r="E6726" s="6"/>
      <c r="F6726" s="4" t="s">
        <v>21744</v>
      </c>
      <c r="G6726" s="4" t="s">
        <v>33736</v>
      </c>
    </row>
    <row r="6727" ht="14.25">
      <c r="B6727" s="14" t="s">
        <v>33737</v>
      </c>
      <c r="C6727" s="4" t="s">
        <v>33738</v>
      </c>
      <c r="D6727" s="4" t="s">
        <v>33739</v>
      </c>
      <c r="E6727" s="4" t="s">
        <v>33740</v>
      </c>
      <c r="F6727" s="4" t="s">
        <v>330</v>
      </c>
      <c r="G6727" s="4" t="s">
        <v>33741</v>
      </c>
    </row>
    <row r="6728" ht="14.25">
      <c r="B6728" s="14" t="s">
        <v>33742</v>
      </c>
      <c r="C6728" s="4" t="s">
        <v>33743</v>
      </c>
      <c r="D6728" s="4" t="s">
        <v>33744</v>
      </c>
      <c r="E6728" s="4" t="s">
        <v>33745</v>
      </c>
      <c r="F6728" s="4" t="s">
        <v>26223</v>
      </c>
      <c r="G6728" s="4" t="s">
        <v>33746</v>
      </c>
    </row>
    <row r="6729" ht="14.25">
      <c r="B6729" s="14" t="s">
        <v>33747</v>
      </c>
      <c r="C6729" s="4" t="s">
        <v>33748</v>
      </c>
      <c r="D6729" s="4" t="s">
        <v>33749</v>
      </c>
      <c r="E6729" s="6"/>
      <c r="F6729" s="4" t="s">
        <v>4800</v>
      </c>
      <c r="G6729" s="4" t="s">
        <v>33750</v>
      </c>
    </row>
    <row r="6730" ht="14.25">
      <c r="B6730" s="14" t="s">
        <v>33751</v>
      </c>
      <c r="C6730" s="4" t="s">
        <v>33752</v>
      </c>
      <c r="D6730" s="4" t="s">
        <v>33753</v>
      </c>
      <c r="E6730" s="4" t="s">
        <v>33754</v>
      </c>
      <c r="F6730" s="4" t="s">
        <v>653</v>
      </c>
      <c r="G6730" s="4" t="s">
        <v>33755</v>
      </c>
    </row>
    <row r="6731" ht="14.25">
      <c r="B6731" s="14" t="s">
        <v>33751</v>
      </c>
      <c r="C6731" s="4" t="s">
        <v>33756</v>
      </c>
      <c r="D6731" s="4" t="s">
        <v>33757</v>
      </c>
      <c r="E6731" s="4" t="s">
        <v>33758</v>
      </c>
      <c r="F6731" s="4" t="s">
        <v>1153</v>
      </c>
      <c r="G6731" s="4" t="s">
        <v>33759</v>
      </c>
    </row>
    <row r="6732" ht="14.25">
      <c r="B6732" s="14" t="s">
        <v>33751</v>
      </c>
      <c r="C6732" s="4" t="s">
        <v>33756</v>
      </c>
      <c r="D6732" s="4" t="s">
        <v>33760</v>
      </c>
      <c r="E6732" s="4" t="s">
        <v>33758</v>
      </c>
      <c r="F6732" s="4" t="s">
        <v>6390</v>
      </c>
      <c r="G6732" s="4" t="s">
        <v>33761</v>
      </c>
    </row>
    <row r="6733" ht="14.25">
      <c r="B6733" s="14" t="s">
        <v>33762</v>
      </c>
      <c r="C6733" s="4" t="s">
        <v>33763</v>
      </c>
      <c r="D6733" s="4" t="s">
        <v>33764</v>
      </c>
      <c r="E6733" s="4" t="s">
        <v>33765</v>
      </c>
      <c r="F6733" s="4" t="s">
        <v>1215</v>
      </c>
      <c r="G6733" s="4" t="s">
        <v>33766</v>
      </c>
    </row>
    <row r="6734" ht="14.25">
      <c r="B6734" s="14" t="s">
        <v>33762</v>
      </c>
      <c r="C6734" s="4" t="s">
        <v>33763</v>
      </c>
      <c r="D6734" s="4" t="s">
        <v>33767</v>
      </c>
      <c r="E6734" s="4" t="s">
        <v>33765</v>
      </c>
      <c r="F6734" s="4" t="s">
        <v>330</v>
      </c>
      <c r="G6734" s="4" t="s">
        <v>33768</v>
      </c>
    </row>
    <row r="6735" ht="14.25">
      <c r="B6735" s="14" t="s">
        <v>33762</v>
      </c>
      <c r="C6735" s="4" t="s">
        <v>33763</v>
      </c>
      <c r="D6735" s="4" t="s">
        <v>33769</v>
      </c>
      <c r="E6735" s="4" t="s">
        <v>33765</v>
      </c>
      <c r="F6735" s="4" t="s">
        <v>33770</v>
      </c>
      <c r="G6735" s="4" t="s">
        <v>33771</v>
      </c>
    </row>
    <row r="6736" ht="14.25">
      <c r="B6736" s="14" t="s">
        <v>33762</v>
      </c>
      <c r="C6736" s="4" t="s">
        <v>33763</v>
      </c>
      <c r="D6736" s="4" t="s">
        <v>33772</v>
      </c>
      <c r="E6736" s="4" t="s">
        <v>33765</v>
      </c>
      <c r="F6736" s="4" t="s">
        <v>963</v>
      </c>
      <c r="G6736" s="4" t="s">
        <v>33773</v>
      </c>
    </row>
    <row r="6737" ht="14.25">
      <c r="B6737" s="14" t="s">
        <v>33774</v>
      </c>
      <c r="C6737" s="4" t="s">
        <v>33775</v>
      </c>
      <c r="D6737" s="4" t="s">
        <v>33776</v>
      </c>
      <c r="E6737" s="4" t="s">
        <v>33777</v>
      </c>
      <c r="F6737" s="4" t="s">
        <v>330</v>
      </c>
      <c r="G6737" s="4" t="s">
        <v>33778</v>
      </c>
    </row>
    <row r="6738" ht="14.25">
      <c r="B6738" s="14" t="s">
        <v>33774</v>
      </c>
      <c r="C6738" s="4" t="s">
        <v>33775</v>
      </c>
      <c r="D6738" s="4" t="s">
        <v>33779</v>
      </c>
      <c r="E6738" s="4" t="s">
        <v>33777</v>
      </c>
      <c r="F6738" s="4" t="s">
        <v>785</v>
      </c>
      <c r="G6738" s="4" t="s">
        <v>33780</v>
      </c>
    </row>
    <row r="6739" ht="14.25">
      <c r="B6739" s="14" t="s">
        <v>33781</v>
      </c>
      <c r="C6739" s="4" t="s">
        <v>33782</v>
      </c>
      <c r="D6739" s="4" t="s">
        <v>33783</v>
      </c>
      <c r="E6739" s="4" t="s">
        <v>33784</v>
      </c>
      <c r="F6739" s="4" t="s">
        <v>20</v>
      </c>
      <c r="G6739" s="4" t="s">
        <v>33785</v>
      </c>
    </row>
    <row r="6740" ht="14.25">
      <c r="B6740" s="14" t="s">
        <v>33781</v>
      </c>
      <c r="C6740" s="4" t="s">
        <v>33782</v>
      </c>
      <c r="D6740" s="4" t="s">
        <v>33786</v>
      </c>
      <c r="E6740" s="4" t="s">
        <v>33784</v>
      </c>
      <c r="F6740" s="4" t="s">
        <v>32831</v>
      </c>
      <c r="G6740" s="4" t="s">
        <v>33787</v>
      </c>
    </row>
    <row r="6741" ht="14.25">
      <c r="B6741" s="14" t="s">
        <v>33788</v>
      </c>
      <c r="C6741" s="4" t="s">
        <v>33789</v>
      </c>
      <c r="D6741" s="4" t="s">
        <v>33790</v>
      </c>
      <c r="E6741" s="6"/>
      <c r="F6741" s="4" t="s">
        <v>571</v>
      </c>
      <c r="G6741" s="4" t="s">
        <v>33791</v>
      </c>
    </row>
    <row r="6742" ht="14.25">
      <c r="B6742" s="14" t="s">
        <v>33792</v>
      </c>
      <c r="C6742" s="4" t="s">
        <v>33793</v>
      </c>
      <c r="D6742" s="4" t="s">
        <v>33794</v>
      </c>
      <c r="E6742" s="4" t="s">
        <v>33795</v>
      </c>
      <c r="F6742" s="4" t="s">
        <v>298</v>
      </c>
      <c r="G6742" s="4" t="s">
        <v>33796</v>
      </c>
    </row>
    <row r="6743" ht="14.25">
      <c r="B6743" s="14" t="s">
        <v>33792</v>
      </c>
      <c r="C6743" s="4" t="s">
        <v>33797</v>
      </c>
      <c r="D6743" s="4" t="s">
        <v>33798</v>
      </c>
      <c r="E6743" s="4" t="s">
        <v>33799</v>
      </c>
      <c r="F6743" s="4" t="s">
        <v>6356</v>
      </c>
      <c r="G6743" s="4" t="s">
        <v>33800</v>
      </c>
    </row>
    <row r="6744" ht="14.25">
      <c r="B6744" s="14" t="s">
        <v>33801</v>
      </c>
      <c r="C6744" s="4" t="s">
        <v>33802</v>
      </c>
      <c r="D6744" s="4" t="s">
        <v>33803</v>
      </c>
      <c r="E6744" s="6"/>
      <c r="F6744" s="4" t="s">
        <v>222</v>
      </c>
      <c r="G6744" s="4" t="s">
        <v>33804</v>
      </c>
    </row>
    <row r="6745" ht="14.25">
      <c r="B6745" s="14" t="s">
        <v>33805</v>
      </c>
      <c r="C6745" s="4" t="s">
        <v>33806</v>
      </c>
      <c r="D6745" s="4" t="s">
        <v>33807</v>
      </c>
      <c r="E6745" s="4" t="s">
        <v>33808</v>
      </c>
      <c r="F6745" s="4" t="s">
        <v>4245</v>
      </c>
      <c r="G6745" s="4" t="s">
        <v>33809</v>
      </c>
    </row>
    <row r="6746" ht="14.25">
      <c r="B6746" s="14" t="s">
        <v>33805</v>
      </c>
      <c r="C6746" s="4" t="s">
        <v>33810</v>
      </c>
      <c r="D6746" s="4" t="s">
        <v>33811</v>
      </c>
      <c r="E6746" s="4" t="s">
        <v>33812</v>
      </c>
      <c r="F6746" s="4" t="s">
        <v>33813</v>
      </c>
      <c r="G6746" s="4" t="s">
        <v>33562</v>
      </c>
    </row>
    <row r="6747" ht="14.25">
      <c r="B6747" s="14" t="s">
        <v>33805</v>
      </c>
      <c r="C6747" s="4" t="s">
        <v>33810</v>
      </c>
      <c r="D6747" s="4" t="s">
        <v>33814</v>
      </c>
      <c r="E6747" s="4" t="s">
        <v>33812</v>
      </c>
      <c r="F6747" s="4" t="s">
        <v>32891</v>
      </c>
      <c r="G6747" s="4" t="s">
        <v>33815</v>
      </c>
    </row>
    <row r="6748" ht="14.25">
      <c r="B6748" s="14" t="s">
        <v>33816</v>
      </c>
      <c r="C6748" s="4" t="s">
        <v>33817</v>
      </c>
      <c r="D6748" s="4" t="s">
        <v>33818</v>
      </c>
      <c r="E6748" s="4" t="s">
        <v>33819</v>
      </c>
      <c r="F6748" s="4" t="s">
        <v>1215</v>
      </c>
      <c r="G6748" s="4" t="s">
        <v>33820</v>
      </c>
    </row>
    <row r="6749" ht="14.25">
      <c r="B6749" s="14" t="s">
        <v>33816</v>
      </c>
      <c r="C6749" s="4" t="s">
        <v>33817</v>
      </c>
      <c r="D6749" s="4" t="s">
        <v>33821</v>
      </c>
      <c r="E6749" s="4" t="s">
        <v>33819</v>
      </c>
      <c r="F6749" s="4" t="s">
        <v>32563</v>
      </c>
      <c r="G6749" s="4" t="s">
        <v>33822</v>
      </c>
    </row>
    <row r="6750" ht="14.25">
      <c r="B6750" s="14" t="s">
        <v>33816</v>
      </c>
      <c r="C6750" s="4" t="s">
        <v>33817</v>
      </c>
      <c r="D6750" s="4" t="s">
        <v>33823</v>
      </c>
      <c r="E6750" s="4" t="s">
        <v>33819</v>
      </c>
      <c r="F6750" s="4" t="s">
        <v>679</v>
      </c>
      <c r="G6750" s="4" t="s">
        <v>33824</v>
      </c>
    </row>
    <row r="6751" ht="14.25">
      <c r="B6751" s="14" t="s">
        <v>33816</v>
      </c>
      <c r="C6751" s="4" t="s">
        <v>33817</v>
      </c>
      <c r="D6751" s="4" t="s">
        <v>33825</v>
      </c>
      <c r="E6751" s="4" t="s">
        <v>33819</v>
      </c>
      <c r="F6751" s="4" t="s">
        <v>16721</v>
      </c>
      <c r="G6751" s="4" t="s">
        <v>33826</v>
      </c>
    </row>
    <row r="6752" ht="14.25">
      <c r="B6752" s="14" t="s">
        <v>33816</v>
      </c>
      <c r="C6752" s="4" t="s">
        <v>33817</v>
      </c>
      <c r="D6752" s="4" t="s">
        <v>33827</v>
      </c>
      <c r="E6752" s="4" t="s">
        <v>33819</v>
      </c>
      <c r="F6752" s="4" t="s">
        <v>20</v>
      </c>
      <c r="G6752" s="4" t="s">
        <v>33828</v>
      </c>
    </row>
    <row r="6753" ht="14.25">
      <c r="B6753" s="14" t="s">
        <v>33816</v>
      </c>
      <c r="C6753" s="4" t="s">
        <v>33829</v>
      </c>
      <c r="D6753" s="4" t="s">
        <v>33830</v>
      </c>
      <c r="E6753" s="4" t="s">
        <v>33831</v>
      </c>
      <c r="F6753" s="4" t="s">
        <v>11873</v>
      </c>
      <c r="G6753" s="4" t="s">
        <v>33832</v>
      </c>
    </row>
    <row r="6754" ht="14.25">
      <c r="B6754" s="14" t="s">
        <v>33816</v>
      </c>
      <c r="C6754" s="4" t="s">
        <v>33817</v>
      </c>
      <c r="D6754" s="4" t="s">
        <v>33833</v>
      </c>
      <c r="E6754" s="4" t="s">
        <v>33819</v>
      </c>
      <c r="F6754" s="4" t="s">
        <v>222</v>
      </c>
      <c r="G6754" s="4" t="s">
        <v>33834</v>
      </c>
    </row>
    <row r="6755" ht="14.25">
      <c r="B6755" s="14" t="s">
        <v>33816</v>
      </c>
      <c r="C6755" s="4" t="s">
        <v>33817</v>
      </c>
      <c r="D6755" s="4" t="s">
        <v>33835</v>
      </c>
      <c r="E6755" s="4" t="s">
        <v>33819</v>
      </c>
      <c r="F6755" s="4" t="s">
        <v>33836</v>
      </c>
      <c r="G6755" s="4" t="s">
        <v>33837</v>
      </c>
    </row>
    <row r="6756" ht="14.25">
      <c r="B6756" s="14" t="s">
        <v>33816</v>
      </c>
      <c r="C6756" s="4" t="s">
        <v>33817</v>
      </c>
      <c r="D6756" s="4" t="s">
        <v>33838</v>
      </c>
      <c r="E6756" s="4" t="s">
        <v>33819</v>
      </c>
      <c r="F6756" s="4" t="s">
        <v>32821</v>
      </c>
      <c r="G6756" s="4" t="s">
        <v>33839</v>
      </c>
    </row>
    <row r="6757" ht="14.25">
      <c r="B6757" s="14" t="s">
        <v>33816</v>
      </c>
      <c r="C6757" s="4" t="s">
        <v>33817</v>
      </c>
      <c r="D6757" s="4" t="s">
        <v>33840</v>
      </c>
      <c r="E6757" s="4" t="s">
        <v>33819</v>
      </c>
      <c r="F6757" s="4" t="s">
        <v>32548</v>
      </c>
      <c r="G6757" s="4" t="s">
        <v>33841</v>
      </c>
    </row>
    <row r="6758" ht="14.25">
      <c r="B6758" s="14" t="s">
        <v>33816</v>
      </c>
      <c r="C6758" s="4" t="s">
        <v>33817</v>
      </c>
      <c r="D6758" s="4" t="s">
        <v>33842</v>
      </c>
      <c r="E6758" s="4" t="s">
        <v>33819</v>
      </c>
      <c r="F6758" s="4" t="s">
        <v>2508</v>
      </c>
      <c r="G6758" s="4" t="s">
        <v>33843</v>
      </c>
    </row>
    <row r="6759" ht="14.25">
      <c r="B6759" s="14" t="s">
        <v>33844</v>
      </c>
      <c r="C6759" s="4" t="s">
        <v>33845</v>
      </c>
      <c r="D6759" s="4" t="s">
        <v>33846</v>
      </c>
      <c r="E6759" s="4" t="s">
        <v>33847</v>
      </c>
      <c r="F6759" s="4" t="s">
        <v>33848</v>
      </c>
      <c r="G6759" s="4" t="s">
        <v>33849</v>
      </c>
    </row>
    <row r="6760" ht="14.25">
      <c r="B6760" s="14" t="s">
        <v>33844</v>
      </c>
      <c r="C6760" s="4" t="s">
        <v>33845</v>
      </c>
      <c r="D6760" s="4" t="s">
        <v>33850</v>
      </c>
      <c r="E6760" s="4" t="s">
        <v>33847</v>
      </c>
      <c r="F6760" s="4" t="s">
        <v>955</v>
      </c>
      <c r="G6760" s="4" t="s">
        <v>33851</v>
      </c>
    </row>
    <row r="6761" ht="14.25">
      <c r="B6761" s="14" t="s">
        <v>33844</v>
      </c>
      <c r="C6761" s="4" t="s">
        <v>33845</v>
      </c>
      <c r="D6761" s="4" t="s">
        <v>33852</v>
      </c>
      <c r="E6761" s="4" t="s">
        <v>33847</v>
      </c>
      <c r="F6761" s="4" t="s">
        <v>32616</v>
      </c>
      <c r="G6761" s="4" t="s">
        <v>33853</v>
      </c>
    </row>
    <row r="6762" ht="14.25">
      <c r="B6762" s="14" t="s">
        <v>33844</v>
      </c>
      <c r="C6762" s="4" t="s">
        <v>33845</v>
      </c>
      <c r="D6762" s="4" t="s">
        <v>33854</v>
      </c>
      <c r="E6762" s="4" t="s">
        <v>33847</v>
      </c>
      <c r="F6762" s="4" t="s">
        <v>170</v>
      </c>
      <c r="G6762" s="4" t="s">
        <v>33855</v>
      </c>
    </row>
    <row r="6763" ht="14.25">
      <c r="B6763" s="14" t="s">
        <v>33844</v>
      </c>
      <c r="C6763" s="4" t="s">
        <v>33845</v>
      </c>
      <c r="D6763" s="4" t="s">
        <v>33856</v>
      </c>
      <c r="E6763" s="4" t="s">
        <v>33847</v>
      </c>
      <c r="F6763" s="4" t="s">
        <v>33857</v>
      </c>
      <c r="G6763" s="4" t="s">
        <v>33858</v>
      </c>
    </row>
    <row r="6764" ht="14.25">
      <c r="B6764" s="14" t="s">
        <v>33859</v>
      </c>
      <c r="C6764" s="4" t="s">
        <v>33860</v>
      </c>
      <c r="D6764" s="4" t="s">
        <v>33861</v>
      </c>
      <c r="E6764" s="4" t="s">
        <v>33862</v>
      </c>
      <c r="F6764" s="4" t="s">
        <v>5579</v>
      </c>
      <c r="G6764" s="4" t="s">
        <v>33863</v>
      </c>
    </row>
    <row r="6765" ht="14.25">
      <c r="B6765" s="14" t="s">
        <v>33859</v>
      </c>
      <c r="C6765" s="4" t="s">
        <v>33864</v>
      </c>
      <c r="D6765" s="4" t="s">
        <v>33865</v>
      </c>
      <c r="E6765" s="4" t="s">
        <v>33866</v>
      </c>
      <c r="F6765" s="4" t="s">
        <v>604</v>
      </c>
      <c r="G6765" s="4" t="s">
        <v>33867</v>
      </c>
    </row>
    <row r="6766" ht="14.25">
      <c r="B6766" s="14" t="s">
        <v>33868</v>
      </c>
      <c r="C6766" s="4" t="s">
        <v>33869</v>
      </c>
      <c r="D6766" s="4" t="s">
        <v>33870</v>
      </c>
      <c r="E6766" s="4" t="s">
        <v>33871</v>
      </c>
      <c r="F6766" s="4" t="s">
        <v>215</v>
      </c>
      <c r="G6766" s="4" t="s">
        <v>33872</v>
      </c>
    </row>
    <row r="6767" ht="14.25">
      <c r="B6767" s="14" t="s">
        <v>33873</v>
      </c>
      <c r="C6767" s="4" t="s">
        <v>33874</v>
      </c>
      <c r="D6767" s="4" t="s">
        <v>33875</v>
      </c>
      <c r="E6767" s="4" t="s">
        <v>33876</v>
      </c>
      <c r="F6767" s="4" t="s">
        <v>866</v>
      </c>
      <c r="G6767" s="4" t="s">
        <v>33877</v>
      </c>
    </row>
    <row r="6768" ht="14.25">
      <c r="B6768" s="14" t="s">
        <v>33878</v>
      </c>
      <c r="C6768" s="4" t="s">
        <v>33879</v>
      </c>
      <c r="D6768" s="4" t="s">
        <v>33880</v>
      </c>
      <c r="E6768" s="4" t="s">
        <v>33881</v>
      </c>
      <c r="F6768" s="4" t="s">
        <v>817</v>
      </c>
      <c r="G6768" s="4" t="s">
        <v>33882</v>
      </c>
    </row>
    <row r="6769" ht="14.25">
      <c r="B6769" s="14" t="s">
        <v>33883</v>
      </c>
      <c r="C6769" s="4" t="s">
        <v>33884</v>
      </c>
      <c r="D6769" s="4" t="s">
        <v>33885</v>
      </c>
      <c r="E6769" s="4" t="s">
        <v>33886</v>
      </c>
      <c r="F6769" s="4" t="s">
        <v>7714</v>
      </c>
      <c r="G6769" s="4" t="s">
        <v>33887</v>
      </c>
    </row>
    <row r="6770" ht="14.25">
      <c r="B6770" s="14" t="s">
        <v>33883</v>
      </c>
      <c r="C6770" s="4" t="s">
        <v>33884</v>
      </c>
      <c r="D6770" s="4" t="s">
        <v>33888</v>
      </c>
      <c r="E6770" s="4" t="s">
        <v>33886</v>
      </c>
      <c r="F6770" s="4" t="s">
        <v>110</v>
      </c>
      <c r="G6770" s="4" t="s">
        <v>33889</v>
      </c>
    </row>
    <row r="6771" ht="14.25">
      <c r="B6771" s="14" t="s">
        <v>33890</v>
      </c>
      <c r="C6771" s="4" t="s">
        <v>33891</v>
      </c>
      <c r="D6771" s="4" t="s">
        <v>33892</v>
      </c>
      <c r="E6771" s="4" t="s">
        <v>33893</v>
      </c>
      <c r="F6771" s="4" t="s">
        <v>6634</v>
      </c>
      <c r="G6771" s="4" t="s">
        <v>33894</v>
      </c>
    </row>
    <row r="6772" ht="14.25">
      <c r="B6772" s="14" t="s">
        <v>33890</v>
      </c>
      <c r="C6772" s="4" t="s">
        <v>33891</v>
      </c>
      <c r="D6772" s="4" t="s">
        <v>33895</v>
      </c>
      <c r="E6772" s="4" t="s">
        <v>33893</v>
      </c>
      <c r="F6772" s="4" t="s">
        <v>2419</v>
      </c>
      <c r="G6772" s="4" t="s">
        <v>33896</v>
      </c>
    </row>
    <row r="6773" ht="14.25">
      <c r="B6773" s="14" t="s">
        <v>33897</v>
      </c>
      <c r="C6773" s="4" t="s">
        <v>33898</v>
      </c>
      <c r="D6773" s="4" t="s">
        <v>33899</v>
      </c>
      <c r="E6773" s="6"/>
      <c r="F6773" s="4" t="s">
        <v>206</v>
      </c>
      <c r="G6773" s="4" t="s">
        <v>33900</v>
      </c>
    </row>
    <row r="6774" ht="14.25">
      <c r="B6774" s="14" t="s">
        <v>33901</v>
      </c>
      <c r="C6774" s="4" t="s">
        <v>33902</v>
      </c>
      <c r="D6774" s="4" t="s">
        <v>33903</v>
      </c>
      <c r="E6774" s="4" t="s">
        <v>33904</v>
      </c>
      <c r="F6774" s="4" t="s">
        <v>33905</v>
      </c>
      <c r="G6774" s="4" t="s">
        <v>33906</v>
      </c>
    </row>
    <row r="6775" ht="14.25">
      <c r="B6775" s="14" t="s">
        <v>33907</v>
      </c>
      <c r="C6775" s="4" t="s">
        <v>33908</v>
      </c>
      <c r="D6775" s="4" t="s">
        <v>33909</v>
      </c>
      <c r="E6775" s="4" t="s">
        <v>33910</v>
      </c>
      <c r="F6775" s="4" t="s">
        <v>2436</v>
      </c>
      <c r="G6775" s="4" t="s">
        <v>33911</v>
      </c>
    </row>
    <row r="6776" ht="14.25">
      <c r="B6776" s="14" t="s">
        <v>33912</v>
      </c>
      <c r="C6776" s="4" t="s">
        <v>33913</v>
      </c>
      <c r="D6776" s="4" t="s">
        <v>33914</v>
      </c>
      <c r="E6776" s="4" t="s">
        <v>33915</v>
      </c>
      <c r="F6776" s="4" t="s">
        <v>32579</v>
      </c>
      <c r="G6776" s="4" t="s">
        <v>33916</v>
      </c>
    </row>
    <row r="6777" ht="14.25">
      <c r="B6777" s="14" t="s">
        <v>33912</v>
      </c>
      <c r="C6777" s="4" t="s">
        <v>33913</v>
      </c>
      <c r="D6777" s="4" t="s">
        <v>33917</v>
      </c>
      <c r="E6777" s="4" t="s">
        <v>33915</v>
      </c>
      <c r="F6777" s="4" t="s">
        <v>32622</v>
      </c>
      <c r="G6777" s="4" t="s">
        <v>33877</v>
      </c>
    </row>
    <row r="6778" ht="14.25">
      <c r="B6778" s="14" t="s">
        <v>33912</v>
      </c>
      <c r="C6778" s="4" t="s">
        <v>33918</v>
      </c>
      <c r="D6778" s="4" t="s">
        <v>33919</v>
      </c>
      <c r="E6778" s="4" t="s">
        <v>33920</v>
      </c>
      <c r="F6778" s="4" t="s">
        <v>1153</v>
      </c>
      <c r="G6778" s="4" t="s">
        <v>33921</v>
      </c>
    </row>
    <row r="6779" ht="14.25">
      <c r="B6779" s="14" t="s">
        <v>33912</v>
      </c>
      <c r="C6779" s="4" t="s">
        <v>33913</v>
      </c>
      <c r="D6779" s="4" t="s">
        <v>33922</v>
      </c>
      <c r="E6779" s="4" t="s">
        <v>33915</v>
      </c>
      <c r="F6779" s="4" t="s">
        <v>33923</v>
      </c>
      <c r="G6779" s="4" t="s">
        <v>33924</v>
      </c>
    </row>
    <row r="6780" ht="14.25">
      <c r="B6780" s="14" t="s">
        <v>33912</v>
      </c>
      <c r="C6780" s="4" t="s">
        <v>33913</v>
      </c>
      <c r="D6780" s="4" t="s">
        <v>33925</v>
      </c>
      <c r="E6780" s="4" t="s">
        <v>33915</v>
      </c>
      <c r="F6780" s="4" t="s">
        <v>21046</v>
      </c>
      <c r="G6780" s="4" t="s">
        <v>33916</v>
      </c>
    </row>
    <row r="6781" ht="14.25">
      <c r="B6781" s="14" t="s">
        <v>33926</v>
      </c>
      <c r="C6781" s="4" t="s">
        <v>33927</v>
      </c>
      <c r="D6781" s="4" t="s">
        <v>33928</v>
      </c>
      <c r="E6781" s="4" t="s">
        <v>33929</v>
      </c>
      <c r="F6781" s="4" t="s">
        <v>20</v>
      </c>
      <c r="G6781" s="4" t="s">
        <v>33930</v>
      </c>
    </row>
    <row r="6782" ht="14.25">
      <c r="B6782" s="14" t="s">
        <v>33926</v>
      </c>
      <c r="C6782" s="4" t="s">
        <v>33927</v>
      </c>
      <c r="D6782" s="4" t="s">
        <v>33931</v>
      </c>
      <c r="E6782" s="4" t="s">
        <v>33929</v>
      </c>
      <c r="F6782" s="4" t="s">
        <v>33217</v>
      </c>
      <c r="G6782" s="4" t="s">
        <v>33932</v>
      </c>
    </row>
    <row r="6783" ht="14.25">
      <c r="B6783" s="14" t="s">
        <v>33933</v>
      </c>
      <c r="C6783" s="4" t="s">
        <v>33934</v>
      </c>
      <c r="D6783" s="4" t="s">
        <v>33935</v>
      </c>
      <c r="E6783" s="4" t="s">
        <v>33936</v>
      </c>
      <c r="F6783" s="4" t="s">
        <v>33354</v>
      </c>
      <c r="G6783" s="4" t="s">
        <v>33937</v>
      </c>
    </row>
    <row r="6784" ht="14.25">
      <c r="B6784" s="14" t="s">
        <v>33933</v>
      </c>
      <c r="C6784" s="4" t="s">
        <v>33934</v>
      </c>
      <c r="D6784" s="4" t="s">
        <v>33938</v>
      </c>
      <c r="E6784" s="4" t="s">
        <v>33936</v>
      </c>
      <c r="F6784" s="4" t="s">
        <v>330</v>
      </c>
      <c r="G6784" s="4" t="s">
        <v>32633</v>
      </c>
    </row>
    <row r="6785" ht="14.25">
      <c r="B6785" s="14" t="s">
        <v>33939</v>
      </c>
      <c r="C6785" s="4" t="s">
        <v>33940</v>
      </c>
      <c r="D6785" s="4" t="s">
        <v>33941</v>
      </c>
      <c r="E6785" s="4" t="s">
        <v>33942</v>
      </c>
      <c r="F6785" s="4" t="s">
        <v>485</v>
      </c>
      <c r="G6785" s="4" t="s">
        <v>33943</v>
      </c>
    </row>
    <row r="6786" ht="14.25">
      <c r="B6786" s="14" t="s">
        <v>33939</v>
      </c>
      <c r="C6786" s="4" t="s">
        <v>33940</v>
      </c>
      <c r="D6786" s="4" t="s">
        <v>33944</v>
      </c>
      <c r="E6786" s="4" t="s">
        <v>33942</v>
      </c>
      <c r="F6786" s="4" t="s">
        <v>785</v>
      </c>
      <c r="G6786" s="4" t="s">
        <v>33945</v>
      </c>
    </row>
    <row r="6787" ht="14.25">
      <c r="B6787" s="14" t="s">
        <v>33939</v>
      </c>
      <c r="C6787" s="4" t="s">
        <v>33940</v>
      </c>
      <c r="D6787" s="4" t="s">
        <v>33946</v>
      </c>
      <c r="E6787" s="4" t="s">
        <v>33942</v>
      </c>
      <c r="F6787" s="4" t="s">
        <v>3100</v>
      </c>
      <c r="G6787" s="4" t="s">
        <v>33947</v>
      </c>
    </row>
    <row r="6788" ht="14.25">
      <c r="B6788" s="14" t="s">
        <v>33948</v>
      </c>
      <c r="C6788" s="4" t="s">
        <v>33949</v>
      </c>
      <c r="D6788" s="4" t="s">
        <v>33950</v>
      </c>
      <c r="E6788" s="6"/>
      <c r="F6788" s="4" t="s">
        <v>33434</v>
      </c>
      <c r="G6788" s="4" t="s">
        <v>33951</v>
      </c>
    </row>
    <row r="6789" ht="14.25">
      <c r="B6789" s="14" t="s">
        <v>33952</v>
      </c>
      <c r="C6789" s="4" t="s">
        <v>33953</v>
      </c>
      <c r="D6789" s="4" t="s">
        <v>33954</v>
      </c>
      <c r="E6789" s="4" t="s">
        <v>33955</v>
      </c>
      <c r="F6789" s="4" t="s">
        <v>32706</v>
      </c>
      <c r="G6789" s="4" t="s">
        <v>33956</v>
      </c>
    </row>
    <row r="6790" ht="14.25">
      <c r="B6790" s="14" t="s">
        <v>33952</v>
      </c>
      <c r="C6790" s="4" t="s">
        <v>33953</v>
      </c>
      <c r="D6790" s="4" t="s">
        <v>33957</v>
      </c>
      <c r="E6790" s="4" t="s">
        <v>33955</v>
      </c>
      <c r="F6790" s="4" t="s">
        <v>679</v>
      </c>
      <c r="G6790" s="4" t="s">
        <v>32868</v>
      </c>
    </row>
    <row r="6791" ht="14.25">
      <c r="B6791" s="14" t="s">
        <v>33958</v>
      </c>
      <c r="C6791" s="4" t="s">
        <v>33959</v>
      </c>
      <c r="D6791" s="4" t="s">
        <v>33960</v>
      </c>
      <c r="E6791" s="4" t="s">
        <v>33961</v>
      </c>
      <c r="F6791" s="4" t="s">
        <v>1153</v>
      </c>
      <c r="G6791" s="4" t="s">
        <v>33962</v>
      </c>
    </row>
    <row r="6792" ht="14.25">
      <c r="B6792" s="14" t="s">
        <v>33958</v>
      </c>
      <c r="C6792" s="4" t="s">
        <v>33963</v>
      </c>
      <c r="D6792" s="4" t="s">
        <v>33964</v>
      </c>
      <c r="E6792" s="4" t="s">
        <v>33965</v>
      </c>
      <c r="F6792" s="4" t="s">
        <v>222</v>
      </c>
      <c r="G6792" s="4" t="s">
        <v>33966</v>
      </c>
    </row>
    <row r="6793" ht="14.25">
      <c r="B6793" s="14" t="s">
        <v>33958</v>
      </c>
      <c r="C6793" s="4" t="s">
        <v>33967</v>
      </c>
      <c r="D6793" s="4" t="s">
        <v>33968</v>
      </c>
      <c r="E6793" s="4" t="s">
        <v>33969</v>
      </c>
      <c r="F6793" s="4" t="s">
        <v>330</v>
      </c>
      <c r="G6793" s="4" t="s">
        <v>33970</v>
      </c>
    </row>
    <row r="6794" ht="14.25">
      <c r="B6794" s="14" t="s">
        <v>33958</v>
      </c>
      <c r="C6794" s="4" t="s">
        <v>33963</v>
      </c>
      <c r="D6794" s="4" t="s">
        <v>33971</v>
      </c>
      <c r="E6794" s="4" t="s">
        <v>33965</v>
      </c>
      <c r="F6794" s="4" t="s">
        <v>986</v>
      </c>
      <c r="G6794" s="4" t="s">
        <v>33972</v>
      </c>
    </row>
    <row r="6795" ht="14.25">
      <c r="B6795" s="14" t="s">
        <v>33973</v>
      </c>
      <c r="C6795" s="4" t="s">
        <v>33974</v>
      </c>
      <c r="D6795" s="4" t="s">
        <v>33975</v>
      </c>
      <c r="E6795" s="4" t="s">
        <v>33976</v>
      </c>
      <c r="F6795" s="4" t="s">
        <v>33977</v>
      </c>
      <c r="G6795" s="4" t="s">
        <v>33978</v>
      </c>
    </row>
    <row r="6796" ht="14.25">
      <c r="B6796" s="14" t="s">
        <v>33979</v>
      </c>
      <c r="C6796" s="4" t="s">
        <v>33980</v>
      </c>
      <c r="D6796" s="4" t="s">
        <v>33981</v>
      </c>
      <c r="E6796" s="4" t="s">
        <v>33982</v>
      </c>
      <c r="F6796" s="4" t="s">
        <v>32616</v>
      </c>
      <c r="G6796" s="4" t="s">
        <v>33983</v>
      </c>
    </row>
    <row r="6797" ht="14.25">
      <c r="B6797" s="14" t="s">
        <v>33984</v>
      </c>
      <c r="C6797" s="4" t="s">
        <v>33985</v>
      </c>
      <c r="D6797" s="4" t="s">
        <v>33986</v>
      </c>
      <c r="E6797" s="4" t="s">
        <v>33987</v>
      </c>
      <c r="F6797" s="4" t="s">
        <v>17911</v>
      </c>
      <c r="G6797" s="4" t="s">
        <v>33988</v>
      </c>
    </row>
    <row r="6798" ht="14.25">
      <c r="B6798" s="14" t="s">
        <v>33989</v>
      </c>
      <c r="C6798" s="4" t="s">
        <v>33990</v>
      </c>
      <c r="D6798" s="4" t="s">
        <v>33991</v>
      </c>
      <c r="E6798" s="4" t="s">
        <v>33992</v>
      </c>
      <c r="F6798" s="4" t="s">
        <v>1153</v>
      </c>
      <c r="G6798" s="4" t="s">
        <v>33993</v>
      </c>
    </row>
    <row r="6799" ht="14.25">
      <c r="B6799" s="14" t="s">
        <v>33994</v>
      </c>
      <c r="C6799" s="4" t="s">
        <v>33995</v>
      </c>
      <c r="D6799" s="4" t="s">
        <v>33996</v>
      </c>
      <c r="E6799" s="4" t="s">
        <v>33997</v>
      </c>
      <c r="F6799" s="4" t="s">
        <v>32891</v>
      </c>
      <c r="G6799" s="4" t="s">
        <v>33998</v>
      </c>
    </row>
    <row r="6800" ht="14.25">
      <c r="B6800" s="14" t="s">
        <v>33999</v>
      </c>
      <c r="C6800" s="4" t="s">
        <v>34000</v>
      </c>
      <c r="D6800" s="4" t="s">
        <v>34001</v>
      </c>
      <c r="E6800" s="4" t="s">
        <v>34002</v>
      </c>
      <c r="F6800" s="4" t="s">
        <v>4048</v>
      </c>
      <c r="G6800" s="4" t="s">
        <v>34003</v>
      </c>
    </row>
    <row r="6801" ht="14.25">
      <c r="B6801" s="14" t="s">
        <v>34004</v>
      </c>
      <c r="C6801" s="4" t="s">
        <v>34005</v>
      </c>
      <c r="D6801" s="4" t="s">
        <v>34006</v>
      </c>
      <c r="E6801" s="4" t="s">
        <v>34007</v>
      </c>
      <c r="F6801" s="4" t="s">
        <v>485</v>
      </c>
      <c r="G6801" s="4" t="s">
        <v>34008</v>
      </c>
    </row>
    <row r="6802" ht="14.25">
      <c r="B6802" s="14" t="s">
        <v>34004</v>
      </c>
      <c r="C6802" s="4" t="s">
        <v>34005</v>
      </c>
      <c r="D6802" s="4" t="s">
        <v>34009</v>
      </c>
      <c r="E6802" s="4" t="s">
        <v>34007</v>
      </c>
      <c r="F6802" s="4" t="s">
        <v>588</v>
      </c>
      <c r="G6802" s="4" t="s">
        <v>34010</v>
      </c>
    </row>
    <row r="6803" ht="14.25">
      <c r="B6803" s="14" t="s">
        <v>34011</v>
      </c>
      <c r="C6803" s="4" t="s">
        <v>34012</v>
      </c>
      <c r="D6803" s="4" t="s">
        <v>34013</v>
      </c>
      <c r="E6803" s="6"/>
      <c r="F6803" s="4" t="s">
        <v>12452</v>
      </c>
      <c r="G6803" s="4" t="s">
        <v>34014</v>
      </c>
    </row>
    <row r="6804" ht="14.25">
      <c r="B6804" s="14" t="s">
        <v>34015</v>
      </c>
      <c r="C6804" s="4" t="s">
        <v>34016</v>
      </c>
      <c r="D6804" s="4" t="s">
        <v>34017</v>
      </c>
      <c r="E6804" s="4" t="s">
        <v>34018</v>
      </c>
      <c r="F6804" s="4" t="s">
        <v>2348</v>
      </c>
      <c r="G6804" s="4" t="s">
        <v>34019</v>
      </c>
    </row>
    <row r="6805" ht="14.25">
      <c r="B6805" s="14" t="s">
        <v>34015</v>
      </c>
      <c r="C6805" s="4" t="s">
        <v>34016</v>
      </c>
      <c r="D6805" s="4" t="s">
        <v>34020</v>
      </c>
      <c r="E6805" s="4" t="s">
        <v>34018</v>
      </c>
      <c r="F6805" s="4" t="s">
        <v>6356</v>
      </c>
      <c r="G6805" s="4" t="s">
        <v>34021</v>
      </c>
    </row>
    <row r="6806" ht="14.25">
      <c r="B6806" s="14" t="s">
        <v>34015</v>
      </c>
      <c r="C6806" s="4" t="s">
        <v>34022</v>
      </c>
      <c r="D6806" s="4" t="s">
        <v>34023</v>
      </c>
      <c r="E6806" s="4" t="s">
        <v>34024</v>
      </c>
      <c r="F6806" s="4" t="s">
        <v>866</v>
      </c>
      <c r="G6806" s="4" t="s">
        <v>34025</v>
      </c>
    </row>
    <row r="6807" ht="14.25">
      <c r="B6807" s="14" t="s">
        <v>34026</v>
      </c>
      <c r="C6807" s="4" t="s">
        <v>34027</v>
      </c>
      <c r="D6807" s="4" t="s">
        <v>34028</v>
      </c>
      <c r="E6807" s="4" t="s">
        <v>34029</v>
      </c>
      <c r="F6807" s="4" t="s">
        <v>7714</v>
      </c>
      <c r="G6807" s="4" t="s">
        <v>34030</v>
      </c>
    </row>
    <row r="6808" ht="14.25">
      <c r="B6808" s="14" t="s">
        <v>34031</v>
      </c>
      <c r="C6808" s="4" t="s">
        <v>34032</v>
      </c>
      <c r="D6808" s="4" t="s">
        <v>34033</v>
      </c>
      <c r="E6808" s="4" t="s">
        <v>34034</v>
      </c>
      <c r="F6808" s="4" t="s">
        <v>485</v>
      </c>
      <c r="G6808" s="4" t="s">
        <v>34035</v>
      </c>
    </row>
    <row r="6809" ht="14.25">
      <c r="B6809" s="14" t="s">
        <v>34031</v>
      </c>
      <c r="C6809" s="4" t="s">
        <v>34032</v>
      </c>
      <c r="D6809" s="4" t="s">
        <v>34036</v>
      </c>
      <c r="E6809" s="4" t="s">
        <v>34034</v>
      </c>
      <c r="F6809" s="4" t="s">
        <v>785</v>
      </c>
      <c r="G6809" s="4" t="s">
        <v>34037</v>
      </c>
    </row>
    <row r="6810" ht="14.25">
      <c r="B6810" s="14" t="s">
        <v>34038</v>
      </c>
      <c r="C6810" s="4" t="s">
        <v>34039</v>
      </c>
      <c r="D6810" s="4" t="s">
        <v>34040</v>
      </c>
      <c r="E6810" s="4" t="s">
        <v>34041</v>
      </c>
      <c r="F6810" s="4" t="s">
        <v>13300</v>
      </c>
      <c r="G6810" s="4" t="s">
        <v>34042</v>
      </c>
    </row>
    <row r="6811" ht="14.25">
      <c r="B6811" s="14" t="s">
        <v>34043</v>
      </c>
      <c r="C6811" s="4" t="s">
        <v>34044</v>
      </c>
      <c r="D6811" s="4" t="s">
        <v>34045</v>
      </c>
      <c r="E6811" s="6"/>
      <c r="F6811" s="4" t="s">
        <v>808</v>
      </c>
      <c r="G6811" s="4" t="s">
        <v>34046</v>
      </c>
    </row>
    <row r="6812" ht="14.25">
      <c r="B6812" s="14" t="s">
        <v>34043</v>
      </c>
      <c r="C6812" s="4" t="s">
        <v>34047</v>
      </c>
      <c r="D6812" s="4" t="s">
        <v>34048</v>
      </c>
      <c r="E6812" s="4" t="s">
        <v>34049</v>
      </c>
      <c r="F6812" s="4" t="s">
        <v>7525</v>
      </c>
      <c r="G6812" s="4" t="s">
        <v>34050</v>
      </c>
    </row>
    <row r="6813" ht="14.25">
      <c r="B6813" s="14" t="s">
        <v>34051</v>
      </c>
      <c r="C6813" s="4" t="s">
        <v>34052</v>
      </c>
      <c r="D6813" s="4" t="s">
        <v>34053</v>
      </c>
      <c r="E6813" s="4" t="s">
        <v>34054</v>
      </c>
      <c r="F6813" s="4" t="s">
        <v>95</v>
      </c>
      <c r="G6813" s="4" t="s">
        <v>34055</v>
      </c>
    </row>
    <row r="6814" ht="14.25">
      <c r="B6814" s="14" t="s">
        <v>34051</v>
      </c>
      <c r="C6814" s="4" t="s">
        <v>34052</v>
      </c>
      <c r="D6814" s="4" t="s">
        <v>34056</v>
      </c>
      <c r="E6814" s="4" t="s">
        <v>34054</v>
      </c>
      <c r="F6814" s="4" t="s">
        <v>32548</v>
      </c>
      <c r="G6814" s="4" t="s">
        <v>34057</v>
      </c>
    </row>
    <row r="6815" ht="14.25">
      <c r="B6815" s="14" t="s">
        <v>34051</v>
      </c>
      <c r="C6815" s="4" t="s">
        <v>34052</v>
      </c>
      <c r="D6815" s="4" t="s">
        <v>34058</v>
      </c>
      <c r="E6815" s="4" t="s">
        <v>34054</v>
      </c>
      <c r="F6815" s="4" t="s">
        <v>571</v>
      </c>
      <c r="G6815" s="4" t="s">
        <v>34059</v>
      </c>
    </row>
    <row r="6816" ht="14.25">
      <c r="B6816" s="14" t="s">
        <v>34060</v>
      </c>
      <c r="C6816" s="4" t="s">
        <v>34061</v>
      </c>
      <c r="D6816" s="4" t="s">
        <v>34062</v>
      </c>
      <c r="E6816" s="4" t="s">
        <v>34063</v>
      </c>
      <c r="F6816" s="4" t="s">
        <v>32622</v>
      </c>
      <c r="G6816" s="4" t="s">
        <v>34064</v>
      </c>
    </row>
    <row r="6817" ht="14.25">
      <c r="B6817" s="14" t="s">
        <v>34060</v>
      </c>
      <c r="C6817" s="4" t="s">
        <v>34061</v>
      </c>
      <c r="D6817" s="4" t="s">
        <v>34065</v>
      </c>
      <c r="E6817" s="4" t="s">
        <v>34063</v>
      </c>
      <c r="F6817" s="4" t="s">
        <v>32622</v>
      </c>
      <c r="G6817" s="4" t="s">
        <v>34066</v>
      </c>
    </row>
    <row r="6818" ht="14.25">
      <c r="B6818" s="14" t="s">
        <v>34060</v>
      </c>
      <c r="C6818" s="4" t="s">
        <v>34061</v>
      </c>
      <c r="D6818" s="4" t="s">
        <v>34067</v>
      </c>
      <c r="E6818" s="4" t="s">
        <v>34063</v>
      </c>
      <c r="F6818" s="4" t="s">
        <v>485</v>
      </c>
      <c r="G6818" s="4" t="s">
        <v>34068</v>
      </c>
    </row>
    <row r="6819" ht="14.25">
      <c r="B6819" s="14" t="s">
        <v>34060</v>
      </c>
      <c r="C6819" s="4" t="s">
        <v>34061</v>
      </c>
      <c r="D6819" s="4" t="s">
        <v>34069</v>
      </c>
      <c r="E6819" s="4" t="s">
        <v>34063</v>
      </c>
      <c r="F6819" s="4" t="s">
        <v>34070</v>
      </c>
      <c r="G6819" s="4" t="s">
        <v>34071</v>
      </c>
    </row>
    <row r="6820" ht="14.25">
      <c r="B6820" s="14" t="s">
        <v>34060</v>
      </c>
      <c r="C6820" s="4" t="s">
        <v>34061</v>
      </c>
      <c r="D6820" s="4" t="s">
        <v>34072</v>
      </c>
      <c r="E6820" s="4" t="s">
        <v>34063</v>
      </c>
      <c r="F6820" s="4" t="s">
        <v>32891</v>
      </c>
      <c r="G6820" s="4" t="s">
        <v>34073</v>
      </c>
    </row>
    <row r="6821" ht="14.25">
      <c r="B6821" s="14" t="s">
        <v>34060</v>
      </c>
      <c r="C6821" s="4" t="s">
        <v>34074</v>
      </c>
      <c r="D6821" s="4" t="s">
        <v>34075</v>
      </c>
      <c r="E6821" s="4" t="s">
        <v>34076</v>
      </c>
      <c r="F6821" s="4" t="s">
        <v>785</v>
      </c>
      <c r="G6821" s="4" t="s">
        <v>34077</v>
      </c>
    </row>
    <row r="6822" ht="14.25">
      <c r="B6822" s="14" t="s">
        <v>34060</v>
      </c>
      <c r="C6822" s="4" t="s">
        <v>34061</v>
      </c>
      <c r="D6822" s="4" t="s">
        <v>34078</v>
      </c>
      <c r="E6822" s="4" t="s">
        <v>34063</v>
      </c>
      <c r="F6822" s="4" t="s">
        <v>110</v>
      </c>
      <c r="G6822" s="4" t="s">
        <v>34079</v>
      </c>
    </row>
    <row r="6823" ht="14.25">
      <c r="B6823" s="14" t="s">
        <v>34060</v>
      </c>
      <c r="C6823" s="4" t="s">
        <v>34074</v>
      </c>
      <c r="D6823" s="4" t="s">
        <v>34080</v>
      </c>
      <c r="E6823" s="4" t="s">
        <v>34076</v>
      </c>
      <c r="F6823" s="4" t="s">
        <v>955</v>
      </c>
      <c r="G6823" s="4" t="s">
        <v>34081</v>
      </c>
    </row>
    <row r="6824" ht="14.25">
      <c r="B6824" s="14" t="s">
        <v>34082</v>
      </c>
      <c r="C6824" s="4" t="s">
        <v>34083</v>
      </c>
      <c r="D6824" s="4" t="s">
        <v>34084</v>
      </c>
      <c r="E6824" s="6"/>
      <c r="F6824" s="4" t="s">
        <v>21744</v>
      </c>
      <c r="G6824" s="4" t="s">
        <v>34085</v>
      </c>
    </row>
    <row r="6825" ht="14.25">
      <c r="B6825" s="14" t="s">
        <v>34086</v>
      </c>
      <c r="C6825" s="4" t="s">
        <v>34087</v>
      </c>
      <c r="D6825" s="4" t="s">
        <v>34088</v>
      </c>
      <c r="E6825" s="4" t="s">
        <v>34089</v>
      </c>
      <c r="F6825" s="4" t="s">
        <v>1583</v>
      </c>
      <c r="G6825" s="4" t="s">
        <v>34090</v>
      </c>
    </row>
    <row r="6826" ht="14.25">
      <c r="B6826" s="14" t="s">
        <v>34091</v>
      </c>
      <c r="C6826" s="4" t="s">
        <v>34092</v>
      </c>
      <c r="D6826" s="4" t="s">
        <v>34093</v>
      </c>
      <c r="E6826" s="4" t="s">
        <v>34094</v>
      </c>
      <c r="F6826" s="4" t="s">
        <v>21744</v>
      </c>
      <c r="G6826" s="4" t="s">
        <v>32592</v>
      </c>
    </row>
    <row r="6827" ht="14.25">
      <c r="B6827" s="14" t="s">
        <v>34091</v>
      </c>
      <c r="C6827" s="4" t="s">
        <v>34092</v>
      </c>
      <c r="D6827" s="4" t="s">
        <v>34095</v>
      </c>
      <c r="E6827" s="4" t="s">
        <v>34094</v>
      </c>
      <c r="F6827" s="4" t="s">
        <v>2419</v>
      </c>
      <c r="G6827" s="4" t="s">
        <v>34096</v>
      </c>
    </row>
    <row r="6828" ht="14.25">
      <c r="B6828" s="14" t="s">
        <v>34091</v>
      </c>
      <c r="C6828" s="4" t="s">
        <v>34092</v>
      </c>
      <c r="D6828" s="4" t="s">
        <v>34097</v>
      </c>
      <c r="E6828" s="4" t="s">
        <v>34094</v>
      </c>
      <c r="F6828" s="4" t="s">
        <v>12648</v>
      </c>
      <c r="G6828" s="4" t="s">
        <v>34098</v>
      </c>
    </row>
    <row r="6829" ht="14.25">
      <c r="B6829" s="14" t="s">
        <v>34099</v>
      </c>
      <c r="C6829" s="4" t="s">
        <v>34100</v>
      </c>
      <c r="D6829" s="4" t="s">
        <v>34101</v>
      </c>
      <c r="E6829" s="4" t="s">
        <v>34102</v>
      </c>
      <c r="F6829" s="4" t="s">
        <v>110</v>
      </c>
      <c r="G6829" s="4" t="s">
        <v>34103</v>
      </c>
    </row>
    <row r="6830" ht="14.25">
      <c r="B6830" s="14" t="s">
        <v>34099</v>
      </c>
      <c r="C6830" s="4" t="s">
        <v>34100</v>
      </c>
      <c r="D6830" s="4" t="s">
        <v>34104</v>
      </c>
      <c r="E6830" s="4" t="s">
        <v>34102</v>
      </c>
      <c r="F6830" s="4" t="s">
        <v>32548</v>
      </c>
      <c r="G6830" s="4" t="s">
        <v>34105</v>
      </c>
    </row>
    <row r="6831" ht="14.25">
      <c r="B6831" s="14" t="s">
        <v>34106</v>
      </c>
      <c r="C6831" s="4" t="s">
        <v>34107</v>
      </c>
      <c r="D6831" s="4" t="s">
        <v>34108</v>
      </c>
      <c r="E6831" s="4" t="s">
        <v>34109</v>
      </c>
      <c r="F6831" s="4" t="s">
        <v>32622</v>
      </c>
      <c r="G6831" s="4" t="s">
        <v>34110</v>
      </c>
    </row>
    <row r="6832" ht="14.25">
      <c r="B6832" s="14" t="s">
        <v>34106</v>
      </c>
      <c r="C6832" s="4" t="s">
        <v>34107</v>
      </c>
      <c r="D6832" s="4" t="s">
        <v>34111</v>
      </c>
      <c r="E6832" s="4" t="s">
        <v>34109</v>
      </c>
      <c r="F6832" s="4" t="s">
        <v>34112</v>
      </c>
      <c r="G6832" s="4" t="s">
        <v>34113</v>
      </c>
    </row>
    <row r="6833" ht="14.25">
      <c r="B6833" s="14" t="s">
        <v>34114</v>
      </c>
      <c r="C6833" s="4" t="s">
        <v>34115</v>
      </c>
      <c r="D6833" s="4" t="s">
        <v>34116</v>
      </c>
      <c r="E6833" s="6"/>
      <c r="F6833" s="4" t="s">
        <v>7525</v>
      </c>
      <c r="G6833" s="4" t="s">
        <v>34117</v>
      </c>
    </row>
    <row r="6834" ht="14.25">
      <c r="B6834" s="14" t="s">
        <v>34118</v>
      </c>
      <c r="C6834" s="4" t="s">
        <v>34119</v>
      </c>
      <c r="D6834" s="4" t="s">
        <v>34120</v>
      </c>
      <c r="E6834" s="4" t="s">
        <v>34121</v>
      </c>
      <c r="F6834" s="4" t="s">
        <v>32831</v>
      </c>
      <c r="G6834" s="4" t="s">
        <v>34122</v>
      </c>
    </row>
    <row r="6835" ht="14.25">
      <c r="B6835" s="14" t="s">
        <v>34118</v>
      </c>
      <c r="C6835" s="4" t="s">
        <v>34123</v>
      </c>
      <c r="D6835" s="4" t="s">
        <v>34124</v>
      </c>
      <c r="E6835" s="4" t="s">
        <v>34125</v>
      </c>
      <c r="F6835" s="4" t="s">
        <v>1215</v>
      </c>
      <c r="G6835" s="4" t="s">
        <v>33302</v>
      </c>
    </row>
    <row r="6836" ht="14.25">
      <c r="B6836" s="14" t="s">
        <v>34118</v>
      </c>
      <c r="C6836" s="4" t="s">
        <v>34126</v>
      </c>
      <c r="D6836" s="4" t="s">
        <v>34127</v>
      </c>
      <c r="E6836" s="4" t="s">
        <v>34128</v>
      </c>
      <c r="F6836" s="4" t="s">
        <v>33644</v>
      </c>
      <c r="G6836" s="4" t="s">
        <v>34129</v>
      </c>
    </row>
    <row r="6837" ht="14.25">
      <c r="B6837" s="14" t="s">
        <v>34130</v>
      </c>
      <c r="C6837" s="4" t="s">
        <v>34131</v>
      </c>
      <c r="D6837" s="4" t="s">
        <v>34132</v>
      </c>
      <c r="E6837" s="4" t="s">
        <v>34133</v>
      </c>
      <c r="F6837" s="4" t="s">
        <v>32563</v>
      </c>
      <c r="G6837" s="4" t="s">
        <v>34134</v>
      </c>
    </row>
    <row r="6838" ht="14.25">
      <c r="B6838" s="14" t="s">
        <v>34130</v>
      </c>
      <c r="C6838" s="4" t="s">
        <v>34135</v>
      </c>
      <c r="D6838" s="4" t="s">
        <v>34136</v>
      </c>
      <c r="E6838" s="4" t="s">
        <v>34137</v>
      </c>
      <c r="F6838" s="4" t="s">
        <v>2119</v>
      </c>
      <c r="G6838" s="4" t="s">
        <v>34138</v>
      </c>
    </row>
    <row r="6839" ht="14.25">
      <c r="B6839" s="14" t="s">
        <v>34130</v>
      </c>
      <c r="C6839" s="4" t="s">
        <v>34131</v>
      </c>
      <c r="D6839" s="4" t="s">
        <v>34139</v>
      </c>
      <c r="E6839" s="4" t="s">
        <v>34133</v>
      </c>
      <c r="F6839" s="4" t="s">
        <v>32958</v>
      </c>
      <c r="G6839" s="4" t="s">
        <v>34140</v>
      </c>
    </row>
    <row r="6840" ht="14.25">
      <c r="B6840" s="14" t="s">
        <v>34130</v>
      </c>
      <c r="C6840" s="4" t="s">
        <v>34131</v>
      </c>
      <c r="D6840" s="4" t="s">
        <v>34141</v>
      </c>
      <c r="E6840" s="4" t="s">
        <v>34133</v>
      </c>
      <c r="F6840" s="4" t="s">
        <v>32787</v>
      </c>
      <c r="G6840" s="4" t="s">
        <v>34142</v>
      </c>
    </row>
    <row r="6841" ht="14.25">
      <c r="B6841" s="14" t="s">
        <v>34143</v>
      </c>
      <c r="C6841" s="4" t="s">
        <v>34144</v>
      </c>
      <c r="D6841" s="4" t="s">
        <v>34145</v>
      </c>
      <c r="E6841" s="4" t="s">
        <v>34146</v>
      </c>
      <c r="F6841" s="4" t="s">
        <v>630</v>
      </c>
      <c r="G6841" s="4" t="s">
        <v>34147</v>
      </c>
    </row>
    <row r="6842" ht="14.25">
      <c r="B6842" s="14" t="s">
        <v>34143</v>
      </c>
      <c r="C6842" s="4" t="s">
        <v>34144</v>
      </c>
      <c r="D6842" s="4" t="s">
        <v>34148</v>
      </c>
      <c r="E6842" s="4" t="s">
        <v>34146</v>
      </c>
      <c r="F6842" s="4" t="s">
        <v>33217</v>
      </c>
      <c r="G6842" s="4" t="s">
        <v>32898</v>
      </c>
    </row>
    <row r="6843" ht="14.25">
      <c r="B6843" s="14" t="s">
        <v>34143</v>
      </c>
      <c r="C6843" s="4" t="s">
        <v>34149</v>
      </c>
      <c r="D6843" s="4" t="s">
        <v>34150</v>
      </c>
      <c r="E6843" s="4" t="s">
        <v>34151</v>
      </c>
      <c r="F6843" s="4" t="s">
        <v>604</v>
      </c>
      <c r="G6843" s="4" t="s">
        <v>34152</v>
      </c>
    </row>
    <row r="6844" ht="14.25">
      <c r="B6844" s="14" t="s">
        <v>34143</v>
      </c>
      <c r="C6844" s="4" t="s">
        <v>34149</v>
      </c>
      <c r="D6844" s="4" t="s">
        <v>34153</v>
      </c>
      <c r="E6844" s="4" t="s">
        <v>34151</v>
      </c>
      <c r="F6844" s="4" t="s">
        <v>1861</v>
      </c>
      <c r="G6844" s="4" t="s">
        <v>32551</v>
      </c>
    </row>
    <row r="6845" ht="14.25">
      <c r="B6845" s="14" t="s">
        <v>34143</v>
      </c>
      <c r="C6845" s="4" t="s">
        <v>34154</v>
      </c>
      <c r="D6845" s="4" t="s">
        <v>34155</v>
      </c>
      <c r="E6845" s="4" t="s">
        <v>34156</v>
      </c>
      <c r="F6845" s="4" t="s">
        <v>955</v>
      </c>
      <c r="G6845" s="4" t="s">
        <v>34157</v>
      </c>
    </row>
    <row r="6846" ht="14.25">
      <c r="B6846" s="14" t="s">
        <v>34158</v>
      </c>
      <c r="C6846" s="4" t="s">
        <v>34159</v>
      </c>
      <c r="D6846" s="4" t="s">
        <v>34160</v>
      </c>
      <c r="E6846" s="4" t="s">
        <v>34161</v>
      </c>
      <c r="F6846" s="4" t="s">
        <v>6788</v>
      </c>
      <c r="G6846" s="4" t="s">
        <v>34162</v>
      </c>
    </row>
    <row r="6847" ht="14.25">
      <c r="B6847" s="14" t="s">
        <v>34158</v>
      </c>
      <c r="C6847" s="4" t="s">
        <v>34159</v>
      </c>
      <c r="D6847" s="4" t="s">
        <v>34163</v>
      </c>
      <c r="E6847" s="4" t="s">
        <v>34161</v>
      </c>
      <c r="F6847" s="4" t="s">
        <v>2419</v>
      </c>
      <c r="G6847" s="4" t="s">
        <v>34164</v>
      </c>
    </row>
    <row r="6848" ht="14.25">
      <c r="B6848" s="14" t="s">
        <v>34165</v>
      </c>
      <c r="C6848" s="4" t="s">
        <v>34166</v>
      </c>
      <c r="D6848" s="4" t="s">
        <v>34167</v>
      </c>
      <c r="E6848" s="4" t="s">
        <v>34168</v>
      </c>
      <c r="F6848" s="4" t="s">
        <v>222</v>
      </c>
      <c r="G6848" s="4" t="s">
        <v>34169</v>
      </c>
    </row>
    <row r="6849" ht="14.25">
      <c r="B6849" s="14" t="s">
        <v>34170</v>
      </c>
      <c r="C6849" s="4" t="s">
        <v>34171</v>
      </c>
      <c r="D6849" s="4" t="s">
        <v>34172</v>
      </c>
      <c r="E6849" s="4" t="s">
        <v>34173</v>
      </c>
      <c r="F6849" s="4" t="s">
        <v>34174</v>
      </c>
      <c r="G6849" s="4" t="s">
        <v>34169</v>
      </c>
    </row>
    <row r="6850" ht="14.25">
      <c r="B6850" s="14" t="s">
        <v>34170</v>
      </c>
      <c r="C6850" s="4" t="s">
        <v>34171</v>
      </c>
      <c r="D6850" s="4" t="s">
        <v>34175</v>
      </c>
      <c r="E6850" s="4" t="s">
        <v>34173</v>
      </c>
      <c r="F6850" s="4" t="s">
        <v>222</v>
      </c>
      <c r="G6850" s="4" t="s">
        <v>34176</v>
      </c>
    </row>
    <row r="6851" ht="14.25">
      <c r="B6851" s="14" t="s">
        <v>34177</v>
      </c>
      <c r="C6851" s="4" t="s">
        <v>34178</v>
      </c>
      <c r="D6851" s="4" t="s">
        <v>34179</v>
      </c>
      <c r="E6851" s="4" t="s">
        <v>34180</v>
      </c>
      <c r="F6851" s="4" t="s">
        <v>6923</v>
      </c>
      <c r="G6851" s="4" t="s">
        <v>34181</v>
      </c>
    </row>
    <row r="6852" ht="14.25">
      <c r="B6852" s="14" t="s">
        <v>34177</v>
      </c>
      <c r="C6852" s="4" t="s">
        <v>34178</v>
      </c>
      <c r="D6852" s="4" t="s">
        <v>34182</v>
      </c>
      <c r="E6852" s="4" t="s">
        <v>34180</v>
      </c>
      <c r="F6852" s="4" t="s">
        <v>653</v>
      </c>
      <c r="G6852" s="4" t="s">
        <v>33043</v>
      </c>
    </row>
    <row r="6853" ht="14.25">
      <c r="B6853" s="14" t="s">
        <v>34183</v>
      </c>
      <c r="C6853" s="4" t="s">
        <v>34184</v>
      </c>
      <c r="D6853" s="4" t="s">
        <v>34185</v>
      </c>
      <c r="E6853" s="4" t="s">
        <v>34186</v>
      </c>
      <c r="F6853" s="4" t="s">
        <v>34187</v>
      </c>
      <c r="G6853" s="4" t="s">
        <v>34188</v>
      </c>
    </row>
    <row r="6854" ht="14.25">
      <c r="B6854" s="14" t="s">
        <v>34189</v>
      </c>
      <c r="C6854" s="4" t="s">
        <v>34190</v>
      </c>
      <c r="D6854" s="4" t="s">
        <v>34191</v>
      </c>
      <c r="E6854" s="4" t="s">
        <v>34192</v>
      </c>
      <c r="F6854" s="4" t="s">
        <v>34193</v>
      </c>
      <c r="G6854" s="4" t="s">
        <v>34194</v>
      </c>
    </row>
    <row r="6855" ht="14.25">
      <c r="B6855" s="14" t="s">
        <v>34195</v>
      </c>
      <c r="C6855" s="4" t="s">
        <v>34196</v>
      </c>
      <c r="D6855" s="4" t="s">
        <v>34197</v>
      </c>
      <c r="E6855" s="4" t="s">
        <v>34198</v>
      </c>
      <c r="F6855" s="4" t="s">
        <v>817</v>
      </c>
      <c r="G6855" s="4" t="s">
        <v>34199</v>
      </c>
    </row>
    <row r="6856" ht="14.25">
      <c r="B6856" s="14" t="s">
        <v>34195</v>
      </c>
      <c r="C6856" s="4" t="s">
        <v>34196</v>
      </c>
      <c r="D6856" s="4" t="s">
        <v>34200</v>
      </c>
      <c r="E6856" s="4" t="s">
        <v>34198</v>
      </c>
      <c r="F6856" s="4" t="s">
        <v>34201</v>
      </c>
      <c r="G6856" s="4" t="s">
        <v>34202</v>
      </c>
    </row>
    <row r="6857" ht="14.25">
      <c r="B6857" s="14" t="s">
        <v>34203</v>
      </c>
      <c r="C6857" s="4" t="s">
        <v>34204</v>
      </c>
      <c r="D6857" s="4" t="s">
        <v>34205</v>
      </c>
      <c r="E6857" s="4" t="s">
        <v>34206</v>
      </c>
      <c r="F6857" s="4" t="s">
        <v>110</v>
      </c>
      <c r="G6857" s="4" t="s">
        <v>34207</v>
      </c>
    </row>
    <row r="6858" ht="14.25">
      <c r="B6858" s="14" t="s">
        <v>34203</v>
      </c>
      <c r="C6858" s="4" t="s">
        <v>34204</v>
      </c>
      <c r="D6858" s="4" t="s">
        <v>34208</v>
      </c>
      <c r="E6858" s="4" t="s">
        <v>34206</v>
      </c>
      <c r="F6858" s="4" t="s">
        <v>11417</v>
      </c>
      <c r="G6858" s="4" t="s">
        <v>34209</v>
      </c>
    </row>
    <row r="6859" ht="14.25">
      <c r="B6859" s="14" t="s">
        <v>34210</v>
      </c>
      <c r="C6859" s="4" t="s">
        <v>34211</v>
      </c>
      <c r="D6859" s="4" t="s">
        <v>34212</v>
      </c>
      <c r="E6859" s="4" t="s">
        <v>34213</v>
      </c>
      <c r="F6859" s="4" t="s">
        <v>6634</v>
      </c>
      <c r="G6859" s="4" t="s">
        <v>34214</v>
      </c>
    </row>
    <row r="6860" ht="14.25">
      <c r="B6860" s="14" t="s">
        <v>34210</v>
      </c>
      <c r="C6860" s="4" t="s">
        <v>34211</v>
      </c>
      <c r="D6860" s="4" t="s">
        <v>34215</v>
      </c>
      <c r="E6860" s="4" t="s">
        <v>34213</v>
      </c>
      <c r="F6860" s="4" t="s">
        <v>33135</v>
      </c>
      <c r="G6860" s="4" t="s">
        <v>34216</v>
      </c>
    </row>
    <row r="6861" ht="14.25">
      <c r="B6861" s="14" t="s">
        <v>34217</v>
      </c>
      <c r="C6861" s="4" t="s">
        <v>34218</v>
      </c>
      <c r="D6861" s="4" t="s">
        <v>34219</v>
      </c>
      <c r="E6861" s="4" t="s">
        <v>34220</v>
      </c>
      <c r="F6861" s="4" t="s">
        <v>34221</v>
      </c>
      <c r="G6861" s="4" t="s">
        <v>34222</v>
      </c>
    </row>
    <row r="6862" ht="14.25">
      <c r="B6862" s="14" t="s">
        <v>34217</v>
      </c>
      <c r="C6862" s="4" t="s">
        <v>34218</v>
      </c>
      <c r="D6862" s="4" t="s">
        <v>34223</v>
      </c>
      <c r="E6862" s="4" t="s">
        <v>34220</v>
      </c>
      <c r="F6862" s="4" t="s">
        <v>1732</v>
      </c>
      <c r="G6862" s="4" t="s">
        <v>34224</v>
      </c>
    </row>
    <row r="6863" ht="14.25">
      <c r="B6863" s="14" t="s">
        <v>34217</v>
      </c>
      <c r="C6863" s="4" t="s">
        <v>34218</v>
      </c>
      <c r="D6863" s="4" t="s">
        <v>34225</v>
      </c>
      <c r="E6863" s="4" t="s">
        <v>34220</v>
      </c>
      <c r="F6863" s="4" t="s">
        <v>1215</v>
      </c>
      <c r="G6863" s="4" t="s">
        <v>34226</v>
      </c>
    </row>
    <row r="6864" ht="14.25">
      <c r="B6864" s="14" t="s">
        <v>34217</v>
      </c>
      <c r="C6864" s="4" t="s">
        <v>34218</v>
      </c>
      <c r="D6864" s="4" t="s">
        <v>34227</v>
      </c>
      <c r="E6864" s="4" t="s">
        <v>34220</v>
      </c>
      <c r="F6864" s="4" t="s">
        <v>32891</v>
      </c>
      <c r="G6864" s="4" t="s">
        <v>34228</v>
      </c>
    </row>
    <row r="6865" ht="14.25">
      <c r="B6865" s="14" t="s">
        <v>34229</v>
      </c>
      <c r="C6865" s="4" t="s">
        <v>34230</v>
      </c>
      <c r="D6865" s="4" t="s">
        <v>34231</v>
      </c>
      <c r="E6865" s="4" t="s">
        <v>34232</v>
      </c>
      <c r="F6865" s="4" t="s">
        <v>32622</v>
      </c>
      <c r="G6865" s="4" t="s">
        <v>34233</v>
      </c>
    </row>
    <row r="6866" ht="14.25">
      <c r="B6866" s="14" t="s">
        <v>34234</v>
      </c>
      <c r="C6866" s="4" t="s">
        <v>34235</v>
      </c>
      <c r="D6866" s="4" t="s">
        <v>34236</v>
      </c>
      <c r="E6866" s="4" t="s">
        <v>34237</v>
      </c>
      <c r="F6866" s="4" t="s">
        <v>9922</v>
      </c>
      <c r="G6866" s="4" t="s">
        <v>34238</v>
      </c>
    </row>
    <row r="6867" ht="14.25">
      <c r="B6867" s="14" t="s">
        <v>34234</v>
      </c>
      <c r="C6867" s="4" t="s">
        <v>34235</v>
      </c>
      <c r="D6867" s="4" t="s">
        <v>34239</v>
      </c>
      <c r="E6867" s="4" t="s">
        <v>34237</v>
      </c>
      <c r="F6867" s="4" t="s">
        <v>34240</v>
      </c>
      <c r="G6867" s="4" t="s">
        <v>34238</v>
      </c>
    </row>
    <row r="6868" ht="14.25">
      <c r="B6868" s="14" t="s">
        <v>34241</v>
      </c>
      <c r="C6868" s="4" t="s">
        <v>34242</v>
      </c>
      <c r="D6868" s="4" t="s">
        <v>34243</v>
      </c>
      <c r="E6868" s="4" t="s">
        <v>34244</v>
      </c>
      <c r="F6868" s="4" t="s">
        <v>222</v>
      </c>
      <c r="G6868" s="4" t="s">
        <v>34245</v>
      </c>
    </row>
    <row r="6869" ht="14.25">
      <c r="B6869" s="14" t="s">
        <v>34246</v>
      </c>
      <c r="C6869" s="4" t="s">
        <v>34247</v>
      </c>
      <c r="D6869" s="4" t="s">
        <v>34248</v>
      </c>
      <c r="E6869" s="4" t="s">
        <v>34249</v>
      </c>
      <c r="F6869" s="4" t="s">
        <v>15070</v>
      </c>
      <c r="G6869" s="4" t="s">
        <v>34250</v>
      </c>
    </row>
    <row r="6870" ht="14.25">
      <c r="B6870" s="14" t="s">
        <v>34246</v>
      </c>
      <c r="C6870" s="4" t="s">
        <v>34247</v>
      </c>
      <c r="D6870" s="4" t="s">
        <v>34251</v>
      </c>
      <c r="E6870" s="4" t="s">
        <v>34249</v>
      </c>
      <c r="F6870" s="4" t="s">
        <v>69</v>
      </c>
      <c r="G6870" s="4" t="s">
        <v>34252</v>
      </c>
    </row>
    <row r="6871" ht="14.25">
      <c r="B6871" s="14" t="s">
        <v>34253</v>
      </c>
      <c r="C6871" s="4" t="s">
        <v>34254</v>
      </c>
      <c r="D6871" s="4" t="s">
        <v>34255</v>
      </c>
      <c r="E6871" s="6"/>
      <c r="F6871" s="4" t="s">
        <v>1704</v>
      </c>
      <c r="G6871" s="4" t="s">
        <v>34256</v>
      </c>
    </row>
    <row r="6872" ht="14.25">
      <c r="B6872" s="14" t="s">
        <v>34257</v>
      </c>
      <c r="C6872" s="4" t="s">
        <v>34258</v>
      </c>
      <c r="D6872" s="4" t="s">
        <v>34259</v>
      </c>
      <c r="E6872" s="4" t="s">
        <v>34260</v>
      </c>
      <c r="F6872" s="4" t="s">
        <v>866</v>
      </c>
      <c r="G6872" s="4" t="s">
        <v>34261</v>
      </c>
    </row>
    <row r="6873" ht="14.25">
      <c r="B6873" s="14" t="s">
        <v>34257</v>
      </c>
      <c r="C6873" s="4" t="s">
        <v>34258</v>
      </c>
      <c r="D6873" s="4" t="s">
        <v>34262</v>
      </c>
      <c r="E6873" s="4" t="s">
        <v>34260</v>
      </c>
      <c r="F6873" s="4" t="s">
        <v>32666</v>
      </c>
      <c r="G6873" s="4" t="s">
        <v>34263</v>
      </c>
    </row>
    <row r="6874" ht="14.25">
      <c r="B6874" s="14" t="s">
        <v>34257</v>
      </c>
      <c r="C6874" s="4" t="s">
        <v>34258</v>
      </c>
      <c r="D6874" s="4" t="s">
        <v>34264</v>
      </c>
      <c r="E6874" s="4" t="s">
        <v>34260</v>
      </c>
      <c r="F6874" s="4" t="s">
        <v>32666</v>
      </c>
      <c r="G6874" s="4" t="s">
        <v>34265</v>
      </c>
    </row>
    <row r="6875" ht="14.25">
      <c r="B6875" s="14" t="s">
        <v>34257</v>
      </c>
      <c r="C6875" s="4" t="s">
        <v>34258</v>
      </c>
      <c r="D6875" s="4" t="s">
        <v>34266</v>
      </c>
      <c r="E6875" s="4" t="s">
        <v>34260</v>
      </c>
      <c r="F6875" s="4" t="s">
        <v>69</v>
      </c>
      <c r="G6875" s="4" t="s">
        <v>34267</v>
      </c>
    </row>
    <row r="6876" ht="14.25">
      <c r="B6876" s="14" t="s">
        <v>34268</v>
      </c>
      <c r="C6876" s="4" t="s">
        <v>34269</v>
      </c>
      <c r="D6876" s="4" t="s">
        <v>34270</v>
      </c>
      <c r="E6876" s="6"/>
      <c r="F6876" s="4" t="s">
        <v>808</v>
      </c>
      <c r="G6876" s="4" t="s">
        <v>34271</v>
      </c>
    </row>
    <row r="6877" ht="14.25">
      <c r="B6877" s="14" t="s">
        <v>34272</v>
      </c>
      <c r="C6877" s="4" t="s">
        <v>34273</v>
      </c>
      <c r="D6877" s="4" t="s">
        <v>34274</v>
      </c>
      <c r="E6877" s="4" t="s">
        <v>34275</v>
      </c>
      <c r="F6877" s="4" t="s">
        <v>4012</v>
      </c>
      <c r="G6877" s="4" t="s">
        <v>34276</v>
      </c>
    </row>
    <row r="6878" ht="14.25">
      <c r="B6878" s="14" t="s">
        <v>34272</v>
      </c>
      <c r="C6878" s="4" t="s">
        <v>34273</v>
      </c>
      <c r="D6878" s="4" t="s">
        <v>34277</v>
      </c>
      <c r="E6878" s="4" t="s">
        <v>34275</v>
      </c>
      <c r="F6878" s="4" t="s">
        <v>222</v>
      </c>
      <c r="G6878" s="4" t="s">
        <v>34278</v>
      </c>
    </row>
    <row r="6879" ht="14.25">
      <c r="B6879" s="14" t="s">
        <v>34272</v>
      </c>
      <c r="C6879" s="4" t="s">
        <v>34273</v>
      </c>
      <c r="D6879" s="4" t="s">
        <v>34279</v>
      </c>
      <c r="E6879" s="4" t="s">
        <v>34275</v>
      </c>
      <c r="F6879" s="4" t="s">
        <v>8778</v>
      </c>
      <c r="G6879" s="4" t="s">
        <v>34280</v>
      </c>
    </row>
    <row r="6880" ht="14.25">
      <c r="B6880" s="14" t="s">
        <v>34281</v>
      </c>
      <c r="C6880" s="4" t="s">
        <v>34282</v>
      </c>
      <c r="D6880" s="4" t="s">
        <v>34283</v>
      </c>
      <c r="E6880" s="6"/>
      <c r="F6880" s="4" t="s">
        <v>34284</v>
      </c>
      <c r="G6880" s="4" t="s">
        <v>34285</v>
      </c>
    </row>
    <row r="6881" ht="14.25">
      <c r="B6881" s="14" t="s">
        <v>34286</v>
      </c>
      <c r="C6881" s="4" t="s">
        <v>34287</v>
      </c>
      <c r="D6881" s="4" t="s">
        <v>34288</v>
      </c>
      <c r="E6881" s="4" t="s">
        <v>34289</v>
      </c>
      <c r="F6881" s="4" t="s">
        <v>6634</v>
      </c>
      <c r="G6881" s="4" t="s">
        <v>34290</v>
      </c>
    </row>
    <row r="6882" ht="14.25">
      <c r="B6882" s="14" t="s">
        <v>34286</v>
      </c>
      <c r="C6882" s="4" t="s">
        <v>34287</v>
      </c>
      <c r="D6882" s="4" t="s">
        <v>34291</v>
      </c>
      <c r="E6882" s="4" t="s">
        <v>34289</v>
      </c>
      <c r="F6882" s="4" t="s">
        <v>1207</v>
      </c>
      <c r="G6882" s="4" t="s">
        <v>34292</v>
      </c>
    </row>
    <row r="6883" ht="14.25">
      <c r="B6883" s="14" t="s">
        <v>34286</v>
      </c>
      <c r="C6883" s="4" t="s">
        <v>34287</v>
      </c>
      <c r="D6883" s="4" t="s">
        <v>34293</v>
      </c>
      <c r="E6883" s="4" t="s">
        <v>34289</v>
      </c>
      <c r="F6883" s="4" t="s">
        <v>76</v>
      </c>
      <c r="G6883" s="4" t="s">
        <v>34294</v>
      </c>
    </row>
    <row r="6884" ht="14.25">
      <c r="B6884" s="14" t="s">
        <v>34286</v>
      </c>
      <c r="C6884" s="4" t="s">
        <v>34287</v>
      </c>
      <c r="D6884" s="4" t="s">
        <v>34295</v>
      </c>
      <c r="E6884" s="4" t="s">
        <v>34289</v>
      </c>
      <c r="F6884" s="4" t="s">
        <v>21744</v>
      </c>
      <c r="G6884" s="4" t="s">
        <v>34296</v>
      </c>
    </row>
    <row r="6885" ht="14.25">
      <c r="B6885" s="14" t="s">
        <v>34297</v>
      </c>
      <c r="C6885" s="4" t="s">
        <v>34298</v>
      </c>
      <c r="D6885" s="4" t="s">
        <v>34299</v>
      </c>
      <c r="E6885" s="6"/>
      <c r="F6885" s="4" t="s">
        <v>34300</v>
      </c>
      <c r="G6885" s="4" t="s">
        <v>34301</v>
      </c>
    </row>
    <row r="6886" ht="14.25">
      <c r="B6886" s="14" t="s">
        <v>34302</v>
      </c>
      <c r="C6886" s="4" t="s">
        <v>34303</v>
      </c>
      <c r="D6886" s="4" t="s">
        <v>34304</v>
      </c>
      <c r="E6886" s="4" t="s">
        <v>34305</v>
      </c>
      <c r="F6886" s="4" t="s">
        <v>785</v>
      </c>
      <c r="G6886" s="4" t="s">
        <v>33098</v>
      </c>
    </row>
    <row r="6887" ht="14.25">
      <c r="B6887" s="14" t="s">
        <v>34302</v>
      </c>
      <c r="C6887" s="4" t="s">
        <v>34303</v>
      </c>
      <c r="D6887" s="4" t="s">
        <v>34306</v>
      </c>
      <c r="E6887" s="4" t="s">
        <v>34305</v>
      </c>
      <c r="F6887" s="4" t="s">
        <v>32706</v>
      </c>
      <c r="G6887" s="4" t="s">
        <v>34307</v>
      </c>
    </row>
    <row r="6888" ht="14.25">
      <c r="B6888" s="14" t="s">
        <v>34308</v>
      </c>
      <c r="C6888" s="4" t="s">
        <v>34309</v>
      </c>
      <c r="D6888" s="4" t="s">
        <v>34310</v>
      </c>
      <c r="E6888" s="4" t="s">
        <v>34311</v>
      </c>
      <c r="F6888" s="4" t="s">
        <v>3164</v>
      </c>
      <c r="G6888" s="4" t="s">
        <v>34312</v>
      </c>
    </row>
    <row r="6889" ht="14.25">
      <c r="B6889" s="14" t="s">
        <v>34313</v>
      </c>
      <c r="C6889" s="4" t="s">
        <v>34314</v>
      </c>
      <c r="D6889" s="4" t="s">
        <v>34315</v>
      </c>
      <c r="E6889" s="6"/>
      <c r="F6889" s="4" t="s">
        <v>355</v>
      </c>
      <c r="G6889" s="4" t="s">
        <v>34316</v>
      </c>
    </row>
    <row r="6890" ht="14.25">
      <c r="B6890" s="14" t="s">
        <v>34313</v>
      </c>
      <c r="C6890" s="4" t="s">
        <v>34317</v>
      </c>
      <c r="D6890" s="4" t="s">
        <v>34318</v>
      </c>
      <c r="E6890" s="4" t="s">
        <v>34319</v>
      </c>
      <c r="F6890" s="4" t="s">
        <v>5579</v>
      </c>
      <c r="G6890" s="4" t="s">
        <v>34320</v>
      </c>
    </row>
    <row r="6891" ht="14.25">
      <c r="B6891" s="14" t="s">
        <v>34313</v>
      </c>
      <c r="C6891" s="4" t="s">
        <v>34317</v>
      </c>
      <c r="D6891" s="4" t="s">
        <v>34321</v>
      </c>
      <c r="E6891" s="4" t="s">
        <v>34319</v>
      </c>
      <c r="F6891" s="4" t="s">
        <v>330</v>
      </c>
      <c r="G6891" s="4" t="s">
        <v>33725</v>
      </c>
    </row>
    <row r="6892" ht="14.25">
      <c r="B6892" s="14" t="s">
        <v>34322</v>
      </c>
      <c r="C6892" s="4" t="s">
        <v>34323</v>
      </c>
      <c r="D6892" s="4" t="s">
        <v>34324</v>
      </c>
      <c r="E6892" s="4" t="s">
        <v>34325</v>
      </c>
      <c r="F6892" s="4" t="s">
        <v>1732</v>
      </c>
      <c r="G6892" s="4" t="s">
        <v>34326</v>
      </c>
    </row>
    <row r="6893" ht="14.25">
      <c r="B6893" s="14" t="s">
        <v>34327</v>
      </c>
      <c r="C6893" s="4" t="s">
        <v>34328</v>
      </c>
      <c r="D6893" s="4" t="s">
        <v>34329</v>
      </c>
      <c r="E6893" s="6"/>
      <c r="F6893" s="4" t="s">
        <v>34330</v>
      </c>
      <c r="G6893" s="4" t="s">
        <v>34331</v>
      </c>
    </row>
    <row r="6894" ht="14.25">
      <c r="B6894" s="14" t="s">
        <v>34332</v>
      </c>
      <c r="C6894" s="4" t="s">
        <v>34333</v>
      </c>
      <c r="D6894" s="4" t="s">
        <v>34334</v>
      </c>
      <c r="E6894" s="4" t="s">
        <v>34335</v>
      </c>
      <c r="F6894" s="4" t="s">
        <v>32579</v>
      </c>
      <c r="G6894" s="4" t="s">
        <v>34336</v>
      </c>
    </row>
    <row r="6895" ht="14.25">
      <c r="B6895" s="14" t="s">
        <v>34337</v>
      </c>
      <c r="C6895" s="4" t="s">
        <v>34338</v>
      </c>
      <c r="D6895" s="4" t="s">
        <v>34339</v>
      </c>
      <c r="E6895" s="4" t="s">
        <v>34340</v>
      </c>
      <c r="F6895" s="4" t="s">
        <v>196</v>
      </c>
      <c r="G6895" s="4" t="s">
        <v>34341</v>
      </c>
    </row>
    <row r="6896" ht="14.25">
      <c r="B6896" s="14" t="s">
        <v>34337</v>
      </c>
      <c r="C6896" s="4" t="s">
        <v>34338</v>
      </c>
      <c r="D6896" s="4" t="s">
        <v>34342</v>
      </c>
      <c r="E6896" s="4" t="s">
        <v>34340</v>
      </c>
      <c r="F6896" s="4" t="s">
        <v>33456</v>
      </c>
      <c r="G6896" s="4" t="s">
        <v>32645</v>
      </c>
    </row>
    <row r="6897" ht="14.25">
      <c r="B6897" s="14" t="s">
        <v>34337</v>
      </c>
      <c r="C6897" s="4" t="s">
        <v>34338</v>
      </c>
      <c r="D6897" s="4" t="s">
        <v>34343</v>
      </c>
      <c r="E6897" s="4" t="s">
        <v>34340</v>
      </c>
      <c r="F6897" s="4" t="s">
        <v>15545</v>
      </c>
      <c r="G6897" s="4" t="s">
        <v>34344</v>
      </c>
    </row>
    <row r="6898" ht="14.25">
      <c r="B6898" s="14" t="s">
        <v>34345</v>
      </c>
      <c r="C6898" s="4" t="s">
        <v>34346</v>
      </c>
      <c r="D6898" s="4" t="s">
        <v>34347</v>
      </c>
      <c r="E6898" s="4" t="s">
        <v>34348</v>
      </c>
      <c r="F6898" s="4" t="s">
        <v>32666</v>
      </c>
      <c r="G6898" s="4" t="s">
        <v>34349</v>
      </c>
    </row>
    <row r="6899" ht="14.25">
      <c r="B6899" s="14" t="s">
        <v>34350</v>
      </c>
      <c r="C6899" s="4" t="s">
        <v>34351</v>
      </c>
      <c r="D6899" s="4" t="s">
        <v>34352</v>
      </c>
      <c r="E6899" s="6"/>
      <c r="F6899" s="4" t="s">
        <v>13376</v>
      </c>
      <c r="G6899" s="4" t="s">
        <v>34233</v>
      </c>
    </row>
    <row r="6900" ht="14.25">
      <c r="B6900" s="14" t="s">
        <v>34353</v>
      </c>
      <c r="C6900" s="4" t="s">
        <v>34354</v>
      </c>
      <c r="D6900" s="4" t="s">
        <v>34355</v>
      </c>
      <c r="E6900" s="6"/>
      <c r="F6900" s="4" t="s">
        <v>1583</v>
      </c>
      <c r="G6900" s="4" t="s">
        <v>34356</v>
      </c>
    </row>
    <row r="6901" ht="14.25">
      <c r="B6901" s="14" t="s">
        <v>34353</v>
      </c>
      <c r="C6901" s="4" t="s">
        <v>34357</v>
      </c>
      <c r="D6901" s="4" t="s">
        <v>34358</v>
      </c>
      <c r="E6901" s="6"/>
      <c r="F6901" s="4" t="s">
        <v>355</v>
      </c>
      <c r="G6901" s="4" t="s">
        <v>34359</v>
      </c>
    </row>
    <row r="6902" ht="14.25">
      <c r="B6902" s="14" t="s">
        <v>34360</v>
      </c>
      <c r="C6902" s="4" t="s">
        <v>34361</v>
      </c>
      <c r="D6902" s="4" t="s">
        <v>34362</v>
      </c>
      <c r="E6902" s="4" t="s">
        <v>34363</v>
      </c>
      <c r="F6902" s="4" t="s">
        <v>556</v>
      </c>
      <c r="G6902" s="4" t="s">
        <v>34364</v>
      </c>
    </row>
    <row r="6903" ht="14.25">
      <c r="B6903" s="14" t="s">
        <v>34360</v>
      </c>
      <c r="C6903" s="4" t="s">
        <v>34365</v>
      </c>
      <c r="D6903" s="4" t="s">
        <v>34366</v>
      </c>
      <c r="E6903" s="4" t="s">
        <v>34367</v>
      </c>
      <c r="F6903" s="4" t="s">
        <v>110</v>
      </c>
      <c r="G6903" s="4" t="s">
        <v>34368</v>
      </c>
    </row>
    <row r="6904" ht="14.25">
      <c r="B6904" s="14" t="s">
        <v>34360</v>
      </c>
      <c r="C6904" s="4" t="s">
        <v>34365</v>
      </c>
      <c r="D6904" s="4" t="s">
        <v>34369</v>
      </c>
      <c r="E6904" s="4" t="s">
        <v>34367</v>
      </c>
      <c r="F6904" s="4" t="s">
        <v>13300</v>
      </c>
      <c r="G6904" s="4" t="s">
        <v>34370</v>
      </c>
    </row>
    <row r="6905" ht="14.25">
      <c r="B6905" s="14" t="s">
        <v>34360</v>
      </c>
      <c r="C6905" s="4" t="s">
        <v>34361</v>
      </c>
      <c r="D6905" s="4" t="s">
        <v>34371</v>
      </c>
      <c r="E6905" s="4" t="s">
        <v>34363</v>
      </c>
      <c r="F6905" s="4" t="s">
        <v>33217</v>
      </c>
      <c r="G6905" s="4" t="s">
        <v>34372</v>
      </c>
    </row>
    <row r="6906" ht="14.25">
      <c r="B6906" s="14" t="s">
        <v>34360</v>
      </c>
      <c r="C6906" s="4" t="s">
        <v>34365</v>
      </c>
      <c r="D6906" s="4" t="s">
        <v>34373</v>
      </c>
      <c r="E6906" s="4" t="s">
        <v>34367</v>
      </c>
      <c r="F6906" s="4" t="s">
        <v>34374</v>
      </c>
      <c r="G6906" s="4" t="s">
        <v>34375</v>
      </c>
    </row>
    <row r="6907" ht="14.25">
      <c r="B6907" s="14" t="s">
        <v>34360</v>
      </c>
      <c r="C6907" s="4" t="s">
        <v>34361</v>
      </c>
      <c r="D6907" s="4" t="s">
        <v>34376</v>
      </c>
      <c r="E6907" s="4" t="s">
        <v>34363</v>
      </c>
      <c r="F6907" s="4" t="s">
        <v>604</v>
      </c>
      <c r="G6907" s="4" t="s">
        <v>32564</v>
      </c>
    </row>
    <row r="6908" ht="14.25">
      <c r="B6908" s="14" t="s">
        <v>34360</v>
      </c>
      <c r="C6908" s="4" t="s">
        <v>34361</v>
      </c>
      <c r="D6908" s="4" t="s">
        <v>34377</v>
      </c>
      <c r="E6908" s="4" t="s">
        <v>34363</v>
      </c>
      <c r="F6908" s="4" t="s">
        <v>34378</v>
      </c>
      <c r="G6908" s="4" t="s">
        <v>34379</v>
      </c>
    </row>
    <row r="6909" ht="14.25">
      <c r="B6909" s="14" t="s">
        <v>34380</v>
      </c>
      <c r="C6909" s="4" t="s">
        <v>34381</v>
      </c>
      <c r="D6909" s="4" t="s">
        <v>34382</v>
      </c>
      <c r="E6909" s="4" t="s">
        <v>34383</v>
      </c>
      <c r="F6909" s="4" t="s">
        <v>21089</v>
      </c>
      <c r="G6909" s="4" t="s">
        <v>34384</v>
      </c>
    </row>
    <row r="6910" ht="14.25">
      <c r="B6910" s="14" t="s">
        <v>34385</v>
      </c>
      <c r="C6910" s="4" t="s">
        <v>34386</v>
      </c>
      <c r="D6910" s="4" t="s">
        <v>34387</v>
      </c>
      <c r="E6910" s="4" t="s">
        <v>34388</v>
      </c>
      <c r="F6910" s="4" t="s">
        <v>4969</v>
      </c>
      <c r="G6910" s="4" t="s">
        <v>34389</v>
      </c>
    </row>
    <row r="6911" ht="14.25">
      <c r="B6911" s="14" t="s">
        <v>34390</v>
      </c>
      <c r="C6911" s="4" t="s">
        <v>34391</v>
      </c>
      <c r="D6911" s="4" t="s">
        <v>34392</v>
      </c>
      <c r="E6911" s="4" t="s">
        <v>34393</v>
      </c>
      <c r="F6911" s="4" t="s">
        <v>604</v>
      </c>
      <c r="G6911" s="4" t="s">
        <v>34394</v>
      </c>
    </row>
    <row r="6912" ht="14.25">
      <c r="B6912" s="14" t="s">
        <v>34390</v>
      </c>
      <c r="C6912" s="4" t="s">
        <v>34391</v>
      </c>
      <c r="D6912" s="4" t="s">
        <v>34395</v>
      </c>
      <c r="E6912" s="4" t="s">
        <v>34393</v>
      </c>
      <c r="F6912" s="4" t="s">
        <v>34396</v>
      </c>
      <c r="G6912" s="4" t="s">
        <v>34397</v>
      </c>
    </row>
    <row r="6913" ht="14.25">
      <c r="B6913" s="14" t="s">
        <v>34390</v>
      </c>
      <c r="C6913" s="4" t="s">
        <v>34391</v>
      </c>
      <c r="D6913" s="4" t="s">
        <v>34398</v>
      </c>
      <c r="E6913" s="4" t="s">
        <v>34393</v>
      </c>
      <c r="F6913" s="4" t="s">
        <v>1215</v>
      </c>
      <c r="G6913" s="4" t="s">
        <v>34399</v>
      </c>
    </row>
    <row r="6914" ht="14.25">
      <c r="B6914" s="14" t="s">
        <v>34400</v>
      </c>
      <c r="C6914" s="4" t="s">
        <v>34401</v>
      </c>
      <c r="D6914" s="4" t="s">
        <v>34402</v>
      </c>
      <c r="E6914" s="4" t="s">
        <v>34403</v>
      </c>
      <c r="F6914" s="4" t="s">
        <v>32622</v>
      </c>
      <c r="G6914" s="4" t="s">
        <v>34404</v>
      </c>
    </row>
    <row r="6915" ht="14.25">
      <c r="B6915" s="14" t="s">
        <v>34405</v>
      </c>
      <c r="C6915" s="4" t="s">
        <v>34406</v>
      </c>
      <c r="D6915" s="4" t="s">
        <v>34407</v>
      </c>
      <c r="E6915" s="4" t="s">
        <v>34408</v>
      </c>
      <c r="F6915" s="4" t="s">
        <v>33283</v>
      </c>
      <c r="G6915" s="4" t="s">
        <v>34409</v>
      </c>
    </row>
    <row r="6916" ht="14.25">
      <c r="B6916" s="14" t="s">
        <v>34405</v>
      </c>
      <c r="C6916" s="4" t="s">
        <v>34406</v>
      </c>
      <c r="D6916" s="4" t="s">
        <v>34410</v>
      </c>
      <c r="E6916" s="4" t="s">
        <v>34408</v>
      </c>
      <c r="F6916" s="4" t="s">
        <v>5716</v>
      </c>
      <c r="G6916" s="4" t="s">
        <v>34411</v>
      </c>
    </row>
    <row r="6917" ht="14.25">
      <c r="B6917" s="14" t="s">
        <v>34412</v>
      </c>
      <c r="C6917" s="4" t="s">
        <v>34413</v>
      </c>
      <c r="D6917" s="4" t="s">
        <v>34414</v>
      </c>
      <c r="E6917" s="4" t="s">
        <v>34415</v>
      </c>
      <c r="F6917" s="4" t="s">
        <v>1562</v>
      </c>
      <c r="G6917" s="4" t="s">
        <v>34416</v>
      </c>
    </row>
    <row r="6918" ht="14.25">
      <c r="B6918" s="14" t="s">
        <v>34417</v>
      </c>
      <c r="C6918" s="4" t="s">
        <v>34418</v>
      </c>
      <c r="D6918" s="4" t="s">
        <v>34419</v>
      </c>
      <c r="E6918" s="4" t="s">
        <v>34420</v>
      </c>
      <c r="F6918" s="4" t="s">
        <v>34421</v>
      </c>
      <c r="G6918" s="4" t="s">
        <v>34422</v>
      </c>
    </row>
    <row r="6919" ht="14.25">
      <c r="B6919" s="14" t="s">
        <v>34417</v>
      </c>
      <c r="C6919" s="4" t="s">
        <v>34418</v>
      </c>
      <c r="D6919" s="4" t="s">
        <v>34423</v>
      </c>
      <c r="E6919" s="4" t="s">
        <v>34420</v>
      </c>
      <c r="F6919" s="4" t="s">
        <v>330</v>
      </c>
      <c r="G6919" s="4" t="s">
        <v>34424</v>
      </c>
    </row>
    <row r="6920" ht="14.25">
      <c r="B6920" s="14" t="s">
        <v>34425</v>
      </c>
      <c r="C6920" s="4" t="s">
        <v>34426</v>
      </c>
      <c r="D6920" s="4" t="s">
        <v>34427</v>
      </c>
      <c r="E6920" s="4" t="s">
        <v>34428</v>
      </c>
      <c r="F6920" s="4" t="s">
        <v>14448</v>
      </c>
      <c r="G6920" s="4" t="s">
        <v>34429</v>
      </c>
    </row>
    <row r="6921" ht="14.25">
      <c r="B6921" s="14" t="s">
        <v>34425</v>
      </c>
      <c r="C6921" s="4" t="s">
        <v>34430</v>
      </c>
      <c r="D6921" s="4" t="s">
        <v>34431</v>
      </c>
      <c r="E6921" s="4" t="s">
        <v>34432</v>
      </c>
      <c r="F6921" s="4" t="s">
        <v>34433</v>
      </c>
      <c r="G6921" s="4" t="s">
        <v>34434</v>
      </c>
    </row>
    <row r="6922" ht="14.25">
      <c r="B6922" s="14" t="s">
        <v>34425</v>
      </c>
      <c r="C6922" s="4" t="s">
        <v>34430</v>
      </c>
      <c r="D6922" s="4" t="s">
        <v>34435</v>
      </c>
      <c r="E6922" s="4" t="s">
        <v>34432</v>
      </c>
      <c r="F6922" s="4" t="s">
        <v>34436</v>
      </c>
      <c r="G6922" s="4" t="s">
        <v>34437</v>
      </c>
    </row>
    <row r="6923" ht="14.25">
      <c r="B6923" s="14" t="s">
        <v>34425</v>
      </c>
      <c r="C6923" s="4" t="s">
        <v>34430</v>
      </c>
      <c r="D6923" s="4" t="s">
        <v>34438</v>
      </c>
      <c r="E6923" s="4" t="s">
        <v>34432</v>
      </c>
      <c r="F6923" s="4" t="s">
        <v>32831</v>
      </c>
      <c r="G6923" s="4" t="s">
        <v>34439</v>
      </c>
    </row>
    <row r="6924" ht="14.25">
      <c r="B6924" s="14" t="s">
        <v>34440</v>
      </c>
      <c r="C6924" s="4" t="s">
        <v>34441</v>
      </c>
      <c r="D6924" s="4" t="s">
        <v>34442</v>
      </c>
      <c r="E6924" s="4" t="s">
        <v>34443</v>
      </c>
      <c r="F6924" s="4" t="s">
        <v>6945</v>
      </c>
      <c r="G6924" s="4" t="s">
        <v>34444</v>
      </c>
    </row>
    <row r="6925" ht="14.25">
      <c r="B6925" s="14" t="s">
        <v>34440</v>
      </c>
      <c r="C6925" s="4" t="s">
        <v>34441</v>
      </c>
      <c r="D6925" s="4" t="s">
        <v>34445</v>
      </c>
      <c r="E6925" s="4" t="s">
        <v>34443</v>
      </c>
      <c r="F6925" s="4" t="s">
        <v>3850</v>
      </c>
      <c r="G6925" s="4" t="s">
        <v>34446</v>
      </c>
    </row>
    <row r="6926" ht="14.25">
      <c r="B6926" s="14" t="s">
        <v>34440</v>
      </c>
      <c r="C6926" s="4" t="s">
        <v>34441</v>
      </c>
      <c r="D6926" s="4" t="s">
        <v>34447</v>
      </c>
      <c r="E6926" s="4" t="s">
        <v>34443</v>
      </c>
      <c r="F6926" s="4" t="s">
        <v>95</v>
      </c>
      <c r="G6926" s="4" t="s">
        <v>34448</v>
      </c>
    </row>
    <row r="6927" ht="14.25">
      <c r="B6927" s="14" t="s">
        <v>34449</v>
      </c>
      <c r="C6927" s="4" t="s">
        <v>34450</v>
      </c>
      <c r="D6927" s="4" t="s">
        <v>34451</v>
      </c>
      <c r="E6927" s="4" t="s">
        <v>34452</v>
      </c>
      <c r="F6927" s="4" t="s">
        <v>32548</v>
      </c>
      <c r="G6927" s="4" t="s">
        <v>34453</v>
      </c>
    </row>
    <row r="6928" ht="14.25">
      <c r="B6928" s="14" t="s">
        <v>34454</v>
      </c>
      <c r="C6928" s="4" t="s">
        <v>34455</v>
      </c>
      <c r="D6928" s="4" t="s">
        <v>34456</v>
      </c>
      <c r="E6928" s="4" t="s">
        <v>34457</v>
      </c>
      <c r="F6928" s="4" t="s">
        <v>2299</v>
      </c>
      <c r="G6928" s="4" t="s">
        <v>34458</v>
      </c>
    </row>
    <row r="6929" ht="14.25">
      <c r="B6929" s="14" t="s">
        <v>34459</v>
      </c>
      <c r="C6929" s="4" t="s">
        <v>34460</v>
      </c>
      <c r="D6929" s="4" t="s">
        <v>34461</v>
      </c>
      <c r="E6929" s="4" t="s">
        <v>34462</v>
      </c>
      <c r="F6929" s="4" t="s">
        <v>32579</v>
      </c>
      <c r="G6929" s="4" t="s">
        <v>34463</v>
      </c>
    </row>
    <row r="6930" ht="14.25">
      <c r="B6930" s="14" t="s">
        <v>34464</v>
      </c>
      <c r="C6930" s="4" t="s">
        <v>34465</v>
      </c>
      <c r="D6930" s="4" t="s">
        <v>34466</v>
      </c>
      <c r="E6930" s="6"/>
      <c r="F6930" s="4" t="s">
        <v>32831</v>
      </c>
      <c r="G6930" s="4" t="s">
        <v>34467</v>
      </c>
    </row>
    <row r="6931" ht="14.25">
      <c r="B6931" s="14" t="s">
        <v>34468</v>
      </c>
      <c r="C6931" s="4" t="s">
        <v>34469</v>
      </c>
      <c r="D6931" s="4" t="s">
        <v>34470</v>
      </c>
      <c r="E6931" s="4" t="s">
        <v>34471</v>
      </c>
      <c r="F6931" s="4" t="s">
        <v>6945</v>
      </c>
      <c r="G6931" s="4" t="s">
        <v>34472</v>
      </c>
    </row>
    <row r="6932" ht="14.25">
      <c r="B6932" s="14" t="s">
        <v>34468</v>
      </c>
      <c r="C6932" s="4" t="s">
        <v>34469</v>
      </c>
      <c r="D6932" s="4" t="s">
        <v>34473</v>
      </c>
      <c r="E6932" s="4" t="s">
        <v>34471</v>
      </c>
      <c r="F6932" s="4" t="s">
        <v>32666</v>
      </c>
      <c r="G6932" s="4" t="s">
        <v>34474</v>
      </c>
    </row>
    <row r="6933" ht="14.25">
      <c r="B6933" s="14" t="s">
        <v>34475</v>
      </c>
      <c r="C6933" s="4" t="s">
        <v>34476</v>
      </c>
      <c r="D6933" s="4" t="s">
        <v>34477</v>
      </c>
      <c r="E6933" s="4" t="s">
        <v>34478</v>
      </c>
      <c r="F6933" s="4" t="s">
        <v>33576</v>
      </c>
      <c r="G6933" s="4" t="s">
        <v>34479</v>
      </c>
    </row>
    <row r="6934" ht="14.25">
      <c r="B6934" s="14" t="s">
        <v>34480</v>
      </c>
      <c r="C6934" s="4" t="s">
        <v>34481</v>
      </c>
      <c r="D6934" s="4" t="s">
        <v>34482</v>
      </c>
      <c r="E6934" s="4" t="s">
        <v>34483</v>
      </c>
      <c r="F6934" s="4" t="s">
        <v>330</v>
      </c>
      <c r="G6934" s="4" t="s">
        <v>34484</v>
      </c>
    </row>
    <row r="6935" ht="14.25">
      <c r="B6935" s="14" t="s">
        <v>34485</v>
      </c>
      <c r="C6935" s="4" t="s">
        <v>34486</v>
      </c>
      <c r="D6935" s="4" t="s">
        <v>34487</v>
      </c>
      <c r="E6935" s="4" t="s">
        <v>34488</v>
      </c>
      <c r="F6935" s="4" t="s">
        <v>76</v>
      </c>
      <c r="G6935" s="4" t="s">
        <v>34489</v>
      </c>
    </row>
    <row r="6936" ht="14.25">
      <c r="B6936" s="14" t="s">
        <v>34490</v>
      </c>
      <c r="C6936" s="4" t="s">
        <v>34491</v>
      </c>
      <c r="D6936" s="4" t="s">
        <v>34492</v>
      </c>
      <c r="E6936" s="4" t="s">
        <v>34493</v>
      </c>
      <c r="F6936" s="4" t="s">
        <v>743</v>
      </c>
      <c r="G6936" s="4" t="s">
        <v>34494</v>
      </c>
    </row>
    <row r="6937" ht="14.25">
      <c r="B6937" s="14" t="s">
        <v>34495</v>
      </c>
      <c r="C6937" s="4" t="s">
        <v>34496</v>
      </c>
      <c r="D6937" s="4" t="s">
        <v>34497</v>
      </c>
      <c r="E6937" s="4" t="s">
        <v>34498</v>
      </c>
      <c r="F6937" s="4" t="s">
        <v>34499</v>
      </c>
      <c r="G6937" s="4" t="s">
        <v>34500</v>
      </c>
    </row>
    <row r="6938" ht="14.25">
      <c r="B6938" s="14" t="s">
        <v>34495</v>
      </c>
      <c r="C6938" s="4" t="s">
        <v>34496</v>
      </c>
      <c r="D6938" s="4" t="s">
        <v>34501</v>
      </c>
      <c r="E6938" s="4" t="s">
        <v>34498</v>
      </c>
      <c r="F6938" s="4" t="s">
        <v>2652</v>
      </c>
      <c r="G6938" s="4" t="s">
        <v>34502</v>
      </c>
    </row>
    <row r="6939" ht="14.25">
      <c r="B6939" s="14" t="s">
        <v>34495</v>
      </c>
      <c r="C6939" s="4" t="s">
        <v>34496</v>
      </c>
      <c r="D6939" s="4" t="s">
        <v>34503</v>
      </c>
      <c r="E6939" s="4" t="s">
        <v>34498</v>
      </c>
      <c r="F6939" s="4" t="s">
        <v>76</v>
      </c>
      <c r="G6939" s="4" t="s">
        <v>34504</v>
      </c>
    </row>
    <row r="6940" ht="14.25">
      <c r="B6940" s="14" t="s">
        <v>34495</v>
      </c>
      <c r="C6940" s="4" t="s">
        <v>34496</v>
      </c>
      <c r="D6940" s="4" t="s">
        <v>34505</v>
      </c>
      <c r="E6940" s="4" t="s">
        <v>34498</v>
      </c>
      <c r="F6940" s="4" t="s">
        <v>32579</v>
      </c>
      <c r="G6940" s="4" t="s">
        <v>34506</v>
      </c>
    </row>
    <row r="6941" ht="14.25">
      <c r="B6941" s="14" t="s">
        <v>34507</v>
      </c>
      <c r="C6941" s="4" t="s">
        <v>34508</v>
      </c>
      <c r="D6941" s="4" t="s">
        <v>34509</v>
      </c>
      <c r="E6941" s="4" t="s">
        <v>34510</v>
      </c>
      <c r="F6941" s="4" t="s">
        <v>808</v>
      </c>
      <c r="G6941" s="4" t="s">
        <v>34511</v>
      </c>
    </row>
    <row r="6942" ht="14.25">
      <c r="B6942" s="14" t="s">
        <v>34507</v>
      </c>
      <c r="C6942" s="4" t="s">
        <v>34512</v>
      </c>
      <c r="D6942" s="4" t="s">
        <v>34513</v>
      </c>
      <c r="E6942" s="4" t="s">
        <v>34514</v>
      </c>
      <c r="F6942" s="4" t="s">
        <v>34515</v>
      </c>
      <c r="G6942" s="4" t="s">
        <v>34512</v>
      </c>
    </row>
    <row r="6943" ht="14.25">
      <c r="B6943" s="14" t="s">
        <v>34516</v>
      </c>
      <c r="C6943" s="4" t="s">
        <v>34517</v>
      </c>
      <c r="D6943" s="4" t="s">
        <v>34518</v>
      </c>
      <c r="E6943" s="4" t="s">
        <v>34519</v>
      </c>
      <c r="F6943" s="4" t="s">
        <v>3850</v>
      </c>
      <c r="G6943" s="4" t="s">
        <v>34520</v>
      </c>
    </row>
    <row r="6944" ht="14.25">
      <c r="B6944" s="14" t="s">
        <v>34516</v>
      </c>
      <c r="C6944" s="4" t="s">
        <v>34517</v>
      </c>
      <c r="D6944" s="4" t="s">
        <v>34521</v>
      </c>
      <c r="E6944" s="4" t="s">
        <v>34519</v>
      </c>
      <c r="F6944" s="4" t="s">
        <v>110</v>
      </c>
      <c r="G6944" s="4" t="s">
        <v>34522</v>
      </c>
    </row>
    <row r="6945" ht="14.25">
      <c r="B6945" s="14" t="s">
        <v>34516</v>
      </c>
      <c r="C6945" s="4" t="s">
        <v>34517</v>
      </c>
      <c r="D6945" s="4" t="s">
        <v>34523</v>
      </c>
      <c r="E6945" s="4" t="s">
        <v>34519</v>
      </c>
      <c r="F6945" s="4" t="s">
        <v>4003</v>
      </c>
      <c r="G6945" s="4" t="s">
        <v>34524</v>
      </c>
    </row>
    <row r="6946" ht="14.25">
      <c r="B6946" s="14" t="s">
        <v>34516</v>
      </c>
      <c r="C6946" s="4" t="s">
        <v>34525</v>
      </c>
      <c r="D6946" s="4" t="s">
        <v>34526</v>
      </c>
      <c r="E6946" s="4" t="s">
        <v>34527</v>
      </c>
      <c r="F6946" s="4" t="s">
        <v>17911</v>
      </c>
      <c r="G6946" s="4" t="s">
        <v>817</v>
      </c>
    </row>
    <row r="6947" ht="14.25">
      <c r="B6947" s="14" t="s">
        <v>34528</v>
      </c>
      <c r="C6947" s="4" t="s">
        <v>34529</v>
      </c>
      <c r="D6947" s="4" t="s">
        <v>34530</v>
      </c>
      <c r="E6947" s="4" t="s">
        <v>34531</v>
      </c>
      <c r="F6947" s="4" t="s">
        <v>4012</v>
      </c>
      <c r="G6947" s="4" t="s">
        <v>34532</v>
      </c>
    </row>
    <row r="6948" ht="14.25">
      <c r="B6948" s="14" t="s">
        <v>34533</v>
      </c>
      <c r="C6948" s="4" t="s">
        <v>34534</v>
      </c>
      <c r="D6948" s="4" t="s">
        <v>34535</v>
      </c>
      <c r="E6948" s="4" t="s">
        <v>34536</v>
      </c>
      <c r="F6948" s="4" t="s">
        <v>21168</v>
      </c>
      <c r="G6948" s="4" t="s">
        <v>34537</v>
      </c>
    </row>
    <row r="6949" ht="14.25">
      <c r="B6949" s="14" t="s">
        <v>34533</v>
      </c>
      <c r="C6949" s="4" t="s">
        <v>34534</v>
      </c>
      <c r="D6949" s="4" t="s">
        <v>34538</v>
      </c>
      <c r="E6949" s="4" t="s">
        <v>34536</v>
      </c>
      <c r="F6949" s="4" t="s">
        <v>769</v>
      </c>
      <c r="G6949" s="4" t="s">
        <v>33610</v>
      </c>
    </row>
    <row r="6950" ht="14.25">
      <c r="B6950" s="14" t="s">
        <v>34539</v>
      </c>
      <c r="C6950" s="4" t="s">
        <v>34540</v>
      </c>
      <c r="D6950" s="4" t="s">
        <v>34541</v>
      </c>
      <c r="E6950" s="4" t="s">
        <v>34542</v>
      </c>
      <c r="F6950" s="4" t="s">
        <v>33415</v>
      </c>
      <c r="G6950" s="4" t="s">
        <v>34543</v>
      </c>
    </row>
    <row r="6951" ht="14.25">
      <c r="B6951" s="14" t="s">
        <v>34544</v>
      </c>
      <c r="C6951" s="4" t="s">
        <v>34545</v>
      </c>
      <c r="D6951" s="4" t="s">
        <v>34546</v>
      </c>
      <c r="E6951" s="6"/>
      <c r="F6951" s="4" t="s">
        <v>1732</v>
      </c>
      <c r="G6951" s="4" t="s">
        <v>34547</v>
      </c>
    </row>
    <row r="6952" ht="14.25">
      <c r="B6952" s="14" t="s">
        <v>34548</v>
      </c>
      <c r="C6952" s="4" t="s">
        <v>34549</v>
      </c>
      <c r="D6952" s="4" t="s">
        <v>34550</v>
      </c>
      <c r="E6952" s="4" t="s">
        <v>34551</v>
      </c>
      <c r="F6952" s="4" t="s">
        <v>222</v>
      </c>
      <c r="G6952" s="4" t="s">
        <v>34552</v>
      </c>
    </row>
    <row r="6953" ht="14.25">
      <c r="B6953" s="14" t="s">
        <v>34548</v>
      </c>
      <c r="C6953" s="4" t="s">
        <v>34549</v>
      </c>
      <c r="D6953" s="4" t="s">
        <v>34553</v>
      </c>
      <c r="E6953" s="4" t="s">
        <v>34551</v>
      </c>
      <c r="F6953" s="4" t="s">
        <v>4012</v>
      </c>
      <c r="G6953" s="4" t="s">
        <v>34554</v>
      </c>
    </row>
    <row r="6954" ht="14.25">
      <c r="B6954" s="14" t="s">
        <v>34555</v>
      </c>
      <c r="C6954" s="4" t="s">
        <v>34556</v>
      </c>
      <c r="D6954" s="4" t="s">
        <v>34557</v>
      </c>
      <c r="E6954" s="4" t="s">
        <v>34558</v>
      </c>
      <c r="F6954" s="4" t="s">
        <v>1353</v>
      </c>
      <c r="G6954" s="4" t="s">
        <v>33528</v>
      </c>
    </row>
    <row r="6955" ht="14.25">
      <c r="B6955" s="14" t="s">
        <v>34555</v>
      </c>
      <c r="C6955" s="4" t="s">
        <v>34556</v>
      </c>
      <c r="D6955" s="4" t="s">
        <v>34558</v>
      </c>
      <c r="E6955" s="6"/>
      <c r="F6955" s="4" t="s">
        <v>34559</v>
      </c>
      <c r="G6955" s="4" t="s">
        <v>34560</v>
      </c>
    </row>
    <row r="6956" ht="14.25">
      <c r="B6956" s="14" t="s">
        <v>34561</v>
      </c>
      <c r="C6956" s="4" t="s">
        <v>34562</v>
      </c>
      <c r="D6956" s="4" t="s">
        <v>34563</v>
      </c>
      <c r="E6956" s="4" t="s">
        <v>34564</v>
      </c>
      <c r="F6956" s="4" t="s">
        <v>33576</v>
      </c>
      <c r="G6956" s="4" t="s">
        <v>34565</v>
      </c>
    </row>
    <row r="6957" ht="14.25">
      <c r="B6957" s="14" t="s">
        <v>34561</v>
      </c>
      <c r="C6957" s="4" t="s">
        <v>34562</v>
      </c>
      <c r="D6957" s="4" t="s">
        <v>34566</v>
      </c>
      <c r="E6957" s="4" t="s">
        <v>34564</v>
      </c>
      <c r="F6957" s="4" t="s">
        <v>6923</v>
      </c>
      <c r="G6957" s="4" t="s">
        <v>34567</v>
      </c>
    </row>
    <row r="6958" ht="14.25">
      <c r="B6958" s="14" t="s">
        <v>34561</v>
      </c>
      <c r="C6958" s="4" t="s">
        <v>34562</v>
      </c>
      <c r="D6958" s="4" t="s">
        <v>34568</v>
      </c>
      <c r="E6958" s="4" t="s">
        <v>34564</v>
      </c>
      <c r="F6958" s="4" t="s">
        <v>2119</v>
      </c>
      <c r="G6958" s="4" t="s">
        <v>34569</v>
      </c>
    </row>
    <row r="6959" ht="14.25">
      <c r="B6959" s="14" t="s">
        <v>34570</v>
      </c>
      <c r="C6959" s="4" t="s">
        <v>34571</v>
      </c>
      <c r="D6959" s="4" t="s">
        <v>34572</v>
      </c>
      <c r="E6959" s="4" t="s">
        <v>34573</v>
      </c>
      <c r="F6959" s="4" t="s">
        <v>8049</v>
      </c>
      <c r="G6959" s="4" t="s">
        <v>34574</v>
      </c>
    </row>
    <row r="6960" ht="14.25">
      <c r="B6960" s="14" t="s">
        <v>34575</v>
      </c>
      <c r="C6960" s="4" t="s">
        <v>34576</v>
      </c>
      <c r="D6960" s="4" t="s">
        <v>34577</v>
      </c>
      <c r="E6960" s="4" t="s">
        <v>34578</v>
      </c>
      <c r="F6960" s="4" t="s">
        <v>1732</v>
      </c>
      <c r="G6960" s="4" t="s">
        <v>34579</v>
      </c>
    </row>
    <row r="6961" ht="14.25">
      <c r="B6961" s="14" t="s">
        <v>34580</v>
      </c>
      <c r="C6961" s="4" t="s">
        <v>34581</v>
      </c>
      <c r="D6961" s="4" t="s">
        <v>34582</v>
      </c>
      <c r="E6961" s="6"/>
      <c r="F6961" s="4" t="s">
        <v>4584</v>
      </c>
      <c r="G6961" s="4" t="s">
        <v>34583</v>
      </c>
    </row>
    <row r="6962" ht="14.25">
      <c r="B6962" s="14" t="s">
        <v>34584</v>
      </c>
      <c r="C6962" s="4" t="s">
        <v>34585</v>
      </c>
      <c r="D6962" s="4" t="s">
        <v>34586</v>
      </c>
      <c r="E6962" s="4" t="s">
        <v>34587</v>
      </c>
      <c r="F6962" s="4" t="s">
        <v>1215</v>
      </c>
      <c r="G6962" s="4" t="s">
        <v>34588</v>
      </c>
    </row>
    <row r="6963" ht="14.25">
      <c r="B6963" s="14" t="s">
        <v>34584</v>
      </c>
      <c r="C6963" s="4" t="s">
        <v>34585</v>
      </c>
      <c r="D6963" s="4" t="s">
        <v>34589</v>
      </c>
      <c r="E6963" s="4" t="s">
        <v>34587</v>
      </c>
      <c r="F6963" s="4" t="s">
        <v>34590</v>
      </c>
      <c r="G6963" s="4" t="s">
        <v>34591</v>
      </c>
    </row>
    <row r="6964" ht="14.25">
      <c r="B6964" s="14" t="s">
        <v>34592</v>
      </c>
      <c r="C6964" s="4" t="s">
        <v>34593</v>
      </c>
      <c r="D6964" s="4" t="s">
        <v>34594</v>
      </c>
      <c r="E6964" s="6"/>
      <c r="F6964" s="4" t="s">
        <v>6788</v>
      </c>
      <c r="G6964" s="4" t="s">
        <v>34595</v>
      </c>
    </row>
    <row r="6965" ht="14.25">
      <c r="B6965" s="14" t="s">
        <v>34596</v>
      </c>
      <c r="C6965" s="4" t="s">
        <v>34597</v>
      </c>
      <c r="D6965" s="4" t="s">
        <v>34598</v>
      </c>
      <c r="E6965" s="4" t="s">
        <v>34599</v>
      </c>
      <c r="F6965" s="4" t="s">
        <v>604</v>
      </c>
      <c r="G6965" s="4" t="s">
        <v>34600</v>
      </c>
    </row>
    <row r="6966" ht="14.25">
      <c r="B6966" s="14" t="s">
        <v>34596</v>
      </c>
      <c r="C6966" s="4" t="s">
        <v>34597</v>
      </c>
      <c r="D6966" s="4" t="s">
        <v>34601</v>
      </c>
      <c r="E6966" s="4" t="s">
        <v>34599</v>
      </c>
      <c r="F6966" s="4" t="s">
        <v>34602</v>
      </c>
      <c r="G6966" s="4" t="s">
        <v>32659</v>
      </c>
    </row>
    <row r="6967" ht="14.25">
      <c r="B6967" s="14" t="s">
        <v>34603</v>
      </c>
      <c r="C6967" s="4" t="s">
        <v>34604</v>
      </c>
      <c r="D6967" s="4" t="s">
        <v>34605</v>
      </c>
      <c r="E6967" s="4" t="s">
        <v>34606</v>
      </c>
      <c r="F6967" s="4" t="s">
        <v>1948</v>
      </c>
      <c r="G6967" s="4" t="s">
        <v>34607</v>
      </c>
    </row>
    <row r="6968" ht="14.25">
      <c r="B6968" s="14" t="s">
        <v>34608</v>
      </c>
      <c r="C6968" s="4" t="s">
        <v>34609</v>
      </c>
      <c r="D6968" s="4" t="s">
        <v>34610</v>
      </c>
      <c r="E6968" s="4" t="s">
        <v>34611</v>
      </c>
      <c r="F6968" s="4" t="s">
        <v>76</v>
      </c>
      <c r="G6968" s="4" t="s">
        <v>34612</v>
      </c>
    </row>
    <row r="6969" ht="14.25">
      <c r="B6969" s="14" t="s">
        <v>34608</v>
      </c>
      <c r="C6969" s="4" t="s">
        <v>34609</v>
      </c>
      <c r="D6969" s="4" t="s">
        <v>34613</v>
      </c>
      <c r="E6969" s="4" t="s">
        <v>34611</v>
      </c>
      <c r="F6969" s="4" t="s">
        <v>571</v>
      </c>
      <c r="G6969" s="4" t="s">
        <v>34614</v>
      </c>
    </row>
    <row r="6970" ht="14.25">
      <c r="B6970" s="14" t="s">
        <v>34608</v>
      </c>
      <c r="C6970" s="4" t="s">
        <v>34609</v>
      </c>
      <c r="D6970" s="4" t="s">
        <v>34615</v>
      </c>
      <c r="E6970" s="4" t="s">
        <v>34611</v>
      </c>
      <c r="F6970" s="4" t="s">
        <v>6923</v>
      </c>
      <c r="G6970" s="4" t="s">
        <v>34616</v>
      </c>
    </row>
    <row r="6971" ht="14.25">
      <c r="B6971" s="14" t="s">
        <v>34617</v>
      </c>
      <c r="C6971" s="4" t="s">
        <v>34618</v>
      </c>
      <c r="D6971" s="4" t="s">
        <v>34619</v>
      </c>
      <c r="E6971" s="4" t="s">
        <v>34620</v>
      </c>
      <c r="F6971" s="4" t="s">
        <v>33084</v>
      </c>
      <c r="G6971" s="4" t="s">
        <v>34621</v>
      </c>
    </row>
    <row r="6972" ht="14.25">
      <c r="B6972" s="14" t="s">
        <v>34617</v>
      </c>
      <c r="C6972" s="4" t="s">
        <v>34622</v>
      </c>
      <c r="D6972" s="4" t="s">
        <v>34623</v>
      </c>
      <c r="E6972" s="4" t="s">
        <v>34624</v>
      </c>
      <c r="F6972" s="4" t="s">
        <v>4026</v>
      </c>
      <c r="G6972" s="4" t="s">
        <v>34625</v>
      </c>
    </row>
    <row r="6973" ht="14.25">
      <c r="B6973" s="14" t="s">
        <v>34617</v>
      </c>
      <c r="C6973" s="4" t="s">
        <v>34626</v>
      </c>
      <c r="D6973" s="4" t="s">
        <v>34627</v>
      </c>
      <c r="E6973" s="6"/>
      <c r="F6973" s="4" t="s">
        <v>32787</v>
      </c>
      <c r="G6973" s="4" t="s">
        <v>34628</v>
      </c>
    </row>
    <row r="6974" ht="14.25">
      <c r="B6974" s="14" t="s">
        <v>34617</v>
      </c>
      <c r="C6974" s="4" t="s">
        <v>34629</v>
      </c>
      <c r="D6974" s="4" t="s">
        <v>34630</v>
      </c>
      <c r="E6974" s="4" t="s">
        <v>34631</v>
      </c>
      <c r="F6974" s="4" t="s">
        <v>17383</v>
      </c>
      <c r="G6974" s="4" t="s">
        <v>34612</v>
      </c>
    </row>
    <row r="6975" ht="14.25">
      <c r="B6975" s="14" t="s">
        <v>34617</v>
      </c>
      <c r="C6975" s="4" t="s">
        <v>34629</v>
      </c>
      <c r="D6975" s="4" t="s">
        <v>34631</v>
      </c>
      <c r="E6975" s="6"/>
      <c r="F6975" s="4" t="s">
        <v>874</v>
      </c>
      <c r="G6975" s="4" t="s">
        <v>34612</v>
      </c>
    </row>
    <row r="6976" ht="14.25">
      <c r="B6976" s="14" t="s">
        <v>34617</v>
      </c>
      <c r="C6976" s="4" t="s">
        <v>34632</v>
      </c>
      <c r="D6976" s="4" t="s">
        <v>34633</v>
      </c>
      <c r="E6976" s="6"/>
      <c r="F6976" s="4" t="s">
        <v>34634</v>
      </c>
      <c r="G6976" s="4" t="s">
        <v>34635</v>
      </c>
    </row>
    <row r="6977" ht="14.25">
      <c r="B6977" s="14" t="s">
        <v>34617</v>
      </c>
      <c r="C6977" s="4" t="s">
        <v>34636</v>
      </c>
      <c r="D6977" s="4" t="s">
        <v>34637</v>
      </c>
      <c r="E6977" s="6"/>
      <c r="F6977" s="4" t="s">
        <v>3744</v>
      </c>
      <c r="G6977" s="4" t="s">
        <v>34638</v>
      </c>
    </row>
    <row r="6978" ht="14.25">
      <c r="B6978" s="14" t="s">
        <v>34617</v>
      </c>
      <c r="C6978" s="4" t="s">
        <v>34639</v>
      </c>
      <c r="D6978" s="4" t="s">
        <v>34640</v>
      </c>
      <c r="E6978" s="4" t="s">
        <v>34641</v>
      </c>
      <c r="F6978" s="4" t="s">
        <v>34642</v>
      </c>
      <c r="G6978" s="4" t="s">
        <v>34643</v>
      </c>
    </row>
    <row r="6979" ht="14.25">
      <c r="B6979" s="14" t="s">
        <v>34617</v>
      </c>
      <c r="C6979" s="4" t="s">
        <v>34644</v>
      </c>
      <c r="D6979" s="4" t="s">
        <v>34645</v>
      </c>
      <c r="E6979" s="4" t="s">
        <v>34646</v>
      </c>
      <c r="F6979" s="4" t="s">
        <v>33370</v>
      </c>
      <c r="G6979" s="4" t="s">
        <v>34647</v>
      </c>
    </row>
    <row r="6980" ht="14.25">
      <c r="B6980" s="14" t="s">
        <v>34617</v>
      </c>
      <c r="C6980" s="4" t="s">
        <v>34618</v>
      </c>
      <c r="D6980" s="4" t="s">
        <v>34620</v>
      </c>
      <c r="E6980" s="6"/>
      <c r="F6980" s="4" t="s">
        <v>1027</v>
      </c>
      <c r="G6980" s="4" t="s">
        <v>34648</v>
      </c>
    </row>
    <row r="6981" ht="14.25">
      <c r="B6981" s="14" t="s">
        <v>34617</v>
      </c>
      <c r="C6981" s="4" t="s">
        <v>34649</v>
      </c>
      <c r="D6981" s="4" t="s">
        <v>34650</v>
      </c>
      <c r="E6981" s="6"/>
      <c r="F6981" s="4" t="s">
        <v>110</v>
      </c>
      <c r="G6981" s="4" t="s">
        <v>34651</v>
      </c>
    </row>
    <row r="6982" ht="14.25">
      <c r="B6982" s="14" t="s">
        <v>34617</v>
      </c>
      <c r="C6982" s="4" t="s">
        <v>34652</v>
      </c>
      <c r="D6982" s="4" t="s">
        <v>34653</v>
      </c>
      <c r="E6982" s="6"/>
      <c r="F6982" s="4" t="s">
        <v>23478</v>
      </c>
      <c r="G6982" s="4" t="s">
        <v>34654</v>
      </c>
    </row>
    <row r="6983" ht="14.25">
      <c r="B6983" s="14" t="s">
        <v>34617</v>
      </c>
      <c r="C6983" s="4" t="s">
        <v>34655</v>
      </c>
      <c r="D6983" s="4" t="s">
        <v>34656</v>
      </c>
      <c r="E6983" s="6"/>
      <c r="F6983" s="4" t="s">
        <v>2652</v>
      </c>
      <c r="G6983" s="4" t="s">
        <v>34657</v>
      </c>
    </row>
    <row r="6984" ht="14.25">
      <c r="B6984" s="14" t="s">
        <v>34617</v>
      </c>
      <c r="C6984" s="4" t="s">
        <v>34655</v>
      </c>
      <c r="D6984" s="4" t="s">
        <v>34658</v>
      </c>
      <c r="E6984" s="4" t="s">
        <v>34656</v>
      </c>
      <c r="F6984" s="4" t="s">
        <v>7347</v>
      </c>
      <c r="G6984" s="4" t="s">
        <v>32881</v>
      </c>
    </row>
    <row r="6985" ht="14.25">
      <c r="B6985" s="14" t="s">
        <v>34659</v>
      </c>
      <c r="C6985" s="4" t="s">
        <v>34660</v>
      </c>
      <c r="D6985" s="4" t="s">
        <v>34661</v>
      </c>
      <c r="E6985" s="4" t="s">
        <v>34662</v>
      </c>
      <c r="F6985" s="4" t="s">
        <v>2652</v>
      </c>
      <c r="G6985" s="4" t="s">
        <v>34663</v>
      </c>
    </row>
    <row r="6986" ht="14.25">
      <c r="B6986" s="14" t="s">
        <v>34659</v>
      </c>
      <c r="C6986" s="4" t="s">
        <v>34660</v>
      </c>
      <c r="D6986" s="4" t="s">
        <v>34664</v>
      </c>
      <c r="E6986" s="4" t="s">
        <v>34662</v>
      </c>
      <c r="F6986" s="4" t="s">
        <v>32679</v>
      </c>
      <c r="G6986" s="4" t="s">
        <v>34665</v>
      </c>
    </row>
    <row r="6987" ht="14.25">
      <c r="B6987" s="14" t="s">
        <v>34666</v>
      </c>
      <c r="C6987" s="4" t="s">
        <v>34667</v>
      </c>
      <c r="D6987" s="4" t="s">
        <v>34668</v>
      </c>
      <c r="E6987" s="4" t="s">
        <v>34669</v>
      </c>
      <c r="F6987" s="4" t="s">
        <v>670</v>
      </c>
      <c r="G6987" s="4" t="s">
        <v>34670</v>
      </c>
    </row>
    <row r="6988" ht="14.25">
      <c r="B6988" s="14" t="s">
        <v>34666</v>
      </c>
      <c r="C6988" s="4" t="s">
        <v>34667</v>
      </c>
      <c r="D6988" s="4" t="s">
        <v>34671</v>
      </c>
      <c r="E6988" s="4" t="s">
        <v>34669</v>
      </c>
      <c r="F6988" s="4" t="s">
        <v>34672</v>
      </c>
      <c r="G6988" s="4" t="s">
        <v>34673</v>
      </c>
    </row>
    <row r="6989" ht="14.25">
      <c r="B6989" s="14" t="s">
        <v>34666</v>
      </c>
      <c r="C6989" s="4" t="s">
        <v>34667</v>
      </c>
      <c r="D6989" s="4" t="s">
        <v>34674</v>
      </c>
      <c r="E6989" s="4" t="s">
        <v>34669</v>
      </c>
      <c r="F6989" s="4" t="s">
        <v>33054</v>
      </c>
      <c r="G6989" s="4" t="s">
        <v>34675</v>
      </c>
    </row>
    <row r="6990" ht="14.25">
      <c r="B6990" s="14" t="s">
        <v>34666</v>
      </c>
      <c r="C6990" s="4" t="s">
        <v>34667</v>
      </c>
      <c r="D6990" s="4" t="s">
        <v>34676</v>
      </c>
      <c r="E6990" s="4" t="s">
        <v>34669</v>
      </c>
      <c r="F6990" s="4" t="s">
        <v>20</v>
      </c>
      <c r="G6990" s="4" t="s">
        <v>34677</v>
      </c>
    </row>
    <row r="6991" ht="14.25">
      <c r="B6991" s="14" t="s">
        <v>34666</v>
      </c>
      <c r="C6991" s="4" t="s">
        <v>34667</v>
      </c>
      <c r="D6991" s="4" t="s">
        <v>34678</v>
      </c>
      <c r="E6991" s="4" t="s">
        <v>34669</v>
      </c>
      <c r="F6991" s="4" t="s">
        <v>33621</v>
      </c>
      <c r="G6991" s="4" t="s">
        <v>34679</v>
      </c>
    </row>
    <row r="6992" ht="14.25">
      <c r="B6992" s="14" t="s">
        <v>34666</v>
      </c>
      <c r="C6992" s="4" t="s">
        <v>34667</v>
      </c>
      <c r="D6992" s="4" t="s">
        <v>34680</v>
      </c>
      <c r="E6992" s="4" t="s">
        <v>34669</v>
      </c>
      <c r="F6992" s="4" t="s">
        <v>769</v>
      </c>
      <c r="G6992" s="4" t="s">
        <v>34681</v>
      </c>
    </row>
    <row r="6993" ht="14.25">
      <c r="B6993" s="14" t="s">
        <v>34666</v>
      </c>
      <c r="C6993" s="4" t="s">
        <v>34667</v>
      </c>
      <c r="D6993" s="4" t="s">
        <v>34682</v>
      </c>
      <c r="E6993" s="4" t="s">
        <v>34669</v>
      </c>
      <c r="F6993" s="4" t="s">
        <v>785</v>
      </c>
      <c r="G6993" s="4" t="s">
        <v>34683</v>
      </c>
    </row>
    <row r="6994" ht="14.25">
      <c r="B6994" s="14" t="s">
        <v>34666</v>
      </c>
      <c r="C6994" s="4" t="s">
        <v>34684</v>
      </c>
      <c r="D6994" s="4" t="s">
        <v>34685</v>
      </c>
      <c r="E6994" s="4" t="s">
        <v>34686</v>
      </c>
      <c r="F6994" s="4" t="s">
        <v>5579</v>
      </c>
      <c r="G6994" s="4" t="s">
        <v>32868</v>
      </c>
    </row>
    <row r="6995" ht="14.25">
      <c r="B6995" s="14" t="s">
        <v>34666</v>
      </c>
      <c r="C6995" s="4" t="s">
        <v>34667</v>
      </c>
      <c r="D6995" s="4" t="s">
        <v>34687</v>
      </c>
      <c r="E6995" s="4" t="s">
        <v>34669</v>
      </c>
      <c r="F6995" s="4" t="s">
        <v>7525</v>
      </c>
      <c r="G6995" s="4" t="s">
        <v>34688</v>
      </c>
    </row>
    <row r="6996" ht="14.25">
      <c r="B6996" s="14" t="s">
        <v>34666</v>
      </c>
      <c r="C6996" s="4" t="s">
        <v>34667</v>
      </c>
      <c r="D6996" s="4" t="s">
        <v>34689</v>
      </c>
      <c r="E6996" s="4" t="s">
        <v>34669</v>
      </c>
      <c r="F6996" s="4" t="s">
        <v>1704</v>
      </c>
      <c r="G6996" s="4" t="s">
        <v>34690</v>
      </c>
    </row>
    <row r="6997" ht="14.25">
      <c r="B6997" s="14" t="s">
        <v>34666</v>
      </c>
      <c r="C6997" s="4" t="s">
        <v>34667</v>
      </c>
      <c r="D6997" s="4" t="s">
        <v>34691</v>
      </c>
      <c r="E6997" s="4" t="s">
        <v>34669</v>
      </c>
      <c r="F6997" s="4" t="s">
        <v>2720</v>
      </c>
      <c r="G6997" s="4" t="s">
        <v>34692</v>
      </c>
    </row>
    <row r="6998" ht="14.25">
      <c r="B6998" s="14" t="s">
        <v>34666</v>
      </c>
      <c r="C6998" s="4" t="s">
        <v>34667</v>
      </c>
      <c r="D6998" s="4" t="s">
        <v>34693</v>
      </c>
      <c r="E6998" s="4" t="s">
        <v>34669</v>
      </c>
      <c r="F6998" s="4" t="s">
        <v>1215</v>
      </c>
      <c r="G6998" s="4" t="s">
        <v>34694</v>
      </c>
    </row>
    <row r="6999" ht="14.25">
      <c r="B6999" s="14" t="s">
        <v>34666</v>
      </c>
      <c r="C6999" s="4" t="s">
        <v>34667</v>
      </c>
      <c r="D6999" s="4" t="s">
        <v>34695</v>
      </c>
      <c r="E6999" s="4" t="s">
        <v>34669</v>
      </c>
      <c r="F6999" s="4" t="s">
        <v>33459</v>
      </c>
      <c r="G6999" s="4" t="s">
        <v>34696</v>
      </c>
    </row>
    <row r="7000" ht="14.25">
      <c r="B7000" s="14" t="s">
        <v>34697</v>
      </c>
      <c r="C7000" s="4" t="s">
        <v>34698</v>
      </c>
      <c r="D7000" s="4" t="s">
        <v>34699</v>
      </c>
      <c r="E7000" s="4" t="s">
        <v>34700</v>
      </c>
      <c r="F7000" s="4" t="s">
        <v>6243</v>
      </c>
      <c r="G7000" s="4" t="s">
        <v>34701</v>
      </c>
    </row>
    <row r="7001" ht="14.25">
      <c r="B7001" s="14" t="s">
        <v>34702</v>
      </c>
      <c r="C7001" s="4" t="s">
        <v>34703</v>
      </c>
      <c r="D7001" s="4" t="s">
        <v>34704</v>
      </c>
      <c r="E7001" s="6"/>
      <c r="F7001" s="4" t="s">
        <v>1571</v>
      </c>
      <c r="G7001" s="4" t="s">
        <v>34705</v>
      </c>
    </row>
    <row r="7002" ht="14.25">
      <c r="B7002" s="14" t="s">
        <v>34706</v>
      </c>
      <c r="C7002" s="4" t="s">
        <v>34707</v>
      </c>
      <c r="D7002" s="4" t="s">
        <v>34708</v>
      </c>
      <c r="E7002" s="6"/>
      <c r="F7002" s="4" t="s">
        <v>1596</v>
      </c>
      <c r="G7002" s="4" t="s">
        <v>34709</v>
      </c>
    </row>
    <row r="7003" ht="14.25">
      <c r="B7003" s="14" t="s">
        <v>34706</v>
      </c>
      <c r="C7003" s="4" t="s">
        <v>34710</v>
      </c>
      <c r="D7003" s="4" t="s">
        <v>34711</v>
      </c>
      <c r="E7003" s="6"/>
      <c r="F7003" s="4" t="s">
        <v>670</v>
      </c>
      <c r="G7003" s="4" t="s">
        <v>34712</v>
      </c>
    </row>
    <row r="7004" ht="14.25">
      <c r="B7004" s="14" t="s">
        <v>34706</v>
      </c>
      <c r="C7004" s="4" t="s">
        <v>34713</v>
      </c>
      <c r="D7004" s="4" t="s">
        <v>34714</v>
      </c>
      <c r="E7004" s="6"/>
      <c r="F7004" s="4" t="s">
        <v>1215</v>
      </c>
      <c r="G7004" s="4" t="s">
        <v>34715</v>
      </c>
    </row>
    <row r="7005" ht="14.25">
      <c r="B7005" s="14" t="s">
        <v>34706</v>
      </c>
      <c r="C7005" s="4" t="s">
        <v>34710</v>
      </c>
      <c r="D7005" s="4" t="s">
        <v>34716</v>
      </c>
      <c r="E7005" s="4" t="s">
        <v>34711</v>
      </c>
      <c r="F7005" s="4" t="s">
        <v>6390</v>
      </c>
      <c r="G7005" s="4" t="s">
        <v>34717</v>
      </c>
    </row>
    <row r="7006" ht="14.25">
      <c r="B7006" s="14" t="s">
        <v>34718</v>
      </c>
      <c r="C7006" s="4" t="s">
        <v>34719</v>
      </c>
      <c r="D7006" s="4" t="s">
        <v>34720</v>
      </c>
      <c r="E7006" s="4" t="s">
        <v>34721</v>
      </c>
      <c r="F7006" s="4" t="s">
        <v>679</v>
      </c>
      <c r="G7006" s="4" t="s">
        <v>34722</v>
      </c>
    </row>
    <row r="7007" ht="14.25">
      <c r="B7007" s="14" t="s">
        <v>34723</v>
      </c>
      <c r="C7007" s="4" t="s">
        <v>34724</v>
      </c>
      <c r="D7007" s="4" t="s">
        <v>34725</v>
      </c>
      <c r="E7007" s="6"/>
      <c r="F7007" s="4" t="s">
        <v>1215</v>
      </c>
      <c r="G7007" s="4" t="s">
        <v>34726</v>
      </c>
    </row>
    <row r="7008" ht="14.25">
      <c r="B7008" s="14" t="s">
        <v>34723</v>
      </c>
      <c r="C7008" s="4" t="s">
        <v>34727</v>
      </c>
      <c r="D7008" s="4" t="s">
        <v>34728</v>
      </c>
      <c r="E7008" s="4" t="s">
        <v>34729</v>
      </c>
      <c r="F7008" s="4" t="s">
        <v>2598</v>
      </c>
      <c r="G7008" s="4" t="s">
        <v>34730</v>
      </c>
    </row>
    <row r="7009" ht="14.25">
      <c r="B7009" s="14" t="s">
        <v>34731</v>
      </c>
      <c r="C7009" s="4" t="s">
        <v>34732</v>
      </c>
      <c r="D7009" s="4" t="s">
        <v>34733</v>
      </c>
      <c r="E7009" s="4" t="s">
        <v>34734</v>
      </c>
      <c r="F7009" s="4" t="s">
        <v>2419</v>
      </c>
      <c r="G7009" s="4" t="s">
        <v>34735</v>
      </c>
    </row>
    <row r="7010" ht="14.25">
      <c r="B7010" s="14" t="s">
        <v>34736</v>
      </c>
      <c r="C7010" s="4" t="s">
        <v>34737</v>
      </c>
      <c r="D7010" s="4" t="s">
        <v>34738</v>
      </c>
      <c r="E7010" s="6"/>
      <c r="F7010" s="4" t="s">
        <v>33576</v>
      </c>
      <c r="G7010" s="4" t="s">
        <v>34739</v>
      </c>
    </row>
    <row r="7011" ht="14.25">
      <c r="B7011" s="14" t="s">
        <v>34740</v>
      </c>
      <c r="C7011" s="4" t="s">
        <v>34741</v>
      </c>
      <c r="D7011" s="4" t="s">
        <v>34742</v>
      </c>
      <c r="E7011" s="4" t="s">
        <v>34743</v>
      </c>
      <c r="F7011" s="4" t="s">
        <v>1353</v>
      </c>
      <c r="G7011" s="4" t="s">
        <v>34744</v>
      </c>
    </row>
    <row r="7012" ht="14.25">
      <c r="B7012" s="14" t="s">
        <v>34745</v>
      </c>
      <c r="C7012" s="4" t="s">
        <v>34746</v>
      </c>
      <c r="D7012" s="4" t="s">
        <v>34747</v>
      </c>
      <c r="E7012" s="6"/>
      <c r="F7012" s="4" t="s">
        <v>21089</v>
      </c>
      <c r="G7012" s="4" t="s">
        <v>34748</v>
      </c>
    </row>
    <row r="7013" ht="14.25">
      <c r="B7013" s="14" t="s">
        <v>34749</v>
      </c>
      <c r="C7013" s="4" t="s">
        <v>34750</v>
      </c>
      <c r="D7013" s="4" t="s">
        <v>34751</v>
      </c>
      <c r="E7013" s="4" t="s">
        <v>34752</v>
      </c>
      <c r="F7013" s="4" t="s">
        <v>76</v>
      </c>
      <c r="G7013" s="4" t="s">
        <v>34753</v>
      </c>
    </row>
    <row r="7014" ht="14.25">
      <c r="B7014" s="14" t="s">
        <v>34754</v>
      </c>
      <c r="C7014" s="4" t="s">
        <v>34755</v>
      </c>
      <c r="D7014" s="4" t="s">
        <v>34756</v>
      </c>
      <c r="E7014" s="4" t="s">
        <v>34757</v>
      </c>
      <c r="F7014" s="4" t="s">
        <v>32579</v>
      </c>
      <c r="G7014" s="4" t="s">
        <v>34758</v>
      </c>
    </row>
    <row r="7015" ht="14.25">
      <c r="B7015" s="14" t="s">
        <v>34754</v>
      </c>
      <c r="C7015" s="4" t="s">
        <v>34759</v>
      </c>
      <c r="D7015" s="4" t="s">
        <v>34760</v>
      </c>
      <c r="E7015" s="4" t="s">
        <v>34761</v>
      </c>
      <c r="F7015" s="4" t="s">
        <v>4012</v>
      </c>
      <c r="G7015" s="4" t="s">
        <v>34762</v>
      </c>
    </row>
    <row r="7016" ht="14.25">
      <c r="B7016" s="14" t="s">
        <v>34754</v>
      </c>
      <c r="C7016" s="4" t="s">
        <v>34759</v>
      </c>
      <c r="D7016" s="4" t="s">
        <v>34763</v>
      </c>
      <c r="E7016" s="4" t="s">
        <v>34761</v>
      </c>
      <c r="F7016" s="4" t="s">
        <v>7198</v>
      </c>
      <c r="G7016" s="4" t="s">
        <v>34446</v>
      </c>
    </row>
    <row r="7017" ht="14.25">
      <c r="B7017" s="14" t="s">
        <v>34754</v>
      </c>
      <c r="C7017" s="4" t="s">
        <v>34755</v>
      </c>
      <c r="D7017" s="4" t="s">
        <v>34764</v>
      </c>
      <c r="E7017" s="4" t="s">
        <v>34757</v>
      </c>
      <c r="F7017" s="4" t="s">
        <v>1861</v>
      </c>
      <c r="G7017" s="4" t="s">
        <v>34765</v>
      </c>
    </row>
    <row r="7018" ht="14.25">
      <c r="B7018" s="14" t="s">
        <v>34754</v>
      </c>
      <c r="C7018" s="4" t="s">
        <v>34755</v>
      </c>
      <c r="D7018" s="4" t="s">
        <v>34766</v>
      </c>
      <c r="E7018" s="4" t="s">
        <v>34757</v>
      </c>
      <c r="F7018" s="4" t="s">
        <v>5671</v>
      </c>
      <c r="G7018" s="4" t="s">
        <v>34767</v>
      </c>
    </row>
    <row r="7019" ht="14.25">
      <c r="B7019" s="14" t="s">
        <v>34768</v>
      </c>
      <c r="C7019" s="4" t="s">
        <v>34769</v>
      </c>
      <c r="D7019" s="4" t="s">
        <v>34770</v>
      </c>
      <c r="E7019" s="4" t="s">
        <v>34771</v>
      </c>
      <c r="F7019" s="4" t="s">
        <v>32622</v>
      </c>
      <c r="G7019" s="4" t="s">
        <v>34772</v>
      </c>
    </row>
    <row r="7020" ht="14.25">
      <c r="B7020" s="14" t="s">
        <v>34773</v>
      </c>
      <c r="C7020" s="4" t="s">
        <v>34774</v>
      </c>
      <c r="D7020" s="4" t="s">
        <v>34775</v>
      </c>
      <c r="E7020" s="4" t="s">
        <v>34776</v>
      </c>
      <c r="F7020" s="4" t="s">
        <v>3164</v>
      </c>
      <c r="G7020" s="4" t="s">
        <v>34777</v>
      </c>
    </row>
    <row r="7021" ht="14.25">
      <c r="B7021" s="14" t="s">
        <v>34778</v>
      </c>
      <c r="C7021" s="4" t="s">
        <v>34779</v>
      </c>
      <c r="D7021" s="4" t="s">
        <v>34780</v>
      </c>
      <c r="E7021" s="4" t="s">
        <v>34781</v>
      </c>
      <c r="F7021" s="4" t="s">
        <v>32831</v>
      </c>
      <c r="G7021" s="4" t="s">
        <v>34782</v>
      </c>
    </row>
    <row r="7022" ht="14.25">
      <c r="B7022" s="14" t="s">
        <v>34783</v>
      </c>
      <c r="C7022" s="4" t="s">
        <v>34784</v>
      </c>
      <c r="D7022" s="4" t="s">
        <v>34785</v>
      </c>
      <c r="E7022" s="4" t="s">
        <v>34786</v>
      </c>
      <c r="F7022" s="4" t="s">
        <v>2398</v>
      </c>
      <c r="G7022" s="4" t="s">
        <v>34787</v>
      </c>
    </row>
    <row r="7023" ht="14.25">
      <c r="B7023" s="14" t="s">
        <v>34783</v>
      </c>
      <c r="C7023" s="4" t="s">
        <v>34784</v>
      </c>
      <c r="D7023" s="4" t="s">
        <v>34788</v>
      </c>
      <c r="E7023" s="4" t="s">
        <v>34786</v>
      </c>
      <c r="F7023" s="4" t="s">
        <v>34789</v>
      </c>
      <c r="G7023" s="4" t="s">
        <v>34790</v>
      </c>
    </row>
    <row r="7024" ht="14.25">
      <c r="B7024" s="14" t="s">
        <v>34791</v>
      </c>
      <c r="C7024" s="4" t="s">
        <v>34792</v>
      </c>
      <c r="D7024" s="4" t="s">
        <v>34793</v>
      </c>
      <c r="E7024" s="4" t="s">
        <v>34794</v>
      </c>
      <c r="F7024" s="4" t="s">
        <v>222</v>
      </c>
      <c r="G7024" s="4" t="s">
        <v>34795</v>
      </c>
    </row>
    <row r="7025" ht="14.25">
      <c r="B7025" s="14" t="s">
        <v>34796</v>
      </c>
      <c r="C7025" s="4" t="s">
        <v>34797</v>
      </c>
      <c r="D7025" s="4" t="s">
        <v>34798</v>
      </c>
      <c r="E7025" s="4" t="s">
        <v>34799</v>
      </c>
      <c r="F7025" s="4" t="s">
        <v>32579</v>
      </c>
      <c r="G7025" s="4" t="s">
        <v>34800</v>
      </c>
    </row>
    <row r="7026" ht="14.25">
      <c r="B7026" s="14" t="s">
        <v>34801</v>
      </c>
      <c r="C7026" s="4" t="s">
        <v>34802</v>
      </c>
      <c r="D7026" s="4" t="s">
        <v>34803</v>
      </c>
      <c r="E7026" s="4" t="s">
        <v>34804</v>
      </c>
      <c r="F7026" s="4" t="s">
        <v>5716</v>
      </c>
      <c r="G7026" s="4" t="s">
        <v>34805</v>
      </c>
    </row>
    <row r="7027" ht="14.25">
      <c r="B7027" s="14" t="s">
        <v>34801</v>
      </c>
      <c r="C7027" s="4" t="s">
        <v>34802</v>
      </c>
      <c r="D7027" s="4" t="s">
        <v>34806</v>
      </c>
      <c r="E7027" s="4" t="s">
        <v>34804</v>
      </c>
      <c r="F7027" s="4" t="s">
        <v>76</v>
      </c>
      <c r="G7027" s="4" t="s">
        <v>34807</v>
      </c>
    </row>
    <row r="7028" ht="14.25">
      <c r="B7028" s="14" t="s">
        <v>34808</v>
      </c>
      <c r="C7028" s="4" t="s">
        <v>34809</v>
      </c>
      <c r="D7028" s="4" t="s">
        <v>34810</v>
      </c>
      <c r="E7028" s="4" t="s">
        <v>34811</v>
      </c>
      <c r="F7028" s="4" t="s">
        <v>3850</v>
      </c>
      <c r="G7028" s="4" t="s">
        <v>34812</v>
      </c>
    </row>
    <row r="7029" ht="14.25">
      <c r="B7029" s="14" t="s">
        <v>34808</v>
      </c>
      <c r="C7029" s="4" t="s">
        <v>34809</v>
      </c>
      <c r="D7029" s="4" t="s">
        <v>34813</v>
      </c>
      <c r="E7029" s="4" t="s">
        <v>34811</v>
      </c>
      <c r="F7029" s="4" t="s">
        <v>26223</v>
      </c>
      <c r="G7029" s="4" t="s">
        <v>34814</v>
      </c>
    </row>
    <row r="7030" ht="14.25">
      <c r="B7030" s="14" t="s">
        <v>34808</v>
      </c>
      <c r="C7030" s="4" t="s">
        <v>34815</v>
      </c>
      <c r="D7030" s="4" t="s">
        <v>34816</v>
      </c>
      <c r="E7030" s="6"/>
      <c r="F7030" s="4" t="s">
        <v>866</v>
      </c>
      <c r="G7030" s="4" t="s">
        <v>34817</v>
      </c>
    </row>
    <row r="7031" ht="14.25">
      <c r="B7031" s="14" t="s">
        <v>34818</v>
      </c>
      <c r="C7031" s="4" t="s">
        <v>34819</v>
      </c>
      <c r="D7031" s="4" t="s">
        <v>34820</v>
      </c>
      <c r="E7031" s="6"/>
      <c r="F7031" s="4" t="s">
        <v>6844</v>
      </c>
      <c r="G7031" s="4" t="s">
        <v>34821</v>
      </c>
    </row>
    <row r="7032" ht="14.25">
      <c r="B7032" s="14" t="s">
        <v>34822</v>
      </c>
      <c r="C7032" s="4" t="s">
        <v>34823</v>
      </c>
      <c r="D7032" s="4" t="s">
        <v>34824</v>
      </c>
      <c r="E7032" s="6"/>
      <c r="F7032" s="4" t="s">
        <v>34825</v>
      </c>
      <c r="G7032" s="4" t="s">
        <v>34826</v>
      </c>
    </row>
    <row r="7033" ht="14.25">
      <c r="B7033" s="14" t="s">
        <v>34827</v>
      </c>
      <c r="C7033" s="4" t="s">
        <v>34828</v>
      </c>
      <c r="D7033" s="4" t="s">
        <v>34829</v>
      </c>
      <c r="E7033" s="4" t="s">
        <v>34830</v>
      </c>
      <c r="F7033" s="4" t="s">
        <v>4115</v>
      </c>
      <c r="G7033" s="4" t="s">
        <v>34831</v>
      </c>
    </row>
    <row r="7034" ht="14.25">
      <c r="B7034" s="14" t="s">
        <v>34827</v>
      </c>
      <c r="C7034" s="4" t="s">
        <v>34832</v>
      </c>
      <c r="D7034" s="4" t="s">
        <v>34833</v>
      </c>
      <c r="E7034" s="4" t="s">
        <v>34834</v>
      </c>
      <c r="F7034" s="4" t="s">
        <v>7914</v>
      </c>
      <c r="G7034" s="4" t="s">
        <v>34835</v>
      </c>
    </row>
    <row r="7035" ht="14.25">
      <c r="B7035" s="14" t="s">
        <v>34827</v>
      </c>
      <c r="C7035" s="4" t="s">
        <v>34832</v>
      </c>
      <c r="D7035" s="4" t="s">
        <v>34836</v>
      </c>
      <c r="E7035" s="4" t="s">
        <v>34834</v>
      </c>
      <c r="F7035" s="4" t="s">
        <v>6243</v>
      </c>
      <c r="G7035" s="4" t="s">
        <v>34837</v>
      </c>
    </row>
    <row r="7036" ht="14.25">
      <c r="B7036" s="14" t="s">
        <v>34827</v>
      </c>
      <c r="C7036" s="4" t="s">
        <v>34832</v>
      </c>
      <c r="D7036" s="4" t="s">
        <v>34838</v>
      </c>
      <c r="E7036" s="4" t="s">
        <v>34834</v>
      </c>
      <c r="F7036" s="4" t="s">
        <v>6634</v>
      </c>
      <c r="G7036" s="4" t="s">
        <v>34839</v>
      </c>
    </row>
    <row r="7037" ht="14.25">
      <c r="B7037" s="14" t="s">
        <v>34827</v>
      </c>
      <c r="C7037" s="4" t="s">
        <v>34832</v>
      </c>
      <c r="D7037" s="4" t="s">
        <v>34840</v>
      </c>
      <c r="E7037" s="4" t="s">
        <v>34834</v>
      </c>
      <c r="F7037" s="4" t="s">
        <v>4969</v>
      </c>
      <c r="G7037" s="4" t="s">
        <v>34292</v>
      </c>
    </row>
    <row r="7038" ht="14.25">
      <c r="B7038" s="14" t="s">
        <v>34827</v>
      </c>
      <c r="C7038" s="4" t="s">
        <v>34828</v>
      </c>
      <c r="D7038" s="4" t="s">
        <v>34841</v>
      </c>
      <c r="E7038" s="4" t="s">
        <v>34830</v>
      </c>
      <c r="F7038" s="4" t="s">
        <v>110</v>
      </c>
      <c r="G7038" s="4" t="s">
        <v>34842</v>
      </c>
    </row>
    <row r="7039" ht="14.25">
      <c r="B7039" s="14" t="s">
        <v>34827</v>
      </c>
      <c r="C7039" s="4" t="s">
        <v>34832</v>
      </c>
      <c r="D7039" s="4" t="s">
        <v>34843</v>
      </c>
      <c r="E7039" s="4" t="s">
        <v>34834</v>
      </c>
      <c r="F7039" s="4" t="s">
        <v>653</v>
      </c>
      <c r="G7039" s="4" t="s">
        <v>34844</v>
      </c>
    </row>
    <row r="7040" ht="14.25">
      <c r="B7040" s="14" t="s">
        <v>34827</v>
      </c>
      <c r="C7040" s="4" t="s">
        <v>34832</v>
      </c>
      <c r="D7040" s="4" t="s">
        <v>34845</v>
      </c>
      <c r="E7040" s="4" t="s">
        <v>34834</v>
      </c>
      <c r="F7040" s="4" t="s">
        <v>34846</v>
      </c>
      <c r="G7040" s="4" t="s">
        <v>34847</v>
      </c>
    </row>
    <row r="7041" ht="14.25">
      <c r="B7041" s="14" t="s">
        <v>34848</v>
      </c>
      <c r="C7041" s="4" t="s">
        <v>34849</v>
      </c>
      <c r="D7041" s="4" t="s">
        <v>34850</v>
      </c>
      <c r="E7041" s="6"/>
      <c r="F7041" s="4" t="s">
        <v>1619</v>
      </c>
      <c r="G7041" s="4" t="s">
        <v>34851</v>
      </c>
    </row>
    <row r="7042" ht="14.25">
      <c r="B7042" s="14" t="s">
        <v>34852</v>
      </c>
      <c r="C7042" s="4" t="s">
        <v>34853</v>
      </c>
      <c r="D7042" s="4" t="s">
        <v>34854</v>
      </c>
      <c r="E7042" s="4" t="s">
        <v>34855</v>
      </c>
      <c r="F7042" s="4" t="s">
        <v>2119</v>
      </c>
      <c r="G7042" s="4" t="s">
        <v>34856</v>
      </c>
    </row>
    <row r="7043" ht="14.25">
      <c r="B7043" s="14" t="s">
        <v>34857</v>
      </c>
      <c r="C7043" s="4" t="s">
        <v>34858</v>
      </c>
      <c r="D7043" s="4" t="s">
        <v>34859</v>
      </c>
      <c r="E7043" s="4" t="s">
        <v>34860</v>
      </c>
      <c r="F7043" s="4" t="s">
        <v>1027</v>
      </c>
      <c r="G7043" s="4" t="s">
        <v>33911</v>
      </c>
    </row>
    <row r="7044" ht="14.25">
      <c r="B7044" s="14" t="s">
        <v>34857</v>
      </c>
      <c r="C7044" s="4" t="s">
        <v>34858</v>
      </c>
      <c r="D7044" s="4" t="s">
        <v>34861</v>
      </c>
      <c r="E7044" s="4" t="s">
        <v>34860</v>
      </c>
      <c r="F7044" s="4" t="s">
        <v>355</v>
      </c>
      <c r="G7044" s="4" t="s">
        <v>34862</v>
      </c>
    </row>
    <row r="7045" ht="14.25">
      <c r="B7045" s="14" t="s">
        <v>34863</v>
      </c>
      <c r="C7045" s="4" t="s">
        <v>34864</v>
      </c>
      <c r="D7045" s="4" t="s">
        <v>34865</v>
      </c>
      <c r="E7045" s="4" t="s">
        <v>34866</v>
      </c>
      <c r="F7045" s="4" t="s">
        <v>5579</v>
      </c>
      <c r="G7045" s="4" t="s">
        <v>34867</v>
      </c>
    </row>
    <row r="7046" ht="14.25">
      <c r="B7046" s="14" t="s">
        <v>34863</v>
      </c>
      <c r="C7046" s="4" t="s">
        <v>34864</v>
      </c>
      <c r="D7046" s="4" t="s">
        <v>34868</v>
      </c>
      <c r="E7046" s="4" t="s">
        <v>34866</v>
      </c>
      <c r="F7046" s="4" t="s">
        <v>206</v>
      </c>
      <c r="G7046" s="4" t="s">
        <v>32549</v>
      </c>
    </row>
    <row r="7047" ht="14.25">
      <c r="B7047" s="14" t="s">
        <v>34863</v>
      </c>
      <c r="C7047" s="4" t="s">
        <v>34864</v>
      </c>
      <c r="D7047" s="4" t="s">
        <v>34869</v>
      </c>
      <c r="E7047" s="4" t="s">
        <v>34866</v>
      </c>
      <c r="F7047" s="4" t="s">
        <v>2508</v>
      </c>
      <c r="G7047" s="4" t="s">
        <v>34870</v>
      </c>
    </row>
    <row r="7048" ht="14.25">
      <c r="B7048" s="14" t="s">
        <v>34871</v>
      </c>
      <c r="C7048" s="4" t="s">
        <v>34872</v>
      </c>
      <c r="D7048" s="4" t="s">
        <v>34873</v>
      </c>
      <c r="E7048" s="6"/>
      <c r="F7048" s="4" t="s">
        <v>9210</v>
      </c>
      <c r="G7048" s="4" t="s">
        <v>34874</v>
      </c>
    </row>
    <row r="7049" ht="14.25">
      <c r="B7049" s="14" t="s">
        <v>34875</v>
      </c>
      <c r="C7049" s="4" t="s">
        <v>34876</v>
      </c>
      <c r="D7049" s="4" t="s">
        <v>34877</v>
      </c>
      <c r="E7049" s="6"/>
      <c r="F7049" s="4" t="s">
        <v>34878</v>
      </c>
      <c r="G7049" s="4" t="s">
        <v>34879</v>
      </c>
    </row>
    <row r="7050" ht="14.25">
      <c r="B7050" s="14" t="s">
        <v>34880</v>
      </c>
      <c r="C7050" s="4" t="s">
        <v>34881</v>
      </c>
      <c r="D7050" s="4" t="s">
        <v>34882</v>
      </c>
      <c r="E7050" s="4" t="s">
        <v>34883</v>
      </c>
      <c r="F7050" s="4" t="s">
        <v>34884</v>
      </c>
      <c r="G7050" s="4" t="s">
        <v>34885</v>
      </c>
    </row>
    <row r="7051" ht="14.25">
      <c r="B7051" s="14" t="s">
        <v>34886</v>
      </c>
      <c r="C7051" s="4" t="s">
        <v>34887</v>
      </c>
      <c r="D7051" s="4" t="s">
        <v>34888</v>
      </c>
      <c r="E7051" s="4" t="s">
        <v>34889</v>
      </c>
      <c r="F7051" s="4" t="s">
        <v>2419</v>
      </c>
      <c r="G7051" s="4" t="s">
        <v>34890</v>
      </c>
    </row>
    <row r="7052" ht="14.25">
      <c r="B7052" s="14" t="s">
        <v>34886</v>
      </c>
      <c r="C7052" s="4" t="s">
        <v>34891</v>
      </c>
      <c r="D7052" s="4" t="s">
        <v>34892</v>
      </c>
      <c r="E7052" s="4" t="s">
        <v>34893</v>
      </c>
      <c r="F7052" s="4" t="s">
        <v>4003</v>
      </c>
      <c r="G7052" s="4" t="s">
        <v>34894</v>
      </c>
    </row>
    <row r="7053" ht="14.25">
      <c r="B7053" s="14" t="s">
        <v>34886</v>
      </c>
      <c r="C7053" s="4" t="s">
        <v>34891</v>
      </c>
      <c r="D7053" s="4" t="s">
        <v>34895</v>
      </c>
      <c r="E7053" s="4" t="s">
        <v>34893</v>
      </c>
      <c r="F7053" s="4" t="s">
        <v>1215</v>
      </c>
      <c r="G7053" s="4" t="s">
        <v>34896</v>
      </c>
    </row>
    <row r="7054" ht="14.25">
      <c r="B7054" s="14" t="s">
        <v>34897</v>
      </c>
      <c r="C7054" s="4" t="s">
        <v>34898</v>
      </c>
      <c r="D7054" s="4" t="s">
        <v>34899</v>
      </c>
      <c r="E7054" s="4" t="s">
        <v>34900</v>
      </c>
      <c r="F7054" s="4" t="s">
        <v>808</v>
      </c>
      <c r="G7054" s="4" t="s">
        <v>34901</v>
      </c>
    </row>
    <row r="7055" ht="14.25">
      <c r="B7055" s="14" t="s">
        <v>34902</v>
      </c>
      <c r="C7055" s="4" t="s">
        <v>34903</v>
      </c>
      <c r="D7055" s="4" t="s">
        <v>34904</v>
      </c>
      <c r="E7055" s="6"/>
      <c r="F7055" s="4" t="s">
        <v>1704</v>
      </c>
      <c r="G7055" s="4" t="s">
        <v>34905</v>
      </c>
    </row>
    <row r="7056" ht="14.25">
      <c r="B7056" s="14" t="s">
        <v>34906</v>
      </c>
      <c r="C7056" s="4" t="s">
        <v>34907</v>
      </c>
      <c r="D7056" s="4" t="s">
        <v>34908</v>
      </c>
      <c r="E7056" s="4" t="s">
        <v>34909</v>
      </c>
      <c r="F7056" s="4" t="s">
        <v>5579</v>
      </c>
      <c r="G7056" s="4" t="s">
        <v>34910</v>
      </c>
    </row>
    <row r="7057" ht="14.25">
      <c r="B7057" s="14" t="s">
        <v>34906</v>
      </c>
      <c r="C7057" s="4" t="s">
        <v>34907</v>
      </c>
      <c r="D7057" s="4" t="s">
        <v>34911</v>
      </c>
      <c r="E7057" s="4" t="s">
        <v>34909</v>
      </c>
      <c r="F7057" s="4" t="s">
        <v>3850</v>
      </c>
      <c r="G7057" s="4" t="s">
        <v>34912</v>
      </c>
    </row>
    <row r="7058" ht="14.25">
      <c r="B7058" s="14" t="s">
        <v>34906</v>
      </c>
      <c r="C7058" s="4" t="s">
        <v>34907</v>
      </c>
      <c r="D7058" s="4" t="s">
        <v>34913</v>
      </c>
      <c r="E7058" s="4" t="s">
        <v>34909</v>
      </c>
      <c r="F7058" s="4" t="s">
        <v>785</v>
      </c>
      <c r="G7058" s="4" t="s">
        <v>34914</v>
      </c>
    </row>
    <row r="7059" ht="14.25">
      <c r="B7059" s="14" t="s">
        <v>34915</v>
      </c>
      <c r="C7059" s="4" t="s">
        <v>34916</v>
      </c>
      <c r="D7059" s="4" t="s">
        <v>34917</v>
      </c>
      <c r="E7059" s="6"/>
      <c r="F7059" s="4" t="s">
        <v>110</v>
      </c>
      <c r="G7059" s="4" t="s">
        <v>34918</v>
      </c>
    </row>
    <row r="7060" ht="14.25">
      <c r="B7060" s="14" t="s">
        <v>34919</v>
      </c>
      <c r="C7060" s="4" t="s">
        <v>34920</v>
      </c>
      <c r="D7060" s="4" t="s">
        <v>34921</v>
      </c>
      <c r="E7060" s="4" t="s">
        <v>34922</v>
      </c>
      <c r="F7060" s="4" t="s">
        <v>20</v>
      </c>
      <c r="G7060" s="4" t="s">
        <v>34923</v>
      </c>
    </row>
    <row r="7061" ht="14.25">
      <c r="B7061" s="14" t="s">
        <v>34919</v>
      </c>
      <c r="C7061" s="4" t="s">
        <v>34920</v>
      </c>
      <c r="D7061" s="4" t="s">
        <v>34924</v>
      </c>
      <c r="E7061" s="4" t="s">
        <v>34922</v>
      </c>
      <c r="F7061" s="4" t="s">
        <v>2436</v>
      </c>
      <c r="G7061" s="4" t="s">
        <v>34925</v>
      </c>
    </row>
    <row r="7062" ht="14.25">
      <c r="B7062" s="14" t="s">
        <v>34926</v>
      </c>
      <c r="C7062" s="4" t="s">
        <v>34927</v>
      </c>
      <c r="D7062" s="4" t="s">
        <v>34928</v>
      </c>
      <c r="E7062" s="4" t="s">
        <v>34929</v>
      </c>
      <c r="F7062" s="4" t="s">
        <v>1215</v>
      </c>
      <c r="G7062" s="4" t="s">
        <v>34930</v>
      </c>
    </row>
    <row r="7063" ht="14.25">
      <c r="B7063" s="14" t="s">
        <v>34926</v>
      </c>
      <c r="C7063" s="4" t="s">
        <v>34927</v>
      </c>
      <c r="D7063" s="4" t="s">
        <v>34931</v>
      </c>
      <c r="E7063" s="4" t="s">
        <v>34929</v>
      </c>
      <c r="F7063" s="4" t="s">
        <v>1153</v>
      </c>
      <c r="G7063" s="4" t="s">
        <v>34932</v>
      </c>
    </row>
    <row r="7064" ht="14.25">
      <c r="B7064" s="14" t="s">
        <v>34933</v>
      </c>
      <c r="C7064" s="4" t="s">
        <v>34934</v>
      </c>
      <c r="D7064" s="4" t="s">
        <v>34935</v>
      </c>
      <c r="E7064" s="4" t="s">
        <v>34936</v>
      </c>
      <c r="F7064" s="4" t="s">
        <v>971</v>
      </c>
      <c r="G7064" s="4" t="s">
        <v>34937</v>
      </c>
    </row>
    <row r="7065" ht="14.25">
      <c r="B7065" s="14" t="s">
        <v>34938</v>
      </c>
      <c r="C7065" s="4" t="s">
        <v>34939</v>
      </c>
      <c r="D7065" s="4" t="s">
        <v>34940</v>
      </c>
      <c r="E7065" s="4" t="s">
        <v>34941</v>
      </c>
      <c r="F7065" s="4" t="s">
        <v>743</v>
      </c>
      <c r="G7065" s="4" t="s">
        <v>34942</v>
      </c>
    </row>
    <row r="7066" ht="14.25">
      <c r="B7066" s="14" t="s">
        <v>34938</v>
      </c>
      <c r="C7066" s="4" t="s">
        <v>34939</v>
      </c>
      <c r="D7066" s="4" t="s">
        <v>34941</v>
      </c>
      <c r="E7066" s="6"/>
      <c r="F7066" s="4" t="s">
        <v>2419</v>
      </c>
      <c r="G7066" s="4" t="s">
        <v>34943</v>
      </c>
    </row>
    <row r="7067" ht="14.25">
      <c r="B7067" s="14" t="s">
        <v>34944</v>
      </c>
      <c r="C7067" s="4" t="s">
        <v>34945</v>
      </c>
      <c r="D7067" s="4" t="s">
        <v>34946</v>
      </c>
      <c r="E7067" s="4" t="s">
        <v>34947</v>
      </c>
      <c r="F7067" s="4" t="s">
        <v>32787</v>
      </c>
      <c r="G7067" s="4" t="s">
        <v>34948</v>
      </c>
    </row>
    <row r="7068" ht="14.25">
      <c r="B7068" s="14" t="s">
        <v>34949</v>
      </c>
      <c r="C7068" s="4" t="s">
        <v>34950</v>
      </c>
      <c r="D7068" s="4" t="s">
        <v>34951</v>
      </c>
      <c r="E7068" s="4" t="s">
        <v>34952</v>
      </c>
      <c r="F7068" s="4" t="s">
        <v>4986</v>
      </c>
      <c r="G7068" s="4" t="s">
        <v>34953</v>
      </c>
    </row>
    <row r="7069" ht="14.25">
      <c r="B7069" s="14" t="s">
        <v>34949</v>
      </c>
      <c r="C7069" s="4" t="s">
        <v>34950</v>
      </c>
      <c r="D7069" s="4" t="s">
        <v>34954</v>
      </c>
      <c r="E7069" s="4" t="s">
        <v>34952</v>
      </c>
      <c r="F7069" s="4" t="s">
        <v>769</v>
      </c>
      <c r="G7069" s="4" t="s">
        <v>34953</v>
      </c>
    </row>
    <row r="7070" ht="14.25">
      <c r="B7070" s="14" t="s">
        <v>34955</v>
      </c>
      <c r="C7070" s="4" t="s">
        <v>34956</v>
      </c>
      <c r="D7070" s="4" t="s">
        <v>34957</v>
      </c>
      <c r="E7070" s="4" t="s">
        <v>34958</v>
      </c>
      <c r="F7070" s="4" t="s">
        <v>1861</v>
      </c>
      <c r="G7070" s="4" t="s">
        <v>34959</v>
      </c>
    </row>
    <row r="7071" ht="14.25">
      <c r="B7071" s="14" t="s">
        <v>34955</v>
      </c>
      <c r="C7071" s="4" t="s">
        <v>34956</v>
      </c>
      <c r="D7071" s="4" t="s">
        <v>34960</v>
      </c>
      <c r="E7071" s="4" t="s">
        <v>34958</v>
      </c>
      <c r="F7071" s="4" t="s">
        <v>34961</v>
      </c>
      <c r="G7071" s="4" t="s">
        <v>34962</v>
      </c>
    </row>
    <row r="7072" ht="14.25">
      <c r="B7072" s="14" t="s">
        <v>34963</v>
      </c>
      <c r="C7072" s="4" t="s">
        <v>34964</v>
      </c>
      <c r="D7072" s="4" t="s">
        <v>34965</v>
      </c>
      <c r="E7072" s="4" t="s">
        <v>34966</v>
      </c>
      <c r="F7072" s="4" t="s">
        <v>485</v>
      </c>
      <c r="G7072" s="4" t="s">
        <v>34967</v>
      </c>
    </row>
    <row r="7073" ht="14.25">
      <c r="B7073" s="14" t="s">
        <v>34968</v>
      </c>
      <c r="C7073" s="4" t="s">
        <v>34969</v>
      </c>
      <c r="D7073" s="4" t="s">
        <v>34970</v>
      </c>
      <c r="E7073" s="4" t="s">
        <v>34971</v>
      </c>
      <c r="F7073" s="4" t="s">
        <v>34972</v>
      </c>
      <c r="G7073" s="4" t="s">
        <v>34973</v>
      </c>
    </row>
    <row r="7074" ht="14.25">
      <c r="B7074" s="14" t="s">
        <v>34968</v>
      </c>
      <c r="C7074" s="4" t="s">
        <v>34969</v>
      </c>
      <c r="D7074" s="4" t="s">
        <v>34976</v>
      </c>
      <c r="E7074" s="4" t="s">
        <v>34971</v>
      </c>
      <c r="F7074" s="4" t="s">
        <v>1732</v>
      </c>
      <c r="G7074" s="4" t="s">
        <v>34977</v>
      </c>
    </row>
    <row r="7075" ht="14.25">
      <c r="B7075" s="14" t="s">
        <v>34978</v>
      </c>
      <c r="C7075" s="4" t="s">
        <v>34979</v>
      </c>
      <c r="D7075" s="4" t="s">
        <v>34980</v>
      </c>
      <c r="E7075" s="4" t="s">
        <v>34981</v>
      </c>
      <c r="F7075" s="4" t="s">
        <v>3797</v>
      </c>
      <c r="G7075" s="4" t="s">
        <v>34982</v>
      </c>
    </row>
    <row r="7076" ht="14.25">
      <c r="B7076" s="14" t="s">
        <v>34978</v>
      </c>
      <c r="C7076" s="4" t="s">
        <v>34983</v>
      </c>
      <c r="D7076" s="4" t="s">
        <v>34984</v>
      </c>
      <c r="E7076" s="4" t="s">
        <v>34985</v>
      </c>
      <c r="F7076" s="4" t="s">
        <v>32616</v>
      </c>
      <c r="G7076" s="4" t="s">
        <v>34986</v>
      </c>
    </row>
    <row r="7077" ht="14.25">
      <c r="B7077" s="14" t="s">
        <v>34987</v>
      </c>
      <c r="C7077" s="4" t="s">
        <v>34988</v>
      </c>
      <c r="D7077" s="4" t="s">
        <v>34989</v>
      </c>
      <c r="E7077" s="4" t="s">
        <v>34990</v>
      </c>
      <c r="F7077" s="4" t="s">
        <v>32831</v>
      </c>
      <c r="G7077" s="4" t="s">
        <v>34991</v>
      </c>
    </row>
    <row r="7078" ht="14.25">
      <c r="B7078" s="14" t="s">
        <v>34992</v>
      </c>
      <c r="C7078" s="4" t="s">
        <v>34993</v>
      </c>
      <c r="D7078" s="4" t="s">
        <v>34994</v>
      </c>
      <c r="E7078" s="4" t="s">
        <v>34995</v>
      </c>
      <c r="F7078" s="4" t="s">
        <v>2372</v>
      </c>
      <c r="G7078" s="4" t="s">
        <v>34996</v>
      </c>
    </row>
    <row r="7079" ht="14.25">
      <c r="B7079" s="14" t="s">
        <v>34992</v>
      </c>
      <c r="C7079" s="4" t="s">
        <v>34993</v>
      </c>
      <c r="D7079" s="4" t="s">
        <v>34997</v>
      </c>
      <c r="E7079" s="4" t="s">
        <v>34995</v>
      </c>
      <c r="F7079" s="4" t="s">
        <v>33857</v>
      </c>
      <c r="G7079" s="4" t="s">
        <v>34998</v>
      </c>
    </row>
    <row r="7080" ht="14.25">
      <c r="B7080" s="14" t="s">
        <v>34999</v>
      </c>
      <c r="C7080" s="4" t="s">
        <v>35000</v>
      </c>
      <c r="D7080" s="4" t="s">
        <v>35001</v>
      </c>
      <c r="E7080" s="4" t="s">
        <v>35002</v>
      </c>
      <c r="F7080" s="4" t="s">
        <v>1619</v>
      </c>
      <c r="G7080" s="4" t="s">
        <v>35003</v>
      </c>
    </row>
    <row r="7081" ht="14.25">
      <c r="B7081" s="14" t="s">
        <v>35004</v>
      </c>
      <c r="C7081" s="4" t="s">
        <v>35005</v>
      </c>
      <c r="D7081" s="4" t="s">
        <v>35006</v>
      </c>
      <c r="E7081" s="4" t="s">
        <v>35007</v>
      </c>
      <c r="F7081" s="4" t="s">
        <v>1027</v>
      </c>
      <c r="G7081" s="4" t="s">
        <v>35008</v>
      </c>
    </row>
    <row r="7082" ht="14.25">
      <c r="B7082" s="14" t="s">
        <v>35009</v>
      </c>
      <c r="C7082" s="4" t="s">
        <v>35010</v>
      </c>
      <c r="D7082" s="4" t="s">
        <v>35011</v>
      </c>
      <c r="E7082" s="4" t="s">
        <v>35012</v>
      </c>
      <c r="F7082" s="4" t="s">
        <v>35013</v>
      </c>
      <c r="G7082" s="4" t="s">
        <v>35014</v>
      </c>
    </row>
    <row r="7083" ht="14.25">
      <c r="B7083" s="14" t="s">
        <v>35015</v>
      </c>
      <c r="C7083" s="4" t="s">
        <v>35016</v>
      </c>
      <c r="D7083" s="4" t="s">
        <v>35017</v>
      </c>
      <c r="E7083" s="4" t="s">
        <v>35018</v>
      </c>
      <c r="F7083" s="4" t="s">
        <v>31336</v>
      </c>
      <c r="G7083" s="4" t="s">
        <v>35019</v>
      </c>
    </row>
    <row r="7084" ht="14.25">
      <c r="B7084" s="14" t="s">
        <v>35015</v>
      </c>
      <c r="C7084" s="4" t="s">
        <v>35016</v>
      </c>
      <c r="D7084" s="4" t="s">
        <v>35020</v>
      </c>
      <c r="E7084" s="4" t="s">
        <v>35018</v>
      </c>
      <c r="F7084" s="4" t="s">
        <v>653</v>
      </c>
      <c r="G7084" s="4" t="s">
        <v>35021</v>
      </c>
    </row>
    <row r="7085" ht="14.25">
      <c r="B7085" s="14" t="s">
        <v>35022</v>
      </c>
      <c r="C7085" s="4" t="s">
        <v>35023</v>
      </c>
      <c r="D7085" s="4" t="s">
        <v>35024</v>
      </c>
      <c r="E7085" s="4" t="s">
        <v>35025</v>
      </c>
      <c r="F7085" s="4" t="s">
        <v>17867</v>
      </c>
      <c r="G7085" s="4" t="s">
        <v>35026</v>
      </c>
    </row>
    <row r="7086" ht="14.25">
      <c r="B7086" s="14" t="s">
        <v>35027</v>
      </c>
      <c r="C7086" s="4" t="s">
        <v>35028</v>
      </c>
      <c r="D7086" s="4" t="s">
        <v>35029</v>
      </c>
      <c r="E7086" s="4" t="s">
        <v>35030</v>
      </c>
      <c r="F7086" s="4" t="s">
        <v>35031</v>
      </c>
      <c r="G7086" s="4" t="s">
        <v>35032</v>
      </c>
    </row>
    <row r="7087" ht="14.25">
      <c r="B7087" s="14" t="s">
        <v>35027</v>
      </c>
      <c r="C7087" s="4" t="s">
        <v>35028</v>
      </c>
      <c r="D7087" s="4" t="s">
        <v>35030</v>
      </c>
      <c r="E7087" s="6"/>
      <c r="F7087" s="4" t="s">
        <v>32616</v>
      </c>
      <c r="G7087" s="4" t="s">
        <v>35033</v>
      </c>
    </row>
    <row r="7088" ht="14.25">
      <c r="B7088" s="14" t="s">
        <v>35034</v>
      </c>
      <c r="C7088" s="4" t="s">
        <v>35035</v>
      </c>
      <c r="D7088" s="4" t="s">
        <v>35036</v>
      </c>
      <c r="E7088" s="6"/>
      <c r="F7088" s="4" t="s">
        <v>35037</v>
      </c>
      <c r="G7088" s="4" t="s">
        <v>35038</v>
      </c>
    </row>
    <row r="7089" ht="14.25">
      <c r="B7089" s="14" t="s">
        <v>35039</v>
      </c>
      <c r="C7089" s="4" t="s">
        <v>35040</v>
      </c>
      <c r="D7089" s="4" t="s">
        <v>35041</v>
      </c>
      <c r="E7089" s="6"/>
      <c r="F7089" s="4" t="s">
        <v>4961</v>
      </c>
      <c r="G7089" s="4" t="s">
        <v>35042</v>
      </c>
    </row>
    <row r="7090" ht="14.25">
      <c r="B7090" s="14" t="s">
        <v>35043</v>
      </c>
      <c r="C7090" s="4" t="s">
        <v>35044</v>
      </c>
      <c r="D7090" s="4" t="s">
        <v>35045</v>
      </c>
      <c r="E7090" s="4" t="s">
        <v>35046</v>
      </c>
      <c r="F7090" s="4" t="s">
        <v>33370</v>
      </c>
      <c r="G7090" s="4" t="s">
        <v>35047</v>
      </c>
    </row>
    <row r="7091" ht="14.25">
      <c r="B7091" s="14" t="s">
        <v>35048</v>
      </c>
      <c r="C7091" s="4" t="s">
        <v>35049</v>
      </c>
      <c r="D7091" s="4" t="s">
        <v>35050</v>
      </c>
      <c r="E7091" s="6"/>
      <c r="F7091" s="4" t="s">
        <v>6243</v>
      </c>
      <c r="G7091" s="4" t="s">
        <v>35051</v>
      </c>
    </row>
    <row r="7092" ht="14.25">
      <c r="B7092" s="14" t="s">
        <v>35052</v>
      </c>
      <c r="C7092" s="4" t="s">
        <v>35053</v>
      </c>
      <c r="D7092" s="4" t="s">
        <v>35054</v>
      </c>
      <c r="E7092" s="6"/>
      <c r="F7092" s="4" t="s">
        <v>785</v>
      </c>
      <c r="G7092" s="4" t="s">
        <v>35055</v>
      </c>
    </row>
    <row r="7093" ht="14.25">
      <c r="B7093" s="14" t="s">
        <v>35056</v>
      </c>
      <c r="C7093" s="4" t="s">
        <v>35057</v>
      </c>
      <c r="D7093" s="4" t="s">
        <v>35058</v>
      </c>
      <c r="E7093" s="6"/>
      <c r="F7093" s="4" t="s">
        <v>32616</v>
      </c>
      <c r="G7093" s="4" t="s">
        <v>35059</v>
      </c>
    </row>
    <row r="7094" ht="14.25">
      <c r="B7094" s="14" t="s">
        <v>35056</v>
      </c>
      <c r="C7094" s="4" t="s">
        <v>35057</v>
      </c>
      <c r="D7094" s="4" t="s">
        <v>35060</v>
      </c>
      <c r="E7094" s="4" t="s">
        <v>35058</v>
      </c>
      <c r="F7094" s="4" t="s">
        <v>1009</v>
      </c>
      <c r="G7094" s="4" t="s">
        <v>35061</v>
      </c>
    </row>
    <row r="7095" ht="14.25">
      <c r="B7095" s="14" t="s">
        <v>35062</v>
      </c>
      <c r="C7095" s="4" t="s">
        <v>35063</v>
      </c>
      <c r="D7095" s="4" t="s">
        <v>35064</v>
      </c>
      <c r="E7095" s="6"/>
      <c r="F7095" s="4" t="s">
        <v>330</v>
      </c>
      <c r="G7095" s="4" t="s">
        <v>35065</v>
      </c>
    </row>
    <row r="7096" ht="14.25">
      <c r="B7096" s="14" t="s">
        <v>35066</v>
      </c>
      <c r="C7096" s="4" t="s">
        <v>35067</v>
      </c>
      <c r="D7096" s="4" t="s">
        <v>35068</v>
      </c>
      <c r="E7096" s="4" t="s">
        <v>35069</v>
      </c>
      <c r="F7096" s="4" t="s">
        <v>5716</v>
      </c>
      <c r="G7096" s="4" t="s">
        <v>35070</v>
      </c>
    </row>
    <row r="7097" ht="14.25">
      <c r="B7097" s="14" t="s">
        <v>35066</v>
      </c>
      <c r="C7097" s="4" t="s">
        <v>35067</v>
      </c>
      <c r="D7097" s="4" t="s">
        <v>35071</v>
      </c>
      <c r="E7097" s="4" t="s">
        <v>35069</v>
      </c>
      <c r="F7097" s="4" t="s">
        <v>12452</v>
      </c>
      <c r="G7097" s="4" t="s">
        <v>35072</v>
      </c>
    </row>
    <row r="7098" ht="14.25">
      <c r="B7098" s="14" t="s">
        <v>35073</v>
      </c>
      <c r="C7098" s="4" t="s">
        <v>35074</v>
      </c>
      <c r="D7098" s="4" t="s">
        <v>35075</v>
      </c>
      <c r="E7098" s="4" t="s">
        <v>35076</v>
      </c>
      <c r="F7098" s="4" t="s">
        <v>1596</v>
      </c>
      <c r="G7098" s="4" t="s">
        <v>35077</v>
      </c>
    </row>
    <row r="7099" ht="14.25">
      <c r="B7099" s="14" t="s">
        <v>35078</v>
      </c>
      <c r="C7099" s="4" t="s">
        <v>35079</v>
      </c>
      <c r="D7099" s="4" t="s">
        <v>35080</v>
      </c>
      <c r="E7099" s="6"/>
      <c r="F7099" s="4" t="s">
        <v>4969</v>
      </c>
      <c r="G7099" s="4" t="s">
        <v>35081</v>
      </c>
    </row>
    <row r="7100" ht="14.25">
      <c r="B7100" s="14" t="s">
        <v>35082</v>
      </c>
      <c r="C7100" s="4" t="s">
        <v>35083</v>
      </c>
      <c r="D7100" s="4" t="s">
        <v>35084</v>
      </c>
      <c r="E7100" s="6"/>
      <c r="F7100" s="4" t="s">
        <v>4800</v>
      </c>
      <c r="G7100" s="4" t="s">
        <v>35085</v>
      </c>
    </row>
    <row r="7101" ht="14.25">
      <c r="B7101" s="14" t="s">
        <v>35086</v>
      </c>
      <c r="C7101" s="4" t="s">
        <v>35087</v>
      </c>
      <c r="D7101" s="4" t="s">
        <v>35088</v>
      </c>
      <c r="E7101" s="6"/>
      <c r="F7101" s="4" t="s">
        <v>1596</v>
      </c>
      <c r="G7101" s="4" t="s">
        <v>35089</v>
      </c>
    </row>
    <row r="7102" ht="14.25">
      <c r="B7102" s="14" t="s">
        <v>35090</v>
      </c>
      <c r="C7102" s="4" t="s">
        <v>35091</v>
      </c>
      <c r="D7102" s="4" t="s">
        <v>35092</v>
      </c>
      <c r="E7102" s="4" t="s">
        <v>35093</v>
      </c>
      <c r="F7102" s="4" t="s">
        <v>670</v>
      </c>
      <c r="G7102" s="4" t="s">
        <v>34748</v>
      </c>
    </row>
    <row r="7103" ht="14.25">
      <c r="B7103" s="14" t="s">
        <v>35090</v>
      </c>
      <c r="C7103" s="4" t="s">
        <v>35091</v>
      </c>
      <c r="D7103" s="4" t="s">
        <v>35094</v>
      </c>
      <c r="E7103" s="4" t="s">
        <v>35093</v>
      </c>
      <c r="F7103" s="4" t="s">
        <v>170</v>
      </c>
      <c r="G7103" s="4" t="s">
        <v>35095</v>
      </c>
    </row>
    <row r="7104" ht="14.25">
      <c r="B7104" s="14" t="s">
        <v>35090</v>
      </c>
      <c r="C7104" s="4" t="s">
        <v>35091</v>
      </c>
      <c r="D7104" s="4" t="s">
        <v>35096</v>
      </c>
      <c r="E7104" s="4" t="s">
        <v>35093</v>
      </c>
      <c r="F7104" s="4" t="s">
        <v>110</v>
      </c>
      <c r="G7104" s="4" t="s">
        <v>35097</v>
      </c>
    </row>
    <row r="7105" ht="14.25">
      <c r="B7105" s="14" t="s">
        <v>35098</v>
      </c>
      <c r="C7105" s="4" t="s">
        <v>35099</v>
      </c>
      <c r="D7105" s="4" t="s">
        <v>35100</v>
      </c>
      <c r="E7105" s="6"/>
      <c r="F7105" s="4" t="s">
        <v>971</v>
      </c>
      <c r="G7105" s="4" t="s">
        <v>35101</v>
      </c>
    </row>
    <row r="7106" ht="14.25">
      <c r="B7106" s="14" t="s">
        <v>35098</v>
      </c>
      <c r="C7106" s="4" t="s">
        <v>35102</v>
      </c>
      <c r="D7106" s="4" t="s">
        <v>35103</v>
      </c>
      <c r="E7106" s="4" t="s">
        <v>35104</v>
      </c>
      <c r="F7106" s="4" t="s">
        <v>5579</v>
      </c>
      <c r="G7106" s="4" t="s">
        <v>35105</v>
      </c>
    </row>
    <row r="7107" ht="14.25">
      <c r="B7107" s="14" t="s">
        <v>35106</v>
      </c>
      <c r="C7107" s="4" t="s">
        <v>35107</v>
      </c>
      <c r="D7107" s="4" t="s">
        <v>35108</v>
      </c>
      <c r="E7107" s="4" t="s">
        <v>35109</v>
      </c>
      <c r="F7107" s="4" t="s">
        <v>35110</v>
      </c>
      <c r="G7107" s="4" t="s">
        <v>35111</v>
      </c>
    </row>
    <row r="7108" ht="14.25">
      <c r="B7108" s="14" t="s">
        <v>35112</v>
      </c>
      <c r="C7108" s="4" t="s">
        <v>35113</v>
      </c>
      <c r="D7108" s="4" t="s">
        <v>35114</v>
      </c>
      <c r="E7108" s="4" t="s">
        <v>35115</v>
      </c>
      <c r="F7108" s="4" t="s">
        <v>33489</v>
      </c>
      <c r="G7108" s="4" t="s">
        <v>35116</v>
      </c>
    </row>
    <row r="7109" ht="14.25">
      <c r="B7109" s="14" t="s">
        <v>35117</v>
      </c>
      <c r="C7109" s="4" t="s">
        <v>35118</v>
      </c>
      <c r="D7109" s="4" t="s">
        <v>35119</v>
      </c>
      <c r="E7109" s="4" t="s">
        <v>35120</v>
      </c>
      <c r="F7109" s="4" t="s">
        <v>20</v>
      </c>
      <c r="G7109" s="4" t="s">
        <v>35121</v>
      </c>
    </row>
    <row r="7110" ht="14.25">
      <c r="B7110" s="14" t="s">
        <v>35122</v>
      </c>
      <c r="C7110" s="4" t="s">
        <v>35123</v>
      </c>
      <c r="D7110" s="4" t="s">
        <v>35124</v>
      </c>
      <c r="E7110" s="4" t="s">
        <v>35125</v>
      </c>
      <c r="F7110" s="4" t="s">
        <v>2372</v>
      </c>
      <c r="G7110" s="4" t="s">
        <v>35126</v>
      </c>
    </row>
    <row r="7111" ht="14.25">
      <c r="B7111" s="14" t="s">
        <v>35122</v>
      </c>
      <c r="C7111" s="4" t="s">
        <v>35123</v>
      </c>
      <c r="D7111" s="4" t="s">
        <v>35127</v>
      </c>
      <c r="E7111" s="4" t="s">
        <v>35125</v>
      </c>
      <c r="F7111" s="4" t="s">
        <v>222</v>
      </c>
      <c r="G7111" s="4" t="s">
        <v>33640</v>
      </c>
    </row>
    <row r="7112" ht="14.25">
      <c r="B7112" s="14" t="s">
        <v>35128</v>
      </c>
      <c r="C7112" s="4" t="s">
        <v>35129</v>
      </c>
      <c r="D7112" s="4" t="s">
        <v>35130</v>
      </c>
      <c r="E7112" s="4" t="s">
        <v>35131</v>
      </c>
      <c r="F7112" s="4" t="s">
        <v>743</v>
      </c>
      <c r="G7112" s="4" t="s">
        <v>35132</v>
      </c>
    </row>
    <row r="7113" ht="14.25">
      <c r="B7113" s="14" t="s">
        <v>35128</v>
      </c>
      <c r="C7113" s="4" t="s">
        <v>35129</v>
      </c>
      <c r="D7113" s="4" t="s">
        <v>35131</v>
      </c>
      <c r="E7113" s="6"/>
      <c r="F7113" s="4" t="s">
        <v>986</v>
      </c>
      <c r="G7113" s="4" t="s">
        <v>35133</v>
      </c>
    </row>
    <row r="7114" ht="14.25">
      <c r="B7114" s="14" t="s">
        <v>35134</v>
      </c>
      <c r="C7114" s="4" t="s">
        <v>35135</v>
      </c>
      <c r="D7114" s="4" t="s">
        <v>35136</v>
      </c>
      <c r="E7114" s="4" t="s">
        <v>35137</v>
      </c>
      <c r="F7114" s="4" t="s">
        <v>1732</v>
      </c>
      <c r="G7114" s="4" t="s">
        <v>35138</v>
      </c>
    </row>
    <row r="7115" ht="14.25">
      <c r="B7115" s="14" t="s">
        <v>35139</v>
      </c>
      <c r="C7115" s="4" t="s">
        <v>35140</v>
      </c>
      <c r="D7115" s="4" t="s">
        <v>35141</v>
      </c>
      <c r="E7115" s="4" t="s">
        <v>35142</v>
      </c>
      <c r="F7115" s="4" t="s">
        <v>1215</v>
      </c>
      <c r="G7115" s="4" t="s">
        <v>35143</v>
      </c>
    </row>
    <row r="7116" ht="14.25">
      <c r="B7116" s="14" t="s">
        <v>35144</v>
      </c>
      <c r="C7116" s="4" t="s">
        <v>35145</v>
      </c>
      <c r="D7116" s="4" t="s">
        <v>35146</v>
      </c>
      <c r="E7116" s="4" t="s">
        <v>35147</v>
      </c>
      <c r="F7116" s="4" t="s">
        <v>32831</v>
      </c>
      <c r="G7116" s="4" t="s">
        <v>35148</v>
      </c>
    </row>
    <row r="7117" ht="14.25">
      <c r="B7117" s="14" t="s">
        <v>35149</v>
      </c>
      <c r="C7117" s="4" t="s">
        <v>35150</v>
      </c>
      <c r="D7117" s="4" t="s">
        <v>35151</v>
      </c>
      <c r="E7117" s="6"/>
      <c r="F7117" s="4" t="s">
        <v>6744</v>
      </c>
      <c r="G7117" s="4" t="s">
        <v>35152</v>
      </c>
    </row>
    <row r="7118" ht="14.25">
      <c r="B7118" s="14" t="s">
        <v>35153</v>
      </c>
      <c r="C7118" s="4" t="s">
        <v>35154</v>
      </c>
      <c r="D7118" s="4" t="s">
        <v>35155</v>
      </c>
      <c r="E7118" s="4" t="s">
        <v>35156</v>
      </c>
      <c r="F7118" s="4" t="s">
        <v>1215</v>
      </c>
      <c r="G7118" s="4" t="s">
        <v>35157</v>
      </c>
    </row>
    <row r="7119" ht="14.25">
      <c r="B7119" s="14" t="s">
        <v>35153</v>
      </c>
      <c r="C7119" s="4" t="s">
        <v>35154</v>
      </c>
      <c r="D7119" s="4" t="s">
        <v>35158</v>
      </c>
      <c r="E7119" s="4" t="s">
        <v>35156</v>
      </c>
      <c r="F7119" s="4" t="s">
        <v>8944</v>
      </c>
      <c r="G7119" s="4" t="s">
        <v>35159</v>
      </c>
    </row>
    <row r="7120" ht="14.25">
      <c r="B7120" s="14" t="s">
        <v>35153</v>
      </c>
      <c r="C7120" s="4" t="s">
        <v>35154</v>
      </c>
      <c r="D7120" s="4" t="s">
        <v>35160</v>
      </c>
      <c r="E7120" s="4" t="s">
        <v>35156</v>
      </c>
      <c r="F7120" s="4" t="s">
        <v>4177</v>
      </c>
      <c r="G7120" s="4" t="s">
        <v>35161</v>
      </c>
    </row>
    <row r="7121" ht="14.25">
      <c r="B7121" s="14" t="s">
        <v>35162</v>
      </c>
      <c r="C7121" s="4" t="s">
        <v>35163</v>
      </c>
      <c r="D7121" s="4" t="s">
        <v>35164</v>
      </c>
      <c r="E7121" s="4" t="s">
        <v>35165</v>
      </c>
      <c r="F7121" s="4" t="s">
        <v>110</v>
      </c>
      <c r="G7121" s="4" t="s">
        <v>35166</v>
      </c>
    </row>
    <row r="7122" ht="14.25">
      <c r="B7122" s="14" t="s">
        <v>35162</v>
      </c>
      <c r="C7122" s="4" t="s">
        <v>35163</v>
      </c>
      <c r="D7122" s="4" t="s">
        <v>35167</v>
      </c>
      <c r="E7122" s="4" t="s">
        <v>35165</v>
      </c>
      <c r="F7122" s="4" t="s">
        <v>6356</v>
      </c>
      <c r="G7122" s="4" t="s">
        <v>35168</v>
      </c>
    </row>
    <row r="7123" ht="14.25">
      <c r="B7123" s="14" t="s">
        <v>35162</v>
      </c>
      <c r="C7123" s="4" t="s">
        <v>35169</v>
      </c>
      <c r="D7123" s="4" t="s">
        <v>35170</v>
      </c>
      <c r="E7123" s="4" t="s">
        <v>35171</v>
      </c>
      <c r="F7123" s="4" t="s">
        <v>32622</v>
      </c>
      <c r="G7123" s="4" t="s">
        <v>35172</v>
      </c>
    </row>
    <row r="7124" ht="14.25">
      <c r="B7124" s="14" t="s">
        <v>35162</v>
      </c>
      <c r="C7124" s="4" t="s">
        <v>35163</v>
      </c>
      <c r="D7124" s="4" t="s">
        <v>35173</v>
      </c>
      <c r="E7124" s="4" t="s">
        <v>35165</v>
      </c>
      <c r="F7124" s="4" t="s">
        <v>170</v>
      </c>
      <c r="G7124" s="4" t="s">
        <v>35174</v>
      </c>
    </row>
    <row r="7125" ht="14.25">
      <c r="B7125" s="14" t="s">
        <v>35162</v>
      </c>
      <c r="C7125" s="4" t="s">
        <v>35175</v>
      </c>
      <c r="D7125" s="4" t="s">
        <v>35176</v>
      </c>
      <c r="E7125" s="4" t="s">
        <v>35177</v>
      </c>
      <c r="F7125" s="4" t="s">
        <v>222</v>
      </c>
      <c r="G7125" s="4" t="s">
        <v>35178</v>
      </c>
    </row>
    <row r="7126" ht="14.25">
      <c r="B7126" s="14" t="s">
        <v>35162</v>
      </c>
      <c r="C7126" s="4" t="s">
        <v>35163</v>
      </c>
      <c r="D7126" s="4" t="s">
        <v>35179</v>
      </c>
      <c r="E7126" s="4" t="s">
        <v>35165</v>
      </c>
      <c r="F7126" s="4" t="s">
        <v>32725</v>
      </c>
      <c r="G7126" s="4" t="s">
        <v>35180</v>
      </c>
    </row>
    <row r="7127" ht="14.25">
      <c r="B7127" s="14" t="s">
        <v>35181</v>
      </c>
      <c r="C7127" s="4" t="s">
        <v>35182</v>
      </c>
      <c r="D7127" s="4" t="s">
        <v>35183</v>
      </c>
      <c r="E7127" s="4" t="s">
        <v>35184</v>
      </c>
      <c r="F7127" s="4" t="s">
        <v>35185</v>
      </c>
      <c r="G7127" s="4" t="s">
        <v>35186</v>
      </c>
    </row>
    <row r="7128" ht="14.25">
      <c r="B7128" s="14" t="s">
        <v>35181</v>
      </c>
      <c r="C7128" s="4" t="s">
        <v>35187</v>
      </c>
      <c r="D7128" s="4" t="s">
        <v>35188</v>
      </c>
      <c r="E7128" s="4" t="s">
        <v>35189</v>
      </c>
      <c r="F7128" s="4" t="s">
        <v>1215</v>
      </c>
      <c r="G7128" s="4" t="s">
        <v>35190</v>
      </c>
    </row>
    <row r="7129" ht="14.25">
      <c r="B7129" s="14" t="s">
        <v>35181</v>
      </c>
      <c r="C7129" s="4" t="s">
        <v>35187</v>
      </c>
      <c r="D7129" s="4" t="s">
        <v>35191</v>
      </c>
      <c r="E7129" s="4" t="s">
        <v>35189</v>
      </c>
      <c r="F7129" s="4" t="s">
        <v>6634</v>
      </c>
      <c r="G7129" s="4" t="s">
        <v>35192</v>
      </c>
    </row>
    <row r="7130" ht="14.25">
      <c r="B7130" s="14" t="s">
        <v>35193</v>
      </c>
      <c r="C7130" s="4" t="s">
        <v>35194</v>
      </c>
      <c r="D7130" s="4" t="s">
        <v>35195</v>
      </c>
      <c r="E7130" s="6"/>
      <c r="F7130" s="4" t="s">
        <v>670</v>
      </c>
      <c r="G7130" s="4" t="s">
        <v>35196</v>
      </c>
    </row>
    <row r="7131" ht="14.25">
      <c r="B7131" s="14" t="s">
        <v>35197</v>
      </c>
      <c r="C7131" s="4" t="s">
        <v>35198</v>
      </c>
      <c r="D7131" s="4" t="s">
        <v>35199</v>
      </c>
      <c r="E7131" s="4" t="s">
        <v>35200</v>
      </c>
      <c r="F7131" s="4" t="s">
        <v>1667</v>
      </c>
      <c r="G7131" s="4" t="s">
        <v>35201</v>
      </c>
    </row>
    <row r="7132" ht="14.25">
      <c r="B7132" s="14" t="s">
        <v>35197</v>
      </c>
      <c r="C7132" s="4" t="s">
        <v>35198</v>
      </c>
      <c r="D7132" s="4" t="s">
        <v>35202</v>
      </c>
      <c r="E7132" s="4" t="s">
        <v>35200</v>
      </c>
      <c r="F7132" s="4" t="s">
        <v>5716</v>
      </c>
      <c r="G7132" s="4" t="s">
        <v>35203</v>
      </c>
    </row>
    <row r="7133" ht="14.25">
      <c r="B7133" s="14" t="s">
        <v>35197</v>
      </c>
      <c r="C7133" s="4" t="s">
        <v>35198</v>
      </c>
      <c r="D7133" s="4" t="s">
        <v>35204</v>
      </c>
      <c r="E7133" s="4" t="s">
        <v>35200</v>
      </c>
      <c r="F7133" s="4" t="s">
        <v>1619</v>
      </c>
      <c r="G7133" s="4" t="s">
        <v>35205</v>
      </c>
    </row>
    <row r="7134" ht="14.25">
      <c r="B7134" s="14" t="s">
        <v>35197</v>
      </c>
      <c r="C7134" s="4" t="s">
        <v>35198</v>
      </c>
      <c r="D7134" s="4" t="s">
        <v>35206</v>
      </c>
      <c r="E7134" s="4" t="s">
        <v>35200</v>
      </c>
      <c r="F7134" s="4" t="s">
        <v>485</v>
      </c>
      <c r="G7134" s="4" t="s">
        <v>34625</v>
      </c>
    </row>
    <row r="7135" ht="14.25">
      <c r="B7135" s="14" t="s">
        <v>35207</v>
      </c>
      <c r="C7135" s="4" t="s">
        <v>35208</v>
      </c>
      <c r="D7135" s="4" t="s">
        <v>35209</v>
      </c>
      <c r="E7135" s="4" t="s">
        <v>35210</v>
      </c>
      <c r="F7135" s="4" t="s">
        <v>330</v>
      </c>
      <c r="G7135" s="4" t="s">
        <v>35211</v>
      </c>
    </row>
    <row r="7136" ht="14.25">
      <c r="B7136" s="14" t="s">
        <v>35212</v>
      </c>
      <c r="C7136" s="4" t="s">
        <v>35213</v>
      </c>
      <c r="D7136" s="4" t="s">
        <v>35214</v>
      </c>
      <c r="E7136" s="4" t="s">
        <v>35215</v>
      </c>
      <c r="F7136" s="4" t="s">
        <v>6243</v>
      </c>
      <c r="G7136" s="4" t="s">
        <v>35216</v>
      </c>
    </row>
    <row r="7137" ht="14.25">
      <c r="B7137" s="14" t="s">
        <v>35217</v>
      </c>
      <c r="C7137" s="4" t="s">
        <v>35218</v>
      </c>
      <c r="D7137" s="4" t="s">
        <v>35219</v>
      </c>
      <c r="E7137" s="4" t="s">
        <v>35220</v>
      </c>
      <c r="F7137" s="4" t="s">
        <v>6945</v>
      </c>
      <c r="G7137" s="4" t="s">
        <v>35221</v>
      </c>
    </row>
    <row r="7138" ht="14.25">
      <c r="B7138" s="14" t="s">
        <v>35217</v>
      </c>
      <c r="C7138" s="4" t="s">
        <v>35218</v>
      </c>
      <c r="D7138" s="4" t="s">
        <v>35222</v>
      </c>
      <c r="E7138" s="4" t="s">
        <v>35220</v>
      </c>
      <c r="F7138" s="4" t="s">
        <v>1215</v>
      </c>
      <c r="G7138" s="4" t="s">
        <v>35223</v>
      </c>
    </row>
    <row r="7139" ht="14.25">
      <c r="B7139" s="14" t="s">
        <v>35217</v>
      </c>
      <c r="C7139" s="4" t="s">
        <v>35224</v>
      </c>
      <c r="D7139" s="4" t="s">
        <v>35225</v>
      </c>
      <c r="E7139" s="4" t="s">
        <v>35226</v>
      </c>
      <c r="F7139" s="4" t="s">
        <v>35227</v>
      </c>
      <c r="G7139" s="4" t="s">
        <v>35228</v>
      </c>
    </row>
    <row r="7140" ht="14.25">
      <c r="B7140" s="14" t="s">
        <v>35217</v>
      </c>
      <c r="C7140" s="4" t="s">
        <v>35224</v>
      </c>
      <c r="D7140" s="4" t="s">
        <v>35229</v>
      </c>
      <c r="E7140" s="4" t="s">
        <v>35226</v>
      </c>
      <c r="F7140" s="4" t="s">
        <v>32616</v>
      </c>
      <c r="G7140" s="4" t="s">
        <v>35230</v>
      </c>
    </row>
    <row r="7141" ht="14.25">
      <c r="B7141" s="14" t="s">
        <v>35217</v>
      </c>
      <c r="C7141" s="4" t="s">
        <v>35224</v>
      </c>
      <c r="D7141" s="4" t="s">
        <v>35231</v>
      </c>
      <c r="E7141" s="4" t="s">
        <v>35226</v>
      </c>
      <c r="F7141" s="4" t="s">
        <v>110</v>
      </c>
      <c r="G7141" s="4" t="s">
        <v>35232</v>
      </c>
    </row>
    <row r="7142" ht="14.25">
      <c r="B7142" s="14" t="s">
        <v>35217</v>
      </c>
      <c r="C7142" s="4" t="s">
        <v>35224</v>
      </c>
      <c r="D7142" s="4" t="s">
        <v>35233</v>
      </c>
      <c r="E7142" s="4" t="s">
        <v>35226</v>
      </c>
      <c r="F7142" s="4" t="s">
        <v>7914</v>
      </c>
      <c r="G7142" s="4" t="s">
        <v>35234</v>
      </c>
    </row>
    <row r="7143" ht="14.25">
      <c r="B7143" s="14" t="s">
        <v>35235</v>
      </c>
      <c r="C7143" s="4" t="s">
        <v>35236</v>
      </c>
      <c r="D7143" s="4" t="s">
        <v>35237</v>
      </c>
      <c r="E7143" s="4" t="s">
        <v>35238</v>
      </c>
      <c r="F7143" s="4" t="s">
        <v>32622</v>
      </c>
      <c r="G7143" s="4" t="s">
        <v>35239</v>
      </c>
    </row>
    <row r="7144" ht="14.25">
      <c r="B7144" s="14" t="s">
        <v>35240</v>
      </c>
      <c r="C7144" s="4" t="s">
        <v>35241</v>
      </c>
      <c r="D7144" s="4" t="s">
        <v>35242</v>
      </c>
      <c r="E7144" s="4" t="s">
        <v>35243</v>
      </c>
      <c r="F7144" s="4" t="s">
        <v>35244</v>
      </c>
      <c r="G7144" s="4" t="s">
        <v>35245</v>
      </c>
    </row>
    <row r="7145" ht="14.25">
      <c r="B7145" s="14" t="s">
        <v>35246</v>
      </c>
      <c r="C7145" s="4" t="s">
        <v>35247</v>
      </c>
      <c r="D7145" s="4" t="s">
        <v>35248</v>
      </c>
      <c r="E7145" s="4" t="s">
        <v>35249</v>
      </c>
      <c r="F7145" s="4" t="s">
        <v>1732</v>
      </c>
      <c r="G7145" s="4" t="s">
        <v>35250</v>
      </c>
    </row>
    <row r="7146" ht="14.25">
      <c r="B7146" s="14" t="s">
        <v>35251</v>
      </c>
      <c r="C7146" s="4" t="s">
        <v>35252</v>
      </c>
      <c r="D7146" s="4" t="s">
        <v>35253</v>
      </c>
      <c r="E7146" s="4" t="s">
        <v>35254</v>
      </c>
      <c r="F7146" s="4" t="s">
        <v>2311</v>
      </c>
      <c r="G7146" s="4" t="s">
        <v>35255</v>
      </c>
    </row>
    <row r="7147" ht="14.25">
      <c r="B7147" s="14" t="s">
        <v>35251</v>
      </c>
      <c r="C7147" s="4" t="s">
        <v>35252</v>
      </c>
      <c r="D7147" s="4" t="s">
        <v>35256</v>
      </c>
      <c r="E7147" s="4" t="s">
        <v>35254</v>
      </c>
      <c r="F7147" s="4" t="s">
        <v>222</v>
      </c>
      <c r="G7147" s="4" t="s">
        <v>35257</v>
      </c>
    </row>
    <row r="7148" ht="14.25">
      <c r="B7148" s="14" t="s">
        <v>35251</v>
      </c>
      <c r="C7148" s="4" t="s">
        <v>35252</v>
      </c>
      <c r="D7148" s="4" t="s">
        <v>35258</v>
      </c>
      <c r="E7148" s="4" t="s">
        <v>35254</v>
      </c>
      <c r="F7148" s="4" t="s">
        <v>785</v>
      </c>
      <c r="G7148" s="4" t="s">
        <v>35180</v>
      </c>
    </row>
    <row r="7149" ht="14.25">
      <c r="B7149" s="14" t="s">
        <v>35251</v>
      </c>
      <c r="C7149" s="4" t="s">
        <v>35252</v>
      </c>
      <c r="D7149" s="4" t="s">
        <v>35259</v>
      </c>
      <c r="E7149" s="4" t="s">
        <v>35254</v>
      </c>
      <c r="F7149" s="4" t="s">
        <v>21744</v>
      </c>
      <c r="G7149" s="4" t="s">
        <v>35260</v>
      </c>
    </row>
    <row r="7150" ht="14.25">
      <c r="B7150" s="14" t="s">
        <v>35251</v>
      </c>
      <c r="C7150" s="4" t="s">
        <v>35252</v>
      </c>
      <c r="D7150" s="4" t="s">
        <v>35261</v>
      </c>
      <c r="E7150" s="4" t="s">
        <v>35254</v>
      </c>
      <c r="F7150" s="4" t="s">
        <v>33264</v>
      </c>
      <c r="G7150" s="4" t="s">
        <v>35262</v>
      </c>
    </row>
    <row r="7151" ht="14.25">
      <c r="B7151" s="14" t="s">
        <v>35251</v>
      </c>
      <c r="C7151" s="4" t="s">
        <v>35252</v>
      </c>
      <c r="D7151" s="4" t="s">
        <v>35263</v>
      </c>
      <c r="E7151" s="4" t="s">
        <v>35254</v>
      </c>
      <c r="F7151" s="4" t="s">
        <v>6788</v>
      </c>
      <c r="G7151" s="4" t="s">
        <v>34625</v>
      </c>
    </row>
    <row r="7152" ht="14.25">
      <c r="B7152" s="14" t="s">
        <v>35264</v>
      </c>
      <c r="C7152" s="4" t="s">
        <v>35265</v>
      </c>
      <c r="D7152" s="4" t="s">
        <v>35266</v>
      </c>
      <c r="E7152" s="4" t="s">
        <v>35267</v>
      </c>
      <c r="F7152" s="4" t="s">
        <v>2299</v>
      </c>
      <c r="G7152" s="4" t="s">
        <v>35268</v>
      </c>
    </row>
    <row r="7153" ht="14.25">
      <c r="B7153" s="14" t="s">
        <v>35264</v>
      </c>
      <c r="C7153" s="4" t="s">
        <v>35265</v>
      </c>
      <c r="D7153" s="4" t="s">
        <v>35269</v>
      </c>
      <c r="E7153" s="4" t="s">
        <v>35267</v>
      </c>
      <c r="F7153" s="4" t="s">
        <v>32563</v>
      </c>
      <c r="G7153" s="4" t="s">
        <v>35270</v>
      </c>
    </row>
    <row r="7154" ht="14.25">
      <c r="B7154" s="14" t="s">
        <v>35264</v>
      </c>
      <c r="C7154" s="4" t="s">
        <v>35265</v>
      </c>
      <c r="D7154" s="4" t="s">
        <v>35271</v>
      </c>
      <c r="E7154" s="4" t="s">
        <v>35267</v>
      </c>
      <c r="F7154" s="4" t="s">
        <v>710</v>
      </c>
      <c r="G7154" s="4" t="s">
        <v>35272</v>
      </c>
    </row>
    <row r="7155" ht="14.25">
      <c r="B7155" s="14" t="s">
        <v>35264</v>
      </c>
      <c r="C7155" s="4" t="s">
        <v>35273</v>
      </c>
      <c r="D7155" s="4" t="s">
        <v>35274</v>
      </c>
      <c r="E7155" s="4" t="s">
        <v>35275</v>
      </c>
      <c r="F7155" s="4" t="s">
        <v>5716</v>
      </c>
      <c r="G7155" s="4" t="s">
        <v>35276</v>
      </c>
    </row>
    <row r="7156" ht="14.25">
      <c r="B7156" s="14" t="s">
        <v>35277</v>
      </c>
      <c r="C7156" s="4" t="s">
        <v>35278</v>
      </c>
      <c r="D7156" s="4" t="s">
        <v>35279</v>
      </c>
      <c r="E7156" s="4" t="s">
        <v>35280</v>
      </c>
      <c r="F7156" s="4" t="s">
        <v>32622</v>
      </c>
      <c r="G7156" s="4" t="s">
        <v>35281</v>
      </c>
    </row>
    <row r="7157" ht="14.25">
      <c r="B7157" s="14" t="s">
        <v>35282</v>
      </c>
      <c r="C7157" s="4" t="s">
        <v>35283</v>
      </c>
      <c r="D7157" s="4" t="s">
        <v>35284</v>
      </c>
      <c r="E7157" s="6"/>
      <c r="F7157" s="4" t="s">
        <v>32787</v>
      </c>
      <c r="G7157" s="4" t="s">
        <v>35285</v>
      </c>
    </row>
    <row r="7158" ht="14.25">
      <c r="B7158" s="14" t="s">
        <v>35286</v>
      </c>
      <c r="C7158" s="4" t="s">
        <v>35287</v>
      </c>
      <c r="D7158" s="4" t="s">
        <v>35288</v>
      </c>
      <c r="E7158" s="6"/>
      <c r="F7158" s="4" t="s">
        <v>33264</v>
      </c>
      <c r="G7158" s="4" t="s">
        <v>35289</v>
      </c>
    </row>
    <row r="7159" ht="14.25">
      <c r="B7159" s="14" t="s">
        <v>35290</v>
      </c>
      <c r="C7159" s="4" t="s">
        <v>35291</v>
      </c>
      <c r="D7159" s="4" t="s">
        <v>35292</v>
      </c>
      <c r="E7159" s="6"/>
      <c r="F7159" s="4" t="s">
        <v>2508</v>
      </c>
      <c r="G7159" s="4" t="s">
        <v>35293</v>
      </c>
    </row>
    <row r="7160" ht="14.25">
      <c r="B7160" s="14" t="s">
        <v>35294</v>
      </c>
      <c r="C7160" s="4" t="s">
        <v>35295</v>
      </c>
      <c r="D7160" s="4" t="s">
        <v>35296</v>
      </c>
      <c r="E7160" s="4" t="s">
        <v>35297</v>
      </c>
      <c r="F7160" s="4" t="s">
        <v>1215</v>
      </c>
      <c r="G7160" s="4" t="s">
        <v>35298</v>
      </c>
    </row>
    <row r="7161" ht="14.25">
      <c r="B7161" s="14" t="s">
        <v>35299</v>
      </c>
      <c r="C7161" s="4" t="s">
        <v>35300</v>
      </c>
      <c r="D7161" s="4" t="s">
        <v>35301</v>
      </c>
      <c r="E7161" s="4" t="s">
        <v>35302</v>
      </c>
      <c r="F7161" s="4" t="s">
        <v>3072</v>
      </c>
      <c r="G7161" s="4" t="s">
        <v>35303</v>
      </c>
    </row>
    <row r="7162" ht="14.25">
      <c r="B7162" s="14" t="s">
        <v>35299</v>
      </c>
      <c r="C7162" s="4" t="s">
        <v>35300</v>
      </c>
      <c r="D7162" s="4" t="s">
        <v>35304</v>
      </c>
      <c r="E7162" s="4" t="s">
        <v>35302</v>
      </c>
      <c r="F7162" s="4" t="s">
        <v>33054</v>
      </c>
      <c r="G7162" s="4" t="s">
        <v>35305</v>
      </c>
    </row>
    <row r="7163" ht="14.25">
      <c r="B7163" s="14" t="s">
        <v>35306</v>
      </c>
      <c r="C7163" s="4" t="s">
        <v>35307</v>
      </c>
      <c r="D7163" s="4" t="s">
        <v>35308</v>
      </c>
      <c r="E7163" s="6"/>
      <c r="F7163" s="4" t="s">
        <v>4969</v>
      </c>
      <c r="G7163" s="4" t="s">
        <v>35309</v>
      </c>
    </row>
    <row r="7164" ht="14.25">
      <c r="B7164" s="14" t="s">
        <v>35306</v>
      </c>
      <c r="C7164" s="4" t="s">
        <v>35310</v>
      </c>
      <c r="D7164" s="4" t="s">
        <v>35311</v>
      </c>
      <c r="E7164" s="6"/>
      <c r="F7164" s="4" t="s">
        <v>670</v>
      </c>
      <c r="G7164" s="4" t="s">
        <v>35309</v>
      </c>
    </row>
    <row r="7165" ht="14.25">
      <c r="B7165" s="14" t="s">
        <v>35312</v>
      </c>
      <c r="C7165" s="4" t="s">
        <v>35313</v>
      </c>
      <c r="D7165" s="4" t="s">
        <v>35314</v>
      </c>
      <c r="E7165" s="6"/>
      <c r="F7165" s="4" t="s">
        <v>817</v>
      </c>
      <c r="G7165" s="4" t="s">
        <v>35315</v>
      </c>
    </row>
    <row r="7166" ht="14.25">
      <c r="B7166" s="14" t="s">
        <v>35316</v>
      </c>
      <c r="C7166" s="4" t="s">
        <v>35317</v>
      </c>
      <c r="D7166" s="4" t="s">
        <v>35318</v>
      </c>
      <c r="E7166" s="4" t="s">
        <v>35319</v>
      </c>
      <c r="F7166" s="4" t="s">
        <v>1153</v>
      </c>
      <c r="G7166" s="4" t="s">
        <v>35320</v>
      </c>
    </row>
    <row r="7167" ht="14.25">
      <c r="B7167" s="14" t="s">
        <v>35321</v>
      </c>
      <c r="C7167" s="4" t="s">
        <v>35322</v>
      </c>
      <c r="D7167" s="4" t="s">
        <v>35323</v>
      </c>
      <c r="E7167" s="6"/>
      <c r="F7167" s="4" t="s">
        <v>7451</v>
      </c>
      <c r="G7167" s="4" t="s">
        <v>35324</v>
      </c>
    </row>
    <row r="7168" ht="14.25">
      <c r="B7168" s="14" t="s">
        <v>35325</v>
      </c>
      <c r="C7168" s="4" t="s">
        <v>35326</v>
      </c>
      <c r="D7168" s="4" t="s">
        <v>35327</v>
      </c>
      <c r="E7168" s="4" t="s">
        <v>35328</v>
      </c>
      <c r="F7168" s="4" t="s">
        <v>3165</v>
      </c>
      <c r="G7168" s="4" t="s">
        <v>35329</v>
      </c>
    </row>
    <row r="7169" ht="14.25">
      <c r="B7169" s="14" t="s">
        <v>35325</v>
      </c>
      <c r="C7169" s="4" t="s">
        <v>35326</v>
      </c>
      <c r="D7169" s="4" t="s">
        <v>35330</v>
      </c>
      <c r="E7169" s="4" t="s">
        <v>35328</v>
      </c>
      <c r="F7169" s="4" t="s">
        <v>32616</v>
      </c>
      <c r="G7169" s="4" t="s">
        <v>35331</v>
      </c>
    </row>
    <row r="7170" ht="14.25">
      <c r="B7170" s="14" t="s">
        <v>35332</v>
      </c>
      <c r="C7170" s="4" t="s">
        <v>35333</v>
      </c>
      <c r="D7170" s="4" t="s">
        <v>35334</v>
      </c>
      <c r="E7170" s="4" t="s">
        <v>35335</v>
      </c>
      <c r="F7170" s="4" t="s">
        <v>1619</v>
      </c>
      <c r="G7170" s="4" t="s">
        <v>35336</v>
      </c>
    </row>
    <row r="7171" ht="14.25">
      <c r="B7171" s="14" t="s">
        <v>35337</v>
      </c>
      <c r="C7171" s="4" t="s">
        <v>35338</v>
      </c>
      <c r="D7171" s="4" t="s">
        <v>35339</v>
      </c>
      <c r="E7171" s="6"/>
      <c r="F7171" s="4" t="s">
        <v>32616</v>
      </c>
      <c r="G7171" s="4" t="s">
        <v>35340</v>
      </c>
    </row>
    <row r="7172" ht="14.25">
      <c r="B7172" s="14" t="s">
        <v>35341</v>
      </c>
      <c r="C7172" s="4" t="s">
        <v>35342</v>
      </c>
      <c r="D7172" s="4" t="s">
        <v>35343</v>
      </c>
      <c r="E7172" s="6"/>
      <c r="F7172" s="4" t="s">
        <v>76</v>
      </c>
      <c r="G7172" s="4" t="s">
        <v>35344</v>
      </c>
    </row>
    <row r="7173" ht="14.25">
      <c r="B7173" s="14" t="s">
        <v>35345</v>
      </c>
      <c r="C7173" s="4" t="s">
        <v>35346</v>
      </c>
      <c r="D7173" s="4" t="s">
        <v>35347</v>
      </c>
      <c r="E7173" s="4" t="s">
        <v>35348</v>
      </c>
      <c r="F7173" s="4" t="s">
        <v>76</v>
      </c>
      <c r="G7173" s="4" t="s">
        <v>35349</v>
      </c>
    </row>
    <row r="7174" ht="14.25">
      <c r="B7174" s="14" t="s">
        <v>35350</v>
      </c>
      <c r="C7174" s="4" t="s">
        <v>35351</v>
      </c>
      <c r="D7174" s="4" t="s">
        <v>35352</v>
      </c>
      <c r="E7174" s="4" t="s">
        <v>35353</v>
      </c>
      <c r="F7174" s="4" t="s">
        <v>95</v>
      </c>
      <c r="G7174" s="4" t="s">
        <v>35354</v>
      </c>
    </row>
    <row r="7175" ht="14.25">
      <c r="B7175" s="14" t="s">
        <v>35355</v>
      </c>
      <c r="C7175" s="4" t="s">
        <v>35356</v>
      </c>
      <c r="D7175" s="4" t="s">
        <v>35357</v>
      </c>
      <c r="E7175" s="4" t="s">
        <v>35358</v>
      </c>
      <c r="F7175" s="4" t="s">
        <v>33283</v>
      </c>
      <c r="G7175" s="4" t="s">
        <v>35359</v>
      </c>
    </row>
    <row r="7176" ht="14.25">
      <c r="B7176" s="14" t="s">
        <v>35360</v>
      </c>
      <c r="C7176" s="4" t="s">
        <v>35361</v>
      </c>
      <c r="D7176" s="4" t="s">
        <v>35362</v>
      </c>
      <c r="E7176" s="4" t="s">
        <v>35363</v>
      </c>
      <c r="F7176" s="4" t="s">
        <v>32658</v>
      </c>
      <c r="G7176" s="4" t="s">
        <v>35364</v>
      </c>
    </row>
    <row r="7177" ht="14.25">
      <c r="B7177" s="14" t="s">
        <v>35360</v>
      </c>
      <c r="C7177" s="4" t="s">
        <v>35361</v>
      </c>
      <c r="D7177" s="4" t="s">
        <v>35365</v>
      </c>
      <c r="E7177" s="4" t="s">
        <v>35363</v>
      </c>
      <c r="F7177" s="4" t="s">
        <v>579</v>
      </c>
      <c r="G7177" s="4" t="s">
        <v>35366</v>
      </c>
    </row>
    <row r="7178" ht="14.25">
      <c r="B7178" s="14" t="s">
        <v>35360</v>
      </c>
      <c r="C7178" s="4" t="s">
        <v>35361</v>
      </c>
      <c r="D7178" s="4" t="s">
        <v>35367</v>
      </c>
      <c r="E7178" s="4" t="s">
        <v>35363</v>
      </c>
      <c r="F7178" s="4" t="s">
        <v>35368</v>
      </c>
      <c r="G7178" s="4" t="s">
        <v>35369</v>
      </c>
    </row>
    <row r="7179" ht="14.25">
      <c r="B7179" s="14" t="s">
        <v>35360</v>
      </c>
      <c r="C7179" s="4" t="s">
        <v>35361</v>
      </c>
      <c r="D7179" s="4" t="s">
        <v>35370</v>
      </c>
      <c r="E7179" s="4" t="s">
        <v>35363</v>
      </c>
      <c r="F7179" s="4" t="s">
        <v>808</v>
      </c>
      <c r="G7179" s="4" t="s">
        <v>35371</v>
      </c>
    </row>
    <row r="7180" ht="14.25">
      <c r="B7180" s="14" t="s">
        <v>35372</v>
      </c>
      <c r="C7180" s="4" t="s">
        <v>35373</v>
      </c>
      <c r="D7180" s="4" t="s">
        <v>35374</v>
      </c>
      <c r="E7180" s="4" t="s">
        <v>35375</v>
      </c>
      <c r="F7180" s="4" t="s">
        <v>18559</v>
      </c>
      <c r="G7180" s="4" t="s">
        <v>35376</v>
      </c>
    </row>
    <row r="7181" ht="14.25">
      <c r="B7181" s="14" t="s">
        <v>35372</v>
      </c>
      <c r="C7181" s="4" t="s">
        <v>35377</v>
      </c>
      <c r="D7181" s="4" t="s">
        <v>35378</v>
      </c>
      <c r="E7181" s="4" t="s">
        <v>35379</v>
      </c>
      <c r="F7181" s="4" t="s">
        <v>5001</v>
      </c>
      <c r="G7181" s="4" t="s">
        <v>35380</v>
      </c>
    </row>
    <row r="7182" ht="14.25">
      <c r="B7182" s="14" t="s">
        <v>35372</v>
      </c>
      <c r="C7182" s="4" t="s">
        <v>35377</v>
      </c>
      <c r="D7182" s="4" t="s">
        <v>35381</v>
      </c>
      <c r="E7182" s="4" t="s">
        <v>35379</v>
      </c>
      <c r="F7182" s="4" t="s">
        <v>32548</v>
      </c>
      <c r="G7182" s="4" t="s">
        <v>35382</v>
      </c>
    </row>
    <row r="7183" ht="14.25">
      <c r="B7183" s="14" t="s">
        <v>35383</v>
      </c>
      <c r="C7183" s="4" t="s">
        <v>35384</v>
      </c>
      <c r="D7183" s="4" t="s">
        <v>35385</v>
      </c>
      <c r="E7183" s="4" t="s">
        <v>35386</v>
      </c>
      <c r="F7183" s="4" t="s">
        <v>35387</v>
      </c>
      <c r="G7183" s="4" t="s">
        <v>35388</v>
      </c>
    </row>
    <row r="7184" ht="14.25">
      <c r="B7184" s="14" t="s">
        <v>35383</v>
      </c>
      <c r="C7184" s="4" t="s">
        <v>35384</v>
      </c>
      <c r="D7184" s="4" t="s">
        <v>35389</v>
      </c>
      <c r="E7184" s="4" t="s">
        <v>35386</v>
      </c>
      <c r="F7184" s="4" t="s">
        <v>35368</v>
      </c>
      <c r="G7184" s="4" t="s">
        <v>35390</v>
      </c>
    </row>
    <row r="7185" ht="14.25">
      <c r="B7185" s="14" t="s">
        <v>35391</v>
      </c>
      <c r="C7185" s="4" t="s">
        <v>35392</v>
      </c>
      <c r="D7185" s="4" t="s">
        <v>35393</v>
      </c>
      <c r="E7185" s="6"/>
      <c r="F7185" s="4" t="s">
        <v>110</v>
      </c>
      <c r="G7185" s="4" t="s">
        <v>35394</v>
      </c>
    </row>
    <row r="7186" ht="14.25">
      <c r="B7186" s="14" t="s">
        <v>35391</v>
      </c>
      <c r="C7186" s="4" t="s">
        <v>35395</v>
      </c>
      <c r="D7186" s="4" t="s">
        <v>35396</v>
      </c>
      <c r="E7186" s="4" t="s">
        <v>35397</v>
      </c>
      <c r="F7186" s="4" t="s">
        <v>4245</v>
      </c>
      <c r="G7186" s="4" t="s">
        <v>35398</v>
      </c>
    </row>
    <row r="7187" ht="14.25">
      <c r="B7187" s="14" t="s">
        <v>35391</v>
      </c>
      <c r="C7187" s="4" t="s">
        <v>35395</v>
      </c>
      <c r="D7187" s="4" t="s">
        <v>35399</v>
      </c>
      <c r="E7187" s="4" t="s">
        <v>35397</v>
      </c>
      <c r="F7187" s="4" t="s">
        <v>35400</v>
      </c>
      <c r="G7187" s="4" t="s">
        <v>35401</v>
      </c>
    </row>
    <row r="7188" ht="14.25">
      <c r="B7188" s="14" t="s">
        <v>35402</v>
      </c>
      <c r="C7188" s="4" t="s">
        <v>35403</v>
      </c>
      <c r="D7188" s="4" t="s">
        <v>35404</v>
      </c>
      <c r="E7188" s="6"/>
      <c r="F7188" s="4" t="s">
        <v>222</v>
      </c>
      <c r="G7188" s="4" t="s">
        <v>33445</v>
      </c>
    </row>
    <row r="7189" ht="14.25">
      <c r="B7189" s="14" t="s">
        <v>35405</v>
      </c>
      <c r="C7189" s="4" t="s">
        <v>35406</v>
      </c>
      <c r="D7189" s="4" t="s">
        <v>35407</v>
      </c>
      <c r="E7189" s="4" t="s">
        <v>35408</v>
      </c>
      <c r="F7189" s="4" t="s">
        <v>222</v>
      </c>
      <c r="G7189" s="4" t="s">
        <v>34506</v>
      </c>
    </row>
    <row r="7190" ht="14.25">
      <c r="B7190" s="14" t="s">
        <v>35409</v>
      </c>
      <c r="C7190" s="4" t="s">
        <v>35410</v>
      </c>
      <c r="D7190" s="4" t="s">
        <v>35411</v>
      </c>
      <c r="E7190" s="4" t="s">
        <v>35412</v>
      </c>
      <c r="F7190" s="4" t="s">
        <v>33923</v>
      </c>
      <c r="G7190" s="4" t="s">
        <v>35413</v>
      </c>
    </row>
    <row r="7191" ht="14.25">
      <c r="B7191" s="14" t="s">
        <v>35409</v>
      </c>
      <c r="C7191" s="4" t="s">
        <v>35414</v>
      </c>
      <c r="D7191" s="4" t="s">
        <v>35415</v>
      </c>
      <c r="E7191" s="6"/>
      <c r="F7191" s="4" t="s">
        <v>6923</v>
      </c>
      <c r="G7191" s="4" t="s">
        <v>35416</v>
      </c>
    </row>
    <row r="7192" ht="14.25">
      <c r="B7192" s="14" t="s">
        <v>35417</v>
      </c>
      <c r="C7192" s="4" t="s">
        <v>35418</v>
      </c>
      <c r="D7192" s="4" t="s">
        <v>35419</v>
      </c>
      <c r="E7192" s="4" t="s">
        <v>35420</v>
      </c>
      <c r="F7192" s="4" t="s">
        <v>32579</v>
      </c>
      <c r="G7192" s="4" t="s">
        <v>34625</v>
      </c>
    </row>
    <row r="7193" ht="14.25">
      <c r="B7193" s="14" t="s">
        <v>35417</v>
      </c>
      <c r="C7193" s="4" t="s">
        <v>35418</v>
      </c>
      <c r="D7193" s="4" t="s">
        <v>35421</v>
      </c>
      <c r="E7193" s="4" t="s">
        <v>35420</v>
      </c>
      <c r="F7193" s="4" t="s">
        <v>355</v>
      </c>
      <c r="G7193" s="4" t="s">
        <v>33159</v>
      </c>
    </row>
    <row r="7194" ht="14.25">
      <c r="B7194" s="14" t="s">
        <v>35417</v>
      </c>
      <c r="C7194" s="4" t="s">
        <v>35418</v>
      </c>
      <c r="D7194" s="4" t="s">
        <v>35422</v>
      </c>
      <c r="E7194" s="4" t="s">
        <v>35420</v>
      </c>
      <c r="F7194" s="4" t="s">
        <v>170</v>
      </c>
      <c r="G7194" s="4" t="s">
        <v>35423</v>
      </c>
    </row>
    <row r="7195" ht="14.25">
      <c r="B7195" s="14" t="s">
        <v>35417</v>
      </c>
      <c r="C7195" s="4" t="s">
        <v>35418</v>
      </c>
      <c r="D7195" s="4" t="s">
        <v>35424</v>
      </c>
      <c r="E7195" s="4" t="s">
        <v>35420</v>
      </c>
      <c r="F7195" s="4" t="s">
        <v>110</v>
      </c>
      <c r="G7195" s="4" t="s">
        <v>34767</v>
      </c>
    </row>
    <row r="7196" ht="14.25">
      <c r="B7196" s="14" t="s">
        <v>35425</v>
      </c>
      <c r="C7196" s="4" t="s">
        <v>35426</v>
      </c>
      <c r="D7196" s="4" t="s">
        <v>35427</v>
      </c>
      <c r="E7196" s="4" t="s">
        <v>35428</v>
      </c>
      <c r="F7196" s="4" t="s">
        <v>95</v>
      </c>
      <c r="G7196" s="4" t="s">
        <v>32868</v>
      </c>
    </row>
    <row r="7197" ht="14.25">
      <c r="B7197" s="14" t="s">
        <v>35429</v>
      </c>
      <c r="C7197" s="4" t="s">
        <v>35430</v>
      </c>
      <c r="D7197" s="4" t="s">
        <v>35431</v>
      </c>
      <c r="E7197" s="4" t="s">
        <v>35432</v>
      </c>
      <c r="F7197" s="4" t="s">
        <v>1153</v>
      </c>
      <c r="G7197" s="4" t="s">
        <v>35433</v>
      </c>
    </row>
    <row r="7198" ht="14.25">
      <c r="B7198" s="14" t="s">
        <v>35429</v>
      </c>
      <c r="C7198" s="4" t="s">
        <v>35430</v>
      </c>
      <c r="D7198" s="4" t="s">
        <v>35434</v>
      </c>
      <c r="E7198" s="4" t="s">
        <v>35432</v>
      </c>
      <c r="F7198" s="4" t="s">
        <v>32891</v>
      </c>
      <c r="G7198" s="4" t="s">
        <v>35435</v>
      </c>
    </row>
    <row r="7199" ht="14.25">
      <c r="B7199" s="14" t="s">
        <v>35429</v>
      </c>
      <c r="C7199" s="4" t="s">
        <v>35430</v>
      </c>
      <c r="D7199" s="4" t="s">
        <v>35436</v>
      </c>
      <c r="E7199" s="4" t="s">
        <v>35432</v>
      </c>
      <c r="F7199" s="4" t="s">
        <v>355</v>
      </c>
      <c r="G7199" s="4" t="s">
        <v>35437</v>
      </c>
    </row>
    <row r="7200" ht="14.25">
      <c r="B7200" s="14" t="s">
        <v>35438</v>
      </c>
      <c r="C7200" s="4" t="s">
        <v>35439</v>
      </c>
      <c r="D7200" s="4" t="s">
        <v>35440</v>
      </c>
      <c r="E7200" s="4" t="s">
        <v>35441</v>
      </c>
      <c r="F7200" s="4" t="s">
        <v>1499</v>
      </c>
      <c r="G7200" s="4" t="s">
        <v>35442</v>
      </c>
    </row>
    <row r="7201" ht="14.25">
      <c r="B7201" s="14" t="s">
        <v>35438</v>
      </c>
      <c r="C7201" s="4" t="s">
        <v>35439</v>
      </c>
      <c r="D7201" s="4" t="s">
        <v>35441</v>
      </c>
      <c r="E7201" s="6"/>
      <c r="F7201" s="4" t="s">
        <v>20</v>
      </c>
      <c r="G7201" s="4" t="s">
        <v>35443</v>
      </c>
    </row>
    <row r="7202" ht="14.25">
      <c r="B7202" s="14" t="s">
        <v>35444</v>
      </c>
      <c r="C7202" s="4" t="s">
        <v>35445</v>
      </c>
      <c r="D7202" s="4" t="s">
        <v>35446</v>
      </c>
      <c r="E7202" s="6"/>
      <c r="F7202" s="4" t="s">
        <v>4115</v>
      </c>
      <c r="G7202" s="4" t="s">
        <v>35447</v>
      </c>
    </row>
    <row r="7203" ht="14.25">
      <c r="B7203" s="14" t="s">
        <v>35448</v>
      </c>
      <c r="C7203" s="4" t="s">
        <v>35449</v>
      </c>
      <c r="D7203" s="4" t="s">
        <v>35450</v>
      </c>
      <c r="E7203" s="4" t="s">
        <v>35451</v>
      </c>
      <c r="F7203" s="4" t="s">
        <v>23753</v>
      </c>
      <c r="G7203" s="4" t="s">
        <v>35452</v>
      </c>
    </row>
    <row r="7204" ht="14.25">
      <c r="B7204" s="14" t="s">
        <v>35448</v>
      </c>
      <c r="C7204" s="4" t="s">
        <v>35449</v>
      </c>
      <c r="D7204" s="4" t="s">
        <v>35453</v>
      </c>
      <c r="E7204" s="4" t="s">
        <v>35451</v>
      </c>
      <c r="F7204" s="4" t="s">
        <v>10945</v>
      </c>
      <c r="G7204" s="4" t="s">
        <v>35454</v>
      </c>
    </row>
    <row r="7205" ht="14.25">
      <c r="B7205" s="14" t="s">
        <v>35455</v>
      </c>
      <c r="C7205" s="4" t="s">
        <v>35456</v>
      </c>
      <c r="D7205" s="4" t="s">
        <v>35457</v>
      </c>
      <c r="E7205" s="4" t="s">
        <v>35458</v>
      </c>
      <c r="F7205" s="4" t="s">
        <v>1387</v>
      </c>
      <c r="G7205" s="4" t="s">
        <v>35459</v>
      </c>
    </row>
    <row r="7206" ht="14.25">
      <c r="B7206" s="14" t="s">
        <v>35460</v>
      </c>
      <c r="C7206" s="4" t="s">
        <v>35461</v>
      </c>
      <c r="D7206" s="4" t="s">
        <v>35462</v>
      </c>
      <c r="E7206" s="4" t="s">
        <v>35463</v>
      </c>
      <c r="F7206" s="4" t="s">
        <v>6356</v>
      </c>
      <c r="G7206" s="4" t="s">
        <v>35464</v>
      </c>
    </row>
    <row r="7207" ht="14.25">
      <c r="B7207" s="14" t="s">
        <v>35465</v>
      </c>
      <c r="C7207" s="4" t="s">
        <v>35466</v>
      </c>
      <c r="D7207" s="4" t="s">
        <v>35467</v>
      </c>
      <c r="E7207" s="4" t="s">
        <v>35468</v>
      </c>
      <c r="F7207" s="4" t="s">
        <v>32548</v>
      </c>
      <c r="G7207" s="4" t="s">
        <v>35469</v>
      </c>
    </row>
    <row r="7208" ht="14.25">
      <c r="B7208" s="14" t="s">
        <v>35465</v>
      </c>
      <c r="C7208" s="4" t="s">
        <v>35466</v>
      </c>
      <c r="D7208" s="4" t="s">
        <v>35470</v>
      </c>
      <c r="E7208" s="4" t="s">
        <v>35468</v>
      </c>
      <c r="F7208" s="4" t="s">
        <v>35471</v>
      </c>
      <c r="G7208" s="4" t="s">
        <v>35472</v>
      </c>
    </row>
    <row r="7209" ht="14.25">
      <c r="B7209" s="14" t="s">
        <v>35473</v>
      </c>
      <c r="C7209" s="4" t="s">
        <v>35474</v>
      </c>
      <c r="D7209" s="4" t="s">
        <v>35475</v>
      </c>
      <c r="E7209" s="6"/>
      <c r="F7209" s="4" t="s">
        <v>32579</v>
      </c>
      <c r="G7209" s="4" t="s">
        <v>35476</v>
      </c>
    </row>
    <row r="7210" ht="14.25">
      <c r="B7210" s="14" t="s">
        <v>35477</v>
      </c>
      <c r="C7210" s="4" t="s">
        <v>35478</v>
      </c>
      <c r="D7210" s="4" t="s">
        <v>35479</v>
      </c>
      <c r="E7210" s="4" t="s">
        <v>35480</v>
      </c>
      <c r="F7210" s="4" t="s">
        <v>35481</v>
      </c>
      <c r="G7210" s="4" t="s">
        <v>35065</v>
      </c>
    </row>
    <row r="7211" ht="14.25">
      <c r="B7211" s="14" t="s">
        <v>35477</v>
      </c>
      <c r="C7211" s="4" t="s">
        <v>35482</v>
      </c>
      <c r="D7211" s="4" t="s">
        <v>35483</v>
      </c>
      <c r="E7211" s="4" t="s">
        <v>35484</v>
      </c>
      <c r="F7211" s="4" t="s">
        <v>18731</v>
      </c>
      <c r="G7211" s="4" t="s">
        <v>34439</v>
      </c>
    </row>
    <row r="7212" ht="14.25">
      <c r="B7212" s="14" t="s">
        <v>35485</v>
      </c>
      <c r="C7212" s="4" t="s">
        <v>35486</v>
      </c>
      <c r="D7212" s="4" t="s">
        <v>35487</v>
      </c>
      <c r="E7212" s="4" t="s">
        <v>35488</v>
      </c>
      <c r="F7212" s="4" t="s">
        <v>3850</v>
      </c>
      <c r="G7212" s="4" t="s">
        <v>35489</v>
      </c>
    </row>
    <row r="7213" ht="14.25">
      <c r="B7213" s="14" t="s">
        <v>35490</v>
      </c>
      <c r="C7213" s="4" t="s">
        <v>35491</v>
      </c>
      <c r="D7213" s="4" t="s">
        <v>35492</v>
      </c>
      <c r="E7213" s="4" t="s">
        <v>35493</v>
      </c>
      <c r="F7213" s="4" t="s">
        <v>32831</v>
      </c>
      <c r="G7213" s="4" t="s">
        <v>35494</v>
      </c>
    </row>
    <row r="7214" ht="14.25">
      <c r="B7214" s="14" t="s">
        <v>35495</v>
      </c>
      <c r="C7214" s="4" t="s">
        <v>35496</v>
      </c>
      <c r="D7214" s="4" t="s">
        <v>35497</v>
      </c>
      <c r="E7214" s="6"/>
      <c r="F7214" s="4" t="s">
        <v>32891</v>
      </c>
      <c r="G7214" s="4" t="s">
        <v>35498</v>
      </c>
    </row>
    <row r="7215" ht="14.25">
      <c r="B7215" s="14" t="s">
        <v>35499</v>
      </c>
      <c r="C7215" s="4" t="s">
        <v>35500</v>
      </c>
      <c r="D7215" s="4" t="s">
        <v>35501</v>
      </c>
      <c r="E7215" s="4" t="s">
        <v>35502</v>
      </c>
      <c r="F7215" s="4" t="s">
        <v>1215</v>
      </c>
      <c r="G7215" s="4" t="s">
        <v>35503</v>
      </c>
    </row>
    <row r="7216" ht="14.25">
      <c r="B7216" s="14" t="s">
        <v>35504</v>
      </c>
      <c r="C7216" s="4" t="s">
        <v>35505</v>
      </c>
      <c r="D7216" s="4" t="s">
        <v>35506</v>
      </c>
      <c r="E7216" s="6"/>
      <c r="F7216" s="4" t="s">
        <v>1732</v>
      </c>
      <c r="G7216" s="4" t="s">
        <v>35507</v>
      </c>
    </row>
    <row r="7217" ht="14.25">
      <c r="B7217" s="14" t="s">
        <v>35504</v>
      </c>
      <c r="C7217" s="4" t="s">
        <v>35508</v>
      </c>
      <c r="D7217" s="4" t="s">
        <v>35509</v>
      </c>
      <c r="E7217" s="4" t="s">
        <v>35510</v>
      </c>
      <c r="F7217" s="4" t="s">
        <v>32622</v>
      </c>
      <c r="G7217" s="4" t="s">
        <v>35511</v>
      </c>
    </row>
    <row r="7218" ht="14.25">
      <c r="B7218" s="14" t="s">
        <v>35512</v>
      </c>
      <c r="C7218" s="4" t="s">
        <v>35513</v>
      </c>
      <c r="D7218" s="4" t="s">
        <v>35514</v>
      </c>
      <c r="E7218" s="4" t="s">
        <v>35515</v>
      </c>
      <c r="F7218" s="4" t="s">
        <v>7323</v>
      </c>
      <c r="G7218" s="4" t="s">
        <v>35516</v>
      </c>
    </row>
    <row r="7219" ht="14.25">
      <c r="B7219" s="14" t="s">
        <v>35517</v>
      </c>
      <c r="C7219" s="4" t="s">
        <v>35518</v>
      </c>
      <c r="D7219" s="4" t="s">
        <v>35519</v>
      </c>
      <c r="E7219" s="6"/>
      <c r="F7219" s="4" t="s">
        <v>4245</v>
      </c>
      <c r="G7219" s="4" t="s">
        <v>35520</v>
      </c>
    </row>
    <row r="7220" ht="14.25">
      <c r="B7220" s="14" t="s">
        <v>35521</v>
      </c>
      <c r="C7220" s="4" t="s">
        <v>35522</v>
      </c>
      <c r="D7220" s="4" t="s">
        <v>35523</v>
      </c>
      <c r="E7220" s="6"/>
      <c r="F7220" s="4" t="s">
        <v>32831</v>
      </c>
      <c r="G7220" s="4" t="s">
        <v>35524</v>
      </c>
    </row>
    <row r="7221" ht="14.25">
      <c r="B7221" s="14" t="s">
        <v>35521</v>
      </c>
      <c r="C7221" s="4" t="s">
        <v>35522</v>
      </c>
      <c r="D7221" s="4" t="s">
        <v>35525</v>
      </c>
      <c r="E7221" s="4" t="s">
        <v>35523</v>
      </c>
      <c r="F7221" s="4" t="s">
        <v>1562</v>
      </c>
      <c r="G7221" s="4" t="s">
        <v>35526</v>
      </c>
    </row>
    <row r="7222" ht="14.25">
      <c r="B7222" s="14" t="s">
        <v>35521</v>
      </c>
      <c r="C7222" s="4" t="s">
        <v>35527</v>
      </c>
      <c r="D7222" s="4" t="s">
        <v>35528</v>
      </c>
      <c r="E7222" s="4" t="s">
        <v>35529</v>
      </c>
      <c r="F7222" s="4" t="s">
        <v>1861</v>
      </c>
      <c r="G7222" s="4" t="s">
        <v>35530</v>
      </c>
    </row>
    <row r="7223" ht="14.25">
      <c r="B7223" s="14" t="s">
        <v>35521</v>
      </c>
      <c r="C7223" s="4" t="s">
        <v>35527</v>
      </c>
      <c r="D7223" s="4" t="s">
        <v>35531</v>
      </c>
      <c r="E7223" s="4" t="s">
        <v>35529</v>
      </c>
      <c r="F7223" s="4" t="s">
        <v>206</v>
      </c>
      <c r="G7223" s="4" t="s">
        <v>35532</v>
      </c>
    </row>
    <row r="7224" ht="14.25">
      <c r="B7224" s="14" t="s">
        <v>35521</v>
      </c>
      <c r="C7224" s="4" t="s">
        <v>35527</v>
      </c>
      <c r="D7224" s="4" t="s">
        <v>35533</v>
      </c>
      <c r="E7224" s="4" t="s">
        <v>35529</v>
      </c>
      <c r="F7224" s="4" t="s">
        <v>18424</v>
      </c>
      <c r="G7224" s="4" t="s">
        <v>35534</v>
      </c>
    </row>
    <row r="7225" ht="14.25">
      <c r="B7225" s="14" t="s">
        <v>35521</v>
      </c>
      <c r="C7225" s="4" t="s">
        <v>35527</v>
      </c>
      <c r="D7225" s="4" t="s">
        <v>35535</v>
      </c>
      <c r="E7225" s="4" t="s">
        <v>35529</v>
      </c>
      <c r="F7225" s="4" t="s">
        <v>2299</v>
      </c>
      <c r="G7225" s="4" t="s">
        <v>35536</v>
      </c>
    </row>
    <row r="7226" ht="14.25">
      <c r="B7226" s="14" t="s">
        <v>35537</v>
      </c>
      <c r="C7226" s="4" t="s">
        <v>35538</v>
      </c>
      <c r="D7226" s="4" t="s">
        <v>35539</v>
      </c>
      <c r="E7226" s="4" t="s">
        <v>35540</v>
      </c>
      <c r="F7226" s="4" t="s">
        <v>110</v>
      </c>
      <c r="G7226" s="4" t="s">
        <v>32551</v>
      </c>
    </row>
    <row r="7227" ht="14.25">
      <c r="B7227" s="14" t="s">
        <v>35537</v>
      </c>
      <c r="C7227" s="4" t="s">
        <v>35538</v>
      </c>
      <c r="D7227" s="4" t="s">
        <v>35541</v>
      </c>
      <c r="E7227" s="4" t="s">
        <v>35540</v>
      </c>
      <c r="F7227" s="4" t="s">
        <v>222</v>
      </c>
      <c r="G7227" s="4" t="s">
        <v>35542</v>
      </c>
    </row>
    <row r="7228" ht="14.25">
      <c r="B7228" s="14" t="s">
        <v>35543</v>
      </c>
      <c r="C7228" s="4" t="s">
        <v>35544</v>
      </c>
      <c r="D7228" s="4" t="s">
        <v>35545</v>
      </c>
      <c r="E7228" s="4" t="s">
        <v>35546</v>
      </c>
      <c r="F7228" s="4" t="s">
        <v>1215</v>
      </c>
      <c r="G7228" s="4" t="s">
        <v>35547</v>
      </c>
    </row>
    <row r="7229" ht="14.25">
      <c r="B7229" s="14" t="s">
        <v>35548</v>
      </c>
      <c r="C7229" s="4" t="s">
        <v>35549</v>
      </c>
      <c r="D7229" s="4" t="s">
        <v>35550</v>
      </c>
      <c r="E7229" s="4" t="s">
        <v>35551</v>
      </c>
      <c r="F7229" s="4" t="s">
        <v>32616</v>
      </c>
      <c r="G7229" s="4" t="s">
        <v>35552</v>
      </c>
    </row>
    <row r="7230" ht="14.25">
      <c r="B7230" s="14" t="s">
        <v>35548</v>
      </c>
      <c r="C7230" s="4" t="s">
        <v>35553</v>
      </c>
      <c r="D7230" s="4" t="s">
        <v>35554</v>
      </c>
      <c r="E7230" s="4" t="s">
        <v>35555</v>
      </c>
      <c r="F7230" s="4" t="s">
        <v>110</v>
      </c>
      <c r="G7230" s="4" t="s">
        <v>35556</v>
      </c>
    </row>
    <row r="7231" ht="14.25">
      <c r="B7231" s="14" t="s">
        <v>35548</v>
      </c>
      <c r="C7231" s="4" t="s">
        <v>35553</v>
      </c>
      <c r="D7231" s="4" t="s">
        <v>35557</v>
      </c>
      <c r="E7231" s="4" t="s">
        <v>35555</v>
      </c>
      <c r="F7231" s="4" t="s">
        <v>6788</v>
      </c>
      <c r="G7231" s="4" t="s">
        <v>35558</v>
      </c>
    </row>
    <row r="7232" ht="14.25">
      <c r="B7232" s="14" t="s">
        <v>35548</v>
      </c>
      <c r="C7232" s="4" t="s">
        <v>35559</v>
      </c>
      <c r="D7232" s="4" t="s">
        <v>35560</v>
      </c>
      <c r="E7232" s="4" t="s">
        <v>35561</v>
      </c>
      <c r="F7232" s="4" t="s">
        <v>35562</v>
      </c>
      <c r="G7232" s="4" t="s">
        <v>35563</v>
      </c>
    </row>
    <row r="7233" ht="14.25">
      <c r="B7233" s="14" t="s">
        <v>35548</v>
      </c>
      <c r="C7233" s="4" t="s">
        <v>35553</v>
      </c>
      <c r="D7233" s="4" t="s">
        <v>35564</v>
      </c>
      <c r="E7233" s="4" t="s">
        <v>35555</v>
      </c>
      <c r="F7233" s="4" t="s">
        <v>32658</v>
      </c>
      <c r="G7233" s="4" t="s">
        <v>32549</v>
      </c>
    </row>
    <row r="7234" ht="14.25">
      <c r="B7234" s="14" t="s">
        <v>35548</v>
      </c>
      <c r="C7234" s="4" t="s">
        <v>35565</v>
      </c>
      <c r="D7234" s="4" t="s">
        <v>35566</v>
      </c>
      <c r="E7234" s="4" t="s">
        <v>35567</v>
      </c>
      <c r="F7234" s="4" t="s">
        <v>768</v>
      </c>
      <c r="G7234" s="4" t="s">
        <v>35568</v>
      </c>
    </row>
    <row r="7235" ht="14.25">
      <c r="B7235" s="14" t="s">
        <v>35548</v>
      </c>
      <c r="C7235" s="4" t="s">
        <v>35565</v>
      </c>
      <c r="D7235" s="4" t="s">
        <v>35569</v>
      </c>
      <c r="E7235" s="4" t="s">
        <v>35567</v>
      </c>
      <c r="F7235" s="4" t="s">
        <v>1153</v>
      </c>
      <c r="G7235" s="4" t="s">
        <v>35570</v>
      </c>
    </row>
    <row r="7236" ht="14.25">
      <c r="B7236" s="14" t="s">
        <v>35548</v>
      </c>
      <c r="C7236" s="4" t="s">
        <v>35571</v>
      </c>
      <c r="D7236" s="4" t="s">
        <v>35572</v>
      </c>
      <c r="E7236" s="6"/>
      <c r="F7236" s="4" t="s">
        <v>579</v>
      </c>
      <c r="G7236" s="4" t="s">
        <v>35573</v>
      </c>
    </row>
    <row r="7237" ht="14.25">
      <c r="B7237" s="14" t="s">
        <v>35548</v>
      </c>
      <c r="C7237" s="4" t="s">
        <v>35559</v>
      </c>
      <c r="D7237" s="4" t="s">
        <v>35574</v>
      </c>
      <c r="E7237" s="4" t="s">
        <v>35561</v>
      </c>
      <c r="F7237" s="4" t="s">
        <v>2299</v>
      </c>
      <c r="G7237" s="4" t="s">
        <v>35575</v>
      </c>
    </row>
    <row r="7238" ht="14.25">
      <c r="B7238" s="14" t="s">
        <v>35548</v>
      </c>
      <c r="C7238" s="4" t="s">
        <v>35576</v>
      </c>
      <c r="D7238" s="4" t="s">
        <v>35577</v>
      </c>
      <c r="E7238" s="4" t="s">
        <v>35578</v>
      </c>
      <c r="F7238" s="4" t="s">
        <v>6356</v>
      </c>
      <c r="G7238" s="4" t="s">
        <v>35579</v>
      </c>
    </row>
    <row r="7239" ht="14.25">
      <c r="B7239" s="14" t="s">
        <v>35548</v>
      </c>
      <c r="C7239" s="4" t="s">
        <v>35565</v>
      </c>
      <c r="D7239" s="4" t="s">
        <v>35580</v>
      </c>
      <c r="E7239" s="4" t="s">
        <v>35567</v>
      </c>
      <c r="F7239" s="4" t="s">
        <v>1732</v>
      </c>
      <c r="G7239" s="4" t="s">
        <v>35581</v>
      </c>
    </row>
    <row r="7240" ht="14.25">
      <c r="B7240" s="14" t="s">
        <v>35548</v>
      </c>
      <c r="C7240" s="4" t="s">
        <v>35576</v>
      </c>
      <c r="D7240" s="4" t="s">
        <v>35582</v>
      </c>
      <c r="E7240" s="4" t="s">
        <v>35578</v>
      </c>
      <c r="F7240" s="4" t="s">
        <v>4986</v>
      </c>
      <c r="G7240" s="4" t="s">
        <v>35583</v>
      </c>
    </row>
    <row r="7241" ht="14.25">
      <c r="B7241" s="14" t="s">
        <v>35548</v>
      </c>
      <c r="C7241" s="4" t="s">
        <v>35584</v>
      </c>
      <c r="D7241" s="4" t="s">
        <v>35585</v>
      </c>
      <c r="E7241" s="4" t="s">
        <v>35586</v>
      </c>
      <c r="F7241" s="4" t="s">
        <v>95</v>
      </c>
      <c r="G7241" s="4" t="s">
        <v>35587</v>
      </c>
    </row>
    <row r="7242" ht="14.25">
      <c r="B7242" s="14" t="s">
        <v>35588</v>
      </c>
      <c r="C7242" s="4" t="s">
        <v>35589</v>
      </c>
      <c r="D7242" s="4" t="s">
        <v>35590</v>
      </c>
      <c r="E7242" s="6"/>
      <c r="F7242" s="4" t="s">
        <v>1667</v>
      </c>
      <c r="G7242" s="4" t="s">
        <v>35591</v>
      </c>
    </row>
    <row r="7243" ht="14.25">
      <c r="B7243" s="14" t="s">
        <v>35592</v>
      </c>
      <c r="C7243" s="4" t="s">
        <v>35593</v>
      </c>
      <c r="D7243" s="4" t="s">
        <v>35594</v>
      </c>
      <c r="E7243" s="6"/>
      <c r="F7243" s="4" t="s">
        <v>32891</v>
      </c>
      <c r="G7243" s="4" t="s">
        <v>35595</v>
      </c>
    </row>
    <row r="7244" ht="14.25">
      <c r="B7244" s="14" t="s">
        <v>35592</v>
      </c>
      <c r="C7244" s="4" t="s">
        <v>35596</v>
      </c>
      <c r="D7244" s="4" t="s">
        <v>35597</v>
      </c>
      <c r="E7244" s="4" t="s">
        <v>35598</v>
      </c>
      <c r="F7244" s="4" t="s">
        <v>670</v>
      </c>
      <c r="G7244" s="4" t="s">
        <v>35599</v>
      </c>
    </row>
    <row r="7245" ht="14.25">
      <c r="B7245" s="14" t="s">
        <v>35592</v>
      </c>
      <c r="C7245" s="4" t="s">
        <v>35596</v>
      </c>
      <c r="D7245" s="4" t="s">
        <v>35600</v>
      </c>
      <c r="E7245" s="4" t="s">
        <v>35598</v>
      </c>
      <c r="F7245" s="4" t="s">
        <v>2994</v>
      </c>
      <c r="G7245" s="4" t="s">
        <v>35599</v>
      </c>
    </row>
    <row r="7246" ht="14.25">
      <c r="B7246" s="14" t="s">
        <v>35592</v>
      </c>
      <c r="C7246" s="4" t="s">
        <v>35601</v>
      </c>
      <c r="D7246" s="4" t="s">
        <v>35602</v>
      </c>
      <c r="E7246" s="4" t="s">
        <v>35603</v>
      </c>
      <c r="F7246" s="4" t="s">
        <v>178</v>
      </c>
      <c r="G7246" s="4" t="s">
        <v>35604</v>
      </c>
    </row>
    <row r="7247" ht="14.25">
      <c r="B7247" s="14" t="s">
        <v>35592</v>
      </c>
      <c r="C7247" s="4" t="s">
        <v>35605</v>
      </c>
      <c r="D7247" s="4" t="s">
        <v>35606</v>
      </c>
      <c r="E7247" s="4" t="s">
        <v>35607</v>
      </c>
      <c r="F7247" s="4" t="s">
        <v>1596</v>
      </c>
      <c r="G7247" s="4" t="s">
        <v>35608</v>
      </c>
    </row>
    <row r="7248" ht="14.25">
      <c r="B7248" s="14" t="s">
        <v>35609</v>
      </c>
      <c r="C7248" s="4" t="s">
        <v>35610</v>
      </c>
      <c r="D7248" s="4" t="s">
        <v>35611</v>
      </c>
      <c r="E7248" s="4" t="s">
        <v>35612</v>
      </c>
      <c r="F7248" s="4" t="s">
        <v>4026</v>
      </c>
      <c r="G7248" s="4" t="s">
        <v>35613</v>
      </c>
    </row>
    <row r="7249" ht="14.25">
      <c r="B7249" s="14" t="s">
        <v>35609</v>
      </c>
      <c r="C7249" s="4" t="s">
        <v>35610</v>
      </c>
      <c r="D7249" s="4" t="s">
        <v>35614</v>
      </c>
      <c r="E7249" s="4" t="s">
        <v>35612</v>
      </c>
      <c r="F7249" s="4" t="s">
        <v>32548</v>
      </c>
      <c r="G7249" s="4" t="s">
        <v>35615</v>
      </c>
    </row>
    <row r="7250" ht="14.25">
      <c r="B7250" s="14" t="s">
        <v>35609</v>
      </c>
      <c r="C7250" s="4" t="s">
        <v>35610</v>
      </c>
      <c r="D7250" s="4" t="s">
        <v>35616</v>
      </c>
      <c r="E7250" s="4" t="s">
        <v>35612</v>
      </c>
      <c r="F7250" s="4" t="s">
        <v>4115</v>
      </c>
      <c r="G7250" s="4" t="s">
        <v>35617</v>
      </c>
    </row>
    <row r="7251" ht="14.25">
      <c r="B7251" s="14" t="s">
        <v>35609</v>
      </c>
      <c r="C7251" s="4" t="s">
        <v>35610</v>
      </c>
      <c r="D7251" s="4" t="s">
        <v>35618</v>
      </c>
      <c r="E7251" s="4" t="s">
        <v>35612</v>
      </c>
      <c r="F7251" s="4" t="s">
        <v>2419</v>
      </c>
      <c r="G7251" s="4" t="s">
        <v>35619</v>
      </c>
    </row>
    <row r="7252" ht="14.25">
      <c r="B7252" s="14" t="s">
        <v>35620</v>
      </c>
      <c r="C7252" s="4" t="s">
        <v>35621</v>
      </c>
      <c r="D7252" s="4" t="s">
        <v>35622</v>
      </c>
      <c r="E7252" s="4" t="s">
        <v>35623</v>
      </c>
      <c r="F7252" s="4" t="s">
        <v>32736</v>
      </c>
      <c r="G7252" s="4" t="s">
        <v>35624</v>
      </c>
    </row>
    <row r="7253" ht="14.25">
      <c r="B7253" s="14" t="s">
        <v>35625</v>
      </c>
      <c r="C7253" s="4" t="s">
        <v>35626</v>
      </c>
      <c r="D7253" s="4" t="s">
        <v>35627</v>
      </c>
      <c r="E7253" s="4" t="s">
        <v>35628</v>
      </c>
      <c r="F7253" s="4" t="s">
        <v>35629</v>
      </c>
      <c r="G7253" s="4" t="s">
        <v>35630</v>
      </c>
    </row>
    <row r="7254" ht="14.25">
      <c r="B7254" s="14" t="s">
        <v>35625</v>
      </c>
      <c r="C7254" s="4" t="s">
        <v>35626</v>
      </c>
      <c r="D7254" s="4" t="s">
        <v>35631</v>
      </c>
      <c r="E7254" s="4" t="s">
        <v>35628</v>
      </c>
      <c r="F7254" s="4" t="s">
        <v>35368</v>
      </c>
      <c r="G7254" s="4" t="s">
        <v>35632</v>
      </c>
    </row>
    <row r="7255" ht="14.25">
      <c r="B7255" s="14" t="s">
        <v>35625</v>
      </c>
      <c r="C7255" s="4" t="s">
        <v>35626</v>
      </c>
      <c r="D7255" s="4" t="s">
        <v>35633</v>
      </c>
      <c r="E7255" s="4" t="s">
        <v>35628</v>
      </c>
      <c r="F7255" s="4" t="s">
        <v>1948</v>
      </c>
      <c r="G7255" s="4" t="s">
        <v>35634</v>
      </c>
    </row>
    <row r="7256" ht="14.25">
      <c r="B7256" s="14" t="s">
        <v>35625</v>
      </c>
      <c r="C7256" s="4" t="s">
        <v>35635</v>
      </c>
      <c r="D7256" s="4" t="s">
        <v>35636</v>
      </c>
      <c r="E7256" s="4" t="s">
        <v>35637</v>
      </c>
      <c r="F7256" s="4" t="s">
        <v>1583</v>
      </c>
      <c r="G7256" s="4" t="s">
        <v>35638</v>
      </c>
    </row>
    <row r="7257" ht="14.25">
      <c r="B7257" s="14" t="s">
        <v>35639</v>
      </c>
      <c r="C7257" s="4" t="s">
        <v>35640</v>
      </c>
      <c r="D7257" s="4" t="s">
        <v>35641</v>
      </c>
      <c r="E7257" s="4" t="s">
        <v>35642</v>
      </c>
      <c r="F7257" s="4" t="s">
        <v>485</v>
      </c>
      <c r="G7257" s="4" t="s">
        <v>35643</v>
      </c>
    </row>
    <row r="7258" ht="14.25">
      <c r="B7258" s="14" t="s">
        <v>35644</v>
      </c>
      <c r="C7258" s="4" t="s">
        <v>35645</v>
      </c>
      <c r="D7258" s="4" t="s">
        <v>35646</v>
      </c>
      <c r="E7258" s="6"/>
      <c r="F7258" s="4" t="s">
        <v>4012</v>
      </c>
      <c r="G7258" s="4" t="s">
        <v>35647</v>
      </c>
    </row>
    <row r="7259" ht="14.25">
      <c r="B7259" s="14" t="s">
        <v>35648</v>
      </c>
      <c r="C7259" s="4" t="s">
        <v>35649</v>
      </c>
      <c r="D7259" s="4" t="s">
        <v>35650</v>
      </c>
      <c r="E7259" s="6"/>
      <c r="F7259" s="4" t="s">
        <v>808</v>
      </c>
      <c r="G7259" s="4" t="s">
        <v>35651</v>
      </c>
    </row>
    <row r="7260" ht="14.25">
      <c r="B7260" s="14" t="s">
        <v>35652</v>
      </c>
      <c r="C7260" s="4" t="s">
        <v>35653</v>
      </c>
      <c r="D7260" s="4" t="s">
        <v>35654</v>
      </c>
      <c r="E7260" s="6"/>
      <c r="F7260" s="4" t="s">
        <v>6634</v>
      </c>
      <c r="G7260" s="4" t="s">
        <v>35655</v>
      </c>
    </row>
    <row r="7261" ht="14.25">
      <c r="B7261" s="14" t="s">
        <v>35656</v>
      </c>
      <c r="C7261" s="4" t="s">
        <v>35657</v>
      </c>
      <c r="D7261" s="4" t="s">
        <v>35658</v>
      </c>
      <c r="E7261" s="4" t="s">
        <v>35659</v>
      </c>
      <c r="F7261" s="4" t="s">
        <v>76</v>
      </c>
      <c r="G7261" s="4" t="s">
        <v>35660</v>
      </c>
    </row>
    <row r="7262" ht="14.25">
      <c r="B7262" s="14" t="s">
        <v>35656</v>
      </c>
      <c r="C7262" s="4" t="s">
        <v>35657</v>
      </c>
      <c r="D7262" s="4" t="s">
        <v>35661</v>
      </c>
      <c r="E7262" s="4" t="s">
        <v>35659</v>
      </c>
      <c r="F7262" s="4" t="s">
        <v>679</v>
      </c>
      <c r="G7262" s="4" t="s">
        <v>35662</v>
      </c>
    </row>
    <row r="7263" ht="14.25">
      <c r="B7263" s="14" t="s">
        <v>35656</v>
      </c>
      <c r="C7263" s="4" t="s">
        <v>35657</v>
      </c>
      <c r="D7263" s="4" t="s">
        <v>35663</v>
      </c>
      <c r="E7263" s="4" t="s">
        <v>35659</v>
      </c>
      <c r="F7263" s="4" t="s">
        <v>33084</v>
      </c>
      <c r="G7263" s="4" t="s">
        <v>35664</v>
      </c>
    </row>
    <row r="7264" ht="14.25">
      <c r="B7264" s="14" t="s">
        <v>35665</v>
      </c>
      <c r="C7264" s="4" t="s">
        <v>35666</v>
      </c>
      <c r="D7264" s="4" t="s">
        <v>35667</v>
      </c>
      <c r="E7264" s="4" t="s">
        <v>35668</v>
      </c>
      <c r="F7264" s="4" t="s">
        <v>6356</v>
      </c>
      <c r="G7264" s="4" t="s">
        <v>35669</v>
      </c>
    </row>
    <row r="7265" ht="14.25">
      <c r="B7265" s="14" t="s">
        <v>35670</v>
      </c>
      <c r="C7265" s="4" t="s">
        <v>35671</v>
      </c>
      <c r="D7265" s="4" t="s">
        <v>35672</v>
      </c>
      <c r="E7265" s="4" t="s">
        <v>35673</v>
      </c>
      <c r="F7265" s="4" t="s">
        <v>6923</v>
      </c>
      <c r="G7265" s="4" t="s">
        <v>35674</v>
      </c>
    </row>
    <row r="7266" ht="14.25">
      <c r="B7266" s="14" t="s">
        <v>35675</v>
      </c>
      <c r="C7266" s="4" t="s">
        <v>35676</v>
      </c>
      <c r="D7266" s="4" t="s">
        <v>35677</v>
      </c>
      <c r="E7266" s="6"/>
      <c r="F7266" s="4" t="s">
        <v>4026</v>
      </c>
      <c r="G7266" s="4" t="s">
        <v>35678</v>
      </c>
    </row>
    <row r="7267" ht="14.25">
      <c r="B7267" s="14" t="s">
        <v>35679</v>
      </c>
      <c r="C7267" s="4" t="s">
        <v>35680</v>
      </c>
      <c r="D7267" s="4" t="s">
        <v>35681</v>
      </c>
      <c r="E7267" s="6"/>
      <c r="F7267" s="4" t="s">
        <v>32622</v>
      </c>
      <c r="G7267" s="4" t="s">
        <v>35682</v>
      </c>
    </row>
    <row r="7268" ht="14.25">
      <c r="B7268" s="14" t="s">
        <v>35683</v>
      </c>
      <c r="C7268" s="4" t="s">
        <v>35684</v>
      </c>
      <c r="D7268" s="4" t="s">
        <v>35685</v>
      </c>
      <c r="E7268" s="6"/>
      <c r="F7268" s="4" t="s">
        <v>76</v>
      </c>
      <c r="G7268" s="4" t="s">
        <v>34959</v>
      </c>
    </row>
    <row r="7269" ht="14.25">
      <c r="B7269" s="14" t="s">
        <v>35683</v>
      </c>
      <c r="C7269" s="4" t="s">
        <v>35684</v>
      </c>
      <c r="D7269" s="4" t="s">
        <v>35686</v>
      </c>
      <c r="E7269" s="4" t="s">
        <v>35685</v>
      </c>
      <c r="F7269" s="4" t="s">
        <v>255</v>
      </c>
      <c r="G7269" s="4" t="s">
        <v>35687</v>
      </c>
    </row>
    <row r="7270" ht="14.25">
      <c r="B7270" s="14" t="s">
        <v>35683</v>
      </c>
      <c r="C7270" s="4" t="s">
        <v>35688</v>
      </c>
      <c r="D7270" s="4" t="s">
        <v>35689</v>
      </c>
      <c r="E7270" s="6"/>
      <c r="F7270" s="4" t="s">
        <v>35690</v>
      </c>
      <c r="G7270" s="4" t="s">
        <v>35691</v>
      </c>
    </row>
    <row r="7271" ht="14.25">
      <c r="B7271" s="14" t="s">
        <v>35692</v>
      </c>
      <c r="C7271" s="4" t="s">
        <v>35693</v>
      </c>
      <c r="D7271" s="4" t="s">
        <v>35694</v>
      </c>
      <c r="E7271" s="4" t="s">
        <v>35695</v>
      </c>
      <c r="F7271" s="4" t="s">
        <v>34878</v>
      </c>
      <c r="G7271" s="4" t="s">
        <v>32868</v>
      </c>
    </row>
    <row r="7272" ht="14.25">
      <c r="B7272" s="14" t="s">
        <v>35692</v>
      </c>
      <c r="C7272" s="4" t="s">
        <v>35693</v>
      </c>
      <c r="D7272" s="4" t="s">
        <v>35696</v>
      </c>
      <c r="E7272" s="4" t="s">
        <v>35695</v>
      </c>
      <c r="F7272" s="4" t="s">
        <v>35697</v>
      </c>
      <c r="G7272" s="4" t="s">
        <v>35698</v>
      </c>
    </row>
    <row r="7273" ht="14.25">
      <c r="B7273" s="14" t="s">
        <v>35692</v>
      </c>
      <c r="C7273" s="4" t="s">
        <v>35693</v>
      </c>
      <c r="D7273" s="4" t="s">
        <v>35699</v>
      </c>
      <c r="E7273" s="4" t="s">
        <v>35695</v>
      </c>
      <c r="F7273" s="4" t="s">
        <v>1027</v>
      </c>
      <c r="G7273" s="4" t="s">
        <v>33251</v>
      </c>
    </row>
    <row r="7274" ht="14.25">
      <c r="B7274" s="14" t="s">
        <v>35692</v>
      </c>
      <c r="C7274" s="4" t="s">
        <v>35693</v>
      </c>
      <c r="D7274" s="4" t="s">
        <v>35700</v>
      </c>
      <c r="E7274" s="4" t="s">
        <v>35695</v>
      </c>
      <c r="F7274" s="4" t="s">
        <v>2419</v>
      </c>
      <c r="G7274" s="4" t="s">
        <v>34506</v>
      </c>
    </row>
    <row r="7275" ht="14.25">
      <c r="B7275" s="14" t="s">
        <v>35692</v>
      </c>
      <c r="C7275" s="4" t="s">
        <v>35693</v>
      </c>
      <c r="D7275" s="4" t="s">
        <v>35701</v>
      </c>
      <c r="E7275" s="4" t="s">
        <v>35695</v>
      </c>
      <c r="F7275" s="4" t="s">
        <v>17867</v>
      </c>
      <c r="G7275" s="4" t="s">
        <v>35702</v>
      </c>
    </row>
    <row r="7276" ht="14.25">
      <c r="B7276" s="14" t="s">
        <v>35692</v>
      </c>
      <c r="C7276" s="4" t="s">
        <v>35693</v>
      </c>
      <c r="D7276" s="4" t="s">
        <v>35703</v>
      </c>
      <c r="E7276" s="4" t="s">
        <v>35695</v>
      </c>
      <c r="F7276" s="4" t="s">
        <v>33644</v>
      </c>
      <c r="G7276" s="4" t="s">
        <v>35704</v>
      </c>
    </row>
    <row r="7277" ht="14.25">
      <c r="B7277" s="14" t="s">
        <v>35692</v>
      </c>
      <c r="C7277" s="4" t="s">
        <v>35693</v>
      </c>
      <c r="D7277" s="4" t="s">
        <v>35705</v>
      </c>
      <c r="E7277" s="4" t="s">
        <v>35695</v>
      </c>
      <c r="F7277" s="4" t="s">
        <v>1153</v>
      </c>
      <c r="G7277" s="4" t="s">
        <v>34506</v>
      </c>
    </row>
    <row r="7278" ht="14.25">
      <c r="B7278" s="14" t="s">
        <v>35692</v>
      </c>
      <c r="C7278" s="4" t="s">
        <v>35693</v>
      </c>
      <c r="D7278" s="4" t="s">
        <v>35706</v>
      </c>
      <c r="E7278" s="4" t="s">
        <v>35695</v>
      </c>
      <c r="F7278" s="4" t="s">
        <v>8977</v>
      </c>
      <c r="G7278" s="4" t="s">
        <v>35707</v>
      </c>
    </row>
    <row r="7279" ht="14.25">
      <c r="B7279" s="14" t="s">
        <v>35708</v>
      </c>
      <c r="C7279" s="4" t="s">
        <v>35709</v>
      </c>
      <c r="D7279" s="4" t="s">
        <v>35710</v>
      </c>
      <c r="E7279" s="4" t="s">
        <v>35711</v>
      </c>
      <c r="F7279" s="4" t="s">
        <v>485</v>
      </c>
      <c r="G7279" s="4" t="s">
        <v>35712</v>
      </c>
    </row>
    <row r="7280" ht="14.25">
      <c r="B7280" s="14" t="s">
        <v>35708</v>
      </c>
      <c r="C7280" s="4" t="s">
        <v>35709</v>
      </c>
      <c r="D7280" s="4" t="s">
        <v>35711</v>
      </c>
      <c r="E7280" s="6"/>
      <c r="F7280" s="4" t="s">
        <v>1153</v>
      </c>
      <c r="G7280" s="4" t="s">
        <v>35713</v>
      </c>
    </row>
    <row r="7281" ht="14.25">
      <c r="B7281" s="14" t="s">
        <v>35714</v>
      </c>
      <c r="C7281" s="4" t="s">
        <v>35715</v>
      </c>
      <c r="D7281" s="4" t="s">
        <v>35716</v>
      </c>
      <c r="E7281" s="4" t="s">
        <v>35717</v>
      </c>
      <c r="F7281" s="4" t="s">
        <v>679</v>
      </c>
      <c r="G7281" s="4" t="s">
        <v>35718</v>
      </c>
    </row>
    <row r="7282" ht="14.25">
      <c r="B7282" s="14" t="s">
        <v>35719</v>
      </c>
      <c r="C7282" s="4" t="s">
        <v>35720</v>
      </c>
      <c r="D7282" s="4" t="s">
        <v>35721</v>
      </c>
      <c r="E7282" s="4" t="s">
        <v>35722</v>
      </c>
      <c r="F7282" s="4" t="s">
        <v>255</v>
      </c>
      <c r="G7282" s="4" t="s">
        <v>35723</v>
      </c>
    </row>
    <row r="7283" ht="14.25">
      <c r="B7283" s="14" t="s">
        <v>35724</v>
      </c>
      <c r="C7283" s="4" t="s">
        <v>35725</v>
      </c>
      <c r="D7283" s="4" t="s">
        <v>35726</v>
      </c>
      <c r="E7283" s="4" t="s">
        <v>35727</v>
      </c>
      <c r="F7283" s="4" t="s">
        <v>35728</v>
      </c>
      <c r="G7283" s="4" t="s">
        <v>35729</v>
      </c>
    </row>
    <row r="7284" ht="14.25">
      <c r="B7284" s="14" t="s">
        <v>35730</v>
      </c>
      <c r="C7284" s="4" t="s">
        <v>35731</v>
      </c>
      <c r="D7284" s="4" t="s">
        <v>35732</v>
      </c>
      <c r="E7284" s="4" t="s">
        <v>35733</v>
      </c>
      <c r="F7284" s="4" t="s">
        <v>1571</v>
      </c>
      <c r="G7284" s="4" t="s">
        <v>35734</v>
      </c>
    </row>
    <row r="7285" ht="14.25">
      <c r="B7285" s="14" t="s">
        <v>35735</v>
      </c>
      <c r="C7285" s="4" t="s">
        <v>35736</v>
      </c>
      <c r="D7285" s="4" t="s">
        <v>35737</v>
      </c>
      <c r="E7285" s="4" t="s">
        <v>35738</v>
      </c>
      <c r="F7285" s="4" t="s">
        <v>33923</v>
      </c>
      <c r="G7285" s="4" t="s">
        <v>35739</v>
      </c>
    </row>
    <row r="7286" ht="14.25">
      <c r="B7286" s="14" t="s">
        <v>35735</v>
      </c>
      <c r="C7286" s="4" t="s">
        <v>35736</v>
      </c>
      <c r="D7286" s="4" t="s">
        <v>35740</v>
      </c>
      <c r="E7286" s="4" t="s">
        <v>35738</v>
      </c>
      <c r="F7286" s="4" t="s">
        <v>3164</v>
      </c>
      <c r="G7286" s="4" t="s">
        <v>35741</v>
      </c>
    </row>
    <row r="7287" ht="14.25">
      <c r="B7287" s="14" t="s">
        <v>35735</v>
      </c>
      <c r="C7287" s="4" t="s">
        <v>35736</v>
      </c>
      <c r="D7287" s="4" t="s">
        <v>35742</v>
      </c>
      <c r="E7287" s="4" t="s">
        <v>35738</v>
      </c>
      <c r="F7287" s="4" t="s">
        <v>1324</v>
      </c>
      <c r="G7287" s="4" t="s">
        <v>35743</v>
      </c>
    </row>
    <row r="7288" ht="14.25">
      <c r="B7288" s="14" t="s">
        <v>35735</v>
      </c>
      <c r="C7288" s="4" t="s">
        <v>35736</v>
      </c>
      <c r="D7288" s="4" t="s">
        <v>35744</v>
      </c>
      <c r="E7288" s="4" t="s">
        <v>35738</v>
      </c>
      <c r="F7288" s="4" t="s">
        <v>363</v>
      </c>
      <c r="G7288" s="4" t="s">
        <v>35745</v>
      </c>
    </row>
    <row r="7289" ht="14.25">
      <c r="B7289" s="14" t="s">
        <v>35735</v>
      </c>
      <c r="C7289" s="4" t="s">
        <v>35736</v>
      </c>
      <c r="D7289" s="4" t="s">
        <v>35746</v>
      </c>
      <c r="E7289" s="4" t="s">
        <v>35738</v>
      </c>
      <c r="F7289" s="4" t="s">
        <v>485</v>
      </c>
      <c r="G7289" s="4" t="s">
        <v>35747</v>
      </c>
    </row>
    <row r="7290" ht="14.25">
      <c r="B7290" s="14" t="s">
        <v>35748</v>
      </c>
      <c r="C7290" s="4" t="s">
        <v>35749</v>
      </c>
      <c r="D7290" s="4" t="s">
        <v>35750</v>
      </c>
      <c r="E7290" s="4" t="s">
        <v>35751</v>
      </c>
      <c r="F7290" s="4" t="s">
        <v>35752</v>
      </c>
      <c r="G7290" s="4" t="s">
        <v>35753</v>
      </c>
    </row>
    <row r="7291" ht="14.25">
      <c r="B7291" s="14" t="s">
        <v>35754</v>
      </c>
      <c r="C7291" s="4" t="s">
        <v>35755</v>
      </c>
      <c r="D7291" s="4" t="s">
        <v>35756</v>
      </c>
      <c r="E7291" s="6"/>
      <c r="F7291" s="4" t="s">
        <v>76</v>
      </c>
      <c r="G7291" s="4" t="s">
        <v>33843</v>
      </c>
    </row>
    <row r="7292" ht="14.25">
      <c r="B7292" s="14" t="s">
        <v>35754</v>
      </c>
      <c r="C7292" s="4" t="s">
        <v>35755</v>
      </c>
      <c r="D7292" s="4" t="s">
        <v>35757</v>
      </c>
      <c r="E7292" s="4" t="s">
        <v>35756</v>
      </c>
      <c r="F7292" s="4" t="s">
        <v>35758</v>
      </c>
      <c r="G7292" s="4" t="s">
        <v>35759</v>
      </c>
    </row>
    <row r="7293" ht="14.25">
      <c r="B7293" s="14" t="s">
        <v>35754</v>
      </c>
      <c r="C7293" s="4" t="s">
        <v>35755</v>
      </c>
      <c r="D7293" s="4" t="s">
        <v>35760</v>
      </c>
      <c r="E7293" s="4" t="s">
        <v>35756</v>
      </c>
      <c r="F7293" s="4" t="s">
        <v>525</v>
      </c>
      <c r="G7293" s="4" t="s">
        <v>35761</v>
      </c>
    </row>
    <row r="7294" ht="14.25">
      <c r="B7294" s="14" t="s">
        <v>35762</v>
      </c>
      <c r="C7294" s="4" t="s">
        <v>35763</v>
      </c>
      <c r="D7294" s="4" t="s">
        <v>35764</v>
      </c>
      <c r="E7294" s="6"/>
      <c r="F7294" s="4" t="s">
        <v>5716</v>
      </c>
      <c r="G7294" s="4" t="s">
        <v>33721</v>
      </c>
    </row>
    <row r="7295" ht="14.25">
      <c r="B7295" s="14" t="s">
        <v>35765</v>
      </c>
      <c r="C7295" s="4" t="s">
        <v>35766</v>
      </c>
      <c r="D7295" s="4" t="s">
        <v>35767</v>
      </c>
      <c r="E7295" s="4" t="s">
        <v>35768</v>
      </c>
      <c r="F7295" s="4" t="s">
        <v>8049</v>
      </c>
      <c r="G7295" s="4" t="s">
        <v>35769</v>
      </c>
    </row>
    <row r="7296" ht="14.25">
      <c r="B7296" s="14" t="s">
        <v>35765</v>
      </c>
      <c r="C7296" s="4" t="s">
        <v>35766</v>
      </c>
      <c r="D7296" s="4" t="s">
        <v>35770</v>
      </c>
      <c r="E7296" s="4" t="s">
        <v>35768</v>
      </c>
      <c r="F7296" s="4" t="s">
        <v>2119</v>
      </c>
      <c r="G7296" s="4" t="s">
        <v>35771</v>
      </c>
    </row>
    <row r="7297" ht="14.25">
      <c r="B7297" s="14" t="s">
        <v>35765</v>
      </c>
      <c r="C7297" s="4" t="s">
        <v>35766</v>
      </c>
      <c r="D7297" s="4" t="s">
        <v>35772</v>
      </c>
      <c r="E7297" s="4" t="s">
        <v>35768</v>
      </c>
      <c r="F7297" s="4" t="s">
        <v>785</v>
      </c>
      <c r="G7297" s="4" t="s">
        <v>35773</v>
      </c>
    </row>
    <row r="7298" ht="14.25">
      <c r="B7298" s="14" t="s">
        <v>35774</v>
      </c>
      <c r="C7298" s="4" t="s">
        <v>35775</v>
      </c>
      <c r="D7298" s="4" t="s">
        <v>35776</v>
      </c>
      <c r="E7298" s="4" t="s">
        <v>35777</v>
      </c>
      <c r="F7298" s="4" t="s">
        <v>2652</v>
      </c>
      <c r="G7298" s="4" t="s">
        <v>35778</v>
      </c>
    </row>
    <row r="7299" ht="14.25">
      <c r="B7299" s="14" t="s">
        <v>35774</v>
      </c>
      <c r="C7299" s="4" t="s">
        <v>35775</v>
      </c>
      <c r="D7299" s="4" t="s">
        <v>35779</v>
      </c>
      <c r="E7299" s="4" t="s">
        <v>35777</v>
      </c>
      <c r="F7299" s="4" t="s">
        <v>32616</v>
      </c>
      <c r="G7299" s="4" t="s">
        <v>35780</v>
      </c>
    </row>
    <row r="7300" ht="14.25">
      <c r="B7300" s="14" t="s">
        <v>35774</v>
      </c>
      <c r="C7300" s="4" t="s">
        <v>35775</v>
      </c>
      <c r="D7300" s="4" t="s">
        <v>35781</v>
      </c>
      <c r="E7300" s="4" t="s">
        <v>35777</v>
      </c>
      <c r="F7300" s="4" t="s">
        <v>1999</v>
      </c>
      <c r="G7300" s="4" t="s">
        <v>35081</v>
      </c>
    </row>
    <row r="7301" ht="14.25">
      <c r="B7301" s="14" t="s">
        <v>35774</v>
      </c>
      <c r="C7301" s="4" t="s">
        <v>35775</v>
      </c>
      <c r="D7301" s="4" t="s">
        <v>35782</v>
      </c>
      <c r="E7301" s="4" t="s">
        <v>35777</v>
      </c>
      <c r="F7301" s="4" t="s">
        <v>955</v>
      </c>
      <c r="G7301" s="4" t="s">
        <v>35783</v>
      </c>
    </row>
    <row r="7302" ht="14.25">
      <c r="B7302" s="14" t="s">
        <v>35784</v>
      </c>
      <c r="C7302" s="4" t="s">
        <v>35785</v>
      </c>
      <c r="D7302" s="4" t="s">
        <v>35786</v>
      </c>
      <c r="E7302" s="4" t="s">
        <v>35787</v>
      </c>
      <c r="F7302" s="4" t="s">
        <v>35481</v>
      </c>
      <c r="G7302" s="4" t="s">
        <v>35788</v>
      </c>
    </row>
    <row r="7303" ht="14.25">
      <c r="B7303" s="14" t="s">
        <v>35784</v>
      </c>
      <c r="C7303" s="4" t="s">
        <v>35785</v>
      </c>
      <c r="D7303" s="4" t="s">
        <v>35789</v>
      </c>
      <c r="E7303" s="4" t="s">
        <v>35787</v>
      </c>
      <c r="F7303" s="4" t="s">
        <v>7525</v>
      </c>
      <c r="G7303" s="4" t="s">
        <v>35790</v>
      </c>
    </row>
    <row r="7304" ht="14.25">
      <c r="B7304" s="14" t="s">
        <v>35791</v>
      </c>
      <c r="C7304" s="4" t="s">
        <v>35792</v>
      </c>
      <c r="D7304" s="4" t="s">
        <v>35793</v>
      </c>
      <c r="E7304" s="4" t="s">
        <v>35794</v>
      </c>
      <c r="F7304" s="4" t="s">
        <v>9479</v>
      </c>
      <c r="G7304" s="4" t="s">
        <v>35795</v>
      </c>
    </row>
    <row r="7305" ht="14.25">
      <c r="B7305" s="14" t="s">
        <v>35791</v>
      </c>
      <c r="C7305" s="4" t="s">
        <v>35792</v>
      </c>
      <c r="D7305" s="4" t="s">
        <v>35796</v>
      </c>
      <c r="E7305" s="4" t="s">
        <v>35794</v>
      </c>
      <c r="F7305" s="4" t="s">
        <v>32706</v>
      </c>
      <c r="G7305" s="4" t="s">
        <v>35797</v>
      </c>
    </row>
    <row r="7306" ht="14.25">
      <c r="B7306" s="14" t="s">
        <v>35791</v>
      </c>
      <c r="C7306" s="4" t="s">
        <v>35792</v>
      </c>
      <c r="D7306" s="4" t="s">
        <v>35798</v>
      </c>
      <c r="E7306" s="4" t="s">
        <v>35794</v>
      </c>
      <c r="F7306" s="4" t="s">
        <v>32891</v>
      </c>
      <c r="G7306" s="4" t="s">
        <v>35799</v>
      </c>
    </row>
    <row r="7307" ht="14.25">
      <c r="B7307" s="14" t="s">
        <v>35791</v>
      </c>
      <c r="C7307" s="4" t="s">
        <v>35792</v>
      </c>
      <c r="D7307" s="4" t="s">
        <v>35800</v>
      </c>
      <c r="E7307" s="4" t="s">
        <v>35794</v>
      </c>
      <c r="F7307" s="4" t="s">
        <v>6634</v>
      </c>
      <c r="G7307" s="4" t="s">
        <v>35801</v>
      </c>
    </row>
    <row r="7308" ht="14.25">
      <c r="B7308" s="14" t="s">
        <v>35791</v>
      </c>
      <c r="C7308" s="4" t="s">
        <v>35792</v>
      </c>
      <c r="D7308" s="4" t="s">
        <v>35802</v>
      </c>
      <c r="E7308" s="4" t="s">
        <v>35794</v>
      </c>
      <c r="F7308" s="4" t="s">
        <v>355</v>
      </c>
      <c r="G7308" s="4" t="s">
        <v>35803</v>
      </c>
    </row>
    <row r="7309" ht="14.25">
      <c r="B7309" s="14" t="s">
        <v>35791</v>
      </c>
      <c r="C7309" s="4" t="s">
        <v>35792</v>
      </c>
      <c r="D7309" s="4" t="s">
        <v>35804</v>
      </c>
      <c r="E7309" s="4" t="s">
        <v>35794</v>
      </c>
      <c r="F7309" s="4" t="s">
        <v>874</v>
      </c>
      <c r="G7309" s="4" t="s">
        <v>35805</v>
      </c>
    </row>
    <row r="7310" ht="14.25">
      <c r="B7310" s="14" t="s">
        <v>35791</v>
      </c>
      <c r="C7310" s="4" t="s">
        <v>35792</v>
      </c>
      <c r="D7310" s="4" t="s">
        <v>35806</v>
      </c>
      <c r="E7310" s="4" t="s">
        <v>35794</v>
      </c>
      <c r="F7310" s="4" t="s">
        <v>6931</v>
      </c>
      <c r="G7310" s="4" t="s">
        <v>35807</v>
      </c>
    </row>
    <row r="7311" ht="14.25">
      <c r="B7311" s="14" t="s">
        <v>35808</v>
      </c>
      <c r="C7311" s="4" t="s">
        <v>35809</v>
      </c>
      <c r="D7311" s="4" t="s">
        <v>35810</v>
      </c>
      <c r="E7311" s="4" t="s">
        <v>35811</v>
      </c>
      <c r="F7311" s="4" t="s">
        <v>35812</v>
      </c>
      <c r="G7311" s="4" t="s">
        <v>33490</v>
      </c>
    </row>
    <row r="7312" ht="14.25">
      <c r="B7312" s="14" t="s">
        <v>35813</v>
      </c>
      <c r="C7312" s="4" t="s">
        <v>35814</v>
      </c>
      <c r="D7312" s="4" t="s">
        <v>35815</v>
      </c>
      <c r="E7312" s="4" t="s">
        <v>35816</v>
      </c>
      <c r="F7312" s="4" t="s">
        <v>76</v>
      </c>
      <c r="G7312" s="4" t="s">
        <v>35817</v>
      </c>
    </row>
    <row r="7313" ht="14.25">
      <c r="B7313" s="14" t="s">
        <v>35813</v>
      </c>
      <c r="C7313" s="4" t="s">
        <v>35814</v>
      </c>
      <c r="D7313" s="4" t="s">
        <v>35818</v>
      </c>
      <c r="E7313" s="4" t="s">
        <v>35816</v>
      </c>
      <c r="F7313" s="4" t="s">
        <v>33084</v>
      </c>
      <c r="G7313" s="4" t="s">
        <v>35819</v>
      </c>
    </row>
    <row r="7314" ht="14.25">
      <c r="B7314" s="14" t="s">
        <v>35813</v>
      </c>
      <c r="C7314" s="4" t="s">
        <v>35814</v>
      </c>
      <c r="D7314" s="4" t="s">
        <v>35820</v>
      </c>
      <c r="E7314" s="4" t="s">
        <v>35816</v>
      </c>
      <c r="F7314" s="4" t="s">
        <v>32548</v>
      </c>
      <c r="G7314" s="4" t="s">
        <v>35821</v>
      </c>
    </row>
    <row r="7315" ht="14.25">
      <c r="B7315" s="14" t="s">
        <v>35813</v>
      </c>
      <c r="C7315" s="4" t="s">
        <v>35822</v>
      </c>
      <c r="D7315" s="4" t="s">
        <v>35823</v>
      </c>
      <c r="E7315" s="4" t="s">
        <v>35824</v>
      </c>
      <c r="F7315" s="4" t="s">
        <v>134</v>
      </c>
      <c r="G7315" s="4" t="s">
        <v>35780</v>
      </c>
    </row>
    <row r="7316" ht="14.25">
      <c r="B7316" s="14" t="s">
        <v>35825</v>
      </c>
      <c r="C7316" s="4" t="s">
        <v>35826</v>
      </c>
      <c r="D7316" s="4" t="s">
        <v>35827</v>
      </c>
      <c r="E7316" s="4" t="s">
        <v>35828</v>
      </c>
      <c r="F7316" s="4" t="s">
        <v>222</v>
      </c>
      <c r="G7316" s="4" t="s">
        <v>35829</v>
      </c>
    </row>
    <row r="7317" ht="14.25">
      <c r="B7317" s="14" t="s">
        <v>35830</v>
      </c>
      <c r="C7317" s="4" t="s">
        <v>35831</v>
      </c>
      <c r="D7317" s="4" t="s">
        <v>35832</v>
      </c>
      <c r="E7317" s="6"/>
      <c r="F7317" s="4" t="s">
        <v>630</v>
      </c>
      <c r="G7317" s="4" t="s">
        <v>35833</v>
      </c>
    </row>
    <row r="7318" ht="14.25">
      <c r="B7318" s="14" t="s">
        <v>35834</v>
      </c>
      <c r="C7318" s="4" t="s">
        <v>35835</v>
      </c>
      <c r="D7318" s="4" t="s">
        <v>35836</v>
      </c>
      <c r="E7318" s="6"/>
      <c r="F7318" s="4" t="s">
        <v>35837</v>
      </c>
      <c r="G7318" s="4" t="s">
        <v>35838</v>
      </c>
    </row>
    <row r="7319" ht="14.25">
      <c r="B7319" s="14" t="s">
        <v>35834</v>
      </c>
      <c r="C7319" s="4" t="s">
        <v>35839</v>
      </c>
      <c r="D7319" s="4" t="s">
        <v>35840</v>
      </c>
      <c r="E7319" s="4" t="s">
        <v>35841</v>
      </c>
      <c r="F7319" s="4" t="s">
        <v>35842</v>
      </c>
      <c r="G7319" s="4" t="s">
        <v>290</v>
      </c>
    </row>
    <row r="7320" ht="14.25">
      <c r="B7320" s="14" t="s">
        <v>35834</v>
      </c>
      <c r="C7320" s="4" t="s">
        <v>35843</v>
      </c>
      <c r="D7320" s="4" t="s">
        <v>35844</v>
      </c>
      <c r="E7320" s="6"/>
      <c r="F7320" s="4" t="s">
        <v>35845</v>
      </c>
      <c r="G7320" s="4" t="s">
        <v>35846</v>
      </c>
    </row>
    <row r="7321" ht="14.25">
      <c r="B7321" s="14" t="s">
        <v>35834</v>
      </c>
      <c r="C7321" s="4" t="s">
        <v>35839</v>
      </c>
      <c r="D7321" s="4" t="s">
        <v>35847</v>
      </c>
      <c r="E7321" s="4" t="s">
        <v>35841</v>
      </c>
      <c r="F7321" s="4" t="s">
        <v>32701</v>
      </c>
      <c r="G7321" s="4" t="s">
        <v>35848</v>
      </c>
    </row>
    <row r="7322" ht="14.25">
      <c r="B7322" s="14" t="s">
        <v>35834</v>
      </c>
      <c r="C7322" s="4" t="s">
        <v>35839</v>
      </c>
      <c r="D7322" s="4" t="s">
        <v>35849</v>
      </c>
      <c r="E7322" s="4" t="s">
        <v>35841</v>
      </c>
      <c r="F7322" s="4" t="s">
        <v>32548</v>
      </c>
      <c r="G7322" s="4" t="s">
        <v>35848</v>
      </c>
    </row>
    <row r="7323" ht="14.25">
      <c r="B7323" s="14" t="s">
        <v>35834</v>
      </c>
      <c r="C7323" s="4" t="s">
        <v>35850</v>
      </c>
      <c r="D7323" s="4" t="s">
        <v>35851</v>
      </c>
      <c r="E7323" s="6"/>
      <c r="F7323" s="4" t="s">
        <v>808</v>
      </c>
      <c r="G7323" s="4" t="s">
        <v>35852</v>
      </c>
    </row>
    <row r="7324" ht="14.25">
      <c r="B7324" s="14" t="s">
        <v>35834</v>
      </c>
      <c r="C7324" s="4" t="s">
        <v>35853</v>
      </c>
      <c r="D7324" s="4" t="s">
        <v>35854</v>
      </c>
      <c r="E7324" s="6"/>
      <c r="F7324" s="4" t="s">
        <v>571</v>
      </c>
      <c r="G7324" s="4" t="s">
        <v>35855</v>
      </c>
    </row>
    <row r="7325" ht="14.25">
      <c r="B7325" s="14" t="s">
        <v>35834</v>
      </c>
      <c r="C7325" s="4" t="s">
        <v>35856</v>
      </c>
      <c r="D7325" s="4" t="s">
        <v>35857</v>
      </c>
      <c r="E7325" s="4" t="s">
        <v>35858</v>
      </c>
      <c r="F7325" s="4" t="s">
        <v>10123</v>
      </c>
      <c r="G7325" s="4" t="s">
        <v>4961</v>
      </c>
    </row>
    <row r="7326" ht="14.25">
      <c r="B7326" s="14" t="s">
        <v>35834</v>
      </c>
      <c r="C7326" s="4" t="s">
        <v>35859</v>
      </c>
      <c r="D7326" s="4" t="s">
        <v>35860</v>
      </c>
      <c r="E7326" s="4" t="s">
        <v>35861</v>
      </c>
      <c r="F7326" s="4" t="s">
        <v>4800</v>
      </c>
      <c r="G7326" s="4" t="s">
        <v>35862</v>
      </c>
    </row>
    <row r="7327" ht="14.25">
      <c r="B7327" s="14" t="s">
        <v>35863</v>
      </c>
      <c r="C7327" s="4" t="s">
        <v>35864</v>
      </c>
      <c r="D7327" s="4" t="s">
        <v>35865</v>
      </c>
      <c r="E7327" s="4" t="s">
        <v>35866</v>
      </c>
      <c r="F7327" s="4" t="s">
        <v>1215</v>
      </c>
      <c r="G7327" s="4" t="s">
        <v>32551</v>
      </c>
    </row>
    <row r="7328" ht="14.25">
      <c r="B7328" s="14" t="s">
        <v>35867</v>
      </c>
      <c r="C7328" s="4" t="s">
        <v>35868</v>
      </c>
      <c r="D7328" s="4" t="s">
        <v>35869</v>
      </c>
      <c r="E7328" s="4" t="s">
        <v>35870</v>
      </c>
      <c r="F7328" s="4" t="s">
        <v>330</v>
      </c>
      <c r="G7328" s="4" t="s">
        <v>35871</v>
      </c>
    </row>
    <row r="7329" ht="14.25">
      <c r="B7329" s="14" t="s">
        <v>35867</v>
      </c>
      <c r="C7329" s="4" t="s">
        <v>35872</v>
      </c>
      <c r="D7329" s="4" t="s">
        <v>35873</v>
      </c>
      <c r="E7329" s="6"/>
      <c r="F7329" s="4" t="s">
        <v>33264</v>
      </c>
      <c r="G7329" s="4" t="s">
        <v>34767</v>
      </c>
    </row>
    <row r="7330" ht="14.25">
      <c r="B7330" s="14" t="s">
        <v>35874</v>
      </c>
      <c r="C7330" s="4" t="s">
        <v>35875</v>
      </c>
      <c r="D7330" s="4" t="s">
        <v>35876</v>
      </c>
      <c r="E7330" s="4" t="s">
        <v>35877</v>
      </c>
      <c r="F7330" s="4" t="s">
        <v>35878</v>
      </c>
      <c r="G7330" s="4" t="s">
        <v>35879</v>
      </c>
    </row>
    <row r="7331" ht="14.25">
      <c r="B7331" s="14" t="s">
        <v>35880</v>
      </c>
      <c r="C7331" s="4" t="s">
        <v>35881</v>
      </c>
      <c r="D7331" s="4" t="s">
        <v>35882</v>
      </c>
      <c r="E7331" s="4" t="s">
        <v>35883</v>
      </c>
      <c r="F7331" s="4" t="s">
        <v>35884</v>
      </c>
      <c r="G7331" s="4" t="s">
        <v>33725</v>
      </c>
    </row>
    <row r="7332" ht="14.25">
      <c r="B7332" s="14" t="s">
        <v>35880</v>
      </c>
      <c r="C7332" s="4" t="s">
        <v>35881</v>
      </c>
      <c r="D7332" s="4" t="s">
        <v>35885</v>
      </c>
      <c r="E7332" s="4" t="s">
        <v>35883</v>
      </c>
      <c r="F7332" s="4" t="s">
        <v>4969</v>
      </c>
      <c r="G7332" s="4" t="s">
        <v>35886</v>
      </c>
    </row>
    <row r="7333" ht="14.25">
      <c r="B7333" s="14" t="s">
        <v>35880</v>
      </c>
      <c r="C7333" s="4" t="s">
        <v>35881</v>
      </c>
      <c r="D7333" s="4" t="s">
        <v>35887</v>
      </c>
      <c r="E7333" s="4" t="s">
        <v>35883</v>
      </c>
      <c r="F7333" s="4" t="s">
        <v>679</v>
      </c>
      <c r="G7333" s="4" t="s">
        <v>35888</v>
      </c>
    </row>
    <row r="7334" ht="14.25">
      <c r="B7334" s="14" t="s">
        <v>35889</v>
      </c>
      <c r="C7334" s="4" t="s">
        <v>35890</v>
      </c>
      <c r="D7334" s="4" t="s">
        <v>35891</v>
      </c>
      <c r="E7334" s="4" t="s">
        <v>35892</v>
      </c>
      <c r="F7334" s="4" t="s">
        <v>33135</v>
      </c>
      <c r="G7334" s="4" t="s">
        <v>35893</v>
      </c>
    </row>
    <row r="7335" ht="14.25">
      <c r="B7335" s="14" t="s">
        <v>35894</v>
      </c>
      <c r="C7335" s="4" t="s">
        <v>35895</v>
      </c>
      <c r="D7335" s="4" t="s">
        <v>35896</v>
      </c>
      <c r="E7335" s="4" t="s">
        <v>35897</v>
      </c>
      <c r="F7335" s="4" t="s">
        <v>1732</v>
      </c>
      <c r="G7335" s="4" t="s">
        <v>35898</v>
      </c>
    </row>
    <row r="7336" ht="14.25">
      <c r="B7336" s="14" t="s">
        <v>35894</v>
      </c>
      <c r="C7336" s="4" t="s">
        <v>35895</v>
      </c>
      <c r="D7336" s="4" t="s">
        <v>35897</v>
      </c>
      <c r="E7336" s="6"/>
      <c r="F7336" s="4" t="s">
        <v>6356</v>
      </c>
      <c r="G7336" s="4" t="s">
        <v>35899</v>
      </c>
    </row>
    <row r="7337" ht="14.25">
      <c r="B7337" s="14" t="s">
        <v>35900</v>
      </c>
      <c r="C7337" s="4" t="s">
        <v>35901</v>
      </c>
      <c r="D7337" s="4" t="s">
        <v>35902</v>
      </c>
      <c r="E7337" s="6"/>
      <c r="F7337" s="4" t="s">
        <v>955</v>
      </c>
      <c r="G7337" s="4" t="s">
        <v>35903</v>
      </c>
    </row>
    <row r="7338" ht="14.25">
      <c r="B7338" s="14" t="s">
        <v>35900</v>
      </c>
      <c r="C7338" s="4" t="s">
        <v>35904</v>
      </c>
      <c r="D7338" s="4" t="s">
        <v>35905</v>
      </c>
      <c r="E7338" s="4" t="s">
        <v>35906</v>
      </c>
      <c r="F7338" s="4" t="s">
        <v>35907</v>
      </c>
      <c r="G7338" s="4" t="s">
        <v>35908</v>
      </c>
    </row>
    <row r="7339" ht="14.25">
      <c r="B7339" s="14" t="s">
        <v>35900</v>
      </c>
      <c r="C7339" s="4" t="s">
        <v>35901</v>
      </c>
      <c r="D7339" s="4" t="s">
        <v>35909</v>
      </c>
      <c r="E7339" s="4" t="s">
        <v>35902</v>
      </c>
      <c r="F7339" s="4" t="s">
        <v>4341</v>
      </c>
      <c r="G7339" s="4" t="s">
        <v>35910</v>
      </c>
    </row>
    <row r="7340" ht="14.25">
      <c r="B7340" s="14" t="s">
        <v>35911</v>
      </c>
      <c r="C7340" s="4" t="s">
        <v>35912</v>
      </c>
      <c r="D7340" s="4" t="s">
        <v>35913</v>
      </c>
      <c r="E7340" s="6"/>
      <c r="F7340" s="4" t="s">
        <v>1732</v>
      </c>
      <c r="G7340" s="4" t="s">
        <v>35914</v>
      </c>
    </row>
    <row r="7341" ht="14.25">
      <c r="B7341" s="14" t="s">
        <v>35915</v>
      </c>
      <c r="C7341" s="4" t="s">
        <v>35916</v>
      </c>
      <c r="D7341" s="4" t="s">
        <v>35917</v>
      </c>
      <c r="E7341" s="4" t="s">
        <v>35918</v>
      </c>
      <c r="F7341" s="4" t="s">
        <v>485</v>
      </c>
      <c r="G7341" s="4" t="s">
        <v>35919</v>
      </c>
    </row>
    <row r="7342" ht="14.25">
      <c r="B7342" s="14" t="s">
        <v>35915</v>
      </c>
      <c r="C7342" s="4" t="s">
        <v>35920</v>
      </c>
      <c r="D7342" s="4" t="s">
        <v>35921</v>
      </c>
      <c r="E7342" s="4" t="s">
        <v>35922</v>
      </c>
      <c r="F7342" s="4" t="s">
        <v>2436</v>
      </c>
      <c r="G7342" s="4" t="s">
        <v>34625</v>
      </c>
    </row>
    <row r="7343" ht="14.25">
      <c r="B7343" s="14" t="s">
        <v>35915</v>
      </c>
      <c r="C7343" s="4" t="s">
        <v>35920</v>
      </c>
      <c r="D7343" s="4" t="s">
        <v>35923</v>
      </c>
      <c r="E7343" s="4" t="s">
        <v>35922</v>
      </c>
      <c r="F7343" s="4" t="s">
        <v>32831</v>
      </c>
      <c r="G7343" s="4" t="s">
        <v>35924</v>
      </c>
    </row>
    <row r="7344" ht="14.25">
      <c r="B7344" s="14" t="s">
        <v>35925</v>
      </c>
      <c r="C7344" s="4" t="s">
        <v>35926</v>
      </c>
      <c r="D7344" s="4" t="s">
        <v>35927</v>
      </c>
      <c r="E7344" s="6"/>
      <c r="F7344" s="4" t="s">
        <v>32548</v>
      </c>
      <c r="G7344" s="4" t="s">
        <v>35928</v>
      </c>
    </row>
    <row r="7345" ht="14.25">
      <c r="B7345" s="14" t="s">
        <v>35929</v>
      </c>
      <c r="C7345" s="4" t="s">
        <v>35930</v>
      </c>
      <c r="D7345" s="4" t="s">
        <v>35931</v>
      </c>
      <c r="E7345" s="4" t="s">
        <v>35932</v>
      </c>
      <c r="F7345" s="4" t="s">
        <v>6356</v>
      </c>
      <c r="G7345" s="4" t="s">
        <v>35933</v>
      </c>
    </row>
    <row r="7346" ht="14.25">
      <c r="B7346" s="14" t="s">
        <v>35929</v>
      </c>
      <c r="C7346" s="4" t="s">
        <v>35930</v>
      </c>
      <c r="D7346" s="4" t="s">
        <v>35934</v>
      </c>
      <c r="E7346" s="4" t="s">
        <v>35932</v>
      </c>
      <c r="F7346" s="4" t="s">
        <v>5716</v>
      </c>
      <c r="G7346" s="4" t="s">
        <v>35935</v>
      </c>
    </row>
    <row r="7347" ht="14.25">
      <c r="B7347" s="14" t="s">
        <v>35929</v>
      </c>
      <c r="C7347" s="4" t="s">
        <v>35930</v>
      </c>
      <c r="D7347" s="4" t="s">
        <v>35932</v>
      </c>
      <c r="E7347" s="6"/>
      <c r="F7347" s="4" t="s">
        <v>986</v>
      </c>
      <c r="G7347" s="4" t="s">
        <v>35936</v>
      </c>
    </row>
    <row r="7348" ht="14.25">
      <c r="B7348" s="14" t="s">
        <v>35929</v>
      </c>
      <c r="C7348" s="4" t="s">
        <v>35930</v>
      </c>
      <c r="D7348" s="4" t="s">
        <v>35937</v>
      </c>
      <c r="E7348" s="4" t="s">
        <v>35932</v>
      </c>
      <c r="F7348" s="4" t="s">
        <v>33370</v>
      </c>
      <c r="G7348" s="4" t="s">
        <v>35938</v>
      </c>
    </row>
    <row r="7349" ht="14.25">
      <c r="B7349" s="14" t="s">
        <v>35939</v>
      </c>
      <c r="C7349" s="4" t="s">
        <v>35940</v>
      </c>
      <c r="D7349" s="4" t="s">
        <v>35941</v>
      </c>
      <c r="E7349" s="4" t="s">
        <v>35942</v>
      </c>
      <c r="F7349" s="4" t="s">
        <v>1215</v>
      </c>
      <c r="G7349" s="4" t="s">
        <v>35943</v>
      </c>
    </row>
    <row r="7350" ht="14.25">
      <c r="B7350" s="14" t="s">
        <v>35944</v>
      </c>
      <c r="C7350" s="4" t="s">
        <v>35945</v>
      </c>
      <c r="D7350" s="4" t="s">
        <v>35946</v>
      </c>
      <c r="E7350" s="4" t="s">
        <v>35947</v>
      </c>
      <c r="F7350" s="4" t="s">
        <v>35948</v>
      </c>
      <c r="G7350" s="4" t="s">
        <v>35949</v>
      </c>
    </row>
    <row r="7351" ht="14.25">
      <c r="B7351" s="14" t="s">
        <v>35950</v>
      </c>
      <c r="C7351" s="4" t="s">
        <v>35951</v>
      </c>
      <c r="D7351" s="4" t="s">
        <v>35952</v>
      </c>
      <c r="E7351" s="4" t="s">
        <v>35953</v>
      </c>
      <c r="F7351" s="4" t="s">
        <v>222</v>
      </c>
      <c r="G7351" s="4" t="s">
        <v>35954</v>
      </c>
    </row>
    <row r="7352" ht="14.25">
      <c r="B7352" s="14" t="s">
        <v>35950</v>
      </c>
      <c r="C7352" s="4" t="s">
        <v>35955</v>
      </c>
      <c r="D7352" s="4" t="s">
        <v>35956</v>
      </c>
      <c r="E7352" s="6"/>
      <c r="F7352" s="4" t="s">
        <v>6744</v>
      </c>
      <c r="G7352" s="4" t="s">
        <v>35957</v>
      </c>
    </row>
    <row r="7353" ht="14.25">
      <c r="B7353" s="14" t="s">
        <v>35958</v>
      </c>
      <c r="C7353" s="4" t="s">
        <v>35959</v>
      </c>
      <c r="D7353" s="4" t="s">
        <v>35960</v>
      </c>
      <c r="E7353" s="6"/>
      <c r="F7353" s="4" t="s">
        <v>1215</v>
      </c>
      <c r="G7353" s="4" t="s">
        <v>35961</v>
      </c>
    </row>
    <row r="7354" ht="14.25">
      <c r="B7354" s="14" t="s">
        <v>35962</v>
      </c>
      <c r="C7354" s="4" t="s">
        <v>35963</v>
      </c>
      <c r="D7354" s="4" t="s">
        <v>35964</v>
      </c>
      <c r="E7354" s="6"/>
      <c r="F7354" s="4" t="s">
        <v>15564</v>
      </c>
      <c r="G7354" s="4" t="s">
        <v>35965</v>
      </c>
    </row>
    <row r="7355" ht="14.25">
      <c r="B7355" s="14" t="s">
        <v>35966</v>
      </c>
      <c r="C7355" s="4" t="s">
        <v>35967</v>
      </c>
      <c r="D7355" s="4" t="s">
        <v>35968</v>
      </c>
      <c r="E7355" s="4" t="s">
        <v>35969</v>
      </c>
      <c r="F7355" s="4" t="s">
        <v>955</v>
      </c>
      <c r="G7355" s="4" t="s">
        <v>35970</v>
      </c>
    </row>
    <row r="7356" ht="14.25">
      <c r="B7356" s="14" t="s">
        <v>35966</v>
      </c>
      <c r="C7356" s="4" t="s">
        <v>35971</v>
      </c>
      <c r="D7356" s="4" t="s">
        <v>35972</v>
      </c>
      <c r="E7356" s="4" t="s">
        <v>35973</v>
      </c>
      <c r="F7356" s="4" t="s">
        <v>785</v>
      </c>
      <c r="G7356" s="4" t="s">
        <v>35974</v>
      </c>
    </row>
    <row r="7357" ht="14.25">
      <c r="B7357" s="14" t="s">
        <v>35966</v>
      </c>
      <c r="C7357" s="4" t="s">
        <v>35971</v>
      </c>
      <c r="D7357" s="4" t="s">
        <v>35975</v>
      </c>
      <c r="E7357" s="4" t="s">
        <v>35973</v>
      </c>
      <c r="F7357" s="4" t="s">
        <v>2419</v>
      </c>
      <c r="G7357" s="4" t="s">
        <v>35976</v>
      </c>
    </row>
    <row r="7358" ht="14.25">
      <c r="B7358" s="14" t="s">
        <v>35977</v>
      </c>
      <c r="C7358" s="4" t="s">
        <v>35978</v>
      </c>
      <c r="D7358" s="4" t="s">
        <v>35979</v>
      </c>
      <c r="E7358" s="4" t="s">
        <v>35980</v>
      </c>
      <c r="F7358" s="4" t="s">
        <v>769</v>
      </c>
      <c r="G7358" s="4" t="s">
        <v>35981</v>
      </c>
    </row>
    <row r="7359" ht="14.25">
      <c r="B7359" s="14" t="s">
        <v>35977</v>
      </c>
      <c r="C7359" s="4" t="s">
        <v>35978</v>
      </c>
      <c r="D7359" s="4" t="s">
        <v>35982</v>
      </c>
      <c r="E7359" s="4" t="s">
        <v>35980</v>
      </c>
      <c r="F7359" s="4" t="s">
        <v>32579</v>
      </c>
      <c r="G7359" s="4" t="s">
        <v>35983</v>
      </c>
    </row>
    <row r="7360" ht="14.25">
      <c r="B7360" s="14" t="s">
        <v>35984</v>
      </c>
      <c r="C7360" s="4" t="s">
        <v>35985</v>
      </c>
      <c r="D7360" s="4" t="s">
        <v>35986</v>
      </c>
      <c r="E7360" s="4" t="s">
        <v>35987</v>
      </c>
      <c r="F7360" s="4" t="s">
        <v>5252</v>
      </c>
      <c r="G7360" s="4" t="s">
        <v>35983</v>
      </c>
    </row>
    <row r="7361" ht="14.25">
      <c r="B7361" s="14" t="s">
        <v>35988</v>
      </c>
      <c r="C7361" s="4" t="s">
        <v>35989</v>
      </c>
      <c r="D7361" s="4" t="s">
        <v>35990</v>
      </c>
      <c r="E7361" s="4" t="s">
        <v>35991</v>
      </c>
      <c r="F7361" s="4" t="s">
        <v>222</v>
      </c>
      <c r="G7361" s="4" t="s">
        <v>35992</v>
      </c>
    </row>
    <row r="7362" ht="14.25">
      <c r="B7362" s="14" t="s">
        <v>35988</v>
      </c>
      <c r="C7362" s="4" t="s">
        <v>35993</v>
      </c>
      <c r="D7362" s="4" t="s">
        <v>35994</v>
      </c>
      <c r="E7362" s="4" t="s">
        <v>35995</v>
      </c>
      <c r="F7362" s="4" t="s">
        <v>35996</v>
      </c>
      <c r="G7362" s="4" t="s">
        <v>35997</v>
      </c>
    </row>
    <row r="7363" ht="14.25">
      <c r="B7363" s="14" t="s">
        <v>35998</v>
      </c>
      <c r="C7363" s="4" t="s">
        <v>35999</v>
      </c>
      <c r="D7363" s="4" t="s">
        <v>36000</v>
      </c>
      <c r="E7363" s="4" t="s">
        <v>36001</v>
      </c>
      <c r="F7363" s="4" t="s">
        <v>32831</v>
      </c>
      <c r="G7363" s="4" t="s">
        <v>36002</v>
      </c>
    </row>
    <row r="7364" ht="14.25">
      <c r="B7364" s="14" t="s">
        <v>35998</v>
      </c>
      <c r="C7364" s="4" t="s">
        <v>35999</v>
      </c>
      <c r="D7364" s="4" t="s">
        <v>36003</v>
      </c>
      <c r="E7364" s="4" t="s">
        <v>36001</v>
      </c>
      <c r="F7364" s="4" t="s">
        <v>1387</v>
      </c>
      <c r="G7364" s="4" t="s">
        <v>36004</v>
      </c>
    </row>
    <row r="7365" ht="14.25">
      <c r="B7365" s="14" t="s">
        <v>35998</v>
      </c>
      <c r="C7365" s="4" t="s">
        <v>36005</v>
      </c>
      <c r="D7365" s="4" t="s">
        <v>36006</v>
      </c>
      <c r="E7365" s="6"/>
      <c r="F7365" s="4" t="s">
        <v>1562</v>
      </c>
      <c r="G7365" s="4" t="s">
        <v>36007</v>
      </c>
    </row>
    <row r="7366" ht="14.25">
      <c r="B7366" s="14" t="s">
        <v>36008</v>
      </c>
      <c r="C7366" s="4" t="s">
        <v>36009</v>
      </c>
      <c r="D7366" s="4" t="s">
        <v>36010</v>
      </c>
      <c r="E7366" s="4" t="s">
        <v>36011</v>
      </c>
      <c r="F7366" s="4" t="s">
        <v>23365</v>
      </c>
      <c r="G7366" s="4" t="s">
        <v>36012</v>
      </c>
    </row>
    <row r="7367" ht="14.25">
      <c r="B7367" s="14" t="s">
        <v>36013</v>
      </c>
      <c r="C7367" s="4" t="s">
        <v>36014</v>
      </c>
      <c r="D7367" s="4" t="s">
        <v>36015</v>
      </c>
      <c r="E7367" s="4" t="s">
        <v>36016</v>
      </c>
      <c r="F7367" s="4" t="s">
        <v>32831</v>
      </c>
      <c r="G7367" s="4" t="s">
        <v>36017</v>
      </c>
    </row>
    <row r="7368" ht="14.25">
      <c r="B7368" s="14" t="s">
        <v>36013</v>
      </c>
      <c r="C7368" s="4" t="s">
        <v>36014</v>
      </c>
      <c r="D7368" s="4" t="s">
        <v>36018</v>
      </c>
      <c r="E7368" s="4" t="s">
        <v>36016</v>
      </c>
      <c r="F7368" s="4" t="s">
        <v>32831</v>
      </c>
      <c r="G7368" s="4" t="s">
        <v>36019</v>
      </c>
    </row>
    <row r="7369" ht="14.25">
      <c r="B7369" s="14" t="s">
        <v>36013</v>
      </c>
      <c r="C7369" s="4" t="s">
        <v>36014</v>
      </c>
      <c r="D7369" s="4" t="s">
        <v>36020</v>
      </c>
      <c r="E7369" s="4" t="s">
        <v>36016</v>
      </c>
      <c r="F7369" s="4" t="s">
        <v>710</v>
      </c>
      <c r="G7369" s="4" t="s">
        <v>36021</v>
      </c>
    </row>
    <row r="7370" ht="14.25">
      <c r="B7370" s="14" t="s">
        <v>36013</v>
      </c>
      <c r="C7370" s="4" t="s">
        <v>36014</v>
      </c>
      <c r="D7370" s="4" t="s">
        <v>36022</v>
      </c>
      <c r="E7370" s="4" t="s">
        <v>36016</v>
      </c>
      <c r="F7370" s="4" t="s">
        <v>808</v>
      </c>
      <c r="G7370" s="4" t="s">
        <v>36023</v>
      </c>
    </row>
    <row r="7371" ht="14.25">
      <c r="B7371" s="14" t="s">
        <v>36013</v>
      </c>
      <c r="C7371" s="4" t="s">
        <v>36014</v>
      </c>
      <c r="D7371" s="4" t="s">
        <v>36024</v>
      </c>
      <c r="E7371" s="4" t="s">
        <v>36016</v>
      </c>
      <c r="F7371" s="4" t="s">
        <v>817</v>
      </c>
      <c r="G7371" s="4" t="s">
        <v>36025</v>
      </c>
    </row>
    <row r="7372" ht="14.25">
      <c r="B7372" s="14" t="s">
        <v>36013</v>
      </c>
      <c r="C7372" s="4" t="s">
        <v>36014</v>
      </c>
      <c r="D7372" s="4" t="s">
        <v>36026</v>
      </c>
      <c r="E7372" s="4" t="s">
        <v>36016</v>
      </c>
      <c r="F7372" s="4" t="s">
        <v>3516</v>
      </c>
      <c r="G7372" s="4" t="s">
        <v>36027</v>
      </c>
    </row>
    <row r="7373" ht="14.25">
      <c r="B7373" s="14" t="s">
        <v>36013</v>
      </c>
      <c r="C7373" s="4" t="s">
        <v>36014</v>
      </c>
      <c r="D7373" s="4" t="s">
        <v>36028</v>
      </c>
      <c r="E7373" s="4" t="s">
        <v>36016</v>
      </c>
      <c r="F7373" s="4" t="s">
        <v>2508</v>
      </c>
      <c r="G7373" s="4" t="s">
        <v>36029</v>
      </c>
    </row>
    <row r="7374" ht="14.25">
      <c r="B7374" s="14" t="s">
        <v>36013</v>
      </c>
      <c r="C7374" s="4" t="s">
        <v>36014</v>
      </c>
      <c r="D7374" s="4" t="s">
        <v>36030</v>
      </c>
      <c r="E7374" s="4" t="s">
        <v>36016</v>
      </c>
      <c r="F7374" s="4" t="s">
        <v>32701</v>
      </c>
      <c r="G7374" s="4" t="s">
        <v>36031</v>
      </c>
    </row>
    <row r="7375" ht="14.25">
      <c r="B7375" s="14" t="s">
        <v>36032</v>
      </c>
      <c r="C7375" s="4" t="s">
        <v>36033</v>
      </c>
      <c r="D7375" s="4" t="s">
        <v>36034</v>
      </c>
      <c r="E7375" s="6"/>
      <c r="F7375" s="4" t="s">
        <v>32548</v>
      </c>
      <c r="G7375" s="4" t="s">
        <v>36035</v>
      </c>
    </row>
    <row r="7376" ht="14.25">
      <c r="B7376" s="14" t="s">
        <v>36032</v>
      </c>
      <c r="C7376" s="4" t="s">
        <v>36036</v>
      </c>
      <c r="D7376" s="4" t="s">
        <v>36037</v>
      </c>
      <c r="E7376" s="4" t="s">
        <v>36038</v>
      </c>
      <c r="F7376" s="4" t="s">
        <v>222</v>
      </c>
      <c r="G7376" s="4" t="s">
        <v>36039</v>
      </c>
    </row>
    <row r="7377" ht="14.25">
      <c r="B7377" s="14" t="s">
        <v>36040</v>
      </c>
      <c r="C7377" s="4" t="s">
        <v>36041</v>
      </c>
      <c r="D7377" s="4" t="s">
        <v>36042</v>
      </c>
      <c r="E7377" s="4" t="s">
        <v>36043</v>
      </c>
      <c r="F7377" s="4" t="s">
        <v>768</v>
      </c>
      <c r="G7377" s="4" t="s">
        <v>36044</v>
      </c>
    </row>
    <row r="7378" ht="14.25">
      <c r="B7378" s="14" t="s">
        <v>36045</v>
      </c>
      <c r="C7378" s="4" t="s">
        <v>36046</v>
      </c>
      <c r="D7378" s="4" t="s">
        <v>36047</v>
      </c>
      <c r="E7378" s="4" t="s">
        <v>36048</v>
      </c>
      <c r="F7378" s="4" t="s">
        <v>32579</v>
      </c>
      <c r="G7378" s="4" t="s">
        <v>36049</v>
      </c>
    </row>
    <row r="7379" ht="14.25">
      <c r="B7379" s="14" t="s">
        <v>36050</v>
      </c>
      <c r="C7379" s="4" t="s">
        <v>36051</v>
      </c>
      <c r="D7379" s="4" t="s">
        <v>36052</v>
      </c>
      <c r="E7379" s="4" t="s">
        <v>36053</v>
      </c>
      <c r="F7379" s="4" t="s">
        <v>2249</v>
      </c>
      <c r="G7379" s="4" t="s">
        <v>36054</v>
      </c>
    </row>
    <row r="7380" ht="14.25">
      <c r="B7380" s="14" t="s">
        <v>36050</v>
      </c>
      <c r="C7380" s="4" t="s">
        <v>36051</v>
      </c>
      <c r="D7380" s="4" t="s">
        <v>36055</v>
      </c>
      <c r="E7380" s="4" t="s">
        <v>36053</v>
      </c>
      <c r="F7380" s="4" t="s">
        <v>32548</v>
      </c>
      <c r="G7380" s="4" t="s">
        <v>36056</v>
      </c>
    </row>
    <row r="7381" ht="14.25">
      <c r="B7381" s="14" t="s">
        <v>36050</v>
      </c>
      <c r="C7381" s="4" t="s">
        <v>36051</v>
      </c>
      <c r="D7381" s="4" t="s">
        <v>36057</v>
      </c>
      <c r="E7381" s="4" t="s">
        <v>36053</v>
      </c>
      <c r="F7381" s="4" t="s">
        <v>971</v>
      </c>
      <c r="G7381" s="4" t="s">
        <v>36058</v>
      </c>
    </row>
    <row r="7382" ht="14.25">
      <c r="B7382" s="14" t="s">
        <v>36050</v>
      </c>
      <c r="C7382" s="4" t="s">
        <v>36051</v>
      </c>
      <c r="D7382" s="4" t="s">
        <v>36059</v>
      </c>
      <c r="E7382" s="4" t="s">
        <v>36053</v>
      </c>
      <c r="F7382" s="4" t="s">
        <v>32548</v>
      </c>
      <c r="G7382" s="4" t="s">
        <v>36060</v>
      </c>
    </row>
    <row r="7383" ht="14.25">
      <c r="B7383" s="14" t="s">
        <v>36050</v>
      </c>
      <c r="C7383" s="4" t="s">
        <v>36051</v>
      </c>
      <c r="D7383" s="4" t="s">
        <v>36061</v>
      </c>
      <c r="E7383" s="4" t="s">
        <v>36053</v>
      </c>
      <c r="F7383" s="4" t="s">
        <v>33380</v>
      </c>
      <c r="G7383" s="4" t="s">
        <v>36062</v>
      </c>
    </row>
    <row r="7384" ht="14.25">
      <c r="B7384" s="14" t="s">
        <v>36063</v>
      </c>
      <c r="C7384" s="4" t="s">
        <v>36064</v>
      </c>
      <c r="D7384" s="4" t="s">
        <v>36065</v>
      </c>
      <c r="E7384" s="6"/>
      <c r="F7384" s="4" t="s">
        <v>1732</v>
      </c>
      <c r="G7384" s="4" t="s">
        <v>36066</v>
      </c>
    </row>
    <row r="7385" ht="14.25">
      <c r="B7385" s="14" t="s">
        <v>36063</v>
      </c>
      <c r="C7385" s="4" t="s">
        <v>36064</v>
      </c>
      <c r="D7385" s="4" t="s">
        <v>36067</v>
      </c>
      <c r="E7385" s="4" t="s">
        <v>36065</v>
      </c>
      <c r="F7385" s="4" t="s">
        <v>110</v>
      </c>
      <c r="G7385" s="4" t="s">
        <v>36068</v>
      </c>
    </row>
    <row r="7386" ht="14.25">
      <c r="B7386" s="14" t="s">
        <v>36069</v>
      </c>
      <c r="C7386" s="4" t="s">
        <v>36070</v>
      </c>
      <c r="D7386" s="4" t="s">
        <v>36071</v>
      </c>
      <c r="E7386" s="4" t="s">
        <v>36072</v>
      </c>
      <c r="F7386" s="4" t="s">
        <v>32548</v>
      </c>
      <c r="G7386" s="4" t="s">
        <v>36073</v>
      </c>
    </row>
    <row r="7387" ht="14.25">
      <c r="B7387" s="14" t="s">
        <v>36074</v>
      </c>
      <c r="C7387" s="4" t="s">
        <v>36075</v>
      </c>
      <c r="D7387" s="4" t="s">
        <v>36076</v>
      </c>
      <c r="E7387" s="4" t="s">
        <v>36077</v>
      </c>
      <c r="F7387" s="4" t="s">
        <v>5103</v>
      </c>
      <c r="G7387" s="4" t="s">
        <v>36078</v>
      </c>
    </row>
    <row r="7388" ht="14.25">
      <c r="B7388" s="14" t="s">
        <v>36074</v>
      </c>
      <c r="C7388" s="4" t="s">
        <v>36075</v>
      </c>
      <c r="D7388" s="4" t="s">
        <v>36079</v>
      </c>
      <c r="E7388" s="4" t="s">
        <v>36077</v>
      </c>
      <c r="F7388" s="4" t="s">
        <v>1592</v>
      </c>
      <c r="G7388" s="4" t="s">
        <v>36078</v>
      </c>
    </row>
    <row r="7389" ht="14.25">
      <c r="B7389" s="14" t="s">
        <v>36080</v>
      </c>
      <c r="C7389" s="4" t="s">
        <v>36081</v>
      </c>
      <c r="D7389" s="4" t="s">
        <v>36082</v>
      </c>
      <c r="E7389" s="4" t="s">
        <v>36083</v>
      </c>
      <c r="F7389" s="4" t="s">
        <v>986</v>
      </c>
      <c r="G7389" s="4" t="s">
        <v>36084</v>
      </c>
    </row>
    <row r="7390" ht="14.25">
      <c r="B7390" s="14" t="s">
        <v>36080</v>
      </c>
      <c r="C7390" s="4" t="s">
        <v>36081</v>
      </c>
      <c r="D7390" s="4" t="s">
        <v>36085</v>
      </c>
      <c r="E7390" s="4" t="s">
        <v>36083</v>
      </c>
      <c r="F7390" s="4" t="s">
        <v>1215</v>
      </c>
      <c r="G7390" s="4" t="s">
        <v>36086</v>
      </c>
    </row>
    <row r="7391" ht="14.25">
      <c r="B7391" s="14" t="s">
        <v>36080</v>
      </c>
      <c r="C7391" s="4" t="s">
        <v>36081</v>
      </c>
      <c r="D7391" s="4" t="s">
        <v>36087</v>
      </c>
      <c r="E7391" s="4" t="s">
        <v>36083</v>
      </c>
      <c r="F7391" s="4" t="s">
        <v>35368</v>
      </c>
      <c r="G7391" s="4" t="s">
        <v>36088</v>
      </c>
    </row>
    <row r="7392" ht="14.25">
      <c r="B7392" s="14" t="s">
        <v>36089</v>
      </c>
      <c r="C7392" s="4" t="s">
        <v>36090</v>
      </c>
      <c r="D7392" s="4" t="s">
        <v>36091</v>
      </c>
      <c r="E7392" s="4" t="s">
        <v>36092</v>
      </c>
      <c r="F7392" s="4" t="s">
        <v>32622</v>
      </c>
      <c r="G7392" s="4" t="s">
        <v>36093</v>
      </c>
    </row>
    <row r="7393" ht="14.25">
      <c r="B7393" s="14" t="s">
        <v>36089</v>
      </c>
      <c r="C7393" s="4" t="s">
        <v>36090</v>
      </c>
      <c r="D7393" s="4" t="s">
        <v>36094</v>
      </c>
      <c r="E7393" s="4" t="s">
        <v>36092</v>
      </c>
      <c r="F7393" s="4" t="s">
        <v>32831</v>
      </c>
      <c r="G7393" s="4" t="s">
        <v>36095</v>
      </c>
    </row>
    <row r="7394" ht="14.25">
      <c r="B7394" s="14" t="s">
        <v>36089</v>
      </c>
      <c r="C7394" s="4" t="s">
        <v>36090</v>
      </c>
      <c r="D7394" s="4" t="s">
        <v>36096</v>
      </c>
      <c r="E7394" s="4" t="s">
        <v>36092</v>
      </c>
      <c r="F7394" s="4" t="s">
        <v>670</v>
      </c>
      <c r="G7394" s="4" t="s">
        <v>36097</v>
      </c>
    </row>
    <row r="7395" ht="14.25">
      <c r="B7395" s="14" t="s">
        <v>36089</v>
      </c>
      <c r="C7395" s="4" t="s">
        <v>36090</v>
      </c>
      <c r="D7395" s="4" t="s">
        <v>36098</v>
      </c>
      <c r="E7395" s="4" t="s">
        <v>36092</v>
      </c>
      <c r="F7395" s="4" t="s">
        <v>2340</v>
      </c>
      <c r="G7395" s="4" t="s">
        <v>36099</v>
      </c>
    </row>
    <row r="7396" ht="14.25">
      <c r="B7396" s="14" t="s">
        <v>36089</v>
      </c>
      <c r="C7396" s="4" t="s">
        <v>36090</v>
      </c>
      <c r="D7396" s="4" t="s">
        <v>36100</v>
      </c>
      <c r="E7396" s="4" t="s">
        <v>36092</v>
      </c>
      <c r="F7396" s="4" t="s">
        <v>3100</v>
      </c>
      <c r="G7396" s="4" t="s">
        <v>35047</v>
      </c>
    </row>
    <row r="7397" ht="14.25">
      <c r="B7397" s="14" t="s">
        <v>36089</v>
      </c>
      <c r="C7397" s="4" t="s">
        <v>36090</v>
      </c>
      <c r="D7397" s="4" t="s">
        <v>36101</v>
      </c>
      <c r="E7397" s="4" t="s">
        <v>36092</v>
      </c>
      <c r="F7397" s="4" t="s">
        <v>6243</v>
      </c>
      <c r="G7397" s="4" t="s">
        <v>36102</v>
      </c>
    </row>
    <row r="7398" ht="14.25">
      <c r="B7398" s="14" t="s">
        <v>36089</v>
      </c>
      <c r="C7398" s="4" t="s">
        <v>36090</v>
      </c>
      <c r="D7398" s="4" t="s">
        <v>36103</v>
      </c>
      <c r="E7398" s="4" t="s">
        <v>36092</v>
      </c>
      <c r="F7398" s="4" t="s">
        <v>3909</v>
      </c>
      <c r="G7398" s="4" t="s">
        <v>36104</v>
      </c>
    </row>
    <row r="7399" ht="14.25">
      <c r="B7399" s="14" t="s">
        <v>36089</v>
      </c>
      <c r="C7399" s="4" t="s">
        <v>36090</v>
      </c>
      <c r="D7399" s="4" t="s">
        <v>36105</v>
      </c>
      <c r="E7399" s="4" t="s">
        <v>36092</v>
      </c>
      <c r="F7399" s="4" t="s">
        <v>2419</v>
      </c>
      <c r="G7399" s="4" t="s">
        <v>36106</v>
      </c>
    </row>
    <row r="7400" ht="14.25">
      <c r="B7400" s="14" t="s">
        <v>36089</v>
      </c>
      <c r="C7400" s="4" t="s">
        <v>36090</v>
      </c>
      <c r="D7400" s="4" t="s">
        <v>36107</v>
      </c>
      <c r="E7400" s="4" t="s">
        <v>36092</v>
      </c>
      <c r="F7400" s="4" t="s">
        <v>330</v>
      </c>
      <c r="G7400" s="4" t="s">
        <v>32767</v>
      </c>
    </row>
    <row r="7401" ht="14.25">
      <c r="B7401" s="14" t="s">
        <v>36089</v>
      </c>
      <c r="C7401" s="4" t="s">
        <v>36090</v>
      </c>
      <c r="D7401" s="4" t="s">
        <v>36108</v>
      </c>
      <c r="E7401" s="4" t="s">
        <v>36092</v>
      </c>
      <c r="F7401" s="4" t="s">
        <v>6356</v>
      </c>
      <c r="G7401" s="4" t="s">
        <v>36109</v>
      </c>
    </row>
    <row r="7402" ht="14.25">
      <c r="B7402" s="14" t="s">
        <v>36110</v>
      </c>
      <c r="C7402" s="4" t="s">
        <v>36111</v>
      </c>
      <c r="D7402" s="4" t="s">
        <v>36112</v>
      </c>
      <c r="E7402" s="4" t="s">
        <v>36113</v>
      </c>
      <c r="F7402" s="4" t="s">
        <v>170</v>
      </c>
      <c r="G7402" s="4" t="s">
        <v>36114</v>
      </c>
    </row>
    <row r="7403" ht="14.25">
      <c r="B7403" s="14" t="s">
        <v>36110</v>
      </c>
      <c r="C7403" s="4" t="s">
        <v>36111</v>
      </c>
      <c r="D7403" s="4" t="s">
        <v>36115</v>
      </c>
      <c r="E7403" s="4" t="s">
        <v>36113</v>
      </c>
      <c r="F7403" s="4" t="s">
        <v>3019</v>
      </c>
      <c r="G7403" s="4" t="s">
        <v>35761</v>
      </c>
    </row>
    <row r="7404" ht="14.25">
      <c r="B7404" s="14" t="s">
        <v>36110</v>
      </c>
      <c r="C7404" s="4" t="s">
        <v>36111</v>
      </c>
      <c r="D7404" s="4" t="s">
        <v>36116</v>
      </c>
      <c r="E7404" s="4" t="s">
        <v>36113</v>
      </c>
      <c r="F7404" s="4" t="s">
        <v>32548</v>
      </c>
      <c r="G7404" s="4" t="s">
        <v>32868</v>
      </c>
    </row>
    <row r="7405" ht="14.25">
      <c r="B7405" s="14" t="s">
        <v>36117</v>
      </c>
      <c r="C7405" s="4" t="s">
        <v>36118</v>
      </c>
      <c r="D7405" s="4" t="s">
        <v>36119</v>
      </c>
      <c r="E7405" s="4" t="s">
        <v>36120</v>
      </c>
      <c r="F7405" s="4" t="s">
        <v>3850</v>
      </c>
      <c r="G7405" s="4" t="s">
        <v>36121</v>
      </c>
    </row>
    <row r="7406" ht="14.25">
      <c r="B7406" s="14" t="s">
        <v>36117</v>
      </c>
      <c r="C7406" s="4" t="s">
        <v>36122</v>
      </c>
      <c r="D7406" s="4" t="s">
        <v>36123</v>
      </c>
      <c r="E7406" s="6"/>
      <c r="F7406" s="4" t="s">
        <v>7323</v>
      </c>
      <c r="G7406" s="4" t="s">
        <v>36124</v>
      </c>
    </row>
    <row r="7407" ht="14.25">
      <c r="B7407" s="14" t="s">
        <v>36125</v>
      </c>
      <c r="C7407" s="4" t="s">
        <v>36126</v>
      </c>
      <c r="D7407" s="4" t="s">
        <v>36127</v>
      </c>
      <c r="E7407" s="4" t="s">
        <v>36128</v>
      </c>
      <c r="F7407" s="4" t="s">
        <v>571</v>
      </c>
      <c r="G7407" s="4" t="s">
        <v>36129</v>
      </c>
    </row>
    <row r="7408" ht="14.25">
      <c r="B7408" s="14" t="s">
        <v>36125</v>
      </c>
      <c r="C7408" s="4" t="s">
        <v>36126</v>
      </c>
      <c r="D7408" s="4" t="s">
        <v>36130</v>
      </c>
      <c r="E7408" s="4" t="s">
        <v>36128</v>
      </c>
      <c r="F7408" s="4" t="s">
        <v>1732</v>
      </c>
      <c r="G7408" s="4" t="s">
        <v>36131</v>
      </c>
    </row>
    <row r="7409" ht="14.25">
      <c r="B7409" s="14" t="s">
        <v>36132</v>
      </c>
      <c r="C7409" s="4" t="s">
        <v>36133</v>
      </c>
      <c r="D7409" s="4" t="s">
        <v>36134</v>
      </c>
      <c r="E7409" s="4" t="s">
        <v>36135</v>
      </c>
      <c r="F7409" s="4" t="s">
        <v>485</v>
      </c>
      <c r="G7409" s="4" t="s">
        <v>36136</v>
      </c>
    </row>
    <row r="7410" ht="14.25">
      <c r="B7410" s="14" t="s">
        <v>36137</v>
      </c>
      <c r="C7410" s="4" t="s">
        <v>36138</v>
      </c>
      <c r="D7410" s="4" t="s">
        <v>36139</v>
      </c>
      <c r="E7410" s="4" t="s">
        <v>36140</v>
      </c>
      <c r="F7410" s="4" t="s">
        <v>986</v>
      </c>
      <c r="G7410" s="4" t="s">
        <v>36141</v>
      </c>
    </row>
    <row r="7411" ht="14.25">
      <c r="B7411" s="14" t="s">
        <v>36137</v>
      </c>
      <c r="C7411" s="4" t="s">
        <v>36138</v>
      </c>
      <c r="D7411" s="4" t="s">
        <v>36142</v>
      </c>
      <c r="E7411" s="4" t="s">
        <v>36140</v>
      </c>
      <c r="F7411" s="4" t="s">
        <v>19682</v>
      </c>
      <c r="G7411" s="4" t="s">
        <v>36143</v>
      </c>
    </row>
    <row r="7412" ht="14.25">
      <c r="B7412" s="14" t="s">
        <v>36144</v>
      </c>
      <c r="C7412" s="4" t="s">
        <v>36145</v>
      </c>
      <c r="D7412" s="4" t="s">
        <v>36146</v>
      </c>
      <c r="E7412" s="4" t="s">
        <v>36147</v>
      </c>
      <c r="F7412" s="4" t="s">
        <v>670</v>
      </c>
      <c r="G7412" s="4" t="s">
        <v>36148</v>
      </c>
    </row>
    <row r="7413" ht="14.25">
      <c r="B7413" s="14" t="s">
        <v>36144</v>
      </c>
      <c r="C7413" s="4" t="s">
        <v>36145</v>
      </c>
      <c r="D7413" s="4" t="s">
        <v>36149</v>
      </c>
      <c r="E7413" s="4" t="s">
        <v>36147</v>
      </c>
      <c r="F7413" s="4" t="s">
        <v>1583</v>
      </c>
      <c r="G7413" s="4" t="s">
        <v>36150</v>
      </c>
    </row>
    <row r="7414" ht="14.25">
      <c r="B7414" s="14" t="s">
        <v>36151</v>
      </c>
      <c r="C7414" s="4" t="s">
        <v>36152</v>
      </c>
      <c r="D7414" s="4" t="s">
        <v>36153</v>
      </c>
      <c r="E7414" s="4" t="s">
        <v>36154</v>
      </c>
      <c r="F7414" s="4" t="s">
        <v>330</v>
      </c>
      <c r="G7414" s="4" t="s">
        <v>36155</v>
      </c>
    </row>
    <row r="7415" ht="14.25">
      <c r="B7415" s="14" t="s">
        <v>36151</v>
      </c>
      <c r="C7415" s="4" t="s">
        <v>36152</v>
      </c>
      <c r="D7415" s="4" t="s">
        <v>36156</v>
      </c>
      <c r="E7415" s="4" t="s">
        <v>36154</v>
      </c>
      <c r="F7415" s="4" t="s">
        <v>2242</v>
      </c>
      <c r="G7415" s="4" t="s">
        <v>32659</v>
      </c>
    </row>
    <row r="7416" ht="14.25">
      <c r="B7416" s="14" t="s">
        <v>36151</v>
      </c>
      <c r="C7416" s="4" t="s">
        <v>36152</v>
      </c>
      <c r="D7416" s="4" t="s">
        <v>36157</v>
      </c>
      <c r="E7416" s="4" t="s">
        <v>36154</v>
      </c>
      <c r="F7416" s="4" t="s">
        <v>32622</v>
      </c>
      <c r="G7416" s="4" t="s">
        <v>36158</v>
      </c>
    </row>
    <row r="7417" ht="14.25">
      <c r="B7417" s="14" t="s">
        <v>36159</v>
      </c>
      <c r="C7417" s="4" t="s">
        <v>36160</v>
      </c>
      <c r="D7417" s="4" t="s">
        <v>36161</v>
      </c>
      <c r="E7417" s="4" t="s">
        <v>36162</v>
      </c>
      <c r="F7417" s="4" t="s">
        <v>36163</v>
      </c>
      <c r="G7417" s="4" t="s">
        <v>36164</v>
      </c>
    </row>
    <row r="7418" ht="14.25">
      <c r="B7418" s="14" t="s">
        <v>36159</v>
      </c>
      <c r="C7418" s="4" t="s">
        <v>36165</v>
      </c>
      <c r="D7418" s="4" t="s">
        <v>36166</v>
      </c>
      <c r="E7418" s="4" t="s">
        <v>36167</v>
      </c>
      <c r="F7418" s="4" t="s">
        <v>866</v>
      </c>
      <c r="G7418" s="4" t="s">
        <v>36168</v>
      </c>
    </row>
    <row r="7419" ht="14.25">
      <c r="B7419" s="14" t="s">
        <v>36159</v>
      </c>
      <c r="C7419" s="4" t="s">
        <v>36165</v>
      </c>
      <c r="D7419" s="4" t="s">
        <v>36169</v>
      </c>
      <c r="E7419" s="4" t="s">
        <v>36167</v>
      </c>
      <c r="F7419" s="4" t="s">
        <v>33434</v>
      </c>
      <c r="G7419" s="4" t="s">
        <v>36170</v>
      </c>
    </row>
    <row r="7420" ht="14.25">
      <c r="B7420" s="14" t="s">
        <v>36171</v>
      </c>
      <c r="C7420" s="4" t="s">
        <v>36172</v>
      </c>
      <c r="D7420" s="4" t="s">
        <v>36173</v>
      </c>
      <c r="E7420" s="4" t="s">
        <v>36174</v>
      </c>
      <c r="F7420" s="4" t="s">
        <v>963</v>
      </c>
      <c r="G7420" s="4" t="s">
        <v>36175</v>
      </c>
    </row>
    <row r="7421" ht="14.25">
      <c r="B7421" s="14" t="s">
        <v>36171</v>
      </c>
      <c r="C7421" s="4" t="s">
        <v>36172</v>
      </c>
      <c r="D7421" s="4" t="s">
        <v>36176</v>
      </c>
      <c r="E7421" s="4" t="s">
        <v>36174</v>
      </c>
      <c r="F7421" s="4" t="s">
        <v>170</v>
      </c>
      <c r="G7421" s="4" t="s">
        <v>36177</v>
      </c>
    </row>
    <row r="7422" ht="14.25">
      <c r="B7422" s="14" t="s">
        <v>36171</v>
      </c>
      <c r="C7422" s="4" t="s">
        <v>36172</v>
      </c>
      <c r="D7422" s="4" t="s">
        <v>36178</v>
      </c>
      <c r="E7422" s="4" t="s">
        <v>36174</v>
      </c>
      <c r="F7422" s="4" t="s">
        <v>2668</v>
      </c>
      <c r="G7422" s="4" t="s">
        <v>36179</v>
      </c>
    </row>
    <row r="7423" ht="14.25">
      <c r="B7423" s="14" t="s">
        <v>36171</v>
      </c>
      <c r="C7423" s="4" t="s">
        <v>36172</v>
      </c>
      <c r="D7423" s="4" t="s">
        <v>36180</v>
      </c>
      <c r="E7423" s="4" t="s">
        <v>36174</v>
      </c>
      <c r="F7423" s="4" t="s">
        <v>4800</v>
      </c>
      <c r="G7423" s="4" t="s">
        <v>36181</v>
      </c>
    </row>
    <row r="7424" ht="14.25">
      <c r="B7424" s="14" t="s">
        <v>36171</v>
      </c>
      <c r="C7424" s="4" t="s">
        <v>36172</v>
      </c>
      <c r="D7424" s="4" t="s">
        <v>36182</v>
      </c>
      <c r="E7424" s="4" t="s">
        <v>36174</v>
      </c>
      <c r="F7424" s="4" t="s">
        <v>32666</v>
      </c>
      <c r="G7424" s="4" t="s">
        <v>36183</v>
      </c>
    </row>
    <row r="7425" ht="14.25">
      <c r="B7425" s="14" t="s">
        <v>36171</v>
      </c>
      <c r="C7425" s="4" t="s">
        <v>36172</v>
      </c>
      <c r="D7425" s="4" t="s">
        <v>36184</v>
      </c>
      <c r="E7425" s="4" t="s">
        <v>36174</v>
      </c>
      <c r="F7425" s="4" t="s">
        <v>32787</v>
      </c>
      <c r="G7425" s="4" t="s">
        <v>36185</v>
      </c>
    </row>
    <row r="7426" ht="14.25">
      <c r="B7426" s="14" t="s">
        <v>36186</v>
      </c>
      <c r="C7426" s="4" t="s">
        <v>36187</v>
      </c>
      <c r="D7426" s="4" t="s">
        <v>36188</v>
      </c>
      <c r="E7426" s="4" t="s">
        <v>36189</v>
      </c>
      <c r="F7426" s="4" t="s">
        <v>330</v>
      </c>
      <c r="G7426" s="4" t="s">
        <v>36190</v>
      </c>
    </row>
    <row r="7427" ht="14.25">
      <c r="B7427" s="14" t="s">
        <v>36191</v>
      </c>
      <c r="C7427" s="4" t="s">
        <v>36192</v>
      </c>
      <c r="D7427" s="4" t="s">
        <v>36193</v>
      </c>
      <c r="E7427" s="4" t="s">
        <v>36194</v>
      </c>
      <c r="F7427" s="4" t="s">
        <v>1571</v>
      </c>
      <c r="G7427" s="4" t="s">
        <v>36195</v>
      </c>
    </row>
    <row r="7428" ht="14.25">
      <c r="B7428" s="14" t="s">
        <v>36191</v>
      </c>
      <c r="C7428" s="4" t="s">
        <v>36192</v>
      </c>
      <c r="D7428" s="4" t="s">
        <v>36196</v>
      </c>
      <c r="E7428" s="4" t="s">
        <v>36194</v>
      </c>
      <c r="F7428" s="4" t="s">
        <v>2242</v>
      </c>
      <c r="G7428" s="4" t="s">
        <v>36197</v>
      </c>
    </row>
    <row r="7429" ht="14.25">
      <c r="B7429" s="14" t="s">
        <v>36191</v>
      </c>
      <c r="C7429" s="4" t="s">
        <v>36192</v>
      </c>
      <c r="D7429" s="4" t="s">
        <v>36198</v>
      </c>
      <c r="E7429" s="4" t="s">
        <v>36194</v>
      </c>
      <c r="F7429" s="4" t="s">
        <v>32831</v>
      </c>
      <c r="G7429" s="4" t="s">
        <v>36199</v>
      </c>
    </row>
    <row r="7430" ht="14.25">
      <c r="B7430" s="14" t="s">
        <v>36191</v>
      </c>
      <c r="C7430" s="4" t="s">
        <v>36192</v>
      </c>
      <c r="D7430" s="4" t="s">
        <v>36200</v>
      </c>
      <c r="E7430" s="4" t="s">
        <v>36194</v>
      </c>
      <c r="F7430" s="4" t="s">
        <v>33459</v>
      </c>
      <c r="G7430" s="4" t="s">
        <v>36201</v>
      </c>
    </row>
    <row r="7431" ht="14.25">
      <c r="B7431" s="14" t="s">
        <v>36191</v>
      </c>
      <c r="C7431" s="4" t="s">
        <v>36192</v>
      </c>
      <c r="D7431" s="4" t="s">
        <v>36202</v>
      </c>
      <c r="E7431" s="4" t="s">
        <v>36194</v>
      </c>
      <c r="F7431" s="4" t="s">
        <v>19798</v>
      </c>
      <c r="G7431" s="4" t="s">
        <v>36203</v>
      </c>
    </row>
    <row r="7432" ht="14.25">
      <c r="B7432" s="14" t="s">
        <v>36204</v>
      </c>
      <c r="C7432" s="4" t="s">
        <v>36205</v>
      </c>
      <c r="D7432" s="4" t="s">
        <v>36206</v>
      </c>
      <c r="E7432" s="4" t="s">
        <v>36207</v>
      </c>
      <c r="F7432" s="4" t="s">
        <v>32548</v>
      </c>
      <c r="G7432" s="4" t="s">
        <v>36208</v>
      </c>
    </row>
    <row r="7433" ht="14.25">
      <c r="B7433" s="14" t="s">
        <v>36204</v>
      </c>
      <c r="C7433" s="4" t="s">
        <v>36205</v>
      </c>
      <c r="D7433" s="4" t="s">
        <v>36209</v>
      </c>
      <c r="E7433" s="4" t="s">
        <v>36207</v>
      </c>
      <c r="F7433" s="4" t="s">
        <v>785</v>
      </c>
      <c r="G7433" s="4" t="s">
        <v>36210</v>
      </c>
    </row>
    <row r="7434" ht="14.25">
      <c r="B7434" s="14" t="s">
        <v>36204</v>
      </c>
      <c r="C7434" s="4" t="s">
        <v>36205</v>
      </c>
      <c r="D7434" s="4" t="s">
        <v>36211</v>
      </c>
      <c r="E7434" s="4" t="s">
        <v>36207</v>
      </c>
      <c r="F7434" s="4" t="s">
        <v>36212</v>
      </c>
      <c r="G7434" s="4" t="s">
        <v>36213</v>
      </c>
    </row>
    <row r="7435" ht="14.25">
      <c r="B7435" s="14" t="s">
        <v>36204</v>
      </c>
      <c r="C7435" s="4" t="s">
        <v>36205</v>
      </c>
      <c r="D7435" s="4" t="s">
        <v>36214</v>
      </c>
      <c r="E7435" s="4" t="s">
        <v>36207</v>
      </c>
      <c r="F7435" s="4" t="s">
        <v>653</v>
      </c>
      <c r="G7435" s="4" t="s">
        <v>36215</v>
      </c>
    </row>
    <row r="7436" ht="14.25">
      <c r="B7436" s="14" t="s">
        <v>36204</v>
      </c>
      <c r="C7436" s="4" t="s">
        <v>36216</v>
      </c>
      <c r="D7436" s="4" t="s">
        <v>36217</v>
      </c>
      <c r="E7436" s="4" t="s">
        <v>36218</v>
      </c>
      <c r="F7436" s="4" t="s">
        <v>36219</v>
      </c>
      <c r="G7436" s="4" t="s">
        <v>32551</v>
      </c>
    </row>
    <row r="7437" ht="14.25">
      <c r="B7437" s="14" t="s">
        <v>36204</v>
      </c>
      <c r="C7437" s="4" t="s">
        <v>36220</v>
      </c>
      <c r="D7437" s="4" t="s">
        <v>36221</v>
      </c>
      <c r="E7437" s="4" t="s">
        <v>36222</v>
      </c>
      <c r="F7437" s="4" t="s">
        <v>7525</v>
      </c>
      <c r="G7437" s="4" t="s">
        <v>36223</v>
      </c>
    </row>
    <row r="7438" ht="14.25">
      <c r="B7438" s="14" t="s">
        <v>36204</v>
      </c>
      <c r="C7438" s="4" t="s">
        <v>36224</v>
      </c>
      <c r="D7438" s="4" t="s">
        <v>36225</v>
      </c>
      <c r="E7438" s="6"/>
      <c r="F7438" s="4" t="s">
        <v>670</v>
      </c>
      <c r="G7438" s="4" t="s">
        <v>36226</v>
      </c>
    </row>
    <row r="7439" ht="14.25">
      <c r="B7439" s="14" t="s">
        <v>36204</v>
      </c>
      <c r="C7439" s="4" t="s">
        <v>36205</v>
      </c>
      <c r="D7439" s="4" t="s">
        <v>36227</v>
      </c>
      <c r="E7439" s="4" t="s">
        <v>36207</v>
      </c>
      <c r="F7439" s="4" t="s">
        <v>874</v>
      </c>
      <c r="G7439" s="4" t="s">
        <v>36228</v>
      </c>
    </row>
    <row r="7440" ht="14.25">
      <c r="B7440" s="14" t="s">
        <v>36204</v>
      </c>
      <c r="C7440" s="4" t="s">
        <v>36205</v>
      </c>
      <c r="D7440" s="4" t="s">
        <v>36229</v>
      </c>
      <c r="E7440" s="4" t="s">
        <v>36207</v>
      </c>
      <c r="F7440" s="4" t="s">
        <v>1583</v>
      </c>
      <c r="G7440" s="4" t="s">
        <v>36230</v>
      </c>
    </row>
    <row r="7441" ht="14.25">
      <c r="B7441" s="14" t="s">
        <v>36204</v>
      </c>
      <c r="C7441" s="4" t="s">
        <v>36205</v>
      </c>
      <c r="D7441" s="4" t="s">
        <v>36231</v>
      </c>
      <c r="E7441" s="4" t="s">
        <v>36207</v>
      </c>
      <c r="F7441" s="4" t="s">
        <v>110</v>
      </c>
      <c r="G7441" s="4" t="s">
        <v>36232</v>
      </c>
    </row>
    <row r="7442" ht="14.25">
      <c r="B7442" s="14" t="s">
        <v>36204</v>
      </c>
      <c r="C7442" s="4" t="s">
        <v>36205</v>
      </c>
      <c r="D7442" s="4" t="s">
        <v>36233</v>
      </c>
      <c r="E7442" s="4" t="s">
        <v>36207</v>
      </c>
      <c r="F7442" s="4" t="s">
        <v>670</v>
      </c>
      <c r="G7442" s="4" t="s">
        <v>36234</v>
      </c>
    </row>
    <row r="7443" ht="14.25">
      <c r="B7443" s="14" t="s">
        <v>36204</v>
      </c>
      <c r="C7443" s="4" t="s">
        <v>36235</v>
      </c>
      <c r="D7443" s="4" t="s">
        <v>36236</v>
      </c>
      <c r="E7443" s="4" t="s">
        <v>36237</v>
      </c>
      <c r="F7443" s="4" t="s">
        <v>2419</v>
      </c>
      <c r="G7443" s="4" t="s">
        <v>36238</v>
      </c>
    </row>
    <row r="7444" ht="14.25">
      <c r="B7444" s="14" t="s">
        <v>36204</v>
      </c>
      <c r="C7444" s="4" t="s">
        <v>36239</v>
      </c>
      <c r="D7444" s="4" t="s">
        <v>36240</v>
      </c>
      <c r="E7444" s="4" t="s">
        <v>36241</v>
      </c>
      <c r="F7444" s="4" t="s">
        <v>670</v>
      </c>
      <c r="G7444" s="4" t="s">
        <v>35276</v>
      </c>
    </row>
    <row r="7445" ht="14.25">
      <c r="B7445" s="14" t="s">
        <v>36204</v>
      </c>
      <c r="C7445" s="4" t="s">
        <v>36216</v>
      </c>
      <c r="D7445" s="4" t="s">
        <v>36242</v>
      </c>
      <c r="E7445" s="4" t="s">
        <v>36218</v>
      </c>
      <c r="F7445" s="4" t="s">
        <v>110</v>
      </c>
      <c r="G7445" s="4" t="s">
        <v>36243</v>
      </c>
    </row>
    <row r="7446" ht="14.25">
      <c r="B7446" s="14" t="s">
        <v>36204</v>
      </c>
      <c r="C7446" s="4" t="s">
        <v>36205</v>
      </c>
      <c r="D7446" s="4" t="s">
        <v>36244</v>
      </c>
      <c r="E7446" s="4" t="s">
        <v>36207</v>
      </c>
      <c r="F7446" s="4" t="s">
        <v>874</v>
      </c>
      <c r="G7446" s="4" t="s">
        <v>36245</v>
      </c>
    </row>
    <row r="7447" ht="14.25">
      <c r="B7447" s="14" t="s">
        <v>36204</v>
      </c>
      <c r="C7447" s="4" t="s">
        <v>36246</v>
      </c>
      <c r="D7447" s="4" t="s">
        <v>36247</v>
      </c>
      <c r="E7447" s="6"/>
      <c r="F7447" s="4" t="s">
        <v>33264</v>
      </c>
      <c r="G7447" s="4" t="s">
        <v>33120</v>
      </c>
    </row>
    <row r="7448" ht="14.25">
      <c r="B7448" s="14" t="s">
        <v>36204</v>
      </c>
      <c r="C7448" s="4" t="s">
        <v>36248</v>
      </c>
      <c r="D7448" s="4" t="s">
        <v>36249</v>
      </c>
      <c r="E7448" s="4" t="s">
        <v>36250</v>
      </c>
      <c r="F7448" s="4" t="s">
        <v>32831</v>
      </c>
      <c r="G7448" s="4" t="s">
        <v>36251</v>
      </c>
    </row>
    <row r="7449" ht="14.25">
      <c r="B7449" s="14" t="s">
        <v>36252</v>
      </c>
      <c r="C7449" s="4" t="s">
        <v>36253</v>
      </c>
      <c r="D7449" s="4" t="s">
        <v>36254</v>
      </c>
      <c r="E7449" s="4" t="s">
        <v>36255</v>
      </c>
      <c r="F7449" s="4" t="s">
        <v>32891</v>
      </c>
      <c r="G7449" s="4" t="s">
        <v>36256</v>
      </c>
    </row>
    <row r="7450" ht="14.25">
      <c r="B7450" s="14" t="s">
        <v>36252</v>
      </c>
      <c r="C7450" s="4" t="s">
        <v>36257</v>
      </c>
      <c r="D7450" s="4" t="s">
        <v>36258</v>
      </c>
      <c r="E7450" s="4" t="s">
        <v>36259</v>
      </c>
      <c r="F7450" s="4" t="s">
        <v>32548</v>
      </c>
      <c r="G7450" s="4" t="s">
        <v>36260</v>
      </c>
    </row>
    <row r="7451" ht="14.25">
      <c r="B7451" s="14" t="s">
        <v>36252</v>
      </c>
      <c r="C7451" s="4" t="s">
        <v>36257</v>
      </c>
      <c r="D7451" s="4" t="s">
        <v>36261</v>
      </c>
      <c r="E7451" s="4" t="s">
        <v>36259</v>
      </c>
      <c r="F7451" s="4" t="s">
        <v>110</v>
      </c>
      <c r="G7451" s="4" t="s">
        <v>36262</v>
      </c>
    </row>
    <row r="7452" ht="14.25">
      <c r="B7452" s="14" t="s">
        <v>36263</v>
      </c>
      <c r="C7452" s="4" t="s">
        <v>36264</v>
      </c>
      <c r="D7452" s="4" t="s">
        <v>36265</v>
      </c>
      <c r="E7452" s="4" t="s">
        <v>36266</v>
      </c>
      <c r="F7452" s="4" t="s">
        <v>20</v>
      </c>
      <c r="G7452" s="4" t="s">
        <v>36267</v>
      </c>
    </row>
    <row r="7453" ht="14.25">
      <c r="B7453" s="14" t="s">
        <v>36268</v>
      </c>
      <c r="C7453" s="4" t="s">
        <v>36269</v>
      </c>
      <c r="D7453" s="4" t="s">
        <v>36270</v>
      </c>
      <c r="E7453" s="4" t="s">
        <v>36271</v>
      </c>
      <c r="F7453" s="4" t="s">
        <v>1324</v>
      </c>
      <c r="G7453" s="4" t="s">
        <v>36272</v>
      </c>
    </row>
    <row r="7454" ht="14.25">
      <c r="B7454" s="14" t="s">
        <v>36268</v>
      </c>
      <c r="C7454" s="4" t="s">
        <v>36269</v>
      </c>
      <c r="D7454" s="4" t="s">
        <v>36273</v>
      </c>
      <c r="E7454" s="4" t="s">
        <v>36271</v>
      </c>
      <c r="F7454" s="4" t="s">
        <v>36274</v>
      </c>
      <c r="G7454" s="4" t="s">
        <v>36275</v>
      </c>
    </row>
    <row r="7455" ht="14.25">
      <c r="B7455" s="14" t="s">
        <v>36268</v>
      </c>
      <c r="C7455" s="4" t="s">
        <v>36269</v>
      </c>
      <c r="D7455" s="4" t="s">
        <v>36276</v>
      </c>
      <c r="E7455" s="4" t="s">
        <v>36271</v>
      </c>
      <c r="F7455" s="4" t="s">
        <v>355</v>
      </c>
      <c r="G7455" s="4" t="s">
        <v>36277</v>
      </c>
    </row>
    <row r="7456" ht="14.25">
      <c r="B7456" s="14" t="s">
        <v>36278</v>
      </c>
      <c r="C7456" s="4" t="s">
        <v>36279</v>
      </c>
      <c r="D7456" s="4" t="s">
        <v>36280</v>
      </c>
      <c r="E7456" s="4" t="s">
        <v>36281</v>
      </c>
      <c r="F7456" s="4" t="s">
        <v>33644</v>
      </c>
      <c r="G7456" s="4" t="s">
        <v>36282</v>
      </c>
    </row>
    <row r="7457" ht="14.25">
      <c r="B7457" s="14" t="s">
        <v>36278</v>
      </c>
      <c r="C7457" s="4" t="s">
        <v>36279</v>
      </c>
      <c r="D7457" s="4" t="s">
        <v>36281</v>
      </c>
      <c r="E7457" s="6"/>
      <c r="F7457" s="4" t="s">
        <v>36283</v>
      </c>
      <c r="G7457" s="4" t="s">
        <v>36284</v>
      </c>
    </row>
    <row r="7458" ht="14.25">
      <c r="B7458" s="14" t="s">
        <v>36285</v>
      </c>
      <c r="C7458" s="4" t="s">
        <v>36286</v>
      </c>
      <c r="D7458" s="4" t="s">
        <v>36287</v>
      </c>
      <c r="E7458" s="6"/>
      <c r="F7458" s="4" t="s">
        <v>32579</v>
      </c>
      <c r="G7458" s="4" t="s">
        <v>35662</v>
      </c>
    </row>
    <row r="7459" ht="14.25">
      <c r="B7459" s="14" t="s">
        <v>36285</v>
      </c>
      <c r="C7459" s="4" t="s">
        <v>36286</v>
      </c>
      <c r="D7459" s="4" t="s">
        <v>36288</v>
      </c>
      <c r="E7459" s="4" t="s">
        <v>36287</v>
      </c>
      <c r="F7459" s="4" t="s">
        <v>32548</v>
      </c>
      <c r="G7459" s="4" t="s">
        <v>36289</v>
      </c>
    </row>
    <row r="7460" ht="14.25">
      <c r="B7460" s="14" t="s">
        <v>36285</v>
      </c>
      <c r="C7460" s="4" t="s">
        <v>36286</v>
      </c>
      <c r="D7460" s="4" t="s">
        <v>36290</v>
      </c>
      <c r="E7460" s="4" t="s">
        <v>36287</v>
      </c>
      <c r="F7460" s="4" t="s">
        <v>36291</v>
      </c>
      <c r="G7460" s="4" t="s">
        <v>32868</v>
      </c>
    </row>
    <row r="7461" ht="14.25">
      <c r="B7461" s="14" t="s">
        <v>36285</v>
      </c>
      <c r="C7461" s="4" t="s">
        <v>36286</v>
      </c>
      <c r="D7461" s="4" t="s">
        <v>36287</v>
      </c>
      <c r="E7461" s="6"/>
      <c r="F7461" s="4" t="s">
        <v>32579</v>
      </c>
      <c r="G7461" s="4" t="s">
        <v>35662</v>
      </c>
    </row>
    <row r="7462" ht="14.25">
      <c r="B7462" s="14" t="s">
        <v>36285</v>
      </c>
      <c r="C7462" s="4" t="s">
        <v>36292</v>
      </c>
      <c r="D7462" s="4" t="s">
        <v>36293</v>
      </c>
      <c r="E7462" s="4" t="s">
        <v>36294</v>
      </c>
      <c r="F7462" s="4" t="s">
        <v>2462</v>
      </c>
      <c r="G7462" s="4" t="s">
        <v>36295</v>
      </c>
    </row>
    <row r="7463" ht="14.25">
      <c r="B7463" s="14" t="s">
        <v>36285</v>
      </c>
      <c r="C7463" s="4" t="s">
        <v>36286</v>
      </c>
      <c r="D7463" s="4" t="s">
        <v>36296</v>
      </c>
      <c r="E7463" s="4" t="s">
        <v>36287</v>
      </c>
      <c r="F7463" s="4" t="s">
        <v>36297</v>
      </c>
      <c r="G7463" s="4" t="s">
        <v>36298</v>
      </c>
    </row>
    <row r="7464" ht="14.25">
      <c r="B7464" s="14" t="s">
        <v>36285</v>
      </c>
      <c r="C7464" s="4" t="s">
        <v>36292</v>
      </c>
      <c r="D7464" s="4" t="s">
        <v>36299</v>
      </c>
      <c r="E7464" s="4" t="s">
        <v>36294</v>
      </c>
      <c r="F7464" s="4" t="s">
        <v>3164</v>
      </c>
      <c r="G7464" s="4" t="s">
        <v>36300</v>
      </c>
    </row>
    <row r="7465" ht="14.25">
      <c r="B7465" s="14" t="s">
        <v>36285</v>
      </c>
      <c r="C7465" s="4" t="s">
        <v>36286</v>
      </c>
      <c r="D7465" s="4" t="s">
        <v>36301</v>
      </c>
      <c r="E7465" s="4" t="s">
        <v>36287</v>
      </c>
      <c r="F7465" s="4" t="s">
        <v>36302</v>
      </c>
      <c r="G7465" s="4" t="s">
        <v>32868</v>
      </c>
    </row>
    <row r="7466" ht="14.25">
      <c r="B7466" s="14" t="s">
        <v>36303</v>
      </c>
      <c r="C7466" s="4" t="s">
        <v>36304</v>
      </c>
      <c r="D7466" s="4" t="s">
        <v>36305</v>
      </c>
      <c r="E7466" s="6"/>
      <c r="F7466" s="4" t="s">
        <v>32891</v>
      </c>
      <c r="G7466" s="4" t="s">
        <v>36306</v>
      </c>
    </row>
    <row r="7467" ht="14.25">
      <c r="B7467" s="14" t="s">
        <v>36307</v>
      </c>
      <c r="C7467" s="4" t="s">
        <v>36308</v>
      </c>
      <c r="D7467" s="4" t="s">
        <v>36309</v>
      </c>
      <c r="E7467" s="4" t="s">
        <v>36310</v>
      </c>
      <c r="F7467" s="4" t="s">
        <v>36311</v>
      </c>
      <c r="G7467" s="4" t="s">
        <v>36312</v>
      </c>
    </row>
    <row r="7468" ht="14.25">
      <c r="B7468" s="14" t="s">
        <v>36307</v>
      </c>
      <c r="C7468" s="4" t="s">
        <v>36308</v>
      </c>
      <c r="D7468" s="4" t="s">
        <v>36313</v>
      </c>
      <c r="E7468" s="4" t="s">
        <v>36310</v>
      </c>
      <c r="F7468" s="4" t="s">
        <v>95</v>
      </c>
      <c r="G7468" s="4" t="s">
        <v>34625</v>
      </c>
    </row>
    <row r="7469" ht="14.25">
      <c r="B7469" s="14" t="s">
        <v>36314</v>
      </c>
      <c r="C7469" s="4" t="s">
        <v>36315</v>
      </c>
      <c r="D7469" s="4" t="s">
        <v>36316</v>
      </c>
      <c r="E7469" s="6"/>
      <c r="F7469" s="4" t="s">
        <v>24071</v>
      </c>
      <c r="G7469" s="4" t="s">
        <v>36317</v>
      </c>
    </row>
    <row r="7470" ht="14.25">
      <c r="B7470" s="14" t="s">
        <v>36318</v>
      </c>
      <c r="C7470" s="4" t="s">
        <v>36319</v>
      </c>
      <c r="D7470" s="4" t="s">
        <v>36320</v>
      </c>
      <c r="E7470" s="4" t="s">
        <v>36321</v>
      </c>
      <c r="F7470" s="4" t="s">
        <v>36322</v>
      </c>
      <c r="G7470" s="4" t="s">
        <v>36323</v>
      </c>
    </row>
    <row r="7471" ht="14.25">
      <c r="B7471" s="14" t="s">
        <v>36324</v>
      </c>
      <c r="C7471" s="4" t="s">
        <v>36325</v>
      </c>
      <c r="D7471" s="4" t="s">
        <v>36326</v>
      </c>
      <c r="E7471" s="4" t="s">
        <v>36327</v>
      </c>
      <c r="F7471" s="4" t="s">
        <v>330</v>
      </c>
      <c r="G7471" s="4" t="s">
        <v>36328</v>
      </c>
    </row>
    <row r="7472" ht="14.25">
      <c r="B7472" s="14" t="s">
        <v>36324</v>
      </c>
      <c r="C7472" s="4" t="s">
        <v>36325</v>
      </c>
      <c r="D7472" s="4" t="s">
        <v>36329</v>
      </c>
      <c r="E7472" s="4" t="s">
        <v>36327</v>
      </c>
      <c r="F7472" s="4" t="s">
        <v>33712</v>
      </c>
      <c r="G7472" s="4" t="s">
        <v>36330</v>
      </c>
    </row>
    <row r="7473" ht="14.25">
      <c r="B7473" s="14" t="s">
        <v>36331</v>
      </c>
      <c r="C7473" s="4" t="s">
        <v>36332</v>
      </c>
      <c r="D7473" s="4" t="s">
        <v>36333</v>
      </c>
      <c r="E7473" s="4" t="s">
        <v>36334</v>
      </c>
      <c r="F7473" s="4" t="s">
        <v>808</v>
      </c>
      <c r="G7473" s="4" t="s">
        <v>36335</v>
      </c>
    </row>
    <row r="7474" ht="14.25">
      <c r="B7474" s="14" t="s">
        <v>36336</v>
      </c>
      <c r="C7474" s="4" t="s">
        <v>36337</v>
      </c>
      <c r="D7474" s="4" t="s">
        <v>36338</v>
      </c>
      <c r="E7474" s="4" t="s">
        <v>36339</v>
      </c>
      <c r="F7474" s="4" t="s">
        <v>33923</v>
      </c>
      <c r="G7474" s="4" t="s">
        <v>33863</v>
      </c>
    </row>
    <row r="7475" ht="14.25">
      <c r="B7475" s="14" t="s">
        <v>36336</v>
      </c>
      <c r="C7475" s="4" t="s">
        <v>36337</v>
      </c>
      <c r="D7475" s="4" t="s">
        <v>36340</v>
      </c>
      <c r="E7475" s="4" t="s">
        <v>36339</v>
      </c>
      <c r="F7475" s="4" t="s">
        <v>32622</v>
      </c>
      <c r="G7475" s="4" t="s">
        <v>36341</v>
      </c>
    </row>
    <row r="7476" ht="14.25">
      <c r="B7476" s="14" t="s">
        <v>36342</v>
      </c>
      <c r="C7476" s="4" t="s">
        <v>36343</v>
      </c>
      <c r="D7476" s="4" t="s">
        <v>36344</v>
      </c>
      <c r="E7476" s="6"/>
      <c r="F7476" s="4" t="s">
        <v>808</v>
      </c>
      <c r="G7476" s="4" t="s">
        <v>36345</v>
      </c>
    </row>
    <row r="7477" ht="14.25">
      <c r="B7477" s="14" t="s">
        <v>36342</v>
      </c>
      <c r="C7477" s="4" t="s">
        <v>36346</v>
      </c>
      <c r="D7477" s="4" t="s">
        <v>36347</v>
      </c>
      <c r="E7477" s="4" t="s">
        <v>36348</v>
      </c>
      <c r="F7477" s="4" t="s">
        <v>866</v>
      </c>
      <c r="G7477" s="4" t="s">
        <v>36349</v>
      </c>
    </row>
    <row r="7478" ht="14.25">
      <c r="B7478" s="14" t="s">
        <v>36342</v>
      </c>
      <c r="C7478" s="4" t="s">
        <v>36346</v>
      </c>
      <c r="D7478" s="4" t="s">
        <v>36350</v>
      </c>
      <c r="E7478" s="4" t="s">
        <v>36348</v>
      </c>
      <c r="F7478" s="4" t="s">
        <v>5103</v>
      </c>
      <c r="G7478" s="4" t="s">
        <v>36351</v>
      </c>
    </row>
    <row r="7479" ht="14.25">
      <c r="B7479" s="14" t="s">
        <v>36342</v>
      </c>
      <c r="C7479" s="4" t="s">
        <v>36346</v>
      </c>
      <c r="D7479" s="4" t="s">
        <v>36352</v>
      </c>
      <c r="E7479" s="4" t="s">
        <v>36348</v>
      </c>
      <c r="F7479" s="4" t="s">
        <v>1215</v>
      </c>
      <c r="G7479" s="4" t="s">
        <v>36353</v>
      </c>
    </row>
    <row r="7480" ht="14.25">
      <c r="B7480" s="14" t="s">
        <v>36354</v>
      </c>
      <c r="C7480" s="4" t="s">
        <v>36355</v>
      </c>
      <c r="D7480" s="4" t="s">
        <v>36356</v>
      </c>
      <c r="E7480" s="6"/>
      <c r="F7480" s="4" t="s">
        <v>866</v>
      </c>
      <c r="G7480" s="4" t="s">
        <v>36357</v>
      </c>
    </row>
    <row r="7481" ht="14.25">
      <c r="B7481" s="14" t="s">
        <v>36354</v>
      </c>
      <c r="C7481" s="4" t="s">
        <v>36355</v>
      </c>
      <c r="D7481" s="4" t="s">
        <v>36358</v>
      </c>
      <c r="E7481" s="4" t="s">
        <v>36356</v>
      </c>
      <c r="F7481" s="4" t="s">
        <v>36359</v>
      </c>
      <c r="G7481" s="4" t="s">
        <v>36360</v>
      </c>
    </row>
    <row r="7482" ht="14.25">
      <c r="B7482" s="14" t="s">
        <v>36361</v>
      </c>
      <c r="C7482" s="4" t="s">
        <v>36362</v>
      </c>
      <c r="D7482" s="4" t="s">
        <v>36363</v>
      </c>
      <c r="E7482" s="4" t="s">
        <v>36364</v>
      </c>
      <c r="F7482" s="4" t="s">
        <v>994</v>
      </c>
      <c r="G7482" s="4" t="s">
        <v>36365</v>
      </c>
    </row>
    <row r="7483" ht="14.25">
      <c r="B7483" s="14" t="s">
        <v>36366</v>
      </c>
      <c r="C7483" s="4" t="s">
        <v>36367</v>
      </c>
      <c r="D7483" s="4" t="s">
        <v>36368</v>
      </c>
      <c r="E7483" s="4" t="s">
        <v>36369</v>
      </c>
      <c r="F7483" s="4" t="s">
        <v>1353</v>
      </c>
      <c r="G7483" s="4" t="s">
        <v>36370</v>
      </c>
    </row>
    <row r="7484" ht="14.25">
      <c r="B7484" s="14" t="s">
        <v>36366</v>
      </c>
      <c r="C7484" s="4" t="s">
        <v>36367</v>
      </c>
      <c r="D7484" s="4" t="s">
        <v>36371</v>
      </c>
      <c r="E7484" s="4" t="s">
        <v>36369</v>
      </c>
      <c r="F7484" s="4" t="s">
        <v>32616</v>
      </c>
      <c r="G7484" s="4" t="s">
        <v>36372</v>
      </c>
    </row>
    <row r="7485" ht="14.25">
      <c r="B7485" s="14" t="s">
        <v>36366</v>
      </c>
      <c r="C7485" s="4" t="s">
        <v>36373</v>
      </c>
      <c r="D7485" s="4" t="s">
        <v>36374</v>
      </c>
      <c r="E7485" s="4" t="s">
        <v>36375</v>
      </c>
      <c r="F7485" s="4" t="s">
        <v>33923</v>
      </c>
      <c r="G7485" s="4" t="s">
        <v>36376</v>
      </c>
    </row>
    <row r="7486" ht="14.25">
      <c r="B7486" s="14" t="s">
        <v>36366</v>
      </c>
      <c r="C7486" s="4" t="s">
        <v>36367</v>
      </c>
      <c r="D7486" s="4" t="s">
        <v>36377</v>
      </c>
      <c r="E7486" s="4" t="s">
        <v>36369</v>
      </c>
      <c r="F7486" s="4" t="s">
        <v>32725</v>
      </c>
      <c r="G7486" s="4" t="s">
        <v>36378</v>
      </c>
    </row>
    <row r="7487" ht="14.25">
      <c r="B7487" s="14" t="s">
        <v>36366</v>
      </c>
      <c r="C7487" s="4" t="s">
        <v>36373</v>
      </c>
      <c r="D7487" s="4" t="s">
        <v>36379</v>
      </c>
      <c r="E7487" s="4" t="s">
        <v>36375</v>
      </c>
      <c r="F7487" s="4" t="s">
        <v>5679</v>
      </c>
      <c r="G7487" s="4" t="s">
        <v>36380</v>
      </c>
    </row>
    <row r="7488" ht="14.25">
      <c r="B7488" s="14" t="s">
        <v>36381</v>
      </c>
      <c r="C7488" s="4" t="s">
        <v>36382</v>
      </c>
      <c r="D7488" s="4" t="s">
        <v>36383</v>
      </c>
      <c r="E7488" s="6"/>
      <c r="F7488" s="4" t="s">
        <v>33135</v>
      </c>
      <c r="G7488" s="4" t="s">
        <v>36384</v>
      </c>
    </row>
    <row r="7489" ht="14.25">
      <c r="B7489" s="14" t="s">
        <v>36385</v>
      </c>
      <c r="C7489" s="4" t="s">
        <v>36386</v>
      </c>
      <c r="D7489" s="4" t="s">
        <v>36387</v>
      </c>
      <c r="E7489" s="4" t="s">
        <v>36388</v>
      </c>
      <c r="F7489" s="4" t="s">
        <v>32579</v>
      </c>
      <c r="G7489" s="4" t="s">
        <v>36389</v>
      </c>
    </row>
    <row r="7490" ht="14.25">
      <c r="B7490" s="14" t="s">
        <v>36390</v>
      </c>
      <c r="C7490" s="4" t="s">
        <v>36391</v>
      </c>
      <c r="D7490" s="4" t="s">
        <v>36392</v>
      </c>
      <c r="E7490" s="4" t="s">
        <v>36393</v>
      </c>
      <c r="F7490" s="4" t="s">
        <v>27569</v>
      </c>
      <c r="G7490" s="4" t="s">
        <v>36394</v>
      </c>
    </row>
    <row r="7491" ht="14.25">
      <c r="B7491" s="14" t="s">
        <v>36390</v>
      </c>
      <c r="C7491" s="4" t="s">
        <v>36395</v>
      </c>
      <c r="D7491" s="4" t="s">
        <v>36396</v>
      </c>
      <c r="E7491" s="6"/>
      <c r="F7491" s="4" t="s">
        <v>13010</v>
      </c>
      <c r="G7491" s="4" t="s">
        <v>36397</v>
      </c>
    </row>
    <row r="7492" ht="14.25">
      <c r="B7492" s="14" t="s">
        <v>36390</v>
      </c>
      <c r="C7492" s="4" t="s">
        <v>36398</v>
      </c>
      <c r="D7492" s="4" t="s">
        <v>36399</v>
      </c>
      <c r="E7492" s="4" t="s">
        <v>36400</v>
      </c>
      <c r="F7492" s="4" t="s">
        <v>4026</v>
      </c>
      <c r="G7492" s="4" t="s">
        <v>36401</v>
      </c>
    </row>
    <row r="7493" ht="14.25">
      <c r="B7493" s="14" t="s">
        <v>36390</v>
      </c>
      <c r="C7493" s="4" t="s">
        <v>36391</v>
      </c>
      <c r="D7493" s="4" t="s">
        <v>36402</v>
      </c>
      <c r="E7493" s="4" t="s">
        <v>36393</v>
      </c>
      <c r="F7493" s="4" t="s">
        <v>330</v>
      </c>
      <c r="G7493" s="4" t="s">
        <v>36403</v>
      </c>
    </row>
    <row r="7494" ht="14.25">
      <c r="B7494" s="14" t="s">
        <v>36390</v>
      </c>
      <c r="C7494" s="4" t="s">
        <v>36404</v>
      </c>
      <c r="D7494" s="4" t="s">
        <v>36405</v>
      </c>
      <c r="E7494" s="6"/>
      <c r="F7494" s="4" t="s">
        <v>36406</v>
      </c>
      <c r="G7494" s="4" t="s">
        <v>36407</v>
      </c>
    </row>
    <row r="7495" ht="14.25">
      <c r="B7495" s="14" t="s">
        <v>36390</v>
      </c>
      <c r="C7495" s="4" t="s">
        <v>36391</v>
      </c>
      <c r="D7495" s="4" t="s">
        <v>36408</v>
      </c>
      <c r="E7495" s="4" t="s">
        <v>36393</v>
      </c>
      <c r="F7495" s="4" t="s">
        <v>6788</v>
      </c>
      <c r="G7495" s="4" t="s">
        <v>36409</v>
      </c>
    </row>
    <row r="7496" ht="14.25">
      <c r="B7496" s="14" t="s">
        <v>36390</v>
      </c>
      <c r="C7496" s="4" t="s">
        <v>36410</v>
      </c>
      <c r="D7496" s="4" t="s">
        <v>36411</v>
      </c>
      <c r="E7496" s="6"/>
      <c r="F7496" s="4" t="s">
        <v>485</v>
      </c>
      <c r="G7496" s="4" t="s">
        <v>36412</v>
      </c>
    </row>
    <row r="7497" ht="14.25">
      <c r="B7497" s="14" t="s">
        <v>36390</v>
      </c>
      <c r="C7497" s="4" t="s">
        <v>36391</v>
      </c>
      <c r="D7497" s="4" t="s">
        <v>36413</v>
      </c>
      <c r="E7497" s="4" t="s">
        <v>36393</v>
      </c>
      <c r="F7497" s="4" t="s">
        <v>1583</v>
      </c>
      <c r="G7497" s="4" t="s">
        <v>36414</v>
      </c>
    </row>
    <row r="7498" ht="14.25">
      <c r="B7498" s="14" t="s">
        <v>36390</v>
      </c>
      <c r="C7498" s="4" t="s">
        <v>36391</v>
      </c>
      <c r="D7498" s="4" t="s">
        <v>36415</v>
      </c>
      <c r="E7498" s="4" t="s">
        <v>36393</v>
      </c>
      <c r="F7498" s="4" t="s">
        <v>32831</v>
      </c>
      <c r="G7498" s="4" t="s">
        <v>36416</v>
      </c>
    </row>
    <row r="7499" ht="14.25">
      <c r="B7499" s="14" t="s">
        <v>36390</v>
      </c>
      <c r="C7499" s="4" t="s">
        <v>36391</v>
      </c>
      <c r="D7499" s="4" t="s">
        <v>36417</v>
      </c>
      <c r="E7499" s="4" t="s">
        <v>36393</v>
      </c>
      <c r="F7499" s="4" t="s">
        <v>6634</v>
      </c>
      <c r="G7499" s="4" t="s">
        <v>36418</v>
      </c>
    </row>
    <row r="7500" ht="14.25">
      <c r="B7500" s="14" t="s">
        <v>36390</v>
      </c>
      <c r="C7500" s="4" t="s">
        <v>36391</v>
      </c>
      <c r="D7500" s="4" t="s">
        <v>36419</v>
      </c>
      <c r="E7500" s="4" t="s">
        <v>36393</v>
      </c>
      <c r="F7500" s="4" t="s">
        <v>20612</v>
      </c>
      <c r="G7500" s="4" t="s">
        <v>36420</v>
      </c>
    </row>
    <row r="7501" ht="14.25">
      <c r="B7501" s="14" t="s">
        <v>36390</v>
      </c>
      <c r="C7501" s="4" t="s">
        <v>36421</v>
      </c>
      <c r="D7501" s="4" t="s">
        <v>36422</v>
      </c>
      <c r="E7501" s="6"/>
      <c r="F7501" s="4" t="s">
        <v>2119</v>
      </c>
      <c r="G7501" s="4" t="s">
        <v>36423</v>
      </c>
    </row>
    <row r="7502" ht="14.25">
      <c r="B7502" s="14" t="s">
        <v>36390</v>
      </c>
      <c r="C7502" s="4" t="s">
        <v>36391</v>
      </c>
      <c r="D7502" s="4" t="s">
        <v>36424</v>
      </c>
      <c r="E7502" s="4" t="s">
        <v>36393</v>
      </c>
      <c r="F7502" s="4" t="s">
        <v>1215</v>
      </c>
      <c r="G7502" s="4" t="s">
        <v>36425</v>
      </c>
    </row>
    <row r="7503" ht="14.25">
      <c r="B7503" s="14" t="s">
        <v>36390</v>
      </c>
      <c r="C7503" s="4" t="s">
        <v>36391</v>
      </c>
      <c r="D7503" s="4" t="s">
        <v>36426</v>
      </c>
      <c r="E7503" s="4" t="s">
        <v>36393</v>
      </c>
      <c r="F7503" s="4" t="s">
        <v>1571</v>
      </c>
      <c r="G7503" s="4" t="s">
        <v>36427</v>
      </c>
    </row>
    <row r="7504" ht="14.25">
      <c r="B7504" s="14" t="s">
        <v>36390</v>
      </c>
      <c r="C7504" s="4" t="s">
        <v>36428</v>
      </c>
      <c r="D7504" s="4" t="s">
        <v>36429</v>
      </c>
      <c r="E7504" s="4" t="s">
        <v>36430</v>
      </c>
      <c r="F7504" s="4" t="s">
        <v>95</v>
      </c>
      <c r="G7504" s="4" t="s">
        <v>36431</v>
      </c>
    </row>
    <row r="7505" ht="14.25">
      <c r="B7505" s="14" t="s">
        <v>36390</v>
      </c>
      <c r="C7505" s="4" t="s">
        <v>36391</v>
      </c>
      <c r="D7505" s="4" t="s">
        <v>36434</v>
      </c>
      <c r="E7505" s="4" t="s">
        <v>36393</v>
      </c>
      <c r="F7505" s="4" t="s">
        <v>33644</v>
      </c>
      <c r="G7505" s="4" t="s">
        <v>36435</v>
      </c>
    </row>
    <row r="7506" ht="14.25">
      <c r="B7506" s="14" t="s">
        <v>36390</v>
      </c>
      <c r="C7506" s="4" t="s">
        <v>36391</v>
      </c>
      <c r="D7506" s="4" t="s">
        <v>36436</v>
      </c>
      <c r="E7506" s="4" t="s">
        <v>36393</v>
      </c>
      <c r="F7506" s="4" t="s">
        <v>604</v>
      </c>
      <c r="G7506" s="4" t="s">
        <v>36437</v>
      </c>
    </row>
    <row r="7507" ht="14.25">
      <c r="B7507" s="14" t="s">
        <v>36390</v>
      </c>
      <c r="C7507" s="4" t="s">
        <v>36391</v>
      </c>
      <c r="D7507" s="4" t="s">
        <v>36438</v>
      </c>
      <c r="E7507" s="4" t="s">
        <v>36393</v>
      </c>
      <c r="F7507" s="4" t="s">
        <v>604</v>
      </c>
      <c r="G7507" s="4" t="s">
        <v>36439</v>
      </c>
    </row>
    <row r="7508" ht="14.25">
      <c r="B7508" s="14" t="s">
        <v>36440</v>
      </c>
      <c r="C7508" s="4" t="s">
        <v>36441</v>
      </c>
      <c r="D7508" s="4" t="s">
        <v>36442</v>
      </c>
      <c r="E7508" s="4" t="s">
        <v>36443</v>
      </c>
      <c r="F7508" s="4" t="s">
        <v>32579</v>
      </c>
      <c r="G7508" s="4" t="s">
        <v>36444</v>
      </c>
    </row>
    <row r="7509" ht="14.25">
      <c r="B7509" s="14" t="s">
        <v>36445</v>
      </c>
      <c r="C7509" s="4" t="s">
        <v>36446</v>
      </c>
      <c r="D7509" s="4" t="s">
        <v>36447</v>
      </c>
      <c r="E7509" s="6"/>
      <c r="F7509" s="4" t="s">
        <v>4969</v>
      </c>
      <c r="G7509" s="4" t="s">
        <v>36448</v>
      </c>
    </row>
    <row r="7510" ht="14.25">
      <c r="B7510" s="14" t="s">
        <v>36449</v>
      </c>
      <c r="C7510" s="4" t="s">
        <v>36450</v>
      </c>
      <c r="D7510" s="4" t="s">
        <v>36451</v>
      </c>
      <c r="E7510" s="4" t="s">
        <v>36452</v>
      </c>
      <c r="F7510" s="4" t="s">
        <v>170</v>
      </c>
      <c r="G7510" s="4" t="s">
        <v>36453</v>
      </c>
    </row>
    <row r="7511" ht="14.25">
      <c r="B7511" s="14" t="s">
        <v>36449</v>
      </c>
      <c r="C7511" s="4" t="s">
        <v>36454</v>
      </c>
      <c r="D7511" s="4" t="s">
        <v>36455</v>
      </c>
      <c r="E7511" s="4" t="s">
        <v>36456</v>
      </c>
      <c r="F7511" s="4" t="s">
        <v>5103</v>
      </c>
      <c r="G7511" s="4" t="s">
        <v>36457</v>
      </c>
    </row>
    <row r="7512" ht="14.25">
      <c r="B7512" s="14" t="s">
        <v>36449</v>
      </c>
      <c r="C7512" s="4" t="s">
        <v>36454</v>
      </c>
      <c r="D7512" s="4" t="s">
        <v>36458</v>
      </c>
      <c r="E7512" s="4" t="s">
        <v>36456</v>
      </c>
      <c r="F7512" s="4" t="s">
        <v>1153</v>
      </c>
      <c r="G7512" s="4" t="s">
        <v>36459</v>
      </c>
    </row>
    <row r="7513" ht="14.25">
      <c r="B7513" s="14" t="s">
        <v>36460</v>
      </c>
      <c r="C7513" s="4" t="s">
        <v>36461</v>
      </c>
      <c r="D7513" s="4" t="s">
        <v>36462</v>
      </c>
      <c r="E7513" s="4" t="s">
        <v>36463</v>
      </c>
      <c r="F7513" s="4" t="s">
        <v>1815</v>
      </c>
      <c r="G7513" s="4" t="s">
        <v>36464</v>
      </c>
    </row>
    <row r="7514" ht="14.25">
      <c r="B7514" s="14" t="s">
        <v>36465</v>
      </c>
      <c r="C7514" s="4" t="s">
        <v>36466</v>
      </c>
      <c r="D7514" s="4" t="s">
        <v>36467</v>
      </c>
      <c r="E7514" s="4" t="s">
        <v>36468</v>
      </c>
      <c r="F7514" s="4" t="s">
        <v>1562</v>
      </c>
      <c r="G7514" s="4" t="s">
        <v>36469</v>
      </c>
    </row>
    <row r="7515" ht="14.25">
      <c r="B7515" s="14" t="s">
        <v>36465</v>
      </c>
      <c r="C7515" s="4" t="s">
        <v>36466</v>
      </c>
      <c r="D7515" s="4" t="s">
        <v>36470</v>
      </c>
      <c r="E7515" s="4" t="s">
        <v>36468</v>
      </c>
      <c r="F7515" s="4" t="s">
        <v>785</v>
      </c>
      <c r="G7515" s="4" t="s">
        <v>36471</v>
      </c>
    </row>
    <row r="7516" ht="14.25">
      <c r="B7516" s="14" t="s">
        <v>36465</v>
      </c>
      <c r="C7516" s="4" t="s">
        <v>36466</v>
      </c>
      <c r="D7516" s="4" t="s">
        <v>36472</v>
      </c>
      <c r="E7516" s="4" t="s">
        <v>36468</v>
      </c>
      <c r="F7516" s="4" t="s">
        <v>95</v>
      </c>
      <c r="G7516" s="4" t="s">
        <v>36473</v>
      </c>
    </row>
    <row r="7517" ht="14.25">
      <c r="B7517" s="14" t="s">
        <v>36465</v>
      </c>
      <c r="C7517" s="4" t="s">
        <v>36466</v>
      </c>
      <c r="D7517" s="4" t="s">
        <v>36474</v>
      </c>
      <c r="E7517" s="4" t="s">
        <v>36468</v>
      </c>
      <c r="F7517" s="4" t="s">
        <v>32831</v>
      </c>
      <c r="G7517" s="4" t="s">
        <v>36475</v>
      </c>
    </row>
    <row r="7518" ht="14.25">
      <c r="B7518" s="14" t="s">
        <v>36476</v>
      </c>
      <c r="C7518" s="4" t="s">
        <v>36477</v>
      </c>
      <c r="D7518" s="4" t="s">
        <v>36478</v>
      </c>
      <c r="E7518" s="6"/>
      <c r="F7518" s="4" t="s">
        <v>604</v>
      </c>
      <c r="G7518" s="4" t="s">
        <v>34472</v>
      </c>
    </row>
    <row r="7519" ht="14.25">
      <c r="B7519" s="14" t="s">
        <v>36476</v>
      </c>
      <c r="C7519" s="4" t="s">
        <v>36479</v>
      </c>
      <c r="D7519" s="4" t="s">
        <v>36480</v>
      </c>
      <c r="E7519" s="4" t="s">
        <v>36481</v>
      </c>
      <c r="F7519" s="4" t="s">
        <v>76</v>
      </c>
      <c r="G7519" s="4" t="s">
        <v>36482</v>
      </c>
    </row>
    <row r="7520" ht="14.25">
      <c r="B7520" s="14" t="s">
        <v>36476</v>
      </c>
      <c r="C7520" s="4" t="s">
        <v>36477</v>
      </c>
      <c r="D7520" s="4" t="s">
        <v>36483</v>
      </c>
      <c r="E7520" s="4" t="s">
        <v>36478</v>
      </c>
      <c r="F7520" s="4" t="s">
        <v>908</v>
      </c>
      <c r="G7520" s="4" t="s">
        <v>36484</v>
      </c>
    </row>
    <row r="7521" ht="14.25">
      <c r="B7521" s="14" t="s">
        <v>36476</v>
      </c>
      <c r="C7521" s="4" t="s">
        <v>36485</v>
      </c>
      <c r="D7521" s="4" t="s">
        <v>36486</v>
      </c>
      <c r="E7521" s="4" t="s">
        <v>36487</v>
      </c>
      <c r="F7521" s="4" t="s">
        <v>32891</v>
      </c>
      <c r="G7521" s="4" t="s">
        <v>36488</v>
      </c>
    </row>
    <row r="7522" ht="14.25">
      <c r="B7522" s="14" t="s">
        <v>36476</v>
      </c>
      <c r="C7522" s="4" t="s">
        <v>36485</v>
      </c>
      <c r="D7522" s="4" t="s">
        <v>36489</v>
      </c>
      <c r="E7522" s="4" t="s">
        <v>36487</v>
      </c>
      <c r="F7522" s="4" t="s">
        <v>5579</v>
      </c>
      <c r="G7522" s="4" t="s">
        <v>36490</v>
      </c>
    </row>
    <row r="7523" ht="14.25">
      <c r="B7523" s="14" t="s">
        <v>36476</v>
      </c>
      <c r="C7523" s="4" t="s">
        <v>36491</v>
      </c>
      <c r="D7523" s="4" t="s">
        <v>36492</v>
      </c>
      <c r="E7523" s="4" t="s">
        <v>36493</v>
      </c>
      <c r="F7523" s="4" t="s">
        <v>8049</v>
      </c>
      <c r="G7523" s="4" t="s">
        <v>36494</v>
      </c>
    </row>
    <row r="7524" ht="14.25">
      <c r="B7524" s="14" t="s">
        <v>36476</v>
      </c>
      <c r="C7524" s="4" t="s">
        <v>36495</v>
      </c>
      <c r="D7524" s="4" t="s">
        <v>36496</v>
      </c>
      <c r="E7524" s="4" t="s">
        <v>36497</v>
      </c>
      <c r="F7524" s="4" t="s">
        <v>6844</v>
      </c>
      <c r="G7524" s="4" t="s">
        <v>36498</v>
      </c>
    </row>
    <row r="7525" ht="14.25">
      <c r="B7525" s="14" t="s">
        <v>36476</v>
      </c>
      <c r="C7525" s="4" t="s">
        <v>36485</v>
      </c>
      <c r="D7525" s="4" t="s">
        <v>36499</v>
      </c>
      <c r="E7525" s="4" t="s">
        <v>36487</v>
      </c>
      <c r="F7525" s="4" t="s">
        <v>3359</v>
      </c>
      <c r="G7525" s="4" t="s">
        <v>36500</v>
      </c>
    </row>
    <row r="7526" ht="14.25">
      <c r="B7526" s="14" t="s">
        <v>36501</v>
      </c>
      <c r="C7526" s="4" t="s">
        <v>36502</v>
      </c>
      <c r="D7526" s="4" t="s">
        <v>36503</v>
      </c>
      <c r="E7526" s="4" t="s">
        <v>36504</v>
      </c>
      <c r="F7526" s="4" t="s">
        <v>7559</v>
      </c>
      <c r="G7526" s="4" t="s">
        <v>36505</v>
      </c>
    </row>
    <row r="7527" ht="14.25">
      <c r="B7527" s="14" t="s">
        <v>36501</v>
      </c>
      <c r="C7527" s="4" t="s">
        <v>36506</v>
      </c>
      <c r="D7527" s="4" t="s">
        <v>36507</v>
      </c>
      <c r="E7527" s="4" t="s">
        <v>36508</v>
      </c>
      <c r="F7527" s="4" t="s">
        <v>6923</v>
      </c>
      <c r="G7527" s="4" t="s">
        <v>36509</v>
      </c>
    </row>
    <row r="7528" ht="14.25">
      <c r="B7528" s="14" t="s">
        <v>36501</v>
      </c>
      <c r="C7528" s="4" t="s">
        <v>36510</v>
      </c>
      <c r="D7528" s="4" t="s">
        <v>36511</v>
      </c>
      <c r="E7528" s="6"/>
      <c r="F7528" s="4" t="s">
        <v>5716</v>
      </c>
      <c r="G7528" s="4" t="s">
        <v>36512</v>
      </c>
    </row>
    <row r="7529" ht="14.25">
      <c r="B7529" s="14" t="s">
        <v>36501</v>
      </c>
      <c r="C7529" s="4" t="s">
        <v>36513</v>
      </c>
      <c r="D7529" s="4" t="s">
        <v>36514</v>
      </c>
      <c r="E7529" s="4" t="s">
        <v>36515</v>
      </c>
      <c r="F7529" s="4" t="s">
        <v>3609</v>
      </c>
      <c r="G7529" s="4" t="s">
        <v>36516</v>
      </c>
    </row>
    <row r="7530" ht="14.25">
      <c r="B7530" s="14" t="s">
        <v>36501</v>
      </c>
      <c r="C7530" s="4" t="s">
        <v>36513</v>
      </c>
      <c r="D7530" s="4" t="s">
        <v>36517</v>
      </c>
      <c r="E7530" s="4" t="s">
        <v>36515</v>
      </c>
      <c r="F7530" s="4" t="s">
        <v>2508</v>
      </c>
      <c r="G7530" s="4" t="s">
        <v>36518</v>
      </c>
    </row>
    <row r="7531" ht="14.25">
      <c r="B7531" s="14" t="s">
        <v>36501</v>
      </c>
      <c r="C7531" s="4" t="s">
        <v>36519</v>
      </c>
      <c r="D7531" s="4" t="s">
        <v>36520</v>
      </c>
      <c r="E7531" s="4" t="s">
        <v>36521</v>
      </c>
      <c r="F7531" s="4" t="s">
        <v>32622</v>
      </c>
      <c r="G7531" s="4" t="s">
        <v>33820</v>
      </c>
    </row>
    <row r="7532" ht="14.25">
      <c r="B7532" s="14" t="s">
        <v>36501</v>
      </c>
      <c r="C7532" s="4" t="s">
        <v>36513</v>
      </c>
      <c r="D7532" s="4" t="s">
        <v>36522</v>
      </c>
      <c r="E7532" s="4" t="s">
        <v>36515</v>
      </c>
      <c r="F7532" s="4" t="s">
        <v>2994</v>
      </c>
      <c r="G7532" s="4" t="s">
        <v>36523</v>
      </c>
    </row>
    <row r="7533" ht="14.25">
      <c r="B7533" s="14" t="s">
        <v>36524</v>
      </c>
      <c r="C7533" s="4" t="s">
        <v>36525</v>
      </c>
      <c r="D7533" s="4" t="s">
        <v>36526</v>
      </c>
      <c r="E7533" s="4" t="s">
        <v>36527</v>
      </c>
      <c r="F7533" s="4" t="s">
        <v>679</v>
      </c>
      <c r="G7533" s="4" t="s">
        <v>36528</v>
      </c>
    </row>
    <row r="7534" ht="14.25">
      <c r="B7534" s="14" t="s">
        <v>36524</v>
      </c>
      <c r="C7534" s="4" t="s">
        <v>36525</v>
      </c>
      <c r="D7534" s="4" t="s">
        <v>36529</v>
      </c>
      <c r="E7534" s="4" t="s">
        <v>36527</v>
      </c>
      <c r="F7534" s="4" t="s">
        <v>33283</v>
      </c>
      <c r="G7534" s="4" t="s">
        <v>36530</v>
      </c>
    </row>
    <row r="7535" ht="14.25">
      <c r="B7535" s="14" t="s">
        <v>36531</v>
      </c>
      <c r="C7535" s="4" t="s">
        <v>36532</v>
      </c>
      <c r="D7535" s="4" t="s">
        <v>36533</v>
      </c>
      <c r="E7535" s="6"/>
      <c r="F7535" s="4" t="s">
        <v>110</v>
      </c>
      <c r="G7535" s="4" t="s">
        <v>36534</v>
      </c>
    </row>
    <row r="7536" ht="14.25">
      <c r="B7536" s="14" t="s">
        <v>36535</v>
      </c>
      <c r="C7536" s="4" t="s">
        <v>36536</v>
      </c>
      <c r="D7536" s="4" t="s">
        <v>36537</v>
      </c>
      <c r="E7536" s="6"/>
      <c r="F7536" s="4" t="s">
        <v>355</v>
      </c>
      <c r="G7536" s="4" t="s">
        <v>36538</v>
      </c>
    </row>
    <row r="7537" ht="14.25">
      <c r="B7537" s="14" t="s">
        <v>36539</v>
      </c>
      <c r="C7537" s="4" t="s">
        <v>36540</v>
      </c>
      <c r="D7537" s="4" t="s">
        <v>36541</v>
      </c>
      <c r="E7537" s="4" t="s">
        <v>36542</v>
      </c>
      <c r="F7537" s="4" t="s">
        <v>7331</v>
      </c>
      <c r="G7537" s="4" t="s">
        <v>36543</v>
      </c>
    </row>
    <row r="7538" ht="14.25">
      <c r="B7538" s="14" t="s">
        <v>36539</v>
      </c>
      <c r="C7538" s="4" t="s">
        <v>36540</v>
      </c>
      <c r="D7538" s="4" t="s">
        <v>36544</v>
      </c>
      <c r="E7538" s="4" t="s">
        <v>36542</v>
      </c>
      <c r="F7538" s="4" t="s">
        <v>222</v>
      </c>
      <c r="G7538" s="4" t="s">
        <v>36545</v>
      </c>
    </row>
    <row r="7539" ht="14.25">
      <c r="B7539" s="14" t="s">
        <v>36539</v>
      </c>
      <c r="C7539" s="4" t="s">
        <v>36540</v>
      </c>
      <c r="D7539" s="4" t="s">
        <v>36546</v>
      </c>
      <c r="E7539" s="4" t="s">
        <v>36542</v>
      </c>
      <c r="F7539" s="4" t="s">
        <v>5679</v>
      </c>
      <c r="G7539" s="4" t="s">
        <v>36547</v>
      </c>
    </row>
    <row r="7540" ht="14.25">
      <c r="B7540" s="14" t="s">
        <v>36548</v>
      </c>
      <c r="C7540" s="4" t="s">
        <v>36549</v>
      </c>
      <c r="D7540" s="4" t="s">
        <v>36550</v>
      </c>
      <c r="E7540" s="4" t="s">
        <v>36551</v>
      </c>
      <c r="F7540" s="4" t="s">
        <v>1215</v>
      </c>
      <c r="G7540" s="4" t="s">
        <v>36552</v>
      </c>
    </row>
    <row r="7541" ht="14.25">
      <c r="B7541" s="14" t="s">
        <v>36553</v>
      </c>
      <c r="C7541" s="4" t="s">
        <v>36554</v>
      </c>
      <c r="D7541" s="4" t="s">
        <v>36555</v>
      </c>
      <c r="E7541" s="4" t="s">
        <v>36556</v>
      </c>
      <c r="F7541" s="4" t="s">
        <v>2311</v>
      </c>
      <c r="G7541" s="4" t="s">
        <v>36557</v>
      </c>
    </row>
    <row r="7542" ht="14.25">
      <c r="B7542" s="14" t="s">
        <v>36553</v>
      </c>
      <c r="C7542" s="4" t="s">
        <v>36554</v>
      </c>
      <c r="D7542" s="4" t="s">
        <v>36558</v>
      </c>
      <c r="E7542" s="4" t="s">
        <v>36556</v>
      </c>
      <c r="F7542" s="4" t="s">
        <v>1215</v>
      </c>
      <c r="G7542" s="4" t="s">
        <v>36559</v>
      </c>
    </row>
    <row r="7543" ht="14.25">
      <c r="B7543" s="14" t="s">
        <v>36553</v>
      </c>
      <c r="C7543" s="4" t="s">
        <v>36554</v>
      </c>
      <c r="D7543" s="4" t="s">
        <v>36560</v>
      </c>
      <c r="E7543" s="4" t="s">
        <v>36556</v>
      </c>
      <c r="F7543" s="4" t="s">
        <v>32579</v>
      </c>
      <c r="G7543" s="4" t="s">
        <v>36561</v>
      </c>
    </row>
    <row r="7544" ht="14.25">
      <c r="B7544" s="14" t="s">
        <v>36553</v>
      </c>
      <c r="C7544" s="4" t="s">
        <v>36562</v>
      </c>
      <c r="D7544" s="4" t="s">
        <v>36563</v>
      </c>
      <c r="E7544" s="6"/>
      <c r="F7544" s="4" t="s">
        <v>604</v>
      </c>
      <c r="G7544" s="4" t="s">
        <v>36564</v>
      </c>
    </row>
    <row r="7545" ht="14.25">
      <c r="B7545" s="14" t="s">
        <v>36565</v>
      </c>
      <c r="C7545" s="4" t="s">
        <v>36566</v>
      </c>
      <c r="D7545" s="4" t="s">
        <v>36567</v>
      </c>
      <c r="E7545" s="6"/>
      <c r="F7545" s="4" t="s">
        <v>5579</v>
      </c>
      <c r="G7545" s="4" t="s">
        <v>36568</v>
      </c>
    </row>
    <row r="7546" ht="14.25">
      <c r="B7546" s="14" t="s">
        <v>36569</v>
      </c>
      <c r="C7546" s="4" t="s">
        <v>36570</v>
      </c>
      <c r="D7546" s="4" t="s">
        <v>36571</v>
      </c>
      <c r="E7546" s="4" t="s">
        <v>36572</v>
      </c>
      <c r="F7546" s="4" t="s">
        <v>36573</v>
      </c>
      <c r="G7546" s="4" t="s">
        <v>36574</v>
      </c>
    </row>
    <row r="7547" ht="14.25">
      <c r="B7547" s="14" t="s">
        <v>36575</v>
      </c>
      <c r="C7547" s="4" t="s">
        <v>36576</v>
      </c>
      <c r="D7547" s="4" t="s">
        <v>36577</v>
      </c>
      <c r="E7547" s="6"/>
      <c r="F7547" s="4" t="s">
        <v>110</v>
      </c>
      <c r="G7547" s="4" t="s">
        <v>36578</v>
      </c>
    </row>
    <row r="7548" ht="14.25">
      <c r="B7548" s="14" t="s">
        <v>36575</v>
      </c>
      <c r="C7548" s="4" t="s">
        <v>36579</v>
      </c>
      <c r="D7548" s="4" t="s">
        <v>36580</v>
      </c>
      <c r="E7548" s="6"/>
      <c r="F7548" s="4" t="s">
        <v>2119</v>
      </c>
      <c r="G7548" s="4" t="s">
        <v>36581</v>
      </c>
    </row>
    <row r="7549" ht="14.25">
      <c r="B7549" s="14" t="s">
        <v>36575</v>
      </c>
      <c r="C7549" s="4" t="s">
        <v>36579</v>
      </c>
      <c r="D7549" s="4" t="s">
        <v>36582</v>
      </c>
      <c r="E7549" s="4" t="s">
        <v>36580</v>
      </c>
      <c r="F7549" s="4" t="s">
        <v>32548</v>
      </c>
      <c r="G7549" s="4" t="s">
        <v>36583</v>
      </c>
    </row>
    <row r="7550" ht="14.25">
      <c r="B7550" s="14" t="s">
        <v>36575</v>
      </c>
      <c r="C7550" s="4" t="s">
        <v>36579</v>
      </c>
      <c r="D7550" s="4" t="s">
        <v>36584</v>
      </c>
      <c r="E7550" s="4" t="s">
        <v>36580</v>
      </c>
      <c r="F7550" s="4" t="s">
        <v>768</v>
      </c>
      <c r="G7550" s="4" t="s">
        <v>36585</v>
      </c>
    </row>
    <row r="7551" ht="14.25">
      <c r="B7551" s="14" t="s">
        <v>36575</v>
      </c>
      <c r="C7551" s="4" t="s">
        <v>36579</v>
      </c>
      <c r="D7551" s="4" t="s">
        <v>36586</v>
      </c>
      <c r="E7551" s="4" t="s">
        <v>36580</v>
      </c>
      <c r="F7551" s="4" t="s">
        <v>33923</v>
      </c>
      <c r="G7551" s="4" t="s">
        <v>36587</v>
      </c>
    </row>
    <row r="7552" ht="14.25">
      <c r="B7552" s="14" t="s">
        <v>36575</v>
      </c>
      <c r="C7552" s="4" t="s">
        <v>36579</v>
      </c>
      <c r="D7552" s="4" t="s">
        <v>36588</v>
      </c>
      <c r="E7552" s="4" t="s">
        <v>36580</v>
      </c>
      <c r="F7552" s="4" t="s">
        <v>20</v>
      </c>
      <c r="G7552" s="4" t="s">
        <v>35161</v>
      </c>
    </row>
    <row r="7553" ht="14.25">
      <c r="B7553" s="14" t="s">
        <v>36575</v>
      </c>
      <c r="C7553" s="4" t="s">
        <v>36579</v>
      </c>
      <c r="D7553" s="4" t="s">
        <v>36589</v>
      </c>
      <c r="E7553" s="4" t="s">
        <v>36580</v>
      </c>
      <c r="F7553" s="4" t="s">
        <v>2299</v>
      </c>
      <c r="G7553" s="4" t="s">
        <v>36590</v>
      </c>
    </row>
    <row r="7554" ht="14.25">
      <c r="B7554" s="14" t="s">
        <v>36591</v>
      </c>
      <c r="C7554" s="4" t="s">
        <v>36592</v>
      </c>
      <c r="D7554" s="4" t="s">
        <v>36593</v>
      </c>
      <c r="E7554" s="6"/>
      <c r="F7554" s="4" t="s">
        <v>5679</v>
      </c>
      <c r="G7554" s="4" t="s">
        <v>36594</v>
      </c>
    </row>
    <row r="7555" ht="14.25">
      <c r="B7555" s="14" t="s">
        <v>36595</v>
      </c>
      <c r="C7555" s="4" t="s">
        <v>36596</v>
      </c>
      <c r="D7555" s="4" t="s">
        <v>36597</v>
      </c>
      <c r="E7555" s="4" t="s">
        <v>36598</v>
      </c>
      <c r="F7555" s="4" t="s">
        <v>69</v>
      </c>
      <c r="G7555" s="4" t="s">
        <v>36599</v>
      </c>
    </row>
    <row r="7556" ht="14.25">
      <c r="B7556" s="14" t="s">
        <v>36600</v>
      </c>
      <c r="C7556" s="4" t="s">
        <v>36601</v>
      </c>
      <c r="D7556" s="4" t="s">
        <v>36602</v>
      </c>
      <c r="E7556" s="4" t="s">
        <v>36603</v>
      </c>
      <c r="F7556" s="4" t="s">
        <v>866</v>
      </c>
      <c r="G7556" s="4" t="s">
        <v>36604</v>
      </c>
    </row>
    <row r="7557" ht="14.25">
      <c r="B7557" s="14" t="s">
        <v>36600</v>
      </c>
      <c r="C7557" s="4" t="s">
        <v>36601</v>
      </c>
      <c r="D7557" s="4" t="s">
        <v>36605</v>
      </c>
      <c r="E7557" s="4" t="s">
        <v>36603</v>
      </c>
      <c r="F7557" s="4" t="s">
        <v>36606</v>
      </c>
      <c r="G7557" s="4" t="s">
        <v>36607</v>
      </c>
    </row>
    <row r="7558" ht="14.25">
      <c r="B7558" s="14" t="s">
        <v>36600</v>
      </c>
      <c r="C7558" s="4" t="s">
        <v>36601</v>
      </c>
      <c r="D7558" s="4" t="s">
        <v>36608</v>
      </c>
      <c r="E7558" s="4" t="s">
        <v>36603</v>
      </c>
      <c r="F7558" s="4" t="s">
        <v>866</v>
      </c>
      <c r="G7558" s="4" t="s">
        <v>36609</v>
      </c>
    </row>
    <row r="7559" ht="14.25">
      <c r="B7559" s="14" t="s">
        <v>36600</v>
      </c>
      <c r="C7559" s="4" t="s">
        <v>36601</v>
      </c>
      <c r="D7559" s="4" t="s">
        <v>36610</v>
      </c>
      <c r="E7559" s="4" t="s">
        <v>36603</v>
      </c>
      <c r="F7559" s="4" t="s">
        <v>36359</v>
      </c>
      <c r="G7559" s="4" t="s">
        <v>36611</v>
      </c>
    </row>
    <row r="7560" ht="14.25">
      <c r="B7560" s="14" t="s">
        <v>36612</v>
      </c>
      <c r="C7560" s="4" t="s">
        <v>36613</v>
      </c>
      <c r="D7560" s="4" t="s">
        <v>36614</v>
      </c>
      <c r="E7560" s="4" t="s">
        <v>36615</v>
      </c>
      <c r="F7560" s="4" t="s">
        <v>32880</v>
      </c>
      <c r="G7560" s="4" t="s">
        <v>36616</v>
      </c>
    </row>
    <row r="7561" ht="14.25">
      <c r="B7561" s="14" t="s">
        <v>36617</v>
      </c>
      <c r="C7561" s="4" t="s">
        <v>36618</v>
      </c>
      <c r="D7561" s="4" t="s">
        <v>36619</v>
      </c>
      <c r="E7561" s="4" t="s">
        <v>36620</v>
      </c>
      <c r="F7561" s="4" t="s">
        <v>1499</v>
      </c>
      <c r="G7561" s="4" t="s">
        <v>36621</v>
      </c>
    </row>
    <row r="7562" ht="14.25">
      <c r="B7562" s="14" t="s">
        <v>36622</v>
      </c>
      <c r="C7562" s="4" t="s">
        <v>36623</v>
      </c>
      <c r="D7562" s="4" t="s">
        <v>36624</v>
      </c>
      <c r="E7562" s="4" t="s">
        <v>36625</v>
      </c>
      <c r="F7562" s="4" t="s">
        <v>5579</v>
      </c>
      <c r="G7562" s="4" t="s">
        <v>36626</v>
      </c>
    </row>
    <row r="7563" ht="14.25">
      <c r="B7563" s="14" t="s">
        <v>36627</v>
      </c>
      <c r="C7563" s="4" t="s">
        <v>36628</v>
      </c>
      <c r="D7563" s="4" t="s">
        <v>36629</v>
      </c>
      <c r="E7563" s="4" t="s">
        <v>36630</v>
      </c>
      <c r="F7563" s="4" t="s">
        <v>4012</v>
      </c>
      <c r="G7563" s="4" t="s">
        <v>36631</v>
      </c>
    </row>
    <row r="7564" ht="14.25">
      <c r="B7564" s="14" t="s">
        <v>36632</v>
      </c>
      <c r="C7564" s="4" t="s">
        <v>36633</v>
      </c>
      <c r="D7564" s="4" t="s">
        <v>36634</v>
      </c>
      <c r="E7564" s="4" t="s">
        <v>36635</v>
      </c>
      <c r="F7564" s="4" t="s">
        <v>36636</v>
      </c>
      <c r="G7564" s="4" t="s">
        <v>35983</v>
      </c>
    </row>
    <row r="7565" ht="14.25">
      <c r="B7565" s="14" t="s">
        <v>36632</v>
      </c>
      <c r="C7565" s="4" t="s">
        <v>36633</v>
      </c>
      <c r="D7565" s="4" t="s">
        <v>36637</v>
      </c>
      <c r="E7565" s="4" t="s">
        <v>36635</v>
      </c>
      <c r="F7565" s="4" t="s">
        <v>355</v>
      </c>
      <c r="G7565" s="4" t="s">
        <v>36638</v>
      </c>
    </row>
    <row r="7566" ht="14.25">
      <c r="B7566" s="14" t="s">
        <v>36639</v>
      </c>
      <c r="C7566" s="4" t="s">
        <v>36640</v>
      </c>
      <c r="D7566" s="4" t="s">
        <v>36641</v>
      </c>
      <c r="E7566" s="4" t="s">
        <v>36642</v>
      </c>
      <c r="F7566" s="4" t="s">
        <v>32831</v>
      </c>
      <c r="G7566" s="4" t="s">
        <v>36643</v>
      </c>
    </row>
    <row r="7567" ht="14.25">
      <c r="B7567" s="14" t="s">
        <v>36644</v>
      </c>
      <c r="C7567" s="4" t="s">
        <v>36645</v>
      </c>
      <c r="D7567" s="4" t="s">
        <v>36646</v>
      </c>
      <c r="E7567" s="4" t="s">
        <v>36647</v>
      </c>
      <c r="F7567" s="4" t="s">
        <v>16860</v>
      </c>
      <c r="G7567" s="4" t="s">
        <v>36648</v>
      </c>
    </row>
    <row r="7568" ht="14.25">
      <c r="B7568" s="14" t="s">
        <v>36644</v>
      </c>
      <c r="C7568" s="4" t="s">
        <v>36645</v>
      </c>
      <c r="D7568" s="4" t="s">
        <v>36649</v>
      </c>
      <c r="E7568" s="4" t="s">
        <v>36647</v>
      </c>
      <c r="F7568" s="4" t="s">
        <v>7714</v>
      </c>
      <c r="G7568" s="4" t="s">
        <v>36648</v>
      </c>
    </row>
    <row r="7569" ht="14.25">
      <c r="B7569" s="14" t="s">
        <v>36644</v>
      </c>
      <c r="C7569" s="4" t="s">
        <v>36645</v>
      </c>
      <c r="D7569" s="4" t="s">
        <v>36650</v>
      </c>
      <c r="E7569" s="4" t="s">
        <v>36647</v>
      </c>
      <c r="F7569" s="4" t="s">
        <v>36359</v>
      </c>
      <c r="G7569" s="4" t="s">
        <v>36651</v>
      </c>
    </row>
    <row r="7570" ht="14.25">
      <c r="B7570" s="14" t="s">
        <v>36652</v>
      </c>
      <c r="C7570" s="4" t="s">
        <v>36653</v>
      </c>
      <c r="D7570" s="4" t="s">
        <v>36654</v>
      </c>
      <c r="E7570" s="4" t="s">
        <v>36655</v>
      </c>
      <c r="F7570" s="4" t="s">
        <v>32787</v>
      </c>
      <c r="G7570" s="4" t="s">
        <v>36656</v>
      </c>
    </row>
    <row r="7571" ht="14.25">
      <c r="B7571" s="14" t="s">
        <v>32540</v>
      </c>
      <c r="C7571" s="4" t="s">
        <v>36657</v>
      </c>
      <c r="D7571" s="4" t="s">
        <v>36658</v>
      </c>
      <c r="E7571" s="4" t="s">
        <v>36659</v>
      </c>
      <c r="F7571" s="4" t="s">
        <v>1215</v>
      </c>
      <c r="G7571" s="4" t="s">
        <v>36660</v>
      </c>
    </row>
    <row r="7572" ht="14.25">
      <c r="B7572" s="14" t="s">
        <v>32540</v>
      </c>
      <c r="C7572" s="4" t="s">
        <v>36657</v>
      </c>
      <c r="D7572" s="4" t="s">
        <v>36661</v>
      </c>
      <c r="E7572" s="4" t="s">
        <v>36659</v>
      </c>
      <c r="F7572" s="4" t="s">
        <v>95</v>
      </c>
      <c r="G7572" s="4" t="s">
        <v>35081</v>
      </c>
    </row>
    <row r="7573" ht="14.25">
      <c r="B7573" s="14" t="s">
        <v>32540</v>
      </c>
      <c r="C7573" s="4" t="s">
        <v>36657</v>
      </c>
      <c r="D7573" s="4" t="s">
        <v>36662</v>
      </c>
      <c r="E7573" s="4" t="s">
        <v>36659</v>
      </c>
      <c r="F7573" s="4" t="s">
        <v>17524</v>
      </c>
      <c r="G7573" s="4" t="s">
        <v>36663</v>
      </c>
    </row>
    <row r="7574" ht="14.25">
      <c r="B7574" s="14" t="s">
        <v>32540</v>
      </c>
      <c r="C7574" s="4" t="s">
        <v>36657</v>
      </c>
      <c r="D7574" s="4" t="s">
        <v>36664</v>
      </c>
      <c r="E7574" s="4" t="s">
        <v>36659</v>
      </c>
      <c r="F7574" s="4" t="s">
        <v>32658</v>
      </c>
      <c r="G7574" s="4" t="s">
        <v>36665</v>
      </c>
    </row>
    <row r="7575" ht="14.25">
      <c r="B7575" s="14" t="s">
        <v>32540</v>
      </c>
      <c r="C7575" s="4" t="s">
        <v>36666</v>
      </c>
      <c r="D7575" s="4" t="s">
        <v>36667</v>
      </c>
      <c r="E7575" s="4" t="s">
        <v>36668</v>
      </c>
      <c r="F7575" s="4" t="s">
        <v>9922</v>
      </c>
      <c r="G7575" s="4" t="s">
        <v>35376</v>
      </c>
    </row>
    <row r="7576" ht="14.25">
      <c r="B7576" s="14" t="s">
        <v>36669</v>
      </c>
      <c r="C7576" s="4" t="s">
        <v>36670</v>
      </c>
      <c r="D7576" s="4" t="s">
        <v>36671</v>
      </c>
      <c r="E7576" s="4" t="s">
        <v>36672</v>
      </c>
      <c r="F7576" s="4" t="s">
        <v>33621</v>
      </c>
      <c r="G7576" s="4" t="s">
        <v>36673</v>
      </c>
    </row>
    <row r="7577" ht="14.25">
      <c r="B7577" s="14" t="s">
        <v>36674</v>
      </c>
      <c r="C7577" s="4" t="s">
        <v>36675</v>
      </c>
      <c r="D7577" s="4" t="s">
        <v>36676</v>
      </c>
      <c r="E7577" s="4" t="s">
        <v>36677</v>
      </c>
      <c r="F7577" s="4" t="s">
        <v>3850</v>
      </c>
      <c r="G7577" s="4" t="s">
        <v>36678</v>
      </c>
    </row>
    <row r="7578" ht="14.25">
      <c r="B7578" s="14" t="s">
        <v>36679</v>
      </c>
      <c r="C7578" s="4" t="s">
        <v>36680</v>
      </c>
      <c r="D7578" s="4" t="s">
        <v>36681</v>
      </c>
      <c r="E7578" s="4" t="s">
        <v>36682</v>
      </c>
      <c r="F7578" s="4" t="s">
        <v>817</v>
      </c>
      <c r="G7578" s="4" t="s">
        <v>36210</v>
      </c>
    </row>
    <row r="7579" ht="14.25">
      <c r="B7579" s="14" t="s">
        <v>36679</v>
      </c>
      <c r="C7579" s="4" t="s">
        <v>36680</v>
      </c>
      <c r="D7579" s="4" t="s">
        <v>36683</v>
      </c>
      <c r="E7579" s="4" t="s">
        <v>36682</v>
      </c>
      <c r="F7579" s="4" t="s">
        <v>36684</v>
      </c>
      <c r="G7579" s="4" t="s">
        <v>36685</v>
      </c>
    </row>
    <row r="7580" ht="14.25">
      <c r="B7580" s="14" t="s">
        <v>36679</v>
      </c>
      <c r="C7580" s="4" t="s">
        <v>36680</v>
      </c>
      <c r="D7580" s="4" t="s">
        <v>36686</v>
      </c>
      <c r="E7580" s="4" t="s">
        <v>36682</v>
      </c>
      <c r="F7580" s="4" t="s">
        <v>963</v>
      </c>
      <c r="G7580" s="4" t="s">
        <v>32868</v>
      </c>
    </row>
    <row r="7581" ht="14.25">
      <c r="B7581" s="14" t="s">
        <v>36679</v>
      </c>
      <c r="C7581" s="4" t="s">
        <v>36687</v>
      </c>
      <c r="D7581" s="4" t="s">
        <v>36688</v>
      </c>
      <c r="E7581" s="4" t="s">
        <v>36689</v>
      </c>
      <c r="F7581" s="4" t="s">
        <v>2348</v>
      </c>
      <c r="G7581" s="4" t="s">
        <v>36690</v>
      </c>
    </row>
    <row r="7582" ht="14.25">
      <c r="B7582" s="14" t="s">
        <v>36679</v>
      </c>
      <c r="C7582" s="4" t="s">
        <v>36691</v>
      </c>
      <c r="D7582" s="4" t="s">
        <v>36692</v>
      </c>
      <c r="E7582" s="4" t="s">
        <v>36693</v>
      </c>
      <c r="F7582" s="4" t="s">
        <v>36694</v>
      </c>
      <c r="G7582" s="4" t="s">
        <v>36695</v>
      </c>
    </row>
    <row r="7583" ht="14.25">
      <c r="B7583" s="14" t="s">
        <v>36679</v>
      </c>
      <c r="C7583" s="4" t="s">
        <v>36680</v>
      </c>
      <c r="D7583" s="4" t="s">
        <v>36696</v>
      </c>
      <c r="E7583" s="4" t="s">
        <v>36682</v>
      </c>
      <c r="F7583" s="4" t="s">
        <v>2372</v>
      </c>
      <c r="G7583" s="4" t="s">
        <v>36697</v>
      </c>
    </row>
    <row r="7584" ht="14.25">
      <c r="B7584" s="14" t="s">
        <v>36679</v>
      </c>
      <c r="C7584" s="4" t="s">
        <v>36680</v>
      </c>
      <c r="D7584" s="4" t="s">
        <v>36698</v>
      </c>
      <c r="E7584" s="4" t="s">
        <v>36682</v>
      </c>
      <c r="F7584" s="4" t="s">
        <v>3781</v>
      </c>
      <c r="G7584" s="4" t="s">
        <v>36699</v>
      </c>
    </row>
    <row r="7585" ht="14.25">
      <c r="B7585" s="14" t="s">
        <v>36679</v>
      </c>
      <c r="C7585" s="4" t="s">
        <v>36680</v>
      </c>
      <c r="D7585" s="4" t="s">
        <v>36700</v>
      </c>
      <c r="E7585" s="4" t="s">
        <v>36682</v>
      </c>
      <c r="F7585" s="4" t="s">
        <v>4800</v>
      </c>
      <c r="G7585" s="4" t="s">
        <v>36701</v>
      </c>
    </row>
    <row r="7586" ht="14.25">
      <c r="B7586" s="14" t="s">
        <v>36679</v>
      </c>
      <c r="C7586" s="4" t="s">
        <v>36687</v>
      </c>
      <c r="D7586" s="4" t="s">
        <v>36702</v>
      </c>
      <c r="E7586" s="4" t="s">
        <v>36689</v>
      </c>
      <c r="F7586" s="4" t="s">
        <v>255</v>
      </c>
      <c r="G7586" s="4" t="s">
        <v>36703</v>
      </c>
    </row>
    <row r="7587" ht="14.25">
      <c r="B7587" s="14" t="s">
        <v>36679</v>
      </c>
      <c r="C7587" s="4" t="s">
        <v>36680</v>
      </c>
      <c r="D7587" s="4" t="s">
        <v>36704</v>
      </c>
      <c r="E7587" s="4" t="s">
        <v>36682</v>
      </c>
      <c r="F7587" s="4" t="s">
        <v>7246</v>
      </c>
      <c r="G7587" s="4" t="s">
        <v>36705</v>
      </c>
    </row>
    <row r="7588" ht="14.25">
      <c r="B7588" s="14" t="s">
        <v>36679</v>
      </c>
      <c r="C7588" s="4" t="s">
        <v>36680</v>
      </c>
      <c r="D7588" s="4" t="s">
        <v>36706</v>
      </c>
      <c r="E7588" s="4" t="s">
        <v>36682</v>
      </c>
      <c r="F7588" s="4" t="s">
        <v>2409</v>
      </c>
      <c r="G7588" s="4" t="s">
        <v>36707</v>
      </c>
    </row>
    <row r="7589" ht="14.25">
      <c r="B7589" s="14" t="s">
        <v>36679</v>
      </c>
      <c r="C7589" s="4" t="s">
        <v>36680</v>
      </c>
      <c r="D7589" s="4" t="s">
        <v>36708</v>
      </c>
      <c r="E7589" s="4" t="s">
        <v>36682</v>
      </c>
      <c r="F7589" s="4" t="s">
        <v>32616</v>
      </c>
      <c r="G7589" s="4" t="s">
        <v>36709</v>
      </c>
    </row>
    <row r="7590" ht="14.25">
      <c r="B7590" s="14" t="s">
        <v>36679</v>
      </c>
      <c r="C7590" s="4" t="s">
        <v>36710</v>
      </c>
      <c r="D7590" s="4" t="s">
        <v>36711</v>
      </c>
      <c r="E7590" s="6"/>
      <c r="F7590" s="4" t="s">
        <v>33576</v>
      </c>
      <c r="G7590" s="4" t="s">
        <v>36712</v>
      </c>
    </row>
    <row r="7591" ht="14.25">
      <c r="B7591" s="14" t="s">
        <v>36679</v>
      </c>
      <c r="C7591" s="4" t="s">
        <v>36680</v>
      </c>
      <c r="D7591" s="4" t="s">
        <v>36713</v>
      </c>
      <c r="E7591" s="4" t="s">
        <v>36682</v>
      </c>
      <c r="F7591" s="4" t="s">
        <v>6356</v>
      </c>
      <c r="G7591" s="4" t="s">
        <v>36714</v>
      </c>
    </row>
    <row r="7592" ht="14.25">
      <c r="B7592" s="14" t="s">
        <v>36679</v>
      </c>
      <c r="C7592" s="4" t="s">
        <v>36680</v>
      </c>
      <c r="D7592" s="4" t="s">
        <v>36715</v>
      </c>
      <c r="E7592" s="4" t="s">
        <v>36682</v>
      </c>
      <c r="F7592" s="4" t="s">
        <v>32666</v>
      </c>
      <c r="G7592" s="4" t="s">
        <v>36716</v>
      </c>
    </row>
    <row r="7593" ht="14.25">
      <c r="B7593" s="14" t="s">
        <v>36679</v>
      </c>
      <c r="C7593" s="4" t="s">
        <v>36680</v>
      </c>
      <c r="D7593" s="4" t="s">
        <v>36717</v>
      </c>
      <c r="E7593" s="4" t="s">
        <v>36682</v>
      </c>
      <c r="F7593" s="4" t="s">
        <v>3516</v>
      </c>
      <c r="G7593" s="4" t="s">
        <v>36718</v>
      </c>
    </row>
    <row r="7594" ht="14.25">
      <c r="B7594" s="14" t="s">
        <v>36679</v>
      </c>
      <c r="C7594" s="4" t="s">
        <v>36680</v>
      </c>
      <c r="D7594" s="4" t="s">
        <v>36719</v>
      </c>
      <c r="E7594" s="4" t="s">
        <v>36682</v>
      </c>
      <c r="F7594" s="4" t="s">
        <v>2311</v>
      </c>
      <c r="G7594" s="4" t="s">
        <v>36720</v>
      </c>
    </row>
    <row r="7595" ht="14.25">
      <c r="B7595" s="14" t="s">
        <v>36679</v>
      </c>
      <c r="C7595" s="4" t="s">
        <v>36680</v>
      </c>
      <c r="D7595" s="4" t="s">
        <v>36721</v>
      </c>
      <c r="E7595" s="4" t="s">
        <v>36682</v>
      </c>
      <c r="F7595" s="4" t="s">
        <v>255</v>
      </c>
      <c r="G7595" s="4" t="s">
        <v>36722</v>
      </c>
    </row>
    <row r="7596" ht="14.25">
      <c r="B7596" s="14" t="s">
        <v>36679</v>
      </c>
      <c r="C7596" s="4" t="s">
        <v>36680</v>
      </c>
      <c r="D7596" s="4" t="s">
        <v>36723</v>
      </c>
      <c r="E7596" s="4" t="s">
        <v>36682</v>
      </c>
      <c r="F7596" s="4" t="s">
        <v>2816</v>
      </c>
      <c r="G7596" s="4" t="s">
        <v>34098</v>
      </c>
    </row>
    <row r="7597" ht="14.25">
      <c r="B7597" s="14" t="s">
        <v>36679</v>
      </c>
      <c r="C7597" s="4" t="s">
        <v>36680</v>
      </c>
      <c r="D7597" s="4" t="s">
        <v>36724</v>
      </c>
      <c r="E7597" s="4" t="s">
        <v>36682</v>
      </c>
      <c r="F7597" s="4" t="s">
        <v>2398</v>
      </c>
      <c r="G7597" s="4" t="s">
        <v>36725</v>
      </c>
    </row>
    <row r="7598" ht="14.25">
      <c r="B7598" s="14" t="s">
        <v>36679</v>
      </c>
      <c r="C7598" s="4" t="s">
        <v>36680</v>
      </c>
      <c r="D7598" s="4" t="s">
        <v>36726</v>
      </c>
      <c r="E7598" s="4" t="s">
        <v>36682</v>
      </c>
      <c r="F7598" s="4" t="s">
        <v>52</v>
      </c>
      <c r="G7598" s="4" t="s">
        <v>36727</v>
      </c>
    </row>
    <row r="7599" ht="14.25">
      <c r="B7599" s="14" t="s">
        <v>36679</v>
      </c>
      <c r="C7599" s="4" t="s">
        <v>36691</v>
      </c>
      <c r="D7599" s="4" t="s">
        <v>36728</v>
      </c>
      <c r="E7599" s="4" t="s">
        <v>36693</v>
      </c>
      <c r="F7599" s="4" t="s">
        <v>8585</v>
      </c>
      <c r="G7599" s="4" t="s">
        <v>36729</v>
      </c>
    </row>
    <row r="7600" ht="14.25">
      <c r="B7600" s="14" t="s">
        <v>36679</v>
      </c>
      <c r="C7600" s="4" t="s">
        <v>36680</v>
      </c>
      <c r="D7600" s="4" t="s">
        <v>36730</v>
      </c>
      <c r="E7600" s="4" t="s">
        <v>36682</v>
      </c>
      <c r="F7600" s="4" t="s">
        <v>2249</v>
      </c>
      <c r="G7600" s="4" t="s">
        <v>36731</v>
      </c>
    </row>
    <row r="7601" ht="14.25">
      <c r="B7601" s="14" t="s">
        <v>36679</v>
      </c>
      <c r="C7601" s="4" t="s">
        <v>36680</v>
      </c>
      <c r="D7601" s="4" t="s">
        <v>36732</v>
      </c>
      <c r="E7601" s="4" t="s">
        <v>36682</v>
      </c>
      <c r="F7601" s="4" t="s">
        <v>355</v>
      </c>
      <c r="G7601" s="4" t="s">
        <v>32715</v>
      </c>
    </row>
    <row r="7602" ht="14.25">
      <c r="B7602" s="14" t="s">
        <v>36679</v>
      </c>
      <c r="C7602" s="4" t="s">
        <v>36680</v>
      </c>
      <c r="D7602" s="4" t="s">
        <v>36733</v>
      </c>
      <c r="E7602" s="4" t="s">
        <v>36682</v>
      </c>
      <c r="F7602" s="4" t="s">
        <v>32831</v>
      </c>
      <c r="G7602" s="4" t="s">
        <v>36734</v>
      </c>
    </row>
    <row r="7603" ht="14.25">
      <c r="B7603" s="14" t="s">
        <v>36679</v>
      </c>
      <c r="C7603" s="4" t="s">
        <v>36687</v>
      </c>
      <c r="D7603" s="4" t="s">
        <v>36735</v>
      </c>
      <c r="E7603" s="4" t="s">
        <v>36689</v>
      </c>
      <c r="F7603" s="4" t="s">
        <v>32548</v>
      </c>
      <c r="G7603" s="4" t="s">
        <v>36736</v>
      </c>
    </row>
    <row r="7604" ht="14.25">
      <c r="B7604" s="14" t="s">
        <v>36737</v>
      </c>
      <c r="C7604" s="4" t="s">
        <v>36738</v>
      </c>
      <c r="D7604" s="4" t="s">
        <v>36739</v>
      </c>
      <c r="E7604" s="4" t="s">
        <v>36740</v>
      </c>
      <c r="F7604" s="4" t="s">
        <v>7525</v>
      </c>
      <c r="G7604" s="4" t="s">
        <v>36741</v>
      </c>
    </row>
    <row r="7605" ht="14.25">
      <c r="B7605" s="14" t="s">
        <v>36737</v>
      </c>
      <c r="C7605" s="4" t="s">
        <v>36742</v>
      </c>
      <c r="D7605" s="4" t="s">
        <v>36743</v>
      </c>
      <c r="E7605" s="4" t="s">
        <v>36744</v>
      </c>
      <c r="F7605" s="4" t="s">
        <v>4425</v>
      </c>
      <c r="G7605" s="4" t="s">
        <v>36745</v>
      </c>
    </row>
    <row r="7606" ht="14.25">
      <c r="B7606" s="14" t="s">
        <v>36737</v>
      </c>
      <c r="C7606" s="4" t="s">
        <v>36742</v>
      </c>
      <c r="D7606" s="4" t="s">
        <v>36746</v>
      </c>
      <c r="E7606" s="4" t="s">
        <v>36744</v>
      </c>
      <c r="F7606" s="4" t="s">
        <v>4800</v>
      </c>
      <c r="G7606" s="4" t="s">
        <v>36747</v>
      </c>
    </row>
    <row r="7607" ht="14.25">
      <c r="B7607" s="14" t="s">
        <v>36737</v>
      </c>
      <c r="C7607" s="4" t="s">
        <v>36738</v>
      </c>
      <c r="D7607" s="4" t="s">
        <v>36748</v>
      </c>
      <c r="E7607" s="4" t="s">
        <v>36740</v>
      </c>
      <c r="F7607" s="4" t="s">
        <v>35368</v>
      </c>
      <c r="G7607" s="4" t="s">
        <v>36749</v>
      </c>
    </row>
    <row r="7608" ht="14.25">
      <c r="B7608" s="14" t="s">
        <v>36737</v>
      </c>
      <c r="C7608" s="4" t="s">
        <v>36742</v>
      </c>
      <c r="D7608" s="4" t="s">
        <v>36750</v>
      </c>
      <c r="E7608" s="4" t="s">
        <v>36744</v>
      </c>
      <c r="F7608" s="4" t="s">
        <v>69</v>
      </c>
      <c r="G7608" s="4" t="s">
        <v>36751</v>
      </c>
    </row>
    <row r="7609" ht="14.25">
      <c r="B7609" s="14" t="s">
        <v>36737</v>
      </c>
      <c r="C7609" s="4" t="s">
        <v>36742</v>
      </c>
      <c r="D7609" s="4" t="s">
        <v>36752</v>
      </c>
      <c r="E7609" s="4" t="s">
        <v>36744</v>
      </c>
      <c r="F7609" s="4" t="s">
        <v>32548</v>
      </c>
      <c r="G7609" s="4" t="s">
        <v>36753</v>
      </c>
    </row>
    <row r="7610" ht="14.25">
      <c r="B7610" s="14" t="s">
        <v>36737</v>
      </c>
      <c r="C7610" s="4" t="s">
        <v>36754</v>
      </c>
      <c r="D7610" s="4" t="s">
        <v>36755</v>
      </c>
      <c r="E7610" s="4" t="s">
        <v>36756</v>
      </c>
      <c r="F7610" s="4" t="s">
        <v>679</v>
      </c>
      <c r="G7610" s="4" t="s">
        <v>36757</v>
      </c>
    </row>
    <row r="7611" ht="14.25">
      <c r="B7611" s="14" t="s">
        <v>36737</v>
      </c>
      <c r="C7611" s="4" t="s">
        <v>36738</v>
      </c>
      <c r="D7611" s="4" t="s">
        <v>36758</v>
      </c>
      <c r="E7611" s="4" t="s">
        <v>36740</v>
      </c>
      <c r="F7611" s="4" t="s">
        <v>298</v>
      </c>
      <c r="G7611" s="4" t="s">
        <v>36759</v>
      </c>
    </row>
    <row r="7612" ht="14.25">
      <c r="B7612" s="14" t="s">
        <v>36737</v>
      </c>
      <c r="C7612" s="4" t="s">
        <v>36742</v>
      </c>
      <c r="D7612" s="4" t="s">
        <v>36760</v>
      </c>
      <c r="E7612" s="4" t="s">
        <v>36744</v>
      </c>
      <c r="F7612" s="4" t="s">
        <v>2409</v>
      </c>
      <c r="G7612" s="4" t="s">
        <v>36761</v>
      </c>
    </row>
    <row r="7613" ht="14.25">
      <c r="B7613" s="14" t="s">
        <v>36762</v>
      </c>
      <c r="C7613" s="4" t="s">
        <v>36763</v>
      </c>
      <c r="D7613" s="4" t="s">
        <v>36764</v>
      </c>
      <c r="E7613" s="4" t="s">
        <v>36765</v>
      </c>
      <c r="F7613" s="4" t="s">
        <v>808</v>
      </c>
      <c r="G7613" s="4" t="s">
        <v>36766</v>
      </c>
    </row>
    <row r="7614" ht="14.25">
      <c r="B7614" s="14" t="s">
        <v>36762</v>
      </c>
      <c r="C7614" s="4" t="s">
        <v>36767</v>
      </c>
      <c r="D7614" s="4" t="s">
        <v>36768</v>
      </c>
      <c r="E7614" s="4" t="s">
        <v>36769</v>
      </c>
      <c r="F7614" s="4" t="s">
        <v>556</v>
      </c>
      <c r="G7614" s="4" t="s">
        <v>36770</v>
      </c>
    </row>
    <row r="7615" ht="14.25">
      <c r="B7615" s="14" t="s">
        <v>36762</v>
      </c>
      <c r="C7615" s="4" t="s">
        <v>36767</v>
      </c>
      <c r="D7615" s="4" t="s">
        <v>36771</v>
      </c>
      <c r="E7615" s="4" t="s">
        <v>36769</v>
      </c>
      <c r="F7615" s="4" t="s">
        <v>1027</v>
      </c>
      <c r="G7615" s="4" t="s">
        <v>36772</v>
      </c>
    </row>
    <row r="7616" ht="14.25">
      <c r="B7616" s="14" t="s">
        <v>36762</v>
      </c>
      <c r="C7616" s="4" t="s">
        <v>36763</v>
      </c>
      <c r="D7616" s="4" t="s">
        <v>36773</v>
      </c>
      <c r="E7616" s="4" t="s">
        <v>36765</v>
      </c>
      <c r="F7616" s="4" t="s">
        <v>874</v>
      </c>
      <c r="G7616" s="4" t="s">
        <v>36774</v>
      </c>
    </row>
    <row r="7617" ht="14.25">
      <c r="B7617" s="14" t="s">
        <v>36775</v>
      </c>
      <c r="C7617" s="4" t="s">
        <v>36776</v>
      </c>
      <c r="D7617" s="4" t="s">
        <v>36777</v>
      </c>
      <c r="E7617" s="6"/>
      <c r="F7617" s="4" t="s">
        <v>36778</v>
      </c>
      <c r="G7617" s="4" t="s">
        <v>36779</v>
      </c>
    </row>
    <row r="7618" ht="14.25">
      <c r="B7618" s="14" t="s">
        <v>36775</v>
      </c>
      <c r="C7618" s="4" t="s">
        <v>36780</v>
      </c>
      <c r="D7618" s="4" t="s">
        <v>36781</v>
      </c>
      <c r="E7618" s="4" t="s">
        <v>36782</v>
      </c>
      <c r="F7618" s="4" t="s">
        <v>1387</v>
      </c>
      <c r="G7618" s="4" t="s">
        <v>36783</v>
      </c>
    </row>
    <row r="7619" ht="14.25">
      <c r="B7619" s="14" t="s">
        <v>36784</v>
      </c>
      <c r="C7619" s="4" t="s">
        <v>36785</v>
      </c>
      <c r="D7619" s="4" t="s">
        <v>36786</v>
      </c>
      <c r="E7619" s="4" t="s">
        <v>36787</v>
      </c>
      <c r="F7619" s="4" t="s">
        <v>2372</v>
      </c>
      <c r="G7619" s="4" t="s">
        <v>36788</v>
      </c>
    </row>
    <row r="7620" ht="14.25">
      <c r="B7620" s="14" t="s">
        <v>36784</v>
      </c>
      <c r="C7620" s="4" t="s">
        <v>36785</v>
      </c>
      <c r="D7620" s="4" t="s">
        <v>36789</v>
      </c>
      <c r="E7620" s="4" t="s">
        <v>36787</v>
      </c>
      <c r="F7620" s="4" t="s">
        <v>4115</v>
      </c>
      <c r="G7620" s="4" t="s">
        <v>32868</v>
      </c>
    </row>
    <row r="7621" ht="14.25">
      <c r="B7621" s="14" t="s">
        <v>36784</v>
      </c>
      <c r="C7621" s="4" t="s">
        <v>36790</v>
      </c>
      <c r="D7621" s="4" t="s">
        <v>36791</v>
      </c>
      <c r="E7621" s="4" t="s">
        <v>36792</v>
      </c>
      <c r="F7621" s="4" t="s">
        <v>2348</v>
      </c>
      <c r="G7621" s="4" t="s">
        <v>36793</v>
      </c>
    </row>
    <row r="7622" ht="14.25">
      <c r="B7622" s="14" t="s">
        <v>36784</v>
      </c>
      <c r="C7622" s="4" t="s">
        <v>36794</v>
      </c>
      <c r="D7622" s="4" t="s">
        <v>36795</v>
      </c>
      <c r="E7622" s="4" t="s">
        <v>36796</v>
      </c>
      <c r="F7622" s="4" t="s">
        <v>2508</v>
      </c>
      <c r="G7622" s="4" t="s">
        <v>36797</v>
      </c>
    </row>
    <row r="7623" ht="14.25">
      <c r="B7623" s="14" t="s">
        <v>36784</v>
      </c>
      <c r="C7623" s="4" t="s">
        <v>36798</v>
      </c>
      <c r="D7623" s="4" t="s">
        <v>36799</v>
      </c>
      <c r="E7623" s="4" t="s">
        <v>36800</v>
      </c>
      <c r="F7623" s="4" t="s">
        <v>4245</v>
      </c>
      <c r="G7623" s="4" t="s">
        <v>35047</v>
      </c>
    </row>
    <row r="7624" ht="14.25">
      <c r="B7624" s="14" t="s">
        <v>36784</v>
      </c>
      <c r="C7624" s="4" t="s">
        <v>36790</v>
      </c>
      <c r="D7624" s="4" t="s">
        <v>36801</v>
      </c>
      <c r="E7624" s="4" t="s">
        <v>36792</v>
      </c>
      <c r="F7624" s="4" t="s">
        <v>36802</v>
      </c>
      <c r="G7624" s="4" t="s">
        <v>36803</v>
      </c>
    </row>
    <row r="7625" ht="14.25">
      <c r="B7625" s="14" t="s">
        <v>36784</v>
      </c>
      <c r="C7625" s="4" t="s">
        <v>36794</v>
      </c>
      <c r="D7625" s="4" t="s">
        <v>36804</v>
      </c>
      <c r="E7625" s="4" t="s">
        <v>36796</v>
      </c>
      <c r="F7625" s="4" t="s">
        <v>743</v>
      </c>
      <c r="G7625" s="4" t="s">
        <v>36805</v>
      </c>
    </row>
    <row r="7626" ht="14.25">
      <c r="B7626" s="14" t="s">
        <v>36784</v>
      </c>
      <c r="C7626" s="4" t="s">
        <v>36785</v>
      </c>
      <c r="D7626" s="4" t="s">
        <v>36806</v>
      </c>
      <c r="E7626" s="4" t="s">
        <v>36787</v>
      </c>
      <c r="F7626" s="4" t="s">
        <v>785</v>
      </c>
      <c r="G7626" s="4" t="s">
        <v>34098</v>
      </c>
    </row>
    <row r="7627" ht="14.25">
      <c r="B7627" s="14" t="s">
        <v>36784</v>
      </c>
      <c r="C7627" s="4" t="s">
        <v>36785</v>
      </c>
      <c r="D7627" s="4" t="s">
        <v>36806</v>
      </c>
      <c r="E7627" s="4" t="s">
        <v>36787</v>
      </c>
      <c r="F7627" s="4" t="s">
        <v>785</v>
      </c>
      <c r="G7627" s="4" t="s">
        <v>34098</v>
      </c>
    </row>
    <row r="7628" ht="14.25">
      <c r="B7628" s="14" t="s">
        <v>36807</v>
      </c>
      <c r="C7628" s="4" t="s">
        <v>36808</v>
      </c>
      <c r="D7628" s="4" t="s">
        <v>36809</v>
      </c>
      <c r="E7628" s="4" t="s">
        <v>36810</v>
      </c>
      <c r="F7628" s="4" t="s">
        <v>32579</v>
      </c>
      <c r="G7628" s="4" t="s">
        <v>36811</v>
      </c>
    </row>
    <row r="7629" ht="14.25">
      <c r="B7629" s="14" t="s">
        <v>36807</v>
      </c>
      <c r="C7629" s="4" t="s">
        <v>36808</v>
      </c>
      <c r="D7629" s="4" t="s">
        <v>36812</v>
      </c>
      <c r="E7629" s="4" t="s">
        <v>36810</v>
      </c>
      <c r="F7629" s="4" t="s">
        <v>6356</v>
      </c>
      <c r="G7629" s="4" t="s">
        <v>36201</v>
      </c>
    </row>
    <row r="7630" ht="14.25">
      <c r="B7630" s="14" t="s">
        <v>36807</v>
      </c>
      <c r="C7630" s="4" t="s">
        <v>36808</v>
      </c>
      <c r="D7630" s="4" t="s">
        <v>36812</v>
      </c>
      <c r="E7630" s="4" t="s">
        <v>36810</v>
      </c>
      <c r="F7630" s="4" t="s">
        <v>6356</v>
      </c>
      <c r="G7630" s="4" t="s">
        <v>36201</v>
      </c>
    </row>
    <row r="7631" ht="14.25">
      <c r="B7631" s="14" t="s">
        <v>36813</v>
      </c>
      <c r="C7631" s="4" t="s">
        <v>36814</v>
      </c>
      <c r="D7631" s="4" t="s">
        <v>36815</v>
      </c>
      <c r="E7631" s="4" t="s">
        <v>36816</v>
      </c>
      <c r="F7631" s="4" t="s">
        <v>36817</v>
      </c>
      <c r="G7631" s="4" t="s">
        <v>32679</v>
      </c>
    </row>
    <row r="7632" ht="14.25">
      <c r="B7632" s="14" t="s">
        <v>36813</v>
      </c>
      <c r="C7632" s="4" t="s">
        <v>36814</v>
      </c>
      <c r="D7632" s="4" t="s">
        <v>36818</v>
      </c>
      <c r="E7632" s="4" t="s">
        <v>36816</v>
      </c>
      <c r="F7632" s="4" t="s">
        <v>670</v>
      </c>
      <c r="G7632" s="4" t="s">
        <v>36819</v>
      </c>
    </row>
    <row r="7633" ht="14.25">
      <c r="B7633" s="14" t="s">
        <v>36820</v>
      </c>
      <c r="C7633" s="4" t="s">
        <v>36821</v>
      </c>
      <c r="D7633" s="4" t="s">
        <v>36822</v>
      </c>
      <c r="E7633" s="4" t="s">
        <v>36823</v>
      </c>
      <c r="F7633" s="4" t="s">
        <v>33217</v>
      </c>
      <c r="G7633" s="4" t="s">
        <v>36824</v>
      </c>
    </row>
    <row r="7634" ht="14.25">
      <c r="B7634" s="14" t="s">
        <v>36820</v>
      </c>
      <c r="C7634" s="4" t="s">
        <v>36821</v>
      </c>
      <c r="D7634" s="4" t="s">
        <v>36823</v>
      </c>
      <c r="E7634" s="6"/>
      <c r="F7634" s="4" t="s">
        <v>6634</v>
      </c>
      <c r="G7634" s="4" t="s">
        <v>36825</v>
      </c>
    </row>
    <row r="7635" ht="14.25">
      <c r="B7635" s="14" t="s">
        <v>36820</v>
      </c>
      <c r="C7635" s="4" t="s">
        <v>36821</v>
      </c>
      <c r="D7635" s="4" t="s">
        <v>36826</v>
      </c>
      <c r="E7635" s="4" t="s">
        <v>36823</v>
      </c>
      <c r="F7635" s="4" t="s">
        <v>874</v>
      </c>
      <c r="G7635" s="4" t="s">
        <v>36827</v>
      </c>
    </row>
    <row r="7636" ht="14.25">
      <c r="B7636" s="14" t="s">
        <v>36820</v>
      </c>
      <c r="C7636" s="4" t="s">
        <v>36828</v>
      </c>
      <c r="D7636" s="4" t="s">
        <v>36829</v>
      </c>
      <c r="E7636" s="4" t="s">
        <v>36830</v>
      </c>
      <c r="F7636" s="4" t="s">
        <v>963</v>
      </c>
      <c r="G7636" s="4" t="s">
        <v>36831</v>
      </c>
    </row>
    <row r="7637" ht="14.25">
      <c r="B7637" s="14" t="s">
        <v>36820</v>
      </c>
      <c r="C7637" s="4" t="s">
        <v>36821</v>
      </c>
      <c r="D7637" s="4" t="s">
        <v>36832</v>
      </c>
      <c r="E7637" s="4" t="s">
        <v>36823</v>
      </c>
      <c r="F7637" s="4" t="s">
        <v>33576</v>
      </c>
      <c r="G7637" s="4" t="s">
        <v>36833</v>
      </c>
    </row>
    <row r="7638" ht="14.25">
      <c r="B7638" s="14" t="s">
        <v>36834</v>
      </c>
      <c r="C7638" s="4" t="s">
        <v>36835</v>
      </c>
      <c r="D7638" s="4" t="s">
        <v>36836</v>
      </c>
      <c r="E7638" s="4" t="s">
        <v>36837</v>
      </c>
      <c r="F7638" s="4" t="s">
        <v>32622</v>
      </c>
      <c r="G7638" s="4" t="s">
        <v>34164</v>
      </c>
    </row>
    <row r="7639" ht="14.25">
      <c r="B7639" s="14" t="s">
        <v>36834</v>
      </c>
      <c r="C7639" s="4" t="s">
        <v>36835</v>
      </c>
      <c r="D7639" s="4" t="s">
        <v>36838</v>
      </c>
      <c r="E7639" s="4" t="s">
        <v>36837</v>
      </c>
      <c r="F7639" s="4" t="s">
        <v>215</v>
      </c>
      <c r="G7639" s="4" t="s">
        <v>36839</v>
      </c>
    </row>
    <row r="7640" ht="14.25">
      <c r="B7640" s="14" t="s">
        <v>36840</v>
      </c>
      <c r="C7640" s="4" t="s">
        <v>36841</v>
      </c>
      <c r="D7640" s="4" t="s">
        <v>36842</v>
      </c>
      <c r="E7640" s="4" t="s">
        <v>36843</v>
      </c>
      <c r="F7640" s="4" t="s">
        <v>5579</v>
      </c>
      <c r="G7640" s="4" t="s">
        <v>36844</v>
      </c>
    </row>
    <row r="7641" ht="14.25">
      <c r="B7641" s="14" t="s">
        <v>36840</v>
      </c>
      <c r="C7641" s="4" t="s">
        <v>36841</v>
      </c>
      <c r="D7641" s="4" t="s">
        <v>36845</v>
      </c>
      <c r="E7641" s="4" t="s">
        <v>36843</v>
      </c>
      <c r="F7641" s="4" t="s">
        <v>3072</v>
      </c>
      <c r="G7641" s="4" t="s">
        <v>36846</v>
      </c>
    </row>
    <row r="7642" ht="14.25">
      <c r="B7642" s="14" t="s">
        <v>36840</v>
      </c>
      <c r="C7642" s="4" t="s">
        <v>36847</v>
      </c>
      <c r="D7642" s="4" t="s">
        <v>36848</v>
      </c>
      <c r="E7642" s="4" t="s">
        <v>36849</v>
      </c>
      <c r="F7642" s="4" t="s">
        <v>32616</v>
      </c>
      <c r="G7642" s="4" t="s">
        <v>36850</v>
      </c>
    </row>
    <row r="7643" ht="14.25">
      <c r="B7643" s="14" t="s">
        <v>36840</v>
      </c>
      <c r="C7643" s="4" t="s">
        <v>36851</v>
      </c>
      <c r="D7643" s="4" t="s">
        <v>36852</v>
      </c>
      <c r="E7643" s="4" t="s">
        <v>36853</v>
      </c>
      <c r="F7643" s="4" t="s">
        <v>1215</v>
      </c>
      <c r="G7643" s="4" t="s">
        <v>36854</v>
      </c>
    </row>
    <row r="7644" ht="14.25">
      <c r="B7644" s="14" t="s">
        <v>36840</v>
      </c>
      <c r="C7644" s="4" t="s">
        <v>36841</v>
      </c>
      <c r="D7644" s="4" t="s">
        <v>36855</v>
      </c>
      <c r="E7644" s="4" t="s">
        <v>36843</v>
      </c>
      <c r="F7644" s="4" t="s">
        <v>36856</v>
      </c>
      <c r="G7644" s="4" t="s">
        <v>36857</v>
      </c>
    </row>
    <row r="7645" ht="14.25">
      <c r="B7645" s="14" t="s">
        <v>36840</v>
      </c>
      <c r="C7645" s="4" t="s">
        <v>36858</v>
      </c>
      <c r="D7645" s="4" t="s">
        <v>36859</v>
      </c>
      <c r="E7645" s="4" t="s">
        <v>36860</v>
      </c>
      <c r="F7645" s="4" t="s">
        <v>8049</v>
      </c>
      <c r="G7645" s="4" t="s">
        <v>36861</v>
      </c>
    </row>
    <row r="7646" ht="14.25">
      <c r="B7646" s="14" t="s">
        <v>36862</v>
      </c>
      <c r="C7646" s="4" t="s">
        <v>36863</v>
      </c>
      <c r="D7646" s="4" t="s">
        <v>36864</v>
      </c>
      <c r="E7646" s="6"/>
      <c r="F7646" s="4" t="s">
        <v>7559</v>
      </c>
      <c r="G7646" s="4" t="s">
        <v>36865</v>
      </c>
    </row>
    <row r="7647" ht="14.25">
      <c r="B7647" s="14" t="s">
        <v>36862</v>
      </c>
      <c r="C7647" s="4" t="s">
        <v>36863</v>
      </c>
      <c r="D7647" s="4" t="s">
        <v>36866</v>
      </c>
      <c r="E7647" s="4" t="s">
        <v>36864</v>
      </c>
      <c r="F7647" s="4" t="s">
        <v>2419</v>
      </c>
      <c r="G7647" s="4" t="s">
        <v>36867</v>
      </c>
    </row>
    <row r="7648" ht="14.25">
      <c r="B7648" s="14" t="s">
        <v>36868</v>
      </c>
      <c r="C7648" s="4" t="s">
        <v>36869</v>
      </c>
      <c r="D7648" s="4" t="s">
        <v>36870</v>
      </c>
      <c r="E7648" s="4" t="s">
        <v>36871</v>
      </c>
      <c r="F7648" s="4" t="s">
        <v>33264</v>
      </c>
      <c r="G7648" s="4" t="s">
        <v>36872</v>
      </c>
    </row>
    <row r="7649" ht="14.25">
      <c r="B7649" s="14" t="s">
        <v>36868</v>
      </c>
      <c r="C7649" s="4" t="s">
        <v>36869</v>
      </c>
      <c r="D7649" s="4" t="s">
        <v>36873</v>
      </c>
      <c r="E7649" s="4" t="s">
        <v>36871</v>
      </c>
      <c r="F7649" s="4" t="s">
        <v>33621</v>
      </c>
      <c r="G7649" s="4" t="s">
        <v>32868</v>
      </c>
    </row>
    <row r="7650" ht="14.25">
      <c r="B7650" s="14" t="s">
        <v>36868</v>
      </c>
      <c r="C7650" s="4" t="s">
        <v>36869</v>
      </c>
      <c r="D7650" s="4" t="s">
        <v>36874</v>
      </c>
      <c r="E7650" s="4" t="s">
        <v>36871</v>
      </c>
      <c r="F7650" s="4" t="s">
        <v>13010</v>
      </c>
      <c r="G7650" s="4" t="s">
        <v>36875</v>
      </c>
    </row>
    <row r="7651" ht="14.25">
      <c r="B7651" s="14" t="s">
        <v>36868</v>
      </c>
      <c r="C7651" s="4" t="s">
        <v>36869</v>
      </c>
      <c r="D7651" s="4" t="s">
        <v>36876</v>
      </c>
      <c r="E7651" s="4" t="s">
        <v>36871</v>
      </c>
      <c r="F7651" s="4" t="s">
        <v>1732</v>
      </c>
      <c r="G7651" s="4" t="s">
        <v>36877</v>
      </c>
    </row>
    <row r="7652" ht="14.25">
      <c r="B7652" s="14" t="s">
        <v>36868</v>
      </c>
      <c r="C7652" s="4" t="s">
        <v>36869</v>
      </c>
      <c r="D7652" s="4" t="s">
        <v>36878</v>
      </c>
      <c r="E7652" s="4" t="s">
        <v>36871</v>
      </c>
      <c r="F7652" s="4" t="s">
        <v>23470</v>
      </c>
      <c r="G7652" s="4" t="s">
        <v>36879</v>
      </c>
    </row>
    <row r="7653" ht="14.25">
      <c r="B7653" s="14" t="s">
        <v>36868</v>
      </c>
      <c r="C7653" s="4" t="s">
        <v>36869</v>
      </c>
      <c r="D7653" s="4" t="s">
        <v>36880</v>
      </c>
      <c r="E7653" s="4" t="s">
        <v>36871</v>
      </c>
      <c r="F7653" s="4" t="s">
        <v>785</v>
      </c>
      <c r="G7653" s="4" t="s">
        <v>36881</v>
      </c>
    </row>
    <row r="7654" ht="14.25">
      <c r="B7654" s="14" t="s">
        <v>36868</v>
      </c>
      <c r="C7654" s="4" t="s">
        <v>36869</v>
      </c>
      <c r="D7654" s="4" t="s">
        <v>36882</v>
      </c>
      <c r="E7654" s="4" t="s">
        <v>36871</v>
      </c>
      <c r="F7654" s="4" t="s">
        <v>1001</v>
      </c>
      <c r="G7654" s="4" t="s">
        <v>36883</v>
      </c>
    </row>
    <row r="7655" ht="14.25">
      <c r="B7655" s="14" t="s">
        <v>36868</v>
      </c>
      <c r="C7655" s="4" t="s">
        <v>36869</v>
      </c>
      <c r="D7655" s="4" t="s">
        <v>36884</v>
      </c>
      <c r="E7655" s="4" t="s">
        <v>36871</v>
      </c>
      <c r="F7655" s="4" t="s">
        <v>355</v>
      </c>
      <c r="G7655" s="4" t="s">
        <v>32594</v>
      </c>
    </row>
    <row r="7656" ht="14.25">
      <c r="B7656" s="14" t="s">
        <v>36885</v>
      </c>
      <c r="C7656" s="4" t="s">
        <v>36886</v>
      </c>
      <c r="D7656" s="4" t="s">
        <v>36887</v>
      </c>
      <c r="E7656" s="6"/>
      <c r="F7656" s="4" t="s">
        <v>32622</v>
      </c>
      <c r="G7656" s="4" t="s">
        <v>36888</v>
      </c>
    </row>
    <row r="7657" ht="14.25">
      <c r="B7657" s="14" t="s">
        <v>36885</v>
      </c>
      <c r="C7657" s="4" t="s">
        <v>36889</v>
      </c>
      <c r="D7657" s="4" t="s">
        <v>36890</v>
      </c>
      <c r="E7657" s="4" t="s">
        <v>36891</v>
      </c>
      <c r="F7657" s="4" t="s">
        <v>20</v>
      </c>
      <c r="G7657" s="4" t="s">
        <v>35743</v>
      </c>
    </row>
    <row r="7658" ht="14.25">
      <c r="B7658" s="14" t="s">
        <v>36885</v>
      </c>
      <c r="C7658" s="4" t="s">
        <v>36892</v>
      </c>
      <c r="D7658" s="4" t="s">
        <v>36893</v>
      </c>
      <c r="E7658" s="4" t="s">
        <v>36894</v>
      </c>
      <c r="F7658" s="4" t="s">
        <v>1562</v>
      </c>
      <c r="G7658" s="4" t="s">
        <v>36199</v>
      </c>
    </row>
    <row r="7659" ht="14.25">
      <c r="B7659" s="14" t="s">
        <v>36885</v>
      </c>
      <c r="C7659" s="4" t="s">
        <v>36895</v>
      </c>
      <c r="D7659" s="4" t="s">
        <v>36896</v>
      </c>
      <c r="E7659" s="4" t="s">
        <v>36897</v>
      </c>
      <c r="F7659" s="4" t="s">
        <v>3072</v>
      </c>
      <c r="G7659" s="4" t="s">
        <v>36898</v>
      </c>
    </row>
    <row r="7660" ht="14.25">
      <c r="B7660" s="14" t="s">
        <v>36885</v>
      </c>
      <c r="C7660" s="4" t="s">
        <v>36899</v>
      </c>
      <c r="D7660" s="4" t="s">
        <v>36900</v>
      </c>
      <c r="E7660" s="4" t="s">
        <v>36901</v>
      </c>
      <c r="F7660" s="4" t="s">
        <v>33380</v>
      </c>
      <c r="G7660" s="4" t="s">
        <v>33700</v>
      </c>
    </row>
    <row r="7661" ht="14.25">
      <c r="B7661" s="14" t="s">
        <v>36885</v>
      </c>
      <c r="C7661" s="4" t="s">
        <v>36899</v>
      </c>
      <c r="D7661" s="4" t="s">
        <v>36902</v>
      </c>
      <c r="E7661" s="4" t="s">
        <v>36901</v>
      </c>
      <c r="F7661" s="4" t="s">
        <v>785</v>
      </c>
      <c r="G7661" s="4" t="s">
        <v>36903</v>
      </c>
    </row>
    <row r="7662" ht="14.25">
      <c r="B7662" s="14" t="s">
        <v>36885</v>
      </c>
      <c r="C7662" s="4" t="s">
        <v>36899</v>
      </c>
      <c r="D7662" s="4" t="s">
        <v>36904</v>
      </c>
      <c r="E7662" s="4" t="s">
        <v>36901</v>
      </c>
      <c r="F7662" s="4" t="s">
        <v>2508</v>
      </c>
      <c r="G7662" s="4" t="s">
        <v>36905</v>
      </c>
    </row>
    <row r="7663" ht="14.25">
      <c r="B7663" s="14" t="s">
        <v>36885</v>
      </c>
      <c r="C7663" s="4" t="s">
        <v>36899</v>
      </c>
      <c r="D7663" s="4" t="s">
        <v>36906</v>
      </c>
      <c r="E7663" s="4" t="s">
        <v>36901</v>
      </c>
      <c r="F7663" s="4" t="s">
        <v>222</v>
      </c>
      <c r="G7663" s="4" t="s">
        <v>36907</v>
      </c>
    </row>
    <row r="7664" ht="14.25">
      <c r="B7664" s="14" t="s">
        <v>36908</v>
      </c>
      <c r="C7664" s="4" t="s">
        <v>36909</v>
      </c>
      <c r="D7664" s="4" t="s">
        <v>36910</v>
      </c>
      <c r="E7664" s="4" t="s">
        <v>36911</v>
      </c>
      <c r="F7664" s="4" t="s">
        <v>3072</v>
      </c>
      <c r="G7664" s="4" t="s">
        <v>36912</v>
      </c>
    </row>
    <row r="7665" ht="14.25">
      <c r="B7665" s="14" t="s">
        <v>36908</v>
      </c>
      <c r="C7665" s="4" t="s">
        <v>36913</v>
      </c>
      <c r="D7665" s="4" t="s">
        <v>36914</v>
      </c>
      <c r="E7665" s="4" t="s">
        <v>36915</v>
      </c>
      <c r="F7665" s="4" t="s">
        <v>110</v>
      </c>
      <c r="G7665" s="4" t="s">
        <v>36916</v>
      </c>
    </row>
    <row r="7666" ht="14.25">
      <c r="B7666" s="14" t="s">
        <v>36908</v>
      </c>
      <c r="C7666" s="4" t="s">
        <v>36909</v>
      </c>
      <c r="D7666" s="4" t="s">
        <v>36917</v>
      </c>
      <c r="E7666" s="4" t="s">
        <v>36911</v>
      </c>
      <c r="F7666" s="4" t="s">
        <v>1732</v>
      </c>
      <c r="G7666" s="4" t="s">
        <v>35651</v>
      </c>
    </row>
    <row r="7667" ht="14.25">
      <c r="B7667" s="14" t="s">
        <v>36908</v>
      </c>
      <c r="C7667" s="4" t="s">
        <v>36913</v>
      </c>
      <c r="D7667" s="4" t="s">
        <v>36918</v>
      </c>
      <c r="E7667" s="4" t="s">
        <v>36915</v>
      </c>
      <c r="F7667" s="4" t="s">
        <v>33451</v>
      </c>
      <c r="G7667" s="4" t="s">
        <v>36919</v>
      </c>
    </row>
    <row r="7668" ht="14.25">
      <c r="B7668" s="14" t="s">
        <v>36920</v>
      </c>
      <c r="C7668" s="4" t="s">
        <v>36921</v>
      </c>
      <c r="D7668" s="4" t="s">
        <v>36922</v>
      </c>
      <c r="E7668" s="4" t="s">
        <v>36923</v>
      </c>
      <c r="F7668" s="4" t="s">
        <v>2508</v>
      </c>
      <c r="G7668" s="4" t="s">
        <v>36924</v>
      </c>
    </row>
    <row r="7669" ht="14.25">
      <c r="B7669" s="14" t="s">
        <v>36920</v>
      </c>
      <c r="C7669" s="4" t="s">
        <v>36921</v>
      </c>
      <c r="D7669" s="4" t="s">
        <v>36925</v>
      </c>
      <c r="E7669" s="4" t="s">
        <v>36923</v>
      </c>
      <c r="F7669" s="4" t="s">
        <v>4115</v>
      </c>
      <c r="G7669" s="4" t="s">
        <v>36926</v>
      </c>
    </row>
    <row r="7670" ht="14.25">
      <c r="B7670" s="14" t="s">
        <v>36920</v>
      </c>
      <c r="C7670" s="4" t="s">
        <v>36921</v>
      </c>
      <c r="D7670" s="4" t="s">
        <v>36927</v>
      </c>
      <c r="E7670" s="4" t="s">
        <v>36923</v>
      </c>
      <c r="F7670" s="4" t="s">
        <v>817</v>
      </c>
      <c r="G7670" s="4" t="s">
        <v>36928</v>
      </c>
    </row>
    <row r="7671" ht="14.25">
      <c r="B7671" s="14" t="s">
        <v>36920</v>
      </c>
      <c r="C7671" s="4" t="s">
        <v>36929</v>
      </c>
      <c r="D7671" s="4" t="s">
        <v>36930</v>
      </c>
      <c r="E7671" s="4" t="s">
        <v>36931</v>
      </c>
      <c r="F7671" s="4" t="s">
        <v>1732</v>
      </c>
      <c r="G7671" s="4" t="s">
        <v>36932</v>
      </c>
    </row>
    <row r="7672" ht="14.25">
      <c r="B7672" s="14" t="s">
        <v>36920</v>
      </c>
      <c r="C7672" s="4" t="s">
        <v>36921</v>
      </c>
      <c r="D7672" s="4" t="s">
        <v>36933</v>
      </c>
      <c r="E7672" s="4" t="s">
        <v>36923</v>
      </c>
      <c r="F7672" s="4" t="s">
        <v>35368</v>
      </c>
      <c r="G7672" s="4" t="s">
        <v>36934</v>
      </c>
    </row>
    <row r="7673" ht="14.25">
      <c r="B7673" s="14" t="s">
        <v>36920</v>
      </c>
      <c r="C7673" s="4" t="s">
        <v>36935</v>
      </c>
      <c r="D7673" s="4" t="s">
        <v>36936</v>
      </c>
      <c r="E7673" s="6"/>
      <c r="F7673" s="4" t="s">
        <v>36937</v>
      </c>
      <c r="G7673" s="4" t="s">
        <v>36938</v>
      </c>
    </row>
    <row r="7674" ht="14.25">
      <c r="B7674" s="14" t="s">
        <v>36920</v>
      </c>
      <c r="C7674" s="4" t="s">
        <v>36929</v>
      </c>
      <c r="D7674" s="4" t="s">
        <v>36939</v>
      </c>
      <c r="E7674" s="4" t="s">
        <v>36931</v>
      </c>
      <c r="F7674" s="4" t="s">
        <v>1571</v>
      </c>
      <c r="G7674" s="4" t="s">
        <v>36940</v>
      </c>
    </row>
    <row r="7675" ht="14.25">
      <c r="B7675" s="14" t="s">
        <v>36920</v>
      </c>
      <c r="C7675" s="4" t="s">
        <v>36921</v>
      </c>
      <c r="D7675" s="4" t="s">
        <v>36941</v>
      </c>
      <c r="E7675" s="4" t="s">
        <v>36923</v>
      </c>
      <c r="F7675" s="4" t="s">
        <v>670</v>
      </c>
      <c r="G7675" s="4" t="s">
        <v>36942</v>
      </c>
    </row>
    <row r="7676" ht="14.25">
      <c r="B7676" s="14" t="s">
        <v>36920</v>
      </c>
      <c r="C7676" s="4" t="s">
        <v>36929</v>
      </c>
      <c r="D7676" s="4" t="s">
        <v>36943</v>
      </c>
      <c r="E7676" s="4" t="s">
        <v>36931</v>
      </c>
      <c r="F7676" s="4" t="s">
        <v>1732</v>
      </c>
      <c r="G7676" s="4" t="s">
        <v>36944</v>
      </c>
    </row>
    <row r="7677" ht="14.25">
      <c r="B7677" s="14" t="s">
        <v>36920</v>
      </c>
      <c r="C7677" s="4" t="s">
        <v>36921</v>
      </c>
      <c r="D7677" s="4" t="s">
        <v>36945</v>
      </c>
      <c r="E7677" s="4" t="s">
        <v>36923</v>
      </c>
      <c r="F7677" s="4" t="s">
        <v>20</v>
      </c>
      <c r="G7677" s="4" t="s">
        <v>36946</v>
      </c>
    </row>
    <row r="7678" ht="14.25">
      <c r="B7678" s="14" t="s">
        <v>36920</v>
      </c>
      <c r="C7678" s="4" t="s">
        <v>36921</v>
      </c>
      <c r="D7678" s="4" t="s">
        <v>36947</v>
      </c>
      <c r="E7678" s="4" t="s">
        <v>36923</v>
      </c>
      <c r="F7678" s="4" t="s">
        <v>874</v>
      </c>
      <c r="G7678" s="4" t="s">
        <v>34955</v>
      </c>
    </row>
    <row r="7679" ht="14.25">
      <c r="B7679" s="14" t="s">
        <v>36920</v>
      </c>
      <c r="C7679" s="4" t="s">
        <v>36921</v>
      </c>
      <c r="D7679" s="4" t="s">
        <v>36948</v>
      </c>
      <c r="E7679" s="4" t="s">
        <v>36923</v>
      </c>
      <c r="F7679" s="4" t="s">
        <v>22725</v>
      </c>
      <c r="G7679" s="4" t="s">
        <v>36949</v>
      </c>
    </row>
    <row r="7680" ht="14.25">
      <c r="B7680" s="14" t="s">
        <v>36920</v>
      </c>
      <c r="C7680" s="4" t="s">
        <v>36921</v>
      </c>
      <c r="D7680" s="4" t="s">
        <v>36950</v>
      </c>
      <c r="E7680" s="4" t="s">
        <v>36923</v>
      </c>
      <c r="F7680" s="4" t="s">
        <v>15058</v>
      </c>
      <c r="G7680" s="4" t="s">
        <v>36951</v>
      </c>
    </row>
    <row r="7681" ht="14.25">
      <c r="B7681" s="14" t="s">
        <v>36920</v>
      </c>
      <c r="C7681" s="4" t="s">
        <v>36921</v>
      </c>
      <c r="D7681" s="4" t="s">
        <v>36952</v>
      </c>
      <c r="E7681" s="4" t="s">
        <v>36923</v>
      </c>
      <c r="F7681" s="4" t="s">
        <v>20</v>
      </c>
      <c r="G7681" s="4" t="s">
        <v>36953</v>
      </c>
    </row>
    <row r="7682" ht="14.25">
      <c r="B7682" s="14" t="s">
        <v>36920</v>
      </c>
      <c r="C7682" s="4" t="s">
        <v>36921</v>
      </c>
      <c r="D7682" s="4" t="s">
        <v>36954</v>
      </c>
      <c r="E7682" s="4" t="s">
        <v>36923</v>
      </c>
      <c r="F7682" s="4" t="s">
        <v>36955</v>
      </c>
      <c r="G7682" s="4" t="s">
        <v>36956</v>
      </c>
    </row>
    <row r="7683" ht="14.25">
      <c r="B7683" s="14" t="s">
        <v>36957</v>
      </c>
      <c r="C7683" s="4" t="s">
        <v>36958</v>
      </c>
      <c r="D7683" s="4" t="s">
        <v>36959</v>
      </c>
      <c r="E7683" s="4" t="s">
        <v>36960</v>
      </c>
      <c r="F7683" s="4" t="s">
        <v>874</v>
      </c>
      <c r="G7683" s="4" t="s">
        <v>36961</v>
      </c>
    </row>
    <row r="7684" ht="14.25">
      <c r="B7684" s="14" t="s">
        <v>36957</v>
      </c>
      <c r="C7684" s="4" t="s">
        <v>36962</v>
      </c>
      <c r="D7684" s="4" t="s">
        <v>36963</v>
      </c>
      <c r="E7684" s="6"/>
      <c r="F7684" s="4" t="s">
        <v>32701</v>
      </c>
      <c r="G7684" s="4" t="s">
        <v>36964</v>
      </c>
    </row>
    <row r="7685" ht="14.25">
      <c r="B7685" s="14" t="s">
        <v>36957</v>
      </c>
      <c r="C7685" s="4" t="s">
        <v>36962</v>
      </c>
      <c r="D7685" s="4" t="s">
        <v>36965</v>
      </c>
      <c r="E7685" s="4" t="s">
        <v>36963</v>
      </c>
      <c r="F7685" s="4" t="s">
        <v>4177</v>
      </c>
      <c r="G7685" s="4" t="s">
        <v>36966</v>
      </c>
    </row>
    <row r="7686" ht="14.25">
      <c r="B7686" s="14" t="s">
        <v>36967</v>
      </c>
      <c r="C7686" s="4" t="s">
        <v>36968</v>
      </c>
      <c r="D7686" s="4" t="s">
        <v>36969</v>
      </c>
      <c r="E7686" s="6"/>
      <c r="F7686" s="4" t="s">
        <v>7559</v>
      </c>
      <c r="G7686" s="4" t="s">
        <v>36210</v>
      </c>
    </row>
    <row r="7687" ht="14.25">
      <c r="B7687" s="14" t="s">
        <v>36970</v>
      </c>
      <c r="C7687" s="4" t="s">
        <v>36971</v>
      </c>
      <c r="D7687" s="4" t="s">
        <v>36972</v>
      </c>
      <c r="E7687" s="6"/>
      <c r="F7687" s="4" t="s">
        <v>32831</v>
      </c>
      <c r="G7687" s="4" t="s">
        <v>36973</v>
      </c>
    </row>
    <row r="7688" ht="14.25">
      <c r="B7688" s="14" t="s">
        <v>36974</v>
      </c>
      <c r="C7688" s="4" t="s">
        <v>36975</v>
      </c>
      <c r="D7688" s="4" t="s">
        <v>36976</v>
      </c>
      <c r="E7688" s="4" t="s">
        <v>36977</v>
      </c>
      <c r="F7688" s="4" t="s">
        <v>23753</v>
      </c>
      <c r="G7688" s="4" t="s">
        <v>36978</v>
      </c>
    </row>
    <row r="7689" ht="14.25">
      <c r="B7689" s="14" t="s">
        <v>36974</v>
      </c>
      <c r="C7689" s="4" t="s">
        <v>36975</v>
      </c>
      <c r="D7689" s="4" t="s">
        <v>36979</v>
      </c>
      <c r="E7689" s="4" t="s">
        <v>36977</v>
      </c>
      <c r="F7689" s="4" t="s">
        <v>330</v>
      </c>
      <c r="G7689" s="4" t="s">
        <v>36980</v>
      </c>
    </row>
    <row r="7690" ht="14.25">
      <c r="B7690" s="14" t="s">
        <v>36981</v>
      </c>
      <c r="C7690" s="4" t="s">
        <v>36982</v>
      </c>
      <c r="D7690" s="4" t="s">
        <v>36983</v>
      </c>
      <c r="E7690" s="6"/>
      <c r="F7690" s="4" t="s">
        <v>1596</v>
      </c>
      <c r="G7690" s="4" t="s">
        <v>36984</v>
      </c>
    </row>
    <row r="7691" ht="14.25">
      <c r="B7691" s="14" t="s">
        <v>36985</v>
      </c>
      <c r="C7691" s="4" t="s">
        <v>36986</v>
      </c>
      <c r="D7691" s="4" t="s">
        <v>36987</v>
      </c>
      <c r="E7691" s="4" t="s">
        <v>36988</v>
      </c>
      <c r="F7691" s="4" t="s">
        <v>34878</v>
      </c>
      <c r="G7691" s="4" t="s">
        <v>36989</v>
      </c>
    </row>
    <row r="7692" ht="14.25">
      <c r="B7692" s="14" t="s">
        <v>36985</v>
      </c>
      <c r="C7692" s="4" t="s">
        <v>36986</v>
      </c>
      <c r="D7692" s="4" t="s">
        <v>36990</v>
      </c>
      <c r="E7692" s="4" t="s">
        <v>36988</v>
      </c>
      <c r="F7692" s="4" t="s">
        <v>670</v>
      </c>
      <c r="G7692" s="4" t="s">
        <v>36991</v>
      </c>
    </row>
    <row r="7693" ht="14.25">
      <c r="B7693" s="14" t="s">
        <v>36985</v>
      </c>
      <c r="C7693" s="4" t="s">
        <v>36986</v>
      </c>
      <c r="D7693" s="4" t="s">
        <v>36992</v>
      </c>
      <c r="E7693" s="4" t="s">
        <v>36988</v>
      </c>
      <c r="F7693" s="4" t="s">
        <v>670</v>
      </c>
      <c r="G7693" s="4" t="s">
        <v>36993</v>
      </c>
    </row>
    <row r="7694" ht="14.25">
      <c r="B7694" s="14" t="s">
        <v>36985</v>
      </c>
      <c r="C7694" s="4" t="s">
        <v>36986</v>
      </c>
      <c r="D7694" s="4" t="s">
        <v>36994</v>
      </c>
      <c r="E7694" s="4" t="s">
        <v>36988</v>
      </c>
      <c r="F7694" s="4" t="s">
        <v>2372</v>
      </c>
      <c r="G7694" s="4" t="s">
        <v>36995</v>
      </c>
    </row>
    <row r="7695" ht="14.25">
      <c r="B7695" s="14" t="s">
        <v>36996</v>
      </c>
      <c r="C7695" s="4" t="s">
        <v>36997</v>
      </c>
      <c r="D7695" s="4" t="s">
        <v>36998</v>
      </c>
      <c r="E7695" s="4" t="s">
        <v>36999</v>
      </c>
      <c r="F7695" s="4" t="s">
        <v>35481</v>
      </c>
      <c r="G7695" s="4" t="s">
        <v>37000</v>
      </c>
    </row>
    <row r="7696" ht="14.25">
      <c r="B7696" s="14" t="s">
        <v>37001</v>
      </c>
      <c r="C7696" s="4" t="s">
        <v>37002</v>
      </c>
      <c r="D7696" s="4" t="s">
        <v>37003</v>
      </c>
      <c r="E7696" s="4" t="s">
        <v>37004</v>
      </c>
      <c r="F7696" s="4" t="s">
        <v>37005</v>
      </c>
      <c r="G7696" s="4" t="s">
        <v>37006</v>
      </c>
    </row>
    <row r="7697" ht="14.25">
      <c r="B7697" s="14" t="s">
        <v>37007</v>
      </c>
      <c r="C7697" s="4" t="s">
        <v>37008</v>
      </c>
      <c r="D7697" s="4" t="s">
        <v>37009</v>
      </c>
      <c r="E7697" s="6"/>
      <c r="F7697" s="4" t="s">
        <v>8049</v>
      </c>
      <c r="G7697" s="4" t="s">
        <v>37010</v>
      </c>
    </row>
    <row r="7698" ht="14.25">
      <c r="B7698" s="14" t="s">
        <v>37007</v>
      </c>
      <c r="C7698" s="4" t="s">
        <v>37008</v>
      </c>
      <c r="D7698" s="4" t="s">
        <v>37011</v>
      </c>
      <c r="E7698" s="4" t="s">
        <v>37009</v>
      </c>
      <c r="F7698" s="4" t="s">
        <v>37012</v>
      </c>
      <c r="G7698" s="4" t="s">
        <v>33327</v>
      </c>
    </row>
    <row r="7699" ht="14.25">
      <c r="B7699" s="14" t="s">
        <v>37013</v>
      </c>
      <c r="C7699" s="4" t="s">
        <v>37014</v>
      </c>
      <c r="D7699" s="4" t="s">
        <v>37015</v>
      </c>
      <c r="E7699" s="6"/>
      <c r="F7699" s="4" t="s">
        <v>21089</v>
      </c>
      <c r="G7699" s="4" t="s">
        <v>37016</v>
      </c>
    </row>
    <row r="7700" ht="14.25">
      <c r="B7700" s="14" t="s">
        <v>37017</v>
      </c>
      <c r="C7700" s="4" t="s">
        <v>37018</v>
      </c>
      <c r="D7700" s="4" t="s">
        <v>37019</v>
      </c>
      <c r="E7700" s="6"/>
      <c r="F7700" s="4" t="s">
        <v>16133</v>
      </c>
      <c r="G7700" s="4" t="s">
        <v>37020</v>
      </c>
    </row>
    <row r="7701" ht="14.25">
      <c r="B7701" s="14" t="s">
        <v>37021</v>
      </c>
      <c r="C7701" s="4" t="s">
        <v>37022</v>
      </c>
      <c r="D7701" s="4" t="s">
        <v>37023</v>
      </c>
      <c r="E7701" s="6"/>
      <c r="F7701" s="4" t="s">
        <v>971</v>
      </c>
      <c r="G7701" s="4" t="s">
        <v>37024</v>
      </c>
    </row>
    <row r="7702" ht="14.25">
      <c r="B7702" s="14" t="s">
        <v>37025</v>
      </c>
      <c r="C7702" s="4" t="s">
        <v>37026</v>
      </c>
      <c r="D7702" s="4" t="s">
        <v>37027</v>
      </c>
      <c r="E7702" s="4" t="s">
        <v>37028</v>
      </c>
      <c r="F7702" s="4" t="s">
        <v>1732</v>
      </c>
      <c r="G7702" s="4" t="s">
        <v>37029</v>
      </c>
    </row>
    <row r="7703" ht="14.25">
      <c r="B7703" s="14" t="s">
        <v>37025</v>
      </c>
      <c r="C7703" s="4" t="s">
        <v>37026</v>
      </c>
      <c r="D7703" s="4" t="s">
        <v>37030</v>
      </c>
      <c r="E7703" s="4" t="s">
        <v>37028</v>
      </c>
      <c r="F7703" s="4" t="s">
        <v>6992</v>
      </c>
      <c r="G7703" s="4" t="s">
        <v>37029</v>
      </c>
    </row>
    <row r="7704" ht="14.25">
      <c r="B7704" s="14" t="s">
        <v>37031</v>
      </c>
      <c r="C7704" s="4" t="s">
        <v>37032</v>
      </c>
      <c r="D7704" s="4" t="s">
        <v>37033</v>
      </c>
      <c r="E7704" s="4" t="s">
        <v>37034</v>
      </c>
      <c r="F7704" s="4" t="s">
        <v>23070</v>
      </c>
      <c r="G7704" s="4" t="s">
        <v>37035</v>
      </c>
    </row>
    <row r="7705" ht="14.25">
      <c r="B7705" s="14" t="s">
        <v>37036</v>
      </c>
      <c r="C7705" s="4" t="s">
        <v>37037</v>
      </c>
      <c r="D7705" s="4" t="s">
        <v>37038</v>
      </c>
      <c r="E7705" s="4" t="s">
        <v>37039</v>
      </c>
      <c r="F7705" s="4" t="s">
        <v>1571</v>
      </c>
      <c r="G7705" s="4" t="s">
        <v>37040</v>
      </c>
    </row>
    <row r="7706" ht="14.25">
      <c r="B7706" s="14" t="s">
        <v>37041</v>
      </c>
      <c r="C7706" s="4" t="s">
        <v>37042</v>
      </c>
      <c r="D7706" s="4" t="s">
        <v>37043</v>
      </c>
      <c r="E7706" s="4" t="s">
        <v>37044</v>
      </c>
      <c r="F7706" s="4" t="s">
        <v>1215</v>
      </c>
      <c r="G7706" s="4" t="s">
        <v>32623</v>
      </c>
    </row>
    <row r="7707" ht="14.25">
      <c r="B7707" s="14" t="s">
        <v>37045</v>
      </c>
      <c r="C7707" s="4" t="s">
        <v>37046</v>
      </c>
      <c r="D7707" s="4" t="s">
        <v>37047</v>
      </c>
      <c r="E7707" s="6"/>
      <c r="F7707" s="4" t="s">
        <v>95</v>
      </c>
      <c r="G7707" s="4" t="s">
        <v>37048</v>
      </c>
    </row>
    <row r="7708" ht="14.25">
      <c r="B7708" s="14" t="s">
        <v>37049</v>
      </c>
      <c r="C7708" s="4" t="s">
        <v>37050</v>
      </c>
      <c r="D7708" s="4" t="s">
        <v>37051</v>
      </c>
      <c r="E7708" s="4" t="s">
        <v>37052</v>
      </c>
      <c r="F7708" s="4" t="s">
        <v>355</v>
      </c>
      <c r="G7708" s="4" t="s">
        <v>37053</v>
      </c>
    </row>
    <row r="7709" ht="14.25">
      <c r="B7709" s="14" t="s">
        <v>37049</v>
      </c>
      <c r="C7709" s="4" t="s">
        <v>37050</v>
      </c>
      <c r="D7709" s="4" t="s">
        <v>37054</v>
      </c>
      <c r="E7709" s="4" t="s">
        <v>37052</v>
      </c>
      <c r="F7709" s="4" t="s">
        <v>26223</v>
      </c>
      <c r="G7709" s="4" t="s">
        <v>33759</v>
      </c>
    </row>
    <row r="7710" ht="14.25">
      <c r="B7710" s="14" t="s">
        <v>37055</v>
      </c>
      <c r="C7710" s="4" t="s">
        <v>37056</v>
      </c>
      <c r="D7710" s="4" t="s">
        <v>37057</v>
      </c>
      <c r="E7710" s="6"/>
      <c r="F7710" s="4" t="s">
        <v>32622</v>
      </c>
      <c r="G7710" s="4" t="s">
        <v>36656</v>
      </c>
    </row>
    <row r="7711" ht="14.25">
      <c r="B7711" s="14" t="s">
        <v>37058</v>
      </c>
      <c r="C7711" s="4" t="s">
        <v>37059</v>
      </c>
      <c r="D7711" s="4" t="s">
        <v>37060</v>
      </c>
      <c r="E7711" s="6"/>
      <c r="F7711" s="4" t="s">
        <v>35481</v>
      </c>
      <c r="G7711" s="4" t="s">
        <v>37061</v>
      </c>
    </row>
    <row r="7712" ht="14.25">
      <c r="B7712" s="14" t="s">
        <v>37062</v>
      </c>
      <c r="C7712" s="4" t="s">
        <v>37063</v>
      </c>
      <c r="D7712" s="4" t="s">
        <v>37064</v>
      </c>
      <c r="E7712" s="6"/>
      <c r="F7712" s="4" t="s">
        <v>20</v>
      </c>
      <c r="G7712" s="4" t="s">
        <v>37065</v>
      </c>
    </row>
    <row r="7713" ht="14.25">
      <c r="B7713" s="14" t="s">
        <v>37062</v>
      </c>
      <c r="C7713" s="4" t="s">
        <v>37066</v>
      </c>
      <c r="D7713" s="4" t="s">
        <v>37067</v>
      </c>
      <c r="E7713" s="4" t="s">
        <v>37068</v>
      </c>
      <c r="F7713" s="4" t="s">
        <v>32563</v>
      </c>
      <c r="G7713" s="4" t="s">
        <v>37069</v>
      </c>
    </row>
    <row r="7714" ht="14.25">
      <c r="B7714" s="14" t="s">
        <v>37070</v>
      </c>
      <c r="C7714" s="4" t="s">
        <v>37071</v>
      </c>
      <c r="D7714" s="4" t="s">
        <v>37072</v>
      </c>
      <c r="E7714" s="4" t="s">
        <v>37073</v>
      </c>
      <c r="F7714" s="4" t="s">
        <v>36694</v>
      </c>
      <c r="G7714" s="4" t="s">
        <v>37074</v>
      </c>
    </row>
    <row r="7715" ht="14.25">
      <c r="B7715" s="14" t="s">
        <v>37075</v>
      </c>
      <c r="C7715" s="4" t="s">
        <v>37076</v>
      </c>
      <c r="D7715" s="4" t="s">
        <v>37077</v>
      </c>
      <c r="E7715" s="6"/>
      <c r="F7715" s="4" t="s">
        <v>1153</v>
      </c>
      <c r="G7715" s="4" t="s">
        <v>37078</v>
      </c>
    </row>
    <row r="7716" ht="14.25">
      <c r="B7716" s="14" t="s">
        <v>37079</v>
      </c>
      <c r="C7716" s="4" t="s">
        <v>37080</v>
      </c>
      <c r="D7716" s="4" t="s">
        <v>37081</v>
      </c>
      <c r="E7716" s="4" t="s">
        <v>37082</v>
      </c>
      <c r="F7716" s="4" t="s">
        <v>95</v>
      </c>
      <c r="G7716" s="4" t="s">
        <v>37083</v>
      </c>
    </row>
    <row r="7717" ht="14.25">
      <c r="B7717" s="14" t="s">
        <v>37084</v>
      </c>
      <c r="C7717" s="4" t="s">
        <v>37085</v>
      </c>
      <c r="D7717" s="4" t="s">
        <v>37086</v>
      </c>
      <c r="E7717" s="6"/>
      <c r="F7717" s="4" t="s">
        <v>37087</v>
      </c>
      <c r="G7717" s="4" t="s">
        <v>37088</v>
      </c>
    </row>
    <row r="7718" ht="14.25">
      <c r="B7718" s="14" t="s">
        <v>37089</v>
      </c>
      <c r="C7718" s="4" t="s">
        <v>37090</v>
      </c>
      <c r="D7718" s="4" t="s">
        <v>37091</v>
      </c>
      <c r="E7718" s="6"/>
      <c r="F7718" s="4" t="s">
        <v>1732</v>
      </c>
      <c r="G7718" s="4" t="s">
        <v>37092</v>
      </c>
    </row>
    <row r="7719" ht="14.25">
      <c r="B7719" s="14" t="s">
        <v>37093</v>
      </c>
      <c r="C7719" s="4" t="s">
        <v>37094</v>
      </c>
      <c r="D7719" s="4" t="s">
        <v>37095</v>
      </c>
      <c r="E7719" s="4" t="s">
        <v>37096</v>
      </c>
      <c r="F7719" s="4" t="s">
        <v>4236</v>
      </c>
      <c r="G7719" s="4" t="s">
        <v>34625</v>
      </c>
    </row>
    <row r="7720" ht="14.25">
      <c r="B7720" s="14" t="s">
        <v>37097</v>
      </c>
      <c r="C7720" s="4" t="s">
        <v>37098</v>
      </c>
      <c r="D7720" s="4" t="s">
        <v>37099</v>
      </c>
      <c r="E7720" s="4" t="s">
        <v>37100</v>
      </c>
      <c r="F7720" s="4" t="s">
        <v>3516</v>
      </c>
      <c r="G7720" s="4" t="s">
        <v>37101</v>
      </c>
    </row>
    <row r="7721" ht="14.25">
      <c r="B7721" s="14" t="s">
        <v>37097</v>
      </c>
      <c r="C7721" s="4" t="s">
        <v>37098</v>
      </c>
      <c r="D7721" s="4" t="s">
        <v>37102</v>
      </c>
      <c r="E7721" s="4" t="s">
        <v>37100</v>
      </c>
      <c r="F7721" s="4" t="s">
        <v>679</v>
      </c>
      <c r="G7721" s="4" t="s">
        <v>37103</v>
      </c>
    </row>
    <row r="7722" ht="14.25">
      <c r="B7722" s="14" t="s">
        <v>37097</v>
      </c>
      <c r="C7722" s="4" t="s">
        <v>37098</v>
      </c>
      <c r="D7722" s="4" t="s">
        <v>37104</v>
      </c>
      <c r="E7722" s="4" t="s">
        <v>37100</v>
      </c>
      <c r="F7722" s="4" t="s">
        <v>222</v>
      </c>
      <c r="G7722" s="4" t="s">
        <v>37105</v>
      </c>
    </row>
    <row r="7723" ht="14.25">
      <c r="B7723" s="14" t="s">
        <v>37106</v>
      </c>
      <c r="C7723" s="4" t="s">
        <v>37107</v>
      </c>
      <c r="D7723" s="4" t="s">
        <v>37108</v>
      </c>
      <c r="E7723" s="4" t="s">
        <v>37109</v>
      </c>
      <c r="F7723" s="4" t="s">
        <v>1596</v>
      </c>
      <c r="G7723" s="4" t="s">
        <v>35747</v>
      </c>
    </row>
    <row r="7724" ht="14.25">
      <c r="B7724" s="14" t="s">
        <v>37110</v>
      </c>
      <c r="C7724" s="4" t="s">
        <v>37111</v>
      </c>
      <c r="D7724" s="4" t="s">
        <v>37112</v>
      </c>
      <c r="E7724" s="6"/>
      <c r="F7724" s="4" t="s">
        <v>35368</v>
      </c>
      <c r="G7724" s="4" t="s">
        <v>37113</v>
      </c>
    </row>
    <row r="7725" ht="14.25">
      <c r="B7725" s="14" t="s">
        <v>37114</v>
      </c>
      <c r="C7725" s="4" t="s">
        <v>37115</v>
      </c>
      <c r="D7725" s="4" t="s">
        <v>37116</v>
      </c>
      <c r="E7725" s="4" t="s">
        <v>37117</v>
      </c>
      <c r="F7725" s="4" t="s">
        <v>1009</v>
      </c>
      <c r="G7725" s="4" t="s">
        <v>37118</v>
      </c>
    </row>
    <row r="7726" ht="14.25">
      <c r="B7726" s="14" t="s">
        <v>37119</v>
      </c>
      <c r="C7726" s="4" t="s">
        <v>37120</v>
      </c>
      <c r="D7726" s="4" t="s">
        <v>37121</v>
      </c>
      <c r="E7726" s="4" t="s">
        <v>37122</v>
      </c>
      <c r="F7726" s="4" t="s">
        <v>330</v>
      </c>
      <c r="G7726" s="4" t="s">
        <v>37123</v>
      </c>
    </row>
    <row r="7727" ht="14.25">
      <c r="B7727" s="14" t="s">
        <v>37124</v>
      </c>
      <c r="C7727" s="4" t="s">
        <v>37125</v>
      </c>
      <c r="D7727" s="4" t="s">
        <v>37126</v>
      </c>
      <c r="E7727" s="4" t="s">
        <v>37127</v>
      </c>
      <c r="F7727" s="4" t="s">
        <v>670</v>
      </c>
      <c r="G7727" s="4" t="s">
        <v>34663</v>
      </c>
    </row>
    <row r="7728" ht="14.25">
      <c r="B7728" s="14" t="s">
        <v>37124</v>
      </c>
      <c r="C7728" s="4" t="s">
        <v>37125</v>
      </c>
      <c r="D7728" s="4" t="s">
        <v>37128</v>
      </c>
      <c r="E7728" s="4" t="s">
        <v>37127</v>
      </c>
      <c r="F7728" s="4" t="s">
        <v>355</v>
      </c>
      <c r="G7728" s="4" t="s">
        <v>37129</v>
      </c>
    </row>
    <row r="7729" ht="14.25">
      <c r="B7729" s="14" t="s">
        <v>37124</v>
      </c>
      <c r="C7729" s="4" t="s">
        <v>37125</v>
      </c>
      <c r="D7729" s="4" t="s">
        <v>37130</v>
      </c>
      <c r="E7729" s="4" t="s">
        <v>37127</v>
      </c>
      <c r="F7729" s="4" t="s">
        <v>2870</v>
      </c>
      <c r="G7729" s="4" t="s">
        <v>34663</v>
      </c>
    </row>
    <row r="7730" ht="14.25">
      <c r="B7730" s="14" t="s">
        <v>37131</v>
      </c>
      <c r="C7730" s="4" t="s">
        <v>37132</v>
      </c>
      <c r="D7730" s="4" t="s">
        <v>37133</v>
      </c>
      <c r="E7730" s="6"/>
      <c r="F7730" s="4" t="s">
        <v>6744</v>
      </c>
      <c r="G7730" s="4" t="s">
        <v>37134</v>
      </c>
    </row>
    <row r="7731" ht="14.25">
      <c r="B7731" s="14" t="s">
        <v>37131</v>
      </c>
      <c r="C7731" s="4" t="s">
        <v>37135</v>
      </c>
      <c r="D7731" s="4" t="s">
        <v>37136</v>
      </c>
      <c r="E7731" s="4" t="s">
        <v>37137</v>
      </c>
      <c r="F7731" s="4" t="s">
        <v>20</v>
      </c>
      <c r="G7731" s="4" t="s">
        <v>37138</v>
      </c>
    </row>
    <row r="7732" ht="14.25">
      <c r="B7732" s="14" t="s">
        <v>37131</v>
      </c>
      <c r="C7732" s="4" t="s">
        <v>37135</v>
      </c>
      <c r="D7732" s="4" t="s">
        <v>37137</v>
      </c>
      <c r="E7732" s="6"/>
      <c r="F7732" s="4" t="s">
        <v>679</v>
      </c>
      <c r="G7732" s="4" t="s">
        <v>37139</v>
      </c>
    </row>
    <row r="7733" ht="14.25">
      <c r="B7733" s="14" t="s">
        <v>37131</v>
      </c>
      <c r="C7733" s="4" t="s">
        <v>37135</v>
      </c>
      <c r="D7733" s="4" t="s">
        <v>37140</v>
      </c>
      <c r="E7733" s="4" t="s">
        <v>37137</v>
      </c>
      <c r="F7733" s="4" t="s">
        <v>330</v>
      </c>
      <c r="G7733" s="4" t="s">
        <v>37141</v>
      </c>
    </row>
    <row r="7734" ht="14.25">
      <c r="B7734" s="14" t="s">
        <v>37131</v>
      </c>
      <c r="C7734" s="4" t="s">
        <v>37142</v>
      </c>
      <c r="D7734" s="4" t="s">
        <v>37143</v>
      </c>
      <c r="E7734" s="6"/>
      <c r="F7734" s="4" t="s">
        <v>808</v>
      </c>
      <c r="G7734" s="4" t="s">
        <v>37144</v>
      </c>
    </row>
    <row r="7735" ht="14.25">
      <c r="B7735" s="14" t="s">
        <v>37145</v>
      </c>
      <c r="C7735" s="4" t="s">
        <v>37146</v>
      </c>
      <c r="D7735" s="4" t="s">
        <v>37147</v>
      </c>
      <c r="E7735" s="6"/>
      <c r="F7735" s="4" t="s">
        <v>9210</v>
      </c>
      <c r="G7735" s="4" t="s">
        <v>32868</v>
      </c>
    </row>
    <row r="7736" ht="14.25">
      <c r="B7736" s="14" t="s">
        <v>37145</v>
      </c>
      <c r="C7736" s="4" t="s">
        <v>37146</v>
      </c>
      <c r="D7736" s="4" t="s">
        <v>37148</v>
      </c>
      <c r="E7736" s="4" t="s">
        <v>37147</v>
      </c>
      <c r="F7736" s="4" t="s">
        <v>52</v>
      </c>
      <c r="G7736" s="4" t="s">
        <v>37149</v>
      </c>
    </row>
    <row r="7737" ht="14.25">
      <c r="B7737" s="14" t="s">
        <v>37145</v>
      </c>
      <c r="C7737" s="4" t="s">
        <v>37146</v>
      </c>
      <c r="D7737" s="4" t="s">
        <v>37150</v>
      </c>
      <c r="E7737" s="4" t="s">
        <v>37147</v>
      </c>
      <c r="F7737" s="4" t="s">
        <v>2508</v>
      </c>
      <c r="G7737" s="4" t="s">
        <v>37151</v>
      </c>
    </row>
    <row r="7738" ht="14.25">
      <c r="B7738" s="14" t="s">
        <v>37145</v>
      </c>
      <c r="C7738" s="4" t="s">
        <v>37146</v>
      </c>
      <c r="D7738" s="4" t="s">
        <v>37152</v>
      </c>
      <c r="E7738" s="4" t="s">
        <v>37147</v>
      </c>
      <c r="F7738" s="4" t="s">
        <v>37153</v>
      </c>
      <c r="G7738" s="4" t="s">
        <v>32868</v>
      </c>
    </row>
    <row r="7739" ht="14.25">
      <c r="B7739" s="14" t="s">
        <v>37154</v>
      </c>
      <c r="C7739" s="4" t="s">
        <v>37155</v>
      </c>
      <c r="D7739" s="4" t="s">
        <v>37156</v>
      </c>
      <c r="E7739" s="6"/>
      <c r="F7739" s="4" t="s">
        <v>874</v>
      </c>
      <c r="G7739" s="4" t="s">
        <v>37157</v>
      </c>
    </row>
    <row r="7740" ht="14.25">
      <c r="B7740" s="14" t="s">
        <v>37158</v>
      </c>
      <c r="C7740" s="4" t="s">
        <v>37159</v>
      </c>
      <c r="D7740" s="4" t="s">
        <v>37160</v>
      </c>
      <c r="E7740" s="4" t="s">
        <v>37161</v>
      </c>
      <c r="F7740" s="4" t="s">
        <v>37162</v>
      </c>
      <c r="G7740" s="4" t="s">
        <v>37163</v>
      </c>
    </row>
    <row r="7741" ht="14.25">
      <c r="B7741" s="14" t="s">
        <v>37158</v>
      </c>
      <c r="C7741" s="4" t="s">
        <v>37159</v>
      </c>
      <c r="D7741" s="4" t="s">
        <v>37164</v>
      </c>
      <c r="E7741" s="4" t="s">
        <v>37161</v>
      </c>
      <c r="F7741" s="4" t="s">
        <v>9030</v>
      </c>
      <c r="G7741" s="4" t="s">
        <v>37165</v>
      </c>
    </row>
    <row r="7742" ht="14.25">
      <c r="B7742" s="14" t="s">
        <v>37158</v>
      </c>
      <c r="C7742" s="4" t="s">
        <v>37159</v>
      </c>
      <c r="D7742" s="4" t="s">
        <v>37166</v>
      </c>
      <c r="E7742" s="4" t="s">
        <v>37161</v>
      </c>
      <c r="F7742" s="4" t="s">
        <v>36694</v>
      </c>
      <c r="G7742" s="4" t="s">
        <v>37165</v>
      </c>
    </row>
    <row r="7743" ht="14.25">
      <c r="B7743" s="14" t="s">
        <v>37158</v>
      </c>
      <c r="C7743" s="4" t="s">
        <v>37159</v>
      </c>
      <c r="D7743" s="4" t="s">
        <v>37167</v>
      </c>
      <c r="E7743" s="4" t="s">
        <v>37161</v>
      </c>
      <c r="F7743" s="4" t="s">
        <v>5579</v>
      </c>
      <c r="G7743" s="4" t="s">
        <v>37168</v>
      </c>
    </row>
    <row r="7744" ht="14.25">
      <c r="B7744" s="14" t="s">
        <v>37158</v>
      </c>
      <c r="C7744" s="4" t="s">
        <v>37159</v>
      </c>
      <c r="D7744" s="4" t="s">
        <v>37169</v>
      </c>
      <c r="E7744" s="4" t="s">
        <v>37161</v>
      </c>
      <c r="F7744" s="4" t="s">
        <v>37170</v>
      </c>
      <c r="G7744" s="4" t="s">
        <v>37171</v>
      </c>
    </row>
    <row r="7745" ht="14.25">
      <c r="B7745" s="14" t="s">
        <v>37172</v>
      </c>
      <c r="C7745" s="4" t="s">
        <v>37173</v>
      </c>
      <c r="D7745" s="4" t="s">
        <v>37174</v>
      </c>
      <c r="E7745" s="4" t="s">
        <v>37175</v>
      </c>
      <c r="F7745" s="4" t="s">
        <v>20</v>
      </c>
      <c r="G7745" s="4" t="s">
        <v>37176</v>
      </c>
    </row>
    <row r="7746" ht="14.25">
      <c r="B7746" s="14" t="s">
        <v>37172</v>
      </c>
      <c r="C7746" s="4" t="s">
        <v>37173</v>
      </c>
      <c r="D7746" s="4" t="s">
        <v>37175</v>
      </c>
      <c r="E7746" s="6"/>
      <c r="F7746" s="4" t="s">
        <v>963</v>
      </c>
      <c r="G7746" s="4" t="s">
        <v>37177</v>
      </c>
    </row>
    <row r="7747" ht="14.25">
      <c r="B7747" s="14" t="s">
        <v>37178</v>
      </c>
      <c r="C7747" s="4" t="s">
        <v>37179</v>
      </c>
      <c r="D7747" s="4" t="s">
        <v>37180</v>
      </c>
      <c r="E7747" s="4" t="s">
        <v>37181</v>
      </c>
      <c r="F7747" s="4" t="s">
        <v>1619</v>
      </c>
      <c r="G7747" s="4" t="s">
        <v>37182</v>
      </c>
    </row>
    <row r="7748" ht="14.25">
      <c r="B7748" s="14" t="s">
        <v>37178</v>
      </c>
      <c r="C7748" s="4" t="s">
        <v>37179</v>
      </c>
      <c r="D7748" s="4" t="s">
        <v>37183</v>
      </c>
      <c r="E7748" s="4" t="s">
        <v>37181</v>
      </c>
      <c r="F7748" s="4" t="s">
        <v>3165</v>
      </c>
      <c r="G7748" s="4" t="s">
        <v>37184</v>
      </c>
    </row>
    <row r="7749" ht="14.25">
      <c r="B7749" s="14" t="s">
        <v>37178</v>
      </c>
      <c r="C7749" s="4" t="s">
        <v>37179</v>
      </c>
      <c r="D7749" s="4" t="s">
        <v>37185</v>
      </c>
      <c r="E7749" s="4" t="s">
        <v>37181</v>
      </c>
      <c r="F7749" s="4" t="s">
        <v>1861</v>
      </c>
      <c r="G7749" s="4" t="s">
        <v>37186</v>
      </c>
    </row>
    <row r="7750" ht="14.25">
      <c r="B7750" s="14" t="s">
        <v>37178</v>
      </c>
      <c r="C7750" s="4" t="s">
        <v>37179</v>
      </c>
      <c r="D7750" s="4" t="s">
        <v>37187</v>
      </c>
      <c r="E7750" s="4" t="s">
        <v>37181</v>
      </c>
      <c r="F7750" s="4" t="s">
        <v>1499</v>
      </c>
      <c r="G7750" s="4" t="s">
        <v>37188</v>
      </c>
    </row>
    <row r="7751" ht="14.25">
      <c r="B7751" s="14" t="s">
        <v>37178</v>
      </c>
      <c r="C7751" s="4" t="s">
        <v>37179</v>
      </c>
      <c r="D7751" s="4" t="s">
        <v>37189</v>
      </c>
      <c r="E7751" s="4" t="s">
        <v>37181</v>
      </c>
      <c r="F7751" s="4" t="s">
        <v>330</v>
      </c>
      <c r="G7751" s="4" t="s">
        <v>37190</v>
      </c>
    </row>
    <row r="7752" ht="14.25">
      <c r="B7752" s="14" t="s">
        <v>37191</v>
      </c>
      <c r="C7752" s="4" t="s">
        <v>37192</v>
      </c>
      <c r="D7752" s="4" t="s">
        <v>37193</v>
      </c>
      <c r="E7752" s="6"/>
      <c r="F7752" s="4" t="s">
        <v>12648</v>
      </c>
      <c r="G7752" s="4" t="s">
        <v>32972</v>
      </c>
    </row>
    <row r="7753" ht="14.25">
      <c r="B7753" s="14" t="s">
        <v>37191</v>
      </c>
      <c r="C7753" s="4" t="s">
        <v>37194</v>
      </c>
      <c r="D7753" s="4" t="s">
        <v>37195</v>
      </c>
      <c r="E7753" s="6"/>
      <c r="F7753" s="4" t="s">
        <v>3599</v>
      </c>
      <c r="G7753" s="4" t="s">
        <v>37194</v>
      </c>
    </row>
    <row r="7754" ht="14.25">
      <c r="B7754" s="14" t="s">
        <v>37191</v>
      </c>
      <c r="C7754" s="4" t="s">
        <v>37196</v>
      </c>
      <c r="D7754" s="4" t="s">
        <v>37197</v>
      </c>
      <c r="E7754" s="6"/>
      <c r="F7754" s="4" t="s">
        <v>9200</v>
      </c>
      <c r="G7754" s="4" t="s">
        <v>37198</v>
      </c>
    </row>
    <row r="7755" ht="14.25">
      <c r="B7755" s="14" t="s">
        <v>37191</v>
      </c>
      <c r="C7755" s="4" t="s">
        <v>37199</v>
      </c>
      <c r="D7755" s="4" t="s">
        <v>37200</v>
      </c>
      <c r="E7755" s="4" t="s">
        <v>37201</v>
      </c>
      <c r="F7755" s="4" t="s">
        <v>808</v>
      </c>
      <c r="G7755" s="4" t="s">
        <v>37202</v>
      </c>
    </row>
    <row r="7756" ht="14.25">
      <c r="B7756" s="14" t="s">
        <v>37191</v>
      </c>
      <c r="C7756" s="4" t="s">
        <v>37203</v>
      </c>
      <c r="D7756" s="4" t="s">
        <v>37204</v>
      </c>
      <c r="E7756" s="4" t="s">
        <v>37205</v>
      </c>
      <c r="F7756" s="4" t="s">
        <v>769</v>
      </c>
      <c r="G7756" s="4" t="s">
        <v>32868</v>
      </c>
    </row>
    <row r="7757" ht="14.25">
      <c r="B7757" s="14" t="s">
        <v>37191</v>
      </c>
      <c r="C7757" s="4" t="s">
        <v>37196</v>
      </c>
      <c r="D7757" s="4" t="s">
        <v>37206</v>
      </c>
      <c r="E7757" s="4" t="s">
        <v>37197</v>
      </c>
      <c r="F7757" s="4" t="s">
        <v>34396</v>
      </c>
      <c r="G7757" s="4" t="s">
        <v>37207</v>
      </c>
    </row>
    <row r="7758" ht="14.25">
      <c r="B7758" s="14" t="s">
        <v>37208</v>
      </c>
      <c r="C7758" s="4" t="s">
        <v>37209</v>
      </c>
      <c r="D7758" s="4" t="s">
        <v>37210</v>
      </c>
      <c r="E7758" s="4" t="s">
        <v>37211</v>
      </c>
      <c r="F7758" s="4" t="s">
        <v>5716</v>
      </c>
      <c r="G7758" s="4" t="s">
        <v>37212</v>
      </c>
    </row>
    <row r="7759" ht="14.25">
      <c r="B7759" s="14" t="s">
        <v>37208</v>
      </c>
      <c r="C7759" s="4" t="s">
        <v>37213</v>
      </c>
      <c r="D7759" s="4" t="s">
        <v>37214</v>
      </c>
      <c r="E7759" s="4" t="s">
        <v>37215</v>
      </c>
      <c r="F7759" s="4" t="s">
        <v>330</v>
      </c>
      <c r="G7759" s="4" t="s">
        <v>37212</v>
      </c>
    </row>
    <row r="7760" ht="14.25">
      <c r="B7760" s="14" t="s">
        <v>37208</v>
      </c>
      <c r="C7760" s="4" t="s">
        <v>37209</v>
      </c>
      <c r="D7760" s="4" t="s">
        <v>37216</v>
      </c>
      <c r="E7760" s="4" t="s">
        <v>37211</v>
      </c>
      <c r="F7760" s="4" t="s">
        <v>1696</v>
      </c>
      <c r="G7760" s="4" t="s">
        <v>36372</v>
      </c>
    </row>
    <row r="7761" ht="14.25">
      <c r="B7761" s="14" t="s">
        <v>37217</v>
      </c>
      <c r="C7761" s="4" t="s">
        <v>37218</v>
      </c>
      <c r="D7761" s="4" t="s">
        <v>37219</v>
      </c>
      <c r="E7761" s="4" t="s">
        <v>37220</v>
      </c>
      <c r="F7761" s="4" t="s">
        <v>1583</v>
      </c>
      <c r="G7761" s="4" t="s">
        <v>37221</v>
      </c>
    </row>
    <row r="7762" ht="14.25">
      <c r="B7762" s="14" t="s">
        <v>37222</v>
      </c>
      <c r="C7762" s="4" t="s">
        <v>37223</v>
      </c>
      <c r="D7762" s="4" t="s">
        <v>37224</v>
      </c>
      <c r="E7762" s="4" t="s">
        <v>37225</v>
      </c>
      <c r="F7762" s="4" t="s">
        <v>76</v>
      </c>
      <c r="G7762" s="4" t="s">
        <v>37226</v>
      </c>
    </row>
    <row r="7763" ht="14.25">
      <c r="B7763" s="14" t="s">
        <v>37222</v>
      </c>
      <c r="C7763" s="4" t="s">
        <v>37223</v>
      </c>
      <c r="D7763" s="4" t="s">
        <v>37227</v>
      </c>
      <c r="E7763" s="4" t="s">
        <v>37225</v>
      </c>
      <c r="F7763" s="4" t="s">
        <v>2598</v>
      </c>
      <c r="G7763" s="4" t="s">
        <v>37228</v>
      </c>
    </row>
    <row r="7764" ht="14.25">
      <c r="B7764" s="14" t="s">
        <v>37222</v>
      </c>
      <c r="C7764" s="4" t="s">
        <v>37223</v>
      </c>
      <c r="D7764" s="4" t="s">
        <v>37229</v>
      </c>
      <c r="E7764" s="4" t="s">
        <v>37225</v>
      </c>
      <c r="F7764" s="4" t="s">
        <v>710</v>
      </c>
      <c r="G7764" s="4" t="s">
        <v>37230</v>
      </c>
    </row>
    <row r="7765" ht="14.25">
      <c r="B7765" s="14" t="s">
        <v>37222</v>
      </c>
      <c r="C7765" s="4" t="s">
        <v>37223</v>
      </c>
      <c r="D7765" s="4" t="s">
        <v>37231</v>
      </c>
      <c r="E7765" s="4" t="s">
        <v>37225</v>
      </c>
      <c r="F7765" s="4" t="s">
        <v>7323</v>
      </c>
      <c r="G7765" s="4" t="s">
        <v>32868</v>
      </c>
    </row>
    <row r="7766" ht="14.25">
      <c r="B7766" s="14" t="s">
        <v>37222</v>
      </c>
      <c r="C7766" s="4" t="s">
        <v>37232</v>
      </c>
      <c r="D7766" s="4" t="s">
        <v>37233</v>
      </c>
      <c r="E7766" s="4" t="s">
        <v>37234</v>
      </c>
      <c r="F7766" s="4" t="s">
        <v>4341</v>
      </c>
      <c r="G7766" s="4" t="s">
        <v>34199</v>
      </c>
    </row>
    <row r="7767" ht="14.25">
      <c r="B7767" s="14" t="s">
        <v>37222</v>
      </c>
      <c r="C7767" s="4" t="s">
        <v>37223</v>
      </c>
      <c r="D7767" s="4" t="s">
        <v>37235</v>
      </c>
      <c r="E7767" s="4" t="s">
        <v>37225</v>
      </c>
      <c r="F7767" s="4" t="s">
        <v>2398</v>
      </c>
      <c r="G7767" s="4" t="s">
        <v>37236</v>
      </c>
    </row>
    <row r="7768" ht="14.25">
      <c r="B7768" s="14" t="s">
        <v>37222</v>
      </c>
      <c r="C7768" s="4" t="s">
        <v>37223</v>
      </c>
      <c r="D7768" s="4" t="s">
        <v>37237</v>
      </c>
      <c r="E7768" s="4" t="s">
        <v>37225</v>
      </c>
      <c r="F7768" s="4" t="s">
        <v>2419</v>
      </c>
      <c r="G7768" s="4" t="s">
        <v>37238</v>
      </c>
    </row>
    <row r="7769" ht="14.25">
      <c r="B7769" s="14" t="s">
        <v>37222</v>
      </c>
      <c r="C7769" s="4" t="s">
        <v>37223</v>
      </c>
      <c r="D7769" s="4" t="s">
        <v>37239</v>
      </c>
      <c r="E7769" s="4" t="s">
        <v>37225</v>
      </c>
      <c r="F7769" s="4" t="s">
        <v>37240</v>
      </c>
      <c r="G7769" s="4" t="s">
        <v>37241</v>
      </c>
    </row>
    <row r="7770" ht="14.25">
      <c r="B7770" s="14" t="s">
        <v>37242</v>
      </c>
      <c r="C7770" s="4" t="s">
        <v>37243</v>
      </c>
      <c r="D7770" s="4" t="s">
        <v>37244</v>
      </c>
      <c r="E7770" s="4" t="s">
        <v>37245</v>
      </c>
      <c r="F7770" s="4" t="s">
        <v>37012</v>
      </c>
      <c r="G7770" s="4" t="s">
        <v>37246</v>
      </c>
    </row>
    <row r="7771" ht="14.25">
      <c r="B7771" s="14" t="s">
        <v>37242</v>
      </c>
      <c r="C7771" s="4" t="s">
        <v>37247</v>
      </c>
      <c r="D7771" s="4" t="s">
        <v>37248</v>
      </c>
      <c r="E7771" s="4" t="s">
        <v>37249</v>
      </c>
      <c r="F7771" s="4" t="s">
        <v>110</v>
      </c>
      <c r="G7771" s="4" t="s">
        <v>37250</v>
      </c>
    </row>
    <row r="7772" ht="14.25">
      <c r="B7772" s="14" t="s">
        <v>37251</v>
      </c>
      <c r="C7772" s="4" t="s">
        <v>37252</v>
      </c>
      <c r="D7772" s="4" t="s">
        <v>37253</v>
      </c>
      <c r="E7772" s="4" t="s">
        <v>37254</v>
      </c>
      <c r="F7772" s="4" t="s">
        <v>355</v>
      </c>
      <c r="G7772" s="4" t="s">
        <v>37255</v>
      </c>
    </row>
    <row r="7773" ht="14.25">
      <c r="B7773" s="14" t="s">
        <v>37256</v>
      </c>
      <c r="C7773" s="4" t="s">
        <v>37257</v>
      </c>
      <c r="D7773" s="4" t="s">
        <v>37258</v>
      </c>
      <c r="E7773" s="4" t="s">
        <v>37259</v>
      </c>
      <c r="F7773" s="4" t="s">
        <v>37260</v>
      </c>
      <c r="G7773" s="4" t="s">
        <v>37261</v>
      </c>
    </row>
    <row r="7774" ht="14.25">
      <c r="B7774" s="14" t="s">
        <v>37262</v>
      </c>
      <c r="C7774" s="4" t="s">
        <v>37263</v>
      </c>
      <c r="D7774" s="4" t="s">
        <v>37264</v>
      </c>
      <c r="E7774" s="4" t="s">
        <v>37265</v>
      </c>
      <c r="F7774" s="4" t="s">
        <v>32666</v>
      </c>
      <c r="G7774" s="4" t="s">
        <v>37266</v>
      </c>
    </row>
    <row r="7775" ht="14.25">
      <c r="B7775" s="14" t="s">
        <v>37262</v>
      </c>
      <c r="C7775" s="4" t="s">
        <v>37263</v>
      </c>
      <c r="D7775" s="4" t="s">
        <v>37267</v>
      </c>
      <c r="E7775" s="4" t="s">
        <v>37265</v>
      </c>
      <c r="F7775" s="4" t="s">
        <v>33110</v>
      </c>
      <c r="G7775" s="4" t="s">
        <v>37268</v>
      </c>
    </row>
    <row r="7776" ht="14.25">
      <c r="B7776" s="14" t="s">
        <v>37269</v>
      </c>
      <c r="C7776" s="4" t="s">
        <v>37270</v>
      </c>
      <c r="D7776" s="4" t="s">
        <v>37271</v>
      </c>
      <c r="E7776" s="6"/>
      <c r="F7776" s="4" t="s">
        <v>2119</v>
      </c>
      <c r="G7776" s="4" t="s">
        <v>37272</v>
      </c>
    </row>
    <row r="7777" ht="14.25">
      <c r="B7777" s="14" t="s">
        <v>37273</v>
      </c>
      <c r="C7777" s="4" t="s">
        <v>37274</v>
      </c>
      <c r="D7777" s="4" t="s">
        <v>37275</v>
      </c>
      <c r="E7777" s="6"/>
      <c r="F7777" s="4" t="s">
        <v>32831</v>
      </c>
      <c r="G7777" s="4" t="s">
        <v>37276</v>
      </c>
    </row>
    <row r="7778" ht="14.25">
      <c r="B7778" s="14" t="s">
        <v>37277</v>
      </c>
      <c r="C7778" s="4" t="s">
        <v>37278</v>
      </c>
      <c r="D7778" s="4" t="s">
        <v>37279</v>
      </c>
      <c r="E7778" s="6"/>
      <c r="F7778" s="4" t="s">
        <v>817</v>
      </c>
      <c r="G7778" s="4" t="s">
        <v>36626</v>
      </c>
    </row>
    <row r="7779" ht="14.25">
      <c r="B7779" s="14" t="s">
        <v>37280</v>
      </c>
      <c r="C7779" s="4" t="s">
        <v>37281</v>
      </c>
      <c r="D7779" s="4" t="s">
        <v>37282</v>
      </c>
      <c r="E7779" s="4" t="s">
        <v>37283</v>
      </c>
      <c r="F7779" s="4" t="s">
        <v>32622</v>
      </c>
      <c r="G7779" s="4" t="s">
        <v>37284</v>
      </c>
    </row>
    <row r="7780" ht="14.25">
      <c r="B7780" s="14" t="s">
        <v>37280</v>
      </c>
      <c r="C7780" s="4" t="s">
        <v>37281</v>
      </c>
      <c r="D7780" s="4" t="s">
        <v>37285</v>
      </c>
      <c r="E7780" s="4" t="s">
        <v>37283</v>
      </c>
      <c r="F7780" s="4" t="s">
        <v>1732</v>
      </c>
      <c r="G7780" s="4" t="s">
        <v>37286</v>
      </c>
    </row>
    <row r="7781" ht="14.25">
      <c r="B7781" s="14" t="s">
        <v>37280</v>
      </c>
      <c r="C7781" s="4" t="s">
        <v>37281</v>
      </c>
      <c r="D7781" s="4" t="s">
        <v>37287</v>
      </c>
      <c r="E7781" s="4" t="s">
        <v>37283</v>
      </c>
      <c r="F7781" s="4" t="s">
        <v>596</v>
      </c>
      <c r="G7781" s="4" t="s">
        <v>37288</v>
      </c>
    </row>
    <row r="7782" ht="14.25">
      <c r="B7782" s="14" t="s">
        <v>37280</v>
      </c>
      <c r="C7782" s="4" t="s">
        <v>37289</v>
      </c>
      <c r="D7782" s="4" t="s">
        <v>37290</v>
      </c>
      <c r="E7782" s="6"/>
      <c r="F7782" s="4" t="s">
        <v>571</v>
      </c>
      <c r="G7782" s="4" t="s">
        <v>37291</v>
      </c>
    </row>
    <row r="7783" ht="14.25">
      <c r="B7783" s="14" t="s">
        <v>37292</v>
      </c>
      <c r="C7783" s="4" t="s">
        <v>37293</v>
      </c>
      <c r="D7783" s="4" t="s">
        <v>37294</v>
      </c>
      <c r="E7783" s="4" t="s">
        <v>37295</v>
      </c>
      <c r="F7783" s="4" t="s">
        <v>32658</v>
      </c>
      <c r="G7783" s="4" t="s">
        <v>34233</v>
      </c>
    </row>
    <row r="7784" ht="14.25">
      <c r="B7784" s="14" t="s">
        <v>37292</v>
      </c>
      <c r="C7784" s="4" t="s">
        <v>37293</v>
      </c>
      <c r="D7784" s="4" t="s">
        <v>37296</v>
      </c>
      <c r="E7784" s="4" t="s">
        <v>37295</v>
      </c>
      <c r="F7784" s="4" t="s">
        <v>355</v>
      </c>
      <c r="G7784" s="4" t="s">
        <v>37297</v>
      </c>
    </row>
    <row r="7785" ht="14.25">
      <c r="B7785" s="14" t="s">
        <v>37292</v>
      </c>
      <c r="C7785" s="4" t="s">
        <v>37293</v>
      </c>
      <c r="D7785" s="4" t="s">
        <v>37298</v>
      </c>
      <c r="E7785" s="4" t="s">
        <v>37295</v>
      </c>
      <c r="F7785" s="4" t="s">
        <v>35884</v>
      </c>
      <c r="G7785" s="4" t="s">
        <v>37299</v>
      </c>
    </row>
    <row r="7786" ht="14.25">
      <c r="B7786" s="14" t="s">
        <v>37300</v>
      </c>
      <c r="C7786" s="4" t="s">
        <v>37301</v>
      </c>
      <c r="D7786" s="4" t="s">
        <v>37302</v>
      </c>
      <c r="E7786" s="4" t="s">
        <v>37303</v>
      </c>
      <c r="F7786" s="4" t="s">
        <v>9272</v>
      </c>
      <c r="G7786" s="4" t="s">
        <v>37304</v>
      </c>
    </row>
    <row r="7787" ht="14.25">
      <c r="B7787" s="14" t="s">
        <v>37300</v>
      </c>
      <c r="C7787" s="4" t="s">
        <v>37305</v>
      </c>
      <c r="D7787" s="4" t="s">
        <v>37306</v>
      </c>
      <c r="E7787" s="4" t="s">
        <v>37307</v>
      </c>
      <c r="F7787" s="4" t="s">
        <v>1583</v>
      </c>
      <c r="G7787" s="4" t="s">
        <v>37308</v>
      </c>
    </row>
    <row r="7788" ht="14.25">
      <c r="B7788" s="14" t="s">
        <v>37300</v>
      </c>
      <c r="C7788" s="4" t="s">
        <v>37305</v>
      </c>
      <c r="D7788" s="4" t="s">
        <v>37309</v>
      </c>
      <c r="E7788" s="4" t="s">
        <v>37307</v>
      </c>
      <c r="F7788" s="4" t="s">
        <v>11463</v>
      </c>
      <c r="G7788" s="4" t="s">
        <v>37310</v>
      </c>
    </row>
    <row r="7789" ht="14.25">
      <c r="B7789" s="14" t="s">
        <v>37300</v>
      </c>
      <c r="C7789" s="4" t="s">
        <v>37301</v>
      </c>
      <c r="D7789" s="4" t="s">
        <v>37311</v>
      </c>
      <c r="E7789" s="4" t="s">
        <v>37303</v>
      </c>
      <c r="F7789" s="4" t="s">
        <v>37312</v>
      </c>
      <c r="G7789" s="4" t="s">
        <v>37313</v>
      </c>
    </row>
    <row r="7790" ht="14.25">
      <c r="B7790" s="14" t="s">
        <v>37300</v>
      </c>
      <c r="C7790" s="4" t="s">
        <v>37305</v>
      </c>
      <c r="D7790" s="4" t="s">
        <v>37314</v>
      </c>
      <c r="E7790" s="4" t="s">
        <v>37307</v>
      </c>
      <c r="F7790" s="4" t="s">
        <v>32579</v>
      </c>
      <c r="G7790" s="4" t="s">
        <v>37315</v>
      </c>
    </row>
    <row r="7791" ht="14.25">
      <c r="B7791" s="14" t="s">
        <v>37300</v>
      </c>
      <c r="C7791" s="4" t="s">
        <v>37305</v>
      </c>
      <c r="D7791" s="4" t="s">
        <v>37316</v>
      </c>
      <c r="E7791" s="4" t="s">
        <v>37307</v>
      </c>
      <c r="F7791" s="4" t="s">
        <v>110</v>
      </c>
      <c r="G7791" s="4" t="s">
        <v>37317</v>
      </c>
    </row>
    <row r="7792" ht="14.25">
      <c r="B7792" s="14" t="s">
        <v>37300</v>
      </c>
      <c r="C7792" s="4" t="s">
        <v>37305</v>
      </c>
      <c r="D7792" s="4" t="s">
        <v>37318</v>
      </c>
      <c r="E7792" s="4" t="s">
        <v>37307</v>
      </c>
      <c r="F7792" s="4" t="s">
        <v>16812</v>
      </c>
      <c r="G7792" s="4" t="s">
        <v>37319</v>
      </c>
    </row>
    <row r="7793" ht="14.25">
      <c r="B7793" s="14" t="s">
        <v>37320</v>
      </c>
      <c r="C7793" s="4" t="s">
        <v>37321</v>
      </c>
      <c r="D7793" s="4" t="s">
        <v>37322</v>
      </c>
      <c r="E7793" s="4" t="s">
        <v>37323</v>
      </c>
      <c r="F7793" s="4" t="s">
        <v>2419</v>
      </c>
      <c r="G7793" s="4" t="s">
        <v>37324</v>
      </c>
    </row>
    <row r="7794" ht="14.25">
      <c r="B7794" s="14" t="s">
        <v>37320</v>
      </c>
      <c r="C7794" s="4" t="s">
        <v>37325</v>
      </c>
      <c r="D7794" s="4" t="s">
        <v>37326</v>
      </c>
      <c r="E7794" s="4" t="s">
        <v>37327</v>
      </c>
      <c r="F7794" s="4" t="s">
        <v>5001</v>
      </c>
      <c r="G7794" s="4" t="s">
        <v>37328</v>
      </c>
    </row>
    <row r="7795" ht="14.25">
      <c r="B7795" s="14" t="s">
        <v>37320</v>
      </c>
      <c r="C7795" s="4" t="s">
        <v>37321</v>
      </c>
      <c r="D7795" s="4" t="s">
        <v>37329</v>
      </c>
      <c r="E7795" s="4" t="s">
        <v>37323</v>
      </c>
      <c r="F7795" s="4" t="s">
        <v>4986</v>
      </c>
      <c r="G7795" s="4" t="s">
        <v>37330</v>
      </c>
    </row>
    <row r="7796" ht="14.25">
      <c r="B7796" s="14" t="s">
        <v>37320</v>
      </c>
      <c r="C7796" s="4" t="s">
        <v>37325</v>
      </c>
      <c r="D7796" s="4" t="s">
        <v>37331</v>
      </c>
      <c r="E7796" s="4" t="s">
        <v>37327</v>
      </c>
      <c r="F7796" s="4" t="s">
        <v>6844</v>
      </c>
      <c r="G7796" s="4" t="s">
        <v>37332</v>
      </c>
    </row>
    <row r="7797" ht="14.25">
      <c r="B7797" s="14" t="s">
        <v>37320</v>
      </c>
      <c r="C7797" s="4" t="s">
        <v>37321</v>
      </c>
      <c r="D7797" s="4" t="s">
        <v>37333</v>
      </c>
      <c r="E7797" s="4" t="s">
        <v>37323</v>
      </c>
      <c r="F7797" s="4" t="s">
        <v>1732</v>
      </c>
      <c r="G7797" s="4" t="s">
        <v>37334</v>
      </c>
    </row>
    <row r="7798" ht="14.25">
      <c r="B7798" s="14" t="s">
        <v>37320</v>
      </c>
      <c r="C7798" s="4" t="s">
        <v>37335</v>
      </c>
      <c r="D7798" s="4" t="s">
        <v>37336</v>
      </c>
      <c r="E7798" s="4" t="s">
        <v>37337</v>
      </c>
      <c r="F7798" s="4" t="s">
        <v>222</v>
      </c>
      <c r="G7798" s="4" t="s">
        <v>37338</v>
      </c>
    </row>
    <row r="7799" ht="14.25">
      <c r="B7799" s="14" t="s">
        <v>37339</v>
      </c>
      <c r="C7799" s="4" t="s">
        <v>37340</v>
      </c>
      <c r="D7799" s="4" t="s">
        <v>37341</v>
      </c>
      <c r="E7799" s="6"/>
      <c r="F7799" s="4" t="s">
        <v>6634</v>
      </c>
      <c r="G7799" s="4" t="s">
        <v>37342</v>
      </c>
    </row>
    <row r="7800" ht="14.25">
      <c r="B7800" s="14" t="s">
        <v>37343</v>
      </c>
      <c r="C7800" s="4" t="s">
        <v>37344</v>
      </c>
      <c r="D7800" s="4" t="s">
        <v>37345</v>
      </c>
      <c r="E7800" s="4" t="s">
        <v>37346</v>
      </c>
      <c r="F7800" s="4" t="s">
        <v>5679</v>
      </c>
      <c r="G7800" s="4" t="s">
        <v>37347</v>
      </c>
    </row>
    <row r="7801" ht="14.25">
      <c r="B7801" s="14" t="s">
        <v>37343</v>
      </c>
      <c r="C7801" s="4" t="s">
        <v>37344</v>
      </c>
      <c r="D7801" s="4" t="s">
        <v>37348</v>
      </c>
      <c r="E7801" s="4" t="s">
        <v>37346</v>
      </c>
      <c r="F7801" s="4" t="s">
        <v>1948</v>
      </c>
      <c r="G7801" s="4" t="s">
        <v>37349</v>
      </c>
    </row>
    <row r="7802" ht="14.25">
      <c r="B7802" s="14" t="s">
        <v>37343</v>
      </c>
      <c r="C7802" s="4" t="s">
        <v>37350</v>
      </c>
      <c r="D7802" s="4" t="s">
        <v>37351</v>
      </c>
      <c r="E7802" s="4" t="s">
        <v>37352</v>
      </c>
      <c r="F7802" s="4" t="s">
        <v>76</v>
      </c>
      <c r="G7802" s="4" t="s">
        <v>35180</v>
      </c>
    </row>
    <row r="7803" ht="14.25">
      <c r="B7803" s="14" t="s">
        <v>37353</v>
      </c>
      <c r="C7803" s="4" t="s">
        <v>37354</v>
      </c>
      <c r="D7803" s="4" t="s">
        <v>37355</v>
      </c>
      <c r="E7803" s="6"/>
      <c r="F7803" s="4" t="s">
        <v>298</v>
      </c>
      <c r="G7803" s="4" t="s">
        <v>37356</v>
      </c>
    </row>
    <row r="7804" ht="14.25">
      <c r="B7804" s="14" t="s">
        <v>37357</v>
      </c>
      <c r="C7804" s="4" t="s">
        <v>37358</v>
      </c>
      <c r="D7804" s="4" t="s">
        <v>37359</v>
      </c>
      <c r="E7804" s="4" t="s">
        <v>37360</v>
      </c>
      <c r="F7804" s="4" t="s">
        <v>1153</v>
      </c>
      <c r="G7804" s="4" t="s">
        <v>37361</v>
      </c>
    </row>
    <row r="7805" ht="14.25">
      <c r="B7805" s="14" t="s">
        <v>37357</v>
      </c>
      <c r="C7805" s="4" t="s">
        <v>37358</v>
      </c>
      <c r="D7805" s="4" t="s">
        <v>37362</v>
      </c>
      <c r="E7805" s="4" t="s">
        <v>37360</v>
      </c>
      <c r="F7805" s="4" t="s">
        <v>743</v>
      </c>
      <c r="G7805" s="4" t="s">
        <v>37363</v>
      </c>
    </row>
    <row r="7806" ht="14.25">
      <c r="B7806" s="14" t="s">
        <v>37364</v>
      </c>
      <c r="C7806" s="4" t="s">
        <v>37365</v>
      </c>
      <c r="D7806" s="4" t="s">
        <v>37366</v>
      </c>
      <c r="E7806" s="4" t="s">
        <v>37367</v>
      </c>
      <c r="F7806" s="4" t="s">
        <v>37368</v>
      </c>
      <c r="G7806" s="4" t="s">
        <v>37369</v>
      </c>
    </row>
    <row r="7807" ht="14.25">
      <c r="B7807" s="14" t="s">
        <v>37370</v>
      </c>
      <c r="C7807" s="4" t="s">
        <v>37371</v>
      </c>
      <c r="D7807" s="4" t="s">
        <v>37372</v>
      </c>
      <c r="E7807" s="6"/>
      <c r="F7807" s="4" t="s">
        <v>785</v>
      </c>
      <c r="G7807" s="4" t="s">
        <v>37373</v>
      </c>
    </row>
    <row r="7808" ht="14.25">
      <c r="B7808" s="14" t="s">
        <v>37374</v>
      </c>
      <c r="C7808" s="4" t="s">
        <v>37375</v>
      </c>
      <c r="D7808" s="4" t="s">
        <v>37376</v>
      </c>
      <c r="E7808" s="4" t="s">
        <v>37377</v>
      </c>
      <c r="F7808" s="4" t="s">
        <v>6634</v>
      </c>
      <c r="G7808" s="4" t="s">
        <v>37378</v>
      </c>
    </row>
    <row r="7809" ht="14.25">
      <c r="B7809" s="14" t="s">
        <v>37374</v>
      </c>
      <c r="C7809" s="4" t="s">
        <v>37379</v>
      </c>
      <c r="D7809" s="4" t="s">
        <v>37380</v>
      </c>
      <c r="E7809" s="4" t="s">
        <v>37381</v>
      </c>
      <c r="F7809" s="4" t="s">
        <v>32579</v>
      </c>
      <c r="G7809" s="4" t="s">
        <v>37382</v>
      </c>
    </row>
    <row r="7810" ht="14.25">
      <c r="B7810" s="14" t="s">
        <v>37374</v>
      </c>
      <c r="C7810" s="4" t="s">
        <v>37383</v>
      </c>
      <c r="D7810" s="4" t="s">
        <v>37384</v>
      </c>
      <c r="E7810" s="4" t="s">
        <v>37385</v>
      </c>
      <c r="F7810" s="4" t="s">
        <v>808</v>
      </c>
      <c r="G7810" s="4" t="s">
        <v>37386</v>
      </c>
    </row>
    <row r="7811" ht="14.25">
      <c r="B7811" s="14" t="s">
        <v>37387</v>
      </c>
      <c r="C7811" s="4" t="s">
        <v>37388</v>
      </c>
      <c r="D7811" s="4" t="s">
        <v>37389</v>
      </c>
      <c r="E7811" s="4" t="s">
        <v>37390</v>
      </c>
      <c r="F7811" s="4" t="s">
        <v>33054</v>
      </c>
      <c r="G7811" s="4" t="s">
        <v>37391</v>
      </c>
    </row>
    <row r="7812" ht="14.25">
      <c r="B7812" s="14" t="s">
        <v>37392</v>
      </c>
      <c r="C7812" s="4" t="s">
        <v>37393</v>
      </c>
      <c r="D7812" s="4" t="s">
        <v>37394</v>
      </c>
      <c r="E7812" s="6"/>
      <c r="F7812" s="4" t="s">
        <v>32563</v>
      </c>
      <c r="G7812" s="4" t="s">
        <v>34446</v>
      </c>
    </row>
    <row r="7813" ht="14.25">
      <c r="B7813" s="14" t="s">
        <v>37392</v>
      </c>
      <c r="C7813" s="4" t="s">
        <v>37395</v>
      </c>
      <c r="D7813" s="4" t="s">
        <v>37396</v>
      </c>
      <c r="E7813" s="4" t="s">
        <v>37397</v>
      </c>
      <c r="F7813" s="4" t="s">
        <v>37398</v>
      </c>
      <c r="G7813" s="4" t="s">
        <v>37399</v>
      </c>
    </row>
    <row r="7814" ht="14.25">
      <c r="B7814" s="14" t="s">
        <v>37392</v>
      </c>
      <c r="C7814" s="4" t="s">
        <v>37395</v>
      </c>
      <c r="D7814" s="4" t="s">
        <v>37400</v>
      </c>
      <c r="E7814" s="4" t="s">
        <v>37397</v>
      </c>
      <c r="F7814" s="4" t="s">
        <v>33135</v>
      </c>
      <c r="G7814" s="4" t="s">
        <v>37401</v>
      </c>
    </row>
    <row r="7815" ht="14.25">
      <c r="B7815" s="14" t="s">
        <v>37402</v>
      </c>
      <c r="C7815" s="4" t="s">
        <v>37403</v>
      </c>
      <c r="D7815" s="4" t="s">
        <v>37404</v>
      </c>
      <c r="E7815" s="4" t="s">
        <v>37405</v>
      </c>
      <c r="F7815" s="4" t="s">
        <v>33217</v>
      </c>
      <c r="G7815" s="4" t="s">
        <v>36298</v>
      </c>
    </row>
    <row r="7816" ht="14.25">
      <c r="B7816" s="14" t="s">
        <v>37406</v>
      </c>
      <c r="C7816" s="4" t="s">
        <v>37407</v>
      </c>
      <c r="D7816" s="4" t="s">
        <v>37408</v>
      </c>
      <c r="E7816" s="4" t="s">
        <v>37409</v>
      </c>
      <c r="F7816" s="4" t="s">
        <v>37410</v>
      </c>
      <c r="G7816" s="4" t="s">
        <v>37411</v>
      </c>
    </row>
    <row r="7817" ht="14.25">
      <c r="B7817" s="14" t="s">
        <v>37406</v>
      </c>
      <c r="C7817" s="4" t="s">
        <v>37407</v>
      </c>
      <c r="D7817" s="4" t="s">
        <v>37412</v>
      </c>
      <c r="E7817" s="4" t="s">
        <v>37409</v>
      </c>
      <c r="F7817" s="4" t="s">
        <v>32622</v>
      </c>
      <c r="G7817" s="4" t="s">
        <v>37411</v>
      </c>
    </row>
    <row r="7818" ht="14.25">
      <c r="B7818" s="14" t="s">
        <v>37413</v>
      </c>
      <c r="C7818" s="4" t="s">
        <v>37414</v>
      </c>
      <c r="D7818" s="4" t="s">
        <v>37415</v>
      </c>
      <c r="E7818" s="4" t="s">
        <v>37416</v>
      </c>
      <c r="F7818" s="4" t="s">
        <v>1732</v>
      </c>
      <c r="G7818" s="4" t="s">
        <v>34416</v>
      </c>
    </row>
    <row r="7819" ht="14.25">
      <c r="B7819" s="14" t="s">
        <v>37417</v>
      </c>
      <c r="C7819" s="4" t="s">
        <v>37418</v>
      </c>
      <c r="D7819" s="4" t="s">
        <v>37419</v>
      </c>
      <c r="E7819" s="4" t="s">
        <v>37420</v>
      </c>
      <c r="F7819" s="4" t="s">
        <v>6634</v>
      </c>
      <c r="G7819" s="4" t="s">
        <v>37421</v>
      </c>
    </row>
    <row r="7820" ht="14.25">
      <c r="B7820" s="14" t="s">
        <v>37422</v>
      </c>
      <c r="C7820" s="4" t="s">
        <v>37423</v>
      </c>
      <c r="D7820" s="4" t="s">
        <v>37424</v>
      </c>
      <c r="E7820" s="4" t="s">
        <v>37425</v>
      </c>
      <c r="F7820" s="4" t="s">
        <v>222</v>
      </c>
      <c r="G7820" s="4" t="s">
        <v>37426</v>
      </c>
    </row>
    <row r="7821" ht="14.25">
      <c r="B7821" s="14" t="s">
        <v>37422</v>
      </c>
      <c r="C7821" s="4" t="s">
        <v>37423</v>
      </c>
      <c r="D7821" s="4" t="s">
        <v>37427</v>
      </c>
      <c r="E7821" s="4" t="s">
        <v>37425</v>
      </c>
      <c r="F7821" s="4" t="s">
        <v>1948</v>
      </c>
      <c r="G7821" s="4" t="s">
        <v>34959</v>
      </c>
    </row>
    <row r="7822" ht="14.25">
      <c r="B7822" s="14" t="s">
        <v>37428</v>
      </c>
      <c r="C7822" s="4" t="s">
        <v>37429</v>
      </c>
      <c r="D7822" s="4" t="s">
        <v>37430</v>
      </c>
      <c r="E7822" s="4" t="s">
        <v>37431</v>
      </c>
      <c r="F7822" s="4" t="s">
        <v>52</v>
      </c>
      <c r="G7822" s="4" t="s">
        <v>34625</v>
      </c>
    </row>
    <row r="7823" ht="14.25">
      <c r="B7823" s="14" t="s">
        <v>37432</v>
      </c>
      <c r="C7823" s="4" t="s">
        <v>37433</v>
      </c>
      <c r="D7823" s="4" t="s">
        <v>37434</v>
      </c>
      <c r="E7823" s="4" t="s">
        <v>37435</v>
      </c>
      <c r="F7823" s="4" t="s">
        <v>7525</v>
      </c>
      <c r="G7823" s="4" t="s">
        <v>37436</v>
      </c>
    </row>
    <row r="7824" ht="14.25">
      <c r="B7824" s="14" t="s">
        <v>37432</v>
      </c>
      <c r="C7824" s="4" t="s">
        <v>37433</v>
      </c>
      <c r="D7824" s="4" t="s">
        <v>37437</v>
      </c>
      <c r="E7824" s="4" t="s">
        <v>37435</v>
      </c>
      <c r="F7824" s="4" t="s">
        <v>21062</v>
      </c>
      <c r="G7824" s="4" t="s">
        <v>37438</v>
      </c>
    </row>
    <row r="7825" ht="14.25">
      <c r="B7825" s="14" t="s">
        <v>37432</v>
      </c>
      <c r="C7825" s="4" t="s">
        <v>37433</v>
      </c>
      <c r="D7825" s="4" t="s">
        <v>37439</v>
      </c>
      <c r="E7825" s="4" t="s">
        <v>37435</v>
      </c>
      <c r="F7825" s="4" t="s">
        <v>2299</v>
      </c>
      <c r="G7825" s="4" t="s">
        <v>34991</v>
      </c>
    </row>
    <row r="7826" ht="14.25">
      <c r="B7826" s="14" t="s">
        <v>37432</v>
      </c>
      <c r="C7826" s="4" t="s">
        <v>37433</v>
      </c>
      <c r="D7826" s="4" t="s">
        <v>37440</v>
      </c>
      <c r="E7826" s="4" t="s">
        <v>37435</v>
      </c>
      <c r="F7826" s="4" t="s">
        <v>955</v>
      </c>
      <c r="G7826" s="4" t="s">
        <v>37438</v>
      </c>
    </row>
    <row r="7827" ht="14.25">
      <c r="B7827" s="14" t="s">
        <v>37441</v>
      </c>
      <c r="C7827" s="4" t="s">
        <v>37442</v>
      </c>
      <c r="D7827" s="4" t="s">
        <v>37443</v>
      </c>
      <c r="E7827" s="4" t="s">
        <v>37444</v>
      </c>
      <c r="F7827" s="4" t="s">
        <v>485</v>
      </c>
      <c r="G7827" s="4" t="s">
        <v>37445</v>
      </c>
    </row>
    <row r="7828" ht="14.25">
      <c r="B7828" s="14" t="s">
        <v>37441</v>
      </c>
      <c r="C7828" s="4" t="s">
        <v>37442</v>
      </c>
      <c r="D7828" s="4" t="s">
        <v>37446</v>
      </c>
      <c r="E7828" s="4" t="s">
        <v>37444</v>
      </c>
      <c r="F7828" s="4" t="s">
        <v>76</v>
      </c>
      <c r="G7828" s="4" t="s">
        <v>37447</v>
      </c>
    </row>
    <row r="7829" ht="14.25">
      <c r="B7829" s="14" t="s">
        <v>37441</v>
      </c>
      <c r="C7829" s="4" t="s">
        <v>37442</v>
      </c>
      <c r="D7829" s="4" t="s">
        <v>37448</v>
      </c>
      <c r="E7829" s="4" t="s">
        <v>37444</v>
      </c>
      <c r="F7829" s="4" t="s">
        <v>8107</v>
      </c>
      <c r="G7829" s="4" t="s">
        <v>34795</v>
      </c>
    </row>
    <row r="7830" ht="14.25">
      <c r="B7830" s="14" t="s">
        <v>37449</v>
      </c>
      <c r="C7830" s="4" t="s">
        <v>37450</v>
      </c>
      <c r="D7830" s="4" t="s">
        <v>37451</v>
      </c>
      <c r="E7830" s="4" t="s">
        <v>37452</v>
      </c>
      <c r="F7830" s="4" t="s">
        <v>3850</v>
      </c>
      <c r="G7830" s="4" t="s">
        <v>37453</v>
      </c>
    </row>
    <row r="7831" ht="14.25">
      <c r="B7831" s="14" t="s">
        <v>37449</v>
      </c>
      <c r="C7831" s="4" t="s">
        <v>37450</v>
      </c>
      <c r="D7831" s="4" t="s">
        <v>37454</v>
      </c>
      <c r="E7831" s="4" t="s">
        <v>37452</v>
      </c>
      <c r="F7831" s="4" t="s">
        <v>604</v>
      </c>
      <c r="G7831" s="4" t="s">
        <v>37455</v>
      </c>
    </row>
    <row r="7832" ht="14.25">
      <c r="B7832" s="14" t="s">
        <v>37456</v>
      </c>
      <c r="C7832" s="4" t="s">
        <v>37457</v>
      </c>
      <c r="D7832" s="4" t="s">
        <v>37458</v>
      </c>
      <c r="E7832" s="4" t="s">
        <v>37459</v>
      </c>
      <c r="F7832" s="4" t="s">
        <v>808</v>
      </c>
      <c r="G7832" s="4" t="s">
        <v>37460</v>
      </c>
    </row>
    <row r="7833" ht="14.25">
      <c r="B7833" s="14" t="s">
        <v>37456</v>
      </c>
      <c r="C7833" s="4" t="s">
        <v>37461</v>
      </c>
      <c r="D7833" s="4" t="s">
        <v>37462</v>
      </c>
      <c r="E7833" s="4" t="s">
        <v>37463</v>
      </c>
      <c r="F7833" s="4" t="s">
        <v>4977</v>
      </c>
      <c r="G7833" s="4" t="s">
        <v>37464</v>
      </c>
    </row>
    <row r="7834" ht="14.25">
      <c r="B7834" s="14" t="s">
        <v>37456</v>
      </c>
      <c r="C7834" s="4" t="s">
        <v>37465</v>
      </c>
      <c r="D7834" s="4" t="s">
        <v>37466</v>
      </c>
      <c r="E7834" s="4" t="s">
        <v>37467</v>
      </c>
      <c r="F7834" s="4" t="s">
        <v>2119</v>
      </c>
      <c r="G7834" s="4" t="s">
        <v>32551</v>
      </c>
    </row>
    <row r="7835" ht="14.25">
      <c r="B7835" s="14" t="s">
        <v>37468</v>
      </c>
      <c r="C7835" s="4" t="s">
        <v>37469</v>
      </c>
      <c r="D7835" s="4" t="s">
        <v>37470</v>
      </c>
      <c r="E7835" s="4" t="s">
        <v>37471</v>
      </c>
      <c r="F7835" s="4" t="s">
        <v>18559</v>
      </c>
      <c r="G7835" s="4" t="s">
        <v>37472</v>
      </c>
    </row>
    <row r="7836" ht="14.25">
      <c r="B7836" s="14" t="s">
        <v>37468</v>
      </c>
      <c r="C7836" s="4" t="s">
        <v>37469</v>
      </c>
      <c r="D7836" s="4" t="s">
        <v>37473</v>
      </c>
      <c r="E7836" s="4" t="s">
        <v>37471</v>
      </c>
      <c r="F7836" s="4" t="s">
        <v>874</v>
      </c>
      <c r="G7836" s="4" t="s">
        <v>37474</v>
      </c>
    </row>
    <row r="7837" ht="14.25">
      <c r="B7837" s="14" t="s">
        <v>37475</v>
      </c>
      <c r="C7837" s="4" t="s">
        <v>37476</v>
      </c>
      <c r="D7837" s="4" t="s">
        <v>37477</v>
      </c>
      <c r="E7837" s="6"/>
      <c r="F7837" s="4" t="s">
        <v>37478</v>
      </c>
      <c r="G7837" s="4" t="s">
        <v>37479</v>
      </c>
    </row>
    <row r="7838" ht="14.25">
      <c r="B7838" s="14" t="s">
        <v>37480</v>
      </c>
      <c r="C7838" s="4" t="s">
        <v>37481</v>
      </c>
      <c r="D7838" s="4" t="s">
        <v>37482</v>
      </c>
      <c r="E7838" s="4" t="s">
        <v>37483</v>
      </c>
      <c r="F7838" s="4" t="s">
        <v>4800</v>
      </c>
      <c r="G7838" s="4" t="s">
        <v>37484</v>
      </c>
    </row>
    <row r="7839" ht="14.25">
      <c r="B7839" s="14" t="s">
        <v>37480</v>
      </c>
      <c r="C7839" s="4" t="s">
        <v>37481</v>
      </c>
      <c r="D7839" s="4" t="s">
        <v>37485</v>
      </c>
      <c r="E7839" s="4" t="s">
        <v>37483</v>
      </c>
      <c r="F7839" s="4" t="s">
        <v>32706</v>
      </c>
      <c r="G7839" s="4" t="s">
        <v>37486</v>
      </c>
    </row>
    <row r="7840" ht="14.25">
      <c r="B7840" s="14" t="s">
        <v>37480</v>
      </c>
      <c r="C7840" s="4" t="s">
        <v>37481</v>
      </c>
      <c r="D7840" s="4" t="s">
        <v>37487</v>
      </c>
      <c r="E7840" s="4" t="s">
        <v>37483</v>
      </c>
      <c r="F7840" s="4" t="s">
        <v>95</v>
      </c>
      <c r="G7840" s="4" t="s">
        <v>37488</v>
      </c>
    </row>
    <row r="7841" ht="14.25">
      <c r="B7841" s="14" t="s">
        <v>37480</v>
      </c>
      <c r="C7841" s="4" t="s">
        <v>37481</v>
      </c>
      <c r="D7841" s="4" t="s">
        <v>37489</v>
      </c>
      <c r="E7841" s="4" t="s">
        <v>37483</v>
      </c>
      <c r="F7841" s="4" t="s">
        <v>37490</v>
      </c>
      <c r="G7841" s="4" t="s">
        <v>35743</v>
      </c>
    </row>
    <row r="7842" ht="14.25">
      <c r="B7842" s="14" t="s">
        <v>37491</v>
      </c>
      <c r="C7842" s="4" t="s">
        <v>37492</v>
      </c>
      <c r="D7842" s="4" t="s">
        <v>37493</v>
      </c>
      <c r="E7842" s="4" t="s">
        <v>37494</v>
      </c>
      <c r="F7842" s="4" t="s">
        <v>1583</v>
      </c>
      <c r="G7842" s="4" t="s">
        <v>37495</v>
      </c>
    </row>
    <row r="7843" ht="14.25">
      <c r="B7843" s="14" t="s">
        <v>37491</v>
      </c>
      <c r="C7843" s="4" t="s">
        <v>37492</v>
      </c>
      <c r="D7843" s="4" t="s">
        <v>37496</v>
      </c>
      <c r="E7843" s="4" t="s">
        <v>37494</v>
      </c>
      <c r="F7843" s="4" t="s">
        <v>6923</v>
      </c>
      <c r="G7843" s="4" t="s">
        <v>37497</v>
      </c>
    </row>
    <row r="7844" ht="14.25">
      <c r="B7844" s="14" t="s">
        <v>37498</v>
      </c>
      <c r="C7844" s="4" t="s">
        <v>37499</v>
      </c>
      <c r="D7844" s="4" t="s">
        <v>37500</v>
      </c>
      <c r="E7844" s="6"/>
      <c r="F7844" s="4" t="s">
        <v>206</v>
      </c>
      <c r="G7844" s="4" t="s">
        <v>37501</v>
      </c>
    </row>
    <row r="7845" ht="14.25">
      <c r="B7845" s="14" t="s">
        <v>37502</v>
      </c>
      <c r="C7845" s="4" t="s">
        <v>37503</v>
      </c>
      <c r="D7845" s="4" t="s">
        <v>37504</v>
      </c>
      <c r="E7845" s="4" t="s">
        <v>37505</v>
      </c>
      <c r="F7845" s="4" t="s">
        <v>4800</v>
      </c>
      <c r="G7845" s="4" t="s">
        <v>32594</v>
      </c>
    </row>
    <row r="7846" ht="14.25">
      <c r="B7846" s="14" t="s">
        <v>37502</v>
      </c>
      <c r="C7846" s="4" t="s">
        <v>37503</v>
      </c>
      <c r="D7846" s="4" t="s">
        <v>37506</v>
      </c>
      <c r="E7846" s="4" t="s">
        <v>37505</v>
      </c>
      <c r="F7846" s="4" t="s">
        <v>52</v>
      </c>
      <c r="G7846" s="4" t="s">
        <v>37507</v>
      </c>
    </row>
    <row r="7847" ht="14.25">
      <c r="B7847" s="14" t="s">
        <v>37502</v>
      </c>
      <c r="C7847" s="4" t="s">
        <v>37503</v>
      </c>
      <c r="D7847" s="4" t="s">
        <v>37508</v>
      </c>
      <c r="E7847" s="4" t="s">
        <v>37505</v>
      </c>
      <c r="F7847" s="4" t="s">
        <v>5103</v>
      </c>
      <c r="G7847" s="4" t="s">
        <v>37509</v>
      </c>
    </row>
    <row r="7848" ht="14.25">
      <c r="B7848" s="14" t="s">
        <v>37502</v>
      </c>
      <c r="C7848" s="4" t="s">
        <v>37503</v>
      </c>
      <c r="D7848" s="4" t="s">
        <v>37510</v>
      </c>
      <c r="E7848" s="4" t="s">
        <v>37505</v>
      </c>
      <c r="F7848" s="4" t="s">
        <v>1153</v>
      </c>
      <c r="G7848" s="4" t="s">
        <v>37511</v>
      </c>
    </row>
    <row r="7849" ht="14.25">
      <c r="B7849" s="14" t="s">
        <v>37502</v>
      </c>
      <c r="C7849" s="4" t="s">
        <v>37503</v>
      </c>
      <c r="D7849" s="4" t="s">
        <v>37512</v>
      </c>
      <c r="E7849" s="4" t="s">
        <v>37505</v>
      </c>
      <c r="F7849" s="4" t="s">
        <v>2409</v>
      </c>
      <c r="G7849" s="4" t="s">
        <v>35089</v>
      </c>
    </row>
    <row r="7850" ht="14.25">
      <c r="B7850" s="14" t="s">
        <v>37502</v>
      </c>
      <c r="C7850" s="4" t="s">
        <v>37503</v>
      </c>
      <c r="D7850" s="4" t="s">
        <v>37513</v>
      </c>
      <c r="E7850" s="4" t="s">
        <v>37505</v>
      </c>
      <c r="F7850" s="4" t="s">
        <v>31879</v>
      </c>
      <c r="G7850" s="4" t="s">
        <v>37514</v>
      </c>
    </row>
    <row r="7851" ht="14.25">
      <c r="B7851" s="14" t="s">
        <v>37502</v>
      </c>
      <c r="C7851" s="4" t="s">
        <v>37503</v>
      </c>
      <c r="D7851" s="4" t="s">
        <v>37515</v>
      </c>
      <c r="E7851" s="4" t="s">
        <v>37505</v>
      </c>
      <c r="F7851" s="4" t="s">
        <v>255</v>
      </c>
      <c r="G7851" s="4" t="s">
        <v>37516</v>
      </c>
    </row>
    <row r="7852" ht="14.25">
      <c r="B7852" s="14" t="s">
        <v>37517</v>
      </c>
      <c r="C7852" s="4" t="s">
        <v>37518</v>
      </c>
      <c r="D7852" s="4" t="s">
        <v>37519</v>
      </c>
      <c r="E7852" s="4" t="s">
        <v>37520</v>
      </c>
      <c r="F7852" s="4" t="s">
        <v>7559</v>
      </c>
      <c r="G7852" s="4" t="s">
        <v>34856</v>
      </c>
    </row>
    <row r="7853" ht="14.25">
      <c r="B7853" s="14" t="s">
        <v>37521</v>
      </c>
      <c r="C7853" s="4" t="s">
        <v>37522</v>
      </c>
      <c r="D7853" s="4" t="s">
        <v>37523</v>
      </c>
      <c r="E7853" s="6"/>
      <c r="F7853" s="4" t="s">
        <v>21744</v>
      </c>
      <c r="G7853" s="4" t="s">
        <v>37524</v>
      </c>
    </row>
    <row r="7854" ht="14.25">
      <c r="B7854" s="14" t="s">
        <v>37525</v>
      </c>
      <c r="C7854" s="4" t="s">
        <v>37526</v>
      </c>
      <c r="D7854" s="4" t="s">
        <v>37527</v>
      </c>
      <c r="E7854" s="4" t="s">
        <v>37528</v>
      </c>
      <c r="F7854" s="4" t="s">
        <v>785</v>
      </c>
      <c r="G7854" s="4" t="s">
        <v>37529</v>
      </c>
    </row>
    <row r="7855" ht="14.25">
      <c r="B7855" s="14" t="s">
        <v>37530</v>
      </c>
      <c r="C7855" s="4" t="s">
        <v>37531</v>
      </c>
      <c r="D7855" s="4" t="s">
        <v>37532</v>
      </c>
      <c r="E7855" s="6"/>
      <c r="F7855" s="4" t="s">
        <v>1153</v>
      </c>
      <c r="G7855" s="4" t="s">
        <v>37533</v>
      </c>
    </row>
    <row r="7856" ht="14.25">
      <c r="B7856" s="14" t="s">
        <v>37534</v>
      </c>
      <c r="C7856" s="4" t="s">
        <v>37535</v>
      </c>
      <c r="D7856" s="4" t="s">
        <v>37536</v>
      </c>
      <c r="E7856" s="4" t="s">
        <v>37537</v>
      </c>
      <c r="F7856" s="4" t="s">
        <v>6744</v>
      </c>
      <c r="G7856" s="4" t="s">
        <v>34767</v>
      </c>
    </row>
    <row r="7857" ht="14.25">
      <c r="B7857" s="14" t="s">
        <v>37534</v>
      </c>
      <c r="C7857" s="4" t="s">
        <v>37535</v>
      </c>
      <c r="D7857" s="4" t="s">
        <v>37538</v>
      </c>
      <c r="E7857" s="4" t="s">
        <v>37537</v>
      </c>
      <c r="F7857" s="4" t="s">
        <v>222</v>
      </c>
      <c r="G7857" s="4" t="s">
        <v>37539</v>
      </c>
    </row>
    <row r="7858" ht="14.25">
      <c r="B7858" s="14" t="s">
        <v>37540</v>
      </c>
      <c r="C7858" s="4" t="s">
        <v>37541</v>
      </c>
      <c r="D7858" s="4" t="s">
        <v>37542</v>
      </c>
      <c r="E7858" s="4" t="s">
        <v>37543</v>
      </c>
      <c r="F7858" s="4" t="s">
        <v>8049</v>
      </c>
      <c r="G7858" s="4" t="s">
        <v>36049</v>
      </c>
    </row>
    <row r="7859" ht="14.25">
      <c r="B7859" s="14" t="s">
        <v>37540</v>
      </c>
      <c r="C7859" s="4" t="s">
        <v>37541</v>
      </c>
      <c r="D7859" s="4" t="s">
        <v>37544</v>
      </c>
      <c r="E7859" s="4" t="s">
        <v>37543</v>
      </c>
      <c r="F7859" s="4" t="s">
        <v>222</v>
      </c>
      <c r="G7859" s="4" t="s">
        <v>32605</v>
      </c>
    </row>
    <row r="7860" ht="14.25">
      <c r="B7860" s="14" t="s">
        <v>37540</v>
      </c>
      <c r="C7860" s="4" t="s">
        <v>37541</v>
      </c>
      <c r="D7860" s="4" t="s">
        <v>37545</v>
      </c>
      <c r="E7860" s="4" t="s">
        <v>37543</v>
      </c>
      <c r="F7860" s="4" t="s">
        <v>18475</v>
      </c>
      <c r="G7860" s="4" t="s">
        <v>37546</v>
      </c>
    </row>
    <row r="7861" ht="14.25">
      <c r="B7861" s="14" t="s">
        <v>37547</v>
      </c>
      <c r="C7861" s="4" t="s">
        <v>37548</v>
      </c>
      <c r="D7861" s="4" t="s">
        <v>37549</v>
      </c>
      <c r="E7861" s="4" t="s">
        <v>37550</v>
      </c>
      <c r="F7861" s="4" t="s">
        <v>1732</v>
      </c>
      <c r="G7861" s="4" t="s">
        <v>37551</v>
      </c>
    </row>
    <row r="7862" ht="14.25">
      <c r="B7862" s="14" t="s">
        <v>37552</v>
      </c>
      <c r="C7862" s="4" t="s">
        <v>37553</v>
      </c>
      <c r="D7862" s="4" t="s">
        <v>37554</v>
      </c>
      <c r="E7862" s="4" t="s">
        <v>37555</v>
      </c>
      <c r="F7862" s="4" t="s">
        <v>2652</v>
      </c>
      <c r="G7862" s="4" t="s">
        <v>32868</v>
      </c>
    </row>
    <row r="7863" ht="14.25">
      <c r="B7863" s="14" t="s">
        <v>37552</v>
      </c>
      <c r="C7863" s="4" t="s">
        <v>37556</v>
      </c>
      <c r="D7863" s="4" t="s">
        <v>37557</v>
      </c>
      <c r="E7863" s="4" t="s">
        <v>37558</v>
      </c>
      <c r="F7863" s="4" t="s">
        <v>3304</v>
      </c>
      <c r="G7863" s="4" t="s">
        <v>37559</v>
      </c>
    </row>
    <row r="7864" ht="14.25">
      <c r="B7864" s="14" t="s">
        <v>37552</v>
      </c>
      <c r="C7864" s="4" t="s">
        <v>37556</v>
      </c>
      <c r="D7864" s="4" t="s">
        <v>37560</v>
      </c>
      <c r="E7864" s="4" t="s">
        <v>37558</v>
      </c>
      <c r="F7864" s="4" t="s">
        <v>20</v>
      </c>
      <c r="G7864" s="4" t="s">
        <v>37561</v>
      </c>
    </row>
    <row r="7865" ht="14.25">
      <c r="B7865" s="14" t="s">
        <v>37552</v>
      </c>
      <c r="C7865" s="4" t="s">
        <v>37556</v>
      </c>
      <c r="D7865" s="4" t="s">
        <v>37562</v>
      </c>
      <c r="E7865" s="4" t="s">
        <v>37558</v>
      </c>
      <c r="F7865" s="4" t="s">
        <v>33434</v>
      </c>
      <c r="G7865" s="4" t="s">
        <v>33294</v>
      </c>
    </row>
    <row r="7866" ht="14.25">
      <c r="B7866" s="14" t="s">
        <v>37552</v>
      </c>
      <c r="C7866" s="4" t="s">
        <v>37556</v>
      </c>
      <c r="D7866" s="4" t="s">
        <v>37563</v>
      </c>
      <c r="E7866" s="4" t="s">
        <v>37558</v>
      </c>
      <c r="F7866" s="4" t="s">
        <v>3540</v>
      </c>
      <c r="G7866" s="4" t="s">
        <v>37564</v>
      </c>
    </row>
    <row r="7867" ht="14.25">
      <c r="B7867" s="14" t="s">
        <v>37552</v>
      </c>
      <c r="C7867" s="4" t="s">
        <v>37556</v>
      </c>
      <c r="D7867" s="4" t="s">
        <v>37565</v>
      </c>
      <c r="E7867" s="4" t="s">
        <v>37558</v>
      </c>
      <c r="F7867" s="4" t="s">
        <v>1732</v>
      </c>
      <c r="G7867" s="4" t="s">
        <v>37566</v>
      </c>
    </row>
    <row r="7868" ht="14.25">
      <c r="B7868" s="14" t="s">
        <v>37552</v>
      </c>
      <c r="C7868" s="4" t="s">
        <v>37556</v>
      </c>
      <c r="D7868" s="4" t="s">
        <v>37567</v>
      </c>
      <c r="E7868" s="4" t="s">
        <v>37558</v>
      </c>
      <c r="F7868" s="4" t="s">
        <v>4986</v>
      </c>
      <c r="G7868" s="4" t="s">
        <v>37568</v>
      </c>
    </row>
    <row r="7869" ht="14.25">
      <c r="B7869" s="14" t="s">
        <v>37569</v>
      </c>
      <c r="C7869" s="4" t="s">
        <v>37570</v>
      </c>
      <c r="D7869" s="4" t="s">
        <v>37571</v>
      </c>
      <c r="E7869" s="4" t="s">
        <v>37572</v>
      </c>
      <c r="F7869" s="4" t="s">
        <v>32725</v>
      </c>
      <c r="G7869" s="4" t="s">
        <v>37573</v>
      </c>
    </row>
    <row r="7870" ht="14.25">
      <c r="B7870" s="14" t="s">
        <v>37569</v>
      </c>
      <c r="C7870" s="4" t="s">
        <v>37570</v>
      </c>
      <c r="D7870" s="4" t="s">
        <v>37574</v>
      </c>
      <c r="E7870" s="4" t="s">
        <v>37572</v>
      </c>
      <c r="F7870" s="4" t="s">
        <v>32831</v>
      </c>
      <c r="G7870" s="4" t="s">
        <v>35983</v>
      </c>
    </row>
    <row r="7871" ht="14.25">
      <c r="B7871" s="14" t="s">
        <v>37575</v>
      </c>
      <c r="C7871" s="4" t="s">
        <v>37576</v>
      </c>
      <c r="D7871" s="4" t="s">
        <v>37577</v>
      </c>
      <c r="E7871" s="6"/>
      <c r="F7871" s="4" t="s">
        <v>36694</v>
      </c>
      <c r="G7871" s="4" t="s">
        <v>37578</v>
      </c>
    </row>
    <row r="7872" ht="14.25">
      <c r="B7872" s="14" t="s">
        <v>37575</v>
      </c>
      <c r="C7872" s="4" t="s">
        <v>37579</v>
      </c>
      <c r="D7872" s="4" t="s">
        <v>37580</v>
      </c>
      <c r="E7872" s="4" t="s">
        <v>37581</v>
      </c>
      <c r="F7872" s="4" t="s">
        <v>17867</v>
      </c>
      <c r="G7872" s="4" t="s">
        <v>37582</v>
      </c>
    </row>
    <row r="7873" ht="14.25">
      <c r="B7873" s="14" t="s">
        <v>37575</v>
      </c>
      <c r="C7873" s="4" t="s">
        <v>37579</v>
      </c>
      <c r="D7873" s="4" t="s">
        <v>37583</v>
      </c>
      <c r="E7873" s="4" t="s">
        <v>37581</v>
      </c>
      <c r="F7873" s="4" t="s">
        <v>6744</v>
      </c>
      <c r="G7873" s="4" t="s">
        <v>37584</v>
      </c>
    </row>
    <row r="7874" ht="14.25">
      <c r="B7874" s="14" t="s">
        <v>37575</v>
      </c>
      <c r="C7874" s="4" t="s">
        <v>37576</v>
      </c>
      <c r="D7874" s="4" t="s">
        <v>37585</v>
      </c>
      <c r="E7874" s="4" t="s">
        <v>37577</v>
      </c>
      <c r="F7874" s="4" t="s">
        <v>32579</v>
      </c>
      <c r="G7874" s="4" t="s">
        <v>37586</v>
      </c>
    </row>
    <row r="7875" ht="14.25">
      <c r="B7875" s="14" t="s">
        <v>37587</v>
      </c>
      <c r="C7875" s="4" t="s">
        <v>37588</v>
      </c>
      <c r="D7875" s="4" t="s">
        <v>37589</v>
      </c>
      <c r="E7875" s="4" t="s">
        <v>37590</v>
      </c>
      <c r="F7875" s="4" t="s">
        <v>2508</v>
      </c>
      <c r="G7875" s="4" t="s">
        <v>37591</v>
      </c>
    </row>
    <row r="7876" ht="14.25">
      <c r="B7876" s="14" t="s">
        <v>37587</v>
      </c>
      <c r="C7876" s="4" t="s">
        <v>37588</v>
      </c>
      <c r="D7876" s="4" t="s">
        <v>37592</v>
      </c>
      <c r="E7876" s="4" t="s">
        <v>37590</v>
      </c>
      <c r="F7876" s="4" t="s">
        <v>32706</v>
      </c>
      <c r="G7876" s="4" t="s">
        <v>33815</v>
      </c>
    </row>
    <row r="7877" ht="14.25">
      <c r="B7877" s="14" t="s">
        <v>37587</v>
      </c>
      <c r="C7877" s="4" t="s">
        <v>37588</v>
      </c>
      <c r="D7877" s="4" t="s">
        <v>37593</v>
      </c>
      <c r="E7877" s="4" t="s">
        <v>37590</v>
      </c>
      <c r="F7877" s="4" t="s">
        <v>32622</v>
      </c>
      <c r="G7877" s="4" t="s">
        <v>37594</v>
      </c>
    </row>
    <row r="7878" ht="14.25">
      <c r="B7878" s="14" t="s">
        <v>37595</v>
      </c>
      <c r="C7878" s="4" t="s">
        <v>37596</v>
      </c>
      <c r="D7878" s="4" t="s">
        <v>37597</v>
      </c>
      <c r="E7878" s="4" t="s">
        <v>37598</v>
      </c>
      <c r="F7878" s="4" t="s">
        <v>37599</v>
      </c>
      <c r="G7878" s="4" t="s">
        <v>37600</v>
      </c>
    </row>
    <row r="7879" ht="14.25">
      <c r="B7879" s="14" t="s">
        <v>37595</v>
      </c>
      <c r="C7879" s="4" t="s">
        <v>37596</v>
      </c>
      <c r="D7879" s="4" t="s">
        <v>37601</v>
      </c>
      <c r="E7879" s="4" t="s">
        <v>37598</v>
      </c>
      <c r="F7879" s="4" t="s">
        <v>37602</v>
      </c>
      <c r="G7879" s="4" t="s">
        <v>32575</v>
      </c>
    </row>
    <row r="7880" ht="14.25">
      <c r="B7880" s="14" t="s">
        <v>37603</v>
      </c>
      <c r="C7880" s="4" t="s">
        <v>37604</v>
      </c>
      <c r="D7880" s="4" t="s">
        <v>37605</v>
      </c>
      <c r="E7880" s="4" t="s">
        <v>37606</v>
      </c>
      <c r="F7880" s="4" t="s">
        <v>37607</v>
      </c>
      <c r="G7880" s="4" t="s">
        <v>37608</v>
      </c>
    </row>
    <row r="7881" ht="14.25">
      <c r="B7881" s="14" t="s">
        <v>37609</v>
      </c>
      <c r="C7881" s="4" t="s">
        <v>37610</v>
      </c>
      <c r="D7881" s="4" t="s">
        <v>37611</v>
      </c>
      <c r="E7881" s="4" t="s">
        <v>37612</v>
      </c>
      <c r="F7881" s="4" t="s">
        <v>808</v>
      </c>
      <c r="G7881" s="4" t="s">
        <v>37613</v>
      </c>
    </row>
    <row r="7882" ht="14.25">
      <c r="B7882" s="14" t="s">
        <v>37609</v>
      </c>
      <c r="C7882" s="4" t="s">
        <v>37610</v>
      </c>
      <c r="D7882" s="4" t="s">
        <v>37614</v>
      </c>
      <c r="E7882" s="4" t="s">
        <v>37612</v>
      </c>
      <c r="F7882" s="4" t="s">
        <v>485</v>
      </c>
      <c r="G7882" s="4" t="s">
        <v>37615</v>
      </c>
    </row>
    <row r="7883" ht="14.25">
      <c r="B7883" s="14" t="s">
        <v>37609</v>
      </c>
      <c r="C7883" s="4" t="s">
        <v>37610</v>
      </c>
      <c r="D7883" s="4" t="s">
        <v>37616</v>
      </c>
      <c r="E7883" s="4" t="s">
        <v>37612</v>
      </c>
      <c r="F7883" s="4" t="s">
        <v>34300</v>
      </c>
      <c r="G7883" s="4" t="s">
        <v>37617</v>
      </c>
    </row>
    <row r="7884" ht="14.25">
      <c r="B7884" s="14" t="s">
        <v>37609</v>
      </c>
      <c r="C7884" s="4" t="s">
        <v>37610</v>
      </c>
      <c r="D7884" s="4" t="s">
        <v>37618</v>
      </c>
      <c r="E7884" s="4" t="s">
        <v>37612</v>
      </c>
      <c r="F7884" s="4" t="s">
        <v>37619</v>
      </c>
      <c r="G7884" s="4" t="s">
        <v>34625</v>
      </c>
    </row>
    <row r="7885" ht="14.25">
      <c r="B7885" s="14" t="s">
        <v>37609</v>
      </c>
      <c r="C7885" s="4" t="s">
        <v>37610</v>
      </c>
      <c r="D7885" s="4" t="s">
        <v>37620</v>
      </c>
      <c r="E7885" s="4" t="s">
        <v>37612</v>
      </c>
      <c r="F7885" s="4" t="s">
        <v>3271</v>
      </c>
      <c r="G7885" s="4" t="s">
        <v>37621</v>
      </c>
    </row>
    <row r="7886" ht="14.25">
      <c r="B7886" s="14" t="s">
        <v>37609</v>
      </c>
      <c r="C7886" s="4" t="s">
        <v>37610</v>
      </c>
      <c r="D7886" s="4" t="s">
        <v>37622</v>
      </c>
      <c r="E7886" s="4" t="s">
        <v>37612</v>
      </c>
      <c r="F7886" s="4" t="s">
        <v>579</v>
      </c>
      <c r="G7886" s="4" t="s">
        <v>37623</v>
      </c>
    </row>
    <row r="7887" ht="14.25">
      <c r="B7887" s="14" t="s">
        <v>37609</v>
      </c>
      <c r="C7887" s="4" t="s">
        <v>37610</v>
      </c>
      <c r="D7887" s="4" t="s">
        <v>37624</v>
      </c>
      <c r="E7887" s="4" t="s">
        <v>37612</v>
      </c>
      <c r="F7887" s="4" t="s">
        <v>330</v>
      </c>
      <c r="G7887" s="4" t="s">
        <v>37625</v>
      </c>
    </row>
    <row r="7888" ht="14.25">
      <c r="B7888" s="14" t="s">
        <v>37609</v>
      </c>
      <c r="C7888" s="4" t="s">
        <v>37610</v>
      </c>
      <c r="D7888" s="4" t="s">
        <v>37626</v>
      </c>
      <c r="E7888" s="4" t="s">
        <v>37612</v>
      </c>
      <c r="F7888" s="4" t="s">
        <v>110</v>
      </c>
      <c r="G7888" s="4" t="s">
        <v>37627</v>
      </c>
    </row>
    <row r="7889" ht="14.25">
      <c r="B7889" s="14" t="s">
        <v>37609</v>
      </c>
      <c r="C7889" s="4" t="s">
        <v>37610</v>
      </c>
      <c r="D7889" s="4" t="s">
        <v>37628</v>
      </c>
      <c r="E7889" s="4" t="s">
        <v>37612</v>
      </c>
      <c r="F7889" s="4" t="s">
        <v>30423</v>
      </c>
      <c r="G7889" s="4" t="s">
        <v>95</v>
      </c>
    </row>
    <row r="7890" ht="14.25">
      <c r="B7890" s="14" t="s">
        <v>37629</v>
      </c>
      <c r="C7890" s="4" t="s">
        <v>37630</v>
      </c>
      <c r="D7890" s="4" t="s">
        <v>37631</v>
      </c>
      <c r="E7890" s="4" t="s">
        <v>37632</v>
      </c>
      <c r="F7890" s="4" t="s">
        <v>33084</v>
      </c>
      <c r="G7890" s="4" t="s">
        <v>37633</v>
      </c>
    </row>
    <row r="7891" ht="14.25">
      <c r="B7891" s="14" t="s">
        <v>37629</v>
      </c>
      <c r="C7891" s="4" t="s">
        <v>37630</v>
      </c>
      <c r="D7891" s="4" t="s">
        <v>37634</v>
      </c>
      <c r="E7891" s="4" t="s">
        <v>37632</v>
      </c>
      <c r="F7891" s="4" t="s">
        <v>76</v>
      </c>
      <c r="G7891" s="4" t="s">
        <v>37635</v>
      </c>
    </row>
    <row r="7892" ht="14.25">
      <c r="B7892" s="14" t="s">
        <v>37636</v>
      </c>
      <c r="C7892" s="4" t="s">
        <v>37637</v>
      </c>
      <c r="D7892" s="4" t="s">
        <v>37638</v>
      </c>
      <c r="E7892" s="4" t="s">
        <v>37639</v>
      </c>
      <c r="F7892" s="4" t="s">
        <v>485</v>
      </c>
      <c r="G7892" s="4" t="s">
        <v>37640</v>
      </c>
    </row>
    <row r="7893" ht="14.25">
      <c r="B7893" s="14" t="s">
        <v>37636</v>
      </c>
      <c r="C7893" s="4" t="s">
        <v>37641</v>
      </c>
      <c r="D7893" s="4" t="s">
        <v>37642</v>
      </c>
      <c r="E7893" s="4" t="s">
        <v>37643</v>
      </c>
      <c r="F7893" s="4" t="s">
        <v>11701</v>
      </c>
      <c r="G7893" s="4" t="s">
        <v>37644</v>
      </c>
    </row>
    <row r="7894" ht="14.25">
      <c r="B7894" s="14" t="s">
        <v>37636</v>
      </c>
      <c r="C7894" s="4" t="s">
        <v>37645</v>
      </c>
      <c r="D7894" s="4" t="s">
        <v>37646</v>
      </c>
      <c r="E7894" s="4" t="s">
        <v>37647</v>
      </c>
      <c r="F7894" s="4" t="s">
        <v>6945</v>
      </c>
      <c r="G7894" s="4" t="s">
        <v>37648</v>
      </c>
    </row>
    <row r="7895" ht="14.25">
      <c r="B7895" s="14" t="s">
        <v>37649</v>
      </c>
      <c r="C7895" s="4" t="s">
        <v>37650</v>
      </c>
      <c r="D7895" s="4" t="s">
        <v>37651</v>
      </c>
      <c r="E7895" s="4" t="s">
        <v>37652</v>
      </c>
      <c r="F7895" s="4" t="s">
        <v>1583</v>
      </c>
      <c r="G7895" s="4" t="s">
        <v>37653</v>
      </c>
    </row>
    <row r="7896" ht="14.25">
      <c r="B7896" s="14" t="s">
        <v>37654</v>
      </c>
      <c r="C7896" s="4" t="s">
        <v>37655</v>
      </c>
      <c r="D7896" s="4" t="s">
        <v>37656</v>
      </c>
      <c r="E7896" s="4" t="s">
        <v>37657</v>
      </c>
      <c r="F7896" s="4" t="s">
        <v>32891</v>
      </c>
      <c r="G7896" s="4" t="s">
        <v>37658</v>
      </c>
    </row>
    <row r="7897" ht="14.25">
      <c r="B7897" s="14" t="s">
        <v>37654</v>
      </c>
      <c r="C7897" s="4" t="s">
        <v>37659</v>
      </c>
      <c r="D7897" s="4" t="s">
        <v>37660</v>
      </c>
      <c r="E7897" s="4" t="s">
        <v>37661</v>
      </c>
      <c r="F7897" s="4" t="s">
        <v>76</v>
      </c>
      <c r="G7897" s="4" t="s">
        <v>32679</v>
      </c>
    </row>
    <row r="7898" ht="14.25">
      <c r="B7898" s="14" t="s">
        <v>37662</v>
      </c>
      <c r="C7898" s="4" t="s">
        <v>37663</v>
      </c>
      <c r="D7898" s="4" t="s">
        <v>37664</v>
      </c>
      <c r="E7898" s="4" t="s">
        <v>37665</v>
      </c>
      <c r="F7898" s="4" t="s">
        <v>3019</v>
      </c>
      <c r="G7898" s="4" t="s">
        <v>37666</v>
      </c>
    </row>
    <row r="7899" ht="14.25">
      <c r="B7899" s="14" t="s">
        <v>37667</v>
      </c>
      <c r="C7899" s="4" t="s">
        <v>37668</v>
      </c>
      <c r="D7899" s="4" t="s">
        <v>37669</v>
      </c>
      <c r="E7899" s="4" t="s">
        <v>37670</v>
      </c>
      <c r="F7899" s="4" t="s">
        <v>95</v>
      </c>
      <c r="G7899" s="4" t="s">
        <v>37671</v>
      </c>
    </row>
    <row r="7900" ht="14.25">
      <c r="B7900" s="14" t="s">
        <v>37672</v>
      </c>
      <c r="C7900" s="4" t="s">
        <v>37673</v>
      </c>
      <c r="D7900" s="4" t="s">
        <v>37674</v>
      </c>
      <c r="E7900" s="4" t="s">
        <v>37675</v>
      </c>
      <c r="F7900" s="4" t="s">
        <v>2419</v>
      </c>
      <c r="G7900" s="4" t="s">
        <v>37460</v>
      </c>
    </row>
    <row r="7901" ht="14.25">
      <c r="B7901" s="14" t="s">
        <v>37676</v>
      </c>
      <c r="C7901" s="4" t="s">
        <v>37677</v>
      </c>
      <c r="D7901" s="4" t="s">
        <v>37678</v>
      </c>
      <c r="E7901" s="6"/>
      <c r="F7901" s="4" t="s">
        <v>18475</v>
      </c>
      <c r="G7901" s="4" t="s">
        <v>37679</v>
      </c>
    </row>
    <row r="7902" ht="14.25">
      <c r="B7902" s="14" t="s">
        <v>37680</v>
      </c>
      <c r="C7902" s="4" t="s">
        <v>37681</v>
      </c>
      <c r="D7902" s="4" t="s">
        <v>37682</v>
      </c>
      <c r="E7902" s="4" t="s">
        <v>37683</v>
      </c>
      <c r="F7902" s="4" t="s">
        <v>32787</v>
      </c>
      <c r="G7902" s="4" t="s">
        <v>37684</v>
      </c>
    </row>
    <row r="7903" ht="14.25">
      <c r="B7903" s="14" t="s">
        <v>37685</v>
      </c>
      <c r="C7903" s="4" t="s">
        <v>37686</v>
      </c>
      <c r="D7903" s="4" t="s">
        <v>37687</v>
      </c>
      <c r="E7903" s="4" t="s">
        <v>37688</v>
      </c>
      <c r="F7903" s="4" t="s">
        <v>37689</v>
      </c>
      <c r="G7903" s="4" t="s">
        <v>37690</v>
      </c>
    </row>
    <row r="7904" ht="14.25">
      <c r="B7904" s="14" t="s">
        <v>37691</v>
      </c>
      <c r="C7904" s="4" t="s">
        <v>37692</v>
      </c>
      <c r="D7904" s="4" t="s">
        <v>37693</v>
      </c>
      <c r="E7904" s="4" t="s">
        <v>37694</v>
      </c>
      <c r="F7904" s="4" t="s">
        <v>32661</v>
      </c>
      <c r="G7904" s="4" t="s">
        <v>33746</v>
      </c>
    </row>
    <row r="7905" ht="14.25">
      <c r="B7905" s="14" t="s">
        <v>37691</v>
      </c>
      <c r="C7905" s="4" t="s">
        <v>37692</v>
      </c>
      <c r="D7905" s="4" t="s">
        <v>37695</v>
      </c>
      <c r="E7905" s="4" t="s">
        <v>37694</v>
      </c>
      <c r="F7905" s="4" t="s">
        <v>33135</v>
      </c>
      <c r="G7905" s="4" t="s">
        <v>37696</v>
      </c>
    </row>
    <row r="7906" ht="14.25">
      <c r="B7906" s="14" t="s">
        <v>37691</v>
      </c>
      <c r="C7906" s="4" t="s">
        <v>37692</v>
      </c>
      <c r="D7906" s="4" t="s">
        <v>37697</v>
      </c>
      <c r="E7906" s="4" t="s">
        <v>37694</v>
      </c>
      <c r="F7906" s="4" t="s">
        <v>7559</v>
      </c>
      <c r="G7906" s="4" t="s">
        <v>37698</v>
      </c>
    </row>
    <row r="7907" ht="14.25">
      <c r="B7907" s="14" t="s">
        <v>37699</v>
      </c>
      <c r="C7907" s="4" t="s">
        <v>37700</v>
      </c>
      <c r="D7907" s="4" t="s">
        <v>37701</v>
      </c>
      <c r="E7907" s="6"/>
      <c r="F7907" s="4" t="s">
        <v>37702</v>
      </c>
      <c r="G7907" s="4" t="s">
        <v>37703</v>
      </c>
    </row>
    <row r="7908" ht="14.25">
      <c r="B7908" s="14" t="s">
        <v>37704</v>
      </c>
      <c r="C7908" s="4" t="s">
        <v>37705</v>
      </c>
      <c r="D7908" s="4" t="s">
        <v>37706</v>
      </c>
      <c r="E7908" s="4" t="s">
        <v>37707</v>
      </c>
      <c r="F7908" s="4" t="s">
        <v>355</v>
      </c>
      <c r="G7908" s="4" t="s">
        <v>37708</v>
      </c>
    </row>
    <row r="7909" ht="14.25">
      <c r="B7909" s="14" t="s">
        <v>37709</v>
      </c>
      <c r="C7909" s="4" t="s">
        <v>37710</v>
      </c>
      <c r="D7909" s="4" t="s">
        <v>37711</v>
      </c>
      <c r="E7909" s="6"/>
      <c r="F7909" s="4" t="s">
        <v>808</v>
      </c>
      <c r="G7909" s="4" t="s">
        <v>34879</v>
      </c>
    </row>
    <row r="7910" ht="14.25">
      <c r="B7910" s="14" t="s">
        <v>37712</v>
      </c>
      <c r="C7910" s="4" t="s">
        <v>37713</v>
      </c>
      <c r="D7910" s="4" t="s">
        <v>37714</v>
      </c>
      <c r="E7910" s="4" t="s">
        <v>37715</v>
      </c>
      <c r="F7910" s="4" t="s">
        <v>1583</v>
      </c>
      <c r="G7910" s="4" t="s">
        <v>37716</v>
      </c>
    </row>
    <row r="7911" ht="14.25">
      <c r="B7911" s="14" t="s">
        <v>37712</v>
      </c>
      <c r="C7911" s="4" t="s">
        <v>37713</v>
      </c>
      <c r="D7911" s="4" t="s">
        <v>37717</v>
      </c>
      <c r="E7911" s="4" t="s">
        <v>37715</v>
      </c>
      <c r="F7911" s="4" t="s">
        <v>3892</v>
      </c>
      <c r="G7911" s="4" t="s">
        <v>37718</v>
      </c>
    </row>
    <row r="7912" ht="14.25">
      <c r="B7912" s="14" t="s">
        <v>37712</v>
      </c>
      <c r="C7912" s="4" t="s">
        <v>37713</v>
      </c>
      <c r="D7912" s="4" t="s">
        <v>37719</v>
      </c>
      <c r="E7912" s="4" t="s">
        <v>37715</v>
      </c>
      <c r="F7912" s="4" t="s">
        <v>955</v>
      </c>
      <c r="G7912" s="4" t="s">
        <v>37720</v>
      </c>
    </row>
    <row r="7913" ht="14.25">
      <c r="B7913" s="14" t="s">
        <v>37721</v>
      </c>
      <c r="C7913" s="4" t="s">
        <v>37722</v>
      </c>
      <c r="D7913" s="4" t="s">
        <v>37723</v>
      </c>
      <c r="E7913" s="4" t="s">
        <v>37724</v>
      </c>
      <c r="F7913" s="4" t="s">
        <v>7525</v>
      </c>
      <c r="G7913" s="4" t="s">
        <v>37725</v>
      </c>
    </row>
    <row r="7914" ht="14.25">
      <c r="B7914" s="14" t="s">
        <v>37721</v>
      </c>
      <c r="C7914" s="4" t="s">
        <v>37726</v>
      </c>
      <c r="D7914" s="4" t="s">
        <v>37727</v>
      </c>
      <c r="E7914" s="6"/>
      <c r="F7914" s="4" t="s">
        <v>808</v>
      </c>
      <c r="G7914" s="4" t="s">
        <v>37728</v>
      </c>
    </row>
    <row r="7915" ht="14.25">
      <c r="B7915" s="14" t="s">
        <v>37729</v>
      </c>
      <c r="C7915" s="4" t="s">
        <v>37730</v>
      </c>
      <c r="D7915" s="4" t="s">
        <v>37731</v>
      </c>
      <c r="E7915" s="4" t="s">
        <v>37732</v>
      </c>
      <c r="F7915" s="4" t="s">
        <v>32891</v>
      </c>
      <c r="G7915" s="4" t="s">
        <v>37733</v>
      </c>
    </row>
    <row r="7916" ht="14.25">
      <c r="B7916" s="14" t="s">
        <v>37729</v>
      </c>
      <c r="C7916" s="4" t="s">
        <v>37730</v>
      </c>
      <c r="D7916" s="4" t="s">
        <v>37734</v>
      </c>
      <c r="E7916" s="4" t="s">
        <v>37732</v>
      </c>
      <c r="F7916" s="4" t="s">
        <v>37735</v>
      </c>
      <c r="G7916" s="4" t="s">
        <v>37736</v>
      </c>
    </row>
    <row r="7917" ht="14.25">
      <c r="B7917" s="14" t="s">
        <v>37729</v>
      </c>
      <c r="C7917" s="4" t="s">
        <v>37730</v>
      </c>
      <c r="D7917" s="4" t="s">
        <v>37737</v>
      </c>
      <c r="E7917" s="4" t="s">
        <v>37732</v>
      </c>
      <c r="F7917" s="4" t="s">
        <v>5716</v>
      </c>
      <c r="G7917" s="4" t="s">
        <v>37738</v>
      </c>
    </row>
    <row r="7918" ht="14.25">
      <c r="B7918" s="14" t="s">
        <v>37729</v>
      </c>
      <c r="C7918" s="4" t="s">
        <v>37739</v>
      </c>
      <c r="D7918" s="4" t="s">
        <v>37740</v>
      </c>
      <c r="E7918" s="6"/>
      <c r="F7918" s="4" t="s">
        <v>6844</v>
      </c>
      <c r="G7918" s="4" t="s">
        <v>37741</v>
      </c>
    </row>
    <row r="7919" ht="14.25">
      <c r="B7919" s="14" t="s">
        <v>37742</v>
      </c>
      <c r="C7919" s="4" t="s">
        <v>37743</v>
      </c>
      <c r="D7919" s="4" t="s">
        <v>37744</v>
      </c>
      <c r="E7919" s="6"/>
      <c r="F7919" s="4" t="s">
        <v>10945</v>
      </c>
      <c r="G7919" s="4" t="s">
        <v>37745</v>
      </c>
    </row>
    <row r="7920" ht="14.25">
      <c r="B7920" s="14" t="s">
        <v>37746</v>
      </c>
      <c r="C7920" s="4" t="s">
        <v>37747</v>
      </c>
      <c r="D7920" s="4" t="s">
        <v>37748</v>
      </c>
      <c r="E7920" s="6"/>
      <c r="F7920" s="4" t="s">
        <v>32622</v>
      </c>
      <c r="G7920" s="4" t="s">
        <v>37749</v>
      </c>
    </row>
    <row r="7921" ht="14.25">
      <c r="B7921" s="14" t="s">
        <v>37750</v>
      </c>
      <c r="C7921" s="4" t="s">
        <v>37751</v>
      </c>
      <c r="D7921" s="4" t="s">
        <v>37752</v>
      </c>
      <c r="E7921" s="4" t="s">
        <v>37753</v>
      </c>
      <c r="F7921" s="4" t="s">
        <v>330</v>
      </c>
      <c r="G7921" s="4" t="s">
        <v>37754</v>
      </c>
    </row>
    <row r="7922" ht="14.25">
      <c r="B7922" s="14" t="s">
        <v>37750</v>
      </c>
      <c r="C7922" s="4" t="s">
        <v>37751</v>
      </c>
      <c r="D7922" s="4" t="s">
        <v>37755</v>
      </c>
      <c r="E7922" s="4" t="s">
        <v>37753</v>
      </c>
      <c r="F7922" s="4" t="s">
        <v>3850</v>
      </c>
      <c r="G7922" s="4" t="s">
        <v>37756</v>
      </c>
    </row>
    <row r="7923" ht="14.25">
      <c r="B7923" s="14" t="s">
        <v>37757</v>
      </c>
      <c r="C7923" s="4" t="s">
        <v>37758</v>
      </c>
      <c r="D7923" s="4" t="s">
        <v>37759</v>
      </c>
      <c r="E7923" s="4" t="s">
        <v>37760</v>
      </c>
      <c r="F7923" s="4" t="s">
        <v>32891</v>
      </c>
      <c r="G7923" s="4" t="s">
        <v>37761</v>
      </c>
    </row>
    <row r="7924" ht="14.25">
      <c r="B7924" s="14" t="s">
        <v>37762</v>
      </c>
      <c r="C7924" s="4" t="s">
        <v>37763</v>
      </c>
      <c r="D7924" s="4" t="s">
        <v>37764</v>
      </c>
      <c r="E7924" s="6"/>
      <c r="F7924" s="4" t="s">
        <v>1583</v>
      </c>
      <c r="G7924" s="4" t="s">
        <v>37765</v>
      </c>
    </row>
    <row r="7925" ht="14.25">
      <c r="B7925" s="14" t="s">
        <v>37766</v>
      </c>
      <c r="C7925" s="4" t="s">
        <v>37767</v>
      </c>
      <c r="D7925" s="4" t="s">
        <v>37768</v>
      </c>
      <c r="E7925" s="4" t="s">
        <v>37769</v>
      </c>
      <c r="F7925" s="4" t="s">
        <v>196</v>
      </c>
      <c r="G7925" s="4" t="s">
        <v>37770</v>
      </c>
    </row>
    <row r="7926" ht="14.25">
      <c r="B7926" s="14" t="s">
        <v>37766</v>
      </c>
      <c r="C7926" s="4" t="s">
        <v>37767</v>
      </c>
      <c r="D7926" s="4" t="s">
        <v>37769</v>
      </c>
      <c r="E7926" s="6"/>
      <c r="F7926" s="4" t="s">
        <v>630</v>
      </c>
      <c r="G7926" s="4" t="s">
        <v>34625</v>
      </c>
    </row>
    <row r="7927" ht="14.25">
      <c r="B7927" s="14" t="s">
        <v>37766</v>
      </c>
      <c r="C7927" s="4" t="s">
        <v>37767</v>
      </c>
      <c r="D7927" s="4" t="s">
        <v>37771</v>
      </c>
      <c r="E7927" s="4" t="s">
        <v>37769</v>
      </c>
      <c r="F7927" s="4" t="s">
        <v>355</v>
      </c>
      <c r="G7927" s="4" t="s">
        <v>37772</v>
      </c>
    </row>
    <row r="7928" ht="14.25">
      <c r="B7928" s="14" t="s">
        <v>37773</v>
      </c>
      <c r="C7928" s="4" t="s">
        <v>37774</v>
      </c>
      <c r="D7928" s="4" t="s">
        <v>37775</v>
      </c>
      <c r="E7928" s="4" t="s">
        <v>37776</v>
      </c>
      <c r="F7928" s="4" t="s">
        <v>110</v>
      </c>
      <c r="G7928" s="4" t="s">
        <v>32592</v>
      </c>
    </row>
    <row r="7929" ht="14.25">
      <c r="B7929" s="14" t="s">
        <v>37777</v>
      </c>
      <c r="C7929" s="4" t="s">
        <v>37778</v>
      </c>
      <c r="D7929" s="4" t="s">
        <v>37779</v>
      </c>
      <c r="E7929" s="4" t="s">
        <v>37780</v>
      </c>
      <c r="F7929" s="4" t="s">
        <v>355</v>
      </c>
      <c r="G7929" s="4" t="s">
        <v>37781</v>
      </c>
    </row>
    <row r="7930" ht="14.25">
      <c r="B7930" s="14" t="s">
        <v>37777</v>
      </c>
      <c r="C7930" s="4" t="s">
        <v>37782</v>
      </c>
      <c r="D7930" s="4" t="s">
        <v>37783</v>
      </c>
      <c r="E7930" s="4" t="s">
        <v>37784</v>
      </c>
      <c r="F7930" s="4" t="s">
        <v>32579</v>
      </c>
      <c r="G7930" s="4" t="s">
        <v>37785</v>
      </c>
    </row>
    <row r="7931" ht="14.25">
      <c r="B7931" s="14" t="s">
        <v>37777</v>
      </c>
      <c r="C7931" s="4" t="s">
        <v>37786</v>
      </c>
      <c r="D7931" s="4" t="s">
        <v>37787</v>
      </c>
      <c r="E7931" s="4" t="s">
        <v>37788</v>
      </c>
      <c r="F7931" s="4" t="s">
        <v>32891</v>
      </c>
      <c r="G7931" s="4" t="s">
        <v>34625</v>
      </c>
    </row>
    <row r="7932" ht="14.25">
      <c r="B7932" s="14" t="s">
        <v>37789</v>
      </c>
      <c r="C7932" s="4" t="s">
        <v>37790</v>
      </c>
      <c r="D7932" s="4" t="s">
        <v>37791</v>
      </c>
      <c r="E7932" s="4" t="s">
        <v>37792</v>
      </c>
      <c r="F7932" s="4" t="s">
        <v>222</v>
      </c>
      <c r="G7932" s="4" t="s">
        <v>37793</v>
      </c>
    </row>
    <row r="7933" ht="14.25">
      <c r="B7933" s="14" t="s">
        <v>37789</v>
      </c>
      <c r="C7933" s="4" t="s">
        <v>37790</v>
      </c>
      <c r="D7933" s="4" t="s">
        <v>37794</v>
      </c>
      <c r="E7933" s="4" t="s">
        <v>37792</v>
      </c>
      <c r="F7933" s="4" t="s">
        <v>32787</v>
      </c>
      <c r="G7933" s="4" t="s">
        <v>37795</v>
      </c>
    </row>
    <row r="7934" ht="14.25">
      <c r="B7934" s="14" t="s">
        <v>37796</v>
      </c>
      <c r="C7934" s="4" t="s">
        <v>37797</v>
      </c>
      <c r="D7934" s="4" t="s">
        <v>37798</v>
      </c>
      <c r="E7934" s="4" t="s">
        <v>37799</v>
      </c>
      <c r="F7934" s="4" t="s">
        <v>2652</v>
      </c>
      <c r="G7934" s="4" t="s">
        <v>37800</v>
      </c>
    </row>
    <row r="7935" ht="14.25">
      <c r="B7935" s="14" t="s">
        <v>37801</v>
      </c>
      <c r="C7935" s="4" t="s">
        <v>37802</v>
      </c>
      <c r="D7935" s="4" t="s">
        <v>37803</v>
      </c>
      <c r="E7935" s="6"/>
      <c r="F7935" s="4" t="s">
        <v>2994</v>
      </c>
      <c r="G7935" s="4" t="s">
        <v>32868</v>
      </c>
    </row>
    <row r="7936" ht="14.25">
      <c r="B7936" s="14" t="s">
        <v>37804</v>
      </c>
      <c r="C7936" s="4" t="s">
        <v>37805</v>
      </c>
      <c r="D7936" s="4" t="s">
        <v>37806</v>
      </c>
      <c r="E7936" s="4" t="s">
        <v>37807</v>
      </c>
      <c r="F7936" s="4" t="s">
        <v>1696</v>
      </c>
      <c r="G7936" s="4" t="s">
        <v>35081</v>
      </c>
    </row>
    <row r="7937" ht="14.25">
      <c r="B7937" s="14" t="s">
        <v>37804</v>
      </c>
      <c r="C7937" s="4" t="s">
        <v>37805</v>
      </c>
      <c r="D7937" s="4" t="s">
        <v>37808</v>
      </c>
      <c r="E7937" s="4" t="s">
        <v>37807</v>
      </c>
      <c r="F7937" s="4" t="s">
        <v>4012</v>
      </c>
      <c r="G7937" s="4" t="s">
        <v>33700</v>
      </c>
    </row>
    <row r="7938" ht="14.25">
      <c r="B7938" s="14" t="s">
        <v>37804</v>
      </c>
      <c r="C7938" s="4" t="s">
        <v>37809</v>
      </c>
      <c r="D7938" s="4" t="s">
        <v>37810</v>
      </c>
      <c r="E7938" s="4" t="s">
        <v>37811</v>
      </c>
      <c r="F7938" s="4" t="s">
        <v>13010</v>
      </c>
      <c r="G7938" s="4" t="s">
        <v>37812</v>
      </c>
    </row>
    <row r="7939" ht="14.25">
      <c r="B7939" s="14" t="s">
        <v>37804</v>
      </c>
      <c r="C7939" s="4" t="s">
        <v>37805</v>
      </c>
      <c r="D7939" s="4" t="s">
        <v>37813</v>
      </c>
      <c r="E7939" s="4" t="s">
        <v>37807</v>
      </c>
      <c r="F7939" s="4" t="s">
        <v>2299</v>
      </c>
      <c r="G7939" s="4" t="s">
        <v>37814</v>
      </c>
    </row>
    <row r="7940" ht="14.25">
      <c r="B7940" s="14" t="s">
        <v>37804</v>
      </c>
      <c r="C7940" s="4" t="s">
        <v>37815</v>
      </c>
      <c r="D7940" s="4" t="s">
        <v>37816</v>
      </c>
      <c r="E7940" s="6"/>
      <c r="F7940" s="4" t="s">
        <v>971</v>
      </c>
      <c r="G7940" s="4" t="s">
        <v>37817</v>
      </c>
    </row>
    <row r="7941" ht="14.25">
      <c r="B7941" s="14" t="s">
        <v>37818</v>
      </c>
      <c r="C7941" s="4" t="s">
        <v>37819</v>
      </c>
      <c r="D7941" s="4" t="s">
        <v>37820</v>
      </c>
      <c r="E7941" s="4" t="s">
        <v>37821</v>
      </c>
      <c r="F7941" s="4" t="s">
        <v>5716</v>
      </c>
      <c r="G7941" s="4" t="s">
        <v>37822</v>
      </c>
    </row>
    <row r="7942" ht="14.25">
      <c r="B7942" s="14" t="s">
        <v>37823</v>
      </c>
      <c r="C7942" s="4" t="s">
        <v>37824</v>
      </c>
      <c r="D7942" s="4" t="s">
        <v>37825</v>
      </c>
      <c r="E7942" s="6"/>
      <c r="F7942" s="4" t="s">
        <v>32622</v>
      </c>
      <c r="G7942" s="4" t="s">
        <v>37826</v>
      </c>
    </row>
    <row r="7943" ht="14.25">
      <c r="B7943" s="14" t="s">
        <v>37827</v>
      </c>
      <c r="C7943" s="4" t="s">
        <v>37828</v>
      </c>
      <c r="D7943" s="4" t="s">
        <v>37829</v>
      </c>
      <c r="E7943" s="4" t="s">
        <v>37830</v>
      </c>
      <c r="F7943" s="4" t="s">
        <v>15058</v>
      </c>
      <c r="G7943" s="4" t="s">
        <v>37831</v>
      </c>
    </row>
    <row r="7944" ht="14.25">
      <c r="B7944" s="14" t="s">
        <v>37827</v>
      </c>
      <c r="C7944" s="4" t="s">
        <v>37828</v>
      </c>
      <c r="D7944" s="4" t="s">
        <v>37830</v>
      </c>
      <c r="E7944" s="6"/>
      <c r="F7944" s="4" t="s">
        <v>2994</v>
      </c>
      <c r="G7944" s="4" t="s">
        <v>37831</v>
      </c>
    </row>
    <row r="7945" ht="14.25">
      <c r="B7945" s="14" t="s">
        <v>37832</v>
      </c>
      <c r="C7945" s="4" t="s">
        <v>37833</v>
      </c>
      <c r="D7945" s="4" t="s">
        <v>37834</v>
      </c>
      <c r="E7945" s="6"/>
      <c r="F7945" s="4" t="s">
        <v>866</v>
      </c>
      <c r="G7945" s="4" t="s">
        <v>37835</v>
      </c>
    </row>
    <row r="7946" ht="14.25">
      <c r="B7946" s="14" t="s">
        <v>37832</v>
      </c>
      <c r="C7946" s="4" t="s">
        <v>37836</v>
      </c>
      <c r="D7946" s="4" t="s">
        <v>37837</v>
      </c>
      <c r="E7946" s="6"/>
      <c r="F7946" s="4" t="s">
        <v>4977</v>
      </c>
      <c r="G7946" s="4" t="s">
        <v>32738</v>
      </c>
    </row>
    <row r="7947" ht="14.25">
      <c r="B7947" s="14" t="s">
        <v>37832</v>
      </c>
      <c r="C7947" s="4" t="s">
        <v>37838</v>
      </c>
      <c r="D7947" s="4" t="s">
        <v>37839</v>
      </c>
      <c r="E7947" s="6"/>
      <c r="F7947" s="4" t="s">
        <v>6080</v>
      </c>
      <c r="G7947" s="4" t="s">
        <v>37840</v>
      </c>
    </row>
    <row r="7948" ht="14.25">
      <c r="B7948" s="14" t="s">
        <v>37841</v>
      </c>
      <c r="C7948" s="4" t="s">
        <v>37842</v>
      </c>
      <c r="D7948" s="4" t="s">
        <v>37843</v>
      </c>
      <c r="E7948" s="4" t="s">
        <v>37844</v>
      </c>
      <c r="F7948" s="4" t="s">
        <v>1596</v>
      </c>
      <c r="G7948" s="4" t="s">
        <v>37845</v>
      </c>
    </row>
    <row r="7949" ht="14.25">
      <c r="B7949" s="14" t="s">
        <v>37841</v>
      </c>
      <c r="C7949" s="4" t="s">
        <v>37842</v>
      </c>
      <c r="D7949" s="4" t="s">
        <v>37846</v>
      </c>
      <c r="E7949" s="4" t="s">
        <v>37844</v>
      </c>
      <c r="F7949" s="4" t="s">
        <v>30252</v>
      </c>
      <c r="G7949" s="4" t="s">
        <v>37847</v>
      </c>
    </row>
    <row r="7950" ht="14.25">
      <c r="B7950" s="14" t="s">
        <v>37841</v>
      </c>
      <c r="C7950" s="4" t="s">
        <v>37842</v>
      </c>
      <c r="D7950" s="4" t="s">
        <v>37848</v>
      </c>
      <c r="E7950" s="4" t="s">
        <v>37844</v>
      </c>
      <c r="F7950" s="4" t="s">
        <v>3019</v>
      </c>
      <c r="G7950" s="4" t="s">
        <v>37849</v>
      </c>
    </row>
    <row r="7951" ht="14.25">
      <c r="B7951" s="14" t="s">
        <v>37850</v>
      </c>
      <c r="C7951" s="4" t="s">
        <v>37851</v>
      </c>
      <c r="D7951" s="4" t="s">
        <v>37852</v>
      </c>
      <c r="E7951" s="4" t="s">
        <v>37853</v>
      </c>
      <c r="F7951" s="4" t="s">
        <v>37854</v>
      </c>
      <c r="G7951" s="4" t="s">
        <v>35161</v>
      </c>
    </row>
    <row r="7952" ht="14.25">
      <c r="B7952" s="14" t="s">
        <v>37850</v>
      </c>
      <c r="C7952" s="4" t="s">
        <v>37851</v>
      </c>
      <c r="D7952" s="4" t="s">
        <v>37855</v>
      </c>
      <c r="E7952" s="4" t="s">
        <v>37853</v>
      </c>
      <c r="F7952" s="4" t="s">
        <v>37856</v>
      </c>
      <c r="G7952" s="4" t="s">
        <v>37857</v>
      </c>
    </row>
    <row r="7953" ht="14.25">
      <c r="B7953" s="14" t="s">
        <v>37850</v>
      </c>
      <c r="C7953" s="4" t="s">
        <v>37851</v>
      </c>
      <c r="D7953" s="4" t="s">
        <v>37858</v>
      </c>
      <c r="E7953" s="4" t="s">
        <v>37853</v>
      </c>
      <c r="F7953" s="4" t="s">
        <v>37859</v>
      </c>
      <c r="G7953" s="4" t="s">
        <v>37857</v>
      </c>
    </row>
    <row r="7954" ht="14.25">
      <c r="B7954" s="14" t="s">
        <v>37860</v>
      </c>
      <c r="C7954" s="4" t="s">
        <v>37861</v>
      </c>
      <c r="D7954" s="4" t="s">
        <v>37862</v>
      </c>
      <c r="E7954" s="6"/>
      <c r="F7954" s="4" t="s">
        <v>37863</v>
      </c>
      <c r="G7954" s="4" t="s">
        <v>37864</v>
      </c>
    </row>
    <row r="7955" ht="14.25">
      <c r="B7955" s="14" t="s">
        <v>37865</v>
      </c>
      <c r="C7955" s="4" t="s">
        <v>37866</v>
      </c>
      <c r="D7955" s="4" t="s">
        <v>37867</v>
      </c>
      <c r="E7955" s="4" t="s">
        <v>37868</v>
      </c>
      <c r="F7955" s="4" t="s">
        <v>33135</v>
      </c>
      <c r="G7955" s="4" t="s">
        <v>34663</v>
      </c>
    </row>
    <row r="7956" ht="14.25">
      <c r="B7956" s="14" t="s">
        <v>37869</v>
      </c>
      <c r="C7956" s="4" t="s">
        <v>37870</v>
      </c>
      <c r="D7956" s="4" t="s">
        <v>37871</v>
      </c>
      <c r="E7956" s="6"/>
      <c r="F7956" s="4" t="s">
        <v>35629</v>
      </c>
      <c r="G7956" s="4" t="s">
        <v>37872</v>
      </c>
    </row>
    <row r="7957" ht="14.25">
      <c r="B7957" s="14" t="s">
        <v>37869</v>
      </c>
      <c r="C7957" s="4" t="s">
        <v>37870</v>
      </c>
      <c r="D7957" s="4" t="s">
        <v>37873</v>
      </c>
      <c r="E7957" s="4" t="s">
        <v>37871</v>
      </c>
      <c r="F7957" s="4" t="s">
        <v>1619</v>
      </c>
      <c r="G7957" s="4" t="s">
        <v>37874</v>
      </c>
    </row>
    <row r="7958" ht="14.25">
      <c r="B7958" s="14" t="s">
        <v>37875</v>
      </c>
      <c r="C7958" s="4" t="s">
        <v>37876</v>
      </c>
      <c r="D7958" s="4" t="s">
        <v>37877</v>
      </c>
      <c r="E7958" s="6"/>
      <c r="F7958" s="4" t="s">
        <v>4003</v>
      </c>
      <c r="G7958" s="4" t="s">
        <v>37878</v>
      </c>
    </row>
    <row r="7959" ht="14.25">
      <c r="B7959" s="14" t="s">
        <v>37879</v>
      </c>
      <c r="C7959" s="4" t="s">
        <v>37880</v>
      </c>
      <c r="D7959" s="4" t="s">
        <v>37881</v>
      </c>
      <c r="E7959" s="4" t="s">
        <v>37882</v>
      </c>
      <c r="F7959" s="4" t="s">
        <v>32579</v>
      </c>
      <c r="G7959" s="4" t="s">
        <v>37883</v>
      </c>
    </row>
    <row r="7960" ht="14.25">
      <c r="B7960" s="14" t="s">
        <v>37879</v>
      </c>
      <c r="C7960" s="4" t="s">
        <v>37880</v>
      </c>
      <c r="D7960" s="4" t="s">
        <v>37884</v>
      </c>
      <c r="E7960" s="4" t="s">
        <v>37882</v>
      </c>
      <c r="F7960" s="4" t="s">
        <v>37885</v>
      </c>
      <c r="G7960" s="4" t="s">
        <v>37886</v>
      </c>
    </row>
    <row r="7961" ht="14.25">
      <c r="B7961" s="14" t="s">
        <v>37879</v>
      </c>
      <c r="C7961" s="4" t="s">
        <v>37880</v>
      </c>
      <c r="D7961" s="4" t="s">
        <v>37887</v>
      </c>
      <c r="E7961" s="4" t="s">
        <v>37882</v>
      </c>
      <c r="F7961" s="4" t="s">
        <v>33264</v>
      </c>
      <c r="G7961" s="4" t="s">
        <v>37888</v>
      </c>
    </row>
    <row r="7962" ht="14.25">
      <c r="B7962" s="14" t="s">
        <v>37889</v>
      </c>
      <c r="C7962" s="4" t="s">
        <v>37890</v>
      </c>
      <c r="D7962" s="4" t="s">
        <v>37891</v>
      </c>
      <c r="E7962" s="4" t="s">
        <v>37892</v>
      </c>
      <c r="F7962" s="4" t="s">
        <v>33135</v>
      </c>
      <c r="G7962" s="4" t="s">
        <v>37893</v>
      </c>
    </row>
    <row r="7963" ht="14.25">
      <c r="B7963" s="14" t="s">
        <v>37894</v>
      </c>
      <c r="C7963" s="4" t="s">
        <v>37895</v>
      </c>
      <c r="D7963" s="4" t="s">
        <v>37896</v>
      </c>
      <c r="E7963" s="6"/>
      <c r="F7963" s="4" t="s">
        <v>37897</v>
      </c>
      <c r="G7963" s="4" t="s">
        <v>37898</v>
      </c>
    </row>
    <row r="7964" ht="14.25">
      <c r="B7964" s="14" t="s">
        <v>37899</v>
      </c>
      <c r="C7964" s="4" t="s">
        <v>37900</v>
      </c>
      <c r="D7964" s="4" t="s">
        <v>37901</v>
      </c>
      <c r="E7964" s="6"/>
      <c r="F7964" s="4" t="s">
        <v>95</v>
      </c>
      <c r="G7964" s="4" t="s">
        <v>37902</v>
      </c>
    </row>
    <row r="7965" ht="14.25">
      <c r="B7965" s="14" t="s">
        <v>37903</v>
      </c>
      <c r="C7965" s="4" t="s">
        <v>37904</v>
      </c>
      <c r="D7965" s="4" t="s">
        <v>37905</v>
      </c>
      <c r="E7965" s="4" t="s">
        <v>37906</v>
      </c>
      <c r="F7965" s="4" t="s">
        <v>6788</v>
      </c>
      <c r="G7965" s="4" t="s">
        <v>37907</v>
      </c>
    </row>
    <row r="7966" ht="14.25">
      <c r="B7966" s="14" t="s">
        <v>37903</v>
      </c>
      <c r="C7966" s="4" t="s">
        <v>37904</v>
      </c>
      <c r="D7966" s="4" t="s">
        <v>37908</v>
      </c>
      <c r="E7966" s="4" t="s">
        <v>37906</v>
      </c>
      <c r="F7966" s="4" t="s">
        <v>35368</v>
      </c>
      <c r="G7966" s="4" t="s">
        <v>37909</v>
      </c>
    </row>
    <row r="7967" ht="14.25">
      <c r="B7967" s="14" t="s">
        <v>37910</v>
      </c>
      <c r="C7967" s="4" t="s">
        <v>37911</v>
      </c>
      <c r="D7967" s="4" t="s">
        <v>37912</v>
      </c>
      <c r="E7967" s="6"/>
      <c r="F7967" s="4" t="s">
        <v>1583</v>
      </c>
      <c r="G7967" s="4" t="s">
        <v>37913</v>
      </c>
    </row>
    <row r="7968" ht="14.25">
      <c r="B7968" s="14" t="s">
        <v>37914</v>
      </c>
      <c r="C7968" s="4" t="s">
        <v>37915</v>
      </c>
      <c r="D7968" s="4" t="s">
        <v>37916</v>
      </c>
      <c r="E7968" s="4" t="s">
        <v>37917</v>
      </c>
      <c r="F7968" s="4" t="s">
        <v>1499</v>
      </c>
      <c r="G7968" s="4" t="s">
        <v>37918</v>
      </c>
    </row>
    <row r="7969" ht="14.25">
      <c r="B7969" s="14" t="s">
        <v>37914</v>
      </c>
      <c r="C7969" s="4" t="s">
        <v>37915</v>
      </c>
      <c r="D7969" s="4" t="s">
        <v>37919</v>
      </c>
      <c r="E7969" s="4" t="s">
        <v>37917</v>
      </c>
      <c r="F7969" s="4" t="s">
        <v>485</v>
      </c>
      <c r="G7969" s="4" t="s">
        <v>37920</v>
      </c>
    </row>
    <row r="7970" ht="14.25">
      <c r="B7970" s="14" t="s">
        <v>37914</v>
      </c>
      <c r="C7970" s="4" t="s">
        <v>37915</v>
      </c>
      <c r="D7970" s="4" t="s">
        <v>37921</v>
      </c>
      <c r="E7970" s="4" t="s">
        <v>37917</v>
      </c>
      <c r="F7970" s="4" t="s">
        <v>32891</v>
      </c>
      <c r="G7970" s="4" t="s">
        <v>37922</v>
      </c>
    </row>
    <row r="7971" ht="14.25">
      <c r="B7971" s="14" t="s">
        <v>37914</v>
      </c>
      <c r="C7971" s="4" t="s">
        <v>37915</v>
      </c>
      <c r="D7971" s="4" t="s">
        <v>37923</v>
      </c>
      <c r="E7971" s="4" t="s">
        <v>37917</v>
      </c>
      <c r="F7971" s="4" t="s">
        <v>1732</v>
      </c>
      <c r="G7971" s="4" t="s">
        <v>37924</v>
      </c>
    </row>
    <row r="7972" ht="14.25">
      <c r="B7972" s="14" t="s">
        <v>37914</v>
      </c>
      <c r="C7972" s="4" t="s">
        <v>37915</v>
      </c>
      <c r="D7972" s="4" t="s">
        <v>37925</v>
      </c>
      <c r="E7972" s="4" t="s">
        <v>37917</v>
      </c>
      <c r="F7972" s="4" t="s">
        <v>1861</v>
      </c>
      <c r="G7972" s="4" t="s">
        <v>37926</v>
      </c>
    </row>
    <row r="7973" ht="14.25">
      <c r="B7973" s="14" t="s">
        <v>37914</v>
      </c>
      <c r="C7973" s="4" t="s">
        <v>37915</v>
      </c>
      <c r="D7973" s="4" t="s">
        <v>37927</v>
      </c>
      <c r="E7973" s="4" t="s">
        <v>37917</v>
      </c>
      <c r="F7973" s="4" t="s">
        <v>35368</v>
      </c>
      <c r="G7973" s="4" t="s">
        <v>37928</v>
      </c>
    </row>
    <row r="7974" ht="14.25">
      <c r="B7974" s="14" t="s">
        <v>37914</v>
      </c>
      <c r="C7974" s="4" t="s">
        <v>37915</v>
      </c>
      <c r="D7974" s="4" t="s">
        <v>37929</v>
      </c>
      <c r="E7974" s="4" t="s">
        <v>37917</v>
      </c>
      <c r="F7974" s="4" t="s">
        <v>3909</v>
      </c>
      <c r="G7974" s="4" t="s">
        <v>37930</v>
      </c>
    </row>
    <row r="7975" ht="14.25">
      <c r="B7975" s="14" t="s">
        <v>37914</v>
      </c>
      <c r="C7975" s="4" t="s">
        <v>37915</v>
      </c>
      <c r="D7975" s="4" t="s">
        <v>37931</v>
      </c>
      <c r="E7975" s="4" t="s">
        <v>37917</v>
      </c>
      <c r="F7975" s="4" t="s">
        <v>178</v>
      </c>
      <c r="G7975" s="4" t="s">
        <v>37932</v>
      </c>
    </row>
    <row r="7976" ht="14.25">
      <c r="B7976" s="14" t="s">
        <v>37914</v>
      </c>
      <c r="C7976" s="4" t="s">
        <v>37915</v>
      </c>
      <c r="D7976" s="4" t="s">
        <v>37933</v>
      </c>
      <c r="E7976" s="4" t="s">
        <v>37917</v>
      </c>
      <c r="F7976" s="4" t="s">
        <v>32548</v>
      </c>
      <c r="G7976" s="4" t="s">
        <v>37934</v>
      </c>
    </row>
    <row r="7977" ht="14.25">
      <c r="B7977" s="14" t="s">
        <v>37914</v>
      </c>
      <c r="C7977" s="4" t="s">
        <v>37915</v>
      </c>
      <c r="D7977" s="4" t="s">
        <v>37935</v>
      </c>
      <c r="E7977" s="4" t="s">
        <v>37917</v>
      </c>
      <c r="F7977" s="4" t="s">
        <v>2994</v>
      </c>
      <c r="G7977" s="4" t="s">
        <v>37936</v>
      </c>
    </row>
    <row r="7978" ht="14.25">
      <c r="B7978" s="14" t="s">
        <v>37914</v>
      </c>
      <c r="C7978" s="4" t="s">
        <v>37915</v>
      </c>
      <c r="D7978" s="4" t="s">
        <v>37937</v>
      </c>
      <c r="E7978" s="4" t="s">
        <v>37917</v>
      </c>
      <c r="F7978" s="4" t="s">
        <v>355</v>
      </c>
      <c r="G7978" s="4" t="s">
        <v>37938</v>
      </c>
    </row>
    <row r="7979" ht="14.25">
      <c r="B7979" s="14" t="s">
        <v>37914</v>
      </c>
      <c r="C7979" s="4" t="s">
        <v>37915</v>
      </c>
      <c r="D7979" s="4" t="s">
        <v>37939</v>
      </c>
      <c r="E7979" s="4" t="s">
        <v>37917</v>
      </c>
      <c r="F7979" s="4" t="s">
        <v>206</v>
      </c>
      <c r="G7979" s="4" t="s">
        <v>35743</v>
      </c>
    </row>
    <row r="7980" ht="14.25">
      <c r="B7980" s="14" t="s">
        <v>37914</v>
      </c>
      <c r="C7980" s="4" t="s">
        <v>37915</v>
      </c>
      <c r="D7980" s="4" t="s">
        <v>37940</v>
      </c>
      <c r="E7980" s="4" t="s">
        <v>37917</v>
      </c>
      <c r="F7980" s="4" t="s">
        <v>19682</v>
      </c>
      <c r="G7980" s="4" t="s">
        <v>37941</v>
      </c>
    </row>
    <row r="7981" ht="14.25">
      <c r="B7981" s="14" t="s">
        <v>37942</v>
      </c>
      <c r="C7981" s="4" t="s">
        <v>37943</v>
      </c>
      <c r="D7981" s="4" t="s">
        <v>37944</v>
      </c>
      <c r="E7981" s="4" t="s">
        <v>37945</v>
      </c>
      <c r="F7981" s="4" t="s">
        <v>15070</v>
      </c>
      <c r="G7981" s="4" t="s">
        <v>36616</v>
      </c>
    </row>
    <row r="7982" ht="14.25">
      <c r="B7982" s="14" t="s">
        <v>37942</v>
      </c>
      <c r="C7982" s="4" t="s">
        <v>37943</v>
      </c>
      <c r="D7982" s="4" t="s">
        <v>37946</v>
      </c>
      <c r="E7982" s="4" t="s">
        <v>37945</v>
      </c>
      <c r="F7982" s="4" t="s">
        <v>28659</v>
      </c>
      <c r="G7982" s="4" t="s">
        <v>37947</v>
      </c>
    </row>
    <row r="7983" ht="14.25">
      <c r="B7983" s="14" t="s">
        <v>37942</v>
      </c>
      <c r="C7983" s="4" t="s">
        <v>37948</v>
      </c>
      <c r="D7983" s="4" t="s">
        <v>37949</v>
      </c>
      <c r="E7983" s="6"/>
      <c r="F7983" s="4" t="s">
        <v>6243</v>
      </c>
      <c r="G7983" s="4" t="s">
        <v>37950</v>
      </c>
    </row>
    <row r="7984" ht="14.25">
      <c r="B7984" s="14" t="s">
        <v>37951</v>
      </c>
      <c r="C7984" s="4" t="s">
        <v>37952</v>
      </c>
      <c r="D7984" s="4" t="s">
        <v>37953</v>
      </c>
      <c r="E7984" s="4" t="s">
        <v>37954</v>
      </c>
      <c r="F7984" s="4" t="s">
        <v>37955</v>
      </c>
      <c r="G7984" s="4" t="s">
        <v>32679</v>
      </c>
    </row>
    <row r="7985" ht="14.25">
      <c r="B7985" s="14" t="s">
        <v>37956</v>
      </c>
      <c r="C7985" s="4" t="s">
        <v>37957</v>
      </c>
      <c r="D7985" s="4" t="s">
        <v>37958</v>
      </c>
      <c r="E7985" s="6"/>
      <c r="F7985" s="4" t="s">
        <v>485</v>
      </c>
      <c r="G7985" s="4" t="s">
        <v>37959</v>
      </c>
    </row>
    <row r="7986" ht="14.25">
      <c r="B7986" s="14" t="s">
        <v>37960</v>
      </c>
      <c r="C7986" s="4" t="s">
        <v>37961</v>
      </c>
      <c r="D7986" s="4" t="s">
        <v>37962</v>
      </c>
      <c r="E7986" s="4" t="s">
        <v>37723</v>
      </c>
      <c r="F7986" s="4" t="s">
        <v>34590</v>
      </c>
      <c r="G7986" s="4" t="s">
        <v>37963</v>
      </c>
    </row>
    <row r="7987" ht="14.25">
      <c r="B7987" s="14" t="s">
        <v>37960</v>
      </c>
      <c r="C7987" s="4" t="s">
        <v>37961</v>
      </c>
      <c r="D7987" s="4" t="s">
        <v>37964</v>
      </c>
      <c r="E7987" s="4" t="s">
        <v>37723</v>
      </c>
      <c r="F7987" s="4" t="s">
        <v>33370</v>
      </c>
      <c r="G7987" s="4" t="s">
        <v>37965</v>
      </c>
    </row>
    <row r="7988" ht="14.25">
      <c r="B7988" s="14" t="s">
        <v>37966</v>
      </c>
      <c r="C7988" s="4" t="s">
        <v>37967</v>
      </c>
      <c r="D7988" s="4" t="s">
        <v>37968</v>
      </c>
      <c r="E7988" s="4" t="s">
        <v>37969</v>
      </c>
      <c r="F7988" s="4" t="s">
        <v>1583</v>
      </c>
      <c r="G7988" s="4" t="s">
        <v>35161</v>
      </c>
    </row>
    <row r="7989" ht="14.25">
      <c r="B7989" s="14" t="s">
        <v>37970</v>
      </c>
      <c r="C7989" s="4" t="s">
        <v>37971</v>
      </c>
      <c r="D7989" s="4" t="s">
        <v>37972</v>
      </c>
      <c r="E7989" s="4" t="s">
        <v>37973</v>
      </c>
      <c r="F7989" s="4" t="s">
        <v>3332</v>
      </c>
      <c r="G7989" s="4" t="s">
        <v>37974</v>
      </c>
    </row>
    <row r="7990" ht="14.25">
      <c r="B7990" s="14" t="s">
        <v>37975</v>
      </c>
      <c r="C7990" s="4" t="s">
        <v>37976</v>
      </c>
      <c r="D7990" s="4" t="s">
        <v>37977</v>
      </c>
      <c r="E7990" s="4" t="s">
        <v>37978</v>
      </c>
      <c r="F7990" s="4" t="s">
        <v>110</v>
      </c>
      <c r="G7990" s="4" t="s">
        <v>37979</v>
      </c>
    </row>
    <row r="7991" ht="14.25">
      <c r="B7991" s="14" t="s">
        <v>37980</v>
      </c>
      <c r="C7991" s="4" t="s">
        <v>37981</v>
      </c>
      <c r="D7991" s="4" t="s">
        <v>37982</v>
      </c>
      <c r="E7991" s="4" t="s">
        <v>37983</v>
      </c>
      <c r="F7991" s="4" t="s">
        <v>33135</v>
      </c>
      <c r="G7991" s="4" t="s">
        <v>37984</v>
      </c>
    </row>
    <row r="7992" ht="14.25">
      <c r="B7992" s="14" t="s">
        <v>37980</v>
      </c>
      <c r="C7992" s="4" t="s">
        <v>37989</v>
      </c>
      <c r="D7992" s="4" t="s">
        <v>37990</v>
      </c>
      <c r="E7992" s="4" t="s">
        <v>37991</v>
      </c>
      <c r="F7992" s="4" t="s">
        <v>808</v>
      </c>
      <c r="G7992" s="4" t="s">
        <v>37992</v>
      </c>
    </row>
    <row r="7993" ht="14.25">
      <c r="B7993" s="14" t="s">
        <v>37980</v>
      </c>
      <c r="C7993" s="4" t="s">
        <v>37985</v>
      </c>
      <c r="D7993" s="4" t="s">
        <v>37987</v>
      </c>
      <c r="E7993" s="6"/>
      <c r="F7993" s="4" t="s">
        <v>37993</v>
      </c>
      <c r="G7993" s="4" t="s">
        <v>37994</v>
      </c>
    </row>
    <row r="7994" ht="14.25">
      <c r="B7994" s="14" t="s">
        <v>37995</v>
      </c>
      <c r="C7994" s="4" t="s">
        <v>37996</v>
      </c>
      <c r="D7994" s="4" t="s">
        <v>37997</v>
      </c>
      <c r="E7994" s="4" t="s">
        <v>37998</v>
      </c>
      <c r="F7994" s="4" t="s">
        <v>32706</v>
      </c>
      <c r="G7994" s="4" t="s">
        <v>37999</v>
      </c>
    </row>
    <row r="7995" ht="14.25">
      <c r="B7995" s="14" t="s">
        <v>38000</v>
      </c>
      <c r="C7995" s="4" t="s">
        <v>38001</v>
      </c>
      <c r="D7995" s="4" t="s">
        <v>38002</v>
      </c>
      <c r="E7995" s="6"/>
      <c r="F7995" s="4" t="s">
        <v>33836</v>
      </c>
      <c r="G7995" s="4" t="s">
        <v>38003</v>
      </c>
    </row>
    <row r="7996" ht="14.25">
      <c r="B7996" s="14" t="s">
        <v>38000</v>
      </c>
      <c r="C7996" s="4" t="s">
        <v>38001</v>
      </c>
      <c r="D7996" s="4" t="s">
        <v>38004</v>
      </c>
      <c r="E7996" s="4" t="s">
        <v>38002</v>
      </c>
      <c r="F7996" s="4" t="s">
        <v>330</v>
      </c>
      <c r="G7996" s="4" t="s">
        <v>38005</v>
      </c>
    </row>
    <row r="7997" ht="14.25">
      <c r="B7997" s="14" t="s">
        <v>38006</v>
      </c>
      <c r="C7997" s="4" t="s">
        <v>38007</v>
      </c>
      <c r="D7997" s="4" t="s">
        <v>38008</v>
      </c>
      <c r="E7997" s="4" t="s">
        <v>38009</v>
      </c>
      <c r="F7997" s="4" t="s">
        <v>808</v>
      </c>
      <c r="G7997" s="4" t="s">
        <v>38010</v>
      </c>
    </row>
    <row r="7998" ht="14.25">
      <c r="B7998" s="14" t="s">
        <v>38011</v>
      </c>
      <c r="C7998" s="4" t="s">
        <v>38012</v>
      </c>
      <c r="D7998" s="4" t="s">
        <v>38013</v>
      </c>
      <c r="E7998" s="6"/>
      <c r="F7998" s="4" t="s">
        <v>808</v>
      </c>
      <c r="G7998" s="4" t="s">
        <v>38014</v>
      </c>
    </row>
    <row r="7999" ht="14.25">
      <c r="B7999" s="14" t="s">
        <v>38011</v>
      </c>
      <c r="C7999" s="4" t="s">
        <v>38012</v>
      </c>
      <c r="D7999" s="4" t="s">
        <v>38015</v>
      </c>
      <c r="E7999" s="4" t="s">
        <v>38013</v>
      </c>
      <c r="F7999" s="4" t="s">
        <v>33054</v>
      </c>
      <c r="G7999" s="4" t="s">
        <v>38016</v>
      </c>
    </row>
    <row r="8000" ht="14.25">
      <c r="B8000" s="14" t="s">
        <v>38017</v>
      </c>
      <c r="C8000" s="4" t="s">
        <v>38018</v>
      </c>
      <c r="D8000" s="4" t="s">
        <v>38019</v>
      </c>
      <c r="E8000" s="4" t="s">
        <v>38020</v>
      </c>
      <c r="F8000" s="4" t="s">
        <v>670</v>
      </c>
      <c r="G8000" s="4" t="s">
        <v>35983</v>
      </c>
    </row>
    <row r="8001" ht="14.25">
      <c r="B8001" s="14" t="s">
        <v>38017</v>
      </c>
      <c r="C8001" s="4" t="s">
        <v>38018</v>
      </c>
      <c r="D8001" s="4" t="s">
        <v>38021</v>
      </c>
      <c r="E8001" s="4" t="s">
        <v>38020</v>
      </c>
      <c r="F8001" s="4" t="s">
        <v>6945</v>
      </c>
      <c r="G8001" s="4" t="s">
        <v>38022</v>
      </c>
    </row>
    <row r="8002" ht="14.25">
      <c r="B8002" s="14" t="s">
        <v>38023</v>
      </c>
      <c r="C8002" s="4" t="s">
        <v>38024</v>
      </c>
      <c r="D8002" s="4" t="s">
        <v>38025</v>
      </c>
      <c r="E8002" s="4" t="s">
        <v>38026</v>
      </c>
      <c r="F8002" s="4" t="s">
        <v>4961</v>
      </c>
      <c r="G8002" s="4" t="s">
        <v>38027</v>
      </c>
    </row>
    <row r="8003" ht="14.25">
      <c r="B8003" s="14" t="s">
        <v>38028</v>
      </c>
      <c r="C8003" s="4" t="s">
        <v>38029</v>
      </c>
      <c r="D8003" s="4" t="s">
        <v>38030</v>
      </c>
      <c r="E8003" s="6"/>
      <c r="F8003" s="4" t="s">
        <v>33135</v>
      </c>
      <c r="G8003" s="4" t="s">
        <v>38031</v>
      </c>
    </row>
    <row r="8004" ht="14.25">
      <c r="B8004" s="14" t="s">
        <v>38032</v>
      </c>
      <c r="C8004" s="4" t="s">
        <v>38033</v>
      </c>
      <c r="D8004" s="4" t="s">
        <v>38034</v>
      </c>
      <c r="E8004" s="4" t="s">
        <v>38035</v>
      </c>
      <c r="F8004" s="4" t="s">
        <v>670</v>
      </c>
      <c r="G8004" s="4" t="s">
        <v>36179</v>
      </c>
    </row>
    <row r="8005" ht="14.25">
      <c r="B8005" s="14" t="s">
        <v>38036</v>
      </c>
      <c r="C8005" s="4" t="s">
        <v>38037</v>
      </c>
      <c r="D8005" s="4" t="s">
        <v>38038</v>
      </c>
      <c r="E8005" s="4" t="s">
        <v>38039</v>
      </c>
      <c r="F8005" s="4" t="s">
        <v>769</v>
      </c>
      <c r="G8005" s="4" t="s">
        <v>38040</v>
      </c>
    </row>
    <row r="8006" ht="14.25">
      <c r="B8006" s="14" t="s">
        <v>38036</v>
      </c>
      <c r="C8006" s="4" t="s">
        <v>38037</v>
      </c>
      <c r="D8006" s="4" t="s">
        <v>38041</v>
      </c>
      <c r="E8006" s="4" t="s">
        <v>38039</v>
      </c>
      <c r="F8006" s="4" t="s">
        <v>7323</v>
      </c>
      <c r="G8006" s="4" t="s">
        <v>38042</v>
      </c>
    </row>
    <row r="8007" ht="14.25">
      <c r="B8007" s="14" t="s">
        <v>38036</v>
      </c>
      <c r="C8007" s="4" t="s">
        <v>38037</v>
      </c>
      <c r="D8007" s="4" t="s">
        <v>38043</v>
      </c>
      <c r="E8007" s="4" t="s">
        <v>38039</v>
      </c>
      <c r="F8007" s="4" t="s">
        <v>38044</v>
      </c>
      <c r="G8007" s="4" t="s">
        <v>38045</v>
      </c>
    </row>
    <row r="8008" ht="14.25">
      <c r="B8008" s="14" t="s">
        <v>38046</v>
      </c>
      <c r="C8008" s="4" t="s">
        <v>38047</v>
      </c>
      <c r="D8008" s="4" t="s">
        <v>38048</v>
      </c>
      <c r="E8008" s="4" t="s">
        <v>38049</v>
      </c>
      <c r="F8008" s="4" t="s">
        <v>1583</v>
      </c>
      <c r="G8008" s="4" t="s">
        <v>38050</v>
      </c>
    </row>
    <row r="8009" ht="14.25">
      <c r="B8009" s="14" t="s">
        <v>38046</v>
      </c>
      <c r="C8009" s="4" t="s">
        <v>38047</v>
      </c>
      <c r="D8009" s="4" t="s">
        <v>38051</v>
      </c>
      <c r="E8009" s="4" t="s">
        <v>38049</v>
      </c>
      <c r="F8009" s="4" t="s">
        <v>785</v>
      </c>
      <c r="G8009" s="4" t="s">
        <v>36403</v>
      </c>
    </row>
    <row r="8010" ht="14.25">
      <c r="B8010" s="14" t="s">
        <v>38052</v>
      </c>
      <c r="C8010" s="4" t="s">
        <v>38053</v>
      </c>
      <c r="D8010" s="4" t="s">
        <v>38054</v>
      </c>
      <c r="E8010" s="4" t="s">
        <v>38055</v>
      </c>
      <c r="F8010" s="4" t="s">
        <v>4800</v>
      </c>
      <c r="G8010" s="4" t="s">
        <v>38056</v>
      </c>
    </row>
    <row r="8011" ht="14.25">
      <c r="B8011" s="14" t="s">
        <v>38052</v>
      </c>
      <c r="C8011" s="4" t="s">
        <v>38053</v>
      </c>
      <c r="D8011" s="4" t="s">
        <v>38057</v>
      </c>
      <c r="E8011" s="4" t="s">
        <v>38055</v>
      </c>
      <c r="F8011" s="4" t="s">
        <v>12573</v>
      </c>
      <c r="G8011" s="4" t="s">
        <v>38058</v>
      </c>
    </row>
    <row r="8012" ht="14.25">
      <c r="B8012" s="14" t="s">
        <v>38059</v>
      </c>
      <c r="C8012" s="4" t="s">
        <v>38060</v>
      </c>
      <c r="D8012" s="4" t="s">
        <v>38061</v>
      </c>
      <c r="E8012" s="4" t="s">
        <v>38062</v>
      </c>
      <c r="F8012" s="4" t="s">
        <v>785</v>
      </c>
      <c r="G8012" s="4" t="s">
        <v>38063</v>
      </c>
    </row>
    <row r="8013" ht="14.25">
      <c r="B8013" s="14" t="s">
        <v>38059</v>
      </c>
      <c r="C8013" s="4" t="s">
        <v>38060</v>
      </c>
      <c r="D8013" s="4" t="s">
        <v>38064</v>
      </c>
      <c r="E8013" s="4" t="s">
        <v>38062</v>
      </c>
      <c r="F8013" s="4" t="s">
        <v>6788</v>
      </c>
      <c r="G8013" s="4" t="s">
        <v>38065</v>
      </c>
    </row>
    <row r="8014" ht="14.25">
      <c r="B8014" s="14" t="s">
        <v>38059</v>
      </c>
      <c r="C8014" s="4" t="s">
        <v>38060</v>
      </c>
      <c r="D8014" s="4" t="s">
        <v>38066</v>
      </c>
      <c r="E8014" s="4" t="s">
        <v>38062</v>
      </c>
      <c r="F8014" s="4" t="s">
        <v>7559</v>
      </c>
      <c r="G8014" s="4" t="s">
        <v>38067</v>
      </c>
    </row>
    <row r="8015" ht="14.25">
      <c r="B8015" s="14" t="s">
        <v>38059</v>
      </c>
      <c r="C8015" s="4" t="s">
        <v>38060</v>
      </c>
      <c r="D8015" s="4" t="s">
        <v>38068</v>
      </c>
      <c r="E8015" s="4" t="s">
        <v>38062</v>
      </c>
      <c r="F8015" s="4" t="s">
        <v>35368</v>
      </c>
      <c r="G8015" s="4" t="s">
        <v>38069</v>
      </c>
    </row>
    <row r="8016" ht="14.25">
      <c r="B8016" s="14" t="s">
        <v>38070</v>
      </c>
      <c r="C8016" s="4" t="s">
        <v>38071</v>
      </c>
      <c r="D8016" s="4" t="s">
        <v>38072</v>
      </c>
      <c r="E8016" s="4" t="s">
        <v>38073</v>
      </c>
      <c r="F8016" s="4" t="s">
        <v>4003</v>
      </c>
      <c r="G8016" s="4" t="s">
        <v>36066</v>
      </c>
    </row>
    <row r="8017" ht="14.25">
      <c r="B8017" s="14" t="s">
        <v>38070</v>
      </c>
      <c r="C8017" s="4" t="s">
        <v>38071</v>
      </c>
      <c r="D8017" s="4" t="s">
        <v>38074</v>
      </c>
      <c r="E8017" s="4" t="s">
        <v>38073</v>
      </c>
      <c r="F8017" s="4" t="s">
        <v>34846</v>
      </c>
      <c r="G8017" s="4" t="s">
        <v>38075</v>
      </c>
    </row>
    <row r="8018" ht="14.25">
      <c r="B8018" s="14" t="s">
        <v>38076</v>
      </c>
      <c r="C8018" s="4" t="s">
        <v>38077</v>
      </c>
      <c r="D8018" s="4" t="s">
        <v>38078</v>
      </c>
      <c r="E8018" s="4" t="s">
        <v>38079</v>
      </c>
      <c r="F8018" s="4" t="s">
        <v>485</v>
      </c>
      <c r="G8018" s="4" t="s">
        <v>38080</v>
      </c>
    </row>
    <row r="8019" ht="14.25">
      <c r="B8019" s="14" t="s">
        <v>38076</v>
      </c>
      <c r="C8019" s="4" t="s">
        <v>38081</v>
      </c>
      <c r="D8019" s="4" t="s">
        <v>38082</v>
      </c>
      <c r="E8019" s="6"/>
      <c r="F8019" s="4" t="s">
        <v>110</v>
      </c>
      <c r="G8019" s="4" t="s">
        <v>38083</v>
      </c>
    </row>
    <row r="8020" ht="14.25">
      <c r="B8020" s="14" t="s">
        <v>38084</v>
      </c>
      <c r="C8020" s="4" t="s">
        <v>38085</v>
      </c>
      <c r="D8020" s="4" t="s">
        <v>38086</v>
      </c>
      <c r="E8020" s="4" t="s">
        <v>38087</v>
      </c>
      <c r="F8020" s="4" t="s">
        <v>20</v>
      </c>
      <c r="G8020" s="4" t="s">
        <v>38088</v>
      </c>
    </row>
    <row r="8021" ht="14.25">
      <c r="B8021" s="14" t="s">
        <v>38084</v>
      </c>
      <c r="C8021" s="4" t="s">
        <v>38085</v>
      </c>
      <c r="D8021" s="4" t="s">
        <v>38089</v>
      </c>
      <c r="E8021" s="4" t="s">
        <v>38087</v>
      </c>
      <c r="F8021" s="4" t="s">
        <v>32622</v>
      </c>
      <c r="G8021" s="4" t="s">
        <v>35192</v>
      </c>
    </row>
    <row r="8022" ht="14.25">
      <c r="B8022" s="14" t="s">
        <v>38084</v>
      </c>
      <c r="C8022" s="4" t="s">
        <v>38085</v>
      </c>
      <c r="D8022" s="4" t="s">
        <v>38090</v>
      </c>
      <c r="E8022" s="4" t="s">
        <v>38087</v>
      </c>
      <c r="F8022" s="4" t="s">
        <v>35878</v>
      </c>
      <c r="G8022" s="4" t="s">
        <v>38091</v>
      </c>
    </row>
    <row r="8023" ht="14.25">
      <c r="B8023" s="14" t="s">
        <v>38084</v>
      </c>
      <c r="C8023" s="4" t="s">
        <v>38085</v>
      </c>
      <c r="D8023" s="4" t="s">
        <v>38092</v>
      </c>
      <c r="E8023" s="4" t="s">
        <v>38087</v>
      </c>
      <c r="F8023" s="4" t="s">
        <v>785</v>
      </c>
      <c r="G8023" s="4" t="s">
        <v>38093</v>
      </c>
    </row>
    <row r="8024" ht="14.25">
      <c r="B8024" s="14" t="s">
        <v>38094</v>
      </c>
      <c r="C8024" s="4" t="s">
        <v>38095</v>
      </c>
      <c r="D8024" s="4" t="s">
        <v>38096</v>
      </c>
      <c r="E8024" s="4" t="s">
        <v>38097</v>
      </c>
      <c r="F8024" s="4" t="s">
        <v>2720</v>
      </c>
      <c r="G8024" s="4" t="s">
        <v>38098</v>
      </c>
    </row>
    <row r="8025" ht="14.25">
      <c r="B8025" s="14" t="s">
        <v>38099</v>
      </c>
      <c r="C8025" s="4" t="s">
        <v>38100</v>
      </c>
      <c r="D8025" s="4" t="s">
        <v>38101</v>
      </c>
      <c r="E8025" s="4" t="s">
        <v>38102</v>
      </c>
      <c r="F8025" s="4" t="s">
        <v>33434</v>
      </c>
      <c r="G8025" s="4" t="s">
        <v>38103</v>
      </c>
    </row>
    <row r="8026" ht="14.25">
      <c r="B8026" s="14" t="s">
        <v>38099</v>
      </c>
      <c r="C8026" s="4" t="s">
        <v>38100</v>
      </c>
      <c r="D8026" s="4" t="s">
        <v>38104</v>
      </c>
      <c r="E8026" s="4" t="s">
        <v>38102</v>
      </c>
      <c r="F8026" s="4" t="s">
        <v>20</v>
      </c>
      <c r="G8026" s="4" t="s">
        <v>38105</v>
      </c>
    </row>
    <row r="8027" ht="14.25">
      <c r="B8027" s="14" t="s">
        <v>38106</v>
      </c>
      <c r="C8027" s="4" t="s">
        <v>38107</v>
      </c>
      <c r="D8027" s="4" t="s">
        <v>38108</v>
      </c>
      <c r="E8027" s="4" t="s">
        <v>38109</v>
      </c>
      <c r="F8027" s="4" t="s">
        <v>6744</v>
      </c>
      <c r="G8027" s="4" t="s">
        <v>38110</v>
      </c>
    </row>
    <row r="8028" ht="14.25">
      <c r="B8028" s="14" t="s">
        <v>38111</v>
      </c>
      <c r="C8028" s="4" t="s">
        <v>38112</v>
      </c>
      <c r="D8028" s="4" t="s">
        <v>38113</v>
      </c>
      <c r="E8028" s="4" t="s">
        <v>38114</v>
      </c>
      <c r="F8028" s="4" t="s">
        <v>34201</v>
      </c>
      <c r="G8028" s="4" t="s">
        <v>38115</v>
      </c>
    </row>
    <row r="8029" ht="14.25">
      <c r="B8029" s="14" t="s">
        <v>38111</v>
      </c>
      <c r="C8029" s="4" t="s">
        <v>38112</v>
      </c>
      <c r="D8029" s="4" t="s">
        <v>38116</v>
      </c>
      <c r="E8029" s="4" t="s">
        <v>38114</v>
      </c>
      <c r="F8029" s="4" t="s">
        <v>69</v>
      </c>
      <c r="G8029" s="4" t="s">
        <v>38117</v>
      </c>
    </row>
    <row r="8030" ht="14.25">
      <c r="B8030" s="14" t="s">
        <v>38111</v>
      </c>
      <c r="C8030" s="4" t="s">
        <v>38112</v>
      </c>
      <c r="D8030" s="4" t="s">
        <v>38118</v>
      </c>
      <c r="E8030" s="4" t="s">
        <v>38114</v>
      </c>
      <c r="F8030" s="4" t="s">
        <v>255</v>
      </c>
      <c r="G8030" s="4" t="s">
        <v>38119</v>
      </c>
    </row>
    <row r="8031" ht="14.25">
      <c r="B8031" s="14" t="s">
        <v>38111</v>
      </c>
      <c r="C8031" s="4" t="s">
        <v>38112</v>
      </c>
      <c r="D8031" s="4" t="s">
        <v>38122</v>
      </c>
      <c r="E8031" s="4" t="s">
        <v>38114</v>
      </c>
      <c r="F8031" s="4" t="s">
        <v>28942</v>
      </c>
      <c r="G8031" s="4" t="s">
        <v>38123</v>
      </c>
    </row>
    <row r="8032" ht="14.25">
      <c r="B8032" s="14" t="s">
        <v>38111</v>
      </c>
      <c r="C8032" s="4" t="s">
        <v>38112</v>
      </c>
      <c r="D8032" s="4" t="s">
        <v>38124</v>
      </c>
      <c r="E8032" s="4" t="s">
        <v>38114</v>
      </c>
      <c r="F8032" s="4" t="s">
        <v>4245</v>
      </c>
      <c r="G8032" s="4" t="s">
        <v>38125</v>
      </c>
    </row>
    <row r="8033" ht="14.25">
      <c r="B8033" s="14" t="s">
        <v>38128</v>
      </c>
      <c r="C8033" s="4" t="s">
        <v>38129</v>
      </c>
      <c r="D8033" s="4" t="s">
        <v>38130</v>
      </c>
      <c r="E8033" s="4" t="s">
        <v>38131</v>
      </c>
      <c r="F8033" s="4" t="s">
        <v>34602</v>
      </c>
      <c r="G8033" s="4" t="s">
        <v>38132</v>
      </c>
    </row>
    <row r="8034" ht="14.25">
      <c r="B8034" s="14" t="s">
        <v>38133</v>
      </c>
      <c r="C8034" s="4" t="s">
        <v>38134</v>
      </c>
      <c r="D8034" s="4" t="s">
        <v>38135</v>
      </c>
      <c r="E8034" s="4" t="s">
        <v>38136</v>
      </c>
      <c r="F8034" s="4" t="s">
        <v>874</v>
      </c>
      <c r="G8034" s="4" t="s">
        <v>38137</v>
      </c>
    </row>
    <row r="8035" ht="14.25">
      <c r="B8035" s="14" t="s">
        <v>38133</v>
      </c>
      <c r="C8035" s="4" t="s">
        <v>38134</v>
      </c>
      <c r="D8035" s="4" t="s">
        <v>38138</v>
      </c>
      <c r="E8035" s="4" t="s">
        <v>38136</v>
      </c>
      <c r="F8035" s="4" t="s">
        <v>2870</v>
      </c>
      <c r="G8035" s="4" t="s">
        <v>34918</v>
      </c>
    </row>
    <row r="8036" ht="14.25">
      <c r="B8036" s="14" t="s">
        <v>38139</v>
      </c>
      <c r="C8036" s="4" t="s">
        <v>38140</v>
      </c>
      <c r="D8036" s="4" t="s">
        <v>38141</v>
      </c>
      <c r="E8036" s="6"/>
      <c r="F8036" s="4" t="s">
        <v>38142</v>
      </c>
      <c r="G8036" s="4" t="s">
        <v>38143</v>
      </c>
    </row>
    <row r="8037" ht="14.25">
      <c r="B8037" s="14" t="s">
        <v>38144</v>
      </c>
      <c r="C8037" s="4" t="s">
        <v>38145</v>
      </c>
      <c r="D8037" s="4" t="s">
        <v>38146</v>
      </c>
      <c r="E8037" s="6"/>
      <c r="F8037" s="4" t="s">
        <v>866</v>
      </c>
      <c r="G8037" s="4" t="s">
        <v>38147</v>
      </c>
    </row>
    <row r="8038" ht="14.25">
      <c r="B8038" s="14" t="s">
        <v>38148</v>
      </c>
      <c r="C8038" s="4" t="s">
        <v>38149</v>
      </c>
      <c r="D8038" s="4" t="s">
        <v>38150</v>
      </c>
      <c r="E8038" s="6"/>
      <c r="F8038" s="4" t="s">
        <v>32579</v>
      </c>
      <c r="G8038" s="4" t="s">
        <v>38151</v>
      </c>
    </row>
    <row r="8039" ht="14.25">
      <c r="B8039" s="14" t="s">
        <v>38152</v>
      </c>
      <c r="C8039" s="4" t="s">
        <v>38153</v>
      </c>
      <c r="D8039" s="4" t="s">
        <v>38154</v>
      </c>
      <c r="E8039" s="4" t="s">
        <v>38155</v>
      </c>
      <c r="F8039" s="4" t="s">
        <v>33084</v>
      </c>
      <c r="G8039" s="4" t="s">
        <v>38156</v>
      </c>
    </row>
    <row r="8040" ht="14.25">
      <c r="B8040" s="14" t="s">
        <v>38157</v>
      </c>
      <c r="C8040" s="4" t="s">
        <v>38158</v>
      </c>
      <c r="D8040" s="4" t="s">
        <v>38159</v>
      </c>
      <c r="E8040" s="4" t="s">
        <v>38160</v>
      </c>
      <c r="F8040" s="4" t="s">
        <v>32616</v>
      </c>
      <c r="G8040" s="4" t="s">
        <v>38161</v>
      </c>
    </row>
    <row r="8041" ht="14.25">
      <c r="B8041" s="14" t="s">
        <v>38157</v>
      </c>
      <c r="C8041" s="4" t="s">
        <v>38158</v>
      </c>
      <c r="D8041" s="4" t="s">
        <v>38162</v>
      </c>
      <c r="E8041" s="4" t="s">
        <v>38160</v>
      </c>
      <c r="F8041" s="4" t="s">
        <v>679</v>
      </c>
      <c r="G8041" s="4" t="s">
        <v>32868</v>
      </c>
    </row>
    <row r="8042" ht="14.25">
      <c r="B8042" s="14" t="s">
        <v>38163</v>
      </c>
      <c r="C8042" s="4" t="s">
        <v>38164</v>
      </c>
      <c r="D8042" s="4" t="s">
        <v>38165</v>
      </c>
      <c r="E8042" s="4" t="s">
        <v>38166</v>
      </c>
      <c r="F8042" s="4" t="s">
        <v>4341</v>
      </c>
      <c r="G8042" s="4" t="s">
        <v>38167</v>
      </c>
    </row>
    <row r="8043" ht="14.25">
      <c r="B8043" s="14" t="s">
        <v>38168</v>
      </c>
      <c r="C8043" s="4" t="s">
        <v>38169</v>
      </c>
      <c r="D8043" s="4" t="s">
        <v>38170</v>
      </c>
      <c r="E8043" s="4" t="s">
        <v>38171</v>
      </c>
      <c r="F8043" s="4" t="s">
        <v>32616</v>
      </c>
      <c r="G8043" s="4" t="s">
        <v>36251</v>
      </c>
    </row>
    <row r="8044" ht="14.25">
      <c r="B8044" s="14" t="s">
        <v>38172</v>
      </c>
      <c r="C8044" s="4" t="s">
        <v>38173</v>
      </c>
      <c r="D8044" s="4" t="s">
        <v>38174</v>
      </c>
      <c r="E8044" s="4" t="s">
        <v>38175</v>
      </c>
      <c r="F8044" s="4" t="s">
        <v>33644</v>
      </c>
      <c r="G8044" s="4" t="s">
        <v>35180</v>
      </c>
    </row>
    <row r="8045" ht="14.25">
      <c r="B8045" s="14" t="s">
        <v>38176</v>
      </c>
      <c r="C8045" s="4" t="s">
        <v>38177</v>
      </c>
      <c r="D8045" s="4" t="s">
        <v>38178</v>
      </c>
      <c r="E8045" s="4" t="s">
        <v>38179</v>
      </c>
      <c r="F8045" s="4" t="s">
        <v>1387</v>
      </c>
      <c r="G8045" s="4" t="s">
        <v>38180</v>
      </c>
    </row>
    <row r="8046" ht="14.25">
      <c r="B8046" s="14" t="s">
        <v>38176</v>
      </c>
      <c r="C8046" s="4" t="s">
        <v>38177</v>
      </c>
      <c r="D8046" s="4" t="s">
        <v>38181</v>
      </c>
      <c r="E8046" s="4" t="s">
        <v>38179</v>
      </c>
      <c r="F8046" s="4" t="s">
        <v>1215</v>
      </c>
      <c r="G8046" s="4" t="s">
        <v>38182</v>
      </c>
    </row>
    <row r="8047" ht="14.25">
      <c r="B8047" s="14" t="s">
        <v>38183</v>
      </c>
      <c r="C8047" s="4" t="s">
        <v>38184</v>
      </c>
      <c r="D8047" s="4" t="s">
        <v>38185</v>
      </c>
      <c r="E8047" s="4" t="s">
        <v>38186</v>
      </c>
      <c r="F8047" s="4" t="s">
        <v>743</v>
      </c>
      <c r="G8047" s="4" t="s">
        <v>38187</v>
      </c>
    </row>
    <row r="8048" ht="14.25">
      <c r="B8048" s="14" t="s">
        <v>38183</v>
      </c>
      <c r="C8048" s="4" t="s">
        <v>38184</v>
      </c>
      <c r="D8048" s="4" t="s">
        <v>38188</v>
      </c>
      <c r="E8048" s="4" t="s">
        <v>38186</v>
      </c>
      <c r="F8048" s="4" t="s">
        <v>19814</v>
      </c>
      <c r="G8048" s="4" t="s">
        <v>38189</v>
      </c>
    </row>
    <row r="8049" ht="14.25">
      <c r="B8049" s="14" t="s">
        <v>38183</v>
      </c>
      <c r="C8049" s="4" t="s">
        <v>38184</v>
      </c>
      <c r="D8049" s="4" t="s">
        <v>38190</v>
      </c>
      <c r="E8049" s="4" t="s">
        <v>38186</v>
      </c>
      <c r="F8049" s="4" t="s">
        <v>32548</v>
      </c>
      <c r="G8049" s="4" t="s">
        <v>38191</v>
      </c>
    </row>
    <row r="8050" ht="14.25">
      <c r="B8050" s="14" t="s">
        <v>38183</v>
      </c>
      <c r="C8050" s="4" t="s">
        <v>38184</v>
      </c>
      <c r="D8050" s="4" t="s">
        <v>38192</v>
      </c>
      <c r="E8050" s="4" t="s">
        <v>38186</v>
      </c>
      <c r="F8050" s="4" t="s">
        <v>38193</v>
      </c>
      <c r="G8050" s="4" t="s">
        <v>38194</v>
      </c>
    </row>
    <row r="8051" ht="14.25">
      <c r="B8051" s="14" t="s">
        <v>38183</v>
      </c>
      <c r="C8051" s="4" t="s">
        <v>38184</v>
      </c>
      <c r="D8051" s="4" t="s">
        <v>38195</v>
      </c>
      <c r="E8051" s="4" t="s">
        <v>38186</v>
      </c>
      <c r="F8051" s="4" t="s">
        <v>768</v>
      </c>
      <c r="G8051" s="4" t="s">
        <v>36685</v>
      </c>
    </row>
    <row r="8052" ht="14.25">
      <c r="B8052" s="14" t="s">
        <v>38183</v>
      </c>
      <c r="C8052" s="4" t="s">
        <v>38184</v>
      </c>
      <c r="D8052" s="4" t="s">
        <v>38196</v>
      </c>
      <c r="E8052" s="4" t="s">
        <v>38186</v>
      </c>
      <c r="F8052" s="4" t="s">
        <v>76</v>
      </c>
      <c r="G8052" s="4" t="s">
        <v>38197</v>
      </c>
    </row>
    <row r="8053" ht="14.25">
      <c r="B8053" s="14" t="s">
        <v>38183</v>
      </c>
      <c r="C8053" s="4" t="s">
        <v>38184</v>
      </c>
      <c r="D8053" s="4" t="s">
        <v>38198</v>
      </c>
      <c r="E8053" s="4" t="s">
        <v>38186</v>
      </c>
      <c r="F8053" s="4" t="s">
        <v>710</v>
      </c>
      <c r="G8053" s="4" t="s">
        <v>38199</v>
      </c>
    </row>
    <row r="8054" ht="14.25">
      <c r="B8054" s="14" t="s">
        <v>38200</v>
      </c>
      <c r="C8054" s="4" t="s">
        <v>38201</v>
      </c>
      <c r="D8054" s="4" t="s">
        <v>38202</v>
      </c>
      <c r="E8054" s="4" t="s">
        <v>38203</v>
      </c>
      <c r="F8054" s="4" t="s">
        <v>7559</v>
      </c>
      <c r="G8054" s="4" t="s">
        <v>38204</v>
      </c>
    </row>
    <row r="8055" ht="14.25">
      <c r="B8055" s="14" t="s">
        <v>38200</v>
      </c>
      <c r="C8055" s="4" t="s">
        <v>38201</v>
      </c>
      <c r="D8055" s="4" t="s">
        <v>38205</v>
      </c>
      <c r="E8055" s="4" t="s">
        <v>38203</v>
      </c>
      <c r="F8055" s="4" t="s">
        <v>76</v>
      </c>
      <c r="G8055" s="4" t="s">
        <v>38206</v>
      </c>
    </row>
    <row r="8056" ht="14.25">
      <c r="B8056" s="14" t="s">
        <v>38200</v>
      </c>
      <c r="C8056" s="4" t="s">
        <v>38201</v>
      </c>
      <c r="D8056" s="4" t="s">
        <v>38207</v>
      </c>
      <c r="E8056" s="4" t="s">
        <v>38203</v>
      </c>
      <c r="F8056" s="4" t="s">
        <v>6356</v>
      </c>
      <c r="G8056" s="4" t="s">
        <v>38208</v>
      </c>
    </row>
    <row r="8057" ht="14.25">
      <c r="B8057" s="14" t="s">
        <v>38209</v>
      </c>
      <c r="C8057" s="4" t="s">
        <v>38210</v>
      </c>
      <c r="D8057" s="4" t="s">
        <v>38211</v>
      </c>
      <c r="E8057" s="6"/>
      <c r="F8057" s="4" t="s">
        <v>32813</v>
      </c>
      <c r="G8057" s="4" t="s">
        <v>38212</v>
      </c>
    </row>
    <row r="8058" ht="14.25">
      <c r="B8058" s="14" t="s">
        <v>38213</v>
      </c>
      <c r="C8058" s="4" t="s">
        <v>38214</v>
      </c>
      <c r="D8058" s="4" t="s">
        <v>38215</v>
      </c>
      <c r="E8058" s="4" t="s">
        <v>38216</v>
      </c>
      <c r="F8058" s="4" t="s">
        <v>38217</v>
      </c>
      <c r="G8058" s="4" t="s">
        <v>38218</v>
      </c>
    </row>
    <row r="8059" ht="14.25">
      <c r="B8059" s="14" t="s">
        <v>38219</v>
      </c>
      <c r="C8059" s="4" t="s">
        <v>38220</v>
      </c>
      <c r="D8059" s="4" t="s">
        <v>38221</v>
      </c>
      <c r="E8059" s="6"/>
      <c r="F8059" s="4" t="s">
        <v>3540</v>
      </c>
      <c r="G8059" s="4" t="s">
        <v>38222</v>
      </c>
    </row>
    <row r="8060" ht="14.25">
      <c r="B8060" s="14" t="s">
        <v>38223</v>
      </c>
      <c r="C8060" s="4" t="s">
        <v>38224</v>
      </c>
      <c r="D8060" s="4" t="s">
        <v>38225</v>
      </c>
      <c r="E8060" s="4" t="s">
        <v>38226</v>
      </c>
      <c r="F8060" s="4" t="s">
        <v>31</v>
      </c>
      <c r="G8060" s="4" t="s">
        <v>38227</v>
      </c>
    </row>
    <row r="8061" ht="14.25">
      <c r="B8061" s="14" t="s">
        <v>38223</v>
      </c>
      <c r="C8061" s="4" t="s">
        <v>38224</v>
      </c>
      <c r="D8061" s="4" t="s">
        <v>38228</v>
      </c>
      <c r="E8061" s="4" t="s">
        <v>38226</v>
      </c>
      <c r="F8061" s="4" t="s">
        <v>32821</v>
      </c>
      <c r="G8061" s="4" t="s">
        <v>38229</v>
      </c>
    </row>
    <row r="8062" ht="14.25">
      <c r="B8062" s="14" t="s">
        <v>38223</v>
      </c>
      <c r="C8062" s="4" t="s">
        <v>38224</v>
      </c>
      <c r="D8062" s="4" t="s">
        <v>38230</v>
      </c>
      <c r="E8062" s="4" t="s">
        <v>38226</v>
      </c>
      <c r="F8062" s="4" t="s">
        <v>485</v>
      </c>
      <c r="G8062" s="4" t="s">
        <v>38231</v>
      </c>
    </row>
    <row r="8063" ht="14.25">
      <c r="B8063" s="14" t="s">
        <v>38223</v>
      </c>
      <c r="C8063" s="4" t="s">
        <v>38224</v>
      </c>
      <c r="D8063" s="4" t="s">
        <v>38232</v>
      </c>
      <c r="E8063" s="4" t="s">
        <v>38226</v>
      </c>
      <c r="F8063" s="4" t="s">
        <v>1499</v>
      </c>
      <c r="G8063" s="4" t="s">
        <v>35898</v>
      </c>
    </row>
    <row r="8064" ht="14.25">
      <c r="B8064" s="14" t="s">
        <v>38233</v>
      </c>
      <c r="C8064" s="4" t="s">
        <v>38234</v>
      </c>
      <c r="D8064" s="4" t="s">
        <v>38235</v>
      </c>
      <c r="E8064" s="4" t="s">
        <v>38236</v>
      </c>
      <c r="F8064" s="4" t="s">
        <v>3744</v>
      </c>
      <c r="G8064" s="4" t="s">
        <v>38237</v>
      </c>
    </row>
    <row r="8065" ht="14.25">
      <c r="B8065" s="14" t="s">
        <v>38238</v>
      </c>
      <c r="C8065" s="4" t="s">
        <v>38239</v>
      </c>
      <c r="D8065" s="4" t="s">
        <v>38240</v>
      </c>
      <c r="E8065" s="4" t="s">
        <v>38241</v>
      </c>
      <c r="F8065" s="4" t="s">
        <v>808</v>
      </c>
      <c r="G8065" s="4" t="s">
        <v>38242</v>
      </c>
    </row>
    <row r="8066" ht="14.25">
      <c r="B8066" s="14" t="s">
        <v>38238</v>
      </c>
      <c r="C8066" s="4" t="s">
        <v>38243</v>
      </c>
      <c r="D8066" s="4" t="s">
        <v>38244</v>
      </c>
      <c r="E8066" s="6"/>
      <c r="F8066" s="4" t="s">
        <v>670</v>
      </c>
      <c r="G8066" s="4" t="s">
        <v>38245</v>
      </c>
    </row>
    <row r="8067" ht="14.25">
      <c r="B8067" s="14" t="s">
        <v>38246</v>
      </c>
      <c r="C8067" s="4" t="s">
        <v>38247</v>
      </c>
      <c r="D8067" s="4" t="s">
        <v>38248</v>
      </c>
      <c r="E8067" s="4" t="s">
        <v>38249</v>
      </c>
      <c r="F8067" s="4" t="s">
        <v>38250</v>
      </c>
      <c r="G8067" s="4" t="s">
        <v>38251</v>
      </c>
    </row>
    <row r="8068" ht="14.25">
      <c r="B8068" s="14" t="s">
        <v>38246</v>
      </c>
      <c r="C8068" s="4" t="s">
        <v>38247</v>
      </c>
      <c r="D8068" s="4" t="s">
        <v>38252</v>
      </c>
      <c r="E8068" s="4" t="s">
        <v>38249</v>
      </c>
      <c r="F8068" s="4" t="s">
        <v>4986</v>
      </c>
      <c r="G8068" s="4" t="s">
        <v>38253</v>
      </c>
    </row>
    <row r="8069" ht="14.25">
      <c r="B8069" s="14" t="s">
        <v>38246</v>
      </c>
      <c r="C8069" s="4" t="s">
        <v>38247</v>
      </c>
      <c r="D8069" s="4" t="s">
        <v>38254</v>
      </c>
      <c r="E8069" s="4" t="s">
        <v>38249</v>
      </c>
      <c r="F8069" s="4" t="s">
        <v>3850</v>
      </c>
      <c r="G8069" s="4" t="s">
        <v>35376</v>
      </c>
    </row>
    <row r="8070" ht="14.25">
      <c r="B8070" s="14" t="s">
        <v>38255</v>
      </c>
      <c r="C8070" s="4" t="s">
        <v>38256</v>
      </c>
      <c r="D8070" s="4" t="s">
        <v>38257</v>
      </c>
      <c r="E8070" s="4" t="s">
        <v>38258</v>
      </c>
      <c r="F8070" s="4" t="s">
        <v>206</v>
      </c>
      <c r="G8070" s="4" t="s">
        <v>38259</v>
      </c>
    </row>
    <row r="8071" ht="14.25">
      <c r="B8071" s="14" t="s">
        <v>38255</v>
      </c>
      <c r="C8071" s="4" t="s">
        <v>38260</v>
      </c>
      <c r="D8071" s="4" t="s">
        <v>38261</v>
      </c>
      <c r="E8071" s="4" t="s">
        <v>38262</v>
      </c>
      <c r="F8071" s="4" t="s">
        <v>38263</v>
      </c>
      <c r="G8071" s="4" t="s">
        <v>38264</v>
      </c>
    </row>
    <row r="8072" ht="14.25">
      <c r="B8072" s="14" t="s">
        <v>38255</v>
      </c>
      <c r="C8072" s="4" t="s">
        <v>38260</v>
      </c>
      <c r="D8072" s="4" t="s">
        <v>38265</v>
      </c>
      <c r="E8072" s="4" t="s">
        <v>38262</v>
      </c>
      <c r="F8072" s="4" t="s">
        <v>6356</v>
      </c>
      <c r="G8072" s="4" t="s">
        <v>38266</v>
      </c>
    </row>
    <row r="8073" ht="14.25">
      <c r="B8073" s="14" t="s">
        <v>38255</v>
      </c>
      <c r="C8073" s="4" t="s">
        <v>38267</v>
      </c>
      <c r="D8073" s="4" t="s">
        <v>38268</v>
      </c>
      <c r="E8073" s="4" t="s">
        <v>38269</v>
      </c>
      <c r="F8073" s="4" t="s">
        <v>1583</v>
      </c>
      <c r="G8073" s="4" t="s">
        <v>33695</v>
      </c>
    </row>
    <row r="8074" ht="14.25">
      <c r="B8074" s="14" t="s">
        <v>38255</v>
      </c>
      <c r="C8074" s="4" t="s">
        <v>38260</v>
      </c>
      <c r="D8074" s="4" t="s">
        <v>38270</v>
      </c>
      <c r="E8074" s="4" t="s">
        <v>38262</v>
      </c>
      <c r="F8074" s="4" t="s">
        <v>1215</v>
      </c>
      <c r="G8074" s="4" t="s">
        <v>38271</v>
      </c>
    </row>
    <row r="8075" ht="14.25">
      <c r="B8075" s="14" t="s">
        <v>38255</v>
      </c>
      <c r="C8075" s="4" t="s">
        <v>38256</v>
      </c>
      <c r="D8075" s="4" t="s">
        <v>38272</v>
      </c>
      <c r="E8075" s="4" t="s">
        <v>38258</v>
      </c>
      <c r="F8075" s="4" t="s">
        <v>355</v>
      </c>
      <c r="G8075" s="4" t="s">
        <v>38273</v>
      </c>
    </row>
    <row r="8076" ht="14.25">
      <c r="B8076" s="14" t="s">
        <v>38255</v>
      </c>
      <c r="C8076" s="4" t="s">
        <v>38260</v>
      </c>
      <c r="D8076" s="4" t="s">
        <v>38274</v>
      </c>
      <c r="E8076" s="4" t="s">
        <v>38262</v>
      </c>
      <c r="F8076" s="4" t="s">
        <v>2409</v>
      </c>
      <c r="G8076" s="4" t="s">
        <v>36827</v>
      </c>
    </row>
    <row r="8077" ht="14.25">
      <c r="B8077" s="14" t="s">
        <v>38275</v>
      </c>
      <c r="C8077" s="4" t="s">
        <v>38276</v>
      </c>
      <c r="D8077" s="4" t="s">
        <v>38277</v>
      </c>
      <c r="E8077" s="4" t="s">
        <v>38278</v>
      </c>
      <c r="F8077" s="4" t="s">
        <v>6356</v>
      </c>
      <c r="G8077" s="4" t="s">
        <v>38279</v>
      </c>
    </row>
    <row r="8078" ht="14.25">
      <c r="B8078" s="14" t="s">
        <v>38280</v>
      </c>
      <c r="C8078" s="4" t="s">
        <v>38281</v>
      </c>
      <c r="D8078" s="4" t="s">
        <v>38282</v>
      </c>
      <c r="E8078" s="4" t="s">
        <v>38283</v>
      </c>
      <c r="F8078" s="4" t="s">
        <v>34590</v>
      </c>
      <c r="G8078" s="4" t="s">
        <v>38284</v>
      </c>
    </row>
    <row r="8079" ht="14.25">
      <c r="B8079" s="14" t="s">
        <v>38280</v>
      </c>
      <c r="C8079" s="4" t="s">
        <v>38281</v>
      </c>
      <c r="D8079" s="4" t="s">
        <v>38285</v>
      </c>
      <c r="E8079" s="4" t="s">
        <v>38283</v>
      </c>
      <c r="F8079" s="4" t="s">
        <v>32622</v>
      </c>
      <c r="G8079" s="4" t="s">
        <v>38286</v>
      </c>
    </row>
    <row r="8080" ht="14.25">
      <c r="B8080" s="14" t="s">
        <v>38287</v>
      </c>
      <c r="C8080" s="4" t="s">
        <v>38288</v>
      </c>
      <c r="D8080" s="4" t="s">
        <v>38289</v>
      </c>
      <c r="E8080" s="4" t="s">
        <v>38290</v>
      </c>
      <c r="F8080" s="4" t="s">
        <v>604</v>
      </c>
      <c r="G8080" s="4" t="s">
        <v>38291</v>
      </c>
    </row>
    <row r="8081" ht="14.25">
      <c r="B8081" s="14" t="s">
        <v>38287</v>
      </c>
      <c r="C8081" s="4" t="s">
        <v>38288</v>
      </c>
      <c r="D8081" s="4" t="s">
        <v>38292</v>
      </c>
      <c r="E8081" s="4" t="s">
        <v>38290</v>
      </c>
      <c r="F8081" s="4" t="s">
        <v>1153</v>
      </c>
      <c r="G8081" s="4" t="s">
        <v>38293</v>
      </c>
    </row>
    <row r="8082" ht="14.25">
      <c r="B8082" s="14" t="s">
        <v>38287</v>
      </c>
      <c r="C8082" s="4" t="s">
        <v>38294</v>
      </c>
      <c r="D8082" s="4" t="s">
        <v>38295</v>
      </c>
      <c r="E8082" s="4" t="s">
        <v>38296</v>
      </c>
      <c r="F8082" s="4" t="s">
        <v>2299</v>
      </c>
      <c r="G8082" s="4" t="s">
        <v>38297</v>
      </c>
    </row>
    <row r="8083" ht="14.25">
      <c r="B8083" s="14" t="s">
        <v>38298</v>
      </c>
      <c r="C8083" s="4" t="s">
        <v>38299</v>
      </c>
      <c r="D8083" s="4" t="s">
        <v>38300</v>
      </c>
      <c r="E8083" s="4" t="s">
        <v>38301</v>
      </c>
      <c r="F8083" s="4" t="s">
        <v>13010</v>
      </c>
      <c r="G8083" s="4" t="s">
        <v>36552</v>
      </c>
    </row>
    <row r="8084" ht="14.25">
      <c r="B8084" s="14" t="s">
        <v>38302</v>
      </c>
      <c r="C8084" s="4" t="s">
        <v>38303</v>
      </c>
      <c r="D8084" s="4" t="s">
        <v>38304</v>
      </c>
      <c r="E8084" s="4" t="s">
        <v>38305</v>
      </c>
      <c r="F8084" s="4" t="s">
        <v>4969</v>
      </c>
      <c r="G8084" s="4" t="s">
        <v>38306</v>
      </c>
    </row>
    <row r="8085" ht="14.25">
      <c r="B8085" s="14" t="s">
        <v>38302</v>
      </c>
      <c r="C8085" s="4" t="s">
        <v>38307</v>
      </c>
      <c r="D8085" s="4" t="s">
        <v>38308</v>
      </c>
      <c r="E8085" s="4" t="s">
        <v>38309</v>
      </c>
      <c r="F8085" s="4" t="s">
        <v>32622</v>
      </c>
      <c r="G8085" s="4" t="s">
        <v>38310</v>
      </c>
    </row>
    <row r="8086" ht="14.25">
      <c r="B8086" s="14" t="s">
        <v>38311</v>
      </c>
      <c r="C8086" s="4" t="s">
        <v>38312</v>
      </c>
      <c r="D8086" s="4" t="s">
        <v>38313</v>
      </c>
      <c r="E8086" s="4" t="s">
        <v>38314</v>
      </c>
      <c r="F8086" s="4" t="s">
        <v>76</v>
      </c>
      <c r="G8086" s="4" t="s">
        <v>38315</v>
      </c>
    </row>
    <row r="8087" ht="14.25">
      <c r="B8087" s="14" t="s">
        <v>38311</v>
      </c>
      <c r="C8087" s="4" t="s">
        <v>38316</v>
      </c>
      <c r="D8087" s="4" t="s">
        <v>38317</v>
      </c>
      <c r="E8087" s="4" t="s">
        <v>38318</v>
      </c>
      <c r="F8087" s="4" t="s">
        <v>6844</v>
      </c>
      <c r="G8087" s="4" t="s">
        <v>38319</v>
      </c>
    </row>
    <row r="8088" ht="14.25">
      <c r="B8088" s="14" t="s">
        <v>38320</v>
      </c>
      <c r="C8088" s="4" t="s">
        <v>38321</v>
      </c>
      <c r="D8088" s="4" t="s">
        <v>38322</v>
      </c>
      <c r="E8088" s="4" t="s">
        <v>38323</v>
      </c>
      <c r="F8088" s="4" t="s">
        <v>7451</v>
      </c>
      <c r="G8088" s="4" t="s">
        <v>38324</v>
      </c>
    </row>
    <row r="8089" ht="14.25">
      <c r="B8089" s="14" t="s">
        <v>38325</v>
      </c>
      <c r="C8089" s="4" t="s">
        <v>38326</v>
      </c>
      <c r="D8089" s="4" t="s">
        <v>38327</v>
      </c>
      <c r="E8089" s="4" t="s">
        <v>38328</v>
      </c>
      <c r="F8089" s="4" t="s">
        <v>6788</v>
      </c>
      <c r="G8089" s="4" t="s">
        <v>38329</v>
      </c>
    </row>
    <row r="8090" ht="14.25">
      <c r="B8090" s="14" t="s">
        <v>38325</v>
      </c>
      <c r="C8090" s="4" t="s">
        <v>38326</v>
      </c>
      <c r="D8090" s="4" t="s">
        <v>38330</v>
      </c>
      <c r="E8090" s="4" t="s">
        <v>38328</v>
      </c>
      <c r="F8090" s="4" t="s">
        <v>556</v>
      </c>
      <c r="G8090" s="4" t="s">
        <v>38331</v>
      </c>
    </row>
    <row r="8091" ht="14.25">
      <c r="B8091" s="14" t="s">
        <v>38332</v>
      </c>
      <c r="C8091" s="4" t="s">
        <v>38333</v>
      </c>
      <c r="D8091" s="4" t="s">
        <v>38334</v>
      </c>
      <c r="E8091" s="4" t="s">
        <v>38335</v>
      </c>
      <c r="F8091" s="4" t="s">
        <v>1499</v>
      </c>
      <c r="G8091" s="4" t="s">
        <v>38123</v>
      </c>
    </row>
    <row r="8092" ht="14.25">
      <c r="B8092" s="14" t="s">
        <v>38332</v>
      </c>
      <c r="C8092" s="4" t="s">
        <v>38333</v>
      </c>
      <c r="D8092" s="4" t="s">
        <v>38336</v>
      </c>
      <c r="E8092" s="4" t="s">
        <v>38335</v>
      </c>
      <c r="F8092" s="4" t="s">
        <v>485</v>
      </c>
      <c r="G8092" s="4" t="s">
        <v>38337</v>
      </c>
    </row>
    <row r="8093" ht="14.25">
      <c r="B8093" s="14" t="s">
        <v>38332</v>
      </c>
      <c r="C8093" s="4" t="s">
        <v>38333</v>
      </c>
      <c r="D8093" s="4" t="s">
        <v>38338</v>
      </c>
      <c r="E8093" s="4" t="s">
        <v>38335</v>
      </c>
      <c r="F8093" s="4" t="s">
        <v>36359</v>
      </c>
      <c r="G8093" s="4" t="s">
        <v>38339</v>
      </c>
    </row>
    <row r="8094" ht="14.25">
      <c r="B8094" s="14" t="s">
        <v>38340</v>
      </c>
      <c r="C8094" s="4" t="s">
        <v>38341</v>
      </c>
      <c r="D8094" s="4" t="s">
        <v>38342</v>
      </c>
      <c r="E8094" s="4" t="s">
        <v>38343</v>
      </c>
      <c r="F8094" s="4" t="s">
        <v>3516</v>
      </c>
      <c r="G8094" s="4" t="s">
        <v>38344</v>
      </c>
    </row>
    <row r="8095" ht="14.25">
      <c r="B8095" s="14" t="s">
        <v>38340</v>
      </c>
      <c r="C8095" s="4" t="s">
        <v>38341</v>
      </c>
      <c r="D8095" s="4" t="s">
        <v>38345</v>
      </c>
      <c r="E8095" s="4" t="s">
        <v>38343</v>
      </c>
      <c r="F8095" s="4" t="s">
        <v>2242</v>
      </c>
      <c r="G8095" s="4" t="s">
        <v>38346</v>
      </c>
    </row>
    <row r="8096" ht="14.25">
      <c r="B8096" s="14" t="s">
        <v>38347</v>
      </c>
      <c r="C8096" s="4" t="s">
        <v>38348</v>
      </c>
      <c r="D8096" s="4" t="s">
        <v>38349</v>
      </c>
      <c r="E8096" s="4" t="s">
        <v>38350</v>
      </c>
      <c r="F8096" s="4" t="s">
        <v>588</v>
      </c>
      <c r="G8096" s="4" t="s">
        <v>38351</v>
      </c>
    </row>
    <row r="8097" ht="14.25">
      <c r="B8097" s="14" t="s">
        <v>38347</v>
      </c>
      <c r="C8097" s="4" t="s">
        <v>38352</v>
      </c>
      <c r="D8097" s="4" t="s">
        <v>38353</v>
      </c>
      <c r="E8097" s="4" t="s">
        <v>38354</v>
      </c>
      <c r="F8097" s="4" t="s">
        <v>330</v>
      </c>
      <c r="G8097" s="4" t="s">
        <v>33691</v>
      </c>
    </row>
    <row r="8098" ht="14.25">
      <c r="B8098" s="14" t="s">
        <v>38347</v>
      </c>
      <c r="C8098" s="4" t="s">
        <v>38355</v>
      </c>
      <c r="D8098" s="4" t="s">
        <v>38356</v>
      </c>
      <c r="E8098" s="4" t="s">
        <v>38357</v>
      </c>
      <c r="F8098" s="4" t="s">
        <v>4969</v>
      </c>
      <c r="G8098" s="4" t="s">
        <v>38358</v>
      </c>
    </row>
    <row r="8099" ht="14.25">
      <c r="B8099" s="14" t="s">
        <v>38347</v>
      </c>
      <c r="C8099" s="4" t="s">
        <v>38348</v>
      </c>
      <c r="D8099" s="4" t="s">
        <v>38359</v>
      </c>
      <c r="E8099" s="4" t="s">
        <v>38350</v>
      </c>
      <c r="F8099" s="4" t="s">
        <v>1861</v>
      </c>
      <c r="G8099" s="4" t="s">
        <v>38360</v>
      </c>
    </row>
    <row r="8100" ht="14.25">
      <c r="B8100" s="14" t="s">
        <v>38347</v>
      </c>
      <c r="C8100" s="4" t="s">
        <v>38361</v>
      </c>
      <c r="D8100" s="4" t="s">
        <v>38362</v>
      </c>
      <c r="E8100" s="4" t="s">
        <v>38363</v>
      </c>
      <c r="F8100" s="4" t="s">
        <v>330</v>
      </c>
      <c r="G8100" s="4" t="s">
        <v>38364</v>
      </c>
    </row>
    <row r="8101" ht="14.25">
      <c r="B8101" s="14" t="s">
        <v>38347</v>
      </c>
      <c r="C8101" s="4" t="s">
        <v>38365</v>
      </c>
      <c r="D8101" s="4" t="s">
        <v>38366</v>
      </c>
      <c r="E8101" s="6"/>
      <c r="F8101" s="4" t="s">
        <v>1442</v>
      </c>
      <c r="G8101" s="4" t="s">
        <v>38367</v>
      </c>
    </row>
    <row r="8102" ht="14.25">
      <c r="B8102" s="14" t="s">
        <v>38347</v>
      </c>
      <c r="C8102" s="4" t="s">
        <v>38368</v>
      </c>
      <c r="D8102" s="4" t="s">
        <v>38369</v>
      </c>
      <c r="E8102" s="4" t="s">
        <v>38370</v>
      </c>
      <c r="F8102" s="4" t="s">
        <v>2419</v>
      </c>
      <c r="G8102" s="4" t="s">
        <v>38371</v>
      </c>
    </row>
    <row r="8103" ht="14.25">
      <c r="B8103" s="14" t="s">
        <v>38347</v>
      </c>
      <c r="C8103" s="4" t="s">
        <v>38348</v>
      </c>
      <c r="D8103" s="4" t="s">
        <v>38372</v>
      </c>
      <c r="E8103" s="4" t="s">
        <v>38350</v>
      </c>
      <c r="F8103" s="4" t="s">
        <v>20</v>
      </c>
      <c r="G8103" s="4" t="s">
        <v>38373</v>
      </c>
    </row>
    <row r="8104" ht="14.25">
      <c r="B8104" s="14" t="s">
        <v>38347</v>
      </c>
      <c r="C8104" s="4" t="s">
        <v>38348</v>
      </c>
      <c r="D8104" s="4" t="s">
        <v>38374</v>
      </c>
      <c r="E8104" s="4" t="s">
        <v>38350</v>
      </c>
      <c r="F8104" s="4" t="s">
        <v>653</v>
      </c>
      <c r="G8104" s="4" t="s">
        <v>38375</v>
      </c>
    </row>
    <row r="8105" ht="14.25">
      <c r="B8105" s="14" t="s">
        <v>38347</v>
      </c>
      <c r="C8105" s="4" t="s">
        <v>38348</v>
      </c>
      <c r="D8105" s="4" t="s">
        <v>38376</v>
      </c>
      <c r="E8105" s="4" t="s">
        <v>38350</v>
      </c>
      <c r="F8105" s="4" t="s">
        <v>1596</v>
      </c>
      <c r="G8105" s="4" t="s">
        <v>37761</v>
      </c>
    </row>
    <row r="8106" ht="14.25">
      <c r="B8106" s="14" t="s">
        <v>38347</v>
      </c>
      <c r="C8106" s="4" t="s">
        <v>38377</v>
      </c>
      <c r="D8106" s="4" t="s">
        <v>38378</v>
      </c>
      <c r="E8106" s="4" t="s">
        <v>38379</v>
      </c>
      <c r="F8106" s="4" t="s">
        <v>76</v>
      </c>
      <c r="G8106" s="4" t="s">
        <v>38380</v>
      </c>
    </row>
    <row r="8107" ht="14.25">
      <c r="B8107" s="14" t="s">
        <v>38347</v>
      </c>
      <c r="C8107" s="4" t="s">
        <v>38381</v>
      </c>
      <c r="D8107" s="4" t="s">
        <v>38382</v>
      </c>
      <c r="E8107" s="6"/>
      <c r="F8107" s="4" t="s">
        <v>23753</v>
      </c>
      <c r="G8107" s="4" t="s">
        <v>38383</v>
      </c>
    </row>
    <row r="8108" ht="14.25">
      <c r="B8108" s="14" t="s">
        <v>38347</v>
      </c>
      <c r="C8108" s="4" t="s">
        <v>38368</v>
      </c>
      <c r="D8108" s="4" t="s">
        <v>38384</v>
      </c>
      <c r="E8108" s="4" t="s">
        <v>38370</v>
      </c>
      <c r="F8108" s="4" t="s">
        <v>4026</v>
      </c>
      <c r="G8108" s="4" t="s">
        <v>38385</v>
      </c>
    </row>
    <row r="8109" ht="14.25">
      <c r="B8109" s="14" t="s">
        <v>38347</v>
      </c>
      <c r="C8109" s="4" t="s">
        <v>38361</v>
      </c>
      <c r="D8109" s="4" t="s">
        <v>38386</v>
      </c>
      <c r="E8109" s="4" t="s">
        <v>38363</v>
      </c>
      <c r="F8109" s="4" t="s">
        <v>1732</v>
      </c>
      <c r="G8109" s="4" t="s">
        <v>38387</v>
      </c>
    </row>
    <row r="8110" ht="14.25">
      <c r="B8110" s="14" t="s">
        <v>38347</v>
      </c>
      <c r="C8110" s="4" t="s">
        <v>38355</v>
      </c>
      <c r="D8110" s="4" t="s">
        <v>38357</v>
      </c>
      <c r="E8110" s="6"/>
      <c r="F8110" s="4" t="s">
        <v>7451</v>
      </c>
      <c r="G8110" s="4" t="s">
        <v>38388</v>
      </c>
    </row>
    <row r="8111" ht="14.25">
      <c r="B8111" s="14" t="s">
        <v>38389</v>
      </c>
      <c r="C8111" s="4" t="s">
        <v>38390</v>
      </c>
      <c r="D8111" s="4" t="s">
        <v>38391</v>
      </c>
      <c r="E8111" s="4" t="s">
        <v>38392</v>
      </c>
      <c r="F8111" s="4" t="s">
        <v>32831</v>
      </c>
      <c r="G8111" s="4" t="s">
        <v>38393</v>
      </c>
    </row>
    <row r="8112" ht="14.25">
      <c r="B8112" s="14" t="s">
        <v>38389</v>
      </c>
      <c r="C8112" s="4" t="s">
        <v>38394</v>
      </c>
      <c r="D8112" s="4" t="s">
        <v>38395</v>
      </c>
      <c r="E8112" s="4" t="s">
        <v>38396</v>
      </c>
      <c r="F8112" s="4" t="s">
        <v>1732</v>
      </c>
      <c r="G8112" s="4" t="s">
        <v>38397</v>
      </c>
    </row>
    <row r="8113" ht="14.25">
      <c r="B8113" s="14" t="s">
        <v>38398</v>
      </c>
      <c r="C8113" s="4" t="s">
        <v>38399</v>
      </c>
      <c r="D8113" s="4" t="s">
        <v>38400</v>
      </c>
      <c r="E8113" s="4" t="s">
        <v>38401</v>
      </c>
      <c r="F8113" s="4" t="s">
        <v>630</v>
      </c>
      <c r="G8113" s="4" t="s">
        <v>38402</v>
      </c>
    </row>
    <row r="8114" ht="14.25">
      <c r="B8114" s="14" t="s">
        <v>38398</v>
      </c>
      <c r="C8114" s="4" t="s">
        <v>38399</v>
      </c>
      <c r="D8114" s="4" t="s">
        <v>38403</v>
      </c>
      <c r="E8114" s="4" t="s">
        <v>38401</v>
      </c>
      <c r="F8114" s="4" t="s">
        <v>14276</v>
      </c>
      <c r="G8114" s="4" t="s">
        <v>38404</v>
      </c>
    </row>
    <row r="8115" ht="14.25">
      <c r="B8115" s="14" t="s">
        <v>38398</v>
      </c>
      <c r="C8115" s="4" t="s">
        <v>38399</v>
      </c>
      <c r="D8115" s="4" t="s">
        <v>38405</v>
      </c>
      <c r="E8115" s="4" t="s">
        <v>38401</v>
      </c>
      <c r="F8115" s="4" t="s">
        <v>4800</v>
      </c>
      <c r="G8115" s="4" t="s">
        <v>38406</v>
      </c>
    </row>
    <row r="8116" ht="14.25">
      <c r="B8116" s="14" t="s">
        <v>38398</v>
      </c>
      <c r="C8116" s="4" t="s">
        <v>38399</v>
      </c>
      <c r="D8116" s="4" t="s">
        <v>38407</v>
      </c>
      <c r="E8116" s="4" t="s">
        <v>38401</v>
      </c>
      <c r="F8116" s="4" t="s">
        <v>6356</v>
      </c>
      <c r="G8116" s="4" t="s">
        <v>38408</v>
      </c>
    </row>
    <row r="8117" ht="14.25">
      <c r="B8117" s="14" t="s">
        <v>38409</v>
      </c>
      <c r="C8117" s="4" t="s">
        <v>38410</v>
      </c>
      <c r="D8117" s="4" t="s">
        <v>38411</v>
      </c>
      <c r="E8117" s="4" t="s">
        <v>38412</v>
      </c>
      <c r="F8117" s="4" t="s">
        <v>38413</v>
      </c>
      <c r="G8117" s="4" t="s">
        <v>38414</v>
      </c>
    </row>
    <row r="8118" ht="14.25">
      <c r="B8118" s="14" t="s">
        <v>38415</v>
      </c>
      <c r="C8118" s="4" t="s">
        <v>38416</v>
      </c>
      <c r="D8118" s="4" t="s">
        <v>38417</v>
      </c>
      <c r="E8118" s="4" t="s">
        <v>38418</v>
      </c>
      <c r="F8118" s="4" t="s">
        <v>5103</v>
      </c>
      <c r="G8118" s="4" t="s">
        <v>38419</v>
      </c>
    </row>
    <row r="8119" ht="14.25">
      <c r="B8119" s="14" t="s">
        <v>38415</v>
      </c>
      <c r="C8119" s="4" t="s">
        <v>38416</v>
      </c>
      <c r="D8119" s="4" t="s">
        <v>38420</v>
      </c>
      <c r="E8119" s="4" t="s">
        <v>38418</v>
      </c>
      <c r="F8119" s="4" t="s">
        <v>5679</v>
      </c>
      <c r="G8119" s="4" t="s">
        <v>36651</v>
      </c>
    </row>
    <row r="8120" ht="14.25">
      <c r="B8120" s="14" t="s">
        <v>38415</v>
      </c>
      <c r="C8120" s="4" t="s">
        <v>38421</v>
      </c>
      <c r="D8120" s="4" t="s">
        <v>38422</v>
      </c>
      <c r="E8120" s="4" t="s">
        <v>38423</v>
      </c>
      <c r="F8120" s="4" t="s">
        <v>355</v>
      </c>
      <c r="G8120" s="4" t="s">
        <v>38424</v>
      </c>
    </row>
    <row r="8121" ht="14.25">
      <c r="B8121" s="14" t="s">
        <v>38415</v>
      </c>
      <c r="C8121" s="4" t="s">
        <v>38416</v>
      </c>
      <c r="D8121" s="4" t="s">
        <v>38425</v>
      </c>
      <c r="E8121" s="4" t="s">
        <v>38418</v>
      </c>
      <c r="F8121" s="4" t="s">
        <v>95</v>
      </c>
      <c r="G8121" s="4" t="s">
        <v>38426</v>
      </c>
    </row>
    <row r="8122" ht="14.25">
      <c r="B8122" s="14" t="s">
        <v>38415</v>
      </c>
      <c r="C8122" s="4" t="s">
        <v>38416</v>
      </c>
      <c r="D8122" s="4" t="s">
        <v>38427</v>
      </c>
      <c r="E8122" s="4" t="s">
        <v>38418</v>
      </c>
      <c r="F8122" s="4" t="s">
        <v>768</v>
      </c>
      <c r="G8122" s="4" t="s">
        <v>38428</v>
      </c>
    </row>
    <row r="8123" ht="14.25">
      <c r="B8123" s="14" t="s">
        <v>38415</v>
      </c>
      <c r="C8123" s="4" t="s">
        <v>38416</v>
      </c>
      <c r="D8123" s="4" t="s">
        <v>38429</v>
      </c>
      <c r="E8123" s="4" t="s">
        <v>38418</v>
      </c>
      <c r="F8123" s="4" t="s">
        <v>38430</v>
      </c>
      <c r="G8123" s="4" t="s">
        <v>38431</v>
      </c>
    </row>
    <row r="8124" ht="14.25">
      <c r="B8124" s="14" t="s">
        <v>38415</v>
      </c>
      <c r="C8124" s="4" t="s">
        <v>38421</v>
      </c>
      <c r="D8124" s="4" t="s">
        <v>38432</v>
      </c>
      <c r="E8124" s="4" t="s">
        <v>38423</v>
      </c>
      <c r="F8124" s="4" t="s">
        <v>32616</v>
      </c>
      <c r="G8124" s="4" t="s">
        <v>38433</v>
      </c>
    </row>
    <row r="8125" ht="14.25">
      <c r="B8125" s="14" t="s">
        <v>38415</v>
      </c>
      <c r="C8125" s="4" t="s">
        <v>38416</v>
      </c>
      <c r="D8125" s="4" t="s">
        <v>38434</v>
      </c>
      <c r="E8125" s="4" t="s">
        <v>38418</v>
      </c>
      <c r="F8125" s="4" t="s">
        <v>7525</v>
      </c>
      <c r="G8125" s="4" t="s">
        <v>38435</v>
      </c>
    </row>
    <row r="8126" ht="14.25">
      <c r="B8126" s="14" t="s">
        <v>38415</v>
      </c>
      <c r="C8126" s="4" t="s">
        <v>38421</v>
      </c>
      <c r="D8126" s="4" t="s">
        <v>38436</v>
      </c>
      <c r="E8126" s="4" t="s">
        <v>38423</v>
      </c>
      <c r="F8126" s="4" t="s">
        <v>6356</v>
      </c>
      <c r="G8126" s="4" t="s">
        <v>38437</v>
      </c>
    </row>
    <row r="8127" ht="14.25">
      <c r="B8127" s="14" t="s">
        <v>38438</v>
      </c>
      <c r="C8127" s="4" t="s">
        <v>38439</v>
      </c>
      <c r="D8127" s="4" t="s">
        <v>38440</v>
      </c>
      <c r="E8127" s="6"/>
      <c r="F8127" s="4" t="s">
        <v>355</v>
      </c>
      <c r="G8127" s="4" t="s">
        <v>38441</v>
      </c>
    </row>
    <row r="8128" ht="14.25">
      <c r="B8128" s="14" t="s">
        <v>38442</v>
      </c>
      <c r="C8128" s="4" t="s">
        <v>38443</v>
      </c>
      <c r="D8128" s="4" t="s">
        <v>38444</v>
      </c>
      <c r="E8128" s="4" t="s">
        <v>38445</v>
      </c>
      <c r="F8128" s="4" t="s">
        <v>32548</v>
      </c>
      <c r="G8128" s="4" t="s">
        <v>38446</v>
      </c>
    </row>
    <row r="8129" ht="14.25">
      <c r="B8129" s="14" t="s">
        <v>38442</v>
      </c>
      <c r="C8129" s="4" t="s">
        <v>38443</v>
      </c>
      <c r="D8129" s="4" t="s">
        <v>38445</v>
      </c>
      <c r="E8129" s="6"/>
      <c r="F8129" s="4" t="s">
        <v>38447</v>
      </c>
      <c r="G8129" s="4" t="s">
        <v>32551</v>
      </c>
    </row>
    <row r="8130" ht="14.25">
      <c r="B8130" s="14" t="s">
        <v>38442</v>
      </c>
      <c r="C8130" s="4" t="s">
        <v>38443</v>
      </c>
      <c r="D8130" s="4" t="s">
        <v>38448</v>
      </c>
      <c r="E8130" s="4" t="s">
        <v>38445</v>
      </c>
      <c r="F8130" s="4" t="s">
        <v>3516</v>
      </c>
      <c r="G8130" s="4" t="s">
        <v>32551</v>
      </c>
    </row>
    <row r="8131" ht="14.25">
      <c r="B8131" s="14" t="s">
        <v>38449</v>
      </c>
      <c r="C8131" s="4" t="s">
        <v>38450</v>
      </c>
      <c r="D8131" s="4" t="s">
        <v>38451</v>
      </c>
      <c r="E8131" s="4" t="s">
        <v>38452</v>
      </c>
      <c r="F8131" s="4" t="s">
        <v>32579</v>
      </c>
      <c r="G8131" s="4" t="s">
        <v>38453</v>
      </c>
    </row>
    <row r="8132" ht="14.25">
      <c r="B8132" s="14" t="s">
        <v>38454</v>
      </c>
      <c r="C8132" s="4" t="s">
        <v>38455</v>
      </c>
      <c r="D8132" s="4" t="s">
        <v>38456</v>
      </c>
      <c r="E8132" s="4" t="s">
        <v>38457</v>
      </c>
      <c r="F8132" s="4" t="s">
        <v>38458</v>
      </c>
      <c r="G8132" s="4" t="s">
        <v>38459</v>
      </c>
    </row>
    <row r="8133" ht="14.25">
      <c r="B8133" s="14" t="s">
        <v>38454</v>
      </c>
      <c r="C8133" s="4" t="s">
        <v>38455</v>
      </c>
      <c r="D8133" s="4" t="s">
        <v>38460</v>
      </c>
      <c r="E8133" s="4" t="s">
        <v>38457</v>
      </c>
      <c r="F8133" s="4" t="s">
        <v>32616</v>
      </c>
      <c r="G8133" s="4" t="s">
        <v>38461</v>
      </c>
    </row>
    <row r="8134" ht="14.25">
      <c r="B8134" s="14" t="s">
        <v>38454</v>
      </c>
      <c r="C8134" s="4" t="s">
        <v>38455</v>
      </c>
      <c r="D8134" s="4" t="s">
        <v>38462</v>
      </c>
      <c r="E8134" s="4" t="s">
        <v>38457</v>
      </c>
      <c r="F8134" s="4" t="s">
        <v>1499</v>
      </c>
      <c r="G8134" s="4" t="s">
        <v>38463</v>
      </c>
    </row>
    <row r="8135" ht="14.25">
      <c r="B8135" s="14" t="s">
        <v>38454</v>
      </c>
      <c r="C8135" s="4" t="s">
        <v>38455</v>
      </c>
      <c r="D8135" s="4" t="s">
        <v>38464</v>
      </c>
      <c r="E8135" s="4" t="s">
        <v>38457</v>
      </c>
      <c r="F8135" s="4" t="s">
        <v>32622</v>
      </c>
      <c r="G8135" s="4" t="s">
        <v>38465</v>
      </c>
    </row>
    <row r="8136" ht="14.25">
      <c r="B8136" s="14" t="s">
        <v>38454</v>
      </c>
      <c r="C8136" s="4" t="s">
        <v>38466</v>
      </c>
      <c r="D8136" s="4" t="s">
        <v>38467</v>
      </c>
      <c r="E8136" s="4" t="s">
        <v>38468</v>
      </c>
      <c r="F8136" s="4" t="s">
        <v>1704</v>
      </c>
      <c r="G8136" s="4" t="s">
        <v>38469</v>
      </c>
    </row>
    <row r="8137" ht="14.25">
      <c r="B8137" s="14" t="s">
        <v>38454</v>
      </c>
      <c r="C8137" s="4" t="s">
        <v>38466</v>
      </c>
      <c r="D8137" s="4" t="s">
        <v>38470</v>
      </c>
      <c r="E8137" s="4" t="s">
        <v>38468</v>
      </c>
      <c r="F8137" s="4" t="s">
        <v>768</v>
      </c>
      <c r="G8137" s="4" t="s">
        <v>37236</v>
      </c>
    </row>
    <row r="8138" ht="14.25">
      <c r="B8138" s="14" t="s">
        <v>38454</v>
      </c>
      <c r="C8138" s="4" t="s">
        <v>38455</v>
      </c>
      <c r="D8138" s="4" t="s">
        <v>38471</v>
      </c>
      <c r="E8138" s="4" t="s">
        <v>38457</v>
      </c>
      <c r="F8138" s="4" t="s">
        <v>178</v>
      </c>
      <c r="G8138" s="4" t="s">
        <v>38463</v>
      </c>
    </row>
    <row r="8139" ht="14.25">
      <c r="B8139" s="14" t="s">
        <v>38472</v>
      </c>
      <c r="C8139" s="4" t="s">
        <v>38473</v>
      </c>
      <c r="D8139" s="4" t="s">
        <v>38474</v>
      </c>
      <c r="E8139" s="4" t="s">
        <v>38475</v>
      </c>
      <c r="F8139" s="4" t="s">
        <v>34602</v>
      </c>
      <c r="G8139" s="4" t="s">
        <v>38476</v>
      </c>
    </row>
    <row r="8140" ht="14.25">
      <c r="B8140" s="14" t="s">
        <v>38472</v>
      </c>
      <c r="C8140" s="4" t="s">
        <v>38473</v>
      </c>
      <c r="D8140" s="4" t="s">
        <v>38477</v>
      </c>
      <c r="E8140" s="4" t="s">
        <v>38475</v>
      </c>
      <c r="F8140" s="4" t="s">
        <v>110</v>
      </c>
      <c r="G8140" s="4" t="s">
        <v>38478</v>
      </c>
    </row>
    <row r="8141" ht="14.25">
      <c r="B8141" s="14" t="s">
        <v>38472</v>
      </c>
      <c r="C8141" s="4" t="s">
        <v>38473</v>
      </c>
      <c r="D8141" s="4" t="s">
        <v>38479</v>
      </c>
      <c r="E8141" s="4" t="s">
        <v>38475</v>
      </c>
      <c r="F8141" s="4" t="s">
        <v>76</v>
      </c>
      <c r="G8141" s="4" t="s">
        <v>38480</v>
      </c>
    </row>
    <row r="8142" ht="14.25">
      <c r="B8142" s="14" t="s">
        <v>38472</v>
      </c>
      <c r="C8142" s="4" t="s">
        <v>38473</v>
      </c>
      <c r="D8142" s="4" t="s">
        <v>38481</v>
      </c>
      <c r="E8142" s="4" t="s">
        <v>38475</v>
      </c>
      <c r="F8142" s="4" t="s">
        <v>785</v>
      </c>
      <c r="G8142" s="4" t="s">
        <v>37761</v>
      </c>
    </row>
    <row r="8143" ht="14.25">
      <c r="B8143" s="14" t="s">
        <v>38482</v>
      </c>
      <c r="C8143" s="4" t="s">
        <v>38483</v>
      </c>
      <c r="D8143" s="4" t="s">
        <v>38484</v>
      </c>
      <c r="E8143" s="4" t="s">
        <v>38485</v>
      </c>
      <c r="F8143" s="4" t="s">
        <v>2508</v>
      </c>
      <c r="G8143" s="4" t="s">
        <v>38486</v>
      </c>
    </row>
    <row r="8144" ht="14.25">
      <c r="B8144" s="14" t="s">
        <v>38487</v>
      </c>
      <c r="C8144" s="4" t="s">
        <v>38488</v>
      </c>
      <c r="D8144" s="4" t="s">
        <v>38489</v>
      </c>
      <c r="E8144" s="4" t="s">
        <v>38490</v>
      </c>
      <c r="F8144" s="4" t="s">
        <v>33135</v>
      </c>
      <c r="G8144" s="4" t="s">
        <v>38491</v>
      </c>
    </row>
    <row r="8145" ht="14.25">
      <c r="B8145" s="14" t="s">
        <v>38492</v>
      </c>
      <c r="C8145" s="4" t="s">
        <v>38493</v>
      </c>
      <c r="D8145" s="4" t="s">
        <v>38494</v>
      </c>
      <c r="E8145" s="4" t="s">
        <v>38495</v>
      </c>
      <c r="F8145" s="4" t="s">
        <v>3165</v>
      </c>
      <c r="G8145" s="4" t="s">
        <v>38496</v>
      </c>
    </row>
    <row r="8146" ht="14.25">
      <c r="B8146" s="14" t="s">
        <v>38492</v>
      </c>
      <c r="C8146" s="4" t="s">
        <v>38497</v>
      </c>
      <c r="D8146" s="4" t="s">
        <v>38498</v>
      </c>
      <c r="E8146" s="6"/>
      <c r="F8146" s="4" t="s">
        <v>38499</v>
      </c>
      <c r="G8146" s="4" t="s">
        <v>38500</v>
      </c>
    </row>
    <row r="8147" ht="14.25">
      <c r="B8147" s="14" t="s">
        <v>38501</v>
      </c>
      <c r="C8147" s="4" t="s">
        <v>38502</v>
      </c>
      <c r="D8147" s="4" t="s">
        <v>38503</v>
      </c>
      <c r="E8147" s="4" t="s">
        <v>38504</v>
      </c>
      <c r="F8147" s="4" t="s">
        <v>1562</v>
      </c>
      <c r="G8147" s="4" t="s">
        <v>38505</v>
      </c>
    </row>
    <row r="8148" ht="14.25">
      <c r="B8148" s="14" t="s">
        <v>38506</v>
      </c>
      <c r="C8148" s="4" t="s">
        <v>38507</v>
      </c>
      <c r="D8148" s="4" t="s">
        <v>38508</v>
      </c>
      <c r="E8148" s="4" t="s">
        <v>38509</v>
      </c>
      <c r="F8148" s="4" t="s">
        <v>21744</v>
      </c>
      <c r="G8148" s="4" t="s">
        <v>35293</v>
      </c>
    </row>
    <row r="8149" ht="14.25">
      <c r="B8149" s="14" t="s">
        <v>38506</v>
      </c>
      <c r="C8149" s="4" t="s">
        <v>38510</v>
      </c>
      <c r="D8149" s="4" t="s">
        <v>38511</v>
      </c>
      <c r="E8149" s="4" t="s">
        <v>38512</v>
      </c>
      <c r="F8149" s="4" t="s">
        <v>38513</v>
      </c>
      <c r="G8149" s="4" t="s">
        <v>36872</v>
      </c>
    </row>
    <row r="8150" ht="14.25">
      <c r="B8150" s="14" t="s">
        <v>38514</v>
      </c>
      <c r="C8150" s="4" t="s">
        <v>38515</v>
      </c>
      <c r="D8150" s="4" t="s">
        <v>38516</v>
      </c>
      <c r="E8150" s="4" t="s">
        <v>38517</v>
      </c>
      <c r="F8150" s="4" t="s">
        <v>2299</v>
      </c>
      <c r="G8150" s="4" t="s">
        <v>38518</v>
      </c>
    </row>
    <row r="8151" ht="14.25">
      <c r="B8151" s="14" t="s">
        <v>38514</v>
      </c>
      <c r="C8151" s="4" t="s">
        <v>38515</v>
      </c>
      <c r="D8151" s="4" t="s">
        <v>38519</v>
      </c>
      <c r="E8151" s="4" t="s">
        <v>38517</v>
      </c>
      <c r="F8151" s="4" t="s">
        <v>1815</v>
      </c>
      <c r="G8151" s="4" t="s">
        <v>38520</v>
      </c>
    </row>
    <row r="8152" ht="14.25">
      <c r="B8152" s="14" t="s">
        <v>38521</v>
      </c>
      <c r="C8152" s="4" t="s">
        <v>38522</v>
      </c>
      <c r="D8152" s="4" t="s">
        <v>38523</v>
      </c>
      <c r="E8152" s="4" t="s">
        <v>38524</v>
      </c>
      <c r="F8152" s="4" t="s">
        <v>170</v>
      </c>
      <c r="G8152" s="4" t="s">
        <v>38525</v>
      </c>
    </row>
    <row r="8153" ht="14.25">
      <c r="B8153" s="14" t="s">
        <v>38526</v>
      </c>
      <c r="C8153" s="4" t="s">
        <v>38527</v>
      </c>
      <c r="D8153" s="4" t="s">
        <v>38528</v>
      </c>
      <c r="E8153" s="4" t="s">
        <v>38529</v>
      </c>
      <c r="F8153" s="4" t="s">
        <v>6243</v>
      </c>
      <c r="G8153" s="4" t="s">
        <v>38530</v>
      </c>
    </row>
    <row r="8154" ht="14.25">
      <c r="B8154" s="14" t="s">
        <v>38531</v>
      </c>
      <c r="C8154" s="4" t="s">
        <v>38532</v>
      </c>
      <c r="D8154" s="4" t="s">
        <v>38533</v>
      </c>
      <c r="E8154" s="4" t="s">
        <v>38534</v>
      </c>
      <c r="F8154" s="4" t="s">
        <v>222</v>
      </c>
      <c r="G8154" s="4" t="s">
        <v>32592</v>
      </c>
    </row>
    <row r="8155" ht="14.25">
      <c r="B8155" s="14" t="s">
        <v>38531</v>
      </c>
      <c r="C8155" s="4" t="s">
        <v>38535</v>
      </c>
      <c r="D8155" s="4" t="s">
        <v>38536</v>
      </c>
      <c r="E8155" s="6"/>
      <c r="F8155" s="4" t="s">
        <v>1396</v>
      </c>
      <c r="G8155" s="4" t="s">
        <v>38537</v>
      </c>
    </row>
    <row r="8156" ht="14.25">
      <c r="B8156" s="14" t="s">
        <v>38531</v>
      </c>
      <c r="C8156" s="4" t="s">
        <v>38538</v>
      </c>
      <c r="D8156" s="4" t="s">
        <v>38539</v>
      </c>
      <c r="E8156" s="4" t="s">
        <v>38540</v>
      </c>
      <c r="F8156" s="4" t="s">
        <v>330</v>
      </c>
      <c r="G8156" s="4" t="s">
        <v>38541</v>
      </c>
    </row>
    <row r="8157" ht="14.25">
      <c r="B8157" s="14" t="s">
        <v>38531</v>
      </c>
      <c r="C8157" s="4" t="s">
        <v>38532</v>
      </c>
      <c r="D8157" s="4" t="s">
        <v>38542</v>
      </c>
      <c r="E8157" s="4" t="s">
        <v>38534</v>
      </c>
      <c r="F8157" s="4" t="s">
        <v>32622</v>
      </c>
      <c r="G8157" s="4" t="s">
        <v>33947</v>
      </c>
    </row>
    <row r="8158" ht="14.25">
      <c r="B8158" s="14" t="s">
        <v>38543</v>
      </c>
      <c r="C8158" s="4" t="s">
        <v>38544</v>
      </c>
      <c r="D8158" s="4" t="s">
        <v>38545</v>
      </c>
      <c r="E8158" s="4" t="s">
        <v>38546</v>
      </c>
      <c r="F8158" s="4" t="s">
        <v>785</v>
      </c>
      <c r="G8158" s="4" t="s">
        <v>36049</v>
      </c>
    </row>
    <row r="8159" ht="14.25">
      <c r="B8159" s="14" t="s">
        <v>38543</v>
      </c>
      <c r="C8159" s="4" t="s">
        <v>38547</v>
      </c>
      <c r="D8159" s="4" t="s">
        <v>38548</v>
      </c>
      <c r="E8159" s="4" t="s">
        <v>38549</v>
      </c>
      <c r="F8159" s="4" t="s">
        <v>32666</v>
      </c>
      <c r="G8159" s="4" t="s">
        <v>38550</v>
      </c>
    </row>
    <row r="8160" ht="14.25">
      <c r="B8160" s="14" t="s">
        <v>38543</v>
      </c>
      <c r="C8160" s="4" t="s">
        <v>38544</v>
      </c>
      <c r="D8160" s="4" t="s">
        <v>38551</v>
      </c>
      <c r="E8160" s="4" t="s">
        <v>38546</v>
      </c>
      <c r="F8160" s="4" t="s">
        <v>33644</v>
      </c>
      <c r="G8160" s="4" t="s">
        <v>38552</v>
      </c>
    </row>
    <row r="8161" ht="14.25">
      <c r="B8161" s="14" t="s">
        <v>38553</v>
      </c>
      <c r="C8161" s="4" t="s">
        <v>38554</v>
      </c>
      <c r="D8161" s="4" t="s">
        <v>38555</v>
      </c>
      <c r="E8161" s="4" t="s">
        <v>38556</v>
      </c>
      <c r="F8161" s="4" t="s">
        <v>1596</v>
      </c>
      <c r="G8161" s="4" t="s">
        <v>38557</v>
      </c>
    </row>
    <row r="8162" ht="14.25">
      <c r="B8162" s="14" t="s">
        <v>38558</v>
      </c>
      <c r="C8162" s="4" t="s">
        <v>38559</v>
      </c>
      <c r="D8162" s="4" t="s">
        <v>38560</v>
      </c>
      <c r="E8162" s="4" t="s">
        <v>38561</v>
      </c>
      <c r="F8162" s="4" t="s">
        <v>32077</v>
      </c>
      <c r="G8162" s="4" t="s">
        <v>38562</v>
      </c>
    </row>
    <row r="8163" ht="14.25">
      <c r="B8163" s="14" t="s">
        <v>38558</v>
      </c>
      <c r="C8163" s="4" t="s">
        <v>38559</v>
      </c>
      <c r="D8163" s="4" t="s">
        <v>38563</v>
      </c>
      <c r="E8163" s="4" t="s">
        <v>38561</v>
      </c>
      <c r="F8163" s="4" t="s">
        <v>1027</v>
      </c>
      <c r="G8163" s="4" t="s">
        <v>38564</v>
      </c>
    </row>
    <row r="8164" ht="14.25">
      <c r="B8164" s="14" t="s">
        <v>38565</v>
      </c>
      <c r="C8164" s="4" t="s">
        <v>38566</v>
      </c>
      <c r="D8164" s="4" t="s">
        <v>38567</v>
      </c>
      <c r="E8164" s="4" t="s">
        <v>38568</v>
      </c>
      <c r="F8164" s="4" t="s">
        <v>215</v>
      </c>
      <c r="G8164" s="4" t="s">
        <v>34506</v>
      </c>
    </row>
    <row r="8165" ht="14.25">
      <c r="B8165" s="14" t="s">
        <v>38565</v>
      </c>
      <c r="C8165" s="4" t="s">
        <v>38566</v>
      </c>
      <c r="D8165" s="4" t="s">
        <v>38569</v>
      </c>
      <c r="E8165" s="4" t="s">
        <v>38568</v>
      </c>
      <c r="F8165" s="4" t="s">
        <v>33836</v>
      </c>
      <c r="G8165" s="4" t="s">
        <v>38570</v>
      </c>
    </row>
    <row r="8166" ht="14.25">
      <c r="B8166" s="14" t="s">
        <v>38565</v>
      </c>
      <c r="C8166" s="4" t="s">
        <v>38566</v>
      </c>
      <c r="D8166" s="4" t="s">
        <v>38571</v>
      </c>
      <c r="E8166" s="4" t="s">
        <v>38568</v>
      </c>
      <c r="F8166" s="4" t="s">
        <v>38572</v>
      </c>
      <c r="G8166" s="4" t="s">
        <v>38573</v>
      </c>
    </row>
    <row r="8167" ht="14.25">
      <c r="B8167" s="14" t="s">
        <v>38565</v>
      </c>
      <c r="C8167" s="4" t="s">
        <v>38566</v>
      </c>
      <c r="D8167" s="4" t="s">
        <v>38574</v>
      </c>
      <c r="E8167" s="4" t="s">
        <v>38568</v>
      </c>
      <c r="F8167" s="4" t="s">
        <v>743</v>
      </c>
      <c r="G8167" s="4" t="s">
        <v>38575</v>
      </c>
    </row>
    <row r="8168" ht="14.25">
      <c r="B8168" s="14" t="s">
        <v>38565</v>
      </c>
      <c r="C8168" s="4" t="s">
        <v>38566</v>
      </c>
      <c r="D8168" s="4" t="s">
        <v>38576</v>
      </c>
      <c r="E8168" s="4" t="s">
        <v>38568</v>
      </c>
      <c r="F8168" s="4" t="s">
        <v>32616</v>
      </c>
      <c r="G8168" s="4" t="s">
        <v>38577</v>
      </c>
    </row>
    <row r="8169" ht="14.25">
      <c r="B8169" s="14" t="s">
        <v>38565</v>
      </c>
      <c r="C8169" s="4" t="s">
        <v>38566</v>
      </c>
      <c r="D8169" s="4" t="s">
        <v>38578</v>
      </c>
      <c r="E8169" s="4" t="s">
        <v>38568</v>
      </c>
      <c r="F8169" s="4" t="s">
        <v>1562</v>
      </c>
      <c r="G8169" s="4" t="s">
        <v>38579</v>
      </c>
    </row>
    <row r="8170" ht="14.25">
      <c r="B8170" s="14" t="s">
        <v>38565</v>
      </c>
      <c r="C8170" s="4" t="s">
        <v>38566</v>
      </c>
      <c r="D8170" s="4" t="s">
        <v>38580</v>
      </c>
      <c r="E8170" s="4" t="s">
        <v>38568</v>
      </c>
      <c r="F8170" s="4" t="s">
        <v>15545</v>
      </c>
      <c r="G8170" s="4" t="s">
        <v>38581</v>
      </c>
    </row>
    <row r="8171" ht="14.25">
      <c r="B8171" s="14" t="s">
        <v>38565</v>
      </c>
      <c r="C8171" s="4" t="s">
        <v>38566</v>
      </c>
      <c r="D8171" s="4" t="s">
        <v>38568</v>
      </c>
      <c r="E8171" s="6"/>
      <c r="F8171" s="4" t="s">
        <v>874</v>
      </c>
      <c r="G8171" s="4" t="s">
        <v>38582</v>
      </c>
    </row>
    <row r="8172" ht="14.25">
      <c r="B8172" s="14" t="s">
        <v>38583</v>
      </c>
      <c r="C8172" s="4" t="s">
        <v>38584</v>
      </c>
      <c r="D8172" s="4" t="s">
        <v>38585</v>
      </c>
      <c r="E8172" s="4" t="s">
        <v>38586</v>
      </c>
      <c r="F8172" s="4" t="s">
        <v>5579</v>
      </c>
      <c r="G8172" s="4" t="s">
        <v>38587</v>
      </c>
    </row>
    <row r="8173" ht="14.25">
      <c r="B8173" s="14" t="s">
        <v>38583</v>
      </c>
      <c r="C8173" s="4" t="s">
        <v>38584</v>
      </c>
      <c r="D8173" s="4" t="s">
        <v>38588</v>
      </c>
      <c r="E8173" s="4" t="s">
        <v>38586</v>
      </c>
      <c r="F8173" s="4" t="s">
        <v>32891</v>
      </c>
      <c r="G8173" s="4" t="s">
        <v>38587</v>
      </c>
    </row>
    <row r="8174" ht="14.25">
      <c r="B8174" s="14" t="s">
        <v>38583</v>
      </c>
      <c r="C8174" s="4" t="s">
        <v>38584</v>
      </c>
      <c r="D8174" s="4" t="s">
        <v>38589</v>
      </c>
      <c r="E8174" s="4" t="s">
        <v>38586</v>
      </c>
      <c r="F8174" s="4" t="s">
        <v>330</v>
      </c>
      <c r="G8174" s="4" t="s">
        <v>33365</v>
      </c>
    </row>
    <row r="8175" ht="14.25">
      <c r="B8175" s="14" t="s">
        <v>38583</v>
      </c>
      <c r="C8175" s="4" t="s">
        <v>38584</v>
      </c>
      <c r="D8175" s="4" t="s">
        <v>38590</v>
      </c>
      <c r="E8175" s="4" t="s">
        <v>38586</v>
      </c>
      <c r="F8175" s="4" t="s">
        <v>355</v>
      </c>
      <c r="G8175" s="4" t="s">
        <v>38591</v>
      </c>
    </row>
    <row r="8176" ht="14.25">
      <c r="B8176" s="14" t="s">
        <v>38592</v>
      </c>
      <c r="C8176" s="4" t="s">
        <v>38593</v>
      </c>
      <c r="D8176" s="4" t="s">
        <v>38594</v>
      </c>
      <c r="E8176" s="4" t="s">
        <v>38595</v>
      </c>
      <c r="F8176" s="4" t="s">
        <v>485</v>
      </c>
      <c r="G8176" s="4" t="s">
        <v>38596</v>
      </c>
    </row>
    <row r="8177" ht="14.25">
      <c r="B8177" s="14" t="s">
        <v>38592</v>
      </c>
      <c r="C8177" s="4" t="s">
        <v>38593</v>
      </c>
      <c r="D8177" s="4" t="s">
        <v>38597</v>
      </c>
      <c r="E8177" s="4" t="s">
        <v>38595</v>
      </c>
      <c r="F8177" s="4" t="s">
        <v>37955</v>
      </c>
      <c r="G8177" s="4" t="s">
        <v>38596</v>
      </c>
    </row>
    <row r="8178" ht="14.25">
      <c r="B8178" s="14" t="s">
        <v>38592</v>
      </c>
      <c r="C8178" s="4" t="s">
        <v>38593</v>
      </c>
      <c r="D8178" s="4" t="s">
        <v>38598</v>
      </c>
      <c r="E8178" s="4" t="s">
        <v>38595</v>
      </c>
      <c r="F8178" s="4" t="s">
        <v>255</v>
      </c>
      <c r="G8178" s="4" t="s">
        <v>38599</v>
      </c>
    </row>
    <row r="8179" ht="14.25">
      <c r="B8179" s="14" t="s">
        <v>38600</v>
      </c>
      <c r="C8179" s="4" t="s">
        <v>38601</v>
      </c>
      <c r="D8179" s="4" t="s">
        <v>38602</v>
      </c>
      <c r="E8179" s="6"/>
      <c r="F8179" s="4" t="s">
        <v>2242</v>
      </c>
      <c r="G8179" s="4" t="s">
        <v>38603</v>
      </c>
    </row>
    <row r="8180" ht="14.25">
      <c r="B8180" s="14" t="s">
        <v>38604</v>
      </c>
      <c r="C8180" s="4" t="s">
        <v>38605</v>
      </c>
      <c r="D8180" s="4" t="s">
        <v>38606</v>
      </c>
      <c r="E8180" s="4" t="s">
        <v>38607</v>
      </c>
      <c r="F8180" s="4" t="s">
        <v>5103</v>
      </c>
      <c r="G8180" s="4" t="s">
        <v>38608</v>
      </c>
    </row>
    <row r="8181" ht="14.25">
      <c r="B8181" s="14" t="s">
        <v>38604</v>
      </c>
      <c r="C8181" s="4" t="s">
        <v>38605</v>
      </c>
      <c r="D8181" s="4" t="s">
        <v>38609</v>
      </c>
      <c r="E8181" s="4" t="s">
        <v>38607</v>
      </c>
      <c r="F8181" s="4" t="s">
        <v>2348</v>
      </c>
      <c r="G8181" s="4" t="s">
        <v>38610</v>
      </c>
    </row>
    <row r="8182" ht="14.25">
      <c r="B8182" s="14" t="s">
        <v>38604</v>
      </c>
      <c r="C8182" s="4" t="s">
        <v>38605</v>
      </c>
      <c r="D8182" s="4" t="s">
        <v>38611</v>
      </c>
      <c r="E8182" s="4" t="s">
        <v>38607</v>
      </c>
      <c r="F8182" s="4" t="s">
        <v>1592</v>
      </c>
      <c r="G8182" s="4" t="s">
        <v>34037</v>
      </c>
    </row>
    <row r="8183" ht="14.25">
      <c r="B8183" s="14" t="s">
        <v>38612</v>
      </c>
      <c r="C8183" s="4" t="s">
        <v>38613</v>
      </c>
      <c r="D8183" s="4" t="s">
        <v>38614</v>
      </c>
      <c r="E8183" s="6"/>
      <c r="F8183" s="4" t="s">
        <v>768</v>
      </c>
      <c r="G8183" s="4" t="s">
        <v>37625</v>
      </c>
    </row>
    <row r="8184" ht="14.25">
      <c r="B8184" s="14" t="s">
        <v>38615</v>
      </c>
      <c r="C8184" s="4" t="s">
        <v>38616</v>
      </c>
      <c r="D8184" s="4" t="s">
        <v>38617</v>
      </c>
      <c r="E8184" s="6"/>
      <c r="F8184" s="4" t="s">
        <v>21744</v>
      </c>
      <c r="G8184" s="4" t="s">
        <v>38618</v>
      </c>
    </row>
    <row r="8185" ht="14.25">
      <c r="B8185" s="14" t="s">
        <v>38619</v>
      </c>
      <c r="C8185" s="4" t="s">
        <v>38620</v>
      </c>
      <c r="D8185" s="4" t="s">
        <v>38621</v>
      </c>
      <c r="E8185" s="4" t="s">
        <v>38622</v>
      </c>
      <c r="F8185" s="4" t="s">
        <v>702</v>
      </c>
      <c r="G8185" s="4" t="s">
        <v>38623</v>
      </c>
    </row>
    <row r="8186" ht="14.25">
      <c r="B8186" s="14" t="s">
        <v>38624</v>
      </c>
      <c r="C8186" s="4" t="s">
        <v>38625</v>
      </c>
      <c r="D8186" s="4" t="s">
        <v>38626</v>
      </c>
      <c r="E8186" s="4" t="s">
        <v>38627</v>
      </c>
      <c r="F8186" s="4" t="s">
        <v>604</v>
      </c>
      <c r="G8186" s="4" t="s">
        <v>38628</v>
      </c>
    </row>
    <row r="8187" ht="14.25">
      <c r="B8187" s="14" t="s">
        <v>38629</v>
      </c>
      <c r="C8187" s="4" t="s">
        <v>38630</v>
      </c>
      <c r="D8187" s="4" t="s">
        <v>38631</v>
      </c>
      <c r="E8187" s="4" t="s">
        <v>38632</v>
      </c>
      <c r="F8187" s="4" t="s">
        <v>769</v>
      </c>
      <c r="G8187" s="4" t="s">
        <v>38633</v>
      </c>
    </row>
    <row r="8188" ht="14.25">
      <c r="B8188" s="14" t="s">
        <v>38634</v>
      </c>
      <c r="C8188" s="4" t="s">
        <v>38635</v>
      </c>
      <c r="D8188" s="4" t="s">
        <v>38636</v>
      </c>
      <c r="E8188" s="4" t="s">
        <v>38637</v>
      </c>
      <c r="F8188" s="4" t="s">
        <v>3540</v>
      </c>
      <c r="G8188" s="4" t="s">
        <v>38638</v>
      </c>
    </row>
    <row r="8189" ht="14.25">
      <c r="B8189" s="14" t="s">
        <v>38634</v>
      </c>
      <c r="C8189" s="4" t="s">
        <v>38639</v>
      </c>
      <c r="D8189" s="4" t="s">
        <v>38640</v>
      </c>
      <c r="E8189" s="4" t="s">
        <v>38641</v>
      </c>
      <c r="F8189" s="4" t="s">
        <v>785</v>
      </c>
      <c r="G8189" s="4" t="s">
        <v>38642</v>
      </c>
    </row>
    <row r="8190" ht="14.25">
      <c r="B8190" s="14" t="s">
        <v>38634</v>
      </c>
      <c r="C8190" s="4" t="s">
        <v>38635</v>
      </c>
      <c r="D8190" s="4" t="s">
        <v>38643</v>
      </c>
      <c r="E8190" s="4" t="s">
        <v>38637</v>
      </c>
      <c r="F8190" s="4" t="s">
        <v>95</v>
      </c>
      <c r="G8190" s="4" t="s">
        <v>38644</v>
      </c>
    </row>
    <row r="8191" ht="14.25">
      <c r="B8191" s="14" t="s">
        <v>38645</v>
      </c>
      <c r="C8191" s="4" t="s">
        <v>38646</v>
      </c>
      <c r="D8191" s="4" t="s">
        <v>38647</v>
      </c>
      <c r="E8191" s="6"/>
      <c r="F8191" s="4" t="s">
        <v>1592</v>
      </c>
      <c r="G8191" s="4" t="s">
        <v>35081</v>
      </c>
    </row>
    <row r="8192" ht="14.25">
      <c r="B8192" s="14" t="s">
        <v>38645</v>
      </c>
      <c r="C8192" s="4" t="s">
        <v>38648</v>
      </c>
      <c r="D8192" s="4" t="s">
        <v>38649</v>
      </c>
      <c r="E8192" s="6"/>
      <c r="F8192" s="4" t="s">
        <v>485</v>
      </c>
      <c r="G8192" s="4" t="s">
        <v>38650</v>
      </c>
    </row>
    <row r="8193" ht="14.25">
      <c r="B8193" s="14" t="s">
        <v>38645</v>
      </c>
      <c r="C8193" s="4" t="s">
        <v>38648</v>
      </c>
      <c r="D8193" s="4" t="s">
        <v>38651</v>
      </c>
      <c r="E8193" s="4" t="s">
        <v>38649</v>
      </c>
      <c r="F8193" s="4" t="s">
        <v>32706</v>
      </c>
      <c r="G8193" s="4" t="s">
        <v>34901</v>
      </c>
    </row>
    <row r="8194" ht="14.25">
      <c r="B8194" s="14" t="s">
        <v>38652</v>
      </c>
      <c r="C8194" s="4" t="s">
        <v>38653</v>
      </c>
      <c r="D8194" s="4" t="s">
        <v>38654</v>
      </c>
      <c r="E8194" s="4" t="s">
        <v>38655</v>
      </c>
      <c r="F8194" s="4" t="s">
        <v>8778</v>
      </c>
      <c r="G8194" s="4" t="s">
        <v>38656</v>
      </c>
    </row>
    <row r="8195" ht="14.25">
      <c r="B8195" s="14" t="s">
        <v>38657</v>
      </c>
      <c r="C8195" s="4" t="s">
        <v>38658</v>
      </c>
      <c r="D8195" s="4" t="s">
        <v>38659</v>
      </c>
      <c r="E8195" s="4" t="s">
        <v>38660</v>
      </c>
      <c r="F8195" s="4" t="s">
        <v>18475</v>
      </c>
      <c r="G8195" s="4" t="s">
        <v>32637</v>
      </c>
    </row>
    <row r="8196" ht="14.25">
      <c r="B8196" s="14" t="s">
        <v>38657</v>
      </c>
      <c r="C8196" s="4" t="s">
        <v>38658</v>
      </c>
      <c r="D8196" s="4" t="s">
        <v>38661</v>
      </c>
      <c r="E8196" s="4" t="s">
        <v>38660</v>
      </c>
      <c r="F8196" s="4" t="s">
        <v>33135</v>
      </c>
      <c r="G8196" s="4" t="s">
        <v>38662</v>
      </c>
    </row>
    <row r="8197" ht="14.25">
      <c r="B8197" s="14" t="s">
        <v>38657</v>
      </c>
      <c r="C8197" s="4" t="s">
        <v>38658</v>
      </c>
      <c r="D8197" s="4" t="s">
        <v>38663</v>
      </c>
      <c r="E8197" s="4" t="s">
        <v>38660</v>
      </c>
      <c r="F8197" s="4" t="s">
        <v>330</v>
      </c>
      <c r="G8197" s="4" t="s">
        <v>38664</v>
      </c>
    </row>
    <row r="8198" ht="14.25">
      <c r="B8198" s="14" t="s">
        <v>38657</v>
      </c>
      <c r="C8198" s="4" t="s">
        <v>38658</v>
      </c>
      <c r="D8198" s="4" t="s">
        <v>38665</v>
      </c>
      <c r="E8198" s="4" t="s">
        <v>38660</v>
      </c>
      <c r="F8198" s="4" t="s">
        <v>2652</v>
      </c>
      <c r="G8198" s="4" t="s">
        <v>38666</v>
      </c>
    </row>
    <row r="8199" ht="14.25">
      <c r="B8199" s="14" t="s">
        <v>38667</v>
      </c>
      <c r="C8199" s="4" t="s">
        <v>38668</v>
      </c>
      <c r="D8199" s="4" t="s">
        <v>38669</v>
      </c>
      <c r="E8199" s="4" t="s">
        <v>38670</v>
      </c>
      <c r="F8199" s="4" t="s">
        <v>5728</v>
      </c>
      <c r="G8199" s="4" t="s">
        <v>38671</v>
      </c>
    </row>
    <row r="8200" ht="14.25">
      <c r="B8200" s="14" t="s">
        <v>38667</v>
      </c>
      <c r="C8200" s="4" t="s">
        <v>38668</v>
      </c>
      <c r="D8200" s="4" t="s">
        <v>38672</v>
      </c>
      <c r="E8200" s="4" t="s">
        <v>38670</v>
      </c>
      <c r="F8200" s="4" t="s">
        <v>32622</v>
      </c>
      <c r="G8200" s="4" t="s">
        <v>37386</v>
      </c>
    </row>
    <row r="8201" ht="14.25">
      <c r="B8201" s="14" t="s">
        <v>38667</v>
      </c>
      <c r="C8201" s="4" t="s">
        <v>38673</v>
      </c>
      <c r="D8201" s="4" t="s">
        <v>38674</v>
      </c>
      <c r="E8201" s="6"/>
      <c r="F8201" s="4" t="s">
        <v>6744</v>
      </c>
      <c r="G8201" s="4" t="s">
        <v>38675</v>
      </c>
    </row>
    <row r="8202" ht="14.25">
      <c r="B8202" s="14" t="s">
        <v>38667</v>
      </c>
      <c r="C8202" s="4" t="s">
        <v>38668</v>
      </c>
      <c r="D8202" s="4" t="s">
        <v>38676</v>
      </c>
      <c r="E8202" s="4" t="s">
        <v>38670</v>
      </c>
      <c r="F8202" s="4" t="s">
        <v>1215</v>
      </c>
      <c r="G8202" s="4" t="s">
        <v>34261</v>
      </c>
    </row>
    <row r="8203" ht="14.25">
      <c r="B8203" s="14" t="s">
        <v>38677</v>
      </c>
      <c r="C8203" s="4" t="s">
        <v>38678</v>
      </c>
      <c r="D8203" s="4" t="s">
        <v>38679</v>
      </c>
      <c r="E8203" s="6"/>
      <c r="F8203" s="4" t="s">
        <v>7525</v>
      </c>
      <c r="G8203" s="4" t="s">
        <v>38680</v>
      </c>
    </row>
    <row r="8204" ht="14.25">
      <c r="B8204" s="14" t="s">
        <v>38681</v>
      </c>
      <c r="C8204" s="4" t="s">
        <v>38682</v>
      </c>
      <c r="D8204" s="4" t="s">
        <v>38683</v>
      </c>
      <c r="E8204" s="4" t="s">
        <v>38684</v>
      </c>
      <c r="F8204" s="4" t="s">
        <v>170</v>
      </c>
      <c r="G8204" s="4" t="s">
        <v>38685</v>
      </c>
    </row>
    <row r="8205" ht="14.25">
      <c r="B8205" s="14" t="s">
        <v>38686</v>
      </c>
      <c r="C8205" s="4" t="s">
        <v>38687</v>
      </c>
      <c r="D8205" s="4" t="s">
        <v>38688</v>
      </c>
      <c r="E8205" s="4" t="s">
        <v>38689</v>
      </c>
      <c r="F8205" s="4" t="s">
        <v>33283</v>
      </c>
      <c r="G8205" s="4" t="s">
        <v>38690</v>
      </c>
    </row>
    <row r="8206" ht="14.25">
      <c r="B8206" s="14" t="s">
        <v>38686</v>
      </c>
      <c r="C8206" s="4" t="s">
        <v>38687</v>
      </c>
      <c r="D8206" s="4" t="s">
        <v>38691</v>
      </c>
      <c r="E8206" s="4" t="s">
        <v>38689</v>
      </c>
      <c r="F8206" s="4" t="s">
        <v>32622</v>
      </c>
      <c r="G8206" s="4" t="s">
        <v>37817</v>
      </c>
    </row>
    <row r="8207" ht="14.25">
      <c r="B8207" s="14" t="s">
        <v>38692</v>
      </c>
      <c r="C8207" s="4" t="s">
        <v>38693</v>
      </c>
      <c r="D8207" s="4" t="s">
        <v>38694</v>
      </c>
      <c r="E8207" s="4" t="s">
        <v>38695</v>
      </c>
      <c r="F8207" s="4" t="s">
        <v>32183</v>
      </c>
      <c r="G8207" s="4" t="s">
        <v>34222</v>
      </c>
    </row>
    <row r="8208" ht="14.25">
      <c r="B8208" s="14" t="s">
        <v>38696</v>
      </c>
      <c r="C8208" s="4" t="s">
        <v>38697</v>
      </c>
      <c r="D8208" s="4" t="s">
        <v>38698</v>
      </c>
      <c r="E8208" s="6"/>
      <c r="F8208" s="4" t="s">
        <v>330</v>
      </c>
      <c r="G8208" s="4" t="s">
        <v>38699</v>
      </c>
    </row>
    <row r="8209" ht="14.25">
      <c r="B8209" s="14" t="s">
        <v>38700</v>
      </c>
      <c r="C8209" s="4" t="s">
        <v>38701</v>
      </c>
      <c r="D8209" s="4" t="s">
        <v>38702</v>
      </c>
      <c r="E8209" s="4" t="s">
        <v>38703</v>
      </c>
      <c r="F8209" s="4" t="s">
        <v>110</v>
      </c>
      <c r="G8209" s="4" t="s">
        <v>38704</v>
      </c>
    </row>
    <row r="8210" ht="14.25">
      <c r="B8210" s="14" t="s">
        <v>38700</v>
      </c>
      <c r="C8210" s="4" t="s">
        <v>38701</v>
      </c>
      <c r="D8210" s="4" t="s">
        <v>38705</v>
      </c>
      <c r="E8210" s="4" t="s">
        <v>38703</v>
      </c>
      <c r="F8210" s="4" t="s">
        <v>785</v>
      </c>
      <c r="G8210" s="4" t="s">
        <v>38706</v>
      </c>
    </row>
    <row r="8211" ht="14.25">
      <c r="B8211" s="14" t="s">
        <v>38700</v>
      </c>
      <c r="C8211" s="4" t="s">
        <v>38701</v>
      </c>
      <c r="D8211" s="4" t="s">
        <v>38707</v>
      </c>
      <c r="E8211" s="4" t="s">
        <v>38703</v>
      </c>
      <c r="F8211" s="4" t="s">
        <v>963</v>
      </c>
      <c r="G8211" s="4" t="s">
        <v>38708</v>
      </c>
    </row>
    <row r="8212" ht="14.25">
      <c r="B8212" s="14" t="s">
        <v>38700</v>
      </c>
      <c r="C8212" s="4" t="s">
        <v>38701</v>
      </c>
      <c r="D8212" s="4" t="s">
        <v>38709</v>
      </c>
      <c r="E8212" s="4" t="s">
        <v>38703</v>
      </c>
      <c r="F8212" s="4" t="s">
        <v>4012</v>
      </c>
      <c r="G8212" s="4" t="s">
        <v>38710</v>
      </c>
    </row>
    <row r="8213" ht="14.25">
      <c r="B8213" s="14" t="s">
        <v>38700</v>
      </c>
      <c r="C8213" s="4" t="s">
        <v>38701</v>
      </c>
      <c r="D8213" s="4" t="s">
        <v>38711</v>
      </c>
      <c r="E8213" s="4" t="s">
        <v>38703</v>
      </c>
      <c r="F8213" s="4" t="s">
        <v>36311</v>
      </c>
      <c r="G8213" s="4" t="s">
        <v>38712</v>
      </c>
    </row>
    <row r="8214" ht="14.25">
      <c r="B8214" s="14" t="s">
        <v>38700</v>
      </c>
      <c r="C8214" s="4" t="s">
        <v>38701</v>
      </c>
      <c r="D8214" s="4" t="s">
        <v>38713</v>
      </c>
      <c r="E8214" s="4" t="s">
        <v>38703</v>
      </c>
      <c r="F8214" s="4" t="s">
        <v>817</v>
      </c>
      <c r="G8214" s="4" t="s">
        <v>38714</v>
      </c>
    </row>
    <row r="8215" ht="14.25">
      <c r="B8215" s="14" t="s">
        <v>38700</v>
      </c>
      <c r="C8215" s="4" t="s">
        <v>38701</v>
      </c>
      <c r="D8215" s="4" t="s">
        <v>38715</v>
      </c>
      <c r="E8215" s="4" t="s">
        <v>38703</v>
      </c>
      <c r="F8215" s="4" t="s">
        <v>76</v>
      </c>
      <c r="G8215" s="4" t="s">
        <v>38716</v>
      </c>
    </row>
    <row r="8216" ht="14.25">
      <c r="B8216" s="14" t="s">
        <v>38717</v>
      </c>
      <c r="C8216" s="4" t="s">
        <v>38718</v>
      </c>
      <c r="D8216" s="4" t="s">
        <v>38719</v>
      </c>
      <c r="E8216" s="4" t="s">
        <v>38720</v>
      </c>
      <c r="F8216" s="4" t="s">
        <v>3850</v>
      </c>
      <c r="G8216" s="4" t="s">
        <v>38721</v>
      </c>
    </row>
    <row r="8217" ht="14.25">
      <c r="B8217" s="14" t="s">
        <v>38722</v>
      </c>
      <c r="C8217" s="4" t="s">
        <v>38723</v>
      </c>
      <c r="D8217" s="4" t="s">
        <v>38724</v>
      </c>
      <c r="E8217" s="4" t="s">
        <v>38725</v>
      </c>
      <c r="F8217" s="4" t="s">
        <v>38726</v>
      </c>
      <c r="G8217" s="4" t="s">
        <v>38727</v>
      </c>
    </row>
    <row r="8218" ht="14.25">
      <c r="B8218" s="14" t="s">
        <v>38722</v>
      </c>
      <c r="C8218" s="4" t="s">
        <v>38723</v>
      </c>
      <c r="D8218" s="4" t="s">
        <v>38728</v>
      </c>
      <c r="E8218" s="4" t="s">
        <v>38725</v>
      </c>
      <c r="F8218" s="4" t="s">
        <v>32579</v>
      </c>
      <c r="G8218" s="4" t="s">
        <v>38729</v>
      </c>
    </row>
    <row r="8219" ht="14.25">
      <c r="B8219" s="14" t="s">
        <v>38730</v>
      </c>
      <c r="C8219" s="4" t="s">
        <v>38731</v>
      </c>
      <c r="D8219" s="4" t="s">
        <v>38732</v>
      </c>
      <c r="E8219" s="4" t="s">
        <v>38733</v>
      </c>
      <c r="F8219" s="4" t="s">
        <v>1215</v>
      </c>
      <c r="G8219" s="4" t="s">
        <v>38734</v>
      </c>
    </row>
    <row r="8220" ht="14.25">
      <c r="B8220" s="14" t="s">
        <v>38735</v>
      </c>
      <c r="C8220" s="4" t="s">
        <v>38736</v>
      </c>
      <c r="D8220" s="4" t="s">
        <v>38737</v>
      </c>
      <c r="E8220" s="4" t="s">
        <v>38738</v>
      </c>
      <c r="F8220" s="4" t="s">
        <v>2299</v>
      </c>
      <c r="G8220" s="4" t="s">
        <v>38739</v>
      </c>
    </row>
    <row r="8221" ht="14.25">
      <c r="B8221" s="14" t="s">
        <v>38740</v>
      </c>
      <c r="C8221" s="4" t="s">
        <v>38741</v>
      </c>
      <c r="D8221" s="4" t="s">
        <v>38742</v>
      </c>
      <c r="E8221" s="4" t="s">
        <v>38743</v>
      </c>
      <c r="F8221" s="4" t="s">
        <v>579</v>
      </c>
      <c r="G8221" s="4" t="s">
        <v>38744</v>
      </c>
    </row>
    <row r="8222" ht="14.25">
      <c r="B8222" s="14" t="s">
        <v>38740</v>
      </c>
      <c r="C8222" s="4" t="s">
        <v>38741</v>
      </c>
      <c r="D8222" s="4" t="s">
        <v>38745</v>
      </c>
      <c r="E8222" s="4" t="s">
        <v>38743</v>
      </c>
      <c r="F8222" s="4" t="s">
        <v>4236</v>
      </c>
      <c r="G8222" s="4" t="s">
        <v>33228</v>
      </c>
    </row>
    <row r="8223" ht="14.25">
      <c r="B8223" s="14" t="s">
        <v>38740</v>
      </c>
      <c r="C8223" s="4" t="s">
        <v>38741</v>
      </c>
      <c r="D8223" s="4" t="s">
        <v>38746</v>
      </c>
      <c r="E8223" s="4" t="s">
        <v>38743</v>
      </c>
      <c r="F8223" s="4" t="s">
        <v>1861</v>
      </c>
      <c r="G8223" s="4" t="s">
        <v>32736</v>
      </c>
    </row>
    <row r="8224" ht="14.25">
      <c r="B8224" s="14" t="s">
        <v>38747</v>
      </c>
      <c r="C8224" s="4" t="s">
        <v>38748</v>
      </c>
      <c r="D8224" s="4" t="s">
        <v>38749</v>
      </c>
      <c r="E8224" s="4" t="s">
        <v>38750</v>
      </c>
      <c r="F8224" s="4" t="s">
        <v>1215</v>
      </c>
      <c r="G8224" s="4" t="s">
        <v>36690</v>
      </c>
    </row>
    <row r="8225" ht="14.25">
      <c r="B8225" s="14" t="s">
        <v>38751</v>
      </c>
      <c r="C8225" s="4" t="s">
        <v>38752</v>
      </c>
      <c r="D8225" s="4" t="s">
        <v>38753</v>
      </c>
      <c r="E8225" s="6"/>
      <c r="F8225" s="4" t="s">
        <v>4236</v>
      </c>
      <c r="G8225" s="4" t="s">
        <v>38754</v>
      </c>
    </row>
    <row r="8226" ht="14.25">
      <c r="B8226" s="14" t="s">
        <v>38751</v>
      </c>
      <c r="C8226" s="4" t="s">
        <v>38755</v>
      </c>
      <c r="D8226" s="4" t="s">
        <v>38756</v>
      </c>
      <c r="E8226" s="4" t="s">
        <v>38757</v>
      </c>
      <c r="F8226" s="4" t="s">
        <v>110</v>
      </c>
      <c r="G8226" s="4" t="s">
        <v>36753</v>
      </c>
    </row>
    <row r="8227" ht="14.25">
      <c r="B8227" s="14" t="s">
        <v>38751</v>
      </c>
      <c r="C8227" s="4" t="s">
        <v>38758</v>
      </c>
      <c r="D8227" s="4" t="s">
        <v>38759</v>
      </c>
      <c r="E8227" s="4" t="s">
        <v>38760</v>
      </c>
      <c r="F8227" s="4" t="s">
        <v>32831</v>
      </c>
      <c r="G8227" s="4" t="s">
        <v>38761</v>
      </c>
    </row>
    <row r="8228" ht="14.25">
      <c r="B8228" s="14" t="s">
        <v>38751</v>
      </c>
      <c r="C8228" s="4" t="s">
        <v>38752</v>
      </c>
      <c r="D8228" s="4" t="s">
        <v>38762</v>
      </c>
      <c r="E8228" s="4" t="s">
        <v>38753</v>
      </c>
      <c r="F8228" s="4" t="s">
        <v>32658</v>
      </c>
      <c r="G8228" s="4" t="s">
        <v>38754</v>
      </c>
    </row>
    <row r="8229" ht="14.25">
      <c r="B8229" s="14" t="s">
        <v>38763</v>
      </c>
      <c r="C8229" s="4" t="s">
        <v>38764</v>
      </c>
      <c r="D8229" s="4" t="s">
        <v>38765</v>
      </c>
      <c r="E8229" s="4" t="s">
        <v>38766</v>
      </c>
      <c r="F8229" s="4" t="s">
        <v>7559</v>
      </c>
      <c r="G8229" s="4" t="s">
        <v>38767</v>
      </c>
    </row>
    <row r="8230" ht="14.25">
      <c r="B8230" s="14" t="s">
        <v>38763</v>
      </c>
      <c r="C8230" s="4" t="s">
        <v>38764</v>
      </c>
      <c r="D8230" s="4" t="s">
        <v>38768</v>
      </c>
      <c r="E8230" s="4" t="s">
        <v>38766</v>
      </c>
      <c r="F8230" s="4" t="s">
        <v>38769</v>
      </c>
      <c r="G8230" s="4" t="s">
        <v>38770</v>
      </c>
    </row>
    <row r="8231" ht="14.25">
      <c r="B8231" s="14" t="s">
        <v>38763</v>
      </c>
      <c r="C8231" s="4" t="s">
        <v>38764</v>
      </c>
      <c r="D8231" s="4" t="s">
        <v>38771</v>
      </c>
      <c r="E8231" s="4" t="s">
        <v>38766</v>
      </c>
      <c r="F8231" s="4" t="s">
        <v>32548</v>
      </c>
      <c r="G8231" s="4" t="s">
        <v>38772</v>
      </c>
    </row>
    <row r="8232" ht="14.25">
      <c r="B8232" s="14" t="s">
        <v>38773</v>
      </c>
      <c r="C8232" s="4" t="s">
        <v>38774</v>
      </c>
      <c r="D8232" s="4" t="s">
        <v>38775</v>
      </c>
      <c r="E8232" s="4" t="s">
        <v>38776</v>
      </c>
      <c r="F8232" s="4" t="s">
        <v>355</v>
      </c>
      <c r="G8232" s="4" t="s">
        <v>38777</v>
      </c>
    </row>
    <row r="8233" ht="14.25">
      <c r="B8233" s="14" t="s">
        <v>38773</v>
      </c>
      <c r="C8233" s="4" t="s">
        <v>38774</v>
      </c>
      <c r="D8233" s="4" t="s">
        <v>38778</v>
      </c>
      <c r="E8233" s="4" t="s">
        <v>38776</v>
      </c>
      <c r="F8233" s="4" t="s">
        <v>32622</v>
      </c>
      <c r="G8233" s="4" t="s">
        <v>38779</v>
      </c>
    </row>
    <row r="8234" ht="14.25">
      <c r="B8234" s="14" t="s">
        <v>38773</v>
      </c>
      <c r="C8234" s="4" t="s">
        <v>38774</v>
      </c>
      <c r="D8234" s="4" t="s">
        <v>38780</v>
      </c>
      <c r="E8234" s="4" t="s">
        <v>38776</v>
      </c>
      <c r="F8234" s="4" t="s">
        <v>5111</v>
      </c>
      <c r="G8234" s="4" t="s">
        <v>38777</v>
      </c>
    </row>
    <row r="8235" ht="14.25">
      <c r="B8235" s="14" t="s">
        <v>38773</v>
      </c>
      <c r="C8235" s="4" t="s">
        <v>38774</v>
      </c>
      <c r="D8235" s="4" t="s">
        <v>38781</v>
      </c>
      <c r="E8235" s="4" t="s">
        <v>38776</v>
      </c>
      <c r="F8235" s="4" t="s">
        <v>170</v>
      </c>
      <c r="G8235" s="4" t="s">
        <v>38782</v>
      </c>
    </row>
    <row r="8236" ht="14.25">
      <c r="B8236" s="14" t="s">
        <v>38783</v>
      </c>
      <c r="C8236" s="4" t="s">
        <v>38784</v>
      </c>
      <c r="D8236" s="4" t="s">
        <v>38785</v>
      </c>
      <c r="E8236" s="6"/>
      <c r="F8236" s="4" t="s">
        <v>670</v>
      </c>
      <c r="G8236" s="4" t="s">
        <v>38786</v>
      </c>
    </row>
    <row r="8237" ht="14.25">
      <c r="B8237" s="14" t="s">
        <v>38787</v>
      </c>
      <c r="C8237" s="4" t="s">
        <v>38788</v>
      </c>
      <c r="D8237" s="4" t="s">
        <v>38789</v>
      </c>
      <c r="E8237" s="4" t="s">
        <v>38790</v>
      </c>
      <c r="F8237" s="4" t="s">
        <v>5111</v>
      </c>
      <c r="G8237" s="4" t="s">
        <v>38791</v>
      </c>
    </row>
    <row r="8238" ht="14.25">
      <c r="B8238" s="14" t="s">
        <v>38792</v>
      </c>
      <c r="C8238" s="4" t="s">
        <v>38793</v>
      </c>
      <c r="D8238" s="4" t="s">
        <v>38794</v>
      </c>
      <c r="E8238" s="6"/>
      <c r="F8238" s="4" t="s">
        <v>23753</v>
      </c>
      <c r="G8238" s="4" t="s">
        <v>38795</v>
      </c>
    </row>
    <row r="8239" ht="14.25">
      <c r="B8239" s="14" t="s">
        <v>38796</v>
      </c>
      <c r="C8239" s="4" t="s">
        <v>38797</v>
      </c>
      <c r="D8239" s="4" t="s">
        <v>38798</v>
      </c>
      <c r="E8239" s="4" t="s">
        <v>38799</v>
      </c>
      <c r="F8239" s="4" t="s">
        <v>7525</v>
      </c>
      <c r="G8239" s="4" t="s">
        <v>38800</v>
      </c>
    </row>
    <row r="8240" ht="14.25">
      <c r="B8240" s="14" t="s">
        <v>38801</v>
      </c>
      <c r="C8240" s="4" t="s">
        <v>38802</v>
      </c>
      <c r="D8240" s="4" t="s">
        <v>38803</v>
      </c>
      <c r="E8240" s="4" t="s">
        <v>38804</v>
      </c>
      <c r="F8240" s="4" t="s">
        <v>2119</v>
      </c>
      <c r="G8240" s="4" t="s">
        <v>38805</v>
      </c>
    </row>
    <row r="8241" ht="14.25">
      <c r="B8241" s="14" t="s">
        <v>38801</v>
      </c>
      <c r="C8241" s="4" t="s">
        <v>38802</v>
      </c>
      <c r="D8241" s="4" t="s">
        <v>38806</v>
      </c>
      <c r="E8241" s="4" t="s">
        <v>38804</v>
      </c>
      <c r="F8241" s="4" t="s">
        <v>33644</v>
      </c>
      <c r="G8241" s="4" t="s">
        <v>38807</v>
      </c>
    </row>
    <row r="8242" ht="14.25">
      <c r="B8242" s="14" t="s">
        <v>38808</v>
      </c>
      <c r="C8242" s="4" t="s">
        <v>38809</v>
      </c>
      <c r="D8242" s="4" t="s">
        <v>38810</v>
      </c>
      <c r="E8242" s="4" t="s">
        <v>38811</v>
      </c>
      <c r="F8242" s="4" t="s">
        <v>222</v>
      </c>
      <c r="G8242" s="4" t="s">
        <v>38812</v>
      </c>
    </row>
    <row r="8243" ht="14.25">
      <c r="B8243" s="14" t="s">
        <v>38813</v>
      </c>
      <c r="C8243" s="4" t="s">
        <v>38814</v>
      </c>
      <c r="D8243" s="4" t="s">
        <v>38815</v>
      </c>
      <c r="E8243" s="4" t="s">
        <v>38816</v>
      </c>
      <c r="F8243" s="4" t="s">
        <v>7188</v>
      </c>
      <c r="G8243" s="4" t="s">
        <v>36007</v>
      </c>
    </row>
    <row r="8244" ht="14.25">
      <c r="B8244" s="14" t="s">
        <v>38817</v>
      </c>
      <c r="C8244" s="4" t="s">
        <v>38818</v>
      </c>
      <c r="D8244" s="4" t="s">
        <v>38819</v>
      </c>
      <c r="E8244" s="4" t="s">
        <v>38820</v>
      </c>
      <c r="F8244" s="4" t="s">
        <v>6634</v>
      </c>
      <c r="G8244" s="4" t="s">
        <v>38821</v>
      </c>
    </row>
    <row r="8245" ht="14.25">
      <c r="B8245" s="14" t="s">
        <v>38817</v>
      </c>
      <c r="C8245" s="4" t="s">
        <v>38818</v>
      </c>
      <c r="D8245" s="4" t="s">
        <v>38822</v>
      </c>
      <c r="E8245" s="4" t="s">
        <v>38820</v>
      </c>
      <c r="F8245" s="4" t="s">
        <v>3781</v>
      </c>
      <c r="G8245" s="4" t="s">
        <v>38823</v>
      </c>
    </row>
    <row r="8246" ht="14.25">
      <c r="B8246" s="14" t="s">
        <v>38824</v>
      </c>
      <c r="C8246" s="4" t="s">
        <v>38825</v>
      </c>
      <c r="D8246" s="4" t="s">
        <v>38826</v>
      </c>
      <c r="E8246" s="6"/>
      <c r="F8246" s="4" t="s">
        <v>33135</v>
      </c>
      <c r="G8246" s="4" t="s">
        <v>38827</v>
      </c>
    </row>
    <row r="8247" ht="14.25">
      <c r="B8247" s="14" t="s">
        <v>38828</v>
      </c>
      <c r="C8247" s="4" t="s">
        <v>38829</v>
      </c>
      <c r="D8247" s="4" t="s">
        <v>38830</v>
      </c>
      <c r="E8247" s="4" t="s">
        <v>38831</v>
      </c>
      <c r="F8247" s="4" t="s">
        <v>2419</v>
      </c>
      <c r="G8247" s="4" t="s">
        <v>34625</v>
      </c>
    </row>
    <row r="8248" ht="14.25">
      <c r="B8248" s="14" t="s">
        <v>38828</v>
      </c>
      <c r="C8248" s="4" t="s">
        <v>38829</v>
      </c>
      <c r="D8248" s="4" t="s">
        <v>38832</v>
      </c>
      <c r="E8248" s="4" t="s">
        <v>38831</v>
      </c>
      <c r="F8248" s="4" t="s">
        <v>2462</v>
      </c>
      <c r="G8248" s="4" t="s">
        <v>33841</v>
      </c>
    </row>
    <row r="8249" ht="14.25">
      <c r="B8249" s="14" t="s">
        <v>38828</v>
      </c>
      <c r="C8249" s="4" t="s">
        <v>38829</v>
      </c>
      <c r="D8249" s="4" t="s">
        <v>38833</v>
      </c>
      <c r="E8249" s="4" t="s">
        <v>38831</v>
      </c>
      <c r="F8249" s="4" t="s">
        <v>38834</v>
      </c>
      <c r="G8249" s="4" t="s">
        <v>34942</v>
      </c>
    </row>
    <row r="8254" ht="14.25">
      <c r="B8254" s="15" t="s">
        <v>38835</v>
      </c>
      <c r="C8254" s="16" t="s">
        <v>32536</v>
      </c>
      <c r="D8254" s="15" t="s">
        <v>9136</v>
      </c>
      <c r="E8254" s="15" t="s">
        <v>32537</v>
      </c>
    </row>
    <row r="8255" ht="14.25">
      <c r="B8255" s="4" t="s">
        <v>38836</v>
      </c>
      <c r="C8255" s="14" t="s">
        <v>34454</v>
      </c>
      <c r="D8255" s="4" t="s">
        <v>34455</v>
      </c>
      <c r="E8255" s="4" t="s">
        <v>36668</v>
      </c>
    </row>
    <row r="8256" ht="14.25">
      <c r="B8256" s="4" t="s">
        <v>38837</v>
      </c>
      <c r="C8256" s="14" t="s">
        <v>33742</v>
      </c>
      <c r="D8256" s="4" t="s">
        <v>33743</v>
      </c>
      <c r="E8256" s="4" t="s">
        <v>35109</v>
      </c>
    </row>
    <row r="8257" ht="14.25">
      <c r="B8257" s="4" t="s">
        <v>38838</v>
      </c>
      <c r="C8257" s="14" t="s">
        <v>33878</v>
      </c>
      <c r="D8257" s="4" t="s">
        <v>33879</v>
      </c>
      <c r="E8257" s="4" t="s">
        <v>35412</v>
      </c>
    </row>
    <row r="8258" ht="14.25">
      <c r="B8258" s="4" t="s">
        <v>38839</v>
      </c>
      <c r="C8258" s="14" t="s">
        <v>34617</v>
      </c>
      <c r="D8258" s="4" t="s">
        <v>34629</v>
      </c>
      <c r="E8258" s="4" t="s">
        <v>37068</v>
      </c>
    </row>
    <row r="8259" ht="14.25">
      <c r="B8259" s="4" t="s">
        <v>38840</v>
      </c>
      <c r="C8259" s="14" t="s">
        <v>34143</v>
      </c>
      <c r="D8259" s="4" t="s">
        <v>34149</v>
      </c>
      <c r="E8259" s="4" t="s">
        <v>35987</v>
      </c>
    </row>
    <row r="8260" ht="14.25">
      <c r="B8260" s="4" t="s">
        <v>38841</v>
      </c>
      <c r="C8260" s="14" t="s">
        <v>34754</v>
      </c>
      <c r="D8260" s="4" t="s">
        <v>34759</v>
      </c>
      <c r="E8260" s="4" t="s">
        <v>37390</v>
      </c>
    </row>
    <row r="8261" ht="14.25">
      <c r="B8261" s="4" t="s">
        <v>38842</v>
      </c>
      <c r="C8261" s="14" t="s">
        <v>34464</v>
      </c>
      <c r="D8261" s="4" t="s">
        <v>34465</v>
      </c>
      <c r="E8261" s="4" t="s">
        <v>36677</v>
      </c>
    </row>
    <row r="8262" ht="14.25">
      <c r="B8262" s="4" t="s">
        <v>38843</v>
      </c>
      <c r="C8262" s="14" t="s">
        <v>33012</v>
      </c>
      <c r="D8262" s="4" t="s">
        <v>33013</v>
      </c>
      <c r="E8262" s="4" t="s">
        <v>33594</v>
      </c>
    </row>
    <row r="8263" ht="14.25">
      <c r="B8263" s="4" t="s">
        <v>38844</v>
      </c>
      <c r="C8263" s="14" t="s">
        <v>32544</v>
      </c>
      <c r="D8263" s="4" t="s">
        <v>32545</v>
      </c>
      <c r="E8263" s="4" t="s">
        <v>32547</v>
      </c>
    </row>
    <row r="8264" ht="14.25">
      <c r="B8264" s="4" t="s">
        <v>38845</v>
      </c>
      <c r="C8264" s="14" t="s">
        <v>34718</v>
      </c>
      <c r="D8264" s="4" t="s">
        <v>34719</v>
      </c>
      <c r="E8264" s="4" t="s">
        <v>37323</v>
      </c>
    </row>
    <row r="8265" ht="14.25">
      <c r="B8265" s="4" t="s">
        <v>38846</v>
      </c>
      <c r="C8265" s="14" t="s">
        <v>34246</v>
      </c>
      <c r="D8265" s="4" t="s">
        <v>34247</v>
      </c>
      <c r="E8265" s="4" t="s">
        <v>36194</v>
      </c>
    </row>
    <row r="8266" ht="14.25">
      <c r="B8266" s="4" t="s">
        <v>38847</v>
      </c>
      <c r="C8266" s="14" t="s">
        <v>32585</v>
      </c>
      <c r="D8266" s="4" t="s">
        <v>32608</v>
      </c>
      <c r="E8266" s="4" t="s">
        <v>32761</v>
      </c>
    </row>
    <row r="8267" ht="14.25">
      <c r="B8267" s="4" t="s">
        <v>38848</v>
      </c>
      <c r="C8267" s="14" t="s">
        <v>32934</v>
      </c>
      <c r="D8267" s="4" t="s">
        <v>32935</v>
      </c>
      <c r="E8267" s="4" t="s">
        <v>33400</v>
      </c>
    </row>
    <row r="8268" ht="14.25">
      <c r="B8268" s="4" t="s">
        <v>38849</v>
      </c>
      <c r="C8268" s="14" t="s">
        <v>33816</v>
      </c>
      <c r="D8268" s="4" t="s">
        <v>33817</v>
      </c>
      <c r="E8268" s="4" t="s">
        <v>35267</v>
      </c>
    </row>
    <row r="8269" ht="14.25">
      <c r="B8269" s="4" t="s">
        <v>38850</v>
      </c>
      <c r="C8269" s="14" t="s">
        <v>33149</v>
      </c>
      <c r="D8269" s="4" t="s">
        <v>33150</v>
      </c>
      <c r="E8269" s="4" t="s">
        <v>33910</v>
      </c>
    </row>
    <row r="8270" ht="14.25">
      <c r="B8270" s="4" t="s">
        <v>38851</v>
      </c>
      <c r="C8270" s="14" t="s">
        <v>34818</v>
      </c>
      <c r="D8270" s="4" t="s">
        <v>34819</v>
      </c>
      <c r="E8270" s="4" t="s">
        <v>37483</v>
      </c>
    </row>
    <row r="8271" ht="14.25">
      <c r="B8271" s="4" t="s">
        <v>38852</v>
      </c>
      <c r="C8271" s="14" t="s">
        <v>35197</v>
      </c>
      <c r="D8271" s="4" t="s">
        <v>35198</v>
      </c>
      <c r="E8271" s="4" t="s">
        <v>38301</v>
      </c>
    </row>
    <row r="8272" ht="14.25">
      <c r="B8272" s="4" t="s">
        <v>38853</v>
      </c>
      <c r="C8272" s="14" t="s">
        <v>32544</v>
      </c>
      <c r="D8272" s="4" t="s">
        <v>32545</v>
      </c>
      <c r="E8272" s="4" t="s">
        <v>32568</v>
      </c>
    </row>
    <row r="8273" ht="14.25">
      <c r="B8273" s="4" t="s">
        <v>38854</v>
      </c>
      <c r="C8273" s="14" t="s">
        <v>35251</v>
      </c>
      <c r="D8273" s="4" t="s">
        <v>35252</v>
      </c>
      <c r="E8273" s="4" t="s">
        <v>38379</v>
      </c>
    </row>
    <row r="8274" ht="14.25">
      <c r="B8274" s="4" t="s">
        <v>38855</v>
      </c>
      <c r="C8274" s="14" t="s">
        <v>35082</v>
      </c>
      <c r="D8274" s="4" t="s">
        <v>35083</v>
      </c>
      <c r="E8274" s="4" t="s">
        <v>38035</v>
      </c>
    </row>
    <row r="8275" ht="14.25">
      <c r="B8275" s="4" t="s">
        <v>38856</v>
      </c>
      <c r="C8275" s="14" t="s">
        <v>34337</v>
      </c>
      <c r="D8275" s="4" t="s">
        <v>34338</v>
      </c>
      <c r="E8275" s="4" t="s">
        <v>36400</v>
      </c>
    </row>
    <row r="8276" ht="14.25">
      <c r="B8276" s="4" t="s">
        <v>38857</v>
      </c>
      <c r="C8276" s="14" t="s">
        <v>34360</v>
      </c>
      <c r="D8276" s="4" t="s">
        <v>34361</v>
      </c>
      <c r="E8276" s="4" t="s">
        <v>36508</v>
      </c>
    </row>
    <row r="8277" ht="14.25">
      <c r="B8277" s="4" t="s">
        <v>38858</v>
      </c>
      <c r="C8277" s="14" t="s">
        <v>33958</v>
      </c>
      <c r="D8277" s="4" t="s">
        <v>33967</v>
      </c>
      <c r="E8277" s="4" t="s">
        <v>35586</v>
      </c>
    </row>
    <row r="8278" ht="14.25">
      <c r="B8278" s="4" t="s">
        <v>38859</v>
      </c>
      <c r="C8278" s="14" t="s">
        <v>33290</v>
      </c>
      <c r="D8278" s="4" t="s">
        <v>33291</v>
      </c>
      <c r="E8278" s="4" t="s">
        <v>34151</v>
      </c>
    </row>
    <row r="8279" ht="14.25">
      <c r="B8279" s="4" t="s">
        <v>38860</v>
      </c>
      <c r="C8279" s="14" t="s">
        <v>32719</v>
      </c>
      <c r="D8279" s="4" t="s">
        <v>32727</v>
      </c>
      <c r="E8279" s="4" t="s">
        <v>32990</v>
      </c>
    </row>
    <row r="8280" ht="14.25">
      <c r="B8280" s="4" t="s">
        <v>38861</v>
      </c>
      <c r="C8280" s="14" t="s">
        <v>33311</v>
      </c>
      <c r="D8280" s="4" t="s">
        <v>33316</v>
      </c>
      <c r="E8280" s="4" t="s">
        <v>34192</v>
      </c>
    </row>
    <row r="8281" ht="14.25">
      <c r="B8281" s="4" t="s">
        <v>38862</v>
      </c>
      <c r="C8281" s="14" t="s">
        <v>33677</v>
      </c>
      <c r="D8281" s="4" t="s">
        <v>33682</v>
      </c>
      <c r="E8281" s="4" t="s">
        <v>34985</v>
      </c>
    </row>
    <row r="8282" ht="14.25">
      <c r="B8282" s="4" t="s">
        <v>38863</v>
      </c>
      <c r="C8282" s="14" t="s">
        <v>33529</v>
      </c>
      <c r="D8282" s="4" t="s">
        <v>33530</v>
      </c>
      <c r="E8282" s="4" t="s">
        <v>34669</v>
      </c>
    </row>
    <row r="8283" ht="14.25">
      <c r="B8283" s="4" t="s">
        <v>38864</v>
      </c>
      <c r="C8283" s="14" t="s">
        <v>32629</v>
      </c>
      <c r="D8283" s="4" t="s">
        <v>32667</v>
      </c>
      <c r="E8283" s="4" t="s">
        <v>32877</v>
      </c>
    </row>
    <row r="8284" ht="14.25">
      <c r="B8284" s="4" t="s">
        <v>38865</v>
      </c>
      <c r="C8284" s="14" t="s">
        <v>34217</v>
      </c>
      <c r="D8284" s="4" t="s">
        <v>34218</v>
      </c>
      <c r="E8284" s="4" t="s">
        <v>36140</v>
      </c>
    </row>
    <row r="8285" ht="14.25">
      <c r="B8285" s="4" t="s">
        <v>38866</v>
      </c>
      <c r="C8285" s="14" t="s">
        <v>33515</v>
      </c>
      <c r="D8285" s="4" t="s">
        <v>33516</v>
      </c>
      <c r="E8285" s="4" t="s">
        <v>34646</v>
      </c>
    </row>
    <row r="8286" ht="14.25">
      <c r="B8286" s="4" t="s">
        <v>38867</v>
      </c>
      <c r="C8286" s="14" t="s">
        <v>32585</v>
      </c>
      <c r="D8286" s="4" t="s">
        <v>32586</v>
      </c>
      <c r="E8286" s="4" t="s">
        <v>32693</v>
      </c>
    </row>
    <row r="8287" ht="14.25">
      <c r="B8287" s="4" t="s">
        <v>38868</v>
      </c>
      <c r="C8287" s="14" t="s">
        <v>32565</v>
      </c>
      <c r="D8287" s="4" t="s">
        <v>32566</v>
      </c>
      <c r="E8287" s="4" t="s">
        <v>32674</v>
      </c>
    </row>
    <row r="8288" ht="14.25">
      <c r="B8288" s="4" t="s">
        <v>38869</v>
      </c>
      <c r="C8288" s="14" t="s">
        <v>33483</v>
      </c>
      <c r="D8288" s="4" t="s">
        <v>33484</v>
      </c>
      <c r="E8288" s="4" t="s">
        <v>34631</v>
      </c>
    </row>
    <row r="8289" ht="14.25">
      <c r="B8289" s="4" t="s">
        <v>38870</v>
      </c>
      <c r="C8289" s="14" t="s">
        <v>32719</v>
      </c>
      <c r="D8289" s="4" t="s">
        <v>32720</v>
      </c>
      <c r="E8289" s="4" t="s">
        <v>32985</v>
      </c>
    </row>
    <row r="8290" ht="14.25">
      <c r="B8290" s="4" t="s">
        <v>38871</v>
      </c>
      <c r="C8290" s="14" t="s">
        <v>35355</v>
      </c>
      <c r="D8290" s="4" t="s">
        <v>35356</v>
      </c>
      <c r="E8290" s="4" t="s">
        <v>38568</v>
      </c>
    </row>
    <row r="8291" ht="14.25">
      <c r="B8291" s="4" t="s">
        <v>38872</v>
      </c>
      <c r="C8291" s="14" t="s">
        <v>32585</v>
      </c>
      <c r="D8291" s="4" t="s">
        <v>32586</v>
      </c>
      <c r="E8291" s="4" t="s">
        <v>32729</v>
      </c>
    </row>
    <row r="8292" ht="14.25">
      <c r="B8292" s="4" t="s">
        <v>38873</v>
      </c>
      <c r="C8292" s="14" t="s">
        <v>32585</v>
      </c>
      <c r="D8292" s="4" t="s">
        <v>32603</v>
      </c>
      <c r="E8292" s="4" t="s">
        <v>32734</v>
      </c>
    </row>
    <row r="8293" ht="14.25">
      <c r="B8293" s="4" t="s">
        <v>38874</v>
      </c>
      <c r="C8293" s="14" t="s">
        <v>32585</v>
      </c>
      <c r="D8293" s="4" t="s">
        <v>32586</v>
      </c>
      <c r="E8293" s="4" t="s">
        <v>32751</v>
      </c>
    </row>
    <row r="8294" ht="14.25">
      <c r="B8294" s="4" t="s">
        <v>38875</v>
      </c>
      <c r="C8294" s="14" t="s">
        <v>35134</v>
      </c>
      <c r="D8294" s="4" t="s">
        <v>35135</v>
      </c>
      <c r="E8294" s="4" t="s">
        <v>38155</v>
      </c>
    </row>
    <row r="8295" ht="14.25">
      <c r="B8295" s="4" t="s">
        <v>38876</v>
      </c>
      <c r="C8295" s="14" t="s">
        <v>33056</v>
      </c>
      <c r="D8295" s="4" t="s">
        <v>33057</v>
      </c>
      <c r="E8295" s="4" t="s">
        <v>33708</v>
      </c>
    </row>
    <row r="8296" ht="14.25">
      <c r="B8296" s="4" t="s">
        <v>38877</v>
      </c>
      <c r="C8296" s="14" t="s">
        <v>33421</v>
      </c>
      <c r="D8296" s="4" t="s">
        <v>33422</v>
      </c>
      <c r="E8296" s="4" t="s">
        <v>34432</v>
      </c>
    </row>
    <row r="8297" ht="14.25">
      <c r="B8297" s="4" t="s">
        <v>38878</v>
      </c>
      <c r="C8297" s="14" t="s">
        <v>34584</v>
      </c>
      <c r="D8297" s="4" t="s">
        <v>34585</v>
      </c>
      <c r="E8297" s="4" t="s">
        <v>36960</v>
      </c>
    </row>
    <row r="8298" ht="14.25">
      <c r="B8298" s="4" t="s">
        <v>38879</v>
      </c>
      <c r="C8298" s="14" t="s">
        <v>32921</v>
      </c>
      <c r="D8298" s="4" t="s">
        <v>32922</v>
      </c>
      <c r="E8298" s="4" t="s">
        <v>33369</v>
      </c>
    </row>
    <row r="8299" ht="14.25">
      <c r="B8299" s="4" t="s">
        <v>38880</v>
      </c>
      <c r="C8299" s="14" t="s">
        <v>34745</v>
      </c>
      <c r="D8299" s="4" t="s">
        <v>34746</v>
      </c>
      <c r="E8299" s="4" t="s">
        <v>37367</v>
      </c>
    </row>
    <row r="8300" ht="14.25">
      <c r="B8300" s="4" t="s">
        <v>38881</v>
      </c>
      <c r="C8300" s="14" t="s">
        <v>34659</v>
      </c>
      <c r="D8300" s="4" t="s">
        <v>34660</v>
      </c>
      <c r="E8300" s="4" t="s">
        <v>37147</v>
      </c>
    </row>
    <row r="8301" ht="14.25">
      <c r="B8301" s="4" t="s">
        <v>38882</v>
      </c>
      <c r="C8301" s="14" t="s">
        <v>34617</v>
      </c>
      <c r="D8301" s="4" t="s">
        <v>34622</v>
      </c>
      <c r="E8301" s="4" t="s">
        <v>37039</v>
      </c>
    </row>
    <row r="8302" ht="14.25">
      <c r="B8302" s="4" t="s">
        <v>38883</v>
      </c>
      <c r="C8302" s="14" t="s">
        <v>34666</v>
      </c>
      <c r="D8302" s="4" t="s">
        <v>34667</v>
      </c>
      <c r="E8302" s="4" t="s">
        <v>37197</v>
      </c>
    </row>
    <row r="8303" ht="14.25">
      <c r="B8303" s="4" t="s">
        <v>38884</v>
      </c>
      <c r="C8303" s="14" t="s">
        <v>33868</v>
      </c>
      <c r="D8303" s="4" t="s">
        <v>33869</v>
      </c>
      <c r="E8303" s="4" t="s">
        <v>35397</v>
      </c>
    </row>
    <row r="8304" ht="14.25">
      <c r="B8304" s="4" t="s">
        <v>38885</v>
      </c>
      <c r="C8304" s="14" t="s">
        <v>33718</v>
      </c>
      <c r="D8304" s="4" t="s">
        <v>33719</v>
      </c>
      <c r="E8304" s="4" t="s">
        <v>35046</v>
      </c>
    </row>
    <row r="8305" ht="14.25">
      <c r="B8305" s="4" t="s">
        <v>38886</v>
      </c>
      <c r="C8305" s="14" t="s">
        <v>33537</v>
      </c>
      <c r="D8305" s="4" t="s">
        <v>33538</v>
      </c>
      <c r="E8305" s="4" t="s">
        <v>34711</v>
      </c>
    </row>
    <row r="8306" ht="14.25">
      <c r="B8306" s="4" t="s">
        <v>38887</v>
      </c>
      <c r="C8306" s="14" t="s">
        <v>34257</v>
      </c>
      <c r="D8306" s="4" t="s">
        <v>34258</v>
      </c>
      <c r="E8306" s="4" t="s">
        <v>36241</v>
      </c>
    </row>
    <row r="8307" ht="14.25">
      <c r="B8307" s="4" t="s">
        <v>38888</v>
      </c>
      <c r="C8307" s="14" t="s">
        <v>33346</v>
      </c>
      <c r="D8307" s="4" t="s">
        <v>33360</v>
      </c>
      <c r="E8307" s="4" t="s">
        <v>34311</v>
      </c>
    </row>
    <row r="8308" ht="14.25">
      <c r="B8308" s="4" t="s">
        <v>38889</v>
      </c>
      <c r="C8308" s="14" t="s">
        <v>35448</v>
      </c>
      <c r="D8308" s="4" t="s">
        <v>35449</v>
      </c>
      <c r="E8308" s="4" t="s">
        <v>38799</v>
      </c>
    </row>
    <row r="8309" ht="14.25">
      <c r="B8309" s="4" t="s">
        <v>38890</v>
      </c>
      <c r="C8309" s="14" t="s">
        <v>32671</v>
      </c>
      <c r="D8309" s="4" t="s">
        <v>32676</v>
      </c>
      <c r="E8309" s="4" t="s">
        <v>32890</v>
      </c>
    </row>
    <row r="8310" ht="14.25">
      <c r="B8310" s="4" t="s">
        <v>38891</v>
      </c>
      <c r="C8310" s="14" t="s">
        <v>32682</v>
      </c>
      <c r="D8310" s="4" t="s">
        <v>32683</v>
      </c>
      <c r="E8310" s="4" t="s">
        <v>32906</v>
      </c>
    </row>
    <row r="8311" ht="14.25">
      <c r="B8311" s="4" t="s">
        <v>38892</v>
      </c>
      <c r="C8311" s="14" t="s">
        <v>32560</v>
      </c>
      <c r="D8311" s="4" t="s">
        <v>32561</v>
      </c>
      <c r="E8311" s="4" t="s">
        <v>32632</v>
      </c>
    </row>
    <row r="8312" ht="14.25">
      <c r="B8312" s="4" t="s">
        <v>38893</v>
      </c>
      <c r="C8312" s="14" t="s">
        <v>35117</v>
      </c>
      <c r="D8312" s="4" t="s">
        <v>35118</v>
      </c>
      <c r="E8312" s="4" t="s">
        <v>38102</v>
      </c>
    </row>
    <row r="8313" ht="14.25">
      <c r="B8313" s="4" t="s">
        <v>38894</v>
      </c>
      <c r="C8313" s="14" t="s">
        <v>35034</v>
      </c>
      <c r="D8313" s="4" t="s">
        <v>35035</v>
      </c>
      <c r="E8313" s="4" t="s">
        <v>37969</v>
      </c>
    </row>
    <row r="8314" ht="14.25">
      <c r="B8314" s="4" t="s">
        <v>38895</v>
      </c>
      <c r="C8314" s="14" t="s">
        <v>33762</v>
      </c>
      <c r="D8314" s="4" t="s">
        <v>33763</v>
      </c>
      <c r="E8314" s="4" t="s">
        <v>35147</v>
      </c>
    </row>
    <row r="8315" ht="14.25">
      <c r="B8315" s="4" t="s">
        <v>38896</v>
      </c>
      <c r="C8315" s="14" t="s">
        <v>34999</v>
      </c>
      <c r="D8315" s="4" t="s">
        <v>35000</v>
      </c>
      <c r="E8315" s="4" t="s">
        <v>37871</v>
      </c>
    </row>
    <row r="8316" ht="14.25">
      <c r="B8316" s="4" t="s">
        <v>38897</v>
      </c>
      <c r="C8316" s="14" t="s">
        <v>35246</v>
      </c>
      <c r="D8316" s="4" t="s">
        <v>35247</v>
      </c>
      <c r="E8316" s="4" t="s">
        <v>38357</v>
      </c>
    </row>
    <row r="8317" ht="14.25">
      <c r="B8317" s="4" t="s">
        <v>38898</v>
      </c>
      <c r="C8317" s="14" t="s">
        <v>32738</v>
      </c>
      <c r="D8317" s="4" t="s">
        <v>32742</v>
      </c>
      <c r="E8317" s="4" t="s">
        <v>33022</v>
      </c>
    </row>
    <row r="8318" ht="14.25">
      <c r="B8318" s="4" t="s">
        <v>38899</v>
      </c>
      <c r="C8318" s="14" t="s">
        <v>32748</v>
      </c>
      <c r="D8318" s="4" t="s">
        <v>32749</v>
      </c>
      <c r="E8318" s="4" t="s">
        <v>33053</v>
      </c>
    </row>
    <row r="8319" ht="14.25">
      <c r="B8319" s="4" t="s">
        <v>38900</v>
      </c>
      <c r="C8319" s="14" t="s">
        <v>35162</v>
      </c>
      <c r="D8319" s="4" t="s">
        <v>35163</v>
      </c>
      <c r="E8319" s="4" t="s">
        <v>38203</v>
      </c>
    </row>
    <row r="8320" ht="14.25">
      <c r="B8320" s="4" t="s">
        <v>38901</v>
      </c>
      <c r="C8320" s="14" t="s">
        <v>34852</v>
      </c>
      <c r="D8320" s="4" t="s">
        <v>34853</v>
      </c>
      <c r="E8320" s="4" t="s">
        <v>37581</v>
      </c>
    </row>
    <row r="8321" ht="14.25">
      <c r="B8321" s="4" t="s">
        <v>38902</v>
      </c>
      <c r="C8321" s="14" t="s">
        <v>35417</v>
      </c>
      <c r="D8321" s="4" t="s">
        <v>35418</v>
      </c>
      <c r="E8321" s="4" t="s">
        <v>38720</v>
      </c>
    </row>
    <row r="8322" ht="14.25">
      <c r="B8322" s="4" t="s">
        <v>38903</v>
      </c>
      <c r="C8322" s="14" t="s">
        <v>33430</v>
      </c>
      <c r="D8322" s="4" t="s">
        <v>33436</v>
      </c>
      <c r="E8322" s="4" t="s">
        <v>34527</v>
      </c>
    </row>
    <row r="8323" ht="14.25">
      <c r="B8323" s="4" t="s">
        <v>38904</v>
      </c>
      <c r="C8323" s="14" t="s">
        <v>32783</v>
      </c>
      <c r="D8323" s="4" t="s">
        <v>32789</v>
      </c>
      <c r="E8323" s="4" t="s">
        <v>33109</v>
      </c>
    </row>
    <row r="8324" ht="14.25">
      <c r="B8324" s="4" t="s">
        <v>38905</v>
      </c>
      <c r="C8324" s="14" t="s">
        <v>35217</v>
      </c>
      <c r="D8324" s="4" t="s">
        <v>35224</v>
      </c>
      <c r="E8324" s="4" t="s">
        <v>38328</v>
      </c>
    </row>
    <row r="8325" ht="14.25">
      <c r="B8325" s="4" t="s">
        <v>38906</v>
      </c>
      <c r="C8325" s="14" t="s">
        <v>34217</v>
      </c>
      <c r="D8325" s="4" t="s">
        <v>34218</v>
      </c>
      <c r="E8325" s="4" t="s">
        <v>36147</v>
      </c>
    </row>
    <row r="8326" ht="14.25">
      <c r="B8326" s="4" t="s">
        <v>38907</v>
      </c>
      <c r="C8326" s="14" t="s">
        <v>32823</v>
      </c>
      <c r="D8326" s="4" t="s">
        <v>32824</v>
      </c>
      <c r="E8326" s="4" t="s">
        <v>33196</v>
      </c>
    </row>
    <row r="8327" ht="14.25">
      <c r="B8327" s="4" t="s">
        <v>38908</v>
      </c>
      <c r="C8327" s="14" t="s">
        <v>34768</v>
      </c>
      <c r="D8327" s="4" t="s">
        <v>34769</v>
      </c>
      <c r="E8327" s="4" t="s">
        <v>37409</v>
      </c>
    </row>
    <row r="8328" ht="14.25">
      <c r="B8328" s="4" t="s">
        <v>38909</v>
      </c>
      <c r="C8328" s="14" t="s">
        <v>32793</v>
      </c>
      <c r="D8328" s="4" t="s">
        <v>32806</v>
      </c>
      <c r="E8328" s="4" t="s">
        <v>33134</v>
      </c>
    </row>
    <row r="8329" ht="14.25">
      <c r="B8329" s="4" t="s">
        <v>38910</v>
      </c>
      <c r="C8329" s="14" t="s">
        <v>34195</v>
      </c>
      <c r="D8329" s="4" t="s">
        <v>34196</v>
      </c>
      <c r="E8329" s="4" t="s">
        <v>36083</v>
      </c>
    </row>
    <row r="8330" ht="14.25">
      <c r="B8330" s="4" t="s">
        <v>38911</v>
      </c>
      <c r="C8330" s="14" t="s">
        <v>34955</v>
      </c>
      <c r="D8330" s="4" t="s">
        <v>34956</v>
      </c>
      <c r="E8330" s="4" t="s">
        <v>37788</v>
      </c>
    </row>
    <row r="8331" ht="14.25">
      <c r="B8331" s="4" t="s">
        <v>38912</v>
      </c>
      <c r="C8331" s="14" t="s">
        <v>34944</v>
      </c>
      <c r="D8331" s="4" t="s">
        <v>34945</v>
      </c>
      <c r="E8331" s="4" t="s">
        <v>37769</v>
      </c>
    </row>
    <row r="8332" ht="14.25">
      <c r="B8332" s="4" t="s">
        <v>38913</v>
      </c>
      <c r="C8332" s="14" t="s">
        <v>33330</v>
      </c>
      <c r="D8332" s="4" t="s">
        <v>33331</v>
      </c>
      <c r="E8332" s="4" t="s">
        <v>34232</v>
      </c>
    </row>
    <row r="8333" ht="14.25">
      <c r="B8333" s="4" t="s">
        <v>38914</v>
      </c>
      <c r="C8333" s="14" t="s">
        <v>33193</v>
      </c>
      <c r="D8333" s="4" t="s">
        <v>33206</v>
      </c>
      <c r="E8333" s="4" t="s">
        <v>33997</v>
      </c>
    </row>
    <row r="8334" ht="14.25">
      <c r="B8334" s="4" t="s">
        <v>38915</v>
      </c>
      <c r="C8334" s="14" t="s">
        <v>33106</v>
      </c>
      <c r="D8334" s="4" t="s">
        <v>33107</v>
      </c>
      <c r="E8334" s="4" t="s">
        <v>33812</v>
      </c>
    </row>
    <row r="8335" ht="14.25">
      <c r="B8335" s="4" t="s">
        <v>38916</v>
      </c>
      <c r="C8335" s="14" t="s">
        <v>33483</v>
      </c>
      <c r="D8335" s="4" t="s">
        <v>33484</v>
      </c>
      <c r="E8335" s="4" t="s">
        <v>34606</v>
      </c>
    </row>
    <row r="8336" ht="14.25">
      <c r="B8336" s="4" t="s">
        <v>38917</v>
      </c>
      <c r="C8336" s="14" t="s">
        <v>32839</v>
      </c>
      <c r="D8336" s="4" t="s">
        <v>32840</v>
      </c>
      <c r="E8336" s="4" t="s">
        <v>33204</v>
      </c>
    </row>
    <row r="8337" ht="14.25">
      <c r="B8337" s="4" t="s">
        <v>38918</v>
      </c>
      <c r="C8337" s="14" t="s">
        <v>32926</v>
      </c>
      <c r="D8337" s="4" t="s">
        <v>32927</v>
      </c>
      <c r="E8337" s="4" t="s">
        <v>33391</v>
      </c>
    </row>
    <row r="8338" ht="14.25">
      <c r="B8338" s="4" t="s">
        <v>38919</v>
      </c>
      <c r="C8338" s="14" t="s">
        <v>33346</v>
      </c>
      <c r="D8338" s="4" t="s">
        <v>33347</v>
      </c>
      <c r="E8338" s="4" t="s">
        <v>34275</v>
      </c>
    </row>
    <row r="8339" ht="14.25">
      <c r="B8339" s="4" t="s">
        <v>38920</v>
      </c>
      <c r="C8339" s="14" t="s">
        <v>32987</v>
      </c>
      <c r="D8339" s="4" t="s">
        <v>32988</v>
      </c>
      <c r="E8339" s="4" t="s">
        <v>33571</v>
      </c>
    </row>
    <row r="8340" ht="14.25">
      <c r="B8340" s="4" t="s">
        <v>38921</v>
      </c>
      <c r="C8340" s="14" t="s">
        <v>32903</v>
      </c>
      <c r="D8340" s="4" t="s">
        <v>32904</v>
      </c>
      <c r="E8340" s="4" t="s">
        <v>33333</v>
      </c>
    </row>
    <row r="8341" ht="14.25">
      <c r="B8341" s="4" t="s">
        <v>38922</v>
      </c>
      <c r="C8341" s="14" t="s">
        <v>33774</v>
      </c>
      <c r="D8341" s="4" t="s">
        <v>33775</v>
      </c>
      <c r="E8341" s="4" t="s">
        <v>35171</v>
      </c>
    </row>
    <row r="8342" ht="14.25">
      <c r="B8342" s="4" t="s">
        <v>38923</v>
      </c>
      <c r="C8342" s="14" t="s">
        <v>32855</v>
      </c>
      <c r="D8342" s="4" t="s">
        <v>32856</v>
      </c>
      <c r="E8342" s="4" t="s">
        <v>33245</v>
      </c>
    </row>
    <row r="8343" ht="14.25">
      <c r="B8343" s="4" t="s">
        <v>38924</v>
      </c>
      <c r="C8343" s="14" t="s">
        <v>32959</v>
      </c>
      <c r="D8343" s="4" t="s">
        <v>32964</v>
      </c>
      <c r="E8343" s="4" t="s">
        <v>33486</v>
      </c>
    </row>
    <row r="8344" ht="14.25">
      <c r="B8344" s="4" t="s">
        <v>38925</v>
      </c>
      <c r="C8344" s="14" t="s">
        <v>33000</v>
      </c>
      <c r="D8344" s="4" t="s">
        <v>33001</v>
      </c>
      <c r="E8344" s="4" t="s">
        <v>33575</v>
      </c>
    </row>
    <row r="8345" ht="14.25">
      <c r="B8345" s="4" t="s">
        <v>38926</v>
      </c>
      <c r="C8345" s="14" t="s">
        <v>34217</v>
      </c>
      <c r="D8345" s="4" t="s">
        <v>34218</v>
      </c>
      <c r="E8345" s="4" t="s">
        <v>36135</v>
      </c>
    </row>
    <row r="8346" ht="14.25">
      <c r="B8346" s="4" t="s">
        <v>38927</v>
      </c>
      <c r="C8346" s="14" t="s">
        <v>33403</v>
      </c>
      <c r="D8346" s="4" t="s">
        <v>33404</v>
      </c>
      <c r="E8346" s="4" t="s">
        <v>34408</v>
      </c>
    </row>
    <row r="8347" ht="14.25">
      <c r="B8347" s="4" t="s">
        <v>38928</v>
      </c>
      <c r="C8347" s="14" t="s">
        <v>35465</v>
      </c>
      <c r="D8347" s="4" t="s">
        <v>35466</v>
      </c>
      <c r="E8347" s="4" t="s">
        <v>38820</v>
      </c>
    </row>
    <row r="8348" ht="14.25">
      <c r="B8348" s="4" t="s">
        <v>38929</v>
      </c>
      <c r="C8348" s="14" t="s">
        <v>32839</v>
      </c>
      <c r="D8348" s="4" t="s">
        <v>32840</v>
      </c>
      <c r="E8348" s="4" t="s">
        <v>33212</v>
      </c>
    </row>
    <row r="8349" ht="14.25">
      <c r="B8349" s="4" t="s">
        <v>38930</v>
      </c>
      <c r="C8349" s="14" t="s">
        <v>33142</v>
      </c>
      <c r="D8349" s="4" t="s">
        <v>33146</v>
      </c>
      <c r="E8349" s="4" t="s">
        <v>33881</v>
      </c>
    </row>
    <row r="8350" ht="14.25">
      <c r="B8350" s="4" t="s">
        <v>38931</v>
      </c>
      <c r="C8350" s="14" t="s">
        <v>33311</v>
      </c>
      <c r="D8350" s="4" t="s">
        <v>33312</v>
      </c>
      <c r="E8350" s="4" t="s">
        <v>34213</v>
      </c>
    </row>
    <row r="8351" ht="14.25">
      <c r="B8351" s="4" t="s">
        <v>38932</v>
      </c>
      <c r="C8351" s="14" t="s">
        <v>34516</v>
      </c>
      <c r="D8351" s="4" t="s">
        <v>34525</v>
      </c>
      <c r="E8351" s="4" t="s">
        <v>36823</v>
      </c>
    </row>
    <row r="8352" ht="14.25">
      <c r="B8352" s="4" t="s">
        <v>38933</v>
      </c>
      <c r="C8352" s="14" t="s">
        <v>34130</v>
      </c>
      <c r="D8352" s="4" t="s">
        <v>34131</v>
      </c>
      <c r="E8352" s="4" t="s">
        <v>35969</v>
      </c>
    </row>
    <row r="8353" ht="14.25">
      <c r="B8353" s="4" t="s">
        <v>38934</v>
      </c>
      <c r="C8353" s="14" t="s">
        <v>35402</v>
      </c>
      <c r="D8353" s="4" t="s">
        <v>35403</v>
      </c>
      <c r="E8353" s="4" t="s">
        <v>38684</v>
      </c>
    </row>
    <row r="8354" ht="14.25">
      <c r="B8354" s="4" t="s">
        <v>38935</v>
      </c>
      <c r="C8354" s="14" t="s">
        <v>32629</v>
      </c>
      <c r="D8354" s="4" t="s">
        <v>32630</v>
      </c>
      <c r="E8354" s="4" t="s">
        <v>32867</v>
      </c>
    </row>
    <row r="8355" ht="14.25">
      <c r="B8355" s="4" t="s">
        <v>38936</v>
      </c>
      <c r="C8355" s="14" t="s">
        <v>32581</v>
      </c>
      <c r="D8355" s="4" t="s">
        <v>32582</v>
      </c>
      <c r="E8355" s="4" t="s">
        <v>32678</v>
      </c>
    </row>
    <row r="8356" ht="14.25">
      <c r="B8356" s="4" t="s">
        <v>38937</v>
      </c>
      <c r="C8356" s="14" t="s">
        <v>33430</v>
      </c>
      <c r="D8356" s="4" t="s">
        <v>33431</v>
      </c>
      <c r="E8356" s="4" t="s">
        <v>34542</v>
      </c>
    </row>
    <row r="8357" ht="14.25">
      <c r="B8357" s="4" t="s">
        <v>38938</v>
      </c>
      <c r="C8357" s="14" t="s">
        <v>33873</v>
      </c>
      <c r="D8357" s="4" t="s">
        <v>33874</v>
      </c>
      <c r="E8357" s="4" t="s">
        <v>35408</v>
      </c>
    </row>
    <row r="8358" ht="14.25">
      <c r="B8358" s="4" t="s">
        <v>38939</v>
      </c>
      <c r="C8358" s="14" t="s">
        <v>34808</v>
      </c>
      <c r="D8358" s="4" t="s">
        <v>34809</v>
      </c>
      <c r="E8358" s="4" t="s">
        <v>37467</v>
      </c>
    </row>
    <row r="8359" ht="14.25">
      <c r="B8359" s="4" t="s">
        <v>38940</v>
      </c>
      <c r="C8359" s="14" t="s">
        <v>34440</v>
      </c>
      <c r="D8359" s="4" t="s">
        <v>34441</v>
      </c>
      <c r="E8359" s="4" t="s">
        <v>36647</v>
      </c>
    </row>
    <row r="8360" ht="14.25">
      <c r="B8360" s="4" t="s">
        <v>38941</v>
      </c>
      <c r="C8360" s="14" t="s">
        <v>34091</v>
      </c>
      <c r="D8360" s="4" t="s">
        <v>34092</v>
      </c>
      <c r="E8360" s="4" t="s">
        <v>35870</v>
      </c>
    </row>
    <row r="8361" ht="14.25">
      <c r="B8361" s="4" t="s">
        <v>38942</v>
      </c>
      <c r="C8361" s="14" t="s">
        <v>35098</v>
      </c>
      <c r="D8361" s="4" t="s">
        <v>35099</v>
      </c>
      <c r="E8361" s="4" t="s">
        <v>38073</v>
      </c>
    </row>
    <row r="8362" ht="14.25">
      <c r="B8362" s="4" t="s">
        <v>38943</v>
      </c>
      <c r="C8362" s="14" t="s">
        <v>33233</v>
      </c>
      <c r="D8362" s="4" t="s">
        <v>33234</v>
      </c>
      <c r="E8362" s="4" t="s">
        <v>34049</v>
      </c>
    </row>
    <row r="8363" ht="14.25">
      <c r="B8363" s="4" t="s">
        <v>38944</v>
      </c>
      <c r="C8363" s="14" t="s">
        <v>33933</v>
      </c>
      <c r="D8363" s="4" t="s">
        <v>33934</v>
      </c>
      <c r="E8363" s="4" t="s">
        <v>35515</v>
      </c>
    </row>
    <row r="8364" ht="14.25">
      <c r="B8364" s="4" t="s">
        <v>38945</v>
      </c>
      <c r="C8364" s="14" t="s">
        <v>33193</v>
      </c>
      <c r="D8364" s="4" t="s">
        <v>33194</v>
      </c>
      <c r="E8364" s="4" t="s">
        <v>33969</v>
      </c>
    </row>
    <row r="8365" ht="14.25">
      <c r="B8365" s="4" t="s">
        <v>38946</v>
      </c>
      <c r="C8365" s="14" t="s">
        <v>35027</v>
      </c>
      <c r="D8365" s="4" t="s">
        <v>35028</v>
      </c>
      <c r="E8365" s="4" t="s">
        <v>37954</v>
      </c>
    </row>
    <row r="8366" ht="14.25">
      <c r="B8366" s="4" t="s">
        <v>38947</v>
      </c>
      <c r="C8366" s="14" t="s">
        <v>34848</v>
      </c>
      <c r="D8366" s="4" t="s">
        <v>34849</v>
      </c>
      <c r="E8366" s="4" t="s">
        <v>37572</v>
      </c>
    </row>
    <row r="8367" ht="14.25">
      <c r="B8367" s="4" t="s">
        <v>38948</v>
      </c>
      <c r="C8367" s="14" t="s">
        <v>34390</v>
      </c>
      <c r="D8367" s="4" t="s">
        <v>34391</v>
      </c>
      <c r="E8367" s="4" t="s">
        <v>36542</v>
      </c>
    </row>
    <row r="8368" ht="14.25">
      <c r="B8368" s="4" t="s">
        <v>38949</v>
      </c>
      <c r="C8368" s="14" t="s">
        <v>33253</v>
      </c>
      <c r="D8368" s="4" t="s">
        <v>33254</v>
      </c>
      <c r="E8368" s="4" t="s">
        <v>34089</v>
      </c>
    </row>
    <row r="8369" ht="14.25">
      <c r="B8369" s="4" t="s">
        <v>38950</v>
      </c>
      <c r="C8369" s="14" t="s">
        <v>33072</v>
      </c>
      <c r="D8369" s="4" t="s">
        <v>33073</v>
      </c>
      <c r="E8369" s="4" t="s">
        <v>33740</v>
      </c>
    </row>
    <row r="8370" ht="14.25">
      <c r="B8370" s="4" t="s">
        <v>38951</v>
      </c>
      <c r="C8370" s="14" t="s">
        <v>32848</v>
      </c>
      <c r="D8370" s="4" t="s">
        <v>32852</v>
      </c>
      <c r="E8370" s="4" t="s">
        <v>33236</v>
      </c>
    </row>
    <row r="8371" ht="14.25">
      <c r="B8371" s="4" t="s">
        <v>38952</v>
      </c>
      <c r="C8371" s="14" t="s">
        <v>35149</v>
      </c>
      <c r="D8371" s="4" t="s">
        <v>35150</v>
      </c>
      <c r="E8371" s="4" t="s">
        <v>38171</v>
      </c>
    </row>
    <row r="8372" ht="14.25">
      <c r="B8372" s="4" t="s">
        <v>38953</v>
      </c>
      <c r="C8372" s="14" t="s">
        <v>34004</v>
      </c>
      <c r="D8372" s="4" t="s">
        <v>34005</v>
      </c>
      <c r="E8372" s="4" t="s">
        <v>35642</v>
      </c>
    </row>
    <row r="8373" ht="14.25">
      <c r="B8373" s="4" t="s">
        <v>38954</v>
      </c>
      <c r="C8373" s="14" t="s">
        <v>34906</v>
      </c>
      <c r="D8373" s="4" t="s">
        <v>34907</v>
      </c>
      <c r="E8373" s="4" t="s">
        <v>37675</v>
      </c>
    </row>
    <row r="8374" ht="14.25">
      <c r="B8374" s="4" t="s">
        <v>38955</v>
      </c>
      <c r="C8374" s="14" t="s">
        <v>33193</v>
      </c>
      <c r="D8374" s="4" t="s">
        <v>33210</v>
      </c>
      <c r="E8374" s="4" t="s">
        <v>33992</v>
      </c>
    </row>
    <row r="8375" ht="14.25">
      <c r="B8375" s="4" t="s">
        <v>38956</v>
      </c>
      <c r="C8375" s="14" t="s">
        <v>32903</v>
      </c>
      <c r="D8375" s="4" t="s">
        <v>32904</v>
      </c>
      <c r="E8375" s="4" t="s">
        <v>33353</v>
      </c>
    </row>
    <row r="8376" ht="14.25">
      <c r="B8376" s="4" t="s">
        <v>38957</v>
      </c>
      <c r="C8376" s="14" t="s">
        <v>33883</v>
      </c>
      <c r="D8376" s="4" t="s">
        <v>33884</v>
      </c>
      <c r="E8376" s="4" t="s">
        <v>35428</v>
      </c>
    </row>
    <row r="8377" ht="14.25">
      <c r="B8377" s="4" t="s">
        <v>38958</v>
      </c>
      <c r="C8377" s="14" t="s">
        <v>33555</v>
      </c>
      <c r="D8377" s="4" t="s">
        <v>33556</v>
      </c>
      <c r="E8377" s="4" t="s">
        <v>34743</v>
      </c>
    </row>
    <row r="8378" ht="14.25">
      <c r="B8378" s="4" t="s">
        <v>38959</v>
      </c>
      <c r="C8378" s="14" t="s">
        <v>33000</v>
      </c>
      <c r="D8378" s="4" t="s">
        <v>33007</v>
      </c>
      <c r="E8378" s="4" t="s">
        <v>33589</v>
      </c>
    </row>
    <row r="8379" ht="14.25">
      <c r="B8379" s="4" t="s">
        <v>38960</v>
      </c>
      <c r="C8379" s="14" t="s">
        <v>35122</v>
      </c>
      <c r="D8379" s="4" t="s">
        <v>35123</v>
      </c>
      <c r="E8379" s="4" t="s">
        <v>38109</v>
      </c>
    </row>
    <row r="8380" ht="14.25">
      <c r="B8380" s="4" t="s">
        <v>38961</v>
      </c>
      <c r="C8380" s="14" t="s">
        <v>34919</v>
      </c>
      <c r="D8380" s="4" t="s">
        <v>34920</v>
      </c>
      <c r="E8380" s="4" t="s">
        <v>37707</v>
      </c>
    </row>
    <row r="8381" ht="14.25">
      <c r="B8381" s="4" t="s">
        <v>38962</v>
      </c>
      <c r="C8381" s="14" t="s">
        <v>33844</v>
      </c>
      <c r="D8381" s="4" t="s">
        <v>33845</v>
      </c>
      <c r="E8381" s="4" t="s">
        <v>35358</v>
      </c>
    </row>
    <row r="8382" ht="14.25">
      <c r="B8382" s="4" t="s">
        <v>38963</v>
      </c>
      <c r="C8382" s="14" t="s">
        <v>33816</v>
      </c>
      <c r="D8382" s="4" t="s">
        <v>33817</v>
      </c>
      <c r="E8382" s="4" t="s">
        <v>35275</v>
      </c>
    </row>
    <row r="8383" ht="14.25">
      <c r="B8383" s="4" t="s">
        <v>38964</v>
      </c>
      <c r="C8383" s="14" t="s">
        <v>34268</v>
      </c>
      <c r="D8383" s="4" t="s">
        <v>34269</v>
      </c>
      <c r="E8383" s="4" t="s">
        <v>36255</v>
      </c>
    </row>
    <row r="8384" ht="14.25">
      <c r="B8384" s="4" t="s">
        <v>38965</v>
      </c>
      <c r="C8384" s="14" t="s">
        <v>34528</v>
      </c>
      <c r="D8384" s="4" t="s">
        <v>34529</v>
      </c>
      <c r="E8384" s="4" t="s">
        <v>36830</v>
      </c>
    </row>
    <row r="8385" ht="14.25">
      <c r="B8385" s="4" t="s">
        <v>38966</v>
      </c>
      <c r="C8385" s="14" t="s">
        <v>33890</v>
      </c>
      <c r="D8385" s="4" t="s">
        <v>33891</v>
      </c>
      <c r="E8385" s="4" t="s">
        <v>35441</v>
      </c>
    </row>
    <row r="8386" ht="14.25">
      <c r="B8386" s="4" t="s">
        <v>38967</v>
      </c>
      <c r="C8386" s="14" t="s">
        <v>33483</v>
      </c>
      <c r="D8386" s="4" t="s">
        <v>33511</v>
      </c>
      <c r="E8386" s="4" t="s">
        <v>34641</v>
      </c>
    </row>
    <row r="8387" ht="14.25">
      <c r="B8387" s="4" t="s">
        <v>38968</v>
      </c>
      <c r="C8387" s="14" t="s">
        <v>32848</v>
      </c>
      <c r="D8387" s="4" t="s">
        <v>32849</v>
      </c>
      <c r="E8387" s="4" t="s">
        <v>33227</v>
      </c>
    </row>
    <row r="8388" ht="14.25">
      <c r="B8388" s="4" t="s">
        <v>38969</v>
      </c>
      <c r="C8388" s="14" t="s">
        <v>34337</v>
      </c>
      <c r="D8388" s="4" t="s">
        <v>34338</v>
      </c>
      <c r="E8388" s="4" t="s">
        <v>36430</v>
      </c>
    </row>
    <row r="8389" ht="14.25">
      <c r="B8389" s="4" t="s">
        <v>38970</v>
      </c>
      <c r="C8389" s="14" t="s">
        <v>34596</v>
      </c>
      <c r="D8389" s="4" t="s">
        <v>34597</v>
      </c>
      <c r="E8389" s="4" t="s">
        <v>36977</v>
      </c>
    </row>
    <row r="8390" ht="14.25">
      <c r="B8390" s="4" t="s">
        <v>38971</v>
      </c>
      <c r="C8390" s="14" t="s">
        <v>32629</v>
      </c>
      <c r="D8390" s="4" t="s">
        <v>32634</v>
      </c>
      <c r="E8390" s="4" t="s">
        <v>32796</v>
      </c>
    </row>
    <row r="8391" ht="14.25">
      <c r="B8391" s="4" t="s">
        <v>38972</v>
      </c>
      <c r="C8391" s="14" t="s">
        <v>33077</v>
      </c>
      <c r="D8391" s="4" t="s">
        <v>33081</v>
      </c>
      <c r="E8391" s="4" t="s">
        <v>33754</v>
      </c>
    </row>
    <row r="8392" ht="14.25">
      <c r="B8392" s="4" t="s">
        <v>38973</v>
      </c>
      <c r="C8392" s="14" t="s">
        <v>33403</v>
      </c>
      <c r="D8392" s="4" t="s">
        <v>33404</v>
      </c>
      <c r="E8392" s="4" t="s">
        <v>34403</v>
      </c>
    </row>
    <row r="8393" ht="14.25">
      <c r="B8393" s="4" t="s">
        <v>38974</v>
      </c>
      <c r="C8393" s="14" t="s">
        <v>33751</v>
      </c>
      <c r="D8393" s="4" t="s">
        <v>33752</v>
      </c>
      <c r="E8393" s="4" t="s">
        <v>35120</v>
      </c>
    </row>
    <row r="8394" ht="14.25">
      <c r="B8394" s="4" t="s">
        <v>38975</v>
      </c>
      <c r="C8394" s="14" t="s">
        <v>34902</v>
      </c>
      <c r="D8394" s="4" t="s">
        <v>34903</v>
      </c>
      <c r="E8394" s="4" t="s">
        <v>37665</v>
      </c>
    </row>
    <row r="8395" ht="14.25">
      <c r="B8395" s="4" t="s">
        <v>38976</v>
      </c>
      <c r="C8395" s="14" t="s">
        <v>32959</v>
      </c>
      <c r="D8395" s="4" t="s">
        <v>32960</v>
      </c>
      <c r="E8395" s="4" t="s">
        <v>33502</v>
      </c>
    </row>
    <row r="8396" ht="14.25">
      <c r="B8396" s="4" t="s">
        <v>38977</v>
      </c>
      <c r="C8396" s="14" t="s">
        <v>34495</v>
      </c>
      <c r="D8396" s="4" t="s">
        <v>34496</v>
      </c>
      <c r="E8396" s="4" t="s">
        <v>36787</v>
      </c>
    </row>
    <row r="8397" ht="14.25">
      <c r="B8397" s="4" t="s">
        <v>38978</v>
      </c>
      <c r="C8397" s="14" t="s">
        <v>33655</v>
      </c>
      <c r="D8397" s="4" t="s">
        <v>33656</v>
      </c>
      <c r="E8397" s="4" t="s">
        <v>34952</v>
      </c>
    </row>
    <row r="8398" ht="14.25">
      <c r="B8398" s="4" t="s">
        <v>38979</v>
      </c>
      <c r="C8398" s="14" t="s">
        <v>32874</v>
      </c>
      <c r="D8398" s="4" t="s">
        <v>32875</v>
      </c>
      <c r="E8398" s="4" t="s">
        <v>33273</v>
      </c>
    </row>
    <row r="8399" ht="14.25">
      <c r="B8399" s="4" t="s">
        <v>38980</v>
      </c>
      <c r="C8399" s="14" t="s">
        <v>34666</v>
      </c>
      <c r="D8399" s="4" t="s">
        <v>34667</v>
      </c>
      <c r="E8399" s="4" t="s">
        <v>37211</v>
      </c>
    </row>
    <row r="8400" ht="14.25">
      <c r="B8400" s="4" t="s">
        <v>38981</v>
      </c>
      <c r="C8400" s="14" t="s">
        <v>34143</v>
      </c>
      <c r="D8400" s="4" t="s">
        <v>34144</v>
      </c>
      <c r="E8400" s="4" t="s">
        <v>35973</v>
      </c>
    </row>
    <row r="8401" ht="14.25">
      <c r="B8401" s="4" t="s">
        <v>38982</v>
      </c>
      <c r="C8401" s="14" t="s">
        <v>34286</v>
      </c>
      <c r="D8401" s="4" t="s">
        <v>34287</v>
      </c>
      <c r="E8401" s="4" t="s">
        <v>36310</v>
      </c>
    </row>
    <row r="8402" ht="14.25">
      <c r="B8402" s="4" t="s">
        <v>38983</v>
      </c>
      <c r="C8402" s="14" t="s">
        <v>35181</v>
      </c>
      <c r="D8402" s="4" t="s">
        <v>35182</v>
      </c>
      <c r="E8402" s="4" t="s">
        <v>38258</v>
      </c>
    </row>
    <row r="8403" ht="14.25">
      <c r="B8403" s="4" t="s">
        <v>38984</v>
      </c>
      <c r="C8403" s="14" t="s">
        <v>32959</v>
      </c>
      <c r="D8403" s="4" t="s">
        <v>32960</v>
      </c>
      <c r="E8403" s="4" t="s">
        <v>33481</v>
      </c>
    </row>
    <row r="8404" ht="14.25">
      <c r="B8404" s="4" t="s">
        <v>38985</v>
      </c>
      <c r="C8404" s="14" t="s">
        <v>33346</v>
      </c>
      <c r="D8404" s="4" t="s">
        <v>33356</v>
      </c>
      <c r="E8404" s="4" t="s">
        <v>34305</v>
      </c>
    </row>
    <row r="8405" ht="14.25">
      <c r="B8405" s="4" t="s">
        <v>38986</v>
      </c>
      <c r="C8405" s="14" t="s">
        <v>33677</v>
      </c>
      <c r="D8405" s="4" t="s">
        <v>33686</v>
      </c>
      <c r="E8405" s="4" t="s">
        <v>34990</v>
      </c>
    </row>
    <row r="8406" ht="14.25">
      <c r="B8406" s="4" t="s">
        <v>38987</v>
      </c>
      <c r="C8406" s="14" t="s">
        <v>32671</v>
      </c>
      <c r="D8406" s="4" t="s">
        <v>32672</v>
      </c>
      <c r="E8406" s="4" t="s">
        <v>32885</v>
      </c>
    </row>
    <row r="8407" ht="14.25">
      <c r="B8407" s="4" t="s">
        <v>38988</v>
      </c>
      <c r="C8407" s="14" t="s">
        <v>35048</v>
      </c>
      <c r="D8407" s="4" t="s">
        <v>35049</v>
      </c>
      <c r="E8407" s="4" t="s">
        <v>37983</v>
      </c>
    </row>
    <row r="8408" ht="14.25">
      <c r="B8408" s="4" t="s">
        <v>38989</v>
      </c>
      <c r="C8408" s="14" t="s">
        <v>33583</v>
      </c>
      <c r="D8408" s="4" t="s">
        <v>33587</v>
      </c>
      <c r="E8408" s="4" t="s">
        <v>34786</v>
      </c>
    </row>
    <row r="8409" ht="14.25">
      <c r="B8409" s="4" t="s">
        <v>38990</v>
      </c>
      <c r="C8409" s="14" t="s">
        <v>34390</v>
      </c>
      <c r="D8409" s="4" t="s">
        <v>34391</v>
      </c>
      <c r="E8409" s="4" t="s">
        <v>36551</v>
      </c>
    </row>
    <row r="8410" ht="14.25">
      <c r="B8410" s="4" t="s">
        <v>38991</v>
      </c>
      <c r="C8410" s="14" t="s">
        <v>34091</v>
      </c>
      <c r="D8410" s="4" t="s">
        <v>34092</v>
      </c>
      <c r="E8410" s="4" t="s">
        <v>35877</v>
      </c>
    </row>
    <row r="8411" ht="14.25">
      <c r="B8411" s="4" t="s">
        <v>38992</v>
      </c>
      <c r="C8411" s="14" t="s">
        <v>33816</v>
      </c>
      <c r="D8411" s="4" t="s">
        <v>33817</v>
      </c>
      <c r="E8411" s="4" t="s">
        <v>35302</v>
      </c>
    </row>
    <row r="8412" ht="14.25">
      <c r="B8412" s="4" t="s">
        <v>38993</v>
      </c>
      <c r="C8412" s="14" t="s">
        <v>32942</v>
      </c>
      <c r="D8412" s="4" t="s">
        <v>32943</v>
      </c>
      <c r="E8412" s="4" t="s">
        <v>33414</v>
      </c>
    </row>
    <row r="8413" ht="14.25">
      <c r="B8413" s="4" t="s">
        <v>38994</v>
      </c>
      <c r="C8413" s="14" t="s">
        <v>33106</v>
      </c>
      <c r="D8413" s="4" t="s">
        <v>33107</v>
      </c>
      <c r="E8413" s="4" t="s">
        <v>33819</v>
      </c>
    </row>
    <row r="8414" ht="14.25">
      <c r="B8414" s="4" t="s">
        <v>38995</v>
      </c>
      <c r="C8414" s="14" t="s">
        <v>34060</v>
      </c>
      <c r="D8414" s="4" t="s">
        <v>34061</v>
      </c>
      <c r="E8414" s="4" t="s">
        <v>35828</v>
      </c>
    </row>
    <row r="8415" ht="14.25">
      <c r="B8415" s="4" t="s">
        <v>38996</v>
      </c>
      <c r="C8415" s="14" t="s">
        <v>34060</v>
      </c>
      <c r="D8415" s="4" t="s">
        <v>34061</v>
      </c>
      <c r="E8415" s="4" t="s">
        <v>35811</v>
      </c>
    </row>
    <row r="8416" ht="14.25">
      <c r="B8416" s="4" t="s">
        <v>38997</v>
      </c>
      <c r="C8416" s="14" t="s">
        <v>34754</v>
      </c>
      <c r="D8416" s="4" t="s">
        <v>34755</v>
      </c>
      <c r="E8416" s="4" t="s">
        <v>37381</v>
      </c>
    </row>
    <row r="8417" ht="14.25">
      <c r="B8417" s="4" t="s">
        <v>38998</v>
      </c>
      <c r="C8417" s="14" t="s">
        <v>34603</v>
      </c>
      <c r="D8417" s="4" t="s">
        <v>34604</v>
      </c>
      <c r="E8417" s="4" t="s">
        <v>36999</v>
      </c>
    </row>
    <row r="8418" ht="14.25">
      <c r="B8418" s="4" t="s">
        <v>38999</v>
      </c>
      <c r="C8418" s="14" t="s">
        <v>34992</v>
      </c>
      <c r="D8418" s="4" t="s">
        <v>34993</v>
      </c>
      <c r="E8418" s="4" t="s">
        <v>37868</v>
      </c>
    </row>
    <row r="8419" ht="14.25">
      <c r="B8419" s="4" t="s">
        <v>39000</v>
      </c>
      <c r="C8419" s="14" t="s">
        <v>33939</v>
      </c>
      <c r="D8419" s="4" t="s">
        <v>33940</v>
      </c>
      <c r="E8419" s="4" t="s">
        <v>35540</v>
      </c>
    </row>
    <row r="8420" ht="14.25">
      <c r="B8420" s="4" t="s">
        <v>39001</v>
      </c>
      <c r="C8420" s="14" t="s">
        <v>34195</v>
      </c>
      <c r="D8420" s="4" t="s">
        <v>34196</v>
      </c>
      <c r="E8420" s="4" t="s">
        <v>36077</v>
      </c>
    </row>
    <row r="8421" ht="14.25">
      <c r="B8421" s="4" t="s">
        <v>39002</v>
      </c>
      <c r="C8421" s="14" t="s">
        <v>34043</v>
      </c>
      <c r="D8421" s="4" t="s">
        <v>34047</v>
      </c>
      <c r="E8421" s="4" t="s">
        <v>35738</v>
      </c>
    </row>
    <row r="8422" ht="14.25">
      <c r="B8422" s="4" t="s">
        <v>39003</v>
      </c>
      <c r="C8422" s="14" t="s">
        <v>33149</v>
      </c>
      <c r="D8422" s="4" t="s">
        <v>33162</v>
      </c>
      <c r="E8422" s="4" t="s">
        <v>33915</v>
      </c>
    </row>
    <row r="8423" ht="14.25">
      <c r="B8423" s="4" t="s">
        <v>39004</v>
      </c>
      <c r="C8423" s="14" t="s">
        <v>32987</v>
      </c>
      <c r="D8423" s="4" t="s">
        <v>32988</v>
      </c>
      <c r="E8423" s="4" t="s">
        <v>33565</v>
      </c>
    </row>
    <row r="8424" ht="14.25">
      <c r="B8424" s="4" t="s">
        <v>39005</v>
      </c>
      <c r="C8424" s="14" t="s">
        <v>34038</v>
      </c>
      <c r="D8424" s="4" t="s">
        <v>34039</v>
      </c>
      <c r="E8424" s="4" t="s">
        <v>35727</v>
      </c>
    </row>
    <row r="8425" ht="14.25">
      <c r="B8425" s="4" t="s">
        <v>39006</v>
      </c>
      <c r="C8425" s="14" t="s">
        <v>33224</v>
      </c>
      <c r="D8425" s="4" t="s">
        <v>33225</v>
      </c>
      <c r="E8425" s="4" t="s">
        <v>34024</v>
      </c>
    </row>
    <row r="8426" ht="14.25">
      <c r="B8426" s="4" t="s">
        <v>39007</v>
      </c>
      <c r="C8426" s="14" t="s">
        <v>33430</v>
      </c>
      <c r="D8426" s="4" t="s">
        <v>33431</v>
      </c>
      <c r="E8426" s="4" t="s">
        <v>34483</v>
      </c>
    </row>
    <row r="8427" ht="14.25">
      <c r="B8427" s="4" t="s">
        <v>39008</v>
      </c>
      <c r="C8427" s="14" t="s">
        <v>35217</v>
      </c>
      <c r="D8427" s="4" t="s">
        <v>35218</v>
      </c>
      <c r="E8427" s="4" t="s">
        <v>38318</v>
      </c>
    </row>
    <row r="8428" ht="14.25">
      <c r="B8428" s="4" t="s">
        <v>39009</v>
      </c>
      <c r="C8428" s="14" t="s">
        <v>33233</v>
      </c>
      <c r="D8428" s="4" t="s">
        <v>33234</v>
      </c>
      <c r="E8428" s="4" t="s">
        <v>34054</v>
      </c>
    </row>
    <row r="8429" ht="14.25">
      <c r="B8429" s="4" t="s">
        <v>39010</v>
      </c>
      <c r="C8429" s="14" t="s">
        <v>33242</v>
      </c>
      <c r="D8429" s="4" t="s">
        <v>33243</v>
      </c>
      <c r="E8429" s="4" t="s">
        <v>34063</v>
      </c>
    </row>
    <row r="8430" ht="14.25">
      <c r="B8430" s="4" t="s">
        <v>39011</v>
      </c>
      <c r="C8430" s="14" t="s">
        <v>33247</v>
      </c>
      <c r="D8430" s="4" t="s">
        <v>33248</v>
      </c>
      <c r="E8430" s="4" t="s">
        <v>34076</v>
      </c>
    </row>
    <row r="8431" ht="14.25">
      <c r="B8431" s="4" t="s">
        <v>39012</v>
      </c>
      <c r="C8431" s="14" t="s">
        <v>34827</v>
      </c>
      <c r="D8431" s="4" t="s">
        <v>34832</v>
      </c>
      <c r="E8431" s="4" t="s">
        <v>37537</v>
      </c>
    </row>
    <row r="8432" ht="14.25">
      <c r="B8432" s="4" t="s">
        <v>39013</v>
      </c>
      <c r="C8432" s="14" t="s">
        <v>33430</v>
      </c>
      <c r="D8432" s="4" t="s">
        <v>33436</v>
      </c>
      <c r="E8432" s="4" t="s">
        <v>34531</v>
      </c>
    </row>
    <row r="8433" ht="14.25">
      <c r="B8433" s="4" t="s">
        <v>39014</v>
      </c>
      <c r="C8433" s="14" t="s">
        <v>33781</v>
      </c>
      <c r="D8433" s="4" t="s">
        <v>33782</v>
      </c>
      <c r="E8433" s="4" t="s">
        <v>35177</v>
      </c>
    </row>
    <row r="8434" ht="14.25">
      <c r="B8434" s="4" t="s">
        <v>39015</v>
      </c>
      <c r="C8434" s="14" t="s">
        <v>34143</v>
      </c>
      <c r="D8434" s="4" t="s">
        <v>34149</v>
      </c>
      <c r="E8434" s="4" t="s">
        <v>35991</v>
      </c>
    </row>
    <row r="8435" ht="14.25">
      <c r="B8435" s="4" t="s">
        <v>39016</v>
      </c>
      <c r="C8435" s="14" t="s">
        <v>34783</v>
      </c>
      <c r="D8435" s="4" t="s">
        <v>34784</v>
      </c>
      <c r="E8435" s="4" t="s">
        <v>37425</v>
      </c>
    </row>
    <row r="8436" ht="14.25">
      <c r="B8436" s="4" t="s">
        <v>39017</v>
      </c>
      <c r="C8436" s="14" t="s">
        <v>34425</v>
      </c>
      <c r="D8436" s="4" t="s">
        <v>34430</v>
      </c>
      <c r="E8436" s="4" t="s">
        <v>36630</v>
      </c>
    </row>
    <row r="8437" ht="14.25">
      <c r="B8437" s="4" t="s">
        <v>39018</v>
      </c>
      <c r="C8437" s="14" t="s">
        <v>34968</v>
      </c>
      <c r="D8437" s="4" t="s">
        <v>34969</v>
      </c>
      <c r="E8437" s="4" t="s">
        <v>37811</v>
      </c>
    </row>
    <row r="8438" ht="14.25">
      <c r="B8438" s="4" t="s">
        <v>39019</v>
      </c>
      <c r="C8438" s="14" t="s">
        <v>33261</v>
      </c>
      <c r="D8438" s="4" t="s">
        <v>33266</v>
      </c>
      <c r="E8438" s="4" t="s">
        <v>34109</v>
      </c>
    </row>
    <row r="8439" ht="14.25">
      <c r="B8439" s="4" t="s">
        <v>39020</v>
      </c>
      <c r="C8439" s="14" t="s">
        <v>34297</v>
      </c>
      <c r="D8439" s="4" t="s">
        <v>34298</v>
      </c>
      <c r="E8439" s="4" t="s">
        <v>36327</v>
      </c>
    </row>
    <row r="8440" ht="14.25">
      <c r="B8440" s="4" t="s">
        <v>39021</v>
      </c>
      <c r="C8440" s="14" t="s">
        <v>33149</v>
      </c>
      <c r="D8440" s="4" t="s">
        <v>33154</v>
      </c>
      <c r="E8440" s="4" t="s">
        <v>33893</v>
      </c>
    </row>
    <row r="8441" ht="14.25">
      <c r="B8441" s="4" t="s">
        <v>39022</v>
      </c>
      <c r="C8441" s="14" t="s">
        <v>33275</v>
      </c>
      <c r="D8441" s="4" t="s">
        <v>33276</v>
      </c>
      <c r="E8441" s="4" t="s">
        <v>34128</v>
      </c>
    </row>
    <row r="8442" ht="14.25">
      <c r="B8442" s="4" t="s">
        <v>39023</v>
      </c>
      <c r="C8442" s="14" t="s">
        <v>33279</v>
      </c>
      <c r="D8442" s="4" t="s">
        <v>33280</v>
      </c>
      <c r="E8442" s="4" t="s">
        <v>34133</v>
      </c>
    </row>
    <row r="8443" ht="14.25">
      <c r="B8443" s="4" t="s">
        <v>39024</v>
      </c>
      <c r="C8443" s="14" t="s">
        <v>33279</v>
      </c>
      <c r="D8443" s="4" t="s">
        <v>33280</v>
      </c>
      <c r="E8443" s="4" t="s">
        <v>34146</v>
      </c>
    </row>
    <row r="8444" ht="14.25">
      <c r="B8444" s="4" t="s">
        <v>33303</v>
      </c>
      <c r="C8444" s="14" t="s">
        <v>33302</v>
      </c>
      <c r="D8444" s="4" t="s">
        <v>33303</v>
      </c>
      <c r="E8444" s="4" t="s">
        <v>34173</v>
      </c>
    </row>
    <row r="8445" ht="14.25">
      <c r="B8445" s="4" t="s">
        <v>39025</v>
      </c>
      <c r="C8445" s="14" t="s">
        <v>34863</v>
      </c>
      <c r="D8445" s="4" t="s">
        <v>34864</v>
      </c>
      <c r="E8445" s="4" t="s">
        <v>37612</v>
      </c>
    </row>
    <row r="8446" ht="14.25">
      <c r="B8446" s="4" t="s">
        <v>39026</v>
      </c>
      <c r="C8446" s="14" t="s">
        <v>33098</v>
      </c>
      <c r="D8446" s="4" t="s">
        <v>33099</v>
      </c>
      <c r="E8446" s="4" t="s">
        <v>33795</v>
      </c>
    </row>
    <row r="8447" ht="14.25">
      <c r="B8447" s="4" t="s">
        <v>39027</v>
      </c>
      <c r="C8447" s="14" t="s">
        <v>32748</v>
      </c>
      <c r="D8447" s="4" t="s">
        <v>32749</v>
      </c>
      <c r="E8447" s="4" t="s">
        <v>33042</v>
      </c>
    </row>
    <row r="8448" ht="14.25">
      <c r="B8448" s="4" t="s">
        <v>39028</v>
      </c>
      <c r="C8448" s="14" t="s">
        <v>33859</v>
      </c>
      <c r="D8448" s="4" t="s">
        <v>33860</v>
      </c>
      <c r="E8448" s="4" t="s">
        <v>35379</v>
      </c>
    </row>
    <row r="8449" ht="14.25">
      <c r="B8449" s="4" t="s">
        <v>39029</v>
      </c>
      <c r="C8449" s="14" t="s">
        <v>35306</v>
      </c>
      <c r="D8449" s="4" t="s">
        <v>35310</v>
      </c>
      <c r="E8449" s="4" t="s">
        <v>38509</v>
      </c>
    </row>
    <row r="8450" ht="14.25">
      <c r="B8450" s="4" t="s">
        <v>39030</v>
      </c>
      <c r="C8450" s="14" t="s">
        <v>35217</v>
      </c>
      <c r="D8450" s="4" t="s">
        <v>35224</v>
      </c>
      <c r="E8450" s="4" t="s">
        <v>38323</v>
      </c>
    </row>
    <row r="8451" ht="14.25">
      <c r="B8451" s="4" t="s">
        <v>39031</v>
      </c>
      <c r="C8451" s="14" t="s">
        <v>33994</v>
      </c>
      <c r="D8451" s="4" t="s">
        <v>33995</v>
      </c>
      <c r="E8451" s="4" t="s">
        <v>35628</v>
      </c>
    </row>
    <row r="8452" ht="14.25">
      <c r="B8452" s="4" t="s">
        <v>39032</v>
      </c>
      <c r="C8452" s="14" t="s">
        <v>32864</v>
      </c>
      <c r="D8452" s="4" t="s">
        <v>32865</v>
      </c>
      <c r="E8452" s="4" t="s">
        <v>33259</v>
      </c>
    </row>
    <row r="8453" ht="14.25">
      <c r="B8453" s="4" t="s">
        <v>39033</v>
      </c>
      <c r="C8453" s="14" t="s">
        <v>33224</v>
      </c>
      <c r="D8453" s="4" t="s">
        <v>33225</v>
      </c>
      <c r="E8453" s="4" t="s">
        <v>34034</v>
      </c>
    </row>
    <row r="8454" ht="14.25">
      <c r="B8454" s="4" t="s">
        <v>39034</v>
      </c>
      <c r="C8454" s="14" t="s">
        <v>35455</v>
      </c>
      <c r="D8454" s="4" t="s">
        <v>35456</v>
      </c>
      <c r="E8454" s="4" t="s">
        <v>38804</v>
      </c>
    </row>
    <row r="8455" ht="14.25">
      <c r="B8455" s="4" t="s">
        <v>39035</v>
      </c>
      <c r="C8455" s="14" t="s">
        <v>33056</v>
      </c>
      <c r="D8455" s="4" t="s">
        <v>33057</v>
      </c>
      <c r="E8455" s="4" t="s">
        <v>33699</v>
      </c>
    </row>
    <row r="8456" ht="14.25">
      <c r="B8456" s="4" t="s">
        <v>39036</v>
      </c>
      <c r="C8456" s="14" t="s">
        <v>32711</v>
      </c>
      <c r="D8456" s="4" t="s">
        <v>32712</v>
      </c>
      <c r="E8456" s="4" t="s">
        <v>32966</v>
      </c>
    </row>
    <row r="8457" ht="14.25">
      <c r="B8457" s="4" t="s">
        <v>39037</v>
      </c>
      <c r="C8457" s="14" t="s">
        <v>33339</v>
      </c>
      <c r="D8457" s="4" t="s">
        <v>33340</v>
      </c>
      <c r="E8457" s="4" t="s">
        <v>34249</v>
      </c>
    </row>
    <row r="8458" ht="14.25">
      <c r="B8458" s="4" t="s">
        <v>39038</v>
      </c>
      <c r="C8458" s="14" t="s">
        <v>33035</v>
      </c>
      <c r="D8458" s="4" t="s">
        <v>33046</v>
      </c>
      <c r="E8458" s="4" t="s">
        <v>33684</v>
      </c>
    </row>
    <row r="8459" ht="14.25">
      <c r="B8459" s="4" t="s">
        <v>39039</v>
      </c>
      <c r="C8459" s="14" t="s">
        <v>34933</v>
      </c>
      <c r="D8459" s="4" t="s">
        <v>34934</v>
      </c>
      <c r="E8459" s="4" t="s">
        <v>37732</v>
      </c>
    </row>
    <row r="8460" ht="14.25">
      <c r="B8460" s="4" t="s">
        <v>39040</v>
      </c>
      <c r="C8460" s="14" t="s">
        <v>33012</v>
      </c>
      <c r="D8460" s="4" t="s">
        <v>33013</v>
      </c>
      <c r="E8460" s="4" t="s">
        <v>33598</v>
      </c>
    </row>
    <row r="8461" ht="14.25">
      <c r="B8461" s="4" t="s">
        <v>39041</v>
      </c>
      <c r="C8461" s="14" t="s">
        <v>34495</v>
      </c>
      <c r="D8461" s="4" t="s">
        <v>34496</v>
      </c>
      <c r="E8461" s="4" t="s">
        <v>36782</v>
      </c>
    </row>
    <row r="8462" ht="14.25">
      <c r="B8462" s="4" t="s">
        <v>39042</v>
      </c>
      <c r="C8462" s="14" t="s">
        <v>34143</v>
      </c>
      <c r="D8462" s="4" t="s">
        <v>34144</v>
      </c>
      <c r="E8462" s="4" t="s">
        <v>35980</v>
      </c>
    </row>
    <row r="8463" ht="14.25">
      <c r="B8463" s="4" t="s">
        <v>39043</v>
      </c>
      <c r="C8463" s="14" t="s">
        <v>33261</v>
      </c>
      <c r="D8463" s="4" t="s">
        <v>33266</v>
      </c>
      <c r="E8463" s="4" t="s">
        <v>34121</v>
      </c>
    </row>
    <row r="8464" ht="14.25">
      <c r="B8464" s="4" t="s">
        <v>39044</v>
      </c>
      <c r="C8464" s="14" t="s">
        <v>35128</v>
      </c>
      <c r="D8464" s="4" t="s">
        <v>35129</v>
      </c>
      <c r="E8464" s="4" t="s">
        <v>38131</v>
      </c>
    </row>
    <row r="8465" ht="14.25">
      <c r="B8465" s="4" t="s">
        <v>39045</v>
      </c>
      <c r="C8465" s="14" t="s">
        <v>33056</v>
      </c>
      <c r="D8465" s="4" t="s">
        <v>33057</v>
      </c>
      <c r="E8465" s="4" t="s">
        <v>33716</v>
      </c>
    </row>
    <row r="8466" ht="14.25">
      <c r="B8466" s="4" t="s">
        <v>39046</v>
      </c>
      <c r="C8466" s="14" t="s">
        <v>34706</v>
      </c>
      <c r="D8466" s="4" t="s">
        <v>34713</v>
      </c>
      <c r="E8466" s="4" t="s">
        <v>37303</v>
      </c>
    </row>
    <row r="8467" ht="14.25">
      <c r="B8467" s="4" t="s">
        <v>39047</v>
      </c>
      <c r="C8467" s="14" t="s">
        <v>33604</v>
      </c>
      <c r="D8467" s="4" t="s">
        <v>33605</v>
      </c>
      <c r="E8467" s="4" t="s">
        <v>34834</v>
      </c>
    </row>
    <row r="8468" ht="14.25">
      <c r="B8468" s="4" t="s">
        <v>39048</v>
      </c>
      <c r="C8468" s="14" t="s">
        <v>33193</v>
      </c>
      <c r="D8468" s="4" t="s">
        <v>33206</v>
      </c>
      <c r="E8468" s="4" t="s">
        <v>34018</v>
      </c>
    </row>
    <row r="8469" ht="14.25">
      <c r="B8469" s="4" t="s">
        <v>39049</v>
      </c>
      <c r="C8469" s="14" t="s">
        <v>34308</v>
      </c>
      <c r="D8469" s="4" t="s">
        <v>34309</v>
      </c>
      <c r="E8469" s="4" t="s">
        <v>36348</v>
      </c>
    </row>
    <row r="8470" ht="14.25">
      <c r="B8470" s="4" t="s">
        <v>39050</v>
      </c>
      <c r="C8470" s="14" t="s">
        <v>35321</v>
      </c>
      <c r="D8470" s="4" t="s">
        <v>35322</v>
      </c>
      <c r="E8470" s="4" t="s">
        <v>38524</v>
      </c>
    </row>
    <row r="8471" ht="14.25">
      <c r="B8471" s="4" t="s">
        <v>39051</v>
      </c>
      <c r="C8471" s="14" t="s">
        <v>34412</v>
      </c>
      <c r="D8471" s="4" t="s">
        <v>34413</v>
      </c>
      <c r="E8471" s="4" t="s">
        <v>36598</v>
      </c>
    </row>
    <row r="8472" ht="14.25">
      <c r="B8472" s="4" t="s">
        <v>39052</v>
      </c>
      <c r="C8472" s="14" t="s">
        <v>34158</v>
      </c>
      <c r="D8472" s="4" t="s">
        <v>34159</v>
      </c>
      <c r="E8472" s="4" t="s">
        <v>36001</v>
      </c>
    </row>
    <row r="8473" ht="14.25">
      <c r="B8473" s="4" t="s">
        <v>39053</v>
      </c>
      <c r="C8473" s="14" t="s">
        <v>35090</v>
      </c>
      <c r="D8473" s="4" t="s">
        <v>35091</v>
      </c>
      <c r="E8473" s="4" t="s">
        <v>38049</v>
      </c>
    </row>
    <row r="8474" ht="14.25">
      <c r="B8474" s="4" t="s">
        <v>39054</v>
      </c>
      <c r="C8474" s="14" t="s">
        <v>34796</v>
      </c>
      <c r="D8474" s="4" t="s">
        <v>34797</v>
      </c>
      <c r="E8474" s="4" t="s">
        <v>37444</v>
      </c>
    </row>
    <row r="8475" ht="14.25">
      <c r="B8475" s="4" t="s">
        <v>39055</v>
      </c>
      <c r="C8475" s="14" t="s">
        <v>33019</v>
      </c>
      <c r="D8475" s="4" t="s">
        <v>33020</v>
      </c>
      <c r="E8475" s="4" t="s">
        <v>33639</v>
      </c>
    </row>
    <row r="8476" ht="14.25">
      <c r="B8476" s="4" t="s">
        <v>39056</v>
      </c>
      <c r="C8476" s="14" t="s">
        <v>34060</v>
      </c>
      <c r="D8476" s="4" t="s">
        <v>34061</v>
      </c>
      <c r="E8476" s="4" t="s">
        <v>35794</v>
      </c>
    </row>
    <row r="8477" ht="14.25">
      <c r="B8477" s="4" t="s">
        <v>39057</v>
      </c>
      <c r="C8477" s="14" t="s">
        <v>35337</v>
      </c>
      <c r="D8477" s="4" t="s">
        <v>35338</v>
      </c>
      <c r="E8477" s="4" t="s">
        <v>38546</v>
      </c>
    </row>
    <row r="8478" ht="14.25">
      <c r="B8478" s="4" t="s">
        <v>39058</v>
      </c>
      <c r="C8478" s="14" t="s">
        <v>34617</v>
      </c>
      <c r="D8478" s="4" t="s">
        <v>34629</v>
      </c>
      <c r="E8478" s="4" t="s">
        <v>37052</v>
      </c>
    </row>
    <row r="8479" ht="14.25">
      <c r="B8479" s="4" t="s">
        <v>39059</v>
      </c>
      <c r="C8479" s="14" t="s">
        <v>34617</v>
      </c>
      <c r="D8479" s="4" t="s">
        <v>34639</v>
      </c>
      <c r="E8479" s="4" t="s">
        <v>37096</v>
      </c>
    </row>
    <row r="8480" ht="14.25">
      <c r="B8480" s="4" t="s">
        <v>39060</v>
      </c>
      <c r="C8480" s="14" t="s">
        <v>34516</v>
      </c>
      <c r="D8480" s="4" t="s">
        <v>34517</v>
      </c>
      <c r="E8480" s="4" t="s">
        <v>36810</v>
      </c>
    </row>
    <row r="8481" ht="14.25">
      <c r="B8481" s="4" t="s">
        <v>39061</v>
      </c>
      <c r="C8481" s="14" t="s">
        <v>33578</v>
      </c>
      <c r="D8481" s="4" t="s">
        <v>33579</v>
      </c>
      <c r="E8481" s="4" t="s">
        <v>34776</v>
      </c>
    </row>
    <row r="8482" ht="14.25">
      <c r="B8482" s="4" t="s">
        <v>39062</v>
      </c>
      <c r="C8482" s="14" t="s">
        <v>35181</v>
      </c>
      <c r="D8482" s="4" t="s">
        <v>35187</v>
      </c>
      <c r="E8482" s="4" t="s">
        <v>38262</v>
      </c>
    </row>
    <row r="8483" ht="14.25">
      <c r="B8483" s="4" t="s">
        <v>39063</v>
      </c>
      <c r="C8483" s="14" t="s">
        <v>34286</v>
      </c>
      <c r="D8483" s="4" t="s">
        <v>34287</v>
      </c>
      <c r="E8483" s="4" t="s">
        <v>36294</v>
      </c>
    </row>
    <row r="8484" ht="14.25">
      <c r="B8484" s="4" t="s">
        <v>39064</v>
      </c>
      <c r="C8484" s="14" t="s">
        <v>35197</v>
      </c>
      <c r="D8484" s="4" t="s">
        <v>35198</v>
      </c>
      <c r="E8484" s="4" t="s">
        <v>38283</v>
      </c>
    </row>
    <row r="8485" ht="14.25">
      <c r="B8485" s="4" t="s">
        <v>39065</v>
      </c>
      <c r="C8485" s="14" t="s">
        <v>34617</v>
      </c>
      <c r="D8485" s="4" t="s">
        <v>34636</v>
      </c>
      <c r="E8485" s="4" t="s">
        <v>37082</v>
      </c>
    </row>
    <row r="8486" ht="14.25">
      <c r="B8486" s="4" t="s">
        <v>39066</v>
      </c>
      <c r="C8486" s="14" t="s">
        <v>34011</v>
      </c>
      <c r="D8486" s="4" t="s">
        <v>34012</v>
      </c>
      <c r="E8486" s="4" t="s">
        <v>35668</v>
      </c>
    </row>
    <row r="8487" ht="14.25">
      <c r="B8487" s="4" t="s">
        <v>39067</v>
      </c>
      <c r="C8487" s="14" t="s">
        <v>33792</v>
      </c>
      <c r="D8487" s="4" t="s">
        <v>33793</v>
      </c>
      <c r="E8487" s="4" t="s">
        <v>35200</v>
      </c>
    </row>
    <row r="8488" ht="14.25">
      <c r="B8488" s="4" t="s">
        <v>39068</v>
      </c>
      <c r="C8488" s="14" t="s">
        <v>34968</v>
      </c>
      <c r="D8488" s="4" t="s">
        <v>34969</v>
      </c>
      <c r="E8488" s="4" t="s">
        <v>37807</v>
      </c>
    </row>
    <row r="8489" ht="14.25">
      <c r="B8489" s="4" t="s">
        <v>39069</v>
      </c>
      <c r="C8489" s="14" t="s">
        <v>34337</v>
      </c>
      <c r="D8489" s="4" t="s">
        <v>34338</v>
      </c>
      <c r="E8489" s="4" t="s">
        <v>36443</v>
      </c>
    </row>
    <row r="8490" ht="14.25">
      <c r="B8490" s="4" t="s">
        <v>39070</v>
      </c>
      <c r="C8490" s="14" t="s">
        <v>34731</v>
      </c>
      <c r="D8490" s="4" t="s">
        <v>34732</v>
      </c>
      <c r="E8490" s="4" t="s">
        <v>37346</v>
      </c>
    </row>
    <row r="8491" ht="14.25">
      <c r="B8491" s="4" t="s">
        <v>39071</v>
      </c>
      <c r="C8491" s="14" t="s">
        <v>33186</v>
      </c>
      <c r="D8491" s="4" t="s">
        <v>33187</v>
      </c>
      <c r="E8491" s="4" t="s">
        <v>33961</v>
      </c>
    </row>
    <row r="8492" ht="14.25">
      <c r="B8492" s="4" t="s">
        <v>39072</v>
      </c>
      <c r="C8492" s="14" t="s">
        <v>33311</v>
      </c>
      <c r="D8492" s="4" t="s">
        <v>33312</v>
      </c>
      <c r="E8492" s="4" t="s">
        <v>34198</v>
      </c>
    </row>
    <row r="8493" ht="14.25">
      <c r="B8493" s="4" t="s">
        <v>39073</v>
      </c>
      <c r="C8493" s="14" t="s">
        <v>34723</v>
      </c>
      <c r="D8493" s="4" t="s">
        <v>34727</v>
      </c>
      <c r="E8493" s="4" t="s">
        <v>37337</v>
      </c>
    </row>
    <row r="8494" ht="14.25">
      <c r="B8494" s="4" t="s">
        <v>39074</v>
      </c>
      <c r="C8494" s="14" t="s">
        <v>32629</v>
      </c>
      <c r="D8494" s="4" t="s">
        <v>32630</v>
      </c>
      <c r="E8494" s="4" t="s">
        <v>32808</v>
      </c>
    </row>
    <row r="8495" ht="14.25">
      <c r="B8495" s="4" t="s">
        <v>39075</v>
      </c>
      <c r="C8495" s="14" t="s">
        <v>35251</v>
      </c>
      <c r="D8495" s="4" t="s">
        <v>35252</v>
      </c>
      <c r="E8495" s="4" t="s">
        <v>38363</v>
      </c>
    </row>
    <row r="8496" ht="14.25">
      <c r="B8496" s="4" t="s">
        <v>39076</v>
      </c>
      <c r="C8496" s="14" t="s">
        <v>34425</v>
      </c>
      <c r="D8496" s="4" t="s">
        <v>34430</v>
      </c>
      <c r="E8496" s="4" t="s">
        <v>36635</v>
      </c>
    </row>
    <row r="8497" ht="14.25">
      <c r="B8497" s="4" t="s">
        <v>39077</v>
      </c>
      <c r="C8497" s="14" t="s">
        <v>33377</v>
      </c>
      <c r="D8497" s="4" t="s">
        <v>33378</v>
      </c>
      <c r="E8497" s="4" t="s">
        <v>34340</v>
      </c>
    </row>
    <row r="8498" ht="14.25">
      <c r="B8498" s="4" t="s">
        <v>39078</v>
      </c>
      <c r="C8498" s="14" t="s">
        <v>34217</v>
      </c>
      <c r="D8498" s="4" t="s">
        <v>34218</v>
      </c>
      <c r="E8498" s="4" t="s">
        <v>36154</v>
      </c>
    </row>
    <row r="8499" ht="14.25">
      <c r="B8499" s="4" t="s">
        <v>39079</v>
      </c>
      <c r="C8499" s="14" t="s">
        <v>34736</v>
      </c>
      <c r="D8499" s="4" t="s">
        <v>34737</v>
      </c>
      <c r="E8499" s="4" t="s">
        <v>37352</v>
      </c>
    </row>
    <row r="8500" ht="14.25">
      <c r="B8500" s="4" t="s">
        <v>39080</v>
      </c>
      <c r="C8500" s="14" t="s">
        <v>32629</v>
      </c>
      <c r="D8500" s="4" t="s">
        <v>32648</v>
      </c>
      <c r="E8500" s="4" t="s">
        <v>32812</v>
      </c>
    </row>
    <row r="8501" ht="14.25">
      <c r="B8501" s="4" t="s">
        <v>39081</v>
      </c>
      <c r="C8501" s="14" t="s">
        <v>34754</v>
      </c>
      <c r="D8501" s="4" t="s">
        <v>34759</v>
      </c>
      <c r="E8501" s="4" t="s">
        <v>37385</v>
      </c>
    </row>
    <row r="8502" ht="14.25">
      <c r="B8502" s="4" t="s">
        <v>39082</v>
      </c>
      <c r="C8502" s="14" t="s">
        <v>34400</v>
      </c>
      <c r="D8502" s="4" t="s">
        <v>34401</v>
      </c>
      <c r="E8502" s="4" t="s">
        <v>36556</v>
      </c>
    </row>
    <row r="8503" ht="14.25">
      <c r="B8503" s="4" t="s">
        <v>39083</v>
      </c>
      <c r="C8503" s="14" t="s">
        <v>34130</v>
      </c>
      <c r="D8503" s="4" t="s">
        <v>34131</v>
      </c>
      <c r="E8503" s="4" t="s">
        <v>35953</v>
      </c>
    </row>
    <row r="8504" ht="14.25">
      <c r="B8504" s="4" t="s">
        <v>39084</v>
      </c>
      <c r="C8504" s="14" t="s">
        <v>33673</v>
      </c>
      <c r="D8504" s="4" t="s">
        <v>33674</v>
      </c>
      <c r="E8504" s="4" t="s">
        <v>34971</v>
      </c>
    </row>
    <row r="8505" ht="14.25">
      <c r="B8505" s="4" t="s">
        <v>39085</v>
      </c>
      <c r="C8505" s="14" t="s">
        <v>33102</v>
      </c>
      <c r="D8505" s="4" t="s">
        <v>33103</v>
      </c>
      <c r="E8505" s="4" t="s">
        <v>33799</v>
      </c>
    </row>
    <row r="8506" ht="14.25">
      <c r="B8506" s="4" t="s">
        <v>39086</v>
      </c>
      <c r="C8506" s="14" t="s">
        <v>33425</v>
      </c>
      <c r="D8506" s="4" t="s">
        <v>33426</v>
      </c>
      <c r="E8506" s="4" t="s">
        <v>34443</v>
      </c>
    </row>
    <row r="8507" ht="14.25">
      <c r="B8507" s="4" t="s">
        <v>39087</v>
      </c>
      <c r="C8507" s="14" t="s">
        <v>35417</v>
      </c>
      <c r="D8507" s="4" t="s">
        <v>35418</v>
      </c>
      <c r="E8507" s="4" t="s">
        <v>38738</v>
      </c>
    </row>
    <row r="8508" ht="14.25">
      <c r="B8508" s="4" t="s">
        <v>39088</v>
      </c>
      <c r="C8508" s="14" t="s">
        <v>32823</v>
      </c>
      <c r="D8508" s="4" t="s">
        <v>32828</v>
      </c>
      <c r="E8508" s="4" t="s">
        <v>33189</v>
      </c>
    </row>
    <row r="8509" ht="14.25">
      <c r="B8509" s="4" t="s">
        <v>39089</v>
      </c>
      <c r="C8509" s="14" t="s">
        <v>32682</v>
      </c>
      <c r="D8509" s="4" t="s">
        <v>32703</v>
      </c>
      <c r="E8509" s="4" t="s">
        <v>32948</v>
      </c>
    </row>
    <row r="8510" ht="14.25">
      <c r="B8510" s="4" t="s">
        <v>39090</v>
      </c>
      <c r="C8510" s="14" t="s">
        <v>32887</v>
      </c>
      <c r="D8510" s="4" t="s">
        <v>32888</v>
      </c>
      <c r="E8510" s="4" t="s">
        <v>33305</v>
      </c>
    </row>
    <row r="8511" ht="14.25">
      <c r="B8511" s="4" t="s">
        <v>39091</v>
      </c>
      <c r="C8511" s="14" t="s">
        <v>33751</v>
      </c>
      <c r="D8511" s="4" t="s">
        <v>33756</v>
      </c>
      <c r="E8511" s="4" t="s">
        <v>35125</v>
      </c>
    </row>
    <row r="8512" ht="14.25">
      <c r="B8512" s="4" t="s">
        <v>39092</v>
      </c>
      <c r="C8512" s="14" t="s">
        <v>32793</v>
      </c>
      <c r="D8512" s="4" t="s">
        <v>32806</v>
      </c>
      <c r="E8512" s="4" t="s">
        <v>33156</v>
      </c>
    </row>
    <row r="8513" ht="14.25">
      <c r="B8513" s="4" t="s">
        <v>39093</v>
      </c>
      <c r="C8513" s="14" t="s">
        <v>33705</v>
      </c>
      <c r="D8513" s="4" t="s">
        <v>33710</v>
      </c>
      <c r="E8513" s="4" t="s">
        <v>35025</v>
      </c>
    </row>
    <row r="8514" ht="14.25">
      <c r="B8514" s="4" t="s">
        <v>39094</v>
      </c>
      <c r="C8514" s="14" t="s">
        <v>34617</v>
      </c>
      <c r="D8514" s="4" t="s">
        <v>34655</v>
      </c>
      <c r="E8514" s="4" t="s">
        <v>37127</v>
      </c>
    </row>
    <row r="8515" ht="14.25">
      <c r="B8515" s="4" t="s">
        <v>39095</v>
      </c>
      <c r="C8515" s="14" t="s">
        <v>32793</v>
      </c>
      <c r="D8515" s="4" t="s">
        <v>32806</v>
      </c>
      <c r="E8515" s="4" t="s">
        <v>33152</v>
      </c>
    </row>
    <row r="8516" ht="14.25">
      <c r="B8516" s="4" t="s">
        <v>39096</v>
      </c>
      <c r="C8516" s="14" t="s">
        <v>33430</v>
      </c>
      <c r="D8516" s="4" t="s">
        <v>33436</v>
      </c>
      <c r="E8516" s="4" t="s">
        <v>34498</v>
      </c>
    </row>
    <row r="8517" ht="14.25">
      <c r="B8517" s="4" t="s">
        <v>39097</v>
      </c>
      <c r="C8517" s="14" t="s">
        <v>34468</v>
      </c>
      <c r="D8517" s="4" t="s">
        <v>34469</v>
      </c>
      <c r="E8517" s="4" t="s">
        <v>36689</v>
      </c>
    </row>
    <row r="8518" ht="14.25">
      <c r="B8518" s="4" t="s">
        <v>39098</v>
      </c>
      <c r="C8518" s="14" t="s">
        <v>32942</v>
      </c>
      <c r="D8518" s="4" t="s">
        <v>32947</v>
      </c>
      <c r="E8518" s="4" t="s">
        <v>33428</v>
      </c>
    </row>
    <row r="8519" ht="14.25">
      <c r="B8519" s="4" t="s">
        <v>39099</v>
      </c>
      <c r="C8519" s="14" t="s">
        <v>32839</v>
      </c>
      <c r="D8519" s="4" t="s">
        <v>32840</v>
      </c>
      <c r="E8519" s="4" t="s">
        <v>33208</v>
      </c>
    </row>
    <row r="8520" ht="14.25">
      <c r="B8520" s="4" t="s">
        <v>39100</v>
      </c>
      <c r="C8520" s="14" t="s">
        <v>33912</v>
      </c>
      <c r="D8520" s="4" t="s">
        <v>33913</v>
      </c>
      <c r="E8520" s="4" t="s">
        <v>35468</v>
      </c>
    </row>
    <row r="8521" ht="14.25">
      <c r="B8521" s="4" t="s">
        <v>39101</v>
      </c>
      <c r="C8521" s="14" t="s">
        <v>34060</v>
      </c>
      <c r="D8521" s="4" t="s">
        <v>34061</v>
      </c>
      <c r="E8521" s="4" t="s">
        <v>35777</v>
      </c>
    </row>
    <row r="8522" ht="14.25">
      <c r="B8522" s="4" t="s">
        <v>39102</v>
      </c>
      <c r="C8522" s="14" t="s">
        <v>33019</v>
      </c>
      <c r="D8522" s="4" t="s">
        <v>33020</v>
      </c>
      <c r="E8522" s="4" t="s">
        <v>33616</v>
      </c>
    </row>
    <row r="8523" ht="14.25">
      <c r="B8523" s="4" t="s">
        <v>39103</v>
      </c>
      <c r="C8523" s="14" t="s">
        <v>33172</v>
      </c>
      <c r="D8523" s="4" t="s">
        <v>33173</v>
      </c>
      <c r="E8523" s="4" t="s">
        <v>33936</v>
      </c>
    </row>
    <row r="8524" ht="14.25">
      <c r="B8524" s="4" t="s">
        <v>39104</v>
      </c>
      <c r="C8524" s="14" t="s">
        <v>32629</v>
      </c>
      <c r="D8524" s="4" t="s">
        <v>32652</v>
      </c>
      <c r="E8524" s="4" t="s">
        <v>32826</v>
      </c>
    </row>
    <row r="8525" ht="14.25">
      <c r="B8525" s="4" t="s">
        <v>39105</v>
      </c>
      <c r="C8525" s="14" t="s">
        <v>33583</v>
      </c>
      <c r="D8525" s="4" t="s">
        <v>33584</v>
      </c>
      <c r="E8525" s="4" t="s">
        <v>34781</v>
      </c>
    </row>
    <row r="8526" ht="14.25">
      <c r="B8526" s="4" t="s">
        <v>39106</v>
      </c>
      <c r="C8526" s="14" t="s">
        <v>34791</v>
      </c>
      <c r="D8526" s="4" t="s">
        <v>34792</v>
      </c>
      <c r="E8526" s="4" t="s">
        <v>37435</v>
      </c>
    </row>
    <row r="8527" ht="14.25">
      <c r="B8527" s="4" t="s">
        <v>39107</v>
      </c>
      <c r="C8527" s="14" t="s">
        <v>34754</v>
      </c>
      <c r="D8527" s="4" t="s">
        <v>34755</v>
      </c>
      <c r="E8527" s="4" t="s">
        <v>37397</v>
      </c>
    </row>
    <row r="8528" ht="14.25">
      <c r="B8528" s="4" t="s">
        <v>39108</v>
      </c>
      <c r="C8528" s="14" t="s">
        <v>33186</v>
      </c>
      <c r="D8528" s="4" t="s">
        <v>33187</v>
      </c>
      <c r="E8528" s="4" t="s">
        <v>33965</v>
      </c>
    </row>
    <row r="8529" ht="14.25">
      <c r="B8529" s="4" t="s">
        <v>39109</v>
      </c>
      <c r="C8529" s="14" t="s">
        <v>33958</v>
      </c>
      <c r="D8529" s="4" t="s">
        <v>33959</v>
      </c>
      <c r="E8529" s="4" t="s">
        <v>35567</v>
      </c>
    </row>
    <row r="8530" ht="14.25">
      <c r="B8530" s="4" t="s">
        <v>39110</v>
      </c>
      <c r="C8530" s="14" t="s">
        <v>35217</v>
      </c>
      <c r="D8530" s="4" t="s">
        <v>35218</v>
      </c>
      <c r="E8530" s="4" t="s">
        <v>38314</v>
      </c>
    </row>
    <row r="8531" ht="14.25">
      <c r="B8531" s="4" t="s">
        <v>39111</v>
      </c>
      <c r="C8531" s="14" t="s">
        <v>34516</v>
      </c>
      <c r="D8531" s="4" t="s">
        <v>34517</v>
      </c>
      <c r="E8531" s="4" t="s">
        <v>36800</v>
      </c>
    </row>
    <row r="8532" ht="14.25">
      <c r="B8532" s="4" t="s">
        <v>39112</v>
      </c>
      <c r="C8532" s="14" t="s">
        <v>35251</v>
      </c>
      <c r="D8532" s="4" t="s">
        <v>35252</v>
      </c>
      <c r="E8532" s="4" t="s">
        <v>38401</v>
      </c>
    </row>
    <row r="8533" ht="14.25">
      <c r="B8533" s="4" t="s">
        <v>39113</v>
      </c>
      <c r="C8533" s="14" t="s">
        <v>33844</v>
      </c>
      <c r="D8533" s="4" t="s">
        <v>33845</v>
      </c>
      <c r="E8533" s="4" t="s">
        <v>35353</v>
      </c>
    </row>
    <row r="8534" ht="14.25">
      <c r="B8534" s="4" t="s">
        <v>39114</v>
      </c>
      <c r="C8534" s="14" t="s">
        <v>32959</v>
      </c>
      <c r="D8534" s="4" t="s">
        <v>32964</v>
      </c>
      <c r="E8534" s="4" t="s">
        <v>33496</v>
      </c>
    </row>
    <row r="8535" ht="14.25">
      <c r="B8535" s="4" t="s">
        <v>39115</v>
      </c>
      <c r="C8535" s="14" t="s">
        <v>34596</v>
      </c>
      <c r="D8535" s="4" t="s">
        <v>34597</v>
      </c>
      <c r="E8535" s="4" t="s">
        <v>36988</v>
      </c>
    </row>
    <row r="8536" ht="14.25">
      <c r="B8536" s="4" t="s">
        <v>39116</v>
      </c>
      <c r="C8536" s="14" t="s">
        <v>33149</v>
      </c>
      <c r="D8536" s="4" t="s">
        <v>33166</v>
      </c>
      <c r="E8536" s="4" t="s">
        <v>33920</v>
      </c>
    </row>
    <row r="8537" ht="14.25">
      <c r="B8537" s="4" t="s">
        <v>39117</v>
      </c>
      <c r="C8537" s="14" t="s">
        <v>33677</v>
      </c>
      <c r="D8537" s="4" t="s">
        <v>33678</v>
      </c>
      <c r="E8537" s="4" t="s">
        <v>34981</v>
      </c>
    </row>
    <row r="8538" ht="14.25">
      <c r="B8538" s="4" t="s">
        <v>39118</v>
      </c>
      <c r="C8538" s="14" t="s">
        <v>33077</v>
      </c>
      <c r="D8538" s="4" t="s">
        <v>33088</v>
      </c>
      <c r="E8538" s="4" t="s">
        <v>33765</v>
      </c>
    </row>
    <row r="8539" ht="14.25">
      <c r="B8539" s="4" t="s">
        <v>39119</v>
      </c>
      <c r="C8539" s="14" t="s">
        <v>34740</v>
      </c>
      <c r="D8539" s="4" t="s">
        <v>34741</v>
      </c>
      <c r="E8539" s="4" t="s">
        <v>37360</v>
      </c>
    </row>
    <row r="8540" ht="14.25">
      <c r="B8540" s="4" t="s">
        <v>39120</v>
      </c>
      <c r="C8540" s="14" t="s">
        <v>34555</v>
      </c>
      <c r="D8540" s="4" t="s">
        <v>34556</v>
      </c>
      <c r="E8540" s="4" t="s">
        <v>36891</v>
      </c>
    </row>
    <row r="8541" ht="14.25">
      <c r="B8541" s="4" t="s">
        <v>39121</v>
      </c>
      <c r="C8541" s="14" t="s">
        <v>33939</v>
      </c>
      <c r="D8541" s="4" t="s">
        <v>33940</v>
      </c>
      <c r="E8541" s="4" t="s">
        <v>35529</v>
      </c>
    </row>
    <row r="8542" ht="14.25">
      <c r="B8542" s="4" t="s">
        <v>39122</v>
      </c>
      <c r="C8542" s="14" t="s">
        <v>35282</v>
      </c>
      <c r="D8542" s="4" t="s">
        <v>35283</v>
      </c>
      <c r="E8542" s="4" t="s">
        <v>38457</v>
      </c>
    </row>
    <row r="8543" ht="14.25">
      <c r="B8543" s="4" t="s">
        <v>39123</v>
      </c>
      <c r="C8543" s="14" t="s">
        <v>33844</v>
      </c>
      <c r="D8543" s="4" t="s">
        <v>33845</v>
      </c>
      <c r="E8543" s="4" t="s">
        <v>35375</v>
      </c>
    </row>
    <row r="8544" ht="14.25">
      <c r="B8544" s="4" t="s">
        <v>39124</v>
      </c>
      <c r="C8544" s="14" t="s">
        <v>35086</v>
      </c>
      <c r="D8544" s="4" t="s">
        <v>35087</v>
      </c>
      <c r="E8544" s="4" t="s">
        <v>38039</v>
      </c>
    </row>
    <row r="8545" ht="14.25">
      <c r="B8545" s="4" t="s">
        <v>39125</v>
      </c>
      <c r="C8545" s="14" t="s">
        <v>33468</v>
      </c>
      <c r="D8545" s="4" t="s">
        <v>33469</v>
      </c>
      <c r="E8545" s="4" t="s">
        <v>34551</v>
      </c>
    </row>
    <row r="8546" ht="14.25">
      <c r="B8546" s="4" t="s">
        <v>39126</v>
      </c>
      <c r="C8546" s="14" t="s">
        <v>34360</v>
      </c>
      <c r="D8546" s="4" t="s">
        <v>34361</v>
      </c>
      <c r="E8546" s="4" t="s">
        <v>36504</v>
      </c>
    </row>
    <row r="8547" ht="14.25">
      <c r="B8547" s="4" t="s">
        <v>39127</v>
      </c>
      <c r="C8547" s="14" t="s">
        <v>34495</v>
      </c>
      <c r="D8547" s="4" t="s">
        <v>34496</v>
      </c>
      <c r="E8547" s="4" t="s">
        <v>36769</v>
      </c>
    </row>
    <row r="8548" ht="14.25">
      <c r="B8548" s="4" t="s">
        <v>39128</v>
      </c>
      <c r="C8548" s="14" t="s">
        <v>34170</v>
      </c>
      <c r="D8548" s="4" t="s">
        <v>34171</v>
      </c>
      <c r="E8548" s="4" t="s">
        <v>36038</v>
      </c>
    </row>
    <row r="8549" ht="14.25">
      <c r="B8549" s="4" t="s">
        <v>39129</v>
      </c>
      <c r="C8549" s="14" t="s">
        <v>32711</v>
      </c>
      <c r="D8549" s="4" t="s">
        <v>32716</v>
      </c>
      <c r="E8549" s="4" t="s">
        <v>32976</v>
      </c>
    </row>
    <row r="8550" ht="14.25">
      <c r="B8550" s="4" t="s">
        <v>39130</v>
      </c>
      <c r="C8550" s="14" t="s">
        <v>33131</v>
      </c>
      <c r="D8550" s="4" t="s">
        <v>33132</v>
      </c>
      <c r="E8550" s="4" t="s">
        <v>33866</v>
      </c>
    </row>
    <row r="8551" ht="14.25">
      <c r="B8551" s="4" t="s">
        <v>39131</v>
      </c>
      <c r="C8551" s="14" t="s">
        <v>33483</v>
      </c>
      <c r="D8551" s="4" t="s">
        <v>33484</v>
      </c>
      <c r="E8551" s="4" t="s">
        <v>34578</v>
      </c>
    </row>
    <row r="8552" ht="14.25">
      <c r="B8552" s="4" t="s">
        <v>39132</v>
      </c>
      <c r="C8552" s="14" t="s">
        <v>34580</v>
      </c>
      <c r="D8552" s="4" t="s">
        <v>34581</v>
      </c>
      <c r="E8552" s="4" t="s">
        <v>36923</v>
      </c>
    </row>
    <row r="8553" ht="14.25">
      <c r="B8553" s="4" t="s">
        <v>39133</v>
      </c>
      <c r="C8553" s="14" t="s">
        <v>34313</v>
      </c>
      <c r="D8553" s="4" t="s">
        <v>34317</v>
      </c>
      <c r="E8553" s="4" t="s">
        <v>36364</v>
      </c>
    </row>
    <row r="8554" ht="14.25">
      <c r="B8554" s="4" t="s">
        <v>39134</v>
      </c>
      <c r="C8554" s="14" t="s">
        <v>33641</v>
      </c>
      <c r="D8554" s="4" t="s">
        <v>33642</v>
      </c>
      <c r="E8554" s="4" t="s">
        <v>34909</v>
      </c>
    </row>
    <row r="8555" ht="14.25">
      <c r="B8555" s="4" t="s">
        <v>39135</v>
      </c>
      <c r="C8555" s="14" t="s">
        <v>34949</v>
      </c>
      <c r="D8555" s="4" t="s">
        <v>34950</v>
      </c>
      <c r="E8555" s="4" t="s">
        <v>37776</v>
      </c>
    </row>
    <row r="8556" ht="14.25">
      <c r="B8556" s="4" t="s">
        <v>39136</v>
      </c>
      <c r="C8556" s="14" t="s">
        <v>34987</v>
      </c>
      <c r="D8556" s="4" t="s">
        <v>34988</v>
      </c>
      <c r="E8556" s="4" t="s">
        <v>37844</v>
      </c>
    </row>
    <row r="8557" ht="14.25">
      <c r="B8557" s="4" t="s">
        <v>39137</v>
      </c>
      <c r="C8557" s="14" t="s">
        <v>34697</v>
      </c>
      <c r="D8557" s="4" t="s">
        <v>34698</v>
      </c>
      <c r="E8557" s="4" t="s">
        <v>37259</v>
      </c>
    </row>
    <row r="8558" ht="14.25">
      <c r="B8558" s="4" t="s">
        <v>39138</v>
      </c>
      <c r="C8558" s="14" t="s">
        <v>33483</v>
      </c>
      <c r="D8558" s="4" t="s">
        <v>33491</v>
      </c>
      <c r="E8558" s="4" t="s">
        <v>34587</v>
      </c>
    </row>
    <row r="8559" ht="14.25">
      <c r="B8559" s="4" t="s">
        <v>39139</v>
      </c>
      <c r="C8559" s="14" t="s">
        <v>33483</v>
      </c>
      <c r="D8559" s="4" t="s">
        <v>33494</v>
      </c>
      <c r="E8559" s="4" t="s">
        <v>34599</v>
      </c>
    </row>
    <row r="8560" ht="14.25">
      <c r="B8560" s="4" t="s">
        <v>39140</v>
      </c>
      <c r="C8560" s="14" t="s">
        <v>33677</v>
      </c>
      <c r="D8560" s="4" t="s">
        <v>33686</v>
      </c>
      <c r="E8560" s="4" t="s">
        <v>34995</v>
      </c>
    </row>
    <row r="8561" ht="14.25">
      <c r="B8561" s="4" t="s">
        <v>39141</v>
      </c>
      <c r="C8561" s="14" t="s">
        <v>33372</v>
      </c>
      <c r="D8561" s="4" t="s">
        <v>33373</v>
      </c>
      <c r="E8561" s="4" t="s">
        <v>34335</v>
      </c>
    </row>
    <row r="8562" ht="14.25">
      <c r="B8562" s="4" t="s">
        <v>39142</v>
      </c>
      <c r="C8562" s="14" t="s">
        <v>34827</v>
      </c>
      <c r="D8562" s="4" t="s">
        <v>34832</v>
      </c>
      <c r="E8562" s="4" t="s">
        <v>37528</v>
      </c>
    </row>
    <row r="8563" ht="14.25">
      <c r="B8563" s="4" t="s">
        <v>39143</v>
      </c>
      <c r="C8563" s="14" t="s">
        <v>35251</v>
      </c>
      <c r="D8563" s="4" t="s">
        <v>35252</v>
      </c>
      <c r="E8563" s="4" t="s">
        <v>38370</v>
      </c>
    </row>
    <row r="8564" ht="14.25">
      <c r="B8564" s="4" t="s">
        <v>39144</v>
      </c>
      <c r="C8564" s="14" t="s">
        <v>33430</v>
      </c>
      <c r="D8564" s="4" t="s">
        <v>33431</v>
      </c>
      <c r="E8564" s="4" t="s">
        <v>34519</v>
      </c>
    </row>
    <row r="8565" ht="14.25">
      <c r="B8565" s="4" t="s">
        <v>39145</v>
      </c>
      <c r="C8565" s="14" t="s">
        <v>33253</v>
      </c>
      <c r="D8565" s="4" t="s">
        <v>33257</v>
      </c>
      <c r="E8565" s="4" t="s">
        <v>34094</v>
      </c>
    </row>
    <row r="8566" ht="14.25">
      <c r="B8566" s="4" t="s">
        <v>39146</v>
      </c>
      <c r="C8566" s="14" t="s">
        <v>32763</v>
      </c>
      <c r="D8566" s="4" t="s">
        <v>32764</v>
      </c>
      <c r="E8566" s="4" t="s">
        <v>33068</v>
      </c>
    </row>
    <row r="8567" ht="14.25">
      <c r="B8567" s="4" t="s">
        <v>39147</v>
      </c>
      <c r="C8567" s="14" t="s">
        <v>33952</v>
      </c>
      <c r="D8567" s="4" t="s">
        <v>33953</v>
      </c>
      <c r="E8567" s="4" t="s">
        <v>35561</v>
      </c>
    </row>
    <row r="8568" ht="14.25">
      <c r="B8568" s="4" t="s">
        <v>39148</v>
      </c>
      <c r="C8568" s="14" t="s">
        <v>33149</v>
      </c>
      <c r="D8568" s="4" t="s">
        <v>33150</v>
      </c>
      <c r="E8568" s="4" t="s">
        <v>33886</v>
      </c>
    </row>
    <row r="8569" ht="14.25">
      <c r="B8569" s="4" t="s">
        <v>39149</v>
      </c>
      <c r="C8569" s="14" t="s">
        <v>35197</v>
      </c>
      <c r="D8569" s="4" t="s">
        <v>35198</v>
      </c>
      <c r="E8569" s="4" t="s">
        <v>38296</v>
      </c>
    </row>
    <row r="8570" ht="14.25">
      <c r="B8570" s="4" t="s">
        <v>39150</v>
      </c>
      <c r="C8570" s="14" t="s">
        <v>34783</v>
      </c>
      <c r="D8570" s="4" t="s">
        <v>34784</v>
      </c>
      <c r="E8570" s="4" t="s">
        <v>37431</v>
      </c>
    </row>
    <row r="8571" ht="14.25">
      <c r="B8571" s="4" t="s">
        <v>39151</v>
      </c>
      <c r="C8571" s="14" t="s">
        <v>32585</v>
      </c>
      <c r="D8571" s="4" t="s">
        <v>32586</v>
      </c>
      <c r="E8571" s="4" t="s">
        <v>32685</v>
      </c>
    </row>
    <row r="8572" ht="14.25">
      <c r="B8572" s="4" t="s">
        <v>39152</v>
      </c>
      <c r="C8572" s="14" t="s">
        <v>33774</v>
      </c>
      <c r="D8572" s="4" t="s">
        <v>33775</v>
      </c>
      <c r="E8572" s="4" t="s">
        <v>35165</v>
      </c>
    </row>
    <row r="8573" ht="14.25">
      <c r="B8573" s="4" t="s">
        <v>39153</v>
      </c>
      <c r="C8573" s="14" t="s">
        <v>34405</v>
      </c>
      <c r="D8573" s="4" t="s">
        <v>34406</v>
      </c>
      <c r="E8573" s="4" t="s">
        <v>36572</v>
      </c>
    </row>
    <row r="8574" ht="14.25">
      <c r="B8574" s="4" t="s">
        <v>39154</v>
      </c>
      <c r="C8574" s="14" t="s">
        <v>34608</v>
      </c>
      <c r="D8574" s="4" t="s">
        <v>34609</v>
      </c>
      <c r="E8574" s="4" t="s">
        <v>37004</v>
      </c>
    </row>
    <row r="8575" ht="14.25">
      <c r="B8575" s="4" t="s">
        <v>39155</v>
      </c>
      <c r="C8575" s="14" t="s">
        <v>33816</v>
      </c>
      <c r="D8575" s="4" t="s">
        <v>33817</v>
      </c>
      <c r="E8575" s="4" t="s">
        <v>35249</v>
      </c>
    </row>
    <row r="8576" ht="14.25">
      <c r="B8576" s="4" t="s">
        <v>39156</v>
      </c>
      <c r="C8576" s="14" t="s">
        <v>35341</v>
      </c>
      <c r="D8576" s="4" t="s">
        <v>35342</v>
      </c>
      <c r="E8576" s="4" t="s">
        <v>38549</v>
      </c>
    </row>
    <row r="8577" ht="14.25">
      <c r="B8577" s="4" t="s">
        <v>39157</v>
      </c>
      <c r="C8577" s="14" t="s">
        <v>33984</v>
      </c>
      <c r="D8577" s="4" t="s">
        <v>33985</v>
      </c>
      <c r="E8577" s="4" t="s">
        <v>35612</v>
      </c>
    </row>
    <row r="8578" ht="14.25">
      <c r="B8578" s="4" t="s">
        <v>39158</v>
      </c>
      <c r="C8578" s="14" t="s">
        <v>33388</v>
      </c>
      <c r="D8578" s="4" t="s">
        <v>33389</v>
      </c>
      <c r="E8578" s="4" t="s">
        <v>34367</v>
      </c>
    </row>
    <row r="8579" ht="14.25">
      <c r="B8579" s="4" t="s">
        <v>39159</v>
      </c>
      <c r="C8579" s="14" t="s">
        <v>34485</v>
      </c>
      <c r="D8579" s="4" t="s">
        <v>34486</v>
      </c>
      <c r="E8579" s="4" t="s">
        <v>36744</v>
      </c>
    </row>
    <row r="8580" ht="14.25">
      <c r="B8580" s="4" t="s">
        <v>39160</v>
      </c>
      <c r="C8580" s="14" t="s">
        <v>33483</v>
      </c>
      <c r="D8580" s="4" t="s">
        <v>33500</v>
      </c>
      <c r="E8580" s="4" t="s">
        <v>34611</v>
      </c>
    </row>
    <row r="8581" ht="14.25">
      <c r="B8581" s="4" t="s">
        <v>39161</v>
      </c>
      <c r="C8581" s="14" t="s">
        <v>35162</v>
      </c>
      <c r="D8581" s="4" t="s">
        <v>35175</v>
      </c>
      <c r="E8581" s="4" t="s">
        <v>38241</v>
      </c>
    </row>
    <row r="8582" ht="14.25">
      <c r="B8582" s="4" t="s">
        <v>39162</v>
      </c>
      <c r="C8582" s="14" t="s">
        <v>33926</v>
      </c>
      <c r="D8582" s="4" t="s">
        <v>33927</v>
      </c>
      <c r="E8582" s="4" t="s">
        <v>35510</v>
      </c>
    </row>
    <row r="8583" ht="14.25">
      <c r="B8583" s="4" t="s">
        <v>39163</v>
      </c>
      <c r="C8583" s="14" t="s">
        <v>35325</v>
      </c>
      <c r="D8583" s="4" t="s">
        <v>35326</v>
      </c>
      <c r="E8583" s="4" t="s">
        <v>38529</v>
      </c>
    </row>
    <row r="8584" ht="14.25">
      <c r="B8584" s="4" t="s">
        <v>39164</v>
      </c>
      <c r="C8584" s="14" t="s">
        <v>35112</v>
      </c>
      <c r="D8584" s="4" t="s">
        <v>35113</v>
      </c>
      <c r="E8584" s="4" t="s">
        <v>38097</v>
      </c>
    </row>
    <row r="8585" ht="14.25">
      <c r="B8585" s="4" t="s">
        <v>39165</v>
      </c>
      <c r="C8585" s="14" t="s">
        <v>32731</v>
      </c>
      <c r="D8585" s="4" t="s">
        <v>32732</v>
      </c>
      <c r="E8585" s="4" t="s">
        <v>33003</v>
      </c>
    </row>
    <row r="8586" ht="14.25">
      <c r="B8586" s="4" t="s">
        <v>39166</v>
      </c>
      <c r="C8586" s="14" t="s">
        <v>35299</v>
      </c>
      <c r="D8586" s="4" t="s">
        <v>35300</v>
      </c>
      <c r="E8586" s="4" t="s">
        <v>38490</v>
      </c>
    </row>
    <row r="8587" ht="14.25">
      <c r="B8587" s="4" t="s">
        <v>39167</v>
      </c>
      <c r="C8587" s="14" t="s">
        <v>35022</v>
      </c>
      <c r="D8587" s="4" t="s">
        <v>35023</v>
      </c>
      <c r="E8587" s="4" t="s">
        <v>37945</v>
      </c>
    </row>
    <row r="8588" ht="14.25">
      <c r="B8588" s="4" t="s">
        <v>39168</v>
      </c>
      <c r="C8588" s="14" t="s">
        <v>34575</v>
      </c>
      <c r="D8588" s="4" t="s">
        <v>34576</v>
      </c>
      <c r="E8588" s="4" t="s">
        <v>36915</v>
      </c>
    </row>
    <row r="8589" ht="14.25">
      <c r="B8589" s="4" t="s">
        <v>39169</v>
      </c>
      <c r="C8589" s="14" t="s">
        <v>32899</v>
      </c>
      <c r="D8589" s="4" t="s">
        <v>32900</v>
      </c>
      <c r="E8589" s="4" t="s">
        <v>33314</v>
      </c>
    </row>
    <row r="8590" ht="14.25">
      <c r="B8590" s="4" t="s">
        <v>39170</v>
      </c>
      <c r="C8590" s="14" t="s">
        <v>32585</v>
      </c>
      <c r="D8590" s="4" t="s">
        <v>32586</v>
      </c>
      <c r="E8590" s="4" t="s">
        <v>32689</v>
      </c>
    </row>
    <row r="8591" ht="14.25">
      <c r="B8591" s="4" t="s">
        <v>39171</v>
      </c>
      <c r="C8591" s="14" t="s">
        <v>35217</v>
      </c>
      <c r="D8591" s="4" t="s">
        <v>35224</v>
      </c>
      <c r="E8591" s="4" t="s">
        <v>38335</v>
      </c>
    </row>
    <row r="8592" ht="14.25">
      <c r="B8592" s="4" t="s">
        <v>39172</v>
      </c>
      <c r="C8592" s="14" t="s">
        <v>35350</v>
      </c>
      <c r="D8592" s="4" t="s">
        <v>35351</v>
      </c>
      <c r="E8592" s="4" t="s">
        <v>38561</v>
      </c>
    </row>
    <row r="8593" ht="14.25">
      <c r="B8593" s="4" t="s">
        <v>39173</v>
      </c>
      <c r="C8593" s="14" t="s">
        <v>35409</v>
      </c>
      <c r="D8593" s="4" t="s">
        <v>35414</v>
      </c>
      <c r="E8593" s="4" t="s">
        <v>38703</v>
      </c>
    </row>
    <row r="8594" ht="14.25">
      <c r="B8594" s="4" t="s">
        <v>39174</v>
      </c>
      <c r="C8594" s="14" t="s">
        <v>32585</v>
      </c>
      <c r="D8594" s="4" t="s">
        <v>32595</v>
      </c>
      <c r="E8594" s="4" t="s">
        <v>32775</v>
      </c>
    </row>
    <row r="8595" ht="14.25">
      <c r="B8595" s="4" t="s">
        <v>39175</v>
      </c>
      <c r="C8595" s="14" t="s">
        <v>32903</v>
      </c>
      <c r="D8595" s="4" t="s">
        <v>32904</v>
      </c>
      <c r="E8595" s="4" t="s">
        <v>33349</v>
      </c>
    </row>
    <row r="8596" ht="14.25">
      <c r="B8596" s="4" t="s">
        <v>39176</v>
      </c>
      <c r="C8596" s="14" t="s">
        <v>33952</v>
      </c>
      <c r="D8596" s="4" t="s">
        <v>33953</v>
      </c>
      <c r="E8596" s="4" t="s">
        <v>35555</v>
      </c>
    </row>
    <row r="8597" ht="14.25">
      <c r="B8597" s="4" t="s">
        <v>39177</v>
      </c>
      <c r="C8597" s="14" t="s">
        <v>34938</v>
      </c>
      <c r="D8597" s="4" t="s">
        <v>34939</v>
      </c>
      <c r="E8597" s="4" t="s">
        <v>37760</v>
      </c>
    </row>
    <row r="8598" ht="14.25">
      <c r="B8598" s="4" t="s">
        <v>39178</v>
      </c>
      <c r="C8598" s="14" t="s">
        <v>33912</v>
      </c>
      <c r="D8598" s="4" t="s">
        <v>33918</v>
      </c>
      <c r="E8598" s="4" t="s">
        <v>35484</v>
      </c>
    </row>
    <row r="8599" ht="14.25">
      <c r="B8599" s="4" t="s">
        <v>39179</v>
      </c>
      <c r="C8599" s="14" t="s">
        <v>35056</v>
      </c>
      <c r="D8599" s="4" t="s">
        <v>35057</v>
      </c>
      <c r="E8599" s="4" t="s">
        <v>37998</v>
      </c>
    </row>
    <row r="8600" ht="14.25">
      <c r="B8600" s="4" t="s">
        <v>39180</v>
      </c>
      <c r="C8600" s="14" t="s">
        <v>35425</v>
      </c>
      <c r="D8600" s="4" t="s">
        <v>35426</v>
      </c>
      <c r="E8600" s="4" t="s">
        <v>38743</v>
      </c>
    </row>
    <row r="8601" ht="14.25">
      <c r="B8601" s="4" t="s">
        <v>39181</v>
      </c>
      <c r="C8601" s="14" t="s">
        <v>33859</v>
      </c>
      <c r="D8601" s="4" t="s">
        <v>33864</v>
      </c>
      <c r="E8601" s="4" t="s">
        <v>35386</v>
      </c>
    </row>
    <row r="8602" ht="14.25">
      <c r="B8602" s="4" t="s">
        <v>39182</v>
      </c>
      <c r="C8602" s="14" t="s">
        <v>34440</v>
      </c>
      <c r="D8602" s="4" t="s">
        <v>34441</v>
      </c>
      <c r="E8602" s="4" t="s">
        <v>36655</v>
      </c>
    </row>
    <row r="8603" ht="14.25">
      <c r="B8603" s="4" t="s">
        <v>39183</v>
      </c>
      <c r="C8603" s="14" t="s">
        <v>33655</v>
      </c>
      <c r="D8603" s="4" t="s">
        <v>33656</v>
      </c>
      <c r="E8603" s="4" t="s">
        <v>34947</v>
      </c>
    </row>
    <row r="8604" ht="14.25">
      <c r="B8604" s="4" t="s">
        <v>39184</v>
      </c>
      <c r="C8604" s="14" t="s">
        <v>34666</v>
      </c>
      <c r="D8604" s="4" t="s">
        <v>34667</v>
      </c>
      <c r="E8604" s="4" t="s">
        <v>37249</v>
      </c>
    </row>
    <row r="8605" ht="14.25">
      <c r="B8605" s="4" t="s">
        <v>39185</v>
      </c>
      <c r="C8605" s="14" t="s">
        <v>33926</v>
      </c>
      <c r="D8605" s="4" t="s">
        <v>33927</v>
      </c>
      <c r="E8605" s="4" t="s">
        <v>35502</v>
      </c>
    </row>
    <row r="8606" ht="14.25">
      <c r="B8606" s="4" t="s">
        <v>39186</v>
      </c>
      <c r="C8606" s="14" t="s">
        <v>34118</v>
      </c>
      <c r="D8606" s="4" t="s">
        <v>34119</v>
      </c>
      <c r="E8606" s="4" t="s">
        <v>35918</v>
      </c>
    </row>
    <row r="8607" ht="14.25">
      <c r="B8607" s="4" t="s">
        <v>39187</v>
      </c>
      <c r="C8607" s="14" t="s">
        <v>35417</v>
      </c>
      <c r="D8607" s="4" t="s">
        <v>35418</v>
      </c>
      <c r="E8607" s="4" t="s">
        <v>38725</v>
      </c>
    </row>
    <row r="8608" ht="14.25">
      <c r="B8608" s="4" t="s">
        <v>39188</v>
      </c>
      <c r="C8608" s="14" t="s">
        <v>35153</v>
      </c>
      <c r="D8608" s="4" t="s">
        <v>35154</v>
      </c>
      <c r="E8608" s="4" t="s">
        <v>38186</v>
      </c>
    </row>
    <row r="8609" ht="14.25">
      <c r="B8609" s="4" t="s">
        <v>39189</v>
      </c>
      <c r="C8609" s="14" t="s">
        <v>35372</v>
      </c>
      <c r="D8609" s="4" t="s">
        <v>35377</v>
      </c>
      <c r="E8609" s="4" t="s">
        <v>38637</v>
      </c>
    </row>
    <row r="8610" ht="14.25">
      <c r="B8610" s="4" t="s">
        <v>39190</v>
      </c>
      <c r="C8610" s="14" t="s">
        <v>35444</v>
      </c>
      <c r="D8610" s="4" t="s">
        <v>35445</v>
      </c>
      <c r="E8610" s="4" t="s">
        <v>38776</v>
      </c>
    </row>
    <row r="8611" ht="14.25">
      <c r="B8611" s="4" t="s">
        <v>39191</v>
      </c>
      <c r="C8611" s="14" t="s">
        <v>35015</v>
      </c>
      <c r="D8611" s="4" t="s">
        <v>35016</v>
      </c>
      <c r="E8611" s="4" t="s">
        <v>37917</v>
      </c>
    </row>
    <row r="8612" ht="14.25">
      <c r="B8612" s="4" t="s">
        <v>39192</v>
      </c>
      <c r="C8612" s="14" t="s">
        <v>35409</v>
      </c>
      <c r="D8612" s="4" t="s">
        <v>35410</v>
      </c>
      <c r="E8612" s="4" t="s">
        <v>38695</v>
      </c>
    </row>
    <row r="8613" ht="14.25">
      <c r="B8613" s="4" t="s">
        <v>39193</v>
      </c>
      <c r="C8613" s="14" t="s">
        <v>32565</v>
      </c>
      <c r="D8613" s="4" t="s">
        <v>32566</v>
      </c>
      <c r="E8613" s="4" t="s">
        <v>32669</v>
      </c>
    </row>
    <row r="8614" ht="14.25">
      <c r="B8614" s="4" t="s">
        <v>39194</v>
      </c>
      <c r="C8614" s="14" t="s">
        <v>32758</v>
      </c>
      <c r="D8614" s="4" t="s">
        <v>32759</v>
      </c>
      <c r="E8614" s="4" t="s">
        <v>33059</v>
      </c>
    </row>
    <row r="8615" ht="14.25">
      <c r="B8615" s="4" t="s">
        <v>39195</v>
      </c>
      <c r="C8615" s="14" t="s">
        <v>33382</v>
      </c>
      <c r="D8615" s="4" t="s">
        <v>33383</v>
      </c>
      <c r="E8615" s="4" t="s">
        <v>34363</v>
      </c>
    </row>
    <row r="8616" ht="14.25">
      <c r="B8616" s="4" t="s">
        <v>39196</v>
      </c>
      <c r="C8616" s="14" t="s">
        <v>34617</v>
      </c>
      <c r="D8616" s="4" t="s">
        <v>34649</v>
      </c>
      <c r="E8616" s="4" t="s">
        <v>37117</v>
      </c>
    </row>
    <row r="8617" ht="14.25">
      <c r="B8617" s="4" t="s">
        <v>39197</v>
      </c>
      <c r="C8617" s="14" t="s">
        <v>33958</v>
      </c>
      <c r="D8617" s="4" t="s">
        <v>33963</v>
      </c>
      <c r="E8617" s="4" t="s">
        <v>35578</v>
      </c>
    </row>
    <row r="8618" ht="14.25">
      <c r="B8618" s="4" t="s">
        <v>39198</v>
      </c>
      <c r="C8618" s="14" t="s">
        <v>34060</v>
      </c>
      <c r="D8618" s="4" t="s">
        <v>34074</v>
      </c>
      <c r="E8618" s="4" t="s">
        <v>35824</v>
      </c>
    </row>
    <row r="8619" ht="14.25">
      <c r="B8619" s="4" t="s">
        <v>39199</v>
      </c>
      <c r="C8619" s="14" t="s">
        <v>34449</v>
      </c>
      <c r="D8619" s="4" t="s">
        <v>34450</v>
      </c>
      <c r="E8619" s="4" t="s">
        <v>36659</v>
      </c>
    </row>
    <row r="8620" ht="14.25">
      <c r="B8620" s="4" t="s">
        <v>39200</v>
      </c>
      <c r="C8620" s="14" t="s">
        <v>32544</v>
      </c>
      <c r="D8620" s="4" t="s">
        <v>32545</v>
      </c>
      <c r="E8620" s="4" t="s">
        <v>32627</v>
      </c>
    </row>
    <row r="8621" ht="14.25">
      <c r="B8621" s="4" t="s">
        <v>39201</v>
      </c>
      <c r="C8621" s="14" t="s">
        <v>33568</v>
      </c>
      <c r="D8621" s="4" t="s">
        <v>33569</v>
      </c>
      <c r="E8621" s="4" t="s">
        <v>34761</v>
      </c>
    </row>
    <row r="8622" ht="14.25">
      <c r="B8622" s="4" t="s">
        <v>39202</v>
      </c>
      <c r="C8622" s="14" t="s">
        <v>34857</v>
      </c>
      <c r="D8622" s="4" t="s">
        <v>34858</v>
      </c>
      <c r="E8622" s="4" t="s">
        <v>37590</v>
      </c>
    </row>
    <row r="8623" ht="14.25">
      <c r="B8623" s="4" t="s">
        <v>39203</v>
      </c>
      <c r="C8623" s="14" t="s">
        <v>32903</v>
      </c>
      <c r="D8623" s="4" t="s">
        <v>32904</v>
      </c>
      <c r="E8623" s="4" t="s">
        <v>33358</v>
      </c>
    </row>
    <row r="8624" ht="14.25">
      <c r="B8624" s="4" t="s">
        <v>39204</v>
      </c>
      <c r="C8624" s="14" t="s">
        <v>34507</v>
      </c>
      <c r="D8624" s="4" t="s">
        <v>34508</v>
      </c>
      <c r="E8624" s="4" t="s">
        <v>36792</v>
      </c>
    </row>
    <row r="8625" ht="14.25">
      <c r="B8625" s="4" t="s">
        <v>39205</v>
      </c>
      <c r="C8625" s="14" t="s">
        <v>33623</v>
      </c>
      <c r="D8625" s="4" t="s">
        <v>33624</v>
      </c>
      <c r="E8625" s="4" t="s">
        <v>34883</v>
      </c>
    </row>
    <row r="8626" ht="14.25">
      <c r="B8626" s="4" t="s">
        <v>39206</v>
      </c>
      <c r="C8626" s="14" t="s">
        <v>34082</v>
      </c>
      <c r="D8626" s="4" t="s">
        <v>34083</v>
      </c>
      <c r="E8626" s="4" t="s">
        <v>35858</v>
      </c>
    </row>
    <row r="8627" ht="14.25">
      <c r="B8627" s="4" t="s">
        <v>39207</v>
      </c>
      <c r="C8627" s="14" t="s">
        <v>34203</v>
      </c>
      <c r="D8627" s="4" t="s">
        <v>34204</v>
      </c>
      <c r="E8627" s="4" t="s">
        <v>36113</v>
      </c>
    </row>
    <row r="8628" ht="14.25">
      <c r="B8628" s="4" t="s">
        <v>39208</v>
      </c>
      <c r="C8628" s="14" t="s">
        <v>34666</v>
      </c>
      <c r="D8628" s="4" t="s">
        <v>34667</v>
      </c>
      <c r="E8628" s="4" t="s">
        <v>37245</v>
      </c>
    </row>
    <row r="8629" ht="14.25">
      <c r="B8629" s="4" t="s">
        <v>39209</v>
      </c>
      <c r="C8629" s="14" t="s">
        <v>35139</v>
      </c>
      <c r="D8629" s="4" t="s">
        <v>35140</v>
      </c>
      <c r="E8629" s="4" t="s">
        <v>38160</v>
      </c>
    </row>
    <row r="8630" ht="14.25">
      <c r="B8630" s="4" t="s">
        <v>39210</v>
      </c>
      <c r="C8630" s="14" t="s">
        <v>34968</v>
      </c>
      <c r="D8630" s="4" t="s">
        <v>34969</v>
      </c>
      <c r="E8630" s="4" t="s">
        <v>37799</v>
      </c>
    </row>
    <row r="8631" ht="14.25">
      <c r="B8631" s="4" t="s">
        <v>39211</v>
      </c>
      <c r="C8631" s="14" t="s">
        <v>35235</v>
      </c>
      <c r="D8631" s="4" t="s">
        <v>35236</v>
      </c>
      <c r="E8631" s="4" t="s">
        <v>38350</v>
      </c>
    </row>
    <row r="8632" ht="14.25">
      <c r="B8632" s="4" t="s">
        <v>39212</v>
      </c>
      <c r="C8632" s="14" t="s">
        <v>35197</v>
      </c>
      <c r="D8632" s="4" t="s">
        <v>35198</v>
      </c>
      <c r="E8632" s="4" t="s">
        <v>38290</v>
      </c>
    </row>
    <row r="8633" ht="14.25">
      <c r="B8633" s="4" t="s">
        <v>39213</v>
      </c>
      <c r="C8633" s="14" t="s">
        <v>33403</v>
      </c>
      <c r="D8633" s="4" t="s">
        <v>33412</v>
      </c>
      <c r="E8633" s="4" t="s">
        <v>34420</v>
      </c>
    </row>
    <row r="8634" ht="14.25">
      <c r="B8634" s="4" t="s">
        <v>39214</v>
      </c>
      <c r="C8634" s="14" t="s">
        <v>34516</v>
      </c>
      <c r="D8634" s="4" t="s">
        <v>34517</v>
      </c>
      <c r="E8634" s="4" t="s">
        <v>36816</v>
      </c>
    </row>
    <row r="8635" ht="14.25">
      <c r="B8635" s="4" t="s">
        <v>39215</v>
      </c>
      <c r="C8635" s="14" t="s">
        <v>35251</v>
      </c>
      <c r="D8635" s="4" t="s">
        <v>35252</v>
      </c>
      <c r="E8635" s="4" t="s">
        <v>38392</v>
      </c>
    </row>
    <row r="8636" ht="14.25">
      <c r="B8636" s="4" t="s">
        <v>39216</v>
      </c>
      <c r="C8636" s="14" t="s">
        <v>34666</v>
      </c>
      <c r="D8636" s="4" t="s">
        <v>34684</v>
      </c>
      <c r="E8636" s="4" t="s">
        <v>37220</v>
      </c>
    </row>
    <row r="8637" ht="14.25">
      <c r="B8637" s="4" t="s">
        <v>39217</v>
      </c>
      <c r="C8637" s="14" t="s">
        <v>33311</v>
      </c>
      <c r="D8637" s="4" t="s">
        <v>33312</v>
      </c>
      <c r="E8637" s="4" t="s">
        <v>34220</v>
      </c>
    </row>
    <row r="8638" ht="14.25">
      <c r="B8638" s="4" t="s">
        <v>39218</v>
      </c>
      <c r="C8638" s="14" t="s">
        <v>35277</v>
      </c>
      <c r="D8638" s="4" t="s">
        <v>35278</v>
      </c>
      <c r="E8638" s="4" t="s">
        <v>38452</v>
      </c>
    </row>
    <row r="8639" ht="14.25">
      <c r="B8639" s="4" t="s">
        <v>39219</v>
      </c>
      <c r="C8639" s="14" t="s">
        <v>33346</v>
      </c>
      <c r="D8639" s="4" t="s">
        <v>33351</v>
      </c>
      <c r="E8639" s="4" t="s">
        <v>34289</v>
      </c>
    </row>
    <row r="8640" ht="14.25">
      <c r="B8640" s="4" t="s">
        <v>39220</v>
      </c>
      <c r="C8640" s="14" t="s">
        <v>34548</v>
      </c>
      <c r="D8640" s="4" t="s">
        <v>34549</v>
      </c>
      <c r="E8640" s="4" t="s">
        <v>36860</v>
      </c>
    </row>
    <row r="8641" ht="14.25">
      <c r="B8641" s="4" t="s">
        <v>39221</v>
      </c>
      <c r="C8641" s="14" t="s">
        <v>34051</v>
      </c>
      <c r="D8641" s="4" t="s">
        <v>34052</v>
      </c>
      <c r="E8641" s="4" t="s">
        <v>35751</v>
      </c>
    </row>
    <row r="8642" ht="14.25">
      <c r="B8642" s="4" t="s">
        <v>39222</v>
      </c>
      <c r="C8642" s="14" t="s">
        <v>33897</v>
      </c>
      <c r="D8642" s="4" t="s">
        <v>33898</v>
      </c>
      <c r="E8642" s="4" t="s">
        <v>35451</v>
      </c>
    </row>
    <row r="8643" ht="14.25">
      <c r="B8643" s="4" t="s">
        <v>39223</v>
      </c>
      <c r="C8643" s="14" t="s">
        <v>35372</v>
      </c>
      <c r="D8643" s="4" t="s">
        <v>35373</v>
      </c>
      <c r="E8643" s="4" t="s">
        <v>38627</v>
      </c>
    </row>
    <row r="8644" ht="14.25">
      <c r="B8644" s="4" t="s">
        <v>39224</v>
      </c>
      <c r="C8644" s="14" t="s">
        <v>34360</v>
      </c>
      <c r="D8644" s="4" t="s">
        <v>34365</v>
      </c>
      <c r="E8644" s="4" t="s">
        <v>36478</v>
      </c>
    </row>
    <row r="8645" ht="14.25">
      <c r="B8645" s="4" t="s">
        <v>39225</v>
      </c>
      <c r="C8645" s="14" t="s">
        <v>32745</v>
      </c>
      <c r="D8645" s="4" t="s">
        <v>32746</v>
      </c>
      <c r="E8645" s="4" t="s">
        <v>33038</v>
      </c>
    </row>
    <row r="8646" ht="14.25">
      <c r="B8646" s="4" t="s">
        <v>39226</v>
      </c>
      <c r="C8646" s="14" t="s">
        <v>33077</v>
      </c>
      <c r="D8646" s="4" t="s">
        <v>33078</v>
      </c>
      <c r="E8646" s="4" t="s">
        <v>33758</v>
      </c>
    </row>
    <row r="8647" ht="14.25">
      <c r="B8647" s="4" t="s">
        <v>39227</v>
      </c>
      <c r="C8647" s="14" t="s">
        <v>34026</v>
      </c>
      <c r="D8647" s="4" t="s">
        <v>34027</v>
      </c>
      <c r="E8647" s="4" t="s">
        <v>35711</v>
      </c>
    </row>
    <row r="8648" ht="14.25">
      <c r="B8648" s="4" t="s">
        <v>39228</v>
      </c>
      <c r="C8648" s="14" t="s">
        <v>35360</v>
      </c>
      <c r="D8648" s="4" t="s">
        <v>35361</v>
      </c>
      <c r="E8648" s="4" t="s">
        <v>38622</v>
      </c>
    </row>
    <row r="8649" ht="14.25">
      <c r="B8649" s="4" t="s">
        <v>39229</v>
      </c>
      <c r="C8649" s="14" t="s">
        <v>33346</v>
      </c>
      <c r="D8649" s="4" t="s">
        <v>33347</v>
      </c>
      <c r="E8649" s="4" t="s">
        <v>34319</v>
      </c>
    </row>
    <row r="8650" ht="14.25">
      <c r="B8650" s="4" t="s">
        <v>39230</v>
      </c>
      <c r="C8650" s="14" t="s">
        <v>35332</v>
      </c>
      <c r="D8650" s="4" t="s">
        <v>35333</v>
      </c>
      <c r="E8650" s="4" t="s">
        <v>38540</v>
      </c>
    </row>
    <row r="8651" ht="14.25">
      <c r="B8651" s="4" t="s">
        <v>39231</v>
      </c>
      <c r="C8651" s="14" t="s">
        <v>35027</v>
      </c>
      <c r="D8651" s="4" t="s">
        <v>35028</v>
      </c>
      <c r="E8651" s="4" t="s">
        <v>37723</v>
      </c>
    </row>
    <row r="8652" ht="14.25">
      <c r="B8652" s="4" t="s">
        <v>39232</v>
      </c>
      <c r="C8652" s="14" t="s">
        <v>34926</v>
      </c>
      <c r="D8652" s="4" t="s">
        <v>34927</v>
      </c>
      <c r="E8652" s="4" t="s">
        <v>37724</v>
      </c>
    </row>
    <row r="8653" ht="14.25">
      <c r="B8653" s="4" t="s">
        <v>39233</v>
      </c>
      <c r="C8653" s="14" t="s">
        <v>35162</v>
      </c>
      <c r="D8653" s="4" t="s">
        <v>35163</v>
      </c>
      <c r="E8653" s="4" t="s">
        <v>38216</v>
      </c>
    </row>
    <row r="8654" ht="14.25">
      <c r="B8654" s="4" t="s">
        <v>39234</v>
      </c>
      <c r="C8654" s="14" t="s">
        <v>35448</v>
      </c>
      <c r="D8654" s="4" t="s">
        <v>35449</v>
      </c>
      <c r="E8654" s="4" t="s">
        <v>38790</v>
      </c>
    </row>
    <row r="8655" ht="14.25">
      <c r="B8655" s="4" t="s">
        <v>39235</v>
      </c>
      <c r="C8655" s="14" t="s">
        <v>33948</v>
      </c>
      <c r="D8655" s="4" t="s">
        <v>33949</v>
      </c>
      <c r="E8655" s="4" t="s">
        <v>35551</v>
      </c>
    </row>
    <row r="8656" ht="14.25">
      <c r="B8656" s="4" t="s">
        <v>39236</v>
      </c>
      <c r="C8656" s="14" t="s">
        <v>35473</v>
      </c>
      <c r="D8656" s="4" t="s">
        <v>35474</v>
      </c>
      <c r="E8656" s="4" t="s">
        <v>38831</v>
      </c>
    </row>
    <row r="8657" ht="14.25">
      <c r="B8657" s="4" t="s">
        <v>39237</v>
      </c>
      <c r="C8657" s="14" t="s">
        <v>32926</v>
      </c>
      <c r="D8657" s="4" t="s">
        <v>32927</v>
      </c>
      <c r="E8657" s="4" t="s">
        <v>33385</v>
      </c>
    </row>
    <row r="8658" ht="14.25">
      <c r="B8658" s="4" t="s">
        <v>39238</v>
      </c>
      <c r="C8658" s="14" t="s">
        <v>33816</v>
      </c>
      <c r="D8658" s="4" t="s">
        <v>33817</v>
      </c>
      <c r="E8658" s="4" t="s">
        <v>35319</v>
      </c>
    </row>
    <row r="8659" ht="14.25">
      <c r="B8659" s="4" t="s">
        <v>39239</v>
      </c>
      <c r="C8659" s="14" t="s">
        <v>34561</v>
      </c>
      <c r="D8659" s="4" t="s">
        <v>34562</v>
      </c>
      <c r="E8659" s="4" t="s">
        <v>36894</v>
      </c>
    </row>
    <row r="8660" ht="14.25">
      <c r="B8660" s="4" t="s">
        <v>39240</v>
      </c>
      <c r="C8660" s="14" t="s">
        <v>34548</v>
      </c>
      <c r="D8660" s="4" t="s">
        <v>34549</v>
      </c>
      <c r="E8660" s="4" t="s">
        <v>36864</v>
      </c>
    </row>
    <row r="8661" ht="14.25">
      <c r="B8661" s="4" t="s">
        <v>39241</v>
      </c>
      <c r="C8661" s="14" t="s">
        <v>33388</v>
      </c>
      <c r="D8661" s="4" t="s">
        <v>33389</v>
      </c>
      <c r="E8661" s="4" t="s">
        <v>34388</v>
      </c>
    </row>
    <row r="8662" ht="14.25">
      <c r="B8662" s="4" t="s">
        <v>39242</v>
      </c>
      <c r="C8662" s="14" t="s">
        <v>33403</v>
      </c>
      <c r="D8662" s="4" t="s">
        <v>33404</v>
      </c>
      <c r="E8662" s="4" t="s">
        <v>34415</v>
      </c>
    </row>
    <row r="8663" ht="14.25">
      <c r="B8663" s="4" t="s">
        <v>39243</v>
      </c>
      <c r="C8663" s="14" t="s">
        <v>33430</v>
      </c>
      <c r="D8663" s="4" t="s">
        <v>33431</v>
      </c>
      <c r="E8663" s="4" t="s">
        <v>34452</v>
      </c>
    </row>
    <row r="8664" ht="14.25">
      <c r="B8664" s="4" t="s">
        <v>39244</v>
      </c>
      <c r="C8664" s="14" t="s">
        <v>35345</v>
      </c>
      <c r="D8664" s="4" t="s">
        <v>35346</v>
      </c>
      <c r="E8664" s="4" t="s">
        <v>38556</v>
      </c>
    </row>
    <row r="8665" ht="14.25">
      <c r="B8665" s="4" t="s">
        <v>39245</v>
      </c>
      <c r="C8665" s="14" t="s">
        <v>35306</v>
      </c>
      <c r="D8665" s="4" t="s">
        <v>35307</v>
      </c>
      <c r="E8665" s="4" t="s">
        <v>38504</v>
      </c>
    </row>
    <row r="8666" ht="14.25">
      <c r="B8666" s="4" t="s">
        <v>39246</v>
      </c>
      <c r="C8666" s="14" t="s">
        <v>33483</v>
      </c>
      <c r="D8666" s="4" t="s">
        <v>33484</v>
      </c>
      <c r="E8666" s="4" t="s">
        <v>34573</v>
      </c>
    </row>
    <row r="8667" ht="14.25">
      <c r="B8667" s="4" t="s">
        <v>39247</v>
      </c>
      <c r="C8667" s="14" t="s">
        <v>34827</v>
      </c>
      <c r="D8667" s="4" t="s">
        <v>34832</v>
      </c>
      <c r="E8667" s="4" t="s">
        <v>37543</v>
      </c>
    </row>
    <row r="8668" ht="14.25">
      <c r="B8668" s="4" t="s">
        <v>39248</v>
      </c>
      <c r="C8668" s="14" t="s">
        <v>34666</v>
      </c>
      <c r="D8668" s="4" t="s">
        <v>34667</v>
      </c>
      <c r="E8668" s="4" t="s">
        <v>37181</v>
      </c>
    </row>
    <row r="8669" ht="14.25">
      <c r="B8669" s="4" t="s">
        <v>39249</v>
      </c>
      <c r="C8669" s="14" t="s">
        <v>33636</v>
      </c>
      <c r="D8669" s="4" t="s">
        <v>33637</v>
      </c>
      <c r="E8669" s="4" t="s">
        <v>34900</v>
      </c>
    </row>
    <row r="8670" ht="14.25">
      <c r="B8670" s="4" t="s">
        <v>39250</v>
      </c>
      <c r="C8670" s="14" t="s">
        <v>32903</v>
      </c>
      <c r="D8670" s="4" t="s">
        <v>32904</v>
      </c>
      <c r="E8670" s="4" t="s">
        <v>33318</v>
      </c>
    </row>
    <row r="8671" ht="14.25">
      <c r="B8671" s="4" t="s">
        <v>39251</v>
      </c>
      <c r="C8671" s="14" t="s">
        <v>32585</v>
      </c>
      <c r="D8671" s="4" t="s">
        <v>32586</v>
      </c>
      <c r="E8671" s="4" t="s">
        <v>32771</v>
      </c>
    </row>
    <row r="8672" ht="14.25">
      <c r="B8672" s="4" t="s">
        <v>39252</v>
      </c>
      <c r="C8672" s="14" t="s">
        <v>34272</v>
      </c>
      <c r="D8672" s="4" t="s">
        <v>34273</v>
      </c>
      <c r="E8672" s="4" t="s">
        <v>36271</v>
      </c>
    </row>
    <row r="8673" ht="14.25">
      <c r="B8673" s="4" t="s">
        <v>39253</v>
      </c>
      <c r="C8673" s="14" t="s">
        <v>35162</v>
      </c>
      <c r="D8673" s="4" t="s">
        <v>35163</v>
      </c>
      <c r="E8673" s="4" t="s">
        <v>38236</v>
      </c>
    </row>
    <row r="8674" ht="14.25">
      <c r="B8674" s="4" t="s">
        <v>39254</v>
      </c>
      <c r="C8674" s="14" t="s">
        <v>35066</v>
      </c>
      <c r="D8674" s="4" t="s">
        <v>35067</v>
      </c>
      <c r="E8674" s="4" t="s">
        <v>38013</v>
      </c>
    </row>
    <row r="8675" ht="14.25">
      <c r="B8675" s="4" t="s">
        <v>39255</v>
      </c>
      <c r="C8675" s="14" t="s">
        <v>34539</v>
      </c>
      <c r="D8675" s="4" t="s">
        <v>34540</v>
      </c>
      <c r="E8675" s="4" t="s">
        <v>36849</v>
      </c>
    </row>
    <row r="8676" ht="14.25">
      <c r="B8676" s="4" t="s">
        <v>39256</v>
      </c>
      <c r="C8676" s="14" t="s">
        <v>33805</v>
      </c>
      <c r="D8676" s="4" t="s">
        <v>33806</v>
      </c>
      <c r="E8676" s="4" t="s">
        <v>35220</v>
      </c>
    </row>
    <row r="8677" ht="14.25">
      <c r="B8677" s="4" t="s">
        <v>39257</v>
      </c>
      <c r="C8677" s="14" t="s">
        <v>35004</v>
      </c>
      <c r="D8677" s="4" t="s">
        <v>35005</v>
      </c>
      <c r="E8677" s="4" t="s">
        <v>37882</v>
      </c>
    </row>
    <row r="8678" ht="14.25">
      <c r="B8678" s="4" t="s">
        <v>39258</v>
      </c>
      <c r="C8678" s="14" t="s">
        <v>35391</v>
      </c>
      <c r="D8678" s="4" t="s">
        <v>35392</v>
      </c>
      <c r="E8678" s="4" t="s">
        <v>38655</v>
      </c>
    </row>
    <row r="8679" ht="14.25">
      <c r="B8679" s="4" t="s">
        <v>39259</v>
      </c>
      <c r="C8679" s="14" t="s">
        <v>34257</v>
      </c>
      <c r="D8679" s="4" t="s">
        <v>34258</v>
      </c>
      <c r="E8679" s="4" t="s">
        <v>36222</v>
      </c>
    </row>
    <row r="8680" ht="14.25">
      <c r="B8680" s="4" t="s">
        <v>39260</v>
      </c>
      <c r="C8680" s="14" t="s">
        <v>33805</v>
      </c>
      <c r="D8680" s="4" t="s">
        <v>33810</v>
      </c>
      <c r="E8680" s="4" t="s">
        <v>35238</v>
      </c>
    </row>
    <row r="8681" ht="14.25">
      <c r="B8681" s="4" t="s">
        <v>39261</v>
      </c>
      <c r="C8681" s="14" t="s">
        <v>32544</v>
      </c>
      <c r="D8681" s="4" t="s">
        <v>32545</v>
      </c>
      <c r="E8681" s="4" t="s">
        <v>32621</v>
      </c>
    </row>
    <row r="8682" ht="14.25">
      <c r="B8682" s="4" t="s">
        <v>39262</v>
      </c>
      <c r="C8682" s="14" t="s">
        <v>33701</v>
      </c>
      <c r="D8682" s="4" t="s">
        <v>33702</v>
      </c>
      <c r="E8682" s="4" t="s">
        <v>35012</v>
      </c>
    </row>
    <row r="8683" ht="14.25">
      <c r="B8683" s="4" t="s">
        <v>39263</v>
      </c>
      <c r="C8683" s="14" t="s">
        <v>32835</v>
      </c>
      <c r="D8683" s="4" t="s">
        <v>32836</v>
      </c>
      <c r="E8683" s="4" t="s">
        <v>33200</v>
      </c>
    </row>
    <row r="8684" ht="14.25">
      <c r="B8684" s="4" t="s">
        <v>39264</v>
      </c>
      <c r="C8684" s="14" t="s">
        <v>33696</v>
      </c>
      <c r="D8684" s="4" t="s">
        <v>33697</v>
      </c>
      <c r="E8684" s="4" t="s">
        <v>35007</v>
      </c>
    </row>
    <row r="8685" ht="14.25">
      <c r="B8685" s="4" t="s">
        <v>39265</v>
      </c>
      <c r="C8685" s="14" t="s">
        <v>34385</v>
      </c>
      <c r="D8685" s="4" t="s">
        <v>34386</v>
      </c>
      <c r="E8685" s="4" t="s">
        <v>36521</v>
      </c>
    </row>
    <row r="8686" ht="14.25">
      <c r="B8686" s="4" t="s">
        <v>39266</v>
      </c>
      <c r="C8686" s="14" t="s">
        <v>33065</v>
      </c>
      <c r="D8686" s="4" t="s">
        <v>33066</v>
      </c>
      <c r="E8686" s="4" t="s">
        <v>33724</v>
      </c>
    </row>
    <row r="8687" ht="14.25">
      <c r="B8687" s="4" t="s">
        <v>39267</v>
      </c>
      <c r="C8687" s="14" t="s">
        <v>33035</v>
      </c>
      <c r="D8687" s="4" t="s">
        <v>33040</v>
      </c>
      <c r="E8687" s="4" t="s">
        <v>33680</v>
      </c>
    </row>
    <row r="8688" ht="14.25">
      <c r="B8688" s="4" t="s">
        <v>39268</v>
      </c>
      <c r="C8688" s="14" t="s">
        <v>34114</v>
      </c>
      <c r="D8688" s="4" t="s">
        <v>34115</v>
      </c>
      <c r="E8688" s="4" t="s">
        <v>35902</v>
      </c>
    </row>
    <row r="8689" ht="14.25">
      <c r="B8689" s="4" t="s">
        <v>39269</v>
      </c>
      <c r="C8689" s="14" t="s">
        <v>33483</v>
      </c>
      <c r="D8689" s="4" t="s">
        <v>33504</v>
      </c>
      <c r="E8689" s="4" t="s">
        <v>34620</v>
      </c>
    </row>
    <row r="8690" ht="14.25">
      <c r="B8690" s="4" t="s">
        <v>39270</v>
      </c>
      <c r="C8690" s="14" t="s">
        <v>33559</v>
      </c>
      <c r="D8690" s="4" t="s">
        <v>33560</v>
      </c>
      <c r="E8690" s="4" t="s">
        <v>34752</v>
      </c>
    </row>
    <row r="8691" ht="14.25">
      <c r="B8691" s="4" t="s">
        <v>39271</v>
      </c>
      <c r="C8691" s="14" t="s">
        <v>32719</v>
      </c>
      <c r="D8691" s="4" t="s">
        <v>32720</v>
      </c>
      <c r="E8691" s="4" t="s">
        <v>32980</v>
      </c>
    </row>
    <row r="8692" ht="14.25">
      <c r="B8692" s="4" t="s">
        <v>39272</v>
      </c>
      <c r="C8692" s="14" t="s">
        <v>33519</v>
      </c>
      <c r="D8692" s="4" t="s">
        <v>33525</v>
      </c>
      <c r="E8692" s="4" t="s">
        <v>34662</v>
      </c>
    </row>
    <row r="8693" ht="14.25">
      <c r="B8693" s="4" t="s">
        <v>39273</v>
      </c>
      <c r="C8693" s="14" t="s">
        <v>32793</v>
      </c>
      <c r="D8693" s="4" t="s">
        <v>32802</v>
      </c>
      <c r="E8693" s="4" t="s">
        <v>33129</v>
      </c>
    </row>
    <row r="8694" ht="14.25">
      <c r="B8694" s="4" t="s">
        <v>39274</v>
      </c>
      <c r="C8694" s="14" t="s">
        <v>34617</v>
      </c>
      <c r="D8694" s="4" t="s">
        <v>34655</v>
      </c>
      <c r="E8694" s="4" t="s">
        <v>37137</v>
      </c>
    </row>
    <row r="8695" ht="14.25">
      <c r="B8695" s="4" t="s">
        <v>39275</v>
      </c>
      <c r="C8695" s="14" t="s">
        <v>32671</v>
      </c>
      <c r="D8695" s="4" t="s">
        <v>32676</v>
      </c>
      <c r="E8695" s="4" t="s">
        <v>32895</v>
      </c>
    </row>
    <row r="8696" ht="14.25">
      <c r="B8696" s="4" t="s">
        <v>39276</v>
      </c>
      <c r="C8696" s="14" t="s">
        <v>34281</v>
      </c>
      <c r="D8696" s="4" t="s">
        <v>34282</v>
      </c>
      <c r="E8696" s="4" t="s">
        <v>36281</v>
      </c>
    </row>
    <row r="8697" ht="14.25">
      <c r="B8697" s="4" t="s">
        <v>39277</v>
      </c>
      <c r="C8697" s="14" t="s">
        <v>32544</v>
      </c>
      <c r="D8697" s="4" t="s">
        <v>32545</v>
      </c>
      <c r="E8697" s="4" t="s">
        <v>32597</v>
      </c>
    </row>
    <row r="8698" ht="14.25">
      <c r="B8698" s="4" t="s">
        <v>39278</v>
      </c>
      <c r="C8698" s="14" t="s">
        <v>33718</v>
      </c>
      <c r="D8698" s="4" t="s">
        <v>33722</v>
      </c>
      <c r="E8698" s="4" t="s">
        <v>35058</v>
      </c>
    </row>
    <row r="8699" ht="14.25">
      <c r="B8699" s="4" t="s">
        <v>39279</v>
      </c>
      <c r="C8699" s="14" t="s">
        <v>34808</v>
      </c>
      <c r="D8699" s="4" t="s">
        <v>34809</v>
      </c>
      <c r="E8699" s="4" t="s">
        <v>37463</v>
      </c>
    </row>
    <row r="8700" ht="14.25">
      <c r="B8700" s="4" t="s">
        <v>39280</v>
      </c>
      <c r="C8700" s="14" t="s">
        <v>33705</v>
      </c>
      <c r="D8700" s="4" t="s">
        <v>33714</v>
      </c>
      <c r="E8700" s="4" t="s">
        <v>35030</v>
      </c>
    </row>
    <row r="8701" ht="14.25">
      <c r="B8701" s="4" t="s">
        <v>39281</v>
      </c>
      <c r="C8701" s="14" t="s">
        <v>32793</v>
      </c>
      <c r="D8701" s="4" t="s">
        <v>32810</v>
      </c>
      <c r="E8701" s="4" t="s">
        <v>33164</v>
      </c>
    </row>
    <row r="8702" ht="14.25">
      <c r="B8702" s="4" t="s">
        <v>39282</v>
      </c>
      <c r="C8702" s="14" t="s">
        <v>35405</v>
      </c>
      <c r="D8702" s="4" t="s">
        <v>35406</v>
      </c>
      <c r="E8702" s="4" t="s">
        <v>38689</v>
      </c>
    </row>
    <row r="8703" ht="14.25">
      <c r="B8703" s="4" t="s">
        <v>39283</v>
      </c>
      <c r="C8703" s="14" t="s">
        <v>33193</v>
      </c>
      <c r="D8703" s="4" t="s">
        <v>33202</v>
      </c>
      <c r="E8703" s="4" t="s">
        <v>33982</v>
      </c>
    </row>
    <row r="8704" ht="14.25">
      <c r="B8704" s="4" t="s">
        <v>39284</v>
      </c>
      <c r="C8704" s="14" t="s">
        <v>34949</v>
      </c>
      <c r="D8704" s="4" t="s">
        <v>34950</v>
      </c>
      <c r="E8704" s="4" t="s">
        <v>37780</v>
      </c>
    </row>
    <row r="8705" ht="14.25">
      <c r="B8705" s="4" t="s">
        <v>39285</v>
      </c>
      <c r="C8705" s="14" t="s">
        <v>33077</v>
      </c>
      <c r="D8705" s="4" t="s">
        <v>33092</v>
      </c>
      <c r="E8705" s="4" t="s">
        <v>33777</v>
      </c>
    </row>
    <row r="8706" ht="14.25">
      <c r="B8706" s="4" t="s">
        <v>39286</v>
      </c>
      <c r="C8706" s="14" t="s">
        <v>33781</v>
      </c>
      <c r="D8706" s="4" t="s">
        <v>33782</v>
      </c>
      <c r="E8706" s="4" t="s">
        <v>35184</v>
      </c>
    </row>
    <row r="8707" ht="14.25">
      <c r="B8707" s="4" t="s">
        <v>39287</v>
      </c>
      <c r="C8707" s="14" t="s">
        <v>34706</v>
      </c>
      <c r="D8707" s="4" t="s">
        <v>34710</v>
      </c>
      <c r="E8707" s="4" t="s">
        <v>37295</v>
      </c>
    </row>
    <row r="8708" ht="14.25">
      <c r="B8708" s="4" t="s">
        <v>39288</v>
      </c>
      <c r="C8708" s="14" t="s">
        <v>33568</v>
      </c>
      <c r="D8708" s="4" t="s">
        <v>33573</v>
      </c>
      <c r="E8708" s="4" t="s">
        <v>34771</v>
      </c>
    </row>
    <row r="8709" ht="14.25">
      <c r="B8709" s="4" t="s">
        <v>39289</v>
      </c>
      <c r="C8709" s="14" t="s">
        <v>34425</v>
      </c>
      <c r="D8709" s="4" t="s">
        <v>34430</v>
      </c>
      <c r="E8709" s="4" t="s">
        <v>36625</v>
      </c>
    </row>
    <row r="8710" ht="14.25">
      <c r="B8710" s="4" t="s">
        <v>39290</v>
      </c>
      <c r="C8710" s="14" t="s">
        <v>35128</v>
      </c>
      <c r="D8710" s="4" t="s">
        <v>35129</v>
      </c>
      <c r="E8710" s="4" t="s">
        <v>38136</v>
      </c>
    </row>
    <row r="8711" ht="14.25">
      <c r="B8711" s="4" t="s">
        <v>39291</v>
      </c>
      <c r="C8711" s="14" t="s">
        <v>33816</v>
      </c>
      <c r="D8711" s="4" t="s">
        <v>33817</v>
      </c>
      <c r="E8711" s="4" t="s">
        <v>35335</v>
      </c>
    </row>
    <row r="8712" ht="14.25">
      <c r="B8712" s="4" t="s">
        <v>39292</v>
      </c>
      <c r="C8712" s="14" t="s">
        <v>34345</v>
      </c>
      <c r="D8712" s="4" t="s">
        <v>34346</v>
      </c>
      <c r="E8712" s="4" t="s">
        <v>36452</v>
      </c>
    </row>
    <row r="8713" ht="14.25">
      <c r="B8713" s="4" t="s">
        <v>39293</v>
      </c>
      <c r="C8713" s="14" t="s">
        <v>32629</v>
      </c>
      <c r="D8713" s="4" t="s">
        <v>32663</v>
      </c>
      <c r="E8713" s="4" t="s">
        <v>32872</v>
      </c>
    </row>
    <row r="8714" ht="14.25">
      <c r="B8714" s="4" t="s">
        <v>39294</v>
      </c>
      <c r="C8714" s="14" t="s">
        <v>33591</v>
      </c>
      <c r="D8714" s="4" t="s">
        <v>33596</v>
      </c>
      <c r="E8714" s="4" t="s">
        <v>34799</v>
      </c>
    </row>
    <row r="8715" ht="14.25">
      <c r="B8715" s="4" t="s">
        <v>39295</v>
      </c>
      <c r="C8715" s="14" t="s">
        <v>34257</v>
      </c>
      <c r="D8715" s="4" t="s">
        <v>34258</v>
      </c>
      <c r="E8715" s="4" t="s">
        <v>36237</v>
      </c>
    </row>
    <row r="8716" ht="14.25">
      <c r="B8716" s="4" t="s">
        <v>39296</v>
      </c>
      <c r="C8716" s="14" t="s">
        <v>34286</v>
      </c>
      <c r="D8716" s="4" t="s">
        <v>34287</v>
      </c>
      <c r="E8716" s="4" t="s">
        <v>36321</v>
      </c>
    </row>
    <row r="8717" ht="14.25">
      <c r="B8717" s="4" t="s">
        <v>39297</v>
      </c>
      <c r="C8717" s="14" t="s">
        <v>34880</v>
      </c>
      <c r="D8717" s="4" t="s">
        <v>34881</v>
      </c>
      <c r="E8717" s="4" t="s">
        <v>37643</v>
      </c>
    </row>
    <row r="8718" ht="14.25">
      <c r="B8718" s="4" t="s">
        <v>39298</v>
      </c>
      <c r="C8718" s="14" t="s">
        <v>33430</v>
      </c>
      <c r="D8718" s="4" t="s">
        <v>33431</v>
      </c>
      <c r="E8718" s="4" t="s">
        <v>34510</v>
      </c>
    </row>
    <row r="8719" ht="14.25">
      <c r="B8719" s="4" t="s">
        <v>39299</v>
      </c>
      <c r="C8719" s="14" t="s">
        <v>33844</v>
      </c>
      <c r="D8719" s="4" t="s">
        <v>33845</v>
      </c>
      <c r="E8719" s="4" t="s">
        <v>35348</v>
      </c>
    </row>
    <row r="8720" ht="14.25">
      <c r="B8720" s="4" t="s">
        <v>39300</v>
      </c>
      <c r="C8720" s="14" t="s">
        <v>33035</v>
      </c>
      <c r="D8720" s="4" t="s">
        <v>33036</v>
      </c>
      <c r="E8720" s="4" t="s">
        <v>33658</v>
      </c>
    </row>
    <row r="8721" ht="14.25">
      <c r="B8721" s="4" t="s">
        <v>39301</v>
      </c>
      <c r="C8721" s="14" t="s">
        <v>33019</v>
      </c>
      <c r="D8721" s="4" t="s">
        <v>33020</v>
      </c>
      <c r="E8721" s="4" t="s">
        <v>33653</v>
      </c>
    </row>
    <row r="8722" ht="14.25">
      <c r="B8722" s="4" t="s">
        <v>39302</v>
      </c>
      <c r="C8722" s="14" t="s">
        <v>34118</v>
      </c>
      <c r="D8722" s="4" t="s">
        <v>34123</v>
      </c>
      <c r="E8722" s="4" t="s">
        <v>35922</v>
      </c>
    </row>
    <row r="8723" ht="14.25">
      <c r="B8723" s="4" t="s">
        <v>39303</v>
      </c>
      <c r="C8723" s="14" t="s">
        <v>32956</v>
      </c>
      <c r="D8723" s="4" t="s">
        <v>33169</v>
      </c>
      <c r="E8723" s="4" t="s">
        <v>33929</v>
      </c>
    </row>
    <row r="8724" ht="14.25">
      <c r="B8724" s="4" t="s">
        <v>39304</v>
      </c>
      <c r="C8724" s="14" t="s">
        <v>33121</v>
      </c>
      <c r="D8724" s="4" t="s">
        <v>33122</v>
      </c>
      <c r="E8724" s="4" t="s">
        <v>33847</v>
      </c>
    </row>
    <row r="8725" ht="14.25">
      <c r="B8725" s="4" t="s">
        <v>39305</v>
      </c>
      <c r="C8725" s="14" t="s">
        <v>33106</v>
      </c>
      <c r="D8725" s="4" t="s">
        <v>33107</v>
      </c>
      <c r="E8725" s="4" t="s">
        <v>33808</v>
      </c>
    </row>
    <row r="8726" ht="14.25">
      <c r="B8726" s="4" t="s">
        <v>39306</v>
      </c>
      <c r="C8726" s="14" t="s">
        <v>33733</v>
      </c>
      <c r="D8726" s="4" t="s">
        <v>33734</v>
      </c>
      <c r="E8726" s="4" t="s">
        <v>35093</v>
      </c>
    </row>
    <row r="8727" ht="14.25">
      <c r="B8727" s="4" t="s">
        <v>39307</v>
      </c>
      <c r="C8727" s="14" t="s">
        <v>35294</v>
      </c>
      <c r="D8727" s="4" t="s">
        <v>35295</v>
      </c>
      <c r="E8727" s="4" t="s">
        <v>38485</v>
      </c>
    </row>
    <row r="8728" ht="14.25">
      <c r="B8728" s="4" t="s">
        <v>39308</v>
      </c>
      <c r="C8728" s="14" t="s">
        <v>35360</v>
      </c>
      <c r="D8728" s="4" t="s">
        <v>35361</v>
      </c>
      <c r="E8728" s="4" t="s">
        <v>38586</v>
      </c>
    </row>
    <row r="8729" ht="14.25">
      <c r="B8729" s="4" t="s">
        <v>39309</v>
      </c>
      <c r="C8729" s="14" t="s">
        <v>34801</v>
      </c>
      <c r="D8729" s="4" t="s">
        <v>34802</v>
      </c>
      <c r="E8729" s="4" t="s">
        <v>37459</v>
      </c>
    </row>
    <row r="8730" ht="14.25">
      <c r="B8730" s="4" t="s">
        <v>39310</v>
      </c>
      <c r="C8730" s="14" t="s">
        <v>35122</v>
      </c>
      <c r="D8730" s="4" t="s">
        <v>35123</v>
      </c>
      <c r="E8730" s="4" t="s">
        <v>38114</v>
      </c>
    </row>
    <row r="8731" ht="14.25">
      <c r="B8731" s="4" t="s">
        <v>39311</v>
      </c>
      <c r="C8731" s="14" t="s">
        <v>32768</v>
      </c>
      <c r="D8731" s="4" t="s">
        <v>32769</v>
      </c>
      <c r="E8731" s="4" t="s">
        <v>33075</v>
      </c>
    </row>
    <row r="8732" ht="14.25">
      <c r="B8732" s="4" t="s">
        <v>39312</v>
      </c>
      <c r="C8732" s="14" t="s">
        <v>34507</v>
      </c>
      <c r="D8732" s="4" t="s">
        <v>34512</v>
      </c>
      <c r="E8732" s="4" t="s">
        <v>36796</v>
      </c>
    </row>
    <row r="8733" ht="14.25">
      <c r="B8733" s="4" t="s">
        <v>39313</v>
      </c>
      <c r="C8733" s="14" t="s">
        <v>34327</v>
      </c>
      <c r="D8733" s="4" t="s">
        <v>34328</v>
      </c>
      <c r="E8733" s="4" t="s">
        <v>36388</v>
      </c>
    </row>
    <row r="8734" ht="14.25">
      <c r="B8734" s="4" t="s">
        <v>39314</v>
      </c>
      <c r="C8734" s="14" t="s">
        <v>32682</v>
      </c>
      <c r="D8734" s="4" t="s">
        <v>32687</v>
      </c>
      <c r="E8734" s="4" t="s">
        <v>32924</v>
      </c>
    </row>
    <row r="8735" ht="14.25">
      <c r="B8735" s="4" t="s">
        <v>39315</v>
      </c>
      <c r="C8735" s="14" t="s">
        <v>32934</v>
      </c>
      <c r="D8735" s="4" t="s">
        <v>32935</v>
      </c>
      <c r="E8735" s="4" t="s">
        <v>33406</v>
      </c>
    </row>
    <row r="8736" ht="14.25">
      <c r="B8736" s="4" t="s">
        <v>39316</v>
      </c>
      <c r="C8736" s="14" t="s">
        <v>33844</v>
      </c>
      <c r="D8736" s="4" t="s">
        <v>33845</v>
      </c>
      <c r="E8736" s="4" t="s">
        <v>35363</v>
      </c>
    </row>
    <row r="8737" ht="14.25">
      <c r="B8737" s="4" t="s">
        <v>39317</v>
      </c>
      <c r="C8737" s="14" t="s">
        <v>33193</v>
      </c>
      <c r="D8737" s="4" t="s">
        <v>33219</v>
      </c>
      <c r="E8737" s="4" t="s">
        <v>34007</v>
      </c>
    </row>
    <row r="8738" ht="14.25">
      <c r="B8738" s="4" t="s">
        <v>39318</v>
      </c>
      <c r="C8738" s="14" t="s">
        <v>33142</v>
      </c>
      <c r="D8738" s="4" t="s">
        <v>33143</v>
      </c>
      <c r="E8738" s="4" t="s">
        <v>33876</v>
      </c>
    </row>
    <row r="8739" ht="14.25">
      <c r="B8739" s="4" t="s">
        <v>39319</v>
      </c>
      <c r="C8739" s="14" t="s">
        <v>32768</v>
      </c>
      <c r="D8739" s="4" t="s">
        <v>32773</v>
      </c>
      <c r="E8739" s="4" t="s">
        <v>33083</v>
      </c>
    </row>
    <row r="8740" ht="14.25">
      <c r="B8740" s="4" t="s">
        <v>39320</v>
      </c>
      <c r="C8740" s="14" t="s">
        <v>33430</v>
      </c>
      <c r="D8740" s="4" t="s">
        <v>33431</v>
      </c>
      <c r="E8740" s="4" t="s">
        <v>34514</v>
      </c>
    </row>
    <row r="8741" ht="14.25">
      <c r="B8741" s="4" t="s">
        <v>39321</v>
      </c>
      <c r="C8741" s="14" t="s">
        <v>32731</v>
      </c>
      <c r="D8741" s="4" t="s">
        <v>32732</v>
      </c>
      <c r="E8741" s="4" t="s">
        <v>33009</v>
      </c>
    </row>
    <row r="8742" ht="14.25">
      <c r="B8742" s="4" t="s">
        <v>39322</v>
      </c>
      <c r="C8742" s="14" t="s">
        <v>33050</v>
      </c>
      <c r="D8742" s="4" t="s">
        <v>33051</v>
      </c>
      <c r="E8742" s="4" t="s">
        <v>33688</v>
      </c>
    </row>
    <row r="8743" ht="14.25">
      <c r="B8743" s="4" t="s">
        <v>39323</v>
      </c>
      <c r="C8743" s="14" t="s">
        <v>33591</v>
      </c>
      <c r="D8743" s="4" t="s">
        <v>33592</v>
      </c>
      <c r="E8743" s="4" t="s">
        <v>34794</v>
      </c>
    </row>
    <row r="8744" ht="14.25">
      <c r="B8744" s="4" t="s">
        <v>39324</v>
      </c>
      <c r="C8744" s="14" t="s">
        <v>34417</v>
      </c>
      <c r="D8744" s="4" t="s">
        <v>34418</v>
      </c>
      <c r="E8744" s="4" t="s">
        <v>36615</v>
      </c>
    </row>
    <row r="8745" ht="14.25">
      <c r="B8745" s="4" t="s">
        <v>39325</v>
      </c>
      <c r="C8745" s="14" t="s">
        <v>35090</v>
      </c>
      <c r="D8745" s="4" t="s">
        <v>35091</v>
      </c>
      <c r="E8745" s="4" t="s">
        <v>38055</v>
      </c>
    </row>
    <row r="8746" ht="14.25">
      <c r="B8746" s="4" t="s">
        <v>39326</v>
      </c>
      <c r="C8746" s="14" t="s">
        <v>34808</v>
      </c>
      <c r="D8746" s="4" t="s">
        <v>34815</v>
      </c>
      <c r="E8746" s="4" t="s">
        <v>37471</v>
      </c>
    </row>
    <row r="8747" ht="14.25">
      <c r="B8747" s="4" t="s">
        <v>39327</v>
      </c>
      <c r="C8747" s="14" t="s">
        <v>34778</v>
      </c>
      <c r="D8747" s="4" t="s">
        <v>34779</v>
      </c>
      <c r="E8747" s="4" t="s">
        <v>37420</v>
      </c>
    </row>
    <row r="8748" ht="14.25">
      <c r="B8748" s="4" t="s">
        <v>39328</v>
      </c>
      <c r="C8748" s="14" t="s">
        <v>32682</v>
      </c>
      <c r="D8748" s="4" t="s">
        <v>32691</v>
      </c>
      <c r="E8748" s="4" t="s">
        <v>32953</v>
      </c>
    </row>
    <row r="8749" ht="14.25">
      <c r="B8749" s="4" t="s">
        <v>39329</v>
      </c>
      <c r="C8749" s="14" t="s">
        <v>33366</v>
      </c>
      <c r="D8749" s="4" t="s">
        <v>33367</v>
      </c>
      <c r="E8749" s="4" t="s">
        <v>34325</v>
      </c>
    </row>
    <row r="8750" ht="14.25">
      <c r="B8750" s="4" t="s">
        <v>39330</v>
      </c>
      <c r="C8750" s="14" t="s">
        <v>32585</v>
      </c>
      <c r="D8750" s="4" t="s">
        <v>32595</v>
      </c>
      <c r="E8750" s="4" t="s">
        <v>32722</v>
      </c>
    </row>
    <row r="8751" ht="14.25">
      <c r="B8751" s="4" t="s">
        <v>39331</v>
      </c>
      <c r="C8751" s="14" t="s">
        <v>34099</v>
      </c>
      <c r="D8751" s="4" t="s">
        <v>34100</v>
      </c>
      <c r="E8751" s="4" t="s">
        <v>35883</v>
      </c>
    </row>
    <row r="8752" ht="14.25">
      <c r="B8752" s="4" t="s">
        <v>39332</v>
      </c>
      <c r="C8752" s="14" t="s">
        <v>33430</v>
      </c>
      <c r="D8752" s="4" t="s">
        <v>33436</v>
      </c>
      <c r="E8752" s="4" t="s">
        <v>34457</v>
      </c>
    </row>
    <row r="8753" ht="14.25">
      <c r="B8753" s="4" t="s">
        <v>39333</v>
      </c>
      <c r="C8753" s="14" t="s">
        <v>33973</v>
      </c>
      <c r="D8753" s="4" t="s">
        <v>33974</v>
      </c>
      <c r="E8753" s="4" t="s">
        <v>35603</v>
      </c>
    </row>
    <row r="8754" ht="14.25">
      <c r="B8754" s="4" t="s">
        <v>39334</v>
      </c>
      <c r="C8754" s="14" t="s">
        <v>34666</v>
      </c>
      <c r="D8754" s="4" t="s">
        <v>34667</v>
      </c>
      <c r="E8754" s="4" t="s">
        <v>37215</v>
      </c>
    </row>
    <row r="8755" ht="14.25">
      <c r="B8755" s="4" t="s">
        <v>39335</v>
      </c>
      <c r="C8755" s="14" t="s">
        <v>33430</v>
      </c>
      <c r="D8755" s="4" t="s">
        <v>33431</v>
      </c>
      <c r="E8755" s="4" t="s">
        <v>34478</v>
      </c>
    </row>
    <row r="8756" ht="14.25">
      <c r="B8756" s="4" t="s">
        <v>39336</v>
      </c>
      <c r="C8756" s="14" t="s">
        <v>34099</v>
      </c>
      <c r="D8756" s="4" t="s">
        <v>34100</v>
      </c>
      <c r="E8756" s="4" t="s">
        <v>35892</v>
      </c>
    </row>
    <row r="8757" ht="14.25">
      <c r="B8757" s="4" t="s">
        <v>39337</v>
      </c>
      <c r="C8757" s="14" t="s">
        <v>34827</v>
      </c>
      <c r="D8757" s="4" t="s">
        <v>34828</v>
      </c>
      <c r="E8757" s="4" t="s">
        <v>37550</v>
      </c>
    </row>
    <row r="8758" ht="14.25">
      <c r="B8758" s="4" t="s">
        <v>39338</v>
      </c>
      <c r="C8758" s="14" t="s">
        <v>33311</v>
      </c>
      <c r="D8758" s="4" t="s">
        <v>33322</v>
      </c>
      <c r="E8758" s="4" t="s">
        <v>34206</v>
      </c>
    </row>
    <row r="8759" ht="14.25">
      <c r="B8759" s="4" t="s">
        <v>39339</v>
      </c>
      <c r="C8759" s="14" t="s">
        <v>33890</v>
      </c>
      <c r="D8759" s="4" t="s">
        <v>33891</v>
      </c>
      <c r="E8759" s="4" t="s">
        <v>35432</v>
      </c>
    </row>
    <row r="8760" ht="14.25">
      <c r="B8760" s="4" t="s">
        <v>39340</v>
      </c>
      <c r="C8760" s="14" t="s">
        <v>34360</v>
      </c>
      <c r="D8760" s="4" t="s">
        <v>34365</v>
      </c>
      <c r="E8760" s="4" t="s">
        <v>36487</v>
      </c>
    </row>
    <row r="8761" ht="14.25">
      <c r="B8761" s="4" t="s">
        <v>39341</v>
      </c>
      <c r="C8761" s="14" t="s">
        <v>35039</v>
      </c>
      <c r="D8761" s="4" t="s">
        <v>35040</v>
      </c>
      <c r="E8761" s="4" t="s">
        <v>37973</v>
      </c>
    </row>
    <row r="8762" ht="14.25">
      <c r="B8762" s="4" t="s">
        <v>39342</v>
      </c>
      <c r="C8762" s="14" t="s">
        <v>35009</v>
      </c>
      <c r="D8762" s="4" t="s">
        <v>35010</v>
      </c>
      <c r="E8762" s="4" t="s">
        <v>37892</v>
      </c>
    </row>
    <row r="8763" ht="14.25">
      <c r="B8763" s="4" t="s">
        <v>39343</v>
      </c>
      <c r="C8763" s="14" t="s">
        <v>33543</v>
      </c>
      <c r="D8763" s="4" t="s">
        <v>33544</v>
      </c>
      <c r="E8763" s="4" t="s">
        <v>34721</v>
      </c>
    </row>
    <row r="8764" ht="14.25">
      <c r="B8764" s="4" t="s">
        <v>39344</v>
      </c>
      <c r="C8764" s="14" t="s">
        <v>34544</v>
      </c>
      <c r="D8764" s="4" t="s">
        <v>34545</v>
      </c>
      <c r="E8764" s="4" t="s">
        <v>36853</v>
      </c>
    </row>
    <row r="8765" ht="14.25">
      <c r="B8765" s="4" t="s">
        <v>39345</v>
      </c>
      <c r="C8765" s="14" t="s">
        <v>33613</v>
      </c>
      <c r="D8765" s="4" t="s">
        <v>33614</v>
      </c>
      <c r="E8765" s="4" t="s">
        <v>34860</v>
      </c>
    </row>
    <row r="8766" ht="14.25">
      <c r="B8766" s="4" t="s">
        <v>39346</v>
      </c>
      <c r="C8766" s="14" t="s">
        <v>34253</v>
      </c>
      <c r="D8766" s="4" t="s">
        <v>34254</v>
      </c>
      <c r="E8766" s="4" t="s">
        <v>36218</v>
      </c>
    </row>
    <row r="8767" ht="14.25">
      <c r="B8767" s="4" t="s">
        <v>39347</v>
      </c>
      <c r="C8767" s="14" t="s">
        <v>34475</v>
      </c>
      <c r="D8767" s="4" t="s">
        <v>34476</v>
      </c>
      <c r="E8767" s="4" t="s">
        <v>36693</v>
      </c>
    </row>
    <row r="8768" ht="14.25">
      <c r="B8768" s="4" t="s">
        <v>39348</v>
      </c>
      <c r="C8768" s="14" t="s">
        <v>33618</v>
      </c>
      <c r="D8768" s="4" t="s">
        <v>33619</v>
      </c>
      <c r="E8768" s="4" t="s">
        <v>34866</v>
      </c>
    </row>
    <row r="8769" ht="14.25">
      <c r="B8769" s="4" t="s">
        <v>39349</v>
      </c>
      <c r="C8769" s="14" t="s">
        <v>34177</v>
      </c>
      <c r="D8769" s="4" t="s">
        <v>34178</v>
      </c>
      <c r="E8769" s="4" t="s">
        <v>36048</v>
      </c>
    </row>
    <row r="8770" ht="14.25">
      <c r="B8770" s="4" t="s">
        <v>39350</v>
      </c>
      <c r="C8770" s="14" t="s">
        <v>32903</v>
      </c>
      <c r="D8770" s="4" t="s">
        <v>32904</v>
      </c>
      <c r="E8770" s="4" t="s">
        <v>33342</v>
      </c>
    </row>
    <row r="8771" ht="14.25">
      <c r="B8771" s="4" t="s">
        <v>39351</v>
      </c>
      <c r="C8771" s="14" t="s">
        <v>33019</v>
      </c>
      <c r="D8771" s="4" t="s">
        <v>33020</v>
      </c>
      <c r="E8771" s="4" t="s">
        <v>33634</v>
      </c>
    </row>
    <row r="8772" ht="14.25">
      <c r="B8772" s="4" t="s">
        <v>39352</v>
      </c>
      <c r="C8772" s="14" t="s">
        <v>34992</v>
      </c>
      <c r="D8772" s="4" t="s">
        <v>34993</v>
      </c>
      <c r="E8772" s="4" t="s">
        <v>37853</v>
      </c>
    </row>
    <row r="8773" ht="14.25">
      <c r="B8773" s="4" t="s">
        <v>39353</v>
      </c>
      <c r="C8773" s="14" t="s">
        <v>33788</v>
      </c>
      <c r="D8773" s="4" t="s">
        <v>33789</v>
      </c>
      <c r="E8773" s="4" t="s">
        <v>35189</v>
      </c>
    </row>
    <row r="8774" ht="14.25">
      <c r="B8774" s="4" t="s">
        <v>39354</v>
      </c>
      <c r="C8774" s="14" t="s">
        <v>34978</v>
      </c>
      <c r="D8774" s="4" t="s">
        <v>34979</v>
      </c>
      <c r="E8774" s="4" t="s">
        <v>37821</v>
      </c>
    </row>
    <row r="8775" ht="14.25">
      <c r="B8775" s="4" t="s">
        <v>39355</v>
      </c>
      <c r="C8775" s="14" t="s">
        <v>32942</v>
      </c>
      <c r="D8775" s="4" t="s">
        <v>32951</v>
      </c>
      <c r="E8775" s="4" t="s">
        <v>33438</v>
      </c>
    </row>
    <row r="8776" ht="14.25">
      <c r="B8776" s="4" t="s">
        <v>39356</v>
      </c>
      <c r="C8776" s="14" t="s">
        <v>32882</v>
      </c>
      <c r="D8776" s="4" t="s">
        <v>32883</v>
      </c>
      <c r="E8776" s="4" t="s">
        <v>33282</v>
      </c>
    </row>
    <row r="8777" ht="14.25">
      <c r="B8777" s="4" t="s">
        <v>39357</v>
      </c>
      <c r="C8777" s="14" t="s">
        <v>34827</v>
      </c>
      <c r="D8777" s="4" t="s">
        <v>34832</v>
      </c>
      <c r="E8777" s="4" t="s">
        <v>37558</v>
      </c>
    </row>
    <row r="8778" ht="14.25">
      <c r="B8778" s="4" t="s">
        <v>39358</v>
      </c>
      <c r="C8778" s="14" t="s">
        <v>32682</v>
      </c>
      <c r="D8778" s="4" t="s">
        <v>32687</v>
      </c>
      <c r="E8778" s="4" t="s">
        <v>32962</v>
      </c>
    </row>
    <row r="8779" ht="14.25">
      <c r="B8779" s="4" t="s">
        <v>39359</v>
      </c>
      <c r="C8779" s="14" t="s">
        <v>35264</v>
      </c>
      <c r="D8779" s="4" t="s">
        <v>35265</v>
      </c>
      <c r="E8779" s="4" t="s">
        <v>38418</v>
      </c>
    </row>
    <row r="8780" ht="14.25">
      <c r="B8780" s="4" t="s">
        <v>39360</v>
      </c>
      <c r="C8780" s="14" t="s">
        <v>34561</v>
      </c>
      <c r="D8780" s="4" t="s">
        <v>34562</v>
      </c>
      <c r="E8780" s="4" t="s">
        <v>36901</v>
      </c>
    </row>
    <row r="8781" ht="14.25">
      <c r="B8781" s="4" t="s">
        <v>39361</v>
      </c>
      <c r="C8781" s="14" t="s">
        <v>34257</v>
      </c>
      <c r="D8781" s="4" t="s">
        <v>34258</v>
      </c>
      <c r="E8781" s="4" t="s">
        <v>36250</v>
      </c>
    </row>
    <row r="8782" ht="14.25">
      <c r="B8782" s="4" t="s">
        <v>39362</v>
      </c>
      <c r="C8782" s="14" t="s">
        <v>33339</v>
      </c>
      <c r="D8782" s="4" t="s">
        <v>33340</v>
      </c>
      <c r="E8782" s="4" t="s">
        <v>34260</v>
      </c>
    </row>
    <row r="8783" ht="14.25">
      <c r="B8783" s="4" t="s">
        <v>39363</v>
      </c>
      <c r="C8783" s="14" t="s">
        <v>33193</v>
      </c>
      <c r="D8783" s="4" t="s">
        <v>33202</v>
      </c>
      <c r="E8783" s="4" t="s">
        <v>34002</v>
      </c>
    </row>
    <row r="8784" ht="14.25">
      <c r="B8784" s="4" t="s">
        <v>39364</v>
      </c>
      <c r="C8784" s="14" t="s">
        <v>34863</v>
      </c>
      <c r="D8784" s="4" t="s">
        <v>34864</v>
      </c>
      <c r="E8784" s="4" t="s">
        <v>37598</v>
      </c>
    </row>
    <row r="8785" ht="14.25">
      <c r="B8785" s="4" t="s">
        <v>39365</v>
      </c>
      <c r="C8785" s="14" t="s">
        <v>32777</v>
      </c>
      <c r="D8785" s="4" t="s">
        <v>32778</v>
      </c>
      <c r="E8785" s="4" t="s">
        <v>33079</v>
      </c>
    </row>
    <row r="8786" ht="14.25">
      <c r="B8786" s="4" t="s">
        <v>39366</v>
      </c>
      <c r="C8786" s="14" t="s">
        <v>33330</v>
      </c>
      <c r="D8786" s="4" t="s">
        <v>33331</v>
      </c>
      <c r="E8786" s="4" t="s">
        <v>34244</v>
      </c>
    </row>
    <row r="8787" ht="14.25">
      <c r="B8787" s="4" t="s">
        <v>39367</v>
      </c>
      <c r="C8787" s="14" t="s">
        <v>33537</v>
      </c>
      <c r="D8787" s="4" t="s">
        <v>33538</v>
      </c>
      <c r="E8787" s="4" t="s">
        <v>34700</v>
      </c>
    </row>
    <row r="8788" ht="14.25">
      <c r="B8788" s="4" t="s">
        <v>39368</v>
      </c>
      <c r="C8788" s="14" t="s">
        <v>33591</v>
      </c>
      <c r="D8788" s="4" t="s">
        <v>33596</v>
      </c>
      <c r="E8788" s="4" t="s">
        <v>34804</v>
      </c>
    </row>
    <row r="8789" ht="14.25">
      <c r="B8789" s="4" t="s">
        <v>39369</v>
      </c>
      <c r="C8789" s="14" t="s">
        <v>33604</v>
      </c>
      <c r="D8789" s="4" t="s">
        <v>33605</v>
      </c>
      <c r="E8789" s="4" t="s">
        <v>34830</v>
      </c>
    </row>
    <row r="8790" ht="14.25">
      <c r="B8790" s="4" t="s">
        <v>39370</v>
      </c>
      <c r="C8790" s="14" t="s">
        <v>34086</v>
      </c>
      <c r="D8790" s="4" t="s">
        <v>34087</v>
      </c>
      <c r="E8790" s="4" t="s">
        <v>35861</v>
      </c>
    </row>
    <row r="8791" ht="14.25">
      <c r="B8791" s="4" t="s">
        <v>39371</v>
      </c>
      <c r="C8791" s="14" t="s">
        <v>35090</v>
      </c>
      <c r="D8791" s="4" t="s">
        <v>35091</v>
      </c>
      <c r="E8791" s="4" t="s">
        <v>38062</v>
      </c>
    </row>
    <row r="8792" ht="14.25">
      <c r="B8792" s="4" t="s">
        <v>39372</v>
      </c>
      <c r="C8792" s="14" t="s">
        <v>34955</v>
      </c>
      <c r="D8792" s="4" t="s">
        <v>34956</v>
      </c>
      <c r="E8792" s="4" t="s">
        <v>37784</v>
      </c>
    </row>
    <row r="8793" ht="14.25">
      <c r="B8793" s="4" t="s">
        <v>39373</v>
      </c>
      <c r="C8793" s="14" t="s">
        <v>32987</v>
      </c>
      <c r="D8793" s="4" t="s">
        <v>32988</v>
      </c>
      <c r="E8793" s="4" t="s">
        <v>33539</v>
      </c>
    </row>
    <row r="8794" ht="14.25">
      <c r="B8794" s="4" t="s">
        <v>39374</v>
      </c>
      <c r="C8794" s="14" t="s">
        <v>34906</v>
      </c>
      <c r="D8794" s="4" t="s">
        <v>34907</v>
      </c>
      <c r="E8794" s="4" t="s">
        <v>37683</v>
      </c>
    </row>
    <row r="8795" ht="14.25">
      <c r="B8795" s="4" t="s">
        <v>39375</v>
      </c>
      <c r="C8795" s="14" t="s">
        <v>34754</v>
      </c>
      <c r="D8795" s="4" t="s">
        <v>34755</v>
      </c>
      <c r="E8795" s="4" t="s">
        <v>37405</v>
      </c>
    </row>
    <row r="8796" ht="14.25">
      <c r="B8796" s="4" t="s">
        <v>39376</v>
      </c>
      <c r="C8796" s="14" t="s">
        <v>32917</v>
      </c>
      <c r="D8796" s="4" t="s">
        <v>32918</v>
      </c>
      <c r="E8796" s="4" t="s">
        <v>33362</v>
      </c>
    </row>
    <row r="8797" ht="14.25">
      <c r="B8797" s="4" t="s">
        <v>39377</v>
      </c>
      <c r="C8797" s="14" t="s">
        <v>33641</v>
      </c>
      <c r="D8797" s="4" t="s">
        <v>33646</v>
      </c>
      <c r="E8797" s="4" t="s">
        <v>34922</v>
      </c>
    </row>
    <row r="8798" ht="14.25">
      <c r="B8798" s="4" t="s">
        <v>39378</v>
      </c>
      <c r="C8798" s="14" t="s">
        <v>35078</v>
      </c>
      <c r="D8798" s="4" t="s">
        <v>35079</v>
      </c>
      <c r="E8798" s="4" t="s">
        <v>38026</v>
      </c>
    </row>
    <row r="8799" ht="14.25">
      <c r="B8799" s="4" t="s">
        <v>39379</v>
      </c>
      <c r="C8799" s="14" t="s">
        <v>33762</v>
      </c>
      <c r="D8799" s="4" t="s">
        <v>33763</v>
      </c>
      <c r="E8799" s="4" t="s">
        <v>35142</v>
      </c>
    </row>
    <row r="8800" ht="14.25">
      <c r="B8800" s="4" t="s">
        <v>39380</v>
      </c>
      <c r="C8800" s="14" t="s">
        <v>32629</v>
      </c>
      <c r="D8800" s="4" t="s">
        <v>32630</v>
      </c>
      <c r="E8800" s="4" t="s">
        <v>32791</v>
      </c>
    </row>
    <row r="8801" ht="14.25">
      <c r="B8801" s="4" t="s">
        <v>39381</v>
      </c>
      <c r="C8801" s="14" t="s">
        <v>33224</v>
      </c>
      <c r="D8801" s="4" t="s">
        <v>33225</v>
      </c>
      <c r="E8801" s="4" t="s">
        <v>34029</v>
      </c>
    </row>
    <row r="8802" ht="14.25">
      <c r="B8802" s="4" t="s">
        <v>39382</v>
      </c>
      <c r="C8802" s="14" t="s">
        <v>32793</v>
      </c>
      <c r="D8802" s="4" t="s">
        <v>32794</v>
      </c>
      <c r="E8802" s="4" t="s">
        <v>33175</v>
      </c>
    </row>
    <row r="8803" ht="14.25">
      <c r="B8803" s="4" t="s">
        <v>39383</v>
      </c>
      <c r="C8803" s="14" t="s">
        <v>32624</v>
      </c>
      <c r="D8803" s="4" t="s">
        <v>32625</v>
      </c>
      <c r="E8803" s="4" t="s">
        <v>32786</v>
      </c>
    </row>
    <row r="8804" ht="14.25">
      <c r="B8804" s="4" t="s">
        <v>39384</v>
      </c>
      <c r="C8804" s="14" t="s">
        <v>34886</v>
      </c>
      <c r="D8804" s="4" t="s">
        <v>34891</v>
      </c>
      <c r="E8804" s="4" t="s">
        <v>37652</v>
      </c>
    </row>
    <row r="8805" ht="14.25">
      <c r="B8805" s="4" t="s">
        <v>39385</v>
      </c>
      <c r="C8805" s="14" t="s">
        <v>35162</v>
      </c>
      <c r="D8805" s="4" t="s">
        <v>35169</v>
      </c>
      <c r="E8805" s="4" t="s">
        <v>38226</v>
      </c>
    </row>
    <row r="8806" ht="14.25">
      <c r="B8806" s="4" t="s">
        <v>39386</v>
      </c>
      <c r="C8806" s="14" t="s">
        <v>33627</v>
      </c>
      <c r="D8806" s="4" t="s">
        <v>33628</v>
      </c>
      <c r="E8806" s="4" t="s">
        <v>34889</v>
      </c>
    </row>
    <row r="8807" ht="14.25">
      <c r="B8807" s="4" t="s">
        <v>39387</v>
      </c>
      <c r="C8807" s="14" t="s">
        <v>33762</v>
      </c>
      <c r="D8807" s="4" t="s">
        <v>33763</v>
      </c>
      <c r="E8807" s="4" t="s">
        <v>35156</v>
      </c>
    </row>
    <row r="8808" ht="14.25">
      <c r="B8808" s="4" t="s">
        <v>39388</v>
      </c>
      <c r="C8808" s="14" t="s">
        <v>34666</v>
      </c>
      <c r="D8808" s="4" t="s">
        <v>34667</v>
      </c>
      <c r="E8808" s="4" t="s">
        <v>37254</v>
      </c>
    </row>
    <row r="8809" ht="14.25">
      <c r="B8809" s="4" t="s">
        <v>39389</v>
      </c>
      <c r="C8809" s="14" t="s">
        <v>33295</v>
      </c>
      <c r="D8809" s="4" t="s">
        <v>33296</v>
      </c>
      <c r="E8809" s="4" t="s">
        <v>34161</v>
      </c>
    </row>
    <row r="8810" ht="14.25">
      <c r="B8810" s="4" t="s">
        <v>39390</v>
      </c>
      <c r="C8810" s="14" t="s">
        <v>34165</v>
      </c>
      <c r="D8810" s="4" t="s">
        <v>34166</v>
      </c>
      <c r="E8810" s="4" t="s">
        <v>36016</v>
      </c>
    </row>
    <row r="8811" ht="14.25">
      <c r="B8811" s="4" t="s">
        <v>39391</v>
      </c>
      <c r="C8811" s="14" t="s">
        <v>34322</v>
      </c>
      <c r="D8811" s="4" t="s">
        <v>34323</v>
      </c>
      <c r="E8811" s="4" t="s">
        <v>36375</v>
      </c>
    </row>
    <row r="8812" ht="14.25">
      <c r="B8812" s="4" t="s">
        <v>39392</v>
      </c>
      <c r="C8812" s="14" t="s">
        <v>33912</v>
      </c>
      <c r="D8812" s="4" t="s">
        <v>33913</v>
      </c>
      <c r="E8812" s="4" t="s">
        <v>35488</v>
      </c>
    </row>
    <row r="8813" ht="14.25">
      <c r="B8813" s="4" t="s">
        <v>39393</v>
      </c>
      <c r="C8813" s="14" t="s">
        <v>33705</v>
      </c>
      <c r="D8813" s="4" t="s">
        <v>33706</v>
      </c>
      <c r="E8813" s="4" t="s">
        <v>35018</v>
      </c>
    </row>
    <row r="8814" ht="14.25">
      <c r="B8814" s="4" t="s">
        <v>39394</v>
      </c>
      <c r="C8814" s="14" t="s">
        <v>32629</v>
      </c>
      <c r="D8814" s="4" t="s">
        <v>32630</v>
      </c>
      <c r="E8814" s="4" t="s">
        <v>32830</v>
      </c>
    </row>
    <row r="8815" ht="14.25">
      <c r="B8815" s="4" t="s">
        <v>39395</v>
      </c>
      <c r="C8815" s="14" t="s">
        <v>32629</v>
      </c>
      <c r="D8815" s="4" t="s">
        <v>32634</v>
      </c>
      <c r="E8815" s="4" t="s">
        <v>32800</v>
      </c>
    </row>
    <row r="8816" ht="14.25">
      <c r="B8816" s="4" t="s">
        <v>39396</v>
      </c>
      <c r="C8816" s="14" t="s">
        <v>32748</v>
      </c>
      <c r="D8816" s="4" t="s">
        <v>32753</v>
      </c>
      <c r="E8816" s="4" t="s">
        <v>33048</v>
      </c>
    </row>
    <row r="8817" ht="14.25">
      <c r="B8817" s="4" t="s">
        <v>39397</v>
      </c>
      <c r="C8817" s="14" t="s">
        <v>34886</v>
      </c>
      <c r="D8817" s="4" t="s">
        <v>34887</v>
      </c>
      <c r="E8817" s="4" t="s">
        <v>37647</v>
      </c>
    </row>
    <row r="8818" ht="14.25">
      <c r="B8818" s="4" t="s">
        <v>39398</v>
      </c>
      <c r="C8818" s="14" t="s">
        <v>35417</v>
      </c>
      <c r="D8818" s="4" t="s">
        <v>35418</v>
      </c>
      <c r="E8818" s="4" t="s">
        <v>38733</v>
      </c>
    </row>
    <row r="8819" ht="14.25">
      <c r="B8819" s="4" t="s">
        <v>39399</v>
      </c>
      <c r="C8819" s="14" t="s">
        <v>32869</v>
      </c>
      <c r="D8819" s="4" t="s">
        <v>32870</v>
      </c>
      <c r="E8819" s="4" t="s">
        <v>33268</v>
      </c>
    </row>
    <row r="8820" ht="14.25">
      <c r="B8820" s="4" t="s">
        <v>39400</v>
      </c>
      <c r="C8820" s="14" t="s">
        <v>34978</v>
      </c>
      <c r="D8820" s="4" t="s">
        <v>34983</v>
      </c>
      <c r="E8820" s="4" t="s">
        <v>37830</v>
      </c>
    </row>
    <row r="8821" ht="14.25">
      <c r="B8821" s="4" t="s">
        <v>39401</v>
      </c>
      <c r="C8821" s="14" t="s">
        <v>33307</v>
      </c>
      <c r="D8821" s="4" t="s">
        <v>33308</v>
      </c>
      <c r="E8821" s="4" t="s">
        <v>34180</v>
      </c>
    </row>
    <row r="8822" ht="14.25">
      <c r="B8822" s="4" t="s">
        <v>39402</v>
      </c>
      <c r="C8822" s="14" t="s">
        <v>35264</v>
      </c>
      <c r="D8822" s="4" t="s">
        <v>35273</v>
      </c>
      <c r="E8822" s="4" t="s">
        <v>38445</v>
      </c>
    </row>
    <row r="8823" ht="14.25">
      <c r="B8823" s="4" t="s">
        <v>39403</v>
      </c>
      <c r="C8823" s="14" t="s">
        <v>35372</v>
      </c>
      <c r="D8823" s="4" t="s">
        <v>35377</v>
      </c>
      <c r="E8823" s="4" t="s">
        <v>38632</v>
      </c>
    </row>
    <row r="8824" ht="14.25">
      <c r="B8824" s="4" t="s">
        <v>39404</v>
      </c>
      <c r="C8824" s="14" t="s">
        <v>33077</v>
      </c>
      <c r="D8824" s="4" t="s">
        <v>33078</v>
      </c>
      <c r="E8824" s="4" t="s">
        <v>33745</v>
      </c>
    </row>
    <row r="8825" ht="14.25">
      <c r="B8825" s="4" t="s">
        <v>39405</v>
      </c>
      <c r="C8825" s="14" t="s">
        <v>33747</v>
      </c>
      <c r="D8825" s="4" t="s">
        <v>33748</v>
      </c>
      <c r="E8825" s="4" t="s">
        <v>35115</v>
      </c>
    </row>
    <row r="8826" ht="14.25">
      <c r="B8826" s="4" t="s">
        <v>39406</v>
      </c>
      <c r="C8826" s="14" t="s">
        <v>35062</v>
      </c>
      <c r="D8826" s="4" t="s">
        <v>35063</v>
      </c>
      <c r="E8826" s="4" t="s">
        <v>38002</v>
      </c>
    </row>
    <row r="8827" ht="14.25">
      <c r="B8827" s="4" t="s">
        <v>39407</v>
      </c>
      <c r="C8827" s="14" t="s">
        <v>33933</v>
      </c>
      <c r="D8827" s="4" t="s">
        <v>33934</v>
      </c>
      <c r="E8827" s="4" t="s">
        <v>35523</v>
      </c>
    </row>
    <row r="8828" ht="14.25">
      <c r="B8828" s="4" t="s">
        <v>39408</v>
      </c>
      <c r="C8828" s="14" t="s">
        <v>33912</v>
      </c>
      <c r="D8828" s="4" t="s">
        <v>33913</v>
      </c>
      <c r="E8828" s="4" t="s">
        <v>35493</v>
      </c>
    </row>
    <row r="8829" ht="14.25">
      <c r="B8829" s="4" t="s">
        <v>39409</v>
      </c>
      <c r="C8829" s="14" t="s">
        <v>34440</v>
      </c>
      <c r="D8829" s="4" t="s">
        <v>34441</v>
      </c>
      <c r="E8829" s="4" t="s">
        <v>36642</v>
      </c>
    </row>
    <row r="8830" ht="14.25">
      <c r="B8830" s="4" t="s">
        <v>39410</v>
      </c>
      <c r="C8830" s="14" t="s">
        <v>35066</v>
      </c>
      <c r="D8830" s="4" t="s">
        <v>35067</v>
      </c>
      <c r="E8830" s="4" t="s">
        <v>38009</v>
      </c>
    </row>
    <row r="8831" ht="14.25">
      <c r="B8831" s="4" t="s">
        <v>39411</v>
      </c>
      <c r="C8831" s="14" t="s">
        <v>35207</v>
      </c>
      <c r="D8831" s="4" t="s">
        <v>35208</v>
      </c>
      <c r="E8831" s="4" t="s">
        <v>38305</v>
      </c>
    </row>
    <row r="8832" ht="14.25">
      <c r="B8832" s="4" t="s">
        <v>39412</v>
      </c>
      <c r="C8832" s="14" t="s">
        <v>34015</v>
      </c>
      <c r="D8832" s="4" t="s">
        <v>34016</v>
      </c>
      <c r="E8832" s="4" t="s">
        <v>35673</v>
      </c>
    </row>
    <row r="8833" ht="14.25">
      <c r="B8833" s="4" t="s">
        <v>39413</v>
      </c>
      <c r="C8833" s="14" t="s">
        <v>33543</v>
      </c>
      <c r="D8833" s="4" t="s">
        <v>33544</v>
      </c>
      <c r="E8833" s="4" t="s">
        <v>34729</v>
      </c>
    </row>
    <row r="8834" ht="14.25">
      <c r="B8834" s="4" t="s">
        <v>39414</v>
      </c>
      <c r="C8834" s="14" t="s">
        <v>35052</v>
      </c>
      <c r="D8834" s="4" t="s">
        <v>35053</v>
      </c>
      <c r="E8834" s="4" t="s">
        <v>37987</v>
      </c>
    </row>
    <row r="8835" ht="14.25">
      <c r="B8835" s="4" t="s">
        <v>39415</v>
      </c>
      <c r="C8835" s="14" t="s">
        <v>35144</v>
      </c>
      <c r="D8835" s="4" t="s">
        <v>35145</v>
      </c>
      <c r="E8835" s="4" t="s">
        <v>38166</v>
      </c>
    </row>
    <row r="8836" ht="14.25">
      <c r="B8836" s="4" t="s">
        <v>39416</v>
      </c>
      <c r="C8836" s="14" t="s">
        <v>34666</v>
      </c>
      <c r="D8836" s="4" t="s">
        <v>34667</v>
      </c>
      <c r="E8836" s="4" t="s">
        <v>37234</v>
      </c>
    </row>
    <row r="8837" ht="14.25">
      <c r="B8837" s="4" t="s">
        <v>39417</v>
      </c>
      <c r="C8837" s="14" t="s">
        <v>32629</v>
      </c>
      <c r="D8837" s="4" t="s">
        <v>32630</v>
      </c>
      <c r="E8837" s="4" t="s">
        <v>32842</v>
      </c>
    </row>
    <row r="8838" ht="14.25">
      <c r="B8838" s="4" t="s">
        <v>39418</v>
      </c>
      <c r="C8838" s="14" t="s">
        <v>34353</v>
      </c>
      <c r="D8838" s="4" t="s">
        <v>34354</v>
      </c>
      <c r="E8838" s="4" t="s">
        <v>36463</v>
      </c>
    </row>
    <row r="8839" ht="14.25">
      <c r="B8839" s="4" t="s">
        <v>39419</v>
      </c>
      <c r="C8839" s="14" t="s">
        <v>34827</v>
      </c>
      <c r="D8839" s="4" t="s">
        <v>34832</v>
      </c>
      <c r="E8839" s="4" t="s">
        <v>37520</v>
      </c>
    </row>
    <row r="8840" ht="14.25">
      <c r="B8840" s="4" t="s">
        <v>39420</v>
      </c>
      <c r="C8840" s="14" t="s">
        <v>33604</v>
      </c>
      <c r="D8840" s="4" t="s">
        <v>33605</v>
      </c>
      <c r="E8840" s="4" t="s">
        <v>34855</v>
      </c>
    </row>
    <row r="8841" ht="14.25">
      <c r="B8841" s="4" t="s">
        <v>39421</v>
      </c>
      <c r="C8841" s="14" t="s">
        <v>33019</v>
      </c>
      <c r="D8841" s="4" t="s">
        <v>33020</v>
      </c>
      <c r="E8841" s="4" t="s">
        <v>33648</v>
      </c>
    </row>
    <row r="8842" ht="14.25">
      <c r="B8842" s="4" t="s">
        <v>39422</v>
      </c>
      <c r="C8842" s="14" t="s">
        <v>33233</v>
      </c>
      <c r="D8842" s="4" t="s">
        <v>33234</v>
      </c>
      <c r="E8842" s="4" t="s">
        <v>34041</v>
      </c>
    </row>
    <row r="8843" ht="14.25">
      <c r="B8843" s="4" t="s">
        <v>39423</v>
      </c>
      <c r="C8843" s="14" t="s">
        <v>33290</v>
      </c>
      <c r="D8843" s="4" t="s">
        <v>33291</v>
      </c>
      <c r="E8843" s="4" t="s">
        <v>34156</v>
      </c>
    </row>
    <row r="8844" ht="14.25">
      <c r="B8844" s="4" t="s">
        <v>39424</v>
      </c>
      <c r="C8844" s="14" t="s">
        <v>34158</v>
      </c>
      <c r="D8844" s="4" t="s">
        <v>34159</v>
      </c>
      <c r="E8844" s="4" t="s">
        <v>36011</v>
      </c>
    </row>
    <row r="8845" ht="14.25">
      <c r="B8845" s="4" t="s">
        <v>39425</v>
      </c>
      <c r="C8845" s="14" t="s">
        <v>33430</v>
      </c>
      <c r="D8845" s="4" t="s">
        <v>33436</v>
      </c>
      <c r="E8845" s="4" t="s">
        <v>34488</v>
      </c>
    </row>
    <row r="8846" ht="14.25">
      <c r="B8846" s="4" t="s">
        <v>39426</v>
      </c>
      <c r="C8846" s="14" t="s">
        <v>33816</v>
      </c>
      <c r="D8846" s="4" t="s">
        <v>33817</v>
      </c>
      <c r="E8846" s="4" t="s">
        <v>35328</v>
      </c>
    </row>
    <row r="8847" ht="14.25">
      <c r="B8847" s="4" t="s">
        <v>39427</v>
      </c>
      <c r="C8847" s="14" t="s">
        <v>34723</v>
      </c>
      <c r="D8847" s="4" t="s">
        <v>34724</v>
      </c>
      <c r="E8847" s="4" t="s">
        <v>37327</v>
      </c>
    </row>
    <row r="8848" ht="14.25">
      <c r="B8848" s="4" t="s">
        <v>39428</v>
      </c>
      <c r="C8848" s="14" t="s">
        <v>33816</v>
      </c>
      <c r="D8848" s="4" t="s">
        <v>33817</v>
      </c>
      <c r="E8848" s="4" t="s">
        <v>35254</v>
      </c>
    </row>
    <row r="8849" ht="14.25">
      <c r="B8849" s="4" t="s">
        <v>39429</v>
      </c>
      <c r="C8849" s="14" t="s">
        <v>32942</v>
      </c>
      <c r="D8849" s="4" t="s">
        <v>32947</v>
      </c>
      <c r="E8849" s="4" t="s">
        <v>33476</v>
      </c>
    </row>
    <row r="8850" ht="14.25">
      <c r="B8850" s="4" t="s">
        <v>39430</v>
      </c>
      <c r="C8850" s="14" t="s">
        <v>33193</v>
      </c>
      <c r="D8850" s="4" t="s">
        <v>33198</v>
      </c>
      <c r="E8850" s="4" t="s">
        <v>33976</v>
      </c>
    </row>
    <row r="8851" ht="14.25">
      <c r="B8851" s="4" t="s">
        <v>39431</v>
      </c>
      <c r="C8851" s="14" t="s">
        <v>33397</v>
      </c>
      <c r="D8851" s="4" t="s">
        <v>33398</v>
      </c>
      <c r="E8851" s="4" t="s">
        <v>34393</v>
      </c>
    </row>
    <row r="8852" ht="14.25">
      <c r="B8852" s="4" t="s">
        <v>39432</v>
      </c>
      <c r="C8852" s="14" t="s">
        <v>34350</v>
      </c>
      <c r="D8852" s="4" t="s">
        <v>34351</v>
      </c>
      <c r="E8852" s="4" t="s">
        <v>36456</v>
      </c>
    </row>
    <row r="8853" ht="14.25">
      <c r="B8853" s="4" t="s">
        <v>39433</v>
      </c>
      <c r="C8853" s="14" t="s">
        <v>34051</v>
      </c>
      <c r="D8853" s="4" t="s">
        <v>34052</v>
      </c>
      <c r="E8853" s="4" t="s">
        <v>35756</v>
      </c>
    </row>
    <row r="8854" ht="14.25">
      <c r="B8854" s="4" t="s">
        <v>39434</v>
      </c>
      <c r="C8854" s="14" t="s">
        <v>34015</v>
      </c>
      <c r="D8854" s="4" t="s">
        <v>34016</v>
      </c>
      <c r="E8854" s="4" t="s">
        <v>35685</v>
      </c>
    </row>
    <row r="8855" ht="14.25">
      <c r="B8855" s="4" t="s">
        <v>39435</v>
      </c>
      <c r="C8855" s="14" t="s">
        <v>34360</v>
      </c>
      <c r="D8855" s="4" t="s">
        <v>34361</v>
      </c>
      <c r="E8855" s="4" t="s">
        <v>36481</v>
      </c>
    </row>
    <row r="8856" ht="14.25">
      <c r="B8856" s="4" t="s">
        <v>39436</v>
      </c>
      <c r="C8856" s="14" t="s">
        <v>32565</v>
      </c>
      <c r="D8856" s="4" t="s">
        <v>32566</v>
      </c>
      <c r="E8856" s="4" t="s">
        <v>32639</v>
      </c>
    </row>
    <row r="8857" ht="14.25">
      <c r="B8857" s="4" t="s">
        <v>39437</v>
      </c>
      <c r="C8857" s="14" t="s">
        <v>33177</v>
      </c>
      <c r="D8857" s="4" t="s">
        <v>33178</v>
      </c>
      <c r="E8857" s="4" t="s">
        <v>33955</v>
      </c>
    </row>
    <row r="8858" ht="14.25">
      <c r="B8858" s="4" t="s">
        <v>39438</v>
      </c>
      <c r="C8858" s="14" t="s">
        <v>34827</v>
      </c>
      <c r="D8858" s="4" t="s">
        <v>34832</v>
      </c>
      <c r="E8858" s="4" t="s">
        <v>37555</v>
      </c>
    </row>
    <row r="8859" ht="14.25">
      <c r="B8859" s="4" t="s">
        <v>39439</v>
      </c>
      <c r="C8859" s="14" t="s">
        <v>35264</v>
      </c>
      <c r="D8859" s="4" t="s">
        <v>35265</v>
      </c>
      <c r="E8859" s="4" t="s">
        <v>38423</v>
      </c>
    </row>
    <row r="8860" ht="14.25">
      <c r="B8860" s="4" t="s">
        <v>39440</v>
      </c>
      <c r="C8860" s="14" t="s">
        <v>34617</v>
      </c>
      <c r="D8860" s="4" t="s">
        <v>34618</v>
      </c>
      <c r="E8860" s="4" t="s">
        <v>37034</v>
      </c>
    </row>
    <row r="8861" ht="14.25">
      <c r="B8861" s="4" t="s">
        <v>39441</v>
      </c>
      <c r="C8861" s="14" t="s">
        <v>34130</v>
      </c>
      <c r="D8861" s="4" t="s">
        <v>34135</v>
      </c>
      <c r="E8861" s="4" t="s">
        <v>35947</v>
      </c>
    </row>
    <row r="8862" ht="14.25">
      <c r="B8862" s="4" t="s">
        <v>39442</v>
      </c>
      <c r="C8862" s="14" t="s">
        <v>33999</v>
      </c>
      <c r="D8862" s="4" t="s">
        <v>34000</v>
      </c>
      <c r="E8862" s="4" t="s">
        <v>35637</v>
      </c>
    </row>
    <row r="8863" ht="14.25">
      <c r="B8863" s="4" t="s">
        <v>39443</v>
      </c>
      <c r="C8863" s="14" t="s">
        <v>34380</v>
      </c>
      <c r="D8863" s="4" t="s">
        <v>34381</v>
      </c>
      <c r="E8863" s="4" t="s">
        <v>36515</v>
      </c>
    </row>
    <row r="8864" ht="14.25">
      <c r="B8864" s="4" t="s">
        <v>39444</v>
      </c>
      <c r="C8864" s="14" t="s">
        <v>34459</v>
      </c>
      <c r="D8864" s="4" t="s">
        <v>34460</v>
      </c>
      <c r="E8864" s="4" t="s">
        <v>36672</v>
      </c>
    </row>
    <row r="8865" ht="14.25">
      <c r="B8865" s="4" t="s">
        <v>39445</v>
      </c>
      <c r="C8865" s="14" t="s">
        <v>34015</v>
      </c>
      <c r="D8865" s="4" t="s">
        <v>34022</v>
      </c>
      <c r="E8865" s="4" t="s">
        <v>35695</v>
      </c>
    </row>
    <row r="8866" ht="14.25">
      <c r="B8866" s="4" t="s">
        <v>39446</v>
      </c>
      <c r="C8866" s="14" t="s">
        <v>32618</v>
      </c>
      <c r="D8866" s="4" t="s">
        <v>32619</v>
      </c>
      <c r="E8866" s="4" t="s">
        <v>32779</v>
      </c>
    </row>
    <row r="8867" ht="14.25">
      <c r="B8867" s="4" t="s">
        <v>39447</v>
      </c>
      <c r="C8867" s="14" t="s">
        <v>32793</v>
      </c>
      <c r="D8867" s="4" t="s">
        <v>32798</v>
      </c>
      <c r="E8867" s="4" t="s">
        <v>33124</v>
      </c>
    </row>
    <row r="8868" ht="14.25">
      <c r="B8868" s="4" t="s">
        <v>39448</v>
      </c>
      <c r="C8868" s="14" t="s">
        <v>33655</v>
      </c>
      <c r="D8868" s="4" t="s">
        <v>33656</v>
      </c>
      <c r="E8868" s="4" t="s">
        <v>34936</v>
      </c>
    </row>
    <row r="8869" ht="14.25">
      <c r="B8869" s="4" t="s">
        <v>39449</v>
      </c>
      <c r="C8869" s="14" t="s">
        <v>34031</v>
      </c>
      <c r="D8869" s="4" t="s">
        <v>34032</v>
      </c>
      <c r="E8869" s="4" t="s">
        <v>35717</v>
      </c>
    </row>
    <row r="8870" ht="14.25">
      <c r="B8870" s="4" t="s">
        <v>39450</v>
      </c>
      <c r="C8870" s="14" t="s">
        <v>32544</v>
      </c>
      <c r="D8870" s="4" t="s">
        <v>32545</v>
      </c>
      <c r="E8870" s="4" t="s">
        <v>32588</v>
      </c>
    </row>
    <row r="8871" ht="14.25">
      <c r="B8871" s="4" t="s">
        <v>39451</v>
      </c>
      <c r="C8871" s="14" t="s">
        <v>35465</v>
      </c>
      <c r="D8871" s="4" t="s">
        <v>35466</v>
      </c>
      <c r="E8871" s="4" t="s">
        <v>38816</v>
      </c>
    </row>
    <row r="8872" ht="14.25">
      <c r="B8872" s="4" t="s">
        <v>39452</v>
      </c>
      <c r="C8872" s="14" t="s">
        <v>33417</v>
      </c>
      <c r="D8872" s="4" t="s">
        <v>33418</v>
      </c>
      <c r="E8872" s="4" t="s">
        <v>34428</v>
      </c>
    </row>
    <row r="8873" ht="14.25">
      <c r="B8873" s="4" t="s">
        <v>39453</v>
      </c>
      <c r="C8873" s="14" t="s">
        <v>33478</v>
      </c>
      <c r="D8873" s="4" t="s">
        <v>33479</v>
      </c>
      <c r="E8873" s="4" t="s">
        <v>34564</v>
      </c>
    </row>
    <row r="8874" ht="14.25">
      <c r="B8874" s="4" t="s">
        <v>39454</v>
      </c>
      <c r="C8874" s="14" t="s">
        <v>34051</v>
      </c>
      <c r="D8874" s="4" t="s">
        <v>34052</v>
      </c>
      <c r="E8874" s="4" t="s">
        <v>35768</v>
      </c>
    </row>
    <row r="8875" ht="14.25">
      <c r="B8875" s="4" t="s">
        <v>39455</v>
      </c>
      <c r="C8875" s="14" t="s">
        <v>34405</v>
      </c>
      <c r="D8875" s="4" t="s">
        <v>34406</v>
      </c>
      <c r="E8875" s="4" t="s">
        <v>36580</v>
      </c>
    </row>
    <row r="8876" ht="14.25">
      <c r="B8876" s="4" t="s">
        <v>39456</v>
      </c>
      <c r="C8876" s="14" t="s">
        <v>33311</v>
      </c>
      <c r="D8876" s="4" t="s">
        <v>33312</v>
      </c>
      <c r="E8876" s="4" t="s">
        <v>34186</v>
      </c>
    </row>
    <row r="8877" ht="14.25">
      <c r="B8877" s="4" t="s">
        <v>39457</v>
      </c>
      <c r="C8877" s="14" t="s">
        <v>32860</v>
      </c>
      <c r="D8877" s="4" t="s">
        <v>32861</v>
      </c>
      <c r="E8877" s="4" t="s">
        <v>33250</v>
      </c>
    </row>
    <row r="8878" ht="14.25">
      <c r="B8878" s="4" t="s">
        <v>39458</v>
      </c>
      <c r="C8878" s="14" t="s">
        <v>34425</v>
      </c>
      <c r="D8878" s="4" t="s">
        <v>34426</v>
      </c>
      <c r="E8878" s="4" t="s">
        <v>36620</v>
      </c>
    </row>
    <row r="8879" ht="14.25">
      <c r="B8879" s="4" t="s">
        <v>39459</v>
      </c>
      <c r="C8879" s="14" t="s">
        <v>32887</v>
      </c>
      <c r="D8879" s="4" t="s">
        <v>32888</v>
      </c>
      <c r="E8879" s="4" t="s">
        <v>33293</v>
      </c>
    </row>
    <row r="8880" ht="14.25">
      <c r="B8880" s="4" t="s">
        <v>39460</v>
      </c>
      <c r="C8880" s="14" t="s">
        <v>33655</v>
      </c>
      <c r="D8880" s="4" t="s">
        <v>33656</v>
      </c>
      <c r="E8880" s="4" t="s">
        <v>34958</v>
      </c>
    </row>
    <row r="8881" ht="14.25">
      <c r="B8881" s="4" t="s">
        <v>39461</v>
      </c>
      <c r="C8881" s="14" t="s">
        <v>34130</v>
      </c>
      <c r="D8881" s="4" t="s">
        <v>34131</v>
      </c>
      <c r="E8881" s="4" t="s">
        <v>35942</v>
      </c>
    </row>
    <row r="8882" ht="14.25">
      <c r="B8882" s="4" t="s">
        <v>39462</v>
      </c>
      <c r="C8882" s="14" t="s">
        <v>33737</v>
      </c>
      <c r="D8882" s="4" t="s">
        <v>33738</v>
      </c>
      <c r="E8882" s="4" t="s">
        <v>35104</v>
      </c>
    </row>
    <row r="8883" ht="14.25">
      <c r="B8883" s="4" t="s">
        <v>39463</v>
      </c>
      <c r="C8883" s="14" t="s">
        <v>34666</v>
      </c>
      <c r="D8883" s="4" t="s">
        <v>34667</v>
      </c>
      <c r="E8883" s="4" t="s">
        <v>37175</v>
      </c>
    </row>
    <row r="8884" ht="14.25">
      <c r="B8884" s="4" t="s">
        <v>39464</v>
      </c>
      <c r="C8884" s="14" t="s">
        <v>32682</v>
      </c>
      <c r="D8884" s="4" t="s">
        <v>32695</v>
      </c>
      <c r="E8884" s="4" t="s">
        <v>32937</v>
      </c>
    </row>
    <row r="8885" ht="14.25">
      <c r="B8885" s="4" t="s">
        <v>39465</v>
      </c>
      <c r="C8885" s="14" t="s">
        <v>34060</v>
      </c>
      <c r="D8885" s="4" t="s">
        <v>34074</v>
      </c>
      <c r="E8885" s="4" t="s">
        <v>35841</v>
      </c>
    </row>
    <row r="8886" ht="14.25">
      <c r="B8886" s="4" t="s">
        <v>39466</v>
      </c>
      <c r="C8886" s="14" t="s">
        <v>33149</v>
      </c>
      <c r="D8886" s="4" t="s">
        <v>33150</v>
      </c>
      <c r="E8886" s="4" t="s">
        <v>33904</v>
      </c>
    </row>
    <row r="8887" ht="14.25">
      <c r="B8887" s="4" t="s">
        <v>39467</v>
      </c>
      <c r="C8887" s="14" t="s">
        <v>32987</v>
      </c>
      <c r="D8887" s="4" t="s">
        <v>32988</v>
      </c>
      <c r="E8887" s="4" t="s">
        <v>33553</v>
      </c>
    </row>
    <row r="8888" ht="14.25">
      <c r="B8888" s="4" t="s">
        <v>39468</v>
      </c>
      <c r="C8888" s="14" t="s">
        <v>33019</v>
      </c>
      <c r="D8888" s="4" t="s">
        <v>33020</v>
      </c>
      <c r="E8888" s="4" t="s">
        <v>33607</v>
      </c>
    </row>
    <row r="8889" ht="14.25">
      <c r="B8889" s="4" t="s">
        <v>39469</v>
      </c>
      <c r="C8889" s="14" t="s">
        <v>32585</v>
      </c>
      <c r="D8889" s="4" t="s">
        <v>32586</v>
      </c>
      <c r="E8889" s="4" t="s">
        <v>32766</v>
      </c>
    </row>
    <row r="8890" ht="14.25">
      <c r="B8890" s="4" t="s">
        <v>39470</v>
      </c>
      <c r="C8890" s="14" t="s">
        <v>33533</v>
      </c>
      <c r="D8890" s="4" t="s">
        <v>33534</v>
      </c>
      <c r="E8890" s="4" t="s">
        <v>34686</v>
      </c>
    </row>
    <row r="8891" ht="14.25">
      <c r="B8891" s="4" t="s">
        <v>39471</v>
      </c>
      <c r="C8891" s="14" t="s">
        <v>33126</v>
      </c>
      <c r="D8891" s="4" t="s">
        <v>33127</v>
      </c>
      <c r="E8891" s="4" t="s">
        <v>33862</v>
      </c>
    </row>
    <row r="8892" ht="14.25">
      <c r="B8892" s="4" t="s">
        <v>39472</v>
      </c>
      <c r="C8892" s="14" t="s">
        <v>32942</v>
      </c>
      <c r="D8892" s="4" t="s">
        <v>32947</v>
      </c>
      <c r="E8892" s="4" t="s">
        <v>33471</v>
      </c>
    </row>
    <row r="8893" ht="14.25">
      <c r="B8893" s="4" t="s">
        <v>39473</v>
      </c>
      <c r="C8893" s="14" t="s">
        <v>33279</v>
      </c>
      <c r="D8893" s="4" t="s">
        <v>33280</v>
      </c>
      <c r="E8893" s="4" t="s">
        <v>34137</v>
      </c>
    </row>
    <row r="8894" ht="14.25">
      <c r="B8894" s="4" t="s">
        <v>39474</v>
      </c>
      <c r="C8894" s="14" t="s">
        <v>34177</v>
      </c>
      <c r="D8894" s="4" t="s">
        <v>34178</v>
      </c>
      <c r="E8894" s="4" t="s">
        <v>36053</v>
      </c>
    </row>
    <row r="8895" ht="14.25">
      <c r="B8895" s="4" t="s">
        <v>39475</v>
      </c>
      <c r="C8895" s="14" t="s">
        <v>32926</v>
      </c>
      <c r="D8895" s="4" t="s">
        <v>32927</v>
      </c>
      <c r="E8895" s="4" t="s">
        <v>33375</v>
      </c>
    </row>
    <row r="8896" ht="14.25">
      <c r="B8896" s="4" t="s">
        <v>39476</v>
      </c>
      <c r="C8896" s="14" t="s">
        <v>34203</v>
      </c>
      <c r="D8896" s="4" t="s">
        <v>34204</v>
      </c>
      <c r="E8896" s="4" t="s">
        <v>36092</v>
      </c>
    </row>
    <row r="8897" ht="14.25">
      <c r="B8897" s="4" t="s">
        <v>39477</v>
      </c>
      <c r="C8897" s="14" t="s">
        <v>34246</v>
      </c>
      <c r="D8897" s="4" t="s">
        <v>34247</v>
      </c>
      <c r="E8897" s="4" t="s">
        <v>36207</v>
      </c>
    </row>
    <row r="8898" ht="14.25">
      <c r="B8898" s="4" t="s">
        <v>39478</v>
      </c>
      <c r="C8898" s="14" t="s">
        <v>34555</v>
      </c>
      <c r="D8898" s="4" t="s">
        <v>34556</v>
      </c>
      <c r="E8898" s="4" t="s">
        <v>36871</v>
      </c>
    </row>
    <row r="8899" ht="14.25">
      <c r="B8899" s="4" t="s">
        <v>39479</v>
      </c>
      <c r="C8899" s="14" t="s">
        <v>32874</v>
      </c>
      <c r="D8899" s="4" t="s">
        <v>32875</v>
      </c>
      <c r="E8899" s="4" t="s">
        <v>33278</v>
      </c>
    </row>
    <row r="8900" ht="14.25">
      <c r="B8900" s="4" t="s">
        <v>39480</v>
      </c>
      <c r="C8900" s="14" t="s">
        <v>34189</v>
      </c>
      <c r="D8900" s="4" t="s">
        <v>34190</v>
      </c>
      <c r="E8900" s="4" t="s">
        <v>36072</v>
      </c>
    </row>
    <row r="8901" ht="14.25">
      <c r="B8901" s="4" t="s">
        <v>39481</v>
      </c>
      <c r="C8901" s="14" t="s">
        <v>34302</v>
      </c>
      <c r="D8901" s="4" t="s">
        <v>34303</v>
      </c>
      <c r="E8901" s="4" t="s">
        <v>36339</v>
      </c>
    </row>
    <row r="8902" ht="14.25">
      <c r="B8902" s="4" t="s">
        <v>39482</v>
      </c>
      <c r="C8902" s="14" t="s">
        <v>34313</v>
      </c>
      <c r="D8902" s="4" t="s">
        <v>34317</v>
      </c>
      <c r="E8902" s="4" t="s">
        <v>36369</v>
      </c>
    </row>
    <row r="8903" ht="14.25">
      <c r="B8903" s="4" t="s">
        <v>39483</v>
      </c>
      <c r="C8903" s="14" t="s">
        <v>34332</v>
      </c>
      <c r="D8903" s="4" t="s">
        <v>34333</v>
      </c>
      <c r="E8903" s="4" t="s">
        <v>36393</v>
      </c>
    </row>
    <row r="8904" ht="14.25">
      <c r="B8904" s="4" t="s">
        <v>39484</v>
      </c>
      <c r="C8904" s="14" t="s">
        <v>33751</v>
      </c>
      <c r="D8904" s="4" t="s">
        <v>33756</v>
      </c>
      <c r="E8904" s="4" t="s">
        <v>35131</v>
      </c>
    </row>
    <row r="8905" ht="14.25">
      <c r="B8905" s="4" t="s">
        <v>39485</v>
      </c>
      <c r="C8905" s="14" t="s">
        <v>34118</v>
      </c>
      <c r="D8905" s="4" t="s">
        <v>34126</v>
      </c>
      <c r="E8905" s="4" t="s">
        <v>35932</v>
      </c>
    </row>
    <row r="8906" ht="14.25">
      <c r="B8906" s="4" t="s">
        <v>39486</v>
      </c>
      <c r="C8906" s="14" t="s">
        <v>34353</v>
      </c>
      <c r="D8906" s="4" t="s">
        <v>34357</v>
      </c>
      <c r="E8906" s="4" t="s">
        <v>36468</v>
      </c>
    </row>
    <row r="8907" ht="14.25">
      <c r="B8907" s="4" t="s">
        <v>39487</v>
      </c>
      <c r="C8907" s="14" t="s">
        <v>33883</v>
      </c>
      <c r="D8907" s="4" t="s">
        <v>33884</v>
      </c>
      <c r="E8907" s="4" t="s">
        <v>35420</v>
      </c>
    </row>
    <row r="8908" ht="14.25">
      <c r="B8908" s="4" t="s">
        <v>39488</v>
      </c>
      <c r="C8908" s="14" t="s">
        <v>34272</v>
      </c>
      <c r="D8908" s="4" t="s">
        <v>34273</v>
      </c>
      <c r="E8908" s="4" t="s">
        <v>36259</v>
      </c>
    </row>
    <row r="8909" ht="14.25">
      <c r="B8909" s="4" t="s">
        <v>39489</v>
      </c>
      <c r="C8909" s="14" t="s">
        <v>34390</v>
      </c>
      <c r="D8909" s="4" t="s">
        <v>34391</v>
      </c>
      <c r="E8909" s="4" t="s">
        <v>36527</v>
      </c>
    </row>
    <row r="8910" ht="14.25">
      <c r="B8910" s="4" t="s">
        <v>39490</v>
      </c>
      <c r="C8910" s="14" t="s">
        <v>34241</v>
      </c>
      <c r="D8910" s="4" t="s">
        <v>34242</v>
      </c>
      <c r="E8910" s="4" t="s">
        <v>36189</v>
      </c>
    </row>
    <row r="8911" ht="14.25">
      <c r="B8911" s="4" t="s">
        <v>39491</v>
      </c>
      <c r="C8911" s="14" t="s">
        <v>33116</v>
      </c>
      <c r="D8911" s="4" t="s">
        <v>33117</v>
      </c>
      <c r="E8911" s="4" t="s">
        <v>33831</v>
      </c>
    </row>
    <row r="8912" ht="14.25">
      <c r="B8912" s="4" t="s">
        <v>39492</v>
      </c>
      <c r="C8912" s="14" t="s">
        <v>34919</v>
      </c>
      <c r="D8912" s="4" t="s">
        <v>34920</v>
      </c>
      <c r="E8912" s="4" t="s">
        <v>37694</v>
      </c>
    </row>
    <row r="8913" ht="14.25">
      <c r="B8913" s="4" t="s">
        <v>39493</v>
      </c>
      <c r="C8913" s="14" t="s">
        <v>34617</v>
      </c>
      <c r="D8913" s="4" t="s">
        <v>34652</v>
      </c>
      <c r="E8913" s="4" t="s">
        <v>37122</v>
      </c>
    </row>
    <row r="8914" ht="14.25">
      <c r="B8914" s="4" t="s">
        <v>39494</v>
      </c>
      <c r="C8914" s="14" t="s">
        <v>35240</v>
      </c>
      <c r="D8914" s="4" t="s">
        <v>35241</v>
      </c>
      <c r="E8914" s="4" t="s">
        <v>38354</v>
      </c>
    </row>
    <row r="8915" ht="14.25">
      <c r="B8915" s="4" t="s">
        <v>39495</v>
      </c>
      <c r="C8915" s="14" t="s">
        <v>32629</v>
      </c>
      <c r="D8915" s="4" t="s">
        <v>32642</v>
      </c>
      <c r="E8915" s="4" t="s">
        <v>32804</v>
      </c>
    </row>
    <row r="8916" ht="14.25">
      <c r="B8916" s="4" t="s">
        <v>39496</v>
      </c>
      <c r="C8916" s="14" t="s">
        <v>33792</v>
      </c>
      <c r="D8916" s="4" t="s">
        <v>33797</v>
      </c>
      <c r="E8916" s="4" t="s">
        <v>35210</v>
      </c>
    </row>
    <row r="8917" ht="14.25">
      <c r="B8917" s="4" t="s">
        <v>39497</v>
      </c>
      <c r="C8917" s="14" t="s">
        <v>35098</v>
      </c>
      <c r="D8917" s="4" t="s">
        <v>35102</v>
      </c>
      <c r="E8917" s="4" t="s">
        <v>38079</v>
      </c>
    </row>
    <row r="8918" ht="14.25">
      <c r="B8918" s="4" t="s">
        <v>39498</v>
      </c>
      <c r="C8918" s="14" t="s">
        <v>33805</v>
      </c>
      <c r="D8918" s="4" t="s">
        <v>33810</v>
      </c>
      <c r="E8918" s="4" t="s">
        <v>35226</v>
      </c>
    </row>
    <row r="8919" ht="14.25">
      <c r="B8919" s="4" t="s">
        <v>39499</v>
      </c>
      <c r="C8919" s="14" t="s">
        <v>34417</v>
      </c>
      <c r="D8919" s="4" t="s">
        <v>34418</v>
      </c>
      <c r="E8919" s="4" t="s">
        <v>36603</v>
      </c>
    </row>
    <row r="8920" ht="14.25">
      <c r="B8920" s="4" t="s">
        <v>39500</v>
      </c>
      <c r="C8920" s="14" t="s">
        <v>34490</v>
      </c>
      <c r="D8920" s="4" t="s">
        <v>34491</v>
      </c>
      <c r="E8920" s="4" t="s">
        <v>36756</v>
      </c>
    </row>
    <row r="8921" ht="14.25">
      <c r="B8921" s="4" t="s">
        <v>39501</v>
      </c>
      <c r="C8921" s="14" t="s">
        <v>34480</v>
      </c>
      <c r="D8921" s="4" t="s">
        <v>34481</v>
      </c>
      <c r="E8921" s="4" t="s">
        <v>36740</v>
      </c>
    </row>
    <row r="8922" ht="14.25">
      <c r="B8922" s="4" t="s">
        <v>39502</v>
      </c>
      <c r="C8922" s="14" t="s">
        <v>34495</v>
      </c>
      <c r="D8922" s="4" t="s">
        <v>34496</v>
      </c>
      <c r="E8922" s="4" t="s">
        <v>36765</v>
      </c>
    </row>
    <row r="8923" ht="14.25">
      <c r="B8923" s="4" t="s">
        <v>39503</v>
      </c>
      <c r="C8923" s="14" t="s">
        <v>34468</v>
      </c>
      <c r="D8923" s="4" t="s">
        <v>34469</v>
      </c>
      <c r="E8923" s="4" t="s">
        <v>36682</v>
      </c>
    </row>
    <row r="8924" ht="14.25">
      <c r="B8924" s="4" t="s">
        <v>39504</v>
      </c>
      <c r="C8924" s="14" t="s">
        <v>34313</v>
      </c>
      <c r="D8924" s="4" t="s">
        <v>34314</v>
      </c>
      <c r="E8924" s="4" t="s">
        <v>36356</v>
      </c>
    </row>
    <row r="8925" ht="14.25">
      <c r="B8925" s="4" t="s">
        <v>39505</v>
      </c>
      <c r="C8925" s="14" t="s">
        <v>32682</v>
      </c>
      <c r="D8925" s="4" t="s">
        <v>32691</v>
      </c>
      <c r="E8925" s="4" t="s">
        <v>32929</v>
      </c>
    </row>
    <row r="8926" ht="14.25">
      <c r="B8926" s="4" t="s">
        <v>39506</v>
      </c>
      <c r="C8926" s="14" t="s">
        <v>34617</v>
      </c>
      <c r="D8926" s="4" t="s">
        <v>34618</v>
      </c>
      <c r="E8926" s="4" t="s">
        <v>37109</v>
      </c>
    </row>
    <row r="8927" ht="14.25">
      <c r="B8927" s="4" t="s">
        <v>39507</v>
      </c>
      <c r="C8927" s="14" t="s">
        <v>34533</v>
      </c>
      <c r="D8927" s="4" t="s">
        <v>34534</v>
      </c>
      <c r="E8927" s="4" t="s">
        <v>36843</v>
      </c>
    </row>
    <row r="8928" ht="14.25">
      <c r="B8928" s="4" t="s">
        <v>39508</v>
      </c>
      <c r="C8928" s="14" t="s">
        <v>35438</v>
      </c>
      <c r="D8928" s="4" t="s">
        <v>35439</v>
      </c>
      <c r="E8928" s="4" t="s">
        <v>38753</v>
      </c>
    </row>
    <row r="8929" ht="14.25">
      <c r="B8929" s="4" t="s">
        <v>39509</v>
      </c>
      <c r="C8929" s="14" t="s">
        <v>33631</v>
      </c>
      <c r="D8929" s="4" t="s">
        <v>33632</v>
      </c>
      <c r="E8929" s="4" t="s">
        <v>34893</v>
      </c>
    </row>
    <row r="8930" ht="14.25">
      <c r="B8930" s="4" t="s">
        <v>39510</v>
      </c>
      <c r="C8930" s="14" t="s">
        <v>34360</v>
      </c>
      <c r="D8930" s="4" t="s">
        <v>34365</v>
      </c>
      <c r="E8930" s="4" t="s">
        <v>36497</v>
      </c>
    </row>
    <row r="8931" ht="14.25">
      <c r="B8931" s="4" t="s">
        <v>39511</v>
      </c>
      <c r="C8931" s="14" t="s">
        <v>34106</v>
      </c>
      <c r="D8931" s="4" t="s">
        <v>34107</v>
      </c>
      <c r="E8931" s="4" t="s">
        <v>35906</v>
      </c>
    </row>
    <row r="8932" ht="14.25">
      <c r="B8932" s="4" t="s">
        <v>39512</v>
      </c>
      <c r="C8932" s="14" t="s">
        <v>34570</v>
      </c>
      <c r="D8932" s="4" t="s">
        <v>34571</v>
      </c>
      <c r="E8932" s="4" t="s">
        <v>36911</v>
      </c>
    </row>
    <row r="8933" ht="14.25">
      <c r="B8933" s="4" t="s">
        <v>39513</v>
      </c>
      <c r="C8933" s="14" t="s">
        <v>34584</v>
      </c>
      <c r="D8933" s="4" t="s">
        <v>34585</v>
      </c>
      <c r="E8933" s="4" t="s">
        <v>36931</v>
      </c>
    </row>
    <row r="8934" ht="14.25">
      <c r="B8934" s="4" t="s">
        <v>39514</v>
      </c>
      <c r="C8934" s="14" t="s">
        <v>35460</v>
      </c>
      <c r="D8934" s="4" t="s">
        <v>35461</v>
      </c>
      <c r="E8934" s="4" t="s">
        <v>38811</v>
      </c>
    </row>
    <row r="8935" ht="14.25">
      <c r="B8935" s="4" t="s">
        <v>39515</v>
      </c>
      <c r="C8935" s="14" t="s">
        <v>33261</v>
      </c>
      <c r="D8935" s="4" t="s">
        <v>33271</v>
      </c>
      <c r="E8935" s="4" t="s">
        <v>34125</v>
      </c>
    </row>
    <row r="8936" ht="14.25">
      <c r="B8936" s="4" t="s">
        <v>39516</v>
      </c>
      <c r="C8936" s="14" t="s">
        <v>33939</v>
      </c>
      <c r="D8936" s="4" t="s">
        <v>33940</v>
      </c>
      <c r="E8936" s="4" t="s">
        <v>35546</v>
      </c>
    </row>
    <row r="8937" ht="14.25">
      <c r="B8937" s="4" t="s">
        <v>39517</v>
      </c>
      <c r="C8937" s="14" t="s">
        <v>34091</v>
      </c>
      <c r="D8937" s="4" t="s">
        <v>34092</v>
      </c>
      <c r="E8937" s="4" t="s">
        <v>35866</v>
      </c>
    </row>
    <row r="8938" ht="14.25">
      <c r="B8938" s="4" t="s">
        <v>39518</v>
      </c>
      <c r="C8938" s="14" t="s">
        <v>33816</v>
      </c>
      <c r="D8938" s="4" t="s">
        <v>33817</v>
      </c>
      <c r="E8938" s="4" t="s">
        <v>35297</v>
      </c>
    </row>
    <row r="8939" ht="14.25">
      <c r="B8939" s="4" t="s">
        <v>39519</v>
      </c>
      <c r="C8939" s="14" t="s">
        <v>33641</v>
      </c>
      <c r="D8939" s="4" t="s">
        <v>33651</v>
      </c>
      <c r="E8939" s="4" t="s">
        <v>34929</v>
      </c>
    </row>
    <row r="8940" ht="14.25">
      <c r="B8940" s="4" t="s">
        <v>39520</v>
      </c>
      <c r="C8940" s="14" t="s">
        <v>35429</v>
      </c>
      <c r="D8940" s="4" t="s">
        <v>35430</v>
      </c>
      <c r="E8940" s="4" t="s">
        <v>38750</v>
      </c>
    </row>
    <row r="8941" ht="14.25">
      <c r="B8941" s="4" t="s">
        <v>39521</v>
      </c>
      <c r="C8941" s="14" t="s">
        <v>34875</v>
      </c>
      <c r="D8941" s="4" t="s">
        <v>34876</v>
      </c>
      <c r="E8941" s="4" t="s">
        <v>37639</v>
      </c>
    </row>
    <row r="8942" ht="14.25">
      <c r="B8942" s="4" t="s">
        <v>39522</v>
      </c>
      <c r="C8942" s="14" t="s">
        <v>33668</v>
      </c>
      <c r="D8942" s="4" t="s">
        <v>33669</v>
      </c>
      <c r="E8942" s="4" t="s">
        <v>34966</v>
      </c>
    </row>
    <row r="8943" ht="14.25">
      <c r="B8943" s="4" t="s">
        <v>39523</v>
      </c>
      <c r="C8943" s="14" t="s">
        <v>35383</v>
      </c>
      <c r="D8943" s="4" t="s">
        <v>35384</v>
      </c>
      <c r="E8943" s="4" t="s">
        <v>38649</v>
      </c>
    </row>
    <row r="8944" ht="14.25">
      <c r="B8944" s="4" t="s">
        <v>39524</v>
      </c>
      <c r="C8944" s="14" t="s">
        <v>33801</v>
      </c>
      <c r="D8944" s="4" t="s">
        <v>33802</v>
      </c>
      <c r="E8944" s="4" t="s">
        <v>35215</v>
      </c>
    </row>
    <row r="8945" ht="14.25">
      <c r="B8945" s="4" t="s">
        <v>39525</v>
      </c>
      <c r="C8945" s="14" t="s">
        <v>32738</v>
      </c>
      <c r="D8945" s="4" t="s">
        <v>32739</v>
      </c>
      <c r="E8945" s="4" t="s">
        <v>33015</v>
      </c>
    </row>
    <row r="8946" ht="14.25">
      <c r="B8946" s="4" t="s">
        <v>39526</v>
      </c>
      <c r="C8946" s="14" t="s">
        <v>32565</v>
      </c>
      <c r="D8946" s="4" t="s">
        <v>32566</v>
      </c>
      <c r="E8946" s="4" t="s">
        <v>32665</v>
      </c>
    </row>
    <row r="8947" ht="14.25">
      <c r="B8947" s="4" t="s">
        <v>39527</v>
      </c>
      <c r="C8947" s="14" t="s">
        <v>33979</v>
      </c>
      <c r="D8947" s="4" t="s">
        <v>33980</v>
      </c>
      <c r="E8947" s="4" t="s">
        <v>35607</v>
      </c>
    </row>
    <row r="8948" ht="14.25">
      <c r="B8948" s="4" t="s">
        <v>39528</v>
      </c>
      <c r="C8948" s="14" t="s">
        <v>33901</v>
      </c>
      <c r="D8948" s="4" t="s">
        <v>33902</v>
      </c>
      <c r="E8948" s="4" t="s">
        <v>35458</v>
      </c>
    </row>
    <row r="8949" ht="14.25">
      <c r="B8949" s="4" t="s">
        <v>39529</v>
      </c>
      <c r="C8949" s="14" t="s">
        <v>33726</v>
      </c>
      <c r="D8949" s="4" t="s">
        <v>33727</v>
      </c>
      <c r="E8949" s="4" t="s">
        <v>35076</v>
      </c>
    </row>
    <row r="8950" ht="14.25">
      <c r="B8950" s="4" t="s">
        <v>39530</v>
      </c>
      <c r="C8950" s="14" t="s">
        <v>32565</v>
      </c>
      <c r="D8950" s="4" t="s">
        <v>32566</v>
      </c>
      <c r="E8950" s="4" t="s">
        <v>32650</v>
      </c>
    </row>
    <row r="8951" ht="14.25">
      <c r="B8951" s="4" t="s">
        <v>39531</v>
      </c>
      <c r="C8951" s="14" t="s">
        <v>34234</v>
      </c>
      <c r="D8951" s="4" t="s">
        <v>34235</v>
      </c>
      <c r="E8951" s="4" t="s">
        <v>36167</v>
      </c>
    </row>
    <row r="8952" ht="14.25">
      <c r="B8952" s="4" t="s">
        <v>39532</v>
      </c>
      <c r="C8952" s="14" t="s">
        <v>34871</v>
      </c>
      <c r="D8952" s="4" t="s">
        <v>34872</v>
      </c>
      <c r="E8952" s="4" t="s">
        <v>37632</v>
      </c>
    </row>
    <row r="8953" ht="14.25">
      <c r="B8953" s="4" t="s">
        <v>39533</v>
      </c>
      <c r="C8953" s="14" t="s">
        <v>33430</v>
      </c>
      <c r="D8953" s="4" t="s">
        <v>33431</v>
      </c>
      <c r="E8953" s="4" t="s">
        <v>34471</v>
      </c>
    </row>
    <row r="8954" ht="14.25">
      <c r="B8954" s="4" t="s">
        <v>39534</v>
      </c>
      <c r="C8954" s="14" t="s">
        <v>35429</v>
      </c>
      <c r="D8954" s="4" t="s">
        <v>35430</v>
      </c>
      <c r="E8954" s="4" t="s">
        <v>38760</v>
      </c>
    </row>
    <row r="8955" ht="14.25">
      <c r="B8955" s="4" t="s">
        <v>39535</v>
      </c>
      <c r="C8955" s="14" t="s">
        <v>34915</v>
      </c>
      <c r="D8955" s="4" t="s">
        <v>34916</v>
      </c>
      <c r="E8955" s="4" t="s">
        <v>37688</v>
      </c>
    </row>
    <row r="8956" ht="14.25">
      <c r="B8956" s="4" t="s">
        <v>39536</v>
      </c>
      <c r="C8956" s="14" t="s">
        <v>34617</v>
      </c>
      <c r="D8956" s="4" t="s">
        <v>34644</v>
      </c>
      <c r="E8956" s="4" t="s">
        <v>37100</v>
      </c>
    </row>
    <row r="8957" ht="14.25">
      <c r="B8957" s="4" t="s">
        <v>39537</v>
      </c>
      <c r="C8957" s="14" t="s">
        <v>34143</v>
      </c>
      <c r="D8957" s="4" t="s">
        <v>34154</v>
      </c>
      <c r="E8957" s="4" t="s">
        <v>35995</v>
      </c>
    </row>
    <row r="8958" ht="14.25">
      <c r="B8958" s="4" t="s">
        <v>39538</v>
      </c>
      <c r="C8958" s="14" t="s">
        <v>34004</v>
      </c>
      <c r="D8958" s="4" t="s">
        <v>34005</v>
      </c>
      <c r="E8958" s="4" t="s">
        <v>35659</v>
      </c>
    </row>
    <row r="8959" ht="14.25">
      <c r="B8959" s="4" t="s">
        <v>39539</v>
      </c>
      <c r="C8959" s="14" t="s">
        <v>35056</v>
      </c>
      <c r="D8959" s="4" t="s">
        <v>35057</v>
      </c>
      <c r="E8959" s="4" t="s">
        <v>37991</v>
      </c>
    </row>
    <row r="8960" ht="14.25">
      <c r="B8960" s="4" t="s">
        <v>39540</v>
      </c>
      <c r="C8960" s="14" t="s">
        <v>33430</v>
      </c>
      <c r="D8960" s="4" t="s">
        <v>33431</v>
      </c>
      <c r="E8960" s="4" t="s">
        <v>34493</v>
      </c>
    </row>
    <row r="8961" ht="14.25">
      <c r="B8961" s="4" t="s">
        <v>39541</v>
      </c>
      <c r="C8961" s="14" t="s">
        <v>32682</v>
      </c>
      <c r="D8961" s="4" t="s">
        <v>32691</v>
      </c>
      <c r="E8961" s="4" t="s">
        <v>32945</v>
      </c>
    </row>
    <row r="8962" ht="14.25">
      <c r="B8962" s="4" t="s">
        <v>39542</v>
      </c>
      <c r="C8962" s="14" t="s">
        <v>34060</v>
      </c>
      <c r="D8962" s="4" t="s">
        <v>34061</v>
      </c>
      <c r="E8962" s="4" t="s">
        <v>35816</v>
      </c>
    </row>
    <row r="8963" ht="14.25">
      <c r="B8963" s="4" t="s">
        <v>39543</v>
      </c>
      <c r="C8963" s="14" t="s">
        <v>35153</v>
      </c>
      <c r="D8963" s="4" t="s">
        <v>35154</v>
      </c>
      <c r="E8963" s="4" t="s">
        <v>38175</v>
      </c>
    </row>
    <row r="8964" ht="14.25">
      <c r="B8964" s="4" t="s">
        <v>39544</v>
      </c>
      <c r="C8964" s="14" t="s">
        <v>33816</v>
      </c>
      <c r="D8964" s="4" t="s">
        <v>33817</v>
      </c>
      <c r="E8964" s="4" t="s">
        <v>35243</v>
      </c>
    </row>
    <row r="8965" ht="14.25">
      <c r="B8965" s="4" t="s">
        <v>39545</v>
      </c>
      <c r="C8965" s="14" t="s">
        <v>34659</v>
      </c>
      <c r="D8965" s="4" t="s">
        <v>34660</v>
      </c>
      <c r="E8965" s="4" t="s">
        <v>37161</v>
      </c>
    </row>
    <row r="8966" ht="14.25">
      <c r="B8966" s="4" t="s">
        <v>39546</v>
      </c>
      <c r="C8966" s="14" t="s">
        <v>34060</v>
      </c>
      <c r="D8966" s="4" t="s">
        <v>34061</v>
      </c>
      <c r="E8966" s="4" t="s">
        <v>35787</v>
      </c>
    </row>
    <row r="8967" ht="14.25">
      <c r="B8967" s="4" t="s">
        <v>39547</v>
      </c>
      <c r="C8967" s="14" t="s">
        <v>33193</v>
      </c>
      <c r="D8967" s="4" t="s">
        <v>33206</v>
      </c>
      <c r="E8967" s="4" t="s">
        <v>33987</v>
      </c>
    </row>
    <row r="8968" ht="14.25">
      <c r="B8968" s="4" t="s">
        <v>39548</v>
      </c>
      <c r="C8968" s="14" t="s">
        <v>34031</v>
      </c>
      <c r="D8968" s="4" t="s">
        <v>34032</v>
      </c>
      <c r="E8968" s="4" t="s">
        <v>35722</v>
      </c>
    </row>
    <row r="8969" ht="14.25">
      <c r="B8969" s="4" t="s">
        <v>39549</v>
      </c>
      <c r="C8969" s="14" t="s">
        <v>33483</v>
      </c>
      <c r="D8969" s="4" t="s">
        <v>33484</v>
      </c>
      <c r="E8969" s="4" t="s">
        <v>34624</v>
      </c>
    </row>
    <row r="8970" ht="14.25">
      <c r="B8970" s="4" t="s">
        <v>39550</v>
      </c>
      <c r="C8970" s="14" t="s">
        <v>33177</v>
      </c>
      <c r="D8970" s="4" t="s">
        <v>33178</v>
      </c>
      <c r="E8970" s="4" t="s">
        <v>33942</v>
      </c>
    </row>
    <row r="8971" ht="14.25">
      <c r="B8971" s="4" t="s">
        <v>39551</v>
      </c>
      <c r="C8971" s="14" t="s">
        <v>33382</v>
      </c>
      <c r="D8971" s="4" t="s">
        <v>33383</v>
      </c>
      <c r="E8971" s="4" t="s">
        <v>34348</v>
      </c>
    </row>
    <row r="8972" ht="14.25">
      <c r="B8972" s="4" t="s">
        <v>39552</v>
      </c>
      <c r="C8972" s="14" t="s">
        <v>35325</v>
      </c>
      <c r="D8972" s="4" t="s">
        <v>35326</v>
      </c>
      <c r="E8972" s="4" t="s">
        <v>38534</v>
      </c>
    </row>
    <row r="8973" ht="14.25">
      <c r="B8973" s="4" t="s">
        <v>39553</v>
      </c>
      <c r="C8973" s="14" t="s">
        <v>35299</v>
      </c>
      <c r="D8973" s="4" t="s">
        <v>35300</v>
      </c>
      <c r="E8973" s="4" t="s">
        <v>38495</v>
      </c>
    </row>
    <row r="8974" ht="14.25">
      <c r="B8974" s="4" t="s">
        <v>39554</v>
      </c>
      <c r="C8974" s="14" t="s">
        <v>34666</v>
      </c>
      <c r="D8974" s="4" t="s">
        <v>34667</v>
      </c>
      <c r="E8974" s="4" t="s">
        <v>37225</v>
      </c>
    </row>
    <row r="8975" ht="14.25">
      <c r="B8975" s="4" t="s">
        <v>39555</v>
      </c>
      <c r="C8975" s="14" t="s">
        <v>34702</v>
      </c>
      <c r="D8975" s="4" t="s">
        <v>34703</v>
      </c>
      <c r="E8975" s="4" t="s">
        <v>37265</v>
      </c>
    </row>
    <row r="8976" ht="14.25">
      <c r="B8976" s="4" t="s">
        <v>39556</v>
      </c>
      <c r="C8976" s="14" t="s">
        <v>34706</v>
      </c>
      <c r="D8976" s="4" t="s">
        <v>34707</v>
      </c>
      <c r="E8976" s="4" t="s">
        <v>37283</v>
      </c>
    </row>
    <row r="8977" ht="14.25">
      <c r="B8977" s="4" t="s">
        <v>39557</v>
      </c>
      <c r="C8977" s="14" t="s">
        <v>34706</v>
      </c>
      <c r="D8977" s="4" t="s">
        <v>34710</v>
      </c>
      <c r="E8977" s="4" t="s">
        <v>37307</v>
      </c>
    </row>
    <row r="8978" ht="14.25">
      <c r="B8978" s="4" t="s">
        <v>39558</v>
      </c>
      <c r="C8978" s="14" t="s">
        <v>35312</v>
      </c>
      <c r="D8978" s="4" t="s">
        <v>35313</v>
      </c>
      <c r="E8978" s="4" t="s">
        <v>38512</v>
      </c>
    </row>
    <row r="8979" ht="14.25">
      <c r="B8979" s="4" t="s">
        <v>39559</v>
      </c>
      <c r="C8979" s="14" t="s">
        <v>32942</v>
      </c>
      <c r="D8979" s="4" t="s">
        <v>32943</v>
      </c>
      <c r="E8979" s="4" t="s">
        <v>33433</v>
      </c>
    </row>
    <row r="8980" ht="14.25">
      <c r="B8980" s="4" t="s">
        <v>39560</v>
      </c>
      <c r="C8980" s="14" t="s">
        <v>32793</v>
      </c>
      <c r="D8980" s="4" t="s">
        <v>32794</v>
      </c>
      <c r="E8980" s="4" t="s">
        <v>33119</v>
      </c>
    </row>
    <row r="8981" ht="14.25">
      <c r="B8981" s="4" t="s">
        <v>39561</v>
      </c>
      <c r="C8981" s="14" t="s">
        <v>35212</v>
      </c>
      <c r="D8981" s="4" t="s">
        <v>35213</v>
      </c>
      <c r="E8981" s="4" t="s">
        <v>38309</v>
      </c>
    </row>
    <row r="8982" ht="14.25">
      <c r="B8982" s="4" t="s">
        <v>39562</v>
      </c>
      <c r="C8982" s="14" t="s">
        <v>34043</v>
      </c>
      <c r="D8982" s="4" t="s">
        <v>34044</v>
      </c>
      <c r="E8982" s="4" t="s">
        <v>35733</v>
      </c>
    </row>
    <row r="8983" ht="14.25">
      <c r="B8983" s="4" t="s">
        <v>39563</v>
      </c>
      <c r="C8983" s="14" t="s">
        <v>32585</v>
      </c>
      <c r="D8983" s="4" t="s">
        <v>32586</v>
      </c>
      <c r="E8983" s="4" t="s">
        <v>32705</v>
      </c>
    </row>
    <row r="8984" ht="14.25">
      <c r="B8984" s="4" t="s">
        <v>39564</v>
      </c>
      <c r="C8984" s="14" t="s">
        <v>35015</v>
      </c>
      <c r="D8984" s="4" t="s">
        <v>35016</v>
      </c>
      <c r="E8984" s="4" t="s">
        <v>37906</v>
      </c>
    </row>
    <row r="8985" ht="14.25">
      <c r="B8985" s="4" t="s">
        <v>39565</v>
      </c>
      <c r="C8985" s="14" t="s">
        <v>35106</v>
      </c>
      <c r="D8985" s="4" t="s">
        <v>35107</v>
      </c>
      <c r="E8985" s="4" t="s">
        <v>38087</v>
      </c>
    </row>
    <row r="8986" ht="14.25">
      <c r="B8986" s="4" t="s">
        <v>39566</v>
      </c>
      <c r="C8986" s="14" t="s">
        <v>33816</v>
      </c>
      <c r="D8986" s="4" t="s">
        <v>33829</v>
      </c>
      <c r="E8986" s="4" t="s">
        <v>35280</v>
      </c>
    </row>
    <row r="8987" ht="14.25">
      <c r="B8987" s="4" t="s">
        <v>39567</v>
      </c>
      <c r="C8987" s="14" t="s">
        <v>32585</v>
      </c>
      <c r="D8987" s="4" t="s">
        <v>32595</v>
      </c>
      <c r="E8987" s="4" t="s">
        <v>32714</v>
      </c>
    </row>
    <row r="8988" ht="14.25">
      <c r="B8988" s="4" t="s">
        <v>39568</v>
      </c>
      <c r="C8988" s="14" t="s">
        <v>33261</v>
      </c>
      <c r="D8988" s="4" t="s">
        <v>33262</v>
      </c>
      <c r="E8988" s="4" t="s">
        <v>34102</v>
      </c>
    </row>
    <row r="8989" ht="14.25">
      <c r="B8989" s="4" t="s">
        <v>39569</v>
      </c>
      <c r="C8989" s="14" t="s">
        <v>34963</v>
      </c>
      <c r="D8989" s="4" t="s">
        <v>34964</v>
      </c>
      <c r="E8989" s="4" t="s">
        <v>37792</v>
      </c>
    </row>
    <row r="8990" ht="14.25">
      <c r="B8990" s="4" t="s">
        <v>39570</v>
      </c>
      <c r="C8990" s="14" t="s">
        <v>35162</v>
      </c>
      <c r="D8990" s="4" t="s">
        <v>35163</v>
      </c>
      <c r="E8990" s="4" t="s">
        <v>38249</v>
      </c>
    </row>
    <row r="8991" ht="14.25">
      <c r="B8991" s="4" t="s">
        <v>39571</v>
      </c>
      <c r="C8991" s="14" t="s">
        <v>34302</v>
      </c>
      <c r="D8991" s="4" t="s">
        <v>34303</v>
      </c>
      <c r="E8991" s="4" t="s">
        <v>36334</v>
      </c>
    </row>
    <row r="8992" ht="14.25">
      <c r="B8992" s="4" t="s">
        <v>39572</v>
      </c>
      <c r="C8992" s="14" t="s">
        <v>33958</v>
      </c>
      <c r="D8992" s="4" t="s">
        <v>33963</v>
      </c>
      <c r="E8992" s="4" t="s">
        <v>35598</v>
      </c>
    </row>
    <row r="8993" ht="14.25">
      <c r="B8993" s="4" t="s">
        <v>39573</v>
      </c>
      <c r="C8993" s="14" t="s">
        <v>34210</v>
      </c>
      <c r="D8993" s="4" t="s">
        <v>34211</v>
      </c>
      <c r="E8993" s="4" t="s">
        <v>36120</v>
      </c>
    </row>
    <row r="8994" ht="14.25">
      <c r="B8994" s="4" t="s">
        <v>39574</v>
      </c>
      <c r="C8994" s="14" t="s">
        <v>32823</v>
      </c>
      <c r="D8994" s="4" t="s">
        <v>32824</v>
      </c>
      <c r="E8994" s="4" t="s">
        <v>33180</v>
      </c>
    </row>
    <row r="8995" ht="14.25">
      <c r="B8995" s="4" t="s">
        <v>39575</v>
      </c>
      <c r="C8995" s="14" t="s">
        <v>33388</v>
      </c>
      <c r="D8995" s="4" t="s">
        <v>33389</v>
      </c>
      <c r="E8995" s="4" t="s">
        <v>34383</v>
      </c>
    </row>
    <row r="8996" ht="14.25">
      <c r="B8996" s="4" t="s">
        <v>39576</v>
      </c>
      <c r="C8996" s="14" t="s">
        <v>32982</v>
      </c>
      <c r="D8996" s="4" t="s">
        <v>32983</v>
      </c>
      <c r="E8996" s="4" t="s">
        <v>33527</v>
      </c>
    </row>
    <row r="8997" ht="14.25">
      <c r="B8997" s="4" t="s">
        <v>39577</v>
      </c>
      <c r="C8997" s="14" t="s">
        <v>33430</v>
      </c>
      <c r="D8997" s="4" t="s">
        <v>33431</v>
      </c>
      <c r="E8997" s="4" t="s">
        <v>34536</v>
      </c>
    </row>
    <row r="8998" ht="14.25">
      <c r="B8998" s="4" t="s">
        <v>39578</v>
      </c>
      <c r="C8998" s="14" t="s">
        <v>34827</v>
      </c>
      <c r="D8998" s="4" t="s">
        <v>34828</v>
      </c>
      <c r="E8998" s="4" t="s">
        <v>37505</v>
      </c>
    </row>
    <row r="8999" ht="14.25">
      <c r="B8999" s="4" t="s">
        <v>39579</v>
      </c>
      <c r="C8999" s="14" t="s">
        <v>35181</v>
      </c>
      <c r="D8999" s="4" t="s">
        <v>35187</v>
      </c>
      <c r="E8999" s="4" t="s">
        <v>38269</v>
      </c>
    </row>
    <row r="9000" ht="14.25">
      <c r="B9000" s="4" t="s">
        <v>39580</v>
      </c>
      <c r="C9000" s="14" t="s">
        <v>35316</v>
      </c>
      <c r="D9000" s="4" t="s">
        <v>35317</v>
      </c>
      <c r="E9000" s="4" t="s">
        <v>38517</v>
      </c>
    </row>
    <row r="9001" ht="14.25">
      <c r="B9001" s="4" t="s">
        <v>39581</v>
      </c>
      <c r="C9001" s="14" t="s">
        <v>35073</v>
      </c>
      <c r="D9001" s="4" t="s">
        <v>35074</v>
      </c>
      <c r="E9001" s="4" t="s">
        <v>38020</v>
      </c>
    </row>
    <row r="9002" ht="14.25">
      <c r="B9002" s="4" t="s">
        <v>39582</v>
      </c>
      <c r="C9002" s="14" t="s">
        <v>34210</v>
      </c>
      <c r="D9002" s="4" t="s">
        <v>34211</v>
      </c>
      <c r="E9002" s="4" t="s">
        <v>36128</v>
      </c>
    </row>
    <row r="9003" ht="14.25">
      <c r="B9003" s="4" t="s">
        <v>39583</v>
      </c>
      <c r="C9003" s="14" t="s">
        <v>33591</v>
      </c>
      <c r="D9003" s="4" t="s">
        <v>33592</v>
      </c>
      <c r="E9003" s="4" t="s">
        <v>34811</v>
      </c>
    </row>
    <row r="9004" ht="14.25">
      <c r="B9004" s="4" t="s">
        <v>39584</v>
      </c>
      <c r="C9004" s="14" t="s">
        <v>34170</v>
      </c>
      <c r="D9004" s="4" t="s">
        <v>34171</v>
      </c>
      <c r="E9004" s="4" t="s">
        <v>36043</v>
      </c>
    </row>
    <row r="9005" ht="14.25">
      <c r="B9005" s="4" t="s">
        <v>39585</v>
      </c>
      <c r="C9005" s="14" t="s">
        <v>34801</v>
      </c>
      <c r="D9005" s="4" t="s">
        <v>34802</v>
      </c>
      <c r="E9005" s="4" t="s">
        <v>37452</v>
      </c>
    </row>
    <row r="9006" ht="14.25">
      <c r="B9006" s="4" t="s">
        <v>33138</v>
      </c>
      <c r="C9006" s="14" t="s">
        <v>33137</v>
      </c>
      <c r="D9006" s="4" t="s">
        <v>33138</v>
      </c>
      <c r="E9006" s="4" t="s">
        <v>33871</v>
      </c>
    </row>
    <row r="9007" ht="14.25">
      <c r="B9007" s="4" t="s">
        <v>39586</v>
      </c>
      <c r="C9007" s="14" t="s">
        <v>33035</v>
      </c>
      <c r="D9007" s="4" t="s">
        <v>33040</v>
      </c>
      <c r="E9007" s="4" t="s">
        <v>33671</v>
      </c>
    </row>
    <row r="9008" ht="14.25">
      <c r="B9008" s="4" t="s">
        <v>39587</v>
      </c>
      <c r="C9008" s="14" t="s">
        <v>34926</v>
      </c>
      <c r="D9008" s="4" t="s">
        <v>34927</v>
      </c>
      <c r="E9008" s="4" t="s">
        <v>37715</v>
      </c>
    </row>
    <row r="9009" ht="14.25">
      <c r="B9009" s="4" t="s">
        <v>39588</v>
      </c>
      <c r="C9009" s="14" t="s">
        <v>34561</v>
      </c>
      <c r="D9009" s="4" t="s">
        <v>34562</v>
      </c>
      <c r="E9009" s="4" t="s">
        <v>36897</v>
      </c>
    </row>
    <row r="9010" ht="14.25">
      <c r="B9010" s="4" t="s">
        <v>39589</v>
      </c>
      <c r="C9010" s="14" t="s">
        <v>34749</v>
      </c>
      <c r="D9010" s="4" t="s">
        <v>34750</v>
      </c>
      <c r="E9010" s="4" t="s">
        <v>37377</v>
      </c>
    </row>
    <row r="9011" ht="14.25">
      <c r="B9011" s="4" t="s">
        <v>39590</v>
      </c>
      <c r="C9011" s="14" t="s">
        <v>33295</v>
      </c>
      <c r="D9011" s="4" t="s">
        <v>33296</v>
      </c>
      <c r="E9011" s="4" t="s">
        <v>34168</v>
      </c>
    </row>
    <row r="9012" ht="14.25">
      <c r="B9012" s="4" t="s">
        <v>39591</v>
      </c>
      <c r="C9012" s="14" t="s">
        <v>35429</v>
      </c>
      <c r="D9012" s="4" t="s">
        <v>35430</v>
      </c>
      <c r="E9012" s="4" t="s">
        <v>38757</v>
      </c>
    </row>
    <row r="9013" ht="14.25">
      <c r="B9013" s="4" t="s">
        <v>39592</v>
      </c>
      <c r="C9013" s="14" t="s">
        <v>32793</v>
      </c>
      <c r="D9013" s="4" t="s">
        <v>32810</v>
      </c>
      <c r="E9013" s="4" t="s">
        <v>33140</v>
      </c>
    </row>
    <row r="9014" ht="14.25">
      <c r="B9014" s="4" t="s">
        <v>39593</v>
      </c>
      <c r="C9014" s="14" t="s">
        <v>33430</v>
      </c>
      <c r="D9014" s="4" t="s">
        <v>33431</v>
      </c>
      <c r="E9014" s="4" t="s">
        <v>34462</v>
      </c>
    </row>
    <row r="9015" ht="14.25">
      <c r="B9015" s="4" t="s">
        <v>39594</v>
      </c>
      <c r="C9015" s="14" t="s">
        <v>33726</v>
      </c>
      <c r="D9015" s="4" t="s">
        <v>33727</v>
      </c>
      <c r="E9015" s="4" t="s">
        <v>35069</v>
      </c>
    </row>
    <row r="9016" ht="14.25">
      <c r="B9016" s="4" t="s">
        <v>39595</v>
      </c>
      <c r="C9016" s="14" t="s">
        <v>33989</v>
      </c>
      <c r="D9016" s="4" t="s">
        <v>33990</v>
      </c>
      <c r="E9016" s="4" t="s">
        <v>35623</v>
      </c>
    </row>
    <row r="9017" ht="14.25">
      <c r="B9017" s="4" t="s">
        <v>39596</v>
      </c>
      <c r="C9017" s="14" t="s">
        <v>32887</v>
      </c>
      <c r="D9017" s="4" t="s">
        <v>32893</v>
      </c>
      <c r="E9017" s="4" t="s">
        <v>33298</v>
      </c>
    </row>
    <row r="9018" ht="14.25">
      <c r="B9018" s="4" t="s">
        <v>39597</v>
      </c>
      <c r="C9018" s="14" t="s">
        <v>33077</v>
      </c>
      <c r="D9018" s="4" t="s">
        <v>33078</v>
      </c>
      <c r="E9018" s="4" t="s">
        <v>33784</v>
      </c>
    </row>
    <row r="9019" ht="14.25">
      <c r="B9019" s="4" t="s">
        <v>39598</v>
      </c>
      <c r="C9019" s="14" t="s">
        <v>34617</v>
      </c>
      <c r="D9019" s="4" t="s">
        <v>34626</v>
      </c>
      <c r="E9019" s="4" t="s">
        <v>37044</v>
      </c>
    </row>
    <row r="9020" ht="14.25">
      <c r="B9020" s="4" t="s">
        <v>39599</v>
      </c>
      <c r="C9020" s="14" t="s">
        <v>33473</v>
      </c>
      <c r="D9020" s="4" t="s">
        <v>33474</v>
      </c>
      <c r="E9020" s="4" t="s">
        <v>34558</v>
      </c>
    </row>
    <row r="9021" ht="14.25">
      <c r="B9021" s="4" t="s">
        <v>39600</v>
      </c>
      <c r="C9021" s="14" t="s">
        <v>34666</v>
      </c>
      <c r="D9021" s="4" t="s">
        <v>34667</v>
      </c>
      <c r="E9021" s="4" t="s">
        <v>37201</v>
      </c>
    </row>
    <row r="9022" ht="14.25">
      <c r="B9022" s="4" t="s">
        <v>39601</v>
      </c>
      <c r="C9022" s="14" t="s">
        <v>35391</v>
      </c>
      <c r="D9022" s="4" t="s">
        <v>35395</v>
      </c>
      <c r="E9022" s="4" t="s">
        <v>38660</v>
      </c>
    </row>
    <row r="9023" ht="14.25">
      <c r="B9023" s="4" t="s">
        <v>39602</v>
      </c>
      <c r="C9023" s="14" t="s">
        <v>34863</v>
      </c>
      <c r="D9023" s="4" t="s">
        <v>34864</v>
      </c>
      <c r="E9023" s="4" t="s">
        <v>37606</v>
      </c>
    </row>
    <row r="9024" ht="14.25">
      <c r="B9024" s="4" t="s">
        <v>39603</v>
      </c>
      <c r="C9024" s="14" t="s">
        <v>34533</v>
      </c>
      <c r="D9024" s="4" t="s">
        <v>34534</v>
      </c>
      <c r="E9024" s="4" t="s">
        <v>36837</v>
      </c>
    </row>
    <row r="9025" ht="14.25">
      <c r="B9025" s="4" t="s">
        <v>39604</v>
      </c>
      <c r="C9025" s="14" t="s">
        <v>34822</v>
      </c>
      <c r="D9025" s="4" t="s">
        <v>34823</v>
      </c>
      <c r="E9025" s="4" t="s">
        <v>37494</v>
      </c>
    </row>
    <row r="9026" ht="14.25">
      <c r="B9026" s="4" t="s">
        <v>39605</v>
      </c>
      <c r="C9026" s="14" t="s">
        <v>34234</v>
      </c>
      <c r="D9026" s="4" t="s">
        <v>34235</v>
      </c>
      <c r="E9026" s="4" t="s">
        <v>36174</v>
      </c>
    </row>
    <row r="9027" ht="14.25">
      <c r="B9027" s="4" t="s">
        <v>39606</v>
      </c>
      <c r="C9027" s="14" t="s">
        <v>35043</v>
      </c>
      <c r="D9027" s="4" t="s">
        <v>35044</v>
      </c>
      <c r="E9027" s="4" t="s">
        <v>37978</v>
      </c>
    </row>
    <row r="9028" ht="14.25">
      <c r="B9028" s="4" t="s">
        <v>39607</v>
      </c>
      <c r="C9028" s="14" t="s">
        <v>33692</v>
      </c>
      <c r="D9028" s="4" t="s">
        <v>33693</v>
      </c>
      <c r="E9028" s="4" t="s">
        <v>35002</v>
      </c>
    </row>
    <row r="9029" ht="14.25">
      <c r="B9029" s="4" t="s">
        <v>39608</v>
      </c>
      <c r="C9029" s="14" t="s">
        <v>34886</v>
      </c>
      <c r="D9029" s="4" t="s">
        <v>34891</v>
      </c>
      <c r="E9029" s="4" t="s">
        <v>37657</v>
      </c>
    </row>
    <row r="9030" ht="14.25">
      <c r="B9030" s="4" t="s">
        <v>39609</v>
      </c>
      <c r="C9030" s="14" t="s">
        <v>35153</v>
      </c>
      <c r="D9030" s="4" t="s">
        <v>35154</v>
      </c>
      <c r="E9030" s="4" t="s">
        <v>38179</v>
      </c>
    </row>
    <row r="9031" ht="14.25">
      <c r="B9031" s="4" t="s">
        <v>39610</v>
      </c>
      <c r="C9031" s="14" t="s">
        <v>34938</v>
      </c>
      <c r="D9031" s="4" t="s">
        <v>34939</v>
      </c>
      <c r="E9031" s="4" t="s">
        <v>37753</v>
      </c>
    </row>
    <row r="9032" ht="14.25">
      <c r="B9032" s="4" t="s">
        <v>39611</v>
      </c>
      <c r="C9032" s="14" t="s">
        <v>34286</v>
      </c>
      <c r="D9032" s="4" t="s">
        <v>34287</v>
      </c>
      <c r="E9032" s="4" t="s">
        <v>36287</v>
      </c>
    </row>
    <row r="9033" ht="14.25">
      <c r="B9033" s="4" t="s">
        <v>39612</v>
      </c>
      <c r="C9033" s="14" t="s">
        <v>34592</v>
      </c>
      <c r="D9033" s="4" t="s">
        <v>34593</v>
      </c>
      <c r="E9033" s="4" t="s">
        <v>36963</v>
      </c>
    </row>
    <row r="9034" ht="14.25">
      <c r="B9034" s="4" t="s">
        <v>39613</v>
      </c>
      <c r="C9034" s="14" t="s">
        <v>34106</v>
      </c>
      <c r="D9034" s="4" t="s">
        <v>34107</v>
      </c>
      <c r="E9034" s="4" t="s">
        <v>35897</v>
      </c>
    </row>
    <row r="9035" ht="14.25">
      <c r="B9035" s="4" t="s">
        <v>39614</v>
      </c>
      <c r="C9035" s="14" t="s">
        <v>35193</v>
      </c>
      <c r="D9035" s="4" t="s">
        <v>35194</v>
      </c>
      <c r="E9035" s="4" t="s">
        <v>38278</v>
      </c>
    </row>
    <row r="9036" ht="14.25">
      <c r="B9036" s="4" t="s">
        <v>39615</v>
      </c>
      <c r="C9036" s="14" t="s">
        <v>32777</v>
      </c>
      <c r="D9036" s="4" t="s">
        <v>32778</v>
      </c>
      <c r="E9036" s="4" t="s">
        <v>33090</v>
      </c>
    </row>
    <row r="9037" ht="14.25">
      <c r="B9037" s="4" t="s">
        <v>39616</v>
      </c>
      <c r="C9037" s="14" t="s">
        <v>33912</v>
      </c>
      <c r="D9037" s="4" t="s">
        <v>33913</v>
      </c>
      <c r="E9037" s="4" t="s">
        <v>35480</v>
      </c>
    </row>
    <row r="9038" ht="14.25">
      <c r="B9038" s="4" t="s">
        <v>39617</v>
      </c>
      <c r="C9038" s="14" t="s">
        <v>33330</v>
      </c>
      <c r="D9038" s="4" t="s">
        <v>33331</v>
      </c>
      <c r="E9038" s="4" t="s">
        <v>34237</v>
      </c>
    </row>
    <row r="9039" ht="14.25">
      <c r="B9039" s="4" t="s">
        <v>39618</v>
      </c>
      <c r="C9039" s="14" t="s">
        <v>32987</v>
      </c>
      <c r="D9039" s="4" t="s">
        <v>32988</v>
      </c>
      <c r="E9039" s="4" t="s">
        <v>33546</v>
      </c>
    </row>
    <row r="9040" ht="14.25">
      <c r="B9040" s="4" t="s">
        <v>39619</v>
      </c>
      <c r="C9040" s="14" t="s">
        <v>34272</v>
      </c>
      <c r="D9040" s="4" t="s">
        <v>34273</v>
      </c>
      <c r="E9040" s="4" t="s">
        <v>36266</v>
      </c>
    </row>
    <row r="9041" ht="14.25">
      <c r="B9041" s="4" t="s">
        <v>39620</v>
      </c>
      <c r="C9041" s="14" t="s">
        <v>33000</v>
      </c>
      <c r="D9041" s="4" t="s">
        <v>33001</v>
      </c>
      <c r="E9041" s="4" t="s">
        <v>33581</v>
      </c>
    </row>
    <row r="9042" ht="14.25">
      <c r="B9042" s="4" t="s">
        <v>39621</v>
      </c>
      <c r="C9042" s="14" t="s">
        <v>34360</v>
      </c>
      <c r="D9042" s="4" t="s">
        <v>34361</v>
      </c>
      <c r="E9042" s="4" t="s">
        <v>36493</v>
      </c>
    </row>
    <row r="9043" ht="14.25">
      <c r="B9043" s="4" t="s">
        <v>39622</v>
      </c>
      <c r="C9043" s="14" t="s">
        <v>34666</v>
      </c>
      <c r="D9043" s="4" t="s">
        <v>34667</v>
      </c>
      <c r="E9043" s="4" t="s">
        <v>37205</v>
      </c>
    </row>
    <row r="9044" ht="14.25">
      <c r="B9044" s="4" t="s">
        <v>39623</v>
      </c>
      <c r="C9044" s="14" t="s">
        <v>35217</v>
      </c>
      <c r="D9044" s="4" t="s">
        <v>35224</v>
      </c>
      <c r="E9044" s="4" t="s">
        <v>38343</v>
      </c>
    </row>
    <row r="9045" ht="14.25">
      <c r="B9045" s="4" t="s">
        <v>39624</v>
      </c>
      <c r="C9045" s="14" t="s">
        <v>33559</v>
      </c>
      <c r="D9045" s="4" t="s">
        <v>33563</v>
      </c>
      <c r="E9045" s="4" t="s">
        <v>34757</v>
      </c>
    </row>
    <row r="9046" ht="14.25">
      <c r="B9046" s="4" t="s">
        <v>39625</v>
      </c>
      <c r="C9046" s="14" t="s">
        <v>33065</v>
      </c>
      <c r="D9046" s="4" t="s">
        <v>33066</v>
      </c>
      <c r="E9046" s="4" t="s">
        <v>33729</v>
      </c>
    </row>
    <row r="9047" ht="14.25">
      <c r="B9047" s="4" t="s">
        <v>39626</v>
      </c>
      <c r="C9047" s="14" t="s">
        <v>35286</v>
      </c>
      <c r="D9047" s="4" t="s">
        <v>35287</v>
      </c>
      <c r="E9047" s="4" t="s">
        <v>38468</v>
      </c>
    </row>
    <row r="9048" ht="14.25">
      <c r="B9048" s="4" t="s">
        <v>39627</v>
      </c>
      <c r="C9048" s="14" t="s">
        <v>35290</v>
      </c>
      <c r="D9048" s="4" t="s">
        <v>35291</v>
      </c>
      <c r="E9048" s="4" t="s">
        <v>38475</v>
      </c>
    </row>
    <row r="9049" ht="14.25">
      <c r="B9049" s="4" t="s">
        <v>39628</v>
      </c>
      <c r="C9049" s="14" t="s">
        <v>32973</v>
      </c>
      <c r="D9049" s="4" t="s">
        <v>32974</v>
      </c>
      <c r="E9049" s="4" t="s">
        <v>33513</v>
      </c>
    </row>
    <row r="9050" ht="14.25">
      <c r="B9050" s="4" t="s">
        <v>39629</v>
      </c>
      <c r="C9050" s="14" t="s">
        <v>34617</v>
      </c>
      <c r="D9050" s="4" t="s">
        <v>34632</v>
      </c>
      <c r="E9050" s="4" t="s">
        <v>37073</v>
      </c>
    </row>
    <row r="9051" ht="14.25">
      <c r="B9051" s="4" t="s">
        <v>39630</v>
      </c>
      <c r="C9051" s="14" t="s">
        <v>33762</v>
      </c>
      <c r="D9051" s="4" t="s">
        <v>33763</v>
      </c>
      <c r="E9051" s="4" t="s">
        <v>35137</v>
      </c>
    </row>
    <row r="9052" ht="14.25">
      <c r="B9052" s="4" t="s">
        <v>39631</v>
      </c>
      <c r="C9052" s="14" t="s">
        <v>34906</v>
      </c>
      <c r="D9052" s="4" t="s">
        <v>34907</v>
      </c>
      <c r="E9052" s="4" t="s">
        <v>37670</v>
      </c>
    </row>
    <row r="9053" ht="14.25">
      <c r="B9053" s="4" t="s">
        <v>39632</v>
      </c>
      <c r="C9053" s="14" t="s">
        <v>34857</v>
      </c>
      <c r="D9053" s="4" t="s">
        <v>34858</v>
      </c>
      <c r="E9053" s="4" t="s">
        <v>37577</v>
      </c>
    </row>
    <row r="9054" ht="14.25">
      <c r="B9054" s="4" t="s">
        <v>39633</v>
      </c>
      <c r="C9054" s="14" t="s">
        <v>34229</v>
      </c>
      <c r="D9054" s="4" t="s">
        <v>34230</v>
      </c>
      <c r="E9054" s="4" t="s">
        <v>36162</v>
      </c>
    </row>
    <row r="9055" ht="14.25">
      <c r="B9055" s="4" t="s">
        <v>39634</v>
      </c>
      <c r="C9055" s="14" t="s">
        <v>33907</v>
      </c>
      <c r="D9055" s="4" t="s">
        <v>33908</v>
      </c>
      <c r="E9055" s="4" t="s">
        <v>35463</v>
      </c>
    </row>
    <row r="9056" ht="14.25">
      <c r="B9056" s="4" t="s">
        <v>39635</v>
      </c>
      <c r="C9056" s="14" t="s">
        <v>35360</v>
      </c>
      <c r="D9056" s="4" t="s">
        <v>35361</v>
      </c>
      <c r="E9056" s="4" t="s">
        <v>38595</v>
      </c>
    </row>
    <row r="9057" ht="14.25">
      <c r="B9057" s="4" t="s">
        <v>39636</v>
      </c>
      <c r="C9057" s="14" t="s">
        <v>35360</v>
      </c>
      <c r="D9057" s="4" t="s">
        <v>35361</v>
      </c>
      <c r="E9057" s="4" t="s">
        <v>38607</v>
      </c>
    </row>
    <row r="9058" ht="14.25">
      <c r="B9058" s="4" t="s">
        <v>39637</v>
      </c>
      <c r="C9058" s="14" t="s">
        <v>32565</v>
      </c>
      <c r="D9058" s="4" t="s">
        <v>32566</v>
      </c>
      <c r="E9058" s="4" t="s">
        <v>32644</v>
      </c>
    </row>
    <row r="9059" ht="14.25">
      <c r="B9059" s="4" t="s">
        <v>39638</v>
      </c>
      <c r="C9059" s="14" t="s">
        <v>35383</v>
      </c>
      <c r="D9059" s="4" t="s">
        <v>35384</v>
      </c>
      <c r="E9059" s="4" t="s">
        <v>38641</v>
      </c>
    </row>
    <row r="9060" ht="14.25">
      <c r="B9060" s="4" t="s">
        <v>39639</v>
      </c>
      <c r="C9060" s="14" t="s">
        <v>35391</v>
      </c>
      <c r="D9060" s="4" t="s">
        <v>35395</v>
      </c>
      <c r="E9060" s="4" t="s">
        <v>38670</v>
      </c>
    </row>
    <row r="9061" ht="14.25">
      <c r="B9061" s="4" t="s">
        <v>39640</v>
      </c>
      <c r="C9061" s="14" t="s">
        <v>34897</v>
      </c>
      <c r="D9061" s="4" t="s">
        <v>34898</v>
      </c>
      <c r="E9061" s="4" t="s">
        <v>37661</v>
      </c>
    </row>
    <row r="9062" ht="14.25">
      <c r="B9062" s="4" t="s">
        <v>39641</v>
      </c>
      <c r="C9062" s="14" t="s">
        <v>34183</v>
      </c>
      <c r="D9062" s="4" t="s">
        <v>34184</v>
      </c>
      <c r="E9062" s="4" t="s">
        <v>36065</v>
      </c>
    </row>
    <row r="9063" ht="14.25">
      <c r="B9063" s="4" t="s">
        <v>39642</v>
      </c>
      <c r="C9063" s="14" t="s">
        <v>34773</v>
      </c>
      <c r="D9063" s="4" t="s">
        <v>34774</v>
      </c>
      <c r="E9063" s="4" t="s">
        <v>37416</v>
      </c>
    </row>
    <row r="9064" ht="14.25">
      <c r="B9064" s="4" t="s">
        <v>39643</v>
      </c>
      <c r="C9064" s="14" t="s">
        <v>32973</v>
      </c>
      <c r="D9064" s="4" t="s">
        <v>32978</v>
      </c>
      <c r="E9064" s="4" t="s">
        <v>33522</v>
      </c>
    </row>
    <row r="9065" ht="14.25">
      <c r="B9065" s="4" t="s">
        <v>39644</v>
      </c>
      <c r="C9065" s="14" t="s">
        <v>35251</v>
      </c>
      <c r="D9065" s="4" t="s">
        <v>35252</v>
      </c>
      <c r="E9065" s="4" t="s">
        <v>38396</v>
      </c>
    </row>
    <row r="9066" ht="14.25">
      <c r="B9066" s="4" t="s">
        <v>39645</v>
      </c>
      <c r="C9066" s="14" t="s">
        <v>35438</v>
      </c>
      <c r="D9066" s="4" t="s">
        <v>35439</v>
      </c>
      <c r="E9066" s="4" t="s">
        <v>38766</v>
      </c>
    </row>
    <row r="9067" ht="14.25">
      <c r="B9067" s="4" t="s">
        <v>39646</v>
      </c>
      <c r="C9067" s="14" t="s">
        <v>34608</v>
      </c>
      <c r="D9067" s="4" t="s">
        <v>34609</v>
      </c>
      <c r="E9067" s="4" t="s">
        <v>37028</v>
      </c>
    </row>
    <row r="9068" ht="14.25">
      <c r="B9068" s="4" t="s">
        <v>39647</v>
      </c>
      <c r="C9068" s="14" t="s">
        <v>33550</v>
      </c>
      <c r="D9068" s="4" t="s">
        <v>33551</v>
      </c>
      <c r="E9068" s="4" t="s">
        <v>34734</v>
      </c>
    </row>
    <row r="9069" ht="14.25">
      <c r="B9069" s="4" t="s">
        <v>39648</v>
      </c>
      <c r="C9069" s="14" t="s">
        <v>33655</v>
      </c>
      <c r="D9069" s="4" t="s">
        <v>33656</v>
      </c>
      <c r="E9069" s="4" t="s">
        <v>34941</v>
      </c>
    </row>
    <row r="9070" ht="14.25">
      <c r="B9070" s="4" t="s">
        <v>39649</v>
      </c>
      <c r="C9070" s="14" t="s">
        <v>33519</v>
      </c>
      <c r="D9070" s="4" t="s">
        <v>33520</v>
      </c>
      <c r="E9070" s="4" t="s">
        <v>34656</v>
      </c>
    </row>
    <row r="9071" ht="14.25">
      <c r="B9071" s="4" t="s">
        <v>39650</v>
      </c>
      <c r="C9071" s="14" t="s">
        <v>32783</v>
      </c>
      <c r="D9071" s="4" t="s">
        <v>32784</v>
      </c>
      <c r="E9071" s="4" t="s">
        <v>33094</v>
      </c>
    </row>
    <row r="9072" ht="14.25">
      <c r="B9072" s="4" t="s">
        <v>39651</v>
      </c>
      <c r="C9072" s="14" t="s">
        <v>34608</v>
      </c>
      <c r="D9072" s="4" t="s">
        <v>34609</v>
      </c>
      <c r="E9072" s="4" t="s">
        <v>37009</v>
      </c>
    </row>
    <row r="9073" ht="14.25">
      <c r="B9073" s="4" t="s">
        <v>39652</v>
      </c>
      <c r="C9073" s="14" t="s">
        <v>35264</v>
      </c>
      <c r="D9073" s="4" t="s">
        <v>35265</v>
      </c>
      <c r="E9073" s="4" t="s">
        <v>38412</v>
      </c>
    </row>
    <row r="9078" ht="14.25">
      <c r="B9078" s="4" t="s">
        <v>1</v>
      </c>
      <c r="C9078" s="4" t="s">
        <v>2</v>
      </c>
      <c r="D9078" s="4" t="s">
        <v>5</v>
      </c>
      <c r="E9078" s="4" t="s">
        <v>39653</v>
      </c>
      <c r="F9078" s="4" t="s">
        <v>39654</v>
      </c>
      <c r="G9078" s="4" t="s">
        <v>9</v>
      </c>
      <c r="H9078" s="4" t="s">
        <v>39655</v>
      </c>
      <c r="I9078" s="4" t="s">
        <v>39656</v>
      </c>
    </row>
    <row r="9079" ht="14.25">
      <c r="B9079" s="4" t="s">
        <v>32658</v>
      </c>
      <c r="C9079" s="4" t="s">
        <v>37988</v>
      </c>
      <c r="D9079" s="4" t="s">
        <v>37986</v>
      </c>
      <c r="E9079" s="4" t="s">
        <v>39657</v>
      </c>
      <c r="F9079" s="4" t="s">
        <v>37985</v>
      </c>
      <c r="G9079" s="4" t="s">
        <v>39657</v>
      </c>
      <c r="H9079" s="4" t="s">
        <v>39657</v>
      </c>
      <c r="I9079" s="4" t="s">
        <v>37980</v>
      </c>
    </row>
    <row r="9080" ht="14.25">
      <c r="B9080" s="4" t="s">
        <v>2242</v>
      </c>
      <c r="C9080" s="4" t="s">
        <v>32577</v>
      </c>
      <c r="D9080" s="4" t="s">
        <v>32576</v>
      </c>
      <c r="E9080" s="4" t="s">
        <v>39657</v>
      </c>
      <c r="F9080" s="4" t="s">
        <v>32566</v>
      </c>
      <c r="G9080" s="4" t="s">
        <v>39657</v>
      </c>
      <c r="H9080" s="4" t="s">
        <v>39657</v>
      </c>
      <c r="I9080" s="4" t="s">
        <v>32565</v>
      </c>
    </row>
    <row r="9081" ht="14.25">
      <c r="B9081" s="4" t="s">
        <v>32622</v>
      </c>
      <c r="C9081" s="4" t="s">
        <v>32623</v>
      </c>
      <c r="D9081" s="4" t="s">
        <v>32620</v>
      </c>
      <c r="E9081" s="4" t="s">
        <v>39657</v>
      </c>
      <c r="F9081" s="4" t="s">
        <v>32619</v>
      </c>
      <c r="G9081" s="4" t="s">
        <v>39657</v>
      </c>
      <c r="H9081" s="4" t="s">
        <v>39657</v>
      </c>
      <c r="I9081" s="4" t="s">
        <v>32618</v>
      </c>
    </row>
    <row r="9082" ht="14.25">
      <c r="B9082" s="4" t="s">
        <v>3850</v>
      </c>
      <c r="C9082" s="4" t="s">
        <v>32670</v>
      </c>
      <c r="D9082" s="4" t="s">
        <v>32668</v>
      </c>
      <c r="E9082" s="4" t="s">
        <v>39657</v>
      </c>
      <c r="F9082" s="4" t="s">
        <v>32667</v>
      </c>
      <c r="G9082" s="4" t="s">
        <v>39657</v>
      </c>
      <c r="H9082" s="4" t="s">
        <v>39657</v>
      </c>
      <c r="I9082" s="4" t="s">
        <v>32629</v>
      </c>
    </row>
    <row r="9083" ht="14.25">
      <c r="B9083" s="4" t="s">
        <v>4003</v>
      </c>
      <c r="C9083" s="4" t="s">
        <v>32543</v>
      </c>
      <c r="D9083" s="4" t="s">
        <v>32542</v>
      </c>
      <c r="E9083" s="4" t="s">
        <v>39657</v>
      </c>
      <c r="F9083" s="4" t="s">
        <v>32541</v>
      </c>
      <c r="G9083" s="4" t="s">
        <v>39657</v>
      </c>
      <c r="H9083" s="4" t="s">
        <v>39657</v>
      </c>
      <c r="I9083" s="4" t="s">
        <v>32540</v>
      </c>
    </row>
    <row r="9084" ht="14.25">
      <c r="B9084" s="4" t="s">
        <v>32548</v>
      </c>
      <c r="C9084" s="4" t="s">
        <v>32549</v>
      </c>
      <c r="D9084" s="4" t="s">
        <v>32546</v>
      </c>
      <c r="E9084" s="4" t="s">
        <v>39657</v>
      </c>
      <c r="F9084" s="4" t="s">
        <v>32545</v>
      </c>
      <c r="G9084" s="4" t="s">
        <v>39657</v>
      </c>
      <c r="H9084" s="4" t="s">
        <v>39657</v>
      </c>
      <c r="I9084" s="4" t="s">
        <v>32544</v>
      </c>
    </row>
    <row r="9085" ht="14.25">
      <c r="B9085" s="4" t="s">
        <v>2925</v>
      </c>
      <c r="C9085" s="4" t="s">
        <v>32551</v>
      </c>
      <c r="D9085" s="4" t="s">
        <v>32550</v>
      </c>
      <c r="E9085" s="4" t="s">
        <v>39657</v>
      </c>
      <c r="F9085" s="4" t="s">
        <v>32545</v>
      </c>
      <c r="G9085" s="4" t="s">
        <v>39657</v>
      </c>
      <c r="H9085" s="4" t="s">
        <v>39657</v>
      </c>
      <c r="I9085" s="4" t="s">
        <v>32544</v>
      </c>
    </row>
    <row r="9086" ht="14.25">
      <c r="B9086" s="4" t="s">
        <v>1499</v>
      </c>
      <c r="C9086" s="4" t="s">
        <v>32553</v>
      </c>
      <c r="D9086" s="4" t="s">
        <v>32552</v>
      </c>
      <c r="E9086" s="4" t="s">
        <v>39657</v>
      </c>
      <c r="F9086" s="4" t="s">
        <v>32545</v>
      </c>
      <c r="G9086" s="4" t="s">
        <v>39657</v>
      </c>
      <c r="H9086" s="4" t="s">
        <v>39657</v>
      </c>
      <c r="I9086" s="4" t="s">
        <v>32544</v>
      </c>
    </row>
    <row r="9087" ht="14.25">
      <c r="B9087" s="4" t="s">
        <v>355</v>
      </c>
      <c r="C9087" s="4" t="s">
        <v>32555</v>
      </c>
      <c r="D9087" s="4" t="s">
        <v>32554</v>
      </c>
      <c r="E9087" s="4" t="s">
        <v>39657</v>
      </c>
      <c r="F9087" s="4" t="s">
        <v>32545</v>
      </c>
      <c r="G9087" s="4" t="s">
        <v>39657</v>
      </c>
      <c r="H9087" s="4" t="s">
        <v>39657</v>
      </c>
      <c r="I9087" s="4" t="s">
        <v>32544</v>
      </c>
    </row>
    <row r="9088" ht="14.25">
      <c r="B9088" s="4" t="s">
        <v>1732</v>
      </c>
      <c r="C9088" s="4" t="s">
        <v>32557</v>
      </c>
      <c r="D9088" s="4" t="s">
        <v>32556</v>
      </c>
      <c r="E9088" s="4" t="s">
        <v>39657</v>
      </c>
      <c r="F9088" s="4" t="s">
        <v>32545</v>
      </c>
      <c r="G9088" s="4" t="s">
        <v>39657</v>
      </c>
      <c r="H9088" s="4" t="s">
        <v>39657</v>
      </c>
      <c r="I9088" s="4" t="s">
        <v>32544</v>
      </c>
    </row>
    <row r="9089" ht="14.25">
      <c r="B9089" s="4" t="s">
        <v>76</v>
      </c>
      <c r="C9089" s="4" t="s">
        <v>32559</v>
      </c>
      <c r="D9089" s="4" t="s">
        <v>32558</v>
      </c>
      <c r="E9089" s="4" t="s">
        <v>39657</v>
      </c>
      <c r="F9089" s="4" t="s">
        <v>32545</v>
      </c>
      <c r="G9089" s="4" t="s">
        <v>39657</v>
      </c>
      <c r="H9089" s="4" t="s">
        <v>39657</v>
      </c>
      <c r="I9089" s="4" t="s">
        <v>32544</v>
      </c>
    </row>
    <row r="9090" ht="14.25">
      <c r="B9090" s="4" t="s">
        <v>32563</v>
      </c>
      <c r="C9090" s="4" t="s">
        <v>32564</v>
      </c>
      <c r="D9090" s="4" t="s">
        <v>32562</v>
      </c>
      <c r="E9090" s="4" t="s">
        <v>39657</v>
      </c>
      <c r="F9090" s="4" t="s">
        <v>32561</v>
      </c>
      <c r="G9090" s="4" t="s">
        <v>39657</v>
      </c>
      <c r="H9090" s="4" t="s">
        <v>39657</v>
      </c>
      <c r="I9090" s="4" t="s">
        <v>32560</v>
      </c>
    </row>
    <row r="9091" ht="14.25">
      <c r="B9091" s="4" t="s">
        <v>2249</v>
      </c>
      <c r="C9091" s="4" t="s">
        <v>32569</v>
      </c>
      <c r="D9091" s="4" t="s">
        <v>32567</v>
      </c>
      <c r="E9091" s="4" t="s">
        <v>39657</v>
      </c>
      <c r="F9091" s="4" t="s">
        <v>32566</v>
      </c>
      <c r="G9091" s="4" t="s">
        <v>39657</v>
      </c>
      <c r="H9091" s="4" t="s">
        <v>39657</v>
      </c>
      <c r="I9091" s="4" t="s">
        <v>32565</v>
      </c>
    </row>
    <row r="9092" ht="14.25">
      <c r="B9092" s="4" t="s">
        <v>3892</v>
      </c>
      <c r="C9092" s="4" t="s">
        <v>32571</v>
      </c>
      <c r="D9092" s="4" t="s">
        <v>32570</v>
      </c>
      <c r="E9092" s="4" t="s">
        <v>39657</v>
      </c>
      <c r="F9092" s="4" t="s">
        <v>32566</v>
      </c>
      <c r="G9092" s="4" t="s">
        <v>39657</v>
      </c>
      <c r="H9092" s="4" t="s">
        <v>39657</v>
      </c>
      <c r="I9092" s="4" t="s">
        <v>32565</v>
      </c>
    </row>
    <row r="9093" ht="14.25">
      <c r="B9093" s="4" t="s">
        <v>24006</v>
      </c>
      <c r="C9093" s="4" t="s">
        <v>32573</v>
      </c>
      <c r="D9093" s="4" t="s">
        <v>32572</v>
      </c>
      <c r="E9093" s="4" t="s">
        <v>39657</v>
      </c>
      <c r="F9093" s="4" t="s">
        <v>32566</v>
      </c>
      <c r="G9093" s="4" t="s">
        <v>39657</v>
      </c>
      <c r="H9093" s="4" t="s">
        <v>39657</v>
      </c>
      <c r="I9093" s="4" t="s">
        <v>32565</v>
      </c>
    </row>
    <row r="9094" ht="14.25">
      <c r="B9094" s="4" t="s">
        <v>178</v>
      </c>
      <c r="C9094" s="4" t="s">
        <v>32575</v>
      </c>
      <c r="D9094" s="4" t="s">
        <v>32574</v>
      </c>
      <c r="E9094" s="4" t="s">
        <v>39657</v>
      </c>
      <c r="F9094" s="4" t="s">
        <v>32566</v>
      </c>
      <c r="G9094" s="4" t="s">
        <v>39657</v>
      </c>
      <c r="H9094" s="4" t="s">
        <v>39657</v>
      </c>
      <c r="I9094" s="4" t="s">
        <v>32565</v>
      </c>
    </row>
    <row r="9095" ht="14.25">
      <c r="B9095" s="4" t="s">
        <v>32579</v>
      </c>
      <c r="C9095" s="4" t="s">
        <v>32580</v>
      </c>
      <c r="D9095" s="4" t="s">
        <v>32578</v>
      </c>
      <c r="E9095" s="4" t="s">
        <v>39657</v>
      </c>
      <c r="F9095" s="4" t="s">
        <v>32566</v>
      </c>
      <c r="G9095" s="4" t="s">
        <v>39657</v>
      </c>
      <c r="H9095" s="4" t="s">
        <v>39657</v>
      </c>
      <c r="I9095" s="4" t="s">
        <v>32565</v>
      </c>
    </row>
    <row r="9096" ht="14.25">
      <c r="B9096" s="4" t="s">
        <v>222</v>
      </c>
      <c r="C9096" s="4" t="s">
        <v>32584</v>
      </c>
      <c r="D9096" s="4" t="s">
        <v>32583</v>
      </c>
      <c r="E9096" s="4" t="s">
        <v>39657</v>
      </c>
      <c r="F9096" s="4" t="s">
        <v>32582</v>
      </c>
      <c r="G9096" s="4" t="s">
        <v>39657</v>
      </c>
      <c r="H9096" s="4" t="s">
        <v>39657</v>
      </c>
      <c r="I9096" s="4" t="s">
        <v>32581</v>
      </c>
    </row>
    <row r="9097" ht="14.25">
      <c r="B9097" s="4" t="s">
        <v>178</v>
      </c>
      <c r="C9097" s="4" t="s">
        <v>32589</v>
      </c>
      <c r="D9097" s="4" t="s">
        <v>32587</v>
      </c>
      <c r="E9097" s="4" t="s">
        <v>39657</v>
      </c>
      <c r="F9097" s="4" t="s">
        <v>32586</v>
      </c>
      <c r="G9097" s="4" t="s">
        <v>39657</v>
      </c>
      <c r="H9097" s="4" t="s">
        <v>39657</v>
      </c>
      <c r="I9097" s="4" t="s">
        <v>32585</v>
      </c>
    </row>
    <row r="9098" ht="14.25">
      <c r="B9098" s="4" t="s">
        <v>963</v>
      </c>
      <c r="C9098" s="4" t="s">
        <v>32591</v>
      </c>
      <c r="D9098" s="4" t="s">
        <v>32590</v>
      </c>
      <c r="E9098" s="4" t="s">
        <v>39657</v>
      </c>
      <c r="F9098" s="4" t="s">
        <v>32586</v>
      </c>
      <c r="G9098" s="4" t="s">
        <v>39657</v>
      </c>
      <c r="H9098" s="4" t="s">
        <v>39657</v>
      </c>
      <c r="I9098" s="4" t="s">
        <v>32585</v>
      </c>
    </row>
    <row r="9099" ht="14.25">
      <c r="B9099" s="4" t="s">
        <v>971</v>
      </c>
      <c r="C9099" s="4" t="s">
        <v>32592</v>
      </c>
      <c r="D9099" s="4" t="s">
        <v>32588</v>
      </c>
      <c r="E9099" s="4" t="s">
        <v>39657</v>
      </c>
      <c r="F9099" s="4" t="s">
        <v>32586</v>
      </c>
      <c r="G9099" s="4" t="s">
        <v>39657</v>
      </c>
      <c r="H9099" s="4" t="s">
        <v>39657</v>
      </c>
      <c r="I9099" s="4" t="s">
        <v>32585</v>
      </c>
    </row>
    <row r="9100" ht="14.25">
      <c r="B9100" s="4" t="s">
        <v>4961</v>
      </c>
      <c r="C9100" s="4" t="s">
        <v>32594</v>
      </c>
      <c r="D9100" s="4" t="s">
        <v>32593</v>
      </c>
      <c r="E9100" s="4" t="s">
        <v>39657</v>
      </c>
      <c r="F9100" s="4" t="s">
        <v>32586</v>
      </c>
      <c r="G9100" s="4" t="s">
        <v>39657</v>
      </c>
      <c r="H9100" s="4" t="s">
        <v>39657</v>
      </c>
      <c r="I9100" s="4" t="s">
        <v>32585</v>
      </c>
    </row>
    <row r="9101" ht="14.25">
      <c r="B9101" s="4" t="s">
        <v>1571</v>
      </c>
      <c r="C9101" s="4" t="s">
        <v>32598</v>
      </c>
      <c r="D9101" s="4" t="s">
        <v>32596</v>
      </c>
      <c r="E9101" s="4" t="s">
        <v>39657</v>
      </c>
      <c r="F9101" s="4" t="s">
        <v>32595</v>
      </c>
      <c r="G9101" s="4" t="s">
        <v>39657</v>
      </c>
      <c r="H9101" s="4" t="s">
        <v>39657</v>
      </c>
      <c r="I9101" s="4" t="s">
        <v>32585</v>
      </c>
    </row>
    <row r="9102" ht="14.25">
      <c r="B9102" s="4" t="s">
        <v>1596</v>
      </c>
      <c r="C9102" s="4" t="s">
        <v>32600</v>
      </c>
      <c r="D9102" s="4" t="s">
        <v>32599</v>
      </c>
      <c r="E9102" s="4" t="s">
        <v>39657</v>
      </c>
      <c r="F9102" s="4" t="s">
        <v>32595</v>
      </c>
      <c r="G9102" s="4" t="s">
        <v>39657</v>
      </c>
      <c r="H9102" s="4" t="s">
        <v>39657</v>
      </c>
      <c r="I9102" s="4" t="s">
        <v>32585</v>
      </c>
    </row>
    <row r="9103" ht="14.25">
      <c r="B9103" s="4" t="s">
        <v>2242</v>
      </c>
      <c r="C9103" s="4" t="s">
        <v>32602</v>
      </c>
      <c r="D9103" s="4" t="s">
        <v>32601</v>
      </c>
      <c r="E9103" s="4" t="s">
        <v>39657</v>
      </c>
      <c r="F9103" s="4" t="s">
        <v>32586</v>
      </c>
      <c r="G9103" s="4" t="s">
        <v>39657</v>
      </c>
      <c r="H9103" s="4" t="s">
        <v>39657</v>
      </c>
      <c r="I9103" s="4" t="s">
        <v>32585</v>
      </c>
    </row>
    <row r="9104" ht="14.25">
      <c r="B9104" s="4" t="s">
        <v>1732</v>
      </c>
      <c r="C9104" s="4" t="s">
        <v>32605</v>
      </c>
      <c r="D9104" s="4" t="s">
        <v>32604</v>
      </c>
      <c r="E9104" s="4" t="s">
        <v>39657</v>
      </c>
      <c r="F9104" s="4" t="s">
        <v>32603</v>
      </c>
      <c r="G9104" s="4" t="s">
        <v>39657</v>
      </c>
      <c r="H9104" s="4" t="s">
        <v>39657</v>
      </c>
      <c r="I9104" s="4" t="s">
        <v>32585</v>
      </c>
    </row>
    <row r="9105" ht="14.25">
      <c r="B9105" s="4" t="s">
        <v>355</v>
      </c>
      <c r="C9105" s="4" t="s">
        <v>32607</v>
      </c>
      <c r="D9105" s="4" t="s">
        <v>32606</v>
      </c>
      <c r="E9105" s="4" t="s">
        <v>39657</v>
      </c>
      <c r="F9105" s="4" t="s">
        <v>32586</v>
      </c>
      <c r="G9105" s="4" t="s">
        <v>39657</v>
      </c>
      <c r="H9105" s="4" t="s">
        <v>39657</v>
      </c>
      <c r="I9105" s="4" t="s">
        <v>32585</v>
      </c>
    </row>
    <row r="9106" ht="14.25">
      <c r="B9106" s="4" t="s">
        <v>2598</v>
      </c>
      <c r="C9106" s="4" t="s">
        <v>32610</v>
      </c>
      <c r="D9106" s="4" t="s">
        <v>32609</v>
      </c>
      <c r="E9106" s="4" t="s">
        <v>39657</v>
      </c>
      <c r="F9106" s="4" t="s">
        <v>32608</v>
      </c>
      <c r="G9106" s="4" t="s">
        <v>39657</v>
      </c>
      <c r="H9106" s="4" t="s">
        <v>39657</v>
      </c>
      <c r="I9106" s="4" t="s">
        <v>32585</v>
      </c>
    </row>
    <row r="9107" ht="14.25">
      <c r="B9107" s="4" t="s">
        <v>255</v>
      </c>
      <c r="C9107" s="4" t="s">
        <v>32612</v>
      </c>
      <c r="D9107" s="4" t="s">
        <v>32611</v>
      </c>
      <c r="E9107" s="4" t="s">
        <v>39657</v>
      </c>
      <c r="F9107" s="4" t="s">
        <v>32586</v>
      </c>
      <c r="G9107" s="4" t="s">
        <v>39657</v>
      </c>
      <c r="H9107" s="4" t="s">
        <v>39657</v>
      </c>
      <c r="I9107" s="4" t="s">
        <v>32585</v>
      </c>
    </row>
    <row r="9108" ht="14.25">
      <c r="B9108" s="4" t="s">
        <v>32614</v>
      </c>
      <c r="C9108" s="4" t="s">
        <v>32615</v>
      </c>
      <c r="D9108" s="4" t="s">
        <v>32613</v>
      </c>
      <c r="E9108" s="4" t="s">
        <v>39657</v>
      </c>
      <c r="F9108" s="4" t="s">
        <v>32586</v>
      </c>
      <c r="G9108" s="4" t="s">
        <v>39657</v>
      </c>
      <c r="H9108" s="4" t="s">
        <v>39657</v>
      </c>
      <c r="I9108" s="4" t="s">
        <v>32585</v>
      </c>
    </row>
    <row r="9109" ht="14.25">
      <c r="B9109" s="4" t="s">
        <v>32616</v>
      </c>
      <c r="C9109" s="4" t="s">
        <v>32617</v>
      </c>
      <c r="D9109" s="4" t="s">
        <v>32597</v>
      </c>
      <c r="E9109" s="4" t="s">
        <v>39657</v>
      </c>
      <c r="F9109" s="4" t="s">
        <v>32595</v>
      </c>
      <c r="G9109" s="4" t="s">
        <v>39657</v>
      </c>
      <c r="H9109" s="4" t="s">
        <v>39657</v>
      </c>
      <c r="I9109" s="4" t="s">
        <v>32585</v>
      </c>
    </row>
    <row r="9110" ht="14.25">
      <c r="B9110" s="4" t="s">
        <v>330</v>
      </c>
      <c r="C9110" s="4" t="s">
        <v>32628</v>
      </c>
      <c r="D9110" s="4" t="s">
        <v>32626</v>
      </c>
      <c r="E9110" s="4" t="s">
        <v>39657</v>
      </c>
      <c r="F9110" s="4" t="s">
        <v>32625</v>
      </c>
      <c r="G9110" s="4" t="s">
        <v>39657</v>
      </c>
      <c r="H9110" s="4" t="s">
        <v>39657</v>
      </c>
      <c r="I9110" s="4" t="s">
        <v>32624</v>
      </c>
    </row>
    <row r="9111" ht="14.25">
      <c r="B9111" s="4" t="s">
        <v>670</v>
      </c>
      <c r="C9111" s="4" t="s">
        <v>32633</v>
      </c>
      <c r="D9111" s="4" t="s">
        <v>32631</v>
      </c>
      <c r="E9111" s="4" t="s">
        <v>39657</v>
      </c>
      <c r="F9111" s="4" t="s">
        <v>32630</v>
      </c>
      <c r="G9111" s="4" t="s">
        <v>39657</v>
      </c>
      <c r="H9111" s="4" t="s">
        <v>39657</v>
      </c>
      <c r="I9111" s="4" t="s">
        <v>32629</v>
      </c>
    </row>
    <row r="9112" ht="14.25">
      <c r="B9112" s="4" t="s">
        <v>32636</v>
      </c>
      <c r="C9112" s="4" t="s">
        <v>32637</v>
      </c>
      <c r="D9112" s="4" t="s">
        <v>32635</v>
      </c>
      <c r="E9112" s="4" t="s">
        <v>39657</v>
      </c>
      <c r="F9112" s="4" t="s">
        <v>32634</v>
      </c>
      <c r="G9112" s="4" t="s">
        <v>39657</v>
      </c>
      <c r="H9112" s="4" t="s">
        <v>39657</v>
      </c>
      <c r="I9112" s="4" t="s">
        <v>32629</v>
      </c>
    </row>
    <row r="9113" ht="14.25">
      <c r="B9113" s="4" t="s">
        <v>32640</v>
      </c>
      <c r="C9113" s="4" t="s">
        <v>32641</v>
      </c>
      <c r="D9113" s="4" t="s">
        <v>32638</v>
      </c>
      <c r="E9113" s="4" t="s">
        <v>39657</v>
      </c>
      <c r="F9113" s="4" t="s">
        <v>32634</v>
      </c>
      <c r="G9113" s="4" t="s">
        <v>39657</v>
      </c>
      <c r="H9113" s="4" t="s">
        <v>39657</v>
      </c>
      <c r="I9113" s="4" t="s">
        <v>32629</v>
      </c>
    </row>
    <row r="9114" ht="14.25">
      <c r="B9114" s="4" t="s">
        <v>1583</v>
      </c>
      <c r="C9114" s="4" t="s">
        <v>32645</v>
      </c>
      <c r="D9114" s="4" t="s">
        <v>32643</v>
      </c>
      <c r="E9114" s="4" t="s">
        <v>39657</v>
      </c>
      <c r="F9114" s="4" t="s">
        <v>32642</v>
      </c>
      <c r="G9114" s="4" t="s">
        <v>39657</v>
      </c>
      <c r="H9114" s="4" t="s">
        <v>39657</v>
      </c>
      <c r="I9114" s="4" t="s">
        <v>32629</v>
      </c>
    </row>
    <row r="9115" ht="14.25">
      <c r="B9115" s="4" t="s">
        <v>32622</v>
      </c>
      <c r="C9115" s="4" t="s">
        <v>32647</v>
      </c>
      <c r="D9115" s="4" t="s">
        <v>32646</v>
      </c>
      <c r="E9115" s="4" t="s">
        <v>39657</v>
      </c>
      <c r="F9115" s="4" t="s">
        <v>32630</v>
      </c>
      <c r="G9115" s="4" t="s">
        <v>39657</v>
      </c>
      <c r="H9115" s="4" t="s">
        <v>39657</v>
      </c>
      <c r="I9115" s="4" t="s">
        <v>32629</v>
      </c>
    </row>
    <row r="9116" ht="14.25">
      <c r="B9116" s="4" t="s">
        <v>1215</v>
      </c>
      <c r="C9116" s="4" t="s">
        <v>32651</v>
      </c>
      <c r="D9116" s="4" t="s">
        <v>32649</v>
      </c>
      <c r="E9116" s="4" t="s">
        <v>39657</v>
      </c>
      <c r="F9116" s="4" t="s">
        <v>32648</v>
      </c>
      <c r="G9116" s="4" t="s">
        <v>39657</v>
      </c>
      <c r="H9116" s="4" t="s">
        <v>39657</v>
      </c>
      <c r="I9116" s="4" t="s">
        <v>32629</v>
      </c>
    </row>
    <row r="9117" ht="14.25">
      <c r="B9117" s="4" t="s">
        <v>785</v>
      </c>
      <c r="C9117" s="4" t="s">
        <v>32654</v>
      </c>
      <c r="D9117" s="4" t="s">
        <v>32653</v>
      </c>
      <c r="E9117" s="4" t="s">
        <v>39657</v>
      </c>
      <c r="F9117" s="4" t="s">
        <v>32652</v>
      </c>
      <c r="G9117" s="4" t="s">
        <v>39657</v>
      </c>
      <c r="H9117" s="4" t="s">
        <v>39657</v>
      </c>
      <c r="I9117" s="4" t="s">
        <v>32629</v>
      </c>
    </row>
    <row r="9118" ht="14.25">
      <c r="B9118" s="4" t="s">
        <v>1499</v>
      </c>
      <c r="C9118" s="4" t="s">
        <v>32656</v>
      </c>
      <c r="D9118" s="4" t="s">
        <v>32655</v>
      </c>
      <c r="E9118" s="4" t="s">
        <v>39657</v>
      </c>
      <c r="F9118" s="4" t="s">
        <v>32630</v>
      </c>
      <c r="G9118" s="4" t="s">
        <v>39657</v>
      </c>
      <c r="H9118" s="4" t="s">
        <v>39657</v>
      </c>
      <c r="I9118" s="4" t="s">
        <v>32629</v>
      </c>
    </row>
    <row r="9119" ht="14.25">
      <c r="B9119" s="4" t="s">
        <v>32658</v>
      </c>
      <c r="C9119" s="4" t="s">
        <v>32659</v>
      </c>
      <c r="D9119" s="4" t="s">
        <v>32657</v>
      </c>
      <c r="E9119" s="4" t="s">
        <v>39657</v>
      </c>
      <c r="F9119" s="4" t="s">
        <v>32630</v>
      </c>
      <c r="G9119" s="4" t="s">
        <v>39657</v>
      </c>
      <c r="H9119" s="4" t="s">
        <v>39657</v>
      </c>
      <c r="I9119" s="4" t="s">
        <v>32629</v>
      </c>
    </row>
    <row r="9120" ht="14.25">
      <c r="B9120" s="4" t="s">
        <v>32661</v>
      </c>
      <c r="C9120" s="4" t="s">
        <v>32662</v>
      </c>
      <c r="D9120" s="4" t="s">
        <v>32660</v>
      </c>
      <c r="E9120" s="4" t="s">
        <v>39657</v>
      </c>
      <c r="F9120" s="4" t="s">
        <v>32630</v>
      </c>
      <c r="G9120" s="4" t="s">
        <v>39657</v>
      </c>
      <c r="H9120" s="4" t="s">
        <v>39657</v>
      </c>
      <c r="I9120" s="4" t="s">
        <v>32629</v>
      </c>
    </row>
    <row r="9121" ht="14.25">
      <c r="B9121" s="4" t="s">
        <v>32666</v>
      </c>
      <c r="C9121" s="4" t="s">
        <v>32564</v>
      </c>
      <c r="D9121" s="4" t="s">
        <v>32664</v>
      </c>
      <c r="E9121" s="4" t="s">
        <v>39657</v>
      </c>
      <c r="F9121" s="4" t="s">
        <v>32663</v>
      </c>
      <c r="G9121" s="4" t="s">
        <v>39657</v>
      </c>
      <c r="H9121" s="4" t="s">
        <v>39657</v>
      </c>
      <c r="I9121" s="4" t="s">
        <v>32629</v>
      </c>
    </row>
    <row r="9122" ht="14.25">
      <c r="B9122" s="4" t="s">
        <v>20612</v>
      </c>
      <c r="C9122" s="4" t="s">
        <v>32675</v>
      </c>
      <c r="D9122" s="4" t="s">
        <v>32673</v>
      </c>
      <c r="E9122" s="4" t="s">
        <v>39657</v>
      </c>
      <c r="F9122" s="4" t="s">
        <v>32672</v>
      </c>
      <c r="G9122" s="4" t="s">
        <v>39657</v>
      </c>
      <c r="H9122" s="4" t="s">
        <v>39657</v>
      </c>
      <c r="I9122" s="4" t="s">
        <v>32671</v>
      </c>
    </row>
    <row r="9123" ht="14.25">
      <c r="B9123" s="4" t="s">
        <v>32548</v>
      </c>
      <c r="C9123" s="4" t="s">
        <v>32679</v>
      </c>
      <c r="D9123" s="4" t="s">
        <v>32677</v>
      </c>
      <c r="E9123" s="4" t="s">
        <v>39657</v>
      </c>
      <c r="F9123" s="4" t="s">
        <v>32676</v>
      </c>
      <c r="G9123" s="4" t="s">
        <v>39657</v>
      </c>
      <c r="H9123" s="4" t="s">
        <v>39657</v>
      </c>
      <c r="I9123" s="4" t="s">
        <v>32671</v>
      </c>
    </row>
    <row r="9124" ht="14.25">
      <c r="B9124" s="4" t="s">
        <v>1592</v>
      </c>
      <c r="C9124" s="4" t="s">
        <v>32681</v>
      </c>
      <c r="D9124" s="4" t="s">
        <v>32680</v>
      </c>
      <c r="E9124" s="4" t="s">
        <v>39657</v>
      </c>
      <c r="F9124" s="4" t="s">
        <v>32676</v>
      </c>
      <c r="G9124" s="4" t="s">
        <v>39657</v>
      </c>
      <c r="H9124" s="4" t="s">
        <v>39657</v>
      </c>
      <c r="I9124" s="4" t="s">
        <v>32671</v>
      </c>
    </row>
    <row r="9125" ht="14.25">
      <c r="B9125" s="4" t="s">
        <v>2119</v>
      </c>
      <c r="C9125" s="4" t="s">
        <v>32686</v>
      </c>
      <c r="D9125" s="4" t="s">
        <v>32684</v>
      </c>
      <c r="E9125" s="4" t="s">
        <v>39657</v>
      </c>
      <c r="F9125" s="4" t="s">
        <v>32683</v>
      </c>
      <c r="G9125" s="4" t="s">
        <v>39657</v>
      </c>
      <c r="H9125" s="4" t="s">
        <v>39657</v>
      </c>
      <c r="I9125" s="4" t="s">
        <v>32682</v>
      </c>
    </row>
    <row r="9126" ht="14.25">
      <c r="B9126" s="4" t="s">
        <v>3850</v>
      </c>
      <c r="C9126" s="4" t="s">
        <v>32690</v>
      </c>
      <c r="D9126" s="4" t="s">
        <v>32688</v>
      </c>
      <c r="E9126" s="4" t="s">
        <v>39657</v>
      </c>
      <c r="F9126" s="4" t="s">
        <v>32687</v>
      </c>
      <c r="G9126" s="4" t="s">
        <v>39657</v>
      </c>
      <c r="H9126" s="4" t="s">
        <v>39657</v>
      </c>
      <c r="I9126" s="4" t="s">
        <v>32682</v>
      </c>
    </row>
    <row r="9127" ht="14.25">
      <c r="B9127" s="4" t="s">
        <v>110</v>
      </c>
      <c r="C9127" s="4" t="s">
        <v>32694</v>
      </c>
      <c r="D9127" s="4" t="s">
        <v>32692</v>
      </c>
      <c r="E9127" s="4" t="s">
        <v>39657</v>
      </c>
      <c r="F9127" s="4" t="s">
        <v>32691</v>
      </c>
      <c r="G9127" s="4" t="s">
        <v>39657</v>
      </c>
      <c r="H9127" s="4" t="s">
        <v>39657</v>
      </c>
      <c r="I9127" s="4" t="s">
        <v>32682</v>
      </c>
    </row>
    <row r="9128" ht="14.25">
      <c r="B9128" s="4" t="s">
        <v>32697</v>
      </c>
      <c r="C9128" s="4" t="s">
        <v>32698</v>
      </c>
      <c r="D9128" s="4" t="s">
        <v>32696</v>
      </c>
      <c r="E9128" s="4" t="s">
        <v>39657</v>
      </c>
      <c r="F9128" s="4" t="s">
        <v>32695</v>
      </c>
      <c r="G9128" s="4" t="s">
        <v>39657</v>
      </c>
      <c r="H9128" s="4" t="s">
        <v>39657</v>
      </c>
      <c r="I9128" s="4" t="s">
        <v>32682</v>
      </c>
    </row>
    <row r="9129" ht="14.25">
      <c r="B9129" s="4" t="s">
        <v>485</v>
      </c>
      <c r="C9129" s="4" t="s">
        <v>32694</v>
      </c>
      <c r="D9129" s="4" t="s">
        <v>32699</v>
      </c>
      <c r="E9129" s="4" t="s">
        <v>39657</v>
      </c>
      <c r="F9129" s="4" t="s">
        <v>32691</v>
      </c>
      <c r="G9129" s="4" t="s">
        <v>39657</v>
      </c>
      <c r="H9129" s="4" t="s">
        <v>39657</v>
      </c>
      <c r="I9129" s="4" t="s">
        <v>32682</v>
      </c>
    </row>
    <row r="9130" ht="14.25">
      <c r="B9130" s="4" t="s">
        <v>32701</v>
      </c>
      <c r="C9130" s="4" t="s">
        <v>32702</v>
      </c>
      <c r="D9130" s="4" t="s">
        <v>32700</v>
      </c>
      <c r="E9130" s="4" t="s">
        <v>39657</v>
      </c>
      <c r="F9130" s="4" t="s">
        <v>32691</v>
      </c>
      <c r="G9130" s="4" t="s">
        <v>39657</v>
      </c>
      <c r="H9130" s="4" t="s">
        <v>39657</v>
      </c>
      <c r="I9130" s="4" t="s">
        <v>32682</v>
      </c>
    </row>
    <row r="9131" ht="14.25">
      <c r="B9131" s="4" t="s">
        <v>32706</v>
      </c>
      <c r="C9131" s="4" t="s">
        <v>32707</v>
      </c>
      <c r="D9131" s="4" t="s">
        <v>32704</v>
      </c>
      <c r="E9131" s="4" t="s">
        <v>39657</v>
      </c>
      <c r="F9131" s="4" t="s">
        <v>32703</v>
      </c>
      <c r="G9131" s="4" t="s">
        <v>39657</v>
      </c>
      <c r="H9131" s="4" t="s">
        <v>39657</v>
      </c>
      <c r="I9131" s="4" t="s">
        <v>32682</v>
      </c>
    </row>
    <row r="9132" ht="14.25">
      <c r="B9132" s="4" t="s">
        <v>32709</v>
      </c>
      <c r="C9132" s="4" t="s">
        <v>32710</v>
      </c>
      <c r="D9132" s="4" t="s">
        <v>32708</v>
      </c>
      <c r="E9132" s="4" t="s">
        <v>39657</v>
      </c>
      <c r="F9132" s="4" t="s">
        <v>32687</v>
      </c>
      <c r="G9132" s="4" t="s">
        <v>39657</v>
      </c>
      <c r="H9132" s="4" t="s">
        <v>39657</v>
      </c>
      <c r="I9132" s="4" t="s">
        <v>32682</v>
      </c>
    </row>
    <row r="9133" ht="14.25">
      <c r="B9133" s="4" t="s">
        <v>5907</v>
      </c>
      <c r="C9133" s="4" t="s">
        <v>32715</v>
      </c>
      <c r="D9133" s="4" t="s">
        <v>32713</v>
      </c>
      <c r="E9133" s="4" t="s">
        <v>39657</v>
      </c>
      <c r="F9133" s="4" t="s">
        <v>32712</v>
      </c>
      <c r="G9133" s="4" t="s">
        <v>39657</v>
      </c>
      <c r="H9133" s="4" t="s">
        <v>39657</v>
      </c>
      <c r="I9133" s="4" t="s">
        <v>32711</v>
      </c>
    </row>
    <row r="9134" ht="14.25">
      <c r="B9134" s="4" t="s">
        <v>32622</v>
      </c>
      <c r="C9134" s="4" t="s">
        <v>32718</v>
      </c>
      <c r="D9134" s="4" t="s">
        <v>32717</v>
      </c>
      <c r="E9134" s="4" t="s">
        <v>39657</v>
      </c>
      <c r="F9134" s="4" t="s">
        <v>32716</v>
      </c>
      <c r="G9134" s="4" t="s">
        <v>39657</v>
      </c>
      <c r="H9134" s="4" t="s">
        <v>39657</v>
      </c>
      <c r="I9134" s="4" t="s">
        <v>32711</v>
      </c>
    </row>
    <row r="9135" ht="14.25">
      <c r="B9135" s="4" t="s">
        <v>330</v>
      </c>
      <c r="C9135" s="4" t="s">
        <v>32723</v>
      </c>
      <c r="D9135" s="4" t="s">
        <v>32721</v>
      </c>
      <c r="E9135" s="4" t="s">
        <v>39657</v>
      </c>
      <c r="F9135" s="4" t="s">
        <v>32720</v>
      </c>
      <c r="G9135" s="4" t="s">
        <v>39657</v>
      </c>
      <c r="H9135" s="4" t="s">
        <v>39657</v>
      </c>
      <c r="I9135" s="4" t="s">
        <v>32719</v>
      </c>
    </row>
    <row r="9136" ht="14.25">
      <c r="B9136" s="4" t="s">
        <v>32725</v>
      </c>
      <c r="C9136" s="4" t="s">
        <v>32726</v>
      </c>
      <c r="D9136" s="4" t="s">
        <v>32724</v>
      </c>
      <c r="E9136" s="4" t="s">
        <v>39657</v>
      </c>
      <c r="F9136" s="4" t="s">
        <v>32720</v>
      </c>
      <c r="G9136" s="4" t="s">
        <v>39657</v>
      </c>
      <c r="H9136" s="4" t="s">
        <v>39657</v>
      </c>
      <c r="I9136" s="4" t="s">
        <v>32719</v>
      </c>
    </row>
    <row r="9137" ht="14.25">
      <c r="B9137" s="4" t="s">
        <v>355</v>
      </c>
      <c r="C9137" s="4" t="s">
        <v>32730</v>
      </c>
      <c r="D9137" s="4" t="s">
        <v>32728</v>
      </c>
      <c r="E9137" s="4" t="s">
        <v>39657</v>
      </c>
      <c r="F9137" s="4" t="s">
        <v>32727</v>
      </c>
      <c r="G9137" s="4" t="s">
        <v>39657</v>
      </c>
      <c r="H9137" s="4" t="s">
        <v>39657</v>
      </c>
      <c r="I9137" s="4" t="s">
        <v>32719</v>
      </c>
    </row>
    <row r="9138" ht="14.25">
      <c r="B9138" s="4" t="s">
        <v>32735</v>
      </c>
      <c r="C9138" s="4" t="s">
        <v>32736</v>
      </c>
      <c r="D9138" s="4" t="s">
        <v>32733</v>
      </c>
      <c r="E9138" s="4" t="s">
        <v>39657</v>
      </c>
      <c r="F9138" s="4" t="s">
        <v>32732</v>
      </c>
      <c r="G9138" s="4" t="s">
        <v>39657</v>
      </c>
      <c r="H9138" s="4" t="s">
        <v>39657</v>
      </c>
      <c r="I9138" s="4" t="s">
        <v>32731</v>
      </c>
    </row>
    <row r="9139" ht="14.25">
      <c r="B9139" s="4" t="s">
        <v>10945</v>
      </c>
      <c r="C9139" s="4" t="s">
        <v>32736</v>
      </c>
      <c r="D9139" s="4" t="s">
        <v>32737</v>
      </c>
      <c r="E9139" s="4" t="s">
        <v>39657</v>
      </c>
      <c r="F9139" s="4" t="s">
        <v>32732</v>
      </c>
      <c r="G9139" s="4" t="s">
        <v>39657</v>
      </c>
      <c r="H9139" s="4" t="s">
        <v>39657</v>
      </c>
      <c r="I9139" s="4" t="s">
        <v>32731</v>
      </c>
    </row>
    <row r="9140" ht="14.25">
      <c r="B9140" s="4" t="s">
        <v>355</v>
      </c>
      <c r="C9140" s="4" t="s">
        <v>32741</v>
      </c>
      <c r="D9140" s="4" t="s">
        <v>32740</v>
      </c>
      <c r="E9140" s="4" t="s">
        <v>39657</v>
      </c>
      <c r="F9140" s="4" t="s">
        <v>32739</v>
      </c>
      <c r="G9140" s="4" t="s">
        <v>39657</v>
      </c>
      <c r="H9140" s="4" t="s">
        <v>39657</v>
      </c>
      <c r="I9140" s="4" t="s">
        <v>32738</v>
      </c>
    </row>
    <row r="9141" ht="14.25">
      <c r="B9141" s="4" t="s">
        <v>1732</v>
      </c>
      <c r="C9141" s="4" t="s">
        <v>32744</v>
      </c>
      <c r="D9141" s="4" t="s">
        <v>32743</v>
      </c>
      <c r="E9141" s="4" t="s">
        <v>39657</v>
      </c>
      <c r="F9141" s="4" t="s">
        <v>32742</v>
      </c>
      <c r="G9141" s="4" t="s">
        <v>39657</v>
      </c>
      <c r="H9141" s="4" t="s">
        <v>39657</v>
      </c>
      <c r="I9141" s="4" t="s">
        <v>32738</v>
      </c>
    </row>
    <row r="9142" ht="14.25">
      <c r="B9142" s="4" t="s">
        <v>6634</v>
      </c>
      <c r="C9142" s="4" t="s">
        <v>32736</v>
      </c>
      <c r="D9142" s="4" t="s">
        <v>32747</v>
      </c>
      <c r="E9142" s="4" t="s">
        <v>39657</v>
      </c>
      <c r="F9142" s="4" t="s">
        <v>32746</v>
      </c>
      <c r="G9142" s="4" t="s">
        <v>39657</v>
      </c>
      <c r="H9142" s="4" t="s">
        <v>39657</v>
      </c>
      <c r="I9142" s="4" t="s">
        <v>32745</v>
      </c>
    </row>
    <row r="9143" ht="14.25">
      <c r="B9143" s="4" t="s">
        <v>769</v>
      </c>
      <c r="C9143" s="4" t="s">
        <v>32752</v>
      </c>
      <c r="D9143" s="4" t="s">
        <v>32750</v>
      </c>
      <c r="E9143" s="4" t="s">
        <v>39657</v>
      </c>
      <c r="F9143" s="4" t="s">
        <v>32749</v>
      </c>
      <c r="G9143" s="4" t="s">
        <v>39657</v>
      </c>
      <c r="H9143" s="4" t="s">
        <v>39657</v>
      </c>
      <c r="I9143" s="4" t="s">
        <v>32748</v>
      </c>
    </row>
    <row r="9144" ht="14.25">
      <c r="B9144" s="4" t="s">
        <v>4977</v>
      </c>
      <c r="C9144" s="4" t="s">
        <v>32755</v>
      </c>
      <c r="D9144" s="4" t="s">
        <v>32754</v>
      </c>
      <c r="E9144" s="4" t="s">
        <v>39657</v>
      </c>
      <c r="F9144" s="4" t="s">
        <v>32753</v>
      </c>
      <c r="G9144" s="4" t="s">
        <v>39657</v>
      </c>
      <c r="H9144" s="4" t="s">
        <v>39657</v>
      </c>
      <c r="I9144" s="4" t="s">
        <v>32748</v>
      </c>
    </row>
    <row r="9145" ht="14.25">
      <c r="B9145" s="4" t="s">
        <v>32616</v>
      </c>
      <c r="C9145" s="4" t="s">
        <v>32757</v>
      </c>
      <c r="D9145" s="4" t="s">
        <v>32756</v>
      </c>
      <c r="E9145" s="4" t="s">
        <v>39657</v>
      </c>
      <c r="F9145" s="4" t="s">
        <v>32749</v>
      </c>
      <c r="G9145" s="4" t="s">
        <v>39657</v>
      </c>
      <c r="H9145" s="4" t="s">
        <v>39657</v>
      </c>
      <c r="I9145" s="4" t="s">
        <v>32748</v>
      </c>
    </row>
    <row r="9146" ht="14.25">
      <c r="B9146" s="4" t="s">
        <v>330</v>
      </c>
      <c r="C9146" s="4" t="s">
        <v>32762</v>
      </c>
      <c r="D9146" s="4" t="s">
        <v>32760</v>
      </c>
      <c r="E9146" s="4" t="s">
        <v>39657</v>
      </c>
      <c r="F9146" s="4" t="s">
        <v>32759</v>
      </c>
      <c r="G9146" s="4" t="s">
        <v>39657</v>
      </c>
      <c r="H9146" s="4" t="s">
        <v>39657</v>
      </c>
      <c r="I9146" s="4" t="s">
        <v>32758</v>
      </c>
    </row>
    <row r="9147" ht="14.25">
      <c r="B9147" s="4" t="s">
        <v>14276</v>
      </c>
      <c r="C9147" s="4" t="s">
        <v>32767</v>
      </c>
      <c r="D9147" s="4" t="s">
        <v>32765</v>
      </c>
      <c r="E9147" s="4" t="s">
        <v>39657</v>
      </c>
      <c r="F9147" s="4" t="s">
        <v>32764</v>
      </c>
      <c r="G9147" s="4" t="s">
        <v>39657</v>
      </c>
      <c r="H9147" s="4" t="s">
        <v>39657</v>
      </c>
      <c r="I9147" s="4" t="s">
        <v>32763</v>
      </c>
    </row>
    <row r="9148" ht="14.25">
      <c r="B9148" s="4" t="s">
        <v>95</v>
      </c>
      <c r="C9148" s="4" t="s">
        <v>32772</v>
      </c>
      <c r="D9148" s="4" t="s">
        <v>32770</v>
      </c>
      <c r="E9148" s="4" t="s">
        <v>39657</v>
      </c>
      <c r="F9148" s="4" t="s">
        <v>32769</v>
      </c>
      <c r="G9148" s="4" t="s">
        <v>39657</v>
      </c>
      <c r="H9148" s="4" t="s">
        <v>39657</v>
      </c>
      <c r="I9148" s="4" t="s">
        <v>32768</v>
      </c>
    </row>
    <row r="9149" ht="14.25">
      <c r="B9149" s="4" t="s">
        <v>32622</v>
      </c>
      <c r="C9149" s="4" t="s">
        <v>32776</v>
      </c>
      <c r="D9149" s="4" t="s">
        <v>32774</v>
      </c>
      <c r="E9149" s="4" t="s">
        <v>39657</v>
      </c>
      <c r="F9149" s="4" t="s">
        <v>32773</v>
      </c>
      <c r="G9149" s="4" t="s">
        <v>39657</v>
      </c>
      <c r="H9149" s="4" t="s">
        <v>39657</v>
      </c>
      <c r="I9149" s="4" t="s">
        <v>32768</v>
      </c>
    </row>
    <row r="9150" ht="14.25">
      <c r="B9150" s="4" t="s">
        <v>579</v>
      </c>
      <c r="C9150" s="4" t="s">
        <v>32780</v>
      </c>
      <c r="D9150" s="4" t="s">
        <v>32779</v>
      </c>
      <c r="E9150" s="4" t="s">
        <v>39657</v>
      </c>
      <c r="F9150" s="4" t="s">
        <v>32778</v>
      </c>
      <c r="G9150" s="4" t="s">
        <v>39657</v>
      </c>
      <c r="H9150" s="4" t="s">
        <v>39657</v>
      </c>
      <c r="I9150" s="4" t="s">
        <v>32777</v>
      </c>
    </row>
    <row r="9151" ht="14.25">
      <c r="B9151" s="4" t="s">
        <v>1740</v>
      </c>
      <c r="C9151" s="4" t="s">
        <v>32782</v>
      </c>
      <c r="D9151" s="4" t="s">
        <v>32781</v>
      </c>
      <c r="E9151" s="4" t="s">
        <v>39657</v>
      </c>
      <c r="F9151" s="4" t="s">
        <v>32778</v>
      </c>
      <c r="G9151" s="4" t="s">
        <v>39657</v>
      </c>
      <c r="H9151" s="4" t="s">
        <v>39657</v>
      </c>
      <c r="I9151" s="4" t="s">
        <v>32777</v>
      </c>
    </row>
    <row r="9152" ht="14.25">
      <c r="B9152" s="4" t="s">
        <v>32787</v>
      </c>
      <c r="C9152" s="4" t="s">
        <v>32788</v>
      </c>
      <c r="D9152" s="4" t="s">
        <v>32785</v>
      </c>
      <c r="E9152" s="4" t="s">
        <v>39657</v>
      </c>
      <c r="F9152" s="4" t="s">
        <v>32784</v>
      </c>
      <c r="G9152" s="4" t="s">
        <v>39657</v>
      </c>
      <c r="H9152" s="4" t="s">
        <v>39657</v>
      </c>
      <c r="I9152" s="4" t="s">
        <v>32783</v>
      </c>
    </row>
    <row r="9153" ht="14.25">
      <c r="B9153" s="4" t="s">
        <v>32622</v>
      </c>
      <c r="C9153" s="4" t="s">
        <v>32792</v>
      </c>
      <c r="D9153" s="4" t="s">
        <v>32790</v>
      </c>
      <c r="E9153" s="4" t="s">
        <v>39657</v>
      </c>
      <c r="F9153" s="4" t="s">
        <v>32789</v>
      </c>
      <c r="G9153" s="4" t="s">
        <v>39657</v>
      </c>
      <c r="H9153" s="4" t="s">
        <v>39657</v>
      </c>
      <c r="I9153" s="4" t="s">
        <v>32783</v>
      </c>
    </row>
    <row r="9154" ht="14.25">
      <c r="B9154" s="4" t="s">
        <v>4245</v>
      </c>
      <c r="C9154" s="4" t="s">
        <v>32797</v>
      </c>
      <c r="D9154" s="4" t="s">
        <v>32795</v>
      </c>
      <c r="E9154" s="4" t="s">
        <v>39657</v>
      </c>
      <c r="F9154" s="4" t="s">
        <v>32794</v>
      </c>
      <c r="G9154" s="4" t="s">
        <v>39657</v>
      </c>
      <c r="H9154" s="4" t="s">
        <v>39657</v>
      </c>
      <c r="I9154" s="4" t="s">
        <v>32793</v>
      </c>
    </row>
    <row r="9155" ht="14.25">
      <c r="B9155" s="4" t="s">
        <v>769</v>
      </c>
      <c r="C9155" s="4" t="s">
        <v>32801</v>
      </c>
      <c r="D9155" s="4" t="s">
        <v>32799</v>
      </c>
      <c r="E9155" s="4" t="s">
        <v>39657</v>
      </c>
      <c r="F9155" s="4" t="s">
        <v>32798</v>
      </c>
      <c r="G9155" s="4" t="s">
        <v>39657</v>
      </c>
      <c r="H9155" s="4" t="s">
        <v>39657</v>
      </c>
      <c r="I9155" s="4" t="s">
        <v>32793</v>
      </c>
    </row>
    <row r="9156" ht="14.25">
      <c r="B9156" s="4" t="s">
        <v>330</v>
      </c>
      <c r="C9156" s="4" t="s">
        <v>32805</v>
      </c>
      <c r="D9156" s="4" t="s">
        <v>32803</v>
      </c>
      <c r="E9156" s="4" t="s">
        <v>39657</v>
      </c>
      <c r="F9156" s="4" t="s">
        <v>32802</v>
      </c>
      <c r="G9156" s="4" t="s">
        <v>39657</v>
      </c>
      <c r="H9156" s="4" t="s">
        <v>39657</v>
      </c>
      <c r="I9156" s="4" t="s">
        <v>32793</v>
      </c>
    </row>
    <row r="9157" ht="14.25">
      <c r="B9157" s="4" t="s">
        <v>485</v>
      </c>
      <c r="C9157" s="4" t="s">
        <v>32809</v>
      </c>
      <c r="D9157" s="4" t="s">
        <v>32807</v>
      </c>
      <c r="E9157" s="4" t="s">
        <v>39657</v>
      </c>
      <c r="F9157" s="4" t="s">
        <v>32806</v>
      </c>
      <c r="G9157" s="4" t="s">
        <v>39657</v>
      </c>
      <c r="H9157" s="4" t="s">
        <v>39657</v>
      </c>
      <c r="I9157" s="4" t="s">
        <v>32793</v>
      </c>
    </row>
    <row r="9158" ht="14.25">
      <c r="B9158" s="4" t="s">
        <v>32813</v>
      </c>
      <c r="C9158" s="4" t="s">
        <v>32814</v>
      </c>
      <c r="D9158" s="4" t="s">
        <v>32811</v>
      </c>
      <c r="E9158" s="4" t="s">
        <v>39657</v>
      </c>
      <c r="F9158" s="4" t="s">
        <v>32810</v>
      </c>
      <c r="G9158" s="4" t="s">
        <v>39657</v>
      </c>
      <c r="H9158" s="4" t="s">
        <v>39657</v>
      </c>
      <c r="I9158" s="4" t="s">
        <v>32793</v>
      </c>
    </row>
    <row r="9159" ht="14.25">
      <c r="B9159" s="4" t="s">
        <v>32816</v>
      </c>
      <c r="C9159" s="4" t="s">
        <v>32817</v>
      </c>
      <c r="D9159" s="4" t="s">
        <v>32815</v>
      </c>
      <c r="E9159" s="4" t="s">
        <v>39657</v>
      </c>
      <c r="F9159" s="4" t="s">
        <v>32806</v>
      </c>
      <c r="G9159" s="4" t="s">
        <v>39657</v>
      </c>
      <c r="H9159" s="4" t="s">
        <v>39657</v>
      </c>
      <c r="I9159" s="4" t="s">
        <v>32793</v>
      </c>
    </row>
    <row r="9160" ht="14.25">
      <c r="B9160" s="4" t="s">
        <v>5111</v>
      </c>
      <c r="C9160" s="4" t="s">
        <v>32819</v>
      </c>
      <c r="D9160" s="4" t="s">
        <v>32818</v>
      </c>
      <c r="E9160" s="4" t="s">
        <v>39657</v>
      </c>
      <c r="F9160" s="4" t="s">
        <v>32806</v>
      </c>
      <c r="G9160" s="4" t="s">
        <v>39657</v>
      </c>
      <c r="H9160" s="4" t="s">
        <v>39657</v>
      </c>
      <c r="I9160" s="4" t="s">
        <v>32793</v>
      </c>
    </row>
    <row r="9161" ht="14.25">
      <c r="B9161" s="4" t="s">
        <v>32821</v>
      </c>
      <c r="C9161" s="4" t="s">
        <v>32814</v>
      </c>
      <c r="D9161" s="4" t="s">
        <v>32820</v>
      </c>
      <c r="E9161" s="4" t="s">
        <v>39657</v>
      </c>
      <c r="F9161" s="4" t="s">
        <v>32810</v>
      </c>
      <c r="G9161" s="4" t="s">
        <v>39657</v>
      </c>
      <c r="H9161" s="4" t="s">
        <v>39657</v>
      </c>
      <c r="I9161" s="4" t="s">
        <v>32793</v>
      </c>
    </row>
    <row r="9162" ht="14.25">
      <c r="B9162" s="4" t="s">
        <v>1387</v>
      </c>
      <c r="C9162" s="4" t="s">
        <v>32827</v>
      </c>
      <c r="D9162" s="4" t="s">
        <v>32825</v>
      </c>
      <c r="E9162" s="4" t="s">
        <v>39657</v>
      </c>
      <c r="F9162" s="4" t="s">
        <v>32824</v>
      </c>
      <c r="G9162" s="4" t="s">
        <v>39657</v>
      </c>
      <c r="H9162" s="4" t="s">
        <v>39657</v>
      </c>
      <c r="I9162" s="4" t="s">
        <v>32823</v>
      </c>
    </row>
    <row r="9163" ht="14.25">
      <c r="B9163" s="4" t="s">
        <v>32831</v>
      </c>
      <c r="C9163" s="4" t="s">
        <v>32832</v>
      </c>
      <c r="D9163" s="4" t="s">
        <v>32829</v>
      </c>
      <c r="E9163" s="4" t="s">
        <v>39657</v>
      </c>
      <c r="F9163" s="4" t="s">
        <v>32828</v>
      </c>
      <c r="G9163" s="4" t="s">
        <v>39657</v>
      </c>
      <c r="H9163" s="4" t="s">
        <v>39657</v>
      </c>
      <c r="I9163" s="4" t="s">
        <v>32823</v>
      </c>
    </row>
    <row r="9164" ht="14.25">
      <c r="B9164" s="4" t="s">
        <v>32831</v>
      </c>
      <c r="C9164" s="4" t="s">
        <v>32834</v>
      </c>
      <c r="D9164" s="4" t="s">
        <v>32833</v>
      </c>
      <c r="E9164" s="4" t="s">
        <v>39657</v>
      </c>
      <c r="F9164" s="4" t="s">
        <v>32824</v>
      </c>
      <c r="G9164" s="4" t="s">
        <v>39657</v>
      </c>
      <c r="H9164" s="4" t="s">
        <v>39657</v>
      </c>
      <c r="I9164" s="4" t="s">
        <v>32823</v>
      </c>
    </row>
    <row r="9165" ht="14.25">
      <c r="B9165" s="4" t="s">
        <v>76</v>
      </c>
      <c r="C9165" s="4" t="s">
        <v>32838</v>
      </c>
      <c r="D9165" s="4" t="s">
        <v>32837</v>
      </c>
      <c r="E9165" s="4" t="s">
        <v>39657</v>
      </c>
      <c r="F9165" s="4" t="s">
        <v>32836</v>
      </c>
      <c r="G9165" s="4" t="s">
        <v>39657</v>
      </c>
      <c r="H9165" s="4" t="s">
        <v>39657</v>
      </c>
      <c r="I9165" s="4" t="s">
        <v>32835</v>
      </c>
    </row>
    <row r="9166" ht="14.25">
      <c r="B9166" s="4" t="s">
        <v>4236</v>
      </c>
      <c r="C9166" s="4" t="s">
        <v>32843</v>
      </c>
      <c r="D9166" s="4" t="s">
        <v>32841</v>
      </c>
      <c r="E9166" s="4" t="s">
        <v>39657</v>
      </c>
      <c r="F9166" s="4" t="s">
        <v>32840</v>
      </c>
      <c r="G9166" s="4" t="s">
        <v>39657</v>
      </c>
      <c r="H9166" s="4" t="s">
        <v>39657</v>
      </c>
      <c r="I9166" s="4" t="s">
        <v>32839</v>
      </c>
    </row>
    <row r="9167" ht="14.25">
      <c r="B9167" s="4" t="s">
        <v>630</v>
      </c>
      <c r="C9167" s="4" t="s">
        <v>32845</v>
      </c>
      <c r="D9167" s="4" t="s">
        <v>32844</v>
      </c>
      <c r="E9167" s="4" t="s">
        <v>39657</v>
      </c>
      <c r="F9167" s="4" t="s">
        <v>32840</v>
      </c>
      <c r="G9167" s="4" t="s">
        <v>39657</v>
      </c>
      <c r="H9167" s="4" t="s">
        <v>39657</v>
      </c>
      <c r="I9167" s="4" t="s">
        <v>32839</v>
      </c>
    </row>
    <row r="9168" ht="14.25">
      <c r="B9168" s="4" t="s">
        <v>785</v>
      </c>
      <c r="C9168" s="4" t="s">
        <v>32847</v>
      </c>
      <c r="D9168" s="4" t="s">
        <v>32846</v>
      </c>
      <c r="E9168" s="4" t="s">
        <v>39657</v>
      </c>
      <c r="F9168" s="4" t="s">
        <v>32840</v>
      </c>
      <c r="G9168" s="4" t="s">
        <v>39657</v>
      </c>
      <c r="H9168" s="4" t="s">
        <v>39657</v>
      </c>
      <c r="I9168" s="4" t="s">
        <v>32839</v>
      </c>
    </row>
    <row r="9169" ht="14.25">
      <c r="B9169" s="4" t="s">
        <v>1732</v>
      </c>
      <c r="C9169" s="4" t="s">
        <v>32851</v>
      </c>
      <c r="D9169" s="4" t="s">
        <v>32850</v>
      </c>
      <c r="E9169" s="4" t="s">
        <v>39657</v>
      </c>
      <c r="F9169" s="4" t="s">
        <v>32849</v>
      </c>
      <c r="G9169" s="4" t="s">
        <v>39657</v>
      </c>
      <c r="H9169" s="4" t="s">
        <v>39657</v>
      </c>
      <c r="I9169" s="4" t="s">
        <v>32848</v>
      </c>
    </row>
    <row r="9170" ht="14.25">
      <c r="B9170" s="4" t="s">
        <v>330</v>
      </c>
      <c r="C9170" s="4" t="s">
        <v>32854</v>
      </c>
      <c r="D9170" s="4" t="s">
        <v>32853</v>
      </c>
      <c r="E9170" s="4" t="s">
        <v>39657</v>
      </c>
      <c r="F9170" s="4" t="s">
        <v>32852</v>
      </c>
      <c r="G9170" s="4" t="s">
        <v>39657</v>
      </c>
      <c r="H9170" s="4" t="s">
        <v>39657</v>
      </c>
      <c r="I9170" s="4" t="s">
        <v>32848</v>
      </c>
    </row>
    <row r="9171" ht="14.25">
      <c r="B9171" s="4" t="s">
        <v>32858</v>
      </c>
      <c r="C9171" s="4" t="s">
        <v>32859</v>
      </c>
      <c r="D9171" s="4" t="s">
        <v>32857</v>
      </c>
      <c r="E9171" s="4" t="s">
        <v>39657</v>
      </c>
      <c r="F9171" s="4" t="s">
        <v>32856</v>
      </c>
      <c r="G9171" s="4" t="s">
        <v>39657</v>
      </c>
      <c r="H9171" s="4" t="s">
        <v>39657</v>
      </c>
      <c r="I9171" s="4" t="s">
        <v>32855</v>
      </c>
    </row>
    <row r="9172" ht="14.25">
      <c r="B9172" s="4" t="s">
        <v>222</v>
      </c>
      <c r="C9172" s="4" t="s">
        <v>32863</v>
      </c>
      <c r="D9172" s="4" t="s">
        <v>32862</v>
      </c>
      <c r="E9172" s="4" t="s">
        <v>39657</v>
      </c>
      <c r="F9172" s="4" t="s">
        <v>32861</v>
      </c>
      <c r="G9172" s="4" t="s">
        <v>39657</v>
      </c>
      <c r="H9172" s="4" t="s">
        <v>39657</v>
      </c>
      <c r="I9172" s="4" t="s">
        <v>32860</v>
      </c>
    </row>
    <row r="9173" ht="14.25">
      <c r="B9173" s="4" t="s">
        <v>330</v>
      </c>
      <c r="C9173" s="4" t="s">
        <v>32868</v>
      </c>
      <c r="D9173" s="4" t="s">
        <v>32866</v>
      </c>
      <c r="E9173" s="4" t="s">
        <v>39657</v>
      </c>
      <c r="F9173" s="4" t="s">
        <v>32865</v>
      </c>
      <c r="G9173" s="4" t="s">
        <v>39657</v>
      </c>
      <c r="H9173" s="4" t="s">
        <v>39657</v>
      </c>
      <c r="I9173" s="4" t="s">
        <v>32864</v>
      </c>
    </row>
    <row r="9174" ht="14.25">
      <c r="B9174" s="4" t="s">
        <v>20</v>
      </c>
      <c r="C9174" s="4" t="s">
        <v>32873</v>
      </c>
      <c r="D9174" s="4" t="s">
        <v>32871</v>
      </c>
      <c r="E9174" s="4" t="s">
        <v>39657</v>
      </c>
      <c r="F9174" s="4" t="s">
        <v>32870</v>
      </c>
      <c r="G9174" s="4" t="s">
        <v>39657</v>
      </c>
      <c r="H9174" s="4" t="s">
        <v>39657</v>
      </c>
      <c r="I9174" s="4" t="s">
        <v>32869</v>
      </c>
    </row>
    <row r="9175" ht="14.25">
      <c r="B9175" s="4" t="s">
        <v>8944</v>
      </c>
      <c r="C9175" s="4" t="s">
        <v>32878</v>
      </c>
      <c r="D9175" s="4" t="s">
        <v>32876</v>
      </c>
      <c r="E9175" s="4" t="s">
        <v>39657</v>
      </c>
      <c r="F9175" s="4" t="s">
        <v>32875</v>
      </c>
      <c r="G9175" s="4" t="s">
        <v>39657</v>
      </c>
      <c r="H9175" s="4" t="s">
        <v>39657</v>
      </c>
      <c r="I9175" s="4" t="s">
        <v>32874</v>
      </c>
    </row>
    <row r="9176" ht="14.25">
      <c r="B9176" s="4" t="s">
        <v>1153</v>
      </c>
      <c r="C9176" s="4" t="s">
        <v>32949</v>
      </c>
      <c r="D9176" s="4" t="s">
        <v>32948</v>
      </c>
      <c r="E9176" s="4" t="s">
        <v>39657</v>
      </c>
      <c r="F9176" s="4" t="s">
        <v>32947</v>
      </c>
      <c r="G9176" s="4" t="s">
        <v>39657</v>
      </c>
      <c r="H9176" s="4" t="s">
        <v>39657</v>
      </c>
      <c r="I9176" s="4" t="s">
        <v>32942</v>
      </c>
    </row>
    <row r="9177" ht="14.25">
      <c r="B9177" s="4" t="s">
        <v>32958</v>
      </c>
      <c r="C9177" s="4" t="s">
        <v>32956</v>
      </c>
      <c r="D9177" s="4" t="s">
        <v>32957</v>
      </c>
      <c r="E9177" s="4" t="s">
        <v>39657</v>
      </c>
      <c r="F9177" s="4" t="s">
        <v>32947</v>
      </c>
      <c r="G9177" s="4" t="s">
        <v>39657</v>
      </c>
      <c r="H9177" s="4" t="s">
        <v>39657</v>
      </c>
      <c r="I9177" s="4" t="s">
        <v>32942</v>
      </c>
    </row>
    <row r="9178" ht="14.25">
      <c r="B9178" s="4" t="s">
        <v>255</v>
      </c>
      <c r="C9178" s="4" t="s">
        <v>34975</v>
      </c>
      <c r="D9178" s="4" t="s">
        <v>34974</v>
      </c>
      <c r="E9178" s="4" t="s">
        <v>39657</v>
      </c>
      <c r="F9178" s="4" t="s">
        <v>34969</v>
      </c>
      <c r="G9178" s="4" t="s">
        <v>39657</v>
      </c>
      <c r="H9178" s="4" t="s">
        <v>39657</v>
      </c>
      <c r="I9178" s="4" t="s">
        <v>34968</v>
      </c>
    </row>
    <row r="9179" ht="14.25">
      <c r="B9179" s="4" t="s">
        <v>808</v>
      </c>
      <c r="C9179" s="4" t="s">
        <v>36433</v>
      </c>
      <c r="D9179" s="4" t="s">
        <v>36432</v>
      </c>
      <c r="E9179" s="4" t="s">
        <v>39657</v>
      </c>
      <c r="F9179" s="4" t="s">
        <v>36391</v>
      </c>
      <c r="G9179" s="4" t="s">
        <v>39657</v>
      </c>
      <c r="H9179" s="4" t="s">
        <v>39657</v>
      </c>
      <c r="I9179" s="4" t="s">
        <v>36390</v>
      </c>
    </row>
    <row r="9180" ht="14.25">
      <c r="B9180" s="4" t="s">
        <v>21046</v>
      </c>
      <c r="C9180" s="4" t="s">
        <v>38121</v>
      </c>
      <c r="D9180" s="4" t="s">
        <v>38120</v>
      </c>
      <c r="E9180" s="4" t="s">
        <v>39657</v>
      </c>
      <c r="F9180" s="4" t="s">
        <v>38112</v>
      </c>
      <c r="G9180" s="4" t="s">
        <v>39657</v>
      </c>
      <c r="H9180" s="4" t="s">
        <v>39657</v>
      </c>
      <c r="I9180" s="4" t="s">
        <v>38111</v>
      </c>
    </row>
    <row r="9181" ht="14.25">
      <c r="B9181" s="4" t="s">
        <v>485</v>
      </c>
      <c r="C9181" s="4" t="s">
        <v>38127</v>
      </c>
      <c r="D9181" s="4" t="s">
        <v>38126</v>
      </c>
      <c r="E9181" s="4" t="s">
        <v>39657</v>
      </c>
      <c r="F9181" s="4" t="s">
        <v>38112</v>
      </c>
      <c r="G9181" s="4" t="s">
        <v>39657</v>
      </c>
      <c r="H9181" s="4" t="s">
        <v>39657</v>
      </c>
      <c r="I9181" s="4" t="s">
        <v>38111</v>
      </c>
    </row>
    <row r="9184" ht="14.25">
      <c r="B9184" s="17" t="s">
        <v>1</v>
      </c>
      <c r="C9184" s="17" t="s">
        <v>2</v>
      </c>
      <c r="D9184" s="17" t="s">
        <v>3</v>
      </c>
      <c r="E9184" s="6"/>
      <c r="F9184" s="17" t="s">
        <v>4</v>
      </c>
      <c r="G9184" s="17" t="s">
        <v>5</v>
      </c>
      <c r="H9184" s="17" t="s">
        <v>6</v>
      </c>
      <c r="I9184" s="17" t="s">
        <v>7</v>
      </c>
      <c r="J9184" s="17" t="s">
        <v>8</v>
      </c>
      <c r="K9184" s="17" t="s">
        <v>9</v>
      </c>
      <c r="L9184" s="17" t="s">
        <v>10</v>
      </c>
      <c r="M9184" s="17" t="s">
        <v>11</v>
      </c>
      <c r="N9184" s="17" t="s">
        <v>12</v>
      </c>
      <c r="O9184" s="17" t="s">
        <v>13</v>
      </c>
      <c r="P9184" s="17" t="s">
        <v>14</v>
      </c>
      <c r="Q9184" s="17" t="s">
        <v>15</v>
      </c>
      <c r="R9184" s="17" t="s">
        <v>16</v>
      </c>
      <c r="S9184" s="17" t="s">
        <v>17</v>
      </c>
      <c r="T9184" s="17" t="s">
        <v>18</v>
      </c>
      <c r="U9184" s="17" t="s">
        <v>19</v>
      </c>
    </row>
    <row r="9185" ht="14.25">
      <c r="B9185" s="18" t="s">
        <v>20</v>
      </c>
      <c r="C9185" s="18" t="s">
        <v>39658</v>
      </c>
      <c r="D9185" s="18" t="s">
        <v>62</v>
      </c>
      <c r="E9185" s="18" t="s">
        <v>39659</v>
      </c>
      <c r="F9185" s="18" t="str">
        <f>IFERROR(__XLUDF.DUMMYFUNCTION("PROPER(REGEXREPLACE(D2,""[^A-Za-z]+ "",""""))"),"Ocho")</f>
        <v>Ocho</v>
      </c>
      <c r="G9185" s="18" t="s">
        <v>39660</v>
      </c>
      <c r="H9185" s="18">
        <v>25</v>
      </c>
      <c r="I9185" s="18" t="s">
        <v>39661</v>
      </c>
      <c r="J9185" s="5" t="s">
        <v>39662</v>
      </c>
      <c r="K9185" s="5" t="s">
        <v>39663</v>
      </c>
      <c r="L9185" s="18" t="s">
        <v>27718</v>
      </c>
      <c r="M9185" s="18" t="s">
        <v>29</v>
      </c>
      <c r="N9185" s="18" t="s">
        <v>39664</v>
      </c>
      <c r="O9185" s="18" t="s">
        <v>1261</v>
      </c>
      <c r="P9185" s="18" t="s">
        <v>39665</v>
      </c>
      <c r="Q9185" s="6"/>
      <c r="R9185" s="6"/>
      <c r="S9185" s="6"/>
      <c r="T9185" s="6"/>
      <c r="U9185" s="6"/>
    </row>
    <row r="9186" ht="14.25">
      <c r="B9186" s="18" t="s">
        <v>6931</v>
      </c>
      <c r="C9186" s="18" t="s">
        <v>39666</v>
      </c>
      <c r="D9186" s="18" t="s">
        <v>87</v>
      </c>
      <c r="E9186" s="18" t="s">
        <v>39667</v>
      </c>
      <c r="F9186" s="18" t="str">
        <f>IFERROR(__XLUDF.DUMMYFUNCTION("PROPER(REGEXREPLACE(D3,""[^A-Za-z]+ "",""""))"),"Ilona")</f>
        <v>Ilona</v>
      </c>
      <c r="G9186" s="18" t="s">
        <v>39668</v>
      </c>
      <c r="H9186" s="18">
        <v>12</v>
      </c>
      <c r="I9186" s="18" t="s">
        <v>39661</v>
      </c>
      <c r="J9186" s="5" t="s">
        <v>39669</v>
      </c>
      <c r="K9186" s="5" t="s">
        <v>39670</v>
      </c>
      <c r="L9186" s="18" t="s">
        <v>1711</v>
      </c>
      <c r="M9186" s="18" t="s">
        <v>29</v>
      </c>
      <c r="N9186" s="6"/>
      <c r="O9186" s="6"/>
      <c r="P9186" s="18" t="s">
        <v>39671</v>
      </c>
      <c r="Q9186" s="6"/>
      <c r="R9186" s="6"/>
      <c r="S9186" s="6"/>
      <c r="T9186" s="6"/>
      <c r="U9186" s="6"/>
    </row>
    <row r="9187" ht="14.25">
      <c r="B9187" s="18" t="s">
        <v>661</v>
      </c>
      <c r="C9187" s="18" t="s">
        <v>39672</v>
      </c>
      <c r="D9187" s="18" t="s">
        <v>112</v>
      </c>
      <c r="E9187" s="18" t="s">
        <v>39673</v>
      </c>
      <c r="F9187" s="18" t="str">
        <f>IFERROR(__XLUDF.DUMMYFUNCTION("PROPER(REGEXREPLACE(D4,""[^A-Za-z]+ "",""""))"),"Cardinal Patrimoine")</f>
        <v xml:space="preserve">Cardinal Patrimoine</v>
      </c>
      <c r="G9187" s="18" t="s">
        <v>39674</v>
      </c>
      <c r="H9187" s="18">
        <v>2</v>
      </c>
      <c r="I9187" s="18" t="s">
        <v>39661</v>
      </c>
      <c r="J9187" s="5" t="s">
        <v>39675</v>
      </c>
      <c r="K9187" s="5" t="s">
        <v>39676</v>
      </c>
      <c r="L9187" s="18" t="s">
        <v>1780</v>
      </c>
      <c r="M9187" s="18" t="s">
        <v>29</v>
      </c>
      <c r="N9187" s="18" t="s">
        <v>21067</v>
      </c>
      <c r="O9187" s="18" t="s">
        <v>29</v>
      </c>
      <c r="P9187" s="6"/>
      <c r="Q9187" s="6"/>
      <c r="R9187" s="6"/>
      <c r="S9187" s="6"/>
      <c r="T9187" s="6"/>
      <c r="U9187" s="6"/>
    </row>
    <row r="9188" ht="14.25">
      <c r="B9188" s="18" t="s">
        <v>1009</v>
      </c>
      <c r="C9188" s="18" t="s">
        <v>39677</v>
      </c>
      <c r="D9188" s="18" t="s">
        <v>164</v>
      </c>
      <c r="E9188" s="18" t="s">
        <v>39678</v>
      </c>
      <c r="F9188" s="18" t="str">
        <f>IFERROR(__XLUDF.DUMMYFUNCTION("PROPER(REGEXREPLACE(D5,""[^A-Za-z]+ "",""""))"),"Verifimmo")</f>
        <v>Verifimmo</v>
      </c>
      <c r="G9188" s="18" t="s">
        <v>39679</v>
      </c>
      <c r="H9188" s="18">
        <v>18</v>
      </c>
      <c r="I9188" s="18" t="s">
        <v>39661</v>
      </c>
      <c r="J9188" s="5" t="s">
        <v>39680</v>
      </c>
      <c r="K9188" s="5" t="s">
        <v>39681</v>
      </c>
      <c r="L9188" s="18" t="s">
        <v>39682</v>
      </c>
      <c r="M9188" s="18" t="s">
        <v>29</v>
      </c>
      <c r="N9188" s="18" t="s">
        <v>39683</v>
      </c>
      <c r="O9188" s="18" t="s">
        <v>29</v>
      </c>
      <c r="P9188" s="18" t="s">
        <v>39684</v>
      </c>
      <c r="Q9188" s="6"/>
      <c r="R9188" s="6"/>
      <c r="S9188" s="6"/>
      <c r="T9188" s="6"/>
      <c r="U9188" s="6"/>
    </row>
    <row r="9189" ht="14.25">
      <c r="B9189" s="18" t="s">
        <v>485</v>
      </c>
      <c r="C9189" s="18" t="s">
        <v>39685</v>
      </c>
      <c r="D9189" s="18" t="s">
        <v>172</v>
      </c>
      <c r="E9189" s="18" t="s">
        <v>39686</v>
      </c>
      <c r="F9189" s="18" t="str">
        <f>IFERROR(__XLUDF.DUMMYFUNCTION("PROPER(REGEXREPLACE(D6,""[^A-Za-z]+ "",""""))"),"Unalis Mutuelles")</f>
        <v xml:space="preserve">Unalis Mutuelles</v>
      </c>
      <c r="G9189" s="18" t="s">
        <v>39687</v>
      </c>
      <c r="H9189" s="18">
        <v>8</v>
      </c>
      <c r="I9189" s="18" t="s">
        <v>39661</v>
      </c>
      <c r="J9189" s="5" t="s">
        <v>39688</v>
      </c>
      <c r="K9189" s="5" t="s">
        <v>39689</v>
      </c>
      <c r="L9189" s="18" t="s">
        <v>1015</v>
      </c>
      <c r="M9189" s="18" t="s">
        <v>29</v>
      </c>
      <c r="N9189" s="18" t="s">
        <v>3036</v>
      </c>
      <c r="O9189" s="18" t="s">
        <v>29</v>
      </c>
      <c r="P9189" s="6"/>
      <c r="Q9189" s="6"/>
      <c r="R9189" s="6"/>
      <c r="S9189" s="6"/>
      <c r="T9189" s="6"/>
      <c r="U9189" s="6"/>
    </row>
    <row r="9190" ht="14.25">
      <c r="B9190" s="18" t="s">
        <v>39690</v>
      </c>
      <c r="C9190" s="18" t="s">
        <v>14613</v>
      </c>
      <c r="D9190" s="18" t="s">
        <v>39691</v>
      </c>
      <c r="E9190" s="18" t="s">
        <v>39692</v>
      </c>
      <c r="F9190" s="18" t="str">
        <f>IFERROR(__XLUDF.DUMMYFUNCTION("PROPER(REGEXREPLACE(D7,""[^A-Za-z]+ "",""""))"),"Lola Health")</f>
        <v xml:space="preserve">Lola Health</v>
      </c>
      <c r="G9190" s="18" t="s">
        <v>39693</v>
      </c>
      <c r="H9190" s="18">
        <v>15</v>
      </c>
      <c r="I9190" s="18" t="s">
        <v>39661</v>
      </c>
      <c r="J9190" s="5" t="s">
        <v>39694</v>
      </c>
      <c r="K9190" s="5" t="s">
        <v>39695</v>
      </c>
      <c r="L9190" s="18" t="s">
        <v>39</v>
      </c>
      <c r="M9190" s="18" t="s">
        <v>29</v>
      </c>
      <c r="N9190" s="18" t="s">
        <v>67</v>
      </c>
      <c r="O9190" s="18" t="s">
        <v>29</v>
      </c>
      <c r="P9190" s="18" t="s">
        <v>39696</v>
      </c>
      <c r="Q9190" s="6"/>
      <c r="R9190" s="6"/>
      <c r="S9190" s="6"/>
      <c r="T9190" s="6"/>
      <c r="U9190" s="6"/>
    </row>
    <row r="9191" ht="14.25">
      <c r="B9191" s="18" t="s">
        <v>12073</v>
      </c>
      <c r="C9191" s="18" t="s">
        <v>39697</v>
      </c>
      <c r="D9191" s="18" t="s">
        <v>172</v>
      </c>
      <c r="E9191" s="18" t="s">
        <v>39698</v>
      </c>
      <c r="F9191" s="18" t="str">
        <f>IFERROR(__XLUDF.DUMMYFUNCTION("PROPER(REGEXREPLACE(D8,""[^A-Za-z]+ "",""""))"),"Cea")</f>
        <v>Cea</v>
      </c>
      <c r="G9191" s="18" t="s">
        <v>39699</v>
      </c>
      <c r="H9191" s="18">
        <v>46</v>
      </c>
      <c r="I9191" s="18" t="s">
        <v>39661</v>
      </c>
      <c r="J9191" s="5" t="s">
        <v>39700</v>
      </c>
      <c r="K9191" s="5" t="s">
        <v>39701</v>
      </c>
      <c r="L9191" s="18" t="s">
        <v>39</v>
      </c>
      <c r="M9191" s="18" t="s">
        <v>29</v>
      </c>
      <c r="N9191" s="18" t="s">
        <v>39702</v>
      </c>
      <c r="O9191" s="18" t="s">
        <v>29</v>
      </c>
      <c r="P9191" s="18" t="s">
        <v>39703</v>
      </c>
      <c r="Q9191" s="6"/>
      <c r="R9191" s="6"/>
      <c r="S9191" s="6"/>
      <c r="T9191" s="6"/>
      <c r="U9191" s="6"/>
    </row>
    <row r="9192" ht="14.25">
      <c r="B9192" s="18" t="s">
        <v>808</v>
      </c>
      <c r="C9192" s="18" t="s">
        <v>39704</v>
      </c>
      <c r="D9192" s="18" t="s">
        <v>172</v>
      </c>
      <c r="E9192" s="18" t="s">
        <v>39705</v>
      </c>
      <c r="F9192" s="18" t="str">
        <f>IFERROR(__XLUDF.DUMMYFUNCTION("PROPER(REGEXREPLACE(D9,""[^A-Za-z]+ "",""""))"),"Jp Labalette")</f>
        <v xml:space="preserve">Jp Labalette</v>
      </c>
      <c r="G9192" s="18" t="s">
        <v>39706</v>
      </c>
      <c r="H9192" s="18">
        <v>13</v>
      </c>
      <c r="I9192" s="18" t="s">
        <v>39661</v>
      </c>
      <c r="J9192" s="5" t="s">
        <v>39707</v>
      </c>
      <c r="K9192" s="5" t="s">
        <v>39708</v>
      </c>
      <c r="L9192" s="18" t="s">
        <v>39</v>
      </c>
      <c r="M9192" s="18" t="s">
        <v>29</v>
      </c>
      <c r="N9192" s="18" t="s">
        <v>67</v>
      </c>
      <c r="O9192" s="18" t="s">
        <v>29</v>
      </c>
      <c r="P9192" s="6"/>
      <c r="Q9192" s="6"/>
      <c r="R9192" s="6"/>
      <c r="S9192" s="6"/>
      <c r="T9192" s="6"/>
      <c r="U9192" s="6"/>
    </row>
    <row r="9193" ht="14.25">
      <c r="B9193" s="18" t="s">
        <v>52</v>
      </c>
      <c r="C9193" s="18" t="s">
        <v>39709</v>
      </c>
      <c r="D9193" s="18" t="s">
        <v>44</v>
      </c>
      <c r="E9193" s="18" t="s">
        <v>39710</v>
      </c>
      <c r="F9193" s="18" t="str">
        <f>IFERROR(__XLUDF.DUMMYFUNCTION("PROPER(REGEXREPLACE(D10,""[^A-Za-z]+ "",""""))"),"Secursus")</f>
        <v>Secursus</v>
      </c>
      <c r="G9193" s="18" t="s">
        <v>39711</v>
      </c>
      <c r="H9193" s="18">
        <v>11</v>
      </c>
      <c r="I9193" s="18" t="s">
        <v>39661</v>
      </c>
      <c r="J9193" s="5" t="s">
        <v>39712</v>
      </c>
      <c r="K9193" s="5" t="s">
        <v>39713</v>
      </c>
      <c r="L9193" s="18" t="s">
        <v>39</v>
      </c>
      <c r="M9193" s="18" t="s">
        <v>29</v>
      </c>
      <c r="N9193" s="18" t="s">
        <v>39714</v>
      </c>
      <c r="O9193" s="18" t="s">
        <v>29</v>
      </c>
      <c r="P9193" s="18" t="s">
        <v>39715</v>
      </c>
      <c r="Q9193" s="6"/>
      <c r="R9193" s="6"/>
      <c r="S9193" s="6"/>
      <c r="T9193" s="6"/>
      <c r="U9193" s="6"/>
    </row>
    <row r="9194" ht="14.25">
      <c r="B9194" s="18" t="s">
        <v>9922</v>
      </c>
      <c r="C9194" s="18" t="s">
        <v>39716</v>
      </c>
      <c r="D9194" s="18" t="s">
        <v>39717</v>
      </c>
      <c r="E9194" s="18" t="s">
        <v>39718</v>
      </c>
      <c r="F9194" s="18" t="str">
        <f>IFERROR(__XLUDF.DUMMYFUNCTION("PROPER(REGEXREPLACE(D11,""[^A-Za-z]+ "",""""))"),"Coverfield")</f>
        <v>Coverfield</v>
      </c>
      <c r="G9194" s="18" t="s">
        <v>39719</v>
      </c>
      <c r="H9194" s="18">
        <v>3</v>
      </c>
      <c r="I9194" s="18" t="s">
        <v>39661</v>
      </c>
      <c r="J9194" s="5" t="s">
        <v>39720</v>
      </c>
      <c r="K9194" s="5" t="s">
        <v>39721</v>
      </c>
      <c r="L9194" s="18" t="s">
        <v>846</v>
      </c>
      <c r="M9194" s="18" t="s">
        <v>29</v>
      </c>
      <c r="N9194" s="18" t="s">
        <v>39722</v>
      </c>
      <c r="O9194" s="18" t="s">
        <v>1152</v>
      </c>
      <c r="P9194" s="6"/>
      <c r="Q9194" s="6"/>
      <c r="R9194" s="6"/>
      <c r="S9194" s="6"/>
      <c r="T9194" s="6"/>
      <c r="U9194" s="6"/>
    </row>
    <row r="9195" ht="14.25">
      <c r="B9195" s="18" t="s">
        <v>29037</v>
      </c>
      <c r="C9195" s="18" t="s">
        <v>39723</v>
      </c>
      <c r="D9195" s="18" t="s">
        <v>87</v>
      </c>
      <c r="E9195" s="18" t="s">
        <v>39724</v>
      </c>
      <c r="F9195" s="18" t="str">
        <f>IFERROR(__XLUDF.DUMMYFUNCTION("PROPER(REGEXREPLACE(D12,""[^A-Za-z]+ "",""""))"),"Reaa Consulting")</f>
        <v xml:space="preserve">Reaa Consulting</v>
      </c>
      <c r="G9195" s="18" t="s">
        <v>39725</v>
      </c>
      <c r="H9195" s="18">
        <v>3</v>
      </c>
      <c r="I9195" s="18" t="s">
        <v>39661</v>
      </c>
      <c r="J9195" s="5" t="s">
        <v>39726</v>
      </c>
      <c r="K9195" s="5" t="s">
        <v>39727</v>
      </c>
      <c r="L9195" s="18" t="s">
        <v>716</v>
      </c>
      <c r="M9195" s="18" t="s">
        <v>29</v>
      </c>
      <c r="N9195" s="18" t="s">
        <v>2515</v>
      </c>
      <c r="O9195" s="18" t="s">
        <v>29</v>
      </c>
      <c r="P9195" s="6"/>
      <c r="Q9195" s="6"/>
      <c r="R9195" s="6"/>
      <c r="S9195" s="6"/>
      <c r="T9195" s="6"/>
      <c r="U9195" s="6"/>
    </row>
    <row r="9196" ht="14.25">
      <c r="B9196" s="18" t="s">
        <v>39728</v>
      </c>
      <c r="C9196" s="18" t="s">
        <v>39729</v>
      </c>
      <c r="D9196" s="18" t="s">
        <v>112</v>
      </c>
      <c r="E9196" s="18" t="s">
        <v>39730</v>
      </c>
      <c r="F9196" s="18" t="str">
        <f>IFERROR(__XLUDF.DUMMYFUNCTION("PROPER(REGEXREPLACE(D13,""[^A-Za-z]+ "",""""))"),"Innocourtage")</f>
        <v>Innocourtage</v>
      </c>
      <c r="G9196" s="18" t="s">
        <v>39731</v>
      </c>
      <c r="H9196" s="18">
        <v>5</v>
      </c>
      <c r="I9196" s="18" t="s">
        <v>39661</v>
      </c>
      <c r="J9196" s="5" t="s">
        <v>39732</v>
      </c>
      <c r="K9196" s="5" t="s">
        <v>39733</v>
      </c>
      <c r="L9196" s="18" t="s">
        <v>2650</v>
      </c>
      <c r="M9196" s="18" t="s">
        <v>29</v>
      </c>
      <c r="N9196" s="18" t="s">
        <v>39734</v>
      </c>
      <c r="O9196" s="18" t="s">
        <v>29</v>
      </c>
      <c r="P9196" s="6"/>
      <c r="Q9196" s="6"/>
      <c r="R9196" s="6"/>
      <c r="S9196" s="6"/>
      <c r="T9196" s="6"/>
      <c r="U9196" s="6"/>
    </row>
    <row r="9197" ht="14.25">
      <c r="B9197" s="18" t="s">
        <v>170</v>
      </c>
      <c r="C9197" s="18" t="s">
        <v>6154</v>
      </c>
      <c r="D9197" s="18" t="s">
        <v>172</v>
      </c>
      <c r="E9197" s="18" t="s">
        <v>39735</v>
      </c>
      <c r="F9197" s="18" t="str">
        <f>IFERROR(__XLUDF.DUMMYFUNCTION("PROPER(REGEXREPLACE(D14,""[^A-Za-z]+ "",""""))"),"Assurances Coste-Fermon")</f>
        <v xml:space="preserve">Assurances Coste-Fermon</v>
      </c>
      <c r="G9197" s="18" t="s">
        <v>39736</v>
      </c>
      <c r="H9197" s="18">
        <v>36</v>
      </c>
      <c r="I9197" s="18" t="s">
        <v>39661</v>
      </c>
      <c r="J9197" s="5" t="s">
        <v>39737</v>
      </c>
      <c r="K9197" s="5" t="s">
        <v>39738</v>
      </c>
      <c r="L9197" s="18" t="s">
        <v>846</v>
      </c>
      <c r="M9197" s="18" t="s">
        <v>29</v>
      </c>
      <c r="N9197" s="18" t="s">
        <v>39739</v>
      </c>
      <c r="O9197" s="18" t="s">
        <v>29</v>
      </c>
      <c r="P9197" s="18" t="s">
        <v>39740</v>
      </c>
      <c r="Q9197" s="6"/>
      <c r="R9197" s="6"/>
      <c r="S9197" s="6"/>
      <c r="T9197" s="6"/>
      <c r="U9197" s="6"/>
    </row>
    <row r="9198" ht="14.25">
      <c r="B9198" s="18" t="s">
        <v>7069</v>
      </c>
      <c r="C9198" s="18" t="s">
        <v>39741</v>
      </c>
      <c r="D9198" s="18" t="s">
        <v>112</v>
      </c>
      <c r="E9198" s="18" t="s">
        <v>39742</v>
      </c>
      <c r="F9198" s="18" t="str">
        <f>IFERROR(__XLUDF.DUMMYFUNCTION("PROPER(REGEXREPLACE(D15,""[^A-Za-z]+ "",""""))"),"Chevreuse Courtage")</f>
        <v xml:space="preserve">Chevreuse Courtage</v>
      </c>
      <c r="G9198" s="18" t="s">
        <v>39743</v>
      </c>
      <c r="H9198" s="18">
        <v>22</v>
      </c>
      <c r="I9198" s="18" t="s">
        <v>39661</v>
      </c>
      <c r="J9198" s="5" t="s">
        <v>39744</v>
      </c>
      <c r="K9198" s="5" t="s">
        <v>39745</v>
      </c>
      <c r="L9198" s="18" t="s">
        <v>39</v>
      </c>
      <c r="M9198" s="18" t="s">
        <v>29</v>
      </c>
      <c r="N9198" s="18" t="s">
        <v>39746</v>
      </c>
      <c r="O9198" s="18" t="s">
        <v>29</v>
      </c>
      <c r="P9198" s="18" t="s">
        <v>39747</v>
      </c>
      <c r="Q9198" s="6"/>
      <c r="R9198" s="6"/>
      <c r="S9198" s="6"/>
      <c r="T9198" s="6"/>
      <c r="U9198" s="6"/>
    </row>
    <row r="9199" ht="14.25">
      <c r="B9199" s="18" t="s">
        <v>653</v>
      </c>
      <c r="C9199" s="18" t="s">
        <v>39748</v>
      </c>
      <c r="D9199" s="18" t="s">
        <v>39749</v>
      </c>
      <c r="E9199" s="18" t="s">
        <v>39750</v>
      </c>
      <c r="F9199" s="18" t="str">
        <f>IFERROR(__XLUDF.DUMMYFUNCTION("PROPER(REGEXREPLACE(D16,""[^A-Za-z]+ "",""""))"),"Cnc Expertise")</f>
        <v xml:space="preserve">Cnc Expertise</v>
      </c>
      <c r="G9199" s="18" t="s">
        <v>39751</v>
      </c>
      <c r="H9199" s="18">
        <v>6</v>
      </c>
      <c r="I9199" s="18" t="s">
        <v>39661</v>
      </c>
      <c r="J9199" s="5" t="s">
        <v>39752</v>
      </c>
      <c r="K9199" s="5" t="s">
        <v>39753</v>
      </c>
      <c r="L9199" s="6"/>
      <c r="M9199" s="18" t="s">
        <v>29</v>
      </c>
      <c r="N9199" s="18" t="s">
        <v>39754</v>
      </c>
      <c r="O9199" s="18" t="s">
        <v>29</v>
      </c>
      <c r="P9199" s="6"/>
      <c r="Q9199" s="6"/>
      <c r="R9199" s="6"/>
      <c r="S9199" s="6"/>
      <c r="T9199" s="6"/>
      <c r="U9199" s="6"/>
    </row>
    <row r="9200" ht="14.25">
      <c r="B9200" s="18" t="s">
        <v>39755</v>
      </c>
      <c r="C9200" s="18" t="s">
        <v>39704</v>
      </c>
      <c r="D9200" s="18" t="s">
        <v>426</v>
      </c>
      <c r="E9200" s="18" t="s">
        <v>39705</v>
      </c>
      <c r="F9200" s="18" t="str">
        <f>IFERROR(__XLUDF.DUMMYFUNCTION("PROPER(REGEXREPLACE(D17,""[^A-Za-z]+ "",""""))"),"Jp Labalette")</f>
        <v xml:space="preserve">Jp Labalette</v>
      </c>
      <c r="G9200" s="18" t="s">
        <v>39756</v>
      </c>
      <c r="H9200" s="18">
        <v>13</v>
      </c>
      <c r="I9200" s="18" t="s">
        <v>39661</v>
      </c>
      <c r="J9200" s="5" t="s">
        <v>39757</v>
      </c>
      <c r="K9200" s="5" t="s">
        <v>39708</v>
      </c>
      <c r="L9200" s="18" t="s">
        <v>39</v>
      </c>
      <c r="M9200" s="18" t="s">
        <v>29</v>
      </c>
      <c r="N9200" s="18" t="s">
        <v>67</v>
      </c>
      <c r="O9200" s="18" t="s">
        <v>29</v>
      </c>
      <c r="P9200" s="6"/>
      <c r="Q9200" s="6"/>
      <c r="R9200" s="6"/>
      <c r="S9200" s="6"/>
      <c r="T9200" s="6"/>
      <c r="U9200" s="6"/>
    </row>
    <row r="9201" ht="14.25">
      <c r="B9201" s="18" t="s">
        <v>39758</v>
      </c>
      <c r="C9201" s="18" t="s">
        <v>39759</v>
      </c>
      <c r="D9201" s="18" t="s">
        <v>39760</v>
      </c>
      <c r="E9201" s="18" t="s">
        <v>39761</v>
      </c>
      <c r="F9201" s="18" t="str">
        <f>IFERROR(__XLUDF.DUMMYFUNCTION("PROPER(REGEXREPLACE(D18,""[^A-Za-z]+ "",""""))"),"Calipso Assurances")</f>
        <v xml:space="preserve">Calipso Assurances</v>
      </c>
      <c r="G9201" s="18" t="s">
        <v>39762</v>
      </c>
      <c r="H9201" s="18">
        <v>14</v>
      </c>
      <c r="I9201" s="18" t="s">
        <v>39661</v>
      </c>
      <c r="J9201" s="5" t="s">
        <v>39763</v>
      </c>
      <c r="K9201" s="5" t="s">
        <v>39764</v>
      </c>
      <c r="L9201" s="18" t="s">
        <v>39</v>
      </c>
      <c r="M9201" s="18" t="s">
        <v>29</v>
      </c>
      <c r="N9201" s="18" t="s">
        <v>67</v>
      </c>
      <c r="O9201" s="18" t="s">
        <v>29</v>
      </c>
      <c r="P9201" s="6"/>
      <c r="Q9201" s="6"/>
      <c r="R9201" s="6"/>
      <c r="S9201" s="6"/>
      <c r="T9201" s="6"/>
      <c r="U9201" s="6"/>
    </row>
    <row r="9202" ht="14.25">
      <c r="B9202" s="18" t="s">
        <v>1153</v>
      </c>
      <c r="C9202" s="18" t="s">
        <v>39765</v>
      </c>
      <c r="D9202" s="18" t="s">
        <v>172</v>
      </c>
      <c r="E9202" s="18" t="s">
        <v>39766</v>
      </c>
      <c r="F9202" s="18" t="str">
        <f>IFERROR(__XLUDF.DUMMYFUNCTION("PROPER(REGEXREPLACE(D19,""[^A-Za-z]+ "",""""))"),"Somec")</f>
        <v>Somec</v>
      </c>
      <c r="G9202" s="18" t="s">
        <v>39767</v>
      </c>
      <c r="H9202" s="18">
        <v>24</v>
      </c>
      <c r="I9202" s="18" t="s">
        <v>39661</v>
      </c>
      <c r="J9202" s="5" t="s">
        <v>39768</v>
      </c>
      <c r="K9202" s="5" t="s">
        <v>39769</v>
      </c>
      <c r="L9202" s="18" t="s">
        <v>3848</v>
      </c>
      <c r="M9202" s="18" t="s">
        <v>29</v>
      </c>
      <c r="N9202" s="18" t="s">
        <v>24879</v>
      </c>
      <c r="O9202" s="18" t="s">
        <v>24879</v>
      </c>
      <c r="P9202" s="6"/>
      <c r="Q9202" s="6"/>
      <c r="R9202" s="6"/>
      <c r="S9202" s="6"/>
      <c r="T9202" s="6"/>
      <c r="U9202" s="6"/>
    </row>
    <row r="9203" ht="14.25">
      <c r="B9203" s="18" t="s">
        <v>785</v>
      </c>
      <c r="C9203" s="18" t="s">
        <v>39770</v>
      </c>
      <c r="D9203" s="18" t="s">
        <v>247</v>
      </c>
      <c r="E9203" s="18" t="s">
        <v>39771</v>
      </c>
      <c r="F9203" s="18" t="str">
        <f>IFERROR(__XLUDF.DUMMYFUNCTION("PROPER(REGEXREPLACE(D20,""[^A-Za-z]+ "",""""))"),"Coverd")</f>
        <v>Coverd</v>
      </c>
      <c r="G9203" s="18" t="s">
        <v>39772</v>
      </c>
      <c r="H9203" s="18">
        <v>11</v>
      </c>
      <c r="I9203" s="18" t="s">
        <v>39661</v>
      </c>
      <c r="J9203" s="5" t="s">
        <v>39773</v>
      </c>
      <c r="K9203" s="5" t="s">
        <v>39774</v>
      </c>
      <c r="L9203" s="18" t="s">
        <v>39</v>
      </c>
      <c r="M9203" s="18" t="s">
        <v>29</v>
      </c>
      <c r="N9203" s="18" t="s">
        <v>39775</v>
      </c>
      <c r="O9203" s="18" t="s">
        <v>29</v>
      </c>
      <c r="P9203" s="18" t="s">
        <v>39776</v>
      </c>
      <c r="Q9203" s="6"/>
      <c r="R9203" s="6"/>
      <c r="S9203" s="6"/>
      <c r="T9203" s="6"/>
      <c r="U9203" s="6"/>
    </row>
    <row r="9204" ht="14.25">
      <c r="B9204" s="18" t="s">
        <v>3593</v>
      </c>
      <c r="C9204" s="18" t="s">
        <v>39777</v>
      </c>
      <c r="D9204" s="18" t="s">
        <v>39778</v>
      </c>
      <c r="E9204" s="18" t="s">
        <v>39779</v>
      </c>
      <c r="F9204" s="18" t="str">
        <f>IFERROR(__XLUDF.DUMMYFUNCTION("PROPER(REGEXREPLACE(D21,""[^A-Za-z]+ "",""""))"),"Initiativerisk")</f>
        <v>Initiativerisk</v>
      </c>
      <c r="G9204" s="18" t="s">
        <v>39780</v>
      </c>
      <c r="H9204" s="18">
        <v>5</v>
      </c>
      <c r="I9204" s="18" t="s">
        <v>39661</v>
      </c>
      <c r="J9204" s="5" t="s">
        <v>39781</v>
      </c>
      <c r="K9204" s="5" t="s">
        <v>39782</v>
      </c>
      <c r="L9204" s="18" t="s">
        <v>1419</v>
      </c>
      <c r="M9204" s="18" t="s">
        <v>29</v>
      </c>
      <c r="N9204" s="18" t="s">
        <v>39783</v>
      </c>
      <c r="O9204" s="18" t="s">
        <v>29</v>
      </c>
      <c r="P9204" s="18" t="s">
        <v>39784</v>
      </c>
      <c r="Q9204" s="6"/>
      <c r="R9204" s="6"/>
      <c r="S9204" s="6"/>
      <c r="T9204" s="6"/>
      <c r="U9204" s="6"/>
    </row>
    <row r="9205" ht="14.25">
      <c r="B9205" s="18" t="s">
        <v>2299</v>
      </c>
      <c r="C9205" s="18" t="s">
        <v>39785</v>
      </c>
      <c r="D9205" s="18" t="s">
        <v>39786</v>
      </c>
      <c r="E9205" s="18" t="s">
        <v>39787</v>
      </c>
      <c r="F9205" s="18" t="str">
        <f>IFERROR(__XLUDF.DUMMYFUNCTION("PROPER(REGEXREPLACE(D22,""[^A-Za-z]+ "",""""))"),"Kozoo")</f>
        <v>Kozoo</v>
      </c>
      <c r="G9205" s="18" t="s">
        <v>39788</v>
      </c>
      <c r="H9205" s="18">
        <v>8</v>
      </c>
      <c r="I9205" s="18" t="s">
        <v>39661</v>
      </c>
      <c r="J9205" s="5" t="s">
        <v>39789</v>
      </c>
      <c r="K9205" s="5" t="s">
        <v>39790</v>
      </c>
      <c r="L9205" s="18" t="s">
        <v>2186</v>
      </c>
      <c r="M9205" s="18" t="s">
        <v>29</v>
      </c>
      <c r="N9205" s="18" t="s">
        <v>39791</v>
      </c>
      <c r="O9205" s="18" t="s">
        <v>29</v>
      </c>
      <c r="P9205" s="18" t="s">
        <v>39792</v>
      </c>
      <c r="Q9205" s="6"/>
      <c r="R9205" s="6"/>
      <c r="S9205" s="6"/>
      <c r="T9205" s="6"/>
      <c r="U9205" s="6"/>
    </row>
    <row r="9206" ht="14.25">
      <c r="B9206" s="18" t="s">
        <v>355</v>
      </c>
      <c r="C9206" s="18" t="s">
        <v>39793</v>
      </c>
      <c r="D9206" s="18" t="s">
        <v>3775</v>
      </c>
      <c r="E9206" s="18" t="s">
        <v>39794</v>
      </c>
      <c r="F9206" s="18" t="str">
        <f>IFERROR(__XLUDF.DUMMYFUNCTION("PROPER(REGEXREPLACE(D23,""[^A-Za-z]+ "",""""))"),"Pety Mutuelle Chiens Et Chats")</f>
        <v xml:space="preserve">Pety Mutuelle Chiens Et Chats</v>
      </c>
      <c r="G9206" s="18" t="s">
        <v>39795</v>
      </c>
      <c r="H9206" s="18">
        <v>6</v>
      </c>
      <c r="I9206" s="18" t="s">
        <v>39661</v>
      </c>
      <c r="J9206" s="5" t="s">
        <v>39796</v>
      </c>
      <c r="K9206" s="5" t="s">
        <v>39797</v>
      </c>
      <c r="L9206" s="6"/>
      <c r="M9206" s="18" t="s">
        <v>29</v>
      </c>
      <c r="N9206" s="18" t="s">
        <v>39798</v>
      </c>
      <c r="O9206" s="18" t="s">
        <v>29</v>
      </c>
      <c r="P9206" s="18" t="s">
        <v>39799</v>
      </c>
      <c r="Q9206" s="6"/>
      <c r="R9206" s="6"/>
      <c r="S9206" s="6"/>
      <c r="T9206" s="6"/>
      <c r="U9206" s="6"/>
    </row>
    <row r="9207" ht="14.25">
      <c r="B9207" s="18" t="s">
        <v>485</v>
      </c>
      <c r="C9207" s="18" t="s">
        <v>39800</v>
      </c>
      <c r="D9207" s="18" t="s">
        <v>39801</v>
      </c>
      <c r="E9207" s="18" t="s">
        <v>39802</v>
      </c>
      <c r="F9207" s="18" t="str">
        <f>IFERROR(__XLUDF.DUMMYFUNCTION("PROPER(REGEXREPLACE(D24,""[^A-Za-z]+ "",""""))"),"Coover")</f>
        <v>Coover</v>
      </c>
      <c r="G9207" s="18" t="s">
        <v>39803</v>
      </c>
      <c r="H9207" s="18">
        <v>17</v>
      </c>
      <c r="I9207" s="18" t="s">
        <v>39661</v>
      </c>
      <c r="J9207" s="5" t="s">
        <v>39804</v>
      </c>
      <c r="K9207" s="5" t="s">
        <v>39805</v>
      </c>
      <c r="L9207" s="6"/>
      <c r="M9207" s="18" t="s">
        <v>29</v>
      </c>
      <c r="N9207" s="18" t="s">
        <v>67</v>
      </c>
      <c r="O9207" s="18" t="s">
        <v>29</v>
      </c>
      <c r="P9207" s="18" t="s">
        <v>39806</v>
      </c>
      <c r="Q9207" s="6"/>
      <c r="R9207" s="6"/>
      <c r="S9207" s="6"/>
      <c r="T9207" s="6"/>
      <c r="U9207" s="6"/>
    </row>
    <row r="9208" ht="14.25">
      <c r="B9208" s="18" t="s">
        <v>7525</v>
      </c>
      <c r="C9208" s="18" t="s">
        <v>39807</v>
      </c>
      <c r="D9208" s="18" t="s">
        <v>39808</v>
      </c>
      <c r="E9208" s="18" t="s">
        <v>39809</v>
      </c>
      <c r="F9208" s="18" t="str">
        <f>IFERROR(__XLUDF.DUMMYFUNCTION("PROPER(REGEXREPLACE(D25,""[^A-Za-z]+ "",""""))"),"Babysafe Solutions")</f>
        <v xml:space="preserve">Babysafe Solutions</v>
      </c>
      <c r="G9208" s="18" t="s">
        <v>39810</v>
      </c>
      <c r="H9208" s="18">
        <v>7</v>
      </c>
      <c r="I9208" s="18" t="s">
        <v>39661</v>
      </c>
      <c r="J9208" s="5" t="s">
        <v>39811</v>
      </c>
      <c r="K9208" s="5" t="s">
        <v>39812</v>
      </c>
      <c r="L9208" s="18" t="s">
        <v>185</v>
      </c>
      <c r="M9208" s="18" t="s">
        <v>29</v>
      </c>
      <c r="N9208" s="18" t="s">
        <v>39813</v>
      </c>
      <c r="O9208" s="18" t="s">
        <v>29</v>
      </c>
      <c r="P9208" s="6"/>
      <c r="Q9208" s="6"/>
      <c r="R9208" s="6"/>
      <c r="S9208" s="6"/>
      <c r="T9208" s="6"/>
      <c r="U9208" s="6"/>
    </row>
    <row r="9209" ht="14.25">
      <c r="B9209" s="18" t="s">
        <v>785</v>
      </c>
      <c r="C9209" s="18" t="s">
        <v>21608</v>
      </c>
      <c r="D9209" s="18" t="s">
        <v>39814</v>
      </c>
      <c r="E9209" s="18" t="s">
        <v>39815</v>
      </c>
      <c r="F9209" s="18" t="str">
        <f>IFERROR(__XLUDF.DUMMYFUNCTION("PROPER(REGEXREPLACE(D26,""[^A-Za-z]+ "",""""))"),"Gedeon")</f>
        <v>Gedeon</v>
      </c>
      <c r="G9209" s="18" t="s">
        <v>39816</v>
      </c>
      <c r="H9209" s="18">
        <v>35</v>
      </c>
      <c r="I9209" s="18" t="s">
        <v>39661</v>
      </c>
      <c r="J9209" s="5" t="s">
        <v>39817</v>
      </c>
      <c r="K9209" s="5" t="s">
        <v>39818</v>
      </c>
      <c r="L9209" s="18" t="s">
        <v>185</v>
      </c>
      <c r="M9209" s="18" t="s">
        <v>29</v>
      </c>
      <c r="N9209" s="18" t="s">
        <v>125</v>
      </c>
      <c r="O9209" s="18" t="s">
        <v>29</v>
      </c>
      <c r="P9209" s="18" t="s">
        <v>39819</v>
      </c>
      <c r="Q9209" s="6"/>
      <c r="R9209" s="6"/>
      <c r="S9209" s="6"/>
      <c r="T9209" s="6"/>
      <c r="U9209" s="6"/>
    </row>
    <row r="9210" ht="14.25">
      <c r="B9210" s="18" t="s">
        <v>510</v>
      </c>
      <c r="C9210" s="18" t="s">
        <v>39820</v>
      </c>
      <c r="D9210" s="18" t="s">
        <v>39821</v>
      </c>
      <c r="E9210" s="18" t="s">
        <v>39822</v>
      </c>
      <c r="F9210" s="18" t="str">
        <f>IFERROR(__XLUDF.DUMMYFUNCTION("PROPER(REGEXREPLACE(D27,""[^A-Za-z]+ "",""""))"),"Lya Protect")</f>
        <v xml:space="preserve">Lya Protect</v>
      </c>
      <c r="G9210" s="18" t="s">
        <v>39823</v>
      </c>
      <c r="H9210" s="18">
        <v>30</v>
      </c>
      <c r="I9210" s="18" t="s">
        <v>39661</v>
      </c>
      <c r="J9210" s="5" t="s">
        <v>39824</v>
      </c>
      <c r="K9210" s="5" t="s">
        <v>39825</v>
      </c>
      <c r="L9210" s="18" t="s">
        <v>185</v>
      </c>
      <c r="M9210" s="18" t="s">
        <v>29</v>
      </c>
      <c r="N9210" s="18" t="s">
        <v>39826</v>
      </c>
      <c r="O9210" s="18" t="s">
        <v>29</v>
      </c>
      <c r="P9210" s="18" t="s">
        <v>39827</v>
      </c>
      <c r="Q9210" s="6"/>
      <c r="R9210" s="6"/>
      <c r="S9210" s="6"/>
      <c r="T9210" s="6"/>
      <c r="U9210" s="6"/>
    </row>
    <row r="9211" ht="14.25">
      <c r="B9211" s="18" t="s">
        <v>2516</v>
      </c>
      <c r="C9211" s="18" t="s">
        <v>39828</v>
      </c>
      <c r="D9211" s="18" t="s">
        <v>120</v>
      </c>
      <c r="E9211" s="18" t="s">
        <v>39829</v>
      </c>
      <c r="F9211" s="18" t="str">
        <f>IFERROR(__XLUDF.DUMMYFUNCTION("PROPER(REGEXREPLACE(D28,""[^A-Za-z]+ "",""""))"),"Novacover")</f>
        <v>Novacover</v>
      </c>
      <c r="G9211" s="18" t="s">
        <v>39830</v>
      </c>
      <c r="H9211" s="18">
        <v>10</v>
      </c>
      <c r="I9211" s="18" t="s">
        <v>39661</v>
      </c>
      <c r="J9211" s="5" t="s">
        <v>39831</v>
      </c>
      <c r="K9211" s="5" t="s">
        <v>39832</v>
      </c>
      <c r="L9211" s="6"/>
      <c r="M9211" s="18" t="s">
        <v>29</v>
      </c>
      <c r="N9211" s="18" t="s">
        <v>67</v>
      </c>
      <c r="O9211" s="18" t="s">
        <v>29</v>
      </c>
      <c r="P9211" s="18" t="s">
        <v>39833</v>
      </c>
      <c r="Q9211" s="6"/>
      <c r="R9211" s="6"/>
      <c r="S9211" s="6"/>
      <c r="T9211" s="6"/>
      <c r="U9211" s="6"/>
    </row>
    <row r="9212" ht="14.25">
      <c r="B9212" s="18" t="s">
        <v>39834</v>
      </c>
      <c r="C9212" s="18" t="s">
        <v>26446</v>
      </c>
      <c r="D9212" s="18" t="s">
        <v>120</v>
      </c>
      <c r="E9212" s="18" t="s">
        <v>39835</v>
      </c>
      <c r="F9212" s="18" t="str">
        <f>IFERROR(__XLUDF.DUMMYFUNCTION("PROPER(REGEXREPLACE(D29,""[^A-Za-z]+ "",""""))"),"Cesar Patrimoine")</f>
        <v xml:space="preserve">Cesar Patrimoine</v>
      </c>
      <c r="G9212" s="18" t="s">
        <v>39836</v>
      </c>
      <c r="H9212" s="18">
        <v>5</v>
      </c>
      <c r="I9212" s="18" t="s">
        <v>39661</v>
      </c>
      <c r="J9212" s="5" t="s">
        <v>39837</v>
      </c>
      <c r="K9212" s="5" t="s">
        <v>39838</v>
      </c>
      <c r="L9212" s="18" t="s">
        <v>39</v>
      </c>
      <c r="M9212" s="18" t="s">
        <v>29</v>
      </c>
      <c r="N9212" s="18" t="s">
        <v>39839</v>
      </c>
      <c r="O9212" s="18" t="s">
        <v>29</v>
      </c>
      <c r="P9212" s="18" t="s">
        <v>39840</v>
      </c>
      <c r="Q9212" s="6"/>
      <c r="R9212" s="6"/>
      <c r="S9212" s="6"/>
      <c r="T9212" s="6"/>
      <c r="U9212" s="6"/>
    </row>
    <row r="9213" ht="14.25">
      <c r="B9213" s="18" t="s">
        <v>39841</v>
      </c>
      <c r="C9213" s="18" t="s">
        <v>39842</v>
      </c>
      <c r="D9213" s="18" t="s">
        <v>39843</v>
      </c>
      <c r="E9213" s="18" t="s">
        <v>39844</v>
      </c>
      <c r="F9213" s="18" t="str">
        <f>IFERROR(__XLUDF.DUMMYFUNCTION("PROPER(REGEXREPLACE(D30,""[^A-Za-z]+ "",""""))"),"Vivons Courtier")</f>
        <v xml:space="preserve">Vivons Courtier</v>
      </c>
      <c r="G9213" s="18" t="s">
        <v>39845</v>
      </c>
      <c r="H9213" s="18">
        <v>15</v>
      </c>
      <c r="I9213" s="18" t="s">
        <v>39846</v>
      </c>
      <c r="J9213" s="5" t="s">
        <v>39847</v>
      </c>
      <c r="K9213" s="5" t="s">
        <v>39848</v>
      </c>
      <c r="L9213" s="18" t="s">
        <v>243</v>
      </c>
      <c r="M9213" s="18" t="s">
        <v>29</v>
      </c>
      <c r="N9213" s="18" t="s">
        <v>39849</v>
      </c>
      <c r="O9213" s="18" t="s">
        <v>29</v>
      </c>
      <c r="P9213" s="6"/>
      <c r="Q9213" s="6"/>
      <c r="R9213" s="6"/>
      <c r="S9213" s="6"/>
      <c r="T9213" s="6"/>
      <c r="U9213" s="6"/>
    </row>
    <row r="9214" ht="14.25">
      <c r="B9214" s="18" t="s">
        <v>4048</v>
      </c>
      <c r="C9214" s="18" t="s">
        <v>7470</v>
      </c>
      <c r="D9214" s="18" t="s">
        <v>164</v>
      </c>
      <c r="E9214" s="18" t="s">
        <v>39850</v>
      </c>
      <c r="F9214" s="18" t="str">
        <f>IFERROR(__XLUDF.DUMMYFUNCTION("PROPER(REGEXREPLACE(D31,""[^A-Za-z]+ "",""""))"),"Mcci")</f>
        <v>Mcci</v>
      </c>
      <c r="G9214" s="18" t="s">
        <v>39851</v>
      </c>
      <c r="H9214" s="18">
        <v>11</v>
      </c>
      <c r="I9214" s="18" t="s">
        <v>39661</v>
      </c>
      <c r="J9214" s="5" t="s">
        <v>39852</v>
      </c>
      <c r="K9214" s="5" t="s">
        <v>39853</v>
      </c>
      <c r="L9214" s="6"/>
      <c r="M9214" s="18" t="s">
        <v>29</v>
      </c>
      <c r="N9214" s="18" t="s">
        <v>39854</v>
      </c>
      <c r="O9214" s="18" t="s">
        <v>29</v>
      </c>
      <c r="P9214" s="18" t="s">
        <v>39855</v>
      </c>
      <c r="Q9214" s="6"/>
      <c r="R9214" s="6"/>
      <c r="S9214" s="6"/>
      <c r="T9214" s="6"/>
      <c r="U9214" s="6"/>
    </row>
    <row r="9215" ht="14.25">
      <c r="B9215" s="18" t="s">
        <v>971</v>
      </c>
      <c r="C9215" s="18" t="s">
        <v>39856</v>
      </c>
      <c r="D9215" s="18" t="s">
        <v>172</v>
      </c>
      <c r="E9215" s="18" t="s">
        <v>39857</v>
      </c>
      <c r="F9215" s="18" t="str">
        <f>IFERROR(__XLUDF.DUMMYFUNCTION("PROPER(REGEXREPLACE(D32,""[^A-Za-z]+ "",""""))"),"Groupe Cerutti Experts")</f>
        <v xml:space="preserve">Groupe Cerutti Experts</v>
      </c>
      <c r="G9215" s="18" t="s">
        <v>39858</v>
      </c>
      <c r="H9215" s="18">
        <v>22</v>
      </c>
      <c r="I9215" s="18" t="s">
        <v>39661</v>
      </c>
      <c r="J9215" s="5" t="s">
        <v>39859</v>
      </c>
      <c r="K9215" s="5" t="s">
        <v>39860</v>
      </c>
      <c r="L9215" s="6"/>
      <c r="M9215" s="18" t="s">
        <v>29</v>
      </c>
      <c r="N9215" s="18" t="s">
        <v>39861</v>
      </c>
      <c r="O9215" s="18" t="s">
        <v>29</v>
      </c>
      <c r="P9215" s="18" t="s">
        <v>39862</v>
      </c>
      <c r="Q9215" s="6"/>
      <c r="R9215" s="6"/>
      <c r="S9215" s="6"/>
      <c r="T9215" s="6"/>
      <c r="U9215" s="6"/>
    </row>
    <row r="9216" ht="14.25">
      <c r="B9216" s="18" t="s">
        <v>3164</v>
      </c>
      <c r="C9216" s="18" t="s">
        <v>39863</v>
      </c>
      <c r="D9216" s="18" t="s">
        <v>39864</v>
      </c>
      <c r="E9216" s="18" t="s">
        <v>39865</v>
      </c>
      <c r="F9216" s="18" t="str">
        <f>IFERROR(__XLUDF.DUMMYFUNCTION("PROPER(REGEXREPLACE(D33,""[^A-Za-z]+ "",""""))"),"Assurhelium")</f>
        <v>Assurhelium</v>
      </c>
      <c r="G9216" s="18" t="s">
        <v>39866</v>
      </c>
      <c r="H9216" s="18">
        <v>9</v>
      </c>
      <c r="I9216" s="18" t="s">
        <v>39661</v>
      </c>
      <c r="J9216" s="5" t="s">
        <v>39867</v>
      </c>
      <c r="K9216" s="5" t="s">
        <v>39868</v>
      </c>
      <c r="L9216" s="18" t="s">
        <v>185</v>
      </c>
      <c r="M9216" s="18" t="s">
        <v>29</v>
      </c>
      <c r="N9216" s="18" t="s">
        <v>39869</v>
      </c>
      <c r="O9216" s="18" t="s">
        <v>29</v>
      </c>
      <c r="P9216" s="18" t="s">
        <v>39870</v>
      </c>
      <c r="Q9216" s="6"/>
      <c r="R9216" s="6"/>
      <c r="S9216" s="6"/>
      <c r="T9216" s="6"/>
      <c r="U9216" s="6"/>
    </row>
    <row r="9217" ht="14.25">
      <c r="B9217" s="18" t="s">
        <v>679</v>
      </c>
      <c r="C9217" s="18" t="s">
        <v>3997</v>
      </c>
      <c r="D9217" s="18" t="s">
        <v>172</v>
      </c>
      <c r="E9217" s="18" t="s">
        <v>39871</v>
      </c>
      <c r="F9217" s="18" t="str">
        <f>IFERROR(__XLUDF.DUMMYFUNCTION("PROPER(REGEXREPLACE(D34,""[^A-Za-z]+ "",""""))"),"Actense")</f>
        <v>Actense</v>
      </c>
      <c r="G9217" s="18" t="s">
        <v>39872</v>
      </c>
      <c r="H9217" s="18">
        <v>31</v>
      </c>
      <c r="I9217" s="18" t="s">
        <v>39661</v>
      </c>
      <c r="J9217" s="5" t="s">
        <v>39873</v>
      </c>
      <c r="K9217" s="5" t="s">
        <v>39874</v>
      </c>
      <c r="L9217" s="18" t="s">
        <v>39</v>
      </c>
      <c r="M9217" s="18" t="s">
        <v>29</v>
      </c>
      <c r="N9217" s="18" t="s">
        <v>39875</v>
      </c>
      <c r="O9217" s="18" t="s">
        <v>29</v>
      </c>
      <c r="P9217" s="18" t="s">
        <v>39876</v>
      </c>
      <c r="Q9217" s="6"/>
      <c r="R9217" s="6"/>
      <c r="S9217" s="6"/>
      <c r="T9217" s="6"/>
      <c r="U9217" s="6"/>
    </row>
    <row r="9218" ht="14.25">
      <c r="B9218" s="18" t="s">
        <v>6810</v>
      </c>
      <c r="C9218" s="18" t="s">
        <v>39877</v>
      </c>
      <c r="D9218" s="18" t="s">
        <v>172</v>
      </c>
      <c r="E9218" s="18" t="s">
        <v>39878</v>
      </c>
      <c r="F9218" s="18" t="str">
        <f>IFERROR(__XLUDF.DUMMYFUNCTION("PROPER(REGEXREPLACE(D35,""[^A-Za-z]+ "",""""))"),"Mutuelle Nationale Des Fonctionnaires Des Collectivités Territoriales")</f>
        <v xml:space="preserve">Mutuelle Nationale Des Fonctionnaires Des Collectivités Territoriales</v>
      </c>
      <c r="G9218" s="18" t="s">
        <v>39879</v>
      </c>
      <c r="H9218" s="18">
        <v>14</v>
      </c>
      <c r="I9218" s="18" t="s">
        <v>39661</v>
      </c>
      <c r="J9218" s="5" t="s">
        <v>39880</v>
      </c>
      <c r="K9218" s="5" t="s">
        <v>39881</v>
      </c>
      <c r="L9218" s="18" t="s">
        <v>21259</v>
      </c>
      <c r="M9218" s="18" t="s">
        <v>29</v>
      </c>
      <c r="N9218" s="18" t="s">
        <v>39882</v>
      </c>
      <c r="O9218" s="18" t="s">
        <v>29</v>
      </c>
      <c r="P9218" s="18" t="s">
        <v>39883</v>
      </c>
      <c r="Q9218" s="6"/>
      <c r="R9218" s="6"/>
      <c r="S9218" s="6"/>
      <c r="T9218" s="6"/>
      <c r="U9218" s="6"/>
    </row>
    <row r="9219" ht="14.25">
      <c r="B9219" s="18" t="s">
        <v>661</v>
      </c>
      <c r="C9219" s="18" t="s">
        <v>39884</v>
      </c>
      <c r="D9219" s="18" t="s">
        <v>172</v>
      </c>
      <c r="E9219" s="18" t="s">
        <v>39885</v>
      </c>
      <c r="F9219" s="18" t="str">
        <f>IFERROR(__XLUDF.DUMMYFUNCTION("PROPER(REGEXREPLACE(D36,""[^A-Za-z]+ "",""""))"),"Ampli Mutuelle")</f>
        <v xml:space="preserve">Ampli Mutuelle</v>
      </c>
      <c r="G9219" s="18" t="s">
        <v>39886</v>
      </c>
      <c r="H9219" s="18">
        <v>50</v>
      </c>
      <c r="I9219" s="18" t="s">
        <v>39661</v>
      </c>
      <c r="J9219" s="5" t="s">
        <v>39887</v>
      </c>
      <c r="K9219" s="5" t="s">
        <v>39888</v>
      </c>
      <c r="L9219" s="6"/>
      <c r="M9219" s="18" t="s">
        <v>29</v>
      </c>
      <c r="N9219" s="18" t="s">
        <v>39889</v>
      </c>
      <c r="O9219" s="18" t="s">
        <v>29</v>
      </c>
      <c r="P9219" s="18" t="s">
        <v>39890</v>
      </c>
      <c r="Q9219" s="6"/>
      <c r="R9219" s="6"/>
      <c r="S9219" s="6"/>
      <c r="T9219" s="6"/>
      <c r="U9219" s="6"/>
    </row>
    <row r="9220" ht="14.25">
      <c r="B9220" s="18" t="s">
        <v>1667</v>
      </c>
      <c r="C9220" s="18" t="s">
        <v>39891</v>
      </c>
      <c r="D9220" s="18" t="s">
        <v>672</v>
      </c>
      <c r="E9220" s="18" t="s">
        <v>39892</v>
      </c>
      <c r="F9220" s="18" t="str">
        <f>IFERROR(__XLUDF.DUMMYFUNCTION("PROPER(REGEXREPLACE(D37,""[^A-Za-z]+ "",""""))"),"Pelican Assurances")</f>
        <v xml:space="preserve">Pelican Assurances</v>
      </c>
      <c r="G9220" s="18" t="s">
        <v>39893</v>
      </c>
      <c r="H9220" s="18">
        <v>4</v>
      </c>
      <c r="I9220" s="18" t="s">
        <v>39661</v>
      </c>
      <c r="J9220" s="5" t="s">
        <v>39894</v>
      </c>
      <c r="K9220" s="5" t="s">
        <v>39895</v>
      </c>
      <c r="L9220" s="18" t="s">
        <v>716</v>
      </c>
      <c r="M9220" s="18" t="s">
        <v>29</v>
      </c>
      <c r="N9220" s="18" t="s">
        <v>39896</v>
      </c>
      <c r="O9220" s="18" t="s">
        <v>29</v>
      </c>
      <c r="P9220" s="6"/>
      <c r="Q9220" s="6"/>
      <c r="R9220" s="6"/>
      <c r="S9220" s="6"/>
      <c r="T9220" s="6"/>
      <c r="U9220" s="6"/>
    </row>
    <row r="9221" ht="14.25">
      <c r="B9221" s="18" t="s">
        <v>330</v>
      </c>
      <c r="C9221" s="18" t="s">
        <v>39897</v>
      </c>
      <c r="D9221" s="18" t="s">
        <v>39898</v>
      </c>
      <c r="E9221" s="18" t="s">
        <v>39899</v>
      </c>
      <c r="F9221" s="18" t="str">
        <f>IFERROR(__XLUDF.DUMMYFUNCTION("PROPER(REGEXREPLACE(D38,""[^A-Za-z]+ "",""""))"),"Actil")</f>
        <v>Actil</v>
      </c>
      <c r="G9221" s="18" t="s">
        <v>39900</v>
      </c>
      <c r="H9221" s="18">
        <v>34</v>
      </c>
      <c r="I9221" s="18" t="s">
        <v>39661</v>
      </c>
      <c r="J9221" s="5" t="s">
        <v>39901</v>
      </c>
      <c r="K9221" s="5" t="s">
        <v>39902</v>
      </c>
      <c r="L9221" s="18" t="s">
        <v>185</v>
      </c>
      <c r="M9221" s="18" t="s">
        <v>29</v>
      </c>
      <c r="N9221" s="18" t="s">
        <v>39903</v>
      </c>
      <c r="O9221" s="18" t="s">
        <v>29</v>
      </c>
      <c r="P9221" s="6"/>
      <c r="Q9221" s="6"/>
      <c r="R9221" s="6"/>
      <c r="S9221" s="6"/>
      <c r="T9221" s="6"/>
      <c r="U9221" s="6"/>
    </row>
    <row r="9222" ht="14.25">
      <c r="B9222" s="18" t="s">
        <v>39904</v>
      </c>
      <c r="C9222" s="18" t="s">
        <v>39905</v>
      </c>
      <c r="D9222" s="18" t="s">
        <v>688</v>
      </c>
      <c r="E9222" s="18" t="s">
        <v>39906</v>
      </c>
      <c r="F9222" s="18" t="str">
        <f>IFERROR(__XLUDF.DUMMYFUNCTION("PROPER(REGEXREPLACE(D39,""[^A-Za-z]+ "",""""))"),"Indeez")</f>
        <v>Indeez</v>
      </c>
      <c r="G9222" s="18" t="s">
        <v>39907</v>
      </c>
      <c r="H9222" s="18">
        <v>30</v>
      </c>
      <c r="I9222" s="18" t="s">
        <v>39661</v>
      </c>
      <c r="J9222" s="5" t="s">
        <v>39908</v>
      </c>
      <c r="K9222" s="5" t="s">
        <v>39909</v>
      </c>
      <c r="L9222" s="18" t="s">
        <v>39</v>
      </c>
      <c r="M9222" s="18" t="s">
        <v>29</v>
      </c>
      <c r="N9222" s="18" t="s">
        <v>39910</v>
      </c>
      <c r="O9222" s="18" t="s">
        <v>29</v>
      </c>
      <c r="P9222" s="18" t="s">
        <v>39911</v>
      </c>
      <c r="Q9222" s="6"/>
      <c r="R9222" s="6"/>
      <c r="S9222" s="6"/>
      <c r="T9222" s="6"/>
      <c r="U9222" s="6"/>
    </row>
    <row r="9223" ht="14.25">
      <c r="B9223" s="18" t="s">
        <v>630</v>
      </c>
      <c r="C9223" s="18" t="s">
        <v>39912</v>
      </c>
      <c r="D9223" s="18" t="s">
        <v>22207</v>
      </c>
      <c r="E9223" s="18" t="s">
        <v>39913</v>
      </c>
      <c r="F9223" s="18" t="str">
        <f>IFERROR(__XLUDF.DUMMYFUNCTION("PROPER(REGEXREPLACE(D40,""[^A-Za-z]+ "",""""))"),"Continuity")</f>
        <v>Continuity</v>
      </c>
      <c r="G9223" s="18" t="s">
        <v>39914</v>
      </c>
      <c r="H9223" s="18">
        <v>47</v>
      </c>
      <c r="I9223" s="18" t="s">
        <v>39661</v>
      </c>
      <c r="J9223" s="5" t="s">
        <v>39915</v>
      </c>
      <c r="K9223" s="5" t="s">
        <v>39916</v>
      </c>
      <c r="L9223" s="18" t="s">
        <v>39</v>
      </c>
      <c r="M9223" s="18" t="s">
        <v>29</v>
      </c>
      <c r="N9223" s="18" t="s">
        <v>39917</v>
      </c>
      <c r="O9223" s="18" t="s">
        <v>29</v>
      </c>
      <c r="P9223" s="18" t="s">
        <v>39918</v>
      </c>
      <c r="Q9223" s="6"/>
      <c r="R9223" s="6"/>
      <c r="S9223" s="6"/>
      <c r="T9223" s="6"/>
      <c r="U9223" s="6"/>
    </row>
    <row r="9224" ht="14.25">
      <c r="B9224" s="18" t="s">
        <v>785</v>
      </c>
      <c r="C9224" s="18" t="s">
        <v>39919</v>
      </c>
      <c r="D9224" s="18" t="s">
        <v>39920</v>
      </c>
      <c r="E9224" s="18" t="s">
        <v>39921</v>
      </c>
      <c r="F9224" s="18" t="str">
        <f>IFERROR(__XLUDF.DUMMYFUNCTION("PROPER(REGEXREPLACE(D41,""[^A-Za-z]+ "",""""))"),"J&amp;G Conseil")</f>
        <v xml:space="preserve">J&amp;G Conseil</v>
      </c>
      <c r="G9224" s="18" t="s">
        <v>39922</v>
      </c>
      <c r="H9224" s="18">
        <v>19</v>
      </c>
      <c r="I9224" s="18" t="s">
        <v>39661</v>
      </c>
      <c r="J9224" s="5" t="s">
        <v>39923</v>
      </c>
      <c r="K9224" s="5" t="s">
        <v>39924</v>
      </c>
      <c r="L9224" s="18" t="s">
        <v>39</v>
      </c>
      <c r="M9224" s="18" t="s">
        <v>29</v>
      </c>
      <c r="N9224" s="18" t="s">
        <v>39925</v>
      </c>
      <c r="O9224" s="18" t="s">
        <v>29</v>
      </c>
      <c r="P9224" s="18" t="s">
        <v>39926</v>
      </c>
      <c r="Q9224" s="6"/>
      <c r="R9224" s="6"/>
      <c r="S9224" s="6"/>
      <c r="T9224" s="6"/>
      <c r="U9224" s="6"/>
    </row>
    <row r="9225" ht="14.25">
      <c r="B9225" s="18" t="s">
        <v>670</v>
      </c>
      <c r="C9225" s="18" t="s">
        <v>2870</v>
      </c>
      <c r="D9225" s="18" t="s">
        <v>120</v>
      </c>
      <c r="E9225" s="18" t="s">
        <v>39927</v>
      </c>
      <c r="F9225" s="18" t="str">
        <f>IFERROR(__XLUDF.DUMMYFUNCTION("PROPER(REGEXREPLACE(D42,""[^A-Za-z]+ "",""""))"),"Wellcov")</f>
        <v>Wellcov</v>
      </c>
      <c r="G9225" s="18" t="s">
        <v>39928</v>
      </c>
      <c r="H9225" s="18">
        <v>8</v>
      </c>
      <c r="I9225" s="18" t="s">
        <v>39661</v>
      </c>
      <c r="J9225" s="5" t="s">
        <v>39929</v>
      </c>
      <c r="K9225" s="5" t="s">
        <v>39930</v>
      </c>
      <c r="L9225" s="18" t="s">
        <v>49</v>
      </c>
      <c r="M9225" s="18" t="s">
        <v>29</v>
      </c>
      <c r="N9225" s="18" t="s">
        <v>3642</v>
      </c>
      <c r="O9225" s="18" t="s">
        <v>29</v>
      </c>
      <c r="P9225" s="6"/>
      <c r="Q9225" s="6"/>
      <c r="R9225" s="6"/>
      <c r="S9225" s="6"/>
      <c r="T9225" s="6"/>
      <c r="U9225" s="6"/>
    </row>
    <row r="9226" ht="14.25">
      <c r="B9226" s="18" t="s">
        <v>2299</v>
      </c>
      <c r="C9226" s="18" t="s">
        <v>5513</v>
      </c>
      <c r="D9226" s="18" t="s">
        <v>172</v>
      </c>
      <c r="E9226" s="18" t="s">
        <v>39931</v>
      </c>
      <c r="F9226" s="18" t="str">
        <f>IFERROR(__XLUDF.DUMMYFUNCTION("PROPER(REGEXREPLACE(D43,""[^A-Za-z]+ "",""""))"),"Ava Assurance Voyagesassistance")</f>
        <v xml:space="preserve">Ava Assurance Voyagesassistance</v>
      </c>
      <c r="G9226" s="18" t="s">
        <v>39932</v>
      </c>
      <c r="H9226" s="18">
        <v>13</v>
      </c>
      <c r="I9226" s="18" t="s">
        <v>39661</v>
      </c>
      <c r="J9226" s="5" t="s">
        <v>39933</v>
      </c>
      <c r="K9226" s="5" t="s">
        <v>39934</v>
      </c>
      <c r="L9226" s="18" t="s">
        <v>39</v>
      </c>
      <c r="M9226" s="18" t="s">
        <v>29</v>
      </c>
      <c r="N9226" s="18" t="s">
        <v>39935</v>
      </c>
      <c r="O9226" s="18" t="s">
        <v>29</v>
      </c>
      <c r="P9226" s="18" t="s">
        <v>39936</v>
      </c>
      <c r="Q9226" s="6"/>
      <c r="R9226" s="6"/>
      <c r="S9226" s="6"/>
      <c r="T9226" s="6"/>
      <c r="U9226" s="6"/>
    </row>
    <row r="9227" ht="14.25">
      <c r="B9227" s="18" t="s">
        <v>378</v>
      </c>
      <c r="C9227" s="18" t="s">
        <v>39937</v>
      </c>
      <c r="D9227" s="18" t="s">
        <v>164</v>
      </c>
      <c r="E9227" s="18" t="s">
        <v>39938</v>
      </c>
      <c r="F9227" s="18" t="str">
        <f>IFERROR(__XLUDF.DUMMYFUNCTION("PROPER(REGEXREPLACE(D44,""[^A-Za-z]+ "",""""))"),"Nuoma Mutual")</f>
        <v xml:space="preserve">Nuoma Mutual</v>
      </c>
      <c r="G9227" s="18" t="s">
        <v>39939</v>
      </c>
      <c r="H9227" s="18">
        <v>38</v>
      </c>
      <c r="I9227" s="18" t="s">
        <v>39661</v>
      </c>
      <c r="J9227" s="5" t="s">
        <v>39940</v>
      </c>
      <c r="K9227" s="5" t="s">
        <v>39941</v>
      </c>
      <c r="L9227" s="18" t="s">
        <v>6603</v>
      </c>
      <c r="M9227" s="18" t="s">
        <v>29</v>
      </c>
      <c r="N9227" s="18" t="s">
        <v>39942</v>
      </c>
      <c r="O9227" s="18" t="s">
        <v>29</v>
      </c>
      <c r="P9227" s="18" t="s">
        <v>39943</v>
      </c>
      <c r="Q9227" s="6"/>
      <c r="R9227" s="6"/>
      <c r="S9227" s="6"/>
      <c r="T9227" s="6"/>
      <c r="U9227" s="6"/>
    </row>
    <row r="9228" ht="14.25">
      <c r="B9228" s="18" t="s">
        <v>24271</v>
      </c>
      <c r="C9228" s="18" t="s">
        <v>39944</v>
      </c>
      <c r="D9228" s="18" t="s">
        <v>39945</v>
      </c>
      <c r="E9228" s="18" t="s">
        <v>39946</v>
      </c>
      <c r="F9228" s="18" t="str">
        <f>IFERROR(__XLUDF.DUMMYFUNCTION("PROPER(REGEXREPLACE(D45,""[^A-Za-z]+ "",""""))"),"Tutassûr")</f>
        <v>Tutassûr</v>
      </c>
      <c r="G9228" s="18" t="s">
        <v>39947</v>
      </c>
      <c r="H9228" s="18">
        <v>9</v>
      </c>
      <c r="I9228" s="18" t="s">
        <v>39661</v>
      </c>
      <c r="J9228" s="5" t="s">
        <v>39948</v>
      </c>
      <c r="K9228" s="5" t="s">
        <v>39949</v>
      </c>
      <c r="L9228" s="6"/>
      <c r="M9228" s="18" t="s">
        <v>29</v>
      </c>
      <c r="N9228" s="18" t="s">
        <v>39950</v>
      </c>
      <c r="O9228" s="18" t="s">
        <v>29</v>
      </c>
      <c r="P9228" s="6"/>
      <c r="Q9228" s="6"/>
      <c r="R9228" s="6"/>
      <c r="S9228" s="6"/>
      <c r="T9228" s="6"/>
      <c r="U9228" s="6"/>
    </row>
    <row r="9229" ht="14.25">
      <c r="B9229" s="18" t="s">
        <v>808</v>
      </c>
      <c r="C9229" s="18" t="s">
        <v>39951</v>
      </c>
      <c r="D9229" s="18" t="s">
        <v>39952</v>
      </c>
      <c r="E9229" s="18" t="s">
        <v>39953</v>
      </c>
      <c r="F9229" s="18" t="str">
        <f>IFERROR(__XLUDF.DUMMYFUNCTION("PROPER(REGEXREPLACE(D46,""[^A-Za-z]+ "",""""))"),"Ae Patrimoine")</f>
        <v xml:space="preserve">Ae Patrimoine</v>
      </c>
      <c r="G9229" s="18" t="s">
        <v>39954</v>
      </c>
      <c r="H9229" s="18">
        <v>1</v>
      </c>
      <c r="I9229" s="18" t="s">
        <v>2629</v>
      </c>
      <c r="J9229" s="5" t="s">
        <v>39955</v>
      </c>
      <c r="K9229" s="5" t="s">
        <v>39956</v>
      </c>
      <c r="L9229" s="18" t="s">
        <v>423</v>
      </c>
      <c r="M9229" s="18" t="s">
        <v>29</v>
      </c>
      <c r="N9229" s="18" t="s">
        <v>39957</v>
      </c>
      <c r="O9229" s="18" t="s">
        <v>29</v>
      </c>
      <c r="P9229" s="18" t="s">
        <v>39958</v>
      </c>
      <c r="Q9229" s="6"/>
      <c r="R9229" s="6"/>
      <c r="S9229" s="6"/>
      <c r="T9229" s="6"/>
      <c r="U9229" s="6"/>
    </row>
    <row r="9230" ht="14.25">
      <c r="B9230" s="18" t="s">
        <v>2652</v>
      </c>
      <c r="C9230" s="18" t="s">
        <v>39959</v>
      </c>
      <c r="D9230" s="18" t="s">
        <v>2084</v>
      </c>
      <c r="E9230" s="18" t="s">
        <v>39960</v>
      </c>
      <c r="F9230" s="18" t="str">
        <f>IFERROR(__XLUDF.DUMMYFUNCTION("PROPER(REGEXREPLACE(D47,""[^A-Za-z]+ "",""""))"),"Albatross Consulting")</f>
        <v xml:space="preserve">Albatross Consulting</v>
      </c>
      <c r="G9230" s="18" t="s">
        <v>39961</v>
      </c>
      <c r="H9230" s="18">
        <v>5</v>
      </c>
      <c r="I9230" s="18" t="s">
        <v>39661</v>
      </c>
      <c r="J9230" s="5" t="s">
        <v>39962</v>
      </c>
      <c r="K9230" s="5" t="s">
        <v>39963</v>
      </c>
      <c r="L9230" s="18" t="s">
        <v>39</v>
      </c>
      <c r="M9230" s="18" t="s">
        <v>29</v>
      </c>
      <c r="N9230" s="18" t="s">
        <v>39964</v>
      </c>
      <c r="O9230" s="18" t="s">
        <v>29</v>
      </c>
      <c r="P9230" s="18" t="s">
        <v>39965</v>
      </c>
      <c r="Q9230" s="6"/>
      <c r="R9230" s="6"/>
      <c r="S9230" s="6"/>
      <c r="T9230" s="6"/>
      <c r="U9230" s="6"/>
    </row>
    <row r="9231" ht="14.25">
      <c r="B9231" s="18" t="s">
        <v>769</v>
      </c>
      <c r="C9231" s="18" t="s">
        <v>39966</v>
      </c>
      <c r="D9231" s="18" t="s">
        <v>7726</v>
      </c>
      <c r="E9231" s="18" t="s">
        <v>39967</v>
      </c>
      <c r="F9231" s="18" t="str">
        <f>IFERROR(__XLUDF.DUMMYFUNCTION("PROPER(REGEXREPLACE(D48,""[^A-Za-z]+ "",""""))"),"Aestime")</f>
        <v>Aestime</v>
      </c>
      <c r="G9231" s="18" t="s">
        <v>39968</v>
      </c>
      <c r="H9231" s="18">
        <v>1</v>
      </c>
      <c r="I9231" s="18" t="s">
        <v>39661</v>
      </c>
      <c r="J9231" s="5" t="s">
        <v>39969</v>
      </c>
      <c r="K9231" s="5" t="s">
        <v>39970</v>
      </c>
      <c r="L9231" s="18" t="s">
        <v>295</v>
      </c>
      <c r="M9231" s="18" t="s">
        <v>29</v>
      </c>
      <c r="N9231" s="18" t="s">
        <v>39971</v>
      </c>
      <c r="O9231" s="18" t="s">
        <v>29</v>
      </c>
      <c r="P9231" s="6"/>
      <c r="Q9231" s="6"/>
      <c r="R9231" s="6"/>
      <c r="S9231" s="6"/>
      <c r="T9231" s="6"/>
      <c r="U9231" s="6"/>
    </row>
    <row r="9232" ht="14.25">
      <c r="B9232" s="18" t="s">
        <v>39972</v>
      </c>
      <c r="C9232" s="18" t="s">
        <v>39973</v>
      </c>
      <c r="D9232" s="18" t="s">
        <v>39974</v>
      </c>
      <c r="E9232" s="18" t="s">
        <v>39975</v>
      </c>
      <c r="F9232" s="18" t="str">
        <f>IFERROR(__XLUDF.DUMMYFUNCTION("PROPER(REGEXREPLACE(D49,""[^A-Za-z]+ "",""""))"),"Triceps Conseils")</f>
        <v xml:space="preserve">Triceps Conseils</v>
      </c>
      <c r="G9232" s="18" t="s">
        <v>39976</v>
      </c>
      <c r="H9232" s="18">
        <v>23</v>
      </c>
      <c r="I9232" s="18" t="s">
        <v>39661</v>
      </c>
      <c r="J9232" s="5" t="s">
        <v>39977</v>
      </c>
      <c r="K9232" s="5" t="s">
        <v>39978</v>
      </c>
      <c r="L9232" s="18" t="s">
        <v>6412</v>
      </c>
      <c r="M9232" s="18" t="s">
        <v>29</v>
      </c>
      <c r="N9232" s="18" t="s">
        <v>39979</v>
      </c>
      <c r="O9232" s="18" t="s">
        <v>29</v>
      </c>
      <c r="P9232" s="18" t="s">
        <v>39980</v>
      </c>
      <c r="Q9232" s="6"/>
      <c r="R9232" s="6"/>
      <c r="S9232" s="6"/>
      <c r="T9232" s="6"/>
      <c r="U9232" s="6"/>
    </row>
    <row r="9233" ht="14.25">
      <c r="B9233" s="18" t="s">
        <v>1596</v>
      </c>
      <c r="C9233" s="18" t="s">
        <v>39981</v>
      </c>
      <c r="D9233" s="18" t="s">
        <v>39982</v>
      </c>
      <c r="E9233" s="18" t="s">
        <v>39983</v>
      </c>
      <c r="F9233" s="18" t="str">
        <f>IFERROR(__XLUDF.DUMMYFUNCTION("PROPER(REGEXREPLACE(D50,""[^A-Za-z]+ "",""""))"),"Izeho Le E-Grossiste Audacieux")</f>
        <v xml:space="preserve">Izeho Le E-Grossiste Audacieux</v>
      </c>
      <c r="G9233" s="18" t="s">
        <v>39984</v>
      </c>
      <c r="H9233" s="18">
        <v>3</v>
      </c>
      <c r="I9233" s="18" t="s">
        <v>39661</v>
      </c>
      <c r="J9233" s="5" t="s">
        <v>39985</v>
      </c>
      <c r="K9233" s="5" t="s">
        <v>39986</v>
      </c>
      <c r="L9233" s="18" t="s">
        <v>185</v>
      </c>
      <c r="M9233" s="18" t="s">
        <v>29</v>
      </c>
      <c r="N9233" s="18" t="s">
        <v>39987</v>
      </c>
      <c r="O9233" s="18" t="s">
        <v>29</v>
      </c>
      <c r="P9233" s="18" t="s">
        <v>39988</v>
      </c>
      <c r="Q9233" s="6"/>
      <c r="R9233" s="6"/>
      <c r="S9233" s="6"/>
      <c r="T9233" s="6"/>
      <c r="U9233" s="6"/>
    </row>
    <row r="9234" ht="14.25">
      <c r="B9234" s="18" t="s">
        <v>734</v>
      </c>
      <c r="C9234" s="18" t="s">
        <v>39989</v>
      </c>
      <c r="D9234" s="18" t="s">
        <v>265</v>
      </c>
      <c r="E9234" s="18" t="s">
        <v>39990</v>
      </c>
      <c r="F9234" s="18" t="str">
        <f>IFERROR(__XLUDF.DUMMYFUNCTION("PROPER(REGEXREPLACE(D51,""[^A-Za-z]+ "",""""))"),"Dedomainia")</f>
        <v>Dedomainia</v>
      </c>
      <c r="G9234" s="18" t="s">
        <v>39991</v>
      </c>
      <c r="H9234" s="18">
        <v>35</v>
      </c>
      <c r="I9234" s="18" t="s">
        <v>39661</v>
      </c>
      <c r="J9234" s="5" t="s">
        <v>39992</v>
      </c>
      <c r="K9234" s="5" t="s">
        <v>39993</v>
      </c>
      <c r="L9234" s="18" t="s">
        <v>243</v>
      </c>
      <c r="M9234" s="18" t="s">
        <v>29</v>
      </c>
      <c r="N9234" s="18" t="s">
        <v>39994</v>
      </c>
      <c r="O9234" s="18" t="s">
        <v>29</v>
      </c>
      <c r="P9234" s="18" t="s">
        <v>39995</v>
      </c>
      <c r="Q9234" s="6"/>
      <c r="R9234" s="6"/>
      <c r="S9234" s="6"/>
      <c r="T9234" s="6"/>
      <c r="U9234" s="6"/>
    </row>
    <row r="9235" ht="14.25">
      <c r="B9235" s="18" t="s">
        <v>2932</v>
      </c>
      <c r="C9235" s="18" t="s">
        <v>39996</v>
      </c>
      <c r="D9235" s="18" t="s">
        <v>39997</v>
      </c>
      <c r="E9235" s="18" t="s">
        <v>39871</v>
      </c>
      <c r="F9235" s="18" t="str">
        <f>IFERROR(__XLUDF.DUMMYFUNCTION("PROPER(REGEXREPLACE(D52,""[^A-Za-z]+ "",""""))"),"Actense")</f>
        <v>Actense</v>
      </c>
      <c r="G9235" s="18" t="s">
        <v>39998</v>
      </c>
      <c r="H9235" s="18">
        <v>31</v>
      </c>
      <c r="I9235" s="18" t="s">
        <v>39661</v>
      </c>
      <c r="J9235" s="5" t="s">
        <v>39999</v>
      </c>
      <c r="K9235" s="5" t="s">
        <v>39874</v>
      </c>
      <c r="L9235" s="18" t="s">
        <v>39</v>
      </c>
      <c r="M9235" s="18" t="s">
        <v>29</v>
      </c>
      <c r="N9235" s="18" t="s">
        <v>39875</v>
      </c>
      <c r="O9235" s="18" t="s">
        <v>29</v>
      </c>
      <c r="P9235" s="18" t="s">
        <v>39876</v>
      </c>
      <c r="Q9235" s="6"/>
      <c r="R9235" s="6"/>
      <c r="S9235" s="6"/>
      <c r="T9235" s="6"/>
      <c r="U9235" s="6"/>
    </row>
    <row r="9236" ht="14.25">
      <c r="B9236" s="18" t="s">
        <v>330</v>
      </c>
      <c r="C9236" s="18" t="s">
        <v>40000</v>
      </c>
      <c r="D9236" s="18" t="s">
        <v>172</v>
      </c>
      <c r="E9236" s="18" t="s">
        <v>40001</v>
      </c>
      <c r="F9236" s="18" t="str">
        <f>IFERROR(__XLUDF.DUMMYFUNCTION("PROPER(REGEXREPLACE(D53,""[^A-Za-z]+ "",""""))"),"Sequantis Invest")</f>
        <v xml:space="preserve">Sequantis Invest</v>
      </c>
      <c r="G9236" s="18" t="s">
        <v>40002</v>
      </c>
      <c r="H9236" s="18">
        <v>11</v>
      </c>
      <c r="I9236" s="18" t="s">
        <v>2629</v>
      </c>
      <c r="J9236" s="5" t="s">
        <v>40003</v>
      </c>
      <c r="K9236" s="5" t="s">
        <v>40004</v>
      </c>
      <c r="L9236" s="18" t="s">
        <v>39</v>
      </c>
      <c r="M9236" s="18" t="s">
        <v>29</v>
      </c>
      <c r="N9236" s="18" t="s">
        <v>40005</v>
      </c>
      <c r="O9236" s="18" t="s">
        <v>29</v>
      </c>
      <c r="P9236" s="6"/>
      <c r="Q9236" s="6"/>
      <c r="R9236" s="6"/>
      <c r="S9236" s="6"/>
      <c r="T9236" s="6"/>
      <c r="U9236" s="6"/>
    </row>
    <row r="9237" ht="14.25">
      <c r="B9237" s="18" t="s">
        <v>2249</v>
      </c>
      <c r="C9237" s="18" t="s">
        <v>40006</v>
      </c>
      <c r="D9237" s="18" t="s">
        <v>172</v>
      </c>
      <c r="E9237" s="18" t="s">
        <v>40007</v>
      </c>
      <c r="F9237" s="18" t="str">
        <f>IFERROR(__XLUDF.DUMMYFUNCTION("PROPER(REGEXREPLACE(D54,""[^A-Za-z]+ "",""""))"),"Réassurez-Moi")</f>
        <v>Réassurez-Moi</v>
      </c>
      <c r="G9237" s="18" t="s">
        <v>40008</v>
      </c>
      <c r="H9237" s="18">
        <v>24</v>
      </c>
      <c r="I9237" s="18" t="s">
        <v>39661</v>
      </c>
      <c r="J9237" s="5" t="s">
        <v>40009</v>
      </c>
      <c r="K9237" s="5" t="s">
        <v>40010</v>
      </c>
      <c r="L9237" s="18" t="s">
        <v>39</v>
      </c>
      <c r="M9237" s="18" t="s">
        <v>29</v>
      </c>
      <c r="N9237" s="18" t="s">
        <v>40011</v>
      </c>
      <c r="O9237" s="18" t="s">
        <v>29</v>
      </c>
      <c r="P9237" s="18" t="s">
        <v>40012</v>
      </c>
      <c r="Q9237" s="6"/>
      <c r="R9237" s="6"/>
      <c r="S9237" s="6"/>
      <c r="T9237" s="6"/>
      <c r="U9237" s="6"/>
    </row>
    <row r="9238" ht="14.25">
      <c r="B9238" s="18" t="s">
        <v>110</v>
      </c>
      <c r="C9238" s="18" t="s">
        <v>40013</v>
      </c>
      <c r="D9238" s="18" t="s">
        <v>172</v>
      </c>
      <c r="E9238" s="18" t="s">
        <v>40014</v>
      </c>
      <c r="F9238" s="18" t="str">
        <f>IFERROR(__XLUDF.DUMMYFUNCTION("PROPER(REGEXREPLACE(D55,""[^A-Za-z]+ "",""""))"),"Agemi")</f>
        <v>Agemi</v>
      </c>
      <c r="G9238" s="18" t="s">
        <v>40015</v>
      </c>
      <c r="H9238" s="18">
        <v>17</v>
      </c>
      <c r="I9238" s="18" t="s">
        <v>39661</v>
      </c>
      <c r="J9238" s="5" t="s">
        <v>40016</v>
      </c>
      <c r="K9238" s="5" t="s">
        <v>40017</v>
      </c>
      <c r="L9238" s="18" t="s">
        <v>39</v>
      </c>
      <c r="M9238" s="18" t="s">
        <v>29</v>
      </c>
      <c r="N9238" s="18" t="s">
        <v>39702</v>
      </c>
      <c r="O9238" s="18" t="s">
        <v>29</v>
      </c>
      <c r="P9238" s="6"/>
      <c r="Q9238" s="6"/>
      <c r="R9238" s="6"/>
      <c r="S9238" s="6"/>
      <c r="T9238" s="6"/>
      <c r="U9238" s="6"/>
    </row>
    <row r="9239" ht="14.25">
      <c r="B9239" s="18" t="s">
        <v>2249</v>
      </c>
      <c r="C9239" s="18" t="s">
        <v>36322</v>
      </c>
      <c r="D9239" s="18" t="s">
        <v>172</v>
      </c>
      <c r="E9239" s="18" t="s">
        <v>40018</v>
      </c>
      <c r="F9239" s="18" t="str">
        <f>IFERROR(__XLUDF.DUMMYFUNCTION("PROPER(REGEXREPLACE(D56,""[^A-Za-z]+ "",""""))"),"Poe-Ma Insurances")</f>
        <v xml:space="preserve">Poe-Ma Insurances</v>
      </c>
      <c r="G9239" s="18" t="s">
        <v>40019</v>
      </c>
      <c r="H9239" s="18">
        <v>46</v>
      </c>
      <c r="I9239" s="18" t="s">
        <v>39661</v>
      </c>
      <c r="J9239" s="5" t="s">
        <v>40020</v>
      </c>
      <c r="K9239" s="5" t="s">
        <v>40021</v>
      </c>
      <c r="L9239" s="18" t="s">
        <v>40022</v>
      </c>
      <c r="M9239" s="18" t="s">
        <v>29</v>
      </c>
      <c r="N9239" s="18" t="s">
        <v>40023</v>
      </c>
      <c r="O9239" s="18" t="s">
        <v>29</v>
      </c>
      <c r="P9239" s="6"/>
      <c r="Q9239" s="6"/>
      <c r="R9239" s="6"/>
      <c r="S9239" s="6"/>
      <c r="T9239" s="6"/>
      <c r="U9239" s="6"/>
    </row>
    <row r="9240" ht="14.25">
      <c r="B9240" s="18" t="s">
        <v>874</v>
      </c>
      <c r="C9240" s="18" t="s">
        <v>40024</v>
      </c>
      <c r="D9240" s="18" t="s">
        <v>172</v>
      </c>
      <c r="E9240" s="18" t="s">
        <v>40025</v>
      </c>
      <c r="F9240" s="18" t="str">
        <f>IFERROR(__XLUDF.DUMMYFUNCTION("PROPER(REGEXREPLACE(D57,""[^A-Za-z]+ "",""""))"),"Mudetaf")</f>
        <v>Mudetaf</v>
      </c>
      <c r="G9240" s="18" t="s">
        <v>40026</v>
      </c>
      <c r="H9240" s="18">
        <v>44</v>
      </c>
      <c r="I9240" s="18" t="s">
        <v>39661</v>
      </c>
      <c r="J9240" s="5" t="s">
        <v>40027</v>
      </c>
      <c r="K9240" s="5" t="s">
        <v>40028</v>
      </c>
      <c r="L9240" s="6"/>
      <c r="M9240" s="18" t="s">
        <v>29</v>
      </c>
      <c r="N9240" s="18" t="s">
        <v>40029</v>
      </c>
      <c r="O9240" s="18" t="s">
        <v>29</v>
      </c>
      <c r="P9240" s="18" t="s">
        <v>40030</v>
      </c>
      <c r="Q9240" s="6"/>
      <c r="R9240" s="6"/>
      <c r="S9240" s="6"/>
      <c r="T9240" s="6"/>
      <c r="U9240" s="6"/>
    </row>
    <row r="9241" ht="14.25">
      <c r="B9241" s="18" t="s">
        <v>670</v>
      </c>
      <c r="C9241" s="18" t="s">
        <v>40031</v>
      </c>
      <c r="D9241" s="18" t="s">
        <v>172</v>
      </c>
      <c r="E9241" s="18" t="s">
        <v>40032</v>
      </c>
      <c r="F9241" s="18" t="str">
        <f>IFERROR(__XLUDF.DUMMYFUNCTION("PROPER(REGEXREPLACE(D58,""[^A-Za-z]+ "",""""))"),"Mutual General Distribution Company")</f>
        <v xml:space="preserve">Mutual General Distribution Company</v>
      </c>
      <c r="G9241" s="18" t="s">
        <v>40033</v>
      </c>
      <c r="H9241" s="18">
        <v>25</v>
      </c>
      <c r="I9241" s="18" t="s">
        <v>39661</v>
      </c>
      <c r="J9241" s="5" t="s">
        <v>40034</v>
      </c>
      <c r="K9241" s="5" t="s">
        <v>40035</v>
      </c>
      <c r="L9241" s="6"/>
      <c r="M9241" s="18" t="s">
        <v>29</v>
      </c>
      <c r="N9241" s="18" t="s">
        <v>40036</v>
      </c>
      <c r="O9241" s="18" t="s">
        <v>29</v>
      </c>
      <c r="P9241" s="6"/>
      <c r="Q9241" s="6"/>
      <c r="R9241" s="6"/>
      <c r="S9241" s="6"/>
      <c r="T9241" s="6"/>
      <c r="U9241" s="6"/>
    </row>
    <row r="9242" ht="14.25">
      <c r="B9242" s="18" t="s">
        <v>40037</v>
      </c>
      <c r="C9242" s="18" t="s">
        <v>40038</v>
      </c>
      <c r="D9242" s="18" t="s">
        <v>1950</v>
      </c>
      <c r="E9242" s="18" t="s">
        <v>40039</v>
      </c>
      <c r="F9242" s="18" t="str">
        <f>IFERROR(__XLUDF.DUMMYFUNCTION("PROPER(REGEXREPLACE(D59,""[^A-Za-z]+ "",""""))"),"Bicytrust")</f>
        <v>Bicytrust</v>
      </c>
      <c r="G9242" s="18" t="s">
        <v>40040</v>
      </c>
      <c r="H9242" s="18">
        <v>6</v>
      </c>
      <c r="I9242" s="18" t="s">
        <v>39661</v>
      </c>
      <c r="J9242" s="5" t="s">
        <v>40041</v>
      </c>
      <c r="K9242" s="5" t="s">
        <v>40042</v>
      </c>
      <c r="L9242" s="18" t="s">
        <v>39</v>
      </c>
      <c r="M9242" s="18" t="s">
        <v>29</v>
      </c>
      <c r="N9242" s="18" t="s">
        <v>40043</v>
      </c>
      <c r="O9242" s="18" t="s">
        <v>29</v>
      </c>
      <c r="P9242" s="18" t="s">
        <v>40044</v>
      </c>
      <c r="Q9242" s="6"/>
      <c r="R9242" s="6"/>
      <c r="S9242" s="6"/>
      <c r="T9242" s="6"/>
      <c r="U9242" s="6"/>
    </row>
    <row r="9243" ht="14.25">
      <c r="B9243" s="18" t="s">
        <v>1732</v>
      </c>
      <c r="C9243" s="18" t="s">
        <v>7518</v>
      </c>
      <c r="D9243" s="18" t="s">
        <v>87</v>
      </c>
      <c r="E9243" s="18" t="s">
        <v>40045</v>
      </c>
      <c r="F9243" s="18" t="str">
        <f>IFERROR(__XLUDF.DUMMYFUNCTION("PROPER(REGEXREPLACE(D60,""[^A-Za-z]+ "",""""))"),"Eugen")</f>
        <v>Eugen</v>
      </c>
      <c r="G9243" s="18" t="s">
        <v>40046</v>
      </c>
      <c r="H9243" s="18">
        <v>2</v>
      </c>
      <c r="I9243" s="18" t="s">
        <v>39661</v>
      </c>
      <c r="J9243" s="5" t="s">
        <v>40047</v>
      </c>
      <c r="K9243" s="5" t="s">
        <v>40048</v>
      </c>
      <c r="L9243" s="18" t="s">
        <v>39</v>
      </c>
      <c r="M9243" s="18" t="s">
        <v>29</v>
      </c>
      <c r="N9243" s="18" t="s">
        <v>40049</v>
      </c>
      <c r="O9243" s="18" t="s">
        <v>29</v>
      </c>
      <c r="P9243" s="18" t="s">
        <v>40050</v>
      </c>
      <c r="Q9243" s="6"/>
      <c r="R9243" s="6"/>
      <c r="S9243" s="6"/>
      <c r="T9243" s="6"/>
      <c r="U9243" s="6"/>
    </row>
    <row r="9244" ht="14.25">
      <c r="B9244" s="18" t="s">
        <v>485</v>
      </c>
      <c r="C9244" s="18" t="s">
        <v>40051</v>
      </c>
      <c r="D9244" s="18" t="s">
        <v>681</v>
      </c>
      <c r="E9244" s="18" t="s">
        <v>40052</v>
      </c>
      <c r="F9244" s="18" t="str">
        <f>IFERROR(__XLUDF.DUMMYFUNCTION("PROPER(REGEXREPLACE(D61,""[^A-Za-z]+ "",""""))"),"Carex France")</f>
        <v xml:space="preserve">Carex France</v>
      </c>
      <c r="G9244" s="18" t="s">
        <v>40053</v>
      </c>
      <c r="H9244" s="18">
        <v>4</v>
      </c>
      <c r="I9244" s="18" t="s">
        <v>39661</v>
      </c>
      <c r="J9244" s="5" t="s">
        <v>40054</v>
      </c>
      <c r="K9244" s="5" t="s">
        <v>40055</v>
      </c>
      <c r="L9244" s="18" t="s">
        <v>39</v>
      </c>
      <c r="M9244" s="18" t="s">
        <v>29</v>
      </c>
      <c r="N9244" s="18" t="s">
        <v>40056</v>
      </c>
      <c r="O9244" s="18" t="s">
        <v>29</v>
      </c>
      <c r="P9244" s="6"/>
      <c r="Q9244" s="6"/>
      <c r="R9244" s="6"/>
      <c r="S9244" s="6"/>
      <c r="T9244" s="6"/>
      <c r="U9244" s="6"/>
    </row>
    <row r="9245" ht="14.25">
      <c r="B9245" s="18" t="s">
        <v>12327</v>
      </c>
      <c r="C9245" s="18" t="s">
        <v>40057</v>
      </c>
      <c r="D9245" s="18" t="s">
        <v>688</v>
      </c>
      <c r="E9245" s="18" t="s">
        <v>40058</v>
      </c>
      <c r="F9245" s="18" t="str">
        <f>IFERROR(__XLUDF.DUMMYFUNCTION("PROPER(REGEXREPLACE(D62,""[^A-Za-z]+ "",""""))"),"Maior")</f>
        <v>Maior</v>
      </c>
      <c r="G9245" s="18" t="s">
        <v>40059</v>
      </c>
      <c r="H9245" s="18">
        <v>2</v>
      </c>
      <c r="I9245" s="18" t="s">
        <v>2629</v>
      </c>
      <c r="J9245" s="5" t="s">
        <v>40060</v>
      </c>
      <c r="K9245" s="5" t="s">
        <v>40061</v>
      </c>
      <c r="L9245" s="18" t="s">
        <v>49</v>
      </c>
      <c r="M9245" s="18" t="s">
        <v>29</v>
      </c>
      <c r="N9245" s="18" t="s">
        <v>40062</v>
      </c>
      <c r="O9245" s="18" t="s">
        <v>29</v>
      </c>
      <c r="P9245" s="18" t="s">
        <v>40063</v>
      </c>
      <c r="Q9245" s="6"/>
      <c r="R9245" s="6"/>
      <c r="S9245" s="6"/>
      <c r="T9245" s="6"/>
      <c r="U9245" s="6"/>
    </row>
    <row r="9246" ht="14.25">
      <c r="B9246" s="18" t="s">
        <v>40064</v>
      </c>
      <c r="C9246" s="18" t="s">
        <v>40065</v>
      </c>
      <c r="D9246" s="18" t="s">
        <v>112</v>
      </c>
      <c r="E9246" s="18" t="s">
        <v>40066</v>
      </c>
      <c r="F9246" s="18" t="str">
        <f>IFERROR(__XLUDF.DUMMYFUNCTION("PROPER(REGEXREPLACE(D63,""[^A-Za-z]+ "",""""))"),"Mb Cautions")</f>
        <v xml:space="preserve">Mb Cautions</v>
      </c>
      <c r="G9246" s="18" t="s">
        <v>40067</v>
      </c>
      <c r="H9246" s="18">
        <v>36</v>
      </c>
      <c r="I9246" s="18" t="s">
        <v>39661</v>
      </c>
      <c r="J9246" s="5" t="s">
        <v>40068</v>
      </c>
      <c r="K9246" s="5" t="s">
        <v>40069</v>
      </c>
      <c r="L9246" s="18" t="s">
        <v>40070</v>
      </c>
      <c r="M9246" s="18" t="s">
        <v>29</v>
      </c>
      <c r="N9246" s="18" t="s">
        <v>40071</v>
      </c>
      <c r="O9246" s="18" t="s">
        <v>29</v>
      </c>
      <c r="P9246" s="6"/>
      <c r="Q9246" s="6"/>
      <c r="R9246" s="6"/>
      <c r="S9246" s="6"/>
      <c r="T9246" s="6"/>
      <c r="U9246" s="6"/>
    </row>
    <row r="9247" ht="14.25">
      <c r="B9247" s="18" t="s">
        <v>622</v>
      </c>
      <c r="C9247" s="18" t="s">
        <v>40072</v>
      </c>
      <c r="D9247" s="18" t="s">
        <v>112</v>
      </c>
      <c r="E9247" s="18" t="s">
        <v>40073</v>
      </c>
      <c r="F9247" s="18" t="str">
        <f>IFERROR(__XLUDF.DUMMYFUNCTION("PROPER(REGEXREPLACE(D64,""[^A-Za-z]+ "",""""))"),"Hoken Sas")</f>
        <v xml:space="preserve">Hoken Sas</v>
      </c>
      <c r="G9247" s="18" t="s">
        <v>40074</v>
      </c>
      <c r="H9247" s="18">
        <v>11</v>
      </c>
      <c r="I9247" s="18" t="s">
        <v>39661</v>
      </c>
      <c r="J9247" s="5" t="s">
        <v>40075</v>
      </c>
      <c r="K9247" s="5" t="s">
        <v>40076</v>
      </c>
      <c r="L9247" s="18" t="s">
        <v>185</v>
      </c>
      <c r="M9247" s="18" t="s">
        <v>29</v>
      </c>
      <c r="N9247" s="18" t="s">
        <v>40077</v>
      </c>
      <c r="O9247" s="18" t="s">
        <v>29</v>
      </c>
      <c r="P9247" s="18" t="s">
        <v>40078</v>
      </c>
      <c r="Q9247" s="6"/>
      <c r="R9247" s="6"/>
      <c r="S9247" s="6"/>
      <c r="T9247" s="6"/>
      <c r="U9247" s="6"/>
    </row>
    <row r="9248" ht="14.25">
      <c r="B9248" s="18" t="s">
        <v>2299</v>
      </c>
      <c r="C9248" s="18" t="s">
        <v>40079</v>
      </c>
      <c r="D9248" s="18" t="s">
        <v>120</v>
      </c>
      <c r="E9248" s="18" t="s">
        <v>40080</v>
      </c>
      <c r="F9248" s="18" t="str">
        <f>IFERROR(__XLUDF.DUMMYFUNCTION("PROPER(REGEXREPLACE(D65,""[^A-Za-z]+ "",""""))"),"Serenitrip")</f>
        <v>Serenitrip</v>
      </c>
      <c r="G9248" s="18" t="s">
        <v>40081</v>
      </c>
      <c r="H9248" s="18">
        <v>5</v>
      </c>
      <c r="I9248" s="18" t="s">
        <v>39661</v>
      </c>
      <c r="J9248" s="5" t="s">
        <v>40082</v>
      </c>
      <c r="K9248" s="5" t="s">
        <v>40083</v>
      </c>
      <c r="L9248" s="6"/>
      <c r="M9248" s="18" t="s">
        <v>29</v>
      </c>
      <c r="N9248" s="18" t="s">
        <v>21267</v>
      </c>
      <c r="O9248" s="18" t="s">
        <v>29</v>
      </c>
      <c r="P9248" s="18" t="s">
        <v>40084</v>
      </c>
      <c r="Q9248" s="6"/>
      <c r="R9248" s="6"/>
      <c r="S9248" s="6"/>
      <c r="T9248" s="6"/>
      <c r="U9248" s="6"/>
    </row>
    <row r="9249" ht="14.25">
      <c r="B9249" s="18" t="s">
        <v>3165</v>
      </c>
      <c r="C9249" s="18" t="s">
        <v>40085</v>
      </c>
      <c r="D9249" s="18" t="s">
        <v>172</v>
      </c>
      <c r="E9249" s="18" t="s">
        <v>40086</v>
      </c>
      <c r="F9249" s="18" t="str">
        <f>IFERROR(__XLUDF.DUMMYFUNCTION("PROPER(REGEXREPLACE(D66,""[^A-Za-z]+ "",""""))"),"Momentum Assurances")</f>
        <v xml:space="preserve">Momentum Assurances</v>
      </c>
      <c r="G9249" s="18" t="s">
        <v>40087</v>
      </c>
      <c r="H9249" s="18">
        <v>25</v>
      </c>
      <c r="I9249" s="18" t="s">
        <v>39661</v>
      </c>
      <c r="J9249" s="5" t="s">
        <v>40088</v>
      </c>
      <c r="K9249" s="5" t="s">
        <v>40089</v>
      </c>
      <c r="L9249" s="18" t="s">
        <v>185</v>
      </c>
      <c r="M9249" s="18" t="s">
        <v>29</v>
      </c>
      <c r="N9249" s="18" t="s">
        <v>40090</v>
      </c>
      <c r="O9249" s="18" t="s">
        <v>29</v>
      </c>
      <c r="P9249" s="18" t="s">
        <v>40091</v>
      </c>
      <c r="Q9249" s="6"/>
      <c r="R9249" s="6"/>
      <c r="S9249" s="6"/>
      <c r="T9249" s="6"/>
      <c r="U9249" s="6"/>
    </row>
    <row r="9250" ht="14.25">
      <c r="B9250" s="18" t="s">
        <v>18559</v>
      </c>
      <c r="C9250" s="18" t="s">
        <v>40092</v>
      </c>
      <c r="D9250" s="18" t="s">
        <v>198</v>
      </c>
      <c r="E9250" s="18" t="s">
        <v>40093</v>
      </c>
      <c r="F9250" s="18" t="str">
        <f>IFERROR(__XLUDF.DUMMYFUNCTION("PROPER(REGEXREPLACE(D67,""[^A-Za-z]+ "",""""))"),"Aps Prévoyance")</f>
        <v xml:space="preserve">Aps Prévoyance</v>
      </c>
      <c r="G9250" s="18" t="s">
        <v>40094</v>
      </c>
      <c r="H9250" s="18">
        <v>25</v>
      </c>
      <c r="I9250" s="18" t="s">
        <v>39661</v>
      </c>
      <c r="J9250" s="5" t="s">
        <v>40095</v>
      </c>
      <c r="K9250" s="5" t="s">
        <v>40096</v>
      </c>
      <c r="L9250" s="18" t="s">
        <v>3848</v>
      </c>
      <c r="M9250" s="18" t="s">
        <v>29</v>
      </c>
      <c r="N9250" s="18" t="s">
        <v>40097</v>
      </c>
      <c r="O9250" s="18" t="s">
        <v>29</v>
      </c>
      <c r="P9250" s="18" t="s">
        <v>40098</v>
      </c>
      <c r="Q9250" s="6"/>
      <c r="R9250" s="6"/>
      <c r="S9250" s="6"/>
      <c r="T9250" s="6"/>
      <c r="U9250" s="6"/>
    </row>
    <row r="9251" ht="14.25">
      <c r="B9251" s="18" t="s">
        <v>5252</v>
      </c>
      <c r="C9251" s="18" t="s">
        <v>40099</v>
      </c>
      <c r="D9251" s="18" t="s">
        <v>172</v>
      </c>
      <c r="E9251" s="18" t="s">
        <v>40100</v>
      </c>
      <c r="F9251" s="18" t="str">
        <f>IFERROR(__XLUDF.DUMMYFUNCTION("PROPER(REGEXREPLACE(D68,""[^A-Za-z]+ "",""""))"),"Horizon Assurances")</f>
        <v xml:space="preserve">Horizon Assurances</v>
      </c>
      <c r="G9251" s="18" t="s">
        <v>40101</v>
      </c>
      <c r="H9251" s="18">
        <v>10</v>
      </c>
      <c r="I9251" s="18" t="s">
        <v>39661</v>
      </c>
      <c r="J9251" s="5" t="s">
        <v>40102</v>
      </c>
      <c r="K9251" s="5" t="s">
        <v>40103</v>
      </c>
      <c r="L9251" s="18" t="s">
        <v>49</v>
      </c>
      <c r="M9251" s="18" t="s">
        <v>29</v>
      </c>
      <c r="N9251" s="18" t="s">
        <v>40104</v>
      </c>
      <c r="O9251" s="18" t="s">
        <v>29</v>
      </c>
      <c r="P9251" s="18" t="s">
        <v>40105</v>
      </c>
      <c r="Q9251" s="6"/>
      <c r="R9251" s="6"/>
      <c r="S9251" s="6"/>
      <c r="T9251" s="6"/>
      <c r="U9251" s="6"/>
    </row>
    <row r="9252" ht="14.25">
      <c r="B9252" s="18" t="s">
        <v>866</v>
      </c>
      <c r="C9252" s="18" t="s">
        <v>40106</v>
      </c>
      <c r="D9252" s="18" t="s">
        <v>172</v>
      </c>
      <c r="E9252" s="18" t="s">
        <v>40107</v>
      </c>
      <c r="F9252" s="18" t="str">
        <f>IFERROR(__XLUDF.DUMMYFUNCTION("PROPER(REGEXREPLACE(D69,""[^A-Za-z]+ "",""""))"),"Sfa Congo")</f>
        <v xml:space="preserve">Sfa Congo</v>
      </c>
      <c r="G9252" s="18" t="s">
        <v>40108</v>
      </c>
      <c r="H9252" s="18">
        <v>44</v>
      </c>
      <c r="I9252" s="18" t="s">
        <v>39661</v>
      </c>
      <c r="J9252" s="5" t="s">
        <v>40109</v>
      </c>
      <c r="K9252" s="5" t="s">
        <v>40110</v>
      </c>
      <c r="L9252" s="18" t="s">
        <v>6078</v>
      </c>
      <c r="M9252" s="18" t="s">
        <v>29</v>
      </c>
      <c r="N9252" s="18" t="s">
        <v>40111</v>
      </c>
      <c r="O9252" s="18" t="s">
        <v>40112</v>
      </c>
      <c r="P9252" s="18" t="s">
        <v>40113</v>
      </c>
      <c r="Q9252" s="6"/>
      <c r="R9252" s="6"/>
      <c r="S9252" s="6"/>
      <c r="T9252" s="6"/>
      <c r="U9252" s="6"/>
    </row>
    <row r="9253" ht="14.25">
      <c r="B9253" s="18" t="s">
        <v>743</v>
      </c>
      <c r="C9253" s="18" t="s">
        <v>11788</v>
      </c>
      <c r="D9253" s="18" t="s">
        <v>87</v>
      </c>
      <c r="E9253" s="18" t="s">
        <v>40114</v>
      </c>
      <c r="F9253" s="18" t="str">
        <f>IFERROR(__XLUDF.DUMMYFUNCTION("PROPER(REGEXREPLACE(D70,""[^A-Za-z]+ "",""""))"),"Les Bureaux De L'Epargne")</f>
        <v xml:space="preserve">Les Bureaux De L'Epargne</v>
      </c>
      <c r="G9253" s="18" t="s">
        <v>40115</v>
      </c>
      <c r="H9253" s="18">
        <v>26</v>
      </c>
      <c r="I9253" s="18" t="s">
        <v>39661</v>
      </c>
      <c r="J9253" s="5" t="s">
        <v>40116</v>
      </c>
      <c r="K9253" s="5" t="s">
        <v>40117</v>
      </c>
      <c r="L9253" s="18" t="s">
        <v>39</v>
      </c>
      <c r="M9253" s="18" t="s">
        <v>29</v>
      </c>
      <c r="N9253" s="18" t="s">
        <v>40118</v>
      </c>
      <c r="O9253" s="18" t="s">
        <v>29</v>
      </c>
      <c r="P9253" s="6"/>
      <c r="Q9253" s="6"/>
      <c r="R9253" s="6"/>
      <c r="S9253" s="6"/>
      <c r="T9253" s="6"/>
      <c r="U9253" s="6"/>
    </row>
    <row r="9254" ht="14.25">
      <c r="B9254" s="18" t="s">
        <v>6356</v>
      </c>
      <c r="C9254" s="18" t="s">
        <v>29501</v>
      </c>
      <c r="D9254" s="18" t="s">
        <v>2911</v>
      </c>
      <c r="E9254" s="18" t="s">
        <v>40119</v>
      </c>
      <c r="F9254" s="18" t="str">
        <f>IFERROR(__XLUDF.DUMMYFUNCTION("PROPER(REGEXREPLACE(D71,""[^A-Za-z]+ "",""""))"),"Testamento")</f>
        <v>Testamento</v>
      </c>
      <c r="G9254" s="18" t="s">
        <v>40120</v>
      </c>
      <c r="H9254" s="18">
        <v>16</v>
      </c>
      <c r="I9254" s="18" t="s">
        <v>39661</v>
      </c>
      <c r="J9254" s="5" t="s">
        <v>40121</v>
      </c>
      <c r="K9254" s="5" t="s">
        <v>40122</v>
      </c>
      <c r="L9254" s="18" t="s">
        <v>6954</v>
      </c>
      <c r="M9254" s="18" t="s">
        <v>29</v>
      </c>
      <c r="N9254" s="18" t="s">
        <v>18870</v>
      </c>
      <c r="O9254" s="18" t="s">
        <v>29</v>
      </c>
      <c r="P9254" s="6"/>
      <c r="Q9254" s="6"/>
      <c r="R9254" s="6"/>
      <c r="S9254" s="6"/>
      <c r="T9254" s="6"/>
      <c r="U9254" s="6"/>
    </row>
    <row r="9255" ht="14.25">
      <c r="B9255" s="18" t="s">
        <v>2242</v>
      </c>
      <c r="C9255" s="18" t="s">
        <v>40123</v>
      </c>
      <c r="D9255" s="18" t="s">
        <v>40124</v>
      </c>
      <c r="E9255" s="18" t="s">
        <v>39815</v>
      </c>
      <c r="F9255" s="18" t="str">
        <f>IFERROR(__XLUDF.DUMMYFUNCTION("PROPER(REGEXREPLACE(D72,""[^A-Za-z]+ "",""""))"),"Gedeon")</f>
        <v>Gedeon</v>
      </c>
      <c r="G9255" s="18" t="s">
        <v>40125</v>
      </c>
      <c r="H9255" s="18">
        <v>35</v>
      </c>
      <c r="I9255" s="18" t="s">
        <v>39661</v>
      </c>
      <c r="J9255" s="5" t="s">
        <v>40126</v>
      </c>
      <c r="K9255" s="5" t="s">
        <v>39818</v>
      </c>
      <c r="L9255" s="18" t="s">
        <v>185</v>
      </c>
      <c r="M9255" s="18" t="s">
        <v>29</v>
      </c>
      <c r="N9255" s="18" t="s">
        <v>125</v>
      </c>
      <c r="O9255" s="18" t="s">
        <v>29</v>
      </c>
      <c r="P9255" s="18" t="s">
        <v>39819</v>
      </c>
      <c r="Q9255" s="6"/>
      <c r="R9255" s="6"/>
      <c r="S9255" s="6"/>
      <c r="T9255" s="6"/>
      <c r="U9255" s="6"/>
    </row>
    <row r="9256" ht="14.25">
      <c r="B9256" s="18" t="s">
        <v>1562</v>
      </c>
      <c r="C9256" s="18" t="s">
        <v>40127</v>
      </c>
      <c r="D9256" s="18" t="s">
        <v>40128</v>
      </c>
      <c r="E9256" s="18" t="s">
        <v>40129</v>
      </c>
      <c r="F9256" s="18" t="str">
        <f>IFERROR(__XLUDF.DUMMYFUNCTION("PROPER(REGEXREPLACE(D73,""[^A-Za-z]+ "",""""))"),"Zenioo")</f>
        <v>Zenioo</v>
      </c>
      <c r="G9256" s="18" t="s">
        <v>40130</v>
      </c>
      <c r="H9256" s="18">
        <v>26</v>
      </c>
      <c r="I9256" s="18" t="s">
        <v>39661</v>
      </c>
      <c r="J9256" s="5" t="s">
        <v>40131</v>
      </c>
      <c r="K9256" s="5" t="s">
        <v>40132</v>
      </c>
      <c r="L9256" s="18" t="s">
        <v>185</v>
      </c>
      <c r="M9256" s="18" t="s">
        <v>29</v>
      </c>
      <c r="N9256" s="18" t="s">
        <v>40049</v>
      </c>
      <c r="O9256" s="18" t="s">
        <v>29</v>
      </c>
      <c r="P9256" s="18" t="s">
        <v>40133</v>
      </c>
      <c r="Q9256" s="6"/>
      <c r="R9256" s="6"/>
      <c r="S9256" s="6"/>
      <c r="T9256" s="6"/>
      <c r="U9256" s="6"/>
    </row>
    <row r="9257" ht="14.25">
      <c r="B9257" s="18" t="s">
        <v>4961</v>
      </c>
      <c r="C9257" s="18" t="s">
        <v>4857</v>
      </c>
      <c r="D9257" s="18" t="s">
        <v>26412</v>
      </c>
      <c r="E9257" s="18" t="s">
        <v>40134</v>
      </c>
      <c r="F9257" s="18" t="str">
        <f>IFERROR(__XLUDF.DUMMYFUNCTION("PROPER(REGEXREPLACE(D74,""[^A-Za-z]+ "",""""))"),"Perlib 🌱")</f>
        <v xml:space="preserve">Perlib 🌱</v>
      </c>
      <c r="G9257" s="18" t="s">
        <v>40135</v>
      </c>
      <c r="H9257" s="18">
        <v>44</v>
      </c>
      <c r="I9257" s="18" t="s">
        <v>39661</v>
      </c>
      <c r="J9257" s="5" t="s">
        <v>40136</v>
      </c>
      <c r="K9257" s="5" t="s">
        <v>40137</v>
      </c>
      <c r="L9257" s="6"/>
      <c r="M9257" s="18" t="s">
        <v>29</v>
      </c>
      <c r="N9257" s="18" t="s">
        <v>67</v>
      </c>
      <c r="O9257" s="18" t="s">
        <v>29</v>
      </c>
      <c r="P9257" s="18" t="s">
        <v>5069</v>
      </c>
      <c r="Q9257" s="6"/>
      <c r="R9257" s="6"/>
      <c r="S9257" s="6"/>
      <c r="T9257" s="6"/>
      <c r="U9257" s="6"/>
    </row>
    <row r="9258" ht="14.25">
      <c r="B9258" s="18" t="s">
        <v>769</v>
      </c>
      <c r="C9258" s="18" t="s">
        <v>40138</v>
      </c>
      <c r="D9258" s="18" t="s">
        <v>112</v>
      </c>
      <c r="E9258" s="18" t="s">
        <v>40139</v>
      </c>
      <c r="F9258" s="18" t="str">
        <f>IFERROR(__XLUDF.DUMMYFUNCTION("PROPER(REGEXREPLACE(D75,""[^A-Za-z]+ "",""""))"),"Eurosud Swaton Sas Courtier En Assurancesmarseille")</f>
        <v xml:space="preserve">Eurosud Swaton Sas Courtier En Assurancesmarseille</v>
      </c>
      <c r="G9258" s="18" t="s">
        <v>40140</v>
      </c>
      <c r="H9258" s="18">
        <v>31</v>
      </c>
      <c r="I9258" s="18" t="s">
        <v>39661</v>
      </c>
      <c r="J9258" s="5" t="s">
        <v>40141</v>
      </c>
      <c r="K9258" s="5" t="s">
        <v>40142</v>
      </c>
      <c r="L9258" s="18" t="s">
        <v>295</v>
      </c>
      <c r="M9258" s="18" t="s">
        <v>29</v>
      </c>
      <c r="N9258" s="18" t="s">
        <v>40143</v>
      </c>
      <c r="O9258" s="18" t="s">
        <v>29</v>
      </c>
      <c r="P9258" s="18" t="s">
        <v>40144</v>
      </c>
      <c r="Q9258" s="6"/>
      <c r="R9258" s="6"/>
      <c r="S9258" s="6"/>
      <c r="T9258" s="6"/>
      <c r="U9258" s="6"/>
    </row>
    <row r="9259" ht="14.25">
      <c r="B9259" s="18" t="s">
        <v>40145</v>
      </c>
      <c r="C9259" s="18" t="s">
        <v>40146</v>
      </c>
      <c r="D9259" s="18" t="s">
        <v>112</v>
      </c>
      <c r="E9259" s="18" t="s">
        <v>40147</v>
      </c>
      <c r="F9259" s="18" t="str">
        <f>IFERROR(__XLUDF.DUMMYFUNCTION("PROPER(REGEXREPLACE(D76,""[^A-Za-z]+ "",""""))"),"Mlc Mutuelle")</f>
        <v xml:space="preserve">Mlc Mutuelle</v>
      </c>
      <c r="G9259" s="18" t="s">
        <v>40148</v>
      </c>
      <c r="H9259" s="18">
        <v>36</v>
      </c>
      <c r="I9259" s="18" t="s">
        <v>39661</v>
      </c>
      <c r="J9259" s="5" t="s">
        <v>40149</v>
      </c>
      <c r="K9259" s="5" t="s">
        <v>40150</v>
      </c>
      <c r="L9259" s="18" t="s">
        <v>1312</v>
      </c>
      <c r="M9259" s="18" t="s">
        <v>29</v>
      </c>
      <c r="N9259" s="18" t="s">
        <v>40151</v>
      </c>
      <c r="O9259" s="18" t="s">
        <v>29</v>
      </c>
      <c r="P9259" s="6"/>
      <c r="Q9259" s="6"/>
      <c r="R9259" s="6"/>
      <c r="S9259" s="6"/>
      <c r="T9259" s="6"/>
      <c r="U9259" s="6"/>
    </row>
    <row r="9260" ht="14.25">
      <c r="B9260" s="18" t="s">
        <v>1198</v>
      </c>
      <c r="C9260" s="18" t="s">
        <v>40152</v>
      </c>
      <c r="D9260" s="18" t="s">
        <v>112</v>
      </c>
      <c r="E9260" s="18" t="s">
        <v>40153</v>
      </c>
      <c r="F9260" s="18" t="str">
        <f>IFERROR(__XLUDF.DUMMYFUNCTION("PROPER(REGEXREPLACE(D77,""[^A-Za-z]+ "",""""))"),"Lycéa")</f>
        <v>Lycéa</v>
      </c>
      <c r="G9260" s="18" t="s">
        <v>40154</v>
      </c>
      <c r="H9260" s="18">
        <v>22</v>
      </c>
      <c r="I9260" s="18" t="s">
        <v>39661</v>
      </c>
      <c r="J9260" s="5" t="s">
        <v>40155</v>
      </c>
      <c r="K9260" s="5" t="s">
        <v>40156</v>
      </c>
      <c r="L9260" s="18" t="s">
        <v>185</v>
      </c>
      <c r="M9260" s="18" t="s">
        <v>29</v>
      </c>
      <c r="N9260" s="18" t="s">
        <v>40157</v>
      </c>
      <c r="O9260" s="18" t="s">
        <v>29</v>
      </c>
      <c r="P9260" s="18" t="s">
        <v>40158</v>
      </c>
      <c r="Q9260" s="6"/>
      <c r="R9260" s="6"/>
      <c r="S9260" s="6"/>
      <c r="T9260" s="6"/>
      <c r="U9260" s="6"/>
    </row>
    <row r="9261" ht="14.25">
      <c r="B9261" s="18" t="s">
        <v>11701</v>
      </c>
      <c r="C9261" s="18" t="s">
        <v>40159</v>
      </c>
      <c r="D9261" s="18" t="s">
        <v>87</v>
      </c>
      <c r="E9261" s="18" t="s">
        <v>40160</v>
      </c>
      <c r="F9261" s="18" t="str">
        <f>IFERROR(__XLUDF.DUMMYFUNCTION("PROPER(REGEXREPLACE(D78,""[^A-Za-z]+ "",""""))"),"Ataraxia Patrimoine")</f>
        <v xml:space="preserve">Ataraxia Patrimoine</v>
      </c>
      <c r="G9261" s="18" t="s">
        <v>40161</v>
      </c>
      <c r="H9261" s="18">
        <v>14</v>
      </c>
      <c r="I9261" s="18" t="s">
        <v>39661</v>
      </c>
      <c r="J9261" s="5" t="s">
        <v>40162</v>
      </c>
      <c r="K9261" s="5" t="s">
        <v>40163</v>
      </c>
      <c r="L9261" s="6"/>
      <c r="M9261" s="18" t="s">
        <v>29</v>
      </c>
      <c r="N9261" s="18" t="s">
        <v>67</v>
      </c>
      <c r="O9261" s="18" t="s">
        <v>29</v>
      </c>
      <c r="P9261" s="18" t="s">
        <v>40164</v>
      </c>
      <c r="Q9261" s="6"/>
      <c r="R9261" s="6"/>
      <c r="S9261" s="6"/>
      <c r="T9261" s="6"/>
      <c r="U9261" s="6"/>
    </row>
    <row r="9262" ht="14.25">
      <c r="B9262" s="18" t="s">
        <v>661</v>
      </c>
      <c r="C9262" s="18" t="s">
        <v>24502</v>
      </c>
      <c r="D9262" s="18" t="s">
        <v>5953</v>
      </c>
      <c r="E9262" s="18" t="s">
        <v>40165</v>
      </c>
      <c r="F9262" s="18" t="str">
        <f>IFERROR(__XLUDF.DUMMYFUNCTION("PROPER(REGEXREPLACE(D79,""[^A-Za-z]+ "",""""))"),"Aiac Courtage")</f>
        <v xml:space="preserve">Aiac Courtage</v>
      </c>
      <c r="G9262" s="18" t="s">
        <v>40166</v>
      </c>
      <c r="H9262" s="18">
        <v>34</v>
      </c>
      <c r="I9262" s="18" t="s">
        <v>39661</v>
      </c>
      <c r="J9262" s="5" t="s">
        <v>40167</v>
      </c>
      <c r="K9262" s="5" t="s">
        <v>40168</v>
      </c>
      <c r="L9262" s="6"/>
      <c r="M9262" s="18" t="s">
        <v>29</v>
      </c>
      <c r="N9262" s="18" t="s">
        <v>40169</v>
      </c>
      <c r="O9262" s="18" t="s">
        <v>29</v>
      </c>
      <c r="P9262" s="18" t="s">
        <v>40170</v>
      </c>
      <c r="Q9262" s="6"/>
      <c r="R9262" s="6"/>
      <c r="S9262" s="6"/>
      <c r="T9262" s="6"/>
      <c r="U9262" s="6"/>
    </row>
    <row r="9263" ht="14.25">
      <c r="B9263" s="18" t="s">
        <v>622</v>
      </c>
      <c r="C9263" s="18" t="s">
        <v>40171</v>
      </c>
      <c r="D9263" s="18" t="s">
        <v>112</v>
      </c>
      <c r="E9263" s="18" t="s">
        <v>40172</v>
      </c>
      <c r="F9263" s="18" t="str">
        <f>IFERROR(__XLUDF.DUMMYFUNCTION("PROPER(REGEXREPLACE(D80,""[^A-Za-z]+ "",""""))"),"Jadis Assurances")</f>
        <v xml:space="preserve">Jadis Assurances</v>
      </c>
      <c r="G9263" s="18" t="s">
        <v>40173</v>
      </c>
      <c r="H9263" s="18">
        <v>21</v>
      </c>
      <c r="I9263" s="18" t="s">
        <v>39661</v>
      </c>
      <c r="J9263" s="5" t="s">
        <v>40174</v>
      </c>
      <c r="K9263" s="5" t="s">
        <v>40175</v>
      </c>
      <c r="L9263" s="6"/>
      <c r="M9263" s="18" t="s">
        <v>29</v>
      </c>
      <c r="N9263" s="18" t="s">
        <v>40176</v>
      </c>
      <c r="O9263" s="18" t="s">
        <v>29</v>
      </c>
      <c r="P9263" s="6"/>
      <c r="Q9263" s="6"/>
      <c r="R9263" s="6"/>
      <c r="S9263" s="6"/>
      <c r="T9263" s="6"/>
      <c r="U9263" s="6"/>
    </row>
    <row r="9264" ht="14.25">
      <c r="B9264" s="18" t="s">
        <v>110</v>
      </c>
      <c r="C9264" s="18" t="s">
        <v>40177</v>
      </c>
      <c r="D9264" s="18" t="s">
        <v>487</v>
      </c>
      <c r="E9264" s="18" t="s">
        <v>40178</v>
      </c>
      <c r="F9264" s="18" t="str">
        <f>IFERROR(__XLUDF.DUMMYFUNCTION("PROPER(REGEXREPLACE(D81,""[^A-Za-z]+ "",""""))"),"Rétro+")</f>
        <v>Rétro+</v>
      </c>
      <c r="G9264" s="18" t="s">
        <v>40179</v>
      </c>
      <c r="H9264" s="18">
        <v>26</v>
      </c>
      <c r="I9264" s="18" t="s">
        <v>39661</v>
      </c>
      <c r="J9264" s="5" t="s">
        <v>40180</v>
      </c>
      <c r="K9264" s="5" t="s">
        <v>40181</v>
      </c>
      <c r="L9264" s="6"/>
      <c r="M9264" s="18" t="s">
        <v>29</v>
      </c>
      <c r="N9264" s="18" t="s">
        <v>40182</v>
      </c>
      <c r="O9264" s="18" t="s">
        <v>29</v>
      </c>
      <c r="P9264" s="18" t="s">
        <v>40183</v>
      </c>
      <c r="Q9264" s="6"/>
      <c r="R9264" s="6"/>
      <c r="S9264" s="6"/>
      <c r="T9264" s="6"/>
      <c r="U9264" s="6"/>
    </row>
    <row r="9265" ht="14.25">
      <c r="B9265" s="18" t="s">
        <v>40184</v>
      </c>
      <c r="C9265" s="18" t="s">
        <v>1430</v>
      </c>
      <c r="D9265" s="18" t="s">
        <v>40185</v>
      </c>
      <c r="E9265" s="18" t="s">
        <v>40073</v>
      </c>
      <c r="F9265" s="18" t="str">
        <f>IFERROR(__XLUDF.DUMMYFUNCTION("PROPER(REGEXREPLACE(D82,""[^A-Za-z]+ "",""""))"),"Hoken Sas")</f>
        <v xml:space="preserve">Hoken Sas</v>
      </c>
      <c r="G9265" s="18" t="s">
        <v>40186</v>
      </c>
      <c r="H9265" s="18">
        <v>11</v>
      </c>
      <c r="I9265" s="18" t="s">
        <v>39661</v>
      </c>
      <c r="J9265" s="5" t="s">
        <v>40187</v>
      </c>
      <c r="K9265" s="5" t="s">
        <v>40076</v>
      </c>
      <c r="L9265" s="18" t="s">
        <v>185</v>
      </c>
      <c r="M9265" s="18" t="s">
        <v>29</v>
      </c>
      <c r="N9265" s="18" t="s">
        <v>40077</v>
      </c>
      <c r="O9265" s="18" t="s">
        <v>29</v>
      </c>
      <c r="P9265" s="18" t="s">
        <v>40078</v>
      </c>
      <c r="Q9265" s="6"/>
      <c r="R9265" s="6"/>
      <c r="S9265" s="6"/>
      <c r="T9265" s="6"/>
      <c r="U9265" s="6"/>
    </row>
    <row r="9266" ht="14.25">
      <c r="B9266" s="18" t="s">
        <v>76</v>
      </c>
      <c r="C9266" s="18" t="s">
        <v>40188</v>
      </c>
      <c r="D9266" s="18" t="s">
        <v>40189</v>
      </c>
      <c r="E9266" s="18" t="s">
        <v>40190</v>
      </c>
      <c r="F9266" s="18" t="str">
        <f>IFERROR(__XLUDF.DUMMYFUNCTION("PROPER(REGEXREPLACE(D83,""[^A-Za-z]+ "",""""))"),"Coveroo")</f>
        <v>Coveroo</v>
      </c>
      <c r="G9266" s="18" t="s">
        <v>40191</v>
      </c>
      <c r="H9266" s="18">
        <v>1</v>
      </c>
      <c r="I9266" s="18" t="s">
        <v>39661</v>
      </c>
      <c r="J9266" s="5" t="s">
        <v>40192</v>
      </c>
      <c r="K9266" s="5" t="s">
        <v>40193</v>
      </c>
      <c r="L9266" s="18" t="s">
        <v>185</v>
      </c>
      <c r="M9266" s="18" t="s">
        <v>29</v>
      </c>
      <c r="N9266" s="18" t="s">
        <v>40194</v>
      </c>
      <c r="O9266" s="18" t="s">
        <v>29</v>
      </c>
      <c r="P9266" s="6"/>
      <c r="Q9266" s="6"/>
      <c r="R9266" s="6"/>
      <c r="S9266" s="6"/>
      <c r="T9266" s="6"/>
      <c r="U9266" s="6"/>
    </row>
    <row r="9267" ht="14.25">
      <c r="B9267" s="18" t="s">
        <v>40195</v>
      </c>
      <c r="C9267" s="18" t="s">
        <v>40196</v>
      </c>
      <c r="D9267" s="18" t="s">
        <v>172</v>
      </c>
      <c r="E9267" s="5" t="s">
        <v>40197</v>
      </c>
      <c r="F9267" s="5" t="str">
        <f>IFERROR(__XLUDF.DUMMYFUNCTION("PROPER(REGEXREPLACE(D84,""[^A-Za-z]+ "",""""))"),"Fin-Flouss.Com")</f>
        <v>Fin-Flouss.Com</v>
      </c>
      <c r="G9267" s="18" t="s">
        <v>40198</v>
      </c>
      <c r="H9267" s="18">
        <v>38</v>
      </c>
      <c r="I9267" s="18" t="s">
        <v>2629</v>
      </c>
      <c r="J9267" s="5" t="s">
        <v>40199</v>
      </c>
      <c r="K9267" s="5" t="s">
        <v>40200</v>
      </c>
      <c r="L9267" s="6"/>
      <c r="M9267" s="18" t="s">
        <v>29</v>
      </c>
      <c r="N9267" s="18" t="s">
        <v>22504</v>
      </c>
      <c r="O9267" s="18" t="s">
        <v>848</v>
      </c>
      <c r="P9267" s="6"/>
      <c r="Q9267" s="6"/>
      <c r="R9267" s="6"/>
      <c r="S9267" s="6"/>
      <c r="T9267" s="6"/>
      <c r="U9267" s="6"/>
    </row>
    <row r="9268" ht="14.25">
      <c r="B9268" s="18" t="s">
        <v>1562</v>
      </c>
      <c r="C9268" s="18" t="s">
        <v>40201</v>
      </c>
      <c r="D9268" s="18" t="s">
        <v>172</v>
      </c>
      <c r="E9268" s="18" t="s">
        <v>40202</v>
      </c>
      <c r="F9268" s="18" t="str">
        <f>IFERROR(__XLUDF.DUMMYFUNCTION("PROPER(REGEXREPLACE(D85,""[^A-Za-z]+ "",""""))"),"Afi Esca Patrimoine")</f>
        <v xml:space="preserve">Afi Esca Patrimoine</v>
      </c>
      <c r="G9268" s="18" t="s">
        <v>40203</v>
      </c>
      <c r="H9268" s="18">
        <v>35</v>
      </c>
      <c r="I9268" s="18" t="s">
        <v>39661</v>
      </c>
      <c r="J9268" s="5" t="s">
        <v>40204</v>
      </c>
      <c r="K9268" s="5" t="s">
        <v>40205</v>
      </c>
      <c r="L9268" s="18" t="s">
        <v>846</v>
      </c>
      <c r="M9268" s="18" t="s">
        <v>29</v>
      </c>
      <c r="N9268" s="18" t="s">
        <v>40206</v>
      </c>
      <c r="O9268" s="18" t="s">
        <v>29</v>
      </c>
      <c r="P9268" s="18" t="s">
        <v>40207</v>
      </c>
      <c r="Q9268" s="6"/>
      <c r="R9268" s="6"/>
      <c r="S9268" s="6"/>
      <c r="T9268" s="6"/>
      <c r="U9268" s="6"/>
    </row>
    <row r="9269" ht="14.25">
      <c r="B9269" s="18" t="s">
        <v>40208</v>
      </c>
      <c r="C9269" s="18" t="s">
        <v>40209</v>
      </c>
      <c r="D9269" s="18" t="s">
        <v>23879</v>
      </c>
      <c r="E9269" s="18" t="s">
        <v>40210</v>
      </c>
      <c r="F9269" s="18" t="str">
        <f>IFERROR(__XLUDF.DUMMYFUNCTION("PROPER(REGEXREPLACE(D86,""[^A-Za-z]+ "",""""))"),"Estaly")</f>
        <v>Estaly</v>
      </c>
      <c r="G9269" s="18" t="s">
        <v>40211</v>
      </c>
      <c r="H9269" s="18">
        <v>20</v>
      </c>
      <c r="I9269" s="18" t="s">
        <v>39661</v>
      </c>
      <c r="J9269" s="5" t="s">
        <v>40212</v>
      </c>
      <c r="K9269" s="5" t="s">
        <v>40213</v>
      </c>
      <c r="L9269" s="18" t="s">
        <v>39</v>
      </c>
      <c r="M9269" s="18" t="s">
        <v>29</v>
      </c>
      <c r="N9269" s="18" t="s">
        <v>18271</v>
      </c>
      <c r="O9269" s="18" t="s">
        <v>29</v>
      </c>
      <c r="P9269" s="18" t="s">
        <v>40214</v>
      </c>
      <c r="Q9269" s="6"/>
      <c r="R9269" s="6"/>
      <c r="S9269" s="6"/>
      <c r="T9269" s="6"/>
      <c r="U9269" s="6"/>
    </row>
    <row r="9270" ht="14.25">
      <c r="B9270" s="18" t="s">
        <v>33354</v>
      </c>
      <c r="C9270" s="18" t="s">
        <v>40215</v>
      </c>
      <c r="D9270" s="18" t="s">
        <v>164</v>
      </c>
      <c r="E9270" s="18" t="s">
        <v>40178</v>
      </c>
      <c r="F9270" s="18" t="str">
        <f>IFERROR(__XLUDF.DUMMYFUNCTION("PROPER(REGEXREPLACE(D87,""[^A-Za-z]+ "",""""))"),"Rétro+")</f>
        <v>Rétro+</v>
      </c>
      <c r="G9270" s="18" t="s">
        <v>40216</v>
      </c>
      <c r="H9270" s="18">
        <v>26</v>
      </c>
      <c r="I9270" s="18" t="s">
        <v>39661</v>
      </c>
      <c r="J9270" s="5" t="s">
        <v>40217</v>
      </c>
      <c r="K9270" s="5" t="s">
        <v>40181</v>
      </c>
      <c r="L9270" s="18" t="s">
        <v>40218</v>
      </c>
      <c r="M9270" s="18" t="s">
        <v>29</v>
      </c>
      <c r="N9270" s="18" t="s">
        <v>40182</v>
      </c>
      <c r="O9270" s="18" t="s">
        <v>29</v>
      </c>
      <c r="P9270" s="18" t="s">
        <v>40183</v>
      </c>
      <c r="Q9270" s="6"/>
      <c r="R9270" s="6"/>
      <c r="S9270" s="6"/>
      <c r="T9270" s="6"/>
      <c r="U9270" s="6"/>
    </row>
    <row r="9271" ht="14.25">
      <c r="B9271" s="18" t="s">
        <v>178</v>
      </c>
      <c r="C9271" s="18" t="s">
        <v>21847</v>
      </c>
      <c r="D9271" s="18" t="s">
        <v>40219</v>
      </c>
      <c r="E9271" s="18" t="s">
        <v>39692</v>
      </c>
      <c r="F9271" s="18" t="str">
        <f>IFERROR(__XLUDF.DUMMYFUNCTION("PROPER(REGEXREPLACE(D88,""[^A-Za-z]+ "",""""))"),"Lola Health")</f>
        <v xml:space="preserve">Lola Health</v>
      </c>
      <c r="G9271" s="18" t="s">
        <v>40220</v>
      </c>
      <c r="H9271" s="18">
        <v>15</v>
      </c>
      <c r="I9271" s="18" t="s">
        <v>39661</v>
      </c>
      <c r="J9271" s="5" t="s">
        <v>40221</v>
      </c>
      <c r="K9271" s="5" t="s">
        <v>39695</v>
      </c>
      <c r="L9271" s="18" t="s">
        <v>39</v>
      </c>
      <c r="M9271" s="18" t="s">
        <v>29</v>
      </c>
      <c r="N9271" s="18" t="s">
        <v>67</v>
      </c>
      <c r="O9271" s="18" t="s">
        <v>29</v>
      </c>
      <c r="P9271" s="18" t="s">
        <v>39696</v>
      </c>
      <c r="Q9271" s="6"/>
      <c r="R9271" s="6"/>
      <c r="S9271" s="6"/>
      <c r="T9271" s="6"/>
      <c r="U9271" s="6"/>
    </row>
    <row r="9272" ht="14.25">
      <c r="B9272" s="18" t="s">
        <v>110</v>
      </c>
      <c r="C9272" s="18" t="s">
        <v>40222</v>
      </c>
      <c r="D9272" s="18" t="s">
        <v>112</v>
      </c>
      <c r="E9272" s="18" t="s">
        <v>40223</v>
      </c>
      <c r="F9272" s="18" t="str">
        <f>IFERROR(__XLUDF.DUMMYFUNCTION("PROPER(REGEXREPLACE(D89,""[^A-Za-z]+ "",""""))"),"Finance Sas")</f>
        <v xml:space="preserve">Finance Sas</v>
      </c>
      <c r="G9272" s="18" t="s">
        <v>40224</v>
      </c>
      <c r="H9272" s="6"/>
      <c r="I9272" s="6"/>
      <c r="J9272" s="5" t="s">
        <v>40225</v>
      </c>
      <c r="K9272" s="5" t="s">
        <v>40226</v>
      </c>
      <c r="L9272" s="18" t="s">
        <v>562</v>
      </c>
      <c r="M9272" s="18" t="s">
        <v>29</v>
      </c>
      <c r="N9272" s="18" t="s">
        <v>40227</v>
      </c>
      <c r="O9272" s="18" t="s">
        <v>29</v>
      </c>
      <c r="P9272" s="6"/>
      <c r="Q9272" s="6"/>
      <c r="R9272" s="6"/>
      <c r="S9272" s="6"/>
      <c r="T9272" s="6"/>
      <c r="U9272" s="6"/>
    </row>
    <row r="9273" ht="14.25">
      <c r="B9273" s="18" t="s">
        <v>355</v>
      </c>
      <c r="C9273" s="18" t="s">
        <v>40228</v>
      </c>
      <c r="D9273" s="18" t="s">
        <v>112</v>
      </c>
      <c r="E9273" s="18" t="s">
        <v>40229</v>
      </c>
      <c r="F9273" s="18" t="str">
        <f>IFERROR(__XLUDF.DUMMYFUNCTION("PROPER(REGEXREPLACE(D90,""[^A-Za-z]+ "",""""))"),"Onlynnov")</f>
        <v>Onlynnov</v>
      </c>
      <c r="G9273" s="18" t="s">
        <v>40230</v>
      </c>
      <c r="H9273" s="18">
        <v>13</v>
      </c>
      <c r="I9273" s="18" t="s">
        <v>39661</v>
      </c>
      <c r="J9273" s="5" t="s">
        <v>40231</v>
      </c>
      <c r="K9273" s="5" t="s">
        <v>40232</v>
      </c>
      <c r="L9273" s="18" t="s">
        <v>185</v>
      </c>
      <c r="M9273" s="18" t="s">
        <v>29</v>
      </c>
      <c r="N9273" s="18" t="s">
        <v>18715</v>
      </c>
      <c r="O9273" s="18" t="s">
        <v>29</v>
      </c>
      <c r="P9273" s="18" t="s">
        <v>40233</v>
      </c>
      <c r="Q9273" s="6"/>
      <c r="R9273" s="6"/>
      <c r="S9273" s="6"/>
      <c r="T9273" s="6"/>
      <c r="U9273" s="6"/>
    </row>
    <row r="9274" ht="14.25">
      <c r="B9274" s="18" t="s">
        <v>5579</v>
      </c>
      <c r="C9274" s="18" t="s">
        <v>40234</v>
      </c>
      <c r="D9274" s="18" t="s">
        <v>112</v>
      </c>
      <c r="E9274" s="18" t="s">
        <v>40235</v>
      </c>
      <c r="F9274" s="18" t="str">
        <f>IFERROR(__XLUDF.DUMMYFUNCTION("PROPER(REGEXREPLACE(D91,""[^A-Za-z]+ "",""""))"),"Adn Solutions")</f>
        <v xml:space="preserve">Adn Solutions</v>
      </c>
      <c r="G9274" s="18" t="s">
        <v>40236</v>
      </c>
      <c r="H9274" s="18">
        <v>20</v>
      </c>
      <c r="I9274" s="18" t="s">
        <v>39661</v>
      </c>
      <c r="J9274" s="5" t="s">
        <v>40237</v>
      </c>
      <c r="K9274" s="5" t="s">
        <v>40238</v>
      </c>
      <c r="L9274" s="18" t="s">
        <v>14805</v>
      </c>
      <c r="M9274" s="18" t="s">
        <v>29</v>
      </c>
      <c r="N9274" s="18" t="s">
        <v>40239</v>
      </c>
      <c r="O9274" s="18" t="s">
        <v>29</v>
      </c>
      <c r="P9274" s="18" t="s">
        <v>40240</v>
      </c>
      <c r="Q9274" s="6"/>
      <c r="R9274" s="6"/>
      <c r="S9274" s="6"/>
      <c r="T9274" s="6"/>
      <c r="U9274" s="6"/>
    </row>
    <row r="9275" ht="14.25">
      <c r="B9275" s="18" t="s">
        <v>785</v>
      </c>
      <c r="C9275" s="18" t="s">
        <v>40241</v>
      </c>
      <c r="D9275" s="18" t="s">
        <v>40242</v>
      </c>
      <c r="E9275" s="18" t="s">
        <v>40243</v>
      </c>
      <c r="F9275" s="18" t="str">
        <f>IFERROR(__XLUDF.DUMMYFUNCTION("PROPER(REGEXREPLACE(D92,""[^A-Za-z]+ "",""""))"),"Vyv International Assistance")</f>
        <v xml:space="preserve">Vyv International Assistance</v>
      </c>
      <c r="G9275" s="18" t="s">
        <v>40244</v>
      </c>
      <c r="H9275" s="18">
        <v>18</v>
      </c>
      <c r="I9275" s="18" t="s">
        <v>39661</v>
      </c>
      <c r="J9275" s="5" t="s">
        <v>40245</v>
      </c>
      <c r="K9275" s="5" t="s">
        <v>40246</v>
      </c>
      <c r="L9275" s="18" t="s">
        <v>2186</v>
      </c>
      <c r="M9275" s="18" t="s">
        <v>29</v>
      </c>
      <c r="N9275" s="18" t="s">
        <v>40247</v>
      </c>
      <c r="O9275" s="18" t="s">
        <v>29</v>
      </c>
      <c r="P9275" s="6"/>
      <c r="Q9275" s="6"/>
      <c r="R9275" s="6"/>
      <c r="S9275" s="6"/>
      <c r="T9275" s="6"/>
      <c r="U9275" s="6"/>
    </row>
    <row r="9276" ht="14.25">
      <c r="B9276" s="18" t="s">
        <v>2138</v>
      </c>
      <c r="C9276" s="18" t="s">
        <v>40248</v>
      </c>
      <c r="D9276" s="18" t="s">
        <v>40249</v>
      </c>
      <c r="E9276" s="18" t="s">
        <v>40250</v>
      </c>
      <c r="F9276" s="18" t="str">
        <f>IFERROR(__XLUDF.DUMMYFUNCTION("PROPER(REGEXREPLACE(D93,""[^A-Za-z]+ "",""""))"),"Wesur")</f>
        <v>Wesur</v>
      </c>
      <c r="G9276" s="18" t="s">
        <v>40251</v>
      </c>
      <c r="H9276" s="18">
        <v>12</v>
      </c>
      <c r="I9276" s="18" t="s">
        <v>39661</v>
      </c>
      <c r="J9276" s="5" t="s">
        <v>40252</v>
      </c>
      <c r="K9276" s="5" t="s">
        <v>40253</v>
      </c>
      <c r="L9276" s="6"/>
      <c r="M9276" s="18" t="s">
        <v>29</v>
      </c>
      <c r="N9276" s="6"/>
      <c r="O9276" s="6"/>
      <c r="P9276" s="18" t="s">
        <v>40254</v>
      </c>
      <c r="Q9276" s="6"/>
      <c r="R9276" s="6"/>
      <c r="S9276" s="6"/>
      <c r="T9276" s="6"/>
      <c r="U9276" s="6"/>
    </row>
    <row r="9277" ht="14.25">
      <c r="B9277" s="18" t="s">
        <v>20</v>
      </c>
      <c r="C9277" s="18" t="s">
        <v>40255</v>
      </c>
      <c r="D9277" s="18" t="s">
        <v>172</v>
      </c>
      <c r="E9277" s="18" t="s">
        <v>40256</v>
      </c>
      <c r="F9277" s="18" t="str">
        <f>IFERROR(__XLUDF.DUMMYFUNCTION("PROPER(REGEXREPLACE(D94,""[^A-Za-z]+ "",""""))"),"Groupe Asqua Ingénierie D'Assurance")</f>
        <v xml:space="preserve">Groupe Asqua Ingénierie D'Assurance</v>
      </c>
      <c r="G9277" s="18" t="s">
        <v>40257</v>
      </c>
      <c r="H9277" s="18">
        <v>9</v>
      </c>
      <c r="I9277" s="18" t="s">
        <v>39661</v>
      </c>
      <c r="J9277" s="5" t="s">
        <v>40258</v>
      </c>
      <c r="K9277" s="5" t="s">
        <v>40259</v>
      </c>
      <c r="L9277" s="18" t="s">
        <v>40260</v>
      </c>
      <c r="M9277" s="18" t="s">
        <v>29</v>
      </c>
      <c r="N9277" s="18" t="s">
        <v>40261</v>
      </c>
      <c r="O9277" s="18" t="s">
        <v>29</v>
      </c>
      <c r="P9277" s="18" t="s">
        <v>40262</v>
      </c>
      <c r="Q9277" s="6"/>
      <c r="R9277" s="6"/>
      <c r="S9277" s="6"/>
      <c r="T9277" s="6"/>
      <c r="U9277" s="6"/>
    </row>
    <row r="9278" ht="14.25">
      <c r="B9278" s="18" t="s">
        <v>6634</v>
      </c>
      <c r="C9278" s="18" t="s">
        <v>40263</v>
      </c>
      <c r="D9278" s="18" t="s">
        <v>87</v>
      </c>
      <c r="E9278" s="18" t="s">
        <v>40264</v>
      </c>
      <c r="F9278" s="18" t="str">
        <f>IFERROR(__XLUDF.DUMMYFUNCTION("PROPER(REGEXREPLACE(D95,""[^A-Za-z]+ "",""""))"),"Caarea")</f>
        <v>Caarea</v>
      </c>
      <c r="G9278" s="18" t="s">
        <v>40265</v>
      </c>
      <c r="H9278" s="18">
        <v>7</v>
      </c>
      <c r="I9278" s="18" t="s">
        <v>39661</v>
      </c>
      <c r="J9278" s="5" t="s">
        <v>40266</v>
      </c>
      <c r="K9278" s="5" t="s">
        <v>40267</v>
      </c>
      <c r="L9278" s="6"/>
      <c r="M9278" s="18" t="s">
        <v>29</v>
      </c>
      <c r="N9278" s="18" t="s">
        <v>40268</v>
      </c>
      <c r="O9278" s="18" t="s">
        <v>29</v>
      </c>
      <c r="P9278" s="18" t="s">
        <v>40269</v>
      </c>
      <c r="Q9278" s="6"/>
      <c r="R9278" s="6"/>
      <c r="S9278" s="6"/>
      <c r="T9278" s="6"/>
      <c r="U9278" s="6"/>
    </row>
    <row r="9279" ht="14.25">
      <c r="B9279" s="18" t="s">
        <v>6356</v>
      </c>
      <c r="C9279" s="18" t="s">
        <v>40270</v>
      </c>
      <c r="D9279" s="18" t="s">
        <v>40271</v>
      </c>
      <c r="E9279" s="18" t="s">
        <v>40272</v>
      </c>
      <c r="F9279" s="18" t="str">
        <f>IFERROR(__XLUDF.DUMMYFUNCTION("PROPER(REGEXREPLACE(D96,""[^A-Za-z]+ "",""""))"),"Créa Conseil")</f>
        <v xml:space="preserve">Créa Conseil</v>
      </c>
      <c r="G9279" s="18" t="s">
        <v>40273</v>
      </c>
      <c r="H9279" s="18">
        <v>5</v>
      </c>
      <c r="I9279" s="18" t="s">
        <v>39661</v>
      </c>
      <c r="J9279" s="5" t="s">
        <v>40274</v>
      </c>
      <c r="K9279" s="5" t="s">
        <v>40275</v>
      </c>
      <c r="L9279" s="18" t="s">
        <v>11716</v>
      </c>
      <c r="M9279" s="18" t="s">
        <v>29</v>
      </c>
      <c r="N9279" s="18" t="s">
        <v>40276</v>
      </c>
      <c r="O9279" s="18" t="s">
        <v>29</v>
      </c>
      <c r="P9279" s="18" t="s">
        <v>40277</v>
      </c>
      <c r="Q9279" s="6"/>
      <c r="R9279" s="6"/>
      <c r="S9279" s="6"/>
      <c r="T9279" s="6"/>
      <c r="U9279" s="6"/>
    </row>
    <row r="9280" ht="14.25">
      <c r="B9280" s="18" t="s">
        <v>35812</v>
      </c>
      <c r="C9280" s="18" t="s">
        <v>40278</v>
      </c>
      <c r="D9280" s="18" t="s">
        <v>40279</v>
      </c>
      <c r="E9280" s="18" t="s">
        <v>40280</v>
      </c>
      <c r="F9280" s="18" t="str">
        <f>IFERROR(__XLUDF.DUMMYFUNCTION("PROPER(REGEXREPLACE(D97,""[^A-Za-z]+ "",""""))"),"Dynacsys")</f>
        <v>Dynacsys</v>
      </c>
      <c r="G9280" s="18" t="s">
        <v>40281</v>
      </c>
      <c r="H9280" s="18">
        <v>1</v>
      </c>
      <c r="I9280" s="18" t="s">
        <v>39661</v>
      </c>
      <c r="J9280" s="5" t="s">
        <v>40282</v>
      </c>
      <c r="K9280" s="5" t="s">
        <v>40283</v>
      </c>
      <c r="L9280" s="6"/>
      <c r="M9280" s="18" t="s">
        <v>29</v>
      </c>
      <c r="N9280" s="18" t="s">
        <v>40284</v>
      </c>
      <c r="O9280" s="18" t="s">
        <v>29</v>
      </c>
      <c r="P9280" s="18" t="s">
        <v>40285</v>
      </c>
      <c r="Q9280" s="6"/>
      <c r="R9280" s="6"/>
      <c r="S9280" s="6"/>
      <c r="T9280" s="6"/>
      <c r="U9280" s="6"/>
    </row>
    <row r="9281" ht="14.25">
      <c r="B9281" s="18" t="s">
        <v>485</v>
      </c>
      <c r="C9281" s="18" t="s">
        <v>40286</v>
      </c>
      <c r="D9281" s="18" t="s">
        <v>3775</v>
      </c>
      <c r="E9281" s="18" t="s">
        <v>39913</v>
      </c>
      <c r="F9281" s="18" t="str">
        <f>IFERROR(__XLUDF.DUMMYFUNCTION("PROPER(REGEXREPLACE(D98,""[^A-Za-z]+ "",""""))"),"Continuity")</f>
        <v>Continuity</v>
      </c>
      <c r="G9281" s="18" t="s">
        <v>40287</v>
      </c>
      <c r="H9281" s="18">
        <v>47</v>
      </c>
      <c r="I9281" s="18" t="s">
        <v>39661</v>
      </c>
      <c r="J9281" s="5" t="s">
        <v>40288</v>
      </c>
      <c r="K9281" s="5" t="s">
        <v>39916</v>
      </c>
      <c r="L9281" s="6"/>
      <c r="M9281" s="18" t="s">
        <v>29</v>
      </c>
      <c r="N9281" s="18" t="s">
        <v>39917</v>
      </c>
      <c r="O9281" s="18" t="s">
        <v>29</v>
      </c>
      <c r="P9281" s="18" t="s">
        <v>39918</v>
      </c>
      <c r="Q9281" s="6"/>
      <c r="R9281" s="6"/>
      <c r="S9281" s="6"/>
      <c r="T9281" s="6"/>
      <c r="U9281" s="6"/>
    </row>
    <row r="9282" ht="14.25">
      <c r="B9282" s="18" t="s">
        <v>20612</v>
      </c>
      <c r="C9282" s="18" t="s">
        <v>40289</v>
      </c>
      <c r="D9282" s="18" t="s">
        <v>120</v>
      </c>
      <c r="E9282" s="18" t="s">
        <v>40290</v>
      </c>
      <c r="F9282" s="18" t="str">
        <f>IFERROR(__XLUDF.DUMMYFUNCTION("PROPER(REGEXREPLACE(D99,""[^A-Za-z]+ "",""""))"),"Owen")</f>
        <v>Owen</v>
      </c>
      <c r="G9282" s="18" t="s">
        <v>40291</v>
      </c>
      <c r="H9282" s="18">
        <v>330</v>
      </c>
      <c r="I9282" s="18" t="s">
        <v>39661</v>
      </c>
      <c r="J9282" s="5" t="s">
        <v>40292</v>
      </c>
      <c r="K9282" s="5" t="s">
        <v>40293</v>
      </c>
      <c r="L9282" s="18" t="s">
        <v>39</v>
      </c>
      <c r="M9282" s="18" t="s">
        <v>29</v>
      </c>
      <c r="N9282" s="18" t="s">
        <v>67</v>
      </c>
      <c r="O9282" s="18" t="s">
        <v>29</v>
      </c>
      <c r="P9282" s="18" t="s">
        <v>40294</v>
      </c>
      <c r="Q9282" s="6"/>
      <c r="R9282" s="6"/>
      <c r="S9282" s="6"/>
      <c r="T9282" s="6"/>
      <c r="U9282" s="6"/>
    </row>
    <row r="9283" ht="14.25">
      <c r="B9283" s="18" t="s">
        <v>40295</v>
      </c>
      <c r="C9283" s="18" t="s">
        <v>40296</v>
      </c>
      <c r="D9283" s="18" t="s">
        <v>341</v>
      </c>
      <c r="E9283" s="18" t="s">
        <v>40297</v>
      </c>
      <c r="F9283" s="18" t="str">
        <f>IFERROR(__XLUDF.DUMMYFUNCTION("PROPER(REGEXREPLACE(D100,""[^A-Za-z]+ "",""""))"),"Trustiwaygroup")</f>
        <v>Trustiwaygroup</v>
      </c>
      <c r="G9283" s="18" t="s">
        <v>40298</v>
      </c>
      <c r="H9283" s="18">
        <v>13</v>
      </c>
      <c r="I9283" s="18" t="s">
        <v>39661</v>
      </c>
      <c r="J9283" s="5" t="s">
        <v>40299</v>
      </c>
      <c r="K9283" s="5" t="s">
        <v>40300</v>
      </c>
      <c r="L9283" s="18" t="s">
        <v>39</v>
      </c>
      <c r="M9283" s="18" t="s">
        <v>29</v>
      </c>
      <c r="N9283" s="18" t="s">
        <v>67</v>
      </c>
      <c r="O9283" s="18" t="s">
        <v>29</v>
      </c>
      <c r="P9283" s="18" t="s">
        <v>40301</v>
      </c>
      <c r="Q9283" s="6"/>
      <c r="R9283" s="6"/>
      <c r="S9283" s="6"/>
      <c r="T9283" s="6"/>
      <c r="U9283" s="6"/>
    </row>
    <row r="9284" ht="14.25">
      <c r="B9284" s="18" t="s">
        <v>118</v>
      </c>
      <c r="C9284" s="18" t="s">
        <v>40302</v>
      </c>
      <c r="D9284" s="18" t="s">
        <v>541</v>
      </c>
      <c r="E9284" s="18" t="s">
        <v>40303</v>
      </c>
      <c r="F9284" s="18" t="str">
        <f>IFERROR(__XLUDF.DUMMYFUNCTION("PROPER(REGEXREPLACE(D101,""[^A-Za-z]+ "",""""))"),"Eterneo")</f>
        <v>Eterneo</v>
      </c>
      <c r="G9284" s="18" t="s">
        <v>40304</v>
      </c>
      <c r="H9284" s="18">
        <v>1</v>
      </c>
      <c r="I9284" s="18" t="s">
        <v>39661</v>
      </c>
      <c r="J9284" s="5" t="s">
        <v>40305</v>
      </c>
      <c r="K9284" s="5" t="s">
        <v>40306</v>
      </c>
      <c r="L9284" s="18" t="s">
        <v>39</v>
      </c>
      <c r="M9284" s="18" t="s">
        <v>29</v>
      </c>
      <c r="N9284" s="18" t="s">
        <v>40307</v>
      </c>
      <c r="O9284" s="18" t="s">
        <v>29</v>
      </c>
      <c r="P9284" s="6"/>
      <c r="Q9284" s="6"/>
      <c r="R9284" s="6"/>
      <c r="S9284" s="6"/>
      <c r="T9284" s="6"/>
      <c r="U9284" s="6"/>
    </row>
    <row r="9285" ht="14.25">
      <c r="B9285" s="18" t="s">
        <v>40308</v>
      </c>
      <c r="C9285" s="18" t="s">
        <v>571</v>
      </c>
      <c r="D9285" s="18" t="s">
        <v>426</v>
      </c>
      <c r="E9285" s="18" t="s">
        <v>40309</v>
      </c>
      <c r="F9285" s="18" t="str">
        <f>IFERROR(__XLUDF.DUMMYFUNCTION("PROPER(REGEXREPLACE(D102,""[^A-Za-z]+ "",""""))"),"Diot Méditerranée")</f>
        <v xml:space="preserve">Diot Méditerranée</v>
      </c>
      <c r="G9285" s="18" t="s">
        <v>40310</v>
      </c>
      <c r="H9285" s="18">
        <v>20</v>
      </c>
      <c r="I9285" s="18" t="s">
        <v>39661</v>
      </c>
      <c r="J9285" s="5" t="s">
        <v>40311</v>
      </c>
      <c r="K9285" s="5" t="s">
        <v>40312</v>
      </c>
      <c r="L9285" s="18" t="s">
        <v>295</v>
      </c>
      <c r="M9285" s="18" t="s">
        <v>29</v>
      </c>
      <c r="N9285" s="18" t="s">
        <v>40313</v>
      </c>
      <c r="O9285" s="18" t="s">
        <v>29</v>
      </c>
      <c r="P9285" s="6"/>
      <c r="Q9285" s="6"/>
      <c r="R9285" s="6"/>
      <c r="S9285" s="6"/>
      <c r="T9285" s="6"/>
      <c r="U9285" s="6"/>
    </row>
    <row r="9286" ht="14.25">
      <c r="B9286" s="18" t="s">
        <v>15564</v>
      </c>
      <c r="C9286" s="18" t="s">
        <v>40314</v>
      </c>
      <c r="D9286" s="18" t="s">
        <v>164</v>
      </c>
      <c r="E9286" s="18" t="s">
        <v>40315</v>
      </c>
      <c r="F9286" s="18" t="str">
        <f>IFERROR(__XLUDF.DUMMYFUNCTION("PROPER(REGEXREPLACE(D103,""[^A-Za-z]+ "",""""))"),"Alternative Courtage")</f>
        <v xml:space="preserve">Alternative Courtage</v>
      </c>
      <c r="G9286" s="18" t="s">
        <v>40316</v>
      </c>
      <c r="H9286" s="18">
        <v>12</v>
      </c>
      <c r="I9286" s="18" t="s">
        <v>39661</v>
      </c>
      <c r="J9286" s="5" t="s">
        <v>40317</v>
      </c>
      <c r="K9286" s="5" t="s">
        <v>40318</v>
      </c>
      <c r="L9286" s="18" t="s">
        <v>40319</v>
      </c>
      <c r="M9286" s="18" t="s">
        <v>29</v>
      </c>
      <c r="N9286" s="18" t="s">
        <v>40320</v>
      </c>
      <c r="O9286" s="18" t="s">
        <v>29</v>
      </c>
      <c r="P9286" s="6"/>
      <c r="Q9286" s="6"/>
      <c r="R9286" s="6"/>
      <c r="S9286" s="6"/>
      <c r="T9286" s="6"/>
      <c r="U9286" s="6"/>
    </row>
    <row r="9287" ht="14.25">
      <c r="B9287" s="18" t="s">
        <v>3164</v>
      </c>
      <c r="C9287" s="18" t="s">
        <v>40321</v>
      </c>
      <c r="D9287" s="18" t="s">
        <v>172</v>
      </c>
      <c r="E9287" s="18" t="s">
        <v>40322</v>
      </c>
      <c r="F9287" s="18" t="str">
        <f>IFERROR(__XLUDF.DUMMYFUNCTION("PROPER(REGEXREPLACE(D104,""[^A-Za-z]+ "",""""))"),"Serenilife Group")</f>
        <v xml:space="preserve">Serenilife Group</v>
      </c>
      <c r="G9287" s="18" t="s">
        <v>40323</v>
      </c>
      <c r="H9287" s="18">
        <v>9</v>
      </c>
      <c r="I9287" s="18" t="s">
        <v>39661</v>
      </c>
      <c r="J9287" s="5" t="s">
        <v>40324</v>
      </c>
      <c r="K9287" s="5" t="s">
        <v>40325</v>
      </c>
      <c r="L9287" s="18" t="s">
        <v>39</v>
      </c>
      <c r="M9287" s="18" t="s">
        <v>29</v>
      </c>
      <c r="N9287" s="6"/>
      <c r="O9287" s="6"/>
      <c r="P9287" s="18" t="s">
        <v>40326</v>
      </c>
      <c r="Q9287" s="6"/>
      <c r="R9287" s="6"/>
      <c r="S9287" s="6"/>
      <c r="T9287" s="6"/>
      <c r="U9287" s="6"/>
    </row>
    <row r="9288" ht="14.25">
      <c r="B9288" s="18" t="s">
        <v>110</v>
      </c>
      <c r="C9288" s="18" t="s">
        <v>40327</v>
      </c>
      <c r="D9288" s="18" t="s">
        <v>87</v>
      </c>
      <c r="E9288" s="18" t="s">
        <v>40328</v>
      </c>
      <c r="F9288" s="18" t="str">
        <f>IFERROR(__XLUDF.DUMMYFUNCTION("PROPER(REGEXREPLACE(D105,""[^A-Za-z]+ "",""""))"),"Klian")</f>
        <v>Klian</v>
      </c>
      <c r="G9288" s="18" t="s">
        <v>40329</v>
      </c>
      <c r="H9288" s="18">
        <v>6</v>
      </c>
      <c r="I9288" s="18" t="s">
        <v>39661</v>
      </c>
      <c r="J9288" s="5" t="s">
        <v>40330</v>
      </c>
      <c r="K9288" s="5" t="s">
        <v>40331</v>
      </c>
      <c r="L9288" s="18" t="s">
        <v>40332</v>
      </c>
      <c r="M9288" s="18" t="s">
        <v>29</v>
      </c>
      <c r="N9288" s="18" t="s">
        <v>40333</v>
      </c>
      <c r="O9288" s="18" t="s">
        <v>29</v>
      </c>
      <c r="P9288" s="6"/>
      <c r="Q9288" s="6"/>
      <c r="R9288" s="6"/>
      <c r="S9288" s="6"/>
      <c r="T9288" s="6"/>
      <c r="U9288" s="6"/>
    </row>
    <row r="9289" ht="14.25">
      <c r="B9289" s="18" t="s">
        <v>3002</v>
      </c>
      <c r="C9289" s="18" t="s">
        <v>40334</v>
      </c>
      <c r="D9289" s="18" t="s">
        <v>40335</v>
      </c>
      <c r="E9289" s="18" t="s">
        <v>40336</v>
      </c>
      <c r="F9289" s="18" t="str">
        <f>IFERROR(__XLUDF.DUMMYFUNCTION("PROPER(REGEXREPLACE(D106,""[^A-Za-z]+ "",""""))"),"Taskk Insurance")</f>
        <v xml:space="preserve">Taskk Insurance</v>
      </c>
      <c r="G9289" s="18" t="s">
        <v>40337</v>
      </c>
      <c r="H9289" s="18">
        <v>10</v>
      </c>
      <c r="I9289" s="18" t="s">
        <v>39661</v>
      </c>
      <c r="J9289" s="5" t="s">
        <v>40338</v>
      </c>
      <c r="K9289" s="5" t="s">
        <v>40339</v>
      </c>
      <c r="L9289" s="18" t="s">
        <v>39</v>
      </c>
      <c r="M9289" s="18" t="s">
        <v>29</v>
      </c>
      <c r="N9289" s="18" t="s">
        <v>40340</v>
      </c>
      <c r="O9289" s="18" t="s">
        <v>29</v>
      </c>
      <c r="P9289" s="18" t="s">
        <v>40341</v>
      </c>
      <c r="Q9289" s="6"/>
      <c r="R9289" s="6"/>
      <c r="S9289" s="6"/>
      <c r="T9289" s="6"/>
      <c r="U9289" s="6"/>
    </row>
    <row r="9290" ht="14.25">
      <c r="B9290" s="18" t="s">
        <v>622</v>
      </c>
      <c r="C9290" s="18" t="s">
        <v>40342</v>
      </c>
      <c r="D9290" s="18" t="s">
        <v>40343</v>
      </c>
      <c r="E9290" s="18" t="s">
        <v>40344</v>
      </c>
      <c r="F9290" s="18" t="str">
        <f>IFERROR(__XLUDF.DUMMYFUNCTION("PROPER(REGEXREPLACE(D107,""[^A-Za-z]+ "",""""))"),"Mutaero")</f>
        <v>Mutaero</v>
      </c>
      <c r="G9290" s="18" t="s">
        <v>40345</v>
      </c>
      <c r="H9290" s="18">
        <v>23</v>
      </c>
      <c r="I9290" s="18" t="s">
        <v>39661</v>
      </c>
      <c r="J9290" s="5" t="s">
        <v>40346</v>
      </c>
      <c r="K9290" s="5" t="s">
        <v>40347</v>
      </c>
      <c r="L9290" s="18" t="s">
        <v>83</v>
      </c>
      <c r="M9290" s="18" t="s">
        <v>29</v>
      </c>
      <c r="N9290" s="18" t="s">
        <v>40348</v>
      </c>
      <c r="O9290" s="18" t="s">
        <v>29</v>
      </c>
      <c r="P9290" s="18" t="s">
        <v>40349</v>
      </c>
      <c r="Q9290" s="6"/>
      <c r="R9290" s="6"/>
      <c r="S9290" s="6"/>
      <c r="T9290" s="6"/>
      <c r="U9290" s="6"/>
    </row>
    <row r="9291" ht="14.25">
      <c r="B9291" s="18" t="s">
        <v>2398</v>
      </c>
      <c r="C9291" s="18" t="s">
        <v>40350</v>
      </c>
      <c r="D9291" s="18" t="s">
        <v>62</v>
      </c>
      <c r="E9291" s="18" t="s">
        <v>40351</v>
      </c>
      <c r="F9291" s="18" t="str">
        <f>IFERROR(__XLUDF.DUMMYFUNCTION("PROPER(REGEXREPLACE(D108,""[^A-Za-z]+ "",""""))"),"Caravel")</f>
        <v>Caravel</v>
      </c>
      <c r="G9291" s="18" t="s">
        <v>40352</v>
      </c>
      <c r="H9291" s="18">
        <v>11</v>
      </c>
      <c r="I9291" s="18" t="s">
        <v>39661</v>
      </c>
      <c r="J9291" s="5" t="s">
        <v>40353</v>
      </c>
      <c r="K9291" s="5" t="s">
        <v>40354</v>
      </c>
      <c r="L9291" s="18" t="s">
        <v>482</v>
      </c>
      <c r="M9291" s="18" t="s">
        <v>29</v>
      </c>
      <c r="N9291" s="18" t="s">
        <v>67</v>
      </c>
      <c r="O9291" s="18" t="s">
        <v>29</v>
      </c>
      <c r="P9291" s="18" t="s">
        <v>40355</v>
      </c>
      <c r="Q9291" s="6"/>
      <c r="R9291" s="6"/>
      <c r="S9291" s="6"/>
      <c r="T9291" s="6"/>
      <c r="U9291" s="6"/>
    </row>
    <row r="9292" ht="14.25">
      <c r="B9292" s="18" t="s">
        <v>1153</v>
      </c>
      <c r="C9292" s="18" t="s">
        <v>40356</v>
      </c>
      <c r="D9292" s="18" t="s">
        <v>87</v>
      </c>
      <c r="E9292" s="18" t="s">
        <v>40357</v>
      </c>
      <c r="F9292" s="18" t="str">
        <f>IFERROR(__XLUDF.DUMMYFUNCTION("PROPER(REGEXREPLACE(D109,""[^A-Za-z]+ "",""""))"),"Actélior")</f>
        <v>Actélior</v>
      </c>
      <c r="G9292" s="18" t="s">
        <v>40358</v>
      </c>
      <c r="H9292" s="18">
        <v>31</v>
      </c>
      <c r="I9292" s="18" t="s">
        <v>39661</v>
      </c>
      <c r="J9292" s="5" t="s">
        <v>40359</v>
      </c>
      <c r="K9292" s="5" t="s">
        <v>40360</v>
      </c>
      <c r="L9292" s="18" t="s">
        <v>185</v>
      </c>
      <c r="M9292" s="18" t="s">
        <v>29</v>
      </c>
      <c r="N9292" s="18" t="s">
        <v>40361</v>
      </c>
      <c r="O9292" s="18" t="s">
        <v>29</v>
      </c>
      <c r="P9292" s="6"/>
      <c r="Q9292" s="6"/>
      <c r="R9292" s="6"/>
      <c r="S9292" s="6"/>
      <c r="T9292" s="6"/>
      <c r="U9292" s="6"/>
    </row>
    <row r="9293" ht="14.25">
      <c r="B9293" s="18" t="s">
        <v>3516</v>
      </c>
      <c r="C9293" s="18" t="s">
        <v>40362</v>
      </c>
      <c r="D9293" s="18" t="s">
        <v>40363</v>
      </c>
      <c r="E9293" s="18" t="s">
        <v>39692</v>
      </c>
      <c r="F9293" s="18" t="str">
        <f>IFERROR(__XLUDF.DUMMYFUNCTION("PROPER(REGEXREPLACE(D110,""[^A-Za-z]+ "",""""))"),"Lola Health")</f>
        <v xml:space="preserve">Lola Health</v>
      </c>
      <c r="G9293" s="18" t="s">
        <v>40364</v>
      </c>
      <c r="H9293" s="18">
        <v>15</v>
      </c>
      <c r="I9293" s="18" t="s">
        <v>39661</v>
      </c>
      <c r="J9293" s="5" t="s">
        <v>40365</v>
      </c>
      <c r="K9293" s="5" t="s">
        <v>39695</v>
      </c>
      <c r="L9293" s="18" t="s">
        <v>39</v>
      </c>
      <c r="M9293" s="18" t="s">
        <v>29</v>
      </c>
      <c r="N9293" s="18" t="s">
        <v>67</v>
      </c>
      <c r="O9293" s="18" t="s">
        <v>29</v>
      </c>
      <c r="P9293" s="18" t="s">
        <v>39696</v>
      </c>
      <c r="Q9293" s="6"/>
      <c r="R9293" s="6"/>
      <c r="S9293" s="6"/>
      <c r="T9293" s="6"/>
      <c r="U9293" s="6"/>
    </row>
    <row r="9294" ht="14.25">
      <c r="B9294" s="18" t="s">
        <v>1421</v>
      </c>
      <c r="C9294" s="18" t="s">
        <v>40366</v>
      </c>
      <c r="D9294" s="18" t="s">
        <v>198</v>
      </c>
      <c r="E9294" s="18" t="s">
        <v>40367</v>
      </c>
      <c r="F9294" s="18" t="str">
        <f>IFERROR(__XLUDF.DUMMYFUNCTION("PROPER(REGEXREPLACE(D111,""[^A-Za-z]+ "",""""))"),"Euresa")</f>
        <v>Euresa</v>
      </c>
      <c r="G9294" s="18" t="s">
        <v>40368</v>
      </c>
      <c r="H9294" s="18">
        <v>7</v>
      </c>
      <c r="I9294" s="18" t="s">
        <v>39661</v>
      </c>
      <c r="J9294" s="5" t="s">
        <v>40369</v>
      </c>
      <c r="K9294" s="5" t="s">
        <v>40370</v>
      </c>
      <c r="L9294" s="18" t="s">
        <v>39</v>
      </c>
      <c r="M9294" s="18" t="s">
        <v>29</v>
      </c>
      <c r="N9294" s="18" t="s">
        <v>40371</v>
      </c>
      <c r="O9294" s="18" t="s">
        <v>29</v>
      </c>
      <c r="P9294" s="6"/>
      <c r="Q9294" s="6"/>
      <c r="R9294" s="6"/>
      <c r="S9294" s="6"/>
      <c r="T9294" s="6"/>
      <c r="U9294" s="6"/>
    </row>
    <row r="9295" ht="14.25">
      <c r="B9295" s="18" t="s">
        <v>548</v>
      </c>
      <c r="C9295" s="18" t="s">
        <v>40372</v>
      </c>
      <c r="D9295" s="18" t="s">
        <v>172</v>
      </c>
      <c r="E9295" s="18" t="s">
        <v>40243</v>
      </c>
      <c r="F9295" s="18" t="str">
        <f>IFERROR(__XLUDF.DUMMYFUNCTION("PROPER(REGEXREPLACE(D112,""[^A-Za-z]+ "",""""))"),"Vyv International Assistance")</f>
        <v xml:space="preserve">Vyv International Assistance</v>
      </c>
      <c r="G9295" s="18" t="s">
        <v>40373</v>
      </c>
      <c r="H9295" s="18">
        <v>18</v>
      </c>
      <c r="I9295" s="18" t="s">
        <v>39661</v>
      </c>
      <c r="J9295" s="5" t="s">
        <v>40374</v>
      </c>
      <c r="K9295" s="5" t="s">
        <v>40246</v>
      </c>
      <c r="L9295" s="6"/>
      <c r="M9295" s="18" t="s">
        <v>29</v>
      </c>
      <c r="N9295" s="18" t="s">
        <v>40247</v>
      </c>
      <c r="O9295" s="18" t="s">
        <v>29</v>
      </c>
      <c r="P9295" s="6"/>
      <c r="Q9295" s="6"/>
      <c r="R9295" s="6"/>
      <c r="S9295" s="6"/>
      <c r="T9295" s="6"/>
      <c r="U9295" s="6"/>
    </row>
    <row r="9296" ht="14.25">
      <c r="B9296" s="18" t="s">
        <v>110</v>
      </c>
      <c r="C9296" s="18" t="s">
        <v>40375</v>
      </c>
      <c r="D9296" s="18" t="s">
        <v>2911</v>
      </c>
      <c r="E9296" s="18" t="s">
        <v>39771</v>
      </c>
      <c r="F9296" s="18" t="str">
        <f>IFERROR(__XLUDF.DUMMYFUNCTION("PROPER(REGEXREPLACE(D113,""[^A-Za-z]+ "",""""))"),"Coverd")</f>
        <v>Coverd</v>
      </c>
      <c r="G9296" s="18" t="s">
        <v>40376</v>
      </c>
      <c r="H9296" s="18">
        <v>11</v>
      </c>
      <c r="I9296" s="18" t="s">
        <v>39661</v>
      </c>
      <c r="J9296" s="5" t="s">
        <v>40377</v>
      </c>
      <c r="K9296" s="5" t="s">
        <v>39774</v>
      </c>
      <c r="L9296" s="6"/>
      <c r="M9296" s="18" t="s">
        <v>29</v>
      </c>
      <c r="N9296" s="18" t="s">
        <v>39775</v>
      </c>
      <c r="O9296" s="18" t="s">
        <v>29</v>
      </c>
      <c r="P9296" s="18" t="s">
        <v>39776</v>
      </c>
      <c r="Q9296" s="6"/>
      <c r="R9296" s="6"/>
      <c r="S9296" s="6"/>
      <c r="T9296" s="6"/>
      <c r="U9296" s="6"/>
    </row>
    <row r="9297" ht="14.25">
      <c r="B9297" s="18" t="s">
        <v>222</v>
      </c>
      <c r="C9297" s="18" t="s">
        <v>40378</v>
      </c>
      <c r="D9297" s="18" t="s">
        <v>887</v>
      </c>
      <c r="E9297" s="18" t="s">
        <v>40379</v>
      </c>
      <c r="F9297" s="18" t="str">
        <f>IFERROR(__XLUDF.DUMMYFUNCTION("PROPER(REGEXREPLACE(D114,""[^A-Za-z]+ "",""""))"),"Boost Solutions")</f>
        <v xml:space="preserve">Boost Solutions</v>
      </c>
      <c r="G9297" s="18" t="s">
        <v>40380</v>
      </c>
      <c r="H9297" s="18">
        <v>6</v>
      </c>
      <c r="I9297" s="18" t="s">
        <v>39661</v>
      </c>
      <c r="J9297" s="5" t="s">
        <v>40381</v>
      </c>
      <c r="K9297" s="5" t="s">
        <v>40382</v>
      </c>
      <c r="L9297" s="18" t="s">
        <v>39</v>
      </c>
      <c r="M9297" s="18" t="s">
        <v>29</v>
      </c>
      <c r="N9297" s="18" t="s">
        <v>40383</v>
      </c>
      <c r="O9297" s="18" t="s">
        <v>29</v>
      </c>
      <c r="P9297" s="6"/>
      <c r="Q9297" s="6"/>
      <c r="R9297" s="6"/>
      <c r="S9297" s="6"/>
      <c r="T9297" s="6"/>
      <c r="U9297" s="6"/>
    </row>
    <row r="9298" ht="14.25">
      <c r="B9298" s="18" t="s">
        <v>95</v>
      </c>
      <c r="C9298" s="18" t="s">
        <v>40384</v>
      </c>
      <c r="D9298" s="18" t="s">
        <v>468</v>
      </c>
      <c r="E9298" s="18" t="s">
        <v>40357</v>
      </c>
      <c r="F9298" s="18" t="str">
        <f>IFERROR(__XLUDF.DUMMYFUNCTION("PROPER(REGEXREPLACE(D115,""[^A-Za-z]+ "",""""))"),"Actélior")</f>
        <v>Actélior</v>
      </c>
      <c r="G9298" s="18" t="s">
        <v>40385</v>
      </c>
      <c r="H9298" s="18">
        <v>31</v>
      </c>
      <c r="I9298" s="18" t="s">
        <v>39661</v>
      </c>
      <c r="J9298" s="5" t="s">
        <v>40386</v>
      </c>
      <c r="K9298" s="5" t="s">
        <v>40360</v>
      </c>
      <c r="L9298" s="18" t="s">
        <v>185</v>
      </c>
      <c r="M9298" s="18" t="s">
        <v>29</v>
      </c>
      <c r="N9298" s="18" t="s">
        <v>40361</v>
      </c>
      <c r="O9298" s="18" t="s">
        <v>29</v>
      </c>
      <c r="P9298" s="6"/>
      <c r="Q9298" s="6"/>
      <c r="R9298" s="6"/>
      <c r="S9298" s="6"/>
      <c r="T9298" s="6"/>
      <c r="U9298" s="6"/>
    </row>
    <row r="9299" ht="14.25">
      <c r="B9299" s="18" t="s">
        <v>1153</v>
      </c>
      <c r="C9299" s="18" t="s">
        <v>40387</v>
      </c>
      <c r="D9299" s="18" t="s">
        <v>40388</v>
      </c>
      <c r="E9299" s="18" t="s">
        <v>40389</v>
      </c>
      <c r="F9299" s="18" t="str">
        <f>IFERROR(__XLUDF.DUMMYFUNCTION("PROPER(REGEXREPLACE(D116,""[^A-Za-z]+ "",""""))"),"Innovie")</f>
        <v>Innovie</v>
      </c>
      <c r="G9299" s="18" t="s">
        <v>40390</v>
      </c>
      <c r="H9299" s="18">
        <v>13</v>
      </c>
      <c r="I9299" s="18" t="s">
        <v>39661</v>
      </c>
      <c r="J9299" s="5" t="s">
        <v>40391</v>
      </c>
      <c r="K9299" s="5" t="s">
        <v>40392</v>
      </c>
      <c r="L9299" s="18" t="s">
        <v>39</v>
      </c>
      <c r="M9299" s="18" t="s">
        <v>29</v>
      </c>
      <c r="N9299" s="18" t="s">
        <v>27958</v>
      </c>
      <c r="O9299" s="18" t="s">
        <v>29</v>
      </c>
      <c r="P9299" s="18" t="s">
        <v>40393</v>
      </c>
      <c r="Q9299" s="6"/>
      <c r="R9299" s="6"/>
      <c r="S9299" s="6"/>
      <c r="T9299" s="6"/>
      <c r="U9299" s="6"/>
    </row>
    <row r="9300" ht="14.25">
      <c r="B9300" s="18" t="s">
        <v>13355</v>
      </c>
      <c r="C9300" s="18" t="s">
        <v>40394</v>
      </c>
      <c r="D9300" s="18" t="s">
        <v>468</v>
      </c>
      <c r="E9300" s="18" t="s">
        <v>40395</v>
      </c>
      <c r="F9300" s="18" t="str">
        <f>IFERROR(__XLUDF.DUMMYFUNCTION("PROPER(REGEXREPLACE(D117,""[^A-Za-z]+ "",""""))"),"Urops")</f>
        <v>Urops</v>
      </c>
      <c r="G9300" s="18" t="s">
        <v>40396</v>
      </c>
      <c r="H9300" s="18">
        <v>29</v>
      </c>
      <c r="I9300" s="18" t="s">
        <v>39661</v>
      </c>
      <c r="J9300" s="5" t="s">
        <v>40397</v>
      </c>
      <c r="K9300" s="5" t="s">
        <v>40398</v>
      </c>
      <c r="L9300" s="6"/>
      <c r="M9300" s="18" t="s">
        <v>29</v>
      </c>
      <c r="N9300" s="18" t="s">
        <v>546</v>
      </c>
      <c r="O9300" s="18" t="s">
        <v>29</v>
      </c>
      <c r="P9300" s="6"/>
      <c r="Q9300" s="6"/>
      <c r="R9300" s="6"/>
      <c r="S9300" s="6"/>
      <c r="T9300" s="6"/>
      <c r="U9300" s="6"/>
    </row>
    <row r="9301" ht="14.25">
      <c r="B9301" s="18" t="s">
        <v>4188</v>
      </c>
      <c r="C9301" s="18" t="s">
        <v>24068</v>
      </c>
      <c r="D9301" s="18" t="s">
        <v>40399</v>
      </c>
      <c r="E9301" s="18" t="s">
        <v>40400</v>
      </c>
      <c r="F9301" s="18" t="str">
        <f>IFERROR(__XLUDF.DUMMYFUNCTION("PROPER(REGEXREPLACE(D118,""[^A-Za-z]+ "",""""))"),"Koala")</f>
        <v>Koala</v>
      </c>
      <c r="G9301" s="18" t="s">
        <v>40401</v>
      </c>
      <c r="H9301" s="18">
        <v>26</v>
      </c>
      <c r="I9301" s="18" t="s">
        <v>39661</v>
      </c>
      <c r="J9301" s="5" t="s">
        <v>40402</v>
      </c>
      <c r="K9301" s="5" t="s">
        <v>40403</v>
      </c>
      <c r="L9301" s="18" t="s">
        <v>39</v>
      </c>
      <c r="M9301" s="18" t="s">
        <v>29</v>
      </c>
      <c r="N9301" s="18" t="s">
        <v>40404</v>
      </c>
      <c r="O9301" s="18" t="s">
        <v>29</v>
      </c>
      <c r="P9301" s="18" t="s">
        <v>40405</v>
      </c>
      <c r="Q9301" s="6"/>
      <c r="R9301" s="6"/>
      <c r="S9301" s="6"/>
      <c r="T9301" s="6"/>
      <c r="U9301" s="6"/>
    </row>
    <row r="9302" ht="14.25">
      <c r="B9302" s="18" t="s">
        <v>6967</v>
      </c>
      <c r="C9302" s="18" t="s">
        <v>40406</v>
      </c>
      <c r="D9302" s="18" t="s">
        <v>1130</v>
      </c>
      <c r="E9302" s="18" t="s">
        <v>40407</v>
      </c>
      <c r="F9302" s="18" t="str">
        <f>IFERROR(__XLUDF.DUMMYFUNCTION("PROPER(REGEXREPLACE(D119,""[^A-Za-z]+ "",""""))"),"Assurance Unie")</f>
        <v xml:space="preserve">Assurance Unie</v>
      </c>
      <c r="G9302" s="18" t="s">
        <v>40408</v>
      </c>
      <c r="H9302" s="18">
        <v>38</v>
      </c>
      <c r="I9302" s="18" t="s">
        <v>39661</v>
      </c>
      <c r="J9302" s="5" t="s">
        <v>40409</v>
      </c>
      <c r="K9302" s="5" t="s">
        <v>40410</v>
      </c>
      <c r="L9302" s="6"/>
      <c r="M9302" s="18" t="s">
        <v>29</v>
      </c>
      <c r="N9302" s="18" t="s">
        <v>40411</v>
      </c>
      <c r="O9302" s="18" t="s">
        <v>29</v>
      </c>
      <c r="P9302" s="6"/>
      <c r="Q9302" s="6"/>
      <c r="R9302" s="6"/>
      <c r="S9302" s="6"/>
      <c r="T9302" s="6"/>
      <c r="U9302" s="6"/>
    </row>
    <row r="9303" ht="14.25">
      <c r="B9303" s="18" t="s">
        <v>6967</v>
      </c>
      <c r="C9303" s="18" t="s">
        <v>40412</v>
      </c>
      <c r="D9303" s="18" t="s">
        <v>87</v>
      </c>
      <c r="E9303" s="18" t="s">
        <v>40413</v>
      </c>
      <c r="F9303" s="18" t="str">
        <f>IFERROR(__XLUDF.DUMMYFUNCTION("PROPER(REGEXREPLACE(D120,""[^A-Za-z]+ "",""""))"),"Nhy Assurances")</f>
        <v xml:space="preserve">Nhy Assurances</v>
      </c>
      <c r="G9303" s="18" t="s">
        <v>40414</v>
      </c>
      <c r="H9303" s="18">
        <v>39</v>
      </c>
      <c r="I9303" s="18" t="s">
        <v>39661</v>
      </c>
      <c r="J9303" s="5" t="s">
        <v>40415</v>
      </c>
      <c r="K9303" s="5" t="s">
        <v>40416</v>
      </c>
      <c r="L9303" s="18" t="s">
        <v>39</v>
      </c>
      <c r="M9303" s="18" t="s">
        <v>29</v>
      </c>
      <c r="N9303" s="18" t="s">
        <v>40417</v>
      </c>
      <c r="O9303" s="18" t="s">
        <v>29</v>
      </c>
      <c r="P9303" s="6"/>
      <c r="Q9303" s="6"/>
      <c r="R9303" s="6"/>
      <c r="S9303" s="6"/>
      <c r="T9303" s="6"/>
      <c r="U9303" s="6"/>
    </row>
    <row r="9304" ht="14.25">
      <c r="B9304" s="18" t="s">
        <v>17114</v>
      </c>
      <c r="C9304" s="18" t="s">
        <v>548</v>
      </c>
      <c r="D9304" s="18" t="s">
        <v>120</v>
      </c>
      <c r="E9304" s="18" t="s">
        <v>10679</v>
      </c>
      <c r="F9304" s="18" t="str">
        <f>IFERROR(__XLUDF.DUMMYFUNCTION("PROPER(REGEXREPLACE(D121,""[^A-Za-z]+ "",""""))"),"Correlium")</f>
        <v>Correlium</v>
      </c>
      <c r="G9304" s="18" t="s">
        <v>40418</v>
      </c>
      <c r="H9304" s="18">
        <v>13</v>
      </c>
      <c r="I9304" s="18" t="s">
        <v>4067</v>
      </c>
      <c r="J9304" s="5" t="s">
        <v>40419</v>
      </c>
      <c r="K9304" s="5" t="s">
        <v>40420</v>
      </c>
      <c r="L9304" s="6"/>
      <c r="M9304" s="18" t="s">
        <v>29</v>
      </c>
      <c r="N9304" s="18" t="s">
        <v>40421</v>
      </c>
      <c r="O9304" s="18" t="s">
        <v>29</v>
      </c>
      <c r="P9304" s="6"/>
      <c r="Q9304" s="6"/>
      <c r="R9304" s="6"/>
      <c r="S9304" s="6"/>
      <c r="T9304" s="6"/>
      <c r="U9304" s="6"/>
    </row>
    <row r="9305" ht="14.25">
      <c r="B9305" s="18" t="s">
        <v>2516</v>
      </c>
      <c r="C9305" s="18" t="s">
        <v>11330</v>
      </c>
      <c r="D9305" s="18" t="s">
        <v>172</v>
      </c>
      <c r="E9305" s="18" t="s">
        <v>40422</v>
      </c>
      <c r="F9305" s="18" t="str">
        <f>IFERROR(__XLUDF.DUMMYFUNCTION("PROPER(REGEXREPLACE(D122,""[^A-Za-z]+ "",""""))"),"Mutuelle Mip")</f>
        <v xml:space="preserve">Mutuelle Mip</v>
      </c>
      <c r="G9305" s="18" t="s">
        <v>40423</v>
      </c>
      <c r="H9305" s="18">
        <v>35</v>
      </c>
      <c r="I9305" s="18" t="s">
        <v>39661</v>
      </c>
      <c r="J9305" s="5" t="s">
        <v>40424</v>
      </c>
      <c r="K9305" s="5" t="s">
        <v>40425</v>
      </c>
      <c r="L9305" s="6"/>
      <c r="M9305" s="18" t="s">
        <v>29</v>
      </c>
      <c r="N9305" s="18" t="s">
        <v>40426</v>
      </c>
      <c r="O9305" s="18" t="s">
        <v>29</v>
      </c>
      <c r="P9305" s="6"/>
      <c r="Q9305" s="6"/>
      <c r="R9305" s="6"/>
      <c r="S9305" s="6"/>
      <c r="T9305" s="6"/>
      <c r="U9305" s="6"/>
    </row>
    <row r="9306" ht="14.25">
      <c r="B9306" s="18" t="s">
        <v>3850</v>
      </c>
      <c r="C9306" s="18" t="s">
        <v>40427</v>
      </c>
      <c r="D9306" s="18" t="s">
        <v>172</v>
      </c>
      <c r="E9306" s="18" t="s">
        <v>40428</v>
      </c>
      <c r="F9306" s="18" t="str">
        <f>IFERROR(__XLUDF.DUMMYFUNCTION("PROPER(REGEXREPLACE(D123,""[^A-Za-z]+ "",""""))"),"Mutuelle De La Corse")</f>
        <v xml:space="preserve">Mutuelle De La Corse</v>
      </c>
      <c r="G9306" s="18" t="s">
        <v>40429</v>
      </c>
      <c r="H9306" s="18">
        <v>25</v>
      </c>
      <c r="I9306" s="18" t="s">
        <v>39661</v>
      </c>
      <c r="J9306" s="5" t="s">
        <v>40430</v>
      </c>
      <c r="K9306" s="5" t="s">
        <v>40431</v>
      </c>
      <c r="L9306" s="18" t="s">
        <v>1665</v>
      </c>
      <c r="M9306" s="18" t="s">
        <v>29</v>
      </c>
      <c r="N9306" s="18" t="s">
        <v>40432</v>
      </c>
      <c r="O9306" s="18" t="s">
        <v>29</v>
      </c>
      <c r="P9306" s="18" t="s">
        <v>40433</v>
      </c>
      <c r="Q9306" s="6"/>
      <c r="R9306" s="6"/>
      <c r="S9306" s="6"/>
      <c r="T9306" s="6"/>
      <c r="U9306" s="6"/>
    </row>
    <row r="9307" ht="14.25">
      <c r="B9307" s="18" t="s">
        <v>630</v>
      </c>
      <c r="C9307" s="18" t="s">
        <v>40434</v>
      </c>
      <c r="D9307" s="18" t="s">
        <v>172</v>
      </c>
      <c r="E9307" s="18" t="s">
        <v>40435</v>
      </c>
      <c r="F9307" s="18" t="str">
        <f>IFERROR(__XLUDF.DUMMYFUNCTION("PROPER(REGEXREPLACE(D124,""[^A-Za-z]+ "",""""))"),"Praga Assurances")</f>
        <v xml:space="preserve">Praga Assurances</v>
      </c>
      <c r="G9307" s="18" t="s">
        <v>40436</v>
      </c>
      <c r="H9307" s="18">
        <v>9</v>
      </c>
      <c r="I9307" s="18" t="s">
        <v>39661</v>
      </c>
      <c r="J9307" s="5" t="s">
        <v>40437</v>
      </c>
      <c r="K9307" s="5" t="s">
        <v>40438</v>
      </c>
      <c r="L9307" s="18" t="s">
        <v>39</v>
      </c>
      <c r="M9307" s="18" t="s">
        <v>29</v>
      </c>
      <c r="N9307" s="18" t="s">
        <v>40439</v>
      </c>
      <c r="O9307" s="18" t="s">
        <v>29</v>
      </c>
      <c r="P9307" s="18" t="s">
        <v>40440</v>
      </c>
      <c r="Q9307" s="6"/>
      <c r="R9307" s="6"/>
      <c r="S9307" s="6"/>
      <c r="T9307" s="6"/>
      <c r="U9307" s="6"/>
    </row>
    <row r="9308" ht="14.25">
      <c r="B9308" s="18" t="s">
        <v>12387</v>
      </c>
      <c r="C9308" s="18" t="s">
        <v>40441</v>
      </c>
      <c r="D9308" s="18" t="s">
        <v>40442</v>
      </c>
      <c r="E9308" s="18" t="s">
        <v>39913</v>
      </c>
      <c r="F9308" s="18" t="str">
        <f>IFERROR(__XLUDF.DUMMYFUNCTION("PROPER(REGEXREPLACE(D125,""[^A-Za-z]+ "",""""))"),"Continuity")</f>
        <v>Continuity</v>
      </c>
      <c r="G9308" s="18" t="s">
        <v>40443</v>
      </c>
      <c r="H9308" s="18">
        <v>47</v>
      </c>
      <c r="I9308" s="18" t="s">
        <v>39661</v>
      </c>
      <c r="J9308" s="5" t="s">
        <v>40444</v>
      </c>
      <c r="K9308" s="5" t="s">
        <v>39916</v>
      </c>
      <c r="L9308" s="18" t="s">
        <v>39</v>
      </c>
      <c r="M9308" s="18" t="s">
        <v>29</v>
      </c>
      <c r="N9308" s="18" t="s">
        <v>39917</v>
      </c>
      <c r="O9308" s="18" t="s">
        <v>29</v>
      </c>
      <c r="P9308" s="18" t="s">
        <v>39918</v>
      </c>
      <c r="Q9308" s="6"/>
      <c r="R9308" s="6"/>
      <c r="S9308" s="6"/>
      <c r="T9308" s="6"/>
      <c r="U9308" s="6"/>
    </row>
    <row r="9309" ht="14.25">
      <c r="B9309" s="18" t="s">
        <v>2909</v>
      </c>
      <c r="C9309" s="6"/>
      <c r="D9309" s="18" t="s">
        <v>16645</v>
      </c>
      <c r="E9309" s="18" t="s">
        <v>40445</v>
      </c>
      <c r="F9309" s="18" t="str">
        <f>IFERROR(__XLUDF.DUMMYFUNCTION("PROPER(REGEXREPLACE(D126,""[^A-Za-z]+ "",""""))"),"Neat Protect")</f>
        <v xml:space="preserve">Neat Protect</v>
      </c>
      <c r="G9309" s="18" t="s">
        <v>40446</v>
      </c>
      <c r="H9309" s="18">
        <v>64</v>
      </c>
      <c r="I9309" s="18" t="s">
        <v>39661</v>
      </c>
      <c r="J9309" s="5" t="s">
        <v>40447</v>
      </c>
      <c r="K9309" s="5" t="s">
        <v>40448</v>
      </c>
      <c r="L9309" s="18" t="s">
        <v>39</v>
      </c>
      <c r="M9309" s="18" t="s">
        <v>29</v>
      </c>
      <c r="N9309" s="18" t="s">
        <v>67</v>
      </c>
      <c r="O9309" s="18" t="s">
        <v>29</v>
      </c>
      <c r="P9309" s="18" t="s">
        <v>40449</v>
      </c>
      <c r="Q9309" s="6"/>
      <c r="R9309" s="6"/>
      <c r="S9309" s="6"/>
      <c r="T9309" s="6"/>
      <c r="U9309" s="6"/>
    </row>
    <row r="9310" ht="14.25">
      <c r="B9310" s="18" t="s">
        <v>630</v>
      </c>
      <c r="C9310" s="18" t="s">
        <v>40450</v>
      </c>
      <c r="D9310" s="18" t="s">
        <v>26801</v>
      </c>
      <c r="E9310" s="18" t="s">
        <v>40451</v>
      </c>
      <c r="F9310" s="18" t="str">
        <f>IFERROR(__XLUDF.DUMMYFUNCTION("PROPER(REGEXREPLACE(D127,""[^A-Za-z]+ "",""""))"),"Candide")</f>
        <v>Candide</v>
      </c>
      <c r="G9310" s="18" t="s">
        <v>40452</v>
      </c>
      <c r="H9310" s="18">
        <v>15</v>
      </c>
      <c r="I9310" s="18" t="s">
        <v>40453</v>
      </c>
      <c r="J9310" s="5" t="s">
        <v>40454</v>
      </c>
      <c r="K9310" s="5" t="s">
        <v>40455</v>
      </c>
      <c r="L9310" s="18" t="s">
        <v>295</v>
      </c>
      <c r="M9310" s="18" t="s">
        <v>29</v>
      </c>
      <c r="N9310" s="18" t="s">
        <v>296</v>
      </c>
      <c r="O9310" s="18" t="s">
        <v>29</v>
      </c>
      <c r="P9310" s="6"/>
      <c r="Q9310" s="6"/>
      <c r="R9310" s="6"/>
      <c r="S9310" s="6"/>
      <c r="T9310" s="6"/>
      <c r="U9310" s="6"/>
    </row>
    <row r="9311" ht="14.25">
      <c r="B9311" s="18" t="s">
        <v>40456</v>
      </c>
      <c r="C9311" s="18" t="s">
        <v>40457</v>
      </c>
      <c r="D9311" s="18" t="s">
        <v>1528</v>
      </c>
      <c r="E9311" s="18" t="s">
        <v>40458</v>
      </c>
      <c r="F9311" s="18" t="str">
        <f>IFERROR(__XLUDF.DUMMYFUNCTION("PROPER(REGEXREPLACE(D128,""[^A-Za-z]+ "",""""))"),"Epargne Family")</f>
        <v xml:space="preserve">Epargne Family</v>
      </c>
      <c r="G9311" s="18" t="s">
        <v>40459</v>
      </c>
      <c r="H9311" s="18">
        <v>6</v>
      </c>
      <c r="I9311" s="18" t="s">
        <v>39661</v>
      </c>
      <c r="J9311" s="5" t="s">
        <v>40460</v>
      </c>
      <c r="K9311" s="5" t="s">
        <v>40461</v>
      </c>
      <c r="L9311" s="18" t="s">
        <v>15294</v>
      </c>
      <c r="M9311" s="18" t="s">
        <v>29</v>
      </c>
      <c r="N9311" s="18" t="s">
        <v>40462</v>
      </c>
      <c r="O9311" s="18" t="s">
        <v>29</v>
      </c>
      <c r="P9311" s="18" t="s">
        <v>40463</v>
      </c>
      <c r="Q9311" s="6"/>
      <c r="R9311" s="6"/>
      <c r="S9311" s="6"/>
      <c r="T9311" s="6"/>
      <c r="U9311" s="6"/>
    </row>
    <row r="9312" ht="14.25">
      <c r="B9312" s="18" t="s">
        <v>6356</v>
      </c>
      <c r="C9312" s="18" t="s">
        <v>40464</v>
      </c>
      <c r="D9312" s="18" t="s">
        <v>172</v>
      </c>
      <c r="E9312" s="18" t="s">
        <v>40465</v>
      </c>
      <c r="F9312" s="18" t="str">
        <f>IFERROR(__XLUDF.DUMMYFUNCTION("PROPER(REGEXREPLACE(D129,""[^A-Za-z]+ "",""""))"),"Accteam Network")</f>
        <v xml:space="preserve">Accteam Network</v>
      </c>
      <c r="G9312" s="18" t="s">
        <v>40466</v>
      </c>
      <c r="H9312" s="18">
        <v>7</v>
      </c>
      <c r="I9312" s="18" t="s">
        <v>39661</v>
      </c>
      <c r="J9312" s="5" t="s">
        <v>40467</v>
      </c>
      <c r="K9312" s="5" t="s">
        <v>40468</v>
      </c>
      <c r="L9312" s="18" t="s">
        <v>39</v>
      </c>
      <c r="M9312" s="18" t="s">
        <v>29</v>
      </c>
      <c r="N9312" s="18" t="s">
        <v>40469</v>
      </c>
      <c r="O9312" s="18" t="s">
        <v>29</v>
      </c>
      <c r="P9312" s="18" t="s">
        <v>40470</v>
      </c>
      <c r="Q9312" s="6"/>
      <c r="R9312" s="6"/>
      <c r="S9312" s="6"/>
      <c r="T9312" s="6"/>
      <c r="U9312" s="6"/>
    </row>
    <row r="9313" ht="14.25">
      <c r="B9313" s="18" t="s">
        <v>670</v>
      </c>
      <c r="C9313" s="18" t="s">
        <v>40471</v>
      </c>
      <c r="D9313" s="18" t="s">
        <v>426</v>
      </c>
      <c r="E9313" s="18" t="s">
        <v>40472</v>
      </c>
      <c r="F9313" s="18" t="str">
        <f>IFERROR(__XLUDF.DUMMYFUNCTION("PROPER(REGEXREPLACE(D130,""[^A-Za-z]+ "",""""))"),"Presence Assistance")</f>
        <v xml:space="preserve">Presence Assistance</v>
      </c>
      <c r="G9313" s="18" t="s">
        <v>40473</v>
      </c>
      <c r="H9313" s="18">
        <v>8</v>
      </c>
      <c r="I9313" s="18" t="s">
        <v>39661</v>
      </c>
      <c r="J9313" s="5" t="s">
        <v>40474</v>
      </c>
      <c r="K9313" s="5" t="s">
        <v>40475</v>
      </c>
      <c r="L9313" s="6"/>
      <c r="M9313" s="18" t="s">
        <v>29</v>
      </c>
      <c r="N9313" s="18" t="s">
        <v>4649</v>
      </c>
      <c r="O9313" s="18" t="s">
        <v>29</v>
      </c>
      <c r="P9313" s="6"/>
      <c r="Q9313" s="6"/>
      <c r="R9313" s="6"/>
      <c r="S9313" s="6"/>
      <c r="T9313" s="6"/>
      <c r="U9313" s="6"/>
    </row>
    <row r="9314" ht="14.25">
      <c r="B9314" s="18" t="s">
        <v>322</v>
      </c>
      <c r="C9314" s="18" t="s">
        <v>40476</v>
      </c>
      <c r="D9314" s="18" t="s">
        <v>426</v>
      </c>
      <c r="E9314" s="18" t="s">
        <v>40477</v>
      </c>
      <c r="F9314" s="18" t="str">
        <f>IFERROR(__XLUDF.DUMMYFUNCTION("PROPER(REGEXREPLACE(D131,""[^A-Za-z]+ "",""""))"),"Carco")</f>
        <v>Carco</v>
      </c>
      <c r="G9314" s="18" t="s">
        <v>40478</v>
      </c>
      <c r="H9314" s="18">
        <v>17</v>
      </c>
      <c r="I9314" s="18" t="s">
        <v>39661</v>
      </c>
      <c r="J9314" s="5" t="s">
        <v>40479</v>
      </c>
      <c r="K9314" s="5" t="s">
        <v>40480</v>
      </c>
      <c r="L9314" s="18" t="s">
        <v>39</v>
      </c>
      <c r="M9314" s="18" t="s">
        <v>29</v>
      </c>
      <c r="N9314" s="18" t="s">
        <v>40481</v>
      </c>
      <c r="O9314" s="18" t="s">
        <v>29</v>
      </c>
      <c r="P9314" s="6"/>
      <c r="Q9314" s="6"/>
      <c r="R9314" s="6"/>
      <c r="S9314" s="6"/>
      <c r="T9314" s="6"/>
      <c r="U9314" s="6"/>
    </row>
    <row r="9315" ht="14.25">
      <c r="B9315" s="18" t="s">
        <v>170</v>
      </c>
      <c r="C9315" s="18" t="s">
        <v>31707</v>
      </c>
      <c r="D9315" s="18" t="s">
        <v>40482</v>
      </c>
      <c r="E9315" s="18" t="s">
        <v>40483</v>
      </c>
      <c r="F9315" s="18" t="str">
        <f>IFERROR(__XLUDF.DUMMYFUNCTION("PROPER(REGEXREPLACE(D132,""[^A-Za-z]+ "",""""))"),"Ism Assurances")</f>
        <v xml:space="preserve">Ism Assurances</v>
      </c>
      <c r="G9315" s="18" t="s">
        <v>40484</v>
      </c>
      <c r="H9315" s="18">
        <v>7</v>
      </c>
      <c r="I9315" s="18" t="s">
        <v>39661</v>
      </c>
      <c r="J9315" s="5" t="s">
        <v>40485</v>
      </c>
      <c r="K9315" s="5" t="s">
        <v>40486</v>
      </c>
      <c r="L9315" s="18" t="s">
        <v>6603</v>
      </c>
      <c r="M9315" s="18" t="s">
        <v>29</v>
      </c>
      <c r="N9315" s="18" t="s">
        <v>40487</v>
      </c>
      <c r="O9315" s="18" t="s">
        <v>29</v>
      </c>
      <c r="P9315" s="18" t="s">
        <v>40488</v>
      </c>
      <c r="Q9315" s="6"/>
      <c r="R9315" s="6"/>
      <c r="S9315" s="6"/>
      <c r="T9315" s="6"/>
      <c r="U9315" s="6"/>
    </row>
    <row r="9316" ht="14.25">
      <c r="B9316" s="18" t="s">
        <v>1605</v>
      </c>
      <c r="C9316" s="18" t="s">
        <v>40489</v>
      </c>
      <c r="D9316" s="18" t="s">
        <v>172</v>
      </c>
      <c r="E9316" s="18" t="s">
        <v>40490</v>
      </c>
      <c r="F9316" s="18" t="str">
        <f>IFERROR(__XLUDF.DUMMYFUNCTION("PROPER(REGEXREPLACE(D133,""[^A-Za-z]+ "",""""))"),"Aksam Assurances")</f>
        <v xml:space="preserve">Aksam Assurances</v>
      </c>
      <c r="G9316" s="18" t="s">
        <v>40491</v>
      </c>
      <c r="H9316" s="18">
        <v>7</v>
      </c>
      <c r="I9316" s="18" t="s">
        <v>39661</v>
      </c>
      <c r="J9316" s="5" t="s">
        <v>40492</v>
      </c>
      <c r="K9316" s="5" t="s">
        <v>40493</v>
      </c>
      <c r="L9316" s="18" t="s">
        <v>39</v>
      </c>
      <c r="M9316" s="18" t="s">
        <v>29</v>
      </c>
      <c r="N9316" s="18" t="s">
        <v>40494</v>
      </c>
      <c r="O9316" s="18" t="s">
        <v>29</v>
      </c>
      <c r="P9316" s="6"/>
      <c r="Q9316" s="6"/>
      <c r="R9316" s="6"/>
      <c r="S9316" s="6"/>
      <c r="T9316" s="6"/>
      <c r="U9316" s="6"/>
    </row>
    <row r="9317" ht="14.25">
      <c r="B9317" s="18" t="s">
        <v>40495</v>
      </c>
      <c r="C9317" s="18" t="s">
        <v>40496</v>
      </c>
      <c r="D9317" s="18" t="s">
        <v>87</v>
      </c>
      <c r="E9317" s="18" t="s">
        <v>40497</v>
      </c>
      <c r="F9317" s="18" t="str">
        <f>IFERROR(__XLUDF.DUMMYFUNCTION("PROPER(REGEXREPLACE(D134,""[^A-Za-z]+ "",""""))"),"Mavieassur")</f>
        <v>Mavieassur</v>
      </c>
      <c r="G9317" s="18" t="s">
        <v>40498</v>
      </c>
      <c r="H9317" s="18">
        <v>4</v>
      </c>
      <c r="I9317" s="18" t="s">
        <v>39661</v>
      </c>
      <c r="J9317" s="5" t="s">
        <v>40499</v>
      </c>
      <c r="K9317" s="5" t="s">
        <v>40500</v>
      </c>
      <c r="L9317" s="18" t="s">
        <v>5456</v>
      </c>
      <c r="M9317" s="18" t="s">
        <v>29</v>
      </c>
      <c r="N9317" s="18" t="s">
        <v>416</v>
      </c>
      <c r="O9317" s="18" t="s">
        <v>29</v>
      </c>
      <c r="P9317" s="6"/>
      <c r="Q9317" s="6"/>
      <c r="R9317" s="6"/>
      <c r="S9317" s="6"/>
      <c r="T9317" s="6"/>
      <c r="U9317" s="6"/>
    </row>
    <row r="9318" ht="14.25">
      <c r="B9318" s="18" t="s">
        <v>12073</v>
      </c>
      <c r="C9318" s="18" t="s">
        <v>40501</v>
      </c>
      <c r="D9318" s="18" t="s">
        <v>460</v>
      </c>
      <c r="E9318" s="18" t="s">
        <v>40502</v>
      </c>
      <c r="F9318" s="18" t="str">
        <f>IFERROR(__XLUDF.DUMMYFUNCTION("PROPER(REGEXREPLACE(D135,""[^A-Za-z]+ "",""""))"),"Iassure")</f>
        <v>Iassure</v>
      </c>
      <c r="G9318" s="18" t="s">
        <v>40503</v>
      </c>
      <c r="H9318" s="18">
        <v>42</v>
      </c>
      <c r="I9318" s="18" t="s">
        <v>39661</v>
      </c>
      <c r="J9318" s="5" t="s">
        <v>40504</v>
      </c>
      <c r="K9318" s="5" t="s">
        <v>40505</v>
      </c>
      <c r="L9318" s="6"/>
      <c r="M9318" s="18" t="s">
        <v>29</v>
      </c>
      <c r="N9318" s="18" t="s">
        <v>4883</v>
      </c>
      <c r="O9318" s="18" t="s">
        <v>29</v>
      </c>
      <c r="P9318" s="18" t="s">
        <v>40506</v>
      </c>
      <c r="Q9318" s="6"/>
      <c r="R9318" s="6"/>
      <c r="S9318" s="6"/>
      <c r="T9318" s="6"/>
      <c r="U9318" s="6"/>
    </row>
    <row r="9319" ht="14.25">
      <c r="B9319" s="18" t="s">
        <v>330</v>
      </c>
      <c r="C9319" s="18" t="s">
        <v>40507</v>
      </c>
      <c r="D9319" s="18" t="s">
        <v>40508</v>
      </c>
      <c r="E9319" s="18" t="s">
        <v>40509</v>
      </c>
      <c r="F9319" s="18" t="str">
        <f>IFERROR(__XLUDF.DUMMYFUNCTION("PROPER(REGEXREPLACE(D136,""[^A-Za-z]+ "",""""))"),"G&amp;P Assurances Et Associés")</f>
        <v xml:space="preserve">G&amp;P Assurances Et Associés</v>
      </c>
      <c r="G9319" s="18" t="s">
        <v>40510</v>
      </c>
      <c r="H9319" s="18">
        <v>12</v>
      </c>
      <c r="I9319" s="18" t="s">
        <v>39661</v>
      </c>
      <c r="J9319" s="5" t="s">
        <v>40511</v>
      </c>
      <c r="K9319" s="5" t="s">
        <v>40512</v>
      </c>
      <c r="L9319" s="18" t="s">
        <v>1826</v>
      </c>
      <c r="M9319" s="18" t="s">
        <v>29</v>
      </c>
      <c r="N9319" s="18" t="s">
        <v>40513</v>
      </c>
      <c r="O9319" s="18" t="s">
        <v>29</v>
      </c>
      <c r="P9319" s="18" t="s">
        <v>40514</v>
      </c>
      <c r="Q9319" s="6"/>
      <c r="R9319" s="6"/>
      <c r="S9319" s="6"/>
      <c r="T9319" s="6"/>
      <c r="U9319" s="6"/>
    </row>
    <row r="9320" ht="14.25">
      <c r="B9320" s="18" t="s">
        <v>1562</v>
      </c>
      <c r="C9320" s="18" t="s">
        <v>40515</v>
      </c>
      <c r="D9320" s="18" t="s">
        <v>40516</v>
      </c>
      <c r="E9320" s="18" t="s">
        <v>40517</v>
      </c>
      <c r="F9320" s="18" t="str">
        <f>IFERROR(__XLUDF.DUMMYFUNCTION("PROPER(REGEXREPLACE(D137,""[^A-Za-z]+ "",""""))"),"Proxia Construction Assurances")</f>
        <v xml:space="preserve">Proxia Construction Assurances</v>
      </c>
      <c r="G9320" s="18" t="s">
        <v>40518</v>
      </c>
      <c r="H9320" s="18">
        <v>8</v>
      </c>
      <c r="I9320" s="18" t="s">
        <v>39661</v>
      </c>
      <c r="J9320" s="5" t="s">
        <v>40519</v>
      </c>
      <c r="K9320" s="5" t="s">
        <v>40520</v>
      </c>
      <c r="L9320" s="18" t="s">
        <v>1711</v>
      </c>
      <c r="M9320" s="18" t="s">
        <v>29</v>
      </c>
      <c r="N9320" s="18" t="s">
        <v>1712</v>
      </c>
      <c r="O9320" s="18" t="s">
        <v>29</v>
      </c>
      <c r="P9320" s="6"/>
      <c r="Q9320" s="6"/>
      <c r="R9320" s="6"/>
      <c r="S9320" s="6"/>
      <c r="T9320" s="6"/>
      <c r="U9320" s="6"/>
    </row>
    <row r="9321" ht="14.25">
      <c r="B9321" s="18" t="s">
        <v>330</v>
      </c>
      <c r="C9321" s="18" t="s">
        <v>40521</v>
      </c>
      <c r="D9321" s="18" t="s">
        <v>87</v>
      </c>
      <c r="E9321" s="18" t="s">
        <v>40522</v>
      </c>
      <c r="F9321" s="18" t="str">
        <f>IFERROR(__XLUDF.DUMMYFUNCTION("PROPER(REGEXREPLACE(D138,""[^A-Za-z]+ "",""""))"),"Aoc Insurance Broker ""Insurtechis Leading A Global International Health Insurance Advisor")</f>
        <v xml:space="preserve">Aoc Insurance Broker "Insurtechis Leading A Global International Health Insurance Advisor</v>
      </c>
      <c r="G9321" s="18" t="s">
        <v>40523</v>
      </c>
      <c r="H9321" s="18">
        <v>2</v>
      </c>
      <c r="I9321" s="18" t="s">
        <v>39661</v>
      </c>
      <c r="J9321" s="5" t="s">
        <v>40524</v>
      </c>
      <c r="K9321" s="5" t="s">
        <v>40525</v>
      </c>
      <c r="L9321" s="18" t="s">
        <v>39</v>
      </c>
      <c r="M9321" s="18" t="s">
        <v>29</v>
      </c>
      <c r="N9321" s="18" t="s">
        <v>40526</v>
      </c>
      <c r="O9321" s="18" t="s">
        <v>29</v>
      </c>
      <c r="P9321" s="18" t="s">
        <v>40527</v>
      </c>
      <c r="Q9321" s="6"/>
      <c r="R9321" s="6"/>
      <c r="S9321" s="6"/>
      <c r="T9321" s="6"/>
      <c r="U9321" s="6"/>
    </row>
    <row r="9322" ht="14.25">
      <c r="B9322" s="18" t="s">
        <v>866</v>
      </c>
      <c r="C9322" s="18" t="s">
        <v>40528</v>
      </c>
      <c r="D9322" s="18" t="s">
        <v>15197</v>
      </c>
      <c r="E9322" s="18" t="s">
        <v>40315</v>
      </c>
      <c r="F9322" s="18" t="str">
        <f>IFERROR(__XLUDF.DUMMYFUNCTION("PROPER(REGEXREPLACE(D139,""[^A-Za-z]+ "",""""))"),"Alternative Courtage")</f>
        <v xml:space="preserve">Alternative Courtage</v>
      </c>
      <c r="G9322" s="18" t="s">
        <v>40529</v>
      </c>
      <c r="H9322" s="18">
        <v>12</v>
      </c>
      <c r="I9322" s="18" t="s">
        <v>39661</v>
      </c>
      <c r="J9322" s="5" t="s">
        <v>40530</v>
      </c>
      <c r="K9322" s="5" t="s">
        <v>40318</v>
      </c>
      <c r="L9322" s="18" t="s">
        <v>31078</v>
      </c>
      <c r="M9322" s="18" t="s">
        <v>29</v>
      </c>
      <c r="N9322" s="18" t="s">
        <v>40320</v>
      </c>
      <c r="O9322" s="18" t="s">
        <v>29</v>
      </c>
      <c r="P9322" s="6"/>
      <c r="Q9322" s="6"/>
      <c r="R9322" s="6"/>
      <c r="S9322" s="6"/>
      <c r="T9322" s="6"/>
      <c r="U9322" s="6"/>
    </row>
    <row r="9323" ht="14.25">
      <c r="B9323" s="18" t="s">
        <v>2398</v>
      </c>
      <c r="C9323" s="18" t="s">
        <v>40531</v>
      </c>
      <c r="D9323" s="18" t="s">
        <v>426</v>
      </c>
      <c r="E9323" s="18" t="s">
        <v>40532</v>
      </c>
      <c r="F9323" s="18" t="str">
        <f>IFERROR(__XLUDF.DUMMYFUNCTION("PROPER(REGEXREPLACE(D140,""[^A-Za-z]+ "",""""))"),"Qivio")</f>
        <v>Qivio</v>
      </c>
      <c r="G9323" s="18" t="s">
        <v>40533</v>
      </c>
      <c r="H9323" s="18">
        <v>13</v>
      </c>
      <c r="I9323" s="18" t="s">
        <v>39661</v>
      </c>
      <c r="J9323" s="5" t="s">
        <v>40534</v>
      </c>
      <c r="K9323" s="5" t="s">
        <v>40535</v>
      </c>
      <c r="L9323" s="18" t="s">
        <v>39</v>
      </c>
      <c r="M9323" s="18" t="s">
        <v>29</v>
      </c>
      <c r="N9323" s="18" t="s">
        <v>67</v>
      </c>
      <c r="O9323" s="18" t="s">
        <v>29</v>
      </c>
      <c r="P9323" s="18" t="s">
        <v>40536</v>
      </c>
      <c r="Q9323" s="6"/>
      <c r="R9323" s="6"/>
      <c r="S9323" s="6"/>
      <c r="T9323" s="6"/>
      <c r="U9323" s="6"/>
    </row>
    <row r="9324" ht="14.25">
      <c r="B9324" s="18" t="s">
        <v>118</v>
      </c>
      <c r="C9324" s="18" t="s">
        <v>40537</v>
      </c>
      <c r="D9324" s="18" t="s">
        <v>426</v>
      </c>
      <c r="E9324" s="18" t="s">
        <v>40538</v>
      </c>
      <c r="F9324" s="18" t="str">
        <f>IFERROR(__XLUDF.DUMMYFUNCTION("PROPER(REGEXREPLACE(D141,""[^A-Za-z]+ "",""""))"),"International Santé")</f>
        <v xml:space="preserve">International Santé</v>
      </c>
      <c r="G9324" s="18" t="s">
        <v>40539</v>
      </c>
      <c r="H9324" s="18">
        <v>11</v>
      </c>
      <c r="I9324" s="18" t="s">
        <v>39661</v>
      </c>
      <c r="J9324" s="5" t="s">
        <v>40540</v>
      </c>
      <c r="K9324" s="5" t="s">
        <v>40541</v>
      </c>
      <c r="L9324" s="18" t="s">
        <v>83</v>
      </c>
      <c r="M9324" s="18" t="s">
        <v>29</v>
      </c>
      <c r="N9324" s="18" t="s">
        <v>2144</v>
      </c>
      <c r="O9324" s="18" t="s">
        <v>29</v>
      </c>
      <c r="P9324" s="18" t="s">
        <v>40542</v>
      </c>
      <c r="Q9324" s="6"/>
      <c r="R9324" s="6"/>
      <c r="S9324" s="6"/>
      <c r="T9324" s="6"/>
      <c r="U9324" s="6"/>
    </row>
    <row r="9325" ht="14.25">
      <c r="B9325" s="18" t="s">
        <v>622</v>
      </c>
      <c r="C9325" s="18" t="s">
        <v>40543</v>
      </c>
      <c r="D9325" s="18" t="s">
        <v>172</v>
      </c>
      <c r="E9325" s="18" t="s">
        <v>40544</v>
      </c>
      <c r="F9325" s="18" t="str">
        <f>IFERROR(__XLUDF.DUMMYFUNCTION("PROPER(REGEXREPLACE(D142,""[^A-Za-z]+ "",""""))"),"Muta Santé")</f>
        <v xml:space="preserve">Muta Santé</v>
      </c>
      <c r="G9325" s="18" t="s">
        <v>40545</v>
      </c>
      <c r="H9325" s="18">
        <v>48</v>
      </c>
      <c r="I9325" s="18" t="s">
        <v>39661</v>
      </c>
      <c r="J9325" s="5" t="s">
        <v>40546</v>
      </c>
      <c r="K9325" s="5" t="s">
        <v>40547</v>
      </c>
      <c r="L9325" s="18" t="s">
        <v>40548</v>
      </c>
      <c r="M9325" s="18" t="s">
        <v>29</v>
      </c>
      <c r="N9325" s="18" t="s">
        <v>40549</v>
      </c>
      <c r="O9325" s="18" t="s">
        <v>29</v>
      </c>
      <c r="P9325" s="18" t="s">
        <v>40550</v>
      </c>
      <c r="Q9325" s="6"/>
      <c r="R9325" s="6"/>
      <c r="S9325" s="6"/>
      <c r="T9325" s="6"/>
      <c r="U9325" s="6"/>
    </row>
    <row r="9326" ht="14.25">
      <c r="B9326" s="18" t="s">
        <v>1070</v>
      </c>
      <c r="C9326" s="18" t="s">
        <v>40551</v>
      </c>
      <c r="D9326" s="18" t="s">
        <v>40552</v>
      </c>
      <c r="E9326" s="18" t="s">
        <v>40210</v>
      </c>
      <c r="F9326" s="18" t="str">
        <f>IFERROR(__XLUDF.DUMMYFUNCTION("PROPER(REGEXREPLACE(D143,""[^A-Za-z]+ "",""""))"),"Estaly")</f>
        <v>Estaly</v>
      </c>
      <c r="G9326" s="18" t="s">
        <v>40553</v>
      </c>
      <c r="H9326" s="18">
        <v>20</v>
      </c>
      <c r="I9326" s="18" t="s">
        <v>39661</v>
      </c>
      <c r="J9326" s="5" t="s">
        <v>40554</v>
      </c>
      <c r="K9326" s="5" t="s">
        <v>40213</v>
      </c>
      <c r="L9326" s="18" t="s">
        <v>39</v>
      </c>
      <c r="M9326" s="18" t="s">
        <v>29</v>
      </c>
      <c r="N9326" s="18" t="s">
        <v>18271</v>
      </c>
      <c r="O9326" s="18" t="s">
        <v>29</v>
      </c>
      <c r="P9326" s="18" t="s">
        <v>40214</v>
      </c>
      <c r="Q9326" s="6"/>
      <c r="R9326" s="6"/>
      <c r="S9326" s="6"/>
      <c r="T9326" s="6"/>
      <c r="U9326" s="6"/>
    </row>
    <row r="9327" ht="14.25">
      <c r="B9327" s="18" t="s">
        <v>355</v>
      </c>
      <c r="C9327" s="18" t="s">
        <v>25551</v>
      </c>
      <c r="D9327" s="18" t="s">
        <v>120</v>
      </c>
      <c r="E9327" s="5" t="s">
        <v>40555</v>
      </c>
      <c r="F9327" s="5" t="str">
        <f>IFERROR(__XLUDF.DUMMYFUNCTION("PROPER(REGEXREPLACE(D144,""[^A-Za-z]+ "",""""))"),"Kanonik.Fr")</f>
        <v>Kanonik.Fr</v>
      </c>
      <c r="G9327" s="18" t="s">
        <v>25553</v>
      </c>
      <c r="H9327" s="18">
        <v>10</v>
      </c>
      <c r="I9327" s="18" t="s">
        <v>39661</v>
      </c>
      <c r="J9327" s="5" t="s">
        <v>25554</v>
      </c>
      <c r="K9327" s="5" t="s">
        <v>25555</v>
      </c>
      <c r="L9327" s="18" t="s">
        <v>15894</v>
      </c>
      <c r="M9327" s="18" t="s">
        <v>29</v>
      </c>
      <c r="N9327" s="18" t="s">
        <v>25556</v>
      </c>
      <c r="O9327" s="18" t="s">
        <v>29</v>
      </c>
      <c r="P9327" s="6"/>
      <c r="Q9327" s="6"/>
      <c r="R9327" s="6"/>
      <c r="S9327" s="6"/>
      <c r="T9327" s="6"/>
      <c r="U9327" s="6"/>
    </row>
    <row r="9328" ht="14.25">
      <c r="B9328" s="18" t="s">
        <v>808</v>
      </c>
      <c r="C9328" s="18" t="s">
        <v>40556</v>
      </c>
      <c r="D9328" s="18" t="s">
        <v>40557</v>
      </c>
      <c r="E9328" s="18" t="s">
        <v>40558</v>
      </c>
      <c r="F9328" s="18" t="str">
        <f>IFERROR(__XLUDF.DUMMYFUNCTION("PROPER(REGEXREPLACE(D145,""[^A-Za-z]+ "",""""))"),"As Solutions Entreprises")</f>
        <v xml:space="preserve">As Solutions Entreprises</v>
      </c>
      <c r="G9328" s="18" t="s">
        <v>40559</v>
      </c>
      <c r="H9328" s="18">
        <v>5</v>
      </c>
      <c r="I9328" s="18" t="s">
        <v>39661</v>
      </c>
      <c r="J9328" s="5" t="s">
        <v>40560</v>
      </c>
      <c r="K9328" s="5" t="s">
        <v>40561</v>
      </c>
      <c r="L9328" s="18" t="s">
        <v>185</v>
      </c>
      <c r="M9328" s="18" t="s">
        <v>29</v>
      </c>
      <c r="N9328" s="18" t="s">
        <v>40562</v>
      </c>
      <c r="O9328" s="18" t="s">
        <v>29</v>
      </c>
      <c r="P9328" s="18" t="s">
        <v>40563</v>
      </c>
      <c r="Q9328" s="6"/>
      <c r="R9328" s="6"/>
      <c r="S9328" s="6"/>
      <c r="T9328" s="6"/>
      <c r="U9328" s="6"/>
    </row>
    <row r="9329" ht="14.25">
      <c r="B9329" s="18" t="s">
        <v>118</v>
      </c>
      <c r="C9329" s="18" t="s">
        <v>40564</v>
      </c>
      <c r="D9329" s="18" t="s">
        <v>265</v>
      </c>
      <c r="E9329" s="18" t="s">
        <v>40565</v>
      </c>
      <c r="F9329" s="18" t="str">
        <f>IFERROR(__XLUDF.DUMMYFUNCTION("PROPER(REGEXREPLACE(D146,""[^A-Za-z]+ "",""""))"),"Ekie")</f>
        <v>Ekie</v>
      </c>
      <c r="G9329" s="18" t="s">
        <v>40566</v>
      </c>
      <c r="H9329" s="18">
        <v>27</v>
      </c>
      <c r="I9329" s="18" t="s">
        <v>40567</v>
      </c>
      <c r="J9329" s="5" t="s">
        <v>40568</v>
      </c>
      <c r="K9329" s="5" t="s">
        <v>40569</v>
      </c>
      <c r="L9329" s="6"/>
      <c r="M9329" s="18" t="s">
        <v>29</v>
      </c>
      <c r="N9329" s="18" t="s">
        <v>67</v>
      </c>
      <c r="O9329" s="18" t="s">
        <v>29</v>
      </c>
      <c r="P9329" s="18" t="s">
        <v>40570</v>
      </c>
      <c r="Q9329" s="6"/>
      <c r="R9329" s="6"/>
      <c r="S9329" s="6"/>
      <c r="T9329" s="6"/>
      <c r="U9329" s="6"/>
    </row>
    <row r="9330" ht="14.25">
      <c r="B9330" s="18" t="s">
        <v>630</v>
      </c>
      <c r="C9330" s="18" t="s">
        <v>40571</v>
      </c>
      <c r="D9330" s="18" t="s">
        <v>112</v>
      </c>
      <c r="E9330" s="18" t="s">
        <v>40572</v>
      </c>
      <c r="F9330" s="18" t="str">
        <f>IFERROR(__XLUDF.DUMMYFUNCTION("PROPER(REGEXREPLACE(D147,""[^A-Za-z]+ "",""""))"),"Add Value")</f>
        <v xml:space="preserve">Add Value</v>
      </c>
      <c r="G9330" s="18" t="s">
        <v>40573</v>
      </c>
      <c r="H9330" s="18">
        <v>46</v>
      </c>
      <c r="I9330" s="18" t="s">
        <v>39661</v>
      </c>
      <c r="J9330" s="5" t="s">
        <v>40574</v>
      </c>
      <c r="K9330" s="5" t="s">
        <v>40575</v>
      </c>
      <c r="L9330" s="18" t="s">
        <v>15147</v>
      </c>
      <c r="M9330" s="18" t="s">
        <v>29</v>
      </c>
      <c r="N9330" s="18" t="s">
        <v>23888</v>
      </c>
      <c r="O9330" s="18" t="s">
        <v>29</v>
      </c>
      <c r="P9330" s="18" t="s">
        <v>40576</v>
      </c>
      <c r="Q9330" s="6"/>
      <c r="R9330" s="6"/>
      <c r="S9330" s="6"/>
      <c r="T9330" s="6"/>
      <c r="U9330" s="6"/>
    </row>
    <row r="9331" ht="14.25">
      <c r="B9331" s="18" t="s">
        <v>5951</v>
      </c>
      <c r="C9331" s="18" t="s">
        <v>40577</v>
      </c>
      <c r="D9331" s="18" t="s">
        <v>198</v>
      </c>
      <c r="E9331" s="18" t="s">
        <v>40578</v>
      </c>
      <c r="F9331" s="18" t="str">
        <f>IFERROR(__XLUDF.DUMMYFUNCTION("PROPER(REGEXREPLACE(D148,""[^A-Za-z]+ "",""""))"),"Gie Assurpol Assurance Pollution")</f>
        <v xml:space="preserve">Gie Assurpol Assurance Pollution</v>
      </c>
      <c r="G9331" s="18" t="s">
        <v>40579</v>
      </c>
      <c r="H9331" s="18">
        <v>14</v>
      </c>
      <c r="I9331" s="18" t="s">
        <v>39661</v>
      </c>
      <c r="J9331" s="5" t="s">
        <v>40580</v>
      </c>
      <c r="K9331" s="5" t="s">
        <v>40581</v>
      </c>
      <c r="L9331" s="18" t="s">
        <v>39</v>
      </c>
      <c r="M9331" s="18" t="s">
        <v>29</v>
      </c>
      <c r="N9331" s="18" t="s">
        <v>40582</v>
      </c>
      <c r="O9331" s="18" t="s">
        <v>29</v>
      </c>
      <c r="P9331" s="6"/>
      <c r="Q9331" s="6"/>
      <c r="R9331" s="6"/>
      <c r="S9331" s="6"/>
      <c r="T9331" s="6"/>
      <c r="U9331" s="6"/>
    </row>
    <row r="9332" ht="14.25">
      <c r="B9332" s="18" t="s">
        <v>222</v>
      </c>
      <c r="C9332" s="18" t="s">
        <v>40583</v>
      </c>
      <c r="D9332" s="18" t="s">
        <v>172</v>
      </c>
      <c r="E9332" s="18" t="s">
        <v>40584</v>
      </c>
      <c r="F9332" s="18" t="str">
        <f>IFERROR(__XLUDF.DUMMYFUNCTION("PROPER(REGEXREPLACE(D149,""[^A-Za-z]+ "",""""))"),"Planete Csca")</f>
        <v xml:space="preserve">Planete Csca</v>
      </c>
      <c r="G9332" s="18" t="s">
        <v>40585</v>
      </c>
      <c r="H9332" s="18">
        <v>41</v>
      </c>
      <c r="I9332" s="18" t="s">
        <v>39661</v>
      </c>
      <c r="J9332" s="5" t="s">
        <v>40586</v>
      </c>
      <c r="K9332" s="5" t="s">
        <v>40587</v>
      </c>
      <c r="L9332" s="18" t="s">
        <v>39</v>
      </c>
      <c r="M9332" s="18" t="s">
        <v>29</v>
      </c>
      <c r="N9332" s="18" t="s">
        <v>40588</v>
      </c>
      <c r="O9332" s="18" t="s">
        <v>29</v>
      </c>
      <c r="P9332" s="18" t="s">
        <v>40589</v>
      </c>
      <c r="Q9332" s="6"/>
      <c r="R9332" s="6"/>
      <c r="S9332" s="6"/>
      <c r="T9332" s="6"/>
      <c r="U9332" s="6"/>
    </row>
    <row r="9333" ht="14.25">
      <c r="B9333" s="18" t="s">
        <v>734</v>
      </c>
      <c r="C9333" s="18" t="s">
        <v>25886</v>
      </c>
      <c r="D9333" s="18" t="s">
        <v>172</v>
      </c>
      <c r="E9333" s="18" t="s">
        <v>40590</v>
      </c>
      <c r="F9333" s="18" t="str">
        <f>IFERROR(__XLUDF.DUMMYFUNCTION("PROPER(REGEXREPLACE(D150,""[^A-Za-z]+ "",""""))"),"Math-Prévaris")</f>
        <v>Math-Prévaris</v>
      </c>
      <c r="G9333" s="18" t="s">
        <v>40591</v>
      </c>
      <c r="H9333" s="18">
        <v>35</v>
      </c>
      <c r="I9333" s="18" t="s">
        <v>39661</v>
      </c>
      <c r="J9333" s="5" t="s">
        <v>40592</v>
      </c>
      <c r="K9333" s="5" t="s">
        <v>40593</v>
      </c>
      <c r="L9333" s="18" t="s">
        <v>831</v>
      </c>
      <c r="M9333" s="18" t="s">
        <v>29</v>
      </c>
      <c r="N9333" s="18" t="s">
        <v>40594</v>
      </c>
      <c r="O9333" s="18" t="s">
        <v>29</v>
      </c>
      <c r="P9333" s="18" t="s">
        <v>40595</v>
      </c>
      <c r="Q9333" s="6"/>
      <c r="R9333" s="6"/>
      <c r="S9333" s="6"/>
      <c r="T9333" s="6"/>
      <c r="U9333" s="6"/>
    </row>
    <row r="9334" ht="14.25">
      <c r="B9334" s="18" t="s">
        <v>9900</v>
      </c>
      <c r="C9334" s="18" t="s">
        <v>40596</v>
      </c>
      <c r="D9334" s="18" t="s">
        <v>198</v>
      </c>
      <c r="E9334" s="18" t="s">
        <v>40147</v>
      </c>
      <c r="F9334" s="18" t="str">
        <f>IFERROR(__XLUDF.DUMMYFUNCTION("PROPER(REGEXREPLACE(D151,""[^A-Za-z]+ "",""""))"),"Mlc Mutuelle")</f>
        <v xml:space="preserve">Mlc Mutuelle</v>
      </c>
      <c r="G9334" s="18" t="s">
        <v>40597</v>
      </c>
      <c r="H9334" s="18">
        <v>36</v>
      </c>
      <c r="I9334" s="18" t="s">
        <v>39661</v>
      </c>
      <c r="J9334" s="5" t="s">
        <v>40598</v>
      </c>
      <c r="K9334" s="5" t="s">
        <v>40150</v>
      </c>
      <c r="L9334" s="6"/>
      <c r="M9334" s="18" t="s">
        <v>29</v>
      </c>
      <c r="N9334" s="18" t="s">
        <v>40151</v>
      </c>
      <c r="O9334" s="18" t="s">
        <v>29</v>
      </c>
      <c r="P9334" s="6"/>
      <c r="Q9334" s="6"/>
      <c r="R9334" s="6"/>
      <c r="S9334" s="6"/>
      <c r="T9334" s="6"/>
      <c r="U9334" s="6"/>
    </row>
    <row r="9335" ht="14.25">
      <c r="B9335" s="18" t="s">
        <v>5891</v>
      </c>
      <c r="C9335" s="18" t="s">
        <v>40599</v>
      </c>
      <c r="D9335" s="18" t="s">
        <v>247</v>
      </c>
      <c r="E9335" s="18" t="s">
        <v>40600</v>
      </c>
      <c r="F9335" s="18" t="str">
        <f>IFERROR(__XLUDF.DUMMYFUNCTION("PROPER(REGEXREPLACE(D152,""[^A-Za-z]+ "",""""))"),"Wemind")</f>
        <v>Wemind</v>
      </c>
      <c r="G9335" s="18" t="s">
        <v>40601</v>
      </c>
      <c r="H9335" s="18">
        <v>13</v>
      </c>
      <c r="I9335" s="18" t="s">
        <v>39661</v>
      </c>
      <c r="J9335" s="5" t="s">
        <v>40602</v>
      </c>
      <c r="K9335" s="5" t="s">
        <v>40603</v>
      </c>
      <c r="L9335" s="6"/>
      <c r="M9335" s="18" t="s">
        <v>29</v>
      </c>
      <c r="N9335" s="18" t="s">
        <v>40604</v>
      </c>
      <c r="O9335" s="18" t="s">
        <v>29</v>
      </c>
      <c r="P9335" s="18" t="s">
        <v>40605</v>
      </c>
      <c r="Q9335" s="6"/>
      <c r="R9335" s="6"/>
      <c r="S9335" s="6"/>
      <c r="T9335" s="6"/>
      <c r="U9335" s="6"/>
    </row>
    <row r="9336" ht="14.25">
      <c r="B9336" s="18" t="s">
        <v>653</v>
      </c>
      <c r="C9336" s="18" t="s">
        <v>21148</v>
      </c>
      <c r="D9336" s="18" t="s">
        <v>62</v>
      </c>
      <c r="E9336" s="18" t="s">
        <v>40389</v>
      </c>
      <c r="F9336" s="18" t="str">
        <f>IFERROR(__XLUDF.DUMMYFUNCTION("PROPER(REGEXREPLACE(D153,""[^A-Za-z]+ "",""""))"),"Innovie")</f>
        <v>Innovie</v>
      </c>
      <c r="G9336" s="18" t="s">
        <v>40606</v>
      </c>
      <c r="H9336" s="18">
        <v>13</v>
      </c>
      <c r="I9336" s="18" t="s">
        <v>39661</v>
      </c>
      <c r="J9336" s="5" t="s">
        <v>40607</v>
      </c>
      <c r="K9336" s="5" t="s">
        <v>40392</v>
      </c>
      <c r="L9336" s="18" t="s">
        <v>39</v>
      </c>
      <c r="M9336" s="18" t="s">
        <v>29</v>
      </c>
      <c r="N9336" s="18" t="s">
        <v>27958</v>
      </c>
      <c r="O9336" s="18" t="s">
        <v>29</v>
      </c>
      <c r="P9336" s="18" t="s">
        <v>40393</v>
      </c>
      <c r="Q9336" s="6"/>
      <c r="R9336" s="6"/>
      <c r="S9336" s="6"/>
      <c r="T9336" s="6"/>
      <c r="U9336" s="6"/>
    </row>
    <row r="9337" ht="14.25">
      <c r="B9337" s="18" t="s">
        <v>2398</v>
      </c>
      <c r="C9337" s="18" t="s">
        <v>40608</v>
      </c>
      <c r="D9337" s="18" t="s">
        <v>230</v>
      </c>
      <c r="E9337" s="18" t="s">
        <v>39771</v>
      </c>
      <c r="F9337" s="18" t="str">
        <f>IFERROR(__XLUDF.DUMMYFUNCTION("PROPER(REGEXREPLACE(D154,""[^A-Za-z]+ "",""""))"),"Coverd")</f>
        <v>Coverd</v>
      </c>
      <c r="G9337" s="18" t="s">
        <v>40609</v>
      </c>
      <c r="H9337" s="18">
        <v>11</v>
      </c>
      <c r="I9337" s="18" t="s">
        <v>39661</v>
      </c>
      <c r="J9337" s="5" t="s">
        <v>40610</v>
      </c>
      <c r="K9337" s="5" t="s">
        <v>39774</v>
      </c>
      <c r="L9337" s="18" t="s">
        <v>39</v>
      </c>
      <c r="M9337" s="18" t="s">
        <v>29</v>
      </c>
      <c r="N9337" s="18" t="s">
        <v>39775</v>
      </c>
      <c r="O9337" s="18" t="s">
        <v>29</v>
      </c>
      <c r="P9337" s="18" t="s">
        <v>39776</v>
      </c>
      <c r="Q9337" s="6"/>
      <c r="R9337" s="6"/>
      <c r="S9337" s="6"/>
      <c r="T9337" s="6"/>
      <c r="U9337" s="6"/>
    </row>
    <row r="9338" ht="14.25">
      <c r="B9338" s="18" t="s">
        <v>6931</v>
      </c>
      <c r="C9338" s="18" t="s">
        <v>22605</v>
      </c>
      <c r="D9338" s="18" t="s">
        <v>247</v>
      </c>
      <c r="E9338" s="18" t="s">
        <v>40290</v>
      </c>
      <c r="F9338" s="18" t="str">
        <f>IFERROR(__XLUDF.DUMMYFUNCTION("PROPER(REGEXREPLACE(D155,""[^A-Za-z]+ "",""""))"),"Owen")</f>
        <v>Owen</v>
      </c>
      <c r="G9338" s="18" t="s">
        <v>40611</v>
      </c>
      <c r="H9338" s="18">
        <v>330</v>
      </c>
      <c r="I9338" s="18" t="s">
        <v>39661</v>
      </c>
      <c r="J9338" s="5" t="s">
        <v>40612</v>
      </c>
      <c r="K9338" s="5" t="s">
        <v>40293</v>
      </c>
      <c r="L9338" s="18" t="s">
        <v>39</v>
      </c>
      <c r="M9338" s="18" t="s">
        <v>29</v>
      </c>
      <c r="N9338" s="18" t="s">
        <v>67</v>
      </c>
      <c r="O9338" s="18" t="s">
        <v>29</v>
      </c>
      <c r="P9338" s="18" t="s">
        <v>40294</v>
      </c>
      <c r="Q9338" s="6"/>
      <c r="R9338" s="6"/>
      <c r="S9338" s="6"/>
      <c r="T9338" s="6"/>
      <c r="U9338" s="6"/>
    </row>
    <row r="9339" ht="14.25">
      <c r="B9339" s="18" t="s">
        <v>76</v>
      </c>
      <c r="C9339" s="18" t="s">
        <v>40613</v>
      </c>
      <c r="D9339" s="18" t="s">
        <v>112</v>
      </c>
      <c r="E9339" s="18" t="s">
        <v>40614</v>
      </c>
      <c r="F9339" s="18" t="str">
        <f>IFERROR(__XLUDF.DUMMYFUNCTION("PROPER(REGEXREPLACE(D156,""[^A-Za-z]+ "",""""))"),"Lim Group")</f>
        <v xml:space="preserve">Lim Group</v>
      </c>
      <c r="G9339" s="18" t="s">
        <v>40615</v>
      </c>
      <c r="H9339" s="18">
        <v>13</v>
      </c>
      <c r="I9339" s="18" t="s">
        <v>39661</v>
      </c>
      <c r="J9339" s="5" t="s">
        <v>40616</v>
      </c>
      <c r="K9339" s="5" t="s">
        <v>40617</v>
      </c>
      <c r="L9339" s="18" t="s">
        <v>6412</v>
      </c>
      <c r="M9339" s="18" t="s">
        <v>29</v>
      </c>
      <c r="N9339" s="18" t="s">
        <v>40618</v>
      </c>
      <c r="O9339" s="18" t="s">
        <v>1548</v>
      </c>
      <c r="P9339" s="6"/>
      <c r="Q9339" s="6"/>
      <c r="R9339" s="6"/>
      <c r="S9339" s="6"/>
      <c r="T9339" s="6"/>
      <c r="U9339" s="6"/>
    </row>
    <row r="9340" ht="14.25">
      <c r="B9340" s="18" t="s">
        <v>3019</v>
      </c>
      <c r="C9340" s="18" t="s">
        <v>40619</v>
      </c>
      <c r="D9340" s="18" t="s">
        <v>487</v>
      </c>
      <c r="E9340" s="18" t="s">
        <v>40620</v>
      </c>
      <c r="F9340" s="18" t="str">
        <f>IFERROR(__XLUDF.DUMMYFUNCTION("PROPER(REGEXREPLACE(D157,""[^A-Za-z]+ "",""""))"),"Cetri")</f>
        <v>Cetri</v>
      </c>
      <c r="G9340" s="18" t="s">
        <v>40621</v>
      </c>
      <c r="H9340" s="18">
        <v>49</v>
      </c>
      <c r="I9340" s="18" t="s">
        <v>39661</v>
      </c>
      <c r="J9340" s="5" t="s">
        <v>40622</v>
      </c>
      <c r="K9340" s="5" t="s">
        <v>40623</v>
      </c>
      <c r="L9340" s="18" t="s">
        <v>39</v>
      </c>
      <c r="M9340" s="18" t="s">
        <v>29</v>
      </c>
      <c r="N9340" s="18" t="s">
        <v>40624</v>
      </c>
      <c r="O9340" s="18" t="s">
        <v>29</v>
      </c>
      <c r="P9340" s="6"/>
      <c r="Q9340" s="6"/>
      <c r="R9340" s="6"/>
      <c r="S9340" s="6"/>
      <c r="T9340" s="6"/>
      <c r="U9340" s="6"/>
    </row>
    <row r="9341" ht="14.25">
      <c r="B9341" s="18" t="s">
        <v>40625</v>
      </c>
      <c r="C9341" s="18" t="s">
        <v>40626</v>
      </c>
      <c r="D9341" s="18" t="s">
        <v>164</v>
      </c>
      <c r="E9341" s="18" t="s">
        <v>40073</v>
      </c>
      <c r="F9341" s="18" t="str">
        <f>IFERROR(__XLUDF.DUMMYFUNCTION("PROPER(REGEXREPLACE(D158,""[^A-Za-z]+ "",""""))"),"Hoken Sas")</f>
        <v xml:space="preserve">Hoken Sas</v>
      </c>
      <c r="G9341" s="18" t="s">
        <v>40627</v>
      </c>
      <c r="H9341" s="18">
        <v>11</v>
      </c>
      <c r="I9341" s="18" t="s">
        <v>39661</v>
      </c>
      <c r="J9341" s="5" t="s">
        <v>40628</v>
      </c>
      <c r="K9341" s="5" t="s">
        <v>40076</v>
      </c>
      <c r="L9341" s="18" t="s">
        <v>185</v>
      </c>
      <c r="M9341" s="18" t="s">
        <v>29</v>
      </c>
      <c r="N9341" s="18" t="s">
        <v>40077</v>
      </c>
      <c r="O9341" s="18" t="s">
        <v>29</v>
      </c>
      <c r="P9341" s="18" t="s">
        <v>40078</v>
      </c>
      <c r="Q9341" s="6"/>
      <c r="R9341" s="6"/>
      <c r="S9341" s="6"/>
      <c r="T9341" s="6"/>
      <c r="U9341" s="6"/>
    </row>
    <row r="9342" ht="14.25">
      <c r="B9342" s="18" t="s">
        <v>808</v>
      </c>
      <c r="C9342" s="18" t="s">
        <v>5265</v>
      </c>
      <c r="D9342" s="18" t="s">
        <v>172</v>
      </c>
      <c r="E9342" s="18" t="s">
        <v>40629</v>
      </c>
      <c r="F9342" s="18" t="str">
        <f>IFERROR(__XLUDF.DUMMYFUNCTION("PROPER(REGEXREPLACE(D159,""[^A-Za-z]+ "",""""))"),"Assurfin Groupe")</f>
        <v xml:space="preserve">Assurfin Groupe</v>
      </c>
      <c r="G9342" s="18" t="s">
        <v>40630</v>
      </c>
      <c r="H9342" s="18">
        <v>21</v>
      </c>
      <c r="I9342" s="18" t="s">
        <v>39661</v>
      </c>
      <c r="J9342" s="5" t="s">
        <v>40631</v>
      </c>
      <c r="K9342" s="5" t="s">
        <v>40632</v>
      </c>
      <c r="L9342" s="18" t="s">
        <v>39</v>
      </c>
      <c r="M9342" s="18" t="s">
        <v>29</v>
      </c>
      <c r="N9342" s="18" t="s">
        <v>40633</v>
      </c>
      <c r="O9342" s="18" t="s">
        <v>29</v>
      </c>
      <c r="P9342" s="6"/>
      <c r="Q9342" s="6"/>
      <c r="R9342" s="6"/>
      <c r="S9342" s="6"/>
      <c r="T9342" s="6"/>
      <c r="U9342" s="6"/>
    </row>
    <row r="9343" ht="14.25">
      <c r="B9343" s="18" t="s">
        <v>1592</v>
      </c>
      <c r="C9343" s="18" t="s">
        <v>40634</v>
      </c>
      <c r="D9343" s="18" t="s">
        <v>172</v>
      </c>
      <c r="E9343" s="18" t="s">
        <v>40635</v>
      </c>
      <c r="F9343" s="18" t="str">
        <f>IFERROR(__XLUDF.DUMMYFUNCTION("PROPER(REGEXREPLACE(D160,""[^A-Za-z]+ "",""""))"),"Mutlog")</f>
        <v>Mutlog</v>
      </c>
      <c r="G9343" s="18" t="s">
        <v>40636</v>
      </c>
      <c r="H9343" s="18">
        <v>17</v>
      </c>
      <c r="I9343" s="18" t="s">
        <v>39661</v>
      </c>
      <c r="J9343" s="5" t="s">
        <v>40637</v>
      </c>
      <c r="K9343" s="5" t="s">
        <v>40638</v>
      </c>
      <c r="L9343" s="6"/>
      <c r="M9343" s="18" t="s">
        <v>29</v>
      </c>
      <c r="N9343" s="18" t="s">
        <v>67</v>
      </c>
      <c r="O9343" s="18" t="s">
        <v>29</v>
      </c>
      <c r="P9343" s="18" t="s">
        <v>40639</v>
      </c>
      <c r="Q9343" s="6"/>
      <c r="R9343" s="6"/>
      <c r="S9343" s="6"/>
      <c r="T9343" s="6"/>
      <c r="U9343" s="6"/>
    </row>
    <row r="9344" ht="14.25">
      <c r="B9344" s="18" t="s">
        <v>40640</v>
      </c>
      <c r="C9344" s="18" t="s">
        <v>40641</v>
      </c>
      <c r="D9344" s="18" t="s">
        <v>40642</v>
      </c>
      <c r="E9344" s="18" t="s">
        <v>40643</v>
      </c>
      <c r="F9344" s="18" t="str">
        <f>IFERROR(__XLUDF.DUMMYFUNCTION("PROPER(REGEXREPLACE(D161,""[^A-Za-z]+ "",""""))"),"Wilov")</f>
        <v>Wilov</v>
      </c>
      <c r="G9344" s="18" t="s">
        <v>40644</v>
      </c>
      <c r="H9344" s="18">
        <v>6</v>
      </c>
      <c r="I9344" s="18" t="s">
        <v>39661</v>
      </c>
      <c r="J9344" s="5" t="s">
        <v>40645</v>
      </c>
      <c r="K9344" s="5" t="s">
        <v>40646</v>
      </c>
      <c r="L9344" s="6"/>
      <c r="M9344" s="18" t="s">
        <v>29</v>
      </c>
      <c r="N9344" s="18" t="s">
        <v>40647</v>
      </c>
      <c r="O9344" s="18" t="s">
        <v>29</v>
      </c>
      <c r="P9344" s="18" t="s">
        <v>40648</v>
      </c>
      <c r="Q9344" s="6"/>
      <c r="R9344" s="6"/>
      <c r="S9344" s="6"/>
      <c r="T9344" s="6"/>
      <c r="U9344" s="6"/>
    </row>
    <row r="9345" ht="14.25">
      <c r="B9345" s="18" t="s">
        <v>785</v>
      </c>
      <c r="C9345" s="18" t="s">
        <v>40649</v>
      </c>
      <c r="D9345" s="18" t="s">
        <v>87</v>
      </c>
      <c r="E9345" s="18" t="s">
        <v>40650</v>
      </c>
      <c r="F9345" s="18" t="str">
        <f>IFERROR(__XLUDF.DUMMYFUNCTION("PROPER(REGEXREPLACE(D162,""[^A-Za-z]+ "",""""))"),"Azuria Courtage")</f>
        <v xml:space="preserve">Azuria Courtage</v>
      </c>
      <c r="G9345" s="18" t="s">
        <v>40651</v>
      </c>
      <c r="H9345" s="18">
        <v>1</v>
      </c>
      <c r="I9345" s="18" t="s">
        <v>39661</v>
      </c>
      <c r="J9345" s="5" t="s">
        <v>40652</v>
      </c>
      <c r="K9345" s="5" t="s">
        <v>40653</v>
      </c>
      <c r="L9345" s="18" t="s">
        <v>49</v>
      </c>
      <c r="M9345" s="18" t="s">
        <v>29</v>
      </c>
      <c r="N9345" s="18" t="s">
        <v>40654</v>
      </c>
      <c r="O9345" s="18" t="s">
        <v>29</v>
      </c>
      <c r="P9345" s="18" t="s">
        <v>40655</v>
      </c>
      <c r="Q9345" s="6"/>
      <c r="R9345" s="6"/>
      <c r="S9345" s="6"/>
      <c r="T9345" s="6"/>
      <c r="U9345" s="6"/>
    </row>
    <row r="9346" ht="14.25">
      <c r="B9346" s="18" t="s">
        <v>170</v>
      </c>
      <c r="C9346" s="18" t="s">
        <v>40656</v>
      </c>
      <c r="D9346" s="18" t="s">
        <v>468</v>
      </c>
      <c r="E9346" s="18" t="s">
        <v>40635</v>
      </c>
      <c r="F9346" s="18" t="str">
        <f>IFERROR(__XLUDF.DUMMYFUNCTION("PROPER(REGEXREPLACE(D163,""[^A-Za-z]+ "",""""))"),"Mutlog")</f>
        <v>Mutlog</v>
      </c>
      <c r="G9346" s="18" t="s">
        <v>40657</v>
      </c>
      <c r="H9346" s="18">
        <v>17</v>
      </c>
      <c r="I9346" s="18" t="s">
        <v>39661</v>
      </c>
      <c r="J9346" s="5" t="s">
        <v>40658</v>
      </c>
      <c r="K9346" s="5" t="s">
        <v>40638</v>
      </c>
      <c r="L9346" s="18" t="s">
        <v>39</v>
      </c>
      <c r="M9346" s="18" t="s">
        <v>29</v>
      </c>
      <c r="N9346" s="18" t="s">
        <v>40659</v>
      </c>
      <c r="O9346" s="18" t="s">
        <v>29</v>
      </c>
      <c r="P9346" s="18" t="s">
        <v>40639</v>
      </c>
      <c r="Q9346" s="6"/>
      <c r="R9346" s="6"/>
      <c r="S9346" s="6"/>
      <c r="T9346" s="6"/>
      <c r="U9346" s="6"/>
    </row>
    <row r="9347" ht="14.25">
      <c r="B9347" s="18" t="s">
        <v>13010</v>
      </c>
      <c r="C9347" s="18" t="s">
        <v>40660</v>
      </c>
      <c r="D9347" s="18" t="s">
        <v>112</v>
      </c>
      <c r="E9347" s="18" t="s">
        <v>40661</v>
      </c>
      <c r="F9347" s="18" t="str">
        <f>IFERROR(__XLUDF.DUMMYFUNCTION("PROPER(REGEXREPLACE(D164,""[^A-Za-z]+ "",""""))"),"As Solutions Courtier Grossiste")</f>
        <v xml:space="preserve">As Solutions Courtier Grossiste</v>
      </c>
      <c r="G9347" s="18" t="s">
        <v>40662</v>
      </c>
      <c r="H9347" s="18">
        <v>20</v>
      </c>
      <c r="I9347" s="18" t="s">
        <v>39661</v>
      </c>
      <c r="J9347" s="5" t="s">
        <v>40663</v>
      </c>
      <c r="K9347" s="5" t="s">
        <v>40664</v>
      </c>
      <c r="L9347" s="18" t="s">
        <v>39</v>
      </c>
      <c r="M9347" s="18" t="s">
        <v>29</v>
      </c>
      <c r="N9347" s="18" t="s">
        <v>67</v>
      </c>
      <c r="O9347" s="18" t="s">
        <v>29</v>
      </c>
      <c r="P9347" s="6"/>
      <c r="Q9347" s="6"/>
      <c r="R9347" s="6"/>
      <c r="S9347" s="6"/>
      <c r="T9347" s="6"/>
      <c r="U9347" s="6"/>
    </row>
    <row r="9348" ht="14.25">
      <c r="B9348" s="18" t="s">
        <v>35728</v>
      </c>
      <c r="C9348" s="18" t="s">
        <v>40665</v>
      </c>
      <c r="D9348" s="18" t="s">
        <v>120</v>
      </c>
      <c r="E9348" s="18" t="s">
        <v>40532</v>
      </c>
      <c r="F9348" s="18" t="str">
        <f>IFERROR(__XLUDF.DUMMYFUNCTION("PROPER(REGEXREPLACE(D165,""[^A-Za-z]+ "",""""))"),"Qivio")</f>
        <v>Qivio</v>
      </c>
      <c r="G9348" s="18" t="s">
        <v>40666</v>
      </c>
      <c r="H9348" s="18">
        <v>13</v>
      </c>
      <c r="I9348" s="18" t="s">
        <v>39661</v>
      </c>
      <c r="J9348" s="5" t="s">
        <v>40667</v>
      </c>
      <c r="K9348" s="5" t="s">
        <v>40535</v>
      </c>
      <c r="L9348" s="18" t="s">
        <v>39</v>
      </c>
      <c r="M9348" s="18" t="s">
        <v>29</v>
      </c>
      <c r="N9348" s="18" t="s">
        <v>67</v>
      </c>
      <c r="O9348" s="18" t="s">
        <v>29</v>
      </c>
      <c r="P9348" s="18" t="s">
        <v>40536</v>
      </c>
      <c r="Q9348" s="6"/>
      <c r="R9348" s="6"/>
      <c r="S9348" s="6"/>
      <c r="T9348" s="6"/>
      <c r="U9348" s="6"/>
    </row>
    <row r="9349" ht="14.25">
      <c r="B9349" s="18" t="s">
        <v>4986</v>
      </c>
      <c r="C9349" s="18" t="s">
        <v>21304</v>
      </c>
      <c r="D9349" s="18" t="s">
        <v>164</v>
      </c>
      <c r="E9349" s="18" t="s">
        <v>40668</v>
      </c>
      <c r="F9349" s="18" t="str">
        <f>IFERROR(__XLUDF.DUMMYFUNCTION("PROPER(REGEXREPLACE(D166,""[^A-Za-z]+ "",""""))"),"Nevidis")</f>
        <v>Nevidis</v>
      </c>
      <c r="G9349" s="18" t="s">
        <v>40669</v>
      </c>
      <c r="H9349" s="18">
        <v>9</v>
      </c>
      <c r="I9349" s="18" t="s">
        <v>39661</v>
      </c>
      <c r="J9349" s="5" t="s">
        <v>40670</v>
      </c>
      <c r="K9349" s="5" t="s">
        <v>40671</v>
      </c>
      <c r="L9349" s="6"/>
      <c r="M9349" s="18" t="s">
        <v>29</v>
      </c>
      <c r="N9349" s="18" t="s">
        <v>40672</v>
      </c>
      <c r="O9349" s="18" t="s">
        <v>29</v>
      </c>
      <c r="P9349" s="6"/>
      <c r="Q9349" s="6"/>
      <c r="R9349" s="6"/>
      <c r="S9349" s="6"/>
      <c r="T9349" s="6"/>
      <c r="U9349" s="6"/>
    </row>
    <row r="9350" ht="14.25">
      <c r="B9350" s="18" t="s">
        <v>1362</v>
      </c>
      <c r="C9350" s="18" t="s">
        <v>40673</v>
      </c>
      <c r="D9350" s="18" t="s">
        <v>40674</v>
      </c>
      <c r="E9350" s="18" t="s">
        <v>40675</v>
      </c>
      <c r="F9350" s="18" t="str">
        <f>IFERROR(__XLUDF.DUMMYFUNCTION("PROPER(REGEXREPLACE(D167,""[^A-Za-z]+ "",""""))"),"Actuairesassociés")</f>
        <v>Actuairesassociés</v>
      </c>
      <c r="G9350" s="18" t="s">
        <v>40676</v>
      </c>
      <c r="H9350" s="18">
        <v>5</v>
      </c>
      <c r="I9350" s="18" t="s">
        <v>39661</v>
      </c>
      <c r="J9350" s="5" t="s">
        <v>40677</v>
      </c>
      <c r="K9350" s="5" t="s">
        <v>40678</v>
      </c>
      <c r="L9350" s="18" t="s">
        <v>39</v>
      </c>
      <c r="M9350" s="18" t="s">
        <v>29</v>
      </c>
      <c r="N9350" s="18" t="s">
        <v>67</v>
      </c>
      <c r="O9350" s="18" t="s">
        <v>29</v>
      </c>
      <c r="P9350" s="18" t="s">
        <v>40679</v>
      </c>
      <c r="Q9350" s="6"/>
      <c r="R9350" s="6"/>
      <c r="S9350" s="6"/>
      <c r="T9350" s="6"/>
      <c r="U9350" s="6"/>
    </row>
    <row r="9351" ht="14.25">
      <c r="B9351" s="18" t="s">
        <v>485</v>
      </c>
      <c r="C9351" s="18" t="s">
        <v>34201</v>
      </c>
      <c r="D9351" s="18" t="s">
        <v>4802</v>
      </c>
      <c r="E9351" s="18" t="s">
        <v>40643</v>
      </c>
      <c r="F9351" s="18" t="str">
        <f>IFERROR(__XLUDF.DUMMYFUNCTION("PROPER(REGEXREPLACE(D168,""[^A-Za-z]+ "",""""))"),"Wilov")</f>
        <v>Wilov</v>
      </c>
      <c r="G9351" s="18" t="s">
        <v>40680</v>
      </c>
      <c r="H9351" s="18">
        <v>6</v>
      </c>
      <c r="I9351" s="18" t="s">
        <v>39661</v>
      </c>
      <c r="J9351" s="5" t="s">
        <v>40681</v>
      </c>
      <c r="K9351" s="5" t="s">
        <v>40646</v>
      </c>
      <c r="L9351" s="18" t="s">
        <v>39</v>
      </c>
      <c r="M9351" s="18" t="s">
        <v>29</v>
      </c>
      <c r="N9351" s="18" t="s">
        <v>40647</v>
      </c>
      <c r="O9351" s="18" t="s">
        <v>29</v>
      </c>
      <c r="P9351" s="18" t="s">
        <v>40648</v>
      </c>
      <c r="Q9351" s="6"/>
      <c r="R9351" s="6"/>
      <c r="S9351" s="6"/>
      <c r="T9351" s="6"/>
      <c r="U9351" s="6"/>
    </row>
    <row r="9352" ht="14.25">
      <c r="B9352" s="18" t="s">
        <v>1562</v>
      </c>
      <c r="C9352" s="18" t="s">
        <v>40682</v>
      </c>
      <c r="D9352" s="18" t="s">
        <v>247</v>
      </c>
      <c r="E9352" s="18" t="s">
        <v>40683</v>
      </c>
      <c r="F9352" s="18" t="str">
        <f>IFERROR(__XLUDF.DUMMYFUNCTION("PROPER(REGEXREPLACE(D169,""[^A-Za-z]+ "",""""))"),"Datafolio")</f>
        <v>Datafolio</v>
      </c>
      <c r="G9352" s="18" t="s">
        <v>40684</v>
      </c>
      <c r="H9352" s="18">
        <v>17</v>
      </c>
      <c r="I9352" s="18" t="s">
        <v>39661</v>
      </c>
      <c r="J9352" s="5" t="s">
        <v>40685</v>
      </c>
      <c r="K9352" s="5" t="s">
        <v>40686</v>
      </c>
      <c r="L9352" s="18" t="s">
        <v>13773</v>
      </c>
      <c r="M9352" s="18" t="s">
        <v>29</v>
      </c>
      <c r="N9352" s="18" t="s">
        <v>5865</v>
      </c>
      <c r="O9352" s="18" t="s">
        <v>29</v>
      </c>
      <c r="P9352" s="18" t="s">
        <v>40687</v>
      </c>
      <c r="Q9352" s="6"/>
      <c r="R9352" s="6"/>
      <c r="S9352" s="6"/>
      <c r="T9352" s="6"/>
      <c r="U9352" s="6"/>
    </row>
    <row r="9353" ht="14.25">
      <c r="B9353" s="18" t="s">
        <v>1732</v>
      </c>
      <c r="C9353" s="18" t="s">
        <v>7095</v>
      </c>
      <c r="D9353" s="18" t="s">
        <v>40688</v>
      </c>
      <c r="E9353" s="18" t="s">
        <v>40689</v>
      </c>
      <c r="F9353" s="18" t="str">
        <f>IFERROR(__XLUDF.DUMMYFUNCTION("PROPER(REGEXREPLACE(D170,""[^A-Za-z]+ "",""""))"),"Accès Santé")</f>
        <v xml:space="preserve">Accès Santé</v>
      </c>
      <c r="G9353" s="18" t="s">
        <v>40690</v>
      </c>
      <c r="H9353" s="18">
        <v>4</v>
      </c>
      <c r="I9353" s="18" t="s">
        <v>39661</v>
      </c>
      <c r="J9353" s="5" t="s">
        <v>40691</v>
      </c>
      <c r="K9353" s="5" t="s">
        <v>40692</v>
      </c>
      <c r="L9353" s="18" t="s">
        <v>40693</v>
      </c>
      <c r="M9353" s="18" t="s">
        <v>29</v>
      </c>
      <c r="N9353" s="18" t="s">
        <v>40694</v>
      </c>
      <c r="O9353" s="18" t="s">
        <v>29</v>
      </c>
      <c r="P9353" s="18" t="s">
        <v>40695</v>
      </c>
      <c r="Q9353" s="6"/>
      <c r="R9353" s="6"/>
      <c r="S9353" s="6"/>
      <c r="T9353" s="6"/>
      <c r="U9353" s="6"/>
    </row>
    <row r="9354" ht="14.25">
      <c r="B9354" s="18" t="s">
        <v>4811</v>
      </c>
      <c r="C9354" s="18" t="s">
        <v>40696</v>
      </c>
      <c r="D9354" s="18" t="s">
        <v>4449</v>
      </c>
      <c r="E9354" s="18" t="s">
        <v>40697</v>
      </c>
      <c r="F9354" s="18" t="str">
        <f>IFERROR(__XLUDF.DUMMYFUNCTION("PROPER(REGEXREPLACE(D171,""[^A-Za-z]+ "",""""))"),"Youfirst Assurances")</f>
        <v xml:space="preserve">Youfirst Assurances</v>
      </c>
      <c r="G9354" s="18" t="s">
        <v>40698</v>
      </c>
      <c r="H9354" s="18">
        <v>1</v>
      </c>
      <c r="I9354" s="18" t="s">
        <v>39661</v>
      </c>
      <c r="J9354" s="5" t="s">
        <v>40699</v>
      </c>
      <c r="K9354" s="5" t="s">
        <v>40700</v>
      </c>
      <c r="L9354" s="18" t="s">
        <v>1419</v>
      </c>
      <c r="M9354" s="18" t="s">
        <v>29</v>
      </c>
      <c r="N9354" s="18" t="s">
        <v>40701</v>
      </c>
      <c r="O9354" s="18" t="s">
        <v>29</v>
      </c>
      <c r="P9354" s="18" t="s">
        <v>40702</v>
      </c>
      <c r="Q9354" s="6"/>
      <c r="R9354" s="6"/>
      <c r="S9354" s="6"/>
      <c r="T9354" s="6"/>
      <c r="U9354" s="6"/>
    </row>
    <row r="9355" ht="14.25">
      <c r="B9355" s="18" t="s">
        <v>2119</v>
      </c>
      <c r="C9355" s="18" t="s">
        <v>40703</v>
      </c>
      <c r="D9355" s="18" t="s">
        <v>460</v>
      </c>
      <c r="E9355" s="18" t="s">
        <v>40704</v>
      </c>
      <c r="F9355" s="18" t="str">
        <f>IFERROR(__XLUDF.DUMMYFUNCTION("PROPER(REGEXREPLACE(D172,""[^A-Za-z]+ "",""""))"),"Patrim One Assurances")</f>
        <v xml:space="preserve">Patrim One Assurances</v>
      </c>
      <c r="G9355" s="18" t="s">
        <v>40705</v>
      </c>
      <c r="H9355" s="18">
        <v>57</v>
      </c>
      <c r="I9355" s="18" t="s">
        <v>39661</v>
      </c>
      <c r="J9355" s="5" t="s">
        <v>40706</v>
      </c>
      <c r="K9355" s="5" t="s">
        <v>40707</v>
      </c>
      <c r="L9355" s="6"/>
      <c r="M9355" s="18" t="s">
        <v>29</v>
      </c>
      <c r="N9355" s="18" t="s">
        <v>40708</v>
      </c>
      <c r="O9355" s="18" t="s">
        <v>29</v>
      </c>
      <c r="P9355" s="6"/>
      <c r="Q9355" s="6"/>
      <c r="R9355" s="6"/>
      <c r="S9355" s="6"/>
      <c r="T9355" s="6"/>
      <c r="U9355" s="6"/>
    </row>
    <row r="9356" ht="14.25">
      <c r="B9356" s="18" t="s">
        <v>29241</v>
      </c>
      <c r="C9356" s="18" t="s">
        <v>40709</v>
      </c>
      <c r="D9356" s="18" t="s">
        <v>468</v>
      </c>
      <c r="E9356" s="18" t="s">
        <v>40710</v>
      </c>
      <c r="F9356" s="18" t="str">
        <f>IFERROR(__XLUDF.DUMMYFUNCTION("PROPER(REGEXREPLACE(D173,""[^A-Za-z]+ "",""""))"),"Mnspf")</f>
        <v>Mnspf</v>
      </c>
      <c r="G9356" s="18" t="s">
        <v>40711</v>
      </c>
      <c r="H9356" s="18">
        <v>45</v>
      </c>
      <c r="I9356" s="18" t="s">
        <v>39661</v>
      </c>
      <c r="J9356" s="5" t="s">
        <v>40712</v>
      </c>
      <c r="K9356" s="5" t="s">
        <v>40713</v>
      </c>
      <c r="L9356" s="18" t="s">
        <v>39</v>
      </c>
      <c r="M9356" s="18" t="s">
        <v>29</v>
      </c>
      <c r="N9356" s="18" t="s">
        <v>40714</v>
      </c>
      <c r="O9356" s="18" t="s">
        <v>29</v>
      </c>
      <c r="P9356" s="18" t="s">
        <v>40715</v>
      </c>
      <c r="Q9356" s="6"/>
      <c r="R9356" s="6"/>
      <c r="S9356" s="6"/>
      <c r="T9356" s="6"/>
      <c r="U9356" s="6"/>
    </row>
    <row r="9357" ht="14.25">
      <c r="B9357" s="18" t="s">
        <v>5716</v>
      </c>
      <c r="C9357" s="18" t="s">
        <v>40716</v>
      </c>
      <c r="D9357" s="18" t="s">
        <v>247</v>
      </c>
      <c r="E9357" s="18" t="s">
        <v>40445</v>
      </c>
      <c r="F9357" s="18" t="str">
        <f>IFERROR(__XLUDF.DUMMYFUNCTION("PROPER(REGEXREPLACE(D174,""[^A-Za-z]+ "",""""))"),"Neat Protect")</f>
        <v xml:space="preserve">Neat Protect</v>
      </c>
      <c r="G9357" s="18" t="s">
        <v>40717</v>
      </c>
      <c r="H9357" s="18">
        <v>64</v>
      </c>
      <c r="I9357" s="18" t="s">
        <v>39661</v>
      </c>
      <c r="J9357" s="5" t="s">
        <v>40718</v>
      </c>
      <c r="K9357" s="5" t="s">
        <v>40448</v>
      </c>
      <c r="L9357" s="18" t="s">
        <v>39</v>
      </c>
      <c r="M9357" s="18" t="s">
        <v>29</v>
      </c>
      <c r="N9357" s="18" t="s">
        <v>67</v>
      </c>
      <c r="O9357" s="18" t="s">
        <v>29</v>
      </c>
      <c r="P9357" s="18" t="s">
        <v>40449</v>
      </c>
      <c r="Q9357" s="6"/>
      <c r="R9357" s="6"/>
      <c r="S9357" s="6"/>
      <c r="T9357" s="6"/>
      <c r="U9357" s="6"/>
    </row>
    <row r="9358" ht="14.25">
      <c r="B9358" s="18" t="s">
        <v>40719</v>
      </c>
      <c r="C9358" s="18" t="s">
        <v>40720</v>
      </c>
      <c r="D9358" s="18" t="s">
        <v>3188</v>
      </c>
      <c r="E9358" s="18" t="s">
        <v>40721</v>
      </c>
      <c r="F9358" s="18" t="str">
        <f>IFERROR(__XLUDF.DUMMYFUNCTION("PROPER(REGEXREPLACE(D175,""[^A-Za-z]+ "",""""))"),"Flitter")</f>
        <v>Flitter</v>
      </c>
      <c r="G9358" s="18" t="s">
        <v>40722</v>
      </c>
      <c r="H9358" s="18">
        <v>23</v>
      </c>
      <c r="I9358" s="18" t="s">
        <v>39661</v>
      </c>
      <c r="J9358" s="5" t="s">
        <v>40723</v>
      </c>
      <c r="K9358" s="5" t="s">
        <v>40724</v>
      </c>
      <c r="L9358" s="6"/>
      <c r="M9358" s="18" t="s">
        <v>29</v>
      </c>
      <c r="N9358" s="18" t="s">
        <v>67</v>
      </c>
      <c r="O9358" s="18" t="s">
        <v>29</v>
      </c>
      <c r="P9358" s="18" t="s">
        <v>40725</v>
      </c>
      <c r="Q9358" s="6"/>
      <c r="R9358" s="6"/>
      <c r="S9358" s="6"/>
      <c r="T9358" s="6"/>
      <c r="U9358" s="6"/>
    </row>
    <row r="9359" ht="14.25">
      <c r="B9359" s="18" t="s">
        <v>670</v>
      </c>
      <c r="C9359" s="18" t="s">
        <v>40726</v>
      </c>
      <c r="D9359" s="18" t="s">
        <v>3775</v>
      </c>
      <c r="E9359" s="18" t="s">
        <v>40721</v>
      </c>
      <c r="F9359" s="18" t="str">
        <f>IFERROR(__XLUDF.DUMMYFUNCTION("PROPER(REGEXREPLACE(D176,""[^A-Za-z]+ "",""""))"),"Flitter")</f>
        <v>Flitter</v>
      </c>
      <c r="G9359" s="18" t="s">
        <v>40727</v>
      </c>
      <c r="H9359" s="18">
        <v>23</v>
      </c>
      <c r="I9359" s="18" t="s">
        <v>39661</v>
      </c>
      <c r="J9359" s="5" t="s">
        <v>40728</v>
      </c>
      <c r="K9359" s="5" t="s">
        <v>40724</v>
      </c>
      <c r="L9359" s="18" t="s">
        <v>39</v>
      </c>
      <c r="M9359" s="18" t="s">
        <v>29</v>
      </c>
      <c r="N9359" s="18" t="s">
        <v>67</v>
      </c>
      <c r="O9359" s="18" t="s">
        <v>29</v>
      </c>
      <c r="P9359" s="18" t="s">
        <v>40725</v>
      </c>
      <c r="Q9359" s="6"/>
      <c r="R9359" s="6"/>
      <c r="S9359" s="6"/>
      <c r="T9359" s="6"/>
      <c r="U9359" s="6"/>
    </row>
    <row r="9360" ht="14.25">
      <c r="B9360" s="18" t="s">
        <v>18731</v>
      </c>
      <c r="C9360" s="18" t="s">
        <v>40092</v>
      </c>
      <c r="D9360" s="18" t="s">
        <v>112</v>
      </c>
      <c r="E9360" s="18" t="s">
        <v>40093</v>
      </c>
      <c r="F9360" s="18" t="str">
        <f>IFERROR(__XLUDF.DUMMYFUNCTION("PROPER(REGEXREPLACE(D177,""[^A-Za-z]+ "",""""))"),"Aps Prévoyance")</f>
        <v xml:space="preserve">Aps Prévoyance</v>
      </c>
      <c r="G9360" s="18" t="s">
        <v>40729</v>
      </c>
      <c r="H9360" s="18">
        <v>25</v>
      </c>
      <c r="I9360" s="18" t="s">
        <v>39661</v>
      </c>
      <c r="J9360" s="5" t="s">
        <v>40730</v>
      </c>
      <c r="K9360" s="5" t="s">
        <v>40096</v>
      </c>
      <c r="L9360" s="18" t="s">
        <v>40731</v>
      </c>
      <c r="M9360" s="18" t="s">
        <v>29</v>
      </c>
      <c r="N9360" s="18" t="s">
        <v>40097</v>
      </c>
      <c r="O9360" s="18" t="s">
        <v>29</v>
      </c>
      <c r="P9360" s="18" t="s">
        <v>40098</v>
      </c>
      <c r="Q9360" s="6"/>
      <c r="R9360" s="6"/>
      <c r="S9360" s="6"/>
      <c r="T9360" s="6"/>
      <c r="U9360" s="6"/>
    </row>
    <row r="9361" ht="14.25">
      <c r="B9361" s="18" t="s">
        <v>4993</v>
      </c>
      <c r="C9361" s="18" t="s">
        <v>40732</v>
      </c>
      <c r="D9361" s="18" t="s">
        <v>315</v>
      </c>
      <c r="E9361" s="18" t="s">
        <v>40733</v>
      </c>
      <c r="F9361" s="18" t="str">
        <f>IFERROR(__XLUDF.DUMMYFUNCTION("PROPER(REGEXREPLACE(D178,""[^A-Za-z]+ "",""""))"),"Pegase Insurance")</f>
        <v xml:space="preserve">Pegase Insurance</v>
      </c>
      <c r="G9361" s="18" t="s">
        <v>40734</v>
      </c>
      <c r="H9361" s="18">
        <v>8</v>
      </c>
      <c r="I9361" s="18" t="s">
        <v>39661</v>
      </c>
      <c r="J9361" s="5" t="s">
        <v>40735</v>
      </c>
      <c r="K9361" s="5" t="s">
        <v>40736</v>
      </c>
      <c r="L9361" s="18" t="s">
        <v>39</v>
      </c>
      <c r="M9361" s="18" t="s">
        <v>29</v>
      </c>
      <c r="N9361" s="18" t="s">
        <v>40737</v>
      </c>
      <c r="O9361" s="18" t="s">
        <v>29</v>
      </c>
      <c r="P9361" s="18" t="s">
        <v>40738</v>
      </c>
      <c r="Q9361" s="6"/>
      <c r="R9361" s="6"/>
      <c r="S9361" s="6"/>
      <c r="T9361" s="6"/>
      <c r="U9361" s="6"/>
    </row>
    <row r="9362" ht="14.25">
      <c r="B9362" s="18" t="s">
        <v>40739</v>
      </c>
      <c r="C9362" s="18" t="s">
        <v>40740</v>
      </c>
      <c r="D9362" s="18" t="s">
        <v>164</v>
      </c>
      <c r="E9362" s="18" t="s">
        <v>40741</v>
      </c>
      <c r="F9362" s="18" t="str">
        <f>IFERROR(__XLUDF.DUMMYFUNCTION("PROPER(REGEXREPLACE(D179,""[^A-Za-z]+ "",""""))"),"Avenir Prévoyance")</f>
        <v xml:space="preserve">Avenir Prévoyance</v>
      </c>
      <c r="G9362" s="18" t="s">
        <v>40742</v>
      </c>
      <c r="H9362" s="18">
        <v>11</v>
      </c>
      <c r="I9362" s="18" t="s">
        <v>39661</v>
      </c>
      <c r="J9362" s="5" t="s">
        <v>40743</v>
      </c>
      <c r="K9362" s="5" t="s">
        <v>40744</v>
      </c>
      <c r="L9362" s="18" t="s">
        <v>12794</v>
      </c>
      <c r="M9362" s="18" t="s">
        <v>29</v>
      </c>
      <c r="N9362" s="18" t="s">
        <v>40745</v>
      </c>
      <c r="O9362" s="18" t="s">
        <v>29</v>
      </c>
      <c r="P9362" s="18" t="s">
        <v>40746</v>
      </c>
      <c r="Q9362" s="6"/>
      <c r="R9362" s="6"/>
      <c r="S9362" s="6"/>
      <c r="T9362" s="6"/>
      <c r="U9362" s="6"/>
    </row>
    <row r="9363" ht="14.25">
      <c r="B9363" s="18" t="s">
        <v>6220</v>
      </c>
      <c r="C9363" s="18" t="s">
        <v>40747</v>
      </c>
      <c r="D9363" s="18" t="s">
        <v>172</v>
      </c>
      <c r="E9363" s="18" t="s">
        <v>40748</v>
      </c>
      <c r="F9363" s="18" t="str">
        <f>IFERROR(__XLUDF.DUMMYFUNCTION("PROPER(REGEXREPLACE(D180,""[^A-Za-z]+ "",""""))"),"Mca")</f>
        <v>Mca</v>
      </c>
      <c r="G9363" s="18" t="s">
        <v>40749</v>
      </c>
      <c r="H9363" s="18">
        <v>44</v>
      </c>
      <c r="I9363" s="18" t="s">
        <v>39661</v>
      </c>
      <c r="J9363" s="5" t="s">
        <v>40750</v>
      </c>
      <c r="K9363" s="5" t="s">
        <v>40751</v>
      </c>
      <c r="L9363" s="18" t="s">
        <v>16312</v>
      </c>
      <c r="M9363" s="18" t="s">
        <v>29</v>
      </c>
      <c r="N9363" s="18" t="s">
        <v>40752</v>
      </c>
      <c r="O9363" s="18" t="s">
        <v>29</v>
      </c>
      <c r="P9363" s="6"/>
      <c r="Q9363" s="6"/>
      <c r="R9363" s="6"/>
      <c r="S9363" s="6"/>
      <c r="T9363" s="6"/>
      <c r="U9363" s="6"/>
    </row>
    <row r="9364" ht="14.25">
      <c r="B9364" s="18" t="s">
        <v>630</v>
      </c>
      <c r="C9364" s="18" t="s">
        <v>40753</v>
      </c>
      <c r="D9364" s="18" t="s">
        <v>87</v>
      </c>
      <c r="E9364" s="18" t="s">
        <v>40754</v>
      </c>
      <c r="F9364" s="18" t="str">
        <f>IFERROR(__XLUDF.DUMMYFUNCTION("PROPER(REGEXREPLACE(D181,""[^A-Za-z]+ "",""""))"),"Zenlocassur")</f>
        <v>Zenlocassur</v>
      </c>
      <c r="G9364" s="18" t="s">
        <v>40755</v>
      </c>
      <c r="H9364" s="18">
        <v>5</v>
      </c>
      <c r="I9364" s="18" t="s">
        <v>39661</v>
      </c>
      <c r="J9364" s="5" t="s">
        <v>40756</v>
      </c>
      <c r="K9364" s="5" t="s">
        <v>40757</v>
      </c>
      <c r="L9364" s="18" t="s">
        <v>39</v>
      </c>
      <c r="M9364" s="18" t="s">
        <v>29</v>
      </c>
      <c r="N9364" s="18" t="s">
        <v>40758</v>
      </c>
      <c r="O9364" s="18" t="s">
        <v>1094</v>
      </c>
      <c r="P9364" s="18" t="s">
        <v>40759</v>
      </c>
      <c r="Q9364" s="6"/>
      <c r="R9364" s="6"/>
      <c r="S9364" s="6"/>
      <c r="T9364" s="6"/>
      <c r="U9364" s="6"/>
    </row>
    <row r="9365" ht="14.25">
      <c r="B9365" s="18" t="s">
        <v>330</v>
      </c>
      <c r="C9365" s="18" t="s">
        <v>40760</v>
      </c>
      <c r="D9365" s="18" t="s">
        <v>833</v>
      </c>
      <c r="E9365" s="18" t="s">
        <v>40761</v>
      </c>
      <c r="F9365" s="18" t="str">
        <f>IFERROR(__XLUDF.DUMMYFUNCTION("PROPER(REGEXREPLACE(D182,""[^A-Za-z]+ "",""""))"),"Diot-Siaci Immobilier")</f>
        <v xml:space="preserve">Diot-Siaci Immobilier</v>
      </c>
      <c r="G9365" s="18" t="s">
        <v>40762</v>
      </c>
      <c r="H9365" s="18">
        <v>42</v>
      </c>
      <c r="I9365" s="18" t="s">
        <v>39661</v>
      </c>
      <c r="J9365" s="5" t="s">
        <v>40763</v>
      </c>
      <c r="K9365" s="5" t="s">
        <v>40764</v>
      </c>
      <c r="L9365" s="18" t="s">
        <v>39</v>
      </c>
      <c r="M9365" s="18" t="s">
        <v>29</v>
      </c>
      <c r="N9365" s="18" t="s">
        <v>67</v>
      </c>
      <c r="O9365" s="18" t="s">
        <v>29</v>
      </c>
      <c r="P9365" s="6"/>
      <c r="Q9365" s="6"/>
      <c r="R9365" s="6"/>
      <c r="S9365" s="6"/>
      <c r="T9365" s="6"/>
      <c r="U9365" s="6"/>
    </row>
    <row r="9366" ht="14.25">
      <c r="B9366" s="18" t="s">
        <v>3850</v>
      </c>
      <c r="C9366" s="18" t="s">
        <v>40765</v>
      </c>
      <c r="D9366" s="18" t="s">
        <v>31208</v>
      </c>
      <c r="E9366" s="18" t="s">
        <v>40766</v>
      </c>
      <c r="F9366" s="18" t="str">
        <f>IFERROR(__XLUDF.DUMMYFUNCTION("PROPER(REGEXREPLACE(D183,""[^A-Za-z]+ "",""""))"),"Auxilia Courtage")</f>
        <v xml:space="preserve">Auxilia Courtage</v>
      </c>
      <c r="G9366" s="18" t="s">
        <v>40767</v>
      </c>
      <c r="H9366" s="18">
        <v>10</v>
      </c>
      <c r="I9366" s="18" t="s">
        <v>39661</v>
      </c>
      <c r="J9366" s="5" t="s">
        <v>40768</v>
      </c>
      <c r="K9366" s="5" t="s">
        <v>40769</v>
      </c>
      <c r="L9366" s="18" t="s">
        <v>295</v>
      </c>
      <c r="M9366" s="18" t="s">
        <v>29</v>
      </c>
      <c r="N9366" s="18" t="s">
        <v>3642</v>
      </c>
      <c r="O9366" s="18" t="s">
        <v>29</v>
      </c>
      <c r="P9366" s="18" t="s">
        <v>40770</v>
      </c>
      <c r="Q9366" s="6"/>
      <c r="R9366" s="6"/>
      <c r="S9366" s="6"/>
      <c r="T9366" s="6"/>
      <c r="U9366" s="6"/>
    </row>
    <row r="9367" ht="14.25">
      <c r="B9367" s="18" t="s">
        <v>785</v>
      </c>
      <c r="C9367" s="18" t="s">
        <v>40771</v>
      </c>
      <c r="D9367" s="18" t="s">
        <v>87</v>
      </c>
      <c r="E9367" s="18" t="s">
        <v>40772</v>
      </c>
      <c r="F9367" s="18" t="str">
        <f>IFERROR(__XLUDF.DUMMYFUNCTION("PROPER(REGEXREPLACE(D184,""[^A-Za-z]+ "",""""))"),"Comparadise")</f>
        <v>Comparadise</v>
      </c>
      <c r="G9367" s="18" t="s">
        <v>40773</v>
      </c>
      <c r="H9367" s="18">
        <v>17</v>
      </c>
      <c r="I9367" s="18" t="s">
        <v>39661</v>
      </c>
      <c r="J9367" s="5" t="s">
        <v>40774</v>
      </c>
      <c r="K9367" s="5" t="s">
        <v>40775</v>
      </c>
      <c r="L9367" s="18" t="s">
        <v>295</v>
      </c>
      <c r="M9367" s="18" t="s">
        <v>29</v>
      </c>
      <c r="N9367" s="18" t="s">
        <v>3642</v>
      </c>
      <c r="O9367" s="18" t="s">
        <v>29</v>
      </c>
      <c r="P9367" s="18" t="s">
        <v>40776</v>
      </c>
      <c r="Q9367" s="6"/>
      <c r="R9367" s="6"/>
      <c r="S9367" s="6"/>
      <c r="T9367" s="6"/>
      <c r="U9367" s="6"/>
    </row>
    <row r="9368" ht="14.25">
      <c r="B9368" s="18" t="s">
        <v>3523</v>
      </c>
      <c r="C9368" s="18" t="s">
        <v>40777</v>
      </c>
      <c r="D9368" s="18" t="s">
        <v>1130</v>
      </c>
      <c r="E9368" s="18" t="s">
        <v>40778</v>
      </c>
      <c r="F9368" s="18" t="str">
        <f>IFERROR(__XLUDF.DUMMYFUNCTION("PROPER(REGEXREPLACE(D185,""[^A-Za-z]+ "",""""))"),"Lbc Associes")</f>
        <v xml:space="preserve">Lbc Associes</v>
      </c>
      <c r="G9368" s="18" t="s">
        <v>40779</v>
      </c>
      <c r="H9368" s="18">
        <v>13</v>
      </c>
      <c r="I9368" s="18" t="s">
        <v>39661</v>
      </c>
      <c r="J9368" s="5" t="s">
        <v>40780</v>
      </c>
      <c r="K9368" s="5" t="s">
        <v>40781</v>
      </c>
      <c r="L9368" s="18" t="s">
        <v>185</v>
      </c>
      <c r="M9368" s="18" t="s">
        <v>29</v>
      </c>
      <c r="N9368" s="18" t="s">
        <v>40782</v>
      </c>
      <c r="O9368" s="18" t="s">
        <v>29</v>
      </c>
      <c r="P9368" s="18" t="s">
        <v>40783</v>
      </c>
      <c r="Q9368" s="6"/>
      <c r="R9368" s="6"/>
      <c r="S9368" s="6"/>
      <c r="T9368" s="6"/>
      <c r="U9368" s="6"/>
    </row>
    <row r="9369" ht="14.25">
      <c r="B9369" s="18" t="s">
        <v>622</v>
      </c>
      <c r="C9369" s="18" t="s">
        <v>40784</v>
      </c>
      <c r="D9369" s="18" t="s">
        <v>426</v>
      </c>
      <c r="E9369" s="18" t="s">
        <v>40785</v>
      </c>
      <c r="F9369" s="18" t="str">
        <f>IFERROR(__XLUDF.DUMMYFUNCTION("PROPER(REGEXREPLACE(D186,""[^A-Za-z]+ "",""""))"),"Selexium")</f>
        <v>Selexium</v>
      </c>
      <c r="G9369" s="18" t="s">
        <v>40786</v>
      </c>
      <c r="H9369" s="18">
        <v>41</v>
      </c>
      <c r="I9369" s="18" t="s">
        <v>40453</v>
      </c>
      <c r="J9369" s="5" t="s">
        <v>40787</v>
      </c>
      <c r="K9369" s="5" t="s">
        <v>40788</v>
      </c>
      <c r="L9369" s="6"/>
      <c r="M9369" s="18" t="s">
        <v>29</v>
      </c>
      <c r="N9369" s="18" t="s">
        <v>6527</v>
      </c>
      <c r="O9369" s="18" t="s">
        <v>29</v>
      </c>
      <c r="P9369" s="18" t="s">
        <v>40789</v>
      </c>
      <c r="Q9369" s="6"/>
      <c r="R9369" s="6"/>
      <c r="S9369" s="6"/>
      <c r="T9369" s="6"/>
      <c r="U9369" s="6"/>
    </row>
    <row r="9370" ht="14.25">
      <c r="B9370" s="18" t="s">
        <v>7714</v>
      </c>
      <c r="C9370" s="18" t="s">
        <v>40790</v>
      </c>
      <c r="D9370" s="18" t="s">
        <v>62</v>
      </c>
      <c r="E9370" s="18" t="s">
        <v>39750</v>
      </c>
      <c r="F9370" s="18" t="str">
        <f>IFERROR(__XLUDF.DUMMYFUNCTION("PROPER(REGEXREPLACE(D187,""[^A-Za-z]+ "",""""))"),"Cnc Expertise")</f>
        <v xml:space="preserve">Cnc Expertise</v>
      </c>
      <c r="G9370" s="18" t="s">
        <v>40791</v>
      </c>
      <c r="H9370" s="18">
        <v>6</v>
      </c>
      <c r="I9370" s="18" t="s">
        <v>39661</v>
      </c>
      <c r="J9370" s="5" t="s">
        <v>40792</v>
      </c>
      <c r="K9370" s="5" t="s">
        <v>39753</v>
      </c>
      <c r="L9370" s="18" t="s">
        <v>39</v>
      </c>
      <c r="M9370" s="18" t="s">
        <v>29</v>
      </c>
      <c r="N9370" s="18" t="s">
        <v>39754</v>
      </c>
      <c r="O9370" s="18" t="s">
        <v>29</v>
      </c>
      <c r="P9370" s="6"/>
      <c r="Q9370" s="6"/>
      <c r="R9370" s="6"/>
      <c r="S9370" s="6"/>
      <c r="T9370" s="6"/>
      <c r="U9370" s="6"/>
    </row>
    <row r="9371" ht="14.25">
      <c r="B9371" s="18" t="s">
        <v>3540</v>
      </c>
      <c r="C9371" s="18" t="s">
        <v>40793</v>
      </c>
      <c r="D9371" s="18" t="s">
        <v>4586</v>
      </c>
      <c r="E9371" s="18" t="s">
        <v>40465</v>
      </c>
      <c r="F9371" s="18" t="str">
        <f>IFERROR(__XLUDF.DUMMYFUNCTION("PROPER(REGEXREPLACE(D188,""[^A-Za-z]+ "",""""))"),"Accteam Network")</f>
        <v xml:space="preserve">Accteam Network</v>
      </c>
      <c r="G9371" s="18" t="s">
        <v>40794</v>
      </c>
      <c r="H9371" s="18">
        <v>7</v>
      </c>
      <c r="I9371" s="18" t="s">
        <v>39661</v>
      </c>
      <c r="J9371" s="5" t="s">
        <v>40795</v>
      </c>
      <c r="K9371" s="5" t="s">
        <v>40468</v>
      </c>
      <c r="L9371" s="6"/>
      <c r="M9371" s="18" t="s">
        <v>29</v>
      </c>
      <c r="N9371" s="18" t="s">
        <v>40469</v>
      </c>
      <c r="O9371" s="18" t="s">
        <v>29</v>
      </c>
      <c r="P9371" s="18" t="s">
        <v>40470</v>
      </c>
      <c r="Q9371" s="6"/>
      <c r="R9371" s="6"/>
      <c r="S9371" s="6"/>
      <c r="T9371" s="6"/>
      <c r="U9371" s="6"/>
    </row>
    <row r="9372" ht="14.25">
      <c r="B9372" s="18" t="s">
        <v>5579</v>
      </c>
      <c r="C9372" s="18" t="s">
        <v>5587</v>
      </c>
      <c r="D9372" s="18" t="s">
        <v>426</v>
      </c>
      <c r="E9372" s="18" t="s">
        <v>40796</v>
      </c>
      <c r="F9372" s="18" t="str">
        <f>IFERROR(__XLUDF.DUMMYFUNCTION("PROPER(REGEXREPLACE(D189,""[^A-Za-z]+ "",""""))"),"Médicis La Mutuelle Retraite Des Indépendants Et Entrepreneurs")</f>
        <v xml:space="preserve">Médicis La Mutuelle Retraite Des Indépendants Et Entrepreneurs</v>
      </c>
      <c r="G9372" s="18" t="s">
        <v>40797</v>
      </c>
      <c r="H9372" s="18">
        <v>54</v>
      </c>
      <c r="I9372" s="18" t="s">
        <v>39661</v>
      </c>
      <c r="J9372" s="5" t="s">
        <v>40798</v>
      </c>
      <c r="K9372" s="5" t="s">
        <v>40799</v>
      </c>
      <c r="L9372" s="18" t="s">
        <v>39</v>
      </c>
      <c r="M9372" s="18" t="s">
        <v>29</v>
      </c>
      <c r="N9372" s="18" t="s">
        <v>40800</v>
      </c>
      <c r="O9372" s="18" t="s">
        <v>29</v>
      </c>
      <c r="P9372" s="18" t="s">
        <v>40801</v>
      </c>
      <c r="Q9372" s="6"/>
      <c r="R9372" s="6"/>
      <c r="S9372" s="6"/>
      <c r="T9372" s="6"/>
      <c r="U9372" s="6"/>
    </row>
    <row r="9373" ht="14.25">
      <c r="B9373" s="18" t="s">
        <v>40802</v>
      </c>
      <c r="C9373" s="18" t="s">
        <v>5001</v>
      </c>
      <c r="D9373" s="18" t="s">
        <v>172</v>
      </c>
      <c r="E9373" s="18" t="s">
        <v>40803</v>
      </c>
      <c r="F9373" s="18" t="str">
        <f>IFERROR(__XLUDF.DUMMYFUNCTION("PROPER(REGEXREPLACE(D190,""[^A-Za-z]+ "",""""))"),"Mutuelle Des Services Publics")</f>
        <v xml:space="preserve">Mutuelle Des Services Publics</v>
      </c>
      <c r="G9373" s="18" t="s">
        <v>40804</v>
      </c>
      <c r="H9373" s="18">
        <v>18</v>
      </c>
      <c r="I9373" s="18" t="s">
        <v>39661</v>
      </c>
      <c r="J9373" s="5" t="s">
        <v>40805</v>
      </c>
      <c r="K9373" s="5" t="s">
        <v>40806</v>
      </c>
      <c r="L9373" s="18" t="s">
        <v>295</v>
      </c>
      <c r="M9373" s="18" t="s">
        <v>29</v>
      </c>
      <c r="N9373" s="18" t="s">
        <v>40807</v>
      </c>
      <c r="O9373" s="18" t="s">
        <v>29</v>
      </c>
      <c r="P9373" s="18" t="s">
        <v>40808</v>
      </c>
      <c r="Q9373" s="6"/>
      <c r="R9373" s="6"/>
      <c r="S9373" s="6"/>
      <c r="T9373" s="6"/>
      <c r="U9373" s="6"/>
    </row>
    <row r="9374" ht="14.25">
      <c r="B9374" s="18" t="s">
        <v>622</v>
      </c>
      <c r="C9374" s="18" t="s">
        <v>40809</v>
      </c>
      <c r="D9374" s="18" t="s">
        <v>426</v>
      </c>
      <c r="E9374" s="18" t="s">
        <v>40810</v>
      </c>
      <c r="F9374" s="18" t="str">
        <f>IFERROR(__XLUDF.DUMMYFUNCTION("PROPER(REGEXREPLACE(D191,""[^A-Za-z]+ "",""""))"),"Assercar")</f>
        <v>Assercar</v>
      </c>
      <c r="G9374" s="18" t="s">
        <v>40811</v>
      </c>
      <c r="H9374" s="18">
        <v>42</v>
      </c>
      <c r="I9374" s="18" t="s">
        <v>39661</v>
      </c>
      <c r="J9374" s="5" t="s">
        <v>40812</v>
      </c>
      <c r="K9374" s="5" t="s">
        <v>40813</v>
      </c>
      <c r="L9374" s="6"/>
      <c r="M9374" s="18" t="s">
        <v>29</v>
      </c>
      <c r="N9374" s="18" t="s">
        <v>40814</v>
      </c>
      <c r="O9374" s="18" t="s">
        <v>29</v>
      </c>
      <c r="P9374" s="6"/>
      <c r="Q9374" s="6"/>
      <c r="R9374" s="6"/>
      <c r="S9374" s="6"/>
      <c r="T9374" s="6"/>
      <c r="U9374" s="6"/>
    </row>
    <row r="9375" ht="14.25">
      <c r="B9375" s="18" t="s">
        <v>893</v>
      </c>
      <c r="C9375" s="18" t="s">
        <v>40815</v>
      </c>
      <c r="D9375" s="18" t="s">
        <v>44</v>
      </c>
      <c r="E9375" s="5" t="s">
        <v>40816</v>
      </c>
      <c r="F9375" s="5" t="str">
        <f>IFERROR(__XLUDF.DUMMYFUNCTION("PROPER(REGEXREPLACE(D192,""[^A-Za-z]+ "",""""))"),"Elyos.Io")</f>
        <v>Elyos.Io</v>
      </c>
      <c r="G9375" s="18" t="s">
        <v>40817</v>
      </c>
      <c r="H9375" s="18">
        <v>5</v>
      </c>
      <c r="I9375" s="18" t="s">
        <v>39661</v>
      </c>
      <c r="J9375" s="5" t="s">
        <v>40818</v>
      </c>
      <c r="K9375" s="5" t="s">
        <v>40819</v>
      </c>
      <c r="L9375" s="18" t="s">
        <v>39</v>
      </c>
      <c r="M9375" s="18" t="s">
        <v>29</v>
      </c>
      <c r="N9375" s="18" t="s">
        <v>40820</v>
      </c>
      <c r="O9375" s="18" t="s">
        <v>29</v>
      </c>
      <c r="P9375" s="6"/>
      <c r="Q9375" s="6"/>
      <c r="R9375" s="6"/>
      <c r="S9375" s="6"/>
      <c r="T9375" s="6"/>
      <c r="U9375" s="6"/>
    </row>
    <row r="9376" ht="14.25">
      <c r="B9376" s="18" t="s">
        <v>1732</v>
      </c>
      <c r="C9376" s="18" t="s">
        <v>5513</v>
      </c>
      <c r="D9376" s="18" t="s">
        <v>40821</v>
      </c>
      <c r="E9376" s="18" t="s">
        <v>39931</v>
      </c>
      <c r="F9376" s="18" t="str">
        <f>IFERROR(__XLUDF.DUMMYFUNCTION("PROPER(REGEXREPLACE(D193,""[^A-Za-z]+ "",""""))"),"Ava Assurance Voyagesassistance")</f>
        <v xml:space="preserve">Ava Assurance Voyagesassistance</v>
      </c>
      <c r="G9376" s="18" t="s">
        <v>40822</v>
      </c>
      <c r="H9376" s="18">
        <v>13</v>
      </c>
      <c r="I9376" s="18" t="s">
        <v>39661</v>
      </c>
      <c r="J9376" s="5" t="s">
        <v>40823</v>
      </c>
      <c r="K9376" s="5" t="s">
        <v>39934</v>
      </c>
      <c r="L9376" s="18" t="s">
        <v>39</v>
      </c>
      <c r="M9376" s="18" t="s">
        <v>29</v>
      </c>
      <c r="N9376" s="18" t="s">
        <v>39935</v>
      </c>
      <c r="O9376" s="18" t="s">
        <v>29</v>
      </c>
      <c r="P9376" s="18" t="s">
        <v>39936</v>
      </c>
      <c r="Q9376" s="6"/>
      <c r="R9376" s="6"/>
      <c r="S9376" s="6"/>
      <c r="T9376" s="6"/>
      <c r="U9376" s="6"/>
    </row>
    <row r="9377" ht="14.25">
      <c r="B9377" s="18" t="s">
        <v>40824</v>
      </c>
      <c r="C9377" s="18" t="s">
        <v>40825</v>
      </c>
      <c r="D9377" s="18" t="s">
        <v>40826</v>
      </c>
      <c r="E9377" s="18" t="s">
        <v>40827</v>
      </c>
      <c r="F9377" s="18" t="str">
        <f>IFERROR(__XLUDF.DUMMYFUNCTION("PROPER(REGEXREPLACE(D194,""[^A-Za-z]+ "",""""))"),"Actiprev Assurances")</f>
        <v xml:space="preserve">Actiprev Assurances</v>
      </c>
      <c r="G9377" s="18" t="s">
        <v>40828</v>
      </c>
      <c r="H9377" s="18">
        <v>10</v>
      </c>
      <c r="I9377" s="18" t="s">
        <v>39661</v>
      </c>
      <c r="J9377" s="5" t="s">
        <v>40829</v>
      </c>
      <c r="K9377" s="5" t="s">
        <v>40830</v>
      </c>
      <c r="L9377" s="18" t="s">
        <v>185</v>
      </c>
      <c r="M9377" s="18" t="s">
        <v>29</v>
      </c>
      <c r="N9377" s="18" t="s">
        <v>3725</v>
      </c>
      <c r="O9377" s="18" t="s">
        <v>29</v>
      </c>
      <c r="P9377" s="18" t="s">
        <v>40831</v>
      </c>
      <c r="Q9377" s="6"/>
      <c r="R9377" s="6"/>
      <c r="S9377" s="6"/>
      <c r="T9377" s="6"/>
      <c r="U9377" s="6"/>
    </row>
    <row r="9378" ht="14.25">
      <c r="B9378" s="18" t="s">
        <v>18461</v>
      </c>
      <c r="C9378" s="18" t="s">
        <v>40832</v>
      </c>
      <c r="D9378" s="18" t="s">
        <v>87</v>
      </c>
      <c r="E9378" s="18" t="s">
        <v>40833</v>
      </c>
      <c r="F9378" s="18" t="str">
        <f>IFERROR(__XLUDF.DUMMYFUNCTION("PROPER(REGEXREPLACE(D195,""[^A-Za-z]+ "",""""))"),"Assur3D")</f>
        <v>Assur3D</v>
      </c>
      <c r="G9378" s="18" t="s">
        <v>40834</v>
      </c>
      <c r="H9378" s="18">
        <v>3</v>
      </c>
      <c r="I9378" s="18" t="s">
        <v>39661</v>
      </c>
      <c r="J9378" s="5" t="s">
        <v>40835</v>
      </c>
      <c r="K9378" s="5" t="s">
        <v>40836</v>
      </c>
      <c r="L9378" s="18" t="s">
        <v>39</v>
      </c>
      <c r="M9378" s="18" t="s">
        <v>29</v>
      </c>
      <c r="N9378" s="18" t="s">
        <v>40837</v>
      </c>
      <c r="O9378" s="18" t="s">
        <v>29</v>
      </c>
      <c r="P9378" s="18" t="s">
        <v>40838</v>
      </c>
      <c r="Q9378" s="6"/>
      <c r="R9378" s="6"/>
      <c r="S9378" s="6"/>
      <c r="T9378" s="6"/>
      <c r="U9378" s="6"/>
    </row>
    <row r="9379" ht="14.25">
      <c r="B9379" s="18" t="s">
        <v>963</v>
      </c>
      <c r="C9379" s="18" t="s">
        <v>40839</v>
      </c>
      <c r="D9379" s="18" t="s">
        <v>468</v>
      </c>
      <c r="E9379" s="18" t="s">
        <v>40840</v>
      </c>
      <c r="F9379" s="18" t="str">
        <f>IFERROR(__XLUDF.DUMMYFUNCTION("PROPER(REGEXREPLACE(D196,""[^A-Za-z]+ "",""""))"),"Mutuelle Gsmc")</f>
        <v xml:space="preserve">Mutuelle Gsmc</v>
      </c>
      <c r="G9379" s="18" t="s">
        <v>40841</v>
      </c>
      <c r="H9379" s="18">
        <v>44</v>
      </c>
      <c r="I9379" s="18" t="s">
        <v>39661</v>
      </c>
      <c r="J9379" s="5" t="s">
        <v>40842</v>
      </c>
      <c r="K9379" s="5" t="s">
        <v>40843</v>
      </c>
      <c r="L9379" s="18" t="s">
        <v>846</v>
      </c>
      <c r="M9379" s="18" t="s">
        <v>29</v>
      </c>
      <c r="N9379" s="18" t="s">
        <v>40844</v>
      </c>
      <c r="O9379" s="18" t="s">
        <v>29</v>
      </c>
      <c r="P9379" s="18" t="s">
        <v>40845</v>
      </c>
      <c r="Q9379" s="6"/>
      <c r="R9379" s="6"/>
      <c r="S9379" s="6"/>
      <c r="T9379" s="6"/>
      <c r="U9379" s="6"/>
    </row>
    <row r="9380" ht="14.25">
      <c r="B9380" s="18" t="s">
        <v>1215</v>
      </c>
      <c r="C9380" s="18" t="s">
        <v>27509</v>
      </c>
      <c r="D9380" s="18" t="s">
        <v>1130</v>
      </c>
      <c r="E9380" s="18" t="s">
        <v>40846</v>
      </c>
      <c r="F9380" s="18" t="str">
        <f>IFERROR(__XLUDF.DUMMYFUNCTION("PROPER(REGEXREPLACE(D197,""[^A-Za-z]+ "",""""))"),"La Flandre Assurances")</f>
        <v xml:space="preserve">La Flandre Assurances</v>
      </c>
      <c r="G9380" s="18" t="s">
        <v>40847</v>
      </c>
      <c r="H9380" s="18">
        <v>44</v>
      </c>
      <c r="I9380" s="18" t="s">
        <v>39661</v>
      </c>
      <c r="J9380" s="5" t="s">
        <v>40848</v>
      </c>
      <c r="K9380" s="5" t="s">
        <v>40849</v>
      </c>
      <c r="L9380" s="18" t="s">
        <v>846</v>
      </c>
      <c r="M9380" s="18" t="s">
        <v>29</v>
      </c>
      <c r="N9380" s="18" t="s">
        <v>40850</v>
      </c>
      <c r="O9380" s="18" t="s">
        <v>29</v>
      </c>
      <c r="P9380" s="18" t="s">
        <v>40851</v>
      </c>
      <c r="Q9380" s="6"/>
      <c r="R9380" s="6"/>
      <c r="S9380" s="6"/>
      <c r="T9380" s="6"/>
      <c r="U9380" s="6"/>
    </row>
    <row r="9381" ht="14.25">
      <c r="B9381" s="18" t="s">
        <v>1596</v>
      </c>
      <c r="C9381" s="18" t="s">
        <v>40852</v>
      </c>
      <c r="D9381" s="18" t="s">
        <v>5186</v>
      </c>
      <c r="E9381" s="5" t="s">
        <v>40853</v>
      </c>
      <c r="F9381" s="5" t="str">
        <f>IFERROR(__XLUDF.DUMMYFUNCTION("PROPER(REGEXREPLACE(D198,""[^A-Za-z]+ "",""""))"),"Wedou.Fr")</f>
        <v>Wedou.Fr</v>
      </c>
      <c r="G9381" s="18" t="s">
        <v>40854</v>
      </c>
      <c r="H9381" s="18">
        <v>8</v>
      </c>
      <c r="I9381" s="18" t="s">
        <v>39661</v>
      </c>
      <c r="J9381" s="5" t="s">
        <v>40855</v>
      </c>
      <c r="K9381" s="5" t="s">
        <v>40856</v>
      </c>
      <c r="L9381" s="18" t="s">
        <v>39</v>
      </c>
      <c r="M9381" s="18" t="s">
        <v>29</v>
      </c>
      <c r="N9381" s="18" t="s">
        <v>40857</v>
      </c>
      <c r="O9381" s="18" t="s">
        <v>29</v>
      </c>
      <c r="P9381" s="18" t="s">
        <v>40858</v>
      </c>
      <c r="Q9381" s="6"/>
      <c r="R9381" s="6"/>
      <c r="S9381" s="6"/>
      <c r="T9381" s="6"/>
      <c r="U9381" s="6"/>
    </row>
    <row r="9382" ht="14.25">
      <c r="B9382" s="18" t="s">
        <v>34201</v>
      </c>
      <c r="C9382" s="18" t="s">
        <v>40859</v>
      </c>
      <c r="D9382" s="18" t="s">
        <v>40860</v>
      </c>
      <c r="E9382" s="18" t="s">
        <v>40532</v>
      </c>
      <c r="F9382" s="18" t="str">
        <f>IFERROR(__XLUDF.DUMMYFUNCTION("PROPER(REGEXREPLACE(D199,""[^A-Za-z]+ "",""""))"),"Qivio")</f>
        <v>Qivio</v>
      </c>
      <c r="G9382" s="18" t="s">
        <v>40861</v>
      </c>
      <c r="H9382" s="18">
        <v>13</v>
      </c>
      <c r="I9382" s="18" t="s">
        <v>39661</v>
      </c>
      <c r="J9382" s="5" t="s">
        <v>40862</v>
      </c>
      <c r="K9382" s="5" t="s">
        <v>40535</v>
      </c>
      <c r="L9382" s="18" t="s">
        <v>39</v>
      </c>
      <c r="M9382" s="18" t="s">
        <v>29</v>
      </c>
      <c r="N9382" s="18" t="s">
        <v>67</v>
      </c>
      <c r="O9382" s="18" t="s">
        <v>29</v>
      </c>
      <c r="P9382" s="18" t="s">
        <v>40536</v>
      </c>
      <c r="Q9382" s="6"/>
      <c r="R9382" s="6"/>
      <c r="S9382" s="6"/>
      <c r="T9382" s="6"/>
      <c r="U9382" s="6"/>
    </row>
    <row r="9383" ht="14.25">
      <c r="B9383" s="18" t="s">
        <v>40863</v>
      </c>
      <c r="C9383" s="18" t="s">
        <v>40864</v>
      </c>
      <c r="D9383" s="18" t="s">
        <v>247</v>
      </c>
      <c r="E9383" s="5" t="s">
        <v>40853</v>
      </c>
      <c r="F9383" s="5" t="str">
        <f>IFERROR(__XLUDF.DUMMYFUNCTION("PROPER(REGEXREPLACE(D200,""[^A-Za-z]+ "",""""))"),"Wedou.Fr")</f>
        <v>Wedou.Fr</v>
      </c>
      <c r="G9383" s="18" t="s">
        <v>40865</v>
      </c>
      <c r="H9383" s="18">
        <v>8</v>
      </c>
      <c r="I9383" s="18" t="s">
        <v>39661</v>
      </c>
      <c r="J9383" s="5" t="s">
        <v>40866</v>
      </c>
      <c r="K9383" s="5" t="s">
        <v>40856</v>
      </c>
      <c r="L9383" s="18" t="s">
        <v>39</v>
      </c>
      <c r="M9383" s="18" t="s">
        <v>29</v>
      </c>
      <c r="N9383" s="18" t="s">
        <v>40857</v>
      </c>
      <c r="O9383" s="18" t="s">
        <v>29</v>
      </c>
      <c r="P9383" s="18" t="s">
        <v>40858</v>
      </c>
      <c r="Q9383" s="6"/>
      <c r="R9383" s="6"/>
      <c r="S9383" s="6"/>
      <c r="T9383" s="6"/>
      <c r="U9383" s="6"/>
    </row>
    <row r="9384" ht="14.25">
      <c r="B9384" s="18" t="s">
        <v>2436</v>
      </c>
      <c r="C9384" s="18" t="s">
        <v>40867</v>
      </c>
      <c r="D9384" s="18" t="s">
        <v>112</v>
      </c>
      <c r="E9384" s="18" t="s">
        <v>40868</v>
      </c>
      <c r="F9384" s="18" t="str">
        <f>IFERROR(__XLUDF.DUMMYFUNCTION("PROPER(REGEXREPLACE(D201,""[^A-Za-z]+ "",""""))"),"Assursafe")</f>
        <v>Assursafe</v>
      </c>
      <c r="G9384" s="18" t="s">
        <v>40869</v>
      </c>
      <c r="H9384" s="18">
        <v>10</v>
      </c>
      <c r="I9384" s="18" t="s">
        <v>39661</v>
      </c>
      <c r="J9384" s="5" t="s">
        <v>40870</v>
      </c>
      <c r="K9384" s="5" t="s">
        <v>40871</v>
      </c>
      <c r="L9384" s="18" t="s">
        <v>185</v>
      </c>
      <c r="M9384" s="18" t="s">
        <v>29</v>
      </c>
      <c r="N9384" s="18" t="s">
        <v>40872</v>
      </c>
      <c r="O9384" s="18" t="s">
        <v>29</v>
      </c>
      <c r="P9384" s="18" t="s">
        <v>40873</v>
      </c>
      <c r="Q9384" s="6"/>
      <c r="R9384" s="6"/>
      <c r="S9384" s="6"/>
      <c r="T9384" s="6"/>
      <c r="U9384" s="6"/>
    </row>
    <row r="9385" ht="14.25">
      <c r="B9385" s="18" t="s">
        <v>1198</v>
      </c>
      <c r="C9385" s="18" t="s">
        <v>40874</v>
      </c>
      <c r="D9385" s="18" t="s">
        <v>112</v>
      </c>
      <c r="E9385" s="18" t="s">
        <v>40875</v>
      </c>
      <c r="F9385" s="18" t="str">
        <f>IFERROR(__XLUDF.DUMMYFUNCTION("PROPER(REGEXREPLACE(D202,""[^A-Za-z]+ "",""""))"),"Assurea")</f>
        <v>Assurea</v>
      </c>
      <c r="G9385" s="18" t="s">
        <v>40876</v>
      </c>
      <c r="H9385" s="18">
        <v>57</v>
      </c>
      <c r="I9385" s="18" t="s">
        <v>39661</v>
      </c>
      <c r="J9385" s="5" t="s">
        <v>40877</v>
      </c>
      <c r="K9385" s="5" t="s">
        <v>40878</v>
      </c>
      <c r="L9385" s="18" t="s">
        <v>1015</v>
      </c>
      <c r="M9385" s="18" t="s">
        <v>29</v>
      </c>
      <c r="N9385" s="18" t="s">
        <v>18350</v>
      </c>
      <c r="O9385" s="18" t="s">
        <v>29</v>
      </c>
      <c r="P9385" s="6"/>
      <c r="Q9385" s="6"/>
      <c r="R9385" s="6"/>
      <c r="S9385" s="6"/>
      <c r="T9385" s="6"/>
      <c r="U9385" s="6"/>
    </row>
    <row r="9386" ht="14.25">
      <c r="B9386" s="18" t="s">
        <v>3100</v>
      </c>
      <c r="C9386" s="18" t="s">
        <v>40879</v>
      </c>
      <c r="D9386" s="18" t="s">
        <v>40880</v>
      </c>
      <c r="E9386" s="18" t="s">
        <v>39975</v>
      </c>
      <c r="F9386" s="18" t="str">
        <f>IFERROR(__XLUDF.DUMMYFUNCTION("PROPER(REGEXREPLACE(D203,""[^A-Za-z]+ "",""""))"),"Triceps Conseils")</f>
        <v xml:space="preserve">Triceps Conseils</v>
      </c>
      <c r="G9386" s="18" t="s">
        <v>40881</v>
      </c>
      <c r="H9386" s="18">
        <v>23</v>
      </c>
      <c r="I9386" s="18" t="s">
        <v>39661</v>
      </c>
      <c r="J9386" s="5" t="s">
        <v>40882</v>
      </c>
      <c r="K9386" s="5" t="s">
        <v>39978</v>
      </c>
      <c r="L9386" s="18" t="s">
        <v>185</v>
      </c>
      <c r="M9386" s="18" t="s">
        <v>29</v>
      </c>
      <c r="N9386" s="18" t="s">
        <v>39979</v>
      </c>
      <c r="O9386" s="18" t="s">
        <v>29</v>
      </c>
      <c r="P9386" s="18" t="s">
        <v>39980</v>
      </c>
      <c r="Q9386" s="6"/>
      <c r="R9386" s="6"/>
      <c r="S9386" s="6"/>
      <c r="T9386" s="6"/>
      <c r="U9386" s="6"/>
    </row>
    <row r="9387" ht="14.25">
      <c r="B9387" s="18" t="s">
        <v>40883</v>
      </c>
      <c r="C9387" s="18" t="s">
        <v>40884</v>
      </c>
      <c r="D9387" s="18" t="s">
        <v>29332</v>
      </c>
      <c r="E9387" s="18" t="s">
        <v>40229</v>
      </c>
      <c r="F9387" s="18" t="str">
        <f>IFERROR(__XLUDF.DUMMYFUNCTION("PROPER(REGEXREPLACE(D204,""[^A-Za-z]+ "",""""))"),"Onlynnov")</f>
        <v>Onlynnov</v>
      </c>
      <c r="G9387" s="18" t="s">
        <v>40885</v>
      </c>
      <c r="H9387" s="18">
        <v>13</v>
      </c>
      <c r="I9387" s="18" t="s">
        <v>39661</v>
      </c>
      <c r="J9387" s="5" t="s">
        <v>40886</v>
      </c>
      <c r="K9387" s="5" t="s">
        <v>40232</v>
      </c>
      <c r="L9387" s="18" t="s">
        <v>185</v>
      </c>
      <c r="M9387" s="18" t="s">
        <v>29</v>
      </c>
      <c r="N9387" s="18" t="s">
        <v>18715</v>
      </c>
      <c r="O9387" s="18" t="s">
        <v>29</v>
      </c>
      <c r="P9387" s="18" t="s">
        <v>40233</v>
      </c>
      <c r="Q9387" s="6"/>
      <c r="R9387" s="6"/>
      <c r="S9387" s="6"/>
      <c r="T9387" s="6"/>
      <c r="U9387" s="6"/>
    </row>
    <row r="9388" ht="14.25">
      <c r="B9388" s="18" t="s">
        <v>2932</v>
      </c>
      <c r="C9388" s="18" t="s">
        <v>40887</v>
      </c>
      <c r="D9388" s="18" t="s">
        <v>426</v>
      </c>
      <c r="E9388" s="18" t="s">
        <v>40888</v>
      </c>
      <c r="F9388" s="18" t="str">
        <f>IFERROR(__XLUDF.DUMMYFUNCTION("PROPER(REGEXREPLACE(D205,""[^A-Za-z]+ "",""""))"),"Groupe Sinalys")</f>
        <v xml:space="preserve">Groupe Sinalys</v>
      </c>
      <c r="G9388" s="18" t="s">
        <v>40889</v>
      </c>
      <c r="H9388" s="18">
        <v>18</v>
      </c>
      <c r="I9388" s="18" t="s">
        <v>39661</v>
      </c>
      <c r="J9388" s="5" t="s">
        <v>40890</v>
      </c>
      <c r="K9388" s="5" t="s">
        <v>40891</v>
      </c>
      <c r="L9388" s="18" t="s">
        <v>39</v>
      </c>
      <c r="M9388" s="18" t="s">
        <v>29</v>
      </c>
      <c r="N9388" s="18" t="s">
        <v>40892</v>
      </c>
      <c r="O9388" s="18" t="s">
        <v>29</v>
      </c>
      <c r="P9388" s="18" t="s">
        <v>40893</v>
      </c>
      <c r="Q9388" s="6"/>
      <c r="R9388" s="6"/>
      <c r="S9388" s="6"/>
      <c r="T9388" s="6"/>
      <c r="U9388" s="6"/>
    </row>
    <row r="9389" ht="14.25">
      <c r="B9389" s="18" t="s">
        <v>3100</v>
      </c>
      <c r="C9389" s="18" t="s">
        <v>40894</v>
      </c>
      <c r="D9389" s="18" t="s">
        <v>172</v>
      </c>
      <c r="E9389" s="18" t="s">
        <v>40895</v>
      </c>
      <c r="F9389" s="18" t="str">
        <f>IFERROR(__XLUDF.DUMMYFUNCTION("PROPER(REGEXREPLACE(D206,""[^A-Za-z]+ "",""""))"),"Ulygo")</f>
        <v>Ulygo</v>
      </c>
      <c r="G9389" s="18" t="s">
        <v>40896</v>
      </c>
      <c r="H9389" s="18">
        <v>5</v>
      </c>
      <c r="I9389" s="18" t="s">
        <v>39661</v>
      </c>
      <c r="J9389" s="5" t="s">
        <v>40897</v>
      </c>
      <c r="K9389" s="5" t="s">
        <v>40898</v>
      </c>
      <c r="L9389" s="18" t="s">
        <v>423</v>
      </c>
      <c r="M9389" s="18" t="s">
        <v>29</v>
      </c>
      <c r="N9389" s="18" t="s">
        <v>3890</v>
      </c>
      <c r="O9389" s="18" t="s">
        <v>29</v>
      </c>
      <c r="P9389" s="18" t="s">
        <v>40899</v>
      </c>
      <c r="Q9389" s="6"/>
      <c r="R9389" s="6"/>
      <c r="S9389" s="6"/>
      <c r="T9389" s="6"/>
      <c r="U9389" s="6"/>
    </row>
    <row r="9390" ht="14.25">
      <c r="B9390" s="18" t="s">
        <v>2932</v>
      </c>
      <c r="C9390" s="18" t="s">
        <v>40900</v>
      </c>
      <c r="D9390" s="18" t="s">
        <v>172</v>
      </c>
      <c r="E9390" s="18" t="s">
        <v>40901</v>
      </c>
      <c r="F9390" s="18" t="str">
        <f>IFERROR(__XLUDF.DUMMYFUNCTION("PROPER(REGEXREPLACE(D207,""[^A-Za-z]+ "",""""))"),"Antevis Sas")</f>
        <v xml:space="preserve">Antevis Sas</v>
      </c>
      <c r="G9390" s="18" t="s">
        <v>40902</v>
      </c>
      <c r="H9390" s="18">
        <v>24</v>
      </c>
      <c r="I9390" s="18" t="s">
        <v>39661</v>
      </c>
      <c r="J9390" s="5" t="s">
        <v>40903</v>
      </c>
      <c r="K9390" s="5" t="s">
        <v>40904</v>
      </c>
      <c r="L9390" s="18" t="s">
        <v>39</v>
      </c>
      <c r="M9390" s="18" t="s">
        <v>29</v>
      </c>
      <c r="N9390" s="18" t="s">
        <v>40905</v>
      </c>
      <c r="O9390" s="18" t="s">
        <v>29</v>
      </c>
      <c r="P9390" s="6"/>
      <c r="Q9390" s="6"/>
      <c r="R9390" s="6"/>
      <c r="S9390" s="6"/>
      <c r="T9390" s="6"/>
      <c r="U9390" s="6"/>
    </row>
    <row r="9391" ht="14.25">
      <c r="B9391" s="18" t="s">
        <v>1853</v>
      </c>
      <c r="C9391" s="18" t="s">
        <v>40906</v>
      </c>
      <c r="D9391" s="18" t="s">
        <v>172</v>
      </c>
      <c r="E9391" s="18" t="s">
        <v>40907</v>
      </c>
      <c r="F9391" s="18" t="str">
        <f>IFERROR(__XLUDF.DUMMYFUNCTION("PROPER(REGEXREPLACE(D208,""[^A-Za-z]+ "",""""))"),"Mutuelle Entrenous")</f>
        <v xml:space="preserve">Mutuelle Entrenous</v>
      </c>
      <c r="G9391" s="18" t="s">
        <v>40908</v>
      </c>
      <c r="H9391" s="18">
        <v>39</v>
      </c>
      <c r="I9391" s="18" t="s">
        <v>39661</v>
      </c>
      <c r="J9391" s="5" t="s">
        <v>40909</v>
      </c>
      <c r="K9391" s="5" t="s">
        <v>40910</v>
      </c>
      <c r="L9391" s="18" t="s">
        <v>774</v>
      </c>
      <c r="M9391" s="18" t="s">
        <v>29</v>
      </c>
      <c r="N9391" s="18" t="s">
        <v>40911</v>
      </c>
      <c r="O9391" s="18" t="s">
        <v>29</v>
      </c>
      <c r="P9391" s="18" t="s">
        <v>40912</v>
      </c>
      <c r="Q9391" s="6"/>
      <c r="R9391" s="6"/>
      <c r="S9391" s="6"/>
      <c r="T9391" s="6"/>
      <c r="U9391" s="6"/>
    </row>
    <row r="9392" ht="14.25">
      <c r="B9392" s="18" t="s">
        <v>355</v>
      </c>
      <c r="C9392" s="18" t="s">
        <v>40913</v>
      </c>
      <c r="D9392" s="18" t="s">
        <v>172</v>
      </c>
      <c r="E9392" s="18" t="s">
        <v>40914</v>
      </c>
      <c r="F9392" s="18" t="str">
        <f>IFERROR(__XLUDF.DUMMYFUNCTION("PROPER(REGEXREPLACE(D209,""[^A-Za-z]+ "",""""))"),"Mavim")</f>
        <v>Mavim</v>
      </c>
      <c r="G9392" s="18" t="s">
        <v>40915</v>
      </c>
      <c r="H9392" s="18">
        <v>8</v>
      </c>
      <c r="I9392" s="18" t="s">
        <v>39661</v>
      </c>
      <c r="J9392" s="5" t="s">
        <v>40916</v>
      </c>
      <c r="K9392" s="5" t="s">
        <v>40917</v>
      </c>
      <c r="L9392" s="18" t="s">
        <v>7883</v>
      </c>
      <c r="M9392" s="18" t="s">
        <v>29</v>
      </c>
      <c r="N9392" s="18" t="s">
        <v>40918</v>
      </c>
      <c r="O9392" s="18" t="s">
        <v>29</v>
      </c>
      <c r="P9392" s="18" t="s">
        <v>40919</v>
      </c>
      <c r="Q9392" s="6"/>
      <c r="R9392" s="6"/>
      <c r="S9392" s="6"/>
      <c r="T9392" s="6"/>
      <c r="U9392" s="6"/>
    </row>
    <row r="9393" ht="14.25">
      <c r="B9393" s="18" t="s">
        <v>40920</v>
      </c>
      <c r="C9393" s="18" t="s">
        <v>31707</v>
      </c>
      <c r="D9393" s="18" t="s">
        <v>40921</v>
      </c>
      <c r="E9393" s="18" t="s">
        <v>40922</v>
      </c>
      <c r="F9393" s="18" t="str">
        <f>IFERROR(__XLUDF.DUMMYFUNCTION("PROPER(REGEXREPLACE(D210,""[^A-Za-z]+ "",""""))"),"Ediifice")</f>
        <v>Ediifice</v>
      </c>
      <c r="G9393" s="18" t="s">
        <v>40923</v>
      </c>
      <c r="H9393" s="18">
        <v>7</v>
      </c>
      <c r="I9393" s="18" t="s">
        <v>39661</v>
      </c>
      <c r="J9393" s="5" t="s">
        <v>40924</v>
      </c>
      <c r="K9393" s="5" t="s">
        <v>40925</v>
      </c>
      <c r="L9393" s="18" t="s">
        <v>39</v>
      </c>
      <c r="M9393" s="18" t="s">
        <v>29</v>
      </c>
      <c r="N9393" s="18" t="s">
        <v>40926</v>
      </c>
      <c r="O9393" s="18" t="s">
        <v>29</v>
      </c>
      <c r="P9393" s="18" t="s">
        <v>40927</v>
      </c>
      <c r="Q9393" s="6"/>
      <c r="R9393" s="6"/>
      <c r="S9393" s="6"/>
      <c r="T9393" s="6"/>
      <c r="U9393" s="6"/>
    </row>
    <row r="9394" ht="14.25">
      <c r="B9394" s="18" t="s">
        <v>808</v>
      </c>
      <c r="C9394" s="18" t="s">
        <v>40928</v>
      </c>
      <c r="D9394" s="18" t="s">
        <v>5031</v>
      </c>
      <c r="E9394" s="18" t="s">
        <v>40929</v>
      </c>
      <c r="F9394" s="18" t="str">
        <f>IFERROR(__XLUDF.DUMMYFUNCTION("PROPER(REGEXREPLACE(D211,""[^A-Za-z]+ "",""""))"),"Claisy")</f>
        <v>Claisy</v>
      </c>
      <c r="G9394" s="18" t="s">
        <v>40930</v>
      </c>
      <c r="H9394" s="18">
        <v>1</v>
      </c>
      <c r="I9394" s="18" t="s">
        <v>39661</v>
      </c>
      <c r="J9394" s="5" t="s">
        <v>40931</v>
      </c>
      <c r="K9394" s="5" t="s">
        <v>40932</v>
      </c>
      <c r="L9394" s="18" t="s">
        <v>39</v>
      </c>
      <c r="M9394" s="18" t="s">
        <v>29</v>
      </c>
      <c r="N9394" s="18" t="s">
        <v>546</v>
      </c>
      <c r="O9394" s="18" t="s">
        <v>29</v>
      </c>
      <c r="P9394" s="18" t="s">
        <v>40933</v>
      </c>
      <c r="Q9394" s="6"/>
      <c r="R9394" s="6"/>
      <c r="S9394" s="6"/>
      <c r="T9394" s="6"/>
      <c r="U9394" s="6"/>
    </row>
    <row r="9395" ht="14.25">
      <c r="B9395" s="18" t="s">
        <v>40934</v>
      </c>
      <c r="C9395" s="18" t="s">
        <v>40935</v>
      </c>
      <c r="D9395" s="18" t="s">
        <v>315</v>
      </c>
      <c r="E9395" s="18" t="s">
        <v>40936</v>
      </c>
      <c r="F9395" s="18" t="str">
        <f>IFERROR(__XLUDF.DUMMYFUNCTION("PROPER(REGEXREPLACE(D212,""[^A-Za-z]+ "",""""))"),"Diaspo Assur")</f>
        <v xml:space="preserve">Diaspo Assur</v>
      </c>
      <c r="G9395" s="18" t="s">
        <v>40937</v>
      </c>
      <c r="H9395" s="18">
        <v>11</v>
      </c>
      <c r="I9395" s="18" t="s">
        <v>39661</v>
      </c>
      <c r="J9395" s="5" t="s">
        <v>40938</v>
      </c>
      <c r="K9395" s="5" t="s">
        <v>40939</v>
      </c>
      <c r="L9395" s="6"/>
      <c r="M9395" s="18" t="s">
        <v>29</v>
      </c>
      <c r="N9395" s="18" t="s">
        <v>40940</v>
      </c>
      <c r="O9395" s="18" t="s">
        <v>30882</v>
      </c>
      <c r="P9395" s="6"/>
      <c r="Q9395" s="6"/>
      <c r="R9395" s="6"/>
      <c r="S9395" s="6"/>
      <c r="T9395" s="6"/>
      <c r="U9395" s="6"/>
    </row>
    <row r="9396" ht="14.25">
      <c r="B9396" s="18" t="s">
        <v>485</v>
      </c>
      <c r="C9396" s="18" t="s">
        <v>40941</v>
      </c>
      <c r="D9396" s="18" t="s">
        <v>40942</v>
      </c>
      <c r="E9396" s="18" t="s">
        <v>40943</v>
      </c>
      <c r="F9396" s="18" t="str">
        <f>IFERROR(__XLUDF.DUMMYFUNCTION("PROPER(REGEXREPLACE(D213,""[^A-Za-z]+ "",""""))"),"Yupwego")</f>
        <v>Yupwego</v>
      </c>
      <c r="G9396" s="18" t="s">
        <v>40944</v>
      </c>
      <c r="H9396" s="18">
        <v>6</v>
      </c>
      <c r="I9396" s="18" t="s">
        <v>39661</v>
      </c>
      <c r="J9396" s="5" t="s">
        <v>40945</v>
      </c>
      <c r="K9396" s="5" t="s">
        <v>40946</v>
      </c>
      <c r="L9396" s="6"/>
      <c r="M9396" s="18" t="s">
        <v>29</v>
      </c>
      <c r="N9396" s="18" t="s">
        <v>40947</v>
      </c>
      <c r="O9396" s="18" t="s">
        <v>29</v>
      </c>
      <c r="P9396" s="18" t="s">
        <v>40948</v>
      </c>
      <c r="Q9396" s="6"/>
      <c r="R9396" s="6"/>
      <c r="S9396" s="6"/>
      <c r="T9396" s="6"/>
      <c r="U9396" s="6"/>
    </row>
    <row r="9397" ht="14.25">
      <c r="B9397" s="18" t="s">
        <v>95</v>
      </c>
      <c r="C9397" s="18" t="s">
        <v>40949</v>
      </c>
      <c r="D9397" s="18" t="s">
        <v>22752</v>
      </c>
      <c r="E9397" s="18" t="s">
        <v>39913</v>
      </c>
      <c r="F9397" s="18" t="str">
        <f>IFERROR(__XLUDF.DUMMYFUNCTION("PROPER(REGEXREPLACE(D214,""[^A-Za-z]+ "",""""))"),"Continuity")</f>
        <v>Continuity</v>
      </c>
      <c r="G9397" s="18" t="s">
        <v>40950</v>
      </c>
      <c r="H9397" s="18">
        <v>47</v>
      </c>
      <c r="I9397" s="18" t="s">
        <v>39661</v>
      </c>
      <c r="J9397" s="5" t="s">
        <v>40951</v>
      </c>
      <c r="K9397" s="5" t="s">
        <v>39916</v>
      </c>
      <c r="L9397" s="18" t="s">
        <v>39</v>
      </c>
      <c r="M9397" s="18" t="s">
        <v>29</v>
      </c>
      <c r="N9397" s="18" t="s">
        <v>39917</v>
      </c>
      <c r="O9397" s="18" t="s">
        <v>29</v>
      </c>
      <c r="P9397" s="18" t="s">
        <v>39918</v>
      </c>
      <c r="Q9397" s="6"/>
      <c r="R9397" s="6"/>
      <c r="S9397" s="6"/>
      <c r="T9397" s="6"/>
      <c r="U9397" s="6"/>
    </row>
    <row r="9398" ht="14.25">
      <c r="B9398" s="18" t="s">
        <v>548</v>
      </c>
      <c r="C9398" s="18" t="s">
        <v>40952</v>
      </c>
      <c r="D9398" s="18" t="s">
        <v>17579</v>
      </c>
      <c r="E9398" s="18" t="s">
        <v>40953</v>
      </c>
      <c r="F9398" s="18" t="str">
        <f>IFERROR(__XLUDF.DUMMYFUNCTION("PROPER(REGEXREPLACE(D215,""[^A-Za-z]+ "",""""))"),"Brokoli")</f>
        <v>Brokoli</v>
      </c>
      <c r="G9398" s="18" t="s">
        <v>40954</v>
      </c>
      <c r="H9398" s="18">
        <v>3</v>
      </c>
      <c r="I9398" s="18" t="s">
        <v>39661</v>
      </c>
      <c r="J9398" s="5" t="s">
        <v>40955</v>
      </c>
      <c r="K9398" s="5" t="s">
        <v>40956</v>
      </c>
      <c r="L9398" s="18" t="s">
        <v>39</v>
      </c>
      <c r="M9398" s="18" t="s">
        <v>29</v>
      </c>
      <c r="N9398" s="18" t="s">
        <v>40957</v>
      </c>
      <c r="O9398" s="18" t="s">
        <v>1152</v>
      </c>
      <c r="P9398" s="6"/>
      <c r="Q9398" s="6"/>
      <c r="R9398" s="6"/>
      <c r="S9398" s="6"/>
      <c r="T9398" s="6"/>
      <c r="U9398" s="6"/>
    </row>
    <row r="9399" ht="14.25">
      <c r="B9399" s="18" t="s">
        <v>1153</v>
      </c>
      <c r="C9399" s="18" t="s">
        <v>40958</v>
      </c>
      <c r="D9399" s="18" t="s">
        <v>341</v>
      </c>
      <c r="E9399" s="18" t="s">
        <v>40959</v>
      </c>
      <c r="F9399" s="18" t="str">
        <f>IFERROR(__XLUDF.DUMMYFUNCTION("PROPER(REGEXREPLACE(D216,""[^A-Za-z]+ "",""""))"),"Assurup")</f>
        <v>Assurup</v>
      </c>
      <c r="G9399" s="18" t="s">
        <v>40960</v>
      </c>
      <c r="H9399" s="18">
        <v>15</v>
      </c>
      <c r="I9399" s="18" t="s">
        <v>39661</v>
      </c>
      <c r="J9399" s="5" t="s">
        <v>40961</v>
      </c>
      <c r="K9399" s="5" t="s">
        <v>40962</v>
      </c>
      <c r="L9399" s="18" t="s">
        <v>39</v>
      </c>
      <c r="M9399" s="18" t="s">
        <v>29</v>
      </c>
      <c r="N9399" s="18" t="s">
        <v>31129</v>
      </c>
      <c r="O9399" s="18" t="s">
        <v>29</v>
      </c>
      <c r="P9399" s="18" t="s">
        <v>40963</v>
      </c>
      <c r="Q9399" s="6"/>
      <c r="R9399" s="6"/>
      <c r="S9399" s="6"/>
      <c r="T9399" s="6"/>
      <c r="U9399" s="6"/>
    </row>
    <row r="9400" ht="14.25">
      <c r="B9400" s="18" t="s">
        <v>3142</v>
      </c>
      <c r="C9400" s="18" t="s">
        <v>40964</v>
      </c>
      <c r="D9400" s="18" t="s">
        <v>62</v>
      </c>
      <c r="E9400" s="5" t="s">
        <v>40965</v>
      </c>
      <c r="F9400" s="5" t="str">
        <f>IFERROR(__XLUDF.DUMMYFUNCTION("PROPER(REGEXREPLACE(D217,""[^A-Za-z]+ "",""""))"),"Segurta.Tn")</f>
        <v>Segurta.Tn</v>
      </c>
      <c r="G9400" s="18" t="s">
        <v>40966</v>
      </c>
      <c r="H9400" s="18">
        <v>50</v>
      </c>
      <c r="I9400" s="18" t="s">
        <v>39661</v>
      </c>
      <c r="J9400" s="5" t="s">
        <v>40967</v>
      </c>
      <c r="K9400" s="5" t="s">
        <v>40968</v>
      </c>
      <c r="L9400" s="18" t="s">
        <v>39</v>
      </c>
      <c r="M9400" s="18" t="s">
        <v>29</v>
      </c>
      <c r="N9400" s="6"/>
      <c r="O9400" s="6"/>
      <c r="P9400" s="6"/>
      <c r="Q9400" s="6"/>
      <c r="R9400" s="6"/>
      <c r="S9400" s="6"/>
      <c r="T9400" s="6"/>
      <c r="U9400" s="6"/>
    </row>
    <row r="9401" ht="14.25">
      <c r="B9401" s="18" t="s">
        <v>710</v>
      </c>
      <c r="C9401" s="18" t="s">
        <v>8303</v>
      </c>
      <c r="D9401" s="18" t="s">
        <v>62</v>
      </c>
      <c r="E9401" s="18" t="s">
        <v>40969</v>
      </c>
      <c r="F9401" s="18" t="str">
        <f>IFERROR(__XLUDF.DUMMYFUNCTION("PROPER(REGEXREPLACE(D218,""[^A-Za-z]+ "",""""))"),"Grâce")</f>
        <v>Grâce</v>
      </c>
      <c r="G9401" s="18" t="s">
        <v>40970</v>
      </c>
      <c r="H9401" s="18">
        <v>24</v>
      </c>
      <c r="I9401" s="18" t="s">
        <v>39661</v>
      </c>
      <c r="J9401" s="5" t="s">
        <v>40971</v>
      </c>
      <c r="K9401" s="5" t="s">
        <v>40972</v>
      </c>
      <c r="L9401" s="18" t="s">
        <v>39</v>
      </c>
      <c r="M9401" s="18" t="s">
        <v>29</v>
      </c>
      <c r="N9401" s="18" t="s">
        <v>4649</v>
      </c>
      <c r="O9401" s="18" t="s">
        <v>29</v>
      </c>
      <c r="P9401" s="18" t="s">
        <v>40973</v>
      </c>
      <c r="Q9401" s="6"/>
      <c r="R9401" s="6"/>
      <c r="S9401" s="6"/>
      <c r="T9401" s="6"/>
      <c r="U9401" s="6"/>
    </row>
    <row r="9402" ht="14.25">
      <c r="B9402" s="18" t="s">
        <v>40974</v>
      </c>
      <c r="C9402" s="18" t="s">
        <v>40975</v>
      </c>
      <c r="D9402" s="18" t="s">
        <v>5186</v>
      </c>
      <c r="E9402" s="18" t="s">
        <v>40976</v>
      </c>
      <c r="F9402" s="18" t="str">
        <f>IFERROR(__XLUDF.DUMMYFUNCTION("PROPER(REGEXREPLACE(D219,""[^A-Za-z]+ "",""""))"),"Good Data")</f>
        <v xml:space="preserve">Good Data</v>
      </c>
      <c r="G9402" s="18" t="s">
        <v>40977</v>
      </c>
      <c r="H9402" s="18">
        <v>1</v>
      </c>
      <c r="I9402" s="18" t="s">
        <v>39661</v>
      </c>
      <c r="J9402" s="5" t="s">
        <v>40978</v>
      </c>
      <c r="K9402" s="5" t="s">
        <v>40979</v>
      </c>
      <c r="L9402" s="18" t="s">
        <v>39</v>
      </c>
      <c r="M9402" s="18" t="s">
        <v>29</v>
      </c>
      <c r="N9402" s="18" t="s">
        <v>40980</v>
      </c>
      <c r="O9402" s="18" t="s">
        <v>29</v>
      </c>
      <c r="P9402" s="6"/>
      <c r="Q9402" s="6"/>
      <c r="R9402" s="6"/>
      <c r="S9402" s="6"/>
      <c r="T9402" s="6"/>
      <c r="U9402" s="6"/>
    </row>
    <row r="9403" ht="14.25">
      <c r="B9403" s="18" t="s">
        <v>1562</v>
      </c>
      <c r="C9403" s="18" t="s">
        <v>40981</v>
      </c>
      <c r="D9403" s="18" t="s">
        <v>172</v>
      </c>
      <c r="E9403" s="18" t="s">
        <v>40982</v>
      </c>
      <c r="F9403" s="18" t="str">
        <f>IFERROR(__XLUDF.DUMMYFUNCTION("PROPER(REGEXREPLACE(D220,""[^A-Za-z]+ "",""""))"),"Vytor")</f>
        <v>Vytor</v>
      </c>
      <c r="G9403" s="18" t="s">
        <v>40983</v>
      </c>
      <c r="H9403" s="18">
        <v>16</v>
      </c>
      <c r="I9403" s="18" t="s">
        <v>39661</v>
      </c>
      <c r="J9403" s="5" t="s">
        <v>40984</v>
      </c>
      <c r="K9403" s="5" t="s">
        <v>40985</v>
      </c>
      <c r="L9403" s="18" t="s">
        <v>39</v>
      </c>
      <c r="M9403" s="18" t="s">
        <v>29</v>
      </c>
      <c r="N9403" s="18" t="s">
        <v>40986</v>
      </c>
      <c r="O9403" s="18" t="s">
        <v>29</v>
      </c>
      <c r="P9403" s="18" t="s">
        <v>40987</v>
      </c>
      <c r="Q9403" s="6"/>
      <c r="R9403" s="6"/>
      <c r="S9403" s="6"/>
      <c r="T9403" s="6"/>
      <c r="U9403" s="6"/>
    </row>
    <row r="9404" ht="14.25">
      <c r="B9404" s="18" t="s">
        <v>3850</v>
      </c>
      <c r="C9404" s="18" t="s">
        <v>40988</v>
      </c>
      <c r="D9404" s="18" t="s">
        <v>44</v>
      </c>
      <c r="E9404" s="18" t="s">
        <v>40989</v>
      </c>
      <c r="F9404" s="18" t="str">
        <f>IFERROR(__XLUDF.DUMMYFUNCTION("PROPER(REGEXREPLACE(D221,""[^A-Za-z]+ "",""""))"),"Jola")</f>
        <v>Jola</v>
      </c>
      <c r="G9404" s="18" t="s">
        <v>40990</v>
      </c>
      <c r="H9404" s="18">
        <v>9</v>
      </c>
      <c r="I9404" s="18" t="s">
        <v>39661</v>
      </c>
      <c r="J9404" s="5" t="s">
        <v>40991</v>
      </c>
      <c r="K9404" s="5" t="s">
        <v>40992</v>
      </c>
      <c r="L9404" s="18" t="s">
        <v>39</v>
      </c>
      <c r="M9404" s="18" t="s">
        <v>29</v>
      </c>
      <c r="N9404" s="18" t="s">
        <v>40993</v>
      </c>
      <c r="O9404" s="18" t="s">
        <v>29</v>
      </c>
      <c r="P9404" s="18" t="s">
        <v>40994</v>
      </c>
      <c r="Q9404" s="6"/>
      <c r="R9404" s="6"/>
      <c r="S9404" s="6"/>
      <c r="T9404" s="6"/>
      <c r="U9404" s="6"/>
    </row>
    <row r="9405" ht="14.25">
      <c r="B9405" s="18" t="s">
        <v>485</v>
      </c>
      <c r="C9405" s="18" t="s">
        <v>40995</v>
      </c>
      <c r="D9405" s="18" t="s">
        <v>62</v>
      </c>
      <c r="E9405" s="18" t="s">
        <v>40996</v>
      </c>
      <c r="F9405" s="18" t="str">
        <f>IFERROR(__XLUDF.DUMMYFUNCTION("PROPER(REGEXREPLACE(D222,""[^A-Za-z]+ "",""""))"),"Ipe")</f>
        <v>Ipe</v>
      </c>
      <c r="G9405" s="18" t="s">
        <v>40997</v>
      </c>
      <c r="H9405" s="18">
        <v>5</v>
      </c>
      <c r="I9405" s="18" t="s">
        <v>39661</v>
      </c>
      <c r="J9405" s="5" t="s">
        <v>40998</v>
      </c>
      <c r="K9405" s="5" t="s">
        <v>40999</v>
      </c>
      <c r="L9405" s="18" t="s">
        <v>39</v>
      </c>
      <c r="M9405" s="18" t="s">
        <v>29</v>
      </c>
      <c r="N9405" s="18" t="s">
        <v>41000</v>
      </c>
      <c r="O9405" s="18" t="s">
        <v>29</v>
      </c>
      <c r="P9405" s="18" t="s">
        <v>41001</v>
      </c>
      <c r="Q9405" s="6"/>
      <c r="R9405" s="6"/>
      <c r="S9405" s="6"/>
      <c r="T9405" s="6"/>
      <c r="U9405" s="6"/>
    </row>
    <row r="9406" ht="14.25">
      <c r="B9406" s="18" t="s">
        <v>2258</v>
      </c>
      <c r="C9406" s="18" t="s">
        <v>22326</v>
      </c>
      <c r="D9406" s="18" t="s">
        <v>41002</v>
      </c>
      <c r="E9406" s="18" t="s">
        <v>41003</v>
      </c>
      <c r="F9406" s="18" t="str">
        <f>IFERROR(__XLUDF.DUMMYFUNCTION("PROPER(REGEXREPLACE(D223,""[^A-Za-z]+ "",""""))"),"Auditrisksolutions")</f>
        <v>Auditrisksolutions</v>
      </c>
      <c r="G9406" s="18" t="s">
        <v>41004</v>
      </c>
      <c r="H9406" s="18">
        <v>5</v>
      </c>
      <c r="I9406" s="18" t="s">
        <v>39661</v>
      </c>
      <c r="J9406" s="5" t="s">
        <v>41005</v>
      </c>
      <c r="K9406" s="5" t="s">
        <v>41006</v>
      </c>
      <c r="L9406" s="18" t="s">
        <v>39</v>
      </c>
      <c r="M9406" s="18" t="s">
        <v>29</v>
      </c>
      <c r="N9406" s="18" t="s">
        <v>41007</v>
      </c>
      <c r="O9406" s="18" t="s">
        <v>29</v>
      </c>
      <c r="P9406" s="18" t="s">
        <v>41008</v>
      </c>
      <c r="Q9406" s="6"/>
      <c r="R9406" s="6"/>
      <c r="S9406" s="6"/>
      <c r="T9406" s="6"/>
      <c r="U9406" s="6"/>
    </row>
    <row r="9407" ht="14.25">
      <c r="B9407" s="18" t="s">
        <v>4341</v>
      </c>
      <c r="C9407" s="18" t="s">
        <v>41009</v>
      </c>
      <c r="D9407" s="18" t="s">
        <v>487</v>
      </c>
      <c r="E9407" s="18" t="s">
        <v>41010</v>
      </c>
      <c r="F9407" s="18" t="str">
        <f>IFERROR(__XLUDF.DUMMYFUNCTION("PROPER(REGEXREPLACE(D224,""[^A-Za-z]+ "",""""))"),"Automobile Club Prevention")</f>
        <v xml:space="preserve">Automobile Club Prevention</v>
      </c>
      <c r="G9407" s="18" t="s">
        <v>41011</v>
      </c>
      <c r="H9407" s="18">
        <v>10</v>
      </c>
      <c r="I9407" s="18" t="s">
        <v>39661</v>
      </c>
      <c r="J9407" s="5" t="s">
        <v>41012</v>
      </c>
      <c r="K9407" s="5" t="s">
        <v>41013</v>
      </c>
      <c r="L9407" s="18" t="s">
        <v>39</v>
      </c>
      <c r="M9407" s="18" t="s">
        <v>29</v>
      </c>
      <c r="N9407" s="18" t="s">
        <v>24626</v>
      </c>
      <c r="O9407" s="18" t="s">
        <v>29</v>
      </c>
      <c r="P9407" s="6"/>
      <c r="Q9407" s="6"/>
      <c r="R9407" s="6"/>
      <c r="S9407" s="6"/>
      <c r="T9407" s="6"/>
      <c r="U9407" s="6"/>
    </row>
    <row r="9408" ht="14.25">
      <c r="B9408" s="18" t="s">
        <v>6356</v>
      </c>
      <c r="C9408" s="18" t="s">
        <v>41014</v>
      </c>
      <c r="D9408" s="18" t="s">
        <v>71</v>
      </c>
      <c r="E9408" s="18" t="s">
        <v>41015</v>
      </c>
      <c r="F9408" s="18" t="str">
        <f>IFERROR(__XLUDF.DUMMYFUNCTION("PROPER(REGEXREPLACE(D225,""[^A-Za-z]+ "",""""))"),"Sga Conseil")</f>
        <v xml:space="preserve">Sga Conseil</v>
      </c>
      <c r="G9408" s="18" t="s">
        <v>41016</v>
      </c>
      <c r="H9408" s="18">
        <v>4</v>
      </c>
      <c r="I9408" s="18" t="s">
        <v>39661</v>
      </c>
      <c r="J9408" s="5" t="s">
        <v>41017</v>
      </c>
      <c r="K9408" s="5" t="s">
        <v>41018</v>
      </c>
      <c r="L9408" s="18" t="s">
        <v>39</v>
      </c>
      <c r="M9408" s="18" t="s">
        <v>29</v>
      </c>
      <c r="N9408" s="18" t="s">
        <v>41019</v>
      </c>
      <c r="O9408" s="18" t="s">
        <v>29</v>
      </c>
      <c r="P9408" s="6"/>
      <c r="Q9408" s="6"/>
      <c r="R9408" s="6"/>
      <c r="S9408" s="6"/>
      <c r="T9408" s="6"/>
      <c r="U9408" s="6"/>
    </row>
    <row r="9409" ht="14.25">
      <c r="B9409" s="18" t="s">
        <v>485</v>
      </c>
      <c r="C9409" s="18" t="s">
        <v>41020</v>
      </c>
      <c r="D9409" s="18" t="s">
        <v>688</v>
      </c>
      <c r="E9409" s="18" t="s">
        <v>41021</v>
      </c>
      <c r="F9409" s="18" t="str">
        <f>IFERROR(__XLUDF.DUMMYFUNCTION("PROPER(REGEXREPLACE(D226,""[^A-Za-z]+ "",""""))"),"Assurance Singulière")</f>
        <v xml:space="preserve">Assurance Singulière</v>
      </c>
      <c r="G9409" s="18" t="s">
        <v>41022</v>
      </c>
      <c r="H9409" s="18">
        <v>2</v>
      </c>
      <c r="I9409" s="18" t="s">
        <v>39661</v>
      </c>
      <c r="J9409" s="5" t="s">
        <v>41023</v>
      </c>
      <c r="K9409" s="5" t="s">
        <v>41024</v>
      </c>
      <c r="L9409" s="18" t="s">
        <v>4378</v>
      </c>
      <c r="M9409" s="18" t="s">
        <v>29</v>
      </c>
      <c r="N9409" s="18" t="s">
        <v>41025</v>
      </c>
      <c r="O9409" s="18" t="s">
        <v>29</v>
      </c>
      <c r="P9409" s="6"/>
      <c r="Q9409" s="6"/>
      <c r="R9409" s="6"/>
      <c r="S9409" s="6"/>
      <c r="T9409" s="6"/>
      <c r="U9409" s="6"/>
    </row>
    <row r="9410" ht="14.25">
      <c r="B9410" s="18" t="s">
        <v>3165</v>
      </c>
      <c r="C9410" s="18" t="s">
        <v>41026</v>
      </c>
      <c r="D9410" s="18" t="s">
        <v>172</v>
      </c>
      <c r="E9410" s="18" t="s">
        <v>41027</v>
      </c>
      <c r="F9410" s="18" t="str">
        <f>IFERROR(__XLUDF.DUMMYFUNCTION("PROPER(REGEXREPLACE(D227,""[^A-Za-z]+ "",""""))"),"Verspieren Côte D’Azur")</f>
        <v xml:space="preserve">Verspieren Côte D’Azur</v>
      </c>
      <c r="G9410" s="18" t="s">
        <v>41028</v>
      </c>
      <c r="H9410" s="18">
        <v>23</v>
      </c>
      <c r="I9410" s="18" t="s">
        <v>39661</v>
      </c>
      <c r="J9410" s="5" t="s">
        <v>41029</v>
      </c>
      <c r="K9410" s="5" t="s">
        <v>41030</v>
      </c>
      <c r="L9410" s="18" t="s">
        <v>49</v>
      </c>
      <c r="M9410" s="18" t="s">
        <v>29</v>
      </c>
      <c r="N9410" s="18" t="s">
        <v>41031</v>
      </c>
      <c r="O9410" s="18" t="s">
        <v>29</v>
      </c>
      <c r="P9410" s="18" t="s">
        <v>41032</v>
      </c>
      <c r="Q9410" s="6"/>
      <c r="R9410" s="6"/>
      <c r="S9410" s="6"/>
      <c r="T9410" s="6"/>
      <c r="U9410" s="6"/>
    </row>
    <row r="9411" ht="14.25">
      <c r="B9411" s="18" t="s">
        <v>769</v>
      </c>
      <c r="C9411" s="18" t="s">
        <v>41033</v>
      </c>
      <c r="D9411" s="18" t="s">
        <v>688</v>
      </c>
      <c r="E9411" s="5" t="s">
        <v>41034</v>
      </c>
      <c r="F9411" s="5" t="str">
        <f>IFERROR(__XLUDF.DUMMYFUNCTION("PROPER(REGEXREPLACE(D228,""[^A-Za-z]+ "",""""))"),"Santexpat.Fr")</f>
        <v>Santexpat.Fr</v>
      </c>
      <c r="G9411" s="18" t="s">
        <v>41035</v>
      </c>
      <c r="H9411" s="18">
        <v>13</v>
      </c>
      <c r="I9411" s="18" t="s">
        <v>39661</v>
      </c>
      <c r="J9411" s="5" t="s">
        <v>41036</v>
      </c>
      <c r="K9411" s="5" t="s">
        <v>41037</v>
      </c>
      <c r="L9411" s="6"/>
      <c r="M9411" s="18" t="s">
        <v>29</v>
      </c>
      <c r="N9411" s="18" t="s">
        <v>41038</v>
      </c>
      <c r="O9411" s="18" t="s">
        <v>29</v>
      </c>
      <c r="P9411" s="18" t="s">
        <v>41039</v>
      </c>
      <c r="Q9411" s="6"/>
      <c r="R9411" s="6"/>
      <c r="S9411" s="6"/>
      <c r="T9411" s="6"/>
      <c r="U9411" s="6"/>
    </row>
    <row r="9412" ht="14.25">
      <c r="B9412" s="18" t="s">
        <v>110</v>
      </c>
      <c r="C9412" s="18" t="s">
        <v>41040</v>
      </c>
      <c r="D9412" s="18" t="s">
        <v>112</v>
      </c>
      <c r="E9412" s="18" t="s">
        <v>41041</v>
      </c>
      <c r="F9412" s="18" t="str">
        <f>IFERROR(__XLUDF.DUMMYFUNCTION("PROPER(REGEXREPLACE(D229,""[^A-Za-z]+ "",""""))"),"Maif International")</f>
        <v xml:space="preserve">Maif International</v>
      </c>
      <c r="G9412" s="18" t="s">
        <v>41042</v>
      </c>
      <c r="H9412" s="18">
        <v>17</v>
      </c>
      <c r="I9412" s="18" t="s">
        <v>39661</v>
      </c>
      <c r="J9412" s="5" t="s">
        <v>41043</v>
      </c>
      <c r="K9412" s="5" t="s">
        <v>41044</v>
      </c>
      <c r="L9412" s="18" t="s">
        <v>2149</v>
      </c>
      <c r="M9412" s="18" t="s">
        <v>29</v>
      </c>
      <c r="N9412" s="18" t="s">
        <v>41045</v>
      </c>
      <c r="O9412" s="18" t="s">
        <v>29</v>
      </c>
      <c r="P9412" s="6"/>
      <c r="Q9412" s="6"/>
      <c r="R9412" s="6"/>
      <c r="S9412" s="6"/>
      <c r="T9412" s="6"/>
      <c r="U9412" s="6"/>
    </row>
    <row r="9413" ht="14.25">
      <c r="B9413" s="18" t="s">
        <v>2311</v>
      </c>
      <c r="C9413" s="18" t="s">
        <v>9923</v>
      </c>
      <c r="D9413" s="18" t="s">
        <v>4586</v>
      </c>
      <c r="E9413" s="18" t="s">
        <v>40357</v>
      </c>
      <c r="F9413" s="18" t="str">
        <f>IFERROR(__XLUDF.DUMMYFUNCTION("PROPER(REGEXREPLACE(D230,""[^A-Za-z]+ "",""""))"),"Actélior")</f>
        <v>Actélior</v>
      </c>
      <c r="G9413" s="18" t="s">
        <v>41046</v>
      </c>
      <c r="H9413" s="18">
        <v>31</v>
      </c>
      <c r="I9413" s="18" t="s">
        <v>39661</v>
      </c>
      <c r="J9413" s="5" t="s">
        <v>41047</v>
      </c>
      <c r="K9413" s="5" t="s">
        <v>40360</v>
      </c>
      <c r="L9413" s="18" t="s">
        <v>185</v>
      </c>
      <c r="M9413" s="18" t="s">
        <v>29</v>
      </c>
      <c r="N9413" s="18" t="s">
        <v>40361</v>
      </c>
      <c r="O9413" s="18" t="s">
        <v>29</v>
      </c>
      <c r="P9413" s="6"/>
      <c r="Q9413" s="6"/>
      <c r="R9413" s="6"/>
      <c r="S9413" s="6"/>
      <c r="T9413" s="6"/>
      <c r="U9413" s="6"/>
    </row>
    <row r="9414" ht="14.25">
      <c r="B9414" s="18" t="s">
        <v>95</v>
      </c>
      <c r="C9414" s="18" t="s">
        <v>41048</v>
      </c>
      <c r="D9414" s="18" t="s">
        <v>3637</v>
      </c>
      <c r="E9414" s="18" t="s">
        <v>41049</v>
      </c>
      <c r="F9414" s="18" t="str">
        <f>IFERROR(__XLUDF.DUMMYFUNCTION("PROPER(REGEXREPLACE(D231,""[^A-Za-z]+ "",""""))"),"Atekka")</f>
        <v>Atekka</v>
      </c>
      <c r="G9414" s="18" t="s">
        <v>41050</v>
      </c>
      <c r="H9414" s="18">
        <v>9</v>
      </c>
      <c r="I9414" s="18" t="s">
        <v>39661</v>
      </c>
      <c r="J9414" s="5" t="s">
        <v>41051</v>
      </c>
      <c r="K9414" s="5" t="s">
        <v>41052</v>
      </c>
      <c r="L9414" s="18" t="s">
        <v>39</v>
      </c>
      <c r="M9414" s="18" t="s">
        <v>29</v>
      </c>
      <c r="N9414" s="18" t="s">
        <v>41053</v>
      </c>
      <c r="O9414" s="18" t="s">
        <v>29</v>
      </c>
      <c r="P9414" s="6"/>
      <c r="Q9414" s="6"/>
      <c r="R9414" s="6"/>
      <c r="S9414" s="6"/>
      <c r="T9414" s="6"/>
      <c r="U9414" s="6"/>
    </row>
    <row r="9415" ht="14.25">
      <c r="B9415" s="18" t="s">
        <v>622</v>
      </c>
      <c r="C9415" s="18" t="s">
        <v>41054</v>
      </c>
      <c r="D9415" s="18" t="s">
        <v>41055</v>
      </c>
      <c r="E9415" s="18" t="s">
        <v>41056</v>
      </c>
      <c r="F9415" s="18" t="str">
        <f>IFERROR(__XLUDF.DUMMYFUNCTION("PROPER(REGEXREPLACE(D232,""[^A-Za-z]+ "",""""))"),"Stream-Techs")</f>
        <v>Stream-Techs</v>
      </c>
      <c r="G9415" s="18" t="s">
        <v>41057</v>
      </c>
      <c r="H9415" s="18">
        <v>4</v>
      </c>
      <c r="I9415" s="18" t="s">
        <v>39661</v>
      </c>
      <c r="J9415" s="5" t="s">
        <v>41058</v>
      </c>
      <c r="K9415" s="5" t="s">
        <v>41059</v>
      </c>
      <c r="L9415" s="18" t="s">
        <v>39</v>
      </c>
      <c r="M9415" s="18" t="s">
        <v>29</v>
      </c>
      <c r="N9415" s="18" t="s">
        <v>67</v>
      </c>
      <c r="O9415" s="18" t="s">
        <v>29</v>
      </c>
      <c r="P9415" s="6"/>
      <c r="Q9415" s="6"/>
      <c r="R9415" s="6"/>
      <c r="S9415" s="6"/>
      <c r="T9415" s="6"/>
      <c r="U9415" s="6"/>
    </row>
    <row r="9416" ht="14.25">
      <c r="B9416" s="18" t="s">
        <v>622</v>
      </c>
      <c r="C9416" s="18" t="s">
        <v>41060</v>
      </c>
      <c r="D9416" s="18" t="s">
        <v>87</v>
      </c>
      <c r="E9416" s="18" t="s">
        <v>41061</v>
      </c>
      <c r="F9416" s="18" t="str">
        <f>IFERROR(__XLUDF.DUMMYFUNCTION("PROPER(REGEXREPLACE(D233,""[^A-Za-z]+ "",""""))"),"Insurté")</f>
        <v>Insurté</v>
      </c>
      <c r="G9416" s="18" t="s">
        <v>41062</v>
      </c>
      <c r="H9416" s="18">
        <v>8</v>
      </c>
      <c r="I9416" s="18" t="s">
        <v>39661</v>
      </c>
      <c r="J9416" s="5" t="s">
        <v>41063</v>
      </c>
      <c r="K9416" s="5" t="s">
        <v>41064</v>
      </c>
      <c r="L9416" s="18" t="s">
        <v>6954</v>
      </c>
      <c r="M9416" s="18" t="s">
        <v>29</v>
      </c>
      <c r="N9416" s="18" t="s">
        <v>41065</v>
      </c>
      <c r="O9416" s="18" t="s">
        <v>29</v>
      </c>
      <c r="P9416" s="18" t="s">
        <v>41066</v>
      </c>
      <c r="Q9416" s="6"/>
      <c r="R9416" s="6"/>
      <c r="S9416" s="6"/>
      <c r="T9416" s="6"/>
      <c r="U9416" s="6"/>
    </row>
    <row r="9417" ht="14.25">
      <c r="B9417" s="18" t="s">
        <v>12880</v>
      </c>
      <c r="C9417" s="18" t="s">
        <v>28471</v>
      </c>
      <c r="D9417" s="18" t="s">
        <v>41067</v>
      </c>
      <c r="E9417" s="5" t="s">
        <v>41068</v>
      </c>
      <c r="F9417" s="5" t="str">
        <f>IFERROR(__XLUDF.DUMMYFUNCTION("PROPER(REGEXREPLACE(D234,""[^A-Za-z]+ "",""""))"),"Lesexpertssante.Fr")</f>
        <v>Lesexpertssante.Fr</v>
      </c>
      <c r="G9417" s="18" t="s">
        <v>41069</v>
      </c>
      <c r="H9417" s="18">
        <v>2</v>
      </c>
      <c r="I9417" s="18" t="s">
        <v>39661</v>
      </c>
      <c r="J9417" s="5" t="s">
        <v>41070</v>
      </c>
      <c r="K9417" s="5" t="s">
        <v>41071</v>
      </c>
      <c r="L9417" s="18" t="s">
        <v>39</v>
      </c>
      <c r="M9417" s="18" t="s">
        <v>29</v>
      </c>
      <c r="N9417" s="18" t="s">
        <v>25974</v>
      </c>
      <c r="O9417" s="18" t="s">
        <v>29</v>
      </c>
      <c r="P9417" s="18" t="s">
        <v>41072</v>
      </c>
      <c r="Q9417" s="6"/>
      <c r="R9417" s="6"/>
      <c r="S9417" s="6"/>
      <c r="T9417" s="6"/>
      <c r="U9417" s="6"/>
    </row>
    <row r="9418" ht="14.25">
      <c r="B9418" s="18" t="s">
        <v>7525</v>
      </c>
      <c r="C9418" s="18" t="s">
        <v>41073</v>
      </c>
      <c r="D9418" s="18" t="s">
        <v>468</v>
      </c>
      <c r="E9418" s="18" t="s">
        <v>41074</v>
      </c>
      <c r="F9418" s="18" t="str">
        <f>IFERROR(__XLUDF.DUMMYFUNCTION("PROPER(REGEXREPLACE(D235,""[^A-Za-z]+ "",""""))"),"Mutuelle Des Sapeurs-Pompiers De Paris")</f>
        <v xml:space="preserve">Mutuelle Des Sapeurs-Pompiers De Paris</v>
      </c>
      <c r="G9418" s="18" t="s">
        <v>41075</v>
      </c>
      <c r="H9418" s="18">
        <v>11</v>
      </c>
      <c r="I9418" s="18" t="s">
        <v>39661</v>
      </c>
      <c r="J9418" s="5" t="s">
        <v>41076</v>
      </c>
      <c r="K9418" s="5" t="s">
        <v>41077</v>
      </c>
      <c r="L9418" s="18" t="s">
        <v>15974</v>
      </c>
      <c r="M9418" s="18" t="s">
        <v>29</v>
      </c>
      <c r="N9418" s="18" t="s">
        <v>41078</v>
      </c>
      <c r="O9418" s="18" t="s">
        <v>29</v>
      </c>
      <c r="P9418" s="18" t="s">
        <v>41079</v>
      </c>
      <c r="Q9418" s="6"/>
      <c r="R9418" s="6"/>
      <c r="S9418" s="6"/>
      <c r="T9418" s="6"/>
      <c r="U9418" s="6"/>
    </row>
    <row r="9419" ht="14.25">
      <c r="B9419" s="18" t="s">
        <v>41080</v>
      </c>
      <c r="C9419" s="18" t="s">
        <v>41081</v>
      </c>
      <c r="D9419" s="18" t="s">
        <v>41082</v>
      </c>
      <c r="E9419" s="18" t="s">
        <v>41083</v>
      </c>
      <c r="F9419" s="18" t="str">
        <f>IFERROR(__XLUDF.DUMMYFUNCTION("PROPER(REGEXREPLACE(D236,""[^A-Za-z]+ "",""""))"),"Artex Assurances")</f>
        <v xml:space="preserve">Artex Assurances</v>
      </c>
      <c r="G9419" s="18" t="s">
        <v>41084</v>
      </c>
      <c r="H9419" s="18">
        <v>22</v>
      </c>
      <c r="I9419" s="18" t="s">
        <v>39661</v>
      </c>
      <c r="J9419" s="5" t="s">
        <v>41085</v>
      </c>
      <c r="K9419" s="5" t="s">
        <v>41086</v>
      </c>
      <c r="L9419" s="18" t="s">
        <v>41087</v>
      </c>
      <c r="M9419" s="18" t="s">
        <v>29</v>
      </c>
      <c r="N9419" s="18" t="s">
        <v>2862</v>
      </c>
      <c r="O9419" s="18" t="s">
        <v>29</v>
      </c>
      <c r="P9419" s="18" t="s">
        <v>41088</v>
      </c>
      <c r="Q9419" s="6"/>
      <c r="R9419" s="6"/>
      <c r="S9419" s="6"/>
      <c r="T9419" s="6"/>
      <c r="U9419" s="6"/>
    </row>
    <row r="9420" ht="14.25">
      <c r="B9420" s="18" t="s">
        <v>604</v>
      </c>
      <c r="C9420" s="18" t="s">
        <v>41089</v>
      </c>
      <c r="D9420" s="18" t="s">
        <v>112</v>
      </c>
      <c r="E9420" s="18" t="s">
        <v>41090</v>
      </c>
      <c r="F9420" s="18" t="str">
        <f>IFERROR(__XLUDF.DUMMYFUNCTION("PROPER(REGEXREPLACE(D237,""[^A-Za-z]+ "",""""))"),"Crtl")</f>
        <v>Crtl</v>
      </c>
      <c r="G9420" s="18" t="s">
        <v>41091</v>
      </c>
      <c r="H9420" s="18">
        <v>17</v>
      </c>
      <c r="I9420" s="18" t="s">
        <v>39661</v>
      </c>
      <c r="J9420" s="5" t="s">
        <v>41092</v>
      </c>
      <c r="K9420" s="5" t="s">
        <v>41093</v>
      </c>
      <c r="L9420" s="18" t="s">
        <v>2186</v>
      </c>
      <c r="M9420" s="18" t="s">
        <v>29</v>
      </c>
      <c r="N9420" s="18" t="s">
        <v>41094</v>
      </c>
      <c r="O9420" s="18" t="s">
        <v>29</v>
      </c>
      <c r="P9420" s="18" t="s">
        <v>41095</v>
      </c>
      <c r="Q9420" s="6"/>
      <c r="R9420" s="6"/>
      <c r="S9420" s="6"/>
      <c r="T9420" s="6"/>
      <c r="U9420" s="6"/>
    </row>
    <row r="9421" ht="14.25">
      <c r="B9421" s="18" t="s">
        <v>1667</v>
      </c>
      <c r="C9421" s="18" t="s">
        <v>41096</v>
      </c>
      <c r="D9421" s="18" t="s">
        <v>172</v>
      </c>
      <c r="E9421" s="18" t="s">
        <v>41097</v>
      </c>
      <c r="F9421" s="18" t="str">
        <f>IFERROR(__XLUDF.DUMMYFUNCTION("PROPER(REGEXREPLACE(D238,""[^A-Za-z]+ "",""""))"),"Koëhl Assurances Et Gestion De Patrimoine")</f>
        <v xml:space="preserve">Koëhl Assurances Et Gestion De Patrimoine</v>
      </c>
      <c r="G9421" s="18" t="s">
        <v>41098</v>
      </c>
      <c r="H9421" s="18">
        <v>18</v>
      </c>
      <c r="I9421" s="18" t="s">
        <v>39661</v>
      </c>
      <c r="J9421" s="5" t="s">
        <v>41099</v>
      </c>
      <c r="K9421" s="5" t="s">
        <v>41100</v>
      </c>
      <c r="L9421" s="18" t="s">
        <v>185</v>
      </c>
      <c r="M9421" s="18" t="s">
        <v>29</v>
      </c>
      <c r="N9421" s="18" t="s">
        <v>41101</v>
      </c>
      <c r="O9421" s="18" t="s">
        <v>29</v>
      </c>
      <c r="P9421" s="18" t="s">
        <v>41102</v>
      </c>
      <c r="Q9421" s="6"/>
      <c r="R9421" s="6"/>
      <c r="S9421" s="6"/>
      <c r="T9421" s="6"/>
      <c r="U9421" s="6"/>
    </row>
    <row r="9422" ht="14.25">
      <c r="B9422" s="18" t="s">
        <v>1198</v>
      </c>
      <c r="C9422" s="18" t="s">
        <v>41103</v>
      </c>
      <c r="D9422" s="18" t="s">
        <v>172</v>
      </c>
      <c r="E9422" s="18" t="s">
        <v>41104</v>
      </c>
      <c r="F9422" s="18" t="str">
        <f>IFERROR(__XLUDF.DUMMYFUNCTION("PROPER(REGEXREPLACE(D239,""[^A-Za-z]+ "",""""))"),"Garex")</f>
        <v>Garex</v>
      </c>
      <c r="G9422" s="18" t="s">
        <v>41105</v>
      </c>
      <c r="H9422" s="18">
        <v>13</v>
      </c>
      <c r="I9422" s="18" t="s">
        <v>39661</v>
      </c>
      <c r="J9422" s="5" t="s">
        <v>41106</v>
      </c>
      <c r="K9422" s="5" t="s">
        <v>41107</v>
      </c>
      <c r="L9422" s="18" t="s">
        <v>39</v>
      </c>
      <c r="M9422" s="18" t="s">
        <v>29</v>
      </c>
      <c r="N9422" s="18" t="s">
        <v>67</v>
      </c>
      <c r="O9422" s="18" t="s">
        <v>29</v>
      </c>
      <c r="P9422" s="18" t="s">
        <v>41108</v>
      </c>
      <c r="Q9422" s="6"/>
      <c r="R9422" s="6"/>
      <c r="S9422" s="6"/>
      <c r="T9422" s="6"/>
      <c r="U9422" s="6"/>
    </row>
    <row r="9423" ht="14.25">
      <c r="B9423" s="18" t="s">
        <v>3781</v>
      </c>
      <c r="C9423" s="18" t="s">
        <v>20942</v>
      </c>
      <c r="D9423" s="18" t="s">
        <v>41109</v>
      </c>
      <c r="E9423" s="18" t="s">
        <v>40080</v>
      </c>
      <c r="F9423" s="18" t="str">
        <f>IFERROR(__XLUDF.DUMMYFUNCTION("PROPER(REGEXREPLACE(D240,""[^A-Za-z]+ "",""""))"),"Serenitrip")</f>
        <v>Serenitrip</v>
      </c>
      <c r="G9423" s="18" t="s">
        <v>41110</v>
      </c>
      <c r="H9423" s="18">
        <v>5</v>
      </c>
      <c r="I9423" s="18" t="s">
        <v>39661</v>
      </c>
      <c r="J9423" s="5" t="s">
        <v>41111</v>
      </c>
      <c r="K9423" s="5" t="s">
        <v>40083</v>
      </c>
      <c r="L9423" s="6"/>
      <c r="M9423" s="18" t="s">
        <v>29</v>
      </c>
      <c r="N9423" s="18" t="s">
        <v>21267</v>
      </c>
      <c r="O9423" s="18" t="s">
        <v>29</v>
      </c>
      <c r="P9423" s="18" t="s">
        <v>40084</v>
      </c>
      <c r="Q9423" s="6"/>
      <c r="R9423" s="6"/>
      <c r="S9423" s="6"/>
      <c r="T9423" s="6"/>
      <c r="U9423" s="6"/>
    </row>
    <row r="9424" ht="14.25">
      <c r="B9424" s="18" t="s">
        <v>41112</v>
      </c>
      <c r="C9424" s="18" t="s">
        <v>41113</v>
      </c>
      <c r="D9424" s="18" t="s">
        <v>112</v>
      </c>
      <c r="E9424" s="18" t="s">
        <v>40907</v>
      </c>
      <c r="F9424" s="18" t="str">
        <f>IFERROR(__XLUDF.DUMMYFUNCTION("PROPER(REGEXREPLACE(D241,""[^A-Za-z]+ "",""""))"),"Mutuelle Entrenous")</f>
        <v xml:space="preserve">Mutuelle Entrenous</v>
      </c>
      <c r="G9424" s="18" t="s">
        <v>41114</v>
      </c>
      <c r="H9424" s="18">
        <v>39</v>
      </c>
      <c r="I9424" s="18" t="s">
        <v>39661</v>
      </c>
      <c r="J9424" s="5" t="s">
        <v>41115</v>
      </c>
      <c r="K9424" s="5" t="s">
        <v>40910</v>
      </c>
      <c r="L9424" s="18" t="s">
        <v>774</v>
      </c>
      <c r="M9424" s="18" t="s">
        <v>29</v>
      </c>
      <c r="N9424" s="18" t="s">
        <v>40911</v>
      </c>
      <c r="O9424" s="18" t="s">
        <v>29</v>
      </c>
      <c r="P9424" s="18" t="s">
        <v>40912</v>
      </c>
      <c r="Q9424" s="6"/>
      <c r="R9424" s="6"/>
      <c r="S9424" s="6"/>
      <c r="T9424" s="6"/>
      <c r="U9424" s="6"/>
    </row>
    <row r="9425" ht="14.25">
      <c r="B9425" s="18" t="s">
        <v>4245</v>
      </c>
      <c r="C9425" s="18" t="s">
        <v>41116</v>
      </c>
      <c r="D9425" s="18" t="s">
        <v>112</v>
      </c>
      <c r="E9425" s="18" t="s">
        <v>41117</v>
      </c>
      <c r="F9425" s="18" t="str">
        <f>IFERROR(__XLUDF.DUMMYFUNCTION("PROPER(REGEXREPLACE(D242,""[^A-Za-z]+ "",""""))"),"Mutameplus")</f>
        <v>Mutameplus</v>
      </c>
      <c r="G9425" s="18" t="s">
        <v>41118</v>
      </c>
      <c r="H9425" s="18">
        <v>27</v>
      </c>
      <c r="I9425" s="18" t="s">
        <v>39661</v>
      </c>
      <c r="J9425" s="5" t="s">
        <v>41119</v>
      </c>
      <c r="K9425" s="5" t="s">
        <v>41120</v>
      </c>
      <c r="L9425" s="18" t="s">
        <v>41121</v>
      </c>
      <c r="M9425" s="18" t="s">
        <v>29</v>
      </c>
      <c r="N9425" s="18" t="s">
        <v>25179</v>
      </c>
      <c r="O9425" s="18" t="s">
        <v>29</v>
      </c>
      <c r="P9425" s="18" t="s">
        <v>41122</v>
      </c>
      <c r="Q9425" s="6"/>
      <c r="R9425" s="6"/>
      <c r="S9425" s="6"/>
      <c r="T9425" s="6"/>
      <c r="U9425" s="6"/>
    </row>
    <row r="9426" ht="14.25">
      <c r="B9426" s="18" t="s">
        <v>817</v>
      </c>
      <c r="C9426" s="18" t="s">
        <v>41123</v>
      </c>
      <c r="D9426" s="18" t="s">
        <v>112</v>
      </c>
      <c r="E9426" s="18" t="s">
        <v>40584</v>
      </c>
      <c r="F9426" s="18" t="str">
        <f>IFERROR(__XLUDF.DUMMYFUNCTION("PROPER(REGEXREPLACE(D243,""[^A-Za-z]+ "",""""))"),"Planete Csca")</f>
        <v xml:space="preserve">Planete Csca</v>
      </c>
      <c r="G9426" s="18" t="s">
        <v>41124</v>
      </c>
      <c r="H9426" s="18">
        <v>41</v>
      </c>
      <c r="I9426" s="18" t="s">
        <v>39661</v>
      </c>
      <c r="J9426" s="5" t="s">
        <v>41125</v>
      </c>
      <c r="K9426" s="5" t="s">
        <v>40587</v>
      </c>
      <c r="L9426" s="18" t="s">
        <v>39</v>
      </c>
      <c r="M9426" s="18" t="s">
        <v>29</v>
      </c>
      <c r="N9426" s="18" t="s">
        <v>40588</v>
      </c>
      <c r="O9426" s="18" t="s">
        <v>29</v>
      </c>
      <c r="P9426" s="18" t="s">
        <v>40589</v>
      </c>
      <c r="Q9426" s="6"/>
      <c r="R9426" s="6"/>
      <c r="S9426" s="6"/>
      <c r="T9426" s="6"/>
      <c r="U9426" s="6"/>
    </row>
    <row r="9427" ht="14.25">
      <c r="B9427" s="18" t="s">
        <v>1190</v>
      </c>
      <c r="C9427" s="18" t="s">
        <v>41126</v>
      </c>
      <c r="D9427" s="18" t="s">
        <v>112</v>
      </c>
      <c r="E9427" s="18" t="s">
        <v>41127</v>
      </c>
      <c r="F9427" s="18" t="str">
        <f>IFERROR(__XLUDF.DUMMYFUNCTION("PROPER(REGEXREPLACE(D244,""[^A-Za-z]+ "",""""))"),"Beah")</f>
        <v>Beah</v>
      </c>
      <c r="G9427" s="18" t="s">
        <v>41128</v>
      </c>
      <c r="H9427" s="18">
        <v>48</v>
      </c>
      <c r="I9427" s="18" t="s">
        <v>39661</v>
      </c>
      <c r="J9427" s="5" t="s">
        <v>41129</v>
      </c>
      <c r="K9427" s="5" t="s">
        <v>41130</v>
      </c>
      <c r="L9427" s="18" t="s">
        <v>39</v>
      </c>
      <c r="M9427" s="18" t="s">
        <v>29</v>
      </c>
      <c r="N9427" s="18" t="s">
        <v>41131</v>
      </c>
      <c r="O9427" s="18" t="s">
        <v>29</v>
      </c>
      <c r="P9427" s="18" t="s">
        <v>41132</v>
      </c>
      <c r="Q9427" s="6"/>
      <c r="R9427" s="6"/>
      <c r="S9427" s="6"/>
      <c r="T9427" s="6"/>
      <c r="U9427" s="6"/>
    </row>
    <row r="9428" ht="14.25">
      <c r="B9428" s="18" t="s">
        <v>1853</v>
      </c>
      <c r="C9428" s="18" t="s">
        <v>41133</v>
      </c>
      <c r="D9428" s="18" t="s">
        <v>112</v>
      </c>
      <c r="E9428" s="18" t="s">
        <v>41134</v>
      </c>
      <c r="F9428" s="18" t="str">
        <f>IFERROR(__XLUDF.DUMMYFUNCTION("PROPER(REGEXREPLACE(D245,""[^A-Za-z]+ "",""""))"),"Lbc Assurances")</f>
        <v xml:space="preserve">Lbc Assurances</v>
      </c>
      <c r="G9428" s="18" t="s">
        <v>41135</v>
      </c>
      <c r="H9428" s="18">
        <v>22</v>
      </c>
      <c r="I9428" s="18" t="s">
        <v>39661</v>
      </c>
      <c r="J9428" s="5" t="s">
        <v>41136</v>
      </c>
      <c r="K9428" s="5" t="s">
        <v>41137</v>
      </c>
      <c r="L9428" s="18" t="s">
        <v>41138</v>
      </c>
      <c r="M9428" s="18" t="s">
        <v>29</v>
      </c>
      <c r="N9428" s="18" t="s">
        <v>41139</v>
      </c>
      <c r="O9428" s="18" t="s">
        <v>29</v>
      </c>
      <c r="P9428" s="6"/>
      <c r="Q9428" s="6"/>
      <c r="R9428" s="6"/>
      <c r="S9428" s="6"/>
      <c r="T9428" s="6"/>
      <c r="U9428" s="6"/>
    </row>
    <row r="9429" ht="14.25">
      <c r="B9429" s="18" t="s">
        <v>34499</v>
      </c>
      <c r="C9429" s="18" t="s">
        <v>25632</v>
      </c>
      <c r="D9429" s="18" t="s">
        <v>41140</v>
      </c>
      <c r="E9429" s="18" t="s">
        <v>41141</v>
      </c>
      <c r="F9429" s="18" t="str">
        <f>IFERROR(__XLUDF.DUMMYFUNCTION("PROPER(REGEXREPLACE(D246,""[^A-Za-z]+ "",""""))"),"Rambaud Labrosse")</f>
        <v xml:space="preserve">Rambaud Labrosse</v>
      </c>
      <c r="G9429" s="18" t="s">
        <v>41142</v>
      </c>
      <c r="H9429" s="18">
        <v>42</v>
      </c>
      <c r="I9429" s="18" t="s">
        <v>39661</v>
      </c>
      <c r="J9429" s="5" t="s">
        <v>41143</v>
      </c>
      <c r="K9429" s="5" t="s">
        <v>41144</v>
      </c>
      <c r="L9429" s="6"/>
      <c r="M9429" s="18" t="s">
        <v>29</v>
      </c>
      <c r="N9429" s="18" t="s">
        <v>40588</v>
      </c>
      <c r="O9429" s="18" t="s">
        <v>29</v>
      </c>
      <c r="P9429" s="6"/>
      <c r="Q9429" s="6"/>
      <c r="R9429" s="6"/>
      <c r="S9429" s="6"/>
      <c r="T9429" s="6"/>
      <c r="U9429" s="6"/>
    </row>
    <row r="9430" ht="14.25">
      <c r="B9430" s="18" t="s">
        <v>2870</v>
      </c>
      <c r="C9430" s="18" t="s">
        <v>41145</v>
      </c>
      <c r="D9430" s="18" t="s">
        <v>87</v>
      </c>
      <c r="E9430" s="18" t="s">
        <v>41146</v>
      </c>
      <c r="F9430" s="18" t="str">
        <f>IFERROR(__XLUDF.DUMMYFUNCTION("PROPER(REGEXREPLACE(D247,""[^A-Za-z]+ "",""""))"),"Assurances Maritimes De Lassee")</f>
        <v xml:space="preserve">Assurances Maritimes De Lassee</v>
      </c>
      <c r="G9430" s="18" t="s">
        <v>41147</v>
      </c>
      <c r="H9430" s="18">
        <v>9</v>
      </c>
      <c r="I9430" s="18" t="s">
        <v>39661</v>
      </c>
      <c r="J9430" s="5" t="s">
        <v>41148</v>
      </c>
      <c r="K9430" s="5" t="s">
        <v>41149</v>
      </c>
      <c r="L9430" s="18" t="s">
        <v>2186</v>
      </c>
      <c r="M9430" s="18" t="s">
        <v>29</v>
      </c>
      <c r="N9430" s="18" t="s">
        <v>24005</v>
      </c>
      <c r="O9430" s="18" t="s">
        <v>29</v>
      </c>
      <c r="P9430" s="6"/>
      <c r="Q9430" s="6"/>
      <c r="R9430" s="6"/>
      <c r="S9430" s="6"/>
      <c r="T9430" s="6"/>
      <c r="U9430" s="6"/>
    </row>
    <row r="9431" ht="14.25">
      <c r="B9431" s="18" t="s">
        <v>3164</v>
      </c>
      <c r="C9431" s="18" t="s">
        <v>41150</v>
      </c>
      <c r="D9431" s="18" t="s">
        <v>172</v>
      </c>
      <c r="E9431" s="18" t="s">
        <v>40153</v>
      </c>
      <c r="F9431" s="18" t="str">
        <f>IFERROR(__XLUDF.DUMMYFUNCTION("PROPER(REGEXREPLACE(D248,""[^A-Za-z]+ "",""""))"),"Lycéa")</f>
        <v>Lycéa</v>
      </c>
      <c r="G9431" s="18" t="s">
        <v>41151</v>
      </c>
      <c r="H9431" s="18">
        <v>22</v>
      </c>
      <c r="I9431" s="18" t="s">
        <v>39661</v>
      </c>
      <c r="J9431" s="5" t="s">
        <v>41152</v>
      </c>
      <c r="K9431" s="5" t="s">
        <v>40156</v>
      </c>
      <c r="L9431" s="18" t="s">
        <v>185</v>
      </c>
      <c r="M9431" s="18" t="s">
        <v>29</v>
      </c>
      <c r="N9431" s="18" t="s">
        <v>40157</v>
      </c>
      <c r="O9431" s="18" t="s">
        <v>29</v>
      </c>
      <c r="P9431" s="18" t="s">
        <v>40158</v>
      </c>
      <c r="Q9431" s="6"/>
      <c r="R9431" s="6"/>
      <c r="S9431" s="6"/>
      <c r="T9431" s="6"/>
      <c r="U9431" s="6"/>
    </row>
    <row r="9432" ht="14.25">
      <c r="B9432" s="18" t="s">
        <v>1215</v>
      </c>
      <c r="C9432" s="18" t="s">
        <v>41153</v>
      </c>
      <c r="D9432" s="18" t="s">
        <v>172</v>
      </c>
      <c r="E9432" s="18" t="s">
        <v>41154</v>
      </c>
      <c r="F9432" s="18" t="str">
        <f>IFERROR(__XLUDF.DUMMYFUNCTION("PROPER(REGEXREPLACE(D249,""[^A-Za-z]+ "",""""))"),"Mutac")</f>
        <v>Mutac</v>
      </c>
      <c r="G9432" s="18" t="s">
        <v>41155</v>
      </c>
      <c r="H9432" s="18">
        <v>26</v>
      </c>
      <c r="I9432" s="18" t="s">
        <v>39661</v>
      </c>
      <c r="J9432" s="5" t="s">
        <v>41156</v>
      </c>
      <c r="K9432" s="5" t="s">
        <v>41157</v>
      </c>
      <c r="L9432" s="18" t="s">
        <v>482</v>
      </c>
      <c r="M9432" s="18" t="s">
        <v>29</v>
      </c>
      <c r="N9432" s="18" t="s">
        <v>41158</v>
      </c>
      <c r="O9432" s="18" t="s">
        <v>29</v>
      </c>
      <c r="P9432" s="18" t="s">
        <v>41159</v>
      </c>
      <c r="Q9432" s="6"/>
      <c r="R9432" s="6"/>
      <c r="S9432" s="6"/>
      <c r="T9432" s="6"/>
      <c r="U9432" s="6"/>
    </row>
    <row r="9433" ht="14.25">
      <c r="B9433" s="18" t="s">
        <v>1114</v>
      </c>
      <c r="C9433" s="18" t="s">
        <v>41160</v>
      </c>
      <c r="D9433" s="18" t="s">
        <v>41161</v>
      </c>
      <c r="E9433" s="18" t="s">
        <v>41162</v>
      </c>
      <c r="F9433" s="18" t="str">
        <f>IFERROR(__XLUDF.DUMMYFUNCTION("PROPER(REGEXREPLACE(D250,""[^A-Za-z]+ "",""""))"),"Les Courtiers De France")</f>
        <v xml:space="preserve">Les Courtiers De France</v>
      </c>
      <c r="G9433" s="18" t="s">
        <v>41163</v>
      </c>
      <c r="H9433" s="18">
        <v>2</v>
      </c>
      <c r="I9433" s="18" t="s">
        <v>39661</v>
      </c>
      <c r="J9433" s="5" t="s">
        <v>41164</v>
      </c>
      <c r="K9433" s="5" t="s">
        <v>41165</v>
      </c>
      <c r="L9433" s="18" t="s">
        <v>1204</v>
      </c>
      <c r="M9433" s="18" t="s">
        <v>29</v>
      </c>
      <c r="N9433" s="18" t="s">
        <v>41166</v>
      </c>
      <c r="O9433" s="18" t="s">
        <v>29</v>
      </c>
      <c r="P9433" s="18" t="s">
        <v>41167</v>
      </c>
      <c r="Q9433" s="6"/>
      <c r="R9433" s="6"/>
      <c r="S9433" s="6"/>
      <c r="T9433" s="6"/>
      <c r="U9433" s="6"/>
    </row>
    <row r="9434" ht="14.25">
      <c r="B9434" s="18" t="s">
        <v>76</v>
      </c>
      <c r="C9434" s="18" t="s">
        <v>41168</v>
      </c>
      <c r="D9434" s="18" t="s">
        <v>14223</v>
      </c>
      <c r="E9434" s="18" t="s">
        <v>41169</v>
      </c>
      <c r="F9434" s="18" t="str">
        <f>IFERROR(__XLUDF.DUMMYFUNCTION("PROPER(REGEXREPLACE(D251,""[^A-Za-z]+ "",""""))"),"Alexo")</f>
        <v>Alexo</v>
      </c>
      <c r="G9434" s="18" t="s">
        <v>41170</v>
      </c>
      <c r="H9434" s="18">
        <v>15</v>
      </c>
      <c r="I9434" s="18" t="s">
        <v>39661</v>
      </c>
      <c r="J9434" s="5" t="s">
        <v>41171</v>
      </c>
      <c r="K9434" s="5" t="s">
        <v>41172</v>
      </c>
      <c r="L9434" s="18" t="s">
        <v>41173</v>
      </c>
      <c r="M9434" s="18" t="s">
        <v>29</v>
      </c>
      <c r="N9434" s="18" t="s">
        <v>41174</v>
      </c>
      <c r="O9434" s="18" t="s">
        <v>29</v>
      </c>
      <c r="P9434" s="18" t="s">
        <v>41175</v>
      </c>
      <c r="Q9434" s="6"/>
      <c r="R9434" s="6"/>
      <c r="S9434" s="6"/>
      <c r="T9434" s="6"/>
      <c r="U9434" s="6"/>
    </row>
    <row r="9435" ht="14.25">
      <c r="B9435" s="18" t="s">
        <v>76</v>
      </c>
      <c r="C9435" s="18" t="s">
        <v>41176</v>
      </c>
      <c r="D9435" s="18" t="s">
        <v>41177</v>
      </c>
      <c r="E9435" s="18" t="s">
        <v>39975</v>
      </c>
      <c r="F9435" s="18" t="str">
        <f>IFERROR(__XLUDF.DUMMYFUNCTION("PROPER(REGEXREPLACE(D252,""[^A-Za-z]+ "",""""))"),"Triceps Conseils")</f>
        <v xml:space="preserve">Triceps Conseils</v>
      </c>
      <c r="G9435" s="18" t="s">
        <v>41178</v>
      </c>
      <c r="H9435" s="18">
        <v>23</v>
      </c>
      <c r="I9435" s="18" t="s">
        <v>39661</v>
      </c>
      <c r="J9435" s="5" t="s">
        <v>41179</v>
      </c>
      <c r="K9435" s="5" t="s">
        <v>39978</v>
      </c>
      <c r="L9435" s="18" t="s">
        <v>10628</v>
      </c>
      <c r="M9435" s="18" t="s">
        <v>29</v>
      </c>
      <c r="N9435" s="18" t="s">
        <v>39979</v>
      </c>
      <c r="O9435" s="18" t="s">
        <v>29</v>
      </c>
      <c r="P9435" s="18" t="s">
        <v>39980</v>
      </c>
      <c r="Q9435" s="6"/>
      <c r="R9435" s="6"/>
      <c r="S9435" s="6"/>
      <c r="T9435" s="6"/>
      <c r="U9435" s="6"/>
    </row>
    <row r="9436" ht="14.25">
      <c r="B9436" s="18" t="s">
        <v>37162</v>
      </c>
      <c r="C9436" s="18" t="s">
        <v>30207</v>
      </c>
      <c r="D9436" s="18" t="s">
        <v>247</v>
      </c>
      <c r="E9436" s="18" t="s">
        <v>40134</v>
      </c>
      <c r="F9436" s="18" t="str">
        <f>IFERROR(__XLUDF.DUMMYFUNCTION("PROPER(REGEXREPLACE(D253,""[^A-Za-z]+ "",""""))"),"Perlib 🌱")</f>
        <v xml:space="preserve">Perlib 🌱</v>
      </c>
      <c r="G9436" s="18" t="s">
        <v>41180</v>
      </c>
      <c r="H9436" s="18">
        <v>44</v>
      </c>
      <c r="I9436" s="18" t="s">
        <v>39661</v>
      </c>
      <c r="J9436" s="5" t="s">
        <v>41181</v>
      </c>
      <c r="K9436" s="5" t="s">
        <v>40137</v>
      </c>
      <c r="L9436" s="18" t="s">
        <v>39</v>
      </c>
      <c r="M9436" s="18" t="s">
        <v>29</v>
      </c>
      <c r="N9436" s="18" t="s">
        <v>67</v>
      </c>
      <c r="O9436" s="18" t="s">
        <v>29</v>
      </c>
      <c r="P9436" s="18" t="s">
        <v>5069</v>
      </c>
      <c r="Q9436" s="6"/>
      <c r="R9436" s="6"/>
      <c r="S9436" s="6"/>
      <c r="T9436" s="6"/>
      <c r="U9436" s="6"/>
    </row>
    <row r="9437" ht="14.25">
      <c r="B9437" s="18" t="s">
        <v>24155</v>
      </c>
      <c r="C9437" s="18" t="s">
        <v>6492</v>
      </c>
      <c r="D9437" s="18" t="s">
        <v>26512</v>
      </c>
      <c r="E9437" s="18" t="s">
        <v>40445</v>
      </c>
      <c r="F9437" s="18" t="str">
        <f>IFERROR(__XLUDF.DUMMYFUNCTION("PROPER(REGEXREPLACE(D254,""[^A-Za-z]+ "",""""))"),"Neat Protect")</f>
        <v xml:space="preserve">Neat Protect</v>
      </c>
      <c r="G9437" s="18" t="s">
        <v>41182</v>
      </c>
      <c r="H9437" s="18">
        <v>64</v>
      </c>
      <c r="I9437" s="18" t="s">
        <v>39661</v>
      </c>
      <c r="J9437" s="5" t="s">
        <v>41183</v>
      </c>
      <c r="K9437" s="5" t="s">
        <v>40448</v>
      </c>
      <c r="L9437" s="18" t="s">
        <v>243</v>
      </c>
      <c r="M9437" s="18" t="s">
        <v>29</v>
      </c>
      <c r="N9437" s="18" t="s">
        <v>67</v>
      </c>
      <c r="O9437" s="18" t="s">
        <v>29</v>
      </c>
      <c r="P9437" s="18" t="s">
        <v>40449</v>
      </c>
      <c r="Q9437" s="6"/>
      <c r="R9437" s="6"/>
      <c r="S9437" s="6"/>
      <c r="T9437" s="6"/>
      <c r="U9437" s="6"/>
    </row>
    <row r="9438" ht="14.25">
      <c r="B9438" s="18" t="s">
        <v>41184</v>
      </c>
      <c r="C9438" s="18" t="s">
        <v>41185</v>
      </c>
      <c r="D9438" s="18" t="s">
        <v>87</v>
      </c>
      <c r="E9438" s="18" t="s">
        <v>41186</v>
      </c>
      <c r="F9438" s="18" t="str">
        <f>IFERROR(__XLUDF.DUMMYFUNCTION("PROPER(REGEXREPLACE(D255,""[^A-Za-z]+ "",""""))"),"April Canada Insurance")</f>
        <v xml:space="preserve">April Canada Insurance</v>
      </c>
      <c r="G9438" s="18" t="s">
        <v>41187</v>
      </c>
      <c r="H9438" s="18">
        <v>41</v>
      </c>
      <c r="I9438" s="18" t="s">
        <v>39661</v>
      </c>
      <c r="J9438" s="5" t="s">
        <v>41188</v>
      </c>
      <c r="K9438" s="5" t="s">
        <v>41189</v>
      </c>
      <c r="L9438" s="18" t="s">
        <v>39</v>
      </c>
      <c r="M9438" s="18" t="s">
        <v>29</v>
      </c>
      <c r="N9438" s="18" t="s">
        <v>41190</v>
      </c>
      <c r="O9438" s="18" t="s">
        <v>2666</v>
      </c>
      <c r="P9438" s="18" t="s">
        <v>41191</v>
      </c>
      <c r="Q9438" s="6"/>
      <c r="R9438" s="6"/>
      <c r="S9438" s="6"/>
      <c r="T9438" s="6"/>
      <c r="U9438" s="6"/>
    </row>
    <row r="9439" ht="14.25">
      <c r="B9439" s="18" t="s">
        <v>1215</v>
      </c>
      <c r="C9439" s="18" t="s">
        <v>41192</v>
      </c>
      <c r="D9439" s="18" t="s">
        <v>112</v>
      </c>
      <c r="E9439" s="18" t="s">
        <v>41193</v>
      </c>
      <c r="F9439" s="18" t="str">
        <f>IFERROR(__XLUDF.DUMMYFUNCTION("PROPER(REGEXREPLACE(D256,""[^A-Za-z]+ "",""""))"),"Prefon")</f>
        <v>Prefon</v>
      </c>
      <c r="G9439" s="18" t="s">
        <v>41194</v>
      </c>
      <c r="H9439" s="18">
        <v>30</v>
      </c>
      <c r="I9439" s="18" t="s">
        <v>39661</v>
      </c>
      <c r="J9439" s="5" t="s">
        <v>41195</v>
      </c>
      <c r="K9439" s="5" t="s">
        <v>41196</v>
      </c>
      <c r="L9439" s="18" t="s">
        <v>39</v>
      </c>
      <c r="M9439" s="18" t="s">
        <v>29</v>
      </c>
      <c r="N9439" s="18" t="s">
        <v>41197</v>
      </c>
      <c r="O9439" s="18" t="s">
        <v>29</v>
      </c>
      <c r="P9439" s="6"/>
      <c r="Q9439" s="6"/>
      <c r="R9439" s="6"/>
      <c r="S9439" s="6"/>
      <c r="T9439" s="6"/>
      <c r="U9439" s="6"/>
    </row>
    <row r="9440" ht="14.25">
      <c r="B9440" s="18" t="s">
        <v>2508</v>
      </c>
      <c r="C9440" s="18" t="s">
        <v>41198</v>
      </c>
      <c r="D9440" s="18" t="s">
        <v>112</v>
      </c>
      <c r="E9440" s="18" t="s">
        <v>41186</v>
      </c>
      <c r="F9440" s="18" t="str">
        <f>IFERROR(__XLUDF.DUMMYFUNCTION("PROPER(REGEXREPLACE(D257,""[^A-Za-z]+ "",""""))"),"April Canada Insurance")</f>
        <v xml:space="preserve">April Canada Insurance</v>
      </c>
      <c r="G9440" s="18" t="s">
        <v>41199</v>
      </c>
      <c r="H9440" s="18">
        <v>41</v>
      </c>
      <c r="I9440" s="18" t="s">
        <v>39661</v>
      </c>
      <c r="J9440" s="5" t="s">
        <v>41200</v>
      </c>
      <c r="K9440" s="5" t="s">
        <v>41189</v>
      </c>
      <c r="L9440" s="18" t="s">
        <v>20846</v>
      </c>
      <c r="M9440" s="18" t="s">
        <v>29</v>
      </c>
      <c r="N9440" s="18" t="s">
        <v>41190</v>
      </c>
      <c r="O9440" s="18" t="s">
        <v>2666</v>
      </c>
      <c r="P9440" s="18" t="s">
        <v>41191</v>
      </c>
      <c r="Q9440" s="6"/>
      <c r="R9440" s="6"/>
      <c r="S9440" s="6"/>
      <c r="T9440" s="6"/>
      <c r="U9440" s="6"/>
    </row>
    <row r="9441" ht="14.25">
      <c r="B9441" s="18" t="s">
        <v>548</v>
      </c>
      <c r="C9441" s="18" t="s">
        <v>26446</v>
      </c>
      <c r="D9441" s="18" t="s">
        <v>41201</v>
      </c>
      <c r="E9441" s="18" t="s">
        <v>40959</v>
      </c>
      <c r="F9441" s="18" t="str">
        <f>IFERROR(__XLUDF.DUMMYFUNCTION("PROPER(REGEXREPLACE(D258,""[^A-Za-z]+ "",""""))"),"Assurup")</f>
        <v>Assurup</v>
      </c>
      <c r="G9441" s="18" t="s">
        <v>41202</v>
      </c>
      <c r="H9441" s="18">
        <v>15</v>
      </c>
      <c r="I9441" s="18" t="s">
        <v>39661</v>
      </c>
      <c r="J9441" s="5" t="s">
        <v>41203</v>
      </c>
      <c r="K9441" s="5" t="s">
        <v>40962</v>
      </c>
      <c r="L9441" s="18" t="s">
        <v>1419</v>
      </c>
      <c r="M9441" s="18" t="s">
        <v>29</v>
      </c>
      <c r="N9441" s="18" t="s">
        <v>31129</v>
      </c>
      <c r="O9441" s="18" t="s">
        <v>29</v>
      </c>
      <c r="P9441" s="18" t="s">
        <v>40963</v>
      </c>
      <c r="Q9441" s="6"/>
      <c r="R9441" s="6"/>
      <c r="S9441" s="6"/>
      <c r="T9441" s="6"/>
      <c r="U9441" s="6"/>
    </row>
    <row r="9442" ht="14.25">
      <c r="B9442" s="18" t="s">
        <v>2419</v>
      </c>
      <c r="C9442" s="18" t="s">
        <v>41204</v>
      </c>
      <c r="D9442" s="18" t="s">
        <v>6545</v>
      </c>
      <c r="E9442" s="18" t="s">
        <v>41205</v>
      </c>
      <c r="F9442" s="18" t="str">
        <f>IFERROR(__XLUDF.DUMMYFUNCTION("PROPER(REGEXREPLACE(D259,""[^A-Za-z]+ "",""""))"),"Sedgwick")</f>
        <v>Sedgwick</v>
      </c>
      <c r="G9442" s="18" t="s">
        <v>41206</v>
      </c>
      <c r="H9442" s="18">
        <v>28</v>
      </c>
      <c r="I9442" s="18" t="s">
        <v>39661</v>
      </c>
      <c r="J9442" s="5" t="s">
        <v>41207</v>
      </c>
      <c r="K9442" s="5" t="s">
        <v>41208</v>
      </c>
      <c r="L9442" s="18" t="s">
        <v>39</v>
      </c>
      <c r="M9442" s="18" t="s">
        <v>29</v>
      </c>
      <c r="N9442" s="18" t="s">
        <v>41209</v>
      </c>
      <c r="O9442" s="18" t="s">
        <v>1261</v>
      </c>
      <c r="P9442" s="6"/>
      <c r="Q9442" s="6"/>
      <c r="R9442" s="6"/>
      <c r="S9442" s="6"/>
      <c r="T9442" s="6"/>
      <c r="U9442" s="6"/>
    </row>
    <row r="9443" ht="14.25">
      <c r="B9443" s="18" t="s">
        <v>1215</v>
      </c>
      <c r="C9443" s="18" t="s">
        <v>41210</v>
      </c>
      <c r="D9443" s="18" t="s">
        <v>172</v>
      </c>
      <c r="E9443" s="18" t="s">
        <v>41211</v>
      </c>
      <c r="F9443" s="18" t="str">
        <f>IFERROR(__XLUDF.DUMMYFUNCTION("PROPER(REGEXREPLACE(D260,""[^A-Za-z]+ "",""""))"),"Coverity")</f>
        <v>Coverity</v>
      </c>
      <c r="G9443" s="18" t="s">
        <v>41212</v>
      </c>
      <c r="H9443" s="18">
        <v>20</v>
      </c>
      <c r="I9443" s="18" t="s">
        <v>39661</v>
      </c>
      <c r="J9443" s="5" t="s">
        <v>41213</v>
      </c>
      <c r="K9443" s="5" t="s">
        <v>41214</v>
      </c>
      <c r="L9443" s="18" t="s">
        <v>3898</v>
      </c>
      <c r="M9443" s="18" t="s">
        <v>29</v>
      </c>
      <c r="N9443" s="18" t="s">
        <v>41215</v>
      </c>
      <c r="O9443" s="18" t="s">
        <v>29</v>
      </c>
      <c r="P9443" s="6"/>
      <c r="Q9443" s="6"/>
      <c r="R9443" s="6"/>
      <c r="S9443" s="6"/>
      <c r="T9443" s="6"/>
      <c r="U9443" s="6"/>
    </row>
    <row r="9444" ht="14.25">
      <c r="B9444" s="18" t="s">
        <v>1667</v>
      </c>
      <c r="C9444" s="18" t="s">
        <v>41216</v>
      </c>
      <c r="D9444" s="18" t="s">
        <v>41217</v>
      </c>
      <c r="E9444" s="18" t="s">
        <v>41218</v>
      </c>
      <c r="F9444" s="18" t="str">
        <f>IFERROR(__XLUDF.DUMMYFUNCTION("PROPER(REGEXREPLACE(D261,""[^A-Za-z]+ "",""""))"),"Dune")</f>
        <v>Dune</v>
      </c>
      <c r="G9444" s="18" t="s">
        <v>41219</v>
      </c>
      <c r="H9444" s="18">
        <v>14</v>
      </c>
      <c r="I9444" s="18" t="s">
        <v>39661</v>
      </c>
      <c r="J9444" s="5" t="s">
        <v>41220</v>
      </c>
      <c r="K9444" s="5" t="s">
        <v>41221</v>
      </c>
      <c r="L9444" s="18" t="s">
        <v>39</v>
      </c>
      <c r="M9444" s="18" t="s">
        <v>29</v>
      </c>
      <c r="N9444" s="18" t="s">
        <v>1084</v>
      </c>
      <c r="O9444" s="18" t="s">
        <v>29</v>
      </c>
      <c r="P9444" s="18" t="s">
        <v>41222</v>
      </c>
      <c r="Q9444" s="6"/>
      <c r="R9444" s="6"/>
      <c r="S9444" s="6"/>
      <c r="T9444" s="6"/>
      <c r="U9444" s="6"/>
    </row>
    <row r="9445" ht="14.25">
      <c r="B9445" s="18" t="s">
        <v>622</v>
      </c>
      <c r="C9445" s="18" t="s">
        <v>41223</v>
      </c>
      <c r="D9445" s="18" t="s">
        <v>172</v>
      </c>
      <c r="E9445" s="18" t="s">
        <v>41224</v>
      </c>
      <c r="F9445" s="18" t="str">
        <f>IFERROR(__XLUDF.DUMMYFUNCTION("PROPER(REGEXREPLACE(D262,""[^A-Za-z]+ "",""""))"),"Kareo Horizon")</f>
        <v xml:space="preserve">Kareo Horizon</v>
      </c>
      <c r="G9445" s="18" t="s">
        <v>41225</v>
      </c>
      <c r="H9445" s="18">
        <v>9</v>
      </c>
      <c r="I9445" s="18" t="s">
        <v>39661</v>
      </c>
      <c r="J9445" s="5" t="s">
        <v>41226</v>
      </c>
      <c r="K9445" s="5" t="s">
        <v>41227</v>
      </c>
      <c r="L9445" s="18" t="s">
        <v>39</v>
      </c>
      <c r="M9445" s="18" t="s">
        <v>29</v>
      </c>
      <c r="N9445" s="18" t="s">
        <v>41228</v>
      </c>
      <c r="O9445" s="18" t="s">
        <v>29</v>
      </c>
      <c r="P9445" s="18" t="s">
        <v>41229</v>
      </c>
      <c r="Q9445" s="6"/>
      <c r="R9445" s="6"/>
      <c r="S9445" s="6"/>
      <c r="T9445" s="6"/>
      <c r="U9445" s="6"/>
    </row>
    <row r="9446" ht="14.25">
      <c r="B9446" s="18" t="s">
        <v>22011</v>
      </c>
      <c r="C9446" s="18" t="s">
        <v>41230</v>
      </c>
      <c r="D9446" s="18" t="s">
        <v>426</v>
      </c>
      <c r="E9446" s="18" t="s">
        <v>41231</v>
      </c>
      <c r="F9446" s="18" t="str">
        <f>IFERROR(__XLUDF.DUMMYFUNCTION("PROPER(REGEXREPLACE(D263,""[^A-Za-z]+ "",""""))"),"Mésange Prévoyance")</f>
        <v xml:space="preserve">Mésange Prévoyance</v>
      </c>
      <c r="G9446" s="18" t="s">
        <v>41232</v>
      </c>
      <c r="H9446" s="18">
        <v>31</v>
      </c>
      <c r="I9446" s="18" t="s">
        <v>39661</v>
      </c>
      <c r="J9446" s="5" t="s">
        <v>41233</v>
      </c>
      <c r="K9446" s="5" t="s">
        <v>41234</v>
      </c>
      <c r="L9446" s="6"/>
      <c r="M9446" s="18" t="s">
        <v>29</v>
      </c>
      <c r="N9446" s="18" t="s">
        <v>41235</v>
      </c>
      <c r="O9446" s="18" t="s">
        <v>29</v>
      </c>
      <c r="P9446" s="18" t="s">
        <v>41236</v>
      </c>
      <c r="Q9446" s="6"/>
      <c r="R9446" s="6"/>
      <c r="S9446" s="6"/>
      <c r="T9446" s="6"/>
      <c r="U9446" s="6"/>
    </row>
    <row r="9447" ht="14.25">
      <c r="B9447" s="18" t="s">
        <v>1583</v>
      </c>
      <c r="C9447" s="18" t="s">
        <v>41237</v>
      </c>
      <c r="D9447" s="18" t="s">
        <v>41238</v>
      </c>
      <c r="E9447" s="18" t="s">
        <v>41239</v>
      </c>
      <c r="F9447" s="18" t="str">
        <f>IFERROR(__XLUDF.DUMMYFUNCTION("PROPER(REGEXREPLACE(D264,""[^A-Za-z]+ "",""""))"),"Lma5P Underwriting")</f>
        <v xml:space="preserve">Lma5P Underwriting</v>
      </c>
      <c r="G9447" s="18" t="s">
        <v>41240</v>
      </c>
      <c r="H9447" s="18">
        <v>2</v>
      </c>
      <c r="I9447" s="18" t="s">
        <v>39661</v>
      </c>
      <c r="J9447" s="5" t="s">
        <v>41241</v>
      </c>
      <c r="K9447" s="5" t="s">
        <v>41242</v>
      </c>
      <c r="L9447" s="18" t="s">
        <v>295</v>
      </c>
      <c r="M9447" s="18" t="s">
        <v>29</v>
      </c>
      <c r="N9447" s="18" t="s">
        <v>41243</v>
      </c>
      <c r="O9447" s="18" t="s">
        <v>29</v>
      </c>
      <c r="P9447" s="18" t="s">
        <v>41244</v>
      </c>
      <c r="Q9447" s="6"/>
      <c r="R9447" s="6"/>
      <c r="S9447" s="6"/>
      <c r="T9447" s="6"/>
      <c r="U9447" s="6"/>
    </row>
    <row r="9448" ht="14.25">
      <c r="B9448" s="18" t="s">
        <v>69</v>
      </c>
      <c r="C9448" s="18" t="s">
        <v>3644</v>
      </c>
      <c r="D9448" s="18" t="s">
        <v>18553</v>
      </c>
      <c r="E9448" s="18" t="s">
        <v>40953</v>
      </c>
      <c r="F9448" s="18" t="str">
        <f>IFERROR(__XLUDF.DUMMYFUNCTION("PROPER(REGEXREPLACE(D265,""[^A-Za-z]+ "",""""))"),"Brokoli")</f>
        <v>Brokoli</v>
      </c>
      <c r="G9448" s="18" t="s">
        <v>41245</v>
      </c>
      <c r="H9448" s="18">
        <v>3</v>
      </c>
      <c r="I9448" s="18" t="s">
        <v>39661</v>
      </c>
      <c r="J9448" s="5" t="s">
        <v>41246</v>
      </c>
      <c r="K9448" s="5" t="s">
        <v>40956</v>
      </c>
      <c r="L9448" s="18" t="s">
        <v>2734</v>
      </c>
      <c r="M9448" s="18" t="s">
        <v>29</v>
      </c>
      <c r="N9448" s="18" t="s">
        <v>40957</v>
      </c>
      <c r="O9448" s="18" t="s">
        <v>1152</v>
      </c>
      <c r="P9448" s="6"/>
      <c r="Q9448" s="6"/>
      <c r="R9448" s="6"/>
      <c r="S9448" s="6"/>
      <c r="T9448" s="6"/>
      <c r="U9448" s="6"/>
    </row>
    <row r="9449" ht="14.25">
      <c r="B9449" s="18" t="s">
        <v>355</v>
      </c>
      <c r="C9449" s="18" t="s">
        <v>41247</v>
      </c>
      <c r="D9449" s="18" t="s">
        <v>172</v>
      </c>
      <c r="E9449" s="18" t="s">
        <v>41248</v>
      </c>
      <c r="F9449" s="18" t="str">
        <f>IFERROR(__XLUDF.DUMMYFUNCTION("PROPER(REGEXREPLACE(D266,""[^A-Za-z]+ "",""""))"),"La Securite Familiale")</f>
        <v xml:space="preserve">La Securite Familiale</v>
      </c>
      <c r="G9449" s="18" t="s">
        <v>41249</v>
      </c>
      <c r="H9449" s="18">
        <v>7</v>
      </c>
      <c r="I9449" s="18" t="s">
        <v>39661</v>
      </c>
      <c r="J9449" s="5" t="s">
        <v>41250</v>
      </c>
      <c r="K9449" s="5" t="s">
        <v>41251</v>
      </c>
      <c r="L9449" s="18" t="s">
        <v>39</v>
      </c>
      <c r="M9449" s="18" t="s">
        <v>29</v>
      </c>
      <c r="N9449" s="18" t="s">
        <v>67</v>
      </c>
      <c r="O9449" s="18" t="s">
        <v>29</v>
      </c>
      <c r="P9449" s="18" t="s">
        <v>41252</v>
      </c>
      <c r="Q9449" s="6"/>
      <c r="R9449" s="6"/>
      <c r="S9449" s="6"/>
      <c r="T9449" s="6"/>
      <c r="U9449" s="6"/>
    </row>
    <row r="9450" ht="14.25">
      <c r="B9450" s="18" t="s">
        <v>16196</v>
      </c>
      <c r="C9450" s="18" t="s">
        <v>41253</v>
      </c>
      <c r="D9450" s="18" t="s">
        <v>172</v>
      </c>
      <c r="E9450" s="18" t="s">
        <v>41254</v>
      </c>
      <c r="F9450" s="18" t="str">
        <f>IFERROR(__XLUDF.DUMMYFUNCTION("PROPER(REGEXREPLACE(D267,""[^A-Za-z]+ "",""""))"),"Union Des Assisteurs")</f>
        <v xml:space="preserve">Union Des Assisteurs</v>
      </c>
      <c r="G9450" s="18" t="s">
        <v>41255</v>
      </c>
      <c r="H9450" s="18">
        <v>15</v>
      </c>
      <c r="I9450" s="18" t="s">
        <v>39661</v>
      </c>
      <c r="J9450" s="5" t="s">
        <v>41256</v>
      </c>
      <c r="K9450" s="5" t="s">
        <v>41257</v>
      </c>
      <c r="L9450" s="6"/>
      <c r="M9450" s="18" t="s">
        <v>29</v>
      </c>
      <c r="N9450" s="18" t="s">
        <v>41258</v>
      </c>
      <c r="O9450" s="18" t="s">
        <v>29</v>
      </c>
      <c r="P9450" s="18" t="s">
        <v>41259</v>
      </c>
      <c r="Q9450" s="6"/>
      <c r="R9450" s="6"/>
      <c r="S9450" s="6"/>
      <c r="T9450" s="6"/>
      <c r="U9450" s="6"/>
    </row>
    <row r="9451" ht="14.25">
      <c r="B9451" s="18" t="s">
        <v>4961</v>
      </c>
      <c r="C9451" s="18" t="s">
        <v>41260</v>
      </c>
      <c r="D9451" s="18" t="s">
        <v>172</v>
      </c>
      <c r="E9451" s="18" t="s">
        <v>41261</v>
      </c>
      <c r="F9451" s="18" t="str">
        <f>IFERROR(__XLUDF.DUMMYFUNCTION("PROPER(REGEXREPLACE(D268,""[^A-Za-z]+ "",""""))"),"Airbag Courtage")</f>
        <v xml:space="preserve">Airbag Courtage</v>
      </c>
      <c r="G9451" s="18" t="s">
        <v>41262</v>
      </c>
      <c r="H9451" s="18">
        <v>13</v>
      </c>
      <c r="I9451" s="18" t="s">
        <v>39661</v>
      </c>
      <c r="J9451" s="5" t="s">
        <v>41263</v>
      </c>
      <c r="K9451" s="5" t="s">
        <v>41264</v>
      </c>
      <c r="L9451" s="18" t="s">
        <v>39</v>
      </c>
      <c r="M9451" s="18" t="s">
        <v>29</v>
      </c>
      <c r="N9451" s="18" t="s">
        <v>41265</v>
      </c>
      <c r="O9451" s="18" t="s">
        <v>29</v>
      </c>
      <c r="P9451" s="18" t="s">
        <v>41266</v>
      </c>
      <c r="Q9451" s="6"/>
      <c r="R9451" s="6"/>
      <c r="S9451" s="6"/>
      <c r="T9451" s="6"/>
      <c r="U9451" s="6"/>
    </row>
    <row r="9452" ht="14.25">
      <c r="B9452" s="18" t="s">
        <v>41267</v>
      </c>
      <c r="C9452" s="18" t="s">
        <v>6179</v>
      </c>
      <c r="D9452" s="18" t="s">
        <v>198</v>
      </c>
      <c r="E9452" s="18" t="s">
        <v>41268</v>
      </c>
      <c r="F9452" s="18" t="str">
        <f>IFERROR(__XLUDF.DUMMYFUNCTION("PROPER(REGEXREPLACE(D269,""[^A-Za-z]+ "",""""))"),"Madp Assurances")</f>
        <v xml:space="preserve">Madp Assurances</v>
      </c>
      <c r="G9452" s="18" t="s">
        <v>41269</v>
      </c>
      <c r="H9452" s="18">
        <v>24</v>
      </c>
      <c r="I9452" s="18" t="s">
        <v>39661</v>
      </c>
      <c r="J9452" s="5" t="s">
        <v>41270</v>
      </c>
      <c r="K9452" s="5" t="s">
        <v>41271</v>
      </c>
      <c r="L9452" s="18" t="s">
        <v>39</v>
      </c>
      <c r="M9452" s="18" t="s">
        <v>29</v>
      </c>
      <c r="N9452" s="18" t="s">
        <v>41272</v>
      </c>
      <c r="O9452" s="18" t="s">
        <v>29</v>
      </c>
      <c r="P9452" s="18" t="s">
        <v>41273</v>
      </c>
      <c r="Q9452" s="6"/>
      <c r="R9452" s="6"/>
      <c r="S9452" s="6"/>
      <c r="T9452" s="6"/>
      <c r="U9452" s="6"/>
    </row>
    <row r="9453" ht="14.25">
      <c r="B9453" s="18" t="s">
        <v>4115</v>
      </c>
      <c r="C9453" s="18" t="s">
        <v>41274</v>
      </c>
      <c r="D9453" s="18" t="s">
        <v>172</v>
      </c>
      <c r="E9453" s="18" t="s">
        <v>40458</v>
      </c>
      <c r="F9453" s="18" t="str">
        <f>IFERROR(__XLUDF.DUMMYFUNCTION("PROPER(REGEXREPLACE(D270,""[^A-Za-z]+ "",""""))"),"Epargne Family")</f>
        <v xml:space="preserve">Epargne Family</v>
      </c>
      <c r="G9453" s="18" t="s">
        <v>41275</v>
      </c>
      <c r="H9453" s="18">
        <v>6</v>
      </c>
      <c r="I9453" s="18" t="s">
        <v>39661</v>
      </c>
      <c r="J9453" s="5" t="s">
        <v>41276</v>
      </c>
      <c r="K9453" s="5" t="s">
        <v>40461</v>
      </c>
      <c r="L9453" s="18" t="s">
        <v>39</v>
      </c>
      <c r="M9453" s="18" t="s">
        <v>29</v>
      </c>
      <c r="N9453" s="18" t="s">
        <v>40462</v>
      </c>
      <c r="O9453" s="18" t="s">
        <v>29</v>
      </c>
      <c r="P9453" s="18" t="s">
        <v>40463</v>
      </c>
      <c r="Q9453" s="6"/>
      <c r="R9453" s="6"/>
      <c r="S9453" s="6"/>
      <c r="T9453" s="6"/>
      <c r="U9453" s="6"/>
    </row>
    <row r="9454" ht="14.25">
      <c r="B9454" s="18" t="s">
        <v>1198</v>
      </c>
      <c r="C9454" s="18" t="s">
        <v>41277</v>
      </c>
      <c r="D9454" s="18" t="s">
        <v>87</v>
      </c>
      <c r="E9454" s="18" t="s">
        <v>41278</v>
      </c>
      <c r="F9454" s="18" t="str">
        <f>IFERROR(__XLUDF.DUMMYFUNCTION("PROPER(REGEXREPLACE(D271,""[^A-Za-z]+ "",""""))"),"I4Ct")</f>
        <v>I4Ct</v>
      </c>
      <c r="G9454" s="18" t="s">
        <v>41279</v>
      </c>
      <c r="H9454" s="18">
        <v>5</v>
      </c>
      <c r="I9454" s="18" t="s">
        <v>39661</v>
      </c>
      <c r="J9454" s="5" t="s">
        <v>41280</v>
      </c>
      <c r="K9454" s="5" t="s">
        <v>41281</v>
      </c>
      <c r="L9454" s="6"/>
      <c r="M9454" s="18" t="s">
        <v>29</v>
      </c>
      <c r="N9454" s="18" t="s">
        <v>41282</v>
      </c>
      <c r="O9454" s="18" t="s">
        <v>29</v>
      </c>
      <c r="P9454" s="18" t="s">
        <v>41283</v>
      </c>
      <c r="Q9454" s="6"/>
      <c r="R9454" s="6"/>
      <c r="S9454" s="6"/>
      <c r="T9454" s="6"/>
      <c r="U9454" s="6"/>
    </row>
    <row r="9455" ht="14.25">
      <c r="B9455" s="18" t="s">
        <v>3142</v>
      </c>
      <c r="C9455" s="18" t="s">
        <v>41284</v>
      </c>
      <c r="D9455" s="18" t="s">
        <v>62</v>
      </c>
      <c r="E9455" s="18" t="s">
        <v>40272</v>
      </c>
      <c r="F9455" s="18" t="str">
        <f>IFERROR(__XLUDF.DUMMYFUNCTION("PROPER(REGEXREPLACE(D272,""[^A-Za-z]+ "",""""))"),"Créa Conseil")</f>
        <v xml:space="preserve">Créa Conseil</v>
      </c>
      <c r="G9455" s="18" t="s">
        <v>41285</v>
      </c>
      <c r="H9455" s="18">
        <v>5</v>
      </c>
      <c r="I9455" s="18" t="s">
        <v>39661</v>
      </c>
      <c r="J9455" s="5" t="s">
        <v>41286</v>
      </c>
      <c r="K9455" s="5" t="s">
        <v>40275</v>
      </c>
      <c r="L9455" s="18" t="s">
        <v>11716</v>
      </c>
      <c r="M9455" s="18" t="s">
        <v>29</v>
      </c>
      <c r="N9455" s="18" t="s">
        <v>40276</v>
      </c>
      <c r="O9455" s="18" t="s">
        <v>29</v>
      </c>
      <c r="P9455" s="18" t="s">
        <v>40277</v>
      </c>
      <c r="Q9455" s="6"/>
      <c r="R9455" s="6"/>
      <c r="S9455" s="6"/>
      <c r="T9455" s="6"/>
      <c r="U9455" s="6"/>
    </row>
    <row r="9456" ht="14.25">
      <c r="B9456" s="18" t="s">
        <v>1153</v>
      </c>
      <c r="C9456" s="18" t="s">
        <v>23769</v>
      </c>
      <c r="D9456" s="18" t="s">
        <v>41287</v>
      </c>
      <c r="E9456" s="18" t="s">
        <v>41288</v>
      </c>
      <c r="F9456" s="18" t="str">
        <f>IFERROR(__XLUDF.DUMMYFUNCTION("PROPER(REGEXREPLACE(D273,""[^A-Za-z]+ "",""""))"),"Oib Solutions")</f>
        <v xml:space="preserve">Oib Solutions</v>
      </c>
      <c r="G9456" s="18" t="s">
        <v>41289</v>
      </c>
      <c r="H9456" s="18">
        <v>8</v>
      </c>
      <c r="I9456" s="18" t="s">
        <v>39661</v>
      </c>
      <c r="J9456" s="5" t="s">
        <v>41290</v>
      </c>
      <c r="K9456" s="5" t="s">
        <v>41291</v>
      </c>
      <c r="L9456" s="18" t="s">
        <v>39</v>
      </c>
      <c r="M9456" s="18" t="s">
        <v>29</v>
      </c>
      <c r="N9456" s="18" t="s">
        <v>67</v>
      </c>
      <c r="O9456" s="18" t="s">
        <v>29</v>
      </c>
      <c r="P9456" s="6"/>
      <c r="Q9456" s="6"/>
      <c r="R9456" s="6"/>
      <c r="S9456" s="6"/>
      <c r="T9456" s="6"/>
      <c r="U9456" s="6"/>
    </row>
    <row r="9457" ht="14.25">
      <c r="B9457" s="18" t="s">
        <v>36322</v>
      </c>
      <c r="C9457" s="18" t="s">
        <v>41292</v>
      </c>
      <c r="D9457" s="18" t="s">
        <v>19017</v>
      </c>
      <c r="E9457" s="18" t="s">
        <v>41293</v>
      </c>
      <c r="F9457" s="18" t="str">
        <f>IFERROR(__XLUDF.DUMMYFUNCTION("PROPER(REGEXREPLACE(D274,""[^A-Za-z]+ "",""""))"),"Premium France")</f>
        <v xml:space="preserve">Premium France</v>
      </c>
      <c r="G9457" s="18" t="s">
        <v>41294</v>
      </c>
      <c r="H9457" s="18">
        <v>1</v>
      </c>
      <c r="I9457" s="18" t="s">
        <v>39661</v>
      </c>
      <c r="J9457" s="5" t="s">
        <v>41295</v>
      </c>
      <c r="K9457" s="5" t="s">
        <v>41296</v>
      </c>
      <c r="L9457" s="18" t="s">
        <v>39</v>
      </c>
      <c r="M9457" s="18" t="s">
        <v>29</v>
      </c>
      <c r="N9457" s="6"/>
      <c r="O9457" s="6"/>
      <c r="P9457" s="6"/>
      <c r="Q9457" s="6"/>
      <c r="R9457" s="6"/>
      <c r="S9457" s="6"/>
      <c r="T9457" s="6"/>
      <c r="U9457" s="6"/>
    </row>
    <row r="9458" ht="14.25">
      <c r="B9458" s="18" t="s">
        <v>1562</v>
      </c>
      <c r="C9458" s="18" t="s">
        <v>41297</v>
      </c>
      <c r="D9458" s="18" t="s">
        <v>87</v>
      </c>
      <c r="E9458" s="18" t="s">
        <v>40129</v>
      </c>
      <c r="F9458" s="18" t="str">
        <f>IFERROR(__XLUDF.DUMMYFUNCTION("PROPER(REGEXREPLACE(D275,""[^A-Za-z]+ "",""""))"),"Zenioo")</f>
        <v>Zenioo</v>
      </c>
      <c r="G9458" s="18" t="s">
        <v>41298</v>
      </c>
      <c r="H9458" s="18">
        <v>26</v>
      </c>
      <c r="I9458" s="18" t="s">
        <v>39661</v>
      </c>
      <c r="J9458" s="5" t="s">
        <v>41299</v>
      </c>
      <c r="K9458" s="5" t="s">
        <v>40132</v>
      </c>
      <c r="L9458" s="18" t="s">
        <v>185</v>
      </c>
      <c r="M9458" s="18" t="s">
        <v>29</v>
      </c>
      <c r="N9458" s="18" t="s">
        <v>40049</v>
      </c>
      <c r="O9458" s="18" t="s">
        <v>29</v>
      </c>
      <c r="P9458" s="18" t="s">
        <v>40133</v>
      </c>
      <c r="Q9458" s="6"/>
      <c r="R9458" s="6"/>
      <c r="S9458" s="6"/>
      <c r="T9458" s="6"/>
      <c r="U9458" s="6"/>
    </row>
    <row r="9459" ht="14.25">
      <c r="B9459" s="18" t="s">
        <v>355</v>
      </c>
      <c r="C9459" s="18" t="s">
        <v>41300</v>
      </c>
      <c r="D9459" s="18" t="s">
        <v>41301</v>
      </c>
      <c r="E9459" s="18" t="s">
        <v>41302</v>
      </c>
      <c r="F9459" s="18" t="str">
        <f>IFERROR(__XLUDF.DUMMYFUNCTION("PROPER(REGEXREPLACE(D276,""[^A-Za-z]+ "",""""))"),"Asteria Patrimoine")</f>
        <v xml:space="preserve">Asteria Patrimoine</v>
      </c>
      <c r="G9459" s="18" t="s">
        <v>41303</v>
      </c>
      <c r="H9459" s="18">
        <v>3</v>
      </c>
      <c r="I9459" s="18" t="s">
        <v>14257</v>
      </c>
      <c r="J9459" s="5" t="s">
        <v>41304</v>
      </c>
      <c r="K9459" s="5" t="s">
        <v>41305</v>
      </c>
      <c r="L9459" s="18" t="s">
        <v>41306</v>
      </c>
      <c r="M9459" s="18" t="s">
        <v>29</v>
      </c>
      <c r="N9459" s="18" t="s">
        <v>41307</v>
      </c>
      <c r="O9459" s="18" t="s">
        <v>29</v>
      </c>
      <c r="P9459" s="6"/>
      <c r="Q9459" s="6"/>
      <c r="R9459" s="6"/>
      <c r="S9459" s="6"/>
      <c r="T9459" s="6"/>
      <c r="U9459" s="6"/>
    </row>
    <row r="9460" ht="14.25">
      <c r="B9460" s="18" t="s">
        <v>1596</v>
      </c>
      <c r="C9460" s="18" t="s">
        <v>41308</v>
      </c>
      <c r="D9460" s="18" t="s">
        <v>112</v>
      </c>
      <c r="E9460" s="18" t="s">
        <v>41309</v>
      </c>
      <c r="F9460" s="18" t="str">
        <f>IFERROR(__XLUDF.DUMMYFUNCTION("PROPER(REGEXREPLACE(D277,""[^A-Za-z]+ "",""""))"),"Groupe Prunay")</f>
        <v xml:space="preserve">Groupe Prunay</v>
      </c>
      <c r="G9460" s="18" t="s">
        <v>41310</v>
      </c>
      <c r="H9460" s="18">
        <v>28</v>
      </c>
      <c r="I9460" s="18" t="s">
        <v>39661</v>
      </c>
      <c r="J9460" s="5" t="s">
        <v>41311</v>
      </c>
      <c r="K9460" s="5" t="s">
        <v>41312</v>
      </c>
      <c r="L9460" s="6"/>
      <c r="M9460" s="18" t="s">
        <v>29</v>
      </c>
      <c r="N9460" s="18" t="s">
        <v>41313</v>
      </c>
      <c r="O9460" s="18" t="s">
        <v>29</v>
      </c>
      <c r="P9460" s="6"/>
      <c r="Q9460" s="6"/>
      <c r="R9460" s="6"/>
      <c r="S9460" s="6"/>
      <c r="T9460" s="6"/>
      <c r="U9460" s="6"/>
    </row>
    <row r="9461" ht="14.25">
      <c r="B9461" s="18" t="s">
        <v>41314</v>
      </c>
      <c r="C9461" s="18" t="s">
        <v>41315</v>
      </c>
      <c r="D9461" s="18" t="s">
        <v>365</v>
      </c>
      <c r="E9461" s="18" t="s">
        <v>41316</v>
      </c>
      <c r="F9461" s="18" t="str">
        <f>IFERROR(__XLUDF.DUMMYFUNCTION("PROPER(REGEXREPLACE(D278,""[^A-Za-z]+ "",""""))"),"Lyanne")</f>
        <v>Lyanne</v>
      </c>
      <c r="G9461" s="18" t="s">
        <v>41317</v>
      </c>
      <c r="H9461" s="18">
        <v>5</v>
      </c>
      <c r="I9461" s="18" t="s">
        <v>39661</v>
      </c>
      <c r="J9461" s="5" t="s">
        <v>41318</v>
      </c>
      <c r="K9461" s="5" t="s">
        <v>41319</v>
      </c>
      <c r="L9461" s="18" t="s">
        <v>39</v>
      </c>
      <c r="M9461" s="18" t="s">
        <v>29</v>
      </c>
      <c r="N9461" s="18" t="s">
        <v>1245</v>
      </c>
      <c r="O9461" s="18" t="s">
        <v>29</v>
      </c>
      <c r="P9461" s="18" t="s">
        <v>41320</v>
      </c>
      <c r="Q9461" s="6"/>
      <c r="R9461" s="6"/>
      <c r="S9461" s="6"/>
      <c r="T9461" s="6"/>
      <c r="U9461" s="6"/>
    </row>
    <row r="9462" ht="14.25">
      <c r="B9462" s="18" t="s">
        <v>76</v>
      </c>
      <c r="C9462" s="18" t="s">
        <v>41321</v>
      </c>
      <c r="D9462" s="18" t="s">
        <v>172</v>
      </c>
      <c r="E9462" s="18" t="s">
        <v>41322</v>
      </c>
      <c r="F9462" s="18" t="str">
        <f>IFERROR(__XLUDF.DUMMYFUNCTION("PROPER(REGEXREPLACE(D279,""[^A-Za-z]+ "",""""))"),"Saam Verspieren Group")</f>
        <v xml:space="preserve">Saam Verspieren Group</v>
      </c>
      <c r="G9462" s="18" t="s">
        <v>41323</v>
      </c>
      <c r="H9462" s="18">
        <v>38</v>
      </c>
      <c r="I9462" s="18" t="s">
        <v>39661</v>
      </c>
      <c r="J9462" s="5" t="s">
        <v>41324</v>
      </c>
      <c r="K9462" s="5" t="s">
        <v>41325</v>
      </c>
      <c r="L9462" s="18" t="s">
        <v>39</v>
      </c>
      <c r="M9462" s="18" t="s">
        <v>29</v>
      </c>
      <c r="N9462" s="18" t="s">
        <v>41326</v>
      </c>
      <c r="O9462" s="18" t="s">
        <v>29</v>
      </c>
      <c r="P9462" s="18" t="s">
        <v>41327</v>
      </c>
      <c r="Q9462" s="6"/>
      <c r="R9462" s="6"/>
      <c r="S9462" s="6"/>
      <c r="T9462" s="6"/>
      <c r="U9462" s="6"/>
    </row>
    <row r="9463" ht="14.25">
      <c r="B9463" s="18" t="s">
        <v>622</v>
      </c>
      <c r="C9463" s="18" t="s">
        <v>41328</v>
      </c>
      <c r="D9463" s="18" t="s">
        <v>172</v>
      </c>
      <c r="E9463" s="18" t="s">
        <v>41329</v>
      </c>
      <c r="F9463" s="18" t="str">
        <f>IFERROR(__XLUDF.DUMMYFUNCTION("PROPER(REGEXREPLACE(D280,""[^A-Za-z]+ "",""""))"),"Gea Assurances")</f>
        <v xml:space="preserve">Gea Assurances</v>
      </c>
      <c r="G9463" s="18" t="s">
        <v>41330</v>
      </c>
      <c r="H9463" s="18">
        <v>7</v>
      </c>
      <c r="I9463" s="18" t="s">
        <v>39661</v>
      </c>
      <c r="J9463" s="5" t="s">
        <v>41331</v>
      </c>
      <c r="K9463" s="5" t="s">
        <v>41332</v>
      </c>
      <c r="L9463" s="18" t="s">
        <v>39</v>
      </c>
      <c r="M9463" s="18" t="s">
        <v>29</v>
      </c>
      <c r="N9463" s="18" t="s">
        <v>41333</v>
      </c>
      <c r="O9463" s="18" t="s">
        <v>29</v>
      </c>
      <c r="P9463" s="18" t="s">
        <v>41334</v>
      </c>
      <c r="Q9463" s="6"/>
      <c r="R9463" s="6"/>
      <c r="S9463" s="6"/>
      <c r="T9463" s="6"/>
      <c r="U9463" s="6"/>
    </row>
    <row r="9464" ht="14.25">
      <c r="B9464" s="18" t="s">
        <v>41335</v>
      </c>
      <c r="C9464" s="18" t="s">
        <v>41336</v>
      </c>
      <c r="D9464" s="18" t="s">
        <v>172</v>
      </c>
      <c r="E9464" s="18" t="s">
        <v>40165</v>
      </c>
      <c r="F9464" s="18" t="str">
        <f>IFERROR(__XLUDF.DUMMYFUNCTION("PROPER(REGEXREPLACE(D281,""[^A-Za-z]+ "",""""))"),"Aiac Courtage")</f>
        <v xml:space="preserve">Aiac Courtage</v>
      </c>
      <c r="G9464" s="18" t="s">
        <v>41337</v>
      </c>
      <c r="H9464" s="18">
        <v>34</v>
      </c>
      <c r="I9464" s="18" t="s">
        <v>39661</v>
      </c>
      <c r="J9464" s="5" t="s">
        <v>41338</v>
      </c>
      <c r="K9464" s="5" t="s">
        <v>40168</v>
      </c>
      <c r="L9464" s="18" t="s">
        <v>39</v>
      </c>
      <c r="M9464" s="18" t="s">
        <v>29</v>
      </c>
      <c r="N9464" s="18" t="s">
        <v>40169</v>
      </c>
      <c r="O9464" s="18" t="s">
        <v>29</v>
      </c>
      <c r="P9464" s="18" t="s">
        <v>40170</v>
      </c>
      <c r="Q9464" s="6"/>
      <c r="R9464" s="6"/>
      <c r="S9464" s="6"/>
      <c r="T9464" s="6"/>
      <c r="U9464" s="6"/>
    </row>
    <row r="9465" ht="14.25">
      <c r="B9465" s="18" t="s">
        <v>769</v>
      </c>
      <c r="C9465" s="18" t="s">
        <v>41339</v>
      </c>
      <c r="D9465" s="18" t="s">
        <v>41340</v>
      </c>
      <c r="E9465" s="18" t="s">
        <v>39710</v>
      </c>
      <c r="F9465" s="18" t="str">
        <f>IFERROR(__XLUDF.DUMMYFUNCTION("PROPER(REGEXREPLACE(D282,""[^A-Za-z]+ "",""""))"),"Secursus")</f>
        <v>Secursus</v>
      </c>
      <c r="G9465" s="18" t="s">
        <v>41341</v>
      </c>
      <c r="H9465" s="18">
        <v>11</v>
      </c>
      <c r="I9465" s="18" t="s">
        <v>39661</v>
      </c>
      <c r="J9465" s="5" t="s">
        <v>41342</v>
      </c>
      <c r="K9465" s="5" t="s">
        <v>39713</v>
      </c>
      <c r="L9465" s="18" t="s">
        <v>39</v>
      </c>
      <c r="M9465" s="18" t="s">
        <v>29</v>
      </c>
      <c r="N9465" s="18" t="s">
        <v>39714</v>
      </c>
      <c r="O9465" s="18" t="s">
        <v>29</v>
      </c>
      <c r="P9465" s="18" t="s">
        <v>39715</v>
      </c>
      <c r="Q9465" s="6"/>
      <c r="R9465" s="6"/>
      <c r="S9465" s="6"/>
      <c r="T9465" s="6"/>
      <c r="U9465" s="6"/>
    </row>
    <row r="9466" ht="14.25">
      <c r="B9466" s="18" t="s">
        <v>4115</v>
      </c>
      <c r="C9466" s="18" t="s">
        <v>41343</v>
      </c>
      <c r="D9466" s="18" t="s">
        <v>341</v>
      </c>
      <c r="E9466" s="18" t="s">
        <v>41344</v>
      </c>
      <c r="F9466" s="18" t="str">
        <f>IFERROR(__XLUDF.DUMMYFUNCTION("PROPER(REGEXREPLACE(D283,""[^A-Za-z]+ "",""""))"),"Rhéa Assurance")</f>
        <v xml:space="preserve">Rhéa Assurance</v>
      </c>
      <c r="G9466" s="18" t="s">
        <v>41345</v>
      </c>
      <c r="H9466" s="18">
        <v>4</v>
      </c>
      <c r="I9466" s="18" t="s">
        <v>39661</v>
      </c>
      <c r="J9466" s="5" t="s">
        <v>41346</v>
      </c>
      <c r="K9466" s="5" t="s">
        <v>41347</v>
      </c>
      <c r="L9466" s="18" t="s">
        <v>6489</v>
      </c>
      <c r="M9466" s="18" t="s">
        <v>29</v>
      </c>
      <c r="N9466" s="18" t="s">
        <v>41348</v>
      </c>
      <c r="O9466" s="18" t="s">
        <v>29</v>
      </c>
      <c r="P9466" s="18" t="s">
        <v>41349</v>
      </c>
      <c r="Q9466" s="6"/>
      <c r="R9466" s="6"/>
      <c r="S9466" s="6"/>
      <c r="T9466" s="6"/>
      <c r="U9466" s="6"/>
    </row>
    <row r="9467" ht="14.25">
      <c r="B9467" s="18" t="s">
        <v>1853</v>
      </c>
      <c r="C9467" s="18" t="s">
        <v>41350</v>
      </c>
      <c r="D9467" s="18" t="s">
        <v>41351</v>
      </c>
      <c r="E9467" s="18" t="s">
        <v>41352</v>
      </c>
      <c r="F9467" s="18" t="str">
        <f>IFERROR(__XLUDF.DUMMYFUNCTION("PROPER(REGEXREPLACE(D284,""[^A-Za-z]+ "",""""))"),"Chouette Assurance")</f>
        <v xml:space="preserve">Chouette Assurance</v>
      </c>
      <c r="G9467" s="18" t="s">
        <v>41353</v>
      </c>
      <c r="H9467" s="18">
        <v>3</v>
      </c>
      <c r="I9467" s="18" t="s">
        <v>39661</v>
      </c>
      <c r="J9467" s="5" t="s">
        <v>41354</v>
      </c>
      <c r="K9467" s="5" t="s">
        <v>41355</v>
      </c>
      <c r="L9467" s="18" t="s">
        <v>39</v>
      </c>
      <c r="M9467" s="18" t="s">
        <v>29</v>
      </c>
      <c r="N9467" s="18" t="s">
        <v>41356</v>
      </c>
      <c r="O9467" s="18" t="s">
        <v>29</v>
      </c>
      <c r="P9467" s="18" t="s">
        <v>41357</v>
      </c>
      <c r="Q9467" s="6"/>
      <c r="R9467" s="6"/>
      <c r="S9467" s="6"/>
      <c r="T9467" s="6"/>
      <c r="U9467" s="6"/>
    </row>
    <row r="9468" ht="14.25">
      <c r="B9468" s="18" t="s">
        <v>41358</v>
      </c>
      <c r="C9468" s="18" t="s">
        <v>41359</v>
      </c>
      <c r="D9468" s="18" t="s">
        <v>41360</v>
      </c>
      <c r="E9468" s="18" t="s">
        <v>40833</v>
      </c>
      <c r="F9468" s="18" t="str">
        <f>IFERROR(__XLUDF.DUMMYFUNCTION("PROPER(REGEXREPLACE(D285,""[^A-Za-z]+ "",""""))"),"Assur3D")</f>
        <v>Assur3D</v>
      </c>
      <c r="G9468" s="18" t="s">
        <v>41361</v>
      </c>
      <c r="H9468" s="18">
        <v>3</v>
      </c>
      <c r="I9468" s="18" t="s">
        <v>39661</v>
      </c>
      <c r="J9468" s="5" t="s">
        <v>41362</v>
      </c>
      <c r="K9468" s="5" t="s">
        <v>40836</v>
      </c>
      <c r="L9468" s="18" t="s">
        <v>39</v>
      </c>
      <c r="M9468" s="18" t="s">
        <v>29</v>
      </c>
      <c r="N9468" s="18" t="s">
        <v>40837</v>
      </c>
      <c r="O9468" s="18" t="s">
        <v>29</v>
      </c>
      <c r="P9468" s="18" t="s">
        <v>40838</v>
      </c>
      <c r="Q9468" s="6"/>
      <c r="R9468" s="6"/>
      <c r="S9468" s="6"/>
      <c r="T9468" s="6"/>
      <c r="U9468" s="6"/>
    </row>
    <row r="9469" ht="14.25">
      <c r="B9469" s="18" t="s">
        <v>5716</v>
      </c>
      <c r="C9469" s="18" t="s">
        <v>41363</v>
      </c>
      <c r="D9469" s="18" t="s">
        <v>41364</v>
      </c>
      <c r="E9469" s="18" t="s">
        <v>41365</v>
      </c>
      <c r="F9469" s="18" t="str">
        <f>IFERROR(__XLUDF.DUMMYFUNCTION("PROPER(REGEXREPLACE(D286,""[^A-Za-z]+ "",""""))"),"Rickochet")</f>
        <v>Rickochet</v>
      </c>
      <c r="G9469" s="18" t="s">
        <v>41366</v>
      </c>
      <c r="H9469" s="18">
        <v>0</v>
      </c>
      <c r="I9469" s="18" t="s">
        <v>39661</v>
      </c>
      <c r="J9469" s="5" t="s">
        <v>41367</v>
      </c>
      <c r="K9469" s="5" t="s">
        <v>41368</v>
      </c>
      <c r="L9469" s="18" t="s">
        <v>39</v>
      </c>
      <c r="M9469" s="18" t="s">
        <v>29</v>
      </c>
      <c r="N9469" s="18" t="s">
        <v>67</v>
      </c>
      <c r="O9469" s="18" t="s">
        <v>29</v>
      </c>
      <c r="P9469" s="18" t="s">
        <v>41369</v>
      </c>
      <c r="Q9469" s="6"/>
      <c r="R9469" s="6"/>
      <c r="S9469" s="6"/>
      <c r="T9469" s="6"/>
      <c r="U9469" s="6"/>
    </row>
    <row r="9470" ht="14.25">
      <c r="B9470" s="18" t="s">
        <v>22377</v>
      </c>
      <c r="C9470" s="18" t="s">
        <v>41370</v>
      </c>
      <c r="D9470" s="18" t="s">
        <v>172</v>
      </c>
      <c r="E9470" s="18" t="s">
        <v>41371</v>
      </c>
      <c r="F9470" s="18" t="str">
        <f>IFERROR(__XLUDF.DUMMYFUNCTION("PROPER(REGEXREPLACE(D287,""[^A-Za-z]+ "",""""))"),"Infocea")</f>
        <v>Infocea</v>
      </c>
      <c r="G9470" s="18" t="s">
        <v>41372</v>
      </c>
      <c r="H9470" s="18">
        <v>11</v>
      </c>
      <c r="I9470" s="18" t="s">
        <v>39661</v>
      </c>
      <c r="J9470" s="5" t="s">
        <v>41373</v>
      </c>
      <c r="K9470" s="5" t="s">
        <v>41374</v>
      </c>
      <c r="L9470" s="18" t="s">
        <v>1711</v>
      </c>
      <c r="M9470" s="18" t="s">
        <v>29</v>
      </c>
      <c r="N9470" s="18" t="s">
        <v>41375</v>
      </c>
      <c r="O9470" s="18" t="s">
        <v>29</v>
      </c>
      <c r="P9470" s="18" t="s">
        <v>41376</v>
      </c>
      <c r="Q9470" s="6"/>
      <c r="R9470" s="6"/>
      <c r="S9470" s="6"/>
      <c r="T9470" s="6"/>
      <c r="U9470" s="6"/>
    </row>
    <row r="9471" ht="14.25">
      <c r="B9471" s="18" t="s">
        <v>661</v>
      </c>
      <c r="C9471" s="18" t="s">
        <v>41377</v>
      </c>
      <c r="D9471" s="18" t="s">
        <v>87</v>
      </c>
      <c r="E9471" s="18" t="s">
        <v>41378</v>
      </c>
      <c r="F9471" s="18" t="str">
        <f>IFERROR(__XLUDF.DUMMYFUNCTION("PROPER(REGEXREPLACE(D288,""[^A-Za-z]+ "",""""))"),"Syoux Assurances")</f>
        <v xml:space="preserve">Syoux Assurances</v>
      </c>
      <c r="G9471" s="18" t="s">
        <v>41379</v>
      </c>
      <c r="H9471" s="18">
        <v>4</v>
      </c>
      <c r="I9471" s="18" t="s">
        <v>39661</v>
      </c>
      <c r="J9471" s="5" t="s">
        <v>41380</v>
      </c>
      <c r="K9471" s="5" t="s">
        <v>41381</v>
      </c>
      <c r="L9471" s="6"/>
      <c r="M9471" s="18" t="s">
        <v>29</v>
      </c>
      <c r="N9471" s="18" t="s">
        <v>41382</v>
      </c>
      <c r="O9471" s="18" t="s">
        <v>29</v>
      </c>
      <c r="P9471" s="18" t="s">
        <v>41383</v>
      </c>
      <c r="Q9471" s="6"/>
      <c r="R9471" s="6"/>
      <c r="S9471" s="6"/>
      <c r="T9471" s="6"/>
      <c r="U9471" s="6"/>
    </row>
    <row r="9472" ht="14.25">
      <c r="B9472" s="18" t="s">
        <v>670</v>
      </c>
      <c r="C9472" s="18" t="s">
        <v>6147</v>
      </c>
      <c r="D9472" s="18" t="s">
        <v>672</v>
      </c>
      <c r="E9472" s="18" t="s">
        <v>39822</v>
      </c>
      <c r="F9472" s="18" t="str">
        <f>IFERROR(__XLUDF.DUMMYFUNCTION("PROPER(REGEXREPLACE(D289,""[^A-Za-z]+ "",""""))"),"Lya Protect")</f>
        <v xml:space="preserve">Lya Protect</v>
      </c>
      <c r="G9472" s="18" t="s">
        <v>41384</v>
      </c>
      <c r="H9472" s="18">
        <v>30</v>
      </c>
      <c r="I9472" s="18" t="s">
        <v>39661</v>
      </c>
      <c r="J9472" s="5" t="s">
        <v>41385</v>
      </c>
      <c r="K9472" s="5" t="s">
        <v>39825</v>
      </c>
      <c r="L9472" s="18" t="s">
        <v>185</v>
      </c>
      <c r="M9472" s="18" t="s">
        <v>29</v>
      </c>
      <c r="N9472" s="18" t="s">
        <v>39826</v>
      </c>
      <c r="O9472" s="18" t="s">
        <v>29</v>
      </c>
      <c r="P9472" s="18" t="s">
        <v>39827</v>
      </c>
      <c r="Q9472" s="6"/>
      <c r="R9472" s="6"/>
      <c r="S9472" s="6"/>
      <c r="T9472" s="6"/>
      <c r="U9472" s="6"/>
    </row>
    <row r="9473" ht="14.25">
      <c r="B9473" s="18" t="s">
        <v>110</v>
      </c>
      <c r="C9473" s="18" t="s">
        <v>41386</v>
      </c>
      <c r="D9473" s="18" t="s">
        <v>426</v>
      </c>
      <c r="E9473" s="18" t="s">
        <v>41387</v>
      </c>
      <c r="F9473" s="18" t="str">
        <f>IFERROR(__XLUDF.DUMMYFUNCTION("PROPER(REGEXREPLACE(D290,""[^A-Za-z]+ "",""""))"),"Etik Assurance")</f>
        <v xml:space="preserve">Etik Assurance</v>
      </c>
      <c r="G9473" s="18" t="s">
        <v>41388</v>
      </c>
      <c r="H9473" s="18">
        <v>53</v>
      </c>
      <c r="I9473" s="18" t="s">
        <v>39661</v>
      </c>
      <c r="J9473" s="5" t="s">
        <v>41389</v>
      </c>
      <c r="K9473" s="5" t="s">
        <v>41390</v>
      </c>
      <c r="L9473" s="18" t="s">
        <v>185</v>
      </c>
      <c r="M9473" s="18" t="s">
        <v>29</v>
      </c>
      <c r="N9473" s="18" t="s">
        <v>41391</v>
      </c>
      <c r="O9473" s="18" t="s">
        <v>29</v>
      </c>
      <c r="P9473" s="18" t="s">
        <v>41392</v>
      </c>
      <c r="Q9473" s="6"/>
      <c r="R9473" s="6"/>
      <c r="S9473" s="6"/>
      <c r="T9473" s="6"/>
      <c r="U9473" s="6"/>
    </row>
    <row r="9474" ht="14.25">
      <c r="B9474" s="18" t="s">
        <v>6945</v>
      </c>
      <c r="C9474" s="18" t="s">
        <v>1010</v>
      </c>
      <c r="D9474" s="18" t="s">
        <v>112</v>
      </c>
      <c r="E9474" s="18" t="s">
        <v>41393</v>
      </c>
      <c r="F9474" s="18" t="str">
        <f>IFERROR(__XLUDF.DUMMYFUNCTION("PROPER(REGEXREPLACE(D291,""[^A-Za-z]+ "",""""))"),"Smabtp")</f>
        <v>Smabtp</v>
      </c>
      <c r="G9474" s="18" t="s">
        <v>41394</v>
      </c>
      <c r="H9474" s="18">
        <v>23</v>
      </c>
      <c r="I9474" s="18" t="s">
        <v>39661</v>
      </c>
      <c r="J9474" s="5" t="s">
        <v>41395</v>
      </c>
      <c r="K9474" s="5" t="s">
        <v>41396</v>
      </c>
      <c r="L9474" s="18" t="s">
        <v>185</v>
      </c>
      <c r="M9474" s="18" t="s">
        <v>29</v>
      </c>
      <c r="N9474" s="6"/>
      <c r="O9474" s="6"/>
      <c r="P9474" s="18" t="s">
        <v>41397</v>
      </c>
      <c r="Q9474" s="6"/>
      <c r="R9474" s="6"/>
      <c r="S9474" s="6"/>
      <c r="T9474" s="6"/>
      <c r="U9474" s="6"/>
    </row>
    <row r="9475" ht="14.25">
      <c r="B9475" s="18" t="s">
        <v>4132</v>
      </c>
      <c r="C9475" s="18" t="s">
        <v>41398</v>
      </c>
      <c r="D9475" s="18" t="s">
        <v>41399</v>
      </c>
      <c r="E9475" s="18" t="s">
        <v>40969</v>
      </c>
      <c r="F9475" s="18" t="str">
        <f>IFERROR(__XLUDF.DUMMYFUNCTION("PROPER(REGEXREPLACE(D292,""[^A-Za-z]+ "",""""))"),"Grâce")</f>
        <v>Grâce</v>
      </c>
      <c r="G9475" s="18" t="s">
        <v>41400</v>
      </c>
      <c r="H9475" s="18">
        <v>24</v>
      </c>
      <c r="I9475" s="18" t="s">
        <v>39661</v>
      </c>
      <c r="J9475" s="5" t="s">
        <v>41401</v>
      </c>
      <c r="K9475" s="5" t="s">
        <v>40972</v>
      </c>
      <c r="L9475" s="18" t="s">
        <v>39</v>
      </c>
      <c r="M9475" s="18" t="s">
        <v>29</v>
      </c>
      <c r="N9475" s="18" t="s">
        <v>4649</v>
      </c>
      <c r="O9475" s="18" t="s">
        <v>29</v>
      </c>
      <c r="P9475" s="18" t="s">
        <v>40973</v>
      </c>
      <c r="Q9475" s="6"/>
      <c r="R9475" s="6"/>
      <c r="S9475" s="6"/>
      <c r="T9475" s="6"/>
      <c r="U9475" s="6"/>
    </row>
    <row r="9476" ht="14.25">
      <c r="B9476" s="18" t="s">
        <v>1499</v>
      </c>
      <c r="C9476" s="18" t="s">
        <v>41402</v>
      </c>
      <c r="D9476" s="18" t="s">
        <v>1528</v>
      </c>
      <c r="E9476" s="18" t="s">
        <v>40351</v>
      </c>
      <c r="F9476" s="18" t="str">
        <f>IFERROR(__XLUDF.DUMMYFUNCTION("PROPER(REGEXREPLACE(D293,""[^A-Za-z]+ "",""""))"),"Caravel")</f>
        <v>Caravel</v>
      </c>
      <c r="G9476" s="18" t="s">
        <v>41403</v>
      </c>
      <c r="H9476" s="18">
        <v>11</v>
      </c>
      <c r="I9476" s="18" t="s">
        <v>39661</v>
      </c>
      <c r="J9476" s="5" t="s">
        <v>41404</v>
      </c>
      <c r="K9476" s="5" t="s">
        <v>40354</v>
      </c>
      <c r="L9476" s="18" t="s">
        <v>39</v>
      </c>
      <c r="M9476" s="18" t="s">
        <v>29</v>
      </c>
      <c r="N9476" s="18" t="s">
        <v>67</v>
      </c>
      <c r="O9476" s="18" t="s">
        <v>29</v>
      </c>
      <c r="P9476" s="18" t="s">
        <v>40355</v>
      </c>
      <c r="Q9476" s="6"/>
      <c r="R9476" s="6"/>
      <c r="S9476" s="6"/>
      <c r="T9476" s="6"/>
      <c r="U9476" s="6"/>
    </row>
    <row r="9477" ht="14.25">
      <c r="B9477" s="18" t="s">
        <v>4115</v>
      </c>
      <c r="C9477" s="18" t="s">
        <v>41405</v>
      </c>
      <c r="D9477" s="18" t="s">
        <v>120</v>
      </c>
      <c r="E9477" s="18" t="s">
        <v>41406</v>
      </c>
      <c r="F9477" s="18" t="str">
        <f>IFERROR(__XLUDF.DUMMYFUNCTION("PROPER(REGEXREPLACE(D294,""[^A-Za-z]+ "",""""))"),"Bird Agency")</f>
        <v xml:space="preserve">Bird Agency</v>
      </c>
      <c r="G9477" s="18" t="s">
        <v>41407</v>
      </c>
      <c r="H9477" s="18">
        <v>8</v>
      </c>
      <c r="I9477" s="18" t="s">
        <v>39661</v>
      </c>
      <c r="J9477" s="5" t="s">
        <v>41408</v>
      </c>
      <c r="K9477" s="5" t="s">
        <v>41409</v>
      </c>
      <c r="L9477" s="18" t="s">
        <v>41410</v>
      </c>
      <c r="M9477" s="18" t="s">
        <v>29</v>
      </c>
      <c r="N9477" s="18" t="s">
        <v>41411</v>
      </c>
      <c r="O9477" s="18" t="s">
        <v>29</v>
      </c>
      <c r="P9477" s="6"/>
      <c r="Q9477" s="6"/>
      <c r="R9477" s="6"/>
      <c r="S9477" s="6"/>
      <c r="T9477" s="6"/>
      <c r="U9477" s="6"/>
    </row>
    <row r="9478" ht="14.25">
      <c r="B9478" s="18" t="s">
        <v>4012</v>
      </c>
      <c r="C9478" s="18" t="s">
        <v>41412</v>
      </c>
      <c r="D9478" s="18" t="s">
        <v>426</v>
      </c>
      <c r="E9478" s="18" t="s">
        <v>41193</v>
      </c>
      <c r="F9478" s="18" t="str">
        <f>IFERROR(__XLUDF.DUMMYFUNCTION("PROPER(REGEXREPLACE(D295,""[^A-Za-z]+ "",""""))"),"Prefon")</f>
        <v>Prefon</v>
      </c>
      <c r="G9478" s="18" t="s">
        <v>41413</v>
      </c>
      <c r="H9478" s="18">
        <v>30</v>
      </c>
      <c r="I9478" s="18" t="s">
        <v>39661</v>
      </c>
      <c r="J9478" s="5" t="s">
        <v>41414</v>
      </c>
      <c r="K9478" s="5" t="s">
        <v>41196</v>
      </c>
      <c r="L9478" s="18" t="s">
        <v>39</v>
      </c>
      <c r="M9478" s="18" t="s">
        <v>29</v>
      </c>
      <c r="N9478" s="18" t="s">
        <v>41197</v>
      </c>
      <c r="O9478" s="18" t="s">
        <v>29</v>
      </c>
      <c r="P9478" s="6"/>
      <c r="Q9478" s="6"/>
      <c r="R9478" s="6"/>
      <c r="S9478" s="6"/>
      <c r="T9478" s="6"/>
      <c r="U9478" s="6"/>
    </row>
    <row r="9479" ht="14.25">
      <c r="B9479" s="18" t="s">
        <v>2419</v>
      </c>
      <c r="C9479" s="18" t="s">
        <v>41415</v>
      </c>
      <c r="D9479" s="18" t="s">
        <v>41416</v>
      </c>
      <c r="E9479" s="18" t="s">
        <v>40675</v>
      </c>
      <c r="F9479" s="18" t="str">
        <f>IFERROR(__XLUDF.DUMMYFUNCTION("PROPER(REGEXREPLACE(D296,""[^A-Za-z]+ "",""""))"),"Actuairesassociés")</f>
        <v>Actuairesassociés</v>
      </c>
      <c r="G9479" s="18" t="s">
        <v>41417</v>
      </c>
      <c r="H9479" s="18">
        <v>5</v>
      </c>
      <c r="I9479" s="18" t="s">
        <v>39661</v>
      </c>
      <c r="J9479" s="5" t="s">
        <v>41418</v>
      </c>
      <c r="K9479" s="5" t="s">
        <v>40678</v>
      </c>
      <c r="L9479" s="18" t="s">
        <v>39</v>
      </c>
      <c r="M9479" s="18" t="s">
        <v>29</v>
      </c>
      <c r="N9479" s="18" t="s">
        <v>67</v>
      </c>
      <c r="O9479" s="18" t="s">
        <v>29</v>
      </c>
      <c r="P9479" s="18" t="s">
        <v>40679</v>
      </c>
      <c r="Q9479" s="6"/>
      <c r="R9479" s="6"/>
      <c r="S9479" s="6"/>
      <c r="T9479" s="6"/>
      <c r="U9479" s="6"/>
    </row>
    <row r="9480" ht="14.25">
      <c r="B9480" s="18" t="s">
        <v>41419</v>
      </c>
      <c r="C9480" s="18" t="s">
        <v>2554</v>
      </c>
      <c r="D9480" s="18" t="s">
        <v>172</v>
      </c>
      <c r="E9480" s="18" t="s">
        <v>39742</v>
      </c>
      <c r="F9480" s="18" t="str">
        <f>IFERROR(__XLUDF.DUMMYFUNCTION("PROPER(REGEXREPLACE(D297,""[^A-Za-z]+ "",""""))"),"Chevreuse Courtage")</f>
        <v xml:space="preserve">Chevreuse Courtage</v>
      </c>
      <c r="G9480" s="18" t="s">
        <v>41420</v>
      </c>
      <c r="H9480" s="18">
        <v>22</v>
      </c>
      <c r="I9480" s="18" t="s">
        <v>39661</v>
      </c>
      <c r="J9480" s="5" t="s">
        <v>41421</v>
      </c>
      <c r="K9480" s="5" t="s">
        <v>39745</v>
      </c>
      <c r="L9480" s="6"/>
      <c r="M9480" s="18" t="s">
        <v>29</v>
      </c>
      <c r="N9480" s="18" t="s">
        <v>39746</v>
      </c>
      <c r="O9480" s="18" t="s">
        <v>29</v>
      </c>
      <c r="P9480" s="18" t="s">
        <v>39747</v>
      </c>
      <c r="Q9480" s="6"/>
      <c r="R9480" s="6"/>
      <c r="S9480" s="6"/>
      <c r="T9480" s="6"/>
      <c r="U9480" s="6"/>
    </row>
    <row r="9481" ht="14.25">
      <c r="B9481" s="18" t="s">
        <v>41422</v>
      </c>
      <c r="C9481" s="18" t="s">
        <v>41423</v>
      </c>
      <c r="D9481" s="18" t="s">
        <v>1240</v>
      </c>
      <c r="E9481" s="18" t="s">
        <v>41424</v>
      </c>
      <c r="F9481" s="18" t="str">
        <f>IFERROR(__XLUDF.DUMMYFUNCTION("PROPER(REGEXREPLACE(D298,""[^A-Za-z]+ "",""""))"),"Klaimy")</f>
        <v>Klaimy</v>
      </c>
      <c r="G9481" s="18" t="s">
        <v>41425</v>
      </c>
      <c r="H9481" s="18">
        <v>3</v>
      </c>
      <c r="I9481" s="18" t="s">
        <v>39661</v>
      </c>
      <c r="J9481" s="5" t="s">
        <v>41426</v>
      </c>
      <c r="K9481" s="5" t="s">
        <v>41427</v>
      </c>
      <c r="L9481" s="18" t="s">
        <v>39</v>
      </c>
      <c r="M9481" s="18" t="s">
        <v>29</v>
      </c>
      <c r="N9481" s="18" t="s">
        <v>41428</v>
      </c>
      <c r="O9481" s="18" t="s">
        <v>29</v>
      </c>
      <c r="P9481" s="18" t="s">
        <v>41429</v>
      </c>
      <c r="Q9481" s="6"/>
      <c r="R9481" s="6"/>
      <c r="S9481" s="6"/>
      <c r="T9481" s="6"/>
      <c r="U9481" s="6"/>
    </row>
    <row r="9482" ht="14.25">
      <c r="B9482" s="18" t="s">
        <v>5579</v>
      </c>
      <c r="C9482" s="18" t="s">
        <v>41430</v>
      </c>
      <c r="D9482" s="18" t="s">
        <v>41431</v>
      </c>
      <c r="E9482" s="18" t="s">
        <v>41432</v>
      </c>
      <c r="F9482" s="18" t="str">
        <f>IFERROR(__XLUDF.DUMMYFUNCTION("PROPER(REGEXREPLACE(D299,""[^A-Za-z]+ "",""""))"),"Signature Assurances")</f>
        <v xml:space="preserve">Signature Assurances</v>
      </c>
      <c r="G9482" s="18" t="s">
        <v>41433</v>
      </c>
      <c r="H9482" s="18">
        <v>2</v>
      </c>
      <c r="I9482" s="18" t="s">
        <v>39661</v>
      </c>
      <c r="J9482" s="5" t="s">
        <v>41434</v>
      </c>
      <c r="K9482" s="5" t="s">
        <v>41435</v>
      </c>
      <c r="L9482" s="18" t="s">
        <v>185</v>
      </c>
      <c r="M9482" s="18" t="s">
        <v>29</v>
      </c>
      <c r="N9482" s="18" t="s">
        <v>41436</v>
      </c>
      <c r="O9482" s="18" t="s">
        <v>29</v>
      </c>
      <c r="P9482" s="18" t="s">
        <v>41437</v>
      </c>
      <c r="Q9482" s="6"/>
      <c r="R9482" s="6"/>
      <c r="S9482" s="6"/>
      <c r="T9482" s="6"/>
      <c r="U9482" s="6"/>
    </row>
    <row r="9483" ht="14.25">
      <c r="B9483" s="18" t="s">
        <v>1605</v>
      </c>
      <c r="C9483" s="18" t="s">
        <v>41438</v>
      </c>
      <c r="D9483" s="18" t="s">
        <v>1130</v>
      </c>
      <c r="E9483" s="18" t="s">
        <v>41439</v>
      </c>
      <c r="F9483" s="18" t="str">
        <f>IFERROR(__XLUDF.DUMMYFUNCTION("PROPER(REGEXREPLACE(D300,""[^A-Za-z]+ "",""""))"),"Orizon Assurance")</f>
        <v xml:space="preserve">Orizon Assurance</v>
      </c>
      <c r="G9483" s="18" t="s">
        <v>41440</v>
      </c>
      <c r="H9483" s="18">
        <v>10</v>
      </c>
      <c r="I9483" s="18" t="s">
        <v>39661</v>
      </c>
      <c r="J9483" s="5" t="s">
        <v>41441</v>
      </c>
      <c r="K9483" s="5" t="s">
        <v>41442</v>
      </c>
      <c r="L9483" s="18" t="s">
        <v>39</v>
      </c>
      <c r="M9483" s="18" t="s">
        <v>29</v>
      </c>
      <c r="N9483" s="18" t="s">
        <v>41443</v>
      </c>
      <c r="O9483" s="18" t="s">
        <v>29</v>
      </c>
      <c r="P9483" s="18" t="s">
        <v>41444</v>
      </c>
      <c r="Q9483" s="6"/>
      <c r="R9483" s="6"/>
      <c r="S9483" s="6"/>
      <c r="T9483" s="6"/>
      <c r="U9483" s="6"/>
    </row>
    <row r="9484" ht="14.25">
      <c r="B9484" s="18" t="s">
        <v>69</v>
      </c>
      <c r="C9484" s="18" t="s">
        <v>41445</v>
      </c>
      <c r="D9484" s="18" t="s">
        <v>41446</v>
      </c>
      <c r="E9484" s="18" t="s">
        <v>39983</v>
      </c>
      <c r="F9484" s="18" t="str">
        <f>IFERROR(__XLUDF.DUMMYFUNCTION("PROPER(REGEXREPLACE(D301,""[^A-Za-z]+ "",""""))"),"Izeho Le E-Grossiste Audacieux")</f>
        <v xml:space="preserve">Izeho Le E-Grossiste Audacieux</v>
      </c>
      <c r="G9484" s="18" t="s">
        <v>41447</v>
      </c>
      <c r="H9484" s="18">
        <v>3</v>
      </c>
      <c r="I9484" s="18" t="s">
        <v>39661</v>
      </c>
      <c r="J9484" s="5" t="s">
        <v>41448</v>
      </c>
      <c r="K9484" s="5" t="s">
        <v>39986</v>
      </c>
      <c r="L9484" s="18" t="s">
        <v>185</v>
      </c>
      <c r="M9484" s="18" t="s">
        <v>29</v>
      </c>
      <c r="N9484" s="18" t="s">
        <v>39987</v>
      </c>
      <c r="O9484" s="18" t="s">
        <v>29</v>
      </c>
      <c r="P9484" s="18" t="s">
        <v>39988</v>
      </c>
      <c r="Q9484" s="6"/>
      <c r="R9484" s="6"/>
      <c r="S9484" s="6"/>
      <c r="T9484" s="6"/>
      <c r="U9484" s="6"/>
    </row>
    <row r="9485" ht="14.25">
      <c r="B9485" s="18" t="s">
        <v>510</v>
      </c>
      <c r="C9485" s="18" t="s">
        <v>41449</v>
      </c>
      <c r="D9485" s="18" t="s">
        <v>672</v>
      </c>
      <c r="E9485" s="18" t="s">
        <v>41450</v>
      </c>
      <c r="F9485" s="18" t="str">
        <f>IFERROR(__XLUDF.DUMMYFUNCTION("PROPER(REGEXREPLACE(D302,""[^A-Za-z]+ "",""""))"),"Tulip")</f>
        <v>Tulip</v>
      </c>
      <c r="G9485" s="18" t="s">
        <v>41451</v>
      </c>
      <c r="H9485" s="18">
        <v>24</v>
      </c>
      <c r="I9485" s="18" t="s">
        <v>39661</v>
      </c>
      <c r="J9485" s="5" t="s">
        <v>41452</v>
      </c>
      <c r="K9485" s="5" t="s">
        <v>41453</v>
      </c>
      <c r="L9485" s="18" t="s">
        <v>39</v>
      </c>
      <c r="M9485" s="18" t="s">
        <v>29</v>
      </c>
      <c r="N9485" s="18" t="s">
        <v>41454</v>
      </c>
      <c r="O9485" s="18" t="s">
        <v>29</v>
      </c>
      <c r="P9485" s="18" t="s">
        <v>41455</v>
      </c>
      <c r="Q9485" s="6"/>
      <c r="R9485" s="6"/>
      <c r="S9485" s="6"/>
      <c r="T9485" s="6"/>
      <c r="U9485" s="6"/>
    </row>
    <row r="9486" ht="14.25">
      <c r="B9486" s="18" t="s">
        <v>41456</v>
      </c>
      <c r="C9486" s="18" t="s">
        <v>41457</v>
      </c>
      <c r="D9486" s="18" t="s">
        <v>281</v>
      </c>
      <c r="E9486" s="18" t="s">
        <v>40683</v>
      </c>
      <c r="F9486" s="18" t="str">
        <f>IFERROR(__XLUDF.DUMMYFUNCTION("PROPER(REGEXREPLACE(D303,""[^A-Za-z]+ "",""""))"),"Datafolio")</f>
        <v>Datafolio</v>
      </c>
      <c r="G9486" s="18" t="s">
        <v>41458</v>
      </c>
      <c r="H9486" s="18">
        <v>17</v>
      </c>
      <c r="I9486" s="18" t="s">
        <v>39661</v>
      </c>
      <c r="J9486" s="5" t="s">
        <v>41459</v>
      </c>
      <c r="K9486" s="5" t="s">
        <v>40686</v>
      </c>
      <c r="L9486" s="18" t="s">
        <v>39</v>
      </c>
      <c r="M9486" s="18" t="s">
        <v>29</v>
      </c>
      <c r="N9486" s="18" t="s">
        <v>5865</v>
      </c>
      <c r="O9486" s="18" t="s">
        <v>29</v>
      </c>
      <c r="P9486" s="18" t="s">
        <v>40687</v>
      </c>
      <c r="Q9486" s="6"/>
      <c r="R9486" s="6"/>
      <c r="S9486" s="6"/>
      <c r="T9486" s="6"/>
      <c r="U9486" s="6"/>
    </row>
    <row r="9487" ht="14.25">
      <c r="B9487" s="18" t="s">
        <v>785</v>
      </c>
      <c r="C9487" s="18" t="s">
        <v>41460</v>
      </c>
      <c r="D9487" s="18" t="s">
        <v>112</v>
      </c>
      <c r="E9487" s="18" t="s">
        <v>41461</v>
      </c>
      <c r="F9487" s="18" t="str">
        <f>IFERROR(__XLUDF.DUMMYFUNCTION("PROPER(REGEXREPLACE(D304,""[^A-Za-z]+ "",""""))"),"Cabinet Apex")</f>
        <v xml:space="preserve">Cabinet Apex</v>
      </c>
      <c r="G9487" s="18" t="s">
        <v>41462</v>
      </c>
      <c r="H9487" s="18">
        <v>18</v>
      </c>
      <c r="I9487" s="18" t="s">
        <v>39661</v>
      </c>
      <c r="J9487" s="5" t="s">
        <v>41463</v>
      </c>
      <c r="K9487" s="5" t="s">
        <v>41464</v>
      </c>
      <c r="L9487" s="18" t="s">
        <v>185</v>
      </c>
      <c r="M9487" s="18" t="s">
        <v>29</v>
      </c>
      <c r="N9487" s="18" t="s">
        <v>41465</v>
      </c>
      <c r="O9487" s="18" t="s">
        <v>29</v>
      </c>
      <c r="P9487" s="18" t="s">
        <v>41466</v>
      </c>
      <c r="Q9487" s="6"/>
      <c r="R9487" s="6"/>
      <c r="S9487" s="6"/>
      <c r="T9487" s="6"/>
      <c r="U9487" s="6"/>
    </row>
    <row r="9488" ht="14.25">
      <c r="B9488" s="18" t="s">
        <v>2575</v>
      </c>
      <c r="C9488" s="18" t="s">
        <v>41467</v>
      </c>
      <c r="D9488" s="18" t="s">
        <v>120</v>
      </c>
      <c r="E9488" s="18" t="s">
        <v>41468</v>
      </c>
      <c r="F9488" s="18" t="str">
        <f>IFERROR(__XLUDF.DUMMYFUNCTION("PROPER(REGEXREPLACE(D305,""[^A-Za-z]+ "",""""))"),"Casoxia Conseil")</f>
        <v xml:space="preserve">Casoxia Conseil</v>
      </c>
      <c r="G9488" s="18" t="s">
        <v>41469</v>
      </c>
      <c r="H9488" s="18">
        <v>12</v>
      </c>
      <c r="I9488" s="18" t="s">
        <v>39661</v>
      </c>
      <c r="J9488" s="5" t="s">
        <v>41470</v>
      </c>
      <c r="K9488" s="5" t="s">
        <v>41471</v>
      </c>
      <c r="L9488" s="18" t="s">
        <v>13852</v>
      </c>
      <c r="M9488" s="18" t="s">
        <v>29</v>
      </c>
      <c r="N9488" s="18" t="s">
        <v>22879</v>
      </c>
      <c r="O9488" s="18" t="s">
        <v>29</v>
      </c>
      <c r="P9488" s="18" t="s">
        <v>41472</v>
      </c>
      <c r="Q9488" s="6"/>
      <c r="R9488" s="6"/>
      <c r="S9488" s="6"/>
      <c r="T9488" s="6"/>
      <c r="U9488" s="6"/>
    </row>
    <row r="9489" ht="14.25">
      <c r="B9489" s="18" t="s">
        <v>40495</v>
      </c>
      <c r="C9489" s="18" t="s">
        <v>29501</v>
      </c>
      <c r="D9489" s="18" t="s">
        <v>23879</v>
      </c>
      <c r="E9489" s="18" t="s">
        <v>40119</v>
      </c>
      <c r="F9489" s="18" t="str">
        <f>IFERROR(__XLUDF.DUMMYFUNCTION("PROPER(REGEXREPLACE(D306,""[^A-Za-z]+ "",""""))"),"Testamento")</f>
        <v>Testamento</v>
      </c>
      <c r="G9489" s="18" t="s">
        <v>41473</v>
      </c>
      <c r="H9489" s="18">
        <v>16</v>
      </c>
      <c r="I9489" s="18" t="s">
        <v>39661</v>
      </c>
      <c r="J9489" s="5" t="s">
        <v>41474</v>
      </c>
      <c r="K9489" s="5" t="s">
        <v>40122</v>
      </c>
      <c r="L9489" s="6"/>
      <c r="M9489" s="18" t="s">
        <v>29</v>
      </c>
      <c r="N9489" s="18" t="s">
        <v>18870</v>
      </c>
      <c r="O9489" s="18" t="s">
        <v>29</v>
      </c>
      <c r="P9489" s="6"/>
      <c r="Q9489" s="6"/>
      <c r="R9489" s="6"/>
      <c r="S9489" s="6"/>
      <c r="T9489" s="6"/>
      <c r="U9489" s="6"/>
    </row>
    <row r="9490" ht="14.25">
      <c r="B9490" s="18" t="s">
        <v>525</v>
      </c>
      <c r="C9490" s="18" t="s">
        <v>41475</v>
      </c>
      <c r="D9490" s="18" t="s">
        <v>468</v>
      </c>
      <c r="E9490" s="18" t="s">
        <v>41476</v>
      </c>
      <c r="F9490" s="18" t="str">
        <f>IFERROR(__XLUDF.DUMMYFUNCTION("PROPER(REGEXREPLACE(D307,""[^A-Za-z]+ "",""""))"),"Mutuelle Lmp")</f>
        <v xml:space="preserve">Mutuelle Lmp</v>
      </c>
      <c r="G9490" s="18" t="s">
        <v>41477</v>
      </c>
      <c r="H9490" s="18">
        <v>32</v>
      </c>
      <c r="I9490" s="18" t="s">
        <v>39661</v>
      </c>
      <c r="J9490" s="5" t="s">
        <v>41478</v>
      </c>
      <c r="K9490" s="5" t="s">
        <v>41479</v>
      </c>
      <c r="L9490" s="18" t="s">
        <v>39</v>
      </c>
      <c r="M9490" s="18" t="s">
        <v>29</v>
      </c>
      <c r="N9490" s="18" t="s">
        <v>41480</v>
      </c>
      <c r="O9490" s="18" t="s">
        <v>29</v>
      </c>
      <c r="P9490" s="6"/>
      <c r="Q9490" s="6"/>
      <c r="R9490" s="6"/>
      <c r="S9490" s="6"/>
      <c r="T9490" s="6"/>
      <c r="U9490" s="6"/>
    </row>
    <row r="9491" ht="14.25">
      <c r="B9491" s="18" t="s">
        <v>768</v>
      </c>
      <c r="C9491" s="18" t="s">
        <v>41481</v>
      </c>
      <c r="D9491" s="18" t="s">
        <v>247</v>
      </c>
      <c r="E9491" s="18" t="s">
        <v>40134</v>
      </c>
      <c r="F9491" s="18" t="str">
        <f>IFERROR(__XLUDF.DUMMYFUNCTION("PROPER(REGEXREPLACE(D308,""[^A-Za-z]+ "",""""))"),"Perlib 🌱")</f>
        <v xml:space="preserve">Perlib 🌱</v>
      </c>
      <c r="G9491" s="18" t="s">
        <v>41482</v>
      </c>
      <c r="H9491" s="18">
        <v>44</v>
      </c>
      <c r="I9491" s="18" t="s">
        <v>39661</v>
      </c>
      <c r="J9491" s="5" t="s">
        <v>41483</v>
      </c>
      <c r="K9491" s="5" t="s">
        <v>40137</v>
      </c>
      <c r="L9491" s="18" t="s">
        <v>39</v>
      </c>
      <c r="M9491" s="18" t="s">
        <v>29</v>
      </c>
      <c r="N9491" s="18" t="s">
        <v>67</v>
      </c>
      <c r="O9491" s="18" t="s">
        <v>29</v>
      </c>
      <c r="P9491" s="18" t="s">
        <v>5069</v>
      </c>
      <c r="Q9491" s="6"/>
      <c r="R9491" s="6"/>
      <c r="S9491" s="6"/>
      <c r="T9491" s="6"/>
      <c r="U9491" s="6"/>
    </row>
    <row r="9492" ht="14.25">
      <c r="B9492" s="18" t="s">
        <v>41484</v>
      </c>
      <c r="C9492" s="18" t="s">
        <v>41485</v>
      </c>
      <c r="D9492" s="18" t="s">
        <v>2524</v>
      </c>
      <c r="E9492" s="18" t="s">
        <v>41486</v>
      </c>
      <c r="F9492" s="18" t="str">
        <f>IFERROR(__XLUDF.DUMMYFUNCTION("PROPER(REGEXREPLACE(D309,""[^A-Za-z]+ "",""""))"),"Actudata")</f>
        <v>Actudata</v>
      </c>
      <c r="G9492" s="18" t="s">
        <v>41487</v>
      </c>
      <c r="H9492" s="18">
        <v>38</v>
      </c>
      <c r="I9492" s="18" t="s">
        <v>39661</v>
      </c>
      <c r="J9492" s="5" t="s">
        <v>41488</v>
      </c>
      <c r="K9492" s="5" t="s">
        <v>41489</v>
      </c>
      <c r="L9492" s="6"/>
      <c r="M9492" s="18" t="s">
        <v>29</v>
      </c>
      <c r="N9492" s="18" t="s">
        <v>41490</v>
      </c>
      <c r="O9492" s="18" t="s">
        <v>29</v>
      </c>
      <c r="P9492" s="6"/>
      <c r="Q9492" s="6"/>
      <c r="R9492" s="6"/>
      <c r="S9492" s="6"/>
      <c r="T9492" s="6"/>
      <c r="U9492" s="6"/>
    </row>
    <row r="9493" ht="14.25">
      <c r="B9493" s="18" t="s">
        <v>866</v>
      </c>
      <c r="C9493" s="18" t="s">
        <v>41491</v>
      </c>
      <c r="D9493" s="18" t="s">
        <v>172</v>
      </c>
      <c r="E9493" s="18" t="s">
        <v>41492</v>
      </c>
      <c r="F9493" s="18" t="str">
        <f>IFERROR(__XLUDF.DUMMYFUNCTION("PROPER(REGEXREPLACE(D310,""[^A-Za-z]+ "",""""))"),"Neuros")</f>
        <v>Neuros</v>
      </c>
      <c r="G9493" s="18" t="s">
        <v>41493</v>
      </c>
      <c r="H9493" s="18">
        <v>37</v>
      </c>
      <c r="I9493" s="18" t="s">
        <v>39661</v>
      </c>
      <c r="J9493" s="5" t="s">
        <v>41494</v>
      </c>
      <c r="K9493" s="5" t="s">
        <v>41495</v>
      </c>
      <c r="L9493" s="6"/>
      <c r="M9493" s="18" t="s">
        <v>29</v>
      </c>
      <c r="N9493" s="18" t="s">
        <v>41496</v>
      </c>
      <c r="O9493" s="18" t="s">
        <v>29</v>
      </c>
      <c r="P9493" s="6"/>
      <c r="Q9493" s="6"/>
      <c r="R9493" s="6"/>
      <c r="S9493" s="6"/>
      <c r="T9493" s="6"/>
      <c r="U9493" s="6"/>
    </row>
    <row r="9494" ht="14.25">
      <c r="B9494" s="18" t="s">
        <v>808</v>
      </c>
      <c r="C9494" s="18" t="s">
        <v>16642</v>
      </c>
      <c r="D9494" s="18" t="s">
        <v>5186</v>
      </c>
      <c r="E9494" s="18" t="s">
        <v>39927</v>
      </c>
      <c r="F9494" s="18" t="str">
        <f>IFERROR(__XLUDF.DUMMYFUNCTION("PROPER(REGEXREPLACE(D311,""[^A-Za-z]+ "",""""))"),"Wellcov")</f>
        <v>Wellcov</v>
      </c>
      <c r="G9494" s="18" t="s">
        <v>41497</v>
      </c>
      <c r="H9494" s="18">
        <v>8</v>
      </c>
      <c r="I9494" s="18" t="s">
        <v>39661</v>
      </c>
      <c r="J9494" s="5" t="s">
        <v>41498</v>
      </c>
      <c r="K9494" s="5" t="s">
        <v>39930</v>
      </c>
      <c r="L9494" s="18" t="s">
        <v>5456</v>
      </c>
      <c r="M9494" s="18" t="s">
        <v>29</v>
      </c>
      <c r="N9494" s="18" t="s">
        <v>3642</v>
      </c>
      <c r="O9494" s="18" t="s">
        <v>29</v>
      </c>
      <c r="P9494" s="6"/>
      <c r="Q9494" s="6"/>
      <c r="R9494" s="6"/>
      <c r="S9494" s="6"/>
      <c r="T9494" s="6"/>
      <c r="U9494" s="6"/>
    </row>
    <row r="9495" ht="14.25">
      <c r="B9495" s="18" t="s">
        <v>17774</v>
      </c>
      <c r="C9495" s="18" t="s">
        <v>40815</v>
      </c>
      <c r="D9495" s="18" t="s">
        <v>1240</v>
      </c>
      <c r="E9495" s="5" t="s">
        <v>40816</v>
      </c>
      <c r="F9495" s="5" t="str">
        <f>IFERROR(__XLUDF.DUMMYFUNCTION("PROPER(REGEXREPLACE(D312,""[^A-Za-z]+ "",""""))"),"Elyos.Io")</f>
        <v>Elyos.Io</v>
      </c>
      <c r="G9495" s="18" t="s">
        <v>41499</v>
      </c>
      <c r="H9495" s="18">
        <v>5</v>
      </c>
      <c r="I9495" s="18" t="s">
        <v>39661</v>
      </c>
      <c r="J9495" s="5" t="s">
        <v>41500</v>
      </c>
      <c r="K9495" s="5" t="s">
        <v>40819</v>
      </c>
      <c r="L9495" s="18" t="s">
        <v>39</v>
      </c>
      <c r="M9495" s="18" t="s">
        <v>29</v>
      </c>
      <c r="N9495" s="18" t="s">
        <v>40820</v>
      </c>
      <c r="O9495" s="18" t="s">
        <v>29</v>
      </c>
      <c r="P9495" s="6"/>
      <c r="Q9495" s="6"/>
      <c r="R9495" s="6"/>
      <c r="S9495" s="6"/>
      <c r="T9495" s="6"/>
      <c r="U9495" s="6"/>
    </row>
    <row r="9496" ht="14.25">
      <c r="B9496" s="18" t="s">
        <v>13376</v>
      </c>
      <c r="C9496" s="18" t="s">
        <v>41501</v>
      </c>
      <c r="D9496" s="18" t="s">
        <v>10202</v>
      </c>
      <c r="E9496" s="18" t="s">
        <v>41502</v>
      </c>
      <c r="F9496" s="18" t="str">
        <f>IFERROR(__XLUDF.DUMMYFUNCTION("PROPER(REGEXREPLACE(D313,""[^A-Za-z]+ "",""""))"),"Savaden")</f>
        <v>Savaden</v>
      </c>
      <c r="G9496" s="18" t="s">
        <v>41503</v>
      </c>
      <c r="H9496" s="18">
        <v>7</v>
      </c>
      <c r="I9496" s="18" t="s">
        <v>39661</v>
      </c>
      <c r="J9496" s="5" t="s">
        <v>41504</v>
      </c>
      <c r="K9496" s="5" t="s">
        <v>41505</v>
      </c>
      <c r="L9496" s="18" t="s">
        <v>39</v>
      </c>
      <c r="M9496" s="18" t="s">
        <v>29</v>
      </c>
      <c r="N9496" s="18" t="s">
        <v>41007</v>
      </c>
      <c r="O9496" s="18" t="s">
        <v>29</v>
      </c>
      <c r="P9496" s="6"/>
      <c r="Q9496" s="6"/>
      <c r="R9496" s="6"/>
      <c r="S9496" s="6"/>
      <c r="T9496" s="6"/>
      <c r="U9496" s="6"/>
    </row>
    <row r="9497" ht="14.25">
      <c r="B9497" s="18" t="s">
        <v>785</v>
      </c>
      <c r="C9497" s="18" t="s">
        <v>6037</v>
      </c>
      <c r="D9497" s="18" t="s">
        <v>87</v>
      </c>
      <c r="E9497" s="18" t="s">
        <v>41506</v>
      </c>
      <c r="F9497" s="18" t="str">
        <f>IFERROR(__XLUDF.DUMMYFUNCTION("PROPER(REGEXREPLACE(D314,""[^A-Za-z]+ "",""""))"),"Today")</f>
        <v>Today</v>
      </c>
      <c r="G9497" s="18" t="s">
        <v>41507</v>
      </c>
      <c r="H9497" s="18">
        <v>7</v>
      </c>
      <c r="I9497" s="18" t="s">
        <v>39661</v>
      </c>
      <c r="J9497" s="5" t="s">
        <v>41508</v>
      </c>
      <c r="K9497" s="5" t="s">
        <v>41509</v>
      </c>
      <c r="L9497" s="18" t="s">
        <v>39</v>
      </c>
      <c r="M9497" s="18" t="s">
        <v>29</v>
      </c>
      <c r="N9497" s="18" t="s">
        <v>41510</v>
      </c>
      <c r="O9497" s="18" t="s">
        <v>29</v>
      </c>
      <c r="P9497" s="18" t="s">
        <v>41511</v>
      </c>
      <c r="Q9497" s="6"/>
      <c r="R9497" s="6"/>
      <c r="S9497" s="6"/>
      <c r="T9497" s="6"/>
      <c r="U9497" s="6"/>
    </row>
    <row r="9498" ht="14.25">
      <c r="B9498" s="18" t="s">
        <v>41512</v>
      </c>
      <c r="C9498" s="18" t="s">
        <v>40327</v>
      </c>
      <c r="D9498" s="18" t="s">
        <v>41513</v>
      </c>
      <c r="E9498" s="18" t="s">
        <v>40328</v>
      </c>
      <c r="F9498" s="18" t="str">
        <f>IFERROR(__XLUDF.DUMMYFUNCTION("PROPER(REGEXREPLACE(D315,""[^A-Za-z]+ "",""""))"),"Klian")</f>
        <v>Klian</v>
      </c>
      <c r="G9498" s="18" t="s">
        <v>41514</v>
      </c>
      <c r="H9498" s="18">
        <v>6</v>
      </c>
      <c r="I9498" s="18" t="s">
        <v>39661</v>
      </c>
      <c r="J9498" s="5" t="s">
        <v>41515</v>
      </c>
      <c r="K9498" s="5" t="s">
        <v>40331</v>
      </c>
      <c r="L9498" s="18" t="s">
        <v>40332</v>
      </c>
      <c r="M9498" s="18" t="s">
        <v>29</v>
      </c>
      <c r="N9498" s="18" t="s">
        <v>40333</v>
      </c>
      <c r="O9498" s="18" t="s">
        <v>29</v>
      </c>
      <c r="P9498" s="6"/>
      <c r="Q9498" s="6"/>
      <c r="R9498" s="6"/>
      <c r="S9498" s="6"/>
      <c r="T9498" s="6"/>
      <c r="U9498" s="6"/>
    </row>
    <row r="9499" ht="14.25">
      <c r="B9499" s="18" t="s">
        <v>41516</v>
      </c>
      <c r="C9499" s="18" t="s">
        <v>41517</v>
      </c>
      <c r="D9499" s="18" t="s">
        <v>87</v>
      </c>
      <c r="E9499" s="18" t="s">
        <v>41518</v>
      </c>
      <c r="F9499" s="18" t="str">
        <f>IFERROR(__XLUDF.DUMMYFUNCTION("PROPER(REGEXREPLACE(D316,""[^A-Za-z]+ "",""""))"),"Everrose")</f>
        <v>Everrose</v>
      </c>
      <c r="G9499" s="18" t="s">
        <v>41519</v>
      </c>
      <c r="H9499" s="18">
        <v>5</v>
      </c>
      <c r="I9499" s="18" t="s">
        <v>39661</v>
      </c>
      <c r="J9499" s="5" t="s">
        <v>41520</v>
      </c>
      <c r="K9499" s="5" t="s">
        <v>41521</v>
      </c>
      <c r="L9499" s="18" t="s">
        <v>39</v>
      </c>
      <c r="M9499" s="18" t="s">
        <v>29</v>
      </c>
      <c r="N9499" s="18" t="s">
        <v>41522</v>
      </c>
      <c r="O9499" s="18" t="s">
        <v>1261</v>
      </c>
      <c r="P9499" s="6"/>
      <c r="Q9499" s="6"/>
      <c r="R9499" s="6"/>
      <c r="S9499" s="6"/>
      <c r="T9499" s="6"/>
      <c r="U9499" s="6"/>
    </row>
    <row r="9500" ht="14.25">
      <c r="B9500" s="18" t="s">
        <v>330</v>
      </c>
      <c r="C9500" s="18" t="s">
        <v>41523</v>
      </c>
      <c r="D9500" s="18" t="s">
        <v>672</v>
      </c>
      <c r="E9500" s="18" t="s">
        <v>40351</v>
      </c>
      <c r="F9500" s="18" t="str">
        <f>IFERROR(__XLUDF.DUMMYFUNCTION("PROPER(REGEXREPLACE(D317,""[^A-Za-z]+ "",""""))"),"Caravel")</f>
        <v>Caravel</v>
      </c>
      <c r="G9500" s="18" t="s">
        <v>41524</v>
      </c>
      <c r="H9500" s="18">
        <v>11</v>
      </c>
      <c r="I9500" s="18" t="s">
        <v>39661</v>
      </c>
      <c r="J9500" s="5" t="s">
        <v>41525</v>
      </c>
      <c r="K9500" s="5" t="s">
        <v>40354</v>
      </c>
      <c r="L9500" s="18" t="s">
        <v>39</v>
      </c>
      <c r="M9500" s="18" t="s">
        <v>29</v>
      </c>
      <c r="N9500" s="18" t="s">
        <v>67</v>
      </c>
      <c r="O9500" s="18" t="s">
        <v>29</v>
      </c>
      <c r="P9500" s="18" t="s">
        <v>40355</v>
      </c>
      <c r="Q9500" s="6"/>
      <c r="R9500" s="6"/>
      <c r="S9500" s="6"/>
      <c r="T9500" s="6"/>
      <c r="U9500" s="6"/>
    </row>
    <row r="9501" ht="14.25">
      <c r="B9501" s="18" t="s">
        <v>1583</v>
      </c>
      <c r="C9501" s="18" t="s">
        <v>41526</v>
      </c>
      <c r="D9501" s="18" t="s">
        <v>172</v>
      </c>
      <c r="E9501" s="18" t="s">
        <v>41387</v>
      </c>
      <c r="F9501" s="18" t="str">
        <f>IFERROR(__XLUDF.DUMMYFUNCTION("PROPER(REGEXREPLACE(D318,""[^A-Za-z]+ "",""""))"),"Etik Assurance")</f>
        <v xml:space="preserve">Etik Assurance</v>
      </c>
      <c r="G9501" s="18" t="s">
        <v>41527</v>
      </c>
      <c r="H9501" s="18">
        <v>53</v>
      </c>
      <c r="I9501" s="18" t="s">
        <v>39661</v>
      </c>
      <c r="J9501" s="5" t="s">
        <v>41528</v>
      </c>
      <c r="K9501" s="5" t="s">
        <v>41390</v>
      </c>
      <c r="L9501" s="18" t="s">
        <v>17537</v>
      </c>
      <c r="M9501" s="18" t="s">
        <v>29</v>
      </c>
      <c r="N9501" s="18" t="s">
        <v>41391</v>
      </c>
      <c r="O9501" s="18" t="s">
        <v>29</v>
      </c>
      <c r="P9501" s="18" t="s">
        <v>41392</v>
      </c>
      <c r="Q9501" s="6"/>
      <c r="R9501" s="6"/>
      <c r="S9501" s="6"/>
      <c r="T9501" s="6"/>
      <c r="U9501" s="6"/>
    </row>
    <row r="9502" ht="14.25">
      <c r="B9502" s="18" t="s">
        <v>41529</v>
      </c>
      <c r="C9502" s="18" t="s">
        <v>41530</v>
      </c>
      <c r="D9502" s="18" t="s">
        <v>41531</v>
      </c>
      <c r="E9502" s="18" t="s">
        <v>41532</v>
      </c>
      <c r="F9502" s="18" t="str">
        <f>IFERROR(__XLUDF.DUMMYFUNCTION("PROPER(REGEXREPLACE(D319,""[^A-Za-z]+ "",""""))"),"Bric")</f>
        <v>Bric</v>
      </c>
      <c r="G9502" s="18" t="s">
        <v>41533</v>
      </c>
      <c r="H9502" s="18">
        <v>21</v>
      </c>
      <c r="I9502" s="18" t="s">
        <v>39661</v>
      </c>
      <c r="J9502" s="5" t="s">
        <v>41534</v>
      </c>
      <c r="K9502" s="5" t="s">
        <v>41535</v>
      </c>
      <c r="L9502" s="18" t="s">
        <v>295</v>
      </c>
      <c r="M9502" s="18" t="s">
        <v>29</v>
      </c>
      <c r="N9502" s="18" t="s">
        <v>41536</v>
      </c>
      <c r="O9502" s="18" t="s">
        <v>4340</v>
      </c>
      <c r="P9502" s="18" t="s">
        <v>41537</v>
      </c>
      <c r="Q9502" s="6"/>
      <c r="R9502" s="6"/>
      <c r="S9502" s="6"/>
      <c r="T9502" s="6"/>
      <c r="U9502" s="6"/>
    </row>
    <row r="9503" ht="14.25">
      <c r="B9503" s="18" t="s">
        <v>6356</v>
      </c>
      <c r="C9503" s="18" t="s">
        <v>41538</v>
      </c>
      <c r="D9503" s="18" t="s">
        <v>19584</v>
      </c>
      <c r="E9503" s="18" t="s">
        <v>41539</v>
      </c>
      <c r="F9503" s="18" t="str">
        <f>IFERROR(__XLUDF.DUMMYFUNCTION("PROPER(REGEXREPLACE(D320,""[^A-Za-z]+ "",""""))"),"Expatpa")</f>
        <v>Expatpa</v>
      </c>
      <c r="G9503" s="18" t="s">
        <v>41540</v>
      </c>
      <c r="H9503" s="18">
        <v>15</v>
      </c>
      <c r="I9503" s="18" t="s">
        <v>39661</v>
      </c>
      <c r="J9503" s="5" t="s">
        <v>41541</v>
      </c>
      <c r="K9503" s="5" t="s">
        <v>41542</v>
      </c>
      <c r="L9503" s="6"/>
      <c r="M9503" s="18" t="s">
        <v>29</v>
      </c>
      <c r="N9503" s="6"/>
      <c r="O9503" s="6"/>
      <c r="P9503" s="6"/>
      <c r="Q9503" s="6"/>
      <c r="R9503" s="6"/>
      <c r="S9503" s="6"/>
      <c r="T9503" s="6"/>
      <c r="U9503" s="6"/>
    </row>
    <row r="9504" ht="14.25">
      <c r="B9504" s="18" t="s">
        <v>2743</v>
      </c>
      <c r="C9504" s="18" t="s">
        <v>28610</v>
      </c>
      <c r="D9504" s="18" t="s">
        <v>41543</v>
      </c>
      <c r="E9504" s="18" t="s">
        <v>41544</v>
      </c>
      <c r="F9504" s="18" t="str">
        <f>IFERROR(__XLUDF.DUMMYFUNCTION("PROPER(REGEXREPLACE(D321,""[^A-Za-z]+ "",""""))"),"Shield Specialty Insurance")</f>
        <v xml:space="preserve">Shield Specialty Insurance</v>
      </c>
      <c r="G9504" s="18" t="s">
        <v>41545</v>
      </c>
      <c r="H9504" s="18">
        <v>1</v>
      </c>
      <c r="I9504" s="18" t="s">
        <v>39661</v>
      </c>
      <c r="J9504" s="5" t="s">
        <v>41546</v>
      </c>
      <c r="K9504" s="5" t="s">
        <v>41547</v>
      </c>
      <c r="L9504" s="6"/>
      <c r="M9504" s="18" t="s">
        <v>29</v>
      </c>
      <c r="N9504" s="18" t="s">
        <v>22542</v>
      </c>
      <c r="O9504" s="18" t="s">
        <v>29</v>
      </c>
      <c r="P9504" s="18" t="s">
        <v>41548</v>
      </c>
      <c r="Q9504" s="6"/>
      <c r="R9504" s="6"/>
      <c r="S9504" s="6"/>
      <c r="T9504" s="6"/>
      <c r="U9504" s="6"/>
    </row>
    <row r="9505" ht="14.25">
      <c r="B9505" s="18" t="s">
        <v>4800</v>
      </c>
      <c r="C9505" s="18" t="s">
        <v>948</v>
      </c>
      <c r="D9505" s="18" t="s">
        <v>87</v>
      </c>
      <c r="E9505" s="18" t="s">
        <v>41549</v>
      </c>
      <c r="F9505" s="18" t="str">
        <f>IFERROR(__XLUDF.DUMMYFUNCTION("PROPER(REGEXREPLACE(D322,""[^A-Za-z]+ "",""""))"),"Riskweathertech")</f>
        <v>Riskweathertech</v>
      </c>
      <c r="G9505" s="18" t="s">
        <v>41550</v>
      </c>
      <c r="H9505" s="18">
        <v>4</v>
      </c>
      <c r="I9505" s="18" t="s">
        <v>39661</v>
      </c>
      <c r="J9505" s="5" t="s">
        <v>41551</v>
      </c>
      <c r="K9505" s="5" t="s">
        <v>41552</v>
      </c>
      <c r="L9505" s="18" t="s">
        <v>39</v>
      </c>
      <c r="M9505" s="18" t="s">
        <v>29</v>
      </c>
      <c r="N9505" s="18" t="s">
        <v>3017</v>
      </c>
      <c r="O9505" s="18" t="s">
        <v>29</v>
      </c>
      <c r="P9505" s="6"/>
      <c r="Q9505" s="6"/>
      <c r="R9505" s="6"/>
      <c r="S9505" s="6"/>
      <c r="T9505" s="6"/>
      <c r="U9505" s="6"/>
    </row>
    <row r="9506" ht="14.25">
      <c r="B9506" s="18" t="s">
        <v>245</v>
      </c>
      <c r="C9506" s="18" t="s">
        <v>41553</v>
      </c>
      <c r="D9506" s="18" t="s">
        <v>468</v>
      </c>
      <c r="E9506" s="18" t="s">
        <v>41554</v>
      </c>
      <c r="F9506" s="18" t="str">
        <f>IFERROR(__XLUDF.DUMMYFUNCTION("PROPER(REGEXREPLACE(D323,""[^A-Za-z]+ "",""""))"),"Alexis Assurances L'Assureur Des Enr")</f>
        <v xml:space="preserve">Alexis Assurances L'Assureur Des Enr</v>
      </c>
      <c r="G9506" s="18" t="s">
        <v>41555</v>
      </c>
      <c r="H9506" s="18">
        <v>15</v>
      </c>
      <c r="I9506" s="18" t="s">
        <v>39661</v>
      </c>
      <c r="J9506" s="5" t="s">
        <v>41556</v>
      </c>
      <c r="K9506" s="5" t="s">
        <v>41557</v>
      </c>
      <c r="L9506" s="18" t="s">
        <v>185</v>
      </c>
      <c r="M9506" s="18" t="s">
        <v>29</v>
      </c>
      <c r="N9506" s="18" t="s">
        <v>41558</v>
      </c>
      <c r="O9506" s="18" t="s">
        <v>29</v>
      </c>
      <c r="P9506" s="18" t="s">
        <v>41559</v>
      </c>
      <c r="Q9506" s="6"/>
      <c r="R9506" s="6"/>
      <c r="S9506" s="6"/>
      <c r="T9506" s="6"/>
      <c r="U9506" s="6"/>
    </row>
    <row r="9507" ht="14.25">
      <c r="B9507" s="18" t="s">
        <v>2249</v>
      </c>
      <c r="C9507" s="18" t="s">
        <v>41560</v>
      </c>
      <c r="D9507" s="18" t="s">
        <v>87</v>
      </c>
      <c r="E9507" s="18" t="s">
        <v>41561</v>
      </c>
      <c r="F9507" s="18" t="str">
        <f>IFERROR(__XLUDF.DUMMYFUNCTION("PROPER(REGEXREPLACE(D324,""[^A-Za-z]+ "",""""))"),"Acs Assurances Voyageexpatriation")</f>
        <v xml:space="preserve">Acs Assurances Voyageexpatriation</v>
      </c>
      <c r="G9507" s="18" t="s">
        <v>41562</v>
      </c>
      <c r="H9507" s="18">
        <v>41</v>
      </c>
      <c r="I9507" s="18" t="s">
        <v>39661</v>
      </c>
      <c r="J9507" s="5" t="s">
        <v>41563</v>
      </c>
      <c r="K9507" s="5" t="s">
        <v>41564</v>
      </c>
      <c r="L9507" s="6"/>
      <c r="M9507" s="18" t="s">
        <v>29</v>
      </c>
      <c r="N9507" s="18" t="s">
        <v>41565</v>
      </c>
      <c r="O9507" s="18" t="s">
        <v>29</v>
      </c>
      <c r="P9507" s="18" t="s">
        <v>41566</v>
      </c>
      <c r="Q9507" s="6"/>
      <c r="R9507" s="6"/>
      <c r="S9507" s="6"/>
      <c r="T9507" s="6"/>
      <c r="U9507" s="6"/>
    </row>
    <row r="9508" ht="14.25">
      <c r="B9508" s="18" t="s">
        <v>23787</v>
      </c>
      <c r="C9508" s="18" t="s">
        <v>41567</v>
      </c>
      <c r="D9508" s="18" t="s">
        <v>487</v>
      </c>
      <c r="E9508" s="18" t="s">
        <v>41568</v>
      </c>
      <c r="F9508" s="18" t="str">
        <f>IFERROR(__XLUDF.DUMMYFUNCTION("PROPER(REGEXREPLACE(D325,""[^A-Za-z]+ "",""""))"),"Credyl")</f>
        <v>Credyl</v>
      </c>
      <c r="G9508" s="18" t="s">
        <v>41569</v>
      </c>
      <c r="H9508" s="18">
        <v>5</v>
      </c>
      <c r="I9508" s="18" t="s">
        <v>2629</v>
      </c>
      <c r="J9508" s="5" t="s">
        <v>41570</v>
      </c>
      <c r="K9508" s="5" t="s">
        <v>41571</v>
      </c>
      <c r="L9508" s="18" t="s">
        <v>16456</v>
      </c>
      <c r="M9508" s="18" t="s">
        <v>29</v>
      </c>
      <c r="N9508" s="18" t="s">
        <v>41572</v>
      </c>
      <c r="O9508" s="18" t="s">
        <v>29</v>
      </c>
      <c r="P9508" s="6"/>
      <c r="Q9508" s="6"/>
      <c r="R9508" s="6"/>
      <c r="S9508" s="6"/>
      <c r="T9508" s="6"/>
      <c r="U9508" s="6"/>
    </row>
    <row r="9509" ht="14.25">
      <c r="B9509" s="18" t="s">
        <v>1153</v>
      </c>
      <c r="C9509" s="18" t="s">
        <v>41573</v>
      </c>
      <c r="D9509" s="18" t="s">
        <v>112</v>
      </c>
      <c r="E9509" s="18" t="s">
        <v>41574</v>
      </c>
      <c r="F9509" s="18" t="str">
        <f>IFERROR(__XLUDF.DUMMYFUNCTION("PROPER(REGEXREPLACE(D326,""[^A-Za-z]+ "",""""))"),"Rempart Mutuelle")</f>
        <v xml:space="preserve">Rempart Mutuelle</v>
      </c>
      <c r="G9509" s="18" t="s">
        <v>41575</v>
      </c>
      <c r="H9509" s="18">
        <v>63</v>
      </c>
      <c r="I9509" s="18" t="s">
        <v>39661</v>
      </c>
      <c r="J9509" s="5" t="s">
        <v>41576</v>
      </c>
      <c r="K9509" s="5" t="s">
        <v>41577</v>
      </c>
      <c r="L9509" s="18" t="s">
        <v>16314</v>
      </c>
      <c r="M9509" s="18" t="s">
        <v>29</v>
      </c>
      <c r="N9509" s="18" t="s">
        <v>41578</v>
      </c>
      <c r="O9509" s="18" t="s">
        <v>29</v>
      </c>
      <c r="P9509" s="18" t="s">
        <v>41579</v>
      </c>
      <c r="Q9509" s="6"/>
      <c r="R9509" s="6"/>
      <c r="S9509" s="6"/>
      <c r="T9509" s="6"/>
      <c r="U9509" s="6"/>
    </row>
    <row r="9510" ht="14.25">
      <c r="B9510" s="18" t="s">
        <v>41580</v>
      </c>
      <c r="C9510" s="18" t="s">
        <v>41581</v>
      </c>
      <c r="D9510" s="18" t="s">
        <v>315</v>
      </c>
      <c r="E9510" s="18" t="s">
        <v>41582</v>
      </c>
      <c r="F9510" s="18" t="str">
        <f>IFERROR(__XLUDF.DUMMYFUNCTION("PROPER(REGEXREPLACE(D327,""[^A-Za-z]+ "",""""))"),"Mondassur")</f>
        <v>Mondassur</v>
      </c>
      <c r="G9510" s="18" t="s">
        <v>41583</v>
      </c>
      <c r="H9510" s="18">
        <v>13</v>
      </c>
      <c r="I9510" s="18" t="s">
        <v>39661</v>
      </c>
      <c r="J9510" s="5" t="s">
        <v>41584</v>
      </c>
      <c r="K9510" s="5" t="s">
        <v>41585</v>
      </c>
      <c r="L9510" s="18" t="s">
        <v>39</v>
      </c>
      <c r="M9510" s="18" t="s">
        <v>29</v>
      </c>
      <c r="N9510" s="18" t="s">
        <v>41586</v>
      </c>
      <c r="O9510" s="18" t="s">
        <v>29</v>
      </c>
      <c r="P9510" s="18" t="s">
        <v>41587</v>
      </c>
      <c r="Q9510" s="6"/>
      <c r="R9510" s="6"/>
      <c r="S9510" s="6"/>
      <c r="T9510" s="6"/>
      <c r="U9510" s="6"/>
    </row>
    <row r="9511" ht="14.25">
      <c r="B9511" s="18" t="s">
        <v>32527</v>
      </c>
      <c r="C9511" s="18" t="s">
        <v>41588</v>
      </c>
      <c r="D9511" s="18" t="s">
        <v>164</v>
      </c>
      <c r="E9511" s="18" t="s">
        <v>41589</v>
      </c>
      <c r="F9511" s="18" t="str">
        <f>IFERROR(__XLUDF.DUMMYFUNCTION("PROPER(REGEXREPLACE(D328,""[^A-Za-z]+ "",""""))"),"Mon Courtier Frontalier")</f>
        <v xml:space="preserve">Mon Courtier Frontalier</v>
      </c>
      <c r="G9511" s="18" t="s">
        <v>41590</v>
      </c>
      <c r="H9511" s="18">
        <v>5</v>
      </c>
      <c r="I9511" s="18" t="s">
        <v>39661</v>
      </c>
      <c r="J9511" s="5" t="s">
        <v>41591</v>
      </c>
      <c r="K9511" s="5" t="s">
        <v>41592</v>
      </c>
      <c r="L9511" s="18" t="s">
        <v>41593</v>
      </c>
      <c r="M9511" s="18" t="s">
        <v>29</v>
      </c>
      <c r="N9511" s="18" t="s">
        <v>41594</v>
      </c>
      <c r="O9511" s="18" t="s">
        <v>29</v>
      </c>
      <c r="P9511" s="18" t="s">
        <v>41595</v>
      </c>
      <c r="Q9511" s="6"/>
      <c r="R9511" s="6"/>
      <c r="S9511" s="6"/>
      <c r="T9511" s="6"/>
      <c r="U9511" s="6"/>
    </row>
    <row r="9512" ht="14.25">
      <c r="B9512" s="18" t="s">
        <v>1732</v>
      </c>
      <c r="C9512" s="18" t="s">
        <v>41596</v>
      </c>
      <c r="D9512" s="18" t="s">
        <v>41597</v>
      </c>
      <c r="E9512" s="18" t="s">
        <v>41598</v>
      </c>
      <c r="F9512" s="18" t="str">
        <f>IFERROR(__XLUDF.DUMMYFUNCTION("PROPER(REGEXREPLACE(D329,""[^A-Za-z]+ "",""""))"),"Also Consulting")</f>
        <v xml:space="preserve">Also Consulting</v>
      </c>
      <c r="G9512" s="18" t="s">
        <v>41599</v>
      </c>
      <c r="H9512" s="18">
        <v>6</v>
      </c>
      <c r="I9512" s="18" t="s">
        <v>39661</v>
      </c>
      <c r="J9512" s="5" t="s">
        <v>41600</v>
      </c>
      <c r="K9512" s="5" t="s">
        <v>41601</v>
      </c>
      <c r="L9512" s="6"/>
      <c r="M9512" s="18" t="s">
        <v>29</v>
      </c>
      <c r="N9512" s="18" t="s">
        <v>41602</v>
      </c>
      <c r="O9512" s="18" t="s">
        <v>29</v>
      </c>
      <c r="P9512" s="18" t="s">
        <v>41603</v>
      </c>
      <c r="Q9512" s="6"/>
      <c r="R9512" s="6"/>
      <c r="S9512" s="6"/>
      <c r="T9512" s="6"/>
      <c r="U9512" s="6"/>
    </row>
    <row r="9513" ht="14.25">
      <c r="B9513" s="18" t="s">
        <v>1215</v>
      </c>
      <c r="C9513" s="18" t="s">
        <v>41604</v>
      </c>
      <c r="D9513" s="18" t="s">
        <v>41605</v>
      </c>
      <c r="E9513" s="18" t="s">
        <v>40643</v>
      </c>
      <c r="F9513" s="18" t="str">
        <f>IFERROR(__XLUDF.DUMMYFUNCTION("PROPER(REGEXREPLACE(D330,""[^A-Za-z]+ "",""""))"),"Wilov")</f>
        <v>Wilov</v>
      </c>
      <c r="G9513" s="18" t="s">
        <v>41606</v>
      </c>
      <c r="H9513" s="18">
        <v>6</v>
      </c>
      <c r="I9513" s="18" t="s">
        <v>39661</v>
      </c>
      <c r="J9513" s="5" t="s">
        <v>41607</v>
      </c>
      <c r="K9513" s="5" t="s">
        <v>40646</v>
      </c>
      <c r="L9513" s="18" t="s">
        <v>39</v>
      </c>
      <c r="M9513" s="18" t="s">
        <v>29</v>
      </c>
      <c r="N9513" s="18" t="s">
        <v>40647</v>
      </c>
      <c r="O9513" s="18" t="s">
        <v>29</v>
      </c>
      <c r="P9513" s="18" t="s">
        <v>40648</v>
      </c>
      <c r="Q9513" s="6"/>
      <c r="R9513" s="6"/>
      <c r="S9513" s="6"/>
      <c r="T9513" s="6"/>
      <c r="U9513" s="6"/>
    </row>
    <row r="9514" ht="14.25">
      <c r="B9514" s="18" t="s">
        <v>20</v>
      </c>
      <c r="C9514" s="18" t="s">
        <v>41608</v>
      </c>
      <c r="D9514" s="18" t="s">
        <v>315</v>
      </c>
      <c r="E9514" s="18" t="s">
        <v>41609</v>
      </c>
      <c r="F9514" s="18" t="str">
        <f>IFERROR(__XLUDF.DUMMYFUNCTION("PROPER(REGEXREPLACE(D331,""[^A-Za-z]+ "",""""))"),"Alphawave Fr")</f>
        <v xml:space="preserve">Alphawave Fr</v>
      </c>
      <c r="G9514" s="18" t="s">
        <v>41610</v>
      </c>
      <c r="H9514" s="18">
        <v>5</v>
      </c>
      <c r="I9514" s="18" t="s">
        <v>39661</v>
      </c>
      <c r="J9514" s="5" t="s">
        <v>41611</v>
      </c>
      <c r="K9514" s="5" t="s">
        <v>41612</v>
      </c>
      <c r="L9514" s="18" t="s">
        <v>39</v>
      </c>
      <c r="M9514" s="18" t="s">
        <v>29</v>
      </c>
      <c r="N9514" s="18" t="s">
        <v>22032</v>
      </c>
      <c r="O9514" s="18" t="s">
        <v>29</v>
      </c>
      <c r="P9514" s="18" t="s">
        <v>41613</v>
      </c>
      <c r="Q9514" s="6"/>
      <c r="R9514" s="6"/>
      <c r="S9514" s="6"/>
      <c r="T9514" s="6"/>
      <c r="U9514" s="6"/>
    </row>
    <row r="9515" ht="14.25">
      <c r="B9515" s="18" t="s">
        <v>17774</v>
      </c>
      <c r="C9515" s="18" t="s">
        <v>29627</v>
      </c>
      <c r="D9515" s="18" t="s">
        <v>41614</v>
      </c>
      <c r="E9515" s="18" t="s">
        <v>41615</v>
      </c>
      <c r="F9515" s="18" t="str">
        <f>IFERROR(__XLUDF.DUMMYFUNCTION("PROPER(REGEXREPLACE(D332,""[^A-Za-z]+ "",""""))"),"Assurgestion Finance")</f>
        <v xml:space="preserve">Assurgestion Finance</v>
      </c>
      <c r="G9515" s="18" t="s">
        <v>41616</v>
      </c>
      <c r="H9515" s="18">
        <v>1</v>
      </c>
      <c r="I9515" s="18" t="s">
        <v>39661</v>
      </c>
      <c r="J9515" s="5" t="s">
        <v>41617</v>
      </c>
      <c r="K9515" s="5" t="s">
        <v>41618</v>
      </c>
      <c r="L9515" s="18" t="s">
        <v>39</v>
      </c>
      <c r="M9515" s="18" t="s">
        <v>29</v>
      </c>
      <c r="N9515" s="18" t="s">
        <v>41619</v>
      </c>
      <c r="O9515" s="18" t="s">
        <v>29</v>
      </c>
      <c r="P9515" s="18" t="s">
        <v>41620</v>
      </c>
      <c r="Q9515" s="6"/>
      <c r="R9515" s="6"/>
      <c r="S9515" s="6"/>
      <c r="T9515" s="6"/>
      <c r="U9515" s="6"/>
    </row>
    <row r="9516" ht="14.25">
      <c r="B9516" s="18" t="s">
        <v>322</v>
      </c>
      <c r="C9516" s="18" t="s">
        <v>41621</v>
      </c>
      <c r="D9516" s="18" t="s">
        <v>688</v>
      </c>
      <c r="E9516" s="18" t="s">
        <v>41622</v>
      </c>
      <c r="F9516" s="18" t="str">
        <f>IFERROR(__XLUDF.DUMMYFUNCTION("PROPER(REGEXREPLACE(D333,""[^A-Za-z]+ "",""""))"),"Assurva")</f>
        <v>Assurva</v>
      </c>
      <c r="G9516" s="18" t="s">
        <v>41623</v>
      </c>
      <c r="H9516" s="18">
        <v>1</v>
      </c>
      <c r="I9516" s="18" t="s">
        <v>39661</v>
      </c>
      <c r="J9516" s="5" t="s">
        <v>41624</v>
      </c>
      <c r="K9516" s="5" t="s">
        <v>41625</v>
      </c>
      <c r="L9516" s="18" t="s">
        <v>39</v>
      </c>
      <c r="M9516" s="18" t="s">
        <v>29</v>
      </c>
      <c r="N9516" s="18" t="s">
        <v>41626</v>
      </c>
      <c r="O9516" s="18" t="s">
        <v>29</v>
      </c>
      <c r="P9516" s="18" t="s">
        <v>41627</v>
      </c>
      <c r="Q9516" s="6"/>
      <c r="R9516" s="6"/>
      <c r="S9516" s="6"/>
      <c r="T9516" s="6"/>
      <c r="U9516" s="6"/>
    </row>
    <row r="9517" ht="14.25">
      <c r="B9517" s="18" t="s">
        <v>118</v>
      </c>
      <c r="C9517" s="18" t="s">
        <v>41628</v>
      </c>
      <c r="D9517" s="18" t="s">
        <v>41629</v>
      </c>
      <c r="E9517" s="18" t="s">
        <v>41630</v>
      </c>
      <c r="F9517" s="18" t="str">
        <f>IFERROR(__XLUDF.DUMMYFUNCTION("PROPER(REGEXREPLACE(D334,""[^A-Za-z]+ "",""""))"),"Oko")</f>
        <v>Oko</v>
      </c>
      <c r="G9517" s="18" t="s">
        <v>41631</v>
      </c>
      <c r="H9517" s="18">
        <v>41</v>
      </c>
      <c r="I9517" s="18" t="s">
        <v>39661</v>
      </c>
      <c r="J9517" s="5" t="s">
        <v>41632</v>
      </c>
      <c r="K9517" s="5" t="s">
        <v>41633</v>
      </c>
      <c r="L9517" s="6"/>
      <c r="M9517" s="18" t="s">
        <v>29</v>
      </c>
      <c r="N9517" s="18" t="s">
        <v>1094</v>
      </c>
      <c r="O9517" s="18" t="s">
        <v>1094</v>
      </c>
      <c r="P9517" s="18" t="s">
        <v>41634</v>
      </c>
      <c r="Q9517" s="6"/>
      <c r="R9517" s="6"/>
      <c r="S9517" s="6"/>
      <c r="T9517" s="6"/>
      <c r="U9517" s="6"/>
    </row>
    <row r="9518" ht="14.25">
      <c r="B9518" s="18" t="s">
        <v>971</v>
      </c>
      <c r="C9518" s="18" t="s">
        <v>39989</v>
      </c>
      <c r="D9518" s="18" t="s">
        <v>247</v>
      </c>
      <c r="E9518" s="18" t="s">
        <v>39990</v>
      </c>
      <c r="F9518" s="18" t="str">
        <f>IFERROR(__XLUDF.DUMMYFUNCTION("PROPER(REGEXREPLACE(D335,""[^A-Za-z]+ "",""""))"),"Dedomainia")</f>
        <v>Dedomainia</v>
      </c>
      <c r="G9518" s="18" t="s">
        <v>41635</v>
      </c>
      <c r="H9518" s="18">
        <v>35</v>
      </c>
      <c r="I9518" s="18" t="s">
        <v>39661</v>
      </c>
      <c r="J9518" s="5" t="s">
        <v>41636</v>
      </c>
      <c r="K9518" s="5" t="s">
        <v>39993</v>
      </c>
      <c r="L9518" s="18" t="s">
        <v>243</v>
      </c>
      <c r="M9518" s="18" t="s">
        <v>29</v>
      </c>
      <c r="N9518" s="18" t="s">
        <v>39994</v>
      </c>
      <c r="O9518" s="18" t="s">
        <v>29</v>
      </c>
      <c r="P9518" s="18" t="s">
        <v>39995</v>
      </c>
      <c r="Q9518" s="6"/>
      <c r="R9518" s="6"/>
      <c r="S9518" s="6"/>
      <c r="T9518" s="6"/>
      <c r="U9518" s="6"/>
    </row>
    <row r="9519" ht="14.25">
      <c r="B9519" s="18" t="s">
        <v>5579</v>
      </c>
      <c r="C9519" s="18" t="s">
        <v>41637</v>
      </c>
      <c r="D9519" s="18" t="s">
        <v>1130</v>
      </c>
      <c r="E9519" s="18" t="s">
        <v>41638</v>
      </c>
      <c r="F9519" s="18" t="str">
        <f>IFERROR(__XLUDF.DUMMYFUNCTION("PROPER(REGEXREPLACE(D336,""[^A-Za-z]+ "",""""))"),"Elexia")</f>
        <v>Elexia</v>
      </c>
      <c r="G9519" s="18" t="s">
        <v>41639</v>
      </c>
      <c r="H9519" s="18">
        <v>31</v>
      </c>
      <c r="I9519" s="18" t="s">
        <v>39661</v>
      </c>
      <c r="J9519" s="5" t="s">
        <v>41640</v>
      </c>
      <c r="K9519" s="5" t="s">
        <v>41641</v>
      </c>
      <c r="L9519" s="6"/>
      <c r="M9519" s="18" t="s">
        <v>29</v>
      </c>
      <c r="N9519" s="18" t="s">
        <v>4361</v>
      </c>
      <c r="O9519" s="18" t="s">
        <v>29</v>
      </c>
      <c r="P9519" s="18" t="s">
        <v>41642</v>
      </c>
      <c r="Q9519" s="6"/>
      <c r="R9519" s="6"/>
      <c r="S9519" s="6"/>
      <c r="T9519" s="6"/>
      <c r="U9519" s="6"/>
    </row>
    <row r="9520" ht="14.25">
      <c r="B9520" s="18" t="s">
        <v>1396</v>
      </c>
      <c r="C9520" s="18" t="s">
        <v>41643</v>
      </c>
      <c r="D9520" s="18" t="s">
        <v>198</v>
      </c>
      <c r="E9520" s="18" t="s">
        <v>41644</v>
      </c>
      <c r="F9520" s="18" t="str">
        <f>IFERROR(__XLUDF.DUMMYFUNCTION("PROPER(REGEXREPLACE(D337,""[^A-Za-z]+ "",""""))"),"Cocoon")</f>
        <v>Cocoon</v>
      </c>
      <c r="G9520" s="18" t="s">
        <v>41645</v>
      </c>
      <c r="H9520" s="18">
        <v>37</v>
      </c>
      <c r="I9520" s="18" t="s">
        <v>39661</v>
      </c>
      <c r="J9520" s="5" t="s">
        <v>41646</v>
      </c>
      <c r="K9520" s="5" t="s">
        <v>41647</v>
      </c>
      <c r="L9520" s="6"/>
      <c r="M9520" s="18" t="s">
        <v>29</v>
      </c>
      <c r="N9520" s="18" t="s">
        <v>41648</v>
      </c>
      <c r="O9520" s="18" t="s">
        <v>29</v>
      </c>
      <c r="P9520" s="18" t="s">
        <v>41649</v>
      </c>
      <c r="Q9520" s="6"/>
      <c r="R9520" s="6"/>
      <c r="S9520" s="6"/>
      <c r="T9520" s="6"/>
      <c r="U9520" s="6"/>
    </row>
    <row r="9521" ht="14.25">
      <c r="B9521" s="18" t="s">
        <v>110</v>
      </c>
      <c r="C9521" s="18" t="s">
        <v>41650</v>
      </c>
      <c r="D9521" s="18" t="s">
        <v>112</v>
      </c>
      <c r="E9521" s="18" t="s">
        <v>41651</v>
      </c>
      <c r="F9521" s="18" t="str">
        <f>IFERROR(__XLUDF.DUMMYFUNCTION("PROPER(REGEXREPLACE(D338,""[^A-Za-z]+ "",""""))"),"Fides Patrimoine Finance")</f>
        <v xml:space="preserve">Fides Patrimoine Finance</v>
      </c>
      <c r="G9521" s="18" t="s">
        <v>41652</v>
      </c>
      <c r="H9521" s="18">
        <v>1</v>
      </c>
      <c r="I9521" s="18" t="s">
        <v>39661</v>
      </c>
      <c r="J9521" s="5" t="s">
        <v>41653</v>
      </c>
      <c r="K9521" s="5" t="s">
        <v>41654</v>
      </c>
      <c r="L9521" s="18" t="s">
        <v>39</v>
      </c>
      <c r="M9521" s="18" t="s">
        <v>29</v>
      </c>
      <c r="N9521" s="18" t="s">
        <v>67</v>
      </c>
      <c r="O9521" s="18" t="s">
        <v>29</v>
      </c>
      <c r="P9521" s="6"/>
      <c r="Q9521" s="6"/>
      <c r="R9521" s="6"/>
      <c r="S9521" s="6"/>
      <c r="T9521" s="6"/>
      <c r="U9521" s="6"/>
    </row>
    <row r="9522" ht="14.25">
      <c r="B9522" s="18" t="s">
        <v>170</v>
      </c>
      <c r="C9522" s="18" t="s">
        <v>41655</v>
      </c>
      <c r="D9522" s="18" t="s">
        <v>112</v>
      </c>
      <c r="E9522" s="18" t="s">
        <v>41656</v>
      </c>
      <c r="F9522" s="18" t="str">
        <f>IFERROR(__XLUDF.DUMMYFUNCTION("PROPER(REGEXREPLACE(D339,""[^A-Za-z]+ "",""""))"),"Groupe Mansuy Assurances")</f>
        <v xml:space="preserve">Groupe Mansuy Assurances</v>
      </c>
      <c r="G9522" s="18" t="s">
        <v>41657</v>
      </c>
      <c r="H9522" s="18">
        <v>41</v>
      </c>
      <c r="I9522" s="18" t="s">
        <v>39661</v>
      </c>
      <c r="J9522" s="5" t="s">
        <v>41658</v>
      </c>
      <c r="K9522" s="5" t="s">
        <v>41659</v>
      </c>
      <c r="L9522" s="18" t="s">
        <v>41660</v>
      </c>
      <c r="M9522" s="18" t="s">
        <v>29</v>
      </c>
      <c r="N9522" s="18" t="s">
        <v>41661</v>
      </c>
      <c r="O9522" s="18" t="s">
        <v>29</v>
      </c>
      <c r="P9522" s="6"/>
      <c r="Q9522" s="6"/>
      <c r="R9522" s="6"/>
      <c r="S9522" s="6"/>
      <c r="T9522" s="6"/>
      <c r="U9522" s="6"/>
    </row>
    <row r="9523" ht="14.25">
      <c r="B9523" s="18" t="s">
        <v>2299</v>
      </c>
      <c r="C9523" s="18" t="s">
        <v>41662</v>
      </c>
      <c r="D9523" s="18" t="s">
        <v>25705</v>
      </c>
      <c r="E9523" s="18" t="s">
        <v>41663</v>
      </c>
      <c r="F9523" s="18" t="str">
        <f>IFERROR(__XLUDF.DUMMYFUNCTION("PROPER(REGEXREPLACE(D340,""[^A-Za-z]+ "",""""))"),"Acssur Courtier Comparateur Agile D'Assurances")</f>
        <v xml:space="preserve">Acssur Courtier Comparateur Agile D'Assurances</v>
      </c>
      <c r="G9523" s="18" t="s">
        <v>41664</v>
      </c>
      <c r="H9523" s="18">
        <v>49</v>
      </c>
      <c r="I9523" s="18" t="s">
        <v>39661</v>
      </c>
      <c r="J9523" s="5" t="s">
        <v>41665</v>
      </c>
      <c r="K9523" s="5" t="s">
        <v>41666</v>
      </c>
      <c r="L9523" s="18" t="s">
        <v>49</v>
      </c>
      <c r="M9523" s="18" t="s">
        <v>29</v>
      </c>
      <c r="N9523" s="18" t="s">
        <v>41667</v>
      </c>
      <c r="O9523" s="18" t="s">
        <v>29</v>
      </c>
      <c r="P9523" s="18" t="s">
        <v>41668</v>
      </c>
      <c r="Q9523" s="6"/>
      <c r="R9523" s="6"/>
      <c r="S9523" s="6"/>
      <c r="T9523" s="6"/>
      <c r="U9523" s="6"/>
    </row>
    <row r="9524" ht="14.25">
      <c r="B9524" s="18" t="s">
        <v>1740</v>
      </c>
      <c r="C9524" s="18" t="s">
        <v>10834</v>
      </c>
      <c r="D9524" s="18" t="s">
        <v>40860</v>
      </c>
      <c r="E9524" s="18" t="s">
        <v>40250</v>
      </c>
      <c r="F9524" s="18" t="str">
        <f>IFERROR(__XLUDF.DUMMYFUNCTION("PROPER(REGEXREPLACE(D341,""[^A-Za-z]+ "",""""))"),"Wesur")</f>
        <v>Wesur</v>
      </c>
      <c r="G9524" s="18" t="s">
        <v>41669</v>
      </c>
      <c r="H9524" s="18">
        <v>12</v>
      </c>
      <c r="I9524" s="18" t="s">
        <v>39661</v>
      </c>
      <c r="J9524" s="5" t="s">
        <v>41670</v>
      </c>
      <c r="K9524" s="5" t="s">
        <v>40253</v>
      </c>
      <c r="L9524" s="18" t="s">
        <v>492</v>
      </c>
      <c r="M9524" s="18" t="s">
        <v>29</v>
      </c>
      <c r="N9524" s="6"/>
      <c r="O9524" s="6"/>
      <c r="P9524" s="18" t="s">
        <v>40254</v>
      </c>
      <c r="Q9524" s="6"/>
      <c r="R9524" s="6"/>
      <c r="S9524" s="6"/>
      <c r="T9524" s="6"/>
      <c r="U9524" s="6"/>
    </row>
    <row r="9525" ht="14.25">
      <c r="B9525" s="18" t="s">
        <v>1215</v>
      </c>
      <c r="C9525" s="18" t="s">
        <v>41671</v>
      </c>
      <c r="D9525" s="18" t="s">
        <v>426</v>
      </c>
      <c r="E9525" s="18" t="s">
        <v>41672</v>
      </c>
      <c r="F9525" s="18" t="str">
        <f>IFERROR(__XLUDF.DUMMYFUNCTION("PROPER(REGEXREPLACE(D342,""[^A-Za-z]+ "",""""))"),"Uni Santprévoyance")</f>
        <v xml:space="preserve">Uni Santprévoyance</v>
      </c>
      <c r="G9525" s="18" t="s">
        <v>41673</v>
      </c>
      <c r="H9525" s="18">
        <v>25</v>
      </c>
      <c r="I9525" s="18" t="s">
        <v>39661</v>
      </c>
      <c r="J9525" s="5" t="s">
        <v>41674</v>
      </c>
      <c r="K9525" s="5" t="s">
        <v>41675</v>
      </c>
      <c r="L9525" s="18" t="s">
        <v>39</v>
      </c>
      <c r="M9525" s="18" t="s">
        <v>29</v>
      </c>
      <c r="N9525" s="18" t="s">
        <v>41676</v>
      </c>
      <c r="O9525" s="18" t="s">
        <v>29</v>
      </c>
      <c r="P9525" s="18" t="s">
        <v>41677</v>
      </c>
      <c r="Q9525" s="6"/>
      <c r="R9525" s="6"/>
      <c r="S9525" s="6"/>
      <c r="T9525" s="6"/>
      <c r="U9525" s="6"/>
    </row>
    <row r="9526" ht="14.25">
      <c r="B9526" s="18" t="s">
        <v>5111</v>
      </c>
      <c r="C9526" s="18" t="s">
        <v>41678</v>
      </c>
      <c r="D9526" s="18" t="s">
        <v>198</v>
      </c>
      <c r="E9526" s="18" t="s">
        <v>41679</v>
      </c>
      <c r="F9526" s="18" t="str">
        <f>IFERROR(__XLUDF.DUMMYFUNCTION("PROPER(REGEXREPLACE(D343,""[^A-Za-z]+ "",""""))"),"Mutuelle Mos")</f>
        <v xml:space="preserve">Mutuelle Mos</v>
      </c>
      <c r="G9526" s="18" t="s">
        <v>41680</v>
      </c>
      <c r="H9526" s="18">
        <v>14</v>
      </c>
      <c r="I9526" s="18" t="s">
        <v>39661</v>
      </c>
      <c r="J9526" s="5" t="s">
        <v>41681</v>
      </c>
      <c r="K9526" s="5" t="s">
        <v>41682</v>
      </c>
      <c r="L9526" s="18" t="s">
        <v>149</v>
      </c>
      <c r="M9526" s="18" t="s">
        <v>29</v>
      </c>
      <c r="N9526" s="18" t="s">
        <v>41683</v>
      </c>
      <c r="O9526" s="18" t="s">
        <v>29</v>
      </c>
      <c r="P9526" s="18" t="s">
        <v>41684</v>
      </c>
      <c r="Q9526" s="6"/>
      <c r="R9526" s="6"/>
      <c r="S9526" s="6"/>
      <c r="T9526" s="6"/>
      <c r="U9526" s="6"/>
    </row>
    <row r="9527" ht="14.25">
      <c r="B9527" s="18" t="s">
        <v>41685</v>
      </c>
      <c r="C9527" s="18" t="s">
        <v>5111</v>
      </c>
      <c r="D9527" s="18" t="s">
        <v>172</v>
      </c>
      <c r="E9527" s="18" t="s">
        <v>41686</v>
      </c>
      <c r="F9527" s="18" t="str">
        <f>IFERROR(__XLUDF.DUMMYFUNCTION("PROPER(REGEXREPLACE(D344,""[^A-Za-z]+ "",""""))"),"Insurem")</f>
        <v>Insurem</v>
      </c>
      <c r="G9527" s="18" t="s">
        <v>41687</v>
      </c>
      <c r="H9527" s="18">
        <v>11</v>
      </c>
      <c r="I9527" s="18" t="s">
        <v>39661</v>
      </c>
      <c r="J9527" s="5" t="s">
        <v>41688</v>
      </c>
      <c r="K9527" s="5" t="s">
        <v>41689</v>
      </c>
      <c r="L9527" s="18" t="s">
        <v>185</v>
      </c>
      <c r="M9527" s="18" t="s">
        <v>29</v>
      </c>
      <c r="N9527" s="18" t="s">
        <v>41690</v>
      </c>
      <c r="O9527" s="18" t="s">
        <v>29236</v>
      </c>
      <c r="P9527" s="6"/>
      <c r="Q9527" s="6"/>
      <c r="R9527" s="6"/>
      <c r="S9527" s="6"/>
      <c r="T9527" s="6"/>
      <c r="U9527" s="6"/>
    </row>
    <row r="9528" ht="14.25">
      <c r="B9528" s="18" t="s">
        <v>76</v>
      </c>
      <c r="C9528" s="18" t="s">
        <v>41691</v>
      </c>
      <c r="D9528" s="18" t="s">
        <v>426</v>
      </c>
      <c r="E9528" s="18" t="s">
        <v>41692</v>
      </c>
      <c r="F9528" s="18" t="str">
        <f>IFERROR(__XLUDF.DUMMYFUNCTION("PROPER(REGEXREPLACE(D345,""[^A-Za-z]+ "",""""))"),"Fraeris")</f>
        <v>Fraeris</v>
      </c>
      <c r="G9528" s="18" t="s">
        <v>41693</v>
      </c>
      <c r="H9528" s="18">
        <v>20</v>
      </c>
      <c r="I9528" s="18" t="s">
        <v>39661</v>
      </c>
      <c r="J9528" s="5" t="s">
        <v>41694</v>
      </c>
      <c r="K9528" s="5" t="s">
        <v>41695</v>
      </c>
      <c r="L9528" s="18" t="s">
        <v>39</v>
      </c>
      <c r="M9528" s="18" t="s">
        <v>29</v>
      </c>
      <c r="N9528" s="18" t="s">
        <v>41696</v>
      </c>
      <c r="O9528" s="18" t="s">
        <v>29</v>
      </c>
      <c r="P9528" s="6"/>
      <c r="Q9528" s="6"/>
      <c r="R9528" s="6"/>
      <c r="S9528" s="6"/>
      <c r="T9528" s="6"/>
      <c r="U9528" s="6"/>
    </row>
    <row r="9529" ht="14.25">
      <c r="B9529" s="18" t="s">
        <v>661</v>
      </c>
      <c r="C9529" s="18" t="s">
        <v>41697</v>
      </c>
      <c r="D9529" s="18" t="s">
        <v>426</v>
      </c>
      <c r="E9529" s="18" t="s">
        <v>41698</v>
      </c>
      <c r="F9529" s="18" t="str">
        <f>IFERROR(__XLUDF.DUMMYFUNCTION("PROPER(REGEXREPLACE(D346,""[^A-Za-z]+ "",""""))"),"Cva")</f>
        <v>Cva</v>
      </c>
      <c r="G9529" s="18" t="s">
        <v>41699</v>
      </c>
      <c r="H9529" s="18">
        <v>11</v>
      </c>
      <c r="I9529" s="18" t="s">
        <v>39661</v>
      </c>
      <c r="J9529" s="5" t="s">
        <v>41700</v>
      </c>
      <c r="K9529" s="5" t="s">
        <v>41701</v>
      </c>
      <c r="L9529" s="18" t="s">
        <v>16312</v>
      </c>
      <c r="M9529" s="18" t="s">
        <v>29</v>
      </c>
      <c r="N9529" s="18" t="s">
        <v>41702</v>
      </c>
      <c r="O9529" s="18" t="s">
        <v>29</v>
      </c>
      <c r="P9529" s="18" t="s">
        <v>41703</v>
      </c>
      <c r="Q9529" s="6"/>
      <c r="R9529" s="6"/>
      <c r="S9529" s="6"/>
      <c r="T9529" s="6"/>
      <c r="U9529" s="6"/>
    </row>
    <row r="9530" ht="14.25">
      <c r="B9530" s="18" t="s">
        <v>76</v>
      </c>
      <c r="C9530" s="18" t="s">
        <v>295</v>
      </c>
      <c r="D9530" s="18" t="s">
        <v>426</v>
      </c>
      <c r="E9530" s="18" t="s">
        <v>41704</v>
      </c>
      <c r="F9530" s="18" t="str">
        <f>IFERROR(__XLUDF.DUMMYFUNCTION("PROPER(REGEXREPLACE(D347,""[^A-Za-z]+ "",""""))"),"Amp Assurances")</f>
        <v xml:space="preserve">Amp Assurances</v>
      </c>
      <c r="G9530" s="18" t="s">
        <v>41705</v>
      </c>
      <c r="H9530" s="18">
        <v>47</v>
      </c>
      <c r="I9530" s="18" t="s">
        <v>39661</v>
      </c>
      <c r="J9530" s="5" t="s">
        <v>41706</v>
      </c>
      <c r="K9530" s="5" t="s">
        <v>41707</v>
      </c>
      <c r="L9530" s="18" t="s">
        <v>6480</v>
      </c>
      <c r="M9530" s="18" t="s">
        <v>29</v>
      </c>
      <c r="N9530" s="18" t="s">
        <v>41708</v>
      </c>
      <c r="O9530" s="18" t="s">
        <v>29</v>
      </c>
      <c r="P9530" s="18" t="s">
        <v>41709</v>
      </c>
      <c r="Q9530" s="6"/>
      <c r="R9530" s="6"/>
      <c r="S9530" s="6"/>
      <c r="T9530" s="6"/>
      <c r="U9530" s="6"/>
    </row>
    <row r="9531" ht="14.25">
      <c r="B9531" s="18" t="s">
        <v>808</v>
      </c>
      <c r="C9531" s="18" t="s">
        <v>41710</v>
      </c>
      <c r="D9531" s="18" t="s">
        <v>87</v>
      </c>
      <c r="E9531" s="18" t="s">
        <v>40100</v>
      </c>
      <c r="F9531" s="18" t="str">
        <f>IFERROR(__XLUDF.DUMMYFUNCTION("PROPER(REGEXREPLACE(D348,""[^A-Za-z]+ "",""""))"),"Horizon Assurances")</f>
        <v xml:space="preserve">Horizon Assurances</v>
      </c>
      <c r="G9531" s="18" t="s">
        <v>41711</v>
      </c>
      <c r="H9531" s="18">
        <v>10</v>
      </c>
      <c r="I9531" s="18" t="s">
        <v>39661</v>
      </c>
      <c r="J9531" s="5" t="s">
        <v>41712</v>
      </c>
      <c r="K9531" s="5" t="s">
        <v>40103</v>
      </c>
      <c r="L9531" s="18" t="s">
        <v>49</v>
      </c>
      <c r="M9531" s="18" t="s">
        <v>29</v>
      </c>
      <c r="N9531" s="18" t="s">
        <v>40104</v>
      </c>
      <c r="O9531" s="18" t="s">
        <v>29</v>
      </c>
      <c r="P9531" s="18" t="s">
        <v>40105</v>
      </c>
      <c r="Q9531" s="6"/>
      <c r="R9531" s="6"/>
      <c r="S9531" s="6"/>
      <c r="T9531" s="6"/>
      <c r="U9531" s="6"/>
    </row>
    <row r="9532" ht="14.25">
      <c r="B9532" s="18" t="s">
        <v>963</v>
      </c>
      <c r="C9532" s="18" t="s">
        <v>26529</v>
      </c>
      <c r="D9532" s="18" t="s">
        <v>3637</v>
      </c>
      <c r="E9532" s="18" t="s">
        <v>41713</v>
      </c>
      <c r="F9532" s="18" t="str">
        <f>IFERROR(__XLUDF.DUMMYFUNCTION("PROPER(REGEXREPLACE(D349,""[^A-Za-z]+ "",""""))"),"Evalucar")</f>
        <v>Evalucar</v>
      </c>
      <c r="G9532" s="18" t="s">
        <v>41714</v>
      </c>
      <c r="H9532" s="18">
        <v>7</v>
      </c>
      <c r="I9532" s="18" t="s">
        <v>39661</v>
      </c>
      <c r="J9532" s="5" t="s">
        <v>41715</v>
      </c>
      <c r="K9532" s="5" t="s">
        <v>41716</v>
      </c>
      <c r="L9532" s="18" t="s">
        <v>2734</v>
      </c>
      <c r="M9532" s="18" t="s">
        <v>29</v>
      </c>
      <c r="N9532" s="18" t="s">
        <v>26493</v>
      </c>
      <c r="O9532" s="18" t="s">
        <v>29</v>
      </c>
      <c r="P9532" s="18" t="s">
        <v>41717</v>
      </c>
      <c r="Q9532" s="6"/>
      <c r="R9532" s="6"/>
      <c r="S9532" s="6"/>
      <c r="T9532" s="6"/>
      <c r="U9532" s="6"/>
    </row>
    <row r="9533" ht="14.25">
      <c r="B9533" s="18" t="s">
        <v>3177</v>
      </c>
      <c r="C9533" s="18" t="s">
        <v>41718</v>
      </c>
      <c r="D9533" s="18" t="s">
        <v>41719</v>
      </c>
      <c r="E9533" s="18" t="s">
        <v>41720</v>
      </c>
      <c r="F9533" s="18" t="str">
        <f>IFERROR(__XLUDF.DUMMYFUNCTION("PROPER(REGEXREPLACE(D350,""[^A-Za-z]+ "",""""))"),"Lapi Groupe")</f>
        <v xml:space="preserve">Lapi Groupe</v>
      </c>
      <c r="G9533" s="18" t="s">
        <v>41721</v>
      </c>
      <c r="H9533" s="18">
        <v>6</v>
      </c>
      <c r="I9533" s="18" t="s">
        <v>39661</v>
      </c>
      <c r="J9533" s="5" t="s">
        <v>41722</v>
      </c>
      <c r="K9533" s="5" t="s">
        <v>41723</v>
      </c>
      <c r="L9533" s="18" t="s">
        <v>17925</v>
      </c>
      <c r="M9533" s="18" t="s">
        <v>29</v>
      </c>
      <c r="N9533" s="18" t="s">
        <v>41724</v>
      </c>
      <c r="O9533" s="18" t="s">
        <v>29</v>
      </c>
      <c r="P9533" s="6"/>
      <c r="Q9533" s="6"/>
      <c r="R9533" s="6"/>
      <c r="S9533" s="6"/>
      <c r="T9533" s="6"/>
      <c r="U9533" s="6"/>
    </row>
    <row r="9534" ht="14.25">
      <c r="B9534" s="18" t="s">
        <v>31</v>
      </c>
      <c r="C9534" s="18" t="s">
        <v>41725</v>
      </c>
      <c r="D9534" s="18" t="s">
        <v>87</v>
      </c>
      <c r="E9534" s="5" t="s">
        <v>41726</v>
      </c>
      <c r="F9534" s="5" t="str">
        <f>IFERROR(__XLUDF.DUMMYFUNCTION("PROPER(REGEXREPLACE(D351,""[^A-Za-z]+ "",""""))"),"Lelynx.Fr")</f>
        <v>Lelynx.Fr</v>
      </c>
      <c r="G9534" s="18" t="s">
        <v>41727</v>
      </c>
      <c r="H9534" s="18">
        <v>50</v>
      </c>
      <c r="I9534" s="18" t="s">
        <v>39661</v>
      </c>
      <c r="J9534" s="5" t="s">
        <v>41728</v>
      </c>
      <c r="K9534" s="5" t="s">
        <v>41729</v>
      </c>
      <c r="L9534" s="6"/>
      <c r="M9534" s="18" t="s">
        <v>29</v>
      </c>
      <c r="N9534" s="18" t="s">
        <v>41730</v>
      </c>
      <c r="O9534" s="18" t="s">
        <v>29</v>
      </c>
      <c r="P9534" s="18" t="s">
        <v>41731</v>
      </c>
      <c r="Q9534" s="6"/>
      <c r="R9534" s="6"/>
      <c r="S9534" s="6"/>
      <c r="T9534" s="6"/>
      <c r="U9534" s="6"/>
    </row>
    <row r="9535" ht="14.25">
      <c r="B9535" s="18" t="s">
        <v>27402</v>
      </c>
      <c r="C9535" s="18" t="s">
        <v>41732</v>
      </c>
      <c r="D9535" s="18" t="s">
        <v>41733</v>
      </c>
      <c r="E9535" s="18" t="s">
        <v>41734</v>
      </c>
      <c r="F9535" s="18" t="str">
        <f>IFERROR(__XLUDF.DUMMYFUNCTION("PROPER(REGEXREPLACE(D352,""[^A-Za-z]+ "",""""))"),"Hnactive")</f>
        <v>Hnactive</v>
      </c>
      <c r="G9535" s="18" t="s">
        <v>41735</v>
      </c>
      <c r="H9535" s="6"/>
      <c r="I9535" s="6"/>
      <c r="J9535" s="5" t="s">
        <v>41736</v>
      </c>
      <c r="K9535" s="5" t="s">
        <v>41737</v>
      </c>
      <c r="L9535" s="18" t="s">
        <v>39</v>
      </c>
      <c r="M9535" s="18" t="s">
        <v>29</v>
      </c>
      <c r="N9535" s="18" t="s">
        <v>67</v>
      </c>
      <c r="O9535" s="18" t="s">
        <v>29</v>
      </c>
      <c r="P9535" s="6"/>
      <c r="Q9535" s="6"/>
      <c r="R9535" s="6"/>
      <c r="S9535" s="6"/>
      <c r="T9535" s="6"/>
      <c r="U9535" s="6"/>
    </row>
    <row r="9536" ht="14.25">
      <c r="B9536" s="18" t="s">
        <v>785</v>
      </c>
      <c r="C9536" s="18" t="s">
        <v>24920</v>
      </c>
      <c r="D9536" s="18" t="s">
        <v>172</v>
      </c>
      <c r="E9536" s="18" t="s">
        <v>41738</v>
      </c>
      <c r="F9536" s="18" t="str">
        <f>IFERROR(__XLUDF.DUMMYFUNCTION("PROPER(REGEXREPLACE(D353,""[^A-Za-z]+ "",""""))"),"Oxylians")</f>
        <v>Oxylians</v>
      </c>
      <c r="G9536" s="18" t="s">
        <v>41739</v>
      </c>
      <c r="H9536" s="6"/>
      <c r="I9536" s="6"/>
      <c r="J9536" s="5" t="s">
        <v>41740</v>
      </c>
      <c r="K9536" s="5" t="s">
        <v>41741</v>
      </c>
      <c r="L9536" s="18" t="s">
        <v>39</v>
      </c>
      <c r="M9536" s="18" t="s">
        <v>29</v>
      </c>
      <c r="N9536" s="18" t="s">
        <v>67</v>
      </c>
      <c r="O9536" s="18" t="s">
        <v>29</v>
      </c>
      <c r="P9536" s="6"/>
      <c r="Q9536" s="6"/>
      <c r="R9536" s="6"/>
      <c r="S9536" s="6"/>
      <c r="T9536" s="6"/>
      <c r="U9536" s="6"/>
    </row>
    <row r="9537" ht="14.25">
      <c r="B9537" s="18" t="s">
        <v>28249</v>
      </c>
      <c r="C9537" s="18" t="s">
        <v>41742</v>
      </c>
      <c r="D9537" s="18" t="s">
        <v>41743</v>
      </c>
      <c r="E9537" s="18" t="s">
        <v>41744</v>
      </c>
      <c r="F9537" s="18" t="str">
        <f>IFERROR(__XLUDF.DUMMYFUNCTION("PROPER(REGEXREPLACE(D354,""[^A-Za-z]+ "",""""))"),"Weendeal")</f>
        <v>Weendeal</v>
      </c>
      <c r="G9537" s="18" t="s">
        <v>41745</v>
      </c>
      <c r="H9537" s="18">
        <v>26</v>
      </c>
      <c r="I9537" s="18" t="s">
        <v>39661</v>
      </c>
      <c r="J9537" s="5" t="s">
        <v>41746</v>
      </c>
      <c r="K9537" s="5" t="s">
        <v>41747</v>
      </c>
      <c r="L9537" s="6"/>
      <c r="M9537" s="18" t="s">
        <v>29</v>
      </c>
      <c r="N9537" s="18" t="s">
        <v>41748</v>
      </c>
      <c r="O9537" s="18" t="s">
        <v>29</v>
      </c>
      <c r="P9537" s="6"/>
      <c r="Q9537" s="6"/>
      <c r="R9537" s="6"/>
      <c r="S9537" s="6"/>
      <c r="T9537" s="6"/>
      <c r="U9537" s="6"/>
    </row>
    <row r="9538" ht="14.25">
      <c r="B9538" s="18" t="s">
        <v>808</v>
      </c>
      <c r="C9538" s="18" t="s">
        <v>14144</v>
      </c>
      <c r="D9538" s="18" t="s">
        <v>41749</v>
      </c>
      <c r="E9538" s="18" t="s">
        <v>41750</v>
      </c>
      <c r="F9538" s="18" t="str">
        <f>IFERROR(__XLUDF.DUMMYFUNCTION("PROPER(REGEXREPLACE(D355,""[^A-Za-z]+ "",""""))"),"Axa Passion")</f>
        <v xml:space="preserve">Axa Passion</v>
      </c>
      <c r="G9538" s="18" t="s">
        <v>41751</v>
      </c>
      <c r="H9538" s="18">
        <v>59</v>
      </c>
      <c r="I9538" s="18" t="s">
        <v>39661</v>
      </c>
      <c r="J9538" s="5" t="s">
        <v>41752</v>
      </c>
      <c r="K9538" s="5" t="s">
        <v>41753</v>
      </c>
      <c r="L9538" s="18" t="s">
        <v>39</v>
      </c>
      <c r="M9538" s="18" t="s">
        <v>29</v>
      </c>
      <c r="N9538" s="18" t="s">
        <v>41754</v>
      </c>
      <c r="O9538" s="18" t="s">
        <v>29</v>
      </c>
      <c r="P9538" s="6"/>
      <c r="Q9538" s="6"/>
      <c r="R9538" s="6"/>
      <c r="S9538" s="6"/>
      <c r="T9538" s="6"/>
      <c r="U9538" s="6"/>
    </row>
    <row r="9539" ht="14.25">
      <c r="B9539" s="18" t="s">
        <v>670</v>
      </c>
      <c r="C9539" s="18" t="s">
        <v>41755</v>
      </c>
      <c r="D9539" s="18" t="s">
        <v>426</v>
      </c>
      <c r="E9539" s="18" t="s">
        <v>41756</v>
      </c>
      <c r="F9539" s="18" t="str">
        <f>IFERROR(__XLUDF.DUMMYFUNCTION("PROPER(REGEXREPLACE(D356,""[^A-Za-z]+ "",""""))"),"Dékuple Assurance")</f>
        <v xml:space="preserve">Dékuple Assurance</v>
      </c>
      <c r="G9539" s="18" t="s">
        <v>41757</v>
      </c>
      <c r="H9539" s="18">
        <v>11</v>
      </c>
      <c r="I9539" s="18" t="s">
        <v>39661</v>
      </c>
      <c r="J9539" s="5" t="s">
        <v>41758</v>
      </c>
      <c r="K9539" s="5" t="s">
        <v>41759</v>
      </c>
      <c r="L9539" s="6"/>
      <c r="M9539" s="18" t="s">
        <v>29</v>
      </c>
      <c r="N9539" s="18" t="s">
        <v>41760</v>
      </c>
      <c r="O9539" s="18" t="s">
        <v>29</v>
      </c>
      <c r="P9539" s="6"/>
      <c r="Q9539" s="6"/>
      <c r="R9539" s="6"/>
      <c r="S9539" s="6"/>
      <c r="T9539" s="6"/>
      <c r="U9539" s="6"/>
    </row>
    <row r="9540" ht="14.25">
      <c r="B9540" s="18" t="s">
        <v>7323</v>
      </c>
      <c r="C9540" s="18" t="s">
        <v>41761</v>
      </c>
      <c r="D9540" s="18" t="s">
        <v>468</v>
      </c>
      <c r="E9540" s="18" t="s">
        <v>41756</v>
      </c>
      <c r="F9540" s="18" t="str">
        <f>IFERROR(__XLUDF.DUMMYFUNCTION("PROPER(REGEXREPLACE(D357,""[^A-Za-z]+ "",""""))"),"Dékuple Assurance")</f>
        <v xml:space="preserve">Dékuple Assurance</v>
      </c>
      <c r="G9540" s="18" t="s">
        <v>41762</v>
      </c>
      <c r="H9540" s="18">
        <v>11</v>
      </c>
      <c r="I9540" s="18" t="s">
        <v>39661</v>
      </c>
      <c r="J9540" s="5" t="s">
        <v>41763</v>
      </c>
      <c r="K9540" s="5" t="s">
        <v>41764</v>
      </c>
      <c r="L9540" s="18" t="s">
        <v>15667</v>
      </c>
      <c r="M9540" s="18" t="s">
        <v>29</v>
      </c>
      <c r="N9540" s="18" t="s">
        <v>41760</v>
      </c>
      <c r="O9540" s="18" t="s">
        <v>29</v>
      </c>
      <c r="P9540" s="6"/>
      <c r="Q9540" s="6"/>
      <c r="R9540" s="6"/>
      <c r="S9540" s="6"/>
      <c r="T9540" s="6"/>
      <c r="U9540" s="6"/>
    </row>
    <row r="9541" ht="14.25">
      <c r="B9541" s="18" t="s">
        <v>330</v>
      </c>
      <c r="C9541" s="18" t="s">
        <v>41765</v>
      </c>
      <c r="D9541" s="18" t="s">
        <v>172</v>
      </c>
      <c r="E9541" s="18" t="s">
        <v>41766</v>
      </c>
      <c r="F9541" s="18" t="str">
        <f>IFERROR(__XLUDF.DUMMYFUNCTION("PROPER(REGEXREPLACE(D358,""[^A-Za-z]+ "",""""))"),"Fédération")</f>
        <v>Fédération</v>
      </c>
      <c r="G9541" s="18" t="s">
        <v>41767</v>
      </c>
      <c r="H9541" s="18">
        <v>23</v>
      </c>
      <c r="I9541" s="18" t="s">
        <v>39661</v>
      </c>
      <c r="J9541" s="5" t="s">
        <v>41768</v>
      </c>
      <c r="K9541" s="5" t="s">
        <v>41769</v>
      </c>
      <c r="L9541" s="18" t="s">
        <v>39</v>
      </c>
      <c r="M9541" s="18" t="s">
        <v>29</v>
      </c>
      <c r="N9541" s="18" t="s">
        <v>41770</v>
      </c>
      <c r="O9541" s="18" t="s">
        <v>29</v>
      </c>
      <c r="P9541" s="6"/>
      <c r="Q9541" s="6"/>
      <c r="R9541" s="6"/>
      <c r="S9541" s="6"/>
      <c r="T9541" s="6"/>
      <c r="U9541" s="6"/>
    </row>
    <row r="9542" ht="14.25">
      <c r="B9542" s="18" t="s">
        <v>1198</v>
      </c>
      <c r="C9542" s="18" t="s">
        <v>41771</v>
      </c>
      <c r="D9542" s="18" t="s">
        <v>15197</v>
      </c>
      <c r="E9542" s="18" t="s">
        <v>41772</v>
      </c>
      <c r="F9542" s="18" t="str">
        <f>IFERROR(__XLUDF.DUMMYFUNCTION("PROPER(REGEXREPLACE(D359,""[^A-Za-z]+ "",""""))"),"Buddey")</f>
        <v>Buddey</v>
      </c>
      <c r="G9542" s="18" t="s">
        <v>41773</v>
      </c>
      <c r="H9542" s="18">
        <v>14</v>
      </c>
      <c r="I9542" s="18" t="s">
        <v>40453</v>
      </c>
      <c r="J9542" s="5" t="s">
        <v>41774</v>
      </c>
      <c r="K9542" s="5" t="s">
        <v>41775</v>
      </c>
      <c r="L9542" s="18" t="s">
        <v>185</v>
      </c>
      <c r="M9542" s="18" t="s">
        <v>29</v>
      </c>
      <c r="N9542" s="18" t="s">
        <v>41776</v>
      </c>
      <c r="O9542" s="18" t="s">
        <v>29</v>
      </c>
      <c r="P9542" s="18" t="s">
        <v>41777</v>
      </c>
      <c r="Q9542" s="6"/>
      <c r="R9542" s="6"/>
      <c r="S9542" s="6"/>
      <c r="T9542" s="6"/>
      <c r="U9542" s="6"/>
    </row>
    <row r="9543" ht="14.25">
      <c r="B9543" s="18" t="s">
        <v>1965</v>
      </c>
      <c r="C9543" s="18" t="s">
        <v>41778</v>
      </c>
      <c r="D9543" s="18" t="s">
        <v>41779</v>
      </c>
      <c r="E9543" s="18" t="s">
        <v>41780</v>
      </c>
      <c r="F9543" s="18" t="str">
        <f>IFERROR(__XLUDF.DUMMYFUNCTION("PROPER(REGEXREPLACE(D360,""[^A-Za-z]+ "",""""))"),"Giva Regroupement Assurances")</f>
        <v xml:space="preserve">Giva Regroupement Assurances</v>
      </c>
      <c r="G9543" s="18" t="s">
        <v>41781</v>
      </c>
      <c r="H9543" s="18">
        <v>6</v>
      </c>
      <c r="I9543" s="18" t="s">
        <v>39661</v>
      </c>
      <c r="J9543" s="5" t="s">
        <v>41782</v>
      </c>
      <c r="K9543" s="5" t="s">
        <v>41783</v>
      </c>
      <c r="L9543" s="18" t="s">
        <v>39</v>
      </c>
      <c r="M9543" s="18" t="s">
        <v>29</v>
      </c>
      <c r="N9543" s="18" t="s">
        <v>1986</v>
      </c>
      <c r="O9543" s="18" t="s">
        <v>29</v>
      </c>
      <c r="P9543" s="18" t="s">
        <v>41784</v>
      </c>
      <c r="Q9543" s="6"/>
      <c r="R9543" s="6"/>
      <c r="S9543" s="6"/>
      <c r="T9543" s="6"/>
      <c r="U9543" s="6"/>
    </row>
    <row r="9544" ht="14.25">
      <c r="B9544" s="18" t="s">
        <v>5001</v>
      </c>
      <c r="C9544" s="18" t="s">
        <v>41785</v>
      </c>
      <c r="D9544" s="18" t="s">
        <v>1130</v>
      </c>
      <c r="E9544" s="18" t="s">
        <v>41786</v>
      </c>
      <c r="F9544" s="18" t="str">
        <f>IFERROR(__XLUDF.DUMMYFUNCTION("PROPER(REGEXREPLACE(D361,""[^A-Za-z]+ "",""""))"),"Bayvet")</f>
        <v>Bayvet</v>
      </c>
      <c r="G9544" s="18" t="s">
        <v>41787</v>
      </c>
      <c r="H9544" s="18">
        <v>14</v>
      </c>
      <c r="I9544" s="18" t="s">
        <v>39661</v>
      </c>
      <c r="J9544" s="5" t="s">
        <v>41788</v>
      </c>
      <c r="K9544" s="5" t="s">
        <v>41789</v>
      </c>
      <c r="L9544" s="18" t="s">
        <v>39</v>
      </c>
      <c r="M9544" s="18" t="s">
        <v>29</v>
      </c>
      <c r="N9544" s="18" t="s">
        <v>41790</v>
      </c>
      <c r="O9544" s="18" t="s">
        <v>29</v>
      </c>
      <c r="P9544" s="18" t="s">
        <v>41791</v>
      </c>
      <c r="Q9544" s="6"/>
      <c r="R9544" s="6"/>
      <c r="S9544" s="6"/>
      <c r="T9544" s="6"/>
      <c r="U9544" s="6"/>
    </row>
    <row r="9545" ht="14.25">
      <c r="B9545" s="18" t="s">
        <v>16564</v>
      </c>
      <c r="C9545" s="18" t="s">
        <v>41792</v>
      </c>
      <c r="D9545" s="18" t="s">
        <v>315</v>
      </c>
      <c r="E9545" s="18" t="s">
        <v>41793</v>
      </c>
      <c r="F9545" s="18" t="str">
        <f>IFERROR(__XLUDF.DUMMYFUNCTION("PROPER(REGEXREPLACE(D362,""[^A-Za-z]+ "",""""))"),"Lsmb Assurances")</f>
        <v xml:space="preserve">Lsmb Assurances</v>
      </c>
      <c r="G9545" s="18" t="s">
        <v>41794</v>
      </c>
      <c r="H9545" s="18">
        <v>4</v>
      </c>
      <c r="I9545" s="18" t="s">
        <v>39661</v>
      </c>
      <c r="J9545" s="5" t="s">
        <v>41795</v>
      </c>
      <c r="K9545" s="5" t="s">
        <v>41796</v>
      </c>
      <c r="L9545" s="18" t="s">
        <v>12209</v>
      </c>
      <c r="M9545" s="18" t="s">
        <v>29</v>
      </c>
      <c r="N9545" s="18" t="s">
        <v>41797</v>
      </c>
      <c r="O9545" s="18" t="s">
        <v>29</v>
      </c>
      <c r="P9545" s="18" t="s">
        <v>41798</v>
      </c>
      <c r="Q9545" s="6"/>
      <c r="R9545" s="6"/>
      <c r="S9545" s="6"/>
      <c r="T9545" s="6"/>
      <c r="U9545" s="6"/>
    </row>
    <row r="9546" ht="14.25">
      <c r="B9546" s="18" t="s">
        <v>41799</v>
      </c>
      <c r="C9546" s="18" t="s">
        <v>41800</v>
      </c>
      <c r="D9546" s="18" t="s">
        <v>41801</v>
      </c>
      <c r="E9546" s="18" t="s">
        <v>41802</v>
      </c>
      <c r="F9546" s="18" t="str">
        <f>IFERROR(__XLUDF.DUMMYFUNCTION("PROPER(REGEXREPLACE(D363,""[^A-Za-z]+ "",""""))"),"Joltee")</f>
        <v>Joltee</v>
      </c>
      <c r="G9546" s="18" t="s">
        <v>41803</v>
      </c>
      <c r="H9546" s="18">
        <v>12</v>
      </c>
      <c r="I9546" s="18" t="s">
        <v>39661</v>
      </c>
      <c r="J9546" s="5" t="s">
        <v>41804</v>
      </c>
      <c r="K9546" s="5" t="s">
        <v>41805</v>
      </c>
      <c r="L9546" s="6"/>
      <c r="M9546" s="18" t="s">
        <v>29</v>
      </c>
      <c r="N9546" s="18" t="s">
        <v>67</v>
      </c>
      <c r="O9546" s="18" t="s">
        <v>29</v>
      </c>
      <c r="P9546" s="6"/>
      <c r="Q9546" s="6"/>
      <c r="R9546" s="6"/>
      <c r="S9546" s="6"/>
      <c r="T9546" s="6"/>
      <c r="U9546" s="6"/>
    </row>
    <row r="9547" ht="14.25">
      <c r="B9547" s="18" t="s">
        <v>1215</v>
      </c>
      <c r="C9547" s="18" t="s">
        <v>485</v>
      </c>
      <c r="D9547" s="18" t="s">
        <v>426</v>
      </c>
      <c r="E9547" s="18" t="s">
        <v>41806</v>
      </c>
      <c r="F9547" s="18" t="str">
        <f>IFERROR(__XLUDF.DUMMYFUNCTION("PROPER(REGEXREPLACE(D364,""[^A-Za-z]+ "",""""))"),"Xenassur Courtier Grossiste")</f>
        <v xml:space="preserve">Xenassur Courtier Grossiste</v>
      </c>
      <c r="G9547" s="18" t="s">
        <v>41807</v>
      </c>
      <c r="H9547" s="18">
        <v>31</v>
      </c>
      <c r="I9547" s="18" t="s">
        <v>39661</v>
      </c>
      <c r="J9547" s="5" t="s">
        <v>41808</v>
      </c>
      <c r="K9547" s="5" t="s">
        <v>41809</v>
      </c>
      <c r="L9547" s="18" t="s">
        <v>243</v>
      </c>
      <c r="M9547" s="18" t="s">
        <v>29</v>
      </c>
      <c r="N9547" s="18" t="s">
        <v>929</v>
      </c>
      <c r="O9547" s="18" t="s">
        <v>29</v>
      </c>
      <c r="P9547" s="18" t="s">
        <v>41810</v>
      </c>
      <c r="Q9547" s="6"/>
      <c r="R9547" s="6"/>
      <c r="S9547" s="6"/>
      <c r="T9547" s="6"/>
      <c r="U9547" s="6"/>
    </row>
    <row r="9548" ht="14.25">
      <c r="B9548" s="18" t="s">
        <v>69</v>
      </c>
      <c r="C9548" s="18" t="s">
        <v>41811</v>
      </c>
      <c r="D9548" s="18" t="s">
        <v>164</v>
      </c>
      <c r="E9548" s="18" t="s">
        <v>41812</v>
      </c>
      <c r="F9548" s="18" t="str">
        <f>IFERROR(__XLUDF.DUMMYFUNCTION("PROPER(REGEXREPLACE(D365,""[^A-Za-z]+ "",""""))"),"Carel Mutuelle")</f>
        <v xml:space="preserve">Carel Mutuelle</v>
      </c>
      <c r="G9548" s="18" t="s">
        <v>41813</v>
      </c>
      <c r="H9548" s="18">
        <v>18</v>
      </c>
      <c r="I9548" s="18" t="s">
        <v>39661</v>
      </c>
      <c r="J9548" s="5" t="s">
        <v>41814</v>
      </c>
      <c r="K9548" s="5" t="s">
        <v>41815</v>
      </c>
      <c r="L9548" s="18" t="s">
        <v>39</v>
      </c>
      <c r="M9548" s="18" t="s">
        <v>29</v>
      </c>
      <c r="N9548" s="18" t="s">
        <v>41816</v>
      </c>
      <c r="O9548" s="18" t="s">
        <v>29</v>
      </c>
      <c r="P9548" s="6"/>
      <c r="Q9548" s="6"/>
      <c r="R9548" s="6"/>
      <c r="S9548" s="6"/>
      <c r="T9548" s="6"/>
      <c r="U9548" s="6"/>
    </row>
    <row r="9549" ht="14.25">
      <c r="B9549" s="18" t="s">
        <v>41817</v>
      </c>
      <c r="C9549" s="18" t="s">
        <v>41818</v>
      </c>
      <c r="D9549" s="18" t="s">
        <v>672</v>
      </c>
      <c r="E9549" s="18" t="s">
        <v>41819</v>
      </c>
      <c r="F9549" s="18" t="str">
        <f>IFERROR(__XLUDF.DUMMYFUNCTION("PROPER(REGEXREPLACE(D366,""[^A-Za-z]+ "",""""))"),"Kayros")</f>
        <v>Kayros</v>
      </c>
      <c r="G9549" s="18" t="s">
        <v>41820</v>
      </c>
      <c r="H9549" s="18">
        <v>32</v>
      </c>
      <c r="I9549" s="18" t="s">
        <v>39661</v>
      </c>
      <c r="J9549" s="5" t="s">
        <v>41821</v>
      </c>
      <c r="K9549" s="5" t="s">
        <v>41822</v>
      </c>
      <c r="L9549" s="18" t="s">
        <v>39</v>
      </c>
      <c r="M9549" s="18" t="s">
        <v>29</v>
      </c>
      <c r="N9549" s="18" t="s">
        <v>41823</v>
      </c>
      <c r="O9549" s="18" t="s">
        <v>29</v>
      </c>
      <c r="P9549" s="18" t="s">
        <v>41824</v>
      </c>
      <c r="Q9549" s="6"/>
      <c r="R9549" s="6"/>
      <c r="S9549" s="6"/>
      <c r="T9549" s="6"/>
      <c r="U9549" s="6"/>
    </row>
    <row r="9550" ht="14.25">
      <c r="B9550" s="18" t="s">
        <v>2242</v>
      </c>
      <c r="C9550" s="18" t="s">
        <v>41825</v>
      </c>
      <c r="D9550" s="18" t="s">
        <v>71</v>
      </c>
      <c r="E9550" s="18" t="s">
        <v>41826</v>
      </c>
      <c r="F9550" s="18" t="str">
        <f>IFERROR(__XLUDF.DUMMYFUNCTION("PROPER(REGEXREPLACE(D367,""[^A-Za-z]+ "",""""))"),"Korint Insurtech")</f>
        <v xml:space="preserve">Korint Insurtech</v>
      </c>
      <c r="G9550" s="18" t="s">
        <v>41827</v>
      </c>
      <c r="H9550" s="18">
        <v>14</v>
      </c>
      <c r="I9550" s="18" t="s">
        <v>39661</v>
      </c>
      <c r="J9550" s="5" t="s">
        <v>41828</v>
      </c>
      <c r="K9550" s="5" t="s">
        <v>41829</v>
      </c>
      <c r="L9550" s="6"/>
      <c r="M9550" s="18" t="s">
        <v>29</v>
      </c>
      <c r="N9550" s="18" t="s">
        <v>41830</v>
      </c>
      <c r="O9550" s="18" t="s">
        <v>29</v>
      </c>
      <c r="P9550" s="18" t="s">
        <v>41831</v>
      </c>
      <c r="Q9550" s="6"/>
      <c r="R9550" s="6"/>
      <c r="S9550" s="6"/>
      <c r="T9550" s="6"/>
      <c r="U9550" s="6"/>
    </row>
    <row r="9551" ht="14.25">
      <c r="B9551" s="18" t="s">
        <v>734</v>
      </c>
      <c r="C9551" s="18" t="s">
        <v>41832</v>
      </c>
      <c r="D9551" s="18" t="s">
        <v>41833</v>
      </c>
      <c r="E9551" s="18" t="s">
        <v>41802</v>
      </c>
      <c r="F9551" s="18" t="str">
        <f>IFERROR(__XLUDF.DUMMYFUNCTION("PROPER(REGEXREPLACE(D368,""[^A-Za-z]+ "",""""))"),"Joltee")</f>
        <v>Joltee</v>
      </c>
      <c r="G9551" s="18" t="s">
        <v>41834</v>
      </c>
      <c r="H9551" s="18">
        <v>12</v>
      </c>
      <c r="I9551" s="18" t="s">
        <v>39661</v>
      </c>
      <c r="J9551" s="5" t="s">
        <v>41835</v>
      </c>
      <c r="K9551" s="5" t="s">
        <v>41805</v>
      </c>
      <c r="L9551" s="18" t="s">
        <v>39</v>
      </c>
      <c r="M9551" s="18" t="s">
        <v>29</v>
      </c>
      <c r="N9551" s="18" t="s">
        <v>67</v>
      </c>
      <c r="O9551" s="18" t="s">
        <v>29</v>
      </c>
      <c r="P9551" s="6"/>
      <c r="Q9551" s="6"/>
      <c r="R9551" s="6"/>
      <c r="S9551" s="6"/>
      <c r="T9551" s="6"/>
      <c r="U9551" s="6"/>
    </row>
    <row r="9552" ht="14.25">
      <c r="B9552" s="18" t="s">
        <v>670</v>
      </c>
      <c r="C9552" s="18" t="s">
        <v>41836</v>
      </c>
      <c r="D9552" s="18" t="s">
        <v>4449</v>
      </c>
      <c r="E9552" s="18" t="s">
        <v>41837</v>
      </c>
      <c r="F9552" s="18" t="str">
        <f>IFERROR(__XLUDF.DUMMYFUNCTION("PROPER(REGEXREPLACE(D369,""[^A-Za-z]+ "",""""))"),"Resco Courtage")</f>
        <v xml:space="preserve">Resco Courtage</v>
      </c>
      <c r="G9552" s="18" t="s">
        <v>41838</v>
      </c>
      <c r="H9552" s="18">
        <v>6</v>
      </c>
      <c r="I9552" s="18" t="s">
        <v>39661</v>
      </c>
      <c r="J9552" s="5" t="s">
        <v>41839</v>
      </c>
      <c r="K9552" s="5" t="s">
        <v>41840</v>
      </c>
      <c r="L9552" s="18" t="s">
        <v>1711</v>
      </c>
      <c r="M9552" s="18" t="s">
        <v>29</v>
      </c>
      <c r="N9552" s="18" t="s">
        <v>41841</v>
      </c>
      <c r="O9552" s="18" t="s">
        <v>29</v>
      </c>
      <c r="P9552" s="18" t="s">
        <v>41842</v>
      </c>
      <c r="Q9552" s="6"/>
      <c r="R9552" s="6"/>
      <c r="S9552" s="6"/>
      <c r="T9552" s="6"/>
      <c r="U9552" s="6"/>
    </row>
    <row r="9553" ht="14.25">
      <c r="B9553" s="18" t="s">
        <v>2419</v>
      </c>
      <c r="C9553" s="18" t="s">
        <v>41843</v>
      </c>
      <c r="D9553" s="18" t="s">
        <v>18373</v>
      </c>
      <c r="E9553" s="18" t="s">
        <v>41844</v>
      </c>
      <c r="F9553" s="18" t="str">
        <f>IFERROR(__XLUDF.DUMMYFUNCTION("PROPER(REGEXREPLACE(D370,""[^A-Za-z]+ "",""""))"),"Kenko")</f>
        <v>Kenko</v>
      </c>
      <c r="G9553" s="18" t="s">
        <v>41845</v>
      </c>
      <c r="H9553" s="18">
        <v>76</v>
      </c>
      <c r="I9553" s="18" t="s">
        <v>39661</v>
      </c>
      <c r="J9553" s="5" t="s">
        <v>41846</v>
      </c>
      <c r="K9553" s="5" t="s">
        <v>41847</v>
      </c>
      <c r="L9553" s="18" t="s">
        <v>39</v>
      </c>
      <c r="M9553" s="18" t="s">
        <v>29</v>
      </c>
      <c r="N9553" s="18" t="s">
        <v>67</v>
      </c>
      <c r="O9553" s="18" t="s">
        <v>29</v>
      </c>
      <c r="P9553" s="18" t="s">
        <v>41848</v>
      </c>
      <c r="Q9553" s="6"/>
      <c r="R9553" s="6"/>
      <c r="S9553" s="6"/>
      <c r="T9553" s="6"/>
      <c r="U9553" s="6"/>
    </row>
    <row r="9554" ht="14.25">
      <c r="B9554" s="18" t="s">
        <v>2348</v>
      </c>
      <c r="C9554" s="18" t="s">
        <v>41849</v>
      </c>
      <c r="D9554" s="18" t="s">
        <v>172</v>
      </c>
      <c r="E9554" s="18" t="s">
        <v>41850</v>
      </c>
      <c r="F9554" s="18" t="str">
        <f>IFERROR(__XLUDF.DUMMYFUNCTION("PROPER(REGEXREPLACE(D371,""[^A-Za-z]+ "",""""))"),"Libbela")</f>
        <v>Libbela</v>
      </c>
      <c r="G9554" s="18" t="s">
        <v>41851</v>
      </c>
      <c r="H9554" s="18">
        <v>8</v>
      </c>
      <c r="I9554" s="18" t="s">
        <v>39661</v>
      </c>
      <c r="J9554" s="5" t="s">
        <v>41852</v>
      </c>
      <c r="K9554" s="5" t="s">
        <v>41853</v>
      </c>
      <c r="L9554" s="18" t="s">
        <v>39</v>
      </c>
      <c r="M9554" s="18" t="s">
        <v>29</v>
      </c>
      <c r="N9554" s="18" t="s">
        <v>2117</v>
      </c>
      <c r="O9554" s="18" t="s">
        <v>29</v>
      </c>
      <c r="P9554" s="18" t="s">
        <v>41854</v>
      </c>
      <c r="Q9554" s="6"/>
      <c r="R9554" s="6"/>
      <c r="S9554" s="6"/>
      <c r="T9554" s="6"/>
      <c r="U9554" s="6"/>
    </row>
    <row r="9555" ht="14.25">
      <c r="B9555" s="18" t="s">
        <v>653</v>
      </c>
      <c r="C9555" s="18" t="s">
        <v>3745</v>
      </c>
      <c r="D9555" s="18" t="s">
        <v>120</v>
      </c>
      <c r="E9555" s="18" t="s">
        <v>41855</v>
      </c>
      <c r="F9555" s="18" t="str">
        <f>IFERROR(__XLUDF.DUMMYFUNCTION("PROPER(REGEXREPLACE(D372,""[^A-Za-z]+ "",""""))"),"Immo Assurances")</f>
        <v xml:space="preserve">Immo Assurances</v>
      </c>
      <c r="G9555" s="18" t="s">
        <v>41856</v>
      </c>
      <c r="H9555" s="18">
        <v>3</v>
      </c>
      <c r="I9555" s="18" t="s">
        <v>39661</v>
      </c>
      <c r="J9555" s="5" t="s">
        <v>41857</v>
      </c>
      <c r="K9555" s="5" t="s">
        <v>41858</v>
      </c>
      <c r="L9555" s="18" t="s">
        <v>185</v>
      </c>
      <c r="M9555" s="18" t="s">
        <v>29</v>
      </c>
      <c r="N9555" s="18" t="s">
        <v>41859</v>
      </c>
      <c r="O9555" s="18" t="s">
        <v>29</v>
      </c>
      <c r="P9555" s="18" t="s">
        <v>41860</v>
      </c>
      <c r="Q9555" s="6"/>
      <c r="R9555" s="6"/>
      <c r="S9555" s="6"/>
      <c r="T9555" s="6"/>
      <c r="U9555" s="6"/>
    </row>
    <row r="9556" ht="14.25">
      <c r="B9556" s="18" t="s">
        <v>2299</v>
      </c>
      <c r="C9556" s="18" t="s">
        <v>41861</v>
      </c>
      <c r="D9556" s="18" t="s">
        <v>112</v>
      </c>
      <c r="E9556" s="18" t="s">
        <v>41862</v>
      </c>
      <c r="F9556" s="18" t="str">
        <f>IFERROR(__XLUDF.DUMMYFUNCTION("PROPER(REGEXREPLACE(D373,""[^A-Za-z]+ "",""""))"),"Af Patrimoineimmobilier")</f>
        <v xml:space="preserve">Af Patrimoineimmobilier</v>
      </c>
      <c r="G9556" s="18" t="s">
        <v>41863</v>
      </c>
      <c r="H9556" s="18">
        <v>3</v>
      </c>
      <c r="I9556" s="18" t="s">
        <v>39661</v>
      </c>
      <c r="J9556" s="5" t="s">
        <v>41864</v>
      </c>
      <c r="K9556" s="5" t="s">
        <v>41865</v>
      </c>
      <c r="L9556" s="18" t="s">
        <v>2186</v>
      </c>
      <c r="M9556" s="18" t="s">
        <v>29</v>
      </c>
      <c r="N9556" s="18" t="s">
        <v>41866</v>
      </c>
      <c r="O9556" s="18" t="s">
        <v>29</v>
      </c>
      <c r="P9556" s="6"/>
      <c r="Q9556" s="6"/>
      <c r="R9556" s="6"/>
      <c r="S9556" s="6"/>
      <c r="T9556" s="6"/>
      <c r="U9556" s="6"/>
    </row>
    <row r="9557" ht="14.25">
      <c r="B9557" s="18" t="s">
        <v>206</v>
      </c>
      <c r="C9557" s="18" t="s">
        <v>41867</v>
      </c>
      <c r="D9557" s="18" t="s">
        <v>22079</v>
      </c>
      <c r="E9557" s="5" t="s">
        <v>41868</v>
      </c>
      <c r="F9557" s="5" t="str">
        <f>IFERROR(__XLUDF.DUMMYFUNCTION("PROPER(REGEXREPLACE(D374,""[^A-Za-z]+ "",""""))"),"Uptimyz.Fr")</f>
        <v>Uptimyz.Fr</v>
      </c>
      <c r="G9557" s="18" t="s">
        <v>41869</v>
      </c>
      <c r="H9557" s="18">
        <v>17</v>
      </c>
      <c r="I9557" s="18" t="s">
        <v>39661</v>
      </c>
      <c r="J9557" s="5" t="s">
        <v>41870</v>
      </c>
      <c r="K9557" s="5" t="s">
        <v>41871</v>
      </c>
      <c r="L9557" s="18" t="s">
        <v>49</v>
      </c>
      <c r="M9557" s="18" t="s">
        <v>29</v>
      </c>
      <c r="N9557" s="18" t="s">
        <v>416</v>
      </c>
      <c r="O9557" s="18" t="s">
        <v>29</v>
      </c>
      <c r="P9557" s="18" t="s">
        <v>41872</v>
      </c>
      <c r="Q9557" s="6"/>
      <c r="R9557" s="6"/>
      <c r="S9557" s="6"/>
      <c r="T9557" s="6"/>
      <c r="U9557" s="6"/>
    </row>
    <row r="9558" ht="14.25">
      <c r="B9558" s="18" t="s">
        <v>4236</v>
      </c>
      <c r="C9558" s="18" t="s">
        <v>41873</v>
      </c>
      <c r="D9558" s="18" t="s">
        <v>198</v>
      </c>
      <c r="E9558" s="18" t="s">
        <v>41874</v>
      </c>
      <c r="F9558" s="18" t="str">
        <f>IFERROR(__XLUDF.DUMMYFUNCTION("PROPER(REGEXREPLACE(D375,""[^A-Za-z]+ "",""""))"),"Svi Assurances")</f>
        <v xml:space="preserve">Svi Assurances</v>
      </c>
      <c r="G9558" s="18" t="s">
        <v>41875</v>
      </c>
      <c r="H9558" s="18">
        <v>24</v>
      </c>
      <c r="I9558" s="18" t="s">
        <v>39661</v>
      </c>
      <c r="J9558" s="5" t="s">
        <v>41876</v>
      </c>
      <c r="K9558" s="5" t="s">
        <v>41877</v>
      </c>
      <c r="L9558" s="18" t="s">
        <v>431</v>
      </c>
      <c r="M9558" s="18" t="s">
        <v>29</v>
      </c>
      <c r="N9558" s="18" t="s">
        <v>41878</v>
      </c>
      <c r="O9558" s="18" t="s">
        <v>29</v>
      </c>
      <c r="P9558" s="18" t="s">
        <v>41879</v>
      </c>
      <c r="Q9558" s="6"/>
      <c r="R9558" s="6"/>
      <c r="S9558" s="6"/>
      <c r="T9558" s="6"/>
      <c r="U9558" s="6"/>
    </row>
    <row r="9559" ht="14.25">
      <c r="B9559" s="18" t="s">
        <v>588</v>
      </c>
      <c r="C9559" s="18" t="s">
        <v>41880</v>
      </c>
      <c r="D9559" s="18" t="s">
        <v>62</v>
      </c>
      <c r="E9559" s="18" t="s">
        <v>41881</v>
      </c>
      <c r="F9559" s="18" t="str">
        <f>IFERROR(__XLUDF.DUMMYFUNCTION("PROPER(REGEXREPLACE(D376,""[^A-Za-z]+ "",""""))"),"Quartz")</f>
        <v>Quartz</v>
      </c>
      <c r="G9559" s="18" t="s">
        <v>41882</v>
      </c>
      <c r="H9559" s="18">
        <v>34</v>
      </c>
      <c r="I9559" s="18" t="s">
        <v>39661</v>
      </c>
      <c r="J9559" s="5" t="s">
        <v>41883</v>
      </c>
      <c r="K9559" s="5" t="s">
        <v>41884</v>
      </c>
      <c r="L9559" s="6"/>
      <c r="M9559" s="18" t="s">
        <v>29</v>
      </c>
      <c r="N9559" s="18" t="s">
        <v>67</v>
      </c>
      <c r="O9559" s="18" t="s">
        <v>29</v>
      </c>
      <c r="P9559" s="6"/>
      <c r="Q9559" s="6"/>
      <c r="R9559" s="6"/>
      <c r="S9559" s="6"/>
      <c r="T9559" s="6"/>
      <c r="U9559" s="6"/>
    </row>
    <row r="9560" ht="14.25">
      <c r="B9560" s="18" t="s">
        <v>4215</v>
      </c>
      <c r="C9560" s="18" t="s">
        <v>41885</v>
      </c>
      <c r="D9560" s="18" t="s">
        <v>172</v>
      </c>
      <c r="E9560" s="18" t="s">
        <v>41886</v>
      </c>
      <c r="F9560" s="18" t="str">
        <f>IFERROR(__XLUDF.DUMMYFUNCTION("PROPER(REGEXREPLACE(D377,""[^A-Za-z]+ "",""""))"),"Segap")</f>
        <v>Segap</v>
      </c>
      <c r="G9560" s="18" t="s">
        <v>41887</v>
      </c>
      <c r="H9560" s="18">
        <v>8</v>
      </c>
      <c r="I9560" s="18" t="s">
        <v>39661</v>
      </c>
      <c r="J9560" s="5" t="s">
        <v>41888</v>
      </c>
      <c r="K9560" s="5" t="s">
        <v>41889</v>
      </c>
      <c r="L9560" s="6"/>
      <c r="M9560" s="18" t="s">
        <v>29</v>
      </c>
      <c r="N9560" s="18" t="s">
        <v>41890</v>
      </c>
      <c r="O9560" s="18" t="s">
        <v>29</v>
      </c>
      <c r="P9560" s="18" t="s">
        <v>41891</v>
      </c>
      <c r="Q9560" s="6"/>
      <c r="R9560" s="6"/>
      <c r="S9560" s="6"/>
      <c r="T9560" s="6"/>
      <c r="U9560" s="6"/>
    </row>
    <row r="9561" ht="14.25">
      <c r="B9561" s="18" t="s">
        <v>963</v>
      </c>
      <c r="C9561" s="18" t="s">
        <v>41892</v>
      </c>
      <c r="D9561" s="18" t="s">
        <v>172</v>
      </c>
      <c r="E9561" s="18" t="s">
        <v>41766</v>
      </c>
      <c r="F9561" s="18" t="str">
        <f>IFERROR(__XLUDF.DUMMYFUNCTION("PROPER(REGEXREPLACE(D378,""[^A-Za-z]+ "",""""))"),"Fédération")</f>
        <v>Fédération</v>
      </c>
      <c r="G9561" s="18" t="s">
        <v>41893</v>
      </c>
      <c r="H9561" s="18">
        <v>23</v>
      </c>
      <c r="I9561" s="18" t="s">
        <v>39661</v>
      </c>
      <c r="J9561" s="5" t="s">
        <v>41894</v>
      </c>
      <c r="K9561" s="5" t="s">
        <v>41769</v>
      </c>
      <c r="L9561" s="6"/>
      <c r="M9561" s="18" t="s">
        <v>29</v>
      </c>
      <c r="N9561" s="18" t="s">
        <v>41770</v>
      </c>
      <c r="O9561" s="18" t="s">
        <v>29</v>
      </c>
      <c r="P9561" s="6"/>
      <c r="Q9561" s="6"/>
      <c r="R9561" s="6"/>
      <c r="S9561" s="6"/>
      <c r="T9561" s="6"/>
      <c r="U9561" s="6"/>
    </row>
    <row r="9562" ht="14.25">
      <c r="B9562" s="18" t="s">
        <v>866</v>
      </c>
      <c r="C9562" s="18" t="s">
        <v>41895</v>
      </c>
      <c r="D9562" s="18" t="s">
        <v>426</v>
      </c>
      <c r="E9562" s="18" t="s">
        <v>41896</v>
      </c>
      <c r="F9562" s="18" t="str">
        <f>IFERROR(__XLUDF.DUMMYFUNCTION("PROPER(REGEXREPLACE(D379,""[^A-Za-z]+ "",""""))"),"Groupe Ami 3F")</f>
        <v xml:space="preserve">Groupe Ami 3F</v>
      </c>
      <c r="G9562" s="18" t="s">
        <v>41897</v>
      </c>
      <c r="H9562" s="18">
        <v>28</v>
      </c>
      <c r="I9562" s="18" t="s">
        <v>39661</v>
      </c>
      <c r="J9562" s="5" t="s">
        <v>41898</v>
      </c>
      <c r="K9562" s="5" t="s">
        <v>41899</v>
      </c>
      <c r="L9562" s="18" t="s">
        <v>83</v>
      </c>
      <c r="M9562" s="18" t="s">
        <v>29</v>
      </c>
      <c r="N9562" s="18" t="s">
        <v>41900</v>
      </c>
      <c r="O9562" s="18" t="s">
        <v>29</v>
      </c>
      <c r="P9562" s="18" t="s">
        <v>41901</v>
      </c>
      <c r="Q9562" s="6"/>
      <c r="R9562" s="6"/>
      <c r="S9562" s="6"/>
      <c r="T9562" s="6"/>
      <c r="U9562" s="6"/>
    </row>
    <row r="9563" ht="14.25">
      <c r="B9563" s="18" t="s">
        <v>2299</v>
      </c>
      <c r="C9563" s="18" t="s">
        <v>41902</v>
      </c>
      <c r="D9563" s="18" t="s">
        <v>41903</v>
      </c>
      <c r="E9563" s="18" t="s">
        <v>41904</v>
      </c>
      <c r="F9563" s="18" t="str">
        <f>IFERROR(__XLUDF.DUMMYFUNCTION("PROPER(REGEXREPLACE(D380,""[^A-Za-z]+ "",""""))"),"Madrigal")</f>
        <v>Madrigal</v>
      </c>
      <c r="G9563" s="18" t="s">
        <v>41905</v>
      </c>
      <c r="H9563" s="18">
        <v>16</v>
      </c>
      <c r="I9563" s="18" t="s">
        <v>39661</v>
      </c>
      <c r="J9563" s="5" t="s">
        <v>41906</v>
      </c>
      <c r="K9563" s="5" t="s">
        <v>41907</v>
      </c>
      <c r="L9563" s="18" t="s">
        <v>39</v>
      </c>
      <c r="M9563" s="18" t="s">
        <v>29</v>
      </c>
      <c r="N9563" s="18" t="s">
        <v>41908</v>
      </c>
      <c r="O9563" s="18" t="s">
        <v>29</v>
      </c>
      <c r="P9563" s="18" t="s">
        <v>41909</v>
      </c>
      <c r="Q9563" s="6"/>
      <c r="R9563" s="6"/>
      <c r="S9563" s="6"/>
      <c r="T9563" s="6"/>
      <c r="U9563" s="6"/>
    </row>
    <row r="9564" ht="14.25">
      <c r="B9564" s="18" t="s">
        <v>330</v>
      </c>
      <c r="C9564" s="18" t="s">
        <v>41910</v>
      </c>
      <c r="D9564" s="18" t="s">
        <v>87</v>
      </c>
      <c r="E9564" s="18" t="s">
        <v>41911</v>
      </c>
      <c r="F9564" s="18" t="str">
        <f>IFERROR(__XLUDF.DUMMYFUNCTION("PROPER(REGEXREPLACE(D381,""[^A-Za-z]+ "",""""))"),"La Salamandre Assurances")</f>
        <v xml:space="preserve">La Salamandre Assurances</v>
      </c>
      <c r="G9564" s="18" t="s">
        <v>41912</v>
      </c>
      <c r="H9564" s="18">
        <v>6</v>
      </c>
      <c r="I9564" s="18" t="s">
        <v>39661</v>
      </c>
      <c r="J9564" s="5" t="s">
        <v>41913</v>
      </c>
      <c r="K9564" s="5" t="s">
        <v>41914</v>
      </c>
      <c r="L9564" s="18" t="s">
        <v>846</v>
      </c>
      <c r="M9564" s="18" t="s">
        <v>29</v>
      </c>
      <c r="N9564" s="18" t="s">
        <v>41915</v>
      </c>
      <c r="O9564" s="18" t="s">
        <v>29</v>
      </c>
      <c r="P9564" s="18" t="s">
        <v>41916</v>
      </c>
      <c r="Q9564" s="6"/>
      <c r="R9564" s="6"/>
      <c r="S9564" s="6"/>
      <c r="T9564" s="6"/>
      <c r="U9564" s="6"/>
    </row>
    <row r="9565" ht="14.25">
      <c r="B9565" s="18" t="s">
        <v>76</v>
      </c>
      <c r="C9565" s="18" t="s">
        <v>41917</v>
      </c>
      <c r="D9565" s="18" t="s">
        <v>62</v>
      </c>
      <c r="E9565" s="18" t="s">
        <v>41881</v>
      </c>
      <c r="F9565" s="18" t="str">
        <f>IFERROR(__XLUDF.DUMMYFUNCTION("PROPER(REGEXREPLACE(D382,""[^A-Za-z]+ "",""""))"),"Quartz")</f>
        <v>Quartz</v>
      </c>
      <c r="G9565" s="18" t="s">
        <v>41918</v>
      </c>
      <c r="H9565" s="18">
        <v>34</v>
      </c>
      <c r="I9565" s="18" t="s">
        <v>39661</v>
      </c>
      <c r="J9565" s="5" t="s">
        <v>41919</v>
      </c>
      <c r="K9565" s="5" t="s">
        <v>41884</v>
      </c>
      <c r="L9565" s="18" t="s">
        <v>39</v>
      </c>
      <c r="M9565" s="18" t="s">
        <v>29</v>
      </c>
      <c r="N9565" s="18" t="s">
        <v>67</v>
      </c>
      <c r="O9565" s="18" t="s">
        <v>29</v>
      </c>
      <c r="P9565" s="6"/>
      <c r="Q9565" s="6"/>
      <c r="R9565" s="6"/>
      <c r="S9565" s="6"/>
      <c r="T9565" s="6"/>
      <c r="U9565" s="6"/>
    </row>
    <row r="9566" ht="14.25">
      <c r="B9566" s="18" t="s">
        <v>12073</v>
      </c>
      <c r="C9566" s="18" t="s">
        <v>21148</v>
      </c>
      <c r="D9566" s="18" t="s">
        <v>4449</v>
      </c>
      <c r="E9566" s="18" t="s">
        <v>41920</v>
      </c>
      <c r="F9566" s="18" t="str">
        <f>IFERROR(__XLUDF.DUMMYFUNCTION("PROPER(REGEXREPLACE(D383,""[^A-Za-z]+ "",""""))"),"Stello")</f>
        <v>Stello</v>
      </c>
      <c r="G9566" s="18" t="s">
        <v>41921</v>
      </c>
      <c r="H9566" s="18">
        <v>23</v>
      </c>
      <c r="I9566" s="18" t="s">
        <v>39661</v>
      </c>
      <c r="J9566" s="5" t="s">
        <v>41922</v>
      </c>
      <c r="K9566" s="5" t="s">
        <v>41923</v>
      </c>
      <c r="L9566" s="18" t="s">
        <v>39</v>
      </c>
      <c r="M9566" s="18" t="s">
        <v>29</v>
      </c>
      <c r="N9566" s="18" t="s">
        <v>41924</v>
      </c>
      <c r="O9566" s="18" t="s">
        <v>29</v>
      </c>
      <c r="P9566" s="18" t="s">
        <v>41925</v>
      </c>
      <c r="Q9566" s="6"/>
      <c r="R9566" s="6"/>
      <c r="S9566" s="6"/>
      <c r="T9566" s="6"/>
      <c r="U9566" s="6"/>
    </row>
    <row r="9567" ht="14.25">
      <c r="B9567" s="18" t="s">
        <v>2503</v>
      </c>
      <c r="C9567" s="18" t="s">
        <v>1572</v>
      </c>
      <c r="D9567" s="18" t="s">
        <v>41926</v>
      </c>
      <c r="E9567" s="18" t="s">
        <v>41927</v>
      </c>
      <c r="F9567" s="18" t="str">
        <f>IFERROR(__XLUDF.DUMMYFUNCTION("PROPER(REGEXREPLACE(D384,""[^A-Za-z]+ "",""""))"),"Minalea")</f>
        <v>Minalea</v>
      </c>
      <c r="G9567" s="18" t="s">
        <v>41928</v>
      </c>
      <c r="H9567" s="18">
        <v>51</v>
      </c>
      <c r="I9567" s="18" t="s">
        <v>39661</v>
      </c>
      <c r="J9567" s="5" t="s">
        <v>41929</v>
      </c>
      <c r="K9567" s="5" t="s">
        <v>41930</v>
      </c>
      <c r="L9567" s="18" t="s">
        <v>423</v>
      </c>
      <c r="M9567" s="18" t="s">
        <v>29</v>
      </c>
      <c r="N9567" s="18" t="s">
        <v>41931</v>
      </c>
      <c r="O9567" s="18" t="s">
        <v>29</v>
      </c>
      <c r="P9567" s="18" t="s">
        <v>41932</v>
      </c>
      <c r="Q9567" s="6"/>
      <c r="R9567" s="6"/>
      <c r="S9567" s="6"/>
      <c r="T9567" s="6"/>
      <c r="U9567" s="6"/>
    </row>
    <row r="9568" ht="14.25">
      <c r="B9568" s="18" t="s">
        <v>41933</v>
      </c>
      <c r="C9568" s="18" t="s">
        <v>29501</v>
      </c>
      <c r="D9568" s="18" t="s">
        <v>164</v>
      </c>
      <c r="E9568" s="18" t="s">
        <v>41934</v>
      </c>
      <c r="F9568" s="18" t="str">
        <f>IFERROR(__XLUDF.DUMMYFUNCTION("PROPER(REGEXREPLACE(D385,""[^A-Za-z]+ "",""""))"),"Assur Travel")</f>
        <v xml:space="preserve">Assur Travel</v>
      </c>
      <c r="G9568" s="18" t="s">
        <v>41935</v>
      </c>
      <c r="H9568" s="18">
        <v>18</v>
      </c>
      <c r="I9568" s="18" t="s">
        <v>39661</v>
      </c>
      <c r="J9568" s="5" t="s">
        <v>41936</v>
      </c>
      <c r="K9568" s="5" t="s">
        <v>41937</v>
      </c>
      <c r="L9568" s="18" t="s">
        <v>10537</v>
      </c>
      <c r="M9568" s="18" t="s">
        <v>29</v>
      </c>
      <c r="N9568" s="18" t="s">
        <v>41938</v>
      </c>
      <c r="O9568" s="18" t="s">
        <v>29</v>
      </c>
      <c r="P9568" s="18" t="s">
        <v>41939</v>
      </c>
      <c r="Q9568" s="6"/>
      <c r="R9568" s="6"/>
      <c r="S9568" s="6"/>
      <c r="T9568" s="6"/>
      <c r="U9568" s="6"/>
    </row>
    <row r="9569" ht="14.25">
      <c r="B9569" s="18" t="s">
        <v>245</v>
      </c>
      <c r="C9569" s="18" t="s">
        <v>41940</v>
      </c>
      <c r="D9569" s="18" t="s">
        <v>1846</v>
      </c>
      <c r="E9569" s="18" t="s">
        <v>41941</v>
      </c>
      <c r="F9569" s="18" t="str">
        <f>IFERROR(__XLUDF.DUMMYFUNCTION("PROPER(REGEXREPLACE(D386,""[^A-Za-z]+ "",""""))"),"Gus Assurance")</f>
        <v xml:space="preserve">Gus Assurance</v>
      </c>
      <c r="G9569" s="18" t="s">
        <v>41942</v>
      </c>
      <c r="H9569" s="18">
        <v>1</v>
      </c>
      <c r="I9569" s="18" t="s">
        <v>39661</v>
      </c>
      <c r="J9569" s="5" t="s">
        <v>41943</v>
      </c>
      <c r="K9569" s="5" t="s">
        <v>41944</v>
      </c>
      <c r="L9569" s="18" t="s">
        <v>39</v>
      </c>
      <c r="M9569" s="18" t="s">
        <v>29</v>
      </c>
      <c r="N9569" s="18" t="s">
        <v>7784</v>
      </c>
      <c r="O9569" s="18" t="s">
        <v>29</v>
      </c>
      <c r="P9569" s="18" t="s">
        <v>41945</v>
      </c>
      <c r="Q9569" s="6"/>
      <c r="R9569" s="6"/>
      <c r="S9569" s="6"/>
      <c r="T9569" s="6"/>
      <c r="U9569" s="6"/>
    </row>
    <row r="9570" ht="14.25">
      <c r="B9570" s="18" t="s">
        <v>1596</v>
      </c>
      <c r="C9570" s="18" t="s">
        <v>41946</v>
      </c>
      <c r="D9570" s="18" t="s">
        <v>426</v>
      </c>
      <c r="E9570" s="18" t="s">
        <v>41947</v>
      </c>
      <c r="F9570" s="18" t="str">
        <f>IFERROR(__XLUDF.DUMMYFUNCTION("PROPER(REGEXREPLACE(D387,""[^A-Za-z]+ "",""""))"),"Avenir Santmutuelle")</f>
        <v xml:space="preserve">Avenir Santmutuelle</v>
      </c>
      <c r="G9570" s="18" t="s">
        <v>41948</v>
      </c>
      <c r="H9570" s="18">
        <v>25</v>
      </c>
      <c r="I9570" s="18" t="s">
        <v>39661</v>
      </c>
      <c r="J9570" s="5" t="s">
        <v>41949</v>
      </c>
      <c r="K9570" s="5" t="s">
        <v>41950</v>
      </c>
      <c r="L9570" s="18" t="s">
        <v>2734</v>
      </c>
      <c r="M9570" s="18" t="s">
        <v>29</v>
      </c>
      <c r="N9570" s="18" t="s">
        <v>41951</v>
      </c>
      <c r="O9570" s="18" t="s">
        <v>29</v>
      </c>
      <c r="P9570" s="6"/>
      <c r="Q9570" s="6"/>
      <c r="R9570" s="6"/>
      <c r="S9570" s="6"/>
      <c r="T9570" s="6"/>
      <c r="U9570" s="6"/>
    </row>
    <row r="9571" ht="14.25">
      <c r="B9571" s="18" t="s">
        <v>6243</v>
      </c>
      <c r="C9571" s="18" t="s">
        <v>41952</v>
      </c>
      <c r="D9571" s="18" t="s">
        <v>426</v>
      </c>
      <c r="E9571" s="18" t="s">
        <v>41953</v>
      </c>
      <c r="F9571" s="18" t="str">
        <f>IFERROR(__XLUDF.DUMMYFUNCTION("PROPER(REGEXREPLACE(D388,""[^A-Za-z]+ "",""""))"),"Amf")</f>
        <v>Amf</v>
      </c>
      <c r="G9571" s="18" t="s">
        <v>41954</v>
      </c>
      <c r="H9571" s="18">
        <v>33</v>
      </c>
      <c r="I9571" s="18" t="s">
        <v>39661</v>
      </c>
      <c r="J9571" s="5" t="s">
        <v>41955</v>
      </c>
      <c r="K9571" s="5" t="s">
        <v>41956</v>
      </c>
      <c r="L9571" s="6"/>
      <c r="M9571" s="18" t="s">
        <v>29</v>
      </c>
      <c r="N9571" s="18" t="s">
        <v>41957</v>
      </c>
      <c r="O9571" s="18" t="s">
        <v>29</v>
      </c>
      <c r="P9571" s="18" t="s">
        <v>41958</v>
      </c>
      <c r="Q9571" s="6"/>
      <c r="R9571" s="6"/>
      <c r="S9571" s="6"/>
      <c r="T9571" s="6"/>
      <c r="U9571" s="6"/>
    </row>
    <row r="9572" ht="14.25">
      <c r="B9572" s="18" t="s">
        <v>2348</v>
      </c>
      <c r="C9572" s="18" t="s">
        <v>41785</v>
      </c>
      <c r="D9572" s="18" t="s">
        <v>172</v>
      </c>
      <c r="E9572" s="18" t="s">
        <v>41786</v>
      </c>
      <c r="F9572" s="18" t="str">
        <f>IFERROR(__XLUDF.DUMMYFUNCTION("PROPER(REGEXREPLACE(D389,""[^A-Za-z]+ "",""""))"),"Bayvet")</f>
        <v>Bayvet</v>
      </c>
      <c r="G9572" s="18" t="s">
        <v>41959</v>
      </c>
      <c r="H9572" s="18">
        <v>14</v>
      </c>
      <c r="I9572" s="18" t="s">
        <v>39661</v>
      </c>
      <c r="J9572" s="5" t="s">
        <v>41960</v>
      </c>
      <c r="K9572" s="5" t="s">
        <v>41789</v>
      </c>
      <c r="L9572" s="6"/>
      <c r="M9572" s="18" t="s">
        <v>29</v>
      </c>
      <c r="N9572" s="18" t="s">
        <v>41790</v>
      </c>
      <c r="O9572" s="18" t="s">
        <v>29</v>
      </c>
      <c r="P9572" s="18" t="s">
        <v>41791</v>
      </c>
      <c r="Q9572" s="6"/>
      <c r="R9572" s="6"/>
      <c r="S9572" s="6"/>
      <c r="T9572" s="6"/>
      <c r="U9572" s="6"/>
    </row>
    <row r="9573" ht="14.25">
      <c r="B9573" s="18" t="s">
        <v>2419</v>
      </c>
      <c r="C9573" s="18" t="s">
        <v>41961</v>
      </c>
      <c r="D9573" s="18" t="s">
        <v>41962</v>
      </c>
      <c r="E9573" s="18" t="s">
        <v>41963</v>
      </c>
      <c r="F9573" s="18" t="str">
        <f>IFERROR(__XLUDF.DUMMYFUNCTION("PROPER(REGEXREPLACE(D390,""[^A-Za-z]+ "",""""))"),"Insurance Management Service")</f>
        <v xml:space="preserve">Insurance Management Service</v>
      </c>
      <c r="G9573" s="18" t="s">
        <v>41964</v>
      </c>
      <c r="H9573" s="18">
        <v>25</v>
      </c>
      <c r="I9573" s="18" t="s">
        <v>39661</v>
      </c>
      <c r="J9573" s="5" t="s">
        <v>41965</v>
      </c>
      <c r="K9573" s="5" t="s">
        <v>41966</v>
      </c>
      <c r="L9573" s="18" t="s">
        <v>846</v>
      </c>
      <c r="M9573" s="18" t="s">
        <v>29</v>
      </c>
      <c r="N9573" s="18" t="s">
        <v>41967</v>
      </c>
      <c r="O9573" s="18" t="s">
        <v>1261</v>
      </c>
      <c r="P9573" s="6"/>
      <c r="Q9573" s="6"/>
      <c r="R9573" s="6"/>
      <c r="S9573" s="6"/>
      <c r="T9573" s="6"/>
      <c r="U9573" s="6"/>
    </row>
    <row r="9574" ht="14.25">
      <c r="B9574" s="18" t="s">
        <v>41968</v>
      </c>
      <c r="C9574" s="18" t="s">
        <v>10222</v>
      </c>
      <c r="D9574" s="18" t="s">
        <v>164</v>
      </c>
      <c r="E9574" s="18" t="s">
        <v>41969</v>
      </c>
      <c r="F9574" s="18" t="str">
        <f>IFERROR(__XLUDF.DUMMYFUNCTION("PROPER(REGEXREPLACE(D391,""[^A-Za-z]+ "",""""))"),"Cnp Luxembourg")</f>
        <v xml:space="preserve">Cnp Luxembourg</v>
      </c>
      <c r="G9574" s="18" t="s">
        <v>41970</v>
      </c>
      <c r="H9574" s="18">
        <v>35</v>
      </c>
      <c r="I9574" s="18" t="s">
        <v>39661</v>
      </c>
      <c r="J9574" s="5" t="s">
        <v>41971</v>
      </c>
      <c r="K9574" s="5" t="s">
        <v>41972</v>
      </c>
      <c r="L9574" s="18" t="s">
        <v>39</v>
      </c>
      <c r="M9574" s="18" t="s">
        <v>29</v>
      </c>
      <c r="N9574" s="18" t="s">
        <v>41973</v>
      </c>
      <c r="O9574" s="18" t="s">
        <v>1094</v>
      </c>
      <c r="P9574" s="18" t="s">
        <v>41974</v>
      </c>
      <c r="Q9574" s="6"/>
      <c r="R9574" s="6"/>
      <c r="S9574" s="6"/>
      <c r="T9574" s="6"/>
      <c r="U9574" s="6"/>
    </row>
    <row r="9575" ht="14.25">
      <c r="B9575" s="18" t="s">
        <v>41975</v>
      </c>
      <c r="C9575" s="18" t="s">
        <v>41976</v>
      </c>
      <c r="D9575" s="18" t="s">
        <v>688</v>
      </c>
      <c r="E9575" s="18" t="s">
        <v>41977</v>
      </c>
      <c r="F9575" s="18" t="str">
        <f>IFERROR(__XLUDF.DUMMYFUNCTION("PROPER(REGEXREPLACE(D392,""[^A-Za-z]+ "",""""))"),"Lucett")</f>
        <v>Lucett</v>
      </c>
      <c r="G9575" s="18" t="s">
        <v>41978</v>
      </c>
      <c r="H9575" s="18">
        <v>6</v>
      </c>
      <c r="I9575" s="18" t="s">
        <v>39661</v>
      </c>
      <c r="J9575" s="5" t="s">
        <v>41979</v>
      </c>
      <c r="K9575" s="5" t="s">
        <v>41980</v>
      </c>
      <c r="L9575" s="18" t="s">
        <v>39</v>
      </c>
      <c r="M9575" s="18" t="s">
        <v>29</v>
      </c>
      <c r="N9575" s="6"/>
      <c r="O9575" s="6"/>
      <c r="P9575" s="18" t="s">
        <v>41981</v>
      </c>
      <c r="Q9575" s="6"/>
      <c r="R9575" s="6"/>
      <c r="S9575" s="6"/>
      <c r="T9575" s="6"/>
      <c r="U9575" s="6"/>
    </row>
    <row r="9576" ht="14.25">
      <c r="B9576" s="18" t="s">
        <v>21298</v>
      </c>
      <c r="C9576" s="18" t="s">
        <v>41982</v>
      </c>
      <c r="D9576" s="18" t="s">
        <v>4449</v>
      </c>
      <c r="E9576" s="18" t="s">
        <v>41983</v>
      </c>
      <c r="F9576" s="18" t="str">
        <f>IFERROR(__XLUDF.DUMMYFUNCTION("PROPER(REGEXREPLACE(D393,""[^A-Za-z]+ "",""""))"),"Asekkey")</f>
        <v>Asekkey</v>
      </c>
      <c r="G9576" s="18" t="s">
        <v>41984</v>
      </c>
      <c r="H9576" s="18">
        <v>3</v>
      </c>
      <c r="I9576" s="18" t="s">
        <v>39661</v>
      </c>
      <c r="J9576" s="5" t="s">
        <v>41985</v>
      </c>
      <c r="K9576" s="5" t="s">
        <v>41986</v>
      </c>
      <c r="L9576" s="18" t="s">
        <v>39</v>
      </c>
      <c r="M9576" s="18" t="s">
        <v>29</v>
      </c>
      <c r="N9576" s="18" t="s">
        <v>4649</v>
      </c>
      <c r="O9576" s="18" t="s">
        <v>29</v>
      </c>
      <c r="P9576" s="18" t="s">
        <v>41987</v>
      </c>
      <c r="Q9576" s="6"/>
      <c r="R9576" s="6"/>
      <c r="S9576" s="6"/>
      <c r="T9576" s="6"/>
      <c r="U9576" s="6"/>
    </row>
    <row r="9577" ht="14.25">
      <c r="B9577" s="18" t="s">
        <v>769</v>
      </c>
      <c r="C9577" s="18" t="s">
        <v>15783</v>
      </c>
      <c r="D9577" s="18" t="s">
        <v>41988</v>
      </c>
      <c r="E9577" s="18" t="s">
        <v>41989</v>
      </c>
      <c r="F9577" s="18" t="str">
        <f>IFERROR(__XLUDF.DUMMYFUNCTION("PROPER(REGEXREPLACE(D394,""[^A-Za-z]+ "",""""))"),"Mila")</f>
        <v>Mila</v>
      </c>
      <c r="G9577" s="18" t="s">
        <v>41990</v>
      </c>
      <c r="H9577" s="18">
        <v>60</v>
      </c>
      <c r="I9577" s="18" t="s">
        <v>39661</v>
      </c>
      <c r="J9577" s="5" t="s">
        <v>41991</v>
      </c>
      <c r="K9577" s="5" t="s">
        <v>41992</v>
      </c>
      <c r="L9577" s="18" t="s">
        <v>7827</v>
      </c>
      <c r="M9577" s="18" t="s">
        <v>29</v>
      </c>
      <c r="N9577" s="18" t="s">
        <v>21232</v>
      </c>
      <c r="O9577" s="18" t="s">
        <v>29</v>
      </c>
      <c r="P9577" s="18" t="s">
        <v>41993</v>
      </c>
      <c r="Q9577" s="6"/>
      <c r="R9577" s="6"/>
      <c r="S9577" s="6"/>
      <c r="T9577" s="6"/>
      <c r="U9577" s="6"/>
    </row>
    <row r="9578" ht="14.25">
      <c r="B9578" s="18" t="s">
        <v>12073</v>
      </c>
      <c r="C9578" s="18" t="s">
        <v>41994</v>
      </c>
      <c r="D9578" s="18" t="s">
        <v>62</v>
      </c>
      <c r="E9578" s="18" t="s">
        <v>41995</v>
      </c>
      <c r="F9578" s="18" t="str">
        <f>IFERROR(__XLUDF.DUMMYFUNCTION("PROPER(REGEXREPLACE(D395,""[^A-Za-z]+ "",""""))"),"Wingsure")</f>
        <v>Wingsure</v>
      </c>
      <c r="G9578" s="18" t="s">
        <v>41996</v>
      </c>
      <c r="H9578" s="18">
        <v>20</v>
      </c>
      <c r="I9578" s="6"/>
      <c r="J9578" s="5" t="s">
        <v>41997</v>
      </c>
      <c r="K9578" s="5" t="s">
        <v>41998</v>
      </c>
      <c r="L9578" s="18" t="s">
        <v>39</v>
      </c>
      <c r="M9578" s="18" t="s">
        <v>29</v>
      </c>
      <c r="N9578" s="18" t="s">
        <v>41999</v>
      </c>
      <c r="O9578" s="18" t="s">
        <v>1261</v>
      </c>
      <c r="P9578" s="6"/>
      <c r="Q9578" s="6"/>
      <c r="R9578" s="6"/>
      <c r="S9578" s="6"/>
      <c r="T9578" s="6"/>
      <c r="U9578" s="6"/>
    </row>
    <row r="9579" ht="14.25">
      <c r="B9579" s="18" t="s">
        <v>734</v>
      </c>
      <c r="C9579" s="18" t="s">
        <v>42000</v>
      </c>
      <c r="D9579" s="18" t="s">
        <v>112</v>
      </c>
      <c r="E9579" s="18" t="s">
        <v>42001</v>
      </c>
      <c r="F9579" s="18" t="str">
        <f>IFERROR(__XLUDF.DUMMYFUNCTION("PROPER(REGEXREPLACE(D396,""[^A-Za-z]+ "",""""))"),"Guemas International")</f>
        <v xml:space="preserve">Guemas International</v>
      </c>
      <c r="G9579" s="18" t="s">
        <v>42002</v>
      </c>
      <c r="H9579" s="18">
        <v>14</v>
      </c>
      <c r="I9579" s="18" t="s">
        <v>39661</v>
      </c>
      <c r="J9579" s="5" t="s">
        <v>42003</v>
      </c>
      <c r="K9579" s="5" t="s">
        <v>42004</v>
      </c>
      <c r="L9579" s="18" t="s">
        <v>1711</v>
      </c>
      <c r="M9579" s="18" t="s">
        <v>29</v>
      </c>
      <c r="N9579" s="18" t="s">
        <v>42005</v>
      </c>
      <c r="O9579" s="18" t="s">
        <v>29</v>
      </c>
      <c r="P9579" s="6"/>
      <c r="Q9579" s="6"/>
      <c r="R9579" s="6"/>
      <c r="S9579" s="6"/>
      <c r="T9579" s="6"/>
      <c r="U9579" s="6"/>
    </row>
    <row r="9580" ht="14.25">
      <c r="B9580" s="18" t="s">
        <v>2652</v>
      </c>
      <c r="C9580" s="18" t="s">
        <v>42006</v>
      </c>
      <c r="D9580" s="18" t="s">
        <v>172</v>
      </c>
      <c r="E9580" s="18" t="s">
        <v>42007</v>
      </c>
      <c r="F9580" s="18" t="str">
        <f>IFERROR(__XLUDF.DUMMYFUNCTION("PROPER(REGEXREPLACE(D397,""[^A-Za-z]+ "",""""))"),"Lourmel")</f>
        <v>Lourmel</v>
      </c>
      <c r="G9580" s="18" t="s">
        <v>42008</v>
      </c>
      <c r="H9580" s="18">
        <v>50</v>
      </c>
      <c r="I9580" s="18" t="s">
        <v>39661</v>
      </c>
      <c r="J9580" s="5" t="s">
        <v>42009</v>
      </c>
      <c r="K9580" s="5" t="s">
        <v>42010</v>
      </c>
      <c r="L9580" s="18" t="s">
        <v>39</v>
      </c>
      <c r="M9580" s="18" t="s">
        <v>29</v>
      </c>
      <c r="N9580" s="18" t="s">
        <v>42011</v>
      </c>
      <c r="O9580" s="18" t="s">
        <v>29</v>
      </c>
      <c r="P9580" s="18" t="s">
        <v>42012</v>
      </c>
      <c r="Q9580" s="6"/>
      <c r="R9580" s="6"/>
      <c r="S9580" s="6"/>
      <c r="T9580" s="6"/>
      <c r="U9580" s="6"/>
    </row>
    <row r="9581" ht="14.25">
      <c r="B9581" s="18" t="s">
        <v>6626</v>
      </c>
      <c r="C9581" s="18" t="s">
        <v>42013</v>
      </c>
      <c r="D9581" s="18" t="s">
        <v>42014</v>
      </c>
      <c r="E9581" s="18" t="s">
        <v>42015</v>
      </c>
      <c r="F9581" s="18" t="str">
        <f>IFERROR(__XLUDF.DUMMYFUNCTION("PROPER(REGEXREPLACE(D398,""[^A-Za-z]+ "",""""))"),"Malmasson Courtage Sas")</f>
        <v xml:space="preserve">Malmasson Courtage Sas</v>
      </c>
      <c r="G9581" s="18" t="s">
        <v>42016</v>
      </c>
      <c r="H9581" s="18">
        <v>21</v>
      </c>
      <c r="I9581" s="18" t="s">
        <v>39661</v>
      </c>
      <c r="J9581" s="5" t="s">
        <v>42017</v>
      </c>
      <c r="K9581" s="5" t="s">
        <v>42018</v>
      </c>
      <c r="L9581" s="18" t="s">
        <v>42019</v>
      </c>
      <c r="M9581" s="18" t="s">
        <v>29</v>
      </c>
      <c r="N9581" s="18" t="s">
        <v>42020</v>
      </c>
      <c r="O9581" s="18" t="s">
        <v>29</v>
      </c>
      <c r="P9581" s="18" t="s">
        <v>42021</v>
      </c>
      <c r="Q9581" s="6"/>
      <c r="R9581" s="6"/>
      <c r="S9581" s="6"/>
      <c r="T9581" s="6"/>
      <c r="U9581" s="6"/>
    </row>
    <row r="9582" ht="14.25">
      <c r="B9582" s="18" t="s">
        <v>20</v>
      </c>
      <c r="C9582" s="18" t="s">
        <v>42022</v>
      </c>
      <c r="D9582" s="18" t="s">
        <v>42023</v>
      </c>
      <c r="E9582" s="18" t="s">
        <v>41802</v>
      </c>
      <c r="F9582" s="18" t="str">
        <f>IFERROR(__XLUDF.DUMMYFUNCTION("PROPER(REGEXREPLACE(D399,""[^A-Za-z]+ "",""""))"),"Joltee")</f>
        <v>Joltee</v>
      </c>
      <c r="G9582" s="18" t="s">
        <v>42024</v>
      </c>
      <c r="H9582" s="18">
        <v>12</v>
      </c>
      <c r="I9582" s="18" t="s">
        <v>39661</v>
      </c>
      <c r="J9582" s="5" t="s">
        <v>42025</v>
      </c>
      <c r="K9582" s="5" t="s">
        <v>41805</v>
      </c>
      <c r="L9582" s="18" t="s">
        <v>39</v>
      </c>
      <c r="M9582" s="18" t="s">
        <v>29</v>
      </c>
      <c r="N9582" s="18" t="s">
        <v>67</v>
      </c>
      <c r="O9582" s="18" t="s">
        <v>29</v>
      </c>
      <c r="P9582" s="6"/>
      <c r="Q9582" s="6"/>
      <c r="R9582" s="6"/>
      <c r="S9582" s="6"/>
      <c r="T9582" s="6"/>
      <c r="U9582" s="6"/>
    </row>
    <row r="9583" ht="14.25">
      <c r="B9583" s="18" t="s">
        <v>3164</v>
      </c>
      <c r="C9583" s="18" t="s">
        <v>42026</v>
      </c>
      <c r="D9583" s="18" t="s">
        <v>42027</v>
      </c>
      <c r="E9583" s="5" t="s">
        <v>41868</v>
      </c>
      <c r="F9583" s="5" t="str">
        <f>IFERROR(__XLUDF.DUMMYFUNCTION("PROPER(REGEXREPLACE(D400,""[^A-Za-z]+ "",""""))"),"Uptimyz.Fr")</f>
        <v>Uptimyz.Fr</v>
      </c>
      <c r="G9583" s="18" t="s">
        <v>42028</v>
      </c>
      <c r="H9583" s="18">
        <v>17</v>
      </c>
      <c r="I9583" s="18" t="s">
        <v>39661</v>
      </c>
      <c r="J9583" s="5" t="s">
        <v>42029</v>
      </c>
      <c r="K9583" s="5" t="s">
        <v>41871</v>
      </c>
      <c r="L9583" s="18" t="s">
        <v>49</v>
      </c>
      <c r="M9583" s="18" t="s">
        <v>29</v>
      </c>
      <c r="N9583" s="18" t="s">
        <v>416</v>
      </c>
      <c r="O9583" s="18" t="s">
        <v>29</v>
      </c>
      <c r="P9583" s="18" t="s">
        <v>41872</v>
      </c>
      <c r="Q9583" s="6"/>
      <c r="R9583" s="6"/>
      <c r="S9583" s="6"/>
      <c r="T9583" s="6"/>
      <c r="U9583" s="6"/>
    </row>
    <row r="9584" ht="14.25">
      <c r="B9584" s="18" t="s">
        <v>76</v>
      </c>
      <c r="C9584" s="18" t="s">
        <v>42030</v>
      </c>
      <c r="D9584" s="18" t="s">
        <v>42031</v>
      </c>
      <c r="E9584" s="18" t="s">
        <v>41766</v>
      </c>
      <c r="F9584" s="18" t="str">
        <f>IFERROR(__XLUDF.DUMMYFUNCTION("PROPER(REGEXREPLACE(D401,""[^A-Za-z]+ "",""""))"),"Fédération")</f>
        <v>Fédération</v>
      </c>
      <c r="G9584" s="18" t="s">
        <v>42032</v>
      </c>
      <c r="H9584" s="18">
        <v>23</v>
      </c>
      <c r="I9584" s="18" t="s">
        <v>39661</v>
      </c>
      <c r="J9584" s="5" t="s">
        <v>42033</v>
      </c>
      <c r="K9584" s="5" t="s">
        <v>41769</v>
      </c>
      <c r="L9584" s="6"/>
      <c r="M9584" s="18" t="s">
        <v>29</v>
      </c>
      <c r="N9584" s="18" t="s">
        <v>41770</v>
      </c>
      <c r="O9584" s="18" t="s">
        <v>29</v>
      </c>
      <c r="P9584" s="6"/>
      <c r="Q9584" s="6"/>
      <c r="R9584" s="6"/>
      <c r="S9584" s="6"/>
      <c r="T9584" s="6"/>
      <c r="U9584" s="6"/>
    </row>
    <row r="9585" ht="14.25">
      <c r="B9585" s="18" t="s">
        <v>3516</v>
      </c>
      <c r="C9585" s="18" t="s">
        <v>42034</v>
      </c>
      <c r="D9585" s="18" t="s">
        <v>42035</v>
      </c>
      <c r="E9585" s="18" t="s">
        <v>42036</v>
      </c>
      <c r="F9585" s="18" t="str">
        <f>IFERROR(__XLUDF.DUMMYFUNCTION("PROPER(REGEXREPLACE(D402,""[^A-Za-z]+ "",""""))"),"Suisscourtage")</f>
        <v>Suisscourtage</v>
      </c>
      <c r="G9585" s="18" t="s">
        <v>42037</v>
      </c>
      <c r="H9585" s="6"/>
      <c r="I9585" s="6"/>
      <c r="J9585" s="5" t="s">
        <v>42038</v>
      </c>
      <c r="K9585" s="5" t="s">
        <v>42039</v>
      </c>
      <c r="L9585" s="18" t="s">
        <v>49</v>
      </c>
      <c r="M9585" s="18" t="s">
        <v>29</v>
      </c>
      <c r="N9585" s="18" t="s">
        <v>42040</v>
      </c>
      <c r="O9585" s="18" t="s">
        <v>29</v>
      </c>
      <c r="P9585" s="6"/>
      <c r="Q9585" s="6"/>
      <c r="R9585" s="6"/>
      <c r="S9585" s="6"/>
      <c r="T9585" s="6"/>
      <c r="U9585" s="6"/>
    </row>
    <row r="9586" ht="14.25">
      <c r="B9586" s="18" t="s">
        <v>40883</v>
      </c>
      <c r="C9586" s="18" t="s">
        <v>42041</v>
      </c>
      <c r="D9586" s="18" t="s">
        <v>27102</v>
      </c>
      <c r="E9586" s="18" t="s">
        <v>42042</v>
      </c>
      <c r="F9586" s="18" t="str">
        <f>IFERROR(__XLUDF.DUMMYFUNCTION("PROPER(REGEXREPLACE(D403,""[^A-Za-z]+ "",""""))"),"Aelia Assurances Group")</f>
        <v xml:space="preserve">Aelia Assurances Group</v>
      </c>
      <c r="G9586" s="18" t="s">
        <v>42043</v>
      </c>
      <c r="H9586" s="18">
        <v>28</v>
      </c>
      <c r="I9586" s="18" t="s">
        <v>39661</v>
      </c>
      <c r="J9586" s="5" t="s">
        <v>42044</v>
      </c>
      <c r="K9586" s="5" t="s">
        <v>42045</v>
      </c>
      <c r="L9586" s="6"/>
      <c r="M9586" s="18" t="s">
        <v>29</v>
      </c>
      <c r="N9586" s="18" t="s">
        <v>42046</v>
      </c>
      <c r="O9586" s="18" t="s">
        <v>1094</v>
      </c>
      <c r="P9586" s="6"/>
      <c r="Q9586" s="6"/>
      <c r="R9586" s="6"/>
      <c r="S9586" s="6"/>
      <c r="T9586" s="6"/>
      <c r="U9586" s="6"/>
    </row>
    <row r="9587" ht="14.25">
      <c r="B9587" s="18" t="s">
        <v>2119</v>
      </c>
      <c r="C9587" s="18" t="s">
        <v>28187</v>
      </c>
      <c r="D9587" s="18" t="s">
        <v>112</v>
      </c>
      <c r="E9587" s="18" t="s">
        <v>42047</v>
      </c>
      <c r="F9587" s="18" t="str">
        <f>IFERROR(__XLUDF.DUMMYFUNCTION("PROPER(REGEXREPLACE(D404,""[^A-Za-z]+ "",""""))"),"Groupe Vaillance Conseil")</f>
        <v xml:space="preserve">Groupe Vaillance Conseil</v>
      </c>
      <c r="G9587" s="18" t="s">
        <v>42048</v>
      </c>
      <c r="H9587" s="18">
        <v>23</v>
      </c>
      <c r="I9587" s="18" t="s">
        <v>40453</v>
      </c>
      <c r="J9587" s="5" t="s">
        <v>42049</v>
      </c>
      <c r="K9587" s="5" t="s">
        <v>42050</v>
      </c>
      <c r="L9587" s="18" t="s">
        <v>39</v>
      </c>
      <c r="M9587" s="18" t="s">
        <v>29</v>
      </c>
      <c r="N9587" s="18" t="s">
        <v>17982</v>
      </c>
      <c r="O9587" s="18" t="s">
        <v>29</v>
      </c>
      <c r="P9587" s="18" t="s">
        <v>42051</v>
      </c>
      <c r="Q9587" s="6"/>
      <c r="R9587" s="6"/>
      <c r="S9587" s="6"/>
      <c r="T9587" s="6"/>
      <c r="U9587" s="6"/>
    </row>
    <row r="9588" ht="14.25">
      <c r="B9588" s="18" t="s">
        <v>1215</v>
      </c>
      <c r="C9588" s="18" t="s">
        <v>42052</v>
      </c>
      <c r="D9588" s="18" t="s">
        <v>42053</v>
      </c>
      <c r="E9588" s="18" t="s">
        <v>42054</v>
      </c>
      <c r="F9588" s="18" t="str">
        <f>IFERROR(__XLUDF.DUMMYFUNCTION("PROPER(REGEXREPLACE(D405,""[^A-Za-z]+ "",""""))"),"Miris M.A")</f>
        <v xml:space="preserve">Miris M.A</v>
      </c>
      <c r="G9588" s="18" t="s">
        <v>42055</v>
      </c>
      <c r="H9588" s="18">
        <v>11</v>
      </c>
      <c r="I9588" s="18" t="s">
        <v>39661</v>
      </c>
      <c r="J9588" s="5" t="s">
        <v>42056</v>
      </c>
      <c r="K9588" s="5" t="s">
        <v>42057</v>
      </c>
      <c r="L9588" s="18" t="s">
        <v>39</v>
      </c>
      <c r="M9588" s="18" t="s">
        <v>29</v>
      </c>
      <c r="N9588" s="18" t="s">
        <v>42058</v>
      </c>
      <c r="O9588" s="18" t="s">
        <v>2953</v>
      </c>
      <c r="P9588" s="6"/>
      <c r="Q9588" s="6"/>
      <c r="R9588" s="6"/>
      <c r="S9588" s="6"/>
      <c r="T9588" s="6"/>
      <c r="U9588" s="6"/>
    </row>
    <row r="9589" ht="14.25">
      <c r="B9589" s="18" t="s">
        <v>630</v>
      </c>
      <c r="C9589" s="18" t="s">
        <v>42059</v>
      </c>
      <c r="D9589" s="18" t="s">
        <v>112</v>
      </c>
      <c r="E9589" s="18" t="s">
        <v>42060</v>
      </c>
      <c r="F9589" s="18" t="str">
        <f>IFERROR(__XLUDF.DUMMYFUNCTION("PROPER(REGEXREPLACE(D406,""[^A-Za-z]+ "",""""))"),"Heux Assurances")</f>
        <v xml:space="preserve">Heux Assurances</v>
      </c>
      <c r="G9589" s="18" t="s">
        <v>42061</v>
      </c>
      <c r="H9589" s="18">
        <v>23</v>
      </c>
      <c r="I9589" s="18" t="s">
        <v>39661</v>
      </c>
      <c r="J9589" s="5" t="s">
        <v>42062</v>
      </c>
      <c r="K9589" s="5" t="s">
        <v>42063</v>
      </c>
      <c r="L9589" s="18" t="s">
        <v>16341</v>
      </c>
      <c r="M9589" s="18" t="s">
        <v>29</v>
      </c>
      <c r="N9589" s="18" t="s">
        <v>42064</v>
      </c>
      <c r="O9589" s="18" t="s">
        <v>29</v>
      </c>
      <c r="P9589" s="18" t="s">
        <v>42065</v>
      </c>
      <c r="Q9589" s="6"/>
      <c r="R9589" s="6"/>
      <c r="S9589" s="6"/>
      <c r="T9589" s="6"/>
      <c r="U9589" s="6"/>
    </row>
    <row r="9590" ht="14.25">
      <c r="B9590" s="18" t="s">
        <v>2249</v>
      </c>
      <c r="C9590" s="18" t="s">
        <v>42066</v>
      </c>
      <c r="D9590" s="18" t="s">
        <v>120</v>
      </c>
      <c r="E9590" s="18" t="s">
        <v>42067</v>
      </c>
      <c r="F9590" s="18" t="str">
        <f>IFERROR(__XLUDF.DUMMYFUNCTION("PROPER(REGEXREPLACE(D407,""[^A-Za-z]+ "",""""))"),"Ma Nouvelle Assurance")</f>
        <v xml:space="preserve">Ma Nouvelle Assurance</v>
      </c>
      <c r="G9590" s="18" t="s">
        <v>42068</v>
      </c>
      <c r="H9590" s="18">
        <v>5</v>
      </c>
      <c r="I9590" s="18" t="s">
        <v>39661</v>
      </c>
      <c r="J9590" s="5" t="s">
        <v>42069</v>
      </c>
      <c r="K9590" s="5" t="s">
        <v>42070</v>
      </c>
      <c r="L9590" s="18" t="s">
        <v>2650</v>
      </c>
      <c r="M9590" s="18" t="s">
        <v>29</v>
      </c>
      <c r="N9590" s="18" t="s">
        <v>42071</v>
      </c>
      <c r="O9590" s="18" t="s">
        <v>29</v>
      </c>
      <c r="P9590" s="18" t="s">
        <v>42072</v>
      </c>
      <c r="Q9590" s="6"/>
      <c r="R9590" s="6"/>
      <c r="S9590" s="6"/>
      <c r="T9590" s="6"/>
      <c r="U9590" s="6"/>
    </row>
    <row r="9591" ht="14.25">
      <c r="B9591" s="18" t="s">
        <v>32132</v>
      </c>
      <c r="C9591" s="18" t="s">
        <v>42073</v>
      </c>
      <c r="D9591" s="18" t="s">
        <v>42074</v>
      </c>
      <c r="E9591" s="18" t="s">
        <v>42075</v>
      </c>
      <c r="F9591" s="18" t="str">
        <f>IFERROR(__XLUDF.DUMMYFUNCTION("PROPER(REGEXREPLACE(D408,""[^A-Za-z]+ "",""""))"),"Kooalys Insurtech")</f>
        <v xml:space="preserve">Kooalys Insurtech</v>
      </c>
      <c r="G9591" s="18" t="s">
        <v>42076</v>
      </c>
      <c r="H9591" s="18">
        <v>4</v>
      </c>
      <c r="I9591" s="18" t="s">
        <v>39661</v>
      </c>
      <c r="J9591" s="5" t="s">
        <v>42077</v>
      </c>
      <c r="K9591" s="5" t="s">
        <v>42078</v>
      </c>
      <c r="L9591" s="18" t="s">
        <v>39</v>
      </c>
      <c r="M9591" s="18" t="s">
        <v>29</v>
      </c>
      <c r="N9591" s="18" t="s">
        <v>67</v>
      </c>
      <c r="O9591" s="18" t="s">
        <v>29</v>
      </c>
      <c r="P9591" s="6"/>
      <c r="Q9591" s="6"/>
      <c r="R9591" s="6"/>
      <c r="S9591" s="6"/>
      <c r="T9591" s="6"/>
      <c r="U9591" s="6"/>
    </row>
    <row r="9592" ht="14.25">
      <c r="B9592" s="18" t="s">
        <v>42079</v>
      </c>
      <c r="C9592" s="18" t="s">
        <v>42080</v>
      </c>
      <c r="D9592" s="18" t="s">
        <v>103</v>
      </c>
      <c r="E9592" s="18" t="s">
        <v>42081</v>
      </c>
      <c r="F9592" s="18" t="str">
        <f>IFERROR(__XLUDF.DUMMYFUNCTION("PROPER(REGEXREPLACE(D409,""[^A-Za-z]+ "",""""))"),"Mutuelle Marseille Métropole")</f>
        <v xml:space="preserve">Mutuelle Marseille Métropole</v>
      </c>
      <c r="G9592" s="18" t="s">
        <v>42082</v>
      </c>
      <c r="H9592" s="18">
        <v>14</v>
      </c>
      <c r="I9592" s="18" t="s">
        <v>39661</v>
      </c>
      <c r="J9592" s="5" t="s">
        <v>42083</v>
      </c>
      <c r="K9592" s="5" t="s">
        <v>42084</v>
      </c>
      <c r="L9592" s="18" t="s">
        <v>295</v>
      </c>
      <c r="M9592" s="18" t="s">
        <v>29</v>
      </c>
      <c r="N9592" s="18" t="s">
        <v>3642</v>
      </c>
      <c r="O9592" s="18" t="s">
        <v>29</v>
      </c>
      <c r="P9592" s="18" t="s">
        <v>42085</v>
      </c>
      <c r="Q9592" s="6"/>
      <c r="R9592" s="6"/>
      <c r="S9592" s="6"/>
      <c r="T9592" s="6"/>
      <c r="U9592" s="6"/>
    </row>
    <row r="9593" ht="14.25">
      <c r="B9593" s="18" t="s">
        <v>866</v>
      </c>
      <c r="C9593" s="18" t="s">
        <v>42086</v>
      </c>
      <c r="D9593" s="18" t="s">
        <v>42087</v>
      </c>
      <c r="E9593" s="18" t="s">
        <v>41904</v>
      </c>
      <c r="F9593" s="18" t="str">
        <f>IFERROR(__XLUDF.DUMMYFUNCTION("PROPER(REGEXREPLACE(D410,""[^A-Za-z]+ "",""""))"),"Madrigal")</f>
        <v>Madrigal</v>
      </c>
      <c r="G9593" s="18" t="s">
        <v>42088</v>
      </c>
      <c r="H9593" s="18">
        <v>16</v>
      </c>
      <c r="I9593" s="18" t="s">
        <v>39661</v>
      </c>
      <c r="J9593" s="5" t="s">
        <v>42089</v>
      </c>
      <c r="K9593" s="5" t="s">
        <v>41907</v>
      </c>
      <c r="L9593" s="18" t="s">
        <v>39</v>
      </c>
      <c r="M9593" s="18" t="s">
        <v>29</v>
      </c>
      <c r="N9593" s="18" t="s">
        <v>41908</v>
      </c>
      <c r="O9593" s="18" t="s">
        <v>29</v>
      </c>
      <c r="P9593" s="18" t="s">
        <v>41909</v>
      </c>
      <c r="Q9593" s="6"/>
      <c r="R9593" s="6"/>
      <c r="S9593" s="6"/>
      <c r="T9593" s="6"/>
      <c r="U9593" s="6"/>
    </row>
    <row r="9594" ht="14.25">
      <c r="B9594" s="18" t="s">
        <v>12327</v>
      </c>
      <c r="C9594" s="18" t="s">
        <v>42090</v>
      </c>
      <c r="D9594" s="18" t="s">
        <v>3982</v>
      </c>
      <c r="E9594" s="18" t="s">
        <v>42091</v>
      </c>
      <c r="F9594" s="18" t="str">
        <f>IFERROR(__XLUDF.DUMMYFUNCTION("PROPER(REGEXREPLACE(D411,""[^A-Za-z]+ "",""""))"),"Groupe Gsa Assurances")</f>
        <v xml:space="preserve">Groupe Gsa Assurances</v>
      </c>
      <c r="G9594" s="18" t="s">
        <v>42092</v>
      </c>
      <c r="H9594" s="18">
        <v>20</v>
      </c>
      <c r="I9594" s="18" t="s">
        <v>39661</v>
      </c>
      <c r="J9594" s="5" t="s">
        <v>42093</v>
      </c>
      <c r="K9594" s="5" t="s">
        <v>42094</v>
      </c>
      <c r="L9594" s="18" t="s">
        <v>39</v>
      </c>
      <c r="M9594" s="18" t="s">
        <v>29</v>
      </c>
      <c r="N9594" s="18" t="s">
        <v>42095</v>
      </c>
      <c r="O9594" s="18" t="s">
        <v>29</v>
      </c>
      <c r="P9594" s="18" t="s">
        <v>42096</v>
      </c>
      <c r="Q9594" s="6"/>
      <c r="R9594" s="6"/>
      <c r="S9594" s="6"/>
      <c r="T9594" s="6"/>
      <c r="U9594" s="6"/>
    </row>
    <row r="9595" ht="14.25">
      <c r="B9595" s="18" t="s">
        <v>679</v>
      </c>
      <c r="C9595" s="18" t="s">
        <v>42097</v>
      </c>
      <c r="D9595" s="18" t="s">
        <v>87</v>
      </c>
      <c r="E9595" s="18" t="s">
        <v>42098</v>
      </c>
      <c r="F9595" s="18" t="str">
        <f>IFERROR(__XLUDF.DUMMYFUNCTION("PROPER(REGEXREPLACE(D412,""[^A-Za-z]+ "",""""))"),"Amielpartners")</f>
        <v>Amielpartners</v>
      </c>
      <c r="G9595" s="18" t="s">
        <v>42099</v>
      </c>
      <c r="H9595" s="18">
        <v>1</v>
      </c>
      <c r="I9595" s="18" t="s">
        <v>39661</v>
      </c>
      <c r="J9595" s="5" t="s">
        <v>42100</v>
      </c>
      <c r="K9595" s="5" t="s">
        <v>42101</v>
      </c>
      <c r="L9595" s="18" t="s">
        <v>39</v>
      </c>
      <c r="M9595" s="18" t="s">
        <v>29</v>
      </c>
      <c r="N9595" s="18" t="s">
        <v>5855</v>
      </c>
      <c r="O9595" s="18" t="s">
        <v>29</v>
      </c>
      <c r="P9595" s="18" t="s">
        <v>42102</v>
      </c>
      <c r="Q9595" s="6"/>
      <c r="R9595" s="6"/>
      <c r="S9595" s="6"/>
      <c r="T9595" s="6"/>
      <c r="U9595" s="6"/>
    </row>
    <row r="9596" ht="14.25">
      <c r="B9596" s="18" t="s">
        <v>76</v>
      </c>
      <c r="C9596" s="18" t="s">
        <v>42103</v>
      </c>
      <c r="D9596" s="18" t="s">
        <v>112</v>
      </c>
      <c r="E9596" s="18" t="s">
        <v>42104</v>
      </c>
      <c r="F9596" s="18" t="str">
        <f>IFERROR(__XLUDF.DUMMYFUNCTION("PROPER(REGEXREPLACE(D413,""[^A-Za-z]+ "",""""))"),"Pole Position Assurances")</f>
        <v xml:space="preserve">Pole Position Assurances</v>
      </c>
      <c r="G9596" s="18" t="s">
        <v>42105</v>
      </c>
      <c r="H9596" s="6"/>
      <c r="I9596" s="6"/>
      <c r="J9596" s="5" t="s">
        <v>42106</v>
      </c>
      <c r="K9596" s="5" t="s">
        <v>42107</v>
      </c>
      <c r="L9596" s="18" t="s">
        <v>42108</v>
      </c>
      <c r="M9596" s="18" t="s">
        <v>29</v>
      </c>
      <c r="N9596" s="18" t="s">
        <v>42109</v>
      </c>
      <c r="O9596" s="18" t="s">
        <v>29</v>
      </c>
      <c r="P9596" s="6"/>
      <c r="Q9596" s="6"/>
      <c r="R9596" s="6"/>
      <c r="S9596" s="6"/>
      <c r="T9596" s="6"/>
      <c r="U9596" s="6"/>
    </row>
    <row r="9597" ht="14.25">
      <c r="B9597" s="18" t="s">
        <v>2398</v>
      </c>
      <c r="C9597" s="18" t="s">
        <v>580</v>
      </c>
      <c r="D9597" s="18" t="s">
        <v>22379</v>
      </c>
      <c r="E9597" s="18" t="s">
        <v>42110</v>
      </c>
      <c r="F9597" s="18" t="str">
        <f>IFERROR(__XLUDF.DUMMYFUNCTION("PROPER(REGEXREPLACE(D414,""[^A-Za-z]+ "",""""))"),"Fort Insurance International")</f>
        <v xml:space="preserve">Fort Insurance International</v>
      </c>
      <c r="G9597" s="18" t="s">
        <v>42111</v>
      </c>
      <c r="H9597" s="18">
        <v>5</v>
      </c>
      <c r="I9597" s="18" t="s">
        <v>39661</v>
      </c>
      <c r="J9597" s="5" t="s">
        <v>42112</v>
      </c>
      <c r="K9597" s="5" t="s">
        <v>42113</v>
      </c>
      <c r="L9597" s="18" t="s">
        <v>465</v>
      </c>
      <c r="M9597" s="18" t="s">
        <v>29</v>
      </c>
      <c r="N9597" s="18" t="s">
        <v>2750</v>
      </c>
      <c r="O9597" s="18" t="s">
        <v>29</v>
      </c>
      <c r="P9597" s="18" t="s">
        <v>42114</v>
      </c>
      <c r="Q9597" s="6"/>
      <c r="R9597" s="6"/>
      <c r="S9597" s="6"/>
      <c r="T9597" s="6"/>
      <c r="U9597" s="6"/>
    </row>
    <row r="9598" ht="14.25">
      <c r="B9598" s="18" t="s">
        <v>4800</v>
      </c>
      <c r="C9598" s="18" t="s">
        <v>13011</v>
      </c>
      <c r="D9598" s="18" t="s">
        <v>112</v>
      </c>
      <c r="E9598" s="18" t="s">
        <v>42115</v>
      </c>
      <c r="F9598" s="18" t="str">
        <f>IFERROR(__XLUDF.DUMMYFUNCTION("PROPER(REGEXREPLACE(D415,""[^A-Za-z]+ "",""""))"),"Disposur")</f>
        <v>Disposur</v>
      </c>
      <c r="G9598" s="18" t="s">
        <v>42116</v>
      </c>
      <c r="H9598" s="18">
        <v>21</v>
      </c>
      <c r="I9598" s="18" t="s">
        <v>39661</v>
      </c>
      <c r="J9598" s="5" t="s">
        <v>42117</v>
      </c>
      <c r="K9598" s="5" t="s">
        <v>42118</v>
      </c>
      <c r="L9598" s="18" t="s">
        <v>83</v>
      </c>
      <c r="M9598" s="18" t="s">
        <v>29</v>
      </c>
      <c r="N9598" s="18" t="s">
        <v>346</v>
      </c>
      <c r="O9598" s="18" t="s">
        <v>29</v>
      </c>
      <c r="P9598" s="6"/>
      <c r="Q9598" s="6"/>
      <c r="R9598" s="6"/>
      <c r="S9598" s="6"/>
      <c r="T9598" s="6"/>
      <c r="U9598" s="6"/>
    </row>
    <row r="9599" ht="14.25">
      <c r="B9599" s="18" t="s">
        <v>5060</v>
      </c>
      <c r="C9599" s="18" t="s">
        <v>42119</v>
      </c>
      <c r="D9599" s="18" t="s">
        <v>3637</v>
      </c>
      <c r="E9599" s="18" t="s">
        <v>42120</v>
      </c>
      <c r="F9599" s="18" t="str">
        <f>IFERROR(__XLUDF.DUMMYFUNCTION("PROPER(REGEXREPLACE(D416,""[^A-Za-z]+ "",""""))"),"Vérisanté")</f>
        <v>Vérisanté</v>
      </c>
      <c r="G9599" s="18" t="s">
        <v>42121</v>
      </c>
      <c r="H9599" s="18">
        <v>18</v>
      </c>
      <c r="I9599" s="18" t="s">
        <v>39661</v>
      </c>
      <c r="J9599" s="5" t="s">
        <v>42122</v>
      </c>
      <c r="K9599" s="5" t="s">
        <v>42123</v>
      </c>
      <c r="L9599" s="18" t="s">
        <v>295</v>
      </c>
      <c r="M9599" s="18" t="s">
        <v>29</v>
      </c>
      <c r="N9599" s="18" t="s">
        <v>42124</v>
      </c>
      <c r="O9599" s="18" t="s">
        <v>29</v>
      </c>
      <c r="P9599" s="6"/>
      <c r="Q9599" s="6"/>
      <c r="R9599" s="6"/>
      <c r="S9599" s="6"/>
      <c r="T9599" s="6"/>
      <c r="U9599" s="6"/>
    </row>
    <row r="9600" ht="14.25">
      <c r="B9600" s="18" t="s">
        <v>22505</v>
      </c>
      <c r="C9600" s="18" t="s">
        <v>10222</v>
      </c>
      <c r="D9600" s="18" t="s">
        <v>4586</v>
      </c>
      <c r="E9600" s="18" t="s">
        <v>42125</v>
      </c>
      <c r="F9600" s="18" t="str">
        <f>IFERROR(__XLUDF.DUMMYFUNCTION("PROPER(REGEXREPLACE(D417,""[^A-Za-z]+ "",""""))"),"Unep")</f>
        <v>Unep</v>
      </c>
      <c r="G9600" s="18" t="s">
        <v>42126</v>
      </c>
      <c r="H9600" s="18">
        <v>27</v>
      </c>
      <c r="I9600" s="18" t="s">
        <v>39661</v>
      </c>
      <c r="J9600" s="5" t="s">
        <v>42127</v>
      </c>
      <c r="K9600" s="5" t="s">
        <v>42128</v>
      </c>
      <c r="L9600" s="18" t="s">
        <v>39</v>
      </c>
      <c r="M9600" s="18" t="s">
        <v>29</v>
      </c>
      <c r="N9600" s="18" t="s">
        <v>42129</v>
      </c>
      <c r="O9600" s="18" t="s">
        <v>29</v>
      </c>
      <c r="P9600" s="6"/>
      <c r="Q9600" s="6"/>
      <c r="R9600" s="6"/>
      <c r="S9600" s="6"/>
      <c r="T9600" s="6"/>
      <c r="U9600" s="6"/>
    </row>
    <row r="9601" ht="14.25">
      <c r="B9601" s="18" t="s">
        <v>1454</v>
      </c>
      <c r="C9601" s="18" t="s">
        <v>42130</v>
      </c>
      <c r="D9601" s="18" t="s">
        <v>426</v>
      </c>
      <c r="E9601" s="18" t="s">
        <v>42131</v>
      </c>
      <c r="F9601" s="18" t="str">
        <f>IFERROR(__XLUDF.DUMMYFUNCTION("PROPER(REGEXREPLACE(D418,""[^A-Za-z]+ "",""""))"),"Cmonassurance")</f>
        <v>Cmonassurance</v>
      </c>
      <c r="G9601" s="18" t="s">
        <v>42132</v>
      </c>
      <c r="H9601" s="18">
        <v>27</v>
      </c>
      <c r="I9601" s="18" t="s">
        <v>39661</v>
      </c>
      <c r="J9601" s="5" t="s">
        <v>42133</v>
      </c>
      <c r="K9601" s="5" t="s">
        <v>42134</v>
      </c>
      <c r="L9601" s="18" t="s">
        <v>185</v>
      </c>
      <c r="M9601" s="18" t="s">
        <v>29</v>
      </c>
      <c r="N9601" s="18" t="s">
        <v>41436</v>
      </c>
      <c r="O9601" s="18" t="s">
        <v>29</v>
      </c>
      <c r="P9601" s="6"/>
      <c r="Q9601" s="6"/>
      <c r="R9601" s="6"/>
      <c r="S9601" s="6"/>
      <c r="T9601" s="6"/>
      <c r="U9601" s="6"/>
    </row>
    <row r="9602" ht="14.25">
      <c r="B9602" s="18" t="s">
        <v>42135</v>
      </c>
      <c r="C9602" s="18" t="s">
        <v>42136</v>
      </c>
      <c r="D9602" s="18" t="s">
        <v>87</v>
      </c>
      <c r="E9602" s="18" t="s">
        <v>42137</v>
      </c>
      <c r="F9602" s="18" t="str">
        <f>IFERROR(__XLUDF.DUMMYFUNCTION("PROPER(REGEXREPLACE(D419,""[^A-Za-z]+ "",""""))"),"Tcheker")</f>
        <v>Tcheker</v>
      </c>
      <c r="G9602" s="18" t="s">
        <v>42138</v>
      </c>
      <c r="H9602" s="18">
        <v>8</v>
      </c>
      <c r="I9602" s="18" t="s">
        <v>39661</v>
      </c>
      <c r="J9602" s="5" t="s">
        <v>42139</v>
      </c>
      <c r="K9602" s="5" t="s">
        <v>42140</v>
      </c>
      <c r="L9602" s="18" t="s">
        <v>39</v>
      </c>
      <c r="M9602" s="18" t="s">
        <v>29</v>
      </c>
      <c r="N9602" s="18" t="s">
        <v>42141</v>
      </c>
      <c r="O9602" s="18" t="s">
        <v>29</v>
      </c>
      <c r="P9602" s="6"/>
      <c r="Q9602" s="6"/>
      <c r="R9602" s="6"/>
      <c r="S9602" s="6"/>
      <c r="T9602" s="6"/>
      <c r="U9602" s="6"/>
    </row>
    <row r="9603" ht="14.25">
      <c r="B9603" s="18" t="s">
        <v>42142</v>
      </c>
      <c r="C9603" s="18" t="s">
        <v>42143</v>
      </c>
      <c r="D9603" s="18" t="s">
        <v>42144</v>
      </c>
      <c r="E9603" s="18" t="s">
        <v>42145</v>
      </c>
      <c r="F9603" s="18" t="str">
        <f>IFERROR(__XLUDF.DUMMYFUNCTION("PROPER(REGEXREPLACE(D420,""[^A-Za-z]+ "",""""))"),"Diaspora Santé")</f>
        <v xml:space="preserve">Diaspora Santé</v>
      </c>
      <c r="G9603" s="18" t="s">
        <v>42146</v>
      </c>
      <c r="H9603" s="18">
        <v>9</v>
      </c>
      <c r="I9603" s="18" t="s">
        <v>39661</v>
      </c>
      <c r="J9603" s="5" t="s">
        <v>42147</v>
      </c>
      <c r="K9603" s="5" t="s">
        <v>42148</v>
      </c>
      <c r="L9603" s="18" t="s">
        <v>39</v>
      </c>
      <c r="M9603" s="18" t="s">
        <v>29</v>
      </c>
      <c r="N9603" s="18" t="s">
        <v>42149</v>
      </c>
      <c r="O9603" s="18" t="s">
        <v>29</v>
      </c>
      <c r="P9603" s="18" t="s">
        <v>42150</v>
      </c>
      <c r="Q9603" s="6"/>
      <c r="R9603" s="6"/>
      <c r="S9603" s="6"/>
      <c r="T9603" s="6"/>
      <c r="U9603" s="6"/>
    </row>
    <row r="9604" ht="14.25">
      <c r="B9604" s="18" t="s">
        <v>1596</v>
      </c>
      <c r="C9604" s="18" t="s">
        <v>42151</v>
      </c>
      <c r="D9604" s="18" t="s">
        <v>7155</v>
      </c>
      <c r="E9604" s="18" t="s">
        <v>27243</v>
      </c>
      <c r="F9604" s="18" t="str">
        <f>IFERROR(__XLUDF.DUMMYFUNCTION("PROPER(REGEXREPLACE(D421,""[^A-Za-z]+ "",""""))"),"L'Oréal")</f>
        <v>L'Oréal</v>
      </c>
      <c r="G9604" s="18" t="s">
        <v>42152</v>
      </c>
      <c r="H9604" s="18">
        <v>130</v>
      </c>
      <c r="I9604" s="18" t="s">
        <v>39661</v>
      </c>
      <c r="J9604" s="5" t="s">
        <v>42153</v>
      </c>
      <c r="K9604" s="5" t="s">
        <v>42154</v>
      </c>
      <c r="L9604" s="18" t="s">
        <v>39</v>
      </c>
      <c r="M9604" s="18" t="s">
        <v>29</v>
      </c>
      <c r="N9604" s="18" t="s">
        <v>67</v>
      </c>
      <c r="O9604" s="18" t="s">
        <v>29</v>
      </c>
      <c r="P9604" s="6"/>
      <c r="Q9604" s="6"/>
      <c r="R9604" s="6"/>
      <c r="S9604" s="6"/>
      <c r="T9604" s="6"/>
      <c r="U9604" s="6"/>
    </row>
    <row r="9605" ht="14.25">
      <c r="B9605" s="18" t="s">
        <v>4048</v>
      </c>
      <c r="C9605" s="18" t="s">
        <v>42155</v>
      </c>
      <c r="D9605" s="18" t="s">
        <v>4586</v>
      </c>
      <c r="E9605" s="18" t="s">
        <v>42156</v>
      </c>
      <c r="F9605" s="18" t="str">
        <f>IFERROR(__XLUDF.DUMMYFUNCTION("PROPER(REGEXREPLACE(D422,""[^A-Za-z]+ "",""""))"),"Mutuelle 403")</f>
        <v xml:space="preserve">Mutuelle 403</v>
      </c>
      <c r="G9605" s="18" t="s">
        <v>42157</v>
      </c>
      <c r="H9605" s="18">
        <v>43</v>
      </c>
      <c r="I9605" s="18" t="s">
        <v>39661</v>
      </c>
      <c r="J9605" s="5" t="s">
        <v>42158</v>
      </c>
      <c r="K9605" s="5" t="s">
        <v>42159</v>
      </c>
      <c r="L9605" s="18" t="s">
        <v>6061</v>
      </c>
      <c r="M9605" s="18" t="s">
        <v>29</v>
      </c>
      <c r="N9605" s="18" t="s">
        <v>42160</v>
      </c>
      <c r="O9605" s="18" t="s">
        <v>29</v>
      </c>
      <c r="P9605" s="18" t="s">
        <v>42161</v>
      </c>
      <c r="Q9605" s="6"/>
      <c r="R9605" s="6"/>
      <c r="S9605" s="6"/>
      <c r="T9605" s="6"/>
      <c r="U9605" s="6"/>
    </row>
    <row r="9606" ht="14.25">
      <c r="B9606" s="18" t="s">
        <v>622</v>
      </c>
      <c r="C9606" s="18" t="s">
        <v>42162</v>
      </c>
      <c r="D9606" s="18" t="s">
        <v>29928</v>
      </c>
      <c r="E9606" s="18" t="s">
        <v>41927</v>
      </c>
      <c r="F9606" s="18" t="str">
        <f>IFERROR(__XLUDF.DUMMYFUNCTION("PROPER(REGEXREPLACE(D423,""[^A-Za-z]+ "",""""))"),"Minalea")</f>
        <v>Minalea</v>
      </c>
      <c r="G9606" s="18" t="s">
        <v>42163</v>
      </c>
      <c r="H9606" s="18">
        <v>51</v>
      </c>
      <c r="I9606" s="18" t="s">
        <v>39661</v>
      </c>
      <c r="J9606" s="5" t="s">
        <v>42164</v>
      </c>
      <c r="K9606" s="5" t="s">
        <v>41930</v>
      </c>
      <c r="L9606" s="18" t="s">
        <v>423</v>
      </c>
      <c r="M9606" s="18" t="s">
        <v>29</v>
      </c>
      <c r="N9606" s="18" t="s">
        <v>41931</v>
      </c>
      <c r="O9606" s="18" t="s">
        <v>29</v>
      </c>
      <c r="P9606" s="18" t="s">
        <v>41932</v>
      </c>
      <c r="Q9606" s="6"/>
      <c r="R9606" s="6"/>
      <c r="S9606" s="6"/>
      <c r="T9606" s="6"/>
      <c r="U9606" s="6"/>
    </row>
    <row r="9607" ht="14.25">
      <c r="B9607" s="18" t="s">
        <v>13010</v>
      </c>
      <c r="C9607" s="18" t="s">
        <v>27064</v>
      </c>
      <c r="D9607" s="18" t="s">
        <v>2084</v>
      </c>
      <c r="E9607" s="18" t="s">
        <v>42165</v>
      </c>
      <c r="F9607" s="18" t="str">
        <f>IFERROR(__XLUDF.DUMMYFUNCTION("PROPER(REGEXREPLACE(D424,""[^A-Za-z]+ "",""""))"),"Omniland Assurances")</f>
        <v xml:space="preserve">Omniland Assurances</v>
      </c>
      <c r="G9607" s="18" t="s">
        <v>42166</v>
      </c>
      <c r="H9607" s="18">
        <v>3</v>
      </c>
      <c r="I9607" s="18" t="s">
        <v>39661</v>
      </c>
      <c r="J9607" s="5" t="s">
        <v>42167</v>
      </c>
      <c r="K9607" s="5" t="s">
        <v>42168</v>
      </c>
      <c r="L9607" s="18" t="s">
        <v>39</v>
      </c>
      <c r="M9607" s="18" t="s">
        <v>29</v>
      </c>
      <c r="N9607" s="18" t="s">
        <v>42169</v>
      </c>
      <c r="O9607" s="18" t="s">
        <v>29</v>
      </c>
      <c r="P9607" s="18" t="s">
        <v>42170</v>
      </c>
      <c r="Q9607" s="6"/>
      <c r="R9607" s="6"/>
      <c r="S9607" s="6"/>
      <c r="T9607" s="6"/>
      <c r="U9607" s="6"/>
    </row>
    <row r="9608" ht="14.25">
      <c r="B9608" s="18" t="s">
        <v>12327</v>
      </c>
      <c r="C9608" s="18" t="s">
        <v>23213</v>
      </c>
      <c r="D9608" s="18" t="s">
        <v>42171</v>
      </c>
      <c r="E9608" s="18" t="s">
        <v>41989</v>
      </c>
      <c r="F9608" s="18" t="str">
        <f>IFERROR(__XLUDF.DUMMYFUNCTION("PROPER(REGEXREPLACE(D425,""[^A-Za-z]+ "",""""))"),"Mila")</f>
        <v>Mila</v>
      </c>
      <c r="G9608" s="18" t="s">
        <v>42172</v>
      </c>
      <c r="H9608" s="18">
        <v>60</v>
      </c>
      <c r="I9608" s="18" t="s">
        <v>39661</v>
      </c>
      <c r="J9608" s="5" t="s">
        <v>42173</v>
      </c>
      <c r="K9608" s="5" t="s">
        <v>41992</v>
      </c>
      <c r="L9608" s="6"/>
      <c r="M9608" s="18" t="s">
        <v>29</v>
      </c>
      <c r="N9608" s="18" t="s">
        <v>21232</v>
      </c>
      <c r="O9608" s="18" t="s">
        <v>29</v>
      </c>
      <c r="P9608" s="18" t="s">
        <v>41993</v>
      </c>
      <c r="Q9608" s="6"/>
      <c r="R9608" s="6"/>
      <c r="S9608" s="6"/>
      <c r="T9608" s="6"/>
      <c r="U9608" s="6"/>
    </row>
    <row r="9609" ht="14.25">
      <c r="B9609" s="18" t="s">
        <v>222</v>
      </c>
      <c r="C9609" s="18" t="s">
        <v>5259</v>
      </c>
      <c r="D9609" s="18" t="s">
        <v>5003</v>
      </c>
      <c r="E9609" s="18" t="s">
        <v>42174</v>
      </c>
      <c r="F9609" s="18" t="str">
        <f>IFERROR(__XLUDF.DUMMYFUNCTION("PROPER(REGEXREPLACE(D426,""[^A-Za-z]+ "",""""))"),"Cap Assurances")</f>
        <v xml:space="preserve">Cap Assurances</v>
      </c>
      <c r="G9609" s="18" t="s">
        <v>42175</v>
      </c>
      <c r="H9609" s="18">
        <v>20</v>
      </c>
      <c r="I9609" s="18" t="s">
        <v>39661</v>
      </c>
      <c r="J9609" s="5" t="s">
        <v>42176</v>
      </c>
      <c r="K9609" s="5" t="s">
        <v>42177</v>
      </c>
      <c r="L9609" s="18" t="s">
        <v>49</v>
      </c>
      <c r="M9609" s="18" t="s">
        <v>29</v>
      </c>
      <c r="N9609" s="18" t="s">
        <v>42178</v>
      </c>
      <c r="O9609" s="18" t="s">
        <v>29</v>
      </c>
      <c r="P9609" s="18" t="s">
        <v>42179</v>
      </c>
      <c r="Q9609" s="6"/>
      <c r="R9609" s="6"/>
      <c r="S9609" s="6"/>
      <c r="T9609" s="6"/>
      <c r="U9609" s="6"/>
    </row>
    <row r="9610" ht="14.25">
      <c r="B9610" s="18" t="s">
        <v>1215</v>
      </c>
      <c r="C9610" s="18" t="s">
        <v>42180</v>
      </c>
      <c r="D9610" s="18" t="s">
        <v>120</v>
      </c>
      <c r="E9610" s="18" t="s">
        <v>41844</v>
      </c>
      <c r="F9610" s="18" t="str">
        <f>IFERROR(__XLUDF.DUMMYFUNCTION("PROPER(REGEXREPLACE(D427,""[^A-Za-z]+ "",""""))"),"Kenko")</f>
        <v>Kenko</v>
      </c>
      <c r="G9610" s="18" t="s">
        <v>42181</v>
      </c>
      <c r="H9610" s="18">
        <v>76</v>
      </c>
      <c r="I9610" s="18" t="s">
        <v>39661</v>
      </c>
      <c r="J9610" s="5" t="s">
        <v>42182</v>
      </c>
      <c r="K9610" s="5" t="s">
        <v>41847</v>
      </c>
      <c r="L9610" s="18" t="s">
        <v>39</v>
      </c>
      <c r="M9610" s="18" t="s">
        <v>29</v>
      </c>
      <c r="N9610" s="18" t="s">
        <v>67</v>
      </c>
      <c r="O9610" s="18" t="s">
        <v>29</v>
      </c>
      <c r="P9610" s="18" t="s">
        <v>41848</v>
      </c>
      <c r="Q9610" s="6"/>
      <c r="R9610" s="6"/>
      <c r="S9610" s="6"/>
      <c r="T9610" s="6"/>
      <c r="U9610" s="6"/>
    </row>
    <row r="9611" ht="14.25">
      <c r="B9611" s="18" t="s">
        <v>12073</v>
      </c>
      <c r="C9611" s="18" t="s">
        <v>42183</v>
      </c>
      <c r="D9611" s="18" t="s">
        <v>112</v>
      </c>
      <c r="E9611" s="18" t="s">
        <v>42184</v>
      </c>
      <c r="F9611" s="18" t="str">
        <f>IFERROR(__XLUDF.DUMMYFUNCTION("PROPER(REGEXREPLACE(D428,""[^A-Za-z]+ "",""""))"),"Le Cèdre Conseils")</f>
        <v xml:space="preserve">Le Cèdre Conseils</v>
      </c>
      <c r="G9611" s="18" t="s">
        <v>42185</v>
      </c>
      <c r="H9611" s="18">
        <v>11</v>
      </c>
      <c r="I9611" s="18" t="s">
        <v>39661</v>
      </c>
      <c r="J9611" s="5" t="s">
        <v>42186</v>
      </c>
      <c r="K9611" s="5" t="s">
        <v>42187</v>
      </c>
      <c r="L9611" s="18" t="s">
        <v>39</v>
      </c>
      <c r="M9611" s="18" t="s">
        <v>29</v>
      </c>
      <c r="N9611" s="18" t="s">
        <v>42188</v>
      </c>
      <c r="O9611" s="18" t="s">
        <v>29</v>
      </c>
      <c r="P9611" s="6"/>
      <c r="Q9611" s="6"/>
      <c r="R9611" s="6"/>
      <c r="S9611" s="6"/>
      <c r="T9611" s="6"/>
      <c r="U9611" s="6"/>
    </row>
    <row r="9612" ht="14.25">
      <c r="B9612" s="18" t="s">
        <v>3142</v>
      </c>
      <c r="C9612" s="18" t="s">
        <v>42189</v>
      </c>
      <c r="D9612" s="18" t="s">
        <v>42190</v>
      </c>
      <c r="E9612" s="18" t="s">
        <v>42191</v>
      </c>
      <c r="F9612" s="18" t="str">
        <f>IFERROR(__XLUDF.DUMMYFUNCTION("PROPER(REGEXREPLACE(D429,""[^A-Za-z]+ "",""""))"),"Yakoota")</f>
        <v>Yakoota</v>
      </c>
      <c r="G9612" s="18" t="s">
        <v>42192</v>
      </c>
      <c r="H9612" s="18">
        <v>8</v>
      </c>
      <c r="I9612" s="18" t="s">
        <v>39661</v>
      </c>
      <c r="J9612" s="5" t="s">
        <v>42193</v>
      </c>
      <c r="K9612" s="5" t="s">
        <v>42194</v>
      </c>
      <c r="L9612" s="18" t="s">
        <v>39</v>
      </c>
      <c r="M9612" s="18" t="s">
        <v>29</v>
      </c>
      <c r="N9612" s="18" t="s">
        <v>67</v>
      </c>
      <c r="O9612" s="18" t="s">
        <v>29</v>
      </c>
      <c r="P9612" s="18" t="s">
        <v>42195</v>
      </c>
      <c r="Q9612" s="6"/>
      <c r="R9612" s="6"/>
      <c r="S9612" s="6"/>
      <c r="T9612" s="6"/>
      <c r="U9612" s="6"/>
    </row>
    <row r="9613" ht="14.25">
      <c r="B9613" s="18" t="s">
        <v>817</v>
      </c>
      <c r="C9613" s="18" t="s">
        <v>3652</v>
      </c>
      <c r="D9613" s="18" t="s">
        <v>42196</v>
      </c>
      <c r="E9613" s="18" t="s">
        <v>42197</v>
      </c>
      <c r="F9613" s="18" t="str">
        <f>IFERROR(__XLUDF.DUMMYFUNCTION("PROPER(REGEXREPLACE(D430,""[^A-Za-z]+ "",""""))"),"Valeurs Assurances Va")</f>
        <v xml:space="preserve">Valeurs Assurances Va</v>
      </c>
      <c r="G9613" s="18" t="s">
        <v>42198</v>
      </c>
      <c r="H9613" s="18">
        <v>14</v>
      </c>
      <c r="I9613" s="18" t="s">
        <v>39661</v>
      </c>
      <c r="J9613" s="5" t="s">
        <v>42199</v>
      </c>
      <c r="K9613" s="5" t="s">
        <v>42200</v>
      </c>
      <c r="L9613" s="18" t="s">
        <v>39</v>
      </c>
      <c r="M9613" s="18" t="s">
        <v>29</v>
      </c>
      <c r="N9613" s="18" t="s">
        <v>42201</v>
      </c>
      <c r="O9613" s="18" t="s">
        <v>29</v>
      </c>
      <c r="P9613" s="18" t="s">
        <v>42202</v>
      </c>
      <c r="Q9613" s="6"/>
      <c r="R9613" s="6"/>
      <c r="S9613" s="6"/>
      <c r="T9613" s="6"/>
      <c r="U9613" s="6"/>
    </row>
    <row r="9616" ht="14.25">
      <c r="B9616" s="17" t="s">
        <v>1</v>
      </c>
      <c r="C9616" s="17" t="s">
        <v>2</v>
      </c>
      <c r="D9616" s="17" t="s">
        <v>3</v>
      </c>
      <c r="E9616" s="17" t="s">
        <v>17619</v>
      </c>
      <c r="F9616" s="17" t="s">
        <v>4</v>
      </c>
      <c r="G9616" s="17" t="s">
        <v>5</v>
      </c>
      <c r="H9616" s="17" t="s">
        <v>6</v>
      </c>
      <c r="I9616" s="17" t="s">
        <v>17620</v>
      </c>
      <c r="J9616" s="17" t="s">
        <v>7</v>
      </c>
      <c r="K9616" s="17" t="s">
        <v>8</v>
      </c>
      <c r="L9616" s="17" t="s">
        <v>9</v>
      </c>
      <c r="M9616" s="17" t="s">
        <v>10</v>
      </c>
      <c r="N9616" s="17" t="s">
        <v>11</v>
      </c>
      <c r="O9616" s="17" t="s">
        <v>12</v>
      </c>
      <c r="P9616" s="17" t="s">
        <v>13</v>
      </c>
      <c r="Q9616" s="17" t="s">
        <v>14</v>
      </c>
      <c r="R9616" s="17" t="s">
        <v>15</v>
      </c>
      <c r="S9616" s="17" t="s">
        <v>16</v>
      </c>
      <c r="T9616" s="17" t="s">
        <v>17</v>
      </c>
      <c r="U9616" s="17" t="s">
        <v>18</v>
      </c>
      <c r="V9616" s="17" t="s">
        <v>19</v>
      </c>
      <c r="W9616" s="17"/>
      <c r="X9616" s="17"/>
      <c r="Y9616" s="17"/>
    </row>
    <row r="9617" ht="14.25">
      <c r="B9617" s="8" t="s">
        <v>840</v>
      </c>
      <c r="C9617" s="8" t="s">
        <v>42203</v>
      </c>
      <c r="D9617" s="8" t="s">
        <v>112</v>
      </c>
      <c r="E9617" s="8" t="s">
        <v>42204</v>
      </c>
      <c r="F9617" s="8" t="str">
        <f>IFERROR(__XLUDF.DUMMYFUNCTION("PROPER(REGEXREPLACE(D2,""[^A-Za-z]+ "",""""))"),"What You Need Assurances")</f>
        <v xml:space="preserve">What You Need Assurances</v>
      </c>
      <c r="G9617" s="8" t="s">
        <v>42205</v>
      </c>
      <c r="H9617" s="9">
        <v>1</v>
      </c>
      <c r="I9617" s="8" t="s">
        <v>39661</v>
      </c>
      <c r="J9617" s="8" t="str">
        <f>IFERROR(__XLUDF.DUMMYFUNCTION("VLOOKUP(H2,IMPORTRANGE(""https://docs.google.com/spreadsheets/d/1opm6ZNvGZ7KditA9TuJwrZ25eFLfTNIkrNnY6mhV5Eg"",""list!A1:C115""),3,TRUE)"),"le secteur des assurances")</f>
        <v xml:space="preserve">le secteur des assurances</v>
      </c>
      <c r="K9617" s="10" t="s">
        <v>42206</v>
      </c>
      <c r="L9617" s="10" t="s">
        <v>42207</v>
      </c>
      <c r="M9617" s="8" t="s">
        <v>39</v>
      </c>
      <c r="N9617" s="8" t="s">
        <v>29</v>
      </c>
      <c r="O9617" s="8" t="s">
        <v>9160</v>
      </c>
      <c r="P9617" s="8"/>
      <c r="Q9617" s="8"/>
      <c r="R9617" s="8"/>
      <c r="S9617" s="8"/>
      <c r="T9617" s="8"/>
      <c r="U9617" s="8"/>
      <c r="V9617" s="8"/>
      <c r="W9617" s="8"/>
      <c r="X9617" s="8"/>
      <c r="Y9617" s="8"/>
    </row>
    <row r="9618" ht="14.25">
      <c r="B9618" s="8" t="s">
        <v>42208</v>
      </c>
      <c r="C9618" s="8" t="s">
        <v>42209</v>
      </c>
      <c r="D9618" s="8" t="s">
        <v>9582</v>
      </c>
      <c r="E9618" s="8" t="s">
        <v>42210</v>
      </c>
      <c r="F9618" s="8" t="str">
        <f>IFERROR(__XLUDF.DUMMYFUNCTION("PROPER(REGEXREPLACE(D3,""[^A-Za-z]+ "",""""))"),"Help Courtage By Help Assurances")</f>
        <v xml:space="preserve">Help Courtage By Help Assurances</v>
      </c>
      <c r="G9618" s="8" t="s">
        <v>42211</v>
      </c>
      <c r="H9618" s="9">
        <v>4</v>
      </c>
      <c r="I9618" s="8" t="s">
        <v>39661</v>
      </c>
      <c r="J9618" s="8" t="str">
        <f>IFERROR(__XLUDF.DUMMYFUNCTION("VLOOKUP(H3,IMPORTRANGE(""https://docs.google.com/spreadsheets/d/1opm6ZNvGZ7KditA9TuJwrZ25eFLfTNIkrNnY6mhV5Eg"",""list!A1:C115""),3,TRUE)"),"le secteur des assurances")</f>
        <v xml:space="preserve">le secteur des assurances</v>
      </c>
      <c r="K9618" s="10" t="s">
        <v>42212</v>
      </c>
      <c r="L9618" s="10" t="s">
        <v>42213</v>
      </c>
      <c r="M9618" s="8" t="s">
        <v>39</v>
      </c>
      <c r="N9618" s="8" t="s">
        <v>29</v>
      </c>
      <c r="O9618" s="8" t="s">
        <v>9160</v>
      </c>
      <c r="P9618" s="8"/>
      <c r="Q9618" s="8"/>
      <c r="R9618" s="8"/>
      <c r="S9618" s="8"/>
      <c r="T9618" s="8"/>
      <c r="U9618" s="8"/>
      <c r="V9618" s="8"/>
      <c r="W9618" s="8"/>
      <c r="X9618" s="8"/>
      <c r="Y9618" s="8"/>
    </row>
    <row r="9619" ht="14.25">
      <c r="B9619" s="8" t="s">
        <v>355</v>
      </c>
      <c r="C9619" s="8" t="s">
        <v>42214</v>
      </c>
      <c r="D9619" s="8" t="s">
        <v>120</v>
      </c>
      <c r="E9619" s="8" t="s">
        <v>42215</v>
      </c>
      <c r="F9619" s="8" t="str">
        <f>IFERROR(__XLUDF.DUMMYFUNCTION("PROPER(REGEXREPLACE(D4,""[^A-Za-z]+ "",""""))"),"Occitanie Credit")</f>
        <v xml:space="preserve">Occitanie Credit</v>
      </c>
      <c r="G9619" s="8" t="s">
        <v>42216</v>
      </c>
      <c r="H9619" s="9">
        <v>3</v>
      </c>
      <c r="I9619" s="8" t="s">
        <v>2629</v>
      </c>
      <c r="J9619" s="8" t="str">
        <f>IFERROR(__XLUDF.DUMMYFUNCTION("VLOOKUP(H4,IMPORTRANGE(""https://docs.google.com/spreadsheets/d/1opm6ZNvGZ7KditA9TuJwrZ25eFLfTNIkrNnY6mhV5Eg"",""list!A1:C115""),3,TRUE)"),"le secteur des services financiers")</f>
        <v xml:space="preserve">le secteur des services financiers</v>
      </c>
      <c r="K9619" s="10" t="s">
        <v>42217</v>
      </c>
      <c r="L9619" s="10" t="s">
        <v>42218</v>
      </c>
      <c r="M9619" s="8" t="s">
        <v>83</v>
      </c>
      <c r="N9619" s="8" t="s">
        <v>29</v>
      </c>
      <c r="O9619" s="8" t="s">
        <v>9460</v>
      </c>
      <c r="P9619" s="8"/>
      <c r="Q9619" s="8" t="s">
        <v>42219</v>
      </c>
      <c r="R9619" s="8"/>
      <c r="S9619" s="8"/>
      <c r="T9619" s="8"/>
      <c r="U9619" s="8"/>
      <c r="V9619" s="8"/>
      <c r="W9619" s="8"/>
      <c r="X9619" s="8"/>
      <c r="Y9619" s="8"/>
    </row>
    <row r="9620" ht="14.25">
      <c r="B9620" s="18" t="s">
        <v>42220</v>
      </c>
      <c r="C9620" s="18" t="s">
        <v>26446</v>
      </c>
      <c r="D9620" s="18" t="s">
        <v>1240</v>
      </c>
      <c r="E9620" s="18" t="s">
        <v>42221</v>
      </c>
      <c r="F9620" s="8" t="str">
        <f>IFERROR(__XLUDF.DUMMYFUNCTION("PROPER(REGEXREPLACE(D5,""[^A-Za-z]+ "",""""))"),"Yonivers")</f>
        <v>Yonivers</v>
      </c>
      <c r="G9620" s="18" t="s">
        <v>42222</v>
      </c>
      <c r="H9620" s="18">
        <v>81</v>
      </c>
      <c r="I9620" s="18" t="s">
        <v>39661</v>
      </c>
      <c r="J9620" s="8" t="str">
        <f>IFERROR(__XLUDF.DUMMYFUNCTION("VLOOKUP(H5,IMPORTRANGE(""https://docs.google.com/spreadsheets/d/1opm6ZNvGZ7KditA9TuJwrZ25eFLfTNIkrNnY6mhV5Eg"",""list!A1:C115""),3,TRUE)"),"le secteur des assurances")</f>
        <v xml:space="preserve">le secteur des assurances</v>
      </c>
      <c r="K9620" s="5" t="s">
        <v>42223</v>
      </c>
      <c r="L9620" s="5" t="s">
        <v>42224</v>
      </c>
      <c r="M9620" s="18" t="s">
        <v>39</v>
      </c>
      <c r="N9620" s="18" t="s">
        <v>29</v>
      </c>
      <c r="O9620" s="18" t="s">
        <v>42225</v>
      </c>
      <c r="P9620" s="18" t="s">
        <v>29</v>
      </c>
      <c r="Q9620" s="18" t="s">
        <v>42226</v>
      </c>
      <c r="R9620" s="6"/>
      <c r="S9620" s="6"/>
      <c r="T9620" s="6"/>
      <c r="U9620" s="6"/>
      <c r="V9620" s="6"/>
      <c r="W9620" s="6"/>
      <c r="X9620" s="6"/>
      <c r="Y9620" s="6"/>
    </row>
    <row r="9621" ht="14.25">
      <c r="B9621" s="8" t="s">
        <v>110</v>
      </c>
      <c r="C9621" s="8" t="s">
        <v>42227</v>
      </c>
      <c r="D9621" s="8" t="s">
        <v>487</v>
      </c>
      <c r="E9621" s="8" t="s">
        <v>40178</v>
      </c>
      <c r="F9621" s="8" t="str">
        <f>IFERROR(__XLUDF.DUMMYFUNCTION("PROPER(REGEXREPLACE(D6,""[^A-Za-z]+ "",""""))"),"Rétro+")</f>
        <v>Rétro+</v>
      </c>
      <c r="G9621" s="8" t="s">
        <v>42228</v>
      </c>
      <c r="H9621" s="9">
        <v>26</v>
      </c>
      <c r="I9621" s="8" t="s">
        <v>39661</v>
      </c>
      <c r="J9621" s="8" t="str">
        <f>IFERROR(__XLUDF.DUMMYFUNCTION("VLOOKUP(H6,IMPORTRANGE(""https://docs.google.com/spreadsheets/d/1opm6ZNvGZ7KditA9TuJwrZ25eFLfTNIkrNnY6mhV5Eg"",""list!A1:C115""),3,TRUE)"),"le secteur des assurances")</f>
        <v xml:space="preserve">le secteur des assurances</v>
      </c>
      <c r="K9621" s="10" t="s">
        <v>42229</v>
      </c>
      <c r="L9621" s="10" t="s">
        <v>42230</v>
      </c>
      <c r="M9621" s="8"/>
      <c r="N9621" s="8" t="s">
        <v>29</v>
      </c>
      <c r="O9621" s="8" t="s">
        <v>9160</v>
      </c>
      <c r="P9621" s="8"/>
      <c r="Q9621" s="8" t="s">
        <v>42231</v>
      </c>
      <c r="R9621" s="8"/>
      <c r="S9621" s="8"/>
      <c r="T9621" s="8"/>
      <c r="U9621" s="8"/>
      <c r="V9621" s="8"/>
      <c r="W9621" s="8"/>
      <c r="X9621" s="8"/>
      <c r="Y9621" s="8"/>
    </row>
    <row r="9622" ht="14.25">
      <c r="B9622" s="8" t="s">
        <v>548</v>
      </c>
      <c r="C9622" s="8" t="s">
        <v>1485</v>
      </c>
      <c r="D9622" s="8" t="s">
        <v>879</v>
      </c>
      <c r="E9622" s="8" t="s">
        <v>42232</v>
      </c>
      <c r="F9622" s="8" t="str">
        <f>IFERROR(__XLUDF.DUMMYFUNCTION("PROPER(REGEXREPLACE(D7,""[^A-Za-z]+ "",""""))"),"Phocea Patrimoine")</f>
        <v xml:space="preserve">Phocea Patrimoine</v>
      </c>
      <c r="G9622" s="8" t="s">
        <v>42233</v>
      </c>
      <c r="H9622" s="9">
        <v>1</v>
      </c>
      <c r="I9622" s="8" t="s">
        <v>39661</v>
      </c>
      <c r="J9622" s="8" t="str">
        <f>IFERROR(__XLUDF.DUMMYFUNCTION("VLOOKUP(H7,IMPORTRANGE(""https://docs.google.com/spreadsheets/d/1opm6ZNvGZ7KditA9TuJwrZ25eFLfTNIkrNnY6mhV5Eg"",""list!A1:C115""),3,TRUE)"),"le secteur des assurances")</f>
        <v xml:space="preserve">le secteur des assurances</v>
      </c>
      <c r="K9622" s="10" t="s">
        <v>42234</v>
      </c>
      <c r="L9622" s="10" t="s">
        <v>42235</v>
      </c>
      <c r="M9622" s="8" t="s">
        <v>295</v>
      </c>
      <c r="N9622" s="8" t="s">
        <v>29</v>
      </c>
      <c r="O9622" s="8" t="s">
        <v>9251</v>
      </c>
      <c r="P9622" s="8"/>
      <c r="Q9622" s="8" t="s">
        <v>42236</v>
      </c>
      <c r="R9622" s="8"/>
      <c r="S9622" s="8"/>
      <c r="T9622" s="8"/>
      <c r="U9622" s="8"/>
      <c r="V9622" s="8"/>
      <c r="W9622" s="8"/>
      <c r="X9622" s="8"/>
      <c r="Y9622" s="8"/>
    </row>
    <row r="9623" ht="14.25">
      <c r="B9623" s="8" t="s">
        <v>510</v>
      </c>
      <c r="C9623" s="8" t="s">
        <v>42237</v>
      </c>
      <c r="D9623" s="8" t="s">
        <v>42238</v>
      </c>
      <c r="E9623" s="8" t="s">
        <v>42239</v>
      </c>
      <c r="F9623" s="8" t="str">
        <f>IFERROR(__XLUDF.DUMMYFUNCTION("PROPER(REGEXREPLACE(D8,""[^A-Za-z]+ "",""""))"),"Louvetcoates Assurances")</f>
        <v xml:space="preserve">Louvetcoates Assurances</v>
      </c>
      <c r="G9623" s="8" t="s">
        <v>42240</v>
      </c>
      <c r="H9623" s="9">
        <v>38</v>
      </c>
      <c r="I9623" s="8" t="s">
        <v>39661</v>
      </c>
      <c r="J9623" s="8" t="str">
        <f>IFERROR(__XLUDF.DUMMYFUNCTION("VLOOKUP(H8,IMPORTRANGE(""https://docs.google.com/spreadsheets/d/1opm6ZNvGZ7KditA9TuJwrZ25eFLfTNIkrNnY6mhV5Eg"",""list!A1:C115""),3,TRUE)"),"le secteur des assurances")</f>
        <v xml:space="preserve">le secteur des assurances</v>
      </c>
      <c r="K9623" s="10" t="s">
        <v>42241</v>
      </c>
      <c r="L9623" s="10" t="s">
        <v>42242</v>
      </c>
      <c r="M9623" s="8" t="s">
        <v>3709</v>
      </c>
      <c r="N9623" s="8" t="s">
        <v>29</v>
      </c>
      <c r="O9623" s="8" t="s">
        <v>9864</v>
      </c>
      <c r="P9623" s="8"/>
      <c r="Q9623" s="8" t="s">
        <v>42243</v>
      </c>
      <c r="R9623" s="8"/>
      <c r="S9623" s="8"/>
      <c r="T9623" s="8"/>
      <c r="U9623" s="8"/>
      <c r="V9623" s="8"/>
      <c r="W9623" s="8"/>
      <c r="X9623" s="8"/>
      <c r="Y9623" s="8"/>
    </row>
    <row r="9624" ht="14.25">
      <c r="B9624" s="8" t="s">
        <v>785</v>
      </c>
      <c r="C9624" s="8" t="s">
        <v>3242</v>
      </c>
      <c r="D9624" s="8" t="s">
        <v>172</v>
      </c>
      <c r="E9624" s="8" t="s">
        <v>42244</v>
      </c>
      <c r="F9624" s="8" t="str">
        <f>IFERROR(__XLUDF.DUMMYFUNCTION("PROPER(REGEXREPLACE(D9,""[^A-Za-z]+ "",""""))"),"Wizzas")</f>
        <v>Wizzas</v>
      </c>
      <c r="G9624" s="8" t="s">
        <v>42245</v>
      </c>
      <c r="H9624" s="9">
        <v>3</v>
      </c>
      <c r="I9624" s="8" t="s">
        <v>39661</v>
      </c>
      <c r="J9624" s="8" t="str">
        <f>IFERROR(__XLUDF.DUMMYFUNCTION("VLOOKUP(H9,IMPORTRANGE(""https://docs.google.com/spreadsheets/d/1opm6ZNvGZ7KditA9TuJwrZ25eFLfTNIkrNnY6mhV5Eg"",""list!A1:C115""),3,TRUE)"),"le secteur des assurances")</f>
        <v xml:space="preserve">le secteur des assurances</v>
      </c>
      <c r="K9624" s="10" t="s">
        <v>42246</v>
      </c>
      <c r="L9624" s="10" t="s">
        <v>42247</v>
      </c>
      <c r="M9624" s="8" t="s">
        <v>39</v>
      </c>
      <c r="N9624" s="8" t="s">
        <v>29</v>
      </c>
      <c r="O9624" s="8" t="s">
        <v>9160</v>
      </c>
      <c r="P9624" s="8"/>
      <c r="Q9624" s="8" t="s">
        <v>42248</v>
      </c>
      <c r="R9624" s="8"/>
      <c r="S9624" s="8"/>
      <c r="T9624" s="8"/>
      <c r="U9624" s="8"/>
      <c r="V9624" s="8"/>
      <c r="W9624" s="8"/>
      <c r="X9624" s="8"/>
      <c r="Y9624" s="8"/>
    </row>
    <row r="9625" ht="14.25">
      <c r="B9625" s="18" t="s">
        <v>76</v>
      </c>
      <c r="C9625" s="18" t="s">
        <v>42249</v>
      </c>
      <c r="D9625" s="18" t="s">
        <v>5953</v>
      </c>
      <c r="E9625" s="18" t="s">
        <v>42250</v>
      </c>
      <c r="F9625" s="8" t="str">
        <f>IFERROR(__XLUDF.DUMMYFUNCTION("PROPER(REGEXREPLACE(D10,""[^A-Za-z]+ "",""""))"),"Solucia Service Et Protection Juridiques")</f>
        <v xml:space="preserve">Solucia Service Et Protection Juridiques</v>
      </c>
      <c r="G9625" s="18" t="s">
        <v>42251</v>
      </c>
      <c r="H9625" s="18">
        <v>62</v>
      </c>
      <c r="I9625" s="18" t="s">
        <v>39661</v>
      </c>
      <c r="J9625" s="8" t="str">
        <f>IFERROR(__XLUDF.DUMMYFUNCTION("VLOOKUP(H10,IMPORTRANGE(""https://docs.google.com/spreadsheets/d/1opm6ZNvGZ7KditA9TuJwrZ25eFLfTNIkrNnY6mhV5Eg"",""list!A1:C115""),3,TRUE)"),"le secteur des assurances")</f>
        <v xml:space="preserve">le secteur des assurances</v>
      </c>
      <c r="K9625" s="5" t="s">
        <v>42252</v>
      </c>
      <c r="L9625" s="5" t="s">
        <v>42253</v>
      </c>
      <c r="M9625" s="18" t="s">
        <v>42254</v>
      </c>
      <c r="N9625" s="18" t="s">
        <v>29</v>
      </c>
      <c r="O9625" s="18" t="s">
        <v>42255</v>
      </c>
      <c r="P9625" s="18" t="s">
        <v>29</v>
      </c>
      <c r="Q9625" s="18" t="s">
        <v>42256</v>
      </c>
      <c r="R9625" s="6"/>
      <c r="S9625" s="6"/>
      <c r="T9625" s="6"/>
      <c r="U9625" s="6"/>
      <c r="V9625" s="6"/>
      <c r="W9625" s="6"/>
      <c r="X9625" s="6"/>
      <c r="Y9625" s="6"/>
    </row>
    <row r="9626" ht="14.25">
      <c r="B9626" s="8" t="s">
        <v>76</v>
      </c>
      <c r="C9626" s="8" t="s">
        <v>42257</v>
      </c>
      <c r="D9626" s="8" t="s">
        <v>112</v>
      </c>
      <c r="E9626" s="8" t="s">
        <v>42258</v>
      </c>
      <c r="F9626" s="8" t="str">
        <f>IFERROR(__XLUDF.DUMMYFUNCTION("PROPER(REGEXREPLACE(D11,""[^A-Za-z]+ "",""""))"),"Cepy Assurances")</f>
        <v xml:space="preserve">Cepy Assurances</v>
      </c>
      <c r="G9626" s="8" t="s">
        <v>42259</v>
      </c>
      <c r="H9626" s="9">
        <v>8</v>
      </c>
      <c r="I9626" s="8" t="s">
        <v>39661</v>
      </c>
      <c r="J9626" s="8" t="str">
        <f>IFERROR(__XLUDF.DUMMYFUNCTION("VLOOKUP(H11,IMPORTRANGE(""https://docs.google.com/spreadsheets/d/1opm6ZNvGZ7KditA9TuJwrZ25eFLfTNIkrNnY6mhV5Eg"",""list!A1:C115""),3,TRUE)"),"le secteur des assurances")</f>
        <v xml:space="preserve">le secteur des assurances</v>
      </c>
      <c r="K9626" s="10" t="s">
        <v>42260</v>
      </c>
      <c r="L9626" s="10" t="s">
        <v>42261</v>
      </c>
      <c r="M9626" s="8" t="s">
        <v>14206</v>
      </c>
      <c r="N9626" s="8" t="s">
        <v>29</v>
      </c>
      <c r="O9626" s="8" t="s">
        <v>9160</v>
      </c>
      <c r="P9626" s="8"/>
      <c r="Q9626" s="8"/>
      <c r="R9626" s="8"/>
      <c r="S9626" s="8"/>
      <c r="T9626" s="8"/>
      <c r="U9626" s="8"/>
      <c r="V9626" s="8"/>
      <c r="W9626" s="8"/>
      <c r="X9626" s="8"/>
      <c r="Y9626" s="8"/>
    </row>
    <row r="9627" ht="14.25">
      <c r="B9627" s="8" t="s">
        <v>42262</v>
      </c>
      <c r="C9627" s="8" t="s">
        <v>42263</v>
      </c>
      <c r="D9627" s="8" t="s">
        <v>42264</v>
      </c>
      <c r="E9627" s="8" t="s">
        <v>42265</v>
      </c>
      <c r="F9627" s="8" t="str">
        <f>IFERROR(__XLUDF.DUMMYFUNCTION("PROPER(REGEXREPLACE(D12,""[^A-Za-z]+ "",""""))"),"Projassur")</f>
        <v>Projassur</v>
      </c>
      <c r="G9627" s="8" t="s">
        <v>42266</v>
      </c>
      <c r="H9627" s="8"/>
      <c r="I9627" s="8"/>
      <c r="J9627" s="8" t="s">
        <v>42267</v>
      </c>
      <c r="K9627" s="10" t="s">
        <v>42268</v>
      </c>
      <c r="L9627" s="10" t="s">
        <v>42269</v>
      </c>
      <c r="M9627" s="8" t="s">
        <v>774</v>
      </c>
      <c r="N9627" s="8" t="s">
        <v>29</v>
      </c>
      <c r="O9627" s="8" t="s">
        <v>9193</v>
      </c>
      <c r="P9627" s="8"/>
      <c r="Q9627" s="8"/>
      <c r="R9627" s="8"/>
      <c r="S9627" s="8"/>
      <c r="T9627" s="8"/>
      <c r="U9627" s="8"/>
      <c r="V9627" s="8"/>
      <c r="W9627" s="8"/>
      <c r="X9627" s="8"/>
      <c r="Y9627" s="8"/>
    </row>
    <row r="9628" ht="14.25">
      <c r="B9628" s="8" t="s">
        <v>27616</v>
      </c>
      <c r="C9628" s="8" t="s">
        <v>1571</v>
      </c>
      <c r="D9628" s="8" t="s">
        <v>7759</v>
      </c>
      <c r="E9628" s="8" t="s">
        <v>42270</v>
      </c>
      <c r="F9628" s="8" t="str">
        <f>IFERROR(__XLUDF.DUMMYFUNCTION("PROPER(REGEXREPLACE(D13,""[^A-Za-z]+ "",""""))"),"Atomes Courtage")</f>
        <v xml:space="preserve">Atomes Courtage</v>
      </c>
      <c r="G9628" s="8" t="s">
        <v>42271</v>
      </c>
      <c r="H9628" s="9">
        <v>4</v>
      </c>
      <c r="I9628" s="8" t="s">
        <v>39661</v>
      </c>
      <c r="J9628" s="8" t="str">
        <f>IFERROR(__XLUDF.DUMMYFUNCTION("VLOOKUP(H13,IMPORTRANGE(""https://docs.google.com/spreadsheets/d/1opm6ZNvGZ7KditA9TuJwrZ25eFLfTNIkrNnY6mhV5Eg"",""list!A1:C115""),3,TRUE)"),"le secteur des assurances")</f>
        <v xml:space="preserve">le secteur des assurances</v>
      </c>
      <c r="K9628" s="10" t="s">
        <v>42272</v>
      </c>
      <c r="L9628" s="10" t="s">
        <v>42273</v>
      </c>
      <c r="M9628" s="8" t="s">
        <v>6954</v>
      </c>
      <c r="N9628" s="8" t="s">
        <v>29</v>
      </c>
      <c r="O9628" s="8" t="s">
        <v>9484</v>
      </c>
      <c r="P9628" s="8"/>
      <c r="Q9628" s="8"/>
      <c r="R9628" s="8"/>
      <c r="S9628" s="8"/>
      <c r="T9628" s="8"/>
      <c r="U9628" s="8"/>
      <c r="V9628" s="8"/>
      <c r="W9628" s="8"/>
      <c r="X9628" s="8"/>
      <c r="Y9628" s="8"/>
    </row>
    <row r="9629" ht="14.25">
      <c r="B9629" s="18" t="s">
        <v>42274</v>
      </c>
      <c r="C9629" s="18" t="s">
        <v>42275</v>
      </c>
      <c r="D9629" s="18" t="s">
        <v>42276</v>
      </c>
      <c r="E9629" s="18" t="s">
        <v>42277</v>
      </c>
      <c r="F9629" s="8" t="str">
        <f>IFERROR(__XLUDF.DUMMYFUNCTION("PROPER(REGEXREPLACE(D14,""[^A-Za-z]+ "",""""))"),"Bye Créances")</f>
        <v xml:space="preserve">Bye Créances</v>
      </c>
      <c r="G9629" s="18" t="s">
        <v>42278</v>
      </c>
      <c r="H9629" s="18">
        <v>13</v>
      </c>
      <c r="I9629" s="18" t="s">
        <v>2629</v>
      </c>
      <c r="J9629" s="8" t="str">
        <f>IFERROR(__XLUDF.DUMMYFUNCTION("VLOOKUP(H14,IMPORTRANGE(""https://docs.google.com/spreadsheets/d/1opm6ZNvGZ7KditA9TuJwrZ25eFLfTNIkrNnY6mhV5Eg"",""list!A1:C115""),3,TRUE)"),"le secteur des services financiers")</f>
        <v xml:space="preserve">le secteur des services financiers</v>
      </c>
      <c r="K9629" s="5" t="s">
        <v>42279</v>
      </c>
      <c r="L9629" s="5" t="s">
        <v>42280</v>
      </c>
      <c r="M9629" s="6"/>
      <c r="N9629" s="18" t="s">
        <v>29</v>
      </c>
      <c r="O9629" s="18" t="s">
        <v>42281</v>
      </c>
      <c r="P9629" s="18" t="s">
        <v>29</v>
      </c>
      <c r="Q9629" s="6"/>
      <c r="R9629" s="6"/>
      <c r="S9629" s="6"/>
      <c r="T9629" s="6"/>
      <c r="U9629" s="6"/>
      <c r="V9629" s="6"/>
      <c r="W9629" s="6"/>
      <c r="X9629" s="6"/>
      <c r="Y9629" s="6"/>
    </row>
    <row r="9630" ht="14.25">
      <c r="B9630" s="8" t="s">
        <v>42282</v>
      </c>
      <c r="C9630" s="8" t="s">
        <v>42283</v>
      </c>
      <c r="D9630" s="8" t="s">
        <v>42284</v>
      </c>
      <c r="E9630" s="8" t="s">
        <v>42285</v>
      </c>
      <c r="F9630" s="8" t="str">
        <f>IFERROR(__XLUDF.DUMMYFUNCTION("PROPER(REGEXREPLACE(D15,""[^A-Za-z]+ "",""""))"),"R&amp;J Courtage")</f>
        <v xml:space="preserve">R&amp;J Courtage</v>
      </c>
      <c r="G9630" s="8" t="s">
        <v>42286</v>
      </c>
      <c r="H9630" s="8"/>
      <c r="I9630" s="8"/>
      <c r="J9630" s="8" t="s">
        <v>42267</v>
      </c>
      <c r="K9630" s="10" t="s">
        <v>42287</v>
      </c>
      <c r="L9630" s="10" t="s">
        <v>42288</v>
      </c>
      <c r="M9630" s="8" t="s">
        <v>1204</v>
      </c>
      <c r="N9630" s="8" t="s">
        <v>29</v>
      </c>
      <c r="O9630" s="8" t="s">
        <v>9460</v>
      </c>
      <c r="P9630" s="8"/>
      <c r="Q9630" s="8"/>
      <c r="R9630" s="8"/>
      <c r="S9630" s="8"/>
      <c r="T9630" s="8"/>
      <c r="U9630" s="8"/>
      <c r="V9630" s="8"/>
      <c r="W9630" s="8"/>
      <c r="X9630" s="8"/>
      <c r="Y9630" s="8"/>
    </row>
    <row r="9631" ht="14.25">
      <c r="B9631" s="8" t="s">
        <v>769</v>
      </c>
      <c r="C9631" s="8" t="s">
        <v>42289</v>
      </c>
      <c r="D9631" s="8" t="s">
        <v>42290</v>
      </c>
      <c r="E9631" s="8" t="s">
        <v>42291</v>
      </c>
      <c r="F9631" s="8" t="str">
        <f>IFERROR(__XLUDF.DUMMYFUNCTION("PROPER(REGEXREPLACE(D16,""[^A-Za-z]+ "",""""))"),"Elena")</f>
        <v>Elena</v>
      </c>
      <c r="G9631" s="8" t="s">
        <v>42292</v>
      </c>
      <c r="H9631" s="9">
        <v>2</v>
      </c>
      <c r="I9631" s="8" t="s">
        <v>39661</v>
      </c>
      <c r="J9631" s="8" t="str">
        <f>IFERROR(__XLUDF.DUMMYFUNCTION("VLOOKUP(H16,IMPORTRANGE(""https://docs.google.com/spreadsheets/d/1opm6ZNvGZ7KditA9TuJwrZ25eFLfTNIkrNnY6mhV5Eg"",""list!A1:C115""),3,TRUE)"),"le secteur des assurances")</f>
        <v xml:space="preserve">le secteur des assurances</v>
      </c>
      <c r="K9631" s="10" t="s">
        <v>42293</v>
      </c>
      <c r="L9631" s="10" t="s">
        <v>42294</v>
      </c>
      <c r="M9631" s="8" t="s">
        <v>42295</v>
      </c>
      <c r="N9631" s="8" t="s">
        <v>29</v>
      </c>
      <c r="O9631" s="8" t="s">
        <v>9460</v>
      </c>
      <c r="P9631" s="8"/>
      <c r="Q9631" s="8"/>
      <c r="R9631" s="8"/>
      <c r="S9631" s="8"/>
      <c r="T9631" s="8"/>
      <c r="U9631" s="8"/>
      <c r="V9631" s="8"/>
      <c r="W9631" s="8"/>
      <c r="X9631" s="8"/>
      <c r="Y9631" s="8"/>
    </row>
    <row r="9632" ht="14.25">
      <c r="B9632" s="8" t="s">
        <v>330</v>
      </c>
      <c r="C9632" s="8" t="s">
        <v>42296</v>
      </c>
      <c r="D9632" s="8" t="s">
        <v>112</v>
      </c>
      <c r="E9632" s="8" t="s">
        <v>42297</v>
      </c>
      <c r="F9632" s="8" t="str">
        <f>IFERROR(__XLUDF.DUMMYFUNCTION("PROPER(REGEXREPLACE(D17,""[^A-Za-z]+ "",""""))"),"Acebay Solutions Sas")</f>
        <v xml:space="preserve">Acebay Solutions Sas</v>
      </c>
      <c r="G9632" s="8" t="s">
        <v>42298</v>
      </c>
      <c r="H9632" s="9">
        <v>1</v>
      </c>
      <c r="I9632" s="8" t="s">
        <v>39661</v>
      </c>
      <c r="J9632" s="8" t="str">
        <f>IFERROR(__XLUDF.DUMMYFUNCTION("VLOOKUP(H17,IMPORTRANGE(""https://docs.google.com/spreadsheets/d/1opm6ZNvGZ7KditA9TuJwrZ25eFLfTNIkrNnY6mhV5Eg"",""list!A1:C115""),3,TRUE)"),"le secteur des assurances")</f>
        <v xml:space="preserve">le secteur des assurances</v>
      </c>
      <c r="K9632" s="10" t="s">
        <v>42299</v>
      </c>
      <c r="L9632" s="10" t="s">
        <v>42300</v>
      </c>
      <c r="M9632" s="8" t="s">
        <v>49</v>
      </c>
      <c r="N9632" s="8" t="s">
        <v>29</v>
      </c>
      <c r="O9632" s="8" t="s">
        <v>9251</v>
      </c>
      <c r="P9632" s="8"/>
      <c r="Q9632" s="8"/>
      <c r="R9632" s="8"/>
      <c r="S9632" s="8"/>
      <c r="T9632" s="8"/>
      <c r="U9632" s="8"/>
      <c r="V9632" s="8"/>
      <c r="W9632" s="8"/>
      <c r="X9632" s="8"/>
      <c r="Y9632" s="8"/>
    </row>
    <row r="9633" ht="14.25">
      <c r="B9633" s="8" t="s">
        <v>7273</v>
      </c>
      <c r="C9633" s="8" t="s">
        <v>42301</v>
      </c>
      <c r="D9633" s="8" t="s">
        <v>172</v>
      </c>
      <c r="E9633" s="8" t="s">
        <v>42302</v>
      </c>
      <c r="F9633" s="8" t="str">
        <f>IFERROR(__XLUDF.DUMMYFUNCTION("PROPER(REGEXREPLACE(D18,""[^A-Za-z]+ "",""""))"),"Réflexe Accident")</f>
        <v xml:space="preserve">Réflexe Accident</v>
      </c>
      <c r="G9633" s="8" t="s">
        <v>42303</v>
      </c>
      <c r="H9633" s="9">
        <v>13</v>
      </c>
      <c r="I9633" s="8" t="s">
        <v>39661</v>
      </c>
      <c r="J9633" s="8" t="str">
        <f>IFERROR(__XLUDF.DUMMYFUNCTION("VLOOKUP(H18,IMPORTRANGE(""https://docs.google.com/spreadsheets/d/1opm6ZNvGZ7KditA9TuJwrZ25eFLfTNIkrNnY6mhV5Eg"",""list!A1:C115""),3,TRUE)"),"le secteur des assurances")</f>
        <v xml:space="preserve">le secteur des assurances</v>
      </c>
      <c r="K9633" s="10" t="s">
        <v>42304</v>
      </c>
      <c r="L9633" s="10" t="s">
        <v>42305</v>
      </c>
      <c r="M9633" s="8" t="s">
        <v>9237</v>
      </c>
      <c r="N9633" s="8" t="s">
        <v>29</v>
      </c>
      <c r="O9633" s="8" t="s">
        <v>9193</v>
      </c>
      <c r="P9633" s="8"/>
      <c r="Q9633" s="8" t="s">
        <v>42306</v>
      </c>
      <c r="R9633" s="8"/>
      <c r="S9633" s="8"/>
      <c r="T9633" s="8"/>
      <c r="U9633" s="8"/>
      <c r="V9633" s="8"/>
      <c r="W9633" s="8"/>
      <c r="X9633" s="8"/>
      <c r="Y9633" s="8"/>
    </row>
    <row r="9634" ht="14.25">
      <c r="B9634" s="18" t="s">
        <v>2877</v>
      </c>
      <c r="C9634" s="18" t="s">
        <v>42307</v>
      </c>
      <c r="D9634" s="18" t="s">
        <v>42308</v>
      </c>
      <c r="E9634" s="18" t="s">
        <v>42309</v>
      </c>
      <c r="F9634" s="8" t="str">
        <f>IFERROR(__XLUDF.DUMMYFUNCTION("PROPER(REGEXREPLACE(D19,""[^A-Za-z]+ "",""""))"),"Groupe France Courtage")</f>
        <v xml:space="preserve">Groupe France Courtage</v>
      </c>
      <c r="G9634" s="18" t="s">
        <v>42310</v>
      </c>
      <c r="H9634" s="18">
        <v>61</v>
      </c>
      <c r="I9634" s="18" t="s">
        <v>39661</v>
      </c>
      <c r="J9634" s="8" t="str">
        <f>IFERROR(__XLUDF.DUMMYFUNCTION("VLOOKUP(H19,IMPORTRANGE(""https://docs.google.com/spreadsheets/d/1opm6ZNvGZ7KditA9TuJwrZ25eFLfTNIkrNnY6mhV5Eg"",""list!A1:C115""),3,TRUE)"),"le secteur des assurances")</f>
        <v xml:space="preserve">le secteur des assurances</v>
      </c>
      <c r="K9634" s="5" t="s">
        <v>42311</v>
      </c>
      <c r="L9634" s="5" t="s">
        <v>42312</v>
      </c>
      <c r="M9634" s="18" t="s">
        <v>39</v>
      </c>
      <c r="N9634" s="18" t="s">
        <v>29</v>
      </c>
      <c r="O9634" s="18" t="s">
        <v>42313</v>
      </c>
      <c r="P9634" s="18" t="s">
        <v>29</v>
      </c>
      <c r="Q9634" s="18" t="s">
        <v>42314</v>
      </c>
      <c r="R9634" s="6"/>
      <c r="S9634" s="6"/>
      <c r="T9634" s="6"/>
      <c r="U9634" s="6"/>
      <c r="V9634" s="6"/>
      <c r="W9634" s="6"/>
      <c r="X9634" s="6"/>
      <c r="Y9634" s="6"/>
    </row>
    <row r="9635" ht="14.25">
      <c r="B9635" s="8" t="s">
        <v>42315</v>
      </c>
      <c r="C9635" s="8" t="s">
        <v>42316</v>
      </c>
      <c r="D9635" s="8" t="s">
        <v>468</v>
      </c>
      <c r="E9635" s="8" t="s">
        <v>42317</v>
      </c>
      <c r="F9635" s="8" t="str">
        <f>IFERROR(__XLUDF.DUMMYFUNCTION("PROPER(REGEXREPLACE(D20,""[^A-Za-z]+ "",""""))"),"Olea Côte D'Ivoire")</f>
        <v xml:space="preserve">Olea Côte D'Ivoire</v>
      </c>
      <c r="G9635" s="8" t="s">
        <v>42318</v>
      </c>
      <c r="H9635" s="9">
        <v>33</v>
      </c>
      <c r="I9635" s="8" t="s">
        <v>39661</v>
      </c>
      <c r="J9635" s="8" t="str">
        <f>IFERROR(__XLUDF.DUMMYFUNCTION("VLOOKUP(H20,IMPORTRANGE(""https://docs.google.com/spreadsheets/d/1opm6ZNvGZ7KditA9TuJwrZ25eFLfTNIkrNnY6mhV5Eg"",""list!A1:C115""),3,TRUE)"),"le secteur des assurances")</f>
        <v xml:space="preserve">le secteur des assurances</v>
      </c>
      <c r="K9635" s="10" t="s">
        <v>42319</v>
      </c>
      <c r="L9635" s="8"/>
      <c r="M9635" s="8" t="s">
        <v>39</v>
      </c>
      <c r="N9635" s="8" t="s">
        <v>29</v>
      </c>
      <c r="O9635" s="8" t="s">
        <v>9160</v>
      </c>
      <c r="P9635" s="8"/>
      <c r="Q9635" s="8"/>
      <c r="R9635" s="8"/>
      <c r="S9635" s="8"/>
      <c r="T9635" s="8"/>
      <c r="U9635" s="8"/>
      <c r="V9635" s="8"/>
      <c r="W9635" s="8"/>
      <c r="X9635" s="8"/>
      <c r="Y9635" s="8"/>
    </row>
    <row r="9636" ht="14.25">
      <c r="B9636" s="8" t="s">
        <v>808</v>
      </c>
      <c r="C9636" s="8" t="s">
        <v>42320</v>
      </c>
      <c r="D9636" s="8" t="s">
        <v>172</v>
      </c>
      <c r="E9636" s="8" t="s">
        <v>42321</v>
      </c>
      <c r="F9636" s="8" t="str">
        <f>IFERROR(__XLUDF.DUMMYFUNCTION("PROPER(REGEXREPLACE(D21,""[^A-Za-z]+ "",""""))"),"Clark France")</f>
        <v xml:space="preserve">Clark France</v>
      </c>
      <c r="G9636" s="8" t="s">
        <v>42322</v>
      </c>
      <c r="H9636" s="9">
        <v>5</v>
      </c>
      <c r="I9636" s="8" t="s">
        <v>39661</v>
      </c>
      <c r="J9636" s="8" t="str">
        <f>IFERROR(__XLUDF.DUMMYFUNCTION("VLOOKUP(H21,IMPORTRANGE(""https://docs.google.com/spreadsheets/d/1opm6ZNvGZ7KditA9TuJwrZ25eFLfTNIkrNnY6mhV5Eg"",""list!A1:C115""),3,TRUE)"),"le secteur des assurances")</f>
        <v xml:space="preserve">le secteur des assurances</v>
      </c>
      <c r="K9636" s="10" t="s">
        <v>42323</v>
      </c>
      <c r="L9636" s="10" t="s">
        <v>42324</v>
      </c>
      <c r="M9636" s="8" t="s">
        <v>39</v>
      </c>
      <c r="N9636" s="8" t="s">
        <v>29</v>
      </c>
      <c r="O9636" s="8" t="s">
        <v>9160</v>
      </c>
      <c r="P9636" s="8"/>
      <c r="Q9636" s="8"/>
      <c r="R9636" s="8"/>
      <c r="S9636" s="8"/>
      <c r="T9636" s="8"/>
      <c r="U9636" s="8"/>
      <c r="V9636" s="8"/>
      <c r="W9636" s="8"/>
      <c r="X9636" s="8"/>
      <c r="Y9636" s="8"/>
    </row>
    <row r="9637" ht="14.25">
      <c r="B9637" s="8" t="s">
        <v>1767</v>
      </c>
      <c r="C9637" s="8" t="s">
        <v>42325</v>
      </c>
      <c r="D9637" s="8" t="s">
        <v>120</v>
      </c>
      <c r="E9637" s="8" t="s">
        <v>42326</v>
      </c>
      <c r="F9637" s="8" t="str">
        <f>IFERROR(__XLUDF.DUMMYFUNCTION("PROPER(REGEXREPLACE(D22,""[^A-Za-z]+ "",""""))"),"Thesia")</f>
        <v>Thesia</v>
      </c>
      <c r="G9637" s="8" t="s">
        <v>42327</v>
      </c>
      <c r="H9637" s="9">
        <v>2</v>
      </c>
      <c r="I9637" s="8" t="s">
        <v>39661</v>
      </c>
      <c r="J9637" s="8" t="str">
        <f>IFERROR(__XLUDF.DUMMYFUNCTION("VLOOKUP(H22,IMPORTRANGE(""https://docs.google.com/spreadsheets/d/1opm6ZNvGZ7KditA9TuJwrZ25eFLfTNIkrNnY6mhV5Eg"",""list!A1:C115""),3,TRUE)"),"le secteur des assurances")</f>
        <v xml:space="preserve">le secteur des assurances</v>
      </c>
      <c r="K9637" s="10" t="s">
        <v>42328</v>
      </c>
      <c r="L9637" s="10" t="s">
        <v>42329</v>
      </c>
      <c r="M9637" s="8"/>
      <c r="N9637" s="8" t="s">
        <v>29</v>
      </c>
      <c r="O9637" s="8"/>
      <c r="P9637" s="8"/>
      <c r="Q9637" s="8" t="s">
        <v>42330</v>
      </c>
      <c r="R9637" s="8"/>
      <c r="S9637" s="8"/>
      <c r="T9637" s="8"/>
      <c r="U9637" s="8"/>
      <c r="V9637" s="8"/>
      <c r="W9637" s="8"/>
      <c r="X9637" s="8"/>
      <c r="Y9637" s="8"/>
    </row>
    <row r="9638" ht="14.25">
      <c r="B9638" s="8" t="s">
        <v>355</v>
      </c>
      <c r="C9638" s="8" t="s">
        <v>6179</v>
      </c>
      <c r="D9638" s="8" t="s">
        <v>112</v>
      </c>
      <c r="E9638" s="8" t="s">
        <v>42331</v>
      </c>
      <c r="F9638" s="8" t="str">
        <f>IFERROR(__XLUDF.DUMMYFUNCTION("PROPER(REGEXREPLACE(D23,""[^A-Za-z]+ "",""""))"),"Racecare Assurances")</f>
        <v xml:space="preserve">Racecare Assurances</v>
      </c>
      <c r="G9638" s="8" t="s">
        <v>42332</v>
      </c>
      <c r="H9638" s="9">
        <v>3</v>
      </c>
      <c r="I9638" s="8" t="s">
        <v>39661</v>
      </c>
      <c r="J9638" s="8" t="str">
        <f>IFERROR(__XLUDF.DUMMYFUNCTION("VLOOKUP(H23,IMPORTRANGE(""https://docs.google.com/spreadsheets/d/1opm6ZNvGZ7KditA9TuJwrZ25eFLfTNIkrNnY6mhV5Eg"",""list!A1:C115""),3,TRUE)"),"le secteur des assurances")</f>
        <v xml:space="preserve">le secteur des assurances</v>
      </c>
      <c r="K9638" s="10" t="s">
        <v>42333</v>
      </c>
      <c r="L9638" s="10" t="s">
        <v>42334</v>
      </c>
      <c r="M9638" s="8" t="s">
        <v>6412</v>
      </c>
      <c r="N9638" s="8" t="s">
        <v>29</v>
      </c>
      <c r="O9638" s="8" t="s">
        <v>10630</v>
      </c>
      <c r="P9638" s="8"/>
      <c r="Q9638" s="8" t="s">
        <v>42335</v>
      </c>
      <c r="R9638" s="8"/>
      <c r="S9638" s="8"/>
      <c r="T9638" s="8"/>
      <c r="U9638" s="8"/>
      <c r="V9638" s="8"/>
      <c r="W9638" s="8"/>
      <c r="X9638" s="8"/>
      <c r="Y9638" s="8"/>
    </row>
    <row r="9639" ht="14.25">
      <c r="B9639" s="8" t="s">
        <v>2299</v>
      </c>
      <c r="C9639" s="8" t="s">
        <v>27284</v>
      </c>
      <c r="D9639" s="8" t="s">
        <v>112</v>
      </c>
      <c r="E9639" s="8" t="s">
        <v>42336</v>
      </c>
      <c r="F9639" s="8" t="str">
        <f>IFERROR(__XLUDF.DUMMYFUNCTION("PROPER(REGEXREPLACE(D24,""[^A-Za-z]+ "",""""))"),"Sga Courtage")</f>
        <v xml:space="preserve">Sga Courtage</v>
      </c>
      <c r="G9639" s="8" t="s">
        <v>42337</v>
      </c>
      <c r="H9639" s="9">
        <v>1</v>
      </c>
      <c r="I9639" s="8" t="s">
        <v>39661</v>
      </c>
      <c r="J9639" s="8" t="str">
        <f>IFERROR(__XLUDF.DUMMYFUNCTION("VLOOKUP(H24,IMPORTRANGE(""https://docs.google.com/spreadsheets/d/1opm6ZNvGZ7KditA9TuJwrZ25eFLfTNIkrNnY6mhV5Eg"",""list!A1:C115""),3,TRUE)"),"le secteur des assurances")</f>
        <v xml:space="preserve">le secteur des assurances</v>
      </c>
      <c r="K9639" s="10" t="s">
        <v>42338</v>
      </c>
      <c r="L9639" s="10" t="s">
        <v>42339</v>
      </c>
      <c r="M9639" s="8" t="s">
        <v>5449</v>
      </c>
      <c r="N9639" s="8" t="s">
        <v>29</v>
      </c>
      <c r="O9639" s="8" t="s">
        <v>9160</v>
      </c>
      <c r="P9639" s="8"/>
      <c r="Q9639" s="8" t="s">
        <v>42340</v>
      </c>
      <c r="R9639" s="8"/>
      <c r="S9639" s="8"/>
      <c r="T9639" s="8"/>
      <c r="U9639" s="8"/>
      <c r="V9639" s="8"/>
      <c r="W9639" s="8"/>
      <c r="X9639" s="8"/>
      <c r="Y9639" s="8"/>
    </row>
    <row r="9640" ht="14.25">
      <c r="B9640" s="8" t="s">
        <v>76</v>
      </c>
      <c r="C9640" s="8" t="s">
        <v>42341</v>
      </c>
      <c r="D9640" s="8" t="s">
        <v>341</v>
      </c>
      <c r="E9640" s="8" t="s">
        <v>42342</v>
      </c>
      <c r="F9640" s="8" t="str">
        <f>IFERROR(__XLUDF.DUMMYFUNCTION("PROPER(REGEXREPLACE(D25,""[^A-Za-z]+ "",""""))"),"Orbis Consult")</f>
        <v xml:space="preserve">Orbis Consult</v>
      </c>
      <c r="G9640" s="8" t="s">
        <v>42343</v>
      </c>
      <c r="H9640" s="9">
        <v>1</v>
      </c>
      <c r="I9640" s="8" t="s">
        <v>39661</v>
      </c>
      <c r="J9640" s="8" t="str">
        <f>IFERROR(__XLUDF.DUMMYFUNCTION("VLOOKUP(H25,IMPORTRANGE(""https://docs.google.com/spreadsheets/d/1opm6ZNvGZ7KditA9TuJwrZ25eFLfTNIkrNnY6mhV5Eg"",""list!A1:C115""),3,TRUE)"),"le secteur des assurances")</f>
        <v xml:space="preserve">le secteur des assurances</v>
      </c>
      <c r="K9640" s="10" t="s">
        <v>42344</v>
      </c>
      <c r="L9640" s="10" t="s">
        <v>42345</v>
      </c>
      <c r="M9640" s="8" t="s">
        <v>3898</v>
      </c>
      <c r="N9640" s="8" t="s">
        <v>29</v>
      </c>
      <c r="O9640" s="8" t="s">
        <v>10736</v>
      </c>
      <c r="P9640" s="8"/>
      <c r="Q9640" s="8" t="s">
        <v>42346</v>
      </c>
      <c r="R9640" s="8"/>
      <c r="S9640" s="8"/>
      <c r="T9640" s="8"/>
      <c r="U9640" s="8"/>
      <c r="V9640" s="8"/>
      <c r="W9640" s="8"/>
      <c r="X9640" s="8"/>
      <c r="Y9640" s="8"/>
    </row>
    <row r="9641" ht="14.25">
      <c r="B9641" s="8" t="s">
        <v>2471</v>
      </c>
      <c r="C9641" s="8" t="s">
        <v>42347</v>
      </c>
      <c r="D9641" s="8" t="s">
        <v>112</v>
      </c>
      <c r="E9641" s="8" t="s">
        <v>41162</v>
      </c>
      <c r="F9641" s="8" t="str">
        <f>IFERROR(__XLUDF.DUMMYFUNCTION("PROPER(REGEXREPLACE(D26,""[^A-Za-z]+ "",""""))"),"Les Courtiers De France")</f>
        <v xml:space="preserve">Les Courtiers De France</v>
      </c>
      <c r="G9641" s="8" t="s">
        <v>42348</v>
      </c>
      <c r="H9641" s="8"/>
      <c r="I9641" s="8"/>
      <c r="J9641" s="8" t="s">
        <v>42267</v>
      </c>
      <c r="K9641" s="10" t="s">
        <v>42349</v>
      </c>
      <c r="L9641" s="10" t="s">
        <v>42350</v>
      </c>
      <c r="M9641" s="8" t="s">
        <v>1204</v>
      </c>
      <c r="N9641" s="8" t="s">
        <v>29</v>
      </c>
      <c r="O9641" s="8" t="s">
        <v>9460</v>
      </c>
      <c r="P9641" s="8"/>
      <c r="Q9641" s="8"/>
      <c r="R9641" s="8"/>
      <c r="S9641" s="8"/>
      <c r="T9641" s="8"/>
      <c r="U9641" s="8"/>
      <c r="V9641" s="8"/>
      <c r="W9641" s="8"/>
      <c r="X9641" s="8"/>
      <c r="Y9641" s="8"/>
    </row>
    <row r="9642" ht="14.25">
      <c r="B9642" s="8" t="s">
        <v>1562</v>
      </c>
      <c r="C9642" s="8" t="s">
        <v>5680</v>
      </c>
      <c r="D9642" s="8" t="s">
        <v>1130</v>
      </c>
      <c r="E9642" s="8" t="s">
        <v>42351</v>
      </c>
      <c r="F9642" s="8" t="str">
        <f>IFERROR(__XLUDF.DUMMYFUNCTION("PROPER(REGEXREPLACE(D27,""[^A-Za-z]+ "",""""))"),"Optym")</f>
        <v>Optym</v>
      </c>
      <c r="G9642" s="8" t="s">
        <v>42352</v>
      </c>
      <c r="H9642" s="8"/>
      <c r="I9642" s="8"/>
      <c r="J9642" s="8" t="s">
        <v>42267</v>
      </c>
      <c r="K9642" s="10" t="s">
        <v>42353</v>
      </c>
      <c r="L9642" s="10" t="s">
        <v>42354</v>
      </c>
      <c r="M9642" s="8" t="s">
        <v>39</v>
      </c>
      <c r="N9642" s="8" t="s">
        <v>29</v>
      </c>
      <c r="O9642" s="8" t="s">
        <v>9160</v>
      </c>
      <c r="P9642" s="8"/>
      <c r="Q9642" s="8"/>
      <c r="R9642" s="8"/>
      <c r="S9642" s="8"/>
      <c r="T9642" s="8"/>
      <c r="U9642" s="8"/>
      <c r="V9642" s="8"/>
      <c r="W9642" s="8"/>
      <c r="X9642" s="8"/>
      <c r="Y9642" s="8"/>
    </row>
    <row r="9643" ht="14.25">
      <c r="B9643" s="8" t="s">
        <v>963</v>
      </c>
      <c r="C9643" s="8" t="s">
        <v>42355</v>
      </c>
      <c r="D9643" s="8" t="s">
        <v>341</v>
      </c>
      <c r="E9643" s="8" t="s">
        <v>42356</v>
      </c>
      <c r="F9643" s="8" t="str">
        <f>IFERROR(__XLUDF.DUMMYFUNCTION("PROPER(REGEXREPLACE(D28,""[^A-Za-z]+ "",""""))"),"Adaequatio")</f>
        <v>Adaequatio</v>
      </c>
      <c r="G9643" s="8" t="s">
        <v>42357</v>
      </c>
      <c r="H9643" s="9">
        <v>6</v>
      </c>
      <c r="I9643" s="8" t="s">
        <v>39661</v>
      </c>
      <c r="J9643" s="8" t="str">
        <f>IFERROR(__XLUDF.DUMMYFUNCTION("VLOOKUP(H28,IMPORTRANGE(""https://docs.google.com/spreadsheets/d/1opm6ZNvGZ7KditA9TuJwrZ25eFLfTNIkrNnY6mhV5Eg"",""list!A1:C115""),3,TRUE)"),"le secteur des assurances")</f>
        <v xml:space="preserve">le secteur des assurances</v>
      </c>
      <c r="K9643" s="10" t="s">
        <v>42358</v>
      </c>
      <c r="L9643" s="10" t="s">
        <v>42359</v>
      </c>
      <c r="M9643" s="8" t="s">
        <v>3898</v>
      </c>
      <c r="N9643" s="8" t="s">
        <v>29</v>
      </c>
      <c r="O9643" s="8" t="s">
        <v>9798</v>
      </c>
      <c r="P9643" s="8"/>
      <c r="Q9643" s="8"/>
      <c r="R9643" s="8"/>
      <c r="S9643" s="8"/>
      <c r="T9643" s="8"/>
      <c r="U9643" s="8"/>
      <c r="V9643" s="8"/>
      <c r="W9643" s="8"/>
      <c r="X9643" s="8"/>
      <c r="Y9643" s="8"/>
    </row>
    <row r="9644" ht="14.25">
      <c r="B9644" s="8" t="s">
        <v>8885</v>
      </c>
      <c r="C9644" s="8" t="s">
        <v>42360</v>
      </c>
      <c r="D9644" s="8" t="s">
        <v>42361</v>
      </c>
      <c r="E9644" s="8" t="s">
        <v>42362</v>
      </c>
      <c r="F9644" s="8" t="str">
        <f>IFERROR(__XLUDF.DUMMYFUNCTION("PROPER(REGEXREPLACE(D29,""[^A-Za-z]+ "",""""))"),"Cabinet Elab")</f>
        <v xml:space="preserve">Cabinet Elab</v>
      </c>
      <c r="G9644" s="8" t="s">
        <v>42363</v>
      </c>
      <c r="H9644" s="9">
        <v>3</v>
      </c>
      <c r="I9644" s="8" t="s">
        <v>39661</v>
      </c>
      <c r="J9644" s="8" t="str">
        <f>IFERROR(__XLUDF.DUMMYFUNCTION("VLOOKUP(H29,IMPORTRANGE(""https://docs.google.com/spreadsheets/d/1opm6ZNvGZ7KditA9TuJwrZ25eFLfTNIkrNnY6mhV5Eg"",""list!A1:C115""),3,TRUE)"),"le secteur des assurances")</f>
        <v xml:space="preserve">le secteur des assurances</v>
      </c>
      <c r="K9644" s="10" t="s">
        <v>42364</v>
      </c>
      <c r="L9644" s="10" t="s">
        <v>42365</v>
      </c>
      <c r="M9644" s="8" t="s">
        <v>39</v>
      </c>
      <c r="N9644" s="8" t="s">
        <v>29</v>
      </c>
      <c r="O9644" s="8" t="s">
        <v>9160</v>
      </c>
      <c r="P9644" s="8"/>
      <c r="Q9644" s="8" t="s">
        <v>42366</v>
      </c>
      <c r="R9644" s="8"/>
      <c r="S9644" s="8"/>
      <c r="T9644" s="8"/>
      <c r="U9644" s="8"/>
      <c r="V9644" s="8"/>
      <c r="W9644" s="8"/>
      <c r="X9644" s="8"/>
      <c r="Y9644" s="8"/>
    </row>
    <row r="9645" ht="14.25">
      <c r="B9645" s="18" t="s">
        <v>15990</v>
      </c>
      <c r="C9645" s="18" t="s">
        <v>42367</v>
      </c>
      <c r="D9645" s="18" t="s">
        <v>29084</v>
      </c>
      <c r="E9645" s="18" t="s">
        <v>42368</v>
      </c>
      <c r="F9645" s="8" t="str">
        <f>IFERROR(__XLUDF.DUMMYFUNCTION("PROPER(REGEXREPLACE(D30,""[^A-Za-z]+ "",""""))"),"Cogitanda Dataprotect Ag")</f>
        <v xml:space="preserve">Cogitanda Dataprotect Ag</v>
      </c>
      <c r="G9645" s="18" t="s">
        <v>42369</v>
      </c>
      <c r="H9645" s="18">
        <v>130</v>
      </c>
      <c r="I9645" s="18" t="s">
        <v>39661</v>
      </c>
      <c r="J9645" s="8" t="str">
        <f>IFERROR(__XLUDF.DUMMYFUNCTION("VLOOKUP(H30,IMPORTRANGE(""https://docs.google.com/spreadsheets/d/1opm6ZNvGZ7KditA9TuJwrZ25eFLfTNIkrNnY6mhV5Eg"",""list!A1:C115""),3,TRUE)"),"le secteur des assurances")</f>
        <v xml:space="preserve">le secteur des assurances</v>
      </c>
      <c r="K9645" s="5" t="s">
        <v>42370</v>
      </c>
      <c r="L9645" s="5" t="s">
        <v>42371</v>
      </c>
      <c r="M9645" s="6"/>
      <c r="N9645" s="18" t="s">
        <v>29</v>
      </c>
      <c r="O9645" s="18" t="s">
        <v>42372</v>
      </c>
      <c r="P9645" s="18" t="s">
        <v>595</v>
      </c>
      <c r="Q9645" s="6"/>
      <c r="R9645" s="6"/>
      <c r="S9645" s="6"/>
      <c r="T9645" s="6"/>
      <c r="U9645" s="6"/>
      <c r="V9645" s="6"/>
      <c r="W9645" s="6"/>
      <c r="X9645" s="6"/>
      <c r="Y9645" s="6"/>
    </row>
    <row r="9646" ht="14.25">
      <c r="B9646" s="8" t="s">
        <v>52</v>
      </c>
      <c r="C9646" s="8" t="s">
        <v>42373</v>
      </c>
      <c r="D9646" s="8" t="s">
        <v>120</v>
      </c>
      <c r="E9646" s="8" t="s">
        <v>42374</v>
      </c>
      <c r="F9646" s="8" t="str">
        <f>IFERROR(__XLUDF.DUMMYFUNCTION("PROPER(REGEXREPLACE(D31,""[^A-Za-z]+ "",""""))"),"Brokin")</f>
        <v>Brokin</v>
      </c>
      <c r="G9646" s="8" t="s">
        <v>42375</v>
      </c>
      <c r="H9646" s="8"/>
      <c r="I9646" s="8"/>
      <c r="J9646" s="8" t="s">
        <v>42267</v>
      </c>
      <c r="K9646" s="10" t="s">
        <v>42376</v>
      </c>
      <c r="L9646" s="10" t="s">
        <v>42377</v>
      </c>
      <c r="M9646" s="8" t="s">
        <v>39</v>
      </c>
      <c r="N9646" s="8" t="s">
        <v>29</v>
      </c>
      <c r="O9646" s="8" t="s">
        <v>9160</v>
      </c>
      <c r="P9646" s="8"/>
      <c r="Q9646" s="8"/>
      <c r="R9646" s="8"/>
      <c r="S9646" s="8"/>
      <c r="T9646" s="8"/>
      <c r="U9646" s="8"/>
      <c r="V9646" s="8"/>
      <c r="W9646" s="8"/>
      <c r="X9646" s="8"/>
      <c r="Y9646" s="8"/>
    </row>
    <row r="9647" ht="14.25">
      <c r="B9647" s="8" t="s">
        <v>3279</v>
      </c>
      <c r="C9647" s="8" t="s">
        <v>18921</v>
      </c>
      <c r="D9647" s="8" t="s">
        <v>42378</v>
      </c>
      <c r="E9647" s="8" t="s">
        <v>42379</v>
      </c>
      <c r="F9647" s="8" t="str">
        <f>IFERROR(__XLUDF.DUMMYFUNCTION("PROPER(REGEXREPLACE(D32,""[^A-Za-z]+ "",""""))"),"Assur Tous Risques")</f>
        <v xml:space="preserve">Assur Tous Risques</v>
      </c>
      <c r="G9647" s="8" t="s">
        <v>42380</v>
      </c>
      <c r="H9647" s="9">
        <v>1</v>
      </c>
      <c r="I9647" s="8" t="s">
        <v>39661</v>
      </c>
      <c r="J9647" s="8" t="str">
        <f>IFERROR(__XLUDF.DUMMYFUNCTION("VLOOKUP(H32,IMPORTRANGE(""https://docs.google.com/spreadsheets/d/1opm6ZNvGZ7KditA9TuJwrZ25eFLfTNIkrNnY6mhV5Eg"",""list!A1:C115""),3,TRUE)"),"le secteur des assurances")</f>
        <v xml:space="preserve">le secteur des assurances</v>
      </c>
      <c r="K9647" s="10" t="s">
        <v>42381</v>
      </c>
      <c r="L9647" s="10" t="s">
        <v>42382</v>
      </c>
      <c r="M9647" s="8" t="s">
        <v>185</v>
      </c>
      <c r="N9647" s="8" t="s">
        <v>29</v>
      </c>
      <c r="O9647" s="8" t="s">
        <v>9193</v>
      </c>
      <c r="P9647" s="8"/>
      <c r="Q9647" s="8" t="s">
        <v>42383</v>
      </c>
      <c r="R9647" s="8"/>
      <c r="S9647" s="8"/>
      <c r="T9647" s="8"/>
      <c r="U9647" s="8"/>
      <c r="V9647" s="8"/>
      <c r="W9647" s="8"/>
      <c r="X9647" s="8"/>
      <c r="Y9647" s="8"/>
    </row>
    <row r="9648" ht="14.25">
      <c r="B9648" s="8" t="s">
        <v>485</v>
      </c>
      <c r="C9648" s="8" t="s">
        <v>42384</v>
      </c>
      <c r="D9648" s="8" t="s">
        <v>13389</v>
      </c>
      <c r="E9648" s="8" t="s">
        <v>42385</v>
      </c>
      <c r="F9648" s="8" t="str">
        <f>IFERROR(__XLUDF.DUMMYFUNCTION("PROPER(REGEXREPLACE(D33,""[^A-Za-z]+ "",""""))"),"Schullerschuller")</f>
        <v>Schullerschuller</v>
      </c>
      <c r="G9648" s="8" t="s">
        <v>42386</v>
      </c>
      <c r="H9648" s="9">
        <v>19</v>
      </c>
      <c r="I9648" s="8" t="s">
        <v>39661</v>
      </c>
      <c r="J9648" s="8" t="str">
        <f>IFERROR(__XLUDF.DUMMYFUNCTION("VLOOKUP(H33,IMPORTRANGE(""https://docs.google.com/spreadsheets/d/1opm6ZNvGZ7KditA9TuJwrZ25eFLfTNIkrNnY6mhV5Eg"",""list!A1:C115""),3,TRUE)"),"le secteur des assurances")</f>
        <v xml:space="preserve">le secteur des assurances</v>
      </c>
      <c r="K9648" s="10" t="s">
        <v>42387</v>
      </c>
      <c r="L9648" s="10" t="s">
        <v>42388</v>
      </c>
      <c r="M9648" s="8" t="s">
        <v>28048</v>
      </c>
      <c r="N9648" s="8" t="s">
        <v>29</v>
      </c>
      <c r="O9648" s="8" t="s">
        <v>9864</v>
      </c>
      <c r="P9648" s="8"/>
      <c r="Q9648" s="8"/>
      <c r="R9648" s="8"/>
      <c r="S9648" s="8"/>
      <c r="T9648" s="8"/>
      <c r="U9648" s="8"/>
      <c r="V9648" s="8"/>
      <c r="W9648" s="8"/>
      <c r="X9648" s="8"/>
      <c r="Y9648" s="8"/>
    </row>
    <row r="9649" ht="14.25">
      <c r="B9649" s="8" t="s">
        <v>7525</v>
      </c>
      <c r="C9649" s="8" t="s">
        <v>4086</v>
      </c>
      <c r="D9649" s="8" t="s">
        <v>112</v>
      </c>
      <c r="E9649" s="8" t="s">
        <v>40675</v>
      </c>
      <c r="F9649" s="8" t="str">
        <f>IFERROR(__XLUDF.DUMMYFUNCTION("PROPER(REGEXREPLACE(D34,""[^A-Za-z]+ "",""""))"),"Actuairesassociés")</f>
        <v>Actuairesassociés</v>
      </c>
      <c r="G9649" s="8" t="s">
        <v>42389</v>
      </c>
      <c r="H9649" s="9">
        <v>5</v>
      </c>
      <c r="I9649" s="8" t="s">
        <v>39661</v>
      </c>
      <c r="J9649" s="8" t="str">
        <f>IFERROR(__XLUDF.DUMMYFUNCTION("VLOOKUP(H34,IMPORTRANGE(""https://docs.google.com/spreadsheets/d/1opm6ZNvGZ7KditA9TuJwrZ25eFLfTNIkrNnY6mhV5Eg"",""list!A1:C115""),3,TRUE)"),"le secteur des assurances")</f>
        <v xml:space="preserve">le secteur des assurances</v>
      </c>
      <c r="K9649" s="10" t="s">
        <v>42390</v>
      </c>
      <c r="L9649" s="10" t="s">
        <v>42391</v>
      </c>
      <c r="M9649" s="8" t="s">
        <v>39</v>
      </c>
      <c r="N9649" s="8" t="s">
        <v>29</v>
      </c>
      <c r="O9649" s="8" t="s">
        <v>9160</v>
      </c>
      <c r="P9649" s="8"/>
      <c r="Q9649" s="8" t="s">
        <v>42392</v>
      </c>
      <c r="R9649" s="8"/>
      <c r="S9649" s="8"/>
      <c r="T9649" s="8"/>
      <c r="U9649" s="8"/>
      <c r="V9649" s="8"/>
      <c r="W9649" s="8"/>
      <c r="X9649" s="8"/>
      <c r="Y9649" s="8"/>
    </row>
    <row r="9650" ht="14.25">
      <c r="B9650" s="18" t="s">
        <v>604</v>
      </c>
      <c r="C9650" s="18" t="s">
        <v>42393</v>
      </c>
      <c r="D9650" s="18" t="s">
        <v>87</v>
      </c>
      <c r="E9650" s="18" t="s">
        <v>42394</v>
      </c>
      <c r="F9650" s="8" t="str">
        <f>IFERROR(__XLUDF.DUMMYFUNCTION("PROPER(REGEXREPLACE(D35,""[^A-Za-z]+ "",""""))"),"Gerep")</f>
        <v>Gerep</v>
      </c>
      <c r="G9650" s="18" t="s">
        <v>42395</v>
      </c>
      <c r="H9650" s="18">
        <v>81</v>
      </c>
      <c r="I9650" s="18" t="s">
        <v>39661</v>
      </c>
      <c r="J9650" s="8" t="str">
        <f>IFERROR(__XLUDF.DUMMYFUNCTION("VLOOKUP(H35,IMPORTRANGE(""https://docs.google.com/spreadsheets/d/1opm6ZNvGZ7KditA9TuJwrZ25eFLfTNIkrNnY6mhV5Eg"",""list!A1:C115""),3,TRUE)"),"le secteur des assurances")</f>
        <v xml:space="preserve">le secteur des assurances</v>
      </c>
      <c r="K9650" s="5" t="s">
        <v>42396</v>
      </c>
      <c r="L9650" s="5" t="s">
        <v>42397</v>
      </c>
      <c r="M9650" s="6"/>
      <c r="N9650" s="18" t="s">
        <v>29</v>
      </c>
      <c r="O9650" s="18" t="s">
        <v>42398</v>
      </c>
      <c r="P9650" s="18" t="s">
        <v>29</v>
      </c>
      <c r="Q9650" s="18" t="s">
        <v>42399</v>
      </c>
      <c r="R9650" s="6"/>
      <c r="S9650" s="6"/>
      <c r="T9650" s="6"/>
      <c r="U9650" s="6"/>
      <c r="V9650" s="6"/>
      <c r="W9650" s="6"/>
      <c r="X9650" s="6"/>
      <c r="Y9650" s="6"/>
    </row>
    <row r="9651" ht="14.25">
      <c r="B9651" s="8" t="s">
        <v>42400</v>
      </c>
      <c r="C9651" s="8" t="s">
        <v>42401</v>
      </c>
      <c r="D9651" s="8" t="s">
        <v>42402</v>
      </c>
      <c r="E9651" s="8" t="s">
        <v>42403</v>
      </c>
      <c r="F9651" s="8" t="str">
        <f>IFERROR(__XLUDF.DUMMYFUNCTION("PROPER(REGEXREPLACE(D36,""[^A-Za-z]+ "",""""))"),"Ofracar")</f>
        <v>Ofracar</v>
      </c>
      <c r="G9651" s="8" t="s">
        <v>42404</v>
      </c>
      <c r="H9651" s="9">
        <v>67</v>
      </c>
      <c r="I9651" s="8" t="s">
        <v>39661</v>
      </c>
      <c r="J9651" s="8" t="str">
        <f>IFERROR(__XLUDF.DUMMYFUNCTION("VLOOKUP(H36,IMPORTRANGE(""https://docs.google.com/spreadsheets/d/1opm6ZNvGZ7KditA9TuJwrZ25eFLfTNIkrNnY6mhV5Eg"",""list!A1:C115""),3,TRUE)"),"le secteur des assurances")</f>
        <v xml:space="preserve">le secteur des assurances</v>
      </c>
      <c r="K9651" s="10" t="s">
        <v>42405</v>
      </c>
      <c r="L9651" s="10" t="s">
        <v>42406</v>
      </c>
      <c r="M9651" s="8" t="s">
        <v>492</v>
      </c>
      <c r="N9651" s="8" t="s">
        <v>29</v>
      </c>
      <c r="O9651" s="8" t="s">
        <v>9267</v>
      </c>
      <c r="P9651" s="8"/>
      <c r="Q9651" s="8" t="s">
        <v>42407</v>
      </c>
      <c r="R9651" s="8"/>
      <c r="S9651" s="8"/>
      <c r="T9651" s="8"/>
      <c r="U9651" s="8"/>
      <c r="V9651" s="8"/>
      <c r="W9651" s="8"/>
      <c r="X9651" s="8"/>
      <c r="Y9651" s="8"/>
    </row>
    <row r="9652" ht="14.25">
      <c r="B9652" s="8" t="s">
        <v>23012</v>
      </c>
      <c r="C9652" s="8" t="s">
        <v>42408</v>
      </c>
      <c r="D9652" s="8" t="s">
        <v>172</v>
      </c>
      <c r="E9652" s="8" t="s">
        <v>39761</v>
      </c>
      <c r="F9652" s="8" t="str">
        <f>IFERROR(__XLUDF.DUMMYFUNCTION("PROPER(REGEXREPLACE(D37,""[^A-Za-z]+ "",""""))"),"Calipso Assurances")</f>
        <v xml:space="preserve">Calipso Assurances</v>
      </c>
      <c r="G9652" s="8" t="s">
        <v>42409</v>
      </c>
      <c r="H9652" s="9">
        <v>14</v>
      </c>
      <c r="I9652" s="8" t="s">
        <v>39661</v>
      </c>
      <c r="J9652" s="8" t="str">
        <f>IFERROR(__XLUDF.DUMMYFUNCTION("VLOOKUP(H37,IMPORTRANGE(""https://docs.google.com/spreadsheets/d/1opm6ZNvGZ7KditA9TuJwrZ25eFLfTNIkrNnY6mhV5Eg"",""list!A1:C115""),3,TRUE)"),"le secteur des assurances")</f>
        <v xml:space="preserve">le secteur des assurances</v>
      </c>
      <c r="K9652" s="10" t="s">
        <v>42410</v>
      </c>
      <c r="L9652" s="8"/>
      <c r="M9652" s="8" t="s">
        <v>39</v>
      </c>
      <c r="N9652" s="8" t="s">
        <v>29</v>
      </c>
      <c r="O9652" s="8" t="s">
        <v>9160</v>
      </c>
      <c r="P9652" s="8"/>
      <c r="Q9652" s="8"/>
      <c r="R9652" s="8"/>
      <c r="S9652" s="8"/>
      <c r="T9652" s="8"/>
      <c r="U9652" s="8"/>
      <c r="V9652" s="8"/>
      <c r="W9652" s="8"/>
      <c r="X9652" s="8"/>
      <c r="Y9652" s="8"/>
    </row>
    <row r="9653" ht="14.25">
      <c r="B9653" s="8" t="s">
        <v>6356</v>
      </c>
      <c r="C9653" s="8" t="s">
        <v>42411</v>
      </c>
      <c r="D9653" s="8" t="s">
        <v>112</v>
      </c>
      <c r="E9653" s="8" t="s">
        <v>42412</v>
      </c>
      <c r="F9653" s="8" t="str">
        <f>IFERROR(__XLUDF.DUMMYFUNCTION("PROPER(REGEXREPLACE(D38,""[^A-Za-z]+ "",""""))"),"Fabrede Nombel Assurances")</f>
        <v xml:space="preserve">Fabrede Nombel Assurances</v>
      </c>
      <c r="G9653" s="8" t="s">
        <v>42413</v>
      </c>
      <c r="H9653" s="9">
        <v>3</v>
      </c>
      <c r="I9653" s="8" t="s">
        <v>39661</v>
      </c>
      <c r="J9653" s="8" t="str">
        <f>IFERROR(__XLUDF.DUMMYFUNCTION("VLOOKUP(H38,IMPORTRANGE(""https://docs.google.com/spreadsheets/d/1opm6ZNvGZ7KditA9TuJwrZ25eFLfTNIkrNnY6mhV5Eg"",""list!A1:C115""),3,TRUE)"),"le secteur des assurances")</f>
        <v xml:space="preserve">le secteur des assurances</v>
      </c>
      <c r="K9653" s="10" t="s">
        <v>42414</v>
      </c>
      <c r="L9653" s="10" t="s">
        <v>42415</v>
      </c>
      <c r="M9653" s="8" t="s">
        <v>42416</v>
      </c>
      <c r="N9653" s="8" t="s">
        <v>29</v>
      </c>
      <c r="O9653" s="8" t="s">
        <v>9864</v>
      </c>
      <c r="P9653" s="8"/>
      <c r="Q9653" s="8" t="s">
        <v>42417</v>
      </c>
      <c r="R9653" s="8"/>
      <c r="S9653" s="8"/>
      <c r="T9653" s="8"/>
      <c r="U9653" s="8"/>
      <c r="V9653" s="8"/>
      <c r="W9653" s="8"/>
      <c r="X9653" s="8"/>
      <c r="Y9653" s="8"/>
    </row>
    <row r="9654" ht="14.25">
      <c r="B9654" s="18" t="s">
        <v>330</v>
      </c>
      <c r="C9654" s="18" t="s">
        <v>1697</v>
      </c>
      <c r="D9654" s="18" t="s">
        <v>672</v>
      </c>
      <c r="E9654" s="18" t="s">
        <v>42418</v>
      </c>
      <c r="F9654" s="8" t="str">
        <f>IFERROR(__XLUDF.DUMMYFUNCTION("PROPER(REGEXREPLACE(D39,""[^A-Za-z]+ "",""""))"),"Little John")</f>
        <v xml:space="preserve">Little John</v>
      </c>
      <c r="G9654" s="18" t="s">
        <v>42419</v>
      </c>
      <c r="H9654" s="18">
        <v>8</v>
      </c>
      <c r="I9654" s="18" t="s">
        <v>39661</v>
      </c>
      <c r="J9654" s="8" t="str">
        <f>IFERROR(__XLUDF.DUMMYFUNCTION("VLOOKUP(H39,IMPORTRANGE(""https://docs.google.com/spreadsheets/d/1opm6ZNvGZ7KditA9TuJwrZ25eFLfTNIkrNnY6mhV5Eg"",""list!A1:C115""),3,TRUE)"),"le secteur des assurances")</f>
        <v xml:space="preserve">le secteur des assurances</v>
      </c>
      <c r="K9654" s="5" t="s">
        <v>42420</v>
      </c>
      <c r="L9654" s="5" t="s">
        <v>42421</v>
      </c>
      <c r="M9654" s="18" t="s">
        <v>39</v>
      </c>
      <c r="N9654" s="18" t="s">
        <v>29</v>
      </c>
      <c r="O9654" s="18" t="s">
        <v>24591</v>
      </c>
      <c r="P9654" s="18" t="s">
        <v>29</v>
      </c>
      <c r="Q9654" s="18" t="s">
        <v>42422</v>
      </c>
      <c r="R9654" s="6"/>
      <c r="S9654" s="6"/>
      <c r="T9654" s="6"/>
      <c r="U9654" s="6"/>
      <c r="V9654" s="6"/>
      <c r="W9654" s="6"/>
      <c r="X9654" s="6"/>
      <c r="Y9654" s="6"/>
    </row>
    <row r="9655" ht="14.25">
      <c r="B9655" s="8" t="s">
        <v>26973</v>
      </c>
      <c r="C9655" s="8" t="s">
        <v>42423</v>
      </c>
      <c r="D9655" s="8" t="s">
        <v>164</v>
      </c>
      <c r="E9655" s="8" t="s">
        <v>42424</v>
      </c>
      <c r="F9655" s="8" t="str">
        <f>IFERROR(__XLUDF.DUMMYFUNCTION("PROPER(REGEXREPLACE(D40,""[^A-Za-z]+ "",""""))"),"Saphir Courtage")</f>
        <v xml:space="preserve">Saphir Courtage</v>
      </c>
      <c r="G9655" s="8" t="s">
        <v>42425</v>
      </c>
      <c r="H9655" s="9">
        <v>1</v>
      </c>
      <c r="I9655" s="8" t="s">
        <v>39661</v>
      </c>
      <c r="J9655" s="8" t="str">
        <f>IFERROR(__XLUDF.DUMMYFUNCTION("VLOOKUP(H40,IMPORTRANGE(""https://docs.google.com/spreadsheets/d/1opm6ZNvGZ7KditA9TuJwrZ25eFLfTNIkrNnY6mhV5Eg"",""list!A1:C115""),3,TRUE)"),"le secteur des assurances")</f>
        <v xml:space="preserve">le secteur des assurances</v>
      </c>
      <c r="K9655" s="10" t="s">
        <v>42426</v>
      </c>
      <c r="L9655" s="8"/>
      <c r="M9655" s="8" t="s">
        <v>42427</v>
      </c>
      <c r="N9655" s="8" t="s">
        <v>29</v>
      </c>
      <c r="O9655" s="8" t="s">
        <v>9473</v>
      </c>
      <c r="P9655" s="8"/>
      <c r="Q9655" s="8" t="s">
        <v>42428</v>
      </c>
      <c r="R9655" s="8"/>
      <c r="S9655" s="8"/>
      <c r="T9655" s="8"/>
      <c r="U9655" s="8"/>
      <c r="V9655" s="8"/>
      <c r="W9655" s="8"/>
      <c r="X9655" s="8"/>
      <c r="Y9655" s="8"/>
    </row>
    <row r="9656" ht="14.25">
      <c r="B9656" s="8" t="s">
        <v>8049</v>
      </c>
      <c r="C9656" s="8" t="s">
        <v>42429</v>
      </c>
      <c r="D9656" s="8" t="s">
        <v>42430</v>
      </c>
      <c r="E9656" s="8" t="s">
        <v>42431</v>
      </c>
      <c r="F9656" s="8" t="str">
        <f>IFERROR(__XLUDF.DUMMYFUNCTION("PROPER(REGEXREPLACE(D41,""[^A-Za-z]+ "",""""))"),"Mutuelle Entrain")</f>
        <v xml:space="preserve">Mutuelle Entrain</v>
      </c>
      <c r="G9656" s="8" t="s">
        <v>42432</v>
      </c>
      <c r="H9656" s="8"/>
      <c r="I9656" s="8"/>
      <c r="J9656" s="8" t="s">
        <v>42267</v>
      </c>
      <c r="K9656" s="10" t="s">
        <v>42433</v>
      </c>
      <c r="L9656" s="10" t="s">
        <v>42434</v>
      </c>
      <c r="M9656" s="8" t="s">
        <v>243</v>
      </c>
      <c r="N9656" s="8" t="s">
        <v>29</v>
      </c>
      <c r="O9656" s="8" t="s">
        <v>9864</v>
      </c>
      <c r="P9656" s="8"/>
      <c r="Q9656" s="8"/>
      <c r="R9656" s="8"/>
      <c r="S9656" s="8"/>
      <c r="T9656" s="8"/>
      <c r="U9656" s="8"/>
      <c r="V9656" s="8"/>
      <c r="W9656" s="8"/>
      <c r="X9656" s="8"/>
      <c r="Y9656" s="8"/>
    </row>
    <row r="9657" ht="14.25">
      <c r="B9657" s="8" t="s">
        <v>1583</v>
      </c>
      <c r="C9657" s="8" t="s">
        <v>42435</v>
      </c>
      <c r="D9657" s="8" t="s">
        <v>112</v>
      </c>
      <c r="E9657" s="8" t="s">
        <v>42244</v>
      </c>
      <c r="F9657" s="8" t="str">
        <f>IFERROR(__XLUDF.DUMMYFUNCTION("PROPER(REGEXREPLACE(D42,""[^A-Za-z]+ "",""""))"),"Wizzas")</f>
        <v>Wizzas</v>
      </c>
      <c r="G9657" s="8" t="s">
        <v>42436</v>
      </c>
      <c r="H9657" s="9">
        <v>3</v>
      </c>
      <c r="I9657" s="8" t="s">
        <v>39661</v>
      </c>
      <c r="J9657" s="8" t="str">
        <f>IFERROR(__XLUDF.DUMMYFUNCTION("VLOOKUP(H42,IMPORTRANGE(""https://docs.google.com/spreadsheets/d/1opm6ZNvGZ7KditA9TuJwrZ25eFLfTNIkrNnY6mhV5Eg"",""list!A1:C115""),3,TRUE)"),"le secteur des assurances")</f>
        <v xml:space="preserve">le secteur des assurances</v>
      </c>
      <c r="K9657" s="10" t="s">
        <v>42437</v>
      </c>
      <c r="L9657" s="10" t="s">
        <v>42247</v>
      </c>
      <c r="M9657" s="8" t="s">
        <v>39</v>
      </c>
      <c r="N9657" s="8" t="s">
        <v>29</v>
      </c>
      <c r="O9657" s="8" t="s">
        <v>9160</v>
      </c>
      <c r="P9657" s="8"/>
      <c r="Q9657" s="8" t="s">
        <v>42248</v>
      </c>
      <c r="R9657" s="8"/>
      <c r="S9657" s="8"/>
      <c r="T9657" s="8"/>
      <c r="U9657" s="8"/>
      <c r="V9657" s="8"/>
      <c r="W9657" s="8"/>
      <c r="X9657" s="8"/>
      <c r="Y9657" s="8"/>
    </row>
    <row r="9658" ht="14.25">
      <c r="B9658" s="18" t="s">
        <v>110</v>
      </c>
      <c r="C9658" s="18" t="s">
        <v>42438</v>
      </c>
      <c r="D9658" s="18" t="s">
        <v>460</v>
      </c>
      <c r="E9658" s="18" t="s">
        <v>40875</v>
      </c>
      <c r="F9658" s="8" t="str">
        <f>IFERROR(__XLUDF.DUMMYFUNCTION("PROPER(REGEXREPLACE(D43,""[^A-Za-z]+ "",""""))"),"Assurea")</f>
        <v>Assurea</v>
      </c>
      <c r="G9658" s="18" t="s">
        <v>42439</v>
      </c>
      <c r="H9658" s="18">
        <v>58</v>
      </c>
      <c r="I9658" s="18" t="s">
        <v>39661</v>
      </c>
      <c r="J9658" s="8" t="str">
        <f>IFERROR(__XLUDF.DUMMYFUNCTION("VLOOKUP(H43,IMPORTRANGE(""https://docs.google.com/spreadsheets/d/1opm6ZNvGZ7KditA9TuJwrZ25eFLfTNIkrNnY6mhV5Eg"",""list!A1:C115""),3,TRUE)"),"le secteur des assurances")</f>
        <v xml:space="preserve">le secteur des assurances</v>
      </c>
      <c r="K9658" s="5" t="s">
        <v>42440</v>
      </c>
      <c r="L9658" s="5" t="s">
        <v>40878</v>
      </c>
      <c r="M9658" s="18" t="s">
        <v>295</v>
      </c>
      <c r="N9658" s="18" t="s">
        <v>29</v>
      </c>
      <c r="O9658" s="18" t="s">
        <v>18350</v>
      </c>
      <c r="P9658" s="18" t="s">
        <v>29</v>
      </c>
      <c r="Q9658" s="6"/>
      <c r="R9658" s="6"/>
      <c r="S9658" s="6"/>
      <c r="T9658" s="6"/>
      <c r="U9658" s="6"/>
      <c r="V9658" s="6"/>
      <c r="W9658" s="6"/>
      <c r="X9658" s="6"/>
      <c r="Y9658" s="6"/>
    </row>
    <row r="9659" ht="14.25">
      <c r="B9659" s="18" t="s">
        <v>26247</v>
      </c>
      <c r="C9659" s="18" t="s">
        <v>42441</v>
      </c>
      <c r="D9659" s="18" t="s">
        <v>62</v>
      </c>
      <c r="E9659" s="18" t="s">
        <v>42442</v>
      </c>
      <c r="F9659" s="8" t="str">
        <f>IFERROR(__XLUDF.DUMMYFUNCTION("PROPER(REGEXREPLACE(D44,""[^A-Za-z]+ "",""""))"),"Phenomen")</f>
        <v>Phenomen</v>
      </c>
      <c r="G9659" s="18" t="s">
        <v>42443</v>
      </c>
      <c r="H9659" s="18">
        <v>22</v>
      </c>
      <c r="I9659" s="18" t="s">
        <v>39661</v>
      </c>
      <c r="J9659" s="8" t="str">
        <f>IFERROR(__XLUDF.DUMMYFUNCTION("VLOOKUP(H44,IMPORTRANGE(""https://docs.google.com/spreadsheets/d/1opm6ZNvGZ7KditA9TuJwrZ25eFLfTNIkrNnY6mhV5Eg"",""list!A1:C115""),3,TRUE)"),"le secteur des assurances")</f>
        <v xml:space="preserve">le secteur des assurances</v>
      </c>
      <c r="K9659" s="5" t="s">
        <v>42444</v>
      </c>
      <c r="L9659" s="5" t="s">
        <v>42445</v>
      </c>
      <c r="M9659" s="18" t="s">
        <v>39</v>
      </c>
      <c r="N9659" s="18" t="s">
        <v>29</v>
      </c>
      <c r="O9659" s="18" t="s">
        <v>42446</v>
      </c>
      <c r="P9659" s="18" t="s">
        <v>29</v>
      </c>
      <c r="Q9659" s="18" t="s">
        <v>42447</v>
      </c>
      <c r="R9659" s="6"/>
      <c r="S9659" s="6"/>
      <c r="T9659" s="6"/>
      <c r="U9659" s="6"/>
      <c r="V9659" s="6"/>
      <c r="W9659" s="6"/>
      <c r="X9659" s="6"/>
      <c r="Y9659" s="6"/>
    </row>
    <row r="9660" ht="14.25">
      <c r="B9660" s="8" t="s">
        <v>2508</v>
      </c>
      <c r="C9660" s="8" t="s">
        <v>36297</v>
      </c>
      <c r="D9660" s="8" t="s">
        <v>879</v>
      </c>
      <c r="E9660" s="8" t="s">
        <v>42448</v>
      </c>
      <c r="F9660" s="8" t="str">
        <f>IFERROR(__XLUDF.DUMMYFUNCTION("PROPER(REGEXREPLACE(D45,""[^A-Za-z]+ "",""""))"),"Kiassure")</f>
        <v>Kiassure</v>
      </c>
      <c r="G9660" s="8" t="s">
        <v>42449</v>
      </c>
      <c r="H9660" s="9">
        <v>13</v>
      </c>
      <c r="I9660" s="8" t="s">
        <v>39661</v>
      </c>
      <c r="J9660" s="8" t="str">
        <f>IFERROR(__XLUDF.DUMMYFUNCTION("VLOOKUP(H45,IMPORTRANGE(""https://docs.google.com/spreadsheets/d/1opm6ZNvGZ7KditA9TuJwrZ25eFLfTNIkrNnY6mhV5Eg"",""list!A1:C115""),3,TRUE)"),"le secteur des assurances")</f>
        <v xml:space="preserve">le secteur des assurances</v>
      </c>
      <c r="K9660" s="10" t="s">
        <v>42450</v>
      </c>
      <c r="L9660" s="10" t="s">
        <v>42451</v>
      </c>
      <c r="M9660" s="8"/>
      <c r="N9660" s="8" t="s">
        <v>29</v>
      </c>
      <c r="O9660" s="8"/>
      <c r="P9660" s="8"/>
      <c r="Q9660" s="8" t="s">
        <v>42452</v>
      </c>
      <c r="R9660" s="8"/>
      <c r="S9660" s="8"/>
      <c r="T9660" s="8"/>
      <c r="U9660" s="8"/>
      <c r="V9660" s="8"/>
      <c r="W9660" s="8"/>
      <c r="X9660" s="8"/>
      <c r="Y9660" s="8"/>
    </row>
    <row r="9661" ht="14.25">
      <c r="B9661" s="8" t="s">
        <v>2643</v>
      </c>
      <c r="C9661" s="8" t="s">
        <v>42453</v>
      </c>
      <c r="D9661" s="8" t="s">
        <v>9890</v>
      </c>
      <c r="E9661" s="8" t="s">
        <v>42454</v>
      </c>
      <c r="F9661" s="8" t="str">
        <f>IFERROR(__XLUDF.DUMMYFUNCTION("PROPER(REGEXREPLACE(D46,""[^A-Za-z]+ "",""""))"),"Le Courtier Généreux")</f>
        <v xml:space="preserve">Le Courtier Généreux</v>
      </c>
      <c r="G9661" s="8" t="s">
        <v>42455</v>
      </c>
      <c r="H9661" s="9">
        <v>2</v>
      </c>
      <c r="I9661" s="8" t="s">
        <v>39661</v>
      </c>
      <c r="J9661" s="8" t="str">
        <f>IFERROR(__XLUDF.DUMMYFUNCTION("VLOOKUP(H46,IMPORTRANGE(""https://docs.google.com/spreadsheets/d/1opm6ZNvGZ7KditA9TuJwrZ25eFLfTNIkrNnY6mhV5Eg"",""list!A1:C115""),3,TRUE)"),"le secteur des assurances")</f>
        <v xml:space="preserve">le secteur des assurances</v>
      </c>
      <c r="K9661" s="10" t="s">
        <v>42456</v>
      </c>
      <c r="L9661" s="10" t="s">
        <v>42457</v>
      </c>
      <c r="M9661" s="8" t="s">
        <v>39</v>
      </c>
      <c r="N9661" s="8" t="s">
        <v>29</v>
      </c>
      <c r="O9661" s="8" t="s">
        <v>9160</v>
      </c>
      <c r="P9661" s="8"/>
      <c r="Q9661" s="8"/>
      <c r="R9661" s="8"/>
      <c r="S9661" s="8"/>
      <c r="T9661" s="8"/>
      <c r="U9661" s="8"/>
      <c r="V9661" s="8"/>
      <c r="W9661" s="8"/>
      <c r="X9661" s="8"/>
      <c r="Y9661" s="8"/>
    </row>
    <row r="9662" ht="14.25">
      <c r="B9662" s="18" t="s">
        <v>7198</v>
      </c>
      <c r="C9662" s="18" t="s">
        <v>42458</v>
      </c>
      <c r="D9662" s="18" t="s">
        <v>172</v>
      </c>
      <c r="E9662" s="18" t="s">
        <v>42459</v>
      </c>
      <c r="F9662" s="8" t="str">
        <f>IFERROR(__XLUDF.DUMMYFUNCTION("PROPER(REGEXREPLACE(D47,""[^A-Za-z]+ "",""""))"),"Groupe Gritchen Assurances")</f>
        <v xml:space="preserve">Groupe Gritchen Assurances</v>
      </c>
      <c r="G9662" s="18" t="s">
        <v>42460</v>
      </c>
      <c r="H9662" s="18">
        <v>78</v>
      </c>
      <c r="I9662" s="18" t="s">
        <v>39661</v>
      </c>
      <c r="J9662" s="8" t="str">
        <f>IFERROR(__XLUDF.DUMMYFUNCTION("VLOOKUP(H47,IMPORTRANGE(""https://docs.google.com/spreadsheets/d/1opm6ZNvGZ7KditA9TuJwrZ25eFLfTNIkrNnY6mhV5Eg"",""list!A1:C115""),3,TRUE)"),"le secteur des assurances")</f>
        <v xml:space="preserve">le secteur des assurances</v>
      </c>
      <c r="K9662" s="5" t="s">
        <v>42461</v>
      </c>
      <c r="L9662" s="5" t="s">
        <v>42462</v>
      </c>
      <c r="M9662" s="18" t="s">
        <v>39</v>
      </c>
      <c r="N9662" s="18" t="s">
        <v>29</v>
      </c>
      <c r="O9662" s="18" t="s">
        <v>67</v>
      </c>
      <c r="P9662" s="18" t="s">
        <v>29</v>
      </c>
      <c r="Q9662" s="6"/>
      <c r="R9662" s="6"/>
      <c r="S9662" s="6"/>
      <c r="T9662" s="6"/>
      <c r="U9662" s="6"/>
      <c r="V9662" s="6"/>
      <c r="W9662" s="6"/>
      <c r="X9662" s="6"/>
      <c r="Y9662" s="6"/>
    </row>
    <row r="9663" ht="14.25">
      <c r="B9663" s="8" t="s">
        <v>622</v>
      </c>
      <c r="C9663" s="8" t="s">
        <v>42463</v>
      </c>
      <c r="D9663" s="8" t="s">
        <v>112</v>
      </c>
      <c r="E9663" s="8" t="s">
        <v>42464</v>
      </c>
      <c r="F9663" s="8" t="str">
        <f>IFERROR(__XLUDF.DUMMYFUNCTION("PROPER(REGEXREPLACE(D48,""[^A-Za-z]+ "",""""))"),"Yogassur")</f>
        <v>Yogassur</v>
      </c>
      <c r="G9663" s="8" t="s">
        <v>42465</v>
      </c>
      <c r="H9663" s="9">
        <v>3</v>
      </c>
      <c r="I9663" s="8" t="s">
        <v>39661</v>
      </c>
      <c r="J9663" s="8" t="str">
        <f>IFERROR(__XLUDF.DUMMYFUNCTION("VLOOKUP(H48,IMPORTRANGE(""https://docs.google.com/spreadsheets/d/1opm6ZNvGZ7KditA9TuJwrZ25eFLfTNIkrNnY6mhV5Eg"",""list!A1:C115""),3,TRUE)"),"le secteur des assurances")</f>
        <v xml:space="preserve">le secteur des assurances</v>
      </c>
      <c r="K9663" s="10" t="s">
        <v>42466</v>
      </c>
      <c r="L9663" s="10" t="s">
        <v>42467</v>
      </c>
      <c r="M9663" s="8" t="s">
        <v>42468</v>
      </c>
      <c r="N9663" s="8" t="s">
        <v>29</v>
      </c>
      <c r="O9663" s="8" t="s">
        <v>9193</v>
      </c>
      <c r="P9663" s="8"/>
      <c r="Q9663" s="8" t="s">
        <v>42469</v>
      </c>
      <c r="R9663" s="8"/>
      <c r="S9663" s="8"/>
      <c r="T9663" s="8"/>
      <c r="U9663" s="8"/>
      <c r="V9663" s="8"/>
      <c r="W9663" s="8"/>
      <c r="X9663" s="8"/>
      <c r="Y9663" s="8"/>
    </row>
    <row r="9664" ht="14.25">
      <c r="B9664" s="8" t="s">
        <v>85</v>
      </c>
      <c r="C9664" s="8" t="s">
        <v>42470</v>
      </c>
      <c r="D9664" s="8" t="s">
        <v>42471</v>
      </c>
      <c r="E9664" s="8" t="s">
        <v>42472</v>
      </c>
      <c r="F9664" s="8" t="str">
        <f>IFERROR(__XLUDF.DUMMYFUNCTION("PROPER(REGEXREPLACE(D49,""[^A-Za-z]+ "",""""))"),"Groupe Cerap")</f>
        <v xml:space="preserve">Groupe Cerap</v>
      </c>
      <c r="G9664" s="8" t="s">
        <v>42473</v>
      </c>
      <c r="H9664" s="9">
        <v>16</v>
      </c>
      <c r="I9664" s="8" t="s">
        <v>39661</v>
      </c>
      <c r="J9664" s="8" t="str">
        <f>IFERROR(__XLUDF.DUMMYFUNCTION("VLOOKUP(H49,IMPORTRANGE(""https://docs.google.com/spreadsheets/d/1opm6ZNvGZ7KditA9TuJwrZ25eFLfTNIkrNnY6mhV5Eg"",""list!A1:C115""),3,TRUE)"),"le secteur des assurances")</f>
        <v xml:space="preserve">le secteur des assurances</v>
      </c>
      <c r="K9664" s="10" t="s">
        <v>42474</v>
      </c>
      <c r="L9664" s="10" t="s">
        <v>42475</v>
      </c>
      <c r="M9664" s="8" t="s">
        <v>1826</v>
      </c>
      <c r="N9664" s="8" t="s">
        <v>29</v>
      </c>
      <c r="O9664" s="8" t="s">
        <v>9227</v>
      </c>
      <c r="P9664" s="8"/>
      <c r="Q9664" s="8"/>
      <c r="R9664" s="8"/>
      <c r="S9664" s="8"/>
      <c r="T9664" s="8"/>
      <c r="U9664" s="8"/>
      <c r="V9664" s="8"/>
      <c r="W9664" s="8"/>
      <c r="X9664" s="8"/>
      <c r="Y9664" s="8"/>
    </row>
    <row r="9665" ht="14.25">
      <c r="B9665" s="8" t="s">
        <v>42476</v>
      </c>
      <c r="C9665" s="8" t="s">
        <v>42477</v>
      </c>
      <c r="D9665" s="8" t="s">
        <v>2636</v>
      </c>
      <c r="E9665" s="8" t="s">
        <v>42478</v>
      </c>
      <c r="F9665" s="8" t="str">
        <f>IFERROR(__XLUDF.DUMMYFUNCTION("PROPER(REGEXREPLACE(D50,""[^A-Za-z]+ "",""""))"),"Avia Broking")</f>
        <v xml:space="preserve">Avia Broking</v>
      </c>
      <c r="G9665" s="8" t="s">
        <v>42479</v>
      </c>
      <c r="H9665" s="8"/>
      <c r="I9665" s="8"/>
      <c r="J9665" s="8" t="s">
        <v>42267</v>
      </c>
      <c r="K9665" s="10" t="s">
        <v>42480</v>
      </c>
      <c r="L9665" s="10" t="s">
        <v>42481</v>
      </c>
      <c r="M9665" s="8" t="s">
        <v>39</v>
      </c>
      <c r="N9665" s="8" t="s">
        <v>29</v>
      </c>
      <c r="O9665" s="8" t="s">
        <v>9160</v>
      </c>
      <c r="P9665" s="8"/>
      <c r="Q9665" s="8"/>
      <c r="R9665" s="8"/>
      <c r="S9665" s="8"/>
      <c r="T9665" s="8"/>
      <c r="U9665" s="8"/>
      <c r="V9665" s="8"/>
      <c r="W9665" s="8"/>
      <c r="X9665" s="8"/>
      <c r="Y9665" s="8"/>
    </row>
    <row r="9666" ht="14.25">
      <c r="B9666" s="8" t="s">
        <v>20</v>
      </c>
      <c r="C9666" s="8" t="s">
        <v>42482</v>
      </c>
      <c r="D9666" s="8" t="s">
        <v>112</v>
      </c>
      <c r="E9666" s="8" t="s">
        <v>42483</v>
      </c>
      <c r="F9666" s="8" t="str">
        <f>IFERROR(__XLUDF.DUMMYFUNCTION("PROPER(REGEXREPLACE(D51,""[^A-Za-z]+ "",""""))"),"Hbjo Assurances Conseils ")</f>
        <v xml:space="preserve">Hbjo Assurances Conseils </v>
      </c>
      <c r="G9666" s="8" t="s">
        <v>42484</v>
      </c>
      <c r="H9666" s="9">
        <v>5</v>
      </c>
      <c r="I9666" s="8" t="s">
        <v>39661</v>
      </c>
      <c r="J9666" s="8" t="str">
        <f>IFERROR(__XLUDF.DUMMYFUNCTION("VLOOKUP(H51,IMPORTRANGE(""https://docs.google.com/spreadsheets/d/1opm6ZNvGZ7KditA9TuJwrZ25eFLfTNIkrNnY6mhV5Eg"",""list!A1:C115""),3,TRUE)"),"le secteur des assurances")</f>
        <v xml:space="preserve">le secteur des assurances</v>
      </c>
      <c r="K9666" s="10" t="s">
        <v>42485</v>
      </c>
      <c r="L9666" s="10" t="s">
        <v>42486</v>
      </c>
      <c r="M9666" s="8" t="s">
        <v>2903</v>
      </c>
      <c r="N9666" s="8" t="s">
        <v>29</v>
      </c>
      <c r="O9666" s="8" t="s">
        <v>9193</v>
      </c>
      <c r="P9666" s="8"/>
      <c r="Q9666" s="8" t="s">
        <v>42487</v>
      </c>
      <c r="R9666" s="8"/>
      <c r="S9666" s="8"/>
      <c r="T9666" s="8"/>
      <c r="U9666" s="8"/>
      <c r="V9666" s="8"/>
      <c r="W9666" s="8"/>
      <c r="X9666" s="8"/>
      <c r="Y9666" s="8"/>
    </row>
    <row r="9667" ht="14.25">
      <c r="B9667" s="8" t="s">
        <v>52</v>
      </c>
      <c r="C9667" s="8" t="s">
        <v>42488</v>
      </c>
      <c r="D9667" s="8" t="s">
        <v>112</v>
      </c>
      <c r="E9667" s="8" t="s">
        <v>42489</v>
      </c>
      <c r="F9667" s="8" t="str">
        <f>IFERROR(__XLUDF.DUMMYFUNCTION("PROPER(REGEXREPLACE(D52,""[^A-Za-z]+ "",""""))"),"Bify")</f>
        <v>Bify</v>
      </c>
      <c r="G9667" s="8" t="s">
        <v>42490</v>
      </c>
      <c r="H9667" s="9">
        <v>2</v>
      </c>
      <c r="I9667" s="8" t="s">
        <v>39661</v>
      </c>
      <c r="J9667" s="8" t="str">
        <f>IFERROR(__XLUDF.DUMMYFUNCTION("VLOOKUP(H52,IMPORTRANGE(""https://docs.google.com/spreadsheets/d/1opm6ZNvGZ7KditA9TuJwrZ25eFLfTNIkrNnY6mhV5Eg"",""list!A1:C115""),3,TRUE)"),"le secteur des assurances")</f>
        <v xml:space="preserve">le secteur des assurances</v>
      </c>
      <c r="K9667" s="10" t="s">
        <v>42491</v>
      </c>
      <c r="L9667" s="10" t="s">
        <v>42492</v>
      </c>
      <c r="M9667" s="8" t="s">
        <v>39</v>
      </c>
      <c r="N9667" s="8" t="s">
        <v>29</v>
      </c>
      <c r="O9667" s="8" t="s">
        <v>9160</v>
      </c>
      <c r="P9667" s="8"/>
      <c r="Q9667" s="8" t="s">
        <v>42493</v>
      </c>
      <c r="R9667" s="8"/>
      <c r="S9667" s="8"/>
      <c r="T9667" s="8"/>
      <c r="U9667" s="8"/>
      <c r="V9667" s="8"/>
      <c r="W9667" s="8"/>
      <c r="X9667" s="8"/>
      <c r="Y9667" s="8"/>
    </row>
    <row r="9668" ht="14.25">
      <c r="B9668" s="18" t="s">
        <v>6356</v>
      </c>
      <c r="C9668" s="18" t="s">
        <v>12063</v>
      </c>
      <c r="D9668" s="18" t="s">
        <v>172</v>
      </c>
      <c r="E9668" s="18" t="s">
        <v>42494</v>
      </c>
      <c r="F9668" s="8" t="str">
        <f>IFERROR(__XLUDF.DUMMYFUNCTION("PROPER(REGEXREPLACE(D53,""[^A-Za-z]+ "",""""))"),"Cgpa")</f>
        <v>Cgpa</v>
      </c>
      <c r="G9668" s="18" t="s">
        <v>42495</v>
      </c>
      <c r="H9668" s="18">
        <v>80</v>
      </c>
      <c r="I9668" s="18" t="s">
        <v>26856</v>
      </c>
      <c r="J9668" s="8" t="str">
        <f>IFERROR(__XLUDF.DUMMYFUNCTION("VLOOKUP(H53,IMPORTRANGE(""https://docs.google.com/spreadsheets/d/1opm6ZNvGZ7KditA9TuJwrZ25eFLfTNIkrNnY6mhV5Eg"",""list!A1:C115""),3,TRUE)"),"le secteur de l'enseignement supérieur")</f>
        <v xml:space="preserve">le secteur de l'enseignement supérieur</v>
      </c>
      <c r="K9668" s="5" t="s">
        <v>42496</v>
      </c>
      <c r="L9668" s="5" t="s">
        <v>42497</v>
      </c>
      <c r="M9668" s="18" t="s">
        <v>39</v>
      </c>
      <c r="N9668" s="18" t="s">
        <v>29</v>
      </c>
      <c r="O9668" s="18" t="s">
        <v>42498</v>
      </c>
      <c r="P9668" s="18" t="s">
        <v>29</v>
      </c>
      <c r="Q9668" s="6"/>
      <c r="R9668" s="6"/>
      <c r="S9668" s="6"/>
      <c r="T9668" s="6"/>
      <c r="U9668" s="6"/>
      <c r="V9668" s="6"/>
      <c r="W9668" s="6"/>
      <c r="X9668" s="6"/>
      <c r="Y9668" s="6"/>
    </row>
    <row r="9669" ht="14.25">
      <c r="B9669" s="8" t="s">
        <v>42499</v>
      </c>
      <c r="C9669" s="8" t="s">
        <v>42500</v>
      </c>
      <c r="D9669" s="8" t="s">
        <v>42501</v>
      </c>
      <c r="E9669" s="8" t="s">
        <v>42502</v>
      </c>
      <c r="F9669" s="8" t="str">
        <f>IFERROR(__XLUDF.DUMMYFUNCTION("PROPER(REGEXREPLACE(D54,""[^A-Za-z]+ "",""""))"),"Asm Assurance")</f>
        <v xml:space="preserve">Asm Assurance</v>
      </c>
      <c r="G9669" s="8" t="s">
        <v>42503</v>
      </c>
      <c r="H9669" s="9">
        <v>1</v>
      </c>
      <c r="I9669" s="8" t="s">
        <v>39661</v>
      </c>
      <c r="J9669" s="8" t="str">
        <f>IFERROR(__XLUDF.DUMMYFUNCTION("VLOOKUP(H54,IMPORTRANGE(""https://docs.google.com/spreadsheets/d/1opm6ZNvGZ7KditA9TuJwrZ25eFLfTNIkrNnY6mhV5Eg"",""list!A1:C115""),3,TRUE)"),"le secteur des assurances")</f>
        <v xml:space="preserve">le secteur des assurances</v>
      </c>
      <c r="K9669" s="10" t="s">
        <v>42504</v>
      </c>
      <c r="L9669" s="10" t="s">
        <v>42505</v>
      </c>
      <c r="M9669" s="8"/>
      <c r="N9669" s="8" t="s">
        <v>29</v>
      </c>
      <c r="O9669" s="8"/>
      <c r="P9669" s="8"/>
      <c r="Q9669" s="8"/>
      <c r="R9669" s="8"/>
      <c r="S9669" s="8"/>
      <c r="T9669" s="8"/>
      <c r="U9669" s="8"/>
      <c r="V9669" s="8"/>
      <c r="W9669" s="8"/>
      <c r="X9669" s="8"/>
      <c r="Y9669" s="8"/>
    </row>
    <row r="9670" ht="14.25">
      <c r="B9670" s="8" t="s">
        <v>3019</v>
      </c>
      <c r="C9670" s="8" t="s">
        <v>42506</v>
      </c>
      <c r="D9670" s="8" t="s">
        <v>112</v>
      </c>
      <c r="E9670" s="8" t="s">
        <v>42507</v>
      </c>
      <c r="F9670" s="8" t="str">
        <f>IFERROR(__XLUDF.DUMMYFUNCTION("PROPER(REGEXREPLACE(D55,""[^A-Za-z]+ "",""""))"),"Opega")</f>
        <v>Opega</v>
      </c>
      <c r="G9670" s="8" t="s">
        <v>42508</v>
      </c>
      <c r="H9670" s="9">
        <v>8</v>
      </c>
      <c r="I9670" s="8" t="s">
        <v>39661</v>
      </c>
      <c r="J9670" s="8" t="str">
        <f>IFERROR(__XLUDF.DUMMYFUNCTION("VLOOKUP(H55,IMPORTRANGE(""https://docs.google.com/spreadsheets/d/1opm6ZNvGZ7KditA9TuJwrZ25eFLfTNIkrNnY6mhV5Eg"",""list!A1:C115""),3,TRUE)"),"le secteur des assurances")</f>
        <v xml:space="preserve">le secteur des assurances</v>
      </c>
      <c r="K9670" s="10" t="s">
        <v>42509</v>
      </c>
      <c r="L9670" s="10" t="s">
        <v>42510</v>
      </c>
      <c r="M9670" s="8" t="s">
        <v>39</v>
      </c>
      <c r="N9670" s="8" t="s">
        <v>29</v>
      </c>
      <c r="O9670" s="8" t="s">
        <v>9160</v>
      </c>
      <c r="P9670" s="8"/>
      <c r="Q9670" s="8" t="s">
        <v>42511</v>
      </c>
      <c r="R9670" s="8"/>
      <c r="S9670" s="8"/>
      <c r="T9670" s="8"/>
      <c r="U9670" s="8"/>
      <c r="V9670" s="8"/>
      <c r="W9670" s="8"/>
      <c r="X9670" s="8"/>
      <c r="Y9670" s="8"/>
    </row>
    <row r="9671" ht="14.25">
      <c r="B9671" s="8" t="s">
        <v>442</v>
      </c>
      <c r="C9671" s="8" t="s">
        <v>42512</v>
      </c>
      <c r="D9671" s="8" t="s">
        <v>1130</v>
      </c>
      <c r="E9671" s="8" t="s">
        <v>42513</v>
      </c>
      <c r="F9671" s="8" t="str">
        <f>IFERROR(__XLUDF.DUMMYFUNCTION("PROPER(REGEXREPLACE(D56,""[^A-Za-z]+ "",""""))"),"Efci")</f>
        <v>Efci</v>
      </c>
      <c r="G9671" s="8" t="s">
        <v>42514</v>
      </c>
      <c r="H9671" s="9">
        <v>1</v>
      </c>
      <c r="I9671" s="8" t="s">
        <v>39661</v>
      </c>
      <c r="J9671" s="8" t="str">
        <f>IFERROR(__XLUDF.DUMMYFUNCTION("VLOOKUP(H56,IMPORTRANGE(""https://docs.google.com/spreadsheets/d/1opm6ZNvGZ7KditA9TuJwrZ25eFLfTNIkrNnY6mhV5Eg"",""list!A1:C115""),3,TRUE)"),"le secteur des assurances")</f>
        <v xml:space="preserve">le secteur des assurances</v>
      </c>
      <c r="K9671" s="10" t="s">
        <v>42515</v>
      </c>
      <c r="L9671" s="10" t="s">
        <v>42516</v>
      </c>
      <c r="M9671" s="8" t="s">
        <v>39</v>
      </c>
      <c r="N9671" s="8" t="s">
        <v>29</v>
      </c>
      <c r="O9671" s="8" t="s">
        <v>9160</v>
      </c>
      <c r="P9671" s="8"/>
      <c r="Q9671" s="8"/>
      <c r="R9671" s="8"/>
      <c r="S9671" s="8"/>
      <c r="T9671" s="8"/>
      <c r="U9671" s="8"/>
      <c r="V9671" s="8"/>
      <c r="W9671" s="8"/>
      <c r="X9671" s="8"/>
      <c r="Y9671" s="8"/>
    </row>
    <row r="9672" ht="14.25">
      <c r="B9672" s="8" t="s">
        <v>2508</v>
      </c>
      <c r="C9672" s="8" t="s">
        <v>42517</v>
      </c>
      <c r="D9672" s="8" t="s">
        <v>172</v>
      </c>
      <c r="E9672" s="8" t="s">
        <v>42518</v>
      </c>
      <c r="F9672" s="8" t="str">
        <f>IFERROR(__XLUDF.DUMMYFUNCTION("PROPER(REGEXREPLACE(D57,""[^A-Za-z]+ "",""""))"),"Optim Assurance")</f>
        <v xml:space="preserve">Optim Assurance</v>
      </c>
      <c r="G9672" s="8" t="s">
        <v>42519</v>
      </c>
      <c r="H9672" s="9">
        <v>3</v>
      </c>
      <c r="I9672" s="8" t="s">
        <v>39661</v>
      </c>
      <c r="J9672" s="8" t="str">
        <f>IFERROR(__XLUDF.DUMMYFUNCTION("VLOOKUP(H57,IMPORTRANGE(""https://docs.google.com/spreadsheets/d/1opm6ZNvGZ7KditA9TuJwrZ25eFLfTNIkrNnY6mhV5Eg"",""list!A1:C115""),3,TRUE)"),"le secteur des assurances")</f>
        <v xml:space="preserve">le secteur des assurances</v>
      </c>
      <c r="K9672" s="10" t="s">
        <v>42520</v>
      </c>
      <c r="L9672" s="10" t="s">
        <v>42521</v>
      </c>
      <c r="M9672" s="8" t="s">
        <v>13351</v>
      </c>
      <c r="N9672" s="8" t="s">
        <v>29</v>
      </c>
      <c r="O9672" s="8" t="s">
        <v>9193</v>
      </c>
      <c r="P9672" s="8"/>
      <c r="Q9672" s="8"/>
      <c r="R9672" s="8"/>
      <c r="S9672" s="8"/>
      <c r="T9672" s="8"/>
      <c r="U9672" s="8"/>
      <c r="V9672" s="8"/>
      <c r="W9672" s="8"/>
      <c r="X9672" s="8"/>
      <c r="Y9672" s="8"/>
    </row>
    <row r="9673" ht="14.25">
      <c r="B9673" s="8" t="s">
        <v>42522</v>
      </c>
      <c r="C9673" s="8" t="s">
        <v>42523</v>
      </c>
      <c r="D9673" s="8" t="s">
        <v>2636</v>
      </c>
      <c r="E9673" s="8" t="s">
        <v>42524</v>
      </c>
      <c r="F9673" s="8" t="str">
        <f>IFERROR(__XLUDF.DUMMYFUNCTION("PROPER(REGEXREPLACE(D58,""[^A-Za-z]+ "",""""))"),"Cabinet A.R.T.")</f>
        <v xml:space="preserve">Cabinet A.R.T.</v>
      </c>
      <c r="G9673" s="8" t="s">
        <v>42525</v>
      </c>
      <c r="H9673" s="9">
        <v>3</v>
      </c>
      <c r="I9673" s="8" t="s">
        <v>39661</v>
      </c>
      <c r="J9673" s="8" t="str">
        <f>IFERROR(__XLUDF.DUMMYFUNCTION("VLOOKUP(H58,IMPORTRANGE(""https://docs.google.com/spreadsheets/d/1opm6ZNvGZ7KditA9TuJwrZ25eFLfTNIkrNnY6mhV5Eg"",""list!A1:C115""),3,TRUE)"),"le secteur des assurances")</f>
        <v xml:space="preserve">le secteur des assurances</v>
      </c>
      <c r="K9673" s="10" t="s">
        <v>42526</v>
      </c>
      <c r="L9673" s="10" t="s">
        <v>42527</v>
      </c>
      <c r="M9673" s="8" t="s">
        <v>39</v>
      </c>
      <c r="N9673" s="8" t="s">
        <v>29</v>
      </c>
      <c r="O9673" s="8" t="s">
        <v>9160</v>
      </c>
      <c r="P9673" s="8"/>
      <c r="Q9673" s="8"/>
      <c r="R9673" s="8"/>
      <c r="S9673" s="8"/>
      <c r="T9673" s="8"/>
      <c r="U9673" s="8"/>
      <c r="V9673" s="8"/>
      <c r="W9673" s="8"/>
      <c r="X9673" s="8"/>
      <c r="Y9673" s="8"/>
    </row>
    <row r="9674" ht="14.25">
      <c r="B9674" s="8" t="s">
        <v>7908</v>
      </c>
      <c r="C9674" s="8" t="s">
        <v>6981</v>
      </c>
      <c r="D9674" s="8" t="s">
        <v>172</v>
      </c>
      <c r="E9674" s="8" t="s">
        <v>42528</v>
      </c>
      <c r="F9674" s="8" t="str">
        <f>IFERROR(__XLUDF.DUMMYFUNCTION("PROPER(REGEXREPLACE(D59,""[^A-Za-z]+ "",""""))"),"Ciprêt Courtage")</f>
        <v xml:space="preserve">Ciprêt Courtage</v>
      </c>
      <c r="G9674" s="8" t="s">
        <v>42529</v>
      </c>
      <c r="H9674" s="9">
        <v>4</v>
      </c>
      <c r="I9674" s="8" t="s">
        <v>2629</v>
      </c>
      <c r="J9674" s="8" t="str">
        <f>IFERROR(__XLUDF.DUMMYFUNCTION("VLOOKUP(H59,IMPORTRANGE(""https://docs.google.com/spreadsheets/d/1opm6ZNvGZ7KditA9TuJwrZ25eFLfTNIkrNnY6mhV5Eg"",""list!A1:C115""),3,TRUE)"),"le secteur des services financiers")</f>
        <v xml:space="preserve">le secteur des services financiers</v>
      </c>
      <c r="K9674" s="10" t="s">
        <v>42530</v>
      </c>
      <c r="L9674" s="10" t="s">
        <v>42531</v>
      </c>
      <c r="M9674" s="8" t="s">
        <v>39</v>
      </c>
      <c r="N9674" s="8" t="s">
        <v>29</v>
      </c>
      <c r="O9674" s="8" t="s">
        <v>9160</v>
      </c>
      <c r="P9674" s="8"/>
      <c r="Q9674" s="8" t="s">
        <v>42532</v>
      </c>
      <c r="R9674" s="8"/>
      <c r="S9674" s="8"/>
      <c r="T9674" s="8"/>
      <c r="U9674" s="8"/>
      <c r="V9674" s="8"/>
      <c r="W9674" s="8"/>
      <c r="X9674" s="8"/>
      <c r="Y9674" s="8"/>
    </row>
    <row r="9675" ht="14.25">
      <c r="B9675" s="8" t="s">
        <v>42533</v>
      </c>
      <c r="C9675" s="8" t="s">
        <v>42534</v>
      </c>
      <c r="D9675" s="8" t="s">
        <v>12240</v>
      </c>
      <c r="E9675" s="8" t="s">
        <v>42535</v>
      </c>
      <c r="F9675" s="8" t="str">
        <f>IFERROR(__XLUDF.DUMMYFUNCTION("PROPER(REGEXREPLACE(D60,""[^A-Za-z]+ "",""""))"),"Cabinet Vital")</f>
        <v xml:space="preserve">Cabinet Vital</v>
      </c>
      <c r="G9675" s="8" t="s">
        <v>42536</v>
      </c>
      <c r="H9675" s="9">
        <v>8</v>
      </c>
      <c r="I9675" s="8" t="s">
        <v>39661</v>
      </c>
      <c r="J9675" s="8" t="str">
        <f>IFERROR(__XLUDF.DUMMYFUNCTION("VLOOKUP(H60,IMPORTRANGE(""https://docs.google.com/spreadsheets/d/1opm6ZNvGZ7KditA9TuJwrZ25eFLfTNIkrNnY6mhV5Eg"",""list!A1:C115""),3,TRUE)"),"le secteur des assurances")</f>
        <v xml:space="preserve">le secteur des assurances</v>
      </c>
      <c r="K9675" s="10" t="s">
        <v>42537</v>
      </c>
      <c r="L9675" s="8"/>
      <c r="M9675" s="8" t="s">
        <v>39</v>
      </c>
      <c r="N9675" s="8" t="s">
        <v>29</v>
      </c>
      <c r="O9675" s="8" t="s">
        <v>9160</v>
      </c>
      <c r="P9675" s="8"/>
      <c r="Q9675" s="8"/>
      <c r="R9675" s="8"/>
      <c r="S9675" s="8"/>
      <c r="T9675" s="8"/>
      <c r="U9675" s="8"/>
      <c r="V9675" s="8"/>
      <c r="W9675" s="8"/>
      <c r="X9675" s="8"/>
      <c r="Y9675" s="8"/>
    </row>
    <row r="9676" ht="14.25">
      <c r="B9676" s="8" t="s">
        <v>76</v>
      </c>
      <c r="C9676" s="8" t="s">
        <v>42538</v>
      </c>
      <c r="D9676" s="8" t="s">
        <v>172</v>
      </c>
      <c r="E9676" s="8" t="s">
        <v>42539</v>
      </c>
      <c r="F9676" s="8" t="str">
        <f>IFERROR(__XLUDF.DUMMYFUNCTION("PROPER(REGEXREPLACE(D61,""[^A-Za-z]+ "",""""))"),"Cmam")</f>
        <v>Cmam</v>
      </c>
      <c r="G9676" s="8" t="s">
        <v>42540</v>
      </c>
      <c r="H9676" s="9">
        <v>23</v>
      </c>
      <c r="I9676" s="8" t="s">
        <v>39661</v>
      </c>
      <c r="J9676" s="8" t="str">
        <f>IFERROR(__XLUDF.DUMMYFUNCTION("VLOOKUP(H61,IMPORTRANGE(""https://docs.google.com/spreadsheets/d/1opm6ZNvGZ7KditA9TuJwrZ25eFLfTNIkrNnY6mhV5Eg"",""list!A1:C115""),3,TRUE)"),"le secteur des assurances")</f>
        <v xml:space="preserve">le secteur des assurances</v>
      </c>
      <c r="K9676" s="10" t="s">
        <v>42541</v>
      </c>
      <c r="L9676" s="10" t="s">
        <v>42542</v>
      </c>
      <c r="M9676" s="8" t="s">
        <v>42543</v>
      </c>
      <c r="N9676" s="8" t="s">
        <v>29</v>
      </c>
      <c r="O9676" s="8" t="s">
        <v>9215</v>
      </c>
      <c r="P9676" s="8"/>
      <c r="Q9676" s="8"/>
      <c r="R9676" s="8"/>
      <c r="S9676" s="8"/>
      <c r="T9676" s="8"/>
      <c r="U9676" s="8"/>
      <c r="V9676" s="8"/>
      <c r="W9676" s="8"/>
      <c r="X9676" s="8"/>
      <c r="Y9676" s="8"/>
    </row>
    <row r="9677" ht="14.25">
      <c r="B9677" s="8" t="s">
        <v>20</v>
      </c>
      <c r="C9677" s="8" t="s">
        <v>42544</v>
      </c>
      <c r="D9677" s="8" t="s">
        <v>7155</v>
      </c>
      <c r="E9677" s="8" t="s">
        <v>42545</v>
      </c>
      <c r="F9677" s="8" t="str">
        <f>IFERROR(__XLUDF.DUMMYFUNCTION("PROPER(REGEXREPLACE(D62,""[^A-Za-z]+ "",""""))"),"Onaoptimisons Notre Avenir")</f>
        <v xml:space="preserve">Onaoptimisons Notre Avenir</v>
      </c>
      <c r="G9677" s="8" t="s">
        <v>42546</v>
      </c>
      <c r="H9677" s="9">
        <v>4</v>
      </c>
      <c r="I9677" s="8" t="s">
        <v>39661</v>
      </c>
      <c r="J9677" s="8" t="str">
        <f>IFERROR(__XLUDF.DUMMYFUNCTION("VLOOKUP(H62,IMPORTRANGE(""https://docs.google.com/spreadsheets/d/1opm6ZNvGZ7KditA9TuJwrZ25eFLfTNIkrNnY6mhV5Eg"",""list!A1:C115""),3,TRUE)"),"le secteur des assurances")</f>
        <v xml:space="preserve">le secteur des assurances</v>
      </c>
      <c r="K9677" s="10" t="s">
        <v>42547</v>
      </c>
      <c r="L9677" s="10" t="s">
        <v>42548</v>
      </c>
      <c r="M9677" s="8" t="s">
        <v>10088</v>
      </c>
      <c r="N9677" s="8" t="s">
        <v>29</v>
      </c>
      <c r="O9677" s="8" t="s">
        <v>9251</v>
      </c>
      <c r="P9677" s="8"/>
      <c r="Q9677" s="8" t="s">
        <v>42549</v>
      </c>
      <c r="R9677" s="8"/>
      <c r="S9677" s="8"/>
      <c r="T9677" s="8"/>
      <c r="U9677" s="8"/>
      <c r="V9677" s="8"/>
      <c r="W9677" s="8"/>
      <c r="X9677" s="8"/>
      <c r="Y9677" s="8"/>
    </row>
    <row r="9678" ht="14.25">
      <c r="B9678" s="8" t="s">
        <v>3019</v>
      </c>
      <c r="C9678" s="8" t="s">
        <v>4132</v>
      </c>
      <c r="D9678" s="8" t="s">
        <v>42550</v>
      </c>
      <c r="E9678" s="8" t="s">
        <v>42551</v>
      </c>
      <c r="F9678" s="8" t="str">
        <f>IFERROR(__XLUDF.DUMMYFUNCTION("PROPER(REGEXREPLACE(D63,""[^A-Za-z]+ "",""""))"),"Med'Expertises")</f>
        <v>Med'Expertises</v>
      </c>
      <c r="G9678" s="8" t="s">
        <v>42552</v>
      </c>
      <c r="H9678" s="8"/>
      <c r="I9678" s="8"/>
      <c r="J9678" s="8" t="s">
        <v>42267</v>
      </c>
      <c r="K9678" s="10" t="s">
        <v>42553</v>
      </c>
      <c r="L9678" s="10" t="s">
        <v>42554</v>
      </c>
      <c r="M9678" s="8" t="s">
        <v>15126</v>
      </c>
      <c r="N9678" s="8" t="s">
        <v>29</v>
      </c>
      <c r="O9678" s="8" t="s">
        <v>9460</v>
      </c>
      <c r="P9678" s="8"/>
      <c r="Q9678" s="8"/>
      <c r="R9678" s="8"/>
      <c r="S9678" s="8"/>
      <c r="T9678" s="8"/>
      <c r="U9678" s="8"/>
      <c r="V9678" s="8"/>
      <c r="W9678" s="8"/>
      <c r="X9678" s="8"/>
      <c r="Y9678" s="8"/>
    </row>
    <row r="9679" ht="14.25">
      <c r="B9679" s="8" t="s">
        <v>8049</v>
      </c>
      <c r="C9679" s="8" t="s">
        <v>6154</v>
      </c>
      <c r="D9679" s="8" t="s">
        <v>112</v>
      </c>
      <c r="E9679" s="8" t="s">
        <v>39735</v>
      </c>
      <c r="F9679" s="8" t="str">
        <f>IFERROR(__XLUDF.DUMMYFUNCTION("PROPER(REGEXREPLACE(D64,""[^A-Za-z]+ "",""""))"),"Assurances Coste-Fermon")</f>
        <v xml:space="preserve">Assurances Coste-Fermon</v>
      </c>
      <c r="G9679" s="8" t="s">
        <v>42555</v>
      </c>
      <c r="H9679" s="9">
        <v>36</v>
      </c>
      <c r="I9679" s="8" t="s">
        <v>39661</v>
      </c>
      <c r="J9679" s="8" t="str">
        <f>IFERROR(__XLUDF.DUMMYFUNCTION("VLOOKUP(H64,IMPORTRANGE(""https://docs.google.com/spreadsheets/d/1opm6ZNvGZ7KditA9TuJwrZ25eFLfTNIkrNnY6mhV5Eg"",""list!A1:C115""),3,TRUE)"),"le secteur des assurances")</f>
        <v xml:space="preserve">le secteur des assurances</v>
      </c>
      <c r="K9679" s="10" t="s">
        <v>42556</v>
      </c>
      <c r="L9679" s="10" t="s">
        <v>42557</v>
      </c>
      <c r="M9679" s="8" t="s">
        <v>30306</v>
      </c>
      <c r="N9679" s="8" t="s">
        <v>29</v>
      </c>
      <c r="O9679" s="8" t="s">
        <v>9281</v>
      </c>
      <c r="P9679" s="8"/>
      <c r="Q9679" s="8" t="s">
        <v>42558</v>
      </c>
      <c r="R9679" s="8"/>
      <c r="S9679" s="8"/>
      <c r="T9679" s="8"/>
      <c r="U9679" s="8"/>
      <c r="V9679" s="8"/>
      <c r="W9679" s="8"/>
      <c r="X9679" s="8"/>
      <c r="Y9679" s="8"/>
    </row>
    <row r="9680" ht="14.25">
      <c r="B9680" s="8" t="s">
        <v>679</v>
      </c>
      <c r="C9680" s="8" t="s">
        <v>42559</v>
      </c>
      <c r="D9680" s="8" t="s">
        <v>112</v>
      </c>
      <c r="E9680" s="8" t="s">
        <v>39927</v>
      </c>
      <c r="F9680" s="8" t="str">
        <f>IFERROR(__XLUDF.DUMMYFUNCTION("PROPER(REGEXREPLACE(D65,""[^A-Za-z]+ "",""""))"),"Wellcov")</f>
        <v>Wellcov</v>
      </c>
      <c r="G9680" s="8" t="s">
        <v>42560</v>
      </c>
      <c r="H9680" s="9">
        <v>8</v>
      </c>
      <c r="I9680" s="8" t="s">
        <v>39661</v>
      </c>
      <c r="J9680" s="8" t="str">
        <f>IFERROR(__XLUDF.DUMMYFUNCTION("VLOOKUP(H65,IMPORTRANGE(""https://docs.google.com/spreadsheets/d/1opm6ZNvGZ7KditA9TuJwrZ25eFLfTNIkrNnY6mhV5Eg"",""list!A1:C115""),3,TRUE)"),"le secteur des assurances")</f>
        <v xml:space="preserve">le secteur des assurances</v>
      </c>
      <c r="K9680" s="10" t="s">
        <v>42561</v>
      </c>
      <c r="L9680" s="10" t="s">
        <v>42562</v>
      </c>
      <c r="M9680" s="8" t="s">
        <v>295</v>
      </c>
      <c r="N9680" s="8" t="s">
        <v>29</v>
      </c>
      <c r="O9680" s="8" t="s">
        <v>9251</v>
      </c>
      <c r="P9680" s="8"/>
      <c r="Q9680" s="8"/>
      <c r="R9680" s="8"/>
      <c r="S9680" s="8"/>
      <c r="T9680" s="8"/>
      <c r="U9680" s="8"/>
      <c r="V9680" s="8"/>
      <c r="W9680" s="8"/>
      <c r="X9680" s="8"/>
      <c r="Y9680" s="8"/>
    </row>
    <row r="9681" ht="14.25">
      <c r="B9681" s="8" t="s">
        <v>330</v>
      </c>
      <c r="C9681" s="8" t="s">
        <v>15152</v>
      </c>
      <c r="D9681" s="8" t="s">
        <v>42563</v>
      </c>
      <c r="E9681" s="8" t="s">
        <v>42564</v>
      </c>
      <c r="F9681" s="8" t="str">
        <f>IFERROR(__XLUDF.DUMMYFUNCTION("PROPER(REGEXREPLACE(D66,""[^A-Za-z]+ "",""""))"),"Elite Gp")</f>
        <v xml:space="preserve">Elite Gp</v>
      </c>
      <c r="G9681" s="8" t="s">
        <v>42565</v>
      </c>
      <c r="H9681" s="9">
        <v>10</v>
      </c>
      <c r="I9681" s="8" t="s">
        <v>2629</v>
      </c>
      <c r="J9681" s="8" t="str">
        <f>IFERROR(__XLUDF.DUMMYFUNCTION("VLOOKUP(H66,IMPORTRANGE(""https://docs.google.com/spreadsheets/d/1opm6ZNvGZ7KditA9TuJwrZ25eFLfTNIkrNnY6mhV5Eg"",""list!A1:C115""),3,TRUE)"),"le secteur des services financiers")</f>
        <v xml:space="preserve">le secteur des services financiers</v>
      </c>
      <c r="K9681" s="10" t="s">
        <v>42566</v>
      </c>
      <c r="L9681" s="10" t="s">
        <v>42567</v>
      </c>
      <c r="M9681" s="8" t="s">
        <v>42568</v>
      </c>
      <c r="N9681" s="8" t="s">
        <v>29</v>
      </c>
      <c r="O9681" s="8" t="s">
        <v>9473</v>
      </c>
      <c r="P9681" s="8"/>
      <c r="Q9681" s="8" t="s">
        <v>42569</v>
      </c>
      <c r="R9681" s="8"/>
      <c r="S9681" s="8"/>
      <c r="T9681" s="8"/>
      <c r="U9681" s="8"/>
      <c r="V9681" s="8"/>
      <c r="W9681" s="8"/>
      <c r="X9681" s="8"/>
      <c r="Y9681" s="8"/>
    </row>
    <row r="9682" ht="14.25">
      <c r="B9682" s="18" t="s">
        <v>6626</v>
      </c>
      <c r="C9682" s="18" t="s">
        <v>42570</v>
      </c>
      <c r="D9682" s="18" t="s">
        <v>1950</v>
      </c>
      <c r="E9682" s="18" t="s">
        <v>42571</v>
      </c>
      <c r="F9682" s="8" t="str">
        <f>IFERROR(__XLUDF.DUMMYFUNCTION("PROPER(REGEXREPLACE(D67,""[^A-Za-z]+ "",""""))"),"Kerialis")</f>
        <v>Kerialis</v>
      </c>
      <c r="G9682" s="18" t="s">
        <v>42572</v>
      </c>
      <c r="H9682" s="18">
        <v>62</v>
      </c>
      <c r="I9682" s="18" t="s">
        <v>39661</v>
      </c>
      <c r="J9682" s="8" t="str">
        <f>IFERROR(__XLUDF.DUMMYFUNCTION("VLOOKUP(H67,IMPORTRANGE(""https://docs.google.com/spreadsheets/d/1opm6ZNvGZ7KditA9TuJwrZ25eFLfTNIkrNnY6mhV5Eg"",""list!A1:C115""),3,TRUE)"),"le secteur des assurances")</f>
        <v xml:space="preserve">le secteur des assurances</v>
      </c>
      <c r="K9682" s="5" t="s">
        <v>42573</v>
      </c>
      <c r="L9682" s="5" t="s">
        <v>42574</v>
      </c>
      <c r="M9682" s="6"/>
      <c r="N9682" s="18" t="s">
        <v>29</v>
      </c>
      <c r="O9682" s="18" t="s">
        <v>42575</v>
      </c>
      <c r="P9682" s="18" t="s">
        <v>29</v>
      </c>
      <c r="Q9682" s="18" t="s">
        <v>42576</v>
      </c>
      <c r="R9682" s="6"/>
      <c r="S9682" s="6"/>
      <c r="T9682" s="6"/>
      <c r="U9682" s="6"/>
      <c r="V9682" s="6"/>
      <c r="W9682" s="6"/>
      <c r="X9682" s="6"/>
      <c r="Y9682" s="6"/>
    </row>
    <row r="9683" ht="14.25">
      <c r="B9683" s="18" t="s">
        <v>450</v>
      </c>
      <c r="C9683" s="18" t="s">
        <v>42577</v>
      </c>
      <c r="D9683" s="18" t="s">
        <v>42578</v>
      </c>
      <c r="E9683" s="18" t="s">
        <v>42579</v>
      </c>
      <c r="F9683" s="8" t="str">
        <f>IFERROR(__XLUDF.DUMMYFUNCTION("PROPER(REGEXREPLACE(D68,""[^A-Za-z]+ "",""""))"),"Smeno")</f>
        <v>Smeno</v>
      </c>
      <c r="G9683" s="18" t="s">
        <v>42580</v>
      </c>
      <c r="H9683" s="18">
        <v>58</v>
      </c>
      <c r="I9683" s="18" t="s">
        <v>39661</v>
      </c>
      <c r="J9683" s="8" t="str">
        <f>IFERROR(__XLUDF.DUMMYFUNCTION("VLOOKUP(H68,IMPORTRANGE(""https://docs.google.com/spreadsheets/d/1opm6ZNvGZ7KditA9TuJwrZ25eFLfTNIkrNnY6mhV5Eg"",""list!A1:C115""),3,TRUE)"),"le secteur des assurances")</f>
        <v xml:space="preserve">le secteur des assurances</v>
      </c>
      <c r="K9683" s="5" t="s">
        <v>42581</v>
      </c>
      <c r="L9683" s="5" t="s">
        <v>42582</v>
      </c>
      <c r="M9683" s="18" t="s">
        <v>846</v>
      </c>
      <c r="N9683" s="18" t="s">
        <v>29</v>
      </c>
      <c r="O9683" s="18" t="s">
        <v>42583</v>
      </c>
      <c r="P9683" s="18" t="s">
        <v>29</v>
      </c>
      <c r="Q9683" s="18" t="s">
        <v>42584</v>
      </c>
      <c r="R9683" s="6"/>
      <c r="S9683" s="6"/>
      <c r="T9683" s="6"/>
      <c r="U9683" s="6"/>
      <c r="V9683" s="6"/>
      <c r="W9683" s="6"/>
      <c r="X9683" s="6"/>
      <c r="Y9683" s="6"/>
    </row>
    <row r="9684" ht="14.25">
      <c r="B9684" s="8" t="s">
        <v>1619</v>
      </c>
      <c r="C9684" s="8" t="s">
        <v>6908</v>
      </c>
      <c r="D9684" s="8" t="s">
        <v>1950</v>
      </c>
      <c r="E9684" s="8" t="s">
        <v>40922</v>
      </c>
      <c r="F9684" s="8" t="str">
        <f>IFERROR(__XLUDF.DUMMYFUNCTION("PROPER(REGEXREPLACE(D69,""[^A-Za-z]+ "",""""))"),"Ediifice")</f>
        <v>Ediifice</v>
      </c>
      <c r="G9684" s="8" t="s">
        <v>42585</v>
      </c>
      <c r="H9684" s="9">
        <v>7</v>
      </c>
      <c r="I9684" s="8" t="s">
        <v>39661</v>
      </c>
      <c r="J9684" s="8" t="str">
        <f>IFERROR(__XLUDF.DUMMYFUNCTION("VLOOKUP(H69,IMPORTRANGE(""https://docs.google.com/spreadsheets/d/1opm6ZNvGZ7KditA9TuJwrZ25eFLfTNIkrNnY6mhV5Eg"",""list!A1:C115""),3,TRUE)"),"le secteur des assurances")</f>
        <v xml:space="preserve">le secteur des assurances</v>
      </c>
      <c r="K9684" s="10" t="s">
        <v>42586</v>
      </c>
      <c r="L9684" s="10" t="s">
        <v>42587</v>
      </c>
      <c r="M9684" s="8" t="s">
        <v>39</v>
      </c>
      <c r="N9684" s="8" t="s">
        <v>29</v>
      </c>
      <c r="O9684" s="8" t="s">
        <v>9160</v>
      </c>
      <c r="P9684" s="8"/>
      <c r="Q9684" s="8" t="s">
        <v>42588</v>
      </c>
      <c r="R9684" s="8"/>
      <c r="S9684" s="8"/>
      <c r="T9684" s="8"/>
      <c r="U9684" s="8"/>
      <c r="V9684" s="8"/>
      <c r="W9684" s="8"/>
      <c r="X9684" s="8"/>
      <c r="Y9684" s="8"/>
    </row>
    <row r="9685" ht="14.25">
      <c r="B9685" s="8" t="s">
        <v>42589</v>
      </c>
      <c r="C9685" s="8" t="s">
        <v>42590</v>
      </c>
      <c r="D9685" s="8" t="s">
        <v>42591</v>
      </c>
      <c r="E9685" s="8" t="s">
        <v>42592</v>
      </c>
      <c r="F9685" s="8" t="str">
        <f>IFERROR(__XLUDF.DUMMYFUNCTION("PROPER(REGEXREPLACE(D70,""[^A-Za-z]+ "",""""))"),"Opteven Services Deutschland")</f>
        <v xml:space="preserve">Opteven Services Deutschland</v>
      </c>
      <c r="G9685" s="8" t="s">
        <v>42593</v>
      </c>
      <c r="H9685" s="9">
        <v>26</v>
      </c>
      <c r="I9685" s="8" t="s">
        <v>39661</v>
      </c>
      <c r="J9685" s="8" t="str">
        <f>IFERROR(__XLUDF.DUMMYFUNCTION("VLOOKUP(H70,IMPORTRANGE(""https://docs.google.com/spreadsheets/d/1opm6ZNvGZ7KditA9TuJwrZ25eFLfTNIkrNnY6mhV5Eg"",""list!A1:C115""),3,TRUE)"),"le secteur des assurances")</f>
        <v xml:space="preserve">le secteur des assurances</v>
      </c>
      <c r="K9685" s="10" t="s">
        <v>42594</v>
      </c>
      <c r="L9685" s="10" t="s">
        <v>42595</v>
      </c>
      <c r="M9685" s="8" t="s">
        <v>14784</v>
      </c>
      <c r="N9685" s="8" t="s">
        <v>29</v>
      </c>
      <c r="O9685" s="8" t="s">
        <v>9193</v>
      </c>
      <c r="P9685" s="8"/>
      <c r="Q9685" s="8"/>
      <c r="R9685" s="8"/>
      <c r="S9685" s="8"/>
      <c r="T9685" s="8"/>
      <c r="U9685" s="8"/>
      <c r="V9685" s="8"/>
      <c r="W9685" s="8"/>
      <c r="X9685" s="8"/>
      <c r="Y9685" s="8"/>
    </row>
    <row r="9686" ht="14.25">
      <c r="B9686" s="8" t="s">
        <v>10905</v>
      </c>
      <c r="C9686" s="8" t="s">
        <v>42596</v>
      </c>
      <c r="D9686" s="8" t="s">
        <v>42597</v>
      </c>
      <c r="E9686" s="8" t="s">
        <v>42598</v>
      </c>
      <c r="F9686" s="8" t="str">
        <f>IFERROR(__XLUDF.DUMMYFUNCTION("PROPER(REGEXREPLACE(D71,""[^A-Za-z]+ "",""""))"),"Agasco")</f>
        <v>Agasco</v>
      </c>
      <c r="G9686" s="8" t="s">
        <v>42599</v>
      </c>
      <c r="H9686" s="9">
        <v>3</v>
      </c>
      <c r="I9686" s="8" t="s">
        <v>39661</v>
      </c>
      <c r="J9686" s="8" t="str">
        <f>IFERROR(__XLUDF.DUMMYFUNCTION("VLOOKUP(H71,IMPORTRANGE(""https://docs.google.com/spreadsheets/d/1opm6ZNvGZ7KditA9TuJwrZ25eFLfTNIkrNnY6mhV5Eg"",""list!A1:C115""),3,TRUE)"),"le secteur des assurances")</f>
        <v xml:space="preserve">le secteur des assurances</v>
      </c>
      <c r="K9686" s="10" t="s">
        <v>42600</v>
      </c>
      <c r="L9686" s="10" t="s">
        <v>42601</v>
      </c>
      <c r="M9686" s="8" t="s">
        <v>243</v>
      </c>
      <c r="N9686" s="8" t="s">
        <v>29</v>
      </c>
      <c r="O9686" s="8" t="s">
        <v>9864</v>
      </c>
      <c r="P9686" s="8"/>
      <c r="Q9686" s="8" t="s">
        <v>42602</v>
      </c>
      <c r="R9686" s="8"/>
      <c r="S9686" s="8"/>
      <c r="T9686" s="8"/>
      <c r="U9686" s="8"/>
      <c r="V9686" s="8"/>
      <c r="W9686" s="8"/>
      <c r="X9686" s="8"/>
      <c r="Y9686" s="8"/>
    </row>
    <row r="9687" ht="14.25">
      <c r="B9687" s="18" t="s">
        <v>355</v>
      </c>
      <c r="C9687" s="18" t="s">
        <v>42603</v>
      </c>
      <c r="D9687" s="18" t="s">
        <v>87</v>
      </c>
      <c r="E9687" s="18" t="s">
        <v>42604</v>
      </c>
      <c r="F9687" s="8" t="str">
        <f>IFERROR(__XLUDF.DUMMYFUNCTION("PROPER(REGEXREPLACE(D72,""[^A-Za-z]+ "",""""))"),"Assurances Mader Mma")</f>
        <v xml:space="preserve">Assurances Mader Mma</v>
      </c>
      <c r="G9687" s="18" t="s">
        <v>42605</v>
      </c>
      <c r="H9687" s="18">
        <v>2</v>
      </c>
      <c r="I9687" s="18" t="s">
        <v>39661</v>
      </c>
      <c r="J9687" s="8" t="str">
        <f>IFERROR(__XLUDF.DUMMYFUNCTION("VLOOKUP(H72,IMPORTRANGE(""https://docs.google.com/spreadsheets/d/1opm6ZNvGZ7KditA9TuJwrZ25eFLfTNIkrNnY6mhV5Eg"",""list!A1:C115""),3,TRUE)"),"le secteur des assurances")</f>
        <v xml:space="preserve">le secteur des assurances</v>
      </c>
      <c r="K9687" s="5" t="s">
        <v>42606</v>
      </c>
      <c r="L9687" s="5" t="s">
        <v>42607</v>
      </c>
      <c r="M9687" s="18" t="s">
        <v>2186</v>
      </c>
      <c r="N9687" s="18" t="s">
        <v>29</v>
      </c>
      <c r="O9687" s="18" t="s">
        <v>42608</v>
      </c>
      <c r="P9687" s="18" t="s">
        <v>29</v>
      </c>
      <c r="Q9687" s="18" t="s">
        <v>42609</v>
      </c>
      <c r="R9687" s="6"/>
      <c r="S9687" s="6"/>
      <c r="T9687" s="6"/>
      <c r="U9687" s="6"/>
      <c r="V9687" s="6"/>
      <c r="W9687" s="6"/>
      <c r="X9687" s="6"/>
      <c r="Y9687" s="6"/>
    </row>
    <row r="9688" ht="14.25">
      <c r="B9688" s="8" t="s">
        <v>330</v>
      </c>
      <c r="C9688" s="8" t="s">
        <v>1540</v>
      </c>
      <c r="D9688" s="8" t="s">
        <v>468</v>
      </c>
      <c r="E9688" s="8" t="s">
        <v>42610</v>
      </c>
      <c r="F9688" s="8" t="str">
        <f>IFERROR(__XLUDF.DUMMYFUNCTION("PROPER(REGEXREPLACE(D73,""[^A-Za-z]+ "",""""))"),"Corporate Special Risks")</f>
        <v xml:space="preserve">Corporate Special Risks</v>
      </c>
      <c r="G9688" s="8" t="s">
        <v>42611</v>
      </c>
      <c r="H9688" s="9">
        <v>8</v>
      </c>
      <c r="I9688" s="8" t="s">
        <v>39661</v>
      </c>
      <c r="J9688" s="8" t="str">
        <f>IFERROR(__XLUDF.DUMMYFUNCTION("VLOOKUP(H73,IMPORTRANGE(""https://docs.google.com/spreadsheets/d/1opm6ZNvGZ7KditA9TuJwrZ25eFLfTNIkrNnY6mhV5Eg"",""list!A1:C115""),3,TRUE)"),"le secteur des assurances")</f>
        <v xml:space="preserve">le secteur des assurances</v>
      </c>
      <c r="K9688" s="10" t="s">
        <v>42612</v>
      </c>
      <c r="L9688" s="10" t="s">
        <v>42613</v>
      </c>
      <c r="M9688" s="8" t="s">
        <v>39</v>
      </c>
      <c r="N9688" s="8" t="s">
        <v>29</v>
      </c>
      <c r="O9688" s="8" t="s">
        <v>9160</v>
      </c>
      <c r="P9688" s="8"/>
      <c r="Q9688" s="8" t="s">
        <v>42614</v>
      </c>
      <c r="R9688" s="8"/>
      <c r="S9688" s="8"/>
      <c r="T9688" s="8"/>
      <c r="U9688" s="8"/>
      <c r="V9688" s="8"/>
      <c r="W9688" s="8"/>
      <c r="X9688" s="8"/>
      <c r="Y9688" s="8"/>
    </row>
    <row r="9689" ht="14.25">
      <c r="B9689" s="18" t="s">
        <v>95</v>
      </c>
      <c r="C9689" s="18" t="s">
        <v>26529</v>
      </c>
      <c r="D9689" s="18" t="s">
        <v>87</v>
      </c>
      <c r="E9689" s="18" t="s">
        <v>42615</v>
      </c>
      <c r="F9689" s="8" t="str">
        <f>IFERROR(__XLUDF.DUMMYFUNCTION("PROPER(REGEXREPLACE(D74,""[^A-Za-z]+ "",""""))"),"Germen")</f>
        <v>Germen</v>
      </c>
      <c r="G9689" s="18" t="s">
        <v>42616</v>
      </c>
      <c r="H9689" s="18">
        <v>28</v>
      </c>
      <c r="I9689" s="18" t="s">
        <v>39661</v>
      </c>
      <c r="J9689" s="8" t="str">
        <f>IFERROR(__XLUDF.DUMMYFUNCTION("VLOOKUP(H74,IMPORTRANGE(""https://docs.google.com/spreadsheets/d/1opm6ZNvGZ7KditA9TuJwrZ25eFLfTNIkrNnY6mhV5Eg"",""list!A1:C115""),3,TRUE)"),"le secteur des assurances")</f>
        <v xml:space="preserve">le secteur des assurances</v>
      </c>
      <c r="K9689" s="5" t="s">
        <v>42617</v>
      </c>
      <c r="L9689" s="5" t="s">
        <v>42618</v>
      </c>
      <c r="M9689" s="18" t="s">
        <v>39</v>
      </c>
      <c r="N9689" s="18" t="s">
        <v>29</v>
      </c>
      <c r="O9689" s="18" t="s">
        <v>42619</v>
      </c>
      <c r="P9689" s="18" t="s">
        <v>29</v>
      </c>
      <c r="Q9689" s="18" t="s">
        <v>42620</v>
      </c>
      <c r="R9689" s="6"/>
      <c r="S9689" s="6"/>
      <c r="T9689" s="6"/>
      <c r="U9689" s="6"/>
      <c r="V9689" s="6"/>
      <c r="W9689" s="6"/>
      <c r="X9689" s="6"/>
      <c r="Y9689" s="6"/>
    </row>
    <row r="9690" ht="14.25">
      <c r="B9690" s="8" t="s">
        <v>95</v>
      </c>
      <c r="C9690" s="8" t="s">
        <v>42621</v>
      </c>
      <c r="D9690" s="8" t="s">
        <v>42622</v>
      </c>
      <c r="E9690" s="8" t="s">
        <v>42623</v>
      </c>
      <c r="F9690" s="8" t="str">
        <f>IFERROR(__XLUDF.DUMMYFUNCTION("PROPER(REGEXREPLACE(D75,""[^A-Za-z]+ "",""""))"),"Groupe Cfb")</f>
        <v xml:space="preserve">Groupe Cfb</v>
      </c>
      <c r="G9690" s="8" t="s">
        <v>42624</v>
      </c>
      <c r="H9690" s="9">
        <v>8</v>
      </c>
      <c r="I9690" s="8" t="s">
        <v>39661</v>
      </c>
      <c r="J9690" s="8" t="str">
        <f>IFERROR(__XLUDF.DUMMYFUNCTION("VLOOKUP(H75,IMPORTRANGE(""https://docs.google.com/spreadsheets/d/1opm6ZNvGZ7KditA9TuJwrZ25eFLfTNIkrNnY6mhV5Eg"",""list!A1:C115""),3,TRUE)"),"le secteur des assurances")</f>
        <v xml:space="preserve">le secteur des assurances</v>
      </c>
      <c r="K9690" s="10" t="s">
        <v>42625</v>
      </c>
      <c r="L9690" s="10" t="s">
        <v>42626</v>
      </c>
      <c r="M9690" s="8" t="s">
        <v>16684</v>
      </c>
      <c r="N9690" s="8" t="s">
        <v>29</v>
      </c>
      <c r="O9690" s="8" t="s">
        <v>9864</v>
      </c>
      <c r="P9690" s="8"/>
      <c r="Q9690" s="8" t="s">
        <v>42627</v>
      </c>
      <c r="R9690" s="8"/>
      <c r="S9690" s="8"/>
      <c r="T9690" s="8"/>
      <c r="U9690" s="8"/>
      <c r="V9690" s="8"/>
      <c r="W9690" s="8"/>
      <c r="X9690" s="8"/>
      <c r="Y9690" s="8"/>
    </row>
    <row r="9691" ht="14.25">
      <c r="B9691" s="18" t="s">
        <v>2249</v>
      </c>
      <c r="C9691" s="18" t="s">
        <v>42628</v>
      </c>
      <c r="D9691" s="18" t="s">
        <v>42629</v>
      </c>
      <c r="E9691" s="18" t="s">
        <v>42630</v>
      </c>
      <c r="F9691" s="8" t="str">
        <f>IFERROR(__XLUDF.DUMMYFUNCTION("PROPER(REGEXREPLACE(D76,""[^A-Za-z]+ "",""""))"),"Kase")</f>
        <v>Kase</v>
      </c>
      <c r="G9691" s="18" t="s">
        <v>42631</v>
      </c>
      <c r="H9691" s="18">
        <v>7</v>
      </c>
      <c r="I9691" s="18" t="s">
        <v>39661</v>
      </c>
      <c r="J9691" s="8" t="str">
        <f>IFERROR(__XLUDF.DUMMYFUNCTION("VLOOKUP(H76,IMPORTRANGE(""https://docs.google.com/spreadsheets/d/1opm6ZNvGZ7KditA9TuJwrZ25eFLfTNIkrNnY6mhV5Eg"",""list!A1:C115""),3,TRUE)"),"le secteur des assurances")</f>
        <v xml:space="preserve">le secteur des assurances</v>
      </c>
      <c r="K9691" s="5" t="s">
        <v>42632</v>
      </c>
      <c r="L9691" s="5" t="s">
        <v>42633</v>
      </c>
      <c r="M9691" s="6"/>
      <c r="N9691" s="18" t="s">
        <v>29</v>
      </c>
      <c r="O9691" s="18" t="s">
        <v>42634</v>
      </c>
      <c r="P9691" s="18" t="s">
        <v>29</v>
      </c>
      <c r="Q9691" s="6"/>
      <c r="R9691" s="6"/>
      <c r="S9691" s="6"/>
      <c r="T9691" s="6"/>
      <c r="U9691" s="6"/>
      <c r="V9691" s="6"/>
      <c r="W9691" s="6"/>
      <c r="X9691" s="6"/>
      <c r="Y9691" s="6"/>
    </row>
    <row r="9692" ht="14.25">
      <c r="B9692" s="8" t="s">
        <v>1596</v>
      </c>
      <c r="C9692" s="8" t="s">
        <v>42635</v>
      </c>
      <c r="D9692" s="8" t="s">
        <v>7759</v>
      </c>
      <c r="E9692" s="8" t="s">
        <v>42636</v>
      </c>
      <c r="F9692" s="8" t="str">
        <f>IFERROR(__XLUDF.DUMMYFUNCTION("PROPER(REGEXREPLACE(D77,""[^A-Za-z]+ "",""""))"),"Stratégies Sociales")</f>
        <v xml:space="preserve">Stratégies Sociales</v>
      </c>
      <c r="G9692" s="8" t="s">
        <v>42637</v>
      </c>
      <c r="H9692" s="8"/>
      <c r="I9692" s="8"/>
      <c r="J9692" s="8" t="s">
        <v>42267</v>
      </c>
      <c r="K9692" s="10" t="s">
        <v>42638</v>
      </c>
      <c r="L9692" s="8"/>
      <c r="M9692" s="8" t="s">
        <v>7883</v>
      </c>
      <c r="N9692" s="8" t="s">
        <v>29</v>
      </c>
      <c r="O9692" s="8" t="s">
        <v>9215</v>
      </c>
      <c r="P9692" s="8"/>
      <c r="Q9692" s="8"/>
      <c r="R9692" s="8"/>
      <c r="S9692" s="8"/>
      <c r="T9692" s="8"/>
      <c r="U9692" s="8"/>
      <c r="V9692" s="8"/>
      <c r="W9692" s="8"/>
      <c r="X9692" s="8"/>
      <c r="Y9692" s="8"/>
    </row>
    <row r="9693" ht="14.25">
      <c r="B9693" s="8" t="s">
        <v>42639</v>
      </c>
      <c r="C9693" s="8" t="s">
        <v>42640</v>
      </c>
      <c r="D9693" s="8" t="s">
        <v>1130</v>
      </c>
      <c r="E9693" s="8" t="s">
        <v>42641</v>
      </c>
      <c r="F9693" s="8" t="str">
        <f>IFERROR(__XLUDF.DUMMYFUNCTION("PROPER(REGEXREPLACE(D78,""[^A-Za-z]+ "",""""))"),"Mescourtiers")</f>
        <v>Mescourtiers</v>
      </c>
      <c r="G9693" s="8" t="s">
        <v>42642</v>
      </c>
      <c r="H9693" s="9">
        <v>1</v>
      </c>
      <c r="I9693" s="8" t="s">
        <v>39661</v>
      </c>
      <c r="J9693" s="8" t="str">
        <f>IFERROR(__XLUDF.DUMMYFUNCTION("VLOOKUP(H78,IMPORTRANGE(""https://docs.google.com/spreadsheets/d/1opm6ZNvGZ7KditA9TuJwrZ25eFLfTNIkrNnY6mhV5Eg"",""list!A1:C115""),3,TRUE)"),"le secteur des assurances")</f>
        <v xml:space="preserve">le secteur des assurances</v>
      </c>
      <c r="K9693" s="10" t="s">
        <v>42643</v>
      </c>
      <c r="L9693" s="10" t="s">
        <v>42644</v>
      </c>
      <c r="M9693" s="8" t="s">
        <v>49</v>
      </c>
      <c r="N9693" s="8" t="s">
        <v>29</v>
      </c>
      <c r="O9693" s="8" t="s">
        <v>9251</v>
      </c>
      <c r="P9693" s="8"/>
      <c r="Q9693" s="8"/>
      <c r="R9693" s="8"/>
      <c r="S9693" s="8"/>
      <c r="T9693" s="8"/>
      <c r="U9693" s="8"/>
      <c r="V9693" s="8"/>
      <c r="W9693" s="8"/>
      <c r="X9693" s="8"/>
      <c r="Y9693" s="8"/>
    </row>
    <row r="9694" ht="14.25">
      <c r="B9694" s="8" t="s">
        <v>4169</v>
      </c>
      <c r="C9694" s="8" t="s">
        <v>42645</v>
      </c>
      <c r="D9694" s="8" t="s">
        <v>9582</v>
      </c>
      <c r="E9694" s="8" t="s">
        <v>42646</v>
      </c>
      <c r="F9694" s="8" t="str">
        <f>IFERROR(__XLUDF.DUMMYFUNCTION("PROPER(REGEXREPLACE(D79,""[^A-Za-z]+ "",""""))"),"Assurévie")</f>
        <v>Assurévie</v>
      </c>
      <c r="G9694" s="8" t="s">
        <v>42647</v>
      </c>
      <c r="H9694" s="8"/>
      <c r="I9694" s="8"/>
      <c r="J9694" s="8" t="s">
        <v>42267</v>
      </c>
      <c r="K9694" s="10" t="s">
        <v>42648</v>
      </c>
      <c r="L9694" s="10" t="s">
        <v>42649</v>
      </c>
      <c r="M9694" s="8" t="s">
        <v>846</v>
      </c>
      <c r="N9694" s="8" t="s">
        <v>29</v>
      </c>
      <c r="O9694" s="8" t="s">
        <v>9278</v>
      </c>
      <c r="P9694" s="8"/>
      <c r="Q9694" s="8"/>
      <c r="R9694" s="8"/>
      <c r="S9694" s="8"/>
      <c r="T9694" s="8"/>
      <c r="U9694" s="8"/>
      <c r="V9694" s="8"/>
      <c r="W9694" s="8"/>
      <c r="X9694" s="8"/>
      <c r="Y9694" s="8"/>
    </row>
    <row r="9695" ht="14.25">
      <c r="B9695" s="18" t="s">
        <v>971</v>
      </c>
      <c r="C9695" s="18" t="s">
        <v>2326</v>
      </c>
      <c r="D9695" s="18" t="s">
        <v>42650</v>
      </c>
      <c r="E9695" s="18" t="s">
        <v>42651</v>
      </c>
      <c r="F9695" s="8" t="str">
        <f>IFERROR(__XLUDF.DUMMYFUNCTION("PROPER(REGEXREPLACE(D80,""[^A-Za-z]+ "",""""))"),"Fma Assurances")</f>
        <v xml:space="preserve">Fma Assurances</v>
      </c>
      <c r="G9695" s="18" t="s">
        <v>42652</v>
      </c>
      <c r="H9695" s="18">
        <v>70</v>
      </c>
      <c r="I9695" s="18" t="s">
        <v>39661</v>
      </c>
      <c r="J9695" s="8" t="str">
        <f>IFERROR(__XLUDF.DUMMYFUNCTION("VLOOKUP(H80,IMPORTRANGE(""https://docs.google.com/spreadsheets/d/1opm6ZNvGZ7KditA9TuJwrZ25eFLfTNIkrNnY6mhV5Eg"",""list!A1:C115""),3,TRUE)"),"le secteur des assurances")</f>
        <v xml:space="preserve">le secteur des assurances</v>
      </c>
      <c r="K9695" s="5" t="s">
        <v>42653</v>
      </c>
      <c r="L9695" s="5" t="s">
        <v>42654</v>
      </c>
      <c r="M9695" s="18" t="s">
        <v>7827</v>
      </c>
      <c r="N9695" s="18" t="s">
        <v>29</v>
      </c>
      <c r="O9695" s="18" t="s">
        <v>42655</v>
      </c>
      <c r="P9695" s="18" t="s">
        <v>29</v>
      </c>
      <c r="Q9695" s="18" t="s">
        <v>42656</v>
      </c>
      <c r="R9695" s="6"/>
      <c r="S9695" s="6"/>
      <c r="T9695" s="6"/>
      <c r="U9695" s="6"/>
      <c r="V9695" s="6"/>
      <c r="W9695" s="6"/>
      <c r="X9695" s="6"/>
      <c r="Y9695" s="6"/>
    </row>
    <row r="9696" ht="14.25">
      <c r="B9696" s="8" t="s">
        <v>34201</v>
      </c>
      <c r="C9696" s="8" t="s">
        <v>42657</v>
      </c>
      <c r="D9696" s="8" t="s">
        <v>426</v>
      </c>
      <c r="E9696" s="8" t="s">
        <v>42658</v>
      </c>
      <c r="F9696" s="8" t="str">
        <f>IFERROR(__XLUDF.DUMMYFUNCTION("PROPER(REGEXREPLACE(D81,""[^A-Za-z]+ "",""""))"),"Linxea")</f>
        <v>Linxea</v>
      </c>
      <c r="G9696" s="8" t="s">
        <v>42659</v>
      </c>
      <c r="H9696" s="9">
        <v>80</v>
      </c>
      <c r="I9696" s="8" t="s">
        <v>39661</v>
      </c>
      <c r="J9696" s="8" t="str">
        <f>IFERROR(__XLUDF.DUMMYFUNCTION("VLOOKUP(H81,IMPORTRANGE(""https://docs.google.com/spreadsheets/d/1opm6ZNvGZ7KditA9TuJwrZ25eFLfTNIkrNnY6mhV5Eg"",""list!A1:C115""),3,TRUE)"),"le secteur des assurances")</f>
        <v xml:space="preserve">le secteur des assurances</v>
      </c>
      <c r="K9696" s="10" t="s">
        <v>42660</v>
      </c>
      <c r="L9696" s="10" t="s">
        <v>42661</v>
      </c>
      <c r="M9696" s="8" t="s">
        <v>39</v>
      </c>
      <c r="N9696" s="8" t="s">
        <v>29</v>
      </c>
      <c r="O9696" s="8" t="s">
        <v>9160</v>
      </c>
      <c r="P9696" s="8"/>
      <c r="Q9696" s="8" t="s">
        <v>42662</v>
      </c>
      <c r="R9696" s="8"/>
      <c r="S9696" s="8"/>
      <c r="T9696" s="8"/>
      <c r="U9696" s="8"/>
      <c r="V9696" s="8"/>
      <c r="W9696" s="8"/>
      <c r="X9696" s="8"/>
      <c r="Y9696" s="8"/>
    </row>
    <row r="9697" ht="14.25">
      <c r="B9697" s="18" t="s">
        <v>222</v>
      </c>
      <c r="C9697" s="18" t="s">
        <v>6037</v>
      </c>
      <c r="D9697" s="18" t="s">
        <v>42663</v>
      </c>
      <c r="E9697" s="18" t="s">
        <v>42664</v>
      </c>
      <c r="F9697" s="8" t="str">
        <f>IFERROR(__XLUDF.DUMMYFUNCTION("PROPER(REGEXREPLACE(D82,""[^A-Za-z]+ "",""""))"),"Groupe Sofraco")</f>
        <v xml:space="preserve">Groupe Sofraco</v>
      </c>
      <c r="G9697" s="18" t="s">
        <v>42665</v>
      </c>
      <c r="H9697" s="18">
        <v>59</v>
      </c>
      <c r="I9697" s="18" t="s">
        <v>39661</v>
      </c>
      <c r="J9697" s="8" t="str">
        <f>IFERROR(__XLUDF.DUMMYFUNCTION("VLOOKUP(H82,IMPORTRANGE(""https://docs.google.com/spreadsheets/d/1opm6ZNvGZ7KditA9TuJwrZ25eFLfTNIkrNnY6mhV5Eg"",""list!A1:C115""),3,TRUE)"),"le secteur des assurances")</f>
        <v xml:space="preserve">le secteur des assurances</v>
      </c>
      <c r="K9697" s="5" t="s">
        <v>42666</v>
      </c>
      <c r="L9697" s="5" t="s">
        <v>42667</v>
      </c>
      <c r="M9697" s="18" t="s">
        <v>243</v>
      </c>
      <c r="N9697" s="18" t="s">
        <v>29</v>
      </c>
      <c r="O9697" s="18" t="s">
        <v>1533</v>
      </c>
      <c r="P9697" s="18" t="s">
        <v>29</v>
      </c>
      <c r="Q9697" s="18" t="s">
        <v>42668</v>
      </c>
      <c r="R9697" s="6"/>
      <c r="S9697" s="6"/>
      <c r="T9697" s="6"/>
      <c r="U9697" s="6"/>
      <c r="V9697" s="6"/>
      <c r="W9697" s="6"/>
      <c r="X9697" s="6"/>
      <c r="Y9697" s="6"/>
    </row>
    <row r="9698" ht="14.25">
      <c r="B9698" s="8" t="s">
        <v>42669</v>
      </c>
      <c r="C9698" s="8" t="s">
        <v>15969</v>
      </c>
      <c r="D9698" s="8" t="s">
        <v>7759</v>
      </c>
      <c r="E9698" s="8" t="s">
        <v>42670</v>
      </c>
      <c r="F9698" s="8" t="str">
        <f>IFERROR(__XLUDF.DUMMYFUNCTION("PROPER(REGEXREPLACE(D83,""[^A-Za-z]+ "",""""))"),"Provelia")</f>
        <v>Provelia</v>
      </c>
      <c r="G9698" s="8" t="s">
        <v>42671</v>
      </c>
      <c r="H9698" s="9">
        <v>11</v>
      </c>
      <c r="I9698" s="8" t="s">
        <v>39661</v>
      </c>
      <c r="J9698" s="8" t="str">
        <f>IFERROR(__XLUDF.DUMMYFUNCTION("VLOOKUP(H83,IMPORTRANGE(""https://docs.google.com/spreadsheets/d/1opm6ZNvGZ7KditA9TuJwrZ25eFLfTNIkrNnY6mhV5Eg"",""list!A1:C115""),3,TRUE)"),"le secteur des assurances")</f>
        <v xml:space="preserve">le secteur des assurances</v>
      </c>
      <c r="K9698" s="10" t="s">
        <v>42672</v>
      </c>
      <c r="L9698" s="10" t="s">
        <v>42673</v>
      </c>
      <c r="M9698" s="8" t="s">
        <v>185</v>
      </c>
      <c r="N9698" s="8" t="s">
        <v>29</v>
      </c>
      <c r="O9698" s="8" t="s">
        <v>9172</v>
      </c>
      <c r="P9698" s="8"/>
      <c r="Q9698" s="8"/>
      <c r="R9698" s="8"/>
      <c r="S9698" s="8"/>
      <c r="T9698" s="8"/>
      <c r="U9698" s="8"/>
      <c r="V9698" s="8"/>
      <c r="W9698" s="8"/>
      <c r="X9698" s="8"/>
      <c r="Y9698" s="8"/>
    </row>
    <row r="9699" ht="14.25">
      <c r="B9699" s="8" t="s">
        <v>38458</v>
      </c>
      <c r="C9699" s="8" t="s">
        <v>42674</v>
      </c>
      <c r="D9699" s="8" t="s">
        <v>42675</v>
      </c>
      <c r="E9699" s="8" t="s">
        <v>42676</v>
      </c>
      <c r="F9699" s="8" t="str">
        <f>IFERROR(__XLUDF.DUMMYFUNCTION("PROPER(REGEXREPLACE(D84,""[^A-Za-z]+ "",""""))"),"Berwick Assurances")</f>
        <v xml:space="preserve">Berwick Assurances</v>
      </c>
      <c r="G9699" s="8" t="s">
        <v>42677</v>
      </c>
      <c r="H9699" s="9">
        <v>1</v>
      </c>
      <c r="I9699" s="8" t="s">
        <v>39661</v>
      </c>
      <c r="J9699" s="8" t="str">
        <f>IFERROR(__XLUDF.DUMMYFUNCTION("VLOOKUP(H84,IMPORTRANGE(""https://docs.google.com/spreadsheets/d/1opm6ZNvGZ7KditA9TuJwrZ25eFLfTNIkrNnY6mhV5Eg"",""list!A1:C115""),3,TRUE)"),"le secteur des assurances")</f>
        <v xml:space="preserve">le secteur des assurances</v>
      </c>
      <c r="K9699" s="10" t="s">
        <v>42678</v>
      </c>
      <c r="L9699" s="10" t="s">
        <v>42679</v>
      </c>
      <c r="M9699" s="8" t="s">
        <v>39</v>
      </c>
      <c r="N9699" s="8" t="s">
        <v>29</v>
      </c>
      <c r="O9699" s="8" t="s">
        <v>9160</v>
      </c>
      <c r="P9699" s="8"/>
      <c r="Q9699" s="8"/>
      <c r="R9699" s="8"/>
      <c r="S9699" s="8"/>
      <c r="T9699" s="8"/>
      <c r="U9699" s="8"/>
      <c r="V9699" s="8"/>
      <c r="W9699" s="8"/>
      <c r="X9699" s="8"/>
      <c r="Y9699" s="8"/>
    </row>
    <row r="9700" ht="14.25">
      <c r="B9700" s="18" t="s">
        <v>1667</v>
      </c>
      <c r="C9700" s="18" t="s">
        <v>42680</v>
      </c>
      <c r="D9700" s="18" t="s">
        <v>315</v>
      </c>
      <c r="E9700" s="18" t="s">
        <v>42681</v>
      </c>
      <c r="F9700" s="8" t="str">
        <f>IFERROR(__XLUDF.DUMMYFUNCTION("PROPER(REGEXREPLACE(D85,""[^A-Za-z]+ "",""""))"),"Tca Assurances")</f>
        <v xml:space="preserve">Tca Assurances</v>
      </c>
      <c r="G9700" s="18" t="s">
        <v>42682</v>
      </c>
      <c r="H9700" s="18">
        <v>59</v>
      </c>
      <c r="I9700" s="18" t="s">
        <v>39661</v>
      </c>
      <c r="J9700" s="8" t="str">
        <f>IFERROR(__XLUDF.DUMMYFUNCTION("VLOOKUP(H85,IMPORTRANGE(""https://docs.google.com/spreadsheets/d/1opm6ZNvGZ7KditA9TuJwrZ25eFLfTNIkrNnY6mhV5Eg"",""list!A1:C115""),3,TRUE)"),"le secteur des assurances")</f>
        <v xml:space="preserve">le secteur des assurances</v>
      </c>
      <c r="K9700" s="5" t="s">
        <v>42683</v>
      </c>
      <c r="L9700" s="5" t="s">
        <v>42684</v>
      </c>
      <c r="M9700" s="18" t="s">
        <v>562</v>
      </c>
      <c r="N9700" s="18" t="s">
        <v>29</v>
      </c>
      <c r="O9700" s="18" t="s">
        <v>42685</v>
      </c>
      <c r="P9700" s="18" t="s">
        <v>29</v>
      </c>
      <c r="Q9700" s="18" t="s">
        <v>42686</v>
      </c>
      <c r="R9700" s="6"/>
      <c r="S9700" s="6"/>
      <c r="T9700" s="6"/>
      <c r="U9700" s="6"/>
      <c r="V9700" s="6"/>
      <c r="W9700" s="6"/>
      <c r="X9700" s="6"/>
      <c r="Y9700" s="6"/>
    </row>
    <row r="9701" ht="14.25">
      <c r="B9701" s="8" t="s">
        <v>7559</v>
      </c>
      <c r="C9701" s="8" t="s">
        <v>42687</v>
      </c>
      <c r="D9701" s="8" t="s">
        <v>7759</v>
      </c>
      <c r="E9701" s="8" t="s">
        <v>42507</v>
      </c>
      <c r="F9701" s="8" t="str">
        <f>IFERROR(__XLUDF.DUMMYFUNCTION("PROPER(REGEXREPLACE(D86,""[^A-Za-z]+ "",""""))"),"Opega")</f>
        <v>Opega</v>
      </c>
      <c r="G9701" s="8" t="s">
        <v>42688</v>
      </c>
      <c r="H9701" s="9">
        <v>8</v>
      </c>
      <c r="I9701" s="8" t="s">
        <v>39661</v>
      </c>
      <c r="J9701" s="8" t="str">
        <f>IFERROR(__XLUDF.DUMMYFUNCTION("VLOOKUP(H86,IMPORTRANGE(""https://docs.google.com/spreadsheets/d/1opm6ZNvGZ7KditA9TuJwrZ25eFLfTNIkrNnY6mhV5Eg"",""list!A1:C115""),3,TRUE)"),"le secteur des assurances")</f>
        <v xml:space="preserve">le secteur des assurances</v>
      </c>
      <c r="K9701" s="10" t="s">
        <v>42689</v>
      </c>
      <c r="L9701" s="10" t="s">
        <v>42510</v>
      </c>
      <c r="M9701" s="8" t="s">
        <v>39</v>
      </c>
      <c r="N9701" s="8" t="s">
        <v>29</v>
      </c>
      <c r="O9701" s="8" t="s">
        <v>9160</v>
      </c>
      <c r="P9701" s="8"/>
      <c r="Q9701" s="8" t="s">
        <v>42511</v>
      </c>
      <c r="R9701" s="8"/>
      <c r="S9701" s="8"/>
      <c r="T9701" s="8"/>
      <c r="U9701" s="8"/>
      <c r="V9701" s="8"/>
      <c r="W9701" s="8"/>
      <c r="X9701" s="8"/>
      <c r="Y9701" s="8"/>
    </row>
    <row r="9702" ht="14.25">
      <c r="B9702" s="8" t="s">
        <v>485</v>
      </c>
      <c r="C9702" s="8" t="s">
        <v>679</v>
      </c>
      <c r="D9702" s="8" t="s">
        <v>112</v>
      </c>
      <c r="E9702" s="8" t="s">
        <v>42690</v>
      </c>
      <c r="F9702" s="8" t="str">
        <f>IFERROR(__XLUDF.DUMMYFUNCTION("PROPER(REGEXREPLACE(D87,""[^A-Za-z]+ "",""""))"),"Tikall Assurances")</f>
        <v xml:space="preserve">Tikall Assurances</v>
      </c>
      <c r="G9702" s="8" t="s">
        <v>42691</v>
      </c>
      <c r="H9702" s="8"/>
      <c r="I9702" s="8"/>
      <c r="J9702" s="8" t="s">
        <v>42267</v>
      </c>
      <c r="K9702" s="10" t="s">
        <v>42692</v>
      </c>
      <c r="L9702" s="10" t="s">
        <v>42693</v>
      </c>
      <c r="M9702" s="8"/>
      <c r="N9702" s="8" t="s">
        <v>29</v>
      </c>
      <c r="O9702" s="8"/>
      <c r="P9702" s="8"/>
      <c r="Q9702" s="8"/>
      <c r="R9702" s="8"/>
      <c r="S9702" s="8"/>
      <c r="T9702" s="8"/>
      <c r="U9702" s="8"/>
      <c r="V9702" s="8"/>
      <c r="W9702" s="8"/>
      <c r="X9702" s="8"/>
      <c r="Y9702" s="8"/>
    </row>
    <row r="9703" ht="14.25">
      <c r="B9703" s="18" t="s">
        <v>42694</v>
      </c>
      <c r="C9703" s="18" t="s">
        <v>42695</v>
      </c>
      <c r="D9703" s="18" t="s">
        <v>1950</v>
      </c>
      <c r="E9703" s="18" t="s">
        <v>42571</v>
      </c>
      <c r="F9703" s="8" t="str">
        <f>IFERROR(__XLUDF.DUMMYFUNCTION("PROPER(REGEXREPLACE(D88,""[^A-Za-z]+ "",""""))"),"Kerialis")</f>
        <v>Kerialis</v>
      </c>
      <c r="G9703" s="18" t="s">
        <v>42696</v>
      </c>
      <c r="H9703" s="18">
        <v>62</v>
      </c>
      <c r="I9703" s="18" t="s">
        <v>39661</v>
      </c>
      <c r="J9703" s="8" t="str">
        <f>IFERROR(__XLUDF.DUMMYFUNCTION("VLOOKUP(H88,IMPORTRANGE(""https://docs.google.com/spreadsheets/d/1opm6ZNvGZ7KditA9TuJwrZ25eFLfTNIkrNnY6mhV5Eg"",""list!A1:C115""),3,TRUE)"),"le secteur des assurances")</f>
        <v xml:space="preserve">le secteur des assurances</v>
      </c>
      <c r="K9703" s="5" t="s">
        <v>42697</v>
      </c>
      <c r="L9703" s="5" t="s">
        <v>42574</v>
      </c>
      <c r="M9703" s="6"/>
      <c r="N9703" s="18" t="s">
        <v>29</v>
      </c>
      <c r="O9703" s="18" t="s">
        <v>42575</v>
      </c>
      <c r="P9703" s="18" t="s">
        <v>29</v>
      </c>
      <c r="Q9703" s="18" t="s">
        <v>42576</v>
      </c>
      <c r="R9703" s="6"/>
      <c r="S9703" s="6"/>
      <c r="T9703" s="6"/>
      <c r="U9703" s="6"/>
      <c r="V9703" s="6"/>
      <c r="W9703" s="6"/>
      <c r="X9703" s="6"/>
      <c r="Y9703" s="6"/>
    </row>
    <row r="9704" ht="14.25">
      <c r="B9704" s="8" t="s">
        <v>42698</v>
      </c>
      <c r="C9704" s="8" t="s">
        <v>42699</v>
      </c>
      <c r="D9704" s="8" t="s">
        <v>42700</v>
      </c>
      <c r="E9704" s="8" t="s">
        <v>42701</v>
      </c>
      <c r="F9704" s="8" t="str">
        <f>IFERROR(__XLUDF.DUMMYFUNCTION("PROPER(REGEXREPLACE(D89,""[^A-Za-z]+ "",""""))"),"Courti'Assurances")</f>
        <v>Courti'Assurances</v>
      </c>
      <c r="G9704" s="8" t="s">
        <v>42702</v>
      </c>
      <c r="H9704" s="8"/>
      <c r="I9704" s="8"/>
      <c r="J9704" s="8" t="s">
        <v>42267</v>
      </c>
      <c r="K9704" s="10" t="s">
        <v>42703</v>
      </c>
      <c r="L9704" s="10" t="s">
        <v>42704</v>
      </c>
      <c r="M9704" s="8" t="s">
        <v>39</v>
      </c>
      <c r="N9704" s="8" t="s">
        <v>29</v>
      </c>
      <c r="O9704" s="8" t="s">
        <v>9160</v>
      </c>
      <c r="P9704" s="8"/>
      <c r="Q9704" s="8"/>
      <c r="R9704" s="8"/>
      <c r="S9704" s="8"/>
      <c r="T9704" s="8"/>
      <c r="U9704" s="8"/>
      <c r="V9704" s="8"/>
      <c r="W9704" s="8"/>
      <c r="X9704" s="8"/>
      <c r="Y9704" s="8"/>
    </row>
    <row r="9705" ht="14.25">
      <c r="B9705" s="8" t="s">
        <v>42705</v>
      </c>
      <c r="C9705" s="8" t="s">
        <v>24342</v>
      </c>
      <c r="D9705" s="8" t="s">
        <v>42706</v>
      </c>
      <c r="E9705" s="8" t="s">
        <v>42707</v>
      </c>
      <c r="F9705" s="8" t="str">
        <f>IFERROR(__XLUDF.DUMMYFUNCTION("PROPER(REGEXREPLACE(D90,""[^A-Za-z]+ "",""""))"),"Alter Assur")</f>
        <v xml:space="preserve">Alter Assur</v>
      </c>
      <c r="G9705" s="8" t="s">
        <v>42708</v>
      </c>
      <c r="H9705" s="9">
        <v>2</v>
      </c>
      <c r="I9705" s="8" t="s">
        <v>39661</v>
      </c>
      <c r="J9705" s="8" t="str">
        <f>IFERROR(__XLUDF.DUMMYFUNCTION("VLOOKUP(H90,IMPORTRANGE(""https://docs.google.com/spreadsheets/d/1opm6ZNvGZ7KditA9TuJwrZ25eFLfTNIkrNnY6mhV5Eg"",""list!A1:C115""),3,TRUE)"),"le secteur des assurances")</f>
        <v xml:space="preserve">le secteur des assurances</v>
      </c>
      <c r="K9705" s="10" t="s">
        <v>42709</v>
      </c>
      <c r="L9705" s="8"/>
      <c r="M9705" s="8"/>
      <c r="N9705" s="8" t="s">
        <v>29</v>
      </c>
      <c r="O9705" s="8"/>
      <c r="P9705" s="8"/>
      <c r="Q9705" s="8"/>
      <c r="R9705" s="8"/>
      <c r="S9705" s="8"/>
      <c r="T9705" s="8"/>
      <c r="U9705" s="8"/>
      <c r="V9705" s="8"/>
      <c r="W9705" s="8"/>
      <c r="X9705" s="8"/>
      <c r="Y9705" s="8"/>
    </row>
    <row r="9706" ht="14.25">
      <c r="B9706" s="8" t="s">
        <v>1215</v>
      </c>
      <c r="C9706" s="8" t="s">
        <v>42710</v>
      </c>
      <c r="D9706" s="8" t="s">
        <v>172</v>
      </c>
      <c r="E9706" s="8" t="s">
        <v>42711</v>
      </c>
      <c r="F9706" s="8" t="str">
        <f>IFERROR(__XLUDF.DUMMYFUNCTION("PROPER(REGEXREPLACE(D91,""[^A-Za-z]+ "",""""))"),"Gentto")</f>
        <v>Gentto</v>
      </c>
      <c r="G9706" s="8" t="s">
        <v>42712</v>
      </c>
      <c r="H9706" s="8"/>
      <c r="I9706" s="8"/>
      <c r="J9706" s="8" t="s">
        <v>42267</v>
      </c>
      <c r="K9706" s="10" t="s">
        <v>42713</v>
      </c>
      <c r="L9706" s="10" t="s">
        <v>42714</v>
      </c>
      <c r="M9706" s="8" t="s">
        <v>42715</v>
      </c>
      <c r="N9706" s="8" t="s">
        <v>29</v>
      </c>
      <c r="O9706" s="8" t="s">
        <v>9193</v>
      </c>
      <c r="P9706" s="8"/>
      <c r="Q9706" s="8"/>
      <c r="R9706" s="8"/>
      <c r="S9706" s="8"/>
      <c r="T9706" s="8"/>
      <c r="U9706" s="8"/>
      <c r="V9706" s="8"/>
      <c r="W9706" s="8"/>
      <c r="X9706" s="8"/>
      <c r="Y9706" s="8"/>
    </row>
    <row r="9707" ht="14.25">
      <c r="B9707" s="18" t="s">
        <v>12609</v>
      </c>
      <c r="C9707" s="18" t="s">
        <v>21396</v>
      </c>
      <c r="D9707" s="18" t="s">
        <v>87</v>
      </c>
      <c r="E9707" s="18" t="s">
        <v>42716</v>
      </c>
      <c r="F9707" s="8" t="str">
        <f>IFERROR(__XLUDF.DUMMYFUNCTION("PROPER(REGEXREPLACE(D92,""[^A-Za-z]+ "",""""))"),"Dsi Group")</f>
        <v xml:space="preserve">Dsi Group</v>
      </c>
      <c r="G9707" s="18" t="s">
        <v>42717</v>
      </c>
      <c r="H9707" s="18">
        <v>80</v>
      </c>
      <c r="I9707" s="18" t="s">
        <v>39661</v>
      </c>
      <c r="J9707" s="8" t="str">
        <f>IFERROR(__XLUDF.DUMMYFUNCTION("VLOOKUP(H92,IMPORTRANGE(""https://docs.google.com/spreadsheets/d/1opm6ZNvGZ7KditA9TuJwrZ25eFLfTNIkrNnY6mhV5Eg"",""list!A1:C115""),3,TRUE)"),"le secteur des assurances")</f>
        <v xml:space="preserve">le secteur des assurances</v>
      </c>
      <c r="K9707" s="5" t="s">
        <v>42718</v>
      </c>
      <c r="L9707" s="5" t="s">
        <v>42719</v>
      </c>
      <c r="M9707" s="18" t="s">
        <v>39</v>
      </c>
      <c r="N9707" s="18" t="s">
        <v>29</v>
      </c>
      <c r="O9707" s="18" t="s">
        <v>1261</v>
      </c>
      <c r="P9707" s="18" t="s">
        <v>1261</v>
      </c>
      <c r="Q9707" s="6"/>
      <c r="R9707" s="6"/>
      <c r="S9707" s="6"/>
      <c r="T9707" s="6"/>
      <c r="U9707" s="6"/>
      <c r="V9707" s="6"/>
      <c r="W9707" s="6"/>
      <c r="X9707" s="6"/>
      <c r="Y9707" s="6"/>
    </row>
    <row r="9708" ht="14.25">
      <c r="B9708" s="8" t="s">
        <v>42720</v>
      </c>
      <c r="C9708" s="8" t="s">
        <v>42721</v>
      </c>
      <c r="D9708" s="8" t="s">
        <v>315</v>
      </c>
      <c r="E9708" s="8" t="s">
        <v>42722</v>
      </c>
      <c r="F9708" s="8" t="str">
        <f>IFERROR(__XLUDF.DUMMYFUNCTION("PROPER(REGEXREPLACE(D93,""[^A-Za-z]+ "",""""))"),"Asas")</f>
        <v>Asas</v>
      </c>
      <c r="G9708" s="8" t="s">
        <v>42723</v>
      </c>
      <c r="H9708" s="9">
        <v>8</v>
      </c>
      <c r="I9708" s="8" t="s">
        <v>39661</v>
      </c>
      <c r="J9708" s="8" t="str">
        <f>IFERROR(__XLUDF.DUMMYFUNCTION("VLOOKUP(H93,IMPORTRANGE(""https://docs.google.com/spreadsheets/d/1opm6ZNvGZ7KditA9TuJwrZ25eFLfTNIkrNnY6mhV5Eg"",""list!A1:C115""),3,TRUE)"),"le secteur des assurances")</f>
        <v xml:space="preserve">le secteur des assurances</v>
      </c>
      <c r="K9708" s="10" t="s">
        <v>42724</v>
      </c>
      <c r="L9708" s="10" t="s">
        <v>42725</v>
      </c>
      <c r="M9708" s="8" t="s">
        <v>42726</v>
      </c>
      <c r="N9708" s="8" t="s">
        <v>29</v>
      </c>
      <c r="O9708" s="8" t="s">
        <v>9160</v>
      </c>
      <c r="P9708" s="8"/>
      <c r="Q9708" s="8" t="s">
        <v>42727</v>
      </c>
      <c r="R9708" s="8"/>
      <c r="S9708" s="8"/>
      <c r="T9708" s="8"/>
      <c r="U9708" s="8"/>
      <c r="V9708" s="8"/>
      <c r="W9708" s="8"/>
      <c r="X9708" s="8"/>
      <c r="Y9708" s="8"/>
    </row>
    <row r="9709" ht="14.25">
      <c r="B9709" s="18" t="s">
        <v>8045</v>
      </c>
      <c r="C9709" s="18" t="s">
        <v>6138</v>
      </c>
      <c r="D9709" s="18" t="s">
        <v>460</v>
      </c>
      <c r="E9709" s="18" t="s">
        <v>42728</v>
      </c>
      <c r="F9709" s="8" t="str">
        <f>IFERROR(__XLUDF.DUMMYFUNCTION("PROPER(REGEXREPLACE(D94,""[^A-Za-z]+ "",""""))"),"Territoria Mutuelle")</f>
        <v xml:space="preserve">Territoria Mutuelle</v>
      </c>
      <c r="G9709" s="18" t="s">
        <v>42729</v>
      </c>
      <c r="H9709" s="18">
        <v>76</v>
      </c>
      <c r="I9709" s="18" t="s">
        <v>39661</v>
      </c>
      <c r="J9709" s="8" t="str">
        <f>IFERROR(__XLUDF.DUMMYFUNCTION("VLOOKUP(H94,IMPORTRANGE(""https://docs.google.com/spreadsheets/d/1opm6ZNvGZ7KditA9TuJwrZ25eFLfTNIkrNnY6mhV5Eg"",""list!A1:C115""),3,TRUE)"),"le secteur des assurances")</f>
        <v xml:space="preserve">le secteur des assurances</v>
      </c>
      <c r="K9709" s="5" t="s">
        <v>42730</v>
      </c>
      <c r="L9709" s="5" t="s">
        <v>42731</v>
      </c>
      <c r="M9709" s="18" t="s">
        <v>42732</v>
      </c>
      <c r="N9709" s="18" t="s">
        <v>29</v>
      </c>
      <c r="O9709" s="18" t="s">
        <v>42733</v>
      </c>
      <c r="P9709" s="18" t="s">
        <v>29</v>
      </c>
      <c r="Q9709" s="18" t="s">
        <v>42734</v>
      </c>
      <c r="R9709" s="6"/>
      <c r="S9709" s="6"/>
      <c r="T9709" s="6"/>
      <c r="U9709" s="6"/>
      <c r="V9709" s="6"/>
      <c r="W9709" s="6"/>
      <c r="X9709" s="6"/>
      <c r="Y9709" s="6"/>
    </row>
    <row r="9710" ht="14.25">
      <c r="B9710" s="8" t="s">
        <v>1732</v>
      </c>
      <c r="C9710" s="8" t="s">
        <v>42735</v>
      </c>
      <c r="D9710" s="8" t="s">
        <v>42736</v>
      </c>
      <c r="E9710" s="8" t="s">
        <v>42737</v>
      </c>
      <c r="F9710" s="8" t="str">
        <f>IFERROR(__XLUDF.DUMMYFUNCTION("PROPER(REGEXREPLACE(D95,""[^A-Za-z]+ "",""""))"),"Courteam")</f>
        <v>Courteam</v>
      </c>
      <c r="G9710" s="8" t="s">
        <v>42738</v>
      </c>
      <c r="H9710" s="9">
        <v>8</v>
      </c>
      <c r="I9710" s="8" t="s">
        <v>39846</v>
      </c>
      <c r="J9710" s="8" t="str">
        <f>IFERROR(__XLUDF.DUMMYFUNCTION("VLOOKUP(H95,IMPORTRANGE(""https://docs.google.com/spreadsheets/d/1opm6ZNvGZ7KditA9TuJwrZ25eFLfTNIkrNnY6mhV5Eg"",""list!A1:C115""),3,TRUE)"),"le secteur de la banque")</f>
        <v xml:space="preserve">le secteur de la banque</v>
      </c>
      <c r="K9710" s="10" t="s">
        <v>42739</v>
      </c>
      <c r="L9710" s="10" t="s">
        <v>42740</v>
      </c>
      <c r="M9710" s="8" t="s">
        <v>6954</v>
      </c>
      <c r="N9710" s="8" t="s">
        <v>29</v>
      </c>
      <c r="O9710" s="8" t="s">
        <v>9484</v>
      </c>
      <c r="P9710" s="8"/>
      <c r="Q9710" s="8" t="s">
        <v>42741</v>
      </c>
      <c r="R9710" s="8"/>
      <c r="S9710" s="8"/>
      <c r="T9710" s="8"/>
      <c r="U9710" s="8"/>
      <c r="V9710" s="8"/>
      <c r="W9710" s="8"/>
      <c r="X9710" s="8"/>
      <c r="Y9710" s="8"/>
    </row>
    <row r="9711" ht="14.25">
      <c r="B9711" s="18" t="s">
        <v>355</v>
      </c>
      <c r="C9711" s="18" t="s">
        <v>19011</v>
      </c>
      <c r="D9711" s="18" t="s">
        <v>87</v>
      </c>
      <c r="E9711" s="18" t="s">
        <v>42742</v>
      </c>
      <c r="F9711" s="8" t="str">
        <f>IFERROR(__XLUDF.DUMMYFUNCTION("PROPER(REGEXREPLACE(D96,""[^A-Za-z]+ "",""""))"),"Axa Global Re")</f>
        <v xml:space="preserve">Axa Global Re</v>
      </c>
      <c r="G9711" s="18" t="s">
        <v>42743</v>
      </c>
      <c r="H9711" s="18">
        <v>72</v>
      </c>
      <c r="I9711" s="18" t="s">
        <v>39661</v>
      </c>
      <c r="J9711" s="8" t="str">
        <f>IFERROR(__XLUDF.DUMMYFUNCTION("VLOOKUP(H96,IMPORTRANGE(""https://docs.google.com/spreadsheets/d/1opm6ZNvGZ7KditA9TuJwrZ25eFLfTNIkrNnY6mhV5Eg"",""list!A1:C115""),3,TRUE)"),"le secteur des assurances")</f>
        <v xml:space="preserve">le secteur des assurances</v>
      </c>
      <c r="K9711" s="5" t="s">
        <v>42744</v>
      </c>
      <c r="L9711" s="5" t="s">
        <v>42745</v>
      </c>
      <c r="M9711" s="6"/>
      <c r="N9711" s="18" t="s">
        <v>29</v>
      </c>
      <c r="O9711" s="18" t="s">
        <v>42746</v>
      </c>
      <c r="P9711" s="18" t="s">
        <v>29</v>
      </c>
      <c r="Q9711" s="6"/>
      <c r="R9711" s="6"/>
      <c r="S9711" s="6"/>
      <c r="T9711" s="6"/>
      <c r="U9711" s="6"/>
      <c r="V9711" s="6"/>
      <c r="W9711" s="6"/>
      <c r="X9711" s="6"/>
      <c r="Y9711" s="6"/>
    </row>
    <row r="9712" ht="14.25">
      <c r="B9712" s="8" t="s">
        <v>2119</v>
      </c>
      <c r="C9712" s="8" t="s">
        <v>42747</v>
      </c>
      <c r="D9712" s="8" t="s">
        <v>42748</v>
      </c>
      <c r="E9712" s="8" t="s">
        <v>42749</v>
      </c>
      <c r="F9712" s="8" t="str">
        <f>IFERROR(__XLUDF.DUMMYFUNCTION("PROPER(REGEXREPLACE(D97,""[^A-Za-z]+ "",""""))"),"Pharos Assurances")</f>
        <v xml:space="preserve">Pharos Assurances</v>
      </c>
      <c r="G9712" s="8" t="s">
        <v>42750</v>
      </c>
      <c r="H9712" s="9">
        <v>1</v>
      </c>
      <c r="I9712" s="8" t="s">
        <v>39661</v>
      </c>
      <c r="J9712" s="8" t="str">
        <f>IFERROR(__XLUDF.DUMMYFUNCTION("VLOOKUP(H97,IMPORTRANGE(""https://docs.google.com/spreadsheets/d/1opm6ZNvGZ7KditA9TuJwrZ25eFLfTNIkrNnY6mhV5Eg"",""list!A1:C115""),3,TRUE)"),"le secteur des assurances")</f>
        <v xml:space="preserve">le secteur des assurances</v>
      </c>
      <c r="K9712" s="10" t="s">
        <v>42751</v>
      </c>
      <c r="L9712" s="10" t="s">
        <v>42752</v>
      </c>
      <c r="M9712" s="8" t="s">
        <v>1312</v>
      </c>
      <c r="N9712" s="8" t="s">
        <v>29</v>
      </c>
      <c r="O9712" s="8" t="s">
        <v>9350</v>
      </c>
      <c r="P9712" s="8"/>
      <c r="Q9712" s="8"/>
      <c r="R9712" s="8"/>
      <c r="S9712" s="8"/>
      <c r="T9712" s="8"/>
      <c r="U9712" s="8"/>
      <c r="V9712" s="8"/>
      <c r="W9712" s="8"/>
      <c r="X9712" s="8"/>
      <c r="Y9712" s="8"/>
    </row>
    <row r="9713" ht="14.25">
      <c r="B9713" s="18" t="s">
        <v>42753</v>
      </c>
      <c r="C9713" s="18" t="s">
        <v>42754</v>
      </c>
      <c r="D9713" s="18" t="s">
        <v>62</v>
      </c>
      <c r="E9713" s="18" t="s">
        <v>42755</v>
      </c>
      <c r="F9713" s="8" t="str">
        <f>IFERROR(__XLUDF.DUMMYFUNCTION("PROPER(REGEXREPLACE(D98,""[^A-Za-z]+ "",""""))"),"Acheel")</f>
        <v>Acheel</v>
      </c>
      <c r="G9713" s="18" t="s">
        <v>42756</v>
      </c>
      <c r="H9713" s="18">
        <v>73</v>
      </c>
      <c r="I9713" s="18" t="s">
        <v>39661</v>
      </c>
      <c r="J9713" s="8" t="str">
        <f>IFERROR(__XLUDF.DUMMYFUNCTION("VLOOKUP(H98,IMPORTRANGE(""https://docs.google.com/spreadsheets/d/1opm6ZNvGZ7KditA9TuJwrZ25eFLfTNIkrNnY6mhV5Eg"",""list!A1:C115""),3,TRUE)"),"le secteur des assurances")</f>
        <v xml:space="preserve">le secteur des assurances</v>
      </c>
      <c r="K9713" s="5" t="s">
        <v>42757</v>
      </c>
      <c r="L9713" s="5" t="s">
        <v>42758</v>
      </c>
      <c r="M9713" s="18" t="s">
        <v>39</v>
      </c>
      <c r="N9713" s="18" t="s">
        <v>29</v>
      </c>
      <c r="O9713" s="18" t="s">
        <v>1084</v>
      </c>
      <c r="P9713" s="18" t="s">
        <v>29</v>
      </c>
      <c r="Q9713" s="6"/>
      <c r="R9713" s="6"/>
      <c r="S9713" s="6"/>
      <c r="T9713" s="6"/>
      <c r="U9713" s="6"/>
      <c r="V9713" s="6"/>
      <c r="W9713" s="6"/>
      <c r="X9713" s="6"/>
      <c r="Y9713" s="6"/>
    </row>
    <row r="9714" ht="14.25">
      <c r="B9714" s="8" t="s">
        <v>10843</v>
      </c>
      <c r="C9714" s="8" t="s">
        <v>11585</v>
      </c>
      <c r="D9714" s="8" t="s">
        <v>42759</v>
      </c>
      <c r="E9714" s="8" t="s">
        <v>42431</v>
      </c>
      <c r="F9714" s="8" t="str">
        <f>IFERROR(__XLUDF.DUMMYFUNCTION("PROPER(REGEXREPLACE(D99,""[^A-Za-z]+ "",""""))"),"Mutuelle Entrain")</f>
        <v xml:space="preserve">Mutuelle Entrain</v>
      </c>
      <c r="G9714" s="8" t="s">
        <v>42760</v>
      </c>
      <c r="H9714" s="8"/>
      <c r="I9714" s="8"/>
      <c r="J9714" s="8" t="s">
        <v>42267</v>
      </c>
      <c r="K9714" s="10" t="s">
        <v>42761</v>
      </c>
      <c r="L9714" s="10" t="s">
        <v>42434</v>
      </c>
      <c r="M9714" s="8" t="s">
        <v>1507</v>
      </c>
      <c r="N9714" s="8" t="s">
        <v>29</v>
      </c>
      <c r="O9714" s="8" t="s">
        <v>9193</v>
      </c>
      <c r="P9714" s="8"/>
      <c r="Q9714" s="8"/>
      <c r="R9714" s="8"/>
      <c r="S9714" s="8"/>
      <c r="T9714" s="8"/>
      <c r="U9714" s="8"/>
      <c r="V9714" s="8"/>
      <c r="W9714" s="8"/>
      <c r="X9714" s="8"/>
      <c r="Y9714" s="8"/>
    </row>
    <row r="9715" ht="14.25">
      <c r="B9715" s="8" t="s">
        <v>76</v>
      </c>
      <c r="C9715" s="8" t="s">
        <v>19848</v>
      </c>
      <c r="D9715" s="8" t="s">
        <v>112</v>
      </c>
      <c r="E9715" s="8" t="s">
        <v>42762</v>
      </c>
      <c r="F9715" s="8" t="str">
        <f>IFERROR(__XLUDF.DUMMYFUNCTION("PROPER(REGEXREPLACE(D100,""[^A-Za-z]+ "",""""))"),"J.C.L Courtage")</f>
        <v xml:space="preserve">J.C.L Courtage</v>
      </c>
      <c r="G9715" s="8" t="s">
        <v>42763</v>
      </c>
      <c r="H9715" s="8"/>
      <c r="I9715" s="8"/>
      <c r="J9715" s="8" t="s">
        <v>42267</v>
      </c>
      <c r="K9715" s="10" t="s">
        <v>42764</v>
      </c>
      <c r="L9715" s="10" t="s">
        <v>42765</v>
      </c>
      <c r="M9715" s="8" t="s">
        <v>6208</v>
      </c>
      <c r="N9715" s="8" t="s">
        <v>29</v>
      </c>
      <c r="O9715" s="8" t="s">
        <v>9160</v>
      </c>
      <c r="P9715" s="8"/>
      <c r="Q9715" s="8"/>
      <c r="R9715" s="8"/>
      <c r="S9715" s="8"/>
      <c r="T9715" s="8"/>
      <c r="U9715" s="8"/>
      <c r="V9715" s="8"/>
      <c r="W9715" s="8"/>
      <c r="X9715" s="8"/>
      <c r="Y9715" s="8"/>
    </row>
    <row r="9716" ht="14.25">
      <c r="B9716" s="8" t="s">
        <v>7451</v>
      </c>
      <c r="C9716" s="8" t="s">
        <v>42766</v>
      </c>
      <c r="D9716" s="8" t="s">
        <v>42767</v>
      </c>
      <c r="E9716" s="8" t="s">
        <v>42768</v>
      </c>
      <c r="F9716" s="8" t="str">
        <f>IFERROR(__XLUDF.DUMMYFUNCTION("PROPER(REGEXREPLACE(D101,""[^A-Za-z]+ "",""""))"),"Alborassurance")</f>
        <v>Alborassurance</v>
      </c>
      <c r="G9716" s="8" t="s">
        <v>42769</v>
      </c>
      <c r="H9716" s="8"/>
      <c r="I9716" s="8"/>
      <c r="J9716" s="8" t="s">
        <v>42267</v>
      </c>
      <c r="K9716" s="10" t="s">
        <v>42770</v>
      </c>
      <c r="L9716" s="10" t="s">
        <v>42771</v>
      </c>
      <c r="M9716" s="8" t="s">
        <v>39</v>
      </c>
      <c r="N9716" s="8" t="s">
        <v>29</v>
      </c>
      <c r="O9716" s="8" t="s">
        <v>9160</v>
      </c>
      <c r="P9716" s="8"/>
      <c r="Q9716" s="8"/>
      <c r="R9716" s="8"/>
      <c r="S9716" s="8"/>
      <c r="T9716" s="8"/>
      <c r="U9716" s="8"/>
      <c r="V9716" s="8"/>
      <c r="W9716" s="8"/>
      <c r="X9716" s="8"/>
      <c r="Y9716" s="8"/>
    </row>
    <row r="9717" ht="14.25">
      <c r="B9717" s="8" t="s">
        <v>3142</v>
      </c>
      <c r="C9717" s="8" t="s">
        <v>42772</v>
      </c>
      <c r="D9717" s="8" t="s">
        <v>120</v>
      </c>
      <c r="E9717" s="8" t="s">
        <v>42773</v>
      </c>
      <c r="F9717" s="8" t="str">
        <f>IFERROR(__XLUDF.DUMMYFUNCTION("PROPER(REGEXREPLACE(D102,""[^A-Za-z]+ "",""""))"),"Assurancia Courtage")</f>
        <v xml:space="preserve">Assurancia Courtage</v>
      </c>
      <c r="G9717" s="8" t="s">
        <v>42774</v>
      </c>
      <c r="H9717" s="9">
        <v>4</v>
      </c>
      <c r="I9717" s="8" t="s">
        <v>39661</v>
      </c>
      <c r="J9717" s="8" t="str">
        <f>IFERROR(__XLUDF.DUMMYFUNCTION("VLOOKUP(H102,IMPORTRANGE(""https://docs.google.com/spreadsheets/d/1opm6ZNvGZ7KditA9TuJwrZ25eFLfTNIkrNnY6mhV5Eg"",""list!A1:C115""),3,TRUE)"),"le secteur des assurances")</f>
        <v xml:space="preserve">le secteur des assurances</v>
      </c>
      <c r="K9717" s="10" t="s">
        <v>42775</v>
      </c>
      <c r="L9717" s="10" t="s">
        <v>42776</v>
      </c>
      <c r="M9717" s="8" t="s">
        <v>585</v>
      </c>
      <c r="N9717" s="8" t="s">
        <v>29</v>
      </c>
      <c r="O9717" s="8" t="s">
        <v>9160</v>
      </c>
      <c r="P9717" s="8"/>
      <c r="Q9717" s="8"/>
      <c r="R9717" s="8"/>
      <c r="S9717" s="8"/>
      <c r="T9717" s="8"/>
      <c r="U9717" s="8"/>
      <c r="V9717" s="8"/>
      <c r="W9717" s="8"/>
      <c r="X9717" s="8"/>
      <c r="Y9717" s="8"/>
    </row>
    <row r="9718" ht="14.25">
      <c r="B9718" s="8" t="s">
        <v>6243</v>
      </c>
      <c r="C9718" s="8" t="s">
        <v>42777</v>
      </c>
      <c r="D9718" s="8" t="s">
        <v>42778</v>
      </c>
      <c r="E9718" s="8" t="s">
        <v>42779</v>
      </c>
      <c r="F9718" s="8" t="str">
        <f>IFERROR(__XLUDF.DUMMYFUNCTION("PROPER(REGEXREPLACE(D103,""[^A-Za-z]+ "",""""))"),"Weather Claim Control")</f>
        <v xml:space="preserve">Weather Claim Control</v>
      </c>
      <c r="G9718" s="8" t="s">
        <v>42780</v>
      </c>
      <c r="H9718" s="9">
        <v>3</v>
      </c>
      <c r="I9718" s="8" t="s">
        <v>39661</v>
      </c>
      <c r="J9718" s="8" t="str">
        <f>IFERROR(__XLUDF.DUMMYFUNCTION("VLOOKUP(H103,IMPORTRANGE(""https://docs.google.com/spreadsheets/d/1opm6ZNvGZ7KditA9TuJwrZ25eFLfTNIkrNnY6mhV5Eg"",""list!A1:C115""),3,TRUE)"),"le secteur des assurances")</f>
        <v xml:space="preserve">le secteur des assurances</v>
      </c>
      <c r="K9718" s="10" t="s">
        <v>42781</v>
      </c>
      <c r="L9718" s="10" t="s">
        <v>42782</v>
      </c>
      <c r="M9718" s="8" t="s">
        <v>39</v>
      </c>
      <c r="N9718" s="8" t="s">
        <v>29</v>
      </c>
      <c r="O9718" s="8" t="s">
        <v>9160</v>
      </c>
      <c r="P9718" s="8"/>
      <c r="Q9718" s="8"/>
      <c r="R9718" s="8"/>
      <c r="S9718" s="8"/>
      <c r="T9718" s="8"/>
      <c r="U9718" s="8"/>
      <c r="V9718" s="8"/>
      <c r="W9718" s="8"/>
      <c r="X9718" s="8"/>
      <c r="Y9718" s="8"/>
    </row>
    <row r="9719" ht="14.25">
      <c r="B9719" s="8" t="s">
        <v>6744</v>
      </c>
      <c r="C9719" s="8" t="s">
        <v>32516</v>
      </c>
      <c r="D9719" s="8" t="s">
        <v>42783</v>
      </c>
      <c r="E9719" s="8" t="s">
        <v>42784</v>
      </c>
      <c r="F9719" s="8" t="str">
        <f>IFERROR(__XLUDF.DUMMYFUNCTION("PROPER(REGEXREPLACE(D104,""[^A-Za-z]+ "",""""))"),"Gestion De Risquecourtage D'Assurance")</f>
        <v xml:space="preserve">Gestion De Risquecourtage D'Assurance</v>
      </c>
      <c r="G9719" s="8" t="s">
        <v>42785</v>
      </c>
      <c r="H9719" s="9">
        <v>8</v>
      </c>
      <c r="I9719" s="8" t="s">
        <v>39661</v>
      </c>
      <c r="J9719" s="8" t="str">
        <f>IFERROR(__XLUDF.DUMMYFUNCTION("VLOOKUP(H104,IMPORTRANGE(""https://docs.google.com/spreadsheets/d/1opm6ZNvGZ7KditA9TuJwrZ25eFLfTNIkrNnY6mhV5Eg"",""list!A1:C115""),3,TRUE)"),"le secteur des assurances")</f>
        <v xml:space="preserve">le secteur des assurances</v>
      </c>
      <c r="K9719" s="10" t="s">
        <v>42786</v>
      </c>
      <c r="L9719" s="10" t="s">
        <v>42787</v>
      </c>
      <c r="M9719" s="8" t="s">
        <v>42788</v>
      </c>
      <c r="N9719" s="8" t="s">
        <v>29</v>
      </c>
      <c r="O9719" s="8" t="s">
        <v>9251</v>
      </c>
      <c r="P9719" s="8"/>
      <c r="Q9719" s="8" t="s">
        <v>42789</v>
      </c>
      <c r="R9719" s="8"/>
      <c r="S9719" s="8"/>
      <c r="T9719" s="8"/>
      <c r="U9719" s="8"/>
      <c r="V9719" s="8"/>
      <c r="W9719" s="8"/>
      <c r="X9719" s="8"/>
      <c r="Y9719" s="8"/>
    </row>
    <row r="9720" ht="14.25">
      <c r="B9720" s="8" t="s">
        <v>4245</v>
      </c>
      <c r="C9720" s="8" t="s">
        <v>42790</v>
      </c>
      <c r="D9720" s="8" t="s">
        <v>42791</v>
      </c>
      <c r="E9720" s="8" t="s">
        <v>41812</v>
      </c>
      <c r="F9720" s="8" t="str">
        <f>IFERROR(__XLUDF.DUMMYFUNCTION("PROPER(REGEXREPLACE(D105,""[^A-Za-z]+ "",""""))"),"Carel Mutuelle")</f>
        <v xml:space="preserve">Carel Mutuelle</v>
      </c>
      <c r="G9720" s="8" t="s">
        <v>42792</v>
      </c>
      <c r="H9720" s="9">
        <v>18</v>
      </c>
      <c r="I9720" s="8" t="s">
        <v>39661</v>
      </c>
      <c r="J9720" s="8" t="str">
        <f>IFERROR(__XLUDF.DUMMYFUNCTION("VLOOKUP(H105,IMPORTRANGE(""https://docs.google.com/spreadsheets/d/1opm6ZNvGZ7KditA9TuJwrZ25eFLfTNIkrNnY6mhV5Eg"",""list!A1:C115""),3,TRUE)"),"le secteur des assurances")</f>
        <v xml:space="preserve">le secteur des assurances</v>
      </c>
      <c r="K9720" s="10" t="s">
        <v>42793</v>
      </c>
      <c r="L9720" s="10" t="s">
        <v>42794</v>
      </c>
      <c r="M9720" s="8" t="s">
        <v>39</v>
      </c>
      <c r="N9720" s="8" t="s">
        <v>29</v>
      </c>
      <c r="O9720" s="8" t="s">
        <v>9160</v>
      </c>
      <c r="P9720" s="8"/>
      <c r="Q9720" s="8" t="s">
        <v>42795</v>
      </c>
      <c r="R9720" s="8"/>
      <c r="S9720" s="8"/>
      <c r="T9720" s="8"/>
      <c r="U9720" s="8"/>
      <c r="V9720" s="8"/>
      <c r="W9720" s="8"/>
      <c r="X9720" s="8"/>
      <c r="Y9720" s="8"/>
    </row>
    <row r="9721" ht="14.25">
      <c r="B9721" s="8" t="s">
        <v>2932</v>
      </c>
      <c r="C9721" s="8" t="s">
        <v>42796</v>
      </c>
      <c r="D9721" s="8" t="s">
        <v>341</v>
      </c>
      <c r="E9721" s="8" t="s">
        <v>42797</v>
      </c>
      <c r="F9721" s="8" t="str">
        <f>IFERROR(__XLUDF.DUMMYFUNCTION("PROPER(REGEXREPLACE(D106,""[^A-Za-z]+ "",""""))"),"Credits-Assur")</f>
        <v>Credits-Assur</v>
      </c>
      <c r="G9721" s="8" t="s">
        <v>42798</v>
      </c>
      <c r="H9721" s="9">
        <v>2</v>
      </c>
      <c r="I9721" s="8" t="s">
        <v>2629</v>
      </c>
      <c r="J9721" s="8" t="str">
        <f>IFERROR(__XLUDF.DUMMYFUNCTION("VLOOKUP(H106,IMPORTRANGE(""https://docs.google.com/spreadsheets/d/1opm6ZNvGZ7KditA9TuJwrZ25eFLfTNIkrNnY6mhV5Eg"",""list!A1:C115""),3,TRUE)"),"le secteur des services financiers")</f>
        <v xml:space="preserve">le secteur des services financiers</v>
      </c>
      <c r="K9721" s="10" t="s">
        <v>42799</v>
      </c>
      <c r="L9721" s="10" t="s">
        <v>42800</v>
      </c>
      <c r="M9721" s="8" t="s">
        <v>1204</v>
      </c>
      <c r="N9721" s="8" t="s">
        <v>29</v>
      </c>
      <c r="O9721" s="8" t="s">
        <v>9460</v>
      </c>
      <c r="P9721" s="8"/>
      <c r="Q9721" s="8" t="s">
        <v>42801</v>
      </c>
      <c r="R9721" s="8"/>
      <c r="S9721" s="8"/>
      <c r="T9721" s="8"/>
      <c r="U9721" s="8"/>
      <c r="V9721" s="8"/>
      <c r="W9721" s="8"/>
      <c r="X9721" s="8"/>
      <c r="Y9721" s="8"/>
    </row>
    <row r="9722" ht="14.25">
      <c r="B9722" s="8" t="s">
        <v>653</v>
      </c>
      <c r="C9722" s="8" t="s">
        <v>42802</v>
      </c>
      <c r="D9722" s="8" t="s">
        <v>341</v>
      </c>
      <c r="E9722" s="8" t="s">
        <v>42803</v>
      </c>
      <c r="F9722" s="8" t="str">
        <f>IFERROR(__XLUDF.DUMMYFUNCTION("PROPER(REGEXREPLACE(D107,""[^A-Za-z]+ "",""""))"),"Lebroker")</f>
        <v>Lebroker</v>
      </c>
      <c r="G9722" s="8" t="s">
        <v>42804</v>
      </c>
      <c r="H9722" s="9">
        <v>3</v>
      </c>
      <c r="I9722" s="8" t="s">
        <v>39661</v>
      </c>
      <c r="J9722" s="8" t="str">
        <f>IFERROR(__XLUDF.DUMMYFUNCTION("VLOOKUP(H107,IMPORTRANGE(""https://docs.google.com/spreadsheets/d/1opm6ZNvGZ7KditA9TuJwrZ25eFLfTNIkrNnY6mhV5Eg"",""list!A1:C115""),3,TRUE)"),"le secteur des assurances")</f>
        <v xml:space="preserve">le secteur des assurances</v>
      </c>
      <c r="K9722" s="10" t="s">
        <v>42805</v>
      </c>
      <c r="L9722" s="10" t="s">
        <v>42806</v>
      </c>
      <c r="M9722" s="8" t="s">
        <v>39</v>
      </c>
      <c r="N9722" s="8" t="s">
        <v>29</v>
      </c>
      <c r="O9722" s="8" t="s">
        <v>9160</v>
      </c>
      <c r="P9722" s="8"/>
      <c r="Q9722" s="8" t="s">
        <v>42807</v>
      </c>
      <c r="R9722" s="8"/>
      <c r="S9722" s="8"/>
      <c r="T9722" s="8"/>
      <c r="U9722" s="8"/>
      <c r="V9722" s="8"/>
      <c r="W9722" s="8"/>
      <c r="X9722" s="8"/>
      <c r="Y9722" s="8"/>
    </row>
    <row r="9723" ht="14.25">
      <c r="B9723" s="18" t="s">
        <v>11755</v>
      </c>
      <c r="C9723" s="18" t="s">
        <v>42808</v>
      </c>
      <c r="D9723" s="18" t="s">
        <v>164</v>
      </c>
      <c r="E9723" s="18" t="s">
        <v>42809</v>
      </c>
      <c r="F9723" s="8" t="str">
        <f>IFERROR(__XLUDF.DUMMYFUNCTION("PROPER(REGEXREPLACE(D108,""[^A-Za-z]+ "",""""))"),"Altima Assurances")</f>
        <v xml:space="preserve">Altima Assurances</v>
      </c>
      <c r="G9723" s="18" t="s">
        <v>42810</v>
      </c>
      <c r="H9723" s="18">
        <v>82</v>
      </c>
      <c r="I9723" s="18" t="s">
        <v>39661</v>
      </c>
      <c r="J9723" s="8" t="str">
        <f>IFERROR(__XLUDF.DUMMYFUNCTION("VLOOKUP(H108,IMPORTRANGE(""https://docs.google.com/spreadsheets/d/1opm6ZNvGZ7KditA9TuJwrZ25eFLfTNIkrNnY6mhV5Eg"",""list!A1:C115""),3,TRUE)"),"le secteur des assurances")</f>
        <v xml:space="preserve">le secteur des assurances</v>
      </c>
      <c r="K9723" s="5" t="s">
        <v>42811</v>
      </c>
      <c r="L9723" s="5" t="s">
        <v>42812</v>
      </c>
      <c r="M9723" s="6"/>
      <c r="N9723" s="18" t="s">
        <v>29</v>
      </c>
      <c r="O9723" s="18" t="s">
        <v>42813</v>
      </c>
      <c r="P9723" s="18" t="s">
        <v>29</v>
      </c>
      <c r="Q9723" s="18" t="s">
        <v>42814</v>
      </c>
      <c r="R9723" s="6"/>
      <c r="S9723" s="6"/>
      <c r="T9723" s="6"/>
      <c r="U9723" s="6"/>
      <c r="V9723" s="6"/>
      <c r="W9723" s="6"/>
      <c r="X9723" s="6"/>
      <c r="Y9723" s="6"/>
    </row>
    <row r="9724" ht="14.25">
      <c r="B9724" s="8" t="s">
        <v>2925</v>
      </c>
      <c r="C9724" s="8" t="s">
        <v>42815</v>
      </c>
      <c r="D9724" s="8" t="s">
        <v>42816</v>
      </c>
      <c r="E9724" s="8" t="s">
        <v>42817</v>
      </c>
      <c r="F9724" s="8" t="str">
        <f>IFERROR(__XLUDF.DUMMYFUNCTION("PROPER(REGEXREPLACE(D109,""[^A-Za-z]+ "",""""))"),"Achille Courtage")</f>
        <v xml:space="preserve">Achille Courtage</v>
      </c>
      <c r="G9724" s="8" t="s">
        <v>42818</v>
      </c>
      <c r="H9724" s="9">
        <v>14</v>
      </c>
      <c r="I9724" s="8" t="s">
        <v>39661</v>
      </c>
      <c r="J9724" s="8" t="str">
        <f>IFERROR(__XLUDF.DUMMYFUNCTION("VLOOKUP(H109,IMPORTRANGE(""https://docs.google.com/spreadsheets/d/1opm6ZNvGZ7KditA9TuJwrZ25eFLfTNIkrNnY6mhV5Eg"",""list!A1:C115""),3,TRUE)"),"le secteur des assurances")</f>
        <v xml:space="preserve">le secteur des assurances</v>
      </c>
      <c r="K9724" s="10" t="s">
        <v>42819</v>
      </c>
      <c r="L9724" s="10" t="s">
        <v>42820</v>
      </c>
      <c r="M9724" s="8" t="s">
        <v>562</v>
      </c>
      <c r="N9724" s="8" t="s">
        <v>29</v>
      </c>
      <c r="O9724" s="8" t="s">
        <v>9215</v>
      </c>
      <c r="P9724" s="8"/>
      <c r="Q9724" s="8"/>
      <c r="R9724" s="8"/>
      <c r="S9724" s="8"/>
      <c r="T9724" s="8"/>
      <c r="U9724" s="8"/>
      <c r="V9724" s="8"/>
      <c r="W9724" s="8"/>
      <c r="X9724" s="8"/>
      <c r="Y9724" s="8"/>
    </row>
    <row r="9725" ht="14.25">
      <c r="B9725" s="8" t="s">
        <v>630</v>
      </c>
      <c r="C9725" s="8" t="s">
        <v>42821</v>
      </c>
      <c r="D9725" s="8" t="s">
        <v>332</v>
      </c>
      <c r="E9725" s="8" t="s">
        <v>42822</v>
      </c>
      <c r="F9725" s="8" t="str">
        <f>IFERROR(__XLUDF.DUMMYFUNCTION("PROPER(REGEXREPLACE(D110,""[^A-Za-z]+ "",""""))"),"Cohérence Assurance")</f>
        <v xml:space="preserve">Cohérence Assurance</v>
      </c>
      <c r="G9725" s="8" t="s">
        <v>42823</v>
      </c>
      <c r="H9725" s="9">
        <v>1</v>
      </c>
      <c r="I9725" s="8" t="s">
        <v>39661</v>
      </c>
      <c r="J9725" s="8" t="str">
        <f>IFERROR(__XLUDF.DUMMYFUNCTION("VLOOKUP(H110,IMPORTRANGE(""https://docs.google.com/spreadsheets/d/1opm6ZNvGZ7KditA9TuJwrZ25eFLfTNIkrNnY6mhV5Eg"",""list!A1:C115""),3,TRUE)"),"le secteur des assurances")</f>
        <v xml:space="preserve">le secteur des assurances</v>
      </c>
      <c r="K9725" s="10" t="s">
        <v>42824</v>
      </c>
      <c r="L9725" s="10" t="s">
        <v>42825</v>
      </c>
      <c r="M9725" s="8" t="s">
        <v>16458</v>
      </c>
      <c r="N9725" s="8" t="s">
        <v>29</v>
      </c>
      <c r="O9725" s="8" t="s">
        <v>9864</v>
      </c>
      <c r="P9725" s="8"/>
      <c r="Q9725" s="8"/>
      <c r="R9725" s="8"/>
      <c r="S9725" s="8"/>
      <c r="T9725" s="8"/>
      <c r="U9725" s="8"/>
      <c r="V9725" s="8"/>
      <c r="W9725" s="8"/>
      <c r="X9725" s="8"/>
      <c r="Y9725" s="8"/>
    </row>
    <row r="9726" ht="14.25">
      <c r="B9726" s="8" t="s">
        <v>110</v>
      </c>
      <c r="C9726" s="8" t="s">
        <v>42826</v>
      </c>
      <c r="D9726" s="8" t="s">
        <v>42827</v>
      </c>
      <c r="E9726" s="8" t="s">
        <v>42828</v>
      </c>
      <c r="F9726" s="8" t="str">
        <f>IFERROR(__XLUDF.DUMMYFUNCTION("PROPER(REGEXREPLACE(D111,""[^A-Za-z]+ "",""""))"),"Certificall")</f>
        <v>Certificall</v>
      </c>
      <c r="G9726" s="8" t="s">
        <v>42829</v>
      </c>
      <c r="H9726" s="9">
        <v>11</v>
      </c>
      <c r="I9726" s="8" t="s">
        <v>39661</v>
      </c>
      <c r="J9726" s="8" t="str">
        <f>IFERROR(__XLUDF.DUMMYFUNCTION("VLOOKUP(H111,IMPORTRANGE(""https://docs.google.com/spreadsheets/d/1opm6ZNvGZ7KditA9TuJwrZ25eFLfTNIkrNnY6mhV5Eg"",""list!A1:C115""),3,TRUE)"),"le secteur des assurances")</f>
        <v xml:space="preserve">le secteur des assurances</v>
      </c>
      <c r="K9726" s="10" t="s">
        <v>42830</v>
      </c>
      <c r="L9726" s="8" t="s">
        <v>42831</v>
      </c>
      <c r="M9726" s="8" t="s">
        <v>83</v>
      </c>
      <c r="N9726" s="8" t="s">
        <v>29</v>
      </c>
      <c r="O9726" s="8" t="s">
        <v>9460</v>
      </c>
      <c r="P9726" s="8"/>
      <c r="Q9726" s="8" t="s">
        <v>42832</v>
      </c>
      <c r="R9726" s="8"/>
      <c r="S9726" s="8"/>
      <c r="T9726" s="8"/>
      <c r="U9726" s="8"/>
      <c r="V9726" s="8"/>
      <c r="W9726" s="8"/>
      <c r="X9726" s="8"/>
      <c r="Y9726" s="8"/>
    </row>
    <row r="9727" ht="14.25">
      <c r="B9727" s="8" t="s">
        <v>622</v>
      </c>
      <c r="C9727" s="8" t="s">
        <v>42833</v>
      </c>
      <c r="D9727" s="8" t="s">
        <v>42834</v>
      </c>
      <c r="E9727" s="8" t="s">
        <v>42835</v>
      </c>
      <c r="F9727" s="8" t="str">
        <f>IFERROR(__XLUDF.DUMMYFUNCTION("PROPER(REGEXREPLACE(D112,""[^A-Za-z]+ "",""""))"),"Mftgs")</f>
        <v>Mftgs</v>
      </c>
      <c r="G9727" s="8" t="s">
        <v>42836</v>
      </c>
      <c r="H9727" s="9">
        <v>9</v>
      </c>
      <c r="I9727" s="8" t="s">
        <v>39661</v>
      </c>
      <c r="J9727" s="8" t="str">
        <f>IFERROR(__XLUDF.DUMMYFUNCTION("VLOOKUP(H112,IMPORTRANGE(""https://docs.google.com/spreadsheets/d/1opm6ZNvGZ7KditA9TuJwrZ25eFLfTNIkrNnY6mhV5Eg"",""list!A1:C115""),3,TRUE)"),"le secteur des assurances")</f>
        <v xml:space="preserve">le secteur des assurances</v>
      </c>
      <c r="K9727" s="10" t="s">
        <v>42837</v>
      </c>
      <c r="L9727" s="10" t="s">
        <v>42838</v>
      </c>
      <c r="M9727" s="8" t="s">
        <v>39</v>
      </c>
      <c r="N9727" s="8" t="s">
        <v>29</v>
      </c>
      <c r="O9727" s="8" t="s">
        <v>9160</v>
      </c>
      <c r="P9727" s="8"/>
      <c r="Q9727" s="8" t="s">
        <v>42839</v>
      </c>
      <c r="R9727" s="8"/>
      <c r="S9727" s="8"/>
      <c r="T9727" s="8"/>
      <c r="U9727" s="8"/>
      <c r="V9727" s="8"/>
      <c r="W9727" s="8"/>
      <c r="X9727" s="8"/>
      <c r="Y9727" s="8"/>
    </row>
    <row r="9728" ht="14.25">
      <c r="B9728" s="8" t="s">
        <v>36291</v>
      </c>
      <c r="C9728" s="8" t="s">
        <v>42840</v>
      </c>
      <c r="D9728" s="8" t="s">
        <v>172</v>
      </c>
      <c r="E9728" s="8" t="s">
        <v>42841</v>
      </c>
      <c r="F9728" s="8" t="str">
        <f>IFERROR(__XLUDF.DUMMYFUNCTION("PROPER(REGEXREPLACE(D113,""[^A-Za-z]+ "",""""))"),"Mutuelle Des Assures Sociauxmas")</f>
        <v xml:space="preserve">Mutuelle Des Assures Sociauxmas</v>
      </c>
      <c r="G9728" s="8" t="s">
        <v>42842</v>
      </c>
      <c r="H9728" s="9">
        <v>3</v>
      </c>
      <c r="I9728" s="8" t="s">
        <v>39661</v>
      </c>
      <c r="J9728" s="8" t="str">
        <f>IFERROR(__XLUDF.DUMMYFUNCTION("VLOOKUP(H113,IMPORTRANGE(""https://docs.google.com/spreadsheets/d/1opm6ZNvGZ7KditA9TuJwrZ25eFLfTNIkrNnY6mhV5Eg"",""list!A1:C115""),3,TRUE)"),"le secteur des assurances")</f>
        <v xml:space="preserve">le secteur des assurances</v>
      </c>
      <c r="K9728" s="10" t="s">
        <v>42843</v>
      </c>
      <c r="L9728" s="10" t="s">
        <v>42844</v>
      </c>
      <c r="M9728" s="8" t="s">
        <v>295</v>
      </c>
      <c r="N9728" s="8" t="s">
        <v>29</v>
      </c>
      <c r="O9728" s="8" t="s">
        <v>9251</v>
      </c>
      <c r="P9728" s="8"/>
      <c r="Q9728" s="8" t="s">
        <v>42845</v>
      </c>
      <c r="R9728" s="8"/>
      <c r="S9728" s="8"/>
      <c r="T9728" s="8"/>
      <c r="U9728" s="8"/>
      <c r="V9728" s="8"/>
      <c r="W9728" s="8"/>
      <c r="X9728" s="8"/>
      <c r="Y9728" s="8"/>
    </row>
    <row r="9729" ht="14.25">
      <c r="B9729" s="8" t="s">
        <v>986</v>
      </c>
      <c r="C9729" s="8" t="s">
        <v>42846</v>
      </c>
      <c r="D9729" s="8" t="s">
        <v>42847</v>
      </c>
      <c r="E9729" s="8" t="s">
        <v>42848</v>
      </c>
      <c r="F9729" s="8" t="str">
        <f>IFERROR(__XLUDF.DUMMYFUNCTION("PROPER(REGEXREPLACE(D114,""[^A-Za-z]+ "",""""))"),"Sogama Crédit Associatif")</f>
        <v xml:space="preserve">Sogama Crédit Associatif</v>
      </c>
      <c r="G9729" s="8" t="s">
        <v>42849</v>
      </c>
      <c r="H9729" s="9">
        <v>10</v>
      </c>
      <c r="I9729" s="8" t="s">
        <v>39661</v>
      </c>
      <c r="J9729" s="8" t="str">
        <f>IFERROR(__XLUDF.DUMMYFUNCTION("VLOOKUP(H114,IMPORTRANGE(""https://docs.google.com/spreadsheets/d/1opm6ZNvGZ7KditA9TuJwrZ25eFLfTNIkrNnY6mhV5Eg"",""list!A1:C115""),3,TRUE)"),"le secteur des assurances")</f>
        <v xml:space="preserve">le secteur des assurances</v>
      </c>
      <c r="K9729" s="10" t="s">
        <v>42850</v>
      </c>
      <c r="L9729" s="10" t="s">
        <v>42851</v>
      </c>
      <c r="M9729" s="8" t="s">
        <v>39</v>
      </c>
      <c r="N9729" s="8" t="s">
        <v>29</v>
      </c>
      <c r="O9729" s="8" t="s">
        <v>9160</v>
      </c>
      <c r="P9729" s="8"/>
      <c r="Q9729" s="8"/>
      <c r="R9729" s="8"/>
      <c r="S9729" s="8"/>
      <c r="T9729" s="8"/>
      <c r="U9729" s="8"/>
      <c r="V9729" s="8"/>
      <c r="W9729" s="8"/>
      <c r="X9729" s="8"/>
      <c r="Y9729" s="8"/>
    </row>
    <row r="9730" ht="14.25">
      <c r="B9730" s="8" t="s">
        <v>3359</v>
      </c>
      <c r="C9730" s="8" t="s">
        <v>817</v>
      </c>
      <c r="D9730" s="8" t="s">
        <v>112</v>
      </c>
      <c r="E9730" s="8" t="s">
        <v>42852</v>
      </c>
      <c r="F9730" s="8" t="str">
        <f>IFERROR(__XLUDF.DUMMYFUNCTION("PROPER(REGEXREPLACE(D115,""[^A-Za-z]+ "",""""))"),"Optimus Protect")</f>
        <v xml:space="preserve">Optimus Protect</v>
      </c>
      <c r="G9730" s="8" t="s">
        <v>42853</v>
      </c>
      <c r="H9730" s="9">
        <v>1</v>
      </c>
      <c r="I9730" s="8" t="s">
        <v>39661</v>
      </c>
      <c r="J9730" s="8" t="str">
        <f>IFERROR(__XLUDF.DUMMYFUNCTION("VLOOKUP(H115,IMPORTRANGE(""https://docs.google.com/spreadsheets/d/1opm6ZNvGZ7KditA9TuJwrZ25eFLfTNIkrNnY6mhV5Eg"",""list!A1:C115""),3,TRUE)"),"le secteur des assurances")</f>
        <v xml:space="preserve">le secteur des assurances</v>
      </c>
      <c r="K9730" s="10" t="s">
        <v>42854</v>
      </c>
      <c r="L9730" s="10" t="s">
        <v>42855</v>
      </c>
      <c r="M9730" s="8"/>
      <c r="N9730" s="8" t="s">
        <v>29</v>
      </c>
      <c r="O9730" s="8" t="s">
        <v>9350</v>
      </c>
      <c r="P9730" s="8"/>
      <c r="Q9730" s="8" t="s">
        <v>42856</v>
      </c>
      <c r="R9730" s="8"/>
      <c r="S9730" s="8"/>
      <c r="T9730" s="8"/>
      <c r="U9730" s="8"/>
      <c r="V9730" s="8"/>
      <c r="W9730" s="8"/>
      <c r="X9730" s="8"/>
      <c r="Y9730" s="8"/>
    </row>
    <row r="9731" ht="14.25">
      <c r="B9731" s="18" t="s">
        <v>222</v>
      </c>
      <c r="C9731" s="18" t="s">
        <v>42857</v>
      </c>
      <c r="D9731" s="18" t="s">
        <v>8042</v>
      </c>
      <c r="E9731" s="18" t="s">
        <v>42858</v>
      </c>
      <c r="F9731" s="8" t="str">
        <f>IFERROR(__XLUDF.DUMMYFUNCTION("PROPER(REGEXREPLACE(D116,""[^A-Za-z]+ "",""""))"),"Garantie-Privée.Com")</f>
        <v>Garantie-Privée.Com</v>
      </c>
      <c r="G9731" s="18" t="s">
        <v>42859</v>
      </c>
      <c r="H9731" s="18">
        <v>54</v>
      </c>
      <c r="I9731" s="18" t="s">
        <v>39661</v>
      </c>
      <c r="J9731" s="8" t="str">
        <f>IFERROR(__XLUDF.DUMMYFUNCTION("VLOOKUP(H116,IMPORTRANGE(""https://docs.google.com/spreadsheets/d/1opm6ZNvGZ7KditA9TuJwrZ25eFLfTNIkrNnY6mhV5Eg"",""list!A1:C115""),3,TRUE)"),"le secteur des assurances")</f>
        <v xml:space="preserve">le secteur des assurances</v>
      </c>
      <c r="K9731" s="5" t="s">
        <v>42860</v>
      </c>
      <c r="L9731" s="5" t="s">
        <v>42861</v>
      </c>
      <c r="M9731" s="18" t="s">
        <v>243</v>
      </c>
      <c r="N9731" s="18" t="s">
        <v>29</v>
      </c>
      <c r="O9731" s="18" t="s">
        <v>42862</v>
      </c>
      <c r="P9731" s="18" t="s">
        <v>29</v>
      </c>
      <c r="Q9731" s="18" t="s">
        <v>42863</v>
      </c>
      <c r="R9731" s="6"/>
      <c r="S9731" s="6"/>
      <c r="T9731" s="6"/>
      <c r="U9731" s="6"/>
      <c r="V9731" s="6"/>
      <c r="W9731" s="6"/>
      <c r="X9731" s="6"/>
      <c r="Y9731" s="6"/>
    </row>
    <row r="9732" ht="14.25">
      <c r="B9732" s="8" t="s">
        <v>630</v>
      </c>
      <c r="C9732" s="8" t="s">
        <v>42864</v>
      </c>
      <c r="D9732" s="8" t="s">
        <v>112</v>
      </c>
      <c r="E9732" s="8" t="s">
        <v>42865</v>
      </c>
      <c r="F9732" s="8" t="str">
        <f>IFERROR(__XLUDF.DUMMYFUNCTION("PROPER(REGEXREPLACE(D117,""[^A-Za-z]+ "",""""))"),"Le Comptoir Des Assurances")</f>
        <v xml:space="preserve">Le Comptoir Des Assurances</v>
      </c>
      <c r="G9732" s="8" t="s">
        <v>42866</v>
      </c>
      <c r="H9732" s="9">
        <v>4</v>
      </c>
      <c r="I9732" s="8" t="s">
        <v>39661</v>
      </c>
      <c r="J9732" s="8" t="str">
        <f>IFERROR(__XLUDF.DUMMYFUNCTION("VLOOKUP(H117,IMPORTRANGE(""https://docs.google.com/spreadsheets/d/1opm6ZNvGZ7KditA9TuJwrZ25eFLfTNIkrNnY6mhV5Eg"",""list!A1:C115""),3,TRUE)"),"le secteur des assurances")</f>
        <v xml:space="preserve">le secteur des assurances</v>
      </c>
      <c r="K9732" s="10" t="s">
        <v>42867</v>
      </c>
      <c r="L9732" s="10" t="s">
        <v>42868</v>
      </c>
      <c r="M9732" s="8" t="s">
        <v>1204</v>
      </c>
      <c r="N9732" s="8" t="s">
        <v>29</v>
      </c>
      <c r="O9732" s="8" t="s">
        <v>10829</v>
      </c>
      <c r="P9732" s="8"/>
      <c r="Q9732" s="8" t="s">
        <v>42869</v>
      </c>
      <c r="R9732" s="8"/>
      <c r="S9732" s="8"/>
      <c r="T9732" s="8"/>
      <c r="U9732" s="8"/>
      <c r="V9732" s="8"/>
      <c r="W9732" s="8"/>
      <c r="X9732" s="8"/>
      <c r="Y9732" s="8"/>
    </row>
    <row r="9733" ht="14.25">
      <c r="B9733" s="8" t="s">
        <v>785</v>
      </c>
      <c r="C9733" s="8" t="s">
        <v>42870</v>
      </c>
      <c r="D9733" s="8" t="s">
        <v>341</v>
      </c>
      <c r="E9733" s="8" t="s">
        <v>42871</v>
      </c>
      <c r="F9733" s="8" t="str">
        <f>IFERROR(__XLUDF.DUMMYFUNCTION("PROPER(REGEXREPLACE(D118,""[^A-Za-z]+ "",""""))"),"Optirisk")</f>
        <v>Optirisk</v>
      </c>
      <c r="G9733" s="8" t="s">
        <v>42872</v>
      </c>
      <c r="H9733" s="9">
        <v>2</v>
      </c>
      <c r="I9733" s="8" t="s">
        <v>39661</v>
      </c>
      <c r="J9733" s="8" t="str">
        <f>IFERROR(__XLUDF.DUMMYFUNCTION("VLOOKUP(H118,IMPORTRANGE(""https://docs.google.com/spreadsheets/d/1opm6ZNvGZ7KditA9TuJwrZ25eFLfTNIkrNnY6mhV5Eg"",""list!A1:C115""),3,TRUE)"),"le secteur des assurances")</f>
        <v xml:space="preserve">le secteur des assurances</v>
      </c>
      <c r="K9733" s="10" t="s">
        <v>42873</v>
      </c>
      <c r="L9733" s="10" t="s">
        <v>42874</v>
      </c>
      <c r="M9733" s="8" t="s">
        <v>185</v>
      </c>
      <c r="N9733" s="8" t="s">
        <v>29</v>
      </c>
      <c r="O9733" s="8" t="s">
        <v>9193</v>
      </c>
      <c r="P9733" s="8"/>
      <c r="Q9733" s="8"/>
      <c r="R9733" s="8"/>
      <c r="S9733" s="8"/>
      <c r="T9733" s="8"/>
      <c r="U9733" s="8"/>
      <c r="V9733" s="8"/>
      <c r="W9733" s="8"/>
      <c r="X9733" s="8"/>
      <c r="Y9733" s="8"/>
    </row>
    <row r="9734" ht="14.25">
      <c r="B9734" s="8" t="s">
        <v>7451</v>
      </c>
      <c r="C9734" s="8" t="s">
        <v>42875</v>
      </c>
      <c r="D9734" s="8" t="s">
        <v>2636</v>
      </c>
      <c r="E9734" s="8" t="s">
        <v>42876</v>
      </c>
      <c r="F9734" s="8" t="str">
        <f>IFERROR(__XLUDF.DUMMYFUNCTION("PROPER(REGEXREPLACE(D119,""[^A-Za-z]+ "",""""))"),"Agence Paulin")</f>
        <v xml:space="preserve">Agence Paulin</v>
      </c>
      <c r="G9734" s="8" t="s">
        <v>42877</v>
      </c>
      <c r="H9734" s="9">
        <v>7</v>
      </c>
      <c r="I9734" s="8" t="s">
        <v>39661</v>
      </c>
      <c r="J9734" s="8" t="str">
        <f>IFERROR(__XLUDF.DUMMYFUNCTION("VLOOKUP(H119,IMPORTRANGE(""https://docs.google.com/spreadsheets/d/1opm6ZNvGZ7KditA9TuJwrZ25eFLfTNIkrNnY6mhV5Eg"",""list!A1:C115""),3,TRUE)"),"le secteur des assurances")</f>
        <v xml:space="preserve">le secteur des assurances</v>
      </c>
      <c r="K9734" s="10" t="s">
        <v>42878</v>
      </c>
      <c r="L9734" s="10" t="s">
        <v>42879</v>
      </c>
      <c r="M9734" s="8" t="s">
        <v>49</v>
      </c>
      <c r="N9734" s="8" t="s">
        <v>29</v>
      </c>
      <c r="O9734" s="8" t="s">
        <v>9251</v>
      </c>
      <c r="P9734" s="8"/>
      <c r="Q9734" s="8" t="s">
        <v>42880</v>
      </c>
      <c r="R9734" s="8"/>
      <c r="S9734" s="8"/>
      <c r="T9734" s="8"/>
      <c r="U9734" s="8"/>
      <c r="V9734" s="8"/>
      <c r="W9734" s="8"/>
      <c r="X9734" s="8"/>
      <c r="Y9734" s="8"/>
    </row>
    <row r="9735" ht="14.25">
      <c r="B9735" s="8" t="s">
        <v>734</v>
      </c>
      <c r="C9735" s="8" t="s">
        <v>42881</v>
      </c>
      <c r="D9735" s="8" t="s">
        <v>7759</v>
      </c>
      <c r="E9735" s="8" t="s">
        <v>42882</v>
      </c>
      <c r="F9735" s="8" t="str">
        <f>IFERROR(__XLUDF.DUMMYFUNCTION("PROPER(REGEXREPLACE(D120,""[^A-Za-z]+ "",""""))"),"Cabinet Burgos")</f>
        <v xml:space="preserve">Cabinet Burgos</v>
      </c>
      <c r="G9735" s="8" t="s">
        <v>42883</v>
      </c>
      <c r="H9735" s="9">
        <v>9</v>
      </c>
      <c r="I9735" s="8" t="s">
        <v>39661</v>
      </c>
      <c r="J9735" s="8" t="str">
        <f>IFERROR(__XLUDF.DUMMYFUNCTION("VLOOKUP(H120,IMPORTRANGE(""https://docs.google.com/spreadsheets/d/1opm6ZNvGZ7KditA9TuJwrZ25eFLfTNIkrNnY6mhV5Eg"",""list!A1:C115""),3,TRUE)"),"le secteur des assurances")</f>
        <v xml:space="preserve">le secteur des assurances</v>
      </c>
      <c r="K9735" s="10" t="s">
        <v>42884</v>
      </c>
      <c r="L9735" s="10" t="s">
        <v>42885</v>
      </c>
      <c r="M9735" s="8" t="s">
        <v>42886</v>
      </c>
      <c r="N9735" s="8" t="s">
        <v>29</v>
      </c>
      <c r="O9735" s="8" t="s">
        <v>9350</v>
      </c>
      <c r="P9735" s="8"/>
      <c r="Q9735" s="8" t="s">
        <v>42887</v>
      </c>
      <c r="R9735" s="8"/>
      <c r="S9735" s="8"/>
      <c r="T9735" s="8"/>
      <c r="U9735" s="8"/>
      <c r="V9735" s="8"/>
      <c r="W9735" s="8"/>
      <c r="X9735" s="8"/>
      <c r="Y9735" s="8"/>
    </row>
    <row r="9736" ht="14.25">
      <c r="B9736" s="18" t="s">
        <v>5111</v>
      </c>
      <c r="C9736" s="18" t="s">
        <v>42888</v>
      </c>
      <c r="D9736" s="18" t="s">
        <v>42889</v>
      </c>
      <c r="E9736" s="18" t="s">
        <v>42890</v>
      </c>
      <c r="F9736" s="8" t="str">
        <f>IFERROR(__XLUDF.DUMMYFUNCTION("PROPER(REGEXREPLACE(D121,""[^A-Za-z]+ "",""""))"),"Polyexpert Construction")</f>
        <v xml:space="preserve">Polyexpert Construction</v>
      </c>
      <c r="G9736" s="18" t="s">
        <v>42891</v>
      </c>
      <c r="H9736" s="18">
        <v>65</v>
      </c>
      <c r="I9736" s="18" t="s">
        <v>39661</v>
      </c>
      <c r="J9736" s="8" t="str">
        <f>IFERROR(__XLUDF.DUMMYFUNCTION("VLOOKUP(H121,IMPORTRANGE(""https://docs.google.com/spreadsheets/d/1opm6ZNvGZ7KditA9TuJwrZ25eFLfTNIkrNnY6mhV5Eg"",""list!A1:C115""),3,TRUE)"),"le secteur des assurances")</f>
        <v xml:space="preserve">le secteur des assurances</v>
      </c>
      <c r="K9736" s="5" t="s">
        <v>42892</v>
      </c>
      <c r="L9736" s="5" t="s">
        <v>42893</v>
      </c>
      <c r="M9736" s="18" t="s">
        <v>39</v>
      </c>
      <c r="N9736" s="18" t="s">
        <v>29</v>
      </c>
      <c r="O9736" s="18" t="s">
        <v>42894</v>
      </c>
      <c r="P9736" s="18" t="s">
        <v>29</v>
      </c>
      <c r="Q9736" s="18" t="s">
        <v>42895</v>
      </c>
      <c r="R9736" s="6"/>
      <c r="S9736" s="6"/>
      <c r="T9736" s="6"/>
      <c r="U9736" s="6"/>
      <c r="V9736" s="6"/>
      <c r="W9736" s="6"/>
      <c r="X9736" s="6"/>
      <c r="Y9736" s="6"/>
    </row>
    <row r="9737" ht="14.25">
      <c r="B9737" s="8" t="s">
        <v>6788</v>
      </c>
      <c r="C9737" s="8" t="s">
        <v>9827</v>
      </c>
      <c r="D9737" s="8" t="s">
        <v>42896</v>
      </c>
      <c r="E9737" s="8" t="s">
        <v>42897</v>
      </c>
      <c r="F9737" s="8" t="str">
        <f>IFERROR(__XLUDF.DUMMYFUNCTION("PROPER(REGEXREPLACE(D122,""[^A-Za-z]+ "",""""))"),"Cabinet Prevaccord")</f>
        <v xml:space="preserve">Cabinet Prevaccord</v>
      </c>
      <c r="G9737" s="8" t="s">
        <v>42898</v>
      </c>
      <c r="H9737" s="9">
        <v>2</v>
      </c>
      <c r="I9737" s="8" t="s">
        <v>39661</v>
      </c>
      <c r="J9737" s="8" t="str">
        <f>IFERROR(__XLUDF.DUMMYFUNCTION("VLOOKUP(H122,IMPORTRANGE(""https://docs.google.com/spreadsheets/d/1opm6ZNvGZ7KditA9TuJwrZ25eFLfTNIkrNnY6mhV5Eg"",""list!A1:C115""),3,TRUE)"),"le secteur des assurances")</f>
        <v xml:space="preserve">le secteur des assurances</v>
      </c>
      <c r="K9737" s="10" t="s">
        <v>42899</v>
      </c>
      <c r="L9737" s="10" t="s">
        <v>42900</v>
      </c>
      <c r="M9737" s="8" t="s">
        <v>42901</v>
      </c>
      <c r="N9737" s="8" t="s">
        <v>29</v>
      </c>
      <c r="O9737" s="8" t="s">
        <v>9251</v>
      </c>
      <c r="P9737" s="8"/>
      <c r="Q9737" s="8"/>
      <c r="R9737" s="8"/>
      <c r="S9737" s="8"/>
      <c r="T9737" s="8"/>
      <c r="U9737" s="8"/>
      <c r="V9737" s="8"/>
      <c r="W9737" s="8"/>
      <c r="X9737" s="8"/>
      <c r="Y9737" s="8"/>
    </row>
    <row r="9738" ht="14.25">
      <c r="B9738" s="18" t="s">
        <v>42902</v>
      </c>
      <c r="C9738" s="18" t="s">
        <v>42903</v>
      </c>
      <c r="D9738" s="18" t="s">
        <v>198</v>
      </c>
      <c r="E9738" s="18" t="s">
        <v>42904</v>
      </c>
      <c r="F9738" s="8" t="str">
        <f>IFERROR(__XLUDF.DUMMYFUNCTION("PROPER(REGEXREPLACE(D123,""[^A-Za-z]+ "",""""))"),"Ciblexperts")</f>
        <v>Ciblexperts</v>
      </c>
      <c r="G9738" s="18" t="s">
        <v>42905</v>
      </c>
      <c r="H9738" s="18">
        <v>86</v>
      </c>
      <c r="I9738" s="18" t="s">
        <v>39661</v>
      </c>
      <c r="J9738" s="8" t="str">
        <f>IFERROR(__XLUDF.DUMMYFUNCTION("VLOOKUP(H123,IMPORTRANGE(""https://docs.google.com/spreadsheets/d/1opm6ZNvGZ7KditA9TuJwrZ25eFLfTNIkrNnY6mhV5Eg"",""list!A1:C115""),3,TRUE)"),"le secteur des assurances")</f>
        <v xml:space="preserve">le secteur des assurances</v>
      </c>
      <c r="K9738" s="5" t="s">
        <v>42906</v>
      </c>
      <c r="L9738" s="5" t="s">
        <v>42907</v>
      </c>
      <c r="M9738" s="6"/>
      <c r="N9738" s="18" t="s">
        <v>29</v>
      </c>
      <c r="O9738" s="18" t="s">
        <v>30087</v>
      </c>
      <c r="P9738" s="18" t="s">
        <v>29</v>
      </c>
      <c r="Q9738" s="6"/>
      <c r="R9738" s="6"/>
      <c r="S9738" s="6"/>
      <c r="T9738" s="6"/>
      <c r="U9738" s="6"/>
      <c r="V9738" s="6"/>
      <c r="W9738" s="6"/>
      <c r="X9738" s="6"/>
      <c r="Y9738" s="6"/>
    </row>
    <row r="9739" ht="14.25">
      <c r="B9739" s="8" t="s">
        <v>1215</v>
      </c>
      <c r="C9739" s="8" t="s">
        <v>42908</v>
      </c>
      <c r="D9739" s="8" t="s">
        <v>5500</v>
      </c>
      <c r="E9739" s="8" t="s">
        <v>42909</v>
      </c>
      <c r="F9739" s="8" t="str">
        <f>IFERROR(__XLUDF.DUMMYFUNCTION("PROPER(REGEXREPLACE(D124,""[^A-Za-z]+ "",""""))"),"Puechblancassociés")</f>
        <v>Puechblancassociés</v>
      </c>
      <c r="G9739" s="8" t="s">
        <v>42910</v>
      </c>
      <c r="H9739" s="9">
        <v>5</v>
      </c>
      <c r="I9739" s="8" t="s">
        <v>39661</v>
      </c>
      <c r="J9739" s="8" t="str">
        <f>IFERROR(__XLUDF.DUMMYFUNCTION("VLOOKUP(H124,IMPORTRANGE(""https://docs.google.com/spreadsheets/d/1opm6ZNvGZ7KditA9TuJwrZ25eFLfTNIkrNnY6mhV5Eg"",""list!A1:C115""),3,TRUE)"),"le secteur des assurances")</f>
        <v xml:space="preserve">le secteur des assurances</v>
      </c>
      <c r="K9739" s="10" t="s">
        <v>42911</v>
      </c>
      <c r="L9739" s="10" t="s">
        <v>42912</v>
      </c>
      <c r="M9739" s="8" t="s">
        <v>83</v>
      </c>
      <c r="N9739" s="8" t="s">
        <v>29</v>
      </c>
      <c r="O9739" s="8" t="s">
        <v>9460</v>
      </c>
      <c r="P9739" s="8"/>
      <c r="Q9739" s="8"/>
      <c r="R9739" s="8"/>
      <c r="S9739" s="8"/>
      <c r="T9739" s="8"/>
      <c r="U9739" s="8"/>
      <c r="V9739" s="8"/>
      <c r="W9739" s="8"/>
      <c r="X9739" s="8"/>
      <c r="Y9739" s="8"/>
    </row>
    <row r="9740" ht="14.25">
      <c r="B9740" s="8" t="s">
        <v>2119</v>
      </c>
      <c r="C9740" s="8" t="s">
        <v>25049</v>
      </c>
      <c r="D9740" s="8" t="s">
        <v>42913</v>
      </c>
      <c r="E9740" s="8" t="s">
        <v>41862</v>
      </c>
      <c r="F9740" s="8" t="str">
        <f>IFERROR(__XLUDF.DUMMYFUNCTION("PROPER(REGEXREPLACE(D125,""[^A-Za-z]+ "",""""))"),"Af Patrimoineimmobilier")</f>
        <v xml:space="preserve">Af Patrimoineimmobilier</v>
      </c>
      <c r="G9740" s="8" t="s">
        <v>42914</v>
      </c>
      <c r="H9740" s="9">
        <v>3</v>
      </c>
      <c r="I9740" s="8" t="s">
        <v>39661</v>
      </c>
      <c r="J9740" s="8" t="str">
        <f>IFERROR(__XLUDF.DUMMYFUNCTION("VLOOKUP(H125,IMPORTRANGE(""https://docs.google.com/spreadsheets/d/1opm6ZNvGZ7KditA9TuJwrZ25eFLfTNIkrNnY6mhV5Eg"",""list!A1:C115""),3,TRUE)"),"le secteur des assurances")</f>
        <v xml:space="preserve">le secteur des assurances</v>
      </c>
      <c r="K9740" s="10" t="s">
        <v>42915</v>
      </c>
      <c r="L9740" s="10" t="s">
        <v>42916</v>
      </c>
      <c r="M9740" s="8" t="s">
        <v>2186</v>
      </c>
      <c r="N9740" s="8" t="s">
        <v>29</v>
      </c>
      <c r="O9740" s="8" t="s">
        <v>11114</v>
      </c>
      <c r="P9740" s="8"/>
      <c r="Q9740" s="8"/>
      <c r="R9740" s="8"/>
      <c r="S9740" s="8"/>
      <c r="T9740" s="8"/>
      <c r="U9740" s="8"/>
      <c r="V9740" s="8"/>
      <c r="W9740" s="8"/>
      <c r="X9740" s="8"/>
      <c r="Y9740" s="8"/>
    </row>
    <row r="9741" ht="14.25">
      <c r="B9741" s="8" t="s">
        <v>42917</v>
      </c>
      <c r="C9741" s="8" t="s">
        <v>42918</v>
      </c>
      <c r="D9741" s="8" t="s">
        <v>7683</v>
      </c>
      <c r="E9741" s="8" t="s">
        <v>42919</v>
      </c>
      <c r="F9741" s="8" t="str">
        <f>IFERROR(__XLUDF.DUMMYFUNCTION("PROPER(REGEXREPLACE(D126,""[^A-Za-z]+ "",""""))"),"Assurezo")</f>
        <v>Assurezo</v>
      </c>
      <c r="G9741" s="8" t="s">
        <v>42920</v>
      </c>
      <c r="H9741" s="8"/>
      <c r="I9741" s="8"/>
      <c r="J9741" s="8" t="s">
        <v>42267</v>
      </c>
      <c r="K9741" s="10" t="s">
        <v>42921</v>
      </c>
      <c r="L9741" s="10" t="s">
        <v>42922</v>
      </c>
      <c r="M9741" s="8" t="s">
        <v>140</v>
      </c>
      <c r="N9741" s="8" t="s">
        <v>29</v>
      </c>
      <c r="O9741" s="8" t="s">
        <v>9160</v>
      </c>
      <c r="P9741" s="8"/>
      <c r="Q9741" s="8"/>
      <c r="R9741" s="8"/>
      <c r="S9741" s="8"/>
      <c r="T9741" s="8"/>
      <c r="U9741" s="8"/>
      <c r="V9741" s="8"/>
      <c r="W9741" s="8"/>
      <c r="X9741" s="8"/>
      <c r="Y9741" s="8"/>
    </row>
    <row r="9742" ht="14.25">
      <c r="B9742" s="8" t="s">
        <v>95</v>
      </c>
      <c r="C9742" s="8" t="s">
        <v>42923</v>
      </c>
      <c r="D9742" s="8" t="s">
        <v>112</v>
      </c>
      <c r="E9742" s="8" t="s">
        <v>42924</v>
      </c>
      <c r="F9742" s="8" t="str">
        <f>IFERROR(__XLUDF.DUMMYFUNCTION("PROPER(REGEXREPLACE(D127,""[^A-Za-z]+ "",""""))"),"Adam Assurances")</f>
        <v xml:space="preserve">Adam Assurances</v>
      </c>
      <c r="G9742" s="8" t="s">
        <v>42925</v>
      </c>
      <c r="H9742" s="9">
        <v>5</v>
      </c>
      <c r="I9742" s="8" t="s">
        <v>39661</v>
      </c>
      <c r="J9742" s="8" t="str">
        <f>IFERROR(__XLUDF.DUMMYFUNCTION("VLOOKUP(H127,IMPORTRANGE(""https://docs.google.com/spreadsheets/d/1opm6ZNvGZ7KditA9TuJwrZ25eFLfTNIkrNnY6mhV5Eg"",""list!A1:C115""),3,TRUE)"),"le secteur des assurances")</f>
        <v xml:space="preserve">le secteur des assurances</v>
      </c>
      <c r="K9742" s="10" t="s">
        <v>42926</v>
      </c>
      <c r="L9742" s="10" t="s">
        <v>42927</v>
      </c>
      <c r="M9742" s="8" t="s">
        <v>243</v>
      </c>
      <c r="N9742" s="8" t="s">
        <v>29</v>
      </c>
      <c r="O9742" s="8" t="s">
        <v>9864</v>
      </c>
      <c r="P9742" s="8"/>
      <c r="Q9742" s="8" t="s">
        <v>42928</v>
      </c>
      <c r="R9742" s="8"/>
      <c r="S9742" s="8"/>
      <c r="T9742" s="8"/>
      <c r="U9742" s="8"/>
      <c r="V9742" s="8"/>
      <c r="W9742" s="8"/>
      <c r="X9742" s="8"/>
      <c r="Y9742" s="8"/>
    </row>
    <row r="9743" ht="14.25">
      <c r="B9743" s="8" t="s">
        <v>21168</v>
      </c>
      <c r="C9743" s="8" t="s">
        <v>8303</v>
      </c>
      <c r="D9743" s="8" t="s">
        <v>2636</v>
      </c>
      <c r="E9743" s="8" t="s">
        <v>42929</v>
      </c>
      <c r="F9743" s="8" t="str">
        <f>IFERROR(__XLUDF.DUMMYFUNCTION("PROPER(REGEXREPLACE(D128,""[^A-Za-z]+ "",""""))"),"Pastel Patrimoine")</f>
        <v xml:space="preserve">Pastel Patrimoine</v>
      </c>
      <c r="G9743" s="8" t="s">
        <v>42930</v>
      </c>
      <c r="H9743" s="9">
        <v>1</v>
      </c>
      <c r="I9743" s="8" t="s">
        <v>39661</v>
      </c>
      <c r="J9743" s="8" t="str">
        <f>IFERROR(__XLUDF.DUMMYFUNCTION("VLOOKUP(H128,IMPORTRANGE(""https://docs.google.com/spreadsheets/d/1opm6ZNvGZ7KditA9TuJwrZ25eFLfTNIkrNnY6mhV5Eg"",""list!A1:C115""),3,TRUE)"),"le secteur des assurances")</f>
        <v xml:space="preserve">le secteur des assurances</v>
      </c>
      <c r="K9743" s="10" t="s">
        <v>42931</v>
      </c>
      <c r="L9743" s="10" t="s">
        <v>42932</v>
      </c>
      <c r="M9743" s="8" t="s">
        <v>83</v>
      </c>
      <c r="N9743" s="8" t="s">
        <v>29</v>
      </c>
      <c r="O9743" s="8" t="s">
        <v>9460</v>
      </c>
      <c r="P9743" s="8"/>
      <c r="Q9743" s="8" t="s">
        <v>42933</v>
      </c>
      <c r="R9743" s="8"/>
      <c r="S9743" s="8"/>
      <c r="T9743" s="8"/>
      <c r="U9743" s="8"/>
      <c r="V9743" s="8"/>
      <c r="W9743" s="8"/>
      <c r="X9743" s="8"/>
      <c r="Y9743" s="8"/>
    </row>
    <row r="9744" ht="14.25">
      <c r="B9744" s="8" t="s">
        <v>1583</v>
      </c>
      <c r="C9744" s="8" t="s">
        <v>2714</v>
      </c>
      <c r="D9744" s="8" t="s">
        <v>42934</v>
      </c>
      <c r="E9744" s="8" t="s">
        <v>42935</v>
      </c>
      <c r="F9744" s="8" t="str">
        <f>IFERROR(__XLUDF.DUMMYFUNCTION("PROPER(REGEXREPLACE(D129,""[^A-Za-z]+ "",""""))"),"Hta")</f>
        <v>Hta</v>
      </c>
      <c r="G9744" s="8" t="s">
        <v>42936</v>
      </c>
      <c r="H9744" s="8"/>
      <c r="I9744" s="8"/>
      <c r="J9744" s="8" t="s">
        <v>42267</v>
      </c>
      <c r="K9744" s="10" t="s">
        <v>42937</v>
      </c>
      <c r="L9744" s="10" t="s">
        <v>42938</v>
      </c>
      <c r="M9744" s="8" t="s">
        <v>39</v>
      </c>
      <c r="N9744" s="8" t="s">
        <v>29</v>
      </c>
      <c r="O9744" s="8" t="s">
        <v>9160</v>
      </c>
      <c r="P9744" s="8"/>
      <c r="Q9744" s="8"/>
      <c r="R9744" s="8"/>
      <c r="S9744" s="8"/>
      <c r="T9744" s="8"/>
      <c r="U9744" s="8"/>
      <c r="V9744" s="8"/>
      <c r="W9744" s="8"/>
      <c r="X9744" s="8"/>
      <c r="Y9744" s="8"/>
    </row>
    <row r="9745" ht="14.25">
      <c r="B9745" s="8" t="s">
        <v>1583</v>
      </c>
      <c r="C9745" s="8" t="s">
        <v>42939</v>
      </c>
      <c r="D9745" s="8" t="s">
        <v>172</v>
      </c>
      <c r="E9745" s="8" t="s">
        <v>42940</v>
      </c>
      <c r="F9745" s="8" t="str">
        <f>IFERROR(__XLUDF.DUMMYFUNCTION("PROPER(REGEXREPLACE(D130,""[^A-Za-z]+ "",""""))"),"Enexis Finance")</f>
        <v xml:space="preserve">Enexis Finance</v>
      </c>
      <c r="G9745" s="8" t="s">
        <v>42941</v>
      </c>
      <c r="H9745" s="9">
        <v>1</v>
      </c>
      <c r="I9745" s="8" t="s">
        <v>39661</v>
      </c>
      <c r="J9745" s="8" t="str">
        <f>IFERROR(__XLUDF.DUMMYFUNCTION("VLOOKUP(H130,IMPORTRANGE(""https://docs.google.com/spreadsheets/d/1opm6ZNvGZ7KditA9TuJwrZ25eFLfTNIkrNnY6mhV5Eg"",""list!A1:C115""),3,TRUE)"),"le secteur des assurances")</f>
        <v xml:space="preserve">le secteur des assurances</v>
      </c>
      <c r="K9745" s="10" t="s">
        <v>42942</v>
      </c>
      <c r="L9745" s="10" t="s">
        <v>42943</v>
      </c>
      <c r="M9745" s="8" t="s">
        <v>39</v>
      </c>
      <c r="N9745" s="8" t="s">
        <v>29</v>
      </c>
      <c r="O9745" s="8" t="s">
        <v>9160</v>
      </c>
      <c r="P9745" s="8"/>
      <c r="Q9745" s="8"/>
      <c r="R9745" s="8"/>
      <c r="S9745" s="8"/>
      <c r="T9745" s="8"/>
      <c r="U9745" s="8"/>
      <c r="V9745" s="8"/>
      <c r="W9745" s="8"/>
      <c r="X9745" s="8"/>
      <c r="Y9745" s="8"/>
    </row>
    <row r="9746" ht="14.25">
      <c r="B9746" s="8" t="s">
        <v>33459</v>
      </c>
      <c r="C9746" s="8" t="s">
        <v>42944</v>
      </c>
      <c r="D9746" s="8" t="s">
        <v>42945</v>
      </c>
      <c r="E9746" s="8" t="s">
        <v>42946</v>
      </c>
      <c r="F9746" s="8" t="str">
        <f>IFERROR(__XLUDF.DUMMYFUNCTION("PROPER(REGEXREPLACE(D131,""[^A-Za-z]+ "",""""))"),"Courtigo")</f>
        <v>Courtigo</v>
      </c>
      <c r="G9746" s="8" t="s">
        <v>42947</v>
      </c>
      <c r="H9746" s="9">
        <v>4</v>
      </c>
      <c r="I9746" s="8" t="s">
        <v>39661</v>
      </c>
      <c r="J9746" s="8" t="str">
        <f>IFERROR(__XLUDF.DUMMYFUNCTION("VLOOKUP(H131,IMPORTRANGE(""https://docs.google.com/spreadsheets/d/1opm6ZNvGZ7KditA9TuJwrZ25eFLfTNIkrNnY6mhV5Eg"",""list!A1:C115""),3,TRUE)"),"le secteur des assurances")</f>
        <v xml:space="preserve">le secteur des assurances</v>
      </c>
      <c r="K9746" s="10" t="s">
        <v>42948</v>
      </c>
      <c r="L9746" s="10" t="s">
        <v>42949</v>
      </c>
      <c r="M9746" s="8" t="s">
        <v>1015</v>
      </c>
      <c r="N9746" s="8" t="s">
        <v>29</v>
      </c>
      <c r="O9746" s="8" t="s">
        <v>9251</v>
      </c>
      <c r="P9746" s="8"/>
      <c r="Q9746" s="8" t="s">
        <v>42950</v>
      </c>
      <c r="R9746" s="8"/>
      <c r="S9746" s="8"/>
      <c r="T9746" s="8"/>
      <c r="U9746" s="8"/>
      <c r="V9746" s="8"/>
      <c r="W9746" s="8"/>
      <c r="X9746" s="8"/>
      <c r="Y9746" s="8"/>
    </row>
    <row r="9747" ht="14.25">
      <c r="B9747" s="18" t="s">
        <v>769</v>
      </c>
      <c r="C9747" s="18" t="s">
        <v>42951</v>
      </c>
      <c r="D9747" s="18" t="s">
        <v>62</v>
      </c>
      <c r="E9747" s="18" t="s">
        <v>42952</v>
      </c>
      <c r="F9747" s="8" t="str">
        <f>IFERROR(__XLUDF.DUMMYFUNCTION("PROPER(REGEXREPLACE(D132,""[^A-Za-z]+ "",""""))"),"Junecare")</f>
        <v>Junecare</v>
      </c>
      <c r="G9747" s="18" t="s">
        <v>42953</v>
      </c>
      <c r="H9747" s="18">
        <v>5</v>
      </c>
      <c r="I9747" s="18" t="s">
        <v>39661</v>
      </c>
      <c r="J9747" s="8" t="str">
        <f>IFERROR(__XLUDF.DUMMYFUNCTION("VLOOKUP(H132,IMPORTRANGE(""https://docs.google.com/spreadsheets/d/1opm6ZNvGZ7KditA9TuJwrZ25eFLfTNIkrNnY6mhV5Eg"",""list!A1:C115""),3,TRUE)"),"le secteur des assurances")</f>
        <v xml:space="preserve">le secteur des assurances</v>
      </c>
      <c r="K9747" s="5" t="s">
        <v>42954</v>
      </c>
      <c r="L9747" s="5" t="s">
        <v>42955</v>
      </c>
      <c r="M9747" s="18" t="s">
        <v>39</v>
      </c>
      <c r="N9747" s="18" t="s">
        <v>29</v>
      </c>
      <c r="O9747" s="18" t="s">
        <v>42956</v>
      </c>
      <c r="P9747" s="18" t="s">
        <v>29</v>
      </c>
      <c r="Q9747" s="18" t="s">
        <v>42957</v>
      </c>
      <c r="R9747" s="6"/>
      <c r="S9747" s="6"/>
      <c r="T9747" s="6"/>
      <c r="U9747" s="6"/>
      <c r="V9747" s="6"/>
      <c r="W9747" s="6"/>
      <c r="X9747" s="6"/>
      <c r="Y9747" s="6"/>
    </row>
    <row r="9748" ht="14.25">
      <c r="B9748" s="18" t="s">
        <v>6788</v>
      </c>
      <c r="C9748" s="18" t="s">
        <v>42958</v>
      </c>
      <c r="D9748" s="18" t="s">
        <v>468</v>
      </c>
      <c r="E9748" s="18" t="s">
        <v>42959</v>
      </c>
      <c r="F9748" s="8" t="str">
        <f>IFERROR(__XLUDF.DUMMYFUNCTION("PROPER(REGEXREPLACE(D133,""[^A-Za-z]+ "",""""))"),"Naudet")</f>
        <v>Naudet</v>
      </c>
      <c r="G9748" s="18" t="s">
        <v>42960</v>
      </c>
      <c r="H9748" s="18">
        <v>79</v>
      </c>
      <c r="I9748" s="18" t="s">
        <v>39661</v>
      </c>
      <c r="J9748" s="8" t="str">
        <f>IFERROR(__XLUDF.DUMMYFUNCTION("VLOOKUP(H133,IMPORTRANGE(""https://docs.google.com/spreadsheets/d/1opm6ZNvGZ7KditA9TuJwrZ25eFLfTNIkrNnY6mhV5Eg"",""list!A1:C115""),3,TRUE)"),"le secteur des assurances")</f>
        <v xml:space="preserve">le secteur des assurances</v>
      </c>
      <c r="K9748" s="5" t="s">
        <v>42961</v>
      </c>
      <c r="L9748" s="5" t="s">
        <v>42962</v>
      </c>
      <c r="M9748" s="18" t="s">
        <v>39</v>
      </c>
      <c r="N9748" s="18" t="s">
        <v>29</v>
      </c>
      <c r="O9748" s="18" t="s">
        <v>19628</v>
      </c>
      <c r="P9748" s="18" t="s">
        <v>29</v>
      </c>
      <c r="Q9748" s="18" t="s">
        <v>42963</v>
      </c>
      <c r="R9748" s="6"/>
      <c r="S9748" s="6"/>
      <c r="T9748" s="6"/>
      <c r="U9748" s="6"/>
      <c r="V9748" s="6"/>
      <c r="W9748" s="6"/>
      <c r="X9748" s="6"/>
      <c r="Y9748" s="6"/>
    </row>
    <row r="9749" ht="14.25">
      <c r="B9749" s="8" t="s">
        <v>840</v>
      </c>
      <c r="C9749" s="8" t="s">
        <v>42964</v>
      </c>
      <c r="D9749" s="8" t="s">
        <v>120</v>
      </c>
      <c r="E9749" s="8" t="s">
        <v>42965</v>
      </c>
      <c r="F9749" s="8" t="str">
        <f>IFERROR(__XLUDF.DUMMYFUNCTION("PROPER(REGEXREPLACE(D134,""[^A-Za-z]+ "",""""))"),"Clb Assurances")</f>
        <v xml:space="preserve">Clb Assurances</v>
      </c>
      <c r="G9749" s="8" t="s">
        <v>42966</v>
      </c>
      <c r="H9749" s="9">
        <v>2</v>
      </c>
      <c r="I9749" s="8" t="s">
        <v>39661</v>
      </c>
      <c r="J9749" s="8" t="str">
        <f>IFERROR(__XLUDF.DUMMYFUNCTION("VLOOKUP(H134,IMPORTRANGE(""https://docs.google.com/spreadsheets/d/1opm6ZNvGZ7KditA9TuJwrZ25eFLfTNIkrNnY6mhV5Eg"",""list!A1:C115""),3,TRUE)"),"le secteur des assurances")</f>
        <v xml:space="preserve">le secteur des assurances</v>
      </c>
      <c r="K9749" s="10" t="s">
        <v>42967</v>
      </c>
      <c r="L9749" s="10" t="s">
        <v>42968</v>
      </c>
      <c r="M9749" s="8" t="s">
        <v>185</v>
      </c>
      <c r="N9749" s="8" t="s">
        <v>29</v>
      </c>
      <c r="O9749" s="8" t="s">
        <v>9193</v>
      </c>
      <c r="P9749" s="8"/>
      <c r="Q9749" s="8" t="s">
        <v>42969</v>
      </c>
      <c r="R9749" s="8"/>
      <c r="S9749" s="8"/>
      <c r="T9749" s="8"/>
      <c r="U9749" s="8"/>
      <c r="V9749" s="8"/>
      <c r="W9749" s="8"/>
      <c r="X9749" s="8"/>
      <c r="Y9749" s="8"/>
    </row>
    <row r="9750" ht="14.25">
      <c r="B9750" s="18" t="s">
        <v>378</v>
      </c>
      <c r="C9750" s="18" t="s">
        <v>42970</v>
      </c>
      <c r="D9750" s="18" t="s">
        <v>468</v>
      </c>
      <c r="E9750" s="18" t="s">
        <v>42971</v>
      </c>
      <c r="F9750" s="8" t="str">
        <f>IFERROR(__XLUDF.DUMMYFUNCTION("PROPER(REGEXREPLACE(D135,""[^A-Za-z]+ "",""""))"),"Sodedif")</f>
        <v>Sodedif</v>
      </c>
      <c r="G9750" s="18" t="s">
        <v>42972</v>
      </c>
      <c r="H9750" s="18">
        <v>63</v>
      </c>
      <c r="I9750" s="18" t="s">
        <v>39661</v>
      </c>
      <c r="J9750" s="8" t="str">
        <f>IFERROR(__XLUDF.DUMMYFUNCTION("VLOOKUP(H135,IMPORTRANGE(""https://docs.google.com/spreadsheets/d/1opm6ZNvGZ7KditA9TuJwrZ25eFLfTNIkrNnY6mhV5Eg"",""list!A1:C115""),3,TRUE)"),"le secteur des assurances")</f>
        <v xml:space="preserve">le secteur des assurances</v>
      </c>
      <c r="K9750" s="5" t="s">
        <v>42973</v>
      </c>
      <c r="L9750" s="5" t="s">
        <v>42974</v>
      </c>
      <c r="M9750" s="18" t="s">
        <v>2499</v>
      </c>
      <c r="N9750" s="18" t="s">
        <v>29</v>
      </c>
      <c r="O9750" s="18" t="s">
        <v>42975</v>
      </c>
      <c r="P9750" s="18" t="s">
        <v>29</v>
      </c>
      <c r="Q9750" s="18" t="s">
        <v>42976</v>
      </c>
      <c r="R9750" s="6"/>
      <c r="S9750" s="6"/>
      <c r="T9750" s="6"/>
      <c r="U9750" s="6"/>
      <c r="V9750" s="6"/>
      <c r="W9750" s="6"/>
      <c r="X9750" s="6"/>
      <c r="Y9750" s="6"/>
    </row>
    <row r="9751" ht="14.25">
      <c r="B9751" s="8" t="s">
        <v>1732</v>
      </c>
      <c r="C9751" s="8" t="s">
        <v>42977</v>
      </c>
      <c r="D9751" s="8" t="s">
        <v>14574</v>
      </c>
      <c r="E9751" s="8" t="s">
        <v>42978</v>
      </c>
      <c r="F9751" s="8" t="str">
        <f>IFERROR(__XLUDF.DUMMYFUNCTION("PROPER(REGEXREPLACE(D136,""[^A-Za-z]+ "",""""))"),"Assur&amp;Sens")</f>
        <v>Assur&amp;Sens</v>
      </c>
      <c r="G9751" s="8" t="s">
        <v>42979</v>
      </c>
      <c r="H9751" s="9">
        <v>2</v>
      </c>
      <c r="I9751" s="8" t="s">
        <v>39661</v>
      </c>
      <c r="J9751" s="8" t="str">
        <f>IFERROR(__XLUDF.DUMMYFUNCTION("VLOOKUP(H136,IMPORTRANGE(""https://docs.google.com/spreadsheets/d/1opm6ZNvGZ7KditA9TuJwrZ25eFLfTNIkrNnY6mhV5Eg"",""list!A1:C115""),3,TRUE)"),"le secteur des assurances")</f>
        <v xml:space="preserve">le secteur des assurances</v>
      </c>
      <c r="K9751" s="10" t="s">
        <v>42980</v>
      </c>
      <c r="L9751" s="10" t="s">
        <v>42981</v>
      </c>
      <c r="M9751" s="8" t="s">
        <v>185</v>
      </c>
      <c r="N9751" s="8" t="s">
        <v>29</v>
      </c>
      <c r="O9751" s="8" t="s">
        <v>9193</v>
      </c>
      <c r="P9751" s="8"/>
      <c r="Q9751" s="8" t="s">
        <v>42982</v>
      </c>
      <c r="R9751" s="8"/>
      <c r="S9751" s="8"/>
      <c r="T9751" s="8"/>
      <c r="U9751" s="8"/>
      <c r="V9751" s="8"/>
      <c r="W9751" s="8"/>
      <c r="X9751" s="8"/>
      <c r="Y9751" s="8"/>
    </row>
    <row r="9752" ht="14.25">
      <c r="B9752" s="18" t="s">
        <v>670</v>
      </c>
      <c r="C9752" s="18" t="s">
        <v>42983</v>
      </c>
      <c r="D9752" s="18" t="s">
        <v>112</v>
      </c>
      <c r="E9752" s="18" t="s">
        <v>42459</v>
      </c>
      <c r="F9752" s="8" t="str">
        <f>IFERROR(__XLUDF.DUMMYFUNCTION("PROPER(REGEXREPLACE(D137,""[^A-Za-z]+ "",""""))"),"Groupe Gritchen Assurances")</f>
        <v xml:space="preserve">Groupe Gritchen Assurances</v>
      </c>
      <c r="G9752" s="18" t="s">
        <v>42984</v>
      </c>
      <c r="H9752" s="18">
        <v>78</v>
      </c>
      <c r="I9752" s="18" t="s">
        <v>39661</v>
      </c>
      <c r="J9752" s="8" t="str">
        <f>IFERROR(__XLUDF.DUMMYFUNCTION("VLOOKUP(H137,IMPORTRANGE(""https://docs.google.com/spreadsheets/d/1opm6ZNvGZ7KditA9TuJwrZ25eFLfTNIkrNnY6mhV5Eg"",""list!A1:C115""),3,TRUE)"),"le secteur des assurances")</f>
        <v xml:space="preserve">le secteur des assurances</v>
      </c>
      <c r="K9752" s="5" t="s">
        <v>42985</v>
      </c>
      <c r="L9752" s="5" t="s">
        <v>42462</v>
      </c>
      <c r="M9752" s="18" t="s">
        <v>39</v>
      </c>
      <c r="N9752" s="18" t="s">
        <v>29</v>
      </c>
      <c r="O9752" s="18" t="s">
        <v>67</v>
      </c>
      <c r="P9752" s="18" t="s">
        <v>29</v>
      </c>
      <c r="Q9752" s="6"/>
      <c r="R9752" s="6"/>
      <c r="S9752" s="6"/>
      <c r="T9752" s="6"/>
      <c r="U9752" s="6"/>
      <c r="V9752" s="6"/>
      <c r="W9752" s="6"/>
      <c r="X9752" s="6"/>
      <c r="Y9752" s="6"/>
    </row>
    <row r="9753" ht="14.25">
      <c r="B9753" s="8" t="s">
        <v>1153</v>
      </c>
      <c r="C9753" s="8" t="s">
        <v>26837</v>
      </c>
      <c r="D9753" s="8" t="s">
        <v>120</v>
      </c>
      <c r="E9753" s="8" t="s">
        <v>42539</v>
      </c>
      <c r="F9753" s="8" t="str">
        <f>IFERROR(__XLUDF.DUMMYFUNCTION("PROPER(REGEXREPLACE(D138,""[^A-Za-z]+ "",""""))"),"Cmam")</f>
        <v>Cmam</v>
      </c>
      <c r="G9753" s="8" t="s">
        <v>42986</v>
      </c>
      <c r="H9753" s="9">
        <v>23</v>
      </c>
      <c r="I9753" s="8" t="s">
        <v>39661</v>
      </c>
      <c r="J9753" s="8" t="str">
        <f>IFERROR(__XLUDF.DUMMYFUNCTION("VLOOKUP(H138,IMPORTRANGE(""https://docs.google.com/spreadsheets/d/1opm6ZNvGZ7KditA9TuJwrZ25eFLfTNIkrNnY6mhV5Eg"",""list!A1:C115""),3,TRUE)"),"le secteur des assurances")</f>
        <v xml:space="preserve">le secteur des assurances</v>
      </c>
      <c r="K9753" s="10" t="s">
        <v>42987</v>
      </c>
      <c r="L9753" s="10" t="s">
        <v>42542</v>
      </c>
      <c r="M9753" s="8" t="s">
        <v>185</v>
      </c>
      <c r="N9753" s="8" t="s">
        <v>29</v>
      </c>
      <c r="O9753" s="8" t="s">
        <v>9193</v>
      </c>
      <c r="P9753" s="8"/>
      <c r="Q9753" s="8"/>
      <c r="R9753" s="8"/>
      <c r="S9753" s="8"/>
      <c r="T9753" s="8"/>
      <c r="U9753" s="8"/>
      <c r="V9753" s="8"/>
      <c r="W9753" s="8"/>
      <c r="X9753" s="8"/>
      <c r="Y9753" s="8"/>
    </row>
    <row r="9754" ht="14.25">
      <c r="B9754" s="8" t="s">
        <v>255</v>
      </c>
      <c r="C9754" s="8" t="s">
        <v>42988</v>
      </c>
      <c r="D9754" s="8" t="s">
        <v>172</v>
      </c>
      <c r="E9754" s="8" t="s">
        <v>42989</v>
      </c>
      <c r="F9754" s="8" t="str">
        <f>IFERROR(__XLUDF.DUMMYFUNCTION("PROPER(REGEXREPLACE(D139,""[^A-Za-z]+ "",""""))"),"Horus")</f>
        <v>Horus</v>
      </c>
      <c r="G9754" s="8" t="s">
        <v>42990</v>
      </c>
      <c r="H9754" s="8"/>
      <c r="I9754" s="8"/>
      <c r="J9754" s="8" t="s">
        <v>42267</v>
      </c>
      <c r="K9754" s="10" t="s">
        <v>42991</v>
      </c>
      <c r="L9754" s="10" t="s">
        <v>42992</v>
      </c>
      <c r="M9754" s="8" t="s">
        <v>1826</v>
      </c>
      <c r="N9754" s="8" t="s">
        <v>29</v>
      </c>
      <c r="O9754" s="8" t="s">
        <v>9227</v>
      </c>
      <c r="P9754" s="8"/>
      <c r="Q9754" s="8"/>
      <c r="R9754" s="8"/>
      <c r="S9754" s="8"/>
      <c r="T9754" s="8"/>
      <c r="U9754" s="8"/>
      <c r="V9754" s="8"/>
      <c r="W9754" s="8"/>
      <c r="X9754" s="8"/>
      <c r="Y9754" s="8"/>
    </row>
    <row r="9755" ht="14.25">
      <c r="B9755" s="8" t="s">
        <v>42993</v>
      </c>
      <c r="C9755" s="8" t="s">
        <v>42994</v>
      </c>
      <c r="D9755" s="8" t="s">
        <v>112</v>
      </c>
      <c r="E9755" s="8" t="s">
        <v>42995</v>
      </c>
      <c r="F9755" s="8" t="str">
        <f>IFERROR(__XLUDF.DUMMYFUNCTION("PROPER(REGEXREPLACE(D140,""[^A-Za-z]+ "",""""))"),"Optimass")</f>
        <v>Optimass</v>
      </c>
      <c r="G9755" s="8" t="s">
        <v>42996</v>
      </c>
      <c r="H9755" s="9">
        <v>2</v>
      </c>
      <c r="I9755" s="8" t="s">
        <v>39661</v>
      </c>
      <c r="J9755" s="8" t="str">
        <f>IFERROR(__XLUDF.DUMMYFUNCTION("VLOOKUP(H140,IMPORTRANGE(""https://docs.google.com/spreadsheets/d/1opm6ZNvGZ7KditA9TuJwrZ25eFLfTNIkrNnY6mhV5Eg"",""list!A1:C115""),3,TRUE)"),"le secteur des assurances")</f>
        <v xml:space="preserve">le secteur des assurances</v>
      </c>
      <c r="K9755" s="10" t="s">
        <v>42997</v>
      </c>
      <c r="L9755" s="8"/>
      <c r="M9755" s="8" t="s">
        <v>39</v>
      </c>
      <c r="N9755" s="8" t="s">
        <v>29</v>
      </c>
      <c r="O9755" s="8" t="s">
        <v>9160</v>
      </c>
      <c r="P9755" s="8"/>
      <c r="Q9755" s="8" t="s">
        <v>42998</v>
      </c>
      <c r="R9755" s="8"/>
      <c r="S9755" s="8"/>
      <c r="T9755" s="8"/>
      <c r="U9755" s="8"/>
      <c r="V9755" s="8"/>
      <c r="W9755" s="8"/>
      <c r="X9755" s="8"/>
      <c r="Y9755" s="8"/>
    </row>
    <row r="9756" ht="14.25">
      <c r="B9756" s="8" t="s">
        <v>42999</v>
      </c>
      <c r="C9756" s="8"/>
      <c r="D9756" s="8" t="s">
        <v>112</v>
      </c>
      <c r="E9756" s="8" t="s">
        <v>43000</v>
      </c>
      <c r="F9756" s="8" t="str">
        <f>IFERROR(__XLUDF.DUMMYFUNCTION("PROPER(REGEXREPLACE(D141,""[^A-Za-z]+ "",""""))"),"Arcancia")</f>
        <v>Arcancia</v>
      </c>
      <c r="G9756" s="8" t="s">
        <v>43001</v>
      </c>
      <c r="H9756" s="8"/>
      <c r="I9756" s="8"/>
      <c r="J9756" s="8" t="s">
        <v>42267</v>
      </c>
      <c r="K9756" s="10" t="s">
        <v>43002</v>
      </c>
      <c r="L9756" s="8"/>
      <c r="M9756" s="8"/>
      <c r="N9756" s="8" t="s">
        <v>29</v>
      </c>
      <c r="O9756" s="8"/>
      <c r="P9756" s="8"/>
      <c r="Q9756" s="8"/>
      <c r="R9756" s="8"/>
      <c r="S9756" s="8"/>
      <c r="T9756" s="8"/>
      <c r="U9756" s="8"/>
      <c r="V9756" s="8"/>
      <c r="W9756" s="8"/>
      <c r="X9756" s="8"/>
      <c r="Y9756" s="8"/>
    </row>
    <row r="9757" ht="14.25">
      <c r="B9757" s="8" t="s">
        <v>785</v>
      </c>
      <c r="C9757" s="8" t="s">
        <v>43003</v>
      </c>
      <c r="D9757" s="8" t="s">
        <v>341</v>
      </c>
      <c r="E9757" s="8" t="s">
        <v>41692</v>
      </c>
      <c r="F9757" s="8" t="str">
        <f>IFERROR(__XLUDF.DUMMYFUNCTION("PROPER(REGEXREPLACE(D142,""[^A-Za-z]+ "",""""))"),"Fraeris")</f>
        <v>Fraeris</v>
      </c>
      <c r="G9757" s="8" t="s">
        <v>43004</v>
      </c>
      <c r="H9757" s="9">
        <v>20</v>
      </c>
      <c r="I9757" s="8" t="s">
        <v>39661</v>
      </c>
      <c r="J9757" s="8" t="str">
        <f>IFERROR(__XLUDF.DUMMYFUNCTION("VLOOKUP(H142,IMPORTRANGE(""https://docs.google.com/spreadsheets/d/1opm6ZNvGZ7KditA9TuJwrZ25eFLfTNIkrNnY6mhV5Eg"",""list!A1:C115""),3,TRUE)"),"le secteur des assurances")</f>
        <v xml:space="preserve">le secteur des assurances</v>
      </c>
      <c r="K9757" s="10" t="s">
        <v>43005</v>
      </c>
      <c r="L9757" s="10" t="s">
        <v>43006</v>
      </c>
      <c r="M9757" s="8" t="s">
        <v>21363</v>
      </c>
      <c r="N9757" s="8" t="s">
        <v>29</v>
      </c>
      <c r="O9757" s="8" t="s">
        <v>9160</v>
      </c>
      <c r="P9757" s="8"/>
      <c r="Q9757" s="8" t="s">
        <v>43007</v>
      </c>
      <c r="R9757" s="8"/>
      <c r="S9757" s="8"/>
      <c r="T9757" s="8"/>
      <c r="U9757" s="8"/>
      <c r="V9757" s="8"/>
      <c r="W9757" s="8"/>
      <c r="X9757" s="8"/>
      <c r="Y9757" s="8"/>
    </row>
    <row r="9758" ht="14.25">
      <c r="B9758" s="8" t="s">
        <v>2503</v>
      </c>
      <c r="C9758" s="8" t="s">
        <v>15802</v>
      </c>
      <c r="D9758" s="8" t="s">
        <v>7759</v>
      </c>
      <c r="E9758" s="8" t="s">
        <v>43008</v>
      </c>
      <c r="F9758" s="8" t="str">
        <f>IFERROR(__XLUDF.DUMMYFUNCTION("PROPER(REGEXREPLACE(D143,""[^A-Za-z]+ "",""""))"),"Buisson Assurances")</f>
        <v xml:space="preserve">Buisson Assurances</v>
      </c>
      <c r="G9758" s="8" t="s">
        <v>43009</v>
      </c>
      <c r="H9758" s="9">
        <v>12</v>
      </c>
      <c r="I9758" s="8" t="s">
        <v>39661</v>
      </c>
      <c r="J9758" s="8" t="str">
        <f>IFERROR(__XLUDF.DUMMYFUNCTION("VLOOKUP(H143,IMPORTRANGE(""https://docs.google.com/spreadsheets/d/1opm6ZNvGZ7KditA9TuJwrZ25eFLfTNIkrNnY6mhV5Eg"",""list!A1:C115""),3,TRUE)"),"le secteur des assurances")</f>
        <v xml:space="preserve">le secteur des assurances</v>
      </c>
      <c r="K9758" s="10" t="s">
        <v>43010</v>
      </c>
      <c r="L9758" s="10" t="s">
        <v>43011</v>
      </c>
      <c r="M9758" s="8" t="s">
        <v>492</v>
      </c>
      <c r="N9758" s="8" t="s">
        <v>29</v>
      </c>
      <c r="O9758" s="8" t="s">
        <v>9267</v>
      </c>
      <c r="P9758" s="8"/>
      <c r="Q9758" s="8" t="s">
        <v>43012</v>
      </c>
      <c r="R9758" s="8"/>
      <c r="S9758" s="8"/>
      <c r="T9758" s="8"/>
      <c r="U9758" s="8"/>
      <c r="V9758" s="8"/>
      <c r="W9758" s="8"/>
      <c r="X9758" s="8"/>
      <c r="Y9758" s="8"/>
    </row>
    <row r="9759" ht="14.25">
      <c r="B9759" s="8" t="s">
        <v>3002</v>
      </c>
      <c r="C9759" s="8" t="s">
        <v>43013</v>
      </c>
      <c r="D9759" s="8" t="s">
        <v>7759</v>
      </c>
      <c r="E9759" s="8" t="s">
        <v>43014</v>
      </c>
      <c r="F9759" s="8" t="str">
        <f>IFERROR(__XLUDF.DUMMYFUNCTION("PROPER(REGEXREPLACE(D144,""[^A-Za-z]+ "",""""))"),"Cabinet Finance Assurance")</f>
        <v xml:space="preserve">Cabinet Finance Assurance</v>
      </c>
      <c r="G9759" s="8" t="s">
        <v>43015</v>
      </c>
      <c r="H9759" s="8"/>
      <c r="I9759" s="8"/>
      <c r="J9759" s="8" t="s">
        <v>42267</v>
      </c>
      <c r="K9759" s="10" t="s">
        <v>43016</v>
      </c>
      <c r="L9759" s="10" t="s">
        <v>43017</v>
      </c>
      <c r="M9759" s="8" t="s">
        <v>39</v>
      </c>
      <c r="N9759" s="8" t="s">
        <v>29</v>
      </c>
      <c r="O9759" s="8" t="s">
        <v>9160</v>
      </c>
      <c r="P9759" s="8"/>
      <c r="Q9759" s="8"/>
      <c r="R9759" s="8"/>
      <c r="S9759" s="8"/>
      <c r="T9759" s="8"/>
      <c r="U9759" s="8"/>
      <c r="V9759" s="8"/>
      <c r="W9759" s="8"/>
      <c r="X9759" s="8"/>
      <c r="Y9759" s="8"/>
    </row>
    <row r="9760" ht="14.25">
      <c r="B9760" s="8" t="s">
        <v>3019</v>
      </c>
      <c r="C9760" s="8" t="s">
        <v>43018</v>
      </c>
      <c r="D9760" s="8" t="s">
        <v>43019</v>
      </c>
      <c r="E9760" s="8" t="s">
        <v>43020</v>
      </c>
      <c r="F9760" s="8" t="str">
        <f>IFERROR(__XLUDF.DUMMYFUNCTION("PROPER(REGEXREPLACE(D145,""[^A-Za-z]+ "",""""))"),"Concept Avenir Assurances")</f>
        <v xml:space="preserve">Concept Avenir Assurances</v>
      </c>
      <c r="G9760" s="8" t="s">
        <v>43021</v>
      </c>
      <c r="H9760" s="9">
        <v>3</v>
      </c>
      <c r="I9760" s="8" t="s">
        <v>39661</v>
      </c>
      <c r="J9760" s="8" t="str">
        <f>IFERROR(__XLUDF.DUMMYFUNCTION("VLOOKUP(H145,IMPORTRANGE(""https://docs.google.com/spreadsheets/d/1opm6ZNvGZ7KditA9TuJwrZ25eFLfTNIkrNnY6mhV5Eg"",""list!A1:C115""),3,TRUE)"),"le secteur des assurances")</f>
        <v xml:space="preserve">le secteur des assurances</v>
      </c>
      <c r="K9760" s="10" t="s">
        <v>43022</v>
      </c>
      <c r="L9760" s="10" t="s">
        <v>43023</v>
      </c>
      <c r="M9760" s="8" t="s">
        <v>39</v>
      </c>
      <c r="N9760" s="8" t="s">
        <v>29</v>
      </c>
      <c r="O9760" s="8" t="s">
        <v>9160</v>
      </c>
      <c r="P9760" s="8"/>
      <c r="Q9760" s="8"/>
      <c r="R9760" s="8"/>
      <c r="S9760" s="8"/>
      <c r="T9760" s="8"/>
      <c r="U9760" s="8"/>
      <c r="V9760" s="8"/>
      <c r="W9760" s="8"/>
      <c r="X9760" s="8"/>
      <c r="Y9760" s="8"/>
    </row>
    <row r="9761" ht="14.25">
      <c r="B9761" s="8" t="s">
        <v>3870</v>
      </c>
      <c r="C9761" s="8" t="s">
        <v>43024</v>
      </c>
      <c r="D9761" s="8" t="s">
        <v>112</v>
      </c>
      <c r="E9761" s="8" t="s">
        <v>43025</v>
      </c>
      <c r="F9761" s="8" t="str">
        <f>IFERROR(__XLUDF.DUMMYFUNCTION("PROPER(REGEXREPLACE(D146,""[^A-Za-z]+ "",""""))"),"2M Conseil")</f>
        <v xml:space="preserve">2M Conseil</v>
      </c>
      <c r="G9761" s="8" t="s">
        <v>43026</v>
      </c>
      <c r="H9761" s="9">
        <v>1</v>
      </c>
      <c r="I9761" s="8" t="s">
        <v>39661</v>
      </c>
      <c r="J9761" s="8" t="str">
        <f>IFERROR(__XLUDF.DUMMYFUNCTION("VLOOKUP(H146,IMPORTRANGE(""https://docs.google.com/spreadsheets/d/1opm6ZNvGZ7KditA9TuJwrZ25eFLfTNIkrNnY6mhV5Eg"",""list!A1:C115""),3,TRUE)"),"le secteur des assurances")</f>
        <v xml:space="preserve">le secteur des assurances</v>
      </c>
      <c r="K9761" s="10" t="s">
        <v>43027</v>
      </c>
      <c r="L9761" s="10" t="s">
        <v>43028</v>
      </c>
      <c r="M9761" s="8" t="s">
        <v>39</v>
      </c>
      <c r="N9761" s="8" t="s">
        <v>29</v>
      </c>
      <c r="O9761" s="8" t="s">
        <v>9160</v>
      </c>
      <c r="P9761" s="8"/>
      <c r="Q9761" s="8" t="s">
        <v>43029</v>
      </c>
      <c r="R9761" s="8"/>
      <c r="S9761" s="8"/>
      <c r="T9761" s="8"/>
      <c r="U9761" s="8"/>
      <c r="V9761" s="8"/>
      <c r="W9761" s="8"/>
      <c r="X9761" s="8"/>
      <c r="Y9761" s="8"/>
    </row>
    <row r="9762" ht="14.25">
      <c r="B9762" s="8" t="s">
        <v>734</v>
      </c>
      <c r="C9762" s="8" t="s">
        <v>43030</v>
      </c>
      <c r="D9762" s="8" t="s">
        <v>112</v>
      </c>
      <c r="E9762" s="8" t="s">
        <v>42454</v>
      </c>
      <c r="F9762" s="8" t="str">
        <f>IFERROR(__XLUDF.DUMMYFUNCTION("PROPER(REGEXREPLACE(D147,""[^A-Za-z]+ "",""""))"),"Le Courtier Généreux")</f>
        <v xml:space="preserve">Le Courtier Généreux</v>
      </c>
      <c r="G9762" s="8" t="s">
        <v>43031</v>
      </c>
      <c r="H9762" s="9">
        <v>2</v>
      </c>
      <c r="I9762" s="8" t="s">
        <v>39661</v>
      </c>
      <c r="J9762" s="8" t="str">
        <f>IFERROR(__XLUDF.DUMMYFUNCTION("VLOOKUP(H147,IMPORTRANGE(""https://docs.google.com/spreadsheets/d/1opm6ZNvGZ7KditA9TuJwrZ25eFLfTNIkrNnY6mhV5Eg"",""list!A1:C115""),3,TRUE)"),"le secteur des assurances")</f>
        <v xml:space="preserve">le secteur des assurances</v>
      </c>
      <c r="K9762" s="10" t="s">
        <v>43032</v>
      </c>
      <c r="L9762" s="10" t="s">
        <v>42457</v>
      </c>
      <c r="M9762" s="8"/>
      <c r="N9762" s="8" t="s">
        <v>29</v>
      </c>
      <c r="O9762" s="8"/>
      <c r="P9762" s="8"/>
      <c r="Q9762" s="8"/>
      <c r="R9762" s="8"/>
      <c r="S9762" s="8"/>
      <c r="T9762" s="8"/>
      <c r="U9762" s="8"/>
      <c r="V9762" s="8"/>
      <c r="W9762" s="8"/>
      <c r="X9762" s="8"/>
      <c r="Y9762" s="8"/>
    </row>
    <row r="9763" ht="14.25">
      <c r="B9763" s="8" t="s">
        <v>4986</v>
      </c>
      <c r="C9763" s="8" t="s">
        <v>43033</v>
      </c>
      <c r="D9763" s="8" t="s">
        <v>172</v>
      </c>
      <c r="E9763" s="8" t="s">
        <v>43034</v>
      </c>
      <c r="F9763" s="8" t="str">
        <f>IFERROR(__XLUDF.DUMMYFUNCTION("PROPER(REGEXREPLACE(D148,""[^A-Za-z]+ "",""""))"),"Athence")</f>
        <v>Athence</v>
      </c>
      <c r="G9763" s="8" t="s">
        <v>43035</v>
      </c>
      <c r="H9763" s="9">
        <v>1</v>
      </c>
      <c r="I9763" s="8" t="s">
        <v>39661</v>
      </c>
      <c r="J9763" s="8" t="str">
        <f>IFERROR(__XLUDF.DUMMYFUNCTION("VLOOKUP(H148,IMPORTRANGE(""https://docs.google.com/spreadsheets/d/1opm6ZNvGZ7KditA9TuJwrZ25eFLfTNIkrNnY6mhV5Eg"",""list!A1:C115""),3,TRUE)"),"le secteur des assurances")</f>
        <v xml:space="preserve">le secteur des assurances</v>
      </c>
      <c r="K9763" s="10" t="s">
        <v>43036</v>
      </c>
      <c r="L9763" s="10" t="s">
        <v>43037</v>
      </c>
      <c r="M9763" s="8" t="s">
        <v>185</v>
      </c>
      <c r="N9763" s="8" t="s">
        <v>29</v>
      </c>
      <c r="O9763" s="8" t="s">
        <v>9193</v>
      </c>
      <c r="P9763" s="8"/>
      <c r="Q9763" s="8"/>
      <c r="R9763" s="8"/>
      <c r="S9763" s="8"/>
      <c r="T9763" s="8"/>
      <c r="U9763" s="8"/>
      <c r="V9763" s="8"/>
      <c r="W9763" s="8"/>
      <c r="X9763" s="8"/>
      <c r="Y9763" s="8"/>
    </row>
    <row r="9764" ht="14.25">
      <c r="B9764" s="18" t="s">
        <v>5111</v>
      </c>
      <c r="C9764" s="18" t="s">
        <v>3695</v>
      </c>
      <c r="D9764" s="18" t="s">
        <v>43038</v>
      </c>
      <c r="E9764" s="18" t="s">
        <v>43039</v>
      </c>
      <c r="F9764" s="8" t="str">
        <f>IFERROR(__XLUDF.DUMMYFUNCTION("PROPER(REGEXREPLACE(D149,""[^A-Za-z]+ "",""""))"),"Uniprevoyance")</f>
        <v>Uniprevoyance</v>
      </c>
      <c r="G9764" s="18" t="s">
        <v>43040</v>
      </c>
      <c r="H9764" s="18">
        <v>110</v>
      </c>
      <c r="I9764" s="18" t="s">
        <v>39661</v>
      </c>
      <c r="J9764" s="8" t="str">
        <f>IFERROR(__XLUDF.DUMMYFUNCTION("VLOOKUP(H149,IMPORTRANGE(""https://docs.google.com/spreadsheets/d/1opm6ZNvGZ7KditA9TuJwrZ25eFLfTNIkrNnY6mhV5Eg"",""list!A1:C115""),3,TRUE)"),"le secteur des assurances")</f>
        <v xml:space="preserve">le secteur des assurances</v>
      </c>
      <c r="K9764" s="5" t="s">
        <v>43041</v>
      </c>
      <c r="L9764" s="5" t="s">
        <v>43042</v>
      </c>
      <c r="M9764" s="18" t="s">
        <v>39</v>
      </c>
      <c r="N9764" s="18" t="s">
        <v>29</v>
      </c>
      <c r="O9764" s="18" t="s">
        <v>43043</v>
      </c>
      <c r="P9764" s="18" t="s">
        <v>29</v>
      </c>
      <c r="Q9764" s="18" t="s">
        <v>43044</v>
      </c>
      <c r="R9764" s="6"/>
      <c r="S9764" s="6"/>
      <c r="T9764" s="6"/>
      <c r="U9764" s="6"/>
      <c r="V9764" s="6"/>
      <c r="W9764" s="6"/>
      <c r="X9764" s="6"/>
      <c r="Y9764" s="6"/>
    </row>
    <row r="9765" ht="14.25">
      <c r="B9765" s="8" t="s">
        <v>222</v>
      </c>
      <c r="C9765" s="8" t="s">
        <v>43045</v>
      </c>
      <c r="D9765" s="8" t="s">
        <v>172</v>
      </c>
      <c r="E9765" s="8" t="s">
        <v>43046</v>
      </c>
      <c r="F9765" s="8" t="str">
        <f>IFERROR(__XLUDF.DUMMYFUNCTION("PROPER(REGEXREPLACE(D150,""[^A-Za-z]+ "",""""))"),"Mark'Assur")</f>
        <v>Mark'Assur</v>
      </c>
      <c r="G9765" s="8" t="s">
        <v>43047</v>
      </c>
      <c r="H9765" s="9">
        <v>7</v>
      </c>
      <c r="I9765" s="8" t="s">
        <v>39661</v>
      </c>
      <c r="J9765" s="8" t="str">
        <f>IFERROR(__XLUDF.DUMMYFUNCTION("VLOOKUP(H150,IMPORTRANGE(""https://docs.google.com/spreadsheets/d/1opm6ZNvGZ7KditA9TuJwrZ25eFLfTNIkrNnY6mhV5Eg"",""list!A1:C115""),3,TRUE)"),"le secteur des assurances")</f>
        <v xml:space="preserve">le secteur des assurances</v>
      </c>
      <c r="K9765" s="10" t="s">
        <v>43048</v>
      </c>
      <c r="L9765" s="10" t="s">
        <v>43049</v>
      </c>
      <c r="M9765" s="8" t="s">
        <v>492</v>
      </c>
      <c r="N9765" s="8" t="s">
        <v>29</v>
      </c>
      <c r="O9765" s="8" t="s">
        <v>9267</v>
      </c>
      <c r="P9765" s="8"/>
      <c r="Q9765" s="8"/>
      <c r="R9765" s="8"/>
      <c r="S9765" s="8"/>
      <c r="T9765" s="8"/>
      <c r="U9765" s="8"/>
      <c r="V9765" s="8"/>
      <c r="W9765" s="8"/>
      <c r="X9765" s="8"/>
      <c r="Y9765" s="8"/>
    </row>
    <row r="9766" ht="14.25">
      <c r="B9766" s="18" t="s">
        <v>12648</v>
      </c>
      <c r="C9766" s="18" t="s">
        <v>43050</v>
      </c>
      <c r="D9766" s="18" t="s">
        <v>3216</v>
      </c>
      <c r="E9766" s="18" t="s">
        <v>40264</v>
      </c>
      <c r="F9766" s="8" t="str">
        <f>IFERROR(__XLUDF.DUMMYFUNCTION("PROPER(REGEXREPLACE(D151,""[^A-Za-z]+ "",""""))"),"Caarea")</f>
        <v>Caarea</v>
      </c>
      <c r="G9766" s="18" t="s">
        <v>43051</v>
      </c>
      <c r="H9766" s="18">
        <v>7</v>
      </c>
      <c r="I9766" s="18" t="s">
        <v>39661</v>
      </c>
      <c r="J9766" s="8" t="str">
        <f>IFERROR(__XLUDF.DUMMYFUNCTION("VLOOKUP(H151,IMPORTRANGE(""https://docs.google.com/spreadsheets/d/1opm6ZNvGZ7KditA9TuJwrZ25eFLfTNIkrNnY6mhV5Eg"",""list!A1:C115""),3,TRUE)"),"le secteur des assurances")</f>
        <v xml:space="preserve">le secteur des assurances</v>
      </c>
      <c r="K9766" s="5" t="s">
        <v>43052</v>
      </c>
      <c r="L9766" s="5" t="s">
        <v>40267</v>
      </c>
      <c r="M9766" s="6"/>
      <c r="N9766" s="18" t="s">
        <v>29</v>
      </c>
      <c r="O9766" s="18" t="s">
        <v>40268</v>
      </c>
      <c r="P9766" s="18" t="s">
        <v>29</v>
      </c>
      <c r="Q9766" s="18" t="s">
        <v>40269</v>
      </c>
      <c r="R9766" s="6"/>
      <c r="S9766" s="6"/>
      <c r="T9766" s="6"/>
      <c r="U9766" s="6"/>
      <c r="V9766" s="6"/>
      <c r="W9766" s="6"/>
      <c r="X9766" s="6"/>
      <c r="Y9766" s="6"/>
    </row>
    <row r="9767" ht="14.25">
      <c r="B9767" s="8" t="s">
        <v>670</v>
      </c>
      <c r="C9767" s="8" t="s">
        <v>43053</v>
      </c>
      <c r="D9767" s="8" t="s">
        <v>112</v>
      </c>
      <c r="E9767" s="8" t="s">
        <v>43054</v>
      </c>
      <c r="F9767" s="8" t="str">
        <f>IFERROR(__XLUDF.DUMMYFUNCTION("PROPER(REGEXREPLACE(D152,""[^A-Za-z]+ "",""""))"),"Olea Patrimoine")</f>
        <v xml:space="preserve">Olea Patrimoine</v>
      </c>
      <c r="G9767" s="8" t="s">
        <v>43055</v>
      </c>
      <c r="H9767" s="9">
        <v>1</v>
      </c>
      <c r="I9767" s="8" t="s">
        <v>2629</v>
      </c>
      <c r="J9767" s="8" t="str">
        <f>IFERROR(__XLUDF.DUMMYFUNCTION("VLOOKUP(H152,IMPORTRANGE(""https://docs.google.com/spreadsheets/d/1opm6ZNvGZ7KditA9TuJwrZ25eFLfTNIkrNnY6mhV5Eg"",""list!A1:C115""),3,TRUE)"),"le secteur des services financiers")</f>
        <v xml:space="preserve">le secteur des services financiers</v>
      </c>
      <c r="K9767" s="10" t="s">
        <v>43056</v>
      </c>
      <c r="L9767" s="10" t="s">
        <v>43057</v>
      </c>
      <c r="M9767" s="8" t="s">
        <v>43058</v>
      </c>
      <c r="N9767" s="8" t="s">
        <v>29</v>
      </c>
      <c r="O9767" s="8" t="s">
        <v>9227</v>
      </c>
      <c r="P9767" s="8"/>
      <c r="Q9767" s="8" t="s">
        <v>43059</v>
      </c>
      <c r="R9767" s="8"/>
      <c r="S9767" s="8"/>
      <c r="T9767" s="8"/>
      <c r="U9767" s="8"/>
      <c r="V9767" s="8"/>
      <c r="W9767" s="8"/>
      <c r="X9767" s="8"/>
      <c r="Y9767" s="8"/>
    </row>
    <row r="9768" ht="14.25">
      <c r="B9768" s="8" t="s">
        <v>43060</v>
      </c>
      <c r="C9768" s="8" t="s">
        <v>43061</v>
      </c>
      <c r="D9768" s="8" t="s">
        <v>7759</v>
      </c>
      <c r="E9768" s="8" t="s">
        <v>43062</v>
      </c>
      <c r="F9768" s="8" t="str">
        <f>IFERROR(__XLUDF.DUMMYFUNCTION("PROPER(REGEXREPLACE(D153,""[^A-Za-z]+ "",""""))"),"Reflex Assurances")</f>
        <v xml:space="preserve">Reflex Assurances</v>
      </c>
      <c r="G9768" s="8" t="s">
        <v>43063</v>
      </c>
      <c r="H9768" s="8"/>
      <c r="I9768" s="8"/>
      <c r="J9768" s="8" t="s">
        <v>42267</v>
      </c>
      <c r="K9768" s="10" t="s">
        <v>43064</v>
      </c>
      <c r="L9768" s="10" t="s">
        <v>43065</v>
      </c>
      <c r="M9768" s="8" t="s">
        <v>43066</v>
      </c>
      <c r="N9768" s="8" t="s">
        <v>29</v>
      </c>
      <c r="O9768" s="8" t="s">
        <v>9160</v>
      </c>
      <c r="P9768" s="8"/>
      <c r="Q9768" s="8"/>
      <c r="R9768" s="8"/>
      <c r="S9768" s="8"/>
      <c r="T9768" s="8"/>
      <c r="U9768" s="8"/>
      <c r="V9768" s="8"/>
      <c r="W9768" s="8"/>
      <c r="X9768" s="8"/>
      <c r="Y9768" s="8"/>
    </row>
    <row r="9769" ht="14.25">
      <c r="B9769" s="8" t="s">
        <v>43067</v>
      </c>
      <c r="C9769" s="8" t="s">
        <v>43068</v>
      </c>
      <c r="D9769" s="8" t="s">
        <v>43069</v>
      </c>
      <c r="E9769" s="8" t="s">
        <v>43070</v>
      </c>
      <c r="F9769" s="8" t="str">
        <f>IFERROR(__XLUDF.DUMMYFUNCTION("PROPER(REGEXREPLACE(D154,""[^A-Za-z]+ "",""""))"),"E-Thaque Consulting")</f>
        <v xml:space="preserve">E-Thaque Consulting</v>
      </c>
      <c r="G9769" s="8" t="s">
        <v>43071</v>
      </c>
      <c r="H9769" s="9">
        <v>3</v>
      </c>
      <c r="I9769" s="8" t="s">
        <v>39661</v>
      </c>
      <c r="J9769" s="8" t="str">
        <f>IFERROR(__XLUDF.DUMMYFUNCTION("VLOOKUP(H154,IMPORTRANGE(""https://docs.google.com/spreadsheets/d/1opm6ZNvGZ7KditA9TuJwrZ25eFLfTNIkrNnY6mhV5Eg"",""list!A1:C115""),3,TRUE)"),"le secteur des assurances")</f>
        <v xml:space="preserve">le secteur des assurances</v>
      </c>
      <c r="K9769" s="10" t="s">
        <v>43072</v>
      </c>
      <c r="L9769" s="10" t="s">
        <v>43073</v>
      </c>
      <c r="M9769" s="8" t="s">
        <v>39</v>
      </c>
      <c r="N9769" s="8" t="s">
        <v>29</v>
      </c>
      <c r="O9769" s="8" t="s">
        <v>9160</v>
      </c>
      <c r="P9769" s="8"/>
      <c r="Q9769" s="8" t="s">
        <v>43074</v>
      </c>
      <c r="R9769" s="8"/>
      <c r="S9769" s="8"/>
      <c r="T9769" s="8"/>
      <c r="U9769" s="8"/>
      <c r="V9769" s="8"/>
      <c r="W9769" s="8"/>
      <c r="X9769" s="8"/>
      <c r="Y9769" s="8"/>
    </row>
    <row r="9770" ht="14.25">
      <c r="B9770" s="8" t="s">
        <v>743</v>
      </c>
      <c r="C9770" s="8" t="s">
        <v>43075</v>
      </c>
      <c r="D9770" s="8" t="s">
        <v>112</v>
      </c>
      <c r="E9770" s="8" t="s">
        <v>43076</v>
      </c>
      <c r="F9770" s="8" t="str">
        <f>IFERROR(__XLUDF.DUMMYFUNCTION("PROPER(REGEXREPLACE(D155,""[^A-Za-z]+ "",""""))"),"Socepra")</f>
        <v>Socepra</v>
      </c>
      <c r="G9770" s="8" t="s">
        <v>43077</v>
      </c>
      <c r="H9770" s="9">
        <v>5</v>
      </c>
      <c r="I9770" s="8" t="s">
        <v>39661</v>
      </c>
      <c r="J9770" s="8" t="str">
        <f>IFERROR(__XLUDF.DUMMYFUNCTION("VLOOKUP(H155,IMPORTRANGE(""https://docs.google.com/spreadsheets/d/1opm6ZNvGZ7KditA9TuJwrZ25eFLfTNIkrNnY6mhV5Eg"",""list!A1:C115""),3,TRUE)"),"le secteur des assurances")</f>
        <v xml:space="preserve">le secteur des assurances</v>
      </c>
      <c r="K9770" s="10" t="s">
        <v>43078</v>
      </c>
      <c r="L9770" s="10" t="s">
        <v>43079</v>
      </c>
      <c r="M9770" s="8" t="s">
        <v>39</v>
      </c>
      <c r="N9770" s="8" t="s">
        <v>29</v>
      </c>
      <c r="O9770" s="8" t="s">
        <v>9160</v>
      </c>
      <c r="P9770" s="8"/>
      <c r="Q9770" s="8"/>
      <c r="R9770" s="8"/>
      <c r="S9770" s="8"/>
      <c r="T9770" s="8"/>
      <c r="U9770" s="8"/>
      <c r="V9770" s="8"/>
      <c r="W9770" s="8"/>
      <c r="X9770" s="8"/>
      <c r="Y9770" s="8"/>
    </row>
    <row r="9771" ht="14.25">
      <c r="B9771" s="18" t="s">
        <v>1562</v>
      </c>
      <c r="C9771" s="18" t="s">
        <v>16833</v>
      </c>
      <c r="D9771" s="18" t="s">
        <v>172</v>
      </c>
      <c r="E9771" s="18" t="s">
        <v>43080</v>
      </c>
      <c r="F9771" s="8" t="str">
        <f>IFERROR(__XLUDF.DUMMYFUNCTION("PROPER(REGEXREPLACE(D156,""[^A-Za-z]+ "",""""))"),"Yvelin")</f>
        <v>Yvelin</v>
      </c>
      <c r="G9771" s="18" t="s">
        <v>43081</v>
      </c>
      <c r="H9771" s="18">
        <v>77</v>
      </c>
      <c r="I9771" s="18" t="s">
        <v>39661</v>
      </c>
      <c r="J9771" s="8" t="str">
        <f>IFERROR(__XLUDF.DUMMYFUNCTION("VLOOKUP(H156,IMPORTRANGE(""https://docs.google.com/spreadsheets/d/1opm6ZNvGZ7KditA9TuJwrZ25eFLfTNIkrNnY6mhV5Eg"",""list!A1:C115""),3,TRUE)"),"le secteur des assurances")</f>
        <v xml:space="preserve">le secteur des assurances</v>
      </c>
      <c r="K9771" s="5" t="s">
        <v>43082</v>
      </c>
      <c r="L9771" s="5" t="s">
        <v>43083</v>
      </c>
      <c r="M9771" s="18" t="s">
        <v>1711</v>
      </c>
      <c r="N9771" s="18" t="s">
        <v>29</v>
      </c>
      <c r="O9771" s="18" t="s">
        <v>43084</v>
      </c>
      <c r="P9771" s="18" t="s">
        <v>29</v>
      </c>
      <c r="Q9771" s="18" t="s">
        <v>43085</v>
      </c>
      <c r="R9771" s="6"/>
      <c r="S9771" s="6"/>
      <c r="T9771" s="6"/>
      <c r="U9771" s="6"/>
      <c r="V9771" s="6"/>
      <c r="W9771" s="6"/>
      <c r="X9771" s="6"/>
      <c r="Y9771" s="6"/>
    </row>
    <row r="9772" ht="14.25">
      <c r="B9772" s="18" t="s">
        <v>43086</v>
      </c>
      <c r="C9772" s="18" t="s">
        <v>43087</v>
      </c>
      <c r="D9772" s="18" t="s">
        <v>1130</v>
      </c>
      <c r="E9772" s="18" t="s">
        <v>43088</v>
      </c>
      <c r="F9772" s="8" t="str">
        <f>IFERROR(__XLUDF.DUMMYFUNCTION("PROPER(REGEXREPLACE(D157,""[^A-Za-z]+ "",""""))"),"Excellcium Solutions")</f>
        <v xml:space="preserve">Excellcium Solutions</v>
      </c>
      <c r="G9772" s="18" t="s">
        <v>43089</v>
      </c>
      <c r="H9772" s="18">
        <v>70</v>
      </c>
      <c r="I9772" s="18" t="s">
        <v>39661</v>
      </c>
      <c r="J9772" s="8" t="str">
        <f>IFERROR(__XLUDF.DUMMYFUNCTION("VLOOKUP(H157,IMPORTRANGE(""https://docs.google.com/spreadsheets/d/1opm6ZNvGZ7KditA9TuJwrZ25eFLfTNIkrNnY6mhV5Eg"",""list!A1:C115""),3,TRUE)"),"le secteur des assurances")</f>
        <v xml:space="preserve">le secteur des assurances</v>
      </c>
      <c r="K9772" s="5" t="s">
        <v>43090</v>
      </c>
      <c r="L9772" s="5" t="s">
        <v>43091</v>
      </c>
      <c r="M9772" s="18" t="s">
        <v>39</v>
      </c>
      <c r="N9772" s="18" t="s">
        <v>29</v>
      </c>
      <c r="O9772" s="18" t="s">
        <v>43092</v>
      </c>
      <c r="P9772" s="18" t="s">
        <v>29</v>
      </c>
      <c r="Q9772" s="18" t="s">
        <v>43093</v>
      </c>
      <c r="R9772" s="6"/>
      <c r="S9772" s="6"/>
      <c r="T9772" s="6"/>
      <c r="U9772" s="6"/>
      <c r="V9772" s="6"/>
      <c r="W9772" s="6"/>
      <c r="X9772" s="6"/>
      <c r="Y9772" s="6"/>
    </row>
    <row r="9773" ht="14.25">
      <c r="B9773" s="8" t="s">
        <v>3850</v>
      </c>
      <c r="C9773" s="8" t="s">
        <v>42470</v>
      </c>
      <c r="D9773" s="8" t="s">
        <v>9456</v>
      </c>
      <c r="E9773" s="8" t="s">
        <v>42472</v>
      </c>
      <c r="F9773" s="8" t="str">
        <f>IFERROR(__XLUDF.DUMMYFUNCTION("PROPER(REGEXREPLACE(D158,""[^A-Za-z]+ "",""""))"),"Groupe Cerap")</f>
        <v xml:space="preserve">Groupe Cerap</v>
      </c>
      <c r="G9773" s="8" t="s">
        <v>43094</v>
      </c>
      <c r="H9773" s="9">
        <v>16</v>
      </c>
      <c r="I9773" s="8" t="s">
        <v>39661</v>
      </c>
      <c r="J9773" s="8" t="str">
        <f>IFERROR(__XLUDF.DUMMYFUNCTION("VLOOKUP(H158,IMPORTRANGE(""https://docs.google.com/spreadsheets/d/1opm6ZNvGZ7KditA9TuJwrZ25eFLfTNIkrNnY6mhV5Eg"",""list!A1:C115""),3,TRUE)"),"le secteur des assurances")</f>
        <v xml:space="preserve">le secteur des assurances</v>
      </c>
      <c r="K9773" s="10" t="s">
        <v>43095</v>
      </c>
      <c r="L9773" s="10" t="s">
        <v>42475</v>
      </c>
      <c r="M9773" s="8" t="s">
        <v>1826</v>
      </c>
      <c r="N9773" s="8" t="s">
        <v>29</v>
      </c>
      <c r="O9773" s="8" t="s">
        <v>9227</v>
      </c>
      <c r="P9773" s="8"/>
      <c r="Q9773" s="8"/>
      <c r="R9773" s="8"/>
      <c r="S9773" s="8"/>
      <c r="T9773" s="8"/>
      <c r="U9773" s="8"/>
      <c r="V9773" s="8"/>
      <c r="W9773" s="8"/>
      <c r="X9773" s="8"/>
      <c r="Y9773" s="8"/>
    </row>
    <row r="9774" ht="14.25">
      <c r="B9774" s="18" t="s">
        <v>43096</v>
      </c>
      <c r="C9774" s="18" t="s">
        <v>43097</v>
      </c>
      <c r="D9774" s="18" t="s">
        <v>164</v>
      </c>
      <c r="E9774" s="18" t="s">
        <v>43098</v>
      </c>
      <c r="F9774" s="8" t="str">
        <f>IFERROR(__XLUDF.DUMMYFUNCTION("PROPER(REGEXREPLACE(D159,""[^A-Za-z]+ "",""""))"),"Unmi")</f>
        <v>Unmi</v>
      </c>
      <c r="G9774" s="18" t="s">
        <v>43099</v>
      </c>
      <c r="H9774" s="18">
        <v>55</v>
      </c>
      <c r="I9774" s="18" t="s">
        <v>39661</v>
      </c>
      <c r="J9774" s="8" t="str">
        <f>IFERROR(__XLUDF.DUMMYFUNCTION("VLOOKUP(H159,IMPORTRANGE(""https://docs.google.com/spreadsheets/d/1opm6ZNvGZ7KditA9TuJwrZ25eFLfTNIkrNnY6mhV5Eg"",""list!A1:C115""),3,TRUE)"),"le secteur des assurances")</f>
        <v xml:space="preserve">le secteur des assurances</v>
      </c>
      <c r="K9774" s="5" t="s">
        <v>43100</v>
      </c>
      <c r="L9774" s="5" t="s">
        <v>43101</v>
      </c>
      <c r="M9774" s="18" t="s">
        <v>39</v>
      </c>
      <c r="N9774" s="18" t="s">
        <v>29</v>
      </c>
      <c r="O9774" s="18" t="s">
        <v>43102</v>
      </c>
      <c r="P9774" s="18" t="s">
        <v>29</v>
      </c>
      <c r="Q9774" s="6"/>
      <c r="R9774" s="6"/>
      <c r="S9774" s="6"/>
      <c r="T9774" s="6"/>
      <c r="U9774" s="6"/>
      <c r="V9774" s="6"/>
      <c r="W9774" s="6"/>
      <c r="X9774" s="6"/>
      <c r="Y9774" s="6"/>
    </row>
    <row r="9775" ht="14.25">
      <c r="B9775" s="8" t="s">
        <v>20</v>
      </c>
      <c r="C9775" s="8" t="s">
        <v>1485</v>
      </c>
      <c r="D9775" s="8" t="s">
        <v>13389</v>
      </c>
      <c r="E9775" s="8" t="s">
        <v>43103</v>
      </c>
      <c r="F9775" s="8" t="str">
        <f>IFERROR(__XLUDF.DUMMYFUNCTION("PROPER(REGEXREPLACE(D160,""[^A-Za-z]+ "",""""))"),"Cabinet Cohen")</f>
        <v xml:space="preserve">Cabinet Cohen</v>
      </c>
      <c r="G9775" s="8" t="s">
        <v>43104</v>
      </c>
      <c r="H9775" s="9">
        <v>10</v>
      </c>
      <c r="I9775" s="8" t="s">
        <v>39661</v>
      </c>
      <c r="J9775" s="8" t="str">
        <f>IFERROR(__XLUDF.DUMMYFUNCTION("VLOOKUP(H160,IMPORTRANGE(""https://docs.google.com/spreadsheets/d/1opm6ZNvGZ7KditA9TuJwrZ25eFLfTNIkrNnY6mhV5Eg"",""list!A1:C115""),3,TRUE)"),"le secteur des assurances")</f>
        <v xml:space="preserve">le secteur des assurances</v>
      </c>
      <c r="K9775" s="10" t="s">
        <v>43105</v>
      </c>
      <c r="L9775" s="10" t="s">
        <v>43106</v>
      </c>
      <c r="M9775" s="8" t="s">
        <v>39</v>
      </c>
      <c r="N9775" s="8" t="s">
        <v>29</v>
      </c>
      <c r="O9775" s="8" t="s">
        <v>9160</v>
      </c>
      <c r="P9775" s="8"/>
      <c r="Q9775" s="8" t="s">
        <v>43107</v>
      </c>
      <c r="R9775" s="8"/>
      <c r="S9775" s="8"/>
      <c r="T9775" s="8"/>
      <c r="U9775" s="8"/>
      <c r="V9775" s="8"/>
      <c r="W9775" s="8"/>
      <c r="X9775" s="8"/>
      <c r="Y9775" s="8"/>
    </row>
    <row r="9776" ht="14.25">
      <c r="B9776" s="8" t="s">
        <v>4800</v>
      </c>
      <c r="C9776" s="8" t="s">
        <v>43108</v>
      </c>
      <c r="D9776" s="8" t="s">
        <v>43109</v>
      </c>
      <c r="E9776" s="8" t="s">
        <v>43110</v>
      </c>
      <c r="F9776" s="8" t="str">
        <f>IFERROR(__XLUDF.DUMMYFUNCTION("PROPER(REGEXREPLACE(D161,""[^A-Za-z]+ "",""""))"),"Assurancescautions")</f>
        <v>Assurancescautions</v>
      </c>
      <c r="G9776" s="8" t="s">
        <v>43111</v>
      </c>
      <c r="H9776" s="9">
        <v>1</v>
      </c>
      <c r="I9776" s="8" t="s">
        <v>39661</v>
      </c>
      <c r="J9776" s="8" t="str">
        <f>IFERROR(__XLUDF.DUMMYFUNCTION("VLOOKUP(H161,IMPORTRANGE(""https://docs.google.com/spreadsheets/d/1opm6ZNvGZ7KditA9TuJwrZ25eFLfTNIkrNnY6mhV5Eg"",""list!A1:C115""),3,TRUE)"),"le secteur des assurances")</f>
        <v xml:space="preserve">le secteur des assurances</v>
      </c>
      <c r="K9776" s="10" t="s">
        <v>43112</v>
      </c>
      <c r="L9776" s="10" t="s">
        <v>43113</v>
      </c>
      <c r="M9776" s="8" t="s">
        <v>39</v>
      </c>
      <c r="N9776" s="8" t="s">
        <v>29</v>
      </c>
      <c r="O9776" s="8" t="s">
        <v>9160</v>
      </c>
      <c r="P9776" s="8"/>
      <c r="Q9776" s="8" t="s">
        <v>43114</v>
      </c>
      <c r="R9776" s="8"/>
      <c r="S9776" s="8"/>
      <c r="T9776" s="8"/>
      <c r="U9776" s="8"/>
      <c r="V9776" s="8"/>
      <c r="W9776" s="8"/>
      <c r="X9776" s="8"/>
      <c r="Y9776" s="8"/>
    </row>
    <row r="9777" ht="14.25">
      <c r="B9777" s="18" t="s">
        <v>485</v>
      </c>
      <c r="C9777" s="18" t="s">
        <v>43115</v>
      </c>
      <c r="D9777" s="18" t="s">
        <v>172</v>
      </c>
      <c r="E9777" s="18" t="s">
        <v>43116</v>
      </c>
      <c r="F9777" s="8" t="str">
        <f>IFERROR(__XLUDF.DUMMYFUNCTION("PROPER(REGEXREPLACE(D162,""[^A-Za-z]+ "",""""))"),"Heyme")</f>
        <v>Heyme</v>
      </c>
      <c r="G9777" s="18" t="s">
        <v>43117</v>
      </c>
      <c r="H9777" s="18">
        <v>61</v>
      </c>
      <c r="I9777" s="18" t="s">
        <v>39661</v>
      </c>
      <c r="J9777" s="8" t="str">
        <f>IFERROR(__XLUDF.DUMMYFUNCTION("VLOOKUP(H162,IMPORTRANGE(""https://docs.google.com/spreadsheets/d/1opm6ZNvGZ7KditA9TuJwrZ25eFLfTNIkrNnY6mhV5Eg"",""list!A1:C115""),3,TRUE)"),"le secteur des assurances")</f>
        <v xml:space="preserve">le secteur des assurances</v>
      </c>
      <c r="K9777" s="5" t="s">
        <v>43118</v>
      </c>
      <c r="L9777" s="5" t="s">
        <v>43119</v>
      </c>
      <c r="M9777" s="18" t="s">
        <v>295</v>
      </c>
      <c r="N9777" s="18" t="s">
        <v>29</v>
      </c>
      <c r="O9777" s="18" t="s">
        <v>43120</v>
      </c>
      <c r="P9777" s="18" t="s">
        <v>29</v>
      </c>
      <c r="Q9777" s="6"/>
      <c r="R9777" s="6"/>
      <c r="S9777" s="6"/>
      <c r="T9777" s="6"/>
      <c r="U9777" s="6"/>
      <c r="V9777" s="6"/>
      <c r="W9777" s="6"/>
      <c r="X9777" s="6"/>
      <c r="Y9777" s="6"/>
    </row>
    <row r="9778" ht="14.25">
      <c r="B9778" s="8" t="s">
        <v>76</v>
      </c>
      <c r="C9778" s="8" t="s">
        <v>43121</v>
      </c>
      <c r="D9778" s="8" t="s">
        <v>112</v>
      </c>
      <c r="E9778" s="8" t="s">
        <v>43122</v>
      </c>
      <c r="F9778" s="8" t="str">
        <f>IFERROR(__XLUDF.DUMMYFUNCTION("PROPER(REGEXREPLACE(D163,""[^A-Za-z]+ "",""""))"),"Groupement Alliance Courtage")</f>
        <v xml:space="preserve">Groupement Alliance Courtage</v>
      </c>
      <c r="G9778" s="8" t="s">
        <v>43123</v>
      </c>
      <c r="H9778" s="9">
        <v>2</v>
      </c>
      <c r="I9778" s="8" t="s">
        <v>39661</v>
      </c>
      <c r="J9778" s="8" t="str">
        <f>IFERROR(__XLUDF.DUMMYFUNCTION("VLOOKUP(H163,IMPORTRANGE(""https://docs.google.com/spreadsheets/d/1opm6ZNvGZ7KditA9TuJwrZ25eFLfTNIkrNnY6mhV5Eg"",""list!A1:C115""),3,TRUE)"),"le secteur des assurances")</f>
        <v xml:space="preserve">le secteur des assurances</v>
      </c>
      <c r="K9778" s="10" t="s">
        <v>43124</v>
      </c>
      <c r="L9778" s="10" t="s">
        <v>43125</v>
      </c>
      <c r="M9778" s="8" t="s">
        <v>140</v>
      </c>
      <c r="N9778" s="8" t="s">
        <v>29</v>
      </c>
      <c r="O9778" s="8" t="s">
        <v>9160</v>
      </c>
      <c r="P9778" s="8"/>
      <c r="Q9778" s="8"/>
      <c r="R9778" s="8"/>
      <c r="S9778" s="8"/>
      <c r="T9778" s="8"/>
      <c r="U9778" s="8"/>
      <c r="V9778" s="8"/>
      <c r="W9778" s="8"/>
      <c r="X9778" s="8"/>
      <c r="Y9778" s="8"/>
    </row>
    <row r="9779" ht="14.25">
      <c r="B9779" s="8" t="s">
        <v>14654</v>
      </c>
      <c r="C9779" s="8" t="s">
        <v>43126</v>
      </c>
      <c r="D9779" s="8" t="s">
        <v>164</v>
      </c>
      <c r="E9779" s="10" t="s">
        <v>43127</v>
      </c>
      <c r="F9779" s="11" t="str">
        <f>IFERROR(__XLUDF.DUMMYFUNCTION("PROPER(REGEXREPLACE(D164,""[^A-Za-z]+ "",""""))"),"Neoconseils.Com")</f>
        <v>Neoconseils.Com</v>
      </c>
      <c r="G9779" s="8" t="s">
        <v>43128</v>
      </c>
      <c r="H9779" s="9">
        <v>2</v>
      </c>
      <c r="I9779" s="8" t="s">
        <v>39661</v>
      </c>
      <c r="J9779" s="8" t="str">
        <f>IFERROR(__XLUDF.DUMMYFUNCTION("VLOOKUP(H164,IMPORTRANGE(""https://docs.google.com/spreadsheets/d/1opm6ZNvGZ7KditA9TuJwrZ25eFLfTNIkrNnY6mhV5Eg"",""list!A1:C115""),3,TRUE)"),"le secteur des assurances")</f>
        <v xml:space="preserve">le secteur des assurances</v>
      </c>
      <c r="K9779" s="10" t="s">
        <v>43129</v>
      </c>
      <c r="L9779" s="10" t="s">
        <v>43130</v>
      </c>
      <c r="M9779" s="8" t="s">
        <v>4296</v>
      </c>
      <c r="N9779" s="8" t="s">
        <v>29</v>
      </c>
      <c r="O9779" s="8" t="s">
        <v>9160</v>
      </c>
      <c r="P9779" s="8"/>
      <c r="Q9779" s="8"/>
      <c r="R9779" s="8"/>
      <c r="S9779" s="8"/>
      <c r="T9779" s="8"/>
      <c r="U9779" s="8"/>
      <c r="V9779" s="8"/>
      <c r="W9779" s="8"/>
      <c r="X9779" s="8"/>
      <c r="Y9779" s="8"/>
    </row>
    <row r="9780" ht="14.25">
      <c r="B9780" s="18" t="s">
        <v>785</v>
      </c>
      <c r="C9780" s="18" t="s">
        <v>43131</v>
      </c>
      <c r="D9780" s="18" t="s">
        <v>426</v>
      </c>
      <c r="E9780" s="18" t="s">
        <v>43132</v>
      </c>
      <c r="F9780" s="8" t="str">
        <f>IFERROR(__XLUDF.DUMMYFUNCTION("PROPER(REGEXREPLACE(D165,""[^A-Za-z]+ "",""""))"),"Mutuale La Mutuelle Familiale")</f>
        <v xml:space="preserve">Mutuale La Mutuelle Familiale</v>
      </c>
      <c r="G9780" s="18" t="s">
        <v>43133</v>
      </c>
      <c r="H9780" s="18">
        <v>77</v>
      </c>
      <c r="I9780" s="18" t="s">
        <v>39661</v>
      </c>
      <c r="J9780" s="8" t="str">
        <f>IFERROR(__XLUDF.DUMMYFUNCTION("VLOOKUP(H165,IMPORTRANGE(""https://docs.google.com/spreadsheets/d/1opm6ZNvGZ7KditA9TuJwrZ25eFLfTNIkrNnY6mhV5Eg"",""list!A1:C115""),3,TRUE)"),"le secteur des assurances")</f>
        <v xml:space="preserve">le secteur des assurances</v>
      </c>
      <c r="K9780" s="5" t="s">
        <v>43134</v>
      </c>
      <c r="L9780" s="5" t="s">
        <v>43135</v>
      </c>
      <c r="M9780" s="18" t="s">
        <v>7531</v>
      </c>
      <c r="N9780" s="18" t="s">
        <v>29</v>
      </c>
      <c r="O9780" s="18" t="s">
        <v>43136</v>
      </c>
      <c r="P9780" s="18" t="s">
        <v>29</v>
      </c>
      <c r="Q9780" s="18" t="s">
        <v>43137</v>
      </c>
      <c r="R9780" s="6"/>
      <c r="S9780" s="6"/>
      <c r="T9780" s="6"/>
      <c r="U9780" s="6"/>
      <c r="V9780" s="6"/>
      <c r="W9780" s="6"/>
      <c r="X9780" s="6"/>
      <c r="Y9780" s="6"/>
    </row>
    <row r="9781" ht="14.25">
      <c r="B9781" s="8" t="s">
        <v>525</v>
      </c>
      <c r="C9781" s="8" t="s">
        <v>43138</v>
      </c>
      <c r="D9781" s="8" t="s">
        <v>7185</v>
      </c>
      <c r="E9781" s="8" t="s">
        <v>43139</v>
      </c>
      <c r="F9781" s="8" t="str">
        <f>IFERROR(__XLUDF.DUMMYFUNCTION("PROPER(REGEXREPLACE(D166,""[^A-Za-z]+ "",""""))"),"La Française D'Assurance Et De Prévoyance")</f>
        <v xml:space="preserve">La Française D'Assurance Et De Prévoyance</v>
      </c>
      <c r="G9781" s="8" t="s">
        <v>43140</v>
      </c>
      <c r="H9781" s="9">
        <v>9</v>
      </c>
      <c r="I9781" s="8" t="s">
        <v>39661</v>
      </c>
      <c r="J9781" s="8" t="str">
        <f>IFERROR(__XLUDF.DUMMYFUNCTION("VLOOKUP(H166,IMPORTRANGE(""https://docs.google.com/spreadsheets/d/1opm6ZNvGZ7KditA9TuJwrZ25eFLfTNIkrNnY6mhV5Eg"",""list!A1:C115""),3,TRUE)"),"le secteur des assurances")</f>
        <v xml:space="preserve">le secteur des assurances</v>
      </c>
      <c r="K9781" s="10" t="s">
        <v>43141</v>
      </c>
      <c r="L9781" s="10" t="s">
        <v>43142</v>
      </c>
      <c r="M9781" s="8" t="s">
        <v>39</v>
      </c>
      <c r="N9781" s="8" t="s">
        <v>29</v>
      </c>
      <c r="O9781" s="8" t="s">
        <v>9160</v>
      </c>
      <c r="P9781" s="8"/>
      <c r="Q9781" s="8" t="s">
        <v>43143</v>
      </c>
      <c r="R9781" s="8"/>
      <c r="S9781" s="8"/>
      <c r="T9781" s="8"/>
      <c r="U9781" s="8"/>
      <c r="V9781" s="8"/>
      <c r="W9781" s="8"/>
      <c r="X9781" s="8"/>
      <c r="Y9781" s="8"/>
    </row>
    <row r="9782" ht="14.25">
      <c r="B9782" s="8" t="s">
        <v>15545</v>
      </c>
      <c r="C9782" s="8" t="s">
        <v>43144</v>
      </c>
      <c r="D9782" s="8" t="s">
        <v>43069</v>
      </c>
      <c r="E9782" s="8" t="s">
        <v>43145</v>
      </c>
      <c r="F9782" s="8" t="str">
        <f>IFERROR(__XLUDF.DUMMYFUNCTION("PROPER(REGEXREPLACE(D167,""[^A-Za-z]+ "",""""))"),"Cpartner Sas")</f>
        <v xml:space="preserve">Cpartner Sas</v>
      </c>
      <c r="G9782" s="8" t="s">
        <v>43146</v>
      </c>
      <c r="H9782" s="8"/>
      <c r="I9782" s="8"/>
      <c r="J9782" s="8" t="s">
        <v>42267</v>
      </c>
      <c r="K9782" s="10" t="s">
        <v>43147</v>
      </c>
      <c r="L9782" s="10" t="s">
        <v>43148</v>
      </c>
      <c r="M9782" s="8" t="s">
        <v>482</v>
      </c>
      <c r="N9782" s="8" t="s">
        <v>29</v>
      </c>
      <c r="O9782" s="8" t="s">
        <v>9460</v>
      </c>
      <c r="P9782" s="8"/>
      <c r="Q9782" s="8"/>
      <c r="R9782" s="8"/>
      <c r="S9782" s="8"/>
      <c r="T9782" s="8"/>
      <c r="U9782" s="8"/>
      <c r="V9782" s="8"/>
      <c r="W9782" s="8"/>
      <c r="X9782" s="8"/>
      <c r="Y9782" s="8"/>
    </row>
    <row r="9783" ht="14.25">
      <c r="B9783" s="8" t="s">
        <v>178</v>
      </c>
      <c r="C9783" s="8" t="s">
        <v>5265</v>
      </c>
      <c r="D9783" s="8" t="s">
        <v>43149</v>
      </c>
      <c r="E9783" s="8" t="s">
        <v>43150</v>
      </c>
      <c r="F9783" s="8" t="str">
        <f>IFERROR(__XLUDF.DUMMYFUNCTION("PROPER(REGEXREPLACE(D168,""[^A-Za-z]+ "",""""))"),"Onis Assurances")</f>
        <v xml:space="preserve">Onis Assurances</v>
      </c>
      <c r="G9783" s="8" t="s">
        <v>43151</v>
      </c>
      <c r="H9783" s="9">
        <v>1</v>
      </c>
      <c r="I9783" s="8" t="s">
        <v>39661</v>
      </c>
      <c r="J9783" s="8" t="str">
        <f>IFERROR(__XLUDF.DUMMYFUNCTION("VLOOKUP(H168,IMPORTRANGE(""https://docs.google.com/spreadsheets/d/1opm6ZNvGZ7KditA9TuJwrZ25eFLfTNIkrNnY6mhV5Eg"",""list!A1:C115""),3,TRUE)"),"le secteur des assurances")</f>
        <v xml:space="preserve">le secteur des assurances</v>
      </c>
      <c r="K9783" s="10" t="s">
        <v>43152</v>
      </c>
      <c r="L9783" s="10" t="s">
        <v>43153</v>
      </c>
      <c r="M9783" s="8" t="s">
        <v>20332</v>
      </c>
      <c r="N9783" s="8" t="s">
        <v>29</v>
      </c>
      <c r="O9783" s="8" t="s">
        <v>9226</v>
      </c>
      <c r="P9783" s="8"/>
      <c r="Q9783" s="8"/>
      <c r="R9783" s="8"/>
      <c r="S9783" s="8"/>
      <c r="T9783" s="8"/>
      <c r="U9783" s="8"/>
      <c r="V9783" s="8"/>
      <c r="W9783" s="8"/>
      <c r="X9783" s="8"/>
      <c r="Y9783" s="8"/>
    </row>
    <row r="9784" ht="14.25">
      <c r="B9784" s="8" t="s">
        <v>1153</v>
      </c>
      <c r="C9784" s="8" t="s">
        <v>8074</v>
      </c>
      <c r="D9784" s="8" t="s">
        <v>172</v>
      </c>
      <c r="E9784" s="8" t="s">
        <v>42448</v>
      </c>
      <c r="F9784" s="8" t="str">
        <f>IFERROR(__XLUDF.DUMMYFUNCTION("PROPER(REGEXREPLACE(D169,""[^A-Za-z]+ "",""""))"),"Kiassure")</f>
        <v>Kiassure</v>
      </c>
      <c r="G9784" s="8" t="s">
        <v>43154</v>
      </c>
      <c r="H9784" s="9">
        <v>13</v>
      </c>
      <c r="I9784" s="8" t="s">
        <v>39661</v>
      </c>
      <c r="J9784" s="8" t="str">
        <f>IFERROR(__XLUDF.DUMMYFUNCTION("VLOOKUP(H169,IMPORTRANGE(""https://docs.google.com/spreadsheets/d/1opm6ZNvGZ7KditA9TuJwrZ25eFLfTNIkrNnY6mhV5Eg"",""list!A1:C115""),3,TRUE)"),"le secteur des assurances")</f>
        <v xml:space="preserve">le secteur des assurances</v>
      </c>
      <c r="K9784" s="10" t="s">
        <v>43155</v>
      </c>
      <c r="L9784" s="10" t="s">
        <v>42451</v>
      </c>
      <c r="M9784" s="8" t="s">
        <v>2499</v>
      </c>
      <c r="N9784" s="8" t="s">
        <v>29</v>
      </c>
      <c r="O9784" s="8" t="s">
        <v>9251</v>
      </c>
      <c r="P9784" s="8"/>
      <c r="Q9784" s="8" t="s">
        <v>42452</v>
      </c>
      <c r="R9784" s="8"/>
      <c r="S9784" s="8"/>
      <c r="T9784" s="8"/>
      <c r="U9784" s="8"/>
      <c r="V9784" s="8"/>
      <c r="W9784" s="8"/>
      <c r="X9784" s="8"/>
      <c r="Y9784" s="8"/>
    </row>
    <row r="9785" ht="14.25">
      <c r="B9785" s="18" t="s">
        <v>963</v>
      </c>
      <c r="C9785" s="18" t="s">
        <v>43156</v>
      </c>
      <c r="D9785" s="18" t="s">
        <v>172</v>
      </c>
      <c r="E9785" s="18" t="s">
        <v>43157</v>
      </c>
      <c r="F9785" s="8" t="str">
        <f>IFERROR(__XLUDF.DUMMYFUNCTION("PROPER(REGEXREPLACE(D170,""[^A-Za-z]+ "",""""))"),"Eyssautier-Verlingue")</f>
        <v>Eyssautier-Verlingue</v>
      </c>
      <c r="G9785" s="18" t="s">
        <v>43158</v>
      </c>
      <c r="H9785" s="18">
        <v>59</v>
      </c>
      <c r="I9785" s="18" t="s">
        <v>39661</v>
      </c>
      <c r="J9785" s="8" t="str">
        <f>IFERROR(__XLUDF.DUMMYFUNCTION("VLOOKUP(H170,IMPORTRANGE(""https://docs.google.com/spreadsheets/d/1opm6ZNvGZ7KditA9TuJwrZ25eFLfTNIkrNnY6mhV5Eg"",""list!A1:C115""),3,TRUE)"),"le secteur des assurances")</f>
        <v xml:space="preserve">le secteur des assurances</v>
      </c>
      <c r="K9785" s="5" t="s">
        <v>43159</v>
      </c>
      <c r="L9785" s="5" t="s">
        <v>43160</v>
      </c>
      <c r="M9785" s="18" t="s">
        <v>39</v>
      </c>
      <c r="N9785" s="18" t="s">
        <v>29</v>
      </c>
      <c r="O9785" s="18" t="s">
        <v>43161</v>
      </c>
      <c r="P9785" s="18" t="s">
        <v>29</v>
      </c>
      <c r="Q9785" s="6"/>
      <c r="R9785" s="6"/>
      <c r="S9785" s="6"/>
      <c r="T9785" s="6"/>
      <c r="U9785" s="6"/>
      <c r="V9785" s="6"/>
      <c r="W9785" s="6"/>
      <c r="X9785" s="6"/>
      <c r="Y9785" s="6"/>
    </row>
    <row r="9786" ht="14.25">
      <c r="B9786" s="18" t="s">
        <v>43162</v>
      </c>
      <c r="C9786" s="18" t="s">
        <v>43163</v>
      </c>
      <c r="D9786" s="18" t="s">
        <v>7594</v>
      </c>
      <c r="E9786" s="18" t="s">
        <v>43164</v>
      </c>
      <c r="F9786" s="8" t="str">
        <f>IFERROR(__XLUDF.DUMMYFUNCTION("PROPER(REGEXREPLACE(D171,""[^A-Za-z]+ "",""""))"),"Smarto")</f>
        <v>Smarto</v>
      </c>
      <c r="G9786" s="18" t="s">
        <v>43165</v>
      </c>
      <c r="H9786" s="18">
        <v>1</v>
      </c>
      <c r="I9786" s="18" t="s">
        <v>39661</v>
      </c>
      <c r="J9786" s="8" t="str">
        <f>IFERROR(__XLUDF.DUMMYFUNCTION("VLOOKUP(H171,IMPORTRANGE(""https://docs.google.com/spreadsheets/d/1opm6ZNvGZ7KditA9TuJwrZ25eFLfTNIkrNnY6mhV5Eg"",""list!A1:C115""),3,TRUE)"),"le secteur des assurances")</f>
        <v xml:space="preserve">le secteur des assurances</v>
      </c>
      <c r="K9786" s="5" t="s">
        <v>43166</v>
      </c>
      <c r="L9786" s="5" t="s">
        <v>43167</v>
      </c>
      <c r="M9786" s="6"/>
      <c r="N9786" s="18" t="s">
        <v>29</v>
      </c>
      <c r="O9786" s="18" t="s">
        <v>19867</v>
      </c>
      <c r="P9786" s="18" t="s">
        <v>29</v>
      </c>
      <c r="Q9786" s="18" t="s">
        <v>43168</v>
      </c>
      <c r="R9786" s="6"/>
      <c r="S9786" s="6"/>
      <c r="T9786" s="6"/>
      <c r="U9786" s="6"/>
      <c r="V9786" s="6"/>
      <c r="W9786" s="6"/>
      <c r="X9786" s="6"/>
      <c r="Y9786" s="6"/>
    </row>
    <row r="9787" ht="14.25">
      <c r="B9787" s="8" t="s">
        <v>76</v>
      </c>
      <c r="C9787" s="8" t="s">
        <v>43169</v>
      </c>
      <c r="D9787" s="8" t="s">
        <v>112</v>
      </c>
      <c r="E9787" s="8" t="s">
        <v>43170</v>
      </c>
      <c r="F9787" s="8" t="str">
        <f>IFERROR(__XLUDF.DUMMYFUNCTION("PROPER(REGEXREPLACE(D172,""[^A-Za-z]+ "",""""))"),"Invictus Courtage")</f>
        <v xml:space="preserve">Invictus Courtage</v>
      </c>
      <c r="G9787" s="8" t="s">
        <v>43171</v>
      </c>
      <c r="H9787" s="9">
        <v>2</v>
      </c>
      <c r="I9787" s="8" t="s">
        <v>39661</v>
      </c>
      <c r="J9787" s="8" t="str">
        <f>IFERROR(__XLUDF.DUMMYFUNCTION("VLOOKUP(H172,IMPORTRANGE(""https://docs.google.com/spreadsheets/d/1opm6ZNvGZ7KditA9TuJwrZ25eFLfTNIkrNnY6mhV5Eg"",""list!A1:C115""),3,TRUE)"),"le secteur des assurances")</f>
        <v xml:space="preserve">le secteur des assurances</v>
      </c>
      <c r="K9787" s="10" t="s">
        <v>43172</v>
      </c>
      <c r="L9787" s="10" t="s">
        <v>43173</v>
      </c>
      <c r="M9787" s="8" t="s">
        <v>185</v>
      </c>
      <c r="N9787" s="8" t="s">
        <v>29</v>
      </c>
      <c r="O9787" s="8" t="s">
        <v>9193</v>
      </c>
      <c r="P9787" s="8"/>
      <c r="Q9787" s="8" t="s">
        <v>43174</v>
      </c>
      <c r="R9787" s="8"/>
      <c r="S9787" s="8"/>
      <c r="T9787" s="8"/>
      <c r="U9787" s="8"/>
      <c r="V9787" s="8"/>
      <c r="W9787" s="8"/>
      <c r="X9787" s="8"/>
      <c r="Y9787" s="8"/>
    </row>
    <row r="9788" ht="14.25">
      <c r="B9788" s="8" t="s">
        <v>69</v>
      </c>
      <c r="C9788" s="8" t="s">
        <v>43175</v>
      </c>
      <c r="D9788" s="8" t="s">
        <v>2636</v>
      </c>
      <c r="E9788" s="8" t="s">
        <v>43176</v>
      </c>
      <c r="F9788" s="8" t="str">
        <f>IFERROR(__XLUDF.DUMMYFUNCTION("PROPER(REGEXREPLACE(D173,""[^A-Za-z]+ "",""""))"),"2Ca Conseils")</f>
        <v xml:space="preserve">2Ca Conseils</v>
      </c>
      <c r="G9788" s="8" t="s">
        <v>43177</v>
      </c>
      <c r="H9788" s="9">
        <v>1</v>
      </c>
      <c r="I9788" s="8" t="s">
        <v>39661</v>
      </c>
      <c r="J9788" s="8" t="str">
        <f>IFERROR(__XLUDF.DUMMYFUNCTION("VLOOKUP(H173,IMPORTRANGE(""https://docs.google.com/spreadsheets/d/1opm6ZNvGZ7KditA9TuJwrZ25eFLfTNIkrNnY6mhV5Eg"",""list!A1:C115""),3,TRUE)"),"le secteur des assurances")</f>
        <v xml:space="preserve">le secteur des assurances</v>
      </c>
      <c r="K9788" s="10" t="s">
        <v>43178</v>
      </c>
      <c r="L9788" s="10" t="s">
        <v>43179</v>
      </c>
      <c r="M9788" s="8" t="s">
        <v>295</v>
      </c>
      <c r="N9788" s="8" t="s">
        <v>29</v>
      </c>
      <c r="O9788" s="8" t="s">
        <v>9251</v>
      </c>
      <c r="P9788" s="8"/>
      <c r="Q9788" s="8"/>
      <c r="R9788" s="8"/>
      <c r="S9788" s="8"/>
      <c r="T9788" s="8"/>
      <c r="U9788" s="8"/>
      <c r="V9788" s="8"/>
      <c r="W9788" s="8"/>
      <c r="X9788" s="8"/>
      <c r="Y9788" s="8"/>
    </row>
    <row r="9789" ht="14.25">
      <c r="B9789" s="8" t="s">
        <v>43180</v>
      </c>
      <c r="C9789" s="8" t="s">
        <v>43181</v>
      </c>
      <c r="D9789" s="8" t="s">
        <v>172</v>
      </c>
      <c r="E9789" s="8" t="s">
        <v>43182</v>
      </c>
      <c r="F9789" s="8" t="str">
        <f>IFERROR(__XLUDF.DUMMYFUNCTION("PROPER(REGEXREPLACE(D174,""[^A-Za-z]+ "",""""))"),"Horizon Courtage")</f>
        <v xml:space="preserve">Horizon Courtage</v>
      </c>
      <c r="G9789" s="8" t="s">
        <v>43183</v>
      </c>
      <c r="H9789" s="9">
        <v>4</v>
      </c>
      <c r="I9789" s="8" t="s">
        <v>39661</v>
      </c>
      <c r="J9789" s="8" t="str">
        <f>IFERROR(__XLUDF.DUMMYFUNCTION("VLOOKUP(H174,IMPORTRANGE(""https://docs.google.com/spreadsheets/d/1opm6ZNvGZ7KditA9TuJwrZ25eFLfTNIkrNnY6mhV5Eg"",""list!A1:C115""),3,TRUE)"),"le secteur des assurances")</f>
        <v xml:space="preserve">le secteur des assurances</v>
      </c>
      <c r="K9789" s="10" t="s">
        <v>43184</v>
      </c>
      <c r="L9789" s="8"/>
      <c r="M9789" s="8" t="s">
        <v>1312</v>
      </c>
      <c r="N9789" s="8" t="s">
        <v>29</v>
      </c>
      <c r="O9789" s="8" t="s">
        <v>9350</v>
      </c>
      <c r="P9789" s="8"/>
      <c r="Q9789" s="8"/>
      <c r="R9789" s="8"/>
      <c r="S9789" s="8"/>
      <c r="T9789" s="8"/>
      <c r="U9789" s="8"/>
      <c r="V9789" s="8"/>
      <c r="W9789" s="8"/>
      <c r="X9789" s="8"/>
      <c r="Y9789" s="8"/>
    </row>
    <row r="9790" ht="14.25">
      <c r="B9790" s="8" t="s">
        <v>768</v>
      </c>
      <c r="C9790" s="8" t="s">
        <v>37602</v>
      </c>
      <c r="D9790" s="8" t="s">
        <v>7759</v>
      </c>
      <c r="E9790" s="8" t="s">
        <v>43185</v>
      </c>
      <c r="F9790" s="8" t="str">
        <f>IFERROR(__XLUDF.DUMMYFUNCTION("PROPER(REGEXREPLACE(D175,""[^A-Za-z]+ "",""""))"),"Akor2Prêt")</f>
        <v>Akor2Prêt</v>
      </c>
      <c r="G9790" s="8" t="s">
        <v>43186</v>
      </c>
      <c r="H9790" s="9">
        <v>18</v>
      </c>
      <c r="I9790" s="8" t="s">
        <v>2629</v>
      </c>
      <c r="J9790" s="8" t="str">
        <f>IFERROR(__XLUDF.DUMMYFUNCTION("VLOOKUP(H175,IMPORTRANGE(""https://docs.google.com/spreadsheets/d/1opm6ZNvGZ7KditA9TuJwrZ25eFLfTNIkrNnY6mhV5Eg"",""list!A1:C115""),3,TRUE)"),"le secteur des services financiers")</f>
        <v xml:space="preserve">le secteur des services financiers</v>
      </c>
      <c r="K9790" s="10" t="s">
        <v>43187</v>
      </c>
      <c r="L9790" s="10" t="s">
        <v>43188</v>
      </c>
      <c r="M9790" s="8" t="s">
        <v>12731</v>
      </c>
      <c r="N9790" s="8" t="s">
        <v>29</v>
      </c>
      <c r="O9790" s="8" t="s">
        <v>9281</v>
      </c>
      <c r="P9790" s="8"/>
      <c r="Q9790" s="8" t="s">
        <v>43189</v>
      </c>
      <c r="R9790" s="8"/>
      <c r="S9790" s="8"/>
      <c r="T9790" s="8"/>
      <c r="U9790" s="8"/>
      <c r="V9790" s="8"/>
      <c r="W9790" s="8"/>
      <c r="X9790" s="8"/>
      <c r="Y9790" s="8"/>
    </row>
    <row r="9791" ht="14.25">
      <c r="B9791" s="8" t="s">
        <v>3164</v>
      </c>
      <c r="C9791" s="8" t="s">
        <v>43190</v>
      </c>
      <c r="D9791" s="8" t="s">
        <v>112</v>
      </c>
      <c r="E9791" s="8" t="s">
        <v>43191</v>
      </c>
      <c r="F9791" s="8" t="str">
        <f>IFERROR(__XLUDF.DUMMYFUNCTION("PROPER(REGEXREPLACE(D176,""[^A-Za-z]+ "",""""))"),"Familiari Vie")</f>
        <v xml:space="preserve">Familiari Vie</v>
      </c>
      <c r="G9791" s="8" t="s">
        <v>43192</v>
      </c>
      <c r="H9791" s="9">
        <v>6</v>
      </c>
      <c r="I9791" s="8" t="s">
        <v>39661</v>
      </c>
      <c r="J9791" s="8" t="str">
        <f>IFERROR(__XLUDF.DUMMYFUNCTION("VLOOKUP(H176,IMPORTRANGE(""https://docs.google.com/spreadsheets/d/1opm6ZNvGZ7KditA9TuJwrZ25eFLfTNIkrNnY6mhV5Eg"",""list!A1:C115""),3,TRUE)"),"le secteur des assurances")</f>
        <v xml:space="preserve">le secteur des assurances</v>
      </c>
      <c r="K9791" s="10" t="s">
        <v>43193</v>
      </c>
      <c r="L9791" s="10" t="s">
        <v>43194</v>
      </c>
      <c r="M9791" s="8" t="s">
        <v>1204</v>
      </c>
      <c r="N9791" s="8" t="s">
        <v>29</v>
      </c>
      <c r="O9791" s="8" t="s">
        <v>9460</v>
      </c>
      <c r="P9791" s="8"/>
      <c r="Q9791" s="8" t="s">
        <v>43195</v>
      </c>
      <c r="R9791" s="8"/>
      <c r="S9791" s="8"/>
      <c r="T9791" s="8"/>
      <c r="U9791" s="8"/>
      <c r="V9791" s="8"/>
      <c r="W9791" s="8"/>
      <c r="X9791" s="8"/>
      <c r="Y9791" s="8"/>
    </row>
    <row r="9792" ht="14.25">
      <c r="B9792" s="8" t="s">
        <v>43196</v>
      </c>
      <c r="C9792" s="8" t="s">
        <v>43197</v>
      </c>
      <c r="D9792" s="8" t="s">
        <v>43198</v>
      </c>
      <c r="E9792" s="8" t="s">
        <v>43199</v>
      </c>
      <c r="F9792" s="8" t="str">
        <f>IFERROR(__XLUDF.DUMMYFUNCTION("PROPER(REGEXREPLACE(D177,""[^A-Za-z]+ "",""""))"),"Addsure")</f>
        <v>Addsure</v>
      </c>
      <c r="G9792" s="8" t="s">
        <v>43200</v>
      </c>
      <c r="H9792" s="9">
        <v>4</v>
      </c>
      <c r="I9792" s="8" t="s">
        <v>39661</v>
      </c>
      <c r="J9792" s="8" t="str">
        <f>IFERROR(__XLUDF.DUMMYFUNCTION("VLOOKUP(H177,IMPORTRANGE(""https://docs.google.com/spreadsheets/d/1opm6ZNvGZ7KditA9TuJwrZ25eFLfTNIkrNnY6mhV5Eg"",""list!A1:C115""),3,TRUE)"),"le secteur des assurances")</f>
        <v xml:space="preserve">le secteur des assurances</v>
      </c>
      <c r="K9792" s="10" t="s">
        <v>43201</v>
      </c>
      <c r="L9792" s="10" t="s">
        <v>43202</v>
      </c>
      <c r="M9792" s="8" t="s">
        <v>39</v>
      </c>
      <c r="N9792" s="8" t="s">
        <v>29</v>
      </c>
      <c r="O9792" s="8" t="s">
        <v>9160</v>
      </c>
      <c r="P9792" s="8"/>
      <c r="Q9792" s="8"/>
      <c r="R9792" s="8"/>
      <c r="S9792" s="8"/>
      <c r="T9792" s="8"/>
      <c r="U9792" s="8"/>
      <c r="V9792" s="8"/>
      <c r="W9792" s="8"/>
      <c r="X9792" s="8"/>
      <c r="Y9792" s="8"/>
    </row>
    <row r="9793" ht="14.25">
      <c r="B9793" s="8" t="s">
        <v>485</v>
      </c>
      <c r="C9793" s="8" t="s">
        <v>3037</v>
      </c>
      <c r="D9793" s="8" t="s">
        <v>112</v>
      </c>
      <c r="E9793" s="8" t="s">
        <v>43203</v>
      </c>
      <c r="F9793" s="8" t="str">
        <f>IFERROR(__XLUDF.DUMMYFUNCTION("PROPER(REGEXREPLACE(D178,""[^A-Za-z]+ "",""""))"),"Lafont Assurances")</f>
        <v xml:space="preserve">Lafont Assurances</v>
      </c>
      <c r="G9793" s="8" t="s">
        <v>43204</v>
      </c>
      <c r="H9793" s="9">
        <v>6</v>
      </c>
      <c r="I9793" s="8" t="s">
        <v>39661</v>
      </c>
      <c r="J9793" s="8" t="str">
        <f>IFERROR(__XLUDF.DUMMYFUNCTION("VLOOKUP(H178,IMPORTRANGE(""https://docs.google.com/spreadsheets/d/1opm6ZNvGZ7KditA9TuJwrZ25eFLfTNIkrNnY6mhV5Eg"",""list!A1:C115""),3,TRUE)"),"le secteur des assurances")</f>
        <v xml:space="preserve">le secteur des assurances</v>
      </c>
      <c r="K9793" s="10" t="s">
        <v>43205</v>
      </c>
      <c r="L9793" s="10" t="s">
        <v>43206</v>
      </c>
      <c r="M9793" s="8" t="s">
        <v>1204</v>
      </c>
      <c r="N9793" s="8" t="s">
        <v>29</v>
      </c>
      <c r="O9793" s="8" t="s">
        <v>10829</v>
      </c>
      <c r="P9793" s="8"/>
      <c r="Q9793" s="8"/>
      <c r="R9793" s="8"/>
      <c r="S9793" s="8"/>
      <c r="T9793" s="8"/>
      <c r="U9793" s="8"/>
      <c r="V9793" s="8"/>
      <c r="W9793" s="8"/>
      <c r="X9793" s="8"/>
      <c r="Y9793" s="8"/>
    </row>
    <row r="9794" ht="14.25">
      <c r="B9794" s="8" t="s">
        <v>1667</v>
      </c>
      <c r="C9794" s="8" t="s">
        <v>2299</v>
      </c>
      <c r="D9794" s="8" t="s">
        <v>341</v>
      </c>
      <c r="E9794" s="8" t="s">
        <v>43207</v>
      </c>
      <c r="F9794" s="8" t="str">
        <f>IFERROR(__XLUDF.DUMMYFUNCTION("PROPER(REGEXREPLACE(D179,""[^A-Za-z]+ "",""""))"),"Simplis")</f>
        <v>Simplis</v>
      </c>
      <c r="G9794" s="8" t="s">
        <v>43208</v>
      </c>
      <c r="H9794" s="9">
        <v>24</v>
      </c>
      <c r="I9794" s="8" t="s">
        <v>39661</v>
      </c>
      <c r="J9794" s="8" t="str">
        <f>IFERROR(__XLUDF.DUMMYFUNCTION("VLOOKUP(H179,IMPORTRANGE(""https://docs.google.com/spreadsheets/d/1opm6ZNvGZ7KditA9TuJwrZ25eFLfTNIkrNnY6mhV5Eg"",""list!A1:C115""),3,TRUE)"),"le secteur des assurances")</f>
        <v xml:space="preserve">le secteur des assurances</v>
      </c>
      <c r="K9794" s="10" t="s">
        <v>43209</v>
      </c>
      <c r="L9794" s="10" t="s">
        <v>43210</v>
      </c>
      <c r="M9794" s="8" t="s">
        <v>39</v>
      </c>
      <c r="N9794" s="8" t="s">
        <v>29</v>
      </c>
      <c r="O9794" s="8" t="s">
        <v>9160</v>
      </c>
      <c r="P9794" s="8"/>
      <c r="Q9794" s="8" t="s">
        <v>43211</v>
      </c>
      <c r="R9794" s="8"/>
      <c r="S9794" s="8"/>
      <c r="T9794" s="8"/>
      <c r="U9794" s="8"/>
      <c r="V9794" s="8"/>
      <c r="W9794" s="8"/>
      <c r="X9794" s="8"/>
      <c r="Y9794" s="8"/>
    </row>
    <row r="9795" ht="14.25">
      <c r="B9795" s="8" t="s">
        <v>866</v>
      </c>
      <c r="C9795" s="8" t="s">
        <v>18213</v>
      </c>
      <c r="D9795" s="8" t="s">
        <v>43212</v>
      </c>
      <c r="E9795" s="8" t="s">
        <v>43213</v>
      </c>
      <c r="F9795" s="8" t="str">
        <f>IFERROR(__XLUDF.DUMMYFUNCTION("PROPER(REGEXREPLACE(D180,""[^A-Za-z]+ "",""""))"),"Comitd'Etudes Et De Services Des Assureurs Maritimes Et Transports")</f>
        <v xml:space="preserve">Comitd'Etudes Et De Services Des Assureurs Maritimes Et Transports</v>
      </c>
      <c r="G9795" s="8" t="s">
        <v>43214</v>
      </c>
      <c r="H9795" s="9">
        <v>17</v>
      </c>
      <c r="I9795" s="8" t="s">
        <v>39661</v>
      </c>
      <c r="J9795" s="8" t="str">
        <f>IFERROR(__XLUDF.DUMMYFUNCTION("VLOOKUP(H180,IMPORTRANGE(""https://docs.google.com/spreadsheets/d/1opm6ZNvGZ7KditA9TuJwrZ25eFLfTNIkrNnY6mhV5Eg"",""list!A1:C115""),3,TRUE)"),"le secteur des assurances")</f>
        <v xml:space="preserve">le secteur des assurances</v>
      </c>
      <c r="K9795" s="10" t="s">
        <v>43215</v>
      </c>
      <c r="L9795" s="10" t="s">
        <v>43216</v>
      </c>
      <c r="M9795" s="8" t="s">
        <v>39</v>
      </c>
      <c r="N9795" s="8" t="s">
        <v>29</v>
      </c>
      <c r="O9795" s="8" t="s">
        <v>9160</v>
      </c>
      <c r="P9795" s="8"/>
      <c r="Q9795" s="8" t="s">
        <v>43217</v>
      </c>
      <c r="R9795" s="8"/>
      <c r="S9795" s="8"/>
      <c r="T9795" s="8"/>
      <c r="U9795" s="8"/>
      <c r="V9795" s="8"/>
      <c r="W9795" s="8"/>
      <c r="X9795" s="8"/>
      <c r="Y9795" s="8"/>
    </row>
    <row r="9796" ht="14.25">
      <c r="B9796" s="8" t="s">
        <v>743</v>
      </c>
      <c r="C9796" s="8" t="s">
        <v>3850</v>
      </c>
      <c r="D9796" s="8" t="s">
        <v>120</v>
      </c>
      <c r="E9796" s="8" t="s">
        <v>43218</v>
      </c>
      <c r="F9796" s="8" t="str">
        <f>IFERROR(__XLUDF.DUMMYFUNCTION("PROPER(REGEXREPLACE(D181,""[^A-Za-z]+ "",""""))"),"Ltm Courtage")</f>
        <v xml:space="preserve">Ltm Courtage</v>
      </c>
      <c r="G9796" s="8" t="s">
        <v>43219</v>
      </c>
      <c r="H9796" s="9">
        <v>6</v>
      </c>
      <c r="I9796" s="8" t="s">
        <v>39661</v>
      </c>
      <c r="J9796" s="8" t="str">
        <f>IFERROR(__XLUDF.DUMMYFUNCTION("VLOOKUP(H181,IMPORTRANGE(""https://docs.google.com/spreadsheets/d/1opm6ZNvGZ7KditA9TuJwrZ25eFLfTNIkrNnY6mhV5Eg"",""list!A1:C115""),3,TRUE)"),"le secteur des assurances")</f>
        <v xml:space="preserve">le secteur des assurances</v>
      </c>
      <c r="K9796" s="10" t="s">
        <v>43220</v>
      </c>
      <c r="L9796" s="10" t="s">
        <v>43221</v>
      </c>
      <c r="M9796" s="8" t="s">
        <v>562</v>
      </c>
      <c r="N9796" s="8" t="s">
        <v>29</v>
      </c>
      <c r="O9796" s="8" t="s">
        <v>9215</v>
      </c>
      <c r="P9796" s="8"/>
      <c r="Q9796" s="8" t="s">
        <v>43222</v>
      </c>
      <c r="R9796" s="8"/>
      <c r="S9796" s="8"/>
      <c r="T9796" s="8"/>
      <c r="U9796" s="8"/>
      <c r="V9796" s="8"/>
      <c r="W9796" s="8"/>
      <c r="X9796" s="8"/>
      <c r="Y9796" s="8"/>
    </row>
    <row r="9797" ht="14.25">
      <c r="B9797" s="8" t="s">
        <v>622</v>
      </c>
      <c r="C9797" s="8" t="s">
        <v>43223</v>
      </c>
      <c r="D9797" s="8" t="s">
        <v>172</v>
      </c>
      <c r="E9797" s="8" t="s">
        <v>43224</v>
      </c>
      <c r="F9797" s="8" t="str">
        <f>IFERROR(__XLUDF.DUMMYFUNCTION("PROPER(REGEXREPLACE(D182,""[^A-Za-z]+ "",""""))"),"Mutuelle Mutami")</f>
        <v xml:space="preserve">Mutuelle Mutami</v>
      </c>
      <c r="G9797" s="8" t="s">
        <v>43225</v>
      </c>
      <c r="H9797" s="9">
        <v>86</v>
      </c>
      <c r="I9797" s="8" t="s">
        <v>39661</v>
      </c>
      <c r="J9797" s="8" t="str">
        <f>IFERROR(__XLUDF.DUMMYFUNCTION("VLOOKUP(H182,IMPORTRANGE(""https://docs.google.com/spreadsheets/d/1opm6ZNvGZ7KditA9TuJwrZ25eFLfTNIkrNnY6mhV5Eg"",""list!A1:C115""),3,TRUE)"),"le secteur des assurances")</f>
        <v xml:space="preserve">le secteur des assurances</v>
      </c>
      <c r="K9797" s="10" t="s">
        <v>43226</v>
      </c>
      <c r="L9797" s="10" t="s">
        <v>43227</v>
      </c>
      <c r="M9797" s="8"/>
      <c r="N9797" s="8" t="s">
        <v>29</v>
      </c>
      <c r="O9797" s="8"/>
      <c r="P9797" s="8"/>
      <c r="Q9797" s="8" t="s">
        <v>43228</v>
      </c>
      <c r="R9797" s="8"/>
      <c r="S9797" s="8"/>
      <c r="T9797" s="8"/>
      <c r="U9797" s="8"/>
      <c r="V9797" s="8"/>
      <c r="W9797" s="8"/>
      <c r="X9797" s="8"/>
      <c r="Y9797" s="8"/>
    </row>
    <row r="9798" ht="14.25">
      <c r="B9798" s="8" t="s">
        <v>485</v>
      </c>
      <c r="C9798" s="8" t="s">
        <v>43229</v>
      </c>
      <c r="D9798" s="8" t="s">
        <v>9849</v>
      </c>
      <c r="E9798" s="8" t="s">
        <v>43230</v>
      </c>
      <c r="F9798" s="8" t="str">
        <f>IFERROR(__XLUDF.DUMMYFUNCTION("PROPER(REGEXREPLACE(D183,""[^A-Za-z]+ "",""""))"),"Adm Assurances Mma")</f>
        <v xml:space="preserve">Adm Assurances Mma</v>
      </c>
      <c r="G9798" s="8" t="s">
        <v>43231</v>
      </c>
      <c r="H9798" s="9">
        <v>10</v>
      </c>
      <c r="I9798" s="8" t="s">
        <v>39661</v>
      </c>
      <c r="J9798" s="8" t="str">
        <f>IFERROR(__XLUDF.DUMMYFUNCTION("VLOOKUP(H183,IMPORTRANGE(""https://docs.google.com/spreadsheets/d/1opm6ZNvGZ7KditA9TuJwrZ25eFLfTNIkrNnY6mhV5Eg"",""list!A1:C115""),3,TRUE)"),"le secteur des assurances")</f>
        <v xml:space="preserve">le secteur des assurances</v>
      </c>
      <c r="K9798" s="10" t="s">
        <v>43232</v>
      </c>
      <c r="L9798" s="8"/>
      <c r="M9798" s="8" t="s">
        <v>16386</v>
      </c>
      <c r="N9798" s="8" t="s">
        <v>29</v>
      </c>
      <c r="O9798" s="8" t="s">
        <v>9864</v>
      </c>
      <c r="P9798" s="8"/>
      <c r="Q9798" s="8"/>
      <c r="R9798" s="8"/>
      <c r="S9798" s="8"/>
      <c r="T9798" s="8"/>
      <c r="U9798" s="8"/>
      <c r="V9798" s="8"/>
      <c r="W9798" s="8"/>
      <c r="X9798" s="8"/>
      <c r="Y9798" s="8"/>
    </row>
    <row r="9799" ht="14.25">
      <c r="B9799" s="8" t="s">
        <v>255</v>
      </c>
      <c r="C9799" s="8" t="s">
        <v>43233</v>
      </c>
      <c r="D9799" s="8" t="s">
        <v>112</v>
      </c>
      <c r="E9799" s="8" t="s">
        <v>43234</v>
      </c>
      <c r="F9799" s="8" t="str">
        <f>IFERROR(__XLUDF.DUMMYFUNCTION("PROPER(REGEXREPLACE(D184,""[^A-Za-z]+ "",""""))"),"Serex Assurances")</f>
        <v xml:space="preserve">Serex Assurances</v>
      </c>
      <c r="G9799" s="8" t="s">
        <v>43235</v>
      </c>
      <c r="H9799" s="9">
        <v>8</v>
      </c>
      <c r="I9799" s="8" t="s">
        <v>39661</v>
      </c>
      <c r="J9799" s="8" t="str">
        <f>IFERROR(__XLUDF.DUMMYFUNCTION("VLOOKUP(H184,IMPORTRANGE(""https://docs.google.com/spreadsheets/d/1opm6ZNvGZ7KditA9TuJwrZ25eFLfTNIkrNnY6mhV5Eg"",""list!A1:C115""),3,TRUE)"),"le secteur des assurances")</f>
        <v xml:space="preserve">le secteur des assurances</v>
      </c>
      <c r="K9799" s="10" t="s">
        <v>43236</v>
      </c>
      <c r="L9799" s="10" t="s">
        <v>43237</v>
      </c>
      <c r="M9799" s="8"/>
      <c r="N9799" s="8" t="s">
        <v>29</v>
      </c>
      <c r="O9799" s="8" t="s">
        <v>9160</v>
      </c>
      <c r="P9799" s="8"/>
      <c r="Q9799" s="8" t="s">
        <v>43238</v>
      </c>
      <c r="R9799" s="8"/>
      <c r="S9799" s="8"/>
      <c r="T9799" s="8"/>
      <c r="U9799" s="8"/>
      <c r="V9799" s="8"/>
      <c r="W9799" s="8"/>
      <c r="X9799" s="8"/>
      <c r="Y9799" s="8"/>
    </row>
    <row r="9800" ht="14.25">
      <c r="B9800" s="8" t="s">
        <v>43239</v>
      </c>
      <c r="C9800" s="8" t="s">
        <v>10421</v>
      </c>
      <c r="D9800" s="8" t="s">
        <v>2636</v>
      </c>
      <c r="E9800" s="8" t="s">
        <v>43240</v>
      </c>
      <c r="F9800" s="8" t="str">
        <f>IFERROR(__XLUDF.DUMMYFUNCTION("PROPER(REGEXREPLACE(D185,""[^A-Za-z]+ "",""""))"),"Barbosa Conseils")</f>
        <v xml:space="preserve">Barbosa Conseils</v>
      </c>
      <c r="G9800" s="8" t="s">
        <v>43241</v>
      </c>
      <c r="H9800" s="9">
        <v>3</v>
      </c>
      <c r="I9800" s="8" t="s">
        <v>39661</v>
      </c>
      <c r="J9800" s="8" t="str">
        <f>IFERROR(__XLUDF.DUMMYFUNCTION("VLOOKUP(H185,IMPORTRANGE(""https://docs.google.com/spreadsheets/d/1opm6ZNvGZ7KditA9TuJwrZ25eFLfTNIkrNnY6mhV5Eg"",""list!A1:C115""),3,TRUE)"),"le secteur des assurances")</f>
        <v xml:space="preserve">le secteur des assurances</v>
      </c>
      <c r="K9800" s="10" t="s">
        <v>43242</v>
      </c>
      <c r="L9800" s="10" t="s">
        <v>43243</v>
      </c>
      <c r="M9800" s="8" t="s">
        <v>5449</v>
      </c>
      <c r="N9800" s="8" t="s">
        <v>29</v>
      </c>
      <c r="O9800" s="8" t="s">
        <v>9160</v>
      </c>
      <c r="P9800" s="8"/>
      <c r="Q9800" s="8" t="s">
        <v>43244</v>
      </c>
      <c r="R9800" s="8"/>
      <c r="S9800" s="8"/>
      <c r="T9800" s="8"/>
      <c r="U9800" s="8"/>
      <c r="V9800" s="8"/>
      <c r="W9800" s="8"/>
      <c r="X9800" s="8"/>
      <c r="Y9800" s="8"/>
    </row>
    <row r="9801" ht="14.25">
      <c r="B9801" s="18" t="s">
        <v>2372</v>
      </c>
      <c r="C9801" s="18" t="s">
        <v>43245</v>
      </c>
      <c r="D9801" s="18" t="s">
        <v>43246</v>
      </c>
      <c r="E9801" s="18" t="s">
        <v>43247</v>
      </c>
      <c r="F9801" s="8" t="str">
        <f>IFERROR(__XLUDF.DUMMYFUNCTION("PROPER(REGEXREPLACE(D186,""[^A-Za-z]+ "",""""))"),"Institut Des Actuaires")</f>
        <v xml:space="preserve">Institut Des Actuaires</v>
      </c>
      <c r="G9801" s="18" t="s">
        <v>43248</v>
      </c>
      <c r="H9801" s="18">
        <v>72</v>
      </c>
      <c r="I9801" s="18" t="s">
        <v>39661</v>
      </c>
      <c r="J9801" s="8" t="str">
        <f>IFERROR(__XLUDF.DUMMYFUNCTION("VLOOKUP(H186,IMPORTRANGE(""https://docs.google.com/spreadsheets/d/1opm6ZNvGZ7KditA9TuJwrZ25eFLfTNIkrNnY6mhV5Eg"",""list!A1:C115""),3,TRUE)"),"le secteur des assurances")</f>
        <v xml:space="preserve">le secteur des assurances</v>
      </c>
      <c r="K9801" s="5" t="s">
        <v>43249</v>
      </c>
      <c r="L9801" s="5" t="s">
        <v>43250</v>
      </c>
      <c r="M9801" s="18" t="s">
        <v>39</v>
      </c>
      <c r="N9801" s="18" t="s">
        <v>29</v>
      </c>
      <c r="O9801" s="18" t="s">
        <v>43251</v>
      </c>
      <c r="P9801" s="18" t="s">
        <v>29</v>
      </c>
      <c r="Q9801" s="6"/>
      <c r="R9801" s="6"/>
      <c r="S9801" s="6"/>
      <c r="T9801" s="6"/>
      <c r="U9801" s="6"/>
      <c r="V9801" s="6"/>
      <c r="W9801" s="6"/>
      <c r="X9801" s="6"/>
      <c r="Y9801" s="6"/>
    </row>
    <row r="9802" ht="14.25">
      <c r="B9802" s="8" t="s">
        <v>76</v>
      </c>
      <c r="C9802" s="8" t="s">
        <v>43252</v>
      </c>
      <c r="D9802" s="8" t="s">
        <v>1130</v>
      </c>
      <c r="E9802" s="8" t="s">
        <v>43253</v>
      </c>
      <c r="F9802" s="8" t="str">
        <f>IFERROR(__XLUDF.DUMMYFUNCTION("PROPER(REGEXREPLACE(D187,""[^A-Za-z]+ "",""""))"),"Air Alpha L'Assurance Des Militaires De L'Armée De L'Air")</f>
        <v xml:space="preserve">Air Alpha L'Assurance Des Militaires De L'Armée De L'Air</v>
      </c>
      <c r="G9802" s="8" t="s">
        <v>43254</v>
      </c>
      <c r="H9802" s="9">
        <v>7</v>
      </c>
      <c r="I9802" s="8" t="s">
        <v>39661</v>
      </c>
      <c r="J9802" s="8" t="str">
        <f>IFERROR(__XLUDF.DUMMYFUNCTION("VLOOKUP(H187,IMPORTRANGE(""https://docs.google.com/spreadsheets/d/1opm6ZNvGZ7KditA9TuJwrZ25eFLfTNIkrNnY6mhV5Eg"",""list!A1:C115""),3,TRUE)"),"le secteur des assurances")</f>
        <v xml:space="preserve">le secteur des assurances</v>
      </c>
      <c r="K9802" s="10" t="s">
        <v>43255</v>
      </c>
      <c r="L9802" s="10" t="s">
        <v>43256</v>
      </c>
      <c r="M9802" s="8"/>
      <c r="N9802" s="8" t="s">
        <v>29</v>
      </c>
      <c r="O9802" s="8"/>
      <c r="P9802" s="8"/>
      <c r="Q9802" s="8"/>
      <c r="R9802" s="8"/>
      <c r="S9802" s="8"/>
      <c r="T9802" s="8"/>
      <c r="U9802" s="8"/>
      <c r="V9802" s="8"/>
      <c r="W9802" s="8"/>
      <c r="X9802" s="8"/>
      <c r="Y9802" s="8"/>
    </row>
    <row r="9803" ht="14.25">
      <c r="B9803" s="8" t="s">
        <v>24388</v>
      </c>
      <c r="C9803" s="8" t="s">
        <v>43257</v>
      </c>
      <c r="D9803" s="8" t="s">
        <v>112</v>
      </c>
      <c r="E9803" s="8" t="s">
        <v>43258</v>
      </c>
      <c r="F9803" s="8" t="str">
        <f>IFERROR(__XLUDF.DUMMYFUNCTION("PROPER(REGEXREPLACE(D188,""[^A-Za-z]+ "",""""))"),"Bienviyance")</f>
        <v>Bienviyance</v>
      </c>
      <c r="G9803" s="8" t="s">
        <v>43259</v>
      </c>
      <c r="H9803" s="9">
        <v>40</v>
      </c>
      <c r="I9803" s="8" t="s">
        <v>39661</v>
      </c>
      <c r="J9803" s="8" t="str">
        <f>IFERROR(__XLUDF.DUMMYFUNCTION("VLOOKUP(H188,IMPORTRANGE(""https://docs.google.com/spreadsheets/d/1opm6ZNvGZ7KditA9TuJwrZ25eFLfTNIkrNnY6mhV5Eg"",""list!A1:C115""),3,TRUE)"),"le secteur des assurances")</f>
        <v xml:space="preserve">le secteur des assurances</v>
      </c>
      <c r="K9803" s="10" t="s">
        <v>43260</v>
      </c>
      <c r="L9803" s="10" t="s">
        <v>43261</v>
      </c>
      <c r="M9803" s="8" t="s">
        <v>39</v>
      </c>
      <c r="N9803" s="8" t="s">
        <v>29</v>
      </c>
      <c r="O9803" s="8" t="s">
        <v>9160</v>
      </c>
      <c r="P9803" s="8"/>
      <c r="Q9803" s="8"/>
      <c r="R9803" s="8"/>
      <c r="S9803" s="8"/>
      <c r="T9803" s="8"/>
      <c r="U9803" s="8"/>
      <c r="V9803" s="8"/>
      <c r="W9803" s="8"/>
      <c r="X9803" s="8"/>
      <c r="Y9803" s="8"/>
    </row>
    <row r="9804" ht="14.25">
      <c r="B9804" s="8" t="s">
        <v>2066</v>
      </c>
      <c r="C9804" s="8" t="s">
        <v>43262</v>
      </c>
      <c r="D9804" s="8" t="s">
        <v>43263</v>
      </c>
      <c r="E9804" s="8" t="s">
        <v>43264</v>
      </c>
      <c r="F9804" s="8" t="str">
        <f>IFERROR(__XLUDF.DUMMYFUNCTION("PROPER(REGEXREPLACE(D189,""[^A-Za-z]+ "",""""))"),"Follow Courtage")</f>
        <v xml:space="preserve">Follow Courtage</v>
      </c>
      <c r="G9804" s="8" t="s">
        <v>43265</v>
      </c>
      <c r="H9804" s="9">
        <v>1</v>
      </c>
      <c r="I9804" s="8" t="s">
        <v>39661</v>
      </c>
      <c r="J9804" s="8" t="str">
        <f>IFERROR(__XLUDF.DUMMYFUNCTION("VLOOKUP(H189,IMPORTRANGE(""https://docs.google.com/spreadsheets/d/1opm6ZNvGZ7KditA9TuJwrZ25eFLfTNIkrNnY6mhV5Eg"",""list!A1:C115""),3,TRUE)"),"le secteur des assurances")</f>
        <v xml:space="preserve">le secteur des assurances</v>
      </c>
      <c r="K9804" s="10" t="s">
        <v>43266</v>
      </c>
      <c r="L9804" s="10" t="s">
        <v>43267</v>
      </c>
      <c r="M9804" s="8" t="s">
        <v>43268</v>
      </c>
      <c r="N9804" s="8" t="s">
        <v>29</v>
      </c>
      <c r="O9804" s="8" t="s">
        <v>9864</v>
      </c>
      <c r="P9804" s="8"/>
      <c r="Q9804" s="8" t="s">
        <v>43269</v>
      </c>
      <c r="R9804" s="8"/>
      <c r="S9804" s="8"/>
      <c r="T9804" s="8"/>
      <c r="U9804" s="8"/>
      <c r="V9804" s="8"/>
      <c r="W9804" s="8"/>
      <c r="X9804" s="8"/>
      <c r="Y9804" s="8"/>
    </row>
    <row r="9805" ht="14.25">
      <c r="B9805" s="8" t="s">
        <v>76</v>
      </c>
      <c r="C9805" s="8" t="s">
        <v>43270</v>
      </c>
      <c r="D9805" s="8" t="s">
        <v>341</v>
      </c>
      <c r="E9805" s="8" t="s">
        <v>43271</v>
      </c>
      <c r="F9805" s="8" t="str">
        <f>IFERROR(__XLUDF.DUMMYFUNCTION("PROPER(REGEXREPLACE(D190,""[^A-Za-z]+ "",""""))"),"Hodeva")</f>
        <v>Hodeva</v>
      </c>
      <c r="G9805" s="8" t="s">
        <v>43272</v>
      </c>
      <c r="H9805" s="8"/>
      <c r="I9805" s="8"/>
      <c r="J9805" s="8" t="s">
        <v>42267</v>
      </c>
      <c r="K9805" s="10" t="s">
        <v>43273</v>
      </c>
      <c r="L9805" s="10" t="s">
        <v>43274</v>
      </c>
      <c r="M9805" s="8" t="s">
        <v>185</v>
      </c>
      <c r="N9805" s="8" t="s">
        <v>29</v>
      </c>
      <c r="O9805" s="8" t="s">
        <v>9172</v>
      </c>
      <c r="P9805" s="8"/>
      <c r="Q9805" s="8"/>
      <c r="R9805" s="8"/>
      <c r="S9805" s="8"/>
      <c r="T9805" s="8"/>
      <c r="U9805" s="8"/>
      <c r="V9805" s="8"/>
      <c r="W9805" s="8"/>
      <c r="X9805" s="8"/>
      <c r="Y9805" s="8"/>
    </row>
    <row r="9806" ht="14.25">
      <c r="B9806" s="8" t="s">
        <v>7714</v>
      </c>
      <c r="C9806" s="8" t="s">
        <v>43275</v>
      </c>
      <c r="D9806" s="8" t="s">
        <v>9456</v>
      </c>
      <c r="E9806" s="8" t="s">
        <v>43276</v>
      </c>
      <c r="F9806" s="8" t="str">
        <f>IFERROR(__XLUDF.DUMMYFUNCTION("PROPER(REGEXREPLACE(D191,""[^A-Za-z]+ "",""""))"),"Axiadis")</f>
        <v>Axiadis</v>
      </c>
      <c r="G9806" s="8" t="s">
        <v>43277</v>
      </c>
      <c r="H9806" s="9">
        <v>9</v>
      </c>
      <c r="I9806" s="8" t="s">
        <v>39661</v>
      </c>
      <c r="J9806" s="8" t="str">
        <f>IFERROR(__XLUDF.DUMMYFUNCTION("VLOOKUP(H191,IMPORTRANGE(""https://docs.google.com/spreadsheets/d/1opm6ZNvGZ7KditA9TuJwrZ25eFLfTNIkrNnY6mhV5Eg"",""list!A1:C115""),3,TRUE)"),"le secteur des assurances")</f>
        <v xml:space="preserve">le secteur des assurances</v>
      </c>
      <c r="K9806" s="10" t="s">
        <v>43278</v>
      </c>
      <c r="L9806" s="10" t="s">
        <v>43279</v>
      </c>
      <c r="M9806" s="8"/>
      <c r="N9806" s="8" t="s">
        <v>29</v>
      </c>
      <c r="O9806" s="8"/>
      <c r="P9806" s="8"/>
      <c r="Q9806" s="8"/>
      <c r="R9806" s="8"/>
      <c r="S9806" s="8"/>
      <c r="T9806" s="8"/>
      <c r="U9806" s="8"/>
      <c r="V9806" s="8"/>
      <c r="W9806" s="8"/>
      <c r="X9806" s="8"/>
      <c r="Y9806" s="8"/>
    </row>
    <row r="9807" ht="14.25">
      <c r="B9807" s="8" t="s">
        <v>245</v>
      </c>
      <c r="C9807" s="8" t="s">
        <v>43280</v>
      </c>
      <c r="D9807" s="8" t="s">
        <v>120</v>
      </c>
      <c r="E9807" s="8" t="s">
        <v>43281</v>
      </c>
      <c r="F9807" s="8" t="str">
        <f>IFERROR(__XLUDF.DUMMYFUNCTION("PROPER(REGEXREPLACE(D192,""[^A-Za-z]+ "",""""))"),"Fees And You")</f>
        <v xml:space="preserve">Fees And You</v>
      </c>
      <c r="G9807" s="8" t="s">
        <v>43282</v>
      </c>
      <c r="H9807" s="9">
        <v>1</v>
      </c>
      <c r="I9807" s="8" t="s">
        <v>39661</v>
      </c>
      <c r="J9807" s="8" t="str">
        <f>IFERROR(__XLUDF.DUMMYFUNCTION("VLOOKUP(H192,IMPORTRANGE(""https://docs.google.com/spreadsheets/d/1opm6ZNvGZ7KditA9TuJwrZ25eFLfTNIkrNnY6mhV5Eg"",""list!A1:C115""),3,TRUE)"),"le secteur des assurances")</f>
        <v xml:space="preserve">le secteur des assurances</v>
      </c>
      <c r="K9807" s="10" t="s">
        <v>43283</v>
      </c>
      <c r="L9807" s="10" t="s">
        <v>43284</v>
      </c>
      <c r="M9807" s="8" t="s">
        <v>5449</v>
      </c>
      <c r="N9807" s="8" t="s">
        <v>29</v>
      </c>
      <c r="O9807" s="8" t="s">
        <v>9160</v>
      </c>
      <c r="P9807" s="8"/>
      <c r="Q9807" s="8" t="s">
        <v>43285</v>
      </c>
      <c r="R9807" s="8"/>
      <c r="S9807" s="8"/>
      <c r="T9807" s="8"/>
      <c r="U9807" s="8"/>
      <c r="V9807" s="8"/>
      <c r="W9807" s="8"/>
      <c r="X9807" s="8"/>
      <c r="Y9807" s="8"/>
    </row>
    <row r="9808" ht="14.25">
      <c r="B9808" s="18" t="s">
        <v>1562</v>
      </c>
      <c r="C9808" s="18" t="s">
        <v>43286</v>
      </c>
      <c r="D9808" s="18" t="s">
        <v>43287</v>
      </c>
      <c r="E9808" s="18" t="s">
        <v>43288</v>
      </c>
      <c r="F9808" s="8" t="str">
        <f>IFERROR(__XLUDF.DUMMYFUNCTION("PROPER(REGEXREPLACE(D193,""[^A-Za-z]+ "",""""))"),"Auxia")</f>
        <v>Auxia</v>
      </c>
      <c r="G9808" s="18" t="s">
        <v>43289</v>
      </c>
      <c r="H9808" s="6"/>
      <c r="I9808" s="6"/>
      <c r="J9808" s="8" t="s">
        <v>42267</v>
      </c>
      <c r="K9808" s="5" t="s">
        <v>43290</v>
      </c>
      <c r="L9808" s="5" t="s">
        <v>43291</v>
      </c>
      <c r="M9808" s="6"/>
      <c r="N9808" s="18" t="s">
        <v>29</v>
      </c>
      <c r="O9808" s="18" t="s">
        <v>67</v>
      </c>
      <c r="P9808" s="18" t="s">
        <v>29</v>
      </c>
      <c r="Q9808" s="6"/>
      <c r="R9808" s="6"/>
      <c r="S9808" s="6"/>
      <c r="T9808" s="6"/>
      <c r="U9808" s="6"/>
      <c r="V9808" s="6"/>
      <c r="W9808" s="6"/>
      <c r="X9808" s="6"/>
      <c r="Y9808" s="6"/>
    </row>
    <row r="9809" ht="14.25">
      <c r="B9809" s="8" t="s">
        <v>1596</v>
      </c>
      <c r="C9809" s="8" t="s">
        <v>785</v>
      </c>
      <c r="D9809" s="8" t="s">
        <v>426</v>
      </c>
      <c r="E9809" s="8" t="s">
        <v>43292</v>
      </c>
      <c r="F9809" s="8" t="str">
        <f>IFERROR(__XLUDF.DUMMYFUNCTION("PROPER(REGEXREPLACE(D194,""[^A-Za-z]+ "",""""))"),"Miltis")</f>
        <v>Miltis</v>
      </c>
      <c r="G9809" s="8" t="s">
        <v>43293</v>
      </c>
      <c r="H9809" s="9">
        <v>22</v>
      </c>
      <c r="I9809" s="8" t="s">
        <v>39661</v>
      </c>
      <c r="J9809" s="8" t="str">
        <f>IFERROR(__XLUDF.DUMMYFUNCTION("VLOOKUP(H194,IMPORTRANGE(""https://docs.google.com/spreadsheets/d/1opm6ZNvGZ7KditA9TuJwrZ25eFLfTNIkrNnY6mhV5Eg"",""list!A1:C115""),3,TRUE)"),"le secteur des assurances")</f>
        <v xml:space="preserve">le secteur des assurances</v>
      </c>
      <c r="K9809" s="10" t="s">
        <v>43294</v>
      </c>
      <c r="L9809" s="10" t="s">
        <v>43295</v>
      </c>
      <c r="M9809" s="8" t="s">
        <v>185</v>
      </c>
      <c r="N9809" s="8" t="s">
        <v>29</v>
      </c>
      <c r="O9809" s="8" t="s">
        <v>9172</v>
      </c>
      <c r="P9809" s="8"/>
      <c r="Q9809" s="8" t="s">
        <v>43296</v>
      </c>
      <c r="R9809" s="8"/>
      <c r="S9809" s="8"/>
      <c r="T9809" s="8"/>
      <c r="U9809" s="8"/>
      <c r="V9809" s="8"/>
      <c r="W9809" s="8"/>
      <c r="X9809" s="8"/>
      <c r="Y9809" s="8"/>
    </row>
    <row r="9810" ht="14.25">
      <c r="B9810" s="8" t="s">
        <v>2973</v>
      </c>
      <c r="C9810" s="8" t="s">
        <v>43297</v>
      </c>
      <c r="D9810" s="8" t="s">
        <v>120</v>
      </c>
      <c r="E9810" s="8" t="s">
        <v>43298</v>
      </c>
      <c r="F9810" s="8" t="str">
        <f>IFERROR(__XLUDF.DUMMYFUNCTION("PROPER(REGEXREPLACE(D195,""[^A-Za-z]+ "",""""))"),"Neovie Assurances")</f>
        <v xml:space="preserve">Neovie Assurances</v>
      </c>
      <c r="G9810" s="8" t="s">
        <v>43299</v>
      </c>
      <c r="H9810" s="9">
        <v>2</v>
      </c>
      <c r="I9810" s="8" t="s">
        <v>39661</v>
      </c>
      <c r="J9810" s="8" t="str">
        <f>IFERROR(__XLUDF.DUMMYFUNCTION("VLOOKUP(H195,IMPORTRANGE(""https://docs.google.com/spreadsheets/d/1opm6ZNvGZ7KditA9TuJwrZ25eFLfTNIkrNnY6mhV5Eg"",""list!A1:C115""),3,TRUE)"),"le secteur des assurances")</f>
        <v xml:space="preserve">le secteur des assurances</v>
      </c>
      <c r="K9810" s="10" t="s">
        <v>43300</v>
      </c>
      <c r="L9810" s="10" t="s">
        <v>43301</v>
      </c>
      <c r="M9810" s="8" t="s">
        <v>21051</v>
      </c>
      <c r="N9810" s="8" t="s">
        <v>29</v>
      </c>
      <c r="O9810" s="8" t="s">
        <v>9251</v>
      </c>
      <c r="P9810" s="8"/>
      <c r="Q9810" s="8"/>
      <c r="R9810" s="8"/>
      <c r="S9810" s="8"/>
      <c r="T9810" s="8"/>
      <c r="U9810" s="8"/>
      <c r="V9810" s="8"/>
      <c r="W9810" s="8"/>
      <c r="X9810" s="8"/>
      <c r="Y9810" s="8"/>
    </row>
    <row r="9811" ht="14.25">
      <c r="B9811" s="8" t="s">
        <v>222</v>
      </c>
      <c r="C9811" s="8" t="s">
        <v>43302</v>
      </c>
      <c r="D9811" s="8" t="s">
        <v>43303</v>
      </c>
      <c r="E9811" s="8" t="s">
        <v>43304</v>
      </c>
      <c r="F9811" s="8" t="str">
        <f>IFERROR(__XLUDF.DUMMYFUNCTION("PROPER(REGEXREPLACE(D196,""[^A-Za-z]+ "",""""))"),"La Mutuelle Catalane")</f>
        <v xml:space="preserve">La Mutuelle Catalane</v>
      </c>
      <c r="G9811" s="8" t="s">
        <v>43305</v>
      </c>
      <c r="H9811" s="8"/>
      <c r="I9811" s="8"/>
      <c r="J9811" s="8" t="s">
        <v>42267</v>
      </c>
      <c r="K9811" s="10" t="s">
        <v>43306</v>
      </c>
      <c r="L9811" s="10" t="s">
        <v>43307</v>
      </c>
      <c r="M9811" s="8" t="s">
        <v>1204</v>
      </c>
      <c r="N9811" s="8" t="s">
        <v>29</v>
      </c>
      <c r="O9811" s="8" t="s">
        <v>9460</v>
      </c>
      <c r="P9811" s="8"/>
      <c r="Q9811" s="8"/>
      <c r="R9811" s="8"/>
      <c r="S9811" s="8"/>
      <c r="T9811" s="8"/>
      <c r="U9811" s="8"/>
      <c r="V9811" s="8"/>
      <c r="W9811" s="8"/>
      <c r="X9811" s="8"/>
      <c r="Y9811" s="8"/>
    </row>
    <row r="9812" ht="14.25">
      <c r="B9812" s="18" t="s">
        <v>1704</v>
      </c>
      <c r="C9812" s="18" t="s">
        <v>43308</v>
      </c>
      <c r="D9812" s="18" t="s">
        <v>2911</v>
      </c>
      <c r="E9812" s="18" t="s">
        <v>43309</v>
      </c>
      <c r="F9812" s="8" t="str">
        <f>IFERROR(__XLUDF.DUMMYFUNCTION("PROPER(REGEXREPLACE(D197,""[^A-Za-z]+ "",""""))"),"Orus")</f>
        <v>Orus</v>
      </c>
      <c r="G9812" s="18" t="s">
        <v>43310</v>
      </c>
      <c r="H9812" s="18">
        <v>77</v>
      </c>
      <c r="I9812" s="18" t="s">
        <v>39661</v>
      </c>
      <c r="J9812" s="8" t="str">
        <f>IFERROR(__XLUDF.DUMMYFUNCTION("VLOOKUP(H197,IMPORTRANGE(""https://docs.google.com/spreadsheets/d/1opm6ZNvGZ7KditA9TuJwrZ25eFLfTNIkrNnY6mhV5Eg"",""list!A1:C115""),3,TRUE)"),"le secteur des assurances")</f>
        <v xml:space="preserve">le secteur des assurances</v>
      </c>
      <c r="K9812" s="5" t="s">
        <v>43311</v>
      </c>
      <c r="L9812" s="5" t="s">
        <v>43312</v>
      </c>
      <c r="M9812" s="18" t="s">
        <v>39</v>
      </c>
      <c r="N9812" s="18" t="s">
        <v>29</v>
      </c>
      <c r="O9812" s="18" t="s">
        <v>546</v>
      </c>
      <c r="P9812" s="18" t="s">
        <v>29</v>
      </c>
      <c r="Q9812" s="18" t="s">
        <v>43313</v>
      </c>
      <c r="R9812" s="6"/>
      <c r="S9812" s="6"/>
      <c r="T9812" s="6"/>
      <c r="U9812" s="6"/>
      <c r="V9812" s="6"/>
      <c r="W9812" s="6"/>
      <c r="X9812" s="6"/>
      <c r="Y9812" s="6"/>
    </row>
    <row r="9813" ht="14.25">
      <c r="B9813" s="8" t="s">
        <v>43314</v>
      </c>
      <c r="C9813" s="8" t="s">
        <v>43315</v>
      </c>
      <c r="D9813" s="8" t="s">
        <v>341</v>
      </c>
      <c r="E9813" s="8" t="s">
        <v>43316</v>
      </c>
      <c r="F9813" s="8" t="str">
        <f>IFERROR(__XLUDF.DUMMYFUNCTION("PROPER(REGEXREPLACE(D198,""[^A-Za-z]+ "",""""))"),"As Assurances")</f>
        <v xml:space="preserve">As Assurances</v>
      </c>
      <c r="G9813" s="8" t="s">
        <v>43317</v>
      </c>
      <c r="H9813" s="8"/>
      <c r="I9813" s="8"/>
      <c r="J9813" s="8" t="s">
        <v>42267</v>
      </c>
      <c r="K9813" s="10" t="s">
        <v>43318</v>
      </c>
      <c r="L9813" s="10" t="s">
        <v>43319</v>
      </c>
      <c r="M9813" s="8" t="s">
        <v>43320</v>
      </c>
      <c r="N9813" s="8" t="s">
        <v>29</v>
      </c>
      <c r="O9813" s="8" t="s">
        <v>9160</v>
      </c>
      <c r="P9813" s="8"/>
      <c r="Q9813" s="8"/>
      <c r="R9813" s="8"/>
      <c r="S9813" s="8"/>
      <c r="T9813" s="8"/>
      <c r="U9813" s="8"/>
      <c r="V9813" s="8"/>
      <c r="W9813" s="8"/>
      <c r="X9813" s="8"/>
      <c r="Y9813" s="8"/>
    </row>
    <row r="9814" ht="14.25">
      <c r="B9814" s="18" t="s">
        <v>8049</v>
      </c>
      <c r="C9814" s="18" t="s">
        <v>43321</v>
      </c>
      <c r="D9814" s="18" t="s">
        <v>426</v>
      </c>
      <c r="E9814" s="18" t="s">
        <v>42658</v>
      </c>
      <c r="F9814" s="8" t="str">
        <f>IFERROR(__XLUDF.DUMMYFUNCTION("PROPER(REGEXREPLACE(D199,""[^A-Za-z]+ "",""""))"),"Linxea")</f>
        <v>Linxea</v>
      </c>
      <c r="G9814" s="18" t="s">
        <v>43322</v>
      </c>
      <c r="H9814" s="18">
        <v>80</v>
      </c>
      <c r="I9814" s="18" t="s">
        <v>39661</v>
      </c>
      <c r="J9814" s="8" t="str">
        <f>IFERROR(__XLUDF.DUMMYFUNCTION("VLOOKUP(H199,IMPORTRANGE(""https://docs.google.com/spreadsheets/d/1opm6ZNvGZ7KditA9TuJwrZ25eFLfTNIkrNnY6mhV5Eg"",""list!A1:C115""),3,TRUE)"),"le secteur des assurances")</f>
        <v xml:space="preserve">le secteur des assurances</v>
      </c>
      <c r="K9814" s="5" t="s">
        <v>43323</v>
      </c>
      <c r="L9814" s="5" t="s">
        <v>43324</v>
      </c>
      <c r="M9814" s="6"/>
      <c r="N9814" s="18" t="s">
        <v>29</v>
      </c>
      <c r="O9814" s="18" t="s">
        <v>43325</v>
      </c>
      <c r="P9814" s="18" t="s">
        <v>29</v>
      </c>
      <c r="Q9814" s="6"/>
      <c r="R9814" s="6"/>
      <c r="S9814" s="6"/>
      <c r="T9814" s="6"/>
      <c r="U9814" s="6"/>
      <c r="V9814" s="6"/>
      <c r="W9814" s="6"/>
      <c r="X9814" s="6"/>
      <c r="Y9814" s="6"/>
    </row>
    <row r="9815" ht="14.25">
      <c r="B9815" s="18" t="s">
        <v>2652</v>
      </c>
      <c r="C9815" s="18" t="s">
        <v>43326</v>
      </c>
      <c r="D9815" s="18" t="s">
        <v>2524</v>
      </c>
      <c r="E9815" s="18" t="s">
        <v>43327</v>
      </c>
      <c r="F9815" s="8" t="str">
        <f>IFERROR(__XLUDF.DUMMYFUNCTION("PROPER(REGEXREPLACE(D200,""[^A-Za-z]+ "",""""))"),"Jicet Conseil")</f>
        <v xml:space="preserve">Jicet Conseil</v>
      </c>
      <c r="G9815" s="18" t="s">
        <v>43328</v>
      </c>
      <c r="H9815" s="18">
        <v>1</v>
      </c>
      <c r="I9815" s="18" t="s">
        <v>39661</v>
      </c>
      <c r="J9815" s="8" t="str">
        <f>IFERROR(__XLUDF.DUMMYFUNCTION("VLOOKUP(H200,IMPORTRANGE(""https://docs.google.com/spreadsheets/d/1opm6ZNvGZ7KditA9TuJwrZ25eFLfTNIkrNnY6mhV5Eg"",""list!A1:C115""),3,TRUE)"),"le secteur des assurances")</f>
        <v xml:space="preserve">le secteur des assurances</v>
      </c>
      <c r="K9815" s="5" t="s">
        <v>43329</v>
      </c>
      <c r="L9815" s="5" t="s">
        <v>43330</v>
      </c>
      <c r="M9815" s="18" t="s">
        <v>39</v>
      </c>
      <c r="N9815" s="18" t="s">
        <v>29</v>
      </c>
      <c r="O9815" s="18" t="s">
        <v>67</v>
      </c>
      <c r="P9815" s="18" t="s">
        <v>29</v>
      </c>
      <c r="Q9815" s="6"/>
      <c r="R9815" s="6"/>
      <c r="S9815" s="6"/>
      <c r="T9815" s="6"/>
      <c r="U9815" s="6"/>
      <c r="V9815" s="6"/>
      <c r="W9815" s="6"/>
      <c r="X9815" s="6"/>
      <c r="Y9815" s="6"/>
    </row>
    <row r="9816" ht="14.25">
      <c r="B9816" s="8" t="s">
        <v>2909</v>
      </c>
      <c r="C9816" s="8" t="s">
        <v>43331</v>
      </c>
      <c r="D9816" s="8" t="s">
        <v>43332</v>
      </c>
      <c r="E9816" s="8" t="s">
        <v>42362</v>
      </c>
      <c r="F9816" s="8" t="str">
        <f>IFERROR(__XLUDF.DUMMYFUNCTION("PROPER(REGEXREPLACE(D201,""[^A-Za-z]+ "",""""))"),"Cabinet Elab")</f>
        <v xml:space="preserve">Cabinet Elab</v>
      </c>
      <c r="G9816" s="8" t="s">
        <v>43333</v>
      </c>
      <c r="H9816" s="9">
        <v>3</v>
      </c>
      <c r="I9816" s="8" t="s">
        <v>39661</v>
      </c>
      <c r="J9816" s="8" t="str">
        <f>IFERROR(__XLUDF.DUMMYFUNCTION("VLOOKUP(H201,IMPORTRANGE(""https://docs.google.com/spreadsheets/d/1opm6ZNvGZ7KditA9TuJwrZ25eFLfTNIkrNnY6mhV5Eg"",""list!A1:C115""),3,TRUE)"),"le secteur des assurances")</f>
        <v xml:space="preserve">le secteur des assurances</v>
      </c>
      <c r="K9816" s="10" t="s">
        <v>43334</v>
      </c>
      <c r="L9816" s="10" t="s">
        <v>42365</v>
      </c>
      <c r="M9816" s="8" t="s">
        <v>39</v>
      </c>
      <c r="N9816" s="8" t="s">
        <v>29</v>
      </c>
      <c r="O9816" s="8" t="s">
        <v>9160</v>
      </c>
      <c r="P9816" s="8"/>
      <c r="Q9816" s="8" t="s">
        <v>42366</v>
      </c>
      <c r="R9816" s="8"/>
      <c r="S9816" s="8"/>
      <c r="T9816" s="8"/>
      <c r="U9816" s="8"/>
      <c r="V9816" s="8"/>
      <c r="W9816" s="8"/>
      <c r="X9816" s="8"/>
      <c r="Y9816" s="8"/>
    </row>
    <row r="9817" ht="14.25">
      <c r="B9817" s="8" t="s">
        <v>110</v>
      </c>
      <c r="C9817" s="8" t="s">
        <v>43335</v>
      </c>
      <c r="D9817" s="8" t="s">
        <v>112</v>
      </c>
      <c r="E9817" s="8" t="s">
        <v>43336</v>
      </c>
      <c r="F9817" s="8" t="str">
        <f>IFERROR(__XLUDF.DUMMYFUNCTION("PROPER(REGEXREPLACE(D202,""[^A-Za-z]+ "",""""))"),"Assurisk")</f>
        <v>Assurisk</v>
      </c>
      <c r="G9817" s="8" t="s">
        <v>43337</v>
      </c>
      <c r="H9817" s="9">
        <v>6</v>
      </c>
      <c r="I9817" s="8" t="s">
        <v>39661</v>
      </c>
      <c r="J9817" s="8" t="str">
        <f>IFERROR(__XLUDF.DUMMYFUNCTION("VLOOKUP(H202,IMPORTRANGE(""https://docs.google.com/spreadsheets/d/1opm6ZNvGZ7KditA9TuJwrZ25eFLfTNIkrNnY6mhV5Eg"",""list!A1:C115""),3,TRUE)"),"le secteur des assurances")</f>
        <v xml:space="preserve">le secteur des assurances</v>
      </c>
      <c r="K9817" s="10" t="s">
        <v>43338</v>
      </c>
      <c r="L9817" s="10" t="s">
        <v>43339</v>
      </c>
      <c r="M9817" s="8" t="s">
        <v>3898</v>
      </c>
      <c r="N9817" s="8" t="s">
        <v>29</v>
      </c>
      <c r="O9817" s="8" t="s">
        <v>9798</v>
      </c>
      <c r="P9817" s="8"/>
      <c r="Q9817" s="8" t="s">
        <v>43340</v>
      </c>
      <c r="R9817" s="8"/>
      <c r="S9817" s="8"/>
      <c r="T9817" s="8"/>
      <c r="U9817" s="8"/>
      <c r="V9817" s="8"/>
      <c r="W9817" s="8"/>
      <c r="X9817" s="8"/>
      <c r="Y9817" s="8"/>
    </row>
    <row r="9818" ht="14.25">
      <c r="B9818" s="8" t="s">
        <v>893</v>
      </c>
      <c r="C9818" s="8" t="s">
        <v>43341</v>
      </c>
      <c r="D9818" s="8" t="s">
        <v>172</v>
      </c>
      <c r="E9818" s="8" t="s">
        <v>43342</v>
      </c>
      <c r="F9818" s="8" t="str">
        <f>IFERROR(__XLUDF.DUMMYFUNCTION("PROPER(REGEXREPLACE(D203,""[^A-Za-z]+ "",""""))"),"Yeet-Assurances")</f>
        <v>Yeet-Assurances</v>
      </c>
      <c r="G9818" s="8" t="s">
        <v>43343</v>
      </c>
      <c r="H9818" s="9">
        <v>2</v>
      </c>
      <c r="I9818" s="8" t="s">
        <v>39661</v>
      </c>
      <c r="J9818" s="8" t="str">
        <f>IFERROR(__XLUDF.DUMMYFUNCTION("VLOOKUP(H203,IMPORTRANGE(""https://docs.google.com/spreadsheets/d/1opm6ZNvGZ7KditA9TuJwrZ25eFLfTNIkrNnY6mhV5Eg"",""list!A1:C115""),3,TRUE)"),"le secteur des assurances")</f>
        <v xml:space="preserve">le secteur des assurances</v>
      </c>
      <c r="K9818" s="10" t="s">
        <v>43344</v>
      </c>
      <c r="L9818" s="8"/>
      <c r="M9818" s="8"/>
      <c r="N9818" s="8" t="s">
        <v>29</v>
      </c>
      <c r="O9818" s="8"/>
      <c r="P9818" s="8"/>
      <c r="Q9818" s="8" t="s">
        <v>43345</v>
      </c>
      <c r="R9818" s="8"/>
      <c r="S9818" s="8"/>
      <c r="T9818" s="8"/>
      <c r="U9818" s="8"/>
      <c r="V9818" s="8"/>
      <c r="W9818" s="8"/>
      <c r="X9818" s="8"/>
      <c r="Y9818" s="8"/>
    </row>
    <row r="9819" ht="14.25">
      <c r="B9819" s="8" t="s">
        <v>5579</v>
      </c>
      <c r="C9819" s="8" t="s">
        <v>43346</v>
      </c>
      <c r="D9819" s="8" t="s">
        <v>43347</v>
      </c>
      <c r="E9819" s="8" t="s">
        <v>43348</v>
      </c>
      <c r="F9819" s="8" t="str">
        <f>IFERROR(__XLUDF.DUMMYFUNCTION("PROPER(REGEXREPLACE(D204,""[^A-Za-z]+ "",""""))"),"Cabinet Plenita")</f>
        <v xml:space="preserve">Cabinet Plenita</v>
      </c>
      <c r="G9819" s="8" t="s">
        <v>43349</v>
      </c>
      <c r="H9819" s="9">
        <v>12</v>
      </c>
      <c r="I9819" s="8" t="s">
        <v>39661</v>
      </c>
      <c r="J9819" s="8" t="str">
        <f>IFERROR(__XLUDF.DUMMYFUNCTION("VLOOKUP(H204,IMPORTRANGE(""https://docs.google.com/spreadsheets/d/1opm6ZNvGZ7KditA9TuJwrZ25eFLfTNIkrNnY6mhV5Eg"",""list!A1:C115""),3,TRUE)"),"le secteur des assurances")</f>
        <v xml:space="preserve">le secteur des assurances</v>
      </c>
      <c r="K9819" s="10" t="s">
        <v>43350</v>
      </c>
      <c r="L9819" s="10" t="s">
        <v>43351</v>
      </c>
      <c r="M9819" s="8" t="s">
        <v>39</v>
      </c>
      <c r="N9819" s="8" t="s">
        <v>29</v>
      </c>
      <c r="O9819" s="8" t="s">
        <v>9160</v>
      </c>
      <c r="P9819" s="8"/>
      <c r="Q9819" s="8"/>
      <c r="R9819" s="8"/>
      <c r="S9819" s="8"/>
      <c r="T9819" s="8"/>
      <c r="U9819" s="8"/>
      <c r="V9819" s="8"/>
      <c r="W9819" s="8"/>
      <c r="X9819" s="8"/>
      <c r="Y9819" s="8"/>
    </row>
    <row r="9820" ht="14.25">
      <c r="B9820" s="18" t="s">
        <v>1732</v>
      </c>
      <c r="C9820" s="18" t="s">
        <v>43352</v>
      </c>
      <c r="D9820" s="18" t="s">
        <v>468</v>
      </c>
      <c r="E9820" s="18" t="s">
        <v>43353</v>
      </c>
      <c r="F9820" s="8" t="str">
        <f>IFERROR(__XLUDF.DUMMYFUNCTION("PROPER(REGEXREPLACE(D205,""[^A-Za-z]+ "",""""))"),"Montmirail")</f>
        <v>Montmirail</v>
      </c>
      <c r="G9820" s="18" t="s">
        <v>43354</v>
      </c>
      <c r="H9820" s="18">
        <v>88</v>
      </c>
      <c r="I9820" s="18" t="s">
        <v>39661</v>
      </c>
      <c r="J9820" s="8" t="str">
        <f>IFERROR(__XLUDF.DUMMYFUNCTION("VLOOKUP(H205,IMPORTRANGE(""https://docs.google.com/spreadsheets/d/1opm6ZNvGZ7KditA9TuJwrZ25eFLfTNIkrNnY6mhV5Eg"",""list!A1:C115""),3,TRUE)"),"le secteur des assurances")</f>
        <v xml:space="preserve">le secteur des assurances</v>
      </c>
      <c r="K9820" s="5" t="s">
        <v>43355</v>
      </c>
      <c r="L9820" s="5" t="s">
        <v>43356</v>
      </c>
      <c r="M9820" s="18" t="s">
        <v>295</v>
      </c>
      <c r="N9820" s="18" t="s">
        <v>29</v>
      </c>
      <c r="O9820" s="18" t="s">
        <v>43357</v>
      </c>
      <c r="P9820" s="18" t="s">
        <v>29</v>
      </c>
      <c r="Q9820" s="18" t="s">
        <v>43358</v>
      </c>
      <c r="R9820" s="6"/>
      <c r="S9820" s="6"/>
      <c r="T9820" s="6"/>
      <c r="U9820" s="6"/>
      <c r="V9820" s="6"/>
      <c r="W9820" s="6"/>
      <c r="X9820" s="6"/>
      <c r="Y9820" s="6"/>
    </row>
    <row r="9821" ht="14.25">
      <c r="B9821" s="18" t="s">
        <v>43359</v>
      </c>
      <c r="C9821" s="18" t="s">
        <v>43360</v>
      </c>
      <c r="D9821" s="18" t="s">
        <v>43361</v>
      </c>
      <c r="E9821" s="18" t="s">
        <v>43362</v>
      </c>
      <c r="F9821" s="8" t="str">
        <f>IFERROR(__XLUDF.DUMMYFUNCTION("PROPER(REGEXREPLACE(D206,""[^A-Za-z]+ "",""""))"),"Active Assurances")</f>
        <v xml:space="preserve">Active Assurances</v>
      </c>
      <c r="G9821" s="18" t="s">
        <v>43363</v>
      </c>
      <c r="H9821" s="18">
        <v>110</v>
      </c>
      <c r="I9821" s="18" t="s">
        <v>39661</v>
      </c>
      <c r="J9821" s="8" t="str">
        <f>IFERROR(__XLUDF.DUMMYFUNCTION("VLOOKUP(H206,IMPORTRANGE(""https://docs.google.com/spreadsheets/d/1opm6ZNvGZ7KditA9TuJwrZ25eFLfTNIkrNnY6mhV5Eg"",""list!A1:C115""),3,TRUE)"),"le secteur des assurances")</f>
        <v xml:space="preserve">le secteur des assurances</v>
      </c>
      <c r="K9821" s="5" t="s">
        <v>43364</v>
      </c>
      <c r="L9821" s="5" t="s">
        <v>43365</v>
      </c>
      <c r="M9821" s="6"/>
      <c r="N9821" s="18" t="s">
        <v>29</v>
      </c>
      <c r="O9821" s="18" t="s">
        <v>43366</v>
      </c>
      <c r="P9821" s="18" t="s">
        <v>29</v>
      </c>
      <c r="Q9821" s="18" t="s">
        <v>43367</v>
      </c>
      <c r="R9821" s="6"/>
      <c r="S9821" s="6"/>
      <c r="T9821" s="6"/>
      <c r="U9821" s="6"/>
      <c r="V9821" s="6"/>
      <c r="W9821" s="6"/>
      <c r="X9821" s="6"/>
      <c r="Y9821" s="6"/>
    </row>
    <row r="9822" ht="14.25">
      <c r="B9822" s="8" t="s">
        <v>170</v>
      </c>
      <c r="C9822" s="8" t="s">
        <v>43368</v>
      </c>
      <c r="D9822" s="8" t="s">
        <v>112</v>
      </c>
      <c r="E9822" s="8" t="s">
        <v>43369</v>
      </c>
      <c r="F9822" s="8" t="str">
        <f>IFERROR(__XLUDF.DUMMYFUNCTION("PROPER(REGEXREPLACE(D207,""[^A-Za-z]+ "",""""))"),"Mb Solutions.Net")</f>
        <v xml:space="preserve">Mb Solutions.Net</v>
      </c>
      <c r="G9822" s="8" t="s">
        <v>43370</v>
      </c>
      <c r="H9822" s="9">
        <v>8</v>
      </c>
      <c r="I9822" s="8" t="s">
        <v>39661</v>
      </c>
      <c r="J9822" s="8" t="str">
        <f>IFERROR(__XLUDF.DUMMYFUNCTION("VLOOKUP(H207,IMPORTRANGE(""https://docs.google.com/spreadsheets/d/1opm6ZNvGZ7KditA9TuJwrZ25eFLfTNIkrNnY6mhV5Eg"",""list!A1:C115""),3,TRUE)"),"le secteur des assurances")</f>
        <v xml:space="preserve">le secteur des assurances</v>
      </c>
      <c r="K9822" s="10" t="s">
        <v>43371</v>
      </c>
      <c r="L9822" s="10" t="s">
        <v>43372</v>
      </c>
      <c r="M9822" s="8" t="s">
        <v>83</v>
      </c>
      <c r="N9822" s="8" t="s">
        <v>29</v>
      </c>
      <c r="O9822" s="8" t="s">
        <v>9460</v>
      </c>
      <c r="P9822" s="8"/>
      <c r="Q9822" s="8"/>
      <c r="R9822" s="8"/>
      <c r="S9822" s="8"/>
      <c r="T9822" s="8"/>
      <c r="U9822" s="8"/>
      <c r="V9822" s="8"/>
      <c r="W9822" s="8"/>
      <c r="X9822" s="8"/>
      <c r="Y9822" s="8"/>
    </row>
    <row r="9823" ht="14.25">
      <c r="B9823" s="8" t="s">
        <v>3850</v>
      </c>
      <c r="C9823" s="8" t="s">
        <v>43373</v>
      </c>
      <c r="D9823" s="8" t="s">
        <v>43374</v>
      </c>
      <c r="E9823" s="8" t="s">
        <v>43375</v>
      </c>
      <c r="F9823" s="8" t="str">
        <f>IFERROR(__XLUDF.DUMMYFUNCTION("PROPER(REGEXREPLACE(D208,""[^A-Za-z]+ "",""""))"),"Diagnostic Et Gestion Des Risques Diageris""""")</f>
        <v xml:space="preserve">Diagnostic Et Gestion Des Risques Diageris""</v>
      </c>
      <c r="G9823" s="8" t="s">
        <v>43376</v>
      </c>
      <c r="H9823" s="9">
        <v>2</v>
      </c>
      <c r="I9823" s="8" t="s">
        <v>39661</v>
      </c>
      <c r="J9823" s="8" t="str">
        <f>IFERROR(__XLUDF.DUMMYFUNCTION("VLOOKUP(H208,IMPORTRANGE(""https://docs.google.com/spreadsheets/d/1opm6ZNvGZ7KditA9TuJwrZ25eFLfTNIkrNnY6mhV5Eg"",""list!A1:C115""),3,TRUE)"),"le secteur des assurances")</f>
        <v xml:space="preserve">le secteur des assurances</v>
      </c>
      <c r="K9823" s="10" t="s">
        <v>43377</v>
      </c>
      <c r="L9823" s="10" t="s">
        <v>43378</v>
      </c>
      <c r="M9823" s="8" t="s">
        <v>185</v>
      </c>
      <c r="N9823" s="8" t="s">
        <v>29</v>
      </c>
      <c r="O9823" s="8" t="s">
        <v>9193</v>
      </c>
      <c r="P9823" s="8"/>
      <c r="Q9823" s="8" t="s">
        <v>43379</v>
      </c>
      <c r="R9823" s="8"/>
      <c r="S9823" s="8"/>
      <c r="T9823" s="8"/>
      <c r="U9823" s="8"/>
      <c r="V9823" s="8"/>
      <c r="W9823" s="8"/>
      <c r="X9823" s="8"/>
      <c r="Y9823" s="8"/>
    </row>
    <row r="9824" ht="14.25">
      <c r="B9824" s="8" t="s">
        <v>1153</v>
      </c>
      <c r="C9824" s="8" t="s">
        <v>1485</v>
      </c>
      <c r="D9824" s="8" t="s">
        <v>112</v>
      </c>
      <c r="E9824" s="8" t="s">
        <v>43380</v>
      </c>
      <c r="F9824" s="8" t="str">
        <f>IFERROR(__XLUDF.DUMMYFUNCTION("PROPER(REGEXREPLACE(D209,""[^A-Za-z]+ "",""""))"),"3C Capital")</f>
        <v xml:space="preserve">3C Capital</v>
      </c>
      <c r="G9824" s="8" t="s">
        <v>43381</v>
      </c>
      <c r="H9824" s="9">
        <v>14</v>
      </c>
      <c r="I9824" s="8" t="s">
        <v>39661</v>
      </c>
      <c r="J9824" s="8" t="str">
        <f>IFERROR(__XLUDF.DUMMYFUNCTION("VLOOKUP(H209,IMPORTRANGE(""https://docs.google.com/spreadsheets/d/1opm6ZNvGZ7KditA9TuJwrZ25eFLfTNIkrNnY6mhV5Eg"",""list!A1:C115""),3,TRUE)"),"le secteur des assurances")</f>
        <v xml:space="preserve">le secteur des assurances</v>
      </c>
      <c r="K9824" s="10" t="s">
        <v>43382</v>
      </c>
      <c r="L9824" s="10" t="s">
        <v>43383</v>
      </c>
      <c r="M9824" s="8" t="s">
        <v>39</v>
      </c>
      <c r="N9824" s="8" t="s">
        <v>29</v>
      </c>
      <c r="O9824" s="8" t="s">
        <v>9160</v>
      </c>
      <c r="P9824" s="8"/>
      <c r="Q9824" s="8" t="s">
        <v>43384</v>
      </c>
      <c r="R9824" s="8"/>
      <c r="S9824" s="8"/>
      <c r="T9824" s="8"/>
      <c r="U9824" s="8"/>
      <c r="V9824" s="8"/>
      <c r="W9824" s="8"/>
      <c r="X9824" s="8"/>
      <c r="Y9824" s="8"/>
    </row>
    <row r="9825" ht="14.25">
      <c r="B9825" s="8" t="s">
        <v>222</v>
      </c>
      <c r="C9825" s="8" t="s">
        <v>43385</v>
      </c>
      <c r="D9825" s="8" t="s">
        <v>172</v>
      </c>
      <c r="E9825" s="8" t="s">
        <v>43386</v>
      </c>
      <c r="F9825" s="8" t="str">
        <f>IFERROR(__XLUDF.DUMMYFUNCTION("PROPER(REGEXREPLACE(D210,""[^A-Za-z]+ "",""""))"),"Le Club Des Propriétaires")</f>
        <v xml:space="preserve">Le Club Des Propriétaires</v>
      </c>
      <c r="G9825" s="8" t="s">
        <v>43387</v>
      </c>
      <c r="H9825" s="9">
        <v>4</v>
      </c>
      <c r="I9825" s="8" t="s">
        <v>39661</v>
      </c>
      <c r="J9825" s="8" t="str">
        <f>IFERROR(__XLUDF.DUMMYFUNCTION("VLOOKUP(H210,IMPORTRANGE(""https://docs.google.com/spreadsheets/d/1opm6ZNvGZ7KditA9TuJwrZ25eFLfTNIkrNnY6mhV5Eg"",""list!A1:C115""),3,TRUE)"),"le secteur des assurances")</f>
        <v xml:space="preserve">le secteur des assurances</v>
      </c>
      <c r="K9825" s="10" t="s">
        <v>43388</v>
      </c>
      <c r="L9825" s="10" t="s">
        <v>43389</v>
      </c>
      <c r="M9825" s="8"/>
      <c r="N9825" s="8" t="s">
        <v>29</v>
      </c>
      <c r="O9825" s="8"/>
      <c r="P9825" s="8"/>
      <c r="Q9825" s="8" t="s">
        <v>43390</v>
      </c>
      <c r="R9825" s="8"/>
      <c r="S9825" s="8"/>
      <c r="T9825" s="8"/>
      <c r="U9825" s="8"/>
      <c r="V9825" s="8"/>
      <c r="W9825" s="8"/>
      <c r="X9825" s="8"/>
      <c r="Y9825" s="8"/>
    </row>
    <row r="9826" ht="14.25">
      <c r="B9826" s="18" t="s">
        <v>298</v>
      </c>
      <c r="C9826" s="18" t="s">
        <v>26944</v>
      </c>
      <c r="D9826" s="18" t="s">
        <v>164</v>
      </c>
      <c r="E9826" s="18" t="s">
        <v>43391</v>
      </c>
      <c r="F9826" s="8" t="str">
        <f>IFERROR(__XLUDF.DUMMYFUNCTION("PROPER(REGEXREPLACE(D211,""[^A-Za-z]+ "",""""))"),"Groupe Victor Hugo")</f>
        <v xml:space="preserve">Groupe Victor Hugo</v>
      </c>
      <c r="G9826" s="18" t="s">
        <v>43392</v>
      </c>
      <c r="H9826" s="18">
        <v>74</v>
      </c>
      <c r="I9826" s="18" t="s">
        <v>39661</v>
      </c>
      <c r="J9826" s="8" t="str">
        <f>IFERROR(__XLUDF.DUMMYFUNCTION("VLOOKUP(H211,IMPORTRANGE(""https://docs.google.com/spreadsheets/d/1opm6ZNvGZ7KditA9TuJwrZ25eFLfTNIkrNnY6mhV5Eg"",""list!A1:C115""),3,TRUE)"),"le secteur des assurances")</f>
        <v xml:space="preserve">le secteur des assurances</v>
      </c>
      <c r="K9826" s="5" t="s">
        <v>43393</v>
      </c>
      <c r="L9826" s="5" t="s">
        <v>43394</v>
      </c>
      <c r="M9826" s="6"/>
      <c r="N9826" s="18" t="s">
        <v>29</v>
      </c>
      <c r="O9826" s="18" t="s">
        <v>43395</v>
      </c>
      <c r="P9826" s="18" t="s">
        <v>29</v>
      </c>
      <c r="Q9826" s="18" t="s">
        <v>43396</v>
      </c>
      <c r="R9826" s="6"/>
      <c r="S9826" s="6"/>
      <c r="T9826" s="6"/>
      <c r="U9826" s="6"/>
      <c r="V9826" s="6"/>
      <c r="W9826" s="6"/>
      <c r="X9826" s="6"/>
      <c r="Y9826" s="6"/>
    </row>
    <row r="9827" ht="14.25">
      <c r="B9827" s="8" t="s">
        <v>3609</v>
      </c>
      <c r="C9827" s="8" t="s">
        <v>43397</v>
      </c>
      <c r="D9827" s="8" t="s">
        <v>43398</v>
      </c>
      <c r="E9827" s="8" t="s">
        <v>43399</v>
      </c>
      <c r="F9827" s="8" t="str">
        <f>IFERROR(__XLUDF.DUMMYFUNCTION("PROPER(REGEXREPLACE(D212,""[^A-Za-z]+ "",""""))"),"Bureau 132")</f>
        <v xml:space="preserve">Bureau 132</v>
      </c>
      <c r="G9827" s="8" t="s">
        <v>43400</v>
      </c>
      <c r="H9827" s="9">
        <v>3</v>
      </c>
      <c r="I9827" s="8" t="s">
        <v>39661</v>
      </c>
      <c r="J9827" s="8" t="str">
        <f>IFERROR(__XLUDF.DUMMYFUNCTION("VLOOKUP(H212,IMPORTRANGE(""https://docs.google.com/spreadsheets/d/1opm6ZNvGZ7KditA9TuJwrZ25eFLfTNIkrNnY6mhV5Eg"",""list!A1:C115""),3,TRUE)"),"le secteur des assurances")</f>
        <v xml:space="preserve">le secteur des assurances</v>
      </c>
      <c r="K9827" s="10" t="s">
        <v>43401</v>
      </c>
      <c r="L9827" s="10" t="s">
        <v>43402</v>
      </c>
      <c r="M9827" s="8" t="s">
        <v>651</v>
      </c>
      <c r="N9827" s="8" t="s">
        <v>29</v>
      </c>
      <c r="O9827" s="8" t="s">
        <v>9215</v>
      </c>
      <c r="P9827" s="8"/>
      <c r="Q9827" s="8" t="s">
        <v>43403</v>
      </c>
      <c r="R9827" s="8"/>
      <c r="S9827" s="8"/>
      <c r="T9827" s="8"/>
      <c r="U9827" s="8"/>
      <c r="V9827" s="8"/>
      <c r="W9827" s="8"/>
      <c r="X9827" s="8"/>
      <c r="Y9827" s="8"/>
    </row>
    <row r="9828" ht="14.25">
      <c r="B9828" s="8" t="s">
        <v>3411</v>
      </c>
      <c r="C9828" s="8" t="s">
        <v>41710</v>
      </c>
      <c r="D9828" s="8" t="s">
        <v>43404</v>
      </c>
      <c r="E9828" s="8" t="s">
        <v>40907</v>
      </c>
      <c r="F9828" s="8" t="str">
        <f>IFERROR(__XLUDF.DUMMYFUNCTION("PROPER(REGEXREPLACE(D213,""[^A-Za-z]+ "",""""))"),"Mutuelle Entrenous")</f>
        <v xml:space="preserve">Mutuelle Entrenous</v>
      </c>
      <c r="G9828" s="8" t="s">
        <v>43405</v>
      </c>
      <c r="H9828" s="9">
        <v>39</v>
      </c>
      <c r="I9828" s="8" t="s">
        <v>39661</v>
      </c>
      <c r="J9828" s="8" t="str">
        <f>IFERROR(__XLUDF.DUMMYFUNCTION("VLOOKUP(H213,IMPORTRANGE(""https://docs.google.com/spreadsheets/d/1opm6ZNvGZ7KditA9TuJwrZ25eFLfTNIkrNnY6mhV5Eg"",""list!A1:C115""),3,TRUE)"),"le secteur des assurances")</f>
        <v xml:space="preserve">le secteur des assurances</v>
      </c>
      <c r="K9828" s="10" t="s">
        <v>43406</v>
      </c>
      <c r="L9828" s="10" t="s">
        <v>43407</v>
      </c>
      <c r="M9828" s="8" t="s">
        <v>774</v>
      </c>
      <c r="N9828" s="8" t="s">
        <v>29</v>
      </c>
      <c r="O9828" s="8" t="s">
        <v>9193</v>
      </c>
      <c r="P9828" s="8"/>
      <c r="Q9828" s="8" t="s">
        <v>43408</v>
      </c>
      <c r="R9828" s="8"/>
      <c r="S9828" s="8"/>
      <c r="T9828" s="8"/>
      <c r="U9828" s="8"/>
      <c r="V9828" s="8"/>
      <c r="W9828" s="8"/>
      <c r="X9828" s="8"/>
      <c r="Y9828" s="8"/>
    </row>
    <row r="9829" ht="14.25">
      <c r="B9829" s="8" t="s">
        <v>4769</v>
      </c>
      <c r="C9829" s="8" t="s">
        <v>43409</v>
      </c>
      <c r="D9829" s="8" t="s">
        <v>10432</v>
      </c>
      <c r="E9829" s="8" t="s">
        <v>40509</v>
      </c>
      <c r="F9829" s="8" t="str">
        <f>IFERROR(__XLUDF.DUMMYFUNCTION("PROPER(REGEXREPLACE(D214,""[^A-Za-z]+ "",""""))"),"G&amp;P Assurances Et Associés")</f>
        <v xml:space="preserve">G&amp;P Assurances Et Associés</v>
      </c>
      <c r="G9829" s="8" t="s">
        <v>43410</v>
      </c>
      <c r="H9829" s="9">
        <v>12</v>
      </c>
      <c r="I9829" s="8" t="s">
        <v>39661</v>
      </c>
      <c r="J9829" s="8" t="str">
        <f>IFERROR(__XLUDF.DUMMYFUNCTION("VLOOKUP(H214,IMPORTRANGE(""https://docs.google.com/spreadsheets/d/1opm6ZNvGZ7KditA9TuJwrZ25eFLfTNIkrNnY6mhV5Eg"",""list!A1:C115""),3,TRUE)"),"le secteur des assurances")</f>
        <v xml:space="preserve">le secteur des assurances</v>
      </c>
      <c r="K9829" s="10" t="s">
        <v>43411</v>
      </c>
      <c r="L9829" s="10" t="s">
        <v>43412</v>
      </c>
      <c r="M9829" s="8" t="s">
        <v>1711</v>
      </c>
      <c r="N9829" s="8" t="s">
        <v>29</v>
      </c>
      <c r="O9829" s="8" t="s">
        <v>9350</v>
      </c>
      <c r="P9829" s="8"/>
      <c r="Q9829" s="8" t="s">
        <v>43413</v>
      </c>
      <c r="R9829" s="8"/>
      <c r="S9829" s="8"/>
      <c r="T9829" s="8"/>
      <c r="U9829" s="8"/>
      <c r="V9829" s="8"/>
      <c r="W9829" s="8"/>
      <c r="X9829" s="8"/>
      <c r="Y9829" s="8"/>
    </row>
    <row r="9830" ht="14.25">
      <c r="B9830" s="8" t="s">
        <v>1198</v>
      </c>
      <c r="C9830" s="8" t="s">
        <v>735</v>
      </c>
      <c r="D9830" s="8" t="s">
        <v>112</v>
      </c>
      <c r="E9830" s="8" t="s">
        <v>43414</v>
      </c>
      <c r="F9830" s="8" t="str">
        <f>IFERROR(__XLUDF.DUMMYFUNCTION("PROPER(REGEXREPLACE(D215,""[^A-Za-z]+ "",""""))"),"Ido Assurances")</f>
        <v xml:space="preserve">Ido Assurances</v>
      </c>
      <c r="G9830" s="8" t="s">
        <v>43415</v>
      </c>
      <c r="H9830" s="9">
        <v>4</v>
      </c>
      <c r="I9830" s="8" t="s">
        <v>39661</v>
      </c>
      <c r="J9830" s="8" t="str">
        <f>IFERROR(__XLUDF.DUMMYFUNCTION("VLOOKUP(H215,IMPORTRANGE(""https://docs.google.com/spreadsheets/d/1opm6ZNvGZ7KditA9TuJwrZ25eFLfTNIkrNnY6mhV5Eg"",""list!A1:C115""),3,TRUE)"),"le secteur des assurances")</f>
        <v xml:space="preserve">le secteur des assurances</v>
      </c>
      <c r="K9830" s="10" t="s">
        <v>43416</v>
      </c>
      <c r="L9830" s="10" t="s">
        <v>43417</v>
      </c>
      <c r="M9830" s="8" t="s">
        <v>31740</v>
      </c>
      <c r="N9830" s="8" t="s">
        <v>29</v>
      </c>
      <c r="O9830" s="8" t="s">
        <v>9251</v>
      </c>
      <c r="P9830" s="8"/>
      <c r="Q9830" s="8" t="s">
        <v>43418</v>
      </c>
      <c r="R9830" s="8"/>
      <c r="S9830" s="8"/>
      <c r="T9830" s="8"/>
      <c r="U9830" s="8"/>
      <c r="V9830" s="8"/>
      <c r="W9830" s="8"/>
      <c r="X9830" s="8"/>
      <c r="Y9830" s="8"/>
    </row>
    <row r="9831" ht="14.25">
      <c r="B9831" s="18" t="s">
        <v>34499</v>
      </c>
      <c r="C9831" s="18" t="s">
        <v>43419</v>
      </c>
      <c r="D9831" s="18" t="s">
        <v>43420</v>
      </c>
      <c r="E9831" s="18" t="s">
        <v>43421</v>
      </c>
      <c r="F9831" s="8" t="str">
        <f>IFERROR(__XLUDF.DUMMYFUNCTION("PROPER(REGEXREPLACE(D216,""[^A-Za-z]+ "",""""))"),"Emani")</f>
        <v>Emani</v>
      </c>
      <c r="G9831" s="18" t="s">
        <v>43422</v>
      </c>
      <c r="H9831" s="18">
        <v>29</v>
      </c>
      <c r="I9831" s="18" t="s">
        <v>39661</v>
      </c>
      <c r="J9831" s="8" t="str">
        <f>IFERROR(__XLUDF.DUMMYFUNCTION("VLOOKUP(H216,IMPORTRANGE(""https://docs.google.com/spreadsheets/d/1opm6ZNvGZ7KditA9TuJwrZ25eFLfTNIkrNnY6mhV5Eg"",""list!A1:C115""),3,TRUE)"),"le secteur des assurances")</f>
        <v xml:space="preserve">le secteur des assurances</v>
      </c>
      <c r="K9831" s="5" t="s">
        <v>43423</v>
      </c>
      <c r="L9831" s="5" t="s">
        <v>43424</v>
      </c>
      <c r="M9831" s="6"/>
      <c r="N9831" s="18" t="s">
        <v>29</v>
      </c>
      <c r="O9831" s="18" t="s">
        <v>42058</v>
      </c>
      <c r="P9831" s="18" t="s">
        <v>2953</v>
      </c>
      <c r="Q9831" s="6"/>
      <c r="R9831" s="6"/>
      <c r="S9831" s="6"/>
      <c r="T9831" s="6"/>
      <c r="U9831" s="6"/>
      <c r="V9831" s="6"/>
      <c r="W9831" s="6"/>
      <c r="X9831" s="6"/>
      <c r="Y9831" s="6"/>
    </row>
    <row r="9832" ht="14.25">
      <c r="B9832" s="8" t="s">
        <v>808</v>
      </c>
      <c r="C9832" s="8" t="s">
        <v>43425</v>
      </c>
      <c r="D9832" s="8" t="s">
        <v>43426</v>
      </c>
      <c r="E9832" s="8" t="s">
        <v>43427</v>
      </c>
      <c r="F9832" s="8" t="str">
        <f>IFERROR(__XLUDF.DUMMYFUNCTION("PROPER(REGEXREPLACE(D217,""[^A-Za-z]+ "",""""))"),"Francôdit Audit D'Assurances")</f>
        <v xml:space="preserve">Francôdit Audit D'Assurances</v>
      </c>
      <c r="G9832" s="8" t="s">
        <v>43428</v>
      </c>
      <c r="H9832" s="9">
        <v>2</v>
      </c>
      <c r="I9832" s="8" t="s">
        <v>39661</v>
      </c>
      <c r="J9832" s="8" t="str">
        <f>IFERROR(__XLUDF.DUMMYFUNCTION("VLOOKUP(H217,IMPORTRANGE(""https://docs.google.com/spreadsheets/d/1opm6ZNvGZ7KditA9TuJwrZ25eFLfTNIkrNnY6mhV5Eg"",""list!A1:C115""),3,TRUE)"),"le secteur des assurances")</f>
        <v xml:space="preserve">le secteur des assurances</v>
      </c>
      <c r="K9832" s="10" t="s">
        <v>43429</v>
      </c>
      <c r="L9832" s="8" t="s">
        <v>43430</v>
      </c>
      <c r="M9832" s="8" t="s">
        <v>1711</v>
      </c>
      <c r="N9832" s="8" t="s">
        <v>29</v>
      </c>
      <c r="O9832" s="8" t="s">
        <v>9350</v>
      </c>
      <c r="P9832" s="8"/>
      <c r="Q9832" s="8" t="s">
        <v>43431</v>
      </c>
      <c r="R9832" s="8"/>
      <c r="S9832" s="8"/>
      <c r="T9832" s="8"/>
      <c r="U9832" s="8"/>
      <c r="V9832" s="8"/>
      <c r="W9832" s="8"/>
      <c r="X9832" s="8"/>
      <c r="Y9832" s="8"/>
    </row>
    <row r="9833" ht="14.25">
      <c r="B9833" s="8" t="s">
        <v>630</v>
      </c>
      <c r="C9833" s="8" t="s">
        <v>43432</v>
      </c>
      <c r="D9833" s="8" t="s">
        <v>112</v>
      </c>
      <c r="E9833" s="8" t="s">
        <v>43433</v>
      </c>
      <c r="F9833" s="8" t="str">
        <f>IFERROR(__XLUDF.DUMMYFUNCTION("PROPER(REGEXREPLACE(D218,""[^A-Za-z]+ "",""""))"),"7Points")</f>
        <v>7Points</v>
      </c>
      <c r="G9833" s="8" t="s">
        <v>43434</v>
      </c>
      <c r="H9833" s="9">
        <v>3</v>
      </c>
      <c r="I9833" s="8" t="s">
        <v>39661</v>
      </c>
      <c r="J9833" s="8" t="str">
        <f>IFERROR(__XLUDF.DUMMYFUNCTION("VLOOKUP(H218,IMPORTRANGE(""https://docs.google.com/spreadsheets/d/1opm6ZNvGZ7KditA9TuJwrZ25eFLfTNIkrNnY6mhV5Eg"",""list!A1:C115""),3,TRUE)"),"le secteur des assurances")</f>
        <v xml:space="preserve">le secteur des assurances</v>
      </c>
      <c r="K9833" s="10" t="s">
        <v>43435</v>
      </c>
      <c r="L9833" s="10" t="s">
        <v>43436</v>
      </c>
      <c r="M9833" s="8" t="s">
        <v>39</v>
      </c>
      <c r="N9833" s="8" t="s">
        <v>29</v>
      </c>
      <c r="O9833" s="8" t="s">
        <v>9160</v>
      </c>
      <c r="P9833" s="8"/>
      <c r="Q9833" s="8"/>
      <c r="R9833" s="8"/>
      <c r="S9833" s="8"/>
      <c r="T9833" s="8"/>
      <c r="U9833" s="8"/>
      <c r="V9833" s="8"/>
      <c r="W9833" s="8"/>
      <c r="X9833" s="8"/>
      <c r="Y9833" s="8"/>
    </row>
    <row r="9834" ht="14.25">
      <c r="B9834" s="18" t="s">
        <v>13270</v>
      </c>
      <c r="C9834" s="18" t="s">
        <v>43437</v>
      </c>
      <c r="D9834" s="18" t="s">
        <v>30482</v>
      </c>
      <c r="E9834" s="18" t="s">
        <v>43438</v>
      </c>
      <c r="F9834" s="8" t="str">
        <f>IFERROR(__XLUDF.DUMMYFUNCTION("PROPER(REGEXREPLACE(D219,""[^A-Za-z]+ "",""""))"),"Lovys")</f>
        <v>Lovys</v>
      </c>
      <c r="G9834" s="18" t="s">
        <v>43439</v>
      </c>
      <c r="H9834" s="18">
        <v>53</v>
      </c>
      <c r="I9834" s="18" t="s">
        <v>39661</v>
      </c>
      <c r="J9834" s="8" t="str">
        <f>IFERROR(__XLUDF.DUMMYFUNCTION("VLOOKUP(H219,IMPORTRANGE(""https://docs.google.com/spreadsheets/d/1opm6ZNvGZ7KditA9TuJwrZ25eFLfTNIkrNnY6mhV5Eg"",""list!A1:C115""),3,TRUE)"),"le secteur des assurances")</f>
        <v xml:space="preserve">le secteur des assurances</v>
      </c>
      <c r="K9834" s="5" t="s">
        <v>43440</v>
      </c>
      <c r="L9834" s="5" t="s">
        <v>43441</v>
      </c>
      <c r="M9834" s="18" t="s">
        <v>39</v>
      </c>
      <c r="N9834" s="18" t="s">
        <v>29</v>
      </c>
      <c r="O9834" s="18" t="s">
        <v>43442</v>
      </c>
      <c r="P9834" s="18" t="s">
        <v>29</v>
      </c>
      <c r="Q9834" s="18" t="s">
        <v>43443</v>
      </c>
      <c r="R9834" s="6"/>
      <c r="S9834" s="6"/>
      <c r="T9834" s="6"/>
      <c r="U9834" s="6"/>
      <c r="V9834" s="6"/>
      <c r="W9834" s="6"/>
      <c r="X9834" s="6"/>
      <c r="Y9834" s="6"/>
    </row>
    <row r="9835" ht="14.25">
      <c r="B9835" s="8" t="s">
        <v>1562</v>
      </c>
      <c r="C9835" s="8" t="s">
        <v>31395</v>
      </c>
      <c r="D9835" s="8" t="s">
        <v>112</v>
      </c>
      <c r="E9835" s="8" t="s">
        <v>43444</v>
      </c>
      <c r="F9835" s="8" t="str">
        <f>IFERROR(__XLUDF.DUMMYFUNCTION("PROPER(REGEXREPLACE(D220,""[^A-Za-z]+ "",""""))"),"Acfa-Premium")</f>
        <v>Acfa-Premium</v>
      </c>
      <c r="G9835" s="8" t="s">
        <v>43445</v>
      </c>
      <c r="H9835" s="9">
        <v>1</v>
      </c>
      <c r="I9835" s="8" t="s">
        <v>39661</v>
      </c>
      <c r="J9835" s="8" t="str">
        <f>IFERROR(__XLUDF.DUMMYFUNCTION("VLOOKUP(H220,IMPORTRANGE(""https://docs.google.com/spreadsheets/d/1opm6ZNvGZ7KditA9TuJwrZ25eFLfTNIkrNnY6mhV5Eg"",""list!A1:C115""),3,TRUE)"),"le secteur des assurances")</f>
        <v xml:space="preserve">le secteur des assurances</v>
      </c>
      <c r="K9835" s="10" t="s">
        <v>43446</v>
      </c>
      <c r="L9835" s="8"/>
      <c r="M9835" s="8" t="s">
        <v>243</v>
      </c>
      <c r="N9835" s="8" t="s">
        <v>29</v>
      </c>
      <c r="O9835" s="8" t="s">
        <v>9864</v>
      </c>
      <c r="P9835" s="8"/>
      <c r="Q9835" s="8"/>
      <c r="R9835" s="8"/>
      <c r="S9835" s="8"/>
      <c r="T9835" s="8"/>
      <c r="U9835" s="8"/>
      <c r="V9835" s="8"/>
      <c r="W9835" s="8"/>
      <c r="X9835" s="8"/>
      <c r="Y9835" s="8"/>
    </row>
    <row r="9836" ht="14.25">
      <c r="B9836" s="8" t="s">
        <v>24543</v>
      </c>
      <c r="C9836" s="8" t="s">
        <v>43447</v>
      </c>
      <c r="D9836" s="8" t="s">
        <v>43448</v>
      </c>
      <c r="E9836" s="8" t="s">
        <v>43449</v>
      </c>
      <c r="F9836" s="8" t="str">
        <f>IFERROR(__XLUDF.DUMMYFUNCTION("PROPER(REGEXREPLACE(D221,""[^A-Za-z]+ "",""""))"),"Clerity.")</f>
        <v>Clerity.</v>
      </c>
      <c r="G9836" s="8" t="s">
        <v>43450</v>
      </c>
      <c r="H9836" s="8"/>
      <c r="I9836" s="8"/>
      <c r="J9836" s="8" t="s">
        <v>42267</v>
      </c>
      <c r="K9836" s="10" t="s">
        <v>43451</v>
      </c>
      <c r="L9836" s="10" t="s">
        <v>43452</v>
      </c>
      <c r="M9836" s="8" t="s">
        <v>39</v>
      </c>
      <c r="N9836" s="8" t="s">
        <v>29</v>
      </c>
      <c r="O9836" s="8" t="s">
        <v>9160</v>
      </c>
      <c r="P9836" s="8"/>
      <c r="Q9836" s="8"/>
      <c r="R9836" s="8"/>
      <c r="S9836" s="8"/>
      <c r="T9836" s="8"/>
      <c r="U9836" s="8"/>
      <c r="V9836" s="8"/>
      <c r="W9836" s="8"/>
      <c r="X9836" s="8"/>
      <c r="Y9836" s="8"/>
    </row>
    <row r="9837" ht="14.25">
      <c r="B9837" s="8" t="s">
        <v>2105</v>
      </c>
      <c r="C9837" s="8" t="s">
        <v>43453</v>
      </c>
      <c r="D9837" s="8" t="s">
        <v>112</v>
      </c>
      <c r="E9837" s="8" t="s">
        <v>43454</v>
      </c>
      <c r="F9837" s="8" t="str">
        <f>IFERROR(__XLUDF.DUMMYFUNCTION("PROPER(REGEXREPLACE(D222,""[^A-Za-z]+ "",""""))"),"Via Conseil")</f>
        <v xml:space="preserve">Via Conseil</v>
      </c>
      <c r="G9837" s="8" t="s">
        <v>43455</v>
      </c>
      <c r="H9837" s="9">
        <v>2</v>
      </c>
      <c r="I9837" s="8" t="s">
        <v>39661</v>
      </c>
      <c r="J9837" s="8" t="str">
        <f>IFERROR(__XLUDF.DUMMYFUNCTION("VLOOKUP(H222,IMPORTRANGE(""https://docs.google.com/spreadsheets/d/1opm6ZNvGZ7KditA9TuJwrZ25eFLfTNIkrNnY6mhV5Eg"",""list!A1:C115""),3,TRUE)"),"le secteur des assurances")</f>
        <v xml:space="preserve">le secteur des assurances</v>
      </c>
      <c r="K9837" s="10" t="s">
        <v>43456</v>
      </c>
      <c r="L9837" s="10" t="s">
        <v>43457</v>
      </c>
      <c r="M9837" s="8" t="s">
        <v>749</v>
      </c>
      <c r="N9837" s="8" t="s">
        <v>29</v>
      </c>
      <c r="O9837" s="8" t="s">
        <v>9193</v>
      </c>
      <c r="P9837" s="8"/>
      <c r="Q9837" s="8"/>
      <c r="R9837" s="8"/>
      <c r="S9837" s="8"/>
      <c r="T9837" s="8"/>
      <c r="U9837" s="8"/>
      <c r="V9837" s="8"/>
      <c r="W9837" s="8"/>
      <c r="X9837" s="8"/>
      <c r="Y9837" s="8"/>
    </row>
    <row r="9838" ht="14.25">
      <c r="B9838" s="18" t="s">
        <v>2870</v>
      </c>
      <c r="C9838" s="18" t="s">
        <v>25242</v>
      </c>
      <c r="D9838" s="18" t="s">
        <v>43458</v>
      </c>
      <c r="E9838" s="18" t="s">
        <v>43459</v>
      </c>
      <c r="F9838" s="8" t="str">
        <f>IFERROR(__XLUDF.DUMMYFUNCTION("PROPER(REGEXREPLACE(D223,""[^A-Za-z]+ "",""""))"),"Acam Vie")</f>
        <v xml:space="preserve">Acam Vie</v>
      </c>
      <c r="G9838" s="18" t="s">
        <v>43460</v>
      </c>
      <c r="H9838" s="18">
        <v>75</v>
      </c>
      <c r="I9838" s="18" t="s">
        <v>39661</v>
      </c>
      <c r="J9838" s="8" t="str">
        <f>IFERROR(__XLUDF.DUMMYFUNCTION("VLOOKUP(H223,IMPORTRANGE(""https://docs.google.com/spreadsheets/d/1opm6ZNvGZ7KditA9TuJwrZ25eFLfTNIkrNnY6mhV5Eg"",""list!A1:C115""),3,TRUE)"),"le secteur des assurances")</f>
        <v xml:space="preserve">le secteur des assurances</v>
      </c>
      <c r="K9838" s="5" t="s">
        <v>43461</v>
      </c>
      <c r="L9838" s="5" t="s">
        <v>43462</v>
      </c>
      <c r="M9838" s="18" t="s">
        <v>9195</v>
      </c>
      <c r="N9838" s="18" t="s">
        <v>29</v>
      </c>
      <c r="O9838" s="18" t="s">
        <v>40940</v>
      </c>
      <c r="P9838" s="18" t="s">
        <v>30882</v>
      </c>
      <c r="Q9838" s="18" t="s">
        <v>43463</v>
      </c>
      <c r="R9838" s="6"/>
      <c r="S9838" s="6"/>
      <c r="T9838" s="6"/>
      <c r="U9838" s="6"/>
      <c r="V9838" s="6"/>
      <c r="W9838" s="6"/>
      <c r="X9838" s="6"/>
      <c r="Y9838" s="6"/>
    </row>
    <row r="9839" ht="14.25">
      <c r="B9839" s="18" t="s">
        <v>43464</v>
      </c>
      <c r="C9839" s="18" t="s">
        <v>43465</v>
      </c>
      <c r="D9839" s="18" t="s">
        <v>247</v>
      </c>
      <c r="E9839" s="18" t="s">
        <v>42755</v>
      </c>
      <c r="F9839" s="8" t="str">
        <f>IFERROR(__XLUDF.DUMMYFUNCTION("PROPER(REGEXREPLACE(D224,""[^A-Za-z]+ "",""""))"),"Acheel")</f>
        <v>Acheel</v>
      </c>
      <c r="G9839" s="18" t="s">
        <v>43466</v>
      </c>
      <c r="H9839" s="18">
        <v>73</v>
      </c>
      <c r="I9839" s="18" t="s">
        <v>39661</v>
      </c>
      <c r="J9839" s="8" t="str">
        <f>IFERROR(__XLUDF.DUMMYFUNCTION("VLOOKUP(H224,IMPORTRANGE(""https://docs.google.com/spreadsheets/d/1opm6ZNvGZ7KditA9TuJwrZ25eFLfTNIkrNnY6mhV5Eg"",""list!A1:C115""),3,TRUE)"),"le secteur des assurances")</f>
        <v xml:space="preserve">le secteur des assurances</v>
      </c>
      <c r="K9839" s="5" t="s">
        <v>43467</v>
      </c>
      <c r="L9839" s="5" t="s">
        <v>42758</v>
      </c>
      <c r="M9839" s="18" t="s">
        <v>39</v>
      </c>
      <c r="N9839" s="18" t="s">
        <v>29</v>
      </c>
      <c r="O9839" s="18" t="s">
        <v>1084</v>
      </c>
      <c r="P9839" s="18" t="s">
        <v>29</v>
      </c>
      <c r="Q9839" s="6"/>
      <c r="R9839" s="6"/>
      <c r="S9839" s="6"/>
      <c r="T9839" s="6"/>
      <c r="U9839" s="6"/>
      <c r="V9839" s="6"/>
      <c r="W9839" s="6"/>
      <c r="X9839" s="6"/>
      <c r="Y9839" s="6"/>
    </row>
    <row r="9840" ht="14.25">
      <c r="B9840" s="8" t="s">
        <v>2419</v>
      </c>
      <c r="C9840" s="8" t="s">
        <v>43468</v>
      </c>
      <c r="D9840" s="8" t="s">
        <v>43469</v>
      </c>
      <c r="E9840" s="8" t="s">
        <v>43470</v>
      </c>
      <c r="F9840" s="8" t="str">
        <f>IFERROR(__XLUDF.DUMMYFUNCTION("PROPER(REGEXREPLACE(D225,""[^A-Za-z]+ "",""""))"),"Groupe Mncap")</f>
        <v xml:space="preserve">Groupe Mncap</v>
      </c>
      <c r="G9840" s="8" t="s">
        <v>43471</v>
      </c>
      <c r="H9840" s="9">
        <v>45</v>
      </c>
      <c r="I9840" s="8" t="s">
        <v>39661</v>
      </c>
      <c r="J9840" s="8" t="str">
        <f>IFERROR(__XLUDF.DUMMYFUNCTION("VLOOKUP(H225,IMPORTRANGE(""https://docs.google.com/spreadsheets/d/1opm6ZNvGZ7KditA9TuJwrZ25eFLfTNIkrNnY6mhV5Eg"",""list!A1:C115""),3,TRUE)"),"le secteur des assurances")</f>
        <v xml:space="preserve">le secteur des assurances</v>
      </c>
      <c r="K9840" s="10" t="s">
        <v>43472</v>
      </c>
      <c r="L9840" s="10" t="s">
        <v>43473</v>
      </c>
      <c r="M9840" s="8" t="s">
        <v>39</v>
      </c>
      <c r="N9840" s="8" t="s">
        <v>29</v>
      </c>
      <c r="O9840" s="8" t="s">
        <v>9160</v>
      </c>
      <c r="P9840" s="8"/>
      <c r="Q9840" s="8" t="s">
        <v>42839</v>
      </c>
      <c r="R9840" s="8"/>
      <c r="S9840" s="8"/>
      <c r="T9840" s="8"/>
      <c r="U9840" s="8"/>
      <c r="V9840" s="8"/>
      <c r="W9840" s="8"/>
      <c r="X9840" s="8"/>
      <c r="Y9840" s="8"/>
    </row>
    <row r="9841" ht="14.25">
      <c r="B9841" s="18" t="s">
        <v>1596</v>
      </c>
      <c r="C9841" s="18" t="s">
        <v>26744</v>
      </c>
      <c r="D9841" s="18" t="s">
        <v>43474</v>
      </c>
      <c r="E9841" s="18" t="s">
        <v>43475</v>
      </c>
      <c r="F9841" s="8" t="str">
        <f>IFERROR(__XLUDF.DUMMYFUNCTION("PROPER(REGEXREPLACE(D226,""[^A-Za-z]+ "",""""))"),"Antinea Courtage D'Assurances")</f>
        <v xml:space="preserve">Antinea Courtage D'Assurances</v>
      </c>
      <c r="G9841" s="18" t="s">
        <v>43476</v>
      </c>
      <c r="H9841" s="18">
        <v>91</v>
      </c>
      <c r="I9841" s="18" t="s">
        <v>39661</v>
      </c>
      <c r="J9841" s="8" t="str">
        <f>IFERROR(__XLUDF.DUMMYFUNCTION("VLOOKUP(H226,IMPORTRANGE(""https://docs.google.com/spreadsheets/d/1opm6ZNvGZ7KditA9TuJwrZ25eFLfTNIkrNnY6mhV5Eg"",""list!A1:C115""),3,TRUE)"),"le secteur des assurances")</f>
        <v xml:space="preserve">le secteur des assurances</v>
      </c>
      <c r="K9841" s="5" t="s">
        <v>43477</v>
      </c>
      <c r="L9841" s="5" t="s">
        <v>43478</v>
      </c>
      <c r="M9841" s="18" t="s">
        <v>185</v>
      </c>
      <c r="N9841" s="18" t="s">
        <v>29</v>
      </c>
      <c r="O9841" s="18" t="s">
        <v>125</v>
      </c>
      <c r="P9841" s="18" t="s">
        <v>29</v>
      </c>
      <c r="Q9841" s="6"/>
      <c r="R9841" s="6"/>
      <c r="S9841" s="6"/>
      <c r="T9841" s="6"/>
      <c r="U9841" s="6"/>
      <c r="V9841" s="6"/>
      <c r="W9841" s="6"/>
      <c r="X9841" s="6"/>
      <c r="Y9841" s="6"/>
    </row>
    <row r="9842" ht="14.25">
      <c r="B9842" s="8" t="s">
        <v>1215</v>
      </c>
      <c r="C9842" s="8" t="s">
        <v>42476</v>
      </c>
      <c r="D9842" s="8" t="s">
        <v>112</v>
      </c>
      <c r="E9842" s="8" t="s">
        <v>43479</v>
      </c>
      <c r="F9842" s="8" t="str">
        <f>IFERROR(__XLUDF.DUMMYFUNCTION("PROPER(REGEXREPLACE(D227,""[^A-Za-z]+ "",""""))"),"Orion Ticket Neige")</f>
        <v xml:space="preserve">Orion Ticket Neige</v>
      </c>
      <c r="G9842" s="8" t="s">
        <v>43480</v>
      </c>
      <c r="H9842" s="9">
        <v>3</v>
      </c>
      <c r="I9842" s="8" t="s">
        <v>39661</v>
      </c>
      <c r="J9842" s="8" t="str">
        <f>IFERROR(__XLUDF.DUMMYFUNCTION("VLOOKUP(H227,IMPORTRANGE(""https://docs.google.com/spreadsheets/d/1opm6ZNvGZ7KditA9TuJwrZ25eFLfTNIkrNnY6mhV5Eg"",""list!A1:C115""),3,TRUE)"),"le secteur des assurances")</f>
        <v xml:space="preserve">le secteur des assurances</v>
      </c>
      <c r="K9842" s="10" t="s">
        <v>43481</v>
      </c>
      <c r="L9842" s="10" t="s">
        <v>43482</v>
      </c>
      <c r="M9842" s="8" t="s">
        <v>43483</v>
      </c>
      <c r="N9842" s="8" t="s">
        <v>29</v>
      </c>
      <c r="O9842" s="8" t="s">
        <v>9350</v>
      </c>
      <c r="P9842" s="8"/>
      <c r="Q9842" s="8" t="s">
        <v>43484</v>
      </c>
      <c r="R9842" s="8"/>
      <c r="S9842" s="8"/>
      <c r="T9842" s="8"/>
      <c r="U9842" s="8"/>
      <c r="V9842" s="8"/>
      <c r="W9842" s="8"/>
      <c r="X9842" s="8"/>
      <c r="Y9842" s="8"/>
    </row>
    <row r="9843" ht="14.25">
      <c r="B9843" s="8" t="s">
        <v>866</v>
      </c>
      <c r="C9843" s="8" t="s">
        <v>43485</v>
      </c>
      <c r="D9843" s="8" t="s">
        <v>7759</v>
      </c>
      <c r="E9843" s="8" t="s">
        <v>43486</v>
      </c>
      <c r="F9843" s="8" t="str">
        <f>IFERROR(__XLUDF.DUMMYFUNCTION("PROPER(REGEXREPLACE(D228,""[^A-Za-z]+ "",""""))"),"Paris Tronchet Assurances")</f>
        <v xml:space="preserve">Paris Tronchet Assurances</v>
      </c>
      <c r="G9843" s="8" t="s">
        <v>43487</v>
      </c>
      <c r="H9843" s="9">
        <v>6</v>
      </c>
      <c r="I9843" s="8" t="s">
        <v>39661</v>
      </c>
      <c r="J9843" s="8" t="str">
        <f>IFERROR(__XLUDF.DUMMYFUNCTION("VLOOKUP(H228,IMPORTRANGE(""https://docs.google.com/spreadsheets/d/1opm6ZNvGZ7KditA9TuJwrZ25eFLfTNIkrNnY6mhV5Eg"",""list!A1:C115""),3,TRUE)"),"le secteur des assurances")</f>
        <v xml:space="preserve">le secteur des assurances</v>
      </c>
      <c r="K9843" s="10" t="s">
        <v>43488</v>
      </c>
      <c r="L9843" s="10" t="s">
        <v>43489</v>
      </c>
      <c r="M9843" s="8" t="s">
        <v>39</v>
      </c>
      <c r="N9843" s="8" t="s">
        <v>29</v>
      </c>
      <c r="O9843" s="8" t="s">
        <v>9160</v>
      </c>
      <c r="P9843" s="8"/>
      <c r="Q9843" s="8" t="s">
        <v>43490</v>
      </c>
      <c r="R9843" s="8"/>
      <c r="S9843" s="8"/>
      <c r="T9843" s="8"/>
      <c r="U9843" s="8"/>
      <c r="V9843" s="8"/>
      <c r="W9843" s="8"/>
      <c r="X9843" s="8"/>
      <c r="Y9843" s="8"/>
    </row>
    <row r="9844" ht="14.25">
      <c r="B9844" s="8" t="s">
        <v>7914</v>
      </c>
      <c r="C9844" s="8" t="s">
        <v>9043</v>
      </c>
      <c r="D9844" s="8" t="s">
        <v>2645</v>
      </c>
      <c r="E9844" s="8" t="s">
        <v>43491</v>
      </c>
      <c r="F9844" s="8" t="str">
        <f>IFERROR(__XLUDF.DUMMYFUNCTION("PROPER(REGEXREPLACE(D229,""[^A-Za-z]+ "",""""))"),"St Avenir")</f>
        <v xml:space="preserve">St Avenir</v>
      </c>
      <c r="G9844" s="8" t="s">
        <v>43492</v>
      </c>
      <c r="H9844" s="9">
        <v>1</v>
      </c>
      <c r="I9844" s="8" t="s">
        <v>39661</v>
      </c>
      <c r="J9844" s="8" t="str">
        <f>IFERROR(__XLUDF.DUMMYFUNCTION("VLOOKUP(H229,IMPORTRANGE(""https://docs.google.com/spreadsheets/d/1opm6ZNvGZ7KditA9TuJwrZ25eFLfTNIkrNnY6mhV5Eg"",""list!A1:C115""),3,TRUE)"),"le secteur des assurances")</f>
        <v xml:space="preserve">le secteur des assurances</v>
      </c>
      <c r="K9844" s="10" t="s">
        <v>43493</v>
      </c>
      <c r="L9844" s="10" t="s">
        <v>43494</v>
      </c>
      <c r="M9844" s="8" t="s">
        <v>1711</v>
      </c>
      <c r="N9844" s="8" t="s">
        <v>29</v>
      </c>
      <c r="O9844" s="8" t="s">
        <v>9350</v>
      </c>
      <c r="P9844" s="8"/>
      <c r="Q9844" s="8" t="s">
        <v>43495</v>
      </c>
      <c r="R9844" s="8"/>
      <c r="S9844" s="8"/>
      <c r="T9844" s="8"/>
      <c r="U9844" s="8"/>
      <c r="V9844" s="8"/>
      <c r="W9844" s="8"/>
      <c r="X9844" s="8"/>
      <c r="Y9844" s="8"/>
    </row>
    <row r="9845" ht="14.25">
      <c r="B9845" s="8" t="s">
        <v>222</v>
      </c>
      <c r="C9845" s="8" t="s">
        <v>6451</v>
      </c>
      <c r="D9845" s="8" t="s">
        <v>172</v>
      </c>
      <c r="E9845" s="8" t="s">
        <v>43496</v>
      </c>
      <c r="F9845" s="8" t="str">
        <f>IFERROR(__XLUDF.DUMMYFUNCTION("PROPER(REGEXREPLACE(D230,""[^A-Za-z]+ "",""""))"),"Ospro Assurances")</f>
        <v xml:space="preserve">Ospro Assurances</v>
      </c>
      <c r="G9845" s="8" t="s">
        <v>43497</v>
      </c>
      <c r="H9845" s="9">
        <v>1</v>
      </c>
      <c r="I9845" s="8" t="s">
        <v>39661</v>
      </c>
      <c r="J9845" s="8" t="str">
        <f>IFERROR(__XLUDF.DUMMYFUNCTION("VLOOKUP(H230,IMPORTRANGE(""https://docs.google.com/spreadsheets/d/1opm6ZNvGZ7KditA9TuJwrZ25eFLfTNIkrNnY6mhV5Eg"",""list!A1:C115""),3,TRUE)"),"le secteur des assurances")</f>
        <v xml:space="preserve">le secteur des assurances</v>
      </c>
      <c r="K9845" s="10" t="s">
        <v>43498</v>
      </c>
      <c r="L9845" s="10" t="s">
        <v>43499</v>
      </c>
      <c r="M9845" s="8" t="s">
        <v>562</v>
      </c>
      <c r="N9845" s="8" t="s">
        <v>29</v>
      </c>
      <c r="O9845" s="8" t="s">
        <v>9215</v>
      </c>
      <c r="P9845" s="8"/>
      <c r="Q9845" s="8"/>
      <c r="R9845" s="8"/>
      <c r="S9845" s="8"/>
      <c r="T9845" s="8"/>
      <c r="U9845" s="8"/>
      <c r="V9845" s="8"/>
      <c r="W9845" s="8"/>
      <c r="X9845" s="8"/>
      <c r="Y9845" s="8"/>
    </row>
    <row r="9846" ht="14.25">
      <c r="B9846" s="8" t="s">
        <v>1009</v>
      </c>
      <c r="C9846" s="8" t="s">
        <v>43500</v>
      </c>
      <c r="D9846" s="8" t="s">
        <v>2645</v>
      </c>
      <c r="E9846" s="8" t="s">
        <v>43501</v>
      </c>
      <c r="F9846" s="8" t="str">
        <f>IFERROR(__XLUDF.DUMMYFUNCTION("PROPER(REGEXREPLACE(D231,""[^A-Za-z]+ "",""""))"),"Fin'Bul Assurances")</f>
        <v xml:space="preserve">Fin'Bul Assurances</v>
      </c>
      <c r="G9846" s="8" t="s">
        <v>43502</v>
      </c>
      <c r="H9846" s="9">
        <v>3</v>
      </c>
      <c r="I9846" s="8" t="s">
        <v>39661</v>
      </c>
      <c r="J9846" s="8" t="str">
        <f>IFERROR(__XLUDF.DUMMYFUNCTION("VLOOKUP(H231,IMPORTRANGE(""https://docs.google.com/spreadsheets/d/1opm6ZNvGZ7KditA9TuJwrZ25eFLfTNIkrNnY6mhV5Eg"",""list!A1:C115""),3,TRUE)"),"le secteur des assurances")</f>
        <v xml:space="preserve">le secteur des assurances</v>
      </c>
      <c r="K9846" s="10" t="s">
        <v>43503</v>
      </c>
      <c r="L9846" s="10" t="s">
        <v>43504</v>
      </c>
      <c r="M9846" s="8" t="s">
        <v>39</v>
      </c>
      <c r="N9846" s="8" t="s">
        <v>29</v>
      </c>
      <c r="O9846" s="8" t="s">
        <v>9160</v>
      </c>
      <c r="P9846" s="8"/>
      <c r="Q9846" s="8" t="s">
        <v>43505</v>
      </c>
      <c r="R9846" s="8"/>
      <c r="S9846" s="8"/>
      <c r="T9846" s="8"/>
      <c r="U9846" s="8"/>
      <c r="V9846" s="8"/>
      <c r="W9846" s="8"/>
      <c r="X9846" s="8"/>
      <c r="Y9846" s="8"/>
    </row>
    <row r="9847" ht="14.25">
      <c r="B9847" s="8" t="s">
        <v>3744</v>
      </c>
      <c r="C9847" s="8" t="s">
        <v>43506</v>
      </c>
      <c r="D9847" s="8" t="s">
        <v>1130</v>
      </c>
      <c r="E9847" s="8" t="s">
        <v>43507</v>
      </c>
      <c r="F9847" s="8" t="str">
        <f>IFERROR(__XLUDF.DUMMYFUNCTION("PROPER(REGEXREPLACE(D232,""[^A-Za-z]+ "",""""))"),"A.C.P.")</f>
        <v>A.C.P.</v>
      </c>
      <c r="G9847" s="8" t="s">
        <v>43508</v>
      </c>
      <c r="H9847" s="9">
        <v>1</v>
      </c>
      <c r="I9847" s="8" t="s">
        <v>39661</v>
      </c>
      <c r="J9847" s="8" t="str">
        <f>IFERROR(__XLUDF.DUMMYFUNCTION("VLOOKUP(H232,IMPORTRANGE(""https://docs.google.com/spreadsheets/d/1opm6ZNvGZ7KditA9TuJwrZ25eFLfTNIkrNnY6mhV5Eg"",""list!A1:C115""),3,TRUE)"),"le secteur des assurances")</f>
        <v xml:space="preserve">le secteur des assurances</v>
      </c>
      <c r="K9847" s="10" t="s">
        <v>43509</v>
      </c>
      <c r="L9847" s="10" t="s">
        <v>43510</v>
      </c>
      <c r="M9847" s="8" t="s">
        <v>43511</v>
      </c>
      <c r="N9847" s="8" t="s">
        <v>29</v>
      </c>
      <c r="O9847" s="8" t="s">
        <v>9193</v>
      </c>
      <c r="P9847" s="8"/>
      <c r="Q9847" s="8"/>
      <c r="R9847" s="8"/>
      <c r="S9847" s="8"/>
      <c r="T9847" s="8"/>
      <c r="U9847" s="8"/>
      <c r="V9847" s="8"/>
      <c r="W9847" s="8"/>
      <c r="X9847" s="8"/>
      <c r="Y9847" s="8"/>
    </row>
    <row r="9848" ht="14.25">
      <c r="B9848" s="8" t="s">
        <v>20</v>
      </c>
      <c r="C9848" s="8" t="s">
        <v>11120</v>
      </c>
      <c r="D9848" s="8" t="s">
        <v>43512</v>
      </c>
      <c r="E9848" s="8" t="s">
        <v>42007</v>
      </c>
      <c r="F9848" s="8" t="str">
        <f>IFERROR(__XLUDF.DUMMYFUNCTION("PROPER(REGEXREPLACE(D233,""[^A-Za-z]+ "",""""))"),"Lourmel")</f>
        <v>Lourmel</v>
      </c>
      <c r="G9848" s="8" t="s">
        <v>43513</v>
      </c>
      <c r="H9848" s="9">
        <v>50</v>
      </c>
      <c r="I9848" s="8" t="s">
        <v>39661</v>
      </c>
      <c r="J9848" s="8" t="str">
        <f>IFERROR(__XLUDF.DUMMYFUNCTION("VLOOKUP(H233,IMPORTRANGE(""https://docs.google.com/spreadsheets/d/1opm6ZNvGZ7KditA9TuJwrZ25eFLfTNIkrNnY6mhV5Eg"",""list!A1:C115""),3,TRUE)"),"le secteur des assurances")</f>
        <v xml:space="preserve">le secteur des assurances</v>
      </c>
      <c r="K9848" s="10" t="s">
        <v>43514</v>
      </c>
      <c r="L9848" s="10" t="s">
        <v>43515</v>
      </c>
      <c r="M9848" s="8"/>
      <c r="N9848" s="8" t="s">
        <v>29</v>
      </c>
      <c r="O9848" s="8" t="s">
        <v>9160</v>
      </c>
      <c r="P9848" s="8"/>
      <c r="Q9848" s="8" t="s">
        <v>43516</v>
      </c>
      <c r="R9848" s="8"/>
      <c r="S9848" s="8"/>
      <c r="T9848" s="8"/>
      <c r="U9848" s="8"/>
      <c r="V9848" s="8"/>
      <c r="W9848" s="8"/>
      <c r="X9848" s="8"/>
      <c r="Y9848" s="8"/>
    </row>
    <row r="9849" ht="14.25">
      <c r="B9849" s="8" t="s">
        <v>4012</v>
      </c>
      <c r="C9849" s="8" t="s">
        <v>43517</v>
      </c>
      <c r="D9849" s="8" t="s">
        <v>43518</v>
      </c>
      <c r="E9849" s="8" t="s">
        <v>43519</v>
      </c>
      <c r="F9849" s="8" t="str">
        <f>IFERROR(__XLUDF.DUMMYFUNCTION("PROPER(REGEXREPLACE(D234,""[^A-Za-z]+ "",""""))"),"Tepee Assurances")</f>
        <v xml:space="preserve">Tepee Assurances</v>
      </c>
      <c r="G9849" s="8" t="s">
        <v>43520</v>
      </c>
      <c r="H9849" s="9">
        <v>2</v>
      </c>
      <c r="I9849" s="8" t="s">
        <v>39661</v>
      </c>
      <c r="J9849" s="8" t="str">
        <f>IFERROR(__XLUDF.DUMMYFUNCTION("VLOOKUP(H234,IMPORTRANGE(""https://docs.google.com/spreadsheets/d/1opm6ZNvGZ7KditA9TuJwrZ25eFLfTNIkrNnY6mhV5Eg"",""list!A1:C115""),3,TRUE)"),"le secteur des assurances")</f>
        <v xml:space="preserve">le secteur des assurances</v>
      </c>
      <c r="K9849" s="10" t="s">
        <v>43521</v>
      </c>
      <c r="L9849" s="8" t="s">
        <v>43522</v>
      </c>
      <c r="M9849" s="8"/>
      <c r="N9849" s="8" t="s">
        <v>29</v>
      </c>
      <c r="O9849" s="8"/>
      <c r="P9849" s="8"/>
      <c r="Q9849" s="8"/>
      <c r="R9849" s="8"/>
      <c r="S9849" s="8"/>
      <c r="T9849" s="8"/>
      <c r="U9849" s="8"/>
      <c r="V9849" s="8"/>
      <c r="W9849" s="8"/>
      <c r="X9849" s="8"/>
      <c r="Y9849" s="8"/>
    </row>
    <row r="9850" ht="14.25">
      <c r="B9850" s="18" t="s">
        <v>1153</v>
      </c>
      <c r="C9850" s="18" t="s">
        <v>1540</v>
      </c>
      <c r="D9850" s="18" t="s">
        <v>43523</v>
      </c>
      <c r="E9850" s="18" t="s">
        <v>43524</v>
      </c>
      <c r="F9850" s="8" t="str">
        <f>IFERROR(__XLUDF.DUMMYFUNCTION("PROPER(REGEXREPLACE(D235,""[^A-Za-z]+ "",""""))"),"Lsn Assurances")</f>
        <v xml:space="preserve">Lsn Assurances</v>
      </c>
      <c r="G9850" s="18" t="s">
        <v>43525</v>
      </c>
      <c r="H9850" s="18">
        <v>100</v>
      </c>
      <c r="I9850" s="18" t="s">
        <v>39661</v>
      </c>
      <c r="J9850" s="8" t="str">
        <f>IFERROR(__XLUDF.DUMMYFUNCTION("VLOOKUP(H235,IMPORTRANGE(""https://docs.google.com/spreadsheets/d/1opm6ZNvGZ7KditA9TuJwrZ25eFLfTNIkrNnY6mhV5Eg"",""list!A1:C115""),3,TRUE)"),"le secteur des assurances")</f>
        <v xml:space="preserve">le secteur des assurances</v>
      </c>
      <c r="K9850" s="5" t="s">
        <v>43526</v>
      </c>
      <c r="L9850" s="5" t="s">
        <v>43527</v>
      </c>
      <c r="M9850" s="6"/>
      <c r="N9850" s="18" t="s">
        <v>29</v>
      </c>
      <c r="O9850" s="18" t="s">
        <v>43528</v>
      </c>
      <c r="P9850" s="18" t="s">
        <v>29</v>
      </c>
      <c r="Q9850" s="6"/>
      <c r="R9850" s="6"/>
      <c r="S9850" s="6"/>
      <c r="T9850" s="6"/>
      <c r="U9850" s="6"/>
      <c r="V9850" s="6"/>
      <c r="W9850" s="6"/>
      <c r="X9850" s="6"/>
      <c r="Y9850" s="6"/>
    </row>
    <row r="9851" ht="14.25">
      <c r="B9851" s="8" t="s">
        <v>6844</v>
      </c>
      <c r="C9851" s="8" t="s">
        <v>43529</v>
      </c>
      <c r="D9851" s="8" t="s">
        <v>112</v>
      </c>
      <c r="E9851" s="8" t="s">
        <v>43530</v>
      </c>
      <c r="F9851" s="8" t="str">
        <f>IFERROR(__XLUDF.DUMMYFUNCTION("PROPER(REGEXREPLACE(D236,""[^A-Za-z]+ "",""""))"),"Caprele")</f>
        <v>Caprele</v>
      </c>
      <c r="G9851" s="8" t="s">
        <v>43531</v>
      </c>
      <c r="H9851" s="9">
        <v>6</v>
      </c>
      <c r="I9851" s="8" t="s">
        <v>39661</v>
      </c>
      <c r="J9851" s="8" t="str">
        <f>IFERROR(__XLUDF.DUMMYFUNCTION("VLOOKUP(H236,IMPORTRANGE(""https://docs.google.com/spreadsheets/d/1opm6ZNvGZ7KditA9TuJwrZ25eFLfTNIkrNnY6mhV5Eg"",""list!A1:C115""),3,TRUE)"),"le secteur des assurances")</f>
        <v xml:space="preserve">le secteur des assurances</v>
      </c>
      <c r="K9851" s="10" t="s">
        <v>43532</v>
      </c>
      <c r="L9851" s="10" t="s">
        <v>43533</v>
      </c>
      <c r="M9851" s="8" t="s">
        <v>39</v>
      </c>
      <c r="N9851" s="8" t="s">
        <v>29</v>
      </c>
      <c r="O9851" s="8" t="s">
        <v>9160</v>
      </c>
      <c r="P9851" s="8"/>
      <c r="Q9851" s="8"/>
      <c r="R9851" s="8"/>
      <c r="S9851" s="8"/>
      <c r="T9851" s="8"/>
      <c r="U9851" s="8"/>
      <c r="V9851" s="8"/>
      <c r="W9851" s="8"/>
      <c r="X9851" s="8"/>
      <c r="Y9851" s="8"/>
    </row>
    <row r="9852" ht="14.25">
      <c r="B9852" s="8" t="s">
        <v>1387</v>
      </c>
      <c r="C9852" s="8" t="s">
        <v>43534</v>
      </c>
      <c r="D9852" s="8" t="s">
        <v>5400</v>
      </c>
      <c r="E9852" s="8" t="s">
        <v>43535</v>
      </c>
      <c r="F9852" s="8" t="str">
        <f>IFERROR(__XLUDF.DUMMYFUNCTION("PROPER(REGEXREPLACE(D237,""[^A-Za-z]+ "",""""))"),"Sigmage")</f>
        <v>Sigmage</v>
      </c>
      <c r="G9852" s="8" t="s">
        <v>43536</v>
      </c>
      <c r="H9852" s="9">
        <v>6</v>
      </c>
      <c r="I9852" s="8" t="s">
        <v>39661</v>
      </c>
      <c r="J9852" s="8" t="str">
        <f>IFERROR(__XLUDF.DUMMYFUNCTION("VLOOKUP(H237,IMPORTRANGE(""https://docs.google.com/spreadsheets/d/1opm6ZNvGZ7KditA9TuJwrZ25eFLfTNIkrNnY6mhV5Eg"",""list!A1:C115""),3,TRUE)"),"le secteur des assurances")</f>
        <v xml:space="preserve">le secteur des assurances</v>
      </c>
      <c r="K9852" s="10" t="s">
        <v>43537</v>
      </c>
      <c r="L9852" s="10" t="s">
        <v>43538</v>
      </c>
      <c r="M9852" s="8" t="s">
        <v>15292</v>
      </c>
      <c r="N9852" s="8" t="s">
        <v>29</v>
      </c>
      <c r="O9852" s="8" t="s">
        <v>10736</v>
      </c>
      <c r="P9852" s="8"/>
      <c r="Q9852" s="8" t="s">
        <v>43539</v>
      </c>
      <c r="R9852" s="8"/>
      <c r="S9852" s="8"/>
      <c r="T9852" s="8"/>
      <c r="U9852" s="8"/>
      <c r="V9852" s="8"/>
      <c r="W9852" s="8"/>
      <c r="X9852" s="8"/>
      <c r="Y9852" s="8"/>
    </row>
    <row r="9853" ht="14.25">
      <c r="B9853" s="8" t="s">
        <v>955</v>
      </c>
      <c r="C9853" s="8" t="s">
        <v>630</v>
      </c>
      <c r="D9853" s="8" t="s">
        <v>341</v>
      </c>
      <c r="E9853" s="8" t="s">
        <v>43540</v>
      </c>
      <c r="F9853" s="8" t="str">
        <f>IFERROR(__XLUDF.DUMMYFUNCTION("PROPER(REGEXREPLACE(D238,""[^A-Za-z]+ "",""""))"),"Wiqare")</f>
        <v>Wiqare</v>
      </c>
      <c r="G9853" s="8" t="s">
        <v>43541</v>
      </c>
      <c r="H9853" s="9">
        <v>1</v>
      </c>
      <c r="I9853" s="8" t="s">
        <v>39661</v>
      </c>
      <c r="J9853" s="8" t="str">
        <f>IFERROR(__XLUDF.DUMMYFUNCTION("VLOOKUP(H238,IMPORTRANGE(""https://docs.google.com/spreadsheets/d/1opm6ZNvGZ7KditA9TuJwrZ25eFLfTNIkrNnY6mhV5Eg"",""list!A1:C115""),3,TRUE)"),"le secteur des assurances")</f>
        <v xml:space="preserve">le secteur des assurances</v>
      </c>
      <c r="K9853" s="10" t="s">
        <v>43542</v>
      </c>
      <c r="L9853" s="8"/>
      <c r="M9853" s="8" t="s">
        <v>7827</v>
      </c>
      <c r="N9853" s="8" t="s">
        <v>29</v>
      </c>
      <c r="O9853" s="8" t="s">
        <v>9160</v>
      </c>
      <c r="P9853" s="8"/>
      <c r="Q9853" s="8"/>
      <c r="R9853" s="8"/>
      <c r="S9853" s="8"/>
      <c r="T9853" s="8"/>
      <c r="U9853" s="8"/>
      <c r="V9853" s="8"/>
      <c r="W9853" s="8"/>
      <c r="X9853" s="8"/>
      <c r="Y9853" s="8"/>
    </row>
    <row r="9854" ht="14.25">
      <c r="B9854" s="8" t="s">
        <v>3002</v>
      </c>
      <c r="C9854" s="8" t="s">
        <v>43543</v>
      </c>
      <c r="D9854" s="8" t="s">
        <v>172</v>
      </c>
      <c r="E9854" s="8" t="s">
        <v>43544</v>
      </c>
      <c r="F9854" s="8" t="str">
        <f>IFERROR(__XLUDF.DUMMYFUNCTION("PROPER(REGEXREPLACE(D239,""[^A-Za-z]+ "",""""))"),"Courtage Avenue")</f>
        <v xml:space="preserve">Courtage Avenue</v>
      </c>
      <c r="G9854" s="8" t="s">
        <v>43545</v>
      </c>
      <c r="H9854" s="9">
        <v>2</v>
      </c>
      <c r="I9854" s="8" t="s">
        <v>39661</v>
      </c>
      <c r="J9854" s="8" t="str">
        <f>IFERROR(__XLUDF.DUMMYFUNCTION("VLOOKUP(H239,IMPORTRANGE(""https://docs.google.com/spreadsheets/d/1opm6ZNvGZ7KditA9TuJwrZ25eFLfTNIkrNnY6mhV5Eg"",""list!A1:C115""),3,TRUE)"),"le secteur des assurances")</f>
        <v xml:space="preserve">le secteur des assurances</v>
      </c>
      <c r="K9854" s="10" t="s">
        <v>43546</v>
      </c>
      <c r="L9854" s="10" t="s">
        <v>43547</v>
      </c>
      <c r="M9854" s="8" t="s">
        <v>39</v>
      </c>
      <c r="N9854" s="8" t="s">
        <v>29</v>
      </c>
      <c r="O9854" s="8" t="s">
        <v>9160</v>
      </c>
      <c r="P9854" s="8"/>
      <c r="Q9854" s="8" t="s">
        <v>43548</v>
      </c>
      <c r="R9854" s="8"/>
      <c r="S9854" s="8"/>
      <c r="T9854" s="8"/>
      <c r="U9854" s="8"/>
      <c r="V9854" s="8"/>
      <c r="W9854" s="8"/>
      <c r="X9854" s="8"/>
      <c r="Y9854" s="8"/>
    </row>
    <row r="9855" ht="14.25">
      <c r="B9855" s="8" t="s">
        <v>3019</v>
      </c>
      <c r="C9855" s="8" t="s">
        <v>43549</v>
      </c>
      <c r="D9855" s="8" t="s">
        <v>341</v>
      </c>
      <c r="E9855" s="8" t="s">
        <v>43550</v>
      </c>
      <c r="F9855" s="8" t="str">
        <f>IFERROR(__XLUDF.DUMMYFUNCTION("PROPER(REGEXREPLACE(D240,""[^A-Za-z]+ "",""""))"),"Angelteam")</f>
        <v>Angelteam</v>
      </c>
      <c r="G9855" s="8" t="s">
        <v>43551</v>
      </c>
      <c r="H9855" s="9">
        <v>3</v>
      </c>
      <c r="I9855" s="8" t="s">
        <v>2629</v>
      </c>
      <c r="J9855" s="8" t="str">
        <f>IFERROR(__XLUDF.DUMMYFUNCTION("VLOOKUP(H240,IMPORTRANGE(""https://docs.google.com/spreadsheets/d/1opm6ZNvGZ7KditA9TuJwrZ25eFLfTNIkrNnY6mhV5Eg"",""list!A1:C115""),3,TRUE)"),"le secteur des services financiers")</f>
        <v xml:space="preserve">le secteur des services financiers</v>
      </c>
      <c r="K9855" s="10" t="s">
        <v>43552</v>
      </c>
      <c r="L9855" s="10" t="s">
        <v>43553</v>
      </c>
      <c r="M9855" s="8"/>
      <c r="N9855" s="8" t="s">
        <v>29</v>
      </c>
      <c r="O9855" s="8" t="s">
        <v>9160</v>
      </c>
      <c r="P9855" s="8"/>
      <c r="Q9855" s="8" t="s">
        <v>43554</v>
      </c>
      <c r="R9855" s="8"/>
      <c r="S9855" s="8"/>
      <c r="T9855" s="8"/>
      <c r="U9855" s="8"/>
      <c r="V9855" s="8"/>
      <c r="W9855" s="8"/>
      <c r="X9855" s="8"/>
      <c r="Y9855" s="8"/>
    </row>
    <row r="9856" ht="14.25">
      <c r="B9856" s="18" t="s">
        <v>1596</v>
      </c>
      <c r="C9856" s="18" t="s">
        <v>23843</v>
      </c>
      <c r="D9856" s="18" t="s">
        <v>5400</v>
      </c>
      <c r="E9856" s="18" t="s">
        <v>43555</v>
      </c>
      <c r="F9856" s="8" t="str">
        <f>IFERROR(__XLUDF.DUMMYFUNCTION("PROPER(REGEXREPLACE(D241,""[^A-Za-z]+ "",""""))"),"Mutuelle De France Unie")</f>
        <v xml:space="preserve">Mutuelle De France Unie</v>
      </c>
      <c r="G9856" s="18" t="s">
        <v>43556</v>
      </c>
      <c r="H9856" s="18">
        <v>46</v>
      </c>
      <c r="I9856" s="18" t="s">
        <v>39661</v>
      </c>
      <c r="J9856" s="8" t="str">
        <f>IFERROR(__XLUDF.DUMMYFUNCTION("VLOOKUP(H241,IMPORTRANGE(""https://docs.google.com/spreadsheets/d/1opm6ZNvGZ7KditA9TuJwrZ25eFLfTNIkrNnY6mhV5Eg"",""list!A1:C115""),3,TRUE)"),"le secteur des assurances")</f>
        <v xml:space="preserve">le secteur des assurances</v>
      </c>
      <c r="K9856" s="5" t="s">
        <v>43557</v>
      </c>
      <c r="L9856" s="5" t="s">
        <v>43558</v>
      </c>
      <c r="M9856" s="18" t="s">
        <v>423</v>
      </c>
      <c r="N9856" s="18" t="s">
        <v>29</v>
      </c>
      <c r="O9856" s="18" t="s">
        <v>43559</v>
      </c>
      <c r="P9856" s="18" t="s">
        <v>29</v>
      </c>
      <c r="Q9856" s="18" t="s">
        <v>43560</v>
      </c>
      <c r="R9856" s="6"/>
      <c r="S9856" s="6"/>
      <c r="T9856" s="6"/>
      <c r="U9856" s="6"/>
      <c r="V9856" s="6"/>
      <c r="W9856" s="6"/>
      <c r="X9856" s="6"/>
      <c r="Y9856" s="6"/>
    </row>
    <row r="9857" ht="14.25">
      <c r="B9857" s="18" t="s">
        <v>1027</v>
      </c>
      <c r="C9857" s="18" t="s">
        <v>43561</v>
      </c>
      <c r="D9857" s="18" t="s">
        <v>5186</v>
      </c>
      <c r="E9857" s="18" t="s">
        <v>43562</v>
      </c>
      <c r="F9857" s="8" t="str">
        <f>IFERROR(__XLUDF.DUMMYFUNCTION("PROPER(REGEXREPLACE(D242,""[^A-Za-z]+ "",""""))"),"Firidis")</f>
        <v>Firidis</v>
      </c>
      <c r="G9857" s="18" t="s">
        <v>43563</v>
      </c>
      <c r="H9857" s="18">
        <v>4</v>
      </c>
      <c r="I9857" s="18" t="s">
        <v>39661</v>
      </c>
      <c r="J9857" s="8" t="str">
        <f>IFERROR(__XLUDF.DUMMYFUNCTION("VLOOKUP(H242,IMPORTRANGE(""https://docs.google.com/spreadsheets/d/1opm6ZNvGZ7KditA9TuJwrZ25eFLfTNIkrNnY6mhV5Eg"",""list!A1:C115""),3,TRUE)"),"le secteur des assurances")</f>
        <v xml:space="preserve">le secteur des assurances</v>
      </c>
      <c r="K9857" s="5" t="s">
        <v>43564</v>
      </c>
      <c r="L9857" s="5" t="s">
        <v>43565</v>
      </c>
      <c r="M9857" s="18" t="s">
        <v>1446</v>
      </c>
      <c r="N9857" s="18" t="s">
        <v>29</v>
      </c>
      <c r="O9857" s="18" t="s">
        <v>43566</v>
      </c>
      <c r="P9857" s="18" t="s">
        <v>29</v>
      </c>
      <c r="Q9857" s="18" t="s">
        <v>43567</v>
      </c>
      <c r="R9857" s="6"/>
      <c r="S9857" s="6"/>
      <c r="T9857" s="6"/>
      <c r="U9857" s="6"/>
      <c r="V9857" s="6"/>
      <c r="W9857" s="6"/>
      <c r="X9857" s="6"/>
      <c r="Y9857" s="6"/>
    </row>
    <row r="9858" ht="14.25">
      <c r="B9858" s="8" t="s">
        <v>43568</v>
      </c>
      <c r="C9858" s="8" t="s">
        <v>2059</v>
      </c>
      <c r="D9858" s="8" t="s">
        <v>7759</v>
      </c>
      <c r="E9858" s="8" t="s">
        <v>43569</v>
      </c>
      <c r="F9858" s="8" t="str">
        <f>IFERROR(__XLUDF.DUMMYFUNCTION("PROPER(REGEXREPLACE(D243,""[^A-Za-z]+ "",""""))"),"Pole Assurancescourtage")</f>
        <v xml:space="preserve">Pole Assurancescourtage</v>
      </c>
      <c r="G9858" s="8" t="s">
        <v>43570</v>
      </c>
      <c r="H9858" s="9">
        <v>19</v>
      </c>
      <c r="I9858" s="8" t="s">
        <v>39661</v>
      </c>
      <c r="J9858" s="8" t="str">
        <f>IFERROR(__XLUDF.DUMMYFUNCTION("VLOOKUP(H243,IMPORTRANGE(""https://docs.google.com/spreadsheets/d/1opm6ZNvGZ7KditA9TuJwrZ25eFLfTNIkrNnY6mhV5Eg"",""list!A1:C115""),3,TRUE)"),"le secteur des assurances")</f>
        <v xml:space="preserve">le secteur des assurances</v>
      </c>
      <c r="K9858" s="10" t="s">
        <v>43571</v>
      </c>
      <c r="L9858" s="10" t="s">
        <v>43572</v>
      </c>
      <c r="M9858" s="8" t="s">
        <v>10327</v>
      </c>
      <c r="N9858" s="8" t="s">
        <v>29</v>
      </c>
      <c r="O9858" s="8" t="s">
        <v>9460</v>
      </c>
      <c r="P9858" s="8"/>
      <c r="Q9858" s="8" t="s">
        <v>43573</v>
      </c>
      <c r="R9858" s="8"/>
      <c r="S9858" s="8"/>
      <c r="T9858" s="8"/>
      <c r="U9858" s="8"/>
      <c r="V9858" s="8"/>
      <c r="W9858" s="8"/>
      <c r="X9858" s="8"/>
      <c r="Y9858" s="8"/>
    </row>
    <row r="9859" ht="14.25">
      <c r="B9859" s="8" t="s">
        <v>21463</v>
      </c>
      <c r="C9859" s="8" t="s">
        <v>43574</v>
      </c>
      <c r="D9859" s="8" t="s">
        <v>341</v>
      </c>
      <c r="E9859" s="8" t="s">
        <v>43575</v>
      </c>
      <c r="F9859" s="8" t="str">
        <f>IFERROR(__XLUDF.DUMMYFUNCTION("PROPER(REGEXREPLACE(D244,""[^A-Za-z]+ "",""""))"),"Videm Assurance")</f>
        <v xml:space="preserve">Videm Assurance</v>
      </c>
      <c r="G9859" s="8" t="s">
        <v>43576</v>
      </c>
      <c r="H9859" s="9">
        <v>3</v>
      </c>
      <c r="I9859" s="8" t="s">
        <v>39661</v>
      </c>
      <c r="J9859" s="8" t="str">
        <f>IFERROR(__XLUDF.DUMMYFUNCTION("VLOOKUP(H244,IMPORTRANGE(""https://docs.google.com/spreadsheets/d/1opm6ZNvGZ7KditA9TuJwrZ25eFLfTNIkrNnY6mhV5Eg"",""list!A1:C115""),3,TRUE)"),"le secteur des assurances")</f>
        <v xml:space="preserve">le secteur des assurances</v>
      </c>
      <c r="K9859" s="10" t="s">
        <v>43577</v>
      </c>
      <c r="L9859" s="10" t="s">
        <v>43578</v>
      </c>
      <c r="M9859" s="8" t="s">
        <v>3898</v>
      </c>
      <c r="N9859" s="8" t="s">
        <v>29</v>
      </c>
      <c r="O9859" s="8" t="s">
        <v>10736</v>
      </c>
      <c r="P9859" s="8"/>
      <c r="Q9859" s="8"/>
      <c r="R9859" s="8"/>
      <c r="S9859" s="8"/>
      <c r="T9859" s="8"/>
      <c r="U9859" s="8"/>
      <c r="V9859" s="8"/>
      <c r="W9859" s="8"/>
      <c r="X9859" s="8"/>
      <c r="Y9859" s="8"/>
    </row>
    <row r="9860" ht="14.25">
      <c r="B9860" s="18" t="s">
        <v>785</v>
      </c>
      <c r="C9860" s="18" t="s">
        <v>43579</v>
      </c>
      <c r="D9860" s="18" t="s">
        <v>62</v>
      </c>
      <c r="E9860" s="18" t="s">
        <v>43580</v>
      </c>
      <c r="F9860" s="8" t="str">
        <f>IFERROR(__XLUDF.DUMMYFUNCTION("PROPER(REGEXREPLACE(D245,""[^A-Za-z]+ "",""""))"),"Waldorf Private Office")</f>
        <v xml:space="preserve">Waldorf Private Office</v>
      </c>
      <c r="G9860" s="18" t="s">
        <v>43581</v>
      </c>
      <c r="H9860" s="18">
        <v>3</v>
      </c>
      <c r="I9860" s="18" t="s">
        <v>40453</v>
      </c>
      <c r="J9860" s="8" t="str">
        <f>IFERROR(__XLUDF.DUMMYFUNCTION("VLOOKUP(H245,IMPORTRANGE(""https://docs.google.com/spreadsheets/d/1opm6ZNvGZ7KditA9TuJwrZ25eFLfTNIkrNnY6mhV5Eg"",""list!A1:C115""),3,TRUE)"),"le secteur de la banque d'investissement")</f>
        <v xml:space="preserve">le secteur de la banque d'investissement</v>
      </c>
      <c r="K9860" s="5" t="s">
        <v>43582</v>
      </c>
      <c r="L9860" s="5" t="s">
        <v>43583</v>
      </c>
      <c r="M9860" s="18" t="s">
        <v>39</v>
      </c>
      <c r="N9860" s="18" t="s">
        <v>29</v>
      </c>
      <c r="O9860" s="18" t="s">
        <v>25974</v>
      </c>
      <c r="P9860" s="18" t="s">
        <v>29</v>
      </c>
      <c r="Q9860" s="18" t="s">
        <v>43584</v>
      </c>
      <c r="R9860" s="6"/>
      <c r="S9860" s="6"/>
      <c r="T9860" s="6"/>
      <c r="U9860" s="6"/>
      <c r="V9860" s="6"/>
      <c r="W9860" s="6"/>
      <c r="X9860" s="6"/>
      <c r="Y9860" s="6"/>
    </row>
    <row r="9861" ht="14.25">
      <c r="B9861" s="8" t="s">
        <v>1153</v>
      </c>
      <c r="C9861" s="8" t="s">
        <v>43585</v>
      </c>
      <c r="D9861" s="8" t="s">
        <v>43586</v>
      </c>
      <c r="E9861" s="8" t="s">
        <v>39809</v>
      </c>
      <c r="F9861" s="8" t="str">
        <f>IFERROR(__XLUDF.DUMMYFUNCTION("PROPER(REGEXREPLACE(D246,""[^A-Za-z]+ "",""""))"),"Babysafe Solutions")</f>
        <v xml:space="preserve">Babysafe Solutions</v>
      </c>
      <c r="G9861" s="8" t="s">
        <v>43587</v>
      </c>
      <c r="H9861" s="8"/>
      <c r="I9861" s="8"/>
      <c r="J9861" s="8" t="s">
        <v>42267</v>
      </c>
      <c r="K9861" s="10" t="s">
        <v>43588</v>
      </c>
      <c r="L9861" s="8" t="s">
        <v>43589</v>
      </c>
      <c r="M9861" s="8" t="s">
        <v>43590</v>
      </c>
      <c r="N9861" s="8" t="s">
        <v>29</v>
      </c>
      <c r="O9861" s="8" t="s">
        <v>9193</v>
      </c>
      <c r="P9861" s="8"/>
      <c r="Q9861" s="8"/>
      <c r="R9861" s="8"/>
      <c r="S9861" s="8"/>
      <c r="T9861" s="8"/>
      <c r="U9861" s="8"/>
      <c r="V9861" s="8"/>
      <c r="W9861" s="8"/>
      <c r="X9861" s="8"/>
      <c r="Y9861" s="8"/>
    </row>
    <row r="9862" ht="14.25">
      <c r="B9862" s="8" t="s">
        <v>2932</v>
      </c>
      <c r="C9862" s="8" t="s">
        <v>43591</v>
      </c>
      <c r="D9862" s="8" t="s">
        <v>112</v>
      </c>
      <c r="E9862" s="8" t="s">
        <v>43592</v>
      </c>
      <c r="F9862" s="8" t="str">
        <f>IFERROR(__XLUDF.DUMMYFUNCTION("PROPER(REGEXREPLACE(D247,""[^A-Za-z]+ "",""""))"),"Gold Sante")</f>
        <v xml:space="preserve">Gold Sante</v>
      </c>
      <c r="G9862" s="8" t="s">
        <v>43593</v>
      </c>
      <c r="H9862" s="9">
        <v>10</v>
      </c>
      <c r="I9862" s="8" t="s">
        <v>39661</v>
      </c>
      <c r="J9862" s="8" t="str">
        <f>IFERROR(__XLUDF.DUMMYFUNCTION("VLOOKUP(H247,IMPORTRANGE(""https://docs.google.com/spreadsheets/d/1opm6ZNvGZ7KditA9TuJwrZ25eFLfTNIkrNnY6mhV5Eg"",""list!A1:C115""),3,TRUE)"),"le secteur des assurances")</f>
        <v xml:space="preserve">le secteur des assurances</v>
      </c>
      <c r="K9862" s="10" t="s">
        <v>43594</v>
      </c>
      <c r="L9862" s="10" t="s">
        <v>43595</v>
      </c>
      <c r="M9862" s="8" t="s">
        <v>1204</v>
      </c>
      <c r="N9862" s="8" t="s">
        <v>29</v>
      </c>
      <c r="O9862" s="8" t="s">
        <v>9460</v>
      </c>
      <c r="P9862" s="8"/>
      <c r="Q9862" s="8" t="s">
        <v>43596</v>
      </c>
      <c r="R9862" s="8"/>
      <c r="S9862" s="8"/>
      <c r="T9862" s="8"/>
      <c r="U9862" s="8"/>
      <c r="V9862" s="8"/>
      <c r="W9862" s="8"/>
      <c r="X9862" s="8"/>
      <c r="Y9862" s="8"/>
    </row>
    <row r="9863" ht="14.25">
      <c r="B9863" s="18" t="s">
        <v>330</v>
      </c>
      <c r="C9863" s="18" t="s">
        <v>43597</v>
      </c>
      <c r="D9863" s="18" t="s">
        <v>43598</v>
      </c>
      <c r="E9863" s="18" t="s">
        <v>42394</v>
      </c>
      <c r="F9863" s="8" t="str">
        <f>IFERROR(__XLUDF.DUMMYFUNCTION("PROPER(REGEXREPLACE(D248,""[^A-Za-z]+ "",""""))"),"Gerep")</f>
        <v>Gerep</v>
      </c>
      <c r="G9863" s="18" t="s">
        <v>43599</v>
      </c>
      <c r="H9863" s="18">
        <v>81</v>
      </c>
      <c r="I9863" s="18" t="s">
        <v>39661</v>
      </c>
      <c r="J9863" s="8" t="str">
        <f>IFERROR(__XLUDF.DUMMYFUNCTION("VLOOKUP(H248,IMPORTRANGE(""https://docs.google.com/spreadsheets/d/1opm6ZNvGZ7KditA9TuJwrZ25eFLfTNIkrNnY6mhV5Eg"",""list!A1:C115""),3,TRUE)"),"le secteur des assurances")</f>
        <v xml:space="preserve">le secteur des assurances</v>
      </c>
      <c r="K9863" s="5" t="s">
        <v>43600</v>
      </c>
      <c r="L9863" s="5" t="s">
        <v>42397</v>
      </c>
      <c r="M9863" s="18" t="s">
        <v>39</v>
      </c>
      <c r="N9863" s="18" t="s">
        <v>29</v>
      </c>
      <c r="O9863" s="18" t="s">
        <v>42398</v>
      </c>
      <c r="P9863" s="18" t="s">
        <v>29</v>
      </c>
      <c r="Q9863" s="18" t="s">
        <v>42399</v>
      </c>
      <c r="R9863" s="6"/>
      <c r="S9863" s="6"/>
      <c r="T9863" s="6"/>
      <c r="U9863" s="6"/>
      <c r="V9863" s="6"/>
      <c r="W9863" s="6"/>
      <c r="X9863" s="6"/>
      <c r="Y9863" s="6"/>
    </row>
    <row r="9864" ht="14.25">
      <c r="B9864" s="8" t="s">
        <v>955</v>
      </c>
      <c r="C9864" s="8" t="s">
        <v>43601</v>
      </c>
      <c r="D9864" s="8" t="s">
        <v>43602</v>
      </c>
      <c r="E9864" s="8" t="s">
        <v>39809</v>
      </c>
      <c r="F9864" s="8" t="str">
        <f>IFERROR(__XLUDF.DUMMYFUNCTION("PROPER(REGEXREPLACE(D249,""[^A-Za-z]+ "",""""))"),"Babysafe Solutions")</f>
        <v xml:space="preserve">Babysafe Solutions</v>
      </c>
      <c r="G9864" s="8" t="s">
        <v>43603</v>
      </c>
      <c r="H9864" s="9">
        <v>7</v>
      </c>
      <c r="I9864" s="8" t="s">
        <v>39661</v>
      </c>
      <c r="J9864" s="8" t="str">
        <f>IFERROR(__XLUDF.DUMMYFUNCTION("VLOOKUP(H249,IMPORTRANGE(""https://docs.google.com/spreadsheets/d/1opm6ZNvGZ7KditA9TuJwrZ25eFLfTNIkrNnY6mhV5Eg"",""list!A1:C115""),3,TRUE)"),"le secteur des assurances")</f>
        <v xml:space="preserve">le secteur des assurances</v>
      </c>
      <c r="K9864" s="10" t="s">
        <v>43604</v>
      </c>
      <c r="L9864" s="8" t="s">
        <v>43589</v>
      </c>
      <c r="M9864" s="8"/>
      <c r="N9864" s="8" t="s">
        <v>29</v>
      </c>
      <c r="O9864" s="8"/>
      <c r="P9864" s="8"/>
      <c r="Q9864" s="8" t="s">
        <v>43605</v>
      </c>
      <c r="R9864" s="8"/>
      <c r="S9864" s="8"/>
      <c r="T9864" s="8"/>
      <c r="U9864" s="8"/>
      <c r="V9864" s="8"/>
      <c r="W9864" s="8"/>
      <c r="X9864" s="8"/>
      <c r="Y9864" s="8"/>
    </row>
    <row r="9865" ht="14.25">
      <c r="B9865" s="8" t="s">
        <v>785</v>
      </c>
      <c r="C9865" s="8" t="s">
        <v>43606</v>
      </c>
      <c r="D9865" s="8" t="s">
        <v>5500</v>
      </c>
      <c r="E9865" s="8" t="s">
        <v>43607</v>
      </c>
      <c r="F9865" s="8" t="str">
        <f>IFERROR(__XLUDF.DUMMYFUNCTION("PROPER(REGEXREPLACE(D250,""[^A-Za-z]+ "",""""))"),"Alba Up")</f>
        <v xml:space="preserve">Alba Up</v>
      </c>
      <c r="G9865" s="8" t="s">
        <v>43608</v>
      </c>
      <c r="H9865" s="9">
        <v>4</v>
      </c>
      <c r="I9865" s="8" t="s">
        <v>39661</v>
      </c>
      <c r="J9865" s="8" t="str">
        <f>IFERROR(__XLUDF.DUMMYFUNCTION("VLOOKUP(H250,IMPORTRANGE(""https://docs.google.com/spreadsheets/d/1opm6ZNvGZ7KditA9TuJwrZ25eFLfTNIkrNnY6mhV5Eg"",""list!A1:C115""),3,TRUE)"),"le secteur des assurances")</f>
        <v xml:space="preserve">le secteur des assurances</v>
      </c>
      <c r="K9865" s="10" t="s">
        <v>43609</v>
      </c>
      <c r="L9865" s="10" t="s">
        <v>43610</v>
      </c>
      <c r="M9865" s="8" t="s">
        <v>39</v>
      </c>
      <c r="N9865" s="8" t="s">
        <v>29</v>
      </c>
      <c r="O9865" s="8" t="s">
        <v>9160</v>
      </c>
      <c r="P9865" s="8"/>
      <c r="Q9865" s="8"/>
      <c r="R9865" s="8"/>
      <c r="S9865" s="8"/>
      <c r="T9865" s="8"/>
      <c r="U9865" s="8"/>
      <c r="V9865" s="8"/>
      <c r="W9865" s="8"/>
      <c r="X9865" s="8"/>
      <c r="Y9865" s="8"/>
    </row>
    <row r="9866" ht="14.25">
      <c r="B9866" s="8" t="s">
        <v>5579</v>
      </c>
      <c r="C9866" s="8" t="s">
        <v>43611</v>
      </c>
      <c r="D9866" s="8" t="s">
        <v>1130</v>
      </c>
      <c r="E9866" s="8" t="s">
        <v>43612</v>
      </c>
      <c r="F9866" s="8" t="str">
        <f>IFERROR(__XLUDF.DUMMYFUNCTION("PROPER(REGEXREPLACE(D251,""[^A-Za-z]+ "",""""))"),"Ama Assurances")</f>
        <v xml:space="preserve">Ama Assurances</v>
      </c>
      <c r="G9866" s="8" t="s">
        <v>43613</v>
      </c>
      <c r="H9866" s="8"/>
      <c r="I9866" s="8"/>
      <c r="J9866" s="8" t="s">
        <v>42267</v>
      </c>
      <c r="K9866" s="10" t="s">
        <v>43614</v>
      </c>
      <c r="L9866" s="10" t="s">
        <v>43615</v>
      </c>
      <c r="M9866" s="8" t="s">
        <v>11898</v>
      </c>
      <c r="N9866" s="8" t="s">
        <v>29</v>
      </c>
      <c r="O9866" s="8" t="s">
        <v>9460</v>
      </c>
      <c r="P9866" s="8"/>
      <c r="Q9866" s="8"/>
      <c r="R9866" s="8"/>
      <c r="S9866" s="8"/>
      <c r="T9866" s="8"/>
      <c r="U9866" s="8"/>
      <c r="V9866" s="8"/>
      <c r="W9866" s="8"/>
      <c r="X9866" s="8"/>
      <c r="Y9866" s="8"/>
    </row>
    <row r="9867" ht="14.25">
      <c r="B9867" s="8" t="s">
        <v>6356</v>
      </c>
      <c r="C9867" s="8" t="s">
        <v>43616</v>
      </c>
      <c r="D9867" s="8" t="s">
        <v>43617</v>
      </c>
      <c r="E9867" s="8" t="s">
        <v>43618</v>
      </c>
      <c r="F9867" s="8" t="str">
        <f>IFERROR(__XLUDF.DUMMYFUNCTION("PROPER(REGEXREPLACE(D252,""[^A-Za-z]+ "",""""))"),"Trs Courtage")</f>
        <v xml:space="preserve">Trs Courtage</v>
      </c>
      <c r="G9867" s="8" t="s">
        <v>43619</v>
      </c>
      <c r="H9867" s="9">
        <v>3</v>
      </c>
      <c r="I9867" s="8" t="s">
        <v>39661</v>
      </c>
      <c r="J9867" s="8" t="str">
        <f>IFERROR(__XLUDF.DUMMYFUNCTION("VLOOKUP(H252,IMPORTRANGE(""https://docs.google.com/spreadsheets/d/1opm6ZNvGZ7KditA9TuJwrZ25eFLfTNIkrNnY6mhV5Eg"",""list!A1:C115""),3,TRUE)"),"le secteur des assurances")</f>
        <v xml:space="preserve">le secteur des assurances</v>
      </c>
      <c r="K9867" s="10" t="s">
        <v>43620</v>
      </c>
      <c r="L9867" s="10" t="s">
        <v>43621</v>
      </c>
      <c r="M9867" s="8" t="s">
        <v>43622</v>
      </c>
      <c r="N9867" s="8" t="s">
        <v>29</v>
      </c>
      <c r="O9867" s="8" t="s">
        <v>9227</v>
      </c>
      <c r="P9867" s="8"/>
      <c r="Q9867" s="8" t="s">
        <v>43623</v>
      </c>
      <c r="R9867" s="8"/>
      <c r="S9867" s="8"/>
      <c r="T9867" s="8"/>
      <c r="U9867" s="8"/>
      <c r="V9867" s="8"/>
      <c r="W9867" s="8"/>
      <c r="X9867" s="8"/>
      <c r="Y9867" s="8"/>
    </row>
    <row r="9868" ht="14.25">
      <c r="B9868" s="8" t="s">
        <v>963</v>
      </c>
      <c r="C9868" s="8" t="s">
        <v>43624</v>
      </c>
      <c r="D9868" s="8" t="s">
        <v>43625</v>
      </c>
      <c r="E9868" s="8" t="s">
        <v>43626</v>
      </c>
      <c r="F9868" s="8" t="str">
        <f>IFERROR(__XLUDF.DUMMYFUNCTION("PROPER(REGEXREPLACE(D253,""[^A-Za-z]+ "",""""))"),"Bret'Assur")</f>
        <v>Bret'Assur</v>
      </c>
      <c r="G9868" s="8" t="s">
        <v>43627</v>
      </c>
      <c r="H9868" s="9">
        <v>1</v>
      </c>
      <c r="I9868" s="8" t="s">
        <v>39661</v>
      </c>
      <c r="J9868" s="8" t="str">
        <f>IFERROR(__XLUDF.DUMMYFUNCTION("VLOOKUP(H253,IMPORTRANGE(""https://docs.google.com/spreadsheets/d/1opm6ZNvGZ7KditA9TuJwrZ25eFLfTNIkrNnY6mhV5Eg"",""list!A1:C115""),3,TRUE)"),"le secteur des assurances")</f>
        <v xml:space="preserve">le secteur des assurances</v>
      </c>
      <c r="K9868" s="10" t="s">
        <v>43628</v>
      </c>
      <c r="L9868" s="10" t="s">
        <v>43629</v>
      </c>
      <c r="M9868" s="8" t="s">
        <v>1826</v>
      </c>
      <c r="N9868" s="8" t="s">
        <v>29</v>
      </c>
      <c r="O9868" s="8" t="s">
        <v>9227</v>
      </c>
      <c r="P9868" s="8"/>
      <c r="Q9868" s="8"/>
      <c r="R9868" s="8"/>
      <c r="S9868" s="8"/>
      <c r="T9868" s="8"/>
      <c r="U9868" s="8"/>
      <c r="V9868" s="8"/>
      <c r="W9868" s="8"/>
      <c r="X9868" s="8"/>
      <c r="Y9868" s="8"/>
    </row>
    <row r="9869" ht="14.25">
      <c r="B9869" s="8" t="s">
        <v>330</v>
      </c>
      <c r="C9869" s="8" t="s">
        <v>43630</v>
      </c>
      <c r="D9869" s="8" t="s">
        <v>120</v>
      </c>
      <c r="E9869" s="8" t="s">
        <v>43631</v>
      </c>
      <c r="F9869" s="8" t="str">
        <f>IFERROR(__XLUDF.DUMMYFUNCTION("PROPER(REGEXREPLACE(D254,""[^A-Za-z]+ "",""""))"),"Alfred Assurance")</f>
        <v xml:space="preserve">Alfred Assurance</v>
      </c>
      <c r="G9869" s="8" t="s">
        <v>43632</v>
      </c>
      <c r="H9869" s="9">
        <v>2</v>
      </c>
      <c r="I9869" s="8" t="s">
        <v>39661</v>
      </c>
      <c r="J9869" s="8" t="str">
        <f>IFERROR(__XLUDF.DUMMYFUNCTION("VLOOKUP(H254,IMPORTRANGE(""https://docs.google.com/spreadsheets/d/1opm6ZNvGZ7KditA9TuJwrZ25eFLfTNIkrNnY6mhV5Eg"",""list!A1:C115""),3,TRUE)"),"le secteur des assurances")</f>
        <v xml:space="preserve">le secteur des assurances</v>
      </c>
      <c r="K9869" s="10" t="s">
        <v>43633</v>
      </c>
      <c r="L9869" s="10" t="s">
        <v>43634</v>
      </c>
      <c r="M9869" s="8" t="s">
        <v>185</v>
      </c>
      <c r="N9869" s="8" t="s">
        <v>29</v>
      </c>
      <c r="O9869" s="8" t="s">
        <v>9193</v>
      </c>
      <c r="P9869" s="8"/>
      <c r="Q9869" s="8"/>
      <c r="R9869" s="8"/>
      <c r="S9869" s="8"/>
      <c r="T9869" s="8"/>
      <c r="U9869" s="8"/>
      <c r="V9869" s="8"/>
      <c r="W9869" s="8"/>
      <c r="X9869" s="8"/>
      <c r="Y9869" s="8"/>
    </row>
    <row r="9870" ht="14.25">
      <c r="B9870" s="18" t="s">
        <v>6634</v>
      </c>
      <c r="C9870" s="18" t="s">
        <v>43635</v>
      </c>
      <c r="D9870" s="18" t="s">
        <v>172</v>
      </c>
      <c r="E9870" s="18" t="s">
        <v>43636</v>
      </c>
      <c r="F9870" s="8" t="str">
        <f>IFERROR(__XLUDF.DUMMYFUNCTION("PROPER(REGEXREPLACE(D255,""[^A-Za-z]+ "",""""))"),"Smatis France")</f>
        <v xml:space="preserve">Smatis France</v>
      </c>
      <c r="G9870" s="18" t="s">
        <v>43637</v>
      </c>
      <c r="H9870" s="18">
        <v>93</v>
      </c>
      <c r="I9870" s="18" t="s">
        <v>39661</v>
      </c>
      <c r="J9870" s="8" t="str">
        <f>IFERROR(__XLUDF.DUMMYFUNCTION("VLOOKUP(H255,IMPORTRANGE(""https://docs.google.com/spreadsheets/d/1opm6ZNvGZ7KditA9TuJwrZ25eFLfTNIkrNnY6mhV5Eg"",""list!A1:C115""),3,TRUE)"),"le secteur des assurances")</f>
        <v xml:space="preserve">le secteur des assurances</v>
      </c>
      <c r="K9870" s="5" t="s">
        <v>43638</v>
      </c>
      <c r="L9870" s="5" t="s">
        <v>43639</v>
      </c>
      <c r="M9870" s="18" t="s">
        <v>39</v>
      </c>
      <c r="N9870" s="18" t="s">
        <v>29</v>
      </c>
      <c r="O9870" s="18" t="s">
        <v>43640</v>
      </c>
      <c r="P9870" s="18" t="s">
        <v>29</v>
      </c>
      <c r="Q9870" s="6"/>
      <c r="R9870" s="6"/>
      <c r="S9870" s="6"/>
      <c r="T9870" s="6"/>
      <c r="U9870" s="6"/>
      <c r="V9870" s="6"/>
      <c r="W9870" s="6"/>
      <c r="X9870" s="6"/>
      <c r="Y9870" s="6"/>
    </row>
    <row r="9871" ht="14.25">
      <c r="B9871" s="8" t="s">
        <v>43641</v>
      </c>
      <c r="C9871" s="8" t="s">
        <v>1572</v>
      </c>
      <c r="D9871" s="8" t="s">
        <v>13770</v>
      </c>
      <c r="E9871" s="8" t="s">
        <v>43642</v>
      </c>
      <c r="F9871" s="8" t="str">
        <f>IFERROR(__XLUDF.DUMMYFUNCTION("PROPER(REGEXREPLACE(D256,""[^A-Za-z]+ "",""""))"),"Union Industrielle")</f>
        <v xml:space="preserve">Union Industrielle</v>
      </c>
      <c r="G9871" s="8" t="s">
        <v>43643</v>
      </c>
      <c r="H9871" s="9">
        <v>30</v>
      </c>
      <c r="I9871" s="8" t="s">
        <v>39661</v>
      </c>
      <c r="J9871" s="8" t="str">
        <f>IFERROR(__XLUDF.DUMMYFUNCTION("VLOOKUP(H256,IMPORTRANGE(""https://docs.google.com/spreadsheets/d/1opm6ZNvGZ7KditA9TuJwrZ25eFLfTNIkrNnY6mhV5Eg"",""list!A1:C115""),3,TRUE)"),"le secteur des assurances")</f>
        <v xml:space="preserve">le secteur des assurances</v>
      </c>
      <c r="K9871" s="10" t="s">
        <v>43644</v>
      </c>
      <c r="L9871" s="10" t="s">
        <v>43645</v>
      </c>
      <c r="M9871" s="8"/>
      <c r="N9871" s="8" t="s">
        <v>29</v>
      </c>
      <c r="O9871" s="8"/>
      <c r="P9871" s="8"/>
      <c r="Q9871" s="8" t="s">
        <v>43646</v>
      </c>
      <c r="R9871" s="8"/>
      <c r="S9871" s="8"/>
      <c r="T9871" s="8"/>
      <c r="U9871" s="8"/>
      <c r="V9871" s="8"/>
      <c r="W9871" s="8"/>
      <c r="X9871" s="8"/>
      <c r="Y9871" s="8"/>
    </row>
    <row r="9872" ht="14.25">
      <c r="B9872" s="8" t="s">
        <v>630</v>
      </c>
      <c r="C9872" s="8" t="s">
        <v>43647</v>
      </c>
      <c r="D9872" s="8" t="s">
        <v>7759</v>
      </c>
      <c r="E9872" s="8" t="s">
        <v>43648</v>
      </c>
      <c r="F9872" s="8" t="str">
        <f>IFERROR(__XLUDF.DUMMYFUNCTION("PROPER(REGEXREPLACE(D257,""[^A-Za-z]+ "",""""))"),"Fidem Assurances Courtage En Assurances")</f>
        <v xml:space="preserve">Fidem Assurances Courtage En Assurances</v>
      </c>
      <c r="G9872" s="8" t="s">
        <v>43649</v>
      </c>
      <c r="H9872" s="8"/>
      <c r="I9872" s="8"/>
      <c r="J9872" s="8" t="s">
        <v>42267</v>
      </c>
      <c r="K9872" s="10" t="s">
        <v>43650</v>
      </c>
      <c r="L9872" s="10" t="s">
        <v>43651</v>
      </c>
      <c r="M9872" s="8" t="s">
        <v>2499</v>
      </c>
      <c r="N9872" s="8" t="s">
        <v>29</v>
      </c>
      <c r="O9872" s="8" t="s">
        <v>9251</v>
      </c>
      <c r="P9872" s="8"/>
      <c r="Q9872" s="8"/>
      <c r="R9872" s="8"/>
      <c r="S9872" s="8"/>
      <c r="T9872" s="8"/>
      <c r="U9872" s="8"/>
      <c r="V9872" s="8"/>
      <c r="W9872" s="8"/>
      <c r="X9872" s="8"/>
      <c r="Y9872" s="8"/>
    </row>
    <row r="9873" ht="14.25">
      <c r="B9873" s="8" t="s">
        <v>4800</v>
      </c>
      <c r="C9873" s="8" t="s">
        <v>15446</v>
      </c>
      <c r="D9873" s="8" t="s">
        <v>7759</v>
      </c>
      <c r="E9873" s="8" t="s">
        <v>43230</v>
      </c>
      <c r="F9873" s="8" t="str">
        <f>IFERROR(__XLUDF.DUMMYFUNCTION("PROPER(REGEXREPLACE(D258,""[^A-Za-z]+ "",""""))"),"Adm Assurances Mma")</f>
        <v xml:space="preserve">Adm Assurances Mma</v>
      </c>
      <c r="G9873" s="8" t="s">
        <v>43652</v>
      </c>
      <c r="H9873" s="9">
        <v>10</v>
      </c>
      <c r="I9873" s="8" t="s">
        <v>39661</v>
      </c>
      <c r="J9873" s="8" t="str">
        <f>IFERROR(__XLUDF.DUMMYFUNCTION("VLOOKUP(H258,IMPORTRANGE(""https://docs.google.com/spreadsheets/d/1opm6ZNvGZ7KditA9TuJwrZ25eFLfTNIkrNnY6mhV5Eg"",""list!A1:C115""),3,TRUE)"),"le secteur des assurances")</f>
        <v xml:space="preserve">le secteur des assurances</v>
      </c>
      <c r="K9873" s="10" t="s">
        <v>43653</v>
      </c>
      <c r="L9873" s="8"/>
      <c r="M9873" s="8" t="s">
        <v>243</v>
      </c>
      <c r="N9873" s="8" t="s">
        <v>29</v>
      </c>
      <c r="O9873" s="8" t="s">
        <v>9864</v>
      </c>
      <c r="P9873" s="8"/>
      <c r="Q9873" s="8"/>
      <c r="R9873" s="8"/>
      <c r="S9873" s="8"/>
      <c r="T9873" s="8"/>
      <c r="U9873" s="8"/>
      <c r="V9873" s="8"/>
      <c r="W9873" s="8"/>
      <c r="X9873" s="8"/>
      <c r="Y9873" s="8"/>
    </row>
    <row r="9874" ht="14.25">
      <c r="B9874" s="18" t="s">
        <v>5716</v>
      </c>
      <c r="C9874" s="18" t="s">
        <v>43654</v>
      </c>
      <c r="D9874" s="18" t="s">
        <v>7155</v>
      </c>
      <c r="E9874" s="18" t="s">
        <v>43655</v>
      </c>
      <c r="F9874" s="8" t="str">
        <f>IFERROR(__XLUDF.DUMMYFUNCTION("PROPER(REGEXREPLACE(D259,""[^A-Za-z]+ "",""""))"),"Crédit Conseil De France")</f>
        <v xml:space="preserve">Crédit Conseil De France</v>
      </c>
      <c r="G9874" s="18" t="s">
        <v>43656</v>
      </c>
      <c r="H9874" s="18">
        <v>71</v>
      </c>
      <c r="I9874" s="18" t="s">
        <v>2629</v>
      </c>
      <c r="J9874" s="8" t="str">
        <f>IFERROR(__XLUDF.DUMMYFUNCTION("VLOOKUP(H259,IMPORTRANGE(""https://docs.google.com/spreadsheets/d/1opm6ZNvGZ7KditA9TuJwrZ25eFLfTNIkrNnY6mhV5Eg"",""list!A1:C115""),3,TRUE)"),"le secteur des services financiers")</f>
        <v xml:space="preserve">le secteur des services financiers</v>
      </c>
      <c r="K9874" s="5" t="s">
        <v>43657</v>
      </c>
      <c r="L9874" s="5" t="s">
        <v>43658</v>
      </c>
      <c r="M9874" s="6"/>
      <c r="N9874" s="18" t="s">
        <v>29</v>
      </c>
      <c r="O9874" s="18" t="s">
        <v>43659</v>
      </c>
      <c r="P9874" s="18" t="s">
        <v>29</v>
      </c>
      <c r="Q9874" s="18" t="s">
        <v>43660</v>
      </c>
      <c r="R9874" s="6"/>
      <c r="S9874" s="6"/>
      <c r="T9874" s="6"/>
      <c r="U9874" s="6"/>
      <c r="V9874" s="6"/>
      <c r="W9874" s="6"/>
      <c r="X9874" s="6"/>
      <c r="Y9874" s="6"/>
    </row>
    <row r="9875" ht="14.25">
      <c r="B9875" s="8" t="s">
        <v>330</v>
      </c>
      <c r="C9875" s="8" t="s">
        <v>8742</v>
      </c>
      <c r="D9875" s="8" t="s">
        <v>341</v>
      </c>
      <c r="E9875" s="8" t="s">
        <v>43661</v>
      </c>
      <c r="F9875" s="8" t="str">
        <f>IFERROR(__XLUDF.DUMMYFUNCTION("PROPER(REGEXREPLACE(D260,""[^A-Za-z]+ "",""""))"),"Cover Immo")</f>
        <v xml:space="preserve">Cover Immo</v>
      </c>
      <c r="G9875" s="8" t="s">
        <v>43662</v>
      </c>
      <c r="H9875" s="9">
        <v>1</v>
      </c>
      <c r="I9875" s="8" t="s">
        <v>39661</v>
      </c>
      <c r="J9875" s="8" t="str">
        <f>IFERROR(__XLUDF.DUMMYFUNCTION("VLOOKUP(H260,IMPORTRANGE(""https://docs.google.com/spreadsheets/d/1opm6ZNvGZ7KditA9TuJwrZ25eFLfTNIkrNnY6mhV5Eg"",""list!A1:C115""),3,TRUE)"),"le secteur des assurances")</f>
        <v xml:space="preserve">le secteur des assurances</v>
      </c>
      <c r="K9875" s="10" t="s">
        <v>43663</v>
      </c>
      <c r="L9875" s="10" t="s">
        <v>43664</v>
      </c>
      <c r="M9875" s="8" t="s">
        <v>39</v>
      </c>
      <c r="N9875" s="8" t="s">
        <v>29</v>
      </c>
      <c r="O9875" s="8" t="s">
        <v>9160</v>
      </c>
      <c r="P9875" s="8"/>
      <c r="Q9875" s="8" t="s">
        <v>43665</v>
      </c>
      <c r="R9875" s="8"/>
      <c r="S9875" s="8"/>
      <c r="T9875" s="8"/>
      <c r="U9875" s="8"/>
      <c r="V9875" s="8"/>
      <c r="W9875" s="8"/>
      <c r="X9875" s="8"/>
      <c r="Y9875" s="8"/>
    </row>
    <row r="9876" ht="14.25">
      <c r="B9876" s="8" t="s">
        <v>9922</v>
      </c>
      <c r="C9876" s="8" t="s">
        <v>42657</v>
      </c>
      <c r="D9876" s="8" t="s">
        <v>9849</v>
      </c>
      <c r="E9876" s="8" t="s">
        <v>43666</v>
      </c>
      <c r="F9876" s="8" t="str">
        <f>IFERROR(__XLUDF.DUMMYFUNCTION("PROPER(REGEXREPLACE(D261,""[^A-Za-z]+ "",""""))"),"O2A Assurance")</f>
        <v xml:space="preserve">O2A Assurance</v>
      </c>
      <c r="G9876" s="8" t="s">
        <v>43667</v>
      </c>
      <c r="H9876" s="9">
        <v>17</v>
      </c>
      <c r="I9876" s="8" t="s">
        <v>39661</v>
      </c>
      <c r="J9876" s="8" t="str">
        <f>IFERROR(__XLUDF.DUMMYFUNCTION("VLOOKUP(H261,IMPORTRANGE(""https://docs.google.com/spreadsheets/d/1opm6ZNvGZ7KditA9TuJwrZ25eFLfTNIkrNnY6mhV5Eg"",""list!A1:C115""),3,TRUE)"),"le secteur des assurances")</f>
        <v xml:space="preserve">le secteur des assurances</v>
      </c>
      <c r="K9876" s="10" t="s">
        <v>43668</v>
      </c>
      <c r="L9876" s="10" t="s">
        <v>43669</v>
      </c>
      <c r="M9876" s="8" t="s">
        <v>1711</v>
      </c>
      <c r="N9876" s="8" t="s">
        <v>29</v>
      </c>
      <c r="O9876" s="8" t="s">
        <v>9350</v>
      </c>
      <c r="P9876" s="8"/>
      <c r="Q9876" s="8" t="s">
        <v>43670</v>
      </c>
      <c r="R9876" s="8"/>
      <c r="S9876" s="8"/>
      <c r="T9876" s="8"/>
      <c r="U9876" s="8"/>
      <c r="V9876" s="8"/>
      <c r="W9876" s="8"/>
      <c r="X9876" s="8"/>
      <c r="Y9876" s="8"/>
    </row>
    <row r="9877" ht="14.25">
      <c r="B9877" s="18" t="s">
        <v>26247</v>
      </c>
      <c r="C9877" s="18" t="s">
        <v>12063</v>
      </c>
      <c r="D9877" s="18" t="s">
        <v>62</v>
      </c>
      <c r="E9877" s="18" t="s">
        <v>43671</v>
      </c>
      <c r="F9877" s="8" t="str">
        <f>IFERROR(__XLUDF.DUMMYFUNCTION("PROPER(REGEXREPLACE(D262,""[^A-Za-z]+ "",""""))"),"Hexagon Patrimoine®️")</f>
        <v xml:space="preserve">Hexagon Patrimoine®️</v>
      </c>
      <c r="G9877" s="18" t="s">
        <v>43672</v>
      </c>
      <c r="H9877" s="18">
        <v>1</v>
      </c>
      <c r="I9877" s="18" t="s">
        <v>39661</v>
      </c>
      <c r="J9877" s="8" t="str">
        <f>IFERROR(__XLUDF.DUMMYFUNCTION("VLOOKUP(H262,IMPORTRANGE(""https://docs.google.com/spreadsheets/d/1opm6ZNvGZ7KditA9TuJwrZ25eFLfTNIkrNnY6mhV5Eg"",""list!A1:C115""),3,TRUE)"),"le secteur des assurances")</f>
        <v xml:space="preserve">le secteur des assurances</v>
      </c>
      <c r="K9877" s="5" t="s">
        <v>43673</v>
      </c>
      <c r="L9877" s="5" t="s">
        <v>43674</v>
      </c>
      <c r="M9877" s="18" t="s">
        <v>6412</v>
      </c>
      <c r="N9877" s="18" t="s">
        <v>29</v>
      </c>
      <c r="O9877" s="18" t="s">
        <v>67</v>
      </c>
      <c r="P9877" s="18" t="s">
        <v>29</v>
      </c>
      <c r="Q9877" s="6"/>
      <c r="R9877" s="6"/>
      <c r="S9877" s="6"/>
      <c r="T9877" s="6"/>
      <c r="U9877" s="6"/>
      <c r="V9877" s="6"/>
      <c r="W9877" s="6"/>
      <c r="X9877" s="6"/>
      <c r="Y9877" s="6"/>
    </row>
    <row r="9878" ht="14.25">
      <c r="B9878" s="18" t="s">
        <v>43675</v>
      </c>
      <c r="C9878" s="18" t="s">
        <v>43676</v>
      </c>
      <c r="D9878" s="18" t="s">
        <v>25705</v>
      </c>
      <c r="E9878" s="18" t="s">
        <v>43677</v>
      </c>
      <c r="F9878" s="8" t="str">
        <f>IFERROR(__XLUDF.DUMMYFUNCTION("PROPER(REGEXREPLACE(D263,""[^A-Za-z]+ "",""""))"),"Groupe Hueber Assurances")</f>
        <v xml:space="preserve">Groupe Hueber Assurances</v>
      </c>
      <c r="G9878" s="18" t="s">
        <v>43678</v>
      </c>
      <c r="H9878" s="18">
        <v>85</v>
      </c>
      <c r="I9878" s="18" t="s">
        <v>39661</v>
      </c>
      <c r="J9878" s="8" t="str">
        <f>IFERROR(__XLUDF.DUMMYFUNCTION("VLOOKUP(H263,IMPORTRANGE(""https://docs.google.com/spreadsheets/d/1opm6ZNvGZ7KditA9TuJwrZ25eFLfTNIkrNnY6mhV5Eg"",""list!A1:C115""),3,TRUE)"),"le secteur des assurances")</f>
        <v xml:space="preserve">le secteur des assurances</v>
      </c>
      <c r="K9878" s="5" t="s">
        <v>43679</v>
      </c>
      <c r="L9878" s="5" t="s">
        <v>43680</v>
      </c>
      <c r="M9878" s="18" t="s">
        <v>43681</v>
      </c>
      <c r="N9878" s="18" t="s">
        <v>29</v>
      </c>
      <c r="O9878" s="18" t="s">
        <v>43682</v>
      </c>
      <c r="P9878" s="18" t="s">
        <v>29</v>
      </c>
      <c r="Q9878" s="18" t="s">
        <v>41668</v>
      </c>
      <c r="R9878" s="6"/>
      <c r="S9878" s="6"/>
      <c r="T9878" s="6"/>
      <c r="U9878" s="6"/>
      <c r="V9878" s="6"/>
      <c r="W9878" s="6"/>
      <c r="X9878" s="6"/>
      <c r="Y9878" s="6"/>
    </row>
    <row r="9879" ht="14.25">
      <c r="B9879" s="8" t="s">
        <v>2119</v>
      </c>
      <c r="C9879" s="8" t="s">
        <v>3850</v>
      </c>
      <c r="D9879" s="8" t="s">
        <v>112</v>
      </c>
      <c r="E9879" s="8" t="s">
        <v>43683</v>
      </c>
      <c r="F9879" s="8" t="str">
        <f>IFERROR(__XLUDF.DUMMYFUNCTION("PROPER(REGEXREPLACE(D264,""[^A-Za-z]+ "",""""))"),"Capssur")</f>
        <v>Capssur</v>
      </c>
      <c r="G9879" s="8" t="s">
        <v>43684</v>
      </c>
      <c r="H9879" s="9">
        <v>1</v>
      </c>
      <c r="I9879" s="8" t="s">
        <v>39661</v>
      </c>
      <c r="J9879" s="8" t="str">
        <f>IFERROR(__XLUDF.DUMMYFUNCTION("VLOOKUP(H264,IMPORTRANGE(""https://docs.google.com/spreadsheets/d/1opm6ZNvGZ7KditA9TuJwrZ25eFLfTNIkrNnY6mhV5Eg"",""list!A1:C115""),3,TRUE)"),"le secteur des assurances")</f>
        <v xml:space="preserve">le secteur des assurances</v>
      </c>
      <c r="K9879" s="10" t="s">
        <v>43685</v>
      </c>
      <c r="L9879" s="10" t="s">
        <v>43686</v>
      </c>
      <c r="M9879" s="8" t="s">
        <v>39</v>
      </c>
      <c r="N9879" s="8" t="s">
        <v>29</v>
      </c>
      <c r="O9879" s="8" t="s">
        <v>9160</v>
      </c>
      <c r="P9879" s="8"/>
      <c r="Q9879" s="8"/>
      <c r="R9879" s="8"/>
      <c r="S9879" s="8"/>
      <c r="T9879" s="8"/>
      <c r="U9879" s="8"/>
      <c r="V9879" s="8"/>
      <c r="W9879" s="8"/>
      <c r="X9879" s="8"/>
      <c r="Y9879" s="8"/>
    </row>
    <row r="9880" ht="14.25">
      <c r="B9880" s="8" t="s">
        <v>661</v>
      </c>
      <c r="C9880" s="8" t="s">
        <v>43687</v>
      </c>
      <c r="D9880" s="8" t="s">
        <v>9456</v>
      </c>
      <c r="E9880" s="8" t="s">
        <v>43688</v>
      </c>
      <c r="F9880" s="8" t="str">
        <f>IFERROR(__XLUDF.DUMMYFUNCTION("PROPER(REGEXREPLACE(D265,""[^A-Za-z]+ "",""""))"),"H2B Assurances")</f>
        <v xml:space="preserve">H2B Assurances</v>
      </c>
      <c r="G9880" s="8" t="s">
        <v>43689</v>
      </c>
      <c r="H9880" s="9">
        <v>8</v>
      </c>
      <c r="I9880" s="8" t="s">
        <v>39661</v>
      </c>
      <c r="J9880" s="8" t="str">
        <f>IFERROR(__XLUDF.DUMMYFUNCTION("VLOOKUP(H265,IMPORTRANGE(""https://docs.google.com/spreadsheets/d/1opm6ZNvGZ7KditA9TuJwrZ25eFLfTNIkrNnY6mhV5Eg"",""list!A1:C115""),3,TRUE)"),"le secteur des assurances")</f>
        <v xml:space="preserve">le secteur des assurances</v>
      </c>
      <c r="K9880" s="10" t="s">
        <v>43690</v>
      </c>
      <c r="L9880" s="10" t="s">
        <v>43691</v>
      </c>
      <c r="M9880" s="8" t="s">
        <v>26689</v>
      </c>
      <c r="N9880" s="8" t="s">
        <v>29</v>
      </c>
      <c r="O9880" s="8" t="s">
        <v>9798</v>
      </c>
      <c r="P9880" s="8"/>
      <c r="Q9880" s="8"/>
      <c r="R9880" s="8"/>
      <c r="S9880" s="8"/>
      <c r="T9880" s="8"/>
      <c r="U9880" s="8"/>
      <c r="V9880" s="8"/>
      <c r="W9880" s="8"/>
      <c r="X9880" s="8"/>
      <c r="Y9880" s="8"/>
    </row>
    <row r="9881" ht="14.25">
      <c r="B9881" s="8" t="s">
        <v>5716</v>
      </c>
      <c r="C9881" s="8" t="s">
        <v>43692</v>
      </c>
      <c r="D9881" s="8" t="s">
        <v>43693</v>
      </c>
      <c r="E9881" s="8" t="s">
        <v>43694</v>
      </c>
      <c r="F9881" s="8" t="str">
        <f>IFERROR(__XLUDF.DUMMYFUNCTION("PROPER(REGEXREPLACE(D266,""[^A-Za-z]+ "",""""))"),"Vigny Depierre Assurances")</f>
        <v xml:space="preserve">Vigny Depierre Assurances</v>
      </c>
      <c r="G9881" s="8" t="s">
        <v>43695</v>
      </c>
      <c r="H9881" s="9">
        <v>72</v>
      </c>
      <c r="I9881" s="8" t="s">
        <v>39661</v>
      </c>
      <c r="J9881" s="8" t="str">
        <f>IFERROR(__XLUDF.DUMMYFUNCTION("VLOOKUP(H266,IMPORTRANGE(""https://docs.google.com/spreadsheets/d/1opm6ZNvGZ7KditA9TuJwrZ25eFLfTNIkrNnY6mhV5Eg"",""list!A1:C115""),3,TRUE)"),"le secteur des assurances")</f>
        <v xml:space="preserve">le secteur des assurances</v>
      </c>
      <c r="K9881" s="10" t="s">
        <v>43696</v>
      </c>
      <c r="L9881" s="10" t="s">
        <v>43697</v>
      </c>
      <c r="M9881" s="8"/>
      <c r="N9881" s="8" t="s">
        <v>29</v>
      </c>
      <c r="O9881" s="8" t="s">
        <v>9193</v>
      </c>
      <c r="P9881" s="8"/>
      <c r="Q9881" s="8" t="s">
        <v>43698</v>
      </c>
      <c r="R9881" s="8"/>
      <c r="S9881" s="8"/>
      <c r="T9881" s="8"/>
      <c r="U9881" s="8"/>
      <c r="V9881" s="8"/>
      <c r="W9881" s="8"/>
      <c r="X9881" s="8"/>
      <c r="Y9881" s="8"/>
    </row>
    <row r="9882" ht="14.25">
      <c r="B9882" s="8" t="s">
        <v>1198</v>
      </c>
      <c r="C9882" s="8" t="s">
        <v>40839</v>
      </c>
      <c r="D9882" s="8" t="s">
        <v>43699</v>
      </c>
      <c r="E9882" s="8" t="s">
        <v>43700</v>
      </c>
      <c r="F9882" s="8" t="str">
        <f>IFERROR(__XLUDF.DUMMYFUNCTION("PROPER(REGEXREPLACE(D267,""[^A-Za-z]+ "",""""))"),"Béal Expertise")</f>
        <v xml:space="preserve">Béal Expertise</v>
      </c>
      <c r="G9882" s="8" t="s">
        <v>43701</v>
      </c>
      <c r="H9882" s="8"/>
      <c r="I9882" s="8"/>
      <c r="J9882" s="8" t="s">
        <v>42267</v>
      </c>
      <c r="K9882" s="10" t="s">
        <v>43702</v>
      </c>
      <c r="L9882" s="10" t="s">
        <v>43703</v>
      </c>
      <c r="M9882" s="8" t="s">
        <v>185</v>
      </c>
      <c r="N9882" s="8" t="s">
        <v>29</v>
      </c>
      <c r="O9882" s="8" t="s">
        <v>9193</v>
      </c>
      <c r="P9882" s="8"/>
      <c r="Q9882" s="8"/>
      <c r="R9882" s="8"/>
      <c r="S9882" s="8"/>
      <c r="T9882" s="8"/>
      <c r="U9882" s="8"/>
      <c r="V9882" s="8"/>
      <c r="W9882" s="8"/>
      <c r="X9882" s="8"/>
      <c r="Y9882" s="8"/>
    </row>
    <row r="9883" ht="14.25">
      <c r="B9883" s="8" t="s">
        <v>20</v>
      </c>
      <c r="C9883" s="8" t="s">
        <v>43704</v>
      </c>
      <c r="D9883" s="8" t="s">
        <v>341</v>
      </c>
      <c r="E9883" s="8" t="s">
        <v>43705</v>
      </c>
      <c r="F9883" s="8" t="str">
        <f>IFERROR(__XLUDF.DUMMYFUNCTION("PROPER(REGEXREPLACE(D268,""[^A-Za-z]+ "",""""))"),"Assurances.Tech")</f>
        <v>Assurances.Tech</v>
      </c>
      <c r="G9883" s="8" t="s">
        <v>43706</v>
      </c>
      <c r="H9883" s="9">
        <v>10</v>
      </c>
      <c r="I9883" s="8" t="s">
        <v>39661</v>
      </c>
      <c r="J9883" s="8" t="str">
        <f>IFERROR(__XLUDF.DUMMYFUNCTION("VLOOKUP(H268,IMPORTRANGE(""https://docs.google.com/spreadsheets/d/1opm6ZNvGZ7KditA9TuJwrZ25eFLfTNIkrNnY6mhV5Eg"",""list!A1:C115""),3,TRUE)"),"le secteur des assurances")</f>
        <v xml:space="preserve">le secteur des assurances</v>
      </c>
      <c r="K9883" s="10" t="s">
        <v>43707</v>
      </c>
      <c r="L9883" s="8" t="s">
        <v>43708</v>
      </c>
      <c r="M9883" s="8" t="s">
        <v>83</v>
      </c>
      <c r="N9883" s="8" t="s">
        <v>29</v>
      </c>
      <c r="O9883" s="8" t="s">
        <v>9460</v>
      </c>
      <c r="P9883" s="8"/>
      <c r="Q9883" s="8" t="s">
        <v>43709</v>
      </c>
      <c r="R9883" s="8"/>
      <c r="S9883" s="8"/>
      <c r="T9883" s="8"/>
      <c r="U9883" s="8"/>
      <c r="V9883" s="8"/>
      <c r="W9883" s="8"/>
      <c r="X9883" s="8"/>
      <c r="Y9883" s="8"/>
    </row>
    <row r="9884" ht="14.25">
      <c r="B9884" s="18" t="s">
        <v>5728</v>
      </c>
      <c r="C9884" s="18" t="s">
        <v>10093</v>
      </c>
      <c r="D9884" s="18" t="s">
        <v>29281</v>
      </c>
      <c r="E9884" s="18" t="s">
        <v>41518</v>
      </c>
      <c r="F9884" s="8" t="str">
        <f>IFERROR(__XLUDF.DUMMYFUNCTION("PROPER(REGEXREPLACE(D269,""[^A-Za-z]+ "",""""))"),"Everrose")</f>
        <v>Everrose</v>
      </c>
      <c r="G9884" s="18" t="s">
        <v>43710</v>
      </c>
      <c r="H9884" s="18">
        <v>5</v>
      </c>
      <c r="I9884" s="18" t="s">
        <v>39661</v>
      </c>
      <c r="J9884" s="8" t="str">
        <f>IFERROR(__XLUDF.DUMMYFUNCTION("VLOOKUP(H269,IMPORTRANGE(""https://docs.google.com/spreadsheets/d/1opm6ZNvGZ7KditA9TuJwrZ25eFLfTNIkrNnY6mhV5Eg"",""list!A1:C115""),3,TRUE)"),"le secteur des assurances")</f>
        <v xml:space="preserve">le secteur des assurances</v>
      </c>
      <c r="K9884" s="5" t="s">
        <v>43711</v>
      </c>
      <c r="L9884" s="5" t="s">
        <v>41521</v>
      </c>
      <c r="M9884" s="6"/>
      <c r="N9884" s="18" t="s">
        <v>29</v>
      </c>
      <c r="O9884" s="18" t="s">
        <v>41522</v>
      </c>
      <c r="P9884" s="18" t="s">
        <v>1261</v>
      </c>
      <c r="Q9884" s="6"/>
      <c r="R9884" s="6"/>
      <c r="S9884" s="6"/>
      <c r="T9884" s="6"/>
      <c r="U9884" s="6"/>
      <c r="V9884" s="6"/>
      <c r="W9884" s="6"/>
      <c r="X9884" s="6"/>
      <c r="Y9884" s="6"/>
    </row>
    <row r="9885" ht="14.25">
      <c r="B9885" s="8" t="s">
        <v>322</v>
      </c>
      <c r="C9885" s="8" t="s">
        <v>43712</v>
      </c>
      <c r="D9885" s="8" t="s">
        <v>1867</v>
      </c>
      <c r="E9885" s="8" t="s">
        <v>43713</v>
      </c>
      <c r="F9885" s="8" t="str">
        <f>IFERROR(__XLUDF.DUMMYFUNCTION("PROPER(REGEXREPLACE(D270,""[^A-Za-z]+ "",""""))"),"Alsace Protection Sociale")</f>
        <v xml:space="preserve">Alsace Protection Sociale</v>
      </c>
      <c r="G9885" s="8" t="s">
        <v>43714</v>
      </c>
      <c r="H9885" s="9">
        <v>8</v>
      </c>
      <c r="I9885" s="8" t="s">
        <v>39661</v>
      </c>
      <c r="J9885" s="8" t="str">
        <f>IFERROR(__XLUDF.DUMMYFUNCTION("VLOOKUP(H270,IMPORTRANGE(""https://docs.google.com/spreadsheets/d/1opm6ZNvGZ7KditA9TuJwrZ25eFLfTNIkrNnY6mhV5Eg"",""list!A1:C115""),3,TRUE)"),"le secteur des assurances")</f>
        <v xml:space="preserve">le secteur des assurances</v>
      </c>
      <c r="K9885" s="10" t="s">
        <v>43715</v>
      </c>
      <c r="L9885" s="10" t="s">
        <v>43716</v>
      </c>
      <c r="M9885" s="8" t="s">
        <v>43717</v>
      </c>
      <c r="N9885" s="8" t="s">
        <v>29</v>
      </c>
      <c r="O9885" s="8" t="s">
        <v>9215</v>
      </c>
      <c r="P9885" s="8"/>
      <c r="Q9885" s="8" t="s">
        <v>43718</v>
      </c>
      <c r="R9885" s="8"/>
      <c r="S9885" s="8"/>
      <c r="T9885" s="8"/>
      <c r="U9885" s="8"/>
      <c r="V9885" s="8"/>
      <c r="W9885" s="8"/>
      <c r="X9885" s="8"/>
      <c r="Y9885" s="8"/>
    </row>
    <row r="9886" ht="14.25">
      <c r="B9886" s="8" t="s">
        <v>1619</v>
      </c>
      <c r="C9886" s="8" t="s">
        <v>43719</v>
      </c>
      <c r="D9886" s="8" t="s">
        <v>341</v>
      </c>
      <c r="E9886" s="8" t="s">
        <v>43720</v>
      </c>
      <c r="F9886" s="8" t="str">
        <f>IFERROR(__XLUDF.DUMMYFUNCTION("PROPER(REGEXREPLACE(D271,""[^A-Za-z]+ "",""""))"),"Aequo Courtage")</f>
        <v xml:space="preserve">Aequo Courtage</v>
      </c>
      <c r="G9886" s="8" t="s">
        <v>43721</v>
      </c>
      <c r="H9886" s="8"/>
      <c r="I9886" s="8"/>
      <c r="J9886" s="8" t="s">
        <v>42267</v>
      </c>
      <c r="K9886" s="10" t="s">
        <v>43722</v>
      </c>
      <c r="L9886" s="10" t="s">
        <v>43723</v>
      </c>
      <c r="M9886" s="8" t="s">
        <v>43724</v>
      </c>
      <c r="N9886" s="8" t="s">
        <v>29</v>
      </c>
      <c r="O9886" s="8" t="s">
        <v>9227</v>
      </c>
      <c r="P9886" s="8"/>
      <c r="Q9886" s="8"/>
      <c r="R9886" s="8"/>
      <c r="S9886" s="8"/>
      <c r="T9886" s="8"/>
      <c r="U9886" s="8"/>
      <c r="V9886" s="8"/>
      <c r="W9886" s="8"/>
      <c r="X9886" s="8"/>
      <c r="Y9886" s="8"/>
    </row>
    <row r="9887" ht="14.25">
      <c r="B9887" s="8" t="s">
        <v>1844</v>
      </c>
      <c r="C9887" s="8" t="s">
        <v>43725</v>
      </c>
      <c r="D9887" s="8" t="s">
        <v>112</v>
      </c>
      <c r="E9887" s="8" t="s">
        <v>43726</v>
      </c>
      <c r="F9887" s="8" t="str">
        <f>IFERROR(__XLUDF.DUMMYFUNCTION("PROPER(REGEXREPLACE(D272,""[^A-Za-z]+ "",""""))"),"Xcr Réseau De Courtage")</f>
        <v xml:space="preserve">Xcr Réseau De Courtage</v>
      </c>
      <c r="G9887" s="8" t="s">
        <v>43727</v>
      </c>
      <c r="H9887" s="9">
        <v>5</v>
      </c>
      <c r="I9887" s="8" t="s">
        <v>39661</v>
      </c>
      <c r="J9887" s="8" t="str">
        <f>IFERROR(__XLUDF.DUMMYFUNCTION("VLOOKUP(H272,IMPORTRANGE(""https://docs.google.com/spreadsheets/d/1opm6ZNvGZ7KditA9TuJwrZ25eFLfTNIkrNnY6mhV5Eg"",""list!A1:C115""),3,TRUE)"),"le secteur des assurances")</f>
        <v xml:space="preserve">le secteur des assurances</v>
      </c>
      <c r="K9887" s="10" t="s">
        <v>43728</v>
      </c>
      <c r="L9887" s="10" t="s">
        <v>43729</v>
      </c>
      <c r="M9887" s="8" t="s">
        <v>13206</v>
      </c>
      <c r="N9887" s="8" t="s">
        <v>29</v>
      </c>
      <c r="O9887" s="8" t="s">
        <v>9160</v>
      </c>
      <c r="P9887" s="8"/>
      <c r="Q9887" s="8" t="s">
        <v>43730</v>
      </c>
      <c r="R9887" s="8"/>
      <c r="S9887" s="8"/>
      <c r="T9887" s="8"/>
      <c r="U9887" s="8"/>
      <c r="V9887" s="8"/>
      <c r="W9887" s="8"/>
      <c r="X9887" s="8"/>
      <c r="Y9887" s="8"/>
    </row>
    <row r="9888" ht="14.25">
      <c r="B9888" s="18" t="s">
        <v>1853</v>
      </c>
      <c r="C9888" s="18" t="s">
        <v>19404</v>
      </c>
      <c r="D9888" s="18" t="s">
        <v>172</v>
      </c>
      <c r="E9888" s="18" t="s">
        <v>42904</v>
      </c>
      <c r="F9888" s="8" t="str">
        <f>IFERROR(__XLUDF.DUMMYFUNCTION("PROPER(REGEXREPLACE(D273,""[^A-Za-z]+ "",""""))"),"Ciblexperts")</f>
        <v>Ciblexperts</v>
      </c>
      <c r="G9888" s="18" t="s">
        <v>43731</v>
      </c>
      <c r="H9888" s="18">
        <v>86</v>
      </c>
      <c r="I9888" s="18" t="s">
        <v>39661</v>
      </c>
      <c r="J9888" s="8" t="str">
        <f>IFERROR(__XLUDF.DUMMYFUNCTION("VLOOKUP(H273,IMPORTRANGE(""https://docs.google.com/spreadsheets/d/1opm6ZNvGZ7KditA9TuJwrZ25eFLfTNIkrNnY6mhV5Eg"",""list!A1:C115""),3,TRUE)"),"le secteur des assurances")</f>
        <v xml:space="preserve">le secteur des assurances</v>
      </c>
      <c r="K9888" s="5" t="s">
        <v>43732</v>
      </c>
      <c r="L9888" s="5" t="s">
        <v>42907</v>
      </c>
      <c r="M9888" s="18" t="s">
        <v>39</v>
      </c>
      <c r="N9888" s="18" t="s">
        <v>29</v>
      </c>
      <c r="O9888" s="18" t="s">
        <v>30087</v>
      </c>
      <c r="P9888" s="18" t="s">
        <v>29</v>
      </c>
      <c r="Q9888" s="6"/>
      <c r="R9888" s="6"/>
      <c r="S9888" s="6"/>
      <c r="T9888" s="6"/>
      <c r="U9888" s="6"/>
      <c r="V9888" s="6"/>
      <c r="W9888" s="6"/>
      <c r="X9888" s="6"/>
      <c r="Y9888" s="6"/>
    </row>
    <row r="9889" ht="14.25">
      <c r="B9889" s="8" t="s">
        <v>330</v>
      </c>
      <c r="C9889" s="8" t="s">
        <v>43733</v>
      </c>
      <c r="D9889" s="8" t="s">
        <v>7759</v>
      </c>
      <c r="E9889" s="8" t="s">
        <v>43734</v>
      </c>
      <c r="F9889" s="8" t="str">
        <f>IFERROR(__XLUDF.DUMMYFUNCTION("PROPER(REGEXREPLACE(D274,""[^A-Za-z]+ "",""""))"),"Asc Assurance")</f>
        <v xml:space="preserve">Asc Assurance</v>
      </c>
      <c r="G9889" s="8" t="s">
        <v>43735</v>
      </c>
      <c r="H9889" s="9">
        <v>25</v>
      </c>
      <c r="I9889" s="8" t="s">
        <v>39661</v>
      </c>
      <c r="J9889" s="8" t="str">
        <f>IFERROR(__XLUDF.DUMMYFUNCTION("VLOOKUP(H274,IMPORTRANGE(""https://docs.google.com/spreadsheets/d/1opm6ZNvGZ7KditA9TuJwrZ25eFLfTNIkrNnY6mhV5Eg"",""list!A1:C115""),3,TRUE)"),"le secteur des assurances")</f>
        <v xml:space="preserve">le secteur des assurances</v>
      </c>
      <c r="K9889" s="10" t="s">
        <v>43736</v>
      </c>
      <c r="L9889" s="10" t="s">
        <v>43737</v>
      </c>
      <c r="M9889" s="8" t="s">
        <v>83</v>
      </c>
      <c r="N9889" s="8" t="s">
        <v>29</v>
      </c>
      <c r="O9889" s="8" t="s">
        <v>9460</v>
      </c>
      <c r="P9889" s="8"/>
      <c r="Q9889" s="8"/>
      <c r="R9889" s="8"/>
      <c r="S9889" s="8"/>
      <c r="T9889" s="8"/>
      <c r="U9889" s="8"/>
      <c r="V9889" s="8"/>
      <c r="W9889" s="8"/>
      <c r="X9889" s="8"/>
      <c r="Y9889" s="8"/>
    </row>
    <row r="9890" ht="14.25">
      <c r="B9890" s="8" t="s">
        <v>785</v>
      </c>
      <c r="C9890" s="8" t="s">
        <v>43738</v>
      </c>
      <c r="D9890" s="8" t="s">
        <v>10202</v>
      </c>
      <c r="E9890" s="8" t="s">
        <v>43739</v>
      </c>
      <c r="F9890" s="8" t="str">
        <f>IFERROR(__XLUDF.DUMMYFUNCTION("PROPER(REGEXREPLACE(D275,""[^A-Za-z]+ "",""""))"),"Previi")</f>
        <v>Previi</v>
      </c>
      <c r="G9890" s="8" t="s">
        <v>43740</v>
      </c>
      <c r="H9890" s="9">
        <v>4</v>
      </c>
      <c r="I9890" s="8" t="s">
        <v>39661</v>
      </c>
      <c r="J9890" s="8" t="str">
        <f>IFERROR(__XLUDF.DUMMYFUNCTION("VLOOKUP(H275,IMPORTRANGE(""https://docs.google.com/spreadsheets/d/1opm6ZNvGZ7KditA9TuJwrZ25eFLfTNIkrNnY6mhV5Eg"",""list!A1:C115""),3,TRUE)"),"le secteur des assurances")</f>
        <v xml:space="preserve">le secteur des assurances</v>
      </c>
      <c r="K9890" s="10" t="s">
        <v>43741</v>
      </c>
      <c r="L9890" s="10" t="s">
        <v>43742</v>
      </c>
      <c r="M9890" s="8"/>
      <c r="N9890" s="8" t="s">
        <v>29</v>
      </c>
      <c r="O9890" s="8"/>
      <c r="P9890" s="8"/>
      <c r="Q9890" s="8"/>
      <c r="R9890" s="8"/>
      <c r="S9890" s="8"/>
      <c r="T9890" s="8"/>
      <c r="U9890" s="8"/>
      <c r="V9890" s="8"/>
      <c r="W9890" s="8"/>
      <c r="X9890" s="8"/>
      <c r="Y9890" s="8"/>
    </row>
    <row r="9891" ht="14.25">
      <c r="B9891" s="8" t="s">
        <v>222</v>
      </c>
      <c r="C9891" s="8" t="s">
        <v>43743</v>
      </c>
      <c r="D9891" s="8" t="s">
        <v>468</v>
      </c>
      <c r="E9891" s="8" t="s">
        <v>40803</v>
      </c>
      <c r="F9891" s="8" t="str">
        <f>IFERROR(__XLUDF.DUMMYFUNCTION("PROPER(REGEXREPLACE(D276,""[^A-Za-z]+ "",""""))"),"Mutuelle Des Services Publics")</f>
        <v xml:space="preserve">Mutuelle Des Services Publics</v>
      </c>
      <c r="G9891" s="8" t="s">
        <v>43744</v>
      </c>
      <c r="H9891" s="9">
        <v>18</v>
      </c>
      <c r="I9891" s="8" t="s">
        <v>39661</v>
      </c>
      <c r="J9891" s="8" t="str">
        <f>IFERROR(__XLUDF.DUMMYFUNCTION("VLOOKUP(H276,IMPORTRANGE(""https://docs.google.com/spreadsheets/d/1opm6ZNvGZ7KditA9TuJwrZ25eFLfTNIkrNnY6mhV5Eg"",""list!A1:C115""),3,TRUE)"),"le secteur des assurances")</f>
        <v xml:space="preserve">le secteur des assurances</v>
      </c>
      <c r="K9891" s="10" t="s">
        <v>43745</v>
      </c>
      <c r="L9891" s="10" t="s">
        <v>43746</v>
      </c>
      <c r="M9891" s="8" t="s">
        <v>295</v>
      </c>
      <c r="N9891" s="8" t="s">
        <v>29</v>
      </c>
      <c r="O9891" s="8" t="s">
        <v>9251</v>
      </c>
      <c r="P9891" s="8"/>
      <c r="Q9891" s="8"/>
      <c r="R9891" s="8"/>
      <c r="S9891" s="8"/>
      <c r="T9891" s="8"/>
      <c r="U9891" s="8"/>
      <c r="V9891" s="8"/>
      <c r="W9891" s="8"/>
      <c r="X9891" s="8"/>
      <c r="Y9891" s="8"/>
    </row>
    <row r="9892" ht="14.25">
      <c r="B9892" s="8" t="s">
        <v>355</v>
      </c>
      <c r="C9892" s="8" t="s">
        <v>43747</v>
      </c>
      <c r="D9892" s="8" t="s">
        <v>112</v>
      </c>
      <c r="E9892" s="8" t="s">
        <v>42809</v>
      </c>
      <c r="F9892" s="8" t="str">
        <f>IFERROR(__XLUDF.DUMMYFUNCTION("PROPER(REGEXREPLACE(D277,""[^A-Za-z]+ "",""""))"),"Altima Assurances")</f>
        <v xml:space="preserve">Altima Assurances</v>
      </c>
      <c r="G9892" s="8" t="s">
        <v>43748</v>
      </c>
      <c r="H9892" s="9">
        <v>82</v>
      </c>
      <c r="I9892" s="8" t="s">
        <v>39661</v>
      </c>
      <c r="J9892" s="8" t="str">
        <f>IFERROR(__XLUDF.DUMMYFUNCTION("VLOOKUP(H277,IMPORTRANGE(""https://docs.google.com/spreadsheets/d/1opm6ZNvGZ7KditA9TuJwrZ25eFLfTNIkrNnY6mhV5Eg"",""list!A1:C115""),3,TRUE)"),"le secteur des assurances")</f>
        <v xml:space="preserve">le secteur des assurances</v>
      </c>
      <c r="K9892" s="10" t="s">
        <v>43749</v>
      </c>
      <c r="L9892" s="10" t="s">
        <v>43750</v>
      </c>
      <c r="M9892" s="8" t="s">
        <v>39</v>
      </c>
      <c r="N9892" s="8" t="s">
        <v>29</v>
      </c>
      <c r="O9892" s="8" t="s">
        <v>9160</v>
      </c>
      <c r="P9892" s="8"/>
      <c r="Q9892" s="8"/>
      <c r="R9892" s="8"/>
      <c r="S9892" s="8"/>
      <c r="T9892" s="8"/>
      <c r="U9892" s="8"/>
      <c r="V9892" s="8"/>
      <c r="W9892" s="8"/>
      <c r="X9892" s="8"/>
      <c r="Y9892" s="8"/>
    </row>
    <row r="9893" ht="14.25">
      <c r="B9893" s="8" t="s">
        <v>1215</v>
      </c>
      <c r="C9893" s="8" t="s">
        <v>43751</v>
      </c>
      <c r="D9893" s="8" t="s">
        <v>112</v>
      </c>
      <c r="E9893" s="8" t="s">
        <v>43752</v>
      </c>
      <c r="F9893" s="8" t="str">
        <f>IFERROR(__XLUDF.DUMMYFUNCTION("PROPER(REGEXREPLACE(D278,""[^A-Za-z]+ "",""""))"),"Coélience")</f>
        <v>Coélience</v>
      </c>
      <c r="G9893" s="8" t="s">
        <v>43753</v>
      </c>
      <c r="H9893" s="9">
        <v>4</v>
      </c>
      <c r="I9893" s="8" t="s">
        <v>39661</v>
      </c>
      <c r="J9893" s="8" t="str">
        <f>IFERROR(__XLUDF.DUMMYFUNCTION("VLOOKUP(H278,IMPORTRANGE(""https://docs.google.com/spreadsheets/d/1opm6ZNvGZ7KditA9TuJwrZ25eFLfTNIkrNnY6mhV5Eg"",""list!A1:C115""),3,TRUE)"),"le secteur des assurances")</f>
        <v xml:space="preserve">le secteur des assurances</v>
      </c>
      <c r="K9893" s="10" t="s">
        <v>43754</v>
      </c>
      <c r="L9893" s="10" t="s">
        <v>43755</v>
      </c>
      <c r="M9893" s="8" t="s">
        <v>39</v>
      </c>
      <c r="N9893" s="8" t="s">
        <v>29</v>
      </c>
      <c r="O9893" s="8" t="s">
        <v>9160</v>
      </c>
      <c r="P9893" s="8"/>
      <c r="Q9893" s="8" t="s">
        <v>43756</v>
      </c>
      <c r="R9893" s="8"/>
      <c r="S9893" s="8"/>
      <c r="T9893" s="8"/>
      <c r="U9893" s="8"/>
      <c r="V9893" s="8"/>
      <c r="W9893" s="8"/>
      <c r="X9893" s="8"/>
      <c r="Y9893" s="8"/>
    </row>
    <row r="9894" ht="14.25">
      <c r="B9894" s="8" t="s">
        <v>1215</v>
      </c>
      <c r="C9894" s="8" t="s">
        <v>19754</v>
      </c>
      <c r="D9894" s="8" t="s">
        <v>7759</v>
      </c>
      <c r="E9894" s="8" t="s">
        <v>43757</v>
      </c>
      <c r="F9894" s="8" t="str">
        <f>IFERROR(__XLUDF.DUMMYFUNCTION("PROPER(REGEXREPLACE(D279,""[^A-Za-z]+ "",""""))"),"Kogis")</f>
        <v>Kogis</v>
      </c>
      <c r="G9894" s="8" t="s">
        <v>43758</v>
      </c>
      <c r="H9894" s="8"/>
      <c r="I9894" s="8"/>
      <c r="J9894" s="8" t="s">
        <v>42267</v>
      </c>
      <c r="K9894" s="10" t="s">
        <v>43759</v>
      </c>
      <c r="L9894" s="10" t="s">
        <v>43760</v>
      </c>
      <c r="M9894" s="8" t="s">
        <v>11201</v>
      </c>
      <c r="N9894" s="8" t="s">
        <v>29</v>
      </c>
      <c r="O9894" s="8" t="s">
        <v>9193</v>
      </c>
      <c r="P9894" s="8"/>
      <c r="Q9894" s="8"/>
      <c r="R9894" s="8"/>
      <c r="S9894" s="8"/>
      <c r="T9894" s="8"/>
      <c r="U9894" s="8"/>
      <c r="V9894" s="8"/>
      <c r="W9894" s="8"/>
      <c r="X9894" s="8"/>
      <c r="Y9894" s="8"/>
    </row>
    <row r="9895" ht="14.25">
      <c r="B9895" s="8" t="s">
        <v>2551</v>
      </c>
      <c r="C9895" s="8" t="s">
        <v>43761</v>
      </c>
      <c r="D9895" s="8" t="s">
        <v>43762</v>
      </c>
      <c r="E9895" s="8" t="s">
        <v>43763</v>
      </c>
      <c r="F9895" s="8" t="str">
        <f>IFERROR(__XLUDF.DUMMYFUNCTION("PROPER(REGEXREPLACE(D280,""[^A-Za-z]+ "",""""))"),"Universall Consulting")</f>
        <v xml:space="preserve">Universall Consulting</v>
      </c>
      <c r="G9895" s="8" t="s">
        <v>43764</v>
      </c>
      <c r="H9895" s="8"/>
      <c r="I9895" s="8"/>
      <c r="J9895" s="8" t="s">
        <v>42267</v>
      </c>
      <c r="K9895" s="10" t="s">
        <v>43765</v>
      </c>
      <c r="L9895" s="10" t="s">
        <v>43766</v>
      </c>
      <c r="M9895" s="8" t="s">
        <v>43767</v>
      </c>
      <c r="N9895" s="8" t="s">
        <v>29</v>
      </c>
      <c r="O9895" s="8" t="s">
        <v>9160</v>
      </c>
      <c r="P9895" s="8"/>
      <c r="Q9895" s="8"/>
      <c r="R9895" s="8"/>
      <c r="S9895" s="8"/>
      <c r="T9895" s="8"/>
      <c r="U9895" s="8"/>
      <c r="V9895" s="8"/>
      <c r="W9895" s="8"/>
      <c r="X9895" s="8"/>
      <c r="Y9895" s="8"/>
    </row>
    <row r="9896" ht="14.25">
      <c r="B9896" s="8" t="s">
        <v>5716</v>
      </c>
      <c r="C9896" s="8" t="s">
        <v>43768</v>
      </c>
      <c r="D9896" s="8" t="s">
        <v>172</v>
      </c>
      <c r="E9896" s="8" t="s">
        <v>43769</v>
      </c>
      <c r="F9896" s="8" t="str">
        <f>IFERROR(__XLUDF.DUMMYFUNCTION("PROPER(REGEXREPLACE(D281,""[^A-Za-z]+ "",""""))"),"Connect Courtage")</f>
        <v xml:space="preserve">Connect Courtage</v>
      </c>
      <c r="G9896" s="8" t="s">
        <v>43770</v>
      </c>
      <c r="H9896" s="9">
        <v>2</v>
      </c>
      <c r="I9896" s="8" t="s">
        <v>39661</v>
      </c>
      <c r="J9896" s="8" t="str">
        <f>IFERROR(__XLUDF.DUMMYFUNCTION("VLOOKUP(H281,IMPORTRANGE(""https://docs.google.com/spreadsheets/d/1opm6ZNvGZ7KditA9TuJwrZ25eFLfTNIkrNnY6mhV5Eg"",""list!A1:C115""),3,TRUE)"),"le secteur des assurances")</f>
        <v xml:space="preserve">le secteur des assurances</v>
      </c>
      <c r="K9896" s="10" t="s">
        <v>43771</v>
      </c>
      <c r="L9896" s="10" t="s">
        <v>43772</v>
      </c>
      <c r="M9896" s="8" t="s">
        <v>482</v>
      </c>
      <c r="N9896" s="8" t="s">
        <v>29</v>
      </c>
      <c r="O9896" s="8" t="s">
        <v>9460</v>
      </c>
      <c r="P9896" s="8"/>
      <c r="Q9896" s="8" t="s">
        <v>43773</v>
      </c>
      <c r="R9896" s="8"/>
      <c r="S9896" s="8"/>
      <c r="T9896" s="8"/>
      <c r="U9896" s="8"/>
      <c r="V9896" s="8"/>
      <c r="W9896" s="8"/>
      <c r="X9896" s="8"/>
      <c r="Y9896" s="8"/>
    </row>
    <row r="9897" ht="14.25">
      <c r="B9897" s="8" t="s">
        <v>1215</v>
      </c>
      <c r="C9897" s="8" t="s">
        <v>43774</v>
      </c>
      <c r="D9897" s="8" t="s">
        <v>341</v>
      </c>
      <c r="E9897" s="8" t="s">
        <v>43775</v>
      </c>
      <c r="F9897" s="8" t="str">
        <f>IFERROR(__XLUDF.DUMMYFUNCTION("PROPER(REGEXREPLACE(D282,""[^A-Za-z]+ "",""""))"),"Ellena Solution")</f>
        <v xml:space="preserve">Ellena Solution</v>
      </c>
      <c r="G9897" s="8" t="s">
        <v>43776</v>
      </c>
      <c r="H9897" s="9">
        <v>2</v>
      </c>
      <c r="I9897" s="8" t="s">
        <v>39661</v>
      </c>
      <c r="J9897" s="8" t="str">
        <f>IFERROR(__XLUDF.DUMMYFUNCTION("VLOOKUP(H282,IMPORTRANGE(""https://docs.google.com/spreadsheets/d/1opm6ZNvGZ7KditA9TuJwrZ25eFLfTNIkrNnY6mhV5Eg"",""list!A1:C115""),3,TRUE)"),"le secteur des assurances")</f>
        <v xml:space="preserve">le secteur des assurances</v>
      </c>
      <c r="K9897" s="10" t="s">
        <v>43777</v>
      </c>
      <c r="L9897" s="10" t="s">
        <v>43778</v>
      </c>
      <c r="M9897" s="8" t="s">
        <v>1204</v>
      </c>
      <c r="N9897" s="8" t="s">
        <v>29</v>
      </c>
      <c r="O9897" s="8" t="s">
        <v>9460</v>
      </c>
      <c r="P9897" s="8"/>
      <c r="Q9897" s="8" t="s">
        <v>43779</v>
      </c>
      <c r="R9897" s="8"/>
      <c r="S9897" s="8"/>
      <c r="T9897" s="8"/>
      <c r="U9897" s="8"/>
      <c r="V9897" s="8"/>
      <c r="W9897" s="8"/>
      <c r="X9897" s="8"/>
      <c r="Y9897" s="8"/>
    </row>
    <row r="9898" ht="14.25">
      <c r="B9898" s="8" t="s">
        <v>20961</v>
      </c>
      <c r="C9898" s="8" t="s">
        <v>43780</v>
      </c>
      <c r="D9898" s="8" t="s">
        <v>2636</v>
      </c>
      <c r="E9898" s="8" t="s">
        <v>43781</v>
      </c>
      <c r="F9898" s="8" t="str">
        <f>IFERROR(__XLUDF.DUMMYFUNCTION("PROPER(REGEXREPLACE(D283,""[^A-Za-z]+ "",""""))"),"Smile Assurances")</f>
        <v xml:space="preserve">Smile Assurances</v>
      </c>
      <c r="G9898" s="8" t="s">
        <v>43782</v>
      </c>
      <c r="H9898" s="9">
        <v>3</v>
      </c>
      <c r="I9898" s="8" t="s">
        <v>39661</v>
      </c>
      <c r="J9898" s="8" t="str">
        <f>IFERROR(__XLUDF.DUMMYFUNCTION("VLOOKUP(H283,IMPORTRANGE(""https://docs.google.com/spreadsheets/d/1opm6ZNvGZ7KditA9TuJwrZ25eFLfTNIkrNnY6mhV5Eg"",""list!A1:C115""),3,TRUE)"),"le secteur des assurances")</f>
        <v xml:space="preserve">le secteur des assurances</v>
      </c>
      <c r="K9898" s="10" t="s">
        <v>43783</v>
      </c>
      <c r="L9898" s="10" t="s">
        <v>43784</v>
      </c>
      <c r="M9898" s="8" t="s">
        <v>185</v>
      </c>
      <c r="N9898" s="8" t="s">
        <v>29</v>
      </c>
      <c r="O9898" s="8" t="s">
        <v>9193</v>
      </c>
      <c r="P9898" s="8"/>
      <c r="Q9898" s="8"/>
      <c r="R9898" s="8"/>
      <c r="S9898" s="8"/>
      <c r="T9898" s="8"/>
      <c r="U9898" s="8"/>
      <c r="V9898" s="8"/>
      <c r="W9898" s="8"/>
      <c r="X9898" s="8"/>
      <c r="Y9898" s="8"/>
    </row>
    <row r="9899" ht="14.25">
      <c r="B9899" s="8" t="s">
        <v>1215</v>
      </c>
      <c r="C9899" s="8" t="s">
        <v>43785</v>
      </c>
      <c r="D9899" s="8" t="s">
        <v>43786</v>
      </c>
      <c r="E9899" s="8" t="s">
        <v>43787</v>
      </c>
      <c r="F9899" s="8" t="str">
        <f>IFERROR(__XLUDF.DUMMYFUNCTION("PROPER(REGEXREPLACE(D284,""[^A-Za-z]+ "",""""))"),"Assuromieux")</f>
        <v>Assuromieux</v>
      </c>
      <c r="G9899" s="8" t="s">
        <v>43788</v>
      </c>
      <c r="H9899" s="9">
        <v>13</v>
      </c>
      <c r="I9899" s="8" t="s">
        <v>39661</v>
      </c>
      <c r="J9899" s="8" t="str">
        <f>IFERROR(__XLUDF.DUMMYFUNCTION("VLOOKUP(H284,IMPORTRANGE(""https://docs.google.com/spreadsheets/d/1opm6ZNvGZ7KditA9TuJwrZ25eFLfTNIkrNnY6mhV5Eg"",""list!A1:C115""),3,TRUE)"),"le secteur des assurances")</f>
        <v xml:space="preserve">le secteur des assurances</v>
      </c>
      <c r="K9899" s="10" t="s">
        <v>43789</v>
      </c>
      <c r="L9899" s="10" t="s">
        <v>43790</v>
      </c>
      <c r="M9899" s="8" t="s">
        <v>83</v>
      </c>
      <c r="N9899" s="8" t="s">
        <v>29</v>
      </c>
      <c r="O9899" s="8" t="s">
        <v>9460</v>
      </c>
      <c r="P9899" s="8"/>
      <c r="Q9899" s="8" t="s">
        <v>43791</v>
      </c>
      <c r="R9899" s="8"/>
      <c r="S9899" s="8"/>
      <c r="T9899" s="8"/>
      <c r="U9899" s="8"/>
      <c r="V9899" s="8"/>
      <c r="W9899" s="8"/>
      <c r="X9899" s="8"/>
      <c r="Y9899" s="8"/>
    </row>
    <row r="9900" ht="14.25">
      <c r="B9900" s="8" t="s">
        <v>1583</v>
      </c>
      <c r="C9900" s="8" t="s">
        <v>43792</v>
      </c>
      <c r="D9900" s="8" t="s">
        <v>341</v>
      </c>
      <c r="E9900" s="8" t="s">
        <v>43793</v>
      </c>
      <c r="F9900" s="8" t="str">
        <f>IFERROR(__XLUDF.DUMMYFUNCTION("PROPER(REGEXREPLACE(D285,""[^A-Za-z]+ "",""""))"),"Arietis Assurances")</f>
        <v xml:space="preserve">Arietis Assurances</v>
      </c>
      <c r="G9900" s="8" t="s">
        <v>43794</v>
      </c>
      <c r="H9900" s="9">
        <v>1</v>
      </c>
      <c r="I9900" s="8" t="s">
        <v>39661</v>
      </c>
      <c r="J9900" s="8" t="str">
        <f>IFERROR(__XLUDF.DUMMYFUNCTION("VLOOKUP(H285,IMPORTRANGE(""https://docs.google.com/spreadsheets/d/1opm6ZNvGZ7KditA9TuJwrZ25eFLfTNIkrNnY6mhV5Eg"",""list!A1:C115""),3,TRUE)"),"le secteur des assurances")</f>
        <v xml:space="preserve">le secteur des assurances</v>
      </c>
      <c r="K9900" s="10" t="s">
        <v>43795</v>
      </c>
      <c r="L9900" s="8"/>
      <c r="M9900" s="8" t="s">
        <v>39</v>
      </c>
      <c r="N9900" s="8" t="s">
        <v>29</v>
      </c>
      <c r="O9900" s="8" t="s">
        <v>9160</v>
      </c>
      <c r="P9900" s="8"/>
      <c r="Q9900" s="8"/>
      <c r="R9900" s="8"/>
      <c r="S9900" s="8"/>
      <c r="T9900" s="8"/>
      <c r="U9900" s="8"/>
      <c r="V9900" s="8"/>
      <c r="W9900" s="8"/>
      <c r="X9900" s="8"/>
      <c r="Y9900" s="8"/>
    </row>
    <row r="9901" ht="14.25">
      <c r="B9901" s="8" t="s">
        <v>12020</v>
      </c>
      <c r="C9901" s="8" t="s">
        <v>43796</v>
      </c>
      <c r="D9901" s="8" t="s">
        <v>112</v>
      </c>
      <c r="E9901" s="8" t="s">
        <v>43797</v>
      </c>
      <c r="F9901" s="8" t="str">
        <f>IFERROR(__XLUDF.DUMMYFUNCTION("PROPER(REGEXREPLACE(D286,""[^A-Za-z]+ "",""""))"),"Ema Assurances Maubeugeanzin")</f>
        <v xml:space="preserve">Ema Assurances Maubeugeanzin</v>
      </c>
      <c r="G9901" s="8" t="s">
        <v>43798</v>
      </c>
      <c r="H9901" s="9">
        <v>3</v>
      </c>
      <c r="I9901" s="8" t="s">
        <v>39661</v>
      </c>
      <c r="J9901" s="8" t="str">
        <f>IFERROR(__XLUDF.DUMMYFUNCTION("VLOOKUP(H286,IMPORTRANGE(""https://docs.google.com/spreadsheets/d/1opm6ZNvGZ7KditA9TuJwrZ25eFLfTNIkrNnY6mhV5Eg"",""list!A1:C115""),3,TRUE)"),"le secteur des assurances")</f>
        <v xml:space="preserve">le secteur des assurances</v>
      </c>
      <c r="K9901" s="10" t="s">
        <v>43799</v>
      </c>
      <c r="L9901" s="10" t="s">
        <v>43800</v>
      </c>
      <c r="M9901" s="8"/>
      <c r="N9901" s="8" t="s">
        <v>29</v>
      </c>
      <c r="O9901" s="8" t="s">
        <v>9281</v>
      </c>
      <c r="P9901" s="8"/>
      <c r="Q9901" s="8"/>
      <c r="R9901" s="8"/>
      <c r="S9901" s="8"/>
      <c r="T9901" s="8"/>
      <c r="U9901" s="8"/>
      <c r="V9901" s="8"/>
      <c r="W9901" s="8"/>
      <c r="X9901" s="8"/>
      <c r="Y9901" s="8"/>
    </row>
    <row r="9902" ht="14.25">
      <c r="B9902" s="8" t="s">
        <v>2299</v>
      </c>
      <c r="C9902" s="8" t="s">
        <v>3412</v>
      </c>
      <c r="D9902" s="8" t="s">
        <v>43801</v>
      </c>
      <c r="E9902" s="8" t="s">
        <v>43802</v>
      </c>
      <c r="F9902" s="8" t="str">
        <f>IFERROR(__XLUDF.DUMMYFUNCTION("PROPER(REGEXREPLACE(D287,""[^A-Za-z]+ "",""""))"),"Girose Patrimoine")</f>
        <v xml:space="preserve">Girose Patrimoine</v>
      </c>
      <c r="G9902" s="8" t="s">
        <v>43803</v>
      </c>
      <c r="H9902" s="9">
        <v>1</v>
      </c>
      <c r="I9902" s="8" t="s">
        <v>39661</v>
      </c>
      <c r="J9902" s="8" t="str">
        <f>IFERROR(__XLUDF.DUMMYFUNCTION("VLOOKUP(H287,IMPORTRANGE(""https://docs.google.com/spreadsheets/d/1opm6ZNvGZ7KditA9TuJwrZ25eFLfTNIkrNnY6mhV5Eg"",""list!A1:C115""),3,TRUE)"),"le secteur des assurances")</f>
        <v xml:space="preserve">le secteur des assurances</v>
      </c>
      <c r="K9902" s="10" t="s">
        <v>43804</v>
      </c>
      <c r="L9902" s="10" t="s">
        <v>43805</v>
      </c>
      <c r="M9902" s="8" t="s">
        <v>39</v>
      </c>
      <c r="N9902" s="8" t="s">
        <v>29</v>
      </c>
      <c r="O9902" s="8" t="s">
        <v>9160</v>
      </c>
      <c r="P9902" s="8"/>
      <c r="Q9902" s="8" t="s">
        <v>43806</v>
      </c>
      <c r="R9902" s="8"/>
      <c r="S9902" s="8"/>
      <c r="T9902" s="8"/>
      <c r="U9902" s="8"/>
      <c r="V9902" s="8"/>
      <c r="W9902" s="8"/>
      <c r="X9902" s="8"/>
      <c r="Y9902" s="8"/>
    </row>
    <row r="9903" ht="14.25">
      <c r="B9903" s="18" t="s">
        <v>769</v>
      </c>
      <c r="C9903" s="18" t="s">
        <v>10461</v>
      </c>
      <c r="D9903" s="18" t="s">
        <v>43807</v>
      </c>
      <c r="E9903" s="18" t="s">
        <v>43808</v>
      </c>
      <c r="F9903" s="8" t="str">
        <f>IFERROR(__XLUDF.DUMMYFUNCTION("PROPER(REGEXREPLACE(D288,""[^A-Za-z]+ "",""""))"),"Tendanz Group")</f>
        <v xml:space="preserve">Tendanz Group</v>
      </c>
      <c r="G9903" s="18" t="s">
        <v>43809</v>
      </c>
      <c r="H9903" s="18">
        <v>9</v>
      </c>
      <c r="I9903" s="18" t="s">
        <v>39661</v>
      </c>
      <c r="J9903" s="8" t="str">
        <f>IFERROR(__XLUDF.DUMMYFUNCTION("VLOOKUP(H288,IMPORTRANGE(""https://docs.google.com/spreadsheets/d/1opm6ZNvGZ7KditA9TuJwrZ25eFLfTNIkrNnY6mhV5Eg"",""list!A1:C115""),3,TRUE)"),"le secteur des assurances")</f>
        <v xml:space="preserve">le secteur des assurances</v>
      </c>
      <c r="K9903" s="5" t="s">
        <v>43810</v>
      </c>
      <c r="L9903" s="5" t="s">
        <v>43811</v>
      </c>
      <c r="M9903" s="18" t="s">
        <v>39</v>
      </c>
      <c r="N9903" s="18" t="s">
        <v>29</v>
      </c>
      <c r="O9903" s="18" t="s">
        <v>21461</v>
      </c>
      <c r="P9903" s="18" t="s">
        <v>29</v>
      </c>
      <c r="Q9903" s="18" t="s">
        <v>43812</v>
      </c>
      <c r="R9903" s="6"/>
      <c r="S9903" s="6"/>
      <c r="T9903" s="6"/>
      <c r="U9903" s="6"/>
      <c r="V9903" s="6"/>
      <c r="W9903" s="6"/>
      <c r="X9903" s="6"/>
      <c r="Y9903" s="6"/>
    </row>
    <row r="9904" ht="14.25">
      <c r="B9904" s="8" t="s">
        <v>7525</v>
      </c>
      <c r="C9904" s="8" t="s">
        <v>41596</v>
      </c>
      <c r="D9904" s="8" t="s">
        <v>31208</v>
      </c>
      <c r="E9904" s="8" t="s">
        <v>39829</v>
      </c>
      <c r="F9904" s="8" t="str">
        <f>IFERROR(__XLUDF.DUMMYFUNCTION("PROPER(REGEXREPLACE(D289,""[^A-Za-z]+ "",""""))"),"Novacover")</f>
        <v>Novacover</v>
      </c>
      <c r="G9904" s="8" t="s">
        <v>43813</v>
      </c>
      <c r="H9904" s="8"/>
      <c r="I9904" s="8"/>
      <c r="J9904" s="8" t="s">
        <v>42267</v>
      </c>
      <c r="K9904" s="10" t="s">
        <v>43814</v>
      </c>
      <c r="L9904" s="10" t="s">
        <v>43815</v>
      </c>
      <c r="M9904" s="8" t="s">
        <v>185</v>
      </c>
      <c r="N9904" s="8" t="s">
        <v>29</v>
      </c>
      <c r="O9904" s="8" t="s">
        <v>9193</v>
      </c>
      <c r="P9904" s="8"/>
      <c r="Q9904" s="8"/>
      <c r="R9904" s="8"/>
      <c r="S9904" s="8"/>
      <c r="T9904" s="8"/>
      <c r="U9904" s="8"/>
      <c r="V9904" s="8"/>
      <c r="W9904" s="8"/>
      <c r="X9904" s="8"/>
      <c r="Y9904" s="8"/>
    </row>
    <row r="9905" ht="14.25">
      <c r="B9905" s="8" t="s">
        <v>588</v>
      </c>
      <c r="C9905" s="8" t="s">
        <v>2932</v>
      </c>
      <c r="D9905" s="8" t="s">
        <v>9456</v>
      </c>
      <c r="E9905" s="8" t="s">
        <v>43816</v>
      </c>
      <c r="F9905" s="8" t="str">
        <f>IFERROR(__XLUDF.DUMMYFUNCTION("PROPER(REGEXREPLACE(D290,""[^A-Za-z]+ "",""""))"),"Kairos Courtage")</f>
        <v xml:space="preserve">Kairos Courtage</v>
      </c>
      <c r="G9905" s="8" t="s">
        <v>43817</v>
      </c>
      <c r="H9905" s="9">
        <v>1</v>
      </c>
      <c r="I9905" s="8" t="s">
        <v>39661</v>
      </c>
      <c r="J9905" s="8" t="str">
        <f>IFERROR(__XLUDF.DUMMYFUNCTION("VLOOKUP(H290,IMPORTRANGE(""https://docs.google.com/spreadsheets/d/1opm6ZNvGZ7KditA9TuJwrZ25eFLfTNIkrNnY6mhV5Eg"",""list!A1:C115""),3,TRUE)"),"le secteur des assurances")</f>
        <v xml:space="preserve">le secteur des assurances</v>
      </c>
      <c r="K9905" s="10" t="s">
        <v>43818</v>
      </c>
      <c r="L9905" s="10" t="s">
        <v>43819</v>
      </c>
      <c r="M9905" s="8" t="s">
        <v>1780</v>
      </c>
      <c r="N9905" s="8" t="s">
        <v>29</v>
      </c>
      <c r="O9905" s="8" t="s">
        <v>9215</v>
      </c>
      <c r="P9905" s="8"/>
      <c r="Q9905" s="8" t="s">
        <v>43820</v>
      </c>
      <c r="R9905" s="8"/>
      <c r="S9905" s="8"/>
      <c r="T9905" s="8"/>
      <c r="U9905" s="8"/>
      <c r="V9905" s="8"/>
      <c r="W9905" s="8"/>
      <c r="X9905" s="8"/>
      <c r="Y9905" s="8"/>
    </row>
    <row r="9906" ht="14.25">
      <c r="B9906" s="18" t="s">
        <v>1215</v>
      </c>
      <c r="C9906" s="18" t="s">
        <v>43821</v>
      </c>
      <c r="D9906" s="18" t="s">
        <v>112</v>
      </c>
      <c r="E9906" s="18" t="s">
        <v>43822</v>
      </c>
      <c r="F9906" s="8" t="str">
        <f>IFERROR(__XLUDF.DUMMYFUNCTION("PROPER(REGEXREPLACE(D291,""[^A-Za-z]+ "",""""))"),"Union D'Experts Sas")</f>
        <v xml:space="preserve">Union D'Experts Sas</v>
      </c>
      <c r="G9906" s="18" t="s">
        <v>43823</v>
      </c>
      <c r="H9906" s="18">
        <v>90</v>
      </c>
      <c r="I9906" s="18" t="s">
        <v>39661</v>
      </c>
      <c r="J9906" s="8" t="str">
        <f>IFERROR(__XLUDF.DUMMYFUNCTION("VLOOKUP(H291,IMPORTRANGE(""https://docs.google.com/spreadsheets/d/1opm6ZNvGZ7KditA9TuJwrZ25eFLfTNIkrNnY6mhV5Eg"",""list!A1:C115""),3,TRUE)"),"le secteur des assurances")</f>
        <v xml:space="preserve">le secteur des assurances</v>
      </c>
      <c r="K9906" s="5" t="s">
        <v>43824</v>
      </c>
      <c r="L9906" s="5" t="s">
        <v>43825</v>
      </c>
      <c r="M9906" s="18" t="s">
        <v>20178</v>
      </c>
      <c r="N9906" s="18" t="s">
        <v>29</v>
      </c>
      <c r="O9906" s="18" t="s">
        <v>67</v>
      </c>
      <c r="P9906" s="18" t="s">
        <v>29</v>
      </c>
      <c r="Q9906" s="6"/>
      <c r="R9906" s="6"/>
      <c r="S9906" s="6"/>
      <c r="T9906" s="6"/>
      <c r="U9906" s="6"/>
      <c r="V9906" s="6"/>
      <c r="W9906" s="6"/>
      <c r="X9906" s="6"/>
      <c r="Y9906" s="6"/>
    </row>
    <row r="9907" ht="14.25">
      <c r="B9907" s="8" t="s">
        <v>43826</v>
      </c>
      <c r="C9907" s="8" t="s">
        <v>43827</v>
      </c>
      <c r="D9907" s="8" t="s">
        <v>43828</v>
      </c>
      <c r="E9907" s="8" t="s">
        <v>43829</v>
      </c>
      <c r="F9907" s="8" t="str">
        <f>IFERROR(__XLUDF.DUMMYFUNCTION("PROPER(REGEXREPLACE(D292,""[^A-Za-z]+ "",""""))"),"Adequation Advisory")</f>
        <v xml:space="preserve">Adequation Advisory</v>
      </c>
      <c r="G9907" s="8" t="s">
        <v>43830</v>
      </c>
      <c r="H9907" s="9">
        <v>11</v>
      </c>
      <c r="I9907" s="8" t="s">
        <v>39661</v>
      </c>
      <c r="J9907" s="8" t="str">
        <f>IFERROR(__XLUDF.DUMMYFUNCTION("VLOOKUP(H292,IMPORTRANGE(""https://docs.google.com/spreadsheets/d/1opm6ZNvGZ7KditA9TuJwrZ25eFLfTNIkrNnY6mhV5Eg"",""list!A1:C115""),3,TRUE)"),"le secteur des assurances")</f>
        <v xml:space="preserve">le secteur des assurances</v>
      </c>
      <c r="K9907" s="10" t="s">
        <v>43831</v>
      </c>
      <c r="L9907" s="10" t="s">
        <v>43832</v>
      </c>
      <c r="M9907" s="8" t="s">
        <v>39</v>
      </c>
      <c r="N9907" s="8" t="s">
        <v>29</v>
      </c>
      <c r="O9907" s="8" t="s">
        <v>9160</v>
      </c>
      <c r="P9907" s="8"/>
      <c r="Q9907" s="8" t="s">
        <v>43833</v>
      </c>
      <c r="R9907" s="8"/>
      <c r="S9907" s="8"/>
      <c r="T9907" s="8"/>
      <c r="U9907" s="8"/>
      <c r="V9907" s="8"/>
      <c r="W9907" s="8"/>
      <c r="X9907" s="8"/>
      <c r="Y9907" s="8"/>
    </row>
    <row r="9908" ht="14.25">
      <c r="B9908" s="8" t="s">
        <v>322</v>
      </c>
      <c r="C9908" s="8" t="s">
        <v>43834</v>
      </c>
      <c r="D9908" s="8" t="s">
        <v>172</v>
      </c>
      <c r="E9908" s="8" t="s">
        <v>43835</v>
      </c>
      <c r="F9908" s="8" t="str">
        <f>IFERROR(__XLUDF.DUMMYFUNCTION("PROPER(REGEXREPLACE(D293,""[^A-Za-z]+ "",""""))"),"St Assurances")</f>
        <v xml:space="preserve">St Assurances</v>
      </c>
      <c r="G9908" s="8" t="s">
        <v>43836</v>
      </c>
      <c r="H9908" s="9">
        <v>1</v>
      </c>
      <c r="I9908" s="8" t="s">
        <v>39661</v>
      </c>
      <c r="J9908" s="8" t="str">
        <f>IFERROR(__XLUDF.DUMMYFUNCTION("VLOOKUP(H293,IMPORTRANGE(""https://docs.google.com/spreadsheets/d/1opm6ZNvGZ7KditA9TuJwrZ25eFLfTNIkrNnY6mhV5Eg"",""list!A1:C115""),3,TRUE)"),"le secteur des assurances")</f>
        <v xml:space="preserve">le secteur des assurances</v>
      </c>
      <c r="K9908" s="10" t="s">
        <v>43837</v>
      </c>
      <c r="L9908" s="8"/>
      <c r="M9908" s="8"/>
      <c r="N9908" s="8" t="s">
        <v>29</v>
      </c>
      <c r="O9908" s="8"/>
      <c r="P9908" s="8"/>
      <c r="Q9908" s="8"/>
      <c r="R9908" s="8"/>
      <c r="S9908" s="8"/>
      <c r="T9908" s="8"/>
      <c r="U9908" s="8"/>
      <c r="V9908" s="8"/>
      <c r="W9908" s="8"/>
      <c r="X9908" s="8"/>
      <c r="Y9908" s="8"/>
    </row>
    <row r="9909" ht="14.25">
      <c r="B9909" s="8" t="s">
        <v>402</v>
      </c>
      <c r="C9909" s="8" t="s">
        <v>43838</v>
      </c>
      <c r="D9909" s="8" t="s">
        <v>112</v>
      </c>
      <c r="E9909" s="8" t="s">
        <v>43839</v>
      </c>
      <c r="F9909" s="8" t="str">
        <f>IFERROR(__XLUDF.DUMMYFUNCTION("PROPER(REGEXREPLACE(D294,""[^A-Za-z]+ "",""""))"),"Isfa Junior Conseil")</f>
        <v xml:space="preserve">Isfa Junior Conseil</v>
      </c>
      <c r="G9909" s="8" t="s">
        <v>43840</v>
      </c>
      <c r="H9909" s="9">
        <v>5</v>
      </c>
      <c r="I9909" s="8" t="s">
        <v>39661</v>
      </c>
      <c r="J9909" s="8" t="str">
        <f>IFERROR(__XLUDF.DUMMYFUNCTION("VLOOKUP(H294,IMPORTRANGE(""https://docs.google.com/spreadsheets/d/1opm6ZNvGZ7KditA9TuJwrZ25eFLfTNIkrNnY6mhV5Eg"",""list!A1:C115""),3,TRUE)"),"le secteur des assurances")</f>
        <v xml:space="preserve">le secteur des assurances</v>
      </c>
      <c r="K9909" s="10" t="s">
        <v>43841</v>
      </c>
      <c r="L9909" s="10" t="s">
        <v>43842</v>
      </c>
      <c r="M9909" s="8" t="s">
        <v>185</v>
      </c>
      <c r="N9909" s="8" t="s">
        <v>29</v>
      </c>
      <c r="O9909" s="8" t="s">
        <v>9193</v>
      </c>
      <c r="P9909" s="8"/>
      <c r="Q9909" s="8" t="s">
        <v>43843</v>
      </c>
      <c r="R9909" s="8"/>
      <c r="S9909" s="8"/>
      <c r="T9909" s="8"/>
      <c r="U9909" s="8"/>
      <c r="V9909" s="8"/>
      <c r="W9909" s="8"/>
      <c r="X9909" s="8"/>
      <c r="Y9909" s="8"/>
    </row>
    <row r="9910" ht="14.25">
      <c r="B9910" s="8" t="s">
        <v>769</v>
      </c>
      <c r="C9910" s="8" t="s">
        <v>43844</v>
      </c>
      <c r="D9910" s="8" t="s">
        <v>112</v>
      </c>
      <c r="E9910" s="8" t="s">
        <v>43845</v>
      </c>
      <c r="F9910" s="8" t="str">
        <f>IFERROR(__XLUDF.DUMMYFUNCTION("PROPER(REGEXREPLACE(D295,""[^A-Za-z]+ "",""""))"),"Cristalis")</f>
        <v>Cristalis</v>
      </c>
      <c r="G9910" s="8" t="s">
        <v>43846</v>
      </c>
      <c r="H9910" s="9">
        <v>14</v>
      </c>
      <c r="I9910" s="8" t="s">
        <v>39661</v>
      </c>
      <c r="J9910" s="8" t="str">
        <f>IFERROR(__XLUDF.DUMMYFUNCTION("VLOOKUP(H295,IMPORTRANGE(""https://docs.google.com/spreadsheets/d/1opm6ZNvGZ7KditA9TuJwrZ25eFLfTNIkrNnY6mhV5Eg"",""list!A1:C115""),3,TRUE)"),"le secteur des assurances")</f>
        <v xml:space="preserve">le secteur des assurances</v>
      </c>
      <c r="K9910" s="10" t="s">
        <v>43847</v>
      </c>
      <c r="L9910" s="10" t="s">
        <v>43848</v>
      </c>
      <c r="M9910" s="8"/>
      <c r="N9910" s="8" t="s">
        <v>29</v>
      </c>
      <c r="O9910" s="8"/>
      <c r="P9910" s="8"/>
      <c r="Q9910" s="8"/>
      <c r="R9910" s="8"/>
      <c r="S9910" s="8"/>
      <c r="T9910" s="8"/>
      <c r="U9910" s="8"/>
      <c r="V9910" s="8"/>
      <c r="W9910" s="8"/>
      <c r="X9910" s="8"/>
      <c r="Y9910" s="8"/>
    </row>
    <row r="9911" ht="14.25">
      <c r="B9911" s="8" t="s">
        <v>298</v>
      </c>
      <c r="C9911" s="8" t="s">
        <v>43849</v>
      </c>
      <c r="D9911" s="8" t="s">
        <v>2636</v>
      </c>
      <c r="E9911" s="8" t="s">
        <v>43224</v>
      </c>
      <c r="F9911" s="8" t="str">
        <f>IFERROR(__XLUDF.DUMMYFUNCTION("PROPER(REGEXREPLACE(D296,""[^A-Za-z]+ "",""""))"),"Mutuelle Mutami")</f>
        <v xml:space="preserve">Mutuelle Mutami</v>
      </c>
      <c r="G9911" s="8" t="s">
        <v>43850</v>
      </c>
      <c r="H9911" s="9">
        <v>86</v>
      </c>
      <c r="I9911" s="8" t="s">
        <v>39661</v>
      </c>
      <c r="J9911" s="8" t="str">
        <f>IFERROR(__XLUDF.DUMMYFUNCTION("VLOOKUP(H296,IMPORTRANGE(""https://docs.google.com/spreadsheets/d/1opm6ZNvGZ7KditA9TuJwrZ25eFLfTNIkrNnY6mhV5Eg"",""list!A1:C115""),3,TRUE)"),"le secteur des assurances")</f>
        <v xml:space="preserve">le secteur des assurances</v>
      </c>
      <c r="K9911" s="10" t="s">
        <v>43851</v>
      </c>
      <c r="L9911" s="10" t="s">
        <v>43227</v>
      </c>
      <c r="M9911" s="8" t="s">
        <v>243</v>
      </c>
      <c r="N9911" s="8" t="s">
        <v>29</v>
      </c>
      <c r="O9911" s="8" t="s">
        <v>10390</v>
      </c>
      <c r="P9911" s="8"/>
      <c r="Q9911" s="8" t="s">
        <v>43228</v>
      </c>
      <c r="R9911" s="8"/>
      <c r="S9911" s="8"/>
      <c r="T9911" s="8"/>
      <c r="U9911" s="8"/>
      <c r="V9911" s="8"/>
      <c r="W9911" s="8"/>
      <c r="X9911" s="8"/>
      <c r="Y9911" s="8"/>
    </row>
    <row r="9912" ht="14.25">
      <c r="B9912" s="8" t="s">
        <v>3609</v>
      </c>
      <c r="C9912" s="8" t="s">
        <v>19168</v>
      </c>
      <c r="D9912" s="8" t="s">
        <v>43852</v>
      </c>
      <c r="E9912" s="8" t="s">
        <v>43853</v>
      </c>
      <c r="F9912" s="8" t="str">
        <f>IFERROR(__XLUDF.DUMMYFUNCTION("PROPER(REGEXREPLACE(D297,""[^A-Za-z]+ "",""""))"),"Axeyspartners")</f>
        <v>Axeyspartners</v>
      </c>
      <c r="G9912" s="8" t="s">
        <v>43854</v>
      </c>
      <c r="H9912" s="8"/>
      <c r="I9912" s="8"/>
      <c r="J9912" s="8" t="s">
        <v>42267</v>
      </c>
      <c r="K9912" s="10" t="s">
        <v>43855</v>
      </c>
      <c r="L9912" s="10" t="s">
        <v>43856</v>
      </c>
      <c r="M9912" s="8" t="s">
        <v>39</v>
      </c>
      <c r="N9912" s="8" t="s">
        <v>29</v>
      </c>
      <c r="O9912" s="8" t="s">
        <v>9160</v>
      </c>
      <c r="P9912" s="8"/>
      <c r="Q9912" s="8"/>
      <c r="R9912" s="8"/>
      <c r="S9912" s="8"/>
      <c r="T9912" s="8"/>
      <c r="U9912" s="8"/>
      <c r="V9912" s="8"/>
      <c r="W9912" s="8"/>
      <c r="X9912" s="8"/>
      <c r="Y9912" s="8"/>
    </row>
    <row r="9913" ht="14.25">
      <c r="B9913" s="8" t="s">
        <v>485</v>
      </c>
      <c r="C9913" s="8" t="s">
        <v>43857</v>
      </c>
      <c r="D9913" s="8" t="s">
        <v>43858</v>
      </c>
      <c r="E9913" s="8" t="s">
        <v>43859</v>
      </c>
      <c r="F9913" s="8" t="str">
        <f>IFERROR(__XLUDF.DUMMYFUNCTION("PROPER(REGEXREPLACE(D298,""[^A-Za-z]+ "",""""))"),"Ascot Insurance")</f>
        <v xml:space="preserve">Ascot Insurance</v>
      </c>
      <c r="G9913" s="8" t="s">
        <v>43860</v>
      </c>
      <c r="H9913" s="8"/>
      <c r="I9913" s="8"/>
      <c r="J9913" s="8" t="s">
        <v>42267</v>
      </c>
      <c r="K9913" s="10" t="s">
        <v>43861</v>
      </c>
      <c r="L9913" s="8" t="s">
        <v>43862</v>
      </c>
      <c r="M9913" s="8" t="s">
        <v>185</v>
      </c>
      <c r="N9913" s="8" t="s">
        <v>29</v>
      </c>
      <c r="O9913" s="8" t="s">
        <v>9193</v>
      </c>
      <c r="P9913" s="8"/>
      <c r="Q9913" s="8"/>
      <c r="R9913" s="8"/>
      <c r="S9913" s="8"/>
      <c r="T9913" s="8"/>
      <c r="U9913" s="8"/>
      <c r="V9913" s="8"/>
      <c r="W9913" s="8"/>
      <c r="X9913" s="8"/>
      <c r="Y9913" s="8"/>
    </row>
    <row r="9914" ht="14.25">
      <c r="B9914" s="8" t="s">
        <v>5579</v>
      </c>
      <c r="C9914" s="8" t="s">
        <v>43863</v>
      </c>
      <c r="D9914" s="8" t="s">
        <v>43864</v>
      </c>
      <c r="E9914" s="8" t="s">
        <v>43865</v>
      </c>
      <c r="F9914" s="8" t="str">
        <f>IFERROR(__XLUDF.DUMMYFUNCTION("PROPER(REGEXREPLACE(D299,""[^A-Za-z]+ "",""""))"),"Ilyum")</f>
        <v>Ilyum</v>
      </c>
      <c r="G9914" s="8" t="s">
        <v>43866</v>
      </c>
      <c r="H9914" s="9">
        <v>9</v>
      </c>
      <c r="I9914" s="8" t="s">
        <v>39661</v>
      </c>
      <c r="J9914" s="8" t="str">
        <f>IFERROR(__XLUDF.DUMMYFUNCTION("VLOOKUP(H299,IMPORTRANGE(""https://docs.google.com/spreadsheets/d/1opm6ZNvGZ7KditA9TuJwrZ25eFLfTNIkrNnY6mhV5Eg"",""list!A1:C115""),3,TRUE)"),"le secteur des assurances")</f>
        <v xml:space="preserve">le secteur des assurances</v>
      </c>
      <c r="K9914" s="10" t="s">
        <v>43867</v>
      </c>
      <c r="L9914" s="8" t="s">
        <v>43868</v>
      </c>
      <c r="M9914" s="8" t="s">
        <v>1507</v>
      </c>
      <c r="N9914" s="8" t="s">
        <v>29</v>
      </c>
      <c r="O9914" s="8" t="s">
        <v>9193</v>
      </c>
      <c r="P9914" s="8"/>
      <c r="Q9914" s="8" t="s">
        <v>43869</v>
      </c>
      <c r="R9914" s="8"/>
      <c r="S9914" s="8"/>
      <c r="T9914" s="8"/>
      <c r="U9914" s="8"/>
      <c r="V9914" s="8"/>
      <c r="W9914" s="8"/>
      <c r="X9914" s="8"/>
      <c r="Y9914" s="8"/>
    </row>
    <row r="9915" ht="14.25">
      <c r="B9915" s="18" t="s">
        <v>43870</v>
      </c>
      <c r="C9915" s="18" t="s">
        <v>43871</v>
      </c>
      <c r="D9915" s="18" t="s">
        <v>44</v>
      </c>
      <c r="E9915" s="18" t="s">
        <v>43872</v>
      </c>
      <c r="F9915" s="8" t="str">
        <f>IFERROR(__XLUDF.DUMMYFUNCTION("PROPER(REGEXREPLACE(D300,""[^A-Za-z]+ "",""""))"),"Amisur")</f>
        <v>Amisur</v>
      </c>
      <c r="G9915" s="18" t="s">
        <v>43873</v>
      </c>
      <c r="H9915" s="18">
        <v>1</v>
      </c>
      <c r="I9915" s="18" t="s">
        <v>39661</v>
      </c>
      <c r="J9915" s="8" t="str">
        <f>IFERROR(__XLUDF.DUMMYFUNCTION("VLOOKUP(H300,IMPORTRANGE(""https://docs.google.com/spreadsheets/d/1opm6ZNvGZ7KditA9TuJwrZ25eFLfTNIkrNnY6mhV5Eg"",""list!A1:C115""),3,TRUE)"),"le secteur des assurances")</f>
        <v xml:space="preserve">le secteur des assurances</v>
      </c>
      <c r="K9915" s="5" t="s">
        <v>43874</v>
      </c>
      <c r="L9915" s="5" t="s">
        <v>43875</v>
      </c>
      <c r="M9915" s="18" t="s">
        <v>39</v>
      </c>
      <c r="N9915" s="18" t="s">
        <v>29</v>
      </c>
      <c r="O9915" s="18" t="s">
        <v>67</v>
      </c>
      <c r="P9915" s="18" t="s">
        <v>29</v>
      </c>
      <c r="Q9915" s="6"/>
      <c r="R9915" s="6"/>
      <c r="S9915" s="6"/>
      <c r="T9915" s="6"/>
      <c r="U9915" s="6"/>
      <c r="V9915" s="6"/>
      <c r="W9915" s="6"/>
      <c r="X9915" s="6"/>
      <c r="Y9915" s="6"/>
    </row>
    <row r="9916" ht="14.25">
      <c r="B9916" s="8" t="s">
        <v>994</v>
      </c>
      <c r="C9916" s="8" t="s">
        <v>43876</v>
      </c>
      <c r="D9916" s="8" t="s">
        <v>487</v>
      </c>
      <c r="E9916" s="8" t="s">
        <v>43877</v>
      </c>
      <c r="F9916" s="8" t="str">
        <f>IFERROR(__XLUDF.DUMMYFUNCTION("PROPER(REGEXREPLACE(D301,""[^A-Za-z]+ "",""""))"),"Fidl Cap")</f>
        <v xml:space="preserve">Fidl Cap</v>
      </c>
      <c r="G9916" s="8" t="s">
        <v>43878</v>
      </c>
      <c r="H9916" s="9">
        <v>4</v>
      </c>
      <c r="I9916" s="8" t="s">
        <v>39661</v>
      </c>
      <c r="J9916" s="8" t="str">
        <f>IFERROR(__XLUDF.DUMMYFUNCTION("VLOOKUP(H301,IMPORTRANGE(""https://docs.google.com/spreadsheets/d/1opm6ZNvGZ7KditA9TuJwrZ25eFLfTNIkrNnY6mhV5Eg"",""list!A1:C115""),3,TRUE)"),"le secteur des assurances")</f>
        <v xml:space="preserve">le secteur des assurances</v>
      </c>
      <c r="K9916" s="10" t="s">
        <v>43879</v>
      </c>
      <c r="L9916" s="10" t="s">
        <v>43880</v>
      </c>
      <c r="M9916" s="8" t="s">
        <v>31740</v>
      </c>
      <c r="N9916" s="8" t="s">
        <v>29</v>
      </c>
      <c r="O9916" s="8" t="s">
        <v>9251</v>
      </c>
      <c r="P9916" s="8"/>
      <c r="Q9916" s="8"/>
      <c r="R9916" s="8"/>
      <c r="S9916" s="8"/>
      <c r="T9916" s="8"/>
      <c r="U9916" s="8"/>
      <c r="V9916" s="8"/>
      <c r="W9916" s="8"/>
      <c r="X9916" s="8"/>
      <c r="Y9916" s="8"/>
    </row>
    <row r="9917" ht="14.25">
      <c r="B9917" s="8" t="s">
        <v>866</v>
      </c>
      <c r="C9917" s="8" t="s">
        <v>43881</v>
      </c>
      <c r="D9917" s="8" t="s">
        <v>7759</v>
      </c>
      <c r="E9917" s="8" t="s">
        <v>43655</v>
      </c>
      <c r="F9917" s="8" t="str">
        <f>IFERROR(__XLUDF.DUMMYFUNCTION("PROPER(REGEXREPLACE(D302,""[^A-Za-z]+ "",""""))"),"Crédit Conseil De France")</f>
        <v xml:space="preserve">Crédit Conseil De France</v>
      </c>
      <c r="G9917" s="8" t="s">
        <v>43882</v>
      </c>
      <c r="H9917" s="9">
        <v>71</v>
      </c>
      <c r="I9917" s="8" t="s">
        <v>2629</v>
      </c>
      <c r="J9917" s="8" t="str">
        <f>IFERROR(__XLUDF.DUMMYFUNCTION("VLOOKUP(H302,IMPORTRANGE(""https://docs.google.com/spreadsheets/d/1opm6ZNvGZ7KditA9TuJwrZ25eFLfTNIkrNnY6mhV5Eg"",""list!A1:C115""),3,TRUE)"),"le secteur des services financiers")</f>
        <v xml:space="preserve">le secteur des services financiers</v>
      </c>
      <c r="K9917" s="10" t="s">
        <v>43883</v>
      </c>
      <c r="L9917" s="10" t="s">
        <v>43884</v>
      </c>
      <c r="M9917" s="8" t="s">
        <v>1507</v>
      </c>
      <c r="N9917" s="8" t="s">
        <v>29</v>
      </c>
      <c r="O9917" s="8" t="s">
        <v>9193</v>
      </c>
      <c r="P9917" s="8"/>
      <c r="Q9917" s="8" t="s">
        <v>43885</v>
      </c>
      <c r="R9917" s="8"/>
      <c r="S9917" s="8"/>
      <c r="T9917" s="8"/>
      <c r="U9917" s="8"/>
      <c r="V9917" s="8"/>
      <c r="W9917" s="8"/>
      <c r="X9917" s="8"/>
      <c r="Y9917" s="8"/>
    </row>
    <row r="9918" ht="14.25">
      <c r="B9918" s="8" t="s">
        <v>485</v>
      </c>
      <c r="C9918" s="8" t="s">
        <v>1619</v>
      </c>
      <c r="D9918" s="8" t="s">
        <v>112</v>
      </c>
      <c r="E9918" s="8" t="s">
        <v>43886</v>
      </c>
      <c r="F9918" s="8" t="str">
        <f>IFERROR(__XLUDF.DUMMYFUNCTION("PROPER(REGEXREPLACE(D303,""[^A-Za-z]+ "",""""))"),"Angelus")</f>
        <v>Angelus</v>
      </c>
      <c r="G9918" s="8" t="s">
        <v>43887</v>
      </c>
      <c r="H9918" s="9">
        <v>42</v>
      </c>
      <c r="I9918" s="8" t="s">
        <v>39661</v>
      </c>
      <c r="J9918" s="8" t="str">
        <f>IFERROR(__XLUDF.DUMMYFUNCTION("VLOOKUP(H303,IMPORTRANGE(""https://docs.google.com/spreadsheets/d/1opm6ZNvGZ7KditA9TuJwrZ25eFLfTNIkrNnY6mhV5Eg"",""list!A1:C115""),3,TRUE)"),"le secteur des assurances")</f>
        <v xml:space="preserve">le secteur des assurances</v>
      </c>
      <c r="K9918" s="10" t="s">
        <v>43888</v>
      </c>
      <c r="L9918" s="10" t="s">
        <v>43889</v>
      </c>
      <c r="M9918" s="8" t="s">
        <v>4922</v>
      </c>
      <c r="N9918" s="8" t="s">
        <v>29</v>
      </c>
      <c r="O9918" s="8" t="s">
        <v>9215</v>
      </c>
      <c r="P9918" s="8"/>
      <c r="Q9918" s="8" t="s">
        <v>43890</v>
      </c>
      <c r="R9918" s="8"/>
      <c r="S9918" s="8"/>
      <c r="T9918" s="8"/>
      <c r="U9918" s="8"/>
      <c r="V9918" s="8"/>
      <c r="W9918" s="8"/>
      <c r="X9918" s="8"/>
      <c r="Y9918" s="8"/>
    </row>
    <row r="9919" ht="14.25">
      <c r="B9919" s="8" t="s">
        <v>2299</v>
      </c>
      <c r="C9919" s="8" t="s">
        <v>43891</v>
      </c>
      <c r="D9919" s="8" t="s">
        <v>112</v>
      </c>
      <c r="E9919" s="8" t="s">
        <v>43892</v>
      </c>
      <c r="F9919" s="8" t="str">
        <f>IFERROR(__XLUDF.DUMMYFUNCTION("PROPER(REGEXREPLACE(D304,""[^A-Za-z]+ "",""""))"),"Sogeas")</f>
        <v>Sogeas</v>
      </c>
      <c r="G9919" s="8" t="s">
        <v>43893</v>
      </c>
      <c r="H9919" s="9">
        <v>3</v>
      </c>
      <c r="I9919" s="8" t="s">
        <v>39661</v>
      </c>
      <c r="J9919" s="8" t="str">
        <f>IFERROR(__XLUDF.DUMMYFUNCTION("VLOOKUP(H304,IMPORTRANGE(""https://docs.google.com/spreadsheets/d/1opm6ZNvGZ7KditA9TuJwrZ25eFLfTNIkrNnY6mhV5Eg"",""list!A1:C115""),3,TRUE)"),"le secteur des assurances")</f>
        <v xml:space="preserve">le secteur des assurances</v>
      </c>
      <c r="K9919" s="10" t="s">
        <v>43894</v>
      </c>
      <c r="L9919" s="10" t="s">
        <v>43895</v>
      </c>
      <c r="M9919" s="8" t="s">
        <v>43896</v>
      </c>
      <c r="N9919" s="8" t="s">
        <v>29</v>
      </c>
      <c r="O9919" s="8" t="s">
        <v>9226</v>
      </c>
      <c r="P9919" s="8"/>
      <c r="Q9919" s="8"/>
      <c r="R9919" s="8"/>
      <c r="S9919" s="8"/>
      <c r="T9919" s="8"/>
      <c r="U9919" s="8"/>
      <c r="V9919" s="8"/>
      <c r="W9919" s="8"/>
      <c r="X9919" s="8"/>
      <c r="Y9919" s="8"/>
    </row>
    <row r="9920" ht="14.25">
      <c r="B9920" s="8" t="s">
        <v>1732</v>
      </c>
      <c r="C9920" s="8" t="s">
        <v>43897</v>
      </c>
      <c r="D9920" s="8" t="s">
        <v>426</v>
      </c>
      <c r="E9920" s="8" t="s">
        <v>43898</v>
      </c>
      <c r="F9920" s="8" t="str">
        <f>IFERROR(__XLUDF.DUMMYFUNCTION("PROPER(REGEXREPLACE(D305,""[^A-Za-z]+ "",""""))"),"Globe Keys")</f>
        <v xml:space="preserve">Globe Keys</v>
      </c>
      <c r="G9920" s="8" t="s">
        <v>43899</v>
      </c>
      <c r="H9920" s="9">
        <v>1</v>
      </c>
      <c r="I9920" s="8" t="s">
        <v>39661</v>
      </c>
      <c r="J9920" s="8" t="str">
        <f>IFERROR(__XLUDF.DUMMYFUNCTION("VLOOKUP(H305,IMPORTRANGE(""https://docs.google.com/spreadsheets/d/1opm6ZNvGZ7KditA9TuJwrZ25eFLfTNIkrNnY6mhV5Eg"",""list!A1:C115""),3,TRUE)"),"le secteur des assurances")</f>
        <v xml:space="preserve">le secteur des assurances</v>
      </c>
      <c r="K9920" s="10" t="s">
        <v>43900</v>
      </c>
      <c r="L9920" s="10" t="s">
        <v>43901</v>
      </c>
      <c r="M9920" s="8" t="s">
        <v>39</v>
      </c>
      <c r="N9920" s="8" t="s">
        <v>29</v>
      </c>
      <c r="O9920" s="8" t="s">
        <v>9160</v>
      </c>
      <c r="P9920" s="8"/>
      <c r="Q9920" s="8"/>
      <c r="R9920" s="8"/>
      <c r="S9920" s="8"/>
      <c r="T9920" s="8"/>
      <c r="U9920" s="8"/>
      <c r="V9920" s="8"/>
      <c r="W9920" s="8"/>
      <c r="X9920" s="8"/>
      <c r="Y9920" s="8"/>
    </row>
    <row r="9921" ht="14.25">
      <c r="B9921" s="18" t="s">
        <v>1215</v>
      </c>
      <c r="C9921" s="18" t="s">
        <v>12415</v>
      </c>
      <c r="D9921" s="18" t="s">
        <v>172</v>
      </c>
      <c r="E9921" s="18" t="s">
        <v>43902</v>
      </c>
      <c r="F9921" s="8" t="str">
        <f>IFERROR(__XLUDF.DUMMYFUNCTION("PROPER(REGEXREPLACE(D306,""[^A-Za-z]+ "",""""))"),"Ipeca")</f>
        <v>Ipeca</v>
      </c>
      <c r="G9921" s="18" t="s">
        <v>43903</v>
      </c>
      <c r="H9921" s="18">
        <v>95</v>
      </c>
      <c r="I9921" s="18" t="s">
        <v>39661</v>
      </c>
      <c r="J9921" s="8" t="str">
        <f>IFERROR(__XLUDF.DUMMYFUNCTION("VLOOKUP(H306,IMPORTRANGE(""https://docs.google.com/spreadsheets/d/1opm6ZNvGZ7KditA9TuJwrZ25eFLfTNIkrNnY6mhV5Eg"",""list!A1:C115""),3,TRUE)"),"le secteur des assurances")</f>
        <v xml:space="preserve">le secteur des assurances</v>
      </c>
      <c r="K9921" s="5" t="s">
        <v>43904</v>
      </c>
      <c r="L9921" s="5" t="s">
        <v>43905</v>
      </c>
      <c r="M9921" s="18" t="s">
        <v>39</v>
      </c>
      <c r="N9921" s="18" t="s">
        <v>29</v>
      </c>
      <c r="O9921" s="18" t="s">
        <v>43906</v>
      </c>
      <c r="P9921" s="18" t="s">
        <v>29</v>
      </c>
      <c r="Q9921" s="6"/>
      <c r="R9921" s="6"/>
      <c r="S9921" s="6"/>
      <c r="T9921" s="6"/>
      <c r="U9921" s="6"/>
      <c r="V9921" s="6"/>
      <c r="W9921" s="6"/>
      <c r="X9921" s="6"/>
      <c r="Y9921" s="6"/>
    </row>
    <row r="9922" ht="14.25">
      <c r="B9922" s="8" t="s">
        <v>7323</v>
      </c>
      <c r="C9922" s="8" t="s">
        <v>43907</v>
      </c>
      <c r="D9922" s="8" t="s">
        <v>112</v>
      </c>
      <c r="E9922" s="8" t="s">
        <v>43908</v>
      </c>
      <c r="F9922" s="8" t="str">
        <f>IFERROR(__XLUDF.DUMMYFUNCTION("PROPER(REGEXREPLACE(D307,""[^A-Za-z]+ "",""""))"),"Mansa Patrimoine")</f>
        <v xml:space="preserve">Mansa Patrimoine</v>
      </c>
      <c r="G9922" s="8" t="s">
        <v>43909</v>
      </c>
      <c r="H9922" s="9">
        <v>1</v>
      </c>
      <c r="I9922" s="8" t="s">
        <v>39661</v>
      </c>
      <c r="J9922" s="8" t="str">
        <f>IFERROR(__XLUDF.DUMMYFUNCTION("VLOOKUP(H307,IMPORTRANGE(""https://docs.google.com/spreadsheets/d/1opm6ZNvGZ7KditA9TuJwrZ25eFLfTNIkrNnY6mhV5Eg"",""list!A1:C115""),3,TRUE)"),"le secteur des assurances")</f>
        <v xml:space="preserve">le secteur des assurances</v>
      </c>
      <c r="K9922" s="10" t="s">
        <v>43910</v>
      </c>
      <c r="L9922" s="10" t="s">
        <v>43911</v>
      </c>
      <c r="M9922" s="8" t="s">
        <v>6777</v>
      </c>
      <c r="N9922" s="8" t="s">
        <v>29</v>
      </c>
      <c r="O9922" s="8" t="s">
        <v>9864</v>
      </c>
      <c r="P9922" s="8"/>
      <c r="Q9922" s="8" t="s">
        <v>43912</v>
      </c>
      <c r="R9922" s="8"/>
      <c r="S9922" s="8"/>
      <c r="T9922" s="8"/>
      <c r="U9922" s="8"/>
      <c r="V9922" s="8"/>
      <c r="W9922" s="8"/>
      <c r="X9922" s="8"/>
      <c r="Y9922" s="8"/>
    </row>
    <row r="9923" ht="14.25">
      <c r="B9923" s="8" t="s">
        <v>2119</v>
      </c>
      <c r="C9923" s="8" t="s">
        <v>43913</v>
      </c>
      <c r="D9923" s="8" t="s">
        <v>112</v>
      </c>
      <c r="E9923" s="8" t="s">
        <v>40803</v>
      </c>
      <c r="F9923" s="8" t="str">
        <f>IFERROR(__XLUDF.DUMMYFUNCTION("PROPER(REGEXREPLACE(D308,""[^A-Za-z]+ "",""""))"),"Mutuelle Des Services Publics")</f>
        <v xml:space="preserve">Mutuelle Des Services Publics</v>
      </c>
      <c r="G9923" s="8" t="s">
        <v>43914</v>
      </c>
      <c r="H9923" s="9">
        <v>18</v>
      </c>
      <c r="I9923" s="8" t="s">
        <v>39661</v>
      </c>
      <c r="J9923" s="8" t="str">
        <f>IFERROR(__XLUDF.DUMMYFUNCTION("VLOOKUP(H308,IMPORTRANGE(""https://docs.google.com/spreadsheets/d/1opm6ZNvGZ7KditA9TuJwrZ25eFLfTNIkrNnY6mhV5Eg"",""list!A1:C115""),3,TRUE)"),"le secteur des assurances")</f>
        <v xml:space="preserve">le secteur des assurances</v>
      </c>
      <c r="K9923" s="10" t="s">
        <v>43915</v>
      </c>
      <c r="L9923" s="10" t="s">
        <v>43746</v>
      </c>
      <c r="M9923" s="8" t="s">
        <v>295</v>
      </c>
      <c r="N9923" s="8" t="s">
        <v>29</v>
      </c>
      <c r="O9923" s="8" t="s">
        <v>9251</v>
      </c>
      <c r="P9923" s="8"/>
      <c r="Q9923" s="8"/>
      <c r="R9923" s="8"/>
      <c r="S9923" s="8"/>
      <c r="T9923" s="8"/>
      <c r="U9923" s="8"/>
      <c r="V9923" s="8"/>
      <c r="W9923" s="8"/>
      <c r="X9923" s="8"/>
      <c r="Y9923" s="8"/>
    </row>
    <row r="9924" ht="14.25">
      <c r="B9924" s="8" t="s">
        <v>710</v>
      </c>
      <c r="C9924" s="8" t="s">
        <v>43916</v>
      </c>
      <c r="D9924" s="8" t="s">
        <v>112</v>
      </c>
      <c r="E9924" s="8" t="s">
        <v>43917</v>
      </c>
      <c r="F9924" s="8" t="str">
        <f>IFERROR(__XLUDF.DUMMYFUNCTION("PROPER(REGEXREPLACE(D309,""[^A-Za-z]+ "",""""))"),"Colvert Assurances")</f>
        <v xml:space="preserve">Colvert Assurances</v>
      </c>
      <c r="G9924" s="8" t="s">
        <v>43918</v>
      </c>
      <c r="H9924" s="9">
        <v>3</v>
      </c>
      <c r="I9924" s="8" t="s">
        <v>39661</v>
      </c>
      <c r="J9924" s="8" t="str">
        <f>IFERROR(__XLUDF.DUMMYFUNCTION("VLOOKUP(H309,IMPORTRANGE(""https://docs.google.com/spreadsheets/d/1opm6ZNvGZ7KditA9TuJwrZ25eFLfTNIkrNnY6mhV5Eg"",""list!A1:C115""),3,TRUE)"),"le secteur des assurances")</f>
        <v xml:space="preserve">le secteur des assurances</v>
      </c>
      <c r="K9924" s="10" t="s">
        <v>43919</v>
      </c>
      <c r="L9924" s="10" t="s">
        <v>43920</v>
      </c>
      <c r="M9924" s="8" t="s">
        <v>295</v>
      </c>
      <c r="N9924" s="8" t="s">
        <v>29</v>
      </c>
      <c r="O9924" s="8" t="s">
        <v>9251</v>
      </c>
      <c r="P9924" s="8"/>
      <c r="Q9924" s="8" t="s">
        <v>43921</v>
      </c>
      <c r="R9924" s="8"/>
      <c r="S9924" s="8"/>
      <c r="T9924" s="8"/>
      <c r="U9924" s="8"/>
      <c r="V9924" s="8"/>
      <c r="W9924" s="8"/>
      <c r="X9924" s="8"/>
      <c r="Y9924" s="8"/>
    </row>
    <row r="9925" ht="14.25">
      <c r="B9925" s="8" t="s">
        <v>43922</v>
      </c>
      <c r="C9925" s="8" t="s">
        <v>43923</v>
      </c>
      <c r="D9925" s="8" t="s">
        <v>341</v>
      </c>
      <c r="E9925" s="8" t="s">
        <v>43924</v>
      </c>
      <c r="F9925" s="8" t="str">
        <f>IFERROR(__XLUDF.DUMMYFUNCTION("PROPER(REGEXREPLACE(D310,""[^A-Za-z]+ "",""""))"),"Alba Assurances")</f>
        <v xml:space="preserve">Alba Assurances</v>
      </c>
      <c r="G9925" s="8" t="s">
        <v>43925</v>
      </c>
      <c r="H9925" s="9">
        <v>1</v>
      </c>
      <c r="I9925" s="8" t="s">
        <v>39661</v>
      </c>
      <c r="J9925" s="8" t="str">
        <f>IFERROR(__XLUDF.DUMMYFUNCTION("VLOOKUP(H310,IMPORTRANGE(""https://docs.google.com/spreadsheets/d/1opm6ZNvGZ7KditA9TuJwrZ25eFLfTNIkrNnY6mhV5Eg"",""list!A1:C115""),3,TRUE)"),"le secteur des assurances")</f>
        <v xml:space="preserve">le secteur des assurances</v>
      </c>
      <c r="K9925" s="10" t="s">
        <v>43926</v>
      </c>
      <c r="L9925" s="10" t="s">
        <v>43927</v>
      </c>
      <c r="M9925" s="8" t="s">
        <v>43928</v>
      </c>
      <c r="N9925" s="8" t="s">
        <v>29</v>
      </c>
      <c r="O9925" s="8" t="s">
        <v>9215</v>
      </c>
      <c r="P9925" s="8"/>
      <c r="Q9925" s="8"/>
      <c r="R9925" s="8"/>
      <c r="S9925" s="8"/>
      <c r="T9925" s="8"/>
      <c r="U9925" s="8"/>
      <c r="V9925" s="8"/>
      <c r="W9925" s="8"/>
      <c r="X9925" s="8"/>
      <c r="Y9925" s="8"/>
    </row>
    <row r="9926" ht="14.25">
      <c r="B9926" s="18" t="s">
        <v>2249</v>
      </c>
      <c r="C9926" s="18" t="s">
        <v>43929</v>
      </c>
      <c r="D9926" s="18" t="s">
        <v>468</v>
      </c>
      <c r="E9926" s="18" t="s">
        <v>43930</v>
      </c>
      <c r="F9926" s="8" t="str">
        <f>IFERROR(__XLUDF.DUMMYFUNCTION("PROPER(REGEXREPLACE(D311,""[^A-Za-z]+ "",""""))"),"Chesneau")</f>
        <v>Chesneau</v>
      </c>
      <c r="G9926" s="18" t="s">
        <v>43931</v>
      </c>
      <c r="H9926" s="18">
        <v>83</v>
      </c>
      <c r="I9926" s="18" t="s">
        <v>39661</v>
      </c>
      <c r="J9926" s="8" t="str">
        <f>IFERROR(__XLUDF.DUMMYFUNCTION("VLOOKUP(H311,IMPORTRANGE(""https://docs.google.com/spreadsheets/d/1opm6ZNvGZ7KditA9TuJwrZ25eFLfTNIkrNnY6mhV5Eg"",""list!A1:C115""),3,TRUE)"),"le secteur des assurances")</f>
        <v xml:space="preserve">le secteur des assurances</v>
      </c>
      <c r="K9926" s="5" t="s">
        <v>43932</v>
      </c>
      <c r="L9926" s="5" t="s">
        <v>43933</v>
      </c>
      <c r="M9926" s="18" t="s">
        <v>2734</v>
      </c>
      <c r="N9926" s="18" t="s">
        <v>29</v>
      </c>
      <c r="O9926" s="18" t="s">
        <v>43934</v>
      </c>
      <c r="P9926" s="18" t="s">
        <v>29</v>
      </c>
      <c r="Q9926" s="18" t="s">
        <v>43935</v>
      </c>
      <c r="R9926" s="6"/>
      <c r="S9926" s="6"/>
      <c r="T9926" s="6"/>
      <c r="U9926" s="6"/>
      <c r="V9926" s="6"/>
      <c r="W9926" s="6"/>
      <c r="X9926" s="6"/>
      <c r="Y9926" s="6"/>
    </row>
    <row r="9927" ht="14.25">
      <c r="B9927" s="8" t="s">
        <v>525</v>
      </c>
      <c r="C9927" s="8" t="s">
        <v>43936</v>
      </c>
      <c r="D9927" s="8" t="s">
        <v>43937</v>
      </c>
      <c r="E9927" s="8" t="s">
        <v>43938</v>
      </c>
      <c r="F9927" s="8" t="str">
        <f>IFERROR(__XLUDF.DUMMYFUNCTION("PROPER(REGEXREPLACE(D312,""[^A-Za-z]+ "",""""))"),"Vetoptim Assurance")</f>
        <v xml:space="preserve">Vetoptim Assurance</v>
      </c>
      <c r="G9927" s="8" t="s">
        <v>43939</v>
      </c>
      <c r="H9927" s="9">
        <v>10</v>
      </c>
      <c r="I9927" s="8" t="s">
        <v>39661</v>
      </c>
      <c r="J9927" s="8" t="str">
        <f>IFERROR(__XLUDF.DUMMYFUNCTION("VLOOKUP(H312,IMPORTRANGE(""https://docs.google.com/spreadsheets/d/1opm6ZNvGZ7KditA9TuJwrZ25eFLfTNIkrNnY6mhV5Eg"",""list!A1:C115""),3,TRUE)"),"le secteur des assurances")</f>
        <v xml:space="preserve">le secteur des assurances</v>
      </c>
      <c r="K9927" s="10" t="s">
        <v>43940</v>
      </c>
      <c r="L9927" s="10" t="s">
        <v>43941</v>
      </c>
      <c r="M9927" s="8" t="s">
        <v>9237</v>
      </c>
      <c r="N9927" s="8" t="s">
        <v>29</v>
      </c>
      <c r="O9927" s="8" t="s">
        <v>9238</v>
      </c>
      <c r="P9927" s="8"/>
      <c r="Q9927" s="8" t="s">
        <v>43942</v>
      </c>
      <c r="R9927" s="8"/>
      <c r="S9927" s="8"/>
      <c r="T9927" s="8"/>
      <c r="U9927" s="8"/>
      <c r="V9927" s="8"/>
      <c r="W9927" s="8"/>
      <c r="X9927" s="8"/>
      <c r="Y9927" s="8"/>
    </row>
    <row r="9928" ht="14.25">
      <c r="B9928" s="8" t="s">
        <v>16133</v>
      </c>
      <c r="C9928" s="8" t="s">
        <v>4245</v>
      </c>
      <c r="D9928" s="8" t="s">
        <v>25490</v>
      </c>
      <c r="E9928" s="8" t="s">
        <v>43943</v>
      </c>
      <c r="F9928" s="8" t="str">
        <f>IFERROR(__XLUDF.DUMMYFUNCTION("PROPER(REGEXREPLACE(D313,""[^A-Za-z]+ "",""""))"),"Rdaniel Courtage")</f>
        <v xml:space="preserve">Rdaniel Courtage</v>
      </c>
      <c r="G9928" s="8" t="s">
        <v>43944</v>
      </c>
      <c r="H9928" s="8"/>
      <c r="I9928" s="8"/>
      <c r="J9928" s="8" t="s">
        <v>42267</v>
      </c>
      <c r="K9928" s="10" t="s">
        <v>43945</v>
      </c>
      <c r="L9928" s="10" t="s">
        <v>43946</v>
      </c>
      <c r="M9928" s="8" t="s">
        <v>31967</v>
      </c>
      <c r="N9928" s="8" t="s">
        <v>29</v>
      </c>
      <c r="O9928" s="8" t="s">
        <v>9350</v>
      </c>
      <c r="P9928" s="8"/>
      <c r="Q9928" s="8"/>
      <c r="R9928" s="8"/>
      <c r="S9928" s="8"/>
      <c r="T9928" s="8"/>
      <c r="U9928" s="8"/>
      <c r="V9928" s="8"/>
      <c r="W9928" s="8"/>
      <c r="X9928" s="8"/>
      <c r="Y9928" s="8"/>
    </row>
    <row r="9929" ht="14.25">
      <c r="B9929" s="18" t="s">
        <v>2643</v>
      </c>
      <c r="C9929" s="18" t="s">
        <v>43947</v>
      </c>
      <c r="D9929" s="18" t="s">
        <v>164</v>
      </c>
      <c r="E9929" s="18" t="s">
        <v>42809</v>
      </c>
      <c r="F9929" s="8" t="str">
        <f>IFERROR(__XLUDF.DUMMYFUNCTION("PROPER(REGEXREPLACE(D314,""[^A-Za-z]+ "",""""))"),"Altima Assurances")</f>
        <v xml:space="preserve">Altima Assurances</v>
      </c>
      <c r="G9929" s="18" t="s">
        <v>43948</v>
      </c>
      <c r="H9929" s="18">
        <v>82</v>
      </c>
      <c r="I9929" s="18" t="s">
        <v>39661</v>
      </c>
      <c r="J9929" s="8" t="str">
        <f>IFERROR(__XLUDF.DUMMYFUNCTION("VLOOKUP(H314,IMPORTRANGE(""https://docs.google.com/spreadsheets/d/1opm6ZNvGZ7KditA9TuJwrZ25eFLfTNIkrNnY6mhV5Eg"",""list!A1:C115""),3,TRUE)"),"le secteur des assurances")</f>
        <v xml:space="preserve">le secteur des assurances</v>
      </c>
      <c r="K9929" s="5" t="s">
        <v>43949</v>
      </c>
      <c r="L9929" s="5" t="s">
        <v>42812</v>
      </c>
      <c r="M9929" s="18" t="s">
        <v>2149</v>
      </c>
      <c r="N9929" s="18" t="s">
        <v>29</v>
      </c>
      <c r="O9929" s="18" t="s">
        <v>42813</v>
      </c>
      <c r="P9929" s="18" t="s">
        <v>29</v>
      </c>
      <c r="Q9929" s="18" t="s">
        <v>42814</v>
      </c>
      <c r="R9929" s="6"/>
      <c r="S9929" s="6"/>
      <c r="T9929" s="6"/>
      <c r="U9929" s="6"/>
      <c r="V9929" s="6"/>
      <c r="W9929" s="6"/>
      <c r="X9929" s="6"/>
      <c r="Y9929" s="6"/>
    </row>
    <row r="9930" ht="14.25">
      <c r="B9930" s="18" t="s">
        <v>110</v>
      </c>
      <c r="C9930" s="18" t="s">
        <v>43950</v>
      </c>
      <c r="D9930" s="18" t="s">
        <v>43951</v>
      </c>
      <c r="E9930" s="18" t="s">
        <v>43952</v>
      </c>
      <c r="F9930" s="8" t="str">
        <f>IFERROR(__XLUDF.DUMMYFUNCTION("PROPER(REGEXREPLACE(D315,""[^A-Za-z]+ "",""""))"),"Moonee")</f>
        <v>Moonee</v>
      </c>
      <c r="G9930" s="18" t="s">
        <v>43953</v>
      </c>
      <c r="H9930" s="18">
        <v>45</v>
      </c>
      <c r="I9930" s="18" t="s">
        <v>39661</v>
      </c>
      <c r="J9930" s="8" t="str">
        <f>IFERROR(__XLUDF.DUMMYFUNCTION("VLOOKUP(H315,IMPORTRANGE(""https://docs.google.com/spreadsheets/d/1opm6ZNvGZ7KditA9TuJwrZ25eFLfTNIkrNnY6mhV5Eg"",""list!A1:C115""),3,TRUE)"),"le secteur des assurances")</f>
        <v xml:space="preserve">le secteur des assurances</v>
      </c>
      <c r="K9930" s="5" t="s">
        <v>43954</v>
      </c>
      <c r="L9930" s="5" t="s">
        <v>43955</v>
      </c>
      <c r="M9930" s="18" t="s">
        <v>1711</v>
      </c>
      <c r="N9930" s="18" t="s">
        <v>29</v>
      </c>
      <c r="O9930" s="18" t="s">
        <v>43956</v>
      </c>
      <c r="P9930" s="18" t="s">
        <v>29</v>
      </c>
      <c r="Q9930" s="6"/>
      <c r="R9930" s="6"/>
      <c r="S9930" s="6"/>
      <c r="T9930" s="6"/>
      <c r="U9930" s="6"/>
      <c r="V9930" s="6"/>
      <c r="W9930" s="6"/>
      <c r="X9930" s="6"/>
      <c r="Y9930" s="6"/>
    </row>
    <row r="9931" ht="14.25">
      <c r="B9931" s="8" t="s">
        <v>20023</v>
      </c>
      <c r="C9931" s="8" t="s">
        <v>43957</v>
      </c>
      <c r="D9931" s="8" t="s">
        <v>9582</v>
      </c>
      <c r="E9931" s="8" t="s">
        <v>43958</v>
      </c>
      <c r="F9931" s="8" t="str">
        <f>IFERROR(__XLUDF.DUMMYFUNCTION("PROPER(REGEXREPLACE(D316,""[^A-Za-z]+ "",""""))"),"Gmp Assistance")</f>
        <v xml:space="preserve">Gmp Assistance</v>
      </c>
      <c r="G9931" s="8" t="s">
        <v>43959</v>
      </c>
      <c r="H9931" s="9">
        <v>10</v>
      </c>
      <c r="I9931" s="8" t="s">
        <v>39661</v>
      </c>
      <c r="J9931" s="8" t="str">
        <f>IFERROR(__XLUDF.DUMMYFUNCTION("VLOOKUP(H316,IMPORTRANGE(""https://docs.google.com/spreadsheets/d/1opm6ZNvGZ7KditA9TuJwrZ25eFLfTNIkrNnY6mhV5Eg"",""list!A1:C115""),3,TRUE)"),"le secteur des assurances")</f>
        <v xml:space="preserve">le secteur des assurances</v>
      </c>
      <c r="K9931" s="10" t="s">
        <v>43960</v>
      </c>
      <c r="L9931" s="10" t="s">
        <v>43961</v>
      </c>
      <c r="M9931" s="8" t="s">
        <v>43962</v>
      </c>
      <c r="N9931" s="8" t="s">
        <v>29</v>
      </c>
      <c r="O9931" s="8" t="s">
        <v>9215</v>
      </c>
      <c r="P9931" s="8"/>
      <c r="Q9931" s="8"/>
      <c r="R9931" s="8"/>
      <c r="S9931" s="8"/>
      <c r="T9931" s="8"/>
      <c r="U9931" s="8"/>
      <c r="V9931" s="8"/>
      <c r="W9931" s="8"/>
      <c r="X9931" s="8"/>
      <c r="Y9931" s="8"/>
    </row>
    <row r="9932" ht="14.25">
      <c r="B9932" s="8" t="s">
        <v>2503</v>
      </c>
      <c r="C9932" s="8" t="s">
        <v>3850</v>
      </c>
      <c r="D9932" s="8" t="s">
        <v>120</v>
      </c>
      <c r="E9932" s="8" t="s">
        <v>43963</v>
      </c>
      <c r="F9932" s="8" t="str">
        <f>IFERROR(__XLUDF.DUMMYFUNCTION("PROPER(REGEXREPLACE(D317,""[^A-Za-z]+ "",""""))"),"Daccess")</f>
        <v>Daccess</v>
      </c>
      <c r="G9932" s="8" t="s">
        <v>43964</v>
      </c>
      <c r="H9932" s="9">
        <v>2</v>
      </c>
      <c r="I9932" s="8" t="s">
        <v>39661</v>
      </c>
      <c r="J9932" s="8" t="str">
        <f>IFERROR(__XLUDF.DUMMYFUNCTION("VLOOKUP(H317,IMPORTRANGE(""https://docs.google.com/spreadsheets/d/1opm6ZNvGZ7KditA9TuJwrZ25eFLfTNIkrNnY6mhV5Eg"",""list!A1:C115""),3,TRUE)"),"le secteur des assurances")</f>
        <v xml:space="preserve">le secteur des assurances</v>
      </c>
      <c r="K9932" s="10" t="s">
        <v>43965</v>
      </c>
      <c r="L9932" s="10" t="s">
        <v>43966</v>
      </c>
      <c r="M9932" s="8" t="s">
        <v>39</v>
      </c>
      <c r="N9932" s="8" t="s">
        <v>29</v>
      </c>
      <c r="O9932" s="8" t="s">
        <v>9160</v>
      </c>
      <c r="P9932" s="8"/>
      <c r="Q9932" s="8"/>
      <c r="R9932" s="8"/>
      <c r="S9932" s="8"/>
      <c r="T9932" s="8"/>
      <c r="U9932" s="8"/>
      <c r="V9932" s="8"/>
      <c r="W9932" s="8"/>
      <c r="X9932" s="8"/>
      <c r="Y9932" s="8"/>
    </row>
    <row r="9933" ht="14.25">
      <c r="B9933" s="8" t="s">
        <v>10864</v>
      </c>
      <c r="C9933" s="8" t="s">
        <v>43967</v>
      </c>
      <c r="D9933" s="8" t="s">
        <v>43968</v>
      </c>
      <c r="E9933" s="8" t="s">
        <v>43969</v>
      </c>
      <c r="F9933" s="8" t="str">
        <f>IFERROR(__XLUDF.DUMMYFUNCTION("PROPER(REGEXREPLACE(D318,""[^A-Za-z]+ "",""""))"),"Coala-Invest")</f>
        <v>Coala-Invest</v>
      </c>
      <c r="G9933" s="8" t="s">
        <v>43970</v>
      </c>
      <c r="H9933" s="9">
        <v>1</v>
      </c>
      <c r="I9933" s="8" t="s">
        <v>39661</v>
      </c>
      <c r="J9933" s="8" t="str">
        <f>IFERROR(__XLUDF.DUMMYFUNCTION("VLOOKUP(H318,IMPORTRANGE(""https://docs.google.com/spreadsheets/d/1opm6ZNvGZ7KditA9TuJwrZ25eFLfTNIkrNnY6mhV5Eg"",""list!A1:C115""),3,TRUE)"),"le secteur des assurances")</f>
        <v xml:space="preserve">le secteur des assurances</v>
      </c>
      <c r="K9933" s="10" t="s">
        <v>43971</v>
      </c>
      <c r="L9933" s="8"/>
      <c r="M9933" s="8" t="s">
        <v>10009</v>
      </c>
      <c r="N9933" s="8" t="s">
        <v>29</v>
      </c>
      <c r="O9933" s="8" t="s">
        <v>9251</v>
      </c>
      <c r="P9933" s="8"/>
      <c r="Q9933" s="8" t="s">
        <v>43972</v>
      </c>
      <c r="R9933" s="8"/>
      <c r="S9933" s="8"/>
      <c r="T9933" s="8"/>
      <c r="U9933" s="8"/>
      <c r="V9933" s="8"/>
      <c r="W9933" s="8"/>
      <c r="X9933" s="8"/>
      <c r="Y9933" s="8"/>
    </row>
    <row r="9934" ht="14.25">
      <c r="B9934" s="18" t="s">
        <v>2659</v>
      </c>
      <c r="C9934" s="18" t="s">
        <v>43973</v>
      </c>
      <c r="D9934" s="18" t="s">
        <v>62</v>
      </c>
      <c r="E9934" s="18" t="s">
        <v>43974</v>
      </c>
      <c r="F9934" s="8" t="str">
        <f>IFERROR(__XLUDF.DUMMYFUNCTION("PROPER(REGEXREPLACE(D319,""[^A-Za-z]+ "",""""))"),"Dsa Europe")</f>
        <v xml:space="preserve">Dsa Europe</v>
      </c>
      <c r="G9934" s="18" t="s">
        <v>43975</v>
      </c>
      <c r="H9934" s="18">
        <v>3</v>
      </c>
      <c r="I9934" s="18" t="s">
        <v>39661</v>
      </c>
      <c r="J9934" s="8" t="str">
        <f>IFERROR(__XLUDF.DUMMYFUNCTION("VLOOKUP(H319,IMPORTRANGE(""https://docs.google.com/spreadsheets/d/1opm6ZNvGZ7KditA9TuJwrZ25eFLfTNIkrNnY6mhV5Eg"",""list!A1:C115""),3,TRUE)"),"le secteur des assurances")</f>
        <v xml:space="preserve">le secteur des assurances</v>
      </c>
      <c r="K9934" s="5" t="s">
        <v>43976</v>
      </c>
      <c r="L9934" s="5" t="s">
        <v>43977</v>
      </c>
      <c r="M9934" s="18" t="s">
        <v>83</v>
      </c>
      <c r="N9934" s="18" t="s">
        <v>29</v>
      </c>
      <c r="O9934" s="18" t="s">
        <v>43978</v>
      </c>
      <c r="P9934" s="18" t="s">
        <v>1548</v>
      </c>
      <c r="Q9934" s="6"/>
      <c r="R9934" s="6"/>
      <c r="S9934" s="6"/>
      <c r="T9934" s="6"/>
      <c r="U9934" s="6"/>
      <c r="V9934" s="6"/>
      <c r="W9934" s="6"/>
      <c r="X9934" s="6"/>
      <c r="Y9934" s="6"/>
    </row>
    <row r="9935" ht="14.25">
      <c r="B9935" s="18" t="s">
        <v>579</v>
      </c>
      <c r="C9935" s="18" t="s">
        <v>43979</v>
      </c>
      <c r="D9935" s="18" t="s">
        <v>18373</v>
      </c>
      <c r="E9935" s="18" t="s">
        <v>43980</v>
      </c>
      <c r="F9935" s="8" t="str">
        <f>IFERROR(__XLUDF.DUMMYFUNCTION("PROPER(REGEXREPLACE(D320,""[^A-Za-z]+ "",""""))"),"Hoggo")</f>
        <v>Hoggo</v>
      </c>
      <c r="G9935" s="18" t="s">
        <v>43981</v>
      </c>
      <c r="H9935" s="18">
        <v>63</v>
      </c>
      <c r="I9935" s="18" t="s">
        <v>39661</v>
      </c>
      <c r="J9935" s="8" t="str">
        <f>IFERROR(__XLUDF.DUMMYFUNCTION("VLOOKUP(H320,IMPORTRANGE(""https://docs.google.com/spreadsheets/d/1opm6ZNvGZ7KditA9TuJwrZ25eFLfTNIkrNnY6mhV5Eg"",""list!A1:C115""),3,TRUE)"),"le secteur des assurances")</f>
        <v xml:space="preserve">le secteur des assurances</v>
      </c>
      <c r="K9935" s="5" t="s">
        <v>43982</v>
      </c>
      <c r="L9935" s="5" t="s">
        <v>43983</v>
      </c>
      <c r="M9935" s="6"/>
      <c r="N9935" s="18" t="s">
        <v>29</v>
      </c>
      <c r="O9935" s="18" t="s">
        <v>43984</v>
      </c>
      <c r="P9935" s="18" t="s">
        <v>29</v>
      </c>
      <c r="Q9935" s="18" t="s">
        <v>43985</v>
      </c>
      <c r="R9935" s="6"/>
      <c r="S9935" s="6"/>
      <c r="T9935" s="6"/>
      <c r="U9935" s="6"/>
      <c r="V9935" s="6"/>
      <c r="W9935" s="6"/>
      <c r="X9935" s="6"/>
      <c r="Y9935" s="6"/>
    </row>
    <row r="9936" ht="14.25">
      <c r="B9936" s="8" t="s">
        <v>485</v>
      </c>
      <c r="C9936" s="8" t="s">
        <v>43986</v>
      </c>
      <c r="D9936" s="8" t="s">
        <v>43987</v>
      </c>
      <c r="E9936" s="8" t="s">
        <v>43988</v>
      </c>
      <c r="F9936" s="8" t="str">
        <f>IFERROR(__XLUDF.DUMMYFUNCTION("PROPER(REGEXREPLACE(D321,""[^A-Za-z]+ "",""""))"),"Asselio")</f>
        <v>Asselio</v>
      </c>
      <c r="G9936" s="8" t="s">
        <v>43989</v>
      </c>
      <c r="H9936" s="9">
        <v>43</v>
      </c>
      <c r="I9936" s="8" t="s">
        <v>39661</v>
      </c>
      <c r="J9936" s="8" t="str">
        <f>IFERROR(__XLUDF.DUMMYFUNCTION("VLOOKUP(H321,IMPORTRANGE(""https://docs.google.com/spreadsheets/d/1opm6ZNvGZ7KditA9TuJwrZ25eFLfTNIkrNnY6mhV5Eg"",""list!A1:C115""),3,TRUE)"),"le secteur des assurances")</f>
        <v xml:space="preserve">le secteur des assurances</v>
      </c>
      <c r="K9936" s="10" t="s">
        <v>43990</v>
      </c>
      <c r="L9936" s="10" t="s">
        <v>43991</v>
      </c>
      <c r="M9936" s="8" t="s">
        <v>185</v>
      </c>
      <c r="N9936" s="8" t="s">
        <v>29</v>
      </c>
      <c r="O9936" s="8" t="s">
        <v>9193</v>
      </c>
      <c r="P9936" s="8"/>
      <c r="Q9936" s="8" t="s">
        <v>43992</v>
      </c>
      <c r="R9936" s="8"/>
      <c r="S9936" s="8"/>
      <c r="T9936" s="8"/>
      <c r="U9936" s="8"/>
      <c r="V9936" s="8"/>
      <c r="W9936" s="8"/>
      <c r="X9936" s="8"/>
      <c r="Y9936" s="8"/>
    </row>
    <row r="9937" ht="14.25">
      <c r="B9937" s="8" t="s">
        <v>110</v>
      </c>
      <c r="C9937" s="8" t="s">
        <v>6907</v>
      </c>
      <c r="D9937" s="8" t="s">
        <v>112</v>
      </c>
      <c r="E9937" s="8" t="s">
        <v>43993</v>
      </c>
      <c r="F9937" s="8" t="str">
        <f>IFERROR(__XLUDF.DUMMYFUNCTION("PROPER(REGEXREPLACE(D322,""[^A-Za-z]+ "",""""))"),"Horizon Consultant")</f>
        <v xml:space="preserve">Horizon Consultant</v>
      </c>
      <c r="G9937" s="8" t="s">
        <v>43994</v>
      </c>
      <c r="H9937" s="9">
        <v>16</v>
      </c>
      <c r="I9937" s="8" t="s">
        <v>39661</v>
      </c>
      <c r="J9937" s="8" t="str">
        <f>IFERROR(__XLUDF.DUMMYFUNCTION("VLOOKUP(H322,IMPORTRANGE(""https://docs.google.com/spreadsheets/d/1opm6ZNvGZ7KditA9TuJwrZ25eFLfTNIkrNnY6mhV5Eg"",""list!A1:C115""),3,TRUE)"),"le secteur des assurances")</f>
        <v xml:space="preserve">le secteur des assurances</v>
      </c>
      <c r="K9937" s="10" t="s">
        <v>43995</v>
      </c>
      <c r="L9937" s="10" t="s">
        <v>43996</v>
      </c>
      <c r="M9937" s="8" t="s">
        <v>185</v>
      </c>
      <c r="N9937" s="8" t="s">
        <v>29</v>
      </c>
      <c r="O9937" s="8" t="s">
        <v>9193</v>
      </c>
      <c r="P9937" s="8"/>
      <c r="Q9937" s="8"/>
      <c r="R9937" s="8"/>
      <c r="S9937" s="8"/>
      <c r="T9937" s="8"/>
      <c r="U9937" s="8"/>
      <c r="V9937" s="8"/>
      <c r="W9937" s="8"/>
      <c r="X9937" s="8"/>
      <c r="Y9937" s="8"/>
    </row>
    <row r="9938" ht="14.25">
      <c r="B9938" s="18" t="s">
        <v>29</v>
      </c>
      <c r="C9938" s="18" t="s">
        <v>43997</v>
      </c>
      <c r="D9938" s="18" t="s">
        <v>44</v>
      </c>
      <c r="E9938" s="18" t="s">
        <v>43997</v>
      </c>
      <c r="F9938" s="8" t="str">
        <f>IFERROR(__XLUDF.DUMMYFUNCTION("PROPER(REGEXREPLACE(D323,""[^A-Za-z]+ "",""""))"),"Solmondo")</f>
        <v>Solmondo</v>
      </c>
      <c r="G9938" s="18" t="s">
        <v>43998</v>
      </c>
      <c r="H9938" s="18">
        <v>4</v>
      </c>
      <c r="I9938" s="18" t="s">
        <v>39661</v>
      </c>
      <c r="J9938" s="8" t="str">
        <f>IFERROR(__XLUDF.DUMMYFUNCTION("VLOOKUP(H323,IMPORTRANGE(""https://docs.google.com/spreadsheets/d/1opm6ZNvGZ7KditA9TuJwrZ25eFLfTNIkrNnY6mhV5Eg"",""list!A1:C115""),3,TRUE)"),"le secteur des assurances")</f>
        <v xml:space="preserve">le secteur des assurances</v>
      </c>
      <c r="K9938" s="5" t="s">
        <v>43999</v>
      </c>
      <c r="L9938" s="5" t="s">
        <v>44000</v>
      </c>
      <c r="M9938" s="18" t="s">
        <v>39</v>
      </c>
      <c r="N9938" s="18" t="s">
        <v>29</v>
      </c>
      <c r="O9938" s="18" t="s">
        <v>44001</v>
      </c>
      <c r="P9938" s="18" t="s">
        <v>29</v>
      </c>
      <c r="Q9938" s="18" t="s">
        <v>44002</v>
      </c>
      <c r="R9938" s="6"/>
      <c r="S9938" s="6"/>
      <c r="T9938" s="6"/>
      <c r="U9938" s="6"/>
      <c r="V9938" s="6"/>
      <c r="W9938" s="6"/>
      <c r="X9938" s="6"/>
      <c r="Y9938" s="6"/>
    </row>
    <row r="9939" ht="14.25">
      <c r="B9939" s="8" t="s">
        <v>170</v>
      </c>
      <c r="C9939" s="8" t="s">
        <v>28033</v>
      </c>
      <c r="D9939" s="8" t="s">
        <v>44003</v>
      </c>
      <c r="E9939" s="10" t="s">
        <v>44004</v>
      </c>
      <c r="F9939" s="11" t="str">
        <f>IFERROR(__XLUDF.DUMMYFUNCTION("PROPER(REGEXREPLACE(D324,""[^A-Za-z]+ "",""""))"),"Pauly-Medical.Com")</f>
        <v>Pauly-Medical.Com</v>
      </c>
      <c r="G9939" s="8" t="s">
        <v>44005</v>
      </c>
      <c r="H9939" s="9">
        <v>1</v>
      </c>
      <c r="I9939" s="8" t="s">
        <v>39661</v>
      </c>
      <c r="J9939" s="8" t="str">
        <f>IFERROR(__XLUDF.DUMMYFUNCTION("VLOOKUP(H324,IMPORTRANGE(""https://docs.google.com/spreadsheets/d/1opm6ZNvGZ7KditA9TuJwrZ25eFLfTNIkrNnY6mhV5Eg"",""list!A1:C115""),3,TRUE)"),"le secteur des assurances")</f>
        <v xml:space="preserve">le secteur des assurances</v>
      </c>
      <c r="K9939" s="10" t="s">
        <v>44006</v>
      </c>
      <c r="L9939" s="10" t="s">
        <v>44007</v>
      </c>
      <c r="M9939" s="8" t="s">
        <v>846</v>
      </c>
      <c r="N9939" s="8" t="s">
        <v>29</v>
      </c>
      <c r="O9939" s="8" t="s">
        <v>9281</v>
      </c>
      <c r="P9939" s="8"/>
      <c r="Q9939" s="8"/>
      <c r="R9939" s="8"/>
      <c r="S9939" s="8"/>
      <c r="T9939" s="8"/>
      <c r="U9939" s="8"/>
      <c r="V9939" s="8"/>
      <c r="W9939" s="8"/>
      <c r="X9939" s="8"/>
      <c r="Y9939" s="8"/>
    </row>
    <row r="9940" ht="14.25">
      <c r="B9940" s="8" t="s">
        <v>7323</v>
      </c>
      <c r="C9940" s="8" t="s">
        <v>44008</v>
      </c>
      <c r="D9940" s="8" t="s">
        <v>44009</v>
      </c>
      <c r="E9940" s="8" t="s">
        <v>44010</v>
      </c>
      <c r="F9940" s="8" t="str">
        <f>IFERROR(__XLUDF.DUMMYFUNCTION("PROPER(REGEXREPLACE(D325,""[^A-Za-z]+ "",""""))"),"Lilycare")</f>
        <v>Lilycare</v>
      </c>
      <c r="G9940" s="8" t="s">
        <v>44011</v>
      </c>
      <c r="H9940" s="9">
        <v>7</v>
      </c>
      <c r="I9940" s="8" t="s">
        <v>39661</v>
      </c>
      <c r="J9940" s="8" t="str">
        <f>IFERROR(__XLUDF.DUMMYFUNCTION("VLOOKUP(H325,IMPORTRANGE(""https://docs.google.com/spreadsheets/d/1opm6ZNvGZ7KditA9TuJwrZ25eFLfTNIkrNnY6mhV5Eg"",""list!A1:C115""),3,TRUE)"),"le secteur des assurances")</f>
        <v xml:space="preserve">le secteur des assurances</v>
      </c>
      <c r="K9940" s="10" t="s">
        <v>44012</v>
      </c>
      <c r="L9940" s="10" t="s">
        <v>44013</v>
      </c>
      <c r="M9940" s="8" t="s">
        <v>39</v>
      </c>
      <c r="N9940" s="8" t="s">
        <v>29</v>
      </c>
      <c r="O9940" s="8" t="s">
        <v>9160</v>
      </c>
      <c r="P9940" s="8"/>
      <c r="Q9940" s="8" t="s">
        <v>44014</v>
      </c>
      <c r="R9940" s="8"/>
      <c r="S9940" s="8"/>
      <c r="T9940" s="8"/>
      <c r="U9940" s="8"/>
      <c r="V9940" s="8"/>
      <c r="W9940" s="8"/>
      <c r="X9940" s="8"/>
      <c r="Y9940" s="8"/>
    </row>
    <row r="9941" ht="14.25">
      <c r="B9941" s="8" t="s">
        <v>6243</v>
      </c>
      <c r="C9941" s="8" t="s">
        <v>2410</v>
      </c>
      <c r="D9941" s="8" t="s">
        <v>2636</v>
      </c>
      <c r="E9941" s="8" t="s">
        <v>44015</v>
      </c>
      <c r="F9941" s="8" t="str">
        <f>IFERROR(__XLUDF.DUMMYFUNCTION("PROPER(REGEXREPLACE(D326,""[^A-Za-z]+ "",""""))"),"Groupe Ascolli")</f>
        <v xml:space="preserve">Groupe Ascolli</v>
      </c>
      <c r="G9941" s="8" t="s">
        <v>44016</v>
      </c>
      <c r="H9941" s="9">
        <v>2</v>
      </c>
      <c r="I9941" s="8" t="s">
        <v>39661</v>
      </c>
      <c r="J9941" s="8" t="str">
        <f>IFERROR(__XLUDF.DUMMYFUNCTION("VLOOKUP(H326,IMPORTRANGE(""https://docs.google.com/spreadsheets/d/1opm6ZNvGZ7KditA9TuJwrZ25eFLfTNIkrNnY6mhV5Eg"",""list!A1:C115""),3,TRUE)"),"le secteur des assurances")</f>
        <v xml:space="preserve">le secteur des assurances</v>
      </c>
      <c r="K9941" s="10" t="s">
        <v>44017</v>
      </c>
      <c r="L9941" s="10" t="s">
        <v>44018</v>
      </c>
      <c r="M9941" s="8" t="s">
        <v>39</v>
      </c>
      <c r="N9941" s="8" t="s">
        <v>29</v>
      </c>
      <c r="O9941" s="8" t="s">
        <v>9160</v>
      </c>
      <c r="P9941" s="8"/>
      <c r="Q9941" s="8"/>
      <c r="R9941" s="8"/>
      <c r="S9941" s="8"/>
      <c r="T9941" s="8"/>
      <c r="U9941" s="8"/>
      <c r="V9941" s="8"/>
      <c r="W9941" s="8"/>
      <c r="X9941" s="8"/>
      <c r="Y9941" s="8"/>
    </row>
    <row r="9942" ht="14.25">
      <c r="B9942" s="8" t="s">
        <v>710</v>
      </c>
      <c r="C9942" s="8" t="s">
        <v>44019</v>
      </c>
      <c r="D9942" s="8" t="s">
        <v>112</v>
      </c>
      <c r="E9942" s="8" t="s">
        <v>44020</v>
      </c>
      <c r="F9942" s="8" t="str">
        <f>IFERROR(__XLUDF.DUMMYFUNCTION("PROPER(REGEXREPLACE(D327,""[^A-Za-z]+ "",""""))"),"Wargny Assurances")</f>
        <v xml:space="preserve">Wargny Assurances</v>
      </c>
      <c r="G9942" s="8" t="s">
        <v>44021</v>
      </c>
      <c r="H9942" s="9">
        <v>35</v>
      </c>
      <c r="I9942" s="8" t="s">
        <v>39661</v>
      </c>
      <c r="J9942" s="8" t="str">
        <f>IFERROR(__XLUDF.DUMMYFUNCTION("VLOOKUP(H327,IMPORTRANGE(""https://docs.google.com/spreadsheets/d/1opm6ZNvGZ7KditA9TuJwrZ25eFLfTNIkrNnY6mhV5Eg"",""list!A1:C115""),3,TRUE)"),"le secteur des assurances")</f>
        <v xml:space="preserve">le secteur des assurances</v>
      </c>
      <c r="K9942" s="10" t="s">
        <v>44022</v>
      </c>
      <c r="L9942" s="10" t="s">
        <v>44023</v>
      </c>
      <c r="M9942" s="8" t="s">
        <v>39</v>
      </c>
      <c r="N9942" s="8" t="s">
        <v>29</v>
      </c>
      <c r="O9942" s="8" t="s">
        <v>9160</v>
      </c>
      <c r="P9942" s="8"/>
      <c r="Q9942" s="8"/>
      <c r="R9942" s="8"/>
      <c r="S9942" s="8"/>
      <c r="T9942" s="8"/>
      <c r="U9942" s="8"/>
      <c r="V9942" s="8"/>
      <c r="W9942" s="8"/>
      <c r="X9942" s="8"/>
      <c r="Y9942" s="8"/>
    </row>
    <row r="9943" ht="14.25">
      <c r="B9943" s="8" t="s">
        <v>653</v>
      </c>
      <c r="C9943" s="8" t="s">
        <v>44024</v>
      </c>
      <c r="D9943" s="8" t="s">
        <v>172</v>
      </c>
      <c r="E9943" s="8" t="s">
        <v>44025</v>
      </c>
      <c r="F9943" s="8" t="str">
        <f>IFERROR(__XLUDF.DUMMYFUNCTION("PROPER(REGEXREPLACE(D328,""[^A-Za-z]+ "",""""))"),"Ares Groupe")</f>
        <v xml:space="preserve">Ares Groupe</v>
      </c>
      <c r="G9943" s="8" t="s">
        <v>44026</v>
      </c>
      <c r="H9943" s="8"/>
      <c r="I9943" s="8"/>
      <c r="J9943" s="8" t="s">
        <v>42267</v>
      </c>
      <c r="K9943" s="10" t="s">
        <v>44027</v>
      </c>
      <c r="L9943" s="10" t="s">
        <v>44028</v>
      </c>
      <c r="M9943" s="8" t="s">
        <v>243</v>
      </c>
      <c r="N9943" s="8" t="s">
        <v>29</v>
      </c>
      <c r="O9943" s="8" t="s">
        <v>9864</v>
      </c>
      <c r="P9943" s="8"/>
      <c r="Q9943" s="8"/>
      <c r="R9943" s="8"/>
      <c r="S9943" s="8"/>
      <c r="T9943" s="8"/>
      <c r="U9943" s="8"/>
      <c r="V9943" s="8"/>
      <c r="W9943" s="8"/>
      <c r="X9943" s="8"/>
      <c r="Y9943" s="8"/>
    </row>
    <row r="9944" ht="14.25">
      <c r="B9944" s="8" t="s">
        <v>44029</v>
      </c>
      <c r="C9944" s="8" t="s">
        <v>44030</v>
      </c>
      <c r="D9944" s="8" t="s">
        <v>688</v>
      </c>
      <c r="E9944" s="8" t="s">
        <v>44031</v>
      </c>
      <c r="F9944" s="8" t="str">
        <f>IFERROR(__XLUDF.DUMMYFUNCTION("PROPER(REGEXREPLACE(D329,""[^A-Za-z]+ "",""""))"),"Sinocredit")</f>
        <v>Sinocredit</v>
      </c>
      <c r="G9944" s="8" t="s">
        <v>44032</v>
      </c>
      <c r="H9944" s="9">
        <v>2</v>
      </c>
      <c r="I9944" s="8" t="s">
        <v>39661</v>
      </c>
      <c r="J9944" s="8" t="str">
        <f>IFERROR(__XLUDF.DUMMYFUNCTION("VLOOKUP(H329,IMPORTRANGE(""https://docs.google.com/spreadsheets/d/1opm6ZNvGZ7KditA9TuJwrZ25eFLfTNIkrNnY6mhV5Eg"",""list!A1:C115""),3,TRUE)"),"le secteur des assurances")</f>
        <v xml:space="preserve">le secteur des assurances</v>
      </c>
      <c r="K9944" s="10" t="s">
        <v>44033</v>
      </c>
      <c r="L9944" s="10" t="s">
        <v>44034</v>
      </c>
      <c r="M9944" s="8" t="s">
        <v>39</v>
      </c>
      <c r="N9944" s="8" t="s">
        <v>29</v>
      </c>
      <c r="O9944" s="8" t="s">
        <v>9160</v>
      </c>
      <c r="P9944" s="8"/>
      <c r="Q9944" s="8" t="s">
        <v>44035</v>
      </c>
      <c r="R9944" s="8"/>
      <c r="S9944" s="8"/>
      <c r="T9944" s="8"/>
      <c r="U9944" s="8"/>
      <c r="V9944" s="8"/>
      <c r="W9944" s="8"/>
      <c r="X9944" s="8"/>
      <c r="Y9944" s="8"/>
    </row>
    <row r="9945" ht="14.25">
      <c r="B9945" s="18" t="s">
        <v>4132</v>
      </c>
      <c r="C9945" s="18" t="s">
        <v>44036</v>
      </c>
      <c r="D9945" s="18" t="s">
        <v>965</v>
      </c>
      <c r="E9945" s="18" t="s">
        <v>44037</v>
      </c>
      <c r="F9945" s="8" t="str">
        <f>IFERROR(__XLUDF.DUMMYFUNCTION("PROPER(REGEXREPLACE(D330,""[^A-Za-z]+ "",""""))"),"Utwin Assurances")</f>
        <v xml:space="preserve">Utwin Assurances</v>
      </c>
      <c r="G9945" s="18" t="s">
        <v>44038</v>
      </c>
      <c r="H9945" s="18">
        <v>65</v>
      </c>
      <c r="I9945" s="18" t="s">
        <v>39661</v>
      </c>
      <c r="J9945" s="8" t="str">
        <f>IFERROR(__XLUDF.DUMMYFUNCTION("VLOOKUP(H330,IMPORTRANGE(""https://docs.google.com/spreadsheets/d/1opm6ZNvGZ7KditA9TuJwrZ25eFLfTNIkrNnY6mhV5Eg"",""list!A1:C115""),3,TRUE)"),"le secteur des assurances")</f>
        <v xml:space="preserve">le secteur des assurances</v>
      </c>
      <c r="K9945" s="5" t="s">
        <v>44039</v>
      </c>
      <c r="L9945" s="5" t="s">
        <v>44040</v>
      </c>
      <c r="M9945" s="18" t="s">
        <v>185</v>
      </c>
      <c r="N9945" s="18" t="s">
        <v>29</v>
      </c>
      <c r="O9945" s="18" t="s">
        <v>44041</v>
      </c>
      <c r="P9945" s="18" t="s">
        <v>29</v>
      </c>
      <c r="Q9945" s="18" t="s">
        <v>44042</v>
      </c>
      <c r="R9945" s="6"/>
      <c r="S9945" s="6"/>
      <c r="T9945" s="6"/>
      <c r="U9945" s="6"/>
      <c r="V9945" s="6"/>
      <c r="W9945" s="6"/>
      <c r="X9945" s="6"/>
      <c r="Y9945" s="6"/>
    </row>
    <row r="9946" ht="14.25">
      <c r="B9946" s="18" t="s">
        <v>622</v>
      </c>
      <c r="C9946" s="18" t="s">
        <v>12852</v>
      </c>
      <c r="D9946" s="18" t="s">
        <v>172</v>
      </c>
      <c r="E9946" s="18" t="s">
        <v>42403</v>
      </c>
      <c r="F9946" s="8" t="str">
        <f>IFERROR(__XLUDF.DUMMYFUNCTION("PROPER(REGEXREPLACE(D331,""[^A-Za-z]+ "",""""))"),"Ofracar")</f>
        <v>Ofracar</v>
      </c>
      <c r="G9946" s="18" t="s">
        <v>44043</v>
      </c>
      <c r="H9946" s="18">
        <v>67</v>
      </c>
      <c r="I9946" s="18" t="s">
        <v>39661</v>
      </c>
      <c r="J9946" s="8" t="str">
        <f>IFERROR(__XLUDF.DUMMYFUNCTION("VLOOKUP(H331,IMPORTRANGE(""https://docs.google.com/spreadsheets/d/1opm6ZNvGZ7KditA9TuJwrZ25eFLfTNIkrNnY6mhV5Eg"",""list!A1:C115""),3,TRUE)"),"le secteur des assurances")</f>
        <v xml:space="preserve">le secteur des assurances</v>
      </c>
      <c r="K9946" s="5" t="s">
        <v>44044</v>
      </c>
      <c r="L9946" s="5" t="s">
        <v>44045</v>
      </c>
      <c r="M9946" s="18" t="s">
        <v>12138</v>
      </c>
      <c r="N9946" s="18" t="s">
        <v>29</v>
      </c>
      <c r="O9946" s="18" t="s">
        <v>44046</v>
      </c>
      <c r="P9946" s="18" t="s">
        <v>29</v>
      </c>
      <c r="Q9946" s="6"/>
      <c r="R9946" s="6"/>
      <c r="S9946" s="6"/>
      <c r="T9946" s="6"/>
      <c r="U9946" s="6"/>
      <c r="V9946" s="6"/>
      <c r="W9946" s="6"/>
      <c r="X9946" s="6"/>
      <c r="Y9946" s="6"/>
    </row>
    <row r="9947" ht="14.25">
      <c r="B9947" s="8" t="s">
        <v>355</v>
      </c>
      <c r="C9947" s="8" t="s">
        <v>31395</v>
      </c>
      <c r="D9947" s="8" t="s">
        <v>112</v>
      </c>
      <c r="E9947" s="8" t="s">
        <v>42779</v>
      </c>
      <c r="F9947" s="8" t="str">
        <f>IFERROR(__XLUDF.DUMMYFUNCTION("PROPER(REGEXREPLACE(D332,""[^A-Za-z]+ "",""""))"),"Weather Claim Control")</f>
        <v xml:space="preserve">Weather Claim Control</v>
      </c>
      <c r="G9947" s="8" t="s">
        <v>44047</v>
      </c>
      <c r="H9947" s="9">
        <v>3</v>
      </c>
      <c r="I9947" s="8" t="s">
        <v>39661</v>
      </c>
      <c r="J9947" s="8" t="str">
        <f>IFERROR(__XLUDF.DUMMYFUNCTION("VLOOKUP(H332,IMPORTRANGE(""https://docs.google.com/spreadsheets/d/1opm6ZNvGZ7KditA9TuJwrZ25eFLfTNIkrNnY6mhV5Eg"",""list!A1:C115""),3,TRUE)"),"le secteur des assurances")</f>
        <v xml:space="preserve">le secteur des assurances</v>
      </c>
      <c r="K9947" s="10" t="s">
        <v>44048</v>
      </c>
      <c r="L9947" s="10" t="s">
        <v>42782</v>
      </c>
      <c r="M9947" s="8" t="s">
        <v>39</v>
      </c>
      <c r="N9947" s="8" t="s">
        <v>29</v>
      </c>
      <c r="O9947" s="8" t="s">
        <v>9160</v>
      </c>
      <c r="P9947" s="8"/>
      <c r="Q9947" s="8"/>
      <c r="R9947" s="8"/>
      <c r="S9947" s="8"/>
      <c r="T9947" s="8"/>
      <c r="U9947" s="8"/>
      <c r="V9947" s="8"/>
      <c r="W9947" s="8"/>
      <c r="X9947" s="8"/>
      <c r="Y9947" s="8"/>
    </row>
    <row r="9948" ht="14.25">
      <c r="B9948" s="8" t="s">
        <v>622</v>
      </c>
      <c r="C9948" s="8" t="s">
        <v>18971</v>
      </c>
      <c r="D9948" s="8" t="s">
        <v>7759</v>
      </c>
      <c r="E9948" s="8" t="s">
        <v>44049</v>
      </c>
      <c r="F9948" s="8" t="str">
        <f>IFERROR(__XLUDF.DUMMYFUNCTION("PROPER(REGEXREPLACE(D333,""[^A-Za-z]+ "",""""))"),"Granier Assurances")</f>
        <v xml:space="preserve">Granier Assurances</v>
      </c>
      <c r="G9948" s="8" t="s">
        <v>44050</v>
      </c>
      <c r="H9948" s="9">
        <v>23</v>
      </c>
      <c r="I9948" s="8" t="s">
        <v>39661</v>
      </c>
      <c r="J9948" s="8" t="str">
        <f>IFERROR(__XLUDF.DUMMYFUNCTION("VLOOKUP(H333,IMPORTRANGE(""https://docs.google.com/spreadsheets/d/1opm6ZNvGZ7KditA9TuJwrZ25eFLfTNIkrNnY6mhV5Eg"",""list!A1:C115""),3,TRUE)"),"le secteur des assurances")</f>
        <v xml:space="preserve">le secteur des assurances</v>
      </c>
      <c r="K9948" s="10" t="s">
        <v>44051</v>
      </c>
      <c r="L9948" s="10" t="s">
        <v>44052</v>
      </c>
      <c r="M9948" s="8" t="s">
        <v>3848</v>
      </c>
      <c r="N9948" s="8" t="s">
        <v>29</v>
      </c>
      <c r="O9948" s="8" t="s">
        <v>9251</v>
      </c>
      <c r="P9948" s="8"/>
      <c r="Q9948" s="8" t="s">
        <v>44053</v>
      </c>
      <c r="R9948" s="8"/>
      <c r="S9948" s="8"/>
      <c r="T9948" s="8"/>
      <c r="U9948" s="8"/>
      <c r="V9948" s="8"/>
      <c r="W9948" s="8"/>
      <c r="X9948" s="8"/>
      <c r="Y9948" s="8"/>
    </row>
    <row r="9949" ht="14.25">
      <c r="B9949" s="8" t="s">
        <v>6390</v>
      </c>
      <c r="C9949" s="8" t="s">
        <v>44054</v>
      </c>
      <c r="D9949" s="8" t="s">
        <v>44055</v>
      </c>
      <c r="E9949" s="8" t="s">
        <v>44056</v>
      </c>
      <c r="F9949" s="8" t="str">
        <f>IFERROR(__XLUDF.DUMMYFUNCTION("PROPER(REGEXREPLACE(D334,""[^A-Za-z]+ "",""""))"),"Lafondroullet Group")</f>
        <v xml:space="preserve">Lafondroullet Group</v>
      </c>
      <c r="G9949" s="8" t="s">
        <v>44057</v>
      </c>
      <c r="H9949" s="8"/>
      <c r="I9949" s="8"/>
      <c r="J9949" s="8" t="s">
        <v>42267</v>
      </c>
      <c r="K9949" s="10" t="s">
        <v>44058</v>
      </c>
      <c r="L9949" s="10" t="s">
        <v>44059</v>
      </c>
      <c r="M9949" s="8" t="s">
        <v>185</v>
      </c>
      <c r="N9949" s="8" t="s">
        <v>29</v>
      </c>
      <c r="O9949" s="8" t="s">
        <v>9193</v>
      </c>
      <c r="P9949" s="8"/>
      <c r="Q9949" s="8"/>
      <c r="R9949" s="8"/>
      <c r="S9949" s="8"/>
      <c r="T9949" s="8"/>
      <c r="U9949" s="8"/>
      <c r="V9949" s="8"/>
      <c r="W9949" s="8"/>
      <c r="X9949" s="8"/>
      <c r="Y9949" s="8"/>
    </row>
    <row r="9950" ht="14.25">
      <c r="B9950" s="8" t="s">
        <v>23365</v>
      </c>
      <c r="C9950" s="8" t="s">
        <v>245</v>
      </c>
      <c r="D9950" s="8" t="s">
        <v>7759</v>
      </c>
      <c r="E9950" s="8" t="s">
        <v>44060</v>
      </c>
      <c r="F9950" s="8" t="str">
        <f>IFERROR(__XLUDF.DUMMYFUNCTION("PROPER(REGEXREPLACE(D335,""[^A-Za-z]+ "",""""))"),"Mc Partenaires")</f>
        <v xml:space="preserve">Mc Partenaires</v>
      </c>
      <c r="G9950" s="8" t="s">
        <v>44061</v>
      </c>
      <c r="H9950" s="9">
        <v>2</v>
      </c>
      <c r="I9950" s="8" t="s">
        <v>39661</v>
      </c>
      <c r="J9950" s="8" t="str">
        <f>IFERROR(__XLUDF.DUMMYFUNCTION("VLOOKUP(H335,IMPORTRANGE(""https://docs.google.com/spreadsheets/d/1opm6ZNvGZ7KditA9TuJwrZ25eFLfTNIkrNnY6mhV5Eg"",""list!A1:C115""),3,TRUE)"),"le secteur des assurances")</f>
        <v xml:space="preserve">le secteur des assurances</v>
      </c>
      <c r="K9950" s="10" t="s">
        <v>44062</v>
      </c>
      <c r="L9950" s="10" t="s">
        <v>44063</v>
      </c>
      <c r="M9950" s="8" t="s">
        <v>185</v>
      </c>
      <c r="N9950" s="8" t="s">
        <v>29</v>
      </c>
      <c r="O9950" s="8" t="s">
        <v>9193</v>
      </c>
      <c r="P9950" s="8"/>
      <c r="Q9950" s="8"/>
      <c r="R9950" s="8"/>
      <c r="S9950" s="8"/>
      <c r="T9950" s="8"/>
      <c r="U9950" s="8"/>
      <c r="V9950" s="8"/>
      <c r="W9950" s="8"/>
      <c r="X9950" s="8"/>
      <c r="Y9950" s="8"/>
    </row>
    <row r="9951" ht="14.25">
      <c r="B9951" s="8" t="s">
        <v>76</v>
      </c>
      <c r="C9951" s="8" t="s">
        <v>44064</v>
      </c>
      <c r="D9951" s="8" t="s">
        <v>112</v>
      </c>
      <c r="E9951" s="8" t="s">
        <v>44065</v>
      </c>
      <c r="F9951" s="8" t="str">
        <f>IFERROR(__XLUDF.DUMMYFUNCTION("PROPER(REGEXREPLACE(D336,""[^A-Za-z]+ "",""""))"),"Groupe Bac")</f>
        <v xml:space="preserve">Groupe Bac</v>
      </c>
      <c r="G9951" s="8" t="s">
        <v>44066</v>
      </c>
      <c r="H9951" s="9">
        <v>6</v>
      </c>
      <c r="I9951" s="8" t="s">
        <v>39661</v>
      </c>
      <c r="J9951" s="8" t="str">
        <f>IFERROR(__XLUDF.DUMMYFUNCTION("VLOOKUP(H336,IMPORTRANGE(""https://docs.google.com/spreadsheets/d/1opm6ZNvGZ7KditA9TuJwrZ25eFLfTNIkrNnY6mhV5Eg"",""list!A1:C115""),3,TRUE)"),"le secteur des assurances")</f>
        <v xml:space="preserve">le secteur des assurances</v>
      </c>
      <c r="K9951" s="10" t="s">
        <v>44067</v>
      </c>
      <c r="L9951" s="10" t="s">
        <v>44068</v>
      </c>
      <c r="M9951" s="8" t="s">
        <v>39</v>
      </c>
      <c r="N9951" s="8" t="s">
        <v>29</v>
      </c>
      <c r="O9951" s="8" t="s">
        <v>9160</v>
      </c>
      <c r="P9951" s="8"/>
      <c r="Q9951" s="8" t="s">
        <v>44069</v>
      </c>
      <c r="R9951" s="8"/>
      <c r="S9951" s="8"/>
      <c r="T9951" s="8"/>
      <c r="U9951" s="8"/>
      <c r="V9951" s="8"/>
      <c r="W9951" s="8"/>
      <c r="X9951" s="8"/>
      <c r="Y9951" s="8"/>
    </row>
    <row r="9952" ht="14.25">
      <c r="B9952" s="8" t="s">
        <v>5579</v>
      </c>
      <c r="C9952" s="8" t="s">
        <v>44070</v>
      </c>
      <c r="D9952" s="8" t="s">
        <v>468</v>
      </c>
      <c r="E9952" s="8" t="s">
        <v>44071</v>
      </c>
      <c r="F9952" s="8" t="str">
        <f>IFERROR(__XLUDF.DUMMYFUNCTION("PROPER(REGEXREPLACE(D337,""[^A-Za-z]+ "",""""))"),"Inizys Mutuelle")</f>
        <v xml:space="preserve">Inizys Mutuelle</v>
      </c>
      <c r="G9952" s="8" t="s">
        <v>44072</v>
      </c>
      <c r="H9952" s="9">
        <v>33</v>
      </c>
      <c r="I9952" s="8" t="s">
        <v>39661</v>
      </c>
      <c r="J9952" s="8" t="str">
        <f>IFERROR(__XLUDF.DUMMYFUNCTION("VLOOKUP(H337,IMPORTRANGE(""https://docs.google.com/spreadsheets/d/1opm6ZNvGZ7KditA9TuJwrZ25eFLfTNIkrNnY6mhV5Eg"",""list!A1:C115""),3,TRUE)"),"le secteur des assurances")</f>
        <v xml:space="preserve">le secteur des assurances</v>
      </c>
      <c r="K9952" s="10" t="s">
        <v>44073</v>
      </c>
      <c r="L9952" s="10" t="s">
        <v>44074</v>
      </c>
      <c r="M9952" s="8" t="s">
        <v>24799</v>
      </c>
      <c r="N9952" s="8" t="s">
        <v>29</v>
      </c>
      <c r="O9952" s="8" t="s">
        <v>9227</v>
      </c>
      <c r="P9952" s="8"/>
      <c r="Q9952" s="8" t="s">
        <v>44075</v>
      </c>
      <c r="R9952" s="8"/>
      <c r="S9952" s="8"/>
      <c r="T9952" s="8"/>
      <c r="U9952" s="8"/>
      <c r="V9952" s="8"/>
      <c r="W9952" s="8"/>
      <c r="X9952" s="8"/>
      <c r="Y9952" s="8"/>
    </row>
    <row r="9953" ht="14.25">
      <c r="B9953" s="8" t="s">
        <v>1215</v>
      </c>
      <c r="C9953" s="8" t="s">
        <v>44076</v>
      </c>
      <c r="D9953" s="8" t="s">
        <v>12257</v>
      </c>
      <c r="E9953" s="8" t="s">
        <v>44077</v>
      </c>
      <c r="F9953" s="8" t="str">
        <f>IFERROR(__XLUDF.DUMMYFUNCTION("PROPER(REGEXREPLACE(D338,""[^A-Za-z]+ "",""""))"),"Risk'Omnium")</f>
        <v>Risk'Omnium</v>
      </c>
      <c r="G9953" s="8" t="s">
        <v>44078</v>
      </c>
      <c r="H9953" s="9">
        <v>10</v>
      </c>
      <c r="I9953" s="8" t="s">
        <v>39661</v>
      </c>
      <c r="J9953" s="8" t="str">
        <f>IFERROR(__XLUDF.DUMMYFUNCTION("VLOOKUP(H338,IMPORTRANGE(""https://docs.google.com/spreadsheets/d/1opm6ZNvGZ7KditA9TuJwrZ25eFLfTNIkrNnY6mhV5Eg"",""list!A1:C115""),3,TRUE)"),"le secteur des assurances")</f>
        <v xml:space="preserve">le secteur des assurances</v>
      </c>
      <c r="K9953" s="10" t="s">
        <v>44079</v>
      </c>
      <c r="L9953" s="10" t="s">
        <v>44080</v>
      </c>
      <c r="M9953" s="8" t="s">
        <v>1711</v>
      </c>
      <c r="N9953" s="8" t="s">
        <v>29</v>
      </c>
      <c r="O9953" s="8" t="s">
        <v>9350</v>
      </c>
      <c r="P9953" s="8"/>
      <c r="Q9953" s="8"/>
      <c r="R9953" s="8"/>
      <c r="S9953" s="8"/>
      <c r="T9953" s="8"/>
      <c r="U9953" s="8"/>
      <c r="V9953" s="8"/>
      <c r="W9953" s="8"/>
      <c r="X9953" s="8"/>
      <c r="Y9953" s="8"/>
    </row>
    <row r="9954" ht="14.25">
      <c r="B9954" s="18" t="s">
        <v>7552</v>
      </c>
      <c r="C9954" s="18" t="s">
        <v>44081</v>
      </c>
      <c r="D9954" s="18" t="s">
        <v>44082</v>
      </c>
      <c r="E9954" s="18" t="s">
        <v>43808</v>
      </c>
      <c r="F9954" s="8" t="str">
        <f>IFERROR(__XLUDF.DUMMYFUNCTION("PROPER(REGEXREPLACE(D339,""[^A-Za-z]+ "",""""))"),"Tendanz Group")</f>
        <v xml:space="preserve">Tendanz Group</v>
      </c>
      <c r="G9954" s="18" t="s">
        <v>44083</v>
      </c>
      <c r="H9954" s="18">
        <v>9</v>
      </c>
      <c r="I9954" s="18" t="s">
        <v>39661</v>
      </c>
      <c r="J9954" s="8" t="str">
        <f>IFERROR(__XLUDF.DUMMYFUNCTION("VLOOKUP(H339,IMPORTRANGE(""https://docs.google.com/spreadsheets/d/1opm6ZNvGZ7KditA9TuJwrZ25eFLfTNIkrNnY6mhV5Eg"",""list!A1:C115""),3,TRUE)"),"le secteur des assurances")</f>
        <v xml:space="preserve">le secteur des assurances</v>
      </c>
      <c r="K9954" s="5" t="s">
        <v>44084</v>
      </c>
      <c r="L9954" s="5" t="s">
        <v>43811</v>
      </c>
      <c r="M9954" s="18" t="s">
        <v>7827</v>
      </c>
      <c r="N9954" s="18" t="s">
        <v>29</v>
      </c>
      <c r="O9954" s="18" t="s">
        <v>21461</v>
      </c>
      <c r="P9954" s="18" t="s">
        <v>29</v>
      </c>
      <c r="Q9954" s="18" t="s">
        <v>43812</v>
      </c>
      <c r="R9954" s="6"/>
      <c r="S9954" s="6"/>
      <c r="T9954" s="6"/>
      <c r="U9954" s="6"/>
      <c r="V9954" s="6"/>
      <c r="W9954" s="6"/>
      <c r="X9954" s="6"/>
      <c r="Y9954" s="6"/>
    </row>
    <row r="9955" ht="14.25">
      <c r="B9955" s="18" t="s">
        <v>710</v>
      </c>
      <c r="C9955" s="18" t="s">
        <v>44085</v>
      </c>
      <c r="D9955" s="18" t="s">
        <v>97</v>
      </c>
      <c r="E9955" s="18" t="s">
        <v>44086</v>
      </c>
      <c r="F9955" s="8" t="str">
        <f>IFERROR(__XLUDF.DUMMYFUNCTION("PROPER(REGEXREPLACE(D340,""[^A-Za-z]+ "",""""))"),"Jaji")</f>
        <v>Jaji</v>
      </c>
      <c r="G9955" s="18" t="s">
        <v>44087</v>
      </c>
      <c r="H9955" s="18">
        <v>94</v>
      </c>
      <c r="I9955" s="18" t="s">
        <v>39661</v>
      </c>
      <c r="J9955" s="8" t="str">
        <f>IFERROR(__XLUDF.DUMMYFUNCTION("VLOOKUP(H340,IMPORTRANGE(""https://docs.google.com/spreadsheets/d/1opm6ZNvGZ7KditA9TuJwrZ25eFLfTNIkrNnY6mhV5Eg"",""list!A1:C115""),3,TRUE)"),"le secteur des assurances")</f>
        <v xml:space="preserve">le secteur des assurances</v>
      </c>
      <c r="K9955" s="5" t="s">
        <v>44088</v>
      </c>
      <c r="L9955" s="5" t="s">
        <v>44089</v>
      </c>
      <c r="M9955" s="18" t="s">
        <v>39</v>
      </c>
      <c r="N9955" s="18" t="s">
        <v>29</v>
      </c>
      <c r="O9955" s="18" t="s">
        <v>44090</v>
      </c>
      <c r="P9955" s="18" t="s">
        <v>29</v>
      </c>
      <c r="Q9955" s="18" t="s">
        <v>44091</v>
      </c>
      <c r="R9955" s="6"/>
      <c r="S9955" s="6"/>
      <c r="T9955" s="6"/>
      <c r="U9955" s="6"/>
      <c r="V9955" s="6"/>
      <c r="W9955" s="6"/>
      <c r="X9955" s="6"/>
      <c r="Y9955" s="6"/>
    </row>
    <row r="9956" ht="14.25">
      <c r="B9956" s="18" t="s">
        <v>808</v>
      </c>
      <c r="C9956" s="18" t="s">
        <v>44092</v>
      </c>
      <c r="D9956" s="18" t="s">
        <v>172</v>
      </c>
      <c r="E9956" s="18" t="s">
        <v>42571</v>
      </c>
      <c r="F9956" s="8" t="str">
        <f>IFERROR(__XLUDF.DUMMYFUNCTION("PROPER(REGEXREPLACE(D341,""[^A-Za-z]+ "",""""))"),"Kerialis")</f>
        <v>Kerialis</v>
      </c>
      <c r="G9956" s="18" t="s">
        <v>44093</v>
      </c>
      <c r="H9956" s="18">
        <v>62</v>
      </c>
      <c r="I9956" s="18" t="s">
        <v>39661</v>
      </c>
      <c r="J9956" s="8" t="str">
        <f>IFERROR(__XLUDF.DUMMYFUNCTION("VLOOKUP(H341,IMPORTRANGE(""https://docs.google.com/spreadsheets/d/1opm6ZNvGZ7KditA9TuJwrZ25eFLfTNIkrNnY6mhV5Eg"",""list!A1:C115""),3,TRUE)"),"le secteur des assurances")</f>
        <v xml:space="preserve">le secteur des assurances</v>
      </c>
      <c r="K9956" s="5" t="s">
        <v>44094</v>
      </c>
      <c r="L9956" s="5" t="s">
        <v>42574</v>
      </c>
      <c r="M9956" s="6"/>
      <c r="N9956" s="18" t="s">
        <v>29</v>
      </c>
      <c r="O9956" s="18" t="s">
        <v>42575</v>
      </c>
      <c r="P9956" s="18" t="s">
        <v>29</v>
      </c>
      <c r="Q9956" s="18" t="s">
        <v>42576</v>
      </c>
      <c r="R9956" s="6"/>
      <c r="S9956" s="6"/>
      <c r="T9956" s="6"/>
      <c r="U9956" s="6"/>
      <c r="V9956" s="6"/>
      <c r="W9956" s="6"/>
      <c r="X9956" s="6"/>
      <c r="Y9956" s="6"/>
    </row>
    <row r="9957" ht="14.25">
      <c r="B9957" s="8" t="s">
        <v>3165</v>
      </c>
      <c r="C9957" s="8" t="s">
        <v>19492</v>
      </c>
      <c r="D9957" s="8" t="s">
        <v>112</v>
      </c>
      <c r="E9957" s="8" t="s">
        <v>44095</v>
      </c>
      <c r="F9957" s="8" t="str">
        <f>IFERROR(__XLUDF.DUMMYFUNCTION("PROPER(REGEXREPLACE(D342,""[^A-Za-z]+ "",""""))"),"La Médecine Libre")</f>
        <v xml:space="preserve">La Médecine Libre</v>
      </c>
      <c r="G9957" s="8" t="s">
        <v>44096</v>
      </c>
      <c r="H9957" s="9">
        <v>7</v>
      </c>
      <c r="I9957" s="8" t="s">
        <v>39661</v>
      </c>
      <c r="J9957" s="8" t="str">
        <f>IFERROR(__XLUDF.DUMMYFUNCTION("VLOOKUP(H342,IMPORTRANGE(""https://docs.google.com/spreadsheets/d/1opm6ZNvGZ7KditA9TuJwrZ25eFLfTNIkrNnY6mhV5Eg"",""list!A1:C115""),3,TRUE)"),"le secteur des assurances")</f>
        <v xml:space="preserve">le secteur des assurances</v>
      </c>
      <c r="K9957" s="10" t="s">
        <v>44097</v>
      </c>
      <c r="L9957" s="10" t="s">
        <v>44098</v>
      </c>
      <c r="M9957" s="8"/>
      <c r="N9957" s="8" t="s">
        <v>29</v>
      </c>
      <c r="O9957" s="8" t="s">
        <v>9160</v>
      </c>
      <c r="P9957" s="8"/>
      <c r="Q9957" s="8" t="s">
        <v>44099</v>
      </c>
      <c r="R9957" s="8"/>
      <c r="S9957" s="8"/>
      <c r="T9957" s="8"/>
      <c r="U9957" s="8"/>
      <c r="V9957" s="8"/>
      <c r="W9957" s="8"/>
      <c r="X9957" s="8"/>
      <c r="Y9957" s="8"/>
    </row>
    <row r="9958" ht="14.25">
      <c r="B9958" s="8" t="s">
        <v>1704</v>
      </c>
      <c r="C9958" s="8" t="s">
        <v>44100</v>
      </c>
      <c r="D9958" s="8" t="s">
        <v>341</v>
      </c>
      <c r="E9958" s="8" t="s">
        <v>44101</v>
      </c>
      <c r="F9958" s="8" t="str">
        <f>IFERROR(__XLUDF.DUMMYFUNCTION("PROPER(REGEXREPLACE(D343,""[^A-Za-z]+ "",""""))"),"Layel")</f>
        <v>Layel</v>
      </c>
      <c r="G9958" s="8" t="s">
        <v>44102</v>
      </c>
      <c r="H9958" s="9">
        <v>3</v>
      </c>
      <c r="I9958" s="8" t="s">
        <v>39661</v>
      </c>
      <c r="J9958" s="8" t="str">
        <f>IFERROR(__XLUDF.DUMMYFUNCTION("VLOOKUP(H343,IMPORTRANGE(""https://docs.google.com/spreadsheets/d/1opm6ZNvGZ7KditA9TuJwrZ25eFLfTNIkrNnY6mhV5Eg"",""list!A1:C115""),3,TRUE)"),"le secteur des assurances")</f>
        <v xml:space="preserve">le secteur des assurances</v>
      </c>
      <c r="K9958" s="10" t="s">
        <v>44103</v>
      </c>
      <c r="L9958" s="10" t="s">
        <v>44104</v>
      </c>
      <c r="M9958" s="8" t="s">
        <v>39</v>
      </c>
      <c r="N9958" s="8" t="s">
        <v>29</v>
      </c>
      <c r="O9958" s="8" t="s">
        <v>9160</v>
      </c>
      <c r="P9958" s="8"/>
      <c r="Q9958" s="8" t="s">
        <v>44105</v>
      </c>
      <c r="R9958" s="8"/>
      <c r="S9958" s="8"/>
      <c r="T9958" s="8"/>
      <c r="U9958" s="8"/>
      <c r="V9958" s="8"/>
      <c r="W9958" s="8"/>
      <c r="X9958" s="8"/>
      <c r="Y9958" s="8"/>
    </row>
    <row r="9959" ht="14.25">
      <c r="B9959" s="8" t="s">
        <v>670</v>
      </c>
      <c r="C9959" s="8" t="s">
        <v>44106</v>
      </c>
      <c r="D9959" s="8" t="s">
        <v>112</v>
      </c>
      <c r="E9959" s="8" t="s">
        <v>44107</v>
      </c>
      <c r="F9959" s="8" t="str">
        <f>IFERROR(__XLUDF.DUMMYFUNCTION("PROPER(REGEXREPLACE(D344,""[^A-Za-z]+ "",""""))"),"Bcr Finances")</f>
        <v xml:space="preserve">Bcr Finances</v>
      </c>
      <c r="G9959" s="8" t="s">
        <v>44108</v>
      </c>
      <c r="H9959" s="9">
        <v>7</v>
      </c>
      <c r="I9959" s="8" t="s">
        <v>39661</v>
      </c>
      <c r="J9959" s="8" t="str">
        <f>IFERROR(__XLUDF.DUMMYFUNCTION("VLOOKUP(H344,IMPORTRANGE(""https://docs.google.com/spreadsheets/d/1opm6ZNvGZ7KditA9TuJwrZ25eFLfTNIkrNnY6mhV5Eg"",""list!A1:C115""),3,TRUE)"),"le secteur des assurances")</f>
        <v xml:space="preserve">le secteur des assurances</v>
      </c>
      <c r="K9959" s="10" t="s">
        <v>44109</v>
      </c>
      <c r="L9959" s="10" t="s">
        <v>44110</v>
      </c>
      <c r="M9959" s="8"/>
      <c r="N9959" s="8" t="s">
        <v>29</v>
      </c>
      <c r="O9959" s="8" t="s">
        <v>9160</v>
      </c>
      <c r="P9959" s="8"/>
      <c r="Q9959" s="8" t="s">
        <v>44111</v>
      </c>
      <c r="R9959" s="8"/>
      <c r="S9959" s="8"/>
      <c r="T9959" s="8"/>
      <c r="U9959" s="8"/>
      <c r="V9959" s="8"/>
      <c r="W9959" s="8"/>
      <c r="X9959" s="8"/>
      <c r="Y9959" s="8"/>
    </row>
    <row r="9960" ht="14.25">
      <c r="B9960" s="18" t="s">
        <v>6243</v>
      </c>
      <c r="C9960" s="18" t="s">
        <v>44112</v>
      </c>
      <c r="D9960" s="18" t="s">
        <v>44113</v>
      </c>
      <c r="E9960" s="18" t="s">
        <v>44114</v>
      </c>
      <c r="F9960" s="8" t="str">
        <f>IFERROR(__XLUDF.DUMMYFUNCTION("PROPER(REGEXREPLACE(D345,""[^A-Za-z]+ "",""""))"),"Andriessen Expertise B.V")</f>
        <v xml:space="preserve">Andriessen Expertise B.V</v>
      </c>
      <c r="G9960" s="18" t="s">
        <v>44115</v>
      </c>
      <c r="H9960" s="18">
        <v>59</v>
      </c>
      <c r="I9960" s="18" t="s">
        <v>39661</v>
      </c>
      <c r="J9960" s="8" t="str">
        <f>IFERROR(__XLUDF.DUMMYFUNCTION("VLOOKUP(H345,IMPORTRANGE(""https://docs.google.com/spreadsheets/d/1opm6ZNvGZ7KditA9TuJwrZ25eFLfTNIkrNnY6mhV5Eg"",""list!A1:C115""),3,TRUE)"),"le secteur des assurances")</f>
        <v xml:space="preserve">le secteur des assurances</v>
      </c>
      <c r="K9960" s="5" t="s">
        <v>44116</v>
      </c>
      <c r="L9960" s="5" t="s">
        <v>44117</v>
      </c>
      <c r="M9960" s="18" t="s">
        <v>39</v>
      </c>
      <c r="N9960" s="18" t="s">
        <v>29</v>
      </c>
      <c r="O9960" s="18" t="s">
        <v>44118</v>
      </c>
      <c r="P9960" s="18" t="s">
        <v>4318</v>
      </c>
      <c r="Q9960" s="18" t="s">
        <v>44119</v>
      </c>
      <c r="R9960" s="6"/>
      <c r="S9960" s="6"/>
      <c r="T9960" s="6"/>
      <c r="U9960" s="6"/>
      <c r="V9960" s="6"/>
      <c r="W9960" s="6"/>
      <c r="X9960" s="6"/>
      <c r="Y9960" s="6"/>
    </row>
    <row r="9961" ht="14.25">
      <c r="B9961" s="8" t="s">
        <v>785</v>
      </c>
      <c r="C9961" s="8" t="s">
        <v>44120</v>
      </c>
      <c r="D9961" s="8" t="s">
        <v>44121</v>
      </c>
      <c r="E9961" s="8" t="s">
        <v>44122</v>
      </c>
      <c r="F9961" s="8" t="str">
        <f>IFERROR(__XLUDF.DUMMYFUNCTION("PROPER(REGEXREPLACE(D346,""[^A-Za-z]+ "",""""))"),"Les Associés")</f>
        <v xml:space="preserve">Les Associés</v>
      </c>
      <c r="G9961" s="8" t="s">
        <v>44123</v>
      </c>
      <c r="H9961" s="9">
        <v>18</v>
      </c>
      <c r="I9961" s="8" t="s">
        <v>39661</v>
      </c>
      <c r="J9961" s="8" t="str">
        <f>IFERROR(__XLUDF.DUMMYFUNCTION("VLOOKUP(H346,IMPORTRANGE(""https://docs.google.com/spreadsheets/d/1opm6ZNvGZ7KditA9TuJwrZ25eFLfTNIkrNnY6mhV5Eg"",""list!A1:C115""),3,TRUE)"),"le secteur des assurances")</f>
        <v xml:space="preserve">le secteur des assurances</v>
      </c>
      <c r="K9961" s="10" t="s">
        <v>44124</v>
      </c>
      <c r="L9961" s="10" t="s">
        <v>44125</v>
      </c>
      <c r="M9961" s="8" t="s">
        <v>295</v>
      </c>
      <c r="N9961" s="8" t="s">
        <v>29</v>
      </c>
      <c r="O9961" s="8" t="s">
        <v>9251</v>
      </c>
      <c r="P9961" s="8"/>
      <c r="Q9961" s="8" t="s">
        <v>44126</v>
      </c>
      <c r="R9961" s="8"/>
      <c r="S9961" s="8"/>
      <c r="T9961" s="8"/>
      <c r="U9961" s="8"/>
      <c r="V9961" s="8"/>
      <c r="W9961" s="8"/>
      <c r="X9961" s="8"/>
      <c r="Y9961" s="8"/>
    </row>
    <row r="9962" ht="14.25">
      <c r="B9962" s="8" t="s">
        <v>3673</v>
      </c>
      <c r="C9962" s="8" t="s">
        <v>44127</v>
      </c>
      <c r="D9962" s="8" t="s">
        <v>44128</v>
      </c>
      <c r="E9962" s="8" t="s">
        <v>44129</v>
      </c>
      <c r="F9962" s="8" t="str">
        <f>IFERROR(__XLUDF.DUMMYFUNCTION("PROPER(REGEXREPLACE(D347,""[^A-Za-z]+ "",""""))"),"Pyrenées Assur")</f>
        <v xml:space="preserve">Pyrenées Assur</v>
      </c>
      <c r="G9962" s="8" t="s">
        <v>44130</v>
      </c>
      <c r="H9962" s="9">
        <v>1</v>
      </c>
      <c r="I9962" s="8" t="s">
        <v>39661</v>
      </c>
      <c r="J9962" s="8" t="str">
        <f>IFERROR(__XLUDF.DUMMYFUNCTION("VLOOKUP(H347,IMPORTRANGE(""https://docs.google.com/spreadsheets/d/1opm6ZNvGZ7KditA9TuJwrZ25eFLfTNIkrNnY6mhV5Eg"",""list!A1:C115""),3,TRUE)"),"le secteur des assurances")</f>
        <v xml:space="preserve">le secteur des assurances</v>
      </c>
      <c r="K9962" s="10" t="s">
        <v>44131</v>
      </c>
      <c r="L9962" s="10" t="s">
        <v>44132</v>
      </c>
      <c r="M9962" s="8" t="s">
        <v>39</v>
      </c>
      <c r="N9962" s="8" t="s">
        <v>29</v>
      </c>
      <c r="O9962" s="8" t="s">
        <v>9160</v>
      </c>
      <c r="P9962" s="8"/>
      <c r="Q9962" s="8" t="s">
        <v>44133</v>
      </c>
      <c r="R9962" s="8"/>
      <c r="S9962" s="8"/>
      <c r="T9962" s="8"/>
      <c r="U9962" s="8"/>
      <c r="V9962" s="8"/>
      <c r="W9962" s="8"/>
      <c r="X9962" s="8"/>
      <c r="Y9962" s="8"/>
    </row>
    <row r="9963" ht="14.25">
      <c r="B9963" s="8" t="s">
        <v>4003</v>
      </c>
      <c r="C9963" s="8" t="s">
        <v>44134</v>
      </c>
      <c r="D9963" s="8" t="s">
        <v>44135</v>
      </c>
      <c r="E9963" s="8" t="s">
        <v>43530</v>
      </c>
      <c r="F9963" s="8" t="str">
        <f>IFERROR(__XLUDF.DUMMYFUNCTION("PROPER(REGEXREPLACE(D348,""[^A-Za-z]+ "",""""))"),"Caprele")</f>
        <v>Caprele</v>
      </c>
      <c r="G9963" s="8" t="s">
        <v>44136</v>
      </c>
      <c r="H9963" s="9">
        <v>6</v>
      </c>
      <c r="I9963" s="8" t="s">
        <v>39661</v>
      </c>
      <c r="J9963" s="8" t="str">
        <f>IFERROR(__XLUDF.DUMMYFUNCTION("VLOOKUP(H348,IMPORTRANGE(""https://docs.google.com/spreadsheets/d/1opm6ZNvGZ7KditA9TuJwrZ25eFLfTNIkrNnY6mhV5Eg"",""list!A1:C115""),3,TRUE)"),"le secteur des assurances")</f>
        <v xml:space="preserve">le secteur des assurances</v>
      </c>
      <c r="K9963" s="10" t="s">
        <v>44137</v>
      </c>
      <c r="L9963" s="10" t="s">
        <v>43533</v>
      </c>
      <c r="M9963" s="8" t="s">
        <v>1446</v>
      </c>
      <c r="N9963" s="8" t="s">
        <v>29</v>
      </c>
      <c r="O9963" s="8" t="s">
        <v>9160</v>
      </c>
      <c r="P9963" s="8"/>
      <c r="Q9963" s="8"/>
      <c r="R9963" s="8"/>
      <c r="S9963" s="8"/>
      <c r="T9963" s="8"/>
      <c r="U9963" s="8"/>
      <c r="V9963" s="8"/>
      <c r="W9963" s="8"/>
      <c r="X9963" s="8"/>
      <c r="Y9963" s="8"/>
    </row>
    <row r="9964" ht="14.25">
      <c r="B9964" s="8" t="s">
        <v>44138</v>
      </c>
      <c r="C9964" s="8" t="s">
        <v>44139</v>
      </c>
      <c r="D9964" s="8" t="s">
        <v>2636</v>
      </c>
      <c r="E9964" s="8" t="s">
        <v>44140</v>
      </c>
      <c r="F9964" s="8" t="str">
        <f>IFERROR(__XLUDF.DUMMYFUNCTION("PROPER(REGEXREPLACE(D349,""[^A-Za-z]+ "",""""))"),"Masfip")</f>
        <v>Masfip</v>
      </c>
      <c r="G9964" s="8" t="s">
        <v>44141</v>
      </c>
      <c r="H9964" s="9">
        <v>31</v>
      </c>
      <c r="I9964" s="8" t="s">
        <v>39661</v>
      </c>
      <c r="J9964" s="8" t="str">
        <f>IFERROR(__XLUDF.DUMMYFUNCTION("VLOOKUP(H349,IMPORTRANGE(""https://docs.google.com/spreadsheets/d/1opm6ZNvGZ7KditA9TuJwrZ25eFLfTNIkrNnY6mhV5Eg"",""list!A1:C115""),3,TRUE)"),"le secteur des assurances")</f>
        <v xml:space="preserve">le secteur des assurances</v>
      </c>
      <c r="K9964" s="10" t="s">
        <v>44142</v>
      </c>
      <c r="L9964" s="10" t="s">
        <v>44143</v>
      </c>
      <c r="M9964" s="8" t="s">
        <v>44144</v>
      </c>
      <c r="N9964" s="8" t="s">
        <v>29</v>
      </c>
      <c r="O9964" s="8" t="s">
        <v>9251</v>
      </c>
      <c r="P9964" s="8"/>
      <c r="Q9964" s="8" t="s">
        <v>44145</v>
      </c>
      <c r="R9964" s="8"/>
      <c r="S9964" s="8"/>
      <c r="T9964" s="8"/>
      <c r="U9964" s="8"/>
      <c r="V9964" s="8"/>
      <c r="W9964" s="8"/>
      <c r="X9964" s="8"/>
      <c r="Y9964" s="8"/>
    </row>
    <row r="9965" ht="14.25">
      <c r="B9965" s="8" t="s">
        <v>44146</v>
      </c>
      <c r="C9965" s="8" t="s">
        <v>44147</v>
      </c>
      <c r="D9965" s="8" t="s">
        <v>9456</v>
      </c>
      <c r="E9965" s="8" t="s">
        <v>44148</v>
      </c>
      <c r="F9965" s="8" t="str">
        <f>IFERROR(__XLUDF.DUMMYFUNCTION("PROPER(REGEXREPLACE(D350,""[^A-Za-z]+ "",""""))"),"Synefeial'Assurance De Bien Vous Porter")</f>
        <v xml:space="preserve">Synefeial'Assurance De Bien Vous Porter</v>
      </c>
      <c r="G9965" s="8" t="s">
        <v>44149</v>
      </c>
      <c r="H9965" s="9">
        <v>1</v>
      </c>
      <c r="I9965" s="8" t="s">
        <v>39661</v>
      </c>
      <c r="J9965" s="8" t="str">
        <f>IFERROR(__XLUDF.DUMMYFUNCTION("VLOOKUP(H350,IMPORTRANGE(""https://docs.google.com/spreadsheets/d/1opm6ZNvGZ7KditA9TuJwrZ25eFLfTNIkrNnY6mhV5Eg"",""list!A1:C115""),3,TRUE)"),"le secteur des assurances")</f>
        <v xml:space="preserve">le secteur des assurances</v>
      </c>
      <c r="K9965" s="10" t="s">
        <v>44150</v>
      </c>
      <c r="L9965" s="10" t="s">
        <v>44151</v>
      </c>
      <c r="M9965" s="8" t="s">
        <v>846</v>
      </c>
      <c r="N9965" s="8" t="s">
        <v>29</v>
      </c>
      <c r="O9965" s="8" t="s">
        <v>9278</v>
      </c>
      <c r="P9965" s="8"/>
      <c r="Q9965" s="8" t="s">
        <v>44152</v>
      </c>
      <c r="R9965" s="8"/>
      <c r="S9965" s="8"/>
      <c r="T9965" s="8"/>
      <c r="U9965" s="8"/>
      <c r="V9965" s="8"/>
      <c r="W9965" s="8"/>
      <c r="X9965" s="8"/>
      <c r="Y9965" s="8"/>
    </row>
    <row r="9966" ht="14.25">
      <c r="B9966" s="18" t="s">
        <v>28888</v>
      </c>
      <c r="C9966" s="18" t="s">
        <v>44153</v>
      </c>
      <c r="D9966" s="18" t="s">
        <v>120</v>
      </c>
      <c r="E9966" s="18" t="s">
        <v>43980</v>
      </c>
      <c r="F9966" s="8" t="str">
        <f>IFERROR(__XLUDF.DUMMYFUNCTION("PROPER(REGEXREPLACE(D351,""[^A-Za-z]+ "",""""))"),"Hoggo")</f>
        <v>Hoggo</v>
      </c>
      <c r="G9966" s="18" t="s">
        <v>44154</v>
      </c>
      <c r="H9966" s="18">
        <v>63</v>
      </c>
      <c r="I9966" s="18" t="s">
        <v>39661</v>
      </c>
      <c r="J9966" s="8" t="str">
        <f>IFERROR(__XLUDF.DUMMYFUNCTION("VLOOKUP(H351,IMPORTRANGE(""https://docs.google.com/spreadsheets/d/1opm6ZNvGZ7KditA9TuJwrZ25eFLfTNIkrNnY6mhV5Eg"",""list!A1:C115""),3,TRUE)"),"le secteur des assurances")</f>
        <v xml:space="preserve">le secteur des assurances</v>
      </c>
      <c r="K9966" s="5" t="s">
        <v>44155</v>
      </c>
      <c r="L9966" s="5" t="s">
        <v>43983</v>
      </c>
      <c r="M9966" s="18" t="s">
        <v>39</v>
      </c>
      <c r="N9966" s="18" t="s">
        <v>29</v>
      </c>
      <c r="O9966" s="18" t="s">
        <v>43984</v>
      </c>
      <c r="P9966" s="18" t="s">
        <v>29</v>
      </c>
      <c r="Q9966" s="18" t="s">
        <v>43985</v>
      </c>
      <c r="R9966" s="6"/>
      <c r="S9966" s="6"/>
      <c r="T9966" s="6"/>
      <c r="U9966" s="6"/>
      <c r="V9966" s="6"/>
      <c r="W9966" s="6"/>
      <c r="X9966" s="6"/>
      <c r="Y9966" s="6"/>
    </row>
    <row r="9967" ht="14.25">
      <c r="B9967" s="8" t="s">
        <v>170</v>
      </c>
      <c r="C9967" s="8" t="s">
        <v>8904</v>
      </c>
      <c r="D9967" s="8" t="s">
        <v>44156</v>
      </c>
      <c r="E9967" s="8" t="s">
        <v>44157</v>
      </c>
      <c r="F9967" s="8" t="str">
        <f>IFERROR(__XLUDF.DUMMYFUNCTION("PROPER(REGEXREPLACE(D352,""[^A-Za-z]+ "",""""))"),"Partech Services")</f>
        <v xml:space="preserve">Partech Services</v>
      </c>
      <c r="G9967" s="8" t="s">
        <v>44158</v>
      </c>
      <c r="H9967" s="9">
        <v>30</v>
      </c>
      <c r="I9967" s="8" t="s">
        <v>39661</v>
      </c>
      <c r="J9967" s="8" t="str">
        <f>IFERROR(__XLUDF.DUMMYFUNCTION("VLOOKUP(H352,IMPORTRANGE(""https://docs.google.com/spreadsheets/d/1opm6ZNvGZ7KditA9TuJwrZ25eFLfTNIkrNnY6mhV5Eg"",""list!A1:C115""),3,TRUE)"),"le secteur des assurances")</f>
        <v xml:space="preserve">le secteur des assurances</v>
      </c>
      <c r="K9967" s="10" t="s">
        <v>44159</v>
      </c>
      <c r="L9967" s="10" t="s">
        <v>44160</v>
      </c>
      <c r="M9967" s="8" t="s">
        <v>3898</v>
      </c>
      <c r="N9967" s="8" t="s">
        <v>29</v>
      </c>
      <c r="O9967" s="8" t="s">
        <v>10736</v>
      </c>
      <c r="P9967" s="8"/>
      <c r="Q9967" s="8"/>
      <c r="R9967" s="8"/>
      <c r="S9967" s="8"/>
      <c r="T9967" s="8"/>
      <c r="U9967" s="8"/>
      <c r="V9967" s="8"/>
      <c r="W9967" s="8"/>
      <c r="X9967" s="8"/>
      <c r="Y9967" s="8"/>
    </row>
    <row r="9968" ht="14.25">
      <c r="B9968" s="8" t="s">
        <v>11755</v>
      </c>
      <c r="C9968" s="8" t="s">
        <v>44161</v>
      </c>
      <c r="D9968" s="8" t="s">
        <v>2636</v>
      </c>
      <c r="E9968" s="8" t="s">
        <v>44162</v>
      </c>
      <c r="F9968" s="8" t="str">
        <f>IFERROR(__XLUDF.DUMMYFUNCTION("PROPER(REGEXREPLACE(D353,""[^A-Za-z]+ "",""""))"),"Mocf")</f>
        <v>Mocf</v>
      </c>
      <c r="G9968" s="8" t="s">
        <v>44163</v>
      </c>
      <c r="H9968" s="8"/>
      <c r="I9968" s="8"/>
      <c r="J9968" s="8" t="s">
        <v>42267</v>
      </c>
      <c r="K9968" s="10" t="s">
        <v>44164</v>
      </c>
      <c r="L9968" s="10" t="s">
        <v>44165</v>
      </c>
      <c r="M9968" s="8" t="s">
        <v>39</v>
      </c>
      <c r="N9968" s="8" t="s">
        <v>29</v>
      </c>
      <c r="O9968" s="8" t="s">
        <v>9160</v>
      </c>
      <c r="P9968" s="8"/>
      <c r="Q9968" s="8"/>
      <c r="R9968" s="8"/>
      <c r="S9968" s="8"/>
      <c r="T9968" s="8"/>
      <c r="U9968" s="8"/>
      <c r="V9968" s="8"/>
      <c r="W9968" s="8"/>
      <c r="X9968" s="8"/>
      <c r="Y9968" s="8"/>
    </row>
    <row r="9969" ht="14.25">
      <c r="B9969" s="8" t="s">
        <v>44166</v>
      </c>
      <c r="C9969" s="8" t="s">
        <v>44167</v>
      </c>
      <c r="D9969" s="8" t="s">
        <v>112</v>
      </c>
      <c r="E9969" s="8" t="s">
        <v>44168</v>
      </c>
      <c r="F9969" s="8" t="str">
        <f>IFERROR(__XLUDF.DUMMYFUNCTION("PROPER(REGEXREPLACE(D354,""[^A-Za-z]+ "",""""))"),"Cp Solutions")</f>
        <v xml:space="preserve">Cp Solutions</v>
      </c>
      <c r="G9969" s="8" t="s">
        <v>44169</v>
      </c>
      <c r="H9969" s="8"/>
      <c r="I9969" s="8"/>
      <c r="J9969" s="8" t="s">
        <v>42267</v>
      </c>
      <c r="K9969" s="10" t="s">
        <v>44170</v>
      </c>
      <c r="L9969" s="10" t="s">
        <v>44171</v>
      </c>
      <c r="M9969" s="8" t="s">
        <v>44172</v>
      </c>
      <c r="N9969" s="8" t="s">
        <v>29</v>
      </c>
      <c r="O9969" s="8" t="s">
        <v>9160</v>
      </c>
      <c r="P9969" s="8"/>
      <c r="Q9969" s="8"/>
      <c r="R9969" s="8"/>
      <c r="S9969" s="8"/>
      <c r="T9969" s="8"/>
      <c r="U9969" s="8"/>
      <c r="V9969" s="8"/>
      <c r="W9969" s="8"/>
      <c r="X9969" s="8"/>
      <c r="Y9969" s="8"/>
    </row>
    <row r="9970" ht="14.25">
      <c r="B9970" s="8" t="s">
        <v>21298</v>
      </c>
      <c r="C9970" s="8" t="s">
        <v>44173</v>
      </c>
      <c r="D9970" s="8" t="s">
        <v>112</v>
      </c>
      <c r="E9970" s="8" t="s">
        <v>44174</v>
      </c>
      <c r="F9970" s="8" t="str">
        <f>IFERROR(__XLUDF.DUMMYFUNCTION("PROPER(REGEXREPLACE(D355,""[^A-Za-z]+ "",""""))"),"Vitassurance")</f>
        <v>Vitassurance</v>
      </c>
      <c r="G9970" s="8" t="s">
        <v>44175</v>
      </c>
      <c r="H9970" s="9">
        <v>3</v>
      </c>
      <c r="I9970" s="8" t="s">
        <v>39661</v>
      </c>
      <c r="J9970" s="8" t="str">
        <f>IFERROR(__XLUDF.DUMMYFUNCTION("VLOOKUP(H355,IMPORTRANGE(""https://docs.google.com/spreadsheets/d/1opm6ZNvGZ7KditA9TuJwrZ25eFLfTNIkrNnY6mhV5Eg"",""list!A1:C115""),3,TRUE)"),"le secteur des assurances")</f>
        <v xml:space="preserve">le secteur des assurances</v>
      </c>
      <c r="K9970" s="10" t="s">
        <v>44176</v>
      </c>
      <c r="L9970" s="10" t="s">
        <v>44177</v>
      </c>
      <c r="M9970" s="8" t="s">
        <v>49</v>
      </c>
      <c r="N9970" s="8" t="s">
        <v>29</v>
      </c>
      <c r="O9970" s="8" t="s">
        <v>9251</v>
      </c>
      <c r="P9970" s="8"/>
      <c r="Q9970" s="8" t="s">
        <v>44178</v>
      </c>
      <c r="R9970" s="8"/>
      <c r="S9970" s="8"/>
      <c r="T9970" s="8"/>
      <c r="U9970" s="8"/>
      <c r="V9970" s="8"/>
      <c r="W9970" s="8"/>
      <c r="X9970" s="8"/>
      <c r="Y9970" s="8"/>
    </row>
    <row r="9971" ht="14.25">
      <c r="B9971" s="18" t="s">
        <v>3673</v>
      </c>
      <c r="C9971" s="18" t="s">
        <v>44179</v>
      </c>
      <c r="D9971" s="18" t="s">
        <v>164</v>
      </c>
      <c r="E9971" s="18" t="s">
        <v>42250</v>
      </c>
      <c r="F9971" s="8" t="str">
        <f>IFERROR(__XLUDF.DUMMYFUNCTION("PROPER(REGEXREPLACE(D356,""[^A-Za-z]+ "",""""))"),"Solucia Service Et Protection Juridiques")</f>
        <v xml:space="preserve">Solucia Service Et Protection Juridiques</v>
      </c>
      <c r="G9971" s="18" t="s">
        <v>44180</v>
      </c>
      <c r="H9971" s="18">
        <v>62</v>
      </c>
      <c r="I9971" s="18" t="s">
        <v>39661</v>
      </c>
      <c r="J9971" s="8" t="str">
        <f>IFERROR(__XLUDF.DUMMYFUNCTION("VLOOKUP(H356,IMPORTRANGE(""https://docs.google.com/spreadsheets/d/1opm6ZNvGZ7KditA9TuJwrZ25eFLfTNIkrNnY6mhV5Eg"",""list!A1:C115""),3,TRUE)"),"le secteur des assurances")</f>
        <v xml:space="preserve">le secteur des assurances</v>
      </c>
      <c r="K9971" s="5" t="s">
        <v>44181</v>
      </c>
      <c r="L9971" s="5" t="s">
        <v>42253</v>
      </c>
      <c r="M9971" s="18" t="s">
        <v>39</v>
      </c>
      <c r="N9971" s="18" t="s">
        <v>29</v>
      </c>
      <c r="O9971" s="18" t="s">
        <v>42255</v>
      </c>
      <c r="P9971" s="18" t="s">
        <v>29</v>
      </c>
      <c r="Q9971" s="18" t="s">
        <v>42256</v>
      </c>
      <c r="R9971" s="6"/>
      <c r="S9971" s="6"/>
      <c r="T9971" s="6"/>
      <c r="U9971" s="6"/>
      <c r="V9971" s="6"/>
      <c r="W9971" s="6"/>
      <c r="X9971" s="6"/>
      <c r="Y9971" s="6"/>
    </row>
    <row r="9972" ht="14.25">
      <c r="B9972" s="8" t="s">
        <v>808</v>
      </c>
      <c r="C9972" s="8" t="s">
        <v>44182</v>
      </c>
      <c r="D9972" s="8" t="s">
        <v>112</v>
      </c>
      <c r="E9972" s="8" t="s">
        <v>44183</v>
      </c>
      <c r="F9972" s="8" t="str">
        <f>IFERROR(__XLUDF.DUMMYFUNCTION("PROPER(REGEXREPLACE(D357,""[^A-Za-z]+ "",""""))"),"Mca")</f>
        <v>Mca</v>
      </c>
      <c r="G9972" s="8" t="s">
        <v>44184</v>
      </c>
      <c r="H9972" s="9">
        <v>44</v>
      </c>
      <c r="I9972" s="8" t="s">
        <v>39661</v>
      </c>
      <c r="J9972" s="8" t="str">
        <f>IFERROR(__XLUDF.DUMMYFUNCTION("VLOOKUP(H357,IMPORTRANGE(""https://docs.google.com/spreadsheets/d/1opm6ZNvGZ7KditA9TuJwrZ25eFLfTNIkrNnY6mhV5Eg"",""list!A1:C115""),3,TRUE)"),"le secteur des assurances")</f>
        <v xml:space="preserve">le secteur des assurances</v>
      </c>
      <c r="K9972" s="10" t="s">
        <v>44185</v>
      </c>
      <c r="L9972" s="10" t="s">
        <v>44186</v>
      </c>
      <c r="M9972" s="8" t="s">
        <v>16312</v>
      </c>
      <c r="N9972" s="8" t="s">
        <v>29</v>
      </c>
      <c r="O9972" s="8" t="s">
        <v>9215</v>
      </c>
      <c r="P9972" s="8"/>
      <c r="Q9972" s="8" t="s">
        <v>44187</v>
      </c>
      <c r="R9972" s="8"/>
      <c r="S9972" s="8"/>
      <c r="T9972" s="8"/>
      <c r="U9972" s="8"/>
      <c r="V9972" s="8"/>
      <c r="W9972" s="8"/>
      <c r="X9972" s="8"/>
      <c r="Y9972" s="8"/>
    </row>
    <row r="9973" ht="14.25">
      <c r="B9973" s="8" t="s">
        <v>222</v>
      </c>
      <c r="C9973" s="8" t="s">
        <v>8041</v>
      </c>
      <c r="D9973" s="8" t="s">
        <v>44188</v>
      </c>
      <c r="E9973" s="8" t="s">
        <v>43938</v>
      </c>
      <c r="F9973" s="8" t="str">
        <f>IFERROR(__XLUDF.DUMMYFUNCTION("PROPER(REGEXREPLACE(D358,""[^A-Za-z]+ "",""""))"),"Vetoptim Assurance")</f>
        <v xml:space="preserve">Vetoptim Assurance</v>
      </c>
      <c r="G9973" s="8" t="s">
        <v>44189</v>
      </c>
      <c r="H9973" s="9">
        <v>10</v>
      </c>
      <c r="I9973" s="8" t="s">
        <v>39661</v>
      </c>
      <c r="J9973" s="8" t="str">
        <f>IFERROR(__XLUDF.DUMMYFUNCTION("VLOOKUP(H358,IMPORTRANGE(""https://docs.google.com/spreadsheets/d/1opm6ZNvGZ7KditA9TuJwrZ25eFLfTNIkrNnY6mhV5Eg"",""list!A1:C115""),3,TRUE)"),"le secteur des assurances")</f>
        <v xml:space="preserve">le secteur des assurances</v>
      </c>
      <c r="K9973" s="10" t="s">
        <v>44190</v>
      </c>
      <c r="L9973" s="10" t="s">
        <v>43941</v>
      </c>
      <c r="M9973" s="8" t="s">
        <v>39</v>
      </c>
      <c r="N9973" s="8" t="s">
        <v>29</v>
      </c>
      <c r="O9973" s="8" t="s">
        <v>9160</v>
      </c>
      <c r="P9973" s="8"/>
      <c r="Q9973" s="8" t="s">
        <v>43942</v>
      </c>
      <c r="R9973" s="8"/>
      <c r="S9973" s="8"/>
      <c r="T9973" s="8"/>
      <c r="U9973" s="8"/>
      <c r="V9973" s="8"/>
      <c r="W9973" s="8"/>
      <c r="X9973" s="8"/>
      <c r="Y9973" s="8"/>
    </row>
    <row r="9974" ht="14.25">
      <c r="B9974" s="8" t="s">
        <v>4341</v>
      </c>
      <c r="C9974" s="8" t="s">
        <v>44191</v>
      </c>
      <c r="D9974" s="8" t="s">
        <v>44192</v>
      </c>
      <c r="E9974" s="8" t="s">
        <v>42598</v>
      </c>
      <c r="F9974" s="8" t="str">
        <f>IFERROR(__XLUDF.DUMMYFUNCTION("PROPER(REGEXREPLACE(D359,""[^A-Za-z]+ "",""""))"),"Agasco")</f>
        <v>Agasco</v>
      </c>
      <c r="G9974" s="8" t="s">
        <v>44193</v>
      </c>
      <c r="H9974" s="9">
        <v>3</v>
      </c>
      <c r="I9974" s="8" t="s">
        <v>39661</v>
      </c>
      <c r="J9974" s="8" t="str">
        <f>IFERROR(__XLUDF.DUMMYFUNCTION("VLOOKUP(H359,IMPORTRANGE(""https://docs.google.com/spreadsheets/d/1opm6ZNvGZ7KditA9TuJwrZ25eFLfTNIkrNnY6mhV5Eg"",""list!A1:C115""),3,TRUE)"),"le secteur des assurances")</f>
        <v xml:space="preserve">le secteur des assurances</v>
      </c>
      <c r="K9974" s="10" t="s">
        <v>44194</v>
      </c>
      <c r="L9974" s="10" t="s">
        <v>42601</v>
      </c>
      <c r="M9974" s="8" t="s">
        <v>243</v>
      </c>
      <c r="N9974" s="8" t="s">
        <v>29</v>
      </c>
      <c r="O9974" s="8" t="s">
        <v>9864</v>
      </c>
      <c r="P9974" s="8"/>
      <c r="Q9974" s="8" t="s">
        <v>42602</v>
      </c>
      <c r="R9974" s="8"/>
      <c r="S9974" s="8"/>
      <c r="T9974" s="8"/>
      <c r="U9974" s="8"/>
      <c r="V9974" s="8"/>
      <c r="W9974" s="8"/>
      <c r="X9974" s="8"/>
      <c r="Y9974" s="8"/>
    </row>
    <row r="9975" ht="14.25">
      <c r="B9975" s="18" t="s">
        <v>1027</v>
      </c>
      <c r="C9975" s="18" t="s">
        <v>44195</v>
      </c>
      <c r="D9975" s="18" t="s">
        <v>172</v>
      </c>
      <c r="E9975" s="18" t="s">
        <v>43224</v>
      </c>
      <c r="F9975" s="8" t="str">
        <f>IFERROR(__XLUDF.DUMMYFUNCTION("PROPER(REGEXREPLACE(D360,""[^A-Za-z]+ "",""""))"),"Mutuelle Mutami")</f>
        <v xml:space="preserve">Mutuelle Mutami</v>
      </c>
      <c r="G9975" s="18" t="s">
        <v>44196</v>
      </c>
      <c r="H9975" s="18">
        <v>86</v>
      </c>
      <c r="I9975" s="18" t="s">
        <v>39661</v>
      </c>
      <c r="J9975" s="8" t="str">
        <f>IFERROR(__XLUDF.DUMMYFUNCTION("VLOOKUP(H360,IMPORTRANGE(""https://docs.google.com/spreadsheets/d/1opm6ZNvGZ7KditA9TuJwrZ25eFLfTNIkrNnY6mhV5Eg"",""list!A1:C115""),3,TRUE)"),"le secteur des assurances")</f>
        <v xml:space="preserve">le secteur des assurances</v>
      </c>
      <c r="K9975" s="5" t="s">
        <v>44197</v>
      </c>
      <c r="L9975" s="5" t="s">
        <v>44198</v>
      </c>
      <c r="M9975" s="18" t="s">
        <v>83</v>
      </c>
      <c r="N9975" s="18" t="s">
        <v>29</v>
      </c>
      <c r="O9975" s="18" t="s">
        <v>44199</v>
      </c>
      <c r="P9975" s="18" t="s">
        <v>29</v>
      </c>
      <c r="Q9975" s="18" t="s">
        <v>44200</v>
      </c>
      <c r="R9975" s="6"/>
      <c r="S9975" s="6"/>
      <c r="T9975" s="6"/>
      <c r="U9975" s="6"/>
      <c r="V9975" s="6"/>
      <c r="W9975" s="6"/>
      <c r="X9975" s="6"/>
      <c r="Y9975" s="6"/>
    </row>
    <row r="9976" ht="14.25">
      <c r="B9976" s="8" t="s">
        <v>661</v>
      </c>
      <c r="C9976" s="8" t="s">
        <v>44201</v>
      </c>
      <c r="D9976" s="8" t="s">
        <v>112</v>
      </c>
      <c r="E9976" s="8" t="s">
        <v>44202</v>
      </c>
      <c r="F9976" s="8" t="str">
        <f>IFERROR(__XLUDF.DUMMYFUNCTION("PROPER(REGEXREPLACE(D361,""[^A-Za-z]+ "",""""))"),"Anovcourtage")</f>
        <v>Anovcourtage</v>
      </c>
      <c r="G9976" s="8" t="s">
        <v>44203</v>
      </c>
      <c r="H9976" s="9">
        <v>4</v>
      </c>
      <c r="I9976" s="8" t="s">
        <v>39661</v>
      </c>
      <c r="J9976" s="8" t="str">
        <f>IFERROR(__XLUDF.DUMMYFUNCTION("VLOOKUP(H361,IMPORTRANGE(""https://docs.google.com/spreadsheets/d/1opm6ZNvGZ7KditA9TuJwrZ25eFLfTNIkrNnY6mhV5Eg"",""list!A1:C115""),3,TRUE)"),"le secteur des assurances")</f>
        <v xml:space="preserve">le secteur des assurances</v>
      </c>
      <c r="K9976" s="10" t="s">
        <v>44204</v>
      </c>
      <c r="L9976" s="10" t="s">
        <v>44205</v>
      </c>
      <c r="M9976" s="8" t="s">
        <v>39</v>
      </c>
      <c r="N9976" s="8" t="s">
        <v>29</v>
      </c>
      <c r="O9976" s="8" t="s">
        <v>9160</v>
      </c>
      <c r="P9976" s="8"/>
      <c r="Q9976" s="8" t="s">
        <v>44206</v>
      </c>
      <c r="R9976" s="8"/>
      <c r="S9976" s="8"/>
      <c r="T9976" s="8"/>
      <c r="U9976" s="8"/>
      <c r="V9976" s="8"/>
      <c r="W9976" s="8"/>
      <c r="X9976" s="8"/>
      <c r="Y9976" s="8"/>
    </row>
    <row r="9977" ht="14.25">
      <c r="B9977" s="8" t="s">
        <v>322</v>
      </c>
      <c r="C9977" s="8" t="s">
        <v>44207</v>
      </c>
      <c r="D9977" s="8" t="s">
        <v>112</v>
      </c>
      <c r="E9977" s="8" t="s">
        <v>44208</v>
      </c>
      <c r="F9977" s="8" t="str">
        <f>IFERROR(__XLUDF.DUMMYFUNCTION("PROPER(REGEXREPLACE(D362,""[^A-Za-z]+ "",""""))"),"Groupe Jausseinjaussein Expertise")</f>
        <v xml:space="preserve">Groupe Jausseinjaussein Expertise</v>
      </c>
      <c r="G9977" s="8" t="s">
        <v>44209</v>
      </c>
      <c r="H9977" s="9">
        <v>8</v>
      </c>
      <c r="I9977" s="8" t="s">
        <v>39661</v>
      </c>
      <c r="J9977" s="8" t="str">
        <f>IFERROR(__XLUDF.DUMMYFUNCTION("VLOOKUP(H362,IMPORTRANGE(""https://docs.google.com/spreadsheets/d/1opm6ZNvGZ7KditA9TuJwrZ25eFLfTNIkrNnY6mhV5Eg"",""list!A1:C115""),3,TRUE)"),"le secteur des assurances")</f>
        <v xml:space="preserve">le secteur des assurances</v>
      </c>
      <c r="K9977" s="10" t="s">
        <v>44210</v>
      </c>
      <c r="L9977" s="10" t="s">
        <v>44211</v>
      </c>
      <c r="M9977" s="8" t="s">
        <v>49</v>
      </c>
      <c r="N9977" s="8" t="s">
        <v>29</v>
      </c>
      <c r="O9977" s="8" t="s">
        <v>9251</v>
      </c>
      <c r="P9977" s="8"/>
      <c r="Q9977" s="8" t="s">
        <v>44212</v>
      </c>
      <c r="R9977" s="8"/>
      <c r="S9977" s="8"/>
      <c r="T9977" s="8"/>
      <c r="U9977" s="8"/>
      <c r="V9977" s="8"/>
      <c r="W9977" s="8"/>
      <c r="X9977" s="8"/>
      <c r="Y9977" s="8"/>
    </row>
    <row r="9978" ht="14.25">
      <c r="B9978" s="8" t="s">
        <v>34201</v>
      </c>
      <c r="C9978" s="8" t="s">
        <v>44213</v>
      </c>
      <c r="D9978" s="8" t="s">
        <v>44214</v>
      </c>
      <c r="E9978" s="8" t="s">
        <v>44215</v>
      </c>
      <c r="F9978" s="8" t="str">
        <f>IFERROR(__XLUDF.DUMMYFUNCTION("PROPER(REGEXREPLACE(D363,""[^A-Za-z]+ "",""""))"),"Betoux Reinbold Conseils")</f>
        <v xml:space="preserve">Betoux Reinbold Conseils</v>
      </c>
      <c r="G9978" s="8" t="s">
        <v>44216</v>
      </c>
      <c r="H9978" s="9">
        <v>3</v>
      </c>
      <c r="I9978" s="8" t="s">
        <v>39661</v>
      </c>
      <c r="J9978" s="8" t="str">
        <f>IFERROR(__XLUDF.DUMMYFUNCTION("VLOOKUP(H363,IMPORTRANGE(""https://docs.google.com/spreadsheets/d/1opm6ZNvGZ7KditA9TuJwrZ25eFLfTNIkrNnY6mhV5Eg"",""list!A1:C115""),3,TRUE)"),"le secteur des assurances")</f>
        <v xml:space="preserve">le secteur des assurances</v>
      </c>
      <c r="K9978" s="10" t="s">
        <v>44217</v>
      </c>
      <c r="L9978" s="10" t="s">
        <v>44218</v>
      </c>
      <c r="M9978" s="8" t="s">
        <v>39</v>
      </c>
      <c r="N9978" s="8" t="s">
        <v>29</v>
      </c>
      <c r="O9978" s="8" t="s">
        <v>9160</v>
      </c>
      <c r="P9978" s="8"/>
      <c r="Q9978" s="8" t="s">
        <v>44219</v>
      </c>
      <c r="R9978" s="8"/>
      <c r="S9978" s="8"/>
      <c r="T9978" s="8"/>
      <c r="U9978" s="8"/>
      <c r="V9978" s="8"/>
      <c r="W9978" s="8"/>
      <c r="X9978" s="8"/>
      <c r="Y9978" s="8"/>
    </row>
    <row r="9979" ht="14.25">
      <c r="B9979" s="18" t="s">
        <v>866</v>
      </c>
      <c r="C9979" s="18" t="s">
        <v>44220</v>
      </c>
      <c r="D9979" s="18" t="s">
        <v>112</v>
      </c>
      <c r="E9979" s="18" t="s">
        <v>43039</v>
      </c>
      <c r="F9979" s="8" t="str">
        <f>IFERROR(__XLUDF.DUMMYFUNCTION("PROPER(REGEXREPLACE(D364,""[^A-Za-z]+ "",""""))"),"Uniprevoyance")</f>
        <v>Uniprevoyance</v>
      </c>
      <c r="G9979" s="18" t="s">
        <v>44221</v>
      </c>
      <c r="H9979" s="18">
        <v>110</v>
      </c>
      <c r="I9979" s="18" t="s">
        <v>39661</v>
      </c>
      <c r="J9979" s="8" t="str">
        <f>IFERROR(__XLUDF.DUMMYFUNCTION("VLOOKUP(H364,IMPORTRANGE(""https://docs.google.com/spreadsheets/d/1opm6ZNvGZ7KditA9TuJwrZ25eFLfTNIkrNnY6mhV5Eg"",""list!A1:C115""),3,TRUE)"),"le secteur des assurances")</f>
        <v xml:space="preserve">le secteur des assurances</v>
      </c>
      <c r="K9979" s="5" t="s">
        <v>44222</v>
      </c>
      <c r="L9979" s="5" t="s">
        <v>43042</v>
      </c>
      <c r="M9979" s="18" t="s">
        <v>39</v>
      </c>
      <c r="N9979" s="18" t="s">
        <v>29</v>
      </c>
      <c r="O9979" s="18" t="s">
        <v>43043</v>
      </c>
      <c r="P9979" s="18" t="s">
        <v>29</v>
      </c>
      <c r="Q9979" s="18" t="s">
        <v>43044</v>
      </c>
      <c r="R9979" s="6"/>
      <c r="S9979" s="6"/>
      <c r="T9979" s="6"/>
      <c r="U9979" s="6"/>
      <c r="V9979" s="6"/>
      <c r="W9979" s="6"/>
      <c r="X9979" s="6"/>
      <c r="Y9979" s="6"/>
    </row>
    <row r="9980" ht="14.25">
      <c r="B9980" s="8" t="s">
        <v>622</v>
      </c>
      <c r="C9980" s="8" t="s">
        <v>44223</v>
      </c>
      <c r="D9980" s="8" t="s">
        <v>44224</v>
      </c>
      <c r="E9980" s="8" t="s">
        <v>44225</v>
      </c>
      <c r="F9980" s="8" t="str">
        <f>IFERROR(__XLUDF.DUMMYFUNCTION("PROPER(REGEXREPLACE(D365,""[^A-Za-z]+ "",""""))"),"Tolède Groupeassociés")</f>
        <v xml:space="preserve">Tolède Groupeassociés</v>
      </c>
      <c r="G9980" s="8" t="s">
        <v>44226</v>
      </c>
      <c r="H9980" s="9">
        <v>31</v>
      </c>
      <c r="I9980" s="8" t="s">
        <v>39661</v>
      </c>
      <c r="J9980" s="8" t="str">
        <f>IFERROR(__XLUDF.DUMMYFUNCTION("VLOOKUP(H365,IMPORTRANGE(""https://docs.google.com/spreadsheets/d/1opm6ZNvGZ7KditA9TuJwrZ25eFLfTNIkrNnY6mhV5Eg"",""list!A1:C115""),3,TRUE)"),"le secteur des assurances")</f>
        <v xml:space="preserve">le secteur des assurances</v>
      </c>
      <c r="K9980" s="10" t="s">
        <v>44227</v>
      </c>
      <c r="L9980" s="10" t="s">
        <v>44228</v>
      </c>
      <c r="M9980" s="8" t="s">
        <v>44229</v>
      </c>
      <c r="N9980" s="8" t="s">
        <v>29</v>
      </c>
      <c r="O9980" s="8" t="s">
        <v>9864</v>
      </c>
      <c r="P9980" s="8"/>
      <c r="Q9980" s="8" t="s">
        <v>44230</v>
      </c>
      <c r="R9980" s="8"/>
      <c r="S9980" s="8"/>
      <c r="T9980" s="8"/>
      <c r="U9980" s="8"/>
      <c r="V9980" s="8"/>
      <c r="W9980" s="8"/>
      <c r="X9980" s="8"/>
      <c r="Y9980" s="8"/>
    </row>
    <row r="9981" ht="14.25">
      <c r="B9981" s="8" t="s">
        <v>1153</v>
      </c>
      <c r="C9981" s="8" t="s">
        <v>44231</v>
      </c>
      <c r="D9981" s="8" t="s">
        <v>7759</v>
      </c>
      <c r="E9981" s="8" t="s">
        <v>44232</v>
      </c>
      <c r="F9981" s="8" t="str">
        <f>IFERROR(__XLUDF.DUMMYFUNCTION("PROPER(REGEXREPLACE(D366,""[^A-Za-z]+ "",""""))"),"Arc Assurances")</f>
        <v xml:space="preserve">Arc Assurances</v>
      </c>
      <c r="G9981" s="8" t="s">
        <v>44233</v>
      </c>
      <c r="H9981" s="9">
        <v>13</v>
      </c>
      <c r="I9981" s="8" t="s">
        <v>39661</v>
      </c>
      <c r="J9981" s="8" t="str">
        <f>IFERROR(__XLUDF.DUMMYFUNCTION("VLOOKUP(H366,IMPORTRANGE(""https://docs.google.com/spreadsheets/d/1opm6ZNvGZ7KditA9TuJwrZ25eFLfTNIkrNnY6mhV5Eg"",""list!A1:C115""),3,TRUE)"),"le secteur des assurances")</f>
        <v xml:space="preserve">le secteur des assurances</v>
      </c>
      <c r="K9981" s="10" t="s">
        <v>44234</v>
      </c>
      <c r="L9981" s="10" t="s">
        <v>44235</v>
      </c>
      <c r="M9981" s="8" t="s">
        <v>19976</v>
      </c>
      <c r="N9981" s="8" t="s">
        <v>29</v>
      </c>
      <c r="O9981" s="8" t="s">
        <v>9193</v>
      </c>
      <c r="P9981" s="8"/>
      <c r="Q9981" s="8" t="s">
        <v>44236</v>
      </c>
      <c r="R9981" s="8"/>
      <c r="S9981" s="8"/>
      <c r="T9981" s="8"/>
      <c r="U9981" s="8"/>
      <c r="V9981" s="8"/>
      <c r="W9981" s="8"/>
      <c r="X9981" s="8"/>
      <c r="Y9981" s="8"/>
    </row>
    <row r="9982" ht="14.25">
      <c r="B9982" s="8" t="s">
        <v>1215</v>
      </c>
      <c r="C9982" s="8" t="s">
        <v>44237</v>
      </c>
      <c r="D9982" s="8" t="s">
        <v>172</v>
      </c>
      <c r="E9982" s="8" t="s">
        <v>44238</v>
      </c>
      <c r="F9982" s="8" t="str">
        <f>IFERROR(__XLUDF.DUMMYFUNCTION("PROPER(REGEXREPLACE(D367,""[^A-Za-z]+ "",""""))"),"Globale Assure")</f>
        <v xml:space="preserve">Globale Assure</v>
      </c>
      <c r="G9982" s="8" t="s">
        <v>44239</v>
      </c>
      <c r="H9982" s="9">
        <v>4</v>
      </c>
      <c r="I9982" s="8" t="s">
        <v>39661</v>
      </c>
      <c r="J9982" s="8" t="str">
        <f>IFERROR(__XLUDF.DUMMYFUNCTION("VLOOKUP(H367,IMPORTRANGE(""https://docs.google.com/spreadsheets/d/1opm6ZNvGZ7KditA9TuJwrZ25eFLfTNIkrNnY6mhV5Eg"",""list!A1:C115""),3,TRUE)"),"le secteur des assurances")</f>
        <v xml:space="preserve">le secteur des assurances</v>
      </c>
      <c r="K9982" s="10" t="s">
        <v>44240</v>
      </c>
      <c r="L9982" s="10" t="s">
        <v>44241</v>
      </c>
      <c r="M9982" s="8" t="s">
        <v>44242</v>
      </c>
      <c r="N9982" s="8" t="s">
        <v>29</v>
      </c>
      <c r="O9982" s="8" t="s">
        <v>9798</v>
      </c>
      <c r="P9982" s="8"/>
      <c r="Q9982" s="8" t="s">
        <v>44243</v>
      </c>
      <c r="R9982" s="8"/>
      <c r="S9982" s="8"/>
      <c r="T9982" s="8"/>
      <c r="U9982" s="8"/>
      <c r="V9982" s="8"/>
      <c r="W9982" s="8"/>
      <c r="X9982" s="8"/>
      <c r="Y9982" s="8"/>
    </row>
    <row r="9983" ht="14.25">
      <c r="B9983" s="8" t="s">
        <v>2932</v>
      </c>
      <c r="C9983" s="8" t="s">
        <v>27467</v>
      </c>
      <c r="D9983" s="8" t="s">
        <v>172</v>
      </c>
      <c r="E9983" s="8" t="s">
        <v>42623</v>
      </c>
      <c r="F9983" s="8" t="str">
        <f>IFERROR(__XLUDF.DUMMYFUNCTION("PROPER(REGEXREPLACE(D368,""[^A-Za-z]+ "",""""))"),"Groupe Cfb")</f>
        <v xml:space="preserve">Groupe Cfb</v>
      </c>
      <c r="G9983" s="8" t="s">
        <v>44244</v>
      </c>
      <c r="H9983" s="9">
        <v>8</v>
      </c>
      <c r="I9983" s="8" t="s">
        <v>39661</v>
      </c>
      <c r="J9983" s="8" t="str">
        <f>IFERROR(__XLUDF.DUMMYFUNCTION("VLOOKUP(H368,IMPORTRANGE(""https://docs.google.com/spreadsheets/d/1opm6ZNvGZ7KditA9TuJwrZ25eFLfTNIkrNnY6mhV5Eg"",""list!A1:C115""),3,TRUE)"),"le secteur des assurances")</f>
        <v xml:space="preserve">le secteur des assurances</v>
      </c>
      <c r="K9983" s="10" t="s">
        <v>44245</v>
      </c>
      <c r="L9983" s="10" t="s">
        <v>42626</v>
      </c>
      <c r="M9983" s="8" t="s">
        <v>44246</v>
      </c>
      <c r="N9983" s="8" t="s">
        <v>29</v>
      </c>
      <c r="O9983" s="8" t="s">
        <v>9864</v>
      </c>
      <c r="P9983" s="8"/>
      <c r="Q9983" s="8" t="s">
        <v>42627</v>
      </c>
      <c r="R9983" s="8"/>
      <c r="S9983" s="8"/>
      <c r="T9983" s="8"/>
      <c r="U9983" s="8"/>
      <c r="V9983" s="8"/>
      <c r="W9983" s="8"/>
      <c r="X9983" s="8"/>
      <c r="Y9983" s="8"/>
    </row>
    <row r="9984" ht="14.25">
      <c r="B9984" s="8" t="s">
        <v>196</v>
      </c>
      <c r="C9984" s="8" t="s">
        <v>1909</v>
      </c>
      <c r="D9984" s="8" t="s">
        <v>44247</v>
      </c>
      <c r="E9984" s="8" t="s">
        <v>44248</v>
      </c>
      <c r="F9984" s="8" t="str">
        <f>IFERROR(__XLUDF.DUMMYFUNCTION("PROPER(REGEXREPLACE(D369,""[^A-Za-z]+ "",""""))"),"Initiativerisk Partners")</f>
        <v xml:space="preserve">Initiativerisk Partners</v>
      </c>
      <c r="G9984" s="8" t="s">
        <v>44249</v>
      </c>
      <c r="H9984" s="9">
        <v>5</v>
      </c>
      <c r="I9984" s="8" t="s">
        <v>39661</v>
      </c>
      <c r="J9984" s="8" t="str">
        <f>IFERROR(__XLUDF.DUMMYFUNCTION("VLOOKUP(H369,IMPORTRANGE(""https://docs.google.com/spreadsheets/d/1opm6ZNvGZ7KditA9TuJwrZ25eFLfTNIkrNnY6mhV5Eg"",""list!A1:C115""),3,TRUE)"),"le secteur des assurances")</f>
        <v xml:space="preserve">le secteur des assurances</v>
      </c>
      <c r="K9984" s="10" t="s">
        <v>44250</v>
      </c>
      <c r="L9984" s="10" t="s">
        <v>44251</v>
      </c>
      <c r="M9984" s="8"/>
      <c r="N9984" s="8" t="s">
        <v>29</v>
      </c>
      <c r="O9984" s="8"/>
      <c r="P9984" s="8"/>
      <c r="Q9984" s="8"/>
      <c r="R9984" s="8"/>
      <c r="S9984" s="8"/>
      <c r="T9984" s="8"/>
      <c r="U9984" s="8"/>
      <c r="V9984" s="8"/>
      <c r="W9984" s="8"/>
      <c r="X9984" s="8"/>
      <c r="Y9984" s="8"/>
    </row>
    <row r="9985" ht="14.25">
      <c r="B9985" s="8" t="s">
        <v>3850</v>
      </c>
      <c r="C9985" s="8" t="s">
        <v>44252</v>
      </c>
      <c r="D9985" s="8" t="s">
        <v>1130</v>
      </c>
      <c r="E9985" s="8" t="s">
        <v>44253</v>
      </c>
      <c r="F9985" s="8" t="str">
        <f>IFERROR(__XLUDF.DUMMYFUNCTION("PROPER(REGEXREPLACE(D370,""[^A-Za-z]+ "",""""))"),"Permutual")</f>
        <v>Permutual</v>
      </c>
      <c r="G9985" s="8" t="s">
        <v>44254</v>
      </c>
      <c r="H9985" s="9">
        <v>5</v>
      </c>
      <c r="I9985" s="8" t="s">
        <v>39661</v>
      </c>
      <c r="J9985" s="8" t="str">
        <f>IFERROR(__XLUDF.DUMMYFUNCTION("VLOOKUP(H370,IMPORTRANGE(""https://docs.google.com/spreadsheets/d/1opm6ZNvGZ7KditA9TuJwrZ25eFLfTNIkrNnY6mhV5Eg"",""list!A1:C115""),3,TRUE)"),"le secteur des assurances")</f>
        <v xml:space="preserve">le secteur des assurances</v>
      </c>
      <c r="K9985" s="10" t="s">
        <v>44255</v>
      </c>
      <c r="L9985" s="10" t="s">
        <v>44256</v>
      </c>
      <c r="M9985" s="8" t="s">
        <v>44257</v>
      </c>
      <c r="N9985" s="8" t="s">
        <v>29</v>
      </c>
      <c r="O9985" s="8" t="s">
        <v>9281</v>
      </c>
      <c r="P9985" s="8"/>
      <c r="Q9985" s="8" t="s">
        <v>44258</v>
      </c>
      <c r="R9985" s="8"/>
      <c r="S9985" s="8"/>
      <c r="T9985" s="8"/>
      <c r="U9985" s="8"/>
      <c r="V9985" s="8"/>
      <c r="W9985" s="8"/>
      <c r="X9985" s="8"/>
      <c r="Y9985" s="8"/>
    </row>
    <row r="9986" ht="14.25">
      <c r="B9986" s="8" t="s">
        <v>1740</v>
      </c>
      <c r="C9986" s="8" t="s">
        <v>23769</v>
      </c>
      <c r="D9986" s="8" t="s">
        <v>44259</v>
      </c>
      <c r="E9986" s="8" t="s">
        <v>44260</v>
      </c>
      <c r="F9986" s="8" t="str">
        <f>IFERROR(__XLUDF.DUMMYFUNCTION("PROPER(REGEXREPLACE(D371,""[^A-Za-z]+ "",""""))"),"Helmett")</f>
        <v>Helmett</v>
      </c>
      <c r="G9986" s="8" t="s">
        <v>44261</v>
      </c>
      <c r="H9986" s="9">
        <v>53</v>
      </c>
      <c r="I9986" s="8" t="s">
        <v>39661</v>
      </c>
      <c r="J9986" s="8" t="str">
        <f>IFERROR(__XLUDF.DUMMYFUNCTION("VLOOKUP(H371,IMPORTRANGE(""https://docs.google.com/spreadsheets/d/1opm6ZNvGZ7KditA9TuJwrZ25eFLfTNIkrNnY6mhV5Eg"",""list!A1:C115""),3,TRUE)"),"le secteur des assurances")</f>
        <v xml:space="preserve">le secteur des assurances</v>
      </c>
      <c r="K9986" s="10" t="s">
        <v>44262</v>
      </c>
      <c r="L9986" s="10" t="s">
        <v>44263</v>
      </c>
      <c r="M9986" s="8"/>
      <c r="N9986" s="8" t="s">
        <v>29</v>
      </c>
      <c r="O9986" s="8" t="s">
        <v>9160</v>
      </c>
      <c r="P9986" s="8"/>
      <c r="Q9986" s="8"/>
      <c r="R9986" s="8"/>
      <c r="S9986" s="8"/>
      <c r="T9986" s="8"/>
      <c r="U9986" s="8"/>
      <c r="V9986" s="8"/>
      <c r="W9986" s="8"/>
      <c r="X9986" s="8"/>
      <c r="Y9986" s="8"/>
    </row>
    <row r="9987" ht="14.25">
      <c r="B9987" s="8" t="s">
        <v>2105</v>
      </c>
      <c r="C9987" s="8" t="s">
        <v>44264</v>
      </c>
      <c r="D9987" s="8" t="s">
        <v>44265</v>
      </c>
      <c r="E9987" s="8" t="s">
        <v>42728</v>
      </c>
      <c r="F9987" s="8" t="str">
        <f>IFERROR(__XLUDF.DUMMYFUNCTION("PROPER(REGEXREPLACE(D372,""[^A-Za-z]+ "",""""))"),"Territoria Mutuelle")</f>
        <v xml:space="preserve">Territoria Mutuelle</v>
      </c>
      <c r="G9987" s="8" t="s">
        <v>44266</v>
      </c>
      <c r="H9987" s="9">
        <v>76</v>
      </c>
      <c r="I9987" s="8" t="s">
        <v>39661</v>
      </c>
      <c r="J9987" s="8" t="str">
        <f>IFERROR(__XLUDF.DUMMYFUNCTION("VLOOKUP(H372,IMPORTRANGE(""https://docs.google.com/spreadsheets/d/1opm6ZNvGZ7KditA9TuJwrZ25eFLfTNIkrNnY6mhV5Eg"",""list!A1:C115""),3,TRUE)"),"le secteur des assurances")</f>
        <v xml:space="preserve">le secteur des assurances</v>
      </c>
      <c r="K9987" s="10" t="s">
        <v>44267</v>
      </c>
      <c r="L9987" s="10" t="s">
        <v>44268</v>
      </c>
      <c r="M9987" s="8" t="s">
        <v>2149</v>
      </c>
      <c r="N9987" s="8" t="s">
        <v>29</v>
      </c>
      <c r="O9987" s="8" t="s">
        <v>9864</v>
      </c>
      <c r="P9987" s="8"/>
      <c r="Q9987" s="8"/>
      <c r="R9987" s="8"/>
      <c r="S9987" s="8"/>
      <c r="T9987" s="8"/>
      <c r="U9987" s="8"/>
      <c r="V9987" s="8"/>
      <c r="W9987" s="8"/>
      <c r="X9987" s="8"/>
      <c r="Y9987" s="8"/>
    </row>
    <row r="9988" ht="14.25">
      <c r="B9988" s="8" t="s">
        <v>5907</v>
      </c>
      <c r="C9988" s="8" t="s">
        <v>44269</v>
      </c>
      <c r="D9988" s="8" t="s">
        <v>44270</v>
      </c>
      <c r="E9988" s="8" t="s">
        <v>44271</v>
      </c>
      <c r="F9988" s="8" t="str">
        <f>IFERROR(__XLUDF.DUMMYFUNCTION("PROPER(REGEXREPLACE(D373,""[^A-Za-z]+ "",""""))"),"Kpiam")</f>
        <v>Kpiam</v>
      </c>
      <c r="G9988" s="8" t="s">
        <v>44272</v>
      </c>
      <c r="H9988" s="9">
        <v>1</v>
      </c>
      <c r="I9988" s="8" t="s">
        <v>2629</v>
      </c>
      <c r="J9988" s="8" t="str">
        <f>IFERROR(__XLUDF.DUMMYFUNCTION("VLOOKUP(H373,IMPORTRANGE(""https://docs.google.com/spreadsheets/d/1opm6ZNvGZ7KditA9TuJwrZ25eFLfTNIkrNnY6mhV5Eg"",""list!A1:C115""),3,TRUE)"),"le secteur des services financiers")</f>
        <v xml:space="preserve">le secteur des services financiers</v>
      </c>
      <c r="K9988" s="10" t="s">
        <v>44273</v>
      </c>
      <c r="L9988" s="10" t="s">
        <v>44274</v>
      </c>
      <c r="M9988" s="8" t="s">
        <v>39</v>
      </c>
      <c r="N9988" s="8" t="s">
        <v>29</v>
      </c>
      <c r="O9988" s="8" t="s">
        <v>9160</v>
      </c>
      <c r="P9988" s="8"/>
      <c r="Q9988" s="8" t="s">
        <v>44275</v>
      </c>
      <c r="R9988" s="8"/>
      <c r="S9988" s="8"/>
      <c r="T9988" s="8"/>
      <c r="U9988" s="8"/>
      <c r="V9988" s="8"/>
      <c r="W9988" s="8"/>
      <c r="X9988" s="8"/>
      <c r="Y9988" s="8"/>
    </row>
    <row r="9989" ht="14.25">
      <c r="B9989" s="8" t="s">
        <v>1583</v>
      </c>
      <c r="C9989" s="8" t="s">
        <v>44276</v>
      </c>
      <c r="D9989" s="8" t="s">
        <v>341</v>
      </c>
      <c r="E9989" s="8" t="s">
        <v>44277</v>
      </c>
      <c r="F9989" s="8" t="str">
        <f>IFERROR(__XLUDF.DUMMYFUNCTION("PROPER(REGEXREPLACE(D374,""[^A-Za-z]+ "",""""))"),"Affiniteam")</f>
        <v>Affiniteam</v>
      </c>
      <c r="G9989" s="8" t="s">
        <v>44278</v>
      </c>
      <c r="H9989" s="9">
        <v>1</v>
      </c>
      <c r="I9989" s="8" t="s">
        <v>39661</v>
      </c>
      <c r="J9989" s="8" t="str">
        <f>IFERROR(__XLUDF.DUMMYFUNCTION("VLOOKUP(H374,IMPORTRANGE(""https://docs.google.com/spreadsheets/d/1opm6ZNvGZ7KditA9TuJwrZ25eFLfTNIkrNnY6mhV5Eg"",""list!A1:C115""),3,TRUE)"),"le secteur des assurances")</f>
        <v xml:space="preserve">le secteur des assurances</v>
      </c>
      <c r="K9989" s="10" t="s">
        <v>44279</v>
      </c>
      <c r="L9989" s="10" t="s">
        <v>44280</v>
      </c>
      <c r="M9989" s="8" t="s">
        <v>39</v>
      </c>
      <c r="N9989" s="8" t="s">
        <v>29</v>
      </c>
      <c r="O9989" s="8" t="s">
        <v>9160</v>
      </c>
      <c r="P9989" s="8"/>
      <c r="Q9989" s="8" t="s">
        <v>44281</v>
      </c>
      <c r="R9989" s="8"/>
      <c r="S9989" s="8"/>
      <c r="T9989" s="8"/>
      <c r="U9989" s="8"/>
      <c r="V9989" s="8"/>
      <c r="W9989" s="8"/>
      <c r="X9989" s="8"/>
      <c r="Y9989" s="8"/>
    </row>
    <row r="9990" ht="14.25">
      <c r="B9990" s="18" t="s">
        <v>768</v>
      </c>
      <c r="C9990" s="18" t="s">
        <v>44282</v>
      </c>
      <c r="D9990" s="18" t="s">
        <v>44283</v>
      </c>
      <c r="E9990" s="18" t="s">
        <v>43116</v>
      </c>
      <c r="F9990" s="8" t="str">
        <f>IFERROR(__XLUDF.DUMMYFUNCTION("PROPER(REGEXREPLACE(D375,""[^A-Za-z]+ "",""""))"),"Heyme")</f>
        <v>Heyme</v>
      </c>
      <c r="G9990" s="18" t="s">
        <v>44284</v>
      </c>
      <c r="H9990" s="18">
        <v>61</v>
      </c>
      <c r="I9990" s="18" t="s">
        <v>39661</v>
      </c>
      <c r="J9990" s="8" t="str">
        <f>IFERROR(__XLUDF.DUMMYFUNCTION("VLOOKUP(H375,IMPORTRANGE(""https://docs.google.com/spreadsheets/d/1opm6ZNvGZ7KditA9TuJwrZ25eFLfTNIkrNnY6mhV5Eg"",""list!A1:C115""),3,TRUE)"),"le secteur des assurances")</f>
        <v xml:space="preserve">le secteur des assurances</v>
      </c>
      <c r="K9990" s="5" t="s">
        <v>44285</v>
      </c>
      <c r="L9990" s="5" t="s">
        <v>43119</v>
      </c>
      <c r="M9990" s="18" t="s">
        <v>295</v>
      </c>
      <c r="N9990" s="18" t="s">
        <v>29</v>
      </c>
      <c r="O9990" s="18" t="s">
        <v>43120</v>
      </c>
      <c r="P9990" s="18" t="s">
        <v>29</v>
      </c>
      <c r="Q9990" s="6"/>
      <c r="R9990" s="6"/>
      <c r="S9990" s="6"/>
      <c r="T9990" s="6"/>
      <c r="U9990" s="6"/>
      <c r="V9990" s="6"/>
      <c r="W9990" s="6"/>
      <c r="X9990" s="6"/>
      <c r="Y9990" s="6"/>
    </row>
    <row r="9991" ht="14.25">
      <c r="B9991" s="8" t="s">
        <v>6356</v>
      </c>
      <c r="C9991" s="8" t="s">
        <v>44286</v>
      </c>
      <c r="D9991" s="8" t="s">
        <v>341</v>
      </c>
      <c r="E9991" s="8" t="s">
        <v>44287</v>
      </c>
      <c r="F9991" s="8" t="str">
        <f>IFERROR(__XLUDF.DUMMYFUNCTION("PROPER(REGEXREPLACE(D376,""[^A-Za-z]+ "",""""))"),"Optima Valeurs")</f>
        <v xml:space="preserve">Optima Valeurs</v>
      </c>
      <c r="G9991" s="8" t="s">
        <v>44288</v>
      </c>
      <c r="H9991" s="9">
        <v>1</v>
      </c>
      <c r="I9991" s="8" t="s">
        <v>2629</v>
      </c>
      <c r="J9991" s="8" t="str">
        <f>IFERROR(__XLUDF.DUMMYFUNCTION("VLOOKUP(H376,IMPORTRANGE(""https://docs.google.com/spreadsheets/d/1opm6ZNvGZ7KditA9TuJwrZ25eFLfTNIkrNnY6mhV5Eg"",""list!A1:C115""),3,TRUE)"),"le secteur des services financiers")</f>
        <v xml:space="preserve">le secteur des services financiers</v>
      </c>
      <c r="K9991" s="10" t="s">
        <v>44289</v>
      </c>
      <c r="L9991" s="10" t="s">
        <v>44290</v>
      </c>
      <c r="M9991" s="8"/>
      <c r="N9991" s="8" t="s">
        <v>29</v>
      </c>
      <c r="O9991" s="8" t="s">
        <v>9160</v>
      </c>
      <c r="P9991" s="8"/>
      <c r="Q9991" s="8" t="s">
        <v>44291</v>
      </c>
      <c r="R9991" s="8"/>
      <c r="S9991" s="8"/>
      <c r="T9991" s="8"/>
      <c r="U9991" s="8"/>
      <c r="V9991" s="8"/>
      <c r="W9991" s="8"/>
      <c r="X9991" s="8"/>
      <c r="Y9991" s="8"/>
    </row>
    <row r="9992" ht="14.25">
      <c r="B9992" s="8" t="s">
        <v>6243</v>
      </c>
      <c r="C9992" s="8" t="s">
        <v>44292</v>
      </c>
      <c r="D9992" s="8" t="s">
        <v>5186</v>
      </c>
      <c r="E9992" s="8" t="s">
        <v>43562</v>
      </c>
      <c r="F9992" s="8" t="str">
        <f>IFERROR(__XLUDF.DUMMYFUNCTION("PROPER(REGEXREPLACE(D377,""[^A-Za-z]+ "",""""))"),"Firidis")</f>
        <v>Firidis</v>
      </c>
      <c r="G9992" s="8" t="s">
        <v>44293</v>
      </c>
      <c r="H9992" s="8"/>
      <c r="I9992" s="8"/>
      <c r="J9992" s="8" t="s">
        <v>42267</v>
      </c>
      <c r="K9992" s="10" t="s">
        <v>44294</v>
      </c>
      <c r="L9992" s="10" t="s">
        <v>44295</v>
      </c>
      <c r="M9992" s="8" t="s">
        <v>39</v>
      </c>
      <c r="N9992" s="8" t="s">
        <v>29</v>
      </c>
      <c r="O9992" s="8" t="s">
        <v>9160</v>
      </c>
      <c r="P9992" s="8"/>
      <c r="Q9992" s="8"/>
      <c r="R9992" s="8"/>
      <c r="S9992" s="8"/>
      <c r="T9992" s="8"/>
      <c r="U9992" s="8"/>
      <c r="V9992" s="8"/>
      <c r="W9992" s="8"/>
      <c r="X9992" s="8"/>
      <c r="Y9992" s="8"/>
    </row>
    <row r="9993" ht="14.25">
      <c r="B9993" s="8" t="s">
        <v>866</v>
      </c>
      <c r="C9993" s="8" t="s">
        <v>41873</v>
      </c>
      <c r="D9993" s="8" t="s">
        <v>7759</v>
      </c>
      <c r="E9993" s="8" t="s">
        <v>41874</v>
      </c>
      <c r="F9993" s="8" t="str">
        <f>IFERROR(__XLUDF.DUMMYFUNCTION("PROPER(REGEXREPLACE(D378,""[^A-Za-z]+ "",""""))"),"Svi Assurances")</f>
        <v xml:space="preserve">Svi Assurances</v>
      </c>
      <c r="G9993" s="8" t="s">
        <v>44296</v>
      </c>
      <c r="H9993" s="9">
        <v>24</v>
      </c>
      <c r="I9993" s="8" t="s">
        <v>39661</v>
      </c>
      <c r="J9993" s="8" t="str">
        <f>IFERROR(__XLUDF.DUMMYFUNCTION("VLOOKUP(H378,IMPORTRANGE(""https://docs.google.com/spreadsheets/d/1opm6ZNvGZ7KditA9TuJwrZ25eFLfTNIkrNnY6mhV5Eg"",""list!A1:C115""),3,TRUE)"),"le secteur des assurances")</f>
        <v xml:space="preserve">le secteur des assurances</v>
      </c>
      <c r="K9993" s="10" t="s">
        <v>44297</v>
      </c>
      <c r="L9993" s="10" t="s">
        <v>44298</v>
      </c>
      <c r="M9993" s="8" t="s">
        <v>39</v>
      </c>
      <c r="N9993" s="8" t="s">
        <v>29</v>
      </c>
      <c r="O9993" s="8" t="s">
        <v>9160</v>
      </c>
      <c r="P9993" s="8"/>
      <c r="Q9993" s="8"/>
      <c r="R9993" s="8"/>
      <c r="S9993" s="8"/>
      <c r="T9993" s="8"/>
      <c r="U9993" s="8"/>
      <c r="V9993" s="8"/>
      <c r="W9993" s="8"/>
      <c r="X9993" s="8"/>
      <c r="Y9993" s="8"/>
    </row>
    <row r="9994" ht="14.25">
      <c r="B9994" s="8" t="s">
        <v>37863</v>
      </c>
      <c r="C9994" s="8" t="s">
        <v>44299</v>
      </c>
      <c r="D9994" s="8" t="s">
        <v>44300</v>
      </c>
      <c r="E9994" s="8" t="s">
        <v>41549</v>
      </c>
      <c r="F9994" s="8" t="str">
        <f>IFERROR(__XLUDF.DUMMYFUNCTION("PROPER(REGEXREPLACE(D379,""[^A-Za-z]+ "",""""))"),"Riskweathertech")</f>
        <v>Riskweathertech</v>
      </c>
      <c r="G9994" s="8" t="s">
        <v>44301</v>
      </c>
      <c r="H9994" s="9">
        <v>4</v>
      </c>
      <c r="I9994" s="8" t="s">
        <v>39661</v>
      </c>
      <c r="J9994" s="8" t="str">
        <f>IFERROR(__XLUDF.DUMMYFUNCTION("VLOOKUP(H379,IMPORTRANGE(""https://docs.google.com/spreadsheets/d/1opm6ZNvGZ7KditA9TuJwrZ25eFLfTNIkrNnY6mhV5Eg"",""list!A1:C115""),3,TRUE)"),"le secteur des assurances")</f>
        <v xml:space="preserve">le secteur des assurances</v>
      </c>
      <c r="K9994" s="10" t="s">
        <v>44302</v>
      </c>
      <c r="L9994" s="10" t="s">
        <v>44303</v>
      </c>
      <c r="M9994" s="8"/>
      <c r="N9994" s="8" t="s">
        <v>29</v>
      </c>
      <c r="O9994" s="8" t="s">
        <v>9227</v>
      </c>
      <c r="P9994" s="8"/>
      <c r="Q9994" s="8"/>
      <c r="R9994" s="8"/>
      <c r="S9994" s="8"/>
      <c r="T9994" s="8"/>
      <c r="U9994" s="8"/>
      <c r="V9994" s="8"/>
      <c r="W9994" s="8"/>
      <c r="X9994" s="8"/>
      <c r="Y9994" s="8"/>
    </row>
    <row r="9995" ht="14.25">
      <c r="B9995" s="8" t="s">
        <v>785</v>
      </c>
      <c r="C9995" s="8" t="s">
        <v>44304</v>
      </c>
      <c r="D9995" s="8" t="s">
        <v>44305</v>
      </c>
      <c r="E9995" s="8" t="s">
        <v>44306</v>
      </c>
      <c r="F9995" s="8" t="str">
        <f>IFERROR(__XLUDF.DUMMYFUNCTION("PROPER(REGEXREPLACE(D380,""[^A-Za-z]+ "",""""))"),"Fiap Courtage")</f>
        <v xml:space="preserve">Fiap Courtage</v>
      </c>
      <c r="G9995" s="8" t="s">
        <v>44307</v>
      </c>
      <c r="H9995" s="9">
        <v>4</v>
      </c>
      <c r="I9995" s="8" t="s">
        <v>39661</v>
      </c>
      <c r="J9995" s="8" t="str">
        <f>IFERROR(__XLUDF.DUMMYFUNCTION("VLOOKUP(H380,IMPORTRANGE(""https://docs.google.com/spreadsheets/d/1opm6ZNvGZ7KditA9TuJwrZ25eFLfTNIkrNnY6mhV5Eg"",""list!A1:C115""),3,TRUE)"),"le secteur des assurances")</f>
        <v xml:space="preserve">le secteur des assurances</v>
      </c>
      <c r="K9995" s="10" t="s">
        <v>44308</v>
      </c>
      <c r="L9995" s="10" t="s">
        <v>44309</v>
      </c>
      <c r="M9995" s="8" t="s">
        <v>482</v>
      </c>
      <c r="N9995" s="8" t="s">
        <v>29</v>
      </c>
      <c r="O9995" s="8" t="s">
        <v>9460</v>
      </c>
      <c r="P9995" s="8"/>
      <c r="Q9995" s="8" t="s">
        <v>44310</v>
      </c>
      <c r="R9995" s="8"/>
      <c r="S9995" s="8"/>
      <c r="T9995" s="8"/>
      <c r="U9995" s="8"/>
      <c r="V9995" s="8"/>
      <c r="W9995" s="8"/>
      <c r="X9995" s="8"/>
      <c r="Y9995" s="8"/>
    </row>
    <row r="9996" ht="14.25">
      <c r="B9996" s="8" t="s">
        <v>222</v>
      </c>
      <c r="C9996" s="8" t="s">
        <v>44311</v>
      </c>
      <c r="D9996" s="8" t="s">
        <v>44312</v>
      </c>
      <c r="E9996" s="8" t="s">
        <v>41169</v>
      </c>
      <c r="F9996" s="8" t="str">
        <f>IFERROR(__XLUDF.DUMMYFUNCTION("PROPER(REGEXREPLACE(D381,""[^A-Za-z]+ "",""""))"),"Alexo")</f>
        <v>Alexo</v>
      </c>
      <c r="G9996" s="8" t="s">
        <v>44313</v>
      </c>
      <c r="H9996" s="8"/>
      <c r="I9996" s="8"/>
      <c r="J9996" s="8" t="s">
        <v>42267</v>
      </c>
      <c r="K9996" s="10" t="s">
        <v>44314</v>
      </c>
      <c r="L9996" s="10" t="s">
        <v>44315</v>
      </c>
      <c r="M9996" s="8" t="s">
        <v>44316</v>
      </c>
      <c r="N9996" s="8" t="s">
        <v>29</v>
      </c>
      <c r="O9996" s="8" t="s">
        <v>9864</v>
      </c>
      <c r="P9996" s="8"/>
      <c r="Q9996" s="8"/>
      <c r="R9996" s="8"/>
      <c r="S9996" s="8"/>
      <c r="T9996" s="8"/>
      <c r="U9996" s="8"/>
      <c r="V9996" s="8"/>
      <c r="W9996" s="8"/>
      <c r="X9996" s="8"/>
      <c r="Y9996" s="8"/>
    </row>
    <row r="9997" ht="14.25">
      <c r="B9997" s="8" t="s">
        <v>222</v>
      </c>
      <c r="C9997" s="8" t="s">
        <v>44317</v>
      </c>
      <c r="D9997" s="8" t="s">
        <v>112</v>
      </c>
      <c r="E9997" s="8" t="s">
        <v>44318</v>
      </c>
      <c r="F9997" s="8" t="str">
        <f>IFERROR(__XLUDF.DUMMYFUNCTION("PROPER(REGEXREPLACE(D382,""[^A-Za-z]+ "",""""))"),"Insured Services")</f>
        <v xml:space="preserve">Insured Services</v>
      </c>
      <c r="G9997" s="8" t="s">
        <v>44319</v>
      </c>
      <c r="H9997" s="9">
        <v>16</v>
      </c>
      <c r="I9997" s="8" t="s">
        <v>39661</v>
      </c>
      <c r="J9997" s="8" t="str">
        <f>IFERROR(__XLUDF.DUMMYFUNCTION("VLOOKUP(H382,IMPORTRANGE(""https://docs.google.com/spreadsheets/d/1opm6ZNvGZ7KditA9TuJwrZ25eFLfTNIkrNnY6mhV5Eg"",""list!A1:C115""),3,TRUE)"),"le secteur des assurances")</f>
        <v xml:space="preserve">le secteur des assurances</v>
      </c>
      <c r="K9997" s="10" t="s">
        <v>44320</v>
      </c>
      <c r="L9997" s="10" t="s">
        <v>44321</v>
      </c>
      <c r="M9997" s="8" t="s">
        <v>83</v>
      </c>
      <c r="N9997" s="8" t="s">
        <v>29</v>
      </c>
      <c r="O9997" s="8" t="s">
        <v>9460</v>
      </c>
      <c r="P9997" s="8"/>
      <c r="Q9997" s="8" t="s">
        <v>44322</v>
      </c>
      <c r="R9997" s="8"/>
      <c r="S9997" s="8"/>
      <c r="T9997" s="8"/>
      <c r="U9997" s="8"/>
      <c r="V9997" s="8"/>
      <c r="W9997" s="8"/>
      <c r="X9997" s="8"/>
      <c r="Y9997" s="8"/>
    </row>
    <row r="9998" ht="14.25">
      <c r="B9998" s="8" t="s">
        <v>355</v>
      </c>
      <c r="C9998" s="8" t="s">
        <v>76</v>
      </c>
      <c r="D9998" s="8" t="s">
        <v>25321</v>
      </c>
      <c r="E9998" s="8" t="s">
        <v>42828</v>
      </c>
      <c r="F9998" s="8" t="str">
        <f>IFERROR(__XLUDF.DUMMYFUNCTION("PROPER(REGEXREPLACE(D383,""[^A-Za-z]+ "",""""))"),"Certificall")</f>
        <v>Certificall</v>
      </c>
      <c r="G9998" s="8" t="s">
        <v>44323</v>
      </c>
      <c r="H9998" s="9">
        <v>11</v>
      </c>
      <c r="I9998" s="8" t="s">
        <v>39661</v>
      </c>
      <c r="J9998" s="8" t="str">
        <f>IFERROR(__XLUDF.DUMMYFUNCTION("VLOOKUP(H383,IMPORTRANGE(""https://docs.google.com/spreadsheets/d/1opm6ZNvGZ7KditA9TuJwrZ25eFLfTNIkrNnY6mhV5Eg"",""list!A1:C115""),3,TRUE)"),"le secteur des assurances")</f>
        <v xml:space="preserve">le secteur des assurances</v>
      </c>
      <c r="K9998" s="10" t="s">
        <v>44324</v>
      </c>
      <c r="L9998" s="8" t="s">
        <v>42831</v>
      </c>
      <c r="M9998" s="8" t="s">
        <v>83</v>
      </c>
      <c r="N9998" s="8" t="s">
        <v>29</v>
      </c>
      <c r="O9998" s="8" t="s">
        <v>9460</v>
      </c>
      <c r="P9998" s="8"/>
      <c r="Q9998" s="8" t="s">
        <v>42832</v>
      </c>
      <c r="R9998" s="8"/>
      <c r="S9998" s="8"/>
      <c r="T9998" s="8"/>
      <c r="U9998" s="8"/>
      <c r="V9998" s="8"/>
      <c r="W9998" s="8"/>
      <c r="X9998" s="8"/>
      <c r="Y9998" s="8"/>
    </row>
    <row r="9999" ht="14.25">
      <c r="B9999" s="8" t="s">
        <v>12609</v>
      </c>
      <c r="C9999" s="8" t="s">
        <v>44325</v>
      </c>
      <c r="D9999" s="8" t="s">
        <v>44326</v>
      </c>
      <c r="E9999" s="8" t="s">
        <v>44327</v>
      </c>
      <c r="F9999" s="8" t="str">
        <f>IFERROR(__XLUDF.DUMMYFUNCTION("PROPER(REGEXREPLACE(D384,""[^A-Za-z]+ "",""""))"),"Action Courtage")</f>
        <v xml:space="preserve">Action Courtage</v>
      </c>
      <c r="G9999" s="8" t="s">
        <v>44328</v>
      </c>
      <c r="H9999" s="9">
        <v>8</v>
      </c>
      <c r="I9999" s="8" t="s">
        <v>39661</v>
      </c>
      <c r="J9999" s="8" t="str">
        <f>IFERROR(__XLUDF.DUMMYFUNCTION("VLOOKUP(H384,IMPORTRANGE(""https://docs.google.com/spreadsheets/d/1opm6ZNvGZ7KditA9TuJwrZ25eFLfTNIkrNnY6mhV5Eg"",""list!A1:C115""),3,TRUE)"),"le secteur des assurances")</f>
        <v xml:space="preserve">le secteur des assurances</v>
      </c>
      <c r="K9999" s="10" t="s">
        <v>44329</v>
      </c>
      <c r="L9999" s="10" t="s">
        <v>44330</v>
      </c>
      <c r="M9999" s="8" t="s">
        <v>1204</v>
      </c>
      <c r="N9999" s="8" t="s">
        <v>29</v>
      </c>
      <c r="O9999" s="8" t="s">
        <v>10829</v>
      </c>
      <c r="P9999" s="8"/>
      <c r="Q9999" s="8" t="s">
        <v>44331</v>
      </c>
      <c r="R9999" s="8"/>
      <c r="S9999" s="8"/>
      <c r="T9999" s="8"/>
      <c r="U9999" s="8"/>
      <c r="V9999" s="8"/>
      <c r="W9999" s="8"/>
      <c r="X9999" s="8"/>
      <c r="Y9999" s="8"/>
    </row>
    <row r="10000" ht="14.25">
      <c r="B10000" s="8" t="s">
        <v>330</v>
      </c>
      <c r="C10000" s="8" t="s">
        <v>44332</v>
      </c>
      <c r="D10000" s="8" t="s">
        <v>7759</v>
      </c>
      <c r="E10000" s="8" t="s">
        <v>44333</v>
      </c>
      <c r="F10000" s="8" t="str">
        <f>IFERROR(__XLUDF.DUMMYFUNCTION("PROPER(REGEXREPLACE(D385,""[^A-Za-z]+ "",""""))"),"Meliassur")</f>
        <v>Meliassur</v>
      </c>
      <c r="G10000" s="8" t="s">
        <v>44334</v>
      </c>
      <c r="H10000" s="8"/>
      <c r="I10000" s="8"/>
      <c r="J10000" s="8" t="s">
        <v>42267</v>
      </c>
      <c r="K10000" s="10" t="s">
        <v>44335</v>
      </c>
      <c r="L10000" s="8"/>
      <c r="M10000" s="8" t="s">
        <v>39</v>
      </c>
      <c r="N10000" s="8" t="s">
        <v>29</v>
      </c>
      <c r="O10000" s="8" t="s">
        <v>9160</v>
      </c>
      <c r="P10000" s="8"/>
      <c r="Q10000" s="8"/>
      <c r="R10000" s="8"/>
      <c r="S10000" s="8"/>
      <c r="T10000" s="8"/>
      <c r="U10000" s="8"/>
      <c r="V10000" s="8"/>
      <c r="W10000" s="8"/>
      <c r="X10000" s="8"/>
      <c r="Y10000" s="8"/>
    </row>
    <row r="10001" ht="14.25">
      <c r="B10001" s="8" t="s">
        <v>44336</v>
      </c>
      <c r="C10001" s="8" t="s">
        <v>1485</v>
      </c>
      <c r="D10001" s="8" t="s">
        <v>341</v>
      </c>
      <c r="E10001" s="8" t="s">
        <v>44337</v>
      </c>
      <c r="F10001" s="8" t="str">
        <f>IFERROR(__XLUDF.DUMMYFUNCTION("PROPER(REGEXREPLACE(D386,""[^A-Za-z]+ "",""""))"),"Previavie")</f>
        <v>Previavie</v>
      </c>
      <c r="G10001" s="8" t="s">
        <v>44338</v>
      </c>
      <c r="H10001" s="9">
        <v>1</v>
      </c>
      <c r="I10001" s="8" t="s">
        <v>39661</v>
      </c>
      <c r="J10001" s="8" t="str">
        <f>IFERROR(__XLUDF.DUMMYFUNCTION("VLOOKUP(H386,IMPORTRANGE(""https://docs.google.com/spreadsheets/d/1opm6ZNvGZ7KditA9TuJwrZ25eFLfTNIkrNnY6mhV5Eg"",""list!A1:C115""),3,TRUE)"),"le secteur des assurances")</f>
        <v xml:space="preserve">le secteur des assurances</v>
      </c>
      <c r="K10001" s="10" t="s">
        <v>44339</v>
      </c>
      <c r="L10001" s="10" t="s">
        <v>44340</v>
      </c>
      <c r="M10001" s="8" t="s">
        <v>39</v>
      </c>
      <c r="N10001" s="8" t="s">
        <v>29</v>
      </c>
      <c r="O10001" s="8" t="s">
        <v>9160</v>
      </c>
      <c r="P10001" s="8"/>
      <c r="Q10001" s="8" t="s">
        <v>44341</v>
      </c>
      <c r="R10001" s="8"/>
      <c r="S10001" s="8"/>
      <c r="T10001" s="8"/>
      <c r="U10001" s="8"/>
      <c r="V10001" s="8"/>
      <c r="W10001" s="8"/>
      <c r="X10001" s="8"/>
      <c r="Y10001" s="8"/>
    </row>
    <row r="10002" ht="14.25">
      <c r="B10002" s="8" t="s">
        <v>1215</v>
      </c>
      <c r="C10002" s="8" t="s">
        <v>44342</v>
      </c>
      <c r="D10002" s="8" t="s">
        <v>120</v>
      </c>
      <c r="E10002" s="8" t="s">
        <v>43342</v>
      </c>
      <c r="F10002" s="8" t="str">
        <f>IFERROR(__XLUDF.DUMMYFUNCTION("PROPER(REGEXREPLACE(D387,""[^A-Za-z]+ "",""""))"),"Yeet-Assurances")</f>
        <v>Yeet-Assurances</v>
      </c>
      <c r="G10002" s="8" t="s">
        <v>44343</v>
      </c>
      <c r="H10002" s="8"/>
      <c r="I10002" s="8"/>
      <c r="J10002" s="8" t="s">
        <v>42267</v>
      </c>
      <c r="K10002" s="10" t="s">
        <v>44344</v>
      </c>
      <c r="L10002" s="8"/>
      <c r="M10002" s="8"/>
      <c r="N10002" s="8" t="s">
        <v>29</v>
      </c>
      <c r="O10002" s="8"/>
      <c r="P10002" s="8"/>
      <c r="Q10002" s="8"/>
      <c r="R10002" s="8"/>
      <c r="S10002" s="8"/>
      <c r="T10002" s="8"/>
      <c r="U10002" s="8"/>
      <c r="V10002" s="8"/>
      <c r="W10002" s="8"/>
      <c r="X10002" s="8"/>
      <c r="Y10002" s="8"/>
    </row>
    <row r="10003" ht="14.25">
      <c r="B10003" s="8" t="s">
        <v>29241</v>
      </c>
      <c r="C10003" s="8" t="s">
        <v>44345</v>
      </c>
      <c r="D10003" s="8" t="s">
        <v>112</v>
      </c>
      <c r="E10003" s="8" t="s">
        <v>44346</v>
      </c>
      <c r="F10003" s="8" t="str">
        <f>IFERROR(__XLUDF.DUMMYFUNCTION("PROPER(REGEXREPLACE(D388,""[^A-Za-z]+ "",""""))"),"Almutra")</f>
        <v>Almutra</v>
      </c>
      <c r="G10003" s="8" t="s">
        <v>44347</v>
      </c>
      <c r="H10003" s="9">
        <v>7</v>
      </c>
      <c r="I10003" s="8" t="s">
        <v>39661</v>
      </c>
      <c r="J10003" s="8" t="str">
        <f>IFERROR(__XLUDF.DUMMYFUNCTION("VLOOKUP(H388,IMPORTRANGE(""https://docs.google.com/spreadsheets/d/1opm6ZNvGZ7KditA9TuJwrZ25eFLfTNIkrNnY6mhV5Eg"",""list!A1:C115""),3,TRUE)"),"le secteur des assurances")</f>
        <v xml:space="preserve">le secteur des assurances</v>
      </c>
      <c r="K10003" s="10" t="s">
        <v>44348</v>
      </c>
      <c r="L10003" s="10" t="s">
        <v>44349</v>
      </c>
      <c r="M10003" s="8" t="s">
        <v>1780</v>
      </c>
      <c r="N10003" s="8" t="s">
        <v>29</v>
      </c>
      <c r="O10003" s="8" t="s">
        <v>9215</v>
      </c>
      <c r="P10003" s="8"/>
      <c r="Q10003" s="8"/>
      <c r="R10003" s="8"/>
      <c r="S10003" s="8"/>
      <c r="T10003" s="8"/>
      <c r="U10003" s="8"/>
      <c r="V10003" s="8"/>
      <c r="W10003" s="8"/>
      <c r="X10003" s="8"/>
      <c r="Y10003" s="8"/>
    </row>
    <row r="10004" ht="14.25">
      <c r="B10004" s="8" t="s">
        <v>347</v>
      </c>
      <c r="C10004" s="8" t="s">
        <v>44350</v>
      </c>
      <c r="D10004" s="8" t="s">
        <v>12122</v>
      </c>
      <c r="E10004" s="8" t="s">
        <v>44351</v>
      </c>
      <c r="F10004" s="8" t="str">
        <f>IFERROR(__XLUDF.DUMMYFUNCTION("PROPER(REGEXREPLACE(D389,""[^A-Za-z]+ "",""""))"),"Sipac Europeenne D'Assurance")</f>
        <v xml:space="preserve">Sipac Europeenne D'Assurance</v>
      </c>
      <c r="G10004" s="8" t="s">
        <v>44352</v>
      </c>
      <c r="H10004" s="9">
        <v>21</v>
      </c>
      <c r="I10004" s="8" t="s">
        <v>39661</v>
      </c>
      <c r="J10004" s="8" t="str">
        <f>IFERROR(__XLUDF.DUMMYFUNCTION("VLOOKUP(H389,IMPORTRANGE(""https://docs.google.com/spreadsheets/d/1opm6ZNvGZ7KditA9TuJwrZ25eFLfTNIkrNnY6mhV5Eg"",""list!A1:C115""),3,TRUE)"),"le secteur des assurances")</f>
        <v xml:space="preserve">le secteur des assurances</v>
      </c>
      <c r="K10004" s="10" t="s">
        <v>44353</v>
      </c>
      <c r="L10004" s="10" t="s">
        <v>44354</v>
      </c>
      <c r="M10004" s="8" t="s">
        <v>1711</v>
      </c>
      <c r="N10004" s="8" t="s">
        <v>29</v>
      </c>
      <c r="O10004" s="8" t="s">
        <v>9350</v>
      </c>
      <c r="P10004" s="8"/>
      <c r="Q10004" s="8" t="s">
        <v>44355</v>
      </c>
      <c r="R10004" s="8"/>
      <c r="S10004" s="8"/>
      <c r="T10004" s="8"/>
      <c r="U10004" s="8"/>
      <c r="V10004" s="8"/>
      <c r="W10004" s="8"/>
      <c r="X10004" s="8"/>
      <c r="Y10004" s="8"/>
    </row>
    <row r="10005" ht="14.25">
      <c r="B10005" s="8" t="s">
        <v>15990</v>
      </c>
      <c r="C10005" s="8" t="s">
        <v>44356</v>
      </c>
      <c r="D10005" s="8" t="s">
        <v>44357</v>
      </c>
      <c r="E10005" s="8" t="s">
        <v>44358</v>
      </c>
      <c r="F10005" s="8" t="str">
        <f>IFERROR(__XLUDF.DUMMYFUNCTION("PROPER(REGEXREPLACE(D390,""[^A-Za-z]+ "",""""))"),"Cepa")</f>
        <v>Cepa</v>
      </c>
      <c r="G10005" s="8" t="s">
        <v>44359</v>
      </c>
      <c r="H10005" s="9">
        <v>2</v>
      </c>
      <c r="I10005" s="8" t="s">
        <v>39661</v>
      </c>
      <c r="J10005" s="8" t="str">
        <f>IFERROR(__XLUDF.DUMMYFUNCTION("VLOOKUP(H390,IMPORTRANGE(""https://docs.google.com/spreadsheets/d/1opm6ZNvGZ7KditA9TuJwrZ25eFLfTNIkrNnY6mhV5Eg"",""list!A1:C115""),3,TRUE)"),"le secteur des assurances")</f>
        <v xml:space="preserve">le secteur des assurances</v>
      </c>
      <c r="K10005" s="10" t="s">
        <v>44360</v>
      </c>
      <c r="L10005" s="10" t="s">
        <v>44361</v>
      </c>
      <c r="M10005" s="8" t="s">
        <v>185</v>
      </c>
      <c r="N10005" s="8" t="s">
        <v>29</v>
      </c>
      <c r="O10005" s="8" t="s">
        <v>9193</v>
      </c>
      <c r="P10005" s="8"/>
      <c r="Q10005" s="8" t="s">
        <v>44362</v>
      </c>
      <c r="R10005" s="8"/>
      <c r="S10005" s="8"/>
      <c r="T10005" s="8"/>
      <c r="U10005" s="8"/>
      <c r="V10005" s="8"/>
      <c r="W10005" s="8"/>
      <c r="X10005" s="8"/>
      <c r="Y10005" s="8"/>
    </row>
    <row r="10006" ht="14.25">
      <c r="B10006" s="8" t="s">
        <v>6945</v>
      </c>
      <c r="C10006" s="8" t="s">
        <v>44363</v>
      </c>
      <c r="D10006" s="8" t="s">
        <v>31208</v>
      </c>
      <c r="E10006" s="8" t="s">
        <v>44364</v>
      </c>
      <c r="F10006" s="8" t="str">
        <f>IFERROR(__XLUDF.DUMMYFUNCTION("PROPER(REGEXREPLACE(D391,""[^A-Za-z]+ "",""""))"),"Initial Cc")</f>
        <v xml:space="preserve">Initial Cc</v>
      </c>
      <c r="G10006" s="8" t="s">
        <v>44365</v>
      </c>
      <c r="H10006" s="9">
        <v>2</v>
      </c>
      <c r="I10006" s="8" t="s">
        <v>39661</v>
      </c>
      <c r="J10006" s="8" t="str">
        <f>IFERROR(__XLUDF.DUMMYFUNCTION("VLOOKUP(H391,IMPORTRANGE(""https://docs.google.com/spreadsheets/d/1opm6ZNvGZ7KditA9TuJwrZ25eFLfTNIkrNnY6mhV5Eg"",""list!A1:C115""),3,TRUE)"),"le secteur des assurances")</f>
        <v xml:space="preserve">le secteur des assurances</v>
      </c>
      <c r="K10006" s="10" t="s">
        <v>44366</v>
      </c>
      <c r="L10006" s="10" t="s">
        <v>44367</v>
      </c>
      <c r="M10006" s="8" t="s">
        <v>185</v>
      </c>
      <c r="N10006" s="8" t="s">
        <v>29</v>
      </c>
      <c r="O10006" s="8" t="s">
        <v>9193</v>
      </c>
      <c r="P10006" s="8"/>
      <c r="Q10006" s="8"/>
      <c r="R10006" s="8"/>
      <c r="S10006" s="8"/>
      <c r="T10006" s="8"/>
      <c r="U10006" s="8"/>
      <c r="V10006" s="8"/>
      <c r="W10006" s="8"/>
      <c r="X10006" s="8"/>
      <c r="Y10006" s="8"/>
    </row>
    <row r="10007" ht="14.25">
      <c r="B10007" s="8" t="s">
        <v>330</v>
      </c>
      <c r="C10007" s="8" t="s">
        <v>28468</v>
      </c>
      <c r="D10007" s="8" t="s">
        <v>172</v>
      </c>
      <c r="E10007" s="8" t="s">
        <v>44368</v>
      </c>
      <c r="F10007" s="8" t="str">
        <f>IFERROR(__XLUDF.DUMMYFUNCTION("PROPER(REGEXREPLACE(D392,""[^A-Za-z]+ "",""""))"),"Arkol")</f>
        <v>Arkol</v>
      </c>
      <c r="G10007" s="8" t="s">
        <v>44369</v>
      </c>
      <c r="H10007" s="9">
        <v>4</v>
      </c>
      <c r="I10007" s="8" t="s">
        <v>39661</v>
      </c>
      <c r="J10007" s="8" t="str">
        <f>IFERROR(__XLUDF.DUMMYFUNCTION("VLOOKUP(H392,IMPORTRANGE(""https://docs.google.com/spreadsheets/d/1opm6ZNvGZ7KditA9TuJwrZ25eFLfTNIkrNnY6mhV5Eg"",""list!A1:C115""),3,TRUE)"),"le secteur des assurances")</f>
        <v xml:space="preserve">le secteur des assurances</v>
      </c>
      <c r="K10007" s="10" t="s">
        <v>44370</v>
      </c>
      <c r="L10007" s="10" t="s">
        <v>44371</v>
      </c>
      <c r="M10007" s="8" t="s">
        <v>185</v>
      </c>
      <c r="N10007" s="8" t="s">
        <v>29</v>
      </c>
      <c r="O10007" s="8" t="s">
        <v>9193</v>
      </c>
      <c r="P10007" s="8"/>
      <c r="Q10007" s="8"/>
      <c r="R10007" s="8"/>
      <c r="S10007" s="8"/>
      <c r="T10007" s="8"/>
      <c r="U10007" s="8"/>
      <c r="V10007" s="8"/>
      <c r="W10007" s="8"/>
      <c r="X10007" s="8"/>
      <c r="Y10007" s="8"/>
    </row>
    <row r="10008" ht="14.25">
      <c r="B10008" s="8" t="s">
        <v>485</v>
      </c>
      <c r="C10008" s="8" t="s">
        <v>44372</v>
      </c>
      <c r="D10008" s="8" t="s">
        <v>120</v>
      </c>
      <c r="E10008" s="8" t="s">
        <v>44373</v>
      </c>
      <c r="F10008" s="8" t="str">
        <f>IFERROR(__XLUDF.DUMMYFUNCTION("PROPER(REGEXREPLACE(D393,""[^A-Za-z]+ "",""""))"),"Assurances Vélo")</f>
        <v xml:space="preserve">Assurances Vélo</v>
      </c>
      <c r="G10008" s="8" t="s">
        <v>44374</v>
      </c>
      <c r="H10008" s="9">
        <v>3</v>
      </c>
      <c r="I10008" s="8" t="s">
        <v>39661</v>
      </c>
      <c r="J10008" s="8" t="str">
        <f>IFERROR(__XLUDF.DUMMYFUNCTION("VLOOKUP(H393,IMPORTRANGE(""https://docs.google.com/spreadsheets/d/1opm6ZNvGZ7KditA9TuJwrZ25eFLfTNIkrNnY6mhV5Eg"",""list!A1:C115""),3,TRUE)"),"le secteur des assurances")</f>
        <v xml:space="preserve">le secteur des assurances</v>
      </c>
      <c r="K10008" s="10" t="s">
        <v>44375</v>
      </c>
      <c r="L10008" s="10" t="s">
        <v>44376</v>
      </c>
      <c r="M10008" s="8" t="s">
        <v>243</v>
      </c>
      <c r="N10008" s="8" t="s">
        <v>29</v>
      </c>
      <c r="O10008" s="8" t="s">
        <v>9864</v>
      </c>
      <c r="P10008" s="8"/>
      <c r="Q10008" s="8"/>
      <c r="R10008" s="8"/>
      <c r="S10008" s="8"/>
      <c r="T10008" s="8"/>
      <c r="U10008" s="8"/>
      <c r="V10008" s="8"/>
      <c r="W10008" s="8"/>
      <c r="X10008" s="8"/>
      <c r="Y10008" s="8"/>
    </row>
    <row r="10009" ht="14.25">
      <c r="B10009" s="8" t="s">
        <v>485</v>
      </c>
      <c r="C10009" s="8" t="s">
        <v>12415</v>
      </c>
      <c r="D10009" s="8" t="s">
        <v>112</v>
      </c>
      <c r="E10009" s="8" t="s">
        <v>44377</v>
      </c>
      <c r="F10009" s="8" t="str">
        <f>IFERROR(__XLUDF.DUMMYFUNCTION("PROPER(REGEXREPLACE(D394,""[^A-Za-z]+ "",""""))"),"Axston")</f>
        <v>Axston</v>
      </c>
      <c r="G10009" s="8" t="s">
        <v>44378</v>
      </c>
      <c r="H10009" s="9">
        <v>4</v>
      </c>
      <c r="I10009" s="8" t="s">
        <v>39661</v>
      </c>
      <c r="J10009" s="8" t="str">
        <f>IFERROR(__XLUDF.DUMMYFUNCTION("VLOOKUP(H394,IMPORTRANGE(""https://docs.google.com/spreadsheets/d/1opm6ZNvGZ7KditA9TuJwrZ25eFLfTNIkrNnY6mhV5Eg"",""list!A1:C115""),3,TRUE)"),"le secteur des assurances")</f>
        <v xml:space="preserve">le secteur des assurances</v>
      </c>
      <c r="K10009" s="10" t="s">
        <v>44379</v>
      </c>
      <c r="L10009" s="10" t="s">
        <v>44380</v>
      </c>
      <c r="M10009" s="8" t="s">
        <v>39</v>
      </c>
      <c r="N10009" s="8" t="s">
        <v>29</v>
      </c>
      <c r="O10009" s="8" t="s">
        <v>9160</v>
      </c>
      <c r="P10009" s="8"/>
      <c r="Q10009" s="8"/>
      <c r="R10009" s="8"/>
      <c r="S10009" s="8"/>
      <c r="T10009" s="8"/>
      <c r="U10009" s="8"/>
      <c r="V10009" s="8"/>
      <c r="W10009" s="8"/>
      <c r="X10009" s="8"/>
      <c r="Y10009" s="8"/>
    </row>
    <row r="10010" ht="14.25">
      <c r="B10010" s="18" t="s">
        <v>963</v>
      </c>
      <c r="C10010" s="18" t="s">
        <v>14144</v>
      </c>
      <c r="D10010" s="18" t="s">
        <v>44381</v>
      </c>
      <c r="E10010" s="18" t="s">
        <v>44382</v>
      </c>
      <c r="F10010" s="8" t="str">
        <f>IFERROR(__XLUDF.DUMMYFUNCTION("PROPER(REGEXREPLACE(D395,""[^A-Za-z]+ "",""""))"),"Talentsafe")</f>
        <v>Talentsafe</v>
      </c>
      <c r="G10010" s="18" t="s">
        <v>44383</v>
      </c>
      <c r="H10010" s="18">
        <v>2</v>
      </c>
      <c r="I10010" s="18" t="s">
        <v>39661</v>
      </c>
      <c r="J10010" s="8" t="str">
        <f>IFERROR(__XLUDF.DUMMYFUNCTION("VLOOKUP(H395,IMPORTRANGE(""https://docs.google.com/spreadsheets/d/1opm6ZNvGZ7KditA9TuJwrZ25eFLfTNIkrNnY6mhV5Eg"",""list!A1:C115""),3,TRUE)"),"le secteur des assurances")</f>
        <v xml:space="preserve">le secteur des assurances</v>
      </c>
      <c r="K10010" s="5" t="s">
        <v>44384</v>
      </c>
      <c r="L10010" s="5" t="s">
        <v>44385</v>
      </c>
      <c r="M10010" s="18" t="s">
        <v>39</v>
      </c>
      <c r="N10010" s="18" t="s">
        <v>29</v>
      </c>
      <c r="O10010" s="18" t="s">
        <v>44386</v>
      </c>
      <c r="P10010" s="18" t="s">
        <v>29</v>
      </c>
      <c r="Q10010" s="6"/>
      <c r="R10010" s="6"/>
      <c r="S10010" s="6"/>
      <c r="T10010" s="6"/>
      <c r="U10010" s="6"/>
      <c r="V10010" s="6"/>
      <c r="W10010" s="6"/>
      <c r="X10010" s="6"/>
      <c r="Y10010" s="6"/>
    </row>
    <row r="10011" ht="14.25">
      <c r="B10011" s="8" t="s">
        <v>1596</v>
      </c>
      <c r="C10011" s="8" t="s">
        <v>44387</v>
      </c>
      <c r="D10011" s="8" t="s">
        <v>7759</v>
      </c>
      <c r="E10011" s="8" t="s">
        <v>44388</v>
      </c>
      <c r="F10011" s="8" t="str">
        <f>IFERROR(__XLUDF.DUMMYFUNCTION("PROPER(REGEXREPLACE(D396,""[^A-Za-z]+ "",""""))"),"Groupe Spaf")</f>
        <v xml:space="preserve">Groupe Spaf</v>
      </c>
      <c r="G10011" s="8" t="s">
        <v>44389</v>
      </c>
      <c r="H10011" s="9">
        <v>5</v>
      </c>
      <c r="I10011" s="8" t="s">
        <v>39661</v>
      </c>
      <c r="J10011" s="8" t="str">
        <f>IFERROR(__XLUDF.DUMMYFUNCTION("VLOOKUP(H396,IMPORTRANGE(""https://docs.google.com/spreadsheets/d/1opm6ZNvGZ7KditA9TuJwrZ25eFLfTNIkrNnY6mhV5Eg"",""list!A1:C115""),3,TRUE)"),"le secteur des assurances")</f>
        <v xml:space="preserve">le secteur des assurances</v>
      </c>
      <c r="K10011" s="10" t="s">
        <v>44390</v>
      </c>
      <c r="L10011" s="10" t="s">
        <v>44391</v>
      </c>
      <c r="M10011" s="8" t="s">
        <v>39</v>
      </c>
      <c r="N10011" s="8" t="s">
        <v>29</v>
      </c>
      <c r="O10011" s="8" t="s">
        <v>9160</v>
      </c>
      <c r="P10011" s="8"/>
      <c r="Q10011" s="8"/>
      <c r="R10011" s="8"/>
      <c r="S10011" s="8"/>
      <c r="T10011" s="8"/>
      <c r="U10011" s="8"/>
      <c r="V10011" s="8"/>
      <c r="W10011" s="8"/>
      <c r="X10011" s="8"/>
      <c r="Y10011" s="8"/>
    </row>
    <row r="10012" ht="14.25">
      <c r="B10012" s="8" t="s">
        <v>17641</v>
      </c>
      <c r="C10012" s="8" t="s">
        <v>44392</v>
      </c>
      <c r="D10012" s="8" t="s">
        <v>103</v>
      </c>
      <c r="E10012" s="8" t="s">
        <v>41638</v>
      </c>
      <c r="F10012" s="8" t="str">
        <f>IFERROR(__XLUDF.DUMMYFUNCTION("PROPER(REGEXREPLACE(D397,""[^A-Za-z]+ "",""""))"),"Elexia")</f>
        <v>Elexia</v>
      </c>
      <c r="G10012" s="8" t="s">
        <v>44393</v>
      </c>
      <c r="H10012" s="9">
        <v>31</v>
      </c>
      <c r="I10012" s="8" t="s">
        <v>39661</v>
      </c>
      <c r="J10012" s="8" t="str">
        <f>IFERROR(__XLUDF.DUMMYFUNCTION("VLOOKUP(H397,IMPORTRANGE(""https://docs.google.com/spreadsheets/d/1opm6ZNvGZ7KditA9TuJwrZ25eFLfTNIkrNnY6mhV5Eg"",""list!A1:C115""),3,TRUE)"),"le secteur des assurances")</f>
        <v xml:space="preserve">le secteur des assurances</v>
      </c>
      <c r="K10012" s="10" t="s">
        <v>44394</v>
      </c>
      <c r="L10012" s="10" t="s">
        <v>44395</v>
      </c>
      <c r="M10012" s="8" t="s">
        <v>39</v>
      </c>
      <c r="N10012" s="8" t="s">
        <v>29</v>
      </c>
      <c r="O10012" s="8" t="s">
        <v>9160</v>
      </c>
      <c r="P10012" s="8"/>
      <c r="Q10012" s="8"/>
      <c r="R10012" s="8"/>
      <c r="S10012" s="8"/>
      <c r="T10012" s="8"/>
      <c r="U10012" s="8"/>
      <c r="V10012" s="8"/>
      <c r="W10012" s="8"/>
      <c r="X10012" s="8"/>
      <c r="Y10012" s="8"/>
    </row>
    <row r="10013" ht="14.25">
      <c r="B10013" s="8" t="s">
        <v>330</v>
      </c>
      <c r="C10013" s="8" t="s">
        <v>44396</v>
      </c>
      <c r="D10013" s="8" t="s">
        <v>7759</v>
      </c>
      <c r="E10013" s="8" t="s">
        <v>44397</v>
      </c>
      <c r="F10013" s="8" t="str">
        <f>IFERROR(__XLUDF.DUMMYFUNCTION("PROPER(REGEXREPLACE(D398,""[^A-Za-z]+ "",""""))"),"Axefia")</f>
        <v>Axefia</v>
      </c>
      <c r="G10013" s="8" t="s">
        <v>44398</v>
      </c>
      <c r="H10013" s="9">
        <v>6</v>
      </c>
      <c r="I10013" s="8" t="s">
        <v>39661</v>
      </c>
      <c r="J10013" s="8" t="str">
        <f>IFERROR(__XLUDF.DUMMYFUNCTION("VLOOKUP(H398,IMPORTRANGE(""https://docs.google.com/spreadsheets/d/1opm6ZNvGZ7KditA9TuJwrZ25eFLfTNIkrNnY6mhV5Eg"",""list!A1:C115""),3,TRUE)"),"le secteur des assurances")</f>
        <v xml:space="preserve">le secteur des assurances</v>
      </c>
      <c r="K10013" s="10" t="s">
        <v>44399</v>
      </c>
      <c r="L10013" s="10" t="s">
        <v>44400</v>
      </c>
      <c r="M10013" s="8" t="s">
        <v>1826</v>
      </c>
      <c r="N10013" s="8" t="s">
        <v>29</v>
      </c>
      <c r="O10013" s="8" t="s">
        <v>9227</v>
      </c>
      <c r="P10013" s="8"/>
      <c r="Q10013" s="8" t="s">
        <v>44401</v>
      </c>
      <c r="R10013" s="8"/>
      <c r="S10013" s="8"/>
      <c r="T10013" s="8"/>
      <c r="U10013" s="8"/>
      <c r="V10013" s="8"/>
      <c r="W10013" s="8"/>
      <c r="X10013" s="8"/>
      <c r="Y10013" s="8"/>
    </row>
    <row r="10014" ht="14.25">
      <c r="B10014" s="18" t="s">
        <v>2771</v>
      </c>
      <c r="C10014" s="18" t="s">
        <v>44402</v>
      </c>
      <c r="D10014" s="18" t="s">
        <v>120</v>
      </c>
      <c r="E10014" s="18" t="s">
        <v>42221</v>
      </c>
      <c r="F10014" s="8" t="str">
        <f>IFERROR(__XLUDF.DUMMYFUNCTION("PROPER(REGEXREPLACE(D399,""[^A-Za-z]+ "",""""))"),"Yonivers")</f>
        <v>Yonivers</v>
      </c>
      <c r="G10014" s="18" t="s">
        <v>44403</v>
      </c>
      <c r="H10014" s="18">
        <v>81</v>
      </c>
      <c r="I10014" s="18" t="s">
        <v>39661</v>
      </c>
      <c r="J10014" s="8" t="str">
        <f>IFERROR(__XLUDF.DUMMYFUNCTION("VLOOKUP(H399,IMPORTRANGE(""https://docs.google.com/spreadsheets/d/1opm6ZNvGZ7KditA9TuJwrZ25eFLfTNIkrNnY6mhV5Eg"",""list!A1:C115""),3,TRUE)"),"le secteur des assurances")</f>
        <v xml:space="preserve">le secteur des assurances</v>
      </c>
      <c r="K10014" s="5" t="s">
        <v>44404</v>
      </c>
      <c r="L10014" s="5" t="s">
        <v>42224</v>
      </c>
      <c r="M10014" s="18" t="s">
        <v>39</v>
      </c>
      <c r="N10014" s="18" t="s">
        <v>29</v>
      </c>
      <c r="O10014" s="18" t="s">
        <v>42225</v>
      </c>
      <c r="P10014" s="18" t="s">
        <v>29</v>
      </c>
      <c r="Q10014" s="18" t="s">
        <v>42226</v>
      </c>
      <c r="R10014" s="6"/>
      <c r="S10014" s="6"/>
      <c r="T10014" s="6"/>
      <c r="U10014" s="6"/>
      <c r="V10014" s="6"/>
      <c r="W10014" s="6"/>
      <c r="X10014" s="6"/>
      <c r="Y10014" s="6"/>
    </row>
    <row r="10015" ht="14.25">
      <c r="B10015" s="8" t="s">
        <v>6634</v>
      </c>
      <c r="C10015" s="8" t="s">
        <v>5579</v>
      </c>
      <c r="D10015" s="8" t="s">
        <v>44405</v>
      </c>
      <c r="E10015" s="8" t="s">
        <v>44406</v>
      </c>
      <c r="F10015" s="8" t="str">
        <f>IFERROR(__XLUDF.DUMMYFUNCTION("PROPER(REGEXREPLACE(D400,""[^A-Za-z]+ "",""""))"),"Mvra")</f>
        <v>Mvra</v>
      </c>
      <c r="G10015" s="8" t="s">
        <v>44407</v>
      </c>
      <c r="H10015" s="9">
        <v>27</v>
      </c>
      <c r="I10015" s="8" t="s">
        <v>39661</v>
      </c>
      <c r="J10015" s="8" t="str">
        <f>IFERROR(__XLUDF.DUMMYFUNCTION("VLOOKUP(H400,IMPORTRANGE(""https://docs.google.com/spreadsheets/d/1opm6ZNvGZ7KditA9TuJwrZ25eFLfTNIkrNnY6mhV5Eg"",""list!A1:C115""),3,TRUE)"),"le secteur des assurances")</f>
        <v xml:space="preserve">le secteur des assurances</v>
      </c>
      <c r="K10015" s="10" t="s">
        <v>44408</v>
      </c>
      <c r="L10015" s="10" t="s">
        <v>44409</v>
      </c>
      <c r="M10015" s="8" t="s">
        <v>185</v>
      </c>
      <c r="N10015" s="8" t="s">
        <v>29</v>
      </c>
      <c r="O10015" s="8" t="s">
        <v>9172</v>
      </c>
      <c r="P10015" s="8"/>
      <c r="Q10015" s="8" t="s">
        <v>44410</v>
      </c>
      <c r="R10015" s="8"/>
      <c r="S10015" s="8"/>
      <c r="T10015" s="8"/>
      <c r="U10015" s="8"/>
      <c r="V10015" s="8"/>
      <c r="W10015" s="8"/>
      <c r="X10015" s="8"/>
      <c r="Y10015" s="8"/>
    </row>
    <row r="10016" ht="14.25">
      <c r="B10016" s="8" t="s">
        <v>768</v>
      </c>
      <c r="C10016" s="8" t="s">
        <v>44411</v>
      </c>
      <c r="D10016" s="8" t="s">
        <v>112</v>
      </c>
      <c r="E10016" s="8" t="s">
        <v>44412</v>
      </c>
      <c r="F10016" s="8" t="str">
        <f>IFERROR(__XLUDF.DUMMYFUNCTION("PROPER(REGEXREPLACE(D401,""[^A-Za-z]+ "",""""))"),"Cabinet Archimede")</f>
        <v xml:space="preserve">Cabinet Archimede</v>
      </c>
      <c r="G10016" s="8" t="s">
        <v>44413</v>
      </c>
      <c r="H10016" s="8"/>
      <c r="I10016" s="8"/>
      <c r="J10016" s="8" t="s">
        <v>42267</v>
      </c>
      <c r="K10016" s="10" t="s">
        <v>44414</v>
      </c>
      <c r="L10016" s="10" t="s">
        <v>44415</v>
      </c>
      <c r="M10016" s="8" t="s">
        <v>39</v>
      </c>
      <c r="N10016" s="8" t="s">
        <v>29</v>
      </c>
      <c r="O10016" s="8" t="s">
        <v>9160</v>
      </c>
      <c r="P10016" s="8"/>
      <c r="Q10016" s="8"/>
      <c r="R10016" s="8"/>
      <c r="S10016" s="8"/>
      <c r="T10016" s="8"/>
      <c r="U10016" s="8"/>
      <c r="V10016" s="8"/>
      <c r="W10016" s="8"/>
      <c r="X10016" s="8"/>
      <c r="Y10016" s="8"/>
    </row>
    <row r="10017" ht="14.25">
      <c r="B10017" s="18" t="s">
        <v>1198</v>
      </c>
      <c r="C10017" s="18" t="s">
        <v>44416</v>
      </c>
      <c r="D10017" s="18" t="s">
        <v>44417</v>
      </c>
      <c r="E10017" s="18" t="s">
        <v>44418</v>
      </c>
      <c r="F10017" s="8" t="str">
        <f>IFERROR(__XLUDF.DUMMYFUNCTION("PROPER(REGEXREPLACE(D402,""[^A-Za-z]+ "",""""))"),"Cooper Gay")</f>
        <v xml:space="preserve">Cooper Gay</v>
      </c>
      <c r="G10017" s="18" t="s">
        <v>44419</v>
      </c>
      <c r="H10017" s="18">
        <v>79</v>
      </c>
      <c r="I10017" s="18" t="s">
        <v>39661</v>
      </c>
      <c r="J10017" s="8" t="str">
        <f>IFERROR(__XLUDF.DUMMYFUNCTION("VLOOKUP(H402,IMPORTRANGE(""https://docs.google.com/spreadsheets/d/1opm6ZNvGZ7KditA9TuJwrZ25eFLfTNIkrNnY6mhV5Eg"",""list!A1:C115""),3,TRUE)"),"le secteur des assurances")</f>
        <v xml:space="preserve">le secteur des assurances</v>
      </c>
      <c r="K10017" s="5" t="s">
        <v>44420</v>
      </c>
      <c r="L10017" s="5" t="s">
        <v>44421</v>
      </c>
      <c r="M10017" s="18" t="s">
        <v>39</v>
      </c>
      <c r="N10017" s="18" t="s">
        <v>29</v>
      </c>
      <c r="O10017" s="18" t="s">
        <v>44422</v>
      </c>
      <c r="P10017" s="18" t="s">
        <v>29</v>
      </c>
      <c r="Q10017" s="6"/>
      <c r="R10017" s="6"/>
      <c r="S10017" s="6"/>
      <c r="T10017" s="6"/>
      <c r="U10017" s="6"/>
      <c r="V10017" s="6"/>
      <c r="W10017" s="6"/>
      <c r="X10017" s="6"/>
      <c r="Y10017" s="6"/>
    </row>
    <row r="10018" ht="14.25">
      <c r="B10018" s="8" t="s">
        <v>6356</v>
      </c>
      <c r="C10018" s="8" t="s">
        <v>44423</v>
      </c>
      <c r="D10018" s="8" t="s">
        <v>9456</v>
      </c>
      <c r="E10018" s="8" t="s">
        <v>44424</v>
      </c>
      <c r="F10018" s="8" t="str">
        <f>IFERROR(__XLUDF.DUMMYFUNCTION("PROPER(REGEXREPLACE(D403,""[^A-Za-z]+ "",""""))"),"Xxamen")</f>
        <v>Xxamen</v>
      </c>
      <c r="G10018" s="8" t="s">
        <v>44425</v>
      </c>
      <c r="H10018" s="9">
        <v>2</v>
      </c>
      <c r="I10018" s="8" t="s">
        <v>39661</v>
      </c>
      <c r="J10018" s="8" t="str">
        <f>IFERROR(__XLUDF.DUMMYFUNCTION("VLOOKUP(H403,IMPORTRANGE(""https://docs.google.com/spreadsheets/d/1opm6ZNvGZ7KditA9TuJwrZ25eFLfTNIkrNnY6mhV5Eg"",""list!A1:C115""),3,TRUE)"),"le secteur des assurances")</f>
        <v xml:space="preserve">le secteur des assurances</v>
      </c>
      <c r="K10018" s="10" t="s">
        <v>44426</v>
      </c>
      <c r="L10018" s="10" t="s">
        <v>44427</v>
      </c>
      <c r="M10018" s="8" t="s">
        <v>13206</v>
      </c>
      <c r="N10018" s="8" t="s">
        <v>29</v>
      </c>
      <c r="O10018" s="8" t="s">
        <v>9160</v>
      </c>
      <c r="P10018" s="8"/>
      <c r="Q10018" s="8"/>
      <c r="R10018" s="8"/>
      <c r="S10018" s="8"/>
      <c r="T10018" s="8"/>
      <c r="U10018" s="8"/>
      <c r="V10018" s="8"/>
      <c r="W10018" s="8"/>
      <c r="X10018" s="8"/>
      <c r="Y10018" s="8"/>
    </row>
    <row r="10019" ht="14.25">
      <c r="B10019" s="8" t="s">
        <v>14448</v>
      </c>
      <c r="C10019" s="8" t="s">
        <v>44428</v>
      </c>
      <c r="D10019" s="8" t="s">
        <v>3637</v>
      </c>
      <c r="E10019" s="8" t="s">
        <v>44429</v>
      </c>
      <c r="F10019" s="8" t="str">
        <f>IFERROR(__XLUDF.DUMMYFUNCTION("PROPER(REGEXREPLACE(D404,""[^A-Za-z]+ "",""""))"),"Hermod Assurances")</f>
        <v xml:space="preserve">Hermod Assurances</v>
      </c>
      <c r="G10019" s="8" t="s">
        <v>44430</v>
      </c>
      <c r="H10019" s="9">
        <v>3</v>
      </c>
      <c r="I10019" s="8" t="s">
        <v>39661</v>
      </c>
      <c r="J10019" s="8" t="str">
        <f>IFERROR(__XLUDF.DUMMYFUNCTION("VLOOKUP(H404,IMPORTRANGE(""https://docs.google.com/spreadsheets/d/1opm6ZNvGZ7KditA9TuJwrZ25eFLfTNIkrNnY6mhV5Eg"",""list!A1:C115""),3,TRUE)"),"le secteur des assurances")</f>
        <v xml:space="preserve">le secteur des assurances</v>
      </c>
      <c r="K10019" s="10" t="s">
        <v>44431</v>
      </c>
      <c r="L10019" s="10" t="s">
        <v>44432</v>
      </c>
      <c r="M10019" s="8"/>
      <c r="N10019" s="8" t="s">
        <v>29</v>
      </c>
      <c r="O10019" s="8"/>
      <c r="P10019" s="8"/>
      <c r="Q10019" s="8"/>
      <c r="R10019" s="8"/>
      <c r="S10019" s="8"/>
      <c r="T10019" s="8"/>
      <c r="U10019" s="8"/>
      <c r="V10019" s="8"/>
      <c r="W10019" s="8"/>
      <c r="X10019" s="8"/>
      <c r="Y10019" s="8"/>
    </row>
    <row r="10020" ht="14.25">
      <c r="B10020" s="8" t="s">
        <v>2372</v>
      </c>
      <c r="C10020" s="8" t="s">
        <v>12852</v>
      </c>
      <c r="D10020" s="8" t="s">
        <v>44433</v>
      </c>
      <c r="E10020" s="8" t="s">
        <v>44434</v>
      </c>
      <c r="F10020" s="8" t="str">
        <f>IFERROR(__XLUDF.DUMMYFUNCTION("PROPER(REGEXREPLACE(D405,""[^A-Za-z]+ "",""""))"),"Coralia Conseils")</f>
        <v xml:space="preserve">Coralia Conseils</v>
      </c>
      <c r="G10020" s="8" t="s">
        <v>44435</v>
      </c>
      <c r="H10020" s="9">
        <v>1</v>
      </c>
      <c r="I10020" s="8" t="s">
        <v>39661</v>
      </c>
      <c r="J10020" s="8" t="str">
        <f>IFERROR(__XLUDF.DUMMYFUNCTION("VLOOKUP(H405,IMPORTRANGE(""https://docs.google.com/spreadsheets/d/1opm6ZNvGZ7KditA9TuJwrZ25eFLfTNIkrNnY6mhV5Eg"",""list!A1:C115""),3,TRUE)"),"le secteur des assurances")</f>
        <v xml:space="preserve">le secteur des assurances</v>
      </c>
      <c r="K10020" s="10" t="s">
        <v>44436</v>
      </c>
      <c r="L10020" s="10" t="s">
        <v>44437</v>
      </c>
      <c r="M10020" s="8" t="s">
        <v>482</v>
      </c>
      <c r="N10020" s="8" t="s">
        <v>29</v>
      </c>
      <c r="O10020" s="8" t="s">
        <v>9460</v>
      </c>
      <c r="P10020" s="8"/>
      <c r="Q10020" s="8" t="s">
        <v>44438</v>
      </c>
      <c r="R10020" s="8"/>
      <c r="S10020" s="8"/>
      <c r="T10020" s="8"/>
      <c r="U10020" s="8"/>
      <c r="V10020" s="8"/>
      <c r="W10020" s="8"/>
      <c r="X10020" s="8"/>
      <c r="Y10020" s="8"/>
    </row>
    <row r="10021" ht="14.25">
      <c r="B10021" s="18" t="s">
        <v>8651</v>
      </c>
      <c r="C10021" s="18" t="s">
        <v>44439</v>
      </c>
      <c r="D10021" s="18" t="s">
        <v>4586</v>
      </c>
      <c r="E10021" s="18" t="s">
        <v>43132</v>
      </c>
      <c r="F10021" s="8" t="str">
        <f>IFERROR(__XLUDF.DUMMYFUNCTION("PROPER(REGEXREPLACE(D406,""[^A-Za-z]+ "",""""))"),"Mutuale La Mutuelle Familiale")</f>
        <v xml:space="preserve">Mutuale La Mutuelle Familiale</v>
      </c>
      <c r="G10021" s="18" t="s">
        <v>44440</v>
      </c>
      <c r="H10021" s="18">
        <v>77</v>
      </c>
      <c r="I10021" s="18" t="s">
        <v>39661</v>
      </c>
      <c r="J10021" s="8" t="str">
        <f>IFERROR(__XLUDF.DUMMYFUNCTION("VLOOKUP(H406,IMPORTRANGE(""https://docs.google.com/spreadsheets/d/1opm6ZNvGZ7KditA9TuJwrZ25eFLfTNIkrNnY6mhV5Eg"",""list!A1:C115""),3,TRUE)"),"le secteur des assurances")</f>
        <v xml:space="preserve">le secteur des assurances</v>
      </c>
      <c r="K10021" s="5" t="s">
        <v>44441</v>
      </c>
      <c r="L10021" s="5" t="s">
        <v>43135</v>
      </c>
      <c r="M10021" s="18" t="s">
        <v>44442</v>
      </c>
      <c r="N10021" s="18" t="s">
        <v>29</v>
      </c>
      <c r="O10021" s="18" t="s">
        <v>43136</v>
      </c>
      <c r="P10021" s="18" t="s">
        <v>29</v>
      </c>
      <c r="Q10021" s="18" t="s">
        <v>43137</v>
      </c>
      <c r="R10021" s="6"/>
      <c r="S10021" s="6"/>
      <c r="T10021" s="6"/>
      <c r="U10021" s="6"/>
      <c r="V10021" s="6"/>
      <c r="W10021" s="6"/>
      <c r="X10021" s="6"/>
      <c r="Y10021" s="6"/>
    </row>
    <row r="10022" ht="14.25">
      <c r="B10022" s="8" t="s">
        <v>622</v>
      </c>
      <c r="C10022" s="8" t="s">
        <v>44443</v>
      </c>
      <c r="D10022" s="8" t="s">
        <v>1950</v>
      </c>
      <c r="E10022" s="8" t="s">
        <v>41211</v>
      </c>
      <c r="F10022" s="8" t="str">
        <f>IFERROR(__XLUDF.DUMMYFUNCTION("PROPER(REGEXREPLACE(D407,""[^A-Za-z]+ "",""""))"),"Coverity")</f>
        <v>Coverity</v>
      </c>
      <c r="G10022" s="8" t="s">
        <v>44444</v>
      </c>
      <c r="H10022" s="9">
        <v>20</v>
      </c>
      <c r="I10022" s="8" t="s">
        <v>39661</v>
      </c>
      <c r="J10022" s="8" t="str">
        <f>IFERROR(__XLUDF.DUMMYFUNCTION("VLOOKUP(H407,IMPORTRANGE(""https://docs.google.com/spreadsheets/d/1opm6ZNvGZ7KditA9TuJwrZ25eFLfTNIkrNnY6mhV5Eg"",""list!A1:C115""),3,TRUE)"),"le secteur des assurances")</f>
        <v xml:space="preserve">le secteur des assurances</v>
      </c>
      <c r="K10022" s="10" t="s">
        <v>44445</v>
      </c>
      <c r="L10022" s="10" t="s">
        <v>44446</v>
      </c>
      <c r="M10022" s="8" t="s">
        <v>10717</v>
      </c>
      <c r="N10022" s="8" t="s">
        <v>29</v>
      </c>
      <c r="O10022" s="8" t="s">
        <v>9864</v>
      </c>
      <c r="P10022" s="8"/>
      <c r="Q10022" s="8" t="s">
        <v>44447</v>
      </c>
      <c r="R10022" s="8"/>
      <c r="S10022" s="8"/>
      <c r="T10022" s="8"/>
      <c r="U10022" s="8"/>
      <c r="V10022" s="8"/>
      <c r="W10022" s="8"/>
      <c r="X10022" s="8"/>
      <c r="Y10022" s="8"/>
    </row>
    <row r="10023" ht="14.25">
      <c r="B10023" s="8" t="s">
        <v>2932</v>
      </c>
      <c r="C10023" s="8" t="s">
        <v>44448</v>
      </c>
      <c r="D10023" s="8" t="s">
        <v>112</v>
      </c>
      <c r="E10023" s="8" t="s">
        <v>44449</v>
      </c>
      <c r="F10023" s="8" t="str">
        <f>IFERROR(__XLUDF.DUMMYFUNCTION("PROPER(REGEXREPLACE(D408,""[^A-Za-z]+ "",""""))"),"Aidasinistre")</f>
        <v>Aidasinistre</v>
      </c>
      <c r="G10023" s="8" t="s">
        <v>44450</v>
      </c>
      <c r="H10023" s="9">
        <v>1</v>
      </c>
      <c r="I10023" s="8" t="s">
        <v>39661</v>
      </c>
      <c r="J10023" s="8" t="str">
        <f>IFERROR(__XLUDF.DUMMYFUNCTION("VLOOKUP(H408,IMPORTRANGE(""https://docs.google.com/spreadsheets/d/1opm6ZNvGZ7KditA9TuJwrZ25eFLfTNIkrNnY6mhV5Eg"",""list!A1:C115""),3,TRUE)"),"le secteur des assurances")</f>
        <v xml:space="preserve">le secteur des assurances</v>
      </c>
      <c r="K10023" s="10" t="s">
        <v>44451</v>
      </c>
      <c r="L10023" s="10" t="s">
        <v>44452</v>
      </c>
      <c r="M10023" s="8" t="s">
        <v>7531</v>
      </c>
      <c r="N10023" s="8" t="s">
        <v>29</v>
      </c>
      <c r="O10023" s="8" t="s">
        <v>9798</v>
      </c>
      <c r="P10023" s="8"/>
      <c r="Q10023" s="8"/>
      <c r="R10023" s="8"/>
      <c r="S10023" s="8"/>
      <c r="T10023" s="8"/>
      <c r="U10023" s="8"/>
      <c r="V10023" s="8"/>
      <c r="W10023" s="8"/>
      <c r="X10023" s="8"/>
      <c r="Y10023" s="8"/>
    </row>
    <row r="10024" ht="14.25">
      <c r="B10024" s="8" t="s">
        <v>222</v>
      </c>
      <c r="C10024" s="8" t="s">
        <v>8978</v>
      </c>
      <c r="D10024" s="8" t="s">
        <v>44453</v>
      </c>
      <c r="E10024" s="8" t="s">
        <v>44454</v>
      </c>
      <c r="F10024" s="8" t="str">
        <f>IFERROR(__XLUDF.DUMMYFUNCTION("PROPER(REGEXREPLACE(D409,""[^A-Za-z]+ "",""""))"),"Azurea Patrimoine")</f>
        <v xml:space="preserve">Azurea Patrimoine</v>
      </c>
      <c r="G10024" s="8" t="s">
        <v>44455</v>
      </c>
      <c r="H10024" s="9">
        <v>1</v>
      </c>
      <c r="I10024" s="8" t="s">
        <v>39661</v>
      </c>
      <c r="J10024" s="8" t="str">
        <f>IFERROR(__XLUDF.DUMMYFUNCTION("VLOOKUP(H409,IMPORTRANGE(""https://docs.google.com/spreadsheets/d/1opm6ZNvGZ7KditA9TuJwrZ25eFLfTNIkrNnY6mhV5Eg"",""list!A1:C115""),3,TRUE)"),"le secteur des assurances")</f>
        <v xml:space="preserve">le secteur des assurances</v>
      </c>
      <c r="K10024" s="10" t="s">
        <v>44456</v>
      </c>
      <c r="L10024" s="10" t="s">
        <v>44457</v>
      </c>
      <c r="M10024" s="8" t="s">
        <v>49</v>
      </c>
      <c r="N10024" s="8" t="s">
        <v>29</v>
      </c>
      <c r="O10024" s="8" t="s">
        <v>9251</v>
      </c>
      <c r="P10024" s="8"/>
      <c r="Q10024" s="8" t="s">
        <v>44458</v>
      </c>
      <c r="R10024" s="8"/>
      <c r="S10024" s="8"/>
      <c r="T10024" s="8"/>
      <c r="U10024" s="8"/>
      <c r="V10024" s="8"/>
      <c r="W10024" s="8"/>
      <c r="X10024" s="8"/>
      <c r="Y10024" s="8"/>
    </row>
    <row r="10025" ht="14.25">
      <c r="B10025" s="18" t="s">
        <v>661</v>
      </c>
      <c r="C10025" s="18" t="s">
        <v>6390</v>
      </c>
      <c r="D10025" s="18" t="s">
        <v>112</v>
      </c>
      <c r="E10025" s="18" t="s">
        <v>44459</v>
      </c>
      <c r="F10025" s="8" t="str">
        <f>IFERROR(__XLUDF.DUMMYFUNCTION("PROPER(REGEXREPLACE(D410,""[^A-Za-z]+ "",""""))"),"Nousassurons")</f>
        <v>Nousassurons</v>
      </c>
      <c r="G10025" s="18" t="s">
        <v>44460</v>
      </c>
      <c r="H10025" s="18">
        <v>70</v>
      </c>
      <c r="I10025" s="18" t="s">
        <v>39661</v>
      </c>
      <c r="J10025" s="8" t="str">
        <f>IFERROR(__XLUDF.DUMMYFUNCTION("VLOOKUP(H410,IMPORTRANGE(""https://docs.google.com/spreadsheets/d/1opm6ZNvGZ7KditA9TuJwrZ25eFLfTNIkrNnY6mhV5Eg"",""list!A1:C115""),3,TRUE)"),"le secteur des assurances")</f>
        <v xml:space="preserve">le secteur des assurances</v>
      </c>
      <c r="K10025" s="5" t="s">
        <v>44461</v>
      </c>
      <c r="L10025" s="5" t="s">
        <v>44462</v>
      </c>
      <c r="M10025" s="18" t="s">
        <v>185</v>
      </c>
      <c r="N10025" s="18" t="s">
        <v>29</v>
      </c>
      <c r="O10025" s="18" t="s">
        <v>44463</v>
      </c>
      <c r="P10025" s="18" t="s">
        <v>29</v>
      </c>
      <c r="Q10025" s="6"/>
      <c r="R10025" s="6"/>
      <c r="S10025" s="6"/>
      <c r="T10025" s="6"/>
      <c r="U10025" s="6"/>
      <c r="V10025" s="6"/>
      <c r="W10025" s="6"/>
      <c r="X10025" s="6"/>
      <c r="Y10025" s="6"/>
    </row>
    <row r="10026" ht="14.25">
      <c r="B10026" s="8" t="s">
        <v>525</v>
      </c>
      <c r="C10026" s="8" t="s">
        <v>44464</v>
      </c>
      <c r="D10026" s="8" t="s">
        <v>112</v>
      </c>
      <c r="E10026" s="8" t="s">
        <v>44465</v>
      </c>
      <c r="F10026" s="8" t="str">
        <f>IFERROR(__XLUDF.DUMMYFUNCTION("PROPER(REGEXREPLACE(D411,""[^A-Za-z]+ "",""""))"),"Gmaf Assurances")</f>
        <v xml:space="preserve">Gmaf Assurances</v>
      </c>
      <c r="G10026" s="8" t="s">
        <v>44466</v>
      </c>
      <c r="H10026" s="9">
        <v>8</v>
      </c>
      <c r="I10026" s="8" t="s">
        <v>39661</v>
      </c>
      <c r="J10026" s="8" t="str">
        <f>IFERROR(__XLUDF.DUMMYFUNCTION("VLOOKUP(H411,IMPORTRANGE(""https://docs.google.com/spreadsheets/d/1opm6ZNvGZ7KditA9TuJwrZ25eFLfTNIkrNnY6mhV5Eg"",""list!A1:C115""),3,TRUE)"),"le secteur des assurances")</f>
        <v xml:space="preserve">le secteur des assurances</v>
      </c>
      <c r="K10026" s="10" t="s">
        <v>44467</v>
      </c>
      <c r="L10026" s="10" t="s">
        <v>44468</v>
      </c>
      <c r="M10026" s="8" t="s">
        <v>39</v>
      </c>
      <c r="N10026" s="8" t="s">
        <v>29</v>
      </c>
      <c r="O10026" s="8" t="s">
        <v>9160</v>
      </c>
      <c r="P10026" s="8"/>
      <c r="Q10026" s="8" t="s">
        <v>44469</v>
      </c>
      <c r="R10026" s="8"/>
      <c r="S10026" s="8"/>
      <c r="T10026" s="8"/>
      <c r="U10026" s="8"/>
      <c r="V10026" s="8"/>
      <c r="W10026" s="8"/>
      <c r="X10026" s="8"/>
      <c r="Y10026" s="8"/>
    </row>
    <row r="10027" ht="14.25">
      <c r="B10027" s="8" t="s">
        <v>1619</v>
      </c>
      <c r="C10027" s="8" t="s">
        <v>44470</v>
      </c>
      <c r="D10027" s="8" t="s">
        <v>44471</v>
      </c>
      <c r="E10027" s="10" t="s">
        <v>41034</v>
      </c>
      <c r="F10027" s="11" t="str">
        <f>IFERROR(__XLUDF.DUMMYFUNCTION("PROPER(REGEXREPLACE(D412,""[^A-Za-z]+ "",""""))"),"Santexpat.Fr")</f>
        <v>Santexpat.Fr</v>
      </c>
      <c r="G10027" s="8" t="s">
        <v>44472</v>
      </c>
      <c r="H10027" s="9">
        <v>15</v>
      </c>
      <c r="I10027" s="8" t="s">
        <v>39661</v>
      </c>
      <c r="J10027" s="8" t="str">
        <f>IFERROR(__XLUDF.DUMMYFUNCTION("VLOOKUP(H412,IMPORTRANGE(""https://docs.google.com/spreadsheets/d/1opm6ZNvGZ7KditA9TuJwrZ25eFLfTNIkrNnY6mhV5Eg"",""list!A1:C115""),3,TRUE)"),"le secteur des assurances")</f>
        <v xml:space="preserve">le secteur des assurances</v>
      </c>
      <c r="K10027" s="10" t="s">
        <v>44473</v>
      </c>
      <c r="L10027" s="10" t="s">
        <v>44474</v>
      </c>
      <c r="M10027" s="8" t="s">
        <v>6954</v>
      </c>
      <c r="N10027" s="8" t="s">
        <v>29</v>
      </c>
      <c r="O10027" s="8" t="s">
        <v>9484</v>
      </c>
      <c r="P10027" s="8"/>
      <c r="Q10027" s="8"/>
      <c r="R10027" s="8"/>
      <c r="S10027" s="8"/>
      <c r="T10027" s="8"/>
      <c r="U10027" s="8"/>
      <c r="V10027" s="8"/>
      <c r="W10027" s="8"/>
      <c r="X10027" s="8"/>
      <c r="Y10027" s="8"/>
    </row>
    <row r="10028" ht="14.25">
      <c r="B10028" s="8" t="s">
        <v>5579</v>
      </c>
      <c r="C10028" s="8" t="s">
        <v>44475</v>
      </c>
      <c r="D10028" s="8" t="s">
        <v>44476</v>
      </c>
      <c r="E10028" s="8" t="s">
        <v>44477</v>
      </c>
      <c r="F10028" s="8" t="str">
        <f>IFERROR(__XLUDF.DUMMYFUNCTION("PROPER(REGEXREPLACE(D413,""[^A-Za-z]+ "",""""))"),"France Mutuelle")</f>
        <v xml:space="preserve">France Mutuelle</v>
      </c>
      <c r="G10028" s="8" t="s">
        <v>44478</v>
      </c>
      <c r="H10028" s="9">
        <v>80</v>
      </c>
      <c r="I10028" s="8" t="s">
        <v>39661</v>
      </c>
      <c r="J10028" s="8" t="str">
        <f>IFERROR(__XLUDF.DUMMYFUNCTION("VLOOKUP(H413,IMPORTRANGE(""https://docs.google.com/spreadsheets/d/1opm6ZNvGZ7KditA9TuJwrZ25eFLfTNIkrNnY6mhV5Eg"",""list!A1:C115""),3,TRUE)"),"le secteur des assurances")</f>
        <v xml:space="preserve">le secteur des assurances</v>
      </c>
      <c r="K10028" s="10" t="s">
        <v>44479</v>
      </c>
      <c r="L10028" s="10" t="s">
        <v>44480</v>
      </c>
      <c r="M10028" s="8" t="s">
        <v>39</v>
      </c>
      <c r="N10028" s="8" t="s">
        <v>29</v>
      </c>
      <c r="O10028" s="8" t="s">
        <v>9160</v>
      </c>
      <c r="P10028" s="8"/>
      <c r="Q10028" s="8" t="s">
        <v>44481</v>
      </c>
      <c r="R10028" s="8"/>
      <c r="S10028" s="8"/>
      <c r="T10028" s="8"/>
      <c r="U10028" s="8"/>
      <c r="V10028" s="8"/>
      <c r="W10028" s="8"/>
      <c r="X10028" s="8"/>
      <c r="Y10028" s="8"/>
    </row>
    <row r="10029" ht="14.25">
      <c r="B10029" s="8" t="s">
        <v>4986</v>
      </c>
      <c r="C10029" s="8" t="s">
        <v>44482</v>
      </c>
      <c r="D10029" s="8" t="s">
        <v>2636</v>
      </c>
      <c r="E10029" s="8" t="s">
        <v>43524</v>
      </c>
      <c r="F10029" s="8" t="str">
        <f>IFERROR(__XLUDF.DUMMYFUNCTION("PROPER(REGEXREPLACE(D414,""[^A-Za-z]+ "",""""))"),"Lsn Assurances")</f>
        <v xml:space="preserve">Lsn Assurances</v>
      </c>
      <c r="G10029" s="8" t="s">
        <v>44483</v>
      </c>
      <c r="H10029" s="9">
        <v>100</v>
      </c>
      <c r="I10029" s="8" t="s">
        <v>39661</v>
      </c>
      <c r="J10029" s="8" t="str">
        <f>IFERROR(__XLUDF.DUMMYFUNCTION("VLOOKUP(H414,IMPORTRANGE(""https://docs.google.com/spreadsheets/d/1opm6ZNvGZ7KditA9TuJwrZ25eFLfTNIkrNnY6mhV5Eg"",""list!A1:C115""),3,TRUE)"),"le secteur des assurances")</f>
        <v xml:space="preserve">le secteur des assurances</v>
      </c>
      <c r="K10029" s="10" t="s">
        <v>44484</v>
      </c>
      <c r="L10029" s="10" t="s">
        <v>44485</v>
      </c>
      <c r="M10029" s="8"/>
      <c r="N10029" s="8" t="s">
        <v>29</v>
      </c>
      <c r="O10029" s="8" t="s">
        <v>9160</v>
      </c>
      <c r="P10029" s="8"/>
      <c r="Q10029" s="8"/>
      <c r="R10029" s="8"/>
      <c r="S10029" s="8"/>
      <c r="T10029" s="8"/>
      <c r="U10029" s="8"/>
      <c r="V10029" s="8"/>
      <c r="W10029" s="8"/>
      <c r="X10029" s="8"/>
      <c r="Y10029" s="8"/>
    </row>
    <row r="10030" ht="14.25">
      <c r="B10030" s="8" t="s">
        <v>2299</v>
      </c>
      <c r="C10030" s="8" t="s">
        <v>44486</v>
      </c>
      <c r="D10030" s="8" t="s">
        <v>112</v>
      </c>
      <c r="E10030" s="8" t="s">
        <v>44487</v>
      </c>
      <c r="F10030" s="8" t="str">
        <f>IFERROR(__XLUDF.DUMMYFUNCTION("PROPER(REGEXREPLACE(D415,""[^A-Za-z]+ "",""""))"),"Risk Partenaires")</f>
        <v xml:space="preserve">Risk Partenaires</v>
      </c>
      <c r="G10030" s="8" t="s">
        <v>44488</v>
      </c>
      <c r="H10030" s="9">
        <v>15</v>
      </c>
      <c r="I10030" s="8" t="s">
        <v>39661</v>
      </c>
      <c r="J10030" s="8" t="str">
        <f>IFERROR(__XLUDF.DUMMYFUNCTION("VLOOKUP(H415,IMPORTRANGE(""https://docs.google.com/spreadsheets/d/1opm6ZNvGZ7KditA9TuJwrZ25eFLfTNIkrNnY6mhV5Eg"",""list!A1:C115""),3,TRUE)"),"le secteur des assurances")</f>
        <v xml:space="preserve">le secteur des assurances</v>
      </c>
      <c r="K10030" s="10" t="s">
        <v>44489</v>
      </c>
      <c r="L10030" s="10" t="s">
        <v>44490</v>
      </c>
      <c r="M10030" s="8" t="s">
        <v>17358</v>
      </c>
      <c r="N10030" s="8" t="s">
        <v>29</v>
      </c>
      <c r="O10030" s="8" t="s">
        <v>9215</v>
      </c>
      <c r="P10030" s="8"/>
      <c r="Q10030" s="8"/>
      <c r="R10030" s="8"/>
      <c r="S10030" s="8"/>
      <c r="T10030" s="8"/>
      <c r="U10030" s="8"/>
      <c r="V10030" s="8"/>
      <c r="W10030" s="8"/>
      <c r="X10030" s="8"/>
      <c r="Y10030" s="8"/>
    </row>
    <row r="10031" ht="14.25">
      <c r="B10031" s="18" t="s">
        <v>6967</v>
      </c>
      <c r="C10031" s="18" t="s">
        <v>44491</v>
      </c>
      <c r="D10031" s="18" t="s">
        <v>468</v>
      </c>
      <c r="E10031" s="18" t="s">
        <v>44492</v>
      </c>
      <c r="F10031" s="8" t="str">
        <f>IFERROR(__XLUDF.DUMMYFUNCTION("PROPER(REGEXREPLACE(D416,""[^A-Za-z]+ "",""""))"),"April")</f>
        <v>April</v>
      </c>
      <c r="G10031" s="18" t="s">
        <v>44493</v>
      </c>
      <c r="H10031" s="18">
        <v>90</v>
      </c>
      <c r="I10031" s="18" t="s">
        <v>39661</v>
      </c>
      <c r="J10031" s="8" t="str">
        <f>IFERROR(__XLUDF.DUMMYFUNCTION("VLOOKUP(H416,IMPORTRANGE(""https://docs.google.com/spreadsheets/d/1opm6ZNvGZ7KditA9TuJwrZ25eFLfTNIkrNnY6mhV5Eg"",""list!A1:C115""),3,TRUE)"),"le secteur des assurances")</f>
        <v xml:space="preserve">le secteur des assurances</v>
      </c>
      <c r="K10031" s="5" t="s">
        <v>44494</v>
      </c>
      <c r="L10031" s="5" t="s">
        <v>44495</v>
      </c>
      <c r="M10031" s="18" t="s">
        <v>44496</v>
      </c>
      <c r="N10031" s="18" t="s">
        <v>29</v>
      </c>
      <c r="O10031" s="18" t="s">
        <v>44497</v>
      </c>
      <c r="P10031" s="18" t="s">
        <v>29</v>
      </c>
      <c r="Q10031" s="18" t="s">
        <v>44498</v>
      </c>
      <c r="R10031" s="6"/>
      <c r="S10031" s="6"/>
      <c r="T10031" s="6"/>
      <c r="U10031" s="6"/>
      <c r="V10031" s="6"/>
      <c r="W10031" s="6"/>
      <c r="X10031" s="6"/>
      <c r="Y10031" s="6"/>
    </row>
    <row r="10032" ht="14.25">
      <c r="B10032" s="8" t="s">
        <v>44499</v>
      </c>
      <c r="C10032" s="8" t="s">
        <v>44500</v>
      </c>
      <c r="D10032" s="8" t="s">
        <v>7759</v>
      </c>
      <c r="E10032" s="8" t="s">
        <v>44501</v>
      </c>
      <c r="F10032" s="8" t="str">
        <f>IFERROR(__XLUDF.DUMMYFUNCTION("PROPER(REGEXREPLACE(D417,""[^A-Za-z]+ "",""""))"),"Cca Rhone Alpes")</f>
        <v xml:space="preserve">Cca Rhone Alpes</v>
      </c>
      <c r="G10032" s="8" t="s">
        <v>44502</v>
      </c>
      <c r="H10032" s="9">
        <v>1</v>
      </c>
      <c r="I10032" s="8" t="s">
        <v>39661</v>
      </c>
      <c r="J10032" s="8" t="str">
        <f>IFERROR(__XLUDF.DUMMYFUNCTION("VLOOKUP(H417,IMPORTRANGE(""https://docs.google.com/spreadsheets/d/1opm6ZNvGZ7KditA9TuJwrZ25eFLfTNIkrNnY6mhV5Eg"",""list!A1:C115""),3,TRUE)"),"le secteur des assurances")</f>
        <v xml:space="preserve">le secteur des assurances</v>
      </c>
      <c r="K10032" s="10" t="s">
        <v>44503</v>
      </c>
      <c r="L10032" s="10" t="s">
        <v>44504</v>
      </c>
      <c r="M10032" s="8" t="s">
        <v>185</v>
      </c>
      <c r="N10032" s="8" t="s">
        <v>29</v>
      </c>
      <c r="O10032" s="8" t="s">
        <v>9193</v>
      </c>
      <c r="P10032" s="8"/>
      <c r="Q10032" s="8" t="s">
        <v>44505</v>
      </c>
      <c r="R10032" s="8"/>
      <c r="S10032" s="8"/>
      <c r="T10032" s="8"/>
      <c r="U10032" s="8"/>
      <c r="V10032" s="8"/>
      <c r="W10032" s="8"/>
      <c r="X10032" s="8"/>
      <c r="Y10032" s="8"/>
    </row>
    <row r="10033" ht="14.25">
      <c r="B10033" s="8" t="s">
        <v>1605</v>
      </c>
      <c r="C10033" s="8" t="s">
        <v>44506</v>
      </c>
      <c r="D10033" s="8" t="s">
        <v>172</v>
      </c>
      <c r="E10033" s="8" t="s">
        <v>44507</v>
      </c>
      <c r="F10033" s="8" t="str">
        <f>IFERROR(__XLUDF.DUMMYFUNCTION("PROPER(REGEXREPLACE(D418,""[^A-Za-z]+ "",""""))"),"Vitalys Assurances")</f>
        <v xml:space="preserve">Vitalys Assurances</v>
      </c>
      <c r="G10033" s="8" t="s">
        <v>44508</v>
      </c>
      <c r="H10033" s="9">
        <v>2</v>
      </c>
      <c r="I10033" s="8" t="s">
        <v>39661</v>
      </c>
      <c r="J10033" s="8" t="str">
        <f>IFERROR(__XLUDF.DUMMYFUNCTION("VLOOKUP(H418,IMPORTRANGE(""https://docs.google.com/spreadsheets/d/1opm6ZNvGZ7KditA9TuJwrZ25eFLfTNIkrNnY6mhV5Eg"",""list!A1:C115""),3,TRUE)"),"le secteur des assurances")</f>
        <v xml:space="preserve">le secteur des assurances</v>
      </c>
      <c r="K10033" s="10" t="s">
        <v>44509</v>
      </c>
      <c r="L10033" s="10" t="s">
        <v>44510</v>
      </c>
      <c r="M10033" s="8" t="s">
        <v>17570</v>
      </c>
      <c r="N10033" s="8" t="s">
        <v>29</v>
      </c>
      <c r="O10033" s="8" t="s">
        <v>9160</v>
      </c>
      <c r="P10033" s="8"/>
      <c r="Q10033" s="8"/>
      <c r="R10033" s="8"/>
      <c r="S10033" s="8"/>
      <c r="T10033" s="8"/>
      <c r="U10033" s="8"/>
      <c r="V10033" s="8"/>
      <c r="W10033" s="8"/>
      <c r="X10033" s="8"/>
      <c r="Y10033" s="8"/>
    </row>
    <row r="10034" ht="14.25">
      <c r="B10034" s="8" t="s">
        <v>170</v>
      </c>
      <c r="C10034" s="8" t="s">
        <v>44511</v>
      </c>
      <c r="D10034" s="8" t="s">
        <v>9849</v>
      </c>
      <c r="E10034" s="8" t="s">
        <v>43185</v>
      </c>
      <c r="F10034" s="8" t="str">
        <f>IFERROR(__XLUDF.DUMMYFUNCTION("PROPER(REGEXREPLACE(D419,""[^A-Za-z]+ "",""""))"),"Akor2Prêt")</f>
        <v>Akor2Prêt</v>
      </c>
      <c r="G10034" s="8" t="s">
        <v>44512</v>
      </c>
      <c r="H10034" s="9">
        <v>18</v>
      </c>
      <c r="I10034" s="8" t="s">
        <v>2629</v>
      </c>
      <c r="J10034" s="8" t="str">
        <f>IFERROR(__XLUDF.DUMMYFUNCTION("VLOOKUP(H419,IMPORTRANGE(""https://docs.google.com/spreadsheets/d/1opm6ZNvGZ7KditA9TuJwrZ25eFLfTNIkrNnY6mhV5Eg"",""list!A1:C115""),3,TRUE)"),"le secteur des services financiers")</f>
        <v xml:space="preserve">le secteur des services financiers</v>
      </c>
      <c r="K10034" s="10" t="s">
        <v>44513</v>
      </c>
      <c r="L10034" s="10" t="s">
        <v>43188</v>
      </c>
      <c r="M10034" s="8" t="s">
        <v>44514</v>
      </c>
      <c r="N10034" s="8" t="s">
        <v>29</v>
      </c>
      <c r="O10034" s="8" t="s">
        <v>9281</v>
      </c>
      <c r="P10034" s="8"/>
      <c r="Q10034" s="8" t="s">
        <v>43189</v>
      </c>
      <c r="R10034" s="8"/>
      <c r="S10034" s="8"/>
      <c r="T10034" s="8"/>
      <c r="U10034" s="8"/>
      <c r="V10034" s="8"/>
      <c r="W10034" s="8"/>
      <c r="X10034" s="8"/>
      <c r="Y10034" s="8"/>
    </row>
    <row r="10035" ht="14.25">
      <c r="B10035" s="8" t="s">
        <v>41184</v>
      </c>
      <c r="C10035" s="8" t="s">
        <v>44515</v>
      </c>
      <c r="D10035" s="8" t="s">
        <v>44516</v>
      </c>
      <c r="E10035" s="8" t="s">
        <v>44517</v>
      </c>
      <c r="F10035" s="8" t="str">
        <f>IFERROR(__XLUDF.DUMMYFUNCTION("PROPER(REGEXREPLACE(D420,""[^A-Za-z]+ "",""""))"),"Leboncourtier")</f>
        <v>Leboncourtier</v>
      </c>
      <c r="G10035" s="8" t="s">
        <v>44518</v>
      </c>
      <c r="H10035" s="9">
        <v>4</v>
      </c>
      <c r="I10035" s="8" t="s">
        <v>39661</v>
      </c>
      <c r="J10035" s="8" t="str">
        <f>IFERROR(__XLUDF.DUMMYFUNCTION("VLOOKUP(H420,IMPORTRANGE(""https://docs.google.com/spreadsheets/d/1opm6ZNvGZ7KditA9TuJwrZ25eFLfTNIkrNnY6mhV5Eg"",""list!A1:C115""),3,TRUE)"),"le secteur des assurances")</f>
        <v xml:space="preserve">le secteur des assurances</v>
      </c>
      <c r="K10035" s="10" t="s">
        <v>44519</v>
      </c>
      <c r="L10035" s="10" t="s">
        <v>44520</v>
      </c>
      <c r="M10035" s="8" t="s">
        <v>83</v>
      </c>
      <c r="N10035" s="8" t="s">
        <v>29</v>
      </c>
      <c r="O10035" s="8" t="s">
        <v>9460</v>
      </c>
      <c r="P10035" s="8"/>
      <c r="Q10035" s="8" t="s">
        <v>44521</v>
      </c>
      <c r="R10035" s="8"/>
      <c r="S10035" s="8"/>
      <c r="T10035" s="8"/>
      <c r="U10035" s="8"/>
      <c r="V10035" s="8"/>
      <c r="W10035" s="8"/>
      <c r="X10035" s="8"/>
      <c r="Y10035" s="8"/>
    </row>
    <row r="10036" ht="14.25">
      <c r="B10036" s="18" t="s">
        <v>44522</v>
      </c>
      <c r="C10036" s="18" t="s">
        <v>44523</v>
      </c>
      <c r="D10036" s="18" t="s">
        <v>62</v>
      </c>
      <c r="E10036" s="18" t="s">
        <v>41424</v>
      </c>
      <c r="F10036" s="8" t="str">
        <f>IFERROR(__XLUDF.DUMMYFUNCTION("PROPER(REGEXREPLACE(D421,""[^A-Za-z]+ "",""""))"),"Klaimy")</f>
        <v>Klaimy</v>
      </c>
      <c r="G10036" s="18" t="s">
        <v>44524</v>
      </c>
      <c r="H10036" s="18">
        <v>3</v>
      </c>
      <c r="I10036" s="18" t="s">
        <v>39661</v>
      </c>
      <c r="J10036" s="8" t="str">
        <f>IFERROR(__XLUDF.DUMMYFUNCTION("VLOOKUP(H421,IMPORTRANGE(""https://docs.google.com/spreadsheets/d/1opm6ZNvGZ7KditA9TuJwrZ25eFLfTNIkrNnY6mhV5Eg"",""list!A1:C115""),3,TRUE)"),"le secteur des assurances")</f>
        <v xml:space="preserve">le secteur des assurances</v>
      </c>
      <c r="K10036" s="5" t="s">
        <v>44525</v>
      </c>
      <c r="L10036" s="5" t="s">
        <v>41427</v>
      </c>
      <c r="M10036" s="18" t="s">
        <v>39</v>
      </c>
      <c r="N10036" s="18" t="s">
        <v>29</v>
      </c>
      <c r="O10036" s="18" t="s">
        <v>41428</v>
      </c>
      <c r="P10036" s="18" t="s">
        <v>29</v>
      </c>
      <c r="Q10036" s="18" t="s">
        <v>41429</v>
      </c>
      <c r="R10036" s="6"/>
      <c r="S10036" s="6"/>
      <c r="T10036" s="6"/>
      <c r="U10036" s="6"/>
      <c r="V10036" s="6"/>
      <c r="W10036" s="6"/>
      <c r="X10036" s="6"/>
      <c r="Y10036" s="6"/>
    </row>
    <row r="10037" ht="14.25">
      <c r="B10037" s="18" t="s">
        <v>4500</v>
      </c>
      <c r="C10037" s="18" t="s">
        <v>10222</v>
      </c>
      <c r="D10037" s="18" t="s">
        <v>5500</v>
      </c>
      <c r="E10037" s="18" t="s">
        <v>43116</v>
      </c>
      <c r="F10037" s="8" t="str">
        <f>IFERROR(__XLUDF.DUMMYFUNCTION("PROPER(REGEXREPLACE(D422,""[^A-Za-z]+ "",""""))"),"Heyme")</f>
        <v>Heyme</v>
      </c>
      <c r="G10037" s="18" t="s">
        <v>44526</v>
      </c>
      <c r="H10037" s="18">
        <v>61</v>
      </c>
      <c r="I10037" s="18" t="s">
        <v>39661</v>
      </c>
      <c r="J10037" s="8" t="str">
        <f>IFERROR(__XLUDF.DUMMYFUNCTION("VLOOKUP(H422,IMPORTRANGE(""https://docs.google.com/spreadsheets/d/1opm6ZNvGZ7KditA9TuJwrZ25eFLfTNIkrNnY6mhV5Eg"",""list!A1:C115""),3,TRUE)"),"le secteur des assurances")</f>
        <v xml:space="preserve">le secteur des assurances</v>
      </c>
      <c r="K10037" s="5" t="s">
        <v>44527</v>
      </c>
      <c r="L10037" s="5" t="s">
        <v>43119</v>
      </c>
      <c r="M10037" s="18" t="s">
        <v>39</v>
      </c>
      <c r="N10037" s="18" t="s">
        <v>29</v>
      </c>
      <c r="O10037" s="18" t="s">
        <v>43120</v>
      </c>
      <c r="P10037" s="18" t="s">
        <v>29</v>
      </c>
      <c r="Q10037" s="6"/>
      <c r="R10037" s="6"/>
      <c r="S10037" s="6"/>
      <c r="T10037" s="6"/>
      <c r="U10037" s="6"/>
      <c r="V10037" s="6"/>
      <c r="W10037" s="6"/>
      <c r="X10037" s="6"/>
      <c r="Y10037" s="6"/>
    </row>
    <row r="10038" ht="14.25">
      <c r="B10038" s="8" t="s">
        <v>7525</v>
      </c>
      <c r="C10038" s="8" t="s">
        <v>13662</v>
      </c>
      <c r="D10038" s="8" t="s">
        <v>341</v>
      </c>
      <c r="E10038" s="8" t="s">
        <v>44528</v>
      </c>
      <c r="F10038" s="8" t="str">
        <f>IFERROR(__XLUDF.DUMMYFUNCTION("PROPER(REGEXREPLACE(D423,""[^A-Za-z]+ "",""""))"),"Cassurances")</f>
        <v>Cassurances</v>
      </c>
      <c r="G10038" s="8" t="s">
        <v>44529</v>
      </c>
      <c r="H10038" s="9">
        <v>1</v>
      </c>
      <c r="I10038" s="8" t="s">
        <v>39661</v>
      </c>
      <c r="J10038" s="8" t="str">
        <f>IFERROR(__XLUDF.DUMMYFUNCTION("VLOOKUP(H423,IMPORTRANGE(""https://docs.google.com/spreadsheets/d/1opm6ZNvGZ7KditA9TuJwrZ25eFLfTNIkrNnY6mhV5Eg"",""list!A1:C115""),3,TRUE)"),"le secteur des assurances")</f>
        <v xml:space="preserve">le secteur des assurances</v>
      </c>
      <c r="K10038" s="10" t="s">
        <v>44530</v>
      </c>
      <c r="L10038" s="10" t="s">
        <v>44531</v>
      </c>
      <c r="M10038" s="8" t="s">
        <v>39</v>
      </c>
      <c r="N10038" s="8" t="s">
        <v>29</v>
      </c>
      <c r="O10038" s="8" t="s">
        <v>9160</v>
      </c>
      <c r="P10038" s="8"/>
      <c r="Q10038" s="8"/>
      <c r="R10038" s="8"/>
      <c r="S10038" s="8"/>
      <c r="T10038" s="8"/>
      <c r="U10038" s="8"/>
      <c r="V10038" s="8"/>
      <c r="W10038" s="8"/>
      <c r="X10038" s="8"/>
      <c r="Y10038" s="8"/>
    </row>
    <row r="10039" ht="14.25">
      <c r="B10039" s="18" t="s">
        <v>1562</v>
      </c>
      <c r="C10039" s="18" t="s">
        <v>44532</v>
      </c>
      <c r="D10039" s="18" t="s">
        <v>172</v>
      </c>
      <c r="E10039" s="18" t="s">
        <v>44533</v>
      </c>
      <c r="F10039" s="8" t="str">
        <f>IFERROR(__XLUDF.DUMMYFUNCTION("PROPER(REGEXREPLACE(D424,""[^A-Za-z]+ "",""""))"),"Energie Mutuelle")</f>
        <v xml:space="preserve">Energie Mutuelle</v>
      </c>
      <c r="G10039" s="18" t="s">
        <v>44534</v>
      </c>
      <c r="H10039" s="18">
        <v>56</v>
      </c>
      <c r="I10039" s="18" t="s">
        <v>39661</v>
      </c>
      <c r="J10039" s="8" t="str">
        <f>IFERROR(__XLUDF.DUMMYFUNCTION("VLOOKUP(H424,IMPORTRANGE(""https://docs.google.com/spreadsheets/d/1opm6ZNvGZ7KditA9TuJwrZ25eFLfTNIkrNnY6mhV5Eg"",""list!A1:C115""),3,TRUE)"),"le secteur des assurances")</f>
        <v xml:space="preserve">le secteur des assurances</v>
      </c>
      <c r="K10039" s="5" t="s">
        <v>44535</v>
      </c>
      <c r="L10039" s="5" t="s">
        <v>44536</v>
      </c>
      <c r="M10039" s="6"/>
      <c r="N10039" s="18" t="s">
        <v>29</v>
      </c>
      <c r="O10039" s="18" t="s">
        <v>44537</v>
      </c>
      <c r="P10039" s="18" t="s">
        <v>29</v>
      </c>
      <c r="Q10039" s="18" t="s">
        <v>44538</v>
      </c>
      <c r="R10039" s="6"/>
      <c r="S10039" s="6"/>
      <c r="T10039" s="6"/>
      <c r="U10039" s="6"/>
      <c r="V10039" s="6"/>
      <c r="W10039" s="6"/>
      <c r="X10039" s="6"/>
      <c r="Y10039" s="6"/>
    </row>
    <row r="10040" ht="14.25">
      <c r="B10040" s="8" t="s">
        <v>630</v>
      </c>
      <c r="C10040" s="8" t="s">
        <v>44539</v>
      </c>
      <c r="D10040" s="8" t="s">
        <v>9849</v>
      </c>
      <c r="E10040" s="8" t="s">
        <v>44540</v>
      </c>
      <c r="F10040" s="8" t="str">
        <f>IFERROR(__XLUDF.DUMMYFUNCTION("PROPER(REGEXREPLACE(D425,""[^A-Za-z]+ "",""""))"),"Ôrizon Courtage")</f>
        <v xml:space="preserve">Ôrizon Courtage</v>
      </c>
      <c r="G10040" s="8" t="s">
        <v>44541</v>
      </c>
      <c r="H10040" s="9">
        <v>4</v>
      </c>
      <c r="I10040" s="8" t="s">
        <v>39661</v>
      </c>
      <c r="J10040" s="8" t="str">
        <f>IFERROR(__XLUDF.DUMMYFUNCTION("VLOOKUP(H425,IMPORTRANGE(""https://docs.google.com/spreadsheets/d/1opm6ZNvGZ7KditA9TuJwrZ25eFLfTNIkrNnY6mhV5Eg"",""list!A1:C115""),3,TRUE)"),"le secteur des assurances")</f>
        <v xml:space="preserve">le secteur des assurances</v>
      </c>
      <c r="K10040" s="10" t="s">
        <v>44542</v>
      </c>
      <c r="L10040" s="10" t="s">
        <v>44543</v>
      </c>
      <c r="M10040" s="8" t="s">
        <v>83</v>
      </c>
      <c r="N10040" s="8" t="s">
        <v>29</v>
      </c>
      <c r="O10040" s="8" t="s">
        <v>9460</v>
      </c>
      <c r="P10040" s="8"/>
      <c r="Q10040" s="8" t="s">
        <v>44544</v>
      </c>
      <c r="R10040" s="8"/>
      <c r="S10040" s="8"/>
      <c r="T10040" s="8"/>
      <c r="U10040" s="8"/>
      <c r="V10040" s="8"/>
      <c r="W10040" s="8"/>
      <c r="X10040" s="8"/>
      <c r="Y10040" s="8"/>
    </row>
    <row r="10041" ht="14.25">
      <c r="B10041" s="18" t="s">
        <v>170</v>
      </c>
      <c r="C10041" s="18" t="s">
        <v>44545</v>
      </c>
      <c r="D10041" s="18" t="s">
        <v>44</v>
      </c>
      <c r="E10041" s="18" t="s">
        <v>44546</v>
      </c>
      <c r="F10041" s="8" t="str">
        <f>IFERROR(__XLUDF.DUMMYFUNCTION("PROPER(REGEXREPLACE(D426,""[^A-Za-z]+ "",""""))"),"Asekur")</f>
        <v>Asekur</v>
      </c>
      <c r="G10041" s="18" t="s">
        <v>44547</v>
      </c>
      <c r="H10041" s="18">
        <v>3</v>
      </c>
      <c r="I10041" s="18" t="s">
        <v>39661</v>
      </c>
      <c r="J10041" s="8" t="str">
        <f>IFERROR(__XLUDF.DUMMYFUNCTION("VLOOKUP(H426,IMPORTRANGE(""https://docs.google.com/spreadsheets/d/1opm6ZNvGZ7KditA9TuJwrZ25eFLfTNIkrNnY6mhV5Eg"",""list!A1:C115""),3,TRUE)"),"le secteur des assurances")</f>
        <v xml:space="preserve">le secteur des assurances</v>
      </c>
      <c r="K10041" s="5" t="s">
        <v>44548</v>
      </c>
      <c r="L10041" s="5" t="s">
        <v>44549</v>
      </c>
      <c r="M10041" s="18" t="s">
        <v>39</v>
      </c>
      <c r="N10041" s="18" t="s">
        <v>29</v>
      </c>
      <c r="O10041" s="18" t="s">
        <v>1158</v>
      </c>
      <c r="P10041" s="18" t="s">
        <v>29</v>
      </c>
      <c r="Q10041" s="18" t="s">
        <v>44550</v>
      </c>
      <c r="R10041" s="6"/>
      <c r="S10041" s="6"/>
      <c r="T10041" s="6"/>
      <c r="U10041" s="6"/>
      <c r="V10041" s="6"/>
      <c r="W10041" s="6"/>
      <c r="X10041" s="6"/>
      <c r="Y10041" s="6"/>
    </row>
    <row r="10042" ht="14.25">
      <c r="B10042" s="8" t="s">
        <v>5671</v>
      </c>
      <c r="C10042" s="8" t="s">
        <v>31313</v>
      </c>
      <c r="D10042" s="8" t="s">
        <v>9582</v>
      </c>
      <c r="E10042" s="8" t="s">
        <v>44551</v>
      </c>
      <c r="F10042" s="8" t="str">
        <f>IFERROR(__XLUDF.DUMMYFUNCTION("PROPER(REGEXREPLACE(D427,""[^A-Za-z]+ "",""""))"),"Cyberassure")</f>
        <v>Cyberassure</v>
      </c>
      <c r="G10042" s="8" t="s">
        <v>44552</v>
      </c>
      <c r="H10042" s="9">
        <v>1</v>
      </c>
      <c r="I10042" s="8" t="s">
        <v>39661</v>
      </c>
      <c r="J10042" s="8" t="str">
        <f>IFERROR(__XLUDF.DUMMYFUNCTION("VLOOKUP(H427,IMPORTRANGE(""https://docs.google.com/spreadsheets/d/1opm6ZNvGZ7KditA9TuJwrZ25eFLfTNIkrNnY6mhV5Eg"",""list!A1:C115""),3,TRUE)"),"le secteur des assurances")</f>
        <v xml:space="preserve">le secteur des assurances</v>
      </c>
      <c r="K10042" s="10" t="s">
        <v>44553</v>
      </c>
      <c r="L10042" s="10" t="s">
        <v>44554</v>
      </c>
      <c r="M10042" s="8" t="s">
        <v>4767</v>
      </c>
      <c r="N10042" s="8" t="s">
        <v>29</v>
      </c>
      <c r="O10042" s="8" t="s">
        <v>9160</v>
      </c>
      <c r="P10042" s="8"/>
      <c r="Q10042" s="8"/>
      <c r="R10042" s="8"/>
      <c r="S10042" s="8"/>
      <c r="T10042" s="8"/>
      <c r="U10042" s="8"/>
      <c r="V10042" s="8"/>
      <c r="W10042" s="8"/>
      <c r="X10042" s="8"/>
      <c r="Y10042" s="8"/>
    </row>
    <row r="10043" ht="14.25">
      <c r="B10043" s="8" t="s">
        <v>525</v>
      </c>
      <c r="C10043" s="8" t="s">
        <v>44555</v>
      </c>
      <c r="D10043" s="8" t="s">
        <v>487</v>
      </c>
      <c r="E10043" s="8" t="s">
        <v>44556</v>
      </c>
      <c r="F10043" s="8" t="str">
        <f>IFERROR(__XLUDF.DUMMYFUNCTION("PROPER(REGEXREPLACE(D428,""[^A-Za-z]+ "",""""))"),"Arteo Courtage")</f>
        <v xml:space="preserve">Arteo Courtage</v>
      </c>
      <c r="G10043" s="8" t="s">
        <v>44557</v>
      </c>
      <c r="H10043" s="8"/>
      <c r="I10043" s="8"/>
      <c r="J10043" s="8" t="s">
        <v>42267</v>
      </c>
      <c r="K10043" s="10" t="s">
        <v>44558</v>
      </c>
      <c r="L10043" s="10" t="s">
        <v>44559</v>
      </c>
      <c r="M10043" s="8" t="s">
        <v>39</v>
      </c>
      <c r="N10043" s="8" t="s">
        <v>29</v>
      </c>
      <c r="O10043" s="8" t="s">
        <v>9160</v>
      </c>
      <c r="P10043" s="8"/>
      <c r="Q10043" s="8"/>
      <c r="R10043" s="8"/>
      <c r="S10043" s="8"/>
      <c r="T10043" s="8"/>
      <c r="U10043" s="8"/>
      <c r="V10043" s="8"/>
      <c r="W10043" s="8"/>
      <c r="X10043" s="8"/>
      <c r="Y10043" s="8"/>
    </row>
    <row r="10044" ht="14.25">
      <c r="B10044" s="18" t="s">
        <v>4003</v>
      </c>
      <c r="C10044" s="18" t="s">
        <v>25165</v>
      </c>
      <c r="D10044" s="18" t="s">
        <v>164</v>
      </c>
      <c r="E10044" s="18" t="s">
        <v>44560</v>
      </c>
      <c r="F10044" s="8" t="str">
        <f>IFERROR(__XLUDF.DUMMYFUNCTION("PROPER(REGEXREPLACE(D429,""[^A-Za-z]+ "",""""))"),"Acommeassure")</f>
        <v>Acommeassure</v>
      </c>
      <c r="G10044" s="18" t="s">
        <v>44561</v>
      </c>
      <c r="H10044" s="18">
        <v>73</v>
      </c>
      <c r="I10044" s="18" t="s">
        <v>39661</v>
      </c>
      <c r="J10044" s="8" t="str">
        <f>IFERROR(__XLUDF.DUMMYFUNCTION("VLOOKUP(H429,IMPORTRANGE(""https://docs.google.com/spreadsheets/d/1opm6ZNvGZ7KditA9TuJwrZ25eFLfTNIkrNnY6mhV5Eg"",""list!A1:C115""),3,TRUE)"),"le secteur des assurances")</f>
        <v xml:space="preserve">le secteur des assurances</v>
      </c>
      <c r="K10044" s="5" t="s">
        <v>44562</v>
      </c>
      <c r="L10044" s="5" t="s">
        <v>44563</v>
      </c>
      <c r="M10044" s="6"/>
      <c r="N10044" s="18" t="s">
        <v>29</v>
      </c>
      <c r="O10044" s="18" t="s">
        <v>44564</v>
      </c>
      <c r="P10044" s="18" t="s">
        <v>29</v>
      </c>
      <c r="Q10044" s="18" t="s">
        <v>44565</v>
      </c>
      <c r="R10044" s="6"/>
      <c r="S10044" s="6"/>
      <c r="T10044" s="6"/>
      <c r="U10044" s="6"/>
      <c r="V10044" s="6"/>
      <c r="W10044" s="6"/>
      <c r="X10044" s="6"/>
      <c r="Y10044" s="6"/>
    </row>
    <row r="10045" ht="14.25">
      <c r="B10045" s="8" t="s">
        <v>1948</v>
      </c>
      <c r="C10045" s="8" t="s">
        <v>44566</v>
      </c>
      <c r="D10045" s="8" t="s">
        <v>44567</v>
      </c>
      <c r="E10045" s="8" t="s">
        <v>44568</v>
      </c>
      <c r="F10045" s="8" t="str">
        <f>IFERROR(__XLUDF.DUMMYFUNCTION("PROPER(REGEXREPLACE(D430,""[^A-Za-z]+ "",""""))"),"Carlac Léoncel Assurances")</f>
        <v xml:space="preserve">Carlac Léoncel Assurances</v>
      </c>
      <c r="G10045" s="8" t="s">
        <v>44569</v>
      </c>
      <c r="H10045" s="9">
        <v>8</v>
      </c>
      <c r="I10045" s="8" t="s">
        <v>39661</v>
      </c>
      <c r="J10045" s="8" t="str">
        <f>IFERROR(__XLUDF.DUMMYFUNCTION("VLOOKUP(H430,IMPORTRANGE(""https://docs.google.com/spreadsheets/d/1opm6ZNvGZ7KditA9TuJwrZ25eFLfTNIkrNnY6mhV5Eg"",""list!A1:C115""),3,TRUE)"),"le secteur des assurances")</f>
        <v xml:space="preserve">le secteur des assurances</v>
      </c>
      <c r="K10045" s="10" t="s">
        <v>44570</v>
      </c>
      <c r="L10045" s="10" t="s">
        <v>44571</v>
      </c>
      <c r="M10045" s="8" t="s">
        <v>295</v>
      </c>
      <c r="N10045" s="8" t="s">
        <v>29</v>
      </c>
      <c r="O10045" s="8" t="s">
        <v>9251</v>
      </c>
      <c r="P10045" s="8"/>
      <c r="Q10045" s="8"/>
      <c r="R10045" s="8"/>
      <c r="S10045" s="8"/>
      <c r="T10045" s="8"/>
      <c r="U10045" s="8"/>
      <c r="V10045" s="8"/>
      <c r="W10045" s="8"/>
      <c r="X10045" s="8"/>
      <c r="Y10045" s="8"/>
    </row>
    <row r="10046" ht="14.25">
      <c r="B10046" s="8" t="s">
        <v>3744</v>
      </c>
      <c r="C10046" s="8" t="s">
        <v>44572</v>
      </c>
      <c r="D10046" s="8" t="s">
        <v>164</v>
      </c>
      <c r="E10046" s="8" t="s">
        <v>44573</v>
      </c>
      <c r="F10046" s="8" t="str">
        <f>IFERROR(__XLUDF.DUMMYFUNCTION("PROPER(REGEXREPLACE(D431,""[^A-Za-z]+ "",""""))"),"Groupe Des Assurances Mutuelles De L'Est")</f>
        <v xml:space="preserve">Groupe Des Assurances Mutuelles De L'Est</v>
      </c>
      <c r="G10046" s="8" t="s">
        <v>44574</v>
      </c>
      <c r="H10046" s="9">
        <v>24</v>
      </c>
      <c r="I10046" s="8" t="s">
        <v>39661</v>
      </c>
      <c r="J10046" s="8" t="str">
        <f>IFERROR(__XLUDF.DUMMYFUNCTION("VLOOKUP(H431,IMPORTRANGE(""https://docs.google.com/spreadsheets/d/1opm6ZNvGZ7KditA9TuJwrZ25eFLfTNIkrNnY6mhV5Eg"",""list!A1:C115""),3,TRUE)"),"le secteur des assurances")</f>
        <v xml:space="preserve">le secteur des assurances</v>
      </c>
      <c r="K10046" s="10" t="s">
        <v>44575</v>
      </c>
      <c r="L10046" s="8"/>
      <c r="M10046" s="8" t="s">
        <v>44576</v>
      </c>
      <c r="N10046" s="8" t="s">
        <v>29</v>
      </c>
      <c r="O10046" s="8" t="s">
        <v>9215</v>
      </c>
      <c r="P10046" s="8"/>
      <c r="Q10046" s="8" t="s">
        <v>44577</v>
      </c>
      <c r="R10046" s="8"/>
      <c r="S10046" s="8"/>
      <c r="T10046" s="8"/>
      <c r="U10046" s="8"/>
      <c r="V10046" s="8"/>
      <c r="W10046" s="8"/>
      <c r="X10046" s="8"/>
      <c r="Y10046" s="8"/>
    </row>
    <row r="10047" ht="14.25">
      <c r="B10047" s="8" t="s">
        <v>76</v>
      </c>
      <c r="C10047" s="8" t="s">
        <v>44578</v>
      </c>
      <c r="D10047" s="8" t="s">
        <v>172</v>
      </c>
      <c r="E10047" s="8" t="s">
        <v>44579</v>
      </c>
      <c r="F10047" s="8" t="str">
        <f>IFERROR(__XLUDF.DUMMYFUNCTION("PROPER(REGEXREPLACE(D432,""[^A-Za-z]+ "",""""))"),"Appc")</f>
        <v>Appc</v>
      </c>
      <c r="G10047" s="8" t="s">
        <v>44580</v>
      </c>
      <c r="H10047" s="8"/>
      <c r="I10047" s="8"/>
      <c r="J10047" s="8" t="s">
        <v>42267</v>
      </c>
      <c r="K10047" s="10" t="s">
        <v>44581</v>
      </c>
      <c r="L10047" s="10" t="s">
        <v>44582</v>
      </c>
      <c r="M10047" s="8" t="s">
        <v>39</v>
      </c>
      <c r="N10047" s="8" t="s">
        <v>29</v>
      </c>
      <c r="O10047" s="8" t="s">
        <v>9160</v>
      </c>
      <c r="P10047" s="8"/>
      <c r="Q10047" s="8"/>
      <c r="R10047" s="8"/>
      <c r="S10047" s="8"/>
      <c r="T10047" s="8"/>
      <c r="U10047" s="8"/>
      <c r="V10047" s="8"/>
      <c r="W10047" s="8"/>
      <c r="X10047" s="8"/>
      <c r="Y10047" s="8"/>
    </row>
    <row r="10048" ht="14.25">
      <c r="B10048" s="8" t="s">
        <v>44583</v>
      </c>
      <c r="C10048" s="8" t="s">
        <v>44584</v>
      </c>
      <c r="D10048" s="8" t="s">
        <v>7759</v>
      </c>
      <c r="E10048" s="8" t="s">
        <v>44585</v>
      </c>
      <c r="F10048" s="8" t="str">
        <f>IFERROR(__XLUDF.DUMMYFUNCTION("PROPER(REGEXREPLACE(D433,""[^A-Za-z]+ "",""""))"),"Assuris")</f>
        <v>Assuris</v>
      </c>
      <c r="G10048" s="8" t="s">
        <v>44586</v>
      </c>
      <c r="H10048" s="9">
        <v>2</v>
      </c>
      <c r="I10048" s="8" t="s">
        <v>39661</v>
      </c>
      <c r="J10048" s="8" t="str">
        <f>IFERROR(__XLUDF.DUMMYFUNCTION("VLOOKUP(H433,IMPORTRANGE(""https://docs.google.com/spreadsheets/d/1opm6ZNvGZ7KditA9TuJwrZ25eFLfTNIkrNnY6mhV5Eg"",""list!A1:C115""),3,TRUE)"),"le secteur des assurances")</f>
        <v xml:space="preserve">le secteur des assurances</v>
      </c>
      <c r="K10048" s="10" t="s">
        <v>44587</v>
      </c>
      <c r="L10048" s="10" t="s">
        <v>44588</v>
      </c>
      <c r="M10048" s="8" t="s">
        <v>185</v>
      </c>
      <c r="N10048" s="8" t="s">
        <v>29</v>
      </c>
      <c r="O10048" s="8" t="s">
        <v>9193</v>
      </c>
      <c r="P10048" s="8"/>
      <c r="Q10048" s="8" t="s">
        <v>44589</v>
      </c>
      <c r="R10048" s="8"/>
      <c r="S10048" s="8"/>
      <c r="T10048" s="8"/>
      <c r="U10048" s="8"/>
      <c r="V10048" s="8"/>
      <c r="W10048" s="8"/>
      <c r="X10048" s="8"/>
      <c r="Y10048" s="8"/>
    </row>
    <row r="10049" ht="14.25">
      <c r="B10049" s="8" t="s">
        <v>661</v>
      </c>
      <c r="C10049" s="8" t="s">
        <v>44590</v>
      </c>
      <c r="D10049" s="8" t="s">
        <v>44591</v>
      </c>
      <c r="E10049" s="8" t="s">
        <v>44592</v>
      </c>
      <c r="F10049" s="8" t="str">
        <f>IFERROR(__XLUDF.DUMMYFUNCTION("PROPER(REGEXREPLACE(D434,""[^A-Za-z]+ "",""""))"),"Courtierencrédits")</f>
        <v>Courtierencrédits</v>
      </c>
      <c r="G10049" s="8" t="s">
        <v>44593</v>
      </c>
      <c r="H10049" s="9">
        <v>8</v>
      </c>
      <c r="I10049" s="8" t="s">
        <v>39661</v>
      </c>
      <c r="J10049" s="8" t="str">
        <f>IFERROR(__XLUDF.DUMMYFUNCTION("VLOOKUP(H434,IMPORTRANGE(""https://docs.google.com/spreadsheets/d/1opm6ZNvGZ7KditA9TuJwrZ25eFLfTNIkrNnY6mhV5Eg"",""list!A1:C115""),3,TRUE)"),"le secteur des assurances")</f>
        <v xml:space="preserve">le secteur des assurances</v>
      </c>
      <c r="K10049" s="10" t="s">
        <v>44594</v>
      </c>
      <c r="L10049" s="10" t="s">
        <v>44595</v>
      </c>
      <c r="M10049" s="8" t="s">
        <v>15858</v>
      </c>
      <c r="N10049" s="8" t="s">
        <v>29</v>
      </c>
      <c r="O10049" s="8" t="s">
        <v>9215</v>
      </c>
      <c r="P10049" s="8"/>
      <c r="Q10049" s="8"/>
      <c r="R10049" s="8"/>
      <c r="S10049" s="8"/>
      <c r="T10049" s="8"/>
      <c r="U10049" s="8"/>
      <c r="V10049" s="8"/>
      <c r="W10049" s="8"/>
      <c r="X10049" s="8"/>
      <c r="Y10049" s="8"/>
    </row>
    <row r="10050" ht="14.25">
      <c r="B10050" s="8" t="s">
        <v>4012</v>
      </c>
      <c r="C10050" s="8" t="s">
        <v>11018</v>
      </c>
      <c r="D10050" s="8" t="s">
        <v>112</v>
      </c>
      <c r="E10050" s="8" t="s">
        <v>44596</v>
      </c>
      <c r="F10050" s="8" t="str">
        <f>IFERROR(__XLUDF.DUMMYFUNCTION("PROPER(REGEXREPLACE(D435,""[^A-Za-z]+ "",""""))"),"Montsegur Assurances")</f>
        <v xml:space="preserve">Montsegur Assurances</v>
      </c>
      <c r="G10050" s="8" t="s">
        <v>44597</v>
      </c>
      <c r="H10050" s="9">
        <v>4</v>
      </c>
      <c r="I10050" s="8" t="s">
        <v>39661</v>
      </c>
      <c r="J10050" s="8" t="str">
        <f>IFERROR(__XLUDF.DUMMYFUNCTION("VLOOKUP(H435,IMPORTRANGE(""https://docs.google.com/spreadsheets/d/1opm6ZNvGZ7KditA9TuJwrZ25eFLfTNIkrNnY6mhV5Eg"",""list!A1:C115""),3,TRUE)"),"le secteur des assurances")</f>
        <v xml:space="preserve">le secteur des assurances</v>
      </c>
      <c r="K10050" s="10" t="s">
        <v>44598</v>
      </c>
      <c r="L10050" s="10" t="s">
        <v>44599</v>
      </c>
      <c r="M10050" s="8" t="s">
        <v>482</v>
      </c>
      <c r="N10050" s="8" t="s">
        <v>29</v>
      </c>
      <c r="O10050" s="8" t="s">
        <v>10829</v>
      </c>
      <c r="P10050" s="8"/>
      <c r="Q10050" s="8"/>
      <c r="R10050" s="8"/>
      <c r="S10050" s="8"/>
      <c r="T10050" s="8"/>
      <c r="U10050" s="8"/>
      <c r="V10050" s="8"/>
      <c r="W10050" s="8"/>
      <c r="X10050" s="8"/>
      <c r="Y10050" s="8"/>
    </row>
    <row r="10051" ht="14.25">
      <c r="B10051" s="18" t="s">
        <v>134</v>
      </c>
      <c r="C10051" s="18" t="s">
        <v>6267</v>
      </c>
      <c r="D10051" s="18" t="s">
        <v>503</v>
      </c>
      <c r="E10051" s="18" t="s">
        <v>43309</v>
      </c>
      <c r="F10051" s="8" t="str">
        <f>IFERROR(__XLUDF.DUMMYFUNCTION("PROPER(REGEXREPLACE(D436,""[^A-Za-z]+ "",""""))"),"Orus")</f>
        <v>Orus</v>
      </c>
      <c r="G10051" s="18" t="s">
        <v>44600</v>
      </c>
      <c r="H10051" s="18">
        <v>77</v>
      </c>
      <c r="I10051" s="18" t="s">
        <v>39661</v>
      </c>
      <c r="J10051" s="8" t="str">
        <f>IFERROR(__XLUDF.DUMMYFUNCTION("VLOOKUP(H436,IMPORTRANGE(""https://docs.google.com/spreadsheets/d/1opm6ZNvGZ7KditA9TuJwrZ25eFLfTNIkrNnY6mhV5Eg"",""list!A1:C115""),3,TRUE)"),"le secteur des assurances")</f>
        <v xml:space="preserve">le secteur des assurances</v>
      </c>
      <c r="K10051" s="5" t="s">
        <v>44601</v>
      </c>
      <c r="L10051" s="5" t="s">
        <v>43312</v>
      </c>
      <c r="M10051" s="6"/>
      <c r="N10051" s="18" t="s">
        <v>29</v>
      </c>
      <c r="O10051" s="18" t="s">
        <v>546</v>
      </c>
      <c r="P10051" s="18" t="s">
        <v>29</v>
      </c>
      <c r="Q10051" s="18" t="s">
        <v>43313</v>
      </c>
      <c r="R10051" s="6"/>
      <c r="S10051" s="6"/>
      <c r="T10051" s="6"/>
      <c r="U10051" s="6"/>
      <c r="V10051" s="6"/>
      <c r="W10051" s="6"/>
      <c r="X10051" s="6"/>
      <c r="Y10051" s="6"/>
    </row>
    <row r="10052" ht="14.25">
      <c r="B10052" s="8" t="s">
        <v>27043</v>
      </c>
      <c r="C10052" s="8" t="s">
        <v>44602</v>
      </c>
      <c r="D10052" s="8" t="s">
        <v>44603</v>
      </c>
      <c r="E10052" s="8" t="s">
        <v>44604</v>
      </c>
      <c r="F10052" s="8" t="str">
        <f>IFERROR(__XLUDF.DUMMYFUNCTION("PROPER(REGEXREPLACE(D437,""[^A-Za-z]+ "",""""))"),"Lbj Assurances")</f>
        <v xml:space="preserve">Lbj Assurances</v>
      </c>
      <c r="G10052" s="8" t="s">
        <v>44605</v>
      </c>
      <c r="H10052" s="9">
        <v>2</v>
      </c>
      <c r="I10052" s="8" t="s">
        <v>39661</v>
      </c>
      <c r="J10052" s="8" t="str">
        <f>IFERROR(__XLUDF.DUMMYFUNCTION("VLOOKUP(H437,IMPORTRANGE(""https://docs.google.com/spreadsheets/d/1opm6ZNvGZ7KditA9TuJwrZ25eFLfTNIkrNnY6mhV5Eg"",""list!A1:C115""),3,TRUE)"),"le secteur des assurances")</f>
        <v xml:space="preserve">le secteur des assurances</v>
      </c>
      <c r="K10052" s="10" t="s">
        <v>44606</v>
      </c>
      <c r="L10052" s="8"/>
      <c r="M10052" s="8" t="s">
        <v>44607</v>
      </c>
      <c r="N10052" s="8" t="s">
        <v>29</v>
      </c>
      <c r="O10052" s="8" t="s">
        <v>9350</v>
      </c>
      <c r="P10052" s="8"/>
      <c r="Q10052" s="8"/>
      <c r="R10052" s="8"/>
      <c r="S10052" s="8"/>
      <c r="T10052" s="8"/>
      <c r="U10052" s="8"/>
      <c r="V10052" s="8"/>
      <c r="W10052" s="8"/>
      <c r="X10052" s="8"/>
      <c r="Y10052" s="8"/>
    </row>
    <row r="10053" ht="14.25">
      <c r="B10053" s="8" t="s">
        <v>31</v>
      </c>
      <c r="C10053" s="8" t="s">
        <v>41096</v>
      </c>
      <c r="D10053" s="8" t="s">
        <v>9849</v>
      </c>
      <c r="E10053" s="8" t="s">
        <v>41097</v>
      </c>
      <c r="F10053" s="8" t="str">
        <f>IFERROR(__XLUDF.DUMMYFUNCTION("PROPER(REGEXREPLACE(D438,""[^A-Za-z]+ "",""""))"),"Koëhl Assurances Et Gestion De Patrimoine")</f>
        <v xml:space="preserve">Koëhl Assurances Et Gestion De Patrimoine</v>
      </c>
      <c r="G10053" s="8" t="s">
        <v>44608</v>
      </c>
      <c r="H10053" s="8"/>
      <c r="I10053" s="8"/>
      <c r="J10053" s="8" t="s">
        <v>42267</v>
      </c>
      <c r="K10053" s="10" t="s">
        <v>44609</v>
      </c>
      <c r="L10053" s="10" t="s">
        <v>44610</v>
      </c>
      <c r="M10053" s="8" t="s">
        <v>749</v>
      </c>
      <c r="N10053" s="8" t="s">
        <v>29</v>
      </c>
      <c r="O10053" s="8" t="s">
        <v>9193</v>
      </c>
      <c r="P10053" s="8"/>
      <c r="Q10053" s="8"/>
      <c r="R10053" s="8"/>
      <c r="S10053" s="8"/>
      <c r="T10053" s="8"/>
      <c r="U10053" s="8"/>
      <c r="V10053" s="8"/>
      <c r="W10053" s="8"/>
      <c r="X10053" s="8"/>
      <c r="Y10053" s="8"/>
    </row>
    <row r="10054" ht="14.25">
      <c r="B10054" s="8" t="s">
        <v>2508</v>
      </c>
      <c r="C10054" s="8" t="s">
        <v>44611</v>
      </c>
      <c r="D10054" s="8" t="s">
        <v>112</v>
      </c>
      <c r="E10054" s="8" t="s">
        <v>44612</v>
      </c>
      <c r="F10054" s="8" t="str">
        <f>IFERROR(__XLUDF.DUMMYFUNCTION("PROPER(REGEXREPLACE(D439,""[^A-Za-z]+ "",""""))"),"Modulassur")</f>
        <v>Modulassur</v>
      </c>
      <c r="G10054" s="8" t="s">
        <v>44613</v>
      </c>
      <c r="H10054" s="9">
        <v>9</v>
      </c>
      <c r="I10054" s="8" t="s">
        <v>39661</v>
      </c>
      <c r="J10054" s="8" t="str">
        <f>IFERROR(__XLUDF.DUMMYFUNCTION("VLOOKUP(H439,IMPORTRANGE(""https://docs.google.com/spreadsheets/d/1opm6ZNvGZ7KditA9TuJwrZ25eFLfTNIkrNnY6mhV5Eg"",""list!A1:C115""),3,TRUE)"),"le secteur des assurances")</f>
        <v xml:space="preserve">le secteur des assurances</v>
      </c>
      <c r="K10054" s="10" t="s">
        <v>44614</v>
      </c>
      <c r="L10054" s="10" t="s">
        <v>44615</v>
      </c>
      <c r="M10054" s="8" t="s">
        <v>39</v>
      </c>
      <c r="N10054" s="8" t="s">
        <v>29</v>
      </c>
      <c r="O10054" s="8" t="s">
        <v>9160</v>
      </c>
      <c r="P10054" s="8"/>
      <c r="Q10054" s="8"/>
      <c r="R10054" s="8"/>
      <c r="S10054" s="8"/>
      <c r="T10054" s="8"/>
      <c r="U10054" s="8"/>
      <c r="V10054" s="8"/>
      <c r="W10054" s="8"/>
      <c r="X10054" s="8"/>
      <c r="Y10054" s="8"/>
    </row>
    <row r="10055" ht="14.25">
      <c r="B10055" s="8" t="s">
        <v>874</v>
      </c>
      <c r="C10055" s="8" t="s">
        <v>8303</v>
      </c>
      <c r="D10055" s="8" t="s">
        <v>112</v>
      </c>
      <c r="E10055" s="8" t="s">
        <v>44616</v>
      </c>
      <c r="F10055" s="8" t="str">
        <f>IFERROR(__XLUDF.DUMMYFUNCTION("PROPER(REGEXREPLACE(D440,""[^A-Za-z]+ "",""""))"),"S.A.R Courtage")</f>
        <v xml:space="preserve">S.A.R Courtage</v>
      </c>
      <c r="G10055" s="8" t="s">
        <v>44617</v>
      </c>
      <c r="H10055" s="9">
        <v>2</v>
      </c>
      <c r="I10055" s="8" t="s">
        <v>39661</v>
      </c>
      <c r="J10055" s="8" t="str">
        <f>IFERROR(__XLUDF.DUMMYFUNCTION("VLOOKUP(H440,IMPORTRANGE(""https://docs.google.com/spreadsheets/d/1opm6ZNvGZ7KditA9TuJwrZ25eFLfTNIkrNnY6mhV5Eg"",""list!A1:C115""),3,TRUE)"),"le secteur des assurances")</f>
        <v xml:space="preserve">le secteur des assurances</v>
      </c>
      <c r="K10055" s="10" t="s">
        <v>44618</v>
      </c>
      <c r="L10055" s="10" t="s">
        <v>44619</v>
      </c>
      <c r="M10055" s="8" t="s">
        <v>44620</v>
      </c>
      <c r="N10055" s="8" t="s">
        <v>29</v>
      </c>
      <c r="O10055" s="8" t="s">
        <v>9671</v>
      </c>
      <c r="P10055" s="8"/>
      <c r="Q10055" s="8"/>
      <c r="R10055" s="8"/>
      <c r="S10055" s="8"/>
      <c r="T10055" s="8"/>
      <c r="U10055" s="8"/>
      <c r="V10055" s="8"/>
      <c r="W10055" s="8"/>
      <c r="X10055" s="8"/>
      <c r="Y10055" s="8"/>
    </row>
    <row r="10056" ht="14.25">
      <c r="B10056" s="8" t="s">
        <v>76</v>
      </c>
      <c r="C10056" s="8" t="s">
        <v>6179</v>
      </c>
      <c r="D10056" s="8" t="s">
        <v>40826</v>
      </c>
      <c r="E10056" s="8" t="s">
        <v>43519</v>
      </c>
      <c r="F10056" s="8" t="str">
        <f>IFERROR(__XLUDF.DUMMYFUNCTION("PROPER(REGEXREPLACE(D441,""[^A-Za-z]+ "",""""))"),"Tepee Assurances")</f>
        <v xml:space="preserve">Tepee Assurances</v>
      </c>
      <c r="G10056" s="8" t="s">
        <v>44621</v>
      </c>
      <c r="H10056" s="9">
        <v>2</v>
      </c>
      <c r="I10056" s="8" t="s">
        <v>39661</v>
      </c>
      <c r="J10056" s="8" t="str">
        <f>IFERROR(__XLUDF.DUMMYFUNCTION("VLOOKUP(H441,IMPORTRANGE(""https://docs.google.com/spreadsheets/d/1opm6ZNvGZ7KditA9TuJwrZ25eFLfTNIkrNnY6mhV5Eg"",""list!A1:C115""),3,TRUE)"),"le secteur des assurances")</f>
        <v xml:space="preserve">le secteur des assurances</v>
      </c>
      <c r="K10056" s="10" t="s">
        <v>44622</v>
      </c>
      <c r="L10056" s="8" t="s">
        <v>43522</v>
      </c>
      <c r="M10056" s="8" t="s">
        <v>846</v>
      </c>
      <c r="N10056" s="8" t="s">
        <v>29</v>
      </c>
      <c r="O10056" s="8" t="s">
        <v>9281</v>
      </c>
      <c r="P10056" s="8"/>
      <c r="Q10056" s="8"/>
      <c r="R10056" s="8"/>
      <c r="S10056" s="8"/>
      <c r="T10056" s="8"/>
      <c r="U10056" s="8"/>
      <c r="V10056" s="8"/>
      <c r="W10056" s="8"/>
      <c r="X10056" s="8"/>
      <c r="Y10056" s="8"/>
    </row>
    <row r="10057" ht="14.25">
      <c r="B10057" s="18" t="s">
        <v>710</v>
      </c>
      <c r="C10057" s="18" t="s">
        <v>26744</v>
      </c>
      <c r="D10057" s="18" t="s">
        <v>172</v>
      </c>
      <c r="E10057" s="18" t="s">
        <v>43475</v>
      </c>
      <c r="F10057" s="8" t="str">
        <f>IFERROR(__XLUDF.DUMMYFUNCTION("PROPER(REGEXREPLACE(D442,""[^A-Za-z]+ "",""""))"),"Antinea Courtage D'Assurances")</f>
        <v xml:space="preserve">Antinea Courtage D'Assurances</v>
      </c>
      <c r="G10057" s="18" t="s">
        <v>44623</v>
      </c>
      <c r="H10057" s="18">
        <v>91</v>
      </c>
      <c r="I10057" s="18" t="s">
        <v>39661</v>
      </c>
      <c r="J10057" s="8" t="str">
        <f>IFERROR(__XLUDF.DUMMYFUNCTION("VLOOKUP(H442,IMPORTRANGE(""https://docs.google.com/spreadsheets/d/1opm6ZNvGZ7KditA9TuJwrZ25eFLfTNIkrNnY6mhV5Eg"",""list!A1:C115""),3,TRUE)"),"le secteur des assurances")</f>
        <v xml:space="preserve">le secteur des assurances</v>
      </c>
      <c r="K10057" s="5" t="s">
        <v>44624</v>
      </c>
      <c r="L10057" s="5" t="s">
        <v>43478</v>
      </c>
      <c r="M10057" s="18" t="s">
        <v>185</v>
      </c>
      <c r="N10057" s="18" t="s">
        <v>29</v>
      </c>
      <c r="O10057" s="18" t="s">
        <v>125</v>
      </c>
      <c r="P10057" s="18" t="s">
        <v>29</v>
      </c>
      <c r="Q10057" s="6"/>
      <c r="R10057" s="6"/>
      <c r="S10057" s="6"/>
      <c r="T10057" s="6"/>
      <c r="U10057" s="6"/>
      <c r="V10057" s="6"/>
      <c r="W10057" s="6"/>
      <c r="X10057" s="6"/>
      <c r="Y10057" s="6"/>
    </row>
    <row r="10058" ht="14.25">
      <c r="B10058" s="18" t="s">
        <v>630</v>
      </c>
      <c r="C10058" s="18" t="s">
        <v>44625</v>
      </c>
      <c r="D10058" s="18" t="s">
        <v>44</v>
      </c>
      <c r="E10058" s="18" t="s">
        <v>44626</v>
      </c>
      <c r="F10058" s="8" t="str">
        <f>IFERROR(__XLUDF.DUMMYFUNCTION("PROPER(REGEXREPLACE(D443,""[^A-Za-z]+ "",""""))"),"Solisur")</f>
        <v>Solisur</v>
      </c>
      <c r="G10058" s="18" t="s">
        <v>44627</v>
      </c>
      <c r="H10058" s="18">
        <v>2</v>
      </c>
      <c r="I10058" s="18" t="s">
        <v>39661</v>
      </c>
      <c r="J10058" s="8" t="str">
        <f>IFERROR(__XLUDF.DUMMYFUNCTION("VLOOKUP(H443,IMPORTRANGE(""https://docs.google.com/spreadsheets/d/1opm6ZNvGZ7KditA9TuJwrZ25eFLfTNIkrNnY6mhV5Eg"",""list!A1:C115""),3,TRUE)"),"le secteur des assurances")</f>
        <v xml:space="preserve">le secteur des assurances</v>
      </c>
      <c r="K10058" s="5" t="s">
        <v>44628</v>
      </c>
      <c r="L10058" s="5" t="s">
        <v>44629</v>
      </c>
      <c r="M10058" s="18" t="s">
        <v>39</v>
      </c>
      <c r="N10058" s="18" t="s">
        <v>29</v>
      </c>
      <c r="O10058" s="6"/>
      <c r="P10058" s="6"/>
      <c r="Q10058" s="6"/>
      <c r="R10058" s="6"/>
      <c r="S10058" s="6"/>
      <c r="T10058" s="6"/>
      <c r="U10058" s="6"/>
      <c r="V10058" s="6"/>
      <c r="W10058" s="6"/>
      <c r="X10058" s="6"/>
      <c r="Y10058" s="6"/>
    </row>
    <row r="10059" ht="14.25">
      <c r="B10059" s="8" t="s">
        <v>2419</v>
      </c>
      <c r="C10059" s="8" t="s">
        <v>44630</v>
      </c>
      <c r="D10059" s="8" t="s">
        <v>7185</v>
      </c>
      <c r="E10059" s="8" t="s">
        <v>44631</v>
      </c>
      <c r="F10059" s="8" t="str">
        <f>IFERROR(__XLUDF.DUMMYFUNCTION("PROPER(REGEXREPLACE(D444,""[^A-Za-z]+ "",""""))"),"Cabinet Basseville")</f>
        <v xml:space="preserve">Cabinet Basseville</v>
      </c>
      <c r="G10059" s="8" t="s">
        <v>44632</v>
      </c>
      <c r="H10059" s="9">
        <v>15</v>
      </c>
      <c r="I10059" s="8" t="s">
        <v>39661</v>
      </c>
      <c r="J10059" s="8" t="str">
        <f>IFERROR(__XLUDF.DUMMYFUNCTION("VLOOKUP(H444,IMPORTRANGE(""https://docs.google.com/spreadsheets/d/1opm6ZNvGZ7KditA9TuJwrZ25eFLfTNIkrNnY6mhV5Eg"",""list!A1:C115""),3,TRUE)"),"le secteur des assurances")</f>
        <v xml:space="preserve">le secteur des assurances</v>
      </c>
      <c r="K10059" s="10" t="s">
        <v>44633</v>
      </c>
      <c r="L10059" s="10" t="s">
        <v>44634</v>
      </c>
      <c r="M10059" s="8" t="s">
        <v>5565</v>
      </c>
      <c r="N10059" s="8" t="s">
        <v>29</v>
      </c>
      <c r="O10059" s="8" t="s">
        <v>9798</v>
      </c>
      <c r="P10059" s="8"/>
      <c r="Q10059" s="8" t="s">
        <v>44635</v>
      </c>
      <c r="R10059" s="8"/>
      <c r="S10059" s="8"/>
      <c r="T10059" s="8"/>
      <c r="U10059" s="8"/>
      <c r="V10059" s="8"/>
      <c r="W10059" s="8"/>
      <c r="X10059" s="8"/>
      <c r="Y10059" s="8"/>
    </row>
    <row r="10060" ht="14.25">
      <c r="B10060" s="8" t="s">
        <v>37607</v>
      </c>
      <c r="C10060" s="8" t="s">
        <v>44636</v>
      </c>
      <c r="D10060" s="8" t="s">
        <v>172</v>
      </c>
      <c r="E10060" s="8" t="s">
        <v>44637</v>
      </c>
      <c r="F10060" s="8" t="str">
        <f>IFERROR(__XLUDF.DUMMYFUNCTION("PROPER(REGEXREPLACE(D445,""[^A-Za-z]+ "",""""))"),"Trusttt")</f>
        <v>Trusttt</v>
      </c>
      <c r="G10060" s="8" t="s">
        <v>44638</v>
      </c>
      <c r="H10060" s="9">
        <v>2</v>
      </c>
      <c r="I10060" s="8" t="s">
        <v>39661</v>
      </c>
      <c r="J10060" s="8" t="str">
        <f>IFERROR(__XLUDF.DUMMYFUNCTION("VLOOKUP(H445,IMPORTRANGE(""https://docs.google.com/spreadsheets/d/1opm6ZNvGZ7KditA9TuJwrZ25eFLfTNIkrNnY6mhV5Eg"",""list!A1:C115""),3,TRUE)"),"le secteur des assurances")</f>
        <v xml:space="preserve">le secteur des assurances</v>
      </c>
      <c r="K10060" s="10" t="s">
        <v>44639</v>
      </c>
      <c r="L10060" s="8"/>
      <c r="M10060" s="8" t="s">
        <v>31740</v>
      </c>
      <c r="N10060" s="8" t="s">
        <v>29</v>
      </c>
      <c r="O10060" s="8" t="s">
        <v>9251</v>
      </c>
      <c r="P10060" s="8"/>
      <c r="Q10060" s="8"/>
      <c r="R10060" s="8"/>
      <c r="S10060" s="8"/>
      <c r="T10060" s="8"/>
      <c r="U10060" s="8"/>
      <c r="V10060" s="8"/>
      <c r="W10060" s="8"/>
      <c r="X10060" s="8"/>
      <c r="Y10060" s="8"/>
    </row>
    <row r="10061" ht="14.25">
      <c r="B10061" s="8" t="s">
        <v>20</v>
      </c>
      <c r="C10061" s="8" t="s">
        <v>44640</v>
      </c>
      <c r="D10061" s="8" t="s">
        <v>112</v>
      </c>
      <c r="E10061" s="8" t="s">
        <v>44641</v>
      </c>
      <c r="F10061" s="8" t="str">
        <f>IFERROR(__XLUDF.DUMMYFUNCTION("PROPER(REGEXREPLACE(D446,""[^A-Za-z]+ "",""""))"),"Riskmedia France")</f>
        <v xml:space="preserve">Riskmedia France</v>
      </c>
      <c r="G10061" s="8" t="s">
        <v>44642</v>
      </c>
      <c r="H10061" s="9">
        <v>3</v>
      </c>
      <c r="I10061" s="8" t="s">
        <v>39661</v>
      </c>
      <c r="J10061" s="8" t="str">
        <f>IFERROR(__XLUDF.DUMMYFUNCTION("VLOOKUP(H446,IMPORTRANGE(""https://docs.google.com/spreadsheets/d/1opm6ZNvGZ7KditA9TuJwrZ25eFLfTNIkrNnY6mhV5Eg"",""list!A1:C115""),3,TRUE)"),"le secteur des assurances")</f>
        <v xml:space="preserve">le secteur des assurances</v>
      </c>
      <c r="K10061" s="10" t="s">
        <v>44643</v>
      </c>
      <c r="L10061" s="10" t="s">
        <v>44644</v>
      </c>
      <c r="M10061" s="8" t="s">
        <v>39</v>
      </c>
      <c r="N10061" s="8" t="s">
        <v>29</v>
      </c>
      <c r="O10061" s="8" t="s">
        <v>9160</v>
      </c>
      <c r="P10061" s="8"/>
      <c r="Q10061" s="8"/>
      <c r="R10061" s="8"/>
      <c r="S10061" s="8"/>
      <c r="T10061" s="8"/>
      <c r="U10061" s="8"/>
      <c r="V10061" s="8"/>
      <c r="W10061" s="8"/>
      <c r="X10061" s="8"/>
      <c r="Y10061" s="8"/>
    </row>
    <row r="10062" ht="14.25">
      <c r="B10062" s="8" t="s">
        <v>622</v>
      </c>
      <c r="C10062" s="8" t="s">
        <v>40241</v>
      </c>
      <c r="D10062" s="8" t="s">
        <v>341</v>
      </c>
      <c r="E10062" s="8" t="s">
        <v>44645</v>
      </c>
      <c r="F10062" s="8" t="str">
        <f>IFERROR(__XLUDF.DUMMYFUNCTION("PROPER(REGEXREPLACE(D447,""[^A-Za-z]+ "",""""))"),"Groupe Signatures")</f>
        <v xml:space="preserve">Groupe Signatures</v>
      </c>
      <c r="G10062" s="8" t="s">
        <v>44646</v>
      </c>
      <c r="H10062" s="9">
        <v>3</v>
      </c>
      <c r="I10062" s="8" t="s">
        <v>2629</v>
      </c>
      <c r="J10062" s="8" t="str">
        <f>IFERROR(__XLUDF.DUMMYFUNCTION("VLOOKUP(H447,IMPORTRANGE(""https://docs.google.com/spreadsheets/d/1opm6ZNvGZ7KditA9TuJwrZ25eFLfTNIkrNnY6mhV5Eg"",""list!A1:C115""),3,TRUE)"),"le secteur des services financiers")</f>
        <v xml:space="preserve">le secteur des services financiers</v>
      </c>
      <c r="K10062" s="10" t="s">
        <v>44647</v>
      </c>
      <c r="L10062" s="10" t="s">
        <v>44648</v>
      </c>
      <c r="M10062" s="8" t="s">
        <v>3750</v>
      </c>
      <c r="N10062" s="8" t="s">
        <v>29</v>
      </c>
      <c r="O10062" s="8" t="s">
        <v>9251</v>
      </c>
      <c r="P10062" s="8"/>
      <c r="Q10062" s="8" t="s">
        <v>44649</v>
      </c>
      <c r="R10062" s="8"/>
      <c r="S10062" s="8"/>
      <c r="T10062" s="8"/>
      <c r="U10062" s="8"/>
      <c r="V10062" s="8"/>
      <c r="W10062" s="8"/>
      <c r="X10062" s="8"/>
      <c r="Y10062" s="8"/>
    </row>
    <row r="10063" ht="14.25">
      <c r="B10063" s="18" t="s">
        <v>385</v>
      </c>
      <c r="C10063" s="18" t="s">
        <v>44650</v>
      </c>
      <c r="D10063" s="18" t="s">
        <v>31897</v>
      </c>
      <c r="E10063" s="18" t="s">
        <v>42571</v>
      </c>
      <c r="F10063" s="8" t="str">
        <f>IFERROR(__XLUDF.DUMMYFUNCTION("PROPER(REGEXREPLACE(D448,""[^A-Za-z]+ "",""""))"),"Kerialis")</f>
        <v>Kerialis</v>
      </c>
      <c r="G10063" s="18" t="s">
        <v>44651</v>
      </c>
      <c r="H10063" s="18">
        <v>62</v>
      </c>
      <c r="I10063" s="18" t="s">
        <v>39661</v>
      </c>
      <c r="J10063" s="8" t="str">
        <f>IFERROR(__XLUDF.DUMMYFUNCTION("VLOOKUP(H448,IMPORTRANGE(""https://docs.google.com/spreadsheets/d/1opm6ZNvGZ7KditA9TuJwrZ25eFLfTNIkrNnY6mhV5Eg"",""list!A1:C115""),3,TRUE)"),"le secteur des assurances")</f>
        <v xml:space="preserve">le secteur des assurances</v>
      </c>
      <c r="K10063" s="5" t="s">
        <v>44652</v>
      </c>
      <c r="L10063" s="5" t="s">
        <v>42574</v>
      </c>
      <c r="M10063" s="6"/>
      <c r="N10063" s="18" t="s">
        <v>29</v>
      </c>
      <c r="O10063" s="18" t="s">
        <v>42575</v>
      </c>
      <c r="P10063" s="18" t="s">
        <v>29</v>
      </c>
      <c r="Q10063" s="18" t="s">
        <v>42576</v>
      </c>
      <c r="R10063" s="6"/>
      <c r="S10063" s="6"/>
      <c r="T10063" s="6"/>
      <c r="U10063" s="6"/>
      <c r="V10063" s="6"/>
      <c r="W10063" s="6"/>
      <c r="X10063" s="6"/>
      <c r="Y10063" s="6"/>
    </row>
    <row r="10064" ht="14.25">
      <c r="B10064" s="18" t="s">
        <v>355</v>
      </c>
      <c r="C10064" s="18" t="s">
        <v>44653</v>
      </c>
      <c r="D10064" s="18" t="s">
        <v>247</v>
      </c>
      <c r="E10064" s="18" t="s">
        <v>44654</v>
      </c>
      <c r="F10064" s="8" t="str">
        <f>IFERROR(__XLUDF.DUMMYFUNCTION("PROPER(REGEXREPLACE(D449,""[^A-Za-z]+ "",""""))"),"Seyna")</f>
        <v>Seyna</v>
      </c>
      <c r="G10064" s="18" t="s">
        <v>44655</v>
      </c>
      <c r="H10064" s="18">
        <v>66</v>
      </c>
      <c r="I10064" s="18" t="s">
        <v>39661</v>
      </c>
      <c r="J10064" s="8" t="str">
        <f>IFERROR(__XLUDF.DUMMYFUNCTION("VLOOKUP(H449,IMPORTRANGE(""https://docs.google.com/spreadsheets/d/1opm6ZNvGZ7KditA9TuJwrZ25eFLfTNIkrNnY6mhV5Eg"",""list!A1:C115""),3,TRUE)"),"le secteur des assurances")</f>
        <v xml:space="preserve">le secteur des assurances</v>
      </c>
      <c r="K10064" s="5" t="s">
        <v>44656</v>
      </c>
      <c r="L10064" s="5" t="s">
        <v>44657</v>
      </c>
      <c r="M10064" s="6"/>
      <c r="N10064" s="18" t="s">
        <v>29</v>
      </c>
      <c r="O10064" s="18" t="s">
        <v>44658</v>
      </c>
      <c r="P10064" s="18" t="s">
        <v>29</v>
      </c>
      <c r="Q10064" s="18" t="s">
        <v>44659</v>
      </c>
      <c r="R10064" s="6"/>
      <c r="S10064" s="6"/>
      <c r="T10064" s="6"/>
      <c r="U10064" s="6"/>
      <c r="V10064" s="6"/>
      <c r="W10064" s="6"/>
      <c r="X10064" s="6"/>
      <c r="Y10064" s="6"/>
    </row>
    <row r="10065" ht="14.25">
      <c r="B10065" s="8" t="s">
        <v>622</v>
      </c>
      <c r="C10065" s="8" t="s">
        <v>44660</v>
      </c>
      <c r="D10065" s="8" t="s">
        <v>25705</v>
      </c>
      <c r="E10065" s="8" t="s">
        <v>44661</v>
      </c>
      <c r="F10065" s="8" t="str">
        <f>IFERROR(__XLUDF.DUMMYFUNCTION("PROPER(REGEXREPLACE(D450,""[^A-Za-z]+ "",""""))"),"Grande Ourse Patrimoine")</f>
        <v xml:space="preserve">Grande Ourse Patrimoine</v>
      </c>
      <c r="G10065" s="8" t="s">
        <v>44662</v>
      </c>
      <c r="H10065" s="9">
        <v>2</v>
      </c>
      <c r="I10065" s="8" t="s">
        <v>2629</v>
      </c>
      <c r="J10065" s="8" t="str">
        <f>IFERROR(__XLUDF.DUMMYFUNCTION("VLOOKUP(H450,IMPORTRANGE(""https://docs.google.com/spreadsheets/d/1opm6ZNvGZ7KditA9TuJwrZ25eFLfTNIkrNnY6mhV5Eg"",""list!A1:C115""),3,TRUE)"),"le secteur des services financiers")</f>
        <v xml:space="preserve">le secteur des services financiers</v>
      </c>
      <c r="K10065" s="10" t="s">
        <v>44663</v>
      </c>
      <c r="L10065" s="10" t="s">
        <v>44664</v>
      </c>
      <c r="M10065" s="8" t="s">
        <v>774</v>
      </c>
      <c r="N10065" s="8" t="s">
        <v>29</v>
      </c>
      <c r="O10065" s="8" t="s">
        <v>9172</v>
      </c>
      <c r="P10065" s="8"/>
      <c r="Q10065" s="8" t="s">
        <v>44665</v>
      </c>
      <c r="R10065" s="8"/>
      <c r="S10065" s="8"/>
      <c r="T10065" s="8"/>
      <c r="U10065" s="8"/>
      <c r="V10065" s="8"/>
      <c r="W10065" s="8"/>
      <c r="X10065" s="8"/>
      <c r="Y10065" s="8"/>
    </row>
    <row r="10066" ht="14.25">
      <c r="B10066" s="8" t="s">
        <v>322</v>
      </c>
      <c r="C10066" s="8" t="s">
        <v>110</v>
      </c>
      <c r="D10066" s="8" t="s">
        <v>112</v>
      </c>
      <c r="E10066" s="8" t="s">
        <v>44666</v>
      </c>
      <c r="F10066" s="8" t="str">
        <f>IFERROR(__XLUDF.DUMMYFUNCTION("PROPER(REGEXREPLACE(D451,""[^A-Za-z]+ "",""""))"),"Courtiers For You")</f>
        <v xml:space="preserve">Courtiers For You</v>
      </c>
      <c r="G10066" s="8" t="s">
        <v>44667</v>
      </c>
      <c r="H10066" s="9">
        <v>5</v>
      </c>
      <c r="I10066" s="8" t="s">
        <v>39661</v>
      </c>
      <c r="J10066" s="8" t="str">
        <f>IFERROR(__XLUDF.DUMMYFUNCTION("VLOOKUP(H451,IMPORTRANGE(""https://docs.google.com/spreadsheets/d/1opm6ZNvGZ7KditA9TuJwrZ25eFLfTNIkrNnY6mhV5Eg"",""list!A1:C115""),3,TRUE)"),"le secteur des assurances")</f>
        <v xml:space="preserve">le secteur des assurances</v>
      </c>
      <c r="K10066" s="10" t="s">
        <v>44668</v>
      </c>
      <c r="L10066" s="10" t="s">
        <v>44669</v>
      </c>
      <c r="M10066" s="8"/>
      <c r="N10066" s="8" t="s">
        <v>29</v>
      </c>
      <c r="O10066" s="8"/>
      <c r="P10066" s="8"/>
      <c r="Q10066" s="8"/>
      <c r="R10066" s="8"/>
      <c r="S10066" s="8"/>
      <c r="T10066" s="8"/>
      <c r="U10066" s="8"/>
      <c r="V10066" s="8"/>
      <c r="W10066" s="8"/>
      <c r="X10066" s="8"/>
      <c r="Y10066" s="8"/>
    </row>
    <row r="10067" ht="14.25">
      <c r="B10067" s="8" t="s">
        <v>1583</v>
      </c>
      <c r="C10067" s="8" t="s">
        <v>10834</v>
      </c>
      <c r="D10067" s="8" t="s">
        <v>10202</v>
      </c>
      <c r="E10067" s="8" t="s">
        <v>44670</v>
      </c>
      <c r="F10067" s="8" t="str">
        <f>IFERROR(__XLUDF.DUMMYFUNCTION("PROPER(REGEXREPLACE(D452,""[^A-Za-z]+ "",""""))"),"Groupe Sodalis")</f>
        <v xml:space="preserve">Groupe Sodalis</v>
      </c>
      <c r="G10067" s="8" t="s">
        <v>44671</v>
      </c>
      <c r="H10067" s="9">
        <v>13</v>
      </c>
      <c r="I10067" s="8" t="s">
        <v>39661</v>
      </c>
      <c r="J10067" s="8" t="str">
        <f>IFERROR(__XLUDF.DUMMYFUNCTION("VLOOKUP(H452,IMPORTRANGE(""https://docs.google.com/spreadsheets/d/1opm6ZNvGZ7KditA9TuJwrZ25eFLfTNIkrNnY6mhV5Eg"",""list!A1:C115""),3,TRUE)"),"le secteur des assurances")</f>
        <v xml:space="preserve">le secteur des assurances</v>
      </c>
      <c r="K10067" s="10" t="s">
        <v>44672</v>
      </c>
      <c r="L10067" s="10" t="s">
        <v>44673</v>
      </c>
      <c r="M10067" s="8" t="s">
        <v>39</v>
      </c>
      <c r="N10067" s="8" t="s">
        <v>29</v>
      </c>
      <c r="O10067" s="8" t="s">
        <v>9160</v>
      </c>
      <c r="P10067" s="8"/>
      <c r="Q10067" s="8" t="s">
        <v>44674</v>
      </c>
      <c r="R10067" s="8"/>
      <c r="S10067" s="8"/>
      <c r="T10067" s="8"/>
      <c r="U10067" s="8"/>
      <c r="V10067" s="8"/>
      <c r="W10067" s="8"/>
      <c r="X10067" s="8"/>
      <c r="Y10067" s="8"/>
    </row>
    <row r="10068" ht="14.25">
      <c r="B10068" s="18" t="s">
        <v>44675</v>
      </c>
      <c r="C10068" s="18" t="s">
        <v>44676</v>
      </c>
      <c r="D10068" s="18" t="s">
        <v>44</v>
      </c>
      <c r="E10068" s="18" t="s">
        <v>44677</v>
      </c>
      <c r="F10068" s="8" t="str">
        <f>IFERROR(__XLUDF.DUMMYFUNCTION("PROPER(REGEXREPLACE(D453,""[^A-Za-z]+ "",""""))"),"Cyber Cover")</f>
        <v xml:space="preserve">Cyber Cover</v>
      </c>
      <c r="G10068" s="18" t="s">
        <v>44678</v>
      </c>
      <c r="H10068" s="18">
        <v>5</v>
      </c>
      <c r="I10068" s="18" t="s">
        <v>39661</v>
      </c>
      <c r="J10068" s="8" t="str">
        <f>IFERROR(__XLUDF.DUMMYFUNCTION("VLOOKUP(H453,IMPORTRANGE(""https://docs.google.com/spreadsheets/d/1opm6ZNvGZ7KditA9TuJwrZ25eFLfTNIkrNnY6mhV5Eg"",""list!A1:C115""),3,TRUE)"),"le secteur des assurances")</f>
        <v xml:space="preserve">le secteur des assurances</v>
      </c>
      <c r="K10068" s="5" t="s">
        <v>44679</v>
      </c>
      <c r="L10068" s="5" t="s">
        <v>44680</v>
      </c>
      <c r="M10068" s="18" t="s">
        <v>39</v>
      </c>
      <c r="N10068" s="18" t="s">
        <v>29</v>
      </c>
      <c r="O10068" s="18" t="s">
        <v>44681</v>
      </c>
      <c r="P10068" s="18" t="s">
        <v>29</v>
      </c>
      <c r="Q10068" s="18" t="s">
        <v>44682</v>
      </c>
      <c r="R10068" s="6"/>
      <c r="S10068" s="6"/>
      <c r="T10068" s="6"/>
      <c r="U10068" s="6"/>
      <c r="V10068" s="6"/>
      <c r="W10068" s="6"/>
      <c r="X10068" s="6"/>
      <c r="Y10068" s="6"/>
    </row>
    <row r="10069" ht="14.25">
      <c r="B10069" s="8" t="s">
        <v>2299</v>
      </c>
      <c r="C10069" s="8" t="s">
        <v>948</v>
      </c>
      <c r="D10069" s="8" t="s">
        <v>172</v>
      </c>
      <c r="E10069" s="8" t="s">
        <v>44683</v>
      </c>
      <c r="F10069" s="8" t="str">
        <f>IFERROR(__XLUDF.DUMMYFUNCTION("PROPER(REGEXREPLACE(D454,""[^A-Za-z]+ "",""""))"),"Mutuelle Mcf")</f>
        <v xml:space="preserve">Mutuelle Mcf</v>
      </c>
      <c r="G10069" s="8" t="s">
        <v>44684</v>
      </c>
      <c r="H10069" s="9">
        <v>14</v>
      </c>
      <c r="I10069" s="8" t="s">
        <v>39661</v>
      </c>
      <c r="J10069" s="8" t="str">
        <f>IFERROR(__XLUDF.DUMMYFUNCTION("VLOOKUP(H454,IMPORTRANGE(""https://docs.google.com/spreadsheets/d/1opm6ZNvGZ7KditA9TuJwrZ25eFLfTNIkrNnY6mhV5Eg"",""list!A1:C115""),3,TRUE)"),"le secteur des assurances")</f>
        <v xml:space="preserve">le secteur des assurances</v>
      </c>
      <c r="K10069" s="10" t="s">
        <v>44685</v>
      </c>
      <c r="L10069" s="10" t="s">
        <v>44686</v>
      </c>
      <c r="M10069" s="8"/>
      <c r="N10069" s="8" t="s">
        <v>29</v>
      </c>
      <c r="O10069" s="8" t="s">
        <v>9160</v>
      </c>
      <c r="P10069" s="8"/>
      <c r="Q10069" s="8" t="s">
        <v>44687</v>
      </c>
      <c r="R10069" s="8"/>
      <c r="S10069" s="8"/>
      <c r="T10069" s="8"/>
      <c r="U10069" s="8"/>
      <c r="V10069" s="8"/>
      <c r="W10069" s="8"/>
      <c r="X10069" s="8"/>
      <c r="Y10069" s="8"/>
    </row>
    <row r="10070" ht="14.25">
      <c r="B10070" s="8" t="s">
        <v>2419</v>
      </c>
      <c r="C10070" s="8" t="s">
        <v>572</v>
      </c>
      <c r="D10070" s="8" t="s">
        <v>42563</v>
      </c>
      <c r="E10070" s="8" t="s">
        <v>44688</v>
      </c>
      <c r="F10070" s="8" t="str">
        <f>IFERROR(__XLUDF.DUMMYFUNCTION("PROPER(REGEXREPLACE(D455,""[^A-Za-z]+ "",""""))"),"Bouclier Courtage")</f>
        <v xml:space="preserve">Bouclier Courtage</v>
      </c>
      <c r="G10070" s="8" t="s">
        <v>44689</v>
      </c>
      <c r="H10070" s="8"/>
      <c r="I10070" s="8"/>
      <c r="J10070" s="8" t="s">
        <v>42267</v>
      </c>
      <c r="K10070" s="10" t="s">
        <v>44690</v>
      </c>
      <c r="L10070" s="10" t="s">
        <v>44691</v>
      </c>
      <c r="M10070" s="8" t="s">
        <v>3898</v>
      </c>
      <c r="N10070" s="8" t="s">
        <v>29</v>
      </c>
      <c r="O10070" s="8" t="s">
        <v>9798</v>
      </c>
      <c r="P10070" s="8"/>
      <c r="Q10070" s="8"/>
      <c r="R10070" s="8"/>
      <c r="S10070" s="8"/>
      <c r="T10070" s="8"/>
      <c r="U10070" s="8"/>
      <c r="V10070" s="8"/>
      <c r="W10070" s="8"/>
      <c r="X10070" s="8"/>
      <c r="Y10070" s="8"/>
    </row>
    <row r="10071" ht="14.25">
      <c r="B10071" s="18" t="s">
        <v>6967</v>
      </c>
      <c r="C10071" s="18" t="s">
        <v>44692</v>
      </c>
      <c r="D10071" s="18" t="s">
        <v>3637</v>
      </c>
      <c r="E10071" s="18" t="s">
        <v>44693</v>
      </c>
      <c r="F10071" s="8" t="str">
        <f>IFERROR(__XLUDF.DUMMYFUNCTION("PROPER(REGEXREPLACE(D456,""[^A-Za-z]+ "",""""))"),"Meleïne")</f>
        <v>Meleïne</v>
      </c>
      <c r="G10071" s="18" t="s">
        <v>44694</v>
      </c>
      <c r="H10071" s="18">
        <v>61</v>
      </c>
      <c r="I10071" s="18" t="s">
        <v>39661</v>
      </c>
      <c r="J10071" s="8" t="str">
        <f>IFERROR(__XLUDF.DUMMYFUNCTION("VLOOKUP(H456,IMPORTRANGE(""https://docs.google.com/spreadsheets/d/1opm6ZNvGZ7KditA9TuJwrZ25eFLfTNIkrNnY6mhV5Eg"",""list!A1:C115""),3,TRUE)"),"le secteur des assurances")</f>
        <v xml:space="preserve">le secteur des assurances</v>
      </c>
      <c r="K10071" s="5" t="s">
        <v>44695</v>
      </c>
      <c r="L10071" s="5" t="s">
        <v>44696</v>
      </c>
      <c r="M10071" s="18" t="s">
        <v>39</v>
      </c>
      <c r="N10071" s="18" t="s">
        <v>29</v>
      </c>
      <c r="O10071" s="18" t="s">
        <v>23888</v>
      </c>
      <c r="P10071" s="18" t="s">
        <v>29</v>
      </c>
      <c r="Q10071" s="18" t="s">
        <v>44697</v>
      </c>
      <c r="R10071" s="6"/>
      <c r="S10071" s="6"/>
      <c r="T10071" s="6"/>
      <c r="U10071" s="6"/>
      <c r="V10071" s="6"/>
      <c r="W10071" s="6"/>
      <c r="X10071" s="6"/>
      <c r="Y10071" s="6"/>
    </row>
    <row r="10072" ht="14.25">
      <c r="B10072" s="8" t="s">
        <v>7246</v>
      </c>
      <c r="C10072" s="8" t="s">
        <v>44698</v>
      </c>
      <c r="D10072" s="8" t="s">
        <v>164</v>
      </c>
      <c r="E10072" s="8" t="s">
        <v>44010</v>
      </c>
      <c r="F10072" s="8" t="str">
        <f>IFERROR(__XLUDF.DUMMYFUNCTION("PROPER(REGEXREPLACE(D457,""[^A-Za-z]+ "",""""))"),"Lilycare")</f>
        <v>Lilycare</v>
      </c>
      <c r="G10072" s="8" t="s">
        <v>44699</v>
      </c>
      <c r="H10072" s="9">
        <v>7</v>
      </c>
      <c r="I10072" s="8" t="s">
        <v>39661</v>
      </c>
      <c r="J10072" s="8" t="str">
        <f>IFERROR(__XLUDF.DUMMYFUNCTION("VLOOKUP(H457,IMPORTRANGE(""https://docs.google.com/spreadsheets/d/1opm6ZNvGZ7KditA9TuJwrZ25eFLfTNIkrNnY6mhV5Eg"",""list!A1:C115""),3,TRUE)"),"le secteur des assurances")</f>
        <v xml:space="preserve">le secteur des assurances</v>
      </c>
      <c r="K10072" s="10" t="s">
        <v>44700</v>
      </c>
      <c r="L10072" s="10" t="s">
        <v>44013</v>
      </c>
      <c r="M10072" s="8" t="s">
        <v>39</v>
      </c>
      <c r="N10072" s="8" t="s">
        <v>29</v>
      </c>
      <c r="O10072" s="8" t="s">
        <v>9160</v>
      </c>
      <c r="P10072" s="8"/>
      <c r="Q10072" s="8" t="s">
        <v>44014</v>
      </c>
      <c r="R10072" s="8"/>
      <c r="S10072" s="8"/>
      <c r="T10072" s="8"/>
      <c r="U10072" s="8"/>
      <c r="V10072" s="8"/>
      <c r="W10072" s="8"/>
      <c r="X10072" s="8"/>
      <c r="Y10072" s="8"/>
    </row>
    <row r="10073" ht="14.25">
      <c r="B10073" s="18" t="s">
        <v>20</v>
      </c>
      <c r="C10073" s="18" t="s">
        <v>40201</v>
      </c>
      <c r="D10073" s="18" t="s">
        <v>1950</v>
      </c>
      <c r="E10073" s="18" t="s">
        <v>44701</v>
      </c>
      <c r="F10073" s="8" t="str">
        <f>IFERROR(__XLUDF.DUMMYFUNCTION("PROPER(REGEXREPLACE(D458,""[^A-Za-z]+ "",""""))"),"Advise Assurance")</f>
        <v xml:space="preserve">Advise Assurance</v>
      </c>
      <c r="G10073" s="18" t="s">
        <v>44702</v>
      </c>
      <c r="H10073" s="18">
        <v>59</v>
      </c>
      <c r="I10073" s="18" t="s">
        <v>39661</v>
      </c>
      <c r="J10073" s="8" t="str">
        <f>IFERROR(__XLUDF.DUMMYFUNCTION("VLOOKUP(H458,IMPORTRANGE(""https://docs.google.com/spreadsheets/d/1opm6ZNvGZ7KditA9TuJwrZ25eFLfTNIkrNnY6mhV5Eg"",""list!A1:C115""),3,TRUE)"),"le secteur des assurances")</f>
        <v xml:space="preserve">le secteur des assurances</v>
      </c>
      <c r="K10073" s="5" t="s">
        <v>44703</v>
      </c>
      <c r="L10073" s="5" t="s">
        <v>44704</v>
      </c>
      <c r="M10073" s="18" t="s">
        <v>3426</v>
      </c>
      <c r="N10073" s="18" t="s">
        <v>29</v>
      </c>
      <c r="O10073" s="18" t="s">
        <v>44705</v>
      </c>
      <c r="P10073" s="18" t="s">
        <v>29</v>
      </c>
      <c r="Q10073" s="18" t="s">
        <v>44706</v>
      </c>
      <c r="R10073" s="6"/>
      <c r="S10073" s="6"/>
      <c r="T10073" s="6"/>
      <c r="U10073" s="6"/>
      <c r="V10073" s="6"/>
      <c r="W10073" s="6"/>
      <c r="X10073" s="6"/>
      <c r="Y10073" s="6"/>
    </row>
    <row r="10074" ht="14.25">
      <c r="B10074" s="8" t="s">
        <v>661</v>
      </c>
      <c r="C10074" s="8" t="s">
        <v>4132</v>
      </c>
      <c r="D10074" s="8" t="s">
        <v>44707</v>
      </c>
      <c r="E10074" s="8" t="s">
        <v>44708</v>
      </c>
      <c r="F10074" s="8" t="str">
        <f>IFERROR(__XLUDF.DUMMYFUNCTION("PROPER(REGEXREPLACE(D459,""[^A-Za-z]+ "",""""))"),"Groupe Expertises Services")</f>
        <v xml:space="preserve">Groupe Expertises Services</v>
      </c>
      <c r="G10074" s="8" t="s">
        <v>44709</v>
      </c>
      <c r="H10074" s="9">
        <v>22</v>
      </c>
      <c r="I10074" s="8" t="s">
        <v>39661</v>
      </c>
      <c r="J10074" s="8" t="str">
        <f>IFERROR(__XLUDF.DUMMYFUNCTION("VLOOKUP(H459,IMPORTRANGE(""https://docs.google.com/spreadsheets/d/1opm6ZNvGZ7KditA9TuJwrZ25eFLfTNIkrNnY6mhV5Eg"",""list!A1:C115""),3,TRUE)"),"le secteur des assurances")</f>
        <v xml:space="preserve">le secteur des assurances</v>
      </c>
      <c r="K10074" s="10" t="s">
        <v>44710</v>
      </c>
      <c r="L10074" s="10" t="s">
        <v>44711</v>
      </c>
      <c r="M10074" s="8" t="s">
        <v>13441</v>
      </c>
      <c r="N10074" s="8" t="s">
        <v>29</v>
      </c>
      <c r="O10074" s="8" t="s">
        <v>9350</v>
      </c>
      <c r="P10074" s="8"/>
      <c r="Q10074" s="8"/>
      <c r="R10074" s="8"/>
      <c r="S10074" s="8"/>
      <c r="T10074" s="8"/>
      <c r="U10074" s="8"/>
      <c r="V10074" s="8"/>
      <c r="W10074" s="8"/>
      <c r="X10074" s="8"/>
      <c r="Y10074" s="8"/>
    </row>
    <row r="10075" ht="14.25">
      <c r="B10075" s="8" t="s">
        <v>743</v>
      </c>
      <c r="C10075" s="8" t="s">
        <v>44712</v>
      </c>
      <c r="D10075" s="8" t="s">
        <v>112</v>
      </c>
      <c r="E10075" s="8" t="s">
        <v>44713</v>
      </c>
      <c r="F10075" s="8" t="str">
        <f>IFERROR(__XLUDF.DUMMYFUNCTION("PROPER(REGEXREPLACE(D460,""[^A-Za-z]+ "",""""))"),"Esigna Patrimoine")</f>
        <v xml:space="preserve">Esigna Patrimoine</v>
      </c>
      <c r="G10075" s="8" t="s">
        <v>44714</v>
      </c>
      <c r="H10075" s="9">
        <v>1</v>
      </c>
      <c r="I10075" s="8" t="s">
        <v>39661</v>
      </c>
      <c r="J10075" s="8" t="str">
        <f>IFERROR(__XLUDF.DUMMYFUNCTION("VLOOKUP(H460,IMPORTRANGE(""https://docs.google.com/spreadsheets/d/1opm6ZNvGZ7KditA9TuJwrZ25eFLfTNIkrNnY6mhV5Eg"",""list!A1:C115""),3,TRUE)"),"le secteur des assurances")</f>
        <v xml:space="preserve">le secteur des assurances</v>
      </c>
      <c r="K10075" s="10" t="s">
        <v>44715</v>
      </c>
      <c r="L10075" s="8"/>
      <c r="M10075" s="8" t="s">
        <v>83</v>
      </c>
      <c r="N10075" s="8" t="s">
        <v>29</v>
      </c>
      <c r="O10075" s="8" t="s">
        <v>9460</v>
      </c>
      <c r="P10075" s="8"/>
      <c r="Q10075" s="8"/>
      <c r="R10075" s="8"/>
      <c r="S10075" s="8"/>
      <c r="T10075" s="8"/>
      <c r="U10075" s="8"/>
      <c r="V10075" s="8"/>
      <c r="W10075" s="8"/>
      <c r="X10075" s="8"/>
      <c r="Y10075" s="8"/>
    </row>
    <row r="10076" ht="14.25">
      <c r="B10076" s="8" t="s">
        <v>785</v>
      </c>
      <c r="C10076" s="8" t="s">
        <v>44716</v>
      </c>
      <c r="D10076" s="8" t="s">
        <v>44717</v>
      </c>
      <c r="E10076" s="8" t="s">
        <v>44718</v>
      </c>
      <c r="F10076" s="8" t="str">
        <f>IFERROR(__XLUDF.DUMMYFUNCTION("PROPER(REGEXREPLACE(D461,""[^A-Za-z]+ "",""""))"),"Monconseil Assurances")</f>
        <v xml:space="preserve">Monconseil Assurances</v>
      </c>
      <c r="G10076" s="8" t="s">
        <v>44719</v>
      </c>
      <c r="H10076" s="9">
        <v>5</v>
      </c>
      <c r="I10076" s="8" t="s">
        <v>39661</v>
      </c>
      <c r="J10076" s="8" t="str">
        <f>IFERROR(__XLUDF.DUMMYFUNCTION("VLOOKUP(H461,IMPORTRANGE(""https://docs.google.com/spreadsheets/d/1opm6ZNvGZ7KditA9TuJwrZ25eFLfTNIkrNnY6mhV5Eg"",""list!A1:C115""),3,TRUE)"),"le secteur des assurances")</f>
        <v xml:space="preserve">le secteur des assurances</v>
      </c>
      <c r="K10076" s="10" t="s">
        <v>44720</v>
      </c>
      <c r="L10076" s="10" t="s">
        <v>44721</v>
      </c>
      <c r="M10076" s="8" t="s">
        <v>3848</v>
      </c>
      <c r="N10076" s="8" t="s">
        <v>29</v>
      </c>
      <c r="O10076" s="8" t="s">
        <v>9251</v>
      </c>
      <c r="P10076" s="8"/>
      <c r="Q10076" s="8" t="s">
        <v>44722</v>
      </c>
      <c r="R10076" s="8"/>
      <c r="S10076" s="8"/>
      <c r="T10076" s="8"/>
      <c r="U10076" s="8"/>
      <c r="V10076" s="8"/>
      <c r="W10076" s="8"/>
      <c r="X10076" s="8"/>
      <c r="Y10076" s="8"/>
    </row>
    <row r="10077" ht="14.25">
      <c r="B10077" s="8" t="s">
        <v>21364</v>
      </c>
      <c r="C10077" s="8" t="s">
        <v>40765</v>
      </c>
      <c r="D10077" s="8" t="s">
        <v>10432</v>
      </c>
      <c r="E10077" s="8" t="s">
        <v>40766</v>
      </c>
      <c r="F10077" s="8" t="str">
        <f>IFERROR(__XLUDF.DUMMYFUNCTION("PROPER(REGEXREPLACE(D462,""[^A-Za-z]+ "",""""))"),"Auxilia Courtage")</f>
        <v xml:space="preserve">Auxilia Courtage</v>
      </c>
      <c r="G10077" s="8" t="s">
        <v>44723</v>
      </c>
      <c r="H10077" s="9">
        <v>10</v>
      </c>
      <c r="I10077" s="8" t="s">
        <v>39661</v>
      </c>
      <c r="J10077" s="8" t="str">
        <f>IFERROR(__XLUDF.DUMMYFUNCTION("VLOOKUP(H462,IMPORTRANGE(""https://docs.google.com/spreadsheets/d/1opm6ZNvGZ7KditA9TuJwrZ25eFLfTNIkrNnY6mhV5Eg"",""list!A1:C115""),3,TRUE)"),"le secteur des assurances")</f>
        <v xml:space="preserve">le secteur des assurances</v>
      </c>
      <c r="K10077" s="10" t="s">
        <v>44724</v>
      </c>
      <c r="L10077" s="10" t="s">
        <v>44725</v>
      </c>
      <c r="M10077" s="8" t="s">
        <v>295</v>
      </c>
      <c r="N10077" s="8" t="s">
        <v>29</v>
      </c>
      <c r="O10077" s="8" t="s">
        <v>9251</v>
      </c>
      <c r="P10077" s="8"/>
      <c r="Q10077" s="8" t="s">
        <v>44726</v>
      </c>
      <c r="R10077" s="8"/>
      <c r="S10077" s="8"/>
      <c r="T10077" s="8"/>
      <c r="U10077" s="8"/>
      <c r="V10077" s="8"/>
      <c r="W10077" s="8"/>
      <c r="X10077" s="8"/>
      <c r="Y10077" s="8"/>
    </row>
    <row r="10078" ht="14.25">
      <c r="B10078" s="18" t="s">
        <v>1732</v>
      </c>
      <c r="C10078" s="18" t="s">
        <v>279</v>
      </c>
      <c r="D10078" s="18" t="s">
        <v>5186</v>
      </c>
      <c r="E10078" s="18" t="s">
        <v>43562</v>
      </c>
      <c r="F10078" s="8" t="str">
        <f>IFERROR(__XLUDF.DUMMYFUNCTION("PROPER(REGEXREPLACE(D463,""[^A-Za-z]+ "",""""))"),"Firidis")</f>
        <v>Firidis</v>
      </c>
      <c r="G10078" s="18" t="s">
        <v>44727</v>
      </c>
      <c r="H10078" s="18">
        <v>4</v>
      </c>
      <c r="I10078" s="18" t="s">
        <v>39661</v>
      </c>
      <c r="J10078" s="8" t="str">
        <f>IFERROR(__XLUDF.DUMMYFUNCTION("VLOOKUP(H463,IMPORTRANGE(""https://docs.google.com/spreadsheets/d/1opm6ZNvGZ7KditA9TuJwrZ25eFLfTNIkrNnY6mhV5Eg"",""list!A1:C115""),3,TRUE)"),"le secteur des assurances")</f>
        <v xml:space="preserve">le secteur des assurances</v>
      </c>
      <c r="K10078" s="5" t="s">
        <v>44728</v>
      </c>
      <c r="L10078" s="5" t="s">
        <v>43565</v>
      </c>
      <c r="M10078" s="18" t="s">
        <v>39</v>
      </c>
      <c r="N10078" s="18" t="s">
        <v>29</v>
      </c>
      <c r="O10078" s="18" t="s">
        <v>43566</v>
      </c>
      <c r="P10078" s="18" t="s">
        <v>29</v>
      </c>
      <c r="Q10078" s="18" t="s">
        <v>43567</v>
      </c>
      <c r="R10078" s="6"/>
      <c r="S10078" s="6"/>
      <c r="T10078" s="6"/>
      <c r="U10078" s="6"/>
      <c r="V10078" s="6"/>
      <c r="W10078" s="6"/>
      <c r="X10078" s="6"/>
      <c r="Y10078" s="6"/>
    </row>
    <row r="10079" ht="14.25">
      <c r="B10079" s="8" t="s">
        <v>42977</v>
      </c>
      <c r="C10079" s="8" t="s">
        <v>1732</v>
      </c>
      <c r="D10079" s="8" t="s">
        <v>10202</v>
      </c>
      <c r="E10079" s="8" t="s">
        <v>42978</v>
      </c>
      <c r="F10079" s="8" t="str">
        <f>IFERROR(__XLUDF.DUMMYFUNCTION("PROPER(REGEXREPLACE(D464,""[^A-Za-z]+ "",""""))"),"Assur&amp;Sens")</f>
        <v>Assur&amp;Sens</v>
      </c>
      <c r="G10079" s="8" t="s">
        <v>42979</v>
      </c>
      <c r="H10079" s="9">
        <v>2</v>
      </c>
      <c r="I10079" s="8" t="s">
        <v>39661</v>
      </c>
      <c r="J10079" s="8" t="str">
        <f>IFERROR(__XLUDF.DUMMYFUNCTION("VLOOKUP(H464,IMPORTRANGE(""https://docs.google.com/spreadsheets/d/1opm6ZNvGZ7KditA9TuJwrZ25eFLfTNIkrNnY6mhV5Eg"",""list!A1:C115""),3,TRUE)"),"le secteur des assurances")</f>
        <v xml:space="preserve">le secteur des assurances</v>
      </c>
      <c r="K10079" s="10" t="s">
        <v>44729</v>
      </c>
      <c r="L10079" s="10" t="s">
        <v>42981</v>
      </c>
      <c r="M10079" s="8"/>
      <c r="N10079" s="8" t="s">
        <v>29</v>
      </c>
      <c r="O10079" s="8"/>
      <c r="P10079" s="8"/>
      <c r="Q10079" s="8" t="s">
        <v>42982</v>
      </c>
      <c r="R10079" s="8"/>
      <c r="S10079" s="8"/>
      <c r="T10079" s="8"/>
      <c r="U10079" s="8"/>
      <c r="V10079" s="8"/>
      <c r="W10079" s="8"/>
      <c r="X10079" s="8"/>
      <c r="Y10079" s="8"/>
    </row>
    <row r="10080" ht="14.25">
      <c r="B10080" s="8" t="s">
        <v>322</v>
      </c>
      <c r="C10080" s="8" t="s">
        <v>44730</v>
      </c>
      <c r="D10080" s="8" t="s">
        <v>112</v>
      </c>
      <c r="E10080" s="8" t="s">
        <v>44731</v>
      </c>
      <c r="F10080" s="8" t="str">
        <f>IFERROR(__XLUDF.DUMMYFUNCTION("PROPER(REGEXREPLACE(D465,""[^A-Za-z]+ "",""""))"),"Didier Assurance")</f>
        <v xml:space="preserve">Didier Assurance</v>
      </c>
      <c r="G10080" s="8" t="s">
        <v>44732</v>
      </c>
      <c r="H10080" s="9">
        <v>3</v>
      </c>
      <c r="I10080" s="8" t="s">
        <v>39661</v>
      </c>
      <c r="J10080" s="8" t="str">
        <f>IFERROR(__XLUDF.DUMMYFUNCTION("VLOOKUP(H465,IMPORTRANGE(""https://docs.google.com/spreadsheets/d/1opm6ZNvGZ7KditA9TuJwrZ25eFLfTNIkrNnY6mhV5Eg"",""list!A1:C115""),3,TRUE)"),"le secteur des assurances")</f>
        <v xml:space="preserve">le secteur des assurances</v>
      </c>
      <c r="K10080" s="10" t="s">
        <v>44733</v>
      </c>
      <c r="L10080" s="8"/>
      <c r="M10080" s="8" t="s">
        <v>1497</v>
      </c>
      <c r="N10080" s="8" t="s">
        <v>29</v>
      </c>
      <c r="O10080" s="8" t="s">
        <v>9251</v>
      </c>
      <c r="P10080" s="8"/>
      <c r="Q10080" s="8"/>
      <c r="R10080" s="8"/>
      <c r="S10080" s="8"/>
      <c r="T10080" s="8"/>
      <c r="U10080" s="8"/>
      <c r="V10080" s="8"/>
      <c r="W10080" s="8"/>
      <c r="X10080" s="8"/>
      <c r="Y10080" s="8"/>
    </row>
    <row r="10081" ht="14.25">
      <c r="B10081" s="18" t="s">
        <v>76</v>
      </c>
      <c r="C10081" s="18" t="s">
        <v>44734</v>
      </c>
      <c r="D10081" s="18" t="s">
        <v>44735</v>
      </c>
      <c r="E10081" s="18" t="s">
        <v>44736</v>
      </c>
      <c r="F10081" s="8" t="str">
        <f>IFERROR(__XLUDF.DUMMYFUNCTION("PROPER(REGEXREPLACE(D466,""[^A-Za-z]+ "",""""))"),"Detralytics")</f>
        <v>Detralytics</v>
      </c>
      <c r="G10081" s="18" t="s">
        <v>44737</v>
      </c>
      <c r="H10081" s="18">
        <v>52</v>
      </c>
      <c r="I10081" s="18" t="s">
        <v>39661</v>
      </c>
      <c r="J10081" s="8" t="str">
        <f>IFERROR(__XLUDF.DUMMYFUNCTION("VLOOKUP(H466,IMPORTRANGE(""https://docs.google.com/spreadsheets/d/1opm6ZNvGZ7KditA9TuJwrZ25eFLfTNIkrNnY6mhV5Eg"",""list!A1:C115""),3,TRUE)"),"le secteur des assurances")</f>
        <v xml:space="preserve">le secteur des assurances</v>
      </c>
      <c r="K10081" s="5" t="s">
        <v>44738</v>
      </c>
      <c r="L10081" s="5" t="s">
        <v>44739</v>
      </c>
      <c r="M10081" s="6"/>
      <c r="N10081" s="18" t="s">
        <v>29</v>
      </c>
      <c r="O10081" s="18" t="s">
        <v>44740</v>
      </c>
      <c r="P10081" s="18" t="s">
        <v>2953</v>
      </c>
      <c r="Q10081" s="6"/>
      <c r="R10081" s="6"/>
      <c r="S10081" s="6"/>
      <c r="T10081" s="6"/>
      <c r="U10081" s="6"/>
      <c r="V10081" s="6"/>
      <c r="W10081" s="6"/>
      <c r="X10081" s="6"/>
      <c r="Y10081" s="6"/>
    </row>
    <row r="10082" ht="14.25">
      <c r="B10082" s="8" t="s">
        <v>5579</v>
      </c>
      <c r="C10082" s="8" t="s">
        <v>44741</v>
      </c>
      <c r="D10082" s="8" t="s">
        <v>341</v>
      </c>
      <c r="E10082" s="8" t="s">
        <v>44742</v>
      </c>
      <c r="F10082" s="8" t="str">
        <f>IFERROR(__XLUDF.DUMMYFUNCTION("PROPER(REGEXREPLACE(D467,""[^A-Za-z]+ "",""""))"),"Aegir Patrimoine")</f>
        <v xml:space="preserve">Aegir Patrimoine</v>
      </c>
      <c r="G10082" s="8" t="s">
        <v>44743</v>
      </c>
      <c r="H10082" s="9">
        <v>1</v>
      </c>
      <c r="I10082" s="8" t="s">
        <v>39661</v>
      </c>
      <c r="J10082" s="8" t="str">
        <f>IFERROR(__XLUDF.DUMMYFUNCTION("VLOOKUP(H467,IMPORTRANGE(""https://docs.google.com/spreadsheets/d/1opm6ZNvGZ7KditA9TuJwrZ25eFLfTNIkrNnY6mhV5Eg"",""list!A1:C115""),3,TRUE)"),"le secteur des assurances")</f>
        <v xml:space="preserve">le secteur des assurances</v>
      </c>
      <c r="K10082" s="10" t="s">
        <v>44744</v>
      </c>
      <c r="L10082" s="10" t="s">
        <v>44745</v>
      </c>
      <c r="M10082" s="8" t="s">
        <v>140</v>
      </c>
      <c r="N10082" s="8" t="s">
        <v>29</v>
      </c>
      <c r="O10082" s="8" t="s">
        <v>9160</v>
      </c>
      <c r="P10082" s="8"/>
      <c r="Q10082" s="8"/>
      <c r="R10082" s="8"/>
      <c r="S10082" s="8"/>
      <c r="T10082" s="8"/>
      <c r="U10082" s="8"/>
      <c r="V10082" s="8"/>
      <c r="W10082" s="8"/>
      <c r="X10082" s="8"/>
      <c r="Y10082" s="8"/>
    </row>
    <row r="10083" ht="14.25">
      <c r="B10083" s="18" t="s">
        <v>7559</v>
      </c>
      <c r="C10083" s="18" t="s">
        <v>44746</v>
      </c>
      <c r="D10083" s="18" t="s">
        <v>87</v>
      </c>
      <c r="E10083" s="18" t="s">
        <v>42959</v>
      </c>
      <c r="F10083" s="8" t="str">
        <f>IFERROR(__XLUDF.DUMMYFUNCTION("PROPER(REGEXREPLACE(D468,""[^A-Za-z]+ "",""""))"),"Naudet")</f>
        <v>Naudet</v>
      </c>
      <c r="G10083" s="18" t="s">
        <v>44747</v>
      </c>
      <c r="H10083" s="18">
        <v>79</v>
      </c>
      <c r="I10083" s="18" t="s">
        <v>39661</v>
      </c>
      <c r="J10083" s="8" t="str">
        <f>IFERROR(__XLUDF.DUMMYFUNCTION("VLOOKUP(H468,IMPORTRANGE(""https://docs.google.com/spreadsheets/d/1opm6ZNvGZ7KditA9TuJwrZ25eFLfTNIkrNnY6mhV5Eg"",""list!A1:C115""),3,TRUE)"),"le secteur des assurances")</f>
        <v xml:space="preserve">le secteur des assurances</v>
      </c>
      <c r="K10083" s="5" t="s">
        <v>44748</v>
      </c>
      <c r="L10083" s="5" t="s">
        <v>42962</v>
      </c>
      <c r="M10083" s="18" t="s">
        <v>39</v>
      </c>
      <c r="N10083" s="18" t="s">
        <v>29</v>
      </c>
      <c r="O10083" s="18" t="s">
        <v>19628</v>
      </c>
      <c r="P10083" s="18" t="s">
        <v>29</v>
      </c>
      <c r="Q10083" s="18" t="s">
        <v>42963</v>
      </c>
      <c r="R10083" s="6"/>
      <c r="S10083" s="6"/>
      <c r="T10083" s="6"/>
      <c r="U10083" s="6"/>
      <c r="V10083" s="6"/>
      <c r="W10083" s="6"/>
      <c r="X10083" s="6"/>
      <c r="Y10083" s="6"/>
    </row>
    <row r="10084" ht="14.25">
      <c r="B10084" s="8" t="s">
        <v>44749</v>
      </c>
      <c r="C10084" s="8" t="s">
        <v>44750</v>
      </c>
      <c r="D10084" s="8" t="s">
        <v>112</v>
      </c>
      <c r="E10084" s="8" t="s">
        <v>44751</v>
      </c>
      <c r="F10084" s="8" t="str">
        <f>IFERROR(__XLUDF.DUMMYFUNCTION("PROPER(REGEXREPLACE(D469,""[^A-Za-z]+ "",""""))"),"Altovia")</f>
        <v>Altovia</v>
      </c>
      <c r="G10084" s="8" t="s">
        <v>44752</v>
      </c>
      <c r="H10084" s="9">
        <v>1</v>
      </c>
      <c r="I10084" s="8" t="s">
        <v>39661</v>
      </c>
      <c r="J10084" s="8" t="str">
        <f>IFERROR(__XLUDF.DUMMYFUNCTION("VLOOKUP(H469,IMPORTRANGE(""https://docs.google.com/spreadsheets/d/1opm6ZNvGZ7KditA9TuJwrZ25eFLfTNIkrNnY6mhV5Eg"",""list!A1:C115""),3,TRUE)"),"le secteur des assurances")</f>
        <v xml:space="preserve">le secteur des assurances</v>
      </c>
      <c r="K10084" s="10" t="s">
        <v>44753</v>
      </c>
      <c r="L10084" s="10" t="s">
        <v>44754</v>
      </c>
      <c r="M10084" s="8" t="s">
        <v>39</v>
      </c>
      <c r="N10084" s="8" t="s">
        <v>29</v>
      </c>
      <c r="O10084" s="8" t="s">
        <v>9160</v>
      </c>
      <c r="P10084" s="8"/>
      <c r="Q10084" s="8" t="s">
        <v>44755</v>
      </c>
      <c r="R10084" s="8"/>
      <c r="S10084" s="8"/>
      <c r="T10084" s="8"/>
      <c r="U10084" s="8"/>
      <c r="V10084" s="8"/>
      <c r="W10084" s="8"/>
      <c r="X10084" s="8"/>
      <c r="Y10084" s="8"/>
    </row>
    <row r="10085" ht="14.25">
      <c r="B10085" s="18" t="s">
        <v>670</v>
      </c>
      <c r="C10085" s="18" t="s">
        <v>44756</v>
      </c>
      <c r="D10085" s="18" t="s">
        <v>44757</v>
      </c>
      <c r="E10085" s="5" t="s">
        <v>44758</v>
      </c>
      <c r="F10085" s="11" t="str">
        <f>IFERROR(__XLUDF.DUMMYFUNCTION("PROPER(REGEXREPLACE(D470,""[^A-Za-z]+ "",""""))"),"Choisir-Un-Courtier.Com")</f>
        <v>Choisir-Un-Courtier.Com</v>
      </c>
      <c r="G10085" s="18" t="s">
        <v>44759</v>
      </c>
      <c r="H10085" s="18">
        <v>3</v>
      </c>
      <c r="I10085" s="18" t="s">
        <v>39661</v>
      </c>
      <c r="J10085" s="8" t="str">
        <f>IFERROR(__XLUDF.DUMMYFUNCTION("VLOOKUP(H470,IMPORTRANGE(""https://docs.google.com/spreadsheets/d/1opm6ZNvGZ7KditA9TuJwrZ25eFLfTNIkrNnY6mhV5Eg"",""list!A1:C115""),3,TRUE)"),"le secteur des assurances")</f>
        <v xml:space="preserve">le secteur des assurances</v>
      </c>
      <c r="K10085" s="5" t="s">
        <v>44760</v>
      </c>
      <c r="L10085" s="5" t="s">
        <v>44761</v>
      </c>
      <c r="M10085" s="18" t="s">
        <v>11716</v>
      </c>
      <c r="N10085" s="18" t="s">
        <v>29</v>
      </c>
      <c r="O10085" s="18" t="s">
        <v>40276</v>
      </c>
      <c r="P10085" s="18" t="s">
        <v>29</v>
      </c>
      <c r="Q10085" s="18" t="s">
        <v>44762</v>
      </c>
      <c r="R10085" s="6"/>
      <c r="S10085" s="6"/>
      <c r="T10085" s="6"/>
      <c r="U10085" s="6"/>
      <c r="V10085" s="6"/>
      <c r="W10085" s="6"/>
      <c r="X10085" s="6"/>
      <c r="Y10085" s="6"/>
    </row>
    <row r="10086" ht="14.25">
      <c r="B10086" s="8" t="s">
        <v>2589</v>
      </c>
      <c r="C10086" s="8" t="s">
        <v>5311</v>
      </c>
      <c r="D10086" s="8" t="s">
        <v>44763</v>
      </c>
      <c r="E10086" s="8" t="s">
        <v>43988</v>
      </c>
      <c r="F10086" s="8" t="str">
        <f>IFERROR(__XLUDF.DUMMYFUNCTION("PROPER(REGEXREPLACE(D471,""[^A-Za-z]+ "",""""))"),"Asselio")</f>
        <v>Asselio</v>
      </c>
      <c r="G10086" s="8" t="s">
        <v>44764</v>
      </c>
      <c r="H10086" s="9">
        <v>43</v>
      </c>
      <c r="I10086" s="8" t="s">
        <v>39661</v>
      </c>
      <c r="J10086" s="8" t="str">
        <f>IFERROR(__XLUDF.DUMMYFUNCTION("VLOOKUP(H471,IMPORTRANGE(""https://docs.google.com/spreadsheets/d/1opm6ZNvGZ7KditA9TuJwrZ25eFLfTNIkrNnY6mhV5Eg"",""list!A1:C115""),3,TRUE)"),"le secteur des assurances")</f>
        <v xml:space="preserve">le secteur des assurances</v>
      </c>
      <c r="K10086" s="10" t="s">
        <v>44765</v>
      </c>
      <c r="L10086" s="10" t="s">
        <v>43991</v>
      </c>
      <c r="M10086" s="8" t="s">
        <v>2174</v>
      </c>
      <c r="N10086" s="8" t="s">
        <v>29</v>
      </c>
      <c r="O10086" s="8" t="s">
        <v>9193</v>
      </c>
      <c r="P10086" s="8"/>
      <c r="Q10086" s="8" t="s">
        <v>43992</v>
      </c>
      <c r="R10086" s="8"/>
      <c r="S10086" s="8"/>
      <c r="T10086" s="8"/>
      <c r="U10086" s="8"/>
      <c r="V10086" s="8"/>
      <c r="W10086" s="8"/>
      <c r="X10086" s="8"/>
      <c r="Y10086" s="8"/>
    </row>
    <row r="10087" ht="14.25">
      <c r="B10087" s="8"/>
      <c r="C10087" s="8"/>
      <c r="D10087" s="8"/>
      <c r="E10087" s="8"/>
      <c r="F10087" s="8"/>
      <c r="G10087" s="8"/>
      <c r="H10087" s="8"/>
      <c r="I10087" s="8"/>
      <c r="J10087" s="8"/>
      <c r="K10087" s="8"/>
      <c r="L10087" s="8"/>
      <c r="M10087" s="8"/>
      <c r="N10087" s="8"/>
      <c r="O10087" s="8"/>
      <c r="P10087" s="8"/>
      <c r="Q10087" s="8"/>
      <c r="R10087" s="8"/>
      <c r="S10087" s="8"/>
      <c r="T10087" s="8"/>
      <c r="U10087" s="8"/>
      <c r="V10087" s="8"/>
      <c r="W10087" s="8"/>
      <c r="X10087" s="8"/>
      <c r="Y10087" s="8"/>
    </row>
    <row r="10088" ht="14.25">
      <c r="B10088" s="8"/>
      <c r="C10088" s="8"/>
      <c r="D10088" s="8"/>
      <c r="E10088" s="8"/>
      <c r="F10088" s="8"/>
      <c r="G10088" s="8"/>
      <c r="H10088" s="8"/>
      <c r="I10088" s="8"/>
      <c r="J10088" s="8"/>
      <c r="K10088" s="8"/>
      <c r="L10088" s="8"/>
      <c r="M10088" s="8"/>
      <c r="N10088" s="8"/>
      <c r="O10088" s="8"/>
      <c r="P10088" s="8"/>
      <c r="Q10088" s="8"/>
      <c r="R10088" s="8"/>
      <c r="S10088" s="8"/>
      <c r="T10088" s="8"/>
      <c r="U10088" s="8"/>
      <c r="V10088" s="8"/>
      <c r="W10088" s="8"/>
      <c r="X10088" s="8"/>
      <c r="Y10088" s="8"/>
    </row>
    <row r="10089" ht="14.25">
      <c r="B10089" s="17" t="s">
        <v>1</v>
      </c>
      <c r="C10089" s="17" t="s">
        <v>2</v>
      </c>
      <c r="D10089" s="17" t="s">
        <v>3</v>
      </c>
      <c r="E10089" s="6"/>
      <c r="F10089" s="17" t="s">
        <v>4</v>
      </c>
      <c r="G10089" s="17" t="s">
        <v>5</v>
      </c>
      <c r="H10089" s="17" t="s">
        <v>6</v>
      </c>
      <c r="I10089" s="17" t="s">
        <v>7</v>
      </c>
      <c r="J10089" s="17" t="s">
        <v>8</v>
      </c>
      <c r="K10089" s="17" t="s">
        <v>9</v>
      </c>
      <c r="L10089" s="17" t="s">
        <v>10</v>
      </c>
      <c r="M10089" s="17" t="s">
        <v>11</v>
      </c>
      <c r="N10089" s="17" t="s">
        <v>12</v>
      </c>
      <c r="O10089" s="17" t="s">
        <v>13</v>
      </c>
      <c r="P10089" s="17" t="s">
        <v>14</v>
      </c>
      <c r="Q10089" s="17" t="s">
        <v>15</v>
      </c>
      <c r="R10089" s="17" t="s">
        <v>16</v>
      </c>
      <c r="S10089" s="17" t="s">
        <v>17</v>
      </c>
      <c r="T10089" s="17" t="s">
        <v>18</v>
      </c>
      <c r="U10089" s="17" t="s">
        <v>19</v>
      </c>
      <c r="V10089" s="8"/>
      <c r="W10089" s="8"/>
      <c r="X10089" s="8"/>
      <c r="Y10089" s="8"/>
    </row>
    <row r="10090" ht="14.25">
      <c r="B10090" s="18" t="s">
        <v>26247</v>
      </c>
      <c r="C10090" s="18" t="s">
        <v>44766</v>
      </c>
      <c r="D10090" s="18" t="s">
        <v>3188</v>
      </c>
      <c r="E10090" s="18" t="s">
        <v>44767</v>
      </c>
      <c r="F10090" s="18" t="str">
        <f>IFERROR(__XLUDF.DUMMYFUNCTION("PROPER(REGEXREPLACE(D2,""[^A-Za-z]+ "",""""))"),"Constructions-3D")</f>
        <v>Constructions-3D</v>
      </c>
      <c r="G10090" s="18" t="s">
        <v>44768</v>
      </c>
      <c r="H10090" s="18">
        <v>25</v>
      </c>
      <c r="I10090" s="18" t="s">
        <v>14347</v>
      </c>
      <c r="J10090" s="5" t="s">
        <v>44769</v>
      </c>
      <c r="K10090" s="5" t="s">
        <v>44770</v>
      </c>
      <c r="L10090" s="18" t="s">
        <v>846</v>
      </c>
      <c r="M10090" s="18" t="s">
        <v>29</v>
      </c>
      <c r="N10090" s="18" t="s">
        <v>44771</v>
      </c>
      <c r="O10090" s="18" t="s">
        <v>29</v>
      </c>
      <c r="P10090" s="18" t="s">
        <v>44772</v>
      </c>
      <c r="Q10090" s="6"/>
      <c r="R10090" s="6"/>
      <c r="S10090" s="6"/>
      <c r="T10090" s="6"/>
      <c r="U10090" s="6"/>
      <c r="V10090" s="8"/>
      <c r="W10090" s="8"/>
      <c r="X10090" s="8"/>
      <c r="Y10090" s="8"/>
    </row>
    <row r="10091" ht="14.25">
      <c r="B10091" s="18" t="s">
        <v>963</v>
      </c>
      <c r="C10091" s="18" t="s">
        <v>44773</v>
      </c>
      <c r="D10091" s="18" t="s">
        <v>172</v>
      </c>
      <c r="E10091" s="18" t="s">
        <v>44774</v>
      </c>
      <c r="F10091" s="18" t="str">
        <f>IFERROR(__XLUDF.DUMMYFUNCTION("PROPER(REGEXREPLACE(D3,""[^A-Za-z]+ "",""""))"),"Nextensia")</f>
        <v>Nextensia</v>
      </c>
      <c r="G10091" s="18" t="s">
        <v>44775</v>
      </c>
      <c r="H10091" s="18">
        <v>38</v>
      </c>
      <c r="I10091" s="18" t="s">
        <v>9239</v>
      </c>
      <c r="J10091" s="5" t="s">
        <v>44776</v>
      </c>
      <c r="K10091" s="5" t="s">
        <v>44777</v>
      </c>
      <c r="L10091" s="6"/>
      <c r="M10091" s="18" t="s">
        <v>29</v>
      </c>
      <c r="N10091" s="18" t="s">
        <v>44778</v>
      </c>
      <c r="O10091" s="18" t="s">
        <v>29</v>
      </c>
      <c r="P10091" s="18" t="s">
        <v>44779</v>
      </c>
      <c r="Q10091" s="6"/>
      <c r="R10091" s="6"/>
      <c r="S10091" s="6"/>
      <c r="T10091" s="6"/>
      <c r="U10091" s="6"/>
      <c r="V10091" s="8"/>
      <c r="W10091" s="8"/>
      <c r="X10091" s="8"/>
      <c r="Y10091" s="8"/>
    </row>
    <row r="10092" ht="14.25">
      <c r="B10092" s="18" t="s">
        <v>44780</v>
      </c>
      <c r="C10092" s="18" t="s">
        <v>44781</v>
      </c>
      <c r="D10092" s="18" t="s">
        <v>44782</v>
      </c>
      <c r="E10092" s="18" t="s">
        <v>44783</v>
      </c>
      <c r="F10092" s="18" t="str">
        <f>IFERROR(__XLUDF.DUMMYFUNCTION("PROPER(REGEXREPLACE(D4,""[^A-Za-z]+ "",""""))"),"Facea Group")</f>
        <v xml:space="preserve">Facea Group</v>
      </c>
      <c r="G10092" s="18" t="s">
        <v>44784</v>
      </c>
      <c r="H10092" s="18">
        <v>45</v>
      </c>
      <c r="I10092" s="18" t="s">
        <v>9239</v>
      </c>
      <c r="J10092" s="5" t="s">
        <v>44785</v>
      </c>
      <c r="K10092" s="5" t="s">
        <v>44786</v>
      </c>
      <c r="L10092" s="18" t="s">
        <v>44787</v>
      </c>
      <c r="M10092" s="18" t="s">
        <v>29</v>
      </c>
      <c r="N10092" s="18" t="s">
        <v>44788</v>
      </c>
      <c r="O10092" s="18" t="s">
        <v>29</v>
      </c>
      <c r="P10092" s="6"/>
      <c r="Q10092" s="6"/>
      <c r="R10092" s="6"/>
      <c r="S10092" s="6"/>
      <c r="T10092" s="6"/>
      <c r="U10092" s="6"/>
      <c r="V10092" s="8"/>
      <c r="W10092" s="8"/>
      <c r="X10092" s="8"/>
      <c r="Y10092" s="8"/>
    </row>
    <row r="10093" ht="14.25">
      <c r="B10093" s="18" t="s">
        <v>1324</v>
      </c>
      <c r="C10093" s="18" t="s">
        <v>44789</v>
      </c>
      <c r="D10093" s="18" t="s">
        <v>44790</v>
      </c>
      <c r="E10093" s="18" t="s">
        <v>44791</v>
      </c>
      <c r="F10093" s="18" t="str">
        <f>IFERROR(__XLUDF.DUMMYFUNCTION("PROPER(REGEXREPLACE(D5,""[^A-Za-z]+ "",""""))"),"Geo-Projection")</f>
        <v>Geo-Projection</v>
      </c>
      <c r="G10093" s="18" t="s">
        <v>44792</v>
      </c>
      <c r="H10093" s="18">
        <v>3</v>
      </c>
      <c r="I10093" s="18" t="s">
        <v>9239</v>
      </c>
      <c r="J10093" s="5" t="s">
        <v>44793</v>
      </c>
      <c r="K10093" s="5" t="s">
        <v>44794</v>
      </c>
      <c r="L10093" s="18" t="s">
        <v>1312</v>
      </c>
      <c r="M10093" s="18" t="s">
        <v>29</v>
      </c>
      <c r="N10093" s="18" t="s">
        <v>1313</v>
      </c>
      <c r="O10093" s="18" t="s">
        <v>29</v>
      </c>
      <c r="P10093" s="18" t="s">
        <v>44795</v>
      </c>
      <c r="Q10093" s="6"/>
      <c r="R10093" s="6"/>
      <c r="S10093" s="6"/>
      <c r="T10093" s="6"/>
      <c r="U10093" s="6"/>
      <c r="V10093" s="8"/>
      <c r="W10093" s="8"/>
      <c r="X10093" s="8"/>
      <c r="Y10093" s="8"/>
    </row>
    <row r="10094" ht="14.25">
      <c r="B10094" s="18" t="s">
        <v>6788</v>
      </c>
      <c r="C10094" s="18" t="s">
        <v>44796</v>
      </c>
      <c r="D10094" s="18" t="s">
        <v>112</v>
      </c>
      <c r="E10094" s="18" t="s">
        <v>44797</v>
      </c>
      <c r="F10094" s="18" t="str">
        <f>IFERROR(__XLUDF.DUMMYFUNCTION("PROPER(REGEXREPLACE(D6,""[^A-Za-z]+ "",""""))"),"Cobalp")</f>
        <v>Cobalp</v>
      </c>
      <c r="G10094" s="18" t="s">
        <v>44798</v>
      </c>
      <c r="H10094" s="18">
        <v>18</v>
      </c>
      <c r="I10094" s="18" t="s">
        <v>9239</v>
      </c>
      <c r="J10094" s="5" t="s">
        <v>44799</v>
      </c>
      <c r="K10094" s="5" t="s">
        <v>44800</v>
      </c>
      <c r="L10094" s="18" t="s">
        <v>423</v>
      </c>
      <c r="M10094" s="18" t="s">
        <v>29</v>
      </c>
      <c r="N10094" s="18" t="s">
        <v>44801</v>
      </c>
      <c r="O10094" s="18" t="s">
        <v>29</v>
      </c>
      <c r="P10094" s="18" t="s">
        <v>44802</v>
      </c>
      <c r="Q10094" s="6"/>
      <c r="R10094" s="6"/>
      <c r="S10094" s="6"/>
      <c r="T10094" s="6"/>
      <c r="U10094" s="6"/>
      <c r="V10094" s="8"/>
      <c r="W10094" s="8"/>
      <c r="X10094" s="8"/>
      <c r="Y10094" s="8"/>
    </row>
    <row r="10095" ht="14.25">
      <c r="B10095" s="18" t="s">
        <v>21744</v>
      </c>
      <c r="C10095" s="18" t="s">
        <v>43335</v>
      </c>
      <c r="D10095" s="18" t="s">
        <v>10605</v>
      </c>
      <c r="E10095" s="18" t="s">
        <v>44803</v>
      </c>
      <c r="F10095" s="18" t="str">
        <f>IFERROR(__XLUDF.DUMMYFUNCTION("PROPER(REGEXREPLACE(D7,""[^A-Za-z]+ "",""""))"),"Edigo")</f>
        <v>Edigo</v>
      </c>
      <c r="G10095" s="18" t="s">
        <v>44804</v>
      </c>
      <c r="H10095" s="18">
        <v>33</v>
      </c>
      <c r="I10095" s="18" t="s">
        <v>9239</v>
      </c>
      <c r="J10095" s="5" t="s">
        <v>44805</v>
      </c>
      <c r="K10095" s="5" t="s">
        <v>44806</v>
      </c>
      <c r="L10095" s="18" t="s">
        <v>1711</v>
      </c>
      <c r="M10095" s="18" t="s">
        <v>29</v>
      </c>
      <c r="N10095" s="18" t="s">
        <v>25630</v>
      </c>
      <c r="O10095" s="18" t="s">
        <v>29</v>
      </c>
      <c r="P10095" s="6"/>
      <c r="Q10095" s="6"/>
      <c r="R10095" s="6"/>
      <c r="S10095" s="6"/>
      <c r="T10095" s="6"/>
      <c r="U10095" s="6"/>
      <c r="V10095" s="8"/>
      <c r="W10095" s="8"/>
      <c r="X10095" s="8"/>
      <c r="Y10095" s="8"/>
    </row>
    <row r="10096" ht="14.25">
      <c r="B10096" s="18" t="s">
        <v>4977</v>
      </c>
      <c r="C10096" s="18" t="s">
        <v>6147</v>
      </c>
      <c r="D10096" s="18" t="s">
        <v>7155</v>
      </c>
      <c r="E10096" s="18" t="s">
        <v>44807</v>
      </c>
      <c r="F10096" s="18" t="str">
        <f>IFERROR(__XLUDF.DUMMYFUNCTION("PROPER(REGEXREPLACE(D8,""[^A-Za-z]+ "",""""))"),"Accoplas")</f>
        <v>Accoplas</v>
      </c>
      <c r="G10096" s="18" t="s">
        <v>44808</v>
      </c>
      <c r="H10096" s="18">
        <v>37</v>
      </c>
      <c r="I10096" s="18" t="s">
        <v>9239</v>
      </c>
      <c r="J10096" s="5" t="s">
        <v>44809</v>
      </c>
      <c r="K10096" s="5" t="s">
        <v>44810</v>
      </c>
      <c r="L10096" s="18" t="s">
        <v>295</v>
      </c>
      <c r="M10096" s="18" t="s">
        <v>29</v>
      </c>
      <c r="N10096" s="18" t="s">
        <v>44811</v>
      </c>
      <c r="O10096" s="18" t="s">
        <v>29</v>
      </c>
      <c r="P10096" s="18" t="s">
        <v>44812</v>
      </c>
      <c r="Q10096" s="6"/>
      <c r="R10096" s="6"/>
      <c r="S10096" s="6"/>
      <c r="T10096" s="6"/>
      <c r="U10096" s="6"/>
      <c r="V10096" s="8"/>
      <c r="W10096" s="8"/>
      <c r="X10096" s="8"/>
      <c r="Y10096" s="8"/>
    </row>
    <row r="10097" ht="14.25">
      <c r="B10097" s="18" t="s">
        <v>769</v>
      </c>
      <c r="C10097" s="18" t="s">
        <v>44813</v>
      </c>
      <c r="D10097" s="18" t="s">
        <v>44814</v>
      </c>
      <c r="E10097" s="18" t="s">
        <v>44815</v>
      </c>
      <c r="F10097" s="18" t="str">
        <f>IFERROR(__XLUDF.DUMMYFUNCTION("PROPER(REGEXREPLACE(D9,""[^A-Za-z]+ "",""""))"),"Mf Construction")</f>
        <v xml:space="preserve">Mf Construction</v>
      </c>
      <c r="G10097" s="18" t="s">
        <v>44816</v>
      </c>
      <c r="H10097" s="18">
        <v>19</v>
      </c>
      <c r="I10097" s="18" t="s">
        <v>9239</v>
      </c>
      <c r="J10097" s="5" t="s">
        <v>44817</v>
      </c>
      <c r="K10097" s="5" t="s">
        <v>44818</v>
      </c>
      <c r="L10097" s="18" t="s">
        <v>1711</v>
      </c>
      <c r="M10097" s="18" t="s">
        <v>29</v>
      </c>
      <c r="N10097" s="18" t="s">
        <v>44819</v>
      </c>
      <c r="O10097" s="18" t="s">
        <v>29</v>
      </c>
      <c r="P10097" s="18" t="s">
        <v>44820</v>
      </c>
      <c r="Q10097" s="6"/>
      <c r="R10097" s="6"/>
      <c r="S10097" s="6"/>
      <c r="T10097" s="6"/>
      <c r="U10097" s="6"/>
      <c r="V10097" s="8"/>
      <c r="W10097" s="8"/>
      <c r="X10097" s="8"/>
      <c r="Y10097" s="8"/>
    </row>
    <row r="10098" ht="14.25">
      <c r="B10098" s="18" t="s">
        <v>866</v>
      </c>
      <c r="C10098" s="18" t="s">
        <v>44821</v>
      </c>
      <c r="D10098" s="18" t="s">
        <v>87</v>
      </c>
      <c r="E10098" s="18" t="s">
        <v>44822</v>
      </c>
      <c r="F10098" s="18" t="str">
        <f>IFERROR(__XLUDF.DUMMYFUNCTION("PROPER(REGEXREPLACE(D10,""[^A-Za-z]+ "",""""))"),"Zen Modular")</f>
        <v xml:space="preserve">Zen Modular</v>
      </c>
      <c r="G10098" s="18" t="s">
        <v>44823</v>
      </c>
      <c r="H10098" s="18">
        <v>5</v>
      </c>
      <c r="I10098" s="18" t="s">
        <v>9239</v>
      </c>
      <c r="J10098" s="5" t="s">
        <v>44824</v>
      </c>
      <c r="K10098" s="5" t="s">
        <v>44825</v>
      </c>
      <c r="L10098" s="18" t="s">
        <v>9237</v>
      </c>
      <c r="M10098" s="18" t="s">
        <v>29</v>
      </c>
      <c r="N10098" s="18" t="s">
        <v>44826</v>
      </c>
      <c r="O10098" s="18" t="s">
        <v>29</v>
      </c>
      <c r="P10098" s="18" t="s">
        <v>44827</v>
      </c>
      <c r="Q10098" s="6"/>
      <c r="R10098" s="6"/>
      <c r="S10098" s="6"/>
      <c r="T10098" s="6"/>
      <c r="U10098" s="6"/>
      <c r="V10098" s="8"/>
      <c r="W10098" s="8"/>
      <c r="X10098" s="8"/>
      <c r="Y10098" s="8"/>
    </row>
    <row r="10099" ht="14.25">
      <c r="B10099" s="18" t="s">
        <v>44828</v>
      </c>
      <c r="C10099" s="18" t="s">
        <v>3850</v>
      </c>
      <c r="D10099" s="18" t="s">
        <v>426</v>
      </c>
      <c r="E10099" s="18" t="s">
        <v>44829</v>
      </c>
      <c r="F10099" s="18" t="str">
        <f>IFERROR(__XLUDF.DUMMYFUNCTION("PROPER(REGEXREPLACE(D11,""[^A-Za-z]+ "",""""))"),"Dmf Expert")</f>
        <v xml:space="preserve">Dmf Expert</v>
      </c>
      <c r="G10099" s="18" t="s">
        <v>44830</v>
      </c>
      <c r="H10099" s="18">
        <v>82</v>
      </c>
      <c r="I10099" s="18" t="s">
        <v>9239</v>
      </c>
      <c r="J10099" s="5" t="s">
        <v>44831</v>
      </c>
      <c r="K10099" s="5" t="s">
        <v>44832</v>
      </c>
      <c r="L10099" s="18" t="s">
        <v>243</v>
      </c>
      <c r="M10099" s="18" t="s">
        <v>29</v>
      </c>
      <c r="N10099" s="18" t="s">
        <v>1533</v>
      </c>
      <c r="O10099" s="18" t="s">
        <v>29</v>
      </c>
      <c r="P10099" s="18" t="s">
        <v>44833</v>
      </c>
      <c r="Q10099" s="6"/>
      <c r="R10099" s="6"/>
      <c r="S10099" s="6"/>
      <c r="T10099" s="6"/>
      <c r="U10099" s="6"/>
      <c r="V10099" s="8"/>
      <c r="W10099" s="8"/>
      <c r="X10099" s="8"/>
      <c r="Y10099" s="8"/>
    </row>
    <row r="10100" ht="14.25">
      <c r="B10100" s="18" t="s">
        <v>734</v>
      </c>
      <c r="C10100" s="18" t="s">
        <v>2165</v>
      </c>
      <c r="D10100" s="18" t="s">
        <v>172</v>
      </c>
      <c r="E10100" s="18" t="s">
        <v>44834</v>
      </c>
      <c r="F10100" s="18" t="str">
        <f>IFERROR(__XLUDF.DUMMYFUNCTION("PROPER(REGEXREPLACE(D12,""[^A-Za-z]+ "",""""))"),"Alpes Préfa")</f>
        <v xml:space="preserve">Alpes Préfa</v>
      </c>
      <c r="G10100" s="18" t="s">
        <v>44835</v>
      </c>
      <c r="H10100" s="18">
        <v>20</v>
      </c>
      <c r="I10100" s="18" t="s">
        <v>9239</v>
      </c>
      <c r="J10100" s="5" t="s">
        <v>44836</v>
      </c>
      <c r="K10100" s="5" t="s">
        <v>44837</v>
      </c>
      <c r="L10100" s="18" t="s">
        <v>774</v>
      </c>
      <c r="M10100" s="18" t="s">
        <v>29</v>
      </c>
      <c r="N10100" s="18" t="s">
        <v>44838</v>
      </c>
      <c r="O10100" s="18" t="s">
        <v>29</v>
      </c>
      <c r="P10100" s="18" t="s">
        <v>44839</v>
      </c>
      <c r="Q10100" s="6"/>
      <c r="R10100" s="6"/>
      <c r="S10100" s="6"/>
      <c r="T10100" s="6"/>
      <c r="U10100" s="6"/>
      <c r="V10100" s="8"/>
      <c r="W10100" s="8"/>
      <c r="X10100" s="8"/>
      <c r="Y10100" s="8"/>
    </row>
    <row r="10101" ht="14.25">
      <c r="B10101" s="18" t="s">
        <v>1153</v>
      </c>
      <c r="C10101" s="18" t="s">
        <v>44840</v>
      </c>
      <c r="D10101" s="18" t="s">
        <v>172</v>
      </c>
      <c r="E10101" s="18" t="s">
        <v>44841</v>
      </c>
      <c r="F10101" s="18" t="str">
        <f>IFERROR(__XLUDF.DUMMYFUNCTION("PROPER(REGEXREPLACE(D13,""[^A-Za-z]+ "",""""))"),"Opus'Concepts")</f>
        <v>Opus'Concepts</v>
      </c>
      <c r="G10101" s="18" t="s">
        <v>44842</v>
      </c>
      <c r="H10101" s="18">
        <v>7</v>
      </c>
      <c r="I10101" s="18" t="s">
        <v>9239</v>
      </c>
      <c r="J10101" s="5" t="s">
        <v>44843</v>
      </c>
      <c r="K10101" s="5" t="s">
        <v>44844</v>
      </c>
      <c r="L10101" s="18" t="s">
        <v>12946</v>
      </c>
      <c r="M10101" s="18" t="s">
        <v>29</v>
      </c>
      <c r="N10101" s="18" t="s">
        <v>44845</v>
      </c>
      <c r="O10101" s="18" t="s">
        <v>29</v>
      </c>
      <c r="P10101" s="6"/>
      <c r="Q10101" s="6"/>
      <c r="R10101" s="6"/>
      <c r="S10101" s="6"/>
      <c r="T10101" s="6"/>
      <c r="U10101" s="6"/>
      <c r="V10101" s="8"/>
      <c r="W10101" s="8"/>
      <c r="X10101" s="8"/>
      <c r="Y10101" s="8"/>
    </row>
    <row r="10102" ht="14.25">
      <c r="B10102" s="18" t="s">
        <v>110</v>
      </c>
      <c r="C10102" s="18" t="s">
        <v>44846</v>
      </c>
      <c r="D10102" s="18" t="s">
        <v>172</v>
      </c>
      <c r="E10102" s="18" t="s">
        <v>44847</v>
      </c>
      <c r="F10102" s="18" t="str">
        <f>IFERROR(__XLUDF.DUMMYFUNCTION("PROPER(REGEXREPLACE(D14,""[^A-Za-z]+ "",""""))"),"G2C")</f>
        <v>G2C</v>
      </c>
      <c r="G10102" s="18" t="s">
        <v>44848</v>
      </c>
      <c r="H10102" s="18">
        <v>5</v>
      </c>
      <c r="I10102" s="18" t="s">
        <v>9239</v>
      </c>
      <c r="J10102" s="5" t="s">
        <v>44849</v>
      </c>
      <c r="K10102" s="5" t="s">
        <v>44850</v>
      </c>
      <c r="L10102" s="18" t="s">
        <v>11201</v>
      </c>
      <c r="M10102" s="18" t="s">
        <v>29</v>
      </c>
      <c r="N10102" s="18" t="s">
        <v>29</v>
      </c>
      <c r="O10102" s="18" t="s">
        <v>29</v>
      </c>
      <c r="P10102" s="6"/>
      <c r="Q10102" s="6"/>
      <c r="R10102" s="6"/>
      <c r="S10102" s="6"/>
      <c r="T10102" s="6"/>
      <c r="U10102" s="6"/>
      <c r="V10102" s="8"/>
      <c r="W10102" s="8"/>
      <c r="X10102" s="8"/>
      <c r="Y10102" s="8"/>
    </row>
    <row r="10103" ht="14.25">
      <c r="B10103" s="18" t="s">
        <v>7559</v>
      </c>
      <c r="C10103" s="18" t="s">
        <v>44851</v>
      </c>
      <c r="D10103" s="18" t="s">
        <v>172</v>
      </c>
      <c r="E10103" s="18" t="s">
        <v>44852</v>
      </c>
      <c r="F10103" s="18" t="str">
        <f>IFERROR(__XLUDF.DUMMYFUNCTION("PROPER(REGEXREPLACE(D15,""[^A-Za-z]+ "",""""))"),"Idetec")</f>
        <v>Idetec</v>
      </c>
      <c r="G10103" s="18" t="s">
        <v>44853</v>
      </c>
      <c r="H10103" s="18">
        <v>5</v>
      </c>
      <c r="I10103" s="18" t="s">
        <v>9239</v>
      </c>
      <c r="J10103" s="5" t="s">
        <v>44854</v>
      </c>
      <c r="K10103" s="5" t="s">
        <v>44855</v>
      </c>
      <c r="L10103" s="18" t="s">
        <v>1015</v>
      </c>
      <c r="M10103" s="18" t="s">
        <v>29</v>
      </c>
      <c r="N10103" s="18" t="s">
        <v>44856</v>
      </c>
      <c r="O10103" s="18" t="s">
        <v>29</v>
      </c>
      <c r="P10103" s="18" t="s">
        <v>44857</v>
      </c>
      <c r="Q10103" s="6"/>
      <c r="R10103" s="6"/>
      <c r="S10103" s="6"/>
      <c r="T10103" s="6"/>
      <c r="U10103" s="6"/>
      <c r="V10103" s="8"/>
      <c r="W10103" s="8"/>
      <c r="X10103" s="8"/>
      <c r="Y10103" s="8"/>
    </row>
    <row r="10104" ht="14.25">
      <c r="B10104" s="18" t="s">
        <v>44858</v>
      </c>
      <c r="C10104" s="18" t="s">
        <v>44859</v>
      </c>
      <c r="D10104" s="18" t="s">
        <v>44</v>
      </c>
      <c r="E10104" s="18" t="s">
        <v>44860</v>
      </c>
      <c r="F10104" s="18" t="str">
        <f>IFERROR(__XLUDF.DUMMYFUNCTION("PROPER(REGEXREPLACE(D16,""[^A-Za-z]+ "",""""))"),"Helm")</f>
        <v>Helm</v>
      </c>
      <c r="G10104" s="18" t="s">
        <v>44861</v>
      </c>
      <c r="H10104" s="18">
        <v>14</v>
      </c>
      <c r="I10104" s="18" t="s">
        <v>9239</v>
      </c>
      <c r="J10104" s="5" t="s">
        <v>44862</v>
      </c>
      <c r="K10104" s="5" t="s">
        <v>44863</v>
      </c>
      <c r="L10104" s="18" t="s">
        <v>39</v>
      </c>
      <c r="M10104" s="18" t="s">
        <v>29</v>
      </c>
      <c r="N10104" s="18" t="s">
        <v>44864</v>
      </c>
      <c r="O10104" s="18" t="s">
        <v>4340</v>
      </c>
      <c r="P10104" s="18" t="s">
        <v>44865</v>
      </c>
      <c r="Q10104" s="6"/>
      <c r="R10104" s="6"/>
      <c r="S10104" s="6"/>
      <c r="T10104" s="6"/>
      <c r="U10104" s="6"/>
      <c r="V10104" s="8"/>
      <c r="W10104" s="8"/>
      <c r="X10104" s="8"/>
      <c r="Y10104" s="8"/>
    </row>
    <row r="10105" ht="14.25">
      <c r="B10105" s="18" t="s">
        <v>5716</v>
      </c>
      <c r="C10105" s="18" t="s">
        <v>828</v>
      </c>
      <c r="D10105" s="18" t="s">
        <v>44866</v>
      </c>
      <c r="E10105" s="18" t="s">
        <v>44867</v>
      </c>
      <c r="F10105" s="18" t="str">
        <f>IFERROR(__XLUDF.DUMMYFUNCTION("PROPER(REGEXREPLACE(D17,""[^A-Za-z]+ "",""""))"),"Atticora")</f>
        <v>Atticora</v>
      </c>
      <c r="G10105" s="18" t="s">
        <v>44868</v>
      </c>
      <c r="H10105" s="18">
        <v>15</v>
      </c>
      <c r="I10105" s="18" t="s">
        <v>9239</v>
      </c>
      <c r="J10105" s="5" t="s">
        <v>44869</v>
      </c>
      <c r="K10105" s="5" t="s">
        <v>44870</v>
      </c>
      <c r="L10105" s="6"/>
      <c r="M10105" s="18" t="s">
        <v>29</v>
      </c>
      <c r="N10105" s="18" t="s">
        <v>44871</v>
      </c>
      <c r="O10105" s="18" t="s">
        <v>29</v>
      </c>
      <c r="P10105" s="18" t="s">
        <v>44872</v>
      </c>
      <c r="Q10105" s="6"/>
      <c r="R10105" s="6"/>
      <c r="S10105" s="6"/>
      <c r="T10105" s="6"/>
      <c r="U10105" s="6"/>
      <c r="V10105" s="8"/>
      <c r="W10105" s="8"/>
      <c r="X10105" s="8"/>
      <c r="Y10105" s="8"/>
    </row>
    <row r="10106" ht="14.25">
      <c r="B10106" s="18" t="s">
        <v>355</v>
      </c>
      <c r="C10106" s="18" t="s">
        <v>44873</v>
      </c>
      <c r="D10106" s="18" t="s">
        <v>3982</v>
      </c>
      <c r="E10106" s="18" t="s">
        <v>44874</v>
      </c>
      <c r="F10106" s="18" t="str">
        <f>IFERROR(__XLUDF.DUMMYFUNCTION("PROPER(REGEXREPLACE(D18,""[^A-Za-z]+ "",""""))"),"Scop Csa")</f>
        <v xml:space="preserve">Scop Csa</v>
      </c>
      <c r="G10106" s="18" t="s">
        <v>44875</v>
      </c>
      <c r="H10106" s="18">
        <v>7</v>
      </c>
      <c r="I10106" s="18" t="s">
        <v>9239</v>
      </c>
      <c r="J10106" s="5" t="s">
        <v>44876</v>
      </c>
      <c r="K10106" s="5" t="s">
        <v>44877</v>
      </c>
      <c r="L10106" s="18" t="s">
        <v>20178</v>
      </c>
      <c r="M10106" s="18" t="s">
        <v>29</v>
      </c>
      <c r="N10106" s="18" t="s">
        <v>44878</v>
      </c>
      <c r="O10106" s="18" t="s">
        <v>29</v>
      </c>
      <c r="P10106" s="6"/>
      <c r="Q10106" s="6"/>
      <c r="R10106" s="6"/>
      <c r="S10106" s="6"/>
      <c r="T10106" s="6"/>
      <c r="U10106" s="6"/>
      <c r="V10106" s="8"/>
      <c r="W10106" s="8"/>
      <c r="X10106" s="8"/>
      <c r="Y10106" s="8"/>
    </row>
    <row r="10107" ht="14.25">
      <c r="B10107" s="18" t="s">
        <v>330</v>
      </c>
      <c r="C10107" s="18" t="s">
        <v>1924</v>
      </c>
      <c r="D10107" s="18" t="s">
        <v>5480</v>
      </c>
      <c r="E10107" s="18" t="s">
        <v>44879</v>
      </c>
      <c r="F10107" s="18" t="str">
        <f>IFERROR(__XLUDF.DUMMYFUNCTION("PROPER(REGEXREPLACE(D19,""[^A-Za-z]+ "",""""))"),"Groupe Mallet")</f>
        <v xml:space="preserve">Groupe Mallet</v>
      </c>
      <c r="G10107" s="18" t="s">
        <v>44880</v>
      </c>
      <c r="H10107" s="18">
        <v>22</v>
      </c>
      <c r="I10107" s="18" t="s">
        <v>9239</v>
      </c>
      <c r="J10107" s="5" t="s">
        <v>44881</v>
      </c>
      <c r="K10107" s="5" t="s">
        <v>44882</v>
      </c>
      <c r="L10107" s="18" t="s">
        <v>562</v>
      </c>
      <c r="M10107" s="18" t="s">
        <v>29</v>
      </c>
      <c r="N10107" s="18" t="s">
        <v>44883</v>
      </c>
      <c r="O10107" s="18" t="s">
        <v>29</v>
      </c>
      <c r="P10107" s="5" t="s">
        <v>44884</v>
      </c>
      <c r="Q10107" s="6"/>
      <c r="R10107" s="6"/>
      <c r="S10107" s="6"/>
      <c r="T10107" s="6"/>
      <c r="U10107" s="6"/>
      <c r="V10107" s="8"/>
      <c r="W10107" s="8"/>
      <c r="X10107" s="8"/>
      <c r="Y10107" s="8"/>
    </row>
    <row r="10108" ht="14.25">
      <c r="B10108" s="18" t="s">
        <v>3850</v>
      </c>
      <c r="C10108" s="18" t="s">
        <v>44885</v>
      </c>
      <c r="D10108" s="18" t="s">
        <v>3982</v>
      </c>
      <c r="E10108" s="18" t="s">
        <v>44886</v>
      </c>
      <c r="F10108" s="18" t="str">
        <f>IFERROR(__XLUDF.DUMMYFUNCTION("PROPER(REGEXREPLACE(D20,""[^A-Za-z]+ "",""""))"),"Cobeima")</f>
        <v>Cobeima</v>
      </c>
      <c r="G10108" s="18" t="s">
        <v>44887</v>
      </c>
      <c r="H10108" s="18">
        <v>25</v>
      </c>
      <c r="I10108" s="18" t="s">
        <v>9239</v>
      </c>
      <c r="J10108" s="5" t="s">
        <v>44888</v>
      </c>
      <c r="K10108" s="5" t="s">
        <v>44889</v>
      </c>
      <c r="L10108" s="18" t="s">
        <v>492</v>
      </c>
      <c r="M10108" s="18" t="s">
        <v>29</v>
      </c>
      <c r="N10108" s="18" t="s">
        <v>44890</v>
      </c>
      <c r="O10108" s="18" t="s">
        <v>29</v>
      </c>
      <c r="P10108" s="6"/>
      <c r="Q10108" s="6"/>
      <c r="R10108" s="6"/>
      <c r="S10108" s="6"/>
      <c r="T10108" s="6"/>
      <c r="U10108" s="6"/>
      <c r="V10108" s="8"/>
      <c r="W10108" s="8"/>
      <c r="X10108" s="8"/>
      <c r="Y10108" s="8"/>
    </row>
    <row r="10109" ht="14.25">
      <c r="B10109" s="18" t="s">
        <v>734</v>
      </c>
      <c r="C10109" s="18" t="s">
        <v>44891</v>
      </c>
      <c r="D10109" s="18" t="s">
        <v>172</v>
      </c>
      <c r="E10109" s="18" t="s">
        <v>44892</v>
      </c>
      <c r="F10109" s="18" t="str">
        <f>IFERROR(__XLUDF.DUMMYFUNCTION("PROPER(REGEXREPLACE(D21,""[^A-Za-z]+ "",""""))"),"Debevre Ventilation")</f>
        <v xml:space="preserve">Debevre Ventilation</v>
      </c>
      <c r="G10109" s="18" t="s">
        <v>44893</v>
      </c>
      <c r="H10109" s="18">
        <v>29</v>
      </c>
      <c r="I10109" s="18" t="s">
        <v>9239</v>
      </c>
      <c r="J10109" s="5" t="s">
        <v>44894</v>
      </c>
      <c r="K10109" s="5" t="s">
        <v>44895</v>
      </c>
      <c r="L10109" s="18" t="s">
        <v>44896</v>
      </c>
      <c r="M10109" s="18" t="s">
        <v>29</v>
      </c>
      <c r="N10109" s="18" t="s">
        <v>44897</v>
      </c>
      <c r="O10109" s="18" t="s">
        <v>29</v>
      </c>
      <c r="P10109" s="18" t="s">
        <v>44898</v>
      </c>
      <c r="Q10109" s="6"/>
      <c r="R10109" s="6"/>
      <c r="S10109" s="6"/>
      <c r="T10109" s="6"/>
      <c r="U10109" s="6"/>
      <c r="V10109" s="8"/>
      <c r="W10109" s="8"/>
      <c r="X10109" s="8"/>
      <c r="Y10109" s="8"/>
    </row>
    <row r="10110" ht="14.25">
      <c r="B10110" s="18" t="s">
        <v>1198</v>
      </c>
      <c r="C10110" s="18" t="s">
        <v>10686</v>
      </c>
      <c r="D10110" s="18" t="s">
        <v>5480</v>
      </c>
      <c r="E10110" s="18" t="s">
        <v>44899</v>
      </c>
      <c r="F10110" s="18" t="str">
        <f>IFERROR(__XLUDF.DUMMYFUNCTION("PROPER(REGEXREPLACE(D22,""[^A-Za-z]+ "",""""))"),"Hexagone Groupe")</f>
        <v xml:space="preserve">Hexagone Groupe</v>
      </c>
      <c r="G10110" s="18" t="s">
        <v>44900</v>
      </c>
      <c r="H10110" s="18">
        <v>15</v>
      </c>
      <c r="I10110" s="18" t="s">
        <v>10167</v>
      </c>
      <c r="J10110" s="5" t="s">
        <v>44901</v>
      </c>
      <c r="K10110" s="5" t="s">
        <v>44902</v>
      </c>
      <c r="L10110" s="18" t="s">
        <v>243</v>
      </c>
      <c r="M10110" s="18" t="s">
        <v>29</v>
      </c>
      <c r="N10110" s="18" t="s">
        <v>1533</v>
      </c>
      <c r="O10110" s="18" t="s">
        <v>29</v>
      </c>
      <c r="P10110" s="6"/>
      <c r="Q10110" s="6"/>
      <c r="R10110" s="6"/>
      <c r="S10110" s="6"/>
      <c r="T10110" s="6"/>
      <c r="U10110" s="6"/>
      <c r="V10110" s="8"/>
      <c r="W10110" s="8"/>
      <c r="X10110" s="8"/>
      <c r="Y10110" s="8"/>
    </row>
    <row r="10111" ht="14.25">
      <c r="B10111" s="18" t="s">
        <v>7559</v>
      </c>
      <c r="C10111" s="18" t="s">
        <v>25481</v>
      </c>
      <c r="D10111" s="18" t="s">
        <v>25482</v>
      </c>
      <c r="E10111" s="18" t="s">
        <v>25483</v>
      </c>
      <c r="F10111" s="18" t="str">
        <f>IFERROR(__XLUDF.DUMMYFUNCTION("PROPER(REGEXREPLACE(D23,""[^A-Za-z]+ "",""""))"),"Sedri")</f>
        <v>Sedri</v>
      </c>
      <c r="G10111" s="18" t="s">
        <v>25484</v>
      </c>
      <c r="H10111" s="18">
        <v>35</v>
      </c>
      <c r="I10111" s="18" t="s">
        <v>4293</v>
      </c>
      <c r="J10111" s="5" t="s">
        <v>25485</v>
      </c>
      <c r="K10111" s="5" t="s">
        <v>25486</v>
      </c>
      <c r="L10111" s="18" t="s">
        <v>39</v>
      </c>
      <c r="M10111" s="18" t="s">
        <v>29</v>
      </c>
      <c r="N10111" s="18" t="s">
        <v>25487</v>
      </c>
      <c r="O10111" s="18" t="s">
        <v>29</v>
      </c>
      <c r="P10111" s="18" t="s">
        <v>25488</v>
      </c>
      <c r="Q10111" s="6"/>
      <c r="R10111" s="6"/>
      <c r="S10111" s="6"/>
      <c r="T10111" s="6"/>
      <c r="U10111" s="6"/>
      <c r="V10111" s="8"/>
      <c r="W10111" s="8"/>
      <c r="X10111" s="8"/>
      <c r="Y10111" s="8"/>
    </row>
    <row r="10112" ht="14.25">
      <c r="B10112" s="18" t="s">
        <v>6788</v>
      </c>
      <c r="C10112" s="18" t="s">
        <v>44903</v>
      </c>
      <c r="D10112" s="18" t="s">
        <v>5500</v>
      </c>
      <c r="E10112" s="18" t="s">
        <v>44904</v>
      </c>
      <c r="F10112" s="18" t="str">
        <f>IFERROR(__XLUDF.DUMMYFUNCTION("PROPER(REGEXREPLACE(D24,""[^A-Za-z]+ "",""""))"),"Posytec")</f>
        <v>Posytec</v>
      </c>
      <c r="G10112" s="18" t="s">
        <v>44905</v>
      </c>
      <c r="H10112" s="18">
        <v>3</v>
      </c>
      <c r="I10112" s="18" t="s">
        <v>9239</v>
      </c>
      <c r="J10112" s="5" t="s">
        <v>44906</v>
      </c>
      <c r="K10112" s="5" t="s">
        <v>44907</v>
      </c>
      <c r="L10112" s="18" t="s">
        <v>185</v>
      </c>
      <c r="M10112" s="18" t="s">
        <v>29</v>
      </c>
      <c r="N10112" s="18" t="s">
        <v>44908</v>
      </c>
      <c r="O10112" s="18" t="s">
        <v>29</v>
      </c>
      <c r="P10112" s="6"/>
      <c r="Q10112" s="6"/>
      <c r="R10112" s="6"/>
      <c r="S10112" s="6"/>
      <c r="T10112" s="6"/>
      <c r="U10112" s="6"/>
      <c r="V10112" s="8"/>
      <c r="W10112" s="8"/>
      <c r="X10112" s="8"/>
      <c r="Y10112" s="8"/>
    </row>
    <row r="10113" ht="14.25">
      <c r="B10113" s="18" t="s">
        <v>734</v>
      </c>
      <c r="C10113" s="18" t="s">
        <v>3745</v>
      </c>
      <c r="D10113" s="18" t="s">
        <v>468</v>
      </c>
      <c r="E10113" s="18" t="s">
        <v>44909</v>
      </c>
      <c r="F10113" s="18" t="str">
        <f>IFERROR(__XLUDF.DUMMYFUNCTION("PROPER(REGEXREPLACE(D25,""[^A-Za-z]+ "",""""))"),"Groupe Tilkeo")</f>
        <v xml:space="preserve">Groupe Tilkeo</v>
      </c>
      <c r="G10113" s="18" t="s">
        <v>44910</v>
      </c>
      <c r="H10113" s="18">
        <v>37</v>
      </c>
      <c r="I10113" s="18" t="s">
        <v>9239</v>
      </c>
      <c r="J10113" s="5" t="s">
        <v>44911</v>
      </c>
      <c r="K10113" s="5" t="s">
        <v>44912</v>
      </c>
      <c r="L10113" s="18" t="s">
        <v>44913</v>
      </c>
      <c r="M10113" s="18" t="s">
        <v>29</v>
      </c>
      <c r="N10113" s="18" t="s">
        <v>44914</v>
      </c>
      <c r="O10113" s="18" t="s">
        <v>29</v>
      </c>
      <c r="P10113" s="18" t="s">
        <v>44915</v>
      </c>
      <c r="Q10113" s="6"/>
      <c r="R10113" s="6"/>
      <c r="S10113" s="6"/>
      <c r="T10113" s="6"/>
      <c r="U10113" s="6"/>
      <c r="V10113" s="8"/>
      <c r="W10113" s="8"/>
      <c r="X10113" s="8"/>
      <c r="Y10113" s="8"/>
    </row>
    <row r="10114" ht="14.25">
      <c r="B10114" s="18" t="s">
        <v>118</v>
      </c>
      <c r="C10114" s="18" t="s">
        <v>5293</v>
      </c>
      <c r="D10114" s="18" t="s">
        <v>44916</v>
      </c>
      <c r="E10114" s="18" t="s">
        <v>44917</v>
      </c>
      <c r="F10114" s="18" t="str">
        <f>IFERROR(__XLUDF.DUMMYFUNCTION("PROPER(REGEXREPLACE(D26,""[^A-Za-z]+ "",""""))"),"Limeul")</f>
        <v>Limeul</v>
      </c>
      <c r="G10114" s="18" t="s">
        <v>44918</v>
      </c>
      <c r="H10114" s="18">
        <v>12</v>
      </c>
      <c r="I10114" s="18" t="s">
        <v>9239</v>
      </c>
      <c r="J10114" s="5" t="s">
        <v>44919</v>
      </c>
      <c r="K10114" s="5" t="s">
        <v>44920</v>
      </c>
      <c r="L10114" s="18" t="s">
        <v>1826</v>
      </c>
      <c r="M10114" s="18" t="s">
        <v>29</v>
      </c>
      <c r="N10114" s="18" t="s">
        <v>44921</v>
      </c>
      <c r="O10114" s="18" t="s">
        <v>29</v>
      </c>
      <c r="P10114" s="18" t="s">
        <v>44922</v>
      </c>
      <c r="Q10114" s="6"/>
      <c r="R10114" s="6"/>
      <c r="S10114" s="6"/>
      <c r="T10114" s="6"/>
      <c r="U10114" s="6"/>
      <c r="V10114" s="8"/>
      <c r="W10114" s="8"/>
      <c r="X10114" s="8"/>
      <c r="Y10114" s="8"/>
    </row>
    <row r="10115" ht="14.25">
      <c r="B10115" s="18" t="s">
        <v>485</v>
      </c>
      <c r="C10115" s="18" t="s">
        <v>21212</v>
      </c>
      <c r="D10115" s="18" t="s">
        <v>21213</v>
      </c>
      <c r="E10115" s="18" t="s">
        <v>21214</v>
      </c>
      <c r="F10115" s="18" t="str">
        <f>IFERROR(__XLUDF.DUMMYFUNCTION("PROPER(REGEXREPLACE(D27,""[^A-Za-z]+ "",""""))"),"Intoo Habitat")</f>
        <v xml:space="preserve">Intoo Habitat</v>
      </c>
      <c r="G10115" s="18" t="s">
        <v>21215</v>
      </c>
      <c r="H10115" s="18">
        <v>36</v>
      </c>
      <c r="I10115" s="18" t="s">
        <v>4293</v>
      </c>
      <c r="J10115" s="5" t="s">
        <v>21216</v>
      </c>
      <c r="K10115" s="5" t="s">
        <v>21217</v>
      </c>
      <c r="L10115" s="18" t="s">
        <v>21218</v>
      </c>
      <c r="M10115" s="18" t="s">
        <v>29</v>
      </c>
      <c r="N10115" s="18" t="s">
        <v>21219</v>
      </c>
      <c r="O10115" s="18" t="s">
        <v>29</v>
      </c>
      <c r="P10115" s="18" t="s">
        <v>21220</v>
      </c>
      <c r="Q10115" s="6"/>
      <c r="R10115" s="6"/>
      <c r="S10115" s="6"/>
      <c r="T10115" s="6"/>
      <c r="U10115" s="6"/>
      <c r="V10115" s="8"/>
      <c r="W10115" s="8"/>
      <c r="X10115" s="8"/>
      <c r="Y10115" s="8"/>
    </row>
    <row r="10116" ht="14.25">
      <c r="B10116" s="18" t="s">
        <v>769</v>
      </c>
      <c r="C10116" s="18" t="s">
        <v>9500</v>
      </c>
      <c r="D10116" s="18" t="s">
        <v>112</v>
      </c>
      <c r="E10116" s="18" t="s">
        <v>44923</v>
      </c>
      <c r="F10116" s="18" t="str">
        <f>IFERROR(__XLUDF.DUMMYFUNCTION("PROPER(REGEXREPLACE(D28,""[^A-Za-z]+ "",""""))"),"Canal Sanit-Air")</f>
        <v xml:space="preserve">Canal Sanit-Air</v>
      </c>
      <c r="G10116" s="18" t="s">
        <v>44924</v>
      </c>
      <c r="H10116" s="18">
        <v>12</v>
      </c>
      <c r="I10116" s="18" t="s">
        <v>9239</v>
      </c>
      <c r="J10116" s="5" t="s">
        <v>44925</v>
      </c>
      <c r="K10116" s="5" t="s">
        <v>44926</v>
      </c>
      <c r="L10116" s="18" t="s">
        <v>774</v>
      </c>
      <c r="M10116" s="18" t="s">
        <v>29</v>
      </c>
      <c r="N10116" s="18" t="s">
        <v>44927</v>
      </c>
      <c r="O10116" s="18" t="s">
        <v>29</v>
      </c>
      <c r="P10116" s="6"/>
      <c r="Q10116" s="6"/>
      <c r="R10116" s="6"/>
      <c r="S10116" s="6"/>
      <c r="T10116" s="6"/>
      <c r="U10116" s="6"/>
      <c r="V10116" s="8"/>
      <c r="W10116" s="8"/>
      <c r="X10116" s="8"/>
      <c r="Y10116" s="8"/>
    </row>
    <row r="10117" ht="14.25">
      <c r="B10117" s="18" t="s">
        <v>4012</v>
      </c>
      <c r="C10117" s="18" t="s">
        <v>44928</v>
      </c>
      <c r="D10117" s="18" t="s">
        <v>1130</v>
      </c>
      <c r="E10117" s="18" t="s">
        <v>44929</v>
      </c>
      <c r="F10117" s="18" t="str">
        <f>IFERROR(__XLUDF.DUMMYFUNCTION("PROPER(REGEXREPLACE(D29,""[^A-Za-z]+ "",""""))"),"Combles D'En France")</f>
        <v xml:space="preserve">Combles D'En France</v>
      </c>
      <c r="G10117" s="18" t="s">
        <v>44930</v>
      </c>
      <c r="H10117" s="18">
        <v>22</v>
      </c>
      <c r="I10117" s="18" t="s">
        <v>9239</v>
      </c>
      <c r="J10117" s="5" t="s">
        <v>44931</v>
      </c>
      <c r="K10117" s="5" t="s">
        <v>44932</v>
      </c>
      <c r="L10117" s="18" t="s">
        <v>492</v>
      </c>
      <c r="M10117" s="18" t="s">
        <v>29</v>
      </c>
      <c r="N10117" s="18" t="s">
        <v>44933</v>
      </c>
      <c r="O10117" s="18" t="s">
        <v>29</v>
      </c>
      <c r="P10117" s="18" t="s">
        <v>44934</v>
      </c>
      <c r="Q10117" s="6"/>
      <c r="R10117" s="6"/>
      <c r="S10117" s="6"/>
      <c r="T10117" s="6"/>
      <c r="U10117" s="6"/>
      <c r="V10117" s="8"/>
      <c r="W10117" s="8"/>
      <c r="X10117" s="8"/>
      <c r="Y10117" s="8"/>
    </row>
    <row r="10118" ht="14.25">
      <c r="B10118" s="18" t="s">
        <v>16812</v>
      </c>
      <c r="C10118" s="18" t="s">
        <v>2105</v>
      </c>
      <c r="D10118" s="18" t="s">
        <v>172</v>
      </c>
      <c r="E10118" s="18" t="s">
        <v>44935</v>
      </c>
      <c r="F10118" s="18" t="str">
        <f>IFERROR(__XLUDF.DUMMYFUNCTION("PROPER(REGEXREPLACE(D30,""[^A-Za-z]+ "",""""))"),"Astrak France")</f>
        <v xml:space="preserve">Astrak France</v>
      </c>
      <c r="G10118" s="18" t="s">
        <v>44936</v>
      </c>
      <c r="H10118" s="18">
        <v>20</v>
      </c>
      <c r="I10118" s="18" t="s">
        <v>9239</v>
      </c>
      <c r="J10118" s="5" t="s">
        <v>44937</v>
      </c>
      <c r="K10118" s="5" t="s">
        <v>44938</v>
      </c>
      <c r="L10118" s="18" t="s">
        <v>23563</v>
      </c>
      <c r="M10118" s="18" t="s">
        <v>29</v>
      </c>
      <c r="N10118" s="18" t="s">
        <v>44939</v>
      </c>
      <c r="O10118" s="18" t="s">
        <v>29</v>
      </c>
      <c r="P10118" s="6"/>
      <c r="Q10118" s="6"/>
      <c r="R10118" s="6"/>
      <c r="S10118" s="6"/>
      <c r="T10118" s="6"/>
      <c r="U10118" s="6"/>
      <c r="V10118" s="8"/>
      <c r="W10118" s="8"/>
      <c r="X10118" s="8"/>
      <c r="Y10118" s="8"/>
    </row>
    <row r="10119" ht="14.25">
      <c r="B10119" s="18" t="s">
        <v>42705</v>
      </c>
      <c r="C10119" s="18" t="s">
        <v>1354</v>
      </c>
      <c r="D10119" s="18" t="s">
        <v>62</v>
      </c>
      <c r="E10119" s="18" t="s">
        <v>44940</v>
      </c>
      <c r="F10119" s="18" t="str">
        <f>IFERROR(__XLUDF.DUMMYFUNCTION("PROPER(REGEXREPLACE(D31,""[^A-Za-z]+ "",""""))"),"Libow")</f>
        <v>Libow</v>
      </c>
      <c r="G10119" s="18" t="s">
        <v>44941</v>
      </c>
      <c r="H10119" s="18">
        <v>22</v>
      </c>
      <c r="I10119" s="18" t="s">
        <v>9239</v>
      </c>
      <c r="J10119" s="5" t="s">
        <v>44942</v>
      </c>
      <c r="K10119" s="5" t="s">
        <v>44943</v>
      </c>
      <c r="L10119" s="6"/>
      <c r="M10119" s="18" t="s">
        <v>29</v>
      </c>
      <c r="N10119" s="18" t="s">
        <v>483</v>
      </c>
      <c r="O10119" s="18" t="s">
        <v>29</v>
      </c>
      <c r="P10119" s="18" t="s">
        <v>44944</v>
      </c>
      <c r="Q10119" s="6"/>
      <c r="R10119" s="6"/>
      <c r="S10119" s="6"/>
      <c r="T10119" s="6"/>
      <c r="U10119" s="6"/>
      <c r="V10119" s="8"/>
      <c r="W10119" s="8"/>
      <c r="X10119" s="8"/>
      <c r="Y10119" s="8"/>
    </row>
    <row r="10120" ht="14.25">
      <c r="B10120" s="18" t="s">
        <v>5579</v>
      </c>
      <c r="C10120" s="18" t="s">
        <v>44945</v>
      </c>
      <c r="D10120" s="18" t="s">
        <v>5003</v>
      </c>
      <c r="E10120" s="18" t="s">
        <v>44946</v>
      </c>
      <c r="F10120" s="18" t="str">
        <f>IFERROR(__XLUDF.DUMMYFUNCTION("PROPER(REGEXREPLACE(D32,""[^A-Za-z]+ "",""""))"),"Groupe Anjalys")</f>
        <v xml:space="preserve">Groupe Anjalys</v>
      </c>
      <c r="G10120" s="18" t="s">
        <v>44947</v>
      </c>
      <c r="H10120" s="18">
        <v>16</v>
      </c>
      <c r="I10120" s="18" t="s">
        <v>4293</v>
      </c>
      <c r="J10120" s="5" t="s">
        <v>44948</v>
      </c>
      <c r="K10120" s="5" t="s">
        <v>44949</v>
      </c>
      <c r="L10120" s="18" t="s">
        <v>185</v>
      </c>
      <c r="M10120" s="18" t="s">
        <v>29</v>
      </c>
      <c r="N10120" s="18" t="s">
        <v>125</v>
      </c>
      <c r="O10120" s="18" t="s">
        <v>29</v>
      </c>
      <c r="P10120" s="18" t="s">
        <v>44950</v>
      </c>
      <c r="Q10120" s="6"/>
      <c r="R10120" s="6"/>
      <c r="S10120" s="6"/>
      <c r="T10120" s="6"/>
      <c r="U10120" s="6"/>
      <c r="V10120" s="8"/>
      <c r="W10120" s="8"/>
      <c r="X10120" s="8"/>
      <c r="Y10120" s="8"/>
    </row>
    <row r="10121" ht="14.25">
      <c r="B10121" s="18" t="s">
        <v>1732</v>
      </c>
      <c r="C10121" s="18" t="s">
        <v>14881</v>
      </c>
      <c r="D10121" s="18" t="s">
        <v>112</v>
      </c>
      <c r="E10121" s="18" t="s">
        <v>44951</v>
      </c>
      <c r="F10121" s="18" t="str">
        <f>IFERROR(__XLUDF.DUMMYFUNCTION("PROPER(REGEXREPLACE(D33,""[^A-Za-z]+ "",""""))"),"Construct Lab")</f>
        <v xml:space="preserve">Construct Lab</v>
      </c>
      <c r="G10121" s="18" t="s">
        <v>44952</v>
      </c>
      <c r="H10121" s="18">
        <v>7</v>
      </c>
      <c r="I10121" s="18" t="s">
        <v>9239</v>
      </c>
      <c r="J10121" s="5" t="s">
        <v>44953</v>
      </c>
      <c r="K10121" s="5" t="s">
        <v>44954</v>
      </c>
      <c r="L10121" s="18" t="s">
        <v>846</v>
      </c>
      <c r="M10121" s="18" t="s">
        <v>29</v>
      </c>
      <c r="N10121" s="18" t="s">
        <v>28912</v>
      </c>
      <c r="O10121" s="18" t="s">
        <v>29</v>
      </c>
      <c r="P10121" s="18" t="s">
        <v>44955</v>
      </c>
      <c r="Q10121" s="6"/>
      <c r="R10121" s="6"/>
      <c r="S10121" s="6"/>
      <c r="T10121" s="6"/>
      <c r="U10121" s="6"/>
      <c r="V10121" s="8"/>
      <c r="W10121" s="8"/>
      <c r="X10121" s="8"/>
      <c r="Y10121" s="8"/>
    </row>
    <row r="10122" ht="14.25">
      <c r="B10122" s="18" t="s">
        <v>1583</v>
      </c>
      <c r="C10122" s="18" t="s">
        <v>44956</v>
      </c>
      <c r="D10122" s="18" t="s">
        <v>112</v>
      </c>
      <c r="E10122" s="18" t="s">
        <v>44957</v>
      </c>
      <c r="F10122" s="18" t="str">
        <f>IFERROR(__XLUDF.DUMMYFUNCTION("PROPER(REGEXREPLACE(D34,""[^A-Za-z]+ "",""""))"),"Horizon Groupe")</f>
        <v xml:space="preserve">Horizon Groupe</v>
      </c>
      <c r="G10122" s="18" t="s">
        <v>44958</v>
      </c>
      <c r="H10122" s="18">
        <v>32</v>
      </c>
      <c r="I10122" s="18" t="s">
        <v>4293</v>
      </c>
      <c r="J10122" s="5" t="s">
        <v>44959</v>
      </c>
      <c r="K10122" s="5" t="s">
        <v>44960</v>
      </c>
      <c r="L10122" s="18" t="s">
        <v>12149</v>
      </c>
      <c r="M10122" s="18" t="s">
        <v>29</v>
      </c>
      <c r="N10122" s="18" t="s">
        <v>44961</v>
      </c>
      <c r="O10122" s="18" t="s">
        <v>2953</v>
      </c>
      <c r="P10122" s="18" t="s">
        <v>44962</v>
      </c>
      <c r="Q10122" s="6"/>
      <c r="R10122" s="6"/>
      <c r="S10122" s="6"/>
      <c r="T10122" s="6"/>
      <c r="U10122" s="6"/>
      <c r="V10122" s="8"/>
      <c r="W10122" s="8"/>
      <c r="X10122" s="8"/>
      <c r="Y10122" s="8"/>
    </row>
    <row r="10123" ht="14.25">
      <c r="B10123" s="18" t="s">
        <v>378</v>
      </c>
      <c r="C10123" s="18" t="s">
        <v>44963</v>
      </c>
      <c r="D10123" s="18" t="s">
        <v>198</v>
      </c>
      <c r="E10123" s="18" t="s">
        <v>44964</v>
      </c>
      <c r="F10123" s="18" t="str">
        <f>IFERROR(__XLUDF.DUMMYFUNCTION("PROPER(REGEXREPLACE(D35,""[^A-Za-z]+ "",""""))"),"Périgord Habitat")</f>
        <v xml:space="preserve">Périgord Habitat</v>
      </c>
      <c r="G10123" s="18" t="s">
        <v>44965</v>
      </c>
      <c r="H10123" s="18">
        <v>52</v>
      </c>
      <c r="I10123" s="18" t="s">
        <v>4293</v>
      </c>
      <c r="J10123" s="5" t="s">
        <v>44966</v>
      </c>
      <c r="K10123" s="5" t="s">
        <v>44967</v>
      </c>
      <c r="L10123" s="6"/>
      <c r="M10123" s="18" t="s">
        <v>29</v>
      </c>
      <c r="N10123" s="18" t="s">
        <v>44968</v>
      </c>
      <c r="O10123" s="18" t="s">
        <v>29</v>
      </c>
      <c r="P10123" s="18" t="s">
        <v>44969</v>
      </c>
      <c r="Q10123" s="6"/>
      <c r="R10123" s="6"/>
      <c r="S10123" s="6"/>
      <c r="T10123" s="6"/>
      <c r="U10123" s="6"/>
      <c r="V10123" s="8"/>
      <c r="W10123" s="8"/>
      <c r="X10123" s="8"/>
      <c r="Y10123" s="8"/>
    </row>
    <row r="10124" ht="14.25">
      <c r="B10124" s="18" t="s">
        <v>785</v>
      </c>
      <c r="C10124" s="18" t="s">
        <v>9346</v>
      </c>
      <c r="D10124" s="18" t="s">
        <v>172</v>
      </c>
      <c r="E10124" s="18" t="s">
        <v>44970</v>
      </c>
      <c r="F10124" s="18" t="str">
        <f>IFERROR(__XLUDF.DUMMYFUNCTION("PROPER(REGEXREPLACE(D36,""[^A-Za-z]+ "",""""))"),"M'Constructions")</f>
        <v>M'Constructions</v>
      </c>
      <c r="G10124" s="18" t="s">
        <v>44971</v>
      </c>
      <c r="H10124" s="18">
        <v>7</v>
      </c>
      <c r="I10124" s="18" t="s">
        <v>9239</v>
      </c>
      <c r="J10124" s="5" t="s">
        <v>44972</v>
      </c>
      <c r="K10124" s="5" t="s">
        <v>44973</v>
      </c>
      <c r="L10124" s="18" t="s">
        <v>1312</v>
      </c>
      <c r="M10124" s="18" t="s">
        <v>29</v>
      </c>
      <c r="N10124" s="18" t="s">
        <v>44974</v>
      </c>
      <c r="O10124" s="18" t="s">
        <v>29</v>
      </c>
      <c r="P10124" s="6"/>
      <c r="Q10124" s="6"/>
      <c r="R10124" s="6"/>
      <c r="S10124" s="6"/>
      <c r="T10124" s="6"/>
      <c r="U10124" s="6"/>
      <c r="V10124" s="8"/>
      <c r="W10124" s="8"/>
      <c r="X10124" s="8"/>
      <c r="Y10124" s="8"/>
    </row>
    <row r="10125" ht="14.25">
      <c r="B10125" s="18" t="s">
        <v>485</v>
      </c>
      <c r="C10125" s="18" t="s">
        <v>44975</v>
      </c>
      <c r="D10125" s="18" t="s">
        <v>112</v>
      </c>
      <c r="E10125" s="18" t="s">
        <v>44976</v>
      </c>
      <c r="F10125" s="18" t="str">
        <f>IFERROR(__XLUDF.DUMMYFUNCTION("PROPER(REGEXREPLACE(D37,""[^A-Za-z]+ "",""""))"),"Oc Résidences")</f>
        <v xml:space="preserve">Oc Résidences</v>
      </c>
      <c r="G10125" s="18" t="s">
        <v>44977</v>
      </c>
      <c r="H10125" s="18">
        <v>29</v>
      </c>
      <c r="I10125" s="18" t="s">
        <v>9239</v>
      </c>
      <c r="J10125" s="5" t="s">
        <v>44978</v>
      </c>
      <c r="K10125" s="5" t="s">
        <v>44979</v>
      </c>
      <c r="L10125" s="18" t="s">
        <v>83</v>
      </c>
      <c r="M10125" s="18" t="s">
        <v>29</v>
      </c>
      <c r="N10125" s="18" t="s">
        <v>44980</v>
      </c>
      <c r="O10125" s="18" t="s">
        <v>29</v>
      </c>
      <c r="P10125" s="18" t="s">
        <v>44981</v>
      </c>
      <c r="Q10125" s="6"/>
      <c r="R10125" s="6"/>
      <c r="S10125" s="6"/>
      <c r="T10125" s="6"/>
      <c r="U10125" s="6"/>
      <c r="V10125" s="8"/>
      <c r="W10125" s="8"/>
      <c r="X10125" s="8"/>
      <c r="Y10125" s="8"/>
    </row>
    <row r="10126" ht="14.25">
      <c r="B10126" s="18" t="s">
        <v>874</v>
      </c>
      <c r="C10126" s="18" t="s">
        <v>44982</v>
      </c>
      <c r="D10126" s="18" t="s">
        <v>87</v>
      </c>
      <c r="E10126" s="18" t="s">
        <v>44983</v>
      </c>
      <c r="F10126" s="18" t="str">
        <f>IFERROR(__XLUDF.DUMMYFUNCTION("PROPER(REGEXREPLACE(D38,""[^A-Za-z]+ "",""""))"),"Tridant")</f>
        <v>Tridant</v>
      </c>
      <c r="G10126" s="18" t="s">
        <v>44984</v>
      </c>
      <c r="H10126" s="18">
        <v>17</v>
      </c>
      <c r="I10126" s="18" t="s">
        <v>9239</v>
      </c>
      <c r="J10126" s="5" t="s">
        <v>44985</v>
      </c>
      <c r="K10126" s="5" t="s">
        <v>44986</v>
      </c>
      <c r="L10126" s="18" t="s">
        <v>39</v>
      </c>
      <c r="M10126" s="18" t="s">
        <v>29</v>
      </c>
      <c r="N10126" s="18" t="s">
        <v>44987</v>
      </c>
      <c r="O10126" s="18" t="s">
        <v>29</v>
      </c>
      <c r="P10126" s="18" t="s">
        <v>44988</v>
      </c>
      <c r="Q10126" s="6"/>
      <c r="R10126" s="6"/>
      <c r="S10126" s="6"/>
      <c r="T10126" s="6"/>
      <c r="U10126" s="6"/>
      <c r="V10126" s="8"/>
      <c r="W10126" s="8"/>
      <c r="X10126" s="8"/>
      <c r="Y10126" s="8"/>
    </row>
    <row r="10127" ht="14.25">
      <c r="B10127" s="18" t="s">
        <v>3019</v>
      </c>
      <c r="C10127" s="18" t="s">
        <v>44989</v>
      </c>
      <c r="D10127" s="18" t="s">
        <v>44990</v>
      </c>
      <c r="E10127" s="18" t="s">
        <v>44991</v>
      </c>
      <c r="F10127" s="18" t="str">
        <f>IFERROR(__XLUDF.DUMMYFUNCTION("PROPER(REGEXREPLACE(D39,""[^A-Za-z]+ "",""""))"),"Cib Elec Sas")</f>
        <v xml:space="preserve">Cib Elec Sas</v>
      </c>
      <c r="G10127" s="18" t="s">
        <v>44992</v>
      </c>
      <c r="H10127" s="18">
        <v>11</v>
      </c>
      <c r="I10127" s="18" t="s">
        <v>9239</v>
      </c>
      <c r="J10127" s="5" t="s">
        <v>44993</v>
      </c>
      <c r="K10127" s="5" t="s">
        <v>44994</v>
      </c>
      <c r="L10127" s="18" t="s">
        <v>10649</v>
      </c>
      <c r="M10127" s="18" t="s">
        <v>29</v>
      </c>
      <c r="N10127" s="18" t="s">
        <v>44995</v>
      </c>
      <c r="O10127" s="18" t="s">
        <v>29</v>
      </c>
      <c r="P10127" s="18" t="s">
        <v>44996</v>
      </c>
      <c r="Q10127" s="6"/>
      <c r="R10127" s="6"/>
      <c r="S10127" s="6"/>
      <c r="T10127" s="6"/>
      <c r="U10127" s="6"/>
      <c r="V10127" s="8"/>
      <c r="W10127" s="8"/>
      <c r="X10127" s="8"/>
      <c r="Y10127" s="8"/>
    </row>
    <row r="10128" ht="14.25">
      <c r="B10128" s="18" t="s">
        <v>5579</v>
      </c>
      <c r="C10128" s="18" t="s">
        <v>44997</v>
      </c>
      <c r="D10128" s="18" t="s">
        <v>172</v>
      </c>
      <c r="E10128" s="18" t="s">
        <v>44998</v>
      </c>
      <c r="F10128" s="18" t="str">
        <f>IFERROR(__XLUDF.DUMMYFUNCTION("PROPER(REGEXREPLACE(D40,""[^A-Za-z]+ "",""""))"),"Guerin Bremaud")</f>
        <v xml:space="preserve">Guerin Bremaud</v>
      </c>
      <c r="G10128" s="18" t="s">
        <v>44999</v>
      </c>
      <c r="H10128" s="18">
        <v>17</v>
      </c>
      <c r="I10128" s="18" t="s">
        <v>9239</v>
      </c>
      <c r="J10128" s="5" t="s">
        <v>45000</v>
      </c>
      <c r="K10128" s="5" t="s">
        <v>45001</v>
      </c>
      <c r="L10128" s="18" t="s">
        <v>10276</v>
      </c>
      <c r="M10128" s="18" t="s">
        <v>29</v>
      </c>
      <c r="N10128" s="18" t="s">
        <v>45002</v>
      </c>
      <c r="O10128" s="18" t="s">
        <v>29</v>
      </c>
      <c r="P10128" s="18" t="s">
        <v>45003</v>
      </c>
      <c r="Q10128" s="6"/>
      <c r="R10128" s="6"/>
      <c r="S10128" s="6"/>
      <c r="T10128" s="6"/>
      <c r="U10128" s="6"/>
      <c r="V10128" s="8"/>
      <c r="W10128" s="8"/>
      <c r="X10128" s="8"/>
      <c r="Y10128" s="8"/>
    </row>
    <row r="10129" ht="14.25">
      <c r="B10129" s="18" t="s">
        <v>5716</v>
      </c>
      <c r="C10129" s="18" t="s">
        <v>10668</v>
      </c>
      <c r="D10129" s="18" t="s">
        <v>45004</v>
      </c>
      <c r="E10129" s="18" t="s">
        <v>45005</v>
      </c>
      <c r="F10129" s="18" t="str">
        <f>IFERROR(__XLUDF.DUMMYFUNCTION("PROPER(REGEXREPLACE(D41,""[^A-Za-z]+ "",""""))"),"Projet Linéaire")</f>
        <v xml:space="preserve">Projet Linéaire</v>
      </c>
      <c r="G10129" s="18" t="s">
        <v>45006</v>
      </c>
      <c r="H10129" s="18">
        <v>13</v>
      </c>
      <c r="I10129" s="18" t="s">
        <v>9239</v>
      </c>
      <c r="J10129" s="5" t="s">
        <v>45007</v>
      </c>
      <c r="K10129" s="5" t="s">
        <v>45008</v>
      </c>
      <c r="L10129" s="18" t="s">
        <v>4303</v>
      </c>
      <c r="M10129" s="18" t="s">
        <v>29</v>
      </c>
      <c r="N10129" s="18" t="s">
        <v>45009</v>
      </c>
      <c r="O10129" s="18" t="s">
        <v>29</v>
      </c>
      <c r="P10129" s="18" t="s">
        <v>45010</v>
      </c>
      <c r="Q10129" s="6"/>
      <c r="R10129" s="6"/>
      <c r="S10129" s="6"/>
      <c r="T10129" s="6"/>
      <c r="U10129" s="6"/>
      <c r="V10129" s="8"/>
      <c r="W10129" s="8"/>
      <c r="X10129" s="8"/>
      <c r="Y10129" s="8"/>
    </row>
    <row r="10130" ht="14.25">
      <c r="B10130" s="18" t="s">
        <v>330</v>
      </c>
      <c r="C10130" s="18" t="s">
        <v>45011</v>
      </c>
      <c r="D10130" s="18" t="s">
        <v>87</v>
      </c>
      <c r="E10130" s="18" t="s">
        <v>45012</v>
      </c>
      <c r="F10130" s="18" t="str">
        <f>IFERROR(__XLUDF.DUMMYFUNCTION("PROPER(REGEXREPLACE(D42,""[^A-Za-z]+ "",""""))"),"Steelinbox")</f>
        <v>Steelinbox</v>
      </c>
      <c r="G10130" s="18" t="s">
        <v>45013</v>
      </c>
      <c r="H10130" s="18">
        <v>1</v>
      </c>
      <c r="I10130" s="18" t="s">
        <v>9239</v>
      </c>
      <c r="J10130" s="5" t="s">
        <v>45014</v>
      </c>
      <c r="K10130" s="5" t="s">
        <v>45015</v>
      </c>
      <c r="L10130" s="18" t="s">
        <v>16341</v>
      </c>
      <c r="M10130" s="18" t="s">
        <v>29</v>
      </c>
      <c r="N10130" s="18" t="s">
        <v>45016</v>
      </c>
      <c r="O10130" s="18" t="s">
        <v>29</v>
      </c>
      <c r="P10130" s="18" t="s">
        <v>45017</v>
      </c>
      <c r="Q10130" s="6"/>
      <c r="R10130" s="6"/>
      <c r="S10130" s="6"/>
      <c r="T10130" s="6"/>
      <c r="U10130" s="6"/>
      <c r="V10130" s="8"/>
      <c r="W10130" s="8"/>
      <c r="X10130" s="8"/>
      <c r="Y10130" s="8"/>
    </row>
    <row r="10131" ht="14.25">
      <c r="B10131" s="18" t="s">
        <v>45018</v>
      </c>
      <c r="C10131" s="18" t="s">
        <v>11018</v>
      </c>
      <c r="D10131" s="18" t="s">
        <v>688</v>
      </c>
      <c r="E10131" s="18" t="s">
        <v>45019</v>
      </c>
      <c r="F10131" s="18" t="str">
        <f>IFERROR(__XLUDF.DUMMYFUNCTION("PROPER(REGEXREPLACE(D43,""[^A-Za-z]+ "",""""))"),"Mtp Construction")</f>
        <v xml:space="preserve">Mtp Construction</v>
      </c>
      <c r="G10131" s="18" t="s">
        <v>45020</v>
      </c>
      <c r="H10131" s="18">
        <v>8</v>
      </c>
      <c r="I10131" s="18" t="s">
        <v>9239</v>
      </c>
      <c r="J10131" s="5" t="s">
        <v>45021</v>
      </c>
      <c r="K10131" s="5" t="s">
        <v>45022</v>
      </c>
      <c r="L10131" s="18" t="s">
        <v>39</v>
      </c>
      <c r="M10131" s="18" t="s">
        <v>29</v>
      </c>
      <c r="N10131" s="18" t="s">
        <v>30031</v>
      </c>
      <c r="O10131" s="18" t="s">
        <v>29</v>
      </c>
      <c r="P10131" s="18" t="s">
        <v>45023</v>
      </c>
      <c r="Q10131" s="6"/>
      <c r="R10131" s="6"/>
      <c r="S10131" s="6"/>
      <c r="T10131" s="6"/>
      <c r="U10131" s="6"/>
      <c r="V10131" s="8"/>
      <c r="W10131" s="8"/>
      <c r="X10131" s="8"/>
      <c r="Y10131" s="8"/>
    </row>
    <row r="10132" ht="14.25">
      <c r="B10132" s="18" t="s">
        <v>45024</v>
      </c>
      <c r="C10132" s="18" t="s">
        <v>45025</v>
      </c>
      <c r="D10132" s="18" t="s">
        <v>3611</v>
      </c>
      <c r="E10132" s="18" t="s">
        <v>45026</v>
      </c>
      <c r="F10132" s="18" t="str">
        <f>IFERROR(__XLUDF.DUMMYFUNCTION("PROPER(REGEXREPLACE(D44,""[^A-Za-z]+ "",""""))"),"Dao-Infranet")</f>
        <v>Dao-Infranet</v>
      </c>
      <c r="G10132" s="18" t="s">
        <v>45027</v>
      </c>
      <c r="H10132" s="18">
        <v>17</v>
      </c>
      <c r="I10132" s="18" t="s">
        <v>9239</v>
      </c>
      <c r="J10132" s="5" t="s">
        <v>45028</v>
      </c>
      <c r="K10132" s="5" t="s">
        <v>45029</v>
      </c>
      <c r="L10132" s="18" t="s">
        <v>45030</v>
      </c>
      <c r="M10132" s="18" t="s">
        <v>29</v>
      </c>
      <c r="N10132" s="18" t="s">
        <v>45031</v>
      </c>
      <c r="O10132" s="18" t="s">
        <v>29</v>
      </c>
      <c r="P10132" s="6"/>
      <c r="Q10132" s="6"/>
      <c r="R10132" s="6"/>
      <c r="S10132" s="6"/>
      <c r="T10132" s="6"/>
      <c r="U10132" s="6"/>
      <c r="V10132" s="8"/>
      <c r="W10132" s="8"/>
      <c r="X10132" s="8"/>
      <c r="Y10132" s="8"/>
    </row>
    <row r="10133" ht="14.25">
      <c r="B10133" s="18" t="s">
        <v>20</v>
      </c>
      <c r="C10133" s="18" t="s">
        <v>45032</v>
      </c>
      <c r="D10133" s="18" t="s">
        <v>87</v>
      </c>
      <c r="E10133" s="18" t="s">
        <v>45033</v>
      </c>
      <c r="F10133" s="18" t="str">
        <f>IFERROR(__XLUDF.DUMMYFUNCTION("PROPER(REGEXREPLACE(D45,""[^A-Za-z]+ "",""""))"),"Roadmapper")</f>
        <v>Roadmapper</v>
      </c>
      <c r="G10133" s="18" t="s">
        <v>45034</v>
      </c>
      <c r="H10133" s="18">
        <v>1</v>
      </c>
      <c r="I10133" s="18" t="s">
        <v>9239</v>
      </c>
      <c r="J10133" s="5" t="s">
        <v>45035</v>
      </c>
      <c r="K10133" s="5" t="s">
        <v>45036</v>
      </c>
      <c r="L10133" s="18" t="s">
        <v>846</v>
      </c>
      <c r="M10133" s="18" t="s">
        <v>29</v>
      </c>
      <c r="N10133" s="18" t="s">
        <v>18845</v>
      </c>
      <c r="O10133" s="18" t="s">
        <v>29</v>
      </c>
      <c r="P10133" s="18" t="s">
        <v>45037</v>
      </c>
      <c r="Q10133" s="6"/>
      <c r="R10133" s="6"/>
      <c r="S10133" s="6"/>
      <c r="T10133" s="6"/>
      <c r="U10133" s="6"/>
      <c r="V10133" s="8"/>
      <c r="W10133" s="8"/>
      <c r="X10133" s="8"/>
      <c r="Y10133" s="8"/>
    </row>
    <row r="10134" ht="14.25">
      <c r="B10134" s="18" t="s">
        <v>9922</v>
      </c>
      <c r="C10134" s="18" t="s">
        <v>9072</v>
      </c>
      <c r="D10134" s="18" t="s">
        <v>315</v>
      </c>
      <c r="E10134" s="18" t="s">
        <v>45038</v>
      </c>
      <c r="F10134" s="18" t="str">
        <f>IFERROR(__XLUDF.DUMMYFUNCTION("PROPER(REGEXREPLACE(D46,""[^A-Za-z]+ "",""""))"),"Moine Menuiserie Sas")</f>
        <v xml:space="preserve">Moine Menuiserie Sas</v>
      </c>
      <c r="G10134" s="18" t="s">
        <v>45039</v>
      </c>
      <c r="H10134" s="18">
        <v>5</v>
      </c>
      <c r="I10134" s="18" t="s">
        <v>9239</v>
      </c>
      <c r="J10134" s="5" t="s">
        <v>45040</v>
      </c>
      <c r="K10134" s="5" t="s">
        <v>45041</v>
      </c>
      <c r="L10134" s="18" t="s">
        <v>15762</v>
      </c>
      <c r="M10134" s="18" t="s">
        <v>29</v>
      </c>
      <c r="N10134" s="18" t="s">
        <v>45042</v>
      </c>
      <c r="O10134" s="18" t="s">
        <v>29</v>
      </c>
      <c r="P10134" s="6"/>
      <c r="Q10134" s="6"/>
      <c r="R10134" s="6"/>
      <c r="S10134" s="6"/>
      <c r="T10134" s="6"/>
      <c r="U10134" s="6"/>
      <c r="V10134" s="8"/>
      <c r="W10134" s="8"/>
      <c r="X10134" s="8"/>
      <c r="Y10134" s="8"/>
    </row>
    <row r="10135" ht="14.25">
      <c r="B10135" s="18" t="s">
        <v>330</v>
      </c>
      <c r="C10135" s="18" t="s">
        <v>45043</v>
      </c>
      <c r="D10135" s="18" t="s">
        <v>172</v>
      </c>
      <c r="E10135" s="18" t="s">
        <v>45044</v>
      </c>
      <c r="F10135" s="18" t="str">
        <f>IFERROR(__XLUDF.DUMMYFUNCTION("PROPER(REGEXREPLACE(D47,""[^A-Za-z]+ "",""""))"),"Isotoit")</f>
        <v>Isotoit</v>
      </c>
      <c r="G10135" s="18" t="s">
        <v>45045</v>
      </c>
      <c r="H10135" s="18">
        <v>24</v>
      </c>
      <c r="I10135" s="18" t="s">
        <v>9239</v>
      </c>
      <c r="J10135" s="5" t="s">
        <v>45046</v>
      </c>
      <c r="K10135" s="5" t="s">
        <v>45047</v>
      </c>
      <c r="L10135" s="18" t="s">
        <v>492</v>
      </c>
      <c r="M10135" s="18" t="s">
        <v>29</v>
      </c>
      <c r="N10135" s="18" t="s">
        <v>45048</v>
      </c>
      <c r="O10135" s="18" t="s">
        <v>29</v>
      </c>
      <c r="P10135" s="18" t="s">
        <v>45049</v>
      </c>
      <c r="Q10135" s="6"/>
      <c r="R10135" s="6"/>
      <c r="S10135" s="6"/>
      <c r="T10135" s="6"/>
      <c r="U10135" s="6"/>
      <c r="V10135" s="8"/>
      <c r="W10135" s="8"/>
      <c r="X10135" s="8"/>
      <c r="Y10135" s="8"/>
    </row>
    <row r="10136" ht="14.25">
      <c r="B10136" s="18" t="s">
        <v>1732</v>
      </c>
      <c r="C10136" s="18" t="s">
        <v>45050</v>
      </c>
      <c r="D10136" s="18" t="s">
        <v>172</v>
      </c>
      <c r="E10136" s="18" t="s">
        <v>45051</v>
      </c>
      <c r="F10136" s="18" t="str">
        <f>IFERROR(__XLUDF.DUMMYFUNCTION("PROPER(REGEXREPLACE(D48,""[^A-Za-z]+ "",""""))"),"La Serrurerie De La Parette")</f>
        <v xml:space="preserve">La Serrurerie De La Parette</v>
      </c>
      <c r="G10136" s="18" t="s">
        <v>45052</v>
      </c>
      <c r="H10136" s="18">
        <v>10</v>
      </c>
      <c r="I10136" s="18" t="s">
        <v>9239</v>
      </c>
      <c r="J10136" s="5" t="s">
        <v>45053</v>
      </c>
      <c r="K10136" s="5" t="s">
        <v>45054</v>
      </c>
      <c r="L10136" s="18" t="s">
        <v>45055</v>
      </c>
      <c r="M10136" s="18" t="s">
        <v>29</v>
      </c>
      <c r="N10136" s="18" t="s">
        <v>45056</v>
      </c>
      <c r="O10136" s="18" t="s">
        <v>29</v>
      </c>
      <c r="P10136" s="18" t="s">
        <v>45057</v>
      </c>
      <c r="Q10136" s="6"/>
      <c r="R10136" s="6"/>
      <c r="S10136" s="6"/>
      <c r="T10136" s="6"/>
      <c r="U10136" s="6"/>
      <c r="V10136" s="8"/>
      <c r="W10136" s="8"/>
      <c r="X10136" s="8"/>
      <c r="Y10136" s="8"/>
    </row>
    <row r="10137" ht="14.25">
      <c r="B10137" s="18" t="s">
        <v>2249</v>
      </c>
      <c r="C10137" s="18" t="s">
        <v>45058</v>
      </c>
      <c r="D10137" s="18" t="s">
        <v>172</v>
      </c>
      <c r="E10137" s="18" t="s">
        <v>45059</v>
      </c>
      <c r="F10137" s="18" t="str">
        <f>IFERROR(__XLUDF.DUMMYFUNCTION("PROPER(REGEXREPLACE(D49,""[^A-Za-z]+ "",""""))"),"Artefacts Paris")</f>
        <v xml:space="preserve">Artefacts Paris</v>
      </c>
      <c r="G10137" s="18" t="s">
        <v>45060</v>
      </c>
      <c r="H10137" s="18">
        <v>6</v>
      </c>
      <c r="I10137" s="18" t="s">
        <v>9239</v>
      </c>
      <c r="J10137" s="5" t="s">
        <v>45061</v>
      </c>
      <c r="K10137" s="5" t="s">
        <v>45062</v>
      </c>
      <c r="L10137" s="6"/>
      <c r="M10137" s="18" t="s">
        <v>29</v>
      </c>
      <c r="N10137" s="18" t="s">
        <v>45063</v>
      </c>
      <c r="O10137" s="18" t="s">
        <v>29</v>
      </c>
      <c r="P10137" s="18" t="s">
        <v>45064</v>
      </c>
      <c r="Q10137" s="6"/>
      <c r="R10137" s="6"/>
      <c r="S10137" s="6"/>
      <c r="T10137" s="6"/>
      <c r="U10137" s="6"/>
      <c r="V10137" s="8"/>
      <c r="W10137" s="8"/>
      <c r="X10137" s="8"/>
      <c r="Y10137" s="8"/>
    </row>
    <row r="10138" ht="14.25">
      <c r="B10138" s="18" t="s">
        <v>18559</v>
      </c>
      <c r="C10138" s="18" t="s">
        <v>45065</v>
      </c>
      <c r="D10138" s="18" t="s">
        <v>198</v>
      </c>
      <c r="E10138" s="18" t="s">
        <v>45051</v>
      </c>
      <c r="F10138" s="18" t="str">
        <f>IFERROR(__XLUDF.DUMMYFUNCTION("PROPER(REGEXREPLACE(D50,""[^A-Za-z]+ "",""""))"),"La Serrurerie De La Parette")</f>
        <v xml:space="preserve">La Serrurerie De La Parette</v>
      </c>
      <c r="G10138" s="18" t="s">
        <v>45066</v>
      </c>
      <c r="H10138" s="18">
        <v>10</v>
      </c>
      <c r="I10138" s="18" t="s">
        <v>9239</v>
      </c>
      <c r="J10138" s="5" t="s">
        <v>45067</v>
      </c>
      <c r="K10138" s="5" t="s">
        <v>45054</v>
      </c>
      <c r="L10138" s="18" t="s">
        <v>45055</v>
      </c>
      <c r="M10138" s="18" t="s">
        <v>29</v>
      </c>
      <c r="N10138" s="18" t="s">
        <v>45056</v>
      </c>
      <c r="O10138" s="18" t="s">
        <v>29</v>
      </c>
      <c r="P10138" s="18" t="s">
        <v>45057</v>
      </c>
      <c r="Q10138" s="6"/>
      <c r="R10138" s="6"/>
      <c r="S10138" s="6"/>
      <c r="T10138" s="6"/>
      <c r="U10138" s="6"/>
      <c r="V10138" s="8"/>
      <c r="W10138" s="8"/>
      <c r="X10138" s="8"/>
      <c r="Y10138" s="8"/>
    </row>
    <row r="10139" ht="14.25">
      <c r="B10139" s="18" t="s">
        <v>2932</v>
      </c>
      <c r="C10139" s="18" t="s">
        <v>8374</v>
      </c>
      <c r="D10139" s="18" t="s">
        <v>172</v>
      </c>
      <c r="E10139" s="18" t="s">
        <v>45068</v>
      </c>
      <c r="F10139" s="18" t="str">
        <f>IFERROR(__XLUDF.DUMMYFUNCTION("PROPER(REGEXREPLACE(D51,""[^A-Za-z]+ "",""""))"),"Amenagement 77")</f>
        <v xml:space="preserve">Amenagement 77</v>
      </c>
      <c r="G10139" s="18" t="s">
        <v>45069</v>
      </c>
      <c r="H10139" s="18">
        <v>19</v>
      </c>
      <c r="I10139" s="18" t="s">
        <v>10167</v>
      </c>
      <c r="J10139" s="5" t="s">
        <v>45070</v>
      </c>
      <c r="K10139" s="5" t="s">
        <v>45071</v>
      </c>
      <c r="L10139" s="18" t="s">
        <v>39</v>
      </c>
      <c r="M10139" s="18" t="s">
        <v>29</v>
      </c>
      <c r="N10139" s="18" t="s">
        <v>45072</v>
      </c>
      <c r="O10139" s="18" t="s">
        <v>29</v>
      </c>
      <c r="P10139" s="6"/>
      <c r="Q10139" s="6"/>
      <c r="R10139" s="6"/>
      <c r="S10139" s="6"/>
      <c r="T10139" s="6"/>
      <c r="U10139" s="6"/>
      <c r="V10139" s="8"/>
      <c r="W10139" s="8"/>
      <c r="X10139" s="8"/>
      <c r="Y10139" s="8"/>
    </row>
    <row r="10140" ht="14.25">
      <c r="B10140" s="18" t="s">
        <v>355</v>
      </c>
      <c r="C10140" s="18" t="s">
        <v>45073</v>
      </c>
      <c r="D10140" s="18" t="s">
        <v>172</v>
      </c>
      <c r="E10140" s="18" t="s">
        <v>45074</v>
      </c>
      <c r="F10140" s="18" t="str">
        <f>IFERROR(__XLUDF.DUMMYFUNCTION("PROPER(REGEXREPLACE(D52,""[^A-Za-z]+ "",""""))"),"C2A Services")</f>
        <v xml:space="preserve">C2A Services</v>
      </c>
      <c r="G10140" s="18" t="s">
        <v>45075</v>
      </c>
      <c r="H10140" s="18">
        <v>35</v>
      </c>
      <c r="I10140" s="18" t="s">
        <v>10167</v>
      </c>
      <c r="J10140" s="5" t="s">
        <v>45076</v>
      </c>
      <c r="K10140" s="5" t="s">
        <v>45077</v>
      </c>
      <c r="L10140" s="18" t="s">
        <v>45078</v>
      </c>
      <c r="M10140" s="18" t="s">
        <v>29</v>
      </c>
      <c r="N10140" s="18" t="s">
        <v>45079</v>
      </c>
      <c r="O10140" s="18" t="s">
        <v>45080</v>
      </c>
      <c r="P10140" s="6"/>
      <c r="Q10140" s="6"/>
      <c r="R10140" s="6"/>
      <c r="S10140" s="6"/>
      <c r="T10140" s="6"/>
      <c r="U10140" s="6"/>
      <c r="V10140" s="8"/>
      <c r="W10140" s="8"/>
      <c r="X10140" s="8"/>
      <c r="Y10140" s="8"/>
    </row>
    <row r="10141" ht="14.25">
      <c r="B10141" s="18" t="s">
        <v>4425</v>
      </c>
      <c r="C10141" s="18" t="s">
        <v>45081</v>
      </c>
      <c r="D10141" s="18" t="s">
        <v>164</v>
      </c>
      <c r="E10141" s="18" t="s">
        <v>45082</v>
      </c>
      <c r="F10141" s="18" t="str">
        <f>IFERROR(__XLUDF.DUMMYFUNCTION("PROPER(REGEXREPLACE(D53,""[^A-Za-z]+ "",""""))"),"Ami Bois")</f>
        <v xml:space="preserve">Ami Bois</v>
      </c>
      <c r="G10141" s="18" t="s">
        <v>45083</v>
      </c>
      <c r="H10141" s="18">
        <v>32</v>
      </c>
      <c r="I10141" s="18" t="s">
        <v>9239</v>
      </c>
      <c r="J10141" s="5" t="s">
        <v>45084</v>
      </c>
      <c r="K10141" s="5" t="s">
        <v>45085</v>
      </c>
      <c r="L10141" s="18" t="s">
        <v>2354</v>
      </c>
      <c r="M10141" s="18" t="s">
        <v>29</v>
      </c>
      <c r="N10141" s="18" t="s">
        <v>45086</v>
      </c>
      <c r="O10141" s="18" t="s">
        <v>29</v>
      </c>
      <c r="P10141" s="18" t="s">
        <v>45087</v>
      </c>
      <c r="Q10141" s="6"/>
      <c r="R10141" s="6"/>
      <c r="S10141" s="6"/>
      <c r="T10141" s="6"/>
      <c r="U10141" s="6"/>
      <c r="V10141" s="8"/>
      <c r="W10141" s="8"/>
      <c r="X10141" s="8"/>
      <c r="Y10141" s="8"/>
    </row>
    <row r="10142" ht="14.25">
      <c r="B10142" s="18" t="s">
        <v>1387</v>
      </c>
      <c r="C10142" s="18" t="s">
        <v>45088</v>
      </c>
      <c r="D10142" s="18" t="s">
        <v>172</v>
      </c>
      <c r="E10142" s="18" t="s">
        <v>45089</v>
      </c>
      <c r="F10142" s="18" t="str">
        <f>IFERROR(__XLUDF.DUMMYFUNCTION("PROPER(REGEXREPLACE(D54,""[^A-Za-z]+ "",""""))"),"Cet Bâtiment Et Energie")</f>
        <v xml:space="preserve">Cet Bâtiment Et Energie</v>
      </c>
      <c r="G10142" s="18" t="s">
        <v>45090</v>
      </c>
      <c r="H10142" s="18">
        <v>24</v>
      </c>
      <c r="I10142" s="18" t="s">
        <v>9239</v>
      </c>
      <c r="J10142" s="5" t="s">
        <v>45091</v>
      </c>
      <c r="K10142" s="5" t="s">
        <v>45092</v>
      </c>
      <c r="L10142" s="18" t="s">
        <v>1507</v>
      </c>
      <c r="M10142" s="18" t="s">
        <v>29</v>
      </c>
      <c r="N10142" s="18" t="s">
        <v>45093</v>
      </c>
      <c r="O10142" s="18" t="s">
        <v>29</v>
      </c>
      <c r="P10142" s="18" t="s">
        <v>45094</v>
      </c>
      <c r="Q10142" s="6"/>
      <c r="R10142" s="6"/>
      <c r="S10142" s="6"/>
      <c r="T10142" s="6"/>
      <c r="U10142" s="6"/>
      <c r="V10142" s="8"/>
      <c r="W10142" s="8"/>
      <c r="X10142" s="8"/>
      <c r="Y10142" s="8"/>
    </row>
    <row r="10143" ht="14.25">
      <c r="B10143" s="18" t="s">
        <v>322</v>
      </c>
      <c r="C10143" s="18" t="s">
        <v>45095</v>
      </c>
      <c r="D10143" s="18" t="s">
        <v>172</v>
      </c>
      <c r="E10143" s="18" t="s">
        <v>45096</v>
      </c>
      <c r="F10143" s="18" t="str">
        <f>IFERROR(__XLUDF.DUMMYFUNCTION("PROPER(REGEXREPLACE(D55,""[^A-Za-z]+ "",""""))"),"Heinrichbock")</f>
        <v>Heinrichbock</v>
      </c>
      <c r="G10143" s="18" t="s">
        <v>45097</v>
      </c>
      <c r="H10143" s="18">
        <v>36</v>
      </c>
      <c r="I10143" s="18" t="s">
        <v>9239</v>
      </c>
      <c r="J10143" s="5" t="s">
        <v>45098</v>
      </c>
      <c r="K10143" s="5" t="s">
        <v>45099</v>
      </c>
      <c r="L10143" s="18" t="s">
        <v>1460</v>
      </c>
      <c r="M10143" s="18" t="s">
        <v>29</v>
      </c>
      <c r="N10143" s="18" t="s">
        <v>45100</v>
      </c>
      <c r="O10143" s="18" t="s">
        <v>29</v>
      </c>
      <c r="P10143" s="18" t="s">
        <v>45101</v>
      </c>
      <c r="Q10143" s="6"/>
      <c r="R10143" s="6"/>
      <c r="S10143" s="6"/>
      <c r="T10143" s="6"/>
      <c r="U10143" s="6"/>
      <c r="V10143" s="8"/>
      <c r="W10143" s="8"/>
      <c r="X10143" s="8"/>
      <c r="Y10143" s="8"/>
    </row>
    <row r="10144" ht="14.25">
      <c r="B10144" s="18" t="s">
        <v>1732</v>
      </c>
      <c r="C10144" s="18" t="s">
        <v>45102</v>
      </c>
      <c r="D10144" s="18" t="s">
        <v>45103</v>
      </c>
      <c r="E10144" s="18" t="s">
        <v>45104</v>
      </c>
      <c r="F10144" s="18" t="str">
        <f>IFERROR(__XLUDF.DUMMYFUNCTION("PROPER(REGEXREPLACE(D56,""[^A-Za-z]+ "",""""))"),"Bureau Gda")</f>
        <v xml:space="preserve">Bureau Gda</v>
      </c>
      <c r="G10144" s="18" t="s">
        <v>45105</v>
      </c>
      <c r="H10144" s="18">
        <v>8</v>
      </c>
      <c r="I10144" s="18" t="s">
        <v>9239</v>
      </c>
      <c r="J10144" s="5" t="s">
        <v>45106</v>
      </c>
      <c r="K10144" s="5" t="s">
        <v>45107</v>
      </c>
      <c r="L10144" s="18" t="s">
        <v>482</v>
      </c>
      <c r="M10144" s="18" t="s">
        <v>29</v>
      </c>
      <c r="N10144" s="18" t="s">
        <v>483</v>
      </c>
      <c r="O10144" s="18" t="s">
        <v>29</v>
      </c>
      <c r="P10144" s="18" t="s">
        <v>45108</v>
      </c>
      <c r="Q10144" s="6"/>
      <c r="R10144" s="6"/>
      <c r="S10144" s="6"/>
      <c r="T10144" s="6"/>
      <c r="U10144" s="6"/>
      <c r="V10144" s="8"/>
      <c r="W10144" s="8"/>
      <c r="X10144" s="8"/>
      <c r="Y10144" s="8"/>
    </row>
    <row r="10145" ht="14.25">
      <c r="B10145" s="18" t="s">
        <v>645</v>
      </c>
      <c r="C10145" s="18" t="s">
        <v>45109</v>
      </c>
      <c r="D10145" s="18" t="s">
        <v>164</v>
      </c>
      <c r="E10145" s="18" t="s">
        <v>45110</v>
      </c>
      <c r="F10145" s="18" t="str">
        <f>IFERROR(__XLUDF.DUMMYFUNCTION("PROPER(REGEXREPLACE(D57,""[^A-Za-z]+ "",""""))"),"Ducré")</f>
        <v>Ducré</v>
      </c>
      <c r="G10145" s="18" t="s">
        <v>45111</v>
      </c>
      <c r="H10145" s="18">
        <v>24</v>
      </c>
      <c r="I10145" s="18" t="s">
        <v>9239</v>
      </c>
      <c r="J10145" s="5" t="s">
        <v>45112</v>
      </c>
      <c r="K10145" s="5" t="s">
        <v>45113</v>
      </c>
      <c r="L10145" s="18" t="s">
        <v>45114</v>
      </c>
      <c r="M10145" s="18" t="s">
        <v>29</v>
      </c>
      <c r="N10145" s="18" t="s">
        <v>45115</v>
      </c>
      <c r="O10145" s="18" t="s">
        <v>29</v>
      </c>
      <c r="P10145" s="18" t="s">
        <v>45116</v>
      </c>
      <c r="Q10145" s="6"/>
      <c r="R10145" s="6"/>
      <c r="S10145" s="6"/>
      <c r="T10145" s="6"/>
      <c r="U10145" s="6"/>
      <c r="V10145" s="8"/>
      <c r="W10145" s="8"/>
      <c r="X10145" s="8"/>
      <c r="Y10145" s="8"/>
    </row>
    <row r="10146" ht="14.25">
      <c r="B10146" s="18" t="s">
        <v>1732</v>
      </c>
      <c r="C10146" s="18" t="s">
        <v>45117</v>
      </c>
      <c r="D10146" s="18" t="s">
        <v>172</v>
      </c>
      <c r="E10146" s="18" t="s">
        <v>45118</v>
      </c>
      <c r="F10146" s="18" t="str">
        <f>IFERROR(__XLUDF.DUMMYFUNCTION("PROPER(REGEXREPLACE(D58,""[^A-Za-z]+ "",""""))"),"Sopega Tp")</f>
        <v xml:space="preserve">Sopega Tp</v>
      </c>
      <c r="G10146" s="18" t="s">
        <v>45119</v>
      </c>
      <c r="H10146" s="18">
        <v>18</v>
      </c>
      <c r="I10146" s="18" t="s">
        <v>9239</v>
      </c>
      <c r="J10146" s="5" t="s">
        <v>45120</v>
      </c>
      <c r="K10146" s="5" t="s">
        <v>45121</v>
      </c>
      <c r="L10146" s="18" t="s">
        <v>39</v>
      </c>
      <c r="M10146" s="18" t="s">
        <v>29</v>
      </c>
      <c r="N10146" s="18" t="s">
        <v>45122</v>
      </c>
      <c r="O10146" s="18" t="s">
        <v>29</v>
      </c>
      <c r="P10146" s="18" t="s">
        <v>45123</v>
      </c>
      <c r="Q10146" s="6"/>
      <c r="R10146" s="6"/>
      <c r="S10146" s="6"/>
      <c r="T10146" s="6"/>
      <c r="U10146" s="6"/>
      <c r="V10146" s="8"/>
      <c r="W10146" s="8"/>
      <c r="X10146" s="8"/>
      <c r="Y10146" s="8"/>
    </row>
    <row r="10147" ht="14.25">
      <c r="B10147" s="18" t="s">
        <v>785</v>
      </c>
      <c r="C10147" s="18" t="s">
        <v>8303</v>
      </c>
      <c r="D10147" s="18" t="s">
        <v>172</v>
      </c>
      <c r="E10147" s="18" t="s">
        <v>45124</v>
      </c>
      <c r="F10147" s="18" t="str">
        <f>IFERROR(__XLUDF.DUMMYFUNCTION("PROPER(REGEXREPLACE(D59,""[^A-Za-z]+ "",""""))"),"Demattec")</f>
        <v>Demattec</v>
      </c>
      <c r="G10147" s="18" t="s">
        <v>45125</v>
      </c>
      <c r="H10147" s="18">
        <v>8</v>
      </c>
      <c r="I10147" s="18" t="s">
        <v>9239</v>
      </c>
      <c r="J10147" s="5" t="s">
        <v>45126</v>
      </c>
      <c r="K10147" s="5" t="s">
        <v>45127</v>
      </c>
      <c r="L10147" s="6"/>
      <c r="M10147" s="18" t="s">
        <v>29</v>
      </c>
      <c r="N10147" s="18" t="s">
        <v>45128</v>
      </c>
      <c r="O10147" s="18" t="s">
        <v>29</v>
      </c>
      <c r="P10147" s="6"/>
      <c r="Q10147" s="6"/>
      <c r="R10147" s="6"/>
      <c r="S10147" s="6"/>
      <c r="T10147" s="6"/>
      <c r="U10147" s="6"/>
      <c r="V10147" s="8"/>
      <c r="W10147" s="8"/>
      <c r="X10147" s="8"/>
      <c r="Y10147" s="8"/>
    </row>
    <row r="10148" ht="14.25">
      <c r="B10148" s="18" t="s">
        <v>769</v>
      </c>
      <c r="C10148" s="18" t="s">
        <v>45129</v>
      </c>
      <c r="D10148" s="18" t="s">
        <v>172</v>
      </c>
      <c r="E10148" s="18" t="s">
        <v>45130</v>
      </c>
      <c r="F10148" s="18" t="str">
        <f>IFERROR(__XLUDF.DUMMYFUNCTION("PROPER(REGEXREPLACE(D60,""[^A-Za-z]+ "",""""))"),"Paul Turpeau")</f>
        <v xml:space="preserve">Paul Turpeau</v>
      </c>
      <c r="G10148" s="18" t="s">
        <v>45131</v>
      </c>
      <c r="H10148" s="6"/>
      <c r="I10148" s="6"/>
      <c r="J10148" s="5" t="s">
        <v>45132</v>
      </c>
      <c r="K10148" s="5" t="s">
        <v>45133</v>
      </c>
      <c r="L10148" s="18" t="s">
        <v>11171</v>
      </c>
      <c r="M10148" s="18" t="s">
        <v>29</v>
      </c>
      <c r="N10148" s="18" t="s">
        <v>4883</v>
      </c>
      <c r="O10148" s="18" t="s">
        <v>29</v>
      </c>
      <c r="P10148" s="6"/>
      <c r="Q10148" s="6"/>
      <c r="R10148" s="6"/>
      <c r="S10148" s="6"/>
      <c r="T10148" s="6"/>
      <c r="U10148" s="6"/>
      <c r="V10148" s="8"/>
      <c r="W10148" s="8"/>
      <c r="X10148" s="8"/>
      <c r="Y10148" s="8"/>
    </row>
    <row r="10149" ht="14.25">
      <c r="B10149" s="18" t="s">
        <v>661</v>
      </c>
      <c r="C10149" s="18" t="s">
        <v>45134</v>
      </c>
      <c r="D10149" s="18" t="s">
        <v>172</v>
      </c>
      <c r="E10149" s="18" t="s">
        <v>45135</v>
      </c>
      <c r="F10149" s="18" t="str">
        <f>IFERROR(__XLUDF.DUMMYFUNCTION("PROPER(REGEXREPLACE(D61,""[^A-Za-z]+ "",""""))"),"Sas Eric Lequertier")</f>
        <v xml:space="preserve">Sas Eric Lequertier</v>
      </c>
      <c r="G10149" s="18" t="s">
        <v>45136</v>
      </c>
      <c r="H10149" s="18">
        <v>42</v>
      </c>
      <c r="I10149" s="18" t="s">
        <v>9239</v>
      </c>
      <c r="J10149" s="5" t="s">
        <v>45137</v>
      </c>
      <c r="K10149" s="5" t="s">
        <v>45138</v>
      </c>
      <c r="L10149" s="18" t="s">
        <v>1826</v>
      </c>
      <c r="M10149" s="18" t="s">
        <v>29</v>
      </c>
      <c r="N10149" s="18" t="s">
        <v>45139</v>
      </c>
      <c r="O10149" s="18" t="s">
        <v>29</v>
      </c>
      <c r="P10149" s="18" t="s">
        <v>45140</v>
      </c>
      <c r="Q10149" s="6"/>
      <c r="R10149" s="6"/>
      <c r="S10149" s="6"/>
      <c r="T10149" s="6"/>
      <c r="U10149" s="6"/>
      <c r="V10149" s="8"/>
      <c r="W10149" s="8"/>
      <c r="X10149" s="8"/>
      <c r="Y10149" s="8"/>
    </row>
    <row r="10150" ht="14.25">
      <c r="B10150" s="18" t="s">
        <v>12387</v>
      </c>
      <c r="C10150" s="18" t="s">
        <v>45141</v>
      </c>
      <c r="D10150" s="18" t="s">
        <v>172</v>
      </c>
      <c r="E10150" s="18" t="s">
        <v>45142</v>
      </c>
      <c r="F10150" s="18" t="str">
        <f>IFERROR(__XLUDF.DUMMYFUNCTION("PROPER(REGEXREPLACE(D62,""[^A-Za-z]+ "",""""))"),"Milon-Isolation")</f>
        <v>Milon-Isolation</v>
      </c>
      <c r="G10150" s="18" t="s">
        <v>45143</v>
      </c>
      <c r="H10150" s="18">
        <v>21</v>
      </c>
      <c r="I10150" s="18" t="s">
        <v>9239</v>
      </c>
      <c r="J10150" s="5" t="s">
        <v>45144</v>
      </c>
      <c r="K10150" s="5" t="s">
        <v>45145</v>
      </c>
      <c r="L10150" s="18" t="s">
        <v>1826</v>
      </c>
      <c r="M10150" s="18" t="s">
        <v>29</v>
      </c>
      <c r="N10150" s="18" t="s">
        <v>45146</v>
      </c>
      <c r="O10150" s="18" t="s">
        <v>29</v>
      </c>
      <c r="P10150" s="6"/>
      <c r="Q10150" s="6"/>
      <c r="R10150" s="6"/>
      <c r="S10150" s="6"/>
      <c r="T10150" s="6"/>
      <c r="U10150" s="6"/>
      <c r="V10150" s="8"/>
      <c r="W10150" s="8"/>
      <c r="X10150" s="8"/>
      <c r="Y10150" s="8"/>
    </row>
    <row r="10151" ht="14.25">
      <c r="B10151" s="18" t="s">
        <v>1844</v>
      </c>
      <c r="C10151" s="18" t="s">
        <v>45147</v>
      </c>
      <c r="D10151" s="18" t="s">
        <v>172</v>
      </c>
      <c r="E10151" s="18" t="s">
        <v>45148</v>
      </c>
      <c r="F10151" s="18" t="str">
        <f>IFERROR(__XLUDF.DUMMYFUNCTION("PROPER(REGEXREPLACE(D63,""[^A-Za-z]+ "",""""))"),"Bec Construction Provence")</f>
        <v xml:space="preserve">Bec Construction Provence</v>
      </c>
      <c r="G10151" s="18" t="s">
        <v>45149</v>
      </c>
      <c r="H10151" s="18">
        <v>51</v>
      </c>
      <c r="I10151" s="18" t="s">
        <v>9239</v>
      </c>
      <c r="J10151" s="5" t="s">
        <v>45150</v>
      </c>
      <c r="K10151" s="5" t="s">
        <v>45151</v>
      </c>
      <c r="L10151" s="18" t="s">
        <v>295</v>
      </c>
      <c r="M10151" s="18" t="s">
        <v>29</v>
      </c>
      <c r="N10151" s="18" t="s">
        <v>5498</v>
      </c>
      <c r="O10151" s="18" t="s">
        <v>29</v>
      </c>
      <c r="P10151" s="6"/>
      <c r="Q10151" s="6"/>
      <c r="R10151" s="6"/>
      <c r="S10151" s="6"/>
      <c r="T10151" s="6"/>
      <c r="U10151" s="6"/>
      <c r="V10151" s="8"/>
      <c r="W10151" s="8"/>
      <c r="X10151" s="8"/>
      <c r="Y10151" s="8"/>
    </row>
    <row r="10152" ht="14.25">
      <c r="B10152" s="18" t="s">
        <v>110</v>
      </c>
      <c r="C10152" s="18" t="s">
        <v>45152</v>
      </c>
      <c r="D10152" s="18" t="s">
        <v>45153</v>
      </c>
      <c r="E10152" s="18" t="s">
        <v>45154</v>
      </c>
      <c r="F10152" s="18" t="str">
        <f>IFERROR(__XLUDF.DUMMYFUNCTION("PROPER(REGEXREPLACE(D64,""[^A-Za-z]+ "",""""))"),"Sfeco")</f>
        <v>Sfeco</v>
      </c>
      <c r="G10152" s="18" t="s">
        <v>45155</v>
      </c>
      <c r="H10152" s="18">
        <v>33</v>
      </c>
      <c r="I10152" s="18" t="s">
        <v>9239</v>
      </c>
      <c r="J10152" s="5" t="s">
        <v>45156</v>
      </c>
      <c r="K10152" s="5" t="s">
        <v>45157</v>
      </c>
      <c r="L10152" s="18" t="s">
        <v>3848</v>
      </c>
      <c r="M10152" s="18" t="s">
        <v>29</v>
      </c>
      <c r="N10152" s="18" t="s">
        <v>45158</v>
      </c>
      <c r="O10152" s="18" t="s">
        <v>29</v>
      </c>
      <c r="P10152" s="6"/>
      <c r="Q10152" s="6"/>
      <c r="R10152" s="6"/>
      <c r="S10152" s="6"/>
      <c r="T10152" s="6"/>
      <c r="U10152" s="6"/>
      <c r="V10152" s="8"/>
      <c r="W10152" s="8"/>
      <c r="X10152" s="8"/>
      <c r="Y10152" s="8"/>
    </row>
    <row r="10153" ht="14.25">
      <c r="B10153" s="18" t="s">
        <v>15070</v>
      </c>
      <c r="C10153" s="18" t="s">
        <v>29987</v>
      </c>
      <c r="D10153" s="18" t="s">
        <v>7155</v>
      </c>
      <c r="E10153" s="18" t="s">
        <v>45159</v>
      </c>
      <c r="F10153" s="18" t="str">
        <f>IFERROR(__XLUDF.DUMMYFUNCTION("PROPER(REGEXREPLACE(D65,""[^A-Za-z]+ "",""""))"),"Solidem")</f>
        <v>Solidem</v>
      </c>
      <c r="G10153" s="18" t="s">
        <v>45160</v>
      </c>
      <c r="H10153" s="18">
        <v>3</v>
      </c>
      <c r="I10153" s="18" t="s">
        <v>9239</v>
      </c>
      <c r="J10153" s="5" t="s">
        <v>45161</v>
      </c>
      <c r="K10153" s="5" t="s">
        <v>45162</v>
      </c>
      <c r="L10153" s="18" t="s">
        <v>45163</v>
      </c>
      <c r="M10153" s="18" t="s">
        <v>29</v>
      </c>
      <c r="N10153" s="18" t="s">
        <v>1986</v>
      </c>
      <c r="O10153" s="18" t="s">
        <v>29</v>
      </c>
      <c r="P10153" s="18" t="s">
        <v>45164</v>
      </c>
      <c r="Q10153" s="6"/>
      <c r="R10153" s="6"/>
      <c r="S10153" s="6"/>
      <c r="T10153" s="6"/>
      <c r="U10153" s="6"/>
      <c r="V10153" s="8"/>
      <c r="W10153" s="8"/>
      <c r="X10153" s="8"/>
      <c r="Y10153" s="8"/>
    </row>
    <row r="10154" ht="14.25">
      <c r="B10154" s="18" t="s">
        <v>1844</v>
      </c>
      <c r="C10154" s="18" t="s">
        <v>11744</v>
      </c>
      <c r="D10154" s="18" t="s">
        <v>1950</v>
      </c>
      <c r="E10154" s="18" t="s">
        <v>45165</v>
      </c>
      <c r="F10154" s="18" t="str">
        <f>IFERROR(__XLUDF.DUMMYFUNCTION("PROPER(REGEXREPLACE(D66,""[^A-Za-z]+ "",""""))"),"Infra Services")</f>
        <v xml:space="preserve">Infra Services</v>
      </c>
      <c r="G10154" s="18" t="s">
        <v>45166</v>
      </c>
      <c r="H10154" s="18">
        <v>39</v>
      </c>
      <c r="I10154" s="18" t="s">
        <v>9239</v>
      </c>
      <c r="J10154" s="5" t="s">
        <v>45167</v>
      </c>
      <c r="K10154" s="5" t="s">
        <v>45168</v>
      </c>
      <c r="L10154" s="18" t="s">
        <v>492</v>
      </c>
      <c r="M10154" s="18" t="s">
        <v>29</v>
      </c>
      <c r="N10154" s="18" t="s">
        <v>45169</v>
      </c>
      <c r="O10154" s="18" t="s">
        <v>29</v>
      </c>
      <c r="P10154" s="6"/>
      <c r="Q10154" s="6"/>
      <c r="R10154" s="6"/>
      <c r="S10154" s="6"/>
      <c r="T10154" s="6"/>
      <c r="U10154" s="6"/>
      <c r="V10154" s="8"/>
      <c r="W10154" s="8"/>
      <c r="X10154" s="8"/>
      <c r="Y10154" s="8"/>
    </row>
    <row r="10155" ht="14.25">
      <c r="B10155" s="18" t="s">
        <v>45170</v>
      </c>
      <c r="C10155" s="18" t="s">
        <v>45171</v>
      </c>
      <c r="D10155" s="18" t="s">
        <v>468</v>
      </c>
      <c r="E10155" s="18" t="s">
        <v>45172</v>
      </c>
      <c r="F10155" s="18" t="str">
        <f>IFERROR(__XLUDF.DUMMYFUNCTION("PROPER(REGEXREPLACE(D67,""[^A-Za-z]+ "",""""))"),"Coméca Les Maisons")</f>
        <v xml:space="preserve">Coméca Les Maisons</v>
      </c>
      <c r="G10155" s="18" t="s">
        <v>45173</v>
      </c>
      <c r="H10155" s="18">
        <v>38</v>
      </c>
      <c r="I10155" s="18" t="s">
        <v>9239</v>
      </c>
      <c r="J10155" s="5" t="s">
        <v>45174</v>
      </c>
      <c r="K10155" s="5" t="s">
        <v>45175</v>
      </c>
      <c r="L10155" s="18" t="s">
        <v>1711</v>
      </c>
      <c r="M10155" s="18" t="s">
        <v>29</v>
      </c>
      <c r="N10155" s="18" t="s">
        <v>45176</v>
      </c>
      <c r="O10155" s="18" t="s">
        <v>29</v>
      </c>
      <c r="P10155" s="18" t="s">
        <v>45177</v>
      </c>
      <c r="Q10155" s="6"/>
      <c r="R10155" s="6"/>
      <c r="S10155" s="6"/>
      <c r="T10155" s="6"/>
      <c r="U10155" s="6"/>
      <c r="V10155" s="8"/>
      <c r="W10155" s="8"/>
      <c r="X10155" s="8"/>
      <c r="Y10155" s="8"/>
    </row>
    <row r="10156" ht="14.25">
      <c r="B10156" s="18" t="s">
        <v>322</v>
      </c>
      <c r="C10156" s="18" t="s">
        <v>10412</v>
      </c>
      <c r="D10156" s="18" t="s">
        <v>8042</v>
      </c>
      <c r="E10156" s="18" t="s">
        <v>45178</v>
      </c>
      <c r="F10156" s="18" t="str">
        <f>IFERROR(__XLUDF.DUMMYFUNCTION("PROPER(REGEXREPLACE(D68,""[^A-Za-z]+ "",""""))"),"Prefacat")</f>
        <v>Prefacat</v>
      </c>
      <c r="G10156" s="18" t="s">
        <v>45179</v>
      </c>
      <c r="H10156" s="18">
        <v>8</v>
      </c>
      <c r="I10156" s="18" t="s">
        <v>9239</v>
      </c>
      <c r="J10156" s="5" t="s">
        <v>45180</v>
      </c>
      <c r="K10156" s="5" t="s">
        <v>45181</v>
      </c>
      <c r="L10156" s="18" t="s">
        <v>846</v>
      </c>
      <c r="M10156" s="18" t="s">
        <v>29</v>
      </c>
      <c r="N10156" s="18" t="s">
        <v>45182</v>
      </c>
      <c r="O10156" s="18" t="s">
        <v>29</v>
      </c>
      <c r="P10156" s="6"/>
      <c r="Q10156" s="6"/>
      <c r="R10156" s="6"/>
      <c r="S10156" s="6"/>
      <c r="T10156" s="6"/>
      <c r="U10156" s="6"/>
      <c r="V10156" s="8"/>
      <c r="W10156" s="8"/>
      <c r="X10156" s="8"/>
      <c r="Y10156" s="8"/>
    </row>
    <row r="10157" ht="14.25">
      <c r="B10157" s="18" t="s">
        <v>8750</v>
      </c>
      <c r="C10157" s="18" t="s">
        <v>45183</v>
      </c>
      <c r="D10157" s="18" t="s">
        <v>172</v>
      </c>
      <c r="E10157" s="18" t="s">
        <v>45184</v>
      </c>
      <c r="F10157" s="18" t="str">
        <f>IFERROR(__XLUDF.DUMMYFUNCTION("PROPER(REGEXREPLACE(D69,""[^A-Za-z]+ "",""""))"),"Sas Pilet Metalpetrovic")</f>
        <v xml:space="preserve">Sas Pilet Metalpetrovic</v>
      </c>
      <c r="G10157" s="18" t="s">
        <v>45185</v>
      </c>
      <c r="H10157" s="18">
        <v>5</v>
      </c>
      <c r="I10157" s="18" t="s">
        <v>14347</v>
      </c>
      <c r="J10157" s="5" t="s">
        <v>45186</v>
      </c>
      <c r="K10157" s="5" t="s">
        <v>45187</v>
      </c>
      <c r="L10157" s="18" t="s">
        <v>3848</v>
      </c>
      <c r="M10157" s="18" t="s">
        <v>29</v>
      </c>
      <c r="N10157" s="18" t="s">
        <v>29</v>
      </c>
      <c r="O10157" s="18" t="s">
        <v>29</v>
      </c>
      <c r="P10157" s="6"/>
      <c r="Q10157" s="6"/>
      <c r="R10157" s="6"/>
      <c r="S10157" s="6"/>
      <c r="T10157" s="6"/>
      <c r="U10157" s="6"/>
      <c r="V10157" s="8"/>
      <c r="W10157" s="8"/>
      <c r="X10157" s="8"/>
      <c r="Y10157" s="8"/>
    </row>
    <row r="10158" ht="14.25">
      <c r="B10158" s="18" t="s">
        <v>1732</v>
      </c>
      <c r="C10158" s="18" t="s">
        <v>45188</v>
      </c>
      <c r="D10158" s="18" t="s">
        <v>426</v>
      </c>
      <c r="E10158" s="18" t="s">
        <v>45189</v>
      </c>
      <c r="F10158" s="18" t="str">
        <f>IFERROR(__XLUDF.DUMMYFUNCTION("PROPER(REGEXREPLACE(D70,""[^A-Za-z]+ "",""""))"),"Axpacaal Ingénierie")</f>
        <v xml:space="preserve">Axpacaal Ingénierie</v>
      </c>
      <c r="G10158" s="18" t="s">
        <v>45190</v>
      </c>
      <c r="H10158" s="18">
        <v>1</v>
      </c>
      <c r="I10158" s="18" t="s">
        <v>9239</v>
      </c>
      <c r="J10158" s="5" t="s">
        <v>45191</v>
      </c>
      <c r="K10158" s="5" t="s">
        <v>45192</v>
      </c>
      <c r="L10158" s="18" t="s">
        <v>39</v>
      </c>
      <c r="M10158" s="18" t="s">
        <v>29</v>
      </c>
      <c r="N10158" s="18" t="s">
        <v>45193</v>
      </c>
      <c r="O10158" s="18" t="s">
        <v>29</v>
      </c>
      <c r="P10158" s="18" t="s">
        <v>45194</v>
      </c>
      <c r="Q10158" s="6"/>
      <c r="R10158" s="6"/>
      <c r="S10158" s="6"/>
      <c r="T10158" s="6"/>
      <c r="U10158" s="6"/>
      <c r="V10158" s="8"/>
      <c r="W10158" s="8"/>
      <c r="X10158" s="8"/>
      <c r="Y10158" s="8"/>
    </row>
    <row r="10159" ht="14.25">
      <c r="B10159" s="18" t="s">
        <v>76</v>
      </c>
      <c r="C10159" s="18" t="s">
        <v>45195</v>
      </c>
      <c r="D10159" s="18" t="s">
        <v>45196</v>
      </c>
      <c r="E10159" s="18" t="s">
        <v>45197</v>
      </c>
      <c r="F10159" s="18" t="str">
        <f>IFERROR(__XLUDF.DUMMYFUNCTION("PROPER(REGEXREPLACE(D71,""[^A-Za-z]+ "",""""))"),"Advanced Green Services")</f>
        <v xml:space="preserve">Advanced Green Services</v>
      </c>
      <c r="G10159" s="18" t="s">
        <v>45198</v>
      </c>
      <c r="H10159" s="18">
        <v>2</v>
      </c>
      <c r="I10159" s="18" t="s">
        <v>9239</v>
      </c>
      <c r="J10159" s="5" t="s">
        <v>45199</v>
      </c>
      <c r="K10159" s="5" t="s">
        <v>45200</v>
      </c>
      <c r="L10159" s="18" t="s">
        <v>243</v>
      </c>
      <c r="M10159" s="18" t="s">
        <v>29</v>
      </c>
      <c r="N10159" s="18" t="s">
        <v>45201</v>
      </c>
      <c r="O10159" s="18" t="s">
        <v>29</v>
      </c>
      <c r="P10159" s="6"/>
      <c r="Q10159" s="6"/>
      <c r="R10159" s="6"/>
      <c r="S10159" s="6"/>
      <c r="T10159" s="6"/>
      <c r="U10159" s="6"/>
      <c r="V10159" s="8"/>
      <c r="W10159" s="8"/>
      <c r="X10159" s="8"/>
      <c r="Y10159" s="8"/>
    </row>
    <row r="10160" ht="14.25">
      <c r="B10160" s="18" t="s">
        <v>1704</v>
      </c>
      <c r="C10160" s="18" t="s">
        <v>45202</v>
      </c>
      <c r="D10160" s="18" t="s">
        <v>23879</v>
      </c>
      <c r="E10160" s="18" t="s">
        <v>45203</v>
      </c>
      <c r="F10160" s="18" t="str">
        <f>IFERROR(__XLUDF.DUMMYFUNCTION("PROPER(REGEXREPLACE(D72,""[^A-Za-z]+ "",""""))"),"Bbbuild")</f>
        <v>Bbbuild</v>
      </c>
      <c r="G10160" s="18" t="s">
        <v>45204</v>
      </c>
      <c r="H10160" s="18">
        <v>2</v>
      </c>
      <c r="I10160" s="18" t="s">
        <v>9239</v>
      </c>
      <c r="J10160" s="5" t="s">
        <v>45205</v>
      </c>
      <c r="K10160" s="5" t="s">
        <v>45206</v>
      </c>
      <c r="L10160" s="6"/>
      <c r="M10160" s="18" t="s">
        <v>29</v>
      </c>
      <c r="N10160" s="18" t="s">
        <v>19317</v>
      </c>
      <c r="O10160" s="18" t="s">
        <v>29</v>
      </c>
      <c r="P10160" s="6"/>
      <c r="Q10160" s="6"/>
      <c r="R10160" s="6"/>
      <c r="S10160" s="6"/>
      <c r="T10160" s="6"/>
      <c r="U10160" s="6"/>
      <c r="V10160" s="8"/>
      <c r="W10160" s="8"/>
      <c r="X10160" s="8"/>
      <c r="Y10160" s="8"/>
    </row>
    <row r="10161" ht="14.25">
      <c r="B10161" s="18" t="s">
        <v>6945</v>
      </c>
      <c r="C10161" s="18" t="s">
        <v>45207</v>
      </c>
      <c r="D10161" s="18" t="s">
        <v>1950</v>
      </c>
      <c r="E10161" s="18" t="s">
        <v>45208</v>
      </c>
      <c r="F10161" s="18" t="str">
        <f>IFERROR(__XLUDF.DUMMYFUNCTION("PROPER(REGEXREPLACE(D73,""[^A-Za-z]+ "",""""))"),"Daussy Constructions Métalliques")</f>
        <v xml:space="preserve">Daussy Constructions Métalliques</v>
      </c>
      <c r="G10161" s="18" t="s">
        <v>45209</v>
      </c>
      <c r="H10161" s="18">
        <v>19</v>
      </c>
      <c r="I10161" s="18" t="s">
        <v>9239</v>
      </c>
      <c r="J10161" s="5" t="s">
        <v>45210</v>
      </c>
      <c r="K10161" s="5" t="s">
        <v>45211</v>
      </c>
      <c r="L10161" s="18" t="s">
        <v>846</v>
      </c>
      <c r="M10161" s="18" t="s">
        <v>29</v>
      </c>
      <c r="N10161" s="18" t="s">
        <v>45212</v>
      </c>
      <c r="O10161" s="18" t="s">
        <v>29</v>
      </c>
      <c r="P10161" s="6"/>
      <c r="Q10161" s="6"/>
      <c r="R10161" s="6"/>
      <c r="S10161" s="6"/>
      <c r="T10161" s="6"/>
      <c r="U10161" s="6"/>
      <c r="V10161" s="8"/>
      <c r="W10161" s="8"/>
      <c r="X10161" s="8"/>
      <c r="Y10161" s="8"/>
    </row>
    <row r="10162" ht="14.25">
      <c r="B10162" s="18" t="s">
        <v>1421</v>
      </c>
      <c r="C10162" s="18" t="s">
        <v>45213</v>
      </c>
      <c r="D10162" s="18" t="s">
        <v>164</v>
      </c>
      <c r="E10162" s="18" t="s">
        <v>45214</v>
      </c>
      <c r="F10162" s="18" t="str">
        <f>IFERROR(__XLUDF.DUMMYFUNCTION("PROPER(REGEXREPLACE(D74,""[^A-Za-z]+ "",""""))"),"Demet'Air")</f>
        <v>Demet'Air</v>
      </c>
      <c r="G10162" s="18" t="s">
        <v>45215</v>
      </c>
      <c r="H10162" s="18">
        <v>4</v>
      </c>
      <c r="I10162" s="18" t="s">
        <v>9239</v>
      </c>
      <c r="J10162" s="5" t="s">
        <v>45216</v>
      </c>
      <c r="K10162" s="5" t="s">
        <v>45217</v>
      </c>
      <c r="L10162" s="18" t="s">
        <v>83</v>
      </c>
      <c r="M10162" s="18" t="s">
        <v>29</v>
      </c>
      <c r="N10162" s="18" t="s">
        <v>45218</v>
      </c>
      <c r="O10162" s="18" t="s">
        <v>29</v>
      </c>
      <c r="P10162" s="18" t="s">
        <v>45219</v>
      </c>
      <c r="Q10162" s="6"/>
      <c r="R10162" s="6"/>
      <c r="S10162" s="6"/>
      <c r="T10162" s="6"/>
      <c r="U10162" s="6"/>
      <c r="V10162" s="8"/>
      <c r="W10162" s="8"/>
      <c r="X10162" s="8"/>
      <c r="Y10162" s="8"/>
    </row>
    <row r="10163" ht="14.25">
      <c r="B10163" s="18" t="s">
        <v>330</v>
      </c>
      <c r="C10163" s="18" t="s">
        <v>189</v>
      </c>
      <c r="D10163" s="18" t="s">
        <v>1072</v>
      </c>
      <c r="E10163" s="18" t="s">
        <v>45220</v>
      </c>
      <c r="F10163" s="18" t="str">
        <f>IFERROR(__XLUDF.DUMMYFUNCTION("PROPER(REGEXREPLACE(D75,""[^A-Za-z]+ "",""""))"),"Archibien")</f>
        <v>Archibien</v>
      </c>
      <c r="G10163" s="18" t="s">
        <v>45221</v>
      </c>
      <c r="H10163" s="18">
        <v>6</v>
      </c>
      <c r="I10163" s="18" t="s">
        <v>10167</v>
      </c>
      <c r="J10163" s="5" t="s">
        <v>45222</v>
      </c>
      <c r="K10163" s="5" t="s">
        <v>45223</v>
      </c>
      <c r="L10163" s="18" t="s">
        <v>39</v>
      </c>
      <c r="M10163" s="18" t="s">
        <v>29</v>
      </c>
      <c r="N10163" s="18" t="s">
        <v>45224</v>
      </c>
      <c r="O10163" s="18" t="s">
        <v>29</v>
      </c>
      <c r="P10163" s="18" t="s">
        <v>45225</v>
      </c>
      <c r="Q10163" s="6"/>
      <c r="R10163" s="6"/>
      <c r="S10163" s="6"/>
      <c r="T10163" s="6"/>
      <c r="U10163" s="6"/>
      <c r="V10163" s="8"/>
      <c r="W10163" s="8"/>
      <c r="X10163" s="8"/>
      <c r="Y10163" s="8"/>
    </row>
    <row r="10164" ht="14.25">
      <c r="B10164" s="18" t="s">
        <v>1442</v>
      </c>
      <c r="C10164" s="18" t="s">
        <v>9500</v>
      </c>
      <c r="D10164" s="18" t="s">
        <v>87</v>
      </c>
      <c r="E10164" s="18" t="s">
        <v>45226</v>
      </c>
      <c r="F10164" s="18" t="str">
        <f>IFERROR(__XLUDF.DUMMYFUNCTION("PROPER(REGEXREPLACE(D76,""[^A-Za-z]+ "",""""))"),"Prozon")</f>
        <v>Prozon</v>
      </c>
      <c r="G10164" s="18" t="s">
        <v>45227</v>
      </c>
      <c r="H10164" s="18">
        <v>42</v>
      </c>
      <c r="I10164" s="18" t="s">
        <v>9239</v>
      </c>
      <c r="J10164" s="5" t="s">
        <v>45228</v>
      </c>
      <c r="K10164" s="5" t="s">
        <v>45229</v>
      </c>
      <c r="L10164" s="18" t="s">
        <v>295</v>
      </c>
      <c r="M10164" s="18" t="s">
        <v>29</v>
      </c>
      <c r="N10164" s="18" t="s">
        <v>45230</v>
      </c>
      <c r="O10164" s="18" t="s">
        <v>29</v>
      </c>
      <c r="P10164" s="18" t="s">
        <v>45231</v>
      </c>
      <c r="Q10164" s="6"/>
      <c r="R10164" s="6"/>
      <c r="S10164" s="6"/>
      <c r="T10164" s="6"/>
      <c r="U10164" s="6"/>
      <c r="V10164" s="8"/>
      <c r="W10164" s="8"/>
      <c r="X10164" s="8"/>
      <c r="Y10164" s="8"/>
    </row>
    <row r="10165" ht="14.25">
      <c r="B10165" s="18" t="s">
        <v>1215</v>
      </c>
      <c r="C10165" s="18" t="s">
        <v>31937</v>
      </c>
      <c r="D10165" s="18" t="s">
        <v>112</v>
      </c>
      <c r="E10165" s="18" t="s">
        <v>31938</v>
      </c>
      <c r="F10165" s="18" t="str">
        <f>IFERROR(__XLUDF.DUMMYFUNCTION("PROPER(REGEXREPLACE(D77,""[^A-Za-z]+ "",""""))"),"Commespace")</f>
        <v>Commespace</v>
      </c>
      <c r="G10165" s="18" t="s">
        <v>45232</v>
      </c>
      <c r="H10165" s="18">
        <v>12</v>
      </c>
      <c r="I10165" s="18" t="s">
        <v>4293</v>
      </c>
      <c r="J10165" s="5" t="s">
        <v>45233</v>
      </c>
      <c r="K10165" s="5" t="s">
        <v>31941</v>
      </c>
      <c r="L10165" s="18" t="s">
        <v>20178</v>
      </c>
      <c r="M10165" s="18" t="s">
        <v>29</v>
      </c>
      <c r="N10165" s="18" t="s">
        <v>31942</v>
      </c>
      <c r="O10165" s="18" t="s">
        <v>29</v>
      </c>
      <c r="P10165" s="18" t="s">
        <v>31943</v>
      </c>
      <c r="Q10165" s="6"/>
      <c r="R10165" s="6"/>
      <c r="S10165" s="6"/>
      <c r="T10165" s="6"/>
      <c r="U10165" s="6"/>
      <c r="V10165" s="8"/>
      <c r="W10165" s="8"/>
      <c r="X10165" s="8"/>
      <c r="Y10165" s="8"/>
    </row>
    <row r="10166" ht="14.25">
      <c r="B10166" s="18" t="s">
        <v>1583</v>
      </c>
      <c r="C10166" s="18" t="s">
        <v>45234</v>
      </c>
      <c r="D10166" s="18" t="s">
        <v>112</v>
      </c>
      <c r="E10166" s="18" t="s">
        <v>45235</v>
      </c>
      <c r="F10166" s="18" t="str">
        <f>IFERROR(__XLUDF.DUMMYFUNCTION("PROPER(REGEXREPLACE(D78,""[^A-Za-z]+ "",""""))"),"Imperium Ouvertures")</f>
        <v xml:space="preserve">Imperium Ouvertures</v>
      </c>
      <c r="G10166" s="18" t="s">
        <v>45236</v>
      </c>
      <c r="H10166" s="18">
        <v>46</v>
      </c>
      <c r="I10166" s="18" t="s">
        <v>9239</v>
      </c>
      <c r="J10166" s="5" t="s">
        <v>45237</v>
      </c>
      <c r="K10166" s="5" t="s">
        <v>45238</v>
      </c>
      <c r="L10166" s="6"/>
      <c r="M10166" s="18" t="s">
        <v>29</v>
      </c>
      <c r="N10166" s="18" t="s">
        <v>45239</v>
      </c>
      <c r="O10166" s="18" t="s">
        <v>29</v>
      </c>
      <c r="P10166" s="18" t="s">
        <v>45240</v>
      </c>
      <c r="Q10166" s="6"/>
      <c r="R10166" s="6"/>
      <c r="S10166" s="6"/>
      <c r="T10166" s="6"/>
      <c r="U10166" s="6"/>
      <c r="V10166" s="8"/>
      <c r="W10166" s="8"/>
      <c r="X10166" s="8"/>
      <c r="Y10166" s="8"/>
    </row>
    <row r="10167" ht="14.25">
      <c r="B10167" s="18" t="s">
        <v>20</v>
      </c>
      <c r="C10167" s="18" t="s">
        <v>7676</v>
      </c>
      <c r="D10167" s="18" t="s">
        <v>112</v>
      </c>
      <c r="E10167" s="18" t="s">
        <v>45241</v>
      </c>
      <c r="F10167" s="18" t="str">
        <f>IFERROR(__XLUDF.DUMMYFUNCTION("PROPER(REGEXREPLACE(D79,""[^A-Za-z]+ "",""""))"),"Chardin")</f>
        <v>Chardin</v>
      </c>
      <c r="G10167" s="18" t="s">
        <v>45242</v>
      </c>
      <c r="H10167" s="18">
        <v>38</v>
      </c>
      <c r="I10167" s="18" t="s">
        <v>9239</v>
      </c>
      <c r="J10167" s="5" t="s">
        <v>45243</v>
      </c>
      <c r="K10167" s="5" t="s">
        <v>45244</v>
      </c>
      <c r="L10167" s="18" t="s">
        <v>39</v>
      </c>
      <c r="M10167" s="18" t="s">
        <v>29</v>
      </c>
      <c r="N10167" s="18" t="s">
        <v>45245</v>
      </c>
      <c r="O10167" s="18" t="s">
        <v>29</v>
      </c>
      <c r="P10167" s="6"/>
      <c r="Q10167" s="6"/>
      <c r="R10167" s="6"/>
      <c r="S10167" s="6"/>
      <c r="T10167" s="6"/>
      <c r="U10167" s="6"/>
      <c r="V10167" s="8"/>
      <c r="W10167" s="8"/>
      <c r="X10167" s="8"/>
      <c r="Y10167" s="8"/>
    </row>
    <row r="10168" ht="14.25">
      <c r="B10168" s="18" t="s">
        <v>4026</v>
      </c>
      <c r="C10168" s="18" t="s">
        <v>45246</v>
      </c>
      <c r="D10168" s="18" t="s">
        <v>112</v>
      </c>
      <c r="E10168" s="18" t="s">
        <v>45247</v>
      </c>
      <c r="F10168" s="18" t="str">
        <f>IFERROR(__XLUDF.DUMMYFUNCTION("PROPER(REGEXREPLACE(D80,""[^A-Za-z]+ "",""""))"),"Sema")</f>
        <v>Sema</v>
      </c>
      <c r="G10168" s="18" t="s">
        <v>45248</v>
      </c>
      <c r="H10168" s="18">
        <v>29</v>
      </c>
      <c r="I10168" s="18" t="s">
        <v>9239</v>
      </c>
      <c r="J10168" s="5" t="s">
        <v>45249</v>
      </c>
      <c r="K10168" s="5" t="s">
        <v>45250</v>
      </c>
      <c r="L10168" s="18" t="s">
        <v>846</v>
      </c>
      <c r="M10168" s="18" t="s">
        <v>29</v>
      </c>
      <c r="N10168" s="18" t="s">
        <v>45251</v>
      </c>
      <c r="O10168" s="18" t="s">
        <v>29</v>
      </c>
      <c r="P10168" s="6"/>
      <c r="Q10168" s="6"/>
      <c r="R10168" s="6"/>
      <c r="S10168" s="6"/>
      <c r="T10168" s="6"/>
      <c r="U10168" s="6"/>
      <c r="V10168" s="8"/>
      <c r="W10168" s="8"/>
      <c r="X10168" s="8"/>
      <c r="Y10168" s="8"/>
    </row>
    <row r="10169" ht="14.25">
      <c r="B10169" s="18" t="s">
        <v>45252</v>
      </c>
      <c r="C10169" s="18" t="s">
        <v>322</v>
      </c>
      <c r="D10169" s="18" t="s">
        <v>112</v>
      </c>
      <c r="E10169" s="18" t="s">
        <v>45253</v>
      </c>
      <c r="F10169" s="18" t="str">
        <f>IFERROR(__XLUDF.DUMMYFUNCTION("PROPER(REGEXREPLACE(D81,""[^A-Za-z]+ "",""""))"),"Groupe Vigier")</f>
        <v xml:space="preserve">Groupe Vigier</v>
      </c>
      <c r="G10169" s="18" t="s">
        <v>45254</v>
      </c>
      <c r="H10169" s="18">
        <v>38</v>
      </c>
      <c r="I10169" s="18" t="s">
        <v>9239</v>
      </c>
      <c r="J10169" s="5" t="s">
        <v>45255</v>
      </c>
      <c r="K10169" s="5" t="s">
        <v>45256</v>
      </c>
      <c r="L10169" s="18" t="s">
        <v>16684</v>
      </c>
      <c r="M10169" s="18" t="s">
        <v>29</v>
      </c>
      <c r="N10169" s="18" t="s">
        <v>45257</v>
      </c>
      <c r="O10169" s="18" t="s">
        <v>29</v>
      </c>
      <c r="P10169" s="18" t="s">
        <v>45258</v>
      </c>
      <c r="Q10169" s="6"/>
      <c r="R10169" s="6"/>
      <c r="S10169" s="6"/>
      <c r="T10169" s="6"/>
      <c r="U10169" s="6"/>
      <c r="V10169" s="8"/>
      <c r="W10169" s="8"/>
      <c r="X10169" s="8"/>
      <c r="Y10169" s="8"/>
    </row>
    <row r="10170" ht="14.25">
      <c r="B10170" s="18" t="s">
        <v>402</v>
      </c>
      <c r="C10170" s="18" t="s">
        <v>45259</v>
      </c>
      <c r="D10170" s="18" t="s">
        <v>112</v>
      </c>
      <c r="E10170" s="18" t="s">
        <v>45260</v>
      </c>
      <c r="F10170" s="18" t="str">
        <f>IFERROR(__XLUDF.DUMMYFUNCTION("PROPER(REGEXREPLACE(D82,""[^A-Za-z]+ "",""""))"),"Capraro")</f>
        <v>Capraro</v>
      </c>
      <c r="G10170" s="18" t="s">
        <v>45261</v>
      </c>
      <c r="H10170" s="18">
        <v>22</v>
      </c>
      <c r="I10170" s="18" t="s">
        <v>9239</v>
      </c>
      <c r="J10170" s="5" t="s">
        <v>45262</v>
      </c>
      <c r="K10170" s="5" t="s">
        <v>45263</v>
      </c>
      <c r="L10170" s="18" t="s">
        <v>45264</v>
      </c>
      <c r="M10170" s="18" t="s">
        <v>29</v>
      </c>
      <c r="N10170" s="18" t="s">
        <v>45265</v>
      </c>
      <c r="O10170" s="18" t="s">
        <v>29</v>
      </c>
      <c r="P10170" s="6"/>
      <c r="Q10170" s="6"/>
      <c r="R10170" s="6"/>
      <c r="S10170" s="6"/>
      <c r="T10170" s="6"/>
      <c r="U10170" s="6"/>
      <c r="V10170" s="8"/>
      <c r="W10170" s="8"/>
      <c r="X10170" s="8"/>
      <c r="Y10170" s="8"/>
    </row>
    <row r="10171" ht="14.25">
      <c r="B10171" s="18" t="s">
        <v>7525</v>
      </c>
      <c r="C10171" s="18" t="s">
        <v>45266</v>
      </c>
      <c r="D10171" s="18" t="s">
        <v>112</v>
      </c>
      <c r="E10171" s="18" t="s">
        <v>45267</v>
      </c>
      <c r="F10171" s="18" t="str">
        <f>IFERROR(__XLUDF.DUMMYFUNCTION("PROPER(REGEXREPLACE(D83,""[^A-Za-z]+ "",""""))"),"Bureau D'Etudes Qsb")</f>
        <v xml:space="preserve">Bureau D'Etudes Qsb</v>
      </c>
      <c r="G10171" s="18" t="s">
        <v>45268</v>
      </c>
      <c r="H10171" s="18">
        <v>18</v>
      </c>
      <c r="I10171" s="18" t="s">
        <v>9239</v>
      </c>
      <c r="J10171" s="5" t="s">
        <v>45269</v>
      </c>
      <c r="K10171" s="5" t="s">
        <v>45270</v>
      </c>
      <c r="L10171" s="18" t="s">
        <v>1826</v>
      </c>
      <c r="M10171" s="18" t="s">
        <v>29</v>
      </c>
      <c r="N10171" s="18" t="s">
        <v>45271</v>
      </c>
      <c r="O10171" s="18" t="s">
        <v>29</v>
      </c>
      <c r="P10171" s="18" t="s">
        <v>45272</v>
      </c>
      <c r="Q10171" s="6"/>
      <c r="R10171" s="6"/>
      <c r="S10171" s="6"/>
      <c r="T10171" s="6"/>
      <c r="U10171" s="6"/>
      <c r="V10171" s="8"/>
      <c r="W10171" s="8"/>
      <c r="X10171" s="8"/>
      <c r="Y10171" s="8"/>
    </row>
    <row r="10172" ht="14.25">
      <c r="B10172" s="18" t="s">
        <v>2508</v>
      </c>
      <c r="C10172" s="18" t="s">
        <v>18971</v>
      </c>
      <c r="D10172" s="18" t="s">
        <v>43019</v>
      </c>
      <c r="E10172" s="18" t="s">
        <v>45273</v>
      </c>
      <c r="F10172" s="18" t="str">
        <f>IFERROR(__XLUDF.DUMMYFUNCTION("PROPER(REGEXREPLACE(D84,""[^A-Za-z]+ "",""""))"),"Show You")</f>
        <v xml:space="preserve">Show You</v>
      </c>
      <c r="G10172" s="18" t="s">
        <v>45274</v>
      </c>
      <c r="H10172" s="18">
        <v>24</v>
      </c>
      <c r="I10172" s="18" t="s">
        <v>4293</v>
      </c>
      <c r="J10172" s="5" t="s">
        <v>45275</v>
      </c>
      <c r="K10172" s="5" t="s">
        <v>45276</v>
      </c>
      <c r="L10172" s="18" t="s">
        <v>185</v>
      </c>
      <c r="M10172" s="18" t="s">
        <v>29</v>
      </c>
      <c r="N10172" s="18" t="s">
        <v>1283</v>
      </c>
      <c r="O10172" s="18" t="s">
        <v>29</v>
      </c>
      <c r="P10172" s="18" t="s">
        <v>45277</v>
      </c>
      <c r="Q10172" s="6"/>
      <c r="R10172" s="6"/>
      <c r="S10172" s="6"/>
      <c r="T10172" s="6"/>
      <c r="U10172" s="6"/>
      <c r="V10172" s="8"/>
      <c r="W10172" s="8"/>
      <c r="X10172" s="8"/>
      <c r="Y10172" s="8"/>
    </row>
    <row r="10173" ht="14.25">
      <c r="B10173" s="18" t="s">
        <v>8414</v>
      </c>
      <c r="C10173" s="18" t="s">
        <v>45278</v>
      </c>
      <c r="D10173" s="18" t="s">
        <v>112</v>
      </c>
      <c r="E10173" s="18" t="s">
        <v>45279</v>
      </c>
      <c r="F10173" s="18" t="str">
        <f>IFERROR(__XLUDF.DUMMYFUNCTION("PROPER(REGEXREPLACE(D85,""[^A-Za-z]+ "",""""))"),"Feratte Sas")</f>
        <v xml:space="preserve">Feratte Sas</v>
      </c>
      <c r="G10173" s="18" t="s">
        <v>45280</v>
      </c>
      <c r="H10173" s="18">
        <v>12</v>
      </c>
      <c r="I10173" s="18" t="s">
        <v>9239</v>
      </c>
      <c r="J10173" s="5" t="s">
        <v>45281</v>
      </c>
      <c r="K10173" s="5" t="s">
        <v>45282</v>
      </c>
      <c r="L10173" s="6"/>
      <c r="M10173" s="18" t="s">
        <v>29</v>
      </c>
      <c r="N10173" s="18" t="s">
        <v>45283</v>
      </c>
      <c r="O10173" s="18" t="s">
        <v>29</v>
      </c>
      <c r="P10173" s="18" t="s">
        <v>45284</v>
      </c>
      <c r="Q10173" s="6"/>
      <c r="R10173" s="6"/>
      <c r="S10173" s="6"/>
      <c r="T10173" s="6"/>
      <c r="U10173" s="6"/>
      <c r="V10173" s="8"/>
      <c r="W10173" s="8"/>
      <c r="X10173" s="8"/>
      <c r="Y10173" s="8"/>
    </row>
    <row r="10174" ht="14.25">
      <c r="B10174" s="18" t="s">
        <v>1198</v>
      </c>
      <c r="C10174" s="18" t="s">
        <v>45285</v>
      </c>
      <c r="D10174" s="18" t="s">
        <v>426</v>
      </c>
      <c r="E10174" s="18" t="s">
        <v>45286</v>
      </c>
      <c r="F10174" s="18" t="str">
        <f>IFERROR(__XLUDF.DUMMYFUNCTION("PROPER(REGEXREPLACE(D86,""[^A-Za-z]+ "",""""))"),"Kenergies")</f>
        <v>Kenergies</v>
      </c>
      <c r="G10174" s="18" t="s">
        <v>45287</v>
      </c>
      <c r="H10174" s="18">
        <v>25</v>
      </c>
      <c r="I10174" s="18" t="s">
        <v>9239</v>
      </c>
      <c r="J10174" s="5" t="s">
        <v>45288</v>
      </c>
      <c r="K10174" s="5" t="s">
        <v>45289</v>
      </c>
      <c r="L10174" s="18" t="s">
        <v>243</v>
      </c>
      <c r="M10174" s="18" t="s">
        <v>29</v>
      </c>
      <c r="N10174" s="18" t="s">
        <v>45290</v>
      </c>
      <c r="O10174" s="18" t="s">
        <v>29</v>
      </c>
      <c r="P10174" s="18" t="s">
        <v>45291</v>
      </c>
      <c r="Q10174" s="6"/>
      <c r="R10174" s="6"/>
      <c r="S10174" s="6"/>
      <c r="T10174" s="6"/>
      <c r="U10174" s="6"/>
      <c r="V10174" s="8"/>
      <c r="W10174" s="8"/>
      <c r="X10174" s="8"/>
      <c r="Y10174" s="8"/>
    </row>
    <row r="10175" ht="14.25">
      <c r="B10175" s="18" t="s">
        <v>110</v>
      </c>
      <c r="C10175" s="18" t="s">
        <v>45292</v>
      </c>
      <c r="D10175" s="18" t="s">
        <v>172</v>
      </c>
      <c r="E10175" s="18" t="s">
        <v>45293</v>
      </c>
      <c r="F10175" s="18" t="str">
        <f>IFERROR(__XLUDF.DUMMYFUNCTION("PROPER(REGEXREPLACE(D87,""[^A-Za-z]+ "",""""))"),"Net Etancheite")</f>
        <v xml:space="preserve">Net Etancheite</v>
      </c>
      <c r="G10175" s="18" t="s">
        <v>45294</v>
      </c>
      <c r="H10175" s="18">
        <v>12</v>
      </c>
      <c r="I10175" s="18" t="s">
        <v>9239</v>
      </c>
      <c r="J10175" s="5" t="s">
        <v>45295</v>
      </c>
      <c r="K10175" s="5" t="s">
        <v>45296</v>
      </c>
      <c r="L10175" s="18" t="s">
        <v>185</v>
      </c>
      <c r="M10175" s="18" t="s">
        <v>29</v>
      </c>
      <c r="N10175" s="18" t="s">
        <v>45297</v>
      </c>
      <c r="O10175" s="18" t="s">
        <v>29</v>
      </c>
      <c r="P10175" s="18" t="s">
        <v>45298</v>
      </c>
      <c r="Q10175" s="6"/>
      <c r="R10175" s="6"/>
      <c r="S10175" s="6"/>
      <c r="T10175" s="6"/>
      <c r="U10175" s="6"/>
      <c r="V10175" s="8"/>
      <c r="W10175" s="8"/>
      <c r="X10175" s="8"/>
      <c r="Y10175" s="8"/>
    </row>
    <row r="10176" ht="14.25">
      <c r="B10176" s="18" t="s">
        <v>485</v>
      </c>
      <c r="C10176" s="18" t="s">
        <v>45299</v>
      </c>
      <c r="D10176" s="18" t="s">
        <v>426</v>
      </c>
      <c r="E10176" s="18" t="s">
        <v>45300</v>
      </c>
      <c r="F10176" s="18" t="str">
        <f>IFERROR(__XLUDF.DUMMYFUNCTION("PROPER(REGEXREPLACE(D88,""[^A-Za-z]+ "",""""))"),"Maisonsarchitectures")</f>
        <v>Maisonsarchitectures</v>
      </c>
      <c r="G10176" s="18" t="s">
        <v>45301</v>
      </c>
      <c r="H10176" s="18">
        <v>14</v>
      </c>
      <c r="I10176" s="18" t="s">
        <v>9239</v>
      </c>
      <c r="J10176" s="5" t="s">
        <v>45302</v>
      </c>
      <c r="K10176" s="5" t="s">
        <v>45303</v>
      </c>
      <c r="L10176" s="6"/>
      <c r="M10176" s="18" t="s">
        <v>29</v>
      </c>
      <c r="N10176" s="18" t="s">
        <v>45304</v>
      </c>
      <c r="O10176" s="18" t="s">
        <v>29</v>
      </c>
      <c r="P10176" s="18" t="s">
        <v>45305</v>
      </c>
      <c r="Q10176" s="6"/>
      <c r="R10176" s="6"/>
      <c r="S10176" s="6"/>
      <c r="T10176" s="6"/>
      <c r="U10176" s="6"/>
      <c r="V10176" s="8"/>
      <c r="W10176" s="8"/>
      <c r="X10176" s="8"/>
      <c r="Y10176" s="8"/>
    </row>
    <row r="10177" ht="14.25">
      <c r="B10177" s="18" t="s">
        <v>36274</v>
      </c>
      <c r="C10177" s="18" t="s">
        <v>45306</v>
      </c>
      <c r="D10177" s="18" t="s">
        <v>172</v>
      </c>
      <c r="E10177" s="18" t="s">
        <v>45307</v>
      </c>
      <c r="F10177" s="18" t="str">
        <f>IFERROR(__XLUDF.DUMMYFUNCTION("PROPER(REGEXREPLACE(D89,""[^A-Za-z]+ "",""""))"),"Gallerand")</f>
        <v>Gallerand</v>
      </c>
      <c r="G10177" s="18" t="s">
        <v>45308</v>
      </c>
      <c r="H10177" s="18">
        <v>15</v>
      </c>
      <c r="I10177" s="18" t="s">
        <v>9239</v>
      </c>
      <c r="J10177" s="5" t="s">
        <v>45309</v>
      </c>
      <c r="K10177" s="5" t="s">
        <v>45310</v>
      </c>
      <c r="L10177" s="18" t="s">
        <v>1826</v>
      </c>
      <c r="M10177" s="18" t="s">
        <v>29</v>
      </c>
      <c r="N10177" s="18" t="s">
        <v>45311</v>
      </c>
      <c r="O10177" s="18" t="s">
        <v>29</v>
      </c>
      <c r="P10177" s="18" t="s">
        <v>45312</v>
      </c>
      <c r="Q10177" s="6"/>
      <c r="R10177" s="6"/>
      <c r="S10177" s="6"/>
      <c r="T10177" s="6"/>
      <c r="U10177" s="6"/>
      <c r="V10177" s="8"/>
      <c r="W10177" s="8"/>
      <c r="X10177" s="8"/>
      <c r="Y10177" s="8"/>
    </row>
    <row r="10178" ht="14.25">
      <c r="B10178" s="18" t="s">
        <v>2598</v>
      </c>
      <c r="C10178" s="18" t="s">
        <v>45313</v>
      </c>
      <c r="D10178" s="18" t="s">
        <v>315</v>
      </c>
      <c r="E10178" s="18" t="s">
        <v>45314</v>
      </c>
      <c r="F10178" s="18" t="str">
        <f>IFERROR(__XLUDF.DUMMYFUNCTION("PROPER(REGEXREPLACE(D90,""[^A-Za-z]+ "",""""))"),"Isotech Sal")</f>
        <v xml:space="preserve">Isotech Sal</v>
      </c>
      <c r="G10178" s="18" t="s">
        <v>45315</v>
      </c>
      <c r="H10178" s="18">
        <v>2</v>
      </c>
      <c r="I10178" s="18" t="s">
        <v>9239</v>
      </c>
      <c r="J10178" s="5" t="s">
        <v>45316</v>
      </c>
      <c r="K10178" s="5" t="s">
        <v>45317</v>
      </c>
      <c r="L10178" s="18" t="s">
        <v>39</v>
      </c>
      <c r="M10178" s="18" t="s">
        <v>29</v>
      </c>
      <c r="N10178" s="18" t="s">
        <v>45318</v>
      </c>
      <c r="O10178" s="18" t="s">
        <v>32348</v>
      </c>
      <c r="P10178" s="6"/>
      <c r="Q10178" s="6"/>
      <c r="R10178" s="6"/>
      <c r="S10178" s="6"/>
      <c r="T10178" s="6"/>
      <c r="U10178" s="6"/>
      <c r="V10178" s="8"/>
      <c r="W10178" s="8"/>
      <c r="X10178" s="8"/>
      <c r="Y10178" s="8"/>
    </row>
    <row r="10179" ht="14.25">
      <c r="B10179" s="18" t="s">
        <v>385</v>
      </c>
      <c r="C10179" s="18" t="s">
        <v>45319</v>
      </c>
      <c r="D10179" s="18" t="s">
        <v>198</v>
      </c>
      <c r="E10179" s="18" t="s">
        <v>45320</v>
      </c>
      <c r="F10179" s="18" t="str">
        <f>IFERROR(__XLUDF.DUMMYFUNCTION("PROPER(REGEXREPLACE(D91,""[^A-Za-z]+ "",""""))"),"Aso")</f>
        <v>Aso</v>
      </c>
      <c r="G10179" s="18" t="s">
        <v>45321</v>
      </c>
      <c r="H10179" s="18">
        <v>61</v>
      </c>
      <c r="I10179" s="18" t="s">
        <v>9239</v>
      </c>
      <c r="J10179" s="5" t="s">
        <v>45322</v>
      </c>
      <c r="K10179" s="5" t="s">
        <v>45323</v>
      </c>
      <c r="L10179" s="18" t="s">
        <v>83</v>
      </c>
      <c r="M10179" s="18" t="s">
        <v>29</v>
      </c>
      <c r="N10179" s="18" t="s">
        <v>45324</v>
      </c>
      <c r="O10179" s="18" t="s">
        <v>29</v>
      </c>
      <c r="P10179" s="18" t="s">
        <v>45325</v>
      </c>
      <c r="Q10179" s="6"/>
      <c r="R10179" s="6"/>
      <c r="S10179" s="6"/>
      <c r="T10179" s="6"/>
      <c r="U10179" s="6"/>
      <c r="V10179" s="8"/>
      <c r="W10179" s="8"/>
      <c r="X10179" s="8"/>
      <c r="Y10179" s="8"/>
    </row>
    <row r="10180" ht="14.25">
      <c r="B10180" s="18" t="s">
        <v>963</v>
      </c>
      <c r="C10180" s="18" t="s">
        <v>45326</v>
      </c>
      <c r="D10180" s="18" t="s">
        <v>172</v>
      </c>
      <c r="E10180" s="18" t="s">
        <v>45327</v>
      </c>
      <c r="F10180" s="18" t="str">
        <f>IFERROR(__XLUDF.DUMMYFUNCTION("PROPER(REGEXREPLACE(D92,""[^A-Za-z]+ "",""""))"),"Repasol")</f>
        <v>Repasol</v>
      </c>
      <c r="G10180" s="18" t="s">
        <v>45328</v>
      </c>
      <c r="H10180" s="18">
        <v>10</v>
      </c>
      <c r="I10180" s="18" t="s">
        <v>9239</v>
      </c>
      <c r="J10180" s="5" t="s">
        <v>45329</v>
      </c>
      <c r="K10180" s="5" t="s">
        <v>45330</v>
      </c>
      <c r="L10180" s="6"/>
      <c r="M10180" s="18" t="s">
        <v>29</v>
      </c>
      <c r="N10180" s="18" t="s">
        <v>45331</v>
      </c>
      <c r="O10180" s="18" t="s">
        <v>29</v>
      </c>
      <c r="P10180" s="18" t="s">
        <v>45332</v>
      </c>
      <c r="Q10180" s="6"/>
      <c r="R10180" s="6"/>
      <c r="S10180" s="6"/>
      <c r="T10180" s="6"/>
      <c r="U10180" s="6"/>
      <c r="V10180" s="8"/>
      <c r="W10180" s="8"/>
      <c r="X10180" s="8"/>
      <c r="Y10180" s="8"/>
    </row>
    <row r="10181" ht="14.25">
      <c r="B10181" s="18" t="s">
        <v>6788</v>
      </c>
      <c r="C10181" s="18" t="s">
        <v>5579</v>
      </c>
      <c r="D10181" s="18" t="s">
        <v>172</v>
      </c>
      <c r="E10181" s="18" t="s">
        <v>45333</v>
      </c>
      <c r="F10181" s="18" t="str">
        <f>IFERROR(__XLUDF.DUMMYFUNCTION("PROPER(REGEXREPLACE(D93,""[^A-Za-z]+ "",""""))"),"Azur Travaux")</f>
        <v xml:space="preserve">Azur Travaux</v>
      </c>
      <c r="G10181" s="18" t="s">
        <v>45334</v>
      </c>
      <c r="H10181" s="18">
        <v>54</v>
      </c>
      <c r="I10181" s="18" t="s">
        <v>9239</v>
      </c>
      <c r="J10181" s="5" t="s">
        <v>45335</v>
      </c>
      <c r="K10181" s="5" t="s">
        <v>45336</v>
      </c>
      <c r="L10181" s="18" t="s">
        <v>45337</v>
      </c>
      <c r="M10181" s="18" t="s">
        <v>29</v>
      </c>
      <c r="N10181" s="18" t="s">
        <v>45338</v>
      </c>
      <c r="O10181" s="18" t="s">
        <v>29</v>
      </c>
      <c r="P10181" s="6"/>
      <c r="Q10181" s="6"/>
      <c r="R10181" s="6"/>
      <c r="S10181" s="6"/>
      <c r="T10181" s="6"/>
      <c r="U10181" s="6"/>
      <c r="V10181" s="8"/>
      <c r="W10181" s="8"/>
      <c r="X10181" s="8"/>
      <c r="Y10181" s="8"/>
    </row>
    <row r="10182" ht="14.25">
      <c r="B10182" s="18" t="s">
        <v>670</v>
      </c>
      <c r="C10182" s="18" t="s">
        <v>10412</v>
      </c>
      <c r="D10182" s="18" t="s">
        <v>172</v>
      </c>
      <c r="E10182" s="18" t="s">
        <v>45339</v>
      </c>
      <c r="F10182" s="18" t="str">
        <f>IFERROR(__XLUDF.DUMMYFUNCTION("PROPER(REGEXREPLACE(D94,""[^A-Za-z]+ "",""""))"),"Enrgethique")</f>
        <v>Enrgethique</v>
      </c>
      <c r="G10182" s="18" t="s">
        <v>45340</v>
      </c>
      <c r="H10182" s="18">
        <v>6</v>
      </c>
      <c r="I10182" s="18" t="s">
        <v>9239</v>
      </c>
      <c r="J10182" s="5" t="s">
        <v>45341</v>
      </c>
      <c r="K10182" s="5" t="s">
        <v>45342</v>
      </c>
      <c r="L10182" s="18" t="s">
        <v>14398</v>
      </c>
      <c r="M10182" s="18" t="s">
        <v>29</v>
      </c>
      <c r="N10182" s="18" t="s">
        <v>4211</v>
      </c>
      <c r="O10182" s="18" t="s">
        <v>29</v>
      </c>
      <c r="P10182" s="6"/>
      <c r="Q10182" s="6"/>
      <c r="R10182" s="6"/>
      <c r="S10182" s="6"/>
      <c r="T10182" s="6"/>
      <c r="U10182" s="6"/>
      <c r="V10182" s="8"/>
      <c r="W10182" s="8"/>
      <c r="X10182" s="8"/>
      <c r="Y10182" s="8"/>
    </row>
    <row r="10183" ht="14.25">
      <c r="B10183" s="18" t="s">
        <v>330</v>
      </c>
      <c r="C10183" s="18" t="s">
        <v>45343</v>
      </c>
      <c r="D10183" s="18" t="s">
        <v>426</v>
      </c>
      <c r="E10183" s="18" t="s">
        <v>45344</v>
      </c>
      <c r="F10183" s="18" t="str">
        <f>IFERROR(__XLUDF.DUMMYFUNCTION("PROPER(REGEXREPLACE(D95,""[^A-Za-z]+ "",""""))"),"Rem-Isol")</f>
        <v>Rem-Isol</v>
      </c>
      <c r="G10183" s="18" t="s">
        <v>45345</v>
      </c>
      <c r="H10183" s="18">
        <v>12</v>
      </c>
      <c r="I10183" s="18" t="s">
        <v>9239</v>
      </c>
      <c r="J10183" s="5" t="s">
        <v>45346</v>
      </c>
      <c r="K10183" s="5" t="s">
        <v>45347</v>
      </c>
      <c r="L10183" s="18" t="s">
        <v>185</v>
      </c>
      <c r="M10183" s="18" t="s">
        <v>29</v>
      </c>
      <c r="N10183" s="18" t="s">
        <v>45348</v>
      </c>
      <c r="O10183" s="18" t="s">
        <v>29</v>
      </c>
      <c r="P10183" s="18" t="s">
        <v>45349</v>
      </c>
      <c r="Q10183" s="6"/>
      <c r="R10183" s="6"/>
      <c r="S10183" s="6"/>
      <c r="T10183" s="6"/>
      <c r="U10183" s="6"/>
      <c r="V10183" s="8"/>
      <c r="W10183" s="8"/>
      <c r="X10183" s="8"/>
      <c r="Y10183" s="8"/>
    </row>
    <row r="10184" ht="14.25">
      <c r="B10184" s="18" t="s">
        <v>3164</v>
      </c>
      <c r="C10184" s="18" t="s">
        <v>45350</v>
      </c>
      <c r="D10184" s="18" t="s">
        <v>172</v>
      </c>
      <c r="E10184" s="18" t="s">
        <v>45351</v>
      </c>
      <c r="F10184" s="18" t="str">
        <f>IFERROR(__XLUDF.DUMMYFUNCTION("PROPER(REGEXREPLACE(D96,""[^A-Za-z]+ "",""""))"),"Bost Diagnostics Structures")</f>
        <v xml:space="preserve">Bost Diagnostics Structures</v>
      </c>
      <c r="G10184" s="18" t="s">
        <v>45352</v>
      </c>
      <c r="H10184" s="18">
        <v>19</v>
      </c>
      <c r="I10184" s="18" t="s">
        <v>9239</v>
      </c>
      <c r="J10184" s="5" t="s">
        <v>45353</v>
      </c>
      <c r="K10184" s="5" t="s">
        <v>45354</v>
      </c>
      <c r="L10184" s="18" t="s">
        <v>185</v>
      </c>
      <c r="M10184" s="18" t="s">
        <v>29</v>
      </c>
      <c r="N10184" s="18" t="s">
        <v>45355</v>
      </c>
      <c r="O10184" s="18" t="s">
        <v>29</v>
      </c>
      <c r="P10184" s="18" t="s">
        <v>45356</v>
      </c>
      <c r="Q10184" s="6"/>
      <c r="R10184" s="6"/>
      <c r="S10184" s="6"/>
      <c r="T10184" s="6"/>
      <c r="U10184" s="6"/>
      <c r="V10184" s="8"/>
      <c r="W10184" s="8"/>
      <c r="X10184" s="8"/>
      <c r="Y10184" s="8"/>
    </row>
    <row r="10185" ht="14.25">
      <c r="B10185" s="18" t="s">
        <v>222</v>
      </c>
      <c r="C10185" s="18" t="s">
        <v>11070</v>
      </c>
      <c r="D10185" s="18" t="s">
        <v>172</v>
      </c>
      <c r="E10185" s="18" t="s">
        <v>45357</v>
      </c>
      <c r="F10185" s="18" t="str">
        <f>IFERROR(__XLUDF.DUMMYFUNCTION("PROPER(REGEXREPLACE(D97,""[^A-Za-z]+ "",""""))"),"Alphametal")</f>
        <v>Alphametal</v>
      </c>
      <c r="G10185" s="18" t="s">
        <v>45358</v>
      </c>
      <c r="H10185" s="18">
        <v>22</v>
      </c>
      <c r="I10185" s="18" t="s">
        <v>9239</v>
      </c>
      <c r="J10185" s="5" t="s">
        <v>45359</v>
      </c>
      <c r="K10185" s="5" t="s">
        <v>45360</v>
      </c>
      <c r="L10185" s="6"/>
      <c r="M10185" s="18" t="s">
        <v>29</v>
      </c>
      <c r="N10185" s="18" t="s">
        <v>45361</v>
      </c>
      <c r="O10185" s="18" t="s">
        <v>29</v>
      </c>
      <c r="P10185" s="18" t="s">
        <v>45362</v>
      </c>
      <c r="Q10185" s="6"/>
      <c r="R10185" s="6"/>
      <c r="S10185" s="6"/>
      <c r="T10185" s="6"/>
      <c r="U10185" s="6"/>
      <c r="V10185" s="8"/>
      <c r="W10185" s="8"/>
      <c r="X10185" s="8"/>
      <c r="Y10185" s="8"/>
    </row>
    <row r="10186" ht="14.25">
      <c r="B10186" s="18" t="s">
        <v>3371</v>
      </c>
      <c r="C10186" s="18" t="s">
        <v>45363</v>
      </c>
      <c r="D10186" s="18" t="s">
        <v>172</v>
      </c>
      <c r="E10186" s="18" t="s">
        <v>45364</v>
      </c>
      <c r="F10186" s="18" t="str">
        <f>IFERROR(__XLUDF.DUMMYFUNCTION("PROPER(REGEXREPLACE(D98,""[^A-Za-z]+ "",""""))"),"Maisons Lelièvre")</f>
        <v xml:space="preserve">Maisons Lelièvre</v>
      </c>
      <c r="G10186" s="18" t="s">
        <v>45365</v>
      </c>
      <c r="H10186" s="18">
        <v>35</v>
      </c>
      <c r="I10186" s="18" t="s">
        <v>9239</v>
      </c>
      <c r="J10186" s="5" t="s">
        <v>45366</v>
      </c>
      <c r="K10186" s="5" t="s">
        <v>45367</v>
      </c>
      <c r="L10186" s="18" t="s">
        <v>2650</v>
      </c>
      <c r="M10186" s="18" t="s">
        <v>29</v>
      </c>
      <c r="N10186" s="18" t="s">
        <v>45368</v>
      </c>
      <c r="O10186" s="18" t="s">
        <v>29</v>
      </c>
      <c r="P10186" s="18" t="s">
        <v>45369</v>
      </c>
      <c r="Q10186" s="6"/>
      <c r="R10186" s="6"/>
      <c r="S10186" s="6"/>
      <c r="T10186" s="6"/>
      <c r="U10186" s="6"/>
      <c r="V10186" s="8"/>
      <c r="W10186" s="8"/>
      <c r="X10186" s="8"/>
      <c r="Y10186" s="8"/>
    </row>
    <row r="10187" ht="14.25">
      <c r="B10187" s="18" t="s">
        <v>45370</v>
      </c>
      <c r="C10187" s="18" t="s">
        <v>32273</v>
      </c>
      <c r="D10187" s="18" t="s">
        <v>172</v>
      </c>
      <c r="E10187" s="18" t="s">
        <v>45371</v>
      </c>
      <c r="F10187" s="18" t="str">
        <f>IFERROR(__XLUDF.DUMMYFUNCTION("PROPER(REGEXREPLACE(D99,""[^A-Za-z]+ "",""""))"),"Esteves Freres")</f>
        <v xml:space="preserve">Esteves Freres</v>
      </c>
      <c r="G10187" s="18" t="s">
        <v>45372</v>
      </c>
      <c r="H10187" s="18">
        <v>14</v>
      </c>
      <c r="I10187" s="18" t="s">
        <v>9239</v>
      </c>
      <c r="J10187" s="5" t="s">
        <v>45373</v>
      </c>
      <c r="K10187" s="5" t="s">
        <v>45374</v>
      </c>
      <c r="L10187" s="18" t="s">
        <v>45375</v>
      </c>
      <c r="M10187" s="18" t="s">
        <v>29</v>
      </c>
      <c r="N10187" s="18" t="s">
        <v>45376</v>
      </c>
      <c r="O10187" s="18" t="s">
        <v>29</v>
      </c>
      <c r="P10187" s="18" t="s">
        <v>45377</v>
      </c>
      <c r="Q10187" s="6"/>
      <c r="R10187" s="6"/>
      <c r="S10187" s="6"/>
      <c r="T10187" s="6"/>
      <c r="U10187" s="6"/>
      <c r="V10187" s="8"/>
      <c r="W10187" s="8"/>
      <c r="X10187" s="8"/>
      <c r="Y10187" s="8"/>
    </row>
    <row r="10188" ht="14.25">
      <c r="B10188" s="18" t="s">
        <v>1215</v>
      </c>
      <c r="C10188" s="18" t="s">
        <v>37602</v>
      </c>
      <c r="D10188" s="18" t="s">
        <v>172</v>
      </c>
      <c r="E10188" s="18" t="s">
        <v>45378</v>
      </c>
      <c r="F10188" s="18" t="str">
        <f>IFERROR(__XLUDF.DUMMYFUNCTION("PROPER(REGEXREPLACE(D100,""[^A-Za-z]+ "",""""))"),"Sfmp")</f>
        <v>Sfmp</v>
      </c>
      <c r="G10188" s="18" t="s">
        <v>45379</v>
      </c>
      <c r="H10188" s="18">
        <v>6</v>
      </c>
      <c r="I10188" s="18" t="s">
        <v>9239</v>
      </c>
      <c r="J10188" s="5" t="s">
        <v>45380</v>
      </c>
      <c r="K10188" s="5" t="s">
        <v>45381</v>
      </c>
      <c r="L10188" s="18" t="s">
        <v>45382</v>
      </c>
      <c r="M10188" s="18" t="s">
        <v>29</v>
      </c>
      <c r="N10188" s="18" t="s">
        <v>45383</v>
      </c>
      <c r="O10188" s="18" t="s">
        <v>29</v>
      </c>
      <c r="P10188" s="18" t="s">
        <v>45384</v>
      </c>
      <c r="Q10188" s="6"/>
      <c r="R10188" s="6"/>
      <c r="S10188" s="6"/>
      <c r="T10188" s="6"/>
      <c r="U10188" s="6"/>
      <c r="V10188" s="8"/>
      <c r="W10188" s="8"/>
      <c r="X10188" s="8"/>
      <c r="Y10188" s="8"/>
    </row>
    <row r="10189" ht="14.25">
      <c r="B10189" s="18" t="s">
        <v>45385</v>
      </c>
      <c r="C10189" s="18" t="s">
        <v>14355</v>
      </c>
      <c r="D10189" s="18" t="s">
        <v>426</v>
      </c>
      <c r="E10189" s="18" t="s">
        <v>45386</v>
      </c>
      <c r="F10189" s="18" t="str">
        <f>IFERROR(__XLUDF.DUMMYFUNCTION("PROPER(REGEXREPLACE(D101,""[^A-Za-z]+ "",""""))"),"Gounot")</f>
        <v>Gounot</v>
      </c>
      <c r="G10189" s="18" t="s">
        <v>45387</v>
      </c>
      <c r="H10189" s="18">
        <v>12</v>
      </c>
      <c r="I10189" s="18" t="s">
        <v>9239</v>
      </c>
      <c r="J10189" s="5" t="s">
        <v>45388</v>
      </c>
      <c r="K10189" s="5" t="s">
        <v>45389</v>
      </c>
      <c r="L10189" s="18" t="s">
        <v>39</v>
      </c>
      <c r="M10189" s="18" t="s">
        <v>29</v>
      </c>
      <c r="N10189" s="18" t="s">
        <v>45390</v>
      </c>
      <c r="O10189" s="18" t="s">
        <v>29</v>
      </c>
      <c r="P10189" s="18" t="s">
        <v>45391</v>
      </c>
      <c r="Q10189" s="6"/>
      <c r="R10189" s="6"/>
      <c r="S10189" s="6"/>
      <c r="T10189" s="6"/>
      <c r="U10189" s="6"/>
      <c r="V10189" s="8"/>
      <c r="W10189" s="8"/>
      <c r="X10189" s="8"/>
      <c r="Y10189" s="8"/>
    </row>
    <row r="10190" ht="14.25">
      <c r="B10190" s="18" t="s">
        <v>1619</v>
      </c>
      <c r="C10190" s="18" t="s">
        <v>45392</v>
      </c>
      <c r="D10190" s="18" t="s">
        <v>2911</v>
      </c>
      <c r="E10190" s="18" t="s">
        <v>45393</v>
      </c>
      <c r="F10190" s="18" t="str">
        <f>IFERROR(__XLUDF.DUMMYFUNCTION("PROPER(REGEXREPLACE(D102,""[^A-Za-z]+ "",""""))"),"Depanneo")</f>
        <v>Depanneo</v>
      </c>
      <c r="G10190" s="18" t="s">
        <v>45394</v>
      </c>
      <c r="H10190" s="18">
        <v>7</v>
      </c>
      <c r="I10190" s="18" t="s">
        <v>9239</v>
      </c>
      <c r="J10190" s="5" t="s">
        <v>45395</v>
      </c>
      <c r="K10190" s="5" t="s">
        <v>45396</v>
      </c>
      <c r="L10190" s="18" t="s">
        <v>39</v>
      </c>
      <c r="M10190" s="18" t="s">
        <v>29</v>
      </c>
      <c r="N10190" s="18" t="s">
        <v>21656</v>
      </c>
      <c r="O10190" s="18" t="s">
        <v>29</v>
      </c>
      <c r="P10190" s="18" t="s">
        <v>45397</v>
      </c>
      <c r="Q10190" s="6"/>
      <c r="R10190" s="6"/>
      <c r="S10190" s="6"/>
      <c r="T10190" s="6"/>
      <c r="U10190" s="6"/>
      <c r="V10190" s="8"/>
      <c r="W10190" s="8"/>
      <c r="X10190" s="8"/>
      <c r="Y10190" s="8"/>
    </row>
    <row r="10191" ht="14.25">
      <c r="B10191" s="18" t="s">
        <v>20</v>
      </c>
      <c r="C10191" s="18" t="s">
        <v>45398</v>
      </c>
      <c r="D10191" s="18" t="s">
        <v>460</v>
      </c>
      <c r="E10191" s="18" t="s">
        <v>45399</v>
      </c>
      <c r="F10191" s="18" t="str">
        <f>IFERROR(__XLUDF.DUMMYFUNCTION("PROPER(REGEXREPLACE(D103,""[^A-Za-z]+ "",""""))"),"Satp")</f>
        <v>Satp</v>
      </c>
      <c r="G10191" s="18" t="s">
        <v>45400</v>
      </c>
      <c r="H10191" s="18">
        <v>44</v>
      </c>
      <c r="I10191" s="18" t="s">
        <v>9239</v>
      </c>
      <c r="J10191" s="5" t="s">
        <v>45401</v>
      </c>
      <c r="K10191" s="5" t="s">
        <v>45402</v>
      </c>
      <c r="L10191" s="18" t="s">
        <v>39</v>
      </c>
      <c r="M10191" s="18" t="s">
        <v>29</v>
      </c>
      <c r="N10191" s="18" t="s">
        <v>45403</v>
      </c>
      <c r="O10191" s="18" t="s">
        <v>29</v>
      </c>
      <c r="P10191" s="18" t="s">
        <v>45404</v>
      </c>
      <c r="Q10191" s="6"/>
      <c r="R10191" s="6"/>
      <c r="S10191" s="6"/>
      <c r="T10191" s="6"/>
      <c r="U10191" s="6"/>
      <c r="V10191" s="8"/>
      <c r="W10191" s="8"/>
      <c r="X10191" s="8"/>
      <c r="Y10191" s="8"/>
    </row>
    <row r="10192" ht="14.25">
      <c r="B10192" s="18" t="s">
        <v>734</v>
      </c>
      <c r="C10192" s="18" t="s">
        <v>45405</v>
      </c>
      <c r="D10192" s="18" t="s">
        <v>487</v>
      </c>
      <c r="E10192" s="18" t="s">
        <v>45406</v>
      </c>
      <c r="F10192" s="18" t="str">
        <f>IFERROR(__XLUDF.DUMMYFUNCTION("PROPER(REGEXREPLACE(D104,""[^A-Za-z]+ "",""""))"),"Sweet Home Technology")</f>
        <v xml:space="preserve">Sweet Home Technology</v>
      </c>
      <c r="G10192" s="18" t="s">
        <v>45407</v>
      </c>
      <c r="H10192" s="18">
        <v>1</v>
      </c>
      <c r="I10192" s="18" t="s">
        <v>9239</v>
      </c>
      <c r="J10192" s="5" t="s">
        <v>45408</v>
      </c>
      <c r="K10192" s="5" t="s">
        <v>45409</v>
      </c>
      <c r="L10192" s="18" t="s">
        <v>45410</v>
      </c>
      <c r="M10192" s="18" t="s">
        <v>29</v>
      </c>
      <c r="N10192" s="18" t="s">
        <v>45411</v>
      </c>
      <c r="O10192" s="18" t="s">
        <v>29</v>
      </c>
      <c r="P10192" s="18" t="s">
        <v>45412</v>
      </c>
      <c r="Q10192" s="6"/>
      <c r="R10192" s="6"/>
      <c r="S10192" s="6"/>
      <c r="T10192" s="6"/>
      <c r="U10192" s="6"/>
      <c r="V10192" s="8"/>
      <c r="W10192" s="8"/>
      <c r="X10192" s="8"/>
      <c r="Y10192" s="8"/>
    </row>
    <row r="10193" ht="14.25">
      <c r="B10193" s="18" t="s">
        <v>45413</v>
      </c>
      <c r="C10193" s="18" t="s">
        <v>45414</v>
      </c>
      <c r="D10193" s="18" t="s">
        <v>426</v>
      </c>
      <c r="E10193" s="18" t="s">
        <v>45415</v>
      </c>
      <c r="F10193" s="18" t="str">
        <f>IFERROR(__XLUDF.DUMMYFUNCTION("PROPER(REGEXREPLACE(D105,""[^A-Za-z]+ "",""""))"),"Etrelec")</f>
        <v>Etrelec</v>
      </c>
      <c r="G10193" s="18" t="s">
        <v>45416</v>
      </c>
      <c r="H10193" s="18">
        <v>3</v>
      </c>
      <c r="I10193" s="18" t="s">
        <v>9239</v>
      </c>
      <c r="J10193" s="5" t="s">
        <v>45417</v>
      </c>
      <c r="K10193" s="5" t="s">
        <v>45418</v>
      </c>
      <c r="L10193" s="18" t="s">
        <v>45419</v>
      </c>
      <c r="M10193" s="18" t="s">
        <v>29</v>
      </c>
      <c r="N10193" s="18" t="s">
        <v>45420</v>
      </c>
      <c r="O10193" s="18" t="s">
        <v>29</v>
      </c>
      <c r="P10193" s="6"/>
      <c r="Q10193" s="6"/>
      <c r="R10193" s="6"/>
      <c r="S10193" s="6"/>
      <c r="T10193" s="6"/>
      <c r="U10193" s="6"/>
      <c r="V10193" s="8"/>
      <c r="W10193" s="8"/>
      <c r="X10193" s="8"/>
      <c r="Y10193" s="8"/>
    </row>
    <row r="10194" ht="14.25">
      <c r="B10194" s="18" t="s">
        <v>5001</v>
      </c>
      <c r="C10194" s="18" t="s">
        <v>45421</v>
      </c>
      <c r="D10194" s="18" t="s">
        <v>45422</v>
      </c>
      <c r="E10194" s="18" t="s">
        <v>45423</v>
      </c>
      <c r="F10194" s="18" t="str">
        <f>IFERROR(__XLUDF.DUMMYFUNCTION("PROPER(REGEXREPLACE(D106,""[^A-Za-z]+ "",""""))"),"Biggi Constructions")</f>
        <v xml:space="preserve">Biggi Constructions</v>
      </c>
      <c r="G10194" s="18" t="s">
        <v>45424</v>
      </c>
      <c r="H10194" s="18">
        <v>2</v>
      </c>
      <c r="I10194" s="18" t="s">
        <v>9239</v>
      </c>
      <c r="J10194" s="5" t="s">
        <v>45425</v>
      </c>
      <c r="K10194" s="5" t="s">
        <v>45426</v>
      </c>
      <c r="L10194" s="18" t="s">
        <v>12221</v>
      </c>
      <c r="M10194" s="18" t="s">
        <v>29</v>
      </c>
      <c r="N10194" s="18" t="s">
        <v>45427</v>
      </c>
      <c r="O10194" s="18" t="s">
        <v>29</v>
      </c>
      <c r="P10194" s="18" t="s">
        <v>45428</v>
      </c>
      <c r="Q10194" s="6"/>
      <c r="R10194" s="6"/>
      <c r="S10194" s="6"/>
      <c r="T10194" s="6"/>
      <c r="U10194" s="6"/>
      <c r="V10194" s="8"/>
      <c r="W10194" s="8"/>
      <c r="X10194" s="8"/>
      <c r="Y10194" s="8"/>
    </row>
    <row r="10195" ht="14.25">
      <c r="B10195" s="18" t="s">
        <v>15545</v>
      </c>
      <c r="C10195" s="18" t="s">
        <v>22941</v>
      </c>
      <c r="D10195" s="18" t="s">
        <v>164</v>
      </c>
      <c r="E10195" s="18" t="s">
        <v>22942</v>
      </c>
      <c r="F10195" s="18" t="str">
        <f>IFERROR(__XLUDF.DUMMYFUNCTION("PROPER(REGEXREPLACE(D107,""[^A-Za-z]+ "",""""))"),"Normandie Amenagement")</f>
        <v xml:space="preserve">Normandie Amenagement</v>
      </c>
      <c r="G10195" s="18" t="s">
        <v>22943</v>
      </c>
      <c r="H10195" s="18">
        <v>46</v>
      </c>
      <c r="I10195" s="18" t="s">
        <v>4293</v>
      </c>
      <c r="J10195" s="5" t="s">
        <v>22944</v>
      </c>
      <c r="K10195" s="5" t="s">
        <v>22945</v>
      </c>
      <c r="L10195" s="18" t="s">
        <v>20332</v>
      </c>
      <c r="M10195" s="18" t="s">
        <v>29</v>
      </c>
      <c r="N10195" s="18" t="s">
        <v>22946</v>
      </c>
      <c r="O10195" s="18" t="s">
        <v>29</v>
      </c>
      <c r="P10195" s="6"/>
      <c r="Q10195" s="6"/>
      <c r="R10195" s="6"/>
      <c r="S10195" s="6"/>
      <c r="T10195" s="6"/>
      <c r="U10195" s="6"/>
      <c r="V10195" s="8"/>
      <c r="W10195" s="8"/>
      <c r="X10195" s="8"/>
      <c r="Y10195" s="8"/>
    </row>
    <row r="10196" ht="14.25">
      <c r="B10196" s="18" t="s">
        <v>110</v>
      </c>
      <c r="C10196" s="18" t="s">
        <v>45429</v>
      </c>
      <c r="D10196" s="18" t="s">
        <v>45430</v>
      </c>
      <c r="E10196" s="18" t="s">
        <v>45431</v>
      </c>
      <c r="F10196" s="18" t="str">
        <f>IFERROR(__XLUDF.DUMMYFUNCTION("PROPER(REGEXREPLACE(D108,""[^A-Za-z]+ "",""""))"),"Iris Expertise")</f>
        <v xml:space="preserve">Iris Expertise</v>
      </c>
      <c r="G10196" s="18" t="s">
        <v>45432</v>
      </c>
      <c r="H10196" s="18">
        <v>12</v>
      </c>
      <c r="I10196" s="18" t="s">
        <v>9239</v>
      </c>
      <c r="J10196" s="5" t="s">
        <v>45433</v>
      </c>
      <c r="K10196" s="5" t="s">
        <v>45434</v>
      </c>
      <c r="L10196" s="6"/>
      <c r="M10196" s="18" t="s">
        <v>29</v>
      </c>
      <c r="N10196" s="18" t="s">
        <v>45435</v>
      </c>
      <c r="O10196" s="18" t="s">
        <v>29</v>
      </c>
      <c r="P10196" s="18" t="s">
        <v>45436</v>
      </c>
      <c r="Q10196" s="6"/>
      <c r="R10196" s="6"/>
      <c r="S10196" s="6"/>
      <c r="T10196" s="6"/>
      <c r="U10196" s="6"/>
      <c r="V10196" s="8"/>
      <c r="W10196" s="8"/>
      <c r="X10196" s="8"/>
      <c r="Y10196" s="8"/>
    </row>
    <row r="10197" ht="14.25">
      <c r="B10197" s="18" t="s">
        <v>76</v>
      </c>
      <c r="C10197" s="18" t="s">
        <v>45437</v>
      </c>
      <c r="D10197" s="18" t="s">
        <v>341</v>
      </c>
      <c r="E10197" s="18" t="s">
        <v>45438</v>
      </c>
      <c r="F10197" s="18" t="str">
        <f>IFERROR(__XLUDF.DUMMYFUNCTION("PROPER(REGEXREPLACE(D109,""[^A-Za-z]+ "",""""))"),"Espace Charpente")</f>
        <v xml:space="preserve">Espace Charpente</v>
      </c>
      <c r="G10197" s="18" t="s">
        <v>45439</v>
      </c>
      <c r="H10197" s="6"/>
      <c r="I10197" s="6"/>
      <c r="J10197" s="5" t="s">
        <v>45440</v>
      </c>
      <c r="K10197" s="5" t="s">
        <v>45441</v>
      </c>
      <c r="L10197" s="18" t="s">
        <v>83</v>
      </c>
      <c r="M10197" s="18" t="s">
        <v>29</v>
      </c>
      <c r="N10197" s="18" t="s">
        <v>45442</v>
      </c>
      <c r="O10197" s="18" t="s">
        <v>29</v>
      </c>
      <c r="P10197" s="6"/>
      <c r="Q10197" s="6"/>
      <c r="R10197" s="6"/>
      <c r="S10197" s="6"/>
      <c r="T10197" s="6"/>
      <c r="U10197" s="6"/>
      <c r="V10197" s="8"/>
      <c r="W10197" s="8"/>
      <c r="X10197" s="8"/>
      <c r="Y10197" s="8"/>
    </row>
    <row r="10198" ht="14.25">
      <c r="B10198" s="18" t="s">
        <v>215</v>
      </c>
      <c r="C10198" s="18" t="s">
        <v>15873</v>
      </c>
      <c r="D10198" s="18" t="s">
        <v>1130</v>
      </c>
      <c r="E10198" s="18" t="s">
        <v>45443</v>
      </c>
      <c r="F10198" s="18" t="str">
        <f>IFERROR(__XLUDF.DUMMYFUNCTION("PROPER(REGEXREPLACE(D110,""[^A-Za-z]+ "",""""))"),"Acetech Structure")</f>
        <v xml:space="preserve">Acetech Structure</v>
      </c>
      <c r="G10198" s="18" t="s">
        <v>45444</v>
      </c>
      <c r="H10198" s="18">
        <v>18</v>
      </c>
      <c r="I10198" s="18" t="s">
        <v>9239</v>
      </c>
      <c r="J10198" s="5" t="s">
        <v>45445</v>
      </c>
      <c r="K10198" s="5" t="s">
        <v>45446</v>
      </c>
      <c r="L10198" s="18" t="s">
        <v>39</v>
      </c>
      <c r="M10198" s="18" t="s">
        <v>29</v>
      </c>
      <c r="N10198" s="18" t="s">
        <v>45447</v>
      </c>
      <c r="O10198" s="18" t="s">
        <v>29</v>
      </c>
      <c r="P10198" s="18" t="s">
        <v>45448</v>
      </c>
      <c r="Q10198" s="6"/>
      <c r="R10198" s="6"/>
      <c r="S10198" s="6"/>
      <c r="T10198" s="6"/>
      <c r="U10198" s="6"/>
      <c r="V10198" s="8"/>
      <c r="W10198" s="8"/>
      <c r="X10198" s="8"/>
      <c r="Y10198" s="8"/>
    </row>
    <row r="10199" ht="14.25">
      <c r="B10199" s="18" t="s">
        <v>45449</v>
      </c>
      <c r="C10199" s="18" t="s">
        <v>45450</v>
      </c>
      <c r="D10199" s="18" t="s">
        <v>112</v>
      </c>
      <c r="E10199" s="18" t="s">
        <v>45451</v>
      </c>
      <c r="F10199" s="18" t="str">
        <f>IFERROR(__XLUDF.DUMMYFUNCTION("PROPER(REGEXREPLACE(D111,""[^A-Za-z]+ "",""""))"),"Hproject")</f>
        <v>Hproject</v>
      </c>
      <c r="G10199" s="18" t="s">
        <v>45452</v>
      </c>
      <c r="H10199" s="18">
        <v>11</v>
      </c>
      <c r="I10199" s="18" t="s">
        <v>9239</v>
      </c>
      <c r="J10199" s="5" t="s">
        <v>45453</v>
      </c>
      <c r="K10199" s="5" t="s">
        <v>45454</v>
      </c>
      <c r="L10199" s="18" t="s">
        <v>39</v>
      </c>
      <c r="M10199" s="18" t="s">
        <v>29</v>
      </c>
      <c r="N10199" s="18" t="s">
        <v>67</v>
      </c>
      <c r="O10199" s="18" t="s">
        <v>29</v>
      </c>
      <c r="P10199" s="18" t="s">
        <v>45455</v>
      </c>
      <c r="Q10199" s="6"/>
      <c r="R10199" s="6"/>
      <c r="S10199" s="6"/>
      <c r="T10199" s="6"/>
      <c r="U10199" s="6"/>
      <c r="V10199" s="8"/>
      <c r="W10199" s="8"/>
      <c r="X10199" s="8"/>
      <c r="Y10199" s="8"/>
    </row>
    <row r="10200" ht="14.25">
      <c r="B10200" s="18" t="s">
        <v>1740</v>
      </c>
      <c r="C10200" s="18" t="s">
        <v>11176</v>
      </c>
      <c r="D10200" s="18" t="s">
        <v>112</v>
      </c>
      <c r="E10200" s="18" t="s">
        <v>45456</v>
      </c>
      <c r="F10200" s="18" t="str">
        <f>IFERROR(__XLUDF.DUMMYFUNCTION("PROPER(REGEXREPLACE(D112,""[^A-Za-z]+ "",""""))"),"Ets Lecuyer")</f>
        <v xml:space="preserve">Ets Lecuyer</v>
      </c>
      <c r="G10200" s="18" t="s">
        <v>45457</v>
      </c>
      <c r="H10200" s="6"/>
      <c r="I10200" s="6"/>
      <c r="J10200" s="5" t="s">
        <v>45458</v>
      </c>
      <c r="K10200" s="5" t="s">
        <v>45459</v>
      </c>
      <c r="L10200" s="18" t="s">
        <v>45460</v>
      </c>
      <c r="M10200" s="18" t="s">
        <v>29</v>
      </c>
      <c r="N10200" s="18" t="s">
        <v>45461</v>
      </c>
      <c r="O10200" s="18" t="s">
        <v>29</v>
      </c>
      <c r="P10200" s="6"/>
      <c r="Q10200" s="6"/>
      <c r="R10200" s="6"/>
      <c r="S10200" s="6"/>
      <c r="T10200" s="6"/>
      <c r="U10200" s="6"/>
      <c r="V10200" s="8"/>
      <c r="W10200" s="8"/>
      <c r="X10200" s="8"/>
      <c r="Y10200" s="8"/>
    </row>
    <row r="10201" ht="14.25">
      <c r="B10201" s="18" t="s">
        <v>743</v>
      </c>
      <c r="C10201" s="18" t="s">
        <v>45462</v>
      </c>
      <c r="D10201" s="18" t="s">
        <v>112</v>
      </c>
      <c r="E10201" s="18" t="s">
        <v>45463</v>
      </c>
      <c r="F10201" s="18" t="str">
        <f>IFERROR(__XLUDF.DUMMYFUNCTION("PROPER(REGEXREPLACE(D113,""[^A-Za-z]+ "",""""))"),"Beaufrere-Tp")</f>
        <v>Beaufrere-Tp</v>
      </c>
      <c r="G10201" s="18" t="s">
        <v>45464</v>
      </c>
      <c r="H10201" s="18">
        <v>11</v>
      </c>
      <c r="I10201" s="18" t="s">
        <v>9239</v>
      </c>
      <c r="J10201" s="5" t="s">
        <v>45465</v>
      </c>
      <c r="K10201" s="5" t="s">
        <v>45466</v>
      </c>
      <c r="L10201" s="18" t="s">
        <v>185</v>
      </c>
      <c r="M10201" s="18" t="s">
        <v>29</v>
      </c>
      <c r="N10201" s="18" t="s">
        <v>45467</v>
      </c>
      <c r="O10201" s="18" t="s">
        <v>29</v>
      </c>
      <c r="P10201" s="6"/>
      <c r="Q10201" s="6"/>
      <c r="R10201" s="6"/>
      <c r="S10201" s="6"/>
      <c r="T10201" s="6"/>
      <c r="U10201" s="6"/>
      <c r="V10201" s="8"/>
      <c r="W10201" s="8"/>
      <c r="X10201" s="8"/>
      <c r="Y10201" s="8"/>
    </row>
    <row r="10202" ht="14.25">
      <c r="B10202" s="18" t="s">
        <v>622</v>
      </c>
      <c r="C10202" s="18" t="s">
        <v>45468</v>
      </c>
      <c r="D10202" s="18" t="s">
        <v>112</v>
      </c>
      <c r="E10202" s="18" t="s">
        <v>45469</v>
      </c>
      <c r="F10202" s="18" t="str">
        <f>IFERROR(__XLUDF.DUMMYFUNCTION("PROPER(REGEXREPLACE(D114,""[^A-Za-z]+ "",""""))"),"Paquet Sas")</f>
        <v xml:space="preserve">Paquet Sas</v>
      </c>
      <c r="G10202" s="18" t="s">
        <v>45470</v>
      </c>
      <c r="H10202" s="18">
        <v>15</v>
      </c>
      <c r="I10202" s="18" t="s">
        <v>9239</v>
      </c>
      <c r="J10202" s="5" t="s">
        <v>45471</v>
      </c>
      <c r="K10202" s="5" t="s">
        <v>45472</v>
      </c>
      <c r="L10202" s="6"/>
      <c r="M10202" s="18" t="s">
        <v>29</v>
      </c>
      <c r="N10202" s="18" t="s">
        <v>45473</v>
      </c>
      <c r="O10202" s="18" t="s">
        <v>29</v>
      </c>
      <c r="P10202" s="18" t="s">
        <v>45474</v>
      </c>
      <c r="Q10202" s="6"/>
      <c r="R10202" s="6"/>
      <c r="S10202" s="6"/>
      <c r="T10202" s="6"/>
      <c r="U10202" s="6"/>
      <c r="V10202" s="8"/>
      <c r="W10202" s="8"/>
      <c r="X10202" s="8"/>
      <c r="Y10202" s="8"/>
    </row>
    <row r="10203" ht="14.25">
      <c r="B10203" s="18" t="s">
        <v>5716</v>
      </c>
      <c r="C10203" s="18" t="s">
        <v>45475</v>
      </c>
      <c r="D10203" s="18" t="s">
        <v>1130</v>
      </c>
      <c r="E10203" s="18" t="s">
        <v>45476</v>
      </c>
      <c r="F10203" s="18" t="str">
        <f>IFERROR(__XLUDF.DUMMYFUNCTION("PROPER(REGEXREPLACE(D115,""[^A-Za-z]+ "",""""))"),"Briand Sas")</f>
        <v xml:space="preserve">Briand Sas</v>
      </c>
      <c r="G10203" s="18" t="s">
        <v>45477</v>
      </c>
      <c r="H10203" s="18">
        <v>24</v>
      </c>
      <c r="I10203" s="18" t="s">
        <v>9239</v>
      </c>
      <c r="J10203" s="5" t="s">
        <v>45478</v>
      </c>
      <c r="K10203" s="5" t="s">
        <v>45479</v>
      </c>
      <c r="L10203" s="6"/>
      <c r="M10203" s="18" t="s">
        <v>29</v>
      </c>
      <c r="N10203" s="18" t="s">
        <v>45480</v>
      </c>
      <c r="O10203" s="18" t="s">
        <v>29</v>
      </c>
      <c r="P10203" s="18" t="s">
        <v>45481</v>
      </c>
      <c r="Q10203" s="6"/>
      <c r="R10203" s="6"/>
      <c r="S10203" s="6"/>
      <c r="T10203" s="6"/>
      <c r="U10203" s="6"/>
      <c r="V10203" s="8"/>
      <c r="W10203" s="8"/>
      <c r="X10203" s="8"/>
      <c r="Y10203" s="8"/>
    </row>
    <row r="10204" ht="14.25">
      <c r="B10204" s="18" t="s">
        <v>7204</v>
      </c>
      <c r="C10204" s="18" t="s">
        <v>45482</v>
      </c>
      <c r="D10204" s="18" t="s">
        <v>688</v>
      </c>
      <c r="E10204" s="18" t="s">
        <v>45483</v>
      </c>
      <c r="F10204" s="18" t="str">
        <f>IFERROR(__XLUDF.DUMMYFUNCTION("PROPER(REGEXREPLACE(D116,""[^A-Za-z]+ "",""""))"),"Paintup")</f>
        <v>Paintup</v>
      </c>
      <c r="G10204" s="18" t="s">
        <v>45484</v>
      </c>
      <c r="H10204" s="18">
        <v>5</v>
      </c>
      <c r="I10204" s="18" t="s">
        <v>9239</v>
      </c>
      <c r="J10204" s="5" t="s">
        <v>45485</v>
      </c>
      <c r="K10204" s="5" t="s">
        <v>45486</v>
      </c>
      <c r="L10204" s="18" t="s">
        <v>185</v>
      </c>
      <c r="M10204" s="18" t="s">
        <v>29</v>
      </c>
      <c r="N10204" s="18" t="s">
        <v>23041</v>
      </c>
      <c r="O10204" s="18" t="s">
        <v>29</v>
      </c>
      <c r="P10204" s="18" t="s">
        <v>45487</v>
      </c>
      <c r="Q10204" s="6"/>
      <c r="R10204" s="6"/>
      <c r="S10204" s="6"/>
      <c r="T10204" s="6"/>
      <c r="U10204" s="6"/>
      <c r="V10204" s="8"/>
      <c r="W10204" s="8"/>
      <c r="X10204" s="8"/>
      <c r="Y10204" s="8"/>
    </row>
    <row r="10205" ht="14.25">
      <c r="B10205" s="18" t="s">
        <v>6788</v>
      </c>
      <c r="C10205" s="18" t="s">
        <v>45488</v>
      </c>
      <c r="D10205" s="18" t="s">
        <v>45489</v>
      </c>
      <c r="E10205" s="18" t="s">
        <v>45490</v>
      </c>
      <c r="F10205" s="18" t="str">
        <f>IFERROR(__XLUDF.DUMMYFUNCTION("PROPER(REGEXREPLACE(D117,""[^A-Za-z]+ "",""""))"),"Groupe Maindron")</f>
        <v xml:space="preserve">Groupe Maindron</v>
      </c>
      <c r="G10205" s="18" t="s">
        <v>45491</v>
      </c>
      <c r="H10205" s="18">
        <v>12</v>
      </c>
      <c r="I10205" s="18" t="s">
        <v>9239</v>
      </c>
      <c r="J10205" s="5" t="s">
        <v>45492</v>
      </c>
      <c r="K10205" s="5" t="s">
        <v>45493</v>
      </c>
      <c r="L10205" s="18" t="s">
        <v>1711</v>
      </c>
      <c r="M10205" s="18" t="s">
        <v>29</v>
      </c>
      <c r="N10205" s="18" t="s">
        <v>45494</v>
      </c>
      <c r="O10205" s="18" t="s">
        <v>29</v>
      </c>
      <c r="P10205" s="18" t="s">
        <v>45495</v>
      </c>
      <c r="Q10205" s="6"/>
      <c r="R10205" s="6"/>
      <c r="S10205" s="6"/>
      <c r="T10205" s="6"/>
      <c r="U10205" s="6"/>
      <c r="V10205" s="8"/>
      <c r="W10205" s="8"/>
      <c r="X10205" s="8"/>
      <c r="Y10205" s="8"/>
    </row>
    <row r="10206" ht="14.25">
      <c r="B10206" s="18" t="s">
        <v>971</v>
      </c>
      <c r="C10206" s="18" t="s">
        <v>45496</v>
      </c>
      <c r="D10206" s="18" t="s">
        <v>112</v>
      </c>
      <c r="E10206" s="18" t="s">
        <v>45497</v>
      </c>
      <c r="F10206" s="18" t="str">
        <f>IFERROR(__XLUDF.DUMMYFUNCTION("PROPER(REGEXREPLACE(D118,""[^A-Za-z]+ "",""""))"),"Vac")</f>
        <v>Vac</v>
      </c>
      <c r="G10206" s="18" t="s">
        <v>45498</v>
      </c>
      <c r="H10206" s="18">
        <v>58</v>
      </c>
      <c r="I10206" s="18" t="s">
        <v>9239</v>
      </c>
      <c r="J10206" s="5" t="s">
        <v>45499</v>
      </c>
      <c r="K10206" s="5" t="s">
        <v>45500</v>
      </c>
      <c r="L10206" s="18" t="s">
        <v>45501</v>
      </c>
      <c r="M10206" s="18" t="s">
        <v>29</v>
      </c>
      <c r="N10206" s="18" t="s">
        <v>45502</v>
      </c>
      <c r="O10206" s="18" t="s">
        <v>29</v>
      </c>
      <c r="P10206" s="18" t="s">
        <v>45503</v>
      </c>
      <c r="Q10206" s="6"/>
      <c r="R10206" s="6"/>
      <c r="S10206" s="6"/>
      <c r="T10206" s="6"/>
      <c r="U10206" s="6"/>
      <c r="V10206" s="8"/>
      <c r="W10206" s="8"/>
      <c r="X10206" s="8"/>
      <c r="Y10206" s="8"/>
    </row>
    <row r="10207" ht="14.25">
      <c r="B10207" s="18" t="s">
        <v>330</v>
      </c>
      <c r="C10207" s="18" t="s">
        <v>14055</v>
      </c>
      <c r="D10207" s="18" t="s">
        <v>112</v>
      </c>
      <c r="E10207" s="18" t="s">
        <v>45504</v>
      </c>
      <c r="F10207" s="18" t="str">
        <f>IFERROR(__XLUDF.DUMMYFUNCTION("PROPER(REGEXREPLACE(D119,""[^A-Za-z]+ "",""""))"),"Vivolum")</f>
        <v>Vivolum</v>
      </c>
      <c r="G10207" s="18" t="s">
        <v>45505</v>
      </c>
      <c r="H10207" s="18">
        <v>36</v>
      </c>
      <c r="I10207" s="18" t="s">
        <v>9239</v>
      </c>
      <c r="J10207" s="5" t="s">
        <v>45506</v>
      </c>
      <c r="K10207" s="5" t="s">
        <v>45507</v>
      </c>
      <c r="L10207" s="18" t="s">
        <v>1711</v>
      </c>
      <c r="M10207" s="18" t="s">
        <v>29</v>
      </c>
      <c r="N10207" s="18" t="s">
        <v>1712</v>
      </c>
      <c r="O10207" s="18" t="s">
        <v>29</v>
      </c>
      <c r="P10207" s="18" t="s">
        <v>45508</v>
      </c>
      <c r="Q10207" s="6"/>
      <c r="R10207" s="6"/>
      <c r="S10207" s="6"/>
      <c r="T10207" s="6"/>
      <c r="U10207" s="6"/>
      <c r="V10207" s="8"/>
      <c r="W10207" s="8"/>
      <c r="X10207" s="8"/>
      <c r="Y10207" s="8"/>
    </row>
    <row r="10208" ht="14.25">
      <c r="B10208" s="18" t="s">
        <v>679</v>
      </c>
      <c r="C10208" s="18" t="s">
        <v>45509</v>
      </c>
      <c r="D10208" s="18" t="s">
        <v>112</v>
      </c>
      <c r="E10208" s="18" t="s">
        <v>45510</v>
      </c>
      <c r="F10208" s="18" t="str">
        <f>IFERROR(__XLUDF.DUMMYFUNCTION("PROPER(REGEXREPLACE(D120,""[^A-Za-z]+ "",""""))"),"Tecobat")</f>
        <v>Tecobat</v>
      </c>
      <c r="G10208" s="18" t="s">
        <v>45511</v>
      </c>
      <c r="H10208" s="18">
        <v>29</v>
      </c>
      <c r="I10208" s="18" t="s">
        <v>9239</v>
      </c>
      <c r="J10208" s="5" t="s">
        <v>45512</v>
      </c>
      <c r="K10208" s="5" t="s">
        <v>45513</v>
      </c>
      <c r="L10208" s="18" t="s">
        <v>846</v>
      </c>
      <c r="M10208" s="18" t="s">
        <v>29</v>
      </c>
      <c r="N10208" s="18" t="s">
        <v>45514</v>
      </c>
      <c r="O10208" s="18" t="s">
        <v>29</v>
      </c>
      <c r="P10208" s="18" t="s">
        <v>45515</v>
      </c>
      <c r="Q10208" s="6"/>
      <c r="R10208" s="6"/>
      <c r="S10208" s="6"/>
      <c r="T10208" s="6"/>
      <c r="U10208" s="6"/>
      <c r="V10208" s="8"/>
      <c r="W10208" s="8"/>
      <c r="X10208" s="8"/>
      <c r="Y10208" s="8"/>
    </row>
    <row r="10209" ht="14.25">
      <c r="B10209" s="18" t="s">
        <v>2119</v>
      </c>
      <c r="C10209" s="18" t="s">
        <v>19154</v>
      </c>
      <c r="D10209" s="18" t="s">
        <v>112</v>
      </c>
      <c r="E10209" s="18" t="s">
        <v>45516</v>
      </c>
      <c r="F10209" s="18" t="str">
        <f>IFERROR(__XLUDF.DUMMYFUNCTION("PROPER(REGEXREPLACE(D121,""[^A-Za-z]+ "",""""))"),"Sv Miroiterie")</f>
        <v xml:space="preserve">Sv Miroiterie</v>
      </c>
      <c r="G10209" s="18" t="s">
        <v>45517</v>
      </c>
      <c r="H10209" s="18">
        <v>29</v>
      </c>
      <c r="I10209" s="18" t="s">
        <v>9239</v>
      </c>
      <c r="J10209" s="5" t="s">
        <v>45518</v>
      </c>
      <c r="K10209" s="5" t="s">
        <v>45519</v>
      </c>
      <c r="L10209" s="18" t="s">
        <v>6954</v>
      </c>
      <c r="M10209" s="18" t="s">
        <v>29</v>
      </c>
      <c r="N10209" s="18" t="s">
        <v>45520</v>
      </c>
      <c r="O10209" s="18" t="s">
        <v>29</v>
      </c>
      <c r="P10209" s="6"/>
      <c r="Q10209" s="6"/>
      <c r="R10209" s="6"/>
      <c r="S10209" s="6"/>
      <c r="T10209" s="6"/>
      <c r="U10209" s="6"/>
      <c r="V10209" s="8"/>
      <c r="W10209" s="8"/>
      <c r="X10209" s="8"/>
      <c r="Y10209" s="8"/>
    </row>
    <row r="10210" ht="14.25">
      <c r="B10210" s="18" t="s">
        <v>1732</v>
      </c>
      <c r="C10210" s="18" t="s">
        <v>1775</v>
      </c>
      <c r="D10210" s="18" t="s">
        <v>10745</v>
      </c>
      <c r="E10210" s="18" t="s">
        <v>45521</v>
      </c>
      <c r="F10210" s="18" t="str">
        <f>IFERROR(__XLUDF.DUMMYFUNCTION("PROPER(REGEXREPLACE(D122,""[^A-Za-z]+ "",""""))"),"Linconyl")</f>
        <v>Linconyl</v>
      </c>
      <c r="G10210" s="18" t="s">
        <v>45522</v>
      </c>
      <c r="H10210" s="18">
        <v>32</v>
      </c>
      <c r="I10210" s="18" t="s">
        <v>9239</v>
      </c>
      <c r="J10210" s="5" t="s">
        <v>45523</v>
      </c>
      <c r="K10210" s="5" t="s">
        <v>45524</v>
      </c>
      <c r="L10210" s="6"/>
      <c r="M10210" s="18" t="s">
        <v>29</v>
      </c>
      <c r="N10210" s="18" t="s">
        <v>45525</v>
      </c>
      <c r="O10210" s="18" t="s">
        <v>29</v>
      </c>
      <c r="P10210" s="18" t="s">
        <v>45526</v>
      </c>
      <c r="Q10210" s="6"/>
      <c r="R10210" s="6"/>
      <c r="S10210" s="6"/>
      <c r="T10210" s="6"/>
      <c r="U10210" s="6"/>
      <c r="V10210" s="8"/>
      <c r="W10210" s="8"/>
      <c r="X10210" s="8"/>
      <c r="Y10210" s="8"/>
    </row>
    <row r="10211" ht="14.25">
      <c r="B10211" s="18" t="s">
        <v>1198</v>
      </c>
      <c r="C10211" s="18" t="s">
        <v>8599</v>
      </c>
      <c r="D10211" s="18" t="s">
        <v>112</v>
      </c>
      <c r="E10211" s="18" t="s">
        <v>45527</v>
      </c>
      <c r="F10211" s="18" t="str">
        <f>IFERROR(__XLUDF.DUMMYFUNCTION("PROPER(REGEXREPLACE(D123,""[^A-Za-z]+ "",""""))"),"Groupe Carré")</f>
        <v xml:space="preserve">Groupe Carré</v>
      </c>
      <c r="G10211" s="18" t="s">
        <v>45528</v>
      </c>
      <c r="H10211" s="18">
        <v>30</v>
      </c>
      <c r="I10211" s="18" t="s">
        <v>9239</v>
      </c>
      <c r="J10211" s="5" t="s">
        <v>45529</v>
      </c>
      <c r="K10211" s="5" t="s">
        <v>45530</v>
      </c>
      <c r="L10211" s="18" t="s">
        <v>16314</v>
      </c>
      <c r="M10211" s="18" t="s">
        <v>29</v>
      </c>
      <c r="N10211" s="18" t="s">
        <v>45531</v>
      </c>
      <c r="O10211" s="18" t="s">
        <v>29</v>
      </c>
      <c r="P10211" s="6"/>
      <c r="Q10211" s="6"/>
      <c r="R10211" s="6"/>
      <c r="S10211" s="6"/>
      <c r="T10211" s="6"/>
      <c r="U10211" s="6"/>
      <c r="V10211" s="8"/>
      <c r="W10211" s="8"/>
      <c r="X10211" s="8"/>
      <c r="Y10211" s="8"/>
    </row>
    <row r="10212" ht="14.25">
      <c r="B10212" s="18" t="s">
        <v>20</v>
      </c>
      <c r="C10212" s="18" t="s">
        <v>45532</v>
      </c>
      <c r="D10212" s="18" t="s">
        <v>112</v>
      </c>
      <c r="E10212" s="18" t="s">
        <v>45533</v>
      </c>
      <c r="F10212" s="18" t="str">
        <f>IFERROR(__XLUDF.DUMMYFUNCTION("PROPER(REGEXREPLACE(D124,""[^A-Za-z]+ "",""""))"),"Sotravest Entreprise De Construction")</f>
        <v xml:space="preserve">Sotravest Entreprise De Construction</v>
      </c>
      <c r="G10212" s="18" t="s">
        <v>45534</v>
      </c>
      <c r="H10212" s="18">
        <v>59</v>
      </c>
      <c r="I10212" s="18" t="s">
        <v>9239</v>
      </c>
      <c r="J10212" s="5" t="s">
        <v>45535</v>
      </c>
      <c r="K10212" s="5" t="s">
        <v>45536</v>
      </c>
      <c r="L10212" s="18" t="s">
        <v>651</v>
      </c>
      <c r="M10212" s="18" t="s">
        <v>29</v>
      </c>
      <c r="N10212" s="18" t="s">
        <v>45537</v>
      </c>
      <c r="O10212" s="18" t="s">
        <v>29</v>
      </c>
      <c r="P10212" s="18" t="s">
        <v>45538</v>
      </c>
      <c r="Q10212" s="6"/>
      <c r="R10212" s="6"/>
      <c r="S10212" s="6"/>
      <c r="T10212" s="6"/>
      <c r="U10212" s="6"/>
      <c r="V10212" s="8"/>
      <c r="W10212" s="8"/>
      <c r="X10212" s="8"/>
      <c r="Y10212" s="8"/>
    </row>
    <row r="10213" ht="14.25">
      <c r="B10213" s="18" t="s">
        <v>971</v>
      </c>
      <c r="C10213" s="18" t="s">
        <v>45539</v>
      </c>
      <c r="D10213" s="18" t="s">
        <v>112</v>
      </c>
      <c r="E10213" s="18" t="s">
        <v>45540</v>
      </c>
      <c r="F10213" s="18" t="str">
        <f>IFERROR(__XLUDF.DUMMYFUNCTION("PROPER(REGEXREPLACE(D125,""[^A-Za-z]+ "",""""))"),"Batiloc")</f>
        <v>Batiloc</v>
      </c>
      <c r="G10213" s="18" t="s">
        <v>45541</v>
      </c>
      <c r="H10213" s="18">
        <v>31</v>
      </c>
      <c r="I10213" s="18" t="s">
        <v>9239</v>
      </c>
      <c r="J10213" s="5" t="s">
        <v>45542</v>
      </c>
      <c r="K10213" s="5" t="s">
        <v>45543</v>
      </c>
      <c r="L10213" s="18" t="s">
        <v>846</v>
      </c>
      <c r="M10213" s="18" t="s">
        <v>29</v>
      </c>
      <c r="N10213" s="18" t="s">
        <v>45544</v>
      </c>
      <c r="O10213" s="18" t="s">
        <v>29</v>
      </c>
      <c r="P10213" s="18" t="s">
        <v>45545</v>
      </c>
      <c r="Q10213" s="6"/>
      <c r="R10213" s="6"/>
      <c r="S10213" s="6"/>
      <c r="T10213" s="6"/>
      <c r="U10213" s="6"/>
      <c r="V10213" s="8"/>
      <c r="W10213" s="8"/>
      <c r="X10213" s="8"/>
      <c r="Y10213" s="8"/>
    </row>
    <row r="10214" ht="14.25">
      <c r="B10214" s="18" t="s">
        <v>11873</v>
      </c>
      <c r="C10214" s="18" t="s">
        <v>6325</v>
      </c>
      <c r="D10214" s="18" t="s">
        <v>112</v>
      </c>
      <c r="E10214" s="18" t="s">
        <v>45546</v>
      </c>
      <c r="F10214" s="18" t="str">
        <f>IFERROR(__XLUDF.DUMMYFUNCTION("PROPER(REGEXREPLACE(D126,""[^A-Za-z]+ "",""""))"),"Groupe Vérandaline")</f>
        <v xml:space="preserve">Groupe Vérandaline</v>
      </c>
      <c r="G10214" s="18" t="s">
        <v>45547</v>
      </c>
      <c r="H10214" s="18">
        <v>28</v>
      </c>
      <c r="I10214" s="18" t="s">
        <v>9239</v>
      </c>
      <c r="J10214" s="5" t="s">
        <v>45548</v>
      </c>
      <c r="K10214" s="5" t="s">
        <v>45549</v>
      </c>
      <c r="L10214" s="18" t="s">
        <v>20178</v>
      </c>
      <c r="M10214" s="18" t="s">
        <v>29</v>
      </c>
      <c r="N10214" s="18" t="s">
        <v>45550</v>
      </c>
      <c r="O10214" s="18" t="s">
        <v>29</v>
      </c>
      <c r="P10214" s="18" t="s">
        <v>45551</v>
      </c>
      <c r="Q10214" s="6"/>
      <c r="R10214" s="6"/>
      <c r="S10214" s="6"/>
      <c r="T10214" s="6"/>
      <c r="U10214" s="6"/>
      <c r="V10214" s="8"/>
      <c r="W10214" s="8"/>
      <c r="X10214" s="8"/>
      <c r="Y10214" s="8"/>
    </row>
    <row r="10215" ht="14.25">
      <c r="B10215" s="18" t="s">
        <v>2598</v>
      </c>
      <c r="C10215" s="18" t="s">
        <v>45552</v>
      </c>
      <c r="D10215" s="18" t="s">
        <v>112</v>
      </c>
      <c r="E10215" s="18" t="s">
        <v>13244</v>
      </c>
      <c r="F10215" s="18" t="str">
        <f>IFERROR(__XLUDF.DUMMYFUNCTION("PROPER(REGEXREPLACE(D127,""[^A-Za-z]+ "",""""))"),"Alliance Économie")</f>
        <v xml:space="preserve">Alliance Économie</v>
      </c>
      <c r="G10215" s="18" t="s">
        <v>45553</v>
      </c>
      <c r="H10215" s="18">
        <v>50</v>
      </c>
      <c r="I10215" s="18" t="s">
        <v>9239</v>
      </c>
      <c r="J10215" s="5" t="s">
        <v>45554</v>
      </c>
      <c r="K10215" s="5" t="s">
        <v>45555</v>
      </c>
      <c r="L10215" s="18" t="s">
        <v>39</v>
      </c>
      <c r="M10215" s="18" t="s">
        <v>29</v>
      </c>
      <c r="N10215" s="18" t="s">
        <v>67</v>
      </c>
      <c r="O10215" s="18" t="s">
        <v>29</v>
      </c>
      <c r="P10215" s="6"/>
      <c r="Q10215" s="6"/>
      <c r="R10215" s="6"/>
      <c r="S10215" s="6"/>
      <c r="T10215" s="6"/>
      <c r="U10215" s="6"/>
      <c r="V10215" s="8"/>
      <c r="W10215" s="8"/>
      <c r="X10215" s="8"/>
      <c r="Y10215" s="8"/>
    </row>
    <row r="10216" ht="14.25">
      <c r="B10216" s="18" t="s">
        <v>525</v>
      </c>
      <c r="C10216" s="18" t="s">
        <v>43774</v>
      </c>
      <c r="D10216" s="18" t="s">
        <v>112</v>
      </c>
      <c r="E10216" s="18" t="s">
        <v>45556</v>
      </c>
      <c r="F10216" s="18" t="str">
        <f>IFERROR(__XLUDF.DUMMYFUNCTION("PROPER(REGEXREPLACE(D128,""[^A-Za-z]+ "",""""))"),"Bermax Construction")</f>
        <v xml:space="preserve">Bermax Construction</v>
      </c>
      <c r="G10216" s="18" t="s">
        <v>45557</v>
      </c>
      <c r="H10216" s="18">
        <v>33</v>
      </c>
      <c r="I10216" s="18" t="s">
        <v>9239</v>
      </c>
      <c r="J10216" s="5" t="s">
        <v>45558</v>
      </c>
      <c r="K10216" s="5" t="s">
        <v>45559</v>
      </c>
      <c r="L10216" s="18" t="s">
        <v>6061</v>
      </c>
      <c r="M10216" s="18" t="s">
        <v>29</v>
      </c>
      <c r="N10216" s="18" t="s">
        <v>45560</v>
      </c>
      <c r="O10216" s="18" t="s">
        <v>29</v>
      </c>
      <c r="P10216" s="18" t="s">
        <v>45561</v>
      </c>
      <c r="Q10216" s="6"/>
      <c r="R10216" s="6"/>
      <c r="S10216" s="6"/>
      <c r="T10216" s="6"/>
      <c r="U10216" s="6"/>
      <c r="V10216" s="8"/>
      <c r="W10216" s="8"/>
      <c r="X10216" s="8"/>
      <c r="Y10216" s="8"/>
    </row>
    <row r="10217" ht="14.25">
      <c r="B10217" s="18" t="s">
        <v>1605</v>
      </c>
      <c r="C10217" s="18" t="s">
        <v>45562</v>
      </c>
      <c r="D10217" s="18" t="s">
        <v>45563</v>
      </c>
      <c r="E10217" s="18" t="s">
        <v>45564</v>
      </c>
      <c r="F10217" s="18" t="str">
        <f>IFERROR(__XLUDF.DUMMYFUNCTION("PROPER(REGEXREPLACE(D129,""[^A-Za-z]+ "",""""))"),"Oxy Ingénierie")</f>
        <v xml:space="preserve">Oxy Ingénierie</v>
      </c>
      <c r="G10217" s="18" t="s">
        <v>45565</v>
      </c>
      <c r="H10217" s="18">
        <v>17</v>
      </c>
      <c r="I10217" s="18" t="s">
        <v>9239</v>
      </c>
      <c r="J10217" s="5" t="s">
        <v>45566</v>
      </c>
      <c r="K10217" s="5" t="s">
        <v>45567</v>
      </c>
      <c r="L10217" s="18" t="s">
        <v>185</v>
      </c>
      <c r="M10217" s="18" t="s">
        <v>29</v>
      </c>
      <c r="N10217" s="18" t="s">
        <v>45568</v>
      </c>
      <c r="O10217" s="18" t="s">
        <v>1938</v>
      </c>
      <c r="P10217" s="18" t="s">
        <v>45569</v>
      </c>
      <c r="Q10217" s="6"/>
      <c r="R10217" s="6"/>
      <c r="S10217" s="6"/>
      <c r="T10217" s="6"/>
      <c r="U10217" s="6"/>
      <c r="V10217" s="8"/>
      <c r="W10217" s="8"/>
      <c r="X10217" s="8"/>
      <c r="Y10217" s="8"/>
    </row>
    <row r="10218" ht="14.25">
      <c r="B10218" s="18" t="s">
        <v>2398</v>
      </c>
      <c r="C10218" s="18" t="s">
        <v>45570</v>
      </c>
      <c r="D10218" s="18" t="s">
        <v>112</v>
      </c>
      <c r="E10218" s="18" t="s">
        <v>45571</v>
      </c>
      <c r="F10218" s="18" t="str">
        <f>IFERROR(__XLUDF.DUMMYFUNCTION("PROPER(REGEXREPLACE(D130,""[^A-Za-z]+ "",""""))"),"Groupe Brandizi")</f>
        <v xml:space="preserve">Groupe Brandizi</v>
      </c>
      <c r="G10218" s="18" t="s">
        <v>45572</v>
      </c>
      <c r="H10218" s="18">
        <v>21</v>
      </c>
      <c r="I10218" s="18" t="s">
        <v>9239</v>
      </c>
      <c r="J10218" s="5" t="s">
        <v>45573</v>
      </c>
      <c r="K10218" s="5" t="s">
        <v>45574</v>
      </c>
      <c r="L10218" s="18" t="s">
        <v>45575</v>
      </c>
      <c r="M10218" s="18" t="s">
        <v>29</v>
      </c>
      <c r="N10218" s="18" t="s">
        <v>45576</v>
      </c>
      <c r="O10218" s="18" t="s">
        <v>29</v>
      </c>
      <c r="P10218" s="18" t="s">
        <v>45577</v>
      </c>
      <c r="Q10218" s="6"/>
      <c r="R10218" s="6"/>
      <c r="S10218" s="6"/>
      <c r="T10218" s="6"/>
      <c r="U10218" s="6"/>
      <c r="V10218" s="8"/>
      <c r="W10218" s="8"/>
      <c r="X10218" s="8"/>
      <c r="Y10218" s="8"/>
    </row>
    <row r="10219" ht="14.25">
      <c r="B10219" s="18" t="s">
        <v>110</v>
      </c>
      <c r="C10219" s="18" t="s">
        <v>6361</v>
      </c>
      <c r="D10219" s="18" t="s">
        <v>112</v>
      </c>
      <c r="E10219" s="18" t="s">
        <v>45578</v>
      </c>
      <c r="F10219" s="18" t="str">
        <f>IFERROR(__XLUDF.DUMMYFUNCTION("PROPER(REGEXREPLACE(D131,""[^A-Za-z]+ "",""""))"),"Globalis Btp")</f>
        <v xml:space="preserve">Globalis Btp</v>
      </c>
      <c r="G10219" s="18" t="s">
        <v>45579</v>
      </c>
      <c r="H10219" s="18">
        <v>13</v>
      </c>
      <c r="I10219" s="18" t="s">
        <v>9239</v>
      </c>
      <c r="J10219" s="5" t="s">
        <v>45580</v>
      </c>
      <c r="K10219" s="5" t="s">
        <v>45581</v>
      </c>
      <c r="L10219" s="18" t="s">
        <v>39</v>
      </c>
      <c r="M10219" s="18" t="s">
        <v>29</v>
      </c>
      <c r="N10219" s="18" t="s">
        <v>45582</v>
      </c>
      <c r="O10219" s="18" t="s">
        <v>29</v>
      </c>
      <c r="P10219" s="6"/>
      <c r="Q10219" s="6"/>
      <c r="R10219" s="6"/>
      <c r="S10219" s="6"/>
      <c r="T10219" s="6"/>
      <c r="U10219" s="6"/>
      <c r="V10219" s="8"/>
      <c r="W10219" s="8"/>
      <c r="X10219" s="8"/>
      <c r="Y10219" s="8"/>
    </row>
    <row r="10220" ht="14.25">
      <c r="B10220" s="18" t="s">
        <v>630</v>
      </c>
      <c r="C10220" s="18" t="s">
        <v>2437</v>
      </c>
      <c r="D10220" s="18" t="s">
        <v>45583</v>
      </c>
      <c r="E10220" s="5" t="s">
        <v>45584</v>
      </c>
      <c r="F10220" s="5" t="str">
        <f>IFERROR(__XLUDF.DUMMYFUNCTION("PROPER(REGEXREPLACE(D132,""[^A-Za-z]+ "",""""))"),"Monprojetbois.Com")</f>
        <v>Monprojetbois.Com</v>
      </c>
      <c r="G10220" s="18" t="s">
        <v>45585</v>
      </c>
      <c r="H10220" s="18">
        <v>10</v>
      </c>
      <c r="I10220" s="18" t="s">
        <v>9239</v>
      </c>
      <c r="J10220" s="5" t="s">
        <v>45586</v>
      </c>
      <c r="K10220" s="5" t="s">
        <v>45587</v>
      </c>
      <c r="L10220" s="6"/>
      <c r="M10220" s="18" t="s">
        <v>29</v>
      </c>
      <c r="N10220" s="18" t="s">
        <v>45588</v>
      </c>
      <c r="O10220" s="18" t="s">
        <v>29</v>
      </c>
      <c r="P10220" s="18" t="s">
        <v>45589</v>
      </c>
      <c r="Q10220" s="6"/>
      <c r="R10220" s="6"/>
      <c r="S10220" s="6"/>
      <c r="T10220" s="6"/>
      <c r="U10220" s="6"/>
      <c r="V10220" s="8"/>
      <c r="W10220" s="8"/>
      <c r="X10220" s="8"/>
      <c r="Y10220" s="8"/>
    </row>
    <row r="10221" ht="14.25">
      <c r="B10221" s="18" t="s">
        <v>679</v>
      </c>
      <c r="C10221" s="18" t="s">
        <v>45590</v>
      </c>
      <c r="D10221" s="18" t="s">
        <v>120</v>
      </c>
      <c r="E10221" s="18" t="s">
        <v>45591</v>
      </c>
      <c r="F10221" s="18" t="str">
        <f>IFERROR(__XLUDF.DUMMYFUNCTION("PROPER(REGEXREPLACE(D133,""[^A-Za-z]+ "",""""))"),"Isole Plus Énergies")</f>
        <v xml:space="preserve">Isole Plus Énergies</v>
      </c>
      <c r="G10221" s="18" t="s">
        <v>45592</v>
      </c>
      <c r="H10221" s="18">
        <v>18</v>
      </c>
      <c r="I10221" s="18" t="s">
        <v>9239</v>
      </c>
      <c r="J10221" s="5" t="s">
        <v>45593</v>
      </c>
      <c r="K10221" s="5" t="s">
        <v>45594</v>
      </c>
      <c r="L10221" s="18" t="s">
        <v>827</v>
      </c>
      <c r="M10221" s="18" t="s">
        <v>29</v>
      </c>
      <c r="N10221" s="18" t="s">
        <v>45595</v>
      </c>
      <c r="O10221" s="18" t="s">
        <v>29</v>
      </c>
      <c r="P10221" s="18" t="s">
        <v>45596</v>
      </c>
      <c r="Q10221" s="6"/>
      <c r="R10221" s="6"/>
      <c r="S10221" s="6"/>
      <c r="T10221" s="6"/>
      <c r="U10221" s="6"/>
      <c r="V10221" s="8"/>
      <c r="W10221" s="8"/>
      <c r="X10221" s="8"/>
      <c r="Y10221" s="8"/>
    </row>
    <row r="10222" ht="14.25">
      <c r="B10222" s="18" t="s">
        <v>330</v>
      </c>
      <c r="C10222" s="18" t="s">
        <v>45597</v>
      </c>
      <c r="D10222" s="18" t="s">
        <v>112</v>
      </c>
      <c r="E10222" s="18" t="s">
        <v>45598</v>
      </c>
      <c r="F10222" s="18" t="str">
        <f>IFERROR(__XLUDF.DUMMYFUNCTION("PROPER(REGEXREPLACE(D134,""[^A-Za-z]+ "",""""))"),"Boubat Eco")</f>
        <v xml:space="preserve">Boubat Eco</v>
      </c>
      <c r="G10222" s="18" t="s">
        <v>45599</v>
      </c>
      <c r="H10222" s="18">
        <v>5</v>
      </c>
      <c r="I10222" s="18" t="s">
        <v>9239</v>
      </c>
      <c r="J10222" s="5" t="s">
        <v>45600</v>
      </c>
      <c r="K10222" s="5" t="s">
        <v>45601</v>
      </c>
      <c r="L10222" s="18" t="s">
        <v>45602</v>
      </c>
      <c r="M10222" s="18" t="s">
        <v>29</v>
      </c>
      <c r="N10222" s="18" t="s">
        <v>45603</v>
      </c>
      <c r="O10222" s="18" t="s">
        <v>29</v>
      </c>
      <c r="P10222" s="18" t="s">
        <v>45604</v>
      </c>
      <c r="Q10222" s="6"/>
      <c r="R10222" s="6"/>
      <c r="S10222" s="6"/>
      <c r="T10222" s="6"/>
      <c r="U10222" s="6"/>
      <c r="V10222" s="8"/>
      <c r="W10222" s="8"/>
      <c r="X10222" s="8"/>
      <c r="Y10222" s="8"/>
    </row>
    <row r="10223" ht="14.25">
      <c r="B10223" s="18" t="s">
        <v>322</v>
      </c>
      <c r="C10223" s="18" t="s">
        <v>45605</v>
      </c>
      <c r="D10223" s="18" t="s">
        <v>426</v>
      </c>
      <c r="E10223" s="18" t="s">
        <v>45606</v>
      </c>
      <c r="F10223" s="18" t="str">
        <f>IFERROR(__XLUDF.DUMMYFUNCTION("PROPER(REGEXREPLACE(D135,""[^A-Za-z]+ "",""""))"),"Cyprium")</f>
        <v>Cyprium</v>
      </c>
      <c r="G10223" s="18" t="s">
        <v>45607</v>
      </c>
      <c r="H10223" s="18">
        <v>21</v>
      </c>
      <c r="I10223" s="18" t="s">
        <v>9239</v>
      </c>
      <c r="J10223" s="5" t="s">
        <v>45608</v>
      </c>
      <c r="K10223" s="5" t="s">
        <v>45609</v>
      </c>
      <c r="L10223" s="18" t="s">
        <v>185</v>
      </c>
      <c r="M10223" s="18" t="s">
        <v>29</v>
      </c>
      <c r="N10223" s="18" t="s">
        <v>45610</v>
      </c>
      <c r="O10223" s="18" t="s">
        <v>29</v>
      </c>
      <c r="P10223" s="18" t="s">
        <v>45611</v>
      </c>
      <c r="Q10223" s="6"/>
      <c r="R10223" s="6"/>
      <c r="S10223" s="6"/>
      <c r="T10223" s="6"/>
      <c r="U10223" s="6"/>
      <c r="V10223" s="8"/>
      <c r="W10223" s="8"/>
      <c r="X10223" s="8"/>
      <c r="Y10223" s="8"/>
    </row>
    <row r="10224" ht="14.25">
      <c r="B10224" s="18" t="s">
        <v>45612</v>
      </c>
      <c r="C10224" s="18" t="s">
        <v>45613</v>
      </c>
      <c r="D10224" s="18" t="s">
        <v>172</v>
      </c>
      <c r="E10224" s="18" t="s">
        <v>45614</v>
      </c>
      <c r="F10224" s="18" t="str">
        <f>IFERROR(__XLUDF.DUMMYFUNCTION("PROPER(REGEXREPLACE(D136,""[^A-Za-z]+ "",""""))"),"Groupelorraine")</f>
        <v>Groupelorraine</v>
      </c>
      <c r="G10224" s="18" t="s">
        <v>45615</v>
      </c>
      <c r="H10224" s="18">
        <v>14</v>
      </c>
      <c r="I10224" s="18" t="s">
        <v>9239</v>
      </c>
      <c r="J10224" s="5" t="s">
        <v>45616</v>
      </c>
      <c r="K10224" s="5" t="s">
        <v>45617</v>
      </c>
      <c r="L10224" s="18" t="s">
        <v>4922</v>
      </c>
      <c r="M10224" s="18" t="s">
        <v>29</v>
      </c>
      <c r="N10224" s="18" t="s">
        <v>45618</v>
      </c>
      <c r="O10224" s="18" t="s">
        <v>29</v>
      </c>
      <c r="P10224" s="6"/>
      <c r="Q10224" s="6"/>
      <c r="R10224" s="6"/>
      <c r="S10224" s="6"/>
      <c r="T10224" s="6"/>
      <c r="U10224" s="6"/>
      <c r="V10224" s="8"/>
      <c r="W10224" s="8"/>
      <c r="X10224" s="8"/>
      <c r="Y10224" s="8"/>
    </row>
    <row r="10225" ht="14.25">
      <c r="B10225" s="18" t="s">
        <v>8778</v>
      </c>
      <c r="C10225" s="18" t="s">
        <v>16348</v>
      </c>
      <c r="D10225" s="18" t="s">
        <v>120</v>
      </c>
      <c r="E10225" s="18" t="s">
        <v>45619</v>
      </c>
      <c r="F10225" s="18" t="str">
        <f>IFERROR(__XLUDF.DUMMYFUNCTION("PROPER(REGEXREPLACE(D137,""[^A-Za-z]+ "",""""))"),"Constellations Studio")</f>
        <v xml:space="preserve">Constellations Studio</v>
      </c>
      <c r="G10225" s="18" t="s">
        <v>45620</v>
      </c>
      <c r="H10225" s="18">
        <v>3</v>
      </c>
      <c r="I10225" s="18" t="s">
        <v>10167</v>
      </c>
      <c r="J10225" s="5" t="s">
        <v>45621</v>
      </c>
      <c r="K10225" s="5" t="s">
        <v>45622</v>
      </c>
      <c r="L10225" s="18" t="s">
        <v>39</v>
      </c>
      <c r="M10225" s="18" t="s">
        <v>29</v>
      </c>
      <c r="N10225" s="18" t="s">
        <v>45623</v>
      </c>
      <c r="O10225" s="18" t="s">
        <v>29</v>
      </c>
      <c r="P10225" s="18" t="s">
        <v>45624</v>
      </c>
      <c r="Q10225" s="6"/>
      <c r="R10225" s="6"/>
      <c r="S10225" s="6"/>
      <c r="T10225" s="6"/>
      <c r="U10225" s="6"/>
      <c r="V10225" s="8"/>
      <c r="W10225" s="8"/>
      <c r="X10225" s="8"/>
      <c r="Y10225" s="8"/>
    </row>
    <row r="10226" ht="14.25">
      <c r="B10226" s="18" t="s">
        <v>110</v>
      </c>
      <c r="C10226" s="18" t="s">
        <v>45625</v>
      </c>
      <c r="D10226" s="18" t="s">
        <v>172</v>
      </c>
      <c r="E10226" s="18" t="s">
        <v>45626</v>
      </c>
      <c r="F10226" s="18" t="str">
        <f>IFERROR(__XLUDF.DUMMYFUNCTION("PROPER(REGEXREPLACE(D138,""[^A-Za-z]+ "",""""))"),"Sgetas")</f>
        <v>Sgetas</v>
      </c>
      <c r="G10226" s="18" t="s">
        <v>45627</v>
      </c>
      <c r="H10226" s="18">
        <v>9</v>
      </c>
      <c r="I10226" s="18" t="s">
        <v>9239</v>
      </c>
      <c r="J10226" s="5" t="s">
        <v>45628</v>
      </c>
      <c r="K10226" s="5" t="s">
        <v>45629</v>
      </c>
      <c r="L10226" s="18" t="s">
        <v>295</v>
      </c>
      <c r="M10226" s="18" t="s">
        <v>29</v>
      </c>
      <c r="N10226" s="18" t="s">
        <v>5498</v>
      </c>
      <c r="O10226" s="18" t="s">
        <v>29</v>
      </c>
      <c r="P10226" s="18" t="s">
        <v>45630</v>
      </c>
      <c r="Q10226" s="6"/>
      <c r="R10226" s="6"/>
      <c r="S10226" s="6"/>
      <c r="T10226" s="6"/>
      <c r="U10226" s="6"/>
      <c r="V10226" s="8"/>
      <c r="W10226" s="8"/>
      <c r="X10226" s="8"/>
      <c r="Y10226" s="8"/>
    </row>
    <row r="10227" ht="14.25">
      <c r="B10227" s="18" t="s">
        <v>1844</v>
      </c>
      <c r="C10227" s="18" t="s">
        <v>45631</v>
      </c>
      <c r="D10227" s="18" t="s">
        <v>172</v>
      </c>
      <c r="E10227" s="18" t="s">
        <v>45632</v>
      </c>
      <c r="F10227" s="18" t="str">
        <f>IFERROR(__XLUDF.DUMMYFUNCTION("PROPER(REGEXREPLACE(D139,""[^A-Za-z]+ "",""""))"),"Ile De France Pavage")</f>
        <v xml:space="preserve">Ile De France Pavage</v>
      </c>
      <c r="G10227" s="18" t="s">
        <v>45633</v>
      </c>
      <c r="H10227" s="18">
        <v>11</v>
      </c>
      <c r="I10227" s="18" t="s">
        <v>9239</v>
      </c>
      <c r="J10227" s="5" t="s">
        <v>45634</v>
      </c>
      <c r="K10227" s="5" t="s">
        <v>45635</v>
      </c>
      <c r="L10227" s="18" t="s">
        <v>45636</v>
      </c>
      <c r="M10227" s="18" t="s">
        <v>29</v>
      </c>
      <c r="N10227" s="18" t="s">
        <v>45637</v>
      </c>
      <c r="O10227" s="18" t="s">
        <v>29</v>
      </c>
      <c r="P10227" s="18" t="s">
        <v>45638</v>
      </c>
      <c r="Q10227" s="6"/>
      <c r="R10227" s="6"/>
      <c r="S10227" s="6"/>
      <c r="T10227" s="6"/>
      <c r="U10227" s="6"/>
      <c r="V10227" s="8"/>
      <c r="W10227" s="8"/>
      <c r="X10227" s="8"/>
      <c r="Y10227" s="8"/>
    </row>
    <row r="10228" ht="14.25">
      <c r="B10228" s="18" t="s">
        <v>743</v>
      </c>
      <c r="C10228" s="18" t="s">
        <v>16348</v>
      </c>
      <c r="D10228" s="18" t="s">
        <v>172</v>
      </c>
      <c r="E10228" s="18" t="s">
        <v>45639</v>
      </c>
      <c r="F10228" s="18" t="str">
        <f>IFERROR(__XLUDF.DUMMYFUNCTION("PROPER(REGEXREPLACE(D140,""[^A-Za-z]+ "",""""))"),"Patrick Poisson Tp")</f>
        <v xml:space="preserve">Patrick Poisson Tp</v>
      </c>
      <c r="G10228" s="18" t="s">
        <v>45640</v>
      </c>
      <c r="H10228" s="18">
        <v>18</v>
      </c>
      <c r="I10228" s="18" t="s">
        <v>9239</v>
      </c>
      <c r="J10228" s="5" t="s">
        <v>45641</v>
      </c>
      <c r="K10228" s="5" t="s">
        <v>45642</v>
      </c>
      <c r="L10228" s="18" t="s">
        <v>45643</v>
      </c>
      <c r="M10228" s="18" t="s">
        <v>29</v>
      </c>
      <c r="N10228" s="18" t="s">
        <v>45644</v>
      </c>
      <c r="O10228" s="18" t="s">
        <v>29</v>
      </c>
      <c r="P10228" s="18" t="s">
        <v>45645</v>
      </c>
      <c r="Q10228" s="6"/>
      <c r="R10228" s="6"/>
      <c r="S10228" s="6"/>
      <c r="T10228" s="6"/>
      <c r="U10228" s="6"/>
      <c r="V10228" s="8"/>
      <c r="W10228" s="8"/>
      <c r="X10228" s="8"/>
      <c r="Y10228" s="8"/>
    </row>
    <row r="10229" ht="14.25">
      <c r="B10229" s="18" t="s">
        <v>661</v>
      </c>
      <c r="C10229" s="18" t="s">
        <v>45646</v>
      </c>
      <c r="D10229" s="18" t="s">
        <v>426</v>
      </c>
      <c r="E10229" s="18" t="s">
        <v>45647</v>
      </c>
      <c r="F10229" s="18" t="str">
        <f>IFERROR(__XLUDF.DUMMYFUNCTION("PROPER(REGEXREPLACE(D141,""[^A-Za-z]+ "",""""))"),"Kemica Coatings")</f>
        <v xml:space="preserve">Kemica Coatings</v>
      </c>
      <c r="G10229" s="18" t="s">
        <v>45648</v>
      </c>
      <c r="H10229" s="18">
        <v>13</v>
      </c>
      <c r="I10229" s="18" t="s">
        <v>9239</v>
      </c>
      <c r="J10229" s="5" t="s">
        <v>45649</v>
      </c>
      <c r="K10229" s="5" t="s">
        <v>45650</v>
      </c>
      <c r="L10229" s="18" t="s">
        <v>39</v>
      </c>
      <c r="M10229" s="18" t="s">
        <v>29</v>
      </c>
      <c r="N10229" s="18" t="s">
        <v>45651</v>
      </c>
      <c r="O10229" s="18" t="s">
        <v>29</v>
      </c>
      <c r="P10229" s="18" t="s">
        <v>45652</v>
      </c>
      <c r="Q10229" s="6"/>
      <c r="R10229" s="6"/>
      <c r="S10229" s="6"/>
      <c r="T10229" s="6"/>
      <c r="U10229" s="6"/>
      <c r="V10229" s="8"/>
      <c r="W10229" s="8"/>
      <c r="X10229" s="8"/>
      <c r="Y10229" s="8"/>
    </row>
    <row r="10230" ht="14.25">
      <c r="B10230" s="18" t="s">
        <v>95</v>
      </c>
      <c r="C10230" s="18" t="s">
        <v>45653</v>
      </c>
      <c r="D10230" s="18" t="s">
        <v>172</v>
      </c>
      <c r="E10230" s="18" t="s">
        <v>45654</v>
      </c>
      <c r="F10230" s="18" t="str">
        <f>IFERROR(__XLUDF.DUMMYFUNCTION("PROPER(REGEXREPLACE(D142,""[^A-Za-z]+ "",""""))"),"Alca Decor")</f>
        <v xml:space="preserve">Alca Decor</v>
      </c>
      <c r="G10230" s="18" t="s">
        <v>45655</v>
      </c>
      <c r="H10230" s="18">
        <v>8</v>
      </c>
      <c r="I10230" s="18" t="s">
        <v>9239</v>
      </c>
      <c r="J10230" s="5" t="s">
        <v>45656</v>
      </c>
      <c r="K10230" s="5" t="s">
        <v>45657</v>
      </c>
      <c r="L10230" s="6"/>
      <c r="M10230" s="18" t="s">
        <v>29</v>
      </c>
      <c r="N10230" s="18" t="s">
        <v>26616</v>
      </c>
      <c r="O10230" s="18" t="s">
        <v>29</v>
      </c>
      <c r="P10230" s="18" t="s">
        <v>45658</v>
      </c>
      <c r="Q10230" s="6"/>
      <c r="R10230" s="6"/>
      <c r="S10230" s="6"/>
      <c r="T10230" s="6"/>
      <c r="U10230" s="6"/>
      <c r="V10230" s="8"/>
      <c r="W10230" s="8"/>
      <c r="X10230" s="8"/>
      <c r="Y10230" s="8"/>
    </row>
    <row r="10231" ht="14.25">
      <c r="B10231" s="18" t="s">
        <v>450</v>
      </c>
      <c r="C10231" s="18" t="s">
        <v>45659</v>
      </c>
      <c r="D10231" s="18" t="s">
        <v>172</v>
      </c>
      <c r="E10231" s="18" t="s">
        <v>45660</v>
      </c>
      <c r="F10231" s="18" t="str">
        <f>IFERROR(__XLUDF.DUMMYFUNCTION("PROPER(REGEXREPLACE(D143,""[^A-Za-z]+ "",""""))"),"Triangle Horizon")</f>
        <v xml:space="preserve">Triangle Horizon</v>
      </c>
      <c r="G10231" s="18" t="s">
        <v>45661</v>
      </c>
      <c r="H10231" s="18">
        <v>43</v>
      </c>
      <c r="I10231" s="18" t="s">
        <v>9239</v>
      </c>
      <c r="J10231" s="5" t="s">
        <v>45662</v>
      </c>
      <c r="K10231" s="5" t="s">
        <v>45663</v>
      </c>
      <c r="L10231" s="18" t="s">
        <v>45664</v>
      </c>
      <c r="M10231" s="18" t="s">
        <v>29</v>
      </c>
      <c r="N10231" s="18" t="s">
        <v>45665</v>
      </c>
      <c r="O10231" s="18" t="s">
        <v>29</v>
      </c>
      <c r="P10231" s="18" t="s">
        <v>45666</v>
      </c>
      <c r="Q10231" s="6"/>
      <c r="R10231" s="6"/>
      <c r="S10231" s="6"/>
      <c r="T10231" s="6"/>
      <c r="U10231" s="6"/>
      <c r="V10231" s="8"/>
      <c r="W10231" s="8"/>
      <c r="X10231" s="8"/>
      <c r="Y10231" s="8"/>
    </row>
    <row r="10232" ht="14.25">
      <c r="B10232" s="18" t="s">
        <v>6788</v>
      </c>
      <c r="C10232" s="18" t="s">
        <v>3981</v>
      </c>
      <c r="D10232" s="18" t="s">
        <v>172</v>
      </c>
      <c r="E10232" s="18" t="s">
        <v>45667</v>
      </c>
      <c r="F10232" s="18" t="str">
        <f>IFERROR(__XLUDF.DUMMYFUNCTION("PROPER(REGEXREPLACE(D144,""[^A-Za-z]+ "",""""))"),"Roquet")</f>
        <v>Roquet</v>
      </c>
      <c r="G10232" s="18" t="s">
        <v>45668</v>
      </c>
      <c r="H10232" s="18">
        <v>47</v>
      </c>
      <c r="I10232" s="18" t="s">
        <v>9239</v>
      </c>
      <c r="J10232" s="5" t="s">
        <v>45669</v>
      </c>
      <c r="K10232" s="5" t="s">
        <v>45670</v>
      </c>
      <c r="L10232" s="18" t="s">
        <v>1711</v>
      </c>
      <c r="M10232" s="18" t="s">
        <v>29</v>
      </c>
      <c r="N10232" s="18" t="s">
        <v>45671</v>
      </c>
      <c r="O10232" s="18" t="s">
        <v>29</v>
      </c>
      <c r="P10232" s="18" t="s">
        <v>45672</v>
      </c>
      <c r="Q10232" s="6"/>
      <c r="R10232" s="6"/>
      <c r="S10232" s="6"/>
      <c r="T10232" s="6"/>
      <c r="U10232" s="6"/>
      <c r="V10232" s="8"/>
      <c r="W10232" s="8"/>
      <c r="X10232" s="8"/>
      <c r="Y10232" s="8"/>
    </row>
    <row r="10233" ht="14.25">
      <c r="B10233" s="18" t="s">
        <v>1583</v>
      </c>
      <c r="C10233" s="18" t="s">
        <v>15446</v>
      </c>
      <c r="D10233" s="18" t="s">
        <v>172</v>
      </c>
      <c r="E10233" s="18" t="s">
        <v>45673</v>
      </c>
      <c r="F10233" s="18" t="str">
        <f>IFERROR(__XLUDF.DUMMYFUNCTION("PROPER(REGEXREPLACE(D145,""[^A-Za-z]+ "",""""))"),"Le Toit Forezien")</f>
        <v xml:space="preserve">Le Toit Forezien</v>
      </c>
      <c r="G10233" s="18" t="s">
        <v>45674</v>
      </c>
      <c r="H10233" s="18">
        <v>32</v>
      </c>
      <c r="I10233" s="18" t="s">
        <v>9239</v>
      </c>
      <c r="J10233" s="5" t="s">
        <v>45675</v>
      </c>
      <c r="K10233" s="5" t="s">
        <v>45676</v>
      </c>
      <c r="L10233" s="18" t="s">
        <v>831</v>
      </c>
      <c r="M10233" s="18" t="s">
        <v>29</v>
      </c>
      <c r="N10233" s="18" t="s">
        <v>45677</v>
      </c>
      <c r="O10233" s="18" t="s">
        <v>29</v>
      </c>
      <c r="P10233" s="18" t="s">
        <v>45678</v>
      </c>
      <c r="Q10233" s="6"/>
      <c r="R10233" s="6"/>
      <c r="S10233" s="6"/>
      <c r="T10233" s="6"/>
      <c r="U10233" s="6"/>
      <c r="V10233" s="8"/>
      <c r="W10233" s="8"/>
      <c r="X10233" s="8"/>
      <c r="Y10233" s="8"/>
    </row>
    <row r="10234" ht="14.25">
      <c r="B10234" s="18" t="s">
        <v>1583</v>
      </c>
      <c r="C10234" s="18" t="s">
        <v>45679</v>
      </c>
      <c r="D10234" s="18" t="s">
        <v>172</v>
      </c>
      <c r="E10234" s="18" t="s">
        <v>45680</v>
      </c>
      <c r="F10234" s="18" t="str">
        <f>IFERROR(__XLUDF.DUMMYFUNCTION("PROPER(REGEXREPLACE(D146,""[^A-Za-z]+ "",""""))"),"Betag")</f>
        <v>Betag</v>
      </c>
      <c r="G10234" s="18" t="s">
        <v>45681</v>
      </c>
      <c r="H10234" s="18">
        <v>19</v>
      </c>
      <c r="I10234" s="18" t="s">
        <v>9239</v>
      </c>
      <c r="J10234" s="5" t="s">
        <v>45682</v>
      </c>
      <c r="K10234" s="5" t="s">
        <v>45683</v>
      </c>
      <c r="L10234" s="18" t="s">
        <v>1665</v>
      </c>
      <c r="M10234" s="18" t="s">
        <v>29</v>
      </c>
      <c r="N10234" s="18" t="s">
        <v>45684</v>
      </c>
      <c r="O10234" s="18" t="s">
        <v>29</v>
      </c>
      <c r="P10234" s="6"/>
      <c r="Q10234" s="6"/>
      <c r="R10234" s="6"/>
      <c r="S10234" s="6"/>
      <c r="T10234" s="6"/>
      <c r="U10234" s="6"/>
      <c r="V10234" s="8"/>
      <c r="W10234" s="8"/>
      <c r="X10234" s="8"/>
      <c r="Y10234" s="8"/>
    </row>
    <row r="10235" ht="14.25">
      <c r="B10235" s="18" t="s">
        <v>1454</v>
      </c>
      <c r="C10235" s="18" t="s">
        <v>45685</v>
      </c>
      <c r="D10235" s="18" t="s">
        <v>172</v>
      </c>
      <c r="E10235" s="18" t="s">
        <v>45686</v>
      </c>
      <c r="F10235" s="18" t="str">
        <f>IFERROR(__XLUDF.DUMMYFUNCTION("PROPER(REGEXREPLACE(D147,""[^A-Za-z]+ "",""""))"),"Proclim_Officiel")</f>
        <v>Proclim_Officiel</v>
      </c>
      <c r="G10235" s="18" t="s">
        <v>45687</v>
      </c>
      <c r="H10235" s="18">
        <v>22</v>
      </c>
      <c r="I10235" s="18" t="s">
        <v>9239</v>
      </c>
      <c r="J10235" s="5" t="s">
        <v>45688</v>
      </c>
      <c r="K10235" s="5" t="s">
        <v>45689</v>
      </c>
      <c r="L10235" s="18" t="s">
        <v>26728</v>
      </c>
      <c r="M10235" s="18" t="s">
        <v>29</v>
      </c>
      <c r="N10235" s="18" t="s">
        <v>45690</v>
      </c>
      <c r="O10235" s="18" t="s">
        <v>29</v>
      </c>
      <c r="P10235" s="18" t="s">
        <v>45691</v>
      </c>
      <c r="Q10235" s="6"/>
      <c r="R10235" s="6"/>
      <c r="S10235" s="6"/>
      <c r="T10235" s="6"/>
      <c r="U10235" s="6"/>
      <c r="V10235" s="8"/>
      <c r="W10235" s="8"/>
      <c r="X10235" s="8"/>
      <c r="Y10235" s="8"/>
    </row>
    <row r="10236" ht="14.25">
      <c r="B10236" s="18" t="s">
        <v>785</v>
      </c>
      <c r="C10236" s="18" t="s">
        <v>45692</v>
      </c>
      <c r="D10236" s="18" t="s">
        <v>172</v>
      </c>
      <c r="E10236" s="18" t="s">
        <v>45693</v>
      </c>
      <c r="F10236" s="18" t="str">
        <f>IFERROR(__XLUDF.DUMMYFUNCTION("PROPER(REGEXREPLACE(D148,""[^A-Za-z]+ "",""""))"),"Barcol-Air")</f>
        <v>Barcol-Air</v>
      </c>
      <c r="G10236" s="18" t="s">
        <v>45694</v>
      </c>
      <c r="H10236" s="18">
        <v>28</v>
      </c>
      <c r="I10236" s="18" t="s">
        <v>9239</v>
      </c>
      <c r="J10236" s="5" t="s">
        <v>45695</v>
      </c>
      <c r="K10236" s="5" t="s">
        <v>45696</v>
      </c>
      <c r="L10236" s="18" t="s">
        <v>11537</v>
      </c>
      <c r="M10236" s="18" t="s">
        <v>29</v>
      </c>
      <c r="N10236" s="18" t="s">
        <v>45697</v>
      </c>
      <c r="O10236" s="18" t="s">
        <v>29</v>
      </c>
      <c r="P10236" s="6"/>
      <c r="Q10236" s="6"/>
      <c r="R10236" s="6"/>
      <c r="S10236" s="6"/>
      <c r="T10236" s="6"/>
      <c r="U10236" s="6"/>
      <c r="V10236" s="8"/>
      <c r="W10236" s="8"/>
      <c r="X10236" s="8"/>
      <c r="Y10236" s="8"/>
    </row>
    <row r="10237" ht="14.25">
      <c r="B10237" s="18" t="s">
        <v>1596</v>
      </c>
      <c r="C10237" s="18" t="s">
        <v>45698</v>
      </c>
      <c r="D10237" s="18" t="s">
        <v>172</v>
      </c>
      <c r="E10237" s="18" t="s">
        <v>45699</v>
      </c>
      <c r="F10237" s="18" t="str">
        <f>IFERROR(__XLUDF.DUMMYFUNCTION("PROPER(REGEXREPLACE(D149,""[^A-Za-z]+ "",""""))"),"Ecec Étanchéité")</f>
        <v xml:space="preserve">Ecec Étanchéité</v>
      </c>
      <c r="G10237" s="18" t="s">
        <v>45700</v>
      </c>
      <c r="H10237" s="18">
        <v>10</v>
      </c>
      <c r="I10237" s="18" t="s">
        <v>9239</v>
      </c>
      <c r="J10237" s="5" t="s">
        <v>45701</v>
      </c>
      <c r="K10237" s="5" t="s">
        <v>45702</v>
      </c>
      <c r="L10237" s="18" t="s">
        <v>45703</v>
      </c>
      <c r="M10237" s="18" t="s">
        <v>29</v>
      </c>
      <c r="N10237" s="18" t="s">
        <v>45704</v>
      </c>
      <c r="O10237" s="18" t="s">
        <v>29</v>
      </c>
      <c r="P10237" s="18" t="s">
        <v>45705</v>
      </c>
      <c r="Q10237" s="6"/>
      <c r="R10237" s="6"/>
      <c r="S10237" s="6"/>
      <c r="T10237" s="6"/>
      <c r="U10237" s="6"/>
      <c r="V10237" s="8"/>
      <c r="W10237" s="8"/>
      <c r="X10237" s="8"/>
      <c r="Y10237" s="8"/>
    </row>
    <row r="10238" ht="14.25">
      <c r="B10238" s="18" t="s">
        <v>1198</v>
      </c>
      <c r="C10238" s="18" t="s">
        <v>45706</v>
      </c>
      <c r="D10238" s="18" t="s">
        <v>487</v>
      </c>
      <c r="E10238" s="18" t="s">
        <v>45707</v>
      </c>
      <c r="F10238" s="18" t="str">
        <f>IFERROR(__XLUDF.DUMMYFUNCTION("PROPER(REGEXREPLACE(D150,""[^A-Za-z]+ "",""""))"),"Entreprise Flipo")</f>
        <v xml:space="preserve">Entreprise Flipo</v>
      </c>
      <c r="G10238" s="18" t="s">
        <v>45708</v>
      </c>
      <c r="H10238" s="18">
        <v>23</v>
      </c>
      <c r="I10238" s="18" t="s">
        <v>9239</v>
      </c>
      <c r="J10238" s="5" t="s">
        <v>45709</v>
      </c>
      <c r="K10238" s="5" t="s">
        <v>45710</v>
      </c>
      <c r="L10238" s="6"/>
      <c r="M10238" s="18" t="s">
        <v>29</v>
      </c>
      <c r="N10238" s="18" t="s">
        <v>45711</v>
      </c>
      <c r="O10238" s="18" t="s">
        <v>29</v>
      </c>
      <c r="P10238" s="6"/>
      <c r="Q10238" s="6"/>
      <c r="R10238" s="6"/>
      <c r="S10238" s="6"/>
      <c r="T10238" s="6"/>
      <c r="U10238" s="6"/>
      <c r="V10238" s="8"/>
      <c r="W10238" s="8"/>
      <c r="X10238" s="8"/>
      <c r="Y10238" s="8"/>
    </row>
    <row r="10239" ht="14.25">
      <c r="B10239" s="18" t="s">
        <v>5252</v>
      </c>
      <c r="C10239" s="18" t="s">
        <v>45712</v>
      </c>
      <c r="D10239" s="18" t="s">
        <v>487</v>
      </c>
      <c r="E10239" s="18" t="s">
        <v>45713</v>
      </c>
      <c r="F10239" s="18" t="str">
        <f>IFERROR(__XLUDF.DUMMYFUNCTION("PROPER(REGEXREPLACE(D151,""[^A-Za-z]+ "",""""))"),"Senelec")</f>
        <v>Senelec</v>
      </c>
      <c r="G10239" s="18" t="s">
        <v>45714</v>
      </c>
      <c r="H10239" s="18">
        <v>19</v>
      </c>
      <c r="I10239" s="18" t="s">
        <v>9239</v>
      </c>
      <c r="J10239" s="5" t="s">
        <v>45715</v>
      </c>
      <c r="K10239" s="5" t="s">
        <v>45716</v>
      </c>
      <c r="L10239" s="18" t="s">
        <v>39</v>
      </c>
      <c r="M10239" s="18" t="s">
        <v>29</v>
      </c>
      <c r="N10239" s="18" t="s">
        <v>45717</v>
      </c>
      <c r="O10239" s="18" t="s">
        <v>29</v>
      </c>
      <c r="P10239" s="6"/>
      <c r="Q10239" s="6"/>
      <c r="R10239" s="6"/>
      <c r="S10239" s="6"/>
      <c r="T10239" s="6"/>
      <c r="U10239" s="6"/>
      <c r="V10239" s="8"/>
      <c r="W10239" s="8"/>
      <c r="X10239" s="8"/>
      <c r="Y10239" s="8"/>
    </row>
    <row r="10240" ht="14.25">
      <c r="B10240" s="18" t="s">
        <v>3271</v>
      </c>
      <c r="C10240" s="18" t="s">
        <v>45718</v>
      </c>
      <c r="D10240" s="18" t="s">
        <v>45719</v>
      </c>
      <c r="E10240" s="18" t="s">
        <v>45720</v>
      </c>
      <c r="F10240" s="18" t="str">
        <f>IFERROR(__XLUDF.DUMMYFUNCTION("PROPER(REGEXREPLACE(D152,""[^A-Za-z]+ "",""""))"),"Sas Garabos")</f>
        <v xml:space="preserve">Sas Garabos</v>
      </c>
      <c r="G10240" s="18" t="s">
        <v>45721</v>
      </c>
      <c r="H10240" s="18">
        <v>10</v>
      </c>
      <c r="I10240" s="18" t="s">
        <v>9239</v>
      </c>
      <c r="J10240" s="5" t="s">
        <v>45722</v>
      </c>
      <c r="K10240" s="5" t="s">
        <v>45723</v>
      </c>
      <c r="L10240" s="18" t="s">
        <v>243</v>
      </c>
      <c r="M10240" s="18" t="s">
        <v>29</v>
      </c>
      <c r="N10240" s="18" t="s">
        <v>45724</v>
      </c>
      <c r="O10240" s="18" t="s">
        <v>29</v>
      </c>
      <c r="P10240" s="6"/>
      <c r="Q10240" s="6"/>
      <c r="R10240" s="6"/>
      <c r="S10240" s="6"/>
      <c r="T10240" s="6"/>
      <c r="U10240" s="6"/>
      <c r="V10240" s="8"/>
      <c r="W10240" s="8"/>
      <c r="X10240" s="8"/>
      <c r="Y10240" s="8"/>
    </row>
    <row r="10241" ht="14.25">
      <c r="B10241" s="18" t="s">
        <v>45725</v>
      </c>
      <c r="C10241" s="18" t="s">
        <v>45726</v>
      </c>
      <c r="D10241" s="18" t="s">
        <v>172</v>
      </c>
      <c r="E10241" s="18" t="s">
        <v>45727</v>
      </c>
      <c r="F10241" s="18" t="str">
        <f>IFERROR(__XLUDF.DUMMYFUNCTION("PROPER(REGEXREPLACE(D153,""[^A-Za-z]+ "",""""))"),"Adveneris")</f>
        <v>Adveneris</v>
      </c>
      <c r="G10241" s="18" t="s">
        <v>45728</v>
      </c>
      <c r="H10241" s="18">
        <v>1</v>
      </c>
      <c r="I10241" s="18" t="s">
        <v>9239</v>
      </c>
      <c r="J10241" s="5" t="s">
        <v>45729</v>
      </c>
      <c r="K10241" s="5" t="s">
        <v>45730</v>
      </c>
      <c r="L10241" s="18" t="s">
        <v>45731</v>
      </c>
      <c r="M10241" s="18" t="s">
        <v>29</v>
      </c>
      <c r="N10241" s="6"/>
      <c r="O10241" s="6"/>
      <c r="P10241" s="18" t="s">
        <v>45732</v>
      </c>
      <c r="Q10241" s="6"/>
      <c r="R10241" s="6"/>
      <c r="S10241" s="6"/>
      <c r="T10241" s="6"/>
      <c r="U10241" s="6"/>
      <c r="V10241" s="8"/>
      <c r="W10241" s="8"/>
      <c r="X10241" s="8"/>
      <c r="Y10241" s="8"/>
    </row>
    <row r="10242" ht="14.25">
      <c r="B10242" s="18" t="s">
        <v>3909</v>
      </c>
      <c r="C10242" s="18" t="s">
        <v>45733</v>
      </c>
      <c r="D10242" s="18" t="s">
        <v>45734</v>
      </c>
      <c r="E10242" s="18" t="s">
        <v>45735</v>
      </c>
      <c r="F10242" s="18" t="str">
        <f>IFERROR(__XLUDF.DUMMYFUNCTION("PROPER(REGEXREPLACE(D154,""[^A-Za-z]+ "",""""))"),"D2M Immobilier")</f>
        <v xml:space="preserve">D2M Immobilier</v>
      </c>
      <c r="G10242" s="18" t="s">
        <v>45736</v>
      </c>
      <c r="H10242" s="18">
        <v>9</v>
      </c>
      <c r="I10242" s="18" t="s">
        <v>4293</v>
      </c>
      <c r="J10242" s="5" t="s">
        <v>45737</v>
      </c>
      <c r="K10242" s="5" t="s">
        <v>45738</v>
      </c>
      <c r="L10242" s="18" t="s">
        <v>562</v>
      </c>
      <c r="M10242" s="18" t="s">
        <v>29</v>
      </c>
      <c r="N10242" s="18" t="s">
        <v>45739</v>
      </c>
      <c r="O10242" s="18" t="s">
        <v>29</v>
      </c>
      <c r="P10242" s="18" t="s">
        <v>45740</v>
      </c>
      <c r="Q10242" s="6"/>
      <c r="R10242" s="6"/>
      <c r="S10242" s="6"/>
      <c r="T10242" s="6"/>
      <c r="U10242" s="6"/>
      <c r="V10242" s="8"/>
      <c r="W10242" s="8"/>
      <c r="X10242" s="8"/>
      <c r="Y10242" s="8"/>
    </row>
    <row r="10243" ht="14.25">
      <c r="B10243" s="18" t="s">
        <v>955</v>
      </c>
      <c r="C10243" s="18" t="s">
        <v>45741</v>
      </c>
      <c r="D10243" s="18" t="s">
        <v>172</v>
      </c>
      <c r="E10243" s="18" t="s">
        <v>45742</v>
      </c>
      <c r="F10243" s="18" t="str">
        <f>IFERROR(__XLUDF.DUMMYFUNCTION("PROPER(REGEXREPLACE(D155,""[^A-Za-z]+ "",""""))"),"Bourg Services Bâtiment")</f>
        <v xml:space="preserve">Bourg Services Bâtiment</v>
      </c>
      <c r="G10243" s="18" t="s">
        <v>45743</v>
      </c>
      <c r="H10243" s="18">
        <v>3</v>
      </c>
      <c r="I10243" s="18" t="s">
        <v>9239</v>
      </c>
      <c r="J10243" s="5" t="s">
        <v>45744</v>
      </c>
      <c r="K10243" s="5" t="s">
        <v>45745</v>
      </c>
      <c r="L10243" s="18" t="s">
        <v>11201</v>
      </c>
      <c r="M10243" s="18" t="s">
        <v>29</v>
      </c>
      <c r="N10243" s="18" t="s">
        <v>45746</v>
      </c>
      <c r="O10243" s="18" t="s">
        <v>29</v>
      </c>
      <c r="P10243" s="18" t="s">
        <v>45747</v>
      </c>
      <c r="Q10243" s="6"/>
      <c r="R10243" s="6"/>
      <c r="S10243" s="6"/>
      <c r="T10243" s="6"/>
      <c r="U10243" s="6"/>
      <c r="V10243" s="8"/>
      <c r="W10243" s="8"/>
      <c r="X10243" s="8"/>
      <c r="Y10243" s="8"/>
    </row>
    <row r="10244" ht="14.25">
      <c r="B10244" s="18" t="s">
        <v>596</v>
      </c>
      <c r="C10244" s="18" t="s">
        <v>45748</v>
      </c>
      <c r="D10244" s="18" t="s">
        <v>487</v>
      </c>
      <c r="E10244" s="18" t="s">
        <v>45749</v>
      </c>
      <c r="F10244" s="18" t="str">
        <f>IFERROR(__XLUDF.DUMMYFUNCTION("PROPER(REGEXREPLACE(D156,""[^A-Za-z]+ "",""""))"),"Aps Conception")</f>
        <v xml:space="preserve">Aps Conception</v>
      </c>
      <c r="G10244" s="18" t="s">
        <v>45750</v>
      </c>
      <c r="H10244" s="18">
        <v>2</v>
      </c>
      <c r="I10244" s="18" t="s">
        <v>9239</v>
      </c>
      <c r="J10244" s="5" t="s">
        <v>45751</v>
      </c>
      <c r="K10244" s="5" t="s">
        <v>45752</v>
      </c>
      <c r="L10244" s="18" t="s">
        <v>45753</v>
      </c>
      <c r="M10244" s="18" t="s">
        <v>29</v>
      </c>
      <c r="N10244" s="18" t="s">
        <v>29</v>
      </c>
      <c r="O10244" s="18" t="s">
        <v>29</v>
      </c>
      <c r="P10244" s="18" t="s">
        <v>45754</v>
      </c>
      <c r="Q10244" s="6"/>
      <c r="R10244" s="6"/>
      <c r="S10244" s="6"/>
      <c r="T10244" s="6"/>
      <c r="U10244" s="6"/>
      <c r="V10244" s="8"/>
      <c r="W10244" s="8"/>
      <c r="X10244" s="8"/>
      <c r="Y10244" s="8"/>
    </row>
    <row r="10245" ht="14.25">
      <c r="B10245" s="18" t="s">
        <v>76</v>
      </c>
      <c r="C10245" s="18" t="s">
        <v>45755</v>
      </c>
      <c r="D10245" s="18" t="s">
        <v>45756</v>
      </c>
      <c r="E10245" s="18" t="s">
        <v>45757</v>
      </c>
      <c r="F10245" s="18" t="str">
        <f>IFERROR(__XLUDF.DUMMYFUNCTION("PROPER(REGEXREPLACE(D157,""[^A-Za-z]+ "",""""))"),"S.B.T.P")</f>
        <v>S.B.T.P</v>
      </c>
      <c r="G10245" s="18" t="s">
        <v>45758</v>
      </c>
      <c r="H10245" s="18">
        <v>28</v>
      </c>
      <c r="I10245" s="18" t="s">
        <v>9239</v>
      </c>
      <c r="J10245" s="5" t="s">
        <v>45759</v>
      </c>
      <c r="K10245" s="5" t="s">
        <v>45760</v>
      </c>
      <c r="L10245" s="18" t="s">
        <v>11201</v>
      </c>
      <c r="M10245" s="18" t="s">
        <v>29</v>
      </c>
      <c r="N10245" s="18" t="s">
        <v>45761</v>
      </c>
      <c r="O10245" s="18" t="s">
        <v>29</v>
      </c>
      <c r="P10245" s="6"/>
      <c r="Q10245" s="6"/>
      <c r="R10245" s="6"/>
      <c r="S10245" s="6"/>
      <c r="T10245" s="6"/>
      <c r="U10245" s="6"/>
      <c r="V10245" s="8"/>
      <c r="W10245" s="8"/>
      <c r="X10245" s="8"/>
      <c r="Y10245" s="8"/>
    </row>
    <row r="10246" ht="14.25">
      <c r="B10246" s="18" t="s">
        <v>710</v>
      </c>
      <c r="C10246" s="18" t="s">
        <v>45762</v>
      </c>
      <c r="D10246" s="18" t="s">
        <v>45763</v>
      </c>
      <c r="E10246" s="18" t="s">
        <v>45764</v>
      </c>
      <c r="F10246" s="18" t="str">
        <f>IFERROR(__XLUDF.DUMMYFUNCTION("PROPER(REGEXREPLACE(D158,""[^A-Za-z]+ "",""""))"),"Carrconstruction")</f>
        <v>Carrconstruction</v>
      </c>
      <c r="G10246" s="18" t="s">
        <v>45765</v>
      </c>
      <c r="H10246" s="18">
        <v>8</v>
      </c>
      <c r="I10246" s="18" t="s">
        <v>9239</v>
      </c>
      <c r="J10246" s="5" t="s">
        <v>45766</v>
      </c>
      <c r="K10246" s="5" t="s">
        <v>45767</v>
      </c>
      <c r="L10246" s="18" t="s">
        <v>6480</v>
      </c>
      <c r="M10246" s="18" t="s">
        <v>29</v>
      </c>
      <c r="N10246" s="18" t="s">
        <v>45768</v>
      </c>
      <c r="O10246" s="18" t="s">
        <v>29</v>
      </c>
      <c r="P10246" s="18" t="s">
        <v>45769</v>
      </c>
      <c r="Q10246" s="6"/>
      <c r="R10246" s="6"/>
      <c r="S10246" s="6"/>
      <c r="T10246" s="6"/>
      <c r="U10246" s="6"/>
      <c r="V10246" s="8"/>
      <c r="W10246" s="8"/>
      <c r="X10246" s="8"/>
      <c r="Y10246" s="8"/>
    </row>
    <row r="10247" ht="14.25">
      <c r="B10247" s="18" t="s">
        <v>5252</v>
      </c>
      <c r="C10247" s="18" t="s">
        <v>45770</v>
      </c>
      <c r="D10247" s="18" t="s">
        <v>172</v>
      </c>
      <c r="E10247" s="18" t="s">
        <v>45771</v>
      </c>
      <c r="F10247" s="18" t="str">
        <f>IFERROR(__XLUDF.DUMMYFUNCTION("PROPER(REGEXREPLACE(D159,""[^A-Za-z]+ "",""""))"),"Hugo Tech")</f>
        <v xml:space="preserve">Hugo Tech</v>
      </c>
      <c r="G10247" s="18" t="s">
        <v>45772</v>
      </c>
      <c r="H10247" s="18">
        <v>18</v>
      </c>
      <c r="I10247" s="18" t="s">
        <v>9239</v>
      </c>
      <c r="J10247" s="5" t="s">
        <v>45773</v>
      </c>
      <c r="K10247" s="5" t="s">
        <v>45774</v>
      </c>
      <c r="L10247" s="18" t="s">
        <v>716</v>
      </c>
      <c r="M10247" s="18" t="s">
        <v>29</v>
      </c>
      <c r="N10247" s="18" t="s">
        <v>45775</v>
      </c>
      <c r="O10247" s="18" t="s">
        <v>29</v>
      </c>
      <c r="P10247" s="18" t="s">
        <v>45776</v>
      </c>
      <c r="Q10247" s="6"/>
      <c r="R10247" s="6"/>
      <c r="S10247" s="6"/>
      <c r="T10247" s="6"/>
      <c r="U10247" s="6"/>
      <c r="V10247" s="8"/>
      <c r="W10247" s="8"/>
      <c r="X10247" s="8"/>
      <c r="Y10247" s="8"/>
    </row>
    <row r="10248" ht="14.25">
      <c r="B10248" s="18" t="s">
        <v>769</v>
      </c>
      <c r="C10248" s="18" t="s">
        <v>24071</v>
      </c>
      <c r="D10248" s="18" t="s">
        <v>172</v>
      </c>
      <c r="E10248" s="18" t="s">
        <v>45777</v>
      </c>
      <c r="F10248" s="18" t="str">
        <f>IFERROR(__XLUDF.DUMMYFUNCTION("PROPER(REGEXREPLACE(D160,""[^A-Za-z]+ "",""""))"),"French Bim Connect")</f>
        <v xml:space="preserve">French Bim Connect</v>
      </c>
      <c r="G10248" s="18" t="s">
        <v>45778</v>
      </c>
      <c r="H10248" s="18">
        <v>1</v>
      </c>
      <c r="I10248" s="18" t="s">
        <v>9239</v>
      </c>
      <c r="J10248" s="5" t="s">
        <v>45779</v>
      </c>
      <c r="K10248" s="5" t="s">
        <v>45780</v>
      </c>
      <c r="L10248" s="18" t="s">
        <v>185</v>
      </c>
      <c r="M10248" s="18" t="s">
        <v>29</v>
      </c>
      <c r="N10248" s="18" t="s">
        <v>45781</v>
      </c>
      <c r="O10248" s="18" t="s">
        <v>29</v>
      </c>
      <c r="P10248" s="18" t="s">
        <v>45782</v>
      </c>
      <c r="Q10248" s="6"/>
      <c r="R10248" s="6"/>
      <c r="S10248" s="6"/>
      <c r="T10248" s="6"/>
      <c r="U10248" s="6"/>
      <c r="V10248" s="8"/>
      <c r="W10248" s="8"/>
      <c r="X10248" s="8"/>
      <c r="Y10248" s="8"/>
    </row>
    <row r="10249" ht="14.25">
      <c r="B10249" s="18" t="s">
        <v>5716</v>
      </c>
      <c r="C10249" s="18" t="s">
        <v>24028</v>
      </c>
      <c r="D10249" s="18" t="s">
        <v>5400</v>
      </c>
      <c r="E10249" s="18" t="s">
        <v>45783</v>
      </c>
      <c r="F10249" s="18" t="str">
        <f>IFERROR(__XLUDF.DUMMYFUNCTION("PROPER(REGEXREPLACE(D161,""[^A-Za-z]+ "",""""))"),"Groupe Landais")</f>
        <v xml:space="preserve">Groupe Landais</v>
      </c>
      <c r="G10249" s="18" t="s">
        <v>45784</v>
      </c>
      <c r="H10249" s="18">
        <v>36</v>
      </c>
      <c r="I10249" s="18" t="s">
        <v>9239</v>
      </c>
      <c r="J10249" s="5" t="s">
        <v>45785</v>
      </c>
      <c r="K10249" s="5" t="s">
        <v>45786</v>
      </c>
      <c r="L10249" s="18" t="s">
        <v>1711</v>
      </c>
      <c r="M10249" s="18" t="s">
        <v>29</v>
      </c>
      <c r="N10249" s="18" t="s">
        <v>45787</v>
      </c>
      <c r="O10249" s="18" t="s">
        <v>29</v>
      </c>
      <c r="P10249" s="6"/>
      <c r="Q10249" s="6"/>
      <c r="R10249" s="6"/>
      <c r="S10249" s="6"/>
      <c r="T10249" s="6"/>
      <c r="U10249" s="6"/>
      <c r="V10249" s="8"/>
      <c r="W10249" s="8"/>
      <c r="X10249" s="8"/>
      <c r="Y10249" s="8"/>
    </row>
    <row r="10250" ht="14.25">
      <c r="B10250" s="18" t="s">
        <v>45788</v>
      </c>
      <c r="C10250" s="18" t="s">
        <v>45789</v>
      </c>
      <c r="D10250" s="18" t="s">
        <v>5186</v>
      </c>
      <c r="E10250" s="18" t="s">
        <v>45790</v>
      </c>
      <c r="F10250" s="18" t="str">
        <f>IFERROR(__XLUDF.DUMMYFUNCTION("PROPER(REGEXREPLACE(D162,""[^A-Za-z]+ "",""""))"),"Growline")</f>
        <v>Growline</v>
      </c>
      <c r="G10250" s="18" t="s">
        <v>45791</v>
      </c>
      <c r="H10250" s="18">
        <v>2</v>
      </c>
      <c r="I10250" s="18" t="s">
        <v>45792</v>
      </c>
      <c r="J10250" s="5" t="s">
        <v>45793</v>
      </c>
      <c r="K10250" s="5" t="s">
        <v>45794</v>
      </c>
      <c r="L10250" s="18" t="s">
        <v>39</v>
      </c>
      <c r="M10250" s="18" t="s">
        <v>29</v>
      </c>
      <c r="N10250" s="18" t="s">
        <v>45795</v>
      </c>
      <c r="O10250" s="18" t="s">
        <v>29</v>
      </c>
      <c r="P10250" s="18" t="s">
        <v>45796</v>
      </c>
      <c r="Q10250" s="6"/>
      <c r="R10250" s="6"/>
      <c r="S10250" s="6"/>
      <c r="T10250" s="6"/>
      <c r="U10250" s="6"/>
      <c r="V10250" s="8"/>
      <c r="W10250" s="8"/>
      <c r="X10250" s="8"/>
      <c r="Y10250" s="8"/>
    </row>
    <row r="10251" ht="14.25">
      <c r="B10251" s="18" t="s">
        <v>45797</v>
      </c>
      <c r="C10251" s="18" t="s">
        <v>45798</v>
      </c>
      <c r="D10251" s="18" t="s">
        <v>172</v>
      </c>
      <c r="E10251" s="18" t="s">
        <v>45799</v>
      </c>
      <c r="F10251" s="18" t="str">
        <f>IFERROR(__XLUDF.DUMMYFUNCTION("PROPER(REGEXREPLACE(D163,""[^A-Za-z]+ "",""""))"),"Jme Ingénierie")</f>
        <v xml:space="preserve">Jme Ingénierie</v>
      </c>
      <c r="G10251" s="18" t="s">
        <v>45800</v>
      </c>
      <c r="H10251" s="18">
        <v>12</v>
      </c>
      <c r="I10251" s="18" t="s">
        <v>9239</v>
      </c>
      <c r="J10251" s="5" t="s">
        <v>45801</v>
      </c>
      <c r="K10251" s="5" t="s">
        <v>45802</v>
      </c>
      <c r="L10251" s="18" t="s">
        <v>39</v>
      </c>
      <c r="M10251" s="18" t="s">
        <v>29</v>
      </c>
      <c r="N10251" s="18" t="s">
        <v>1986</v>
      </c>
      <c r="O10251" s="18" t="s">
        <v>29</v>
      </c>
      <c r="P10251" s="6"/>
      <c r="Q10251" s="6"/>
      <c r="R10251" s="6"/>
      <c r="S10251" s="6"/>
      <c r="T10251" s="6"/>
      <c r="U10251" s="6"/>
      <c r="V10251" s="8"/>
      <c r="W10251" s="8"/>
      <c r="X10251" s="8"/>
      <c r="Y10251" s="8"/>
    </row>
    <row r="10252" ht="14.25">
      <c r="B10252" s="18" t="s">
        <v>95</v>
      </c>
      <c r="C10252" s="18" t="s">
        <v>31920</v>
      </c>
      <c r="D10252" s="18" t="s">
        <v>172</v>
      </c>
      <c r="E10252" s="18" t="s">
        <v>31921</v>
      </c>
      <c r="F10252" s="18" t="str">
        <f>IFERROR(__XLUDF.DUMMYFUNCTION("PROPER(REGEXREPLACE(D164,""[^A-Za-z]+ "",""""))"),"Deltalia")</f>
        <v>Deltalia</v>
      </c>
      <c r="G10252" s="18" t="s">
        <v>31922</v>
      </c>
      <c r="H10252" s="18">
        <v>17</v>
      </c>
      <c r="I10252" s="18" t="s">
        <v>4293</v>
      </c>
      <c r="J10252" s="5" t="s">
        <v>31923</v>
      </c>
      <c r="K10252" s="5" t="s">
        <v>31924</v>
      </c>
      <c r="L10252" s="6"/>
      <c r="M10252" s="18" t="s">
        <v>29</v>
      </c>
      <c r="N10252" s="18" t="s">
        <v>3642</v>
      </c>
      <c r="O10252" s="18" t="s">
        <v>29</v>
      </c>
      <c r="P10252" s="6"/>
      <c r="Q10252" s="6"/>
      <c r="R10252" s="6"/>
      <c r="S10252" s="6"/>
      <c r="T10252" s="6"/>
      <c r="U10252" s="6"/>
      <c r="V10252" s="8"/>
      <c r="W10252" s="8"/>
      <c r="X10252" s="8"/>
      <c r="Y10252" s="8"/>
    </row>
    <row r="10253" ht="14.25">
      <c r="B10253" s="18" t="s">
        <v>2348</v>
      </c>
      <c r="C10253" s="18" t="s">
        <v>45803</v>
      </c>
      <c r="D10253" s="18" t="s">
        <v>1130</v>
      </c>
      <c r="E10253" s="18" t="s">
        <v>45804</v>
      </c>
      <c r="F10253" s="18" t="str">
        <f>IFERROR(__XLUDF.DUMMYFUNCTION("PROPER(REGEXREPLACE(D165,""[^A-Za-z]+ "",""""))"),"Locapal")</f>
        <v>Locapal</v>
      </c>
      <c r="G10253" s="18" t="s">
        <v>45805</v>
      </c>
      <c r="H10253" s="18">
        <v>49</v>
      </c>
      <c r="I10253" s="18" t="s">
        <v>9239</v>
      </c>
      <c r="J10253" s="5" t="s">
        <v>45806</v>
      </c>
      <c r="K10253" s="5" t="s">
        <v>45807</v>
      </c>
      <c r="L10253" s="18" t="s">
        <v>185</v>
      </c>
      <c r="M10253" s="18" t="s">
        <v>29</v>
      </c>
      <c r="N10253" s="18" t="s">
        <v>45808</v>
      </c>
      <c r="O10253" s="18" t="s">
        <v>29</v>
      </c>
      <c r="P10253" s="18" t="s">
        <v>45809</v>
      </c>
      <c r="Q10253" s="6"/>
      <c r="R10253" s="6"/>
      <c r="S10253" s="6"/>
      <c r="T10253" s="6"/>
      <c r="U10253" s="6"/>
      <c r="V10253" s="8"/>
      <c r="W10253" s="8"/>
      <c r="X10253" s="8"/>
      <c r="Y10253" s="8"/>
    </row>
    <row r="10254" ht="14.25">
      <c r="B10254" s="18" t="s">
        <v>734</v>
      </c>
      <c r="C10254" s="18" t="s">
        <v>1556</v>
      </c>
      <c r="D10254" s="18" t="s">
        <v>1130</v>
      </c>
      <c r="E10254" s="18" t="s">
        <v>45810</v>
      </c>
      <c r="F10254" s="18" t="str">
        <f>IFERROR(__XLUDF.DUMMYFUNCTION("PROPER(REGEXREPLACE(D166,""[^A-Za-z]+ "",""""))"),"Fabrilis")</f>
        <v>Fabrilis</v>
      </c>
      <c r="G10254" s="18" t="s">
        <v>45811</v>
      </c>
      <c r="H10254" s="18">
        <v>18</v>
      </c>
      <c r="I10254" s="18" t="s">
        <v>9239</v>
      </c>
      <c r="J10254" s="5" t="s">
        <v>45812</v>
      </c>
      <c r="K10254" s="5" t="s">
        <v>45813</v>
      </c>
      <c r="L10254" s="6"/>
      <c r="M10254" s="18" t="s">
        <v>29</v>
      </c>
      <c r="N10254" s="18" t="s">
        <v>45814</v>
      </c>
      <c r="O10254" s="18" t="s">
        <v>29</v>
      </c>
      <c r="P10254" s="6"/>
      <c r="Q10254" s="6"/>
      <c r="R10254" s="6"/>
      <c r="S10254" s="6"/>
      <c r="T10254" s="6"/>
      <c r="U10254" s="6"/>
      <c r="V10254" s="8"/>
      <c r="W10254" s="8"/>
      <c r="X10254" s="8"/>
      <c r="Y10254" s="8"/>
    </row>
    <row r="10255" ht="14.25">
      <c r="B10255" s="18" t="s">
        <v>37602</v>
      </c>
      <c r="C10255" s="18" t="s">
        <v>43834</v>
      </c>
      <c r="D10255" s="18" t="s">
        <v>1130</v>
      </c>
      <c r="E10255" s="18" t="s">
        <v>45815</v>
      </c>
      <c r="F10255" s="18" t="str">
        <f>IFERROR(__XLUDF.DUMMYFUNCTION("PROPER(REGEXREPLACE(D167,""[^A-Za-z]+ "",""""))"),"Ingévin")</f>
        <v>Ingévin</v>
      </c>
      <c r="G10255" s="18" t="s">
        <v>45816</v>
      </c>
      <c r="H10255" s="18">
        <v>14</v>
      </c>
      <c r="I10255" s="6"/>
      <c r="J10255" s="5" t="s">
        <v>45817</v>
      </c>
      <c r="K10255" s="5" t="s">
        <v>45818</v>
      </c>
      <c r="L10255" s="18" t="s">
        <v>16314</v>
      </c>
      <c r="M10255" s="18" t="s">
        <v>29</v>
      </c>
      <c r="N10255" s="18" t="s">
        <v>45819</v>
      </c>
      <c r="O10255" s="18" t="s">
        <v>29</v>
      </c>
      <c r="P10255" s="6"/>
      <c r="Q10255" s="6"/>
      <c r="R10255" s="6"/>
      <c r="S10255" s="6"/>
      <c r="T10255" s="6"/>
      <c r="U10255" s="6"/>
      <c r="V10255" s="8"/>
      <c r="W10255" s="8"/>
      <c r="X10255" s="8"/>
      <c r="Y10255" s="8"/>
    </row>
    <row r="10256" ht="14.25">
      <c r="B10256" s="18" t="s">
        <v>45820</v>
      </c>
      <c r="C10256" s="18" t="s">
        <v>2105</v>
      </c>
      <c r="D10256" s="18" t="s">
        <v>426</v>
      </c>
      <c r="E10256" s="18" t="s">
        <v>44935</v>
      </c>
      <c r="F10256" s="18" t="str">
        <f>IFERROR(__XLUDF.DUMMYFUNCTION("PROPER(REGEXREPLACE(D168,""[^A-Za-z]+ "",""""))"),"Astrak France")</f>
        <v xml:space="preserve">Astrak France</v>
      </c>
      <c r="G10256" s="18" t="s">
        <v>45821</v>
      </c>
      <c r="H10256" s="18">
        <v>20</v>
      </c>
      <c r="I10256" s="18" t="s">
        <v>9239</v>
      </c>
      <c r="J10256" s="5" t="s">
        <v>45822</v>
      </c>
      <c r="K10256" s="5" t="s">
        <v>44938</v>
      </c>
      <c r="L10256" s="18" t="s">
        <v>23563</v>
      </c>
      <c r="M10256" s="18" t="s">
        <v>29</v>
      </c>
      <c r="N10256" s="18" t="s">
        <v>44939</v>
      </c>
      <c r="O10256" s="18" t="s">
        <v>29</v>
      </c>
      <c r="P10256" s="6"/>
      <c r="Q10256" s="6"/>
      <c r="R10256" s="6"/>
      <c r="S10256" s="6"/>
      <c r="T10256" s="6"/>
      <c r="U10256" s="6"/>
      <c r="V10256" s="8"/>
      <c r="W10256" s="8"/>
      <c r="X10256" s="8"/>
      <c r="Y10256" s="8"/>
    </row>
    <row r="10257" ht="14.25">
      <c r="B10257" s="18" t="s">
        <v>653</v>
      </c>
      <c r="C10257" s="18" t="s">
        <v>4132</v>
      </c>
      <c r="D10257" s="18" t="s">
        <v>45823</v>
      </c>
      <c r="E10257" s="18" t="s">
        <v>45824</v>
      </c>
      <c r="F10257" s="18" t="str">
        <f>IFERROR(__XLUDF.DUMMYFUNCTION("PROPER(REGEXREPLACE(D169,""[^A-Za-z]+ "",""""))"),"Archidvisor")</f>
        <v>Archidvisor</v>
      </c>
      <c r="G10257" s="18" t="s">
        <v>45825</v>
      </c>
      <c r="H10257" s="18">
        <v>17</v>
      </c>
      <c r="I10257" s="18" t="s">
        <v>10167</v>
      </c>
      <c r="J10257" s="5" t="s">
        <v>45826</v>
      </c>
      <c r="K10257" s="5" t="s">
        <v>45827</v>
      </c>
      <c r="L10257" s="18" t="s">
        <v>243</v>
      </c>
      <c r="M10257" s="18" t="s">
        <v>29</v>
      </c>
      <c r="N10257" s="18" t="s">
        <v>45828</v>
      </c>
      <c r="O10257" s="18" t="s">
        <v>29</v>
      </c>
      <c r="P10257" s="18" t="s">
        <v>45829</v>
      </c>
      <c r="Q10257" s="6"/>
      <c r="R10257" s="6"/>
      <c r="S10257" s="6"/>
      <c r="T10257" s="6"/>
      <c r="U10257" s="6"/>
      <c r="V10257" s="8"/>
      <c r="W10257" s="8"/>
      <c r="X10257" s="8"/>
      <c r="Y10257" s="8"/>
    </row>
    <row r="10258" ht="14.25">
      <c r="B10258" s="18" t="s">
        <v>28539</v>
      </c>
      <c r="C10258" s="18" t="s">
        <v>45830</v>
      </c>
      <c r="D10258" s="18" t="s">
        <v>112</v>
      </c>
      <c r="E10258" s="18" t="s">
        <v>45831</v>
      </c>
      <c r="F10258" s="18" t="str">
        <f>IFERROR(__XLUDF.DUMMYFUNCTION("PROPER(REGEXREPLACE(D170,""[^A-Za-z]+ "",""""))"),"Firodi Immobilier")</f>
        <v xml:space="preserve">Firodi Immobilier</v>
      </c>
      <c r="G10258" s="18" t="s">
        <v>45832</v>
      </c>
      <c r="H10258" s="18">
        <v>7</v>
      </c>
      <c r="I10258" s="18" t="s">
        <v>9239</v>
      </c>
      <c r="J10258" s="5" t="s">
        <v>45833</v>
      </c>
      <c r="K10258" s="5" t="s">
        <v>45834</v>
      </c>
      <c r="L10258" s="18" t="s">
        <v>39</v>
      </c>
      <c r="M10258" s="18" t="s">
        <v>29</v>
      </c>
      <c r="N10258" s="18" t="s">
        <v>45835</v>
      </c>
      <c r="O10258" s="18" t="s">
        <v>29</v>
      </c>
      <c r="P10258" s="6"/>
      <c r="Q10258" s="6"/>
      <c r="R10258" s="6"/>
      <c r="S10258" s="6"/>
      <c r="T10258" s="6"/>
      <c r="U10258" s="6"/>
      <c r="V10258" s="8"/>
      <c r="W10258" s="8"/>
      <c r="X10258" s="8"/>
      <c r="Y10258" s="8"/>
    </row>
    <row r="10259" ht="14.25">
      <c r="B10259" s="18" t="s">
        <v>30252</v>
      </c>
      <c r="C10259" s="18" t="s">
        <v>45836</v>
      </c>
      <c r="D10259" s="18" t="s">
        <v>112</v>
      </c>
      <c r="E10259" s="18" t="s">
        <v>45837</v>
      </c>
      <c r="F10259" s="18" t="str">
        <f>IFERROR(__XLUDF.DUMMYFUNCTION("PROPER(REGEXREPLACE(D171,""[^A-Za-z]+ "",""""))"),"Nr Conseil")</f>
        <v xml:space="preserve">Nr Conseil</v>
      </c>
      <c r="G10259" s="18" t="s">
        <v>45838</v>
      </c>
      <c r="H10259" s="18">
        <v>35</v>
      </c>
      <c r="I10259" s="18" t="s">
        <v>9239</v>
      </c>
      <c r="J10259" s="5" t="s">
        <v>45839</v>
      </c>
      <c r="K10259" s="5" t="s">
        <v>45840</v>
      </c>
      <c r="L10259" s="18" t="s">
        <v>32415</v>
      </c>
      <c r="M10259" s="18" t="s">
        <v>29</v>
      </c>
      <c r="N10259" s="18" t="s">
        <v>45841</v>
      </c>
      <c r="O10259" s="18" t="s">
        <v>29</v>
      </c>
      <c r="P10259" s="18" t="s">
        <v>45842</v>
      </c>
      <c r="Q10259" s="6"/>
      <c r="R10259" s="6"/>
      <c r="S10259" s="6"/>
      <c r="T10259" s="6"/>
      <c r="U10259" s="6"/>
      <c r="V10259" s="8"/>
      <c r="W10259" s="8"/>
      <c r="X10259" s="8"/>
      <c r="Y10259" s="8"/>
    </row>
    <row r="10260" ht="14.25">
      <c r="B10260" s="18" t="s">
        <v>31728</v>
      </c>
      <c r="C10260" s="18" t="s">
        <v>45843</v>
      </c>
      <c r="D10260" s="18" t="s">
        <v>112</v>
      </c>
      <c r="E10260" s="18" t="s">
        <v>45844</v>
      </c>
      <c r="F10260" s="18" t="str">
        <f>IFERROR(__XLUDF.DUMMYFUNCTION("PROPER(REGEXREPLACE(D172,""[^A-Za-z]+ "",""""))"),"Oxium Group")</f>
        <v xml:space="preserve">Oxium Group</v>
      </c>
      <c r="G10260" s="18" t="s">
        <v>45845</v>
      </c>
      <c r="H10260" s="18">
        <v>35</v>
      </c>
      <c r="I10260" s="18" t="s">
        <v>9239</v>
      </c>
      <c r="J10260" s="5" t="s">
        <v>45846</v>
      </c>
      <c r="K10260" s="5" t="s">
        <v>45847</v>
      </c>
      <c r="L10260" s="18" t="s">
        <v>39</v>
      </c>
      <c r="M10260" s="18" t="s">
        <v>29</v>
      </c>
      <c r="N10260" s="18" t="s">
        <v>45848</v>
      </c>
      <c r="O10260" s="18" t="s">
        <v>29</v>
      </c>
      <c r="P10260" s="6"/>
      <c r="Q10260" s="6"/>
      <c r="R10260" s="6"/>
      <c r="S10260" s="6"/>
      <c r="T10260" s="6"/>
      <c r="U10260" s="6"/>
      <c r="V10260" s="8"/>
      <c r="W10260" s="8"/>
      <c r="X10260" s="8"/>
      <c r="Y10260" s="8"/>
    </row>
    <row r="10261" ht="14.25">
      <c r="B10261" s="18" t="s">
        <v>45849</v>
      </c>
      <c r="C10261" s="18" t="s">
        <v>45850</v>
      </c>
      <c r="D10261" s="18" t="s">
        <v>341</v>
      </c>
      <c r="E10261" s="18" t="s">
        <v>45851</v>
      </c>
      <c r="F10261" s="18" t="str">
        <f>IFERROR(__XLUDF.DUMMYFUNCTION("PROPER(REGEXREPLACE(D173,""[^A-Za-z]+ "",""""))"),"Groupe B.Sg")</f>
        <v xml:space="preserve">Groupe B.Sg</v>
      </c>
      <c r="G10261" s="18" t="s">
        <v>45852</v>
      </c>
      <c r="H10261" s="18">
        <v>6</v>
      </c>
      <c r="I10261" s="18" t="s">
        <v>9239</v>
      </c>
      <c r="J10261" s="5" t="s">
        <v>45853</v>
      </c>
      <c r="K10261" s="5" t="s">
        <v>45854</v>
      </c>
      <c r="L10261" s="18" t="s">
        <v>39</v>
      </c>
      <c r="M10261" s="18" t="s">
        <v>29</v>
      </c>
      <c r="N10261" s="18" t="s">
        <v>45855</v>
      </c>
      <c r="O10261" s="18" t="s">
        <v>29</v>
      </c>
      <c r="P10261" s="6"/>
      <c r="Q10261" s="6"/>
      <c r="R10261" s="6"/>
      <c r="S10261" s="6"/>
      <c r="T10261" s="6"/>
      <c r="U10261" s="6"/>
      <c r="V10261" s="8"/>
      <c r="W10261" s="8"/>
      <c r="X10261" s="8"/>
      <c r="Y10261" s="8"/>
    </row>
    <row r="10262" ht="14.25">
      <c r="B10262" s="18" t="s">
        <v>7914</v>
      </c>
      <c r="C10262" s="18" t="s">
        <v>45856</v>
      </c>
      <c r="D10262" s="18" t="s">
        <v>4586</v>
      </c>
      <c r="E10262" s="18" t="s">
        <v>45857</v>
      </c>
      <c r="F10262" s="18" t="str">
        <f>IFERROR(__XLUDF.DUMMYFUNCTION("PROPER(REGEXREPLACE(D174,""[^A-Za-z]+ "",""""))"),"Boisseau Batiment")</f>
        <v xml:space="preserve">Boisseau Batiment</v>
      </c>
      <c r="G10262" s="18" t="s">
        <v>45858</v>
      </c>
      <c r="H10262" s="18">
        <v>45</v>
      </c>
      <c r="I10262" s="18" t="s">
        <v>9239</v>
      </c>
      <c r="J10262" s="5" t="s">
        <v>45859</v>
      </c>
      <c r="K10262" s="5" t="s">
        <v>45860</v>
      </c>
      <c r="L10262" s="18" t="s">
        <v>1312</v>
      </c>
      <c r="M10262" s="18" t="s">
        <v>29</v>
      </c>
      <c r="N10262" s="18" t="s">
        <v>45861</v>
      </c>
      <c r="O10262" s="18" t="s">
        <v>29</v>
      </c>
      <c r="P10262" s="18" t="s">
        <v>45862</v>
      </c>
      <c r="Q10262" s="6"/>
      <c r="R10262" s="6"/>
      <c r="S10262" s="6"/>
      <c r="T10262" s="6"/>
      <c r="U10262" s="6"/>
      <c r="V10262" s="8"/>
      <c r="W10262" s="8"/>
      <c r="X10262" s="8"/>
      <c r="Y10262" s="8"/>
    </row>
    <row r="10263" ht="14.25">
      <c r="B10263" s="18" t="s">
        <v>1387</v>
      </c>
      <c r="C10263" s="18" t="s">
        <v>45863</v>
      </c>
      <c r="D10263" s="18" t="s">
        <v>172</v>
      </c>
      <c r="E10263" s="18" t="s">
        <v>45864</v>
      </c>
      <c r="F10263" s="18" t="str">
        <f>IFERROR(__XLUDF.DUMMYFUNCTION("PROPER(REGEXREPLACE(D175,""[^A-Za-z]+ "",""""))"),"Leboeuf Fillon")</f>
        <v xml:space="preserve">Leboeuf Fillon</v>
      </c>
      <c r="G10263" s="18" t="s">
        <v>45865</v>
      </c>
      <c r="H10263" s="18">
        <v>20</v>
      </c>
      <c r="I10263" s="18" t="s">
        <v>9239</v>
      </c>
      <c r="J10263" s="5" t="s">
        <v>45866</v>
      </c>
      <c r="K10263" s="5" t="s">
        <v>45867</v>
      </c>
      <c r="L10263" s="18" t="s">
        <v>3898</v>
      </c>
      <c r="M10263" s="18" t="s">
        <v>29</v>
      </c>
      <c r="N10263" s="18" t="s">
        <v>45868</v>
      </c>
      <c r="O10263" s="18" t="s">
        <v>29</v>
      </c>
      <c r="P10263" s="6"/>
      <c r="Q10263" s="6"/>
      <c r="R10263" s="6"/>
      <c r="S10263" s="6"/>
      <c r="T10263" s="6"/>
      <c r="U10263" s="6"/>
      <c r="V10263" s="8"/>
      <c r="W10263" s="8"/>
      <c r="X10263" s="8"/>
      <c r="Y10263" s="8"/>
    </row>
    <row r="10264" ht="14.25">
      <c r="B10264" s="18" t="s">
        <v>1605</v>
      </c>
      <c r="C10264" s="18" t="s">
        <v>45869</v>
      </c>
      <c r="D10264" s="18" t="s">
        <v>172</v>
      </c>
      <c r="E10264" s="18" t="s">
        <v>45870</v>
      </c>
      <c r="F10264" s="18" t="str">
        <f>IFERROR(__XLUDF.DUMMYFUNCTION("PROPER(REGEXREPLACE(D176,""[^A-Za-z]+ "",""""))"),"L2M Travaux")</f>
        <v xml:space="preserve">L2M Travaux</v>
      </c>
      <c r="G10264" s="18" t="s">
        <v>45871</v>
      </c>
      <c r="H10264" s="18">
        <v>15</v>
      </c>
      <c r="I10264" s="18" t="s">
        <v>9239</v>
      </c>
      <c r="J10264" s="5" t="s">
        <v>45872</v>
      </c>
      <c r="K10264" s="5" t="s">
        <v>45873</v>
      </c>
      <c r="L10264" s="6"/>
      <c r="M10264" s="18" t="s">
        <v>29</v>
      </c>
      <c r="N10264" s="18" t="s">
        <v>45874</v>
      </c>
      <c r="O10264" s="18" t="s">
        <v>29</v>
      </c>
      <c r="P10264" s="18" t="s">
        <v>45875</v>
      </c>
      <c r="Q10264" s="6"/>
      <c r="R10264" s="6"/>
      <c r="S10264" s="6"/>
      <c r="T10264" s="6"/>
      <c r="U10264" s="6"/>
      <c r="V10264" s="8"/>
      <c r="W10264" s="8"/>
      <c r="X10264" s="8"/>
      <c r="Y10264" s="8"/>
    </row>
    <row r="10265" ht="14.25">
      <c r="B10265" s="18" t="s">
        <v>76</v>
      </c>
      <c r="C10265" s="18" t="s">
        <v>45876</v>
      </c>
      <c r="D10265" s="18" t="s">
        <v>87</v>
      </c>
      <c r="E10265" s="18" t="s">
        <v>45877</v>
      </c>
      <c r="F10265" s="18" t="str">
        <f>IFERROR(__XLUDF.DUMMYFUNCTION("PROPER(REGEXREPLACE(D177,""[^A-Za-z]+ "",""""))"),"Faster Lab")</f>
        <v xml:space="preserve">Faster Lab</v>
      </c>
      <c r="G10265" s="18" t="s">
        <v>45878</v>
      </c>
      <c r="H10265" s="6"/>
      <c r="I10265" s="6"/>
      <c r="J10265" s="5" t="s">
        <v>45879</v>
      </c>
      <c r="K10265" s="5" t="s">
        <v>45880</v>
      </c>
      <c r="L10265" s="18" t="s">
        <v>185</v>
      </c>
      <c r="M10265" s="18" t="s">
        <v>29</v>
      </c>
      <c r="N10265" s="18" t="s">
        <v>45881</v>
      </c>
      <c r="O10265" s="18" t="s">
        <v>29</v>
      </c>
      <c r="P10265" s="6"/>
      <c r="Q10265" s="6"/>
      <c r="R10265" s="6"/>
      <c r="S10265" s="6"/>
      <c r="T10265" s="6"/>
      <c r="U10265" s="6"/>
      <c r="V10265" s="8"/>
      <c r="W10265" s="8"/>
      <c r="X10265" s="8"/>
      <c r="Y10265" s="8"/>
    </row>
    <row r="10266" ht="14.25">
      <c r="B10266" s="18" t="s">
        <v>1153</v>
      </c>
      <c r="C10266" s="18" t="s">
        <v>45882</v>
      </c>
      <c r="D10266" s="18" t="s">
        <v>172</v>
      </c>
      <c r="E10266" s="18" t="s">
        <v>45883</v>
      </c>
      <c r="F10266" s="18" t="str">
        <f>IFERROR(__XLUDF.DUMMYFUNCTION("PROPER(REGEXREPLACE(D178,""[^A-Za-z]+ "",""""))"),"Build'Ing Sa")</f>
        <v xml:space="preserve">Build'Ing Sa</v>
      </c>
      <c r="G10266" s="18" t="s">
        <v>45884</v>
      </c>
      <c r="H10266" s="18">
        <v>38</v>
      </c>
      <c r="I10266" s="18" t="s">
        <v>9239</v>
      </c>
      <c r="J10266" s="5" t="s">
        <v>45885</v>
      </c>
      <c r="K10266" s="5" t="s">
        <v>45886</v>
      </c>
      <c r="L10266" s="18" t="s">
        <v>5565</v>
      </c>
      <c r="M10266" s="18" t="s">
        <v>29</v>
      </c>
      <c r="N10266" s="18" t="s">
        <v>45887</v>
      </c>
      <c r="O10266" s="18" t="s">
        <v>29</v>
      </c>
      <c r="P10266" s="18" t="s">
        <v>45888</v>
      </c>
      <c r="Q10266" s="6"/>
      <c r="R10266" s="6"/>
      <c r="S10266" s="6"/>
      <c r="T10266" s="6"/>
      <c r="U10266" s="6"/>
      <c r="V10266" s="8"/>
      <c r="W10266" s="8"/>
      <c r="X10266" s="8"/>
      <c r="Y10266" s="8"/>
    </row>
    <row r="10267" ht="14.25">
      <c r="B10267" s="18" t="s">
        <v>2932</v>
      </c>
      <c r="C10267" s="18" t="s">
        <v>1973</v>
      </c>
      <c r="D10267" s="18" t="s">
        <v>172</v>
      </c>
      <c r="E10267" s="18" t="s">
        <v>45889</v>
      </c>
      <c r="F10267" s="18" t="str">
        <f>IFERROR(__XLUDF.DUMMYFUNCTION("PROPER(REGEXREPLACE(D179,""[^A-Za-z]+ "",""""))"),"Altius France")</f>
        <v xml:space="preserve">Altius France</v>
      </c>
      <c r="G10267" s="18" t="s">
        <v>45890</v>
      </c>
      <c r="H10267" s="18">
        <v>44</v>
      </c>
      <c r="I10267" s="18" t="s">
        <v>9239</v>
      </c>
      <c r="J10267" s="5" t="s">
        <v>45891</v>
      </c>
      <c r="K10267" s="5" t="s">
        <v>45892</v>
      </c>
      <c r="L10267" s="18" t="s">
        <v>423</v>
      </c>
      <c r="M10267" s="18" t="s">
        <v>29</v>
      </c>
      <c r="N10267" s="18" t="s">
        <v>45893</v>
      </c>
      <c r="O10267" s="18" t="s">
        <v>29</v>
      </c>
      <c r="P10267" s="18" t="s">
        <v>45894</v>
      </c>
      <c r="Q10267" s="6"/>
      <c r="R10267" s="6"/>
      <c r="S10267" s="6"/>
      <c r="T10267" s="6"/>
      <c r="U10267" s="6"/>
      <c r="V10267" s="8"/>
      <c r="W10267" s="8"/>
      <c r="X10267" s="8"/>
      <c r="Y10267" s="8"/>
    </row>
    <row r="10268" ht="14.25">
      <c r="B10268" s="18" t="s">
        <v>548</v>
      </c>
      <c r="C10268" s="18" t="s">
        <v>45895</v>
      </c>
      <c r="D10268" s="18" t="s">
        <v>172</v>
      </c>
      <c r="E10268" s="18" t="s">
        <v>45896</v>
      </c>
      <c r="F10268" s="18" t="str">
        <f>IFERROR(__XLUDF.DUMMYFUNCTION("PROPER(REGEXREPLACE(D180,""[^A-Za-z]+ "",""""))"),"Maisons Valentine")</f>
        <v xml:space="preserve">Maisons Valentine</v>
      </c>
      <c r="G10268" s="18" t="s">
        <v>45897</v>
      </c>
      <c r="H10268" s="18">
        <v>7</v>
      </c>
      <c r="I10268" s="18" t="s">
        <v>9239</v>
      </c>
      <c r="J10268" s="5" t="s">
        <v>45898</v>
      </c>
      <c r="K10268" s="5" t="s">
        <v>45899</v>
      </c>
      <c r="L10268" s="18" t="s">
        <v>12794</v>
      </c>
      <c r="M10268" s="18" t="s">
        <v>29</v>
      </c>
      <c r="N10268" s="18" t="s">
        <v>45900</v>
      </c>
      <c r="O10268" s="18" t="s">
        <v>29</v>
      </c>
      <c r="P10268" s="6"/>
      <c r="Q10268" s="6"/>
      <c r="R10268" s="6"/>
      <c r="S10268" s="6"/>
      <c r="T10268" s="6"/>
      <c r="U10268" s="6"/>
      <c r="V10268" s="8"/>
      <c r="W10268" s="8"/>
      <c r="X10268" s="8"/>
      <c r="Y10268" s="8"/>
    </row>
    <row r="10269" ht="14.25">
      <c r="B10269" s="18" t="s">
        <v>45901</v>
      </c>
      <c r="C10269" s="18" t="s">
        <v>6037</v>
      </c>
      <c r="D10269" s="18" t="s">
        <v>426</v>
      </c>
      <c r="E10269" s="18" t="s">
        <v>45902</v>
      </c>
      <c r="F10269" s="18" t="str">
        <f>IFERROR(__XLUDF.DUMMYFUNCTION("PROPER(REGEXREPLACE(D181,""[^A-Za-z]+ "",""""))"),"Synergisud")</f>
        <v>Synergisud</v>
      </c>
      <c r="G10269" s="18" t="s">
        <v>45903</v>
      </c>
      <c r="H10269" s="18">
        <v>9</v>
      </c>
      <c r="I10269" s="18" t="s">
        <v>9239</v>
      </c>
      <c r="J10269" s="5" t="s">
        <v>45904</v>
      </c>
      <c r="K10269" s="5" t="s">
        <v>45905</v>
      </c>
      <c r="L10269" s="6"/>
      <c r="M10269" s="18" t="s">
        <v>29</v>
      </c>
      <c r="N10269" s="18" t="s">
        <v>30774</v>
      </c>
      <c r="O10269" s="18" t="s">
        <v>29</v>
      </c>
      <c r="P10269" s="18" t="s">
        <v>45906</v>
      </c>
      <c r="Q10269" s="6"/>
      <c r="R10269" s="6"/>
      <c r="S10269" s="6"/>
      <c r="T10269" s="6"/>
      <c r="U10269" s="6"/>
      <c r="V10269" s="8"/>
      <c r="W10269" s="8"/>
      <c r="X10269" s="8"/>
      <c r="Y10269" s="8"/>
    </row>
    <row r="10270" ht="14.25">
      <c r="B10270" s="18" t="s">
        <v>6356</v>
      </c>
      <c r="C10270" s="18" t="s">
        <v>31040</v>
      </c>
      <c r="D10270" s="18" t="s">
        <v>172</v>
      </c>
      <c r="E10270" s="18" t="s">
        <v>45907</v>
      </c>
      <c r="F10270" s="18" t="str">
        <f>IFERROR(__XLUDF.DUMMYFUNCTION("PROPER(REGEXREPLACE(D182,""[^A-Za-z]+ "",""""))"),"Groupe Plenetude")</f>
        <v xml:space="preserve">Groupe Plenetude</v>
      </c>
      <c r="G10270" s="18" t="s">
        <v>45908</v>
      </c>
      <c r="H10270" s="18">
        <v>29</v>
      </c>
      <c r="I10270" s="18" t="s">
        <v>9239</v>
      </c>
      <c r="J10270" s="5" t="s">
        <v>45909</v>
      </c>
      <c r="K10270" s="5" t="s">
        <v>45910</v>
      </c>
      <c r="L10270" s="18" t="s">
        <v>45911</v>
      </c>
      <c r="M10270" s="18" t="s">
        <v>29</v>
      </c>
      <c r="N10270" s="18" t="s">
        <v>45912</v>
      </c>
      <c r="O10270" s="18" t="s">
        <v>29</v>
      </c>
      <c r="P10270" s="18" t="s">
        <v>45913</v>
      </c>
      <c r="Q10270" s="6"/>
      <c r="R10270" s="6"/>
      <c r="S10270" s="6"/>
      <c r="T10270" s="6"/>
      <c r="U10270" s="6"/>
      <c r="V10270" s="8"/>
      <c r="W10270" s="8"/>
      <c r="X10270" s="8"/>
      <c r="Y10270" s="8"/>
    </row>
    <row r="10271" ht="14.25">
      <c r="B10271" s="18" t="s">
        <v>1596</v>
      </c>
      <c r="C10271" s="18" t="s">
        <v>45914</v>
      </c>
      <c r="D10271" s="18" t="s">
        <v>426</v>
      </c>
      <c r="E10271" s="18" t="s">
        <v>45915</v>
      </c>
      <c r="F10271" s="18" t="str">
        <f>IFERROR(__XLUDF.DUMMYFUNCTION("PROPER(REGEXREPLACE(D183,""[^A-Za-z]+ "",""""))"),"Sociétnouvelle Buray")</f>
        <v xml:space="preserve">Sociétnouvelle Buray</v>
      </c>
      <c r="G10271" s="18" t="s">
        <v>45916</v>
      </c>
      <c r="H10271" s="18">
        <v>9</v>
      </c>
      <c r="I10271" s="18" t="s">
        <v>9239</v>
      </c>
      <c r="J10271" s="5" t="s">
        <v>45917</v>
      </c>
      <c r="K10271" s="5" t="s">
        <v>45918</v>
      </c>
      <c r="L10271" s="18" t="s">
        <v>492</v>
      </c>
      <c r="M10271" s="18" t="s">
        <v>29</v>
      </c>
      <c r="N10271" s="18" t="s">
        <v>45919</v>
      </c>
      <c r="O10271" s="18" t="s">
        <v>29</v>
      </c>
      <c r="P10271" s="6"/>
      <c r="Q10271" s="6"/>
      <c r="R10271" s="6"/>
      <c r="S10271" s="6"/>
      <c r="T10271" s="6"/>
      <c r="U10271" s="6"/>
      <c r="V10271" s="8"/>
      <c r="W10271" s="8"/>
      <c r="X10271" s="8"/>
      <c r="Y10271" s="8"/>
    </row>
    <row r="10272" ht="14.25">
      <c r="B10272" s="18" t="s">
        <v>76</v>
      </c>
      <c r="C10272" s="18" t="s">
        <v>45920</v>
      </c>
      <c r="D10272" s="18" t="s">
        <v>172</v>
      </c>
      <c r="E10272" s="18" t="s">
        <v>45921</v>
      </c>
      <c r="F10272" s="18" t="str">
        <f>IFERROR(__XLUDF.DUMMYFUNCTION("PROPER(REGEXREPLACE(D184,""[^A-Za-z]+ "",""""))"),"Ega Tp")</f>
        <v xml:space="preserve">Ega Tp</v>
      </c>
      <c r="G10272" s="18" t="s">
        <v>45922</v>
      </c>
      <c r="H10272" s="18">
        <v>28</v>
      </c>
      <c r="I10272" s="18" t="s">
        <v>9239</v>
      </c>
      <c r="J10272" s="5" t="s">
        <v>45923</v>
      </c>
      <c r="K10272" s="5" t="s">
        <v>45924</v>
      </c>
      <c r="L10272" s="6"/>
      <c r="M10272" s="18" t="s">
        <v>29</v>
      </c>
      <c r="N10272" s="18" t="s">
        <v>45925</v>
      </c>
      <c r="O10272" s="18" t="s">
        <v>29</v>
      </c>
      <c r="P10272" s="6"/>
      <c r="Q10272" s="6"/>
      <c r="R10272" s="6"/>
      <c r="S10272" s="6"/>
      <c r="T10272" s="6"/>
      <c r="U10272" s="6"/>
      <c r="V10272" s="8"/>
      <c r="W10272" s="8"/>
      <c r="X10272" s="8"/>
      <c r="Y10272" s="8"/>
    </row>
    <row r="10273" ht="14.25">
      <c r="B10273" s="18" t="s">
        <v>4986</v>
      </c>
      <c r="C10273" s="18" t="s">
        <v>45926</v>
      </c>
      <c r="D10273" s="18" t="s">
        <v>198</v>
      </c>
      <c r="E10273" s="18" t="s">
        <v>45927</v>
      </c>
      <c r="F10273" s="18" t="str">
        <f>IFERROR(__XLUDF.DUMMYFUNCTION("PROPER(REGEXREPLACE(D185,""[^A-Za-z]+ "",""""))"),"Groupe Réguillon")</f>
        <v xml:space="preserve">Groupe Réguillon</v>
      </c>
      <c r="G10273" s="18" t="s">
        <v>45928</v>
      </c>
      <c r="H10273" s="18">
        <v>10</v>
      </c>
      <c r="I10273" s="18" t="s">
        <v>9239</v>
      </c>
      <c r="J10273" s="5" t="s">
        <v>45929</v>
      </c>
      <c r="K10273" s="5" t="s">
        <v>45930</v>
      </c>
      <c r="L10273" s="18" t="s">
        <v>185</v>
      </c>
      <c r="M10273" s="18" t="s">
        <v>29</v>
      </c>
      <c r="N10273" s="18" t="s">
        <v>29</v>
      </c>
      <c r="O10273" s="18" t="s">
        <v>29</v>
      </c>
      <c r="P10273" s="6"/>
      <c r="Q10273" s="6"/>
      <c r="R10273" s="6"/>
      <c r="S10273" s="6"/>
      <c r="T10273" s="6"/>
      <c r="U10273" s="6"/>
      <c r="V10273" s="8"/>
      <c r="W10273" s="8"/>
      <c r="X10273" s="8"/>
      <c r="Y10273" s="8"/>
    </row>
    <row r="10274" ht="14.25">
      <c r="B10274" s="18" t="s">
        <v>76</v>
      </c>
      <c r="C10274" s="18" t="s">
        <v>45931</v>
      </c>
      <c r="D10274" s="18" t="s">
        <v>172</v>
      </c>
      <c r="E10274" s="18" t="s">
        <v>45932</v>
      </c>
      <c r="F10274" s="18" t="str">
        <f>IFERROR(__XLUDF.DUMMYFUNCTION("PROPER(REGEXREPLACE(D186,""[^A-Za-z]+ "",""""))"),"La Henonnaise")</f>
        <v xml:space="preserve">La Henonnaise</v>
      </c>
      <c r="G10274" s="18" t="s">
        <v>45933</v>
      </c>
      <c r="H10274" s="18">
        <v>6</v>
      </c>
      <c r="I10274" s="18" t="s">
        <v>9239</v>
      </c>
      <c r="J10274" s="5" t="s">
        <v>45934</v>
      </c>
      <c r="K10274" s="5" t="s">
        <v>45935</v>
      </c>
      <c r="L10274" s="18" t="s">
        <v>20178</v>
      </c>
      <c r="M10274" s="18" t="s">
        <v>29</v>
      </c>
      <c r="N10274" s="18" t="s">
        <v>45936</v>
      </c>
      <c r="O10274" s="18" t="s">
        <v>29</v>
      </c>
      <c r="P10274" s="18" t="s">
        <v>45937</v>
      </c>
      <c r="Q10274" s="6"/>
      <c r="R10274" s="6"/>
      <c r="S10274" s="6"/>
      <c r="T10274" s="6"/>
      <c r="U10274" s="6"/>
      <c r="V10274" s="8"/>
      <c r="W10274" s="8"/>
      <c r="X10274" s="8"/>
      <c r="Y10274" s="8"/>
    </row>
    <row r="10275" ht="14.25">
      <c r="B10275" s="18" t="s">
        <v>622</v>
      </c>
      <c r="C10275" s="18" t="s">
        <v>45938</v>
      </c>
      <c r="D10275" s="18" t="s">
        <v>172</v>
      </c>
      <c r="E10275" s="18" t="s">
        <v>45939</v>
      </c>
      <c r="F10275" s="18" t="str">
        <f>IFERROR(__XLUDF.DUMMYFUNCTION("PROPER(REGEXREPLACE(D187,""[^A-Za-z]+ "",""""))"),"Technocarbon")</f>
        <v>Technocarbon</v>
      </c>
      <c r="G10275" s="18" t="s">
        <v>45940</v>
      </c>
      <c r="H10275" s="18">
        <v>10</v>
      </c>
      <c r="I10275" s="18" t="s">
        <v>9239</v>
      </c>
      <c r="J10275" s="5" t="s">
        <v>45941</v>
      </c>
      <c r="K10275" s="5" t="s">
        <v>45942</v>
      </c>
      <c r="L10275" s="18" t="s">
        <v>39</v>
      </c>
      <c r="M10275" s="18" t="s">
        <v>29</v>
      </c>
      <c r="N10275" s="18" t="s">
        <v>45943</v>
      </c>
      <c r="O10275" s="18" t="s">
        <v>29</v>
      </c>
      <c r="P10275" s="18" t="s">
        <v>45944</v>
      </c>
      <c r="Q10275" s="6"/>
      <c r="R10275" s="6"/>
      <c r="S10275" s="6"/>
      <c r="T10275" s="6"/>
      <c r="U10275" s="6"/>
      <c r="V10275" s="8"/>
      <c r="W10275" s="8"/>
      <c r="X10275" s="8"/>
      <c r="Y10275" s="8"/>
    </row>
    <row r="10276" ht="14.25">
      <c r="B10276" s="18" t="s">
        <v>1965</v>
      </c>
      <c r="C10276" s="18" t="s">
        <v>45945</v>
      </c>
      <c r="D10276" s="18" t="s">
        <v>172</v>
      </c>
      <c r="E10276" s="18" t="s">
        <v>45946</v>
      </c>
      <c r="F10276" s="18" t="str">
        <f>IFERROR(__XLUDF.DUMMYFUNCTION("PROPER(REGEXREPLACE(D188,""[^A-Za-z]+ "",""""))"),"Gifetal Aluminium")</f>
        <v xml:space="preserve">Gifetal Aluminium</v>
      </c>
      <c r="G10276" s="18" t="s">
        <v>45947</v>
      </c>
      <c r="H10276" s="18">
        <v>26</v>
      </c>
      <c r="I10276" s="18" t="s">
        <v>9239</v>
      </c>
      <c r="J10276" s="5" t="s">
        <v>45948</v>
      </c>
      <c r="K10276" s="5" t="s">
        <v>45949</v>
      </c>
      <c r="L10276" s="18" t="s">
        <v>185</v>
      </c>
      <c r="M10276" s="18" t="s">
        <v>29</v>
      </c>
      <c r="N10276" s="18" t="s">
        <v>45950</v>
      </c>
      <c r="O10276" s="18" t="s">
        <v>29</v>
      </c>
      <c r="P10276" s="18" t="s">
        <v>45951</v>
      </c>
      <c r="Q10276" s="6"/>
      <c r="R10276" s="6"/>
      <c r="S10276" s="6"/>
      <c r="T10276" s="6"/>
      <c r="U10276" s="6"/>
      <c r="V10276" s="8"/>
      <c r="W10276" s="8"/>
      <c r="X10276" s="8"/>
      <c r="Y10276" s="8"/>
    </row>
    <row r="10277" ht="14.25">
      <c r="B10277" s="18" t="s">
        <v>255</v>
      </c>
      <c r="C10277" s="18" t="s">
        <v>45952</v>
      </c>
      <c r="D10277" s="18" t="s">
        <v>172</v>
      </c>
      <c r="E10277" s="18" t="s">
        <v>45953</v>
      </c>
      <c r="F10277" s="18" t="str">
        <f>IFERROR(__XLUDF.DUMMYFUNCTION("PROPER(REGEXREPLACE(D189,""[^A-Za-z]+ "",""""))"),"Carf Centre")</f>
        <v xml:space="preserve">Carf Centre</v>
      </c>
      <c r="G10277" s="18" t="s">
        <v>45954</v>
      </c>
      <c r="H10277" s="18">
        <v>8</v>
      </c>
      <c r="I10277" s="18" t="s">
        <v>9239</v>
      </c>
      <c r="J10277" s="5" t="s">
        <v>45955</v>
      </c>
      <c r="K10277" s="6"/>
      <c r="L10277" s="18" t="s">
        <v>45956</v>
      </c>
      <c r="M10277" s="18" t="s">
        <v>29</v>
      </c>
      <c r="N10277" s="18" t="s">
        <v>45957</v>
      </c>
      <c r="O10277" s="18" t="s">
        <v>29</v>
      </c>
      <c r="P10277" s="6"/>
      <c r="Q10277" s="6"/>
      <c r="R10277" s="6"/>
      <c r="S10277" s="6"/>
      <c r="T10277" s="6"/>
      <c r="U10277" s="6"/>
      <c r="V10277" s="8"/>
      <c r="W10277" s="8"/>
      <c r="X10277" s="8"/>
      <c r="Y10277" s="8"/>
    </row>
    <row r="10278" ht="14.25">
      <c r="B10278" s="18" t="s">
        <v>604</v>
      </c>
      <c r="C10278" s="18" t="s">
        <v>45958</v>
      </c>
      <c r="D10278" s="18" t="s">
        <v>172</v>
      </c>
      <c r="E10278" s="18" t="s">
        <v>45959</v>
      </c>
      <c r="F10278" s="18" t="str">
        <f>IFERROR(__XLUDF.DUMMYFUNCTION("PROPER(REGEXREPLACE(D190,""[^A-Za-z]+ "",""""))"),"Dupriez")</f>
        <v>Dupriez</v>
      </c>
      <c r="G10278" s="18" t="s">
        <v>45960</v>
      </c>
      <c r="H10278" s="18">
        <v>6</v>
      </c>
      <c r="I10278" s="18" t="s">
        <v>9239</v>
      </c>
      <c r="J10278" s="5" t="s">
        <v>45961</v>
      </c>
      <c r="K10278" s="5" t="s">
        <v>45962</v>
      </c>
      <c r="L10278" s="18" t="s">
        <v>45963</v>
      </c>
      <c r="M10278" s="18" t="s">
        <v>29</v>
      </c>
      <c r="N10278" s="18" t="s">
        <v>45964</v>
      </c>
      <c r="O10278" s="18" t="s">
        <v>2953</v>
      </c>
      <c r="P10278" s="18" t="s">
        <v>45965</v>
      </c>
      <c r="Q10278" s="6"/>
      <c r="R10278" s="6"/>
      <c r="S10278" s="6"/>
      <c r="T10278" s="6"/>
      <c r="U10278" s="6"/>
      <c r="V10278" s="8"/>
      <c r="W10278" s="8"/>
      <c r="X10278" s="8"/>
      <c r="Y10278" s="8"/>
    </row>
    <row r="10279" ht="14.25">
      <c r="B10279" s="18" t="s">
        <v>21731</v>
      </c>
      <c r="C10279" s="18" t="s">
        <v>45966</v>
      </c>
      <c r="D10279" s="18" t="s">
        <v>172</v>
      </c>
      <c r="E10279" s="18" t="s">
        <v>45967</v>
      </c>
      <c r="F10279" s="18" t="str">
        <f>IFERROR(__XLUDF.DUMMYFUNCTION("PROPER(REGEXREPLACE(D191,""[^A-Za-z]+ "",""""))"),"Sorreba Technologie®")</f>
        <v xml:space="preserve">Sorreba Technologie®</v>
      </c>
      <c r="G10279" s="18" t="s">
        <v>45968</v>
      </c>
      <c r="H10279" s="18">
        <v>22</v>
      </c>
      <c r="I10279" s="18" t="s">
        <v>9239</v>
      </c>
      <c r="J10279" s="5" t="s">
        <v>45969</v>
      </c>
      <c r="K10279" s="5" t="s">
        <v>45970</v>
      </c>
      <c r="L10279" s="18" t="s">
        <v>243</v>
      </c>
      <c r="M10279" s="18" t="s">
        <v>29</v>
      </c>
      <c r="N10279" s="18" t="s">
        <v>5722</v>
      </c>
      <c r="O10279" s="18" t="s">
        <v>29</v>
      </c>
      <c r="P10279" s="18" t="s">
        <v>45971</v>
      </c>
      <c r="Q10279" s="6"/>
      <c r="R10279" s="6"/>
      <c r="S10279" s="6"/>
      <c r="T10279" s="6"/>
      <c r="U10279" s="6"/>
      <c r="V10279" s="8"/>
      <c r="W10279" s="8"/>
      <c r="X10279" s="8"/>
      <c r="Y10279" s="8"/>
    </row>
    <row r="10280" ht="14.25">
      <c r="B10280" s="18" t="s">
        <v>817</v>
      </c>
      <c r="C10280" s="18" t="s">
        <v>10222</v>
      </c>
      <c r="D10280" s="18" t="s">
        <v>45972</v>
      </c>
      <c r="E10280" s="18" t="s">
        <v>45973</v>
      </c>
      <c r="F10280" s="18" t="str">
        <f>IFERROR(__XLUDF.DUMMYFUNCTION("PROPER(REGEXREPLACE(D192,""[^A-Za-z]+ "",""""))"),"Rom")</f>
        <v>Rom</v>
      </c>
      <c r="G10280" s="18" t="s">
        <v>45974</v>
      </c>
      <c r="H10280" s="18">
        <v>22</v>
      </c>
      <c r="I10280" s="18" t="s">
        <v>9239</v>
      </c>
      <c r="J10280" s="5" t="s">
        <v>45975</v>
      </c>
      <c r="K10280" s="5" t="s">
        <v>45976</v>
      </c>
      <c r="L10280" s="18" t="s">
        <v>39</v>
      </c>
      <c r="M10280" s="18" t="s">
        <v>29</v>
      </c>
      <c r="N10280" s="18" t="s">
        <v>45977</v>
      </c>
      <c r="O10280" s="18" t="s">
        <v>29</v>
      </c>
      <c r="P10280" s="6"/>
      <c r="Q10280" s="6"/>
      <c r="R10280" s="6"/>
      <c r="S10280" s="6"/>
      <c r="T10280" s="6"/>
      <c r="U10280" s="6"/>
      <c r="V10280" s="8"/>
      <c r="W10280" s="8"/>
      <c r="X10280" s="8"/>
      <c r="Y10280" s="8"/>
    </row>
    <row r="10281" ht="14.25">
      <c r="B10281" s="18" t="s">
        <v>12387</v>
      </c>
      <c r="C10281" s="18" t="s">
        <v>45978</v>
      </c>
      <c r="D10281" s="18" t="s">
        <v>45979</v>
      </c>
      <c r="E10281" s="18" t="s">
        <v>45980</v>
      </c>
      <c r="F10281" s="18" t="str">
        <f>IFERROR(__XLUDF.DUMMYFUNCTION("PROPER(REGEXREPLACE(D193,""[^A-Za-z]+ "",""""))"),"Immoworks")</f>
        <v>Immoworks</v>
      </c>
      <c r="G10281" s="18" t="s">
        <v>45981</v>
      </c>
      <c r="H10281" s="18">
        <v>6</v>
      </c>
      <c r="I10281" s="18" t="s">
        <v>9239</v>
      </c>
      <c r="J10281" s="5" t="s">
        <v>45982</v>
      </c>
      <c r="K10281" s="5" t="s">
        <v>45983</v>
      </c>
      <c r="L10281" s="18" t="s">
        <v>39</v>
      </c>
      <c r="M10281" s="18" t="s">
        <v>29</v>
      </c>
      <c r="N10281" s="18" t="s">
        <v>28387</v>
      </c>
      <c r="O10281" s="18" t="s">
        <v>29</v>
      </c>
      <c r="P10281" s="6"/>
      <c r="Q10281" s="6"/>
      <c r="R10281" s="6"/>
      <c r="S10281" s="6"/>
      <c r="T10281" s="6"/>
      <c r="U10281" s="6"/>
      <c r="V10281" s="8"/>
      <c r="W10281" s="8"/>
      <c r="X10281" s="8"/>
      <c r="Y10281" s="8"/>
    </row>
    <row r="10282" ht="14.25">
      <c r="B10282" s="18" t="s">
        <v>1215</v>
      </c>
      <c r="C10282" s="18" t="s">
        <v>45984</v>
      </c>
      <c r="D10282" s="18" t="s">
        <v>1950</v>
      </c>
      <c r="E10282" s="18" t="s">
        <v>45985</v>
      </c>
      <c r="F10282" s="18" t="str">
        <f>IFERROR(__XLUDF.DUMMYFUNCTION("PROPER(REGEXREPLACE(D194,""[^A-Za-z]+ "",""""))"),"Brard Menuiserie Agencement")</f>
        <v xml:space="preserve">Brard Menuiserie Agencement</v>
      </c>
      <c r="G10282" s="18" t="s">
        <v>45986</v>
      </c>
      <c r="H10282" s="18">
        <v>27</v>
      </c>
      <c r="I10282" s="18" t="s">
        <v>9239</v>
      </c>
      <c r="J10282" s="5" t="s">
        <v>45987</v>
      </c>
      <c r="K10282" s="5" t="s">
        <v>45988</v>
      </c>
      <c r="L10282" s="18" t="s">
        <v>39</v>
      </c>
      <c r="M10282" s="18" t="s">
        <v>29</v>
      </c>
      <c r="N10282" s="18" t="s">
        <v>45989</v>
      </c>
      <c r="O10282" s="18" t="s">
        <v>29</v>
      </c>
      <c r="P10282" s="6"/>
      <c r="Q10282" s="6"/>
      <c r="R10282" s="6"/>
      <c r="S10282" s="6"/>
      <c r="T10282" s="6"/>
      <c r="U10282" s="6"/>
      <c r="V10282" s="8"/>
      <c r="W10282" s="8"/>
      <c r="X10282" s="8"/>
      <c r="Y10282" s="8"/>
    </row>
    <row r="10283" ht="14.25">
      <c r="B10283" s="18" t="s">
        <v>6788</v>
      </c>
      <c r="C10283" s="18" t="s">
        <v>15353</v>
      </c>
      <c r="D10283" s="18" t="s">
        <v>487</v>
      </c>
      <c r="E10283" s="18" t="s">
        <v>45990</v>
      </c>
      <c r="F10283" s="18" t="str">
        <f>IFERROR(__XLUDF.DUMMYFUNCTION("PROPER(REGEXREPLACE(D195,""[^A-Za-z]+ "",""""))"),"Pic")</f>
        <v>Pic</v>
      </c>
      <c r="G10283" s="18" t="s">
        <v>45991</v>
      </c>
      <c r="H10283" s="18">
        <v>2</v>
      </c>
      <c r="I10283" s="18" t="s">
        <v>9239</v>
      </c>
      <c r="J10283" s="5" t="s">
        <v>45992</v>
      </c>
      <c r="K10283" s="5" t="s">
        <v>45993</v>
      </c>
      <c r="L10283" s="18" t="s">
        <v>185</v>
      </c>
      <c r="M10283" s="18" t="s">
        <v>29</v>
      </c>
      <c r="N10283" s="18" t="s">
        <v>45994</v>
      </c>
      <c r="O10283" s="18" t="s">
        <v>29</v>
      </c>
      <c r="P10283" s="6"/>
      <c r="Q10283" s="6"/>
      <c r="R10283" s="6"/>
      <c r="S10283" s="6"/>
      <c r="T10283" s="6"/>
      <c r="U10283" s="6"/>
      <c r="V10283" s="8"/>
      <c r="W10283" s="8"/>
      <c r="X10283" s="8"/>
      <c r="Y10283" s="8"/>
    </row>
    <row r="10284" ht="14.25">
      <c r="B10284" s="18" t="s">
        <v>76</v>
      </c>
      <c r="C10284" s="18" t="s">
        <v>45995</v>
      </c>
      <c r="D10284" s="18" t="s">
        <v>172</v>
      </c>
      <c r="E10284" s="18" t="s">
        <v>45996</v>
      </c>
      <c r="F10284" s="18" t="str">
        <f>IFERROR(__XLUDF.DUMMYFUNCTION("PROPER(REGEXREPLACE(D196,""[^A-Za-z]+ "",""""))"),"Moreel Montage")</f>
        <v xml:space="preserve">Moreel Montage</v>
      </c>
      <c r="G10284" s="18" t="s">
        <v>45997</v>
      </c>
      <c r="H10284" s="18">
        <v>4</v>
      </c>
      <c r="I10284" s="18" t="s">
        <v>9239</v>
      </c>
      <c r="J10284" s="5" t="s">
        <v>45998</v>
      </c>
      <c r="K10284" s="5" t="s">
        <v>45999</v>
      </c>
      <c r="L10284" s="18" t="s">
        <v>846</v>
      </c>
      <c r="M10284" s="18" t="s">
        <v>29</v>
      </c>
      <c r="N10284" s="18" t="s">
        <v>46000</v>
      </c>
      <c r="O10284" s="18" t="s">
        <v>29</v>
      </c>
      <c r="P10284" s="18" t="s">
        <v>46001</v>
      </c>
      <c r="Q10284" s="6"/>
      <c r="R10284" s="6"/>
      <c r="S10284" s="6"/>
      <c r="T10284" s="6"/>
      <c r="U10284" s="6"/>
      <c r="V10284" s="8"/>
      <c r="W10284" s="8"/>
      <c r="X10284" s="8"/>
      <c r="Y10284" s="8"/>
    </row>
    <row r="10285" ht="14.25">
      <c r="B10285" s="18" t="s">
        <v>23171</v>
      </c>
      <c r="C10285" s="18" t="s">
        <v>46002</v>
      </c>
      <c r="D10285" s="18" t="s">
        <v>46003</v>
      </c>
      <c r="E10285" s="18" t="s">
        <v>46004</v>
      </c>
      <c r="F10285" s="18" t="str">
        <f>IFERROR(__XLUDF.DUMMYFUNCTION("PROPER(REGEXREPLACE(D197,""[^A-Za-z]+ "",""""))"),"Groupe Adré")</f>
        <v xml:space="preserve">Groupe Adré</v>
      </c>
      <c r="G10285" s="18" t="s">
        <v>46005</v>
      </c>
      <c r="H10285" s="18">
        <v>49</v>
      </c>
      <c r="I10285" s="18" t="s">
        <v>9239</v>
      </c>
      <c r="J10285" s="5" t="s">
        <v>46006</v>
      </c>
      <c r="K10285" s="5" t="s">
        <v>46007</v>
      </c>
      <c r="L10285" s="18" t="s">
        <v>243</v>
      </c>
      <c r="M10285" s="18" t="s">
        <v>29</v>
      </c>
      <c r="N10285" s="18" t="s">
        <v>46008</v>
      </c>
      <c r="O10285" s="18" t="s">
        <v>29</v>
      </c>
      <c r="P10285" s="18" t="s">
        <v>46009</v>
      </c>
      <c r="Q10285" s="6"/>
      <c r="R10285" s="6"/>
      <c r="S10285" s="6"/>
      <c r="T10285" s="6"/>
      <c r="U10285" s="6"/>
      <c r="V10285" s="8"/>
      <c r="W10285" s="8"/>
      <c r="X10285" s="8"/>
      <c r="Y10285" s="8"/>
    </row>
    <row r="10286" ht="14.25">
      <c r="B10286" s="18" t="s">
        <v>2249</v>
      </c>
      <c r="C10286" s="18" t="s">
        <v>46010</v>
      </c>
      <c r="D10286" s="18" t="s">
        <v>8042</v>
      </c>
      <c r="E10286" s="18" t="s">
        <v>46011</v>
      </c>
      <c r="F10286" s="18" t="str">
        <f>IFERROR(__XLUDF.DUMMYFUNCTION("PROPER(REGEXREPLACE(D198,""[^A-Za-z]+ "",""""))"),"Edwood Construction Bois")</f>
        <v xml:space="preserve">Edwood Construction Bois</v>
      </c>
      <c r="G10286" s="18" t="s">
        <v>46012</v>
      </c>
      <c r="H10286" s="18">
        <v>17</v>
      </c>
      <c r="I10286" s="18" t="s">
        <v>9239</v>
      </c>
      <c r="J10286" s="5" t="s">
        <v>46013</v>
      </c>
      <c r="K10286" s="5" t="s">
        <v>46014</v>
      </c>
      <c r="L10286" s="18" t="s">
        <v>846</v>
      </c>
      <c r="M10286" s="18" t="s">
        <v>29</v>
      </c>
      <c r="N10286" s="18" t="s">
        <v>46015</v>
      </c>
      <c r="O10286" s="18" t="s">
        <v>29</v>
      </c>
      <c r="P10286" s="6"/>
      <c r="Q10286" s="6"/>
      <c r="R10286" s="6"/>
      <c r="S10286" s="6"/>
      <c r="T10286" s="6"/>
      <c r="U10286" s="6"/>
      <c r="V10286" s="8"/>
      <c r="W10286" s="8"/>
      <c r="X10286" s="8"/>
      <c r="Y10286" s="8"/>
    </row>
    <row r="10287" ht="14.25">
      <c r="B10287" s="18" t="s">
        <v>2932</v>
      </c>
      <c r="C10287" s="18" t="s">
        <v>46016</v>
      </c>
      <c r="D10287" s="18" t="s">
        <v>172</v>
      </c>
      <c r="E10287" s="18" t="s">
        <v>46017</v>
      </c>
      <c r="F10287" s="18" t="str">
        <f>IFERROR(__XLUDF.DUMMYFUNCTION("PROPER(REGEXREPLACE(D199,""[^A-Za-z]+ "",""""))"),"Ouest Fondations")</f>
        <v xml:space="preserve">Ouest Fondations</v>
      </c>
      <c r="G10287" s="18" t="s">
        <v>46018</v>
      </c>
      <c r="H10287" s="18">
        <v>4</v>
      </c>
      <c r="I10287" s="18" t="s">
        <v>9239</v>
      </c>
      <c r="J10287" s="5" t="s">
        <v>46019</v>
      </c>
      <c r="K10287" s="5" t="s">
        <v>46020</v>
      </c>
      <c r="L10287" s="18" t="s">
        <v>1826</v>
      </c>
      <c r="M10287" s="18" t="s">
        <v>29</v>
      </c>
      <c r="N10287" s="18" t="s">
        <v>46021</v>
      </c>
      <c r="O10287" s="18" t="s">
        <v>29</v>
      </c>
      <c r="P10287" s="18" t="s">
        <v>46022</v>
      </c>
      <c r="Q10287" s="6"/>
      <c r="R10287" s="6"/>
      <c r="S10287" s="6"/>
      <c r="T10287" s="6"/>
      <c r="U10287" s="6"/>
      <c r="V10287" s="8"/>
      <c r="W10287" s="8"/>
      <c r="X10287" s="8"/>
      <c r="Y10287" s="8"/>
    </row>
    <row r="10288" ht="14.25">
      <c r="B10288" s="18" t="s">
        <v>46023</v>
      </c>
      <c r="C10288" s="18" t="s">
        <v>46024</v>
      </c>
      <c r="D10288" s="18" t="s">
        <v>46025</v>
      </c>
      <c r="E10288" s="18" t="s">
        <v>46026</v>
      </c>
      <c r="F10288" s="18" t="str">
        <f>IFERROR(__XLUDF.DUMMYFUNCTION("PROPER(REGEXREPLACE(D200,""[^A-Za-z]+ "",""""))"),"Gotrust")</f>
        <v>Gotrust</v>
      </c>
      <c r="G10288" s="18" t="s">
        <v>46027</v>
      </c>
      <c r="H10288" s="18">
        <v>4</v>
      </c>
      <c r="I10288" s="18" t="s">
        <v>9239</v>
      </c>
      <c r="J10288" s="5" t="s">
        <v>46028</v>
      </c>
      <c r="K10288" s="5" t="s">
        <v>46029</v>
      </c>
      <c r="L10288" s="18" t="s">
        <v>1015</v>
      </c>
      <c r="M10288" s="18" t="s">
        <v>29</v>
      </c>
      <c r="N10288" s="18" t="s">
        <v>46030</v>
      </c>
      <c r="O10288" s="18" t="s">
        <v>29</v>
      </c>
      <c r="P10288" s="18" t="s">
        <v>46031</v>
      </c>
      <c r="Q10288" s="6"/>
      <c r="R10288" s="6"/>
      <c r="S10288" s="6"/>
      <c r="T10288" s="6"/>
      <c r="U10288" s="6"/>
      <c r="V10288" s="8"/>
      <c r="W10288" s="8"/>
      <c r="X10288" s="8"/>
      <c r="Y10288" s="8"/>
    </row>
    <row r="10289" ht="14.25">
      <c r="B10289" s="18" t="s">
        <v>5103</v>
      </c>
      <c r="C10289" s="18" t="s">
        <v>46032</v>
      </c>
      <c r="D10289" s="18" t="s">
        <v>164</v>
      </c>
      <c r="E10289" s="18" t="s">
        <v>46033</v>
      </c>
      <c r="F10289" s="18" t="str">
        <f>IFERROR(__XLUDF.DUMMYFUNCTION("PROPER(REGEXREPLACE(D201,""[^A-Za-z]+ "",""""))"),"Bourgogne Couverture Dijon")</f>
        <v xml:space="preserve">Bourgogne Couverture Dijon</v>
      </c>
      <c r="G10289" s="18" t="s">
        <v>46034</v>
      </c>
      <c r="H10289" s="18">
        <v>4</v>
      </c>
      <c r="I10289" s="18" t="s">
        <v>9239</v>
      </c>
      <c r="J10289" s="5" t="s">
        <v>46035</v>
      </c>
      <c r="K10289" s="5" t="s">
        <v>46036</v>
      </c>
      <c r="L10289" s="18" t="s">
        <v>149</v>
      </c>
      <c r="M10289" s="18" t="s">
        <v>29</v>
      </c>
      <c r="N10289" s="18" t="s">
        <v>1394</v>
      </c>
      <c r="O10289" s="18" t="s">
        <v>29</v>
      </c>
      <c r="P10289" s="6"/>
      <c r="Q10289" s="6"/>
      <c r="R10289" s="6"/>
      <c r="S10289" s="6"/>
      <c r="T10289" s="6"/>
      <c r="U10289" s="6"/>
      <c r="V10289" s="8"/>
      <c r="W10289" s="8"/>
      <c r="X10289" s="8"/>
      <c r="Y10289" s="8"/>
    </row>
    <row r="10290" ht="14.25">
      <c r="B10290" s="18" t="s">
        <v>24920</v>
      </c>
      <c r="C10290" s="18" t="s">
        <v>46037</v>
      </c>
      <c r="D10290" s="18" t="s">
        <v>46038</v>
      </c>
      <c r="E10290" s="18" t="s">
        <v>46039</v>
      </c>
      <c r="F10290" s="18" t="str">
        <f>IFERROR(__XLUDF.DUMMYFUNCTION("PROPER(REGEXREPLACE(D202,""[^A-Za-z]+ "",""""))"),"Rpb Savoies Leman")</f>
        <v xml:space="preserve">Rpb Savoies Leman</v>
      </c>
      <c r="G10290" s="18" t="s">
        <v>46040</v>
      </c>
      <c r="H10290" s="6"/>
      <c r="I10290" s="6"/>
      <c r="J10290" s="5" t="s">
        <v>46041</v>
      </c>
      <c r="K10290" s="5" t="s">
        <v>46042</v>
      </c>
      <c r="L10290" s="18" t="s">
        <v>423</v>
      </c>
      <c r="M10290" s="18" t="s">
        <v>29</v>
      </c>
      <c r="N10290" s="18" t="s">
        <v>46043</v>
      </c>
      <c r="O10290" s="18" t="s">
        <v>29</v>
      </c>
      <c r="P10290" s="6"/>
      <c r="Q10290" s="6"/>
      <c r="R10290" s="6"/>
      <c r="S10290" s="6"/>
      <c r="T10290" s="6"/>
      <c r="U10290" s="6"/>
      <c r="V10290" s="8"/>
      <c r="W10290" s="8"/>
      <c r="X10290" s="8"/>
      <c r="Y10290" s="8"/>
    </row>
    <row r="10291" ht="14.25">
      <c r="B10291" s="18" t="s">
        <v>110</v>
      </c>
      <c r="C10291" s="18" t="s">
        <v>7505</v>
      </c>
      <c r="D10291" s="18" t="s">
        <v>172</v>
      </c>
      <c r="E10291" s="18" t="s">
        <v>46044</v>
      </c>
      <c r="F10291" s="18" t="str">
        <f>IFERROR(__XLUDF.DUMMYFUNCTION("PROPER(REGEXREPLACE(D203,""[^A-Za-z]+ "",""""))"),"H2Ouverture")</f>
        <v>H2Ouverture</v>
      </c>
      <c r="G10291" s="18" t="s">
        <v>46045</v>
      </c>
      <c r="H10291" s="6"/>
      <c r="I10291" s="6"/>
      <c r="J10291" s="5" t="s">
        <v>46046</v>
      </c>
      <c r="K10291" s="5" t="s">
        <v>46047</v>
      </c>
      <c r="L10291" s="18" t="s">
        <v>39</v>
      </c>
      <c r="M10291" s="18" t="s">
        <v>29</v>
      </c>
      <c r="N10291" s="18" t="s">
        <v>17675</v>
      </c>
      <c r="O10291" s="18" t="s">
        <v>29</v>
      </c>
      <c r="P10291" s="6"/>
      <c r="Q10291" s="6"/>
      <c r="R10291" s="6"/>
      <c r="S10291" s="6"/>
      <c r="T10291" s="6"/>
      <c r="U10291" s="6"/>
      <c r="V10291" s="8"/>
      <c r="W10291" s="8"/>
      <c r="X10291" s="8"/>
      <c r="Y10291" s="8"/>
    </row>
    <row r="10292" ht="14.25">
      <c r="B10292" s="18" t="s">
        <v>1732</v>
      </c>
      <c r="C10292" s="18" t="s">
        <v>25356</v>
      </c>
      <c r="D10292" s="18" t="s">
        <v>172</v>
      </c>
      <c r="E10292" s="18" t="s">
        <v>25357</v>
      </c>
      <c r="F10292" s="18" t="str">
        <f>IFERROR(__XLUDF.DUMMYFUNCTION("PROPER(REGEXREPLACE(D204,""[^A-Za-z]+ "",""""))"),"Seml Route Des Lasers")</f>
        <v xml:space="preserve">Seml Route Des Lasers</v>
      </c>
      <c r="G10292" s="18" t="s">
        <v>25358</v>
      </c>
      <c r="H10292" s="18">
        <v>18</v>
      </c>
      <c r="I10292" s="18" t="s">
        <v>4293</v>
      </c>
      <c r="J10292" s="5" t="s">
        <v>25359</v>
      </c>
      <c r="K10292" s="5" t="s">
        <v>25360</v>
      </c>
      <c r="L10292" s="6"/>
      <c r="M10292" s="18" t="s">
        <v>29</v>
      </c>
      <c r="N10292" s="18" t="s">
        <v>25361</v>
      </c>
      <c r="O10292" s="18" t="s">
        <v>29</v>
      </c>
      <c r="P10292" s="6"/>
      <c r="Q10292" s="6"/>
      <c r="R10292" s="6"/>
      <c r="S10292" s="6"/>
      <c r="T10292" s="6"/>
      <c r="U10292" s="6"/>
      <c r="V10292" s="8"/>
      <c r="W10292" s="8"/>
      <c r="X10292" s="8"/>
      <c r="Y10292" s="8"/>
    </row>
    <row r="10293" ht="14.25">
      <c r="B10293" s="18" t="s">
        <v>4048</v>
      </c>
      <c r="C10293" s="18" t="s">
        <v>46048</v>
      </c>
      <c r="D10293" s="18" t="s">
        <v>46049</v>
      </c>
      <c r="E10293" s="18" t="s">
        <v>46050</v>
      </c>
      <c r="F10293" s="18" t="str">
        <f>IFERROR(__XLUDF.DUMMYFUNCTION("PROPER(REGEXREPLACE(D205,""[^A-Za-z]+ "",""""))"),"Somen")</f>
        <v>Somen</v>
      </c>
      <c r="G10293" s="18" t="s">
        <v>46051</v>
      </c>
      <c r="H10293" s="18">
        <v>15</v>
      </c>
      <c r="I10293" s="18" t="s">
        <v>9239</v>
      </c>
      <c r="J10293" s="5" t="s">
        <v>46052</v>
      </c>
      <c r="K10293" s="5" t="s">
        <v>46053</v>
      </c>
      <c r="L10293" s="6"/>
      <c r="M10293" s="18" t="s">
        <v>29</v>
      </c>
      <c r="N10293" s="18" t="s">
        <v>46054</v>
      </c>
      <c r="O10293" s="18" t="s">
        <v>29</v>
      </c>
      <c r="P10293" s="18" t="s">
        <v>46050</v>
      </c>
      <c r="Q10293" s="6"/>
      <c r="R10293" s="6"/>
      <c r="S10293" s="6"/>
      <c r="T10293" s="6"/>
      <c r="U10293" s="6"/>
      <c r="V10293" s="8"/>
      <c r="W10293" s="8"/>
      <c r="X10293" s="8"/>
      <c r="Y10293" s="8"/>
    </row>
    <row r="10294" ht="14.25">
      <c r="B10294" s="18" t="s">
        <v>622</v>
      </c>
      <c r="C10294" s="18" t="s">
        <v>46055</v>
      </c>
      <c r="D10294" s="18" t="s">
        <v>112</v>
      </c>
      <c r="E10294" s="18" t="s">
        <v>46056</v>
      </c>
      <c r="F10294" s="18" t="str">
        <f>IFERROR(__XLUDF.DUMMYFUNCTION("PROPER(REGEXREPLACE(D206,""[^A-Za-z]+ "",""""))"),"Ccmt Sas")</f>
        <v xml:space="preserve">Ccmt Sas</v>
      </c>
      <c r="G10294" s="18" t="s">
        <v>46057</v>
      </c>
      <c r="H10294" s="18">
        <v>11</v>
      </c>
      <c r="I10294" s="18" t="s">
        <v>9239</v>
      </c>
      <c r="J10294" s="5" t="s">
        <v>46058</v>
      </c>
      <c r="K10294" s="5" t="s">
        <v>46059</v>
      </c>
      <c r="L10294" s="18" t="s">
        <v>39</v>
      </c>
      <c r="M10294" s="18" t="s">
        <v>29</v>
      </c>
      <c r="N10294" s="18" t="s">
        <v>46060</v>
      </c>
      <c r="O10294" s="18" t="s">
        <v>29</v>
      </c>
      <c r="P10294" s="6"/>
      <c r="Q10294" s="6"/>
      <c r="R10294" s="6"/>
      <c r="S10294" s="6"/>
      <c r="T10294" s="6"/>
      <c r="U10294" s="6"/>
      <c r="V10294" s="8"/>
      <c r="W10294" s="8"/>
      <c r="X10294" s="8"/>
      <c r="Y10294" s="8"/>
    </row>
    <row r="10295" ht="14.25">
      <c r="B10295" s="18" t="s">
        <v>7714</v>
      </c>
      <c r="C10295" s="18" t="s">
        <v>46061</v>
      </c>
      <c r="D10295" s="18" t="s">
        <v>112</v>
      </c>
      <c r="E10295" s="18" t="s">
        <v>46062</v>
      </c>
      <c r="F10295" s="18" t="str">
        <f>IFERROR(__XLUDF.DUMMYFUNCTION("PROPER(REGEXREPLACE(D207,""[^A-Za-z]+ "",""""))"),"Cosinus")</f>
        <v>Cosinus</v>
      </c>
      <c r="G10295" s="18" t="s">
        <v>46063</v>
      </c>
      <c r="H10295" s="18">
        <v>17</v>
      </c>
      <c r="I10295" s="18" t="s">
        <v>9239</v>
      </c>
      <c r="J10295" s="5" t="s">
        <v>46064</v>
      </c>
      <c r="K10295" s="5" t="s">
        <v>46065</v>
      </c>
      <c r="L10295" s="18" t="s">
        <v>185</v>
      </c>
      <c r="M10295" s="18" t="s">
        <v>29</v>
      </c>
      <c r="N10295" s="18" t="s">
        <v>46066</v>
      </c>
      <c r="O10295" s="18" t="s">
        <v>29</v>
      </c>
      <c r="P10295" s="18" t="s">
        <v>46067</v>
      </c>
      <c r="Q10295" s="6"/>
      <c r="R10295" s="6"/>
      <c r="S10295" s="6"/>
      <c r="T10295" s="6"/>
      <c r="U10295" s="6"/>
      <c r="V10295" s="8"/>
      <c r="W10295" s="8"/>
      <c r="X10295" s="8"/>
      <c r="Y10295" s="8"/>
    </row>
    <row r="10296" ht="14.25">
      <c r="B10296" s="18" t="s">
        <v>3019</v>
      </c>
      <c r="C10296" s="18" t="s">
        <v>46068</v>
      </c>
      <c r="D10296" s="18" t="s">
        <v>112</v>
      </c>
      <c r="E10296" s="18" t="s">
        <v>46069</v>
      </c>
      <c r="F10296" s="18" t="str">
        <f>IFERROR(__XLUDF.DUMMYFUNCTION("PROPER(REGEXREPLACE(D208,""[^A-Za-z]+ "",""""))"),"Interisol")</f>
        <v>Interisol</v>
      </c>
      <c r="G10296" s="18" t="s">
        <v>46070</v>
      </c>
      <c r="H10296" s="6"/>
      <c r="I10296" s="6"/>
      <c r="J10296" s="5" t="s">
        <v>46071</v>
      </c>
      <c r="K10296" s="5" t="s">
        <v>46072</v>
      </c>
      <c r="L10296" s="18" t="s">
        <v>6489</v>
      </c>
      <c r="M10296" s="18" t="s">
        <v>29</v>
      </c>
      <c r="N10296" s="18" t="s">
        <v>46073</v>
      </c>
      <c r="O10296" s="18" t="s">
        <v>29</v>
      </c>
      <c r="P10296" s="6"/>
      <c r="Q10296" s="6"/>
      <c r="R10296" s="6"/>
      <c r="S10296" s="6"/>
      <c r="T10296" s="6"/>
      <c r="U10296" s="6"/>
      <c r="V10296" s="8"/>
      <c r="W10296" s="8"/>
      <c r="X10296" s="8"/>
      <c r="Y10296" s="8"/>
    </row>
    <row r="10297" ht="14.25">
      <c r="B10297" s="18" t="s">
        <v>6634</v>
      </c>
      <c r="C10297" s="18" t="s">
        <v>46074</v>
      </c>
      <c r="D10297" s="18" t="s">
        <v>1130</v>
      </c>
      <c r="E10297" s="18" t="s">
        <v>46075</v>
      </c>
      <c r="F10297" s="18" t="str">
        <f>IFERROR(__XLUDF.DUMMYFUNCTION("PROPER(REGEXREPLACE(D209,""[^A-Za-z]+ "",""""))"),"Les Nouveaux Batisseurs Associes")</f>
        <v xml:space="preserve">Les Nouveaux Batisseurs Associes</v>
      </c>
      <c r="G10297" s="18" t="s">
        <v>46076</v>
      </c>
      <c r="H10297" s="18">
        <v>23</v>
      </c>
      <c r="I10297" s="18" t="s">
        <v>9239</v>
      </c>
      <c r="J10297" s="5" t="s">
        <v>46077</v>
      </c>
      <c r="K10297" s="5" t="s">
        <v>46078</v>
      </c>
      <c r="L10297" s="6"/>
      <c r="M10297" s="18" t="s">
        <v>29</v>
      </c>
      <c r="N10297" s="18" t="s">
        <v>24493</v>
      </c>
      <c r="O10297" s="18" t="s">
        <v>29</v>
      </c>
      <c r="P10297" s="6"/>
      <c r="Q10297" s="6"/>
      <c r="R10297" s="6"/>
      <c r="S10297" s="6"/>
      <c r="T10297" s="6"/>
      <c r="U10297" s="6"/>
      <c r="V10297" s="8"/>
      <c r="W10297" s="8"/>
      <c r="X10297" s="8"/>
      <c r="Y10297" s="8"/>
    </row>
    <row r="10298" ht="14.25">
      <c r="B10298" s="18" t="s">
        <v>2138</v>
      </c>
      <c r="C10298" s="18" t="s">
        <v>46079</v>
      </c>
      <c r="D10298" s="18" t="s">
        <v>46080</v>
      </c>
      <c r="E10298" s="18" t="s">
        <v>46081</v>
      </c>
      <c r="F10298" s="18" t="str">
        <f>IFERROR(__XLUDF.DUMMYFUNCTION("PROPER(REGEXREPLACE(D210,""[^A-Za-z]+ "",""""))"),"Euclid Ingénierie")</f>
        <v xml:space="preserve">Euclid Ingénierie</v>
      </c>
      <c r="G10298" s="18" t="s">
        <v>46082</v>
      </c>
      <c r="H10298" s="18">
        <v>42</v>
      </c>
      <c r="I10298" s="18" t="s">
        <v>9239</v>
      </c>
      <c r="J10298" s="5" t="s">
        <v>46083</v>
      </c>
      <c r="K10298" s="5" t="s">
        <v>46084</v>
      </c>
      <c r="L10298" s="18" t="s">
        <v>9237</v>
      </c>
      <c r="M10298" s="18" t="s">
        <v>29</v>
      </c>
      <c r="N10298" s="18" t="s">
        <v>46085</v>
      </c>
      <c r="O10298" s="18" t="s">
        <v>29</v>
      </c>
      <c r="P10298" s="18" t="s">
        <v>46086</v>
      </c>
      <c r="Q10298" s="6"/>
      <c r="R10298" s="6"/>
      <c r="S10298" s="6"/>
      <c r="T10298" s="6"/>
      <c r="U10298" s="6"/>
      <c r="V10298" s="8"/>
      <c r="W10298" s="8"/>
      <c r="X10298" s="8"/>
      <c r="Y10298" s="8"/>
    </row>
    <row r="10299" ht="14.25">
      <c r="B10299" s="18" t="s">
        <v>874</v>
      </c>
      <c r="C10299" s="18" t="s">
        <v>46087</v>
      </c>
      <c r="D10299" s="18" t="s">
        <v>1130</v>
      </c>
      <c r="E10299" s="18" t="s">
        <v>46088</v>
      </c>
      <c r="F10299" s="18" t="str">
        <f>IFERROR(__XLUDF.DUMMYFUNCTION("PROPER(REGEXREPLACE(D211,""[^A-Za-z]+ "",""""))"),"Femil")</f>
        <v>Femil</v>
      </c>
      <c r="G10299" s="18" t="s">
        <v>46089</v>
      </c>
      <c r="H10299" s="18">
        <v>13</v>
      </c>
      <c r="I10299" s="18" t="s">
        <v>9239</v>
      </c>
      <c r="J10299" s="5" t="s">
        <v>46090</v>
      </c>
      <c r="K10299" s="5" t="s">
        <v>46091</v>
      </c>
      <c r="L10299" s="18" t="s">
        <v>46092</v>
      </c>
      <c r="M10299" s="18" t="s">
        <v>29</v>
      </c>
      <c r="N10299" s="18" t="s">
        <v>29</v>
      </c>
      <c r="O10299" s="18" t="s">
        <v>29</v>
      </c>
      <c r="P10299" s="18" t="s">
        <v>46093</v>
      </c>
      <c r="Q10299" s="6"/>
      <c r="R10299" s="6"/>
      <c r="S10299" s="6"/>
      <c r="T10299" s="6"/>
      <c r="U10299" s="6"/>
      <c r="V10299" s="8"/>
      <c r="W10299" s="8"/>
      <c r="X10299" s="8"/>
      <c r="Y10299" s="8"/>
    </row>
    <row r="10300" ht="14.25">
      <c r="B10300" s="18" t="s">
        <v>1215</v>
      </c>
      <c r="C10300" s="18" t="s">
        <v>46094</v>
      </c>
      <c r="D10300" s="18" t="s">
        <v>112</v>
      </c>
      <c r="E10300" s="18" t="s">
        <v>46095</v>
      </c>
      <c r="F10300" s="18" t="str">
        <f>IFERROR(__XLUDF.DUMMYFUNCTION("PROPER(REGEXREPLACE(D212,""[^A-Za-z]+ "",""""))"),"Stores Ecochard")</f>
        <v xml:space="preserve">Stores Ecochard</v>
      </c>
      <c r="G10300" s="18" t="s">
        <v>46096</v>
      </c>
      <c r="H10300" s="18">
        <v>11</v>
      </c>
      <c r="I10300" s="18" t="s">
        <v>9239</v>
      </c>
      <c r="J10300" s="5" t="s">
        <v>46097</v>
      </c>
      <c r="K10300" s="5" t="s">
        <v>46098</v>
      </c>
      <c r="L10300" s="18" t="s">
        <v>46099</v>
      </c>
      <c r="M10300" s="18" t="s">
        <v>29</v>
      </c>
      <c r="N10300" s="18" t="s">
        <v>46100</v>
      </c>
      <c r="O10300" s="18" t="s">
        <v>29</v>
      </c>
      <c r="P10300" s="6"/>
      <c r="Q10300" s="6"/>
      <c r="R10300" s="6"/>
      <c r="S10300" s="6"/>
      <c r="T10300" s="6"/>
      <c r="U10300" s="6"/>
      <c r="V10300" s="8"/>
      <c r="W10300" s="8"/>
      <c r="X10300" s="8"/>
      <c r="Y10300" s="8"/>
    </row>
    <row r="10301" ht="14.25">
      <c r="B10301" s="18" t="s">
        <v>76</v>
      </c>
      <c r="C10301" s="18" t="s">
        <v>46101</v>
      </c>
      <c r="D10301" s="18" t="s">
        <v>112</v>
      </c>
      <c r="E10301" s="18" t="s">
        <v>46102</v>
      </c>
      <c r="F10301" s="18" t="str">
        <f>IFERROR(__XLUDF.DUMMYFUNCTION("PROPER(REGEXREPLACE(D213,""[^A-Za-z]+ "",""""))"),"Menuiserie Darbois")</f>
        <v xml:space="preserve">Menuiserie Darbois</v>
      </c>
      <c r="G10301" s="18" t="s">
        <v>46103</v>
      </c>
      <c r="H10301" s="18">
        <v>2</v>
      </c>
      <c r="I10301" s="18" t="s">
        <v>9239</v>
      </c>
      <c r="J10301" s="5" t="s">
        <v>46104</v>
      </c>
      <c r="K10301" s="5" t="s">
        <v>46105</v>
      </c>
      <c r="L10301" s="18" t="s">
        <v>17631</v>
      </c>
      <c r="M10301" s="18" t="s">
        <v>29</v>
      </c>
      <c r="N10301" s="18" t="s">
        <v>21122</v>
      </c>
      <c r="O10301" s="18" t="s">
        <v>29</v>
      </c>
      <c r="P10301" s="6"/>
      <c r="Q10301" s="6"/>
      <c r="R10301" s="6"/>
      <c r="S10301" s="6"/>
      <c r="T10301" s="6"/>
      <c r="U10301" s="6"/>
      <c r="V10301" s="8"/>
      <c r="W10301" s="8"/>
      <c r="X10301" s="8"/>
      <c r="Y10301" s="8"/>
    </row>
    <row r="10302" ht="14.25">
      <c r="B10302" s="18" t="s">
        <v>222</v>
      </c>
      <c r="C10302" s="18" t="s">
        <v>23551</v>
      </c>
      <c r="D10302" s="18" t="s">
        <v>112</v>
      </c>
      <c r="E10302" s="18" t="s">
        <v>46106</v>
      </c>
      <c r="F10302" s="18" t="str">
        <f>IFERROR(__XLUDF.DUMMYFUNCTION("PROPER(REGEXREPLACE(D214,""[^A-Za-z]+ "",""""))"),"Mixcite")</f>
        <v>Mixcite</v>
      </c>
      <c r="G10302" s="18" t="s">
        <v>46107</v>
      </c>
      <c r="H10302" s="18">
        <v>6</v>
      </c>
      <c r="I10302" s="18" t="s">
        <v>4293</v>
      </c>
      <c r="J10302" s="5" t="s">
        <v>46108</v>
      </c>
      <c r="K10302" s="5" t="s">
        <v>46109</v>
      </c>
      <c r="L10302" s="18" t="s">
        <v>243</v>
      </c>
      <c r="M10302" s="18" t="s">
        <v>29</v>
      </c>
      <c r="N10302" s="18" t="s">
        <v>46110</v>
      </c>
      <c r="O10302" s="18" t="s">
        <v>29</v>
      </c>
      <c r="P10302" s="18" t="s">
        <v>46111</v>
      </c>
      <c r="Q10302" s="6"/>
      <c r="R10302" s="6"/>
      <c r="S10302" s="6"/>
      <c r="T10302" s="6"/>
      <c r="U10302" s="6"/>
      <c r="V10302" s="8"/>
      <c r="W10302" s="8"/>
      <c r="X10302" s="8"/>
      <c r="Y10302" s="8"/>
    </row>
    <row r="10303" ht="14.25">
      <c r="B10303" s="18" t="s">
        <v>222</v>
      </c>
      <c r="C10303" s="18" t="s">
        <v>46112</v>
      </c>
      <c r="D10303" s="18" t="s">
        <v>879</v>
      </c>
      <c r="E10303" s="18" t="s">
        <v>46113</v>
      </c>
      <c r="F10303" s="18" t="str">
        <f>IFERROR(__XLUDF.DUMMYFUNCTION("PROPER(REGEXREPLACE(D215,""[^A-Za-z]+ "",""""))"),"Resonance Acoustique France")</f>
        <v xml:space="preserve">Resonance Acoustique France</v>
      </c>
      <c r="G10303" s="18" t="s">
        <v>46114</v>
      </c>
      <c r="H10303" s="18">
        <v>1</v>
      </c>
      <c r="I10303" s="18" t="s">
        <v>9239</v>
      </c>
      <c r="J10303" s="5" t="s">
        <v>46115</v>
      </c>
      <c r="K10303" s="5" t="s">
        <v>46116</v>
      </c>
      <c r="L10303" s="18" t="s">
        <v>2186</v>
      </c>
      <c r="M10303" s="18" t="s">
        <v>29</v>
      </c>
      <c r="N10303" s="18" t="s">
        <v>46117</v>
      </c>
      <c r="O10303" s="18" t="s">
        <v>29</v>
      </c>
      <c r="P10303" s="18" t="s">
        <v>46118</v>
      </c>
      <c r="Q10303" s="6"/>
      <c r="R10303" s="6"/>
      <c r="S10303" s="6"/>
      <c r="T10303" s="6"/>
      <c r="U10303" s="6"/>
      <c r="V10303" s="8"/>
      <c r="W10303" s="8"/>
      <c r="X10303" s="8"/>
      <c r="Y10303" s="8"/>
    </row>
    <row r="10304" ht="14.25">
      <c r="B10304" s="18" t="s">
        <v>734</v>
      </c>
      <c r="C10304" s="18" t="s">
        <v>45195</v>
      </c>
      <c r="D10304" s="18" t="s">
        <v>172</v>
      </c>
      <c r="E10304" s="18" t="s">
        <v>46119</v>
      </c>
      <c r="F10304" s="18" t="str">
        <f>IFERROR(__XLUDF.DUMMYFUNCTION("PROPER(REGEXREPLACE(D216,""[^A-Za-z]+ "",""""))"),"Afc")</f>
        <v>Afc</v>
      </c>
      <c r="G10304" s="18" t="s">
        <v>46120</v>
      </c>
      <c r="H10304" s="18">
        <v>8</v>
      </c>
      <c r="I10304" s="18" t="s">
        <v>9239</v>
      </c>
      <c r="J10304" s="5" t="s">
        <v>46121</v>
      </c>
      <c r="K10304" s="5" t="s">
        <v>46122</v>
      </c>
      <c r="L10304" s="18" t="s">
        <v>1312</v>
      </c>
      <c r="M10304" s="18" t="s">
        <v>29</v>
      </c>
      <c r="N10304" s="18" t="s">
        <v>20454</v>
      </c>
      <c r="O10304" s="18" t="s">
        <v>29</v>
      </c>
      <c r="P10304" s="18" t="s">
        <v>46123</v>
      </c>
      <c r="Q10304" s="6"/>
      <c r="R10304" s="6"/>
      <c r="S10304" s="6"/>
      <c r="T10304" s="6"/>
      <c r="U10304" s="6"/>
      <c r="V10304" s="8"/>
      <c r="W10304" s="8"/>
      <c r="X10304" s="8"/>
      <c r="Y10304" s="8"/>
    </row>
    <row r="10305" ht="14.25">
      <c r="B10305" s="18" t="s">
        <v>7943</v>
      </c>
      <c r="C10305" s="18" t="s">
        <v>46124</v>
      </c>
      <c r="D10305" s="18" t="s">
        <v>112</v>
      </c>
      <c r="E10305" s="18" t="s">
        <v>46125</v>
      </c>
      <c r="F10305" s="18" t="str">
        <f>IFERROR(__XLUDF.DUMMYFUNCTION("PROPER(REGEXREPLACE(D217,""[^A-Za-z]+ "",""""))"),"H2O")</f>
        <v>H2O</v>
      </c>
      <c r="G10305" s="18" t="s">
        <v>46126</v>
      </c>
      <c r="H10305" s="18">
        <v>29</v>
      </c>
      <c r="I10305" s="18" t="s">
        <v>9239</v>
      </c>
      <c r="J10305" s="5" t="s">
        <v>46127</v>
      </c>
      <c r="K10305" s="5" t="s">
        <v>46128</v>
      </c>
      <c r="L10305" s="18" t="s">
        <v>39</v>
      </c>
      <c r="M10305" s="18" t="s">
        <v>29</v>
      </c>
      <c r="N10305" s="18" t="s">
        <v>46129</v>
      </c>
      <c r="O10305" s="18" t="s">
        <v>29</v>
      </c>
      <c r="P10305" s="18" t="s">
        <v>46130</v>
      </c>
      <c r="Q10305" s="6"/>
      <c r="R10305" s="6"/>
      <c r="S10305" s="6"/>
      <c r="T10305" s="6"/>
      <c r="U10305" s="6"/>
      <c r="V10305" s="8"/>
      <c r="W10305" s="8"/>
      <c r="X10305" s="8"/>
      <c r="Y10305" s="8"/>
    </row>
    <row r="10306" ht="14.25">
      <c r="B10306" s="18" t="s">
        <v>1853</v>
      </c>
      <c r="C10306" s="18" t="s">
        <v>46131</v>
      </c>
      <c r="D10306" s="18" t="s">
        <v>3637</v>
      </c>
      <c r="E10306" s="18" t="s">
        <v>46132</v>
      </c>
      <c r="F10306" s="18" t="str">
        <f>IFERROR(__XLUDF.DUMMYFUNCTION("PROPER(REGEXREPLACE(D218,""[^A-Za-z]+ "",""""))"),"Stepelec")</f>
        <v>Stepelec</v>
      </c>
      <c r="G10306" s="18" t="s">
        <v>46133</v>
      </c>
      <c r="H10306" s="18">
        <v>34</v>
      </c>
      <c r="I10306" s="18" t="s">
        <v>9239</v>
      </c>
      <c r="J10306" s="5" t="s">
        <v>46134</v>
      </c>
      <c r="K10306" s="5" t="s">
        <v>46135</v>
      </c>
      <c r="L10306" s="18" t="s">
        <v>6954</v>
      </c>
      <c r="M10306" s="18" t="s">
        <v>29</v>
      </c>
      <c r="N10306" s="18" t="s">
        <v>46136</v>
      </c>
      <c r="O10306" s="18" t="s">
        <v>29</v>
      </c>
      <c r="P10306" s="18" t="s">
        <v>46137</v>
      </c>
      <c r="Q10306" s="6"/>
      <c r="R10306" s="6"/>
      <c r="S10306" s="6"/>
      <c r="T10306" s="6"/>
      <c r="U10306" s="6"/>
      <c r="V10306" s="8"/>
      <c r="W10306" s="8"/>
      <c r="X10306" s="8"/>
      <c r="Y10306" s="8"/>
    </row>
    <row r="10307" ht="14.25">
      <c r="B10307" s="18" t="s">
        <v>1596</v>
      </c>
      <c r="C10307" s="18" t="s">
        <v>46138</v>
      </c>
      <c r="D10307" s="18" t="s">
        <v>112</v>
      </c>
      <c r="E10307" s="18" t="s">
        <v>46139</v>
      </c>
      <c r="F10307" s="18" t="str">
        <f>IFERROR(__XLUDF.DUMMYFUNCTION("PROPER(REGEXREPLACE(D219,""[^A-Za-z]+ "",""""))"),"Groupe Pelletier")</f>
        <v xml:space="preserve">Groupe Pelletier</v>
      </c>
      <c r="G10307" s="18" t="s">
        <v>46140</v>
      </c>
      <c r="H10307" s="18">
        <v>34</v>
      </c>
      <c r="I10307" s="18" t="s">
        <v>9239</v>
      </c>
      <c r="J10307" s="5" t="s">
        <v>46141</v>
      </c>
      <c r="K10307" s="5" t="s">
        <v>46142</v>
      </c>
      <c r="L10307" s="18" t="s">
        <v>46143</v>
      </c>
      <c r="M10307" s="18" t="s">
        <v>29</v>
      </c>
      <c r="N10307" s="18" t="s">
        <v>46144</v>
      </c>
      <c r="O10307" s="18" t="s">
        <v>29</v>
      </c>
      <c r="P10307" s="18" t="s">
        <v>46145</v>
      </c>
      <c r="Q10307" s="6"/>
      <c r="R10307" s="6"/>
      <c r="S10307" s="6"/>
      <c r="T10307" s="6"/>
      <c r="U10307" s="6"/>
      <c r="V10307" s="8"/>
      <c r="W10307" s="8"/>
      <c r="X10307" s="8"/>
      <c r="Y10307" s="8"/>
    </row>
    <row r="10308" ht="14.25">
      <c r="B10308" s="18" t="s">
        <v>5252</v>
      </c>
      <c r="C10308" s="18" t="s">
        <v>948</v>
      </c>
      <c r="D10308" s="18" t="s">
        <v>112</v>
      </c>
      <c r="E10308" s="18" t="s">
        <v>46146</v>
      </c>
      <c r="F10308" s="18" t="str">
        <f>IFERROR(__XLUDF.DUMMYFUNCTION("PROPER(REGEXREPLACE(D220,""[^A-Za-z]+ "",""""))"),"E2J")</f>
        <v>E2J</v>
      </c>
      <c r="G10308" s="18" t="s">
        <v>46147</v>
      </c>
      <c r="H10308" s="18">
        <v>19</v>
      </c>
      <c r="I10308" s="18" t="s">
        <v>9239</v>
      </c>
      <c r="J10308" s="5" t="s">
        <v>46148</v>
      </c>
      <c r="K10308" s="5" t="s">
        <v>46149</v>
      </c>
      <c r="L10308" s="18" t="s">
        <v>295</v>
      </c>
      <c r="M10308" s="18" t="s">
        <v>29</v>
      </c>
      <c r="N10308" s="18" t="s">
        <v>46150</v>
      </c>
      <c r="O10308" s="18" t="s">
        <v>29</v>
      </c>
      <c r="P10308" s="18" t="s">
        <v>46151</v>
      </c>
      <c r="Q10308" s="6"/>
      <c r="R10308" s="6"/>
      <c r="S10308" s="6"/>
      <c r="T10308" s="6"/>
      <c r="U10308" s="6"/>
      <c r="V10308" s="8"/>
      <c r="W10308" s="8"/>
      <c r="X10308" s="8"/>
      <c r="Y10308" s="8"/>
    </row>
    <row r="10309" ht="14.25">
      <c r="B10309" s="18" t="s">
        <v>46152</v>
      </c>
      <c r="C10309" s="18" t="s">
        <v>46153</v>
      </c>
      <c r="D10309" s="18" t="s">
        <v>46154</v>
      </c>
      <c r="E10309" s="18" t="s">
        <v>46155</v>
      </c>
      <c r="F10309" s="18" t="str">
        <f>IFERROR(__XLUDF.DUMMYFUNCTION("PROPER(REGEXREPLACE(D221,""[^A-Za-z]+ "",""""))"),"Momi")</f>
        <v>Momi</v>
      </c>
      <c r="G10309" s="18" t="s">
        <v>46156</v>
      </c>
      <c r="H10309" s="18">
        <v>20</v>
      </c>
      <c r="I10309" s="18" t="s">
        <v>10167</v>
      </c>
      <c r="J10309" s="5" t="s">
        <v>46157</v>
      </c>
      <c r="K10309" s="5" t="s">
        <v>46158</v>
      </c>
      <c r="L10309" s="18" t="s">
        <v>39</v>
      </c>
      <c r="M10309" s="18" t="s">
        <v>29</v>
      </c>
      <c r="N10309" s="18" t="s">
        <v>46159</v>
      </c>
      <c r="O10309" s="18" t="s">
        <v>29</v>
      </c>
      <c r="P10309" s="18" t="s">
        <v>46160</v>
      </c>
      <c r="Q10309" s="6"/>
      <c r="R10309" s="6"/>
      <c r="S10309" s="6"/>
      <c r="T10309" s="6"/>
      <c r="U10309" s="6"/>
      <c r="V10309" s="8"/>
      <c r="W10309" s="8"/>
      <c r="X10309" s="8"/>
      <c r="Y10309" s="8"/>
    </row>
    <row r="10310" ht="14.25">
      <c r="B10310" s="18" t="s">
        <v>206</v>
      </c>
      <c r="C10310" s="18" t="s">
        <v>46161</v>
      </c>
      <c r="D10310" s="18" t="s">
        <v>487</v>
      </c>
      <c r="E10310" s="18" t="s">
        <v>46162</v>
      </c>
      <c r="F10310" s="18" t="str">
        <f>IFERROR(__XLUDF.DUMMYFUNCTION("PROPER(REGEXREPLACE(D222,""[^A-Za-z]+ "",""""))"),"Renov'Eco")</f>
        <v>Renov'Eco</v>
      </c>
      <c r="G10310" s="18" t="s">
        <v>46163</v>
      </c>
      <c r="H10310" s="18">
        <v>53</v>
      </c>
      <c r="I10310" s="18" t="s">
        <v>9239</v>
      </c>
      <c r="J10310" s="5" t="s">
        <v>46164</v>
      </c>
      <c r="K10310" s="5" t="s">
        <v>46165</v>
      </c>
      <c r="L10310" s="18" t="s">
        <v>24870</v>
      </c>
      <c r="M10310" s="18" t="s">
        <v>29</v>
      </c>
      <c r="N10310" s="18" t="s">
        <v>46166</v>
      </c>
      <c r="O10310" s="18" t="s">
        <v>29</v>
      </c>
      <c r="P10310" s="18" t="s">
        <v>46167</v>
      </c>
      <c r="Q10310" s="6"/>
      <c r="R10310" s="6"/>
      <c r="S10310" s="6"/>
      <c r="T10310" s="6"/>
      <c r="U10310" s="6"/>
      <c r="V10310" s="8"/>
      <c r="W10310" s="8"/>
      <c r="X10310" s="8"/>
      <c r="Y10310" s="8"/>
    </row>
    <row r="10311" ht="14.25">
      <c r="B10311" s="18" t="s">
        <v>5001</v>
      </c>
      <c r="C10311" s="18" t="s">
        <v>10792</v>
      </c>
      <c r="D10311" s="18" t="s">
        <v>1130</v>
      </c>
      <c r="E10311" s="18" t="s">
        <v>46168</v>
      </c>
      <c r="F10311" s="18" t="str">
        <f>IFERROR(__XLUDF.DUMMYFUNCTION("PROPER(REGEXREPLACE(D223,""[^A-Za-z]+ "",""""))"),"Bouchet T.P")</f>
        <v xml:space="preserve">Bouchet T.P</v>
      </c>
      <c r="G10311" s="18" t="s">
        <v>46169</v>
      </c>
      <c r="H10311" s="6"/>
      <c r="I10311" s="6"/>
      <c r="J10311" s="5" t="s">
        <v>46170</v>
      </c>
      <c r="K10311" s="5" t="s">
        <v>46171</v>
      </c>
      <c r="L10311" s="18" t="s">
        <v>46172</v>
      </c>
      <c r="M10311" s="18" t="s">
        <v>29</v>
      </c>
      <c r="N10311" s="18" t="s">
        <v>46173</v>
      </c>
      <c r="O10311" s="18" t="s">
        <v>29</v>
      </c>
      <c r="P10311" s="6"/>
      <c r="Q10311" s="6"/>
      <c r="R10311" s="6"/>
      <c r="S10311" s="6"/>
      <c r="T10311" s="6"/>
      <c r="U10311" s="6"/>
      <c r="V10311" s="8"/>
      <c r="W10311" s="8"/>
      <c r="X10311" s="8"/>
      <c r="Y10311" s="8"/>
    </row>
    <row r="10312" ht="14.25">
      <c r="B10312" s="18" t="s">
        <v>24920</v>
      </c>
      <c r="C10312" s="18" t="s">
        <v>46174</v>
      </c>
      <c r="D10312" s="18" t="s">
        <v>112</v>
      </c>
      <c r="E10312" s="18" t="s">
        <v>46175</v>
      </c>
      <c r="F10312" s="18" t="str">
        <f>IFERROR(__XLUDF.DUMMYFUNCTION("PROPER(REGEXREPLACE(D224,""[^A-Za-z]+ "",""""))"),"Borello Isoclair")</f>
        <v xml:space="preserve">Borello Isoclair</v>
      </c>
      <c r="G10312" s="18" t="s">
        <v>46176</v>
      </c>
      <c r="H10312" s="18">
        <v>15</v>
      </c>
      <c r="I10312" s="18" t="s">
        <v>9239</v>
      </c>
      <c r="J10312" s="5" t="s">
        <v>46177</v>
      </c>
      <c r="K10312" s="5" t="s">
        <v>46178</v>
      </c>
      <c r="L10312" s="18" t="s">
        <v>185</v>
      </c>
      <c r="M10312" s="18" t="s">
        <v>29</v>
      </c>
      <c r="N10312" s="18" t="s">
        <v>46179</v>
      </c>
      <c r="O10312" s="18" t="s">
        <v>29</v>
      </c>
      <c r="P10312" s="18" t="s">
        <v>46180</v>
      </c>
      <c r="Q10312" s="6"/>
      <c r="R10312" s="6"/>
      <c r="S10312" s="6"/>
      <c r="T10312" s="6"/>
      <c r="U10312" s="6"/>
      <c r="V10312" s="8"/>
      <c r="W10312" s="8"/>
      <c r="X10312" s="8"/>
      <c r="Y10312" s="8"/>
    </row>
    <row r="10313" ht="14.25">
      <c r="B10313" s="18" t="s">
        <v>6844</v>
      </c>
      <c r="C10313" s="18" t="s">
        <v>17621</v>
      </c>
      <c r="D10313" s="18" t="s">
        <v>172</v>
      </c>
      <c r="E10313" s="18" t="s">
        <v>46181</v>
      </c>
      <c r="F10313" s="18" t="str">
        <f>IFERROR(__XLUDF.DUMMYFUNCTION("PROPER(REGEXREPLACE(D225,""[^A-Za-z]+ "",""""))"),"Ahrpe")</f>
        <v>Ahrpe</v>
      </c>
      <c r="G10313" s="18" t="s">
        <v>46182</v>
      </c>
      <c r="H10313" s="18">
        <v>15</v>
      </c>
      <c r="I10313" s="18" t="s">
        <v>9239</v>
      </c>
      <c r="J10313" s="5" t="s">
        <v>46183</v>
      </c>
      <c r="K10313" s="5" t="s">
        <v>46184</v>
      </c>
      <c r="L10313" s="18" t="s">
        <v>39</v>
      </c>
      <c r="M10313" s="18" t="s">
        <v>29</v>
      </c>
      <c r="N10313" s="18" t="s">
        <v>46185</v>
      </c>
      <c r="O10313" s="18" t="s">
        <v>29</v>
      </c>
      <c r="P10313" s="18" t="s">
        <v>46186</v>
      </c>
      <c r="Q10313" s="6"/>
      <c r="R10313" s="6"/>
      <c r="S10313" s="6"/>
      <c r="T10313" s="6"/>
      <c r="U10313" s="6"/>
      <c r="V10313" s="8"/>
      <c r="W10313" s="8"/>
      <c r="X10313" s="8"/>
      <c r="Y10313" s="8"/>
    </row>
    <row r="10314" ht="14.25">
      <c r="B10314" s="18" t="s">
        <v>670</v>
      </c>
      <c r="C10314" s="18" t="s">
        <v>1704</v>
      </c>
      <c r="D10314" s="18" t="s">
        <v>46187</v>
      </c>
      <c r="E10314" s="18" t="s">
        <v>46188</v>
      </c>
      <c r="F10314" s="18" t="str">
        <f>IFERROR(__XLUDF.DUMMYFUNCTION("PROPER(REGEXREPLACE(D226,""[^A-Za-z]+ "",""""))"),"Structuriste")</f>
        <v>Structuriste</v>
      </c>
      <c r="G10314" s="18" t="s">
        <v>46189</v>
      </c>
      <c r="H10314" s="18">
        <v>6</v>
      </c>
      <c r="I10314" s="18" t="s">
        <v>9239</v>
      </c>
      <c r="J10314" s="5" t="s">
        <v>46190</v>
      </c>
      <c r="K10314" s="5" t="s">
        <v>46191</v>
      </c>
      <c r="L10314" s="18" t="s">
        <v>1826</v>
      </c>
      <c r="M10314" s="18" t="s">
        <v>29</v>
      </c>
      <c r="N10314" s="18" t="s">
        <v>2286</v>
      </c>
      <c r="O10314" s="18" t="s">
        <v>29</v>
      </c>
      <c r="P10314" s="18" t="s">
        <v>46192</v>
      </c>
      <c r="Q10314" s="6"/>
      <c r="R10314" s="6"/>
      <c r="S10314" s="6"/>
      <c r="T10314" s="6"/>
      <c r="U10314" s="6"/>
      <c r="V10314" s="8"/>
      <c r="W10314" s="8"/>
      <c r="X10314" s="8"/>
      <c r="Y10314" s="8"/>
    </row>
    <row r="10315" ht="14.25">
      <c r="B10315" s="18" t="s">
        <v>6788</v>
      </c>
      <c r="C10315" s="18" t="s">
        <v>46193</v>
      </c>
      <c r="D10315" s="18" t="s">
        <v>172</v>
      </c>
      <c r="E10315" s="18" t="s">
        <v>46194</v>
      </c>
      <c r="F10315" s="18" t="str">
        <f>IFERROR(__XLUDF.DUMMYFUNCTION("PROPER(REGEXREPLACE(D227,""[^A-Za-z]+ "",""""))"),"Art Dan")</f>
        <v xml:space="preserve">Art Dan</v>
      </c>
      <c r="G10315" s="18" t="s">
        <v>46195</v>
      </c>
      <c r="H10315" s="18">
        <v>26</v>
      </c>
      <c r="I10315" s="18" t="s">
        <v>9239</v>
      </c>
      <c r="J10315" s="5" t="s">
        <v>46196</v>
      </c>
      <c r="K10315" s="5" t="s">
        <v>46197</v>
      </c>
      <c r="L10315" s="18" t="s">
        <v>1711</v>
      </c>
      <c r="M10315" s="18" t="s">
        <v>29</v>
      </c>
      <c r="N10315" s="18" t="s">
        <v>46198</v>
      </c>
      <c r="O10315" s="18" t="s">
        <v>29</v>
      </c>
      <c r="P10315" s="6"/>
      <c r="Q10315" s="6"/>
      <c r="R10315" s="6"/>
      <c r="S10315" s="6"/>
      <c r="T10315" s="6"/>
      <c r="U10315" s="6"/>
      <c r="V10315" s="8"/>
      <c r="W10315" s="8"/>
      <c r="X10315" s="8"/>
      <c r="Y10315" s="8"/>
    </row>
    <row r="10316" ht="14.25">
      <c r="B10316" s="18" t="s">
        <v>330</v>
      </c>
      <c r="C10316" s="18" t="s">
        <v>46199</v>
      </c>
      <c r="D10316" s="18" t="s">
        <v>172</v>
      </c>
      <c r="E10316" s="18" t="s">
        <v>46200</v>
      </c>
      <c r="F10316" s="18" t="str">
        <f>IFERROR(__XLUDF.DUMMYFUNCTION("PROPER(REGEXREPLACE(D228,""[^A-Za-z]+ "",""""))"),"Mco")</f>
        <v>Mco</v>
      </c>
      <c r="G10316" s="18" t="s">
        <v>46201</v>
      </c>
      <c r="H10316" s="18">
        <v>250</v>
      </c>
      <c r="I10316" s="18" t="s">
        <v>9239</v>
      </c>
      <c r="J10316" s="5" t="s">
        <v>46202</v>
      </c>
      <c r="K10316" s="5" t="s">
        <v>46203</v>
      </c>
      <c r="L10316" s="18" t="s">
        <v>19226</v>
      </c>
      <c r="M10316" s="18" t="s">
        <v>29</v>
      </c>
      <c r="N10316" s="18" t="s">
        <v>46204</v>
      </c>
      <c r="O10316" s="18" t="s">
        <v>29</v>
      </c>
      <c r="P10316" s="6"/>
      <c r="Q10316" s="6"/>
      <c r="R10316" s="6"/>
      <c r="S10316" s="6"/>
      <c r="T10316" s="6"/>
      <c r="U10316" s="6"/>
      <c r="V10316" s="8"/>
      <c r="W10316" s="8"/>
      <c r="X10316" s="8"/>
      <c r="Y10316" s="8"/>
    </row>
    <row r="10317" ht="14.25">
      <c r="B10317" s="18" t="s">
        <v>95</v>
      </c>
      <c r="C10317" s="18" t="s">
        <v>6025</v>
      </c>
      <c r="D10317" s="18" t="s">
        <v>172</v>
      </c>
      <c r="E10317" s="18" t="s">
        <v>46205</v>
      </c>
      <c r="F10317" s="18" t="str">
        <f>IFERROR(__XLUDF.DUMMYFUNCTION("PROPER(REGEXREPLACE(D229,""[^A-Za-z]+ "",""""))"),"Module Création")</f>
        <v xml:space="preserve">Module Création</v>
      </c>
      <c r="G10317" s="18" t="s">
        <v>46206</v>
      </c>
      <c r="H10317" s="18">
        <v>40</v>
      </c>
      <c r="I10317" s="18" t="s">
        <v>9239</v>
      </c>
      <c r="J10317" s="5" t="s">
        <v>46207</v>
      </c>
      <c r="K10317" s="5" t="s">
        <v>46208</v>
      </c>
      <c r="L10317" s="18" t="s">
        <v>46209</v>
      </c>
      <c r="M10317" s="18" t="s">
        <v>29</v>
      </c>
      <c r="N10317" s="18" t="s">
        <v>46210</v>
      </c>
      <c r="O10317" s="18" t="s">
        <v>29</v>
      </c>
      <c r="P10317" s="18" t="s">
        <v>46211</v>
      </c>
      <c r="Q10317" s="6"/>
      <c r="R10317" s="6"/>
      <c r="S10317" s="6"/>
      <c r="T10317" s="6"/>
      <c r="U10317" s="6"/>
      <c r="V10317" s="8"/>
      <c r="W10317" s="8"/>
      <c r="X10317" s="8"/>
      <c r="Y10317" s="8"/>
    </row>
    <row r="10318" ht="14.25">
      <c r="B10318" s="18" t="s">
        <v>17911</v>
      </c>
      <c r="C10318" s="18" t="s">
        <v>46212</v>
      </c>
      <c r="D10318" s="18" t="s">
        <v>172</v>
      </c>
      <c r="E10318" s="18" t="s">
        <v>46213</v>
      </c>
      <c r="F10318" s="18" t="str">
        <f>IFERROR(__XLUDF.DUMMYFUNCTION("PROPER(REGEXREPLACE(D230,""[^A-Za-z]+ "",""""))"),"Tellier Brise-Soleil")</f>
        <v xml:space="preserve">Tellier Brise-Soleil</v>
      </c>
      <c r="G10318" s="18" t="s">
        <v>46214</v>
      </c>
      <c r="H10318" s="18">
        <v>29</v>
      </c>
      <c r="I10318" s="18" t="s">
        <v>9239</v>
      </c>
      <c r="J10318" s="5" t="s">
        <v>46215</v>
      </c>
      <c r="K10318" s="5" t="s">
        <v>46216</v>
      </c>
      <c r="L10318" s="18" t="s">
        <v>3898</v>
      </c>
      <c r="M10318" s="18" t="s">
        <v>29</v>
      </c>
      <c r="N10318" s="18" t="s">
        <v>46217</v>
      </c>
      <c r="O10318" s="18" t="s">
        <v>29</v>
      </c>
      <c r="P10318" s="18" t="s">
        <v>46218</v>
      </c>
      <c r="Q10318" s="6"/>
      <c r="R10318" s="6"/>
      <c r="S10318" s="6"/>
      <c r="T10318" s="6"/>
      <c r="U10318" s="6"/>
      <c r="V10318" s="8"/>
      <c r="W10318" s="8"/>
      <c r="X10318" s="8"/>
      <c r="Y10318" s="8"/>
    </row>
    <row r="10319" ht="14.25">
      <c r="B10319" s="18" t="s">
        <v>21731</v>
      </c>
      <c r="C10319" s="18" t="s">
        <v>46219</v>
      </c>
      <c r="D10319" s="18" t="s">
        <v>172</v>
      </c>
      <c r="E10319" s="18" t="s">
        <v>46220</v>
      </c>
      <c r="F10319" s="18" t="str">
        <f>IFERROR(__XLUDF.DUMMYFUNCTION("PROPER(REGEXREPLACE(D231,""[^A-Za-z]+ "",""""))"),"Martinmonteils")</f>
        <v>Martinmonteils</v>
      </c>
      <c r="G10319" s="18" t="s">
        <v>46221</v>
      </c>
      <c r="H10319" s="18">
        <v>17</v>
      </c>
      <c r="I10319" s="18" t="s">
        <v>9239</v>
      </c>
      <c r="J10319" s="5" t="s">
        <v>46222</v>
      </c>
      <c r="K10319" s="5" t="s">
        <v>46223</v>
      </c>
      <c r="L10319" s="18" t="s">
        <v>243</v>
      </c>
      <c r="M10319" s="18" t="s">
        <v>29</v>
      </c>
      <c r="N10319" s="18" t="s">
        <v>46224</v>
      </c>
      <c r="O10319" s="18" t="s">
        <v>29</v>
      </c>
      <c r="P10319" s="18" t="s">
        <v>46225</v>
      </c>
      <c r="Q10319" s="6"/>
      <c r="R10319" s="6"/>
      <c r="S10319" s="6"/>
      <c r="T10319" s="6"/>
      <c r="U10319" s="6"/>
      <c r="V10319" s="8"/>
      <c r="W10319" s="8"/>
      <c r="X10319" s="8"/>
      <c r="Y10319" s="8"/>
    </row>
    <row r="10320" ht="14.25">
      <c r="B10320" s="18" t="s">
        <v>808</v>
      </c>
      <c r="C10320" s="18" t="s">
        <v>46226</v>
      </c>
      <c r="D10320" s="18" t="s">
        <v>426</v>
      </c>
      <c r="E10320" s="18" t="s">
        <v>46227</v>
      </c>
      <c r="F10320" s="18" t="str">
        <f>IFERROR(__XLUDF.DUMMYFUNCTION("PROPER(REGEXREPLACE(D232,""[^A-Za-z]+ "",""""))"),"Schreiber Et Cie S A")</f>
        <v xml:space="preserve">Schreiber Et Cie S A</v>
      </c>
      <c r="G10320" s="18" t="s">
        <v>46228</v>
      </c>
      <c r="H10320" s="18">
        <v>22</v>
      </c>
      <c r="I10320" s="18" t="s">
        <v>9239</v>
      </c>
      <c r="J10320" s="5" t="s">
        <v>46229</v>
      </c>
      <c r="K10320" s="5" t="s">
        <v>46230</v>
      </c>
      <c r="L10320" s="18" t="s">
        <v>651</v>
      </c>
      <c r="M10320" s="18" t="s">
        <v>29</v>
      </c>
      <c r="N10320" s="18" t="s">
        <v>46231</v>
      </c>
      <c r="O10320" s="18" t="s">
        <v>29</v>
      </c>
      <c r="P10320" s="18" t="s">
        <v>46232</v>
      </c>
      <c r="Q10320" s="6"/>
      <c r="R10320" s="6"/>
      <c r="S10320" s="6"/>
      <c r="T10320" s="6"/>
      <c r="U10320" s="6"/>
      <c r="V10320" s="8"/>
      <c r="W10320" s="8"/>
      <c r="X10320" s="8"/>
      <c r="Y10320" s="8"/>
    </row>
    <row r="10321" ht="14.25">
      <c r="B10321" s="18" t="s">
        <v>2409</v>
      </c>
      <c r="C10321" s="18" t="s">
        <v>451</v>
      </c>
      <c r="D10321" s="18" t="s">
        <v>172</v>
      </c>
      <c r="E10321" s="18" t="s">
        <v>46233</v>
      </c>
      <c r="F10321" s="18" t="str">
        <f>IFERROR(__XLUDF.DUMMYFUNCTION("PROPER(REGEXREPLACE(D233,""[^A-Za-z]+ "",""""))"),"Defi Metallerie")</f>
        <v xml:space="preserve">Defi Metallerie</v>
      </c>
      <c r="G10321" s="18" t="s">
        <v>46234</v>
      </c>
      <c r="H10321" s="18">
        <v>6</v>
      </c>
      <c r="I10321" s="18" t="s">
        <v>9239</v>
      </c>
      <c r="J10321" s="5" t="s">
        <v>46235</v>
      </c>
      <c r="K10321" s="5" t="s">
        <v>46236</v>
      </c>
      <c r="L10321" s="18" t="s">
        <v>39</v>
      </c>
      <c r="M10321" s="18" t="s">
        <v>29</v>
      </c>
      <c r="N10321" s="18" t="s">
        <v>46237</v>
      </c>
      <c r="O10321" s="18" t="s">
        <v>29</v>
      </c>
      <c r="P10321" s="18" t="s">
        <v>46238</v>
      </c>
      <c r="Q10321" s="6"/>
      <c r="R10321" s="6"/>
      <c r="S10321" s="6"/>
      <c r="T10321" s="6"/>
      <c r="U10321" s="6"/>
      <c r="V10321" s="8"/>
      <c r="W10321" s="8"/>
      <c r="X10321" s="8"/>
      <c r="Y10321" s="8"/>
    </row>
    <row r="10322" ht="14.25">
      <c r="B10322" s="18" t="s">
        <v>76</v>
      </c>
      <c r="C10322" s="18" t="s">
        <v>46239</v>
      </c>
      <c r="D10322" s="18" t="s">
        <v>426</v>
      </c>
      <c r="E10322" s="18" t="s">
        <v>46240</v>
      </c>
      <c r="F10322" s="18" t="str">
        <f>IFERROR(__XLUDF.DUMMYFUNCTION("PROPER(REGEXREPLACE(D234,""[^A-Za-z]+ "",""""))"),"Groupe Bage")</f>
        <v xml:space="preserve">Groupe Bage</v>
      </c>
      <c r="G10322" s="18" t="s">
        <v>46241</v>
      </c>
      <c r="H10322" s="18">
        <v>24</v>
      </c>
      <c r="I10322" s="18" t="s">
        <v>9239</v>
      </c>
      <c r="J10322" s="5" t="s">
        <v>46242</v>
      </c>
      <c r="K10322" s="5" t="s">
        <v>46243</v>
      </c>
      <c r="L10322" s="18" t="s">
        <v>1711</v>
      </c>
      <c r="M10322" s="18" t="s">
        <v>29</v>
      </c>
      <c r="N10322" s="18" t="s">
        <v>25944</v>
      </c>
      <c r="O10322" s="18" t="s">
        <v>29</v>
      </c>
      <c r="P10322" s="18" t="s">
        <v>46244</v>
      </c>
      <c r="Q10322" s="6"/>
      <c r="R10322" s="6"/>
      <c r="S10322" s="6"/>
      <c r="T10322" s="6"/>
      <c r="U10322" s="6"/>
      <c r="V10322" s="8"/>
      <c r="W10322" s="8"/>
      <c r="X10322" s="8"/>
      <c r="Y10322" s="8"/>
    </row>
    <row r="10323" ht="14.25">
      <c r="B10323" s="18" t="s">
        <v>1324</v>
      </c>
      <c r="C10323" s="18" t="s">
        <v>46245</v>
      </c>
      <c r="D10323" s="18" t="s">
        <v>172</v>
      </c>
      <c r="E10323" s="18" t="s">
        <v>46246</v>
      </c>
      <c r="F10323" s="18" t="str">
        <f>IFERROR(__XLUDF.DUMMYFUNCTION("PROPER(REGEXREPLACE(D235,""[^A-Za-z]+ "",""""))"),"Groupe Saint Leonard")</f>
        <v xml:space="preserve">Groupe Saint Leonard</v>
      </c>
      <c r="G10323" s="18" t="s">
        <v>46247</v>
      </c>
      <c r="H10323" s="18">
        <v>37</v>
      </c>
      <c r="I10323" s="18" t="s">
        <v>9239</v>
      </c>
      <c r="J10323" s="5" t="s">
        <v>46248</v>
      </c>
      <c r="K10323" s="5" t="s">
        <v>46249</v>
      </c>
      <c r="L10323" s="18" t="s">
        <v>46250</v>
      </c>
      <c r="M10323" s="18" t="s">
        <v>29</v>
      </c>
      <c r="N10323" s="18" t="s">
        <v>46251</v>
      </c>
      <c r="O10323" s="18" t="s">
        <v>29</v>
      </c>
      <c r="P10323" s="18" t="s">
        <v>46252</v>
      </c>
      <c r="Q10323" s="6"/>
      <c r="R10323" s="6"/>
      <c r="S10323" s="6"/>
      <c r="T10323" s="6"/>
      <c r="U10323" s="6"/>
      <c r="V10323" s="8"/>
      <c r="W10323" s="8"/>
      <c r="X10323" s="8"/>
      <c r="Y10323" s="8"/>
    </row>
    <row r="10324" ht="14.25">
      <c r="B10324" s="18" t="s">
        <v>46253</v>
      </c>
      <c r="C10324" s="18" t="s">
        <v>46254</v>
      </c>
      <c r="D10324" s="18" t="s">
        <v>164</v>
      </c>
      <c r="E10324" s="18" t="s">
        <v>46255</v>
      </c>
      <c r="F10324" s="18" t="str">
        <f>IFERROR(__XLUDF.DUMMYFUNCTION("PROPER(REGEXREPLACE(D236,""[^A-Za-z]+ "",""""))"),"Dayclim")</f>
        <v>Dayclim</v>
      </c>
      <c r="G10324" s="18" t="s">
        <v>46256</v>
      </c>
      <c r="H10324" s="18">
        <v>7</v>
      </c>
      <c r="I10324" s="18" t="s">
        <v>9239</v>
      </c>
      <c r="J10324" s="5" t="s">
        <v>46257</v>
      </c>
      <c r="K10324" s="5" t="s">
        <v>46258</v>
      </c>
      <c r="L10324" s="18" t="s">
        <v>46259</v>
      </c>
      <c r="M10324" s="18" t="s">
        <v>29</v>
      </c>
      <c r="N10324" s="18" t="s">
        <v>46260</v>
      </c>
      <c r="O10324" s="18" t="s">
        <v>29</v>
      </c>
      <c r="P10324" s="6"/>
      <c r="Q10324" s="6"/>
      <c r="R10324" s="6"/>
      <c r="S10324" s="6"/>
      <c r="T10324" s="6"/>
      <c r="U10324" s="6"/>
      <c r="V10324" s="8"/>
      <c r="W10324" s="8"/>
      <c r="X10324" s="8"/>
      <c r="Y10324" s="8"/>
    </row>
    <row r="10325" ht="14.25">
      <c r="B10325" s="18" t="s">
        <v>222</v>
      </c>
      <c r="C10325" s="18" t="s">
        <v>46261</v>
      </c>
      <c r="D10325" s="18" t="s">
        <v>172</v>
      </c>
      <c r="E10325" s="18" t="s">
        <v>46262</v>
      </c>
      <c r="F10325" s="18" t="str">
        <f>IFERROR(__XLUDF.DUMMYFUNCTION("PROPER(REGEXREPLACE(D237,""[^A-Za-z]+ "",""""))"),"Constructions Idéale Demeure")</f>
        <v xml:space="preserve">Constructions Idéale Demeure</v>
      </c>
      <c r="G10325" s="18" t="s">
        <v>46263</v>
      </c>
      <c r="H10325" s="18">
        <v>11</v>
      </c>
      <c r="I10325" s="18" t="s">
        <v>9239</v>
      </c>
      <c r="J10325" s="5" t="s">
        <v>46264</v>
      </c>
      <c r="K10325" s="5" t="s">
        <v>46265</v>
      </c>
      <c r="L10325" s="6"/>
      <c r="M10325" s="18" t="s">
        <v>29</v>
      </c>
      <c r="N10325" s="18" t="s">
        <v>46266</v>
      </c>
      <c r="O10325" s="18" t="s">
        <v>29</v>
      </c>
      <c r="P10325" s="6"/>
      <c r="Q10325" s="6"/>
      <c r="R10325" s="6"/>
      <c r="S10325" s="6"/>
      <c r="T10325" s="6"/>
      <c r="U10325" s="6"/>
      <c r="V10325" s="8"/>
      <c r="W10325" s="8"/>
      <c r="X10325" s="8"/>
      <c r="Y10325" s="8"/>
    </row>
    <row r="10326" ht="14.25">
      <c r="B10326" s="18" t="s">
        <v>931</v>
      </c>
      <c r="C10326" s="18" t="s">
        <v>46267</v>
      </c>
      <c r="D10326" s="18" t="s">
        <v>1130</v>
      </c>
      <c r="E10326" s="18" t="s">
        <v>46268</v>
      </c>
      <c r="F10326" s="18" t="str">
        <f>IFERROR(__XLUDF.DUMMYFUNCTION("PROPER(REGEXREPLACE(D238,""[^A-Za-z]+ "",""""))"),"Puel Génie Climatique")</f>
        <v xml:space="preserve">Puel Génie Climatique</v>
      </c>
      <c r="G10326" s="18" t="s">
        <v>46269</v>
      </c>
      <c r="H10326" s="18">
        <v>21</v>
      </c>
      <c r="I10326" s="18" t="s">
        <v>9239</v>
      </c>
      <c r="J10326" s="5" t="s">
        <v>46270</v>
      </c>
      <c r="K10326" s="5" t="s">
        <v>46271</v>
      </c>
      <c r="L10326" s="6"/>
      <c r="M10326" s="18" t="s">
        <v>29</v>
      </c>
      <c r="N10326" s="18" t="s">
        <v>46272</v>
      </c>
      <c r="O10326" s="18" t="s">
        <v>29</v>
      </c>
      <c r="P10326" s="6"/>
      <c r="Q10326" s="6"/>
      <c r="R10326" s="6"/>
      <c r="S10326" s="6"/>
      <c r="T10326" s="6"/>
      <c r="U10326" s="6"/>
      <c r="V10326" s="8"/>
      <c r="W10326" s="8"/>
      <c r="X10326" s="8"/>
      <c r="Y10326" s="8"/>
    </row>
    <row r="10327" ht="14.25">
      <c r="B10327" s="18" t="s">
        <v>24155</v>
      </c>
      <c r="C10327" s="18" t="s">
        <v>46273</v>
      </c>
      <c r="D10327" s="18" t="s">
        <v>25490</v>
      </c>
      <c r="E10327" s="18" t="s">
        <v>46274</v>
      </c>
      <c r="F10327" s="18" t="str">
        <f>IFERROR(__XLUDF.DUMMYFUNCTION("PROPER(REGEXREPLACE(D239,""[^A-Za-z]+ "",""""))"),"Renovamax")</f>
        <v>Renovamax</v>
      </c>
      <c r="G10327" s="18" t="s">
        <v>46275</v>
      </c>
      <c r="H10327" s="18">
        <v>9</v>
      </c>
      <c r="I10327" s="18" t="s">
        <v>9239</v>
      </c>
      <c r="J10327" s="5" t="s">
        <v>46276</v>
      </c>
      <c r="K10327" s="5" t="s">
        <v>46277</v>
      </c>
      <c r="L10327" s="18" t="s">
        <v>39</v>
      </c>
      <c r="M10327" s="18" t="s">
        <v>29</v>
      </c>
      <c r="N10327" s="18" t="s">
        <v>20372</v>
      </c>
      <c r="O10327" s="18" t="s">
        <v>29</v>
      </c>
      <c r="P10327" s="6"/>
      <c r="Q10327" s="6"/>
      <c r="R10327" s="6"/>
      <c r="S10327" s="6"/>
      <c r="T10327" s="6"/>
      <c r="U10327" s="6"/>
      <c r="V10327" s="8"/>
      <c r="W10327" s="8"/>
      <c r="X10327" s="8"/>
      <c r="Y10327" s="8"/>
    </row>
    <row r="10328" ht="14.25">
      <c r="B10328" s="18" t="s">
        <v>571</v>
      </c>
      <c r="C10328" s="18" t="s">
        <v>118</v>
      </c>
      <c r="D10328" s="18" t="s">
        <v>172</v>
      </c>
      <c r="E10328" s="18" t="s">
        <v>46278</v>
      </c>
      <c r="F10328" s="18" t="str">
        <f>IFERROR(__XLUDF.DUMMYFUNCTION("PROPER(REGEXREPLACE(D240,""[^A-Za-z]+ "",""""))"),"Sas Global Btp")</f>
        <v xml:space="preserve">Sas Global Btp</v>
      </c>
      <c r="G10328" s="18" t="s">
        <v>46279</v>
      </c>
      <c r="H10328" s="18">
        <v>7</v>
      </c>
      <c r="I10328" s="18" t="s">
        <v>9239</v>
      </c>
      <c r="J10328" s="5" t="s">
        <v>46280</v>
      </c>
      <c r="K10328" s="5" t="s">
        <v>46281</v>
      </c>
      <c r="L10328" s="18" t="s">
        <v>49</v>
      </c>
      <c r="M10328" s="18" t="s">
        <v>29</v>
      </c>
      <c r="N10328" s="18" t="s">
        <v>416</v>
      </c>
      <c r="O10328" s="18" t="s">
        <v>29</v>
      </c>
      <c r="P10328" s="18" t="s">
        <v>46282</v>
      </c>
      <c r="Q10328" s="6"/>
      <c r="R10328" s="6"/>
      <c r="S10328" s="6"/>
      <c r="T10328" s="6"/>
      <c r="U10328" s="6"/>
      <c r="V10328" s="8"/>
      <c r="W10328" s="8"/>
      <c r="X10328" s="8"/>
      <c r="Y10328" s="8"/>
    </row>
    <row r="10329" ht="14.25">
      <c r="B10329" s="18" t="s">
        <v>76</v>
      </c>
      <c r="C10329" s="18" t="s">
        <v>46283</v>
      </c>
      <c r="D10329" s="18" t="s">
        <v>8042</v>
      </c>
      <c r="E10329" s="18" t="s">
        <v>46284</v>
      </c>
      <c r="F10329" s="18" t="str">
        <f>IFERROR(__XLUDF.DUMMYFUNCTION("PROPER(REGEXREPLACE(D241,""[^A-Za-z]+ "",""""))"),"Corénovation")</f>
        <v>Corénovation</v>
      </c>
      <c r="G10329" s="18" t="s">
        <v>46285</v>
      </c>
      <c r="H10329" s="18">
        <v>6</v>
      </c>
      <c r="I10329" s="18" t="s">
        <v>9239</v>
      </c>
      <c r="J10329" s="5" t="s">
        <v>46286</v>
      </c>
      <c r="K10329" s="5" t="s">
        <v>46287</v>
      </c>
      <c r="L10329" s="18" t="s">
        <v>39</v>
      </c>
      <c r="M10329" s="18" t="s">
        <v>29</v>
      </c>
      <c r="N10329" s="18" t="s">
        <v>46288</v>
      </c>
      <c r="O10329" s="18" t="s">
        <v>29</v>
      </c>
      <c r="P10329" s="18" t="s">
        <v>46289</v>
      </c>
      <c r="Q10329" s="6"/>
      <c r="R10329" s="6"/>
      <c r="S10329" s="6"/>
      <c r="T10329" s="6"/>
      <c r="U10329" s="6"/>
      <c r="V10329" s="8"/>
      <c r="W10329" s="8"/>
      <c r="X10329" s="8"/>
      <c r="Y10329" s="8"/>
    </row>
    <row r="10330" ht="14.25">
      <c r="B10330" s="18" t="s">
        <v>322</v>
      </c>
      <c r="C10330" s="18" t="s">
        <v>46290</v>
      </c>
      <c r="D10330" s="18" t="s">
        <v>46291</v>
      </c>
      <c r="E10330" s="18" t="s">
        <v>46292</v>
      </c>
      <c r="F10330" s="18" t="str">
        <f>IFERROR(__XLUDF.DUMMYFUNCTION("PROPER(REGEXREPLACE(D242,""[^A-Za-z]+ "",""""))"),"Konnect Systems Group🇫🇷")</f>
        <v xml:space="preserve">Konnect Systems Group🇫🇷</v>
      </c>
      <c r="G10330" s="18" t="s">
        <v>46293</v>
      </c>
      <c r="H10330" s="18">
        <v>9</v>
      </c>
      <c r="I10330" s="18" t="s">
        <v>9239</v>
      </c>
      <c r="J10330" s="5" t="s">
        <v>46294</v>
      </c>
      <c r="K10330" s="5" t="s">
        <v>46295</v>
      </c>
      <c r="L10330" s="18" t="s">
        <v>46296</v>
      </c>
      <c r="M10330" s="18" t="s">
        <v>29</v>
      </c>
      <c r="N10330" s="18" t="s">
        <v>46297</v>
      </c>
      <c r="O10330" s="18" t="s">
        <v>29</v>
      </c>
      <c r="P10330" s="18" t="s">
        <v>46298</v>
      </c>
      <c r="Q10330" s="6"/>
      <c r="R10330" s="6"/>
      <c r="S10330" s="6"/>
      <c r="T10330" s="6"/>
      <c r="U10330" s="6"/>
      <c r="V10330" s="8"/>
      <c r="W10330" s="8"/>
      <c r="X10330" s="8"/>
      <c r="Y10330" s="8"/>
    </row>
    <row r="10331" ht="14.25">
      <c r="B10331" s="18" t="s">
        <v>355</v>
      </c>
      <c r="C10331" s="18" t="s">
        <v>46299</v>
      </c>
      <c r="D10331" s="18" t="s">
        <v>172</v>
      </c>
      <c r="E10331" s="18" t="s">
        <v>46300</v>
      </c>
      <c r="F10331" s="18" t="str">
        <f>IFERROR(__XLUDF.DUMMYFUNCTION("PROPER(REGEXREPLACE(D243,""[^A-Za-z]+ "",""""))"),"Batif")</f>
        <v>Batif</v>
      </c>
      <c r="G10331" s="18" t="s">
        <v>46301</v>
      </c>
      <c r="H10331" s="18">
        <v>25</v>
      </c>
      <c r="I10331" s="18" t="s">
        <v>9239</v>
      </c>
      <c r="J10331" s="5" t="s">
        <v>46302</v>
      </c>
      <c r="K10331" s="5" t="s">
        <v>46303</v>
      </c>
      <c r="L10331" s="18" t="s">
        <v>2499</v>
      </c>
      <c r="M10331" s="18" t="s">
        <v>29</v>
      </c>
      <c r="N10331" s="18" t="s">
        <v>20312</v>
      </c>
      <c r="O10331" s="18" t="s">
        <v>29</v>
      </c>
      <c r="P10331" s="18" t="s">
        <v>46304</v>
      </c>
      <c r="Q10331" s="6"/>
      <c r="R10331" s="6"/>
      <c r="S10331" s="6"/>
      <c r="T10331" s="6"/>
      <c r="U10331" s="6"/>
      <c r="V10331" s="8"/>
      <c r="W10331" s="8"/>
      <c r="X10331" s="8"/>
      <c r="Y10331" s="8"/>
    </row>
    <row r="10332" ht="14.25">
      <c r="B10332" s="18" t="s">
        <v>330</v>
      </c>
      <c r="C10332" s="18" t="s">
        <v>46305</v>
      </c>
      <c r="D10332" s="18" t="s">
        <v>29084</v>
      </c>
      <c r="E10332" s="18" t="s">
        <v>46306</v>
      </c>
      <c r="F10332" s="18" t="str">
        <f>IFERROR(__XLUDF.DUMMYFUNCTION("PROPER(REGEXREPLACE(D244,""[^A-Za-z]+ "",""""))"),"Husqvarna Construction France")</f>
        <v xml:space="preserve">Husqvarna Construction France</v>
      </c>
      <c r="G10332" s="18" t="s">
        <v>46307</v>
      </c>
      <c r="H10332" s="18">
        <v>23</v>
      </c>
      <c r="I10332" s="18" t="s">
        <v>9239</v>
      </c>
      <c r="J10332" s="5" t="s">
        <v>46308</v>
      </c>
      <c r="K10332" s="5" t="s">
        <v>46309</v>
      </c>
      <c r="L10332" s="6"/>
      <c r="M10332" s="18" t="s">
        <v>29</v>
      </c>
      <c r="N10332" s="18" t="s">
        <v>46310</v>
      </c>
      <c r="O10332" s="18" t="s">
        <v>29</v>
      </c>
      <c r="P10332" s="6"/>
      <c r="Q10332" s="6"/>
      <c r="R10332" s="6"/>
      <c r="S10332" s="6"/>
      <c r="T10332" s="6"/>
      <c r="U10332" s="6"/>
      <c r="V10332" s="8"/>
      <c r="W10332" s="8"/>
      <c r="X10332" s="8"/>
      <c r="Y10332" s="8"/>
    </row>
    <row r="10333" ht="14.25">
      <c r="B10333" s="18" t="s">
        <v>2119</v>
      </c>
      <c r="C10333" s="18" t="s">
        <v>10412</v>
      </c>
      <c r="D10333" s="18" t="s">
        <v>172</v>
      </c>
      <c r="E10333" s="18" t="s">
        <v>46311</v>
      </c>
      <c r="F10333" s="18" t="str">
        <f>IFERROR(__XLUDF.DUMMYFUNCTION("PROPER(REGEXREPLACE(D245,""[^A-Za-z]+ "",""""))"),"Groupe Cmbp")</f>
        <v xml:space="preserve">Groupe Cmbp</v>
      </c>
      <c r="G10333" s="18" t="s">
        <v>46312</v>
      </c>
      <c r="H10333" s="18">
        <v>35</v>
      </c>
      <c r="I10333" s="18" t="s">
        <v>9239</v>
      </c>
      <c r="J10333" s="5" t="s">
        <v>46313</v>
      </c>
      <c r="K10333" s="5" t="s">
        <v>46314</v>
      </c>
      <c r="L10333" s="18" t="s">
        <v>731</v>
      </c>
      <c r="M10333" s="18" t="s">
        <v>29</v>
      </c>
      <c r="N10333" s="18" t="s">
        <v>46315</v>
      </c>
      <c r="O10333" s="18" t="s">
        <v>29</v>
      </c>
      <c r="P10333" s="18" t="s">
        <v>46316</v>
      </c>
      <c r="Q10333" s="6"/>
      <c r="R10333" s="6"/>
      <c r="S10333" s="6"/>
      <c r="T10333" s="6"/>
      <c r="U10333" s="6"/>
      <c r="V10333" s="8"/>
      <c r="W10333" s="8"/>
      <c r="X10333" s="8"/>
      <c r="Y10333" s="8"/>
    </row>
    <row r="10334" ht="14.25">
      <c r="B10334" s="18" t="s">
        <v>2652</v>
      </c>
      <c r="C10334" s="18" t="s">
        <v>46317</v>
      </c>
      <c r="D10334" s="18" t="s">
        <v>8042</v>
      </c>
      <c r="E10334" s="18" t="s">
        <v>46318</v>
      </c>
      <c r="F10334" s="18" t="str">
        <f>IFERROR(__XLUDF.DUMMYFUNCTION("PROPER(REGEXREPLACE(D246,""[^A-Za-z]+ "",""""))"),"Soconer")</f>
        <v>Soconer</v>
      </c>
      <c r="G10334" s="18" t="s">
        <v>46319</v>
      </c>
      <c r="H10334" s="18">
        <v>23</v>
      </c>
      <c r="I10334" s="18" t="s">
        <v>9239</v>
      </c>
      <c r="J10334" s="5" t="s">
        <v>46320</v>
      </c>
      <c r="K10334" s="5" t="s">
        <v>46321</v>
      </c>
      <c r="L10334" s="18" t="s">
        <v>83</v>
      </c>
      <c r="M10334" s="18" t="s">
        <v>29</v>
      </c>
      <c r="N10334" s="18" t="s">
        <v>46322</v>
      </c>
      <c r="O10334" s="18" t="s">
        <v>29</v>
      </c>
      <c r="P10334" s="18" t="s">
        <v>46323</v>
      </c>
      <c r="Q10334" s="6"/>
      <c r="R10334" s="6"/>
      <c r="S10334" s="6"/>
      <c r="T10334" s="6"/>
      <c r="U10334" s="6"/>
      <c r="V10334" s="8"/>
      <c r="W10334" s="8"/>
      <c r="X10334" s="8"/>
      <c r="Y10334" s="8"/>
    </row>
    <row r="10335" ht="14.25">
      <c r="B10335" s="18" t="s">
        <v>622</v>
      </c>
      <c r="C10335" s="18" t="s">
        <v>46324</v>
      </c>
      <c r="D10335" s="18" t="s">
        <v>1950</v>
      </c>
      <c r="E10335" s="18" t="s">
        <v>46325</v>
      </c>
      <c r="F10335" s="18" t="str">
        <f>IFERROR(__XLUDF.DUMMYFUNCTION("PROPER(REGEXREPLACE(D247,""[^A-Za-z]+ "",""""))"),"Profil")</f>
        <v>Profil</v>
      </c>
      <c r="G10335" s="18" t="s">
        <v>46326</v>
      </c>
      <c r="H10335" s="18">
        <v>39</v>
      </c>
      <c r="I10335" s="18" t="s">
        <v>9239</v>
      </c>
      <c r="J10335" s="5" t="s">
        <v>46327</v>
      </c>
      <c r="K10335" s="5" t="s">
        <v>46328</v>
      </c>
      <c r="L10335" s="18" t="s">
        <v>295</v>
      </c>
      <c r="M10335" s="18" t="s">
        <v>29</v>
      </c>
      <c r="N10335" s="18" t="s">
        <v>46329</v>
      </c>
      <c r="O10335" s="18" t="s">
        <v>29</v>
      </c>
      <c r="P10335" s="6"/>
      <c r="Q10335" s="6"/>
      <c r="R10335" s="6"/>
      <c r="S10335" s="6"/>
      <c r="T10335" s="6"/>
      <c r="U10335" s="6"/>
      <c r="V10335" s="8"/>
      <c r="W10335" s="8"/>
      <c r="X10335" s="8"/>
      <c r="Y10335" s="8"/>
    </row>
    <row r="10336" ht="14.25">
      <c r="B10336" s="18" t="s">
        <v>222</v>
      </c>
      <c r="C10336" s="18" t="s">
        <v>46330</v>
      </c>
      <c r="D10336" s="18" t="s">
        <v>1950</v>
      </c>
      <c r="E10336" s="18" t="s">
        <v>46331</v>
      </c>
      <c r="F10336" s="18" t="str">
        <f>IFERROR(__XLUDF.DUMMYFUNCTION("PROPER(REGEXREPLACE(D248,""[^A-Za-z]+ "",""""))"),"Speyser Lucien Et Cie Sa")</f>
        <v xml:space="preserve">Speyser Lucien Et Cie Sa</v>
      </c>
      <c r="G10336" s="18" t="s">
        <v>46332</v>
      </c>
      <c r="H10336" s="18">
        <v>21</v>
      </c>
      <c r="I10336" s="18" t="s">
        <v>9239</v>
      </c>
      <c r="J10336" s="5" t="s">
        <v>46333</v>
      </c>
      <c r="K10336" s="5" t="s">
        <v>46334</v>
      </c>
      <c r="L10336" s="18" t="s">
        <v>5742</v>
      </c>
      <c r="M10336" s="18" t="s">
        <v>29</v>
      </c>
      <c r="N10336" s="18" t="s">
        <v>46335</v>
      </c>
      <c r="O10336" s="18" t="s">
        <v>29</v>
      </c>
      <c r="P10336" s="6"/>
      <c r="Q10336" s="6"/>
      <c r="R10336" s="6"/>
      <c r="S10336" s="6"/>
      <c r="T10336" s="6"/>
      <c r="U10336" s="6"/>
      <c r="V10336" s="8"/>
      <c r="W10336" s="8"/>
      <c r="X10336" s="8"/>
      <c r="Y10336" s="8"/>
    </row>
    <row r="10337" ht="14.25">
      <c r="B10337" s="18" t="s">
        <v>622</v>
      </c>
      <c r="C10337" s="18" t="s">
        <v>5579</v>
      </c>
      <c r="D10337" s="18" t="s">
        <v>46336</v>
      </c>
      <c r="E10337" s="18" t="s">
        <v>46337</v>
      </c>
      <c r="F10337" s="18" t="str">
        <f>IFERROR(__XLUDF.DUMMYFUNCTION("PROPER(REGEXREPLACE(D249,""[^A-Za-z]+ "",""""))"),"👷♀️Abbei👷♂️Entreprise D'Insertion 🟡🔴🔵🟢")</f>
        <v xml:space="preserve">👷♀️Abbei👷♂️Entreprise D'Insertion 🟡🔴🔵🟢</v>
      </c>
      <c r="G10337" s="18" t="s">
        <v>46338</v>
      </c>
      <c r="H10337" s="18">
        <v>30</v>
      </c>
      <c r="I10337" s="18" t="s">
        <v>9239</v>
      </c>
      <c r="J10337" s="5" t="s">
        <v>46339</v>
      </c>
      <c r="K10337" s="5" t="s">
        <v>46340</v>
      </c>
      <c r="L10337" s="18" t="s">
        <v>492</v>
      </c>
      <c r="M10337" s="18" t="s">
        <v>29</v>
      </c>
      <c r="N10337" s="18" t="s">
        <v>29</v>
      </c>
      <c r="O10337" s="18" t="s">
        <v>29</v>
      </c>
      <c r="P10337" s="18" t="s">
        <v>46341</v>
      </c>
      <c r="Q10337" s="6"/>
      <c r="R10337" s="6"/>
      <c r="S10337" s="6"/>
      <c r="T10337" s="6"/>
      <c r="U10337" s="6"/>
      <c r="V10337" s="8"/>
      <c r="W10337" s="8"/>
      <c r="X10337" s="8"/>
      <c r="Y10337" s="8"/>
    </row>
    <row r="10338" ht="14.25">
      <c r="B10338" s="18" t="s">
        <v>1596</v>
      </c>
      <c r="C10338" s="18" t="s">
        <v>46342</v>
      </c>
      <c r="D10338" s="18" t="s">
        <v>1130</v>
      </c>
      <c r="E10338" s="18" t="s">
        <v>46343</v>
      </c>
      <c r="F10338" s="18" t="str">
        <f>IFERROR(__XLUDF.DUMMYFUNCTION("PROPER(REGEXREPLACE(D250,""[^A-Za-z]+ "",""""))"),"Novacier")</f>
        <v>Novacier</v>
      </c>
      <c r="G10338" s="18" t="s">
        <v>46344</v>
      </c>
      <c r="H10338" s="18">
        <v>4</v>
      </c>
      <c r="I10338" s="18" t="s">
        <v>9239</v>
      </c>
      <c r="J10338" s="5" t="s">
        <v>46345</v>
      </c>
      <c r="K10338" s="5" t="s">
        <v>46346</v>
      </c>
      <c r="L10338" s="18" t="s">
        <v>46347</v>
      </c>
      <c r="M10338" s="18" t="s">
        <v>29</v>
      </c>
      <c r="N10338" s="18" t="s">
        <v>46348</v>
      </c>
      <c r="O10338" s="18" t="s">
        <v>29</v>
      </c>
      <c r="P10338" s="18" t="s">
        <v>46349</v>
      </c>
      <c r="Q10338" s="6"/>
      <c r="R10338" s="6"/>
      <c r="S10338" s="6"/>
      <c r="T10338" s="6"/>
      <c r="U10338" s="6"/>
      <c r="V10338" s="8"/>
      <c r="W10338" s="8"/>
      <c r="X10338" s="8"/>
      <c r="Y10338" s="8"/>
    </row>
    <row r="10339" ht="14.25">
      <c r="B10339" s="18" t="s">
        <v>3002</v>
      </c>
      <c r="C10339" s="18" t="s">
        <v>46350</v>
      </c>
      <c r="D10339" s="18" t="s">
        <v>9456</v>
      </c>
      <c r="E10339" s="18" t="s">
        <v>46351</v>
      </c>
      <c r="F10339" s="18" t="str">
        <f>IFERROR(__XLUDF.DUMMYFUNCTION("PROPER(REGEXREPLACE(D251,""[^A-Za-z]+ "",""""))"),"Déco Charpente")</f>
        <v xml:space="preserve">Déco Charpente</v>
      </c>
      <c r="G10339" s="18" t="s">
        <v>46352</v>
      </c>
      <c r="H10339" s="18">
        <v>19</v>
      </c>
      <c r="I10339" s="18" t="s">
        <v>9239</v>
      </c>
      <c r="J10339" s="5" t="s">
        <v>46353</v>
      </c>
      <c r="K10339" s="5" t="s">
        <v>46354</v>
      </c>
      <c r="L10339" s="18" t="s">
        <v>46355</v>
      </c>
      <c r="M10339" s="18" t="s">
        <v>29</v>
      </c>
      <c r="N10339" s="18" t="s">
        <v>46356</v>
      </c>
      <c r="O10339" s="18" t="s">
        <v>29</v>
      </c>
      <c r="P10339" s="18" t="s">
        <v>46357</v>
      </c>
      <c r="Q10339" s="6"/>
      <c r="R10339" s="6"/>
      <c r="S10339" s="6"/>
      <c r="T10339" s="6"/>
      <c r="U10339" s="6"/>
      <c r="V10339" s="8"/>
      <c r="W10339" s="8"/>
      <c r="X10339" s="8"/>
      <c r="Y10339" s="8"/>
    </row>
    <row r="10340" ht="14.25">
      <c r="B10340" s="18" t="s">
        <v>1562</v>
      </c>
      <c r="C10340" s="18" t="s">
        <v>828</v>
      </c>
      <c r="D10340" s="18" t="s">
        <v>120</v>
      </c>
      <c r="E10340" s="18" t="s">
        <v>46358</v>
      </c>
      <c r="F10340" s="18" t="str">
        <f>IFERROR(__XLUDF.DUMMYFUNCTION("PROPER(REGEXREPLACE(D252,""[^A-Za-z]+ "",""""))"),"Articonnex")</f>
        <v>Articonnex</v>
      </c>
      <c r="G10340" s="18" t="s">
        <v>46359</v>
      </c>
      <c r="H10340" s="18">
        <v>24</v>
      </c>
      <c r="I10340" s="18" t="s">
        <v>9239</v>
      </c>
      <c r="J10340" s="5" t="s">
        <v>46360</v>
      </c>
      <c r="K10340" s="5" t="s">
        <v>46361</v>
      </c>
      <c r="L10340" s="18" t="s">
        <v>1711</v>
      </c>
      <c r="M10340" s="18" t="s">
        <v>29</v>
      </c>
      <c r="N10340" s="18" t="s">
        <v>46362</v>
      </c>
      <c r="O10340" s="18" t="s">
        <v>29</v>
      </c>
      <c r="P10340" s="18" t="s">
        <v>46363</v>
      </c>
      <c r="Q10340" s="6"/>
      <c r="R10340" s="6"/>
      <c r="S10340" s="6"/>
      <c r="T10340" s="6"/>
      <c r="U10340" s="6"/>
      <c r="V10340" s="8"/>
      <c r="W10340" s="8"/>
      <c r="X10340" s="8"/>
      <c r="Y10340" s="8"/>
    </row>
    <row r="10341" ht="14.25">
      <c r="B10341" s="18" t="s">
        <v>46364</v>
      </c>
      <c r="C10341" s="18" t="s">
        <v>46365</v>
      </c>
      <c r="D10341" s="18" t="s">
        <v>1130</v>
      </c>
      <c r="E10341" s="18" t="s">
        <v>46366</v>
      </c>
      <c r="F10341" s="18" t="str">
        <f>IFERROR(__XLUDF.DUMMYFUNCTION("PROPER(REGEXREPLACE(D253,""[^A-Za-z]+ "",""""))"),"Energical")</f>
        <v>Energical</v>
      </c>
      <c r="G10341" s="18" t="s">
        <v>46367</v>
      </c>
      <c r="H10341" s="18">
        <v>18</v>
      </c>
      <c r="I10341" s="18" t="s">
        <v>9239</v>
      </c>
      <c r="J10341" s="5" t="s">
        <v>46368</v>
      </c>
      <c r="K10341" s="5" t="s">
        <v>46369</v>
      </c>
      <c r="L10341" s="18" t="s">
        <v>243</v>
      </c>
      <c r="M10341" s="18" t="s">
        <v>29</v>
      </c>
      <c r="N10341" s="18" t="s">
        <v>46370</v>
      </c>
      <c r="O10341" s="18" t="s">
        <v>29</v>
      </c>
      <c r="P10341" s="6"/>
      <c r="Q10341" s="6"/>
      <c r="R10341" s="6"/>
      <c r="S10341" s="6"/>
      <c r="T10341" s="6"/>
      <c r="U10341" s="6"/>
      <c r="V10341" s="8"/>
      <c r="W10341" s="8"/>
      <c r="X10341" s="8"/>
      <c r="Y10341" s="8"/>
    </row>
    <row r="10342" ht="14.25">
      <c r="B10342" s="18" t="s">
        <v>222</v>
      </c>
      <c r="C10342" s="18" t="s">
        <v>46371</v>
      </c>
      <c r="D10342" s="18" t="s">
        <v>112</v>
      </c>
      <c r="E10342" s="18" t="s">
        <v>46372</v>
      </c>
      <c r="F10342" s="18" t="str">
        <f>IFERROR(__XLUDF.DUMMYFUNCTION("PROPER(REGEXREPLACE(D254,""[^A-Za-z]+ "",""""))"),"Cimalto")</f>
        <v>Cimalto</v>
      </c>
      <c r="G10342" s="18" t="s">
        <v>46373</v>
      </c>
      <c r="H10342" s="18">
        <v>21</v>
      </c>
      <c r="I10342" s="18" t="s">
        <v>9239</v>
      </c>
      <c r="J10342" s="5" t="s">
        <v>46374</v>
      </c>
      <c r="K10342" s="5" t="s">
        <v>46375</v>
      </c>
      <c r="L10342" s="18" t="s">
        <v>46376</v>
      </c>
      <c r="M10342" s="18" t="s">
        <v>29</v>
      </c>
      <c r="N10342" s="18" t="s">
        <v>46377</v>
      </c>
      <c r="O10342" s="18" t="s">
        <v>29</v>
      </c>
      <c r="P10342" s="18" t="s">
        <v>46378</v>
      </c>
      <c r="Q10342" s="6"/>
      <c r="R10342" s="6"/>
      <c r="S10342" s="6"/>
      <c r="T10342" s="6"/>
      <c r="U10342" s="6"/>
      <c r="V10342" s="8"/>
      <c r="W10342" s="8"/>
      <c r="X10342" s="8"/>
      <c r="Y10342" s="8"/>
    </row>
    <row r="10343" ht="14.25">
      <c r="B10343" s="18" t="s">
        <v>322</v>
      </c>
      <c r="C10343" s="18" t="s">
        <v>32424</v>
      </c>
      <c r="D10343" s="18" t="s">
        <v>46379</v>
      </c>
      <c r="E10343" s="18" t="s">
        <v>46380</v>
      </c>
      <c r="F10343" s="18" t="str">
        <f>IFERROR(__XLUDF.DUMMYFUNCTION("PROPER(REGEXREPLACE(D255,""[^A-Za-z]+ "",""""))"),"Tetra Genie-Civil")</f>
        <v xml:space="preserve">Tetra Genie-Civil</v>
      </c>
      <c r="G10343" s="18" t="s">
        <v>46381</v>
      </c>
      <c r="H10343" s="18">
        <v>34</v>
      </c>
      <c r="I10343" s="18" t="s">
        <v>9239</v>
      </c>
      <c r="J10343" s="5" t="s">
        <v>46382</v>
      </c>
      <c r="K10343" s="5" t="s">
        <v>46383</v>
      </c>
      <c r="L10343" s="18" t="s">
        <v>46384</v>
      </c>
      <c r="M10343" s="18" t="s">
        <v>29</v>
      </c>
      <c r="N10343" s="18" t="s">
        <v>46385</v>
      </c>
      <c r="O10343" s="18" t="s">
        <v>29</v>
      </c>
      <c r="P10343" s="18" t="s">
        <v>46386</v>
      </c>
      <c r="Q10343" s="6"/>
      <c r="R10343" s="6"/>
      <c r="S10343" s="6"/>
      <c r="T10343" s="6"/>
      <c r="U10343" s="6"/>
      <c r="V10343" s="8"/>
      <c r="W10343" s="8"/>
      <c r="X10343" s="8"/>
      <c r="Y10343" s="8"/>
    </row>
    <row r="10344" ht="14.25">
      <c r="B10344" s="18" t="s">
        <v>46387</v>
      </c>
      <c r="C10344" s="18" t="s">
        <v>6562</v>
      </c>
      <c r="D10344" s="18" t="s">
        <v>1130</v>
      </c>
      <c r="E10344" s="18" t="s">
        <v>46388</v>
      </c>
      <c r="F10344" s="18" t="str">
        <f>IFERROR(__XLUDF.DUMMYFUNCTION("PROPER(REGEXREPLACE(D256,""[^A-Za-z]+ "",""""))"),"Jousse")</f>
        <v>Jousse</v>
      </c>
      <c r="G10344" s="18" t="s">
        <v>46389</v>
      </c>
      <c r="H10344" s="18">
        <v>41</v>
      </c>
      <c r="I10344" s="18" t="s">
        <v>9239</v>
      </c>
      <c r="J10344" s="5" t="s">
        <v>46390</v>
      </c>
      <c r="K10344" s="5" t="s">
        <v>46391</v>
      </c>
      <c r="L10344" s="18" t="s">
        <v>46392</v>
      </c>
      <c r="M10344" s="18" t="s">
        <v>29</v>
      </c>
      <c r="N10344" s="18" t="s">
        <v>46393</v>
      </c>
      <c r="O10344" s="18" t="s">
        <v>29</v>
      </c>
      <c r="P10344" s="6"/>
      <c r="Q10344" s="6"/>
      <c r="R10344" s="6"/>
      <c r="S10344" s="6"/>
      <c r="T10344" s="6"/>
      <c r="U10344" s="6"/>
      <c r="V10344" s="8"/>
      <c r="W10344" s="8"/>
      <c r="X10344" s="8"/>
      <c r="Y10344" s="8"/>
    </row>
    <row r="10345" ht="14.25">
      <c r="B10345" s="18" t="s">
        <v>6634</v>
      </c>
      <c r="C10345" s="18" t="s">
        <v>46394</v>
      </c>
      <c r="D10345" s="18" t="s">
        <v>23879</v>
      </c>
      <c r="E10345" s="18" t="s">
        <v>46395</v>
      </c>
      <c r="F10345" s="18" t="str">
        <f>IFERROR(__XLUDF.DUMMYFUNCTION("PROPER(REGEXREPLACE(D257,""[^A-Za-z]+ "",""""))"),"Tyllium")</f>
        <v>Tyllium</v>
      </c>
      <c r="G10345" s="18" t="s">
        <v>46396</v>
      </c>
      <c r="H10345" s="18">
        <v>28</v>
      </c>
      <c r="I10345" s="18" t="s">
        <v>9239</v>
      </c>
      <c r="J10345" s="5" t="s">
        <v>46397</v>
      </c>
      <c r="K10345" s="5" t="s">
        <v>46398</v>
      </c>
      <c r="L10345" s="18" t="s">
        <v>8537</v>
      </c>
      <c r="M10345" s="18" t="s">
        <v>29</v>
      </c>
      <c r="N10345" s="18" t="s">
        <v>46399</v>
      </c>
      <c r="O10345" s="18" t="s">
        <v>29</v>
      </c>
      <c r="P10345" s="6"/>
      <c r="Q10345" s="6"/>
      <c r="R10345" s="6"/>
      <c r="S10345" s="6"/>
      <c r="T10345" s="6"/>
      <c r="U10345" s="6"/>
      <c r="V10345" s="8"/>
      <c r="W10345" s="8"/>
      <c r="X10345" s="8"/>
      <c r="Y10345" s="8"/>
    </row>
    <row r="10346" ht="14.25">
      <c r="B10346" s="18" t="s">
        <v>2932</v>
      </c>
      <c r="C10346" s="18" t="s">
        <v>46400</v>
      </c>
      <c r="D10346" s="18" t="s">
        <v>1130</v>
      </c>
      <c r="E10346" s="18" t="s">
        <v>46401</v>
      </c>
      <c r="F10346" s="18" t="str">
        <f>IFERROR(__XLUDF.DUMMYFUNCTION("PROPER(REGEXREPLACE(D258,""[^A-Za-z]+ "",""""))"),"Groupe Ciméo")</f>
        <v xml:space="preserve">Groupe Ciméo</v>
      </c>
      <c r="G10346" s="18" t="s">
        <v>46402</v>
      </c>
      <c r="H10346" s="18">
        <v>20</v>
      </c>
      <c r="I10346" s="18" t="s">
        <v>9239</v>
      </c>
      <c r="J10346" s="5" t="s">
        <v>46403</v>
      </c>
      <c r="K10346" s="5" t="s">
        <v>46404</v>
      </c>
      <c r="L10346" s="18" t="s">
        <v>1826</v>
      </c>
      <c r="M10346" s="18" t="s">
        <v>29</v>
      </c>
      <c r="N10346" s="18" t="s">
        <v>46405</v>
      </c>
      <c r="O10346" s="18" t="s">
        <v>29</v>
      </c>
      <c r="P10346" s="18" t="s">
        <v>46406</v>
      </c>
      <c r="Q10346" s="6"/>
      <c r="R10346" s="6"/>
      <c r="S10346" s="6"/>
      <c r="T10346" s="6"/>
      <c r="U10346" s="6"/>
      <c r="V10346" s="8"/>
      <c r="W10346" s="8"/>
      <c r="X10346" s="8"/>
      <c r="Y10346" s="8"/>
    </row>
    <row r="10347" ht="14.25">
      <c r="B10347" s="18" t="s">
        <v>330</v>
      </c>
      <c r="C10347" s="18" t="s">
        <v>9356</v>
      </c>
      <c r="D10347" s="18" t="s">
        <v>112</v>
      </c>
      <c r="E10347" s="18" t="s">
        <v>46407</v>
      </c>
      <c r="F10347" s="18" t="str">
        <f>IFERROR(__XLUDF.DUMMYFUNCTION("PROPER(REGEXREPLACE(D259,""[^A-Za-z]+ "",""""))"),"Betap Ingénierie")</f>
        <v xml:space="preserve">Betap Ingénierie</v>
      </c>
      <c r="G10347" s="18" t="s">
        <v>46408</v>
      </c>
      <c r="H10347" s="18">
        <v>7</v>
      </c>
      <c r="I10347" s="18" t="s">
        <v>9239</v>
      </c>
      <c r="J10347" s="5" t="s">
        <v>46409</v>
      </c>
      <c r="K10347" s="5" t="s">
        <v>46410</v>
      </c>
      <c r="L10347" s="18" t="s">
        <v>1711</v>
      </c>
      <c r="M10347" s="18" t="s">
        <v>29</v>
      </c>
      <c r="N10347" s="18" t="s">
        <v>46411</v>
      </c>
      <c r="O10347" s="18" t="s">
        <v>29</v>
      </c>
      <c r="P10347" s="6"/>
      <c r="Q10347" s="6"/>
      <c r="R10347" s="6"/>
      <c r="S10347" s="6"/>
      <c r="T10347" s="6"/>
      <c r="U10347" s="6"/>
      <c r="V10347" s="8"/>
      <c r="W10347" s="8"/>
      <c r="X10347" s="8"/>
      <c r="Y10347" s="8"/>
    </row>
    <row r="10348" ht="14.25">
      <c r="B10348" s="18" t="s">
        <v>1583</v>
      </c>
      <c r="C10348" s="18" t="s">
        <v>46412</v>
      </c>
      <c r="D10348" s="18" t="s">
        <v>112</v>
      </c>
      <c r="E10348" s="18" t="s">
        <v>46413</v>
      </c>
      <c r="F10348" s="18" t="str">
        <f>IFERROR(__XLUDF.DUMMYFUNCTION("PROPER(REGEXREPLACE(D260,""[^A-Za-z]+ "",""""))"),"Boutineau")</f>
        <v>Boutineau</v>
      </c>
      <c r="G10348" s="18" t="s">
        <v>46414</v>
      </c>
      <c r="H10348" s="18">
        <v>35</v>
      </c>
      <c r="I10348" s="18" t="s">
        <v>9239</v>
      </c>
      <c r="J10348" s="5" t="s">
        <v>46415</v>
      </c>
      <c r="K10348" s="5" t="s">
        <v>46416</v>
      </c>
      <c r="L10348" s="6"/>
      <c r="M10348" s="18" t="s">
        <v>29</v>
      </c>
      <c r="N10348" s="18" t="s">
        <v>46417</v>
      </c>
      <c r="O10348" s="18" t="s">
        <v>29</v>
      </c>
      <c r="P10348" s="6"/>
      <c r="Q10348" s="6"/>
      <c r="R10348" s="6"/>
      <c r="S10348" s="6"/>
      <c r="T10348" s="6"/>
      <c r="U10348" s="6"/>
      <c r="V10348" s="8"/>
      <c r="W10348" s="8"/>
      <c r="X10348" s="8"/>
      <c r="Y10348" s="8"/>
    </row>
    <row r="10349" ht="14.25">
      <c r="B10349" s="18" t="s">
        <v>734</v>
      </c>
      <c r="C10349" s="18" t="s">
        <v>13128</v>
      </c>
      <c r="D10349" s="18" t="s">
        <v>112</v>
      </c>
      <c r="E10349" s="18" t="s">
        <v>45967</v>
      </c>
      <c r="F10349" s="18" t="str">
        <f>IFERROR(__XLUDF.DUMMYFUNCTION("PROPER(REGEXREPLACE(D261,""[^A-Za-z]+ "",""""))"),"Sorreba Technologie®")</f>
        <v xml:space="preserve">Sorreba Technologie®</v>
      </c>
      <c r="G10349" s="18" t="s">
        <v>46418</v>
      </c>
      <c r="H10349" s="18">
        <v>22</v>
      </c>
      <c r="I10349" s="18" t="s">
        <v>9239</v>
      </c>
      <c r="J10349" s="5" t="s">
        <v>46419</v>
      </c>
      <c r="K10349" s="5" t="s">
        <v>45970</v>
      </c>
      <c r="L10349" s="18" t="s">
        <v>243</v>
      </c>
      <c r="M10349" s="18" t="s">
        <v>29</v>
      </c>
      <c r="N10349" s="18" t="s">
        <v>5722</v>
      </c>
      <c r="O10349" s="18" t="s">
        <v>29</v>
      </c>
      <c r="P10349" s="18" t="s">
        <v>45971</v>
      </c>
      <c r="Q10349" s="6"/>
      <c r="R10349" s="6"/>
      <c r="S10349" s="6"/>
      <c r="T10349" s="6"/>
      <c r="U10349" s="6"/>
      <c r="V10349" s="8"/>
      <c r="W10349" s="8"/>
      <c r="X10349" s="8"/>
      <c r="Y10349" s="8"/>
    </row>
    <row r="10350" ht="14.25">
      <c r="B10350" s="18" t="s">
        <v>1324</v>
      </c>
      <c r="C10350" s="18" t="s">
        <v>45011</v>
      </c>
      <c r="D10350" s="18" t="s">
        <v>112</v>
      </c>
      <c r="E10350" s="18" t="s">
        <v>46420</v>
      </c>
      <c r="F10350" s="18" t="str">
        <f>IFERROR(__XLUDF.DUMMYFUNCTION("PROPER(REGEXREPLACE(D262,""[^A-Za-z]+ "",""""))"),"Scenetec")</f>
        <v>Scenetec</v>
      </c>
      <c r="G10350" s="18" t="s">
        <v>46421</v>
      </c>
      <c r="H10350" s="18">
        <v>11</v>
      </c>
      <c r="I10350" s="18" t="s">
        <v>9239</v>
      </c>
      <c r="J10350" s="5" t="s">
        <v>46422</v>
      </c>
      <c r="K10350" s="5" t="s">
        <v>46423</v>
      </c>
      <c r="L10350" s="18" t="s">
        <v>185</v>
      </c>
      <c r="M10350" s="18" t="s">
        <v>29</v>
      </c>
      <c r="N10350" s="18" t="s">
        <v>46424</v>
      </c>
      <c r="O10350" s="18" t="s">
        <v>29</v>
      </c>
      <c r="P10350" s="6"/>
      <c r="Q10350" s="6"/>
      <c r="R10350" s="6"/>
      <c r="S10350" s="6"/>
      <c r="T10350" s="6"/>
      <c r="U10350" s="6"/>
      <c r="V10350" s="8"/>
      <c r="W10350" s="8"/>
      <c r="X10350" s="8"/>
      <c r="Y10350" s="8"/>
    </row>
    <row r="10351" ht="14.25">
      <c r="B10351" s="18" t="s">
        <v>110</v>
      </c>
      <c r="C10351" s="18" t="s">
        <v>1572</v>
      </c>
      <c r="D10351" s="18" t="s">
        <v>112</v>
      </c>
      <c r="E10351" s="18" t="s">
        <v>46425</v>
      </c>
      <c r="F10351" s="18" t="str">
        <f>IFERROR(__XLUDF.DUMMYFUNCTION("PROPER(REGEXREPLACE(D263,""[^A-Za-z]+ "",""""))"),"Tilyo")</f>
        <v>Tilyo</v>
      </c>
      <c r="G10351" s="18" t="s">
        <v>46426</v>
      </c>
      <c r="H10351" s="18">
        <v>19</v>
      </c>
      <c r="I10351" s="18" t="s">
        <v>9239</v>
      </c>
      <c r="J10351" s="5" t="s">
        <v>46427</v>
      </c>
      <c r="K10351" s="5" t="s">
        <v>46428</v>
      </c>
      <c r="L10351" s="18" t="s">
        <v>46429</v>
      </c>
      <c r="M10351" s="18" t="s">
        <v>29</v>
      </c>
      <c r="N10351" s="18" t="s">
        <v>46430</v>
      </c>
      <c r="O10351" s="18" t="s">
        <v>29</v>
      </c>
      <c r="P10351" s="18" t="s">
        <v>46431</v>
      </c>
      <c r="Q10351" s="6"/>
      <c r="R10351" s="6"/>
      <c r="S10351" s="6"/>
      <c r="T10351" s="6"/>
      <c r="U10351" s="6"/>
      <c r="V10351" s="8"/>
      <c r="W10351" s="8"/>
      <c r="X10351" s="8"/>
      <c r="Y10351" s="8"/>
    </row>
    <row r="10352" ht="14.25">
      <c r="B10352" s="18" t="s">
        <v>6931</v>
      </c>
      <c r="C10352" s="18" t="s">
        <v>46432</v>
      </c>
      <c r="D10352" s="18" t="s">
        <v>46433</v>
      </c>
      <c r="E10352" s="18" t="s">
        <v>46434</v>
      </c>
      <c r="F10352" s="18" t="str">
        <f>IFERROR(__XLUDF.DUMMYFUNCTION("PROPER(REGEXREPLACE(D264,""[^A-Za-z]+ "",""""))"),"Operys")</f>
        <v>Operys</v>
      </c>
      <c r="G10352" s="18" t="s">
        <v>46435</v>
      </c>
      <c r="H10352" s="18">
        <v>4</v>
      </c>
      <c r="I10352" s="18" t="s">
        <v>9239</v>
      </c>
      <c r="J10352" s="5" t="s">
        <v>46436</v>
      </c>
      <c r="K10352" s="5" t="s">
        <v>46437</v>
      </c>
      <c r="L10352" s="18" t="s">
        <v>39</v>
      </c>
      <c r="M10352" s="18" t="s">
        <v>29</v>
      </c>
      <c r="N10352" s="18" t="s">
        <v>46438</v>
      </c>
      <c r="O10352" s="18" t="s">
        <v>29</v>
      </c>
      <c r="P10352" s="6"/>
      <c r="Q10352" s="6"/>
      <c r="R10352" s="6"/>
      <c r="S10352" s="6"/>
      <c r="T10352" s="6"/>
      <c r="U10352" s="6"/>
      <c r="V10352" s="8"/>
      <c r="W10352" s="8"/>
      <c r="X10352" s="8"/>
      <c r="Y10352" s="8"/>
    </row>
    <row r="10353" ht="14.25">
      <c r="B10353" s="18" t="s">
        <v>46439</v>
      </c>
      <c r="C10353" s="18" t="s">
        <v>46138</v>
      </c>
      <c r="D10353" s="18" t="s">
        <v>112</v>
      </c>
      <c r="E10353" s="18" t="s">
        <v>46440</v>
      </c>
      <c r="F10353" s="18" t="str">
        <f>IFERROR(__XLUDF.DUMMYFUNCTION("PROPER(REGEXREPLACE(D265,""[^A-Za-z]+ "",""""))"),"Air&amp;Vert Énergie")</f>
        <v xml:space="preserve">Air&amp;Vert Énergie</v>
      </c>
      <c r="G10353" s="18" t="s">
        <v>46441</v>
      </c>
      <c r="H10353" s="18">
        <v>2</v>
      </c>
      <c r="I10353" s="18" t="s">
        <v>9239</v>
      </c>
      <c r="J10353" s="5" t="s">
        <v>46442</v>
      </c>
      <c r="K10353" s="5" t="s">
        <v>46443</v>
      </c>
      <c r="L10353" s="18" t="s">
        <v>2186</v>
      </c>
      <c r="M10353" s="18" t="s">
        <v>29</v>
      </c>
      <c r="N10353" s="18" t="s">
        <v>46444</v>
      </c>
      <c r="O10353" s="18" t="s">
        <v>29</v>
      </c>
      <c r="P10353" s="6"/>
      <c r="Q10353" s="6"/>
      <c r="R10353" s="6"/>
      <c r="S10353" s="6"/>
      <c r="T10353" s="6"/>
      <c r="U10353" s="6"/>
      <c r="V10353" s="8"/>
      <c r="W10353" s="8"/>
      <c r="X10353" s="8"/>
      <c r="Y10353" s="8"/>
    </row>
    <row r="10354" ht="14.25">
      <c r="B10354" s="18" t="s">
        <v>556</v>
      </c>
      <c r="C10354" s="18" t="s">
        <v>45299</v>
      </c>
      <c r="D10354" s="18" t="s">
        <v>426</v>
      </c>
      <c r="E10354" s="18" t="s">
        <v>45300</v>
      </c>
      <c r="F10354" s="18" t="str">
        <f>IFERROR(__XLUDF.DUMMYFUNCTION("PROPER(REGEXREPLACE(D266,""[^A-Za-z]+ "",""""))"),"Maisonsarchitectures")</f>
        <v>Maisonsarchitectures</v>
      </c>
      <c r="G10354" s="18" t="s">
        <v>46445</v>
      </c>
      <c r="H10354" s="18">
        <v>14</v>
      </c>
      <c r="I10354" s="18" t="s">
        <v>9239</v>
      </c>
      <c r="J10354" s="5" t="s">
        <v>46446</v>
      </c>
      <c r="K10354" s="5" t="s">
        <v>45303</v>
      </c>
      <c r="L10354" s="18" t="s">
        <v>9237</v>
      </c>
      <c r="M10354" s="18" t="s">
        <v>29</v>
      </c>
      <c r="N10354" s="18" t="s">
        <v>45304</v>
      </c>
      <c r="O10354" s="18" t="s">
        <v>29</v>
      </c>
      <c r="P10354" s="18" t="s">
        <v>45305</v>
      </c>
      <c r="Q10354" s="6"/>
      <c r="R10354" s="6"/>
      <c r="S10354" s="6"/>
      <c r="T10354" s="6"/>
      <c r="U10354" s="6"/>
      <c r="V10354" s="8"/>
      <c r="W10354" s="8"/>
      <c r="X10354" s="8"/>
      <c r="Y10354" s="8"/>
    </row>
    <row r="10355" ht="14.25">
      <c r="B10355" s="18" t="s">
        <v>46447</v>
      </c>
      <c r="C10355" s="18" t="s">
        <v>46448</v>
      </c>
      <c r="D10355" s="18" t="s">
        <v>172</v>
      </c>
      <c r="E10355" s="18" t="s">
        <v>46449</v>
      </c>
      <c r="F10355" s="18" t="str">
        <f>IFERROR(__XLUDF.DUMMYFUNCTION("PROPER(REGEXREPLACE(D267,""[^A-Za-z]+ "",""""))"),"Bacer Sas")</f>
        <v xml:space="preserve">Bacer Sas</v>
      </c>
      <c r="G10355" s="18" t="s">
        <v>46450</v>
      </c>
      <c r="H10355" s="18">
        <v>9</v>
      </c>
      <c r="I10355" s="18" t="s">
        <v>9239</v>
      </c>
      <c r="J10355" s="5" t="s">
        <v>46451</v>
      </c>
      <c r="K10355" s="5" t="s">
        <v>46452</v>
      </c>
      <c r="L10355" s="6"/>
      <c r="M10355" s="18" t="s">
        <v>29</v>
      </c>
      <c r="N10355" s="18" t="s">
        <v>46453</v>
      </c>
      <c r="O10355" s="18" t="s">
        <v>29</v>
      </c>
      <c r="P10355" s="6"/>
      <c r="Q10355" s="6"/>
      <c r="R10355" s="6"/>
      <c r="S10355" s="6"/>
      <c r="T10355" s="6"/>
      <c r="U10355" s="6"/>
      <c r="V10355" s="8"/>
      <c r="W10355" s="8"/>
      <c r="X10355" s="8"/>
      <c r="Y10355" s="8"/>
    </row>
    <row r="10356" ht="14.25">
      <c r="B10356" s="18" t="s">
        <v>630</v>
      </c>
      <c r="C10356" s="18" t="s">
        <v>95</v>
      </c>
      <c r="D10356" s="18" t="s">
        <v>46454</v>
      </c>
      <c r="E10356" s="18" t="s">
        <v>46455</v>
      </c>
      <c r="F10356" s="18" t="str">
        <f>IFERROR(__XLUDF.DUMMYFUNCTION("PROPER(REGEXREPLACE(D268,""[^A-Za-z]+ "",""""))"),"Make Office 🇫🇷")</f>
        <v xml:space="preserve">Make Office 🇫🇷</v>
      </c>
      <c r="G10356" s="18" t="s">
        <v>46456</v>
      </c>
      <c r="H10356" s="18">
        <v>5</v>
      </c>
      <c r="I10356" s="18" t="s">
        <v>9239</v>
      </c>
      <c r="J10356" s="5" t="s">
        <v>46457</v>
      </c>
      <c r="K10356" s="5" t="s">
        <v>46458</v>
      </c>
      <c r="L10356" s="18" t="s">
        <v>39</v>
      </c>
      <c r="M10356" s="18" t="s">
        <v>29</v>
      </c>
      <c r="N10356" s="18" t="s">
        <v>46459</v>
      </c>
      <c r="O10356" s="18" t="s">
        <v>29</v>
      </c>
      <c r="P10356" s="18" t="s">
        <v>46460</v>
      </c>
      <c r="Q10356" s="6"/>
      <c r="R10356" s="6"/>
      <c r="S10356" s="6"/>
      <c r="T10356" s="6"/>
      <c r="U10356" s="6"/>
      <c r="V10356" s="8"/>
      <c r="W10356" s="8"/>
      <c r="X10356" s="8"/>
      <c r="Y10356" s="8"/>
    </row>
    <row r="10357" ht="14.25">
      <c r="B10357" s="18" t="s">
        <v>15968</v>
      </c>
      <c r="C10357" s="18" t="s">
        <v>46461</v>
      </c>
      <c r="D10357" s="18" t="s">
        <v>4449</v>
      </c>
      <c r="E10357" s="18" t="s">
        <v>46462</v>
      </c>
      <c r="F10357" s="18" t="str">
        <f>IFERROR(__XLUDF.DUMMYFUNCTION("PROPER(REGEXREPLACE(D269,""[^A-Za-z]+ "",""""))"),"Renoo")</f>
        <v>Renoo</v>
      </c>
      <c r="G10357" s="18" t="s">
        <v>46463</v>
      </c>
      <c r="H10357" s="18">
        <v>2</v>
      </c>
      <c r="I10357" s="18" t="s">
        <v>9239</v>
      </c>
      <c r="J10357" s="5" t="s">
        <v>46464</v>
      </c>
      <c r="K10357" s="5" t="s">
        <v>46465</v>
      </c>
      <c r="L10357" s="6"/>
      <c r="M10357" s="18" t="s">
        <v>29</v>
      </c>
      <c r="N10357" s="18" t="s">
        <v>22731</v>
      </c>
      <c r="O10357" s="18" t="s">
        <v>29</v>
      </c>
      <c r="P10357" s="18" t="s">
        <v>46466</v>
      </c>
      <c r="Q10357" s="6"/>
      <c r="R10357" s="6"/>
      <c r="S10357" s="6"/>
      <c r="T10357" s="6"/>
      <c r="U10357" s="6"/>
      <c r="V10357" s="8"/>
      <c r="W10357" s="8"/>
      <c r="X10357" s="8"/>
      <c r="Y10357" s="8"/>
    </row>
    <row r="10358" ht="14.25">
      <c r="B10358" s="18" t="s">
        <v>22343</v>
      </c>
      <c r="C10358" s="18" t="s">
        <v>46467</v>
      </c>
      <c r="D10358" s="18" t="s">
        <v>25705</v>
      </c>
      <c r="E10358" s="18" t="s">
        <v>46468</v>
      </c>
      <c r="F10358" s="18" t="str">
        <f>IFERROR(__XLUDF.DUMMYFUNCTION("PROPER(REGEXREPLACE(D270,""[^A-Za-z]+ "",""""))"),"Archi-Construit")</f>
        <v>Archi-Construit</v>
      </c>
      <c r="G10358" s="18" t="s">
        <v>46469</v>
      </c>
      <c r="H10358" s="18">
        <v>6</v>
      </c>
      <c r="I10358" s="18" t="s">
        <v>9239</v>
      </c>
      <c r="J10358" s="5" t="s">
        <v>46470</v>
      </c>
      <c r="K10358" s="5" t="s">
        <v>46471</v>
      </c>
      <c r="L10358" s="18" t="s">
        <v>39</v>
      </c>
      <c r="M10358" s="18" t="s">
        <v>29</v>
      </c>
      <c r="N10358" s="18" t="s">
        <v>46472</v>
      </c>
      <c r="O10358" s="18" t="s">
        <v>29</v>
      </c>
      <c r="P10358" s="6"/>
      <c r="Q10358" s="6"/>
      <c r="R10358" s="6"/>
      <c r="S10358" s="6"/>
      <c r="T10358" s="6"/>
      <c r="U10358" s="6"/>
      <c r="V10358" s="8"/>
      <c r="W10358" s="8"/>
      <c r="X10358" s="8"/>
      <c r="Y10358" s="8"/>
    </row>
    <row r="10359" ht="14.25">
      <c r="B10359" s="18" t="s">
        <v>46473</v>
      </c>
      <c r="C10359" s="18" t="s">
        <v>46474</v>
      </c>
      <c r="D10359" s="18" t="s">
        <v>198</v>
      </c>
      <c r="E10359" s="18" t="s">
        <v>46475</v>
      </c>
      <c r="F10359" s="18" t="str">
        <f>IFERROR(__XLUDF.DUMMYFUNCTION("PROPER(REGEXREPLACE(D271,""[^A-Za-z]+ "",""""))"),"Diruy")</f>
        <v>Diruy</v>
      </c>
      <c r="G10359" s="18" t="s">
        <v>46476</v>
      </c>
      <c r="H10359" s="18">
        <v>32</v>
      </c>
      <c r="I10359" s="18" t="s">
        <v>9239</v>
      </c>
      <c r="J10359" s="5" t="s">
        <v>46477</v>
      </c>
      <c r="K10359" s="5" t="s">
        <v>46478</v>
      </c>
      <c r="L10359" s="18" t="s">
        <v>6480</v>
      </c>
      <c r="M10359" s="18" t="s">
        <v>29</v>
      </c>
      <c r="N10359" s="18" t="s">
        <v>46479</v>
      </c>
      <c r="O10359" s="18" t="s">
        <v>29</v>
      </c>
      <c r="P10359" s="18" t="s">
        <v>46480</v>
      </c>
      <c r="Q10359" s="6"/>
      <c r="R10359" s="6"/>
      <c r="S10359" s="6"/>
      <c r="T10359" s="6"/>
      <c r="U10359" s="6"/>
      <c r="V10359" s="8"/>
      <c r="W10359" s="8"/>
      <c r="X10359" s="8"/>
      <c r="Y10359" s="8"/>
    </row>
    <row r="10360" ht="14.25">
      <c r="B10360" s="18" t="s">
        <v>42698</v>
      </c>
      <c r="C10360" s="18" t="s">
        <v>17125</v>
      </c>
      <c r="D10360" s="18" t="s">
        <v>172</v>
      </c>
      <c r="E10360" s="18" t="s">
        <v>46481</v>
      </c>
      <c r="F10360" s="18" t="str">
        <f>IFERROR(__XLUDF.DUMMYFUNCTION("PROPER(REGEXREPLACE(D272,""[^A-Za-z]+ "",""""))"),"Sas Afonso")</f>
        <v xml:space="preserve">Sas Afonso</v>
      </c>
      <c r="G10360" s="18" t="s">
        <v>46482</v>
      </c>
      <c r="H10360" s="18">
        <v>20</v>
      </c>
      <c r="I10360" s="18" t="s">
        <v>9239</v>
      </c>
      <c r="J10360" s="5" t="s">
        <v>46483</v>
      </c>
      <c r="K10360" s="5" t="s">
        <v>46484</v>
      </c>
      <c r="L10360" s="18" t="s">
        <v>185</v>
      </c>
      <c r="M10360" s="18" t="s">
        <v>29</v>
      </c>
      <c r="N10360" s="18" t="s">
        <v>46485</v>
      </c>
      <c r="O10360" s="18" t="s">
        <v>29</v>
      </c>
      <c r="P10360" s="18" t="s">
        <v>46486</v>
      </c>
      <c r="Q10360" s="6"/>
      <c r="R10360" s="6"/>
      <c r="S10360" s="6"/>
      <c r="T10360" s="6"/>
      <c r="U10360" s="6"/>
      <c r="V10360" s="8"/>
      <c r="W10360" s="8"/>
      <c r="X10360" s="8"/>
      <c r="Y10360" s="8"/>
    </row>
    <row r="10361" ht="14.25">
      <c r="B10361" s="18" t="s">
        <v>4177</v>
      </c>
      <c r="C10361" s="18" t="s">
        <v>46487</v>
      </c>
      <c r="D10361" s="18" t="s">
        <v>46488</v>
      </c>
      <c r="E10361" s="18" t="s">
        <v>46489</v>
      </c>
      <c r="F10361" s="18" t="str">
        <f>IFERROR(__XLUDF.DUMMYFUNCTION("PROPER(REGEXREPLACE(D273,""[^A-Za-z]+ "",""""))"),"Studis Ingenierie")</f>
        <v xml:space="preserve">Studis Ingenierie</v>
      </c>
      <c r="G10361" s="18" t="s">
        <v>46490</v>
      </c>
      <c r="H10361" s="18">
        <v>21</v>
      </c>
      <c r="I10361" s="18" t="s">
        <v>9239</v>
      </c>
      <c r="J10361" s="5" t="s">
        <v>46491</v>
      </c>
      <c r="K10361" s="5" t="s">
        <v>46492</v>
      </c>
      <c r="L10361" s="18" t="s">
        <v>185</v>
      </c>
      <c r="M10361" s="18" t="s">
        <v>29</v>
      </c>
      <c r="N10361" s="18" t="s">
        <v>46493</v>
      </c>
      <c r="O10361" s="18" t="s">
        <v>29</v>
      </c>
      <c r="P10361" s="18" t="s">
        <v>46494</v>
      </c>
      <c r="Q10361" s="6"/>
      <c r="R10361" s="6"/>
      <c r="S10361" s="6"/>
      <c r="T10361" s="6"/>
      <c r="U10361" s="6"/>
      <c r="V10361" s="8"/>
      <c r="W10361" s="8"/>
      <c r="X10361" s="8"/>
      <c r="Y10361" s="8"/>
    </row>
    <row r="10362" ht="14.25">
      <c r="B10362" s="18" t="s">
        <v>2299</v>
      </c>
      <c r="C10362" s="18" t="s">
        <v>46495</v>
      </c>
      <c r="D10362" s="18" t="s">
        <v>172</v>
      </c>
      <c r="E10362" s="18" t="s">
        <v>46496</v>
      </c>
      <c r="F10362" s="18" t="str">
        <f>IFERROR(__XLUDF.DUMMYFUNCTION("PROPER(REGEXREPLACE(D274,""[^A-Za-z]+ "",""""))"),"Sociétde Travaux Alpes Méditerranée")</f>
        <v xml:space="preserve">Sociétde Travaux Alpes Méditerranée</v>
      </c>
      <c r="G10362" s="18" t="s">
        <v>46497</v>
      </c>
      <c r="H10362" s="18">
        <v>22</v>
      </c>
      <c r="I10362" s="18" t="s">
        <v>9239</v>
      </c>
      <c r="J10362" s="5" t="s">
        <v>46498</v>
      </c>
      <c r="K10362" s="5" t="s">
        <v>46499</v>
      </c>
      <c r="L10362" s="18" t="s">
        <v>46500</v>
      </c>
      <c r="M10362" s="18" t="s">
        <v>29</v>
      </c>
      <c r="N10362" s="18" t="s">
        <v>46501</v>
      </c>
      <c r="O10362" s="18" t="s">
        <v>29</v>
      </c>
      <c r="P10362" s="6"/>
      <c r="Q10362" s="6"/>
      <c r="R10362" s="6"/>
      <c r="S10362" s="6"/>
      <c r="T10362" s="6"/>
      <c r="U10362" s="6"/>
      <c r="V10362" s="8"/>
      <c r="W10362" s="8"/>
      <c r="X10362" s="8"/>
      <c r="Y10362" s="8"/>
    </row>
    <row r="10363" ht="14.25">
      <c r="B10363" s="18" t="s">
        <v>76</v>
      </c>
      <c r="C10363" s="18" t="s">
        <v>46502</v>
      </c>
      <c r="D10363" s="18" t="s">
        <v>172</v>
      </c>
      <c r="E10363" s="18" t="s">
        <v>46503</v>
      </c>
      <c r="F10363" s="18" t="str">
        <f>IFERROR(__XLUDF.DUMMYFUNCTION("PROPER(REGEXREPLACE(D275,""[^A-Za-z]+ "",""""))"),"Capelli Et Cie")</f>
        <v xml:space="preserve">Capelli Et Cie</v>
      </c>
      <c r="G10363" s="18" t="s">
        <v>46504</v>
      </c>
      <c r="H10363" s="18">
        <v>9</v>
      </c>
      <c r="I10363" s="18" t="s">
        <v>9239</v>
      </c>
      <c r="J10363" s="5" t="s">
        <v>46505</v>
      </c>
      <c r="K10363" s="5" t="s">
        <v>46506</v>
      </c>
      <c r="L10363" s="18" t="s">
        <v>46507</v>
      </c>
      <c r="M10363" s="18" t="s">
        <v>29</v>
      </c>
      <c r="N10363" s="18" t="s">
        <v>46508</v>
      </c>
      <c r="O10363" s="18" t="s">
        <v>29</v>
      </c>
      <c r="P10363" s="18" t="s">
        <v>46509</v>
      </c>
      <c r="Q10363" s="6"/>
      <c r="R10363" s="6"/>
      <c r="S10363" s="6"/>
      <c r="T10363" s="6"/>
      <c r="U10363" s="6"/>
      <c r="V10363" s="8"/>
      <c r="W10363" s="8"/>
      <c r="X10363" s="8"/>
      <c r="Y10363" s="8"/>
    </row>
    <row r="10364" ht="14.25">
      <c r="B10364" s="18" t="s">
        <v>1571</v>
      </c>
      <c r="C10364" s="18" t="s">
        <v>46510</v>
      </c>
      <c r="D10364" s="18" t="s">
        <v>164</v>
      </c>
      <c r="E10364" s="18" t="s">
        <v>46511</v>
      </c>
      <c r="F10364" s="18" t="str">
        <f>IFERROR(__XLUDF.DUMMYFUNCTION("PROPER(REGEXREPLACE(D276,""[^A-Za-z]+ "",""""))"),"Novim")</f>
        <v>Novim</v>
      </c>
      <c r="G10364" s="18" t="s">
        <v>46512</v>
      </c>
      <c r="H10364" s="18">
        <v>10</v>
      </c>
      <c r="I10364" s="18" t="s">
        <v>9239</v>
      </c>
      <c r="J10364" s="5" t="s">
        <v>46513</v>
      </c>
      <c r="K10364" s="5" t="s">
        <v>46514</v>
      </c>
      <c r="L10364" s="18" t="s">
        <v>185</v>
      </c>
      <c r="M10364" s="18" t="s">
        <v>29</v>
      </c>
      <c r="N10364" s="18" t="s">
        <v>46515</v>
      </c>
      <c r="O10364" s="18" t="s">
        <v>29</v>
      </c>
      <c r="P10364" s="18" t="s">
        <v>46516</v>
      </c>
      <c r="Q10364" s="6"/>
      <c r="R10364" s="6"/>
      <c r="S10364" s="6"/>
      <c r="T10364" s="6"/>
      <c r="U10364" s="6"/>
      <c r="V10364" s="8"/>
      <c r="W10364" s="8"/>
      <c r="X10364" s="8"/>
      <c r="Y10364" s="8"/>
    </row>
    <row r="10365" ht="14.25">
      <c r="B10365" s="18" t="s">
        <v>206</v>
      </c>
      <c r="C10365" s="18" t="s">
        <v>46517</v>
      </c>
      <c r="D10365" s="18" t="s">
        <v>172</v>
      </c>
      <c r="E10365" s="18" t="s">
        <v>46518</v>
      </c>
      <c r="F10365" s="18" t="str">
        <f>IFERROR(__XLUDF.DUMMYFUNCTION("PROPER(REGEXREPLACE(D277,""[^A-Za-z]+ "",""""))"),"Groupe Moyse")</f>
        <v xml:space="preserve">Groupe Moyse</v>
      </c>
      <c r="G10365" s="18" t="s">
        <v>46519</v>
      </c>
      <c r="H10365" s="18">
        <v>41</v>
      </c>
      <c r="I10365" s="18" t="s">
        <v>9239</v>
      </c>
      <c r="J10365" s="5" t="s">
        <v>46520</v>
      </c>
      <c r="K10365" s="5" t="s">
        <v>46521</v>
      </c>
      <c r="L10365" s="18" t="s">
        <v>149</v>
      </c>
      <c r="M10365" s="18" t="s">
        <v>29</v>
      </c>
      <c r="N10365" s="18" t="s">
        <v>46522</v>
      </c>
      <c r="O10365" s="18" t="s">
        <v>29</v>
      </c>
      <c r="P10365" s="6"/>
      <c r="Q10365" s="6"/>
      <c r="R10365" s="6"/>
      <c r="S10365" s="6"/>
      <c r="T10365" s="6"/>
      <c r="U10365" s="6"/>
      <c r="V10365" s="8"/>
      <c r="W10365" s="8"/>
      <c r="X10365" s="8"/>
      <c r="Y10365" s="8"/>
    </row>
    <row r="10366" ht="14.25">
      <c r="B10366" s="18" t="s">
        <v>630</v>
      </c>
      <c r="C10366" s="18" t="s">
        <v>46523</v>
      </c>
      <c r="D10366" s="18" t="s">
        <v>172</v>
      </c>
      <c r="E10366" s="18" t="s">
        <v>46524</v>
      </c>
      <c r="F10366" s="18" t="str">
        <f>IFERROR(__XLUDF.DUMMYFUNCTION("PROPER(REGEXREPLACE(D278,""[^A-Za-z]+ "",""""))"),"Barthe")</f>
        <v>Barthe</v>
      </c>
      <c r="G10366" s="18" t="s">
        <v>46525</v>
      </c>
      <c r="H10366" s="18">
        <v>38</v>
      </c>
      <c r="I10366" s="18" t="s">
        <v>9239</v>
      </c>
      <c r="J10366" s="5" t="s">
        <v>46526</v>
      </c>
      <c r="K10366" s="5" t="s">
        <v>46527</v>
      </c>
      <c r="L10366" s="6"/>
      <c r="M10366" s="18" t="s">
        <v>29</v>
      </c>
      <c r="N10366" s="18" t="s">
        <v>46528</v>
      </c>
      <c r="O10366" s="18" t="s">
        <v>1261</v>
      </c>
      <c r="P10366" s="18" t="s">
        <v>46529</v>
      </c>
      <c r="Q10366" s="6"/>
      <c r="R10366" s="6"/>
      <c r="S10366" s="6"/>
      <c r="T10366" s="6"/>
      <c r="U10366" s="6"/>
      <c r="V10366" s="8"/>
      <c r="W10366" s="8"/>
      <c r="X10366" s="8"/>
      <c r="Y10366" s="8"/>
    </row>
    <row r="10367" ht="14.25">
      <c r="B10367" s="18" t="s">
        <v>46530</v>
      </c>
      <c r="C10367" s="18" t="s">
        <v>46531</v>
      </c>
      <c r="D10367" s="18" t="s">
        <v>172</v>
      </c>
      <c r="E10367" s="18" t="s">
        <v>46532</v>
      </c>
      <c r="F10367" s="18" t="str">
        <f>IFERROR(__XLUDF.DUMMYFUNCTION("PROPER(REGEXREPLACE(D279,""[^A-Za-z]+ "",""""))"),"Methodes Et Pilotage")</f>
        <v xml:space="preserve">Methodes Et Pilotage</v>
      </c>
      <c r="G10367" s="18" t="s">
        <v>46533</v>
      </c>
      <c r="H10367" s="18">
        <v>28</v>
      </c>
      <c r="I10367" s="18" t="s">
        <v>9239</v>
      </c>
      <c r="J10367" s="5" t="s">
        <v>46534</v>
      </c>
      <c r="K10367" s="5" t="s">
        <v>46535</v>
      </c>
      <c r="L10367" s="6"/>
      <c r="M10367" s="18" t="s">
        <v>29</v>
      </c>
      <c r="N10367" s="18" t="s">
        <v>46536</v>
      </c>
      <c r="O10367" s="18" t="s">
        <v>29</v>
      </c>
      <c r="P10367" s="18" t="s">
        <v>46537</v>
      </c>
      <c r="Q10367" s="6"/>
      <c r="R10367" s="6"/>
      <c r="S10367" s="6"/>
      <c r="T10367" s="6"/>
      <c r="U10367" s="6"/>
      <c r="V10367" s="8"/>
      <c r="W10367" s="8"/>
      <c r="X10367" s="8"/>
      <c r="Y10367" s="8"/>
    </row>
    <row r="10368" ht="14.25">
      <c r="B10368" s="18" t="s">
        <v>95</v>
      </c>
      <c r="C10368" s="18" t="s">
        <v>4132</v>
      </c>
      <c r="D10368" s="18" t="s">
        <v>172</v>
      </c>
      <c r="E10368" s="18" t="s">
        <v>46538</v>
      </c>
      <c r="F10368" s="18" t="str">
        <f>IFERROR(__XLUDF.DUMMYFUNCTION("PROPER(REGEXREPLACE(D280,""[^A-Za-z]+ "",""""))"),"Etablissements Houllé")</f>
        <v xml:space="preserve">Etablissements Houllé</v>
      </c>
      <c r="G10368" s="18" t="s">
        <v>46539</v>
      </c>
      <c r="H10368" s="18">
        <v>9</v>
      </c>
      <c r="I10368" s="18" t="s">
        <v>9239</v>
      </c>
      <c r="J10368" s="5" t="s">
        <v>46540</v>
      </c>
      <c r="K10368" s="5" t="s">
        <v>46541</v>
      </c>
      <c r="L10368" s="18" t="s">
        <v>42019</v>
      </c>
      <c r="M10368" s="18" t="s">
        <v>29</v>
      </c>
      <c r="N10368" s="18" t="s">
        <v>46542</v>
      </c>
      <c r="O10368" s="18" t="s">
        <v>29</v>
      </c>
      <c r="P10368" s="18" t="s">
        <v>46543</v>
      </c>
      <c r="Q10368" s="6"/>
      <c r="R10368" s="6"/>
      <c r="S10368" s="6"/>
      <c r="T10368" s="6"/>
      <c r="U10368" s="6"/>
      <c r="V10368" s="8"/>
      <c r="W10368" s="8"/>
      <c r="X10368" s="8"/>
      <c r="Y10368" s="8"/>
    </row>
    <row r="10369" ht="14.25">
      <c r="B10369" s="18" t="s">
        <v>46544</v>
      </c>
      <c r="C10369" s="18" t="s">
        <v>46545</v>
      </c>
      <c r="D10369" s="18" t="s">
        <v>172</v>
      </c>
      <c r="E10369" s="18" t="s">
        <v>46546</v>
      </c>
      <c r="F10369" s="18" t="str">
        <f>IFERROR(__XLUDF.DUMMYFUNCTION("PROPER(REGEXREPLACE(D281,""[^A-Za-z]+ "",""""))"),"Servigaz")</f>
        <v>Servigaz</v>
      </c>
      <c r="G10369" s="18" t="s">
        <v>46547</v>
      </c>
      <c r="H10369" s="18">
        <v>18</v>
      </c>
      <c r="I10369" s="18" t="s">
        <v>9239</v>
      </c>
      <c r="J10369" s="5" t="s">
        <v>46548</v>
      </c>
      <c r="K10369" s="5" t="s">
        <v>46549</v>
      </c>
      <c r="L10369" s="18" t="s">
        <v>185</v>
      </c>
      <c r="M10369" s="18" t="s">
        <v>29</v>
      </c>
      <c r="N10369" s="18" t="s">
        <v>18452</v>
      </c>
      <c r="O10369" s="18" t="s">
        <v>29</v>
      </c>
      <c r="P10369" s="18" t="s">
        <v>46550</v>
      </c>
      <c r="Q10369" s="6"/>
      <c r="R10369" s="6"/>
      <c r="S10369" s="6"/>
      <c r="T10369" s="6"/>
      <c r="U10369" s="6"/>
      <c r="V10369" s="8"/>
      <c r="W10369" s="8"/>
      <c r="X10369" s="8"/>
      <c r="Y10369" s="8"/>
    </row>
    <row r="10370" ht="14.25">
      <c r="B10370" s="18" t="s">
        <v>46551</v>
      </c>
      <c r="C10370" s="18" t="s">
        <v>46552</v>
      </c>
      <c r="D10370" s="18" t="s">
        <v>172</v>
      </c>
      <c r="E10370" s="18" t="s">
        <v>46553</v>
      </c>
      <c r="F10370" s="18" t="str">
        <f>IFERROR(__XLUDF.DUMMYFUNCTION("PROPER(REGEXREPLACE(D282,""[^A-Za-z]+ "",""""))"),"Ciel Etanche")</f>
        <v xml:space="preserve">Ciel Etanche</v>
      </c>
      <c r="G10370" s="18" t="s">
        <v>46554</v>
      </c>
      <c r="H10370" s="18">
        <v>5</v>
      </c>
      <c r="I10370" s="18" t="s">
        <v>9239</v>
      </c>
      <c r="J10370" s="5" t="s">
        <v>46555</v>
      </c>
      <c r="K10370" s="5" t="s">
        <v>46556</v>
      </c>
      <c r="L10370" s="18" t="s">
        <v>45636</v>
      </c>
      <c r="M10370" s="18" t="s">
        <v>29</v>
      </c>
      <c r="N10370" s="18" t="s">
        <v>46557</v>
      </c>
      <c r="O10370" s="18" t="s">
        <v>29</v>
      </c>
      <c r="P10370" s="18" t="s">
        <v>46558</v>
      </c>
      <c r="Q10370" s="6"/>
      <c r="R10370" s="6"/>
      <c r="S10370" s="6"/>
      <c r="T10370" s="6"/>
      <c r="U10370" s="6"/>
      <c r="V10370" s="8"/>
      <c r="W10370" s="8"/>
      <c r="X10370" s="8"/>
      <c r="Y10370" s="8"/>
    </row>
    <row r="10371" ht="14.25">
      <c r="B10371" s="18" t="s">
        <v>866</v>
      </c>
      <c r="C10371" s="18" t="s">
        <v>46559</v>
      </c>
      <c r="D10371" s="18" t="s">
        <v>172</v>
      </c>
      <c r="E10371" s="18" t="s">
        <v>46560</v>
      </c>
      <c r="F10371" s="18" t="str">
        <f>IFERROR(__XLUDF.DUMMYFUNCTION("PROPER(REGEXREPLACE(D283,""[^A-Za-z]+ "",""""))"),"Planete Menuiserie")</f>
        <v xml:space="preserve">Planete Menuiserie</v>
      </c>
      <c r="G10371" s="18" t="s">
        <v>46561</v>
      </c>
      <c r="H10371" s="18">
        <v>2</v>
      </c>
      <c r="I10371" s="18" t="s">
        <v>9239</v>
      </c>
      <c r="J10371" s="5" t="s">
        <v>46562</v>
      </c>
      <c r="K10371" s="5" t="s">
        <v>46563</v>
      </c>
      <c r="L10371" s="18" t="s">
        <v>83</v>
      </c>
      <c r="M10371" s="18" t="s">
        <v>29</v>
      </c>
      <c r="N10371" s="6"/>
      <c r="O10371" s="6"/>
      <c r="P10371" s="6"/>
      <c r="Q10371" s="6"/>
      <c r="R10371" s="6"/>
      <c r="S10371" s="6"/>
      <c r="T10371" s="6"/>
      <c r="U10371" s="6"/>
      <c r="V10371" s="8"/>
      <c r="W10371" s="8"/>
      <c r="X10371" s="8"/>
      <c r="Y10371" s="8"/>
    </row>
    <row r="10372" ht="14.25">
      <c r="B10372" s="18" t="s">
        <v>46564</v>
      </c>
      <c r="C10372" s="6"/>
      <c r="D10372" s="18" t="s">
        <v>468</v>
      </c>
      <c r="E10372" s="18" t="s">
        <v>46565</v>
      </c>
      <c r="F10372" s="18" t="str">
        <f>IFERROR(__XLUDF.DUMMYFUNCTION("PROPER(REGEXREPLACE(D284,""[^A-Za-z]+ "",""""))"),"123Modules")</f>
        <v>123Modules</v>
      </c>
      <c r="G10372" s="18" t="s">
        <v>46566</v>
      </c>
      <c r="H10372" s="18">
        <v>18</v>
      </c>
      <c r="I10372" s="18" t="s">
        <v>9239</v>
      </c>
      <c r="J10372" s="5" t="s">
        <v>46567</v>
      </c>
      <c r="K10372" s="5" t="s">
        <v>46568</v>
      </c>
      <c r="L10372" s="18" t="s">
        <v>651</v>
      </c>
      <c r="M10372" s="18" t="s">
        <v>29</v>
      </c>
      <c r="N10372" s="18" t="s">
        <v>46569</v>
      </c>
      <c r="O10372" s="18" t="s">
        <v>29</v>
      </c>
      <c r="P10372" s="6"/>
      <c r="Q10372" s="6"/>
      <c r="R10372" s="6"/>
      <c r="S10372" s="6"/>
      <c r="T10372" s="6"/>
      <c r="U10372" s="6"/>
      <c r="V10372" s="8"/>
      <c r="W10372" s="8"/>
      <c r="X10372" s="8"/>
      <c r="Y10372" s="8"/>
    </row>
    <row r="10373" ht="14.25">
      <c r="B10373" s="18" t="s">
        <v>7323</v>
      </c>
      <c r="C10373" s="18" t="s">
        <v>46570</v>
      </c>
      <c r="D10373" s="18" t="s">
        <v>468</v>
      </c>
      <c r="E10373" s="18" t="s">
        <v>46571</v>
      </c>
      <c r="F10373" s="18" t="str">
        <f>IFERROR(__XLUDF.DUMMYFUNCTION("PROPER(REGEXREPLACE(D285,""[^A-Za-z]+ "",""""))"),"Ipe Immobilier Pour L'Entreprise")</f>
        <v xml:space="preserve">Ipe Immobilier Pour L'Entreprise</v>
      </c>
      <c r="G10373" s="18" t="s">
        <v>46572</v>
      </c>
      <c r="H10373" s="18">
        <v>16</v>
      </c>
      <c r="I10373" s="18" t="s">
        <v>9239</v>
      </c>
      <c r="J10373" s="5" t="s">
        <v>46573</v>
      </c>
      <c r="K10373" s="5" t="s">
        <v>46574</v>
      </c>
      <c r="L10373" s="18" t="s">
        <v>39</v>
      </c>
      <c r="M10373" s="18" t="s">
        <v>29</v>
      </c>
      <c r="N10373" s="18" t="s">
        <v>46575</v>
      </c>
      <c r="O10373" s="18" t="s">
        <v>29</v>
      </c>
      <c r="P10373" s="18" t="s">
        <v>46576</v>
      </c>
      <c r="Q10373" s="6"/>
      <c r="R10373" s="6"/>
      <c r="S10373" s="6"/>
      <c r="T10373" s="6"/>
      <c r="U10373" s="6"/>
      <c r="V10373" s="8"/>
      <c r="W10373" s="8"/>
      <c r="X10373" s="8"/>
      <c r="Y10373" s="8"/>
    </row>
    <row r="10374" ht="14.25">
      <c r="B10374" s="18" t="s">
        <v>170</v>
      </c>
      <c r="C10374" s="18" t="s">
        <v>46577</v>
      </c>
      <c r="D10374" s="18" t="s">
        <v>8042</v>
      </c>
      <c r="E10374" s="18" t="s">
        <v>46578</v>
      </c>
      <c r="F10374" s="18" t="str">
        <f>IFERROR(__XLUDF.DUMMYFUNCTION("PROPER(REGEXREPLACE(D286,""[^A-Za-z]+ "",""""))"),"Aiv")</f>
        <v>Aiv</v>
      </c>
      <c r="G10374" s="18" t="s">
        <v>46579</v>
      </c>
      <c r="H10374" s="18">
        <v>41</v>
      </c>
      <c r="I10374" s="18" t="s">
        <v>9239</v>
      </c>
      <c r="J10374" s="5" t="s">
        <v>46580</v>
      </c>
      <c r="K10374" s="5" t="s">
        <v>46581</v>
      </c>
      <c r="L10374" s="18" t="s">
        <v>243</v>
      </c>
      <c r="M10374" s="18" t="s">
        <v>29</v>
      </c>
      <c r="N10374" s="18" t="s">
        <v>46582</v>
      </c>
      <c r="O10374" s="18" t="s">
        <v>29</v>
      </c>
      <c r="P10374" s="6"/>
      <c r="Q10374" s="6"/>
      <c r="R10374" s="6"/>
      <c r="S10374" s="6"/>
      <c r="T10374" s="6"/>
      <c r="U10374" s="6"/>
      <c r="V10374" s="8"/>
      <c r="W10374" s="8"/>
      <c r="X10374" s="8"/>
      <c r="Y10374" s="8"/>
    </row>
    <row r="10375" ht="14.25">
      <c r="B10375" s="18" t="s">
        <v>222</v>
      </c>
      <c r="C10375" s="18" t="s">
        <v>355</v>
      </c>
      <c r="D10375" s="18" t="s">
        <v>460</v>
      </c>
      <c r="E10375" s="18" t="s">
        <v>46583</v>
      </c>
      <c r="F10375" s="18" t="str">
        <f>IFERROR(__XLUDF.DUMMYFUNCTION("PROPER(REGEXREPLACE(D287,""[^A-Za-z]+ "",""""))"),"Utpm Marbrerie")</f>
        <v xml:space="preserve">Utpm Marbrerie</v>
      </c>
      <c r="G10375" s="18" t="s">
        <v>46584</v>
      </c>
      <c r="H10375" s="18">
        <v>9</v>
      </c>
      <c r="I10375" s="18" t="s">
        <v>9239</v>
      </c>
      <c r="J10375" s="5" t="s">
        <v>46585</v>
      </c>
      <c r="K10375" s="5" t="s">
        <v>46586</v>
      </c>
      <c r="L10375" s="18" t="s">
        <v>562</v>
      </c>
      <c r="M10375" s="18" t="s">
        <v>29</v>
      </c>
      <c r="N10375" s="18" t="s">
        <v>46587</v>
      </c>
      <c r="O10375" s="18" t="s">
        <v>29</v>
      </c>
      <c r="P10375" s="6"/>
      <c r="Q10375" s="6"/>
      <c r="R10375" s="6"/>
      <c r="S10375" s="6"/>
      <c r="T10375" s="6"/>
      <c r="U10375" s="6"/>
      <c r="V10375" s="8"/>
      <c r="W10375" s="8"/>
      <c r="X10375" s="8"/>
      <c r="Y10375" s="8"/>
    </row>
    <row r="10376" ht="14.25">
      <c r="B10376" s="18" t="s">
        <v>22947</v>
      </c>
      <c r="C10376" s="18" t="s">
        <v>22803</v>
      </c>
      <c r="D10376" s="18" t="s">
        <v>44</v>
      </c>
      <c r="E10376" s="18" t="s">
        <v>46588</v>
      </c>
      <c r="F10376" s="18" t="str">
        <f>IFERROR(__XLUDF.DUMMYFUNCTION("PROPER(REGEXREPLACE(D288,""[^A-Za-z]+ "",""""))"),"Bespok")</f>
        <v>Bespok</v>
      </c>
      <c r="G10376" s="18" t="s">
        <v>46589</v>
      </c>
      <c r="H10376" s="18">
        <v>4</v>
      </c>
      <c r="I10376" s="18" t="s">
        <v>9239</v>
      </c>
      <c r="J10376" s="5" t="s">
        <v>46590</v>
      </c>
      <c r="K10376" s="5" t="s">
        <v>46591</v>
      </c>
      <c r="L10376" s="18" t="s">
        <v>39</v>
      </c>
      <c r="M10376" s="18" t="s">
        <v>29</v>
      </c>
      <c r="N10376" s="18" t="s">
        <v>41830</v>
      </c>
      <c r="O10376" s="18" t="s">
        <v>29</v>
      </c>
      <c r="P10376" s="6"/>
      <c r="Q10376" s="6"/>
      <c r="R10376" s="6"/>
      <c r="S10376" s="6"/>
      <c r="T10376" s="6"/>
      <c r="U10376" s="6"/>
      <c r="V10376" s="8"/>
      <c r="W10376" s="8"/>
      <c r="X10376" s="8"/>
      <c r="Y10376" s="8"/>
    </row>
    <row r="10377" ht="14.25">
      <c r="B10377" s="18" t="s">
        <v>6356</v>
      </c>
      <c r="C10377" s="18" t="s">
        <v>4132</v>
      </c>
      <c r="D10377" s="18" t="s">
        <v>2266</v>
      </c>
      <c r="E10377" s="18" t="s">
        <v>46592</v>
      </c>
      <c r="F10377" s="18" t="str">
        <f>IFERROR(__XLUDF.DUMMYFUNCTION("PROPER(REGEXREPLACE(D289,""[^A-Za-z]+ "",""""))"),"Happy Travaux Gex")</f>
        <v xml:space="preserve">Happy Travaux Gex</v>
      </c>
      <c r="G10377" s="18" t="s">
        <v>46593</v>
      </c>
      <c r="H10377" s="18">
        <v>1</v>
      </c>
      <c r="I10377" s="18" t="s">
        <v>9239</v>
      </c>
      <c r="J10377" s="5" t="s">
        <v>46594</v>
      </c>
      <c r="K10377" s="5" t="s">
        <v>46595</v>
      </c>
      <c r="L10377" s="18" t="s">
        <v>46596</v>
      </c>
      <c r="M10377" s="18" t="s">
        <v>29</v>
      </c>
      <c r="N10377" s="18" t="s">
        <v>46597</v>
      </c>
      <c r="O10377" s="18" t="s">
        <v>29</v>
      </c>
      <c r="P10377" s="6"/>
      <c r="Q10377" s="6"/>
      <c r="R10377" s="6"/>
      <c r="S10377" s="6"/>
      <c r="T10377" s="6"/>
      <c r="U10377" s="6"/>
      <c r="V10377" s="8"/>
      <c r="W10377" s="8"/>
      <c r="X10377" s="8"/>
      <c r="Y10377" s="8"/>
    </row>
    <row r="10378" ht="14.25">
      <c r="B10378" s="18" t="s">
        <v>355</v>
      </c>
      <c r="C10378" s="18" t="s">
        <v>46598</v>
      </c>
      <c r="D10378" s="18" t="s">
        <v>341</v>
      </c>
      <c r="E10378" s="18" t="s">
        <v>46599</v>
      </c>
      <c r="F10378" s="18" t="str">
        <f>IFERROR(__XLUDF.DUMMYFUNCTION("PROPER(REGEXREPLACE(D290,""[^A-Za-z]+ "",""""))"),"Nant'Artisans")</f>
        <v>Nant'Artisans</v>
      </c>
      <c r="G10378" s="18" t="s">
        <v>46600</v>
      </c>
      <c r="H10378" s="18">
        <v>8</v>
      </c>
      <c r="I10378" s="18" t="s">
        <v>9239</v>
      </c>
      <c r="J10378" s="5" t="s">
        <v>46601</v>
      </c>
      <c r="K10378" s="5" t="s">
        <v>46602</v>
      </c>
      <c r="L10378" s="18" t="s">
        <v>1711</v>
      </c>
      <c r="M10378" s="18" t="s">
        <v>29</v>
      </c>
      <c r="N10378" s="18" t="s">
        <v>25630</v>
      </c>
      <c r="O10378" s="18" t="s">
        <v>29</v>
      </c>
      <c r="P10378" s="6"/>
      <c r="Q10378" s="6"/>
      <c r="R10378" s="6"/>
      <c r="S10378" s="6"/>
      <c r="T10378" s="6"/>
      <c r="U10378" s="6"/>
      <c r="V10378" s="8"/>
      <c r="W10378" s="8"/>
      <c r="X10378" s="8"/>
      <c r="Y10378" s="8"/>
    </row>
    <row r="10379" ht="14.25">
      <c r="B10379" s="18" t="s">
        <v>2652</v>
      </c>
      <c r="C10379" s="18" t="s">
        <v>46603</v>
      </c>
      <c r="D10379" s="18" t="s">
        <v>112</v>
      </c>
      <c r="E10379" s="18" t="s">
        <v>46604</v>
      </c>
      <c r="F10379" s="18" t="str">
        <f>IFERROR(__XLUDF.DUMMYFUNCTION("PROPER(REGEXREPLACE(D291,""[^A-Za-z]+ "",""""))"),"Icofluides Ingénierie")</f>
        <v xml:space="preserve">Icofluides Ingénierie</v>
      </c>
      <c r="G10379" s="18" t="s">
        <v>46605</v>
      </c>
      <c r="H10379" s="18">
        <v>14</v>
      </c>
      <c r="I10379" s="18" t="s">
        <v>9239</v>
      </c>
      <c r="J10379" s="5" t="s">
        <v>46606</v>
      </c>
      <c r="K10379" s="5" t="s">
        <v>46607</v>
      </c>
      <c r="L10379" s="18" t="s">
        <v>1826</v>
      </c>
      <c r="M10379" s="18" t="s">
        <v>29</v>
      </c>
      <c r="N10379" s="18" t="s">
        <v>46608</v>
      </c>
      <c r="O10379" s="18" t="s">
        <v>29</v>
      </c>
      <c r="P10379" s="18" t="s">
        <v>46609</v>
      </c>
      <c r="Q10379" s="6"/>
      <c r="R10379" s="6"/>
      <c r="S10379" s="6"/>
      <c r="T10379" s="6"/>
      <c r="U10379" s="6"/>
      <c r="V10379" s="8"/>
      <c r="W10379" s="8"/>
      <c r="X10379" s="8"/>
      <c r="Y10379" s="8"/>
    </row>
    <row r="10380" ht="14.25">
      <c r="B10380" s="18" t="s">
        <v>20</v>
      </c>
      <c r="C10380" s="18" t="s">
        <v>46610</v>
      </c>
      <c r="D10380" s="18" t="s">
        <v>112</v>
      </c>
      <c r="E10380" s="18" t="s">
        <v>46611</v>
      </c>
      <c r="F10380" s="18" t="str">
        <f>IFERROR(__XLUDF.DUMMYFUNCTION("PROPER(REGEXREPLACE(D292,""[^A-Za-z]+ "",""""))"),"Ecce")</f>
        <v>Ecce</v>
      </c>
      <c r="G10380" s="18" t="s">
        <v>46612</v>
      </c>
      <c r="H10380" s="18">
        <v>12</v>
      </c>
      <c r="I10380" s="18" t="s">
        <v>9239</v>
      </c>
      <c r="J10380" s="5" t="s">
        <v>46613</v>
      </c>
      <c r="K10380" s="5" t="s">
        <v>46614</v>
      </c>
      <c r="L10380" s="18" t="s">
        <v>39</v>
      </c>
      <c r="M10380" s="18" t="s">
        <v>29</v>
      </c>
      <c r="N10380" s="18" t="s">
        <v>46615</v>
      </c>
      <c r="O10380" s="18" t="s">
        <v>9969</v>
      </c>
      <c r="P10380" s="6"/>
      <c r="Q10380" s="6"/>
      <c r="R10380" s="6"/>
      <c r="S10380" s="6"/>
      <c r="T10380" s="6"/>
      <c r="U10380" s="6"/>
      <c r="V10380" s="8"/>
      <c r="W10380" s="8"/>
      <c r="X10380" s="8"/>
      <c r="Y10380" s="8"/>
    </row>
    <row r="10381" ht="14.25">
      <c r="B10381" s="18" t="s">
        <v>5951</v>
      </c>
      <c r="C10381" s="18" t="s">
        <v>46616</v>
      </c>
      <c r="D10381" s="18" t="s">
        <v>1130</v>
      </c>
      <c r="E10381" s="18" t="s">
        <v>46617</v>
      </c>
      <c r="F10381" s="18" t="str">
        <f>IFERROR(__XLUDF.DUMMYFUNCTION("PROPER(REGEXREPLACE(D293,""[^A-Za-z]+ "",""""))"),"Sefra")</f>
        <v>Sefra</v>
      </c>
      <c r="G10381" s="18" t="s">
        <v>46618</v>
      </c>
      <c r="H10381" s="18">
        <v>27</v>
      </c>
      <c r="I10381" s="18" t="s">
        <v>9239</v>
      </c>
      <c r="J10381" s="5" t="s">
        <v>46619</v>
      </c>
      <c r="K10381" s="5" t="s">
        <v>46620</v>
      </c>
      <c r="L10381" s="18" t="s">
        <v>20178</v>
      </c>
      <c r="M10381" s="18" t="s">
        <v>29</v>
      </c>
      <c r="N10381" s="18" t="s">
        <v>46621</v>
      </c>
      <c r="O10381" s="18" t="s">
        <v>29</v>
      </c>
      <c r="P10381" s="6"/>
      <c r="Q10381" s="6"/>
      <c r="R10381" s="6"/>
      <c r="S10381" s="6"/>
      <c r="T10381" s="6"/>
      <c r="U10381" s="6"/>
      <c r="V10381" s="8"/>
      <c r="W10381" s="8"/>
      <c r="X10381" s="8"/>
      <c r="Y10381" s="8"/>
    </row>
    <row r="10382" ht="14.25">
      <c r="B10382" s="18" t="s">
        <v>1198</v>
      </c>
      <c r="C10382" s="18" t="s">
        <v>25313</v>
      </c>
      <c r="D10382" s="18" t="s">
        <v>1130</v>
      </c>
      <c r="E10382" s="18" t="s">
        <v>46622</v>
      </c>
      <c r="F10382" s="18" t="str">
        <f>IFERROR(__XLUDF.DUMMYFUNCTION("PROPER(REGEXREPLACE(D294,""[^A-Za-z]+ "",""""))"),"Telelec")</f>
        <v>Telelec</v>
      </c>
      <c r="G10382" s="18" t="s">
        <v>46623</v>
      </c>
      <c r="H10382" s="18">
        <v>29</v>
      </c>
      <c r="I10382" s="18" t="s">
        <v>9239</v>
      </c>
      <c r="J10382" s="5" t="s">
        <v>46624</v>
      </c>
      <c r="K10382" s="5" t="s">
        <v>46625</v>
      </c>
      <c r="L10382" s="6"/>
      <c r="M10382" s="18" t="s">
        <v>29</v>
      </c>
      <c r="N10382" s="18" t="s">
        <v>46626</v>
      </c>
      <c r="O10382" s="18" t="s">
        <v>29</v>
      </c>
      <c r="P10382" s="18" t="s">
        <v>46627</v>
      </c>
      <c r="Q10382" s="6"/>
      <c r="R10382" s="6"/>
      <c r="S10382" s="6"/>
      <c r="T10382" s="6"/>
      <c r="U10382" s="6"/>
      <c r="V10382" s="8"/>
      <c r="W10382" s="8"/>
      <c r="X10382" s="8"/>
      <c r="Y10382" s="8"/>
    </row>
    <row r="10383" ht="14.25">
      <c r="B10383" s="18" t="s">
        <v>28107</v>
      </c>
      <c r="C10383" s="18" t="s">
        <v>46628</v>
      </c>
      <c r="D10383" s="18" t="s">
        <v>46629</v>
      </c>
      <c r="E10383" s="18" t="s">
        <v>46630</v>
      </c>
      <c r="F10383" s="18" t="str">
        <f>IFERROR(__XLUDF.DUMMYFUNCTION("PROPER(REGEXREPLACE(D295,""[^A-Za-z]+ "",""""))"),"Altaroad")</f>
        <v>Altaroad</v>
      </c>
      <c r="G10383" s="18" t="s">
        <v>46631</v>
      </c>
      <c r="H10383" s="18">
        <v>34</v>
      </c>
      <c r="I10383" s="18" t="s">
        <v>9239</v>
      </c>
      <c r="J10383" s="5" t="s">
        <v>46632</v>
      </c>
      <c r="K10383" s="5" t="s">
        <v>46633</v>
      </c>
      <c r="L10383" s="6"/>
      <c r="M10383" s="18" t="s">
        <v>29</v>
      </c>
      <c r="N10383" s="18" t="s">
        <v>46634</v>
      </c>
      <c r="O10383" s="18" t="s">
        <v>29</v>
      </c>
      <c r="P10383" s="18" t="s">
        <v>46635</v>
      </c>
      <c r="Q10383" s="6"/>
      <c r="R10383" s="6"/>
      <c r="S10383" s="6"/>
      <c r="T10383" s="6"/>
      <c r="U10383" s="6"/>
      <c r="V10383" s="8"/>
      <c r="W10383" s="8"/>
      <c r="X10383" s="8"/>
      <c r="Y10383" s="8"/>
    </row>
    <row r="10384" ht="14.25">
      <c r="B10384" s="18" t="s">
        <v>40883</v>
      </c>
      <c r="C10384" s="18" t="s">
        <v>46636</v>
      </c>
      <c r="D10384" s="18" t="s">
        <v>46637</v>
      </c>
      <c r="E10384" s="18" t="s">
        <v>46630</v>
      </c>
      <c r="F10384" s="18" t="str">
        <f>IFERROR(__XLUDF.DUMMYFUNCTION("PROPER(REGEXREPLACE(D296,""[^A-Za-z]+ "",""""))"),"Altaroad")</f>
        <v>Altaroad</v>
      </c>
      <c r="G10384" s="18" t="s">
        <v>46638</v>
      </c>
      <c r="H10384" s="18">
        <v>34</v>
      </c>
      <c r="I10384" s="18" t="s">
        <v>9239</v>
      </c>
      <c r="J10384" s="5" t="s">
        <v>46639</v>
      </c>
      <c r="K10384" s="5" t="s">
        <v>46633</v>
      </c>
      <c r="L10384" s="6"/>
      <c r="M10384" s="18" t="s">
        <v>29</v>
      </c>
      <c r="N10384" s="18" t="s">
        <v>46634</v>
      </c>
      <c r="O10384" s="18" t="s">
        <v>29</v>
      </c>
      <c r="P10384" s="18" t="s">
        <v>46635</v>
      </c>
      <c r="Q10384" s="6"/>
      <c r="R10384" s="6"/>
      <c r="S10384" s="6"/>
      <c r="T10384" s="6"/>
      <c r="U10384" s="6"/>
      <c r="V10384" s="8"/>
      <c r="W10384" s="8"/>
      <c r="X10384" s="8"/>
      <c r="Y10384" s="8"/>
    </row>
    <row r="10385" ht="14.25">
      <c r="B10385" s="18" t="s">
        <v>29037</v>
      </c>
      <c r="C10385" s="18" t="s">
        <v>46640</v>
      </c>
      <c r="D10385" s="18" t="s">
        <v>112</v>
      </c>
      <c r="E10385" s="18" t="s">
        <v>46641</v>
      </c>
      <c r="F10385" s="18" t="str">
        <f>IFERROR(__XLUDF.DUMMYFUNCTION("PROPER(REGEXREPLACE(D297,""[^A-Za-z]+ "",""""))"),"Acces Btp")</f>
        <v xml:space="preserve">Acces Btp</v>
      </c>
      <c r="G10385" s="18" t="s">
        <v>46642</v>
      </c>
      <c r="H10385" s="18">
        <v>48</v>
      </c>
      <c r="I10385" s="18" t="s">
        <v>9239</v>
      </c>
      <c r="J10385" s="5" t="s">
        <v>46643</v>
      </c>
      <c r="K10385" s="5" t="s">
        <v>46644</v>
      </c>
      <c r="L10385" s="6"/>
      <c r="M10385" s="18" t="s">
        <v>29</v>
      </c>
      <c r="N10385" s="18" t="s">
        <v>46645</v>
      </c>
      <c r="O10385" s="18" t="s">
        <v>29</v>
      </c>
      <c r="P10385" s="18" t="s">
        <v>46646</v>
      </c>
      <c r="Q10385" s="6"/>
      <c r="R10385" s="6"/>
      <c r="S10385" s="6"/>
      <c r="T10385" s="6"/>
      <c r="U10385" s="6"/>
      <c r="V10385" s="8"/>
      <c r="W10385" s="8"/>
      <c r="X10385" s="8"/>
      <c r="Y10385" s="8"/>
    </row>
    <row r="10386" ht="14.25">
      <c r="B10386" s="18" t="s">
        <v>13010</v>
      </c>
      <c r="C10386" s="18" t="s">
        <v>46647</v>
      </c>
      <c r="D10386" s="18" t="s">
        <v>112</v>
      </c>
      <c r="E10386" s="18" t="s">
        <v>46648</v>
      </c>
      <c r="F10386" s="18" t="str">
        <f>IFERROR(__XLUDF.DUMMYFUNCTION("PROPER(REGEXREPLACE(D298,""[^A-Za-z]+ "",""""))"),"Tecton")</f>
        <v>Tecton</v>
      </c>
      <c r="G10386" s="18" t="s">
        <v>46649</v>
      </c>
      <c r="H10386" s="18">
        <v>20</v>
      </c>
      <c r="I10386" s="18" t="s">
        <v>9239</v>
      </c>
      <c r="J10386" s="5" t="s">
        <v>46650</v>
      </c>
      <c r="K10386" s="5" t="s">
        <v>46651</v>
      </c>
      <c r="L10386" s="6"/>
      <c r="M10386" s="18" t="s">
        <v>29</v>
      </c>
      <c r="N10386" s="18" t="s">
        <v>46652</v>
      </c>
      <c r="O10386" s="18" t="s">
        <v>29</v>
      </c>
      <c r="P10386" s="6"/>
      <c r="Q10386" s="6"/>
      <c r="R10386" s="6"/>
      <c r="S10386" s="6"/>
      <c r="T10386" s="6"/>
      <c r="U10386" s="6"/>
      <c r="V10386" s="8"/>
      <c r="W10386" s="8"/>
      <c r="X10386" s="8"/>
      <c r="Y10386" s="8"/>
    </row>
    <row r="10387" ht="14.25">
      <c r="B10387" s="18" t="s">
        <v>1215</v>
      </c>
      <c r="C10387" s="18" t="s">
        <v>52</v>
      </c>
      <c r="D10387" s="18" t="s">
        <v>5003</v>
      </c>
      <c r="E10387" s="18" t="s">
        <v>46653</v>
      </c>
      <c r="F10387" s="18" t="str">
        <f>IFERROR(__XLUDF.DUMMYFUNCTION("PROPER(REGEXREPLACE(D299,""[^A-Za-z]+ "",""""))"),"Valentin Construction")</f>
        <v xml:space="preserve">Valentin Construction</v>
      </c>
      <c r="G10387" s="18" t="s">
        <v>46654</v>
      </c>
      <c r="H10387" s="18">
        <v>16</v>
      </c>
      <c r="I10387" s="18" t="s">
        <v>9239</v>
      </c>
      <c r="J10387" s="5" t="s">
        <v>46655</v>
      </c>
      <c r="K10387" s="5" t="s">
        <v>46656</v>
      </c>
      <c r="L10387" s="18" t="s">
        <v>2174</v>
      </c>
      <c r="M10387" s="18" t="s">
        <v>29</v>
      </c>
      <c r="N10387" s="18" t="s">
        <v>46657</v>
      </c>
      <c r="O10387" s="18" t="s">
        <v>29</v>
      </c>
      <c r="P10387" s="6"/>
      <c r="Q10387" s="6"/>
      <c r="R10387" s="6"/>
      <c r="S10387" s="6"/>
      <c r="T10387" s="6"/>
      <c r="U10387" s="6"/>
      <c r="V10387" s="8"/>
      <c r="W10387" s="8"/>
      <c r="X10387" s="8"/>
      <c r="Y10387" s="8"/>
    </row>
    <row r="10388" ht="14.25">
      <c r="B10388" s="18" t="s">
        <v>170</v>
      </c>
      <c r="C10388" s="18" t="s">
        <v>46658</v>
      </c>
      <c r="D10388" s="18" t="s">
        <v>487</v>
      </c>
      <c r="E10388" s="18" t="s">
        <v>46659</v>
      </c>
      <c r="F10388" s="18" t="str">
        <f>IFERROR(__XLUDF.DUMMYFUNCTION("PROPER(REGEXREPLACE(D300,""[^A-Za-z]+ "",""""))"),"Mader Sa")</f>
        <v xml:space="preserve">Mader Sa</v>
      </c>
      <c r="G10388" s="18" t="s">
        <v>46660</v>
      </c>
      <c r="H10388" s="18">
        <v>38</v>
      </c>
      <c r="I10388" s="18" t="s">
        <v>9239</v>
      </c>
      <c r="J10388" s="5" t="s">
        <v>46661</v>
      </c>
      <c r="K10388" s="5" t="s">
        <v>46662</v>
      </c>
      <c r="L10388" s="18" t="s">
        <v>5586</v>
      </c>
      <c r="M10388" s="18" t="s">
        <v>29</v>
      </c>
      <c r="N10388" s="18" t="s">
        <v>46663</v>
      </c>
      <c r="O10388" s="18" t="s">
        <v>29</v>
      </c>
      <c r="P10388" s="18" t="s">
        <v>46664</v>
      </c>
      <c r="Q10388" s="6"/>
      <c r="R10388" s="6"/>
      <c r="S10388" s="6"/>
      <c r="T10388" s="6"/>
      <c r="U10388" s="6"/>
      <c r="V10388" s="8"/>
      <c r="W10388" s="8"/>
      <c r="X10388" s="8"/>
      <c r="Y10388" s="8"/>
    </row>
    <row r="10389" ht="14.25">
      <c r="B10389" s="18" t="s">
        <v>2299</v>
      </c>
      <c r="C10389" s="18" t="s">
        <v>189</v>
      </c>
      <c r="D10389" s="18" t="s">
        <v>46665</v>
      </c>
      <c r="E10389" s="18" t="s">
        <v>46666</v>
      </c>
      <c r="F10389" s="18" t="str">
        <f>IFERROR(__XLUDF.DUMMYFUNCTION("PROPER(REGEXREPLACE(D301,""[^A-Za-z]+ "",""""))"),"Scop Pprv")</f>
        <v xml:space="preserve">Scop Pprv</v>
      </c>
      <c r="G10389" s="18" t="s">
        <v>46667</v>
      </c>
      <c r="H10389" s="18">
        <v>11</v>
      </c>
      <c r="I10389" s="18" t="s">
        <v>9239</v>
      </c>
      <c r="J10389" s="5" t="s">
        <v>46668</v>
      </c>
      <c r="K10389" s="5" t="s">
        <v>46669</v>
      </c>
      <c r="L10389" s="18" t="s">
        <v>7361</v>
      </c>
      <c r="M10389" s="18" t="s">
        <v>29</v>
      </c>
      <c r="N10389" s="18" t="s">
        <v>46670</v>
      </c>
      <c r="O10389" s="18" t="s">
        <v>29</v>
      </c>
      <c r="P10389" s="6"/>
      <c r="Q10389" s="6"/>
      <c r="R10389" s="6"/>
      <c r="S10389" s="6"/>
      <c r="T10389" s="6"/>
      <c r="U10389" s="6"/>
      <c r="V10389" s="8"/>
      <c r="W10389" s="8"/>
      <c r="X10389" s="8"/>
      <c r="Y10389" s="8"/>
    </row>
    <row r="10390" ht="14.25">
      <c r="B10390" s="18" t="s">
        <v>23478</v>
      </c>
      <c r="C10390" s="18" t="s">
        <v>46671</v>
      </c>
      <c r="D10390" s="18" t="s">
        <v>3090</v>
      </c>
      <c r="E10390" s="18" t="s">
        <v>46672</v>
      </c>
      <c r="F10390" s="18" t="str">
        <f>IFERROR(__XLUDF.DUMMYFUNCTION("PROPER(REGEXREPLACE(D302,""[^A-Za-z]+ "",""""))"),"Elfimm")</f>
        <v>Elfimm</v>
      </c>
      <c r="G10390" s="18" t="s">
        <v>46673</v>
      </c>
      <c r="H10390" s="18">
        <v>5</v>
      </c>
      <c r="I10390" s="18" t="s">
        <v>9239</v>
      </c>
      <c r="J10390" s="5" t="s">
        <v>46674</v>
      </c>
      <c r="K10390" s="5" t="s">
        <v>46675</v>
      </c>
      <c r="L10390" s="6"/>
      <c r="M10390" s="18" t="s">
        <v>29</v>
      </c>
      <c r="N10390" s="18" t="s">
        <v>46676</v>
      </c>
      <c r="O10390" s="18" t="s">
        <v>29</v>
      </c>
      <c r="P10390" s="18" t="s">
        <v>46677</v>
      </c>
      <c r="Q10390" s="6"/>
      <c r="R10390" s="6"/>
      <c r="S10390" s="6"/>
      <c r="T10390" s="6"/>
      <c r="U10390" s="6"/>
      <c r="V10390" s="8"/>
      <c r="W10390" s="8"/>
      <c r="X10390" s="8"/>
      <c r="Y10390" s="8"/>
    </row>
    <row r="10391" ht="14.25">
      <c r="B10391" s="18" t="s">
        <v>4115</v>
      </c>
      <c r="C10391" s="18" t="s">
        <v>46678</v>
      </c>
      <c r="D10391" s="18" t="s">
        <v>46679</v>
      </c>
      <c r="E10391" s="18" t="s">
        <v>46680</v>
      </c>
      <c r="F10391" s="18" t="str">
        <f>IFERROR(__XLUDF.DUMMYFUNCTION("PROPER(REGEXREPLACE(D303,""[^A-Za-z]+ "",""""))"),"Icecs Hdfa3C Concept 🔵")</f>
        <v xml:space="preserve">Icecs Hdfa3C Concept 🔵</v>
      </c>
      <c r="G10391" s="18" t="s">
        <v>46681</v>
      </c>
      <c r="H10391" s="18">
        <v>26</v>
      </c>
      <c r="I10391" s="18" t="s">
        <v>9239</v>
      </c>
      <c r="J10391" s="5" t="s">
        <v>46682</v>
      </c>
      <c r="K10391" s="5" t="s">
        <v>46683</v>
      </c>
      <c r="L10391" s="18" t="s">
        <v>46684</v>
      </c>
      <c r="M10391" s="18" t="s">
        <v>29</v>
      </c>
      <c r="N10391" s="18" t="s">
        <v>46685</v>
      </c>
      <c r="O10391" s="18" t="s">
        <v>29</v>
      </c>
      <c r="P10391" s="6"/>
      <c r="Q10391" s="6"/>
      <c r="R10391" s="6"/>
      <c r="S10391" s="6"/>
      <c r="T10391" s="6"/>
      <c r="U10391" s="6"/>
      <c r="V10391" s="8"/>
      <c r="W10391" s="8"/>
      <c r="X10391" s="8"/>
      <c r="Y10391" s="8"/>
    </row>
    <row r="10392" ht="14.25">
      <c r="B10392" s="18" t="s">
        <v>4800</v>
      </c>
      <c r="C10392" s="18" t="s">
        <v>46686</v>
      </c>
      <c r="D10392" s="18" t="s">
        <v>46687</v>
      </c>
      <c r="E10392" s="18" t="s">
        <v>46688</v>
      </c>
      <c r="F10392" s="18" t="str">
        <f>IFERROR(__XLUDF.DUMMYFUNCTION("PROPER(REGEXREPLACE(D304,""[^A-Za-z]+ "",""""))"),"Crmp")</f>
        <v>Crmp</v>
      </c>
      <c r="G10392" s="18" t="s">
        <v>46689</v>
      </c>
      <c r="H10392" s="18">
        <v>8</v>
      </c>
      <c r="I10392" s="18" t="s">
        <v>9239</v>
      </c>
      <c r="J10392" s="5" t="s">
        <v>46690</v>
      </c>
      <c r="K10392" s="5" t="s">
        <v>46691</v>
      </c>
      <c r="L10392" s="18" t="s">
        <v>83</v>
      </c>
      <c r="M10392" s="18" t="s">
        <v>29</v>
      </c>
      <c r="N10392" s="18" t="s">
        <v>46692</v>
      </c>
      <c r="O10392" s="18" t="s">
        <v>29</v>
      </c>
      <c r="P10392" s="6"/>
      <c r="Q10392" s="6"/>
      <c r="R10392" s="6"/>
      <c r="S10392" s="6"/>
      <c r="T10392" s="6"/>
      <c r="U10392" s="6"/>
      <c r="V10392" s="8"/>
      <c r="W10392" s="8"/>
      <c r="X10392" s="8"/>
      <c r="Y10392" s="8"/>
    </row>
    <row r="10393" ht="14.25">
      <c r="B10393" s="18" t="s">
        <v>622</v>
      </c>
      <c r="C10393" s="18" t="s">
        <v>46693</v>
      </c>
      <c r="D10393" s="18" t="s">
        <v>172</v>
      </c>
      <c r="E10393" s="18" t="s">
        <v>46694</v>
      </c>
      <c r="F10393" s="18" t="str">
        <f>IFERROR(__XLUDF.DUMMYFUNCTION("PROPER(REGEXREPLACE(D305,""[^A-Za-z]+ "",""""))"),"Master Solutions")</f>
        <v xml:space="preserve">Master Solutions</v>
      </c>
      <c r="G10393" s="18" t="s">
        <v>46695</v>
      </c>
      <c r="H10393" s="18">
        <v>13</v>
      </c>
      <c r="I10393" s="18" t="s">
        <v>9239</v>
      </c>
      <c r="J10393" s="5" t="s">
        <v>46696</v>
      </c>
      <c r="K10393" s="5" t="s">
        <v>46697</v>
      </c>
      <c r="L10393" s="18" t="s">
        <v>46698</v>
      </c>
      <c r="M10393" s="18" t="s">
        <v>29</v>
      </c>
      <c r="N10393" s="18" t="s">
        <v>21111</v>
      </c>
      <c r="O10393" s="18" t="s">
        <v>29</v>
      </c>
      <c r="P10393" s="6"/>
      <c r="Q10393" s="6"/>
      <c r="R10393" s="6"/>
      <c r="S10393" s="6"/>
      <c r="T10393" s="6"/>
      <c r="U10393" s="6"/>
      <c r="V10393" s="8"/>
      <c r="W10393" s="8"/>
      <c r="X10393" s="8"/>
      <c r="Y10393" s="8"/>
    </row>
    <row r="10394" ht="14.25">
      <c r="B10394" s="18" t="s">
        <v>222</v>
      </c>
      <c r="C10394" s="18" t="s">
        <v>46699</v>
      </c>
      <c r="D10394" s="18" t="s">
        <v>172</v>
      </c>
      <c r="E10394" s="18" t="s">
        <v>46700</v>
      </c>
      <c r="F10394" s="18" t="str">
        <f>IFERROR(__XLUDF.DUMMYFUNCTION("PROPER(REGEXREPLACE(D306,""[^A-Za-z]+ "",""""))"),"Emos")</f>
        <v>Emos</v>
      </c>
      <c r="G10394" s="18" t="s">
        <v>46701</v>
      </c>
      <c r="H10394" s="18">
        <v>3</v>
      </c>
      <c r="I10394" s="18" t="s">
        <v>9239</v>
      </c>
      <c r="J10394" s="5" t="s">
        <v>46702</v>
      </c>
      <c r="K10394" s="5" t="s">
        <v>46703</v>
      </c>
      <c r="L10394" s="18" t="s">
        <v>423</v>
      </c>
      <c r="M10394" s="18" t="s">
        <v>29</v>
      </c>
      <c r="N10394" s="18" t="s">
        <v>46704</v>
      </c>
      <c r="O10394" s="18" t="s">
        <v>29</v>
      </c>
      <c r="P10394" s="6"/>
      <c r="Q10394" s="6"/>
      <c r="R10394" s="6"/>
      <c r="S10394" s="6"/>
      <c r="T10394" s="6"/>
      <c r="U10394" s="6"/>
      <c r="V10394" s="8"/>
      <c r="W10394" s="8"/>
      <c r="X10394" s="8"/>
      <c r="Y10394" s="8"/>
    </row>
    <row r="10395" ht="14.25">
      <c r="B10395" s="18" t="s">
        <v>785</v>
      </c>
      <c r="C10395" s="18" t="s">
        <v>6569</v>
      </c>
      <c r="D10395" s="18" t="s">
        <v>7691</v>
      </c>
      <c r="E10395" s="18" t="s">
        <v>46705</v>
      </c>
      <c r="F10395" s="18" t="str">
        <f>IFERROR(__XLUDF.DUMMYFUNCTION("PROPER(REGEXREPLACE(D307,""[^A-Za-z]+ "",""""))"),"Tracktor")</f>
        <v>Tracktor</v>
      </c>
      <c r="G10395" s="18" t="s">
        <v>46706</v>
      </c>
      <c r="H10395" s="18">
        <v>39</v>
      </c>
      <c r="I10395" s="18" t="s">
        <v>9239</v>
      </c>
      <c r="J10395" s="5" t="s">
        <v>46707</v>
      </c>
      <c r="K10395" s="5" t="s">
        <v>46708</v>
      </c>
      <c r="L10395" s="18" t="s">
        <v>39</v>
      </c>
      <c r="M10395" s="18" t="s">
        <v>29</v>
      </c>
      <c r="N10395" s="18" t="s">
        <v>18467</v>
      </c>
      <c r="O10395" s="18" t="s">
        <v>29</v>
      </c>
      <c r="P10395" s="18" t="s">
        <v>46709</v>
      </c>
      <c r="Q10395" s="6"/>
      <c r="R10395" s="6"/>
      <c r="S10395" s="6"/>
      <c r="T10395" s="6"/>
      <c r="U10395" s="6"/>
      <c r="V10395" s="8"/>
      <c r="W10395" s="8"/>
      <c r="X10395" s="8"/>
      <c r="Y10395" s="8"/>
    </row>
    <row r="10396" ht="14.25">
      <c r="B10396" s="18" t="s">
        <v>785</v>
      </c>
      <c r="C10396" s="18" t="s">
        <v>15404</v>
      </c>
      <c r="D10396" s="18" t="s">
        <v>172</v>
      </c>
      <c r="E10396" s="18" t="s">
        <v>15407</v>
      </c>
      <c r="F10396" s="18" t="str">
        <f>IFERROR(__XLUDF.DUMMYFUNCTION("PROPER(REGEXREPLACE(D308,""[^A-Za-z]+ "",""""))"),"Fms Fermetures Menuiseries Schoch")</f>
        <v xml:space="preserve">Fms Fermetures Menuiseries Schoch</v>
      </c>
      <c r="G10396" s="18" t="s">
        <v>46710</v>
      </c>
      <c r="H10396" s="18">
        <v>41</v>
      </c>
      <c r="I10396" s="18" t="s">
        <v>9239</v>
      </c>
      <c r="J10396" s="5" t="s">
        <v>46711</v>
      </c>
      <c r="K10396" s="5" t="s">
        <v>46712</v>
      </c>
      <c r="L10396" s="18" t="s">
        <v>651</v>
      </c>
      <c r="M10396" s="18" t="s">
        <v>29</v>
      </c>
      <c r="N10396" s="18" t="s">
        <v>46713</v>
      </c>
      <c r="O10396" s="18" t="s">
        <v>29</v>
      </c>
      <c r="P10396" s="18" t="s">
        <v>15411</v>
      </c>
      <c r="Q10396" s="6"/>
      <c r="R10396" s="6"/>
      <c r="S10396" s="6"/>
      <c r="T10396" s="6"/>
      <c r="U10396" s="6"/>
      <c r="V10396" s="8"/>
      <c r="W10396" s="8"/>
      <c r="X10396" s="8"/>
      <c r="Y10396" s="8"/>
    </row>
    <row r="10397" ht="14.25">
      <c r="B10397" s="18" t="s">
        <v>46714</v>
      </c>
      <c r="C10397" s="18" t="s">
        <v>46715</v>
      </c>
      <c r="D10397" s="18" t="s">
        <v>172</v>
      </c>
      <c r="E10397" s="18" t="s">
        <v>46716</v>
      </c>
      <c r="F10397" s="18" t="str">
        <f>IFERROR(__XLUDF.DUMMYFUNCTION("PROPER(REGEXREPLACE(D309,""[^A-Za-z]+ "",""""))"),"Aidf")</f>
        <v>Aidf</v>
      </c>
      <c r="G10397" s="18" t="s">
        <v>46717</v>
      </c>
      <c r="H10397" s="18">
        <v>37</v>
      </c>
      <c r="I10397" s="18" t="s">
        <v>9239</v>
      </c>
      <c r="J10397" s="5" t="s">
        <v>46718</v>
      </c>
      <c r="K10397" s="5" t="s">
        <v>46719</v>
      </c>
      <c r="L10397" s="6"/>
      <c r="M10397" s="18" t="s">
        <v>29</v>
      </c>
      <c r="N10397" s="18" t="s">
        <v>228</v>
      </c>
      <c r="O10397" s="18" t="s">
        <v>29</v>
      </c>
      <c r="P10397" s="18" t="s">
        <v>46720</v>
      </c>
      <c r="Q10397" s="6"/>
      <c r="R10397" s="6"/>
      <c r="S10397" s="6"/>
      <c r="T10397" s="6"/>
      <c r="U10397" s="6"/>
      <c r="V10397" s="8"/>
      <c r="W10397" s="8"/>
      <c r="X10397" s="8"/>
      <c r="Y10397" s="8"/>
    </row>
    <row r="10398" ht="14.25">
      <c r="B10398" s="18" t="s">
        <v>2870</v>
      </c>
      <c r="C10398" s="18" t="s">
        <v>46721</v>
      </c>
      <c r="D10398" s="18" t="s">
        <v>172</v>
      </c>
      <c r="E10398" s="18" t="s">
        <v>46722</v>
      </c>
      <c r="F10398" s="18" t="str">
        <f>IFERROR(__XLUDF.DUMMYFUNCTION("PROPER(REGEXREPLACE(D310,""[^A-Za-z]+ "",""""))"),"Abaque Batiment Services")</f>
        <v xml:space="preserve">Abaque Batiment Services</v>
      </c>
      <c r="G10398" s="18" t="s">
        <v>46723</v>
      </c>
      <c r="H10398" s="6"/>
      <c r="I10398" s="6"/>
      <c r="J10398" s="5" t="s">
        <v>46724</v>
      </c>
      <c r="K10398" s="5" t="s">
        <v>46725</v>
      </c>
      <c r="L10398" s="18" t="s">
        <v>4922</v>
      </c>
      <c r="M10398" s="18" t="s">
        <v>29</v>
      </c>
      <c r="N10398" s="18" t="s">
        <v>46726</v>
      </c>
      <c r="O10398" s="18" t="s">
        <v>29</v>
      </c>
      <c r="P10398" s="6"/>
      <c r="Q10398" s="6"/>
      <c r="R10398" s="6"/>
      <c r="S10398" s="6"/>
      <c r="T10398" s="6"/>
      <c r="U10398" s="6"/>
      <c r="V10398" s="8"/>
      <c r="W10398" s="8"/>
      <c r="X10398" s="8"/>
      <c r="Y10398" s="8"/>
    </row>
    <row r="10399" ht="14.25">
      <c r="B10399" s="18" t="s">
        <v>785</v>
      </c>
      <c r="C10399" s="18" t="s">
        <v>8041</v>
      </c>
      <c r="D10399" s="18" t="s">
        <v>172</v>
      </c>
      <c r="E10399" s="18" t="s">
        <v>46727</v>
      </c>
      <c r="F10399" s="18" t="str">
        <f>IFERROR(__XLUDF.DUMMYFUNCTION("PROPER(REGEXREPLACE(D311,""[^A-Za-z]+ "",""""))"),"Pierrenoel")</f>
        <v>Pierrenoel</v>
      </c>
      <c r="G10399" s="18" t="s">
        <v>46728</v>
      </c>
      <c r="H10399" s="18">
        <v>24</v>
      </c>
      <c r="I10399" s="18" t="s">
        <v>9239</v>
      </c>
      <c r="J10399" s="5" t="s">
        <v>46729</v>
      </c>
      <c r="K10399" s="5" t="s">
        <v>46730</v>
      </c>
      <c r="L10399" s="18" t="s">
        <v>6603</v>
      </c>
      <c r="M10399" s="18" t="s">
        <v>29</v>
      </c>
      <c r="N10399" s="18" t="s">
        <v>46731</v>
      </c>
      <c r="O10399" s="18" t="s">
        <v>29</v>
      </c>
      <c r="P10399" s="18" t="s">
        <v>11244</v>
      </c>
      <c r="Q10399" s="6"/>
      <c r="R10399" s="6"/>
      <c r="S10399" s="6"/>
      <c r="T10399" s="6"/>
      <c r="U10399" s="6"/>
      <c r="V10399" s="8"/>
      <c r="W10399" s="8"/>
      <c r="X10399" s="8"/>
      <c r="Y10399" s="8"/>
    </row>
    <row r="10400" ht="14.25">
      <c r="B10400" s="18" t="s">
        <v>630</v>
      </c>
      <c r="C10400" s="18" t="s">
        <v>46732</v>
      </c>
      <c r="D10400" s="18" t="s">
        <v>172</v>
      </c>
      <c r="E10400" s="18" t="s">
        <v>46733</v>
      </c>
      <c r="F10400" s="18" t="str">
        <f>IFERROR(__XLUDF.DUMMYFUNCTION("PROPER(REGEXREPLACE(D312,""[^A-Za-z]+ "",""""))"),"Liotard Tp")</f>
        <v xml:space="preserve">Liotard Tp</v>
      </c>
      <c r="G10400" s="18" t="s">
        <v>46734</v>
      </c>
      <c r="H10400" s="18">
        <v>16</v>
      </c>
      <c r="I10400" s="18" t="s">
        <v>9239</v>
      </c>
      <c r="J10400" s="5" t="s">
        <v>46735</v>
      </c>
      <c r="K10400" s="5" t="s">
        <v>46736</v>
      </c>
      <c r="L10400" s="18" t="s">
        <v>46737</v>
      </c>
      <c r="M10400" s="18" t="s">
        <v>29</v>
      </c>
      <c r="N10400" s="18" t="s">
        <v>46738</v>
      </c>
      <c r="O10400" s="18" t="s">
        <v>29</v>
      </c>
      <c r="P10400" s="18" t="s">
        <v>46739</v>
      </c>
      <c r="Q10400" s="6"/>
      <c r="R10400" s="6"/>
      <c r="S10400" s="6"/>
      <c r="T10400" s="6"/>
      <c r="U10400" s="6"/>
      <c r="V10400" s="8"/>
      <c r="W10400" s="8"/>
      <c r="X10400" s="8"/>
      <c r="Y10400" s="8"/>
    </row>
    <row r="10401" ht="14.25">
      <c r="B10401" s="18" t="s">
        <v>46740</v>
      </c>
      <c r="C10401" s="18" t="s">
        <v>46741</v>
      </c>
      <c r="D10401" s="18" t="s">
        <v>172</v>
      </c>
      <c r="E10401" s="18" t="s">
        <v>46742</v>
      </c>
      <c r="F10401" s="18" t="str">
        <f>IFERROR(__XLUDF.DUMMYFUNCTION("PROPER(REGEXREPLACE(D313,""[^A-Za-z]+ "",""""))"),"Sybat")</f>
        <v>Sybat</v>
      </c>
      <c r="G10401" s="18" t="s">
        <v>46743</v>
      </c>
      <c r="H10401" s="18">
        <v>17</v>
      </c>
      <c r="I10401" s="18" t="s">
        <v>9239</v>
      </c>
      <c r="J10401" s="5" t="s">
        <v>46744</v>
      </c>
      <c r="K10401" s="5" t="s">
        <v>46745</v>
      </c>
      <c r="L10401" s="18" t="s">
        <v>39</v>
      </c>
      <c r="M10401" s="18" t="s">
        <v>29</v>
      </c>
      <c r="N10401" s="18" t="s">
        <v>46746</v>
      </c>
      <c r="O10401" s="18" t="s">
        <v>29</v>
      </c>
      <c r="P10401" s="6"/>
      <c r="Q10401" s="6"/>
      <c r="R10401" s="6"/>
      <c r="S10401" s="6"/>
      <c r="T10401" s="6"/>
      <c r="U10401" s="6"/>
      <c r="V10401" s="8"/>
      <c r="W10401" s="8"/>
      <c r="X10401" s="8"/>
      <c r="Y10401" s="8"/>
    </row>
    <row r="10402" ht="14.25">
      <c r="B10402" s="18" t="s">
        <v>21744</v>
      </c>
      <c r="C10402" s="18" t="s">
        <v>46747</v>
      </c>
      <c r="D10402" s="18" t="s">
        <v>172</v>
      </c>
      <c r="E10402" s="18" t="s">
        <v>10424</v>
      </c>
      <c r="F10402" s="18" t="str">
        <f>IFERROR(__XLUDF.DUMMYFUNCTION("PROPER(REGEXREPLACE(D314,""[^A-Za-z]+ "",""""))"),"Groupe Bardec")</f>
        <v xml:space="preserve">Groupe Bardec</v>
      </c>
      <c r="G10402" s="18" t="s">
        <v>46748</v>
      </c>
      <c r="H10402" s="18">
        <v>10</v>
      </c>
      <c r="I10402" s="18" t="s">
        <v>9239</v>
      </c>
      <c r="J10402" s="5" t="s">
        <v>46749</v>
      </c>
      <c r="K10402" s="5" t="s">
        <v>46750</v>
      </c>
      <c r="L10402" s="18" t="s">
        <v>46751</v>
      </c>
      <c r="M10402" s="18" t="s">
        <v>29</v>
      </c>
      <c r="N10402" s="18" t="s">
        <v>46752</v>
      </c>
      <c r="O10402" s="18" t="s">
        <v>29</v>
      </c>
      <c r="P10402" s="6"/>
      <c r="Q10402" s="6"/>
      <c r="R10402" s="6"/>
      <c r="S10402" s="6"/>
      <c r="T10402" s="6"/>
      <c r="U10402" s="6"/>
      <c r="V10402" s="8"/>
      <c r="W10402" s="8"/>
      <c r="X10402" s="8"/>
      <c r="Y10402" s="8"/>
    </row>
    <row r="10403" ht="14.25">
      <c r="B10403" s="18" t="s">
        <v>679</v>
      </c>
      <c r="C10403" s="18" t="s">
        <v>11439</v>
      </c>
      <c r="D10403" s="18" t="s">
        <v>172</v>
      </c>
      <c r="E10403" s="18" t="s">
        <v>46753</v>
      </c>
      <c r="F10403" s="18" t="str">
        <f>IFERROR(__XLUDF.DUMMYFUNCTION("PROPER(REGEXREPLACE(D315,""[^A-Za-z]+ "",""""))"),"Stifor")</f>
        <v>Stifor</v>
      </c>
      <c r="G10403" s="18" t="s">
        <v>46754</v>
      </c>
      <c r="H10403" s="18">
        <v>10</v>
      </c>
      <c r="I10403" s="18" t="s">
        <v>9239</v>
      </c>
      <c r="J10403" s="5" t="s">
        <v>46755</v>
      </c>
      <c r="K10403" s="5" t="s">
        <v>46756</v>
      </c>
      <c r="L10403" s="18" t="s">
        <v>1723</v>
      </c>
      <c r="M10403" s="18" t="s">
        <v>29</v>
      </c>
      <c r="N10403" s="18" t="s">
        <v>5722</v>
      </c>
      <c r="O10403" s="18" t="s">
        <v>29</v>
      </c>
      <c r="P10403" s="18" t="s">
        <v>46757</v>
      </c>
      <c r="Q10403" s="6"/>
      <c r="R10403" s="6"/>
      <c r="S10403" s="6"/>
      <c r="T10403" s="6"/>
      <c r="U10403" s="6"/>
      <c r="V10403" s="8"/>
      <c r="W10403" s="8"/>
      <c r="X10403" s="8"/>
      <c r="Y10403" s="8"/>
    </row>
    <row r="10404" ht="14.25">
      <c r="B10404" s="18" t="s">
        <v>8049</v>
      </c>
      <c r="C10404" s="18" t="s">
        <v>46758</v>
      </c>
      <c r="D10404" s="18" t="s">
        <v>62</v>
      </c>
      <c r="E10404" s="18" t="s">
        <v>46759</v>
      </c>
      <c r="F10404" s="18" t="str">
        <f>IFERROR(__XLUDF.DUMMYFUNCTION("PROPER(REGEXREPLACE(D316,""[^A-Za-z]+ "",""""))"),"Lign.O")</f>
        <v>Lign.O</v>
      </c>
      <c r="G10404" s="18" t="s">
        <v>46760</v>
      </c>
      <c r="H10404" s="18">
        <v>6</v>
      </c>
      <c r="I10404" s="18" t="s">
        <v>9239</v>
      </c>
      <c r="J10404" s="5" t="s">
        <v>46761</v>
      </c>
      <c r="K10404" s="5" t="s">
        <v>46762</v>
      </c>
      <c r="L10404" s="18" t="s">
        <v>295</v>
      </c>
      <c r="M10404" s="18" t="s">
        <v>29</v>
      </c>
      <c r="N10404" s="18" t="s">
        <v>30559</v>
      </c>
      <c r="O10404" s="18" t="s">
        <v>29</v>
      </c>
      <c r="P10404" s="6"/>
      <c r="Q10404" s="6"/>
      <c r="R10404" s="6"/>
      <c r="S10404" s="6"/>
      <c r="T10404" s="6"/>
      <c r="U10404" s="6"/>
      <c r="V10404" s="8"/>
      <c r="W10404" s="8"/>
      <c r="X10404" s="8"/>
      <c r="Y10404" s="8"/>
    </row>
    <row r="10405" ht="14.25">
      <c r="B10405" s="18" t="s">
        <v>1198</v>
      </c>
      <c r="C10405" s="18" t="s">
        <v>46763</v>
      </c>
      <c r="D10405" s="18" t="s">
        <v>487</v>
      </c>
      <c r="E10405" s="18" t="s">
        <v>46764</v>
      </c>
      <c r="F10405" s="18" t="str">
        <f>IFERROR(__XLUDF.DUMMYFUNCTION("PROPER(REGEXREPLACE(D317,""[^A-Za-z]+ "",""""))"),"A4Services")</f>
        <v>A4Services</v>
      </c>
      <c r="G10405" s="18" t="s">
        <v>46765</v>
      </c>
      <c r="H10405" s="18">
        <v>9</v>
      </c>
      <c r="I10405" s="18" t="s">
        <v>9239</v>
      </c>
      <c r="J10405" s="5" t="s">
        <v>46766</v>
      </c>
      <c r="K10405" s="5" t="s">
        <v>46767</v>
      </c>
      <c r="L10405" s="18" t="s">
        <v>423</v>
      </c>
      <c r="M10405" s="18" t="s">
        <v>29</v>
      </c>
      <c r="N10405" s="18" t="s">
        <v>46768</v>
      </c>
      <c r="O10405" s="18" t="s">
        <v>29</v>
      </c>
      <c r="P10405" s="6"/>
      <c r="Q10405" s="6"/>
      <c r="R10405" s="6"/>
      <c r="S10405" s="6"/>
      <c r="T10405" s="6"/>
      <c r="U10405" s="6"/>
      <c r="V10405" s="8"/>
      <c r="W10405" s="8"/>
      <c r="X10405" s="8"/>
      <c r="Y10405" s="8"/>
    </row>
    <row r="10406" ht="14.25">
      <c r="B10406" s="18" t="s">
        <v>255</v>
      </c>
      <c r="C10406" s="18" t="s">
        <v>12452</v>
      </c>
      <c r="D10406" s="18" t="s">
        <v>120</v>
      </c>
      <c r="E10406" s="18" t="s">
        <v>46769</v>
      </c>
      <c r="F10406" s="18" t="str">
        <f>IFERROR(__XLUDF.DUMMYFUNCTION("PROPER(REGEXREPLACE(D318,""[^A-Za-z]+ "",""""))"),"Joko Padel")</f>
        <v xml:space="preserve">Joko Padel</v>
      </c>
      <c r="G10406" s="18" t="s">
        <v>46770</v>
      </c>
      <c r="H10406" s="18">
        <v>5</v>
      </c>
      <c r="I10406" s="18" t="s">
        <v>9239</v>
      </c>
      <c r="J10406" s="5" t="s">
        <v>46771</v>
      </c>
      <c r="K10406" s="5" t="s">
        <v>46772</v>
      </c>
      <c r="L10406" s="18" t="s">
        <v>252</v>
      </c>
      <c r="M10406" s="18" t="s">
        <v>29</v>
      </c>
      <c r="N10406" s="18" t="s">
        <v>46773</v>
      </c>
      <c r="O10406" s="18" t="s">
        <v>29</v>
      </c>
      <c r="P10406" s="6"/>
      <c r="Q10406" s="6"/>
      <c r="R10406" s="6"/>
      <c r="S10406" s="6"/>
      <c r="T10406" s="6"/>
      <c r="U10406" s="6"/>
      <c r="V10406" s="8"/>
      <c r="W10406" s="8"/>
      <c r="X10406" s="8"/>
      <c r="Y10406" s="8"/>
    </row>
    <row r="10407" ht="14.25">
      <c r="B10407" s="18" t="s">
        <v>4969</v>
      </c>
      <c r="C10407" s="18" t="s">
        <v>46774</v>
      </c>
      <c r="D10407" s="18" t="s">
        <v>172</v>
      </c>
      <c r="E10407" s="18" t="s">
        <v>46775</v>
      </c>
      <c r="F10407" s="18" t="str">
        <f>IFERROR(__XLUDF.DUMMYFUNCTION("PROPER(REGEXREPLACE(D319,""[^A-Za-z]+ "",""""))"),"Fuites Pro Detection")</f>
        <v xml:space="preserve">Fuites Pro Detection</v>
      </c>
      <c r="G10407" s="18" t="s">
        <v>46776</v>
      </c>
      <c r="H10407" s="18">
        <v>3</v>
      </c>
      <c r="I10407" s="18" t="s">
        <v>9239</v>
      </c>
      <c r="J10407" s="5" t="s">
        <v>46777</v>
      </c>
      <c r="K10407" s="5" t="s">
        <v>46778</v>
      </c>
      <c r="L10407" s="18" t="s">
        <v>1826</v>
      </c>
      <c r="M10407" s="18" t="s">
        <v>29</v>
      </c>
      <c r="N10407" s="18" t="s">
        <v>46779</v>
      </c>
      <c r="O10407" s="18" t="s">
        <v>29</v>
      </c>
      <c r="P10407" s="6"/>
      <c r="Q10407" s="6"/>
      <c r="R10407" s="6"/>
      <c r="S10407" s="6"/>
      <c r="T10407" s="6"/>
      <c r="U10407" s="6"/>
      <c r="V10407" s="8"/>
      <c r="W10407" s="8"/>
      <c r="X10407" s="8"/>
      <c r="Y10407" s="8"/>
    </row>
    <row r="10408" ht="14.25">
      <c r="B10408" s="18" t="s">
        <v>26223</v>
      </c>
      <c r="C10408" s="18" t="s">
        <v>46780</v>
      </c>
      <c r="D10408" s="18" t="s">
        <v>426</v>
      </c>
      <c r="E10408" s="18" t="s">
        <v>46781</v>
      </c>
      <c r="F10408" s="18" t="str">
        <f>IFERROR(__XLUDF.DUMMYFUNCTION("PROPER(REGEXREPLACE(D320,""[^A-Za-z]+ "",""""))"),"Laval Mayenne Aménagements")</f>
        <v xml:space="preserve">Laval Mayenne Aménagements</v>
      </c>
      <c r="G10408" s="18" t="s">
        <v>46782</v>
      </c>
      <c r="H10408" s="18">
        <v>19</v>
      </c>
      <c r="I10408" s="18" t="s">
        <v>10167</v>
      </c>
      <c r="J10408" s="5" t="s">
        <v>46783</v>
      </c>
      <c r="K10408" s="5" t="s">
        <v>46784</v>
      </c>
      <c r="L10408" s="6"/>
      <c r="M10408" s="18" t="s">
        <v>29</v>
      </c>
      <c r="N10408" s="18" t="s">
        <v>25944</v>
      </c>
      <c r="O10408" s="18" t="s">
        <v>29</v>
      </c>
      <c r="P10408" s="18" t="s">
        <v>46785</v>
      </c>
      <c r="Q10408" s="6"/>
      <c r="R10408" s="6"/>
      <c r="S10408" s="6"/>
      <c r="T10408" s="6"/>
      <c r="U10408" s="6"/>
      <c r="V10408" s="8"/>
      <c r="W10408" s="8"/>
      <c r="X10408" s="8"/>
      <c r="Y10408" s="8"/>
    </row>
    <row r="10409" ht="14.25">
      <c r="B10409" s="18" t="s">
        <v>1732</v>
      </c>
      <c r="C10409" s="18" t="s">
        <v>46786</v>
      </c>
      <c r="D10409" s="18" t="s">
        <v>487</v>
      </c>
      <c r="E10409" s="18" t="s">
        <v>46787</v>
      </c>
      <c r="F10409" s="18" t="str">
        <f>IFERROR(__XLUDF.DUMMYFUNCTION("PROPER(REGEXREPLACE(D321,""[^A-Za-z]+ "",""""))"),"Horrenberger")</f>
        <v>Horrenberger</v>
      </c>
      <c r="G10409" s="18" t="s">
        <v>46788</v>
      </c>
      <c r="H10409" s="18">
        <v>5</v>
      </c>
      <c r="I10409" s="18" t="s">
        <v>9239</v>
      </c>
      <c r="J10409" s="5" t="s">
        <v>46789</v>
      </c>
      <c r="K10409" s="5" t="s">
        <v>46790</v>
      </c>
      <c r="L10409" s="18" t="s">
        <v>39</v>
      </c>
      <c r="M10409" s="18" t="s">
        <v>29</v>
      </c>
      <c r="N10409" s="18" t="s">
        <v>67</v>
      </c>
      <c r="O10409" s="18" t="s">
        <v>29</v>
      </c>
      <c r="P10409" s="6"/>
      <c r="Q10409" s="6"/>
      <c r="R10409" s="6"/>
      <c r="S10409" s="6"/>
      <c r="T10409" s="6"/>
      <c r="U10409" s="6"/>
      <c r="V10409" s="8"/>
      <c r="W10409" s="8"/>
      <c r="X10409" s="8"/>
      <c r="Y10409" s="8"/>
    </row>
    <row r="10410" ht="14.25">
      <c r="B10410" s="18" t="s">
        <v>272</v>
      </c>
      <c r="C10410" s="18" t="s">
        <v>46791</v>
      </c>
      <c r="D10410" s="18" t="s">
        <v>468</v>
      </c>
      <c r="E10410" s="18" t="s">
        <v>46792</v>
      </c>
      <c r="F10410" s="18" t="str">
        <f>IFERROR(__XLUDF.DUMMYFUNCTION("PROPER(REGEXREPLACE(D322,""[^A-Za-z]+ "",""""))"),"Willy Naessens France")</f>
        <v xml:space="preserve">Willy Naessens France</v>
      </c>
      <c r="G10410" s="18" t="s">
        <v>46793</v>
      </c>
      <c r="H10410" s="18">
        <v>17</v>
      </c>
      <c r="I10410" s="18" t="s">
        <v>9239</v>
      </c>
      <c r="J10410" s="5" t="s">
        <v>46794</v>
      </c>
      <c r="K10410" s="5" t="s">
        <v>46795</v>
      </c>
      <c r="L10410" s="18" t="s">
        <v>846</v>
      </c>
      <c r="M10410" s="18" t="s">
        <v>29</v>
      </c>
      <c r="N10410" s="18" t="s">
        <v>46796</v>
      </c>
      <c r="O10410" s="18" t="s">
        <v>29</v>
      </c>
      <c r="P10410" s="6"/>
      <c r="Q10410" s="6"/>
      <c r="R10410" s="6"/>
      <c r="S10410" s="6"/>
      <c r="T10410" s="6"/>
      <c r="U10410" s="6"/>
      <c r="V10410" s="8"/>
      <c r="W10410" s="8"/>
      <c r="X10410" s="8"/>
      <c r="Y10410" s="8"/>
    </row>
    <row r="10411" ht="14.25">
      <c r="B10411" s="18" t="s">
        <v>46797</v>
      </c>
      <c r="C10411" s="18" t="s">
        <v>46798</v>
      </c>
      <c r="D10411" s="18" t="s">
        <v>62</v>
      </c>
      <c r="E10411" s="18" t="s">
        <v>46799</v>
      </c>
      <c r="F10411" s="18" t="str">
        <f>IFERROR(__XLUDF.DUMMYFUNCTION("PROPER(REGEXREPLACE(D323,""[^A-Za-z]+ "",""""))"),"Soilcloud")</f>
        <v>Soilcloud</v>
      </c>
      <c r="G10411" s="18" t="s">
        <v>46800</v>
      </c>
      <c r="H10411" s="18">
        <v>2</v>
      </c>
      <c r="I10411" s="18" t="s">
        <v>9239</v>
      </c>
      <c r="J10411" s="5" t="s">
        <v>46801</v>
      </c>
      <c r="K10411" s="5" t="s">
        <v>46802</v>
      </c>
      <c r="L10411" s="18" t="s">
        <v>39</v>
      </c>
      <c r="M10411" s="18" t="s">
        <v>29</v>
      </c>
      <c r="N10411" s="18" t="s">
        <v>46803</v>
      </c>
      <c r="O10411" s="18" t="s">
        <v>29</v>
      </c>
      <c r="P10411" s="18" t="s">
        <v>46804</v>
      </c>
      <c r="Q10411" s="6"/>
      <c r="R10411" s="6"/>
      <c r="S10411" s="6"/>
      <c r="T10411" s="6"/>
      <c r="U10411" s="6"/>
      <c r="V10411" s="8"/>
      <c r="W10411" s="8"/>
      <c r="X10411" s="8"/>
      <c r="Y10411" s="8"/>
    </row>
    <row r="10412" ht="14.25">
      <c r="B10412" s="18" t="s">
        <v>30883</v>
      </c>
      <c r="C10412" s="18" t="s">
        <v>43315</v>
      </c>
      <c r="D10412" s="18" t="s">
        <v>426</v>
      </c>
      <c r="E10412" s="18" t="s">
        <v>46805</v>
      </c>
      <c r="F10412" s="18" t="str">
        <f>IFERROR(__XLUDF.DUMMYFUNCTION("PROPER(REGEXREPLACE(D324,""[^A-Za-z]+ "",""""))"),"Maisons Batilor")</f>
        <v xml:space="preserve">Maisons Batilor</v>
      </c>
      <c r="G10412" s="18" t="s">
        <v>46806</v>
      </c>
      <c r="H10412" s="18">
        <v>6</v>
      </c>
      <c r="I10412" s="18" t="s">
        <v>9239</v>
      </c>
      <c r="J10412" s="5" t="s">
        <v>46807</v>
      </c>
      <c r="K10412" s="5" t="s">
        <v>46808</v>
      </c>
      <c r="L10412" s="18" t="s">
        <v>12209</v>
      </c>
      <c r="M10412" s="18" t="s">
        <v>29</v>
      </c>
      <c r="N10412" s="18" t="s">
        <v>46809</v>
      </c>
      <c r="O10412" s="18" t="s">
        <v>29</v>
      </c>
      <c r="P10412" s="18" t="s">
        <v>46810</v>
      </c>
      <c r="Q10412" s="6"/>
      <c r="R10412" s="6"/>
      <c r="S10412" s="6"/>
      <c r="T10412" s="6"/>
      <c r="U10412" s="6"/>
      <c r="V10412" s="8"/>
      <c r="W10412" s="8"/>
      <c r="X10412" s="8"/>
      <c r="Y10412" s="8"/>
    </row>
    <row r="10413" ht="14.25">
      <c r="B10413" s="18" t="s">
        <v>3609</v>
      </c>
      <c r="C10413" s="18" t="s">
        <v>46811</v>
      </c>
      <c r="D10413" s="18" t="s">
        <v>46812</v>
      </c>
      <c r="E10413" s="18" t="s">
        <v>46813</v>
      </c>
      <c r="F10413" s="18" t="str">
        <f>IFERROR(__XLUDF.DUMMYFUNCTION("PROPER(REGEXREPLACE(D325,""[^A-Za-z]+ "",""""))"),"Ilinkup")</f>
        <v>Ilinkup</v>
      </c>
      <c r="G10413" s="18" t="s">
        <v>46814</v>
      </c>
      <c r="H10413" s="18">
        <v>2</v>
      </c>
      <c r="I10413" s="18" t="s">
        <v>9239</v>
      </c>
      <c r="J10413" s="5" t="s">
        <v>46815</v>
      </c>
      <c r="K10413" s="5" t="s">
        <v>46816</v>
      </c>
      <c r="L10413" s="18" t="s">
        <v>49</v>
      </c>
      <c r="M10413" s="18" t="s">
        <v>29</v>
      </c>
      <c r="N10413" s="18" t="s">
        <v>46817</v>
      </c>
      <c r="O10413" s="18" t="s">
        <v>29</v>
      </c>
      <c r="P10413" s="6"/>
      <c r="Q10413" s="6"/>
      <c r="R10413" s="6"/>
      <c r="S10413" s="6"/>
      <c r="T10413" s="6"/>
      <c r="U10413" s="6"/>
      <c r="V10413" s="8"/>
      <c r="W10413" s="8"/>
      <c r="X10413" s="8"/>
      <c r="Y10413" s="8"/>
    </row>
    <row r="10414" ht="14.25">
      <c r="B10414" s="18" t="s">
        <v>27969</v>
      </c>
      <c r="C10414" s="18" t="s">
        <v>46818</v>
      </c>
      <c r="D10414" s="18" t="s">
        <v>3704</v>
      </c>
      <c r="E10414" s="18" t="s">
        <v>46819</v>
      </c>
      <c r="F10414" s="18" t="str">
        <f>IFERROR(__XLUDF.DUMMYFUNCTION("PROPER(REGEXREPLACE(D326,""[^A-Za-z]+ "",""""))"),"Estb")</f>
        <v>Estb</v>
      </c>
      <c r="G10414" s="18" t="s">
        <v>46820</v>
      </c>
      <c r="H10414" s="18">
        <v>12</v>
      </c>
      <c r="I10414" s="6"/>
      <c r="J10414" s="5" t="s">
        <v>46821</v>
      </c>
      <c r="K10414" s="5" t="s">
        <v>46822</v>
      </c>
      <c r="L10414" s="6"/>
      <c r="M10414" s="18" t="s">
        <v>29</v>
      </c>
      <c r="N10414" s="18" t="s">
        <v>46823</v>
      </c>
      <c r="O10414" s="18" t="s">
        <v>29</v>
      </c>
      <c r="P10414" s="6"/>
      <c r="Q10414" s="6"/>
      <c r="R10414" s="6"/>
      <c r="S10414" s="6"/>
      <c r="T10414" s="6"/>
      <c r="U10414" s="6"/>
      <c r="V10414" s="8"/>
      <c r="W10414" s="8"/>
      <c r="X10414" s="8"/>
      <c r="Y10414" s="8"/>
    </row>
    <row r="10415" ht="14.25">
      <c r="B10415" s="18" t="s">
        <v>322</v>
      </c>
      <c r="C10415" s="18" t="s">
        <v>46824</v>
      </c>
      <c r="D10415" s="18" t="s">
        <v>87</v>
      </c>
      <c r="E10415" s="18" t="s">
        <v>46565</v>
      </c>
      <c r="F10415" s="18" t="str">
        <f>IFERROR(__XLUDF.DUMMYFUNCTION("PROPER(REGEXREPLACE(D327,""[^A-Za-z]+ "",""""))"),"123Modules")</f>
        <v>123Modules</v>
      </c>
      <c r="G10415" s="18" t="s">
        <v>46825</v>
      </c>
      <c r="H10415" s="18">
        <v>18</v>
      </c>
      <c r="I10415" s="18" t="s">
        <v>9239</v>
      </c>
      <c r="J10415" s="5" t="s">
        <v>46826</v>
      </c>
      <c r="K10415" s="5" t="s">
        <v>46568</v>
      </c>
      <c r="L10415" s="6"/>
      <c r="M10415" s="18" t="s">
        <v>29</v>
      </c>
      <c r="N10415" s="18" t="s">
        <v>46569</v>
      </c>
      <c r="O10415" s="18" t="s">
        <v>29</v>
      </c>
      <c r="P10415" s="6"/>
      <c r="Q10415" s="6"/>
      <c r="R10415" s="6"/>
      <c r="S10415" s="6"/>
      <c r="T10415" s="6"/>
      <c r="U10415" s="6"/>
      <c r="V10415" s="8"/>
      <c r="W10415" s="8"/>
      <c r="X10415" s="8"/>
      <c r="Y10415" s="8"/>
    </row>
    <row r="10416" ht="14.25">
      <c r="B10416" s="18" t="s">
        <v>46827</v>
      </c>
      <c r="C10416" s="18" t="s">
        <v>46828</v>
      </c>
      <c r="D10416" s="18" t="s">
        <v>1130</v>
      </c>
      <c r="E10416" s="18" t="s">
        <v>44899</v>
      </c>
      <c r="F10416" s="18" t="str">
        <f>IFERROR(__XLUDF.DUMMYFUNCTION("PROPER(REGEXREPLACE(D328,""[^A-Za-z]+ "",""""))"),"Hexagone Groupe")</f>
        <v xml:space="preserve">Hexagone Groupe</v>
      </c>
      <c r="G10416" s="18" t="s">
        <v>46829</v>
      </c>
      <c r="H10416" s="18">
        <v>15</v>
      </c>
      <c r="I10416" s="18" t="s">
        <v>10167</v>
      </c>
      <c r="J10416" s="5" t="s">
        <v>46830</v>
      </c>
      <c r="K10416" s="5" t="s">
        <v>44902</v>
      </c>
      <c r="L10416" s="18" t="s">
        <v>243</v>
      </c>
      <c r="M10416" s="18" t="s">
        <v>29</v>
      </c>
      <c r="N10416" s="18" t="s">
        <v>1533</v>
      </c>
      <c r="O10416" s="18" t="s">
        <v>29</v>
      </c>
      <c r="P10416" s="6"/>
      <c r="Q10416" s="6"/>
      <c r="R10416" s="6"/>
      <c r="S10416" s="6"/>
      <c r="T10416" s="6"/>
      <c r="U10416" s="6"/>
      <c r="V10416" s="8"/>
      <c r="W10416" s="8"/>
      <c r="X10416" s="8"/>
      <c r="Y10416" s="8"/>
    </row>
    <row r="10417" ht="14.25">
      <c r="B10417" s="18" t="s">
        <v>1198</v>
      </c>
      <c r="C10417" s="18" t="s">
        <v>46831</v>
      </c>
      <c r="D10417" s="18" t="s">
        <v>46832</v>
      </c>
      <c r="E10417" s="18" t="s">
        <v>46833</v>
      </c>
      <c r="F10417" s="18" t="str">
        <f>IFERROR(__XLUDF.DUMMYFUNCTION("PROPER(REGEXREPLACE(D329,""[^A-Za-z]+ "",""""))"),"Réseau Fja")</f>
        <v xml:space="preserve">Réseau Fja</v>
      </c>
      <c r="G10417" s="18" t="s">
        <v>46834</v>
      </c>
      <c r="H10417" s="18">
        <v>13</v>
      </c>
      <c r="I10417" s="18" t="s">
        <v>9239</v>
      </c>
      <c r="J10417" s="5" t="s">
        <v>46835</v>
      </c>
      <c r="K10417" s="5" t="s">
        <v>46836</v>
      </c>
      <c r="L10417" s="18" t="s">
        <v>13098</v>
      </c>
      <c r="M10417" s="18" t="s">
        <v>29</v>
      </c>
      <c r="N10417" s="18" t="s">
        <v>46837</v>
      </c>
      <c r="O10417" s="18" t="s">
        <v>29</v>
      </c>
      <c r="P10417" s="18" t="s">
        <v>46838</v>
      </c>
      <c r="Q10417" s="6"/>
      <c r="R10417" s="6"/>
      <c r="S10417" s="6"/>
      <c r="T10417" s="6"/>
      <c r="U10417" s="6"/>
      <c r="V10417" s="8"/>
      <c r="W10417" s="8"/>
      <c r="X10417" s="8"/>
      <c r="Y10417" s="8"/>
    </row>
    <row r="10418" ht="14.25">
      <c r="B10418" s="18" t="s">
        <v>170</v>
      </c>
      <c r="C10418" s="18" t="s">
        <v>9837</v>
      </c>
      <c r="D10418" s="18" t="s">
        <v>9456</v>
      </c>
      <c r="E10418" s="5" t="s">
        <v>46839</v>
      </c>
      <c r="F10418" s="5" t="str">
        <f>IFERROR(__XLUDF.DUMMYFUNCTION("PROPER(REGEXREPLACE(D330,""[^A-Za-z]+ "",""""))"),"Monchauffagiste.Com")</f>
        <v>Monchauffagiste.Com</v>
      </c>
      <c r="G10418" s="18" t="s">
        <v>46840</v>
      </c>
      <c r="H10418" s="18">
        <v>12</v>
      </c>
      <c r="I10418" s="18" t="s">
        <v>9239</v>
      </c>
      <c r="J10418" s="5" t="s">
        <v>46841</v>
      </c>
      <c r="K10418" s="5" t="s">
        <v>46842</v>
      </c>
      <c r="L10418" s="18" t="s">
        <v>846</v>
      </c>
      <c r="M10418" s="18" t="s">
        <v>29</v>
      </c>
      <c r="N10418" s="18" t="s">
        <v>46843</v>
      </c>
      <c r="O10418" s="18" t="s">
        <v>29</v>
      </c>
      <c r="P10418" s="6"/>
      <c r="Q10418" s="6"/>
      <c r="R10418" s="6"/>
      <c r="S10418" s="6"/>
      <c r="T10418" s="6"/>
      <c r="U10418" s="6"/>
      <c r="V10418" s="8"/>
      <c r="W10418" s="8"/>
      <c r="X10418" s="8"/>
      <c r="Y10418" s="8"/>
    </row>
    <row r="10419" ht="14.25">
      <c r="B10419" s="18" t="s">
        <v>1190</v>
      </c>
      <c r="C10419" s="18" t="s">
        <v>46844</v>
      </c>
      <c r="D10419" s="18" t="s">
        <v>112</v>
      </c>
      <c r="E10419" s="18" t="s">
        <v>46845</v>
      </c>
      <c r="F10419" s="18" t="str">
        <f>IFERROR(__XLUDF.DUMMYFUNCTION("PROPER(REGEXREPLACE(D331,""[^A-Za-z]+ "",""""))"),"Santana Batiment")</f>
        <v xml:space="preserve">Santana Batiment</v>
      </c>
      <c r="G10419" s="18" t="s">
        <v>46846</v>
      </c>
      <c r="H10419" s="18">
        <v>5</v>
      </c>
      <c r="I10419" s="18" t="s">
        <v>9239</v>
      </c>
      <c r="J10419" s="5" t="s">
        <v>46847</v>
      </c>
      <c r="K10419" s="5" t="s">
        <v>46848</v>
      </c>
      <c r="L10419" s="18" t="s">
        <v>39</v>
      </c>
      <c r="M10419" s="18" t="s">
        <v>29</v>
      </c>
      <c r="N10419" s="18" t="s">
        <v>46849</v>
      </c>
      <c r="O10419" s="18" t="s">
        <v>29</v>
      </c>
      <c r="P10419" s="6"/>
      <c r="Q10419" s="6"/>
      <c r="R10419" s="6"/>
      <c r="S10419" s="6"/>
      <c r="T10419" s="6"/>
      <c r="U10419" s="6"/>
      <c r="V10419" s="8"/>
      <c r="W10419" s="8"/>
      <c r="X10419" s="8"/>
      <c r="Y10419" s="8"/>
    </row>
    <row r="10420" ht="14.25">
      <c r="B10420" s="18" t="s">
        <v>222</v>
      </c>
      <c r="C10420" s="18" t="s">
        <v>46850</v>
      </c>
      <c r="D10420" s="18" t="s">
        <v>46851</v>
      </c>
      <c r="E10420" s="18" t="s">
        <v>46852</v>
      </c>
      <c r="F10420" s="18" t="str">
        <f>IFERROR(__XLUDF.DUMMYFUNCTION("PROPER(REGEXREPLACE(D332,""[^A-Za-z]+ "",""""))"),"Sarl Lisandre")</f>
        <v xml:space="preserve">Sarl Lisandre</v>
      </c>
      <c r="G10420" s="18" t="s">
        <v>46853</v>
      </c>
      <c r="H10420" s="18">
        <v>7</v>
      </c>
      <c r="I10420" s="18" t="s">
        <v>9239</v>
      </c>
      <c r="J10420" s="5" t="s">
        <v>46854</v>
      </c>
      <c r="K10420" s="5" t="s">
        <v>46855</v>
      </c>
      <c r="L10420" s="18" t="s">
        <v>39</v>
      </c>
      <c r="M10420" s="18" t="s">
        <v>29</v>
      </c>
      <c r="N10420" s="18" t="s">
        <v>46856</v>
      </c>
      <c r="O10420" s="18" t="s">
        <v>29</v>
      </c>
      <c r="P10420" s="18" t="s">
        <v>46857</v>
      </c>
      <c r="Q10420" s="6"/>
      <c r="R10420" s="6"/>
      <c r="S10420" s="6"/>
      <c r="T10420" s="6"/>
      <c r="U10420" s="6"/>
      <c r="V10420" s="8"/>
      <c r="W10420" s="8"/>
      <c r="X10420" s="8"/>
      <c r="Y10420" s="8"/>
    </row>
    <row r="10421" ht="14.25">
      <c r="B10421" s="18" t="s">
        <v>330</v>
      </c>
      <c r="C10421" s="18" t="s">
        <v>46858</v>
      </c>
      <c r="D10421" s="18" t="s">
        <v>9849</v>
      </c>
      <c r="E10421" s="18" t="s">
        <v>46859</v>
      </c>
      <c r="F10421" s="18" t="str">
        <f>IFERROR(__XLUDF.DUMMYFUNCTION("PROPER(REGEXREPLACE(D333,""[^A-Za-z]+ "",""""))"),"Roussel Peinture")</f>
        <v xml:space="preserve">Roussel Peinture</v>
      </c>
      <c r="G10421" s="18" t="s">
        <v>46860</v>
      </c>
      <c r="H10421" s="18">
        <v>8</v>
      </c>
      <c r="I10421" s="18" t="s">
        <v>9239</v>
      </c>
      <c r="J10421" s="5" t="s">
        <v>46861</v>
      </c>
      <c r="K10421" s="5" t="s">
        <v>46862</v>
      </c>
      <c r="L10421" s="18" t="s">
        <v>14138</v>
      </c>
      <c r="M10421" s="18" t="s">
        <v>29</v>
      </c>
      <c r="N10421" s="18" t="s">
        <v>46863</v>
      </c>
      <c r="O10421" s="18" t="s">
        <v>29</v>
      </c>
      <c r="P10421" s="18" t="s">
        <v>46864</v>
      </c>
      <c r="Q10421" s="6"/>
      <c r="R10421" s="6"/>
      <c r="S10421" s="6"/>
      <c r="T10421" s="6"/>
      <c r="U10421" s="6"/>
      <c r="V10421" s="8"/>
      <c r="W10421" s="8"/>
      <c r="X10421" s="8"/>
      <c r="Y10421" s="8"/>
    </row>
    <row r="10422" ht="14.25">
      <c r="B10422" s="18" t="s">
        <v>28187</v>
      </c>
      <c r="C10422" s="18" t="s">
        <v>46865</v>
      </c>
      <c r="D10422" s="18" t="s">
        <v>5003</v>
      </c>
      <c r="E10422" s="18" t="s">
        <v>46866</v>
      </c>
      <c r="F10422" s="18" t="str">
        <f>IFERROR(__XLUDF.DUMMYFUNCTION("PROPER(REGEXREPLACE(D334,""[^A-Za-z]+ "",""""))"),"Kasq")</f>
        <v>Kasq</v>
      </c>
      <c r="G10422" s="18" t="s">
        <v>46867</v>
      </c>
      <c r="H10422" s="18">
        <v>2</v>
      </c>
      <c r="I10422" s="18" t="s">
        <v>9239</v>
      </c>
      <c r="J10422" s="5" t="s">
        <v>46868</v>
      </c>
      <c r="K10422" s="5" t="s">
        <v>46869</v>
      </c>
      <c r="L10422" s="18" t="s">
        <v>39</v>
      </c>
      <c r="M10422" s="18" t="s">
        <v>29</v>
      </c>
      <c r="N10422" s="18" t="s">
        <v>46870</v>
      </c>
      <c r="O10422" s="18" t="s">
        <v>29</v>
      </c>
      <c r="P10422" s="18" t="s">
        <v>46871</v>
      </c>
      <c r="Q10422" s="6"/>
      <c r="R10422" s="6"/>
      <c r="S10422" s="6"/>
      <c r="T10422" s="6"/>
      <c r="U10422" s="6"/>
      <c r="V10422" s="8"/>
      <c r="W10422" s="8"/>
      <c r="X10422" s="8"/>
      <c r="Y10422" s="8"/>
    </row>
    <row r="10423" ht="14.25">
      <c r="B10423" s="18" t="s">
        <v>20</v>
      </c>
      <c r="C10423" s="18" t="s">
        <v>46872</v>
      </c>
      <c r="D10423" s="18" t="s">
        <v>112</v>
      </c>
      <c r="E10423" s="18" t="s">
        <v>46873</v>
      </c>
      <c r="F10423" s="18" t="str">
        <f>IFERROR(__XLUDF.DUMMYFUNCTION("PROPER(REGEXREPLACE(D335,""[^A-Za-z]+ "",""""))"),"Stio")</f>
        <v>Stio</v>
      </c>
      <c r="G10423" s="18" t="s">
        <v>46874</v>
      </c>
      <c r="H10423" s="18">
        <v>11</v>
      </c>
      <c r="I10423" s="18" t="s">
        <v>9239</v>
      </c>
      <c r="J10423" s="5" t="s">
        <v>46875</v>
      </c>
      <c r="K10423" s="5" t="s">
        <v>46876</v>
      </c>
      <c r="L10423" s="6"/>
      <c r="M10423" s="18" t="s">
        <v>29</v>
      </c>
      <c r="N10423" s="18" t="s">
        <v>46877</v>
      </c>
      <c r="O10423" s="18" t="s">
        <v>29</v>
      </c>
      <c r="P10423" s="18" t="s">
        <v>46873</v>
      </c>
      <c r="Q10423" s="6"/>
      <c r="R10423" s="6"/>
      <c r="S10423" s="6"/>
      <c r="T10423" s="6"/>
      <c r="U10423" s="6"/>
      <c r="V10423" s="8"/>
      <c r="W10423" s="8"/>
      <c r="X10423" s="8"/>
      <c r="Y10423" s="8"/>
    </row>
    <row r="10424" ht="14.25">
      <c r="B10424" s="18" t="s">
        <v>2348</v>
      </c>
      <c r="C10424" s="18" t="s">
        <v>46878</v>
      </c>
      <c r="D10424" s="18" t="s">
        <v>23197</v>
      </c>
      <c r="E10424" s="18" t="s">
        <v>46879</v>
      </c>
      <c r="F10424" s="18" t="str">
        <f>IFERROR(__XLUDF.DUMMYFUNCTION("PROPER(REGEXREPLACE(D336,""[^A-Za-z]+ "",""""))"),"Nuarchitectural Designengineering Firm")</f>
        <v xml:space="preserve">Nuarchitectural Designengineering Firm</v>
      </c>
      <c r="G10424" s="18" t="s">
        <v>46880</v>
      </c>
      <c r="H10424" s="18">
        <v>19</v>
      </c>
      <c r="I10424" s="18" t="s">
        <v>9239</v>
      </c>
      <c r="J10424" s="5" t="s">
        <v>46881</v>
      </c>
      <c r="K10424" s="5" t="s">
        <v>46882</v>
      </c>
      <c r="L10424" s="18" t="s">
        <v>39</v>
      </c>
      <c r="M10424" s="18" t="s">
        <v>29</v>
      </c>
      <c r="N10424" s="18" t="s">
        <v>46870</v>
      </c>
      <c r="O10424" s="18" t="s">
        <v>29</v>
      </c>
      <c r="P10424" s="18" t="s">
        <v>46883</v>
      </c>
      <c r="Q10424" s="6"/>
      <c r="R10424" s="6"/>
      <c r="S10424" s="6"/>
      <c r="T10424" s="6"/>
      <c r="U10424" s="6"/>
      <c r="V10424" s="8"/>
      <c r="W10424" s="8"/>
      <c r="X10424" s="8"/>
      <c r="Y10424" s="8"/>
    </row>
    <row r="10425" ht="14.25">
      <c r="B10425" s="18" t="s">
        <v>1583</v>
      </c>
      <c r="C10425" s="18" t="s">
        <v>29575</v>
      </c>
      <c r="D10425" s="18" t="s">
        <v>112</v>
      </c>
      <c r="E10425" s="18" t="s">
        <v>46884</v>
      </c>
      <c r="F10425" s="18" t="str">
        <f>IFERROR(__XLUDF.DUMMYFUNCTION("PROPER(REGEXREPLACE(D337,""[^A-Za-z]+ "",""""))"),"Asro")</f>
        <v>Asro</v>
      </c>
      <c r="G10425" s="18" t="s">
        <v>46885</v>
      </c>
      <c r="H10425" s="18">
        <v>15</v>
      </c>
      <c r="I10425" s="18" t="s">
        <v>9239</v>
      </c>
      <c r="J10425" s="5" t="s">
        <v>46886</v>
      </c>
      <c r="K10425" s="5" t="s">
        <v>46887</v>
      </c>
      <c r="L10425" s="18" t="s">
        <v>846</v>
      </c>
      <c r="M10425" s="18" t="s">
        <v>29</v>
      </c>
      <c r="N10425" s="18" t="s">
        <v>46888</v>
      </c>
      <c r="O10425" s="18" t="s">
        <v>2953</v>
      </c>
      <c r="P10425" s="6"/>
      <c r="Q10425" s="6"/>
      <c r="R10425" s="6"/>
      <c r="S10425" s="6"/>
      <c r="T10425" s="6"/>
      <c r="U10425" s="6"/>
      <c r="V10425" s="8"/>
      <c r="W10425" s="8"/>
      <c r="X10425" s="8"/>
      <c r="Y10425" s="8"/>
    </row>
    <row r="10426" ht="14.25">
      <c r="B10426" s="18" t="s">
        <v>12073</v>
      </c>
      <c r="C10426" s="18" t="s">
        <v>46889</v>
      </c>
      <c r="D10426" s="18" t="s">
        <v>112</v>
      </c>
      <c r="E10426" s="18" t="s">
        <v>46890</v>
      </c>
      <c r="F10426" s="18" t="str">
        <f>IFERROR(__XLUDF.DUMMYFUNCTION("PROPER(REGEXREPLACE(D338,""[^A-Za-z]+ "",""""))"),"Eurolec 2000")</f>
        <v xml:space="preserve">Eurolec 2000</v>
      </c>
      <c r="G10426" s="18" t="s">
        <v>46891</v>
      </c>
      <c r="H10426" s="18">
        <v>16</v>
      </c>
      <c r="I10426" s="18" t="s">
        <v>9239</v>
      </c>
      <c r="J10426" s="5" t="s">
        <v>46892</v>
      </c>
      <c r="K10426" s="5" t="s">
        <v>46893</v>
      </c>
      <c r="L10426" s="6"/>
      <c r="M10426" s="18" t="s">
        <v>29</v>
      </c>
      <c r="N10426" s="18" t="s">
        <v>46894</v>
      </c>
      <c r="O10426" s="18" t="s">
        <v>29</v>
      </c>
      <c r="P10426" s="18" t="s">
        <v>46895</v>
      </c>
      <c r="Q10426" s="6"/>
      <c r="R10426" s="6"/>
      <c r="S10426" s="6"/>
      <c r="T10426" s="6"/>
      <c r="U10426" s="6"/>
      <c r="V10426" s="8"/>
      <c r="W10426" s="8"/>
      <c r="X10426" s="8"/>
      <c r="Y10426" s="8"/>
    </row>
    <row r="10427" ht="14.25">
      <c r="B10427" s="18" t="s">
        <v>1732</v>
      </c>
      <c r="C10427" s="18" t="s">
        <v>46896</v>
      </c>
      <c r="D10427" s="18" t="s">
        <v>1130</v>
      </c>
      <c r="E10427" s="18" t="s">
        <v>46897</v>
      </c>
      <c r="F10427" s="18" t="str">
        <f>IFERROR(__XLUDF.DUMMYFUNCTION("PROPER(REGEXREPLACE(D339,""[^A-Za-z]+ "",""""))"),"Deal Eco")</f>
        <v xml:space="preserve">Deal Eco</v>
      </c>
      <c r="G10427" s="18" t="s">
        <v>46898</v>
      </c>
      <c r="H10427" s="18">
        <v>65</v>
      </c>
      <c r="I10427" s="18" t="s">
        <v>9239</v>
      </c>
      <c r="J10427" s="5" t="s">
        <v>46899</v>
      </c>
      <c r="K10427" s="5" t="s">
        <v>46900</v>
      </c>
      <c r="L10427" s="18" t="s">
        <v>2186</v>
      </c>
      <c r="M10427" s="18" t="s">
        <v>29</v>
      </c>
      <c r="N10427" s="18" t="s">
        <v>46901</v>
      </c>
      <c r="O10427" s="18" t="s">
        <v>29</v>
      </c>
      <c r="P10427" s="18" t="s">
        <v>46902</v>
      </c>
      <c r="Q10427" s="6"/>
      <c r="R10427" s="6"/>
      <c r="S10427" s="6"/>
      <c r="T10427" s="6"/>
      <c r="U10427" s="6"/>
      <c r="V10427" s="8"/>
      <c r="W10427" s="8"/>
      <c r="X10427" s="8"/>
      <c r="Y10427" s="8"/>
    </row>
    <row r="10428" ht="14.25">
      <c r="B10428" s="18" t="s">
        <v>661</v>
      </c>
      <c r="C10428" s="18" t="s">
        <v>46903</v>
      </c>
      <c r="D10428" s="18" t="s">
        <v>1130</v>
      </c>
      <c r="E10428" s="18" t="s">
        <v>46904</v>
      </c>
      <c r="F10428" s="18" t="str">
        <f>IFERROR(__XLUDF.DUMMYFUNCTION("PROPER(REGEXREPLACE(D340,""[^A-Za-z]+ "",""""))"),"Guinde")</f>
        <v>Guinde</v>
      </c>
      <c r="G10428" s="18" t="s">
        <v>46905</v>
      </c>
      <c r="H10428" s="18">
        <v>15</v>
      </c>
      <c r="I10428" s="18" t="s">
        <v>9239</v>
      </c>
      <c r="J10428" s="5" t="s">
        <v>46906</v>
      </c>
      <c r="K10428" s="5" t="s">
        <v>46907</v>
      </c>
      <c r="L10428" s="18" t="s">
        <v>46908</v>
      </c>
      <c r="M10428" s="18" t="s">
        <v>29</v>
      </c>
      <c r="N10428" s="18" t="s">
        <v>46909</v>
      </c>
      <c r="O10428" s="18" t="s">
        <v>29</v>
      </c>
      <c r="P10428" s="6"/>
      <c r="Q10428" s="6"/>
      <c r="R10428" s="6"/>
      <c r="S10428" s="6"/>
      <c r="T10428" s="6"/>
      <c r="U10428" s="6"/>
      <c r="V10428" s="8"/>
      <c r="W10428" s="8"/>
      <c r="X10428" s="8"/>
      <c r="Y10428" s="8"/>
    </row>
    <row r="10429" ht="14.25">
      <c r="B10429" s="18" t="s">
        <v>769</v>
      </c>
      <c r="C10429" s="18" t="s">
        <v>46910</v>
      </c>
      <c r="D10429" s="18" t="s">
        <v>112</v>
      </c>
      <c r="E10429" s="18" t="s">
        <v>46911</v>
      </c>
      <c r="F10429" s="18" t="str">
        <f>IFERROR(__XLUDF.DUMMYFUNCTION("PROPER(REGEXREPLACE(D341,""[^A-Za-z]+ "",""""))"),"Abcis Contractant")</f>
        <v xml:space="preserve">Abcis Contractant</v>
      </c>
      <c r="G10429" s="18" t="s">
        <v>46912</v>
      </c>
      <c r="H10429" s="18">
        <v>37</v>
      </c>
      <c r="I10429" s="18" t="s">
        <v>9239</v>
      </c>
      <c r="J10429" s="5" t="s">
        <v>46913</v>
      </c>
      <c r="K10429" s="5" t="s">
        <v>46914</v>
      </c>
      <c r="L10429" s="18" t="s">
        <v>39</v>
      </c>
      <c r="M10429" s="18" t="s">
        <v>29</v>
      </c>
      <c r="N10429" s="18" t="s">
        <v>67</v>
      </c>
      <c r="O10429" s="18" t="s">
        <v>29</v>
      </c>
      <c r="P10429" s="6"/>
      <c r="Q10429" s="6"/>
      <c r="R10429" s="6"/>
      <c r="S10429" s="6"/>
      <c r="T10429" s="6"/>
      <c r="U10429" s="6"/>
      <c r="V10429" s="8"/>
      <c r="W10429" s="8"/>
      <c r="X10429" s="8"/>
      <c r="Y10429" s="8"/>
    </row>
    <row r="10430" ht="14.25">
      <c r="B10430" s="18" t="s">
        <v>23753</v>
      </c>
      <c r="C10430" s="18" t="s">
        <v>45134</v>
      </c>
      <c r="D10430" s="18" t="s">
        <v>112</v>
      </c>
      <c r="E10430" s="18" t="s">
        <v>45135</v>
      </c>
      <c r="F10430" s="18" t="str">
        <f>IFERROR(__XLUDF.DUMMYFUNCTION("PROPER(REGEXREPLACE(D342,""[^A-Za-z]+ "",""""))"),"Sas Eric Lequertier")</f>
        <v xml:space="preserve">Sas Eric Lequertier</v>
      </c>
      <c r="G10430" s="18" t="s">
        <v>46915</v>
      </c>
      <c r="H10430" s="18">
        <v>42</v>
      </c>
      <c r="I10430" s="18" t="s">
        <v>9239</v>
      </c>
      <c r="J10430" s="5" t="s">
        <v>46916</v>
      </c>
      <c r="K10430" s="5" t="s">
        <v>45138</v>
      </c>
      <c r="L10430" s="18" t="s">
        <v>46917</v>
      </c>
      <c r="M10430" s="18" t="s">
        <v>29</v>
      </c>
      <c r="N10430" s="18" t="s">
        <v>45139</v>
      </c>
      <c r="O10430" s="18" t="s">
        <v>29</v>
      </c>
      <c r="P10430" s="18" t="s">
        <v>45140</v>
      </c>
      <c r="Q10430" s="6"/>
      <c r="R10430" s="6"/>
      <c r="S10430" s="6"/>
      <c r="T10430" s="6"/>
      <c r="U10430" s="6"/>
      <c r="V10430" s="8"/>
      <c r="W10430" s="8"/>
      <c r="X10430" s="8"/>
      <c r="Y10430" s="8"/>
    </row>
    <row r="10431" ht="14.25">
      <c r="B10431" s="18" t="s">
        <v>1596</v>
      </c>
      <c r="C10431" s="18" t="s">
        <v>46918</v>
      </c>
      <c r="D10431" s="18" t="s">
        <v>3637</v>
      </c>
      <c r="E10431" s="18" t="s">
        <v>46919</v>
      </c>
      <c r="F10431" s="18" t="str">
        <f>IFERROR(__XLUDF.DUMMYFUNCTION("PROPER(REGEXREPLACE(D343,""[^A-Za-z]+ "",""""))"),"Pax")</f>
        <v>Pax</v>
      </c>
      <c r="G10431" s="18" t="s">
        <v>46920</v>
      </c>
      <c r="H10431" s="18">
        <v>43</v>
      </c>
      <c r="I10431" s="6"/>
      <c r="J10431" s="5" t="s">
        <v>46921</v>
      </c>
      <c r="K10431" s="5" t="s">
        <v>46922</v>
      </c>
      <c r="L10431" s="18" t="s">
        <v>492</v>
      </c>
      <c r="M10431" s="18" t="s">
        <v>29</v>
      </c>
      <c r="N10431" s="18" t="s">
        <v>46923</v>
      </c>
      <c r="O10431" s="18" t="s">
        <v>29</v>
      </c>
      <c r="P10431" s="6"/>
      <c r="Q10431" s="6"/>
      <c r="R10431" s="6"/>
      <c r="S10431" s="6"/>
      <c r="T10431" s="6"/>
      <c r="U10431" s="6"/>
      <c r="V10431" s="8"/>
      <c r="W10431" s="8"/>
      <c r="X10431" s="8"/>
      <c r="Y10431" s="8"/>
    </row>
    <row r="10432" ht="14.25">
      <c r="B10432" s="18" t="s">
        <v>3019</v>
      </c>
      <c r="C10432" s="18" t="s">
        <v>46924</v>
      </c>
      <c r="D10432" s="18" t="s">
        <v>112</v>
      </c>
      <c r="E10432" s="18" t="s">
        <v>46925</v>
      </c>
      <c r="F10432" s="18" t="str">
        <f>IFERROR(__XLUDF.DUMMYFUNCTION("PROPER(REGEXREPLACE(D344,""[^A-Za-z]+ "",""""))"),"Routeschantiers Modernes")</f>
        <v xml:space="preserve">Routeschantiers Modernes</v>
      </c>
      <c r="G10432" s="18" t="s">
        <v>46926</v>
      </c>
      <c r="H10432" s="18">
        <v>31</v>
      </c>
      <c r="I10432" s="18" t="s">
        <v>9239</v>
      </c>
      <c r="J10432" s="5" t="s">
        <v>46927</v>
      </c>
      <c r="K10432" s="5" t="s">
        <v>46928</v>
      </c>
      <c r="L10432" s="6"/>
      <c r="M10432" s="18" t="s">
        <v>29</v>
      </c>
      <c r="N10432" s="18" t="s">
        <v>46929</v>
      </c>
      <c r="O10432" s="18" t="s">
        <v>29</v>
      </c>
      <c r="P10432" s="6"/>
      <c r="Q10432" s="6"/>
      <c r="R10432" s="6"/>
      <c r="S10432" s="6"/>
      <c r="T10432" s="6"/>
      <c r="U10432" s="6"/>
      <c r="V10432" s="8"/>
      <c r="W10432" s="8"/>
      <c r="X10432" s="8"/>
      <c r="Y10432" s="8"/>
    </row>
    <row r="10433" ht="14.25">
      <c r="B10433" s="18" t="s">
        <v>874</v>
      </c>
      <c r="C10433" s="18" t="s">
        <v>46930</v>
      </c>
      <c r="D10433" s="18" t="s">
        <v>112</v>
      </c>
      <c r="E10433" s="18" t="s">
        <v>46931</v>
      </c>
      <c r="F10433" s="18" t="str">
        <f>IFERROR(__XLUDF.DUMMYFUNCTION("PROPER(REGEXREPLACE(D345,""[^A-Za-z]+ "",""""))"),"Eliez")</f>
        <v>Eliez</v>
      </c>
      <c r="G10433" s="18" t="s">
        <v>46932</v>
      </c>
      <c r="H10433" s="18">
        <v>30</v>
      </c>
      <c r="I10433" s="18" t="s">
        <v>9239</v>
      </c>
      <c r="J10433" s="5" t="s">
        <v>46933</v>
      </c>
      <c r="K10433" s="5" t="s">
        <v>46934</v>
      </c>
      <c r="L10433" s="18" t="s">
        <v>39</v>
      </c>
      <c r="M10433" s="18" t="s">
        <v>29</v>
      </c>
      <c r="N10433" s="18" t="s">
        <v>46935</v>
      </c>
      <c r="O10433" s="18" t="s">
        <v>29</v>
      </c>
      <c r="P10433" s="18" t="s">
        <v>46936</v>
      </c>
      <c r="Q10433" s="6"/>
      <c r="R10433" s="6"/>
      <c r="S10433" s="6"/>
      <c r="T10433" s="6"/>
      <c r="U10433" s="6"/>
      <c r="V10433" s="8"/>
      <c r="W10433" s="8"/>
      <c r="X10433" s="8"/>
      <c r="Y10433" s="8"/>
    </row>
    <row r="10434" ht="14.25">
      <c r="B10434" s="18" t="s">
        <v>255</v>
      </c>
      <c r="C10434" s="18" t="s">
        <v>46937</v>
      </c>
      <c r="D10434" s="18" t="s">
        <v>112</v>
      </c>
      <c r="E10434" s="18" t="s">
        <v>46938</v>
      </c>
      <c r="F10434" s="18" t="str">
        <f>IFERROR(__XLUDF.DUMMYFUNCTION("PROPER(REGEXREPLACE(D346,""[^A-Za-z]+ "",""""))"),"Brb Batiment")</f>
        <v xml:space="preserve">Brb Batiment</v>
      </c>
      <c r="G10434" s="18" t="s">
        <v>46939</v>
      </c>
      <c r="H10434" s="18">
        <v>23</v>
      </c>
      <c r="I10434" s="18" t="s">
        <v>9239</v>
      </c>
      <c r="J10434" s="5" t="s">
        <v>46940</v>
      </c>
      <c r="K10434" s="5" t="s">
        <v>46941</v>
      </c>
      <c r="L10434" s="18" t="s">
        <v>39</v>
      </c>
      <c r="M10434" s="18" t="s">
        <v>29</v>
      </c>
      <c r="N10434" s="18" t="s">
        <v>46942</v>
      </c>
      <c r="O10434" s="18" t="s">
        <v>29</v>
      </c>
      <c r="P10434" s="18" t="s">
        <v>46943</v>
      </c>
      <c r="Q10434" s="6"/>
      <c r="R10434" s="6"/>
      <c r="S10434" s="6"/>
      <c r="T10434" s="6"/>
      <c r="U10434" s="6"/>
      <c r="V10434" s="8"/>
      <c r="W10434" s="8"/>
      <c r="X10434" s="8"/>
      <c r="Y10434" s="8"/>
    </row>
    <row r="10435" ht="14.25">
      <c r="B10435" s="18" t="s">
        <v>5728</v>
      </c>
      <c r="C10435" s="18" t="s">
        <v>46944</v>
      </c>
      <c r="D10435" s="18" t="s">
        <v>112</v>
      </c>
      <c r="E10435" s="18" t="s">
        <v>46945</v>
      </c>
      <c r="F10435" s="18" t="str">
        <f>IFERROR(__XLUDF.DUMMYFUNCTION("PROPER(REGEXREPLACE(D347,""[^A-Za-z]+ "",""""))"),"Groupe Croixmarie")</f>
        <v xml:space="preserve">Groupe Croixmarie</v>
      </c>
      <c r="G10435" s="18" t="s">
        <v>46946</v>
      </c>
      <c r="H10435" s="18">
        <v>43</v>
      </c>
      <c r="I10435" s="18" t="s">
        <v>9239</v>
      </c>
      <c r="J10435" s="5" t="s">
        <v>46947</v>
      </c>
      <c r="K10435" s="5" t="s">
        <v>46948</v>
      </c>
      <c r="L10435" s="18" t="s">
        <v>5565</v>
      </c>
      <c r="M10435" s="18" t="s">
        <v>29</v>
      </c>
      <c r="N10435" s="18" t="s">
        <v>46949</v>
      </c>
      <c r="O10435" s="18" t="s">
        <v>29</v>
      </c>
      <c r="P10435" s="6"/>
      <c r="Q10435" s="6"/>
      <c r="R10435" s="6"/>
      <c r="S10435" s="6"/>
      <c r="T10435" s="6"/>
      <c r="U10435" s="6"/>
      <c r="V10435" s="8"/>
      <c r="W10435" s="8"/>
      <c r="X10435" s="8"/>
      <c r="Y10435" s="8"/>
    </row>
    <row r="10436" ht="14.25">
      <c r="B10436" s="18" t="s">
        <v>2503</v>
      </c>
      <c r="C10436" s="18" t="s">
        <v>46950</v>
      </c>
      <c r="D10436" s="18" t="s">
        <v>487</v>
      </c>
      <c r="E10436" s="18" t="s">
        <v>46951</v>
      </c>
      <c r="F10436" s="18" t="str">
        <f>IFERROR(__XLUDF.DUMMYFUNCTION("PROPER(REGEXREPLACE(D348,""[^A-Za-z]+ "",""""))"),"Groupe Stratiforme-Compreforme -Technoforme")</f>
        <v xml:space="preserve">Groupe Stratiforme-Compreforme -Technoforme</v>
      </c>
      <c r="G10436" s="18" t="s">
        <v>46952</v>
      </c>
      <c r="H10436" s="18">
        <v>46</v>
      </c>
      <c r="I10436" s="18" t="s">
        <v>14347</v>
      </c>
      <c r="J10436" s="5" t="s">
        <v>46953</v>
      </c>
      <c r="K10436" s="5" t="s">
        <v>46954</v>
      </c>
      <c r="L10436" s="18" t="s">
        <v>846</v>
      </c>
      <c r="M10436" s="18" t="s">
        <v>29</v>
      </c>
      <c r="N10436" s="18" t="s">
        <v>46955</v>
      </c>
      <c r="O10436" s="18" t="s">
        <v>29</v>
      </c>
      <c r="P10436" s="6"/>
      <c r="Q10436" s="6"/>
      <c r="R10436" s="6"/>
      <c r="S10436" s="6"/>
      <c r="T10436" s="6"/>
      <c r="U10436" s="6"/>
      <c r="V10436" s="8"/>
      <c r="W10436" s="8"/>
      <c r="X10436" s="8"/>
      <c r="Y10436" s="8"/>
    </row>
    <row r="10437" ht="14.25">
      <c r="B10437" s="18" t="s">
        <v>1732</v>
      </c>
      <c r="C10437" s="18" t="s">
        <v>46956</v>
      </c>
      <c r="D10437" s="18" t="s">
        <v>44</v>
      </c>
      <c r="E10437" s="18" t="s">
        <v>46957</v>
      </c>
      <c r="F10437" s="18" t="str">
        <f>IFERROR(__XLUDF.DUMMYFUNCTION("PROPER(REGEXREPLACE(D349,""[^A-Za-z]+ "",""""))"),"Pilgrim Designbuild")</f>
        <v xml:space="preserve">Pilgrim Designbuild</v>
      </c>
      <c r="G10437" s="18" t="s">
        <v>46958</v>
      </c>
      <c r="H10437" s="18">
        <v>17</v>
      </c>
      <c r="I10437" s="18" t="s">
        <v>9239</v>
      </c>
      <c r="J10437" s="5" t="s">
        <v>46959</v>
      </c>
      <c r="K10437" s="5" t="s">
        <v>46960</v>
      </c>
      <c r="L10437" s="6"/>
      <c r="M10437" s="18" t="s">
        <v>29</v>
      </c>
      <c r="N10437" s="18" t="s">
        <v>21757</v>
      </c>
      <c r="O10437" s="18" t="s">
        <v>29</v>
      </c>
      <c r="P10437" s="6"/>
      <c r="Q10437" s="6"/>
      <c r="R10437" s="6"/>
      <c r="S10437" s="6"/>
      <c r="T10437" s="6"/>
      <c r="U10437" s="6"/>
      <c r="V10437" s="8"/>
      <c r="W10437" s="8"/>
      <c r="X10437" s="8"/>
      <c r="Y10437" s="8"/>
    </row>
    <row r="10438" ht="14.25">
      <c r="B10438" s="18" t="s">
        <v>1562</v>
      </c>
      <c r="C10438" s="18" t="s">
        <v>46961</v>
      </c>
      <c r="D10438" s="18" t="s">
        <v>10202</v>
      </c>
      <c r="E10438" s="18" t="s">
        <v>46962</v>
      </c>
      <c r="F10438" s="18" t="str">
        <f>IFERROR(__XLUDF.DUMMYFUNCTION("PROPER(REGEXREPLACE(D350,""[^A-Za-z]+ "",""""))"),"Map3")</f>
        <v>Map3</v>
      </c>
      <c r="G10438" s="18" t="s">
        <v>46963</v>
      </c>
      <c r="H10438" s="18">
        <v>10</v>
      </c>
      <c r="I10438" s="18" t="s">
        <v>9239</v>
      </c>
      <c r="J10438" s="5" t="s">
        <v>46964</v>
      </c>
      <c r="K10438" s="5" t="s">
        <v>46965</v>
      </c>
      <c r="L10438" s="18" t="s">
        <v>39</v>
      </c>
      <c r="M10438" s="18" t="s">
        <v>29</v>
      </c>
      <c r="N10438" s="18" t="s">
        <v>46966</v>
      </c>
      <c r="O10438" s="18" t="s">
        <v>29</v>
      </c>
      <c r="P10438" s="18" t="s">
        <v>46967</v>
      </c>
      <c r="Q10438" s="6"/>
      <c r="R10438" s="6"/>
      <c r="S10438" s="6"/>
      <c r="T10438" s="6"/>
      <c r="U10438" s="6"/>
      <c r="V10438" s="8"/>
      <c r="W10438" s="8"/>
      <c r="X10438" s="8"/>
      <c r="Y10438" s="8"/>
    </row>
    <row r="10439" ht="14.25">
      <c r="B10439" s="18" t="s">
        <v>785</v>
      </c>
      <c r="C10439" s="18" t="s">
        <v>46968</v>
      </c>
      <c r="D10439" s="18" t="s">
        <v>112</v>
      </c>
      <c r="E10439" s="18" t="s">
        <v>46969</v>
      </c>
      <c r="F10439" s="18" t="str">
        <f>IFERROR(__XLUDF.DUMMYFUNCTION("PROPER(REGEXREPLACE(D351,""[^A-Za-z]+ "",""""))"),"Sas Chatauret Tp")</f>
        <v xml:space="preserve">Sas Chatauret Tp</v>
      </c>
      <c r="G10439" s="18" t="s">
        <v>46970</v>
      </c>
      <c r="H10439" s="18">
        <v>6</v>
      </c>
      <c r="I10439" s="18" t="s">
        <v>9239</v>
      </c>
      <c r="J10439" s="5" t="s">
        <v>46971</v>
      </c>
      <c r="K10439" s="5" t="s">
        <v>46972</v>
      </c>
      <c r="L10439" s="6"/>
      <c r="M10439" s="18" t="s">
        <v>29</v>
      </c>
      <c r="N10439" s="18" t="s">
        <v>46973</v>
      </c>
      <c r="O10439" s="18" t="s">
        <v>29</v>
      </c>
      <c r="P10439" s="18" t="s">
        <v>46974</v>
      </c>
      <c r="Q10439" s="6"/>
      <c r="R10439" s="6"/>
      <c r="S10439" s="6"/>
      <c r="T10439" s="6"/>
      <c r="U10439" s="6"/>
      <c r="V10439" s="8"/>
      <c r="W10439" s="8"/>
      <c r="X10439" s="8"/>
      <c r="Y10439" s="8"/>
    </row>
    <row r="10440" ht="14.25">
      <c r="B10440" s="18" t="s">
        <v>874</v>
      </c>
      <c r="C10440" s="18" t="s">
        <v>23505</v>
      </c>
      <c r="D10440" s="18" t="s">
        <v>3090</v>
      </c>
      <c r="E10440" s="18" t="s">
        <v>46975</v>
      </c>
      <c r="F10440" s="18" t="str">
        <f>IFERROR(__XLUDF.DUMMYFUNCTION("PROPER(REGEXREPLACE(D352,""[^A-Za-z]+ "",""""))"),"Youse")</f>
        <v>Youse</v>
      </c>
      <c r="G10440" s="18" t="s">
        <v>46976</v>
      </c>
      <c r="H10440" s="18">
        <v>8</v>
      </c>
      <c r="I10440" s="18" t="s">
        <v>4293</v>
      </c>
      <c r="J10440" s="5" t="s">
        <v>46977</v>
      </c>
      <c r="K10440" s="5" t="s">
        <v>46978</v>
      </c>
      <c r="L10440" s="18" t="s">
        <v>185</v>
      </c>
      <c r="M10440" s="18" t="s">
        <v>29</v>
      </c>
      <c r="N10440" s="18" t="s">
        <v>46979</v>
      </c>
      <c r="O10440" s="18" t="s">
        <v>29</v>
      </c>
      <c r="P10440" s="18" t="s">
        <v>46980</v>
      </c>
      <c r="Q10440" s="6"/>
      <c r="R10440" s="6"/>
      <c r="S10440" s="6"/>
      <c r="T10440" s="6"/>
      <c r="U10440" s="6"/>
      <c r="V10440" s="8"/>
      <c r="W10440" s="8"/>
      <c r="X10440" s="8"/>
      <c r="Y10440" s="8"/>
    </row>
    <row r="10441" ht="14.25">
      <c r="B10441" s="18" t="s">
        <v>963</v>
      </c>
      <c r="C10441" s="18" t="s">
        <v>46981</v>
      </c>
      <c r="D10441" s="18" t="s">
        <v>120</v>
      </c>
      <c r="E10441" s="18" t="s">
        <v>46982</v>
      </c>
      <c r="F10441" s="18" t="str">
        <f>IFERROR(__XLUDF.DUMMYFUNCTION("PROPER(REGEXREPLACE(D353,""[^A-Za-z]+ "",""""))"),"R-Use")</f>
        <v>R-Use</v>
      </c>
      <c r="G10441" s="18" t="s">
        <v>46983</v>
      </c>
      <c r="H10441" s="18">
        <v>9</v>
      </c>
      <c r="I10441" s="18" t="s">
        <v>9239</v>
      </c>
      <c r="J10441" s="5" t="s">
        <v>46984</v>
      </c>
      <c r="K10441" s="5" t="s">
        <v>46985</v>
      </c>
      <c r="L10441" s="18" t="s">
        <v>39</v>
      </c>
      <c r="M10441" s="18" t="s">
        <v>29</v>
      </c>
      <c r="N10441" s="18" t="s">
        <v>67</v>
      </c>
      <c r="O10441" s="18" t="s">
        <v>29</v>
      </c>
      <c r="P10441" s="18" t="s">
        <v>46986</v>
      </c>
      <c r="Q10441" s="6"/>
      <c r="R10441" s="6"/>
      <c r="S10441" s="6"/>
      <c r="T10441" s="6"/>
      <c r="U10441" s="6"/>
      <c r="V10441" s="8"/>
      <c r="W10441" s="8"/>
      <c r="X10441" s="8"/>
      <c r="Y10441" s="8"/>
    </row>
    <row r="10442" ht="14.25">
      <c r="B10442" s="18" t="s">
        <v>1571</v>
      </c>
      <c r="C10442" s="18" t="s">
        <v>46758</v>
      </c>
      <c r="D10442" s="18" t="s">
        <v>46987</v>
      </c>
      <c r="E10442" s="18" t="s">
        <v>46759</v>
      </c>
      <c r="F10442" s="18" t="str">
        <f>IFERROR(__XLUDF.DUMMYFUNCTION("PROPER(REGEXREPLACE(D354,""[^A-Za-z]+ "",""""))"),"Lign.O")</f>
        <v>Lign.O</v>
      </c>
      <c r="G10442" s="18" t="s">
        <v>46988</v>
      </c>
      <c r="H10442" s="18">
        <v>6</v>
      </c>
      <c r="I10442" s="18" t="s">
        <v>9239</v>
      </c>
      <c r="J10442" s="5" t="s">
        <v>46989</v>
      </c>
      <c r="K10442" s="5" t="s">
        <v>46762</v>
      </c>
      <c r="L10442" s="18" t="s">
        <v>1015</v>
      </c>
      <c r="M10442" s="18" t="s">
        <v>29</v>
      </c>
      <c r="N10442" s="18" t="s">
        <v>30559</v>
      </c>
      <c r="O10442" s="18" t="s">
        <v>29</v>
      </c>
      <c r="P10442" s="6"/>
      <c r="Q10442" s="6"/>
      <c r="R10442" s="6"/>
      <c r="S10442" s="6"/>
      <c r="T10442" s="6"/>
      <c r="U10442" s="6"/>
      <c r="V10442" s="8"/>
      <c r="W10442" s="8"/>
      <c r="X10442" s="8"/>
      <c r="Y10442" s="8"/>
    </row>
    <row r="10443" ht="14.25">
      <c r="B10443" s="18" t="s">
        <v>2643</v>
      </c>
      <c r="C10443" s="18" t="s">
        <v>46990</v>
      </c>
      <c r="D10443" s="18" t="s">
        <v>164</v>
      </c>
      <c r="E10443" s="18" t="s">
        <v>46991</v>
      </c>
      <c r="F10443" s="18" t="str">
        <f>IFERROR(__XLUDF.DUMMYFUNCTION("PROPER(REGEXREPLACE(D355,""[^A-Za-z]+ "",""""))"),"Agi Isolation")</f>
        <v xml:space="preserve">Agi Isolation</v>
      </c>
      <c r="G10443" s="18" t="s">
        <v>46992</v>
      </c>
      <c r="H10443" s="18">
        <v>48</v>
      </c>
      <c r="I10443" s="18" t="s">
        <v>9239</v>
      </c>
      <c r="J10443" s="5" t="s">
        <v>46993</v>
      </c>
      <c r="K10443" s="5" t="s">
        <v>46994</v>
      </c>
      <c r="L10443" s="18" t="s">
        <v>185</v>
      </c>
      <c r="M10443" s="18" t="s">
        <v>29</v>
      </c>
      <c r="N10443" s="18" t="s">
        <v>46995</v>
      </c>
      <c r="O10443" s="18" t="s">
        <v>29</v>
      </c>
      <c r="P10443" s="18" t="s">
        <v>46996</v>
      </c>
      <c r="Q10443" s="6"/>
      <c r="R10443" s="6"/>
      <c r="S10443" s="6"/>
      <c r="T10443" s="6"/>
      <c r="U10443" s="6"/>
      <c r="V10443" s="8"/>
      <c r="W10443" s="8"/>
      <c r="X10443" s="8"/>
      <c r="Y10443" s="8"/>
    </row>
    <row r="10444" ht="14.25">
      <c r="B10444" s="18" t="s">
        <v>19916</v>
      </c>
      <c r="C10444" s="18" t="s">
        <v>46997</v>
      </c>
      <c r="D10444" s="18" t="s">
        <v>164</v>
      </c>
      <c r="E10444" s="18" t="s">
        <v>46998</v>
      </c>
      <c r="F10444" s="18" t="str">
        <f>IFERROR(__XLUDF.DUMMYFUNCTION("PROPER(REGEXREPLACE(D356,""[^A-Za-z]+ "",""""))"),"Acp Immo")</f>
        <v xml:space="preserve">Acp Immo</v>
      </c>
      <c r="G10444" s="18" t="s">
        <v>46999</v>
      </c>
      <c r="H10444" s="18">
        <v>16</v>
      </c>
      <c r="I10444" s="18" t="s">
        <v>4293</v>
      </c>
      <c r="J10444" s="5" t="s">
        <v>47000</v>
      </c>
      <c r="K10444" s="5" t="s">
        <v>47001</v>
      </c>
      <c r="L10444" s="6"/>
      <c r="M10444" s="18" t="s">
        <v>29</v>
      </c>
      <c r="N10444" s="18" t="s">
        <v>47002</v>
      </c>
      <c r="O10444" s="18" t="s">
        <v>29</v>
      </c>
      <c r="P10444" s="18" t="s">
        <v>47003</v>
      </c>
      <c r="Q10444" s="6"/>
      <c r="R10444" s="6"/>
      <c r="S10444" s="6"/>
      <c r="T10444" s="6"/>
      <c r="U10444" s="6"/>
      <c r="V10444" s="8"/>
      <c r="W10444" s="8"/>
      <c r="X10444" s="8"/>
      <c r="Y10444" s="8"/>
    </row>
    <row r="10445" ht="14.25">
      <c r="B10445" s="18" t="s">
        <v>255</v>
      </c>
      <c r="C10445" s="18" t="s">
        <v>31872</v>
      </c>
      <c r="D10445" s="18" t="s">
        <v>172</v>
      </c>
      <c r="E10445" s="18" t="s">
        <v>47004</v>
      </c>
      <c r="F10445" s="18" t="str">
        <f>IFERROR(__XLUDF.DUMMYFUNCTION("PROPER(REGEXREPLACE(D357,""[^A-Za-z]+ "",""""))"),"Ets Renjoncour")</f>
        <v xml:space="preserve">Ets Renjoncour</v>
      </c>
      <c r="G10445" s="18" t="s">
        <v>47005</v>
      </c>
      <c r="H10445" s="18">
        <v>14</v>
      </c>
      <c r="I10445" s="18" t="s">
        <v>9239</v>
      </c>
      <c r="J10445" s="5" t="s">
        <v>47006</v>
      </c>
      <c r="K10445" s="5" t="s">
        <v>47007</v>
      </c>
      <c r="L10445" s="18" t="s">
        <v>47008</v>
      </c>
      <c r="M10445" s="18" t="s">
        <v>29</v>
      </c>
      <c r="N10445" s="18" t="s">
        <v>47009</v>
      </c>
      <c r="O10445" s="18" t="s">
        <v>29</v>
      </c>
      <c r="P10445" s="18" t="s">
        <v>47010</v>
      </c>
      <c r="Q10445" s="6"/>
      <c r="R10445" s="6"/>
      <c r="S10445" s="6"/>
      <c r="T10445" s="6"/>
      <c r="U10445" s="6"/>
      <c r="V10445" s="8"/>
      <c r="W10445" s="8"/>
      <c r="X10445" s="8"/>
      <c r="Y10445" s="8"/>
    </row>
    <row r="10446" ht="14.25">
      <c r="B10446" s="18" t="s">
        <v>9043</v>
      </c>
      <c r="C10446" s="18" t="s">
        <v>47011</v>
      </c>
      <c r="D10446" s="18" t="s">
        <v>172</v>
      </c>
      <c r="E10446" s="18" t="s">
        <v>47012</v>
      </c>
      <c r="F10446" s="18" t="str">
        <f>IFERROR(__XLUDF.DUMMYFUNCTION("PROPER(REGEXREPLACE(D358,""[^A-Za-z]+ "",""""))"),"Voxoa")</f>
        <v>Voxoa</v>
      </c>
      <c r="G10446" s="18" t="s">
        <v>47013</v>
      </c>
      <c r="H10446" s="18">
        <v>20</v>
      </c>
      <c r="I10446" s="18" t="s">
        <v>9239</v>
      </c>
      <c r="J10446" s="5" t="s">
        <v>47014</v>
      </c>
      <c r="K10446" s="5" t="s">
        <v>47015</v>
      </c>
      <c r="L10446" s="18" t="s">
        <v>185</v>
      </c>
      <c r="M10446" s="18" t="s">
        <v>29</v>
      </c>
      <c r="N10446" s="18" t="s">
        <v>47016</v>
      </c>
      <c r="O10446" s="18" t="s">
        <v>29</v>
      </c>
      <c r="P10446" s="6"/>
      <c r="Q10446" s="6"/>
      <c r="R10446" s="6"/>
      <c r="S10446" s="6"/>
      <c r="T10446" s="6"/>
      <c r="U10446" s="6"/>
      <c r="V10446" s="8"/>
      <c r="W10446" s="8"/>
      <c r="X10446" s="8"/>
      <c r="Y10446" s="8"/>
    </row>
    <row r="10447" ht="14.25">
      <c r="B10447" s="18" t="s">
        <v>4048</v>
      </c>
      <c r="C10447" s="18" t="s">
        <v>47017</v>
      </c>
      <c r="D10447" s="18" t="s">
        <v>164</v>
      </c>
      <c r="E10447" s="18" t="s">
        <v>47018</v>
      </c>
      <c r="F10447" s="18" t="str">
        <f>IFERROR(__XLUDF.DUMMYFUNCTION("PROPER(REGEXREPLACE(D359,""[^A-Za-z]+ "",""""))"),"Groupe Stoops")</f>
        <v xml:space="preserve">Groupe Stoops</v>
      </c>
      <c r="G10447" s="18" t="s">
        <v>47019</v>
      </c>
      <c r="H10447" s="18">
        <v>19</v>
      </c>
      <c r="I10447" s="18" t="s">
        <v>9239</v>
      </c>
      <c r="J10447" s="5" t="s">
        <v>47020</v>
      </c>
      <c r="K10447" s="5" t="s">
        <v>47021</v>
      </c>
      <c r="L10447" s="18" t="s">
        <v>47022</v>
      </c>
      <c r="M10447" s="18" t="s">
        <v>29</v>
      </c>
      <c r="N10447" s="18" t="s">
        <v>47023</v>
      </c>
      <c r="O10447" s="18" t="s">
        <v>29</v>
      </c>
      <c r="P10447" s="18" t="s">
        <v>47024</v>
      </c>
      <c r="Q10447" s="6"/>
      <c r="R10447" s="6"/>
      <c r="S10447" s="6"/>
      <c r="T10447" s="6"/>
      <c r="U10447" s="6"/>
      <c r="V10447" s="8"/>
      <c r="W10447" s="8"/>
      <c r="X10447" s="8"/>
      <c r="Y10447" s="8"/>
    </row>
    <row r="10448" ht="14.25">
      <c r="B10448" s="18" t="s">
        <v>1900</v>
      </c>
      <c r="C10448" s="18" t="s">
        <v>47025</v>
      </c>
      <c r="D10448" s="18" t="s">
        <v>164</v>
      </c>
      <c r="E10448" s="18" t="s">
        <v>47026</v>
      </c>
      <c r="F10448" s="18" t="str">
        <f>IFERROR(__XLUDF.DUMMYFUNCTION("PROPER(REGEXREPLACE(D360,""[^A-Za-z]+ "",""""))"),"Phd Déco")</f>
        <v xml:space="preserve">Phd Déco</v>
      </c>
      <c r="G10448" s="18" t="s">
        <v>47027</v>
      </c>
      <c r="H10448" s="18">
        <v>47</v>
      </c>
      <c r="I10448" s="18" t="s">
        <v>9239</v>
      </c>
      <c r="J10448" s="5" t="s">
        <v>47028</v>
      </c>
      <c r="K10448" s="5" t="s">
        <v>47029</v>
      </c>
      <c r="L10448" s="18" t="s">
        <v>39</v>
      </c>
      <c r="M10448" s="18" t="s">
        <v>29</v>
      </c>
      <c r="N10448" s="18" t="s">
        <v>47030</v>
      </c>
      <c r="O10448" s="18" t="s">
        <v>29</v>
      </c>
      <c r="P10448" s="6"/>
      <c r="Q10448" s="6"/>
      <c r="R10448" s="6"/>
      <c r="S10448" s="6"/>
      <c r="T10448" s="6"/>
      <c r="U10448" s="6"/>
      <c r="V10448" s="8"/>
      <c r="W10448" s="8"/>
      <c r="X10448" s="8"/>
      <c r="Y10448" s="8"/>
    </row>
    <row r="10449" ht="14.25">
      <c r="B10449" s="18" t="s">
        <v>7908</v>
      </c>
      <c r="C10449" s="18" t="s">
        <v>47031</v>
      </c>
      <c r="D10449" s="18" t="s">
        <v>426</v>
      </c>
      <c r="E10449" s="18" t="s">
        <v>47032</v>
      </c>
      <c r="F10449" s="18" t="str">
        <f>IFERROR(__XLUDF.DUMMYFUNCTION("PROPER(REGEXREPLACE(D361,""[^A-Za-z]+ "",""""))"),"So Ingenierie")</f>
        <v xml:space="preserve">So Ingenierie</v>
      </c>
      <c r="G10449" s="18" t="s">
        <v>47033</v>
      </c>
      <c r="H10449" s="18">
        <v>10</v>
      </c>
      <c r="I10449" s="18" t="s">
        <v>9239</v>
      </c>
      <c r="J10449" s="5" t="s">
        <v>47034</v>
      </c>
      <c r="K10449" s="5" t="s">
        <v>47035</v>
      </c>
      <c r="L10449" s="18" t="s">
        <v>286</v>
      </c>
      <c r="M10449" s="18" t="s">
        <v>29</v>
      </c>
      <c r="N10449" s="18" t="s">
        <v>47036</v>
      </c>
      <c r="O10449" s="18" t="s">
        <v>29</v>
      </c>
      <c r="P10449" s="18" t="s">
        <v>47037</v>
      </c>
      <c r="Q10449" s="6"/>
      <c r="R10449" s="6"/>
      <c r="S10449" s="6"/>
      <c r="T10449" s="6"/>
      <c r="U10449" s="6"/>
      <c r="V10449" s="8"/>
      <c r="W10449" s="8"/>
      <c r="X10449" s="8"/>
      <c r="Y10449" s="8"/>
    </row>
    <row r="10450" ht="14.25">
      <c r="B10450" s="18" t="s">
        <v>9922</v>
      </c>
      <c r="C10450" s="18" t="s">
        <v>1183</v>
      </c>
      <c r="D10450" s="18" t="s">
        <v>62</v>
      </c>
      <c r="E10450" s="18" t="s">
        <v>46982</v>
      </c>
      <c r="F10450" s="18" t="str">
        <f>IFERROR(__XLUDF.DUMMYFUNCTION("PROPER(REGEXREPLACE(D362,""[^A-Za-z]+ "",""""))"),"R-Use")</f>
        <v>R-Use</v>
      </c>
      <c r="G10450" s="18" t="s">
        <v>47038</v>
      </c>
      <c r="H10450" s="18">
        <v>9</v>
      </c>
      <c r="I10450" s="18" t="s">
        <v>9239</v>
      </c>
      <c r="J10450" s="5" t="s">
        <v>47039</v>
      </c>
      <c r="K10450" s="5" t="s">
        <v>46985</v>
      </c>
      <c r="L10450" s="18" t="s">
        <v>243</v>
      </c>
      <c r="M10450" s="18" t="s">
        <v>29</v>
      </c>
      <c r="N10450" s="18" t="s">
        <v>67</v>
      </c>
      <c r="O10450" s="18" t="s">
        <v>29</v>
      </c>
      <c r="P10450" s="18" t="s">
        <v>46986</v>
      </c>
      <c r="Q10450" s="6"/>
      <c r="R10450" s="6"/>
      <c r="S10450" s="6"/>
      <c r="T10450" s="6"/>
      <c r="U10450" s="6"/>
      <c r="V10450" s="8"/>
      <c r="W10450" s="8"/>
      <c r="X10450" s="8"/>
      <c r="Y10450" s="8"/>
    </row>
    <row r="10451" ht="14.25">
      <c r="B10451" s="18" t="s">
        <v>1153</v>
      </c>
      <c r="C10451" s="18" t="s">
        <v>47040</v>
      </c>
      <c r="D10451" s="18" t="s">
        <v>172</v>
      </c>
      <c r="E10451" s="18" t="s">
        <v>45516</v>
      </c>
      <c r="F10451" s="18" t="str">
        <f>IFERROR(__XLUDF.DUMMYFUNCTION("PROPER(REGEXREPLACE(D363,""[^A-Za-z]+ "",""""))"),"Sv Miroiterie")</f>
        <v xml:space="preserve">Sv Miroiterie</v>
      </c>
      <c r="G10451" s="18" t="s">
        <v>47041</v>
      </c>
      <c r="H10451" s="18">
        <v>29</v>
      </c>
      <c r="I10451" s="18" t="s">
        <v>9239</v>
      </c>
      <c r="J10451" s="5" t="s">
        <v>47042</v>
      </c>
      <c r="K10451" s="5" t="s">
        <v>45519</v>
      </c>
      <c r="L10451" s="18" t="s">
        <v>6954</v>
      </c>
      <c r="M10451" s="18" t="s">
        <v>29</v>
      </c>
      <c r="N10451" s="18" t="s">
        <v>45520</v>
      </c>
      <c r="O10451" s="18" t="s">
        <v>29</v>
      </c>
      <c r="P10451" s="6"/>
      <c r="Q10451" s="6"/>
      <c r="R10451" s="6"/>
      <c r="S10451" s="6"/>
      <c r="T10451" s="6"/>
      <c r="U10451" s="6"/>
      <c r="V10451" s="8"/>
      <c r="W10451" s="8"/>
      <c r="X10451" s="8"/>
      <c r="Y10451" s="8"/>
    </row>
    <row r="10452" ht="14.25">
      <c r="B10452" s="18" t="s">
        <v>2299</v>
      </c>
      <c r="C10452" s="18" t="s">
        <v>47043</v>
      </c>
      <c r="D10452" s="18" t="s">
        <v>172</v>
      </c>
      <c r="E10452" s="18" t="s">
        <v>47044</v>
      </c>
      <c r="F10452" s="18" t="str">
        <f>IFERROR(__XLUDF.DUMMYFUNCTION("PROPER(REGEXREPLACE(D364,""[^A-Za-z]+ "",""""))"),"Ischebeck France")</f>
        <v xml:space="preserve">Ischebeck France</v>
      </c>
      <c r="G10452" s="18" t="s">
        <v>47045</v>
      </c>
      <c r="H10452" s="18">
        <v>11</v>
      </c>
      <c r="I10452" s="18" t="s">
        <v>9239</v>
      </c>
      <c r="J10452" s="5" t="s">
        <v>47046</v>
      </c>
      <c r="K10452" s="5" t="s">
        <v>47047</v>
      </c>
      <c r="L10452" s="18" t="s">
        <v>2734</v>
      </c>
      <c r="M10452" s="18" t="s">
        <v>29</v>
      </c>
      <c r="N10452" s="18" t="s">
        <v>47048</v>
      </c>
      <c r="O10452" s="18" t="s">
        <v>29</v>
      </c>
      <c r="P10452" s="18" t="s">
        <v>47049</v>
      </c>
      <c r="Q10452" s="6"/>
      <c r="R10452" s="6"/>
      <c r="S10452" s="6"/>
      <c r="T10452" s="6"/>
      <c r="U10452" s="6"/>
      <c r="V10452" s="8"/>
      <c r="W10452" s="8"/>
      <c r="X10452" s="8"/>
      <c r="Y10452" s="8"/>
    </row>
    <row r="10453" ht="14.25">
      <c r="B10453" s="18" t="s">
        <v>47050</v>
      </c>
      <c r="C10453" s="18" t="s">
        <v>47051</v>
      </c>
      <c r="D10453" s="18" t="s">
        <v>164</v>
      </c>
      <c r="E10453" s="18" t="s">
        <v>47052</v>
      </c>
      <c r="F10453" s="18" t="str">
        <f>IFERROR(__XLUDF.DUMMYFUNCTION("PROPER(REGEXREPLACE(D365,""[^A-Za-z]+ "",""""))"),"Työ")</f>
        <v>Työ</v>
      </c>
      <c r="G10453" s="18" t="s">
        <v>47053</v>
      </c>
      <c r="H10453" s="18">
        <v>29</v>
      </c>
      <c r="I10453" s="18" t="s">
        <v>9239</v>
      </c>
      <c r="J10453" s="5" t="s">
        <v>47054</v>
      </c>
      <c r="K10453" s="5" t="s">
        <v>47055</v>
      </c>
      <c r="L10453" s="18" t="s">
        <v>651</v>
      </c>
      <c r="M10453" s="18" t="s">
        <v>29</v>
      </c>
      <c r="N10453" s="18" t="s">
        <v>47056</v>
      </c>
      <c r="O10453" s="18" t="s">
        <v>29</v>
      </c>
      <c r="P10453" s="6"/>
      <c r="Q10453" s="6"/>
      <c r="R10453" s="6"/>
      <c r="S10453" s="6"/>
      <c r="T10453" s="6"/>
      <c r="U10453" s="6"/>
      <c r="V10453" s="8"/>
      <c r="W10453" s="8"/>
      <c r="X10453" s="8"/>
      <c r="Y10453" s="8"/>
    </row>
    <row r="10454" ht="14.25">
      <c r="B10454" s="18" t="s">
        <v>1592</v>
      </c>
      <c r="C10454" s="18" t="s">
        <v>47057</v>
      </c>
      <c r="D10454" s="18" t="s">
        <v>172</v>
      </c>
      <c r="E10454" s="18" t="s">
        <v>47058</v>
      </c>
      <c r="F10454" s="18" t="str">
        <f>IFERROR(__XLUDF.DUMMYFUNCTION("PROPER(REGEXREPLACE(D366,""[^A-Za-z]+ "",""""))"),"Bigmat Spielmann")</f>
        <v xml:space="preserve">Bigmat Spielmann</v>
      </c>
      <c r="G10454" s="18" t="s">
        <v>47059</v>
      </c>
      <c r="H10454" s="18">
        <v>34</v>
      </c>
      <c r="I10454" s="18" t="s">
        <v>9239</v>
      </c>
      <c r="J10454" s="5" t="s">
        <v>47060</v>
      </c>
      <c r="K10454" s="5" t="s">
        <v>47061</v>
      </c>
      <c r="L10454" s="18" t="s">
        <v>651</v>
      </c>
      <c r="M10454" s="18" t="s">
        <v>29</v>
      </c>
      <c r="N10454" s="18" t="s">
        <v>47062</v>
      </c>
      <c r="O10454" s="18" t="s">
        <v>29</v>
      </c>
      <c r="P10454" s="6"/>
      <c r="Q10454" s="6"/>
      <c r="R10454" s="6"/>
      <c r="S10454" s="6"/>
      <c r="T10454" s="6"/>
      <c r="U10454" s="6"/>
      <c r="V10454" s="8"/>
      <c r="W10454" s="8"/>
      <c r="X10454" s="8"/>
      <c r="Y10454" s="8"/>
    </row>
    <row r="10455" ht="14.25">
      <c r="B10455" s="18" t="s">
        <v>1215</v>
      </c>
      <c r="C10455" s="18" t="s">
        <v>47063</v>
      </c>
      <c r="D10455" s="18" t="s">
        <v>172</v>
      </c>
      <c r="E10455" s="18" t="s">
        <v>47064</v>
      </c>
      <c r="F10455" s="18" t="str">
        <f>IFERROR(__XLUDF.DUMMYFUNCTION("PROPER(REGEXREPLACE(D367,""[^A-Za-z]+ "",""""))"),"Merceron Tp")</f>
        <v xml:space="preserve">Merceron Tp</v>
      </c>
      <c r="G10455" s="18" t="s">
        <v>47065</v>
      </c>
      <c r="H10455" s="18">
        <v>48</v>
      </c>
      <c r="I10455" s="18" t="s">
        <v>9239</v>
      </c>
      <c r="J10455" s="5" t="s">
        <v>47066</v>
      </c>
      <c r="K10455" s="5" t="s">
        <v>47067</v>
      </c>
      <c r="L10455" s="18" t="s">
        <v>39</v>
      </c>
      <c r="M10455" s="18" t="s">
        <v>29</v>
      </c>
      <c r="N10455" s="18" t="s">
        <v>47068</v>
      </c>
      <c r="O10455" s="18" t="s">
        <v>29</v>
      </c>
      <c r="P10455" s="6"/>
      <c r="Q10455" s="6"/>
      <c r="R10455" s="6"/>
      <c r="S10455" s="6"/>
      <c r="T10455" s="6"/>
      <c r="U10455" s="6"/>
      <c r="V10455" s="8"/>
      <c r="W10455" s="8"/>
      <c r="X10455" s="8"/>
      <c r="Y10455" s="8"/>
    </row>
    <row r="10456" ht="14.25">
      <c r="B10456" s="18" t="s">
        <v>222</v>
      </c>
      <c r="C10456" s="18" t="s">
        <v>11585</v>
      </c>
      <c r="D10456" s="18" t="s">
        <v>172</v>
      </c>
      <c r="E10456" s="18" t="s">
        <v>47069</v>
      </c>
      <c r="F10456" s="18" t="str">
        <f>IFERROR(__XLUDF.DUMMYFUNCTION("PROPER(REGEXREPLACE(D368,""[^A-Za-z]+ "",""""))"),"Epc Travaux")</f>
        <v xml:space="preserve">Epc Travaux</v>
      </c>
      <c r="G10456" s="18" t="s">
        <v>47070</v>
      </c>
      <c r="H10456" s="18">
        <v>7</v>
      </c>
      <c r="I10456" s="18" t="s">
        <v>9239</v>
      </c>
      <c r="J10456" s="5" t="s">
        <v>47071</v>
      </c>
      <c r="K10456" s="5" t="s">
        <v>47072</v>
      </c>
      <c r="L10456" s="18" t="s">
        <v>42788</v>
      </c>
      <c r="M10456" s="18" t="s">
        <v>29</v>
      </c>
      <c r="N10456" s="18" t="s">
        <v>47073</v>
      </c>
      <c r="O10456" s="18" t="s">
        <v>29</v>
      </c>
      <c r="P10456" s="18" t="s">
        <v>47074</v>
      </c>
      <c r="Q10456" s="6"/>
      <c r="R10456" s="6"/>
      <c r="S10456" s="6"/>
      <c r="T10456" s="6"/>
      <c r="U10456" s="6"/>
      <c r="V10456" s="8"/>
      <c r="W10456" s="8"/>
      <c r="X10456" s="8"/>
      <c r="Y10456" s="8"/>
    </row>
    <row r="10457" ht="14.25">
      <c r="B10457" s="18" t="s">
        <v>13010</v>
      </c>
      <c r="C10457" s="18" t="s">
        <v>47075</v>
      </c>
      <c r="D10457" s="18" t="s">
        <v>172</v>
      </c>
      <c r="E10457" s="18" t="s">
        <v>47076</v>
      </c>
      <c r="F10457" s="18" t="str">
        <f>IFERROR(__XLUDF.DUMMYFUNCTION("PROPER(REGEXREPLACE(D369,""[^A-Za-z]+ "",""""))"),"Socodip")</f>
        <v>Socodip</v>
      </c>
      <c r="G10457" s="18" t="s">
        <v>47077</v>
      </c>
      <c r="H10457" s="18">
        <v>17</v>
      </c>
      <c r="I10457" s="18" t="s">
        <v>9239</v>
      </c>
      <c r="J10457" s="5" t="s">
        <v>47078</v>
      </c>
      <c r="K10457" s="5" t="s">
        <v>47079</v>
      </c>
      <c r="L10457" s="18" t="s">
        <v>47080</v>
      </c>
      <c r="M10457" s="18" t="s">
        <v>29</v>
      </c>
      <c r="N10457" s="18" t="s">
        <v>47081</v>
      </c>
      <c r="O10457" s="18" t="s">
        <v>29</v>
      </c>
      <c r="P10457" s="18" t="s">
        <v>47082</v>
      </c>
      <c r="Q10457" s="6"/>
      <c r="R10457" s="6"/>
      <c r="S10457" s="6"/>
      <c r="T10457" s="6"/>
      <c r="U10457" s="6"/>
      <c r="V10457" s="8"/>
      <c r="W10457" s="8"/>
      <c r="X10457" s="8"/>
      <c r="Y10457" s="8"/>
    </row>
    <row r="10458" ht="14.25">
      <c r="B10458" s="18" t="s">
        <v>1070</v>
      </c>
      <c r="C10458" s="18" t="s">
        <v>47083</v>
      </c>
      <c r="D10458" s="18" t="s">
        <v>172</v>
      </c>
      <c r="E10458" s="18" t="s">
        <v>47084</v>
      </c>
      <c r="F10458" s="18" t="str">
        <f>IFERROR(__XLUDF.DUMMYFUNCTION("PROPER(REGEXREPLACE(D370,""[^A-Za-z]+ "",""""))"),"Dwelling")</f>
        <v>Dwelling</v>
      </c>
      <c r="G10458" s="18" t="s">
        <v>47085</v>
      </c>
      <c r="H10458" s="18">
        <v>18</v>
      </c>
      <c r="I10458" s="18" t="s">
        <v>9239</v>
      </c>
      <c r="J10458" s="5" t="s">
        <v>47086</v>
      </c>
      <c r="K10458" s="5" t="s">
        <v>47087</v>
      </c>
      <c r="L10458" s="6"/>
      <c r="M10458" s="18" t="s">
        <v>29</v>
      </c>
      <c r="N10458" s="18" t="s">
        <v>47088</v>
      </c>
      <c r="O10458" s="18" t="s">
        <v>2953</v>
      </c>
      <c r="P10458" s="6"/>
      <c r="Q10458" s="6"/>
      <c r="R10458" s="6"/>
      <c r="S10458" s="6"/>
      <c r="T10458" s="6"/>
      <c r="U10458" s="6"/>
      <c r="V10458" s="8"/>
      <c r="W10458" s="8"/>
      <c r="X10458" s="8"/>
      <c r="Y10458" s="8"/>
    </row>
    <row r="10459" ht="14.25">
      <c r="B10459" s="18" t="s">
        <v>76</v>
      </c>
      <c r="C10459" s="18" t="s">
        <v>22040</v>
      </c>
      <c r="D10459" s="18" t="s">
        <v>172</v>
      </c>
      <c r="E10459" s="18" t="s">
        <v>22041</v>
      </c>
      <c r="F10459" s="18" t="str">
        <f>IFERROR(__XLUDF.DUMMYFUNCTION("PROPER(REGEXREPLACE(D371,""[^A-Za-z]+ "",""""))"),"Semexval-Splm")</f>
        <v>Semexval-Splm</v>
      </c>
      <c r="G10459" s="18" t="s">
        <v>22042</v>
      </c>
      <c r="H10459" s="18">
        <v>16</v>
      </c>
      <c r="I10459" s="18" t="s">
        <v>4293</v>
      </c>
      <c r="J10459" s="5" t="s">
        <v>22043</v>
      </c>
      <c r="K10459" s="5" t="s">
        <v>22044</v>
      </c>
      <c r="L10459" s="18" t="s">
        <v>22045</v>
      </c>
      <c r="M10459" s="18" t="s">
        <v>29</v>
      </c>
      <c r="N10459" s="18" t="s">
        <v>22046</v>
      </c>
      <c r="O10459" s="18" t="s">
        <v>29</v>
      </c>
      <c r="P10459" s="18" t="s">
        <v>47089</v>
      </c>
      <c r="Q10459" s="6"/>
      <c r="R10459" s="6"/>
      <c r="S10459" s="6"/>
      <c r="T10459" s="6"/>
      <c r="U10459" s="6"/>
      <c r="V10459" s="8"/>
      <c r="W10459" s="8"/>
      <c r="X10459" s="8"/>
      <c r="Y10459" s="8"/>
    </row>
    <row r="10460" ht="14.25">
      <c r="B10460" s="18" t="s">
        <v>47090</v>
      </c>
      <c r="C10460" s="18" t="s">
        <v>47091</v>
      </c>
      <c r="D10460" s="18" t="s">
        <v>172</v>
      </c>
      <c r="E10460" s="18" t="s">
        <v>47092</v>
      </c>
      <c r="F10460" s="18" t="str">
        <f>IFERROR(__XLUDF.DUMMYFUNCTION("PROPER(REGEXREPLACE(D372,""[^A-Za-z]+ "",""""))"),"Archi-Bat")</f>
        <v>Archi-Bat</v>
      </c>
      <c r="G10460" s="18" t="s">
        <v>47093</v>
      </c>
      <c r="H10460" s="18">
        <v>11</v>
      </c>
      <c r="I10460" s="18" t="s">
        <v>9239</v>
      </c>
      <c r="J10460" s="5" t="s">
        <v>47094</v>
      </c>
      <c r="K10460" s="5" t="s">
        <v>47095</v>
      </c>
      <c r="L10460" s="18" t="s">
        <v>39</v>
      </c>
      <c r="M10460" s="18" t="s">
        <v>29</v>
      </c>
      <c r="N10460" s="18" t="s">
        <v>47096</v>
      </c>
      <c r="O10460" s="18" t="s">
        <v>29</v>
      </c>
      <c r="P10460" s="18" t="s">
        <v>47097</v>
      </c>
      <c r="Q10460" s="6"/>
      <c r="R10460" s="6"/>
      <c r="S10460" s="6"/>
      <c r="T10460" s="6"/>
      <c r="U10460" s="6"/>
      <c r="V10460" s="8"/>
      <c r="W10460" s="8"/>
      <c r="X10460" s="8"/>
      <c r="Y10460" s="8"/>
    </row>
    <row r="10461" ht="14.25">
      <c r="B10461" s="18" t="s">
        <v>710</v>
      </c>
      <c r="C10461" s="18" t="s">
        <v>1520</v>
      </c>
      <c r="D10461" s="18" t="s">
        <v>172</v>
      </c>
      <c r="E10461" s="18" t="s">
        <v>47098</v>
      </c>
      <c r="F10461" s="18" t="str">
        <f>IFERROR(__XLUDF.DUMMYFUNCTION("PROPER(REGEXREPLACE(D373,""[^A-Za-z]+ "",""""))"),"La Charpente Thouarsaise")</f>
        <v xml:space="preserve">La Charpente Thouarsaise</v>
      </c>
      <c r="G10461" s="18" t="s">
        <v>47099</v>
      </c>
      <c r="H10461" s="18">
        <v>21</v>
      </c>
      <c r="I10461" s="18" t="s">
        <v>9239</v>
      </c>
      <c r="J10461" s="5" t="s">
        <v>47100</v>
      </c>
      <c r="K10461" s="5" t="s">
        <v>47101</v>
      </c>
      <c r="L10461" s="18" t="s">
        <v>1312</v>
      </c>
      <c r="M10461" s="18" t="s">
        <v>29</v>
      </c>
      <c r="N10461" s="18" t="s">
        <v>47102</v>
      </c>
      <c r="O10461" s="18" t="s">
        <v>29</v>
      </c>
      <c r="P10461" s="18" t="s">
        <v>47103</v>
      </c>
      <c r="Q10461" s="6"/>
      <c r="R10461" s="6"/>
      <c r="S10461" s="6"/>
      <c r="T10461" s="6"/>
      <c r="U10461" s="6"/>
      <c r="V10461" s="8"/>
      <c r="W10461" s="8"/>
      <c r="X10461" s="8"/>
      <c r="Y10461" s="8"/>
    </row>
    <row r="10462" ht="14.25">
      <c r="B10462" s="18" t="s">
        <v>866</v>
      </c>
      <c r="C10462" s="18" t="s">
        <v>4132</v>
      </c>
      <c r="D10462" s="18" t="s">
        <v>426</v>
      </c>
      <c r="E10462" s="18" t="s">
        <v>47104</v>
      </c>
      <c r="F10462" s="18" t="str">
        <f>IFERROR(__XLUDF.DUMMYFUNCTION("PROPER(REGEXREPLACE(D374,""[^A-Za-z]+ "",""""))"),"Alprofer")</f>
        <v>Alprofer</v>
      </c>
      <c r="G10462" s="18" t="s">
        <v>47105</v>
      </c>
      <c r="H10462" s="18">
        <v>33</v>
      </c>
      <c r="I10462" s="18" t="s">
        <v>9239</v>
      </c>
      <c r="J10462" s="5" t="s">
        <v>47106</v>
      </c>
      <c r="K10462" s="5" t="s">
        <v>47107</v>
      </c>
      <c r="L10462" s="18" t="s">
        <v>19125</v>
      </c>
      <c r="M10462" s="18" t="s">
        <v>29</v>
      </c>
      <c r="N10462" s="18" t="s">
        <v>47108</v>
      </c>
      <c r="O10462" s="18" t="s">
        <v>29</v>
      </c>
      <c r="P10462" s="18" t="s">
        <v>47109</v>
      </c>
      <c r="Q10462" s="6"/>
      <c r="R10462" s="6"/>
      <c r="S10462" s="6"/>
      <c r="T10462" s="6"/>
      <c r="U10462" s="6"/>
      <c r="V10462" s="8"/>
      <c r="W10462" s="8"/>
      <c r="X10462" s="8"/>
      <c r="Y10462" s="8"/>
    </row>
    <row r="10463" ht="14.25">
      <c r="B10463" s="18" t="s">
        <v>1583</v>
      </c>
      <c r="C10463" s="18" t="s">
        <v>47110</v>
      </c>
      <c r="D10463" s="18" t="s">
        <v>7155</v>
      </c>
      <c r="E10463" s="18" t="s">
        <v>47111</v>
      </c>
      <c r="F10463" s="18" t="str">
        <f>IFERROR(__XLUDF.DUMMYFUNCTION("PROPER(REGEXREPLACE(D375,""[^A-Za-z]+ "",""""))"),"Rmc Equipements")</f>
        <v xml:space="preserve">Rmc Equipements</v>
      </c>
      <c r="G10463" s="18" t="s">
        <v>47112</v>
      </c>
      <c r="H10463" s="18">
        <v>8</v>
      </c>
      <c r="I10463" s="18" t="s">
        <v>9239</v>
      </c>
      <c r="J10463" s="5" t="s">
        <v>47113</v>
      </c>
      <c r="K10463" s="5" t="s">
        <v>47114</v>
      </c>
      <c r="L10463" s="18" t="s">
        <v>47115</v>
      </c>
      <c r="M10463" s="18" t="s">
        <v>29</v>
      </c>
      <c r="N10463" s="18" t="s">
        <v>47116</v>
      </c>
      <c r="O10463" s="18" t="s">
        <v>29</v>
      </c>
      <c r="P10463" s="18" t="s">
        <v>47117</v>
      </c>
      <c r="Q10463" s="6"/>
      <c r="R10463" s="6"/>
      <c r="S10463" s="6"/>
      <c r="T10463" s="6"/>
      <c r="U10463" s="6"/>
      <c r="V10463" s="8"/>
      <c r="W10463" s="8"/>
      <c r="X10463" s="8"/>
      <c r="Y10463" s="8"/>
    </row>
    <row r="10464" ht="14.25">
      <c r="B10464" s="18" t="s">
        <v>12387</v>
      </c>
      <c r="C10464" s="18" t="s">
        <v>47118</v>
      </c>
      <c r="D10464" s="18" t="s">
        <v>487</v>
      </c>
      <c r="E10464" s="18" t="s">
        <v>47119</v>
      </c>
      <c r="F10464" s="18" t="str">
        <f>IFERROR(__XLUDF.DUMMYFUNCTION("PROPER(REGEXREPLACE(D376,""[^A-Za-z]+ "",""""))"),"Haret Déco")</f>
        <v xml:space="preserve">Haret Déco</v>
      </c>
      <c r="G10464" s="18" t="s">
        <v>47120</v>
      </c>
      <c r="H10464" s="18">
        <v>19</v>
      </c>
      <c r="I10464" s="18" t="s">
        <v>9239</v>
      </c>
      <c r="J10464" s="5" t="s">
        <v>47121</v>
      </c>
      <c r="K10464" s="5" t="s">
        <v>47122</v>
      </c>
      <c r="L10464" s="18" t="s">
        <v>6954</v>
      </c>
      <c r="M10464" s="18" t="s">
        <v>29</v>
      </c>
      <c r="N10464" s="18" t="s">
        <v>47123</v>
      </c>
      <c r="O10464" s="18" t="s">
        <v>29</v>
      </c>
      <c r="P10464" s="18" t="s">
        <v>47124</v>
      </c>
      <c r="Q10464" s="6"/>
      <c r="R10464" s="6"/>
      <c r="S10464" s="6"/>
      <c r="T10464" s="6"/>
      <c r="U10464" s="6"/>
      <c r="V10464" s="8"/>
      <c r="W10464" s="8"/>
      <c r="X10464" s="8"/>
      <c r="Y10464" s="8"/>
    </row>
    <row r="10465" ht="14.25">
      <c r="B10465" s="18" t="s">
        <v>2258</v>
      </c>
      <c r="C10465" s="18" t="s">
        <v>17663</v>
      </c>
      <c r="D10465" s="18" t="s">
        <v>172</v>
      </c>
      <c r="E10465" s="18" t="s">
        <v>47125</v>
      </c>
      <c r="F10465" s="18" t="str">
        <f>IFERROR(__XLUDF.DUMMYFUNCTION("PROPER(REGEXREPLACE(D377,""[^A-Za-z]+ "",""""))"),"Altia Constructions")</f>
        <v xml:space="preserve">Altia Constructions</v>
      </c>
      <c r="G10465" s="18" t="s">
        <v>47126</v>
      </c>
      <c r="H10465" s="18">
        <v>5</v>
      </c>
      <c r="I10465" s="18" t="s">
        <v>9239</v>
      </c>
      <c r="J10465" s="5" t="s">
        <v>47127</v>
      </c>
      <c r="K10465" s="5" t="s">
        <v>47128</v>
      </c>
      <c r="L10465" s="18" t="s">
        <v>47129</v>
      </c>
      <c r="M10465" s="18" t="s">
        <v>29</v>
      </c>
      <c r="N10465" s="18" t="s">
        <v>47130</v>
      </c>
      <c r="O10465" s="18" t="s">
        <v>29</v>
      </c>
      <c r="P10465" s="6"/>
      <c r="Q10465" s="6"/>
      <c r="R10465" s="6"/>
      <c r="S10465" s="6"/>
      <c r="T10465" s="6"/>
      <c r="U10465" s="6"/>
      <c r="V10465" s="8"/>
      <c r="W10465" s="8"/>
      <c r="X10465" s="8"/>
      <c r="Y10465" s="8"/>
    </row>
    <row r="10466" ht="14.25">
      <c r="B10466" s="18" t="s">
        <v>38458</v>
      </c>
      <c r="C10466" s="18" t="s">
        <v>21365</v>
      </c>
      <c r="D10466" s="18" t="s">
        <v>44</v>
      </c>
      <c r="E10466" s="18" t="s">
        <v>47131</v>
      </c>
      <c r="F10466" s="18" t="str">
        <f>IFERROR(__XLUDF.DUMMYFUNCTION("PROPER(REGEXREPLACE(D378,""[^A-Za-z]+ "",""""))"),"Réseau Chantier")</f>
        <v xml:space="preserve">Réseau Chantier</v>
      </c>
      <c r="G10466" s="18" t="s">
        <v>47132</v>
      </c>
      <c r="H10466" s="18">
        <v>1</v>
      </c>
      <c r="I10466" s="18" t="s">
        <v>10167</v>
      </c>
      <c r="J10466" s="5" t="s">
        <v>47133</v>
      </c>
      <c r="K10466" s="5" t="s">
        <v>47134</v>
      </c>
      <c r="L10466" s="6"/>
      <c r="M10466" s="18" t="s">
        <v>29</v>
      </c>
      <c r="N10466" s="18" t="s">
        <v>47135</v>
      </c>
      <c r="O10466" s="18" t="s">
        <v>29</v>
      </c>
      <c r="P10466" s="6"/>
      <c r="Q10466" s="6"/>
      <c r="R10466" s="6"/>
      <c r="S10466" s="6"/>
      <c r="T10466" s="6"/>
      <c r="U10466" s="6"/>
      <c r="V10466" s="8"/>
      <c r="W10466" s="8"/>
      <c r="X10466" s="8"/>
      <c r="Y10466" s="8"/>
    </row>
    <row r="10467" ht="14.25">
      <c r="B10467" s="18" t="s">
        <v>47136</v>
      </c>
      <c r="C10467" s="18" t="s">
        <v>47137</v>
      </c>
      <c r="D10467" s="18" t="s">
        <v>426</v>
      </c>
      <c r="E10467" s="18" t="s">
        <v>47138</v>
      </c>
      <c r="F10467" s="18" t="str">
        <f>IFERROR(__XLUDF.DUMMYFUNCTION("PROPER(REGEXREPLACE(D379,""[^A-Za-z]+ "",""""))"),"Cilg Construction")</f>
        <v xml:space="preserve">Cilg Construction</v>
      </c>
      <c r="G10467" s="18" t="s">
        <v>47139</v>
      </c>
      <c r="H10467" s="18">
        <v>0</v>
      </c>
      <c r="I10467" s="18" t="s">
        <v>9239</v>
      </c>
      <c r="J10467" s="5" t="s">
        <v>47140</v>
      </c>
      <c r="K10467" s="5" t="s">
        <v>47141</v>
      </c>
      <c r="L10467" s="18" t="s">
        <v>47142</v>
      </c>
      <c r="M10467" s="18" t="s">
        <v>29</v>
      </c>
      <c r="N10467" s="18" t="s">
        <v>47143</v>
      </c>
      <c r="O10467" s="18" t="s">
        <v>29</v>
      </c>
      <c r="P10467" s="6"/>
      <c r="Q10467" s="6"/>
      <c r="R10467" s="6"/>
      <c r="S10467" s="6"/>
      <c r="T10467" s="6"/>
      <c r="U10467" s="6"/>
      <c r="V10467" s="8"/>
      <c r="W10467" s="8"/>
      <c r="X10467" s="8"/>
      <c r="Y10467" s="8"/>
    </row>
    <row r="10468" ht="14.25">
      <c r="B10468" s="18" t="s">
        <v>47144</v>
      </c>
      <c r="C10468" s="18" t="s">
        <v>47145</v>
      </c>
      <c r="D10468" s="18" t="s">
        <v>47146</v>
      </c>
      <c r="E10468" s="18" t="s">
        <v>45203</v>
      </c>
      <c r="F10468" s="18" t="str">
        <f>IFERROR(__XLUDF.DUMMYFUNCTION("PROPER(REGEXREPLACE(D380,""[^A-Za-z]+ "",""""))"),"Bbbuild")</f>
        <v>Bbbuild</v>
      </c>
      <c r="G10468" s="18" t="s">
        <v>47147</v>
      </c>
      <c r="H10468" s="18">
        <v>2</v>
      </c>
      <c r="I10468" s="18" t="s">
        <v>9239</v>
      </c>
      <c r="J10468" s="5" t="s">
        <v>47148</v>
      </c>
      <c r="K10468" s="5" t="s">
        <v>45206</v>
      </c>
      <c r="L10468" s="18" t="s">
        <v>39</v>
      </c>
      <c r="M10468" s="18" t="s">
        <v>29</v>
      </c>
      <c r="N10468" s="18" t="s">
        <v>19317</v>
      </c>
      <c r="O10468" s="18" t="s">
        <v>29</v>
      </c>
      <c r="P10468" s="6"/>
      <c r="Q10468" s="6"/>
      <c r="R10468" s="6"/>
      <c r="S10468" s="6"/>
      <c r="T10468" s="6"/>
      <c r="U10468" s="6"/>
      <c r="V10468" s="8"/>
      <c r="W10468" s="8"/>
      <c r="X10468" s="8"/>
      <c r="Y10468" s="8"/>
    </row>
    <row r="10469" ht="14.25">
      <c r="B10469" s="18" t="s">
        <v>1596</v>
      </c>
      <c r="C10469" s="18" t="s">
        <v>47149</v>
      </c>
      <c r="D10469" s="18" t="s">
        <v>47150</v>
      </c>
      <c r="E10469" s="18" t="s">
        <v>47151</v>
      </c>
      <c r="F10469" s="18" t="str">
        <f>IFERROR(__XLUDF.DUMMYFUNCTION("PROPER(REGEXREPLACE(D381,""[^A-Za-z]+ "",""""))"),"Techgroup")</f>
        <v>Techgroup</v>
      </c>
      <c r="G10469" s="18" t="s">
        <v>47152</v>
      </c>
      <c r="H10469" s="18">
        <v>21</v>
      </c>
      <c r="I10469" s="18" t="s">
        <v>9239</v>
      </c>
      <c r="J10469" s="5" t="s">
        <v>47153</v>
      </c>
      <c r="K10469" s="5" t="s">
        <v>47154</v>
      </c>
      <c r="L10469" s="6"/>
      <c r="M10469" s="18" t="s">
        <v>29</v>
      </c>
      <c r="N10469" s="18" t="s">
        <v>47155</v>
      </c>
      <c r="O10469" s="18" t="s">
        <v>29</v>
      </c>
      <c r="P10469" s="6"/>
      <c r="Q10469" s="6"/>
      <c r="R10469" s="6"/>
      <c r="S10469" s="6"/>
      <c r="T10469" s="6"/>
      <c r="U10469" s="6"/>
      <c r="V10469" s="8"/>
      <c r="W10469" s="8"/>
      <c r="X10469" s="8"/>
      <c r="Y10469" s="8"/>
    </row>
    <row r="10470" ht="14.25">
      <c r="B10470" s="18" t="s">
        <v>95</v>
      </c>
      <c r="C10470" s="18" t="s">
        <v>47156</v>
      </c>
      <c r="D10470" s="18" t="s">
        <v>20181</v>
      </c>
      <c r="E10470" s="18" t="s">
        <v>47157</v>
      </c>
      <c r="F10470" s="18" t="str">
        <f>IFERROR(__XLUDF.DUMMYFUNCTION("PROPER(REGEXREPLACE(D382,""[^A-Za-z]+ "",""""))"),"Rpi")</f>
        <v>Rpi</v>
      </c>
      <c r="G10470" s="18" t="s">
        <v>47158</v>
      </c>
      <c r="H10470" s="18">
        <v>37</v>
      </c>
      <c r="I10470" s="18" t="s">
        <v>9239</v>
      </c>
      <c r="J10470" s="5" t="s">
        <v>47159</v>
      </c>
      <c r="K10470" s="5" t="s">
        <v>47160</v>
      </c>
      <c r="L10470" s="18" t="s">
        <v>243</v>
      </c>
      <c r="M10470" s="18" t="s">
        <v>29</v>
      </c>
      <c r="N10470" s="18" t="s">
        <v>47161</v>
      </c>
      <c r="O10470" s="18" t="s">
        <v>29</v>
      </c>
      <c r="P10470" s="18" t="s">
        <v>47162</v>
      </c>
      <c r="Q10470" s="6"/>
      <c r="R10470" s="6"/>
      <c r="S10470" s="6"/>
      <c r="T10470" s="6"/>
      <c r="U10470" s="6"/>
      <c r="V10470" s="8"/>
      <c r="W10470" s="8"/>
      <c r="X10470" s="8"/>
      <c r="Y10470" s="8"/>
    </row>
    <row r="10471" ht="14.25">
      <c r="B10471" s="18" t="s">
        <v>47163</v>
      </c>
      <c r="C10471" s="18" t="s">
        <v>4086</v>
      </c>
      <c r="D10471" s="18" t="s">
        <v>112</v>
      </c>
      <c r="E10471" s="18" t="s">
        <v>47164</v>
      </c>
      <c r="F10471" s="18" t="str">
        <f>IFERROR(__XLUDF.DUMMYFUNCTION("PROPER(REGEXREPLACE(D383,""[^A-Za-z]+ "",""""))"),"Travaux Publics Du Blavet")</f>
        <v xml:space="preserve">Travaux Publics Du Blavet</v>
      </c>
      <c r="G10471" s="18" t="s">
        <v>47165</v>
      </c>
      <c r="H10471" s="18">
        <v>8</v>
      </c>
      <c r="I10471" s="18" t="s">
        <v>9239</v>
      </c>
      <c r="J10471" s="5" t="s">
        <v>47166</v>
      </c>
      <c r="K10471" s="5" t="s">
        <v>47167</v>
      </c>
      <c r="L10471" s="18" t="s">
        <v>1888</v>
      </c>
      <c r="M10471" s="18" t="s">
        <v>29</v>
      </c>
      <c r="N10471" s="18" t="s">
        <v>47168</v>
      </c>
      <c r="O10471" s="18" t="s">
        <v>29</v>
      </c>
      <c r="P10471" s="18" t="s">
        <v>47169</v>
      </c>
      <c r="Q10471" s="6"/>
      <c r="R10471" s="6"/>
      <c r="S10471" s="6"/>
      <c r="T10471" s="6"/>
      <c r="U10471" s="6"/>
      <c r="V10471" s="8"/>
      <c r="W10471" s="8"/>
      <c r="X10471" s="8"/>
      <c r="Y10471" s="8"/>
    </row>
    <row r="10472" ht="14.25">
      <c r="B10472" s="18" t="s">
        <v>47170</v>
      </c>
      <c r="C10472" s="18" t="s">
        <v>47171</v>
      </c>
      <c r="D10472" s="18" t="s">
        <v>112</v>
      </c>
      <c r="E10472" s="18" t="s">
        <v>44909</v>
      </c>
      <c r="F10472" s="18" t="str">
        <f>IFERROR(__XLUDF.DUMMYFUNCTION("PROPER(REGEXREPLACE(D384,""[^A-Za-z]+ "",""""))"),"Groupe Tilkeo")</f>
        <v xml:space="preserve">Groupe Tilkeo</v>
      </c>
      <c r="G10472" s="18" t="s">
        <v>47172</v>
      </c>
      <c r="H10472" s="18">
        <v>37</v>
      </c>
      <c r="I10472" s="18" t="s">
        <v>9239</v>
      </c>
      <c r="J10472" s="5" t="s">
        <v>47173</v>
      </c>
      <c r="K10472" s="5" t="s">
        <v>44912</v>
      </c>
      <c r="L10472" s="18" t="s">
        <v>47174</v>
      </c>
      <c r="M10472" s="18" t="s">
        <v>29</v>
      </c>
      <c r="N10472" s="18" t="s">
        <v>44914</v>
      </c>
      <c r="O10472" s="18" t="s">
        <v>29</v>
      </c>
      <c r="P10472" s="18" t="s">
        <v>44915</v>
      </c>
      <c r="Q10472" s="6"/>
      <c r="R10472" s="6"/>
      <c r="S10472" s="6"/>
      <c r="T10472" s="6"/>
      <c r="U10472" s="6"/>
      <c r="V10472" s="8"/>
      <c r="W10472" s="8"/>
      <c r="X10472" s="8"/>
      <c r="Y10472" s="8"/>
    </row>
    <row r="10473" ht="14.25">
      <c r="B10473" s="18" t="s">
        <v>1215</v>
      </c>
      <c r="C10473" s="18" t="s">
        <v>47175</v>
      </c>
      <c r="D10473" s="18" t="s">
        <v>112</v>
      </c>
      <c r="E10473" s="18" t="s">
        <v>47176</v>
      </c>
      <c r="F10473" s="18" t="str">
        <f>IFERROR(__XLUDF.DUMMYFUNCTION("PROPER(REGEXREPLACE(D385,""[^A-Za-z]+ "",""""))"),"Seixo Habitat")</f>
        <v xml:space="preserve">Seixo Habitat</v>
      </c>
      <c r="G10473" s="18" t="s">
        <v>47177</v>
      </c>
      <c r="H10473" s="18">
        <v>37</v>
      </c>
      <c r="I10473" s="18" t="s">
        <v>9239</v>
      </c>
      <c r="J10473" s="5" t="s">
        <v>47178</v>
      </c>
      <c r="K10473" s="5" t="s">
        <v>47179</v>
      </c>
      <c r="L10473" s="18" t="s">
        <v>16456</v>
      </c>
      <c r="M10473" s="18" t="s">
        <v>29</v>
      </c>
      <c r="N10473" s="18" t="s">
        <v>47180</v>
      </c>
      <c r="O10473" s="18" t="s">
        <v>29</v>
      </c>
      <c r="P10473" s="18" t="s">
        <v>47181</v>
      </c>
      <c r="Q10473" s="6"/>
      <c r="R10473" s="6"/>
      <c r="S10473" s="6"/>
      <c r="T10473" s="6"/>
      <c r="U10473" s="6"/>
      <c r="V10473" s="8"/>
      <c r="W10473" s="8"/>
      <c r="X10473" s="8"/>
      <c r="Y10473" s="8"/>
    </row>
    <row r="10474" ht="14.25">
      <c r="B10474" s="18" t="s">
        <v>47182</v>
      </c>
      <c r="C10474" s="18" t="s">
        <v>47183</v>
      </c>
      <c r="D10474" s="18" t="s">
        <v>87</v>
      </c>
      <c r="E10474" s="18" t="s">
        <v>46705</v>
      </c>
      <c r="F10474" s="18" t="str">
        <f>IFERROR(__XLUDF.DUMMYFUNCTION("PROPER(REGEXREPLACE(D386,""[^A-Za-z]+ "",""""))"),"Tracktor")</f>
        <v>Tracktor</v>
      </c>
      <c r="G10474" s="18" t="s">
        <v>47184</v>
      </c>
      <c r="H10474" s="18">
        <v>39</v>
      </c>
      <c r="I10474" s="18" t="s">
        <v>9239</v>
      </c>
      <c r="J10474" s="5" t="s">
        <v>47185</v>
      </c>
      <c r="K10474" s="5" t="s">
        <v>46708</v>
      </c>
      <c r="L10474" s="18" t="s">
        <v>39</v>
      </c>
      <c r="M10474" s="18" t="s">
        <v>29</v>
      </c>
      <c r="N10474" s="18" t="s">
        <v>18467</v>
      </c>
      <c r="O10474" s="18" t="s">
        <v>29</v>
      </c>
      <c r="P10474" s="18" t="s">
        <v>46709</v>
      </c>
      <c r="Q10474" s="6"/>
      <c r="R10474" s="6"/>
      <c r="S10474" s="6"/>
      <c r="T10474" s="6"/>
      <c r="U10474" s="6"/>
      <c r="V10474" s="8"/>
      <c r="W10474" s="8"/>
      <c r="X10474" s="8"/>
      <c r="Y10474" s="8"/>
    </row>
    <row r="10475" ht="14.25">
      <c r="B10475" s="18" t="s">
        <v>110</v>
      </c>
      <c r="C10475" s="18" t="s">
        <v>47186</v>
      </c>
      <c r="D10475" s="18" t="s">
        <v>172</v>
      </c>
      <c r="E10475" s="18" t="s">
        <v>47187</v>
      </c>
      <c r="F10475" s="18" t="str">
        <f>IFERROR(__XLUDF.DUMMYFUNCTION("PROPER(REGEXREPLACE(D387,""[^A-Za-z]+ "",""""))"),"Groupe Tebior")</f>
        <v xml:space="preserve">Groupe Tebior</v>
      </c>
      <c r="G10475" s="18" t="s">
        <v>47188</v>
      </c>
      <c r="H10475" s="18">
        <v>17</v>
      </c>
      <c r="I10475" s="18" t="s">
        <v>9239</v>
      </c>
      <c r="J10475" s="5" t="s">
        <v>47189</v>
      </c>
      <c r="K10475" s="5" t="s">
        <v>47190</v>
      </c>
      <c r="L10475" s="18" t="s">
        <v>185</v>
      </c>
      <c r="M10475" s="18" t="s">
        <v>29</v>
      </c>
      <c r="N10475" s="18" t="s">
        <v>47191</v>
      </c>
      <c r="O10475" s="18" t="s">
        <v>29</v>
      </c>
      <c r="P10475" s="6"/>
      <c r="Q10475" s="6"/>
      <c r="R10475" s="6"/>
      <c r="S10475" s="6"/>
      <c r="T10475" s="6"/>
      <c r="U10475" s="6"/>
      <c r="V10475" s="8"/>
      <c r="W10475" s="8"/>
      <c r="X10475" s="8"/>
      <c r="Y10475" s="8"/>
    </row>
    <row r="10476" ht="14.25">
      <c r="B10476" s="18" t="s">
        <v>170</v>
      </c>
      <c r="C10476" s="18" t="s">
        <v>2728</v>
      </c>
      <c r="D10476" s="18" t="s">
        <v>172</v>
      </c>
      <c r="E10476" s="18" t="s">
        <v>46599</v>
      </c>
      <c r="F10476" s="18" t="str">
        <f>IFERROR(__XLUDF.DUMMYFUNCTION("PROPER(REGEXREPLACE(D388,""[^A-Za-z]+ "",""""))"),"Nant'Artisans")</f>
        <v>Nant'Artisans</v>
      </c>
      <c r="G10476" s="18" t="s">
        <v>47192</v>
      </c>
      <c r="H10476" s="18">
        <v>8</v>
      </c>
      <c r="I10476" s="18" t="s">
        <v>9239</v>
      </c>
      <c r="J10476" s="5" t="s">
        <v>47193</v>
      </c>
      <c r="K10476" s="5" t="s">
        <v>46602</v>
      </c>
      <c r="L10476" s="18" t="s">
        <v>1711</v>
      </c>
      <c r="M10476" s="18" t="s">
        <v>29</v>
      </c>
      <c r="N10476" s="18" t="s">
        <v>25630</v>
      </c>
      <c r="O10476" s="18" t="s">
        <v>29</v>
      </c>
      <c r="P10476" s="6"/>
      <c r="Q10476" s="6"/>
      <c r="R10476" s="6"/>
      <c r="S10476" s="6"/>
      <c r="T10476" s="6"/>
      <c r="U10476" s="6"/>
      <c r="V10476" s="8"/>
      <c r="W10476" s="8"/>
      <c r="X10476" s="8"/>
      <c r="Y10476" s="8"/>
    </row>
    <row r="10477" ht="14.25">
      <c r="B10477" s="18" t="s">
        <v>3019</v>
      </c>
      <c r="C10477" s="18" t="s">
        <v>47194</v>
      </c>
      <c r="D10477" s="18" t="s">
        <v>87</v>
      </c>
      <c r="E10477" s="18" t="s">
        <v>47195</v>
      </c>
      <c r="F10477" s="18" t="str">
        <f>IFERROR(__XLUDF.DUMMYFUNCTION("PROPER(REGEXREPLACE(D389,""[^A-Za-z]+ "",""""))"),"Tambè")</f>
        <v>Tambè</v>
      </c>
      <c r="G10477" s="18" t="s">
        <v>47196</v>
      </c>
      <c r="H10477" s="18">
        <v>27</v>
      </c>
      <c r="I10477" s="18" t="s">
        <v>14347</v>
      </c>
      <c r="J10477" s="5" t="s">
        <v>47197</v>
      </c>
      <c r="K10477" s="5" t="s">
        <v>47198</v>
      </c>
      <c r="L10477" s="18" t="s">
        <v>47199</v>
      </c>
      <c r="M10477" s="18" t="s">
        <v>29</v>
      </c>
      <c r="N10477" s="18" t="s">
        <v>47200</v>
      </c>
      <c r="O10477" s="18" t="s">
        <v>29</v>
      </c>
      <c r="P10477" s="18" t="s">
        <v>47201</v>
      </c>
      <c r="Q10477" s="6"/>
      <c r="R10477" s="6"/>
      <c r="S10477" s="6"/>
      <c r="T10477" s="6"/>
      <c r="U10477" s="6"/>
      <c r="V10477" s="8"/>
      <c r="W10477" s="8"/>
      <c r="X10477" s="8"/>
      <c r="Y10477" s="8"/>
    </row>
    <row r="10478" ht="14.25">
      <c r="B10478" s="18" t="s">
        <v>95</v>
      </c>
      <c r="C10478" s="18" t="s">
        <v>2220</v>
      </c>
      <c r="D10478" s="18" t="s">
        <v>112</v>
      </c>
      <c r="E10478" s="18" t="s">
        <v>44767</v>
      </c>
      <c r="F10478" s="18" t="str">
        <f>IFERROR(__XLUDF.DUMMYFUNCTION("PROPER(REGEXREPLACE(D390,""[^A-Za-z]+ "",""""))"),"Constructions-3D")</f>
        <v>Constructions-3D</v>
      </c>
      <c r="G10478" s="18" t="s">
        <v>47202</v>
      </c>
      <c r="H10478" s="18">
        <v>25</v>
      </c>
      <c r="I10478" s="18" t="s">
        <v>14347</v>
      </c>
      <c r="J10478" s="5" t="s">
        <v>47203</v>
      </c>
      <c r="K10478" s="5" t="s">
        <v>44770</v>
      </c>
      <c r="L10478" s="18" t="s">
        <v>47204</v>
      </c>
      <c r="M10478" s="18" t="s">
        <v>29</v>
      </c>
      <c r="N10478" s="18" t="s">
        <v>44771</v>
      </c>
      <c r="O10478" s="18" t="s">
        <v>29</v>
      </c>
      <c r="P10478" s="18" t="s">
        <v>44772</v>
      </c>
      <c r="Q10478" s="6"/>
      <c r="R10478" s="6"/>
      <c r="S10478" s="6"/>
      <c r="T10478" s="6"/>
      <c r="U10478" s="6"/>
      <c r="V10478" s="8"/>
      <c r="W10478" s="8"/>
      <c r="X10478" s="8"/>
      <c r="Y10478" s="8"/>
    </row>
    <row r="10479" ht="14.25">
      <c r="B10479" s="18" t="s">
        <v>808</v>
      </c>
      <c r="C10479" s="18" t="s">
        <v>47205</v>
      </c>
      <c r="D10479" s="18" t="s">
        <v>112</v>
      </c>
      <c r="E10479" s="18" t="s">
        <v>47206</v>
      </c>
      <c r="F10479" s="18" t="str">
        <f>IFERROR(__XLUDF.DUMMYFUNCTION("PROPER(REGEXREPLACE(D391,""[^A-Za-z]+ "",""""))"),"Briand Industries")</f>
        <v xml:space="preserve">Briand Industries</v>
      </c>
      <c r="G10479" s="18" t="s">
        <v>47207</v>
      </c>
      <c r="H10479" s="18">
        <v>17</v>
      </c>
      <c r="I10479" s="18" t="s">
        <v>9239</v>
      </c>
      <c r="J10479" s="5" t="s">
        <v>47208</v>
      </c>
      <c r="K10479" s="5" t="s">
        <v>47209</v>
      </c>
      <c r="L10479" s="18" t="s">
        <v>47210</v>
      </c>
      <c r="M10479" s="18" t="s">
        <v>29</v>
      </c>
      <c r="N10479" s="18" t="s">
        <v>47211</v>
      </c>
      <c r="O10479" s="18" t="s">
        <v>29</v>
      </c>
      <c r="P10479" s="18" t="s">
        <v>47212</v>
      </c>
      <c r="Q10479" s="6"/>
      <c r="R10479" s="6"/>
      <c r="S10479" s="6"/>
      <c r="T10479" s="6"/>
      <c r="U10479" s="6"/>
      <c r="V10479" s="8"/>
      <c r="W10479" s="8"/>
      <c r="X10479" s="8"/>
      <c r="Y10479" s="8"/>
    </row>
    <row r="10480" ht="14.25">
      <c r="B10480" s="18" t="s">
        <v>5252</v>
      </c>
      <c r="C10480" s="18" t="s">
        <v>47213</v>
      </c>
      <c r="D10480" s="18" t="s">
        <v>47214</v>
      </c>
      <c r="E10480" s="18" t="s">
        <v>46125</v>
      </c>
      <c r="F10480" s="18" t="str">
        <f>IFERROR(__XLUDF.DUMMYFUNCTION("PROPER(REGEXREPLACE(D392,""[^A-Za-z]+ "",""""))"),"H2O")</f>
        <v>H2O</v>
      </c>
      <c r="G10480" s="18" t="s">
        <v>47215</v>
      </c>
      <c r="H10480" s="18">
        <v>29</v>
      </c>
      <c r="I10480" s="18" t="s">
        <v>9239</v>
      </c>
      <c r="J10480" s="5" t="s">
        <v>47216</v>
      </c>
      <c r="K10480" s="5" t="s">
        <v>46128</v>
      </c>
      <c r="L10480" s="18" t="s">
        <v>47217</v>
      </c>
      <c r="M10480" s="18" t="s">
        <v>29</v>
      </c>
      <c r="N10480" s="18" t="s">
        <v>46129</v>
      </c>
      <c r="O10480" s="18" t="s">
        <v>29</v>
      </c>
      <c r="P10480" s="18" t="s">
        <v>46130</v>
      </c>
      <c r="Q10480" s="6"/>
      <c r="R10480" s="6"/>
      <c r="S10480" s="6"/>
      <c r="T10480" s="6"/>
      <c r="U10480" s="6"/>
      <c r="V10480" s="8"/>
      <c r="W10480" s="8"/>
      <c r="X10480" s="8"/>
      <c r="Y10480" s="8"/>
    </row>
    <row r="10481" ht="14.25">
      <c r="B10481" s="18" t="s">
        <v>1844</v>
      </c>
      <c r="C10481" s="18" t="s">
        <v>22367</v>
      </c>
      <c r="D10481" s="18" t="s">
        <v>426</v>
      </c>
      <c r="E10481" s="18" t="s">
        <v>47218</v>
      </c>
      <c r="F10481" s="18" t="str">
        <f>IFERROR(__XLUDF.DUMMYFUNCTION("PROPER(REGEXREPLACE(D393,""[^A-Za-z]+ "",""""))"),"Ocellis Energies")</f>
        <v xml:space="preserve">Ocellis Energies</v>
      </c>
      <c r="G10481" s="18" t="s">
        <v>47219</v>
      </c>
      <c r="H10481" s="18">
        <v>15</v>
      </c>
      <c r="I10481" s="18" t="s">
        <v>9239</v>
      </c>
      <c r="J10481" s="5" t="s">
        <v>47220</v>
      </c>
      <c r="K10481" s="5" t="s">
        <v>47221</v>
      </c>
      <c r="L10481" s="18" t="s">
        <v>1446</v>
      </c>
      <c r="M10481" s="18" t="s">
        <v>29</v>
      </c>
      <c r="N10481" s="18" t="s">
        <v>47222</v>
      </c>
      <c r="O10481" s="18" t="s">
        <v>29</v>
      </c>
      <c r="P10481" s="18" t="s">
        <v>47223</v>
      </c>
      <c r="Q10481" s="6"/>
      <c r="R10481" s="6"/>
      <c r="S10481" s="6"/>
      <c r="T10481" s="6"/>
      <c r="U10481" s="6"/>
      <c r="V10481" s="8"/>
      <c r="W10481" s="8"/>
      <c r="X10481" s="8"/>
      <c r="Y10481" s="8"/>
    </row>
    <row r="10482" ht="14.25">
      <c r="B10482" s="18" t="s">
        <v>2589</v>
      </c>
      <c r="C10482" s="18" t="s">
        <v>24515</v>
      </c>
      <c r="D10482" s="18" t="s">
        <v>198</v>
      </c>
      <c r="E10482" s="18" t="s">
        <v>47224</v>
      </c>
      <c r="F10482" s="18" t="str">
        <f>IFERROR(__XLUDF.DUMMYFUNCTION("PROPER(REGEXREPLACE(D394,""[^A-Za-z]+ "",""""))"),"Groupe Roulliaud")</f>
        <v xml:space="preserve">Groupe Roulliaud</v>
      </c>
      <c r="G10482" s="18" t="s">
        <v>47225</v>
      </c>
      <c r="H10482" s="18">
        <v>47</v>
      </c>
      <c r="I10482" s="18" t="s">
        <v>9239</v>
      </c>
      <c r="J10482" s="5" t="s">
        <v>47226</v>
      </c>
      <c r="K10482" s="5" t="s">
        <v>47227</v>
      </c>
      <c r="L10482" s="18" t="s">
        <v>3898</v>
      </c>
      <c r="M10482" s="18" t="s">
        <v>29</v>
      </c>
      <c r="N10482" s="18" t="s">
        <v>47228</v>
      </c>
      <c r="O10482" s="18" t="s">
        <v>29</v>
      </c>
      <c r="P10482" s="18" t="s">
        <v>47229</v>
      </c>
      <c r="Q10482" s="6"/>
      <c r="R10482" s="6"/>
      <c r="S10482" s="6"/>
      <c r="T10482" s="6"/>
      <c r="U10482" s="6"/>
      <c r="V10482" s="8"/>
      <c r="W10482" s="8"/>
      <c r="X10482" s="8"/>
      <c r="Y10482" s="8"/>
    </row>
    <row r="10483" ht="14.25">
      <c r="B10483" s="18" t="s">
        <v>622</v>
      </c>
      <c r="C10483" s="18" t="s">
        <v>47230</v>
      </c>
      <c r="D10483" s="18" t="s">
        <v>172</v>
      </c>
      <c r="E10483" s="18" t="s">
        <v>47231</v>
      </c>
      <c r="F10483" s="18" t="str">
        <f>IFERROR(__XLUDF.DUMMYFUNCTION("PROPER(REGEXREPLACE(D395,""[^A-Za-z]+ "",""""))"),"Semiper")</f>
        <v>Semiper</v>
      </c>
      <c r="G10483" s="18" t="s">
        <v>47232</v>
      </c>
      <c r="H10483" s="6"/>
      <c r="I10483" s="6"/>
      <c r="J10483" s="5" t="s">
        <v>47233</v>
      </c>
      <c r="K10483" s="5" t="s">
        <v>47234</v>
      </c>
      <c r="L10483" s="6"/>
      <c r="M10483" s="18" t="s">
        <v>29</v>
      </c>
      <c r="N10483" s="18" t="s">
        <v>44968</v>
      </c>
      <c r="O10483" s="18" t="s">
        <v>29</v>
      </c>
      <c r="P10483" s="6"/>
      <c r="Q10483" s="6"/>
      <c r="R10483" s="6"/>
      <c r="S10483" s="6"/>
      <c r="T10483" s="6"/>
      <c r="U10483" s="6"/>
      <c r="V10483" s="8"/>
      <c r="W10483" s="8"/>
      <c r="X10483" s="8"/>
      <c r="Y10483" s="8"/>
    </row>
    <row r="10484" ht="14.25">
      <c r="B10484" s="18" t="s">
        <v>1583</v>
      </c>
      <c r="C10484" s="18" t="s">
        <v>47235</v>
      </c>
      <c r="D10484" s="18" t="s">
        <v>172</v>
      </c>
      <c r="E10484" s="18" t="s">
        <v>47236</v>
      </c>
      <c r="F10484" s="18" t="str">
        <f>IFERROR(__XLUDF.DUMMYFUNCTION("PROPER(REGEXREPLACE(D396,""[^A-Za-z]+ "",""""))"),"Novam Ingénierie")</f>
        <v xml:space="preserve">Novam Ingénierie</v>
      </c>
      <c r="G10484" s="18" t="s">
        <v>47237</v>
      </c>
      <c r="H10484" s="18">
        <v>46</v>
      </c>
      <c r="I10484" s="18" t="s">
        <v>45792</v>
      </c>
      <c r="J10484" s="5" t="s">
        <v>47238</v>
      </c>
      <c r="K10484" s="5" t="s">
        <v>47239</v>
      </c>
      <c r="L10484" s="6"/>
      <c r="M10484" s="18" t="s">
        <v>29</v>
      </c>
      <c r="N10484" s="18" t="s">
        <v>47240</v>
      </c>
      <c r="O10484" s="18" t="s">
        <v>29</v>
      </c>
      <c r="P10484" s="18" t="s">
        <v>47241</v>
      </c>
      <c r="Q10484" s="6"/>
      <c r="R10484" s="6"/>
      <c r="S10484" s="6"/>
      <c r="T10484" s="6"/>
      <c r="U10484" s="6"/>
      <c r="V10484" s="8"/>
      <c r="W10484" s="8"/>
      <c r="X10484" s="8"/>
      <c r="Y10484" s="8"/>
    </row>
    <row r="10485" ht="14.25">
      <c r="B10485" s="18" t="s">
        <v>47242</v>
      </c>
      <c r="C10485" s="18" t="s">
        <v>47243</v>
      </c>
      <c r="D10485" s="18" t="s">
        <v>172</v>
      </c>
      <c r="E10485" s="18" t="s">
        <v>47244</v>
      </c>
      <c r="F10485" s="18" t="str">
        <f>IFERROR(__XLUDF.DUMMYFUNCTION("PROPER(REGEXREPLACE(D397,""[^A-Za-z]+ "",""""))"),"Deobat")</f>
        <v>Deobat</v>
      </c>
      <c r="G10485" s="18" t="s">
        <v>47245</v>
      </c>
      <c r="H10485" s="18">
        <v>32</v>
      </c>
      <c r="I10485" s="18" t="s">
        <v>9239</v>
      </c>
      <c r="J10485" s="5" t="s">
        <v>47246</v>
      </c>
      <c r="K10485" s="5" t="s">
        <v>47247</v>
      </c>
      <c r="L10485" s="18" t="s">
        <v>47248</v>
      </c>
      <c r="M10485" s="18" t="s">
        <v>29</v>
      </c>
      <c r="N10485" s="18" t="s">
        <v>47249</v>
      </c>
      <c r="O10485" s="18" t="s">
        <v>29</v>
      </c>
      <c r="P10485" s="6"/>
      <c r="Q10485" s="6"/>
      <c r="R10485" s="6"/>
      <c r="S10485" s="6"/>
      <c r="T10485" s="6"/>
      <c r="U10485" s="6"/>
      <c r="V10485" s="8"/>
      <c r="W10485" s="8"/>
      <c r="X10485" s="8"/>
      <c r="Y10485" s="8"/>
    </row>
    <row r="10486" ht="14.25">
      <c r="B10486" s="18" t="s">
        <v>4161</v>
      </c>
      <c r="C10486" s="18" t="s">
        <v>47250</v>
      </c>
      <c r="D10486" s="18" t="s">
        <v>172</v>
      </c>
      <c r="E10486" s="18" t="s">
        <v>47251</v>
      </c>
      <c r="F10486" s="18" t="str">
        <f>IFERROR(__XLUDF.DUMMYFUNCTION("PROPER(REGEXREPLACE(D398,""[^A-Za-z]+ "",""""))"),"Nouvel'Ère")</f>
        <v>Nouvel'Ère</v>
      </c>
      <c r="G10486" s="18" t="s">
        <v>47252</v>
      </c>
      <c r="H10486" s="18">
        <v>10</v>
      </c>
      <c r="I10486" s="18" t="s">
        <v>9239</v>
      </c>
      <c r="J10486" s="5" t="s">
        <v>47253</v>
      </c>
      <c r="K10486" s="5" t="s">
        <v>47254</v>
      </c>
      <c r="L10486" s="18" t="s">
        <v>14237</v>
      </c>
      <c r="M10486" s="18" t="s">
        <v>29</v>
      </c>
      <c r="N10486" s="18" t="s">
        <v>4649</v>
      </c>
      <c r="O10486" s="18" t="s">
        <v>29</v>
      </c>
      <c r="P10486" s="18" t="s">
        <v>47255</v>
      </c>
      <c r="Q10486" s="6"/>
      <c r="R10486" s="6"/>
      <c r="S10486" s="6"/>
      <c r="T10486" s="6"/>
      <c r="U10486" s="6"/>
      <c r="V10486" s="8"/>
      <c r="W10486" s="8"/>
      <c r="X10486" s="8"/>
      <c r="Y10486" s="8"/>
    </row>
    <row r="10487" ht="14.25">
      <c r="B10487" s="18" t="s">
        <v>596</v>
      </c>
      <c r="C10487" s="18" t="s">
        <v>47256</v>
      </c>
      <c r="D10487" s="18" t="s">
        <v>47257</v>
      </c>
      <c r="E10487" s="18" t="s">
        <v>47258</v>
      </c>
      <c r="F10487" s="18" t="str">
        <f>IFERROR(__XLUDF.DUMMYFUNCTION("PROPER(REGEXREPLACE(D399,""[^A-Za-z]+ "",""""))"),"Kalysse")</f>
        <v>Kalysse</v>
      </c>
      <c r="G10487" s="18" t="s">
        <v>47259</v>
      </c>
      <c r="H10487" s="18">
        <v>7</v>
      </c>
      <c r="I10487" s="18" t="s">
        <v>9239</v>
      </c>
      <c r="J10487" s="5" t="s">
        <v>47260</v>
      </c>
      <c r="K10487" s="6"/>
      <c r="L10487" s="18" t="s">
        <v>846</v>
      </c>
      <c r="M10487" s="18" t="s">
        <v>29</v>
      </c>
      <c r="N10487" s="18" t="s">
        <v>47261</v>
      </c>
      <c r="O10487" s="18" t="s">
        <v>29</v>
      </c>
      <c r="P10487" s="6"/>
      <c r="Q10487" s="6"/>
      <c r="R10487" s="6"/>
      <c r="S10487" s="6"/>
      <c r="T10487" s="6"/>
      <c r="U10487" s="6"/>
      <c r="V10487" s="8"/>
      <c r="W10487" s="8"/>
      <c r="X10487" s="8"/>
      <c r="Y10487" s="8"/>
    </row>
    <row r="10488" ht="14.25">
      <c r="B10488" s="18" t="s">
        <v>7627</v>
      </c>
      <c r="C10488" s="18" t="s">
        <v>47262</v>
      </c>
      <c r="D10488" s="18" t="s">
        <v>172</v>
      </c>
      <c r="E10488" s="18" t="s">
        <v>47263</v>
      </c>
      <c r="F10488" s="18" t="str">
        <f>IFERROR(__XLUDF.DUMMYFUNCTION("PROPER(REGEXREPLACE(D400,""[^A-Za-z]+ "",""""))"),"Real Sol")</f>
        <v xml:space="preserve">Real Sol</v>
      </c>
      <c r="G10488" s="18" t="s">
        <v>47264</v>
      </c>
      <c r="H10488" s="18">
        <v>11</v>
      </c>
      <c r="I10488" s="18" t="s">
        <v>9239</v>
      </c>
      <c r="J10488" s="5" t="s">
        <v>47265</v>
      </c>
      <c r="K10488" s="5" t="s">
        <v>47266</v>
      </c>
      <c r="L10488" s="18" t="s">
        <v>1497</v>
      </c>
      <c r="M10488" s="18" t="s">
        <v>29</v>
      </c>
      <c r="N10488" s="18" t="s">
        <v>47267</v>
      </c>
      <c r="O10488" s="18" t="s">
        <v>29</v>
      </c>
      <c r="P10488" s="6"/>
      <c r="Q10488" s="6"/>
      <c r="R10488" s="6"/>
      <c r="S10488" s="6"/>
      <c r="T10488" s="6"/>
      <c r="U10488" s="6"/>
      <c r="V10488" s="8"/>
      <c r="W10488" s="8"/>
      <c r="X10488" s="8"/>
      <c r="Y10488" s="8"/>
    </row>
    <row r="10489" ht="14.25">
      <c r="B10489" s="18" t="s">
        <v>4177</v>
      </c>
      <c r="C10489" s="18" t="s">
        <v>47268</v>
      </c>
      <c r="D10489" s="18" t="s">
        <v>164</v>
      </c>
      <c r="E10489" s="18" t="s">
        <v>45546</v>
      </c>
      <c r="F10489" s="18" t="str">
        <f>IFERROR(__XLUDF.DUMMYFUNCTION("PROPER(REGEXREPLACE(D401,""[^A-Za-z]+ "",""""))"),"Groupe Vérandaline")</f>
        <v xml:space="preserve">Groupe Vérandaline</v>
      </c>
      <c r="G10489" s="18" t="s">
        <v>47269</v>
      </c>
      <c r="H10489" s="18">
        <v>28</v>
      </c>
      <c r="I10489" s="18" t="s">
        <v>9239</v>
      </c>
      <c r="J10489" s="5" t="s">
        <v>47270</v>
      </c>
      <c r="K10489" s="5" t="s">
        <v>45549</v>
      </c>
      <c r="L10489" s="18" t="s">
        <v>47271</v>
      </c>
      <c r="M10489" s="18" t="s">
        <v>29</v>
      </c>
      <c r="N10489" s="18" t="s">
        <v>45550</v>
      </c>
      <c r="O10489" s="18" t="s">
        <v>29</v>
      </c>
      <c r="P10489" s="18" t="s">
        <v>45551</v>
      </c>
      <c r="Q10489" s="6"/>
      <c r="R10489" s="6"/>
      <c r="S10489" s="6"/>
      <c r="T10489" s="6"/>
      <c r="U10489" s="6"/>
      <c r="V10489" s="8"/>
      <c r="W10489" s="8"/>
      <c r="X10489" s="8"/>
      <c r="Y10489" s="8"/>
    </row>
    <row r="10490" ht="14.25">
      <c r="B10490" s="18" t="s">
        <v>2419</v>
      </c>
      <c r="C10490" s="18" t="s">
        <v>47272</v>
      </c>
      <c r="D10490" s="18" t="s">
        <v>172</v>
      </c>
      <c r="E10490" s="18" t="s">
        <v>47273</v>
      </c>
      <c r="F10490" s="18" t="str">
        <f>IFERROR(__XLUDF.DUMMYFUNCTION("PROPER(REGEXREPLACE(D402,""[^A-Za-z]+ "",""""))"),"Fadem")</f>
        <v>Fadem</v>
      </c>
      <c r="G10490" s="18" t="s">
        <v>47274</v>
      </c>
      <c r="H10490" s="18">
        <v>7</v>
      </c>
      <c r="I10490" s="18" t="s">
        <v>9239</v>
      </c>
      <c r="J10490" s="5" t="s">
        <v>47275</v>
      </c>
      <c r="K10490" s="5" t="s">
        <v>47276</v>
      </c>
      <c r="L10490" s="18" t="s">
        <v>39</v>
      </c>
      <c r="M10490" s="18" t="s">
        <v>29</v>
      </c>
      <c r="N10490" s="18" t="s">
        <v>47277</v>
      </c>
      <c r="O10490" s="18" t="s">
        <v>29</v>
      </c>
      <c r="P10490" s="6"/>
      <c r="Q10490" s="6"/>
      <c r="R10490" s="6"/>
      <c r="S10490" s="6"/>
      <c r="T10490" s="6"/>
      <c r="U10490" s="6"/>
      <c r="V10490" s="8"/>
      <c r="W10490" s="8"/>
      <c r="X10490" s="8"/>
      <c r="Y10490" s="8"/>
    </row>
    <row r="10491" ht="14.25">
      <c r="B10491" s="18" t="s">
        <v>24920</v>
      </c>
      <c r="C10491" s="18" t="s">
        <v>777</v>
      </c>
      <c r="D10491" s="18" t="s">
        <v>172</v>
      </c>
      <c r="E10491" s="18" t="s">
        <v>47278</v>
      </c>
      <c r="F10491" s="18" t="str">
        <f>IFERROR(__XLUDF.DUMMYFUNCTION("PROPER(REGEXREPLACE(D403,""[^A-Za-z]+ "",""""))"),"L'Aube")</f>
        <v>L'Aube</v>
      </c>
      <c r="G10491" s="18" t="s">
        <v>47279</v>
      </c>
      <c r="H10491" s="18">
        <v>51</v>
      </c>
      <c r="I10491" s="18" t="s">
        <v>9239</v>
      </c>
      <c r="J10491" s="5" t="s">
        <v>47280</v>
      </c>
      <c r="K10491" s="5" t="s">
        <v>47281</v>
      </c>
      <c r="L10491" s="18" t="s">
        <v>47282</v>
      </c>
      <c r="M10491" s="18" t="s">
        <v>29</v>
      </c>
      <c r="N10491" s="18" t="s">
        <v>47283</v>
      </c>
      <c r="O10491" s="18" t="s">
        <v>29</v>
      </c>
      <c r="P10491" s="6"/>
      <c r="Q10491" s="6"/>
      <c r="R10491" s="6"/>
      <c r="S10491" s="6"/>
      <c r="T10491" s="6"/>
      <c r="U10491" s="6"/>
      <c r="V10491" s="8"/>
      <c r="W10491" s="8"/>
      <c r="X10491" s="8"/>
      <c r="Y10491" s="8"/>
    </row>
    <row r="10492" ht="14.25">
      <c r="B10492" s="18" t="s">
        <v>485</v>
      </c>
      <c r="C10492" s="18" t="s">
        <v>47284</v>
      </c>
      <c r="D10492" s="18" t="s">
        <v>172</v>
      </c>
      <c r="E10492" s="18" t="s">
        <v>47285</v>
      </c>
      <c r="F10492" s="18" t="str">
        <f>IFERROR(__XLUDF.DUMMYFUNCTION("PROPER(REGEXREPLACE(D404,""[^A-Za-z]+ "",""""))"),"Groupe Viviany")</f>
        <v xml:space="preserve">Groupe Viviany</v>
      </c>
      <c r="G10492" s="18" t="s">
        <v>47286</v>
      </c>
      <c r="H10492" s="18">
        <v>11</v>
      </c>
      <c r="I10492" s="18" t="s">
        <v>9239</v>
      </c>
      <c r="J10492" s="5" t="s">
        <v>47287</v>
      </c>
      <c r="K10492" s="5" t="s">
        <v>47288</v>
      </c>
      <c r="L10492" s="18" t="s">
        <v>11525</v>
      </c>
      <c r="M10492" s="18" t="s">
        <v>29</v>
      </c>
      <c r="N10492" s="18" t="s">
        <v>47289</v>
      </c>
      <c r="O10492" s="18" t="s">
        <v>29</v>
      </c>
      <c r="P10492" s="6"/>
      <c r="Q10492" s="6"/>
      <c r="R10492" s="6"/>
      <c r="S10492" s="6"/>
      <c r="T10492" s="6"/>
      <c r="U10492" s="6"/>
      <c r="V10492" s="8"/>
      <c r="W10492" s="8"/>
      <c r="X10492" s="8"/>
      <c r="Y10492" s="8"/>
    </row>
    <row r="10493" ht="14.25">
      <c r="B10493" s="18" t="s">
        <v>1215</v>
      </c>
      <c r="C10493" s="18" t="s">
        <v>19011</v>
      </c>
      <c r="D10493" s="18" t="s">
        <v>172</v>
      </c>
      <c r="E10493" s="18" t="s">
        <v>47290</v>
      </c>
      <c r="F10493" s="18" t="str">
        <f>IFERROR(__XLUDF.DUMMYFUNCTION("PROPER(REGEXREPLACE(D405,""[^A-Za-z]+ "",""""))"),"Batisol Dallages")</f>
        <v xml:space="preserve">Batisol Dallages</v>
      </c>
      <c r="G10493" s="18" t="s">
        <v>47291</v>
      </c>
      <c r="H10493" s="18">
        <v>13</v>
      </c>
      <c r="I10493" s="18" t="s">
        <v>9239</v>
      </c>
      <c r="J10493" s="5" t="s">
        <v>47292</v>
      </c>
      <c r="K10493" s="5" t="s">
        <v>47293</v>
      </c>
      <c r="L10493" s="18" t="s">
        <v>47294</v>
      </c>
      <c r="M10493" s="18" t="s">
        <v>29</v>
      </c>
      <c r="N10493" s="18" t="s">
        <v>45201</v>
      </c>
      <c r="O10493" s="18" t="s">
        <v>29</v>
      </c>
      <c r="P10493" s="18" t="s">
        <v>47295</v>
      </c>
      <c r="Q10493" s="6"/>
      <c r="R10493" s="6"/>
      <c r="S10493" s="6"/>
      <c r="T10493" s="6"/>
      <c r="U10493" s="6"/>
      <c r="V10493" s="8"/>
      <c r="W10493" s="8"/>
      <c r="X10493" s="8"/>
      <c r="Y10493" s="8"/>
    </row>
    <row r="10494" ht="14.25">
      <c r="B10494" s="18" t="s">
        <v>222</v>
      </c>
      <c r="C10494" s="18" t="s">
        <v>47296</v>
      </c>
      <c r="D10494" s="18" t="s">
        <v>172</v>
      </c>
      <c r="E10494" s="18" t="s">
        <v>47297</v>
      </c>
      <c r="F10494" s="18" t="str">
        <f>IFERROR(__XLUDF.DUMMYFUNCTION("PROPER(REGEXREPLACE(D406,""[^A-Za-z]+ "",""""))"),"Hasler Fenster Ag")</f>
        <v xml:space="preserve">Hasler Fenster Ag</v>
      </c>
      <c r="G10494" s="18" t="s">
        <v>47298</v>
      </c>
      <c r="H10494" s="18">
        <v>30</v>
      </c>
      <c r="I10494" s="18" t="s">
        <v>9239</v>
      </c>
      <c r="J10494" s="5" t="s">
        <v>47299</v>
      </c>
      <c r="K10494" s="5" t="s">
        <v>47300</v>
      </c>
      <c r="L10494" s="18" t="s">
        <v>1460</v>
      </c>
      <c r="M10494" s="18" t="s">
        <v>29</v>
      </c>
      <c r="N10494" s="18" t="s">
        <v>47301</v>
      </c>
      <c r="O10494" s="18" t="s">
        <v>1938</v>
      </c>
      <c r="P10494" s="6"/>
      <c r="Q10494" s="6"/>
      <c r="R10494" s="6"/>
      <c r="S10494" s="6"/>
      <c r="T10494" s="6"/>
      <c r="U10494" s="6"/>
      <c r="V10494" s="8"/>
      <c r="W10494" s="8"/>
      <c r="X10494" s="8"/>
      <c r="Y10494" s="8"/>
    </row>
    <row r="10495" ht="14.25">
      <c r="B10495" s="18" t="s">
        <v>13010</v>
      </c>
      <c r="C10495" s="18" t="s">
        <v>47302</v>
      </c>
      <c r="D10495" s="18" t="s">
        <v>9532</v>
      </c>
      <c r="E10495" s="18" t="s">
        <v>47303</v>
      </c>
      <c r="F10495" s="18" t="str">
        <f>IFERROR(__XLUDF.DUMMYFUNCTION("PROPER(REGEXREPLACE(D407,""[^A-Za-z]+ "",""""))"),"Sc Floriot")</f>
        <v xml:space="preserve">Sc Floriot</v>
      </c>
      <c r="G10495" s="18" t="s">
        <v>47304</v>
      </c>
      <c r="H10495" s="18">
        <v>46</v>
      </c>
      <c r="I10495" s="18" t="s">
        <v>9239</v>
      </c>
      <c r="J10495" s="5" t="s">
        <v>47305</v>
      </c>
      <c r="K10495" s="5" t="s">
        <v>47306</v>
      </c>
      <c r="L10495" s="18" t="s">
        <v>185</v>
      </c>
      <c r="M10495" s="18" t="s">
        <v>29</v>
      </c>
      <c r="N10495" s="18" t="s">
        <v>47130</v>
      </c>
      <c r="O10495" s="18" t="s">
        <v>29</v>
      </c>
      <c r="P10495" s="18" t="s">
        <v>47307</v>
      </c>
      <c r="Q10495" s="6"/>
      <c r="R10495" s="6"/>
      <c r="S10495" s="6"/>
      <c r="T10495" s="6"/>
      <c r="U10495" s="6"/>
      <c r="V10495" s="8"/>
      <c r="W10495" s="8"/>
      <c r="X10495" s="8"/>
      <c r="Y10495" s="8"/>
    </row>
    <row r="10496" ht="14.25">
      <c r="B10496" s="18" t="s">
        <v>1215</v>
      </c>
      <c r="C10496" s="18" t="s">
        <v>47308</v>
      </c>
      <c r="D10496" s="18" t="s">
        <v>315</v>
      </c>
      <c r="E10496" s="18" t="s">
        <v>47309</v>
      </c>
      <c r="F10496" s="18" t="str">
        <f>IFERROR(__XLUDF.DUMMYFUNCTION("PROPER(REGEXREPLACE(D408,""[^A-Za-z]+ "",""""))"),"Brosse Et Charre")</f>
        <v xml:space="preserve">Brosse Et Charre</v>
      </c>
      <c r="G10496" s="18" t="s">
        <v>47310</v>
      </c>
      <c r="H10496" s="18">
        <v>3</v>
      </c>
      <c r="I10496" s="18" t="s">
        <v>9239</v>
      </c>
      <c r="J10496" s="5" t="s">
        <v>47311</v>
      </c>
      <c r="K10496" s="5" t="s">
        <v>47312</v>
      </c>
      <c r="L10496" s="18" t="s">
        <v>1507</v>
      </c>
      <c r="M10496" s="18" t="s">
        <v>29</v>
      </c>
      <c r="N10496" s="18" t="s">
        <v>47313</v>
      </c>
      <c r="O10496" s="18" t="s">
        <v>29</v>
      </c>
      <c r="P10496" s="18" t="s">
        <v>47314</v>
      </c>
      <c r="Q10496" s="6"/>
      <c r="R10496" s="6"/>
      <c r="S10496" s="6"/>
      <c r="T10496" s="6"/>
      <c r="U10496" s="6"/>
      <c r="V10496" s="8"/>
      <c r="W10496" s="8"/>
      <c r="X10496" s="8"/>
      <c r="Y10496" s="8"/>
    </row>
    <row r="10497" ht="14.25">
      <c r="B10497" s="18" t="s">
        <v>206</v>
      </c>
      <c r="C10497" s="18" t="s">
        <v>47315</v>
      </c>
      <c r="D10497" s="18" t="s">
        <v>9532</v>
      </c>
      <c r="E10497" s="18" t="s">
        <v>47316</v>
      </c>
      <c r="F10497" s="18" t="str">
        <f>IFERROR(__XLUDF.DUMMYFUNCTION("PROPER(REGEXREPLACE(D409,""[^A-Za-z]+ "",""""))"),"Delecroix Stanczyk")</f>
        <v xml:space="preserve">Delecroix Stanczyk</v>
      </c>
      <c r="G10497" s="18" t="s">
        <v>47317</v>
      </c>
      <c r="H10497" s="18">
        <v>9</v>
      </c>
      <c r="I10497" s="18" t="s">
        <v>9239</v>
      </c>
      <c r="J10497" s="5" t="s">
        <v>47318</v>
      </c>
      <c r="K10497" s="5" t="s">
        <v>47319</v>
      </c>
      <c r="L10497" s="18" t="s">
        <v>47320</v>
      </c>
      <c r="M10497" s="18" t="s">
        <v>29</v>
      </c>
      <c r="N10497" s="18" t="s">
        <v>47321</v>
      </c>
      <c r="O10497" s="18" t="s">
        <v>29</v>
      </c>
      <c r="P10497" s="18" t="s">
        <v>47322</v>
      </c>
      <c r="Q10497" s="6"/>
      <c r="R10497" s="6"/>
      <c r="S10497" s="6"/>
      <c r="T10497" s="6"/>
      <c r="U10497" s="6"/>
      <c r="V10497" s="8"/>
      <c r="W10497" s="8"/>
      <c r="X10497" s="8"/>
      <c r="Y10497" s="8"/>
    </row>
    <row r="10498" ht="14.25">
      <c r="B10498" s="18" t="s">
        <v>1387</v>
      </c>
      <c r="C10498" s="18" t="s">
        <v>47323</v>
      </c>
      <c r="D10498" s="18" t="s">
        <v>468</v>
      </c>
      <c r="E10498" s="18" t="s">
        <v>47324</v>
      </c>
      <c r="F10498" s="18" t="str">
        <f>IFERROR(__XLUDF.DUMMYFUNCTION("PROPER(REGEXREPLACE(D410,""[^A-Za-z]+ "",""""))"),"Igesa")</f>
        <v>Igesa</v>
      </c>
      <c r="G10498" s="18" t="s">
        <v>47325</v>
      </c>
      <c r="H10498" s="18">
        <v>8</v>
      </c>
      <c r="I10498" s="18" t="s">
        <v>9239</v>
      </c>
      <c r="J10498" s="5" t="s">
        <v>47326</v>
      </c>
      <c r="K10498" s="5" t="s">
        <v>47327</v>
      </c>
      <c r="L10498" s="18" t="s">
        <v>39</v>
      </c>
      <c r="M10498" s="18" t="s">
        <v>29</v>
      </c>
      <c r="N10498" s="18" t="s">
        <v>47328</v>
      </c>
      <c r="O10498" s="18" t="s">
        <v>2554</v>
      </c>
      <c r="P10498" s="6"/>
      <c r="Q10498" s="6"/>
      <c r="R10498" s="6"/>
      <c r="S10498" s="6"/>
      <c r="T10498" s="6"/>
      <c r="U10498" s="6"/>
      <c r="V10498" s="8"/>
      <c r="W10498" s="8"/>
      <c r="X10498" s="8"/>
      <c r="Y10498" s="8"/>
    </row>
    <row r="10499" ht="14.25">
      <c r="B10499" s="18" t="s">
        <v>47329</v>
      </c>
      <c r="C10499" s="18" t="s">
        <v>540</v>
      </c>
      <c r="D10499" s="18" t="s">
        <v>487</v>
      </c>
      <c r="E10499" s="18" t="s">
        <v>47330</v>
      </c>
      <c r="F10499" s="18" t="str">
        <f>IFERROR(__XLUDF.DUMMYFUNCTION("PROPER(REGEXREPLACE(D411,""[^A-Za-z]+ "",""""))"),"Gautier Entreprise")</f>
        <v xml:space="preserve">Gautier Entreprise</v>
      </c>
      <c r="G10499" s="18" t="s">
        <v>47331</v>
      </c>
      <c r="H10499" s="18">
        <v>3</v>
      </c>
      <c r="I10499" s="18" t="s">
        <v>9239</v>
      </c>
      <c r="J10499" s="5" t="s">
        <v>47332</v>
      </c>
      <c r="K10499" s="5" t="s">
        <v>47333</v>
      </c>
      <c r="L10499" s="18" t="s">
        <v>492</v>
      </c>
      <c r="M10499" s="18" t="s">
        <v>29</v>
      </c>
      <c r="N10499" s="18" t="s">
        <v>47334</v>
      </c>
      <c r="O10499" s="18" t="s">
        <v>29</v>
      </c>
      <c r="P10499" s="18" t="s">
        <v>47335</v>
      </c>
      <c r="Q10499" s="6"/>
      <c r="R10499" s="6"/>
      <c r="S10499" s="6"/>
      <c r="T10499" s="6"/>
      <c r="U10499" s="6"/>
      <c r="V10499" s="8"/>
      <c r="W10499" s="8"/>
      <c r="X10499" s="8"/>
      <c r="Y10499" s="8"/>
    </row>
    <row r="10500" ht="14.25">
      <c r="B10500" s="18" t="s">
        <v>178</v>
      </c>
      <c r="C10500" s="18" t="s">
        <v>12923</v>
      </c>
      <c r="D10500" s="18" t="s">
        <v>47336</v>
      </c>
      <c r="E10500" s="18" t="s">
        <v>12925</v>
      </c>
      <c r="F10500" s="18" t="str">
        <f>IFERROR(__XLUDF.DUMMYFUNCTION("PROPER(REGEXREPLACE(D412,""[^A-Za-z]+ "",""""))"),"Groupe Amourdedieu")</f>
        <v xml:space="preserve">Groupe Amourdedieu</v>
      </c>
      <c r="G10500" s="18" t="s">
        <v>47337</v>
      </c>
      <c r="H10500" s="18">
        <v>27</v>
      </c>
      <c r="I10500" s="18" t="s">
        <v>9239</v>
      </c>
      <c r="J10500" s="5" t="s">
        <v>47338</v>
      </c>
      <c r="K10500" s="5" t="s">
        <v>47339</v>
      </c>
      <c r="L10500" s="18" t="s">
        <v>1015</v>
      </c>
      <c r="M10500" s="18" t="s">
        <v>29</v>
      </c>
      <c r="N10500" s="6"/>
      <c r="O10500" s="6"/>
      <c r="P10500" s="18" t="s">
        <v>12930</v>
      </c>
      <c r="Q10500" s="6"/>
      <c r="R10500" s="6"/>
      <c r="S10500" s="6"/>
      <c r="T10500" s="6"/>
      <c r="U10500" s="6"/>
      <c r="V10500" s="8"/>
      <c r="W10500" s="8"/>
      <c r="X10500" s="8"/>
      <c r="Y10500" s="8"/>
    </row>
    <row r="10501" ht="14.25">
      <c r="B10501" s="18" t="s">
        <v>76</v>
      </c>
      <c r="C10501" s="18" t="s">
        <v>47340</v>
      </c>
      <c r="D10501" s="18" t="s">
        <v>9532</v>
      </c>
      <c r="E10501" s="18" t="s">
        <v>47341</v>
      </c>
      <c r="F10501" s="18" t="str">
        <f>IFERROR(__XLUDF.DUMMYFUNCTION("PROPER(REGEXREPLACE(D413,""[^A-Za-z]+ "",""""))"),"Allouis Face In Tec®")</f>
        <v xml:space="preserve">Allouis Face In Tec®</v>
      </c>
      <c r="G10501" s="18" t="s">
        <v>47342</v>
      </c>
      <c r="H10501" s="18">
        <v>21</v>
      </c>
      <c r="I10501" s="18" t="s">
        <v>9239</v>
      </c>
      <c r="J10501" s="5" t="s">
        <v>47343</v>
      </c>
      <c r="K10501" s="5" t="s">
        <v>47344</v>
      </c>
      <c r="L10501" s="6"/>
      <c r="M10501" s="18" t="s">
        <v>29</v>
      </c>
      <c r="N10501" s="18" t="s">
        <v>47345</v>
      </c>
      <c r="O10501" s="18" t="s">
        <v>29</v>
      </c>
      <c r="P10501" s="6"/>
      <c r="Q10501" s="6"/>
      <c r="R10501" s="6"/>
      <c r="S10501" s="6"/>
      <c r="T10501" s="6"/>
      <c r="U10501" s="6"/>
      <c r="V10501" s="8"/>
      <c r="W10501" s="8"/>
      <c r="X10501" s="8"/>
      <c r="Y10501" s="8"/>
    </row>
    <row r="10502" ht="14.25">
      <c r="B10502" s="18" t="s">
        <v>1732</v>
      </c>
      <c r="C10502" s="18" t="s">
        <v>23505</v>
      </c>
      <c r="D10502" s="18" t="s">
        <v>172</v>
      </c>
      <c r="E10502" s="18" t="s">
        <v>47346</v>
      </c>
      <c r="F10502" s="18" t="str">
        <f>IFERROR(__XLUDF.DUMMYFUNCTION("PROPER(REGEXREPLACE(D414,""[^A-Za-z]+ "",""""))"),"Mtc Ii")</f>
        <v xml:space="preserve">Mtc Ii</v>
      </c>
      <c r="G10502" s="18" t="s">
        <v>47347</v>
      </c>
      <c r="H10502" s="18">
        <v>1</v>
      </c>
      <c r="I10502" s="18" t="s">
        <v>9239</v>
      </c>
      <c r="J10502" s="5" t="s">
        <v>47348</v>
      </c>
      <c r="K10502" s="5" t="s">
        <v>47349</v>
      </c>
      <c r="L10502" s="18" t="s">
        <v>295</v>
      </c>
      <c r="M10502" s="18" t="s">
        <v>29</v>
      </c>
      <c r="N10502" s="18" t="s">
        <v>47350</v>
      </c>
      <c r="O10502" s="18" t="s">
        <v>29</v>
      </c>
      <c r="P10502" s="6"/>
      <c r="Q10502" s="6"/>
      <c r="R10502" s="6"/>
      <c r="S10502" s="6"/>
      <c r="T10502" s="6"/>
      <c r="U10502" s="6"/>
      <c r="V10502" s="8"/>
      <c r="W10502" s="8"/>
      <c r="X10502" s="8"/>
      <c r="Y10502" s="8"/>
    </row>
    <row r="10503" ht="14.25">
      <c r="B10503" s="18" t="s">
        <v>485</v>
      </c>
      <c r="C10503" s="18" t="s">
        <v>47351</v>
      </c>
      <c r="D10503" s="18" t="s">
        <v>172</v>
      </c>
      <c r="E10503" s="18" t="s">
        <v>47125</v>
      </c>
      <c r="F10503" s="18" t="str">
        <f>IFERROR(__XLUDF.DUMMYFUNCTION("PROPER(REGEXREPLACE(D415,""[^A-Za-z]+ "",""""))"),"Altia Constructions")</f>
        <v xml:space="preserve">Altia Constructions</v>
      </c>
      <c r="G10503" s="18" t="s">
        <v>47352</v>
      </c>
      <c r="H10503" s="18">
        <v>5</v>
      </c>
      <c r="I10503" s="18" t="s">
        <v>9239</v>
      </c>
      <c r="J10503" s="5" t="s">
        <v>47353</v>
      </c>
      <c r="K10503" s="5" t="s">
        <v>47128</v>
      </c>
      <c r="L10503" s="18" t="s">
        <v>47354</v>
      </c>
      <c r="M10503" s="18" t="s">
        <v>29</v>
      </c>
      <c r="N10503" s="18" t="s">
        <v>47130</v>
      </c>
      <c r="O10503" s="18" t="s">
        <v>29</v>
      </c>
      <c r="P10503" s="6"/>
      <c r="Q10503" s="6"/>
      <c r="R10503" s="6"/>
      <c r="S10503" s="6"/>
      <c r="T10503" s="6"/>
      <c r="U10503" s="6"/>
      <c r="V10503" s="8"/>
      <c r="W10503" s="8"/>
      <c r="X10503" s="8"/>
      <c r="Y10503" s="8"/>
    </row>
    <row r="10504" ht="14.25">
      <c r="B10504" s="18" t="s">
        <v>661</v>
      </c>
      <c r="C10504" s="18" t="s">
        <v>47355</v>
      </c>
      <c r="D10504" s="18" t="s">
        <v>332</v>
      </c>
      <c r="E10504" s="18" t="s">
        <v>47356</v>
      </c>
      <c r="F10504" s="18" t="str">
        <f>IFERROR(__XLUDF.DUMMYFUNCTION("PROPER(REGEXREPLACE(D416,""[^A-Za-z]+ "",""""))"),"Habitat Environnement Services")</f>
        <v xml:space="preserve">Habitat Environnement Services</v>
      </c>
      <c r="G10504" s="18" t="s">
        <v>47357</v>
      </c>
      <c r="H10504" s="18">
        <v>13</v>
      </c>
      <c r="I10504" s="18" t="s">
        <v>9239</v>
      </c>
      <c r="J10504" s="5" t="s">
        <v>47358</v>
      </c>
      <c r="K10504" s="5" t="s">
        <v>47359</v>
      </c>
      <c r="L10504" s="18" t="s">
        <v>47360</v>
      </c>
      <c r="M10504" s="18" t="s">
        <v>29</v>
      </c>
      <c r="N10504" s="18" t="s">
        <v>47361</v>
      </c>
      <c r="O10504" s="18" t="s">
        <v>29</v>
      </c>
      <c r="P10504" s="18" t="s">
        <v>47362</v>
      </c>
      <c r="Q10504" s="6"/>
      <c r="R10504" s="6"/>
      <c r="S10504" s="6"/>
      <c r="T10504" s="6"/>
      <c r="U10504" s="6"/>
      <c r="V10504" s="8"/>
      <c r="W10504" s="8"/>
      <c r="X10504" s="8"/>
      <c r="Y10504" s="8"/>
    </row>
    <row r="10505" ht="14.25">
      <c r="B10505" s="18" t="s">
        <v>29</v>
      </c>
      <c r="C10505" s="18" t="s">
        <v>47363</v>
      </c>
      <c r="D10505" s="18" t="s">
        <v>164</v>
      </c>
      <c r="E10505" s="18" t="s">
        <v>47364</v>
      </c>
      <c r="F10505" s="18" t="str">
        <f>IFERROR(__XLUDF.DUMMYFUNCTION("PROPER(REGEXREPLACE(D417,""[^A-Za-z]+ "",""""))"),"Bet Adam Structures")</f>
        <v xml:space="preserve">Bet Adam Structures</v>
      </c>
      <c r="G10505" s="18" t="s">
        <v>47365</v>
      </c>
      <c r="H10505" s="6"/>
      <c r="I10505" s="6"/>
      <c r="J10505" s="5" t="s">
        <v>47366</v>
      </c>
      <c r="K10505" s="5" t="s">
        <v>47367</v>
      </c>
      <c r="L10505" s="18" t="s">
        <v>1780</v>
      </c>
      <c r="M10505" s="18" t="s">
        <v>29</v>
      </c>
      <c r="N10505" s="18" t="s">
        <v>47368</v>
      </c>
      <c r="O10505" s="18" t="s">
        <v>29</v>
      </c>
      <c r="P10505" s="6"/>
      <c r="Q10505" s="6"/>
      <c r="R10505" s="6"/>
      <c r="S10505" s="6"/>
      <c r="T10505" s="6"/>
      <c r="U10505" s="6"/>
      <c r="V10505" s="8"/>
      <c r="W10505" s="8"/>
      <c r="X10505" s="8"/>
      <c r="Y10505" s="8"/>
    </row>
    <row r="10506" ht="14.25">
      <c r="B10506" s="18" t="s">
        <v>2419</v>
      </c>
      <c r="C10506" s="18" t="s">
        <v>3165</v>
      </c>
      <c r="D10506" s="18" t="s">
        <v>172</v>
      </c>
      <c r="E10506" s="18" t="s">
        <v>47369</v>
      </c>
      <c r="F10506" s="18" t="str">
        <f>IFERROR(__XLUDF.DUMMYFUNCTION("PROPER(REGEXREPLACE(D418,""[^A-Za-z]+ "",""""))"),"Renaud Bâtiment")</f>
        <v xml:space="preserve">Renaud Bâtiment</v>
      </c>
      <c r="G10506" s="18" t="s">
        <v>47370</v>
      </c>
      <c r="H10506" s="18">
        <v>4</v>
      </c>
      <c r="I10506" s="18" t="s">
        <v>9239</v>
      </c>
      <c r="J10506" s="5" t="s">
        <v>47371</v>
      </c>
      <c r="K10506" s="5" t="s">
        <v>47372</v>
      </c>
      <c r="L10506" s="18" t="s">
        <v>185</v>
      </c>
      <c r="M10506" s="18" t="s">
        <v>29</v>
      </c>
      <c r="N10506" s="18" t="s">
        <v>47373</v>
      </c>
      <c r="O10506" s="18" t="s">
        <v>29</v>
      </c>
      <c r="P10506" s="6"/>
      <c r="Q10506" s="6"/>
      <c r="R10506" s="6"/>
      <c r="S10506" s="6"/>
      <c r="T10506" s="6"/>
      <c r="U10506" s="6"/>
      <c r="V10506" s="8"/>
      <c r="W10506" s="8"/>
      <c r="X10506" s="8"/>
      <c r="Y10506" s="8"/>
    </row>
    <row r="10507" ht="14.25">
      <c r="B10507" s="18" t="s">
        <v>734</v>
      </c>
      <c r="C10507" s="18" t="s">
        <v>47374</v>
      </c>
      <c r="D10507" s="18" t="s">
        <v>112</v>
      </c>
      <c r="E10507" s="18" t="s">
        <v>47375</v>
      </c>
      <c r="F10507" s="18" t="str">
        <f>IFERROR(__XLUDF.DUMMYFUNCTION("PROPER(REGEXREPLACE(D419,""[^A-Za-z]+ "",""""))"),"Lachaumette Chaput")</f>
        <v xml:space="preserve">Lachaumette Chaput</v>
      </c>
      <c r="G10507" s="18" t="s">
        <v>47376</v>
      </c>
      <c r="H10507" s="18">
        <v>17</v>
      </c>
      <c r="I10507" s="18" t="s">
        <v>9239</v>
      </c>
      <c r="J10507" s="5" t="s">
        <v>47377</v>
      </c>
      <c r="K10507" s="5" t="s">
        <v>47378</v>
      </c>
      <c r="L10507" s="18" t="s">
        <v>39</v>
      </c>
      <c r="M10507" s="18" t="s">
        <v>29</v>
      </c>
      <c r="N10507" s="18" t="s">
        <v>47379</v>
      </c>
      <c r="O10507" s="18" t="s">
        <v>29</v>
      </c>
      <c r="P10507" s="18" t="s">
        <v>47380</v>
      </c>
      <c r="Q10507" s="6"/>
      <c r="R10507" s="6"/>
      <c r="S10507" s="6"/>
      <c r="T10507" s="6"/>
      <c r="U10507" s="6"/>
      <c r="V10507" s="8"/>
      <c r="W10507" s="8"/>
      <c r="X10507" s="8"/>
      <c r="Y10507" s="8"/>
    </row>
    <row r="10508" ht="14.25">
      <c r="B10508" s="18" t="s">
        <v>604</v>
      </c>
      <c r="C10508" s="18" t="s">
        <v>47381</v>
      </c>
      <c r="D10508" s="18" t="s">
        <v>112</v>
      </c>
      <c r="E10508" s="18" t="s">
        <v>47382</v>
      </c>
      <c r="F10508" s="18" t="str">
        <f>IFERROR(__XLUDF.DUMMYFUNCTION("PROPER(REGEXREPLACE(D420,""[^A-Za-z]+ "",""""))"),"Porcheron Freres Et Cie")</f>
        <v xml:space="preserve">Porcheron Freres Et Cie</v>
      </c>
      <c r="G10508" s="18" t="s">
        <v>47383</v>
      </c>
      <c r="H10508" s="18">
        <v>15</v>
      </c>
      <c r="I10508" s="18" t="s">
        <v>9239</v>
      </c>
      <c r="J10508" s="5" t="s">
        <v>47384</v>
      </c>
      <c r="K10508" s="5" t="s">
        <v>47385</v>
      </c>
      <c r="L10508" s="18" t="s">
        <v>47386</v>
      </c>
      <c r="M10508" s="18" t="s">
        <v>29</v>
      </c>
      <c r="N10508" s="18" t="s">
        <v>47387</v>
      </c>
      <c r="O10508" s="18" t="s">
        <v>1938</v>
      </c>
      <c r="P10508" s="18" t="s">
        <v>47388</v>
      </c>
      <c r="Q10508" s="6"/>
      <c r="R10508" s="6"/>
      <c r="S10508" s="6"/>
      <c r="T10508" s="6"/>
      <c r="U10508" s="6"/>
      <c r="V10508" s="8"/>
      <c r="W10508" s="8"/>
      <c r="X10508" s="8"/>
      <c r="Y10508" s="8"/>
    </row>
    <row r="10509" ht="14.25">
      <c r="B10509" s="18" t="s">
        <v>47389</v>
      </c>
      <c r="C10509" s="18" t="s">
        <v>47390</v>
      </c>
      <c r="D10509" s="18" t="s">
        <v>1867</v>
      </c>
      <c r="E10509" s="18" t="s">
        <v>47391</v>
      </c>
      <c r="F10509" s="18" t="str">
        <f>IFERROR(__XLUDF.DUMMYFUNCTION("PROPER(REGEXREPLACE(D421,""[^A-Za-z]+ "",""""))"),"Dg Group")</f>
        <v xml:space="preserve">Dg Group</v>
      </c>
      <c r="G10509" s="18" t="s">
        <v>47392</v>
      </c>
      <c r="H10509" s="18">
        <v>23</v>
      </c>
      <c r="I10509" s="18" t="s">
        <v>9239</v>
      </c>
      <c r="J10509" s="5" t="s">
        <v>47393</v>
      </c>
      <c r="K10509" s="5" t="s">
        <v>47394</v>
      </c>
      <c r="L10509" s="18" t="s">
        <v>39</v>
      </c>
      <c r="M10509" s="18" t="s">
        <v>29</v>
      </c>
      <c r="N10509" s="18" t="s">
        <v>47395</v>
      </c>
      <c r="O10509" s="18" t="s">
        <v>29</v>
      </c>
      <c r="P10509" s="18" t="s">
        <v>47396</v>
      </c>
      <c r="Q10509" s="6"/>
      <c r="R10509" s="6"/>
      <c r="S10509" s="6"/>
      <c r="T10509" s="6"/>
      <c r="U10509" s="6"/>
      <c r="V10509" s="8"/>
      <c r="W10509" s="8"/>
      <c r="X10509" s="8"/>
      <c r="Y10509" s="8"/>
    </row>
    <row r="10510" ht="14.25">
      <c r="B10510" s="18" t="s">
        <v>34878</v>
      </c>
      <c r="C10510" s="18" t="s">
        <v>15353</v>
      </c>
      <c r="D10510" s="18" t="s">
        <v>1130</v>
      </c>
      <c r="E10510" s="18" t="s">
        <v>47397</v>
      </c>
      <c r="F10510" s="18" t="str">
        <f>IFERROR(__XLUDF.DUMMYFUNCTION("PROPER(REGEXREPLACE(D422,""[^A-Za-z]+ "",""""))"),"Miroiterie Schultz")</f>
        <v xml:space="preserve">Miroiterie Schultz</v>
      </c>
      <c r="G10510" s="18" t="s">
        <v>47398</v>
      </c>
      <c r="H10510" s="6"/>
      <c r="I10510" s="6"/>
      <c r="J10510" s="5" t="s">
        <v>47399</v>
      </c>
      <c r="K10510" s="5" t="s">
        <v>47400</v>
      </c>
      <c r="L10510" s="18" t="s">
        <v>47401</v>
      </c>
      <c r="M10510" s="18" t="s">
        <v>29</v>
      </c>
      <c r="N10510" s="18" t="s">
        <v>47402</v>
      </c>
      <c r="O10510" s="18" t="s">
        <v>29</v>
      </c>
      <c r="P10510" s="6"/>
      <c r="Q10510" s="6"/>
      <c r="R10510" s="6"/>
      <c r="S10510" s="6"/>
      <c r="T10510" s="6"/>
      <c r="U10510" s="6"/>
      <c r="V10510" s="8"/>
      <c r="W10510" s="8"/>
      <c r="X10510" s="8"/>
      <c r="Y10510" s="8"/>
    </row>
    <row r="10511" ht="14.25">
      <c r="B10511" s="18" t="s">
        <v>971</v>
      </c>
      <c r="C10511" s="18" t="s">
        <v>3272</v>
      </c>
      <c r="D10511" s="18" t="s">
        <v>112</v>
      </c>
      <c r="E10511" s="18" t="s">
        <v>47403</v>
      </c>
      <c r="F10511" s="18" t="str">
        <f>IFERROR(__XLUDF.DUMMYFUNCTION("PROPER(REGEXREPLACE(D423,""[^A-Za-z]+ "",""""))"),"Creabois Aménagement")</f>
        <v xml:space="preserve">Creabois Aménagement</v>
      </c>
      <c r="G10511" s="18" t="s">
        <v>47404</v>
      </c>
      <c r="H10511" s="18">
        <v>9</v>
      </c>
      <c r="I10511" s="18" t="s">
        <v>9239</v>
      </c>
      <c r="J10511" s="5" t="s">
        <v>47405</v>
      </c>
      <c r="K10511" s="5" t="s">
        <v>47406</v>
      </c>
      <c r="L10511" s="18" t="s">
        <v>185</v>
      </c>
      <c r="M10511" s="18" t="s">
        <v>29</v>
      </c>
      <c r="N10511" s="18" t="s">
        <v>47407</v>
      </c>
      <c r="O10511" s="18" t="s">
        <v>29</v>
      </c>
      <c r="P10511" s="18" t="s">
        <v>47408</v>
      </c>
      <c r="Q10511" s="6"/>
      <c r="R10511" s="6"/>
      <c r="S10511" s="6"/>
      <c r="T10511" s="6"/>
      <c r="U10511" s="6"/>
      <c r="V10511" s="8"/>
      <c r="W10511" s="8"/>
      <c r="X10511" s="8"/>
      <c r="Y10511" s="8"/>
    </row>
    <row r="10512" ht="14.25">
      <c r="B10512" s="18" t="s">
        <v>6356</v>
      </c>
      <c r="C10512" s="18" t="s">
        <v>47409</v>
      </c>
      <c r="D10512" s="18" t="s">
        <v>120</v>
      </c>
      <c r="E10512" s="18" t="s">
        <v>47410</v>
      </c>
      <c r="F10512" s="18" t="str">
        <f>IFERROR(__XLUDF.DUMMYFUNCTION("PROPER(REGEXREPLACE(D424,""[^A-Za-z]+ "",""""))"),"Vestack")</f>
        <v>Vestack</v>
      </c>
      <c r="G10512" s="18" t="s">
        <v>47411</v>
      </c>
      <c r="H10512" s="18">
        <v>48</v>
      </c>
      <c r="I10512" s="18" t="s">
        <v>9239</v>
      </c>
      <c r="J10512" s="5" t="s">
        <v>47412</v>
      </c>
      <c r="K10512" s="5" t="s">
        <v>47413</v>
      </c>
      <c r="L10512" s="6"/>
      <c r="M10512" s="18" t="s">
        <v>29</v>
      </c>
      <c r="N10512" s="18" t="s">
        <v>47414</v>
      </c>
      <c r="O10512" s="18" t="s">
        <v>29</v>
      </c>
      <c r="P10512" s="18" t="s">
        <v>47415</v>
      </c>
      <c r="Q10512" s="6"/>
      <c r="R10512" s="6"/>
      <c r="S10512" s="6"/>
      <c r="T10512" s="6"/>
      <c r="U10512" s="6"/>
      <c r="V10512" s="8"/>
      <c r="W10512" s="8"/>
      <c r="X10512" s="8"/>
      <c r="Y10512" s="8"/>
    </row>
    <row r="10513" ht="14.25">
      <c r="B10513" s="18" t="s">
        <v>710</v>
      </c>
      <c r="C10513" s="18" t="s">
        <v>47416</v>
      </c>
      <c r="D10513" s="18" t="s">
        <v>112</v>
      </c>
      <c r="E10513" s="18" t="s">
        <v>47417</v>
      </c>
      <c r="F10513" s="18" t="str">
        <f>IFERROR(__XLUDF.DUMMYFUNCTION("PROPER(REGEXREPLACE(D425,""[^A-Za-z]+ "",""""))"),"Kaliti")</f>
        <v>Kaliti</v>
      </c>
      <c r="G10513" s="18" t="s">
        <v>47418</v>
      </c>
      <c r="H10513" s="18">
        <v>33</v>
      </c>
      <c r="I10513" s="18" t="s">
        <v>9239</v>
      </c>
      <c r="J10513" s="5" t="s">
        <v>47419</v>
      </c>
      <c r="K10513" s="5" t="s">
        <v>47420</v>
      </c>
      <c r="L10513" s="18" t="s">
        <v>39</v>
      </c>
      <c r="M10513" s="18" t="s">
        <v>29</v>
      </c>
      <c r="N10513" s="18" t="s">
        <v>47421</v>
      </c>
      <c r="O10513" s="18" t="s">
        <v>29</v>
      </c>
      <c r="P10513" s="18" t="s">
        <v>47422</v>
      </c>
      <c r="Q10513" s="6"/>
      <c r="R10513" s="6"/>
      <c r="S10513" s="6"/>
      <c r="T10513" s="6"/>
      <c r="U10513" s="6"/>
      <c r="V10513" s="8"/>
      <c r="W10513" s="8"/>
      <c r="X10513" s="8"/>
      <c r="Y10513" s="8"/>
    </row>
    <row r="10514" ht="14.25">
      <c r="B10514" s="18" t="s">
        <v>1128</v>
      </c>
      <c r="C10514" s="18" t="s">
        <v>47423</v>
      </c>
      <c r="D10514" s="18" t="s">
        <v>87</v>
      </c>
      <c r="E10514" s="18" t="s">
        <v>47424</v>
      </c>
      <c r="F10514" s="18" t="str">
        <f>IFERROR(__XLUDF.DUMMYFUNCTION("PROPER(REGEXREPLACE(D426,""[^A-Za-z]+ "",""""))"),"P&amp;T Technologie Sas")</f>
        <v xml:space="preserve">P&amp;T Technologie Sas</v>
      </c>
      <c r="G10514" s="18" t="s">
        <v>47425</v>
      </c>
      <c r="H10514" s="18">
        <v>50</v>
      </c>
      <c r="I10514" s="18" t="s">
        <v>9239</v>
      </c>
      <c r="J10514" s="5" t="s">
        <v>47426</v>
      </c>
      <c r="K10514" s="5" t="s">
        <v>47427</v>
      </c>
      <c r="L10514" s="18" t="s">
        <v>1826</v>
      </c>
      <c r="M10514" s="18" t="s">
        <v>29</v>
      </c>
      <c r="N10514" s="18" t="s">
        <v>47428</v>
      </c>
      <c r="O10514" s="18" t="s">
        <v>29</v>
      </c>
      <c r="P10514" s="6"/>
      <c r="Q10514" s="6"/>
      <c r="R10514" s="6"/>
      <c r="S10514" s="6"/>
      <c r="T10514" s="6"/>
      <c r="U10514" s="6"/>
      <c r="V10514" s="8"/>
      <c r="W10514" s="8"/>
      <c r="X10514" s="8"/>
      <c r="Y10514" s="8"/>
    </row>
    <row r="10515" ht="14.25">
      <c r="B10515" s="18" t="s">
        <v>485</v>
      </c>
      <c r="C10515" s="18" t="s">
        <v>47429</v>
      </c>
      <c r="D10515" s="18" t="s">
        <v>112</v>
      </c>
      <c r="E10515" s="18" t="s">
        <v>47430</v>
      </c>
      <c r="F10515" s="18" t="str">
        <f>IFERROR(__XLUDF.DUMMYFUNCTION("PROPER(REGEXREPLACE(D427,""[^A-Za-z]+ "",""""))"),"Vial Climatique")</f>
        <v xml:space="preserve">Vial Climatique</v>
      </c>
      <c r="G10515" s="18" t="s">
        <v>47431</v>
      </c>
      <c r="H10515" s="18">
        <v>23</v>
      </c>
      <c r="I10515" s="18" t="s">
        <v>9239</v>
      </c>
      <c r="J10515" s="5" t="s">
        <v>47432</v>
      </c>
      <c r="K10515" s="5" t="s">
        <v>47433</v>
      </c>
      <c r="L10515" s="18" t="s">
        <v>185</v>
      </c>
      <c r="M10515" s="18" t="s">
        <v>29</v>
      </c>
      <c r="N10515" s="18" t="s">
        <v>47434</v>
      </c>
      <c r="O10515" s="18" t="s">
        <v>29</v>
      </c>
      <c r="P10515" s="6"/>
      <c r="Q10515" s="6"/>
      <c r="R10515" s="6"/>
      <c r="S10515" s="6"/>
      <c r="T10515" s="6"/>
      <c r="U10515" s="6"/>
      <c r="V10515" s="8"/>
      <c r="W10515" s="8"/>
      <c r="X10515" s="8"/>
      <c r="Y10515" s="8"/>
    </row>
    <row r="10516" ht="14.25">
      <c r="B10516" s="18" t="s">
        <v>817</v>
      </c>
      <c r="C10516" s="18" t="s">
        <v>47435</v>
      </c>
      <c r="D10516" s="18" t="s">
        <v>5003</v>
      </c>
      <c r="E10516" s="18" t="s">
        <v>13203</v>
      </c>
      <c r="F10516" s="18" t="str">
        <f>IFERROR(__XLUDF.DUMMYFUNCTION("PROPER(REGEXREPLACE(D428,""[^A-Za-z]+ "",""""))"),"Projim")</f>
        <v>Projim</v>
      </c>
      <c r="G10516" s="18" t="s">
        <v>47436</v>
      </c>
      <c r="H10516" s="18">
        <v>11</v>
      </c>
      <c r="I10516" s="18" t="s">
        <v>4293</v>
      </c>
      <c r="J10516" s="5" t="s">
        <v>47437</v>
      </c>
      <c r="K10516" s="5" t="s">
        <v>47438</v>
      </c>
      <c r="L10516" s="18" t="s">
        <v>39</v>
      </c>
      <c r="M10516" s="18" t="s">
        <v>29</v>
      </c>
      <c r="N10516" s="18" t="s">
        <v>47439</v>
      </c>
      <c r="O10516" s="18" t="s">
        <v>29</v>
      </c>
      <c r="P10516" s="18" t="s">
        <v>13208</v>
      </c>
      <c r="Q10516" s="6"/>
      <c r="R10516" s="6"/>
      <c r="S10516" s="6"/>
      <c r="T10516" s="6"/>
      <c r="U10516" s="6"/>
      <c r="V10516" s="8"/>
      <c r="W10516" s="8"/>
      <c r="X10516" s="8"/>
      <c r="Y10516" s="8"/>
    </row>
    <row r="10517" ht="14.25">
      <c r="B10517" s="18" t="s">
        <v>47440</v>
      </c>
      <c r="C10517" s="18" t="s">
        <v>2419</v>
      </c>
      <c r="D10517" s="18" t="s">
        <v>47441</v>
      </c>
      <c r="E10517" s="18" t="s">
        <v>47442</v>
      </c>
      <c r="F10517" s="18" t="str">
        <f>IFERROR(__XLUDF.DUMMYFUNCTION("PROPER(REGEXREPLACE(D429,""[^A-Za-z]+ "",""""))"),"Atlantic Modulaire")</f>
        <v xml:space="preserve">Atlantic Modulaire</v>
      </c>
      <c r="G10517" s="18" t="s">
        <v>47443</v>
      </c>
      <c r="H10517" s="18">
        <v>18</v>
      </c>
      <c r="I10517" s="18" t="s">
        <v>9239</v>
      </c>
      <c r="J10517" s="5" t="s">
        <v>47444</v>
      </c>
      <c r="K10517" s="5" t="s">
        <v>47445</v>
      </c>
      <c r="L10517" s="18" t="s">
        <v>4303</v>
      </c>
      <c r="M10517" s="18" t="s">
        <v>29</v>
      </c>
      <c r="N10517" s="18" t="s">
        <v>47446</v>
      </c>
      <c r="O10517" s="18" t="s">
        <v>29</v>
      </c>
      <c r="P10517" s="6"/>
      <c r="Q10517" s="6"/>
      <c r="R10517" s="6"/>
      <c r="S10517" s="6"/>
      <c r="T10517" s="6"/>
      <c r="U10517" s="6"/>
      <c r="V10517" s="8"/>
      <c r="W10517" s="8"/>
      <c r="X10517" s="8"/>
      <c r="Y10517" s="8"/>
    </row>
    <row r="10518" ht="14.25">
      <c r="B10518" s="18" t="s">
        <v>874</v>
      </c>
      <c r="C10518" s="18" t="s">
        <v>11099</v>
      </c>
      <c r="D10518" s="18" t="s">
        <v>3090</v>
      </c>
      <c r="E10518" s="18" t="s">
        <v>47447</v>
      </c>
      <c r="F10518" s="18" t="str">
        <f>IFERROR(__XLUDF.DUMMYFUNCTION("PROPER(REGEXREPLACE(D430,""[^A-Za-z]+ "",""""))"),"Xtreee The Large-Scale 3D")</f>
        <v xml:space="preserve">Xtreee The Large-Scale 3D</v>
      </c>
      <c r="G10518" s="18" t="s">
        <v>47448</v>
      </c>
      <c r="H10518" s="18">
        <v>20</v>
      </c>
      <c r="I10518" s="18" t="s">
        <v>9239</v>
      </c>
      <c r="J10518" s="5" t="s">
        <v>47449</v>
      </c>
      <c r="K10518" s="5" t="s">
        <v>47450</v>
      </c>
      <c r="L10518" s="18" t="s">
        <v>47451</v>
      </c>
      <c r="M10518" s="18" t="s">
        <v>29</v>
      </c>
      <c r="N10518" s="18" t="s">
        <v>47452</v>
      </c>
      <c r="O10518" s="18" t="s">
        <v>29</v>
      </c>
      <c r="P10518" s="18" t="s">
        <v>47453</v>
      </c>
      <c r="Q10518" s="6"/>
      <c r="R10518" s="6"/>
      <c r="S10518" s="6"/>
      <c r="T10518" s="6"/>
      <c r="U10518" s="6"/>
      <c r="V10518" s="8"/>
      <c r="W10518" s="8"/>
      <c r="X10518" s="8"/>
      <c r="Y10518" s="8"/>
    </row>
    <row r="10519" ht="14.25">
      <c r="B10519" s="18" t="s">
        <v>20</v>
      </c>
      <c r="C10519" s="18" t="s">
        <v>47454</v>
      </c>
      <c r="D10519" s="18" t="s">
        <v>47455</v>
      </c>
      <c r="E10519" s="18" t="s">
        <v>47456</v>
      </c>
      <c r="F10519" s="18" t="str">
        <f>IFERROR(__XLUDF.DUMMYFUNCTION("PROPER(REGEXREPLACE(D431,""[^A-Za-z]+ "",""""))"),"Groupe Ecolis")</f>
        <v xml:space="preserve">Groupe Ecolis</v>
      </c>
      <c r="G10519" s="18" t="s">
        <v>47457</v>
      </c>
      <c r="H10519" s="18">
        <v>6</v>
      </c>
      <c r="I10519" s="18" t="s">
        <v>9239</v>
      </c>
      <c r="J10519" s="5" t="s">
        <v>47458</v>
      </c>
      <c r="K10519" s="5" t="s">
        <v>47459</v>
      </c>
      <c r="L10519" s="18" t="s">
        <v>846</v>
      </c>
      <c r="M10519" s="18" t="s">
        <v>29</v>
      </c>
      <c r="N10519" s="18" t="s">
        <v>47460</v>
      </c>
      <c r="O10519" s="18" t="s">
        <v>29</v>
      </c>
      <c r="P10519" s="6"/>
      <c r="Q10519" s="6"/>
      <c r="R10519" s="6"/>
      <c r="S10519" s="6"/>
      <c r="T10519" s="6"/>
      <c r="U10519" s="6"/>
      <c r="V10519" s="8"/>
      <c r="W10519" s="8"/>
      <c r="X10519" s="8"/>
      <c r="Y10519" s="8"/>
    </row>
    <row r="10520" ht="14.25">
      <c r="B10520" s="18" t="s">
        <v>971</v>
      </c>
      <c r="C10520" s="18" t="s">
        <v>47461</v>
      </c>
      <c r="D10520" s="18" t="s">
        <v>172</v>
      </c>
      <c r="E10520" s="18" t="s">
        <v>46401</v>
      </c>
      <c r="F10520" s="18" t="str">
        <f>IFERROR(__XLUDF.DUMMYFUNCTION("PROPER(REGEXREPLACE(D432,""[^A-Za-z]+ "",""""))"),"Groupe Ciméo")</f>
        <v xml:space="preserve">Groupe Ciméo</v>
      </c>
      <c r="G10520" s="18" t="s">
        <v>47462</v>
      </c>
      <c r="H10520" s="18">
        <v>20</v>
      </c>
      <c r="I10520" s="18" t="s">
        <v>9239</v>
      </c>
      <c r="J10520" s="5" t="s">
        <v>47463</v>
      </c>
      <c r="K10520" s="5" t="s">
        <v>46404</v>
      </c>
      <c r="L10520" s="18" t="s">
        <v>1826</v>
      </c>
      <c r="M10520" s="18" t="s">
        <v>29</v>
      </c>
      <c r="N10520" s="18" t="s">
        <v>46405</v>
      </c>
      <c r="O10520" s="18" t="s">
        <v>29</v>
      </c>
      <c r="P10520" s="18" t="s">
        <v>46406</v>
      </c>
      <c r="Q10520" s="6"/>
      <c r="R10520" s="6"/>
      <c r="S10520" s="6"/>
      <c r="T10520" s="6"/>
      <c r="U10520" s="6"/>
      <c r="V10520" s="8"/>
      <c r="W10520" s="8"/>
      <c r="X10520" s="8"/>
      <c r="Y10520" s="8"/>
    </row>
    <row r="10521" ht="14.25">
      <c r="B10521" s="18" t="s">
        <v>971</v>
      </c>
      <c r="C10521" s="18" t="s">
        <v>47464</v>
      </c>
      <c r="D10521" s="18" t="s">
        <v>426</v>
      </c>
      <c r="E10521" s="18" t="s">
        <v>47465</v>
      </c>
      <c r="F10521" s="18" t="str">
        <f>IFERROR(__XLUDF.DUMMYFUNCTION("PROPER(REGEXREPLACE(D433,""[^A-Za-z]+ "",""""))"),"Life Ingénierieconstructions")</f>
        <v xml:space="preserve">Life Ingénierieconstructions</v>
      </c>
      <c r="G10521" s="18" t="s">
        <v>47466</v>
      </c>
      <c r="H10521" s="18">
        <v>20</v>
      </c>
      <c r="I10521" s="18" t="s">
        <v>9239</v>
      </c>
      <c r="J10521" s="5" t="s">
        <v>47467</v>
      </c>
      <c r="K10521" s="5" t="s">
        <v>47468</v>
      </c>
      <c r="L10521" s="6"/>
      <c r="M10521" s="18" t="s">
        <v>29</v>
      </c>
      <c r="N10521" s="18" t="s">
        <v>47469</v>
      </c>
      <c r="O10521" s="18" t="s">
        <v>29</v>
      </c>
      <c r="P10521" s="18" t="s">
        <v>47470</v>
      </c>
      <c r="Q10521" s="6"/>
      <c r="R10521" s="6"/>
      <c r="S10521" s="6"/>
      <c r="T10521" s="6"/>
      <c r="U10521" s="6"/>
      <c r="V10521" s="8"/>
      <c r="W10521" s="8"/>
      <c r="X10521" s="8"/>
      <c r="Y10521" s="8"/>
    </row>
    <row r="10522" ht="14.25">
      <c r="B10522" s="18" t="s">
        <v>808</v>
      </c>
      <c r="C10522" s="18" t="s">
        <v>47471</v>
      </c>
      <c r="D10522" s="18" t="s">
        <v>87</v>
      </c>
      <c r="E10522" s="18" t="s">
        <v>47472</v>
      </c>
      <c r="F10522" s="18" t="str">
        <f>IFERROR(__XLUDF.DUMMYFUNCTION("PROPER(REGEXREPLACE(D434,""[^A-Za-z]+ "",""""))"),"Soreba")</f>
        <v>Soreba</v>
      </c>
      <c r="G10522" s="18" t="s">
        <v>47473</v>
      </c>
      <c r="H10522" s="18">
        <v>12</v>
      </c>
      <c r="I10522" s="18" t="s">
        <v>9239</v>
      </c>
      <c r="J10522" s="5" t="s">
        <v>47474</v>
      </c>
      <c r="K10522" s="5" t="s">
        <v>47475</v>
      </c>
      <c r="L10522" s="18" t="s">
        <v>47476</v>
      </c>
      <c r="M10522" s="18" t="s">
        <v>29</v>
      </c>
      <c r="N10522" s="18" t="s">
        <v>47477</v>
      </c>
      <c r="O10522" s="18" t="s">
        <v>29</v>
      </c>
      <c r="P10522" s="18" t="s">
        <v>47478</v>
      </c>
      <c r="Q10522" s="6"/>
      <c r="R10522" s="6"/>
      <c r="S10522" s="6"/>
      <c r="T10522" s="6"/>
      <c r="U10522" s="6"/>
      <c r="V10522" s="8"/>
      <c r="W10522" s="8"/>
      <c r="X10522" s="8"/>
      <c r="Y10522" s="8"/>
    </row>
    <row r="10523" ht="14.25">
      <c r="B10523" s="18" t="s">
        <v>1619</v>
      </c>
      <c r="C10523" s="18" t="s">
        <v>47479</v>
      </c>
      <c r="D10523" s="18" t="s">
        <v>40860</v>
      </c>
      <c r="E10523" s="18" t="s">
        <v>47480</v>
      </c>
      <c r="F10523" s="18" t="str">
        <f>IFERROR(__XLUDF.DUMMYFUNCTION("PROPER(REGEXREPLACE(D435,""[^A-Za-z]+ "",""""))"),"Teploenergies")</f>
        <v>Teploenergies</v>
      </c>
      <c r="G10523" s="18" t="s">
        <v>47481</v>
      </c>
      <c r="H10523" s="18">
        <v>2</v>
      </c>
      <c r="I10523" s="18" t="s">
        <v>9239</v>
      </c>
      <c r="J10523" s="5" t="s">
        <v>47482</v>
      </c>
      <c r="K10523" s="5" t="s">
        <v>47483</v>
      </c>
      <c r="L10523" s="18" t="s">
        <v>39</v>
      </c>
      <c r="M10523" s="18" t="s">
        <v>29</v>
      </c>
      <c r="N10523" s="18" t="s">
        <v>47484</v>
      </c>
      <c r="O10523" s="18" t="s">
        <v>29</v>
      </c>
      <c r="P10523" s="6"/>
      <c r="Q10523" s="6"/>
      <c r="R10523" s="6"/>
      <c r="S10523" s="6"/>
      <c r="T10523" s="6"/>
      <c r="U10523" s="6"/>
      <c r="V10523" s="8"/>
      <c r="W10523" s="8"/>
      <c r="X10523" s="8"/>
      <c r="Y10523" s="8"/>
    </row>
    <row r="10524" ht="14.25">
      <c r="B10524" s="18" t="s">
        <v>963</v>
      </c>
      <c r="C10524" s="18" t="s">
        <v>9048</v>
      </c>
      <c r="D10524" s="18" t="s">
        <v>7759</v>
      </c>
      <c r="E10524" s="18" t="s">
        <v>47485</v>
      </c>
      <c r="F10524" s="18" t="str">
        <f>IFERROR(__XLUDF.DUMMYFUNCTION("PROPER(REGEXREPLACE(D436,""[^A-Za-z]+ "",""""))"),"Sylneo")</f>
        <v>Sylneo</v>
      </c>
      <c r="G10524" s="18" t="s">
        <v>47486</v>
      </c>
      <c r="H10524" s="18">
        <v>20</v>
      </c>
      <c r="I10524" s="18" t="s">
        <v>9239</v>
      </c>
      <c r="J10524" s="5" t="s">
        <v>47487</v>
      </c>
      <c r="K10524" s="5" t="s">
        <v>47488</v>
      </c>
      <c r="L10524" s="18" t="s">
        <v>1711</v>
      </c>
      <c r="M10524" s="18" t="s">
        <v>29</v>
      </c>
      <c r="N10524" s="18" t="s">
        <v>29</v>
      </c>
      <c r="O10524" s="18" t="s">
        <v>29</v>
      </c>
      <c r="P10524" s="18" t="s">
        <v>47489</v>
      </c>
      <c r="Q10524" s="6"/>
      <c r="R10524" s="6"/>
      <c r="S10524" s="6"/>
      <c r="T10524" s="6"/>
      <c r="U10524" s="6"/>
      <c r="V10524" s="8"/>
      <c r="W10524" s="8"/>
      <c r="X10524" s="8"/>
      <c r="Y10524" s="8"/>
    </row>
    <row r="10525" ht="14.25">
      <c r="B10525" s="18" t="s">
        <v>222</v>
      </c>
      <c r="C10525" s="18" t="s">
        <v>47490</v>
      </c>
      <c r="D10525" s="18" t="s">
        <v>7691</v>
      </c>
      <c r="E10525" s="18" t="s">
        <v>47491</v>
      </c>
      <c r="F10525" s="18" t="str">
        <f>IFERROR(__XLUDF.DUMMYFUNCTION("PROPER(REGEXREPLACE(D437,""[^A-Za-z]+ "",""""))"),"Lbm Paris")</f>
        <v xml:space="preserve">Lbm Paris</v>
      </c>
      <c r="G10525" s="18" t="s">
        <v>47492</v>
      </c>
      <c r="H10525" s="18">
        <v>5</v>
      </c>
      <c r="I10525" s="18" t="s">
        <v>9239</v>
      </c>
      <c r="J10525" s="5" t="s">
        <v>47493</v>
      </c>
      <c r="K10525" s="5" t="s">
        <v>47494</v>
      </c>
      <c r="L10525" s="18" t="s">
        <v>39</v>
      </c>
      <c r="M10525" s="18" t="s">
        <v>29</v>
      </c>
      <c r="N10525" s="18" t="s">
        <v>47495</v>
      </c>
      <c r="O10525" s="18" t="s">
        <v>29</v>
      </c>
      <c r="P10525" s="18" t="s">
        <v>47496</v>
      </c>
      <c r="Q10525" s="6"/>
      <c r="R10525" s="6"/>
      <c r="S10525" s="6"/>
      <c r="T10525" s="6"/>
      <c r="U10525" s="6"/>
      <c r="V10525" s="8"/>
      <c r="W10525" s="8"/>
      <c r="X10525" s="8"/>
      <c r="Y10525" s="8"/>
    </row>
    <row r="10526" ht="14.25">
      <c r="B10526" s="18" t="s">
        <v>47497</v>
      </c>
      <c r="C10526" s="18" t="s">
        <v>2299</v>
      </c>
      <c r="D10526" s="18" t="s">
        <v>172</v>
      </c>
      <c r="E10526" s="18" t="s">
        <v>47498</v>
      </c>
      <c r="F10526" s="18" t="str">
        <f>IFERROR(__XLUDF.DUMMYFUNCTION("PROPER(REGEXREPLACE(D438,""[^A-Za-z]+ "",""""))"),"Entreprise Bosgiraud")</f>
        <v xml:space="preserve">Entreprise Bosgiraud</v>
      </c>
      <c r="G10526" s="18" t="s">
        <v>47499</v>
      </c>
      <c r="H10526" s="18">
        <v>14</v>
      </c>
      <c r="I10526" s="18" t="s">
        <v>9239</v>
      </c>
      <c r="J10526" s="5" t="s">
        <v>47500</v>
      </c>
      <c r="K10526" s="5" t="s">
        <v>47501</v>
      </c>
      <c r="L10526" s="18" t="s">
        <v>13931</v>
      </c>
      <c r="M10526" s="18" t="s">
        <v>29</v>
      </c>
      <c r="N10526" s="18" t="s">
        <v>47502</v>
      </c>
      <c r="O10526" s="18" t="s">
        <v>29</v>
      </c>
      <c r="P10526" s="18" t="s">
        <v>47503</v>
      </c>
      <c r="Q10526" s="6"/>
      <c r="R10526" s="6"/>
      <c r="S10526" s="6"/>
      <c r="T10526" s="6"/>
      <c r="U10526" s="6"/>
      <c r="V10526" s="8"/>
      <c r="W10526" s="8"/>
      <c r="X10526" s="8"/>
      <c r="Y10526" s="8"/>
    </row>
    <row r="10527" ht="14.25">
      <c r="B10527" s="18" t="s">
        <v>11873</v>
      </c>
      <c r="C10527" s="18" t="s">
        <v>47504</v>
      </c>
      <c r="D10527" s="18" t="s">
        <v>172</v>
      </c>
      <c r="E10527" s="18" t="s">
        <v>47505</v>
      </c>
      <c r="F10527" s="18" t="str">
        <f>IFERROR(__XLUDF.DUMMYFUNCTION("PROPER(REGEXREPLACE(D439,""[^A-Za-z]+ "",""""))"),"L'Atelier D'Agencement")</f>
        <v xml:space="preserve">L'Atelier D'Agencement</v>
      </c>
      <c r="G10527" s="18" t="s">
        <v>47506</v>
      </c>
      <c r="H10527" s="18">
        <v>21</v>
      </c>
      <c r="I10527" s="18" t="s">
        <v>9239</v>
      </c>
      <c r="J10527" s="5" t="s">
        <v>47507</v>
      </c>
      <c r="K10527" s="5" t="s">
        <v>47508</v>
      </c>
      <c r="L10527" s="6"/>
      <c r="M10527" s="18" t="s">
        <v>29</v>
      </c>
      <c r="N10527" s="18" t="s">
        <v>1724</v>
      </c>
      <c r="O10527" s="18" t="s">
        <v>29</v>
      </c>
      <c r="P10527" s="18" t="s">
        <v>47509</v>
      </c>
      <c r="Q10527" s="6"/>
      <c r="R10527" s="6"/>
      <c r="S10527" s="6"/>
      <c r="T10527" s="6"/>
      <c r="U10527" s="6"/>
      <c r="V10527" s="8"/>
      <c r="W10527" s="8"/>
      <c r="X10527" s="8"/>
      <c r="Y10527" s="8"/>
    </row>
    <row r="10528" ht="14.25">
      <c r="B10528" s="18" t="s">
        <v>76</v>
      </c>
      <c r="C10528" s="18" t="s">
        <v>47510</v>
      </c>
      <c r="D10528" s="18" t="s">
        <v>172</v>
      </c>
      <c r="E10528" s="18" t="s">
        <v>47511</v>
      </c>
      <c r="F10528" s="18" t="str">
        <f>IFERROR(__XLUDF.DUMMYFUNCTION("PROPER(REGEXREPLACE(D440,""[^A-Za-z]+ "",""""))"),"Idelec Plus")</f>
        <v xml:space="preserve">Idelec Plus</v>
      </c>
      <c r="G10528" s="18" t="s">
        <v>47512</v>
      </c>
      <c r="H10528" s="18">
        <v>8</v>
      </c>
      <c r="I10528" s="18" t="s">
        <v>9239</v>
      </c>
      <c r="J10528" s="5" t="s">
        <v>47513</v>
      </c>
      <c r="K10528" s="5" t="s">
        <v>47514</v>
      </c>
      <c r="L10528" s="18" t="s">
        <v>14784</v>
      </c>
      <c r="M10528" s="18" t="s">
        <v>29</v>
      </c>
      <c r="N10528" s="18" t="s">
        <v>47515</v>
      </c>
      <c r="O10528" s="18" t="s">
        <v>29</v>
      </c>
      <c r="P10528" s="18" t="s">
        <v>47516</v>
      </c>
      <c r="Q10528" s="6"/>
      <c r="R10528" s="6"/>
      <c r="S10528" s="6"/>
      <c r="T10528" s="6"/>
      <c r="U10528" s="6"/>
      <c r="V10528" s="8"/>
      <c r="W10528" s="8"/>
      <c r="X10528" s="8"/>
      <c r="Y10528" s="8"/>
    </row>
    <row r="10529" ht="14.25">
      <c r="B10529" s="18" t="s">
        <v>955</v>
      </c>
      <c r="C10529" s="18" t="s">
        <v>47517</v>
      </c>
      <c r="D10529" s="18" t="s">
        <v>172</v>
      </c>
      <c r="E10529" s="18" t="s">
        <v>47518</v>
      </c>
      <c r="F10529" s="18" t="str">
        <f>IFERROR(__XLUDF.DUMMYFUNCTION("PROPER(REGEXREPLACE(D441,""[^A-Za-z]+ "",""""))"),"Spada Construction")</f>
        <v xml:space="preserve">Spada Construction</v>
      </c>
      <c r="G10529" s="18" t="s">
        <v>47519</v>
      </c>
      <c r="H10529" s="18">
        <v>26</v>
      </c>
      <c r="I10529" s="18" t="s">
        <v>9239</v>
      </c>
      <c r="J10529" s="5" t="s">
        <v>47520</v>
      </c>
      <c r="K10529" s="5" t="s">
        <v>47521</v>
      </c>
      <c r="L10529" s="18" t="s">
        <v>49</v>
      </c>
      <c r="M10529" s="18" t="s">
        <v>29</v>
      </c>
      <c r="N10529" s="18" t="s">
        <v>47522</v>
      </c>
      <c r="O10529" s="18" t="s">
        <v>29</v>
      </c>
      <c r="P10529" s="18" t="s">
        <v>47523</v>
      </c>
      <c r="Q10529" s="6"/>
      <c r="R10529" s="6"/>
      <c r="S10529" s="6"/>
      <c r="T10529" s="6"/>
      <c r="U10529" s="6"/>
      <c r="V10529" s="8"/>
      <c r="W10529" s="8"/>
      <c r="X10529" s="8"/>
      <c r="Y10529" s="8"/>
    </row>
    <row r="10530" ht="14.25">
      <c r="B10530" s="18" t="s">
        <v>110</v>
      </c>
      <c r="C10530" s="18" t="s">
        <v>31925</v>
      </c>
      <c r="D10530" s="18" t="s">
        <v>172</v>
      </c>
      <c r="E10530" s="18" t="s">
        <v>31926</v>
      </c>
      <c r="F10530" s="18" t="str">
        <f>IFERROR(__XLUDF.DUMMYFUNCTION("PROPER(REGEXREPLACE(D442,""[^A-Za-z]+ "",""""))"),"Sa Mont-Blanc")</f>
        <v xml:space="preserve">Sa Mont-Blanc</v>
      </c>
      <c r="G10530" s="18" t="s">
        <v>31927</v>
      </c>
      <c r="H10530" s="18">
        <v>46</v>
      </c>
      <c r="I10530" s="18" t="s">
        <v>4293</v>
      </c>
      <c r="J10530" s="5" t="s">
        <v>31928</v>
      </c>
      <c r="K10530" s="5" t="s">
        <v>31929</v>
      </c>
      <c r="L10530" s="18" t="s">
        <v>423</v>
      </c>
      <c r="M10530" s="18" t="s">
        <v>29</v>
      </c>
      <c r="N10530" s="18" t="s">
        <v>3890</v>
      </c>
      <c r="O10530" s="18" t="s">
        <v>29</v>
      </c>
      <c r="P10530" s="18" t="s">
        <v>31930</v>
      </c>
      <c r="Q10530" s="6"/>
      <c r="R10530" s="6"/>
      <c r="S10530" s="6"/>
      <c r="T10530" s="6"/>
      <c r="U10530" s="6"/>
      <c r="V10530" s="8"/>
      <c r="W10530" s="8"/>
      <c r="X10530" s="8"/>
      <c r="Y10530" s="8"/>
    </row>
    <row r="10531" ht="14.25">
      <c r="B10531" s="18" t="s">
        <v>485</v>
      </c>
      <c r="C10531" s="18" t="s">
        <v>47524</v>
      </c>
      <c r="D10531" s="18" t="s">
        <v>172</v>
      </c>
      <c r="E10531" s="18" t="s">
        <v>14854</v>
      </c>
      <c r="F10531" s="18" t="str">
        <f>IFERROR(__XLUDF.DUMMYFUNCTION("PROPER(REGEXREPLACE(D443,""[^A-Za-z]+ "",""""))"),"Groupe D'Ingénierie")</f>
        <v xml:space="preserve">Groupe D'Ingénierie</v>
      </c>
      <c r="G10531" s="18" t="s">
        <v>47525</v>
      </c>
      <c r="H10531" s="18">
        <v>11</v>
      </c>
      <c r="I10531" s="18" t="s">
        <v>9239</v>
      </c>
      <c r="J10531" s="5" t="s">
        <v>47526</v>
      </c>
      <c r="K10531" s="5" t="s">
        <v>47527</v>
      </c>
      <c r="L10531" s="18" t="s">
        <v>39</v>
      </c>
      <c r="M10531" s="18" t="s">
        <v>29</v>
      </c>
      <c r="N10531" s="18" t="s">
        <v>47528</v>
      </c>
      <c r="O10531" s="18" t="s">
        <v>29</v>
      </c>
      <c r="P10531" s="6"/>
      <c r="Q10531" s="6"/>
      <c r="R10531" s="6"/>
      <c r="S10531" s="6"/>
      <c r="T10531" s="6"/>
      <c r="U10531" s="6"/>
      <c r="V10531" s="8"/>
      <c r="W10531" s="8"/>
      <c r="X10531" s="8"/>
      <c r="Y10531" s="8"/>
    </row>
    <row r="10532" ht="14.25">
      <c r="B10532" s="18" t="s">
        <v>7601</v>
      </c>
      <c r="C10532" s="18" t="s">
        <v>31931</v>
      </c>
      <c r="D10532" s="18" t="s">
        <v>172</v>
      </c>
      <c r="E10532" s="18" t="s">
        <v>31932</v>
      </c>
      <c r="F10532" s="18" t="str">
        <f>IFERROR(__XLUDF.DUMMYFUNCTION("PROPER(REGEXREPLACE(D444,""[^A-Za-z]+ "",""""))"),"Terres De Loire Habitat")</f>
        <v xml:space="preserve">Terres De Loire Habitat</v>
      </c>
      <c r="G10532" s="18" t="s">
        <v>31933</v>
      </c>
      <c r="H10532" s="18">
        <v>43</v>
      </c>
      <c r="I10532" s="18" t="s">
        <v>4293</v>
      </c>
      <c r="J10532" s="5" t="s">
        <v>47529</v>
      </c>
      <c r="K10532" s="5" t="s">
        <v>31935</v>
      </c>
      <c r="L10532" s="18" t="s">
        <v>7531</v>
      </c>
      <c r="M10532" s="18" t="s">
        <v>29</v>
      </c>
      <c r="N10532" s="18" t="s">
        <v>31936</v>
      </c>
      <c r="O10532" s="18" t="s">
        <v>29</v>
      </c>
      <c r="P10532" s="6"/>
      <c r="Q10532" s="6"/>
      <c r="R10532" s="6"/>
      <c r="S10532" s="6"/>
      <c r="T10532" s="6"/>
      <c r="U10532" s="6"/>
      <c r="V10532" s="8"/>
      <c r="W10532" s="8"/>
      <c r="X10532" s="8"/>
      <c r="Y10532" s="8"/>
    </row>
    <row r="10533" ht="14.25">
      <c r="B10533" s="18" t="s">
        <v>994</v>
      </c>
      <c r="C10533" s="18" t="s">
        <v>8999</v>
      </c>
      <c r="D10533" s="18" t="s">
        <v>315</v>
      </c>
      <c r="E10533" s="18" t="s">
        <v>47530</v>
      </c>
      <c r="F10533" s="18" t="str">
        <f>IFERROR(__XLUDF.DUMMYFUNCTION("PROPER(REGEXREPLACE(D445,""[^A-Za-z]+ "",""""))"),"Lor-Éco Énergies")</f>
        <v xml:space="preserve">Lor-Éco Énergies</v>
      </c>
      <c r="G10533" s="18" t="s">
        <v>47531</v>
      </c>
      <c r="H10533" s="18">
        <v>3</v>
      </c>
      <c r="I10533" s="18" t="s">
        <v>9239</v>
      </c>
      <c r="J10533" s="5" t="s">
        <v>47532</v>
      </c>
      <c r="K10533" s="5" t="s">
        <v>47533</v>
      </c>
      <c r="L10533" s="6"/>
      <c r="M10533" s="18" t="s">
        <v>29</v>
      </c>
      <c r="N10533" s="18" t="s">
        <v>47534</v>
      </c>
      <c r="O10533" s="18" t="s">
        <v>29</v>
      </c>
      <c r="P10533" s="18" t="s">
        <v>47535</v>
      </c>
      <c r="Q10533" s="6"/>
      <c r="R10533" s="6"/>
      <c r="S10533" s="6"/>
      <c r="T10533" s="6"/>
      <c r="U10533" s="6"/>
      <c r="V10533" s="8"/>
      <c r="W10533" s="8"/>
      <c r="X10533" s="8"/>
      <c r="Y10533" s="8"/>
    </row>
    <row r="10534" ht="14.25">
      <c r="B10534" s="18" t="s">
        <v>95</v>
      </c>
      <c r="C10534" s="18" t="s">
        <v>46010</v>
      </c>
      <c r="D10534" s="18" t="s">
        <v>172</v>
      </c>
      <c r="E10534" s="18" t="s">
        <v>46011</v>
      </c>
      <c r="F10534" s="18" t="str">
        <f>IFERROR(__XLUDF.DUMMYFUNCTION("PROPER(REGEXREPLACE(D446,""[^A-Za-z]+ "",""""))"),"Edwood Construction Bois")</f>
        <v xml:space="preserve">Edwood Construction Bois</v>
      </c>
      <c r="G10534" s="18" t="s">
        <v>47536</v>
      </c>
      <c r="H10534" s="18">
        <v>17</v>
      </c>
      <c r="I10534" s="18" t="s">
        <v>9239</v>
      </c>
      <c r="J10534" s="5" t="s">
        <v>47537</v>
      </c>
      <c r="K10534" s="5" t="s">
        <v>46014</v>
      </c>
      <c r="L10534" s="18" t="s">
        <v>846</v>
      </c>
      <c r="M10534" s="18" t="s">
        <v>29</v>
      </c>
      <c r="N10534" s="18" t="s">
        <v>46015</v>
      </c>
      <c r="O10534" s="18" t="s">
        <v>29</v>
      </c>
      <c r="P10534" s="6"/>
      <c r="Q10534" s="6"/>
      <c r="R10534" s="6"/>
      <c r="S10534" s="6"/>
      <c r="T10534" s="6"/>
      <c r="U10534" s="6"/>
      <c r="V10534" s="8"/>
      <c r="W10534" s="8"/>
      <c r="X10534" s="8"/>
      <c r="Y10534" s="8"/>
    </row>
    <row r="10535" ht="14.25">
      <c r="B10535" s="18" t="s">
        <v>47538</v>
      </c>
      <c r="C10535" s="18" t="s">
        <v>47539</v>
      </c>
      <c r="D10535" s="18" t="s">
        <v>426</v>
      </c>
      <c r="E10535" s="18" t="s">
        <v>47540</v>
      </c>
      <c r="F10535" s="18" t="str">
        <f>IFERROR(__XLUDF.DUMMYFUNCTION("PROPER(REGEXREPLACE(D447,""[^A-Za-z]+ "",""""))"),"Qualitech Groupe")</f>
        <v xml:space="preserve">Qualitech Groupe</v>
      </c>
      <c r="G10535" s="18" t="s">
        <v>47541</v>
      </c>
      <c r="H10535" s="18">
        <v>0</v>
      </c>
      <c r="I10535" s="18" t="s">
        <v>9239</v>
      </c>
      <c r="J10535" s="5" t="s">
        <v>47542</v>
      </c>
      <c r="K10535" s="5" t="s">
        <v>47543</v>
      </c>
      <c r="L10535" s="18" t="s">
        <v>423</v>
      </c>
      <c r="M10535" s="18" t="s">
        <v>29</v>
      </c>
      <c r="N10535" s="18" t="s">
        <v>47544</v>
      </c>
      <c r="O10535" s="18" t="s">
        <v>2666</v>
      </c>
      <c r="P10535" s="18" t="s">
        <v>47545</v>
      </c>
      <c r="Q10535" s="6"/>
      <c r="R10535" s="6"/>
      <c r="S10535" s="6"/>
      <c r="T10535" s="6"/>
      <c r="U10535" s="6"/>
      <c r="V10535" s="8"/>
      <c r="W10535" s="8"/>
      <c r="X10535" s="8"/>
      <c r="Y10535" s="8"/>
    </row>
    <row r="10536" ht="14.25">
      <c r="B10536" s="18" t="s">
        <v>206</v>
      </c>
      <c r="C10536" s="18" t="s">
        <v>1572</v>
      </c>
      <c r="D10536" s="18" t="s">
        <v>45422</v>
      </c>
      <c r="E10536" s="18" t="s">
        <v>47546</v>
      </c>
      <c r="F10536" s="18" t="str">
        <f>IFERROR(__XLUDF.DUMMYFUNCTION("PROPER(REGEXREPLACE(D448,""[^A-Za-z]+ "",""""))"),"Phase Quatre")</f>
        <v xml:space="preserve">Phase Quatre</v>
      </c>
      <c r="G10536" s="18" t="s">
        <v>47547</v>
      </c>
      <c r="H10536" s="18">
        <v>3</v>
      </c>
      <c r="I10536" s="18" t="s">
        <v>9239</v>
      </c>
      <c r="J10536" s="5" t="s">
        <v>47548</v>
      </c>
      <c r="K10536" s="5" t="s">
        <v>47549</v>
      </c>
      <c r="L10536" s="18" t="s">
        <v>39</v>
      </c>
      <c r="M10536" s="18" t="s">
        <v>29</v>
      </c>
      <c r="N10536" s="18" t="s">
        <v>47550</v>
      </c>
      <c r="O10536" s="18" t="s">
        <v>29</v>
      </c>
      <c r="P10536" s="18" t="s">
        <v>47551</v>
      </c>
      <c r="Q10536" s="6"/>
      <c r="R10536" s="6"/>
      <c r="S10536" s="6"/>
      <c r="T10536" s="6"/>
      <c r="U10536" s="6"/>
      <c r="V10536" s="8"/>
      <c r="W10536" s="8"/>
      <c r="X10536" s="8"/>
      <c r="Y10536" s="8"/>
    </row>
    <row r="10537" ht="14.25">
      <c r="B10537" s="18" t="s">
        <v>571</v>
      </c>
      <c r="C10537" s="18" t="s">
        <v>10412</v>
      </c>
      <c r="D10537" s="18" t="s">
        <v>47552</v>
      </c>
      <c r="E10537" s="18" t="s">
        <v>47553</v>
      </c>
      <c r="F10537" s="18" t="str">
        <f>IFERROR(__XLUDF.DUMMYFUNCTION("PROPER(REGEXREPLACE(D449,""[^A-Za-z]+ "",""""))"),"Terrassement Roussel Travaux Publics")</f>
        <v xml:space="preserve">Terrassement Roussel Travaux Publics</v>
      </c>
      <c r="G10537" s="18" t="s">
        <v>47554</v>
      </c>
      <c r="H10537" s="6"/>
      <c r="I10537" s="6"/>
      <c r="J10537" s="5" t="s">
        <v>47555</v>
      </c>
      <c r="K10537" s="5" t="s">
        <v>47556</v>
      </c>
      <c r="L10537" s="18" t="s">
        <v>32165</v>
      </c>
      <c r="M10537" s="18" t="s">
        <v>29</v>
      </c>
      <c r="N10537" s="18" t="s">
        <v>47557</v>
      </c>
      <c r="O10537" s="18" t="s">
        <v>29</v>
      </c>
      <c r="P10537" s="6"/>
      <c r="Q10537" s="6"/>
      <c r="R10537" s="6"/>
      <c r="S10537" s="6"/>
      <c r="T10537" s="6"/>
      <c r="U10537" s="6"/>
      <c r="V10537" s="8"/>
      <c r="W10537" s="8"/>
      <c r="X10537" s="8"/>
      <c r="Y10537" s="8"/>
    </row>
    <row r="10538" ht="14.25">
      <c r="B10538" s="18" t="s">
        <v>47558</v>
      </c>
      <c r="C10538" s="18" t="s">
        <v>5001</v>
      </c>
      <c r="D10538" s="18" t="s">
        <v>468</v>
      </c>
      <c r="E10538" s="18" t="s">
        <v>47559</v>
      </c>
      <c r="F10538" s="18" t="str">
        <f>IFERROR(__XLUDF.DUMMYFUNCTION("PROPER(REGEXREPLACE(D450,""[^A-Za-z]+ "",""""))"),"Comely")</f>
        <v>Comely</v>
      </c>
      <c r="G10538" s="18" t="s">
        <v>47560</v>
      </c>
      <c r="H10538" s="18">
        <v>29</v>
      </c>
      <c r="I10538" s="18" t="s">
        <v>9239</v>
      </c>
      <c r="J10538" s="5" t="s">
        <v>47561</v>
      </c>
      <c r="K10538" s="5" t="s">
        <v>47562</v>
      </c>
      <c r="L10538" s="18" t="s">
        <v>185</v>
      </c>
      <c r="M10538" s="18" t="s">
        <v>29</v>
      </c>
      <c r="N10538" s="18" t="s">
        <v>47563</v>
      </c>
      <c r="O10538" s="18" t="s">
        <v>29</v>
      </c>
      <c r="P10538" s="6"/>
      <c r="Q10538" s="6"/>
      <c r="R10538" s="6"/>
      <c r="S10538" s="6"/>
      <c r="T10538" s="6"/>
      <c r="U10538" s="6"/>
      <c r="V10538" s="8"/>
      <c r="W10538" s="8"/>
      <c r="X10538" s="8"/>
      <c r="Y10538" s="8"/>
    </row>
    <row r="10539" ht="14.25">
      <c r="B10539" s="18" t="s">
        <v>2925</v>
      </c>
      <c r="C10539" s="18" t="s">
        <v>2105</v>
      </c>
      <c r="D10539" s="18" t="s">
        <v>172</v>
      </c>
      <c r="E10539" s="18" t="s">
        <v>47564</v>
      </c>
      <c r="F10539" s="18" t="str">
        <f>IFERROR(__XLUDF.DUMMYFUNCTION("PROPER(REGEXREPLACE(D451,""[^A-Za-z]+ "",""""))"),"Clr Consulting")</f>
        <v xml:space="preserve">Clr Consulting</v>
      </c>
      <c r="G10539" s="18" t="s">
        <v>47565</v>
      </c>
      <c r="H10539" s="18">
        <v>1</v>
      </c>
      <c r="I10539" s="18" t="s">
        <v>9239</v>
      </c>
      <c r="J10539" s="5" t="s">
        <v>47566</v>
      </c>
      <c r="K10539" s="5" t="s">
        <v>47567</v>
      </c>
      <c r="L10539" s="18" t="s">
        <v>39</v>
      </c>
      <c r="M10539" s="18" t="s">
        <v>29</v>
      </c>
      <c r="N10539" s="18" t="s">
        <v>47568</v>
      </c>
      <c r="O10539" s="18" t="s">
        <v>29</v>
      </c>
      <c r="P10539" s="18" t="s">
        <v>47569</v>
      </c>
      <c r="Q10539" s="6"/>
      <c r="R10539" s="6"/>
      <c r="S10539" s="6"/>
      <c r="T10539" s="6"/>
      <c r="U10539" s="6"/>
      <c r="V10539" s="8"/>
      <c r="W10539" s="8"/>
      <c r="X10539" s="8"/>
      <c r="Y10539" s="8"/>
    </row>
    <row r="10540" ht="14.25">
      <c r="B10540" s="18" t="s">
        <v>2419</v>
      </c>
      <c r="C10540" s="18" t="s">
        <v>47570</v>
      </c>
      <c r="D10540" s="18" t="s">
        <v>172</v>
      </c>
      <c r="E10540" s="18" t="s">
        <v>47571</v>
      </c>
      <c r="F10540" s="18" t="str">
        <f>IFERROR(__XLUDF.DUMMYFUNCTION("PROPER(REGEXREPLACE(D452,""[^A-Za-z]+ "",""""))"),"Be-Semi")</f>
        <v>Be-Semi</v>
      </c>
      <c r="G10540" s="18" t="s">
        <v>47572</v>
      </c>
      <c r="H10540" s="18">
        <v>2</v>
      </c>
      <c r="I10540" s="18" t="s">
        <v>9239</v>
      </c>
      <c r="J10540" s="5" t="s">
        <v>47573</v>
      </c>
      <c r="K10540" s="5" t="s">
        <v>47574</v>
      </c>
      <c r="L10540" s="18" t="s">
        <v>14784</v>
      </c>
      <c r="M10540" s="18" t="s">
        <v>29</v>
      </c>
      <c r="N10540" s="18" t="s">
        <v>47575</v>
      </c>
      <c r="O10540" s="18" t="s">
        <v>29</v>
      </c>
      <c r="P10540" s="18" t="s">
        <v>47576</v>
      </c>
      <c r="Q10540" s="6"/>
      <c r="R10540" s="6"/>
      <c r="S10540" s="6"/>
      <c r="T10540" s="6"/>
      <c r="U10540" s="6"/>
      <c r="V10540" s="8"/>
      <c r="W10540" s="8"/>
      <c r="X10540" s="8"/>
      <c r="Y10540" s="8"/>
    </row>
    <row r="10541" ht="14.25">
      <c r="B10541" s="18" t="s">
        <v>76</v>
      </c>
      <c r="C10541" s="18" t="s">
        <v>279</v>
      </c>
      <c r="D10541" s="18" t="s">
        <v>172</v>
      </c>
      <c r="E10541" s="18" t="s">
        <v>47577</v>
      </c>
      <c r="F10541" s="18" t="str">
        <f>IFERROR(__XLUDF.DUMMYFUNCTION("PROPER(REGEXREPLACE(D453,""[^A-Za-z]+ "",""""))"),"Travaux Publics Seine Et Marnais")</f>
        <v xml:space="preserve">Travaux Publics Seine Et Marnais</v>
      </c>
      <c r="G10541" s="18" t="s">
        <v>47578</v>
      </c>
      <c r="H10541" s="6"/>
      <c r="I10541" s="6"/>
      <c r="J10541" s="5" t="s">
        <v>47579</v>
      </c>
      <c r="K10541" s="5" t="s">
        <v>47580</v>
      </c>
      <c r="L10541" s="6"/>
      <c r="M10541" s="18" t="s">
        <v>29</v>
      </c>
      <c r="N10541" s="18" t="s">
        <v>47581</v>
      </c>
      <c r="O10541" s="18" t="s">
        <v>29</v>
      </c>
      <c r="P10541" s="6"/>
      <c r="Q10541" s="6"/>
      <c r="R10541" s="6"/>
      <c r="S10541" s="6"/>
      <c r="T10541" s="6"/>
      <c r="U10541" s="6"/>
      <c r="V10541" s="8"/>
      <c r="W10541" s="8"/>
      <c r="X10541" s="8"/>
      <c r="Y10541" s="8"/>
    </row>
    <row r="10542" ht="14.25">
      <c r="B10542" s="18" t="s">
        <v>47582</v>
      </c>
      <c r="C10542" s="18" t="s">
        <v>571</v>
      </c>
      <c r="D10542" s="18" t="s">
        <v>172</v>
      </c>
      <c r="E10542" s="18" t="s">
        <v>45469</v>
      </c>
      <c r="F10542" s="18" t="str">
        <f>IFERROR(__XLUDF.DUMMYFUNCTION("PROPER(REGEXREPLACE(D454,""[^A-Za-z]+ "",""""))"),"Paquet Sas")</f>
        <v xml:space="preserve">Paquet Sas</v>
      </c>
      <c r="G10542" s="18" t="s">
        <v>47583</v>
      </c>
      <c r="H10542" s="18">
        <v>15</v>
      </c>
      <c r="I10542" s="18" t="s">
        <v>9239</v>
      </c>
      <c r="J10542" s="5" t="s">
        <v>47584</v>
      </c>
      <c r="K10542" s="5" t="s">
        <v>45472</v>
      </c>
      <c r="L10542" s="18" t="s">
        <v>149</v>
      </c>
      <c r="M10542" s="18" t="s">
        <v>29</v>
      </c>
      <c r="N10542" s="18" t="s">
        <v>45473</v>
      </c>
      <c r="O10542" s="18" t="s">
        <v>29</v>
      </c>
      <c r="P10542" s="18" t="s">
        <v>45474</v>
      </c>
      <c r="Q10542" s="6"/>
      <c r="R10542" s="6"/>
      <c r="S10542" s="6"/>
      <c r="T10542" s="6"/>
      <c r="U10542" s="6"/>
      <c r="V10542" s="8"/>
      <c r="W10542" s="8"/>
      <c r="X10542" s="8"/>
      <c r="Y10542" s="8"/>
    </row>
    <row r="10543" ht="14.25">
      <c r="B10543" s="18" t="s">
        <v>110</v>
      </c>
      <c r="C10543" s="18" t="s">
        <v>47585</v>
      </c>
      <c r="D10543" s="18" t="s">
        <v>172</v>
      </c>
      <c r="E10543" s="18" t="s">
        <v>47586</v>
      </c>
      <c r="F10543" s="18" t="str">
        <f>IFERROR(__XLUDF.DUMMYFUNCTION("PROPER(REGEXREPLACE(D455,""[^A-Za-z]+ "",""""))"),"Nemesia Amenagement")</f>
        <v xml:space="preserve">Nemesia Amenagement</v>
      </c>
      <c r="G10543" s="18" t="s">
        <v>47587</v>
      </c>
      <c r="H10543" s="18">
        <v>2</v>
      </c>
      <c r="I10543" s="18" t="s">
        <v>9239</v>
      </c>
      <c r="J10543" s="5" t="s">
        <v>47588</v>
      </c>
      <c r="K10543" s="5" t="s">
        <v>47589</v>
      </c>
      <c r="L10543" s="18" t="s">
        <v>47590</v>
      </c>
      <c r="M10543" s="18" t="s">
        <v>29</v>
      </c>
      <c r="N10543" s="18" t="s">
        <v>47591</v>
      </c>
      <c r="O10543" s="18" t="s">
        <v>29</v>
      </c>
      <c r="P10543" s="18" t="s">
        <v>47592</v>
      </c>
      <c r="Q10543" s="6"/>
      <c r="R10543" s="6"/>
      <c r="S10543" s="6"/>
      <c r="T10543" s="6"/>
      <c r="U10543" s="6"/>
      <c r="V10543" s="8"/>
      <c r="W10543" s="8"/>
      <c r="X10543" s="8"/>
      <c r="Y10543" s="8"/>
    </row>
    <row r="10544" ht="14.25">
      <c r="B10544" s="18" t="s">
        <v>16921</v>
      </c>
      <c r="C10544" s="18" t="s">
        <v>47593</v>
      </c>
      <c r="D10544" s="18" t="s">
        <v>172</v>
      </c>
      <c r="E10544" s="18" t="s">
        <v>47594</v>
      </c>
      <c r="F10544" s="18" t="str">
        <f>IFERROR(__XLUDF.DUMMYFUNCTION("PROPER(REGEXREPLACE(D456,""[^A-Za-z]+ "",""""))"),"H2C N Co")</f>
        <v xml:space="preserve">H2C N Co</v>
      </c>
      <c r="G10544" s="18" t="s">
        <v>47595</v>
      </c>
      <c r="H10544" s="6"/>
      <c r="I10544" s="6"/>
      <c r="J10544" s="5" t="s">
        <v>47596</v>
      </c>
      <c r="K10544" s="5" t="s">
        <v>47597</v>
      </c>
      <c r="L10544" s="18" t="s">
        <v>14704</v>
      </c>
      <c r="M10544" s="18" t="s">
        <v>29</v>
      </c>
      <c r="N10544" s="18" t="s">
        <v>47598</v>
      </c>
      <c r="O10544" s="18" t="s">
        <v>29</v>
      </c>
      <c r="P10544" s="6"/>
      <c r="Q10544" s="6"/>
      <c r="R10544" s="6"/>
      <c r="S10544" s="6"/>
      <c r="T10544" s="6"/>
      <c r="U10544" s="6"/>
      <c r="V10544" s="8"/>
      <c r="W10544" s="8"/>
      <c r="X10544" s="8"/>
      <c r="Y10544" s="8"/>
    </row>
    <row r="10545" ht="14.25">
      <c r="B10545" s="18" t="s">
        <v>485</v>
      </c>
      <c r="C10545" s="18" t="s">
        <v>47599</v>
      </c>
      <c r="D10545" s="18" t="s">
        <v>112</v>
      </c>
      <c r="E10545" s="18" t="s">
        <v>45148</v>
      </c>
      <c r="F10545" s="18" t="str">
        <f>IFERROR(__XLUDF.DUMMYFUNCTION("PROPER(REGEXREPLACE(D457,""[^A-Za-z]+ "",""""))"),"Bec Construction Provence")</f>
        <v xml:space="preserve">Bec Construction Provence</v>
      </c>
      <c r="G10545" s="18" t="s">
        <v>47600</v>
      </c>
      <c r="H10545" s="18">
        <v>51</v>
      </c>
      <c r="I10545" s="18" t="s">
        <v>9239</v>
      </c>
      <c r="J10545" s="5" t="s">
        <v>47601</v>
      </c>
      <c r="K10545" s="5" t="s">
        <v>45151</v>
      </c>
      <c r="L10545" s="6"/>
      <c r="M10545" s="18" t="s">
        <v>29</v>
      </c>
      <c r="N10545" s="18" t="s">
        <v>5498</v>
      </c>
      <c r="O10545" s="18" t="s">
        <v>29</v>
      </c>
      <c r="P10545" s="6"/>
      <c r="Q10545" s="6"/>
      <c r="R10545" s="6"/>
      <c r="S10545" s="6"/>
      <c r="T10545" s="6"/>
      <c r="U10545" s="6"/>
      <c r="V10545" s="8"/>
      <c r="W10545" s="8"/>
      <c r="X10545" s="8"/>
      <c r="Y10545" s="8"/>
    </row>
    <row r="10546" ht="14.25">
      <c r="B10546" s="18" t="s">
        <v>110</v>
      </c>
      <c r="C10546" s="18" t="s">
        <v>11099</v>
      </c>
      <c r="D10546" s="18" t="s">
        <v>112</v>
      </c>
      <c r="E10546" s="18" t="s">
        <v>47602</v>
      </c>
      <c r="F10546" s="18" t="str">
        <f>IFERROR(__XLUDF.DUMMYFUNCTION("PROPER(REGEXREPLACE(D458,""[^A-Za-z]+ "",""""))"),"Avr Ingenierie")</f>
        <v xml:space="preserve">Avr Ingenierie</v>
      </c>
      <c r="G10546" s="18" t="s">
        <v>47603</v>
      </c>
      <c r="H10546" s="18">
        <v>20</v>
      </c>
      <c r="I10546" s="18" t="s">
        <v>9239</v>
      </c>
      <c r="J10546" s="5" t="s">
        <v>47604</v>
      </c>
      <c r="K10546" s="5" t="s">
        <v>47605</v>
      </c>
      <c r="L10546" s="18" t="s">
        <v>47606</v>
      </c>
      <c r="M10546" s="18" t="s">
        <v>29</v>
      </c>
      <c r="N10546" s="18" t="s">
        <v>47607</v>
      </c>
      <c r="O10546" s="18" t="s">
        <v>29</v>
      </c>
      <c r="P10546" s="6"/>
      <c r="Q10546" s="6"/>
      <c r="R10546" s="6"/>
      <c r="S10546" s="6"/>
      <c r="T10546" s="6"/>
      <c r="U10546" s="6"/>
      <c r="V10546" s="8"/>
      <c r="W10546" s="8"/>
      <c r="X10546" s="8"/>
      <c r="Y10546" s="8"/>
    </row>
    <row r="10547" ht="14.25">
      <c r="B10547" s="18" t="s">
        <v>1732</v>
      </c>
      <c r="C10547" s="18" t="s">
        <v>47608</v>
      </c>
      <c r="D10547" s="18" t="s">
        <v>112</v>
      </c>
      <c r="E10547" s="18" t="s">
        <v>47609</v>
      </c>
      <c r="F10547" s="18" t="str">
        <f>IFERROR(__XLUDF.DUMMYFUNCTION("PROPER(REGEXREPLACE(D459,""[^A-Za-z]+ "",""""))"),"Boitelfils")</f>
        <v>Boitelfils</v>
      </c>
      <c r="G10547" s="18" t="s">
        <v>47610</v>
      </c>
      <c r="H10547" s="18">
        <v>12</v>
      </c>
      <c r="I10547" s="18" t="s">
        <v>9239</v>
      </c>
      <c r="J10547" s="5" t="s">
        <v>47611</v>
      </c>
      <c r="K10547" s="5" t="s">
        <v>47612</v>
      </c>
      <c r="L10547" s="6"/>
      <c r="M10547" s="18" t="s">
        <v>29</v>
      </c>
      <c r="N10547" s="18" t="s">
        <v>47613</v>
      </c>
      <c r="O10547" s="18" t="s">
        <v>29</v>
      </c>
      <c r="P10547" s="18" t="s">
        <v>47614</v>
      </c>
      <c r="Q10547" s="6"/>
      <c r="R10547" s="6"/>
      <c r="S10547" s="6"/>
      <c r="T10547" s="6"/>
      <c r="U10547" s="6"/>
      <c r="V10547" s="8"/>
      <c r="W10547" s="8"/>
      <c r="X10547" s="8"/>
      <c r="Y10547" s="8"/>
    </row>
    <row r="10548" ht="14.25">
      <c r="B10548" s="18" t="s">
        <v>2419</v>
      </c>
      <c r="C10548" s="18" t="s">
        <v>47615</v>
      </c>
      <c r="D10548" s="18" t="s">
        <v>112</v>
      </c>
      <c r="E10548" s="18" t="s">
        <v>47616</v>
      </c>
      <c r="F10548" s="18" t="str">
        <f>IFERROR(__XLUDF.DUMMYFUNCTION("PROPER(REGEXREPLACE(D460,""[^A-Za-z]+ "",""""))"),"La Bocaine")</f>
        <v xml:space="preserve">La Bocaine</v>
      </c>
      <c r="G10548" s="18" t="s">
        <v>47617</v>
      </c>
      <c r="H10548" s="6"/>
      <c r="I10548" s="6"/>
      <c r="J10548" s="5" t="s">
        <v>47618</v>
      </c>
      <c r="K10548" s="5" t="s">
        <v>47619</v>
      </c>
      <c r="L10548" s="18" t="s">
        <v>10276</v>
      </c>
      <c r="M10548" s="18" t="s">
        <v>29</v>
      </c>
      <c r="N10548" s="18" t="s">
        <v>47620</v>
      </c>
      <c r="O10548" s="18" t="s">
        <v>29</v>
      </c>
      <c r="P10548" s="6"/>
      <c r="Q10548" s="6"/>
      <c r="R10548" s="6"/>
      <c r="S10548" s="6"/>
      <c r="T10548" s="6"/>
      <c r="U10548" s="6"/>
      <c r="V10548" s="8"/>
      <c r="W10548" s="8"/>
      <c r="X10548" s="8"/>
      <c r="Y10548" s="8"/>
    </row>
    <row r="10549" ht="14.25">
      <c r="B10549" s="18" t="s">
        <v>808</v>
      </c>
      <c r="C10549" s="18" t="s">
        <v>47621</v>
      </c>
      <c r="D10549" s="18" t="s">
        <v>112</v>
      </c>
      <c r="E10549" s="18" t="s">
        <v>47622</v>
      </c>
      <c r="F10549" s="18" t="str">
        <f>IFERROR(__XLUDF.DUMMYFUNCTION("PROPER(REGEXREPLACE(D461,""[^A-Za-z]+ "",""""))"),"Sarthou Sas")</f>
        <v xml:space="preserve">Sarthou Sas</v>
      </c>
      <c r="G10549" s="18" t="s">
        <v>47623</v>
      </c>
      <c r="H10549" s="18">
        <v>11</v>
      </c>
      <c r="I10549" s="18" t="s">
        <v>9239</v>
      </c>
      <c r="J10549" s="5" t="s">
        <v>47624</v>
      </c>
      <c r="K10549" s="5" t="s">
        <v>47625</v>
      </c>
      <c r="L10549" s="18" t="s">
        <v>6489</v>
      </c>
      <c r="M10549" s="18" t="s">
        <v>29</v>
      </c>
      <c r="N10549" s="18" t="s">
        <v>47626</v>
      </c>
      <c r="O10549" s="18" t="s">
        <v>29</v>
      </c>
      <c r="P10549" s="18" t="s">
        <v>47627</v>
      </c>
      <c r="Q10549" s="6"/>
      <c r="R10549" s="6"/>
      <c r="S10549" s="6"/>
      <c r="T10549" s="6"/>
      <c r="U10549" s="6"/>
      <c r="V10549" s="8"/>
      <c r="W10549" s="8"/>
      <c r="X10549" s="8"/>
      <c r="Y10549" s="8"/>
    </row>
    <row r="10550" ht="14.25">
      <c r="B10550" s="18" t="s">
        <v>986</v>
      </c>
      <c r="C10550" s="18" t="s">
        <v>47628</v>
      </c>
      <c r="D10550" s="18" t="s">
        <v>1130</v>
      </c>
      <c r="E10550" s="18" t="s">
        <v>47629</v>
      </c>
      <c r="F10550" s="18" t="str">
        <f>IFERROR(__XLUDF.DUMMYFUNCTION("PROPER(REGEXREPLACE(D462,""[^A-Za-z]+ "",""""))"),"Deschamps Sa")</f>
        <v xml:space="preserve">Deschamps Sa</v>
      </c>
      <c r="G10550" s="18" t="s">
        <v>47630</v>
      </c>
      <c r="H10550" s="18">
        <v>34</v>
      </c>
      <c r="I10550" s="18" t="s">
        <v>9239</v>
      </c>
      <c r="J10550" s="5" t="s">
        <v>47631</v>
      </c>
      <c r="K10550" s="5" t="s">
        <v>47632</v>
      </c>
      <c r="L10550" s="18" t="s">
        <v>47633</v>
      </c>
      <c r="M10550" s="18" t="s">
        <v>29</v>
      </c>
      <c r="N10550" s="18" t="s">
        <v>47634</v>
      </c>
      <c r="O10550" s="18" t="s">
        <v>29</v>
      </c>
      <c r="P10550" s="18" t="s">
        <v>47635</v>
      </c>
      <c r="Q10550" s="6"/>
      <c r="R10550" s="6"/>
      <c r="S10550" s="6"/>
      <c r="T10550" s="6"/>
      <c r="U10550" s="6"/>
      <c r="V10550" s="8"/>
      <c r="W10550" s="8"/>
      <c r="X10550" s="8"/>
      <c r="Y10550" s="8"/>
    </row>
    <row r="10551" ht="14.25">
      <c r="B10551" s="18" t="s">
        <v>2436</v>
      </c>
      <c r="C10551" s="18" t="s">
        <v>47636</v>
      </c>
      <c r="D10551" s="18" t="s">
        <v>1130</v>
      </c>
      <c r="E10551" s="18" t="s">
        <v>47637</v>
      </c>
      <c r="F10551" s="18" t="str">
        <f>IFERROR(__XLUDF.DUMMYFUNCTION("PROPER(REGEXREPLACE(D463,""[^A-Za-z]+ "",""""))"),"Steelgo")</f>
        <v>Steelgo</v>
      </c>
      <c r="G10551" s="18" t="s">
        <v>47638</v>
      </c>
      <c r="H10551" s="18">
        <v>23</v>
      </c>
      <c r="I10551" s="18" t="s">
        <v>9239</v>
      </c>
      <c r="J10551" s="5" t="s">
        <v>47639</v>
      </c>
      <c r="K10551" s="5" t="s">
        <v>47640</v>
      </c>
      <c r="L10551" s="18" t="s">
        <v>1711</v>
      </c>
      <c r="M10551" s="18" t="s">
        <v>29</v>
      </c>
      <c r="N10551" s="18" t="s">
        <v>47641</v>
      </c>
      <c r="O10551" s="18" t="s">
        <v>29</v>
      </c>
      <c r="P10551" s="18" t="s">
        <v>47642</v>
      </c>
      <c r="Q10551" s="6"/>
      <c r="R10551" s="6"/>
      <c r="S10551" s="6"/>
      <c r="T10551" s="6"/>
      <c r="U10551" s="6"/>
      <c r="V10551" s="8"/>
      <c r="W10551" s="8"/>
      <c r="X10551" s="8"/>
      <c r="Y10551" s="8"/>
    </row>
    <row r="10552" ht="14.25">
      <c r="B10552" s="18" t="s">
        <v>743</v>
      </c>
      <c r="C10552" s="18" t="s">
        <v>119</v>
      </c>
      <c r="D10552" s="18" t="s">
        <v>172</v>
      </c>
      <c r="E10552" s="18" t="s">
        <v>47643</v>
      </c>
      <c r="F10552" s="18" t="str">
        <f>IFERROR(__XLUDF.DUMMYFUNCTION("PROPER(REGEXREPLACE(D464,""[^A-Za-z]+ "",""""))"),"Rougier Et Fils")</f>
        <v xml:space="preserve">Rougier Et Fils</v>
      </c>
      <c r="G10552" s="18" t="s">
        <v>47644</v>
      </c>
      <c r="H10552" s="18">
        <v>24</v>
      </c>
      <c r="I10552" s="18" t="s">
        <v>9239</v>
      </c>
      <c r="J10552" s="5" t="s">
        <v>47645</v>
      </c>
      <c r="K10552" s="5" t="s">
        <v>47646</v>
      </c>
      <c r="L10552" s="18" t="s">
        <v>12721</v>
      </c>
      <c r="M10552" s="18" t="s">
        <v>29</v>
      </c>
      <c r="N10552" s="18" t="s">
        <v>47647</v>
      </c>
      <c r="O10552" s="18" t="s">
        <v>29</v>
      </c>
      <c r="P10552" s="18" t="s">
        <v>47648</v>
      </c>
      <c r="Q10552" s="6"/>
      <c r="R10552" s="6"/>
      <c r="S10552" s="6"/>
      <c r="T10552" s="6"/>
      <c r="U10552" s="6"/>
      <c r="V10552" s="8"/>
      <c r="W10552" s="8"/>
      <c r="X10552" s="8"/>
      <c r="Y10552" s="8"/>
    </row>
    <row r="10553" ht="14.25">
      <c r="B10553" s="18" t="s">
        <v>785</v>
      </c>
      <c r="C10553" s="18" t="s">
        <v>47649</v>
      </c>
      <c r="D10553" s="18" t="s">
        <v>112</v>
      </c>
      <c r="E10553" s="18" t="s">
        <v>47650</v>
      </c>
      <c r="F10553" s="18" t="str">
        <f>IFERROR(__XLUDF.DUMMYFUNCTION("PROPER(REGEXREPLACE(D465,""[^A-Za-z]+ "",""""))"),"Home-Constructions")</f>
        <v>Home-Constructions</v>
      </c>
      <c r="G10553" s="18" t="s">
        <v>47651</v>
      </c>
      <c r="H10553" s="18">
        <v>8</v>
      </c>
      <c r="I10553" s="18" t="s">
        <v>9239</v>
      </c>
      <c r="J10553" s="5" t="s">
        <v>47652</v>
      </c>
      <c r="K10553" s="5" t="s">
        <v>47653</v>
      </c>
      <c r="L10553" s="18" t="s">
        <v>13841</v>
      </c>
      <c r="M10553" s="18" t="s">
        <v>29</v>
      </c>
      <c r="N10553" s="18" t="s">
        <v>47654</v>
      </c>
      <c r="O10553" s="18" t="s">
        <v>29</v>
      </c>
      <c r="P10553" s="18" t="s">
        <v>47655</v>
      </c>
      <c r="Q10553" s="6"/>
      <c r="R10553" s="6"/>
      <c r="S10553" s="6"/>
      <c r="T10553" s="6"/>
      <c r="U10553" s="6"/>
      <c r="V10553" s="8"/>
      <c r="W10553" s="8"/>
      <c r="X10553" s="8"/>
      <c r="Y10553" s="8"/>
    </row>
    <row r="10554" ht="14.25">
      <c r="B10554" s="18" t="s">
        <v>6356</v>
      </c>
      <c r="C10554" s="18" t="s">
        <v>47656</v>
      </c>
      <c r="D10554" s="18" t="s">
        <v>112</v>
      </c>
      <c r="E10554" s="18" t="s">
        <v>47657</v>
      </c>
      <c r="F10554" s="18" t="str">
        <f>IFERROR(__XLUDF.DUMMYFUNCTION("PROPER(REGEXREPLACE(D466,""[^A-Za-z]+ "",""""))"),"Groupe Remove")</f>
        <v xml:space="preserve">Groupe Remove</v>
      </c>
      <c r="G10554" s="18" t="s">
        <v>47658</v>
      </c>
      <c r="H10554" s="18">
        <v>45</v>
      </c>
      <c r="I10554" s="18" t="s">
        <v>9239</v>
      </c>
      <c r="J10554" s="5" t="s">
        <v>47659</v>
      </c>
      <c r="K10554" s="5" t="s">
        <v>47660</v>
      </c>
      <c r="L10554" s="18" t="s">
        <v>20622</v>
      </c>
      <c r="M10554" s="18" t="s">
        <v>29</v>
      </c>
      <c r="N10554" s="18" t="s">
        <v>20623</v>
      </c>
      <c r="O10554" s="18" t="s">
        <v>29</v>
      </c>
      <c r="P10554" s="18" t="s">
        <v>47661</v>
      </c>
      <c r="Q10554" s="6"/>
      <c r="R10554" s="6"/>
      <c r="S10554" s="6"/>
      <c r="T10554" s="6"/>
      <c r="U10554" s="6"/>
      <c r="V10554" s="8"/>
      <c r="W10554" s="8"/>
      <c r="X10554" s="8"/>
      <c r="Y10554" s="8"/>
    </row>
    <row r="10555" ht="14.25">
      <c r="B10555" s="18" t="s">
        <v>110</v>
      </c>
      <c r="C10555" s="18" t="s">
        <v>47662</v>
      </c>
      <c r="D10555" s="18" t="s">
        <v>341</v>
      </c>
      <c r="E10555" s="18" t="s">
        <v>47663</v>
      </c>
      <c r="F10555" s="18" t="str">
        <f>IFERROR(__XLUDF.DUMMYFUNCTION("PROPER(REGEXREPLACE(D467,""[^A-Za-z]+ "",""""))"),"La Compagnie Des Toits")</f>
        <v xml:space="preserve">La Compagnie Des Toits</v>
      </c>
      <c r="G10555" s="18" t="s">
        <v>47664</v>
      </c>
      <c r="H10555" s="18">
        <v>58</v>
      </c>
      <c r="I10555" s="18" t="s">
        <v>9239</v>
      </c>
      <c r="J10555" s="5" t="s">
        <v>47665</v>
      </c>
      <c r="K10555" s="5" t="s">
        <v>47666</v>
      </c>
      <c r="L10555" s="18" t="s">
        <v>21493</v>
      </c>
      <c r="M10555" s="18" t="s">
        <v>29</v>
      </c>
      <c r="N10555" s="18" t="s">
        <v>47667</v>
      </c>
      <c r="O10555" s="18" t="s">
        <v>29</v>
      </c>
      <c r="P10555" s="18" t="s">
        <v>47668</v>
      </c>
      <c r="Q10555" s="6"/>
      <c r="R10555" s="6"/>
      <c r="S10555" s="6"/>
      <c r="T10555" s="6"/>
      <c r="U10555" s="6"/>
      <c r="V10555" s="8"/>
      <c r="W10555" s="8"/>
      <c r="X10555" s="8"/>
      <c r="Y10555" s="8"/>
    </row>
    <row r="10556" ht="14.25">
      <c r="B10556" s="18" t="s">
        <v>4800</v>
      </c>
      <c r="C10556" s="18" t="s">
        <v>47669</v>
      </c>
      <c r="D10556" s="18" t="s">
        <v>112</v>
      </c>
      <c r="E10556" s="18" t="s">
        <v>47670</v>
      </c>
      <c r="F10556" s="18" t="str">
        <f>IFERROR(__XLUDF.DUMMYFUNCTION("PROPER(REGEXREPLACE(D468,""[^A-Za-z]+ "",""""))"),"Cogelec")</f>
        <v>Cogelec</v>
      </c>
      <c r="G10556" s="18" t="s">
        <v>47671</v>
      </c>
      <c r="H10556" s="18">
        <v>54</v>
      </c>
      <c r="I10556" s="18" t="s">
        <v>9239</v>
      </c>
      <c r="J10556" s="5" t="s">
        <v>47672</v>
      </c>
      <c r="K10556" s="5" t="s">
        <v>47673</v>
      </c>
      <c r="L10556" s="18" t="s">
        <v>492</v>
      </c>
      <c r="M10556" s="18" t="s">
        <v>29</v>
      </c>
      <c r="N10556" s="18" t="s">
        <v>47674</v>
      </c>
      <c r="O10556" s="18" t="s">
        <v>29</v>
      </c>
      <c r="P10556" s="18" t="s">
        <v>47675</v>
      </c>
      <c r="Q10556" s="6"/>
      <c r="R10556" s="6"/>
      <c r="S10556" s="6"/>
      <c r="T10556" s="6"/>
      <c r="U10556" s="6"/>
      <c r="V10556" s="8"/>
      <c r="W10556" s="8"/>
      <c r="X10556" s="8"/>
      <c r="Y10556" s="8"/>
    </row>
    <row r="10557" ht="14.25">
      <c r="B10557" s="18" t="s">
        <v>734</v>
      </c>
      <c r="C10557" s="18" t="s">
        <v>3967</v>
      </c>
      <c r="D10557" s="18" t="s">
        <v>112</v>
      </c>
      <c r="E10557" s="18" t="s">
        <v>47676</v>
      </c>
      <c r="F10557" s="18" t="str">
        <f>IFERROR(__XLUDF.DUMMYFUNCTION("PROPER(REGEXREPLACE(D469,""[^A-Za-z]+ "",""""))"),"Benoit-Guyot")</f>
        <v>Benoit-Guyot</v>
      </c>
      <c r="G10557" s="18" t="s">
        <v>47677</v>
      </c>
      <c r="H10557" s="18">
        <v>27</v>
      </c>
      <c r="I10557" s="18" t="s">
        <v>9239</v>
      </c>
      <c r="J10557" s="5" t="s">
        <v>47678</v>
      </c>
      <c r="K10557" s="5" t="s">
        <v>47679</v>
      </c>
      <c r="L10557" s="18" t="s">
        <v>47680</v>
      </c>
      <c r="M10557" s="18" t="s">
        <v>29</v>
      </c>
      <c r="N10557" s="18" t="s">
        <v>47681</v>
      </c>
      <c r="O10557" s="18" t="s">
        <v>29</v>
      </c>
      <c r="P10557" s="18" t="s">
        <v>47682</v>
      </c>
      <c r="Q10557" s="6"/>
      <c r="R10557" s="6"/>
      <c r="S10557" s="6"/>
      <c r="T10557" s="6"/>
      <c r="U10557" s="6"/>
      <c r="V10557" s="8"/>
      <c r="W10557" s="8"/>
      <c r="X10557" s="8"/>
      <c r="Y10557" s="8"/>
    </row>
    <row r="10558" ht="14.25">
      <c r="B10558" s="18" t="s">
        <v>4969</v>
      </c>
      <c r="C10558" s="18" t="s">
        <v>47683</v>
      </c>
      <c r="D10558" s="18" t="s">
        <v>47684</v>
      </c>
      <c r="E10558" s="18" t="s">
        <v>47685</v>
      </c>
      <c r="F10558" s="18" t="str">
        <f>IFERROR(__XLUDF.DUMMYFUNCTION("PROPER(REGEXREPLACE(D470,""[^A-Za-z]+ "",""""))"),"Sharemat")</f>
        <v>Sharemat</v>
      </c>
      <c r="G10558" s="18" t="s">
        <v>47686</v>
      </c>
      <c r="H10558" s="18">
        <v>11</v>
      </c>
      <c r="I10558" s="18" t="s">
        <v>9239</v>
      </c>
      <c r="J10558" s="5" t="s">
        <v>47687</v>
      </c>
      <c r="K10558" s="5" t="s">
        <v>47688</v>
      </c>
      <c r="L10558" s="18" t="s">
        <v>1711</v>
      </c>
      <c r="M10558" s="18" t="s">
        <v>29</v>
      </c>
      <c r="N10558" s="18" t="s">
        <v>26882</v>
      </c>
      <c r="O10558" s="18" t="s">
        <v>29</v>
      </c>
      <c r="P10558" s="18" t="s">
        <v>47689</v>
      </c>
      <c r="Q10558" s="6"/>
      <c r="R10558" s="6"/>
      <c r="S10558" s="6"/>
      <c r="T10558" s="6"/>
      <c r="U10558" s="6"/>
      <c r="V10558" s="8"/>
      <c r="W10558" s="8"/>
      <c r="X10558" s="8"/>
      <c r="Y10558" s="8"/>
    </row>
    <row r="10559" ht="14.25">
      <c r="B10559" s="18" t="s">
        <v>4012</v>
      </c>
      <c r="C10559" s="18" t="s">
        <v>47690</v>
      </c>
      <c r="D10559" s="18" t="s">
        <v>487</v>
      </c>
      <c r="E10559" s="18" t="s">
        <v>47691</v>
      </c>
      <c r="F10559" s="18" t="str">
        <f>IFERROR(__XLUDF.DUMMYFUNCTION("PROPER(REGEXREPLACE(D471,""[^A-Za-z]+ "",""""))"),"Scop Cabrol")</f>
        <v xml:space="preserve">Scop Cabrol</v>
      </c>
      <c r="G10559" s="18" t="s">
        <v>47692</v>
      </c>
      <c r="H10559" s="18">
        <v>29</v>
      </c>
      <c r="I10559" s="18" t="s">
        <v>9239</v>
      </c>
      <c r="J10559" s="5" t="s">
        <v>47693</v>
      </c>
      <c r="K10559" s="5" t="s">
        <v>47694</v>
      </c>
      <c r="L10559" s="18" t="s">
        <v>47695</v>
      </c>
      <c r="M10559" s="18" t="s">
        <v>29</v>
      </c>
      <c r="N10559" s="18" t="s">
        <v>47696</v>
      </c>
      <c r="O10559" s="18" t="s">
        <v>29</v>
      </c>
      <c r="P10559" s="6"/>
      <c r="Q10559" s="6"/>
      <c r="R10559" s="6"/>
      <c r="S10559" s="6"/>
      <c r="T10559" s="6"/>
      <c r="U10559" s="6"/>
      <c r="V10559" s="8"/>
      <c r="W10559" s="8"/>
      <c r="X10559" s="8"/>
      <c r="Y10559" s="8"/>
    </row>
    <row r="10560" ht="14.25">
      <c r="B10560" s="18" t="s">
        <v>47697</v>
      </c>
      <c r="C10560" s="18" t="s">
        <v>47698</v>
      </c>
      <c r="D10560" s="18" t="s">
        <v>3982</v>
      </c>
      <c r="E10560" s="18" t="s">
        <v>47699</v>
      </c>
      <c r="F10560" s="18" t="str">
        <f>IFERROR(__XLUDF.DUMMYFUNCTION("PROPER(REGEXREPLACE(D472,""[^A-Za-z]+ "",""""))"),"Ezel Bâtiment")</f>
        <v xml:space="preserve">Ezel Bâtiment</v>
      </c>
      <c r="G10560" s="18" t="s">
        <v>47700</v>
      </c>
      <c r="H10560" s="18">
        <v>23</v>
      </c>
      <c r="I10560" s="18" t="s">
        <v>9239</v>
      </c>
      <c r="J10560" s="5" t="s">
        <v>47701</v>
      </c>
      <c r="K10560" s="5" t="s">
        <v>47702</v>
      </c>
      <c r="L10560" s="18" t="s">
        <v>47703</v>
      </c>
      <c r="M10560" s="18" t="s">
        <v>29</v>
      </c>
      <c r="N10560" s="18" t="s">
        <v>47704</v>
      </c>
      <c r="O10560" s="18" t="s">
        <v>29</v>
      </c>
      <c r="P10560" s="6"/>
      <c r="Q10560" s="6"/>
      <c r="R10560" s="6"/>
      <c r="S10560" s="6"/>
      <c r="T10560" s="6"/>
      <c r="U10560" s="6"/>
      <c r="V10560" s="8"/>
      <c r="W10560" s="8"/>
      <c r="X10560" s="8"/>
      <c r="Y10560" s="8"/>
    </row>
    <row r="10561" ht="14.25">
      <c r="B10561" s="18" t="s">
        <v>47705</v>
      </c>
      <c r="C10561" s="18" t="s">
        <v>47706</v>
      </c>
      <c r="D10561" s="18" t="s">
        <v>47707</v>
      </c>
      <c r="E10561" s="18" t="s">
        <v>47708</v>
      </c>
      <c r="F10561" s="18" t="str">
        <f>IFERROR(__XLUDF.DUMMYFUNCTION("PROPER(REGEXREPLACE(D473,""[^A-Za-z]+ "",""""))"),"Afaco")</f>
        <v>Afaco</v>
      </c>
      <c r="G10561" s="18" t="s">
        <v>47709</v>
      </c>
      <c r="H10561" s="18">
        <v>32</v>
      </c>
      <c r="I10561" s="18" t="s">
        <v>9239</v>
      </c>
      <c r="J10561" s="5" t="s">
        <v>47710</v>
      </c>
      <c r="K10561" s="5" t="s">
        <v>47711</v>
      </c>
      <c r="L10561" s="18" t="s">
        <v>46376</v>
      </c>
      <c r="M10561" s="18" t="s">
        <v>29</v>
      </c>
      <c r="N10561" s="18" t="s">
        <v>47712</v>
      </c>
      <c r="O10561" s="18" t="s">
        <v>29</v>
      </c>
      <c r="P10561" s="18" t="s">
        <v>47713</v>
      </c>
      <c r="Q10561" s="6"/>
      <c r="R10561" s="6"/>
      <c r="S10561" s="6"/>
      <c r="T10561" s="6"/>
      <c r="U10561" s="6"/>
      <c r="V10561" s="8"/>
      <c r="W10561" s="8"/>
      <c r="X10561" s="8"/>
      <c r="Y10561" s="8"/>
    </row>
    <row r="10562" ht="14.25">
      <c r="B10562" s="18" t="s">
        <v>4012</v>
      </c>
      <c r="C10562" s="18" t="s">
        <v>47714</v>
      </c>
      <c r="D10562" s="18" t="s">
        <v>47715</v>
      </c>
      <c r="E10562" s="18" t="s">
        <v>47716</v>
      </c>
      <c r="F10562" s="18" t="str">
        <f>IFERROR(__XLUDF.DUMMYFUNCTION("PROPER(REGEXREPLACE(D474,""[^A-Za-z]+ "",""""))"),"Sa Carrières Nivet")</f>
        <v xml:space="preserve">Sa Carrières Nivet</v>
      </c>
      <c r="G10562" s="18" t="s">
        <v>47717</v>
      </c>
      <c r="H10562" s="18">
        <v>8</v>
      </c>
      <c r="I10562" s="18" t="s">
        <v>9239</v>
      </c>
      <c r="J10562" s="5" t="s">
        <v>47718</v>
      </c>
      <c r="K10562" s="5" t="s">
        <v>47719</v>
      </c>
      <c r="L10562" s="18" t="s">
        <v>41087</v>
      </c>
      <c r="M10562" s="18" t="s">
        <v>29</v>
      </c>
      <c r="N10562" s="18" t="s">
        <v>47720</v>
      </c>
      <c r="O10562" s="18" t="s">
        <v>29</v>
      </c>
      <c r="P10562" s="6"/>
      <c r="Q10562" s="6"/>
      <c r="R10562" s="6"/>
      <c r="S10562" s="6"/>
      <c r="T10562" s="6"/>
      <c r="U10562" s="6"/>
      <c r="V10562" s="8"/>
      <c r="W10562" s="8"/>
      <c r="X10562" s="8"/>
      <c r="Y10562" s="8"/>
    </row>
    <row r="10563" ht="14.25">
      <c r="B10563" s="18" t="s">
        <v>110</v>
      </c>
      <c r="C10563" s="18" t="s">
        <v>3372</v>
      </c>
      <c r="D10563" s="18" t="s">
        <v>487</v>
      </c>
      <c r="E10563" s="18" t="s">
        <v>47721</v>
      </c>
      <c r="F10563" s="18" t="str">
        <f>IFERROR(__XLUDF.DUMMYFUNCTION("PROPER(REGEXREPLACE(D475,""[^A-Za-z]+ "",""""))"),"Sombat Sas")</f>
        <v xml:space="preserve">Sombat Sas</v>
      </c>
      <c r="G10563" s="18" t="s">
        <v>47722</v>
      </c>
      <c r="H10563" s="18">
        <v>17</v>
      </c>
      <c r="I10563" s="18" t="s">
        <v>9239</v>
      </c>
      <c r="J10563" s="5" t="s">
        <v>47723</v>
      </c>
      <c r="K10563" s="5" t="s">
        <v>47724</v>
      </c>
      <c r="L10563" s="18" t="s">
        <v>1312</v>
      </c>
      <c r="M10563" s="18" t="s">
        <v>29</v>
      </c>
      <c r="N10563" s="18" t="s">
        <v>47725</v>
      </c>
      <c r="O10563" s="18" t="s">
        <v>29</v>
      </c>
      <c r="P10563" s="18" t="s">
        <v>47726</v>
      </c>
      <c r="Q10563" s="6"/>
      <c r="R10563" s="6"/>
      <c r="S10563" s="6"/>
      <c r="T10563" s="6"/>
      <c r="U10563" s="6"/>
      <c r="V10563" s="8"/>
      <c r="W10563" s="8"/>
      <c r="X10563" s="8"/>
      <c r="Y10563" s="8"/>
    </row>
    <row r="10564" ht="14.25">
      <c r="B10564" s="18" t="s">
        <v>5671</v>
      </c>
      <c r="C10564" s="18" t="s">
        <v>47727</v>
      </c>
      <c r="D10564" s="18" t="s">
        <v>47728</v>
      </c>
      <c r="E10564" s="18" t="s">
        <v>47729</v>
      </c>
      <c r="F10564" s="18" t="str">
        <f>IFERROR(__XLUDF.DUMMYFUNCTION("PROPER(REGEXREPLACE(D476,""[^A-Za-z]+ "",""""))"),"Bellastock")</f>
        <v>Bellastock</v>
      </c>
      <c r="G10564" s="18" t="s">
        <v>47730</v>
      </c>
      <c r="H10564" s="18">
        <v>24</v>
      </c>
      <c r="I10564" s="18" t="s">
        <v>10167</v>
      </c>
      <c r="J10564" s="5" t="s">
        <v>47731</v>
      </c>
      <c r="K10564" s="5" t="s">
        <v>47732</v>
      </c>
      <c r="L10564" s="18" t="s">
        <v>39</v>
      </c>
      <c r="M10564" s="18" t="s">
        <v>29</v>
      </c>
      <c r="N10564" s="18" t="s">
        <v>47733</v>
      </c>
      <c r="O10564" s="18" t="s">
        <v>29</v>
      </c>
      <c r="P10564" s="6"/>
      <c r="Q10564" s="6"/>
      <c r="R10564" s="6"/>
      <c r="S10564" s="6"/>
      <c r="T10564" s="6"/>
      <c r="U10564" s="6"/>
      <c r="V10564" s="8"/>
      <c r="W10564" s="8"/>
      <c r="X10564" s="8"/>
      <c r="Y10564" s="8"/>
    </row>
    <row r="10565" ht="14.25">
      <c r="B10565" s="18" t="s">
        <v>47734</v>
      </c>
      <c r="C10565" s="18" t="s">
        <v>47735</v>
      </c>
      <c r="D10565" s="18" t="s">
        <v>1240</v>
      </c>
      <c r="E10565" s="18" t="s">
        <v>47736</v>
      </c>
      <c r="F10565" s="18" t="str">
        <f>IFERROR(__XLUDF.DUMMYFUNCTION("PROPER(REGEXREPLACE(D477,""[^A-Za-z]+ "",""""))"),"Greenmade")</f>
        <v>Greenmade</v>
      </c>
      <c r="G10565" s="18" t="s">
        <v>47737</v>
      </c>
      <c r="H10565" s="18">
        <v>8</v>
      </c>
      <c r="I10565" s="18" t="s">
        <v>47738</v>
      </c>
      <c r="J10565" s="5" t="s">
        <v>47739</v>
      </c>
      <c r="K10565" s="5" t="s">
        <v>47740</v>
      </c>
      <c r="L10565" s="18" t="s">
        <v>47741</v>
      </c>
      <c r="M10565" s="18" t="s">
        <v>29</v>
      </c>
      <c r="N10565" s="6"/>
      <c r="O10565" s="6"/>
      <c r="P10565" s="6"/>
      <c r="Q10565" s="6"/>
      <c r="R10565" s="6"/>
      <c r="S10565" s="6"/>
      <c r="T10565" s="6"/>
      <c r="U10565" s="6"/>
      <c r="V10565" s="8"/>
      <c r="W10565" s="8"/>
      <c r="X10565" s="8"/>
      <c r="Y10565" s="8"/>
    </row>
    <row r="10566" ht="14.25">
      <c r="B10566" s="18" t="s">
        <v>485</v>
      </c>
      <c r="C10566" s="18" t="s">
        <v>17990</v>
      </c>
      <c r="D10566" s="18" t="s">
        <v>87</v>
      </c>
      <c r="E10566" s="18" t="s">
        <v>47742</v>
      </c>
      <c r="F10566" s="18" t="str">
        <f>IFERROR(__XLUDF.DUMMYFUNCTION("PROPER(REGEXREPLACE(D478,""[^A-Za-z]+ "",""""))"),"Apogea Bretagne")</f>
        <v xml:space="preserve">Apogea Bretagne</v>
      </c>
      <c r="G10566" s="18" t="s">
        <v>47743</v>
      </c>
      <c r="H10566" s="18">
        <v>3</v>
      </c>
      <c r="I10566" s="18" t="s">
        <v>9239</v>
      </c>
      <c r="J10566" s="5" t="s">
        <v>47744</v>
      </c>
      <c r="K10566" s="5" t="s">
        <v>47745</v>
      </c>
      <c r="L10566" s="18" t="s">
        <v>1826</v>
      </c>
      <c r="M10566" s="18" t="s">
        <v>29</v>
      </c>
      <c r="N10566" s="18" t="s">
        <v>2286</v>
      </c>
      <c r="O10566" s="18" t="s">
        <v>29</v>
      </c>
      <c r="P10566" s="6"/>
      <c r="Q10566" s="6"/>
      <c r="R10566" s="6"/>
      <c r="S10566" s="6"/>
      <c r="T10566" s="6"/>
      <c r="U10566" s="6"/>
      <c r="V10566" s="8"/>
      <c r="W10566" s="8"/>
      <c r="X10566" s="8"/>
      <c r="Y10566" s="8"/>
    </row>
    <row r="10567" ht="14.25">
      <c r="B10567" s="18" t="s">
        <v>17787</v>
      </c>
      <c r="C10567" s="18" t="s">
        <v>47746</v>
      </c>
      <c r="D10567" s="18" t="s">
        <v>172</v>
      </c>
      <c r="E10567" s="18" t="s">
        <v>47747</v>
      </c>
      <c r="F10567" s="18" t="str">
        <f>IFERROR(__XLUDF.DUMMYFUNCTION("PROPER(REGEXREPLACE(D479,""[^A-Za-z]+ "",""""))"),"Carrcréation")</f>
        <v>Carrcréation</v>
      </c>
      <c r="G10567" s="18" t="s">
        <v>47748</v>
      </c>
      <c r="H10567" s="18">
        <v>4</v>
      </c>
      <c r="I10567" s="18" t="s">
        <v>9239</v>
      </c>
      <c r="J10567" s="5" t="s">
        <v>47749</v>
      </c>
      <c r="K10567" s="5" t="s">
        <v>47750</v>
      </c>
      <c r="L10567" s="18" t="s">
        <v>185</v>
      </c>
      <c r="M10567" s="18" t="s">
        <v>29</v>
      </c>
      <c r="N10567" s="18" t="s">
        <v>47751</v>
      </c>
      <c r="O10567" s="18" t="s">
        <v>29</v>
      </c>
      <c r="P10567" s="6"/>
      <c r="Q10567" s="6"/>
      <c r="R10567" s="6"/>
      <c r="S10567" s="6"/>
      <c r="T10567" s="6"/>
      <c r="U10567" s="6"/>
      <c r="V10567" s="8"/>
      <c r="W10567" s="8"/>
      <c r="X10567" s="8"/>
      <c r="Y10567" s="8"/>
    </row>
    <row r="10568" ht="14.25">
      <c r="B10568" s="18" t="s">
        <v>26223</v>
      </c>
      <c r="C10568" s="18" t="s">
        <v>47752</v>
      </c>
      <c r="D10568" s="18" t="s">
        <v>172</v>
      </c>
      <c r="E10568" s="18" t="s">
        <v>47753</v>
      </c>
      <c r="F10568" s="18" t="str">
        <f>IFERROR(__XLUDF.DUMMYFUNCTION("PROPER(REGEXREPLACE(D480,""[^A-Za-z]+ "",""""))"),"Groupe Bonnefoy")</f>
        <v xml:space="preserve">Groupe Bonnefoy</v>
      </c>
      <c r="G10568" s="18" t="s">
        <v>47754</v>
      </c>
      <c r="H10568" s="18">
        <v>44</v>
      </c>
      <c r="I10568" s="18" t="s">
        <v>9239</v>
      </c>
      <c r="J10568" s="5" t="s">
        <v>47755</v>
      </c>
      <c r="K10568" s="5" t="s">
        <v>47756</v>
      </c>
      <c r="L10568" s="6"/>
      <c r="M10568" s="18" t="s">
        <v>29</v>
      </c>
      <c r="N10568" s="18" t="s">
        <v>47757</v>
      </c>
      <c r="O10568" s="18" t="s">
        <v>29</v>
      </c>
      <c r="P10568" s="18" t="s">
        <v>47758</v>
      </c>
      <c r="Q10568" s="6"/>
      <c r="R10568" s="6"/>
      <c r="S10568" s="6"/>
      <c r="T10568" s="6"/>
      <c r="U10568" s="6"/>
      <c r="V10568" s="8"/>
      <c r="W10568" s="8"/>
      <c r="X10568" s="8"/>
      <c r="Y10568" s="8"/>
    </row>
    <row r="10569" ht="14.25">
      <c r="B10569" s="18" t="s">
        <v>110</v>
      </c>
      <c r="C10569" s="18" t="s">
        <v>47759</v>
      </c>
      <c r="D10569" s="18" t="s">
        <v>172</v>
      </c>
      <c r="E10569" s="18" t="s">
        <v>47151</v>
      </c>
      <c r="F10569" s="18" t="str">
        <f>IFERROR(__XLUDF.DUMMYFUNCTION("PROPER(REGEXREPLACE(D481,""[^A-Za-z]+ "",""""))"),"Techgroup")</f>
        <v>Techgroup</v>
      </c>
      <c r="G10569" s="18" t="s">
        <v>47760</v>
      </c>
      <c r="H10569" s="18">
        <v>21</v>
      </c>
      <c r="I10569" s="18" t="s">
        <v>9239</v>
      </c>
      <c r="J10569" s="5" t="s">
        <v>47761</v>
      </c>
      <c r="K10569" s="5" t="s">
        <v>47154</v>
      </c>
      <c r="L10569" s="18" t="s">
        <v>47762</v>
      </c>
      <c r="M10569" s="18" t="s">
        <v>29</v>
      </c>
      <c r="N10569" s="18" t="s">
        <v>47155</v>
      </c>
      <c r="O10569" s="18" t="s">
        <v>29</v>
      </c>
      <c r="P10569" s="6"/>
      <c r="Q10569" s="6"/>
      <c r="R10569" s="6"/>
      <c r="S10569" s="6"/>
      <c r="T10569" s="6"/>
      <c r="U10569" s="6"/>
      <c r="V10569" s="8"/>
      <c r="W10569" s="8"/>
      <c r="X10569" s="8"/>
      <c r="Y10569" s="8"/>
    </row>
    <row r="10570" ht="14.25">
      <c r="B10570" s="18" t="s">
        <v>20</v>
      </c>
      <c r="C10570" s="18" t="s">
        <v>8904</v>
      </c>
      <c r="D10570" s="18" t="s">
        <v>172</v>
      </c>
      <c r="E10570" s="18" t="s">
        <v>47763</v>
      </c>
      <c r="F10570" s="18" t="str">
        <f>IFERROR(__XLUDF.DUMMYFUNCTION("PROPER(REGEXREPLACE(D482,""[^A-Za-z]+ "",""""))"),"Bfc Promotion Habitat")</f>
        <v xml:space="preserve">Bfc Promotion Habitat</v>
      </c>
      <c r="G10570" s="18" t="s">
        <v>47764</v>
      </c>
      <c r="H10570" s="18">
        <v>7</v>
      </c>
      <c r="I10570" s="18" t="s">
        <v>9239</v>
      </c>
      <c r="J10570" s="5" t="s">
        <v>47765</v>
      </c>
      <c r="K10570" s="5" t="s">
        <v>47766</v>
      </c>
      <c r="L10570" s="18" t="s">
        <v>149</v>
      </c>
      <c r="M10570" s="18" t="s">
        <v>29</v>
      </c>
      <c r="N10570" s="18" t="s">
        <v>1394</v>
      </c>
      <c r="O10570" s="18" t="s">
        <v>29</v>
      </c>
      <c r="P10570" s="18" t="s">
        <v>47767</v>
      </c>
      <c r="Q10570" s="6"/>
      <c r="R10570" s="6"/>
      <c r="S10570" s="6"/>
      <c r="T10570" s="6"/>
      <c r="U10570" s="6"/>
      <c r="V10570" s="8"/>
      <c r="W10570" s="8"/>
      <c r="X10570" s="8"/>
      <c r="Y10570" s="8"/>
    </row>
    <row r="10571" ht="14.25">
      <c r="B10571" s="18" t="s">
        <v>1215</v>
      </c>
      <c r="C10571" s="18" t="s">
        <v>47768</v>
      </c>
      <c r="D10571" s="18" t="s">
        <v>172</v>
      </c>
      <c r="E10571" s="18" t="s">
        <v>47769</v>
      </c>
      <c r="F10571" s="18" t="str">
        <f>IFERROR(__XLUDF.DUMMYFUNCTION("PROPER(REGEXREPLACE(D483,""[^A-Za-z]+ "",""""))"),"Blard")</f>
        <v>Blard</v>
      </c>
      <c r="G10571" s="18" t="s">
        <v>47770</v>
      </c>
      <c r="H10571" s="18">
        <v>42</v>
      </c>
      <c r="I10571" s="18" t="s">
        <v>9239</v>
      </c>
      <c r="J10571" s="5" t="s">
        <v>47771</v>
      </c>
      <c r="K10571" s="5" t="s">
        <v>47772</v>
      </c>
      <c r="L10571" s="18" t="s">
        <v>149</v>
      </c>
      <c r="M10571" s="18" t="s">
        <v>29</v>
      </c>
      <c r="N10571" s="18" t="s">
        <v>47773</v>
      </c>
      <c r="O10571" s="18" t="s">
        <v>29</v>
      </c>
      <c r="P10571" s="18" t="s">
        <v>47774</v>
      </c>
      <c r="Q10571" s="6"/>
      <c r="R10571" s="6"/>
      <c r="S10571" s="6"/>
      <c r="T10571" s="6"/>
      <c r="U10571" s="6"/>
      <c r="V10571" s="8"/>
      <c r="W10571" s="8"/>
      <c r="X10571" s="8"/>
      <c r="Y10571" s="8"/>
    </row>
    <row r="10572" ht="14.25">
      <c r="B10572" s="18" t="s">
        <v>3271</v>
      </c>
      <c r="C10572" s="18" t="s">
        <v>47775</v>
      </c>
      <c r="D10572" s="18" t="s">
        <v>172</v>
      </c>
      <c r="E10572" s="18" t="s">
        <v>47776</v>
      </c>
      <c r="F10572" s="18" t="str">
        <f>IFERROR(__XLUDF.DUMMYFUNCTION("PROPER(REGEXREPLACE(D484,""[^A-Za-z]+ "",""""))"),"Groupe Bardon")</f>
        <v xml:space="preserve">Groupe Bardon</v>
      </c>
      <c r="G10572" s="18" t="s">
        <v>47777</v>
      </c>
      <c r="H10572" s="18">
        <v>10</v>
      </c>
      <c r="I10572" s="18" t="s">
        <v>9239</v>
      </c>
      <c r="J10572" s="5" t="s">
        <v>47778</v>
      </c>
      <c r="K10572" s="5" t="s">
        <v>47779</v>
      </c>
      <c r="L10572" s="18" t="s">
        <v>1826</v>
      </c>
      <c r="M10572" s="18" t="s">
        <v>29</v>
      </c>
      <c r="N10572" s="18" t="s">
        <v>47780</v>
      </c>
      <c r="O10572" s="18" t="s">
        <v>29</v>
      </c>
      <c r="P10572" s="18" t="s">
        <v>47781</v>
      </c>
      <c r="Q10572" s="6"/>
      <c r="R10572" s="6"/>
      <c r="S10572" s="6"/>
      <c r="T10572" s="6"/>
      <c r="U10572" s="6"/>
      <c r="V10572" s="8"/>
      <c r="W10572" s="8"/>
      <c r="X10572" s="8"/>
      <c r="Y10572" s="8"/>
    </row>
    <row r="10573" ht="14.25">
      <c r="B10573" s="18" t="s">
        <v>785</v>
      </c>
      <c r="C10573" s="18" t="s">
        <v>47782</v>
      </c>
      <c r="D10573" s="18" t="s">
        <v>172</v>
      </c>
      <c r="E10573" s="18" t="s">
        <v>47783</v>
      </c>
      <c r="F10573" s="18" t="str">
        <f>IFERROR(__XLUDF.DUMMYFUNCTION("PROPER(REGEXREPLACE(D485,""[^A-Za-z]+ "",""""))"),"Habiteum")</f>
        <v>Habiteum</v>
      </c>
      <c r="G10573" s="18" t="s">
        <v>47784</v>
      </c>
      <c r="H10573" s="18">
        <v>8</v>
      </c>
      <c r="I10573" s="18" t="s">
        <v>9239</v>
      </c>
      <c r="J10573" s="5" t="s">
        <v>47785</v>
      </c>
      <c r="K10573" s="5" t="s">
        <v>47786</v>
      </c>
      <c r="L10573" s="6"/>
      <c r="M10573" s="18" t="s">
        <v>29</v>
      </c>
      <c r="N10573" s="18" t="s">
        <v>47787</v>
      </c>
      <c r="O10573" s="18" t="s">
        <v>29</v>
      </c>
      <c r="P10573" s="18" t="s">
        <v>47788</v>
      </c>
      <c r="Q10573" s="6"/>
      <c r="R10573" s="6"/>
      <c r="S10573" s="6"/>
      <c r="T10573" s="6"/>
      <c r="U10573" s="6"/>
      <c r="V10573" s="8"/>
      <c r="W10573" s="8"/>
      <c r="X10573" s="8"/>
      <c r="Y10573" s="8"/>
    </row>
    <row r="10574" ht="14.25">
      <c r="B10574" s="18" t="s">
        <v>785</v>
      </c>
      <c r="C10574" s="18" t="s">
        <v>47789</v>
      </c>
      <c r="D10574" s="18" t="s">
        <v>14547</v>
      </c>
      <c r="E10574" s="18" t="s">
        <v>47790</v>
      </c>
      <c r="F10574" s="18" t="str">
        <f>IFERROR(__XLUDF.DUMMYFUNCTION("PROPER(REGEXREPLACE(D486,""[^A-Za-z]+ "",""""))"),"Ectb Group")</f>
        <v xml:space="preserve">Ectb Group</v>
      </c>
      <c r="G10574" s="18" t="s">
        <v>47791</v>
      </c>
      <c r="H10574" s="18">
        <v>11</v>
      </c>
      <c r="I10574" s="18" t="s">
        <v>9239</v>
      </c>
      <c r="J10574" s="5" t="s">
        <v>47792</v>
      </c>
      <c r="K10574" s="5" t="s">
        <v>47793</v>
      </c>
      <c r="L10574" s="18" t="s">
        <v>295</v>
      </c>
      <c r="M10574" s="18" t="s">
        <v>29</v>
      </c>
      <c r="N10574" s="18" t="s">
        <v>3642</v>
      </c>
      <c r="O10574" s="18" t="s">
        <v>29</v>
      </c>
      <c r="P10574" s="6"/>
      <c r="Q10574" s="6"/>
      <c r="R10574" s="6"/>
      <c r="S10574" s="6"/>
      <c r="T10574" s="6"/>
      <c r="U10574" s="6"/>
      <c r="V10574" s="8"/>
      <c r="W10574" s="8"/>
      <c r="X10574" s="8"/>
      <c r="Y10574" s="8"/>
    </row>
    <row r="10575" ht="14.25">
      <c r="B10575" s="18" t="s">
        <v>47794</v>
      </c>
      <c r="C10575" s="18" t="s">
        <v>47795</v>
      </c>
      <c r="D10575" s="18" t="s">
        <v>87</v>
      </c>
      <c r="E10575" s="18" t="s">
        <v>47796</v>
      </c>
      <c r="F10575" s="18" t="str">
        <f>IFERROR(__XLUDF.DUMMYFUNCTION("PROPER(REGEXREPLACE(D487,""[^A-Za-z]+ "",""""))"),"Ahl Designengineering")</f>
        <v xml:space="preserve">Ahl Designengineering</v>
      </c>
      <c r="G10575" s="18" t="s">
        <v>47797</v>
      </c>
      <c r="H10575" s="18">
        <v>31</v>
      </c>
      <c r="I10575" s="18" t="s">
        <v>9239</v>
      </c>
      <c r="J10575" s="5" t="s">
        <v>47798</v>
      </c>
      <c r="K10575" s="5" t="s">
        <v>47799</v>
      </c>
      <c r="L10575" s="18" t="s">
        <v>185</v>
      </c>
      <c r="M10575" s="18" t="s">
        <v>29</v>
      </c>
      <c r="N10575" s="18" t="s">
        <v>47800</v>
      </c>
      <c r="O10575" s="18" t="s">
        <v>24754</v>
      </c>
      <c r="P10575" s="6"/>
      <c r="Q10575" s="6"/>
      <c r="R10575" s="6"/>
      <c r="S10575" s="6"/>
      <c r="T10575" s="6"/>
      <c r="U10575" s="6"/>
      <c r="V10575" s="8"/>
      <c r="W10575" s="8"/>
      <c r="X10575" s="8"/>
      <c r="Y10575" s="8"/>
    </row>
    <row r="10576" ht="14.25">
      <c r="B10576" s="18" t="s">
        <v>4115</v>
      </c>
      <c r="C10576" s="18" t="s">
        <v>47801</v>
      </c>
      <c r="D10576" s="18" t="s">
        <v>8042</v>
      </c>
      <c r="E10576" s="18" t="s">
        <v>47802</v>
      </c>
      <c r="F10576" s="18" t="str">
        <f>IFERROR(__XLUDF.DUMMYFUNCTION("PROPER(REGEXREPLACE(D488,""[^A-Za-z]+ "",""""))"),"G2J-Elec社区、专业和个人")</f>
        <v>G2J-Elec社区、专业和个人</v>
      </c>
      <c r="G10576" s="18" t="s">
        <v>47803</v>
      </c>
      <c r="H10576" s="18">
        <v>24</v>
      </c>
      <c r="I10576" s="18" t="s">
        <v>9239</v>
      </c>
      <c r="J10576" s="5" t="s">
        <v>47804</v>
      </c>
      <c r="K10576" s="5" t="s">
        <v>47805</v>
      </c>
      <c r="L10576" s="18" t="s">
        <v>39</v>
      </c>
      <c r="M10576" s="18" t="s">
        <v>29</v>
      </c>
      <c r="N10576" s="18" t="s">
        <v>47806</v>
      </c>
      <c r="O10576" s="18" t="s">
        <v>29</v>
      </c>
      <c r="P10576" s="18" t="s">
        <v>47807</v>
      </c>
      <c r="Q10576" s="6"/>
      <c r="R10576" s="6"/>
      <c r="S10576" s="6"/>
      <c r="T10576" s="6"/>
      <c r="U10576" s="6"/>
      <c r="V10576" s="8"/>
      <c r="W10576" s="8"/>
      <c r="X10576" s="8"/>
      <c r="Y10576" s="8"/>
    </row>
    <row r="10577" ht="14.25">
      <c r="B10577" s="18" t="s">
        <v>1215</v>
      </c>
      <c r="C10577" s="18" t="s">
        <v>47808</v>
      </c>
      <c r="D10577" s="18" t="s">
        <v>426</v>
      </c>
      <c r="E10577" s="18" t="s">
        <v>47809</v>
      </c>
      <c r="F10577" s="18" t="str">
        <f>IFERROR(__XLUDF.DUMMYFUNCTION("PROPER(REGEXREPLACE(D489,""[^A-Za-z]+ "",""""))"),"Peinteco Sas")</f>
        <v xml:space="preserve">Peinteco Sas</v>
      </c>
      <c r="G10577" s="18" t="s">
        <v>47810</v>
      </c>
      <c r="H10577" s="18">
        <v>10</v>
      </c>
      <c r="I10577" s="18" t="s">
        <v>9239</v>
      </c>
      <c r="J10577" s="5" t="s">
        <v>47811</v>
      </c>
      <c r="K10577" s="5" t="s">
        <v>47812</v>
      </c>
      <c r="L10577" s="18" t="s">
        <v>39</v>
      </c>
      <c r="M10577" s="18" t="s">
        <v>29</v>
      </c>
      <c r="N10577" s="18" t="s">
        <v>47813</v>
      </c>
      <c r="O10577" s="18" t="s">
        <v>29</v>
      </c>
      <c r="P10577" s="18" t="s">
        <v>47814</v>
      </c>
      <c r="Q10577" s="6"/>
      <c r="R10577" s="6"/>
      <c r="S10577" s="6"/>
      <c r="T10577" s="6"/>
      <c r="U10577" s="6"/>
      <c r="V10577" s="8"/>
      <c r="W10577" s="8"/>
      <c r="X10577" s="8"/>
      <c r="Y10577" s="8"/>
    </row>
    <row r="10578" ht="14.25">
      <c r="B10578" s="18" t="s">
        <v>1704</v>
      </c>
      <c r="C10578" s="18" t="s">
        <v>6907</v>
      </c>
      <c r="D10578" s="18" t="s">
        <v>47815</v>
      </c>
      <c r="E10578" s="5" t="s">
        <v>47816</v>
      </c>
      <c r="F10578" s="5" t="str">
        <f>IFERROR(__XLUDF.DUMMYFUNCTION("PROPER(REGEXREPLACE(D490,""[^A-Za-z]+ "",""""))"),"Permismaison.Fr")</f>
        <v>Permismaison.Fr</v>
      </c>
      <c r="G10578" s="18" t="s">
        <v>47817</v>
      </c>
      <c r="H10578" s="18">
        <v>1</v>
      </c>
      <c r="I10578" s="18" t="s">
        <v>9239</v>
      </c>
      <c r="J10578" s="5" t="s">
        <v>47818</v>
      </c>
      <c r="K10578" s="5" t="s">
        <v>47819</v>
      </c>
      <c r="L10578" s="18" t="s">
        <v>15156</v>
      </c>
      <c r="M10578" s="18" t="s">
        <v>29</v>
      </c>
      <c r="N10578" s="18" t="s">
        <v>47820</v>
      </c>
      <c r="O10578" s="18" t="s">
        <v>29</v>
      </c>
      <c r="P10578" s="18" t="s">
        <v>47821</v>
      </c>
      <c r="Q10578" s="6"/>
      <c r="R10578" s="6"/>
      <c r="S10578" s="6"/>
      <c r="T10578" s="6"/>
      <c r="U10578" s="6"/>
      <c r="V10578" s="8"/>
      <c r="W10578" s="8"/>
      <c r="X10578" s="8"/>
      <c r="Y10578" s="8"/>
    </row>
    <row r="10579" ht="14.25">
      <c r="B10579" s="18" t="s">
        <v>785</v>
      </c>
      <c r="C10579" s="18" t="s">
        <v>47822</v>
      </c>
      <c r="D10579" s="18" t="s">
        <v>172</v>
      </c>
      <c r="E10579" s="18" t="s">
        <v>47823</v>
      </c>
      <c r="F10579" s="18" t="str">
        <f>IFERROR(__XLUDF.DUMMYFUNCTION("PROPER(REGEXREPLACE(D491,""[^A-Za-z]+ "",""""))"),"J4R Echafaudages")</f>
        <v xml:space="preserve">J4R Echafaudages</v>
      </c>
      <c r="G10579" s="18" t="s">
        <v>47824</v>
      </c>
      <c r="H10579" s="18">
        <v>10</v>
      </c>
      <c r="I10579" s="18" t="s">
        <v>9239</v>
      </c>
      <c r="J10579" s="5" t="s">
        <v>47825</v>
      </c>
      <c r="K10579" s="5" t="s">
        <v>47826</v>
      </c>
      <c r="L10579" s="18" t="s">
        <v>39</v>
      </c>
      <c r="M10579" s="18" t="s">
        <v>29</v>
      </c>
      <c r="N10579" s="18" t="s">
        <v>47827</v>
      </c>
      <c r="O10579" s="18" t="s">
        <v>29</v>
      </c>
      <c r="P10579" s="6"/>
      <c r="Q10579" s="6"/>
      <c r="R10579" s="6"/>
      <c r="S10579" s="6"/>
      <c r="T10579" s="6"/>
      <c r="U10579" s="6"/>
      <c r="V10579" s="8"/>
      <c r="W10579" s="8"/>
      <c r="X10579" s="8"/>
      <c r="Y10579" s="8"/>
    </row>
    <row r="10580" ht="14.25">
      <c r="B10580" s="18" t="s">
        <v>1153</v>
      </c>
      <c r="C10580" s="18" t="s">
        <v>3652</v>
      </c>
      <c r="D10580" s="18" t="s">
        <v>112</v>
      </c>
      <c r="E10580" s="18" t="s">
        <v>47828</v>
      </c>
      <c r="F10580" s="18" t="str">
        <f>IFERROR(__XLUDF.DUMMYFUNCTION("PROPER(REGEXREPLACE(D492,""[^A-Za-z]+ "",""""))"),"Fenêtres Et Vérandas")</f>
        <v xml:space="preserve">Fenêtres Et Vérandas</v>
      </c>
      <c r="G10580" s="18" t="s">
        <v>47829</v>
      </c>
      <c r="H10580" s="18">
        <v>12</v>
      </c>
      <c r="I10580" s="18" t="s">
        <v>9239</v>
      </c>
      <c r="J10580" s="5" t="s">
        <v>47830</v>
      </c>
      <c r="K10580" s="5" t="s">
        <v>47831</v>
      </c>
      <c r="L10580" s="18" t="s">
        <v>6480</v>
      </c>
      <c r="M10580" s="18" t="s">
        <v>29</v>
      </c>
      <c r="N10580" s="18" t="s">
        <v>47832</v>
      </c>
      <c r="O10580" s="18" t="s">
        <v>29</v>
      </c>
      <c r="P10580" s="6"/>
      <c r="Q10580" s="6"/>
      <c r="R10580" s="6"/>
      <c r="S10580" s="6"/>
      <c r="T10580" s="6"/>
      <c r="U10580" s="6"/>
      <c r="V10580" s="8"/>
      <c r="W10580" s="8"/>
      <c r="X10580" s="8"/>
      <c r="Y10580" s="8"/>
    </row>
    <row r="10581" ht="14.25">
      <c r="B10581" s="18" t="s">
        <v>110</v>
      </c>
      <c r="C10581" s="18" t="s">
        <v>47833</v>
      </c>
      <c r="D10581" s="18" t="s">
        <v>112</v>
      </c>
      <c r="E10581" s="18" t="s">
        <v>47834</v>
      </c>
      <c r="F10581" s="18" t="str">
        <f>IFERROR(__XLUDF.DUMMYFUNCTION("PROPER(REGEXREPLACE(D493,""[^A-Za-z]+ "",""""))"),"Sas B Bati")</f>
        <v xml:space="preserve">Sas B Bati</v>
      </c>
      <c r="G10581" s="18" t="s">
        <v>47835</v>
      </c>
      <c r="H10581" s="18">
        <v>14</v>
      </c>
      <c r="I10581" s="18" t="s">
        <v>9239</v>
      </c>
      <c r="J10581" s="5" t="s">
        <v>47836</v>
      </c>
      <c r="K10581" s="5" t="s">
        <v>47837</v>
      </c>
      <c r="L10581" s="18" t="s">
        <v>39</v>
      </c>
      <c r="M10581" s="18" t="s">
        <v>29</v>
      </c>
      <c r="N10581" s="18" t="s">
        <v>47838</v>
      </c>
      <c r="O10581" s="18" t="s">
        <v>29</v>
      </c>
      <c r="P10581" s="6"/>
      <c r="Q10581" s="6"/>
      <c r="R10581" s="6"/>
      <c r="S10581" s="6"/>
      <c r="T10581" s="6"/>
      <c r="U10581" s="6"/>
      <c r="V10581" s="8"/>
      <c r="W10581" s="8"/>
      <c r="X10581" s="8"/>
      <c r="Y10581" s="8"/>
    </row>
    <row r="10582" ht="14.25">
      <c r="B10582" s="18" t="s">
        <v>9922</v>
      </c>
      <c r="C10582" s="18" t="s">
        <v>47839</v>
      </c>
      <c r="D10582" s="18" t="s">
        <v>112</v>
      </c>
      <c r="E10582" s="18" t="s">
        <v>47840</v>
      </c>
      <c r="F10582" s="18" t="str">
        <f>IFERROR(__XLUDF.DUMMYFUNCTION("PROPER(REGEXREPLACE(D494,""[^A-Za-z]+ "",""""))"),"Ambee")</f>
        <v>Ambee</v>
      </c>
      <c r="G10582" s="18" t="s">
        <v>47841</v>
      </c>
      <c r="H10582" s="18">
        <v>13</v>
      </c>
      <c r="I10582" s="18" t="s">
        <v>9239</v>
      </c>
      <c r="J10582" s="5" t="s">
        <v>47842</v>
      </c>
      <c r="K10582" s="5" t="s">
        <v>47843</v>
      </c>
      <c r="L10582" s="18" t="s">
        <v>185</v>
      </c>
      <c r="M10582" s="18" t="s">
        <v>29</v>
      </c>
      <c r="N10582" s="18" t="s">
        <v>125</v>
      </c>
      <c r="O10582" s="18" t="s">
        <v>29</v>
      </c>
      <c r="P10582" s="18" t="s">
        <v>47844</v>
      </c>
      <c r="Q10582" s="6"/>
      <c r="R10582" s="6"/>
      <c r="S10582" s="6"/>
      <c r="T10582" s="6"/>
      <c r="U10582" s="6"/>
      <c r="V10582" s="8"/>
      <c r="W10582" s="8"/>
      <c r="X10582" s="8"/>
      <c r="Y10582" s="8"/>
    </row>
    <row r="10583" ht="14.25">
      <c r="B10583" s="18" t="s">
        <v>110</v>
      </c>
      <c r="C10583" s="18" t="s">
        <v>47845</v>
      </c>
      <c r="D10583" s="18" t="s">
        <v>112</v>
      </c>
      <c r="E10583" s="18" t="s">
        <v>47846</v>
      </c>
      <c r="F10583" s="18" t="str">
        <f>IFERROR(__XLUDF.DUMMYFUNCTION("PROPER(REGEXREPLACE(D495,""[^A-Za-z]+ "",""""))"),"Sepem")</f>
        <v>Sepem</v>
      </c>
      <c r="G10583" s="18" t="s">
        <v>47847</v>
      </c>
      <c r="H10583" s="18">
        <v>11</v>
      </c>
      <c r="I10583" s="18" t="s">
        <v>9239</v>
      </c>
      <c r="J10583" s="5" t="s">
        <v>47848</v>
      </c>
      <c r="K10583" s="5" t="s">
        <v>47849</v>
      </c>
      <c r="L10583" s="18" t="s">
        <v>83</v>
      </c>
      <c r="M10583" s="18" t="s">
        <v>29</v>
      </c>
      <c r="N10583" s="18" t="s">
        <v>47850</v>
      </c>
      <c r="O10583" s="18" t="s">
        <v>29</v>
      </c>
      <c r="P10583" s="18" t="s">
        <v>47851</v>
      </c>
      <c r="Q10583" s="6"/>
      <c r="R10583" s="6"/>
      <c r="S10583" s="6"/>
      <c r="T10583" s="6"/>
      <c r="U10583" s="6"/>
      <c r="V10583" s="8"/>
      <c r="W10583" s="8"/>
      <c r="X10583" s="8"/>
      <c r="Y10583" s="8"/>
    </row>
    <row r="10584" ht="14.25">
      <c r="B10584" s="18" t="s">
        <v>2643</v>
      </c>
      <c r="C10584" s="18" t="s">
        <v>47852</v>
      </c>
      <c r="D10584" s="18" t="s">
        <v>1130</v>
      </c>
      <c r="E10584" s="18" t="s">
        <v>15665</v>
      </c>
      <c r="F10584" s="18" t="str">
        <f>IFERROR(__XLUDF.DUMMYFUNCTION("PROPER(REGEXREPLACE(D496,""[^A-Za-z]+ "",""""))"),"Delaval")</f>
        <v>Delaval</v>
      </c>
      <c r="G10584" s="18" t="s">
        <v>47853</v>
      </c>
      <c r="H10584" s="18">
        <v>35</v>
      </c>
      <c r="I10584" s="18" t="s">
        <v>9239</v>
      </c>
      <c r="J10584" s="5" t="s">
        <v>47854</v>
      </c>
      <c r="K10584" s="5" t="s">
        <v>47855</v>
      </c>
      <c r="L10584" s="18" t="s">
        <v>7827</v>
      </c>
      <c r="M10584" s="18" t="s">
        <v>29</v>
      </c>
      <c r="N10584" s="18" t="s">
        <v>47856</v>
      </c>
      <c r="O10584" s="18" t="s">
        <v>29</v>
      </c>
      <c r="P10584" s="6"/>
      <c r="Q10584" s="6"/>
      <c r="R10584" s="6"/>
      <c r="S10584" s="6"/>
      <c r="T10584" s="6"/>
      <c r="U10584" s="6"/>
      <c r="V10584" s="8"/>
      <c r="W10584" s="8"/>
      <c r="X10584" s="8"/>
      <c r="Y10584" s="8"/>
    </row>
    <row r="10585" ht="14.25">
      <c r="B10585" s="18" t="s">
        <v>322</v>
      </c>
      <c r="C10585" s="18" t="s">
        <v>43245</v>
      </c>
      <c r="D10585" s="18" t="s">
        <v>172</v>
      </c>
      <c r="E10585" s="18" t="s">
        <v>47857</v>
      </c>
      <c r="F10585" s="18" t="str">
        <f>IFERROR(__XLUDF.DUMMYFUNCTION("PROPER(REGEXREPLACE(D497,""[^A-Za-z]+ "",""""))"),"Idec Grand Sud")</f>
        <v xml:space="preserve">Idec Grand Sud</v>
      </c>
      <c r="G10585" s="18" t="s">
        <v>47858</v>
      </c>
      <c r="H10585" s="18">
        <v>33</v>
      </c>
      <c r="I10585" s="18" t="s">
        <v>9239</v>
      </c>
      <c r="J10585" s="5" t="s">
        <v>47859</v>
      </c>
      <c r="K10585" s="5" t="s">
        <v>47860</v>
      </c>
      <c r="L10585" s="18" t="s">
        <v>482</v>
      </c>
      <c r="M10585" s="18" t="s">
        <v>29</v>
      </c>
      <c r="N10585" s="18" t="s">
        <v>47861</v>
      </c>
      <c r="O10585" s="18" t="s">
        <v>29</v>
      </c>
      <c r="P10585" s="18" t="s">
        <v>47862</v>
      </c>
      <c r="Q10585" s="6"/>
      <c r="R10585" s="6"/>
      <c r="S10585" s="6"/>
      <c r="T10585" s="6"/>
      <c r="U10585" s="6"/>
      <c r="V10585" s="8"/>
      <c r="W10585" s="8"/>
      <c r="X10585" s="8"/>
      <c r="Y10585" s="8"/>
    </row>
    <row r="10586" ht="14.25">
      <c r="B10586" s="18" t="s">
        <v>31</v>
      </c>
      <c r="C10586" s="18" t="s">
        <v>47863</v>
      </c>
      <c r="D10586" s="18" t="s">
        <v>47864</v>
      </c>
      <c r="E10586" s="18" t="s">
        <v>47865</v>
      </c>
      <c r="F10586" s="18" t="str">
        <f>IFERROR(__XLUDF.DUMMYFUNCTION("PROPER(REGEXREPLACE(D498,""[^A-Za-z]+ "",""""))"),"Ingégroup")</f>
        <v>Ingégroup</v>
      </c>
      <c r="G10586" s="18" t="s">
        <v>47866</v>
      </c>
      <c r="H10586" s="18">
        <v>24</v>
      </c>
      <c r="I10586" s="18" t="s">
        <v>9239</v>
      </c>
      <c r="J10586" s="5" t="s">
        <v>47867</v>
      </c>
      <c r="K10586" s="5" t="s">
        <v>47868</v>
      </c>
      <c r="L10586" s="18" t="s">
        <v>482</v>
      </c>
      <c r="M10586" s="18" t="s">
        <v>29</v>
      </c>
      <c r="N10586" s="18" t="s">
        <v>47869</v>
      </c>
      <c r="O10586" s="18" t="s">
        <v>29</v>
      </c>
      <c r="P10586" s="6"/>
      <c r="Q10586" s="6"/>
      <c r="R10586" s="6"/>
      <c r="S10586" s="6"/>
      <c r="T10586" s="6"/>
      <c r="U10586" s="6"/>
      <c r="V10586" s="8"/>
      <c r="W10586" s="8"/>
      <c r="X10586" s="8"/>
      <c r="Y10586" s="8"/>
    </row>
    <row r="10587" ht="14.25">
      <c r="B10587" s="18" t="s">
        <v>2249</v>
      </c>
      <c r="C10587" s="18" t="s">
        <v>47870</v>
      </c>
      <c r="D10587" s="18" t="s">
        <v>112</v>
      </c>
      <c r="E10587" s="18" t="s">
        <v>47871</v>
      </c>
      <c r="F10587" s="18" t="str">
        <f>IFERROR(__XLUDF.DUMMYFUNCTION("PROPER(REGEXREPLACE(D499,""[^A-Za-z]+ "",""""))"),"Groupe Lang")</f>
        <v xml:space="preserve">Groupe Lang</v>
      </c>
      <c r="G10587" s="18" t="s">
        <v>47872</v>
      </c>
      <c r="H10587" s="18">
        <v>5</v>
      </c>
      <c r="I10587" s="18" t="s">
        <v>9239</v>
      </c>
      <c r="J10587" s="5" t="s">
        <v>47873</v>
      </c>
      <c r="K10587" s="5" t="s">
        <v>47874</v>
      </c>
      <c r="L10587" s="18" t="s">
        <v>1711</v>
      </c>
      <c r="M10587" s="18" t="s">
        <v>29</v>
      </c>
      <c r="N10587" s="18" t="s">
        <v>47875</v>
      </c>
      <c r="O10587" s="18" t="s">
        <v>29</v>
      </c>
      <c r="P10587" s="6"/>
      <c r="Q10587" s="6"/>
      <c r="R10587" s="6"/>
      <c r="S10587" s="6"/>
      <c r="T10587" s="6"/>
      <c r="U10587" s="6"/>
      <c r="V10587" s="8"/>
      <c r="W10587" s="8"/>
      <c r="X10587" s="8"/>
      <c r="Y10587" s="8"/>
    </row>
    <row r="10588" ht="14.25">
      <c r="B10588" s="18" t="s">
        <v>206</v>
      </c>
      <c r="C10588" s="18" t="s">
        <v>2105</v>
      </c>
      <c r="D10588" s="18" t="s">
        <v>426</v>
      </c>
      <c r="E10588" s="18" t="s">
        <v>47876</v>
      </c>
      <c r="F10588" s="18" t="str">
        <f>IFERROR(__XLUDF.DUMMYFUNCTION("PROPER(REGEXREPLACE(D500,""[^A-Za-z]+ "",""""))"),"Arro Ingenierie")</f>
        <v xml:space="preserve">Arro Ingenierie</v>
      </c>
      <c r="G10588" s="18" t="s">
        <v>47877</v>
      </c>
      <c r="H10588" s="18">
        <v>7</v>
      </c>
      <c r="I10588" s="18" t="s">
        <v>9239</v>
      </c>
      <c r="J10588" s="5" t="s">
        <v>47878</v>
      </c>
      <c r="K10588" s="5" t="s">
        <v>47879</v>
      </c>
      <c r="L10588" s="18" t="s">
        <v>1711</v>
      </c>
      <c r="M10588" s="18" t="s">
        <v>29</v>
      </c>
      <c r="N10588" s="18" t="s">
        <v>47880</v>
      </c>
      <c r="O10588" s="18" t="s">
        <v>29</v>
      </c>
      <c r="P10588" s="18" t="s">
        <v>47881</v>
      </c>
      <c r="Q10588" s="6"/>
      <c r="R10588" s="6"/>
      <c r="S10588" s="6"/>
      <c r="T10588" s="6"/>
      <c r="U10588" s="6"/>
      <c r="V10588" s="8"/>
      <c r="W10588" s="8"/>
      <c r="X10588" s="8"/>
      <c r="Y10588" s="8"/>
    </row>
    <row r="10589" ht="14.25">
      <c r="B10589" s="18" t="s">
        <v>47882</v>
      </c>
      <c r="C10589" s="18" t="s">
        <v>47883</v>
      </c>
      <c r="D10589" s="18" t="s">
        <v>315</v>
      </c>
      <c r="E10589" s="18" t="s">
        <v>47884</v>
      </c>
      <c r="F10589" s="18" t="str">
        <f>IFERROR(__XLUDF.DUMMYFUNCTION("PROPER(REGEXREPLACE(D501,""[^A-Za-z]+ "",""""))"),"M2C")</f>
        <v>M2C</v>
      </c>
      <c r="G10589" s="18" t="s">
        <v>47885</v>
      </c>
      <c r="H10589" s="18">
        <v>6</v>
      </c>
      <c r="I10589" s="18" t="s">
        <v>9239</v>
      </c>
      <c r="J10589" s="5" t="s">
        <v>47886</v>
      </c>
      <c r="K10589" s="5" t="s">
        <v>47887</v>
      </c>
      <c r="L10589" s="18" t="s">
        <v>49</v>
      </c>
      <c r="M10589" s="18" t="s">
        <v>29</v>
      </c>
      <c r="N10589" s="18" t="s">
        <v>296</v>
      </c>
      <c r="O10589" s="18" t="s">
        <v>29</v>
      </c>
      <c r="P10589" s="18" t="s">
        <v>47888</v>
      </c>
      <c r="Q10589" s="6"/>
      <c r="R10589" s="6"/>
      <c r="S10589" s="6"/>
      <c r="T10589" s="6"/>
      <c r="U10589" s="6"/>
      <c r="V10589" s="8"/>
      <c r="W10589" s="8"/>
      <c r="X10589" s="8"/>
      <c r="Y10589" s="8"/>
    </row>
    <row r="10590" ht="14.25">
      <c r="B10590" s="18" t="s">
        <v>734</v>
      </c>
      <c r="C10590" s="18" t="s">
        <v>47889</v>
      </c>
      <c r="D10590" s="18" t="s">
        <v>112</v>
      </c>
      <c r="E10590" s="18" t="s">
        <v>47890</v>
      </c>
      <c r="F10590" s="18" t="str">
        <f>IFERROR(__XLUDF.DUMMYFUNCTION("PROPER(REGEXREPLACE(D502,""[^A-Za-z]+ "",""""))"),"Réseau Twiza")</f>
        <v xml:space="preserve">Réseau Twiza</v>
      </c>
      <c r="G10590" s="18" t="s">
        <v>47891</v>
      </c>
      <c r="H10590" s="18">
        <v>15</v>
      </c>
      <c r="I10590" s="18" t="s">
        <v>9239</v>
      </c>
      <c r="J10590" s="5" t="s">
        <v>47892</v>
      </c>
      <c r="K10590" s="5" t="s">
        <v>47893</v>
      </c>
      <c r="L10590" s="18" t="s">
        <v>1711</v>
      </c>
      <c r="M10590" s="18" t="s">
        <v>29</v>
      </c>
      <c r="N10590" s="18" t="s">
        <v>1712</v>
      </c>
      <c r="O10590" s="18" t="s">
        <v>29</v>
      </c>
      <c r="P10590" s="6"/>
      <c r="Q10590" s="6"/>
      <c r="R10590" s="6"/>
      <c r="S10590" s="6"/>
      <c r="T10590" s="6"/>
      <c r="U10590" s="6"/>
      <c r="V10590" s="8"/>
      <c r="W10590" s="8"/>
      <c r="X10590" s="8"/>
      <c r="Y10590" s="8"/>
    </row>
    <row r="10591" ht="14.25">
      <c r="B10591" s="18" t="s">
        <v>215</v>
      </c>
      <c r="C10591" s="18" t="s">
        <v>47894</v>
      </c>
      <c r="D10591" s="18" t="s">
        <v>112</v>
      </c>
      <c r="E10591" s="18" t="s">
        <v>47895</v>
      </c>
      <c r="F10591" s="18" t="str">
        <f>IFERROR(__XLUDF.DUMMYFUNCTION("PROPER(REGEXREPLACE(D503,""[^A-Za-z]+ "",""""))"),"Groupe Bam")</f>
        <v xml:space="preserve">Groupe Bam</v>
      </c>
      <c r="G10591" s="18" t="s">
        <v>47896</v>
      </c>
      <c r="H10591" s="18">
        <v>69</v>
      </c>
      <c r="I10591" s="18" t="s">
        <v>9239</v>
      </c>
      <c r="J10591" s="5" t="s">
        <v>47897</v>
      </c>
      <c r="K10591" s="5" t="s">
        <v>47898</v>
      </c>
      <c r="L10591" s="18" t="s">
        <v>1826</v>
      </c>
      <c r="M10591" s="18" t="s">
        <v>29</v>
      </c>
      <c r="N10591" s="18" t="s">
        <v>47899</v>
      </c>
      <c r="O10591" s="18" t="s">
        <v>29</v>
      </c>
      <c r="P10591" s="18" t="s">
        <v>47900</v>
      </c>
      <c r="Q10591" s="6"/>
      <c r="R10591" s="6"/>
      <c r="S10591" s="6"/>
      <c r="T10591" s="6"/>
      <c r="U10591" s="6"/>
      <c r="V10591" s="8"/>
      <c r="W10591" s="8"/>
      <c r="X10591" s="8"/>
      <c r="Y10591" s="8"/>
    </row>
    <row r="10592" ht="14.25">
      <c r="B10592" s="18" t="s">
        <v>10945</v>
      </c>
      <c r="C10592" s="18" t="s">
        <v>40255</v>
      </c>
      <c r="D10592" s="18" t="s">
        <v>1130</v>
      </c>
      <c r="E10592" s="18" t="s">
        <v>47901</v>
      </c>
      <c r="F10592" s="18" t="str">
        <f>IFERROR(__XLUDF.DUMMYFUNCTION("PROPER(REGEXREPLACE(D504,""[^A-Za-z]+ "",""""))"),"Mgbr")</f>
        <v>Mgbr</v>
      </c>
      <c r="G10592" s="18" t="s">
        <v>47902</v>
      </c>
      <c r="H10592" s="18">
        <v>24</v>
      </c>
      <c r="I10592" s="18" t="s">
        <v>9239</v>
      </c>
      <c r="J10592" s="5" t="s">
        <v>47903</v>
      </c>
      <c r="K10592" s="5" t="s">
        <v>47904</v>
      </c>
      <c r="L10592" s="18" t="s">
        <v>39</v>
      </c>
      <c r="M10592" s="18" t="s">
        <v>29</v>
      </c>
      <c r="N10592" s="18" t="s">
        <v>47905</v>
      </c>
      <c r="O10592" s="18" t="s">
        <v>29</v>
      </c>
      <c r="P10592" s="6"/>
      <c r="Q10592" s="6"/>
      <c r="R10592" s="6"/>
      <c r="S10592" s="6"/>
      <c r="T10592" s="6"/>
      <c r="U10592" s="6"/>
      <c r="V10592" s="8"/>
      <c r="W10592" s="8"/>
      <c r="X10592" s="8"/>
      <c r="Y10592" s="8"/>
    </row>
    <row r="10593" ht="14.25">
      <c r="B10593" s="18" t="s">
        <v>1571</v>
      </c>
      <c r="C10593" s="18" t="s">
        <v>47906</v>
      </c>
      <c r="D10593" s="18" t="s">
        <v>47907</v>
      </c>
      <c r="E10593" s="18" t="s">
        <v>47908</v>
      </c>
      <c r="F10593" s="18" t="str">
        <f>IFERROR(__XLUDF.DUMMYFUNCTION("PROPER(REGEXREPLACE(D505,""[^A-Za-z]+ "",""""))"),"Moroni S.A")</f>
        <v xml:space="preserve">Moroni S.A</v>
      </c>
      <c r="G10593" s="18" t="s">
        <v>47909</v>
      </c>
      <c r="H10593" s="18">
        <v>37</v>
      </c>
      <c r="I10593" s="18" t="s">
        <v>9239</v>
      </c>
      <c r="J10593" s="5" t="s">
        <v>47910</v>
      </c>
      <c r="K10593" s="5" t="s">
        <v>47911</v>
      </c>
      <c r="L10593" s="6"/>
      <c r="M10593" s="18" t="s">
        <v>29</v>
      </c>
      <c r="N10593" s="18" t="s">
        <v>47912</v>
      </c>
      <c r="O10593" s="18" t="s">
        <v>29</v>
      </c>
      <c r="P10593" s="18" t="s">
        <v>47913</v>
      </c>
      <c r="Q10593" s="6"/>
      <c r="R10593" s="6"/>
      <c r="S10593" s="6"/>
      <c r="T10593" s="6"/>
      <c r="U10593" s="6"/>
      <c r="V10593" s="8"/>
      <c r="W10593" s="8"/>
      <c r="X10593" s="8"/>
      <c r="Y10593" s="8"/>
    </row>
    <row r="10594" ht="14.25">
      <c r="B10594" s="18" t="s">
        <v>2668</v>
      </c>
      <c r="C10594" s="18" t="s">
        <v>47914</v>
      </c>
      <c r="D10594" s="18" t="s">
        <v>1950</v>
      </c>
      <c r="E10594" s="18" t="s">
        <v>47915</v>
      </c>
      <c r="F10594" s="18" t="str">
        <f>IFERROR(__XLUDF.DUMMYFUNCTION("PROPER(REGEXREPLACE(D506,""[^A-Za-z]+ "",""""))"),"Lazard Group Real Estate")</f>
        <v xml:space="preserve">Lazard Group Real Estate</v>
      </c>
      <c r="G10594" s="18" t="s">
        <v>47916</v>
      </c>
      <c r="H10594" s="18">
        <v>20</v>
      </c>
      <c r="I10594" s="18" t="s">
        <v>4293</v>
      </c>
      <c r="J10594" s="5" t="s">
        <v>47917</v>
      </c>
      <c r="K10594" s="5" t="s">
        <v>47918</v>
      </c>
      <c r="L10594" s="18" t="s">
        <v>1711</v>
      </c>
      <c r="M10594" s="18" t="s">
        <v>29</v>
      </c>
      <c r="N10594" s="18" t="s">
        <v>47919</v>
      </c>
      <c r="O10594" s="18" t="s">
        <v>29</v>
      </c>
      <c r="P10594" s="18" t="s">
        <v>47920</v>
      </c>
      <c r="Q10594" s="6"/>
      <c r="R10594" s="6"/>
      <c r="S10594" s="6"/>
      <c r="T10594" s="6"/>
      <c r="U10594" s="6"/>
      <c r="V10594" s="8"/>
      <c r="W10594" s="8"/>
      <c r="X10594" s="8"/>
      <c r="Y10594" s="8"/>
    </row>
    <row r="10595" ht="14.25">
      <c r="B10595" s="18" t="s">
        <v>1605</v>
      </c>
      <c r="C10595" s="18" t="s">
        <v>47921</v>
      </c>
      <c r="D10595" s="18" t="s">
        <v>172</v>
      </c>
      <c r="E10595" s="18" t="s">
        <v>47922</v>
      </c>
      <c r="F10595" s="18" t="str">
        <f>IFERROR(__XLUDF.DUMMYFUNCTION("PROPER(REGEXREPLACE(D507,""[^A-Za-z]+ "",""""))"),"Baie De Somme Habitat")</f>
        <v xml:space="preserve">Baie De Somme Habitat</v>
      </c>
      <c r="G10595" s="18" t="s">
        <v>47923</v>
      </c>
      <c r="H10595" s="18">
        <v>27</v>
      </c>
      <c r="I10595" s="18" t="s">
        <v>4293</v>
      </c>
      <c r="J10595" s="5" t="s">
        <v>47924</v>
      </c>
      <c r="K10595" s="5" t="s">
        <v>47925</v>
      </c>
      <c r="L10595" s="18" t="s">
        <v>6480</v>
      </c>
      <c r="M10595" s="18" t="s">
        <v>29</v>
      </c>
      <c r="N10595" s="18" t="s">
        <v>47926</v>
      </c>
      <c r="O10595" s="18" t="s">
        <v>29</v>
      </c>
      <c r="P10595" s="6"/>
      <c r="Q10595" s="6"/>
      <c r="R10595" s="6"/>
      <c r="S10595" s="6"/>
      <c r="T10595" s="6"/>
      <c r="U10595" s="6"/>
      <c r="V10595" s="8"/>
      <c r="W10595" s="8"/>
      <c r="X10595" s="8"/>
      <c r="Y10595" s="8"/>
    </row>
    <row r="10596" ht="14.25">
      <c r="B10596" s="18" t="s">
        <v>355</v>
      </c>
      <c r="C10596" s="18" t="s">
        <v>47927</v>
      </c>
      <c r="D10596" s="18" t="s">
        <v>47928</v>
      </c>
      <c r="E10596" s="18" t="s">
        <v>47929</v>
      </c>
      <c r="F10596" s="18" t="str">
        <f>IFERROR(__XLUDF.DUMMYFUNCTION("PROPER(REGEXREPLACE(D508,""[^A-Za-z]+ "",""""))"),"Tridyme")</f>
        <v>Tridyme</v>
      </c>
      <c r="G10596" s="18" t="s">
        <v>47930</v>
      </c>
      <c r="H10596" s="18">
        <v>5</v>
      </c>
      <c r="I10596" s="18" t="s">
        <v>9239</v>
      </c>
      <c r="J10596" s="5" t="s">
        <v>47931</v>
      </c>
      <c r="K10596" s="5" t="s">
        <v>47932</v>
      </c>
      <c r="L10596" s="18" t="s">
        <v>1878</v>
      </c>
      <c r="M10596" s="18" t="s">
        <v>29</v>
      </c>
      <c r="N10596" s="18" t="s">
        <v>47933</v>
      </c>
      <c r="O10596" s="18" t="s">
        <v>29</v>
      </c>
      <c r="P10596" s="18" t="s">
        <v>47934</v>
      </c>
      <c r="Q10596" s="6"/>
      <c r="R10596" s="6"/>
      <c r="S10596" s="6"/>
      <c r="T10596" s="6"/>
      <c r="U10596" s="6"/>
      <c r="V10596" s="8"/>
      <c r="W10596" s="8"/>
      <c r="X10596" s="8"/>
      <c r="Y10596" s="8"/>
    </row>
    <row r="10597" ht="14.25">
      <c r="B10597" s="18" t="s">
        <v>485</v>
      </c>
      <c r="C10597" s="18" t="s">
        <v>47935</v>
      </c>
      <c r="D10597" s="18" t="s">
        <v>7759</v>
      </c>
      <c r="E10597" s="18" t="s">
        <v>47936</v>
      </c>
      <c r="F10597" s="18" t="str">
        <f>IFERROR(__XLUDF.DUMMYFUNCTION("PROPER(REGEXREPLACE(D509,""[^A-Za-z]+ "",""""))"),"Fusion Metallerie")</f>
        <v xml:space="preserve">Fusion Metallerie</v>
      </c>
      <c r="G10597" s="18" t="s">
        <v>47937</v>
      </c>
      <c r="H10597" s="18">
        <v>6</v>
      </c>
      <c r="I10597" s="18" t="s">
        <v>9239</v>
      </c>
      <c r="J10597" s="5" t="s">
        <v>47938</v>
      </c>
      <c r="K10597" s="5" t="s">
        <v>47939</v>
      </c>
      <c r="L10597" s="18" t="s">
        <v>243</v>
      </c>
      <c r="M10597" s="18" t="s">
        <v>29</v>
      </c>
      <c r="N10597" s="18" t="s">
        <v>47940</v>
      </c>
      <c r="O10597" s="18" t="s">
        <v>29</v>
      </c>
      <c r="P10597" s="6"/>
      <c r="Q10597" s="6"/>
      <c r="R10597" s="6"/>
      <c r="S10597" s="6"/>
      <c r="T10597" s="6"/>
      <c r="U10597" s="6"/>
      <c r="V10597" s="8"/>
      <c r="W10597" s="8"/>
      <c r="X10597" s="8"/>
      <c r="Y10597" s="8"/>
    </row>
    <row r="10598" ht="14.25">
      <c r="B10598" s="18" t="s">
        <v>47941</v>
      </c>
      <c r="C10598" s="18" t="s">
        <v>47942</v>
      </c>
      <c r="D10598" s="18" t="s">
        <v>47943</v>
      </c>
      <c r="E10598" s="18" t="s">
        <v>45619</v>
      </c>
      <c r="F10598" s="18" t="str">
        <f>IFERROR(__XLUDF.DUMMYFUNCTION("PROPER(REGEXREPLACE(D510,""[^A-Za-z]+ "",""""))"),"Constellations Studio")</f>
        <v xml:space="preserve">Constellations Studio</v>
      </c>
      <c r="G10598" s="18" t="s">
        <v>47944</v>
      </c>
      <c r="H10598" s="18">
        <v>3</v>
      </c>
      <c r="I10598" s="18" t="s">
        <v>10167</v>
      </c>
      <c r="J10598" s="5" t="s">
        <v>47945</v>
      </c>
      <c r="K10598" s="5" t="s">
        <v>45622</v>
      </c>
      <c r="L10598" s="18" t="s">
        <v>39</v>
      </c>
      <c r="M10598" s="18" t="s">
        <v>29</v>
      </c>
      <c r="N10598" s="18" t="s">
        <v>45623</v>
      </c>
      <c r="O10598" s="18" t="s">
        <v>29</v>
      </c>
      <c r="P10598" s="18" t="s">
        <v>45624</v>
      </c>
      <c r="Q10598" s="6"/>
      <c r="R10598" s="6"/>
      <c r="S10598" s="6"/>
      <c r="T10598" s="6"/>
      <c r="U10598" s="6"/>
      <c r="V10598" s="8"/>
      <c r="W10598" s="8"/>
      <c r="X10598" s="8"/>
      <c r="Y10598" s="8"/>
    </row>
    <row r="10599" ht="14.25">
      <c r="B10599" s="18" t="s">
        <v>5716</v>
      </c>
      <c r="C10599" s="18" t="s">
        <v>47946</v>
      </c>
      <c r="D10599" s="18" t="s">
        <v>426</v>
      </c>
      <c r="E10599" s="18" t="s">
        <v>47947</v>
      </c>
      <c r="F10599" s="18" t="str">
        <f>IFERROR(__XLUDF.DUMMYFUNCTION("PROPER(REGEXREPLACE(D511,""[^A-Za-z]+ "",""""))"),"Les Maisons Vigery")</f>
        <v xml:space="preserve">Les Maisons Vigery</v>
      </c>
      <c r="G10599" s="18" t="s">
        <v>47948</v>
      </c>
      <c r="H10599" s="18">
        <v>17</v>
      </c>
      <c r="I10599" s="18" t="s">
        <v>9239</v>
      </c>
      <c r="J10599" s="5" t="s">
        <v>47949</v>
      </c>
      <c r="K10599" s="5" t="s">
        <v>47950</v>
      </c>
      <c r="L10599" s="18" t="s">
        <v>47951</v>
      </c>
      <c r="M10599" s="18" t="s">
        <v>29</v>
      </c>
      <c r="N10599" s="18" t="s">
        <v>47952</v>
      </c>
      <c r="O10599" s="18" t="s">
        <v>29</v>
      </c>
      <c r="P10599" s="18" t="s">
        <v>47953</v>
      </c>
      <c r="Q10599" s="6"/>
      <c r="R10599" s="6"/>
      <c r="S10599" s="6"/>
      <c r="T10599" s="6"/>
      <c r="U10599" s="6"/>
      <c r="V10599" s="8"/>
      <c r="W10599" s="8"/>
      <c r="X10599" s="8"/>
      <c r="Y10599" s="8"/>
    </row>
    <row r="10600" ht="14.25">
      <c r="B10600" s="18" t="s">
        <v>571</v>
      </c>
      <c r="C10600" s="18" t="s">
        <v>47954</v>
      </c>
      <c r="D10600" s="18" t="s">
        <v>172</v>
      </c>
      <c r="E10600" s="18" t="s">
        <v>47955</v>
      </c>
      <c r="F10600" s="18" t="str">
        <f>IFERROR(__XLUDF.DUMMYFUNCTION("PROPER(REGEXREPLACE(D512,""[^A-Za-z]+ "",""""))"),"Les Couvertures Lopez")</f>
        <v xml:space="preserve">Les Couvertures Lopez</v>
      </c>
      <c r="G10600" s="18" t="s">
        <v>47956</v>
      </c>
      <c r="H10600" s="18">
        <v>11</v>
      </c>
      <c r="I10600" s="18" t="s">
        <v>9239</v>
      </c>
      <c r="J10600" s="5" t="s">
        <v>47957</v>
      </c>
      <c r="K10600" s="5" t="s">
        <v>47958</v>
      </c>
      <c r="L10600" s="6"/>
      <c r="M10600" s="18" t="s">
        <v>29</v>
      </c>
      <c r="N10600" s="18" t="s">
        <v>47959</v>
      </c>
      <c r="O10600" s="18" t="s">
        <v>29</v>
      </c>
      <c r="P10600" s="18" t="s">
        <v>47960</v>
      </c>
      <c r="Q10600" s="6"/>
      <c r="R10600" s="6"/>
      <c r="S10600" s="6"/>
      <c r="T10600" s="6"/>
      <c r="U10600" s="6"/>
      <c r="V10600" s="8"/>
      <c r="W10600" s="8"/>
      <c r="X10600" s="8"/>
      <c r="Y10600" s="8"/>
    </row>
    <row r="10601" ht="14.25">
      <c r="B10601" s="18" t="s">
        <v>47961</v>
      </c>
      <c r="C10601" s="18" t="s">
        <v>47962</v>
      </c>
      <c r="D10601" s="18" t="s">
        <v>172</v>
      </c>
      <c r="E10601" s="18" t="s">
        <v>47963</v>
      </c>
      <c r="F10601" s="18" t="str">
        <f>IFERROR(__XLUDF.DUMMYFUNCTION("PROPER(REGEXREPLACE(D513,""[^A-Za-z]+ "",""""))"),"Armorgard France")</f>
        <v xml:space="preserve">Armorgard France</v>
      </c>
      <c r="G10601" s="18" t="s">
        <v>47964</v>
      </c>
      <c r="H10601" s="18">
        <v>9</v>
      </c>
      <c r="I10601" s="18" t="s">
        <v>47738</v>
      </c>
      <c r="J10601" s="5" t="s">
        <v>47965</v>
      </c>
      <c r="K10601" s="5" t="s">
        <v>47966</v>
      </c>
      <c r="L10601" s="18" t="s">
        <v>47967</v>
      </c>
      <c r="M10601" s="18" t="s">
        <v>29</v>
      </c>
      <c r="N10601" s="18" t="s">
        <v>47968</v>
      </c>
      <c r="O10601" s="18" t="s">
        <v>29</v>
      </c>
      <c r="P10601" s="18" t="s">
        <v>47969</v>
      </c>
      <c r="Q10601" s="6"/>
      <c r="R10601" s="6"/>
      <c r="S10601" s="6"/>
      <c r="T10601" s="6"/>
      <c r="U10601" s="6"/>
      <c r="V10601" s="8"/>
      <c r="W10601" s="8"/>
      <c r="X10601" s="8"/>
      <c r="Y10601" s="8"/>
    </row>
    <row r="10602" ht="14.25">
      <c r="B10602" s="18" t="s">
        <v>485</v>
      </c>
      <c r="C10602" s="18" t="s">
        <v>47970</v>
      </c>
      <c r="D10602" s="18" t="s">
        <v>426</v>
      </c>
      <c r="E10602" s="18" t="s">
        <v>47971</v>
      </c>
      <c r="F10602" s="18" t="str">
        <f>IFERROR(__XLUDF.DUMMYFUNCTION("PROPER(REGEXREPLACE(D514,""[^A-Za-z]+ "",""""))"),"Cni")</f>
        <v>Cni</v>
      </c>
      <c r="G10602" s="18" t="s">
        <v>47972</v>
      </c>
      <c r="H10602" s="18">
        <v>51</v>
      </c>
      <c r="I10602" s="18" t="s">
        <v>23389</v>
      </c>
      <c r="J10602" s="5" t="s">
        <v>47973</v>
      </c>
      <c r="K10602" s="5" t="s">
        <v>47974</v>
      </c>
      <c r="L10602" s="18" t="s">
        <v>1711</v>
      </c>
      <c r="M10602" s="18" t="s">
        <v>29</v>
      </c>
      <c r="N10602" s="18" t="s">
        <v>47975</v>
      </c>
      <c r="O10602" s="18" t="s">
        <v>29</v>
      </c>
      <c r="P10602" s="18" t="s">
        <v>47976</v>
      </c>
      <c r="Q10602" s="6"/>
      <c r="R10602" s="6"/>
      <c r="S10602" s="6"/>
      <c r="T10602" s="6"/>
      <c r="U10602" s="6"/>
      <c r="V10602" s="8"/>
      <c r="W10602" s="8"/>
      <c r="X10602" s="8"/>
      <c r="Y10602" s="8"/>
    </row>
    <row r="10603" ht="14.25">
      <c r="B10603" s="18" t="s">
        <v>3164</v>
      </c>
      <c r="C10603" s="18" t="s">
        <v>47977</v>
      </c>
      <c r="D10603" s="18" t="s">
        <v>172</v>
      </c>
      <c r="E10603" s="18" t="s">
        <v>47978</v>
      </c>
      <c r="F10603" s="18" t="str">
        <f>IFERROR(__XLUDF.DUMMYFUNCTION("PROPER(REGEXREPLACE(D515,""[^A-Za-z]+ "",""""))"),"Groupe Hdi")</f>
        <v xml:space="preserve">Groupe Hdi</v>
      </c>
      <c r="G10603" s="18" t="s">
        <v>47979</v>
      </c>
      <c r="H10603" s="18">
        <v>25</v>
      </c>
      <c r="I10603" s="18" t="s">
        <v>9239</v>
      </c>
      <c r="J10603" s="5" t="s">
        <v>47980</v>
      </c>
      <c r="K10603" s="5" t="s">
        <v>47981</v>
      </c>
      <c r="L10603" s="18" t="s">
        <v>83</v>
      </c>
      <c r="M10603" s="18" t="s">
        <v>29</v>
      </c>
      <c r="N10603" s="18" t="s">
        <v>47982</v>
      </c>
      <c r="O10603" s="18" t="s">
        <v>29</v>
      </c>
      <c r="P10603" s="6"/>
      <c r="Q10603" s="6"/>
      <c r="R10603" s="6"/>
      <c r="S10603" s="6"/>
      <c r="T10603" s="6"/>
      <c r="U10603" s="6"/>
      <c r="V10603" s="8"/>
      <c r="W10603" s="8"/>
      <c r="X10603" s="8"/>
      <c r="Y10603" s="8"/>
    </row>
    <row r="10604" ht="14.25">
      <c r="B10604" s="18" t="s">
        <v>622</v>
      </c>
      <c r="C10604" s="18" t="s">
        <v>47983</v>
      </c>
      <c r="D10604" s="18" t="s">
        <v>426</v>
      </c>
      <c r="E10604" s="18" t="s">
        <v>47984</v>
      </c>
      <c r="F10604" s="18" t="str">
        <f>IFERROR(__XLUDF.DUMMYFUNCTION("PROPER(REGEXREPLACE(D516,""[^A-Za-z]+ "",""""))"),"Entreprise Jean Negri Et Fils")</f>
        <v xml:space="preserve">Entreprise Jean Negri Et Fils</v>
      </c>
      <c r="G10604" s="18" t="s">
        <v>47985</v>
      </c>
      <c r="H10604" s="18">
        <v>39</v>
      </c>
      <c r="I10604" s="18" t="s">
        <v>9239</v>
      </c>
      <c r="J10604" s="5" t="s">
        <v>47986</v>
      </c>
      <c r="K10604" s="5" t="s">
        <v>47987</v>
      </c>
      <c r="L10604" s="18" t="s">
        <v>295</v>
      </c>
      <c r="M10604" s="18" t="s">
        <v>29</v>
      </c>
      <c r="N10604" s="18" t="s">
        <v>47988</v>
      </c>
      <c r="O10604" s="18" t="s">
        <v>29</v>
      </c>
      <c r="P10604" s="18" t="s">
        <v>47989</v>
      </c>
      <c r="Q10604" s="6"/>
      <c r="R10604" s="6"/>
      <c r="S10604" s="6"/>
      <c r="T10604" s="6"/>
      <c r="U10604" s="6"/>
      <c r="V10604" s="8"/>
      <c r="W10604" s="8"/>
      <c r="X10604" s="8"/>
      <c r="Y10604" s="8"/>
    </row>
    <row r="10605" ht="14.25">
      <c r="B10605" s="18" t="s">
        <v>110</v>
      </c>
      <c r="C10605" s="18" t="s">
        <v>47990</v>
      </c>
      <c r="D10605" s="18" t="s">
        <v>172</v>
      </c>
      <c r="E10605" s="18" t="s">
        <v>47991</v>
      </c>
      <c r="F10605" s="18" t="str">
        <f>IFERROR(__XLUDF.DUMMYFUNCTION("PROPER(REGEXREPLACE(D517,""[^A-Za-z]+ "",""""))"),"Scic Ielo")</f>
        <v xml:space="preserve">Scic Ielo</v>
      </c>
      <c r="G10605" s="18" t="s">
        <v>47992</v>
      </c>
      <c r="H10605" s="18">
        <v>10</v>
      </c>
      <c r="I10605" s="18" t="s">
        <v>9239</v>
      </c>
      <c r="J10605" s="5" t="s">
        <v>47993</v>
      </c>
      <c r="K10605" s="5" t="s">
        <v>47994</v>
      </c>
      <c r="L10605" s="18" t="s">
        <v>6412</v>
      </c>
      <c r="M10605" s="18" t="s">
        <v>29</v>
      </c>
      <c r="N10605" s="6"/>
      <c r="O10605" s="6"/>
      <c r="P10605" s="18" t="s">
        <v>47995</v>
      </c>
      <c r="Q10605" s="6"/>
      <c r="R10605" s="6"/>
      <c r="S10605" s="6"/>
      <c r="T10605" s="6"/>
      <c r="U10605" s="6"/>
      <c r="V10605" s="8"/>
      <c r="W10605" s="8"/>
      <c r="X10605" s="8"/>
      <c r="Y10605" s="8"/>
    </row>
    <row r="10606" ht="14.25">
      <c r="B10606" s="18" t="s">
        <v>622</v>
      </c>
      <c r="C10606" s="18" t="s">
        <v>47996</v>
      </c>
      <c r="D10606" s="18" t="s">
        <v>172</v>
      </c>
      <c r="E10606" s="18" t="s">
        <v>47997</v>
      </c>
      <c r="F10606" s="18" t="str">
        <f>IFERROR(__XLUDF.DUMMYFUNCTION("PROPER(REGEXREPLACE(D518,""[^A-Za-z]+ "",""""))"),"Groupe Vernat Travaux Publics Gvtp")</f>
        <v xml:space="preserve">Groupe Vernat Travaux Publics Gvtp</v>
      </c>
      <c r="G10606" s="18" t="s">
        <v>47998</v>
      </c>
      <c r="H10606" s="18">
        <v>34</v>
      </c>
      <c r="I10606" s="18" t="s">
        <v>9239</v>
      </c>
      <c r="J10606" s="5" t="s">
        <v>47999</v>
      </c>
      <c r="K10606" s="5" t="s">
        <v>48000</v>
      </c>
      <c r="L10606" s="18" t="s">
        <v>3898</v>
      </c>
      <c r="M10606" s="18" t="s">
        <v>29</v>
      </c>
      <c r="N10606" s="18" t="s">
        <v>48001</v>
      </c>
      <c r="O10606" s="18" t="s">
        <v>29</v>
      </c>
      <c r="P10606" s="6"/>
      <c r="Q10606" s="6"/>
      <c r="R10606" s="6"/>
      <c r="S10606" s="6"/>
      <c r="T10606" s="6"/>
      <c r="U10606" s="6"/>
      <c r="V10606" s="8"/>
      <c r="W10606" s="8"/>
      <c r="X10606" s="8"/>
      <c r="Y10606" s="8"/>
    </row>
    <row r="10607" ht="14.25">
      <c r="B10607" s="18" t="s">
        <v>8585</v>
      </c>
      <c r="C10607" s="18" t="s">
        <v>48002</v>
      </c>
      <c r="D10607" s="18" t="s">
        <v>172</v>
      </c>
      <c r="E10607" s="18" t="s">
        <v>48003</v>
      </c>
      <c r="F10607" s="18" t="str">
        <f>IFERROR(__XLUDF.DUMMYFUNCTION("PROPER(REGEXREPLACE(D519,""[^A-Za-z]+ "",""""))"),"Bernasconi T.P")</f>
        <v xml:space="preserve">Bernasconi T.P</v>
      </c>
      <c r="G10607" s="18" t="s">
        <v>48004</v>
      </c>
      <c r="H10607" s="18">
        <v>14</v>
      </c>
      <c r="I10607" s="18" t="s">
        <v>9239</v>
      </c>
      <c r="J10607" s="5" t="s">
        <v>48005</v>
      </c>
      <c r="K10607" s="5" t="s">
        <v>48006</v>
      </c>
      <c r="L10607" s="18" t="s">
        <v>48007</v>
      </c>
      <c r="M10607" s="18" t="s">
        <v>29</v>
      </c>
      <c r="N10607" s="18" t="s">
        <v>48008</v>
      </c>
      <c r="O10607" s="18" t="s">
        <v>29</v>
      </c>
      <c r="P10607" s="6"/>
      <c r="Q10607" s="6"/>
      <c r="R10607" s="6"/>
      <c r="S10607" s="6"/>
      <c r="T10607" s="6"/>
      <c r="U10607" s="6"/>
      <c r="V10607" s="8"/>
      <c r="W10607" s="8"/>
      <c r="X10607" s="8"/>
      <c r="Y10607" s="8"/>
    </row>
    <row r="10608" ht="14.25">
      <c r="B10608" s="18" t="s">
        <v>1844</v>
      </c>
      <c r="C10608" s="18" t="s">
        <v>17453</v>
      </c>
      <c r="D10608" s="18" t="s">
        <v>487</v>
      </c>
      <c r="E10608" s="18" t="s">
        <v>48009</v>
      </c>
      <c r="F10608" s="18" t="str">
        <f>IFERROR(__XLUDF.DUMMYFUNCTION("PROPER(REGEXREPLACE(D520,""[^A-Za-z]+ "",""""))"),"Resolution France")</f>
        <v xml:space="preserve">Resolution France</v>
      </c>
      <c r="G10608" s="18" t="s">
        <v>48010</v>
      </c>
      <c r="H10608" s="18">
        <v>23</v>
      </c>
      <c r="I10608" s="18" t="s">
        <v>9239</v>
      </c>
      <c r="J10608" s="5" t="s">
        <v>48011</v>
      </c>
      <c r="K10608" s="5" t="s">
        <v>48012</v>
      </c>
      <c r="L10608" s="18" t="s">
        <v>47217</v>
      </c>
      <c r="M10608" s="18" t="s">
        <v>29</v>
      </c>
      <c r="N10608" s="18" t="s">
        <v>48013</v>
      </c>
      <c r="O10608" s="18" t="s">
        <v>29</v>
      </c>
      <c r="P10608" s="6"/>
      <c r="Q10608" s="6"/>
      <c r="R10608" s="6"/>
      <c r="S10608" s="6"/>
      <c r="T10608" s="6"/>
      <c r="U10608" s="6"/>
      <c r="V10608" s="8"/>
      <c r="W10608" s="8"/>
      <c r="X10608" s="8"/>
      <c r="Y10608" s="8"/>
    </row>
    <row r="10609" ht="14.25">
      <c r="B10609" s="18" t="s">
        <v>48014</v>
      </c>
      <c r="C10609" s="18" t="s">
        <v>48015</v>
      </c>
      <c r="D10609" s="18" t="s">
        <v>3637</v>
      </c>
      <c r="E10609" s="18" t="s">
        <v>48016</v>
      </c>
      <c r="F10609" s="18" t="str">
        <f>IFERROR(__XLUDF.DUMMYFUNCTION("PROPER(REGEXREPLACE(D521,""[^A-Za-z]+ "",""""))"),"Arkeo System")</f>
        <v xml:space="preserve">Arkeo System</v>
      </c>
      <c r="G10609" s="18" t="s">
        <v>48017</v>
      </c>
      <c r="H10609" s="18">
        <v>10</v>
      </c>
      <c r="I10609" s="18" t="s">
        <v>9239</v>
      </c>
      <c r="J10609" s="5" t="s">
        <v>48018</v>
      </c>
      <c r="K10609" s="5" t="s">
        <v>48019</v>
      </c>
      <c r="L10609" s="18" t="s">
        <v>16456</v>
      </c>
      <c r="M10609" s="18" t="s">
        <v>29</v>
      </c>
      <c r="N10609" s="18" t="s">
        <v>20610</v>
      </c>
      <c r="O10609" s="18" t="s">
        <v>29</v>
      </c>
      <c r="P10609" s="18" t="s">
        <v>48020</v>
      </c>
      <c r="Q10609" s="6"/>
      <c r="R10609" s="6"/>
      <c r="S10609" s="6"/>
      <c r="T10609" s="6"/>
      <c r="U10609" s="6"/>
      <c r="V10609" s="8"/>
      <c r="W10609" s="8"/>
      <c r="X10609" s="8"/>
      <c r="Y10609" s="8"/>
    </row>
    <row r="10610" ht="14.25">
      <c r="B10610" s="18" t="s">
        <v>322</v>
      </c>
      <c r="C10610" s="18" t="s">
        <v>246</v>
      </c>
      <c r="D10610" s="18" t="s">
        <v>17795</v>
      </c>
      <c r="E10610" s="18" t="s">
        <v>46653</v>
      </c>
      <c r="F10610" s="18" t="str">
        <f>IFERROR(__XLUDF.DUMMYFUNCTION("PROPER(REGEXREPLACE(D522,""[^A-Za-z]+ "",""""))"),"Valentin Construction")</f>
        <v xml:space="preserve">Valentin Construction</v>
      </c>
      <c r="G10610" s="18" t="s">
        <v>48021</v>
      </c>
      <c r="H10610" s="18">
        <v>16</v>
      </c>
      <c r="I10610" s="18" t="s">
        <v>9239</v>
      </c>
      <c r="J10610" s="5" t="s">
        <v>48022</v>
      </c>
      <c r="K10610" s="5" t="s">
        <v>46656</v>
      </c>
      <c r="L10610" s="18" t="s">
        <v>48023</v>
      </c>
      <c r="M10610" s="18" t="s">
        <v>29</v>
      </c>
      <c r="N10610" s="18" t="s">
        <v>46657</v>
      </c>
      <c r="O10610" s="18" t="s">
        <v>29</v>
      </c>
      <c r="P10610" s="6"/>
      <c r="Q10610" s="6"/>
      <c r="R10610" s="6"/>
      <c r="S10610" s="6"/>
      <c r="T10610" s="6"/>
      <c r="U10610" s="6"/>
      <c r="V10610" s="8"/>
      <c r="W10610" s="8"/>
      <c r="X10610" s="8"/>
      <c r="Y10610" s="8"/>
    </row>
    <row r="10611" ht="14.25">
      <c r="B10611" s="18" t="s">
        <v>604</v>
      </c>
      <c r="C10611" s="18" t="s">
        <v>48024</v>
      </c>
      <c r="D10611" s="18" t="s">
        <v>172</v>
      </c>
      <c r="E10611" s="18" t="s">
        <v>48025</v>
      </c>
      <c r="F10611" s="18" t="str">
        <f>IFERROR(__XLUDF.DUMMYFUNCTION("PROPER(REGEXREPLACE(D523,""[^A-Za-z]+ "",""""))"),"Bat'Isol")</f>
        <v>Bat'Isol</v>
      </c>
      <c r="G10611" s="18" t="s">
        <v>48026</v>
      </c>
      <c r="H10611" s="18">
        <v>4</v>
      </c>
      <c r="I10611" s="18" t="s">
        <v>9239</v>
      </c>
      <c r="J10611" s="5" t="s">
        <v>48027</v>
      </c>
      <c r="K10611" s="5" t="s">
        <v>48028</v>
      </c>
      <c r="L10611" s="18" t="s">
        <v>185</v>
      </c>
      <c r="M10611" s="18" t="s">
        <v>29</v>
      </c>
      <c r="N10611" s="18" t="s">
        <v>48029</v>
      </c>
      <c r="O10611" s="18" t="s">
        <v>29</v>
      </c>
      <c r="P10611" s="18" t="s">
        <v>48030</v>
      </c>
      <c r="Q10611" s="6"/>
      <c r="R10611" s="6"/>
      <c r="S10611" s="6"/>
      <c r="T10611" s="6"/>
      <c r="U10611" s="6"/>
      <c r="V10611" s="8"/>
      <c r="W10611" s="8"/>
      <c r="X10611" s="8"/>
      <c r="Y10611" s="8"/>
    </row>
    <row r="10612" ht="14.25">
      <c r="B10612" s="18" t="s">
        <v>768</v>
      </c>
      <c r="C10612" s="18" t="s">
        <v>48031</v>
      </c>
      <c r="D10612" s="18" t="s">
        <v>62</v>
      </c>
      <c r="E10612" s="18" t="s">
        <v>48032</v>
      </c>
      <c r="F10612" s="18" t="str">
        <f>IFERROR(__XLUDF.DUMMYFUNCTION("PROPER(REGEXREPLACE(D524,""[^A-Za-z]+ "",""""))"),"Impact Tomorrow")</f>
        <v xml:space="preserve">Impact Tomorrow</v>
      </c>
      <c r="G10612" s="18" t="s">
        <v>48033</v>
      </c>
      <c r="H10612" s="18">
        <v>2</v>
      </c>
      <c r="I10612" s="18" t="s">
        <v>9239</v>
      </c>
      <c r="J10612" s="5" t="s">
        <v>48034</v>
      </c>
      <c r="K10612" s="5" t="s">
        <v>48035</v>
      </c>
      <c r="L10612" s="18" t="s">
        <v>39</v>
      </c>
      <c r="M10612" s="18" t="s">
        <v>29</v>
      </c>
      <c r="N10612" s="18" t="s">
        <v>48036</v>
      </c>
      <c r="O10612" s="18" t="s">
        <v>29</v>
      </c>
      <c r="P10612" s="6"/>
      <c r="Q10612" s="6"/>
      <c r="R10612" s="6"/>
      <c r="S10612" s="6"/>
      <c r="T10612" s="6"/>
      <c r="U10612" s="6"/>
      <c r="V10612" s="8"/>
      <c r="W10612" s="8"/>
      <c r="X10612" s="8"/>
      <c r="Y10612" s="8"/>
    </row>
    <row r="10613" ht="14.25">
      <c r="B10613" s="18" t="s">
        <v>20</v>
      </c>
      <c r="C10613" s="18" t="s">
        <v>48037</v>
      </c>
      <c r="D10613" s="18" t="s">
        <v>1821</v>
      </c>
      <c r="E10613" s="18" t="s">
        <v>48038</v>
      </c>
      <c r="F10613" s="18" t="str">
        <f>IFERROR(__XLUDF.DUMMYFUNCTION("PROPER(REGEXREPLACE(D525,""[^A-Za-z]+ "",""""))"),"Neurön")</f>
        <v>Neurön</v>
      </c>
      <c r="G10613" s="18" t="s">
        <v>48039</v>
      </c>
      <c r="H10613" s="18">
        <v>3</v>
      </c>
      <c r="I10613" s="18" t="s">
        <v>9239</v>
      </c>
      <c r="J10613" s="5" t="s">
        <v>48040</v>
      </c>
      <c r="K10613" s="5" t="s">
        <v>48041</v>
      </c>
      <c r="L10613" s="18" t="s">
        <v>39</v>
      </c>
      <c r="M10613" s="18" t="s">
        <v>29</v>
      </c>
      <c r="N10613" s="18" t="s">
        <v>48042</v>
      </c>
      <c r="O10613" s="18" t="s">
        <v>29</v>
      </c>
      <c r="P10613" s="18" t="s">
        <v>48043</v>
      </c>
      <c r="Q10613" s="6"/>
      <c r="R10613" s="6"/>
      <c r="S10613" s="6"/>
      <c r="T10613" s="6"/>
      <c r="U10613" s="6"/>
      <c r="V10613" s="8"/>
      <c r="W10613" s="8"/>
      <c r="X10613" s="8"/>
      <c r="Y10613" s="8"/>
    </row>
    <row r="10614" ht="14.25">
      <c r="B10614" s="18" t="s">
        <v>485</v>
      </c>
      <c r="C10614" s="18" t="s">
        <v>4885</v>
      </c>
      <c r="D10614" s="18" t="s">
        <v>48044</v>
      </c>
      <c r="E10614" s="18" t="s">
        <v>46546</v>
      </c>
      <c r="F10614" s="18" t="str">
        <f>IFERROR(__XLUDF.DUMMYFUNCTION("PROPER(REGEXREPLACE(D526,""[^A-Za-z]+ "",""""))"),"Servigaz")</f>
        <v>Servigaz</v>
      </c>
      <c r="G10614" s="18" t="s">
        <v>48045</v>
      </c>
      <c r="H10614" s="18">
        <v>18</v>
      </c>
      <c r="I10614" s="18" t="s">
        <v>9239</v>
      </c>
      <c r="J10614" s="5" t="s">
        <v>48046</v>
      </c>
      <c r="K10614" s="5" t="s">
        <v>46549</v>
      </c>
      <c r="L10614" s="6"/>
      <c r="M10614" s="18" t="s">
        <v>29</v>
      </c>
      <c r="N10614" s="18" t="s">
        <v>18452</v>
      </c>
      <c r="O10614" s="18" t="s">
        <v>29</v>
      </c>
      <c r="P10614" s="18" t="s">
        <v>46550</v>
      </c>
      <c r="Q10614" s="6"/>
      <c r="R10614" s="6"/>
      <c r="S10614" s="6"/>
      <c r="T10614" s="6"/>
      <c r="U10614" s="6"/>
      <c r="V10614" s="8"/>
      <c r="W10614" s="8"/>
      <c r="X10614" s="8"/>
      <c r="Y10614" s="8"/>
    </row>
    <row r="10615" ht="14.25">
      <c r="B10615" s="18" t="s">
        <v>670</v>
      </c>
      <c r="C10615" s="18" t="s">
        <v>48047</v>
      </c>
      <c r="D10615" s="18" t="s">
        <v>48048</v>
      </c>
      <c r="E10615" s="18" t="s">
        <v>48049</v>
      </c>
      <c r="F10615" s="18" t="str">
        <f>IFERROR(__XLUDF.DUMMYFUNCTION("PROPER(REGEXREPLACE(D527,""[^A-Za-z]+ "",""""))"),"Groupe Wiame")</f>
        <v xml:space="preserve">Groupe Wiame</v>
      </c>
      <c r="G10615" s="18" t="s">
        <v>48050</v>
      </c>
      <c r="H10615" s="18">
        <v>7</v>
      </c>
      <c r="I10615" s="18" t="s">
        <v>9239</v>
      </c>
      <c r="J10615" s="5" t="s">
        <v>48051</v>
      </c>
      <c r="K10615" s="5" t="s">
        <v>48052</v>
      </c>
      <c r="L10615" s="18" t="s">
        <v>48053</v>
      </c>
      <c r="M10615" s="18" t="s">
        <v>29</v>
      </c>
      <c r="N10615" s="18" t="s">
        <v>48054</v>
      </c>
      <c r="O10615" s="18" t="s">
        <v>29</v>
      </c>
      <c r="P10615" s="18" t="s">
        <v>48055</v>
      </c>
      <c r="Q10615" s="6"/>
      <c r="R10615" s="6"/>
      <c r="S10615" s="6"/>
      <c r="T10615" s="6"/>
      <c r="U10615" s="6"/>
      <c r="V10615" s="8"/>
      <c r="W10615" s="8"/>
      <c r="X10615" s="8"/>
      <c r="Y10615" s="8"/>
    </row>
    <row r="10616" ht="14.25">
      <c r="B10616" s="18" t="s">
        <v>2771</v>
      </c>
      <c r="C10616" s="18" t="s">
        <v>44851</v>
      </c>
      <c r="D10616" s="18" t="s">
        <v>172</v>
      </c>
      <c r="E10616" s="18" t="s">
        <v>48056</v>
      </c>
      <c r="F10616" s="18" t="str">
        <f>IFERROR(__XLUDF.DUMMYFUNCTION("PROPER(REGEXREPLACE(D528,""[^A-Za-z]+ "",""""))"),"Guillhard Confort")</f>
        <v xml:space="preserve">Guillhard Confort</v>
      </c>
      <c r="G10616" s="18" t="s">
        <v>48057</v>
      </c>
      <c r="H10616" s="18">
        <v>1</v>
      </c>
      <c r="I10616" s="18" t="s">
        <v>9239</v>
      </c>
      <c r="J10616" s="5" t="s">
        <v>48058</v>
      </c>
      <c r="K10616" s="5" t="s">
        <v>48059</v>
      </c>
      <c r="L10616" s="18" t="s">
        <v>1826</v>
      </c>
      <c r="M10616" s="18" t="s">
        <v>29</v>
      </c>
      <c r="N10616" s="18" t="s">
        <v>5477</v>
      </c>
      <c r="O10616" s="18" t="s">
        <v>29</v>
      </c>
      <c r="P10616" s="18" t="s">
        <v>48060</v>
      </c>
      <c r="Q10616" s="6"/>
      <c r="R10616" s="6"/>
      <c r="S10616" s="6"/>
      <c r="T10616" s="6"/>
      <c r="U10616" s="6"/>
      <c r="V10616" s="8"/>
      <c r="W10616" s="8"/>
      <c r="X10616" s="8"/>
      <c r="Y10616" s="8"/>
    </row>
    <row r="10617" ht="14.25">
      <c r="B10617" s="18" t="s">
        <v>4245</v>
      </c>
      <c r="C10617" s="18" t="s">
        <v>48061</v>
      </c>
      <c r="D10617" s="18" t="s">
        <v>48062</v>
      </c>
      <c r="E10617" s="18" t="s">
        <v>48063</v>
      </c>
      <c r="F10617" s="18" t="str">
        <f>IFERROR(__XLUDF.DUMMYFUNCTION("PROPER(REGEXREPLACE(D529,""[^A-Za-z]+ "",""""))"),"Bleu Electricite Solutions")</f>
        <v xml:space="preserve">Bleu Electricite Solutions</v>
      </c>
      <c r="G10617" s="18" t="s">
        <v>48064</v>
      </c>
      <c r="H10617" s="18">
        <v>3</v>
      </c>
      <c r="I10617" s="18" t="s">
        <v>9239</v>
      </c>
      <c r="J10617" s="5" t="s">
        <v>48065</v>
      </c>
      <c r="K10617" s="5" t="s">
        <v>48066</v>
      </c>
      <c r="L10617" s="18" t="s">
        <v>49</v>
      </c>
      <c r="M10617" s="18" t="s">
        <v>29</v>
      </c>
      <c r="N10617" s="6"/>
      <c r="O10617" s="6"/>
      <c r="P10617" s="6"/>
      <c r="Q10617" s="6"/>
      <c r="R10617" s="6"/>
      <c r="S10617" s="6"/>
      <c r="T10617" s="6"/>
      <c r="U10617" s="6"/>
      <c r="V10617" s="8"/>
      <c r="W10617" s="8"/>
      <c r="X10617" s="8"/>
      <c r="Y10617" s="8"/>
    </row>
    <row r="10618" ht="14.25">
      <c r="B10618" s="18" t="s">
        <v>95</v>
      </c>
      <c r="C10618" s="18" t="s">
        <v>19562</v>
      </c>
      <c r="D10618" s="18" t="s">
        <v>172</v>
      </c>
      <c r="E10618" s="18" t="s">
        <v>48067</v>
      </c>
      <c r="F10618" s="18" t="str">
        <f>IFERROR(__XLUDF.DUMMYFUNCTION("PROPER(REGEXREPLACE(D530,""[^A-Za-z]+ "",""""))"),"Sodetri")</f>
        <v>Sodetri</v>
      </c>
      <c r="G10618" s="18" t="s">
        <v>48068</v>
      </c>
      <c r="H10618" s="18">
        <v>4</v>
      </c>
      <c r="I10618" s="18" t="s">
        <v>9239</v>
      </c>
      <c r="J10618" s="5" t="s">
        <v>48069</v>
      </c>
      <c r="K10618" s="5" t="s">
        <v>48070</v>
      </c>
      <c r="L10618" s="18" t="s">
        <v>48071</v>
      </c>
      <c r="M10618" s="18" t="s">
        <v>29</v>
      </c>
      <c r="N10618" s="18" t="s">
        <v>48072</v>
      </c>
      <c r="O10618" s="18" t="s">
        <v>29</v>
      </c>
      <c r="P10618" s="18" t="s">
        <v>48073</v>
      </c>
      <c r="Q10618" s="6"/>
      <c r="R10618" s="6"/>
      <c r="S10618" s="6"/>
      <c r="T10618" s="6"/>
      <c r="U10618" s="6"/>
      <c r="V10618" s="8"/>
      <c r="W10618" s="8"/>
      <c r="X10618" s="8"/>
      <c r="Y10618" s="8"/>
    </row>
    <row r="10619" ht="14.25">
      <c r="B10619" s="18" t="s">
        <v>95</v>
      </c>
      <c r="C10619" s="18" t="s">
        <v>31937</v>
      </c>
      <c r="D10619" s="18" t="s">
        <v>468</v>
      </c>
      <c r="E10619" s="18" t="s">
        <v>31938</v>
      </c>
      <c r="F10619" s="18" t="str">
        <f>IFERROR(__XLUDF.DUMMYFUNCTION("PROPER(REGEXREPLACE(D531,""[^A-Za-z]+ "",""""))"),"Commespace")</f>
        <v>Commespace</v>
      </c>
      <c r="G10619" s="18" t="s">
        <v>31939</v>
      </c>
      <c r="H10619" s="18">
        <v>12</v>
      </c>
      <c r="I10619" s="18" t="s">
        <v>4293</v>
      </c>
      <c r="J10619" s="5" t="s">
        <v>31940</v>
      </c>
      <c r="K10619" s="5" t="s">
        <v>31941</v>
      </c>
      <c r="L10619" s="18" t="s">
        <v>20178</v>
      </c>
      <c r="M10619" s="18" t="s">
        <v>29</v>
      </c>
      <c r="N10619" s="18" t="s">
        <v>31942</v>
      </c>
      <c r="O10619" s="18" t="s">
        <v>29</v>
      </c>
      <c r="P10619" s="18" t="s">
        <v>31943</v>
      </c>
      <c r="Q10619" s="6"/>
      <c r="R10619" s="6"/>
      <c r="S10619" s="6"/>
      <c r="T10619" s="6"/>
      <c r="U10619" s="6"/>
      <c r="V10619" s="8"/>
      <c r="W10619" s="8"/>
      <c r="X10619" s="8"/>
      <c r="Y10619" s="8"/>
    </row>
    <row r="10620" ht="14.25">
      <c r="B10620" s="18" t="s">
        <v>34201</v>
      </c>
      <c r="C10620" s="18" t="s">
        <v>48074</v>
      </c>
      <c r="D10620" s="18" t="s">
        <v>468</v>
      </c>
      <c r="E10620" s="18" t="s">
        <v>46911</v>
      </c>
      <c r="F10620" s="18" t="str">
        <f>IFERROR(__XLUDF.DUMMYFUNCTION("PROPER(REGEXREPLACE(D532,""[^A-Za-z]+ "",""""))"),"Abcis Contractant")</f>
        <v xml:space="preserve">Abcis Contractant</v>
      </c>
      <c r="G10620" s="18" t="s">
        <v>48075</v>
      </c>
      <c r="H10620" s="18">
        <v>37</v>
      </c>
      <c r="I10620" s="18" t="s">
        <v>9239</v>
      </c>
      <c r="J10620" s="5" t="s">
        <v>48076</v>
      </c>
      <c r="K10620" s="5" t="s">
        <v>46914</v>
      </c>
      <c r="L10620" s="18" t="s">
        <v>39</v>
      </c>
      <c r="M10620" s="18" t="s">
        <v>29</v>
      </c>
      <c r="N10620" s="18" t="s">
        <v>67</v>
      </c>
      <c r="O10620" s="18" t="s">
        <v>29</v>
      </c>
      <c r="P10620" s="6"/>
      <c r="Q10620" s="6"/>
      <c r="R10620" s="6"/>
      <c r="S10620" s="6"/>
      <c r="T10620" s="6"/>
      <c r="U10620" s="6"/>
      <c r="V10620" s="8"/>
      <c r="W10620" s="8"/>
      <c r="X10620" s="8"/>
      <c r="Y10620" s="8"/>
    </row>
    <row r="10621" ht="14.25">
      <c r="B10621" s="18" t="s">
        <v>5873</v>
      </c>
      <c r="C10621" s="18" t="s">
        <v>48077</v>
      </c>
      <c r="D10621" s="18" t="s">
        <v>112</v>
      </c>
      <c r="E10621" s="18" t="s">
        <v>48078</v>
      </c>
      <c r="F10621" s="18" t="str">
        <f>IFERROR(__XLUDF.DUMMYFUNCTION("PROPER(REGEXREPLACE(D533,""[^A-Za-z]+ "",""""))"),"Ets Peuch Fils")</f>
        <v xml:space="preserve">Ets Peuch Fils</v>
      </c>
      <c r="G10621" s="18" t="s">
        <v>48079</v>
      </c>
      <c r="H10621" s="18">
        <v>13</v>
      </c>
      <c r="I10621" s="18" t="s">
        <v>9239</v>
      </c>
      <c r="J10621" s="5" t="s">
        <v>48080</v>
      </c>
      <c r="K10621" s="5" t="s">
        <v>48081</v>
      </c>
      <c r="L10621" s="18" t="s">
        <v>48082</v>
      </c>
      <c r="M10621" s="18" t="s">
        <v>29</v>
      </c>
      <c r="N10621" s="18" t="s">
        <v>48083</v>
      </c>
      <c r="O10621" s="18" t="s">
        <v>29</v>
      </c>
      <c r="P10621" s="18" t="s">
        <v>48084</v>
      </c>
      <c r="Q10621" s="6"/>
      <c r="R10621" s="6"/>
      <c r="S10621" s="6"/>
      <c r="T10621" s="6"/>
      <c r="U10621" s="6"/>
      <c r="V10621" s="8"/>
      <c r="W10621" s="8"/>
      <c r="X10621" s="8"/>
      <c r="Y10621" s="8"/>
    </row>
    <row r="10622" ht="14.25">
      <c r="B10622" s="18" t="s">
        <v>6356</v>
      </c>
      <c r="C10622" s="18" t="s">
        <v>48085</v>
      </c>
      <c r="D10622" s="18" t="s">
        <v>112</v>
      </c>
      <c r="E10622" s="18" t="s">
        <v>48086</v>
      </c>
      <c r="F10622" s="18" t="str">
        <f>IFERROR(__XLUDF.DUMMYFUNCTION("PROPER(REGEXREPLACE(D534,""[^A-Za-z]+ "",""""))"),"Ionyx Industrie Environnement")</f>
        <v xml:space="preserve">Ionyx Industrie Environnement</v>
      </c>
      <c r="G10622" s="18" t="s">
        <v>48087</v>
      </c>
      <c r="H10622" s="18">
        <v>13</v>
      </c>
      <c r="I10622" s="18" t="s">
        <v>9239</v>
      </c>
      <c r="J10622" s="5" t="s">
        <v>48088</v>
      </c>
      <c r="K10622" s="5" t="s">
        <v>48089</v>
      </c>
      <c r="L10622" s="18" t="s">
        <v>295</v>
      </c>
      <c r="M10622" s="18" t="s">
        <v>29</v>
      </c>
      <c r="N10622" s="18" t="s">
        <v>48090</v>
      </c>
      <c r="O10622" s="18" t="s">
        <v>29</v>
      </c>
      <c r="P10622" s="6"/>
      <c r="Q10622" s="6"/>
      <c r="R10622" s="6"/>
      <c r="S10622" s="6"/>
      <c r="T10622" s="6"/>
      <c r="U10622" s="6"/>
      <c r="V10622" s="8"/>
      <c r="W10622" s="8"/>
      <c r="X10622" s="8"/>
      <c r="Y10622" s="8"/>
    </row>
    <row r="10623" ht="14.25">
      <c r="B10623" s="18" t="s">
        <v>769</v>
      </c>
      <c r="C10623" s="18" t="s">
        <v>48091</v>
      </c>
      <c r="D10623" s="18" t="s">
        <v>19085</v>
      </c>
      <c r="E10623" s="18" t="s">
        <v>48092</v>
      </c>
      <c r="F10623" s="18" t="str">
        <f>IFERROR(__XLUDF.DUMMYFUNCTION("PROPER(REGEXREPLACE(D535,""[^A-Za-z]+ "",""""))"),"Sna")</f>
        <v>Sna</v>
      </c>
      <c r="G10623" s="18" t="s">
        <v>48093</v>
      </c>
      <c r="H10623" s="18">
        <v>53</v>
      </c>
      <c r="I10623" s="18" t="s">
        <v>9239</v>
      </c>
      <c r="J10623" s="5" t="s">
        <v>48094</v>
      </c>
      <c r="K10623" s="5" t="s">
        <v>48095</v>
      </c>
      <c r="L10623" s="6"/>
      <c r="M10623" s="18" t="s">
        <v>29</v>
      </c>
      <c r="N10623" s="6"/>
      <c r="O10623" s="6"/>
      <c r="P10623" s="6"/>
      <c r="Q10623" s="6"/>
      <c r="R10623" s="6"/>
      <c r="S10623" s="6"/>
      <c r="T10623" s="6"/>
      <c r="U10623" s="6"/>
      <c r="V10623" s="8"/>
      <c r="W10623" s="8"/>
      <c r="X10623" s="8"/>
      <c r="Y10623" s="8"/>
    </row>
    <row r="10624" ht="14.25">
      <c r="B10624" s="18" t="s">
        <v>4800</v>
      </c>
      <c r="C10624" s="18" t="s">
        <v>48096</v>
      </c>
      <c r="D10624" s="18" t="s">
        <v>19085</v>
      </c>
      <c r="E10624" s="18" t="s">
        <v>48097</v>
      </c>
      <c r="F10624" s="18" t="str">
        <f>IFERROR(__XLUDF.DUMMYFUNCTION("PROPER(REGEXREPLACE(D536,""[^A-Za-z]+ "",""""))"),"Decopeint")</f>
        <v>Decopeint</v>
      </c>
      <c r="G10624" s="18" t="s">
        <v>48098</v>
      </c>
      <c r="H10624" s="18">
        <v>28</v>
      </c>
      <c r="I10624" s="18" t="s">
        <v>9239</v>
      </c>
      <c r="J10624" s="5" t="s">
        <v>48099</v>
      </c>
      <c r="K10624" s="5" t="s">
        <v>48100</v>
      </c>
      <c r="L10624" s="18" t="s">
        <v>1460</v>
      </c>
      <c r="M10624" s="18" t="s">
        <v>29</v>
      </c>
      <c r="N10624" s="18" t="s">
        <v>48101</v>
      </c>
      <c r="O10624" s="18" t="s">
        <v>29</v>
      </c>
      <c r="P10624" s="18" t="s">
        <v>48102</v>
      </c>
      <c r="Q10624" s="6"/>
      <c r="R10624" s="6"/>
      <c r="S10624" s="6"/>
      <c r="T10624" s="6"/>
      <c r="U10624" s="6"/>
      <c r="V10624" s="8"/>
      <c r="W10624" s="8"/>
      <c r="X10624" s="8"/>
      <c r="Y10624" s="8"/>
    </row>
    <row r="10625" ht="14.25">
      <c r="B10625" s="18" t="s">
        <v>1153</v>
      </c>
      <c r="C10625" s="18" t="s">
        <v>48103</v>
      </c>
      <c r="D10625" s="18" t="s">
        <v>48104</v>
      </c>
      <c r="E10625" s="18" t="s">
        <v>48105</v>
      </c>
      <c r="F10625" s="18" t="str">
        <f>IFERROR(__XLUDF.DUMMYFUNCTION("PROPER(REGEXREPLACE(D537,""[^A-Za-z]+ "",""""))"),"Tecta")</f>
        <v>Tecta</v>
      </c>
      <c r="G10625" s="18" t="s">
        <v>48106</v>
      </c>
      <c r="H10625" s="18">
        <v>27</v>
      </c>
      <c r="I10625" s="18" t="s">
        <v>9239</v>
      </c>
      <c r="J10625" s="5" t="s">
        <v>48107</v>
      </c>
      <c r="K10625" s="5" t="s">
        <v>48108</v>
      </c>
      <c r="L10625" s="18" t="s">
        <v>482</v>
      </c>
      <c r="M10625" s="18" t="s">
        <v>29</v>
      </c>
      <c r="N10625" s="18" t="s">
        <v>48109</v>
      </c>
      <c r="O10625" s="18" t="s">
        <v>29</v>
      </c>
      <c r="P10625" s="6"/>
      <c r="Q10625" s="6"/>
      <c r="R10625" s="6"/>
      <c r="S10625" s="6"/>
      <c r="T10625" s="6"/>
      <c r="U10625" s="6"/>
      <c r="V10625" s="8"/>
      <c r="W10625" s="8"/>
      <c r="X10625" s="8"/>
      <c r="Y10625" s="8"/>
    </row>
    <row r="10626" ht="14.25">
      <c r="B10626" s="18" t="s">
        <v>1215</v>
      </c>
      <c r="C10626" s="18" t="s">
        <v>48110</v>
      </c>
      <c r="D10626" s="18" t="s">
        <v>48111</v>
      </c>
      <c r="E10626" s="18" t="s">
        <v>24286</v>
      </c>
      <c r="F10626" s="18" t="str">
        <f>IFERROR(__XLUDF.DUMMYFUNCTION("PROPER(REGEXREPLACE(D538,""[^A-Za-z]+ "",""""))"),"La Soderec")</f>
        <v xml:space="preserve">La Soderec</v>
      </c>
      <c r="G10626" s="18" t="s">
        <v>48112</v>
      </c>
      <c r="H10626" s="18">
        <v>20</v>
      </c>
      <c r="I10626" s="18" t="s">
        <v>4293</v>
      </c>
      <c r="J10626" s="5" t="s">
        <v>48113</v>
      </c>
      <c r="K10626" s="5" t="s">
        <v>24289</v>
      </c>
      <c r="L10626" s="18" t="s">
        <v>39</v>
      </c>
      <c r="M10626" s="18" t="s">
        <v>29</v>
      </c>
      <c r="N10626" s="18" t="s">
        <v>24290</v>
      </c>
      <c r="O10626" s="18" t="s">
        <v>29</v>
      </c>
      <c r="P10626" s="18" t="s">
        <v>24291</v>
      </c>
      <c r="Q10626" s="6"/>
      <c r="R10626" s="6"/>
      <c r="S10626" s="6"/>
      <c r="T10626" s="6"/>
      <c r="U10626" s="6"/>
      <c r="V10626" s="8"/>
      <c r="W10626" s="8"/>
      <c r="X10626" s="8"/>
      <c r="Y10626" s="8"/>
    </row>
    <row r="10627" ht="14.25">
      <c r="B10627" s="18" t="s">
        <v>1948</v>
      </c>
      <c r="C10627" s="18" t="s">
        <v>26529</v>
      </c>
      <c r="D10627" s="18" t="s">
        <v>426</v>
      </c>
      <c r="E10627" s="18" t="s">
        <v>48114</v>
      </c>
      <c r="F10627" s="18" t="str">
        <f>IFERROR(__XLUDF.DUMMYFUNCTION("PROPER(REGEXREPLACE(D539,""[^A-Za-z]+ "",""""))"),"La Villa Pornicaise")</f>
        <v xml:space="preserve">La Villa Pornicaise</v>
      </c>
      <c r="G10627" s="18" t="s">
        <v>48115</v>
      </c>
      <c r="H10627" s="18">
        <v>2</v>
      </c>
      <c r="I10627" s="18" t="s">
        <v>9239</v>
      </c>
      <c r="J10627" s="5" t="s">
        <v>48116</v>
      </c>
      <c r="K10627" s="5" t="s">
        <v>48117</v>
      </c>
      <c r="L10627" s="18" t="s">
        <v>1711</v>
      </c>
      <c r="M10627" s="18" t="s">
        <v>29</v>
      </c>
      <c r="N10627" s="18" t="s">
        <v>48118</v>
      </c>
      <c r="O10627" s="18" t="s">
        <v>29</v>
      </c>
      <c r="P10627" s="6"/>
      <c r="Q10627" s="6"/>
      <c r="R10627" s="6"/>
      <c r="S10627" s="6"/>
      <c r="T10627" s="6"/>
      <c r="U10627" s="6"/>
      <c r="V10627" s="8"/>
      <c r="W10627" s="8"/>
      <c r="X10627" s="8"/>
      <c r="Y10627" s="8"/>
    </row>
    <row r="10628" ht="14.25">
      <c r="B10628" s="18" t="s">
        <v>661</v>
      </c>
      <c r="C10628" s="18" t="s">
        <v>48119</v>
      </c>
      <c r="D10628" s="18" t="s">
        <v>112</v>
      </c>
      <c r="E10628" s="18" t="s">
        <v>48120</v>
      </c>
      <c r="F10628" s="18" t="str">
        <f>IFERROR(__XLUDF.DUMMYFUNCTION("PROPER(REGEXREPLACE(D540,""[^A-Za-z]+ "",""""))"),"Socam")</f>
        <v>Socam</v>
      </c>
      <c r="G10628" s="18" t="s">
        <v>48121</v>
      </c>
      <c r="H10628" s="18">
        <v>61</v>
      </c>
      <c r="I10628" s="18" t="s">
        <v>9239</v>
      </c>
      <c r="J10628" s="5" t="s">
        <v>48122</v>
      </c>
      <c r="K10628" s="5" t="s">
        <v>48123</v>
      </c>
      <c r="L10628" s="18" t="s">
        <v>48124</v>
      </c>
      <c r="M10628" s="18" t="s">
        <v>29</v>
      </c>
      <c r="N10628" s="18" t="s">
        <v>48125</v>
      </c>
      <c r="O10628" s="18" t="s">
        <v>29</v>
      </c>
      <c r="P10628" s="6"/>
      <c r="Q10628" s="6"/>
      <c r="R10628" s="6"/>
      <c r="S10628" s="6"/>
      <c r="T10628" s="6"/>
      <c r="U10628" s="6"/>
      <c r="V10628" s="8"/>
      <c r="W10628" s="8"/>
      <c r="X10628" s="8"/>
      <c r="Y10628" s="8"/>
    </row>
    <row r="10629" ht="14.25">
      <c r="B10629" s="18" t="s">
        <v>8049</v>
      </c>
      <c r="C10629" s="18" t="s">
        <v>48126</v>
      </c>
      <c r="D10629" s="18" t="s">
        <v>5953</v>
      </c>
      <c r="E10629" s="18" t="s">
        <v>48127</v>
      </c>
      <c r="F10629" s="18" t="str">
        <f>IFERROR(__XLUDF.DUMMYFUNCTION("PROPER(REGEXREPLACE(D541,""[^A-Za-z]+ "",""""))"),"Angermuller S.A")</f>
        <v xml:space="preserve">Angermuller S.A</v>
      </c>
      <c r="G10629" s="18" t="s">
        <v>48128</v>
      </c>
      <c r="H10629" s="18">
        <v>27</v>
      </c>
      <c r="I10629" s="18" t="s">
        <v>9239</v>
      </c>
      <c r="J10629" s="5" t="s">
        <v>48129</v>
      </c>
      <c r="K10629" s="5" t="s">
        <v>48130</v>
      </c>
      <c r="L10629" s="18" t="s">
        <v>42019</v>
      </c>
      <c r="M10629" s="18" t="s">
        <v>29</v>
      </c>
      <c r="N10629" s="18" t="s">
        <v>48131</v>
      </c>
      <c r="O10629" s="18" t="s">
        <v>29</v>
      </c>
      <c r="P10629" s="18" t="s">
        <v>48132</v>
      </c>
      <c r="Q10629" s="6"/>
      <c r="R10629" s="6"/>
      <c r="S10629" s="6"/>
      <c r="T10629" s="6"/>
      <c r="U10629" s="6"/>
      <c r="V10629" s="8"/>
      <c r="W10629" s="8"/>
      <c r="X10629" s="8"/>
      <c r="Y10629" s="8"/>
    </row>
    <row r="10630" ht="14.25">
      <c r="B10630" s="18" t="s">
        <v>5252</v>
      </c>
      <c r="C10630" s="18" t="s">
        <v>48133</v>
      </c>
      <c r="D10630" s="18" t="s">
        <v>7155</v>
      </c>
      <c r="E10630" s="18" t="s">
        <v>48134</v>
      </c>
      <c r="F10630" s="18" t="str">
        <f>IFERROR(__XLUDF.DUMMYFUNCTION("PROPER(REGEXREPLACE(D542,""[^A-Za-z]+ "",""""))"),"Les Charpentiers De Paris")</f>
        <v xml:space="preserve">Les Charpentiers De Paris</v>
      </c>
      <c r="G10630" s="18" t="s">
        <v>48135</v>
      </c>
      <c r="H10630" s="18">
        <v>41</v>
      </c>
      <c r="I10630" s="18" t="s">
        <v>9239</v>
      </c>
      <c r="J10630" s="5" t="s">
        <v>48136</v>
      </c>
      <c r="K10630" s="5" t="s">
        <v>48137</v>
      </c>
      <c r="L10630" s="18" t="s">
        <v>39</v>
      </c>
      <c r="M10630" s="18" t="s">
        <v>29</v>
      </c>
      <c r="N10630" s="18" t="s">
        <v>48138</v>
      </c>
      <c r="O10630" s="18" t="s">
        <v>29</v>
      </c>
      <c r="P10630" s="18" t="s">
        <v>48139</v>
      </c>
      <c r="Q10630" s="6"/>
      <c r="R10630" s="6"/>
      <c r="S10630" s="6"/>
      <c r="T10630" s="6"/>
      <c r="U10630" s="6"/>
      <c r="V10630" s="8"/>
      <c r="W10630" s="8"/>
      <c r="X10630" s="8"/>
      <c r="Y10630" s="8"/>
    </row>
    <row r="10631" ht="14.25">
      <c r="B10631" s="18" t="s">
        <v>5679</v>
      </c>
      <c r="C10631" s="18" t="s">
        <v>48140</v>
      </c>
      <c r="D10631" s="18" t="s">
        <v>487</v>
      </c>
      <c r="E10631" s="18" t="s">
        <v>48141</v>
      </c>
      <c r="F10631" s="18" t="str">
        <f>IFERROR(__XLUDF.DUMMYFUNCTION("PROPER(REGEXREPLACE(D543,""[^A-Za-z]+ "",""""))"),"La Nouvelle Miroiterie Landaise")</f>
        <v xml:space="preserve">La Nouvelle Miroiterie Landaise</v>
      </c>
      <c r="G10631" s="18" t="s">
        <v>48142</v>
      </c>
      <c r="H10631" s="18">
        <v>23</v>
      </c>
      <c r="I10631" s="18" t="s">
        <v>9239</v>
      </c>
      <c r="J10631" s="5" t="s">
        <v>48143</v>
      </c>
      <c r="K10631" s="5" t="s">
        <v>48144</v>
      </c>
      <c r="L10631" s="18" t="s">
        <v>48145</v>
      </c>
      <c r="M10631" s="18" t="s">
        <v>29</v>
      </c>
      <c r="N10631" s="18" t="s">
        <v>48146</v>
      </c>
      <c r="O10631" s="18" t="s">
        <v>29</v>
      </c>
      <c r="P10631" s="6"/>
      <c r="Q10631" s="6"/>
      <c r="R10631" s="6"/>
      <c r="S10631" s="6"/>
      <c r="T10631" s="6"/>
      <c r="U10631" s="6"/>
      <c r="V10631" s="8"/>
      <c r="W10631" s="8"/>
      <c r="X10631" s="8"/>
      <c r="Y10631" s="8"/>
    </row>
    <row r="10632" ht="14.25">
      <c r="B10632" s="18" t="s">
        <v>604</v>
      </c>
      <c r="C10632" s="18" t="s">
        <v>48147</v>
      </c>
      <c r="D10632" s="18" t="s">
        <v>341</v>
      </c>
      <c r="E10632" s="18" t="s">
        <v>48148</v>
      </c>
      <c r="F10632" s="18" t="str">
        <f>IFERROR(__XLUDF.DUMMYFUNCTION("PROPER(REGEXREPLACE(D544,""[^A-Za-z]+ "",""""))"),"Terrasses Et Bois")</f>
        <v xml:space="preserve">Terrasses Et Bois</v>
      </c>
      <c r="G10632" s="18" t="s">
        <v>48149</v>
      </c>
      <c r="H10632" s="18">
        <v>2</v>
      </c>
      <c r="I10632" s="18" t="s">
        <v>9239</v>
      </c>
      <c r="J10632" s="5" t="s">
        <v>48150</v>
      </c>
      <c r="K10632" s="5" t="s">
        <v>48151</v>
      </c>
      <c r="L10632" s="18" t="s">
        <v>846</v>
      </c>
      <c r="M10632" s="18" t="s">
        <v>29</v>
      </c>
      <c r="N10632" s="18" t="s">
        <v>48152</v>
      </c>
      <c r="O10632" s="18" t="s">
        <v>29</v>
      </c>
      <c r="P10632" s="18" t="s">
        <v>48153</v>
      </c>
      <c r="Q10632" s="6"/>
      <c r="R10632" s="6"/>
      <c r="S10632" s="6"/>
      <c r="T10632" s="6"/>
      <c r="U10632" s="6"/>
      <c r="V10632" s="8"/>
      <c r="W10632" s="8"/>
      <c r="X10632" s="8"/>
      <c r="Y10632" s="8"/>
    </row>
    <row r="10633" ht="14.25">
      <c r="B10633" s="18" t="s">
        <v>743</v>
      </c>
      <c r="C10633" s="18" t="s">
        <v>48154</v>
      </c>
      <c r="D10633" s="18" t="s">
        <v>112</v>
      </c>
      <c r="E10633" s="18" t="s">
        <v>48155</v>
      </c>
      <c r="F10633" s="18" t="str">
        <f>IFERROR(__XLUDF.DUMMYFUNCTION("PROPER(REGEXREPLACE(D545,""[^A-Za-z]+ "",""""))"),"Atelier Cox")</f>
        <v xml:space="preserve">Atelier Cox</v>
      </c>
      <c r="G10633" s="18" t="s">
        <v>48156</v>
      </c>
      <c r="H10633" s="18">
        <v>2</v>
      </c>
      <c r="I10633" s="18" t="s">
        <v>9239</v>
      </c>
      <c r="J10633" s="5" t="s">
        <v>48157</v>
      </c>
      <c r="K10633" s="5" t="s">
        <v>48158</v>
      </c>
      <c r="L10633" s="18" t="s">
        <v>11716</v>
      </c>
      <c r="M10633" s="18" t="s">
        <v>29</v>
      </c>
      <c r="N10633" s="18" t="s">
        <v>48159</v>
      </c>
      <c r="O10633" s="18" t="s">
        <v>29</v>
      </c>
      <c r="P10633" s="18" t="s">
        <v>48160</v>
      </c>
      <c r="Q10633" s="6"/>
      <c r="R10633" s="6"/>
      <c r="S10633" s="6"/>
      <c r="T10633" s="6"/>
      <c r="U10633" s="6"/>
      <c r="V10633" s="8"/>
      <c r="W10633" s="8"/>
      <c r="X10633" s="8"/>
      <c r="Y10633" s="8"/>
    </row>
    <row r="10634" ht="14.25">
      <c r="B10634" s="18" t="s">
        <v>16921</v>
      </c>
      <c r="C10634" s="18" t="s">
        <v>48161</v>
      </c>
      <c r="D10634" s="18" t="s">
        <v>48162</v>
      </c>
      <c r="E10634" s="18" t="s">
        <v>48163</v>
      </c>
      <c r="F10634" s="18" t="str">
        <f>IFERROR(__XLUDF.DUMMYFUNCTION("PROPER(REGEXREPLACE(D546,""[^A-Za-z]+ "",""""))"),"Armen Initiative")</f>
        <v xml:space="preserve">Armen Initiative</v>
      </c>
      <c r="G10634" s="18" t="s">
        <v>48164</v>
      </c>
      <c r="H10634" s="18">
        <v>10</v>
      </c>
      <c r="I10634" s="18" t="s">
        <v>48165</v>
      </c>
      <c r="J10634" s="5" t="s">
        <v>48166</v>
      </c>
      <c r="K10634" s="5" t="s">
        <v>48167</v>
      </c>
      <c r="L10634" s="18" t="s">
        <v>48168</v>
      </c>
      <c r="M10634" s="18" t="s">
        <v>29</v>
      </c>
      <c r="N10634" s="18" t="s">
        <v>48169</v>
      </c>
      <c r="O10634" s="18" t="s">
        <v>29</v>
      </c>
      <c r="P10634" s="18" t="s">
        <v>48170</v>
      </c>
      <c r="Q10634" s="6"/>
      <c r="R10634" s="6"/>
      <c r="S10634" s="6"/>
      <c r="T10634" s="6"/>
      <c r="U10634" s="6"/>
      <c r="V10634" s="8"/>
      <c r="W10634" s="8"/>
      <c r="X10634" s="8"/>
      <c r="Y10634" s="8"/>
    </row>
    <row r="10635" ht="14.25">
      <c r="B10635" s="18" t="s">
        <v>1153</v>
      </c>
      <c r="C10635" s="18" t="s">
        <v>48171</v>
      </c>
      <c r="D10635" s="18" t="s">
        <v>48172</v>
      </c>
      <c r="E10635" s="18" t="s">
        <v>48173</v>
      </c>
      <c r="F10635" s="18" t="str">
        <f>IFERROR(__XLUDF.DUMMYFUNCTION("PROPER(REGEXREPLACE(D547,""[^A-Za-z]+ "",""""))"),"Alpha Services")</f>
        <v xml:space="preserve">Alpha Services</v>
      </c>
      <c r="G10635" s="18" t="s">
        <v>48174</v>
      </c>
      <c r="H10635" s="18">
        <v>11</v>
      </c>
      <c r="I10635" s="18" t="s">
        <v>9239</v>
      </c>
      <c r="J10635" s="5" t="s">
        <v>48175</v>
      </c>
      <c r="K10635" s="5" t="s">
        <v>48176</v>
      </c>
      <c r="L10635" s="18" t="s">
        <v>3898</v>
      </c>
      <c r="M10635" s="18" t="s">
        <v>29</v>
      </c>
      <c r="N10635" s="18" t="s">
        <v>48177</v>
      </c>
      <c r="O10635" s="18" t="s">
        <v>1548</v>
      </c>
      <c r="P10635" s="6"/>
      <c r="Q10635" s="6"/>
      <c r="R10635" s="6"/>
      <c r="S10635" s="6"/>
      <c r="T10635" s="6"/>
      <c r="U10635" s="6"/>
      <c r="V10635" s="8"/>
      <c r="W10635" s="8"/>
      <c r="X10635" s="8"/>
      <c r="Y10635" s="8"/>
    </row>
    <row r="10636" ht="14.25">
      <c r="B10636" s="18" t="s">
        <v>2643</v>
      </c>
      <c r="C10636" s="18" t="s">
        <v>48178</v>
      </c>
      <c r="D10636" s="18" t="s">
        <v>164</v>
      </c>
      <c r="E10636" s="18" t="s">
        <v>48179</v>
      </c>
      <c r="F10636" s="18" t="str">
        <f>IFERROR(__XLUDF.DUMMYFUNCTION("PROPER(REGEXREPLACE(D548,""[^A-Za-z]+ "",""""))"),"Serilec")</f>
        <v>Serilec</v>
      </c>
      <c r="G10636" s="18" t="s">
        <v>48180</v>
      </c>
      <c r="H10636" s="18">
        <v>12</v>
      </c>
      <c r="I10636" s="18" t="s">
        <v>9239</v>
      </c>
      <c r="J10636" s="5" t="s">
        <v>48181</v>
      </c>
      <c r="K10636" s="5" t="s">
        <v>48182</v>
      </c>
      <c r="L10636" s="6"/>
      <c r="M10636" s="18" t="s">
        <v>29</v>
      </c>
      <c r="N10636" s="18" t="s">
        <v>48183</v>
      </c>
      <c r="O10636" s="18" t="s">
        <v>29</v>
      </c>
      <c r="P10636" s="18" t="s">
        <v>48184</v>
      </c>
      <c r="Q10636" s="6"/>
      <c r="R10636" s="6"/>
      <c r="S10636" s="6"/>
      <c r="T10636" s="6"/>
      <c r="U10636" s="6"/>
      <c r="V10636" s="8"/>
      <c r="W10636" s="8"/>
      <c r="X10636" s="8"/>
      <c r="Y10636" s="8"/>
    </row>
    <row r="10637" ht="14.25">
      <c r="B10637" s="18" t="s">
        <v>4800</v>
      </c>
      <c r="C10637" s="18" t="s">
        <v>48185</v>
      </c>
      <c r="D10637" s="18" t="s">
        <v>172</v>
      </c>
      <c r="E10637" s="18" t="s">
        <v>48186</v>
      </c>
      <c r="F10637" s="18" t="str">
        <f>IFERROR(__XLUDF.DUMMYFUNCTION("PROPER(REGEXREPLACE(D549,""[^A-Za-z]+ "",""""))"),"Ferbeck Et Fumitherm")</f>
        <v xml:space="preserve">Ferbeck Et Fumitherm</v>
      </c>
      <c r="G10637" s="18" t="s">
        <v>48187</v>
      </c>
      <c r="H10637" s="6"/>
      <c r="I10637" s="6"/>
      <c r="J10637" s="5" t="s">
        <v>48188</v>
      </c>
      <c r="K10637" s="5" t="s">
        <v>48189</v>
      </c>
      <c r="L10637" s="18" t="s">
        <v>42427</v>
      </c>
      <c r="M10637" s="18" t="s">
        <v>29</v>
      </c>
      <c r="N10637" s="18" t="s">
        <v>48190</v>
      </c>
      <c r="O10637" s="18" t="s">
        <v>29</v>
      </c>
      <c r="P10637" s="6"/>
      <c r="Q10637" s="6"/>
      <c r="R10637" s="6"/>
      <c r="S10637" s="6"/>
      <c r="T10637" s="6"/>
      <c r="U10637" s="6"/>
      <c r="V10637" s="8"/>
      <c r="W10637" s="8"/>
      <c r="X10637" s="8"/>
      <c r="Y10637" s="8"/>
    </row>
    <row r="10638" ht="14.25">
      <c r="B10638" s="18" t="s">
        <v>48191</v>
      </c>
      <c r="C10638" s="18" t="s">
        <v>48192</v>
      </c>
      <c r="D10638" s="18" t="s">
        <v>172</v>
      </c>
      <c r="E10638" s="18" t="s">
        <v>48193</v>
      </c>
      <c r="F10638" s="18" t="str">
        <f>IFERROR(__XLUDF.DUMMYFUNCTION("PROPER(REGEXREPLACE(D550,""[^A-Za-z]+ "",""""))"),"Hm Ravalement")</f>
        <v xml:space="preserve">Hm Ravalement</v>
      </c>
      <c r="G10638" s="18" t="s">
        <v>48194</v>
      </c>
      <c r="H10638" s="18">
        <v>6</v>
      </c>
      <c r="I10638" s="18" t="s">
        <v>9239</v>
      </c>
      <c r="J10638" s="5" t="s">
        <v>48195</v>
      </c>
      <c r="K10638" s="5" t="s">
        <v>48196</v>
      </c>
      <c r="L10638" s="18" t="s">
        <v>39</v>
      </c>
      <c r="M10638" s="18" t="s">
        <v>29</v>
      </c>
      <c r="N10638" s="18" t="s">
        <v>48197</v>
      </c>
      <c r="O10638" s="18" t="s">
        <v>29</v>
      </c>
      <c r="P10638" s="6"/>
      <c r="Q10638" s="6"/>
      <c r="R10638" s="6"/>
      <c r="S10638" s="6"/>
      <c r="T10638" s="6"/>
      <c r="U10638" s="6"/>
      <c r="V10638" s="8"/>
      <c r="W10638" s="8"/>
      <c r="X10638" s="8"/>
      <c r="Y10638" s="8"/>
    </row>
    <row r="10639" ht="14.25">
      <c r="B10639" s="18" t="s">
        <v>808</v>
      </c>
      <c r="C10639" s="18" t="s">
        <v>48198</v>
      </c>
      <c r="D10639" s="18" t="s">
        <v>172</v>
      </c>
      <c r="E10639" s="18" t="s">
        <v>10377</v>
      </c>
      <c r="F10639" s="18" t="str">
        <f>IFERROR(__XLUDF.DUMMYFUNCTION("PROPER(REGEXREPLACE(D551,""[^A-Za-z]+ "",""""))"),"Vêpres")</f>
        <v>Vêpres</v>
      </c>
      <c r="G10639" s="18" t="s">
        <v>48199</v>
      </c>
      <c r="H10639" s="18">
        <v>35</v>
      </c>
      <c r="I10639" s="18" t="s">
        <v>9239</v>
      </c>
      <c r="J10639" s="5" t="s">
        <v>48200</v>
      </c>
      <c r="K10639" s="5" t="s">
        <v>48201</v>
      </c>
      <c r="L10639" s="18" t="s">
        <v>1507</v>
      </c>
      <c r="M10639" s="18" t="s">
        <v>29</v>
      </c>
      <c r="N10639" s="18" t="s">
        <v>48202</v>
      </c>
      <c r="O10639" s="18" t="s">
        <v>29</v>
      </c>
      <c r="P10639" s="18" t="s">
        <v>10381</v>
      </c>
      <c r="Q10639" s="6"/>
      <c r="R10639" s="6"/>
      <c r="S10639" s="6"/>
      <c r="T10639" s="6"/>
      <c r="U10639" s="6"/>
      <c r="V10639" s="8"/>
      <c r="W10639" s="8"/>
      <c r="X10639" s="8"/>
      <c r="Y10639" s="8"/>
    </row>
    <row r="10640" ht="14.25">
      <c r="B10640" s="18" t="s">
        <v>48203</v>
      </c>
      <c r="C10640" s="18" t="s">
        <v>7198</v>
      </c>
      <c r="D10640" s="18" t="s">
        <v>164</v>
      </c>
      <c r="E10640" s="18" t="s">
        <v>45267</v>
      </c>
      <c r="F10640" s="18" t="str">
        <f>IFERROR(__XLUDF.DUMMYFUNCTION("PROPER(REGEXREPLACE(D552,""[^A-Za-z]+ "",""""))"),"Bureau D'Etudes Qsb")</f>
        <v xml:space="preserve">Bureau D'Etudes Qsb</v>
      </c>
      <c r="G10640" s="18" t="s">
        <v>48204</v>
      </c>
      <c r="H10640" s="18">
        <v>18</v>
      </c>
      <c r="I10640" s="18" t="s">
        <v>9239</v>
      </c>
      <c r="J10640" s="5" t="s">
        <v>48205</v>
      </c>
      <c r="K10640" s="5" t="s">
        <v>45270</v>
      </c>
      <c r="L10640" s="18" t="s">
        <v>48206</v>
      </c>
      <c r="M10640" s="18" t="s">
        <v>29</v>
      </c>
      <c r="N10640" s="18" t="s">
        <v>45271</v>
      </c>
      <c r="O10640" s="18" t="s">
        <v>29</v>
      </c>
      <c r="P10640" s="18" t="s">
        <v>45272</v>
      </c>
      <c r="Q10640" s="6"/>
      <c r="R10640" s="6"/>
      <c r="S10640" s="6"/>
      <c r="T10640" s="6"/>
      <c r="U10640" s="6"/>
      <c r="V10640" s="8"/>
      <c r="W10640" s="8"/>
      <c r="X10640" s="8"/>
      <c r="Y10640" s="8"/>
    </row>
    <row r="10641" ht="14.25">
      <c r="B10641" s="18" t="s">
        <v>298</v>
      </c>
      <c r="C10641" s="18" t="s">
        <v>48207</v>
      </c>
      <c r="D10641" s="18" t="s">
        <v>172</v>
      </c>
      <c r="E10641" s="18" t="s">
        <v>48208</v>
      </c>
      <c r="F10641" s="18" t="str">
        <f>IFERROR(__XLUDF.DUMMYFUNCTION("PROPER(REGEXREPLACE(D553,""[^A-Za-z]+ "",""""))"),"Entreprise Imper Etancheite")</f>
        <v xml:space="preserve">Entreprise Imper Etancheite</v>
      </c>
      <c r="G10641" s="18" t="s">
        <v>48209</v>
      </c>
      <c r="H10641" s="18">
        <v>10</v>
      </c>
      <c r="I10641" s="18" t="s">
        <v>9239</v>
      </c>
      <c r="J10641" s="5" t="s">
        <v>48210</v>
      </c>
      <c r="K10641" s="5" t="s">
        <v>48211</v>
      </c>
      <c r="L10641" s="18" t="s">
        <v>16152</v>
      </c>
      <c r="M10641" s="18" t="s">
        <v>29</v>
      </c>
      <c r="N10641" s="18" t="s">
        <v>48212</v>
      </c>
      <c r="O10641" s="18" t="s">
        <v>29</v>
      </c>
      <c r="P10641" s="18" t="s">
        <v>48213</v>
      </c>
      <c r="Q10641" s="6"/>
      <c r="R10641" s="6"/>
      <c r="S10641" s="6"/>
      <c r="T10641" s="6"/>
      <c r="U10641" s="6"/>
      <c r="V10641" s="8"/>
      <c r="W10641" s="8"/>
      <c r="X10641" s="8"/>
      <c r="Y10641" s="8"/>
    </row>
    <row r="10642" ht="14.25">
      <c r="B10642" s="18" t="s">
        <v>6356</v>
      </c>
      <c r="C10642" s="18" t="s">
        <v>48214</v>
      </c>
      <c r="D10642" s="18" t="s">
        <v>172</v>
      </c>
      <c r="E10642" s="18" t="s">
        <v>48215</v>
      </c>
      <c r="F10642" s="18" t="str">
        <f>IFERROR(__XLUDF.DUMMYFUNCTION("PROPER(REGEXREPLACE(D554,""[^A-Za-z]+ "",""""))"),"Constructions Saint-Eloi")</f>
        <v xml:space="preserve">Constructions Saint-Eloi</v>
      </c>
      <c r="G10642" s="18" t="s">
        <v>48216</v>
      </c>
      <c r="H10642" s="18">
        <v>32</v>
      </c>
      <c r="I10642" s="18" t="s">
        <v>9239</v>
      </c>
      <c r="J10642" s="5" t="s">
        <v>48217</v>
      </c>
      <c r="K10642" s="5" t="s">
        <v>48218</v>
      </c>
      <c r="L10642" s="6"/>
      <c r="M10642" s="18" t="s">
        <v>29</v>
      </c>
      <c r="N10642" s="18" t="s">
        <v>48219</v>
      </c>
      <c r="O10642" s="18" t="s">
        <v>29</v>
      </c>
      <c r="P10642" s="18" t="s">
        <v>48220</v>
      </c>
      <c r="Q10642" s="6"/>
      <c r="R10642" s="6"/>
      <c r="S10642" s="6"/>
      <c r="T10642" s="6"/>
      <c r="U10642" s="6"/>
      <c r="V10642" s="8"/>
      <c r="W10642" s="8"/>
      <c r="X10642" s="8"/>
      <c r="Y10642" s="8"/>
    </row>
    <row r="10643" ht="14.25">
      <c r="B10643" s="18" t="s">
        <v>4115</v>
      </c>
      <c r="C10643" s="18" t="s">
        <v>48221</v>
      </c>
      <c r="D10643" s="18" t="s">
        <v>62</v>
      </c>
      <c r="E10643" s="18" t="s">
        <v>48222</v>
      </c>
      <c r="F10643" s="18" t="str">
        <f>IFERROR(__XLUDF.DUMMYFUNCTION("PROPER(REGEXREPLACE(D555,""[^A-Za-z]+ "",""""))"),"Modelar")</f>
        <v>Modelar</v>
      </c>
      <c r="G10643" s="18" t="s">
        <v>48223</v>
      </c>
      <c r="H10643" s="18">
        <v>9</v>
      </c>
      <c r="I10643" s="18" t="s">
        <v>9239</v>
      </c>
      <c r="J10643" s="5" t="s">
        <v>48224</v>
      </c>
      <c r="K10643" s="5" t="s">
        <v>48225</v>
      </c>
      <c r="L10643" s="18" t="s">
        <v>39</v>
      </c>
      <c r="M10643" s="18" t="s">
        <v>29</v>
      </c>
      <c r="N10643" s="18" t="s">
        <v>48226</v>
      </c>
      <c r="O10643" s="18" t="s">
        <v>29</v>
      </c>
      <c r="P10643" s="18" t="s">
        <v>48227</v>
      </c>
      <c r="Q10643" s="6"/>
      <c r="R10643" s="6"/>
      <c r="S10643" s="6"/>
      <c r="T10643" s="6"/>
      <c r="U10643" s="6"/>
      <c r="V10643" s="8"/>
      <c r="W10643" s="8"/>
      <c r="X10643" s="8"/>
      <c r="Y10643" s="8"/>
    </row>
    <row r="10644" ht="14.25">
      <c r="B10644" s="18" t="s">
        <v>6945</v>
      </c>
      <c r="C10644" s="18" t="s">
        <v>48228</v>
      </c>
      <c r="D10644" s="18" t="s">
        <v>487</v>
      </c>
      <c r="E10644" s="18" t="s">
        <v>48229</v>
      </c>
      <c r="F10644" s="18" t="str">
        <f>IFERROR(__XLUDF.DUMMYFUNCTION("PROPER(REGEXREPLACE(D556,""[^A-Za-z]+ "",""""))"),"Cénovia")</f>
        <v>Cénovia</v>
      </c>
      <c r="G10644" s="18" t="s">
        <v>48230</v>
      </c>
      <c r="H10644" s="18">
        <v>28</v>
      </c>
      <c r="I10644" s="18" t="s">
        <v>10167</v>
      </c>
      <c r="J10644" s="5" t="s">
        <v>48231</v>
      </c>
      <c r="K10644" s="5" t="s">
        <v>48232</v>
      </c>
      <c r="L10644" s="18" t="s">
        <v>2650</v>
      </c>
      <c r="M10644" s="18" t="s">
        <v>29</v>
      </c>
      <c r="N10644" s="18" t="s">
        <v>48233</v>
      </c>
      <c r="O10644" s="18" t="s">
        <v>29</v>
      </c>
      <c r="P10644" s="18" t="s">
        <v>48234</v>
      </c>
      <c r="Q10644" s="6"/>
      <c r="R10644" s="6"/>
      <c r="S10644" s="6"/>
      <c r="T10644" s="6"/>
      <c r="U10644" s="6"/>
      <c r="V10644" s="8"/>
      <c r="W10644" s="8"/>
      <c r="X10644" s="8"/>
      <c r="Y10644" s="8"/>
    </row>
    <row r="10645" ht="14.25">
      <c r="B10645" s="18" t="s">
        <v>2508</v>
      </c>
      <c r="C10645" s="18" t="s">
        <v>48235</v>
      </c>
      <c r="D10645" s="18" t="s">
        <v>3982</v>
      </c>
      <c r="E10645" s="18" t="s">
        <v>48236</v>
      </c>
      <c r="F10645" s="18" t="str">
        <f>IFERROR(__XLUDF.DUMMYFUNCTION("PROPER(REGEXREPLACE(D557,""[^A-Za-z]+ "",""""))"),"Objectif Bâtiment")</f>
        <v xml:space="preserve">Objectif Bâtiment</v>
      </c>
      <c r="G10645" s="18" t="s">
        <v>48237</v>
      </c>
      <c r="H10645" s="18">
        <v>16</v>
      </c>
      <c r="I10645" s="18" t="s">
        <v>9239</v>
      </c>
      <c r="J10645" s="5" t="s">
        <v>48238</v>
      </c>
      <c r="K10645" s="5" t="s">
        <v>48239</v>
      </c>
      <c r="L10645" s="18" t="s">
        <v>48240</v>
      </c>
      <c r="M10645" s="18" t="s">
        <v>29</v>
      </c>
      <c r="N10645" s="18" t="s">
        <v>48241</v>
      </c>
      <c r="O10645" s="18" t="s">
        <v>29</v>
      </c>
      <c r="P10645" s="6"/>
      <c r="Q10645" s="6"/>
      <c r="R10645" s="6"/>
      <c r="S10645" s="6"/>
      <c r="T10645" s="6"/>
      <c r="U10645" s="6"/>
      <c r="V10645" s="8"/>
      <c r="W10645" s="8"/>
      <c r="X10645" s="8"/>
      <c r="Y10645" s="8"/>
    </row>
    <row r="10646" ht="14.25">
      <c r="B10646" s="18" t="s">
        <v>1387</v>
      </c>
      <c r="C10646" s="18" t="s">
        <v>48242</v>
      </c>
      <c r="D10646" s="18" t="s">
        <v>62</v>
      </c>
      <c r="E10646" s="18" t="s">
        <v>48243</v>
      </c>
      <c r="F10646" s="18" t="str">
        <f>IFERROR(__XLUDF.DUMMYFUNCTION("PROPER(REGEXREPLACE(D558,""[^A-Za-z]+ "",""""))"),"Demain")</f>
        <v>Demain</v>
      </c>
      <c r="G10646" s="18" t="s">
        <v>48244</v>
      </c>
      <c r="H10646" s="18">
        <v>6</v>
      </c>
      <c r="I10646" s="18" t="s">
        <v>9239</v>
      </c>
      <c r="J10646" s="5" t="s">
        <v>48245</v>
      </c>
      <c r="K10646" s="5" t="s">
        <v>48246</v>
      </c>
      <c r="L10646" s="18" t="s">
        <v>1507</v>
      </c>
      <c r="M10646" s="18" t="s">
        <v>29</v>
      </c>
      <c r="N10646" s="18" t="s">
        <v>48247</v>
      </c>
      <c r="O10646" s="18" t="s">
        <v>1261</v>
      </c>
      <c r="P10646" s="18" t="s">
        <v>48248</v>
      </c>
      <c r="Q10646" s="6"/>
      <c r="R10646" s="6"/>
      <c r="S10646" s="6"/>
      <c r="T10646" s="6"/>
      <c r="U10646" s="6"/>
      <c r="V10646" s="8"/>
      <c r="W10646" s="8"/>
      <c r="X10646" s="8"/>
      <c r="Y10646" s="8"/>
    </row>
    <row r="10647" ht="14.25">
      <c r="B10647" s="18" t="s">
        <v>840</v>
      </c>
      <c r="C10647" s="18" t="s">
        <v>47894</v>
      </c>
      <c r="D10647" s="18" t="s">
        <v>1950</v>
      </c>
      <c r="E10647" s="18" t="s">
        <v>48249</v>
      </c>
      <c r="F10647" s="18" t="str">
        <f>IFERROR(__XLUDF.DUMMYFUNCTION("PROPER(REGEXREPLACE(D559,""[^A-Za-z]+ "",""""))"),"Maisons Oxygène")</f>
        <v xml:space="preserve">Maisons Oxygène</v>
      </c>
      <c r="G10647" s="18" t="s">
        <v>48250</v>
      </c>
      <c r="H10647" s="18">
        <v>30</v>
      </c>
      <c r="I10647" s="18" t="s">
        <v>9239</v>
      </c>
      <c r="J10647" s="5" t="s">
        <v>48251</v>
      </c>
      <c r="K10647" s="5" t="s">
        <v>48252</v>
      </c>
      <c r="L10647" s="18" t="s">
        <v>185</v>
      </c>
      <c r="M10647" s="18" t="s">
        <v>29</v>
      </c>
      <c r="N10647" s="18" t="s">
        <v>48253</v>
      </c>
      <c r="O10647" s="18" t="s">
        <v>29</v>
      </c>
      <c r="P10647" s="18" t="s">
        <v>48254</v>
      </c>
      <c r="Q10647" s="6"/>
      <c r="R10647" s="6"/>
      <c r="S10647" s="6"/>
      <c r="T10647" s="6"/>
      <c r="U10647" s="6"/>
      <c r="V10647" s="8"/>
      <c r="W10647" s="8"/>
      <c r="X10647" s="8"/>
      <c r="Y10647" s="8"/>
    </row>
    <row r="10648" ht="14.25">
      <c r="B10648" s="18" t="s">
        <v>653</v>
      </c>
      <c r="C10648" s="18" t="s">
        <v>48255</v>
      </c>
      <c r="D10648" s="18" t="s">
        <v>172</v>
      </c>
      <c r="E10648" s="18" t="s">
        <v>48256</v>
      </c>
      <c r="F10648" s="18" t="str">
        <f>IFERROR(__XLUDF.DUMMYFUNCTION("PROPER(REGEXREPLACE(D560,""[^A-Za-z]+ "",""""))"),"Guillet Tp")</f>
        <v xml:space="preserve">Guillet Tp</v>
      </c>
      <c r="G10648" s="18" t="s">
        <v>48257</v>
      </c>
      <c r="H10648" s="18">
        <v>19</v>
      </c>
      <c r="I10648" s="18" t="s">
        <v>9239</v>
      </c>
      <c r="J10648" s="5" t="s">
        <v>48258</v>
      </c>
      <c r="K10648" s="5" t="s">
        <v>48259</v>
      </c>
      <c r="L10648" s="18" t="s">
        <v>1711</v>
      </c>
      <c r="M10648" s="18" t="s">
        <v>29</v>
      </c>
      <c r="N10648" s="18" t="s">
        <v>48260</v>
      </c>
      <c r="O10648" s="18" t="s">
        <v>29</v>
      </c>
      <c r="P10648" s="6"/>
      <c r="Q10648" s="6"/>
      <c r="R10648" s="6"/>
      <c r="S10648" s="6"/>
      <c r="T10648" s="6"/>
      <c r="U10648" s="6"/>
      <c r="V10648" s="8"/>
      <c r="W10648" s="8"/>
      <c r="X10648" s="8"/>
      <c r="Y10648" s="8"/>
    </row>
    <row r="10649" ht="14.25">
      <c r="B10649" s="18" t="s">
        <v>1215</v>
      </c>
      <c r="C10649" s="18" t="s">
        <v>48261</v>
      </c>
      <c r="D10649" s="18" t="s">
        <v>172</v>
      </c>
      <c r="E10649" s="18" t="s">
        <v>48262</v>
      </c>
      <c r="F10649" s="18" t="str">
        <f>IFERROR(__XLUDF.DUMMYFUNCTION("PROPER(REGEXREPLACE(D561,""[^A-Za-z]+ "",""""))"),"Suit Your Wall")</f>
        <v xml:space="preserve">Suit Your Wall</v>
      </c>
      <c r="G10649" s="18" t="s">
        <v>48263</v>
      </c>
      <c r="H10649" s="18">
        <v>1</v>
      </c>
      <c r="I10649" s="18" t="s">
        <v>9239</v>
      </c>
      <c r="J10649" s="5" t="s">
        <v>48264</v>
      </c>
      <c r="K10649" s="5" t="s">
        <v>48265</v>
      </c>
      <c r="L10649" s="18" t="s">
        <v>731</v>
      </c>
      <c r="M10649" s="18" t="s">
        <v>29</v>
      </c>
      <c r="N10649" s="18" t="s">
        <v>28777</v>
      </c>
      <c r="O10649" s="18" t="s">
        <v>29</v>
      </c>
      <c r="P10649" s="6"/>
      <c r="Q10649" s="6"/>
      <c r="R10649" s="6"/>
      <c r="S10649" s="6"/>
      <c r="T10649" s="6"/>
      <c r="U10649" s="6"/>
      <c r="V10649" s="8"/>
      <c r="W10649" s="8"/>
      <c r="X10649" s="8"/>
      <c r="Y10649" s="8"/>
    </row>
    <row r="10650" ht="14.25">
      <c r="B10650" s="18" t="s">
        <v>95</v>
      </c>
      <c r="C10650" s="18" t="s">
        <v>48266</v>
      </c>
      <c r="D10650" s="18" t="s">
        <v>48267</v>
      </c>
      <c r="E10650" s="18" t="s">
        <v>45286</v>
      </c>
      <c r="F10650" s="18" t="str">
        <f>IFERROR(__XLUDF.DUMMYFUNCTION("PROPER(REGEXREPLACE(D562,""[^A-Za-z]+ "",""""))"),"Kenergies")</f>
        <v>Kenergies</v>
      </c>
      <c r="G10650" s="18" t="s">
        <v>48268</v>
      </c>
      <c r="H10650" s="18">
        <v>25</v>
      </c>
      <c r="I10650" s="18" t="s">
        <v>9239</v>
      </c>
      <c r="J10650" s="5" t="s">
        <v>48269</v>
      </c>
      <c r="K10650" s="5" t="s">
        <v>45289</v>
      </c>
      <c r="L10650" s="18" t="s">
        <v>1723</v>
      </c>
      <c r="M10650" s="18" t="s">
        <v>29</v>
      </c>
      <c r="N10650" s="18" t="s">
        <v>45290</v>
      </c>
      <c r="O10650" s="18" t="s">
        <v>29</v>
      </c>
      <c r="P10650" s="18" t="s">
        <v>45291</v>
      </c>
      <c r="Q10650" s="6"/>
      <c r="R10650" s="6"/>
      <c r="S10650" s="6"/>
      <c r="T10650" s="6"/>
      <c r="U10650" s="6"/>
      <c r="V10650" s="8"/>
      <c r="W10650" s="8"/>
      <c r="X10650" s="8"/>
      <c r="Y10650" s="8"/>
    </row>
    <row r="10651" ht="14.25">
      <c r="B10651" s="18" t="s">
        <v>7559</v>
      </c>
      <c r="C10651" s="18" t="s">
        <v>48270</v>
      </c>
      <c r="D10651" s="18" t="s">
        <v>1950</v>
      </c>
      <c r="E10651" s="18" t="s">
        <v>16210</v>
      </c>
      <c r="F10651" s="18" t="str">
        <f>IFERROR(__XLUDF.DUMMYFUNCTION("PROPER(REGEXREPLACE(D563,""[^A-Za-z]+ "",""""))"),"Cohésens")</f>
        <v>Cohésens</v>
      </c>
      <c r="G10651" s="18" t="s">
        <v>48271</v>
      </c>
      <c r="H10651" s="18">
        <v>12</v>
      </c>
      <c r="I10651" s="18" t="s">
        <v>9239</v>
      </c>
      <c r="J10651" s="5" t="s">
        <v>48272</v>
      </c>
      <c r="K10651" s="5" t="s">
        <v>48273</v>
      </c>
      <c r="L10651" s="18" t="s">
        <v>5586</v>
      </c>
      <c r="M10651" s="18" t="s">
        <v>29</v>
      </c>
      <c r="N10651" s="18" t="s">
        <v>48274</v>
      </c>
      <c r="O10651" s="18" t="s">
        <v>29</v>
      </c>
      <c r="P10651" s="18" t="s">
        <v>16214</v>
      </c>
      <c r="Q10651" s="6"/>
      <c r="R10651" s="6"/>
      <c r="S10651" s="6"/>
      <c r="T10651" s="6"/>
      <c r="U10651" s="6"/>
      <c r="V10651" s="8"/>
      <c r="W10651" s="8"/>
      <c r="X10651" s="8"/>
      <c r="Y10651" s="8"/>
    </row>
    <row r="10652" ht="14.25">
      <c r="B10652" s="18" t="s">
        <v>330</v>
      </c>
      <c r="C10652" s="18" t="s">
        <v>48275</v>
      </c>
      <c r="D10652" s="18" t="s">
        <v>172</v>
      </c>
      <c r="E10652" s="18" t="s">
        <v>48276</v>
      </c>
      <c r="F10652" s="18" t="str">
        <f>IFERROR(__XLUDF.DUMMYFUNCTION("PROPER(REGEXREPLACE(D564,""[^A-Za-z]+ "",""""))"),"Ecoxia")</f>
        <v>Ecoxia</v>
      </c>
      <c r="G10652" s="18" t="s">
        <v>48277</v>
      </c>
      <c r="H10652" s="18">
        <v>1</v>
      </c>
      <c r="I10652" s="18" t="s">
        <v>9239</v>
      </c>
      <c r="J10652" s="5" t="s">
        <v>48278</v>
      </c>
      <c r="K10652" s="5" t="s">
        <v>48279</v>
      </c>
      <c r="L10652" s="18" t="s">
        <v>39</v>
      </c>
      <c r="M10652" s="18" t="s">
        <v>29</v>
      </c>
      <c r="N10652" s="18" t="s">
        <v>48280</v>
      </c>
      <c r="O10652" s="18" t="s">
        <v>29</v>
      </c>
      <c r="P10652" s="18" t="s">
        <v>48281</v>
      </c>
      <c r="Q10652" s="6"/>
      <c r="R10652" s="6"/>
      <c r="S10652" s="6"/>
      <c r="T10652" s="6"/>
      <c r="U10652" s="6"/>
      <c r="V10652" s="8"/>
      <c r="W10652" s="8"/>
      <c r="X10652" s="8"/>
      <c r="Y10652" s="8"/>
    </row>
    <row r="10653" ht="14.25">
      <c r="B10653" s="18" t="s">
        <v>20</v>
      </c>
      <c r="C10653" s="18" t="s">
        <v>48282</v>
      </c>
      <c r="D10653" s="18" t="s">
        <v>172</v>
      </c>
      <c r="E10653" s="18" t="s">
        <v>48283</v>
      </c>
      <c r="F10653" s="18" t="str">
        <f>IFERROR(__XLUDF.DUMMYFUNCTION("PROPER(REGEXREPLACE(D565,""[^A-Za-z]+ "",""""))"),"Securelec France")</f>
        <v xml:space="preserve">Securelec France</v>
      </c>
      <c r="G10653" s="18" t="s">
        <v>48284</v>
      </c>
      <c r="H10653" s="18">
        <v>4</v>
      </c>
      <c r="I10653" s="18" t="s">
        <v>9239</v>
      </c>
      <c r="J10653" s="5" t="s">
        <v>48285</v>
      </c>
      <c r="K10653" s="5" t="s">
        <v>48286</v>
      </c>
      <c r="L10653" s="18" t="s">
        <v>39</v>
      </c>
      <c r="M10653" s="18" t="s">
        <v>29</v>
      </c>
      <c r="N10653" s="18" t="s">
        <v>48287</v>
      </c>
      <c r="O10653" s="18" t="s">
        <v>29</v>
      </c>
      <c r="P10653" s="18" t="s">
        <v>8930</v>
      </c>
      <c r="Q10653" s="6"/>
      <c r="R10653" s="6"/>
      <c r="S10653" s="6"/>
      <c r="T10653" s="6"/>
      <c r="U10653" s="6"/>
      <c r="V10653" s="8"/>
      <c r="W10653" s="8"/>
      <c r="X10653" s="8"/>
      <c r="Y10653" s="8"/>
    </row>
    <row r="10654" ht="14.25">
      <c r="B10654" s="18" t="s">
        <v>48288</v>
      </c>
      <c r="C10654" s="18" t="s">
        <v>48289</v>
      </c>
      <c r="D10654" s="18" t="s">
        <v>172</v>
      </c>
      <c r="E10654" s="18" t="s">
        <v>48290</v>
      </c>
      <c r="F10654" s="18" t="str">
        <f>IFERROR(__XLUDF.DUMMYFUNCTION("PROPER(REGEXREPLACE(D566,""[^A-Za-z]+ "",""""))"),"Kartesien")</f>
        <v>Kartesien</v>
      </c>
      <c r="G10654" s="18" t="s">
        <v>48291</v>
      </c>
      <c r="H10654" s="18">
        <v>3</v>
      </c>
      <c r="I10654" s="18" t="s">
        <v>9239</v>
      </c>
      <c r="J10654" s="5" t="s">
        <v>48292</v>
      </c>
      <c r="K10654" s="5" t="s">
        <v>48293</v>
      </c>
      <c r="L10654" s="18" t="s">
        <v>10649</v>
      </c>
      <c r="M10654" s="18" t="s">
        <v>29</v>
      </c>
      <c r="N10654" s="18" t="s">
        <v>3403</v>
      </c>
      <c r="O10654" s="18" t="s">
        <v>29</v>
      </c>
      <c r="P10654" s="6"/>
      <c r="Q10654" s="6"/>
      <c r="R10654" s="6"/>
      <c r="S10654" s="6"/>
      <c r="T10654" s="6"/>
      <c r="U10654" s="6"/>
      <c r="V10654" s="8"/>
      <c r="W10654" s="8"/>
      <c r="X10654" s="8"/>
      <c r="Y10654" s="8"/>
    </row>
    <row r="10655" ht="14.25">
      <c r="B10655" s="18" t="s">
        <v>118</v>
      </c>
      <c r="C10655" s="18" t="s">
        <v>48294</v>
      </c>
      <c r="D10655" s="18" t="s">
        <v>172</v>
      </c>
      <c r="E10655" s="18" t="s">
        <v>48295</v>
      </c>
      <c r="F10655" s="18" t="str">
        <f>IFERROR(__XLUDF.DUMMYFUNCTION("PROPER(REGEXREPLACE(D567,""[^A-Za-z]+ "",""""))"),"Continental Bitumen")</f>
        <v xml:space="preserve">Continental Bitumen</v>
      </c>
      <c r="G10655" s="18" t="s">
        <v>48296</v>
      </c>
      <c r="H10655" s="18">
        <v>16</v>
      </c>
      <c r="I10655" s="18" t="s">
        <v>9239</v>
      </c>
      <c r="J10655" s="5" t="s">
        <v>48297</v>
      </c>
      <c r="K10655" s="5" t="s">
        <v>48298</v>
      </c>
      <c r="L10655" s="18" t="s">
        <v>39</v>
      </c>
      <c r="M10655" s="18" t="s">
        <v>29</v>
      </c>
      <c r="N10655" s="18" t="s">
        <v>48299</v>
      </c>
      <c r="O10655" s="18" t="s">
        <v>19092</v>
      </c>
      <c r="P10655" s="18" t="s">
        <v>48300</v>
      </c>
      <c r="Q10655" s="6"/>
      <c r="R10655" s="6"/>
      <c r="S10655" s="6"/>
      <c r="T10655" s="6"/>
      <c r="U10655" s="6"/>
      <c r="V10655" s="8"/>
      <c r="W10655" s="8"/>
      <c r="X10655" s="8"/>
      <c r="Y10655" s="8"/>
    </row>
    <row r="10656" ht="14.25">
      <c r="B10656" s="18" t="s">
        <v>48301</v>
      </c>
      <c r="C10656" s="18" t="s">
        <v>24676</v>
      </c>
      <c r="D10656" s="18" t="s">
        <v>7759</v>
      </c>
      <c r="E10656" s="18" t="s">
        <v>48302</v>
      </c>
      <c r="F10656" s="18" t="str">
        <f>IFERROR(__XLUDF.DUMMYFUNCTION("PROPER(REGEXREPLACE(D568,""[^A-Za-z]+ "",""""))"),"Metiista")</f>
        <v>Metiista</v>
      </c>
      <c r="G10656" s="18" t="s">
        <v>48303</v>
      </c>
      <c r="H10656" s="18">
        <v>12</v>
      </c>
      <c r="I10656" s="18" t="s">
        <v>9239</v>
      </c>
      <c r="J10656" s="5" t="s">
        <v>48304</v>
      </c>
      <c r="K10656" s="5" t="s">
        <v>48305</v>
      </c>
      <c r="L10656" s="18" t="s">
        <v>185</v>
      </c>
      <c r="M10656" s="18" t="s">
        <v>29</v>
      </c>
      <c r="N10656" s="18" t="s">
        <v>48306</v>
      </c>
      <c r="O10656" s="18" t="s">
        <v>29</v>
      </c>
      <c r="P10656" s="18" t="s">
        <v>48307</v>
      </c>
      <c r="Q10656" s="6"/>
      <c r="R10656" s="6"/>
      <c r="S10656" s="6"/>
      <c r="T10656" s="6"/>
      <c r="U10656" s="6"/>
      <c r="V10656" s="8"/>
      <c r="W10656" s="8"/>
      <c r="X10656" s="8"/>
      <c r="Y10656" s="8"/>
    </row>
    <row r="10657" ht="14.25">
      <c r="B10657" s="18" t="s">
        <v>874</v>
      </c>
      <c r="C10657" s="18" t="s">
        <v>48308</v>
      </c>
      <c r="D10657" s="18" t="s">
        <v>1130</v>
      </c>
      <c r="E10657" s="18" t="s">
        <v>48309</v>
      </c>
      <c r="F10657" s="18" t="str">
        <f>IFERROR(__XLUDF.DUMMYFUNCTION("PROPER(REGEXREPLACE(D569,""[^A-Za-z]+ "",""""))"),"Provençale D'Aluminium")</f>
        <v xml:space="preserve">Provençale D'Aluminium</v>
      </c>
      <c r="G10657" s="18" t="s">
        <v>48310</v>
      </c>
      <c r="H10657" s="18">
        <v>11</v>
      </c>
      <c r="I10657" s="18" t="s">
        <v>9239</v>
      </c>
      <c r="J10657" s="5" t="s">
        <v>48311</v>
      </c>
      <c r="K10657" s="5" t="s">
        <v>48312</v>
      </c>
      <c r="L10657" s="18" t="s">
        <v>48313</v>
      </c>
      <c r="M10657" s="18" t="s">
        <v>29</v>
      </c>
      <c r="N10657" s="18" t="s">
        <v>48314</v>
      </c>
      <c r="O10657" s="18" t="s">
        <v>29</v>
      </c>
      <c r="P10657" s="18" t="s">
        <v>48315</v>
      </c>
      <c r="Q10657" s="6"/>
      <c r="R10657" s="6"/>
      <c r="S10657" s="6"/>
      <c r="T10657" s="6"/>
      <c r="U10657" s="6"/>
      <c r="V10657" s="8"/>
      <c r="W10657" s="8"/>
      <c r="X10657" s="8"/>
      <c r="Y10657" s="8"/>
    </row>
    <row r="10658" ht="14.25">
      <c r="B10658" s="18" t="s">
        <v>4800</v>
      </c>
      <c r="C10658" s="18" t="s">
        <v>48316</v>
      </c>
      <c r="D10658" s="18" t="s">
        <v>112</v>
      </c>
      <c r="E10658" s="18" t="s">
        <v>48317</v>
      </c>
      <c r="F10658" s="18" t="str">
        <f>IFERROR(__XLUDF.DUMMYFUNCTION("PROPER(REGEXREPLACE(D570,""[^A-Za-z]+ "",""""))"),"Atebat")</f>
        <v>Atebat</v>
      </c>
      <c r="G10658" s="18" t="s">
        <v>48318</v>
      </c>
      <c r="H10658" s="18">
        <v>19</v>
      </c>
      <c r="I10658" s="18" t="s">
        <v>9239</v>
      </c>
      <c r="J10658" s="5" t="s">
        <v>48319</v>
      </c>
      <c r="K10658" s="5" t="s">
        <v>48320</v>
      </c>
      <c r="L10658" s="18" t="s">
        <v>562</v>
      </c>
      <c r="M10658" s="18" t="s">
        <v>29</v>
      </c>
      <c r="N10658" s="18" t="s">
        <v>48321</v>
      </c>
      <c r="O10658" s="18" t="s">
        <v>29</v>
      </c>
      <c r="P10658" s="6"/>
      <c r="Q10658" s="6"/>
      <c r="R10658" s="6"/>
      <c r="S10658" s="6"/>
      <c r="T10658" s="6"/>
      <c r="U10658" s="6"/>
      <c r="V10658" s="8"/>
      <c r="W10658" s="8"/>
      <c r="X10658" s="8"/>
      <c r="Y10658" s="8"/>
    </row>
    <row r="10659" ht="14.25">
      <c r="B10659" s="18" t="s">
        <v>13010</v>
      </c>
      <c r="C10659" s="18" t="s">
        <v>48322</v>
      </c>
      <c r="D10659" s="18" t="s">
        <v>112</v>
      </c>
      <c r="E10659" s="18" t="s">
        <v>48323</v>
      </c>
      <c r="F10659" s="18" t="str">
        <f>IFERROR(__XLUDF.DUMMYFUNCTION("PROPER(REGEXREPLACE(D571,""[^A-Za-z]+ "",""""))"),"Gesys Ingénierie")</f>
        <v xml:space="preserve">Gesys Ingénierie</v>
      </c>
      <c r="G10659" s="18" t="s">
        <v>48324</v>
      </c>
      <c r="H10659" s="18">
        <v>22</v>
      </c>
      <c r="I10659" s="18" t="s">
        <v>9239</v>
      </c>
      <c r="J10659" s="5" t="s">
        <v>48325</v>
      </c>
      <c r="K10659" s="5" t="s">
        <v>48326</v>
      </c>
      <c r="L10659" s="18" t="s">
        <v>39</v>
      </c>
      <c r="M10659" s="18" t="s">
        <v>29</v>
      </c>
      <c r="N10659" s="18" t="s">
        <v>48327</v>
      </c>
      <c r="O10659" s="18" t="s">
        <v>29</v>
      </c>
      <c r="P10659" s="6"/>
      <c r="Q10659" s="6"/>
      <c r="R10659" s="6"/>
      <c r="S10659" s="6"/>
      <c r="T10659" s="6"/>
      <c r="U10659" s="6"/>
      <c r="V10659" s="8"/>
      <c r="W10659" s="8"/>
      <c r="X10659" s="8"/>
      <c r="Y10659" s="8"/>
    </row>
    <row r="10660" ht="14.25">
      <c r="B10660" s="18" t="s">
        <v>2398</v>
      </c>
      <c r="C10660" s="18" t="s">
        <v>48328</v>
      </c>
      <c r="D10660" s="18" t="s">
        <v>112</v>
      </c>
      <c r="E10660" s="18" t="s">
        <v>45771</v>
      </c>
      <c r="F10660" s="18" t="str">
        <f>IFERROR(__XLUDF.DUMMYFUNCTION("PROPER(REGEXREPLACE(D572,""[^A-Za-z]+ "",""""))"),"Hugo Tech")</f>
        <v xml:space="preserve">Hugo Tech</v>
      </c>
      <c r="G10660" s="18" t="s">
        <v>48329</v>
      </c>
      <c r="H10660" s="18">
        <v>18</v>
      </c>
      <c r="I10660" s="18" t="s">
        <v>9239</v>
      </c>
      <c r="J10660" s="5" t="s">
        <v>48330</v>
      </c>
      <c r="K10660" s="5" t="s">
        <v>45774</v>
      </c>
      <c r="L10660" s="18" t="s">
        <v>716</v>
      </c>
      <c r="M10660" s="18" t="s">
        <v>29</v>
      </c>
      <c r="N10660" s="18" t="s">
        <v>45775</v>
      </c>
      <c r="O10660" s="18" t="s">
        <v>29</v>
      </c>
      <c r="P10660" s="18" t="s">
        <v>45776</v>
      </c>
      <c r="Q10660" s="6"/>
      <c r="R10660" s="6"/>
      <c r="S10660" s="6"/>
      <c r="T10660" s="6"/>
      <c r="U10660" s="6"/>
      <c r="V10660" s="8"/>
      <c r="W10660" s="8"/>
      <c r="X10660" s="8"/>
      <c r="Y10660" s="8"/>
    </row>
    <row r="10661" ht="14.25">
      <c r="B10661" s="18" t="s">
        <v>1583</v>
      </c>
      <c r="C10661" s="18" t="s">
        <v>7847</v>
      </c>
      <c r="D10661" s="18" t="s">
        <v>112</v>
      </c>
      <c r="E10661" s="18" t="s">
        <v>48331</v>
      </c>
      <c r="F10661" s="18" t="str">
        <f>IFERROR(__XLUDF.DUMMYFUNCTION("PROPER(REGEXREPLACE(D573,""[^A-Za-z]+ "",""""))"),"Total Cable")</f>
        <v xml:space="preserve">Total Cable</v>
      </c>
      <c r="G10661" s="18" t="s">
        <v>48332</v>
      </c>
      <c r="H10661" s="18">
        <v>13</v>
      </c>
      <c r="I10661" s="18" t="s">
        <v>9239</v>
      </c>
      <c r="J10661" s="5" t="s">
        <v>48333</v>
      </c>
      <c r="K10661" s="5" t="s">
        <v>48334</v>
      </c>
      <c r="L10661" s="18" t="s">
        <v>83</v>
      </c>
      <c r="M10661" s="18" t="s">
        <v>29</v>
      </c>
      <c r="N10661" s="18" t="s">
        <v>48335</v>
      </c>
      <c r="O10661" s="18" t="s">
        <v>29</v>
      </c>
      <c r="P10661" s="18" t="s">
        <v>48336</v>
      </c>
      <c r="Q10661" s="6"/>
      <c r="R10661" s="6"/>
      <c r="S10661" s="6"/>
      <c r="T10661" s="6"/>
      <c r="U10661" s="6"/>
      <c r="V10661" s="8"/>
      <c r="W10661" s="8"/>
      <c r="X10661" s="8"/>
      <c r="Y10661" s="8"/>
    </row>
    <row r="10662" ht="14.25">
      <c r="B10662" s="18" t="s">
        <v>743</v>
      </c>
      <c r="C10662" s="18" t="s">
        <v>48337</v>
      </c>
      <c r="D10662" s="18" t="s">
        <v>112</v>
      </c>
      <c r="E10662" s="18" t="s">
        <v>48338</v>
      </c>
      <c r="F10662" s="18" t="str">
        <f>IFERROR(__XLUDF.DUMMYFUNCTION("PROPER(REGEXREPLACE(D574,""[^A-Za-z]+ "",""""))"),"Donato Sa")</f>
        <v xml:space="preserve">Donato Sa</v>
      </c>
      <c r="G10662" s="18" t="s">
        <v>48339</v>
      </c>
      <c r="H10662" s="18">
        <v>24</v>
      </c>
      <c r="I10662" s="18" t="s">
        <v>9239</v>
      </c>
      <c r="J10662" s="5" t="s">
        <v>48340</v>
      </c>
      <c r="K10662" s="5" t="s">
        <v>48341</v>
      </c>
      <c r="L10662" s="18" t="s">
        <v>39</v>
      </c>
      <c r="M10662" s="18" t="s">
        <v>29</v>
      </c>
      <c r="N10662" s="18" t="s">
        <v>48342</v>
      </c>
      <c r="O10662" s="18" t="s">
        <v>29</v>
      </c>
      <c r="P10662" s="18" t="s">
        <v>48343</v>
      </c>
      <c r="Q10662" s="6"/>
      <c r="R10662" s="6"/>
      <c r="S10662" s="6"/>
      <c r="T10662" s="6"/>
      <c r="U10662" s="6"/>
      <c r="V10662" s="8"/>
      <c r="W10662" s="8"/>
      <c r="X10662" s="8"/>
      <c r="Y10662" s="8"/>
    </row>
    <row r="10663" ht="14.25">
      <c r="B10663" s="18" t="s">
        <v>743</v>
      </c>
      <c r="C10663" s="18" t="s">
        <v>27880</v>
      </c>
      <c r="D10663" s="18" t="s">
        <v>112</v>
      </c>
      <c r="E10663" s="18" t="s">
        <v>45889</v>
      </c>
      <c r="F10663" s="18" t="str">
        <f>IFERROR(__XLUDF.DUMMYFUNCTION("PROPER(REGEXREPLACE(D575,""[^A-Za-z]+ "",""""))"),"Altius France")</f>
        <v xml:space="preserve">Altius France</v>
      </c>
      <c r="G10663" s="18" t="s">
        <v>48344</v>
      </c>
      <c r="H10663" s="18">
        <v>44</v>
      </c>
      <c r="I10663" s="18" t="s">
        <v>9239</v>
      </c>
      <c r="J10663" s="5" t="s">
        <v>48345</v>
      </c>
      <c r="K10663" s="5" t="s">
        <v>45892</v>
      </c>
      <c r="L10663" s="18" t="s">
        <v>423</v>
      </c>
      <c r="M10663" s="18" t="s">
        <v>29</v>
      </c>
      <c r="N10663" s="18" t="s">
        <v>45893</v>
      </c>
      <c r="O10663" s="18" t="s">
        <v>29</v>
      </c>
      <c r="P10663" s="18" t="s">
        <v>45894</v>
      </c>
      <c r="Q10663" s="6"/>
      <c r="R10663" s="6"/>
      <c r="S10663" s="6"/>
      <c r="T10663" s="6"/>
      <c r="U10663" s="6"/>
      <c r="V10663" s="8"/>
      <c r="W10663" s="8"/>
      <c r="X10663" s="8"/>
      <c r="Y10663" s="8"/>
    </row>
    <row r="10664" ht="14.25">
      <c r="B10664" s="18" t="s">
        <v>2932</v>
      </c>
      <c r="C10664" s="18" t="s">
        <v>47698</v>
      </c>
      <c r="D10664" s="18" t="s">
        <v>112</v>
      </c>
      <c r="E10664" s="18" t="s">
        <v>46742</v>
      </c>
      <c r="F10664" s="18" t="str">
        <f>IFERROR(__XLUDF.DUMMYFUNCTION("PROPER(REGEXREPLACE(D576,""[^A-Za-z]+ "",""""))"),"Sybat")</f>
        <v>Sybat</v>
      </c>
      <c r="G10664" s="18" t="s">
        <v>48346</v>
      </c>
      <c r="H10664" s="18">
        <v>17</v>
      </c>
      <c r="I10664" s="18" t="s">
        <v>9239</v>
      </c>
      <c r="J10664" s="5" t="s">
        <v>48347</v>
      </c>
      <c r="K10664" s="5" t="s">
        <v>46745</v>
      </c>
      <c r="L10664" s="18" t="s">
        <v>10141</v>
      </c>
      <c r="M10664" s="18" t="s">
        <v>29</v>
      </c>
      <c r="N10664" s="18" t="s">
        <v>46746</v>
      </c>
      <c r="O10664" s="18" t="s">
        <v>29</v>
      </c>
      <c r="P10664" s="6"/>
      <c r="Q10664" s="6"/>
      <c r="R10664" s="6"/>
      <c r="S10664" s="6"/>
      <c r="T10664" s="6"/>
      <c r="U10664" s="6"/>
      <c r="V10664" s="8"/>
      <c r="W10664" s="8"/>
      <c r="X10664" s="8"/>
      <c r="Y10664" s="8"/>
    </row>
    <row r="10665" ht="14.25">
      <c r="B10665" s="18" t="s">
        <v>178</v>
      </c>
      <c r="C10665" s="18" t="s">
        <v>48348</v>
      </c>
      <c r="D10665" s="18" t="s">
        <v>28472</v>
      </c>
      <c r="E10665" s="18" t="s">
        <v>48349</v>
      </c>
      <c r="F10665" s="18" t="str">
        <f>IFERROR(__XLUDF.DUMMYFUNCTION("PROPER(REGEXREPLACE(D577,""[^A-Za-z]+ "",""""))"),"Archionline")</f>
        <v>Archionline</v>
      </c>
      <c r="G10665" s="18" t="s">
        <v>48350</v>
      </c>
      <c r="H10665" s="18">
        <v>6</v>
      </c>
      <c r="I10665" s="18" t="s">
        <v>10167</v>
      </c>
      <c r="J10665" s="5" t="s">
        <v>48351</v>
      </c>
      <c r="K10665" s="5" t="s">
        <v>48352</v>
      </c>
      <c r="L10665" s="18" t="s">
        <v>39</v>
      </c>
      <c r="M10665" s="18" t="s">
        <v>29</v>
      </c>
      <c r="N10665" s="18" t="s">
        <v>48353</v>
      </c>
      <c r="O10665" s="18" t="s">
        <v>29</v>
      </c>
      <c r="P10665" s="18" t="s">
        <v>48354</v>
      </c>
      <c r="Q10665" s="6"/>
      <c r="R10665" s="6"/>
      <c r="S10665" s="6"/>
      <c r="T10665" s="6"/>
      <c r="U10665" s="6"/>
      <c r="V10665" s="8"/>
      <c r="W10665" s="8"/>
      <c r="X10665" s="8"/>
      <c r="Y10665" s="8"/>
    </row>
    <row r="10666" ht="14.25">
      <c r="B10666" s="18" t="s">
        <v>9922</v>
      </c>
      <c r="C10666" s="18" t="s">
        <v>48355</v>
      </c>
      <c r="D10666" s="18" t="s">
        <v>247</v>
      </c>
      <c r="E10666" s="18" t="s">
        <v>45824</v>
      </c>
      <c r="F10666" s="18" t="str">
        <f>IFERROR(__XLUDF.DUMMYFUNCTION("PROPER(REGEXREPLACE(D578,""[^A-Za-z]+ "",""""))"),"Archidvisor")</f>
        <v>Archidvisor</v>
      </c>
      <c r="G10666" s="18" t="s">
        <v>48356</v>
      </c>
      <c r="H10666" s="18">
        <v>17</v>
      </c>
      <c r="I10666" s="18" t="s">
        <v>10167</v>
      </c>
      <c r="J10666" s="5" t="s">
        <v>48357</v>
      </c>
      <c r="K10666" s="5" t="s">
        <v>45827</v>
      </c>
      <c r="L10666" s="18" t="s">
        <v>243</v>
      </c>
      <c r="M10666" s="18" t="s">
        <v>29</v>
      </c>
      <c r="N10666" s="18" t="s">
        <v>45828</v>
      </c>
      <c r="O10666" s="18" t="s">
        <v>29</v>
      </c>
      <c r="P10666" s="18" t="s">
        <v>45829</v>
      </c>
      <c r="Q10666" s="6"/>
      <c r="R10666" s="6"/>
      <c r="S10666" s="6"/>
      <c r="T10666" s="6"/>
      <c r="U10666" s="6"/>
      <c r="V10666" s="8"/>
      <c r="W10666" s="8"/>
      <c r="X10666" s="8"/>
      <c r="Y10666" s="8"/>
    </row>
    <row r="10667" ht="14.25">
      <c r="B10667" s="18" t="s">
        <v>1592</v>
      </c>
      <c r="C10667" s="18" t="s">
        <v>10686</v>
      </c>
      <c r="D10667" s="18" t="s">
        <v>1130</v>
      </c>
      <c r="E10667" s="18" t="s">
        <v>48358</v>
      </c>
      <c r="F10667" s="18" t="str">
        <f>IFERROR(__XLUDF.DUMMYFUNCTION("PROPER(REGEXREPLACE(D579,""[^A-Za-z]+ "",""""))"),"Somma")</f>
        <v>Somma</v>
      </c>
      <c r="G10667" s="18" t="s">
        <v>48359</v>
      </c>
      <c r="H10667" s="18">
        <v>17</v>
      </c>
      <c r="I10667" s="18" t="s">
        <v>9239</v>
      </c>
      <c r="J10667" s="5" t="s">
        <v>48360</v>
      </c>
      <c r="K10667" s="5" t="s">
        <v>48361</v>
      </c>
      <c r="L10667" s="18" t="s">
        <v>39</v>
      </c>
      <c r="M10667" s="18" t="s">
        <v>29</v>
      </c>
      <c r="N10667" s="18" t="s">
        <v>48362</v>
      </c>
      <c r="O10667" s="18" t="s">
        <v>29</v>
      </c>
      <c r="P10667" s="18" t="s">
        <v>48363</v>
      </c>
      <c r="Q10667" s="6"/>
      <c r="R10667" s="6"/>
      <c r="S10667" s="6"/>
      <c r="T10667" s="6"/>
      <c r="U10667" s="6"/>
      <c r="V10667" s="8"/>
      <c r="W10667" s="8"/>
      <c r="X10667" s="8"/>
      <c r="Y10667" s="8"/>
    </row>
    <row r="10668" ht="14.25">
      <c r="B10668" s="18" t="s">
        <v>15990</v>
      </c>
      <c r="C10668" s="18" t="s">
        <v>46903</v>
      </c>
      <c r="D10668" s="18" t="s">
        <v>172</v>
      </c>
      <c r="E10668" s="18" t="s">
        <v>46904</v>
      </c>
      <c r="F10668" s="18" t="str">
        <f>IFERROR(__XLUDF.DUMMYFUNCTION("PROPER(REGEXREPLACE(D580,""[^A-Za-z]+ "",""""))"),"Guinde")</f>
        <v>Guinde</v>
      </c>
      <c r="G10668" s="18" t="s">
        <v>48364</v>
      </c>
      <c r="H10668" s="18">
        <v>15</v>
      </c>
      <c r="I10668" s="18" t="s">
        <v>9239</v>
      </c>
      <c r="J10668" s="5" t="s">
        <v>48365</v>
      </c>
      <c r="K10668" s="5" t="s">
        <v>46907</v>
      </c>
      <c r="L10668" s="18" t="s">
        <v>48366</v>
      </c>
      <c r="M10668" s="18" t="s">
        <v>29</v>
      </c>
      <c r="N10668" s="18" t="s">
        <v>46909</v>
      </c>
      <c r="O10668" s="18" t="s">
        <v>29</v>
      </c>
      <c r="P10668" s="6"/>
      <c r="Q10668" s="6"/>
      <c r="R10668" s="6"/>
      <c r="S10668" s="6"/>
      <c r="T10668" s="6"/>
      <c r="U10668" s="6"/>
      <c r="V10668" s="8"/>
      <c r="W10668" s="8"/>
      <c r="X10668" s="8"/>
      <c r="Y10668" s="8"/>
    </row>
    <row r="10669" ht="14.25">
      <c r="B10669" s="18" t="s">
        <v>571</v>
      </c>
      <c r="C10669" s="18" t="s">
        <v>17642</v>
      </c>
      <c r="D10669" s="18" t="s">
        <v>48367</v>
      </c>
      <c r="E10669" s="18" t="s">
        <v>48105</v>
      </c>
      <c r="F10669" s="18" t="str">
        <f>IFERROR(__XLUDF.DUMMYFUNCTION("PROPER(REGEXREPLACE(D581,""[^A-Za-z]+ "",""""))"),"Tecta")</f>
        <v>Tecta</v>
      </c>
      <c r="G10669" s="18" t="s">
        <v>48368</v>
      </c>
      <c r="H10669" s="18">
        <v>27</v>
      </c>
      <c r="I10669" s="18" t="s">
        <v>9239</v>
      </c>
      <c r="J10669" s="5" t="s">
        <v>48369</v>
      </c>
      <c r="K10669" s="5" t="s">
        <v>48108</v>
      </c>
      <c r="L10669" s="6"/>
      <c r="M10669" s="18" t="s">
        <v>29</v>
      </c>
      <c r="N10669" s="18" t="s">
        <v>48109</v>
      </c>
      <c r="O10669" s="18" t="s">
        <v>29</v>
      </c>
      <c r="P10669" s="6"/>
      <c r="Q10669" s="6"/>
      <c r="R10669" s="6"/>
      <c r="S10669" s="6"/>
      <c r="T10669" s="6"/>
      <c r="U10669" s="6"/>
      <c r="V10669" s="8"/>
      <c r="W10669" s="8"/>
      <c r="X10669" s="8"/>
      <c r="Y10669" s="8"/>
    </row>
    <row r="10670" ht="14.25">
      <c r="B10670" s="18" t="s">
        <v>604</v>
      </c>
      <c r="C10670" s="18" t="s">
        <v>12852</v>
      </c>
      <c r="D10670" s="18" t="s">
        <v>341</v>
      </c>
      <c r="E10670" s="18" t="s">
        <v>48370</v>
      </c>
      <c r="F10670" s="18" t="str">
        <f>IFERROR(__XLUDF.DUMMYFUNCTION("PROPER(REGEXREPLACE(D582,""[^A-Za-z]+ "",""""))"),"One Way")</f>
        <v xml:space="preserve">One Way</v>
      </c>
      <c r="G10670" s="18" t="s">
        <v>48371</v>
      </c>
      <c r="H10670" s="18">
        <v>42</v>
      </c>
      <c r="I10670" s="18" t="s">
        <v>9239</v>
      </c>
      <c r="J10670" s="5" t="s">
        <v>48372</v>
      </c>
      <c r="K10670" s="5" t="s">
        <v>48373</v>
      </c>
      <c r="L10670" s="18" t="s">
        <v>846</v>
      </c>
      <c r="M10670" s="18" t="s">
        <v>29</v>
      </c>
      <c r="N10670" s="18" t="s">
        <v>48374</v>
      </c>
      <c r="O10670" s="18" t="s">
        <v>29</v>
      </c>
      <c r="P10670" s="18" t="s">
        <v>48375</v>
      </c>
      <c r="Q10670" s="6"/>
      <c r="R10670" s="6"/>
      <c r="S10670" s="6"/>
      <c r="T10670" s="6"/>
      <c r="U10670" s="6"/>
      <c r="V10670" s="8"/>
      <c r="W10670" s="8"/>
      <c r="X10670" s="8"/>
      <c r="Y10670" s="8"/>
    </row>
    <row r="10671" ht="14.25">
      <c r="B10671" s="18" t="s">
        <v>322</v>
      </c>
      <c r="C10671" s="18" t="s">
        <v>48376</v>
      </c>
      <c r="D10671" s="18" t="s">
        <v>112</v>
      </c>
      <c r="E10671" s="18" t="s">
        <v>46246</v>
      </c>
      <c r="F10671" s="18" t="str">
        <f>IFERROR(__XLUDF.DUMMYFUNCTION("PROPER(REGEXREPLACE(D583,""[^A-Za-z]+ "",""""))"),"Groupe Saint Leonard")</f>
        <v xml:space="preserve">Groupe Saint Leonard</v>
      </c>
      <c r="G10671" s="18" t="s">
        <v>48377</v>
      </c>
      <c r="H10671" s="18">
        <v>37</v>
      </c>
      <c r="I10671" s="18" t="s">
        <v>9239</v>
      </c>
      <c r="J10671" s="5" t="s">
        <v>48378</v>
      </c>
      <c r="K10671" s="5" t="s">
        <v>46249</v>
      </c>
      <c r="L10671" s="18" t="s">
        <v>39</v>
      </c>
      <c r="M10671" s="18" t="s">
        <v>29</v>
      </c>
      <c r="N10671" s="18" t="s">
        <v>46251</v>
      </c>
      <c r="O10671" s="18" t="s">
        <v>29</v>
      </c>
      <c r="P10671" s="18" t="s">
        <v>46252</v>
      </c>
      <c r="Q10671" s="6"/>
      <c r="R10671" s="6"/>
      <c r="S10671" s="6"/>
      <c r="T10671" s="6"/>
      <c r="U10671" s="6"/>
      <c r="V10671" s="8"/>
      <c r="W10671" s="8"/>
      <c r="X10671" s="8"/>
      <c r="Y10671" s="8"/>
    </row>
    <row r="10672" ht="14.25">
      <c r="B10672" s="18" t="s">
        <v>1198</v>
      </c>
      <c r="C10672" s="18" t="s">
        <v>18213</v>
      </c>
      <c r="D10672" s="18" t="s">
        <v>112</v>
      </c>
      <c r="E10672" s="18" t="s">
        <v>48379</v>
      </c>
      <c r="F10672" s="18" t="str">
        <f>IFERROR(__XLUDF.DUMMYFUNCTION("PROPER(REGEXREPLACE(D584,""[^A-Za-z]+ "",""""))"),"Idsb")</f>
        <v>Idsb</v>
      </c>
      <c r="G10672" s="18" t="s">
        <v>48380</v>
      </c>
      <c r="H10672" s="18">
        <v>53</v>
      </c>
      <c r="I10672" s="18" t="s">
        <v>9239</v>
      </c>
      <c r="J10672" s="5" t="s">
        <v>48381</v>
      </c>
      <c r="K10672" s="5" t="s">
        <v>48382</v>
      </c>
      <c r="L10672" s="18" t="s">
        <v>185</v>
      </c>
      <c r="M10672" s="18" t="s">
        <v>29</v>
      </c>
      <c r="N10672" s="18" t="s">
        <v>48383</v>
      </c>
      <c r="O10672" s="18" t="s">
        <v>29</v>
      </c>
      <c r="P10672" s="18" t="s">
        <v>48384</v>
      </c>
      <c r="Q10672" s="6"/>
      <c r="R10672" s="6"/>
      <c r="S10672" s="6"/>
      <c r="T10672" s="6"/>
      <c r="U10672" s="6"/>
      <c r="V10672" s="8"/>
      <c r="W10672" s="8"/>
      <c r="X10672" s="8"/>
      <c r="Y10672" s="8"/>
    </row>
    <row r="10673" ht="14.25">
      <c r="B10673" s="18" t="s">
        <v>2877</v>
      </c>
      <c r="C10673" s="18" t="s">
        <v>48385</v>
      </c>
      <c r="D10673" s="18" t="s">
        <v>164</v>
      </c>
      <c r="E10673" s="18" t="s">
        <v>48386</v>
      </c>
      <c r="F10673" s="18" t="str">
        <f>IFERROR(__XLUDF.DUMMYFUNCTION("PROPER(REGEXREPLACE(D585,""[^A-Za-z]+ "",""""))"),"Spl Cergy-Pontoise Amenagement")</f>
        <v xml:space="preserve">Spl Cergy-Pontoise Amenagement</v>
      </c>
      <c r="G10673" s="18" t="s">
        <v>48387</v>
      </c>
      <c r="H10673" s="18">
        <v>18</v>
      </c>
      <c r="I10673" s="18" t="s">
        <v>9239</v>
      </c>
      <c r="J10673" s="5" t="s">
        <v>48388</v>
      </c>
      <c r="K10673" s="5" t="s">
        <v>48389</v>
      </c>
      <c r="L10673" s="18" t="s">
        <v>45030</v>
      </c>
      <c r="M10673" s="18" t="s">
        <v>29</v>
      </c>
      <c r="N10673" s="18" t="s">
        <v>48390</v>
      </c>
      <c r="O10673" s="18" t="s">
        <v>29</v>
      </c>
      <c r="P10673" s="6"/>
      <c r="Q10673" s="6"/>
      <c r="R10673" s="6"/>
      <c r="S10673" s="6"/>
      <c r="T10673" s="6"/>
      <c r="U10673" s="6"/>
      <c r="V10673" s="8"/>
      <c r="W10673" s="8"/>
      <c r="X10673" s="8"/>
      <c r="Y10673" s="8"/>
    </row>
    <row r="10674" ht="14.25">
      <c r="B10674" s="18" t="s">
        <v>1153</v>
      </c>
      <c r="C10674" s="18" t="s">
        <v>48391</v>
      </c>
      <c r="D10674" s="18" t="s">
        <v>172</v>
      </c>
      <c r="E10674" s="18" t="s">
        <v>45985</v>
      </c>
      <c r="F10674" s="18" t="str">
        <f>IFERROR(__XLUDF.DUMMYFUNCTION("PROPER(REGEXREPLACE(D586,""[^A-Za-z]+ "",""""))"),"Brard Menuiserie Agencement")</f>
        <v xml:space="preserve">Brard Menuiserie Agencement</v>
      </c>
      <c r="G10674" s="18" t="s">
        <v>48392</v>
      </c>
      <c r="H10674" s="18">
        <v>27</v>
      </c>
      <c r="I10674" s="18" t="s">
        <v>9239</v>
      </c>
      <c r="J10674" s="5" t="s">
        <v>48393</v>
      </c>
      <c r="K10674" s="5" t="s">
        <v>45988</v>
      </c>
      <c r="L10674" s="18" t="s">
        <v>12291</v>
      </c>
      <c r="M10674" s="18" t="s">
        <v>29</v>
      </c>
      <c r="N10674" s="18" t="s">
        <v>45989</v>
      </c>
      <c r="O10674" s="18" t="s">
        <v>29</v>
      </c>
      <c r="P10674" s="6"/>
      <c r="Q10674" s="6"/>
      <c r="R10674" s="6"/>
      <c r="S10674" s="6"/>
      <c r="T10674" s="6"/>
      <c r="U10674" s="6"/>
      <c r="V10674" s="8"/>
      <c r="W10674" s="8"/>
      <c r="X10674" s="8"/>
      <c r="Y10674" s="8"/>
    </row>
    <row r="10675" ht="14.25">
      <c r="B10675" s="18" t="s">
        <v>48394</v>
      </c>
      <c r="C10675" s="18" t="s">
        <v>48395</v>
      </c>
      <c r="D10675" s="18" t="s">
        <v>48396</v>
      </c>
      <c r="E10675" s="18" t="s">
        <v>48397</v>
      </c>
      <c r="F10675" s="18" t="str">
        <f>IFERROR(__XLUDF.DUMMYFUNCTION("PROPER(REGEXREPLACE(D587,""[^A-Za-z]+ "",""""))"),"Skibby")</f>
        <v>Skibby</v>
      </c>
      <c r="G10675" s="18" t="s">
        <v>48398</v>
      </c>
      <c r="H10675" s="18">
        <v>4</v>
      </c>
      <c r="I10675" s="18" t="s">
        <v>9239</v>
      </c>
      <c r="J10675" s="5" t="s">
        <v>48399</v>
      </c>
      <c r="K10675" s="5" t="s">
        <v>48400</v>
      </c>
      <c r="L10675" s="18" t="s">
        <v>465</v>
      </c>
      <c r="M10675" s="18" t="s">
        <v>29</v>
      </c>
      <c r="N10675" s="18" t="s">
        <v>21137</v>
      </c>
      <c r="O10675" s="18" t="s">
        <v>1548</v>
      </c>
      <c r="P10675" s="18" t="s">
        <v>48401</v>
      </c>
      <c r="Q10675" s="6"/>
      <c r="R10675" s="6"/>
      <c r="S10675" s="6"/>
      <c r="T10675" s="6"/>
      <c r="U10675" s="6"/>
      <c r="V10675" s="8"/>
      <c r="W10675" s="8"/>
      <c r="X10675" s="8"/>
      <c r="Y10675" s="8"/>
    </row>
    <row r="10676" ht="14.25">
      <c r="B10676" s="18" t="s">
        <v>16133</v>
      </c>
      <c r="C10676" s="18" t="s">
        <v>48402</v>
      </c>
      <c r="D10676" s="18" t="s">
        <v>12257</v>
      </c>
      <c r="E10676" s="18" t="s">
        <v>48403</v>
      </c>
      <c r="F10676" s="18" t="str">
        <f>IFERROR(__XLUDF.DUMMYFUNCTION("PROPER(REGEXREPLACE(D588,""[^A-Za-z]+ "",""""))"),"Guitton Menuiserie")</f>
        <v xml:space="preserve">Guitton Menuiserie</v>
      </c>
      <c r="G10676" s="18" t="s">
        <v>48404</v>
      </c>
      <c r="H10676" s="18">
        <v>19</v>
      </c>
      <c r="I10676" s="18" t="s">
        <v>9239</v>
      </c>
      <c r="J10676" s="5" t="s">
        <v>48405</v>
      </c>
      <c r="K10676" s="5" t="s">
        <v>48406</v>
      </c>
      <c r="L10676" s="18" t="s">
        <v>1826</v>
      </c>
      <c r="M10676" s="18" t="s">
        <v>29</v>
      </c>
      <c r="N10676" s="18" t="s">
        <v>48407</v>
      </c>
      <c r="O10676" s="18" t="s">
        <v>29</v>
      </c>
      <c r="P10676" s="6"/>
      <c r="Q10676" s="6"/>
      <c r="R10676" s="6"/>
      <c r="S10676" s="6"/>
      <c r="T10676" s="6"/>
      <c r="U10676" s="6"/>
      <c r="V10676" s="8"/>
      <c r="W10676" s="8"/>
      <c r="X10676" s="8"/>
      <c r="Y10676" s="8"/>
    </row>
    <row r="10677" ht="14.25">
      <c r="B10677" s="18" t="s">
        <v>1009</v>
      </c>
      <c r="C10677" s="18" t="s">
        <v>48408</v>
      </c>
      <c r="D10677" s="18" t="s">
        <v>29332</v>
      </c>
      <c r="E10677" s="18" t="s">
        <v>48409</v>
      </c>
      <c r="F10677" s="18" t="str">
        <f>IFERROR(__XLUDF.DUMMYFUNCTION("PROPER(REGEXREPLACE(D589,""[^A-Za-z]+ "",""""))"),"Se2N Neveu")</f>
        <v xml:space="preserve">Se2N Neveu</v>
      </c>
      <c r="G10677" s="18" t="s">
        <v>48410</v>
      </c>
      <c r="H10677" s="18">
        <v>9</v>
      </c>
      <c r="I10677" s="18" t="s">
        <v>9239</v>
      </c>
      <c r="J10677" s="5" t="s">
        <v>48411</v>
      </c>
      <c r="K10677" s="5" t="s">
        <v>48412</v>
      </c>
      <c r="L10677" s="6"/>
      <c r="M10677" s="18" t="s">
        <v>29</v>
      </c>
      <c r="N10677" s="18" t="s">
        <v>48413</v>
      </c>
      <c r="O10677" s="18" t="s">
        <v>29</v>
      </c>
      <c r="P10677" s="18" t="s">
        <v>48414</v>
      </c>
      <c r="Q10677" s="6"/>
      <c r="R10677" s="6"/>
      <c r="S10677" s="6"/>
      <c r="T10677" s="6"/>
      <c r="U10677" s="6"/>
      <c r="V10677" s="8"/>
      <c r="W10677" s="8"/>
      <c r="X10677" s="8"/>
      <c r="Y10677" s="8"/>
    </row>
    <row r="10678" ht="14.25">
      <c r="B10678" s="18" t="s">
        <v>9911</v>
      </c>
      <c r="C10678" s="18" t="s">
        <v>1485</v>
      </c>
      <c r="D10678" s="18" t="s">
        <v>172</v>
      </c>
      <c r="E10678" s="18" t="s">
        <v>48415</v>
      </c>
      <c r="F10678" s="18" t="str">
        <f>IFERROR(__XLUDF.DUMMYFUNCTION("PROPER(REGEXREPLACE(D590,""[^A-Za-z]+ "",""""))"),"Eco Négoce")</f>
        <v xml:space="preserve">Eco Négoce</v>
      </c>
      <c r="G10678" s="18" t="s">
        <v>48416</v>
      </c>
      <c r="H10678" s="18">
        <v>16</v>
      </c>
      <c r="I10678" s="18" t="s">
        <v>9239</v>
      </c>
      <c r="J10678" s="5" t="s">
        <v>48417</v>
      </c>
      <c r="K10678" s="5" t="s">
        <v>48418</v>
      </c>
      <c r="L10678" s="18" t="s">
        <v>39</v>
      </c>
      <c r="M10678" s="18" t="s">
        <v>29</v>
      </c>
      <c r="N10678" s="18" t="s">
        <v>48419</v>
      </c>
      <c r="O10678" s="18" t="s">
        <v>29</v>
      </c>
      <c r="P10678" s="6"/>
      <c r="Q10678" s="6"/>
      <c r="R10678" s="6"/>
      <c r="S10678" s="6"/>
      <c r="T10678" s="6"/>
      <c r="U10678" s="6"/>
      <c r="V10678" s="8"/>
      <c r="W10678" s="8"/>
      <c r="X10678" s="8"/>
      <c r="Y10678" s="8"/>
    </row>
    <row r="10679" ht="14.25">
      <c r="B10679" s="18" t="s">
        <v>1153</v>
      </c>
      <c r="C10679" s="18" t="s">
        <v>48420</v>
      </c>
      <c r="D10679" s="18" t="s">
        <v>426</v>
      </c>
      <c r="E10679" s="18" t="s">
        <v>48421</v>
      </c>
      <c r="F10679" s="18" t="str">
        <f>IFERROR(__XLUDF.DUMMYFUNCTION("PROPER(REGEXREPLACE(D591,""[^A-Za-z]+ "",""""))"),"Nge Immobilier")</f>
        <v xml:space="preserve">Nge Immobilier</v>
      </c>
      <c r="G10679" s="18" t="s">
        <v>48422</v>
      </c>
      <c r="H10679" s="18">
        <v>8</v>
      </c>
      <c r="I10679" s="18" t="s">
        <v>4293</v>
      </c>
      <c r="J10679" s="5" t="s">
        <v>48423</v>
      </c>
      <c r="K10679" s="5" t="s">
        <v>48424</v>
      </c>
      <c r="L10679" s="18" t="s">
        <v>1826</v>
      </c>
      <c r="M10679" s="18" t="s">
        <v>29</v>
      </c>
      <c r="N10679" s="18" t="s">
        <v>48425</v>
      </c>
      <c r="O10679" s="18" t="s">
        <v>29</v>
      </c>
      <c r="P10679" s="6"/>
      <c r="Q10679" s="6"/>
      <c r="R10679" s="6"/>
      <c r="S10679" s="6"/>
      <c r="T10679" s="6"/>
      <c r="U10679" s="6"/>
      <c r="V10679" s="8"/>
      <c r="W10679" s="8"/>
      <c r="X10679" s="8"/>
      <c r="Y10679" s="8"/>
    </row>
    <row r="10680" ht="14.25">
      <c r="B10680" s="18" t="s">
        <v>29037</v>
      </c>
      <c r="C10680" s="18" t="s">
        <v>48426</v>
      </c>
      <c r="D10680" s="18" t="s">
        <v>172</v>
      </c>
      <c r="E10680" s="18" t="s">
        <v>48427</v>
      </c>
      <c r="F10680" s="18" t="str">
        <f>IFERROR(__XLUDF.DUMMYFUNCTION("PROPER(REGEXREPLACE(D592,""[^A-Za-z]+ "",""""))"),"Chanel Rénovation")</f>
        <v xml:space="preserve">Chanel Rénovation</v>
      </c>
      <c r="G10680" s="18" t="s">
        <v>48428</v>
      </c>
      <c r="H10680" s="18">
        <v>46</v>
      </c>
      <c r="I10680" s="18" t="s">
        <v>9239</v>
      </c>
      <c r="J10680" s="5" t="s">
        <v>48429</v>
      </c>
      <c r="K10680" s="5" t="s">
        <v>48430</v>
      </c>
      <c r="L10680" s="18" t="s">
        <v>482</v>
      </c>
      <c r="M10680" s="18" t="s">
        <v>29</v>
      </c>
      <c r="N10680" s="18" t="s">
        <v>48431</v>
      </c>
      <c r="O10680" s="18" t="s">
        <v>29</v>
      </c>
      <c r="P10680" s="18" t="s">
        <v>48432</v>
      </c>
      <c r="Q10680" s="6"/>
      <c r="R10680" s="6"/>
      <c r="S10680" s="6"/>
      <c r="T10680" s="6"/>
      <c r="U10680" s="6"/>
      <c r="V10680" s="8"/>
      <c r="W10680" s="8"/>
      <c r="X10680" s="8"/>
      <c r="Y10680" s="8"/>
    </row>
    <row r="10681" ht="14.25">
      <c r="B10681" s="18" t="s">
        <v>48433</v>
      </c>
      <c r="C10681" s="18" t="s">
        <v>48434</v>
      </c>
      <c r="D10681" s="18" t="s">
        <v>172</v>
      </c>
      <c r="E10681" s="18" t="s">
        <v>45527</v>
      </c>
      <c r="F10681" s="18" t="str">
        <f>IFERROR(__XLUDF.DUMMYFUNCTION("PROPER(REGEXREPLACE(D593,""[^A-Za-z]+ "",""""))"),"Groupe Carré")</f>
        <v xml:space="preserve">Groupe Carré</v>
      </c>
      <c r="G10681" s="18" t="s">
        <v>48435</v>
      </c>
      <c r="H10681" s="18">
        <v>30</v>
      </c>
      <c r="I10681" s="18" t="s">
        <v>9239</v>
      </c>
      <c r="J10681" s="5" t="s">
        <v>48436</v>
      </c>
      <c r="K10681" s="5" t="s">
        <v>45530</v>
      </c>
      <c r="L10681" s="6"/>
      <c r="M10681" s="18" t="s">
        <v>29</v>
      </c>
      <c r="N10681" s="18" t="s">
        <v>45531</v>
      </c>
      <c r="O10681" s="18" t="s">
        <v>29</v>
      </c>
      <c r="P10681" s="6"/>
      <c r="Q10681" s="6"/>
      <c r="R10681" s="6"/>
      <c r="S10681" s="6"/>
      <c r="T10681" s="6"/>
      <c r="U10681" s="6"/>
      <c r="V10681" s="8"/>
      <c r="W10681" s="8"/>
      <c r="X10681" s="8"/>
      <c r="Y10681" s="8"/>
    </row>
    <row r="10682" ht="14.25">
      <c r="B10682" s="18" t="s">
        <v>1562</v>
      </c>
      <c r="C10682" s="18" t="s">
        <v>48437</v>
      </c>
      <c r="D10682" s="18" t="s">
        <v>172</v>
      </c>
      <c r="E10682" s="18" t="s">
        <v>48438</v>
      </c>
      <c r="F10682" s="18" t="str">
        <f>IFERROR(__XLUDF.DUMMYFUNCTION("PROPER(REGEXREPLACE(D594,""[^A-Za-z]+ "",""""))"),"Ap2R")</f>
        <v>Ap2R</v>
      </c>
      <c r="G10682" s="18" t="s">
        <v>48439</v>
      </c>
      <c r="H10682" s="18">
        <v>14</v>
      </c>
      <c r="I10682" s="18" t="s">
        <v>9239</v>
      </c>
      <c r="J10682" s="5" t="s">
        <v>48440</v>
      </c>
      <c r="K10682" s="5" t="s">
        <v>48441</v>
      </c>
      <c r="L10682" s="6"/>
      <c r="M10682" s="18" t="s">
        <v>29</v>
      </c>
      <c r="N10682" s="18" t="s">
        <v>48442</v>
      </c>
      <c r="O10682" s="18" t="s">
        <v>29</v>
      </c>
      <c r="P10682" s="18" t="s">
        <v>48443</v>
      </c>
      <c r="Q10682" s="6"/>
      <c r="R10682" s="6"/>
      <c r="S10682" s="6"/>
      <c r="T10682" s="6"/>
      <c r="U10682" s="6"/>
      <c r="V10682" s="8"/>
      <c r="W10682" s="8"/>
      <c r="X10682" s="8"/>
      <c r="Y10682" s="8"/>
    </row>
    <row r="10683" ht="14.25">
      <c r="B10683" s="18" t="s">
        <v>1596</v>
      </c>
      <c r="C10683" s="18" t="s">
        <v>48444</v>
      </c>
      <c r="D10683" s="18" t="s">
        <v>172</v>
      </c>
      <c r="E10683" s="18" t="s">
        <v>10296</v>
      </c>
      <c r="F10683" s="18" t="str">
        <f>IFERROR(__XLUDF.DUMMYFUNCTION("PROPER(REGEXREPLACE(D595,""[^A-Za-z]+ "",""""))"),"Axys Etudes Techniques Fluides")</f>
        <v xml:space="preserve">Axys Etudes Techniques Fluides</v>
      </c>
      <c r="G10683" s="18" t="s">
        <v>48445</v>
      </c>
      <c r="H10683" s="18">
        <v>31</v>
      </c>
      <c r="I10683" s="18" t="s">
        <v>9239</v>
      </c>
      <c r="J10683" s="5" t="s">
        <v>48446</v>
      </c>
      <c r="K10683" s="5" t="s">
        <v>48447</v>
      </c>
      <c r="L10683" s="18" t="s">
        <v>10299</v>
      </c>
      <c r="M10683" s="18" t="s">
        <v>29</v>
      </c>
      <c r="N10683" s="18" t="s">
        <v>48448</v>
      </c>
      <c r="O10683" s="18" t="s">
        <v>29</v>
      </c>
      <c r="P10683" s="18" t="s">
        <v>10301</v>
      </c>
      <c r="Q10683" s="6"/>
      <c r="R10683" s="6"/>
      <c r="S10683" s="6"/>
      <c r="T10683" s="6"/>
      <c r="U10683" s="6"/>
      <c r="V10683" s="8"/>
      <c r="W10683" s="8"/>
      <c r="X10683" s="8"/>
      <c r="Y10683" s="8"/>
    </row>
    <row r="10684" ht="14.25">
      <c r="B10684" s="18" t="s">
        <v>48449</v>
      </c>
      <c r="C10684" s="18" t="s">
        <v>10732</v>
      </c>
      <c r="D10684" s="18" t="s">
        <v>172</v>
      </c>
      <c r="E10684" s="18" t="s">
        <v>10734</v>
      </c>
      <c r="F10684" s="18" t="str">
        <f>IFERROR(__XLUDF.DUMMYFUNCTION("PROPER(REGEXREPLACE(D596,""[^A-Za-z]+ "",""""))"),"C2Tmi")</f>
        <v>C2Tmi</v>
      </c>
      <c r="G10684" s="18" t="s">
        <v>48450</v>
      </c>
      <c r="H10684" s="18">
        <v>13</v>
      </c>
      <c r="I10684" s="18" t="s">
        <v>9239</v>
      </c>
      <c r="J10684" s="5" t="s">
        <v>48451</v>
      </c>
      <c r="K10684" s="5" t="s">
        <v>48452</v>
      </c>
      <c r="L10684" s="18" t="s">
        <v>3898</v>
      </c>
      <c r="M10684" s="18" t="s">
        <v>29</v>
      </c>
      <c r="N10684" s="18" t="s">
        <v>48453</v>
      </c>
      <c r="O10684" s="18" t="s">
        <v>29</v>
      </c>
      <c r="P10684" s="6"/>
      <c r="Q10684" s="6"/>
      <c r="R10684" s="6"/>
      <c r="S10684" s="6"/>
      <c r="T10684" s="6"/>
      <c r="U10684" s="6"/>
      <c r="V10684" s="8"/>
      <c r="W10684" s="8"/>
      <c r="X10684" s="8"/>
      <c r="Y10684" s="8"/>
    </row>
    <row r="10685" ht="14.25">
      <c r="B10685" s="18" t="s">
        <v>8788</v>
      </c>
      <c r="C10685" s="18" t="s">
        <v>48454</v>
      </c>
      <c r="D10685" s="18" t="s">
        <v>172</v>
      </c>
      <c r="E10685" s="18" t="s">
        <v>48455</v>
      </c>
      <c r="F10685" s="18" t="str">
        <f>IFERROR(__XLUDF.DUMMYFUNCTION("PROPER(REGEXREPLACE(D597,""[^A-Za-z]+ "",""""))"),"Piscines Dugain")</f>
        <v xml:space="preserve">Piscines Dugain</v>
      </c>
      <c r="G10685" s="18" t="s">
        <v>48456</v>
      </c>
      <c r="H10685" s="18">
        <v>6</v>
      </c>
      <c r="I10685" s="18" t="s">
        <v>9239</v>
      </c>
      <c r="J10685" s="5" t="s">
        <v>48457</v>
      </c>
      <c r="K10685" s="5" t="s">
        <v>48458</v>
      </c>
      <c r="L10685" s="18" t="s">
        <v>11716</v>
      </c>
      <c r="M10685" s="18" t="s">
        <v>29</v>
      </c>
      <c r="N10685" s="18" t="s">
        <v>48459</v>
      </c>
      <c r="O10685" s="18" t="s">
        <v>29</v>
      </c>
      <c r="P10685" s="6"/>
      <c r="Q10685" s="6"/>
      <c r="R10685" s="6"/>
      <c r="S10685" s="6"/>
      <c r="T10685" s="6"/>
      <c r="U10685" s="6"/>
      <c r="V10685" s="8"/>
      <c r="W10685" s="8"/>
      <c r="X10685" s="8"/>
      <c r="Y10685" s="8"/>
    </row>
    <row r="10686" ht="14.25">
      <c r="B10686" s="18" t="s">
        <v>48460</v>
      </c>
      <c r="C10686" s="18" t="s">
        <v>48461</v>
      </c>
      <c r="D10686" s="18" t="s">
        <v>341</v>
      </c>
      <c r="E10686" s="18" t="s">
        <v>48462</v>
      </c>
      <c r="F10686" s="18" t="str">
        <f>IFERROR(__XLUDF.DUMMYFUNCTION("PROPER(REGEXREPLACE(D598,""[^A-Za-z]+ "",""""))"),"Medaj")</f>
        <v>Medaj</v>
      </c>
      <c r="G10686" s="18" t="s">
        <v>48463</v>
      </c>
      <c r="H10686" s="18">
        <v>7</v>
      </c>
      <c r="I10686" s="18" t="s">
        <v>9239</v>
      </c>
      <c r="J10686" s="5" t="s">
        <v>48464</v>
      </c>
      <c r="K10686" s="5" t="s">
        <v>48465</v>
      </c>
      <c r="L10686" s="18" t="s">
        <v>39</v>
      </c>
      <c r="M10686" s="18" t="s">
        <v>29</v>
      </c>
      <c r="N10686" s="18" t="s">
        <v>48466</v>
      </c>
      <c r="O10686" s="18" t="s">
        <v>29</v>
      </c>
      <c r="P10686" s="6"/>
      <c r="Q10686" s="6"/>
      <c r="R10686" s="6"/>
      <c r="S10686" s="6"/>
      <c r="T10686" s="6"/>
      <c r="U10686" s="6"/>
      <c r="V10686" s="8"/>
      <c r="W10686" s="8"/>
      <c r="X10686" s="8"/>
      <c r="Y10686" s="8"/>
    </row>
    <row r="10687" ht="14.25">
      <c r="B10687" s="18" t="s">
        <v>13010</v>
      </c>
      <c r="C10687" s="18" t="s">
        <v>11139</v>
      </c>
      <c r="D10687" s="18" t="s">
        <v>487</v>
      </c>
      <c r="E10687" s="18" t="s">
        <v>48467</v>
      </c>
      <c r="F10687" s="18" t="str">
        <f>IFERROR(__XLUDF.DUMMYFUNCTION("PROPER(REGEXREPLACE(D599,""[^A-Za-z]+ "",""""))"),"Tpboutté")</f>
        <v>Tpboutté</v>
      </c>
      <c r="G10687" s="18" t="s">
        <v>48468</v>
      </c>
      <c r="H10687" s="18">
        <v>23</v>
      </c>
      <c r="I10687" s="18" t="s">
        <v>9239</v>
      </c>
      <c r="J10687" s="5" t="s">
        <v>48469</v>
      </c>
      <c r="K10687" s="5" t="s">
        <v>48470</v>
      </c>
      <c r="L10687" s="18" t="s">
        <v>48471</v>
      </c>
      <c r="M10687" s="18" t="s">
        <v>29</v>
      </c>
      <c r="N10687" s="18" t="s">
        <v>48472</v>
      </c>
      <c r="O10687" s="18" t="s">
        <v>29</v>
      </c>
      <c r="P10687" s="18" t="s">
        <v>48473</v>
      </c>
      <c r="Q10687" s="6"/>
      <c r="R10687" s="6"/>
      <c r="S10687" s="6"/>
      <c r="T10687" s="6"/>
      <c r="U10687" s="6"/>
      <c r="V10687" s="8"/>
      <c r="W10687" s="8"/>
      <c r="X10687" s="8"/>
      <c r="Y10687" s="8"/>
    </row>
    <row r="10688" ht="14.25">
      <c r="B10688" s="18" t="s">
        <v>13355</v>
      </c>
      <c r="C10688" s="18" t="s">
        <v>30511</v>
      </c>
      <c r="D10688" s="18" t="s">
        <v>3982</v>
      </c>
      <c r="E10688" s="18" t="s">
        <v>48474</v>
      </c>
      <c r="F10688" s="18" t="str">
        <f>IFERROR(__XLUDF.DUMMYFUNCTION("PROPER(REGEXREPLACE(D600,""[^A-Za-z]+ "",""""))"),"Asb Wilbot")</f>
        <v xml:space="preserve">Asb Wilbot</v>
      </c>
      <c r="G10688" s="18" t="s">
        <v>48475</v>
      </c>
      <c r="H10688" s="18">
        <v>6</v>
      </c>
      <c r="I10688" s="18" t="s">
        <v>9239</v>
      </c>
      <c r="J10688" s="5" t="s">
        <v>48476</v>
      </c>
      <c r="K10688" s="5" t="s">
        <v>48477</v>
      </c>
      <c r="L10688" s="18" t="s">
        <v>39</v>
      </c>
      <c r="M10688" s="18" t="s">
        <v>29</v>
      </c>
      <c r="N10688" s="18" t="s">
        <v>42071</v>
      </c>
      <c r="O10688" s="18" t="s">
        <v>29</v>
      </c>
      <c r="P10688" s="18" t="s">
        <v>48478</v>
      </c>
      <c r="Q10688" s="6"/>
      <c r="R10688" s="6"/>
      <c r="S10688" s="6"/>
      <c r="T10688" s="6"/>
      <c r="U10688" s="6"/>
      <c r="V10688" s="8"/>
      <c r="W10688" s="8"/>
      <c r="X10688" s="8"/>
      <c r="Y10688" s="8"/>
    </row>
    <row r="10689" ht="14.25">
      <c r="B10689" s="18" t="s">
        <v>866</v>
      </c>
      <c r="C10689" s="18" t="s">
        <v>20</v>
      </c>
      <c r="D10689" s="18" t="s">
        <v>468</v>
      </c>
      <c r="E10689" s="18" t="s">
        <v>48479</v>
      </c>
      <c r="F10689" s="18" t="str">
        <f>IFERROR(__XLUDF.DUMMYFUNCTION("PROPER(REGEXREPLACE(D601,""[^A-Za-z]+ "",""""))"),"Pennequin")</f>
        <v>Pennequin</v>
      </c>
      <c r="G10689" s="18" t="s">
        <v>48480</v>
      </c>
      <c r="H10689" s="18">
        <v>34</v>
      </c>
      <c r="I10689" s="18" t="s">
        <v>9239</v>
      </c>
      <c r="J10689" s="5" t="s">
        <v>48481</v>
      </c>
      <c r="K10689" s="5" t="s">
        <v>48482</v>
      </c>
      <c r="L10689" s="6"/>
      <c r="M10689" s="18" t="s">
        <v>29</v>
      </c>
      <c r="N10689" s="18" t="s">
        <v>48483</v>
      </c>
      <c r="O10689" s="18" t="s">
        <v>29</v>
      </c>
      <c r="P10689" s="18" t="s">
        <v>48484</v>
      </c>
      <c r="Q10689" s="6"/>
      <c r="R10689" s="6"/>
      <c r="S10689" s="6"/>
      <c r="T10689" s="6"/>
      <c r="U10689" s="6"/>
      <c r="V10689" s="8"/>
      <c r="W10689" s="8"/>
      <c r="X10689" s="8"/>
      <c r="Y10689" s="8"/>
    </row>
    <row r="10690" ht="14.25">
      <c r="B10690" s="18" t="s">
        <v>48485</v>
      </c>
      <c r="C10690" s="18" t="s">
        <v>48486</v>
      </c>
      <c r="D10690" s="18" t="s">
        <v>172</v>
      </c>
      <c r="E10690" s="18" t="s">
        <v>48487</v>
      </c>
      <c r="F10690" s="18" t="str">
        <f>IFERROR(__XLUDF.DUMMYFUNCTION("PROPER(REGEXREPLACE(D602,""[^A-Za-z]+ "",""""))"),"Altiosa")</f>
        <v>Altiosa</v>
      </c>
      <c r="G10690" s="18" t="s">
        <v>48488</v>
      </c>
      <c r="H10690" s="6"/>
      <c r="I10690" s="6"/>
      <c r="J10690" s="5" t="s">
        <v>48489</v>
      </c>
      <c r="K10690" s="5" t="s">
        <v>48490</v>
      </c>
      <c r="L10690" s="6"/>
      <c r="M10690" s="18" t="s">
        <v>29</v>
      </c>
      <c r="N10690" s="18" t="s">
        <v>48491</v>
      </c>
      <c r="O10690" s="18" t="s">
        <v>29</v>
      </c>
      <c r="P10690" s="6"/>
      <c r="Q10690" s="6"/>
      <c r="R10690" s="6"/>
      <c r="S10690" s="6"/>
      <c r="T10690" s="6"/>
      <c r="U10690" s="6"/>
      <c r="V10690" s="8"/>
      <c r="W10690" s="8"/>
      <c r="X10690" s="8"/>
      <c r="Y10690" s="8"/>
    </row>
    <row r="10691" ht="14.25">
      <c r="B10691" s="18" t="s">
        <v>48492</v>
      </c>
      <c r="C10691" s="18" t="s">
        <v>3142</v>
      </c>
      <c r="D10691" s="18" t="s">
        <v>172</v>
      </c>
      <c r="E10691" s="18" t="s">
        <v>48493</v>
      </c>
      <c r="F10691" s="18" t="str">
        <f>IFERROR(__XLUDF.DUMMYFUNCTION("PROPER(REGEXREPLACE(D603,""[^A-Za-z]+ "",""""))"),"Pas Ascenseurs")</f>
        <v xml:space="preserve">Pas Ascenseurs</v>
      </c>
      <c r="G10691" s="18" t="s">
        <v>48494</v>
      </c>
      <c r="H10691" s="18">
        <v>3</v>
      </c>
      <c r="I10691" s="18" t="s">
        <v>9239</v>
      </c>
      <c r="J10691" s="5" t="s">
        <v>48495</v>
      </c>
      <c r="K10691" s="5" t="s">
        <v>48496</v>
      </c>
      <c r="L10691" s="18" t="s">
        <v>39</v>
      </c>
      <c r="M10691" s="18" t="s">
        <v>29</v>
      </c>
      <c r="N10691" s="18" t="s">
        <v>48497</v>
      </c>
      <c r="O10691" s="18" t="s">
        <v>29</v>
      </c>
      <c r="P10691" s="18" t="s">
        <v>48498</v>
      </c>
      <c r="Q10691" s="6"/>
      <c r="R10691" s="6"/>
      <c r="S10691" s="6"/>
      <c r="T10691" s="6"/>
      <c r="U10691" s="6"/>
      <c r="V10691" s="8"/>
      <c r="W10691" s="8"/>
      <c r="X10691" s="8"/>
      <c r="Y10691" s="8"/>
    </row>
    <row r="10692" ht="14.25">
      <c r="B10692" s="18" t="s">
        <v>548</v>
      </c>
      <c r="C10692" s="18" t="s">
        <v>485</v>
      </c>
      <c r="D10692" s="18" t="s">
        <v>48499</v>
      </c>
      <c r="E10692" s="18" t="s">
        <v>48500</v>
      </c>
      <c r="F10692" s="18" t="str">
        <f>IFERROR(__XLUDF.DUMMYFUNCTION("PROPER(REGEXREPLACE(D604,""[^A-Za-z]+ "",""""))"),"Solid.Paris")</f>
        <v>Solid.Paris</v>
      </c>
      <c r="G10692" s="18" t="s">
        <v>48501</v>
      </c>
      <c r="H10692" s="6"/>
      <c r="I10692" s="6"/>
      <c r="J10692" s="5" t="s">
        <v>48502</v>
      </c>
      <c r="K10692" s="5" t="s">
        <v>48503</v>
      </c>
      <c r="L10692" s="18" t="s">
        <v>39</v>
      </c>
      <c r="M10692" s="18" t="s">
        <v>29</v>
      </c>
      <c r="N10692" s="18" t="s">
        <v>48504</v>
      </c>
      <c r="O10692" s="18" t="s">
        <v>29</v>
      </c>
      <c r="P10692" s="6"/>
      <c r="Q10692" s="6"/>
      <c r="R10692" s="6"/>
      <c r="S10692" s="6"/>
      <c r="T10692" s="6"/>
      <c r="U10692" s="6"/>
      <c r="V10692" s="8"/>
      <c r="W10692" s="8"/>
      <c r="X10692" s="8"/>
      <c r="Y10692" s="8"/>
    </row>
    <row r="10693" ht="14.25">
      <c r="B10693" s="18" t="s">
        <v>1215</v>
      </c>
      <c r="C10693" s="18" t="s">
        <v>48505</v>
      </c>
      <c r="D10693" s="18" t="s">
        <v>172</v>
      </c>
      <c r="E10693" s="18" t="s">
        <v>48506</v>
      </c>
      <c r="F10693" s="18" t="str">
        <f>IFERROR(__XLUDF.DUMMYFUNCTION("PROPER(REGEXREPLACE(D605,""[^A-Za-z]+ "",""""))"),"Ozice")</f>
        <v>Ozice</v>
      </c>
      <c r="G10693" s="18" t="s">
        <v>48507</v>
      </c>
      <c r="H10693" s="18">
        <v>2</v>
      </c>
      <c r="I10693" s="18" t="s">
        <v>9239</v>
      </c>
      <c r="J10693" s="5" t="s">
        <v>48508</v>
      </c>
      <c r="K10693" s="5" t="s">
        <v>48509</v>
      </c>
      <c r="L10693" s="18" t="s">
        <v>39</v>
      </c>
      <c r="M10693" s="18" t="s">
        <v>29</v>
      </c>
      <c r="N10693" s="18" t="s">
        <v>48510</v>
      </c>
      <c r="O10693" s="18" t="s">
        <v>29</v>
      </c>
      <c r="P10693" s="6"/>
      <c r="Q10693" s="6"/>
      <c r="R10693" s="6"/>
      <c r="S10693" s="6"/>
      <c r="T10693" s="6"/>
      <c r="U10693" s="6"/>
      <c r="V10693" s="8"/>
      <c r="W10693" s="8"/>
      <c r="X10693" s="8"/>
      <c r="Y10693" s="8"/>
    </row>
    <row r="10694" ht="14.25">
      <c r="B10694" s="18" t="s">
        <v>866</v>
      </c>
      <c r="C10694" s="18" t="s">
        <v>48511</v>
      </c>
      <c r="D10694" s="18" t="s">
        <v>48512</v>
      </c>
      <c r="E10694" s="18" t="s">
        <v>48513</v>
      </c>
      <c r="F10694" s="18" t="str">
        <f>IFERROR(__XLUDF.DUMMYFUNCTION("PROPER(REGEXREPLACE(D606,""[^A-Za-z]+ "",""""))"),"Clotures Michel Willoquaux")</f>
        <v xml:space="preserve">Clotures Michel Willoquaux</v>
      </c>
      <c r="G10694" s="18" t="s">
        <v>48514</v>
      </c>
      <c r="H10694" s="18">
        <v>24</v>
      </c>
      <c r="I10694" s="18" t="s">
        <v>9239</v>
      </c>
      <c r="J10694" s="5" t="s">
        <v>48515</v>
      </c>
      <c r="K10694" s="5" t="s">
        <v>48516</v>
      </c>
      <c r="L10694" s="18" t="s">
        <v>846</v>
      </c>
      <c r="M10694" s="18" t="s">
        <v>29</v>
      </c>
      <c r="N10694" s="18" t="s">
        <v>48517</v>
      </c>
      <c r="O10694" s="18" t="s">
        <v>29</v>
      </c>
      <c r="P10694" s="18" t="s">
        <v>48518</v>
      </c>
      <c r="Q10694" s="6"/>
      <c r="R10694" s="6"/>
      <c r="S10694" s="6"/>
      <c r="T10694" s="6"/>
      <c r="U10694" s="6"/>
      <c r="V10694" s="8"/>
      <c r="W10694" s="8"/>
      <c r="X10694" s="8"/>
      <c r="Y10694" s="8"/>
    </row>
    <row r="10695" ht="14.25">
      <c r="B10695" s="18" t="s">
        <v>48519</v>
      </c>
      <c r="C10695" s="18" t="s">
        <v>48520</v>
      </c>
      <c r="D10695" s="18" t="s">
        <v>198</v>
      </c>
      <c r="E10695" s="18" t="s">
        <v>48521</v>
      </c>
      <c r="F10695" s="18" t="str">
        <f>IFERROR(__XLUDF.DUMMYFUNCTION("PROPER(REGEXREPLACE(D607,""[^A-Za-z]+ "",""""))"),"Capallest")</f>
        <v>Capallest</v>
      </c>
      <c r="G10695" s="18" t="s">
        <v>48522</v>
      </c>
      <c r="H10695" s="18">
        <v>4</v>
      </c>
      <c r="I10695" s="18" t="s">
        <v>9239</v>
      </c>
      <c r="J10695" s="5" t="s">
        <v>48523</v>
      </c>
      <c r="K10695" s="5" t="s">
        <v>48524</v>
      </c>
      <c r="L10695" s="18" t="s">
        <v>185</v>
      </c>
      <c r="M10695" s="18" t="s">
        <v>29</v>
      </c>
      <c r="N10695" s="18" t="s">
        <v>125</v>
      </c>
      <c r="O10695" s="18" t="s">
        <v>29</v>
      </c>
      <c r="P10695" s="18" t="s">
        <v>48525</v>
      </c>
      <c r="Q10695" s="6"/>
      <c r="R10695" s="6"/>
      <c r="S10695" s="6"/>
      <c r="T10695" s="6"/>
      <c r="U10695" s="6"/>
      <c r="V10695" s="8"/>
      <c r="W10695" s="8"/>
      <c r="X10695" s="8"/>
      <c r="Y10695" s="8"/>
    </row>
    <row r="10696" ht="14.25">
      <c r="B10696" s="18" t="s">
        <v>817</v>
      </c>
      <c r="C10696" s="18" t="s">
        <v>48526</v>
      </c>
      <c r="D10696" s="18" t="s">
        <v>48527</v>
      </c>
      <c r="E10696" s="18" t="s">
        <v>48528</v>
      </c>
      <c r="F10696" s="18" t="str">
        <f>IFERROR(__XLUDF.DUMMYFUNCTION("PROPER(REGEXREPLACE(D608,""[^A-Za-z]+ "",""""))"),"Darrieumerlou Charpente")</f>
        <v xml:space="preserve">Darrieumerlou Charpente</v>
      </c>
      <c r="G10696" s="18" t="s">
        <v>48529</v>
      </c>
      <c r="H10696" s="18">
        <v>15</v>
      </c>
      <c r="I10696" s="18" t="s">
        <v>9239</v>
      </c>
      <c r="J10696" s="5" t="s">
        <v>48530</v>
      </c>
      <c r="K10696" s="5" t="s">
        <v>48531</v>
      </c>
      <c r="L10696" s="18" t="s">
        <v>48532</v>
      </c>
      <c r="M10696" s="18" t="s">
        <v>29</v>
      </c>
      <c r="N10696" s="18" t="s">
        <v>48533</v>
      </c>
      <c r="O10696" s="18" t="s">
        <v>29</v>
      </c>
      <c r="P10696" s="6"/>
      <c r="Q10696" s="6"/>
      <c r="R10696" s="6"/>
      <c r="S10696" s="6"/>
      <c r="T10696" s="6"/>
      <c r="U10696" s="6"/>
      <c r="V10696" s="8"/>
      <c r="W10696" s="8"/>
      <c r="X10696" s="8"/>
      <c r="Y10696" s="8"/>
    </row>
    <row r="10697" ht="14.25">
      <c r="B10697" s="18" t="s">
        <v>170</v>
      </c>
      <c r="C10697" s="18" t="s">
        <v>48534</v>
      </c>
      <c r="D10697" s="18" t="s">
        <v>48535</v>
      </c>
      <c r="E10697" s="18" t="s">
        <v>48536</v>
      </c>
      <c r="F10697" s="18" t="str">
        <f>IFERROR(__XLUDF.DUMMYFUNCTION("PROPER(REGEXREPLACE(D609,""[^A-Za-z]+ "",""""))"),"Groupe Ascia")</f>
        <v xml:space="preserve">Groupe Ascia</v>
      </c>
      <c r="G10697" s="18" t="s">
        <v>48537</v>
      </c>
      <c r="H10697" s="18">
        <v>41</v>
      </c>
      <c r="I10697" s="18" t="s">
        <v>9239</v>
      </c>
      <c r="J10697" s="5" t="s">
        <v>48538</v>
      </c>
      <c r="K10697" s="5" t="s">
        <v>48539</v>
      </c>
      <c r="L10697" s="18" t="s">
        <v>7361</v>
      </c>
      <c r="M10697" s="18" t="s">
        <v>29</v>
      </c>
      <c r="N10697" s="18" t="s">
        <v>48540</v>
      </c>
      <c r="O10697" s="18" t="s">
        <v>29</v>
      </c>
      <c r="P10697" s="18" t="s">
        <v>48541</v>
      </c>
      <c r="Q10697" s="6"/>
      <c r="R10697" s="6"/>
      <c r="S10697" s="6"/>
      <c r="T10697" s="6"/>
      <c r="U10697" s="6"/>
      <c r="V10697" s="8"/>
      <c r="W10697" s="8"/>
      <c r="X10697" s="8"/>
      <c r="Y10697" s="8"/>
    </row>
    <row r="10698" ht="14.25">
      <c r="B10698" s="18" t="s">
        <v>28249</v>
      </c>
      <c r="C10698" s="18" t="s">
        <v>48542</v>
      </c>
      <c r="D10698" s="18" t="s">
        <v>112</v>
      </c>
      <c r="E10698" s="18" t="s">
        <v>48543</v>
      </c>
      <c r="F10698" s="18" t="str">
        <f>IFERROR(__XLUDF.DUMMYFUNCTION("PROPER(REGEXREPLACE(D610,""[^A-Za-z]+ "",""""))"),"Bief-Cariçaie")</f>
        <v>Bief-Cariçaie</v>
      </c>
      <c r="G10698" s="18" t="s">
        <v>48544</v>
      </c>
      <c r="H10698" s="18">
        <v>15</v>
      </c>
      <c r="I10698" s="18" t="s">
        <v>9239</v>
      </c>
      <c r="J10698" s="5" t="s">
        <v>48545</v>
      </c>
      <c r="K10698" s="5" t="s">
        <v>48546</v>
      </c>
      <c r="L10698" s="18" t="s">
        <v>39</v>
      </c>
      <c r="M10698" s="18" t="s">
        <v>29</v>
      </c>
      <c r="N10698" s="18" t="s">
        <v>48547</v>
      </c>
      <c r="O10698" s="18" t="s">
        <v>29</v>
      </c>
      <c r="P10698" s="18" t="s">
        <v>48548</v>
      </c>
      <c r="Q10698" s="6"/>
      <c r="R10698" s="6"/>
      <c r="S10698" s="6"/>
      <c r="T10698" s="6"/>
      <c r="U10698" s="6"/>
      <c r="V10698" s="8"/>
      <c r="W10698" s="8"/>
      <c r="X10698" s="8"/>
      <c r="Y10698" s="8"/>
    </row>
    <row r="10699" ht="14.25">
      <c r="B10699" s="18" t="s">
        <v>14778</v>
      </c>
      <c r="C10699" s="18" t="s">
        <v>48549</v>
      </c>
      <c r="D10699" s="18" t="s">
        <v>1130</v>
      </c>
      <c r="E10699" s="18" t="s">
        <v>48550</v>
      </c>
      <c r="F10699" s="18" t="str">
        <f>IFERROR(__XLUDF.DUMMYFUNCTION("PROPER(REGEXREPLACE(D611,""[^A-Za-z]+ "",""""))"),"Cireme Échafaudage")</f>
        <v xml:space="preserve">Cireme Échafaudage</v>
      </c>
      <c r="G10699" s="18" t="s">
        <v>48551</v>
      </c>
      <c r="H10699" s="18">
        <v>45</v>
      </c>
      <c r="I10699" s="18" t="s">
        <v>9239</v>
      </c>
      <c r="J10699" s="5" t="s">
        <v>48552</v>
      </c>
      <c r="K10699" s="5" t="s">
        <v>48553</v>
      </c>
      <c r="L10699" s="18" t="s">
        <v>185</v>
      </c>
      <c r="M10699" s="18" t="s">
        <v>29</v>
      </c>
      <c r="N10699" s="18" t="s">
        <v>27031</v>
      </c>
      <c r="O10699" s="18" t="s">
        <v>29</v>
      </c>
      <c r="P10699" s="18" t="s">
        <v>48554</v>
      </c>
      <c r="Q10699" s="6"/>
      <c r="R10699" s="6"/>
      <c r="S10699" s="6"/>
      <c r="T10699" s="6"/>
      <c r="U10699" s="6"/>
      <c r="V10699" s="8"/>
      <c r="W10699" s="8"/>
      <c r="X10699" s="8"/>
      <c r="Y10699" s="8"/>
    </row>
    <row r="10700" ht="14.25">
      <c r="B10700" s="18" t="s">
        <v>48555</v>
      </c>
      <c r="C10700" s="18" t="s">
        <v>48556</v>
      </c>
      <c r="D10700" s="18" t="s">
        <v>1130</v>
      </c>
      <c r="E10700" s="18" t="s">
        <v>45591</v>
      </c>
      <c r="F10700" s="18" t="str">
        <f>IFERROR(__XLUDF.DUMMYFUNCTION("PROPER(REGEXREPLACE(D612,""[^A-Za-z]+ "",""""))"),"Isole Plus Énergies")</f>
        <v xml:space="preserve">Isole Plus Énergies</v>
      </c>
      <c r="G10700" s="18" t="s">
        <v>48557</v>
      </c>
      <c r="H10700" s="18">
        <v>18</v>
      </c>
      <c r="I10700" s="18" t="s">
        <v>9239</v>
      </c>
      <c r="J10700" s="5" t="s">
        <v>48558</v>
      </c>
      <c r="K10700" s="5" t="s">
        <v>45594</v>
      </c>
      <c r="L10700" s="18" t="s">
        <v>149</v>
      </c>
      <c r="M10700" s="18" t="s">
        <v>29</v>
      </c>
      <c r="N10700" s="18" t="s">
        <v>45595</v>
      </c>
      <c r="O10700" s="18" t="s">
        <v>29</v>
      </c>
      <c r="P10700" s="18" t="s">
        <v>45596</v>
      </c>
      <c r="Q10700" s="6"/>
      <c r="R10700" s="6"/>
      <c r="S10700" s="6"/>
      <c r="T10700" s="6"/>
      <c r="U10700" s="6"/>
      <c r="V10700" s="8"/>
      <c r="W10700" s="8"/>
      <c r="X10700" s="8"/>
      <c r="Y10700" s="8"/>
    </row>
    <row r="10701" ht="14.25">
      <c r="B10701" s="18" t="s">
        <v>6634</v>
      </c>
      <c r="C10701" s="18" t="s">
        <v>48559</v>
      </c>
      <c r="D10701" s="18" t="s">
        <v>1130</v>
      </c>
      <c r="E10701" s="18" t="s">
        <v>48560</v>
      </c>
      <c r="F10701" s="18" t="str">
        <f>IFERROR(__XLUDF.DUMMYFUNCTION("PROPER(REGEXREPLACE(D613,""[^A-Za-z]+ "",""""))"),"Lbc Sas")</f>
        <v xml:space="preserve">Lbc Sas</v>
      </c>
      <c r="G10701" s="18" t="s">
        <v>48561</v>
      </c>
      <c r="H10701" s="18">
        <v>28</v>
      </c>
      <c r="I10701" s="18" t="s">
        <v>9239</v>
      </c>
      <c r="J10701" s="5" t="s">
        <v>48562</v>
      </c>
      <c r="K10701" s="5" t="s">
        <v>48563</v>
      </c>
      <c r="L10701" s="18" t="s">
        <v>1419</v>
      </c>
      <c r="M10701" s="18" t="s">
        <v>29</v>
      </c>
      <c r="N10701" s="18" t="s">
        <v>48564</v>
      </c>
      <c r="O10701" s="18" t="s">
        <v>29</v>
      </c>
      <c r="P10701" s="6"/>
      <c r="Q10701" s="6"/>
      <c r="R10701" s="6"/>
      <c r="S10701" s="6"/>
      <c r="T10701" s="6"/>
      <c r="U10701" s="6"/>
      <c r="V10701" s="8"/>
      <c r="W10701" s="8"/>
      <c r="X10701" s="8"/>
      <c r="Y10701" s="8"/>
    </row>
    <row r="10702" ht="14.25">
      <c r="B10702" s="18" t="s">
        <v>206</v>
      </c>
      <c r="C10702" s="18" t="s">
        <v>48565</v>
      </c>
      <c r="D10702" s="18" t="s">
        <v>4703</v>
      </c>
      <c r="E10702" s="18" t="s">
        <v>48566</v>
      </c>
      <c r="F10702" s="18" t="str">
        <f>IFERROR(__XLUDF.DUMMYFUNCTION("PROPER(REGEXREPLACE(D614,""[^A-Za-z]+ "",""""))"),"Adeimmo")</f>
        <v>Adeimmo</v>
      </c>
      <c r="G10702" s="18" t="s">
        <v>48567</v>
      </c>
      <c r="H10702" s="18">
        <v>5</v>
      </c>
      <c r="I10702" s="18" t="s">
        <v>9239</v>
      </c>
      <c r="J10702" s="5" t="s">
        <v>48568</v>
      </c>
      <c r="K10702" s="5" t="s">
        <v>48569</v>
      </c>
      <c r="L10702" s="18" t="s">
        <v>243</v>
      </c>
      <c r="M10702" s="18" t="s">
        <v>29</v>
      </c>
      <c r="N10702" s="18" t="s">
        <v>929</v>
      </c>
      <c r="O10702" s="18" t="s">
        <v>29</v>
      </c>
      <c r="P10702" s="18" t="s">
        <v>48570</v>
      </c>
      <c r="Q10702" s="6"/>
      <c r="R10702" s="6"/>
      <c r="S10702" s="6"/>
      <c r="T10702" s="6"/>
      <c r="U10702" s="6"/>
      <c r="V10702" s="8"/>
      <c r="W10702" s="8"/>
      <c r="X10702" s="8"/>
      <c r="Y10702" s="8"/>
    </row>
    <row r="10703" ht="14.25">
      <c r="B10703" s="18" t="s">
        <v>18559</v>
      </c>
      <c r="C10703" s="18" t="s">
        <v>48571</v>
      </c>
      <c r="D10703" s="18" t="s">
        <v>198</v>
      </c>
      <c r="E10703" s="18" t="s">
        <v>12660</v>
      </c>
      <c r="F10703" s="18" t="str">
        <f>IFERROR(__XLUDF.DUMMYFUNCTION("PROPER(REGEXREPLACE(D615,""[^A-Za-z]+ "",""""))"),"Eurisol Constructions Frigorifiques")</f>
        <v xml:space="preserve">Eurisol Constructions Frigorifiques</v>
      </c>
      <c r="G10703" s="18" t="s">
        <v>48572</v>
      </c>
      <c r="H10703" s="18">
        <v>13</v>
      </c>
      <c r="I10703" s="18" t="s">
        <v>9239</v>
      </c>
      <c r="J10703" s="5" t="s">
        <v>48573</v>
      </c>
      <c r="K10703" s="5" t="s">
        <v>48574</v>
      </c>
      <c r="L10703" s="18" t="s">
        <v>3666</v>
      </c>
      <c r="M10703" s="18" t="s">
        <v>29</v>
      </c>
      <c r="N10703" s="18" t="s">
        <v>48575</v>
      </c>
      <c r="O10703" s="18" t="s">
        <v>29</v>
      </c>
      <c r="P10703" s="6"/>
      <c r="Q10703" s="6"/>
      <c r="R10703" s="6"/>
      <c r="S10703" s="6"/>
      <c r="T10703" s="6"/>
      <c r="U10703" s="6"/>
      <c r="V10703" s="8"/>
      <c r="W10703" s="8"/>
      <c r="X10703" s="8"/>
      <c r="Y10703" s="8"/>
    </row>
    <row r="10704" ht="14.25">
      <c r="B10704" s="18" t="s">
        <v>14276</v>
      </c>
      <c r="C10704" s="18" t="s">
        <v>11711</v>
      </c>
      <c r="D10704" s="18" t="s">
        <v>1130</v>
      </c>
      <c r="E10704" s="18" t="s">
        <v>48576</v>
      </c>
      <c r="F10704" s="18" t="str">
        <f>IFERROR(__XLUDF.DUMMYFUNCTION("PROPER(REGEXREPLACE(D616,""[^A-Za-z]+ "",""""))"),"Real Marbre")</f>
        <v xml:space="preserve">Real Marbre</v>
      </c>
      <c r="G10704" s="18" t="s">
        <v>48577</v>
      </c>
      <c r="H10704" s="18">
        <v>16</v>
      </c>
      <c r="I10704" s="18" t="s">
        <v>9239</v>
      </c>
      <c r="J10704" s="5" t="s">
        <v>48578</v>
      </c>
      <c r="K10704" s="5" t="s">
        <v>48579</v>
      </c>
      <c r="L10704" s="6"/>
      <c r="M10704" s="18" t="s">
        <v>29</v>
      </c>
      <c r="N10704" s="18" t="s">
        <v>48580</v>
      </c>
      <c r="O10704" s="18" t="s">
        <v>29</v>
      </c>
      <c r="P10704" s="6"/>
      <c r="Q10704" s="6"/>
      <c r="R10704" s="6"/>
      <c r="S10704" s="6"/>
      <c r="T10704" s="6"/>
      <c r="U10704" s="6"/>
      <c r="V10704" s="8"/>
      <c r="W10704" s="8"/>
      <c r="X10704" s="8"/>
      <c r="Y10704" s="8"/>
    </row>
    <row r="10705" ht="14.25">
      <c r="B10705" s="18" t="s">
        <v>817</v>
      </c>
      <c r="C10705" s="18" t="s">
        <v>48581</v>
      </c>
      <c r="D10705" s="18" t="s">
        <v>48582</v>
      </c>
      <c r="E10705" s="18" t="s">
        <v>48583</v>
      </c>
      <c r="F10705" s="18" t="str">
        <f>IFERROR(__XLUDF.DUMMYFUNCTION("PROPER(REGEXREPLACE(D617,""[^A-Za-z]+ "",""""))"),"2Tce Toitures-Terrasses Conseils Etanchéité")</f>
        <v xml:space="preserve">2Tce Toitures-Terrasses Conseils Etanchéité</v>
      </c>
      <c r="G10705" s="18" t="s">
        <v>48584</v>
      </c>
      <c r="H10705" s="18">
        <v>3</v>
      </c>
      <c r="I10705" s="18" t="s">
        <v>9239</v>
      </c>
      <c r="J10705" s="5" t="s">
        <v>48585</v>
      </c>
      <c r="K10705" s="5" t="s">
        <v>48586</v>
      </c>
      <c r="L10705" s="18" t="s">
        <v>1711</v>
      </c>
      <c r="M10705" s="18" t="s">
        <v>29</v>
      </c>
      <c r="N10705" s="18" t="s">
        <v>48587</v>
      </c>
      <c r="O10705" s="18" t="s">
        <v>29</v>
      </c>
      <c r="P10705" s="6"/>
      <c r="Q10705" s="6"/>
      <c r="R10705" s="6"/>
      <c r="S10705" s="6"/>
      <c r="T10705" s="6"/>
      <c r="U10705" s="6"/>
      <c r="V10705" s="8"/>
      <c r="W10705" s="8"/>
      <c r="X10705" s="8"/>
      <c r="Y10705" s="8"/>
    </row>
    <row r="10706" ht="14.25">
      <c r="B10706" s="18" t="s">
        <v>9210</v>
      </c>
      <c r="C10706" s="18" t="s">
        <v>48588</v>
      </c>
      <c r="D10706" s="18" t="s">
        <v>172</v>
      </c>
      <c r="E10706" s="18" t="s">
        <v>48589</v>
      </c>
      <c r="F10706" s="18" t="str">
        <f>IFERROR(__XLUDF.DUMMYFUNCTION("PROPER(REGEXREPLACE(D618,""[^A-Za-z]+ "",""""))"),"Escaliers Rem")</f>
        <v xml:space="preserve">Escaliers Rem</v>
      </c>
      <c r="G10706" s="18" t="s">
        <v>48590</v>
      </c>
      <c r="H10706" s="18">
        <v>10</v>
      </c>
      <c r="I10706" s="18" t="s">
        <v>9239</v>
      </c>
      <c r="J10706" s="5" t="s">
        <v>48591</v>
      </c>
      <c r="K10706" s="5" t="s">
        <v>48592</v>
      </c>
      <c r="L10706" s="18" t="s">
        <v>48593</v>
      </c>
      <c r="M10706" s="18" t="s">
        <v>29</v>
      </c>
      <c r="N10706" s="18" t="s">
        <v>48594</v>
      </c>
      <c r="O10706" s="18" t="s">
        <v>29</v>
      </c>
      <c r="P10706" s="18" t="s">
        <v>48595</v>
      </c>
      <c r="Q10706" s="6"/>
      <c r="R10706" s="6"/>
      <c r="S10706" s="6"/>
      <c r="T10706" s="6"/>
      <c r="U10706" s="6"/>
      <c r="V10706" s="8"/>
      <c r="W10706" s="8"/>
      <c r="X10706" s="8"/>
      <c r="Y10706" s="8"/>
    </row>
    <row r="10707" ht="14.25">
      <c r="B10707" s="18" t="s">
        <v>808</v>
      </c>
      <c r="C10707" s="18" t="s">
        <v>48596</v>
      </c>
      <c r="D10707" s="18" t="s">
        <v>112</v>
      </c>
      <c r="E10707" s="18" t="s">
        <v>48597</v>
      </c>
      <c r="F10707" s="18" t="str">
        <f>IFERROR(__XLUDF.DUMMYFUNCTION("PROPER(REGEXREPLACE(D619,""[^A-Za-z]+ "",""""))"),"Neovia ""La Nouvelle Voie""")</f>
        <v xml:space="preserve">Neovia "La Nouvelle Voie"</v>
      </c>
      <c r="G10707" s="18" t="s">
        <v>48598</v>
      </c>
      <c r="H10707" s="18">
        <v>51</v>
      </c>
      <c r="I10707" s="18" t="s">
        <v>9239</v>
      </c>
      <c r="J10707" s="5" t="s">
        <v>48599</v>
      </c>
      <c r="K10707" s="5" t="s">
        <v>48600</v>
      </c>
      <c r="L10707" s="18" t="s">
        <v>48601</v>
      </c>
      <c r="M10707" s="18" t="s">
        <v>29</v>
      </c>
      <c r="N10707" s="18" t="s">
        <v>48602</v>
      </c>
      <c r="O10707" s="18" t="s">
        <v>29</v>
      </c>
      <c r="P10707" s="18" t="s">
        <v>48603</v>
      </c>
      <c r="Q10707" s="6"/>
      <c r="R10707" s="6"/>
      <c r="S10707" s="6"/>
      <c r="T10707" s="6"/>
      <c r="U10707" s="6"/>
      <c r="V10707" s="8"/>
      <c r="W10707" s="8"/>
      <c r="X10707" s="8"/>
      <c r="Y10707" s="8"/>
    </row>
    <row r="10708" ht="14.25">
      <c r="B10708" s="18" t="s">
        <v>76</v>
      </c>
      <c r="C10708" s="18" t="s">
        <v>48604</v>
      </c>
      <c r="D10708" s="18" t="s">
        <v>112</v>
      </c>
      <c r="E10708" s="18" t="s">
        <v>48605</v>
      </c>
      <c r="F10708" s="18" t="str">
        <f>IFERROR(__XLUDF.DUMMYFUNCTION("PROPER(REGEXREPLACE(D620,""[^A-Za-z]+ "",""""))"),"Ecole De La Construction Des Infrastructures Et Des Réseaux")</f>
        <v xml:space="preserve">Ecole De La Construction Des Infrastructures Et Des Réseaux</v>
      </c>
      <c r="G10708" s="18" t="s">
        <v>48606</v>
      </c>
      <c r="H10708" s="18">
        <v>32</v>
      </c>
      <c r="I10708" s="18" t="s">
        <v>9239</v>
      </c>
      <c r="J10708" s="5" t="s">
        <v>48607</v>
      </c>
      <c r="K10708" s="5" t="s">
        <v>48608</v>
      </c>
      <c r="L10708" s="18" t="s">
        <v>6863</v>
      </c>
      <c r="M10708" s="18" t="s">
        <v>29</v>
      </c>
      <c r="N10708" s="18" t="s">
        <v>48609</v>
      </c>
      <c r="O10708" s="18" t="s">
        <v>29</v>
      </c>
      <c r="P10708" s="6"/>
      <c r="Q10708" s="6"/>
      <c r="R10708" s="6"/>
      <c r="S10708" s="6"/>
      <c r="T10708" s="6"/>
      <c r="U10708" s="6"/>
      <c r="V10708" s="8"/>
      <c r="W10708" s="8"/>
      <c r="X10708" s="8"/>
      <c r="Y10708" s="8"/>
    </row>
    <row r="10709" ht="14.25">
      <c r="B10709" s="18" t="s">
        <v>330</v>
      </c>
      <c r="C10709" s="18" t="s">
        <v>48610</v>
      </c>
      <c r="D10709" s="18" t="s">
        <v>112</v>
      </c>
      <c r="E10709" s="18" t="s">
        <v>48611</v>
      </c>
      <c r="F10709" s="18" t="str">
        <f>IFERROR(__XLUDF.DUMMYFUNCTION("PROPER(REGEXREPLACE(D621,""[^A-Za-z]+ "",""""))"),"Guigues")</f>
        <v>Guigues</v>
      </c>
      <c r="G10709" s="18" t="s">
        <v>48612</v>
      </c>
      <c r="H10709" s="18">
        <v>28</v>
      </c>
      <c r="I10709" s="18" t="s">
        <v>9239</v>
      </c>
      <c r="J10709" s="5" t="s">
        <v>48613</v>
      </c>
      <c r="K10709" s="5" t="s">
        <v>48614</v>
      </c>
      <c r="L10709" s="18" t="s">
        <v>48615</v>
      </c>
      <c r="M10709" s="18" t="s">
        <v>29</v>
      </c>
      <c r="N10709" s="18" t="s">
        <v>5498</v>
      </c>
      <c r="O10709" s="18" t="s">
        <v>29</v>
      </c>
      <c r="P10709" s="18" t="s">
        <v>48616</v>
      </c>
      <c r="Q10709" s="6"/>
      <c r="R10709" s="6"/>
      <c r="S10709" s="6"/>
      <c r="T10709" s="6"/>
      <c r="U10709" s="6"/>
      <c r="V10709" s="8"/>
      <c r="W10709" s="8"/>
      <c r="X10709" s="8"/>
      <c r="Y10709" s="8"/>
    </row>
    <row r="10710" ht="14.25">
      <c r="B10710" s="18" t="s">
        <v>604</v>
      </c>
      <c r="C10710" s="18" t="s">
        <v>27929</v>
      </c>
      <c r="D10710" s="18" t="s">
        <v>112</v>
      </c>
      <c r="E10710" s="18" t="s">
        <v>45606</v>
      </c>
      <c r="F10710" s="18" t="str">
        <f>IFERROR(__XLUDF.DUMMYFUNCTION("PROPER(REGEXREPLACE(D622,""[^A-Za-z]+ "",""""))"),"Cyprium")</f>
        <v>Cyprium</v>
      </c>
      <c r="G10710" s="18" t="s">
        <v>48617</v>
      </c>
      <c r="H10710" s="18">
        <v>21</v>
      </c>
      <c r="I10710" s="18" t="s">
        <v>9239</v>
      </c>
      <c r="J10710" s="5" t="s">
        <v>48618</v>
      </c>
      <c r="K10710" s="5" t="s">
        <v>45609</v>
      </c>
      <c r="L10710" s="18" t="s">
        <v>185</v>
      </c>
      <c r="M10710" s="18" t="s">
        <v>29</v>
      </c>
      <c r="N10710" s="18" t="s">
        <v>45610</v>
      </c>
      <c r="O10710" s="18" t="s">
        <v>29</v>
      </c>
      <c r="P10710" s="18" t="s">
        <v>45611</v>
      </c>
      <c r="Q10710" s="6"/>
      <c r="R10710" s="6"/>
      <c r="S10710" s="6"/>
      <c r="T10710" s="6"/>
      <c r="U10710" s="6"/>
      <c r="V10710" s="8"/>
      <c r="W10710" s="8"/>
      <c r="X10710" s="8"/>
      <c r="Y10710" s="8"/>
    </row>
    <row r="10711" ht="14.25">
      <c r="B10711" s="18" t="s">
        <v>2932</v>
      </c>
      <c r="C10711" s="18" t="s">
        <v>48619</v>
      </c>
      <c r="D10711" s="18" t="s">
        <v>5588</v>
      </c>
      <c r="E10711" s="18" t="s">
        <v>47915</v>
      </c>
      <c r="F10711" s="18" t="str">
        <f>IFERROR(__XLUDF.DUMMYFUNCTION("PROPER(REGEXREPLACE(D623,""[^A-Za-z]+ "",""""))"),"Lazard Group Real Estate")</f>
        <v xml:space="preserve">Lazard Group Real Estate</v>
      </c>
      <c r="G10711" s="18" t="s">
        <v>48620</v>
      </c>
      <c r="H10711" s="18">
        <v>20</v>
      </c>
      <c r="I10711" s="18" t="s">
        <v>4293</v>
      </c>
      <c r="J10711" s="5" t="s">
        <v>48621</v>
      </c>
      <c r="K10711" s="5" t="s">
        <v>47918</v>
      </c>
      <c r="L10711" s="18" t="s">
        <v>39</v>
      </c>
      <c r="M10711" s="18" t="s">
        <v>29</v>
      </c>
      <c r="N10711" s="18" t="s">
        <v>47919</v>
      </c>
      <c r="O10711" s="18" t="s">
        <v>29</v>
      </c>
      <c r="P10711" s="18" t="s">
        <v>47920</v>
      </c>
      <c r="Q10711" s="6"/>
      <c r="R10711" s="6"/>
      <c r="S10711" s="6"/>
      <c r="T10711" s="6"/>
      <c r="U10711" s="6"/>
      <c r="V10711" s="8"/>
      <c r="W10711" s="8"/>
      <c r="X10711" s="8"/>
      <c r="Y10711" s="8"/>
    </row>
    <row r="10712" ht="14.25">
      <c r="B10712" s="18" t="s">
        <v>3019</v>
      </c>
      <c r="C10712" s="18" t="s">
        <v>48622</v>
      </c>
      <c r="D10712" s="18" t="s">
        <v>487</v>
      </c>
      <c r="E10712" s="18" t="s">
        <v>48623</v>
      </c>
      <c r="F10712" s="18" t="str">
        <f>IFERROR(__XLUDF.DUMMYFUNCTION("PROPER(REGEXREPLACE(D624,""[^A-Za-z]+ "",""""))"),"Jousselin Construction")</f>
        <v xml:space="preserve">Jousselin Construction</v>
      </c>
      <c r="G10712" s="18" t="s">
        <v>48624</v>
      </c>
      <c r="H10712" s="18">
        <v>29</v>
      </c>
      <c r="I10712" s="18" t="s">
        <v>9239</v>
      </c>
      <c r="J10712" s="5" t="s">
        <v>48625</v>
      </c>
      <c r="K10712" s="5" t="s">
        <v>48626</v>
      </c>
      <c r="L10712" s="18" t="s">
        <v>48627</v>
      </c>
      <c r="M10712" s="18" t="s">
        <v>29</v>
      </c>
      <c r="N10712" s="18" t="s">
        <v>48628</v>
      </c>
      <c r="O10712" s="18" t="s">
        <v>29</v>
      </c>
      <c r="P10712" s="18" t="s">
        <v>48629</v>
      </c>
      <c r="Q10712" s="6"/>
      <c r="R10712" s="6"/>
      <c r="S10712" s="6"/>
      <c r="T10712" s="6"/>
      <c r="U10712" s="6"/>
      <c r="V10712" s="8"/>
      <c r="W10712" s="8"/>
      <c r="X10712" s="8"/>
      <c r="Y10712" s="8"/>
    </row>
    <row r="10713" ht="14.25">
      <c r="B10713" s="18" t="s">
        <v>330</v>
      </c>
      <c r="C10713" s="18" t="s">
        <v>48630</v>
      </c>
      <c r="D10713" s="18" t="s">
        <v>112</v>
      </c>
      <c r="E10713" s="18" t="s">
        <v>48631</v>
      </c>
      <c r="F10713" s="18" t="str">
        <f>IFERROR(__XLUDF.DUMMYFUNCTION("PROPER(REGEXREPLACE(D625,""[^A-Za-z]+ "",""""))"),"Hexa Ingénierie")</f>
        <v xml:space="preserve">Hexa Ingénierie</v>
      </c>
      <c r="G10713" s="18" t="s">
        <v>48632</v>
      </c>
      <c r="H10713" s="18">
        <v>37</v>
      </c>
      <c r="I10713" s="18" t="s">
        <v>9239</v>
      </c>
      <c r="J10713" s="5" t="s">
        <v>48633</v>
      </c>
      <c r="K10713" s="5" t="s">
        <v>48634</v>
      </c>
      <c r="L10713" s="18" t="s">
        <v>9852</v>
      </c>
      <c r="M10713" s="18" t="s">
        <v>29</v>
      </c>
      <c r="N10713" s="18" t="s">
        <v>48635</v>
      </c>
      <c r="O10713" s="18" t="s">
        <v>29</v>
      </c>
      <c r="P10713" s="18" t="s">
        <v>48636</v>
      </c>
      <c r="Q10713" s="6"/>
      <c r="R10713" s="6"/>
      <c r="S10713" s="6"/>
      <c r="T10713" s="6"/>
      <c r="U10713" s="6"/>
      <c r="V10713" s="8"/>
      <c r="W10713" s="8"/>
      <c r="X10713" s="8"/>
      <c r="Y10713" s="8"/>
    </row>
    <row r="10714" ht="14.25">
      <c r="B10714" s="18" t="s">
        <v>485</v>
      </c>
      <c r="C10714" s="18" t="s">
        <v>47517</v>
      </c>
      <c r="D10714" s="18" t="s">
        <v>48637</v>
      </c>
      <c r="E10714" s="18" t="s">
        <v>47518</v>
      </c>
      <c r="F10714" s="18" t="str">
        <f>IFERROR(__XLUDF.DUMMYFUNCTION("PROPER(REGEXREPLACE(D626,""[^A-Za-z]+ "",""""))"),"Spada Construction")</f>
        <v xml:space="preserve">Spada Construction</v>
      </c>
      <c r="G10714" s="18" t="s">
        <v>48638</v>
      </c>
      <c r="H10714" s="18">
        <v>26</v>
      </c>
      <c r="I10714" s="18" t="s">
        <v>9239</v>
      </c>
      <c r="J10714" s="5" t="s">
        <v>48639</v>
      </c>
      <c r="K10714" s="5" t="s">
        <v>47521</v>
      </c>
      <c r="L10714" s="18" t="s">
        <v>49</v>
      </c>
      <c r="M10714" s="18" t="s">
        <v>29</v>
      </c>
      <c r="N10714" s="18" t="s">
        <v>47522</v>
      </c>
      <c r="O10714" s="18" t="s">
        <v>29</v>
      </c>
      <c r="P10714" s="18" t="s">
        <v>47523</v>
      </c>
      <c r="Q10714" s="6"/>
      <c r="R10714" s="6"/>
      <c r="S10714" s="6"/>
      <c r="T10714" s="6"/>
      <c r="U10714" s="6"/>
      <c r="V10714" s="8"/>
      <c r="W10714" s="8"/>
      <c r="X10714" s="8"/>
      <c r="Y10714" s="8"/>
    </row>
    <row r="10715" ht="14.25">
      <c r="B10715" s="18" t="s">
        <v>24071</v>
      </c>
      <c r="C10715" s="18" t="s">
        <v>48640</v>
      </c>
      <c r="D10715" s="18" t="s">
        <v>120</v>
      </c>
      <c r="E10715" s="18" t="s">
        <v>48641</v>
      </c>
      <c r="F10715" s="18" t="str">
        <f>IFERROR(__XLUDF.DUMMYFUNCTION("PROPER(REGEXREPLACE(D627,""[^A-Za-z]+ "",""""))"),"Homyos")</f>
        <v>Homyos</v>
      </c>
      <c r="G10715" s="18" t="s">
        <v>48642</v>
      </c>
      <c r="H10715" s="18">
        <v>15</v>
      </c>
      <c r="I10715" s="18" t="s">
        <v>9239</v>
      </c>
      <c r="J10715" s="5" t="s">
        <v>48643</v>
      </c>
      <c r="K10715" s="5" t="s">
        <v>48644</v>
      </c>
      <c r="L10715" s="18" t="s">
        <v>39</v>
      </c>
      <c r="M10715" s="18" t="s">
        <v>29</v>
      </c>
      <c r="N10715" s="18" t="s">
        <v>48645</v>
      </c>
      <c r="O10715" s="18" t="s">
        <v>29</v>
      </c>
      <c r="P10715" s="18" t="s">
        <v>48646</v>
      </c>
      <c r="Q10715" s="6"/>
      <c r="R10715" s="6"/>
      <c r="S10715" s="6"/>
      <c r="T10715" s="6"/>
      <c r="U10715" s="6"/>
      <c r="V10715" s="8"/>
      <c r="W10715" s="8"/>
      <c r="X10715" s="8"/>
      <c r="Y10715" s="8"/>
    </row>
    <row r="10716" ht="14.25">
      <c r="B10716" s="18" t="s">
        <v>32371</v>
      </c>
      <c r="C10716" s="18" t="s">
        <v>6967</v>
      </c>
      <c r="D10716" s="18" t="s">
        <v>87</v>
      </c>
      <c r="E10716" s="18" t="s">
        <v>48647</v>
      </c>
      <c r="F10716" s="18" t="str">
        <f>IFERROR(__XLUDF.DUMMYFUNCTION("PROPER(REGEXREPLACE(D628,""[^A-Za-z]+ "",""""))"),"Onespace")</f>
        <v>Onespace</v>
      </c>
      <c r="G10716" s="18" t="s">
        <v>48648</v>
      </c>
      <c r="H10716" s="18">
        <v>3</v>
      </c>
      <c r="I10716" s="18" t="s">
        <v>9239</v>
      </c>
      <c r="J10716" s="5" t="s">
        <v>48649</v>
      </c>
      <c r="K10716" s="5" t="s">
        <v>48650</v>
      </c>
      <c r="L10716" s="18" t="s">
        <v>651</v>
      </c>
      <c r="M10716" s="18" t="s">
        <v>29</v>
      </c>
      <c r="N10716" s="18" t="s">
        <v>48651</v>
      </c>
      <c r="O10716" s="18" t="s">
        <v>1261</v>
      </c>
      <c r="P10716" s="6"/>
      <c r="Q10716" s="6"/>
      <c r="R10716" s="6"/>
      <c r="S10716" s="6"/>
      <c r="T10716" s="6"/>
      <c r="U10716" s="6"/>
      <c r="V10716" s="8"/>
      <c r="W10716" s="8"/>
      <c r="X10716" s="8"/>
      <c r="Y10716" s="8"/>
    </row>
    <row r="10717" ht="14.25">
      <c r="B10717" s="18" t="s">
        <v>604</v>
      </c>
      <c r="C10717" s="18" t="s">
        <v>48652</v>
      </c>
      <c r="D10717" s="18" t="s">
        <v>120</v>
      </c>
      <c r="E10717" s="18" t="s">
        <v>48653</v>
      </c>
      <c r="F10717" s="18" t="str">
        <f>IFERROR(__XLUDF.DUMMYFUNCTION("PROPER(REGEXREPLACE(D629,""[^A-Za-z]+ "",""""))"),"Mon Idéal Artisans")</f>
        <v xml:space="preserve">Mon Idéal Artisans</v>
      </c>
      <c r="G10717" s="18" t="s">
        <v>48654</v>
      </c>
      <c r="H10717" s="18">
        <v>8</v>
      </c>
      <c r="I10717" s="18" t="s">
        <v>9239</v>
      </c>
      <c r="J10717" s="5" t="s">
        <v>48655</v>
      </c>
      <c r="K10717" s="5" t="s">
        <v>48656</v>
      </c>
      <c r="L10717" s="18" t="s">
        <v>20178</v>
      </c>
      <c r="M10717" s="18" t="s">
        <v>29</v>
      </c>
      <c r="N10717" s="18" t="s">
        <v>48657</v>
      </c>
      <c r="O10717" s="18" t="s">
        <v>29</v>
      </c>
      <c r="P10717" s="6"/>
      <c r="Q10717" s="6"/>
      <c r="R10717" s="6"/>
      <c r="S10717" s="6"/>
      <c r="T10717" s="6"/>
      <c r="U10717" s="6"/>
      <c r="V10717" s="8"/>
      <c r="W10717" s="8"/>
      <c r="X10717" s="8"/>
      <c r="Y10717" s="8"/>
    </row>
    <row r="10718" ht="14.25">
      <c r="B10718" s="18" t="s">
        <v>3834</v>
      </c>
      <c r="C10718" s="18" t="s">
        <v>48658</v>
      </c>
      <c r="D10718" s="18" t="s">
        <v>4586</v>
      </c>
      <c r="E10718" s="18" t="s">
        <v>24286</v>
      </c>
      <c r="F10718" s="18" t="str">
        <f>IFERROR(__XLUDF.DUMMYFUNCTION("PROPER(REGEXREPLACE(D630,""[^A-Za-z]+ "",""""))"),"La Soderec")</f>
        <v xml:space="preserve">La Soderec</v>
      </c>
      <c r="G10718" s="18" t="s">
        <v>48659</v>
      </c>
      <c r="H10718" s="18">
        <v>20</v>
      </c>
      <c r="I10718" s="18" t="s">
        <v>4293</v>
      </c>
      <c r="J10718" s="5" t="s">
        <v>48660</v>
      </c>
      <c r="K10718" s="5" t="s">
        <v>24289</v>
      </c>
      <c r="L10718" s="6"/>
      <c r="M10718" s="18" t="s">
        <v>29</v>
      </c>
      <c r="N10718" s="18" t="s">
        <v>24290</v>
      </c>
      <c r="O10718" s="18" t="s">
        <v>29</v>
      </c>
      <c r="P10718" s="18" t="s">
        <v>24291</v>
      </c>
      <c r="Q10718" s="6"/>
      <c r="R10718" s="6"/>
      <c r="S10718" s="6"/>
      <c r="T10718" s="6"/>
      <c r="U10718" s="6"/>
      <c r="V10718" s="8"/>
      <c r="W10718" s="8"/>
      <c r="X10718" s="8"/>
      <c r="Y10718" s="8"/>
    </row>
    <row r="10719" ht="14.25">
      <c r="B10719" s="18" t="s">
        <v>15990</v>
      </c>
      <c r="C10719" s="18" t="s">
        <v>48661</v>
      </c>
      <c r="D10719" s="18" t="s">
        <v>48662</v>
      </c>
      <c r="E10719" s="18" t="s">
        <v>48663</v>
      </c>
      <c r="F10719" s="18" t="str">
        <f>IFERROR(__XLUDF.DUMMYFUNCTION("PROPER(REGEXREPLACE(D631,""[^A-Za-z]+ "",""""))"),"Visori Prévention")</f>
        <v xml:space="preserve">Visori Prévention</v>
      </c>
      <c r="G10719" s="18" t="s">
        <v>48664</v>
      </c>
      <c r="H10719" s="18">
        <v>8</v>
      </c>
      <c r="I10719" s="18" t="s">
        <v>9239</v>
      </c>
      <c r="J10719" s="5" t="s">
        <v>48665</v>
      </c>
      <c r="K10719" s="5" t="s">
        <v>48666</v>
      </c>
      <c r="L10719" s="18" t="s">
        <v>39</v>
      </c>
      <c r="M10719" s="18" t="s">
        <v>29</v>
      </c>
      <c r="N10719" s="18" t="s">
        <v>24626</v>
      </c>
      <c r="O10719" s="18" t="s">
        <v>29</v>
      </c>
      <c r="P10719" s="6"/>
      <c r="Q10719" s="6"/>
      <c r="R10719" s="6"/>
      <c r="S10719" s="6"/>
      <c r="T10719" s="6"/>
      <c r="U10719" s="6"/>
      <c r="V10719" s="8"/>
      <c r="W10719" s="8"/>
      <c r="X10719" s="8"/>
      <c r="Y10719" s="8"/>
    </row>
    <row r="10720" ht="14.25">
      <c r="B10720" s="18" t="s">
        <v>5103</v>
      </c>
      <c r="C10720" s="18" t="s">
        <v>4154</v>
      </c>
      <c r="D10720" s="18" t="s">
        <v>48667</v>
      </c>
      <c r="E10720" s="18" t="s">
        <v>48668</v>
      </c>
      <c r="F10720" s="18" t="str">
        <f>IFERROR(__XLUDF.DUMMYFUNCTION("PROPER(REGEXREPLACE(D632,""[^A-Za-z]+ "",""""))"),"Gauthier Sas")</f>
        <v xml:space="preserve">Gauthier Sas</v>
      </c>
      <c r="G10720" s="18" t="s">
        <v>48669</v>
      </c>
      <c r="H10720" s="18">
        <v>38</v>
      </c>
      <c r="I10720" s="18" t="s">
        <v>9239</v>
      </c>
      <c r="J10720" s="5" t="s">
        <v>48670</v>
      </c>
      <c r="K10720" s="5" t="s">
        <v>48671</v>
      </c>
      <c r="L10720" s="6"/>
      <c r="M10720" s="18" t="s">
        <v>29</v>
      </c>
      <c r="N10720" s="18" t="s">
        <v>6265</v>
      </c>
      <c r="O10720" s="18" t="s">
        <v>29</v>
      </c>
      <c r="P10720" s="6"/>
      <c r="Q10720" s="6"/>
      <c r="R10720" s="6"/>
      <c r="S10720" s="6"/>
      <c r="T10720" s="6"/>
      <c r="U10720" s="6"/>
      <c r="V10720" s="8"/>
      <c r="W10720" s="8"/>
      <c r="X10720" s="8"/>
      <c r="Y10720" s="8"/>
    </row>
    <row r="10721" ht="14.25">
      <c r="B10721" s="18" t="s">
        <v>2409</v>
      </c>
      <c r="C10721" s="18" t="s">
        <v>20867</v>
      </c>
      <c r="D10721" s="18" t="s">
        <v>172</v>
      </c>
      <c r="E10721" s="18" t="s">
        <v>48672</v>
      </c>
      <c r="F10721" s="18" t="str">
        <f>IFERROR(__XLUDF.DUMMYFUNCTION("PROPER(REGEXREPLACE(D633,""[^A-Za-z]+ "",""""))"),"Dinobat")</f>
        <v>Dinobat</v>
      </c>
      <c r="G10721" s="18" t="s">
        <v>48673</v>
      </c>
      <c r="H10721" s="18">
        <v>8</v>
      </c>
      <c r="I10721" s="18" t="s">
        <v>9239</v>
      </c>
      <c r="J10721" s="5" t="s">
        <v>48674</v>
      </c>
      <c r="K10721" s="5" t="s">
        <v>48675</v>
      </c>
      <c r="L10721" s="18" t="s">
        <v>48676</v>
      </c>
      <c r="M10721" s="18" t="s">
        <v>29</v>
      </c>
      <c r="N10721" s="18" t="s">
        <v>48677</v>
      </c>
      <c r="O10721" s="18" t="s">
        <v>29</v>
      </c>
      <c r="P10721" s="18" t="s">
        <v>48678</v>
      </c>
      <c r="Q10721" s="6"/>
      <c r="R10721" s="6"/>
      <c r="S10721" s="6"/>
      <c r="T10721" s="6"/>
      <c r="U10721" s="6"/>
    </row>
    <row r="10722" ht="14.25">
      <c r="B10722" s="18" t="s">
        <v>222</v>
      </c>
      <c r="C10722" s="18" t="s">
        <v>48679</v>
      </c>
      <c r="D10722" s="18" t="s">
        <v>172</v>
      </c>
      <c r="E10722" s="18" t="s">
        <v>48680</v>
      </c>
      <c r="F10722" s="18" t="str">
        <f>IFERROR(__XLUDF.DUMMYFUNCTION("PROPER(REGEXREPLACE(D634,""[^A-Za-z]+ "",""""))"),"Groupe Soflux")</f>
        <v xml:space="preserve">Groupe Soflux</v>
      </c>
      <c r="G10722" s="18" t="s">
        <v>48681</v>
      </c>
      <c r="H10722" s="18">
        <v>41</v>
      </c>
      <c r="I10722" s="18" t="s">
        <v>9239</v>
      </c>
      <c r="J10722" s="5" t="s">
        <v>48682</v>
      </c>
      <c r="K10722" s="5" t="s">
        <v>48683</v>
      </c>
      <c r="L10722" s="6"/>
      <c r="M10722" s="18" t="s">
        <v>29</v>
      </c>
      <c r="N10722" s="18" t="s">
        <v>48684</v>
      </c>
      <c r="O10722" s="18" t="s">
        <v>29</v>
      </c>
      <c r="P10722" s="18" t="s">
        <v>48685</v>
      </c>
      <c r="Q10722" s="6"/>
      <c r="R10722" s="6"/>
      <c r="S10722" s="6"/>
      <c r="T10722" s="6"/>
      <c r="U10722" s="6"/>
    </row>
    <row r="10723" ht="14.25">
      <c r="B10723" s="18" t="s">
        <v>6634</v>
      </c>
      <c r="C10723" s="18" t="s">
        <v>32273</v>
      </c>
      <c r="D10723" s="18" t="s">
        <v>172</v>
      </c>
      <c r="E10723" s="18" t="s">
        <v>48686</v>
      </c>
      <c r="F10723" s="18" t="str">
        <f>IFERROR(__XLUDF.DUMMYFUNCTION("PROPER(REGEXREPLACE(D635,""[^A-Za-z]+ "",""""))"),"Best Consultants")</f>
        <v xml:space="preserve">Best Consultants</v>
      </c>
      <c r="G10723" s="18" t="s">
        <v>48687</v>
      </c>
      <c r="H10723" s="18">
        <v>38</v>
      </c>
      <c r="I10723" s="18" t="s">
        <v>9239</v>
      </c>
      <c r="J10723" s="5" t="s">
        <v>48688</v>
      </c>
      <c r="K10723" s="5" t="s">
        <v>48689</v>
      </c>
      <c r="L10723" s="6"/>
      <c r="M10723" s="18" t="s">
        <v>29</v>
      </c>
      <c r="N10723" s="18" t="s">
        <v>48690</v>
      </c>
      <c r="O10723" s="18" t="s">
        <v>4340</v>
      </c>
      <c r="P10723" s="6"/>
      <c r="Q10723" s="6"/>
      <c r="R10723" s="6"/>
      <c r="S10723" s="6"/>
      <c r="T10723" s="6"/>
      <c r="U10723" s="6"/>
    </row>
    <row r="10724" ht="14.25">
      <c r="B10724" s="18" t="s">
        <v>20</v>
      </c>
      <c r="C10724" s="18" t="s">
        <v>48691</v>
      </c>
      <c r="D10724" s="18" t="s">
        <v>172</v>
      </c>
      <c r="E10724" s="18" t="s">
        <v>48692</v>
      </c>
      <c r="F10724" s="18" t="str">
        <f>IFERROR(__XLUDF.DUMMYFUNCTION("PROPER(REGEXREPLACE(D636,""[^A-Za-z]+ "",""""))"),"Niu Ingenierie Construction")</f>
        <v xml:space="preserve">Niu Ingenierie Construction</v>
      </c>
      <c r="G10724" s="18" t="s">
        <v>48693</v>
      </c>
      <c r="H10724" s="18">
        <v>36</v>
      </c>
      <c r="I10724" s="18" t="s">
        <v>9239</v>
      </c>
      <c r="J10724" s="5" t="s">
        <v>48694</v>
      </c>
      <c r="K10724" s="5" t="s">
        <v>48695</v>
      </c>
      <c r="L10724" s="18" t="s">
        <v>6954</v>
      </c>
      <c r="M10724" s="18" t="s">
        <v>29</v>
      </c>
      <c r="N10724" s="18" t="s">
        <v>48696</v>
      </c>
      <c r="O10724" s="18" t="s">
        <v>29</v>
      </c>
      <c r="P10724" s="18" t="s">
        <v>48697</v>
      </c>
      <c r="Q10724" s="6"/>
      <c r="R10724" s="6"/>
      <c r="S10724" s="6"/>
      <c r="T10724" s="6"/>
      <c r="U10724" s="6"/>
    </row>
    <row r="10725" ht="14.25">
      <c r="B10725" s="18" t="s">
        <v>15990</v>
      </c>
      <c r="C10725" s="18" t="s">
        <v>48698</v>
      </c>
      <c r="D10725" s="18" t="s">
        <v>172</v>
      </c>
      <c r="E10725" s="18" t="s">
        <v>48699</v>
      </c>
      <c r="F10725" s="18" t="str">
        <f>IFERROR(__XLUDF.DUMMYFUNCTION("PROPER(REGEXREPLACE(D637,""[^A-Za-z]+ "",""""))"),"Groupe Proxiso")</f>
        <v xml:space="preserve">Groupe Proxiso</v>
      </c>
      <c r="G10725" s="18" t="s">
        <v>48700</v>
      </c>
      <c r="H10725" s="18">
        <v>14</v>
      </c>
      <c r="I10725" s="18" t="s">
        <v>9239</v>
      </c>
      <c r="J10725" s="5" t="s">
        <v>48701</v>
      </c>
      <c r="K10725" s="5" t="s">
        <v>48702</v>
      </c>
      <c r="L10725" s="18" t="s">
        <v>4922</v>
      </c>
      <c r="M10725" s="18" t="s">
        <v>29</v>
      </c>
      <c r="N10725" s="18" t="s">
        <v>21461</v>
      </c>
      <c r="O10725" s="18" t="s">
        <v>29</v>
      </c>
      <c r="P10725" s="18" t="s">
        <v>48703</v>
      </c>
      <c r="Q10725" s="6"/>
      <c r="R10725" s="6"/>
      <c r="S10725" s="6"/>
      <c r="T10725" s="6"/>
      <c r="U10725" s="6"/>
    </row>
    <row r="10726" ht="14.25">
      <c r="B10726" s="18" t="s">
        <v>48704</v>
      </c>
      <c r="C10726" s="18" t="s">
        <v>48705</v>
      </c>
      <c r="D10726" s="18" t="s">
        <v>172</v>
      </c>
      <c r="E10726" s="18" t="s">
        <v>48706</v>
      </c>
      <c r="F10726" s="18" t="str">
        <f>IFERROR(__XLUDF.DUMMYFUNCTION("PROPER(REGEXREPLACE(D638,""[^A-Za-z]+ "",""""))"),"Sg Batiment")</f>
        <v xml:space="preserve">Sg Batiment</v>
      </c>
      <c r="G10726" s="18" t="s">
        <v>48707</v>
      </c>
      <c r="H10726" s="18">
        <v>6</v>
      </c>
      <c r="I10726" s="18" t="s">
        <v>9239</v>
      </c>
      <c r="J10726" s="5" t="s">
        <v>48708</v>
      </c>
      <c r="K10726" s="5" t="s">
        <v>48709</v>
      </c>
      <c r="L10726" s="18" t="s">
        <v>48710</v>
      </c>
      <c r="M10726" s="18" t="s">
        <v>29</v>
      </c>
      <c r="N10726" s="18" t="s">
        <v>48711</v>
      </c>
      <c r="O10726" s="18" t="s">
        <v>29</v>
      </c>
      <c r="P10726" s="6"/>
      <c r="Q10726" s="6"/>
      <c r="R10726" s="6"/>
      <c r="S10726" s="6"/>
      <c r="T10726" s="6"/>
      <c r="U10726" s="6"/>
    </row>
    <row r="10727" ht="14.25">
      <c r="B10727" s="18" t="s">
        <v>4977</v>
      </c>
      <c r="C10727" s="18" t="s">
        <v>28006</v>
      </c>
      <c r="D10727" s="18" t="s">
        <v>172</v>
      </c>
      <c r="E10727" s="18" t="s">
        <v>48712</v>
      </c>
      <c r="F10727" s="18" t="str">
        <f>IFERROR(__XLUDF.DUMMYFUNCTION("PROPER(REGEXREPLACE(D639,""[^A-Za-z]+ "",""""))"),"Stim Technibat")</f>
        <v xml:space="preserve">Stim Technibat</v>
      </c>
      <c r="G10727" s="18" t="s">
        <v>48713</v>
      </c>
      <c r="H10727" s="18">
        <v>17</v>
      </c>
      <c r="I10727" s="18" t="s">
        <v>9239</v>
      </c>
      <c r="J10727" s="5" t="s">
        <v>48714</v>
      </c>
      <c r="K10727" s="5" t="s">
        <v>48715</v>
      </c>
      <c r="L10727" s="18" t="s">
        <v>39</v>
      </c>
      <c r="M10727" s="18" t="s">
        <v>29</v>
      </c>
      <c r="N10727" s="18" t="s">
        <v>48716</v>
      </c>
      <c r="O10727" s="18" t="s">
        <v>29</v>
      </c>
      <c r="P10727" s="18" t="s">
        <v>48717</v>
      </c>
      <c r="Q10727" s="6"/>
      <c r="R10727" s="6"/>
      <c r="S10727" s="6"/>
      <c r="T10727" s="6"/>
      <c r="U10727" s="6"/>
    </row>
    <row r="10728" ht="14.25">
      <c r="B10728" s="18" t="s">
        <v>630</v>
      </c>
      <c r="C10728" s="18" t="s">
        <v>785</v>
      </c>
      <c r="D10728" s="18" t="s">
        <v>172</v>
      </c>
      <c r="E10728" s="18" t="s">
        <v>48718</v>
      </c>
      <c r="F10728" s="18" t="str">
        <f>IFERROR(__XLUDF.DUMMYFUNCTION("PROPER(REGEXREPLACE(D640,""[^A-Za-z]+ "",""""))"),"Sud Est Prevention")</f>
        <v xml:space="preserve">Sud Est Prevention</v>
      </c>
      <c r="G10728" s="18" t="s">
        <v>48719</v>
      </c>
      <c r="H10728" s="18">
        <v>20</v>
      </c>
      <c r="I10728" s="18" t="s">
        <v>9239</v>
      </c>
      <c r="J10728" s="5" t="s">
        <v>48720</v>
      </c>
      <c r="K10728" s="5" t="s">
        <v>48721</v>
      </c>
      <c r="L10728" s="18" t="s">
        <v>482</v>
      </c>
      <c r="M10728" s="18" t="s">
        <v>29</v>
      </c>
      <c r="N10728" s="18" t="s">
        <v>48722</v>
      </c>
      <c r="O10728" s="18" t="s">
        <v>29</v>
      </c>
      <c r="P10728" s="6"/>
      <c r="Q10728" s="6"/>
      <c r="R10728" s="6"/>
      <c r="S10728" s="6"/>
      <c r="T10728" s="6"/>
      <c r="U10728" s="6"/>
    </row>
    <row r="10729" ht="14.25">
      <c r="B10729" s="18" t="s">
        <v>1732</v>
      </c>
      <c r="C10729" s="18" t="s">
        <v>21731</v>
      </c>
      <c r="D10729" s="18" t="s">
        <v>172</v>
      </c>
      <c r="E10729" s="18" t="s">
        <v>10969</v>
      </c>
      <c r="F10729" s="18" t="str">
        <f>IFERROR(__XLUDF.DUMMYFUNCTION("PROPER(REGEXREPLACE(D641,""[^A-Za-z]+ "",""""))"),"Cybel Extension")</f>
        <v xml:space="preserve">Cybel Extension</v>
      </c>
      <c r="G10729" s="18" t="s">
        <v>48723</v>
      </c>
      <c r="H10729" s="18">
        <v>37</v>
      </c>
      <c r="I10729" s="18" t="s">
        <v>9239</v>
      </c>
      <c r="J10729" s="5" t="s">
        <v>48724</v>
      </c>
      <c r="K10729" s="5" t="s">
        <v>48725</v>
      </c>
      <c r="L10729" s="18" t="s">
        <v>1826</v>
      </c>
      <c r="M10729" s="18" t="s">
        <v>29</v>
      </c>
      <c r="N10729" s="18" t="s">
        <v>48726</v>
      </c>
      <c r="O10729" s="18" t="s">
        <v>29</v>
      </c>
      <c r="P10729" s="18" t="s">
        <v>10975</v>
      </c>
      <c r="Q10729" s="6"/>
      <c r="R10729" s="6"/>
      <c r="S10729" s="6"/>
      <c r="T10729" s="6"/>
      <c r="U10729" s="6"/>
    </row>
    <row r="10730" ht="14.25">
      <c r="B10730" s="18" t="s">
        <v>4132</v>
      </c>
      <c r="C10730" s="18" t="s">
        <v>48727</v>
      </c>
      <c r="D10730" s="18" t="s">
        <v>172</v>
      </c>
      <c r="E10730" s="18" t="s">
        <v>48728</v>
      </c>
      <c r="F10730" s="18" t="str">
        <f>IFERROR(__XLUDF.DUMMYFUNCTION("PROPER(REGEXREPLACE(D642,""[^A-Za-z]+ "",""""))"),"Himfloor")</f>
        <v>Himfloor</v>
      </c>
      <c r="G10730" s="18" t="s">
        <v>48729</v>
      </c>
      <c r="H10730" s="18">
        <v>6</v>
      </c>
      <c r="I10730" s="18" t="s">
        <v>9239</v>
      </c>
      <c r="J10730" s="5" t="s">
        <v>48730</v>
      </c>
      <c r="K10730" s="5" t="s">
        <v>48731</v>
      </c>
      <c r="L10730" s="18" t="s">
        <v>12825</v>
      </c>
      <c r="M10730" s="18" t="s">
        <v>29</v>
      </c>
      <c r="N10730" s="18" t="s">
        <v>48732</v>
      </c>
      <c r="O10730" s="18" t="s">
        <v>29</v>
      </c>
      <c r="P10730" s="18" t="s">
        <v>48733</v>
      </c>
      <c r="Q10730" s="6"/>
      <c r="R10730" s="6"/>
      <c r="S10730" s="6"/>
      <c r="T10730" s="6"/>
      <c r="U10730" s="6"/>
    </row>
    <row r="10731" ht="14.25">
      <c r="B10731" s="18" t="s">
        <v>222</v>
      </c>
      <c r="C10731" s="18" t="s">
        <v>48734</v>
      </c>
      <c r="D10731" s="18" t="s">
        <v>172</v>
      </c>
      <c r="E10731" s="18" t="s">
        <v>47753</v>
      </c>
      <c r="F10731" s="18" t="str">
        <f>IFERROR(__XLUDF.DUMMYFUNCTION("PROPER(REGEXREPLACE(D643,""[^A-Za-z]+ "",""""))"),"Groupe Bonnefoy")</f>
        <v xml:space="preserve">Groupe Bonnefoy</v>
      </c>
      <c r="G10731" s="18" t="s">
        <v>48735</v>
      </c>
      <c r="H10731" s="18">
        <v>44</v>
      </c>
      <c r="I10731" s="18" t="s">
        <v>9239</v>
      </c>
      <c r="J10731" s="5" t="s">
        <v>48736</v>
      </c>
      <c r="K10731" s="5" t="s">
        <v>47756</v>
      </c>
      <c r="L10731" s="6"/>
      <c r="M10731" s="18" t="s">
        <v>29</v>
      </c>
      <c r="N10731" s="18" t="s">
        <v>47757</v>
      </c>
      <c r="O10731" s="18" t="s">
        <v>29</v>
      </c>
      <c r="P10731" s="18" t="s">
        <v>47758</v>
      </c>
      <c r="Q10731" s="6"/>
      <c r="R10731" s="6"/>
      <c r="S10731" s="6"/>
      <c r="T10731" s="6"/>
      <c r="U10731" s="6"/>
    </row>
    <row r="10732" ht="14.25">
      <c r="B10732" s="18" t="s">
        <v>1198</v>
      </c>
      <c r="C10732" s="18" t="s">
        <v>48737</v>
      </c>
      <c r="D10732" s="18" t="s">
        <v>172</v>
      </c>
      <c r="E10732" s="18" t="s">
        <v>48738</v>
      </c>
      <c r="F10732" s="18" t="str">
        <f>IFERROR(__XLUDF.DUMMYFUNCTION("PROPER(REGEXREPLACE(D644,""[^A-Za-z]+ "",""""))"),"Vivian Et Cie")</f>
        <v xml:space="preserve">Vivian Et Cie</v>
      </c>
      <c r="G10732" s="18" t="s">
        <v>48739</v>
      </c>
      <c r="H10732" s="18">
        <v>25</v>
      </c>
      <c r="I10732" s="18" t="s">
        <v>9239</v>
      </c>
      <c r="J10732" s="5" t="s">
        <v>48740</v>
      </c>
      <c r="K10732" s="5" t="s">
        <v>48741</v>
      </c>
      <c r="L10732" s="18" t="s">
        <v>295</v>
      </c>
      <c r="M10732" s="18" t="s">
        <v>29</v>
      </c>
      <c r="N10732" s="18" t="s">
        <v>3642</v>
      </c>
      <c r="O10732" s="18" t="s">
        <v>29</v>
      </c>
      <c r="P10732" s="6"/>
      <c r="Q10732" s="6"/>
      <c r="R10732" s="6"/>
      <c r="S10732" s="6"/>
      <c r="T10732" s="6"/>
      <c r="U10732" s="6"/>
    </row>
    <row r="10733" ht="14.25">
      <c r="B10733" s="18" t="s">
        <v>13355</v>
      </c>
      <c r="C10733" s="18" t="s">
        <v>48742</v>
      </c>
      <c r="D10733" s="18" t="s">
        <v>172</v>
      </c>
      <c r="E10733" s="18" t="s">
        <v>48743</v>
      </c>
      <c r="F10733" s="18" t="str">
        <f>IFERROR(__XLUDF.DUMMYFUNCTION("PROPER(REGEXREPLACE(D645,""[^A-Za-z]+ "",""""))"),"Spi-Stonemix")</f>
        <v>Spi-Stonemix</v>
      </c>
      <c r="G10733" s="18" t="s">
        <v>48744</v>
      </c>
      <c r="H10733" s="18">
        <v>6</v>
      </c>
      <c r="I10733" s="18" t="s">
        <v>9239</v>
      </c>
      <c r="J10733" s="5" t="s">
        <v>48745</v>
      </c>
      <c r="K10733" s="5" t="s">
        <v>48746</v>
      </c>
      <c r="L10733" s="18" t="s">
        <v>48747</v>
      </c>
      <c r="M10733" s="18" t="s">
        <v>29</v>
      </c>
      <c r="N10733" s="18" t="s">
        <v>4761</v>
      </c>
      <c r="O10733" s="18" t="s">
        <v>29</v>
      </c>
      <c r="P10733" s="18" t="s">
        <v>48748</v>
      </c>
      <c r="Q10733" s="6"/>
      <c r="R10733" s="6"/>
      <c r="S10733" s="6"/>
      <c r="T10733" s="6"/>
      <c r="U10733" s="6"/>
    </row>
    <row r="10734" ht="14.25">
      <c r="B10734" s="18" t="s">
        <v>670</v>
      </c>
      <c r="C10734" s="18" t="s">
        <v>48749</v>
      </c>
      <c r="D10734" s="18" t="s">
        <v>48750</v>
      </c>
      <c r="E10734" s="18" t="s">
        <v>48751</v>
      </c>
      <c r="F10734" s="18" t="str">
        <f>IFERROR(__XLUDF.DUMMYFUNCTION("PROPER(REGEXREPLACE(D646,""[^A-Za-z]+ "",""""))"),"Arro")</f>
        <v>Arro</v>
      </c>
      <c r="G10734" s="18" t="s">
        <v>48752</v>
      </c>
      <c r="H10734" s="18">
        <v>5</v>
      </c>
      <c r="I10734" s="18" t="s">
        <v>9239</v>
      </c>
      <c r="J10734" s="5" t="s">
        <v>48753</v>
      </c>
      <c r="K10734" s="5" t="s">
        <v>48754</v>
      </c>
      <c r="L10734" s="6"/>
      <c r="M10734" s="18" t="s">
        <v>29</v>
      </c>
      <c r="N10734" s="18" t="s">
        <v>48755</v>
      </c>
      <c r="O10734" s="18" t="s">
        <v>29</v>
      </c>
      <c r="P10734" s="6"/>
      <c r="Q10734" s="6"/>
      <c r="R10734" s="6"/>
      <c r="S10734" s="6"/>
      <c r="T10734" s="6"/>
      <c r="U10734" s="6"/>
    </row>
    <row r="10735" ht="14.25">
      <c r="B10735" s="18" t="s">
        <v>630</v>
      </c>
      <c r="C10735" s="18" t="s">
        <v>48756</v>
      </c>
      <c r="D10735" s="18" t="s">
        <v>3982</v>
      </c>
      <c r="E10735" s="18" t="s">
        <v>48757</v>
      </c>
      <c r="F10735" s="18" t="str">
        <f>IFERROR(__XLUDF.DUMMYFUNCTION("PROPER(REGEXREPLACE(D647,""[^A-Za-z]+ "",""""))"),"Pr Industrie")</f>
        <v xml:space="preserve">Pr Industrie</v>
      </c>
      <c r="G10735" s="18" t="s">
        <v>48758</v>
      </c>
      <c r="H10735" s="18">
        <v>13</v>
      </c>
      <c r="I10735" s="18" t="s">
        <v>9239</v>
      </c>
      <c r="J10735" s="5" t="s">
        <v>48759</v>
      </c>
      <c r="K10735" s="5" t="s">
        <v>48760</v>
      </c>
      <c r="L10735" s="18" t="s">
        <v>149</v>
      </c>
      <c r="M10735" s="18" t="s">
        <v>29</v>
      </c>
      <c r="N10735" s="18" t="s">
        <v>48761</v>
      </c>
      <c r="O10735" s="18" t="s">
        <v>29</v>
      </c>
      <c r="P10735" s="18" t="s">
        <v>48762</v>
      </c>
      <c r="Q10735" s="6"/>
      <c r="R10735" s="6"/>
      <c r="S10735" s="6"/>
      <c r="T10735" s="6"/>
      <c r="U10735" s="6"/>
    </row>
    <row r="10736" ht="14.25">
      <c r="B10736" s="18" t="s">
        <v>622</v>
      </c>
      <c r="C10736" s="18" t="s">
        <v>48763</v>
      </c>
      <c r="D10736" s="18" t="s">
        <v>44</v>
      </c>
      <c r="E10736" s="18" t="s">
        <v>48764</v>
      </c>
      <c r="F10736" s="18" t="str">
        <f>IFERROR(__XLUDF.DUMMYFUNCTION("PROPER(REGEXREPLACE(D648,""[^A-Za-z]+ "",""""))"),"Onyx Projects")</f>
        <v xml:space="preserve">Onyx Projects</v>
      </c>
      <c r="G10736" s="18" t="s">
        <v>48765</v>
      </c>
      <c r="H10736" s="18">
        <v>3</v>
      </c>
      <c r="I10736" s="18" t="s">
        <v>9239</v>
      </c>
      <c r="J10736" s="5" t="s">
        <v>48766</v>
      </c>
      <c r="K10736" s="5" t="s">
        <v>48767</v>
      </c>
      <c r="L10736" s="18" t="s">
        <v>39</v>
      </c>
      <c r="M10736" s="18" t="s">
        <v>29</v>
      </c>
      <c r="N10736" s="6"/>
      <c r="O10736" s="6"/>
      <c r="P10736" s="6"/>
      <c r="Q10736" s="6"/>
      <c r="R10736" s="6"/>
      <c r="S10736" s="6"/>
      <c r="T10736" s="6"/>
      <c r="U10736" s="6"/>
    </row>
    <row r="10737" ht="14.25">
      <c r="B10737" s="18" t="s">
        <v>3371</v>
      </c>
      <c r="C10737" s="18" t="s">
        <v>48768</v>
      </c>
      <c r="D10737" s="18" t="s">
        <v>5003</v>
      </c>
      <c r="E10737" s="18" t="s">
        <v>48769</v>
      </c>
      <c r="F10737" s="18" t="str">
        <f>IFERROR(__XLUDF.DUMMYFUNCTION("PROPER(REGEXREPLACE(D649,""[^A-Za-z]+ "",""""))"),"Liaisons Habitat")</f>
        <v xml:space="preserve">Liaisons Habitat</v>
      </c>
      <c r="G10737" s="18" t="s">
        <v>48770</v>
      </c>
      <c r="H10737" s="18">
        <v>9</v>
      </c>
      <c r="I10737" s="18" t="s">
        <v>4293</v>
      </c>
      <c r="J10737" s="5" t="s">
        <v>48771</v>
      </c>
      <c r="K10737" s="5" t="s">
        <v>48772</v>
      </c>
      <c r="L10737" s="18" t="s">
        <v>1015</v>
      </c>
      <c r="M10737" s="18" t="s">
        <v>29</v>
      </c>
      <c r="N10737" s="18" t="s">
        <v>48773</v>
      </c>
      <c r="O10737" s="18" t="s">
        <v>29</v>
      </c>
      <c r="P10737" s="6"/>
      <c r="Q10737" s="6"/>
      <c r="R10737" s="6"/>
      <c r="S10737" s="6"/>
      <c r="T10737" s="6"/>
      <c r="U10737" s="6"/>
    </row>
    <row r="10738" ht="14.25">
      <c r="B10738" s="18" t="s">
        <v>548</v>
      </c>
      <c r="C10738" s="18" t="s">
        <v>48774</v>
      </c>
      <c r="D10738" s="18" t="s">
        <v>1950</v>
      </c>
      <c r="E10738" s="18" t="s">
        <v>48775</v>
      </c>
      <c r="F10738" s="18" t="str">
        <f>IFERROR(__XLUDF.DUMMYFUNCTION("PROPER(REGEXREPLACE(D650,""[^A-Za-z]+ "",""""))"),"Opn Air")</f>
        <v xml:space="preserve">Opn Air</v>
      </c>
      <c r="G10738" s="18" t="s">
        <v>48776</v>
      </c>
      <c r="H10738" s="18">
        <v>80</v>
      </c>
      <c r="I10738" s="18" t="s">
        <v>9239</v>
      </c>
      <c r="J10738" s="5" t="s">
        <v>48777</v>
      </c>
      <c r="K10738" s="5" t="s">
        <v>48778</v>
      </c>
      <c r="L10738" s="18" t="s">
        <v>48779</v>
      </c>
      <c r="M10738" s="18" t="s">
        <v>29</v>
      </c>
      <c r="N10738" s="18" t="s">
        <v>48780</v>
      </c>
      <c r="O10738" s="18" t="s">
        <v>29</v>
      </c>
      <c r="P10738" s="18" t="s">
        <v>48781</v>
      </c>
      <c r="Q10738" s="6"/>
      <c r="R10738" s="6"/>
      <c r="S10738" s="6"/>
      <c r="T10738" s="6"/>
      <c r="U10738" s="6"/>
    </row>
    <row r="10739" ht="14.25">
      <c r="B10739" s="18" t="s">
        <v>134</v>
      </c>
      <c r="C10739" s="18" t="s">
        <v>48782</v>
      </c>
      <c r="D10739" s="18" t="s">
        <v>332</v>
      </c>
      <c r="E10739" s="18" t="s">
        <v>48783</v>
      </c>
      <c r="F10739" s="18" t="str">
        <f>IFERROR(__XLUDF.DUMMYFUNCTION("PROPER(REGEXREPLACE(D651,""[^A-Za-z]+ "",""""))"),"Rénovtaloc")</f>
        <v>Rénovtaloc</v>
      </c>
      <c r="G10739" s="18" t="s">
        <v>48784</v>
      </c>
      <c r="H10739" s="18">
        <v>1</v>
      </c>
      <c r="I10739" s="18" t="s">
        <v>9239</v>
      </c>
      <c r="J10739" s="5" t="s">
        <v>48785</v>
      </c>
      <c r="K10739" s="5" t="s">
        <v>48786</v>
      </c>
      <c r="L10739" s="18" t="s">
        <v>39</v>
      </c>
      <c r="M10739" s="18" t="s">
        <v>29</v>
      </c>
      <c r="N10739" s="18" t="s">
        <v>48787</v>
      </c>
      <c r="O10739" s="18" t="s">
        <v>29</v>
      </c>
      <c r="P10739" s="18" t="s">
        <v>48788</v>
      </c>
      <c r="Q10739" s="6"/>
      <c r="R10739" s="6"/>
      <c r="S10739" s="6"/>
      <c r="T10739" s="6"/>
      <c r="U10739" s="6"/>
    </row>
    <row r="10740" ht="14.25">
      <c r="B10740" s="18" t="s">
        <v>13010</v>
      </c>
      <c r="C10740" s="18" t="s">
        <v>48789</v>
      </c>
      <c r="D10740" s="18" t="s">
        <v>26346</v>
      </c>
      <c r="E10740" s="18" t="s">
        <v>48790</v>
      </c>
      <c r="F10740" s="18" t="str">
        <f>IFERROR(__XLUDF.DUMMYFUNCTION("PROPER(REGEXREPLACE(D652,""[^A-Za-z]+ "",""""))"),"Innovia Developpement")</f>
        <v xml:space="preserve">Innovia Developpement</v>
      </c>
      <c r="G10740" s="18" t="s">
        <v>48791</v>
      </c>
      <c r="H10740" s="18">
        <v>16</v>
      </c>
      <c r="I10740" s="18" t="s">
        <v>9239</v>
      </c>
      <c r="J10740" s="5" t="s">
        <v>48792</v>
      </c>
      <c r="K10740" s="5" t="s">
        <v>48793</v>
      </c>
      <c r="L10740" s="18" t="s">
        <v>39</v>
      </c>
      <c r="M10740" s="18" t="s">
        <v>29</v>
      </c>
      <c r="N10740" s="18" t="s">
        <v>48794</v>
      </c>
      <c r="O10740" s="18" t="s">
        <v>29</v>
      </c>
      <c r="P10740" s="6"/>
      <c r="Q10740" s="6"/>
      <c r="R10740" s="6"/>
      <c r="S10740" s="6"/>
      <c r="T10740" s="6"/>
      <c r="U10740" s="6"/>
    </row>
    <row r="10741" ht="14.25">
      <c r="B10741" s="18" t="s">
        <v>12327</v>
      </c>
      <c r="C10741" s="18" t="s">
        <v>48795</v>
      </c>
      <c r="D10741" s="18" t="s">
        <v>19085</v>
      </c>
      <c r="E10741" s="18" t="s">
        <v>48796</v>
      </c>
      <c r="F10741" s="18" t="str">
        <f>IFERROR(__XLUDF.DUMMYFUNCTION("PROPER(REGEXREPLACE(D653,""[^A-Za-z]+ "",""""))"),"Gyrard Groupe")</f>
        <v xml:space="preserve">Gyrard Groupe</v>
      </c>
      <c r="G10741" s="18" t="s">
        <v>48797</v>
      </c>
      <c r="H10741" s="18">
        <v>24</v>
      </c>
      <c r="I10741" s="18" t="s">
        <v>9239</v>
      </c>
      <c r="J10741" s="5" t="s">
        <v>48798</v>
      </c>
      <c r="K10741" s="5" t="s">
        <v>48799</v>
      </c>
      <c r="L10741" s="18" t="s">
        <v>39</v>
      </c>
      <c r="M10741" s="18" t="s">
        <v>29</v>
      </c>
      <c r="N10741" s="18" t="s">
        <v>48800</v>
      </c>
      <c r="O10741" s="18" t="s">
        <v>29</v>
      </c>
      <c r="P10741" s="6"/>
      <c r="Q10741" s="6"/>
      <c r="R10741" s="6"/>
      <c r="S10741" s="6"/>
      <c r="T10741" s="6"/>
      <c r="U10741" s="6"/>
    </row>
    <row r="10742" ht="14.25">
      <c r="B10742" s="18" t="s">
        <v>110</v>
      </c>
      <c r="C10742" s="18" t="s">
        <v>2452</v>
      </c>
      <c r="D10742" s="18" t="s">
        <v>44</v>
      </c>
      <c r="E10742" s="18" t="s">
        <v>48801</v>
      </c>
      <c r="F10742" s="18" t="str">
        <f>IFERROR(__XLUDF.DUMMYFUNCTION("PROPER(REGEXREPLACE(D654,""[^A-Za-z]+ "",""""))"),"Abarco")</f>
        <v>Abarco</v>
      </c>
      <c r="G10742" s="18" t="s">
        <v>48802</v>
      </c>
      <c r="H10742" s="18">
        <v>20</v>
      </c>
      <c r="I10742" s="18" t="s">
        <v>9239</v>
      </c>
      <c r="J10742" s="5" t="s">
        <v>48803</v>
      </c>
      <c r="K10742" s="5" t="s">
        <v>48804</v>
      </c>
      <c r="L10742" s="18" t="s">
        <v>1711</v>
      </c>
      <c r="M10742" s="18" t="s">
        <v>29</v>
      </c>
      <c r="N10742" s="18" t="s">
        <v>48805</v>
      </c>
      <c r="O10742" s="18" t="s">
        <v>29</v>
      </c>
      <c r="P10742" s="18" t="s">
        <v>48806</v>
      </c>
      <c r="Q10742" s="6"/>
      <c r="R10742" s="6"/>
      <c r="S10742" s="6"/>
      <c r="T10742" s="6"/>
      <c r="U10742" s="6"/>
    </row>
    <row r="10743" ht="14.25">
      <c r="B10743" s="18" t="s">
        <v>866</v>
      </c>
      <c r="C10743" s="18" t="s">
        <v>9837</v>
      </c>
      <c r="D10743" s="18" t="s">
        <v>112</v>
      </c>
      <c r="E10743" s="18" t="s">
        <v>48807</v>
      </c>
      <c r="F10743" s="18" t="str">
        <f>IFERROR(__XLUDF.DUMMYFUNCTION("PROPER(REGEXREPLACE(D655,""[^A-Za-z]+ "",""""))"),"Fpi France")</f>
        <v xml:space="preserve">Fpi France</v>
      </c>
      <c r="G10743" s="18" t="s">
        <v>48808</v>
      </c>
      <c r="H10743" s="18">
        <v>49</v>
      </c>
      <c r="I10743" s="18" t="s">
        <v>4293</v>
      </c>
      <c r="J10743" s="5" t="s">
        <v>48809</v>
      </c>
      <c r="K10743" s="5" t="s">
        <v>48810</v>
      </c>
      <c r="L10743" s="6"/>
      <c r="M10743" s="18" t="s">
        <v>29</v>
      </c>
      <c r="N10743" s="18" t="s">
        <v>48811</v>
      </c>
      <c r="O10743" s="18" t="s">
        <v>29</v>
      </c>
      <c r="P10743" s="6"/>
      <c r="Q10743" s="6"/>
      <c r="R10743" s="6"/>
      <c r="S10743" s="6"/>
      <c r="T10743" s="6"/>
      <c r="U10743" s="6"/>
    </row>
    <row r="10744" ht="14.25">
      <c r="B10744" s="18" t="s">
        <v>222</v>
      </c>
      <c r="C10744" s="18" t="s">
        <v>17808</v>
      </c>
      <c r="D10744" s="18" t="s">
        <v>112</v>
      </c>
      <c r="E10744" s="18" t="s">
        <v>48812</v>
      </c>
      <c r="F10744" s="18" t="str">
        <f>IFERROR(__XLUDF.DUMMYFUNCTION("PROPER(REGEXREPLACE(D656,""[^A-Za-z]+ "",""""))"),"Amolia")</f>
        <v>Amolia</v>
      </c>
      <c r="G10744" s="18" t="s">
        <v>48813</v>
      </c>
      <c r="H10744" s="18">
        <v>5</v>
      </c>
      <c r="I10744" s="18" t="s">
        <v>9239</v>
      </c>
      <c r="J10744" s="5" t="s">
        <v>48814</v>
      </c>
      <c r="K10744" s="5" t="s">
        <v>48815</v>
      </c>
      <c r="L10744" s="18" t="s">
        <v>1711</v>
      </c>
      <c r="M10744" s="18" t="s">
        <v>29</v>
      </c>
      <c r="N10744" s="18" t="s">
        <v>48816</v>
      </c>
      <c r="O10744" s="18" t="s">
        <v>29</v>
      </c>
      <c r="P10744" s="18" t="s">
        <v>48817</v>
      </c>
      <c r="Q10744" s="6"/>
      <c r="R10744" s="6"/>
      <c r="S10744" s="6"/>
      <c r="T10744" s="6"/>
      <c r="U10744" s="6"/>
    </row>
    <row r="10745" ht="14.25">
      <c r="B10745" s="18" t="s">
        <v>20</v>
      </c>
      <c r="C10745" s="18" t="s">
        <v>48818</v>
      </c>
      <c r="D10745" s="18" t="s">
        <v>112</v>
      </c>
      <c r="E10745" s="18" t="s">
        <v>48819</v>
      </c>
      <c r="F10745" s="18" t="str">
        <f>IFERROR(__XLUDF.DUMMYFUNCTION("PROPER(REGEXREPLACE(D657,""[^A-Za-z]+ "",""""))"),"Maisons Brand")</f>
        <v xml:space="preserve">Maisons Brand</v>
      </c>
      <c r="G10745" s="18" t="s">
        <v>48820</v>
      </c>
      <c r="H10745" s="18">
        <v>29</v>
      </c>
      <c r="I10745" s="18" t="s">
        <v>9239</v>
      </c>
      <c r="J10745" s="5" t="s">
        <v>48821</v>
      </c>
      <c r="K10745" s="5" t="s">
        <v>48822</v>
      </c>
      <c r="L10745" s="18" t="s">
        <v>16312</v>
      </c>
      <c r="M10745" s="18" t="s">
        <v>29</v>
      </c>
      <c r="N10745" s="18" t="s">
        <v>48823</v>
      </c>
      <c r="O10745" s="18" t="s">
        <v>29</v>
      </c>
      <c r="P10745" s="18" t="s">
        <v>48824</v>
      </c>
      <c r="Q10745" s="6"/>
      <c r="R10745" s="6"/>
      <c r="S10745" s="6"/>
      <c r="T10745" s="6"/>
      <c r="U10745" s="6"/>
    </row>
    <row r="10746" ht="14.25">
      <c r="B10746" s="18" t="s">
        <v>12073</v>
      </c>
      <c r="C10746" s="18" t="s">
        <v>2410</v>
      </c>
      <c r="D10746" s="18" t="s">
        <v>112</v>
      </c>
      <c r="E10746" s="18" t="s">
        <v>48631</v>
      </c>
      <c r="F10746" s="18" t="str">
        <f>IFERROR(__XLUDF.DUMMYFUNCTION("PROPER(REGEXREPLACE(D658,""[^A-Za-z]+ "",""""))"),"Hexa Ingénierie")</f>
        <v xml:space="preserve">Hexa Ingénierie</v>
      </c>
      <c r="G10746" s="18" t="s">
        <v>48825</v>
      </c>
      <c r="H10746" s="18">
        <v>37</v>
      </c>
      <c r="I10746" s="18" t="s">
        <v>9239</v>
      </c>
      <c r="J10746" s="5" t="s">
        <v>48826</v>
      </c>
      <c r="K10746" s="5" t="s">
        <v>48634</v>
      </c>
      <c r="L10746" s="18" t="s">
        <v>846</v>
      </c>
      <c r="M10746" s="18" t="s">
        <v>29</v>
      </c>
      <c r="N10746" s="18" t="s">
        <v>48635</v>
      </c>
      <c r="O10746" s="18" t="s">
        <v>29</v>
      </c>
      <c r="P10746" s="18" t="s">
        <v>48636</v>
      </c>
      <c r="Q10746" s="6"/>
      <c r="R10746" s="6"/>
      <c r="S10746" s="6"/>
      <c r="T10746" s="6"/>
      <c r="U10746" s="6"/>
    </row>
    <row r="10747" ht="14.25">
      <c r="B10747" s="18" t="s">
        <v>16133</v>
      </c>
      <c r="C10747" s="18" t="s">
        <v>48827</v>
      </c>
      <c r="D10747" s="18" t="s">
        <v>112</v>
      </c>
      <c r="E10747" s="18" t="s">
        <v>48828</v>
      </c>
      <c r="F10747" s="18" t="str">
        <f>IFERROR(__XLUDF.DUMMYFUNCTION("PROPER(REGEXREPLACE(D659,""[^A-Za-z]+ "",""""))"),"Bp Métal")</f>
        <v xml:space="preserve">Bp Métal</v>
      </c>
      <c r="G10747" s="18" t="s">
        <v>48829</v>
      </c>
      <c r="H10747" s="18">
        <v>26</v>
      </c>
      <c r="I10747" s="18" t="s">
        <v>9239</v>
      </c>
      <c r="J10747" s="5" t="s">
        <v>48830</v>
      </c>
      <c r="K10747" s="5" t="s">
        <v>48831</v>
      </c>
      <c r="L10747" s="18" t="s">
        <v>48832</v>
      </c>
      <c r="M10747" s="18" t="s">
        <v>29</v>
      </c>
      <c r="N10747" s="18" t="s">
        <v>48833</v>
      </c>
      <c r="O10747" s="18" t="s">
        <v>29</v>
      </c>
      <c r="P10747" s="6"/>
      <c r="Q10747" s="6"/>
      <c r="R10747" s="6"/>
      <c r="S10747" s="6"/>
      <c r="T10747" s="6"/>
      <c r="U10747" s="6"/>
    </row>
    <row r="10748" ht="14.25">
      <c r="B10748" s="18" t="s">
        <v>485</v>
      </c>
      <c r="C10748" s="18" t="s">
        <v>48834</v>
      </c>
      <c r="D10748" s="18" t="s">
        <v>112</v>
      </c>
      <c r="E10748" s="18" t="s">
        <v>48835</v>
      </c>
      <c r="F10748" s="18" t="str">
        <f>IFERROR(__XLUDF.DUMMYFUNCTION("PROPER(REGEXREPLACE(D660,""[^A-Za-z]+ "",""""))"),"Assemblage Ingénierie")</f>
        <v xml:space="preserve">Assemblage Ingénierie</v>
      </c>
      <c r="G10748" s="18" t="s">
        <v>48836</v>
      </c>
      <c r="H10748" s="18">
        <v>13</v>
      </c>
      <c r="I10748" s="18" t="s">
        <v>9239</v>
      </c>
      <c r="J10748" s="5" t="s">
        <v>48837</v>
      </c>
      <c r="K10748" s="5" t="s">
        <v>48838</v>
      </c>
      <c r="L10748" s="18" t="s">
        <v>39</v>
      </c>
      <c r="M10748" s="18" t="s">
        <v>29</v>
      </c>
      <c r="N10748" s="18" t="s">
        <v>48839</v>
      </c>
      <c r="O10748" s="18" t="s">
        <v>29</v>
      </c>
      <c r="P10748" s="18" t="s">
        <v>48840</v>
      </c>
      <c r="Q10748" s="6"/>
      <c r="R10748" s="6"/>
      <c r="S10748" s="6"/>
      <c r="T10748" s="6"/>
      <c r="U10748" s="6"/>
    </row>
    <row r="10749" ht="14.25">
      <c r="B10749" s="18" t="s">
        <v>7559</v>
      </c>
      <c r="C10749" s="18" t="s">
        <v>48841</v>
      </c>
      <c r="D10749" s="18" t="s">
        <v>315</v>
      </c>
      <c r="E10749" s="18" t="s">
        <v>47447</v>
      </c>
      <c r="F10749" s="18" t="str">
        <f>IFERROR(__XLUDF.DUMMYFUNCTION("PROPER(REGEXREPLACE(D661,""[^A-Za-z]+ "",""""))"),"Xtreee The Large-Scale 3D")</f>
        <v xml:space="preserve">Xtreee The Large-Scale 3D</v>
      </c>
      <c r="G10749" s="18" t="s">
        <v>48842</v>
      </c>
      <c r="H10749" s="18">
        <v>20</v>
      </c>
      <c r="I10749" s="18" t="s">
        <v>9239</v>
      </c>
      <c r="J10749" s="5" t="s">
        <v>48843</v>
      </c>
      <c r="K10749" s="5" t="s">
        <v>47450</v>
      </c>
      <c r="L10749" s="18" t="s">
        <v>9195</v>
      </c>
      <c r="M10749" s="18" t="s">
        <v>29</v>
      </c>
      <c r="N10749" s="18" t="s">
        <v>47452</v>
      </c>
      <c r="O10749" s="18" t="s">
        <v>29</v>
      </c>
      <c r="P10749" s="18" t="s">
        <v>47453</v>
      </c>
      <c r="Q10749" s="6"/>
      <c r="R10749" s="6"/>
      <c r="S10749" s="6"/>
      <c r="T10749" s="6"/>
      <c r="U10749" s="6"/>
    </row>
    <row r="10750" ht="14.25">
      <c r="B10750" s="18" t="s">
        <v>3002</v>
      </c>
      <c r="C10750" s="18" t="s">
        <v>48844</v>
      </c>
      <c r="D10750" s="18" t="s">
        <v>48845</v>
      </c>
      <c r="E10750" s="18" t="s">
        <v>47442</v>
      </c>
      <c r="F10750" s="18" t="str">
        <f>IFERROR(__XLUDF.DUMMYFUNCTION("PROPER(REGEXREPLACE(D662,""[^A-Za-z]+ "",""""))"),"Atlantic Modulaire")</f>
        <v xml:space="preserve">Atlantic Modulaire</v>
      </c>
      <c r="G10750" s="18" t="s">
        <v>48846</v>
      </c>
      <c r="H10750" s="18">
        <v>18</v>
      </c>
      <c r="I10750" s="18" t="s">
        <v>9239</v>
      </c>
      <c r="J10750" s="5" t="s">
        <v>48847</v>
      </c>
      <c r="K10750" s="5" t="s">
        <v>47445</v>
      </c>
      <c r="L10750" s="18" t="s">
        <v>8027</v>
      </c>
      <c r="M10750" s="18" t="s">
        <v>29</v>
      </c>
      <c r="N10750" s="18" t="s">
        <v>47446</v>
      </c>
      <c r="O10750" s="18" t="s">
        <v>29</v>
      </c>
      <c r="P10750" s="6"/>
      <c r="Q10750" s="6"/>
      <c r="R10750" s="6"/>
      <c r="S10750" s="6"/>
      <c r="T10750" s="6"/>
      <c r="U10750" s="6"/>
    </row>
    <row r="10751" ht="14.25">
      <c r="B10751" s="18" t="s">
        <v>808</v>
      </c>
      <c r="C10751" s="18" t="s">
        <v>5928</v>
      </c>
      <c r="D10751" s="18" t="s">
        <v>28315</v>
      </c>
      <c r="E10751" s="18" t="s">
        <v>48848</v>
      </c>
      <c r="F10751" s="18" t="str">
        <f>IFERROR(__XLUDF.DUMMYFUNCTION("PROPER(REGEXREPLACE(D663,""[^A-Za-z]+ "",""""))"),"Compagnie Parisienne D'Entreprises Générales Parenge")</f>
        <v xml:space="preserve">Compagnie Parisienne D'Entreprises Générales Parenge</v>
      </c>
      <c r="G10751" s="18" t="s">
        <v>48849</v>
      </c>
      <c r="H10751" s="18">
        <v>46</v>
      </c>
      <c r="I10751" s="18" t="s">
        <v>9239</v>
      </c>
      <c r="J10751" s="5" t="s">
        <v>48850</v>
      </c>
      <c r="K10751" s="5" t="s">
        <v>48851</v>
      </c>
      <c r="L10751" s="6"/>
      <c r="M10751" s="18" t="s">
        <v>29</v>
      </c>
      <c r="N10751" s="18" t="s">
        <v>48852</v>
      </c>
      <c r="O10751" s="18" t="s">
        <v>29</v>
      </c>
      <c r="P10751" s="6"/>
      <c r="Q10751" s="6"/>
      <c r="R10751" s="6"/>
      <c r="S10751" s="6"/>
      <c r="T10751" s="6"/>
      <c r="U10751" s="6"/>
    </row>
    <row r="10752" ht="14.25">
      <c r="B10752" s="18" t="s">
        <v>76</v>
      </c>
      <c r="C10752" s="18" t="s">
        <v>6907</v>
      </c>
      <c r="D10752" s="18" t="s">
        <v>1130</v>
      </c>
      <c r="E10752" s="18" t="s">
        <v>48853</v>
      </c>
      <c r="F10752" s="18" t="str">
        <f>IFERROR(__XLUDF.DUMMYFUNCTION("PROPER(REGEXREPLACE(D664,""[^A-Za-z]+ "",""""))"),"Ouest Etanche")</f>
        <v xml:space="preserve">Ouest Etanche</v>
      </c>
      <c r="G10752" s="18" t="s">
        <v>48854</v>
      </c>
      <c r="H10752" s="18">
        <v>6</v>
      </c>
      <c r="I10752" s="18" t="s">
        <v>9239</v>
      </c>
      <c r="J10752" s="5" t="s">
        <v>48855</v>
      </c>
      <c r="K10752" s="5" t="s">
        <v>48856</v>
      </c>
      <c r="L10752" s="18" t="s">
        <v>48857</v>
      </c>
      <c r="M10752" s="18" t="s">
        <v>29</v>
      </c>
      <c r="N10752" s="18" t="s">
        <v>48858</v>
      </c>
      <c r="O10752" s="18" t="s">
        <v>29</v>
      </c>
      <c r="P10752" s="6"/>
      <c r="Q10752" s="6"/>
      <c r="R10752" s="6"/>
      <c r="S10752" s="6"/>
      <c r="T10752" s="6"/>
      <c r="U10752" s="6"/>
    </row>
    <row r="10753" ht="14.25">
      <c r="B10753" s="18" t="s">
        <v>893</v>
      </c>
      <c r="C10753" s="18" t="s">
        <v>48859</v>
      </c>
      <c r="D10753" s="18" t="s">
        <v>48860</v>
      </c>
      <c r="E10753" s="18" t="s">
        <v>48861</v>
      </c>
      <c r="F10753" s="18" t="str">
        <f>IFERROR(__XLUDF.DUMMYFUNCTION("PROPER(REGEXREPLACE(D665,""[^A-Za-z]+ "",""""))"),"Extend")</f>
        <v>Extend</v>
      </c>
      <c r="G10753" s="18" t="s">
        <v>48862</v>
      </c>
      <c r="H10753" s="18">
        <v>5</v>
      </c>
      <c r="I10753" s="18" t="s">
        <v>9239</v>
      </c>
      <c r="J10753" s="5" t="s">
        <v>48863</v>
      </c>
      <c r="K10753" s="5" t="s">
        <v>48864</v>
      </c>
      <c r="L10753" s="18" t="s">
        <v>11898</v>
      </c>
      <c r="M10753" s="18" t="s">
        <v>29</v>
      </c>
      <c r="N10753" s="18" t="s">
        <v>48865</v>
      </c>
      <c r="O10753" s="18" t="s">
        <v>29</v>
      </c>
      <c r="P10753" s="18" t="s">
        <v>48866</v>
      </c>
      <c r="Q10753" s="6"/>
      <c r="R10753" s="6"/>
      <c r="S10753" s="6"/>
      <c r="T10753" s="6"/>
      <c r="U10753" s="6"/>
    </row>
    <row r="10754" ht="14.25">
      <c r="B10754" s="18" t="s">
        <v>8802</v>
      </c>
      <c r="C10754" s="18" t="s">
        <v>48867</v>
      </c>
      <c r="D10754" s="18" t="s">
        <v>120</v>
      </c>
      <c r="E10754" s="18" t="s">
        <v>48868</v>
      </c>
      <c r="F10754" s="18" t="str">
        <f>IFERROR(__XLUDF.DUMMYFUNCTION("PROPER(REGEXREPLACE(D666,""[^A-Za-z]+ "",""""))"),"X-Projects Construction")</f>
        <v xml:space="preserve">X-Projects Construction</v>
      </c>
      <c r="G10754" s="18" t="s">
        <v>48869</v>
      </c>
      <c r="H10754" s="18">
        <v>11</v>
      </c>
      <c r="I10754" s="18" t="s">
        <v>9239</v>
      </c>
      <c r="J10754" s="5" t="s">
        <v>48870</v>
      </c>
      <c r="K10754" s="5" t="s">
        <v>48871</v>
      </c>
      <c r="L10754" s="18" t="s">
        <v>39</v>
      </c>
      <c r="M10754" s="18" t="s">
        <v>29</v>
      </c>
      <c r="N10754" s="18" t="s">
        <v>48872</v>
      </c>
      <c r="O10754" s="18" t="s">
        <v>29</v>
      </c>
      <c r="P10754" s="6"/>
      <c r="Q10754" s="6"/>
      <c r="R10754" s="6"/>
      <c r="S10754" s="6"/>
      <c r="T10754" s="6"/>
      <c r="U10754" s="6"/>
    </row>
    <row r="10755" ht="14.25">
      <c r="B10755" s="18" t="s">
        <v>48873</v>
      </c>
      <c r="C10755" s="18" t="s">
        <v>48874</v>
      </c>
      <c r="D10755" s="18" t="s">
        <v>172</v>
      </c>
      <c r="E10755" s="18" t="s">
        <v>48875</v>
      </c>
      <c r="F10755" s="18" t="str">
        <f>IFERROR(__XLUDF.DUMMYFUNCTION("PROPER(REGEXREPLACE(D667,""[^A-Za-z]+ "",""""))"),"Helix Construction")</f>
        <v xml:space="preserve">Helix Construction</v>
      </c>
      <c r="G10755" s="18" t="s">
        <v>48876</v>
      </c>
      <c r="H10755" s="18">
        <v>17</v>
      </c>
      <c r="I10755" s="18" t="s">
        <v>9239</v>
      </c>
      <c r="J10755" s="5" t="s">
        <v>48877</v>
      </c>
      <c r="K10755" s="5" t="s">
        <v>48878</v>
      </c>
      <c r="L10755" s="18" t="s">
        <v>39</v>
      </c>
      <c r="M10755" s="18" t="s">
        <v>29</v>
      </c>
      <c r="N10755" s="18" t="s">
        <v>48879</v>
      </c>
      <c r="O10755" s="18" t="s">
        <v>1261</v>
      </c>
      <c r="P10755" s="6"/>
      <c r="Q10755" s="6"/>
      <c r="R10755" s="6"/>
      <c r="S10755" s="6"/>
      <c r="T10755" s="6"/>
      <c r="U10755" s="6"/>
    </row>
    <row r="10756" ht="14.25">
      <c r="B10756" s="18" t="s">
        <v>622</v>
      </c>
      <c r="C10756" s="18" t="s">
        <v>48880</v>
      </c>
      <c r="D10756" s="18" t="s">
        <v>426</v>
      </c>
      <c r="E10756" s="18" t="s">
        <v>48881</v>
      </c>
      <c r="F10756" s="18" t="str">
        <f>IFERROR(__XLUDF.DUMMYFUNCTION("PROPER(REGEXREPLACE(D668,""[^A-Za-z]+ "",""""))"),"Alti City")</f>
        <v xml:space="preserve">Alti City</v>
      </c>
      <c r="G10756" s="18" t="s">
        <v>48882</v>
      </c>
      <c r="H10756" s="18">
        <v>18</v>
      </c>
      <c r="I10756" s="18" t="s">
        <v>9239</v>
      </c>
      <c r="J10756" s="5" t="s">
        <v>48883</v>
      </c>
      <c r="K10756" s="5" t="s">
        <v>48884</v>
      </c>
      <c r="L10756" s="18" t="s">
        <v>48885</v>
      </c>
      <c r="M10756" s="18" t="s">
        <v>29</v>
      </c>
      <c r="N10756" s="18" t="s">
        <v>48886</v>
      </c>
      <c r="O10756" s="18" t="s">
        <v>29</v>
      </c>
      <c r="P10756" s="18" t="s">
        <v>48887</v>
      </c>
      <c r="Q10756" s="6"/>
      <c r="R10756" s="6"/>
      <c r="S10756" s="6"/>
      <c r="T10756" s="6"/>
      <c r="U10756" s="6"/>
    </row>
    <row r="10757" ht="14.25">
      <c r="B10757" s="18" t="s">
        <v>1592</v>
      </c>
      <c r="C10757" s="18" t="s">
        <v>1499</v>
      </c>
      <c r="D10757" s="18" t="s">
        <v>48888</v>
      </c>
      <c r="E10757" s="18" t="s">
        <v>48889</v>
      </c>
      <c r="F10757" s="18" t="str">
        <f>IFERROR(__XLUDF.DUMMYFUNCTION("PROPER(REGEXREPLACE(D669,""[^A-Za-z]+ "",""""))"),"Eneos")</f>
        <v>Eneos</v>
      </c>
      <c r="G10757" s="18" t="s">
        <v>48890</v>
      </c>
      <c r="H10757" s="18">
        <v>17</v>
      </c>
      <c r="I10757" s="18" t="s">
        <v>9239</v>
      </c>
      <c r="J10757" s="5" t="s">
        <v>48891</v>
      </c>
      <c r="K10757" s="5" t="s">
        <v>48892</v>
      </c>
      <c r="L10757" s="18" t="s">
        <v>774</v>
      </c>
      <c r="M10757" s="18" t="s">
        <v>29</v>
      </c>
      <c r="N10757" s="18" t="s">
        <v>48893</v>
      </c>
      <c r="O10757" s="18" t="s">
        <v>29</v>
      </c>
      <c r="P10757" s="18" t="s">
        <v>48894</v>
      </c>
      <c r="Q10757" s="6"/>
      <c r="R10757" s="6"/>
      <c r="S10757" s="6"/>
      <c r="T10757" s="6"/>
      <c r="U10757" s="6"/>
    </row>
    <row r="10758" ht="14.25">
      <c r="B10758" s="18" t="s">
        <v>355</v>
      </c>
      <c r="C10758" s="18" t="s">
        <v>31215</v>
      </c>
      <c r="D10758" s="18" t="s">
        <v>172</v>
      </c>
      <c r="E10758" s="18" t="s">
        <v>48895</v>
      </c>
      <c r="F10758" s="18" t="str">
        <f>IFERROR(__XLUDF.DUMMYFUNCTION("PROPER(REGEXREPLACE(D670,""[^A-Za-z]+ "",""""))"),"Cat Ingenierie")</f>
        <v xml:space="preserve">Cat Ingenierie</v>
      </c>
      <c r="G10758" s="18" t="s">
        <v>48896</v>
      </c>
      <c r="H10758" s="18">
        <v>6</v>
      </c>
      <c r="I10758" s="18" t="s">
        <v>9239</v>
      </c>
      <c r="J10758" s="5" t="s">
        <v>48897</v>
      </c>
      <c r="K10758" s="5" t="s">
        <v>48898</v>
      </c>
      <c r="L10758" s="18" t="s">
        <v>39</v>
      </c>
      <c r="M10758" s="18" t="s">
        <v>29</v>
      </c>
      <c r="N10758" s="18" t="s">
        <v>48899</v>
      </c>
      <c r="O10758" s="18" t="s">
        <v>29</v>
      </c>
      <c r="P10758" s="6"/>
      <c r="Q10758" s="6"/>
      <c r="R10758" s="6"/>
      <c r="S10758" s="6"/>
      <c r="T10758" s="6"/>
      <c r="U10758" s="6"/>
    </row>
    <row r="10759" ht="14.25">
      <c r="B10759" s="18" t="s">
        <v>5579</v>
      </c>
      <c r="C10759" s="18" t="s">
        <v>48900</v>
      </c>
      <c r="D10759" s="18" t="s">
        <v>172</v>
      </c>
      <c r="E10759" s="18" t="s">
        <v>48901</v>
      </c>
      <c r="F10759" s="18" t="str">
        <f>IFERROR(__XLUDF.DUMMYFUNCTION("PROPER(REGEXREPLACE(D671,""[^A-Za-z]+ "",""""))"),"Bluepad")</f>
        <v>Bluepad</v>
      </c>
      <c r="G10759" s="18" t="s">
        <v>48902</v>
      </c>
      <c r="H10759" s="18">
        <v>10</v>
      </c>
      <c r="I10759" s="18" t="s">
        <v>9239</v>
      </c>
      <c r="J10759" s="5" t="s">
        <v>48903</v>
      </c>
      <c r="K10759" s="5" t="s">
        <v>48904</v>
      </c>
      <c r="L10759" s="18" t="s">
        <v>4922</v>
      </c>
      <c r="M10759" s="18" t="s">
        <v>29</v>
      </c>
      <c r="N10759" s="18" t="s">
        <v>48905</v>
      </c>
      <c r="O10759" s="18" t="s">
        <v>29</v>
      </c>
      <c r="P10759" s="6"/>
      <c r="Q10759" s="6"/>
      <c r="R10759" s="6"/>
      <c r="S10759" s="6"/>
      <c r="T10759" s="6"/>
      <c r="U10759" s="6"/>
    </row>
    <row r="10760" ht="14.25">
      <c r="B10760" s="18" t="s">
        <v>1704</v>
      </c>
      <c r="C10760" s="18" t="s">
        <v>48906</v>
      </c>
      <c r="D10760" s="18" t="s">
        <v>172</v>
      </c>
      <c r="E10760" s="18" t="s">
        <v>48907</v>
      </c>
      <c r="F10760" s="18" t="str">
        <f>IFERROR(__XLUDF.DUMMYFUNCTION("PROPER(REGEXREPLACE(D672,""[^A-Za-z]+ "",""""))"),"Groupe Minot")</f>
        <v xml:space="preserve">Groupe Minot</v>
      </c>
      <c r="G10760" s="18" t="s">
        <v>48908</v>
      </c>
      <c r="H10760" s="18">
        <v>36</v>
      </c>
      <c r="I10760" s="18" t="s">
        <v>9239</v>
      </c>
      <c r="J10760" s="5" t="s">
        <v>48909</v>
      </c>
      <c r="K10760" s="5" t="s">
        <v>48910</v>
      </c>
      <c r="L10760" s="18" t="s">
        <v>185</v>
      </c>
      <c r="M10760" s="18" t="s">
        <v>29</v>
      </c>
      <c r="N10760" s="18" t="s">
        <v>48911</v>
      </c>
      <c r="O10760" s="18" t="s">
        <v>29</v>
      </c>
      <c r="P10760" s="18" t="s">
        <v>48912</v>
      </c>
      <c r="Q10760" s="6"/>
      <c r="R10760" s="6"/>
      <c r="S10760" s="6"/>
      <c r="T10760" s="6"/>
      <c r="U10760" s="6"/>
    </row>
    <row r="10761" ht="14.25">
      <c r="B10761" s="18" t="s">
        <v>322</v>
      </c>
      <c r="C10761" s="18" t="s">
        <v>48913</v>
      </c>
      <c r="D10761" s="18" t="s">
        <v>120</v>
      </c>
      <c r="E10761" s="18" t="s">
        <v>46975</v>
      </c>
      <c r="F10761" s="18" t="str">
        <f>IFERROR(__XLUDF.DUMMYFUNCTION("PROPER(REGEXREPLACE(D673,""[^A-Za-z]+ "",""""))"),"Youse")</f>
        <v>Youse</v>
      </c>
      <c r="G10761" s="18" t="s">
        <v>48914</v>
      </c>
      <c r="H10761" s="18">
        <v>8</v>
      </c>
      <c r="I10761" s="18" t="s">
        <v>4293</v>
      </c>
      <c r="J10761" s="5" t="s">
        <v>48915</v>
      </c>
      <c r="K10761" s="5" t="s">
        <v>46978</v>
      </c>
      <c r="L10761" s="18" t="s">
        <v>185</v>
      </c>
      <c r="M10761" s="18" t="s">
        <v>29</v>
      </c>
      <c r="N10761" s="18" t="s">
        <v>46979</v>
      </c>
      <c r="O10761" s="18" t="s">
        <v>29</v>
      </c>
      <c r="P10761" s="18" t="s">
        <v>46980</v>
      </c>
      <c r="Q10761" s="6"/>
      <c r="R10761" s="6"/>
      <c r="S10761" s="6"/>
      <c r="T10761" s="6"/>
      <c r="U10761" s="6"/>
    </row>
    <row r="10762" ht="14.25">
      <c r="B10762" s="18" t="s">
        <v>1853</v>
      </c>
      <c r="C10762" s="18" t="s">
        <v>48916</v>
      </c>
      <c r="D10762" s="18" t="s">
        <v>172</v>
      </c>
      <c r="E10762" s="18" t="s">
        <v>48917</v>
      </c>
      <c r="F10762" s="18" t="str">
        <f>IFERROR(__XLUDF.DUMMYFUNCTION("PROPER(REGEXREPLACE(D674,""[^A-Za-z]+ "",""""))"),"Amoex Conseils")</f>
        <v xml:space="preserve">Amoex Conseils</v>
      </c>
      <c r="G10762" s="18" t="s">
        <v>48918</v>
      </c>
      <c r="H10762" s="18">
        <v>6</v>
      </c>
      <c r="I10762" s="18" t="s">
        <v>9239</v>
      </c>
      <c r="J10762" s="5" t="s">
        <v>48919</v>
      </c>
      <c r="K10762" s="5" t="s">
        <v>48920</v>
      </c>
      <c r="L10762" s="18" t="s">
        <v>6936</v>
      </c>
      <c r="M10762" s="18" t="s">
        <v>29</v>
      </c>
      <c r="N10762" s="18" t="s">
        <v>48921</v>
      </c>
      <c r="O10762" s="18" t="s">
        <v>29</v>
      </c>
      <c r="P10762" s="18" t="s">
        <v>48922</v>
      </c>
      <c r="Q10762" s="6"/>
      <c r="R10762" s="6"/>
      <c r="S10762" s="6"/>
      <c r="T10762" s="6"/>
      <c r="U10762" s="6"/>
    </row>
    <row r="10763" ht="14.25">
      <c r="B10763" s="18" t="s">
        <v>3100</v>
      </c>
      <c r="C10763" s="18" t="s">
        <v>48923</v>
      </c>
      <c r="D10763" s="18" t="s">
        <v>426</v>
      </c>
      <c r="E10763" s="18" t="s">
        <v>48924</v>
      </c>
      <c r="F10763" s="18" t="str">
        <f>IFERROR(__XLUDF.DUMMYFUNCTION("PROPER(REGEXREPLACE(D675,""[^A-Za-z]+ "",""""))"),"Daney Constructions Métalliques")</f>
        <v xml:space="preserve">Daney Constructions Métalliques</v>
      </c>
      <c r="G10763" s="18" t="s">
        <v>48925</v>
      </c>
      <c r="H10763" s="18">
        <v>27</v>
      </c>
      <c r="I10763" s="18" t="s">
        <v>9239</v>
      </c>
      <c r="J10763" s="5" t="s">
        <v>48926</v>
      </c>
      <c r="K10763" s="5" t="s">
        <v>48927</v>
      </c>
      <c r="L10763" s="18" t="s">
        <v>243</v>
      </c>
      <c r="M10763" s="18" t="s">
        <v>29</v>
      </c>
      <c r="N10763" s="18" t="s">
        <v>48928</v>
      </c>
      <c r="O10763" s="18" t="s">
        <v>29</v>
      </c>
      <c r="P10763" s="18" t="s">
        <v>48929</v>
      </c>
      <c r="Q10763" s="6"/>
      <c r="R10763" s="6"/>
      <c r="S10763" s="6"/>
      <c r="T10763" s="6"/>
      <c r="U10763" s="6"/>
    </row>
    <row r="10764" ht="14.25">
      <c r="B10764" s="18" t="s">
        <v>48774</v>
      </c>
      <c r="C10764" s="18" t="s">
        <v>48930</v>
      </c>
      <c r="D10764" s="18" t="s">
        <v>48931</v>
      </c>
      <c r="E10764" s="18" t="s">
        <v>48932</v>
      </c>
      <c r="F10764" s="18" t="str">
        <f>IFERROR(__XLUDF.DUMMYFUNCTION("PROPER(REGEXREPLACE(D676,""[^A-Za-z]+ "",""""))"),"Avoltis Rénovation")</f>
        <v xml:space="preserve">Avoltis Rénovation</v>
      </c>
      <c r="G10764" s="18" t="s">
        <v>48933</v>
      </c>
      <c r="H10764" s="18">
        <v>10</v>
      </c>
      <c r="I10764" s="18" t="s">
        <v>9239</v>
      </c>
      <c r="J10764" s="5" t="s">
        <v>48934</v>
      </c>
      <c r="K10764" s="5" t="s">
        <v>48935</v>
      </c>
      <c r="L10764" s="18" t="s">
        <v>39</v>
      </c>
      <c r="M10764" s="18" t="s">
        <v>29</v>
      </c>
      <c r="N10764" s="18" t="s">
        <v>7599</v>
      </c>
      <c r="O10764" s="18" t="s">
        <v>29</v>
      </c>
      <c r="P10764" s="18" t="s">
        <v>48936</v>
      </c>
      <c r="Q10764" s="6"/>
      <c r="R10764" s="6"/>
      <c r="S10764" s="6"/>
      <c r="T10764" s="6"/>
      <c r="U10764" s="6"/>
    </row>
    <row r="10765" ht="14.25">
      <c r="B10765" s="18" t="s">
        <v>222</v>
      </c>
      <c r="C10765" s="18" t="s">
        <v>48937</v>
      </c>
      <c r="D10765" s="18" t="s">
        <v>172</v>
      </c>
      <c r="E10765" s="18" t="s">
        <v>48938</v>
      </c>
      <c r="F10765" s="18" t="str">
        <f>IFERROR(__XLUDF.DUMMYFUNCTION("PROPER(REGEXREPLACE(D677,""[^A-Za-z]+ "",""""))"),"Mecoworks")</f>
        <v>Mecoworks</v>
      </c>
      <c r="G10765" s="18" t="s">
        <v>48939</v>
      </c>
      <c r="H10765" s="18">
        <v>32</v>
      </c>
      <c r="I10765" s="18" t="s">
        <v>9239</v>
      </c>
      <c r="J10765" s="5" t="s">
        <v>48940</v>
      </c>
      <c r="K10765" s="5" t="s">
        <v>48941</v>
      </c>
      <c r="L10765" s="18" t="s">
        <v>83</v>
      </c>
      <c r="M10765" s="18" t="s">
        <v>29</v>
      </c>
      <c r="N10765" s="18" t="s">
        <v>29</v>
      </c>
      <c r="O10765" s="18" t="s">
        <v>29</v>
      </c>
      <c r="P10765" s="6"/>
      <c r="Q10765" s="6"/>
      <c r="R10765" s="6"/>
      <c r="S10765" s="6"/>
      <c r="T10765" s="6"/>
      <c r="U10765" s="6"/>
    </row>
    <row r="10766" ht="14.25">
      <c r="B10766" s="18" t="s">
        <v>5001</v>
      </c>
      <c r="C10766" s="18" t="s">
        <v>48942</v>
      </c>
      <c r="D10766" s="18" t="s">
        <v>172</v>
      </c>
      <c r="E10766" s="18" t="s">
        <v>48943</v>
      </c>
      <c r="F10766" s="18" t="str">
        <f>IFERROR(__XLUDF.DUMMYFUNCTION("PROPER(REGEXREPLACE(D678,""[^A-Za-z]+ "",""""))"),"Groupe Geceha")</f>
        <v xml:space="preserve">Groupe Geceha</v>
      </c>
      <c r="G10766" s="18" t="s">
        <v>48944</v>
      </c>
      <c r="H10766" s="18">
        <v>17</v>
      </c>
      <c r="I10766" s="18" t="s">
        <v>9239</v>
      </c>
      <c r="J10766" s="5" t="s">
        <v>48945</v>
      </c>
      <c r="K10766" s="5" t="s">
        <v>48946</v>
      </c>
      <c r="L10766" s="18" t="s">
        <v>48947</v>
      </c>
      <c r="M10766" s="18" t="s">
        <v>29</v>
      </c>
      <c r="N10766" s="18" t="s">
        <v>48948</v>
      </c>
      <c r="O10766" s="18" t="s">
        <v>29</v>
      </c>
      <c r="P10766" s="18" t="s">
        <v>48949</v>
      </c>
      <c r="Q10766" s="6"/>
      <c r="R10766" s="6"/>
      <c r="S10766" s="6"/>
      <c r="T10766" s="6"/>
      <c r="U10766" s="6"/>
    </row>
    <row r="10767" ht="14.25">
      <c r="B10767" s="18" t="s">
        <v>330</v>
      </c>
      <c r="C10767" s="18" t="s">
        <v>48950</v>
      </c>
      <c r="D10767" s="18" t="s">
        <v>172</v>
      </c>
      <c r="E10767" s="18" t="s">
        <v>48951</v>
      </c>
      <c r="F10767" s="18" t="str">
        <f>IFERROR(__XLUDF.DUMMYFUNCTION("PROPER(REGEXREPLACE(D679,""[^A-Za-z]+ "",""""))"),"Ghezzi Menuiserie")</f>
        <v xml:space="preserve">Ghezzi Menuiserie</v>
      </c>
      <c r="G10767" s="18" t="s">
        <v>48952</v>
      </c>
      <c r="H10767" s="18">
        <v>41</v>
      </c>
      <c r="I10767" s="18" t="s">
        <v>9239</v>
      </c>
      <c r="J10767" s="5" t="s">
        <v>48953</v>
      </c>
      <c r="K10767" s="5" t="s">
        <v>48954</v>
      </c>
      <c r="L10767" s="18" t="s">
        <v>48955</v>
      </c>
      <c r="M10767" s="18" t="s">
        <v>29</v>
      </c>
      <c r="N10767" s="18" t="s">
        <v>48956</v>
      </c>
      <c r="O10767" s="18" t="s">
        <v>29</v>
      </c>
      <c r="P10767" s="18" t="s">
        <v>48957</v>
      </c>
      <c r="Q10767" s="6"/>
      <c r="R10767" s="6"/>
      <c r="S10767" s="6"/>
      <c r="T10767" s="6"/>
      <c r="U10767" s="6"/>
    </row>
    <row r="10768" ht="14.25">
      <c r="B10768" s="18" t="s">
        <v>1215</v>
      </c>
      <c r="C10768" s="18" t="s">
        <v>11018</v>
      </c>
      <c r="D10768" s="18" t="s">
        <v>172</v>
      </c>
      <c r="E10768" s="18" t="s">
        <v>48958</v>
      </c>
      <c r="F10768" s="18" t="str">
        <f>IFERROR(__XLUDF.DUMMYFUNCTION("PROPER(REGEXREPLACE(D680,""[^A-Za-z]+ "",""""))"),"Digisecur")</f>
        <v>Digisecur</v>
      </c>
      <c r="G10768" s="18" t="s">
        <v>48959</v>
      </c>
      <c r="H10768" s="18">
        <v>8</v>
      </c>
      <c r="I10768" s="18" t="s">
        <v>1504</v>
      </c>
      <c r="J10768" s="5" t="s">
        <v>48960</v>
      </c>
      <c r="K10768" s="5" t="s">
        <v>48961</v>
      </c>
      <c r="L10768" s="18" t="s">
        <v>39</v>
      </c>
      <c r="M10768" s="18" t="s">
        <v>29</v>
      </c>
      <c r="N10768" s="18" t="s">
        <v>48962</v>
      </c>
      <c r="O10768" s="18" t="s">
        <v>29</v>
      </c>
      <c r="P10768" s="6"/>
      <c r="Q10768" s="6"/>
      <c r="R10768" s="6"/>
      <c r="S10768" s="6"/>
      <c r="T10768" s="6"/>
      <c r="U10768" s="6"/>
    </row>
    <row r="10769" ht="14.25">
      <c r="B10769" s="18" t="s">
        <v>18814</v>
      </c>
      <c r="C10769" s="18" t="s">
        <v>6634</v>
      </c>
      <c r="D10769" s="18" t="s">
        <v>1130</v>
      </c>
      <c r="E10769" s="18" t="s">
        <v>48963</v>
      </c>
      <c r="F10769" s="18" t="str">
        <f>IFERROR(__XLUDF.DUMMYFUNCTION("PROPER(REGEXREPLACE(D681,""[^A-Za-z]+ "",""""))"),"Garden Pool Srl")</f>
        <v xml:space="preserve">Garden Pool Srl</v>
      </c>
      <c r="G10769" s="18" t="s">
        <v>48964</v>
      </c>
      <c r="H10769" s="18">
        <v>8</v>
      </c>
      <c r="I10769" s="18" t="s">
        <v>9239</v>
      </c>
      <c r="J10769" s="5" t="s">
        <v>48965</v>
      </c>
      <c r="K10769" s="5" t="s">
        <v>48966</v>
      </c>
      <c r="L10769" s="18" t="s">
        <v>295</v>
      </c>
      <c r="M10769" s="18" t="s">
        <v>29</v>
      </c>
      <c r="N10769" s="18" t="s">
        <v>48967</v>
      </c>
      <c r="O10769" s="18" t="s">
        <v>2388</v>
      </c>
      <c r="P10769" s="18" t="s">
        <v>48968</v>
      </c>
      <c r="Q10769" s="6"/>
      <c r="R10769" s="6"/>
      <c r="S10769" s="6"/>
      <c r="T10769" s="6"/>
      <c r="U10769" s="6"/>
    </row>
    <row r="10770" ht="14.25">
      <c r="B10770" s="18" t="s">
        <v>48969</v>
      </c>
      <c r="C10770" s="18" t="s">
        <v>48970</v>
      </c>
      <c r="D10770" s="18" t="s">
        <v>48971</v>
      </c>
      <c r="E10770" s="18" t="s">
        <v>48972</v>
      </c>
      <c r="F10770" s="18" t="str">
        <f>IFERROR(__XLUDF.DUMMYFUNCTION("PROPER(REGEXREPLACE(D682,""[^A-Za-z]+ "",""""))"),"Omniaworks")</f>
        <v>Omniaworks</v>
      </c>
      <c r="G10770" s="18" t="s">
        <v>48973</v>
      </c>
      <c r="H10770" s="18">
        <v>11</v>
      </c>
      <c r="I10770" s="18" t="s">
        <v>9239</v>
      </c>
      <c r="J10770" s="5" t="s">
        <v>48974</v>
      </c>
      <c r="K10770" s="5" t="s">
        <v>48975</v>
      </c>
      <c r="L10770" s="18" t="s">
        <v>39</v>
      </c>
      <c r="M10770" s="18" t="s">
        <v>29</v>
      </c>
      <c r="N10770" s="18" t="s">
        <v>48976</v>
      </c>
      <c r="O10770" s="18" t="s">
        <v>2388</v>
      </c>
      <c r="P10770" s="18" t="s">
        <v>48977</v>
      </c>
      <c r="Q10770" s="6"/>
      <c r="R10770" s="6"/>
      <c r="S10770" s="6"/>
      <c r="T10770" s="6"/>
      <c r="U10770" s="6"/>
    </row>
    <row r="10771" ht="14.25">
      <c r="B10771" s="18" t="s">
        <v>19615</v>
      </c>
      <c r="C10771" s="18" t="s">
        <v>28335</v>
      </c>
      <c r="D10771" s="18" t="s">
        <v>1950</v>
      </c>
      <c r="E10771" s="18" t="s">
        <v>28336</v>
      </c>
      <c r="F10771" s="18" t="str">
        <f>IFERROR(__XLUDF.DUMMYFUNCTION("PROPER(REGEXREPLACE(D683,""[^A-Za-z]+ "",""""))"),"Agyre")</f>
        <v>Agyre</v>
      </c>
      <c r="G10771" s="18" t="s">
        <v>28337</v>
      </c>
      <c r="H10771" s="18">
        <v>14</v>
      </c>
      <c r="I10771" s="18" t="s">
        <v>9239</v>
      </c>
      <c r="J10771" s="5" t="s">
        <v>28338</v>
      </c>
      <c r="K10771" s="5" t="s">
        <v>28339</v>
      </c>
      <c r="L10771" s="18" t="s">
        <v>4943</v>
      </c>
      <c r="M10771" s="18" t="s">
        <v>29</v>
      </c>
      <c r="N10771" s="18" t="s">
        <v>28340</v>
      </c>
      <c r="O10771" s="18" t="s">
        <v>29</v>
      </c>
      <c r="P10771" s="18" t="s">
        <v>28341</v>
      </c>
      <c r="Q10771" s="6"/>
      <c r="R10771" s="6"/>
      <c r="S10771" s="6"/>
      <c r="T10771" s="6"/>
      <c r="U10771" s="6"/>
    </row>
    <row r="10772" ht="14.25">
      <c r="B10772" s="18" t="s">
        <v>48978</v>
      </c>
      <c r="C10772" s="18" t="s">
        <v>48979</v>
      </c>
      <c r="D10772" s="18" t="s">
        <v>5480</v>
      </c>
      <c r="E10772" s="18" t="s">
        <v>48980</v>
      </c>
      <c r="F10772" s="18" t="str">
        <f>IFERROR(__XLUDF.DUMMYFUNCTION("PROPER(REGEXREPLACE(D684,""[^A-Za-z]+ "",""""))"),"Maisons Batige")</f>
        <v xml:space="preserve">Maisons Batige</v>
      </c>
      <c r="G10772" s="18" t="s">
        <v>48981</v>
      </c>
      <c r="H10772" s="18">
        <v>18</v>
      </c>
      <c r="I10772" s="18" t="s">
        <v>9239</v>
      </c>
      <c r="J10772" s="5" t="s">
        <v>48982</v>
      </c>
      <c r="K10772" s="5" t="s">
        <v>48983</v>
      </c>
      <c r="L10772" s="6"/>
      <c r="M10772" s="18" t="s">
        <v>29</v>
      </c>
      <c r="N10772" s="18" t="s">
        <v>48984</v>
      </c>
      <c r="O10772" s="18" t="s">
        <v>29</v>
      </c>
      <c r="P10772" s="18" t="s">
        <v>48985</v>
      </c>
      <c r="Q10772" s="6"/>
      <c r="R10772" s="6"/>
      <c r="S10772" s="6"/>
      <c r="T10772" s="6"/>
      <c r="U10772" s="6"/>
    </row>
    <row r="10773" ht="14.25">
      <c r="B10773" s="18" t="s">
        <v>1387</v>
      </c>
      <c r="C10773" s="18" t="s">
        <v>48986</v>
      </c>
      <c r="D10773" s="18" t="s">
        <v>172</v>
      </c>
      <c r="E10773" s="18" t="s">
        <v>48987</v>
      </c>
      <c r="F10773" s="18" t="str">
        <f>IFERROR(__XLUDF.DUMMYFUNCTION("PROPER(REGEXREPLACE(D685,""[^A-Za-z]+ "",""""))"),"Origine Structures Bureau D'Études")</f>
        <v xml:space="preserve">Origine Structures Bureau D'Études</v>
      </c>
      <c r="G10773" s="18" t="s">
        <v>48988</v>
      </c>
      <c r="H10773" s="18">
        <v>8</v>
      </c>
      <c r="I10773" s="18" t="s">
        <v>9239</v>
      </c>
      <c r="J10773" s="5" t="s">
        <v>48989</v>
      </c>
      <c r="K10773" s="5" t="s">
        <v>48990</v>
      </c>
      <c r="L10773" s="18" t="s">
        <v>243</v>
      </c>
      <c r="M10773" s="18" t="s">
        <v>29</v>
      </c>
      <c r="N10773" s="18" t="s">
        <v>48991</v>
      </c>
      <c r="O10773" s="18" t="s">
        <v>29</v>
      </c>
      <c r="P10773" s="18" t="s">
        <v>48992</v>
      </c>
      <c r="Q10773" s="6"/>
      <c r="R10773" s="6"/>
      <c r="S10773" s="6"/>
      <c r="T10773" s="6"/>
      <c r="U10773" s="6"/>
    </row>
    <row r="10774" ht="14.25">
      <c r="B10774" s="18" t="s">
        <v>485</v>
      </c>
      <c r="C10774" s="18" t="s">
        <v>48993</v>
      </c>
      <c r="D10774" s="18" t="s">
        <v>172</v>
      </c>
      <c r="E10774" s="18" t="s">
        <v>48994</v>
      </c>
      <c r="F10774" s="18" t="str">
        <f>IFERROR(__XLUDF.DUMMYFUNCTION("PROPER(REGEXREPLACE(D686,""[^A-Za-z]+ "",""""))"),"Multideck")</f>
        <v>Multideck</v>
      </c>
      <c r="G10774" s="18" t="s">
        <v>48995</v>
      </c>
      <c r="H10774" s="18">
        <v>9</v>
      </c>
      <c r="I10774" s="18" t="s">
        <v>9239</v>
      </c>
      <c r="J10774" s="5" t="s">
        <v>48996</v>
      </c>
      <c r="K10774" s="5" t="s">
        <v>48997</v>
      </c>
      <c r="L10774" s="18" t="s">
        <v>48998</v>
      </c>
      <c r="M10774" s="18" t="s">
        <v>29</v>
      </c>
      <c r="N10774" s="18" t="s">
        <v>48999</v>
      </c>
      <c r="O10774" s="18" t="s">
        <v>29</v>
      </c>
      <c r="P10774" s="6"/>
      <c r="Q10774" s="6"/>
      <c r="R10774" s="6"/>
      <c r="S10774" s="6"/>
      <c r="T10774" s="6"/>
      <c r="U10774" s="6"/>
    </row>
    <row r="10775" ht="14.25">
      <c r="B10775" s="18" t="s">
        <v>49000</v>
      </c>
      <c r="C10775" s="18" t="s">
        <v>49001</v>
      </c>
      <c r="D10775" s="18" t="s">
        <v>87</v>
      </c>
      <c r="E10775" s="18" t="s">
        <v>49002</v>
      </c>
      <c r="F10775" s="18" t="str">
        <f>IFERROR(__XLUDF.DUMMYFUNCTION("PROPER(REGEXREPLACE(D687,""[^A-Za-z]+ "",""""))"),"Ekwipt")</f>
        <v>Ekwipt</v>
      </c>
      <c r="G10775" s="18" t="s">
        <v>49003</v>
      </c>
      <c r="H10775" s="18">
        <v>2</v>
      </c>
      <c r="I10775" s="18" t="s">
        <v>9239</v>
      </c>
      <c r="J10775" s="5" t="s">
        <v>49004</v>
      </c>
      <c r="K10775" s="5" t="s">
        <v>49005</v>
      </c>
      <c r="L10775" s="18" t="s">
        <v>6863</v>
      </c>
      <c r="M10775" s="18" t="s">
        <v>29</v>
      </c>
      <c r="N10775" s="18" t="s">
        <v>49006</v>
      </c>
      <c r="O10775" s="18" t="s">
        <v>29</v>
      </c>
      <c r="P10775" s="18" t="s">
        <v>49007</v>
      </c>
      <c r="Q10775" s="6"/>
      <c r="R10775" s="6"/>
      <c r="S10775" s="6"/>
      <c r="T10775" s="6"/>
      <c r="U10775" s="6"/>
    </row>
    <row r="10776" ht="14.25">
      <c r="B10776" s="18" t="s">
        <v>6356</v>
      </c>
      <c r="C10776" s="18" t="s">
        <v>1775</v>
      </c>
      <c r="D10776" s="18" t="s">
        <v>172</v>
      </c>
      <c r="E10776" s="18" t="s">
        <v>49008</v>
      </c>
      <c r="F10776" s="18" t="str">
        <f>IFERROR(__XLUDF.DUMMYFUNCTION("PROPER(REGEXREPLACE(D688,""[^A-Za-z]+ "",""""))"),"Edmi")</f>
        <v>Edmi</v>
      </c>
      <c r="G10776" s="18" t="s">
        <v>49009</v>
      </c>
      <c r="H10776" s="18">
        <v>20</v>
      </c>
      <c r="I10776" s="18" t="s">
        <v>9239</v>
      </c>
      <c r="J10776" s="5" t="s">
        <v>49010</v>
      </c>
      <c r="K10776" s="5" t="s">
        <v>49011</v>
      </c>
      <c r="L10776" s="18" t="s">
        <v>1507</v>
      </c>
      <c r="M10776" s="18" t="s">
        <v>29</v>
      </c>
      <c r="N10776" s="18" t="s">
        <v>49012</v>
      </c>
      <c r="O10776" s="18" t="s">
        <v>29</v>
      </c>
      <c r="P10776" s="18" t="s">
        <v>49013</v>
      </c>
      <c r="Q10776" s="6"/>
      <c r="R10776" s="6"/>
      <c r="S10776" s="6"/>
      <c r="T10776" s="6"/>
      <c r="U10776" s="6"/>
    </row>
    <row r="10777" ht="14.25">
      <c r="B10777" s="18" t="s">
        <v>3019</v>
      </c>
      <c r="C10777" s="18" t="s">
        <v>49014</v>
      </c>
      <c r="D10777" s="18" t="s">
        <v>1950</v>
      </c>
      <c r="E10777" s="18" t="s">
        <v>49015</v>
      </c>
      <c r="F10777" s="18" t="str">
        <f>IFERROR(__XLUDF.DUMMYFUNCTION("PROPER(REGEXREPLACE(D689,""[^A-Za-z]+ "",""""))"),"Semdas")</f>
        <v>Semdas</v>
      </c>
      <c r="G10777" s="18" t="s">
        <v>49016</v>
      </c>
      <c r="H10777" s="18">
        <v>25</v>
      </c>
      <c r="I10777" s="18" t="s">
        <v>10167</v>
      </c>
      <c r="J10777" s="5" t="s">
        <v>49017</v>
      </c>
      <c r="K10777" s="5" t="s">
        <v>49018</v>
      </c>
      <c r="L10777" s="18" t="s">
        <v>2186</v>
      </c>
      <c r="M10777" s="18" t="s">
        <v>29</v>
      </c>
      <c r="N10777" s="18" t="s">
        <v>49019</v>
      </c>
      <c r="O10777" s="18" t="s">
        <v>29</v>
      </c>
      <c r="P10777" s="18" t="s">
        <v>49020</v>
      </c>
      <c r="Q10777" s="6"/>
      <c r="R10777" s="6"/>
      <c r="S10777" s="6"/>
      <c r="T10777" s="6"/>
      <c r="U10777" s="6"/>
    </row>
    <row r="10778" ht="14.25">
      <c r="B10778" s="18" t="s">
        <v>588</v>
      </c>
      <c r="C10778" s="18" t="s">
        <v>49021</v>
      </c>
      <c r="D10778" s="18" t="s">
        <v>172</v>
      </c>
      <c r="E10778" s="18" t="s">
        <v>49022</v>
      </c>
      <c r="F10778" s="18" t="str">
        <f>IFERROR(__XLUDF.DUMMYFUNCTION("PROPER(REGEXREPLACE(D690,""[^A-Za-z]+ "",""""))"),"Sas Turlier Gozard Electricite Generale")</f>
        <v xml:space="preserve">Sas Turlier Gozard Electricite Generale</v>
      </c>
      <c r="G10778" s="18" t="s">
        <v>49023</v>
      </c>
      <c r="H10778" s="18">
        <v>3</v>
      </c>
      <c r="I10778" s="18" t="s">
        <v>9239</v>
      </c>
      <c r="J10778" s="5" t="s">
        <v>49024</v>
      </c>
      <c r="K10778" s="5" t="s">
        <v>49025</v>
      </c>
      <c r="L10778" s="18" t="s">
        <v>49026</v>
      </c>
      <c r="M10778" s="18" t="s">
        <v>29</v>
      </c>
      <c r="N10778" s="18" t="s">
        <v>49027</v>
      </c>
      <c r="O10778" s="18" t="s">
        <v>29</v>
      </c>
      <c r="P10778" s="6"/>
      <c r="Q10778" s="6"/>
      <c r="R10778" s="6"/>
      <c r="S10778" s="6"/>
      <c r="T10778" s="6"/>
      <c r="U10778" s="6"/>
    </row>
    <row r="10779" ht="14.25">
      <c r="B10779" s="18" t="s">
        <v>13010</v>
      </c>
      <c r="C10779" s="18" t="s">
        <v>40682</v>
      </c>
      <c r="D10779" s="18" t="s">
        <v>62</v>
      </c>
      <c r="E10779" s="18" t="s">
        <v>47410</v>
      </c>
      <c r="F10779" s="18" t="str">
        <f>IFERROR(__XLUDF.DUMMYFUNCTION("PROPER(REGEXREPLACE(D691,""[^A-Za-z]+ "",""""))"),"Vestack")</f>
        <v>Vestack</v>
      </c>
      <c r="G10779" s="18" t="s">
        <v>49028</v>
      </c>
      <c r="H10779" s="18">
        <v>48</v>
      </c>
      <c r="I10779" s="18" t="s">
        <v>9239</v>
      </c>
      <c r="J10779" s="5" t="s">
        <v>49029</v>
      </c>
      <c r="K10779" s="5" t="s">
        <v>47413</v>
      </c>
      <c r="L10779" s="18" t="s">
        <v>39</v>
      </c>
      <c r="M10779" s="18" t="s">
        <v>29</v>
      </c>
      <c r="N10779" s="18" t="s">
        <v>47414</v>
      </c>
      <c r="O10779" s="18" t="s">
        <v>29</v>
      </c>
      <c r="P10779" s="18" t="s">
        <v>47415</v>
      </c>
      <c r="Q10779" s="6"/>
      <c r="R10779" s="6"/>
      <c r="S10779" s="6"/>
      <c r="T10779" s="6"/>
      <c r="U10779" s="6"/>
    </row>
    <row r="10780" ht="14.25">
      <c r="B10780" s="18" t="s">
        <v>49030</v>
      </c>
      <c r="C10780" s="18" t="s">
        <v>49031</v>
      </c>
      <c r="D10780" s="18" t="s">
        <v>87</v>
      </c>
      <c r="E10780" s="18" t="s">
        <v>49032</v>
      </c>
      <c r="F10780" s="18" t="str">
        <f>IFERROR(__XLUDF.DUMMYFUNCTION("PROPER(REGEXREPLACE(D692,""[^A-Za-z]+ "",""""))"),"Mericom Archi")</f>
        <v xml:space="preserve">Mericom Archi</v>
      </c>
      <c r="G10780" s="18" t="s">
        <v>49033</v>
      </c>
      <c r="H10780" s="18">
        <v>13</v>
      </c>
      <c r="I10780" s="18" t="s">
        <v>10167</v>
      </c>
      <c r="J10780" s="5" t="s">
        <v>49034</v>
      </c>
      <c r="K10780" s="5" t="s">
        <v>49035</v>
      </c>
      <c r="L10780" s="18" t="s">
        <v>1711</v>
      </c>
      <c r="M10780" s="18" t="s">
        <v>29</v>
      </c>
      <c r="N10780" s="18" t="s">
        <v>49036</v>
      </c>
      <c r="O10780" s="18" t="s">
        <v>29</v>
      </c>
      <c r="P10780" s="18" t="s">
        <v>49037</v>
      </c>
      <c r="Q10780" s="6"/>
      <c r="R10780" s="6"/>
      <c r="S10780" s="6"/>
      <c r="T10780" s="6"/>
      <c r="U10780" s="6"/>
    </row>
    <row r="10781" ht="14.25">
      <c r="B10781" s="18" t="s">
        <v>3002</v>
      </c>
      <c r="C10781" s="18" t="s">
        <v>49038</v>
      </c>
      <c r="D10781" s="18" t="s">
        <v>112</v>
      </c>
      <c r="E10781" s="18" t="s">
        <v>49039</v>
      </c>
      <c r="F10781" s="18" t="str">
        <f>IFERROR(__XLUDF.DUMMYFUNCTION("PROPER(REGEXREPLACE(D693,""[^A-Za-z]+ "",""""))"),"Enera Conseil")</f>
        <v xml:space="preserve">Enera Conseil</v>
      </c>
      <c r="G10781" s="18" t="s">
        <v>49040</v>
      </c>
      <c r="H10781" s="18">
        <v>63</v>
      </c>
      <c r="I10781" s="18" t="s">
        <v>9239</v>
      </c>
      <c r="J10781" s="5" t="s">
        <v>49041</v>
      </c>
      <c r="K10781" s="5" t="s">
        <v>49042</v>
      </c>
      <c r="L10781" s="18" t="s">
        <v>39</v>
      </c>
      <c r="M10781" s="18" t="s">
        <v>29</v>
      </c>
      <c r="N10781" s="18" t="s">
        <v>49043</v>
      </c>
      <c r="O10781" s="18" t="s">
        <v>29</v>
      </c>
      <c r="P10781" s="18" t="s">
        <v>49044</v>
      </c>
      <c r="Q10781" s="6"/>
      <c r="R10781" s="6"/>
      <c r="S10781" s="6"/>
      <c r="T10781" s="6"/>
      <c r="U10781" s="6"/>
    </row>
    <row r="10782" ht="14.25">
      <c r="B10782" s="18" t="s">
        <v>661</v>
      </c>
      <c r="C10782" s="18" t="s">
        <v>963</v>
      </c>
      <c r="D10782" s="18" t="s">
        <v>112</v>
      </c>
      <c r="E10782" s="18" t="s">
        <v>49045</v>
      </c>
      <c r="F10782" s="18" t="str">
        <f>IFERROR(__XLUDF.DUMMYFUNCTION("PROPER(REGEXREPLACE(D694,""[^A-Za-z]+ "",""""))"),"S2T Ingenierie")</f>
        <v xml:space="preserve">S2T Ingenierie</v>
      </c>
      <c r="G10782" s="18" t="s">
        <v>49046</v>
      </c>
      <c r="H10782" s="18">
        <v>42</v>
      </c>
      <c r="I10782" s="18" t="s">
        <v>9239</v>
      </c>
      <c r="J10782" s="5" t="s">
        <v>49047</v>
      </c>
      <c r="K10782" s="5" t="s">
        <v>49048</v>
      </c>
      <c r="L10782" s="18" t="s">
        <v>1711</v>
      </c>
      <c r="M10782" s="18" t="s">
        <v>29</v>
      </c>
      <c r="N10782" s="18" t="s">
        <v>43092</v>
      </c>
      <c r="O10782" s="18" t="s">
        <v>29</v>
      </c>
      <c r="P10782" s="6"/>
      <c r="Q10782" s="6"/>
      <c r="R10782" s="6"/>
      <c r="S10782" s="6"/>
      <c r="T10782" s="6"/>
      <c r="U10782" s="6"/>
    </row>
    <row r="10783" ht="14.25">
      <c r="B10783" s="18" t="s">
        <v>2652</v>
      </c>
      <c r="C10783" s="18" t="s">
        <v>49049</v>
      </c>
      <c r="D10783" s="18" t="s">
        <v>112</v>
      </c>
      <c r="E10783" s="18" t="s">
        <v>49050</v>
      </c>
      <c r="F10783" s="18" t="str">
        <f>IFERROR(__XLUDF.DUMMYFUNCTION("PROPER(REGEXREPLACE(D695,""[^A-Za-z]+ "",""""))"),"Decremps Btp")</f>
        <v xml:space="preserve">Decremps Btp</v>
      </c>
      <c r="G10783" s="18" t="s">
        <v>49051</v>
      </c>
      <c r="H10783" s="18">
        <v>36</v>
      </c>
      <c r="I10783" s="18" t="s">
        <v>9239</v>
      </c>
      <c r="J10783" s="5" t="s">
        <v>49052</v>
      </c>
      <c r="K10783" s="5" t="s">
        <v>49053</v>
      </c>
      <c r="L10783" s="6"/>
      <c r="M10783" s="18" t="s">
        <v>29</v>
      </c>
      <c r="N10783" s="18" t="s">
        <v>49054</v>
      </c>
      <c r="O10783" s="18" t="s">
        <v>29</v>
      </c>
      <c r="P10783" s="18" t="s">
        <v>49055</v>
      </c>
      <c r="Q10783" s="6"/>
      <c r="R10783" s="6"/>
      <c r="S10783" s="6"/>
      <c r="T10783" s="6"/>
      <c r="U10783" s="6"/>
    </row>
    <row r="10784" ht="14.25">
      <c r="B10784" s="18" t="s">
        <v>49056</v>
      </c>
      <c r="C10784" s="18" t="s">
        <v>661</v>
      </c>
      <c r="D10784" s="18" t="s">
        <v>112</v>
      </c>
      <c r="E10784" s="18" t="s">
        <v>49057</v>
      </c>
      <c r="F10784" s="18" t="str">
        <f>IFERROR(__XLUDF.DUMMYFUNCTION("PROPER(REGEXREPLACE(D696,""[^A-Za-z]+ "",""""))"),"Snrb")</f>
        <v>Snrb</v>
      </c>
      <c r="G10784" s="18" t="s">
        <v>49058</v>
      </c>
      <c r="H10784" s="18">
        <v>29</v>
      </c>
      <c r="I10784" s="18" t="s">
        <v>9239</v>
      </c>
      <c r="J10784" s="5" t="s">
        <v>49059</v>
      </c>
      <c r="K10784" s="5" t="s">
        <v>49060</v>
      </c>
      <c r="L10784" s="18" t="s">
        <v>39</v>
      </c>
      <c r="M10784" s="18" t="s">
        <v>29</v>
      </c>
      <c r="N10784" s="18" t="s">
        <v>49061</v>
      </c>
      <c r="O10784" s="18" t="s">
        <v>29</v>
      </c>
      <c r="P10784" s="18" t="s">
        <v>49062</v>
      </c>
      <c r="Q10784" s="6"/>
      <c r="R10784" s="6"/>
      <c r="S10784" s="6"/>
      <c r="T10784" s="6"/>
      <c r="U10784" s="6"/>
    </row>
    <row r="10785" ht="14.25">
      <c r="B10785" s="18" t="s">
        <v>49063</v>
      </c>
      <c r="C10785" s="18" t="s">
        <v>14778</v>
      </c>
      <c r="D10785" s="18" t="s">
        <v>112</v>
      </c>
      <c r="E10785" s="18" t="s">
        <v>49064</v>
      </c>
      <c r="F10785" s="18" t="str">
        <f>IFERROR(__XLUDF.DUMMYFUNCTION("PROPER(REGEXREPLACE(D697,""[^A-Za-z]+ "",""""))"),"Speed Echafaudages")</f>
        <v xml:space="preserve">Speed Echafaudages</v>
      </c>
      <c r="G10785" s="18" t="s">
        <v>49065</v>
      </c>
      <c r="H10785" s="18">
        <v>13</v>
      </c>
      <c r="I10785" s="18" t="s">
        <v>9239</v>
      </c>
      <c r="J10785" s="5" t="s">
        <v>49066</v>
      </c>
      <c r="K10785" s="5" t="s">
        <v>49067</v>
      </c>
      <c r="L10785" s="18" t="s">
        <v>185</v>
      </c>
      <c r="M10785" s="18" t="s">
        <v>29</v>
      </c>
      <c r="N10785" s="18" t="s">
        <v>49068</v>
      </c>
      <c r="O10785" s="18" t="s">
        <v>29</v>
      </c>
      <c r="P10785" s="6"/>
      <c r="Q10785" s="6"/>
      <c r="R10785" s="6"/>
      <c r="S10785" s="6"/>
      <c r="T10785" s="6"/>
      <c r="U10785" s="6"/>
    </row>
    <row r="10786" ht="14.25">
      <c r="B10786" s="18" t="s">
        <v>604</v>
      </c>
      <c r="C10786" s="18" t="s">
        <v>49069</v>
      </c>
      <c r="D10786" s="18" t="s">
        <v>49070</v>
      </c>
      <c r="E10786" s="18" t="s">
        <v>45857</v>
      </c>
      <c r="F10786" s="18" t="str">
        <f>IFERROR(__XLUDF.DUMMYFUNCTION("PROPER(REGEXREPLACE(D698,""[^A-Za-z]+ "",""""))"),"Boisseau Batiment")</f>
        <v xml:space="preserve">Boisseau Batiment</v>
      </c>
      <c r="G10786" s="18" t="s">
        <v>49071</v>
      </c>
      <c r="H10786" s="18">
        <v>45</v>
      </c>
      <c r="I10786" s="18" t="s">
        <v>9239</v>
      </c>
      <c r="J10786" s="5" t="s">
        <v>49072</v>
      </c>
      <c r="K10786" s="5" t="s">
        <v>45860</v>
      </c>
      <c r="L10786" s="18" t="s">
        <v>10672</v>
      </c>
      <c r="M10786" s="18" t="s">
        <v>29</v>
      </c>
      <c r="N10786" s="18" t="s">
        <v>45861</v>
      </c>
      <c r="O10786" s="18" t="s">
        <v>29</v>
      </c>
      <c r="P10786" s="18" t="s">
        <v>45862</v>
      </c>
      <c r="Q10786" s="6"/>
      <c r="R10786" s="6"/>
      <c r="S10786" s="6"/>
      <c r="T10786" s="6"/>
      <c r="U10786" s="6"/>
    </row>
    <row r="10787" ht="14.25">
      <c r="B10787" s="18" t="s">
        <v>40495</v>
      </c>
      <c r="C10787" s="18" t="s">
        <v>48322</v>
      </c>
      <c r="D10787" s="18" t="s">
        <v>7155</v>
      </c>
      <c r="E10787" s="18" t="s">
        <v>49073</v>
      </c>
      <c r="F10787" s="18" t="str">
        <f>IFERROR(__XLUDF.DUMMYFUNCTION("PROPER(REGEXREPLACE(D699,""[^A-Za-z]+ "",""""))"),"Iph Ingénierie")</f>
        <v xml:space="preserve">Iph Ingénierie</v>
      </c>
      <c r="G10787" s="18" t="s">
        <v>49074</v>
      </c>
      <c r="H10787" s="18">
        <v>44</v>
      </c>
      <c r="I10787" s="18" t="s">
        <v>9239</v>
      </c>
      <c r="J10787" s="5" t="s">
        <v>49075</v>
      </c>
      <c r="K10787" s="5" t="s">
        <v>49076</v>
      </c>
      <c r="L10787" s="6"/>
      <c r="M10787" s="18" t="s">
        <v>29</v>
      </c>
      <c r="N10787" s="18" t="s">
        <v>49077</v>
      </c>
      <c r="O10787" s="18" t="s">
        <v>29</v>
      </c>
      <c r="P10787" s="6"/>
      <c r="Q10787" s="6"/>
      <c r="R10787" s="6"/>
      <c r="S10787" s="6"/>
      <c r="T10787" s="6"/>
      <c r="U10787" s="6"/>
    </row>
    <row r="10788" ht="14.25">
      <c r="B10788" s="18" t="s">
        <v>95</v>
      </c>
      <c r="C10788" s="18" t="s">
        <v>49078</v>
      </c>
      <c r="D10788" s="18" t="s">
        <v>49079</v>
      </c>
      <c r="E10788" s="18" t="s">
        <v>49080</v>
      </c>
      <c r="F10788" s="18" t="str">
        <f>IFERROR(__XLUDF.DUMMYFUNCTION("PROPER(REGEXREPLACE(D700,""[^A-Za-z]+ "",""""))"),"Safety Function")</f>
        <v xml:space="preserve">Safety Function</v>
      </c>
      <c r="G10788" s="18" t="s">
        <v>49081</v>
      </c>
      <c r="H10788" s="18">
        <v>4</v>
      </c>
      <c r="I10788" s="18" t="s">
        <v>9239</v>
      </c>
      <c r="J10788" s="5" t="s">
        <v>49082</v>
      </c>
      <c r="K10788" s="5" t="s">
        <v>49083</v>
      </c>
      <c r="L10788" s="18" t="s">
        <v>11321</v>
      </c>
      <c r="M10788" s="18" t="s">
        <v>29</v>
      </c>
      <c r="N10788" s="18" t="s">
        <v>49084</v>
      </c>
      <c r="O10788" s="18" t="s">
        <v>1261</v>
      </c>
      <c r="P10788" s="6"/>
      <c r="Q10788" s="6"/>
      <c r="R10788" s="6"/>
      <c r="S10788" s="6"/>
      <c r="T10788" s="6"/>
      <c r="U10788" s="6"/>
    </row>
    <row r="10789" ht="14.25">
      <c r="B10789" s="18" t="s">
        <v>7323</v>
      </c>
      <c r="C10789" s="18" t="s">
        <v>32210</v>
      </c>
      <c r="D10789" s="18" t="s">
        <v>112</v>
      </c>
      <c r="E10789" s="18" t="s">
        <v>49085</v>
      </c>
      <c r="F10789" s="18" t="str">
        <f>IFERROR(__XLUDF.DUMMYFUNCTION("PROPER(REGEXREPLACE(D701,""[^A-Za-z]+ "",""""))"),"2Rt Etancheite")</f>
        <v xml:space="preserve">2Rt Etancheite</v>
      </c>
      <c r="G10789" s="18" t="s">
        <v>49086</v>
      </c>
      <c r="H10789" s="18">
        <v>1</v>
      </c>
      <c r="I10789" s="18" t="s">
        <v>9239</v>
      </c>
      <c r="J10789" s="5" t="s">
        <v>49087</v>
      </c>
      <c r="K10789" s="5" t="s">
        <v>49088</v>
      </c>
      <c r="L10789" s="18" t="s">
        <v>185</v>
      </c>
      <c r="M10789" s="18" t="s">
        <v>29</v>
      </c>
      <c r="N10789" s="18" t="s">
        <v>49089</v>
      </c>
      <c r="O10789" s="18" t="s">
        <v>29</v>
      </c>
      <c r="P10789" s="18" t="s">
        <v>49090</v>
      </c>
      <c r="Q10789" s="6"/>
      <c r="R10789" s="6"/>
      <c r="S10789" s="6"/>
      <c r="T10789" s="6"/>
      <c r="U10789" s="6"/>
    </row>
    <row r="10790" ht="14.25">
      <c r="B10790" s="18" t="s">
        <v>17383</v>
      </c>
      <c r="C10790" s="18" t="s">
        <v>49091</v>
      </c>
      <c r="D10790" s="18" t="s">
        <v>172</v>
      </c>
      <c r="E10790" s="18" t="s">
        <v>49092</v>
      </c>
      <c r="F10790" s="18" t="str">
        <f>IFERROR(__XLUDF.DUMMYFUNCTION("PROPER(REGEXREPLACE(D702,""[^A-Za-z]+ "",""""))"),"Modulo Protect")</f>
        <v xml:space="preserve">Modulo Protect</v>
      </c>
      <c r="G10790" s="18" t="s">
        <v>49093</v>
      </c>
      <c r="H10790" s="18">
        <v>17</v>
      </c>
      <c r="I10790" s="18" t="s">
        <v>9239</v>
      </c>
      <c r="J10790" s="5" t="s">
        <v>49094</v>
      </c>
      <c r="K10790" s="5" t="s">
        <v>49095</v>
      </c>
      <c r="L10790" s="18" t="s">
        <v>1460</v>
      </c>
      <c r="M10790" s="18" t="s">
        <v>29</v>
      </c>
      <c r="N10790" s="18" t="s">
        <v>49096</v>
      </c>
      <c r="O10790" s="18" t="s">
        <v>29</v>
      </c>
      <c r="P10790" s="6"/>
      <c r="Q10790" s="6"/>
      <c r="R10790" s="6"/>
      <c r="S10790" s="6"/>
      <c r="T10790" s="6"/>
      <c r="U10790" s="6"/>
    </row>
    <row r="10791" ht="14.25">
      <c r="B10791" s="18" t="s">
        <v>963</v>
      </c>
      <c r="C10791" s="18" t="s">
        <v>49097</v>
      </c>
      <c r="D10791" s="18" t="s">
        <v>688</v>
      </c>
      <c r="E10791" s="18" t="s">
        <v>49098</v>
      </c>
      <c r="F10791" s="18" t="str">
        <f>IFERROR(__XLUDF.DUMMYFUNCTION("PROPER(REGEXREPLACE(D703,""[^A-Za-z]+ "",""""))"),"Facildata Le Bâtiment Performant Et Responsable")</f>
        <v xml:space="preserve">Facildata Le Bâtiment Performant Et Responsable</v>
      </c>
      <c r="G10791" s="18" t="s">
        <v>49099</v>
      </c>
      <c r="H10791" s="18">
        <v>4</v>
      </c>
      <c r="I10791" s="18" t="s">
        <v>9239</v>
      </c>
      <c r="J10791" s="5" t="s">
        <v>49100</v>
      </c>
      <c r="K10791" s="5" t="s">
        <v>49101</v>
      </c>
      <c r="L10791" s="18" t="s">
        <v>12291</v>
      </c>
      <c r="M10791" s="18" t="s">
        <v>29</v>
      </c>
      <c r="N10791" s="18" t="s">
        <v>49102</v>
      </c>
      <c r="O10791" s="18" t="s">
        <v>29</v>
      </c>
      <c r="P10791" s="18" t="s">
        <v>49103</v>
      </c>
      <c r="Q10791" s="6"/>
      <c r="R10791" s="6"/>
      <c r="S10791" s="6"/>
      <c r="T10791" s="6"/>
      <c r="U10791" s="6"/>
    </row>
    <row r="10792" ht="14.25">
      <c r="B10792" s="18" t="s">
        <v>95</v>
      </c>
      <c r="C10792" s="18" t="s">
        <v>49104</v>
      </c>
      <c r="D10792" s="18" t="s">
        <v>49105</v>
      </c>
      <c r="E10792" s="18" t="s">
        <v>49106</v>
      </c>
      <c r="F10792" s="18" t="str">
        <f>IFERROR(__XLUDF.DUMMYFUNCTION("PROPER(REGEXREPLACE(D704,""[^A-Za-z]+ "",""""))"),"Maisons Claire")</f>
        <v xml:space="preserve">Maisons Claire</v>
      </c>
      <c r="G10792" s="18" t="s">
        <v>49107</v>
      </c>
      <c r="H10792" s="18">
        <v>20</v>
      </c>
      <c r="I10792" s="18" t="s">
        <v>9239</v>
      </c>
      <c r="J10792" s="5" t="s">
        <v>49108</v>
      </c>
      <c r="K10792" s="5" t="s">
        <v>49109</v>
      </c>
      <c r="L10792" s="18" t="s">
        <v>4922</v>
      </c>
      <c r="M10792" s="18" t="s">
        <v>29</v>
      </c>
      <c r="N10792" s="18" t="s">
        <v>49110</v>
      </c>
      <c r="O10792" s="18" t="s">
        <v>29</v>
      </c>
      <c r="P10792" s="18" t="s">
        <v>49111</v>
      </c>
      <c r="Q10792" s="6"/>
      <c r="R10792" s="6"/>
      <c r="S10792" s="6"/>
      <c r="T10792" s="6"/>
      <c r="U10792" s="6"/>
    </row>
    <row r="10793" ht="14.25">
      <c r="B10793" s="18" t="s">
        <v>12648</v>
      </c>
      <c r="C10793" s="18" t="s">
        <v>49112</v>
      </c>
      <c r="D10793" s="18" t="s">
        <v>172</v>
      </c>
      <c r="E10793" s="18" t="s">
        <v>49113</v>
      </c>
      <c r="F10793" s="18" t="str">
        <f>IFERROR(__XLUDF.DUMMYFUNCTION("PROPER(REGEXREPLACE(D705,""[^A-Za-z]+ "",""""))"),"Plomberie Pavan")</f>
        <v xml:space="preserve">Plomberie Pavan</v>
      </c>
      <c r="G10793" s="18" t="s">
        <v>49114</v>
      </c>
      <c r="H10793" s="18">
        <v>24</v>
      </c>
      <c r="I10793" s="18" t="s">
        <v>9239</v>
      </c>
      <c r="J10793" s="5" t="s">
        <v>49115</v>
      </c>
      <c r="K10793" s="5" t="s">
        <v>49116</v>
      </c>
      <c r="L10793" s="18" t="s">
        <v>11033</v>
      </c>
      <c r="M10793" s="18" t="s">
        <v>29</v>
      </c>
      <c r="N10793" s="18" t="s">
        <v>49117</v>
      </c>
      <c r="O10793" s="18" t="s">
        <v>29</v>
      </c>
      <c r="P10793" s="6"/>
      <c r="Q10793" s="6"/>
      <c r="R10793" s="6"/>
      <c r="S10793" s="6"/>
      <c r="T10793" s="6"/>
      <c r="U10793" s="6"/>
    </row>
    <row r="10794" ht="14.25">
      <c r="B10794" s="18" t="s">
        <v>7451</v>
      </c>
      <c r="C10794" s="18" t="s">
        <v>49118</v>
      </c>
      <c r="D10794" s="18" t="s">
        <v>172</v>
      </c>
      <c r="E10794" s="18" t="s">
        <v>49119</v>
      </c>
      <c r="F10794" s="18" t="str">
        <f>IFERROR(__XLUDF.DUMMYFUNCTION("PROPER(REGEXREPLACE(D706,""[^A-Za-z]+ "",""""))"),"Groupe Eovest")</f>
        <v xml:space="preserve">Groupe Eovest</v>
      </c>
      <c r="G10794" s="18" t="s">
        <v>49120</v>
      </c>
      <c r="H10794" s="18">
        <v>14</v>
      </c>
      <c r="I10794" s="18" t="s">
        <v>9239</v>
      </c>
      <c r="J10794" s="5" t="s">
        <v>49121</v>
      </c>
      <c r="K10794" s="5" t="s">
        <v>49122</v>
      </c>
      <c r="L10794" s="18" t="s">
        <v>243</v>
      </c>
      <c r="M10794" s="18" t="s">
        <v>29</v>
      </c>
      <c r="N10794" s="18" t="s">
        <v>49123</v>
      </c>
      <c r="O10794" s="18" t="s">
        <v>29</v>
      </c>
      <c r="P10794" s="18" t="s">
        <v>49124</v>
      </c>
      <c r="Q10794" s="6"/>
      <c r="R10794" s="6"/>
      <c r="S10794" s="6"/>
      <c r="T10794" s="6"/>
      <c r="U10794" s="6"/>
    </row>
    <row r="10795" ht="14.25">
      <c r="B10795" s="18" t="s">
        <v>6931</v>
      </c>
      <c r="C10795" s="18" t="s">
        <v>49125</v>
      </c>
      <c r="D10795" s="18" t="s">
        <v>172</v>
      </c>
      <c r="E10795" s="18" t="s">
        <v>49126</v>
      </c>
      <c r="F10795" s="18" t="str">
        <f>IFERROR(__XLUDF.DUMMYFUNCTION("PROPER(REGEXREPLACE(D707,""[^A-Za-z]+ "",""""))"),"Keops Ingenierie")</f>
        <v xml:space="preserve">Keops Ingenierie</v>
      </c>
      <c r="G10795" s="18" t="s">
        <v>49127</v>
      </c>
      <c r="H10795" s="18">
        <v>8</v>
      </c>
      <c r="I10795" s="18" t="s">
        <v>9239</v>
      </c>
      <c r="J10795" s="5" t="s">
        <v>49128</v>
      </c>
      <c r="K10795" s="5" t="s">
        <v>49129</v>
      </c>
      <c r="L10795" s="6"/>
      <c r="M10795" s="18" t="s">
        <v>29</v>
      </c>
      <c r="N10795" s="18" t="s">
        <v>49130</v>
      </c>
      <c r="O10795" s="18" t="s">
        <v>29</v>
      </c>
      <c r="P10795" s="18" t="s">
        <v>49131</v>
      </c>
      <c r="Q10795" s="6"/>
      <c r="R10795" s="6"/>
      <c r="S10795" s="6"/>
      <c r="T10795" s="6"/>
      <c r="U10795" s="6"/>
    </row>
    <row r="10796" ht="14.25">
      <c r="B10796" s="18" t="s">
        <v>548</v>
      </c>
      <c r="C10796" s="18" t="s">
        <v>49132</v>
      </c>
      <c r="D10796" s="18" t="s">
        <v>426</v>
      </c>
      <c r="E10796" s="18" t="s">
        <v>49133</v>
      </c>
      <c r="F10796" s="18" t="str">
        <f>IFERROR(__XLUDF.DUMMYFUNCTION("PROPER(REGEXREPLACE(D708,""[^A-Za-z]+ "",""""))"),"Sermeca Stéphanoise")</f>
        <v xml:space="preserve">Sermeca Stéphanoise</v>
      </c>
      <c r="G10796" s="18" t="s">
        <v>49134</v>
      </c>
      <c r="H10796" s="18">
        <v>29</v>
      </c>
      <c r="I10796" s="18" t="s">
        <v>9239</v>
      </c>
      <c r="J10796" s="5" t="s">
        <v>49135</v>
      </c>
      <c r="K10796" s="5" t="s">
        <v>49136</v>
      </c>
      <c r="L10796" s="18" t="s">
        <v>831</v>
      </c>
      <c r="M10796" s="18" t="s">
        <v>29</v>
      </c>
      <c r="N10796" s="18" t="s">
        <v>49137</v>
      </c>
      <c r="O10796" s="18" t="s">
        <v>29</v>
      </c>
      <c r="P10796" s="18" t="s">
        <v>49138</v>
      </c>
      <c r="Q10796" s="6"/>
      <c r="R10796" s="6"/>
      <c r="S10796" s="6"/>
      <c r="T10796" s="6"/>
      <c r="U10796" s="6"/>
    </row>
    <row r="10797" ht="14.25">
      <c r="B10797" s="18" t="s">
        <v>548</v>
      </c>
      <c r="C10797" s="18" t="s">
        <v>49139</v>
      </c>
      <c r="D10797" s="18" t="s">
        <v>172</v>
      </c>
      <c r="E10797" s="18" t="s">
        <v>49140</v>
      </c>
      <c r="F10797" s="18" t="str">
        <f>IFERROR(__XLUDF.DUMMYFUNCTION("PROPER(REGEXREPLACE(D709,""[^A-Za-z]+ "",""""))"),"Sèvre Loire Habitat")</f>
        <v xml:space="preserve">Sèvre Loire Habitat</v>
      </c>
      <c r="G10797" s="18" t="s">
        <v>49141</v>
      </c>
      <c r="H10797" s="18">
        <v>36</v>
      </c>
      <c r="I10797" s="18" t="s">
        <v>4293</v>
      </c>
      <c r="J10797" s="5" t="s">
        <v>49142</v>
      </c>
      <c r="K10797" s="5" t="s">
        <v>49143</v>
      </c>
      <c r="L10797" s="18" t="s">
        <v>49144</v>
      </c>
      <c r="M10797" s="18" t="s">
        <v>29</v>
      </c>
      <c r="N10797" s="18" t="s">
        <v>49145</v>
      </c>
      <c r="O10797" s="18" t="s">
        <v>29</v>
      </c>
      <c r="P10797" s="6"/>
      <c r="Q10797" s="6"/>
      <c r="R10797" s="6"/>
      <c r="S10797" s="6"/>
      <c r="T10797" s="6"/>
      <c r="U10797" s="6"/>
    </row>
    <row r="10798" ht="14.25">
      <c r="B10798" s="18" t="s">
        <v>2598</v>
      </c>
      <c r="C10798" s="18" t="s">
        <v>49146</v>
      </c>
      <c r="D10798" s="18" t="s">
        <v>172</v>
      </c>
      <c r="E10798" s="18" t="s">
        <v>49147</v>
      </c>
      <c r="F10798" s="18" t="str">
        <f>IFERROR(__XLUDF.DUMMYFUNCTION("PROPER(REGEXREPLACE(D710,""[^A-Za-z]+ "",""""))"),"Cap Metropole")</f>
        <v xml:space="preserve">Cap Metropole</v>
      </c>
      <c r="G10798" s="18" t="s">
        <v>49148</v>
      </c>
      <c r="H10798" s="18">
        <v>26</v>
      </c>
      <c r="I10798" s="18" t="s">
        <v>10167</v>
      </c>
      <c r="J10798" s="5" t="s">
        <v>49149</v>
      </c>
      <c r="K10798" s="5" t="s">
        <v>49150</v>
      </c>
      <c r="L10798" s="18" t="s">
        <v>831</v>
      </c>
      <c r="M10798" s="18" t="s">
        <v>29</v>
      </c>
      <c r="N10798" s="18" t="s">
        <v>49151</v>
      </c>
      <c r="O10798" s="18" t="s">
        <v>29</v>
      </c>
      <c r="P10798" s="18" t="s">
        <v>49152</v>
      </c>
      <c r="Q10798" s="6"/>
      <c r="R10798" s="6"/>
      <c r="S10798" s="6"/>
      <c r="T10798" s="6"/>
      <c r="U10798" s="6"/>
    </row>
    <row r="10799" ht="14.25">
      <c r="B10799" s="18" t="s">
        <v>2589</v>
      </c>
      <c r="C10799" s="18" t="s">
        <v>49153</v>
      </c>
      <c r="D10799" s="18" t="s">
        <v>164</v>
      </c>
      <c r="E10799" s="18" t="s">
        <v>49154</v>
      </c>
      <c r="F10799" s="18" t="str">
        <f>IFERROR(__XLUDF.DUMMYFUNCTION("PROPER(REGEXREPLACE(D711,""[^A-Za-z]+ "",""""))"),"Cosepi France")</f>
        <v xml:space="preserve">Cosepi France</v>
      </c>
      <c r="G10799" s="18" t="s">
        <v>49155</v>
      </c>
      <c r="H10799" s="18">
        <v>21</v>
      </c>
      <c r="I10799" s="18" t="s">
        <v>9239</v>
      </c>
      <c r="J10799" s="5" t="s">
        <v>49156</v>
      </c>
      <c r="K10799" s="5" t="s">
        <v>49157</v>
      </c>
      <c r="L10799" s="6"/>
      <c r="M10799" s="18" t="s">
        <v>29</v>
      </c>
      <c r="N10799" s="18" t="s">
        <v>49158</v>
      </c>
      <c r="O10799" s="18" t="s">
        <v>29</v>
      </c>
      <c r="P10799" s="18" t="s">
        <v>49159</v>
      </c>
      <c r="Q10799" s="6"/>
      <c r="R10799" s="6"/>
      <c r="S10799" s="6"/>
      <c r="T10799" s="6"/>
      <c r="U10799" s="6"/>
    </row>
    <row r="10800" ht="14.25">
      <c r="B10800" s="18" t="s">
        <v>3142</v>
      </c>
      <c r="C10800" s="18" t="s">
        <v>4411</v>
      </c>
      <c r="D10800" s="18" t="s">
        <v>172</v>
      </c>
      <c r="E10800" s="18" t="s">
        <v>49160</v>
      </c>
      <c r="F10800" s="18" t="str">
        <f>IFERROR(__XLUDF.DUMMYFUNCTION("PROPER(REGEXREPLACE(D712,""[^A-Za-z]+ "",""""))"),"Azur Alu")</f>
        <v xml:space="preserve">Azur Alu</v>
      </c>
      <c r="G10800" s="18" t="s">
        <v>49161</v>
      </c>
      <c r="H10800" s="18">
        <v>0</v>
      </c>
      <c r="I10800" s="6"/>
      <c r="J10800" s="5" t="s">
        <v>49162</v>
      </c>
      <c r="K10800" s="5" t="s">
        <v>49163</v>
      </c>
      <c r="L10800" s="6"/>
      <c r="M10800" s="18" t="s">
        <v>29</v>
      </c>
      <c r="N10800" s="18" t="s">
        <v>49164</v>
      </c>
      <c r="O10800" s="18" t="s">
        <v>29</v>
      </c>
      <c r="P10800" s="6"/>
      <c r="Q10800" s="6"/>
      <c r="R10800" s="6"/>
      <c r="S10800" s="6"/>
      <c r="T10800" s="6"/>
      <c r="U10800" s="6"/>
    </row>
    <row r="10801" ht="14.25">
      <c r="B10801" s="18" t="s">
        <v>4800</v>
      </c>
      <c r="C10801" s="18" t="s">
        <v>49165</v>
      </c>
      <c r="D10801" s="18" t="s">
        <v>172</v>
      </c>
      <c r="E10801" s="18" t="s">
        <v>49166</v>
      </c>
      <c r="F10801" s="18" t="str">
        <f>IFERROR(__XLUDF.DUMMYFUNCTION("PROPER(REGEXREPLACE(D713,""[^A-Za-z]+ "",""""))"),"Sys&amp;Com")</f>
        <v>Sys&amp;Com</v>
      </c>
      <c r="G10801" s="18" t="s">
        <v>49167</v>
      </c>
      <c r="H10801" s="18">
        <v>40</v>
      </c>
      <c r="I10801" s="18" t="s">
        <v>9239</v>
      </c>
      <c r="J10801" s="5" t="s">
        <v>49168</v>
      </c>
      <c r="K10801" s="5" t="s">
        <v>49169</v>
      </c>
      <c r="L10801" s="18" t="s">
        <v>585</v>
      </c>
      <c r="M10801" s="18" t="s">
        <v>29</v>
      </c>
      <c r="N10801" s="18" t="s">
        <v>49170</v>
      </c>
      <c r="O10801" s="18" t="s">
        <v>29</v>
      </c>
      <c r="P10801" s="6"/>
      <c r="Q10801" s="6"/>
      <c r="R10801" s="6"/>
      <c r="S10801" s="6"/>
      <c r="T10801" s="6"/>
      <c r="U10801" s="6"/>
    </row>
    <row r="10802" ht="14.25">
      <c r="B10802" s="18" t="s">
        <v>49171</v>
      </c>
      <c r="C10802" s="18" t="s">
        <v>45313</v>
      </c>
      <c r="D10802" s="18" t="s">
        <v>7155</v>
      </c>
      <c r="E10802" s="18" t="s">
        <v>49172</v>
      </c>
      <c r="F10802" s="18" t="str">
        <f>IFERROR(__XLUDF.DUMMYFUNCTION("PROPER(REGEXREPLACE(D714,""[^A-Za-z]+ "",""""))"),"Concept")</f>
        <v>Concept</v>
      </c>
      <c r="G10802" s="18" t="s">
        <v>49173</v>
      </c>
      <c r="H10802" s="18">
        <v>6</v>
      </c>
      <c r="I10802" s="18" t="s">
        <v>9239</v>
      </c>
      <c r="J10802" s="5" t="s">
        <v>49174</v>
      </c>
      <c r="K10802" s="5" t="s">
        <v>49175</v>
      </c>
      <c r="L10802" s="6"/>
      <c r="M10802" s="18" t="s">
        <v>29</v>
      </c>
      <c r="N10802" s="18" t="s">
        <v>49176</v>
      </c>
      <c r="O10802" s="18" t="s">
        <v>29</v>
      </c>
      <c r="P10802" s="6"/>
      <c r="Q10802" s="6"/>
      <c r="R10802" s="6"/>
      <c r="S10802" s="6"/>
      <c r="T10802" s="6"/>
      <c r="U10802" s="6"/>
    </row>
    <row r="10803" ht="14.25">
      <c r="B10803" s="18" t="s">
        <v>49177</v>
      </c>
      <c r="C10803" s="18" t="s">
        <v>49178</v>
      </c>
      <c r="D10803" s="18" t="s">
        <v>62</v>
      </c>
      <c r="E10803" s="18" t="s">
        <v>49179</v>
      </c>
      <c r="F10803" s="18" t="str">
        <f>IFERROR(__XLUDF.DUMMYFUNCTION("PROPER(REGEXREPLACE(D715,""[^A-Za-z]+ "",""""))"),"Builda")</f>
        <v>Builda</v>
      </c>
      <c r="G10803" s="18" t="s">
        <v>49180</v>
      </c>
      <c r="H10803" s="18">
        <v>7</v>
      </c>
      <c r="I10803" s="18" t="s">
        <v>9239</v>
      </c>
      <c r="J10803" s="5" t="s">
        <v>49181</v>
      </c>
      <c r="K10803" s="5" t="s">
        <v>49182</v>
      </c>
      <c r="L10803" s="18" t="s">
        <v>39</v>
      </c>
      <c r="M10803" s="18" t="s">
        <v>29</v>
      </c>
      <c r="N10803" s="18" t="s">
        <v>49183</v>
      </c>
      <c r="O10803" s="18" t="s">
        <v>6543</v>
      </c>
      <c r="P10803" s="6"/>
      <c r="Q10803" s="6"/>
      <c r="R10803" s="6"/>
      <c r="S10803" s="6"/>
      <c r="T10803" s="6"/>
      <c r="U10803" s="6"/>
    </row>
    <row r="10804" ht="14.25">
      <c r="B10804" s="18" t="s">
        <v>76</v>
      </c>
      <c r="C10804" s="18" t="s">
        <v>49184</v>
      </c>
      <c r="D10804" s="18" t="s">
        <v>87</v>
      </c>
      <c r="E10804" s="18" t="s">
        <v>49185</v>
      </c>
      <c r="F10804" s="18" t="str">
        <f>IFERROR(__XLUDF.DUMMYFUNCTION("PROPER(REGEXREPLACE(D716,""[^A-Za-z]+ "",""""))"),"See Lavabre Alain")</f>
        <v xml:space="preserve">See Lavabre Alain</v>
      </c>
      <c r="G10804" s="18" t="s">
        <v>49186</v>
      </c>
      <c r="H10804" s="18">
        <v>4</v>
      </c>
      <c r="I10804" s="18" t="s">
        <v>9239</v>
      </c>
      <c r="J10804" s="5" t="s">
        <v>49187</v>
      </c>
      <c r="K10804" s="5" t="s">
        <v>49188</v>
      </c>
      <c r="L10804" s="6"/>
      <c r="M10804" s="18" t="s">
        <v>29</v>
      </c>
      <c r="N10804" s="18" t="s">
        <v>49189</v>
      </c>
      <c r="O10804" s="18" t="s">
        <v>29</v>
      </c>
      <c r="P10804" s="18" t="s">
        <v>49190</v>
      </c>
      <c r="Q10804" s="6"/>
      <c r="R10804" s="6"/>
      <c r="S10804" s="6"/>
      <c r="T10804" s="6"/>
      <c r="U10804" s="6"/>
    </row>
    <row r="10805" ht="14.25">
      <c r="B10805" s="18" t="s">
        <v>6626</v>
      </c>
      <c r="C10805" s="18" t="s">
        <v>49191</v>
      </c>
      <c r="D10805" s="18" t="s">
        <v>19070</v>
      </c>
      <c r="E10805" s="18" t="s">
        <v>49192</v>
      </c>
      <c r="F10805" s="18" t="str">
        <f>IFERROR(__XLUDF.DUMMYFUNCTION("PROPER(REGEXREPLACE(D717,""[^A-Za-z]+ "",""""))"),"Cflc Groupe")</f>
        <v xml:space="preserve">Cflc Groupe</v>
      </c>
      <c r="G10805" s="18" t="s">
        <v>49193</v>
      </c>
      <c r="H10805" s="18">
        <v>2</v>
      </c>
      <c r="I10805" s="18" t="s">
        <v>9239</v>
      </c>
      <c r="J10805" s="5" t="s">
        <v>49194</v>
      </c>
      <c r="K10805" s="5" t="s">
        <v>49195</v>
      </c>
      <c r="L10805" s="18" t="s">
        <v>39</v>
      </c>
      <c r="M10805" s="18" t="s">
        <v>29</v>
      </c>
      <c r="N10805" s="18" t="s">
        <v>4211</v>
      </c>
      <c r="O10805" s="18" t="s">
        <v>29</v>
      </c>
      <c r="P10805" s="6"/>
      <c r="Q10805" s="6"/>
      <c r="R10805" s="6"/>
      <c r="S10805" s="6"/>
      <c r="T10805" s="6"/>
      <c r="U10805" s="6"/>
    </row>
    <row r="10806" ht="14.25">
      <c r="B10806" s="18" t="s">
        <v>1027</v>
      </c>
      <c r="C10806" s="18" t="s">
        <v>49196</v>
      </c>
      <c r="D10806" s="18" t="s">
        <v>87</v>
      </c>
      <c r="E10806" s="18" t="s">
        <v>49197</v>
      </c>
      <c r="F10806" s="18" t="str">
        <f>IFERROR(__XLUDF.DUMMYFUNCTION("PROPER(REGEXREPLACE(D718,""[^A-Za-z]+ "",""""))"),"Ciciarelli Alu")</f>
        <v xml:space="preserve">Ciciarelli Alu</v>
      </c>
      <c r="G10806" s="18" t="s">
        <v>49198</v>
      </c>
      <c r="H10806" s="18">
        <v>4</v>
      </c>
      <c r="I10806" s="18" t="s">
        <v>9239</v>
      </c>
      <c r="J10806" s="5" t="s">
        <v>49199</v>
      </c>
      <c r="K10806" s="5" t="s">
        <v>49200</v>
      </c>
      <c r="L10806" s="18" t="s">
        <v>49201</v>
      </c>
      <c r="M10806" s="18" t="s">
        <v>29</v>
      </c>
      <c r="N10806" s="18" t="s">
        <v>49202</v>
      </c>
      <c r="O10806" s="18" t="s">
        <v>29</v>
      </c>
      <c r="P10806" s="18" t="s">
        <v>49203</v>
      </c>
      <c r="Q10806" s="6"/>
      <c r="R10806" s="6"/>
      <c r="S10806" s="6"/>
      <c r="T10806" s="6"/>
      <c r="U10806" s="6"/>
    </row>
    <row r="10807" ht="14.25">
      <c r="B10807" s="18" t="s">
        <v>298</v>
      </c>
      <c r="C10807" s="18" t="s">
        <v>49204</v>
      </c>
      <c r="D10807" s="18" t="s">
        <v>247</v>
      </c>
      <c r="E10807" s="18" t="s">
        <v>48032</v>
      </c>
      <c r="F10807" s="18" t="str">
        <f>IFERROR(__XLUDF.DUMMYFUNCTION("PROPER(REGEXREPLACE(D719,""[^A-Za-z]+ "",""""))"),"Impact Tomorrow")</f>
        <v xml:space="preserve">Impact Tomorrow</v>
      </c>
      <c r="G10807" s="18" t="s">
        <v>49205</v>
      </c>
      <c r="H10807" s="18">
        <v>2</v>
      </c>
      <c r="I10807" s="18" t="s">
        <v>9239</v>
      </c>
      <c r="J10807" s="5" t="s">
        <v>49206</v>
      </c>
      <c r="K10807" s="5" t="s">
        <v>49207</v>
      </c>
      <c r="L10807" s="18" t="s">
        <v>243</v>
      </c>
      <c r="M10807" s="18" t="s">
        <v>29</v>
      </c>
      <c r="N10807" s="18" t="s">
        <v>48036</v>
      </c>
      <c r="O10807" s="18" t="s">
        <v>29</v>
      </c>
      <c r="P10807" s="6"/>
      <c r="Q10807" s="6"/>
      <c r="R10807" s="6"/>
      <c r="S10807" s="6"/>
      <c r="T10807" s="6"/>
      <c r="U10807" s="6"/>
    </row>
    <row r="10808" ht="14.25">
      <c r="B10808" s="18" t="s">
        <v>661</v>
      </c>
      <c r="C10808" s="18" t="s">
        <v>49208</v>
      </c>
      <c r="D10808" s="18" t="s">
        <v>1950</v>
      </c>
      <c r="E10808" s="18" t="s">
        <v>49209</v>
      </c>
      <c r="F10808" s="18" t="str">
        <f>IFERROR(__XLUDF.DUMMYFUNCTION("PROPER(REGEXREPLACE(D720,""[^A-Za-z]+ "",""""))"),"Maisons Stéphane Berger")</f>
        <v xml:space="preserve">Maisons Stéphane Berger</v>
      </c>
      <c r="G10808" s="18" t="s">
        <v>49210</v>
      </c>
      <c r="H10808" s="18">
        <v>31</v>
      </c>
      <c r="I10808" s="18" t="s">
        <v>9239</v>
      </c>
      <c r="J10808" s="5" t="s">
        <v>49211</v>
      </c>
      <c r="K10808" s="5" t="s">
        <v>49212</v>
      </c>
      <c r="L10808" s="18" t="s">
        <v>7883</v>
      </c>
      <c r="M10808" s="18" t="s">
        <v>29</v>
      </c>
      <c r="N10808" s="18" t="s">
        <v>49213</v>
      </c>
      <c r="O10808" s="18" t="s">
        <v>29</v>
      </c>
      <c r="P10808" s="18" t="s">
        <v>49214</v>
      </c>
      <c r="Q10808" s="6"/>
      <c r="R10808" s="6"/>
      <c r="S10808" s="6"/>
      <c r="T10808" s="6"/>
      <c r="U10808" s="6"/>
    </row>
    <row r="10809" ht="14.25">
      <c r="B10809" s="18" t="s">
        <v>95</v>
      </c>
      <c r="C10809" s="18" t="s">
        <v>49215</v>
      </c>
      <c r="D10809" s="18" t="s">
        <v>49216</v>
      </c>
      <c r="E10809" s="18" t="s">
        <v>49217</v>
      </c>
      <c r="F10809" s="18" t="str">
        <f>IFERROR(__XLUDF.DUMMYFUNCTION("PROPER(REGEXREPLACE(D721,""[^A-Za-z]+ "",""""))"),"Office Santé")</f>
        <v xml:space="preserve">Office Santé</v>
      </c>
      <c r="G10809" s="18" t="s">
        <v>49218</v>
      </c>
      <c r="H10809" s="18">
        <v>44</v>
      </c>
      <c r="I10809" s="18" t="s">
        <v>9239</v>
      </c>
      <c r="J10809" s="5" t="s">
        <v>49219</v>
      </c>
      <c r="K10809" s="5" t="s">
        <v>49220</v>
      </c>
      <c r="L10809" s="18" t="s">
        <v>11278</v>
      </c>
      <c r="M10809" s="18" t="s">
        <v>29</v>
      </c>
      <c r="N10809" s="18" t="s">
        <v>26417</v>
      </c>
      <c r="O10809" s="18" t="s">
        <v>29</v>
      </c>
      <c r="P10809" s="18" t="s">
        <v>49221</v>
      </c>
      <c r="Q10809" s="6"/>
      <c r="R10809" s="6"/>
      <c r="S10809" s="6"/>
      <c r="T10809" s="6"/>
      <c r="U10809" s="6"/>
    </row>
    <row r="10810" ht="14.25">
      <c r="B10810" s="18" t="s">
        <v>5252</v>
      </c>
      <c r="C10810" s="18" t="s">
        <v>49222</v>
      </c>
      <c r="D10810" s="18" t="s">
        <v>332</v>
      </c>
      <c r="E10810" s="18" t="s">
        <v>49223</v>
      </c>
      <c r="F10810" s="18" t="str">
        <f>IFERROR(__XLUDF.DUMMYFUNCTION("PROPER(REGEXREPLACE(D722,""[^A-Za-z]+ "",""""))"),"Sicep")</f>
        <v>Sicep</v>
      </c>
      <c r="G10810" s="18" t="s">
        <v>49224</v>
      </c>
      <c r="H10810" s="18">
        <v>20</v>
      </c>
      <c r="I10810" s="18" t="s">
        <v>9239</v>
      </c>
      <c r="J10810" s="5" t="s">
        <v>49225</v>
      </c>
      <c r="K10810" s="5" t="s">
        <v>49226</v>
      </c>
      <c r="L10810" s="18" t="s">
        <v>49227</v>
      </c>
      <c r="M10810" s="18" t="s">
        <v>29</v>
      </c>
      <c r="N10810" s="18" t="s">
        <v>49228</v>
      </c>
      <c r="O10810" s="18" t="s">
        <v>29</v>
      </c>
      <c r="P10810" s="18" t="s">
        <v>49229</v>
      </c>
      <c r="Q10810" s="6"/>
      <c r="R10810" s="6"/>
      <c r="S10810" s="6"/>
      <c r="T10810" s="6"/>
      <c r="U10810" s="6"/>
    </row>
    <row r="10811" ht="14.25">
      <c r="B10811" s="18" t="s">
        <v>1562</v>
      </c>
      <c r="C10811" s="18" t="s">
        <v>49230</v>
      </c>
      <c r="D10811" s="18" t="s">
        <v>172</v>
      </c>
      <c r="E10811" s="18" t="s">
        <v>49231</v>
      </c>
      <c r="F10811" s="18" t="str">
        <f>IFERROR(__XLUDF.DUMMYFUNCTION("PROPER(REGEXREPLACE(D723,""[^A-Za-z]+ "",""""))"),"Lemaire-Tricotel")</f>
        <v>Lemaire-Tricotel</v>
      </c>
      <c r="G10811" s="18" t="s">
        <v>49232</v>
      </c>
      <c r="H10811" s="18">
        <v>22</v>
      </c>
      <c r="I10811" s="18" t="s">
        <v>9239</v>
      </c>
      <c r="J10811" s="5" t="s">
        <v>49233</v>
      </c>
      <c r="K10811" s="5" t="s">
        <v>49234</v>
      </c>
      <c r="L10811" s="18" t="s">
        <v>49235</v>
      </c>
      <c r="M10811" s="18" t="s">
        <v>29</v>
      </c>
      <c r="N10811" s="18" t="s">
        <v>49236</v>
      </c>
      <c r="O10811" s="18" t="s">
        <v>29</v>
      </c>
      <c r="P10811" s="18" t="s">
        <v>49237</v>
      </c>
      <c r="Q10811" s="6"/>
      <c r="R10811" s="6"/>
      <c r="S10811" s="6"/>
      <c r="T10811" s="6"/>
      <c r="U10811" s="6"/>
    </row>
    <row r="10812" ht="14.25">
      <c r="B10812" s="18" t="s">
        <v>1592</v>
      </c>
      <c r="C10812" s="18" t="s">
        <v>49238</v>
      </c>
      <c r="D10812" s="18" t="s">
        <v>879</v>
      </c>
      <c r="E10812" s="18" t="s">
        <v>46351</v>
      </c>
      <c r="F10812" s="18" t="str">
        <f>IFERROR(__XLUDF.DUMMYFUNCTION("PROPER(REGEXREPLACE(D724,""[^A-Za-z]+ "",""""))"),"Déco Charpente")</f>
        <v xml:space="preserve">Déco Charpente</v>
      </c>
      <c r="G10812" s="18" t="s">
        <v>49239</v>
      </c>
      <c r="H10812" s="18">
        <v>19</v>
      </c>
      <c r="I10812" s="18" t="s">
        <v>9239</v>
      </c>
      <c r="J10812" s="5" t="s">
        <v>49240</v>
      </c>
      <c r="K10812" s="5" t="s">
        <v>46354</v>
      </c>
      <c r="L10812" s="18" t="s">
        <v>49241</v>
      </c>
      <c r="M10812" s="18" t="s">
        <v>29</v>
      </c>
      <c r="N10812" s="18" t="s">
        <v>46356</v>
      </c>
      <c r="O10812" s="18" t="s">
        <v>29</v>
      </c>
      <c r="P10812" s="18" t="s">
        <v>46357</v>
      </c>
      <c r="Q10812" s="6"/>
      <c r="R10812" s="6"/>
      <c r="S10812" s="6"/>
      <c r="T10812" s="6"/>
      <c r="U10812" s="6"/>
    </row>
    <row r="10813" ht="14.25">
      <c r="B10813" s="18" t="s">
        <v>49242</v>
      </c>
      <c r="C10813" s="18" t="s">
        <v>12327</v>
      </c>
      <c r="D10813" s="18" t="s">
        <v>1130</v>
      </c>
      <c r="E10813" s="18" t="s">
        <v>49243</v>
      </c>
      <c r="F10813" s="18" t="str">
        <f>IFERROR(__XLUDF.DUMMYFUNCTION("PROPER(REGEXREPLACE(D725,""[^A-Za-z]+ "",""""))"),"Bect Sas")</f>
        <v xml:space="preserve">Bect Sas</v>
      </c>
      <c r="G10813" s="18" t="s">
        <v>49244</v>
      </c>
      <c r="H10813" s="18">
        <v>17</v>
      </c>
      <c r="I10813" s="18" t="s">
        <v>9239</v>
      </c>
      <c r="J10813" s="5" t="s">
        <v>49245</v>
      </c>
      <c r="K10813" s="5" t="s">
        <v>49246</v>
      </c>
      <c r="L10813" s="18" t="s">
        <v>185</v>
      </c>
      <c r="M10813" s="18" t="s">
        <v>29</v>
      </c>
      <c r="N10813" s="18" t="s">
        <v>49247</v>
      </c>
      <c r="O10813" s="18" t="s">
        <v>29</v>
      </c>
      <c r="P10813" s="6"/>
      <c r="Q10813" s="6"/>
      <c r="R10813" s="6"/>
      <c r="S10813" s="6"/>
      <c r="T10813" s="6"/>
      <c r="U10813" s="6"/>
    </row>
    <row r="10814" ht="14.25">
      <c r="B10814" s="18" t="s">
        <v>13355</v>
      </c>
      <c r="C10814" s="18" t="s">
        <v>49248</v>
      </c>
      <c r="D10814" s="18" t="s">
        <v>1130</v>
      </c>
      <c r="E10814" s="18" t="s">
        <v>49249</v>
      </c>
      <c r="F10814" s="18" t="str">
        <f>IFERROR(__XLUDF.DUMMYFUNCTION("PROPER(REGEXREPLACE(D726,""[^A-Za-z]+ "",""""))"),"Cp Etoile")</f>
        <v xml:space="preserve">Cp Etoile</v>
      </c>
      <c r="G10814" s="18" t="s">
        <v>49250</v>
      </c>
      <c r="H10814" s="18">
        <v>15</v>
      </c>
      <c r="I10814" s="18" t="s">
        <v>9239</v>
      </c>
      <c r="J10814" s="5" t="s">
        <v>49251</v>
      </c>
      <c r="K10814" s="5" t="s">
        <v>49252</v>
      </c>
      <c r="L10814" s="18" t="s">
        <v>39</v>
      </c>
      <c r="M10814" s="18" t="s">
        <v>29</v>
      </c>
      <c r="N10814" s="18" t="s">
        <v>67</v>
      </c>
      <c r="O10814" s="18" t="s">
        <v>29</v>
      </c>
      <c r="P10814" s="6"/>
      <c r="Q10814" s="6"/>
      <c r="R10814" s="6"/>
      <c r="S10814" s="6"/>
      <c r="T10814" s="6"/>
      <c r="U10814" s="6"/>
    </row>
    <row r="10815" ht="14.25">
      <c r="B10815" s="18" t="s">
        <v>330</v>
      </c>
      <c r="C10815" s="18" t="s">
        <v>49253</v>
      </c>
      <c r="D10815" s="18" t="s">
        <v>1130</v>
      </c>
      <c r="E10815" s="18" t="s">
        <v>49254</v>
      </c>
      <c r="F10815" s="18" t="str">
        <f>IFERROR(__XLUDF.DUMMYFUNCTION("PROPER(REGEXREPLACE(D727,""[^A-Za-z]+ "",""""))"),"Alisa.D")</f>
        <v>Alisa.D</v>
      </c>
      <c r="G10815" s="18" t="s">
        <v>49255</v>
      </c>
      <c r="H10815" s="18">
        <v>20</v>
      </c>
      <c r="I10815" s="18" t="s">
        <v>9239</v>
      </c>
      <c r="J10815" s="5" t="s">
        <v>49256</v>
      </c>
      <c r="K10815" s="5" t="s">
        <v>49257</v>
      </c>
      <c r="L10815" s="18" t="s">
        <v>846</v>
      </c>
      <c r="M10815" s="18" t="s">
        <v>29</v>
      </c>
      <c r="N10815" s="18" t="s">
        <v>49258</v>
      </c>
      <c r="O10815" s="18" t="s">
        <v>29</v>
      </c>
      <c r="P10815" s="6"/>
      <c r="Q10815" s="6"/>
      <c r="R10815" s="6"/>
      <c r="S10815" s="6"/>
      <c r="T10815" s="6"/>
      <c r="U10815" s="6"/>
    </row>
    <row r="10816" ht="14.25">
      <c r="B10816" s="18" t="s">
        <v>808</v>
      </c>
      <c r="C10816" s="18" t="s">
        <v>49259</v>
      </c>
      <c r="D10816" s="18" t="s">
        <v>1130</v>
      </c>
      <c r="E10816" s="18" t="s">
        <v>49260</v>
      </c>
      <c r="F10816" s="18" t="str">
        <f>IFERROR(__XLUDF.DUMMYFUNCTION("PROPER(REGEXREPLACE(D728,""[^A-Za-z]+ "",""""))"),"Design Constructionsassociés")</f>
        <v xml:space="preserve">Design Constructionsassociés</v>
      </c>
      <c r="G10816" s="18" t="s">
        <v>49261</v>
      </c>
      <c r="H10816" s="18">
        <v>27</v>
      </c>
      <c r="I10816" s="18" t="s">
        <v>9239</v>
      </c>
      <c r="J10816" s="5" t="s">
        <v>49262</v>
      </c>
      <c r="K10816" s="5" t="s">
        <v>49263</v>
      </c>
      <c r="L10816" s="18" t="s">
        <v>16341</v>
      </c>
      <c r="M10816" s="18" t="s">
        <v>29</v>
      </c>
      <c r="N10816" s="18" t="s">
        <v>49264</v>
      </c>
      <c r="O10816" s="18" t="s">
        <v>29</v>
      </c>
      <c r="P10816" s="18" t="s">
        <v>49265</v>
      </c>
      <c r="Q10816" s="6"/>
      <c r="R10816" s="6"/>
      <c r="S10816" s="6"/>
      <c r="T10816" s="6"/>
      <c r="U10816" s="6"/>
    </row>
    <row r="10817" ht="14.25">
      <c r="B10817" s="18" t="s">
        <v>76</v>
      </c>
      <c r="C10817" s="18" t="s">
        <v>49266</v>
      </c>
      <c r="D10817" s="18" t="s">
        <v>172</v>
      </c>
      <c r="E10817" s="18" t="s">
        <v>49267</v>
      </c>
      <c r="F10817" s="18" t="str">
        <f>IFERROR(__XLUDF.DUMMYFUNCTION("PROPER(REGEXREPLACE(D729,""[^A-Za-z]+ "",""""))"),"Stylique Paris")</f>
        <v xml:space="preserve">Stylique Paris</v>
      </c>
      <c r="G10817" s="18" t="s">
        <v>49268</v>
      </c>
      <c r="H10817" s="18">
        <v>40</v>
      </c>
      <c r="I10817" s="18" t="s">
        <v>9239</v>
      </c>
      <c r="J10817" s="5" t="s">
        <v>49269</v>
      </c>
      <c r="K10817" s="5" t="s">
        <v>49270</v>
      </c>
      <c r="L10817" s="18" t="s">
        <v>39</v>
      </c>
      <c r="M10817" s="18" t="s">
        <v>29</v>
      </c>
      <c r="N10817" s="18" t="s">
        <v>49271</v>
      </c>
      <c r="O10817" s="18" t="s">
        <v>29</v>
      </c>
      <c r="P10817" s="18" t="s">
        <v>49272</v>
      </c>
      <c r="Q10817" s="6"/>
      <c r="R10817" s="6"/>
      <c r="S10817" s="6"/>
      <c r="T10817" s="6"/>
      <c r="U10817" s="6"/>
    </row>
    <row r="10818" ht="14.25">
      <c r="B10818" s="18" t="s">
        <v>1153</v>
      </c>
      <c r="C10818" s="18" t="s">
        <v>49273</v>
      </c>
      <c r="D10818" s="18" t="s">
        <v>487</v>
      </c>
      <c r="E10818" s="18" t="s">
        <v>49274</v>
      </c>
      <c r="F10818" s="18" t="str">
        <f>IFERROR(__XLUDF.DUMMYFUNCTION("PROPER(REGEXREPLACE(D730,""[^A-Za-z]+ "",""""))"),"Openbox Co Design&amp;Build")</f>
        <v xml:space="preserve">Openbox Co Design&amp;Build</v>
      </c>
      <c r="G10818" s="18" t="s">
        <v>49275</v>
      </c>
      <c r="H10818" s="18">
        <v>10</v>
      </c>
      <c r="I10818" s="18" t="s">
        <v>9239</v>
      </c>
      <c r="J10818" s="5" t="s">
        <v>49276</v>
      </c>
      <c r="K10818" s="5" t="s">
        <v>49277</v>
      </c>
      <c r="L10818" s="18" t="s">
        <v>39</v>
      </c>
      <c r="M10818" s="18" t="s">
        <v>29</v>
      </c>
      <c r="N10818" s="18" t="s">
        <v>1283</v>
      </c>
      <c r="O10818" s="18" t="s">
        <v>29</v>
      </c>
      <c r="P10818" s="18" t="s">
        <v>49278</v>
      </c>
      <c r="Q10818" s="6"/>
      <c r="R10818" s="6"/>
      <c r="S10818" s="6"/>
      <c r="T10818" s="6"/>
      <c r="U10818" s="6"/>
    </row>
    <row r="10819" ht="14.25">
      <c r="B10819" s="18" t="s">
        <v>485</v>
      </c>
      <c r="C10819" s="18" t="s">
        <v>49279</v>
      </c>
      <c r="D10819" s="18" t="s">
        <v>5003</v>
      </c>
      <c r="E10819" s="18" t="s">
        <v>11421</v>
      </c>
      <c r="F10819" s="18" t="str">
        <f>IFERROR(__XLUDF.DUMMYFUNCTION("PROPER(REGEXREPLACE(D731,""[^A-Za-z]+ "",""""))"),"Moderlab")</f>
        <v>Moderlab</v>
      </c>
      <c r="G10819" s="18" t="s">
        <v>49280</v>
      </c>
      <c r="H10819" s="18">
        <v>21</v>
      </c>
      <c r="I10819" s="18" t="s">
        <v>2602</v>
      </c>
      <c r="J10819" s="5" t="s">
        <v>49281</v>
      </c>
      <c r="K10819" s="5" t="s">
        <v>49282</v>
      </c>
      <c r="L10819" s="18" t="s">
        <v>39</v>
      </c>
      <c r="M10819" s="18" t="s">
        <v>29</v>
      </c>
      <c r="N10819" s="18" t="s">
        <v>49283</v>
      </c>
      <c r="O10819" s="18" t="s">
        <v>29</v>
      </c>
      <c r="P10819" s="18" t="s">
        <v>11426</v>
      </c>
      <c r="Q10819" s="6"/>
      <c r="R10819" s="6"/>
      <c r="S10819" s="6"/>
      <c r="T10819" s="6"/>
      <c r="U10819" s="6"/>
    </row>
    <row r="10820" ht="14.25">
      <c r="B10820" s="18" t="s">
        <v>525</v>
      </c>
      <c r="C10820" s="18" t="s">
        <v>49284</v>
      </c>
      <c r="D10820" s="18" t="s">
        <v>1130</v>
      </c>
      <c r="E10820" s="18" t="s">
        <v>49285</v>
      </c>
      <c r="F10820" s="18" t="str">
        <f>IFERROR(__XLUDF.DUMMYFUNCTION("PROPER(REGEXREPLACE(D732,""[^A-Za-z]+ "",""""))"),"G2A Electricité")</f>
        <v xml:space="preserve">G2A Electricité</v>
      </c>
      <c r="G10820" s="18" t="s">
        <v>49286</v>
      </c>
      <c r="H10820" s="18">
        <v>200</v>
      </c>
      <c r="I10820" s="18" t="s">
        <v>9239</v>
      </c>
      <c r="J10820" s="5" t="s">
        <v>49287</v>
      </c>
      <c r="K10820" s="5" t="s">
        <v>49288</v>
      </c>
      <c r="L10820" s="18" t="s">
        <v>651</v>
      </c>
      <c r="M10820" s="18" t="s">
        <v>29</v>
      </c>
      <c r="N10820" s="18" t="s">
        <v>49289</v>
      </c>
      <c r="O10820" s="18" t="s">
        <v>29</v>
      </c>
      <c r="P10820" s="18" t="s">
        <v>49290</v>
      </c>
      <c r="Q10820" s="6"/>
      <c r="R10820" s="6"/>
      <c r="S10820" s="6"/>
      <c r="T10820" s="6"/>
      <c r="U10820" s="6"/>
    </row>
    <row r="10821" ht="14.25">
      <c r="B10821" s="18" t="s">
        <v>4800</v>
      </c>
      <c r="C10821" s="18" t="s">
        <v>817</v>
      </c>
      <c r="D10821" s="18" t="s">
        <v>172</v>
      </c>
      <c r="E10821" s="18" t="s">
        <v>49291</v>
      </c>
      <c r="F10821" s="18" t="str">
        <f>IFERROR(__XLUDF.DUMMYFUNCTION("PROPER(REGEXREPLACE(D733,""[^A-Za-z]+ "",""""))"),"Kalowrie Industrie")</f>
        <v xml:space="preserve">Kalowrie Industrie</v>
      </c>
      <c r="G10821" s="18" t="s">
        <v>49292</v>
      </c>
      <c r="H10821" s="18">
        <v>10</v>
      </c>
      <c r="I10821" s="18" t="s">
        <v>9239</v>
      </c>
      <c r="J10821" s="5" t="s">
        <v>49293</v>
      </c>
      <c r="K10821" s="5" t="s">
        <v>49294</v>
      </c>
      <c r="L10821" s="18" t="s">
        <v>1711</v>
      </c>
      <c r="M10821" s="18" t="s">
        <v>29</v>
      </c>
      <c r="N10821" s="18" t="s">
        <v>49295</v>
      </c>
      <c r="O10821" s="18" t="s">
        <v>29</v>
      </c>
      <c r="P10821" s="6"/>
      <c r="Q10821" s="6"/>
      <c r="R10821" s="6"/>
      <c r="S10821" s="6"/>
      <c r="T10821" s="6"/>
      <c r="U10821" s="6"/>
    </row>
    <row r="10822" ht="14.25">
      <c r="B10822" s="18" t="s">
        <v>785</v>
      </c>
      <c r="C10822" s="18" t="s">
        <v>9346</v>
      </c>
      <c r="D10822" s="18" t="s">
        <v>1130</v>
      </c>
      <c r="E10822" s="18" t="s">
        <v>49296</v>
      </c>
      <c r="F10822" s="18" t="str">
        <f>IFERROR(__XLUDF.DUMMYFUNCTION("PROPER(REGEXREPLACE(D734,""[^A-Za-z]+ "",""""))"),"Argilus")</f>
        <v>Argilus</v>
      </c>
      <c r="G10822" s="18" t="s">
        <v>49297</v>
      </c>
      <c r="H10822" s="18">
        <v>7</v>
      </c>
      <c r="I10822" s="18" t="s">
        <v>9239</v>
      </c>
      <c r="J10822" s="5" t="s">
        <v>49298</v>
      </c>
      <c r="K10822" s="5" t="s">
        <v>49299</v>
      </c>
      <c r="L10822" s="18" t="s">
        <v>1711</v>
      </c>
      <c r="M10822" s="18" t="s">
        <v>29</v>
      </c>
      <c r="N10822" s="18" t="s">
        <v>49300</v>
      </c>
      <c r="O10822" s="18" t="s">
        <v>29</v>
      </c>
      <c r="P10822" s="6"/>
      <c r="Q10822" s="6"/>
      <c r="R10822" s="6"/>
      <c r="S10822" s="6"/>
      <c r="T10822" s="6"/>
      <c r="U10822" s="6"/>
    </row>
    <row r="10823" ht="14.25">
      <c r="B10823" s="18" t="s">
        <v>10945</v>
      </c>
      <c r="C10823" s="18" t="s">
        <v>49301</v>
      </c>
      <c r="D10823" s="18" t="s">
        <v>112</v>
      </c>
      <c r="E10823" s="18" t="s">
        <v>49302</v>
      </c>
      <c r="F10823" s="18" t="str">
        <f>IFERROR(__XLUDF.DUMMYFUNCTION("PROPER(REGEXREPLACE(D735,""[^A-Za-z]+ "",""""))"),"Groupe Guiton")</f>
        <v xml:space="preserve">Groupe Guiton</v>
      </c>
      <c r="G10823" s="18" t="s">
        <v>49303</v>
      </c>
      <c r="H10823" s="18">
        <v>38</v>
      </c>
      <c r="I10823" s="18" t="s">
        <v>9239</v>
      </c>
      <c r="J10823" s="5" t="s">
        <v>49304</v>
      </c>
      <c r="K10823" s="5" t="s">
        <v>49305</v>
      </c>
      <c r="L10823" s="18" t="s">
        <v>149</v>
      </c>
      <c r="M10823" s="18" t="s">
        <v>29</v>
      </c>
      <c r="N10823" s="18" t="s">
        <v>49306</v>
      </c>
      <c r="O10823" s="18" t="s">
        <v>29</v>
      </c>
      <c r="P10823" s="18" t="s">
        <v>49307</v>
      </c>
      <c r="Q10823" s="6"/>
      <c r="R10823" s="6"/>
      <c r="S10823" s="6"/>
      <c r="T10823" s="6"/>
      <c r="U10823" s="6"/>
    </row>
    <row r="10824" ht="14.25">
      <c r="B10824" s="18" t="s">
        <v>622</v>
      </c>
      <c r="C10824" s="18" t="s">
        <v>49308</v>
      </c>
      <c r="D10824" s="18" t="s">
        <v>112</v>
      </c>
      <c r="E10824" s="18" t="s">
        <v>49217</v>
      </c>
      <c r="F10824" s="18" t="str">
        <f>IFERROR(__XLUDF.DUMMYFUNCTION("PROPER(REGEXREPLACE(D736,""[^A-Za-z]+ "",""""))"),"Office Santé")</f>
        <v xml:space="preserve">Office Santé</v>
      </c>
      <c r="G10824" s="18" t="s">
        <v>49309</v>
      </c>
      <c r="H10824" s="18">
        <v>44</v>
      </c>
      <c r="I10824" s="18" t="s">
        <v>9239</v>
      </c>
      <c r="J10824" s="5" t="s">
        <v>49310</v>
      </c>
      <c r="K10824" s="5" t="s">
        <v>49220</v>
      </c>
      <c r="L10824" s="18" t="s">
        <v>1826</v>
      </c>
      <c r="M10824" s="18" t="s">
        <v>29</v>
      </c>
      <c r="N10824" s="18" t="s">
        <v>26417</v>
      </c>
      <c r="O10824" s="18" t="s">
        <v>29</v>
      </c>
      <c r="P10824" s="18" t="s">
        <v>49221</v>
      </c>
      <c r="Q10824" s="6"/>
      <c r="R10824" s="6"/>
      <c r="S10824" s="6"/>
      <c r="T10824" s="6"/>
      <c r="U10824" s="6"/>
    </row>
    <row r="10825" ht="14.25">
      <c r="B10825" s="18" t="s">
        <v>1583</v>
      </c>
      <c r="C10825" s="18" t="s">
        <v>32424</v>
      </c>
      <c r="D10825" s="18" t="s">
        <v>112</v>
      </c>
      <c r="E10825" s="18" t="s">
        <v>48680</v>
      </c>
      <c r="F10825" s="18" t="str">
        <f>IFERROR(__XLUDF.DUMMYFUNCTION("PROPER(REGEXREPLACE(D737,""[^A-Za-z]+ "",""""))"),"Groupe Soflux")</f>
        <v xml:space="preserve">Groupe Soflux</v>
      </c>
      <c r="G10825" s="18" t="s">
        <v>49311</v>
      </c>
      <c r="H10825" s="18">
        <v>41</v>
      </c>
      <c r="I10825" s="18" t="s">
        <v>9239</v>
      </c>
      <c r="J10825" s="5" t="s">
        <v>49312</v>
      </c>
      <c r="K10825" s="5" t="s">
        <v>48683</v>
      </c>
      <c r="L10825" s="6"/>
      <c r="M10825" s="18" t="s">
        <v>29</v>
      </c>
      <c r="N10825" s="18" t="s">
        <v>48684</v>
      </c>
      <c r="O10825" s="18" t="s">
        <v>29</v>
      </c>
      <c r="P10825" s="18" t="s">
        <v>48685</v>
      </c>
      <c r="Q10825" s="6"/>
      <c r="R10825" s="6"/>
      <c r="S10825" s="6"/>
      <c r="T10825" s="6"/>
      <c r="U10825" s="6"/>
    </row>
    <row r="10826" ht="14.25">
      <c r="B10826" s="18" t="s">
        <v>16297</v>
      </c>
      <c r="C10826" s="18" t="s">
        <v>49313</v>
      </c>
      <c r="D10826" s="18" t="s">
        <v>112</v>
      </c>
      <c r="E10826" s="18" t="s">
        <v>49314</v>
      </c>
      <c r="F10826" s="18" t="str">
        <f>IFERROR(__XLUDF.DUMMYFUNCTION("PROPER(REGEXREPLACE(D738,""[^A-Za-z]+ "",""""))"),"Roc")</f>
        <v>Roc</v>
      </c>
      <c r="G10826" s="18" t="s">
        <v>49315</v>
      </c>
      <c r="H10826" s="18">
        <v>39</v>
      </c>
      <c r="I10826" s="18" t="s">
        <v>9239</v>
      </c>
      <c r="J10826" s="5" t="s">
        <v>49316</v>
      </c>
      <c r="K10826" s="5" t="s">
        <v>49317</v>
      </c>
      <c r="L10826" s="6"/>
      <c r="M10826" s="18" t="s">
        <v>29</v>
      </c>
      <c r="N10826" s="18" t="s">
        <v>49318</v>
      </c>
      <c r="O10826" s="18" t="s">
        <v>29</v>
      </c>
      <c r="P10826" s="6"/>
      <c r="Q10826" s="6"/>
      <c r="R10826" s="6"/>
      <c r="S10826" s="6"/>
      <c r="T10826" s="6"/>
      <c r="U10826" s="6"/>
    </row>
    <row r="10827" ht="14.25">
      <c r="B10827" s="18" t="s">
        <v>7525</v>
      </c>
      <c r="C10827" s="18" t="s">
        <v>29549</v>
      </c>
      <c r="D10827" s="18" t="s">
        <v>112</v>
      </c>
      <c r="E10827" s="18" t="s">
        <v>49319</v>
      </c>
      <c r="F10827" s="18" t="str">
        <f>IFERROR(__XLUDF.DUMMYFUNCTION("PROPER(REGEXREPLACE(D739,""[^A-Za-z]+ "",""""))"),"Iba")</f>
        <v>Iba</v>
      </c>
      <c r="G10827" s="18" t="s">
        <v>49320</v>
      </c>
      <c r="H10827" s="18">
        <v>97</v>
      </c>
      <c r="I10827" s="18" t="s">
        <v>9239</v>
      </c>
      <c r="J10827" s="5" t="s">
        <v>49321</v>
      </c>
      <c r="K10827" s="5" t="s">
        <v>49322</v>
      </c>
      <c r="L10827" s="18" t="s">
        <v>7361</v>
      </c>
      <c r="M10827" s="18" t="s">
        <v>29</v>
      </c>
      <c r="N10827" s="18" t="s">
        <v>49323</v>
      </c>
      <c r="O10827" s="18" t="s">
        <v>29</v>
      </c>
      <c r="P10827" s="18" t="s">
        <v>49324</v>
      </c>
      <c r="Q10827" s="6"/>
      <c r="R10827" s="6"/>
      <c r="S10827" s="6"/>
      <c r="T10827" s="6"/>
      <c r="U10827" s="6"/>
    </row>
    <row r="10828" ht="14.25">
      <c r="B10828" s="18" t="s">
        <v>31728</v>
      </c>
      <c r="C10828" s="18" t="s">
        <v>49325</v>
      </c>
      <c r="D10828" s="18" t="s">
        <v>112</v>
      </c>
      <c r="E10828" s="18" t="s">
        <v>49326</v>
      </c>
      <c r="F10828" s="18" t="str">
        <f>IFERROR(__XLUDF.DUMMYFUNCTION("PROPER(REGEXREPLACE(D740,""[^A-Za-z]+ "",""""))"),"Atlas Géotechnique")</f>
        <v xml:space="preserve">Atlas Géotechnique</v>
      </c>
      <c r="G10828" s="18" t="s">
        <v>49327</v>
      </c>
      <c r="H10828" s="18">
        <v>40</v>
      </c>
      <c r="I10828" s="18" t="s">
        <v>9239</v>
      </c>
      <c r="J10828" s="5" t="s">
        <v>49328</v>
      </c>
      <c r="K10828" s="5" t="s">
        <v>49329</v>
      </c>
      <c r="L10828" s="6"/>
      <c r="M10828" s="18" t="s">
        <v>29</v>
      </c>
      <c r="N10828" s="18" t="s">
        <v>49330</v>
      </c>
      <c r="O10828" s="18" t="s">
        <v>29</v>
      </c>
      <c r="P10828" s="18" t="s">
        <v>49331</v>
      </c>
      <c r="Q10828" s="6"/>
      <c r="R10828" s="6"/>
      <c r="S10828" s="6"/>
      <c r="T10828" s="6"/>
      <c r="U10828" s="6"/>
    </row>
    <row r="10829" ht="14.25">
      <c r="B10829" s="18" t="s">
        <v>734</v>
      </c>
      <c r="C10829" s="18" t="s">
        <v>32503</v>
      </c>
      <c r="D10829" s="18" t="s">
        <v>112</v>
      </c>
      <c r="E10829" s="18" t="s">
        <v>49332</v>
      </c>
      <c r="F10829" s="18" t="str">
        <f>IFERROR(__XLUDF.DUMMYFUNCTION("PROPER(REGEXREPLACE(D741,""[^A-Za-z]+ "",""""))"),"Trianon Résidences")</f>
        <v xml:space="preserve">Trianon Résidences</v>
      </c>
      <c r="G10829" s="18" t="s">
        <v>49333</v>
      </c>
      <c r="H10829" s="18">
        <v>32</v>
      </c>
      <c r="I10829" s="18" t="s">
        <v>9239</v>
      </c>
      <c r="J10829" s="5" t="s">
        <v>49334</v>
      </c>
      <c r="K10829" s="5" t="s">
        <v>49335</v>
      </c>
      <c r="L10829" s="6"/>
      <c r="M10829" s="18" t="s">
        <v>29</v>
      </c>
      <c r="N10829" s="18" t="s">
        <v>49336</v>
      </c>
      <c r="O10829" s="18" t="s">
        <v>29</v>
      </c>
      <c r="P10829" s="18" t="s">
        <v>49337</v>
      </c>
      <c r="Q10829" s="6"/>
      <c r="R10829" s="6"/>
      <c r="S10829" s="6"/>
      <c r="T10829" s="6"/>
      <c r="U10829" s="6"/>
    </row>
    <row r="10830" ht="14.25">
      <c r="B10830" s="18" t="s">
        <v>2508</v>
      </c>
      <c r="C10830" s="18" t="s">
        <v>2436</v>
      </c>
      <c r="D10830" s="18" t="s">
        <v>87</v>
      </c>
      <c r="E10830" s="18" t="s">
        <v>49338</v>
      </c>
      <c r="F10830" s="18" t="str">
        <f>IFERROR(__XLUDF.DUMMYFUNCTION("PROPER(REGEXREPLACE(D742,""[^A-Za-z]+ "",""""))"),"Hugues Construction")</f>
        <v xml:space="preserve">Hugues Construction</v>
      </c>
      <c r="G10830" s="18" t="s">
        <v>49339</v>
      </c>
      <c r="H10830" s="18">
        <v>22</v>
      </c>
      <c r="I10830" s="18" t="s">
        <v>9239</v>
      </c>
      <c r="J10830" s="5" t="s">
        <v>49340</v>
      </c>
      <c r="K10830" s="5" t="s">
        <v>49341</v>
      </c>
      <c r="L10830" s="18" t="s">
        <v>49342</v>
      </c>
      <c r="M10830" s="18" t="s">
        <v>29</v>
      </c>
      <c r="N10830" s="18" t="s">
        <v>49343</v>
      </c>
      <c r="O10830" s="18" t="s">
        <v>29</v>
      </c>
      <c r="P10830" s="18" t="s">
        <v>49344</v>
      </c>
      <c r="Q10830" s="6"/>
      <c r="R10830" s="6"/>
      <c r="S10830" s="6"/>
      <c r="T10830" s="6"/>
      <c r="U10830" s="6"/>
    </row>
    <row r="10831" ht="14.25">
      <c r="B10831" s="18" t="s">
        <v>49345</v>
      </c>
      <c r="C10831" s="18" t="s">
        <v>49346</v>
      </c>
      <c r="D10831" s="18" t="s">
        <v>7155</v>
      </c>
      <c r="E10831" s="18" t="s">
        <v>49347</v>
      </c>
      <c r="F10831" s="18" t="str">
        <f>IFERROR(__XLUDF.DUMMYFUNCTION("PROPER(REGEXREPLACE(D743,""[^A-Za-z]+ "",""""))"),"Ecomac Construction")</f>
        <v xml:space="preserve">Ecomac Construction</v>
      </c>
      <c r="G10831" s="18" t="s">
        <v>49348</v>
      </c>
      <c r="H10831" s="6"/>
      <c r="I10831" s="6"/>
      <c r="J10831" s="5" t="s">
        <v>49349</v>
      </c>
      <c r="K10831" s="5" t="s">
        <v>49350</v>
      </c>
      <c r="L10831" s="18" t="s">
        <v>11888</v>
      </c>
      <c r="M10831" s="18" t="s">
        <v>29</v>
      </c>
      <c r="N10831" s="18" t="s">
        <v>49351</v>
      </c>
      <c r="O10831" s="18" t="s">
        <v>29</v>
      </c>
      <c r="P10831" s="6"/>
      <c r="Q10831" s="6"/>
      <c r="R10831" s="6"/>
      <c r="S10831" s="6"/>
      <c r="T10831" s="6"/>
      <c r="U10831" s="6"/>
    </row>
    <row r="10832" ht="14.25">
      <c r="B10832" s="18" t="s">
        <v>14276</v>
      </c>
      <c r="C10832" s="18" t="s">
        <v>49352</v>
      </c>
      <c r="D10832" s="18" t="s">
        <v>265</v>
      </c>
      <c r="E10832" s="18" t="s">
        <v>31947</v>
      </c>
      <c r="F10832" s="18" t="str">
        <f>IFERROR(__XLUDF.DUMMYFUNCTION("PROPER(REGEXREPLACE(D744,""[^A-Za-z]+ "",""""))"),"Buildrz")</f>
        <v>Buildrz</v>
      </c>
      <c r="G10832" s="18" t="s">
        <v>49353</v>
      </c>
      <c r="H10832" s="18">
        <v>20</v>
      </c>
      <c r="I10832" s="18" t="s">
        <v>4293</v>
      </c>
      <c r="J10832" s="5" t="s">
        <v>49354</v>
      </c>
      <c r="K10832" s="5" t="s">
        <v>31950</v>
      </c>
      <c r="L10832" s="6"/>
      <c r="M10832" s="18" t="s">
        <v>29</v>
      </c>
      <c r="N10832" s="18" t="s">
        <v>31951</v>
      </c>
      <c r="O10832" s="18" t="s">
        <v>29</v>
      </c>
      <c r="P10832" s="18" t="s">
        <v>31952</v>
      </c>
      <c r="Q10832" s="6"/>
      <c r="R10832" s="6"/>
      <c r="S10832" s="6"/>
      <c r="T10832" s="6"/>
      <c r="U10832" s="6"/>
    </row>
    <row r="10833" ht="14.25">
      <c r="B10833" s="18" t="s">
        <v>2598</v>
      </c>
      <c r="C10833" s="18" t="s">
        <v>49355</v>
      </c>
      <c r="D10833" s="18" t="s">
        <v>112</v>
      </c>
      <c r="E10833" s="18" t="s">
        <v>49356</v>
      </c>
      <c r="F10833" s="18" t="str">
        <f>IFERROR(__XLUDF.DUMMYFUNCTION("PROPER(REGEXREPLACE(D745,""[^A-Za-z]+ "",""""))"),"Art Deco Piscine")</f>
        <v xml:space="preserve">Art Deco Piscine</v>
      </c>
      <c r="G10833" s="18" t="s">
        <v>49357</v>
      </c>
      <c r="H10833" s="18">
        <v>4</v>
      </c>
      <c r="I10833" s="18" t="s">
        <v>9239</v>
      </c>
      <c r="J10833" s="5" t="s">
        <v>49358</v>
      </c>
      <c r="K10833" s="5" t="s">
        <v>49359</v>
      </c>
      <c r="L10833" s="18" t="s">
        <v>295</v>
      </c>
      <c r="M10833" s="18" t="s">
        <v>29</v>
      </c>
      <c r="N10833" s="18" t="s">
        <v>49360</v>
      </c>
      <c r="O10833" s="18" t="s">
        <v>29</v>
      </c>
      <c r="P10833" s="6"/>
      <c r="Q10833" s="6"/>
      <c r="R10833" s="6"/>
      <c r="S10833" s="6"/>
      <c r="T10833" s="6"/>
      <c r="U10833" s="6"/>
    </row>
    <row r="10834" ht="14.25">
      <c r="B10834" s="18" t="s">
        <v>874</v>
      </c>
      <c r="C10834" s="18" t="s">
        <v>49361</v>
      </c>
      <c r="D10834" s="18" t="s">
        <v>112</v>
      </c>
      <c r="E10834" s="18" t="s">
        <v>49362</v>
      </c>
      <c r="F10834" s="18" t="str">
        <f>IFERROR(__XLUDF.DUMMYFUNCTION("PROPER(REGEXREPLACE(D746,""[^A-Za-z]+ "",""""))"),"Aba")</f>
        <v>Aba</v>
      </c>
      <c r="G10834" s="18" t="s">
        <v>49363</v>
      </c>
      <c r="H10834" s="18">
        <v>5</v>
      </c>
      <c r="I10834" s="18" t="s">
        <v>9239</v>
      </c>
      <c r="J10834" s="5" t="s">
        <v>49364</v>
      </c>
      <c r="K10834" s="5" t="s">
        <v>49365</v>
      </c>
      <c r="L10834" s="18" t="s">
        <v>15292</v>
      </c>
      <c r="M10834" s="18" t="s">
        <v>29</v>
      </c>
      <c r="N10834" s="18" t="s">
        <v>49366</v>
      </c>
      <c r="O10834" s="18" t="s">
        <v>29</v>
      </c>
      <c r="P10834" s="18" t="s">
        <v>49367</v>
      </c>
      <c r="Q10834" s="6"/>
      <c r="R10834" s="6"/>
      <c r="S10834" s="6"/>
      <c r="T10834" s="6"/>
      <c r="U10834" s="6"/>
    </row>
    <row r="10835" ht="14.25">
      <c r="B10835" s="18" t="s">
        <v>971</v>
      </c>
      <c r="C10835" s="18" t="s">
        <v>49368</v>
      </c>
      <c r="D10835" s="18" t="s">
        <v>172</v>
      </c>
      <c r="E10835" s="18" t="s">
        <v>49369</v>
      </c>
      <c r="F10835" s="18" t="str">
        <f>IFERROR(__XLUDF.DUMMYFUNCTION("PROPER(REGEXREPLACE(D747,""[^A-Za-z]+ "",""""))"),"Carret Associés")</f>
        <v xml:space="preserve">Carret Associés</v>
      </c>
      <c r="G10835" s="18" t="s">
        <v>49370</v>
      </c>
      <c r="H10835" s="18">
        <v>7</v>
      </c>
      <c r="I10835" s="18" t="s">
        <v>9239</v>
      </c>
      <c r="J10835" s="5" t="s">
        <v>49371</v>
      </c>
      <c r="K10835" s="5" t="s">
        <v>49372</v>
      </c>
      <c r="L10835" s="18" t="s">
        <v>2186</v>
      </c>
      <c r="M10835" s="18" t="s">
        <v>29</v>
      </c>
      <c r="N10835" s="18" t="s">
        <v>49373</v>
      </c>
      <c r="O10835" s="18" t="s">
        <v>29</v>
      </c>
      <c r="P10835" s="18" t="s">
        <v>49374</v>
      </c>
      <c r="Q10835" s="6"/>
      <c r="R10835" s="6"/>
      <c r="S10835" s="6"/>
      <c r="T10835" s="6"/>
      <c r="U10835" s="6"/>
    </row>
    <row r="10836" ht="14.25">
      <c r="B10836" s="18" t="s">
        <v>49375</v>
      </c>
      <c r="C10836" s="18" t="s">
        <v>47137</v>
      </c>
      <c r="D10836" s="18" t="s">
        <v>172</v>
      </c>
      <c r="E10836" s="18" t="s">
        <v>49376</v>
      </c>
      <c r="F10836" s="18" t="str">
        <f>IFERROR(__XLUDF.DUMMYFUNCTION("PROPER(REGEXREPLACE(D748,""[^A-Za-z]+ "",""""))"),"Tci Bat")</f>
        <v xml:space="preserve">Tci Bat</v>
      </c>
      <c r="G10836" s="18" t="s">
        <v>49377</v>
      </c>
      <c r="H10836" s="18">
        <v>22</v>
      </c>
      <c r="I10836" s="18" t="s">
        <v>9239</v>
      </c>
      <c r="J10836" s="5" t="s">
        <v>49378</v>
      </c>
      <c r="K10836" s="5" t="s">
        <v>49379</v>
      </c>
      <c r="L10836" s="6"/>
      <c r="M10836" s="18" t="s">
        <v>29</v>
      </c>
      <c r="N10836" s="18" t="s">
        <v>49380</v>
      </c>
      <c r="O10836" s="18" t="s">
        <v>29</v>
      </c>
      <c r="P10836" s="6"/>
      <c r="Q10836" s="6"/>
      <c r="R10836" s="6"/>
      <c r="S10836" s="6"/>
      <c r="T10836" s="6"/>
      <c r="U10836" s="6"/>
    </row>
    <row r="10837" ht="14.25">
      <c r="B10837" s="18" t="s">
        <v>963</v>
      </c>
      <c r="C10837" s="18" t="s">
        <v>49381</v>
      </c>
      <c r="D10837" s="18" t="s">
        <v>172</v>
      </c>
      <c r="E10837" s="18" t="s">
        <v>49382</v>
      </c>
      <c r="F10837" s="18" t="str">
        <f>IFERROR(__XLUDF.DUMMYFUNCTION("PROPER(REGEXREPLACE(D749,""[^A-Za-z]+ "",""""))"),"Geoexperts")</f>
        <v>Geoexperts</v>
      </c>
      <c r="G10837" s="18" t="s">
        <v>49383</v>
      </c>
      <c r="H10837" s="18">
        <v>18</v>
      </c>
      <c r="I10837" s="18" t="s">
        <v>9239</v>
      </c>
      <c r="J10837" s="5" t="s">
        <v>49384</v>
      </c>
      <c r="K10837" s="5" t="s">
        <v>49385</v>
      </c>
      <c r="L10837" s="18" t="s">
        <v>22897</v>
      </c>
      <c r="M10837" s="18" t="s">
        <v>29</v>
      </c>
      <c r="N10837" s="18" t="s">
        <v>28941</v>
      </c>
      <c r="O10837" s="18" t="s">
        <v>29</v>
      </c>
      <c r="P10837" s="6"/>
      <c r="Q10837" s="6"/>
      <c r="R10837" s="6"/>
      <c r="S10837" s="6"/>
      <c r="T10837" s="6"/>
      <c r="U10837" s="6"/>
    </row>
    <row r="10838" ht="14.25">
      <c r="B10838" s="18" t="s">
        <v>2258</v>
      </c>
      <c r="C10838" s="18" t="s">
        <v>25507</v>
      </c>
      <c r="D10838" s="18" t="s">
        <v>172</v>
      </c>
      <c r="E10838" s="18" t="s">
        <v>49386</v>
      </c>
      <c r="F10838" s="18" t="str">
        <f>IFERROR(__XLUDF.DUMMYFUNCTION("PROPER(REGEXREPLACE(D750,""[^A-Za-z]+ "",""""))"),"C4C Étudesexpertises")</f>
        <v xml:space="preserve">C4C Étudesexpertises</v>
      </c>
      <c r="G10838" s="18" t="s">
        <v>49387</v>
      </c>
      <c r="H10838" s="18">
        <v>14</v>
      </c>
      <c r="I10838" s="18" t="s">
        <v>9239</v>
      </c>
      <c r="J10838" s="5" t="s">
        <v>49388</v>
      </c>
      <c r="K10838" s="5" t="s">
        <v>49389</v>
      </c>
      <c r="L10838" s="18" t="s">
        <v>15348</v>
      </c>
      <c r="M10838" s="18" t="s">
        <v>29</v>
      </c>
      <c r="N10838" s="18" t="s">
        <v>49390</v>
      </c>
      <c r="O10838" s="18" t="s">
        <v>29</v>
      </c>
      <c r="P10838" s="18" t="s">
        <v>49391</v>
      </c>
      <c r="Q10838" s="6"/>
      <c r="R10838" s="6"/>
      <c r="S10838" s="6"/>
      <c r="T10838" s="6"/>
      <c r="U10838" s="6"/>
    </row>
    <row r="10839" ht="14.25">
      <c r="B10839" s="18" t="s">
        <v>3516</v>
      </c>
      <c r="C10839" s="18" t="s">
        <v>49392</v>
      </c>
      <c r="D10839" s="18" t="s">
        <v>198</v>
      </c>
      <c r="E10839" s="18" t="s">
        <v>47382</v>
      </c>
      <c r="F10839" s="18" t="str">
        <f>IFERROR(__XLUDF.DUMMYFUNCTION("PROPER(REGEXREPLACE(D751,""[^A-Za-z]+ "",""""))"),"Porcheron Freres Et Cie")</f>
        <v xml:space="preserve">Porcheron Freres Et Cie</v>
      </c>
      <c r="G10839" s="18" t="s">
        <v>49393</v>
      </c>
      <c r="H10839" s="18">
        <v>15</v>
      </c>
      <c r="I10839" s="18" t="s">
        <v>9239</v>
      </c>
      <c r="J10839" s="5" t="s">
        <v>49394</v>
      </c>
      <c r="K10839" s="5" t="s">
        <v>47385</v>
      </c>
      <c r="L10839" s="18" t="s">
        <v>47386</v>
      </c>
      <c r="M10839" s="18" t="s">
        <v>29</v>
      </c>
      <c r="N10839" s="18" t="s">
        <v>47387</v>
      </c>
      <c r="O10839" s="18" t="s">
        <v>1938</v>
      </c>
      <c r="P10839" s="18" t="s">
        <v>47388</v>
      </c>
      <c r="Q10839" s="6"/>
      <c r="R10839" s="6"/>
      <c r="S10839" s="6"/>
      <c r="T10839" s="6"/>
      <c r="U10839" s="6"/>
    </row>
    <row r="10840" ht="14.25">
      <c r="B10840" s="18" t="s">
        <v>330</v>
      </c>
      <c r="C10840" s="18" t="s">
        <v>7095</v>
      </c>
      <c r="D10840" s="18" t="s">
        <v>8109</v>
      </c>
      <c r="E10840" s="18" t="s">
        <v>49395</v>
      </c>
      <c r="F10840" s="18" t="str">
        <f>IFERROR(__XLUDF.DUMMYFUNCTION("PROPER(REGEXREPLACE(D752,""[^A-Za-z]+ "",""""))"),"Thp")</f>
        <v>Thp</v>
      </c>
      <c r="G10840" s="18" t="s">
        <v>49396</v>
      </c>
      <c r="H10840" s="18">
        <v>12</v>
      </c>
      <c r="I10840" s="18" t="s">
        <v>9239</v>
      </c>
      <c r="J10840" s="5" t="s">
        <v>49397</v>
      </c>
      <c r="K10840" s="5" t="s">
        <v>49398</v>
      </c>
      <c r="L10840" s="18" t="s">
        <v>243</v>
      </c>
      <c r="M10840" s="18" t="s">
        <v>29</v>
      </c>
      <c r="N10840" s="18" t="s">
        <v>49399</v>
      </c>
      <c r="O10840" s="18" t="s">
        <v>29</v>
      </c>
      <c r="P10840" s="18" t="s">
        <v>49400</v>
      </c>
      <c r="Q10840" s="6"/>
      <c r="R10840" s="6"/>
      <c r="S10840" s="6"/>
      <c r="T10840" s="6"/>
      <c r="U10840" s="6"/>
    </row>
    <row r="10841" ht="14.25">
      <c r="B10841" s="18" t="s">
        <v>355</v>
      </c>
      <c r="C10841" s="18" t="s">
        <v>49401</v>
      </c>
      <c r="D10841" s="18" t="s">
        <v>49402</v>
      </c>
      <c r="E10841" s="18" t="s">
        <v>49403</v>
      </c>
      <c r="F10841" s="18" t="str">
        <f>IFERROR(__XLUDF.DUMMYFUNCTION("PROPER(REGEXREPLACE(D753,""[^A-Za-z]+ "",""""))"),"B.C.R")</f>
        <v>B.C.R</v>
      </c>
      <c r="G10841" s="18" t="s">
        <v>49404</v>
      </c>
      <c r="H10841" s="18">
        <v>16</v>
      </c>
      <c r="I10841" s="18" t="s">
        <v>9239</v>
      </c>
      <c r="J10841" s="5" t="s">
        <v>49405</v>
      </c>
      <c r="K10841" s="5" t="s">
        <v>49406</v>
      </c>
      <c r="L10841" s="6"/>
      <c r="M10841" s="18" t="s">
        <v>29</v>
      </c>
      <c r="N10841" s="18" t="s">
        <v>49407</v>
      </c>
      <c r="O10841" s="18" t="s">
        <v>29</v>
      </c>
      <c r="P10841" s="6"/>
      <c r="Q10841" s="6"/>
      <c r="R10841" s="6"/>
      <c r="S10841" s="6"/>
      <c r="T10841" s="6"/>
      <c r="U10841" s="6"/>
    </row>
    <row r="10842" ht="14.25">
      <c r="B10842" s="18" t="s">
        <v>5252</v>
      </c>
      <c r="C10842" s="18" t="s">
        <v>49408</v>
      </c>
      <c r="D10842" s="18" t="s">
        <v>87</v>
      </c>
      <c r="E10842" s="18" t="s">
        <v>49409</v>
      </c>
      <c r="F10842" s="18" t="str">
        <f>IFERROR(__XLUDF.DUMMYFUNCTION("PROPER(REGEXREPLACE(D754,""[^A-Za-z]+ "",""""))"),"Avantages Securite")</f>
        <v xml:space="preserve">Avantages Securite</v>
      </c>
      <c r="G10842" s="18" t="s">
        <v>49410</v>
      </c>
      <c r="H10842" s="18">
        <v>8</v>
      </c>
      <c r="I10842" s="18" t="s">
        <v>9239</v>
      </c>
      <c r="J10842" s="5" t="s">
        <v>49411</v>
      </c>
      <c r="K10842" s="5" t="s">
        <v>49412</v>
      </c>
      <c r="L10842" s="18" t="s">
        <v>1015</v>
      </c>
      <c r="M10842" s="18" t="s">
        <v>29</v>
      </c>
      <c r="N10842" s="18" t="s">
        <v>49413</v>
      </c>
      <c r="O10842" s="18" t="s">
        <v>29</v>
      </c>
      <c r="P10842" s="18" t="s">
        <v>49414</v>
      </c>
      <c r="Q10842" s="6"/>
      <c r="R10842" s="6"/>
      <c r="S10842" s="6"/>
      <c r="T10842" s="6"/>
      <c r="U10842" s="6"/>
    </row>
    <row r="10843" ht="14.25">
      <c r="B10843" s="18" t="s">
        <v>1153</v>
      </c>
      <c r="C10843" s="18" t="s">
        <v>49415</v>
      </c>
      <c r="D10843" s="18" t="s">
        <v>172</v>
      </c>
      <c r="E10843" s="18" t="s">
        <v>13244</v>
      </c>
      <c r="F10843" s="18" t="str">
        <f>IFERROR(__XLUDF.DUMMYFUNCTION("PROPER(REGEXREPLACE(D755,""[^A-Za-z]+ "",""""))"),"Alliance Économie")</f>
        <v xml:space="preserve">Alliance Économie</v>
      </c>
      <c r="G10843" s="18" t="s">
        <v>49416</v>
      </c>
      <c r="H10843" s="18">
        <v>50</v>
      </c>
      <c r="I10843" s="18" t="s">
        <v>9239</v>
      </c>
      <c r="J10843" s="5" t="s">
        <v>49417</v>
      </c>
      <c r="K10843" s="5" t="s">
        <v>45555</v>
      </c>
      <c r="L10843" s="18" t="s">
        <v>39</v>
      </c>
      <c r="M10843" s="18" t="s">
        <v>29</v>
      </c>
      <c r="N10843" s="18" t="s">
        <v>67</v>
      </c>
      <c r="O10843" s="18" t="s">
        <v>29</v>
      </c>
      <c r="P10843" s="6"/>
      <c r="Q10843" s="6"/>
      <c r="R10843" s="6"/>
      <c r="S10843" s="6"/>
      <c r="T10843" s="6"/>
      <c r="U10843" s="6"/>
    </row>
    <row r="10844" ht="14.25">
      <c r="B10844" s="18" t="s">
        <v>355</v>
      </c>
      <c r="C10844" s="18" t="s">
        <v>49418</v>
      </c>
      <c r="D10844" s="18" t="s">
        <v>172</v>
      </c>
      <c r="E10844" s="18" t="s">
        <v>49419</v>
      </c>
      <c r="F10844" s="18" t="str">
        <f>IFERROR(__XLUDF.DUMMYFUNCTION("PROPER(REGEXREPLACE(D756,""[^A-Za-z]+ "",""""))"),"Inex Bet")</f>
        <v xml:space="preserve">Inex Bet</v>
      </c>
      <c r="G10844" s="18" t="s">
        <v>49420</v>
      </c>
      <c r="H10844" s="18">
        <v>49</v>
      </c>
      <c r="I10844" s="18" t="s">
        <v>9239</v>
      </c>
      <c r="J10844" s="5" t="s">
        <v>49421</v>
      </c>
      <c r="K10844" s="5" t="s">
        <v>49422</v>
      </c>
      <c r="L10844" s="18" t="s">
        <v>39</v>
      </c>
      <c r="M10844" s="18" t="s">
        <v>29</v>
      </c>
      <c r="N10844" s="18" t="s">
        <v>49423</v>
      </c>
      <c r="O10844" s="18" t="s">
        <v>29</v>
      </c>
      <c r="P10844" s="18" t="s">
        <v>49424</v>
      </c>
      <c r="Q10844" s="6"/>
      <c r="R10844" s="6"/>
      <c r="S10844" s="6"/>
      <c r="T10844" s="6"/>
      <c r="U10844" s="6"/>
    </row>
    <row r="10845" ht="14.25">
      <c r="B10845" s="18" t="s">
        <v>19396</v>
      </c>
      <c r="C10845" s="18" t="s">
        <v>4154</v>
      </c>
      <c r="D10845" s="18" t="s">
        <v>172</v>
      </c>
      <c r="E10845" s="18" t="s">
        <v>48668</v>
      </c>
      <c r="F10845" s="18" t="str">
        <f>IFERROR(__XLUDF.DUMMYFUNCTION("PROPER(REGEXREPLACE(D757,""[^A-Za-z]+ "",""""))"),"Gauthier Sas")</f>
        <v xml:space="preserve">Gauthier Sas</v>
      </c>
      <c r="G10845" s="18" t="s">
        <v>49425</v>
      </c>
      <c r="H10845" s="18">
        <v>38</v>
      </c>
      <c r="I10845" s="18" t="s">
        <v>9239</v>
      </c>
      <c r="J10845" s="5" t="s">
        <v>49426</v>
      </c>
      <c r="K10845" s="5" t="s">
        <v>48671</v>
      </c>
      <c r="L10845" s="18" t="s">
        <v>39</v>
      </c>
      <c r="M10845" s="18" t="s">
        <v>29</v>
      </c>
      <c r="N10845" s="18" t="s">
        <v>6265</v>
      </c>
      <c r="O10845" s="18" t="s">
        <v>29</v>
      </c>
      <c r="P10845" s="6"/>
      <c r="Q10845" s="6"/>
      <c r="R10845" s="6"/>
      <c r="S10845" s="6"/>
      <c r="T10845" s="6"/>
      <c r="U10845" s="6"/>
    </row>
    <row r="10846" ht="14.25">
      <c r="B10846" s="18" t="s">
        <v>49427</v>
      </c>
      <c r="C10846" s="18" t="s">
        <v>1153</v>
      </c>
      <c r="D10846" s="18" t="s">
        <v>172</v>
      </c>
      <c r="E10846" s="18" t="s">
        <v>49428</v>
      </c>
      <c r="F10846" s="18" t="str">
        <f>IFERROR(__XLUDF.DUMMYFUNCTION("PROPER(REGEXREPLACE(D758,""[^A-Za-z]+ "",""""))"),"Menuiseries Nicolas")</f>
        <v xml:space="preserve">Menuiseries Nicolas</v>
      </c>
      <c r="G10846" s="18" t="s">
        <v>49429</v>
      </c>
      <c r="H10846" s="18">
        <v>26</v>
      </c>
      <c r="I10846" s="18" t="s">
        <v>9239</v>
      </c>
      <c r="J10846" s="5" t="s">
        <v>49430</v>
      </c>
      <c r="K10846" s="5" t="s">
        <v>49431</v>
      </c>
      <c r="L10846" s="18" t="s">
        <v>49432</v>
      </c>
      <c r="M10846" s="18" t="s">
        <v>29</v>
      </c>
      <c r="N10846" s="18" t="s">
        <v>49433</v>
      </c>
      <c r="O10846" s="18" t="s">
        <v>29</v>
      </c>
      <c r="P10846" s="18" t="s">
        <v>49434</v>
      </c>
      <c r="Q10846" s="6"/>
      <c r="R10846" s="6"/>
      <c r="S10846" s="6"/>
      <c r="T10846" s="6"/>
      <c r="U10846" s="6"/>
    </row>
    <row r="10847" ht="14.25">
      <c r="B10847" s="18" t="s">
        <v>768</v>
      </c>
      <c r="C10847" s="18" t="s">
        <v>76</v>
      </c>
      <c r="D10847" s="18" t="s">
        <v>172</v>
      </c>
      <c r="E10847" s="18" t="s">
        <v>49435</v>
      </c>
      <c r="F10847" s="18" t="str">
        <f>IFERROR(__XLUDF.DUMMYFUNCTION("PROPER(REGEXREPLACE(D759,""[^A-Za-z]+ "",""""))"),"Groupe Bml")</f>
        <v xml:space="preserve">Groupe Bml</v>
      </c>
      <c r="G10847" s="18" t="s">
        <v>49436</v>
      </c>
      <c r="H10847" s="18">
        <v>24</v>
      </c>
      <c r="I10847" s="18" t="s">
        <v>9239</v>
      </c>
      <c r="J10847" s="5" t="s">
        <v>49437</v>
      </c>
      <c r="K10847" s="5" t="s">
        <v>49438</v>
      </c>
      <c r="L10847" s="6"/>
      <c r="M10847" s="18" t="s">
        <v>29</v>
      </c>
      <c r="N10847" s="18" t="s">
        <v>49439</v>
      </c>
      <c r="O10847" s="18" t="s">
        <v>29</v>
      </c>
      <c r="P10847" s="6"/>
      <c r="Q10847" s="6"/>
      <c r="R10847" s="6"/>
      <c r="S10847" s="6"/>
      <c r="T10847" s="6"/>
      <c r="U10847" s="6"/>
    </row>
    <row r="10848" ht="14.25">
      <c r="B10848" s="18" t="s">
        <v>49440</v>
      </c>
      <c r="C10848" s="18" t="s">
        <v>49441</v>
      </c>
      <c r="D10848" s="18" t="s">
        <v>172</v>
      </c>
      <c r="E10848" s="18" t="s">
        <v>49442</v>
      </c>
      <c r="F10848" s="18" t="str">
        <f>IFERROR(__XLUDF.DUMMYFUNCTION("PROPER(REGEXREPLACE(D760,""[^A-Za-z]+ "",""""))"),"Gte Elec")</f>
        <v xml:space="preserve">Gte Elec</v>
      </c>
      <c r="G10848" s="18" t="s">
        <v>49443</v>
      </c>
      <c r="H10848" s="18">
        <v>11</v>
      </c>
      <c r="I10848" s="18" t="s">
        <v>9239</v>
      </c>
      <c r="J10848" s="5" t="s">
        <v>49444</v>
      </c>
      <c r="K10848" s="5" t="s">
        <v>49445</v>
      </c>
      <c r="L10848" s="18" t="s">
        <v>39</v>
      </c>
      <c r="M10848" s="18" t="s">
        <v>29</v>
      </c>
      <c r="N10848" s="18" t="s">
        <v>49446</v>
      </c>
      <c r="O10848" s="18" t="s">
        <v>29</v>
      </c>
      <c r="P10848" s="18" t="s">
        <v>49447</v>
      </c>
      <c r="Q10848" s="6"/>
      <c r="R10848" s="6"/>
      <c r="S10848" s="6"/>
      <c r="T10848" s="6"/>
      <c r="U10848" s="6"/>
    </row>
    <row r="10849" ht="14.25">
      <c r="B10849" s="18" t="s">
        <v>2643</v>
      </c>
      <c r="C10849" s="18" t="s">
        <v>49448</v>
      </c>
      <c r="D10849" s="18" t="s">
        <v>198</v>
      </c>
      <c r="E10849" s="18" t="s">
        <v>49449</v>
      </c>
      <c r="F10849" s="18" t="str">
        <f>IFERROR(__XLUDF.DUMMYFUNCTION("PROPER(REGEXREPLACE(D761,""[^A-Za-z]+ "",""""))"),"Groupe Bir")</f>
        <v xml:space="preserve">Groupe Bir</v>
      </c>
      <c r="G10849" s="18" t="s">
        <v>49450</v>
      </c>
      <c r="H10849" s="18">
        <v>280</v>
      </c>
      <c r="I10849" s="18" t="s">
        <v>9239</v>
      </c>
      <c r="J10849" s="5" t="s">
        <v>49451</v>
      </c>
      <c r="K10849" s="5" t="s">
        <v>49452</v>
      </c>
      <c r="L10849" s="18" t="s">
        <v>5449</v>
      </c>
      <c r="M10849" s="18" t="s">
        <v>29</v>
      </c>
      <c r="N10849" s="18" t="s">
        <v>17675</v>
      </c>
      <c r="O10849" s="18" t="s">
        <v>29</v>
      </c>
      <c r="P10849" s="6"/>
      <c r="Q10849" s="6"/>
      <c r="R10849" s="6"/>
      <c r="S10849" s="6"/>
      <c r="T10849" s="6"/>
      <c r="U10849" s="6"/>
    </row>
    <row r="10850" ht="14.25">
      <c r="B10850" s="18" t="s">
        <v>1667</v>
      </c>
      <c r="C10850" s="18" t="s">
        <v>18651</v>
      </c>
      <c r="D10850" s="18" t="s">
        <v>172</v>
      </c>
      <c r="E10850" s="18" t="s">
        <v>18652</v>
      </c>
      <c r="F10850" s="18" t="str">
        <f>IFERROR(__XLUDF.DUMMYFUNCTION("PROPER(REGEXREPLACE(D762,""[^A-Za-z]+ "",""""))"),"Korine Olivier")</f>
        <v xml:space="preserve">Korine Olivier</v>
      </c>
      <c r="G10850" s="18" t="s">
        <v>18653</v>
      </c>
      <c r="H10850" s="18">
        <v>34</v>
      </c>
      <c r="I10850" s="18" t="s">
        <v>4293</v>
      </c>
      <c r="J10850" s="5" t="s">
        <v>18654</v>
      </c>
      <c r="K10850" s="5" t="s">
        <v>18655</v>
      </c>
      <c r="L10850" s="18" t="s">
        <v>1015</v>
      </c>
      <c r="M10850" s="18" t="s">
        <v>29</v>
      </c>
      <c r="N10850" s="18" t="s">
        <v>18656</v>
      </c>
      <c r="O10850" s="18" t="s">
        <v>29</v>
      </c>
      <c r="P10850" s="18" t="s">
        <v>18657</v>
      </c>
      <c r="Q10850" s="6"/>
      <c r="R10850" s="6"/>
      <c r="S10850" s="6"/>
      <c r="T10850" s="6"/>
      <c r="U10850" s="6"/>
    </row>
    <row r="10851" ht="14.25">
      <c r="B10851" s="18" t="s">
        <v>330</v>
      </c>
      <c r="C10851" s="18" t="s">
        <v>49453</v>
      </c>
      <c r="D10851" s="18" t="s">
        <v>172</v>
      </c>
      <c r="E10851" s="18" t="s">
        <v>49454</v>
      </c>
      <c r="F10851" s="18" t="str">
        <f>IFERROR(__XLUDF.DUMMYFUNCTION("PROPER(REGEXREPLACE(D763,""[^A-Za-z]+ "",""""))"),"Mabi")</f>
        <v>Mabi</v>
      </c>
      <c r="G10851" s="18" t="s">
        <v>49455</v>
      </c>
      <c r="H10851" s="18">
        <v>45</v>
      </c>
      <c r="I10851" s="18" t="s">
        <v>9239</v>
      </c>
      <c r="J10851" s="5" t="s">
        <v>49456</v>
      </c>
      <c r="K10851" s="5" t="s">
        <v>49457</v>
      </c>
      <c r="L10851" s="18" t="s">
        <v>49458</v>
      </c>
      <c r="M10851" s="18" t="s">
        <v>29</v>
      </c>
      <c r="N10851" s="18" t="s">
        <v>49459</v>
      </c>
      <c r="O10851" s="18" t="s">
        <v>29</v>
      </c>
      <c r="P10851" s="6"/>
      <c r="Q10851" s="6"/>
      <c r="R10851" s="6"/>
      <c r="S10851" s="6"/>
      <c r="T10851" s="6"/>
      <c r="U10851" s="6"/>
    </row>
    <row r="10852" ht="14.25">
      <c r="B10852" s="18" t="s">
        <v>6356</v>
      </c>
      <c r="C10852" s="18" t="s">
        <v>49460</v>
      </c>
      <c r="D10852" s="18" t="s">
        <v>172</v>
      </c>
      <c r="E10852" s="18" t="s">
        <v>49461</v>
      </c>
      <c r="F10852" s="18" t="str">
        <f>IFERROR(__XLUDF.DUMMYFUNCTION("PROPER(REGEXREPLACE(D764,""[^A-Za-z]+ "",""""))"),"Tso Reali")</f>
        <v xml:space="preserve">Tso Reali</v>
      </c>
      <c r="G10852" s="18" t="s">
        <v>49462</v>
      </c>
      <c r="H10852" s="18">
        <v>38</v>
      </c>
      <c r="I10852" s="18" t="s">
        <v>9239</v>
      </c>
      <c r="J10852" s="5" t="s">
        <v>49463</v>
      </c>
      <c r="K10852" s="5" t="s">
        <v>49464</v>
      </c>
      <c r="L10852" s="18" t="s">
        <v>49465</v>
      </c>
      <c r="M10852" s="18" t="s">
        <v>29</v>
      </c>
      <c r="N10852" s="18" t="s">
        <v>49466</v>
      </c>
      <c r="O10852" s="18" t="s">
        <v>29</v>
      </c>
      <c r="P10852" s="6"/>
      <c r="Q10852" s="6"/>
      <c r="R10852" s="6"/>
      <c r="S10852" s="6"/>
      <c r="T10852" s="6"/>
      <c r="U10852" s="6"/>
    </row>
    <row r="10853" ht="14.25">
      <c r="B10853" s="18" t="s">
        <v>29241</v>
      </c>
      <c r="C10853" s="18" t="s">
        <v>43315</v>
      </c>
      <c r="D10853" s="18" t="s">
        <v>172</v>
      </c>
      <c r="E10853" s="18" t="s">
        <v>49467</v>
      </c>
      <c r="F10853" s="18" t="str">
        <f>IFERROR(__XLUDF.DUMMYFUNCTION("PROPER(REGEXREPLACE(D765,""[^A-Za-z]+ "",""""))"),"Euromib")</f>
        <v>Euromib</v>
      </c>
      <c r="G10853" s="18" t="s">
        <v>49468</v>
      </c>
      <c r="H10853" s="18">
        <v>13</v>
      </c>
      <c r="I10853" s="18" t="s">
        <v>9239</v>
      </c>
      <c r="J10853" s="5" t="s">
        <v>49469</v>
      </c>
      <c r="K10853" s="5" t="s">
        <v>49470</v>
      </c>
      <c r="L10853" s="18" t="s">
        <v>45731</v>
      </c>
      <c r="M10853" s="18" t="s">
        <v>29</v>
      </c>
      <c r="N10853" s="18" t="s">
        <v>49471</v>
      </c>
      <c r="O10853" s="18" t="s">
        <v>29</v>
      </c>
      <c r="P10853" s="6"/>
      <c r="Q10853" s="6"/>
      <c r="R10853" s="6"/>
      <c r="S10853" s="6"/>
      <c r="T10853" s="6"/>
      <c r="U10853" s="6"/>
    </row>
    <row r="10854" ht="14.25">
      <c r="B10854" s="18" t="s">
        <v>76</v>
      </c>
      <c r="C10854" s="18" t="s">
        <v>49472</v>
      </c>
      <c r="D10854" s="18" t="s">
        <v>172</v>
      </c>
      <c r="E10854" s="18" t="s">
        <v>49473</v>
      </c>
      <c r="F10854" s="18" t="str">
        <f>IFERROR(__XLUDF.DUMMYFUNCTION("PROPER(REGEXREPLACE(D766,""[^A-Za-z]+ "",""""))"),"Rhp Combles")</f>
        <v xml:space="preserve">Rhp Combles</v>
      </c>
      <c r="G10854" s="18" t="s">
        <v>49474</v>
      </c>
      <c r="H10854" s="18">
        <v>11</v>
      </c>
      <c r="I10854" s="18" t="s">
        <v>9239</v>
      </c>
      <c r="J10854" s="5" t="s">
        <v>49475</v>
      </c>
      <c r="K10854" s="5" t="s">
        <v>49476</v>
      </c>
      <c r="L10854" s="18" t="s">
        <v>49477</v>
      </c>
      <c r="M10854" s="18" t="s">
        <v>29</v>
      </c>
      <c r="N10854" s="18" t="s">
        <v>49478</v>
      </c>
      <c r="O10854" s="18" t="s">
        <v>29</v>
      </c>
      <c r="P10854" s="18" t="s">
        <v>49479</v>
      </c>
      <c r="Q10854" s="6"/>
      <c r="R10854" s="6"/>
      <c r="S10854" s="6"/>
      <c r="T10854" s="6"/>
      <c r="U10854" s="6"/>
    </row>
    <row r="10855" ht="14.25">
      <c r="B10855" s="18" t="s">
        <v>322</v>
      </c>
      <c r="C10855" s="18" t="s">
        <v>17301</v>
      </c>
      <c r="D10855" s="18" t="s">
        <v>172</v>
      </c>
      <c r="E10855" s="18" t="s">
        <v>49480</v>
      </c>
      <c r="F10855" s="18" t="str">
        <f>IFERROR(__XLUDF.DUMMYFUNCTION("PROPER(REGEXREPLACE(D767,""[^A-Za-z]+ "",""""))"),"Fregonese Échafaudages")</f>
        <v xml:space="preserve">Fregonese Échafaudages</v>
      </c>
      <c r="G10855" s="18" t="s">
        <v>49481</v>
      </c>
      <c r="H10855" s="18">
        <v>18</v>
      </c>
      <c r="I10855" s="18" t="s">
        <v>9239</v>
      </c>
      <c r="J10855" s="5" t="s">
        <v>49482</v>
      </c>
      <c r="K10855" s="5" t="s">
        <v>49483</v>
      </c>
      <c r="L10855" s="6"/>
      <c r="M10855" s="18" t="s">
        <v>29</v>
      </c>
      <c r="N10855" s="18" t="s">
        <v>49484</v>
      </c>
      <c r="O10855" s="18" t="s">
        <v>29</v>
      </c>
      <c r="P10855" s="18" t="s">
        <v>49485</v>
      </c>
      <c r="Q10855" s="6"/>
      <c r="R10855" s="6"/>
      <c r="S10855" s="6"/>
      <c r="T10855" s="6"/>
      <c r="U10855" s="6"/>
    </row>
    <row r="10856" ht="14.25">
      <c r="B10856" s="18" t="s">
        <v>622</v>
      </c>
      <c r="C10856" s="18" t="s">
        <v>6489</v>
      </c>
      <c r="D10856" s="18" t="s">
        <v>3982</v>
      </c>
      <c r="E10856" s="18" t="s">
        <v>49486</v>
      </c>
      <c r="F10856" s="18" t="str">
        <f>IFERROR(__XLUDF.DUMMYFUNCTION("PROPER(REGEXREPLACE(D768,""[^A-Za-z]+ "",""""))"),"Ca Refractories France")</f>
        <v xml:space="preserve">Ca Refractories France</v>
      </c>
      <c r="G10856" s="18" t="s">
        <v>49487</v>
      </c>
      <c r="H10856" s="18">
        <v>8</v>
      </c>
      <c r="I10856" s="18" t="s">
        <v>9239</v>
      </c>
      <c r="J10856" s="5" t="s">
        <v>49488</v>
      </c>
      <c r="K10856" s="5" t="s">
        <v>49489</v>
      </c>
      <c r="L10856" s="18" t="s">
        <v>295</v>
      </c>
      <c r="M10856" s="18" t="s">
        <v>29</v>
      </c>
      <c r="N10856" s="18" t="s">
        <v>49490</v>
      </c>
      <c r="O10856" s="18" t="s">
        <v>29</v>
      </c>
      <c r="P10856" s="6"/>
      <c r="Q10856" s="6"/>
      <c r="R10856" s="6"/>
      <c r="S10856" s="6"/>
      <c r="T10856" s="6"/>
      <c r="U10856" s="6"/>
    </row>
    <row r="10857" ht="14.25">
      <c r="B10857" s="18" t="s">
        <v>817</v>
      </c>
      <c r="C10857" s="18" t="s">
        <v>8041</v>
      </c>
      <c r="D10857" s="18" t="s">
        <v>487</v>
      </c>
      <c r="E10857" s="18" t="s">
        <v>49491</v>
      </c>
      <c r="F10857" s="18" t="str">
        <f>IFERROR(__XLUDF.DUMMYFUNCTION("PROPER(REGEXREPLACE(D769,""[^A-Za-z]+ "",""""))"),"Renobat Paca")</f>
        <v xml:space="preserve">Renobat Paca</v>
      </c>
      <c r="G10857" s="18" t="s">
        <v>49492</v>
      </c>
      <c r="H10857" s="18">
        <v>14</v>
      </c>
      <c r="I10857" s="18" t="s">
        <v>9239</v>
      </c>
      <c r="J10857" s="5" t="s">
        <v>49493</v>
      </c>
      <c r="K10857" s="5" t="s">
        <v>49494</v>
      </c>
      <c r="L10857" s="18" t="s">
        <v>7965</v>
      </c>
      <c r="M10857" s="18" t="s">
        <v>29</v>
      </c>
      <c r="N10857" s="18" t="s">
        <v>49495</v>
      </c>
      <c r="O10857" s="18" t="s">
        <v>29</v>
      </c>
      <c r="P10857" s="18" t="s">
        <v>49496</v>
      </c>
      <c r="Q10857" s="6"/>
      <c r="R10857" s="6"/>
      <c r="S10857" s="6"/>
      <c r="T10857" s="6"/>
      <c r="U10857" s="6"/>
    </row>
    <row r="10858" ht="14.25">
      <c r="B10858" s="18" t="s">
        <v>222</v>
      </c>
      <c r="C10858" s="18" t="s">
        <v>41573</v>
      </c>
      <c r="D10858" s="18" t="s">
        <v>49497</v>
      </c>
      <c r="E10858" s="18" t="s">
        <v>45267</v>
      </c>
      <c r="F10858" s="18" t="str">
        <f>IFERROR(__XLUDF.DUMMYFUNCTION("PROPER(REGEXREPLACE(D770,""[^A-Za-z]+ "",""""))"),"Bureau D'Etudes Qsb")</f>
        <v xml:space="preserve">Bureau D'Etudes Qsb</v>
      </c>
      <c r="G10858" s="18" t="s">
        <v>49498</v>
      </c>
      <c r="H10858" s="18">
        <v>18</v>
      </c>
      <c r="I10858" s="18" t="s">
        <v>9239</v>
      </c>
      <c r="J10858" s="5" t="s">
        <v>49499</v>
      </c>
      <c r="K10858" s="5" t="s">
        <v>45270</v>
      </c>
      <c r="L10858" s="18" t="s">
        <v>731</v>
      </c>
      <c r="M10858" s="18" t="s">
        <v>29</v>
      </c>
      <c r="N10858" s="18" t="s">
        <v>45271</v>
      </c>
      <c r="O10858" s="18" t="s">
        <v>29</v>
      </c>
      <c r="P10858" s="18" t="s">
        <v>45272</v>
      </c>
      <c r="Q10858" s="6"/>
      <c r="R10858" s="6"/>
      <c r="S10858" s="6"/>
      <c r="T10858" s="6"/>
      <c r="U10858" s="6"/>
    </row>
    <row r="10859" ht="14.25">
      <c r="B10859" s="18" t="s">
        <v>768</v>
      </c>
      <c r="C10859" s="18" t="s">
        <v>49500</v>
      </c>
      <c r="D10859" s="18" t="s">
        <v>44</v>
      </c>
      <c r="E10859" s="18" t="s">
        <v>49501</v>
      </c>
      <c r="F10859" s="18" t="str">
        <f>IFERROR(__XLUDF.DUMMYFUNCTION("PROPER(REGEXREPLACE(D771,""[^A-Za-z]+ "",""""))"),"Immolib")</f>
        <v>Immolib</v>
      </c>
      <c r="G10859" s="18" t="s">
        <v>49502</v>
      </c>
      <c r="H10859" s="18">
        <v>1</v>
      </c>
      <c r="I10859" s="18" t="s">
        <v>9239</v>
      </c>
      <c r="J10859" s="5" t="s">
        <v>49503</v>
      </c>
      <c r="K10859" s="5" t="s">
        <v>49504</v>
      </c>
      <c r="L10859" s="18" t="s">
        <v>39</v>
      </c>
      <c r="M10859" s="18" t="s">
        <v>29</v>
      </c>
      <c r="N10859" s="18" t="s">
        <v>3117</v>
      </c>
      <c r="O10859" s="18" t="s">
        <v>29</v>
      </c>
      <c r="P10859" s="18" t="s">
        <v>49505</v>
      </c>
      <c r="Q10859" s="6"/>
      <c r="R10859" s="6"/>
      <c r="S10859" s="6"/>
      <c r="T10859" s="6"/>
      <c r="U10859" s="6"/>
    </row>
    <row r="10860" ht="14.25">
      <c r="B10860" s="18" t="s">
        <v>4204</v>
      </c>
      <c r="C10860" s="18" t="s">
        <v>49506</v>
      </c>
      <c r="D10860" s="18" t="s">
        <v>172</v>
      </c>
      <c r="E10860" s="18" t="s">
        <v>49507</v>
      </c>
      <c r="F10860" s="18" t="str">
        <f>IFERROR(__XLUDF.DUMMYFUNCTION("PROPER(REGEXREPLACE(D772,""[^A-Za-z]+ "",""""))"),"Synergie Forage")</f>
        <v xml:space="preserve">Synergie Forage</v>
      </c>
      <c r="G10860" s="18" t="s">
        <v>49508</v>
      </c>
      <c r="H10860" s="6"/>
      <c r="I10860" s="6"/>
      <c r="J10860" s="5" t="s">
        <v>49509</v>
      </c>
      <c r="K10860" s="5" t="s">
        <v>49510</v>
      </c>
      <c r="L10860" s="18" t="s">
        <v>295</v>
      </c>
      <c r="M10860" s="18" t="s">
        <v>29</v>
      </c>
      <c r="N10860" s="6"/>
      <c r="O10860" s="6"/>
      <c r="P10860" s="6"/>
      <c r="Q10860" s="6"/>
      <c r="R10860" s="6"/>
      <c r="S10860" s="6"/>
      <c r="T10860" s="6"/>
      <c r="U10860" s="6"/>
    </row>
    <row r="10861" ht="14.25">
      <c r="B10861" s="18" t="s">
        <v>556</v>
      </c>
      <c r="C10861" s="18" t="s">
        <v>49511</v>
      </c>
      <c r="D10861" s="18" t="s">
        <v>487</v>
      </c>
      <c r="E10861" s="18" t="s">
        <v>49512</v>
      </c>
      <c r="F10861" s="18" t="str">
        <f>IFERROR(__XLUDF.DUMMYFUNCTION("PROPER(REGEXREPLACE(D773,""[^A-Za-z]+ "",""""))"),"Sas Appr")</f>
        <v xml:space="preserve">Sas Appr</v>
      </c>
      <c r="G10861" s="18" t="s">
        <v>49513</v>
      </c>
      <c r="H10861" s="18">
        <v>2</v>
      </c>
      <c r="I10861" s="18" t="s">
        <v>9239</v>
      </c>
      <c r="J10861" s="5" t="s">
        <v>49514</v>
      </c>
      <c r="K10861" s="5" t="s">
        <v>49515</v>
      </c>
      <c r="L10861" s="18" t="s">
        <v>49516</v>
      </c>
      <c r="M10861" s="18" t="s">
        <v>29</v>
      </c>
      <c r="N10861" s="18" t="s">
        <v>1986</v>
      </c>
      <c r="O10861" s="18" t="s">
        <v>29</v>
      </c>
      <c r="P10861" s="18" t="s">
        <v>49517</v>
      </c>
      <c r="Q10861" s="6"/>
      <c r="R10861" s="6"/>
      <c r="S10861" s="6"/>
      <c r="T10861" s="6"/>
      <c r="U10861" s="6"/>
    </row>
    <row r="10862" ht="14.25">
      <c r="B10862" s="18" t="s">
        <v>1596</v>
      </c>
      <c r="C10862" s="18" t="s">
        <v>49518</v>
      </c>
      <c r="D10862" s="18" t="s">
        <v>49519</v>
      </c>
      <c r="E10862" s="18" t="s">
        <v>49520</v>
      </c>
      <c r="F10862" s="18" t="str">
        <f>IFERROR(__XLUDF.DUMMYFUNCTION("PROPER(REGEXREPLACE(D774,""[^A-Za-z]+ "",""""))"),"Qfort")</f>
        <v>Qfort</v>
      </c>
      <c r="G10862" s="18" t="s">
        <v>49521</v>
      </c>
      <c r="H10862" s="18">
        <v>42</v>
      </c>
      <c r="I10862" s="18" t="s">
        <v>9239</v>
      </c>
      <c r="J10862" s="5" t="s">
        <v>49522</v>
      </c>
      <c r="K10862" s="5" t="s">
        <v>49523</v>
      </c>
      <c r="L10862" s="6"/>
      <c r="M10862" s="18" t="s">
        <v>29</v>
      </c>
      <c r="N10862" s="18" t="s">
        <v>49524</v>
      </c>
      <c r="O10862" s="18" t="s">
        <v>29</v>
      </c>
      <c r="P10862" s="18" t="s">
        <v>49525</v>
      </c>
      <c r="Q10862" s="6"/>
      <c r="R10862" s="6"/>
      <c r="S10862" s="6"/>
      <c r="T10862" s="6"/>
      <c r="U10862" s="6"/>
    </row>
    <row r="10863" ht="14.25">
      <c r="B10863" s="18" t="s">
        <v>4469</v>
      </c>
      <c r="C10863" s="18" t="s">
        <v>49526</v>
      </c>
      <c r="D10863" s="18" t="s">
        <v>164</v>
      </c>
      <c r="E10863" s="18" t="s">
        <v>49527</v>
      </c>
      <c r="F10863" s="18" t="str">
        <f>IFERROR(__XLUDF.DUMMYFUNCTION("PROPER(REGEXREPLACE(D775,""[^A-Za-z]+ "",""""))"),"Ferro Ingenierie")</f>
        <v xml:space="preserve">Ferro Ingenierie</v>
      </c>
      <c r="G10863" s="18" t="s">
        <v>49528</v>
      </c>
      <c r="H10863" s="18">
        <v>29</v>
      </c>
      <c r="I10863" s="18" t="s">
        <v>9239</v>
      </c>
      <c r="J10863" s="5" t="s">
        <v>49529</v>
      </c>
      <c r="K10863" s="5" t="s">
        <v>49530</v>
      </c>
      <c r="L10863" s="6"/>
      <c r="M10863" s="18" t="s">
        <v>29</v>
      </c>
      <c r="N10863" s="18" t="s">
        <v>49531</v>
      </c>
      <c r="O10863" s="18" t="s">
        <v>29</v>
      </c>
      <c r="P10863" s="18" t="s">
        <v>49532</v>
      </c>
      <c r="Q10863" s="6"/>
      <c r="R10863" s="6"/>
      <c r="S10863" s="6"/>
      <c r="T10863" s="6"/>
      <c r="U10863" s="6"/>
    </row>
    <row r="10864" ht="14.25">
      <c r="B10864" s="18" t="s">
        <v>24920</v>
      </c>
      <c r="C10864" s="18" t="s">
        <v>2180</v>
      </c>
      <c r="D10864" s="18" t="s">
        <v>49533</v>
      </c>
      <c r="E10864" s="18" t="s">
        <v>49534</v>
      </c>
      <c r="F10864" s="18" t="str">
        <f>IFERROR(__XLUDF.DUMMYFUNCTION("PROPER(REGEXREPLACE(D776,""[^A-Za-z]+ "",""""))"),"Geotechnique Sas")</f>
        <v xml:space="preserve">Geotechnique Sas</v>
      </c>
      <c r="G10864" s="18" t="s">
        <v>49535</v>
      </c>
      <c r="H10864" s="18">
        <v>150</v>
      </c>
      <c r="I10864" s="18" t="s">
        <v>9239</v>
      </c>
      <c r="J10864" s="5" t="s">
        <v>49536</v>
      </c>
      <c r="K10864" s="5" t="s">
        <v>49537</v>
      </c>
      <c r="L10864" s="18" t="s">
        <v>3848</v>
      </c>
      <c r="M10864" s="18" t="s">
        <v>29</v>
      </c>
      <c r="N10864" s="18" t="s">
        <v>49538</v>
      </c>
      <c r="O10864" s="18" t="s">
        <v>29</v>
      </c>
      <c r="P10864" s="18" t="s">
        <v>49539</v>
      </c>
      <c r="Q10864" s="6"/>
      <c r="R10864" s="6"/>
      <c r="S10864" s="6"/>
      <c r="T10864" s="6"/>
      <c r="U10864" s="6"/>
    </row>
    <row r="10865" ht="14.25">
      <c r="B10865" s="18" t="s">
        <v>1062</v>
      </c>
      <c r="C10865" s="18" t="s">
        <v>49540</v>
      </c>
      <c r="D10865" s="18" t="s">
        <v>172</v>
      </c>
      <c r="E10865" s="18" t="s">
        <v>49541</v>
      </c>
      <c r="F10865" s="18" t="str">
        <f>IFERROR(__XLUDF.DUMMYFUNCTION("PROPER(REGEXREPLACE(D777,""[^A-Za-z]+ "",""""))"),"Icf Climatisation")</f>
        <v xml:space="preserve">Icf Climatisation</v>
      </c>
      <c r="G10865" s="18" t="s">
        <v>49542</v>
      </c>
      <c r="H10865" s="18">
        <v>6</v>
      </c>
      <c r="I10865" s="18" t="s">
        <v>9239</v>
      </c>
      <c r="J10865" s="5" t="s">
        <v>49543</v>
      </c>
      <c r="K10865" s="5" t="s">
        <v>49544</v>
      </c>
      <c r="L10865" s="18" t="s">
        <v>49545</v>
      </c>
      <c r="M10865" s="18" t="s">
        <v>29</v>
      </c>
      <c r="N10865" s="18" t="s">
        <v>49546</v>
      </c>
      <c r="O10865" s="18" t="s">
        <v>29</v>
      </c>
      <c r="P10865" s="6"/>
      <c r="Q10865" s="6"/>
      <c r="R10865" s="6"/>
      <c r="S10865" s="6"/>
      <c r="T10865" s="6"/>
      <c r="U10865" s="6"/>
    </row>
    <row r="10866" ht="14.25">
      <c r="B10866" s="18" t="s">
        <v>23012</v>
      </c>
      <c r="C10866" s="18" t="s">
        <v>49547</v>
      </c>
      <c r="D10866" s="18" t="s">
        <v>87</v>
      </c>
      <c r="E10866" s="18" t="s">
        <v>49548</v>
      </c>
      <c r="F10866" s="18" t="str">
        <f>IFERROR(__XLUDF.DUMMYFUNCTION("PROPER(REGEXREPLACE(D778,""[^A-Za-z]+ "",""""))"),"Allobuild")</f>
        <v>Allobuild</v>
      </c>
      <c r="G10866" s="18" t="s">
        <v>49549</v>
      </c>
      <c r="H10866" s="18">
        <v>6</v>
      </c>
      <c r="I10866" s="18" t="s">
        <v>45792</v>
      </c>
      <c r="J10866" s="5" t="s">
        <v>49550</v>
      </c>
      <c r="K10866" s="5" t="s">
        <v>49551</v>
      </c>
      <c r="L10866" s="18" t="s">
        <v>9195</v>
      </c>
      <c r="M10866" s="18" t="s">
        <v>29</v>
      </c>
      <c r="N10866" s="18" t="s">
        <v>49552</v>
      </c>
      <c r="O10866" s="18" t="s">
        <v>29</v>
      </c>
      <c r="P10866" s="18" t="s">
        <v>49553</v>
      </c>
      <c r="Q10866" s="6"/>
      <c r="R10866" s="6"/>
      <c r="S10866" s="6"/>
      <c r="T10866" s="6"/>
      <c r="U10866" s="6"/>
    </row>
    <row r="10867" ht="14.25">
      <c r="B10867" s="18" t="s">
        <v>6356</v>
      </c>
      <c r="C10867" s="18" t="s">
        <v>49554</v>
      </c>
      <c r="D10867" s="18" t="s">
        <v>112</v>
      </c>
      <c r="E10867" s="18" t="s">
        <v>49555</v>
      </c>
      <c r="F10867" s="18" t="str">
        <f>IFERROR(__XLUDF.DUMMYFUNCTION("PROPER(REGEXREPLACE(D779,""[^A-Za-z]+ "",""""))"),"Cote Ouverture")</f>
        <v xml:space="preserve">Cote Ouverture</v>
      </c>
      <c r="G10867" s="18" t="s">
        <v>49556</v>
      </c>
      <c r="H10867" s="18">
        <v>9</v>
      </c>
      <c r="I10867" s="18" t="s">
        <v>9239</v>
      </c>
      <c r="J10867" s="5" t="s">
        <v>49557</v>
      </c>
      <c r="K10867" s="5" t="s">
        <v>49558</v>
      </c>
      <c r="L10867" s="18" t="s">
        <v>49559</v>
      </c>
      <c r="M10867" s="18" t="s">
        <v>29</v>
      </c>
      <c r="N10867" s="18" t="s">
        <v>49560</v>
      </c>
      <c r="O10867" s="18" t="s">
        <v>29</v>
      </c>
      <c r="P10867" s="18" t="s">
        <v>49561</v>
      </c>
      <c r="Q10867" s="6"/>
      <c r="R10867" s="6"/>
      <c r="S10867" s="6"/>
      <c r="T10867" s="6"/>
      <c r="U10867" s="6"/>
    </row>
    <row r="10868" ht="14.25">
      <c r="B10868" s="18" t="s">
        <v>49562</v>
      </c>
      <c r="C10868" s="18" t="s">
        <v>28343</v>
      </c>
      <c r="D10868" s="18" t="s">
        <v>49563</v>
      </c>
      <c r="E10868" s="18" t="s">
        <v>49564</v>
      </c>
      <c r="F10868" s="18" t="str">
        <f>IFERROR(__XLUDF.DUMMYFUNCTION("PROPER(REGEXREPLACE(D780,""[^A-Za-z]+ "",""""))"),"Batiboom")</f>
        <v>Batiboom</v>
      </c>
      <c r="G10868" s="18" t="s">
        <v>49565</v>
      </c>
      <c r="H10868" s="18">
        <v>13</v>
      </c>
      <c r="I10868" s="18" t="s">
        <v>4293</v>
      </c>
      <c r="J10868" s="5" t="s">
        <v>49566</v>
      </c>
      <c r="K10868" s="5" t="s">
        <v>49567</v>
      </c>
      <c r="L10868" s="18" t="s">
        <v>39</v>
      </c>
      <c r="M10868" s="18" t="s">
        <v>29</v>
      </c>
      <c r="N10868" s="18" t="s">
        <v>27697</v>
      </c>
      <c r="O10868" s="18" t="s">
        <v>6715</v>
      </c>
      <c r="P10868" s="18" t="s">
        <v>49568</v>
      </c>
      <c r="Q10868" s="6"/>
      <c r="R10868" s="6"/>
      <c r="S10868" s="6"/>
      <c r="T10868" s="6"/>
      <c r="U10868" s="6"/>
    </row>
    <row r="10869" ht="14.25">
      <c r="B10869" s="18" t="s">
        <v>3834</v>
      </c>
      <c r="C10869" s="18" t="s">
        <v>49569</v>
      </c>
      <c r="D10869" s="18" t="s">
        <v>1130</v>
      </c>
      <c r="E10869" s="18" t="s">
        <v>49570</v>
      </c>
      <c r="F10869" s="18" t="str">
        <f>IFERROR(__XLUDF.DUMMYFUNCTION("PROPER(REGEXREPLACE(D781,""[^A-Za-z]+ "",""""))"),"Bertolani Et Fils")</f>
        <v xml:space="preserve">Bertolani Et Fils</v>
      </c>
      <c r="G10869" s="18" t="s">
        <v>49571</v>
      </c>
      <c r="H10869" s="18">
        <v>29</v>
      </c>
      <c r="I10869" s="18" t="s">
        <v>9239</v>
      </c>
      <c r="J10869" s="5" t="s">
        <v>49572</v>
      </c>
      <c r="K10869" s="5" t="s">
        <v>49573</v>
      </c>
      <c r="L10869" s="18" t="s">
        <v>1780</v>
      </c>
      <c r="M10869" s="18" t="s">
        <v>29</v>
      </c>
      <c r="N10869" s="18" t="s">
        <v>49574</v>
      </c>
      <c r="O10869" s="18" t="s">
        <v>29</v>
      </c>
      <c r="P10869" s="18" t="s">
        <v>49575</v>
      </c>
      <c r="Q10869" s="6"/>
      <c r="R10869" s="6"/>
      <c r="S10869" s="6"/>
      <c r="T10869" s="6"/>
      <c r="U10869" s="6"/>
    </row>
    <row r="10870" ht="14.25">
      <c r="B10870" s="18" t="s">
        <v>24920</v>
      </c>
      <c r="C10870" s="18" t="s">
        <v>45712</v>
      </c>
      <c r="D10870" s="18" t="s">
        <v>5186</v>
      </c>
      <c r="E10870" s="18" t="s">
        <v>49576</v>
      </c>
      <c r="F10870" s="18" t="str">
        <f>IFERROR(__XLUDF.DUMMYFUNCTION("PROPER(REGEXREPLACE(D782,""[^A-Za-z]+ "",""""))"),"Lafaixcourtadon")</f>
        <v>Lafaixcourtadon</v>
      </c>
      <c r="G10870" s="18" t="s">
        <v>49577</v>
      </c>
      <c r="H10870" s="18">
        <v>2</v>
      </c>
      <c r="I10870" s="18" t="s">
        <v>9239</v>
      </c>
      <c r="J10870" s="5" t="s">
        <v>49578</v>
      </c>
      <c r="K10870" s="5" t="s">
        <v>49579</v>
      </c>
      <c r="L10870" s="18" t="s">
        <v>9237</v>
      </c>
      <c r="M10870" s="18" t="s">
        <v>29</v>
      </c>
      <c r="N10870" s="18" t="s">
        <v>49580</v>
      </c>
      <c r="O10870" s="18" t="s">
        <v>29</v>
      </c>
      <c r="P10870" s="18" t="s">
        <v>49581</v>
      </c>
      <c r="Q10870" s="6"/>
      <c r="R10870" s="6"/>
      <c r="S10870" s="6"/>
      <c r="T10870" s="6"/>
      <c r="U10870" s="6"/>
    </row>
    <row r="10871" ht="14.25">
      <c r="B10871" s="18" t="s">
        <v>1153</v>
      </c>
      <c r="C10871" s="18" t="s">
        <v>6544</v>
      </c>
      <c r="D10871" s="18" t="s">
        <v>315</v>
      </c>
      <c r="E10871" s="18" t="s">
        <v>49582</v>
      </c>
      <c r="F10871" s="18" t="str">
        <f>IFERROR(__XLUDF.DUMMYFUNCTION("PROPER(REGEXREPLACE(D783,""[^A-Za-z]+ "",""""))"),"Hoffmann Green Cement")</f>
        <v xml:space="preserve">Hoffmann Green Cement</v>
      </c>
      <c r="G10871" s="18" t="s">
        <v>49583</v>
      </c>
      <c r="H10871" s="18">
        <v>45</v>
      </c>
      <c r="I10871" s="18" t="s">
        <v>9239</v>
      </c>
      <c r="J10871" s="5" t="s">
        <v>49584</v>
      </c>
      <c r="K10871" s="5" t="s">
        <v>49585</v>
      </c>
      <c r="L10871" s="18" t="s">
        <v>1826</v>
      </c>
      <c r="M10871" s="18" t="s">
        <v>29</v>
      </c>
      <c r="N10871" s="18" t="s">
        <v>47446</v>
      </c>
      <c r="O10871" s="18" t="s">
        <v>29</v>
      </c>
      <c r="P10871" s="18" t="s">
        <v>49586</v>
      </c>
      <c r="Q10871" s="6"/>
      <c r="R10871" s="6"/>
      <c r="S10871" s="6"/>
      <c r="T10871" s="6"/>
      <c r="U10871" s="6"/>
    </row>
    <row r="10872" ht="14.25">
      <c r="B10872" s="18" t="s">
        <v>355</v>
      </c>
      <c r="C10872" s="18" t="s">
        <v>46495</v>
      </c>
      <c r="D10872" s="18" t="s">
        <v>112</v>
      </c>
      <c r="E10872" s="18" t="s">
        <v>46496</v>
      </c>
      <c r="F10872" s="18" t="str">
        <f>IFERROR(__XLUDF.DUMMYFUNCTION("PROPER(REGEXREPLACE(D784,""[^A-Za-z]+ "",""""))"),"Sociétde Travaux Alpes Méditerranée")</f>
        <v xml:space="preserve">Sociétde Travaux Alpes Méditerranée</v>
      </c>
      <c r="G10872" s="18" t="s">
        <v>49587</v>
      </c>
      <c r="H10872" s="18">
        <v>22</v>
      </c>
      <c r="I10872" s="18" t="s">
        <v>9239</v>
      </c>
      <c r="J10872" s="5" t="s">
        <v>49588</v>
      </c>
      <c r="K10872" s="5" t="s">
        <v>46499</v>
      </c>
      <c r="L10872" s="6"/>
      <c r="M10872" s="18" t="s">
        <v>29</v>
      </c>
      <c r="N10872" s="18" t="s">
        <v>46501</v>
      </c>
      <c r="O10872" s="18" t="s">
        <v>29</v>
      </c>
      <c r="P10872" s="6"/>
      <c r="Q10872" s="6"/>
      <c r="R10872" s="6"/>
      <c r="S10872" s="6"/>
      <c r="T10872" s="6"/>
      <c r="U10872" s="6"/>
    </row>
    <row r="10873" ht="14.25">
      <c r="B10873" s="18" t="s">
        <v>6634</v>
      </c>
      <c r="C10873" s="18" t="s">
        <v>31215</v>
      </c>
      <c r="D10873" s="18" t="s">
        <v>112</v>
      </c>
      <c r="E10873" s="18" t="s">
        <v>49589</v>
      </c>
      <c r="F10873" s="18" t="str">
        <f>IFERROR(__XLUDF.DUMMYFUNCTION("PROPER(REGEXREPLACE(D785,""[^A-Za-z]+ "",""""))"),"Adeclim")</f>
        <v>Adeclim</v>
      </c>
      <c r="G10873" s="18" t="s">
        <v>49590</v>
      </c>
      <c r="H10873" s="18">
        <v>24</v>
      </c>
      <c r="I10873" s="18" t="s">
        <v>9239</v>
      </c>
      <c r="J10873" s="5" t="s">
        <v>49591</v>
      </c>
      <c r="K10873" s="5" t="s">
        <v>49592</v>
      </c>
      <c r="L10873" s="18" t="s">
        <v>1711</v>
      </c>
      <c r="M10873" s="18" t="s">
        <v>29</v>
      </c>
      <c r="N10873" s="18" t="s">
        <v>49593</v>
      </c>
      <c r="O10873" s="18" t="s">
        <v>29</v>
      </c>
      <c r="P10873" s="18" t="s">
        <v>49594</v>
      </c>
      <c r="Q10873" s="6"/>
      <c r="R10873" s="6"/>
      <c r="S10873" s="6"/>
      <c r="T10873" s="6"/>
      <c r="U10873" s="6"/>
    </row>
    <row r="10874" ht="14.25">
      <c r="B10874" s="18" t="s">
        <v>110</v>
      </c>
      <c r="C10874" s="18" t="s">
        <v>49595</v>
      </c>
      <c r="D10874" s="18" t="s">
        <v>87</v>
      </c>
      <c r="E10874" s="18" t="s">
        <v>49596</v>
      </c>
      <c r="F10874" s="18" t="str">
        <f>IFERROR(__XLUDF.DUMMYFUNCTION("PROPER(REGEXREPLACE(D786,""[^A-Za-z]+ "",""""))"),"Batiweb Group")</f>
        <v xml:space="preserve">Batiweb Group</v>
      </c>
      <c r="G10874" s="18" t="s">
        <v>49597</v>
      </c>
      <c r="H10874" s="18">
        <v>14</v>
      </c>
      <c r="I10874" s="18" t="s">
        <v>9239</v>
      </c>
      <c r="J10874" s="5" t="s">
        <v>49598</v>
      </c>
      <c r="K10874" s="5" t="s">
        <v>49599</v>
      </c>
      <c r="L10874" s="18" t="s">
        <v>39</v>
      </c>
      <c r="M10874" s="18" t="s">
        <v>29</v>
      </c>
      <c r="N10874" s="18" t="s">
        <v>49600</v>
      </c>
      <c r="O10874" s="18" t="s">
        <v>29</v>
      </c>
      <c r="P10874" s="18" t="s">
        <v>49601</v>
      </c>
      <c r="Q10874" s="6"/>
      <c r="R10874" s="6"/>
      <c r="S10874" s="6"/>
      <c r="T10874" s="6"/>
      <c r="U10874" s="6"/>
    </row>
    <row r="10875" ht="14.25">
      <c r="B10875" s="18" t="s">
        <v>6945</v>
      </c>
      <c r="C10875" s="18" t="s">
        <v>49602</v>
      </c>
      <c r="D10875" s="18" t="s">
        <v>7155</v>
      </c>
      <c r="E10875" s="18" t="s">
        <v>49603</v>
      </c>
      <c r="F10875" s="18" t="str">
        <f>IFERROR(__XLUDF.DUMMYFUNCTION("PROPER(REGEXREPLACE(D787,""[^A-Za-z]+ "",""""))"),"Cana Ouest")</f>
        <v xml:space="preserve">Cana Ouest</v>
      </c>
      <c r="G10875" s="18" t="s">
        <v>49604</v>
      </c>
      <c r="H10875" s="18">
        <v>26</v>
      </c>
      <c r="I10875" s="18" t="s">
        <v>9239</v>
      </c>
      <c r="J10875" s="5" t="s">
        <v>49605</v>
      </c>
      <c r="K10875" s="5" t="s">
        <v>49606</v>
      </c>
      <c r="L10875" s="18" t="s">
        <v>2650</v>
      </c>
      <c r="M10875" s="18" t="s">
        <v>29</v>
      </c>
      <c r="N10875" s="18" t="s">
        <v>49607</v>
      </c>
      <c r="O10875" s="18" t="s">
        <v>29</v>
      </c>
      <c r="P10875" s="18" t="s">
        <v>49608</v>
      </c>
      <c r="Q10875" s="6"/>
      <c r="R10875" s="6"/>
      <c r="S10875" s="6"/>
      <c r="T10875" s="6"/>
      <c r="U10875" s="6"/>
    </row>
    <row r="10876" ht="14.25">
      <c r="B10876" s="18" t="s">
        <v>3019</v>
      </c>
      <c r="C10876" s="18" t="s">
        <v>49609</v>
      </c>
      <c r="D10876" s="18" t="s">
        <v>49610</v>
      </c>
      <c r="E10876" s="18" t="s">
        <v>47442</v>
      </c>
      <c r="F10876" s="18" t="str">
        <f>IFERROR(__XLUDF.DUMMYFUNCTION("PROPER(REGEXREPLACE(D788,""[^A-Za-z]+ "",""""))"),"Atlantic Modulaire")</f>
        <v xml:space="preserve">Atlantic Modulaire</v>
      </c>
      <c r="G10876" s="18" t="s">
        <v>49611</v>
      </c>
      <c r="H10876" s="18">
        <v>18</v>
      </c>
      <c r="I10876" s="18" t="s">
        <v>9239</v>
      </c>
      <c r="J10876" s="5" t="s">
        <v>49612</v>
      </c>
      <c r="K10876" s="5" t="s">
        <v>47445</v>
      </c>
      <c r="L10876" s="18" t="s">
        <v>49613</v>
      </c>
      <c r="M10876" s="18" t="s">
        <v>29</v>
      </c>
      <c r="N10876" s="18" t="s">
        <v>47446</v>
      </c>
      <c r="O10876" s="18" t="s">
        <v>29</v>
      </c>
      <c r="P10876" s="6"/>
      <c r="Q10876" s="6"/>
      <c r="R10876" s="6"/>
      <c r="S10876" s="6"/>
      <c r="T10876" s="6"/>
      <c r="U10876" s="6"/>
    </row>
    <row r="10877" ht="14.25">
      <c r="B10877" s="18" t="s">
        <v>41267</v>
      </c>
      <c r="C10877" s="18" t="s">
        <v>49614</v>
      </c>
      <c r="D10877" s="18" t="s">
        <v>1130</v>
      </c>
      <c r="E10877" s="18" t="s">
        <v>49615</v>
      </c>
      <c r="F10877" s="18" t="str">
        <f>IFERROR(__XLUDF.DUMMYFUNCTION("PROPER(REGEXREPLACE(D789,""[^A-Za-z]+ "",""""))"),"Blanc Carrare")</f>
        <v xml:space="preserve">Blanc Carrare</v>
      </c>
      <c r="G10877" s="18" t="s">
        <v>49616</v>
      </c>
      <c r="H10877" s="18">
        <v>15</v>
      </c>
      <c r="I10877" s="18" t="s">
        <v>9239</v>
      </c>
      <c r="J10877" s="5" t="s">
        <v>49617</v>
      </c>
      <c r="K10877" s="5" t="s">
        <v>49618</v>
      </c>
      <c r="L10877" s="6"/>
      <c r="M10877" s="18" t="s">
        <v>29</v>
      </c>
      <c r="N10877" s="18" t="s">
        <v>49619</v>
      </c>
      <c r="O10877" s="18" t="s">
        <v>29</v>
      </c>
      <c r="P10877" s="6"/>
      <c r="Q10877" s="6"/>
      <c r="R10877" s="6"/>
      <c r="S10877" s="6"/>
      <c r="T10877" s="6"/>
      <c r="U10877" s="6"/>
    </row>
    <row r="10878" ht="14.25">
      <c r="B10878" s="18" t="s">
        <v>7422</v>
      </c>
      <c r="C10878" s="18" t="s">
        <v>4937</v>
      </c>
      <c r="D10878" s="18" t="s">
        <v>164</v>
      </c>
      <c r="E10878" s="18" t="s">
        <v>49620</v>
      </c>
      <c r="F10878" s="18" t="str">
        <f>IFERROR(__XLUDF.DUMMYFUNCTION("PROPER(REGEXREPLACE(D790,""[^A-Za-z]+ "",""""))"),"Boisboréal")</f>
        <v>Boisboréal</v>
      </c>
      <c r="G10878" s="18" t="s">
        <v>49621</v>
      </c>
      <c r="H10878" s="18">
        <v>14</v>
      </c>
      <c r="I10878" s="18" t="s">
        <v>9239</v>
      </c>
      <c r="J10878" s="5" t="s">
        <v>49622</v>
      </c>
      <c r="K10878" s="5" t="s">
        <v>49623</v>
      </c>
      <c r="L10878" s="18" t="s">
        <v>49624</v>
      </c>
      <c r="M10878" s="18" t="s">
        <v>29</v>
      </c>
      <c r="N10878" s="18" t="s">
        <v>49625</v>
      </c>
      <c r="O10878" s="18" t="s">
        <v>29</v>
      </c>
      <c r="P10878" s="18" t="s">
        <v>49626</v>
      </c>
      <c r="Q10878" s="6"/>
      <c r="R10878" s="6"/>
      <c r="S10878" s="6"/>
      <c r="T10878" s="6"/>
      <c r="U10878" s="6"/>
    </row>
    <row r="10879" ht="14.25">
      <c r="B10879" s="18" t="s">
        <v>3673</v>
      </c>
      <c r="C10879" s="18" t="s">
        <v>27700</v>
      </c>
      <c r="D10879" s="18" t="s">
        <v>365</v>
      </c>
      <c r="E10879" s="18" t="s">
        <v>49627</v>
      </c>
      <c r="F10879" s="18" t="str">
        <f>IFERROR(__XLUDF.DUMMYFUNCTION("PROPER(REGEXREPLACE(D791,""[^A-Za-z]+ "",""""))"),"Alter-Native")</f>
        <v>Alter-Native</v>
      </c>
      <c r="G10879" s="18" t="s">
        <v>49628</v>
      </c>
      <c r="H10879" s="18">
        <v>4</v>
      </c>
      <c r="I10879" s="18" t="s">
        <v>4293</v>
      </c>
      <c r="J10879" s="5" t="s">
        <v>49629</v>
      </c>
      <c r="K10879" s="5" t="s">
        <v>49630</v>
      </c>
      <c r="L10879" s="18" t="s">
        <v>1507</v>
      </c>
      <c r="M10879" s="18" t="s">
        <v>29</v>
      </c>
      <c r="N10879" s="18" t="s">
        <v>49631</v>
      </c>
      <c r="O10879" s="18" t="s">
        <v>29</v>
      </c>
      <c r="P10879" s="18" t="s">
        <v>49632</v>
      </c>
      <c r="Q10879" s="6"/>
      <c r="R10879" s="6"/>
      <c r="S10879" s="6"/>
      <c r="T10879" s="6"/>
      <c r="U10879" s="6"/>
    </row>
    <row r="10880" ht="14.25">
      <c r="B10880" s="18" t="s">
        <v>13300</v>
      </c>
      <c r="C10880" s="18" t="s">
        <v>49633</v>
      </c>
      <c r="D10880" s="18" t="s">
        <v>190</v>
      </c>
      <c r="E10880" s="18" t="s">
        <v>49634</v>
      </c>
      <c r="F10880" s="18" t="str">
        <f>IFERROR(__XLUDF.DUMMYFUNCTION("PROPER(REGEXREPLACE(D792,""[^A-Za-z]+ "",""""))"),"Altitud")</f>
        <v>Altitud</v>
      </c>
      <c r="G10880" s="18" t="s">
        <v>49635</v>
      </c>
      <c r="H10880" s="18">
        <v>29</v>
      </c>
      <c r="I10880" s="18" t="s">
        <v>9239</v>
      </c>
      <c r="J10880" s="5" t="s">
        <v>49636</v>
      </c>
      <c r="K10880" s="5" t="s">
        <v>49637</v>
      </c>
      <c r="L10880" s="18" t="s">
        <v>49638</v>
      </c>
      <c r="M10880" s="18" t="s">
        <v>29</v>
      </c>
      <c r="N10880" s="18" t="s">
        <v>49639</v>
      </c>
      <c r="O10880" s="18" t="s">
        <v>29</v>
      </c>
      <c r="P10880" s="6"/>
      <c r="Q10880" s="6"/>
      <c r="R10880" s="6"/>
      <c r="S10880" s="6"/>
      <c r="T10880" s="6"/>
      <c r="U10880" s="6"/>
    </row>
    <row r="10881" ht="14.25">
      <c r="B10881" s="18" t="s">
        <v>808</v>
      </c>
      <c r="C10881" s="18" t="s">
        <v>49640</v>
      </c>
      <c r="D10881" s="18" t="s">
        <v>172</v>
      </c>
      <c r="E10881" s="18" t="s">
        <v>49641</v>
      </c>
      <c r="F10881" s="18" t="str">
        <f>IFERROR(__XLUDF.DUMMYFUNCTION("PROPER(REGEXREPLACE(D793,""[^A-Za-z]+ "",""""))"),"Groupe Cii")</f>
        <v xml:space="preserve">Groupe Cii</v>
      </c>
      <c r="G10881" s="18" t="s">
        <v>49642</v>
      </c>
      <c r="H10881" s="18">
        <v>14</v>
      </c>
      <c r="I10881" s="18" t="s">
        <v>9239</v>
      </c>
      <c r="J10881" s="5" t="s">
        <v>49643</v>
      </c>
      <c r="K10881" s="5" t="s">
        <v>49644</v>
      </c>
      <c r="L10881" s="18" t="s">
        <v>2186</v>
      </c>
      <c r="M10881" s="18" t="s">
        <v>29</v>
      </c>
      <c r="N10881" s="18" t="s">
        <v>49645</v>
      </c>
      <c r="O10881" s="18" t="s">
        <v>29</v>
      </c>
      <c r="P10881" s="6"/>
      <c r="Q10881" s="6"/>
      <c r="R10881" s="6"/>
      <c r="S10881" s="6"/>
      <c r="T10881" s="6"/>
      <c r="U10881" s="6"/>
    </row>
    <row r="10882" ht="14.25">
      <c r="B10882" s="18" t="s">
        <v>963</v>
      </c>
      <c r="C10882" s="18" t="s">
        <v>40065</v>
      </c>
      <c r="D10882" s="18" t="s">
        <v>87</v>
      </c>
      <c r="E10882" s="18" t="s">
        <v>49646</v>
      </c>
      <c r="F10882" s="18" t="str">
        <f>IFERROR(__XLUDF.DUMMYFUNCTION("PROPER(REGEXREPLACE(D794,""[^A-Za-z]+ "",""""))"),"Eco Chauffage Aquitaine")</f>
        <v xml:space="preserve">Eco Chauffage Aquitaine</v>
      </c>
      <c r="G10882" s="18" t="s">
        <v>49647</v>
      </c>
      <c r="H10882" s="18">
        <v>6</v>
      </c>
      <c r="I10882" s="18" t="s">
        <v>9239</v>
      </c>
      <c r="J10882" s="5" t="s">
        <v>49648</v>
      </c>
      <c r="K10882" s="5" t="s">
        <v>49649</v>
      </c>
      <c r="L10882" s="18" t="s">
        <v>243</v>
      </c>
      <c r="M10882" s="18" t="s">
        <v>29</v>
      </c>
      <c r="N10882" s="6"/>
      <c r="O10882" s="6"/>
      <c r="P10882" s="18" t="s">
        <v>49650</v>
      </c>
      <c r="Q10882" s="6"/>
      <c r="R10882" s="6"/>
      <c r="S10882" s="6"/>
      <c r="T10882" s="6"/>
      <c r="U10882" s="6"/>
    </row>
    <row r="10883" ht="14.25">
      <c r="B10883" s="18" t="s">
        <v>2508</v>
      </c>
      <c r="C10883" s="18" t="s">
        <v>49651</v>
      </c>
      <c r="D10883" s="18" t="s">
        <v>49652</v>
      </c>
      <c r="E10883" s="18" t="s">
        <v>49653</v>
      </c>
      <c r="F10883" s="18" t="str">
        <f>IFERROR(__XLUDF.DUMMYFUNCTION("PROPER(REGEXREPLACE(D795,""[^A-Za-z]+ "",""""))"),"Muance")</f>
        <v>Muance</v>
      </c>
      <c r="G10883" s="18" t="s">
        <v>49654</v>
      </c>
      <c r="H10883" s="18">
        <v>9</v>
      </c>
      <c r="I10883" s="18" t="s">
        <v>9239</v>
      </c>
      <c r="J10883" s="5" t="s">
        <v>49655</v>
      </c>
      <c r="K10883" s="5" t="s">
        <v>49656</v>
      </c>
      <c r="L10883" s="18" t="s">
        <v>1015</v>
      </c>
      <c r="M10883" s="18" t="s">
        <v>29</v>
      </c>
      <c r="N10883" s="18" t="s">
        <v>49657</v>
      </c>
      <c r="O10883" s="18" t="s">
        <v>29</v>
      </c>
      <c r="P10883" s="18" t="s">
        <v>49658</v>
      </c>
      <c r="Q10883" s="6"/>
      <c r="R10883" s="6"/>
      <c r="S10883" s="6"/>
      <c r="T10883" s="6"/>
      <c r="U10883" s="6"/>
    </row>
    <row r="10884" ht="14.25">
      <c r="B10884" s="18" t="s">
        <v>95</v>
      </c>
      <c r="C10884" s="18" t="s">
        <v>49659</v>
      </c>
      <c r="D10884" s="18" t="s">
        <v>120</v>
      </c>
      <c r="E10884" s="18" t="s">
        <v>49660</v>
      </c>
      <c r="F10884" s="18" t="str">
        <f>IFERROR(__XLUDF.DUMMYFUNCTION("PROPER(REGEXREPLACE(D796,""[^A-Za-z]+ "",""""))"),"Rehas")</f>
        <v>Rehas</v>
      </c>
      <c r="G10884" s="18" t="s">
        <v>49661</v>
      </c>
      <c r="H10884" s="18">
        <v>5</v>
      </c>
      <c r="I10884" s="18" t="s">
        <v>9239</v>
      </c>
      <c r="J10884" s="5" t="s">
        <v>49662</v>
      </c>
      <c r="K10884" s="5" t="s">
        <v>49663</v>
      </c>
      <c r="L10884" s="6"/>
      <c r="M10884" s="18" t="s">
        <v>29</v>
      </c>
      <c r="N10884" s="18" t="s">
        <v>49664</v>
      </c>
      <c r="O10884" s="18" t="s">
        <v>29</v>
      </c>
      <c r="P10884" s="6"/>
      <c r="Q10884" s="6"/>
      <c r="R10884" s="6"/>
      <c r="S10884" s="6"/>
      <c r="T10884" s="6"/>
      <c r="U10884" s="6"/>
    </row>
    <row r="10885" ht="14.25">
      <c r="B10885" s="18" t="s">
        <v>26691</v>
      </c>
      <c r="C10885" s="18" t="s">
        <v>49665</v>
      </c>
      <c r="D10885" s="18" t="s">
        <v>172</v>
      </c>
      <c r="E10885" s="18" t="s">
        <v>47602</v>
      </c>
      <c r="F10885" s="18" t="str">
        <f>IFERROR(__XLUDF.DUMMYFUNCTION("PROPER(REGEXREPLACE(D797,""[^A-Za-z]+ "",""""))"),"Avr Ingenierie")</f>
        <v xml:space="preserve">Avr Ingenierie</v>
      </c>
      <c r="G10885" s="18" t="s">
        <v>49666</v>
      </c>
      <c r="H10885" s="18">
        <v>20</v>
      </c>
      <c r="I10885" s="18" t="s">
        <v>9239</v>
      </c>
      <c r="J10885" s="5" t="s">
        <v>49667</v>
      </c>
      <c r="K10885" s="5" t="s">
        <v>47605</v>
      </c>
      <c r="L10885" s="6"/>
      <c r="M10885" s="18" t="s">
        <v>29</v>
      </c>
      <c r="N10885" s="18" t="s">
        <v>47607</v>
      </c>
      <c r="O10885" s="18" t="s">
        <v>29</v>
      </c>
      <c r="P10885" s="6"/>
      <c r="Q10885" s="6"/>
      <c r="R10885" s="6"/>
      <c r="S10885" s="6"/>
      <c r="T10885" s="6"/>
      <c r="U10885" s="6"/>
    </row>
    <row r="10886" ht="14.25">
      <c r="B10886" s="18" t="s">
        <v>1853</v>
      </c>
      <c r="C10886" s="18" t="s">
        <v>49668</v>
      </c>
      <c r="D10886" s="18" t="s">
        <v>172</v>
      </c>
      <c r="E10886" s="18" t="s">
        <v>49668</v>
      </c>
      <c r="F10886" s="18" t="str">
        <f>IFERROR(__XLUDF.DUMMYFUNCTION("PROPER(REGEXREPLACE(D798,""[^A-Za-z]+ "",""""))"),"Demouy")</f>
        <v>Demouy</v>
      </c>
      <c r="G10886" s="18" t="s">
        <v>49669</v>
      </c>
      <c r="H10886" s="18">
        <v>21</v>
      </c>
      <c r="I10886" s="18" t="s">
        <v>9239</v>
      </c>
      <c r="J10886" s="5" t="s">
        <v>49670</v>
      </c>
      <c r="K10886" s="5" t="s">
        <v>49671</v>
      </c>
      <c r="L10886" s="18" t="s">
        <v>13294</v>
      </c>
      <c r="M10886" s="18" t="s">
        <v>29</v>
      </c>
      <c r="N10886" s="18" t="s">
        <v>49672</v>
      </c>
      <c r="O10886" s="18" t="s">
        <v>29</v>
      </c>
      <c r="P10886" s="18" t="s">
        <v>49673</v>
      </c>
      <c r="Q10886" s="6"/>
      <c r="R10886" s="6"/>
      <c r="S10886" s="6"/>
      <c r="T10886" s="6"/>
      <c r="U10886" s="6"/>
    </row>
    <row r="10887" ht="14.25">
      <c r="B10887" s="18" t="s">
        <v>768</v>
      </c>
      <c r="C10887" s="18" t="s">
        <v>49674</v>
      </c>
      <c r="D10887" s="18" t="s">
        <v>172</v>
      </c>
      <c r="E10887" s="18" t="s">
        <v>49675</v>
      </c>
      <c r="F10887" s="18" t="str">
        <f>IFERROR(__XLUDF.DUMMYFUNCTION("PROPER(REGEXREPLACE(D799,""[^A-Za-z]+ "",""""))"),"Socobat Aulagnier")</f>
        <v xml:space="preserve">Socobat Aulagnier</v>
      </c>
      <c r="G10887" s="18" t="s">
        <v>49676</v>
      </c>
      <c r="H10887" s="18">
        <v>11</v>
      </c>
      <c r="I10887" s="18" t="s">
        <v>9239</v>
      </c>
      <c r="J10887" s="5" t="s">
        <v>49677</v>
      </c>
      <c r="K10887" s="5" t="s">
        <v>49678</v>
      </c>
      <c r="L10887" s="18" t="s">
        <v>831</v>
      </c>
      <c r="M10887" s="18" t="s">
        <v>29</v>
      </c>
      <c r="N10887" s="18" t="s">
        <v>49679</v>
      </c>
      <c r="O10887" s="18" t="s">
        <v>29</v>
      </c>
      <c r="P10887" s="18" t="s">
        <v>49680</v>
      </c>
      <c r="Q10887" s="6"/>
      <c r="R10887" s="6"/>
      <c r="S10887" s="6"/>
      <c r="T10887" s="6"/>
      <c r="U10887" s="6"/>
    </row>
    <row r="10888" ht="14.25">
      <c r="B10888" s="18" t="s">
        <v>222</v>
      </c>
      <c r="C10888" s="18" t="s">
        <v>49681</v>
      </c>
      <c r="D10888" s="18" t="s">
        <v>172</v>
      </c>
      <c r="E10888" s="18" t="s">
        <v>49682</v>
      </c>
      <c r="F10888" s="18" t="str">
        <f>IFERROR(__XLUDF.DUMMYFUNCTION("PROPER(REGEXREPLACE(D800,""[^A-Za-z]+ "",""""))"),"Cte Lyon")</f>
        <v xml:space="preserve">Cte Lyon</v>
      </c>
      <c r="G10888" s="18" t="s">
        <v>49683</v>
      </c>
      <c r="H10888" s="18">
        <v>11</v>
      </c>
      <c r="I10888" s="18" t="s">
        <v>9239</v>
      </c>
      <c r="J10888" s="5" t="s">
        <v>49684</v>
      </c>
      <c r="K10888" s="5" t="s">
        <v>49685</v>
      </c>
      <c r="L10888" s="18" t="s">
        <v>185</v>
      </c>
      <c r="M10888" s="18" t="s">
        <v>29</v>
      </c>
      <c r="N10888" s="18" t="s">
        <v>1283</v>
      </c>
      <c r="O10888" s="18" t="s">
        <v>29</v>
      </c>
      <c r="P10888" s="6"/>
      <c r="Q10888" s="6"/>
      <c r="R10888" s="6"/>
      <c r="S10888" s="6"/>
      <c r="T10888" s="6"/>
      <c r="U10888" s="6"/>
    </row>
    <row r="10889" ht="14.25">
      <c r="B10889" s="18" t="s">
        <v>330</v>
      </c>
      <c r="C10889" s="18" t="s">
        <v>49686</v>
      </c>
      <c r="D10889" s="18" t="s">
        <v>172</v>
      </c>
      <c r="E10889" s="18" t="s">
        <v>49687</v>
      </c>
      <c r="F10889" s="18" t="str">
        <f>IFERROR(__XLUDF.DUMMYFUNCTION("PROPER(REGEXREPLACE(D801,""[^A-Za-z]+ "",""""))"),"Grisa Chaudronnerie")</f>
        <v xml:space="preserve">Grisa Chaudronnerie</v>
      </c>
      <c r="G10889" s="18" t="s">
        <v>49688</v>
      </c>
      <c r="H10889" s="18">
        <v>7</v>
      </c>
      <c r="I10889" s="18" t="s">
        <v>9239</v>
      </c>
      <c r="J10889" s="5" t="s">
        <v>49689</v>
      </c>
      <c r="K10889" s="5" t="s">
        <v>49690</v>
      </c>
      <c r="L10889" s="18" t="s">
        <v>185</v>
      </c>
      <c r="M10889" s="18" t="s">
        <v>29</v>
      </c>
      <c r="N10889" s="18" t="s">
        <v>49691</v>
      </c>
      <c r="O10889" s="18" t="s">
        <v>29</v>
      </c>
      <c r="P10889" s="18" t="s">
        <v>49692</v>
      </c>
      <c r="Q10889" s="6"/>
      <c r="R10889" s="6"/>
      <c r="S10889" s="6"/>
      <c r="T10889" s="6"/>
      <c r="U10889" s="6"/>
    </row>
    <row r="10890" ht="14.25">
      <c r="B10890" s="18" t="s">
        <v>2589</v>
      </c>
      <c r="C10890" s="18" t="s">
        <v>95</v>
      </c>
      <c r="D10890" s="18" t="s">
        <v>172</v>
      </c>
      <c r="E10890" s="18" t="s">
        <v>49693</v>
      </c>
      <c r="F10890" s="18" t="str">
        <f>IFERROR(__XLUDF.DUMMYFUNCTION("PROPER(REGEXREPLACE(D802,""[^A-Za-z]+ "",""""))"),"Antoine Echafaudages")</f>
        <v xml:space="preserve">Antoine Echafaudages</v>
      </c>
      <c r="G10890" s="18" t="s">
        <v>49694</v>
      </c>
      <c r="H10890" s="18">
        <v>9</v>
      </c>
      <c r="I10890" s="18" t="s">
        <v>9239</v>
      </c>
      <c r="J10890" s="5" t="s">
        <v>49695</v>
      </c>
      <c r="K10890" s="5" t="s">
        <v>49696</v>
      </c>
      <c r="L10890" s="18" t="s">
        <v>562</v>
      </c>
      <c r="M10890" s="18" t="s">
        <v>29</v>
      </c>
      <c r="N10890" s="18" t="s">
        <v>49697</v>
      </c>
      <c r="O10890" s="18" t="s">
        <v>29</v>
      </c>
      <c r="P10890" s="18" t="s">
        <v>9120</v>
      </c>
      <c r="Q10890" s="6"/>
      <c r="R10890" s="6"/>
      <c r="S10890" s="6"/>
      <c r="T10890" s="6"/>
      <c r="U10890" s="6"/>
    </row>
    <row r="10891" ht="14.25">
      <c r="B10891" s="18" t="s">
        <v>20</v>
      </c>
      <c r="C10891" s="18" t="s">
        <v>49698</v>
      </c>
      <c r="D10891" s="18" t="s">
        <v>172</v>
      </c>
      <c r="E10891" s="18" t="s">
        <v>46132</v>
      </c>
      <c r="F10891" s="18" t="str">
        <f>IFERROR(__XLUDF.DUMMYFUNCTION("PROPER(REGEXREPLACE(D803,""[^A-Za-z]+ "",""""))"),"Stepelec")</f>
        <v>Stepelec</v>
      </c>
      <c r="G10891" s="18" t="s">
        <v>49699</v>
      </c>
      <c r="H10891" s="18">
        <v>34</v>
      </c>
      <c r="I10891" s="18" t="s">
        <v>9239</v>
      </c>
      <c r="J10891" s="5" t="s">
        <v>49700</v>
      </c>
      <c r="K10891" s="5" t="s">
        <v>46135</v>
      </c>
      <c r="L10891" s="18" t="s">
        <v>6954</v>
      </c>
      <c r="M10891" s="18" t="s">
        <v>29</v>
      </c>
      <c r="N10891" s="18" t="s">
        <v>46136</v>
      </c>
      <c r="O10891" s="18" t="s">
        <v>29</v>
      </c>
      <c r="P10891" s="18" t="s">
        <v>46137</v>
      </c>
      <c r="Q10891" s="6"/>
      <c r="R10891" s="6"/>
      <c r="S10891" s="6"/>
      <c r="T10891" s="6"/>
      <c r="U10891" s="6"/>
    </row>
    <row r="10892" ht="14.25">
      <c r="B10892" s="18" t="s">
        <v>2299</v>
      </c>
      <c r="C10892" s="18" t="s">
        <v>16833</v>
      </c>
      <c r="D10892" s="18" t="s">
        <v>172</v>
      </c>
      <c r="E10892" s="18" t="s">
        <v>49701</v>
      </c>
      <c r="F10892" s="18" t="str">
        <f>IFERROR(__XLUDF.DUMMYFUNCTION("PROPER(REGEXREPLACE(D804,""[^A-Za-z]+ "",""""))"),"Armeton")</f>
        <v>Armeton</v>
      </c>
      <c r="G10892" s="18" t="s">
        <v>49702</v>
      </c>
      <c r="H10892" s="18">
        <v>23</v>
      </c>
      <c r="I10892" s="18" t="s">
        <v>9239</v>
      </c>
      <c r="J10892" s="5" t="s">
        <v>49703</v>
      </c>
      <c r="K10892" s="5" t="s">
        <v>49704</v>
      </c>
      <c r="L10892" s="18" t="s">
        <v>49705</v>
      </c>
      <c r="M10892" s="18" t="s">
        <v>29</v>
      </c>
      <c r="N10892" s="18" t="s">
        <v>49706</v>
      </c>
      <c r="O10892" s="18" t="s">
        <v>29</v>
      </c>
      <c r="P10892" s="18" t="s">
        <v>49707</v>
      </c>
      <c r="Q10892" s="6"/>
      <c r="R10892" s="6"/>
      <c r="S10892" s="6"/>
      <c r="T10892" s="6"/>
      <c r="U10892" s="6"/>
    </row>
    <row r="10893" ht="14.25">
      <c r="B10893" s="18" t="s">
        <v>604</v>
      </c>
      <c r="C10893" s="18" t="s">
        <v>23551</v>
      </c>
      <c r="D10893" s="18" t="s">
        <v>247</v>
      </c>
      <c r="E10893" s="18" t="s">
        <v>49708</v>
      </c>
      <c r="F10893" s="18" t="str">
        <f>IFERROR(__XLUDF.DUMMYFUNCTION("PROPER(REGEXREPLACE(D805,""[^A-Za-z]+ "",""""))"),"Sweelco")</f>
        <v>Sweelco</v>
      </c>
      <c r="G10893" s="18" t="s">
        <v>49709</v>
      </c>
      <c r="H10893" s="18">
        <v>7</v>
      </c>
      <c r="I10893" s="18" t="s">
        <v>9239</v>
      </c>
      <c r="J10893" s="5" t="s">
        <v>49710</v>
      </c>
      <c r="K10893" s="5" t="s">
        <v>49711</v>
      </c>
      <c r="L10893" s="18" t="s">
        <v>39</v>
      </c>
      <c r="M10893" s="18" t="s">
        <v>29</v>
      </c>
      <c r="N10893" s="18" t="s">
        <v>49712</v>
      </c>
      <c r="O10893" s="18" t="s">
        <v>29</v>
      </c>
      <c r="P10893" s="18" t="s">
        <v>49713</v>
      </c>
      <c r="Q10893" s="6"/>
      <c r="R10893" s="6"/>
      <c r="S10893" s="6"/>
      <c r="T10893" s="6"/>
      <c r="U10893" s="6"/>
    </row>
    <row r="10894" ht="14.25">
      <c r="B10894" s="18" t="s">
        <v>6967</v>
      </c>
      <c r="C10894" s="18" t="s">
        <v>20860</v>
      </c>
      <c r="D10894" s="18" t="s">
        <v>3982</v>
      </c>
      <c r="E10894" s="18" t="s">
        <v>49714</v>
      </c>
      <c r="F10894" s="18" t="str">
        <f>IFERROR(__XLUDF.DUMMYFUNCTION("PROPER(REGEXREPLACE(D806,""[^A-Za-z]+ "",""""))"),"Bcd Ingenierie")</f>
        <v xml:space="preserve">Bcd Ingenierie</v>
      </c>
      <c r="G10894" s="18" t="s">
        <v>49715</v>
      </c>
      <c r="H10894" s="18">
        <v>19</v>
      </c>
      <c r="I10894" s="18" t="s">
        <v>9239</v>
      </c>
      <c r="J10894" s="5" t="s">
        <v>49716</v>
      </c>
      <c r="K10894" s="5" t="s">
        <v>49717</v>
      </c>
      <c r="L10894" s="18" t="s">
        <v>49718</v>
      </c>
      <c r="M10894" s="18" t="s">
        <v>29</v>
      </c>
      <c r="N10894" s="18" t="s">
        <v>49719</v>
      </c>
      <c r="O10894" s="18" t="s">
        <v>29</v>
      </c>
      <c r="P10894" s="6"/>
      <c r="Q10894" s="6"/>
      <c r="R10894" s="6"/>
      <c r="S10894" s="6"/>
      <c r="T10894" s="6"/>
      <c r="U10894" s="6"/>
    </row>
    <row r="10895" ht="14.25">
      <c r="B10895" s="18" t="s">
        <v>49720</v>
      </c>
      <c r="C10895" s="18" t="s">
        <v>823</v>
      </c>
      <c r="D10895" s="18" t="s">
        <v>44</v>
      </c>
      <c r="E10895" s="18" t="s">
        <v>49721</v>
      </c>
      <c r="F10895" s="18" t="str">
        <f>IFERROR(__XLUDF.DUMMYFUNCTION("PROPER(REGEXREPLACE(D807,""[^A-Za-z]+ "",""""))"),"Bimtobuild")</f>
        <v>Bimtobuild</v>
      </c>
      <c r="G10895" s="18" t="s">
        <v>49722</v>
      </c>
      <c r="H10895" s="18">
        <v>5</v>
      </c>
      <c r="I10895" s="18" t="s">
        <v>9239</v>
      </c>
      <c r="J10895" s="5" t="s">
        <v>49723</v>
      </c>
      <c r="K10895" s="5" t="s">
        <v>49724</v>
      </c>
      <c r="L10895" s="6"/>
      <c r="M10895" s="18" t="s">
        <v>29</v>
      </c>
      <c r="N10895" s="18" t="s">
        <v>67</v>
      </c>
      <c r="O10895" s="18" t="s">
        <v>29</v>
      </c>
      <c r="P10895" s="6"/>
      <c r="Q10895" s="6"/>
      <c r="R10895" s="6"/>
      <c r="S10895" s="6"/>
      <c r="T10895" s="6"/>
      <c r="U10895" s="6"/>
    </row>
    <row r="10896" ht="14.25">
      <c r="B10896" s="18" t="s">
        <v>76</v>
      </c>
      <c r="C10896" s="18" t="s">
        <v>12452</v>
      </c>
      <c r="D10896" s="18" t="s">
        <v>172</v>
      </c>
      <c r="E10896" s="18" t="s">
        <v>49725</v>
      </c>
      <c r="F10896" s="18" t="str">
        <f>IFERROR(__XLUDF.DUMMYFUNCTION("PROPER(REGEXREPLACE(D808,""[^A-Za-z]+ "",""""))"),"Crri 2000")</f>
        <v xml:space="preserve">Crri 2000</v>
      </c>
      <c r="G10896" s="18" t="s">
        <v>49726</v>
      </c>
      <c r="H10896" s="18">
        <v>8</v>
      </c>
      <c r="I10896" s="18" t="s">
        <v>9239</v>
      </c>
      <c r="J10896" s="5" t="s">
        <v>49727</v>
      </c>
      <c r="K10896" s="5" t="s">
        <v>49728</v>
      </c>
      <c r="L10896" s="18" t="s">
        <v>7883</v>
      </c>
      <c r="M10896" s="18" t="s">
        <v>29</v>
      </c>
      <c r="N10896" s="18" t="s">
        <v>49729</v>
      </c>
      <c r="O10896" s="18" t="s">
        <v>29</v>
      </c>
      <c r="P10896" s="6"/>
      <c r="Q10896" s="6"/>
      <c r="R10896" s="6"/>
      <c r="S10896" s="6"/>
      <c r="T10896" s="6"/>
      <c r="U10896" s="6"/>
    </row>
    <row r="10897" ht="14.25">
      <c r="B10897" s="18" t="s">
        <v>330</v>
      </c>
      <c r="C10897" s="18" t="s">
        <v>49730</v>
      </c>
      <c r="D10897" s="18" t="s">
        <v>1950</v>
      </c>
      <c r="E10897" s="18" t="s">
        <v>48134</v>
      </c>
      <c r="F10897" s="18" t="str">
        <f>IFERROR(__XLUDF.DUMMYFUNCTION("PROPER(REGEXREPLACE(D809,""[^A-Za-z]+ "",""""))"),"Les Charpentiers De Paris")</f>
        <v xml:space="preserve">Les Charpentiers De Paris</v>
      </c>
      <c r="G10897" s="18" t="s">
        <v>49731</v>
      </c>
      <c r="H10897" s="18">
        <v>41</v>
      </c>
      <c r="I10897" s="18" t="s">
        <v>9239</v>
      </c>
      <c r="J10897" s="5" t="s">
        <v>49732</v>
      </c>
      <c r="K10897" s="5" t="s">
        <v>48137</v>
      </c>
      <c r="L10897" s="6"/>
      <c r="M10897" s="18" t="s">
        <v>29</v>
      </c>
      <c r="N10897" s="18" t="s">
        <v>48138</v>
      </c>
      <c r="O10897" s="18" t="s">
        <v>29</v>
      </c>
      <c r="P10897" s="18" t="s">
        <v>48139</v>
      </c>
      <c r="Q10897" s="6"/>
      <c r="R10897" s="6"/>
      <c r="S10897" s="6"/>
      <c r="T10897" s="6"/>
      <c r="U10897" s="6"/>
    </row>
    <row r="10898" ht="14.25">
      <c r="B10898" s="18" t="s">
        <v>12387</v>
      </c>
      <c r="C10898" s="18" t="s">
        <v>49733</v>
      </c>
      <c r="D10898" s="18" t="s">
        <v>172</v>
      </c>
      <c r="E10898" s="18" t="s">
        <v>49734</v>
      </c>
      <c r="F10898" s="18" t="str">
        <f>IFERROR(__XLUDF.DUMMYFUNCTION("PROPER(REGEXREPLACE(D810,""[^A-Za-z]+ "",""""))"),"C'Clôt")</f>
        <v>C'Clôt</v>
      </c>
      <c r="G10898" s="18" t="s">
        <v>49735</v>
      </c>
      <c r="H10898" s="18">
        <v>25</v>
      </c>
      <c r="I10898" s="18" t="s">
        <v>9239</v>
      </c>
      <c r="J10898" s="5" t="s">
        <v>49736</v>
      </c>
      <c r="K10898" s="5" t="s">
        <v>49737</v>
      </c>
      <c r="L10898" s="18" t="s">
        <v>185</v>
      </c>
      <c r="M10898" s="18" t="s">
        <v>29</v>
      </c>
      <c r="N10898" s="18" t="s">
        <v>49738</v>
      </c>
      <c r="O10898" s="18" t="s">
        <v>29</v>
      </c>
      <c r="P10898" s="18" t="s">
        <v>49739</v>
      </c>
      <c r="Q10898" s="6"/>
      <c r="R10898" s="6"/>
      <c r="S10898" s="6"/>
      <c r="T10898" s="6"/>
      <c r="U10898" s="6"/>
    </row>
    <row r="10899" ht="14.25">
      <c r="B10899" s="18" t="s">
        <v>2299</v>
      </c>
      <c r="C10899" s="18" t="s">
        <v>49740</v>
      </c>
      <c r="D10899" s="18" t="s">
        <v>5400</v>
      </c>
      <c r="E10899" s="18" t="s">
        <v>49741</v>
      </c>
      <c r="F10899" s="18" t="str">
        <f>IFERROR(__XLUDF.DUMMYFUNCTION("PROPER(REGEXREPLACE(D811,""[^A-Za-z]+ "",""""))"),"Cpl Bois")</f>
        <v xml:space="preserve">Cpl Bois</v>
      </c>
      <c r="G10899" s="18" t="s">
        <v>49742</v>
      </c>
      <c r="H10899" s="6"/>
      <c r="I10899" s="6"/>
      <c r="J10899" s="5" t="s">
        <v>49743</v>
      </c>
      <c r="K10899" s="5" t="s">
        <v>49744</v>
      </c>
      <c r="L10899" s="18" t="s">
        <v>49745</v>
      </c>
      <c r="M10899" s="18" t="s">
        <v>29</v>
      </c>
      <c r="N10899" s="18" t="s">
        <v>49746</v>
      </c>
      <c r="O10899" s="18" t="s">
        <v>29</v>
      </c>
      <c r="P10899" s="6"/>
      <c r="Q10899" s="6"/>
      <c r="R10899" s="6"/>
      <c r="S10899" s="6"/>
      <c r="T10899" s="6"/>
      <c r="U10899" s="6"/>
    </row>
    <row r="10900" ht="14.25">
      <c r="B10900" s="18" t="s">
        <v>222</v>
      </c>
      <c r="C10900" s="18" t="s">
        <v>49747</v>
      </c>
      <c r="D10900" s="18" t="s">
        <v>49748</v>
      </c>
      <c r="E10900" s="18" t="s">
        <v>49749</v>
      </c>
      <c r="F10900" s="18" t="str">
        <f>IFERROR(__XLUDF.DUMMYFUNCTION("PROPER(REGEXREPLACE(D812,""[^A-Za-z]+ "",""""))"),"Climelec Entreprise Sas")</f>
        <v xml:space="preserve">Climelec Entreprise Sas</v>
      </c>
      <c r="G10900" s="18" t="s">
        <v>49750</v>
      </c>
      <c r="H10900" s="18">
        <v>15</v>
      </c>
      <c r="I10900" s="18" t="s">
        <v>9239</v>
      </c>
      <c r="J10900" s="5" t="s">
        <v>49751</v>
      </c>
      <c r="K10900" s="5" t="s">
        <v>49752</v>
      </c>
      <c r="L10900" s="18" t="s">
        <v>295</v>
      </c>
      <c r="M10900" s="18" t="s">
        <v>29</v>
      </c>
      <c r="N10900" s="18" t="s">
        <v>49753</v>
      </c>
      <c r="O10900" s="18" t="s">
        <v>29</v>
      </c>
      <c r="P10900" s="6"/>
      <c r="Q10900" s="6"/>
      <c r="R10900" s="6"/>
      <c r="S10900" s="6"/>
      <c r="T10900" s="6"/>
      <c r="U10900" s="6"/>
    </row>
    <row r="10901" ht="14.25">
      <c r="B10901" s="18" t="s">
        <v>222</v>
      </c>
      <c r="C10901" s="18" t="s">
        <v>49754</v>
      </c>
      <c r="D10901" s="18" t="s">
        <v>29084</v>
      </c>
      <c r="E10901" s="18" t="s">
        <v>49755</v>
      </c>
      <c r="F10901" s="18" t="str">
        <f>IFERROR(__XLUDF.DUMMYFUNCTION("PROPER(REGEXREPLACE(D813,""[^A-Za-z]+ "",""""))"),"Arbonia Climate")</f>
        <v xml:space="preserve">Arbonia Climate</v>
      </c>
      <c r="G10901" s="18" t="s">
        <v>49756</v>
      </c>
      <c r="H10901" s="18">
        <v>13</v>
      </c>
      <c r="I10901" s="18" t="s">
        <v>9239</v>
      </c>
      <c r="J10901" s="5" t="s">
        <v>49757</v>
      </c>
      <c r="K10901" s="5" t="s">
        <v>49758</v>
      </c>
      <c r="L10901" s="6"/>
      <c r="M10901" s="18" t="s">
        <v>29</v>
      </c>
      <c r="N10901" s="6"/>
      <c r="O10901" s="6"/>
      <c r="P10901" s="18" t="s">
        <v>49759</v>
      </c>
      <c r="Q10901" s="6"/>
      <c r="R10901" s="6"/>
      <c r="S10901" s="6"/>
      <c r="T10901" s="6"/>
      <c r="U10901" s="6"/>
    </row>
    <row r="10902" ht="14.25">
      <c r="B10902" s="18" t="s">
        <v>571</v>
      </c>
      <c r="C10902" s="18" t="s">
        <v>49760</v>
      </c>
      <c r="D10902" s="18" t="s">
        <v>172</v>
      </c>
      <c r="E10902" s="18" t="s">
        <v>49761</v>
      </c>
      <c r="F10902" s="18" t="str">
        <f>IFERROR(__XLUDF.DUMMYFUNCTION("PROPER(REGEXREPLACE(D814,""[^A-Za-z]+ "",""""))"),"Opus 2B")</f>
        <v xml:space="preserve">Opus 2B</v>
      </c>
      <c r="G10902" s="18" t="s">
        <v>49762</v>
      </c>
      <c r="H10902" s="18">
        <v>3</v>
      </c>
      <c r="I10902" s="18" t="s">
        <v>9239</v>
      </c>
      <c r="J10902" s="5" t="s">
        <v>49763</v>
      </c>
      <c r="K10902" s="5" t="s">
        <v>49764</v>
      </c>
      <c r="L10902" s="18" t="s">
        <v>49765</v>
      </c>
      <c r="M10902" s="18" t="s">
        <v>29</v>
      </c>
      <c r="N10902" s="18" t="s">
        <v>49766</v>
      </c>
      <c r="O10902" s="18" t="s">
        <v>29</v>
      </c>
      <c r="P10902" s="18" t="s">
        <v>49767</v>
      </c>
      <c r="Q10902" s="6"/>
      <c r="R10902" s="6"/>
      <c r="S10902" s="6"/>
      <c r="T10902" s="6"/>
      <c r="U10902" s="6"/>
    </row>
    <row r="10903" ht="14.25">
      <c r="B10903" s="18" t="s">
        <v>1605</v>
      </c>
      <c r="C10903" s="18" t="s">
        <v>49768</v>
      </c>
      <c r="D10903" s="18" t="s">
        <v>44</v>
      </c>
      <c r="E10903" s="18" t="s">
        <v>49769</v>
      </c>
      <c r="F10903" s="18" t="str">
        <f>IFERROR(__XLUDF.DUMMYFUNCTION("PROPER(REGEXREPLACE(D815,""[^A-Za-z]+ "",""""))"),"L'Atelier Marinka")</f>
        <v xml:space="preserve">L'Atelier Marinka</v>
      </c>
      <c r="G10903" s="18" t="s">
        <v>49770</v>
      </c>
      <c r="H10903" s="18">
        <v>3</v>
      </c>
      <c r="I10903" s="18" t="s">
        <v>9239</v>
      </c>
      <c r="J10903" s="5" t="s">
        <v>49771</v>
      </c>
      <c r="K10903" s="5" t="s">
        <v>49772</v>
      </c>
      <c r="L10903" s="18" t="s">
        <v>39</v>
      </c>
      <c r="M10903" s="18" t="s">
        <v>29</v>
      </c>
      <c r="N10903" s="18" t="s">
        <v>49773</v>
      </c>
      <c r="O10903" s="18" t="s">
        <v>29</v>
      </c>
      <c r="P10903" s="6"/>
      <c r="Q10903" s="6"/>
      <c r="R10903" s="6"/>
      <c r="S10903" s="6"/>
      <c r="T10903" s="6"/>
      <c r="U10903" s="6"/>
    </row>
    <row r="10904" ht="14.25">
      <c r="B10904" s="18" t="s">
        <v>49774</v>
      </c>
      <c r="C10904" s="18" t="s">
        <v>49775</v>
      </c>
      <c r="D10904" s="18" t="s">
        <v>172</v>
      </c>
      <c r="E10904" s="18" t="s">
        <v>49776</v>
      </c>
      <c r="F10904" s="18" t="str">
        <f>IFERROR(__XLUDF.DUMMYFUNCTION("PROPER(REGEXREPLACE(D816,""[^A-Za-z]+ "",""""))"),"Anvig")</f>
        <v>Anvig</v>
      </c>
      <c r="G10904" s="18" t="s">
        <v>49777</v>
      </c>
      <c r="H10904" s="18">
        <v>3</v>
      </c>
      <c r="I10904" s="18" t="s">
        <v>9239</v>
      </c>
      <c r="J10904" s="5" t="s">
        <v>49778</v>
      </c>
      <c r="K10904" s="5" t="s">
        <v>49779</v>
      </c>
      <c r="L10904" s="18" t="s">
        <v>47217</v>
      </c>
      <c r="M10904" s="18" t="s">
        <v>29</v>
      </c>
      <c r="N10904" s="18" t="s">
        <v>49780</v>
      </c>
      <c r="O10904" s="18" t="s">
        <v>29</v>
      </c>
      <c r="P10904" s="6"/>
      <c r="Q10904" s="6"/>
      <c r="R10904" s="6"/>
      <c r="S10904" s="6"/>
      <c r="T10904" s="6"/>
      <c r="U10904" s="6"/>
    </row>
    <row r="10905" ht="14.25">
      <c r="B10905" s="18" t="s">
        <v>24543</v>
      </c>
      <c r="C10905" s="18" t="s">
        <v>49781</v>
      </c>
      <c r="D10905" s="18" t="s">
        <v>172</v>
      </c>
      <c r="E10905" s="18" t="s">
        <v>49782</v>
      </c>
      <c r="F10905" s="18" t="str">
        <f>IFERROR(__XLUDF.DUMMYFUNCTION("PROPER(REGEXREPLACE(D817,""[^A-Za-z]+ "",""""))"),"Super Plomb Elec")</f>
        <v xml:space="preserve">Super Plomb Elec</v>
      </c>
      <c r="G10905" s="18" t="s">
        <v>49783</v>
      </c>
      <c r="H10905" s="18">
        <v>2</v>
      </c>
      <c r="I10905" s="18" t="s">
        <v>9239</v>
      </c>
      <c r="J10905" s="5" t="s">
        <v>49784</v>
      </c>
      <c r="K10905" s="5" t="s">
        <v>49785</v>
      </c>
      <c r="L10905" s="18" t="s">
        <v>39</v>
      </c>
      <c r="M10905" s="18" t="s">
        <v>29</v>
      </c>
      <c r="N10905" s="18" t="s">
        <v>49786</v>
      </c>
      <c r="O10905" s="18" t="s">
        <v>29</v>
      </c>
      <c r="P10905" s="6"/>
      <c r="Q10905" s="6"/>
      <c r="R10905" s="6"/>
      <c r="S10905" s="6"/>
      <c r="T10905" s="6"/>
      <c r="U10905" s="6"/>
    </row>
    <row r="10906" ht="14.25">
      <c r="B10906" s="18" t="s">
        <v>6634</v>
      </c>
      <c r="C10906" s="18" t="s">
        <v>3753</v>
      </c>
      <c r="D10906" s="18" t="s">
        <v>49787</v>
      </c>
      <c r="E10906" s="18" t="s">
        <v>49788</v>
      </c>
      <c r="F10906" s="18" t="str">
        <f>IFERROR(__XLUDF.DUMMYFUNCTION("PROPER(REGEXREPLACE(D818,""[^A-Za-z]+ "",""""))"),"Acb")</f>
        <v>Acb</v>
      </c>
      <c r="G10906" s="18" t="s">
        <v>49789</v>
      </c>
      <c r="H10906" s="18">
        <v>1</v>
      </c>
      <c r="I10906" s="18" t="s">
        <v>9239</v>
      </c>
      <c r="J10906" s="5" t="s">
        <v>49790</v>
      </c>
      <c r="K10906" s="5" t="s">
        <v>49791</v>
      </c>
      <c r="L10906" s="18" t="s">
        <v>2499</v>
      </c>
      <c r="M10906" s="18" t="s">
        <v>29</v>
      </c>
      <c r="N10906" s="18" t="s">
        <v>49792</v>
      </c>
      <c r="O10906" s="18" t="s">
        <v>29</v>
      </c>
      <c r="P10906" s="18" t="s">
        <v>49793</v>
      </c>
      <c r="Q10906" s="6"/>
      <c r="R10906" s="6"/>
      <c r="S10906" s="6"/>
      <c r="T10906" s="6"/>
      <c r="U10906" s="6"/>
    </row>
    <row r="10907" ht="14.25">
      <c r="B10907" s="18" t="s">
        <v>1596</v>
      </c>
      <c r="C10907" s="18" t="s">
        <v>45570</v>
      </c>
      <c r="D10907" s="18" t="s">
        <v>112</v>
      </c>
      <c r="E10907" s="18" t="s">
        <v>45571</v>
      </c>
      <c r="F10907" s="18" t="str">
        <f>IFERROR(__XLUDF.DUMMYFUNCTION("PROPER(REGEXREPLACE(D819,""[^A-Za-z]+ "",""""))"),"Groupe Brandizi")</f>
        <v xml:space="preserve">Groupe Brandizi</v>
      </c>
      <c r="G10907" s="18" t="s">
        <v>49794</v>
      </c>
      <c r="H10907" s="18">
        <v>21</v>
      </c>
      <c r="I10907" s="18" t="s">
        <v>9239</v>
      </c>
      <c r="J10907" s="5" t="s">
        <v>49795</v>
      </c>
      <c r="K10907" s="5" t="s">
        <v>45574</v>
      </c>
      <c r="L10907" s="6"/>
      <c r="M10907" s="18" t="s">
        <v>29</v>
      </c>
      <c r="N10907" s="18" t="s">
        <v>45576</v>
      </c>
      <c r="O10907" s="18" t="s">
        <v>29</v>
      </c>
      <c r="P10907" s="18" t="s">
        <v>45577</v>
      </c>
      <c r="Q10907" s="6"/>
      <c r="R10907" s="6"/>
      <c r="S10907" s="6"/>
      <c r="T10907" s="6"/>
      <c r="U10907" s="6"/>
    </row>
    <row r="10908" ht="14.25">
      <c r="B10908" s="18" t="s">
        <v>604</v>
      </c>
      <c r="C10908" s="18" t="s">
        <v>49796</v>
      </c>
      <c r="D10908" s="18" t="s">
        <v>112</v>
      </c>
      <c r="E10908" s="18" t="s">
        <v>49797</v>
      </c>
      <c r="F10908" s="18" t="str">
        <f>IFERROR(__XLUDF.DUMMYFUNCTION("PROPER(REGEXREPLACE(D820,""[^A-Za-z]+ "",""""))"),"Rosin Entreprise")</f>
        <v xml:space="preserve">Rosin Entreprise</v>
      </c>
      <c r="G10908" s="18" t="s">
        <v>49798</v>
      </c>
      <c r="H10908" s="18">
        <v>50</v>
      </c>
      <c r="I10908" s="18" t="s">
        <v>9239</v>
      </c>
      <c r="J10908" s="5" t="s">
        <v>49799</v>
      </c>
      <c r="K10908" s="5" t="s">
        <v>49800</v>
      </c>
      <c r="L10908" s="18" t="s">
        <v>1507</v>
      </c>
      <c r="M10908" s="18" t="s">
        <v>29</v>
      </c>
      <c r="N10908" s="18" t="s">
        <v>49801</v>
      </c>
      <c r="O10908" s="18" t="s">
        <v>29</v>
      </c>
      <c r="P10908" s="18" t="s">
        <v>49802</v>
      </c>
      <c r="Q10908" s="6"/>
      <c r="R10908" s="6"/>
      <c r="S10908" s="6"/>
      <c r="T10908" s="6"/>
      <c r="U10908" s="6"/>
    </row>
    <row r="10909" ht="14.25">
      <c r="B10909" s="18" t="s">
        <v>21692</v>
      </c>
      <c r="C10909" s="18" t="s">
        <v>49803</v>
      </c>
      <c r="D10909" s="18" t="s">
        <v>112</v>
      </c>
      <c r="E10909" s="18" t="s">
        <v>49260</v>
      </c>
      <c r="F10909" s="18" t="str">
        <f>IFERROR(__XLUDF.DUMMYFUNCTION("PROPER(REGEXREPLACE(D821,""[^A-Za-z]+ "",""""))"),"Design Constructionsassociés")</f>
        <v xml:space="preserve">Design Constructionsassociés</v>
      </c>
      <c r="G10909" s="18" t="s">
        <v>49804</v>
      </c>
      <c r="H10909" s="18">
        <v>27</v>
      </c>
      <c r="I10909" s="18" t="s">
        <v>9239</v>
      </c>
      <c r="J10909" s="5" t="s">
        <v>49805</v>
      </c>
      <c r="K10909" s="5" t="s">
        <v>49263</v>
      </c>
      <c r="L10909" s="18" t="s">
        <v>1507</v>
      </c>
      <c r="M10909" s="18" t="s">
        <v>29</v>
      </c>
      <c r="N10909" s="18" t="s">
        <v>49264</v>
      </c>
      <c r="O10909" s="18" t="s">
        <v>29</v>
      </c>
      <c r="P10909" s="18" t="s">
        <v>49265</v>
      </c>
      <c r="Q10909" s="6"/>
      <c r="R10909" s="6"/>
      <c r="S10909" s="6"/>
      <c r="T10909" s="6"/>
      <c r="U10909" s="6"/>
    </row>
    <row r="10910" ht="14.25">
      <c r="B10910" s="18" t="s">
        <v>710</v>
      </c>
      <c r="C10910" s="18" t="s">
        <v>76</v>
      </c>
      <c r="D10910" s="18" t="s">
        <v>112</v>
      </c>
      <c r="E10910" s="18" t="s">
        <v>49806</v>
      </c>
      <c r="F10910" s="18" t="str">
        <f>IFERROR(__XLUDF.DUMMYFUNCTION("PROPER(REGEXREPLACE(D822,""[^A-Za-z]+ "",""""))"),"Alliance Travaux Speciaux")</f>
        <v xml:space="preserve">Alliance Travaux Speciaux</v>
      </c>
      <c r="G10910" s="18" t="s">
        <v>49807</v>
      </c>
      <c r="H10910" s="18">
        <v>16</v>
      </c>
      <c r="I10910" s="18" t="s">
        <v>9239</v>
      </c>
      <c r="J10910" s="5" t="s">
        <v>49808</v>
      </c>
      <c r="K10910" s="5" t="s">
        <v>49809</v>
      </c>
      <c r="L10910" s="18" t="s">
        <v>185</v>
      </c>
      <c r="M10910" s="18" t="s">
        <v>29</v>
      </c>
      <c r="N10910" s="18" t="s">
        <v>49810</v>
      </c>
      <c r="O10910" s="18" t="s">
        <v>29</v>
      </c>
      <c r="P10910" s="18" t="s">
        <v>49811</v>
      </c>
      <c r="Q10910" s="6"/>
      <c r="R10910" s="6"/>
      <c r="S10910" s="6"/>
      <c r="T10910" s="6"/>
      <c r="U10910" s="6"/>
    </row>
    <row r="10911" ht="14.25">
      <c r="B10911" s="18" t="s">
        <v>49812</v>
      </c>
      <c r="C10911" s="18" t="s">
        <v>222</v>
      </c>
      <c r="D10911" s="18" t="s">
        <v>1130</v>
      </c>
      <c r="E10911" s="18" t="s">
        <v>49813</v>
      </c>
      <c r="F10911" s="18" t="str">
        <f>IFERROR(__XLUDF.DUMMYFUNCTION("PROPER(REGEXREPLACE(D823,""[^A-Za-z]+ "",""""))"),"Boulet Bâtiment")</f>
        <v xml:space="preserve">Boulet Bâtiment</v>
      </c>
      <c r="G10911" s="18" t="s">
        <v>49814</v>
      </c>
      <c r="H10911" s="18">
        <v>22</v>
      </c>
      <c r="I10911" s="18" t="s">
        <v>9239</v>
      </c>
      <c r="J10911" s="5" t="s">
        <v>49815</v>
      </c>
      <c r="K10911" s="5" t="s">
        <v>49816</v>
      </c>
      <c r="L10911" s="18" t="s">
        <v>49817</v>
      </c>
      <c r="M10911" s="18" t="s">
        <v>29</v>
      </c>
      <c r="N10911" s="18" t="s">
        <v>49818</v>
      </c>
      <c r="O10911" s="18" t="s">
        <v>29</v>
      </c>
      <c r="P10911" s="18" t="s">
        <v>49819</v>
      </c>
      <c r="Q10911" s="6"/>
      <c r="R10911" s="6"/>
      <c r="S10911" s="6"/>
      <c r="T10911" s="6"/>
      <c r="U10911" s="6"/>
    </row>
    <row r="10912" ht="14.25">
      <c r="B10912" s="18" t="s">
        <v>6931</v>
      </c>
      <c r="C10912" s="18" t="s">
        <v>49820</v>
      </c>
      <c r="D10912" s="18" t="s">
        <v>879</v>
      </c>
      <c r="E10912" s="18" t="s">
        <v>49821</v>
      </c>
      <c r="F10912" s="18" t="str">
        <f>IFERROR(__XLUDF.DUMMYFUNCTION("PROPER(REGEXREPLACE(D824,""[^A-Za-z]+ "",""""))"),"Agence Coup De Coeur")</f>
        <v xml:space="preserve">Agence Coup De Coeur</v>
      </c>
      <c r="G10912" s="18" t="s">
        <v>49822</v>
      </c>
      <c r="H10912" s="18">
        <v>2</v>
      </c>
      <c r="I10912" s="18" t="s">
        <v>4293</v>
      </c>
      <c r="J10912" s="5" t="s">
        <v>49823</v>
      </c>
      <c r="K10912" s="5" t="s">
        <v>49824</v>
      </c>
      <c r="L10912" s="18" t="s">
        <v>1015</v>
      </c>
      <c r="M10912" s="18" t="s">
        <v>29</v>
      </c>
      <c r="N10912" s="18" t="s">
        <v>49825</v>
      </c>
      <c r="O10912" s="18" t="s">
        <v>29</v>
      </c>
      <c r="P10912" s="6"/>
      <c r="Q10912" s="6"/>
      <c r="R10912" s="6"/>
      <c r="S10912" s="6"/>
      <c r="T10912" s="6"/>
      <c r="U10912" s="6"/>
    </row>
    <row r="10913" ht="14.25">
      <c r="B10913" s="18" t="s">
        <v>808</v>
      </c>
      <c r="C10913" s="18" t="s">
        <v>43419</v>
      </c>
      <c r="D10913" s="18" t="s">
        <v>87</v>
      </c>
      <c r="E10913" s="18" t="s">
        <v>49826</v>
      </c>
      <c r="F10913" s="18" t="str">
        <f>IFERROR(__XLUDF.DUMMYFUNCTION("PROPER(REGEXREPLACE(D825,""[^A-Za-z]+ "",""""))"),"Netbox Containers")</f>
        <v xml:space="preserve">Netbox Containers</v>
      </c>
      <c r="G10913" s="18" t="s">
        <v>49827</v>
      </c>
      <c r="H10913" s="18">
        <v>9</v>
      </c>
      <c r="I10913" s="18" t="s">
        <v>9239</v>
      </c>
      <c r="J10913" s="5" t="s">
        <v>49828</v>
      </c>
      <c r="K10913" s="5" t="s">
        <v>49829</v>
      </c>
      <c r="L10913" s="18" t="s">
        <v>39</v>
      </c>
      <c r="M10913" s="18" t="s">
        <v>29</v>
      </c>
      <c r="N10913" s="18" t="s">
        <v>40820</v>
      </c>
      <c r="O10913" s="18" t="s">
        <v>29</v>
      </c>
      <c r="P10913" s="18" t="s">
        <v>49830</v>
      </c>
      <c r="Q10913" s="6"/>
      <c r="R10913" s="6"/>
      <c r="S10913" s="6"/>
      <c r="T10913" s="6"/>
      <c r="U10913" s="6"/>
    </row>
    <row r="10914" ht="14.25">
      <c r="B10914" s="18" t="s">
        <v>2119</v>
      </c>
      <c r="C10914" s="18" t="s">
        <v>49831</v>
      </c>
      <c r="D10914" s="18" t="s">
        <v>3982</v>
      </c>
      <c r="E10914" s="18" t="s">
        <v>49832</v>
      </c>
      <c r="F10914" s="18" t="str">
        <f>IFERROR(__XLUDF.DUMMYFUNCTION("PROPER(REGEXREPLACE(D826,""[^A-Za-z]+ "",""""))"),"Rscp")</f>
        <v>Rscp</v>
      </c>
      <c r="G10914" s="18" t="s">
        <v>49833</v>
      </c>
      <c r="H10914" s="18">
        <v>21</v>
      </c>
      <c r="I10914" s="18" t="s">
        <v>9239</v>
      </c>
      <c r="J10914" s="5" t="s">
        <v>49834</v>
      </c>
      <c r="K10914" s="5" t="s">
        <v>49835</v>
      </c>
      <c r="L10914" s="18" t="s">
        <v>39</v>
      </c>
      <c r="M10914" s="18" t="s">
        <v>29</v>
      </c>
      <c r="N10914" s="18" t="s">
        <v>49836</v>
      </c>
      <c r="O10914" s="18" t="s">
        <v>29</v>
      </c>
      <c r="P10914" s="6"/>
      <c r="Q10914" s="6"/>
      <c r="R10914" s="6"/>
      <c r="S10914" s="6"/>
      <c r="T10914" s="6"/>
      <c r="U10914" s="6"/>
    </row>
    <row r="10915" ht="14.25">
      <c r="B10915" s="18" t="s">
        <v>955</v>
      </c>
      <c r="C10915" s="18" t="s">
        <v>49253</v>
      </c>
      <c r="D10915" s="18" t="s">
        <v>7716</v>
      </c>
      <c r="E10915" s="18" t="s">
        <v>15705</v>
      </c>
      <c r="F10915" s="18" t="str">
        <f>IFERROR(__XLUDF.DUMMYFUNCTION("PROPER(REGEXREPLACE(D827,""[^A-Za-z]+ "",""""))"),"Sbi")</f>
        <v>Sbi</v>
      </c>
      <c r="G10915" s="18" t="s">
        <v>49837</v>
      </c>
      <c r="H10915" s="18">
        <v>11</v>
      </c>
      <c r="I10915" s="18" t="s">
        <v>10167</v>
      </c>
      <c r="J10915" s="5" t="s">
        <v>49838</v>
      </c>
      <c r="K10915" s="5" t="s">
        <v>49839</v>
      </c>
      <c r="L10915" s="18" t="s">
        <v>49840</v>
      </c>
      <c r="M10915" s="18" t="s">
        <v>29</v>
      </c>
      <c r="N10915" s="18" t="s">
        <v>49841</v>
      </c>
      <c r="O10915" s="18" t="s">
        <v>29</v>
      </c>
      <c r="P10915" s="18" t="s">
        <v>15711</v>
      </c>
      <c r="Q10915" s="6"/>
      <c r="R10915" s="6"/>
      <c r="S10915" s="6"/>
      <c r="T10915" s="6"/>
      <c r="U10915" s="6"/>
    </row>
    <row r="10916" ht="14.25">
      <c r="B10916" s="18" t="s">
        <v>893</v>
      </c>
      <c r="C10916" s="18" t="s">
        <v>30817</v>
      </c>
      <c r="D10916" s="18" t="s">
        <v>172</v>
      </c>
      <c r="E10916" s="18" t="s">
        <v>49842</v>
      </c>
      <c r="F10916" s="18" t="str">
        <f>IFERROR(__XLUDF.DUMMYFUNCTION("PROPER(REGEXREPLACE(D828,""[^A-Za-z]+ "",""""))"),"Constructions Robert Brouca")</f>
        <v xml:space="preserve">Constructions Robert Brouca</v>
      </c>
      <c r="G10916" s="18" t="s">
        <v>49843</v>
      </c>
      <c r="H10916" s="18">
        <v>8</v>
      </c>
      <c r="I10916" s="18" t="s">
        <v>9239</v>
      </c>
      <c r="J10916" s="5" t="s">
        <v>49844</v>
      </c>
      <c r="K10916" s="5" t="s">
        <v>49845</v>
      </c>
      <c r="L10916" s="18" t="s">
        <v>2650</v>
      </c>
      <c r="M10916" s="18" t="s">
        <v>29</v>
      </c>
      <c r="N10916" s="18" t="s">
        <v>49846</v>
      </c>
      <c r="O10916" s="18" t="s">
        <v>29</v>
      </c>
      <c r="P10916" s="6"/>
      <c r="Q10916" s="6"/>
      <c r="R10916" s="6"/>
      <c r="S10916" s="6"/>
      <c r="T10916" s="6"/>
      <c r="U10916" s="6"/>
    </row>
    <row r="10917" ht="14.25">
      <c r="B10917" s="18" t="s">
        <v>1421</v>
      </c>
      <c r="C10917" s="18" t="s">
        <v>49847</v>
      </c>
      <c r="D10917" s="18" t="s">
        <v>49848</v>
      </c>
      <c r="E10917" s="18" t="s">
        <v>49849</v>
      </c>
      <c r="F10917" s="18" t="str">
        <f>IFERROR(__XLUDF.DUMMYFUNCTION("PROPER(REGEXREPLACE(D829,""[^A-Za-z]+ "",""""))"),"Tech Sub")</f>
        <v xml:space="preserve">Tech Sub</v>
      </c>
      <c r="G10917" s="18" t="s">
        <v>49850</v>
      </c>
      <c r="H10917" s="18">
        <v>20</v>
      </c>
      <c r="I10917" s="18" t="s">
        <v>9239</v>
      </c>
      <c r="J10917" s="5" t="s">
        <v>49851</v>
      </c>
      <c r="K10917" s="5" t="s">
        <v>49852</v>
      </c>
      <c r="L10917" s="18" t="s">
        <v>846</v>
      </c>
      <c r="M10917" s="18" t="s">
        <v>29</v>
      </c>
      <c r="N10917" s="18" t="s">
        <v>49853</v>
      </c>
      <c r="O10917" s="18" t="s">
        <v>29</v>
      </c>
      <c r="P10917" s="18" t="s">
        <v>49854</v>
      </c>
      <c r="Q10917" s="6"/>
      <c r="R10917" s="6"/>
      <c r="S10917" s="6"/>
      <c r="T10917" s="6"/>
      <c r="U10917" s="6"/>
    </row>
    <row r="10918" ht="14.25">
      <c r="B10918" s="18" t="s">
        <v>355</v>
      </c>
      <c r="C10918" s="18" t="s">
        <v>47351</v>
      </c>
      <c r="D10918" s="18" t="s">
        <v>112</v>
      </c>
      <c r="E10918" s="18" t="s">
        <v>49855</v>
      </c>
      <c r="F10918" s="18" t="str">
        <f>IFERROR(__XLUDF.DUMMYFUNCTION("PROPER(REGEXREPLACE(D830,""[^A-Za-z]+ "",""""))"),"Charpentier Sas")</f>
        <v xml:space="preserve">Charpentier Sas</v>
      </c>
      <c r="G10918" s="18" t="s">
        <v>49856</v>
      </c>
      <c r="H10918" s="18">
        <v>39</v>
      </c>
      <c r="I10918" s="18" t="s">
        <v>9239</v>
      </c>
      <c r="J10918" s="5" t="s">
        <v>49857</v>
      </c>
      <c r="K10918" s="5" t="s">
        <v>49858</v>
      </c>
      <c r="L10918" s="18" t="s">
        <v>49859</v>
      </c>
      <c r="M10918" s="18" t="s">
        <v>29</v>
      </c>
      <c r="N10918" s="18" t="s">
        <v>49860</v>
      </c>
      <c r="O10918" s="18" t="s">
        <v>29</v>
      </c>
      <c r="P10918" s="18" t="s">
        <v>49861</v>
      </c>
      <c r="Q10918" s="6"/>
      <c r="R10918" s="6"/>
      <c r="S10918" s="6"/>
      <c r="T10918" s="6"/>
      <c r="U10918" s="6"/>
    </row>
    <row r="10919" ht="14.25">
      <c r="B10919" s="18" t="s">
        <v>622</v>
      </c>
      <c r="C10919" s="18" t="s">
        <v>178</v>
      </c>
      <c r="D10919" s="18" t="s">
        <v>487</v>
      </c>
      <c r="E10919" s="18" t="s">
        <v>49862</v>
      </c>
      <c r="F10919" s="18" t="str">
        <f>IFERROR(__XLUDF.DUMMYFUNCTION("PROPER(REGEXREPLACE(D831,""[^A-Za-z]+ "",""""))"),"Menuiserie Devilloise")</f>
        <v xml:space="preserve">Menuiserie Devilloise</v>
      </c>
      <c r="G10919" s="18" t="s">
        <v>49863</v>
      </c>
      <c r="H10919" s="18">
        <v>24</v>
      </c>
      <c r="I10919" s="18" t="s">
        <v>9239</v>
      </c>
      <c r="J10919" s="5" t="s">
        <v>49864</v>
      </c>
      <c r="K10919" s="5" t="s">
        <v>49865</v>
      </c>
      <c r="L10919" s="18" t="s">
        <v>492</v>
      </c>
      <c r="M10919" s="18" t="s">
        <v>29</v>
      </c>
      <c r="N10919" s="18" t="s">
        <v>49866</v>
      </c>
      <c r="O10919" s="18" t="s">
        <v>29</v>
      </c>
      <c r="P10919" s="6"/>
      <c r="Q10919" s="6"/>
      <c r="R10919" s="6"/>
      <c r="S10919" s="6"/>
      <c r="T10919" s="6"/>
      <c r="U10919" s="6"/>
    </row>
    <row r="10920" ht="14.25">
      <c r="B10920" s="18" t="s">
        <v>2652</v>
      </c>
      <c r="C10920" s="18" t="s">
        <v>6390</v>
      </c>
      <c r="D10920" s="18" t="s">
        <v>120</v>
      </c>
      <c r="E10920" s="18" t="s">
        <v>11421</v>
      </c>
      <c r="F10920" s="18" t="str">
        <f>IFERROR(__XLUDF.DUMMYFUNCTION("PROPER(REGEXREPLACE(D832,""[^A-Za-z]+ "",""""))"),"Moderlab")</f>
        <v>Moderlab</v>
      </c>
      <c r="G10920" s="18" t="s">
        <v>49867</v>
      </c>
      <c r="H10920" s="18">
        <v>21</v>
      </c>
      <c r="I10920" s="18" t="s">
        <v>2602</v>
      </c>
      <c r="J10920" s="5" t="s">
        <v>49868</v>
      </c>
      <c r="K10920" s="5" t="s">
        <v>49282</v>
      </c>
      <c r="L10920" s="6"/>
      <c r="M10920" s="18" t="s">
        <v>29</v>
      </c>
      <c r="N10920" s="18" t="s">
        <v>49283</v>
      </c>
      <c r="O10920" s="18" t="s">
        <v>29</v>
      </c>
      <c r="P10920" s="18" t="s">
        <v>11426</v>
      </c>
      <c r="Q10920" s="6"/>
      <c r="R10920" s="6"/>
      <c r="S10920" s="6"/>
      <c r="T10920" s="6"/>
      <c r="U10920" s="6"/>
    </row>
    <row r="10921" ht="14.25">
      <c r="B10921" s="18" t="s">
        <v>1153</v>
      </c>
      <c r="C10921" s="18" t="s">
        <v>49869</v>
      </c>
      <c r="D10921" s="18" t="s">
        <v>112</v>
      </c>
      <c r="E10921" s="18" t="s">
        <v>49870</v>
      </c>
      <c r="F10921" s="18" t="str">
        <f>IFERROR(__XLUDF.DUMMYFUNCTION("PROPER(REGEXREPLACE(D833,""[^A-Za-z]+ "",""""))"),"Secom’Alu")</f>
        <v>Secom’Alu</v>
      </c>
      <c r="G10921" s="18" t="s">
        <v>49871</v>
      </c>
      <c r="H10921" s="6"/>
      <c r="I10921" s="6"/>
      <c r="J10921" s="5" t="s">
        <v>49872</v>
      </c>
      <c r="K10921" s="6"/>
      <c r="L10921" s="18" t="s">
        <v>49873</v>
      </c>
      <c r="M10921" s="18" t="s">
        <v>29</v>
      </c>
      <c r="N10921" s="18" t="s">
        <v>49874</v>
      </c>
      <c r="O10921" s="18" t="s">
        <v>29</v>
      </c>
      <c r="P10921" s="6"/>
      <c r="Q10921" s="6"/>
      <c r="R10921" s="6"/>
      <c r="S10921" s="6"/>
      <c r="T10921" s="6"/>
      <c r="U10921" s="6"/>
    </row>
    <row r="10922" ht="14.25">
      <c r="B10922" s="18" t="s">
        <v>2258</v>
      </c>
      <c r="C10922" s="18" t="s">
        <v>49875</v>
      </c>
      <c r="D10922" s="18" t="s">
        <v>49876</v>
      </c>
      <c r="E10922" s="18" t="s">
        <v>15050</v>
      </c>
      <c r="F10922" s="18" t="str">
        <f>IFERROR(__XLUDF.DUMMYFUNCTION("PROPER(REGEXREPLACE(D834,""[^A-Za-z]+ "",""""))"),"Mobius Réemploi")</f>
        <v xml:space="preserve">Mobius Réemploi</v>
      </c>
      <c r="G10922" s="18" t="s">
        <v>49877</v>
      </c>
      <c r="H10922" s="18">
        <v>13</v>
      </c>
      <c r="I10922" s="18" t="s">
        <v>9239</v>
      </c>
      <c r="J10922" s="5" t="s">
        <v>49878</v>
      </c>
      <c r="K10922" s="5" t="s">
        <v>49879</v>
      </c>
      <c r="L10922" s="18" t="s">
        <v>39</v>
      </c>
      <c r="M10922" s="18" t="s">
        <v>29</v>
      </c>
      <c r="N10922" s="18" t="s">
        <v>49880</v>
      </c>
      <c r="O10922" s="18" t="s">
        <v>29</v>
      </c>
      <c r="P10922" s="18" t="s">
        <v>15055</v>
      </c>
      <c r="Q10922" s="6"/>
      <c r="R10922" s="6"/>
      <c r="S10922" s="6"/>
      <c r="T10922" s="6"/>
      <c r="U10922" s="6"/>
    </row>
    <row r="10923" ht="14.25">
      <c r="B10923" s="18" t="s">
        <v>31833</v>
      </c>
      <c r="C10923" s="18" t="s">
        <v>49881</v>
      </c>
      <c r="D10923" s="18" t="s">
        <v>164</v>
      </c>
      <c r="E10923" s="18" t="s">
        <v>49882</v>
      </c>
      <c r="F10923" s="18" t="str">
        <f>IFERROR(__XLUDF.DUMMYFUNCTION("PROPER(REGEXREPLACE(D835,""[^A-Za-z]+ "",""""))"),"My Concept")</f>
        <v xml:space="preserve">My Concept</v>
      </c>
      <c r="G10923" s="18" t="s">
        <v>49883</v>
      </c>
      <c r="H10923" s="18">
        <v>21</v>
      </c>
      <c r="I10923" s="18" t="s">
        <v>9239</v>
      </c>
      <c r="J10923" s="5" t="s">
        <v>49884</v>
      </c>
      <c r="K10923" s="5" t="s">
        <v>49885</v>
      </c>
      <c r="L10923" s="18" t="s">
        <v>1826</v>
      </c>
      <c r="M10923" s="18" t="s">
        <v>29</v>
      </c>
      <c r="N10923" s="18" t="s">
        <v>49886</v>
      </c>
      <c r="O10923" s="18" t="s">
        <v>29</v>
      </c>
      <c r="P10923" s="6"/>
      <c r="Q10923" s="6"/>
      <c r="R10923" s="6"/>
      <c r="S10923" s="6"/>
      <c r="T10923" s="6"/>
      <c r="U10923" s="6"/>
    </row>
    <row r="10924" ht="14.25">
      <c r="B10924" s="18" t="s">
        <v>16133</v>
      </c>
      <c r="C10924" s="18" t="s">
        <v>49887</v>
      </c>
      <c r="D10924" s="18" t="s">
        <v>172</v>
      </c>
      <c r="E10924" s="18" t="s">
        <v>49888</v>
      </c>
      <c r="F10924" s="18" t="str">
        <f>IFERROR(__XLUDF.DUMMYFUNCTION("PROPER(REGEXREPLACE(D836,""[^A-Za-z]+ "",""""))"),"Bsr")</f>
        <v>Bsr</v>
      </c>
      <c r="G10924" s="18" t="s">
        <v>49889</v>
      </c>
      <c r="H10924" s="18">
        <v>10</v>
      </c>
      <c r="I10924" s="18" t="s">
        <v>9239</v>
      </c>
      <c r="J10924" s="5" t="s">
        <v>49890</v>
      </c>
      <c r="K10924" s="5" t="s">
        <v>49891</v>
      </c>
      <c r="L10924" s="6"/>
      <c r="M10924" s="18" t="s">
        <v>29</v>
      </c>
      <c r="N10924" s="18" t="s">
        <v>49892</v>
      </c>
      <c r="O10924" s="18" t="s">
        <v>29</v>
      </c>
      <c r="P10924" s="18" t="s">
        <v>49893</v>
      </c>
      <c r="Q10924" s="6"/>
      <c r="R10924" s="6"/>
      <c r="S10924" s="6"/>
      <c r="T10924" s="6"/>
      <c r="U10924" s="6"/>
    </row>
    <row r="10925" ht="14.25">
      <c r="B10925" s="18" t="s">
        <v>1732</v>
      </c>
      <c r="C10925" s="18" t="s">
        <v>49894</v>
      </c>
      <c r="D10925" s="18" t="s">
        <v>5031</v>
      </c>
      <c r="E10925" s="18" t="s">
        <v>49895</v>
      </c>
      <c r="F10925" s="18" t="str">
        <f>IFERROR(__XLUDF.DUMMYFUNCTION("PROPER(REGEXREPLACE(D837,""[^A-Za-z]+ "",""""))"),"Association Lean Construction")</f>
        <v xml:space="preserve">Association Lean Construction</v>
      </c>
      <c r="G10925" s="18" t="s">
        <v>49896</v>
      </c>
      <c r="H10925" s="18">
        <v>7</v>
      </c>
      <c r="I10925" s="18" t="s">
        <v>9239</v>
      </c>
      <c r="J10925" s="5" t="s">
        <v>49897</v>
      </c>
      <c r="K10925" s="5" t="s">
        <v>49898</v>
      </c>
      <c r="L10925" s="18" t="s">
        <v>39</v>
      </c>
      <c r="M10925" s="18" t="s">
        <v>29</v>
      </c>
      <c r="N10925" s="18" t="s">
        <v>49899</v>
      </c>
      <c r="O10925" s="18" t="s">
        <v>29</v>
      </c>
      <c r="P10925" s="18" t="s">
        <v>49900</v>
      </c>
      <c r="Q10925" s="6"/>
      <c r="R10925" s="6"/>
      <c r="S10925" s="6"/>
      <c r="T10925" s="6"/>
      <c r="U10925" s="6"/>
    </row>
    <row r="10926" ht="14.25">
      <c r="B10926" s="18" t="s">
        <v>52</v>
      </c>
      <c r="C10926" s="18" t="s">
        <v>11874</v>
      </c>
      <c r="D10926" s="18" t="s">
        <v>230</v>
      </c>
      <c r="E10926" s="18" t="s">
        <v>49901</v>
      </c>
      <c r="F10926" s="18" t="str">
        <f>IFERROR(__XLUDF.DUMMYFUNCTION("PROPER(REGEXREPLACE(D838,""[^A-Za-z]+ "",""""))"),"Luxurylittlehome")</f>
        <v>Luxurylittlehome</v>
      </c>
      <c r="G10926" s="18" t="s">
        <v>49902</v>
      </c>
      <c r="H10926" s="18">
        <v>1</v>
      </c>
      <c r="I10926" s="18" t="s">
        <v>9239</v>
      </c>
      <c r="J10926" s="5" t="s">
        <v>49903</v>
      </c>
      <c r="K10926" s="5" t="s">
        <v>49904</v>
      </c>
      <c r="L10926" s="18" t="s">
        <v>149</v>
      </c>
      <c r="M10926" s="18" t="s">
        <v>29</v>
      </c>
      <c r="N10926" s="18" t="s">
        <v>49905</v>
      </c>
      <c r="O10926" s="18" t="s">
        <v>29</v>
      </c>
      <c r="P10926" s="6"/>
      <c r="Q10926" s="6"/>
      <c r="R10926" s="6"/>
      <c r="S10926" s="6"/>
      <c r="T10926" s="6"/>
      <c r="U10926" s="6"/>
    </row>
    <row r="10927" ht="14.25">
      <c r="B10927" s="18" t="s">
        <v>1190</v>
      </c>
      <c r="C10927" s="18" t="s">
        <v>49273</v>
      </c>
      <c r="D10927" s="18" t="s">
        <v>49906</v>
      </c>
      <c r="E10927" s="18" t="s">
        <v>49907</v>
      </c>
      <c r="F10927" s="18" t="str">
        <f>IFERROR(__XLUDF.DUMMYFUNCTION("PROPER(REGEXREPLACE(D839,""[^A-Za-z]+ "",""""))"),"Fmipro")</f>
        <v>Fmipro</v>
      </c>
      <c r="G10927" s="18" t="s">
        <v>49908</v>
      </c>
      <c r="H10927" s="18">
        <v>5</v>
      </c>
      <c r="I10927" s="18" t="s">
        <v>9239</v>
      </c>
      <c r="J10927" s="5" t="s">
        <v>49909</v>
      </c>
      <c r="K10927" s="5" t="s">
        <v>49910</v>
      </c>
      <c r="L10927" s="6"/>
      <c r="M10927" s="18" t="s">
        <v>29</v>
      </c>
      <c r="N10927" s="18" t="s">
        <v>49911</v>
      </c>
      <c r="O10927" s="18" t="s">
        <v>29</v>
      </c>
      <c r="P10927" s="18" t="s">
        <v>49912</v>
      </c>
      <c r="Q10927" s="6"/>
      <c r="R10927" s="6"/>
      <c r="S10927" s="6"/>
      <c r="T10927" s="6"/>
      <c r="U10927" s="6"/>
    </row>
    <row r="10928" ht="14.25">
      <c r="B10928" s="18" t="s">
        <v>20</v>
      </c>
      <c r="C10928" s="18" t="s">
        <v>49913</v>
      </c>
      <c r="D10928" s="18" t="s">
        <v>49914</v>
      </c>
      <c r="E10928" s="18" t="s">
        <v>48932</v>
      </c>
      <c r="F10928" s="18" t="str">
        <f>IFERROR(__XLUDF.DUMMYFUNCTION("PROPER(REGEXREPLACE(D840,""[^A-Za-z]+ "",""""))"),"Avoltis Rénovation")</f>
        <v xml:space="preserve">Avoltis Rénovation</v>
      </c>
      <c r="G10928" s="18" t="s">
        <v>49915</v>
      </c>
      <c r="H10928" s="18">
        <v>10</v>
      </c>
      <c r="I10928" s="18" t="s">
        <v>9239</v>
      </c>
      <c r="J10928" s="5" t="s">
        <v>49916</v>
      </c>
      <c r="K10928" s="5" t="s">
        <v>48935</v>
      </c>
      <c r="L10928" s="18" t="s">
        <v>423</v>
      </c>
      <c r="M10928" s="18" t="s">
        <v>29</v>
      </c>
      <c r="N10928" s="18" t="s">
        <v>7599</v>
      </c>
      <c r="O10928" s="18" t="s">
        <v>29</v>
      </c>
      <c r="P10928" s="18" t="s">
        <v>48936</v>
      </c>
      <c r="Q10928" s="6"/>
      <c r="R10928" s="6"/>
      <c r="S10928" s="6"/>
      <c r="T10928" s="6"/>
      <c r="U10928" s="6"/>
    </row>
    <row r="10929" ht="14.25">
      <c r="B10929" s="18" t="s">
        <v>1583</v>
      </c>
      <c r="C10929" s="18" t="s">
        <v>49917</v>
      </c>
      <c r="D10929" s="18" t="s">
        <v>49918</v>
      </c>
      <c r="E10929" s="18" t="s">
        <v>49919</v>
      </c>
      <c r="F10929" s="18" t="str">
        <f>IFERROR(__XLUDF.DUMMYFUNCTION("PROPER(REGEXREPLACE(D841,""[^A-Za-z]+ "",""""))"),"C2T Strasbourg")</f>
        <v xml:space="preserve">C2T Strasbourg</v>
      </c>
      <c r="G10929" s="18" t="s">
        <v>49920</v>
      </c>
      <c r="H10929" s="18">
        <v>13</v>
      </c>
      <c r="I10929" s="18" t="s">
        <v>9239</v>
      </c>
      <c r="J10929" s="5" t="s">
        <v>49921</v>
      </c>
      <c r="K10929" s="5" t="s">
        <v>49922</v>
      </c>
      <c r="L10929" s="18" t="s">
        <v>651</v>
      </c>
      <c r="M10929" s="18" t="s">
        <v>29</v>
      </c>
      <c r="N10929" s="18" t="s">
        <v>49923</v>
      </c>
      <c r="O10929" s="18" t="s">
        <v>29</v>
      </c>
      <c r="P10929" s="18" t="s">
        <v>49924</v>
      </c>
      <c r="Q10929" s="6"/>
      <c r="R10929" s="6"/>
      <c r="S10929" s="6"/>
      <c r="T10929" s="6"/>
      <c r="U10929" s="6"/>
    </row>
    <row r="10930" ht="14.25">
      <c r="B10930" s="18" t="s">
        <v>1861</v>
      </c>
      <c r="C10930" s="18" t="s">
        <v>49925</v>
      </c>
      <c r="D10930" s="18" t="s">
        <v>49926</v>
      </c>
      <c r="E10930" s="18" t="s">
        <v>49927</v>
      </c>
      <c r="F10930" s="18" t="str">
        <f>IFERROR(__XLUDF.DUMMYFUNCTION("PROPER(REGEXREPLACE(D842,""[^A-Za-z]+ "",""""))"),"Bureau D'Études Novatec")</f>
        <v xml:space="preserve">Bureau D'Études Novatec</v>
      </c>
      <c r="G10930" s="18" t="s">
        <v>49928</v>
      </c>
      <c r="H10930" s="18">
        <v>12</v>
      </c>
      <c r="I10930" s="18" t="s">
        <v>9239</v>
      </c>
      <c r="J10930" s="5" t="s">
        <v>49929</v>
      </c>
      <c r="K10930" s="5" t="s">
        <v>49930</v>
      </c>
      <c r="L10930" s="18" t="s">
        <v>83</v>
      </c>
      <c r="M10930" s="18" t="s">
        <v>29</v>
      </c>
      <c r="N10930" s="18" t="s">
        <v>49931</v>
      </c>
      <c r="O10930" s="18" t="s">
        <v>29</v>
      </c>
      <c r="P10930" s="6"/>
      <c r="Q10930" s="6"/>
      <c r="R10930" s="6"/>
      <c r="S10930" s="6"/>
      <c r="T10930" s="6"/>
      <c r="U10930" s="6"/>
    </row>
    <row r="10931" ht="14.25">
      <c r="B10931" s="18" t="s">
        <v>8049</v>
      </c>
      <c r="C10931" s="18" t="s">
        <v>2326</v>
      </c>
      <c r="D10931" s="18" t="s">
        <v>426</v>
      </c>
      <c r="E10931" s="18" t="s">
        <v>49932</v>
      </c>
      <c r="F10931" s="18" t="str">
        <f>IFERROR(__XLUDF.DUMMYFUNCTION("PROPER(REGEXREPLACE(D843,""[^A-Za-z]+ "",""""))"),"Gassim")</f>
        <v>Gassim</v>
      </c>
      <c r="G10931" s="18" t="s">
        <v>49933</v>
      </c>
      <c r="H10931" s="18">
        <v>12</v>
      </c>
      <c r="I10931" s="18" t="s">
        <v>9239</v>
      </c>
      <c r="J10931" s="5" t="s">
        <v>49934</v>
      </c>
      <c r="K10931" s="5" t="s">
        <v>49935</v>
      </c>
      <c r="L10931" s="6"/>
      <c r="M10931" s="18" t="s">
        <v>29</v>
      </c>
      <c r="N10931" s="6"/>
      <c r="O10931" s="6"/>
      <c r="P10931" s="6"/>
      <c r="Q10931" s="6"/>
      <c r="R10931" s="6"/>
      <c r="S10931" s="6"/>
      <c r="T10931" s="6"/>
      <c r="U10931" s="6"/>
    </row>
    <row r="10932" ht="14.25">
      <c r="B10932" s="18" t="s">
        <v>2119</v>
      </c>
      <c r="C10932" s="18" t="s">
        <v>49936</v>
      </c>
      <c r="D10932" s="18" t="s">
        <v>172</v>
      </c>
      <c r="E10932" s="18" t="s">
        <v>49937</v>
      </c>
      <c r="F10932" s="18" t="str">
        <f>IFERROR(__XLUDF.DUMMYFUNCTION("PROPER(REGEXREPLACE(D844,""[^A-Za-z]+ "",""""))"),"Groupe Axho")</f>
        <v xml:space="preserve">Groupe Axho</v>
      </c>
      <c r="G10932" s="18" t="s">
        <v>49938</v>
      </c>
      <c r="H10932" s="18">
        <v>22</v>
      </c>
      <c r="I10932" s="18" t="s">
        <v>9239</v>
      </c>
      <c r="J10932" s="5" t="s">
        <v>49939</v>
      </c>
      <c r="K10932" s="5" t="s">
        <v>49940</v>
      </c>
      <c r="L10932" s="6"/>
      <c r="M10932" s="18" t="s">
        <v>29</v>
      </c>
      <c r="N10932" s="18" t="s">
        <v>49941</v>
      </c>
      <c r="O10932" s="18" t="s">
        <v>29</v>
      </c>
      <c r="P10932" s="6"/>
      <c r="Q10932" s="6"/>
      <c r="R10932" s="6"/>
      <c r="S10932" s="6"/>
      <c r="T10932" s="6"/>
      <c r="U10932" s="6"/>
    </row>
    <row r="10933" ht="14.25">
      <c r="B10933" s="18" t="s">
        <v>785</v>
      </c>
      <c r="C10933" s="18" t="s">
        <v>49942</v>
      </c>
      <c r="D10933" s="18" t="s">
        <v>172</v>
      </c>
      <c r="E10933" s="18" t="s">
        <v>49641</v>
      </c>
      <c r="F10933" s="18" t="str">
        <f>IFERROR(__XLUDF.DUMMYFUNCTION("PROPER(REGEXREPLACE(D845,""[^A-Za-z]+ "",""""))"),"Groupe Cii")</f>
        <v xml:space="preserve">Groupe Cii</v>
      </c>
      <c r="G10933" s="18" t="s">
        <v>49943</v>
      </c>
      <c r="H10933" s="18">
        <v>14</v>
      </c>
      <c r="I10933" s="18" t="s">
        <v>9239</v>
      </c>
      <c r="J10933" s="5" t="s">
        <v>49944</v>
      </c>
      <c r="K10933" s="5" t="s">
        <v>49644</v>
      </c>
      <c r="L10933" s="18" t="s">
        <v>49945</v>
      </c>
      <c r="M10933" s="18" t="s">
        <v>29</v>
      </c>
      <c r="N10933" s="18" t="s">
        <v>49645</v>
      </c>
      <c r="O10933" s="18" t="s">
        <v>29</v>
      </c>
      <c r="P10933" s="6"/>
      <c r="Q10933" s="6"/>
      <c r="R10933" s="6"/>
      <c r="S10933" s="6"/>
      <c r="T10933" s="6"/>
      <c r="U10933" s="6"/>
    </row>
    <row r="10934" ht="14.25">
      <c r="B10934" s="18" t="s">
        <v>2516</v>
      </c>
      <c r="C10934" s="18" t="s">
        <v>49946</v>
      </c>
      <c r="D10934" s="18" t="s">
        <v>172</v>
      </c>
      <c r="E10934" s="18" t="s">
        <v>48229</v>
      </c>
      <c r="F10934" s="18" t="str">
        <f>IFERROR(__XLUDF.DUMMYFUNCTION("PROPER(REGEXREPLACE(D846,""[^A-Za-z]+ "",""""))"),"Cénovia")</f>
        <v>Cénovia</v>
      </c>
      <c r="G10934" s="18" t="s">
        <v>49947</v>
      </c>
      <c r="H10934" s="18">
        <v>28</v>
      </c>
      <c r="I10934" s="18" t="s">
        <v>10167</v>
      </c>
      <c r="J10934" s="5" t="s">
        <v>49948</v>
      </c>
      <c r="K10934" s="5" t="s">
        <v>48232</v>
      </c>
      <c r="L10934" s="18" t="s">
        <v>12466</v>
      </c>
      <c r="M10934" s="18" t="s">
        <v>29</v>
      </c>
      <c r="N10934" s="18" t="s">
        <v>48233</v>
      </c>
      <c r="O10934" s="18" t="s">
        <v>29</v>
      </c>
      <c r="P10934" s="18" t="s">
        <v>48234</v>
      </c>
      <c r="Q10934" s="6"/>
      <c r="R10934" s="6"/>
      <c r="S10934" s="6"/>
      <c r="T10934" s="6"/>
      <c r="U10934" s="6"/>
    </row>
    <row r="10935" ht="14.25">
      <c r="B10935" s="18" t="s">
        <v>85</v>
      </c>
      <c r="C10935" s="18" t="s">
        <v>49949</v>
      </c>
      <c r="D10935" s="18" t="s">
        <v>49950</v>
      </c>
      <c r="E10935" s="18" t="s">
        <v>49951</v>
      </c>
      <c r="F10935" s="18" t="str">
        <f>IFERROR(__XLUDF.DUMMYFUNCTION("PROPER(REGEXREPLACE(D847,""[^A-Za-z]+ "",""""))"),"Le Plateau Circulaire")</f>
        <v xml:space="preserve">Le Plateau Circulaire</v>
      </c>
      <c r="G10935" s="18" t="s">
        <v>49952</v>
      </c>
      <c r="H10935" s="18">
        <v>5</v>
      </c>
      <c r="I10935" s="18" t="s">
        <v>9239</v>
      </c>
      <c r="J10935" s="5" t="s">
        <v>49953</v>
      </c>
      <c r="K10935" s="5" t="s">
        <v>49954</v>
      </c>
      <c r="L10935" s="18" t="s">
        <v>6954</v>
      </c>
      <c r="M10935" s="18" t="s">
        <v>29</v>
      </c>
      <c r="N10935" s="18" t="s">
        <v>49955</v>
      </c>
      <c r="O10935" s="18" t="s">
        <v>29</v>
      </c>
      <c r="P10935" s="6"/>
      <c r="Q10935" s="6"/>
      <c r="R10935" s="6"/>
      <c r="S10935" s="6"/>
      <c r="T10935" s="6"/>
      <c r="U10935" s="6"/>
    </row>
    <row r="10936" ht="14.25">
      <c r="B10936" s="18" t="s">
        <v>768</v>
      </c>
      <c r="C10936" s="18" t="s">
        <v>49956</v>
      </c>
      <c r="D10936" s="18" t="s">
        <v>172</v>
      </c>
      <c r="E10936" s="18" t="s">
        <v>49957</v>
      </c>
      <c r="F10936" s="18" t="str">
        <f>IFERROR(__XLUDF.DUMMYFUNCTION("PROPER(REGEXREPLACE(D848,""[^A-Za-z]+ "",""""))"),"Pros Etancheite")</f>
        <v xml:space="preserve">Pros Etancheite</v>
      </c>
      <c r="G10936" s="18" t="s">
        <v>49958</v>
      </c>
      <c r="H10936" s="18">
        <v>24</v>
      </c>
      <c r="I10936" s="18" t="s">
        <v>9239</v>
      </c>
      <c r="J10936" s="5" t="s">
        <v>49959</v>
      </c>
      <c r="K10936" s="5" t="s">
        <v>49960</v>
      </c>
      <c r="L10936" s="18" t="s">
        <v>39</v>
      </c>
      <c r="M10936" s="18" t="s">
        <v>29</v>
      </c>
      <c r="N10936" s="18" t="s">
        <v>49961</v>
      </c>
      <c r="O10936" s="18" t="s">
        <v>29</v>
      </c>
      <c r="P10936" s="6"/>
      <c r="Q10936" s="6"/>
      <c r="R10936" s="6"/>
      <c r="S10936" s="6"/>
      <c r="T10936" s="6"/>
      <c r="U10936" s="6"/>
    </row>
    <row r="10937" ht="14.25">
      <c r="B10937" s="18" t="s">
        <v>49962</v>
      </c>
      <c r="C10937" s="18" t="s">
        <v>8914</v>
      </c>
      <c r="D10937" s="18" t="s">
        <v>172</v>
      </c>
      <c r="E10937" s="18" t="s">
        <v>49963</v>
      </c>
      <c r="F10937" s="18" t="str">
        <f>IFERROR(__XLUDF.DUMMYFUNCTION("PROPER(REGEXREPLACE(D849,""[^A-Za-z]+ "",""""))"),"Hr Gondal")</f>
        <v xml:space="preserve">Hr Gondal</v>
      </c>
      <c r="G10937" s="18" t="s">
        <v>49964</v>
      </c>
      <c r="H10937" s="18">
        <v>4</v>
      </c>
      <c r="I10937" s="18" t="s">
        <v>9239</v>
      </c>
      <c r="J10937" s="5" t="s">
        <v>49965</v>
      </c>
      <c r="K10937" s="5" t="s">
        <v>49966</v>
      </c>
      <c r="L10937" s="18" t="s">
        <v>42254</v>
      </c>
      <c r="M10937" s="18" t="s">
        <v>29</v>
      </c>
      <c r="N10937" s="18" t="s">
        <v>49967</v>
      </c>
      <c r="O10937" s="18" t="s">
        <v>29</v>
      </c>
      <c r="P10937" s="6"/>
      <c r="Q10937" s="6"/>
      <c r="R10937" s="6"/>
      <c r="S10937" s="6"/>
      <c r="T10937" s="6"/>
      <c r="U10937" s="6"/>
    </row>
    <row r="10938" ht="14.25">
      <c r="B10938" s="18" t="s">
        <v>76</v>
      </c>
      <c r="C10938" s="18" t="s">
        <v>49968</v>
      </c>
      <c r="D10938" s="18" t="s">
        <v>172</v>
      </c>
      <c r="E10938" s="18" t="s">
        <v>49969</v>
      </c>
      <c r="F10938" s="18" t="str">
        <f>IFERROR(__XLUDF.DUMMYFUNCTION("PROPER(REGEXREPLACE(D850,""[^A-Za-z]+ "",""""))"),"Groupe Chevreul")</f>
        <v xml:space="preserve">Groupe Chevreul</v>
      </c>
      <c r="G10938" s="18" t="s">
        <v>49970</v>
      </c>
      <c r="H10938" s="18">
        <v>8</v>
      </c>
      <c r="I10938" s="18" t="s">
        <v>9239</v>
      </c>
      <c r="J10938" s="5" t="s">
        <v>49971</v>
      </c>
      <c r="K10938" s="5" t="s">
        <v>49972</v>
      </c>
      <c r="L10938" s="6"/>
      <c r="M10938" s="18" t="s">
        <v>29</v>
      </c>
      <c r="N10938" s="18" t="s">
        <v>49973</v>
      </c>
      <c r="O10938" s="18" t="s">
        <v>29</v>
      </c>
      <c r="P10938" s="18" t="s">
        <v>49974</v>
      </c>
      <c r="Q10938" s="6"/>
      <c r="R10938" s="6"/>
      <c r="S10938" s="6"/>
      <c r="T10938" s="6"/>
      <c r="U10938" s="6"/>
    </row>
    <row r="10939" ht="14.25">
      <c r="B10939" s="18" t="s">
        <v>49975</v>
      </c>
      <c r="C10939" s="18" t="s">
        <v>9288</v>
      </c>
      <c r="D10939" s="18" t="s">
        <v>172</v>
      </c>
      <c r="E10939" s="18" t="s">
        <v>49976</v>
      </c>
      <c r="F10939" s="18" t="str">
        <f>IFERROR(__XLUDF.DUMMYFUNCTION("PROPER(REGEXREPLACE(D851,""[^A-Za-z]+ "",""""))"),"Secc Ingénierie")</f>
        <v xml:space="preserve">Secc Ingénierie</v>
      </c>
      <c r="G10939" s="18" t="s">
        <v>49977</v>
      </c>
      <c r="H10939" s="18">
        <v>20</v>
      </c>
      <c r="I10939" s="18" t="s">
        <v>9239</v>
      </c>
      <c r="J10939" s="5" t="s">
        <v>49978</v>
      </c>
      <c r="K10939" s="5" t="s">
        <v>49979</v>
      </c>
      <c r="L10939" s="18" t="s">
        <v>15667</v>
      </c>
      <c r="M10939" s="18" t="s">
        <v>29</v>
      </c>
      <c r="N10939" s="18" t="s">
        <v>49980</v>
      </c>
      <c r="O10939" s="18" t="s">
        <v>29</v>
      </c>
      <c r="P10939" s="18" t="s">
        <v>49981</v>
      </c>
      <c r="Q10939" s="6"/>
      <c r="R10939" s="6"/>
      <c r="S10939" s="6"/>
      <c r="T10939" s="6"/>
      <c r="U10939" s="6"/>
    </row>
    <row r="10940" ht="14.25">
      <c r="B10940" s="18" t="s">
        <v>31944</v>
      </c>
      <c r="C10940" s="18" t="s">
        <v>31945</v>
      </c>
      <c r="D10940" s="18" t="s">
        <v>31946</v>
      </c>
      <c r="E10940" s="18" t="s">
        <v>31947</v>
      </c>
      <c r="F10940" s="18" t="str">
        <f>IFERROR(__XLUDF.DUMMYFUNCTION("PROPER(REGEXREPLACE(D852,""[^A-Za-z]+ "",""""))"),"Buildrz")</f>
        <v>Buildrz</v>
      </c>
      <c r="G10940" s="18" t="s">
        <v>31948</v>
      </c>
      <c r="H10940" s="18">
        <v>20</v>
      </c>
      <c r="I10940" s="18" t="s">
        <v>4293</v>
      </c>
      <c r="J10940" s="5" t="s">
        <v>31949</v>
      </c>
      <c r="K10940" s="5" t="s">
        <v>31950</v>
      </c>
      <c r="L10940" s="18" t="s">
        <v>39</v>
      </c>
      <c r="M10940" s="18" t="s">
        <v>29</v>
      </c>
      <c r="N10940" s="18" t="s">
        <v>31951</v>
      </c>
      <c r="O10940" s="18" t="s">
        <v>29</v>
      </c>
      <c r="P10940" s="18" t="s">
        <v>31952</v>
      </c>
      <c r="Q10940" s="6"/>
      <c r="R10940" s="6"/>
      <c r="S10940" s="6"/>
      <c r="T10940" s="6"/>
      <c r="U10940" s="6"/>
    </row>
    <row r="10941" ht="14.25">
      <c r="B10941" s="18" t="s">
        <v>2419</v>
      </c>
      <c r="C10941" s="18" t="s">
        <v>49982</v>
      </c>
      <c r="D10941" s="18" t="s">
        <v>172</v>
      </c>
      <c r="E10941" s="18" t="s">
        <v>49983</v>
      </c>
      <c r="F10941" s="18" t="str">
        <f>IFERROR(__XLUDF.DUMMYFUNCTION("PROPER(REGEXREPLACE(D853,""[^A-Za-z]+ "",""""))"),"Norba")</f>
        <v>Norba</v>
      </c>
      <c r="G10941" s="18" t="s">
        <v>49984</v>
      </c>
      <c r="H10941" s="18">
        <v>40</v>
      </c>
      <c r="I10941" s="18" t="s">
        <v>9239</v>
      </c>
      <c r="J10941" s="5" t="s">
        <v>49985</v>
      </c>
      <c r="K10941" s="5" t="s">
        <v>49986</v>
      </c>
      <c r="L10941" s="18" t="s">
        <v>1507</v>
      </c>
      <c r="M10941" s="18" t="s">
        <v>29</v>
      </c>
      <c r="N10941" s="18" t="s">
        <v>49987</v>
      </c>
      <c r="O10941" s="18" t="s">
        <v>1938</v>
      </c>
      <c r="P10941" s="6"/>
      <c r="Q10941" s="6"/>
      <c r="R10941" s="6"/>
      <c r="S10941" s="6"/>
      <c r="T10941" s="6"/>
      <c r="U10941" s="6"/>
    </row>
    <row r="10942" ht="14.25">
      <c r="B10942" s="18" t="s">
        <v>6390</v>
      </c>
      <c r="C10942" s="18" t="s">
        <v>17384</v>
      </c>
      <c r="D10942" s="18" t="s">
        <v>172</v>
      </c>
      <c r="E10942" s="18" t="s">
        <v>49988</v>
      </c>
      <c r="F10942" s="18" t="str">
        <f>IFERROR(__XLUDF.DUMMYFUNCTION("PROPER(REGEXREPLACE(D854,""[^A-Za-z]+ "",""""))"),"Grand Construction")</f>
        <v xml:space="preserve">Grand Construction</v>
      </c>
      <c r="G10942" s="18" t="s">
        <v>49989</v>
      </c>
      <c r="H10942" s="18">
        <v>2</v>
      </c>
      <c r="I10942" s="18" t="s">
        <v>9239</v>
      </c>
      <c r="J10942" s="5" t="s">
        <v>49990</v>
      </c>
      <c r="K10942" s="5" t="s">
        <v>49991</v>
      </c>
      <c r="L10942" s="18" t="s">
        <v>83</v>
      </c>
      <c r="M10942" s="18" t="s">
        <v>29</v>
      </c>
      <c r="N10942" s="18" t="s">
        <v>49992</v>
      </c>
      <c r="O10942" s="18" t="s">
        <v>29</v>
      </c>
      <c r="P10942" s="18" t="s">
        <v>49993</v>
      </c>
      <c r="Q10942" s="6"/>
      <c r="R10942" s="6"/>
      <c r="S10942" s="6"/>
      <c r="T10942" s="6"/>
      <c r="U10942" s="6"/>
    </row>
    <row r="10943" ht="14.25">
      <c r="B10943" s="18" t="s">
        <v>49994</v>
      </c>
      <c r="C10943" s="18" t="s">
        <v>49273</v>
      </c>
      <c r="D10943" s="18" t="s">
        <v>49995</v>
      </c>
      <c r="E10943" s="18" t="s">
        <v>49907</v>
      </c>
      <c r="F10943" s="18" t="str">
        <f>IFERROR(__XLUDF.DUMMYFUNCTION("PROPER(REGEXREPLACE(D855,""[^A-Za-z]+ "",""""))"),"Fmipro")</f>
        <v>Fmipro</v>
      </c>
      <c r="G10943" s="18" t="s">
        <v>49996</v>
      </c>
      <c r="H10943" s="18">
        <v>5</v>
      </c>
      <c r="I10943" s="18" t="s">
        <v>9239</v>
      </c>
      <c r="J10943" s="5" t="s">
        <v>49997</v>
      </c>
      <c r="K10943" s="5" t="s">
        <v>49910</v>
      </c>
      <c r="L10943" s="18" t="s">
        <v>39</v>
      </c>
      <c r="M10943" s="18" t="s">
        <v>29</v>
      </c>
      <c r="N10943" s="18" t="s">
        <v>49911</v>
      </c>
      <c r="O10943" s="18" t="s">
        <v>29</v>
      </c>
      <c r="P10943" s="18" t="s">
        <v>49912</v>
      </c>
      <c r="Q10943" s="6"/>
      <c r="R10943" s="6"/>
      <c r="S10943" s="6"/>
      <c r="T10943" s="6"/>
      <c r="U10943" s="6"/>
    </row>
    <row r="10944" ht="14.25">
      <c r="B10944" s="18" t="s">
        <v>571</v>
      </c>
      <c r="C10944" s="18" t="s">
        <v>49998</v>
      </c>
      <c r="D10944" s="18" t="s">
        <v>49999</v>
      </c>
      <c r="E10944" s="18" t="s">
        <v>50000</v>
      </c>
      <c r="F10944" s="18" t="str">
        <f>IFERROR(__XLUDF.DUMMYFUNCTION("PROPER(REGEXREPLACE(D856,""[^A-Za-z]+ "",""""))"),"Bridault Solutions")</f>
        <v xml:space="preserve">Bridault Solutions</v>
      </c>
      <c r="G10944" s="18" t="s">
        <v>50001</v>
      </c>
      <c r="H10944" s="18">
        <v>12</v>
      </c>
      <c r="I10944" s="18" t="s">
        <v>9239</v>
      </c>
      <c r="J10944" s="5" t="s">
        <v>50002</v>
      </c>
      <c r="K10944" s="5" t="s">
        <v>50003</v>
      </c>
      <c r="L10944" s="18" t="s">
        <v>846</v>
      </c>
      <c r="M10944" s="18" t="s">
        <v>29</v>
      </c>
      <c r="N10944" s="18" t="s">
        <v>50004</v>
      </c>
      <c r="O10944" s="18" t="s">
        <v>29</v>
      </c>
      <c r="P10944" s="6"/>
      <c r="Q10944" s="6"/>
      <c r="R10944" s="6"/>
      <c r="S10944" s="6"/>
      <c r="T10944" s="6"/>
      <c r="U10944" s="6"/>
    </row>
    <row r="10945" ht="14.25">
      <c r="B10945" s="18" t="s">
        <v>1215</v>
      </c>
      <c r="C10945" s="18" t="s">
        <v>26744</v>
      </c>
      <c r="D10945" s="18" t="s">
        <v>31208</v>
      </c>
      <c r="E10945" s="18" t="s">
        <v>47303</v>
      </c>
      <c r="F10945" s="18" t="str">
        <f>IFERROR(__XLUDF.DUMMYFUNCTION("PROPER(REGEXREPLACE(D857,""[^A-Za-z]+ "",""""))"),"Sc Floriot")</f>
        <v xml:space="preserve">Sc Floriot</v>
      </c>
      <c r="G10945" s="18" t="s">
        <v>50005</v>
      </c>
      <c r="H10945" s="18">
        <v>46</v>
      </c>
      <c r="I10945" s="18" t="s">
        <v>9239</v>
      </c>
      <c r="J10945" s="5" t="s">
        <v>50006</v>
      </c>
      <c r="K10945" s="5" t="s">
        <v>47306</v>
      </c>
      <c r="L10945" s="18" t="s">
        <v>185</v>
      </c>
      <c r="M10945" s="18" t="s">
        <v>29</v>
      </c>
      <c r="N10945" s="18" t="s">
        <v>47130</v>
      </c>
      <c r="O10945" s="18" t="s">
        <v>29</v>
      </c>
      <c r="P10945" s="18" t="s">
        <v>47307</v>
      </c>
      <c r="Q10945" s="6"/>
      <c r="R10945" s="6"/>
      <c r="S10945" s="6"/>
      <c r="T10945" s="6"/>
      <c r="U10945" s="6"/>
    </row>
    <row r="10946" ht="14.25">
      <c r="B10946" s="18" t="s">
        <v>3164</v>
      </c>
      <c r="C10946" s="18" t="s">
        <v>50007</v>
      </c>
      <c r="D10946" s="18" t="s">
        <v>172</v>
      </c>
      <c r="E10946" s="18" t="s">
        <v>50008</v>
      </c>
      <c r="F10946" s="18" t="str">
        <f>IFERROR(__XLUDF.DUMMYFUNCTION("PROPER(REGEXREPLACE(D858,""[^A-Za-z]+ "",""""))"),"Antomatic")</f>
        <v>Antomatic</v>
      </c>
      <c r="G10946" s="18" t="s">
        <v>50009</v>
      </c>
      <c r="H10946" s="6"/>
      <c r="I10946" s="6"/>
      <c r="J10946" s="5" t="s">
        <v>50010</v>
      </c>
      <c r="K10946" s="5" t="s">
        <v>50011</v>
      </c>
      <c r="L10946" s="18" t="s">
        <v>13294</v>
      </c>
      <c r="M10946" s="18" t="s">
        <v>29</v>
      </c>
      <c r="N10946" s="18" t="s">
        <v>50012</v>
      </c>
      <c r="O10946" s="18" t="s">
        <v>29</v>
      </c>
      <c r="P10946" s="6"/>
      <c r="Q10946" s="6"/>
      <c r="R10946" s="6"/>
      <c r="S10946" s="6"/>
      <c r="T10946" s="6"/>
      <c r="U10946" s="6"/>
    </row>
    <row r="10947" ht="14.25">
      <c r="B10947" s="18" t="s">
        <v>118</v>
      </c>
      <c r="C10947" s="6"/>
      <c r="D10947" s="18" t="s">
        <v>20235</v>
      </c>
      <c r="E10947" s="18" t="s">
        <v>50013</v>
      </c>
      <c r="F10947" s="18" t="str">
        <f>IFERROR(__XLUDF.DUMMYFUNCTION("PROPER(REGEXREPLACE(D859,""[^A-Za-z]+ "",""""))"),"Emmac")</f>
        <v>Emmac</v>
      </c>
      <c r="G10947" s="18" t="s">
        <v>50014</v>
      </c>
      <c r="H10947" s="18">
        <v>11</v>
      </c>
      <c r="I10947" s="18" t="s">
        <v>9239</v>
      </c>
      <c r="J10947" s="5" t="s">
        <v>50015</v>
      </c>
      <c r="K10947" s="5" t="s">
        <v>50016</v>
      </c>
      <c r="L10947" s="18" t="s">
        <v>39</v>
      </c>
      <c r="M10947" s="18" t="s">
        <v>29</v>
      </c>
      <c r="N10947" s="18" t="s">
        <v>50017</v>
      </c>
      <c r="O10947" s="18" t="s">
        <v>29</v>
      </c>
      <c r="P10947" s="18" t="s">
        <v>50018</v>
      </c>
      <c r="Q10947" s="6"/>
      <c r="R10947" s="6"/>
      <c r="S10947" s="6"/>
      <c r="T10947" s="6"/>
      <c r="U10947" s="6"/>
    </row>
    <row r="10948" ht="14.25">
      <c r="B10948" s="18" t="s">
        <v>245</v>
      </c>
      <c r="C10948" s="18" t="s">
        <v>19154</v>
      </c>
      <c r="D10948" s="18" t="s">
        <v>50019</v>
      </c>
      <c r="E10948" s="18" t="s">
        <v>50020</v>
      </c>
      <c r="F10948" s="18" t="str">
        <f>IFERROR(__XLUDF.DUMMYFUNCTION("PROPER(REGEXREPLACE(D860,""[^A-Za-z]+ "",""""))"),"3Cs")</f>
        <v>3Cs</v>
      </c>
      <c r="G10948" s="18" t="s">
        <v>50021</v>
      </c>
      <c r="H10948" s="18">
        <v>13</v>
      </c>
      <c r="I10948" s="18" t="s">
        <v>9239</v>
      </c>
      <c r="J10948" s="5" t="s">
        <v>50022</v>
      </c>
      <c r="K10948" s="5" t="s">
        <v>50023</v>
      </c>
      <c r="L10948" s="6"/>
      <c r="M10948" s="18" t="s">
        <v>29</v>
      </c>
      <c r="N10948" s="18" t="s">
        <v>42956</v>
      </c>
      <c r="O10948" s="18" t="s">
        <v>29</v>
      </c>
      <c r="P10948" s="6"/>
      <c r="Q10948" s="6"/>
      <c r="R10948" s="6"/>
      <c r="S10948" s="6"/>
      <c r="T10948" s="6"/>
      <c r="U10948" s="6"/>
    </row>
    <row r="10949" ht="14.25">
      <c r="B10949" s="18" t="s">
        <v>3752</v>
      </c>
      <c r="C10949" s="18" t="s">
        <v>27361</v>
      </c>
      <c r="D10949" s="18" t="s">
        <v>50024</v>
      </c>
      <c r="E10949" s="18" t="s">
        <v>9235</v>
      </c>
      <c r="F10949" s="18" t="str">
        <f>IFERROR(__XLUDF.DUMMYFUNCTION("PROPER(REGEXREPLACE(D861,""[^A-Za-z]+ "",""""))"),"Bcm")</f>
        <v>Bcm</v>
      </c>
      <c r="G10949" s="18" t="s">
        <v>50025</v>
      </c>
      <c r="H10949" s="18">
        <v>25</v>
      </c>
      <c r="I10949" s="18" t="s">
        <v>9239</v>
      </c>
      <c r="J10949" s="5" t="s">
        <v>50026</v>
      </c>
      <c r="K10949" s="5" t="s">
        <v>50027</v>
      </c>
      <c r="L10949" s="18" t="s">
        <v>9237</v>
      </c>
      <c r="M10949" s="18" t="s">
        <v>29</v>
      </c>
      <c r="N10949" s="18" t="s">
        <v>50028</v>
      </c>
      <c r="O10949" s="18" t="s">
        <v>29</v>
      </c>
      <c r="P10949" s="18" t="s">
        <v>9243</v>
      </c>
      <c r="Q10949" s="6"/>
      <c r="R10949" s="6"/>
      <c r="S10949" s="6"/>
      <c r="T10949" s="6"/>
      <c r="U10949" s="6"/>
    </row>
    <row r="10950" ht="14.25">
      <c r="B10950" s="18" t="s">
        <v>20</v>
      </c>
      <c r="C10950" s="18" t="s">
        <v>50029</v>
      </c>
      <c r="D10950" s="18" t="s">
        <v>50030</v>
      </c>
      <c r="E10950" s="18" t="s">
        <v>50031</v>
      </c>
      <c r="F10950" s="18" t="str">
        <f>IFERROR(__XLUDF.DUMMYFUNCTION("PROPER(REGEXREPLACE(D862,""[^A-Za-z]+ "",""""))"),"Rougenoir Agencement")</f>
        <v xml:space="preserve">Rougenoir Agencement</v>
      </c>
      <c r="G10950" s="18" t="s">
        <v>50032</v>
      </c>
      <c r="H10950" s="18">
        <v>6</v>
      </c>
      <c r="I10950" s="18" t="s">
        <v>9239</v>
      </c>
      <c r="J10950" s="5" t="s">
        <v>50033</v>
      </c>
      <c r="K10950" s="5" t="s">
        <v>50034</v>
      </c>
      <c r="L10950" s="18" t="s">
        <v>831</v>
      </c>
      <c r="M10950" s="18" t="s">
        <v>29</v>
      </c>
      <c r="N10950" s="18" t="s">
        <v>50035</v>
      </c>
      <c r="O10950" s="18" t="s">
        <v>29</v>
      </c>
      <c r="P10950" s="18" t="s">
        <v>50036</v>
      </c>
      <c r="Q10950" s="6"/>
      <c r="R10950" s="6"/>
      <c r="S10950" s="6"/>
      <c r="T10950" s="6"/>
      <c r="U10950" s="6"/>
    </row>
    <row r="10951" ht="14.25">
      <c r="B10951" s="18" t="s">
        <v>2419</v>
      </c>
      <c r="C10951" s="18" t="s">
        <v>279</v>
      </c>
      <c r="D10951" s="18" t="s">
        <v>112</v>
      </c>
      <c r="E10951" s="18" t="s">
        <v>50037</v>
      </c>
      <c r="F10951" s="18" t="str">
        <f>IFERROR(__XLUDF.DUMMYFUNCTION("PROPER(REGEXREPLACE(D863,""[^A-Za-z]+ "",""""))"),"Ad2L")</f>
        <v>Ad2L</v>
      </c>
      <c r="G10951" s="18" t="s">
        <v>50038</v>
      </c>
      <c r="H10951" s="18">
        <v>20</v>
      </c>
      <c r="I10951" s="18" t="s">
        <v>9239</v>
      </c>
      <c r="J10951" s="5" t="s">
        <v>50039</v>
      </c>
      <c r="K10951" s="5" t="s">
        <v>50040</v>
      </c>
      <c r="L10951" s="18" t="s">
        <v>3898</v>
      </c>
      <c r="M10951" s="18" t="s">
        <v>29</v>
      </c>
      <c r="N10951" s="18" t="s">
        <v>50041</v>
      </c>
      <c r="O10951" s="18" t="s">
        <v>29</v>
      </c>
      <c r="P10951" s="18" t="s">
        <v>50042</v>
      </c>
      <c r="Q10951" s="6"/>
      <c r="R10951" s="6"/>
      <c r="S10951" s="6"/>
      <c r="T10951" s="6"/>
      <c r="U10951" s="6"/>
    </row>
    <row r="10952" ht="14.25">
      <c r="B10952" s="18" t="s">
        <v>76</v>
      </c>
      <c r="C10952" s="18" t="s">
        <v>29241</v>
      </c>
      <c r="D10952" s="18" t="s">
        <v>112</v>
      </c>
      <c r="E10952" s="18" t="s">
        <v>50043</v>
      </c>
      <c r="F10952" s="18" t="str">
        <f>IFERROR(__XLUDF.DUMMYFUNCTION("PROPER(REGEXREPLACE(D864,""[^A-Za-z]+ "",""""))"),"Valtinee")</f>
        <v>Valtinee</v>
      </c>
      <c r="G10952" s="18" t="s">
        <v>50044</v>
      </c>
      <c r="H10952" s="18">
        <v>16</v>
      </c>
      <c r="I10952" s="18" t="s">
        <v>9239</v>
      </c>
      <c r="J10952" s="5" t="s">
        <v>50045</v>
      </c>
      <c r="K10952" s="5" t="s">
        <v>50046</v>
      </c>
      <c r="L10952" s="18" t="s">
        <v>49</v>
      </c>
      <c r="M10952" s="18" t="s">
        <v>29</v>
      </c>
      <c r="N10952" s="18" t="s">
        <v>50047</v>
      </c>
      <c r="O10952" s="18" t="s">
        <v>29</v>
      </c>
      <c r="P10952" s="18" t="s">
        <v>50048</v>
      </c>
      <c r="Q10952" s="6"/>
      <c r="R10952" s="6"/>
      <c r="S10952" s="6"/>
      <c r="T10952" s="6"/>
      <c r="U10952" s="6"/>
    </row>
    <row r="10953" ht="14.25">
      <c r="B10953" s="18" t="s">
        <v>32341</v>
      </c>
      <c r="C10953" s="18" t="s">
        <v>1070</v>
      </c>
      <c r="D10953" s="18" t="s">
        <v>1130</v>
      </c>
      <c r="E10953" s="18" t="s">
        <v>50049</v>
      </c>
      <c r="F10953" s="18" t="str">
        <f>IFERROR(__XLUDF.DUMMYFUNCTION("PROPER(REGEXREPLACE(D865,""[^A-Za-z]+ "",""""))"),"Azelec")</f>
        <v>Azelec</v>
      </c>
      <c r="G10953" s="18" t="s">
        <v>50050</v>
      </c>
      <c r="H10953" s="18">
        <v>25</v>
      </c>
      <c r="I10953" s="18" t="s">
        <v>9239</v>
      </c>
      <c r="J10953" s="5" t="s">
        <v>50051</v>
      </c>
      <c r="K10953" s="5" t="s">
        <v>50052</v>
      </c>
      <c r="L10953" s="6"/>
      <c r="M10953" s="18" t="s">
        <v>29</v>
      </c>
      <c r="N10953" s="18" t="s">
        <v>50053</v>
      </c>
      <c r="O10953" s="18" t="s">
        <v>2953</v>
      </c>
      <c r="P10953" s="18" t="s">
        <v>50054</v>
      </c>
      <c r="Q10953" s="6"/>
      <c r="R10953" s="6"/>
      <c r="S10953" s="6"/>
      <c r="T10953" s="6"/>
      <c r="U10953" s="6"/>
    </row>
    <row r="10954" ht="14.25">
      <c r="B10954" s="18" t="s">
        <v>1583</v>
      </c>
      <c r="C10954" s="18" t="s">
        <v>17677</v>
      </c>
      <c r="D10954" s="18" t="s">
        <v>50055</v>
      </c>
      <c r="E10954" s="18" t="s">
        <v>50056</v>
      </c>
      <c r="F10954" s="18" t="str">
        <f>IFERROR(__XLUDF.DUMMYFUNCTION("PROPER(REGEXREPLACE(D866,""[^A-Za-z]+ "",""""))"),"Beam³")</f>
        <v>Beam³</v>
      </c>
      <c r="G10954" s="18" t="s">
        <v>50057</v>
      </c>
      <c r="H10954" s="18">
        <v>19</v>
      </c>
      <c r="I10954" s="18" t="s">
        <v>9239</v>
      </c>
      <c r="J10954" s="5" t="s">
        <v>50058</v>
      </c>
      <c r="K10954" s="5" t="s">
        <v>50059</v>
      </c>
      <c r="L10954" s="18" t="s">
        <v>731</v>
      </c>
      <c r="M10954" s="18" t="s">
        <v>29</v>
      </c>
      <c r="N10954" s="18" t="s">
        <v>28777</v>
      </c>
      <c r="O10954" s="18" t="s">
        <v>29</v>
      </c>
      <c r="P10954" s="6"/>
      <c r="Q10954" s="6"/>
      <c r="R10954" s="6"/>
      <c r="S10954" s="6"/>
      <c r="T10954" s="6"/>
      <c r="U10954" s="6"/>
    </row>
    <row r="10955" ht="14.25">
      <c r="B10955" s="18" t="s">
        <v>2419</v>
      </c>
      <c r="C10955" s="18" t="s">
        <v>50060</v>
      </c>
      <c r="D10955" s="18" t="s">
        <v>1130</v>
      </c>
      <c r="E10955" s="18" t="s">
        <v>50061</v>
      </c>
      <c r="F10955" s="18" t="str">
        <f>IFERROR(__XLUDF.DUMMYFUNCTION("PROPER(REGEXREPLACE(D867,""[^A-Za-z]+ "",""""))"),"Nobâ")</f>
        <v>Nobâ</v>
      </c>
      <c r="G10955" s="18" t="s">
        <v>50062</v>
      </c>
      <c r="H10955" s="18">
        <v>30</v>
      </c>
      <c r="I10955" s="18" t="s">
        <v>9239</v>
      </c>
      <c r="J10955" s="5" t="s">
        <v>50063</v>
      </c>
      <c r="K10955" s="5" t="s">
        <v>50064</v>
      </c>
      <c r="L10955" s="18" t="s">
        <v>20178</v>
      </c>
      <c r="M10955" s="18" t="s">
        <v>29</v>
      </c>
      <c r="N10955" s="18" t="s">
        <v>50065</v>
      </c>
      <c r="O10955" s="18" t="s">
        <v>29</v>
      </c>
      <c r="P10955" s="18" t="s">
        <v>50066</v>
      </c>
      <c r="Q10955" s="6"/>
      <c r="R10955" s="6"/>
      <c r="S10955" s="6"/>
      <c r="T10955" s="6"/>
      <c r="U10955" s="6"/>
    </row>
    <row r="10956" ht="14.25">
      <c r="B10956" s="18" t="s">
        <v>4026</v>
      </c>
      <c r="C10956" s="18" t="s">
        <v>50067</v>
      </c>
      <c r="D10956" s="18" t="s">
        <v>468</v>
      </c>
      <c r="E10956" s="18" t="s">
        <v>50068</v>
      </c>
      <c r="F10956" s="18" t="str">
        <f>IFERROR(__XLUDF.DUMMYFUNCTION("PROPER(REGEXREPLACE(D868,""[^A-Za-z]+ "",""""))"),"Orvéa")</f>
        <v>Orvéa</v>
      </c>
      <c r="G10956" s="18" t="s">
        <v>50069</v>
      </c>
      <c r="H10956" s="18">
        <v>23</v>
      </c>
      <c r="I10956" s="18" t="s">
        <v>9239</v>
      </c>
      <c r="J10956" s="5" t="s">
        <v>50070</v>
      </c>
      <c r="K10956" s="5" t="s">
        <v>50071</v>
      </c>
      <c r="L10956" s="6"/>
      <c r="M10956" s="18" t="s">
        <v>29</v>
      </c>
      <c r="N10956" s="18" t="s">
        <v>50072</v>
      </c>
      <c r="O10956" s="18" t="s">
        <v>29</v>
      </c>
      <c r="P10956" s="18" t="s">
        <v>50073</v>
      </c>
      <c r="Q10956" s="6"/>
      <c r="R10956" s="6"/>
      <c r="S10956" s="6"/>
      <c r="T10956" s="6"/>
      <c r="U10956" s="6"/>
    </row>
    <row r="10957" ht="14.25">
      <c r="B10957" s="18" t="s">
        <v>670</v>
      </c>
      <c r="C10957" s="18" t="s">
        <v>4132</v>
      </c>
      <c r="D10957" s="18" t="s">
        <v>28315</v>
      </c>
      <c r="E10957" s="18" t="s">
        <v>47685</v>
      </c>
      <c r="F10957" s="18" t="str">
        <f>IFERROR(__XLUDF.DUMMYFUNCTION("PROPER(REGEXREPLACE(D869,""[^A-Za-z]+ "",""""))"),"Sharemat")</f>
        <v>Sharemat</v>
      </c>
      <c r="G10957" s="18" t="s">
        <v>50074</v>
      </c>
      <c r="H10957" s="18">
        <v>11</v>
      </c>
      <c r="I10957" s="18" t="s">
        <v>9239</v>
      </c>
      <c r="J10957" s="5" t="s">
        <v>50075</v>
      </c>
      <c r="K10957" s="5" t="s">
        <v>47688</v>
      </c>
      <c r="L10957" s="18" t="s">
        <v>1711</v>
      </c>
      <c r="M10957" s="18" t="s">
        <v>29</v>
      </c>
      <c r="N10957" s="18" t="s">
        <v>26882</v>
      </c>
      <c r="O10957" s="18" t="s">
        <v>29</v>
      </c>
      <c r="P10957" s="18" t="s">
        <v>47689</v>
      </c>
      <c r="Q10957" s="6"/>
      <c r="R10957" s="6"/>
      <c r="S10957" s="6"/>
      <c r="T10957" s="6"/>
      <c r="U10957" s="6"/>
    </row>
    <row r="10958" ht="14.25">
      <c r="B10958" s="18" t="s">
        <v>485</v>
      </c>
      <c r="C10958" s="18" t="s">
        <v>1572</v>
      </c>
      <c r="D10958" s="18" t="s">
        <v>112</v>
      </c>
      <c r="E10958" s="18" t="s">
        <v>50076</v>
      </c>
      <c r="F10958" s="18" t="str">
        <f>IFERROR(__XLUDF.DUMMYFUNCTION("PROPER(REGEXREPLACE(D870,""[^A-Za-z]+ "",""""))"),"French Proptech")</f>
        <v xml:space="preserve">French Proptech</v>
      </c>
      <c r="G10958" s="18" t="s">
        <v>50077</v>
      </c>
      <c r="H10958" s="18">
        <v>30</v>
      </c>
      <c r="I10958" s="18" t="s">
        <v>4293</v>
      </c>
      <c r="J10958" s="5" t="s">
        <v>50078</v>
      </c>
      <c r="K10958" s="5" t="s">
        <v>50079</v>
      </c>
      <c r="L10958" s="18" t="s">
        <v>1711</v>
      </c>
      <c r="M10958" s="18" t="s">
        <v>29</v>
      </c>
      <c r="N10958" s="18" t="s">
        <v>1712</v>
      </c>
      <c r="O10958" s="18" t="s">
        <v>29</v>
      </c>
      <c r="P10958" s="18" t="s">
        <v>50080</v>
      </c>
      <c r="Q10958" s="6"/>
      <c r="R10958" s="6"/>
      <c r="S10958" s="6"/>
      <c r="T10958" s="6"/>
      <c r="U10958" s="6"/>
    </row>
    <row r="10959" ht="14.25">
      <c r="B10959" s="18" t="s">
        <v>76</v>
      </c>
      <c r="C10959" s="18" t="s">
        <v>6147</v>
      </c>
      <c r="D10959" s="18" t="s">
        <v>172</v>
      </c>
      <c r="E10959" s="18" t="s">
        <v>50081</v>
      </c>
      <c r="F10959" s="18" t="str">
        <f>IFERROR(__XLUDF.DUMMYFUNCTION("PROPER(REGEXREPLACE(D871,""[^A-Za-z]+ "",""""))"),"Hernandez Decors")</f>
        <v xml:space="preserve">Hernandez Decors</v>
      </c>
      <c r="G10959" s="18" t="s">
        <v>50082</v>
      </c>
      <c r="H10959" s="18">
        <v>3</v>
      </c>
      <c r="I10959" s="18" t="s">
        <v>9239</v>
      </c>
      <c r="J10959" s="5" t="s">
        <v>50083</v>
      </c>
      <c r="K10959" s="5" t="s">
        <v>50084</v>
      </c>
      <c r="L10959" s="18" t="s">
        <v>50085</v>
      </c>
      <c r="M10959" s="18" t="s">
        <v>29</v>
      </c>
      <c r="N10959" s="18" t="s">
        <v>50086</v>
      </c>
      <c r="O10959" s="18" t="s">
        <v>29</v>
      </c>
      <c r="P10959" s="6"/>
      <c r="Q10959" s="6"/>
      <c r="R10959" s="6"/>
      <c r="S10959" s="6"/>
      <c r="T10959" s="6"/>
      <c r="U10959" s="6"/>
    </row>
    <row r="10960" ht="14.25">
      <c r="B10960" s="18" t="s">
        <v>5579</v>
      </c>
      <c r="C10960" s="18" t="s">
        <v>50087</v>
      </c>
      <c r="D10960" s="18" t="s">
        <v>112</v>
      </c>
      <c r="E10960" s="18" t="s">
        <v>50088</v>
      </c>
      <c r="F10960" s="18" t="str">
        <f>IFERROR(__XLUDF.DUMMYFUNCTION("PROPER(REGEXREPLACE(D872,""[^A-Za-z]+ "",""""))"),"Leroux Formesplans")</f>
        <v xml:space="preserve">Leroux Formesplans</v>
      </c>
      <c r="G10960" s="18" t="s">
        <v>50089</v>
      </c>
      <c r="H10960" s="18">
        <v>11</v>
      </c>
      <c r="I10960" s="18" t="s">
        <v>9239</v>
      </c>
      <c r="J10960" s="5" t="s">
        <v>50090</v>
      </c>
      <c r="K10960" s="5" t="s">
        <v>50091</v>
      </c>
      <c r="L10960" s="18" t="s">
        <v>13441</v>
      </c>
      <c r="M10960" s="18" t="s">
        <v>29</v>
      </c>
      <c r="N10960" s="18" t="s">
        <v>50092</v>
      </c>
      <c r="O10960" s="18" t="s">
        <v>29</v>
      </c>
      <c r="P10960" s="18" t="s">
        <v>50093</v>
      </c>
      <c r="Q10960" s="6"/>
      <c r="R10960" s="6"/>
      <c r="S10960" s="6"/>
      <c r="T10960" s="6"/>
      <c r="U10960" s="6"/>
    </row>
    <row r="10961" ht="14.25">
      <c r="B10961" s="18" t="s">
        <v>255</v>
      </c>
      <c r="C10961" s="18" t="s">
        <v>50094</v>
      </c>
      <c r="D10961" s="18" t="s">
        <v>112</v>
      </c>
      <c r="E10961" s="18" t="s">
        <v>50095</v>
      </c>
      <c r="F10961" s="18" t="str">
        <f>IFERROR(__XLUDF.DUMMYFUNCTION("PROPER(REGEXREPLACE(D873,""[^A-Za-z]+ "",""""))"),"Ad Validem")</f>
        <v xml:space="preserve">Ad Validem</v>
      </c>
      <c r="G10961" s="18" t="s">
        <v>50096</v>
      </c>
      <c r="H10961" s="18">
        <v>18</v>
      </c>
      <c r="I10961" s="18" t="s">
        <v>9239</v>
      </c>
      <c r="J10961" s="5" t="s">
        <v>50097</v>
      </c>
      <c r="K10961" s="5" t="s">
        <v>50098</v>
      </c>
      <c r="L10961" s="18" t="s">
        <v>185</v>
      </c>
      <c r="M10961" s="18" t="s">
        <v>29</v>
      </c>
      <c r="N10961" s="18" t="s">
        <v>50099</v>
      </c>
      <c r="O10961" s="18" t="s">
        <v>29</v>
      </c>
      <c r="P10961" s="18" t="s">
        <v>50100</v>
      </c>
      <c r="Q10961" s="6"/>
      <c r="R10961" s="6"/>
      <c r="S10961" s="6"/>
      <c r="T10961" s="6"/>
      <c r="U10961" s="6"/>
    </row>
    <row r="10962" ht="14.25">
      <c r="B10962" s="18" t="s">
        <v>6945</v>
      </c>
      <c r="C10962" s="18" t="s">
        <v>4154</v>
      </c>
      <c r="D10962" s="18" t="s">
        <v>112</v>
      </c>
      <c r="E10962" s="18" t="s">
        <v>48668</v>
      </c>
      <c r="F10962" s="18" t="str">
        <f>IFERROR(__XLUDF.DUMMYFUNCTION("PROPER(REGEXREPLACE(D874,""[^A-Za-z]+ "",""""))"),"Gauthier Sas")</f>
        <v xml:space="preserve">Gauthier Sas</v>
      </c>
      <c r="G10962" s="18" t="s">
        <v>50101</v>
      </c>
      <c r="H10962" s="18">
        <v>38</v>
      </c>
      <c r="I10962" s="18" t="s">
        <v>9239</v>
      </c>
      <c r="J10962" s="5" t="s">
        <v>50102</v>
      </c>
      <c r="K10962" s="5" t="s">
        <v>48671</v>
      </c>
      <c r="L10962" s="6"/>
      <c r="M10962" s="18" t="s">
        <v>29</v>
      </c>
      <c r="N10962" s="18" t="s">
        <v>6265</v>
      </c>
      <c r="O10962" s="18" t="s">
        <v>29</v>
      </c>
      <c r="P10962" s="6"/>
      <c r="Q10962" s="6"/>
      <c r="R10962" s="6"/>
      <c r="S10962" s="6"/>
      <c r="T10962" s="6"/>
      <c r="U10962" s="6"/>
    </row>
    <row r="10963" ht="14.25">
      <c r="B10963" s="18" t="s">
        <v>3072</v>
      </c>
      <c r="C10963" s="18" t="s">
        <v>50103</v>
      </c>
      <c r="D10963" s="18" t="s">
        <v>87</v>
      </c>
      <c r="E10963" s="18" t="s">
        <v>50104</v>
      </c>
      <c r="F10963" s="18" t="str">
        <f>IFERROR(__XLUDF.DUMMYFUNCTION("PROPER(REGEXREPLACE(D875,""[^A-Za-z]+ "",""""))"),"Skaping")</f>
        <v>Skaping</v>
      </c>
      <c r="G10963" s="18" t="s">
        <v>50105</v>
      </c>
      <c r="H10963" s="18">
        <v>17</v>
      </c>
      <c r="I10963" s="18" t="s">
        <v>9239</v>
      </c>
      <c r="J10963" s="5" t="s">
        <v>50106</v>
      </c>
      <c r="K10963" s="5" t="s">
        <v>50107</v>
      </c>
      <c r="L10963" s="18" t="s">
        <v>1507</v>
      </c>
      <c r="M10963" s="18" t="s">
        <v>29</v>
      </c>
      <c r="N10963" s="18" t="s">
        <v>1508</v>
      </c>
      <c r="O10963" s="18" t="s">
        <v>29</v>
      </c>
      <c r="P10963" s="18" t="s">
        <v>50108</v>
      </c>
      <c r="Q10963" s="6"/>
      <c r="R10963" s="6"/>
      <c r="S10963" s="6"/>
      <c r="T10963" s="6"/>
      <c r="U10963" s="6"/>
    </row>
    <row r="10964" ht="14.25">
      <c r="B10964" s="18" t="s">
        <v>1853</v>
      </c>
      <c r="C10964" s="18" t="s">
        <v>50109</v>
      </c>
      <c r="D10964" s="18" t="s">
        <v>48111</v>
      </c>
      <c r="E10964" s="18" t="s">
        <v>50110</v>
      </c>
      <c r="F10964" s="18" t="str">
        <f>IFERROR(__XLUDF.DUMMYFUNCTION("PROPER(REGEXREPLACE(D876,""[^A-Za-z]+ "",""""))"),"Groupe Nivet")</f>
        <v xml:space="preserve">Groupe Nivet</v>
      </c>
      <c r="G10964" s="18" t="s">
        <v>50111</v>
      </c>
      <c r="H10964" s="18">
        <v>35</v>
      </c>
      <c r="I10964" s="18" t="s">
        <v>9239</v>
      </c>
      <c r="J10964" s="5" t="s">
        <v>50112</v>
      </c>
      <c r="K10964" s="5" t="s">
        <v>47719</v>
      </c>
      <c r="L10964" s="18" t="s">
        <v>41087</v>
      </c>
      <c r="M10964" s="18" t="s">
        <v>29</v>
      </c>
      <c r="N10964" s="18" t="s">
        <v>50113</v>
      </c>
      <c r="O10964" s="18" t="s">
        <v>29</v>
      </c>
      <c r="P10964" s="18" t="s">
        <v>50114</v>
      </c>
      <c r="Q10964" s="6"/>
      <c r="R10964" s="6"/>
      <c r="S10964" s="6"/>
      <c r="T10964" s="6"/>
      <c r="U10964" s="6"/>
    </row>
    <row r="10965" ht="14.25">
      <c r="B10965" s="18" t="s">
        <v>1027</v>
      </c>
      <c r="C10965" s="18" t="s">
        <v>7095</v>
      </c>
      <c r="D10965" s="18" t="s">
        <v>120</v>
      </c>
      <c r="E10965" s="18" t="s">
        <v>50115</v>
      </c>
      <c r="F10965" s="18" t="str">
        <f>IFERROR(__XLUDF.DUMMYFUNCTION("PROPER(REGEXREPLACE(D877,""[^A-Za-z]+ "",""""))"),"Zefco")</f>
        <v>Zefco</v>
      </c>
      <c r="G10965" s="18" t="s">
        <v>50116</v>
      </c>
      <c r="H10965" s="18">
        <v>34</v>
      </c>
      <c r="I10965" s="18" t="s">
        <v>9239</v>
      </c>
      <c r="J10965" s="5" t="s">
        <v>50117</v>
      </c>
      <c r="K10965" s="5" t="s">
        <v>50118</v>
      </c>
      <c r="L10965" s="18" t="s">
        <v>39</v>
      </c>
      <c r="M10965" s="18" t="s">
        <v>29</v>
      </c>
      <c r="N10965" s="18" t="s">
        <v>26188</v>
      </c>
      <c r="O10965" s="18" t="s">
        <v>29</v>
      </c>
      <c r="P10965" s="18" t="s">
        <v>50119</v>
      </c>
      <c r="Q10965" s="6"/>
      <c r="R10965" s="6"/>
      <c r="S10965" s="6"/>
      <c r="T10965" s="6"/>
      <c r="U10965" s="6"/>
    </row>
    <row r="10966" ht="14.25">
      <c r="B10966" s="18" t="s">
        <v>963</v>
      </c>
      <c r="C10966" s="18" t="s">
        <v>30541</v>
      </c>
      <c r="D10966" s="18" t="s">
        <v>87</v>
      </c>
      <c r="E10966" s="18" t="s">
        <v>50120</v>
      </c>
      <c r="F10966" s="18" t="str">
        <f>IFERROR(__XLUDF.DUMMYFUNCTION("PROPER(REGEXREPLACE(D878,""[^A-Za-z]+ "",""""))"),"M2I Ingenierie")</f>
        <v xml:space="preserve">M2I Ingenierie</v>
      </c>
      <c r="G10966" s="18" t="s">
        <v>50121</v>
      </c>
      <c r="H10966" s="18">
        <v>2</v>
      </c>
      <c r="I10966" s="18" t="s">
        <v>9239</v>
      </c>
      <c r="J10966" s="5" t="s">
        <v>50122</v>
      </c>
      <c r="K10966" s="5" t="s">
        <v>50123</v>
      </c>
      <c r="L10966" s="18" t="s">
        <v>1711</v>
      </c>
      <c r="M10966" s="18" t="s">
        <v>29</v>
      </c>
      <c r="N10966" s="18" t="s">
        <v>32070</v>
      </c>
      <c r="O10966" s="18" t="s">
        <v>29</v>
      </c>
      <c r="P10966" s="6"/>
      <c r="Q10966" s="6"/>
      <c r="R10966" s="6"/>
      <c r="S10966" s="6"/>
      <c r="T10966" s="6"/>
      <c r="U10966" s="6"/>
    </row>
    <row r="10967" ht="14.25">
      <c r="B10967" s="18" t="s">
        <v>355</v>
      </c>
      <c r="C10967" s="18" t="s">
        <v>50124</v>
      </c>
      <c r="D10967" s="18" t="s">
        <v>172</v>
      </c>
      <c r="E10967" s="18" t="s">
        <v>27243</v>
      </c>
      <c r="F10967" s="18" t="str">
        <f>IFERROR(__XLUDF.DUMMYFUNCTION("PROPER(REGEXREPLACE(D879,""[^A-Za-z]+ "",""""))"),"L'Oréal")</f>
        <v>L'Oréal</v>
      </c>
      <c r="G10967" s="18" t="s">
        <v>50125</v>
      </c>
      <c r="H10967" s="18">
        <v>18</v>
      </c>
      <c r="I10967" s="18" t="s">
        <v>9239</v>
      </c>
      <c r="J10967" s="5" t="s">
        <v>50126</v>
      </c>
      <c r="K10967" s="5" t="s">
        <v>50127</v>
      </c>
      <c r="L10967" s="18" t="s">
        <v>562</v>
      </c>
      <c r="M10967" s="18" t="s">
        <v>29</v>
      </c>
      <c r="N10967" s="18" t="s">
        <v>67</v>
      </c>
      <c r="O10967" s="18" t="s">
        <v>29</v>
      </c>
      <c r="P10967" s="6"/>
      <c r="Q10967" s="6"/>
      <c r="R10967" s="6"/>
      <c r="S10967" s="6"/>
      <c r="T10967" s="6"/>
      <c r="U10967" s="6"/>
    </row>
    <row r="10968" ht="14.25">
      <c r="B10968" s="18" t="s">
        <v>622</v>
      </c>
      <c r="C10968" s="18" t="s">
        <v>50128</v>
      </c>
      <c r="D10968" s="18" t="s">
        <v>172</v>
      </c>
      <c r="E10968" s="18" t="s">
        <v>50129</v>
      </c>
      <c r="F10968" s="18" t="str">
        <f>IFERROR(__XLUDF.DUMMYFUNCTION("PROPER(REGEXREPLACE(D880,""[^A-Za-z]+ "",""""))"),"Andrieu Construction")</f>
        <v xml:space="preserve">Andrieu Construction</v>
      </c>
      <c r="G10968" s="18" t="s">
        <v>50130</v>
      </c>
      <c r="H10968" s="18">
        <v>12</v>
      </c>
      <c r="I10968" s="18" t="s">
        <v>9239</v>
      </c>
      <c r="J10968" s="5" t="s">
        <v>50131</v>
      </c>
      <c r="K10968" s="5" t="s">
        <v>50132</v>
      </c>
      <c r="L10968" s="18" t="s">
        <v>18779</v>
      </c>
      <c r="M10968" s="18" t="s">
        <v>29</v>
      </c>
      <c r="N10968" s="18" t="s">
        <v>50133</v>
      </c>
      <c r="O10968" s="18" t="s">
        <v>29</v>
      </c>
      <c r="P10968" s="18" t="s">
        <v>50134</v>
      </c>
      <c r="Q10968" s="6"/>
      <c r="R10968" s="6"/>
      <c r="S10968" s="6"/>
      <c r="T10968" s="6"/>
      <c r="U10968" s="6"/>
    </row>
    <row r="10969" ht="14.25">
      <c r="B10969" s="18" t="s">
        <v>13612</v>
      </c>
      <c r="C10969" s="18" t="s">
        <v>50135</v>
      </c>
      <c r="D10969" s="18" t="s">
        <v>198</v>
      </c>
      <c r="E10969" s="18" t="s">
        <v>50136</v>
      </c>
      <c r="F10969" s="18" t="str">
        <f>IFERROR(__XLUDF.DUMMYFUNCTION("PROPER(REGEXREPLACE(D881,""[^A-Za-z]+ "",""""))"),"Espacio Groupe")</f>
        <v xml:space="preserve">Espacio Groupe</v>
      </c>
      <c r="G10969" s="18" t="s">
        <v>50137</v>
      </c>
      <c r="H10969" s="18">
        <v>18</v>
      </c>
      <c r="I10969" s="18" t="s">
        <v>9239</v>
      </c>
      <c r="J10969" s="5" t="s">
        <v>50138</v>
      </c>
      <c r="K10969" s="5" t="s">
        <v>50139</v>
      </c>
      <c r="L10969" s="18" t="s">
        <v>50140</v>
      </c>
      <c r="M10969" s="18" t="s">
        <v>29</v>
      </c>
      <c r="N10969" s="18" t="s">
        <v>50141</v>
      </c>
      <c r="O10969" s="18" t="s">
        <v>29</v>
      </c>
      <c r="P10969" s="18" t="s">
        <v>50142</v>
      </c>
      <c r="Q10969" s="6"/>
      <c r="R10969" s="6"/>
      <c r="S10969" s="6"/>
      <c r="T10969" s="6"/>
      <c r="U10969" s="6"/>
    </row>
    <row r="10970" ht="14.25">
      <c r="B10970" s="18" t="s">
        <v>22725</v>
      </c>
      <c r="C10970" s="18" t="s">
        <v>50143</v>
      </c>
      <c r="D10970" s="18" t="s">
        <v>172</v>
      </c>
      <c r="E10970" s="18" t="s">
        <v>50144</v>
      </c>
      <c r="F10970" s="18" t="str">
        <f>IFERROR(__XLUDF.DUMMYFUNCTION("PROPER(REGEXREPLACE(D882,""[^A-Za-z]+ "",""""))"),"Etablissements Stoker")</f>
        <v xml:space="preserve">Etablissements Stoker</v>
      </c>
      <c r="G10970" s="18" t="s">
        <v>50145</v>
      </c>
      <c r="H10970" s="18">
        <v>18</v>
      </c>
      <c r="I10970" s="18" t="s">
        <v>9239</v>
      </c>
      <c r="J10970" s="5" t="s">
        <v>50146</v>
      </c>
      <c r="K10970" s="5" t="s">
        <v>50147</v>
      </c>
      <c r="L10970" s="6"/>
      <c r="M10970" s="18" t="s">
        <v>29</v>
      </c>
      <c r="N10970" s="18" t="s">
        <v>50148</v>
      </c>
      <c r="O10970" s="18" t="s">
        <v>29</v>
      </c>
      <c r="P10970" s="18" t="s">
        <v>50149</v>
      </c>
      <c r="Q10970" s="6"/>
      <c r="R10970" s="6"/>
      <c r="S10970" s="6"/>
      <c r="T10970" s="6"/>
      <c r="U10970" s="6"/>
    </row>
    <row r="10971" ht="14.25">
      <c r="B10971" s="18" t="s">
        <v>2119</v>
      </c>
      <c r="C10971" s="18" t="s">
        <v>50150</v>
      </c>
      <c r="D10971" s="18" t="s">
        <v>9849</v>
      </c>
      <c r="E10971" s="18" t="s">
        <v>50151</v>
      </c>
      <c r="F10971" s="18" t="str">
        <f>IFERROR(__XLUDF.DUMMYFUNCTION("PROPER(REGEXREPLACE(D883,""[^A-Za-z]+ "",""""))"),"Korus")</f>
        <v>Korus</v>
      </c>
      <c r="G10971" s="18" t="s">
        <v>50152</v>
      </c>
      <c r="H10971" s="18">
        <v>46</v>
      </c>
      <c r="I10971" s="18" t="s">
        <v>9239</v>
      </c>
      <c r="J10971" s="5" t="s">
        <v>50153</v>
      </c>
      <c r="K10971" s="5" t="s">
        <v>50154</v>
      </c>
      <c r="L10971" s="18" t="s">
        <v>39</v>
      </c>
      <c r="M10971" s="18" t="s">
        <v>29</v>
      </c>
      <c r="N10971" s="18" t="s">
        <v>50155</v>
      </c>
      <c r="O10971" s="18" t="s">
        <v>2388</v>
      </c>
      <c r="P10971" s="18" t="s">
        <v>50156</v>
      </c>
      <c r="Q10971" s="6"/>
      <c r="R10971" s="6"/>
      <c r="S10971" s="6"/>
      <c r="T10971" s="6"/>
      <c r="U10971" s="6"/>
    </row>
    <row r="10972" ht="14.25">
      <c r="B10972" s="18" t="s">
        <v>4012</v>
      </c>
      <c r="C10972" s="18" t="s">
        <v>50157</v>
      </c>
      <c r="D10972" s="18" t="s">
        <v>426</v>
      </c>
      <c r="E10972" s="18" t="s">
        <v>50158</v>
      </c>
      <c r="F10972" s="18" t="str">
        <f>IFERROR(__XLUDF.DUMMYFUNCTION("PROPER(REGEXREPLACE(D884,""[^A-Za-z]+ "",""""))"),"Artxbat")</f>
        <v>Artxbat</v>
      </c>
      <c r="G10972" s="18" t="s">
        <v>50159</v>
      </c>
      <c r="H10972" s="18">
        <v>25</v>
      </c>
      <c r="I10972" s="18" t="s">
        <v>9239</v>
      </c>
      <c r="J10972" s="5" t="s">
        <v>50160</v>
      </c>
      <c r="K10972" s="5" t="s">
        <v>50161</v>
      </c>
      <c r="L10972" s="18" t="s">
        <v>1711</v>
      </c>
      <c r="M10972" s="18" t="s">
        <v>29</v>
      </c>
      <c r="N10972" s="18" t="s">
        <v>50162</v>
      </c>
      <c r="O10972" s="18" t="s">
        <v>29</v>
      </c>
      <c r="P10972" s="6"/>
      <c r="Q10972" s="6"/>
      <c r="R10972" s="6"/>
      <c r="S10972" s="6"/>
      <c r="T10972" s="6"/>
      <c r="U10972" s="6"/>
    </row>
    <row r="10973" ht="14.25">
      <c r="B10973" s="18" t="s">
        <v>963</v>
      </c>
      <c r="C10973" s="18" t="s">
        <v>50163</v>
      </c>
      <c r="D10973" s="18" t="s">
        <v>172</v>
      </c>
      <c r="E10973" s="18" t="s">
        <v>50164</v>
      </c>
      <c r="F10973" s="18" t="str">
        <f>IFERROR(__XLUDF.DUMMYFUNCTION("PROPER(REGEXREPLACE(D885,""[^A-Za-z]+ "",""""))"),"2Sw")</f>
        <v>2Sw</v>
      </c>
      <c r="G10973" s="18" t="s">
        <v>50165</v>
      </c>
      <c r="H10973" s="18">
        <v>11</v>
      </c>
      <c r="I10973" s="18" t="s">
        <v>9239</v>
      </c>
      <c r="J10973" s="5" t="s">
        <v>50166</v>
      </c>
      <c r="K10973" s="5" t="s">
        <v>50167</v>
      </c>
      <c r="L10973" s="18" t="s">
        <v>39</v>
      </c>
      <c r="M10973" s="18" t="s">
        <v>29</v>
      </c>
      <c r="N10973" s="18" t="s">
        <v>50168</v>
      </c>
      <c r="O10973" s="18" t="s">
        <v>29</v>
      </c>
      <c r="P10973" s="6"/>
      <c r="Q10973" s="6"/>
      <c r="R10973" s="6"/>
      <c r="S10973" s="6"/>
      <c r="T10973" s="6"/>
      <c r="U10973" s="6"/>
    </row>
    <row r="10974" ht="14.25">
      <c r="B10974" s="18" t="s">
        <v>1583</v>
      </c>
      <c r="C10974" s="18" t="s">
        <v>4132</v>
      </c>
      <c r="D10974" s="18" t="s">
        <v>172</v>
      </c>
      <c r="E10974" s="18" t="s">
        <v>50169</v>
      </c>
      <c r="F10974" s="18" t="str">
        <f>IFERROR(__XLUDF.DUMMYFUNCTION("PROPER(REGEXREPLACE(D886,""[^A-Za-z]+ "",""""))"),"Stct Groupe Myrium")</f>
        <v xml:space="preserve">Stct Groupe Myrium</v>
      </c>
      <c r="G10974" s="18" t="s">
        <v>50170</v>
      </c>
      <c r="H10974" s="18">
        <v>14</v>
      </c>
      <c r="I10974" s="18" t="s">
        <v>9239</v>
      </c>
      <c r="J10974" s="5" t="s">
        <v>50171</v>
      </c>
      <c r="K10974" s="5" t="s">
        <v>50172</v>
      </c>
      <c r="L10974" s="18" t="s">
        <v>9382</v>
      </c>
      <c r="M10974" s="18" t="s">
        <v>29</v>
      </c>
      <c r="N10974" s="18" t="s">
        <v>50173</v>
      </c>
      <c r="O10974" s="18" t="s">
        <v>29</v>
      </c>
      <c r="P10974" s="6"/>
      <c r="Q10974" s="6"/>
      <c r="R10974" s="6"/>
      <c r="S10974" s="6"/>
      <c r="T10974" s="6"/>
      <c r="U10974" s="6"/>
    </row>
    <row r="10975" ht="14.25">
      <c r="B10975" s="18" t="s">
        <v>485</v>
      </c>
      <c r="C10975" s="18" t="s">
        <v>50174</v>
      </c>
      <c r="D10975" s="18" t="s">
        <v>172</v>
      </c>
      <c r="E10975" s="18" t="s">
        <v>50175</v>
      </c>
      <c r="F10975" s="18" t="str">
        <f>IFERROR(__XLUDF.DUMMYFUNCTION("PROPER(REGEXREPLACE(D887,""[^A-Za-z]+ "",""""))"),"Idec Hautes")</f>
        <v xml:space="preserve">Idec Hautes</v>
      </c>
      <c r="G10975" s="18" t="s">
        <v>50176</v>
      </c>
      <c r="H10975" s="18">
        <v>51</v>
      </c>
      <c r="I10975" s="18" t="s">
        <v>9239</v>
      </c>
      <c r="J10975" s="5" t="s">
        <v>50177</v>
      </c>
      <c r="K10975" s="5" t="s">
        <v>50178</v>
      </c>
      <c r="L10975" s="18" t="s">
        <v>15724</v>
      </c>
      <c r="M10975" s="18" t="s">
        <v>29</v>
      </c>
      <c r="N10975" s="18" t="s">
        <v>50179</v>
      </c>
      <c r="O10975" s="18" t="s">
        <v>29</v>
      </c>
      <c r="P10975" s="18" t="s">
        <v>50180</v>
      </c>
      <c r="Q10975" s="6"/>
      <c r="R10975" s="6"/>
      <c r="S10975" s="6"/>
      <c r="T10975" s="6"/>
      <c r="U10975" s="6"/>
    </row>
    <row r="10976" ht="14.25">
      <c r="B10976" s="18" t="s">
        <v>26973</v>
      </c>
      <c r="C10976" s="18" t="s">
        <v>50181</v>
      </c>
      <c r="D10976" s="18" t="s">
        <v>198</v>
      </c>
      <c r="E10976" s="18" t="s">
        <v>50182</v>
      </c>
      <c r="F10976" s="18" t="str">
        <f>IFERROR(__XLUDF.DUMMYFUNCTION("PROPER(REGEXREPLACE(D888,""[^A-Za-z]+ "",""""))"),"Volume Agencement")</f>
        <v xml:space="preserve">Volume Agencement</v>
      </c>
      <c r="G10976" s="18" t="s">
        <v>50183</v>
      </c>
      <c r="H10976" s="18">
        <v>7</v>
      </c>
      <c r="I10976" s="18" t="s">
        <v>9239</v>
      </c>
      <c r="J10976" s="5" t="s">
        <v>50184</v>
      </c>
      <c r="K10976" s="5" t="s">
        <v>50185</v>
      </c>
      <c r="L10976" s="18" t="s">
        <v>39</v>
      </c>
      <c r="M10976" s="18" t="s">
        <v>29</v>
      </c>
      <c r="N10976" s="18" t="s">
        <v>50186</v>
      </c>
      <c r="O10976" s="18" t="s">
        <v>29</v>
      </c>
      <c r="P10976" s="18" t="s">
        <v>50187</v>
      </c>
      <c r="Q10976" s="6"/>
      <c r="R10976" s="6"/>
      <c r="S10976" s="6"/>
      <c r="T10976" s="6"/>
      <c r="U10976" s="6"/>
    </row>
    <row r="10977" ht="14.25">
      <c r="B10977" s="18" t="s">
        <v>322</v>
      </c>
      <c r="C10977" s="18" t="s">
        <v>50188</v>
      </c>
      <c r="D10977" s="18" t="s">
        <v>172</v>
      </c>
      <c r="E10977" s="18" t="s">
        <v>50189</v>
      </c>
      <c r="F10977" s="18" t="str">
        <f>IFERROR(__XLUDF.DUMMYFUNCTION("PROPER(REGEXREPLACE(D889,""[^A-Za-z]+ "",""""))"),"Pajot Solutions De Battage")</f>
        <v xml:space="preserve">Pajot Solutions De Battage</v>
      </c>
      <c r="G10977" s="18" t="s">
        <v>50190</v>
      </c>
      <c r="H10977" s="18">
        <v>5</v>
      </c>
      <c r="I10977" s="18" t="s">
        <v>9239</v>
      </c>
      <c r="J10977" s="5" t="s">
        <v>50191</v>
      </c>
      <c r="K10977" s="5" t="s">
        <v>50192</v>
      </c>
      <c r="L10977" s="18" t="s">
        <v>1312</v>
      </c>
      <c r="M10977" s="18" t="s">
        <v>29</v>
      </c>
      <c r="N10977" s="18" t="s">
        <v>50193</v>
      </c>
      <c r="O10977" s="18" t="s">
        <v>29</v>
      </c>
      <c r="P10977" s="18" t="s">
        <v>50194</v>
      </c>
      <c r="Q10977" s="6"/>
      <c r="R10977" s="6"/>
      <c r="S10977" s="6"/>
      <c r="T10977" s="6"/>
      <c r="U10977" s="6"/>
    </row>
    <row r="10978" ht="14.25">
      <c r="B10978" s="18" t="s">
        <v>15981</v>
      </c>
      <c r="C10978" s="18" t="s">
        <v>50195</v>
      </c>
      <c r="D10978" s="18" t="s">
        <v>172</v>
      </c>
      <c r="E10978" s="18" t="s">
        <v>17147</v>
      </c>
      <c r="F10978" s="18" t="str">
        <f>IFERROR(__XLUDF.DUMMYFUNCTION("PROPER(REGEXREPLACE(D890,""[^A-Za-z]+ "",""""))"),"Bim Ingenierie")</f>
        <v xml:space="preserve">Bim Ingenierie</v>
      </c>
      <c r="G10978" s="18" t="s">
        <v>50196</v>
      </c>
      <c r="H10978" s="18">
        <v>12</v>
      </c>
      <c r="I10978" s="18" t="s">
        <v>9239</v>
      </c>
      <c r="J10978" s="5" t="s">
        <v>50197</v>
      </c>
      <c r="K10978" s="5" t="s">
        <v>50198</v>
      </c>
      <c r="L10978" s="18" t="s">
        <v>39</v>
      </c>
      <c r="M10978" s="18" t="s">
        <v>29</v>
      </c>
      <c r="N10978" s="18" t="s">
        <v>50199</v>
      </c>
      <c r="O10978" s="18" t="s">
        <v>29</v>
      </c>
      <c r="P10978" s="6"/>
      <c r="Q10978" s="6"/>
      <c r="R10978" s="6"/>
      <c r="S10978" s="6"/>
      <c r="T10978" s="6"/>
      <c r="U10978" s="6"/>
    </row>
    <row r="10979" ht="14.25">
      <c r="B10979" s="18" t="s">
        <v>6967</v>
      </c>
      <c r="C10979" s="18" t="s">
        <v>50200</v>
      </c>
      <c r="D10979" s="18" t="s">
        <v>172</v>
      </c>
      <c r="E10979" s="18" t="s">
        <v>45851</v>
      </c>
      <c r="F10979" s="18" t="str">
        <f>IFERROR(__XLUDF.DUMMYFUNCTION("PROPER(REGEXREPLACE(D891,""[^A-Za-z]+ "",""""))"),"Groupe B.Sg")</f>
        <v xml:space="preserve">Groupe B.Sg</v>
      </c>
      <c r="G10979" s="18" t="s">
        <v>50201</v>
      </c>
      <c r="H10979" s="18">
        <v>6</v>
      </c>
      <c r="I10979" s="18" t="s">
        <v>9239</v>
      </c>
      <c r="J10979" s="5" t="s">
        <v>50202</v>
      </c>
      <c r="K10979" s="5" t="s">
        <v>45854</v>
      </c>
      <c r="L10979" s="18" t="s">
        <v>50203</v>
      </c>
      <c r="M10979" s="18" t="s">
        <v>29</v>
      </c>
      <c r="N10979" s="18" t="s">
        <v>45855</v>
      </c>
      <c r="O10979" s="18" t="s">
        <v>29</v>
      </c>
      <c r="P10979" s="6"/>
      <c r="Q10979" s="6"/>
      <c r="R10979" s="6"/>
      <c r="S10979" s="6"/>
      <c r="T10979" s="6"/>
      <c r="U10979" s="6"/>
    </row>
    <row r="10980" ht="14.25">
      <c r="B10980" s="18" t="s">
        <v>2652</v>
      </c>
      <c r="C10980" s="18" t="s">
        <v>2462</v>
      </c>
      <c r="D10980" s="18" t="s">
        <v>426</v>
      </c>
      <c r="E10980" s="18" t="s">
        <v>50204</v>
      </c>
      <c r="F10980" s="18" t="str">
        <f>IFERROR(__XLUDF.DUMMYFUNCTION("PROPER(REGEXREPLACE(D892,""[^A-Za-z]+ "",""""))"),"J&amp;P Facilities")</f>
        <v xml:space="preserve">J&amp;P Facilities</v>
      </c>
      <c r="G10980" s="18" t="s">
        <v>50205</v>
      </c>
      <c r="H10980" s="18">
        <v>31</v>
      </c>
      <c r="I10980" s="18" t="s">
        <v>9239</v>
      </c>
      <c r="J10980" s="5" t="s">
        <v>50206</v>
      </c>
      <c r="K10980" s="5" t="s">
        <v>50207</v>
      </c>
      <c r="L10980" s="18" t="s">
        <v>39</v>
      </c>
      <c r="M10980" s="18" t="s">
        <v>29</v>
      </c>
      <c r="N10980" s="18" t="s">
        <v>50208</v>
      </c>
      <c r="O10980" s="18" t="s">
        <v>29</v>
      </c>
      <c r="P10980" s="18" t="s">
        <v>50209</v>
      </c>
      <c r="Q10980" s="6"/>
      <c r="R10980" s="6"/>
      <c r="S10980" s="6"/>
      <c r="T10980" s="6"/>
      <c r="U10980" s="6"/>
    </row>
    <row r="10981" ht="14.25">
      <c r="B10981" s="18" t="s">
        <v>670</v>
      </c>
      <c r="C10981" s="18" t="s">
        <v>50210</v>
      </c>
      <c r="D10981" s="18" t="s">
        <v>7155</v>
      </c>
      <c r="E10981" s="18" t="s">
        <v>50211</v>
      </c>
      <c r="F10981" s="18" t="str">
        <f>IFERROR(__XLUDF.DUMMYFUNCTION("PROPER(REGEXREPLACE(D893,""[^A-Za-z]+ "",""""))"),"Le Maison")</f>
        <v xml:space="preserve">Le Maison</v>
      </c>
      <c r="G10981" s="18" t="s">
        <v>50212</v>
      </c>
      <c r="H10981" s="18">
        <v>4</v>
      </c>
      <c r="I10981" s="18" t="s">
        <v>9239</v>
      </c>
      <c r="J10981" s="5" t="s">
        <v>50213</v>
      </c>
      <c r="K10981" s="5" t="s">
        <v>50214</v>
      </c>
      <c r="L10981" s="18" t="s">
        <v>39</v>
      </c>
      <c r="M10981" s="18" t="s">
        <v>29</v>
      </c>
      <c r="N10981" s="18" t="s">
        <v>50215</v>
      </c>
      <c r="O10981" s="18" t="s">
        <v>1152</v>
      </c>
      <c r="P10981" s="6"/>
      <c r="Q10981" s="6"/>
      <c r="R10981" s="6"/>
      <c r="S10981" s="6"/>
      <c r="T10981" s="6"/>
      <c r="U10981" s="6"/>
    </row>
    <row r="10982" ht="14.25">
      <c r="B10982" s="18" t="s">
        <v>50216</v>
      </c>
      <c r="C10982" s="18" t="s">
        <v>24319</v>
      </c>
      <c r="D10982" s="18" t="s">
        <v>172</v>
      </c>
      <c r="E10982" s="18" t="s">
        <v>49332</v>
      </c>
      <c r="F10982" s="18" t="str">
        <f>IFERROR(__XLUDF.DUMMYFUNCTION("PROPER(REGEXREPLACE(D894,""[^A-Za-z]+ "",""""))"),"Trianon Résidences")</f>
        <v xml:space="preserve">Trianon Résidences</v>
      </c>
      <c r="G10982" s="18" t="s">
        <v>50217</v>
      </c>
      <c r="H10982" s="18">
        <v>32</v>
      </c>
      <c r="I10982" s="18" t="s">
        <v>9239</v>
      </c>
      <c r="J10982" s="5" t="s">
        <v>50218</v>
      </c>
      <c r="K10982" s="5" t="s">
        <v>49335</v>
      </c>
      <c r="L10982" s="18" t="s">
        <v>651</v>
      </c>
      <c r="M10982" s="18" t="s">
        <v>29</v>
      </c>
      <c r="N10982" s="18" t="s">
        <v>49336</v>
      </c>
      <c r="O10982" s="18" t="s">
        <v>29</v>
      </c>
      <c r="P10982" s="18" t="s">
        <v>49337</v>
      </c>
      <c r="Q10982" s="6"/>
      <c r="R10982" s="6"/>
      <c r="S10982" s="6"/>
      <c r="T10982" s="6"/>
      <c r="U10982" s="6"/>
    </row>
    <row r="10983" ht="14.25">
      <c r="B10983" s="18" t="s">
        <v>255</v>
      </c>
      <c r="C10983" s="18" t="s">
        <v>50219</v>
      </c>
      <c r="D10983" s="18" t="s">
        <v>468</v>
      </c>
      <c r="E10983" s="18" t="s">
        <v>50220</v>
      </c>
      <c r="F10983" s="18" t="str">
        <f>IFERROR(__XLUDF.DUMMYFUNCTION("PROPER(REGEXREPLACE(D895,""[^A-Za-z]+ "",""""))"),"Forages Du Nord Ouest")</f>
        <v xml:space="preserve">Forages Du Nord Ouest</v>
      </c>
      <c r="G10983" s="18" t="s">
        <v>50221</v>
      </c>
      <c r="H10983" s="18">
        <v>17</v>
      </c>
      <c r="I10983" s="18" t="s">
        <v>9239</v>
      </c>
      <c r="J10983" s="5" t="s">
        <v>50222</v>
      </c>
      <c r="K10983" s="5" t="s">
        <v>50223</v>
      </c>
      <c r="L10983" s="18" t="s">
        <v>50224</v>
      </c>
      <c r="M10983" s="18" t="s">
        <v>29</v>
      </c>
      <c r="N10983" s="18" t="s">
        <v>50225</v>
      </c>
      <c r="O10983" s="18" t="s">
        <v>29</v>
      </c>
      <c r="P10983" s="18" t="s">
        <v>50226</v>
      </c>
      <c r="Q10983" s="6"/>
      <c r="R10983" s="6"/>
      <c r="S10983" s="6"/>
      <c r="T10983" s="6"/>
      <c r="U10983" s="6"/>
    </row>
    <row r="10984" ht="14.25">
      <c r="B10984" s="18" t="s">
        <v>50227</v>
      </c>
      <c r="C10984" s="18" t="s">
        <v>5444</v>
      </c>
      <c r="D10984" s="18" t="s">
        <v>9849</v>
      </c>
      <c r="E10984" s="18" t="s">
        <v>48536</v>
      </c>
      <c r="F10984" s="18" t="str">
        <f>IFERROR(__XLUDF.DUMMYFUNCTION("PROPER(REGEXREPLACE(D896,""[^A-Za-z]+ "",""""))"),"Groupe Ascia")</f>
        <v xml:space="preserve">Groupe Ascia</v>
      </c>
      <c r="G10984" s="18" t="s">
        <v>50228</v>
      </c>
      <c r="H10984" s="18">
        <v>41</v>
      </c>
      <c r="I10984" s="18" t="s">
        <v>9239</v>
      </c>
      <c r="J10984" s="5" t="s">
        <v>50229</v>
      </c>
      <c r="K10984" s="5" t="s">
        <v>48539</v>
      </c>
      <c r="L10984" s="18" t="s">
        <v>1711</v>
      </c>
      <c r="M10984" s="18" t="s">
        <v>29</v>
      </c>
      <c r="N10984" s="18" t="s">
        <v>48540</v>
      </c>
      <c r="O10984" s="18" t="s">
        <v>29</v>
      </c>
      <c r="P10984" s="18" t="s">
        <v>48541</v>
      </c>
      <c r="Q10984" s="6"/>
      <c r="R10984" s="6"/>
      <c r="S10984" s="6"/>
      <c r="T10984" s="6"/>
      <c r="U10984" s="6"/>
    </row>
    <row r="10985" ht="14.25">
      <c r="B10985" s="18" t="s">
        <v>3164</v>
      </c>
      <c r="C10985" s="18" t="s">
        <v>50230</v>
      </c>
      <c r="D10985" s="18" t="s">
        <v>1130</v>
      </c>
      <c r="E10985" s="18" t="s">
        <v>50231</v>
      </c>
      <c r="F10985" s="18" t="str">
        <f>IFERROR(__XLUDF.DUMMYFUNCTION("PROPER(REGEXREPLACE(D897,""[^A-Za-z]+ "",""""))"),"Manehome")</f>
        <v>Manehome</v>
      </c>
      <c r="G10985" s="18" t="s">
        <v>50232</v>
      </c>
      <c r="H10985" s="6"/>
      <c r="I10985" s="6"/>
      <c r="J10985" s="5" t="s">
        <v>50233</v>
      </c>
      <c r="K10985" s="5" t="s">
        <v>50234</v>
      </c>
      <c r="L10985" s="18" t="s">
        <v>3898</v>
      </c>
      <c r="M10985" s="18" t="s">
        <v>29</v>
      </c>
      <c r="N10985" s="18" t="s">
        <v>50235</v>
      </c>
      <c r="O10985" s="18" t="s">
        <v>29</v>
      </c>
      <c r="P10985" s="6"/>
      <c r="Q10985" s="6"/>
      <c r="R10985" s="6"/>
      <c r="S10985" s="6"/>
      <c r="T10985" s="6"/>
      <c r="U10985" s="6"/>
    </row>
    <row r="10986" ht="14.25">
      <c r="B10986" s="18" t="s">
        <v>1861</v>
      </c>
      <c r="C10986" s="18" t="s">
        <v>50236</v>
      </c>
      <c r="D10986" s="18" t="s">
        <v>112</v>
      </c>
      <c r="E10986" s="18" t="s">
        <v>45667</v>
      </c>
      <c r="F10986" s="18" t="str">
        <f>IFERROR(__XLUDF.DUMMYFUNCTION("PROPER(REGEXREPLACE(D898,""[^A-Za-z]+ "",""""))"),"Roquet")</f>
        <v>Roquet</v>
      </c>
      <c r="G10986" s="18" t="s">
        <v>50237</v>
      </c>
      <c r="H10986" s="18">
        <v>47</v>
      </c>
      <c r="I10986" s="18" t="s">
        <v>9239</v>
      </c>
      <c r="J10986" s="5" t="s">
        <v>50238</v>
      </c>
      <c r="K10986" s="5" t="s">
        <v>45670</v>
      </c>
      <c r="L10986" s="6"/>
      <c r="M10986" s="18" t="s">
        <v>29</v>
      </c>
      <c r="N10986" s="18" t="s">
        <v>45671</v>
      </c>
      <c r="O10986" s="18" t="s">
        <v>29</v>
      </c>
      <c r="P10986" s="18" t="s">
        <v>45672</v>
      </c>
      <c r="Q10986" s="6"/>
      <c r="R10986" s="6"/>
      <c r="S10986" s="6"/>
      <c r="T10986" s="6"/>
      <c r="U10986" s="6"/>
    </row>
    <row r="10987" ht="14.25">
      <c r="B10987" s="18" t="s">
        <v>1215</v>
      </c>
      <c r="C10987" s="18" t="s">
        <v>1619</v>
      </c>
      <c r="D10987" s="18" t="s">
        <v>112</v>
      </c>
      <c r="E10987" s="18" t="s">
        <v>50239</v>
      </c>
      <c r="F10987" s="18" t="str">
        <f>IFERROR(__XLUDF.DUMMYFUNCTION("PROPER(REGEXREPLACE(D899,""[^A-Za-z]+ "",""""))"),"Spic Ingénierie Structures")</f>
        <v xml:space="preserve">Spic Ingénierie Structures</v>
      </c>
      <c r="G10987" s="18" t="s">
        <v>50240</v>
      </c>
      <c r="H10987" s="18">
        <v>12</v>
      </c>
      <c r="I10987" s="18" t="s">
        <v>9239</v>
      </c>
      <c r="J10987" s="5" t="s">
        <v>50241</v>
      </c>
      <c r="K10987" s="5" t="s">
        <v>50242</v>
      </c>
      <c r="L10987" s="18" t="s">
        <v>50243</v>
      </c>
      <c r="M10987" s="18" t="s">
        <v>29</v>
      </c>
      <c r="N10987" s="18" t="s">
        <v>50244</v>
      </c>
      <c r="O10987" s="18" t="s">
        <v>29</v>
      </c>
      <c r="P10987" s="18" t="s">
        <v>50245</v>
      </c>
      <c r="Q10987" s="6"/>
      <c r="R10987" s="6"/>
      <c r="S10987" s="6"/>
      <c r="T10987" s="6"/>
      <c r="U10987" s="6"/>
    </row>
    <row r="10988" ht="14.25">
      <c r="B10988" s="18" t="s">
        <v>1198</v>
      </c>
      <c r="C10988" s="18" t="s">
        <v>50246</v>
      </c>
      <c r="D10988" s="18" t="s">
        <v>112</v>
      </c>
      <c r="E10988" s="18" t="s">
        <v>50247</v>
      </c>
      <c r="F10988" s="18" t="str">
        <f>IFERROR(__XLUDF.DUMMYFUNCTION("PROPER(REGEXREPLACE(D900,""[^A-Za-z]+ "",""""))"),"Aster Btp")</f>
        <v xml:space="preserve">Aster Btp</v>
      </c>
      <c r="G10988" s="18" t="s">
        <v>50248</v>
      </c>
      <c r="H10988" s="18">
        <v>15</v>
      </c>
      <c r="I10988" s="18" t="s">
        <v>9239</v>
      </c>
      <c r="J10988" s="5" t="s">
        <v>50249</v>
      </c>
      <c r="K10988" s="5" t="s">
        <v>50250</v>
      </c>
      <c r="L10988" s="6"/>
      <c r="M10988" s="18" t="s">
        <v>29</v>
      </c>
      <c r="N10988" s="18" t="s">
        <v>50251</v>
      </c>
      <c r="O10988" s="18" t="s">
        <v>29</v>
      </c>
      <c r="P10988" s="18" t="s">
        <v>50252</v>
      </c>
      <c r="Q10988" s="6"/>
      <c r="R10988" s="6"/>
      <c r="S10988" s="6"/>
      <c r="T10988" s="6"/>
      <c r="U10988" s="6"/>
    </row>
    <row r="10989" ht="14.25">
      <c r="B10989" s="18" t="s">
        <v>50253</v>
      </c>
      <c r="C10989" s="18" t="s">
        <v>50254</v>
      </c>
      <c r="D10989" s="18" t="s">
        <v>87</v>
      </c>
      <c r="E10989" s="18" t="s">
        <v>50255</v>
      </c>
      <c r="F10989" s="18" t="str">
        <f>IFERROR(__XLUDF.DUMMYFUNCTION("PROPER(REGEXREPLACE(D901,""[^A-Za-z]+ "",""""))"),"Modulor")</f>
        <v>Modulor</v>
      </c>
      <c r="G10989" s="18" t="s">
        <v>50256</v>
      </c>
      <c r="H10989" s="18">
        <v>36</v>
      </c>
      <c r="I10989" s="18" t="s">
        <v>9239</v>
      </c>
      <c r="J10989" s="5" t="s">
        <v>50257</v>
      </c>
      <c r="K10989" s="5" t="s">
        <v>50258</v>
      </c>
      <c r="L10989" s="18" t="s">
        <v>39</v>
      </c>
      <c r="M10989" s="18" t="s">
        <v>29</v>
      </c>
      <c r="N10989" s="18" t="s">
        <v>50259</v>
      </c>
      <c r="O10989" s="18" t="s">
        <v>2666</v>
      </c>
      <c r="P10989" s="18" t="s">
        <v>50260</v>
      </c>
      <c r="Q10989" s="6"/>
      <c r="R10989" s="6"/>
      <c r="S10989" s="6"/>
      <c r="T10989" s="6"/>
      <c r="U10989" s="6"/>
    </row>
    <row r="10990" ht="14.25">
      <c r="B10990" s="18" t="s">
        <v>1198</v>
      </c>
      <c r="C10990" s="18" t="s">
        <v>50261</v>
      </c>
      <c r="D10990" s="18" t="s">
        <v>120</v>
      </c>
      <c r="E10990" s="18" t="s">
        <v>50262</v>
      </c>
      <c r="F10990" s="18" t="str">
        <f>IFERROR(__XLUDF.DUMMYFUNCTION("PROPER(REGEXREPLACE(D902,""[^A-Za-z]+ "",""""))"),"Neocity Promotion")</f>
        <v xml:space="preserve">Neocity Promotion</v>
      </c>
      <c r="G10990" s="18" t="s">
        <v>50263</v>
      </c>
      <c r="H10990" s="18">
        <v>8</v>
      </c>
      <c r="I10990" s="18" t="s">
        <v>9239</v>
      </c>
      <c r="J10990" s="5" t="s">
        <v>50264</v>
      </c>
      <c r="K10990" s="5" t="s">
        <v>50265</v>
      </c>
      <c r="L10990" s="18" t="s">
        <v>482</v>
      </c>
      <c r="M10990" s="18" t="s">
        <v>29</v>
      </c>
      <c r="N10990" s="18" t="s">
        <v>50266</v>
      </c>
      <c r="O10990" s="18" t="s">
        <v>29</v>
      </c>
      <c r="P10990" s="18" t="s">
        <v>50267</v>
      </c>
      <c r="Q10990" s="6"/>
      <c r="R10990" s="6"/>
      <c r="S10990" s="6"/>
      <c r="T10990" s="6"/>
      <c r="U10990" s="6"/>
    </row>
    <row r="10991" ht="14.25">
      <c r="B10991" s="18" t="s">
        <v>808</v>
      </c>
      <c r="C10991" s="18" t="s">
        <v>50268</v>
      </c>
      <c r="D10991" s="18" t="s">
        <v>426</v>
      </c>
      <c r="E10991" s="18" t="s">
        <v>50269</v>
      </c>
      <c r="F10991" s="18" t="str">
        <f>IFERROR(__XLUDF.DUMMYFUNCTION("PROPER(REGEXREPLACE(D903,""[^A-Za-z]+ "",""""))"),"Inserco Sas")</f>
        <v xml:space="preserve">Inserco Sas</v>
      </c>
      <c r="G10991" s="18" t="s">
        <v>50270</v>
      </c>
      <c r="H10991" s="18">
        <v>21</v>
      </c>
      <c r="I10991" s="18" t="s">
        <v>9239</v>
      </c>
      <c r="J10991" s="5" t="s">
        <v>50271</v>
      </c>
      <c r="K10991" s="5" t="s">
        <v>50272</v>
      </c>
      <c r="L10991" s="18" t="s">
        <v>1312</v>
      </c>
      <c r="M10991" s="18" t="s">
        <v>29</v>
      </c>
      <c r="N10991" s="18" t="s">
        <v>50273</v>
      </c>
      <c r="O10991" s="18" t="s">
        <v>24879</v>
      </c>
      <c r="P10991" s="18" t="s">
        <v>50274</v>
      </c>
      <c r="Q10991" s="6"/>
      <c r="R10991" s="6"/>
      <c r="S10991" s="6"/>
      <c r="T10991" s="6"/>
      <c r="U10991" s="6"/>
    </row>
    <row r="10992" ht="14.25">
      <c r="B10992" s="18" t="s">
        <v>5679</v>
      </c>
      <c r="C10992" s="18" t="s">
        <v>50275</v>
      </c>
      <c r="D10992" s="18" t="s">
        <v>112</v>
      </c>
      <c r="E10992" s="18" t="s">
        <v>50276</v>
      </c>
      <c r="F10992" s="18" t="str">
        <f>IFERROR(__XLUDF.DUMMYFUNCTION("PROPER(REGEXREPLACE(D904,""[^A-Za-z]+ "",""""))"),"Rolaix")</f>
        <v>Rolaix</v>
      </c>
      <c r="G10992" s="18" t="s">
        <v>50277</v>
      </c>
      <c r="H10992" s="18">
        <v>37</v>
      </c>
      <c r="I10992" s="18" t="s">
        <v>9239</v>
      </c>
      <c r="J10992" s="5" t="s">
        <v>50278</v>
      </c>
      <c r="K10992" s="5" t="s">
        <v>50279</v>
      </c>
      <c r="L10992" s="18" t="s">
        <v>295</v>
      </c>
      <c r="M10992" s="18" t="s">
        <v>29</v>
      </c>
      <c r="N10992" s="18" t="s">
        <v>50280</v>
      </c>
      <c r="O10992" s="18" t="s">
        <v>29</v>
      </c>
      <c r="P10992" s="18" t="s">
        <v>50281</v>
      </c>
      <c r="Q10992" s="6"/>
      <c r="R10992" s="6"/>
      <c r="S10992" s="6"/>
      <c r="T10992" s="6"/>
      <c r="U10992" s="6"/>
    </row>
    <row r="10993" ht="14.25">
      <c r="B10993" s="18" t="s">
        <v>50282</v>
      </c>
      <c r="C10993" s="18" t="s">
        <v>50283</v>
      </c>
      <c r="D10993" s="18" t="s">
        <v>112</v>
      </c>
      <c r="E10993" s="18" t="s">
        <v>48738</v>
      </c>
      <c r="F10993" s="18" t="str">
        <f>IFERROR(__XLUDF.DUMMYFUNCTION("PROPER(REGEXREPLACE(D905,""[^A-Za-z]+ "",""""))"),"Vivian Et Cie")</f>
        <v xml:space="preserve">Vivian Et Cie</v>
      </c>
      <c r="G10993" s="18" t="s">
        <v>50284</v>
      </c>
      <c r="H10993" s="18">
        <v>25</v>
      </c>
      <c r="I10993" s="18" t="s">
        <v>9239</v>
      </c>
      <c r="J10993" s="5" t="s">
        <v>50285</v>
      </c>
      <c r="K10993" s="5" t="s">
        <v>48741</v>
      </c>
      <c r="L10993" s="6"/>
      <c r="M10993" s="18" t="s">
        <v>29</v>
      </c>
      <c r="N10993" s="18" t="s">
        <v>3642</v>
      </c>
      <c r="O10993" s="18" t="s">
        <v>29</v>
      </c>
      <c r="P10993" s="6"/>
      <c r="Q10993" s="6"/>
      <c r="R10993" s="6"/>
      <c r="S10993" s="6"/>
      <c r="T10993" s="6"/>
      <c r="U10993" s="6"/>
    </row>
    <row r="10994" ht="14.25">
      <c r="B10994" s="18" t="s">
        <v>76</v>
      </c>
      <c r="C10994" s="18" t="s">
        <v>50286</v>
      </c>
      <c r="D10994" s="18" t="s">
        <v>112</v>
      </c>
      <c r="E10994" s="18" t="s">
        <v>50287</v>
      </c>
      <c r="F10994" s="18" t="str">
        <f>IFERROR(__XLUDF.DUMMYFUNCTION("PROPER(REGEXREPLACE(D906,""[^A-Za-z]+ "",""""))"),"Seric Group")</f>
        <v xml:space="preserve">Seric Group</v>
      </c>
      <c r="G10994" s="18" t="s">
        <v>50288</v>
      </c>
      <c r="H10994" s="18">
        <v>23</v>
      </c>
      <c r="I10994" s="18" t="s">
        <v>9239</v>
      </c>
      <c r="J10994" s="5" t="s">
        <v>50289</v>
      </c>
      <c r="K10994" s="5" t="s">
        <v>50290</v>
      </c>
      <c r="L10994" s="6"/>
      <c r="M10994" s="18" t="s">
        <v>29</v>
      </c>
      <c r="N10994" s="18" t="s">
        <v>29</v>
      </c>
      <c r="O10994" s="18" t="s">
        <v>29</v>
      </c>
      <c r="P10994" s="18" t="s">
        <v>50291</v>
      </c>
      <c r="Q10994" s="6"/>
      <c r="R10994" s="6"/>
      <c r="S10994" s="6"/>
      <c r="T10994" s="6"/>
      <c r="U10994" s="6"/>
    </row>
    <row r="10995" ht="14.25">
      <c r="B10995" s="18" t="s">
        <v>50292</v>
      </c>
      <c r="C10995" s="18" t="s">
        <v>50293</v>
      </c>
      <c r="D10995" s="18" t="s">
        <v>112</v>
      </c>
      <c r="E10995" s="18" t="s">
        <v>50294</v>
      </c>
      <c r="F10995" s="18" t="str">
        <f>IFERROR(__XLUDF.DUMMYFUNCTION("PROPER(REGEXREPLACE(D907,""[^A-Za-z]+ "",""""))"),"Terraco Sas")</f>
        <v xml:space="preserve">Terraco Sas</v>
      </c>
      <c r="G10995" s="18" t="s">
        <v>50295</v>
      </c>
      <c r="H10995" s="18">
        <v>30</v>
      </c>
      <c r="I10995" s="18" t="s">
        <v>9239</v>
      </c>
      <c r="J10995" s="5" t="s">
        <v>50296</v>
      </c>
      <c r="K10995" s="5" t="s">
        <v>50297</v>
      </c>
      <c r="L10995" s="18" t="s">
        <v>32388</v>
      </c>
      <c r="M10995" s="18" t="s">
        <v>29</v>
      </c>
      <c r="N10995" s="18" t="s">
        <v>50298</v>
      </c>
      <c r="O10995" s="18" t="s">
        <v>29</v>
      </c>
      <c r="P10995" s="18" t="s">
        <v>50299</v>
      </c>
      <c r="Q10995" s="6"/>
      <c r="R10995" s="6"/>
      <c r="S10995" s="6"/>
      <c r="T10995" s="6"/>
      <c r="U10995" s="6"/>
    </row>
    <row r="10996" ht="14.25">
      <c r="B10996" s="18" t="s">
        <v>20</v>
      </c>
      <c r="C10996" s="18" t="s">
        <v>36322</v>
      </c>
      <c r="D10996" s="18" t="s">
        <v>172</v>
      </c>
      <c r="E10996" s="18" t="s">
        <v>50300</v>
      </c>
      <c r="F10996" s="18" t="str">
        <f>IFERROR(__XLUDF.DUMMYFUNCTION("PROPER(REGEXREPLACE(D908,""[^A-Za-z]+ "",""""))"),"Chevalier Nord")</f>
        <v xml:space="preserve">Chevalier Nord</v>
      </c>
      <c r="G10996" s="18" t="s">
        <v>50301</v>
      </c>
      <c r="H10996" s="18">
        <v>17</v>
      </c>
      <c r="I10996" s="18" t="s">
        <v>9239</v>
      </c>
      <c r="J10996" s="5" t="s">
        <v>50302</v>
      </c>
      <c r="K10996" s="5" t="s">
        <v>50303</v>
      </c>
      <c r="L10996" s="18" t="s">
        <v>50304</v>
      </c>
      <c r="M10996" s="18" t="s">
        <v>29</v>
      </c>
      <c r="N10996" s="18" t="s">
        <v>50305</v>
      </c>
      <c r="O10996" s="18" t="s">
        <v>29</v>
      </c>
      <c r="P10996" s="18" t="s">
        <v>50306</v>
      </c>
      <c r="Q10996" s="6"/>
      <c r="R10996" s="6"/>
      <c r="S10996" s="6"/>
      <c r="T10996" s="6"/>
      <c r="U10996" s="6"/>
    </row>
    <row r="10997" ht="14.25">
      <c r="B10997" s="18" t="s">
        <v>50307</v>
      </c>
      <c r="C10997" s="18" t="s">
        <v>50308</v>
      </c>
      <c r="D10997" s="18" t="s">
        <v>172</v>
      </c>
      <c r="E10997" s="18" t="s">
        <v>50309</v>
      </c>
      <c r="F10997" s="18" t="str">
        <f>IFERROR(__XLUDF.DUMMYFUNCTION("PROPER(REGEXREPLACE(D909,""[^A-Za-z]+ "",""""))"),"Pôle Build&amp;Connect")</f>
        <v xml:space="preserve">Pôle Build&amp;Connect</v>
      </c>
      <c r="G10997" s="18" t="s">
        <v>50310</v>
      </c>
      <c r="H10997" s="18">
        <v>19</v>
      </c>
      <c r="I10997" s="18" t="s">
        <v>9239</v>
      </c>
      <c r="J10997" s="5" t="s">
        <v>50311</v>
      </c>
      <c r="K10997" s="5" t="s">
        <v>50312</v>
      </c>
      <c r="L10997" s="18" t="s">
        <v>1780</v>
      </c>
      <c r="M10997" s="18" t="s">
        <v>29</v>
      </c>
      <c r="N10997" s="18" t="s">
        <v>50313</v>
      </c>
      <c r="O10997" s="18" t="s">
        <v>29</v>
      </c>
      <c r="P10997" s="18" t="s">
        <v>50314</v>
      </c>
      <c r="Q10997" s="6"/>
      <c r="R10997" s="6"/>
      <c r="S10997" s="6"/>
      <c r="T10997" s="6"/>
      <c r="U10997" s="6"/>
    </row>
    <row r="10998" ht="14.25">
      <c r="B10998" s="18" t="s">
        <v>3165</v>
      </c>
      <c r="C10998" s="18" t="s">
        <v>50315</v>
      </c>
      <c r="D10998" s="18" t="s">
        <v>71</v>
      </c>
      <c r="E10998" s="18" t="s">
        <v>50316</v>
      </c>
      <c r="F10998" s="18" t="str">
        <f>IFERROR(__XLUDF.DUMMYFUNCTION("PROPER(REGEXREPLACE(D910,""[^A-Za-z]+ "",""""))"),"Espé")</f>
        <v>Espé</v>
      </c>
      <c r="G10998" s="18" t="s">
        <v>50317</v>
      </c>
      <c r="H10998" s="18">
        <v>15</v>
      </c>
      <c r="I10998" s="18" t="s">
        <v>9239</v>
      </c>
      <c r="J10998" s="5" t="s">
        <v>50318</v>
      </c>
      <c r="K10998" s="5" t="s">
        <v>50319</v>
      </c>
      <c r="L10998" s="18" t="s">
        <v>39</v>
      </c>
      <c r="M10998" s="18" t="s">
        <v>29</v>
      </c>
      <c r="N10998" s="18" t="s">
        <v>50320</v>
      </c>
      <c r="O10998" s="18" t="s">
        <v>2666</v>
      </c>
      <c r="P10998" s="18" t="s">
        <v>50321</v>
      </c>
      <c r="Q10998" s="6"/>
      <c r="R10998" s="6"/>
      <c r="S10998" s="6"/>
      <c r="T10998" s="6"/>
      <c r="U10998" s="6"/>
    </row>
    <row r="10999" ht="14.25">
      <c r="B10999" s="18" t="s">
        <v>76</v>
      </c>
      <c r="C10999" s="18" t="s">
        <v>50322</v>
      </c>
      <c r="D10999" s="18" t="s">
        <v>22705</v>
      </c>
      <c r="E10999" s="18" t="s">
        <v>50323</v>
      </c>
      <c r="F10999" s="18" t="str">
        <f>IFERROR(__XLUDF.DUMMYFUNCTION("PROPER(REGEXREPLACE(D911,""[^A-Za-z]+ "",""""))"),"Bddrp")</f>
        <v>Bddrp</v>
      </c>
      <c r="G10999" s="18" t="s">
        <v>50324</v>
      </c>
      <c r="H10999" s="18">
        <v>3</v>
      </c>
      <c r="I10999" s="18" t="s">
        <v>9239</v>
      </c>
      <c r="J10999" s="5" t="s">
        <v>50325</v>
      </c>
      <c r="K10999" s="5" t="s">
        <v>50326</v>
      </c>
      <c r="L10999" s="18" t="s">
        <v>39</v>
      </c>
      <c r="M10999" s="18" t="s">
        <v>29</v>
      </c>
      <c r="N10999" s="18" t="s">
        <v>50327</v>
      </c>
      <c r="O10999" s="18" t="s">
        <v>29</v>
      </c>
      <c r="P10999" s="18" t="s">
        <v>50328</v>
      </c>
      <c r="Q10999" s="6"/>
      <c r="R10999" s="6"/>
      <c r="S10999" s="6"/>
      <c r="T10999" s="6"/>
      <c r="U10999" s="6"/>
    </row>
    <row r="11000" ht="14.25">
      <c r="B11000" s="18" t="s">
        <v>785</v>
      </c>
      <c r="C11000" s="18" t="s">
        <v>50329</v>
      </c>
      <c r="D11000" s="18" t="s">
        <v>172</v>
      </c>
      <c r="E11000" s="18" t="s">
        <v>50330</v>
      </c>
      <c r="F11000" s="18" t="str">
        <f>IFERROR(__XLUDF.DUMMYFUNCTION("PROPER(REGEXREPLACE(D912,""[^A-Za-z]+ "",""""))"),"Cleas Protection")</f>
        <v xml:space="preserve">Cleas Protection</v>
      </c>
      <c r="G11000" s="18" t="s">
        <v>50331</v>
      </c>
      <c r="H11000" s="18">
        <v>34</v>
      </c>
      <c r="I11000" s="18" t="s">
        <v>9239</v>
      </c>
      <c r="J11000" s="5" t="s">
        <v>50332</v>
      </c>
      <c r="K11000" s="5" t="s">
        <v>50333</v>
      </c>
      <c r="L11000" s="18" t="s">
        <v>185</v>
      </c>
      <c r="M11000" s="18" t="s">
        <v>29</v>
      </c>
      <c r="N11000" s="18" t="s">
        <v>50334</v>
      </c>
      <c r="O11000" s="18" t="s">
        <v>29</v>
      </c>
      <c r="P11000" s="18" t="s">
        <v>50335</v>
      </c>
      <c r="Q11000" s="6"/>
      <c r="R11000" s="6"/>
      <c r="S11000" s="6"/>
      <c r="T11000" s="6"/>
      <c r="U11000" s="6"/>
    </row>
    <row r="11001" ht="14.25">
      <c r="B11001" s="18" t="s">
        <v>50336</v>
      </c>
      <c r="C11001" s="18" t="s">
        <v>50337</v>
      </c>
      <c r="D11001" s="18" t="s">
        <v>172</v>
      </c>
      <c r="E11001" s="18" t="s">
        <v>50338</v>
      </c>
      <c r="F11001" s="18" t="str">
        <f>IFERROR(__XLUDF.DUMMYFUNCTION("PROPER(REGEXREPLACE(D913,""[^A-Za-z]+ "",""""))"),"Cv Clim")</f>
        <v xml:space="preserve">Cv Clim</v>
      </c>
      <c r="G11001" s="18" t="s">
        <v>50339</v>
      </c>
      <c r="H11001" s="6"/>
      <c r="I11001" s="6"/>
      <c r="J11001" s="5" t="s">
        <v>50340</v>
      </c>
      <c r="K11001" s="5" t="s">
        <v>50341</v>
      </c>
      <c r="L11001" s="6"/>
      <c r="M11001" s="18" t="s">
        <v>29</v>
      </c>
      <c r="N11001" s="18" t="s">
        <v>50342</v>
      </c>
      <c r="O11001" s="18" t="s">
        <v>29</v>
      </c>
      <c r="P11001" s="6"/>
      <c r="Q11001" s="6"/>
      <c r="R11001" s="6"/>
      <c r="S11001" s="6"/>
      <c r="T11001" s="6"/>
      <c r="U11001" s="6"/>
    </row>
    <row r="11002" ht="14.25">
      <c r="B11002" s="18" t="s">
        <v>7901</v>
      </c>
      <c r="C11002" s="18" t="s">
        <v>50343</v>
      </c>
      <c r="D11002" s="18" t="s">
        <v>172</v>
      </c>
      <c r="E11002" s="18" t="s">
        <v>50344</v>
      </c>
      <c r="F11002" s="18" t="str">
        <f>IFERROR(__XLUDF.DUMMYFUNCTION("PROPER(REGEXREPLACE(D914,""[^A-Za-z]+ "",""""))"),"Urbel Facade")</f>
        <v xml:space="preserve">Urbel Facade</v>
      </c>
      <c r="G11002" s="18" t="s">
        <v>50345</v>
      </c>
      <c r="H11002" s="18">
        <v>5</v>
      </c>
      <c r="I11002" s="18" t="s">
        <v>9239</v>
      </c>
      <c r="J11002" s="5" t="s">
        <v>50346</v>
      </c>
      <c r="K11002" s="5" t="s">
        <v>50347</v>
      </c>
      <c r="L11002" s="18" t="s">
        <v>846</v>
      </c>
      <c r="M11002" s="18" t="s">
        <v>29</v>
      </c>
      <c r="N11002" s="18" t="s">
        <v>50348</v>
      </c>
      <c r="O11002" s="18" t="s">
        <v>29</v>
      </c>
      <c r="P11002" s="18" t="s">
        <v>50349</v>
      </c>
      <c r="Q11002" s="6"/>
      <c r="R11002" s="6"/>
      <c r="S11002" s="6"/>
      <c r="T11002" s="6"/>
      <c r="U11002" s="6"/>
    </row>
    <row r="11003" ht="14.25">
      <c r="B11003" s="18" t="s">
        <v>1198</v>
      </c>
      <c r="C11003" s="18" t="s">
        <v>25080</v>
      </c>
      <c r="D11003" s="18" t="s">
        <v>426</v>
      </c>
      <c r="E11003" s="18" t="s">
        <v>50350</v>
      </c>
      <c r="F11003" s="18" t="str">
        <f>IFERROR(__XLUDF.DUMMYFUNCTION("PROPER(REGEXREPLACE(D915,""[^A-Za-z]+ "",""""))"),"Tout Faire By Almat")</f>
        <v xml:space="preserve">Tout Faire By Almat</v>
      </c>
      <c r="G11003" s="18" t="s">
        <v>50351</v>
      </c>
      <c r="H11003" s="18">
        <v>22</v>
      </c>
      <c r="I11003" s="18" t="s">
        <v>9239</v>
      </c>
      <c r="J11003" s="5" t="s">
        <v>50352</v>
      </c>
      <c r="K11003" s="5" t="s">
        <v>50353</v>
      </c>
      <c r="L11003" s="18" t="s">
        <v>1780</v>
      </c>
      <c r="M11003" s="18" t="s">
        <v>29</v>
      </c>
      <c r="N11003" s="18" t="s">
        <v>50354</v>
      </c>
      <c r="O11003" s="18" t="s">
        <v>29</v>
      </c>
      <c r="P11003" s="6"/>
      <c r="Q11003" s="6"/>
      <c r="R11003" s="6"/>
      <c r="S11003" s="6"/>
      <c r="T11003" s="6"/>
      <c r="U11003" s="6"/>
    </row>
    <row r="11004" ht="14.25">
      <c r="B11004" s="18" t="s">
        <v>20</v>
      </c>
      <c r="C11004" s="18" t="s">
        <v>50355</v>
      </c>
      <c r="D11004" s="18" t="s">
        <v>172</v>
      </c>
      <c r="E11004" s="18" t="s">
        <v>50356</v>
      </c>
      <c r="F11004" s="18" t="str">
        <f>IFERROR(__XLUDF.DUMMYFUNCTION("PROPER(REGEXREPLACE(D916,""[^A-Za-z]+ "",""""))"),"Chabriisolation")</f>
        <v>Chabriisolation</v>
      </c>
      <c r="G11004" s="18" t="s">
        <v>50357</v>
      </c>
      <c r="H11004" s="18">
        <v>8</v>
      </c>
      <c r="I11004" s="18" t="s">
        <v>9239</v>
      </c>
      <c r="J11004" s="5" t="s">
        <v>50358</v>
      </c>
      <c r="K11004" s="5" t="s">
        <v>50359</v>
      </c>
      <c r="L11004" s="18" t="s">
        <v>50360</v>
      </c>
      <c r="M11004" s="18" t="s">
        <v>29</v>
      </c>
      <c r="N11004" s="18" t="s">
        <v>50361</v>
      </c>
      <c r="O11004" s="18" t="s">
        <v>29</v>
      </c>
      <c r="P11004" s="18" t="s">
        <v>50362</v>
      </c>
      <c r="Q11004" s="6"/>
      <c r="R11004" s="6"/>
      <c r="S11004" s="6"/>
      <c r="T11004" s="6"/>
      <c r="U11004" s="6"/>
    </row>
    <row r="11005" ht="14.25">
      <c r="B11005" s="18" t="s">
        <v>206</v>
      </c>
      <c r="C11005" s="18" t="s">
        <v>50363</v>
      </c>
      <c r="D11005" s="18" t="s">
        <v>172</v>
      </c>
      <c r="E11005" s="18" t="s">
        <v>50364</v>
      </c>
      <c r="F11005" s="18" t="str">
        <f>IFERROR(__XLUDF.DUMMYFUNCTION("PROPER(REGEXREPLACE(D917,""[^A-Za-z]+ "",""""))"),"Chanin Btp")</f>
        <v xml:space="preserve">Chanin Btp</v>
      </c>
      <c r="G11005" s="18" t="s">
        <v>50365</v>
      </c>
      <c r="H11005" s="18">
        <v>18</v>
      </c>
      <c r="I11005" s="18" t="s">
        <v>9239</v>
      </c>
      <c r="J11005" s="5" t="s">
        <v>50366</v>
      </c>
      <c r="K11005" s="5" t="s">
        <v>50367</v>
      </c>
      <c r="L11005" s="18" t="s">
        <v>21259</v>
      </c>
      <c r="M11005" s="18" t="s">
        <v>29</v>
      </c>
      <c r="N11005" s="18" t="s">
        <v>50368</v>
      </c>
      <c r="O11005" s="18" t="s">
        <v>29</v>
      </c>
      <c r="P11005" s="18" t="s">
        <v>50369</v>
      </c>
      <c r="Q11005" s="6"/>
      <c r="R11005" s="6"/>
      <c r="S11005" s="6"/>
      <c r="T11005" s="6"/>
      <c r="U11005" s="6"/>
    </row>
    <row r="11006" ht="14.25">
      <c r="B11006" s="18" t="s">
        <v>76</v>
      </c>
      <c r="C11006" s="18" t="s">
        <v>50370</v>
      </c>
      <c r="D11006" s="18" t="s">
        <v>426</v>
      </c>
      <c r="E11006" s="18" t="s">
        <v>50371</v>
      </c>
      <c r="F11006" s="18" t="str">
        <f>IFERROR(__XLUDF.DUMMYFUNCTION("PROPER(REGEXREPLACE(D918,""[^A-Za-z]+ "",""""))"),"Tradi Art Construction")</f>
        <v xml:space="preserve">Tradi Art Construction</v>
      </c>
      <c r="G11006" s="18" t="s">
        <v>50372</v>
      </c>
      <c r="H11006" s="18">
        <v>19</v>
      </c>
      <c r="I11006" s="18" t="s">
        <v>9239</v>
      </c>
      <c r="J11006" s="5" t="s">
        <v>50373</v>
      </c>
      <c r="K11006" s="5" t="s">
        <v>50374</v>
      </c>
      <c r="L11006" s="18" t="s">
        <v>50375</v>
      </c>
      <c r="M11006" s="18" t="s">
        <v>29</v>
      </c>
      <c r="N11006" s="18" t="s">
        <v>50376</v>
      </c>
      <c r="O11006" s="18" t="s">
        <v>29</v>
      </c>
      <c r="P11006" s="6"/>
      <c r="Q11006" s="6"/>
      <c r="R11006" s="6"/>
      <c r="S11006" s="6"/>
      <c r="T11006" s="6"/>
      <c r="U11006" s="6"/>
    </row>
    <row r="11007" ht="14.25">
      <c r="B11007" s="18" t="s">
        <v>7323</v>
      </c>
      <c r="C11007" s="18" t="s">
        <v>50377</v>
      </c>
      <c r="D11007" s="18" t="s">
        <v>172</v>
      </c>
      <c r="E11007" s="18" t="s">
        <v>50378</v>
      </c>
      <c r="F11007" s="18" t="str">
        <f>IFERROR(__XLUDF.DUMMYFUNCTION("PROPER(REGEXREPLACE(D919,""[^A-Za-z]+ "",""""))"),"Stgc")</f>
        <v>Stgc</v>
      </c>
      <c r="G11007" s="18" t="s">
        <v>50379</v>
      </c>
      <c r="H11007" s="18">
        <v>16</v>
      </c>
      <c r="I11007" s="18" t="s">
        <v>9239</v>
      </c>
      <c r="J11007" s="5" t="s">
        <v>50380</v>
      </c>
      <c r="K11007" s="5" t="s">
        <v>50381</v>
      </c>
      <c r="L11007" s="18" t="s">
        <v>4943</v>
      </c>
      <c r="M11007" s="18" t="s">
        <v>29</v>
      </c>
      <c r="N11007" s="18" t="s">
        <v>23945</v>
      </c>
      <c r="O11007" s="18" t="s">
        <v>29</v>
      </c>
      <c r="P11007" s="18" t="s">
        <v>50382</v>
      </c>
      <c r="Q11007" s="6"/>
      <c r="R11007" s="6"/>
      <c r="S11007" s="6"/>
      <c r="T11007" s="6"/>
      <c r="U11007" s="6"/>
    </row>
    <row r="11008" ht="14.25">
      <c r="B11008" s="18" t="s">
        <v>710</v>
      </c>
      <c r="C11008" s="18" t="s">
        <v>45945</v>
      </c>
      <c r="D11008" s="18" t="s">
        <v>172</v>
      </c>
      <c r="E11008" s="18" t="s">
        <v>45946</v>
      </c>
      <c r="F11008" s="18" t="str">
        <f>IFERROR(__XLUDF.DUMMYFUNCTION("PROPER(REGEXREPLACE(D920,""[^A-Za-z]+ "",""""))"),"Gifetal Aluminium")</f>
        <v xml:space="preserve">Gifetal Aluminium</v>
      </c>
      <c r="G11008" s="18" t="s">
        <v>50383</v>
      </c>
      <c r="H11008" s="18">
        <v>26</v>
      </c>
      <c r="I11008" s="18" t="s">
        <v>9239</v>
      </c>
      <c r="J11008" s="5" t="s">
        <v>50384</v>
      </c>
      <c r="K11008" s="5" t="s">
        <v>45949</v>
      </c>
      <c r="L11008" s="18" t="s">
        <v>19976</v>
      </c>
      <c r="M11008" s="18" t="s">
        <v>29</v>
      </c>
      <c r="N11008" s="18" t="s">
        <v>45950</v>
      </c>
      <c r="O11008" s="18" t="s">
        <v>29</v>
      </c>
      <c r="P11008" s="18" t="s">
        <v>45951</v>
      </c>
      <c r="Q11008" s="6"/>
      <c r="R11008" s="6"/>
      <c r="S11008" s="6"/>
      <c r="T11008" s="6"/>
      <c r="U11008" s="6"/>
    </row>
    <row r="11009" ht="14.25">
      <c r="B11009" s="18" t="s">
        <v>38769</v>
      </c>
      <c r="C11009" s="18" t="s">
        <v>50385</v>
      </c>
      <c r="D11009" s="18" t="s">
        <v>468</v>
      </c>
      <c r="E11009" s="18" t="s">
        <v>48009</v>
      </c>
      <c r="F11009" s="18" t="str">
        <f>IFERROR(__XLUDF.DUMMYFUNCTION("PROPER(REGEXREPLACE(D921,""[^A-Za-z]+ "",""""))"),"Resolution France")</f>
        <v xml:space="preserve">Resolution France</v>
      </c>
      <c r="G11009" s="18" t="s">
        <v>50386</v>
      </c>
      <c r="H11009" s="18">
        <v>23</v>
      </c>
      <c r="I11009" s="18" t="s">
        <v>9239</v>
      </c>
      <c r="J11009" s="5" t="s">
        <v>50387</v>
      </c>
      <c r="K11009" s="5" t="s">
        <v>48012</v>
      </c>
      <c r="L11009" s="18" t="s">
        <v>39</v>
      </c>
      <c r="M11009" s="18" t="s">
        <v>29</v>
      </c>
      <c r="N11009" s="18" t="s">
        <v>48013</v>
      </c>
      <c r="O11009" s="18" t="s">
        <v>29</v>
      </c>
      <c r="P11009" s="6"/>
      <c r="Q11009" s="6"/>
      <c r="R11009" s="6"/>
      <c r="S11009" s="6"/>
      <c r="T11009" s="6"/>
      <c r="U11009" s="6"/>
    </row>
    <row r="11010" ht="14.25">
      <c r="B11010" s="18" t="s">
        <v>1062</v>
      </c>
      <c r="C11010" s="18" t="s">
        <v>50388</v>
      </c>
      <c r="D11010" s="18" t="s">
        <v>87</v>
      </c>
      <c r="E11010" s="18" t="s">
        <v>50389</v>
      </c>
      <c r="F11010" s="18" t="str">
        <f>IFERROR(__XLUDF.DUMMYFUNCTION("PROPER(REGEXREPLACE(D922,""[^A-Za-z]+ "",""""))"),"Top Van Dooren")</f>
        <v xml:space="preserve">Top Van Dooren</v>
      </c>
      <c r="G11010" s="18" t="s">
        <v>50390</v>
      </c>
      <c r="H11010" s="18">
        <v>4</v>
      </c>
      <c r="I11010" s="18" t="s">
        <v>9239</v>
      </c>
      <c r="J11010" s="5" t="s">
        <v>50391</v>
      </c>
      <c r="K11010" s="5" t="s">
        <v>50392</v>
      </c>
      <c r="L11010" s="18" t="s">
        <v>39</v>
      </c>
      <c r="M11010" s="18" t="s">
        <v>29</v>
      </c>
      <c r="N11010" s="18" t="s">
        <v>50393</v>
      </c>
      <c r="O11010" s="18" t="s">
        <v>29</v>
      </c>
      <c r="P11010" s="18" t="s">
        <v>50394</v>
      </c>
      <c r="Q11010" s="6"/>
      <c r="R11010" s="6"/>
      <c r="S11010" s="6"/>
      <c r="T11010" s="6"/>
      <c r="U11010" s="6"/>
    </row>
    <row r="11011" ht="14.25">
      <c r="B11011" s="18" t="s">
        <v>8049</v>
      </c>
      <c r="C11011" s="18" t="s">
        <v>355</v>
      </c>
      <c r="D11011" s="18" t="s">
        <v>172</v>
      </c>
      <c r="E11011" s="18" t="s">
        <v>50395</v>
      </c>
      <c r="F11011" s="18" t="str">
        <f>IFERROR(__XLUDF.DUMMYFUNCTION("PROPER(REGEXREPLACE(D923,""[^A-Za-z]+ "",""""))"),"At Métallerie Sas")</f>
        <v xml:space="preserve">At Métallerie Sas</v>
      </c>
      <c r="G11011" s="18" t="s">
        <v>50396</v>
      </c>
      <c r="H11011" s="18">
        <v>3</v>
      </c>
      <c r="I11011" s="18" t="s">
        <v>9239</v>
      </c>
      <c r="J11011" s="5" t="s">
        <v>50397</v>
      </c>
      <c r="K11011" s="5" t="s">
        <v>50398</v>
      </c>
      <c r="L11011" s="18" t="s">
        <v>39</v>
      </c>
      <c r="M11011" s="18" t="s">
        <v>29</v>
      </c>
      <c r="N11011" s="18" t="s">
        <v>50399</v>
      </c>
      <c r="O11011" s="18" t="s">
        <v>29</v>
      </c>
      <c r="P11011" s="18" t="s">
        <v>50400</v>
      </c>
      <c r="Q11011" s="6"/>
      <c r="R11011" s="6"/>
      <c r="S11011" s="6"/>
      <c r="T11011" s="6"/>
      <c r="U11011" s="6"/>
    </row>
    <row r="11012" ht="14.25">
      <c r="B11012" s="18" t="s">
        <v>42669</v>
      </c>
      <c r="C11012" s="18" t="s">
        <v>50401</v>
      </c>
      <c r="D11012" s="18" t="s">
        <v>50402</v>
      </c>
      <c r="E11012" s="18" t="s">
        <v>44909</v>
      </c>
      <c r="F11012" s="18" t="str">
        <f>IFERROR(__XLUDF.DUMMYFUNCTION("PROPER(REGEXREPLACE(D924,""[^A-Za-z]+ "",""""))"),"Groupe Tilkeo")</f>
        <v xml:space="preserve">Groupe Tilkeo</v>
      </c>
      <c r="G11012" s="18" t="s">
        <v>50403</v>
      </c>
      <c r="H11012" s="18">
        <v>37</v>
      </c>
      <c r="I11012" s="18" t="s">
        <v>9239</v>
      </c>
      <c r="J11012" s="5" t="s">
        <v>50404</v>
      </c>
      <c r="K11012" s="5" t="s">
        <v>44912</v>
      </c>
      <c r="L11012" s="6"/>
      <c r="M11012" s="18" t="s">
        <v>29</v>
      </c>
      <c r="N11012" s="18" t="s">
        <v>44914</v>
      </c>
      <c r="O11012" s="18" t="s">
        <v>29</v>
      </c>
      <c r="P11012" s="18" t="s">
        <v>44915</v>
      </c>
      <c r="Q11012" s="6"/>
      <c r="R11012" s="6"/>
      <c r="S11012" s="6"/>
      <c r="T11012" s="6"/>
      <c r="U11012" s="6"/>
    </row>
    <row r="11013" ht="14.25">
      <c r="B11013" s="18" t="s">
        <v>222</v>
      </c>
      <c r="C11013" s="18" t="s">
        <v>866</v>
      </c>
      <c r="D11013" s="18" t="s">
        <v>172</v>
      </c>
      <c r="E11013" s="18" t="s">
        <v>50405</v>
      </c>
      <c r="F11013" s="18" t="str">
        <f>IFERROR(__XLUDF.DUMMYFUNCTION("PROPER(REGEXREPLACE(D925,""[^A-Za-z]+ "",""""))"),"Spa Piscines")</f>
        <v xml:space="preserve">Spa Piscines</v>
      </c>
      <c r="G11013" s="18" t="s">
        <v>50406</v>
      </c>
      <c r="H11013" s="18">
        <v>4</v>
      </c>
      <c r="I11013" s="18" t="s">
        <v>9239</v>
      </c>
      <c r="J11013" s="5" t="s">
        <v>50407</v>
      </c>
      <c r="K11013" s="5" t="s">
        <v>50408</v>
      </c>
      <c r="L11013" s="18" t="s">
        <v>49</v>
      </c>
      <c r="M11013" s="18" t="s">
        <v>29</v>
      </c>
      <c r="N11013" s="18" t="s">
        <v>50409</v>
      </c>
      <c r="O11013" s="18" t="s">
        <v>29</v>
      </c>
      <c r="P11013" s="18" t="s">
        <v>50410</v>
      </c>
      <c r="Q11013" s="6"/>
      <c r="R11013" s="6"/>
      <c r="S11013" s="6"/>
      <c r="T11013" s="6"/>
      <c r="U11013" s="6"/>
    </row>
    <row r="11014" ht="14.25">
      <c r="B11014" s="18" t="s">
        <v>3002</v>
      </c>
      <c r="C11014" s="18" t="s">
        <v>50411</v>
      </c>
      <c r="D11014" s="18" t="s">
        <v>172</v>
      </c>
      <c r="E11014" s="18" t="s">
        <v>50412</v>
      </c>
      <c r="F11014" s="18" t="str">
        <f>IFERROR(__XLUDF.DUMMYFUNCTION("PROPER(REGEXREPLACE(D926,""[^A-Za-z]+ "",""""))"),"Aurora Ingenierie")</f>
        <v xml:space="preserve">Aurora Ingenierie</v>
      </c>
      <c r="G11014" s="18" t="s">
        <v>50413</v>
      </c>
      <c r="H11014" s="18">
        <v>1</v>
      </c>
      <c r="I11014" s="18" t="s">
        <v>9239</v>
      </c>
      <c r="J11014" s="5" t="s">
        <v>50414</v>
      </c>
      <c r="K11014" s="5" t="s">
        <v>50415</v>
      </c>
      <c r="L11014" s="18" t="s">
        <v>49</v>
      </c>
      <c r="M11014" s="18" t="s">
        <v>29</v>
      </c>
      <c r="N11014" s="18" t="s">
        <v>50416</v>
      </c>
      <c r="O11014" s="18" t="s">
        <v>29</v>
      </c>
      <c r="P11014" s="6"/>
      <c r="Q11014" s="6"/>
      <c r="R11014" s="6"/>
      <c r="S11014" s="6"/>
      <c r="T11014" s="6"/>
      <c r="U11014" s="6"/>
    </row>
    <row r="11015" ht="14.25">
      <c r="B11015" s="18" t="s">
        <v>1027</v>
      </c>
      <c r="C11015" s="18" t="s">
        <v>50417</v>
      </c>
      <c r="D11015" s="18" t="s">
        <v>172</v>
      </c>
      <c r="E11015" s="18" t="s">
        <v>50418</v>
      </c>
      <c r="F11015" s="18" t="str">
        <f>IFERROR(__XLUDF.DUMMYFUNCTION("PROPER(REGEXREPLACE(D927,""[^A-Za-z]+ "",""""))"),"Mb Passion")</f>
        <v xml:space="preserve">Mb Passion</v>
      </c>
      <c r="G11015" s="18" t="s">
        <v>50419</v>
      </c>
      <c r="H11015" s="18">
        <v>3</v>
      </c>
      <c r="I11015" s="18" t="s">
        <v>9239</v>
      </c>
      <c r="J11015" s="5" t="s">
        <v>50420</v>
      </c>
      <c r="K11015" s="5" t="s">
        <v>50421</v>
      </c>
      <c r="L11015" s="18" t="s">
        <v>50422</v>
      </c>
      <c r="M11015" s="18" t="s">
        <v>29</v>
      </c>
      <c r="N11015" s="18" t="s">
        <v>50423</v>
      </c>
      <c r="O11015" s="18" t="s">
        <v>29</v>
      </c>
      <c r="P11015" s="18" t="s">
        <v>50424</v>
      </c>
      <c r="Q11015" s="6"/>
      <c r="R11015" s="6"/>
      <c r="S11015" s="6"/>
      <c r="T11015" s="6"/>
      <c r="U11015" s="6"/>
    </row>
    <row r="11016" ht="14.25">
      <c r="B11016" s="18" t="s">
        <v>571</v>
      </c>
      <c r="C11016" s="18" t="s">
        <v>11874</v>
      </c>
      <c r="D11016" s="18" t="s">
        <v>487</v>
      </c>
      <c r="E11016" s="18" t="s">
        <v>50425</v>
      </c>
      <c r="F11016" s="18" t="str">
        <f>IFERROR(__XLUDF.DUMMYFUNCTION("PROPER(REGEXREPLACE(D928,""[^A-Za-z]+ "",""""))"),"Amhpb Créations")</f>
        <v xml:space="preserve">Amhpb Créations</v>
      </c>
      <c r="G11016" s="18" t="s">
        <v>50426</v>
      </c>
      <c r="H11016" s="18">
        <v>2</v>
      </c>
      <c r="I11016" s="18" t="s">
        <v>9239</v>
      </c>
      <c r="J11016" s="5" t="s">
        <v>50427</v>
      </c>
      <c r="K11016" s="5" t="s">
        <v>50428</v>
      </c>
      <c r="L11016" s="18" t="s">
        <v>39</v>
      </c>
      <c r="M11016" s="18" t="s">
        <v>29</v>
      </c>
      <c r="N11016" s="18" t="s">
        <v>25451</v>
      </c>
      <c r="O11016" s="18" t="s">
        <v>29</v>
      </c>
      <c r="P11016" s="18" t="s">
        <v>50429</v>
      </c>
      <c r="Q11016" s="6"/>
      <c r="R11016" s="6"/>
      <c r="S11016" s="6"/>
      <c r="T11016" s="6"/>
      <c r="U11016" s="6"/>
    </row>
    <row r="11017" ht="14.25">
      <c r="B11017" s="18" t="s">
        <v>1421</v>
      </c>
      <c r="C11017" s="18" t="s">
        <v>6390</v>
      </c>
      <c r="D11017" s="18" t="s">
        <v>50430</v>
      </c>
      <c r="E11017" s="18" t="s">
        <v>9235</v>
      </c>
      <c r="F11017" s="18" t="str">
        <f>IFERROR(__XLUDF.DUMMYFUNCTION("PROPER(REGEXREPLACE(D929,""[^A-Za-z]+ "",""""))"),"Bcm")</f>
        <v>Bcm</v>
      </c>
      <c r="G11017" s="18" t="s">
        <v>50431</v>
      </c>
      <c r="H11017" s="18">
        <v>25</v>
      </c>
      <c r="I11017" s="18" t="s">
        <v>9239</v>
      </c>
      <c r="J11017" s="5" t="s">
        <v>50432</v>
      </c>
      <c r="K11017" s="5" t="s">
        <v>50027</v>
      </c>
      <c r="L11017" s="18" t="s">
        <v>9237</v>
      </c>
      <c r="M11017" s="18" t="s">
        <v>29</v>
      </c>
      <c r="N11017" s="18" t="s">
        <v>50028</v>
      </c>
      <c r="O11017" s="18" t="s">
        <v>29</v>
      </c>
      <c r="P11017" s="18" t="s">
        <v>9243</v>
      </c>
      <c r="Q11017" s="6"/>
      <c r="R11017" s="6"/>
      <c r="S11017" s="6"/>
      <c r="T11017" s="6"/>
      <c r="U11017" s="6"/>
    </row>
    <row r="11018" ht="14.25">
      <c r="B11018" s="18" t="s">
        <v>50433</v>
      </c>
      <c r="C11018" s="18" t="s">
        <v>49441</v>
      </c>
      <c r="D11018" s="18" t="s">
        <v>172</v>
      </c>
      <c r="E11018" s="18" t="s">
        <v>50434</v>
      </c>
      <c r="F11018" s="18" t="str">
        <f>IFERROR(__XLUDF.DUMMYFUNCTION("PROPER(REGEXREPLACE(D930,""[^A-Za-z]+ "",""""))"),"Sas Demeures Parisiennes")</f>
        <v xml:space="preserve">Sas Demeures Parisiennes</v>
      </c>
      <c r="G11018" s="18" t="s">
        <v>50435</v>
      </c>
      <c r="H11018" s="18">
        <v>3</v>
      </c>
      <c r="I11018" s="18" t="s">
        <v>9239</v>
      </c>
      <c r="J11018" s="5" t="s">
        <v>50436</v>
      </c>
      <c r="K11018" s="5" t="s">
        <v>50437</v>
      </c>
      <c r="L11018" s="18" t="s">
        <v>39</v>
      </c>
      <c r="M11018" s="18" t="s">
        <v>29</v>
      </c>
      <c r="N11018" s="18" t="s">
        <v>50438</v>
      </c>
      <c r="O11018" s="18" t="s">
        <v>29</v>
      </c>
      <c r="P11018" s="18" t="s">
        <v>50439</v>
      </c>
      <c r="Q11018" s="6"/>
      <c r="R11018" s="6"/>
      <c r="S11018" s="6"/>
      <c r="T11018" s="6"/>
      <c r="U11018" s="6"/>
    </row>
    <row r="11019" ht="14.25">
      <c r="B11019" s="18" t="s">
        <v>50440</v>
      </c>
      <c r="C11019" s="18" t="s">
        <v>50441</v>
      </c>
      <c r="D11019" s="18" t="s">
        <v>172</v>
      </c>
      <c r="E11019" s="18" t="s">
        <v>50442</v>
      </c>
      <c r="F11019" s="18" t="str">
        <f>IFERROR(__XLUDF.DUMMYFUNCTION("PROPER(REGEXREPLACE(D931,""[^A-Za-z]+ "",""""))"),"Diarbosa")</f>
        <v>Diarbosa</v>
      </c>
      <c r="G11019" s="18" t="s">
        <v>50443</v>
      </c>
      <c r="H11019" s="6"/>
      <c r="I11019" s="6"/>
      <c r="J11019" s="5" t="s">
        <v>50444</v>
      </c>
      <c r="K11019" s="5" t="s">
        <v>50445</v>
      </c>
      <c r="L11019" s="18" t="s">
        <v>39</v>
      </c>
      <c r="M11019" s="18" t="s">
        <v>29</v>
      </c>
      <c r="N11019" s="6"/>
      <c r="O11019" s="6"/>
      <c r="P11019" s="6"/>
      <c r="Q11019" s="6"/>
      <c r="R11019" s="6"/>
      <c r="S11019" s="6"/>
      <c r="T11019" s="6"/>
      <c r="U11019" s="6"/>
    </row>
    <row r="11020" ht="14.25">
      <c r="B11020" s="18" t="s">
        <v>222</v>
      </c>
      <c r="C11020" s="18" t="s">
        <v>50446</v>
      </c>
      <c r="D11020" s="18" t="s">
        <v>50447</v>
      </c>
      <c r="E11020" s="18" t="s">
        <v>50448</v>
      </c>
      <c r="F11020" s="18" t="str">
        <f>IFERROR(__XLUDF.DUMMYFUNCTION("PROPER(REGEXREPLACE(D932,""[^A-Za-z]+ "",""""))"),"Rea Habitat")</f>
        <v xml:space="preserve">Rea Habitat</v>
      </c>
      <c r="G11020" s="18" t="s">
        <v>50449</v>
      </c>
      <c r="H11020" s="18">
        <v>4</v>
      </c>
      <c r="I11020" s="18" t="s">
        <v>9239</v>
      </c>
      <c r="J11020" s="5" t="s">
        <v>50450</v>
      </c>
      <c r="K11020" s="5" t="s">
        <v>50451</v>
      </c>
      <c r="L11020" s="18" t="s">
        <v>5742</v>
      </c>
      <c r="M11020" s="18" t="s">
        <v>29</v>
      </c>
      <c r="N11020" s="18" t="s">
        <v>50452</v>
      </c>
      <c r="O11020" s="18" t="s">
        <v>29</v>
      </c>
      <c r="P11020" s="18" t="s">
        <v>50453</v>
      </c>
      <c r="Q11020" s="6"/>
      <c r="R11020" s="6"/>
      <c r="S11020" s="6"/>
      <c r="T11020" s="6"/>
      <c r="U11020" s="6"/>
    </row>
    <row r="11021" ht="14.25">
      <c r="B11021" s="18" t="s">
        <v>178</v>
      </c>
      <c r="C11021" s="18" t="s">
        <v>50454</v>
      </c>
      <c r="D11021" s="18" t="s">
        <v>172</v>
      </c>
      <c r="E11021" s="18" t="s">
        <v>50455</v>
      </c>
      <c r="F11021" s="18" t="str">
        <f>IFERROR(__XLUDF.DUMMYFUNCTION("PROPER(REGEXREPLACE(D933,""[^A-Za-z]+ "",""""))"),"Launet Construction")</f>
        <v xml:space="preserve">Launet Construction</v>
      </c>
      <c r="G11021" s="18" t="s">
        <v>50456</v>
      </c>
      <c r="H11021" s="18">
        <v>49</v>
      </c>
      <c r="I11021" s="18" t="s">
        <v>9239</v>
      </c>
      <c r="J11021" s="5" t="s">
        <v>50457</v>
      </c>
      <c r="K11021" s="5" t="s">
        <v>50458</v>
      </c>
      <c r="L11021" s="6"/>
      <c r="M11021" s="18" t="s">
        <v>29</v>
      </c>
      <c r="N11021" s="18" t="s">
        <v>50459</v>
      </c>
      <c r="O11021" s="18" t="s">
        <v>29</v>
      </c>
      <c r="P11021" s="6"/>
      <c r="Q11021" s="6"/>
      <c r="R11021" s="6"/>
      <c r="S11021" s="6"/>
      <c r="T11021" s="6"/>
      <c r="U11021" s="6"/>
    </row>
    <row r="11022" ht="14.25">
      <c r="B11022" s="18" t="s">
        <v>817</v>
      </c>
      <c r="C11022" s="18" t="s">
        <v>50460</v>
      </c>
      <c r="D11022" s="18" t="s">
        <v>172</v>
      </c>
      <c r="E11022" s="18" t="s">
        <v>50461</v>
      </c>
      <c r="F11022" s="18" t="str">
        <f>IFERROR(__XLUDF.DUMMYFUNCTION("PROPER(REGEXREPLACE(D934,""[^A-Za-z]+ "",""""))"),"3S Equipements Routiers")</f>
        <v xml:space="preserve">3S Equipements Routiers</v>
      </c>
      <c r="G11022" s="18" t="s">
        <v>50462</v>
      </c>
      <c r="H11022" s="18">
        <v>33</v>
      </c>
      <c r="I11022" s="18" t="s">
        <v>9239</v>
      </c>
      <c r="J11022" s="5" t="s">
        <v>50463</v>
      </c>
      <c r="K11022" s="5" t="s">
        <v>50464</v>
      </c>
      <c r="L11022" s="18" t="s">
        <v>83</v>
      </c>
      <c r="M11022" s="18" t="s">
        <v>29</v>
      </c>
      <c r="N11022" s="18" t="s">
        <v>50465</v>
      </c>
      <c r="O11022" s="18" t="s">
        <v>29</v>
      </c>
      <c r="P11022" s="6"/>
      <c r="Q11022" s="6"/>
      <c r="R11022" s="6"/>
      <c r="S11022" s="6"/>
      <c r="T11022" s="6"/>
      <c r="U11022" s="6"/>
    </row>
    <row r="11023" ht="14.25">
      <c r="B11023" s="18" t="s">
        <v>1421</v>
      </c>
      <c r="C11023" s="18" t="s">
        <v>50466</v>
      </c>
      <c r="D11023" s="18" t="s">
        <v>2636</v>
      </c>
      <c r="E11023" s="18" t="s">
        <v>50467</v>
      </c>
      <c r="F11023" s="18" t="str">
        <f>IFERROR(__XLUDF.DUMMYFUNCTION("PROPER(REGEXREPLACE(D935,""[^A-Za-z]+ "",""""))"),"Isopanel")</f>
        <v>Isopanel</v>
      </c>
      <c r="G11023" s="18" t="s">
        <v>50468</v>
      </c>
      <c r="H11023" s="18">
        <v>6</v>
      </c>
      <c r="I11023" s="18" t="s">
        <v>9239</v>
      </c>
      <c r="J11023" s="5" t="s">
        <v>50469</v>
      </c>
      <c r="K11023" s="5" t="s">
        <v>50470</v>
      </c>
      <c r="L11023" s="18" t="s">
        <v>50471</v>
      </c>
      <c r="M11023" s="18" t="s">
        <v>29</v>
      </c>
      <c r="N11023" s="18" t="s">
        <v>50472</v>
      </c>
      <c r="O11023" s="18" t="s">
        <v>29</v>
      </c>
      <c r="P11023" s="6"/>
      <c r="Q11023" s="6"/>
      <c r="R11023" s="6"/>
      <c r="S11023" s="6"/>
      <c r="T11023" s="6"/>
      <c r="U11023" s="6"/>
    </row>
    <row r="11024" ht="14.25">
      <c r="B11024" s="18" t="s">
        <v>118</v>
      </c>
      <c r="C11024" s="18" t="s">
        <v>3850</v>
      </c>
      <c r="D11024" s="18" t="s">
        <v>7185</v>
      </c>
      <c r="E11024" s="18" t="s">
        <v>50473</v>
      </c>
      <c r="F11024" s="18" t="str">
        <f>IFERROR(__XLUDF.DUMMYFUNCTION("PROPER(REGEXREPLACE(D936,""[^A-Za-z]+ "",""""))"),"Terrassesvivre")</f>
        <v>Terrassesvivre</v>
      </c>
      <c r="G11024" s="18" t="s">
        <v>50474</v>
      </c>
      <c r="H11024" s="18">
        <v>2</v>
      </c>
      <c r="I11024" s="18" t="s">
        <v>9239</v>
      </c>
      <c r="J11024" s="5" t="s">
        <v>50475</v>
      </c>
      <c r="K11024" s="5" t="s">
        <v>50476</v>
      </c>
      <c r="L11024" s="18" t="s">
        <v>1711</v>
      </c>
      <c r="M11024" s="18" t="s">
        <v>29</v>
      </c>
      <c r="N11024" s="18" t="s">
        <v>50477</v>
      </c>
      <c r="O11024" s="18" t="s">
        <v>29</v>
      </c>
      <c r="P11024" s="18" t="s">
        <v>50478</v>
      </c>
      <c r="Q11024" s="6"/>
      <c r="R11024" s="6"/>
      <c r="S11024" s="6"/>
      <c r="T11024" s="6"/>
      <c r="U11024" s="6"/>
    </row>
    <row r="11025" ht="14.25">
      <c r="B11025" s="18" t="s">
        <v>785</v>
      </c>
      <c r="C11025" s="18" t="s">
        <v>23769</v>
      </c>
      <c r="D11025" s="18" t="s">
        <v>112</v>
      </c>
      <c r="E11025" s="18" t="s">
        <v>50479</v>
      </c>
      <c r="F11025" s="18" t="str">
        <f>IFERROR(__XLUDF.DUMMYFUNCTION("PROPER(REGEXREPLACE(D937,""[^A-Za-z]+ "",""""))"),"Groupe Eto")</f>
        <v xml:space="preserve">Groupe Eto</v>
      </c>
      <c r="G11025" s="18" t="s">
        <v>50480</v>
      </c>
      <c r="H11025" s="18">
        <v>4</v>
      </c>
      <c r="I11025" s="18" t="s">
        <v>9239</v>
      </c>
      <c r="J11025" s="5" t="s">
        <v>50481</v>
      </c>
      <c r="K11025" s="5" t="s">
        <v>50482</v>
      </c>
      <c r="L11025" s="6"/>
      <c r="M11025" s="18" t="s">
        <v>29</v>
      </c>
      <c r="N11025" s="18" t="s">
        <v>50483</v>
      </c>
      <c r="O11025" s="18" t="s">
        <v>29</v>
      </c>
      <c r="P11025" s="18" t="s">
        <v>50484</v>
      </c>
      <c r="Q11025" s="6"/>
      <c r="R11025" s="6"/>
      <c r="S11025" s="6"/>
      <c r="T11025" s="6"/>
      <c r="U11025" s="6"/>
    </row>
    <row r="11026" ht="14.25">
      <c r="B11026" s="18" t="s">
        <v>50485</v>
      </c>
      <c r="C11026" s="18" t="s">
        <v>50486</v>
      </c>
      <c r="D11026" s="18" t="s">
        <v>1130</v>
      </c>
      <c r="E11026" s="18" t="s">
        <v>50487</v>
      </c>
      <c r="F11026" s="18" t="str">
        <f>IFERROR(__XLUDF.DUMMYFUNCTION("PROPER(REGEXREPLACE(D938,""[^A-Za-z]+ "",""""))"),"Sg Btp")</f>
        <v xml:space="preserve">Sg Btp</v>
      </c>
      <c r="G11026" s="18" t="s">
        <v>50488</v>
      </c>
      <c r="H11026" s="18">
        <v>4</v>
      </c>
      <c r="I11026" s="18" t="s">
        <v>9239</v>
      </c>
      <c r="J11026" s="5" t="s">
        <v>50489</v>
      </c>
      <c r="K11026" s="5" t="s">
        <v>50490</v>
      </c>
      <c r="L11026" s="18" t="s">
        <v>39</v>
      </c>
      <c r="M11026" s="18" t="s">
        <v>29</v>
      </c>
      <c r="N11026" s="18" t="s">
        <v>30031</v>
      </c>
      <c r="O11026" s="18" t="s">
        <v>29</v>
      </c>
      <c r="P11026" s="6"/>
      <c r="Q11026" s="6"/>
      <c r="R11026" s="6"/>
      <c r="S11026" s="6"/>
      <c r="T11026" s="6"/>
      <c r="U11026" s="6"/>
    </row>
    <row r="11027" ht="14.25">
      <c r="B11027" s="18" t="s">
        <v>963</v>
      </c>
      <c r="C11027" s="18" t="s">
        <v>50491</v>
      </c>
      <c r="D11027" s="18" t="s">
        <v>50492</v>
      </c>
      <c r="E11027" s="18" t="s">
        <v>50493</v>
      </c>
      <c r="F11027" s="18" t="str">
        <f>IFERROR(__XLUDF.DUMMYFUNCTION("PROPER(REGEXREPLACE(D939,""[^A-Za-z]+ "",""""))"),"Geo²Concept")</f>
        <v>Geo²Concept</v>
      </c>
      <c r="G11027" s="18" t="s">
        <v>50494</v>
      </c>
      <c r="H11027" s="18">
        <v>18</v>
      </c>
      <c r="I11027" s="18" t="s">
        <v>9239</v>
      </c>
      <c r="J11027" s="5" t="s">
        <v>50495</v>
      </c>
      <c r="K11027" s="5" t="s">
        <v>50496</v>
      </c>
      <c r="L11027" s="18" t="s">
        <v>439</v>
      </c>
      <c r="M11027" s="18" t="s">
        <v>29</v>
      </c>
      <c r="N11027" s="18" t="s">
        <v>50497</v>
      </c>
      <c r="O11027" s="18" t="s">
        <v>29</v>
      </c>
      <c r="P11027" s="18" t="s">
        <v>50498</v>
      </c>
      <c r="Q11027" s="6"/>
      <c r="R11027" s="6"/>
      <c r="S11027" s="6"/>
      <c r="T11027" s="6"/>
      <c r="U11027" s="6"/>
    </row>
    <row r="11028" ht="14.25">
      <c r="B11028" s="18" t="s">
        <v>5716</v>
      </c>
      <c r="C11028" s="18" t="s">
        <v>50499</v>
      </c>
      <c r="D11028" s="18" t="s">
        <v>112</v>
      </c>
      <c r="E11028" s="18" t="s">
        <v>50500</v>
      </c>
      <c r="F11028" s="18" t="str">
        <f>IFERROR(__XLUDF.DUMMYFUNCTION("PROPER(REGEXREPLACE(D940,""[^A-Za-z]+ "",""""))"),"Motec Ingenierie")</f>
        <v xml:space="preserve">Motec Ingenierie</v>
      </c>
      <c r="G11028" s="18" t="s">
        <v>50501</v>
      </c>
      <c r="H11028" s="18">
        <v>19</v>
      </c>
      <c r="I11028" s="18" t="s">
        <v>9239</v>
      </c>
      <c r="J11028" s="5" t="s">
        <v>50502</v>
      </c>
      <c r="K11028" s="5" t="s">
        <v>50503</v>
      </c>
      <c r="L11028" s="6"/>
      <c r="M11028" s="18" t="s">
        <v>29</v>
      </c>
      <c r="N11028" s="18" t="s">
        <v>49323</v>
      </c>
      <c r="O11028" s="18" t="s">
        <v>29</v>
      </c>
      <c r="P11028" s="18" t="s">
        <v>50504</v>
      </c>
      <c r="Q11028" s="6"/>
      <c r="R11028" s="6"/>
      <c r="S11028" s="6"/>
      <c r="T11028" s="6"/>
      <c r="U11028" s="6"/>
    </row>
    <row r="11029" ht="14.25">
      <c r="B11029" s="18" t="s">
        <v>42694</v>
      </c>
      <c r="C11029" s="18" t="s">
        <v>50505</v>
      </c>
      <c r="D11029" s="18" t="s">
        <v>112</v>
      </c>
      <c r="E11029" s="18" t="s">
        <v>50506</v>
      </c>
      <c r="F11029" s="18" t="str">
        <f>IFERROR(__XLUDF.DUMMYFUNCTION("PROPER(REGEXREPLACE(D941,""[^A-Za-z]+ "",""""))"),"Laboratoire Ceapic")</f>
        <v xml:space="preserve">Laboratoire Ceapic</v>
      </c>
      <c r="G11029" s="18" t="s">
        <v>50507</v>
      </c>
      <c r="H11029" s="18">
        <v>30</v>
      </c>
      <c r="I11029" s="18" t="s">
        <v>9239</v>
      </c>
      <c r="J11029" s="5" t="s">
        <v>50508</v>
      </c>
      <c r="K11029" s="5" t="s">
        <v>50509</v>
      </c>
      <c r="L11029" s="6"/>
      <c r="M11029" s="18" t="s">
        <v>29</v>
      </c>
      <c r="N11029" s="18" t="s">
        <v>50510</v>
      </c>
      <c r="O11029" s="18" t="s">
        <v>29</v>
      </c>
      <c r="P11029" s="18" t="s">
        <v>50511</v>
      </c>
      <c r="Q11029" s="6"/>
      <c r="R11029" s="6"/>
      <c r="S11029" s="6"/>
      <c r="T11029" s="6"/>
      <c r="U11029" s="6"/>
    </row>
    <row r="11030" ht="14.25">
      <c r="B11030" s="18" t="s">
        <v>6634</v>
      </c>
      <c r="C11030" s="18" t="s">
        <v>50512</v>
      </c>
      <c r="D11030" s="18" t="s">
        <v>112</v>
      </c>
      <c r="E11030" s="18" t="s">
        <v>50513</v>
      </c>
      <c r="F11030" s="18" t="str">
        <f>IFERROR(__XLUDF.DUMMYFUNCTION("PROPER(REGEXREPLACE(D942,""[^A-Za-z]+ "",""""))"),"Contant S.A.S")</f>
        <v xml:space="preserve">Contant S.A.S</v>
      </c>
      <c r="G11030" s="18" t="s">
        <v>50514</v>
      </c>
      <c r="H11030" s="18">
        <v>18</v>
      </c>
      <c r="I11030" s="18" t="s">
        <v>9239</v>
      </c>
      <c r="J11030" s="5" t="s">
        <v>50515</v>
      </c>
      <c r="K11030" s="5" t="s">
        <v>50516</v>
      </c>
      <c r="L11030" s="6"/>
      <c r="M11030" s="18" t="s">
        <v>29</v>
      </c>
      <c r="N11030" s="18" t="s">
        <v>50517</v>
      </c>
      <c r="O11030" s="18" t="s">
        <v>29</v>
      </c>
      <c r="P11030" s="18" t="s">
        <v>50518</v>
      </c>
      <c r="Q11030" s="6"/>
      <c r="R11030" s="6"/>
      <c r="S11030" s="6"/>
      <c r="T11030" s="6"/>
      <c r="U11030" s="6"/>
    </row>
    <row r="11031" ht="14.25">
      <c r="B11031" s="18" t="s">
        <v>1215</v>
      </c>
      <c r="C11031" s="18" t="s">
        <v>50519</v>
      </c>
      <c r="D11031" s="18" t="s">
        <v>112</v>
      </c>
      <c r="E11031" s="18" t="s">
        <v>50520</v>
      </c>
      <c r="F11031" s="18" t="str">
        <f>IFERROR(__XLUDF.DUMMYFUNCTION("PROPER(REGEXREPLACE(D943,""[^A-Za-z]+ "",""""))"),"Menuiserie Vuillermet")</f>
        <v xml:space="preserve">Menuiserie Vuillermet</v>
      </c>
      <c r="G11031" s="18" t="s">
        <v>50521</v>
      </c>
      <c r="H11031" s="18">
        <v>17</v>
      </c>
      <c r="I11031" s="18" t="s">
        <v>9239</v>
      </c>
      <c r="J11031" s="5" t="s">
        <v>50522</v>
      </c>
      <c r="K11031" s="5" t="s">
        <v>50523</v>
      </c>
      <c r="L11031" s="18" t="s">
        <v>774</v>
      </c>
      <c r="M11031" s="18" t="s">
        <v>29</v>
      </c>
      <c r="N11031" s="18" t="s">
        <v>30059</v>
      </c>
      <c r="O11031" s="18" t="s">
        <v>29</v>
      </c>
      <c r="P11031" s="6"/>
      <c r="Q11031" s="6"/>
      <c r="R11031" s="6"/>
      <c r="S11031" s="6"/>
      <c r="T11031" s="6"/>
      <c r="U11031" s="6"/>
    </row>
    <row r="11032" ht="14.25">
      <c r="B11032" s="18" t="s">
        <v>118</v>
      </c>
      <c r="C11032" s="18" t="s">
        <v>15353</v>
      </c>
      <c r="D11032" s="18" t="s">
        <v>112</v>
      </c>
      <c r="E11032" s="18" t="s">
        <v>50524</v>
      </c>
      <c r="F11032" s="18" t="str">
        <f>IFERROR(__XLUDF.DUMMYFUNCTION("PROPER(REGEXREPLACE(D944,""[^A-Za-z]+ "",""""))"),"Sanipac")</f>
        <v>Sanipac</v>
      </c>
      <c r="G11032" s="18" t="s">
        <v>50525</v>
      </c>
      <c r="H11032" s="18">
        <v>21</v>
      </c>
      <c r="I11032" s="18" t="s">
        <v>9239</v>
      </c>
      <c r="J11032" s="5" t="s">
        <v>50526</v>
      </c>
      <c r="K11032" s="5" t="s">
        <v>50527</v>
      </c>
      <c r="L11032" s="6"/>
      <c r="M11032" s="18" t="s">
        <v>29</v>
      </c>
      <c r="N11032" s="18" t="s">
        <v>50528</v>
      </c>
      <c r="O11032" s="18" t="s">
        <v>29</v>
      </c>
      <c r="P11032" s="18" t="s">
        <v>50529</v>
      </c>
      <c r="Q11032" s="6"/>
      <c r="R11032" s="6"/>
      <c r="S11032" s="6"/>
      <c r="T11032" s="6"/>
      <c r="U11032" s="6"/>
    </row>
    <row r="11033" ht="14.25">
      <c r="B11033" s="18" t="s">
        <v>4800</v>
      </c>
      <c r="C11033" s="18" t="s">
        <v>9346</v>
      </c>
      <c r="D11033" s="18" t="s">
        <v>1130</v>
      </c>
      <c r="E11033" s="18" t="s">
        <v>46571</v>
      </c>
      <c r="F11033" s="18" t="str">
        <f>IFERROR(__XLUDF.DUMMYFUNCTION("PROPER(REGEXREPLACE(D945,""[^A-Za-z]+ "",""""))"),"Ipe Immobilier Pour L'Entreprise")</f>
        <v xml:space="preserve">Ipe Immobilier Pour L'Entreprise</v>
      </c>
      <c r="G11033" s="18" t="s">
        <v>50530</v>
      </c>
      <c r="H11033" s="18">
        <v>16</v>
      </c>
      <c r="I11033" s="18" t="s">
        <v>9239</v>
      </c>
      <c r="J11033" s="5" t="s">
        <v>50531</v>
      </c>
      <c r="K11033" s="5" t="s">
        <v>46574</v>
      </c>
      <c r="L11033" s="18" t="s">
        <v>39</v>
      </c>
      <c r="M11033" s="18" t="s">
        <v>29</v>
      </c>
      <c r="N11033" s="18" t="s">
        <v>46575</v>
      </c>
      <c r="O11033" s="18" t="s">
        <v>29</v>
      </c>
      <c r="P11033" s="18" t="s">
        <v>46576</v>
      </c>
      <c r="Q11033" s="6"/>
      <c r="R11033" s="6"/>
      <c r="S11033" s="6"/>
      <c r="T11033" s="6"/>
      <c r="U11033" s="6"/>
    </row>
    <row r="11034" ht="14.25">
      <c r="B11034" s="18" t="s">
        <v>1387</v>
      </c>
      <c r="C11034" s="18" t="s">
        <v>50532</v>
      </c>
      <c r="D11034" s="18" t="s">
        <v>1130</v>
      </c>
      <c r="E11034" s="18" t="s">
        <v>50533</v>
      </c>
      <c r="F11034" s="18" t="str">
        <f>IFERROR(__XLUDF.DUMMYFUNCTION("PROPER(REGEXREPLACE(D946,""[^A-Za-z]+ "",""""))"),"At Plus Production")</f>
        <v xml:space="preserve">At Plus Production</v>
      </c>
      <c r="G11034" s="18" t="s">
        <v>50534</v>
      </c>
      <c r="H11034" s="18">
        <v>3</v>
      </c>
      <c r="I11034" s="18" t="s">
        <v>9239</v>
      </c>
      <c r="J11034" s="5" t="s">
        <v>50535</v>
      </c>
      <c r="K11034" s="5" t="s">
        <v>50536</v>
      </c>
      <c r="L11034" s="18" t="s">
        <v>482</v>
      </c>
      <c r="M11034" s="18" t="s">
        <v>29</v>
      </c>
      <c r="N11034" s="18" t="s">
        <v>50537</v>
      </c>
      <c r="O11034" s="18" t="s">
        <v>29</v>
      </c>
      <c r="P11034" s="6"/>
      <c r="Q11034" s="6"/>
      <c r="R11034" s="6"/>
      <c r="S11034" s="6"/>
      <c r="T11034" s="6"/>
      <c r="U11034" s="6"/>
    </row>
    <row r="11035" ht="14.25">
      <c r="B11035" s="18" t="s">
        <v>5060</v>
      </c>
      <c r="C11035" s="18" t="s">
        <v>50538</v>
      </c>
      <c r="D11035" s="18" t="s">
        <v>50539</v>
      </c>
      <c r="E11035" s="18" t="s">
        <v>50540</v>
      </c>
      <c r="F11035" s="18" t="str">
        <f>IFERROR(__XLUDF.DUMMYFUNCTION("PROPER(REGEXREPLACE(D947,""[^A-Za-z]+ "",""""))"),"Gcbtp")</f>
        <v>Gcbtp</v>
      </c>
      <c r="G11035" s="18" t="s">
        <v>50541</v>
      </c>
      <c r="H11035" s="18">
        <v>42</v>
      </c>
      <c r="I11035" s="18" t="s">
        <v>9239</v>
      </c>
      <c r="J11035" s="5" t="s">
        <v>50542</v>
      </c>
      <c r="K11035" s="5" t="s">
        <v>50543</v>
      </c>
      <c r="L11035" s="18" t="s">
        <v>39</v>
      </c>
      <c r="M11035" s="18" t="s">
        <v>29</v>
      </c>
      <c r="N11035" s="18" t="s">
        <v>23170</v>
      </c>
      <c r="O11035" s="18" t="s">
        <v>29</v>
      </c>
      <c r="P11035" s="6"/>
      <c r="Q11035" s="6"/>
      <c r="R11035" s="6"/>
      <c r="S11035" s="6"/>
      <c r="T11035" s="6"/>
      <c r="U11035" s="6"/>
    </row>
    <row r="11036" ht="14.25">
      <c r="B11036" s="18" t="s">
        <v>6836</v>
      </c>
      <c r="C11036" s="18" t="s">
        <v>50544</v>
      </c>
      <c r="D11036" s="18" t="s">
        <v>50545</v>
      </c>
      <c r="E11036" s="18" t="s">
        <v>50546</v>
      </c>
      <c r="F11036" s="18" t="str">
        <f>IFERROR(__XLUDF.DUMMYFUNCTION("PROPER(REGEXREPLACE(D948,""[^A-Za-z]+ "",""""))"),"Île-De-France Construction Durable")</f>
        <v xml:space="preserve">Île-De-France Construction Durable</v>
      </c>
      <c r="G11036" s="18" t="s">
        <v>50547</v>
      </c>
      <c r="H11036" s="18">
        <v>67</v>
      </c>
      <c r="I11036" s="18" t="s">
        <v>9239</v>
      </c>
      <c r="J11036" s="5" t="s">
        <v>50548</v>
      </c>
      <c r="K11036" s="5" t="s">
        <v>50549</v>
      </c>
      <c r="L11036" s="18" t="s">
        <v>50550</v>
      </c>
      <c r="M11036" s="18" t="s">
        <v>29</v>
      </c>
      <c r="N11036" s="18" t="s">
        <v>50551</v>
      </c>
      <c r="O11036" s="18" t="s">
        <v>29</v>
      </c>
      <c r="P11036" s="6"/>
      <c r="Q11036" s="6"/>
      <c r="R11036" s="6"/>
      <c r="S11036" s="6"/>
      <c r="T11036" s="6"/>
      <c r="U11036" s="6"/>
    </row>
    <row r="11037" ht="14.25">
      <c r="B11037" s="18" t="s">
        <v>1153</v>
      </c>
      <c r="C11037" s="18" t="s">
        <v>50552</v>
      </c>
      <c r="D11037" s="18" t="s">
        <v>112</v>
      </c>
      <c r="E11037" s="18" t="s">
        <v>47303</v>
      </c>
      <c r="F11037" s="18" t="str">
        <f>IFERROR(__XLUDF.DUMMYFUNCTION("PROPER(REGEXREPLACE(D949,""[^A-Za-z]+ "",""""))"),"Sc Floriot")</f>
        <v xml:space="preserve">Sc Floriot</v>
      </c>
      <c r="G11037" s="18" t="s">
        <v>50553</v>
      </c>
      <c r="H11037" s="18">
        <v>46</v>
      </c>
      <c r="I11037" s="18" t="s">
        <v>9239</v>
      </c>
      <c r="J11037" s="5" t="s">
        <v>50554</v>
      </c>
      <c r="K11037" s="5" t="s">
        <v>47306</v>
      </c>
      <c r="L11037" s="6"/>
      <c r="M11037" s="18" t="s">
        <v>29</v>
      </c>
      <c r="N11037" s="18" t="s">
        <v>47130</v>
      </c>
      <c r="O11037" s="18" t="s">
        <v>29</v>
      </c>
      <c r="P11037" s="18" t="s">
        <v>47307</v>
      </c>
      <c r="Q11037" s="6"/>
      <c r="R11037" s="6"/>
      <c r="S11037" s="6"/>
      <c r="T11037" s="6"/>
      <c r="U11037" s="6"/>
    </row>
    <row r="11038" ht="14.25">
      <c r="B11038" s="18" t="s">
        <v>963</v>
      </c>
      <c r="C11038" s="18" t="s">
        <v>50555</v>
      </c>
      <c r="D11038" s="18" t="s">
        <v>112</v>
      </c>
      <c r="E11038" s="18" t="s">
        <v>50556</v>
      </c>
      <c r="F11038" s="18" t="str">
        <f>IFERROR(__XLUDF.DUMMYFUNCTION("PROPER(REGEXREPLACE(D950,""[^A-Za-z]+ "",""""))"),"Toutenvert")</f>
        <v>Toutenvert</v>
      </c>
      <c r="G11038" s="18" t="s">
        <v>50557</v>
      </c>
      <c r="H11038" s="18">
        <v>39</v>
      </c>
      <c r="I11038" s="18" t="s">
        <v>9239</v>
      </c>
      <c r="J11038" s="5" t="s">
        <v>50558</v>
      </c>
      <c r="K11038" s="5" t="s">
        <v>50559</v>
      </c>
      <c r="L11038" s="18" t="s">
        <v>1507</v>
      </c>
      <c r="M11038" s="18" t="s">
        <v>29</v>
      </c>
      <c r="N11038" s="18" t="s">
        <v>50560</v>
      </c>
      <c r="O11038" s="18" t="s">
        <v>29</v>
      </c>
      <c r="P11038" s="18" t="s">
        <v>50561</v>
      </c>
      <c r="Q11038" s="6"/>
      <c r="R11038" s="6"/>
      <c r="S11038" s="6"/>
      <c r="T11038" s="6"/>
      <c r="U11038" s="6"/>
    </row>
    <row r="11039" ht="14.25">
      <c r="B11039" s="18" t="s">
        <v>2980</v>
      </c>
      <c r="C11039" s="18" t="s">
        <v>4800</v>
      </c>
      <c r="D11039" s="18" t="s">
        <v>5953</v>
      </c>
      <c r="E11039" s="18" t="s">
        <v>50562</v>
      </c>
      <c r="F11039" s="18" t="str">
        <f>IFERROR(__XLUDF.DUMMYFUNCTION("PROPER(REGEXREPLACE(D951,""[^A-Za-z]+ "",""""))"),"Vetisol")</f>
        <v>Vetisol</v>
      </c>
      <c r="G11039" s="18" t="s">
        <v>50563</v>
      </c>
      <c r="H11039" s="18">
        <v>32</v>
      </c>
      <c r="I11039" s="18" t="s">
        <v>47738</v>
      </c>
      <c r="J11039" s="5" t="s">
        <v>50564</v>
      </c>
      <c r="K11039" s="5" t="s">
        <v>50565</v>
      </c>
      <c r="L11039" s="18" t="s">
        <v>185</v>
      </c>
      <c r="M11039" s="18" t="s">
        <v>29</v>
      </c>
      <c r="N11039" s="18" t="s">
        <v>50566</v>
      </c>
      <c r="O11039" s="18" t="s">
        <v>29</v>
      </c>
      <c r="P11039" s="6"/>
      <c r="Q11039" s="6"/>
      <c r="R11039" s="6"/>
      <c r="S11039" s="6"/>
      <c r="T11039" s="6"/>
      <c r="U11039" s="6"/>
    </row>
    <row r="11040" ht="14.25">
      <c r="B11040" s="18" t="s">
        <v>222</v>
      </c>
      <c r="C11040" s="18" t="s">
        <v>50567</v>
      </c>
      <c r="D11040" s="18" t="s">
        <v>14547</v>
      </c>
      <c r="E11040" s="18" t="s">
        <v>50568</v>
      </c>
      <c r="F11040" s="18" t="str">
        <f>IFERROR(__XLUDF.DUMMYFUNCTION("PROPER(REGEXREPLACE(D952,""[^A-Za-z]+ "",""""))"),"Sol Solution")</f>
        <v xml:space="preserve">Sol Solution</v>
      </c>
      <c r="G11040" s="18" t="s">
        <v>50569</v>
      </c>
      <c r="H11040" s="18">
        <v>13</v>
      </c>
      <c r="I11040" s="18" t="s">
        <v>9239</v>
      </c>
      <c r="J11040" s="5" t="s">
        <v>50570</v>
      </c>
      <c r="K11040" s="5" t="s">
        <v>50571</v>
      </c>
      <c r="L11040" s="18" t="s">
        <v>1711</v>
      </c>
      <c r="M11040" s="18" t="s">
        <v>29</v>
      </c>
      <c r="N11040" s="18" t="s">
        <v>50572</v>
      </c>
      <c r="O11040" s="18" t="s">
        <v>29</v>
      </c>
      <c r="P11040" s="18" t="s">
        <v>50573</v>
      </c>
      <c r="Q11040" s="6"/>
      <c r="R11040" s="6"/>
      <c r="S11040" s="6"/>
      <c r="T11040" s="6"/>
      <c r="U11040" s="6"/>
    </row>
    <row r="11041" ht="14.25">
      <c r="B11041" s="18" t="s">
        <v>118</v>
      </c>
      <c r="C11041" s="18" t="s">
        <v>50574</v>
      </c>
      <c r="D11041" s="18" t="s">
        <v>50575</v>
      </c>
      <c r="E11041" s="18" t="s">
        <v>49106</v>
      </c>
      <c r="F11041" s="18" t="str">
        <f>IFERROR(__XLUDF.DUMMYFUNCTION("PROPER(REGEXREPLACE(D953,""[^A-Za-z]+ "",""""))"),"Maisons Claire")</f>
        <v xml:space="preserve">Maisons Claire</v>
      </c>
      <c r="G11041" s="18" t="s">
        <v>50576</v>
      </c>
      <c r="H11041" s="18">
        <v>20</v>
      </c>
      <c r="I11041" s="18" t="s">
        <v>9239</v>
      </c>
      <c r="J11041" s="5" t="s">
        <v>50577</v>
      </c>
      <c r="K11041" s="5" t="s">
        <v>49109</v>
      </c>
      <c r="L11041" s="18" t="s">
        <v>50578</v>
      </c>
      <c r="M11041" s="18" t="s">
        <v>29</v>
      </c>
      <c r="N11041" s="18" t="s">
        <v>49110</v>
      </c>
      <c r="O11041" s="18" t="s">
        <v>29</v>
      </c>
      <c r="P11041" s="18" t="s">
        <v>49111</v>
      </c>
      <c r="Q11041" s="6"/>
      <c r="R11041" s="6"/>
      <c r="S11041" s="6"/>
      <c r="T11041" s="6"/>
      <c r="U11041" s="6"/>
    </row>
    <row r="11042" ht="14.25">
      <c r="B11042" s="18" t="s">
        <v>50579</v>
      </c>
      <c r="C11042" s="18" t="s">
        <v>50580</v>
      </c>
      <c r="D11042" s="18" t="s">
        <v>10202</v>
      </c>
      <c r="E11042" s="18" t="s">
        <v>46962</v>
      </c>
      <c r="F11042" s="18" t="str">
        <f>IFERROR(__XLUDF.DUMMYFUNCTION("PROPER(REGEXREPLACE(D954,""[^A-Za-z]+ "",""""))"),"Map3")</f>
        <v>Map3</v>
      </c>
      <c r="G11042" s="18" t="s">
        <v>50581</v>
      </c>
      <c r="H11042" s="18">
        <v>10</v>
      </c>
      <c r="I11042" s="18" t="s">
        <v>9239</v>
      </c>
      <c r="J11042" s="5" t="s">
        <v>50582</v>
      </c>
      <c r="K11042" s="5" t="s">
        <v>46965</v>
      </c>
      <c r="L11042" s="18" t="s">
        <v>39</v>
      </c>
      <c r="M11042" s="18" t="s">
        <v>29</v>
      </c>
      <c r="N11042" s="18" t="s">
        <v>46966</v>
      </c>
      <c r="O11042" s="18" t="s">
        <v>29</v>
      </c>
      <c r="P11042" s="18" t="s">
        <v>46967</v>
      </c>
      <c r="Q11042" s="6"/>
      <c r="R11042" s="6"/>
      <c r="S11042" s="6"/>
      <c r="T11042" s="6"/>
      <c r="U11042" s="6"/>
    </row>
    <row r="11043" ht="14.25">
      <c r="B11043" s="18" t="s">
        <v>6931</v>
      </c>
      <c r="C11043" s="18" t="s">
        <v>9593</v>
      </c>
      <c r="D11043" s="18" t="s">
        <v>468</v>
      </c>
      <c r="E11043" s="18" t="s">
        <v>50583</v>
      </c>
      <c r="F11043" s="18" t="str">
        <f>IFERROR(__XLUDF.DUMMYFUNCTION("PROPER(REGEXREPLACE(D955,""[^A-Za-z]+ "",""""))"),"Ram")</f>
        <v>Ram</v>
      </c>
      <c r="G11043" s="18" t="s">
        <v>50584</v>
      </c>
      <c r="H11043" s="18">
        <v>5</v>
      </c>
      <c r="I11043" s="18" t="s">
        <v>9239</v>
      </c>
      <c r="J11043" s="5" t="s">
        <v>50585</v>
      </c>
      <c r="K11043" s="5" t="s">
        <v>50586</v>
      </c>
      <c r="L11043" s="18" t="s">
        <v>15292</v>
      </c>
      <c r="M11043" s="18" t="s">
        <v>29</v>
      </c>
      <c r="N11043" s="18" t="s">
        <v>50587</v>
      </c>
      <c r="O11043" s="18" t="s">
        <v>29</v>
      </c>
      <c r="P11043" s="6"/>
      <c r="Q11043" s="6"/>
      <c r="R11043" s="6"/>
      <c r="S11043" s="6"/>
      <c r="T11043" s="6"/>
      <c r="U11043" s="6"/>
    </row>
    <row r="11044" ht="14.25">
      <c r="B11044" s="18" t="s">
        <v>2398</v>
      </c>
      <c r="C11044" s="18" t="s">
        <v>11008</v>
      </c>
      <c r="D11044" s="18" t="s">
        <v>172</v>
      </c>
      <c r="E11044" s="18" t="s">
        <v>50588</v>
      </c>
      <c r="F11044" s="18" t="str">
        <f>IFERROR(__XLUDF.DUMMYFUNCTION("PROPER(REGEXREPLACE(D956,""[^A-Za-z]+ "",""""))"),"Construction Savoyarde")</f>
        <v xml:space="preserve">Construction Savoyarde</v>
      </c>
      <c r="G11044" s="18" t="s">
        <v>50589</v>
      </c>
      <c r="H11044" s="18">
        <v>22</v>
      </c>
      <c r="I11044" s="18" t="s">
        <v>9239</v>
      </c>
      <c r="J11044" s="5" t="s">
        <v>50590</v>
      </c>
      <c r="K11044" s="5" t="s">
        <v>50591</v>
      </c>
      <c r="L11044" s="18" t="s">
        <v>774</v>
      </c>
      <c r="M11044" s="18" t="s">
        <v>29</v>
      </c>
      <c r="N11044" s="18" t="s">
        <v>50592</v>
      </c>
      <c r="O11044" s="18" t="s">
        <v>29</v>
      </c>
      <c r="P11044" s="6"/>
      <c r="Q11044" s="6"/>
      <c r="R11044" s="6"/>
      <c r="S11044" s="6"/>
      <c r="T11044" s="6"/>
      <c r="U11044" s="6"/>
    </row>
    <row r="11045" ht="14.25">
      <c r="B11045" s="18" t="s">
        <v>50593</v>
      </c>
      <c r="C11045" s="18" t="s">
        <v>11407</v>
      </c>
      <c r="D11045" s="18" t="s">
        <v>164</v>
      </c>
      <c r="E11045" s="18" t="s">
        <v>50594</v>
      </c>
      <c r="F11045" s="18" t="str">
        <f>IFERROR(__XLUDF.DUMMYFUNCTION("PROPER(REGEXREPLACE(D957,""[^A-Za-z]+ "",""""))"),"Lbs Demolition")</f>
        <v xml:space="preserve">Lbs Demolition</v>
      </c>
      <c r="G11045" s="18" t="s">
        <v>50595</v>
      </c>
      <c r="H11045" s="18">
        <v>17</v>
      </c>
      <c r="I11045" s="18" t="s">
        <v>9239</v>
      </c>
      <c r="J11045" s="5" t="s">
        <v>50596</v>
      </c>
      <c r="K11045" s="5" t="s">
        <v>50597</v>
      </c>
      <c r="L11045" s="6"/>
      <c r="M11045" s="18" t="s">
        <v>29</v>
      </c>
      <c r="N11045" s="18" t="s">
        <v>50598</v>
      </c>
      <c r="O11045" s="18" t="s">
        <v>29</v>
      </c>
      <c r="P11045" s="6"/>
      <c r="Q11045" s="6"/>
      <c r="R11045" s="6"/>
      <c r="S11045" s="6"/>
      <c r="T11045" s="6"/>
      <c r="U11045" s="6"/>
    </row>
    <row r="11046" ht="14.25">
      <c r="B11046" s="18" t="s">
        <v>29241</v>
      </c>
      <c r="C11046" s="18" t="s">
        <v>50599</v>
      </c>
      <c r="D11046" s="18" t="s">
        <v>87</v>
      </c>
      <c r="E11046" s="18" t="s">
        <v>50600</v>
      </c>
      <c r="F11046" s="18" t="str">
        <f>IFERROR(__XLUDF.DUMMYFUNCTION("PROPER(REGEXREPLACE(D958,""[^A-Za-z]+ "",""""))"),"Sice Previt France Sarl")</f>
        <v xml:space="preserve">Sice Previt France Sarl</v>
      </c>
      <c r="G11046" s="18" t="s">
        <v>50601</v>
      </c>
      <c r="H11046" s="18">
        <v>6</v>
      </c>
      <c r="I11046" s="18" t="s">
        <v>9239</v>
      </c>
      <c r="J11046" s="5" t="s">
        <v>50602</v>
      </c>
      <c r="K11046" s="5" t="s">
        <v>50603</v>
      </c>
      <c r="L11046" s="18" t="s">
        <v>39</v>
      </c>
      <c r="M11046" s="18" t="s">
        <v>29</v>
      </c>
      <c r="N11046" s="18" t="s">
        <v>50604</v>
      </c>
      <c r="O11046" s="18" t="s">
        <v>29</v>
      </c>
      <c r="P11046" s="6"/>
      <c r="Q11046" s="6"/>
      <c r="R11046" s="6"/>
      <c r="S11046" s="6"/>
      <c r="T11046" s="6"/>
      <c r="U11046" s="6"/>
    </row>
    <row r="11047" ht="14.25">
      <c r="B11047" s="18" t="s">
        <v>8049</v>
      </c>
      <c r="C11047" s="18" t="s">
        <v>50605</v>
      </c>
      <c r="D11047" s="18" t="s">
        <v>172</v>
      </c>
      <c r="E11047" s="18" t="s">
        <v>50606</v>
      </c>
      <c r="F11047" s="18" t="str">
        <f>IFERROR(__XLUDF.DUMMYFUNCTION("PROPER(REGEXREPLACE(D959,""[^A-Za-z]+ "",""""))"),"Ecib Exploitation")</f>
        <v xml:space="preserve">Ecib Exploitation</v>
      </c>
      <c r="G11047" s="18" t="s">
        <v>50607</v>
      </c>
      <c r="H11047" s="18">
        <v>16</v>
      </c>
      <c r="I11047" s="18" t="s">
        <v>9239</v>
      </c>
      <c r="J11047" s="5" t="s">
        <v>50608</v>
      </c>
      <c r="K11047" s="5" t="s">
        <v>50609</v>
      </c>
      <c r="L11047" s="18" t="s">
        <v>12710</v>
      </c>
      <c r="M11047" s="18" t="s">
        <v>29</v>
      </c>
      <c r="N11047" s="18" t="s">
        <v>50610</v>
      </c>
      <c r="O11047" s="18" t="s">
        <v>29</v>
      </c>
      <c r="P11047" s="6"/>
      <c r="Q11047" s="6"/>
      <c r="R11047" s="6"/>
      <c r="S11047" s="6"/>
      <c r="T11047" s="6"/>
      <c r="U11047" s="6"/>
    </row>
    <row r="11048" ht="14.25">
      <c r="B11048" s="18" t="s">
        <v>110</v>
      </c>
      <c r="C11048" s="18" t="s">
        <v>24529</v>
      </c>
      <c r="D11048" s="18" t="s">
        <v>172</v>
      </c>
      <c r="E11048" s="18" t="s">
        <v>50611</v>
      </c>
      <c r="F11048" s="18" t="str">
        <f>IFERROR(__XLUDF.DUMMYFUNCTION("PROPER(REGEXREPLACE(D960,""[^A-Za-z]+ "",""""))"),"Herkrug")</f>
        <v>Herkrug</v>
      </c>
      <c r="G11048" s="18" t="s">
        <v>50612</v>
      </c>
      <c r="H11048" s="18">
        <v>20</v>
      </c>
      <c r="I11048" s="18" t="s">
        <v>9239</v>
      </c>
      <c r="J11048" s="5" t="s">
        <v>50613</v>
      </c>
      <c r="K11048" s="5" t="s">
        <v>50614</v>
      </c>
      <c r="L11048" s="6"/>
      <c r="M11048" s="18" t="s">
        <v>29</v>
      </c>
      <c r="N11048" s="18" t="s">
        <v>50615</v>
      </c>
      <c r="O11048" s="18" t="s">
        <v>29</v>
      </c>
      <c r="P11048" s="18" t="s">
        <v>50616</v>
      </c>
      <c r="Q11048" s="6"/>
      <c r="R11048" s="6"/>
      <c r="S11048" s="6"/>
      <c r="T11048" s="6"/>
      <c r="U11048" s="6"/>
    </row>
    <row r="11049" ht="14.25">
      <c r="B11049" s="18" t="s">
        <v>1153</v>
      </c>
      <c r="C11049" s="18" t="s">
        <v>50617</v>
      </c>
      <c r="D11049" s="18" t="s">
        <v>172</v>
      </c>
      <c r="E11049" s="18" t="s">
        <v>50618</v>
      </c>
      <c r="F11049" s="18" t="str">
        <f>IFERROR(__XLUDF.DUMMYFUNCTION("PROPER(REGEXREPLACE(D961,""[^A-Za-z]+ "",""""))"),"Beck Et Cie")</f>
        <v xml:space="preserve">Beck Et Cie</v>
      </c>
      <c r="G11049" s="18" t="s">
        <v>50619</v>
      </c>
      <c r="H11049" s="18">
        <v>13</v>
      </c>
      <c r="I11049" s="18" t="s">
        <v>9239</v>
      </c>
      <c r="J11049" s="5" t="s">
        <v>50620</v>
      </c>
      <c r="K11049" s="5" t="s">
        <v>50621</v>
      </c>
      <c r="L11049" s="18" t="s">
        <v>1204</v>
      </c>
      <c r="M11049" s="18" t="s">
        <v>29</v>
      </c>
      <c r="N11049" s="18" t="s">
        <v>50622</v>
      </c>
      <c r="O11049" s="18" t="s">
        <v>29</v>
      </c>
      <c r="P11049" s="6"/>
      <c r="Q11049" s="6"/>
      <c r="R11049" s="6"/>
      <c r="S11049" s="6"/>
      <c r="T11049" s="6"/>
      <c r="U11049" s="6"/>
    </row>
    <row r="11050" ht="14.25">
      <c r="B11050" s="18" t="s">
        <v>2652</v>
      </c>
      <c r="C11050" s="18" t="s">
        <v>50623</v>
      </c>
      <c r="D11050" s="18" t="s">
        <v>172</v>
      </c>
      <c r="E11050" s="18" t="s">
        <v>50624</v>
      </c>
      <c r="F11050" s="18" t="str">
        <f>IFERROR(__XLUDF.DUMMYFUNCTION("PROPER(REGEXREPLACE(D962,""[^A-Za-z]+ "",""""))"),"Neocen")</f>
        <v>Neocen</v>
      </c>
      <c r="G11050" s="18" t="s">
        <v>50625</v>
      </c>
      <c r="H11050" s="18">
        <v>7</v>
      </c>
      <c r="I11050" s="18" t="s">
        <v>9239</v>
      </c>
      <c r="J11050" s="5" t="s">
        <v>50626</v>
      </c>
      <c r="K11050" s="5" t="s">
        <v>50627</v>
      </c>
      <c r="L11050" s="18" t="s">
        <v>1507</v>
      </c>
      <c r="M11050" s="18" t="s">
        <v>29</v>
      </c>
      <c r="N11050" s="18" t="s">
        <v>50628</v>
      </c>
      <c r="O11050" s="18" t="s">
        <v>29</v>
      </c>
      <c r="P11050" s="6"/>
      <c r="Q11050" s="6"/>
      <c r="R11050" s="6"/>
      <c r="S11050" s="6"/>
      <c r="T11050" s="6"/>
      <c r="U11050" s="6"/>
    </row>
    <row r="11051" ht="14.25">
      <c r="B11051" s="18" t="s">
        <v>622</v>
      </c>
      <c r="C11051" s="18" t="s">
        <v>50629</v>
      </c>
      <c r="D11051" s="18" t="s">
        <v>172</v>
      </c>
      <c r="E11051" s="18" t="s">
        <v>50630</v>
      </c>
      <c r="F11051" s="18" t="str">
        <f>IFERROR(__XLUDF.DUMMYFUNCTION("PROPER(REGEXREPLACE(D963,""[^A-Za-z]+ "",""""))"),"Icm")</f>
        <v>Icm</v>
      </c>
      <c r="G11051" s="18" t="s">
        <v>50631</v>
      </c>
      <c r="H11051" s="18">
        <v>16</v>
      </c>
      <c r="I11051" s="18" t="s">
        <v>9239</v>
      </c>
      <c r="J11051" s="5" t="s">
        <v>50632</v>
      </c>
      <c r="K11051" s="5" t="s">
        <v>50633</v>
      </c>
      <c r="L11051" s="18" t="s">
        <v>1015</v>
      </c>
      <c r="M11051" s="18" t="s">
        <v>29</v>
      </c>
      <c r="N11051" s="18" t="s">
        <v>50634</v>
      </c>
      <c r="O11051" s="18" t="s">
        <v>29</v>
      </c>
      <c r="P11051" s="18" t="s">
        <v>50635</v>
      </c>
      <c r="Q11051" s="6"/>
      <c r="R11051" s="6"/>
      <c r="S11051" s="6"/>
      <c r="T11051" s="6"/>
      <c r="U11051" s="6"/>
    </row>
    <row r="11052" ht="14.25">
      <c r="B11052" s="18" t="s">
        <v>2932</v>
      </c>
      <c r="C11052" s="18" t="s">
        <v>47662</v>
      </c>
      <c r="D11052" s="18" t="s">
        <v>172</v>
      </c>
      <c r="E11052" s="18" t="s">
        <v>50636</v>
      </c>
      <c r="F11052" s="18" t="str">
        <f>IFERROR(__XLUDF.DUMMYFUNCTION("PROPER(REGEXREPLACE(D964,""[^A-Za-z]+ "",""""))"),"L2A Agencement")</f>
        <v xml:space="preserve">L2A Agencement</v>
      </c>
      <c r="G11052" s="18" t="s">
        <v>50637</v>
      </c>
      <c r="H11052" s="18">
        <v>48</v>
      </c>
      <c r="I11052" s="18" t="s">
        <v>9239</v>
      </c>
      <c r="J11052" s="5" t="s">
        <v>50638</v>
      </c>
      <c r="K11052" s="5" t="s">
        <v>50639</v>
      </c>
      <c r="L11052" s="18" t="s">
        <v>8318</v>
      </c>
      <c r="M11052" s="18" t="s">
        <v>29</v>
      </c>
      <c r="N11052" s="18" t="s">
        <v>50640</v>
      </c>
      <c r="O11052" s="18" t="s">
        <v>29</v>
      </c>
      <c r="P11052" s="18" t="s">
        <v>50641</v>
      </c>
      <c r="Q11052" s="6"/>
      <c r="R11052" s="6"/>
      <c r="S11052" s="6"/>
      <c r="T11052" s="6"/>
      <c r="U11052" s="6"/>
    </row>
    <row r="11053" ht="14.25">
      <c r="B11053" s="18" t="s">
        <v>3002</v>
      </c>
      <c r="C11053" s="18" t="s">
        <v>50642</v>
      </c>
      <c r="D11053" s="18" t="s">
        <v>172</v>
      </c>
      <c r="E11053" s="18" t="s">
        <v>50643</v>
      </c>
      <c r="F11053" s="18" t="str">
        <f>IFERROR(__XLUDF.DUMMYFUNCTION("PROPER(REGEXREPLACE(D965,""[^A-Za-z]+ "",""""))"),"Bat'Inov Concept")</f>
        <v xml:space="preserve">Bat'Inov Concept</v>
      </c>
      <c r="G11053" s="18" t="s">
        <v>50644</v>
      </c>
      <c r="H11053" s="18">
        <v>4</v>
      </c>
      <c r="I11053" s="18" t="s">
        <v>9239</v>
      </c>
      <c r="J11053" s="5" t="s">
        <v>50645</v>
      </c>
      <c r="K11053" s="5" t="s">
        <v>50646</v>
      </c>
      <c r="L11053" s="6"/>
      <c r="M11053" s="18" t="s">
        <v>29</v>
      </c>
      <c r="N11053" s="18" t="s">
        <v>50647</v>
      </c>
      <c r="O11053" s="18" t="s">
        <v>29</v>
      </c>
      <c r="P11053" s="6"/>
      <c r="Q11053" s="6"/>
      <c r="R11053" s="6"/>
      <c r="S11053" s="6"/>
      <c r="T11053" s="6"/>
      <c r="U11053" s="6"/>
    </row>
    <row r="11054" ht="14.25">
      <c r="B11054" s="18" t="s">
        <v>2668</v>
      </c>
      <c r="C11054" s="18" t="s">
        <v>50648</v>
      </c>
      <c r="D11054" s="18" t="s">
        <v>172</v>
      </c>
      <c r="E11054" s="18" t="s">
        <v>50649</v>
      </c>
      <c r="F11054" s="18" t="str">
        <f>IFERROR(__XLUDF.DUMMYFUNCTION("PROPER(REGEXREPLACE(D966,""[^A-Za-z]+ "",""""))"),"Soleo")</f>
        <v>Soleo</v>
      </c>
      <c r="G11054" s="18" t="s">
        <v>50650</v>
      </c>
      <c r="H11054" s="18">
        <v>9</v>
      </c>
      <c r="I11054" s="18" t="s">
        <v>9239</v>
      </c>
      <c r="J11054" s="5" t="s">
        <v>50651</v>
      </c>
      <c r="K11054" s="5" t="s">
        <v>50652</v>
      </c>
      <c r="L11054" s="18" t="s">
        <v>39</v>
      </c>
      <c r="M11054" s="18" t="s">
        <v>29</v>
      </c>
      <c r="N11054" s="18" t="s">
        <v>1084</v>
      </c>
      <c r="O11054" s="18" t="s">
        <v>29</v>
      </c>
      <c r="P11054" s="18" t="s">
        <v>50653</v>
      </c>
      <c r="Q11054" s="6"/>
      <c r="R11054" s="6"/>
      <c r="S11054" s="6"/>
      <c r="T11054" s="6"/>
      <c r="U11054" s="6"/>
    </row>
    <row r="11055" ht="14.25">
      <c r="B11055" s="18" t="s">
        <v>1215</v>
      </c>
      <c r="C11055" s="18" t="s">
        <v>50654</v>
      </c>
      <c r="D11055" s="18" t="s">
        <v>1821</v>
      </c>
      <c r="E11055" s="18" t="s">
        <v>50655</v>
      </c>
      <c r="F11055" s="18" t="str">
        <f>IFERROR(__XLUDF.DUMMYFUNCTION("PROPER(REGEXREPLACE(D967,""[^A-Za-z]+ "",""""))"),"Phaselec")</f>
        <v>Phaselec</v>
      </c>
      <c r="G11055" s="18" t="s">
        <v>50656</v>
      </c>
      <c r="H11055" s="18">
        <v>6</v>
      </c>
      <c r="I11055" s="18" t="s">
        <v>9239</v>
      </c>
      <c r="J11055" s="5" t="s">
        <v>50657</v>
      </c>
      <c r="K11055" s="5" t="s">
        <v>50658</v>
      </c>
      <c r="L11055" s="18" t="s">
        <v>4485</v>
      </c>
      <c r="M11055" s="18" t="s">
        <v>29</v>
      </c>
      <c r="N11055" s="18" t="s">
        <v>50659</v>
      </c>
      <c r="O11055" s="18" t="s">
        <v>29</v>
      </c>
      <c r="P11055" s="6"/>
      <c r="Q11055" s="6"/>
      <c r="R11055" s="6"/>
      <c r="S11055" s="6"/>
      <c r="T11055" s="6"/>
      <c r="U11055" s="6"/>
    </row>
    <row r="11056" ht="14.25">
      <c r="B11056" s="18" t="s">
        <v>1596</v>
      </c>
      <c r="C11056" s="18" t="s">
        <v>50660</v>
      </c>
      <c r="D11056" s="18" t="s">
        <v>3982</v>
      </c>
      <c r="E11056" s="18" t="s">
        <v>50661</v>
      </c>
      <c r="F11056" s="18" t="str">
        <f>IFERROR(__XLUDF.DUMMYFUNCTION("PROPER(REGEXREPLACE(D968,""[^A-Za-z]+ "",""""))"),"Couserans Construction")</f>
        <v xml:space="preserve">Couserans Construction</v>
      </c>
      <c r="G11056" s="18" t="s">
        <v>50662</v>
      </c>
      <c r="H11056" s="18">
        <v>8</v>
      </c>
      <c r="I11056" s="18" t="s">
        <v>9239</v>
      </c>
      <c r="J11056" s="5" t="s">
        <v>50663</v>
      </c>
      <c r="K11056" s="5" t="s">
        <v>50664</v>
      </c>
      <c r="L11056" s="18" t="s">
        <v>83</v>
      </c>
      <c r="M11056" s="18" t="s">
        <v>29</v>
      </c>
      <c r="N11056" s="18" t="s">
        <v>29</v>
      </c>
      <c r="O11056" s="18" t="s">
        <v>29</v>
      </c>
      <c r="P11056" s="6"/>
      <c r="Q11056" s="6"/>
      <c r="R11056" s="6"/>
      <c r="S11056" s="6"/>
      <c r="T11056" s="6"/>
      <c r="U11056" s="6"/>
    </row>
    <row r="11057" ht="14.25">
      <c r="B11057" s="18" t="s">
        <v>3019</v>
      </c>
      <c r="C11057" s="18" t="s">
        <v>50665</v>
      </c>
      <c r="D11057" s="18" t="s">
        <v>172</v>
      </c>
      <c r="E11057" s="18" t="s">
        <v>50666</v>
      </c>
      <c r="F11057" s="18" t="str">
        <f>IFERROR(__XLUDF.DUMMYFUNCTION("PROPER(REGEXREPLACE(D969,""[^A-Za-z]+ "",""""))"),"Drillheat")</f>
        <v>Drillheat</v>
      </c>
      <c r="G11057" s="18" t="s">
        <v>50667</v>
      </c>
      <c r="H11057" s="18">
        <v>17</v>
      </c>
      <c r="I11057" s="18" t="s">
        <v>9239</v>
      </c>
      <c r="J11057" s="5" t="s">
        <v>50668</v>
      </c>
      <c r="K11057" s="5" t="s">
        <v>50669</v>
      </c>
      <c r="L11057" s="18" t="s">
        <v>1460</v>
      </c>
      <c r="M11057" s="18" t="s">
        <v>29</v>
      </c>
      <c r="N11057" s="18" t="s">
        <v>29</v>
      </c>
      <c r="O11057" s="18" t="s">
        <v>29</v>
      </c>
      <c r="P11057" s="18" t="s">
        <v>50670</v>
      </c>
      <c r="Q11057" s="6"/>
      <c r="R11057" s="6"/>
      <c r="S11057" s="6"/>
      <c r="T11057" s="6"/>
      <c r="U11057" s="6"/>
    </row>
    <row r="11058" ht="14.25">
      <c r="B11058" s="18" t="s">
        <v>6390</v>
      </c>
      <c r="C11058" s="18" t="s">
        <v>50671</v>
      </c>
      <c r="D11058" s="18" t="s">
        <v>172</v>
      </c>
      <c r="E11058" s="18" t="s">
        <v>50672</v>
      </c>
      <c r="F11058" s="18" t="str">
        <f>IFERROR(__XLUDF.DUMMYFUNCTION("PROPER(REGEXREPLACE(D970,""[^A-Za-z]+ "",""""))"),"Sas Tp Saillard")</f>
        <v xml:space="preserve">Sas Tp Saillard</v>
      </c>
      <c r="G11058" s="18" t="s">
        <v>50673</v>
      </c>
      <c r="H11058" s="18">
        <v>2</v>
      </c>
      <c r="I11058" s="18" t="s">
        <v>9239</v>
      </c>
      <c r="J11058" s="5" t="s">
        <v>50674</v>
      </c>
      <c r="K11058" s="5" t="s">
        <v>50675</v>
      </c>
      <c r="L11058" s="18" t="s">
        <v>50676</v>
      </c>
      <c r="M11058" s="18" t="s">
        <v>29</v>
      </c>
      <c r="N11058" s="18" t="s">
        <v>50677</v>
      </c>
      <c r="O11058" s="18" t="s">
        <v>29</v>
      </c>
      <c r="P11058" s="6"/>
      <c r="Q11058" s="6"/>
      <c r="R11058" s="6"/>
      <c r="S11058" s="6"/>
      <c r="T11058" s="6"/>
      <c r="U11058" s="6"/>
    </row>
    <row r="11059" ht="14.25">
      <c r="B11059" s="18" t="s">
        <v>1861</v>
      </c>
      <c r="C11059" s="18" t="s">
        <v>13261</v>
      </c>
      <c r="D11059" s="18" t="s">
        <v>50678</v>
      </c>
      <c r="E11059" s="18" t="s">
        <v>50679</v>
      </c>
      <c r="F11059" s="18" t="str">
        <f>IFERROR(__XLUDF.DUMMYFUNCTION("PROPER(REGEXREPLACE(D971,""[^A-Za-z]+ "",""""))"),"Sodep Ingenierie")</f>
        <v xml:space="preserve">Sodep Ingenierie</v>
      </c>
      <c r="G11059" s="18" t="s">
        <v>50680</v>
      </c>
      <c r="H11059" s="18">
        <v>3</v>
      </c>
      <c r="I11059" s="18" t="s">
        <v>9239</v>
      </c>
      <c r="J11059" s="5" t="s">
        <v>50681</v>
      </c>
      <c r="K11059" s="5" t="s">
        <v>50682</v>
      </c>
      <c r="L11059" s="18" t="s">
        <v>846</v>
      </c>
      <c r="M11059" s="18" t="s">
        <v>29</v>
      </c>
      <c r="N11059" s="18" t="s">
        <v>50683</v>
      </c>
      <c r="O11059" s="18" t="s">
        <v>29</v>
      </c>
      <c r="P11059" s="6"/>
      <c r="Q11059" s="6"/>
      <c r="R11059" s="6"/>
      <c r="S11059" s="6"/>
      <c r="T11059" s="6"/>
      <c r="U11059" s="6"/>
    </row>
    <row r="11060" ht="14.25">
      <c r="B11060" s="18" t="s">
        <v>1596</v>
      </c>
      <c r="C11060" s="18" t="s">
        <v>50684</v>
      </c>
      <c r="D11060" s="18" t="s">
        <v>50685</v>
      </c>
      <c r="E11060" s="18" t="s">
        <v>50686</v>
      </c>
      <c r="F11060" s="18" t="str">
        <f>IFERROR(__XLUDF.DUMMYFUNCTION("PROPER(REGEXREPLACE(D972,""[^A-Za-z]+ "",""""))"),"Solosar")</f>
        <v>Solosar</v>
      </c>
      <c r="G11060" s="18" t="s">
        <v>50687</v>
      </c>
      <c r="H11060" s="18">
        <v>10</v>
      </c>
      <c r="I11060" s="18" t="s">
        <v>9239</v>
      </c>
      <c r="J11060" s="5" t="s">
        <v>50688</v>
      </c>
      <c r="K11060" s="5" t="s">
        <v>50689</v>
      </c>
      <c r="L11060" s="18" t="s">
        <v>42019</v>
      </c>
      <c r="M11060" s="18" t="s">
        <v>29</v>
      </c>
      <c r="N11060" s="18" t="s">
        <v>50690</v>
      </c>
      <c r="O11060" s="18" t="s">
        <v>29</v>
      </c>
      <c r="P11060" s="6"/>
      <c r="Q11060" s="6"/>
      <c r="R11060" s="6"/>
      <c r="S11060" s="6"/>
      <c r="T11060" s="6"/>
      <c r="U11060" s="6"/>
    </row>
    <row r="11061" ht="14.25">
      <c r="B11061" s="18" t="s">
        <v>2516</v>
      </c>
      <c r="C11061" s="18" t="s">
        <v>41343</v>
      </c>
      <c r="D11061" s="18" t="s">
        <v>172</v>
      </c>
      <c r="E11061" s="18" t="s">
        <v>50691</v>
      </c>
      <c r="F11061" s="18" t="str">
        <f>IFERROR(__XLUDF.DUMMYFUNCTION("PROPER(REGEXREPLACE(D973,""[^A-Za-z]+ "",""""))"),"Loma Ingénierie")</f>
        <v xml:space="preserve">Loma Ingénierie</v>
      </c>
      <c r="G11061" s="18" t="s">
        <v>50692</v>
      </c>
      <c r="H11061" s="18">
        <v>5</v>
      </c>
      <c r="I11061" s="18" t="s">
        <v>9239</v>
      </c>
      <c r="J11061" s="5" t="s">
        <v>50693</v>
      </c>
      <c r="K11061" s="5" t="s">
        <v>50694</v>
      </c>
      <c r="L11061" s="18" t="s">
        <v>2499</v>
      </c>
      <c r="M11061" s="18" t="s">
        <v>29</v>
      </c>
      <c r="N11061" s="18" t="s">
        <v>50695</v>
      </c>
      <c r="O11061" s="18" t="s">
        <v>29</v>
      </c>
      <c r="P11061" s="6"/>
      <c r="Q11061" s="6"/>
      <c r="R11061" s="6"/>
      <c r="S11061" s="6"/>
      <c r="T11061" s="6"/>
      <c r="U11061" s="6"/>
    </row>
    <row r="11062" ht="14.25">
      <c r="B11062" s="18" t="s">
        <v>2516</v>
      </c>
      <c r="C11062" s="18" t="s">
        <v>50696</v>
      </c>
      <c r="D11062" s="18" t="s">
        <v>50697</v>
      </c>
      <c r="E11062" s="18" t="s">
        <v>50698</v>
      </c>
      <c r="F11062" s="18" t="str">
        <f>IFERROR(__XLUDF.DUMMYFUNCTION("PROPER(REGEXREPLACE(D974,""[^A-Za-z]+ "",""""))"),"Harmonie Concept Groupe Lv")</f>
        <v xml:space="preserve">Harmonie Concept Groupe Lv</v>
      </c>
      <c r="G11062" s="18" t="s">
        <v>50699</v>
      </c>
      <c r="H11062" s="18">
        <v>3</v>
      </c>
      <c r="I11062" s="18" t="s">
        <v>9239</v>
      </c>
      <c r="J11062" s="5" t="s">
        <v>50700</v>
      </c>
      <c r="K11062" s="5" t="s">
        <v>50701</v>
      </c>
      <c r="L11062" s="18" t="s">
        <v>6425</v>
      </c>
      <c r="M11062" s="18" t="s">
        <v>29</v>
      </c>
      <c r="N11062" s="18" t="s">
        <v>50702</v>
      </c>
      <c r="O11062" s="18" t="s">
        <v>29</v>
      </c>
      <c r="P11062" s="18" t="s">
        <v>50703</v>
      </c>
      <c r="Q11062" s="6"/>
      <c r="R11062" s="6"/>
      <c r="S11062" s="6"/>
      <c r="T11062" s="6"/>
      <c r="U11062" s="6"/>
    </row>
    <row r="11063" ht="14.25">
      <c r="B11063" s="18" t="s">
        <v>5781</v>
      </c>
      <c r="C11063" s="18" t="s">
        <v>4897</v>
      </c>
      <c r="D11063" s="18" t="s">
        <v>1950</v>
      </c>
      <c r="E11063" s="18" t="s">
        <v>50704</v>
      </c>
      <c r="F11063" s="18" t="str">
        <f>IFERROR(__XLUDF.DUMMYFUNCTION("PROPER(REGEXREPLACE(D975,""[^A-Za-z]+ "",""""))"),"Versant")</f>
        <v>Versant</v>
      </c>
      <c r="G11063" s="18" t="s">
        <v>50705</v>
      </c>
      <c r="H11063" s="18">
        <v>47</v>
      </c>
      <c r="I11063" s="18" t="s">
        <v>9239</v>
      </c>
      <c r="J11063" s="5" t="s">
        <v>50706</v>
      </c>
      <c r="K11063" s="5" t="s">
        <v>50707</v>
      </c>
      <c r="L11063" s="18" t="s">
        <v>140</v>
      </c>
      <c r="M11063" s="18" t="s">
        <v>29</v>
      </c>
      <c r="N11063" s="18" t="s">
        <v>50708</v>
      </c>
      <c r="O11063" s="18" t="s">
        <v>29</v>
      </c>
      <c r="P11063" s="18" t="s">
        <v>50709</v>
      </c>
      <c r="Q11063" s="6"/>
      <c r="R11063" s="6"/>
      <c r="S11063" s="6"/>
      <c r="T11063" s="6"/>
      <c r="U11063" s="6"/>
    </row>
    <row r="11064" ht="14.25">
      <c r="B11064" s="18" t="s">
        <v>48077</v>
      </c>
      <c r="C11064" s="18" t="s">
        <v>1198</v>
      </c>
      <c r="D11064" s="18" t="s">
        <v>112</v>
      </c>
      <c r="E11064" s="18" t="s">
        <v>48078</v>
      </c>
      <c r="F11064" s="18" t="str">
        <f>IFERROR(__XLUDF.DUMMYFUNCTION("PROPER(REGEXREPLACE(D976,""[^A-Za-z]+ "",""""))"),"Ets Peuch Fils")</f>
        <v xml:space="preserve">Ets Peuch Fils</v>
      </c>
      <c r="G11064" s="18" t="s">
        <v>50710</v>
      </c>
      <c r="H11064" s="18">
        <v>13</v>
      </c>
      <c r="I11064" s="18" t="s">
        <v>9239</v>
      </c>
      <c r="J11064" s="5" t="s">
        <v>50711</v>
      </c>
      <c r="K11064" s="5" t="s">
        <v>48081</v>
      </c>
      <c r="L11064" s="18" t="s">
        <v>286</v>
      </c>
      <c r="M11064" s="18" t="s">
        <v>29</v>
      </c>
      <c r="N11064" s="18" t="s">
        <v>48083</v>
      </c>
      <c r="O11064" s="18" t="s">
        <v>29</v>
      </c>
      <c r="P11064" s="18" t="s">
        <v>48084</v>
      </c>
      <c r="Q11064" s="6"/>
      <c r="R11064" s="6"/>
      <c r="S11064" s="6"/>
      <c r="T11064" s="6"/>
      <c r="U11064" s="6"/>
    </row>
    <row r="11065" ht="14.25">
      <c r="B11065" s="18" t="s">
        <v>630</v>
      </c>
      <c r="C11065" s="18" t="s">
        <v>31970</v>
      </c>
      <c r="D11065" s="18" t="s">
        <v>112</v>
      </c>
      <c r="E11065" s="18" t="s">
        <v>50712</v>
      </c>
      <c r="F11065" s="18" t="str">
        <f>IFERROR(__XLUDF.DUMMYFUNCTION("PROPER(REGEXREPLACE(D977,""[^A-Za-z]+ "",""""))"),"Caom Batiment")</f>
        <v xml:space="preserve">Caom Batiment</v>
      </c>
      <c r="G11065" s="18" t="s">
        <v>50713</v>
      </c>
      <c r="H11065" s="18">
        <v>14</v>
      </c>
      <c r="I11065" s="18" t="s">
        <v>9239</v>
      </c>
      <c r="J11065" s="5" t="s">
        <v>50714</v>
      </c>
      <c r="K11065" s="5" t="s">
        <v>50715</v>
      </c>
      <c r="L11065" s="18" t="s">
        <v>39</v>
      </c>
      <c r="M11065" s="18" t="s">
        <v>29</v>
      </c>
      <c r="N11065" s="18" t="s">
        <v>50716</v>
      </c>
      <c r="O11065" s="18" t="s">
        <v>29</v>
      </c>
      <c r="P11065" s="18" t="s">
        <v>50717</v>
      </c>
      <c r="Q11065" s="6"/>
      <c r="R11065" s="6"/>
      <c r="S11065" s="6"/>
      <c r="T11065" s="6"/>
      <c r="U11065" s="6"/>
    </row>
    <row r="11066" ht="14.25">
      <c r="B11066" s="18" t="s">
        <v>670</v>
      </c>
      <c r="C11066" s="18" t="s">
        <v>50718</v>
      </c>
      <c r="D11066" s="18" t="s">
        <v>112</v>
      </c>
      <c r="E11066" s="18" t="s">
        <v>50719</v>
      </c>
      <c r="F11066" s="18" t="str">
        <f>IFERROR(__XLUDF.DUMMYFUNCTION("PROPER(REGEXREPLACE(D978,""[^A-Za-z]+ "",""""))"),"Carayon")</f>
        <v>Carayon</v>
      </c>
      <c r="G11066" s="18" t="s">
        <v>50720</v>
      </c>
      <c r="H11066" s="18">
        <v>31</v>
      </c>
      <c r="I11066" s="18" t="s">
        <v>9239</v>
      </c>
      <c r="J11066" s="5" t="s">
        <v>50721</v>
      </c>
      <c r="K11066" s="5" t="s">
        <v>50722</v>
      </c>
      <c r="L11066" s="18" t="s">
        <v>11898</v>
      </c>
      <c r="M11066" s="18" t="s">
        <v>29</v>
      </c>
      <c r="N11066" s="18" t="s">
        <v>50723</v>
      </c>
      <c r="O11066" s="18" t="s">
        <v>29</v>
      </c>
      <c r="P11066" s="6"/>
      <c r="Q11066" s="6"/>
      <c r="R11066" s="6"/>
      <c r="S11066" s="6"/>
      <c r="T11066" s="6"/>
      <c r="U11066" s="6"/>
    </row>
    <row r="11067" ht="14.25">
      <c r="B11067" s="18" t="s">
        <v>6945</v>
      </c>
      <c r="C11067" s="18" t="s">
        <v>50724</v>
      </c>
      <c r="D11067" s="18" t="s">
        <v>112</v>
      </c>
      <c r="E11067" s="18" t="s">
        <v>50725</v>
      </c>
      <c r="F11067" s="18" t="str">
        <f>IFERROR(__XLUDF.DUMMYFUNCTION("PROPER(REGEXREPLACE(D979,""[^A-Za-z]+ "",""""))"),"Sas Suchet")</f>
        <v xml:space="preserve">Sas Suchet</v>
      </c>
      <c r="G11067" s="18" t="s">
        <v>50726</v>
      </c>
      <c r="H11067" s="18">
        <v>15</v>
      </c>
      <c r="I11067" s="18" t="s">
        <v>9239</v>
      </c>
      <c r="J11067" s="5" t="s">
        <v>50727</v>
      </c>
      <c r="K11067" s="5" t="s">
        <v>50728</v>
      </c>
      <c r="L11067" s="18" t="s">
        <v>50729</v>
      </c>
      <c r="M11067" s="18" t="s">
        <v>29</v>
      </c>
      <c r="N11067" s="18" t="s">
        <v>50730</v>
      </c>
      <c r="O11067" s="18" t="s">
        <v>29</v>
      </c>
      <c r="P11067" s="18" t="s">
        <v>50731</v>
      </c>
      <c r="Q11067" s="6"/>
      <c r="R11067" s="6"/>
      <c r="S11067" s="6"/>
      <c r="T11067" s="6"/>
      <c r="U11067" s="6"/>
    </row>
    <row r="11068" ht="14.25">
      <c r="B11068" s="18" t="s">
        <v>50732</v>
      </c>
      <c r="C11068" s="18" t="s">
        <v>50733</v>
      </c>
      <c r="D11068" s="18" t="s">
        <v>1130</v>
      </c>
      <c r="E11068" s="18" t="s">
        <v>50734</v>
      </c>
      <c r="F11068" s="18" t="str">
        <f>IFERROR(__XLUDF.DUMMYFUNCTION("PROPER(REGEXREPLACE(D980,""[^A-Za-z]+ "",""""))"),"Eurobat")</f>
        <v>Eurobat</v>
      </c>
      <c r="G11068" s="18" t="s">
        <v>50735</v>
      </c>
      <c r="H11068" s="18">
        <v>46</v>
      </c>
      <c r="I11068" s="18" t="s">
        <v>9239</v>
      </c>
      <c r="J11068" s="5" t="s">
        <v>50736</v>
      </c>
      <c r="K11068" s="5" t="s">
        <v>50737</v>
      </c>
      <c r="L11068" s="18" t="s">
        <v>39</v>
      </c>
      <c r="M11068" s="18" t="s">
        <v>29</v>
      </c>
      <c r="N11068" s="6"/>
      <c r="O11068" s="6"/>
      <c r="P11068" s="18" t="s">
        <v>50738</v>
      </c>
      <c r="Q11068" s="6"/>
      <c r="R11068" s="6"/>
      <c r="S11068" s="6"/>
      <c r="T11068" s="6"/>
      <c r="U11068" s="6"/>
    </row>
    <row r="11069" ht="14.25">
      <c r="B11069" s="18" t="s">
        <v>769</v>
      </c>
      <c r="C11069" s="18" t="s">
        <v>50739</v>
      </c>
      <c r="D11069" s="18" t="s">
        <v>10959</v>
      </c>
      <c r="E11069" s="18" t="s">
        <v>50740</v>
      </c>
      <c r="F11069" s="18" t="str">
        <f>IFERROR(__XLUDF.DUMMYFUNCTION("PROPER(REGEXREPLACE(D981,""[^A-Za-z]+ "",""""))"),"Depreux Construction")</f>
        <v xml:space="preserve">Depreux Construction</v>
      </c>
      <c r="G11069" s="18" t="s">
        <v>50741</v>
      </c>
      <c r="H11069" s="18">
        <v>20</v>
      </c>
      <c r="I11069" s="18" t="s">
        <v>9239</v>
      </c>
      <c r="J11069" s="5" t="s">
        <v>50742</v>
      </c>
      <c r="K11069" s="5" t="s">
        <v>50743</v>
      </c>
      <c r="L11069" s="18" t="s">
        <v>1711</v>
      </c>
      <c r="M11069" s="18" t="s">
        <v>29</v>
      </c>
      <c r="N11069" s="18" t="s">
        <v>50744</v>
      </c>
      <c r="O11069" s="18" t="s">
        <v>29</v>
      </c>
      <c r="P11069" s="18" t="s">
        <v>50745</v>
      </c>
      <c r="Q11069" s="6"/>
      <c r="R11069" s="6"/>
      <c r="S11069" s="6"/>
      <c r="T11069" s="6"/>
      <c r="U11069" s="6"/>
    </row>
    <row r="11070" ht="14.25">
      <c r="B11070" s="18" t="s">
        <v>4115</v>
      </c>
      <c r="C11070" s="18" t="s">
        <v>1572</v>
      </c>
      <c r="D11070" s="18" t="s">
        <v>44</v>
      </c>
      <c r="E11070" s="18" t="s">
        <v>50746</v>
      </c>
      <c r="F11070" s="18" t="str">
        <f>IFERROR(__XLUDF.DUMMYFUNCTION("PROPER(REGEXREPLACE(D982,""[^A-Za-z]+ "",""""))"),"Groupe Jl&amp;P")</f>
        <v xml:space="preserve">Groupe Jl&amp;P</v>
      </c>
      <c r="G11070" s="18" t="s">
        <v>50747</v>
      </c>
      <c r="H11070" s="18">
        <v>26</v>
      </c>
      <c r="I11070" s="18" t="s">
        <v>9239</v>
      </c>
      <c r="J11070" s="5" t="s">
        <v>50748</v>
      </c>
      <c r="K11070" s="5" t="s">
        <v>50749</v>
      </c>
      <c r="L11070" s="6"/>
      <c r="M11070" s="18" t="s">
        <v>29</v>
      </c>
      <c r="N11070" s="18" t="s">
        <v>50750</v>
      </c>
      <c r="O11070" s="18" t="s">
        <v>29</v>
      </c>
      <c r="P11070" s="18" t="s">
        <v>50751</v>
      </c>
      <c r="Q11070" s="6"/>
      <c r="R11070" s="6"/>
      <c r="S11070" s="6"/>
      <c r="T11070" s="6"/>
      <c r="U11070" s="6"/>
    </row>
    <row r="11071" ht="14.25">
      <c r="B11071" s="18" t="s">
        <v>2771</v>
      </c>
      <c r="C11071" s="18" t="s">
        <v>48255</v>
      </c>
      <c r="D11071" s="18" t="s">
        <v>5400</v>
      </c>
      <c r="E11071" s="18" t="s">
        <v>47716</v>
      </c>
      <c r="F11071" s="18" t="str">
        <f>IFERROR(__XLUDF.DUMMYFUNCTION("PROPER(REGEXREPLACE(D983,""[^A-Za-z]+ "",""""))"),"Sa Carrières Nivet")</f>
        <v xml:space="preserve">Sa Carrières Nivet</v>
      </c>
      <c r="G11071" s="18" t="s">
        <v>50752</v>
      </c>
      <c r="H11071" s="18">
        <v>8</v>
      </c>
      <c r="I11071" s="18" t="s">
        <v>9239</v>
      </c>
      <c r="J11071" s="5" t="s">
        <v>50753</v>
      </c>
      <c r="K11071" s="5" t="s">
        <v>47719</v>
      </c>
      <c r="L11071" s="18" t="s">
        <v>4303</v>
      </c>
      <c r="M11071" s="18" t="s">
        <v>29</v>
      </c>
      <c r="N11071" s="18" t="s">
        <v>47720</v>
      </c>
      <c r="O11071" s="18" t="s">
        <v>29</v>
      </c>
      <c r="P11071" s="6"/>
      <c r="Q11071" s="6"/>
      <c r="R11071" s="6"/>
      <c r="S11071" s="6"/>
      <c r="T11071" s="6"/>
      <c r="U11071" s="6"/>
    </row>
    <row r="11072" ht="14.25">
      <c r="B11072" s="18" t="s">
        <v>110</v>
      </c>
      <c r="C11072" s="18" t="s">
        <v>50754</v>
      </c>
      <c r="D11072" s="18" t="s">
        <v>172</v>
      </c>
      <c r="E11072" s="18" t="s">
        <v>50755</v>
      </c>
      <c r="F11072" s="18" t="str">
        <f>IFERROR(__XLUDF.DUMMYFUNCTION("PROPER(REGEXREPLACE(D984,""[^A-Za-z]+ "",""""))"),"Hej'France")</f>
        <v>Hej'France</v>
      </c>
      <c r="G11072" s="18" t="s">
        <v>50756</v>
      </c>
      <c r="H11072" s="18">
        <v>1</v>
      </c>
      <c r="I11072" s="18" t="s">
        <v>9239</v>
      </c>
      <c r="J11072" s="5" t="s">
        <v>50757</v>
      </c>
      <c r="K11072" s="5" t="s">
        <v>50758</v>
      </c>
      <c r="L11072" s="18" t="s">
        <v>1711</v>
      </c>
      <c r="M11072" s="18" t="s">
        <v>29</v>
      </c>
      <c r="N11072" s="18" t="s">
        <v>50759</v>
      </c>
      <c r="O11072" s="18" t="s">
        <v>29</v>
      </c>
      <c r="P11072" s="18" t="s">
        <v>50760</v>
      </c>
      <c r="Q11072" s="6"/>
      <c r="R11072" s="6"/>
      <c r="S11072" s="6"/>
      <c r="T11072" s="6"/>
      <c r="U11072" s="6"/>
    </row>
    <row r="11073" ht="14.25">
      <c r="B11073" s="18" t="s">
        <v>42753</v>
      </c>
      <c r="C11073" s="18" t="s">
        <v>11429</v>
      </c>
      <c r="D11073" s="18" t="s">
        <v>426</v>
      </c>
      <c r="E11073" s="18" t="s">
        <v>50761</v>
      </c>
      <c r="F11073" s="18" t="str">
        <f>IFERROR(__XLUDF.DUMMYFUNCTION("PROPER(REGEXREPLACE(D985,""[^A-Za-z]+ "",""""))"),"La Régionale Electrique Climatique Informatique Industrielle")</f>
        <v xml:space="preserve">La Régionale Electrique Climatique Informatique Industrielle</v>
      </c>
      <c r="G11073" s="18" t="s">
        <v>50762</v>
      </c>
      <c r="H11073" s="18">
        <v>11</v>
      </c>
      <c r="I11073" s="18" t="s">
        <v>9239</v>
      </c>
      <c r="J11073" s="5" t="s">
        <v>50763</v>
      </c>
      <c r="K11073" s="5" t="s">
        <v>50764</v>
      </c>
      <c r="L11073" s="18" t="s">
        <v>1711</v>
      </c>
      <c r="M11073" s="18" t="s">
        <v>29</v>
      </c>
      <c r="N11073" s="18" t="s">
        <v>50765</v>
      </c>
      <c r="O11073" s="18" t="s">
        <v>29</v>
      </c>
      <c r="P11073" s="18" t="s">
        <v>50766</v>
      </c>
      <c r="Q11073" s="6"/>
      <c r="R11073" s="6"/>
      <c r="S11073" s="6"/>
      <c r="T11073" s="6"/>
      <c r="U11073" s="6"/>
    </row>
    <row r="11074" ht="14.25">
      <c r="B11074" s="18" t="s">
        <v>1704</v>
      </c>
      <c r="C11074" s="18" t="s">
        <v>50767</v>
      </c>
      <c r="D11074" s="18" t="s">
        <v>1130</v>
      </c>
      <c r="E11074" s="18" t="s">
        <v>50768</v>
      </c>
      <c r="F11074" s="18" t="str">
        <f>IFERROR(__XLUDF.DUMMYFUNCTION("PROPER(REGEXREPLACE(D986,""[^A-Za-z]+ "",""""))"),"You Charpentes Bois")</f>
        <v xml:space="preserve">You Charpentes Bois</v>
      </c>
      <c r="G11074" s="18" t="s">
        <v>50769</v>
      </c>
      <c r="H11074" s="18">
        <v>8</v>
      </c>
      <c r="I11074" s="18" t="s">
        <v>9239</v>
      </c>
      <c r="J11074" s="5" t="s">
        <v>50770</v>
      </c>
      <c r="K11074" s="5" t="s">
        <v>50771</v>
      </c>
      <c r="L11074" s="18" t="s">
        <v>50772</v>
      </c>
      <c r="M11074" s="18" t="s">
        <v>29</v>
      </c>
      <c r="N11074" s="18" t="s">
        <v>50773</v>
      </c>
      <c r="O11074" s="18" t="s">
        <v>29</v>
      </c>
      <c r="P11074" s="18" t="s">
        <v>50774</v>
      </c>
      <c r="Q11074" s="6"/>
      <c r="R11074" s="6"/>
      <c r="S11074" s="6"/>
      <c r="T11074" s="6"/>
      <c r="U11074" s="6"/>
    </row>
    <row r="11075" ht="14.25">
      <c r="B11075" s="18" t="s">
        <v>206</v>
      </c>
      <c r="C11075" s="18" t="s">
        <v>50775</v>
      </c>
      <c r="D11075" s="18" t="s">
        <v>112</v>
      </c>
      <c r="E11075" s="18" t="s">
        <v>50776</v>
      </c>
      <c r="F11075" s="18" t="str">
        <f>IFERROR(__XLUDF.DUMMYFUNCTION("PROPER(REGEXREPLACE(D987,""[^A-Za-z]+ "",""""))"),"Sky'Inlab")</f>
        <v>Sky'Inlab</v>
      </c>
      <c r="G11075" s="18" t="s">
        <v>50777</v>
      </c>
      <c r="H11075" s="18">
        <v>35</v>
      </c>
      <c r="I11075" s="18" t="s">
        <v>9239</v>
      </c>
      <c r="J11075" s="5" t="s">
        <v>50778</v>
      </c>
      <c r="K11075" s="5" t="s">
        <v>50779</v>
      </c>
      <c r="L11075" s="18" t="s">
        <v>3750</v>
      </c>
      <c r="M11075" s="18" t="s">
        <v>29</v>
      </c>
      <c r="N11075" s="18" t="s">
        <v>50780</v>
      </c>
      <c r="O11075" s="18" t="s">
        <v>29</v>
      </c>
      <c r="P11075" s="18" t="s">
        <v>50781</v>
      </c>
      <c r="Q11075" s="6"/>
      <c r="R11075" s="6"/>
      <c r="S11075" s="6"/>
      <c r="T11075" s="6"/>
      <c r="U11075" s="6"/>
    </row>
    <row r="11076" ht="14.25">
      <c r="B11076" s="18" t="s">
        <v>2652</v>
      </c>
      <c r="C11076" s="18" t="s">
        <v>50782</v>
      </c>
      <c r="D11076" s="18" t="s">
        <v>341</v>
      </c>
      <c r="E11076" s="18" t="s">
        <v>50783</v>
      </c>
      <c r="F11076" s="18" t="str">
        <f>IFERROR(__XLUDF.DUMMYFUNCTION("PROPER(REGEXREPLACE(D988,""[^A-Za-z]+ "",""""))"),"Accès +")</f>
        <v xml:space="preserve">Accès +</v>
      </c>
      <c r="G11076" s="18" t="s">
        <v>50784</v>
      </c>
      <c r="H11076" s="18">
        <v>16</v>
      </c>
      <c r="I11076" s="18" t="s">
        <v>9239</v>
      </c>
      <c r="J11076" s="5" t="s">
        <v>50785</v>
      </c>
      <c r="K11076" s="5" t="s">
        <v>50786</v>
      </c>
      <c r="L11076" s="18" t="s">
        <v>39</v>
      </c>
      <c r="M11076" s="18" t="s">
        <v>29</v>
      </c>
      <c r="N11076" s="18" t="s">
        <v>50787</v>
      </c>
      <c r="O11076" s="18" t="s">
        <v>29</v>
      </c>
      <c r="P11076" s="18" t="s">
        <v>50788</v>
      </c>
      <c r="Q11076" s="6"/>
      <c r="R11076" s="6"/>
      <c r="S11076" s="6"/>
      <c r="T11076" s="6"/>
      <c r="U11076" s="6"/>
    </row>
    <row r="11077" ht="14.25">
      <c r="B11077" s="18" t="s">
        <v>50789</v>
      </c>
      <c r="C11077" s="18" t="s">
        <v>1704</v>
      </c>
      <c r="D11077" s="18" t="s">
        <v>3611</v>
      </c>
      <c r="E11077" s="18" t="s">
        <v>50790</v>
      </c>
      <c r="F11077" s="18" t="str">
        <f>IFERROR(__XLUDF.DUMMYFUNCTION("PROPER(REGEXREPLACE(D989,""[^A-Za-z]+ "",""""))"),"Apc Ingenierie")</f>
        <v xml:space="preserve">Apc Ingenierie</v>
      </c>
      <c r="G11077" s="18" t="s">
        <v>50791</v>
      </c>
      <c r="H11077" s="18">
        <v>30</v>
      </c>
      <c r="I11077" s="18" t="s">
        <v>9239</v>
      </c>
      <c r="J11077" s="5" t="s">
        <v>50792</v>
      </c>
      <c r="K11077" s="5" t="s">
        <v>50793</v>
      </c>
      <c r="L11077" s="6"/>
      <c r="M11077" s="18" t="s">
        <v>29</v>
      </c>
      <c r="N11077" s="18" t="s">
        <v>50794</v>
      </c>
      <c r="O11077" s="18" t="s">
        <v>29</v>
      </c>
      <c r="P11077" s="6"/>
      <c r="Q11077" s="6"/>
      <c r="R11077" s="6"/>
      <c r="S11077" s="6"/>
      <c r="T11077" s="6"/>
      <c r="U11077" s="6"/>
    </row>
    <row r="11078" ht="14.25">
      <c r="B11078" s="18" t="s">
        <v>290</v>
      </c>
      <c r="C11078" s="18" t="s">
        <v>50795</v>
      </c>
      <c r="D11078" s="18" t="s">
        <v>879</v>
      </c>
      <c r="E11078" s="18" t="s">
        <v>50796</v>
      </c>
      <c r="F11078" s="18" t="str">
        <f>IFERROR(__XLUDF.DUMMYFUNCTION("PROPER(REGEXREPLACE(D990,""[^A-Za-z]+ "",""""))"),"Chez Moi")</f>
        <v xml:space="preserve">Chez Moi</v>
      </c>
      <c r="G11078" s="18" t="s">
        <v>50797</v>
      </c>
      <c r="H11078" s="18">
        <v>16</v>
      </c>
      <c r="I11078" s="18" t="s">
        <v>9239</v>
      </c>
      <c r="J11078" s="5" t="s">
        <v>50798</v>
      </c>
      <c r="K11078" s="5" t="s">
        <v>50799</v>
      </c>
      <c r="L11078" s="18" t="s">
        <v>12966</v>
      </c>
      <c r="M11078" s="18" t="s">
        <v>29</v>
      </c>
      <c r="N11078" s="18" t="s">
        <v>50800</v>
      </c>
      <c r="O11078" s="18" t="s">
        <v>29</v>
      </c>
      <c r="P11078" s="18" t="s">
        <v>50801</v>
      </c>
      <c r="Q11078" s="6"/>
      <c r="R11078" s="6"/>
      <c r="S11078" s="6"/>
      <c r="T11078" s="6"/>
      <c r="U11078" s="6"/>
    </row>
    <row r="11079" ht="14.25">
      <c r="B11079" s="18" t="s">
        <v>768</v>
      </c>
      <c r="C11079" s="18" t="s">
        <v>50802</v>
      </c>
      <c r="D11079" s="18" t="s">
        <v>3090</v>
      </c>
      <c r="E11079" s="5" t="s">
        <v>50803</v>
      </c>
      <c r="F11079" s="5" t="str">
        <f>IFERROR(__XLUDF.DUMMYFUNCTION("PROPER(REGEXREPLACE(D991,""[^A-Za-z]+ "",""""))"),"Rencontreunarchi.Com")</f>
        <v>Rencontreunarchi.Com</v>
      </c>
      <c r="G11079" s="18" t="s">
        <v>50804</v>
      </c>
      <c r="H11079" s="18">
        <v>6</v>
      </c>
      <c r="I11079" s="18" t="s">
        <v>10167</v>
      </c>
      <c r="J11079" s="5" t="s">
        <v>50805</v>
      </c>
      <c r="K11079" s="5" t="s">
        <v>50806</v>
      </c>
      <c r="L11079" s="6"/>
      <c r="M11079" s="18" t="s">
        <v>29</v>
      </c>
      <c r="N11079" s="18" t="s">
        <v>50807</v>
      </c>
      <c r="O11079" s="18" t="s">
        <v>29</v>
      </c>
      <c r="P11079" s="18" t="s">
        <v>50808</v>
      </c>
      <c r="Q11079" s="6"/>
      <c r="R11079" s="6"/>
      <c r="S11079" s="6"/>
      <c r="T11079" s="6"/>
      <c r="U11079" s="6"/>
    </row>
    <row r="11080" ht="14.25">
      <c r="B11080" s="18" t="s">
        <v>2932</v>
      </c>
      <c r="C11080" s="18" t="s">
        <v>50809</v>
      </c>
      <c r="D11080" s="18" t="s">
        <v>19134</v>
      </c>
      <c r="E11080" s="18" t="s">
        <v>50115</v>
      </c>
      <c r="F11080" s="18" t="str">
        <f>IFERROR(__XLUDF.DUMMYFUNCTION("PROPER(REGEXREPLACE(D992,""[^A-Za-z]+ "",""""))"),"Zefco")</f>
        <v>Zefco</v>
      </c>
      <c r="G11080" s="18" t="s">
        <v>50810</v>
      </c>
      <c r="H11080" s="18">
        <v>34</v>
      </c>
      <c r="I11080" s="18" t="s">
        <v>9239</v>
      </c>
      <c r="J11080" s="5" t="s">
        <v>50811</v>
      </c>
      <c r="K11080" s="5" t="s">
        <v>50118</v>
      </c>
      <c r="L11080" s="18" t="s">
        <v>39</v>
      </c>
      <c r="M11080" s="18" t="s">
        <v>29</v>
      </c>
      <c r="N11080" s="18" t="s">
        <v>26188</v>
      </c>
      <c r="O11080" s="18" t="s">
        <v>29</v>
      </c>
      <c r="P11080" s="18" t="s">
        <v>50119</v>
      </c>
      <c r="Q11080" s="6"/>
      <c r="R11080" s="6"/>
      <c r="S11080" s="6"/>
      <c r="T11080" s="6"/>
      <c r="U11080" s="6"/>
    </row>
    <row r="11081" ht="14.25">
      <c r="B11081" s="18" t="s">
        <v>1583</v>
      </c>
      <c r="C11081" s="18" t="s">
        <v>50812</v>
      </c>
      <c r="D11081" s="18" t="s">
        <v>1130</v>
      </c>
      <c r="E11081" s="18" t="s">
        <v>50813</v>
      </c>
      <c r="F11081" s="18" t="str">
        <f>IFERROR(__XLUDF.DUMMYFUNCTION("PROPER(REGEXREPLACE(D993,""[^A-Za-z]+ "",""""))"),"Imeca S.A")</f>
        <v xml:space="preserve">Imeca S.A</v>
      </c>
      <c r="G11081" s="18" t="s">
        <v>50814</v>
      </c>
      <c r="H11081" s="18">
        <v>20</v>
      </c>
      <c r="I11081" s="18" t="s">
        <v>9239</v>
      </c>
      <c r="J11081" s="5" t="s">
        <v>50815</v>
      </c>
      <c r="K11081" s="5" t="s">
        <v>50816</v>
      </c>
      <c r="L11081" s="18" t="s">
        <v>482</v>
      </c>
      <c r="M11081" s="18" t="s">
        <v>29</v>
      </c>
      <c r="N11081" s="18" t="s">
        <v>50817</v>
      </c>
      <c r="O11081" s="18" t="s">
        <v>50818</v>
      </c>
      <c r="P11081" s="6"/>
      <c r="Q11081" s="6"/>
      <c r="R11081" s="6"/>
      <c r="S11081" s="6"/>
      <c r="T11081" s="6"/>
      <c r="U11081" s="6"/>
    </row>
    <row r="11082" ht="14.25">
      <c r="B11082" s="18" t="s">
        <v>322</v>
      </c>
      <c r="C11082" s="18" t="s">
        <v>50819</v>
      </c>
      <c r="D11082" s="18" t="s">
        <v>172</v>
      </c>
      <c r="E11082" s="18" t="s">
        <v>50820</v>
      </c>
      <c r="F11082" s="18" t="str">
        <f>IFERROR(__XLUDF.DUMMYFUNCTION("PROPER(REGEXREPLACE(D994,""[^A-Za-z]+ "",""""))"),"Quali Confort Isolation")</f>
        <v xml:space="preserve">Quali Confort Isolation</v>
      </c>
      <c r="G11082" s="18" t="s">
        <v>50821</v>
      </c>
      <c r="H11082" s="18">
        <v>25</v>
      </c>
      <c r="I11082" s="18" t="s">
        <v>9239</v>
      </c>
      <c r="J11082" s="5" t="s">
        <v>50822</v>
      </c>
      <c r="K11082" s="5" t="s">
        <v>50823</v>
      </c>
      <c r="L11082" s="18" t="s">
        <v>439</v>
      </c>
      <c r="M11082" s="18" t="s">
        <v>29</v>
      </c>
      <c r="N11082" s="18" t="s">
        <v>50824</v>
      </c>
      <c r="O11082" s="18" t="s">
        <v>29</v>
      </c>
      <c r="P11082" s="18" t="s">
        <v>50825</v>
      </c>
      <c r="Q11082" s="6"/>
      <c r="R11082" s="6"/>
      <c r="S11082" s="6"/>
      <c r="T11082" s="6"/>
      <c r="U11082" s="6"/>
    </row>
    <row r="11083" ht="14.25">
      <c r="B11083" s="18" t="s">
        <v>110</v>
      </c>
      <c r="C11083" s="18" t="s">
        <v>50826</v>
      </c>
      <c r="D11083" s="18" t="s">
        <v>172</v>
      </c>
      <c r="E11083" s="18" t="s">
        <v>50827</v>
      </c>
      <c r="F11083" s="18" t="str">
        <f>IFERROR(__XLUDF.DUMMYFUNCTION("PROPER(REGEXREPLACE(D995,""[^A-Za-z]+ "",""""))"),"Crbat Ingénierie")</f>
        <v xml:space="preserve">Crbat Ingénierie</v>
      </c>
      <c r="G11083" s="18" t="s">
        <v>50828</v>
      </c>
      <c r="H11083" s="18">
        <v>10</v>
      </c>
      <c r="I11083" s="18" t="s">
        <v>9239</v>
      </c>
      <c r="J11083" s="5" t="s">
        <v>50829</v>
      </c>
      <c r="K11083" s="5" t="s">
        <v>50830</v>
      </c>
      <c r="L11083" s="18" t="s">
        <v>1826</v>
      </c>
      <c r="M11083" s="18" t="s">
        <v>29</v>
      </c>
      <c r="N11083" s="18" t="s">
        <v>26417</v>
      </c>
      <c r="O11083" s="18" t="s">
        <v>29</v>
      </c>
      <c r="P11083" s="18" t="s">
        <v>50831</v>
      </c>
      <c r="Q11083" s="6"/>
      <c r="R11083" s="6"/>
      <c r="S11083" s="6"/>
      <c r="T11083" s="6"/>
      <c r="U11083" s="6"/>
    </row>
    <row r="11084" ht="14.25">
      <c r="B11084" s="18" t="s">
        <v>1215</v>
      </c>
      <c r="C11084" s="18" t="s">
        <v>10222</v>
      </c>
      <c r="D11084" s="18" t="s">
        <v>87</v>
      </c>
      <c r="E11084" s="18" t="s">
        <v>50832</v>
      </c>
      <c r="F11084" s="18" t="str">
        <f>IFERROR(__XLUDF.DUMMYFUNCTION("PROPER(REGEXREPLACE(D996,""[^A-Za-z]+ "",""""))"),"Domopad")</f>
        <v>Domopad</v>
      </c>
      <c r="G11084" s="18" t="s">
        <v>50833</v>
      </c>
      <c r="H11084" s="18">
        <v>2</v>
      </c>
      <c r="I11084" s="18" t="s">
        <v>9239</v>
      </c>
      <c r="J11084" s="5" t="s">
        <v>50834</v>
      </c>
      <c r="K11084" s="5" t="s">
        <v>50835</v>
      </c>
      <c r="L11084" s="18" t="s">
        <v>21259</v>
      </c>
      <c r="M11084" s="18" t="s">
        <v>29</v>
      </c>
      <c r="N11084" s="18" t="s">
        <v>50836</v>
      </c>
      <c r="O11084" s="18" t="s">
        <v>29</v>
      </c>
      <c r="P11084" s="6"/>
      <c r="Q11084" s="6"/>
      <c r="R11084" s="6"/>
      <c r="S11084" s="6"/>
      <c r="T11084" s="6"/>
      <c r="U11084" s="6"/>
    </row>
    <row r="11085" ht="14.25">
      <c r="B11085" s="18" t="s">
        <v>743</v>
      </c>
      <c r="C11085" s="18" t="s">
        <v>6179</v>
      </c>
      <c r="D11085" s="18" t="s">
        <v>8003</v>
      </c>
      <c r="E11085" s="18" t="s">
        <v>50837</v>
      </c>
      <c r="F11085" s="18" t="str">
        <f>IFERROR(__XLUDF.DUMMYFUNCTION("PROPER(REGEXREPLACE(D997,""[^A-Za-z]+ "",""""))"),"Mbrénovation")</f>
        <v>Mbrénovation</v>
      </c>
      <c r="G11085" s="18" t="s">
        <v>50838</v>
      </c>
      <c r="H11085" s="18">
        <v>7</v>
      </c>
      <c r="I11085" s="18" t="s">
        <v>9239</v>
      </c>
      <c r="J11085" s="5" t="s">
        <v>50839</v>
      </c>
      <c r="K11085" s="5" t="s">
        <v>50840</v>
      </c>
      <c r="L11085" s="18" t="s">
        <v>2149</v>
      </c>
      <c r="M11085" s="18" t="s">
        <v>29</v>
      </c>
      <c r="N11085" s="18" t="s">
        <v>50841</v>
      </c>
      <c r="O11085" s="18" t="s">
        <v>29</v>
      </c>
      <c r="P11085" s="18" t="s">
        <v>50842</v>
      </c>
      <c r="Q11085" s="6"/>
      <c r="R11085" s="6"/>
      <c r="S11085" s="6"/>
      <c r="T11085" s="6"/>
      <c r="U11085" s="6"/>
    </row>
    <row r="11086" ht="14.25">
      <c r="B11086" s="18" t="s">
        <v>110</v>
      </c>
      <c r="C11086" s="18" t="s">
        <v>44416</v>
      </c>
      <c r="D11086" s="18" t="s">
        <v>172</v>
      </c>
      <c r="E11086" s="18" t="s">
        <v>50843</v>
      </c>
      <c r="F11086" s="18" t="str">
        <f>IFERROR(__XLUDF.DUMMYFUNCTION("PROPER(REGEXREPLACE(D998,""[^A-Za-z]+ "",""""))"),"Favre")</f>
        <v>Favre</v>
      </c>
      <c r="G11086" s="18" t="s">
        <v>50844</v>
      </c>
      <c r="H11086" s="18">
        <v>8</v>
      </c>
      <c r="I11086" s="18" t="s">
        <v>9239</v>
      </c>
      <c r="J11086" s="5" t="s">
        <v>50845</v>
      </c>
      <c r="K11086" s="5" t="s">
        <v>50846</v>
      </c>
      <c r="L11086" s="18" t="s">
        <v>243</v>
      </c>
      <c r="M11086" s="18" t="s">
        <v>29</v>
      </c>
      <c r="N11086" s="18" t="s">
        <v>50847</v>
      </c>
      <c r="O11086" s="18" t="s">
        <v>29</v>
      </c>
      <c r="P11086" s="6"/>
      <c r="Q11086" s="6"/>
      <c r="R11086" s="6"/>
      <c r="S11086" s="6"/>
      <c r="T11086" s="6"/>
      <c r="U11086" s="6"/>
    </row>
    <row r="11087" ht="14.25">
      <c r="B11087" s="18" t="s">
        <v>1215</v>
      </c>
      <c r="C11087" s="18" t="s">
        <v>50848</v>
      </c>
      <c r="D11087" s="18" t="s">
        <v>172</v>
      </c>
      <c r="E11087" s="18" t="s">
        <v>50849</v>
      </c>
      <c r="F11087" s="18" t="str">
        <f>IFERROR(__XLUDF.DUMMYFUNCTION("PROPER(REGEXREPLACE(D999,""[^A-Za-z]+ "",""""))"),"Setec Gl Ingénierie")</f>
        <v xml:space="preserve">Setec Gl Ingénierie</v>
      </c>
      <c r="G11087" s="18" t="s">
        <v>50850</v>
      </c>
      <c r="H11087" s="18">
        <v>40</v>
      </c>
      <c r="I11087" s="18" t="s">
        <v>9239</v>
      </c>
      <c r="J11087" s="5" t="s">
        <v>50851</v>
      </c>
      <c r="K11087" s="5" t="s">
        <v>50852</v>
      </c>
      <c r="L11087" s="18" t="s">
        <v>50853</v>
      </c>
      <c r="M11087" s="18" t="s">
        <v>29</v>
      </c>
      <c r="N11087" s="18" t="s">
        <v>50854</v>
      </c>
      <c r="O11087" s="18" t="s">
        <v>29</v>
      </c>
      <c r="P11087" s="6"/>
      <c r="Q11087" s="6"/>
      <c r="R11087" s="6"/>
      <c r="S11087" s="6"/>
      <c r="T11087" s="6"/>
      <c r="U11087" s="6"/>
    </row>
    <row r="11088" ht="14.25">
      <c r="B11088" s="18" t="s">
        <v>3142</v>
      </c>
      <c r="C11088" s="18" t="s">
        <v>50855</v>
      </c>
      <c r="D11088" s="18" t="s">
        <v>172</v>
      </c>
      <c r="E11088" s="18" t="s">
        <v>50856</v>
      </c>
      <c r="F11088" s="18" t="str">
        <f>IFERROR(__XLUDF.DUMMYFUNCTION("PROPER(REGEXREPLACE(D1000,""[^A-Za-z]+ "",""""))"),"Fge-Idf")</f>
        <v>Fge-Idf</v>
      </c>
      <c r="G11088" s="18" t="s">
        <v>50857</v>
      </c>
      <c r="H11088" s="18">
        <v>7</v>
      </c>
      <c r="I11088" s="18" t="s">
        <v>9239</v>
      </c>
      <c r="J11088" s="5" t="s">
        <v>50858</v>
      </c>
      <c r="K11088" s="5" t="s">
        <v>50859</v>
      </c>
      <c r="L11088" s="18" t="s">
        <v>21363</v>
      </c>
      <c r="M11088" s="18" t="s">
        <v>29</v>
      </c>
      <c r="N11088" s="18" t="s">
        <v>50860</v>
      </c>
      <c r="O11088" s="18" t="s">
        <v>29</v>
      </c>
      <c r="P11088" s="6"/>
      <c r="Q11088" s="6"/>
      <c r="R11088" s="6"/>
      <c r="S11088" s="6"/>
      <c r="T11088" s="6"/>
      <c r="U11088" s="6"/>
    </row>
    <row r="11089" ht="14.25">
      <c r="B11089" s="18" t="s">
        <v>638</v>
      </c>
      <c r="C11089" s="18" t="s">
        <v>50861</v>
      </c>
      <c r="D11089" s="18" t="s">
        <v>164</v>
      </c>
      <c r="E11089" s="18" t="s">
        <v>50862</v>
      </c>
      <c r="F11089" s="18" t="str">
        <f>IFERROR(__XLUDF.DUMMYFUNCTION("PROPER(REGEXREPLACE(D1001,""[^A-Za-z]+ "",""""))"),"Rusu Ascenseurs")</f>
        <v xml:space="preserve">Rusu Ascenseurs</v>
      </c>
      <c r="G11089" s="18" t="s">
        <v>50863</v>
      </c>
      <c r="H11089" s="18">
        <v>10</v>
      </c>
      <c r="I11089" s="18" t="s">
        <v>9239</v>
      </c>
      <c r="J11089" s="5" t="s">
        <v>50864</v>
      </c>
      <c r="K11089" s="5" t="s">
        <v>50865</v>
      </c>
      <c r="L11089" s="18" t="s">
        <v>11278</v>
      </c>
      <c r="M11089" s="18" t="s">
        <v>29</v>
      </c>
      <c r="N11089" s="18" t="s">
        <v>50866</v>
      </c>
      <c r="O11089" s="18" t="s">
        <v>29</v>
      </c>
      <c r="P11089" s="6"/>
      <c r="Q11089" s="6"/>
      <c r="R11089" s="6"/>
      <c r="S11089" s="6"/>
      <c r="T11089" s="6"/>
      <c r="U11089" s="6"/>
    </row>
    <row r="11090" ht="14.25">
      <c r="B11090" s="18" t="s">
        <v>14831</v>
      </c>
      <c r="C11090" s="18" t="s">
        <v>50867</v>
      </c>
      <c r="D11090" s="18" t="s">
        <v>172</v>
      </c>
      <c r="E11090" s="18" t="s">
        <v>50868</v>
      </c>
      <c r="F11090" s="18" t="str">
        <f>IFERROR(__XLUDF.DUMMYFUNCTION("PROPER(REGEXREPLACE(D1002,""[^A-Za-z]+ "",""""))"),"Empeering")</f>
        <v>Empeering</v>
      </c>
      <c r="G11090" s="18" t="s">
        <v>50869</v>
      </c>
      <c r="H11090" s="18">
        <v>44</v>
      </c>
      <c r="I11090" s="18" t="s">
        <v>9239</v>
      </c>
      <c r="J11090" s="5" t="s">
        <v>50870</v>
      </c>
      <c r="K11090" s="5" t="s">
        <v>50871</v>
      </c>
      <c r="L11090" s="6"/>
      <c r="M11090" s="18" t="s">
        <v>29</v>
      </c>
      <c r="N11090" s="18" t="s">
        <v>50872</v>
      </c>
      <c r="O11090" s="18" t="s">
        <v>29</v>
      </c>
      <c r="P11090" s="18" t="s">
        <v>50873</v>
      </c>
      <c r="Q11090" s="6"/>
      <c r="R11090" s="6"/>
      <c r="S11090" s="6"/>
      <c r="T11090" s="6"/>
      <c r="U11090" s="6"/>
    </row>
    <row r="11091" ht="14.25">
      <c r="B11091" s="18" t="s">
        <v>1732</v>
      </c>
      <c r="C11091" s="18" t="s">
        <v>50874</v>
      </c>
      <c r="D11091" s="18" t="s">
        <v>172</v>
      </c>
      <c r="E11091" s="18" t="s">
        <v>50875</v>
      </c>
      <c r="F11091" s="18" t="str">
        <f>IFERROR(__XLUDF.DUMMYFUNCTION("PROPER(REGEXREPLACE(D1003,""[^A-Za-z]+ "",""""))"),"Er2C")</f>
        <v>Er2C</v>
      </c>
      <c r="G11091" s="18" t="s">
        <v>50876</v>
      </c>
      <c r="H11091" s="18">
        <v>25</v>
      </c>
      <c r="I11091" s="18" t="s">
        <v>9239</v>
      </c>
      <c r="J11091" s="5" t="s">
        <v>50877</v>
      </c>
      <c r="K11091" s="5" t="s">
        <v>50878</v>
      </c>
      <c r="L11091" s="18" t="s">
        <v>39</v>
      </c>
      <c r="M11091" s="18" t="s">
        <v>29</v>
      </c>
      <c r="N11091" s="18" t="s">
        <v>50879</v>
      </c>
      <c r="O11091" s="18" t="s">
        <v>29</v>
      </c>
      <c r="P11091" s="6"/>
      <c r="Q11091" s="6"/>
      <c r="R11091" s="6"/>
      <c r="S11091" s="6"/>
      <c r="T11091" s="6"/>
      <c r="U11091" s="6"/>
    </row>
    <row r="11092" ht="14.25">
      <c r="B11092" s="18" t="s">
        <v>4115</v>
      </c>
      <c r="C11092" s="18" t="s">
        <v>9082</v>
      </c>
      <c r="D11092" s="18" t="s">
        <v>172</v>
      </c>
      <c r="E11092" s="18" t="s">
        <v>49862</v>
      </c>
      <c r="F11092" s="18" t="str">
        <f>IFERROR(__XLUDF.DUMMYFUNCTION("PROPER(REGEXREPLACE(D1004,""[^A-Za-z]+ "",""""))"),"Menuiserie Devilloise")</f>
        <v xml:space="preserve">Menuiserie Devilloise</v>
      </c>
      <c r="G11092" s="18" t="s">
        <v>50880</v>
      </c>
      <c r="H11092" s="18">
        <v>24</v>
      </c>
      <c r="I11092" s="18" t="s">
        <v>9239</v>
      </c>
      <c r="J11092" s="5" t="s">
        <v>50881</v>
      </c>
      <c r="K11092" s="5" t="s">
        <v>49865</v>
      </c>
      <c r="L11092" s="18" t="s">
        <v>492</v>
      </c>
      <c r="M11092" s="18" t="s">
        <v>29</v>
      </c>
      <c r="N11092" s="18" t="s">
        <v>49866</v>
      </c>
      <c r="O11092" s="18" t="s">
        <v>29</v>
      </c>
      <c r="P11092" s="6"/>
      <c r="Q11092" s="6"/>
      <c r="R11092" s="6"/>
      <c r="S11092" s="6"/>
      <c r="T11092" s="6"/>
      <c r="U11092" s="6"/>
    </row>
    <row r="11093" ht="14.25">
      <c r="B11093" s="18" t="s">
        <v>963</v>
      </c>
      <c r="C11093" s="18" t="s">
        <v>50882</v>
      </c>
      <c r="D11093" s="18" t="s">
        <v>172</v>
      </c>
      <c r="E11093" s="18" t="s">
        <v>50883</v>
      </c>
      <c r="F11093" s="18" t="str">
        <f>IFERROR(__XLUDF.DUMMYFUNCTION("PROPER(REGEXREPLACE(D1005,""[^A-Za-z]+ "",""""))"),"Fécamp Services")</f>
        <v xml:space="preserve">Fécamp Services</v>
      </c>
      <c r="G11093" s="18" t="s">
        <v>50884</v>
      </c>
      <c r="H11093" s="18">
        <v>5</v>
      </c>
      <c r="I11093" s="18" t="s">
        <v>9239</v>
      </c>
      <c r="J11093" s="5" t="s">
        <v>50885</v>
      </c>
      <c r="K11093" s="5" t="s">
        <v>50886</v>
      </c>
      <c r="L11093" s="18" t="s">
        <v>39</v>
      </c>
      <c r="M11093" s="18" t="s">
        <v>29</v>
      </c>
      <c r="N11093" s="18" t="s">
        <v>50887</v>
      </c>
      <c r="O11093" s="18" t="s">
        <v>29</v>
      </c>
      <c r="P11093" s="18" t="s">
        <v>50888</v>
      </c>
      <c r="Q11093" s="6"/>
      <c r="R11093" s="6"/>
      <c r="S11093" s="6"/>
      <c r="T11093" s="6"/>
      <c r="U11093" s="6"/>
    </row>
    <row r="11094" ht="14.25">
      <c r="B11094" s="18" t="s">
        <v>50889</v>
      </c>
      <c r="C11094" s="18" t="s">
        <v>4012</v>
      </c>
      <c r="D11094" s="18" t="s">
        <v>487</v>
      </c>
      <c r="E11094" s="18" t="s">
        <v>50890</v>
      </c>
      <c r="F11094" s="18" t="str">
        <f>IFERROR(__XLUDF.DUMMYFUNCTION("PROPER(REGEXREPLACE(D1006,""[^A-Za-z]+ "",""""))"),"Exa Ecs")</f>
        <v xml:space="preserve">Exa Ecs</v>
      </c>
      <c r="G11094" s="18" t="s">
        <v>50891</v>
      </c>
      <c r="H11094" s="18">
        <v>19</v>
      </c>
      <c r="I11094" s="18" t="s">
        <v>9239</v>
      </c>
      <c r="J11094" s="5" t="s">
        <v>50892</v>
      </c>
      <c r="K11094" s="5" t="s">
        <v>50893</v>
      </c>
      <c r="L11094" s="18" t="s">
        <v>29304</v>
      </c>
      <c r="M11094" s="18" t="s">
        <v>29</v>
      </c>
      <c r="N11094" s="18" t="s">
        <v>50894</v>
      </c>
      <c r="O11094" s="18" t="s">
        <v>29</v>
      </c>
      <c r="P11094" s="18" t="s">
        <v>50895</v>
      </c>
      <c r="Q11094" s="6"/>
      <c r="R11094" s="6"/>
      <c r="S11094" s="6"/>
      <c r="T11094" s="6"/>
      <c r="U11094" s="6"/>
    </row>
    <row r="11095" ht="14.25">
      <c r="B11095" s="18" t="s">
        <v>769</v>
      </c>
      <c r="C11095" s="18" t="s">
        <v>50896</v>
      </c>
      <c r="D11095" s="18" t="s">
        <v>50897</v>
      </c>
      <c r="E11095" s="18" t="s">
        <v>50898</v>
      </c>
      <c r="F11095" s="18" t="str">
        <f>IFERROR(__XLUDF.DUMMYFUNCTION("PROPER(REGEXREPLACE(D1007,""[^A-Za-z]+ "",""""))"),"Isovoo")</f>
        <v>Isovoo</v>
      </c>
      <c r="G11095" s="18" t="s">
        <v>50899</v>
      </c>
      <c r="H11095" s="18">
        <v>10</v>
      </c>
      <c r="I11095" s="18" t="s">
        <v>9239</v>
      </c>
      <c r="J11095" s="5" t="s">
        <v>50900</v>
      </c>
      <c r="K11095" s="5" t="s">
        <v>50901</v>
      </c>
      <c r="L11095" s="18" t="s">
        <v>50902</v>
      </c>
      <c r="M11095" s="18" t="s">
        <v>29</v>
      </c>
      <c r="N11095" s="18" t="s">
        <v>50903</v>
      </c>
      <c r="O11095" s="18" t="s">
        <v>29</v>
      </c>
      <c r="P11095" s="18" t="s">
        <v>50904</v>
      </c>
      <c r="Q11095" s="6"/>
      <c r="R11095" s="6"/>
      <c r="S11095" s="6"/>
      <c r="T11095" s="6"/>
      <c r="U11095" s="6"/>
    </row>
    <row r="11096" ht="14.25">
      <c r="B11096" s="18" t="s">
        <v>630</v>
      </c>
      <c r="C11096" s="18" t="s">
        <v>50905</v>
      </c>
      <c r="D11096" s="18" t="s">
        <v>172</v>
      </c>
      <c r="E11096" s="18" t="s">
        <v>50906</v>
      </c>
      <c r="F11096" s="18" t="str">
        <f>IFERROR(__XLUDF.DUMMYFUNCTION("PROPER(REGEXREPLACE(D1008,""[^A-Za-z]+ "",""""))"),"Ie Résine")</f>
        <v xml:space="preserve">Ie Résine</v>
      </c>
      <c r="G11096" s="18" t="s">
        <v>50907</v>
      </c>
      <c r="H11096" s="18">
        <v>18</v>
      </c>
      <c r="I11096" s="18" t="s">
        <v>9239</v>
      </c>
      <c r="J11096" s="5" t="s">
        <v>50908</v>
      </c>
      <c r="K11096" s="5" t="s">
        <v>50909</v>
      </c>
      <c r="L11096" s="18" t="s">
        <v>1507</v>
      </c>
      <c r="M11096" s="18" t="s">
        <v>29</v>
      </c>
      <c r="N11096" s="18" t="s">
        <v>50910</v>
      </c>
      <c r="O11096" s="18" t="s">
        <v>29</v>
      </c>
      <c r="P11096" s="6"/>
      <c r="Q11096" s="6"/>
      <c r="R11096" s="6"/>
      <c r="S11096" s="6"/>
      <c r="T11096" s="6"/>
      <c r="U11096" s="6"/>
    </row>
    <row r="11097" ht="14.25">
      <c r="B11097" s="18" t="s">
        <v>6931</v>
      </c>
      <c r="C11097" s="18" t="s">
        <v>50911</v>
      </c>
      <c r="D11097" s="18" t="s">
        <v>1950</v>
      </c>
      <c r="E11097" s="18" t="s">
        <v>50912</v>
      </c>
      <c r="F11097" s="18" t="str">
        <f>IFERROR(__XLUDF.DUMMYFUNCTION("PROPER(REGEXREPLACE(D1009,""[^A-Za-z]+ "",""""))"),"Dubrulle Faignot Tp")</f>
        <v xml:space="preserve">Dubrulle Faignot Tp</v>
      </c>
      <c r="G11097" s="18" t="s">
        <v>50913</v>
      </c>
      <c r="H11097" s="18">
        <v>24</v>
      </c>
      <c r="I11097" s="18" t="s">
        <v>9239</v>
      </c>
      <c r="J11097" s="5" t="s">
        <v>50914</v>
      </c>
      <c r="K11097" s="5" t="s">
        <v>50915</v>
      </c>
      <c r="L11097" s="18" t="s">
        <v>846</v>
      </c>
      <c r="M11097" s="18" t="s">
        <v>29</v>
      </c>
      <c r="N11097" s="18" t="s">
        <v>50916</v>
      </c>
      <c r="O11097" s="18" t="s">
        <v>29</v>
      </c>
      <c r="P11097" s="6"/>
      <c r="Q11097" s="6"/>
      <c r="R11097" s="6"/>
      <c r="S11097" s="6"/>
      <c r="T11097" s="6"/>
      <c r="U11097" s="6"/>
    </row>
    <row r="11098" ht="14.25">
      <c r="B11098" s="18" t="s">
        <v>963</v>
      </c>
      <c r="C11098" s="18" t="s">
        <v>50917</v>
      </c>
      <c r="D11098" s="18" t="s">
        <v>8042</v>
      </c>
      <c r="E11098" s="18" t="s">
        <v>50918</v>
      </c>
      <c r="F11098" s="18" t="str">
        <f>IFERROR(__XLUDF.DUMMYFUNCTION("PROPER(REGEXREPLACE(D1010,""[^A-Za-z]+ "",""""))"),"Bftb Sas")</f>
        <v xml:space="preserve">Bftb Sas</v>
      </c>
      <c r="G11098" s="18" t="s">
        <v>50919</v>
      </c>
      <c r="H11098" s="18">
        <v>10</v>
      </c>
      <c r="I11098" s="18" t="s">
        <v>9239</v>
      </c>
      <c r="J11098" s="5" t="s">
        <v>50920</v>
      </c>
      <c r="K11098" s="5" t="s">
        <v>50921</v>
      </c>
      <c r="L11098" s="18" t="s">
        <v>4943</v>
      </c>
      <c r="M11098" s="18" t="s">
        <v>29</v>
      </c>
      <c r="N11098" s="18" t="s">
        <v>50922</v>
      </c>
      <c r="O11098" s="18" t="s">
        <v>29</v>
      </c>
      <c r="P11098" s="18" t="s">
        <v>50923</v>
      </c>
      <c r="Q11098" s="6"/>
      <c r="R11098" s="6"/>
      <c r="S11098" s="6"/>
      <c r="T11098" s="6"/>
      <c r="U11098" s="6"/>
    </row>
    <row r="11099" ht="14.25">
      <c r="B11099" s="18" t="s">
        <v>955</v>
      </c>
      <c r="C11099" s="18" t="s">
        <v>43352</v>
      </c>
      <c r="D11099" s="18" t="s">
        <v>172</v>
      </c>
      <c r="E11099" s="18" t="s">
        <v>50924</v>
      </c>
      <c r="F11099" s="18" t="str">
        <f>IFERROR(__XLUDF.DUMMYFUNCTION("PROPER(REGEXREPLACE(D1011,""[^A-Za-z]+ "",""""))"),"Entreprise Peix")</f>
        <v xml:space="preserve">Entreprise Peix</v>
      </c>
      <c r="G11099" s="18" t="s">
        <v>50925</v>
      </c>
      <c r="H11099" s="6"/>
      <c r="I11099" s="6"/>
      <c r="J11099" s="5" t="s">
        <v>50926</v>
      </c>
      <c r="K11099" s="5" t="s">
        <v>50927</v>
      </c>
      <c r="L11099" s="6"/>
      <c r="M11099" s="18" t="s">
        <v>29</v>
      </c>
      <c r="N11099" s="18" t="s">
        <v>50928</v>
      </c>
      <c r="O11099" s="18" t="s">
        <v>29</v>
      </c>
      <c r="P11099" s="6"/>
      <c r="Q11099" s="6"/>
      <c r="R11099" s="6"/>
      <c r="S11099" s="6"/>
      <c r="T11099" s="6"/>
      <c r="U11099" s="6"/>
    </row>
    <row r="11100" ht="14.25">
      <c r="B11100" s="18" t="s">
        <v>1861</v>
      </c>
      <c r="C11100" s="18" t="s">
        <v>13092</v>
      </c>
      <c r="D11100" s="18" t="s">
        <v>112</v>
      </c>
      <c r="E11100" s="18" t="s">
        <v>50929</v>
      </c>
      <c r="F11100" s="18" t="str">
        <f>IFERROR(__XLUDF.DUMMYFUNCTION("PROPER(REGEXREPLACE(D1012,""[^A-Za-z]+ "",""""))"),"Geplast_Fr")</f>
        <v>Geplast_Fr</v>
      </c>
      <c r="G11100" s="18" t="s">
        <v>50930</v>
      </c>
      <c r="H11100" s="18">
        <v>48</v>
      </c>
      <c r="I11100" s="18" t="s">
        <v>9239</v>
      </c>
      <c r="J11100" s="5" t="s">
        <v>50931</v>
      </c>
      <c r="K11100" s="5" t="s">
        <v>50932</v>
      </c>
      <c r="L11100" s="18" t="s">
        <v>50933</v>
      </c>
      <c r="M11100" s="18" t="s">
        <v>29</v>
      </c>
      <c r="N11100" s="18" t="s">
        <v>50934</v>
      </c>
      <c r="O11100" s="18" t="s">
        <v>29</v>
      </c>
      <c r="P11100" s="18" t="s">
        <v>50935</v>
      </c>
      <c r="Q11100" s="6"/>
      <c r="R11100" s="6"/>
      <c r="S11100" s="6"/>
      <c r="T11100" s="6"/>
      <c r="U11100" s="6"/>
    </row>
    <row r="11101" ht="14.25">
      <c r="B11101" s="18" t="s">
        <v>255</v>
      </c>
      <c r="C11101" s="18" t="s">
        <v>7602</v>
      </c>
      <c r="D11101" s="18" t="s">
        <v>50936</v>
      </c>
      <c r="E11101" s="18" t="s">
        <v>50937</v>
      </c>
      <c r="F11101" s="18" t="str">
        <f>IFERROR(__XLUDF.DUMMYFUNCTION("PROPER(REGEXREPLACE(D1013,""[^A-Za-z]+ "",""""))"),"Edgar-Den")</f>
        <v>Edgar-Den</v>
      </c>
      <c r="G11101" s="18" t="s">
        <v>50938</v>
      </c>
      <c r="H11101" s="18">
        <v>4</v>
      </c>
      <c r="I11101" s="18" t="s">
        <v>9239</v>
      </c>
      <c r="J11101" s="5" t="s">
        <v>50939</v>
      </c>
      <c r="K11101" s="5" t="s">
        <v>50940</v>
      </c>
      <c r="L11101" s="18" t="s">
        <v>243</v>
      </c>
      <c r="M11101" s="18" t="s">
        <v>29</v>
      </c>
      <c r="N11101" s="18" t="s">
        <v>50941</v>
      </c>
      <c r="O11101" s="18" t="s">
        <v>29</v>
      </c>
      <c r="P11101" s="6"/>
      <c r="Q11101" s="6"/>
      <c r="R11101" s="6"/>
      <c r="S11101" s="6"/>
      <c r="T11101" s="6"/>
      <c r="U11101" s="6"/>
    </row>
    <row r="11102" ht="14.25">
      <c r="B11102" s="18" t="s">
        <v>6626</v>
      </c>
      <c r="C11102" s="18" t="s">
        <v>50942</v>
      </c>
      <c r="D11102" s="18" t="s">
        <v>164</v>
      </c>
      <c r="E11102" s="18" t="s">
        <v>50943</v>
      </c>
      <c r="F11102" s="18" t="str">
        <f>IFERROR(__XLUDF.DUMMYFUNCTION("PROPER(REGEXREPLACE(D1014,""[^A-Za-z]+ "",""""))"),"Miroiterie Sos Vitrine")</f>
        <v xml:space="preserve">Miroiterie Sos Vitrine</v>
      </c>
      <c r="G11102" s="18" t="s">
        <v>50944</v>
      </c>
      <c r="H11102" s="18">
        <v>2</v>
      </c>
      <c r="I11102" s="18" t="s">
        <v>9239</v>
      </c>
      <c r="J11102" s="5" t="s">
        <v>50945</v>
      </c>
      <c r="K11102" s="5" t="s">
        <v>50946</v>
      </c>
      <c r="L11102" s="18" t="s">
        <v>83</v>
      </c>
      <c r="M11102" s="18" t="s">
        <v>29</v>
      </c>
      <c r="N11102" s="18" t="s">
        <v>84</v>
      </c>
      <c r="O11102" s="18" t="s">
        <v>29</v>
      </c>
      <c r="P11102" s="18" t="s">
        <v>50947</v>
      </c>
      <c r="Q11102" s="6"/>
      <c r="R11102" s="6"/>
      <c r="S11102" s="6"/>
      <c r="T11102" s="6"/>
      <c r="U11102" s="6"/>
    </row>
    <row r="11103" ht="14.25">
      <c r="B11103" s="18" t="s">
        <v>279</v>
      </c>
      <c r="C11103" s="18" t="s">
        <v>23566</v>
      </c>
      <c r="D11103" s="18" t="s">
        <v>1130</v>
      </c>
      <c r="E11103" s="18" t="s">
        <v>50948</v>
      </c>
      <c r="F11103" s="18" t="str">
        <f>IFERROR(__XLUDF.DUMMYFUNCTION("PROPER(REGEXREPLACE(D1015,""[^A-Za-z]+ "",""""))"),"Gama Renovation Toulouse")</f>
        <v xml:space="preserve">Gama Renovation Toulouse</v>
      </c>
      <c r="G11103" s="18" t="s">
        <v>50949</v>
      </c>
      <c r="H11103" s="18">
        <v>5</v>
      </c>
      <c r="I11103" s="18" t="s">
        <v>9239</v>
      </c>
      <c r="J11103" s="5" t="s">
        <v>50950</v>
      </c>
      <c r="K11103" s="5" t="s">
        <v>50951</v>
      </c>
      <c r="L11103" s="6"/>
      <c r="M11103" s="18" t="s">
        <v>29</v>
      </c>
      <c r="N11103" s="18" t="s">
        <v>50952</v>
      </c>
      <c r="O11103" s="18" t="s">
        <v>29</v>
      </c>
      <c r="P11103" s="18" t="s">
        <v>50953</v>
      </c>
      <c r="Q11103" s="6"/>
      <c r="R11103" s="6"/>
      <c r="S11103" s="6"/>
      <c r="T11103" s="6"/>
      <c r="U11103" s="6"/>
    </row>
    <row r="11104" ht="14.25">
      <c r="B11104" s="18" t="s">
        <v>808</v>
      </c>
      <c r="C11104" s="18" t="s">
        <v>50954</v>
      </c>
      <c r="D11104" s="18" t="s">
        <v>172</v>
      </c>
      <c r="E11104" s="18" t="s">
        <v>44783</v>
      </c>
      <c r="F11104" s="18" t="str">
        <f>IFERROR(__XLUDF.DUMMYFUNCTION("PROPER(REGEXREPLACE(D1016,""[^A-Za-z]+ "",""""))"),"Facea Group")</f>
        <v xml:space="preserve">Facea Group</v>
      </c>
      <c r="G11104" s="18" t="s">
        <v>50955</v>
      </c>
      <c r="H11104" s="18">
        <v>45</v>
      </c>
      <c r="I11104" s="18" t="s">
        <v>9239</v>
      </c>
      <c r="J11104" s="5" t="s">
        <v>50956</v>
      </c>
      <c r="K11104" s="5" t="s">
        <v>44786</v>
      </c>
      <c r="L11104" s="6"/>
      <c r="M11104" s="18" t="s">
        <v>29</v>
      </c>
      <c r="N11104" s="18" t="s">
        <v>44788</v>
      </c>
      <c r="O11104" s="18" t="s">
        <v>29</v>
      </c>
      <c r="P11104" s="6"/>
      <c r="Q11104" s="6"/>
      <c r="R11104" s="6"/>
      <c r="S11104" s="6"/>
      <c r="T11104" s="6"/>
      <c r="U11104" s="6"/>
    </row>
    <row r="11105" ht="14.25">
      <c r="B11105" s="18" t="s">
        <v>1198</v>
      </c>
      <c r="C11105" s="18" t="s">
        <v>50957</v>
      </c>
      <c r="D11105" s="18" t="s">
        <v>10745</v>
      </c>
      <c r="E11105" s="18" t="s">
        <v>50958</v>
      </c>
      <c r="F11105" s="18" t="str">
        <f>IFERROR(__XLUDF.DUMMYFUNCTION("PROPER(REGEXREPLACE(D1017,""[^A-Za-z]+ "",""""))"),"Harmonie Sas")</f>
        <v xml:space="preserve">Harmonie Sas</v>
      </c>
      <c r="G11105" s="18" t="s">
        <v>50959</v>
      </c>
      <c r="H11105" s="18">
        <v>24</v>
      </c>
      <c r="I11105" s="18" t="s">
        <v>9239</v>
      </c>
      <c r="J11105" s="5" t="s">
        <v>50960</v>
      </c>
      <c r="K11105" s="5" t="s">
        <v>50961</v>
      </c>
      <c r="L11105" s="18" t="s">
        <v>39</v>
      </c>
      <c r="M11105" s="18" t="s">
        <v>29</v>
      </c>
      <c r="N11105" s="18" t="s">
        <v>50962</v>
      </c>
      <c r="O11105" s="18" t="s">
        <v>29</v>
      </c>
      <c r="P11105" s="18" t="s">
        <v>50963</v>
      </c>
      <c r="Q11105" s="6"/>
      <c r="R11105" s="6"/>
      <c r="S11105" s="6"/>
      <c r="T11105" s="6"/>
      <c r="U11105" s="6"/>
    </row>
    <row r="11106" ht="14.25">
      <c r="B11106" s="18" t="s">
        <v>1198</v>
      </c>
      <c r="C11106" s="18" t="s">
        <v>50964</v>
      </c>
      <c r="D11106" s="18" t="s">
        <v>112</v>
      </c>
      <c r="E11106" s="18" t="s">
        <v>45667</v>
      </c>
      <c r="F11106" s="18" t="str">
        <f>IFERROR(__XLUDF.DUMMYFUNCTION("PROPER(REGEXREPLACE(D1018,""[^A-Za-z]+ "",""""))"),"Roquet")</f>
        <v>Roquet</v>
      </c>
      <c r="G11106" s="18" t="s">
        <v>50965</v>
      </c>
      <c r="H11106" s="18">
        <v>47</v>
      </c>
      <c r="I11106" s="18" t="s">
        <v>9239</v>
      </c>
      <c r="J11106" s="5" t="s">
        <v>50966</v>
      </c>
      <c r="K11106" s="5" t="s">
        <v>45670</v>
      </c>
      <c r="L11106" s="18" t="s">
        <v>1711</v>
      </c>
      <c r="M11106" s="18" t="s">
        <v>29</v>
      </c>
      <c r="N11106" s="18" t="s">
        <v>45671</v>
      </c>
      <c r="O11106" s="18" t="s">
        <v>29</v>
      </c>
      <c r="P11106" s="18" t="s">
        <v>45672</v>
      </c>
      <c r="Q11106" s="6"/>
      <c r="R11106" s="6"/>
      <c r="S11106" s="6"/>
      <c r="T11106" s="6"/>
      <c r="U11106" s="6"/>
    </row>
    <row r="11107" ht="14.25">
      <c r="B11107" s="18" t="s">
        <v>866</v>
      </c>
      <c r="C11107" s="18" t="s">
        <v>50967</v>
      </c>
      <c r="D11107" s="18" t="s">
        <v>112</v>
      </c>
      <c r="E11107" s="18" t="s">
        <v>50968</v>
      </c>
      <c r="F11107" s="18" t="str">
        <f>IFERROR(__XLUDF.DUMMYFUNCTION("PROPER(REGEXREPLACE(D1019,""[^A-Za-z]+ "",""""))"),"Groupe Omnium")</f>
        <v xml:space="preserve">Groupe Omnium</v>
      </c>
      <c r="G11107" s="18" t="s">
        <v>50969</v>
      </c>
      <c r="H11107" s="18">
        <v>54</v>
      </c>
      <c r="I11107" s="18" t="s">
        <v>9239</v>
      </c>
      <c r="J11107" s="5" t="s">
        <v>50970</v>
      </c>
      <c r="K11107" s="5" t="s">
        <v>50971</v>
      </c>
      <c r="L11107" s="18" t="s">
        <v>295</v>
      </c>
      <c r="M11107" s="18" t="s">
        <v>29</v>
      </c>
      <c r="N11107" s="18" t="s">
        <v>50972</v>
      </c>
      <c r="O11107" s="18" t="s">
        <v>29</v>
      </c>
      <c r="P11107" s="18" t="s">
        <v>50973</v>
      </c>
      <c r="Q11107" s="6"/>
      <c r="R11107" s="6"/>
      <c r="S11107" s="6"/>
      <c r="T11107" s="6"/>
      <c r="U11107" s="6"/>
    </row>
    <row r="11108" ht="14.25">
      <c r="B11108" s="18" t="s">
        <v>485</v>
      </c>
      <c r="C11108" s="18" t="s">
        <v>50974</v>
      </c>
      <c r="D11108" s="18" t="s">
        <v>112</v>
      </c>
      <c r="E11108" s="18" t="s">
        <v>50975</v>
      </c>
      <c r="F11108" s="18" t="str">
        <f>IFERROR(__XLUDF.DUMMYFUNCTION("PROPER(REGEXREPLACE(D1020,""[^A-Za-z]+ "",""""))"),"Gdr Cherpin")</f>
        <v xml:space="preserve">Gdr Cherpin</v>
      </c>
      <c r="G11108" s="18" t="s">
        <v>50976</v>
      </c>
      <c r="H11108" s="18">
        <v>38</v>
      </c>
      <c r="I11108" s="18" t="s">
        <v>9239</v>
      </c>
      <c r="J11108" s="5" t="s">
        <v>50977</v>
      </c>
      <c r="K11108" s="5" t="s">
        <v>50978</v>
      </c>
      <c r="L11108" s="18" t="s">
        <v>39</v>
      </c>
      <c r="M11108" s="18" t="s">
        <v>29</v>
      </c>
      <c r="N11108" s="18" t="s">
        <v>50979</v>
      </c>
      <c r="O11108" s="18" t="s">
        <v>29</v>
      </c>
      <c r="P11108" s="18" t="s">
        <v>50980</v>
      </c>
      <c r="Q11108" s="6"/>
      <c r="R11108" s="6"/>
      <c r="S11108" s="6"/>
      <c r="T11108" s="6"/>
      <c r="U11108" s="6"/>
    </row>
    <row r="11109" ht="14.25">
      <c r="B11109" s="18" t="s">
        <v>2652</v>
      </c>
      <c r="C11109" s="18" t="s">
        <v>50981</v>
      </c>
      <c r="D11109" s="18" t="s">
        <v>341</v>
      </c>
      <c r="E11109" s="18" t="s">
        <v>50982</v>
      </c>
      <c r="F11109" s="18" t="str">
        <f>IFERROR(__XLUDF.DUMMYFUNCTION("PROPER(REGEXREPLACE(D1021,""[^A-Za-z]+ "",""""))"),"2Mo Ingénierie")</f>
        <v xml:space="preserve">2Mo Ingénierie</v>
      </c>
      <c r="G11109" s="18" t="s">
        <v>50983</v>
      </c>
      <c r="H11109" s="18">
        <v>11</v>
      </c>
      <c r="I11109" s="18" t="s">
        <v>9239</v>
      </c>
      <c r="J11109" s="5" t="s">
        <v>50984</v>
      </c>
      <c r="K11109" s="5" t="s">
        <v>50985</v>
      </c>
      <c r="L11109" s="18" t="s">
        <v>1196</v>
      </c>
      <c r="M11109" s="18" t="s">
        <v>29</v>
      </c>
      <c r="N11109" s="18" t="s">
        <v>50986</v>
      </c>
      <c r="O11109" s="18" t="s">
        <v>29</v>
      </c>
      <c r="P11109" s="18" t="s">
        <v>50987</v>
      </c>
      <c r="Q11109" s="6"/>
      <c r="R11109" s="6"/>
      <c r="S11109" s="6"/>
      <c r="T11109" s="6"/>
      <c r="U11109" s="6"/>
    </row>
    <row r="11110" ht="14.25">
      <c r="B11110" s="18" t="s">
        <v>298</v>
      </c>
      <c r="C11110" s="18" t="s">
        <v>50988</v>
      </c>
      <c r="D11110" s="18" t="s">
        <v>172</v>
      </c>
      <c r="E11110" s="18" t="s">
        <v>50989</v>
      </c>
      <c r="F11110" s="18" t="str">
        <f>IFERROR(__XLUDF.DUMMYFUNCTION("PROPER(REGEXREPLACE(D1022,""[^A-Za-z]+ "",""""))"),"Ati Isolation")</f>
        <v xml:space="preserve">Ati Isolation</v>
      </c>
      <c r="G11110" s="18" t="s">
        <v>50990</v>
      </c>
      <c r="H11110" s="18">
        <v>31</v>
      </c>
      <c r="I11110" s="18" t="s">
        <v>9239</v>
      </c>
      <c r="J11110" s="5" t="s">
        <v>50991</v>
      </c>
      <c r="K11110" s="5" t="s">
        <v>50992</v>
      </c>
      <c r="L11110" s="18" t="s">
        <v>1312</v>
      </c>
      <c r="M11110" s="18" t="s">
        <v>29</v>
      </c>
      <c r="N11110" s="18" t="s">
        <v>50993</v>
      </c>
      <c r="O11110" s="18" t="s">
        <v>29</v>
      </c>
      <c r="P11110" s="18" t="s">
        <v>50994</v>
      </c>
      <c r="Q11110" s="6"/>
      <c r="R11110" s="6"/>
      <c r="S11110" s="6"/>
      <c r="T11110" s="6"/>
      <c r="U11110" s="6"/>
    </row>
    <row r="11111" ht="14.25">
      <c r="B11111" s="18" t="s">
        <v>2652</v>
      </c>
      <c r="C11111" s="18" t="s">
        <v>17642</v>
      </c>
      <c r="D11111" s="18" t="s">
        <v>112</v>
      </c>
      <c r="E11111" s="18" t="s">
        <v>50995</v>
      </c>
      <c r="F11111" s="18" t="str">
        <f>IFERROR(__XLUDF.DUMMYFUNCTION("PROPER(REGEXREPLACE(D1023,""[^A-Za-z]+ "",""""))"),"Groupe Cetab")</f>
        <v xml:space="preserve">Groupe Cetab</v>
      </c>
      <c r="G11111" s="18" t="s">
        <v>50996</v>
      </c>
      <c r="H11111" s="18">
        <v>49</v>
      </c>
      <c r="I11111" s="18" t="s">
        <v>9239</v>
      </c>
      <c r="J11111" s="5" t="s">
        <v>50997</v>
      </c>
      <c r="K11111" s="5" t="s">
        <v>50998</v>
      </c>
      <c r="L11111" s="18" t="s">
        <v>243</v>
      </c>
      <c r="M11111" s="18" t="s">
        <v>29</v>
      </c>
      <c r="N11111" s="18" t="s">
        <v>50999</v>
      </c>
      <c r="O11111" s="18" t="s">
        <v>29</v>
      </c>
      <c r="P11111" s="18" t="s">
        <v>51000</v>
      </c>
      <c r="Q11111" s="6"/>
      <c r="R11111" s="6"/>
      <c r="S11111" s="6"/>
      <c r="T11111" s="6"/>
      <c r="U11111" s="6"/>
    </row>
    <row r="11112" ht="14.25">
      <c r="B11112" s="18" t="s">
        <v>51001</v>
      </c>
      <c r="C11112" s="18" t="s">
        <v>45313</v>
      </c>
      <c r="D11112" s="18" t="s">
        <v>7155</v>
      </c>
      <c r="E11112" s="18" t="s">
        <v>51002</v>
      </c>
      <c r="F11112" s="18" t="str">
        <f>IFERROR(__XLUDF.DUMMYFUNCTION("PROPER(REGEXREPLACE(D1024,""[^A-Za-z]+ "",""""))"),"Incet")</f>
        <v>Incet</v>
      </c>
      <c r="G11112" s="18" t="s">
        <v>51003</v>
      </c>
      <c r="H11112" s="18">
        <v>42</v>
      </c>
      <c r="I11112" s="18" t="s">
        <v>9239</v>
      </c>
      <c r="J11112" s="5" t="s">
        <v>51004</v>
      </c>
      <c r="K11112" s="5" t="s">
        <v>51005</v>
      </c>
      <c r="L11112" s="18" t="s">
        <v>39</v>
      </c>
      <c r="M11112" s="18" t="s">
        <v>29</v>
      </c>
      <c r="N11112" s="18" t="s">
        <v>51006</v>
      </c>
      <c r="O11112" s="18" t="s">
        <v>29</v>
      </c>
      <c r="P11112" s="18" t="s">
        <v>51007</v>
      </c>
      <c r="Q11112" s="6"/>
      <c r="R11112" s="6"/>
      <c r="S11112" s="6"/>
      <c r="T11112" s="6"/>
      <c r="U11112" s="6"/>
    </row>
    <row r="11113" ht="14.25">
      <c r="B11113" s="18" t="s">
        <v>2508</v>
      </c>
      <c r="C11113" s="18" t="s">
        <v>46715</v>
      </c>
      <c r="D11113" s="18" t="s">
        <v>112</v>
      </c>
      <c r="E11113" s="18" t="s">
        <v>46716</v>
      </c>
      <c r="F11113" s="18" t="str">
        <f>IFERROR(__XLUDF.DUMMYFUNCTION("PROPER(REGEXREPLACE(D1025,""[^A-Za-z]+ "",""""))"),"Aidf")</f>
        <v>Aidf</v>
      </c>
      <c r="G11113" s="18" t="s">
        <v>51008</v>
      </c>
      <c r="H11113" s="18">
        <v>37</v>
      </c>
      <c r="I11113" s="18" t="s">
        <v>9239</v>
      </c>
      <c r="J11113" s="5" t="s">
        <v>51009</v>
      </c>
      <c r="K11113" s="5" t="s">
        <v>46719</v>
      </c>
      <c r="L11113" s="18" t="s">
        <v>39</v>
      </c>
      <c r="M11113" s="18" t="s">
        <v>29</v>
      </c>
      <c r="N11113" s="18" t="s">
        <v>228</v>
      </c>
      <c r="O11113" s="18" t="s">
        <v>29</v>
      </c>
      <c r="P11113" s="18" t="s">
        <v>46720</v>
      </c>
      <c r="Q11113" s="6"/>
      <c r="R11113" s="6"/>
      <c r="S11113" s="6"/>
      <c r="T11113" s="6"/>
      <c r="U11113" s="6"/>
    </row>
    <row r="11114" ht="14.25">
      <c r="B11114" s="18" t="s">
        <v>1732</v>
      </c>
      <c r="C11114" s="18" t="s">
        <v>51010</v>
      </c>
      <c r="D11114" s="18" t="s">
        <v>487</v>
      </c>
      <c r="E11114" s="18" t="s">
        <v>51011</v>
      </c>
      <c r="F11114" s="18" t="str">
        <f>IFERROR(__XLUDF.DUMMYFUNCTION("PROPER(REGEXREPLACE(D1026,""[^A-Za-z]+ "",""""))"),"Spebi")</f>
        <v>Spebi</v>
      </c>
      <c r="G11114" s="18" t="s">
        <v>51012</v>
      </c>
      <c r="H11114" s="18">
        <v>45</v>
      </c>
      <c r="I11114" s="18" t="s">
        <v>9239</v>
      </c>
      <c r="J11114" s="5" t="s">
        <v>51013</v>
      </c>
      <c r="K11114" s="5" t="s">
        <v>51014</v>
      </c>
      <c r="L11114" s="18" t="s">
        <v>12291</v>
      </c>
      <c r="M11114" s="18" t="s">
        <v>29</v>
      </c>
      <c r="N11114" s="18" t="s">
        <v>51015</v>
      </c>
      <c r="O11114" s="18" t="s">
        <v>29</v>
      </c>
      <c r="P11114" s="18" t="s">
        <v>51016</v>
      </c>
      <c r="Q11114" s="6"/>
      <c r="R11114" s="6"/>
      <c r="S11114" s="6"/>
      <c r="T11114" s="6"/>
      <c r="U11114" s="6"/>
    </row>
    <row r="11115" ht="14.25">
      <c r="B11115" s="18" t="s">
        <v>679</v>
      </c>
      <c r="C11115" s="18" t="s">
        <v>51017</v>
      </c>
      <c r="D11115" s="18" t="s">
        <v>5400</v>
      </c>
      <c r="E11115" s="18" t="s">
        <v>47716</v>
      </c>
      <c r="F11115" s="18" t="str">
        <f>IFERROR(__XLUDF.DUMMYFUNCTION("PROPER(REGEXREPLACE(D1027,""[^A-Za-z]+ "",""""))"),"Sa Carrières Nivet")</f>
        <v xml:space="preserve">Sa Carrières Nivet</v>
      </c>
      <c r="G11115" s="18" t="s">
        <v>51018</v>
      </c>
      <c r="H11115" s="18">
        <v>8</v>
      </c>
      <c r="I11115" s="18" t="s">
        <v>9239</v>
      </c>
      <c r="J11115" s="5" t="s">
        <v>51019</v>
      </c>
      <c r="K11115" s="5" t="s">
        <v>47719</v>
      </c>
      <c r="L11115" s="18" t="s">
        <v>41087</v>
      </c>
      <c r="M11115" s="18" t="s">
        <v>29</v>
      </c>
      <c r="N11115" s="18" t="s">
        <v>47720</v>
      </c>
      <c r="O11115" s="18" t="s">
        <v>29</v>
      </c>
      <c r="P11115" s="6"/>
      <c r="Q11115" s="6"/>
      <c r="R11115" s="6"/>
      <c r="S11115" s="6"/>
      <c r="T11115" s="6"/>
      <c r="U11115" s="6"/>
    </row>
    <row r="11116" ht="14.25">
      <c r="B11116" s="18" t="s">
        <v>785</v>
      </c>
      <c r="C11116" s="18" t="s">
        <v>51020</v>
      </c>
      <c r="D11116" s="18" t="s">
        <v>172</v>
      </c>
      <c r="E11116" s="18" t="s">
        <v>51021</v>
      </c>
      <c r="F11116" s="18" t="str">
        <f>IFERROR(__XLUDF.DUMMYFUNCTION("PROPER(REGEXREPLACE(D1028,""[^A-Za-z]+ "",""""))"),"Bonne Pioche")</f>
        <v xml:space="preserve">Bonne Pioche</v>
      </c>
      <c r="G11116" s="18" t="s">
        <v>51022</v>
      </c>
      <c r="H11116" s="6"/>
      <c r="I11116" s="6"/>
      <c r="J11116" s="5" t="s">
        <v>51023</v>
      </c>
      <c r="K11116" s="5" t="s">
        <v>51024</v>
      </c>
      <c r="L11116" s="18" t="s">
        <v>51025</v>
      </c>
      <c r="M11116" s="18" t="s">
        <v>29</v>
      </c>
      <c r="N11116" s="18" t="s">
        <v>28031</v>
      </c>
      <c r="O11116" s="18" t="s">
        <v>29</v>
      </c>
      <c r="P11116" s="6"/>
      <c r="Q11116" s="6"/>
      <c r="R11116" s="6"/>
      <c r="S11116" s="6"/>
      <c r="T11116" s="6"/>
      <c r="U11116" s="6"/>
    </row>
    <row r="11117" ht="14.25">
      <c r="B11117" s="18" t="s">
        <v>1324</v>
      </c>
      <c r="C11117" s="18" t="s">
        <v>51026</v>
      </c>
      <c r="D11117" s="18" t="s">
        <v>62</v>
      </c>
      <c r="E11117" s="18" t="s">
        <v>51027</v>
      </c>
      <c r="F11117" s="18" t="str">
        <f>IFERROR(__XLUDF.DUMMYFUNCTION("PROPER(REGEXREPLACE(D1029,""[^A-Za-z]+ "",""""))"),"Ecoframe")</f>
        <v>Ecoframe</v>
      </c>
      <c r="G11117" s="18" t="s">
        <v>51028</v>
      </c>
      <c r="H11117" s="18">
        <v>9</v>
      </c>
      <c r="I11117" s="18" t="s">
        <v>9239</v>
      </c>
      <c r="J11117" s="5" t="s">
        <v>51029</v>
      </c>
      <c r="K11117" s="5" t="s">
        <v>51030</v>
      </c>
      <c r="L11117" s="18" t="s">
        <v>846</v>
      </c>
      <c r="M11117" s="18" t="s">
        <v>29</v>
      </c>
      <c r="N11117" s="18" t="s">
        <v>611</v>
      </c>
      <c r="O11117" s="18" t="s">
        <v>29</v>
      </c>
      <c r="P11117" s="6"/>
      <c r="Q11117" s="6"/>
      <c r="R11117" s="6"/>
      <c r="S11117" s="6"/>
      <c r="T11117" s="6"/>
      <c r="U11117" s="6"/>
    </row>
    <row r="11118" ht="14.25">
      <c r="B11118" s="18" t="s">
        <v>51031</v>
      </c>
      <c r="C11118" s="18" t="s">
        <v>5070</v>
      </c>
      <c r="D11118" s="18" t="s">
        <v>51032</v>
      </c>
      <c r="E11118" s="18" t="s">
        <v>51033</v>
      </c>
      <c r="F11118" s="18" t="str">
        <f>IFERROR(__XLUDF.DUMMYFUNCTION("PROPER(REGEXREPLACE(D1030,""[^A-Za-z]+ "",""""))"),"Sharp Ingenierie")</f>
        <v xml:space="preserve">Sharp Ingenierie</v>
      </c>
      <c r="G11118" s="18" t="s">
        <v>51034</v>
      </c>
      <c r="H11118" s="18">
        <v>17</v>
      </c>
      <c r="I11118" s="18" t="s">
        <v>9239</v>
      </c>
      <c r="J11118" s="5" t="s">
        <v>51035</v>
      </c>
      <c r="K11118" s="5" t="s">
        <v>51036</v>
      </c>
      <c r="L11118" s="18" t="s">
        <v>39</v>
      </c>
      <c r="M11118" s="18" t="s">
        <v>29</v>
      </c>
      <c r="N11118" s="18" t="s">
        <v>51037</v>
      </c>
      <c r="O11118" s="18" t="s">
        <v>29</v>
      </c>
      <c r="P11118" s="18" t="s">
        <v>51038</v>
      </c>
      <c r="Q11118" s="6"/>
      <c r="R11118" s="6"/>
      <c r="S11118" s="6"/>
      <c r="T11118" s="6"/>
      <c r="U11118" s="6"/>
    </row>
    <row r="11119" ht="14.25">
      <c r="B11119" s="18" t="s">
        <v>110</v>
      </c>
      <c r="C11119" s="18" t="s">
        <v>51039</v>
      </c>
      <c r="D11119" s="18" t="s">
        <v>51040</v>
      </c>
      <c r="E11119" s="18" t="s">
        <v>51041</v>
      </c>
      <c r="F11119" s="18" t="str">
        <f>IFERROR(__XLUDF.DUMMYFUNCTION("PROPER(REGEXREPLACE(D1031,""[^A-Za-z]+ "",""""))"),"Forall Studio")</f>
        <v xml:space="preserve">Forall Studio</v>
      </c>
      <c r="G11119" s="18" t="s">
        <v>51042</v>
      </c>
      <c r="H11119" s="18">
        <v>5</v>
      </c>
      <c r="I11119" s="18" t="s">
        <v>10167</v>
      </c>
      <c r="J11119" s="5" t="s">
        <v>51043</v>
      </c>
      <c r="K11119" s="5" t="s">
        <v>51044</v>
      </c>
      <c r="L11119" s="18" t="s">
        <v>39</v>
      </c>
      <c r="M11119" s="18" t="s">
        <v>29</v>
      </c>
      <c r="N11119" s="18" t="s">
        <v>51045</v>
      </c>
      <c r="O11119" s="18" t="s">
        <v>29</v>
      </c>
      <c r="P11119" s="18" t="s">
        <v>51046</v>
      </c>
      <c r="Q11119" s="6"/>
      <c r="R11119" s="6"/>
      <c r="S11119" s="6"/>
      <c r="T11119" s="6"/>
      <c r="U11119" s="6"/>
    </row>
    <row r="11120" ht="14.25">
      <c r="B11120" s="18" t="s">
        <v>3892</v>
      </c>
      <c r="C11120" s="18" t="s">
        <v>10668</v>
      </c>
      <c r="D11120" s="18" t="s">
        <v>172</v>
      </c>
      <c r="E11120" s="18" t="s">
        <v>51047</v>
      </c>
      <c r="F11120" s="18" t="str">
        <f>IFERROR(__XLUDF.DUMMYFUNCTION("PROPER(REGEXREPLACE(D1032,""[^A-Za-z]+ "",""""))"),"Enersteel")</f>
        <v>Enersteel</v>
      </c>
      <c r="G11120" s="18" t="s">
        <v>51048</v>
      </c>
      <c r="H11120" s="18">
        <v>49</v>
      </c>
      <c r="I11120" s="18" t="s">
        <v>9239</v>
      </c>
      <c r="J11120" s="5" t="s">
        <v>51049</v>
      </c>
      <c r="K11120" s="5" t="s">
        <v>51050</v>
      </c>
      <c r="L11120" s="6"/>
      <c r="M11120" s="18" t="s">
        <v>29</v>
      </c>
      <c r="N11120" s="18" t="s">
        <v>51051</v>
      </c>
      <c r="O11120" s="18" t="s">
        <v>29</v>
      </c>
      <c r="P11120" s="18" t="s">
        <v>51052</v>
      </c>
      <c r="Q11120" s="6"/>
      <c r="R11120" s="6"/>
      <c r="S11120" s="6"/>
      <c r="T11120" s="6"/>
      <c r="U11120" s="6"/>
    </row>
    <row r="11121" ht="14.25">
      <c r="B11121" s="18" t="s">
        <v>170</v>
      </c>
      <c r="C11121" s="18" t="s">
        <v>4170</v>
      </c>
      <c r="D11121" s="18" t="s">
        <v>172</v>
      </c>
      <c r="E11121" s="18" t="s">
        <v>51053</v>
      </c>
      <c r="F11121" s="18" t="str">
        <f>IFERROR(__XLUDF.DUMMYFUNCTION("PROPER(REGEXREPLACE(D1033,""[^A-Za-z]+ "",""""))"),"Les Grands Ateliers")</f>
        <v xml:space="preserve">Les Grands Ateliers</v>
      </c>
      <c r="G11121" s="18" t="s">
        <v>51054</v>
      </c>
      <c r="H11121" s="18">
        <v>14</v>
      </c>
      <c r="I11121" s="18" t="s">
        <v>9239</v>
      </c>
      <c r="J11121" s="5" t="s">
        <v>51055</v>
      </c>
      <c r="K11121" s="5" t="s">
        <v>51056</v>
      </c>
      <c r="L11121" s="18" t="s">
        <v>185</v>
      </c>
      <c r="M11121" s="18" t="s">
        <v>29</v>
      </c>
      <c r="N11121" s="18" t="s">
        <v>51057</v>
      </c>
      <c r="O11121" s="18" t="s">
        <v>29</v>
      </c>
      <c r="P11121" s="18" t="s">
        <v>51058</v>
      </c>
      <c r="Q11121" s="6"/>
      <c r="R11121" s="6"/>
      <c r="S11121" s="6"/>
      <c r="T11121" s="6"/>
      <c r="U11121" s="6"/>
    </row>
    <row r="11122" ht="14.25">
      <c r="B11122" s="18" t="s">
        <v>28249</v>
      </c>
      <c r="C11122" s="18" t="s">
        <v>51059</v>
      </c>
      <c r="D11122" s="18" t="s">
        <v>172</v>
      </c>
      <c r="E11122" s="18" t="s">
        <v>51060</v>
      </c>
      <c r="F11122" s="18" t="str">
        <f>IFERROR(__XLUDF.DUMMYFUNCTION("PROPER(REGEXREPLACE(D1034,""[^A-Za-z]+ "",""""))"),"Crc Lyon")</f>
        <v xml:space="preserve">Crc Lyon</v>
      </c>
      <c r="G11122" s="18" t="s">
        <v>51061</v>
      </c>
      <c r="H11122" s="18">
        <v>9</v>
      </c>
      <c r="I11122" s="18" t="s">
        <v>9239</v>
      </c>
      <c r="J11122" s="5" t="s">
        <v>51062</v>
      </c>
      <c r="K11122" s="5" t="s">
        <v>51063</v>
      </c>
      <c r="L11122" s="18" t="s">
        <v>185</v>
      </c>
      <c r="M11122" s="18" t="s">
        <v>29</v>
      </c>
      <c r="N11122" s="18" t="s">
        <v>1283</v>
      </c>
      <c r="O11122" s="18" t="s">
        <v>29</v>
      </c>
      <c r="P11122" s="18" t="s">
        <v>51064</v>
      </c>
      <c r="Q11122" s="6"/>
      <c r="R11122" s="6"/>
      <c r="S11122" s="6"/>
      <c r="T11122" s="6"/>
      <c r="U11122" s="6"/>
    </row>
    <row r="11123" ht="14.25">
      <c r="B11123" s="18" t="s">
        <v>6243</v>
      </c>
      <c r="C11123" s="18" t="s">
        <v>51065</v>
      </c>
      <c r="D11123" s="18" t="s">
        <v>164</v>
      </c>
      <c r="E11123" s="18" t="s">
        <v>21214</v>
      </c>
      <c r="F11123" s="18" t="str">
        <f>IFERROR(__XLUDF.DUMMYFUNCTION("PROPER(REGEXREPLACE(D1035,""[^A-Za-z]+ "",""""))"),"Intoo Habitat")</f>
        <v xml:space="preserve">Intoo Habitat</v>
      </c>
      <c r="G11123" s="18" t="s">
        <v>51066</v>
      </c>
      <c r="H11123" s="18">
        <v>36</v>
      </c>
      <c r="I11123" s="18" t="s">
        <v>4293</v>
      </c>
      <c r="J11123" s="5" t="s">
        <v>51067</v>
      </c>
      <c r="K11123" s="5" t="s">
        <v>21217</v>
      </c>
      <c r="L11123" s="18" t="s">
        <v>12209</v>
      </c>
      <c r="M11123" s="18" t="s">
        <v>29</v>
      </c>
      <c r="N11123" s="18" t="s">
        <v>21219</v>
      </c>
      <c r="O11123" s="18" t="s">
        <v>29</v>
      </c>
      <c r="P11123" s="18" t="s">
        <v>21220</v>
      </c>
      <c r="Q11123" s="6"/>
      <c r="R11123" s="6"/>
      <c r="S11123" s="6"/>
      <c r="T11123" s="6"/>
      <c r="U11123" s="6"/>
    </row>
    <row r="11124" ht="14.25">
      <c r="B11124" s="18" t="s">
        <v>85</v>
      </c>
      <c r="C11124" s="18" t="s">
        <v>51068</v>
      </c>
      <c r="D11124" s="18" t="s">
        <v>164</v>
      </c>
      <c r="E11124" s="18" t="s">
        <v>51069</v>
      </c>
      <c r="F11124" s="18" t="str">
        <f>IFERROR(__XLUDF.DUMMYFUNCTION("PROPER(REGEXREPLACE(D1036,""[^A-Za-z]+ "",""""))"),"Isolations Rauschmaier Sas")</f>
        <v xml:space="preserve">Isolations Rauschmaier Sas</v>
      </c>
      <c r="G11124" s="18" t="s">
        <v>51070</v>
      </c>
      <c r="H11124" s="18">
        <v>3</v>
      </c>
      <c r="I11124" s="18" t="s">
        <v>1504</v>
      </c>
      <c r="J11124" s="5" t="s">
        <v>51071</v>
      </c>
      <c r="K11124" s="5" t="s">
        <v>51072</v>
      </c>
      <c r="L11124" s="18" t="s">
        <v>16312</v>
      </c>
      <c r="M11124" s="18" t="s">
        <v>29</v>
      </c>
      <c r="N11124" s="18" t="s">
        <v>40752</v>
      </c>
      <c r="O11124" s="18" t="s">
        <v>29</v>
      </c>
      <c r="P11124" s="18" t="s">
        <v>51073</v>
      </c>
      <c r="Q11124" s="6"/>
      <c r="R11124" s="6"/>
      <c r="S11124" s="6"/>
      <c r="T11124" s="6"/>
      <c r="U11124" s="6"/>
    </row>
    <row r="11125" ht="14.25">
      <c r="B11125" s="18" t="s">
        <v>2932</v>
      </c>
      <c r="C11125" s="18" t="s">
        <v>25387</v>
      </c>
      <c r="D11125" s="18" t="s">
        <v>172</v>
      </c>
      <c r="E11125" s="18" t="s">
        <v>25388</v>
      </c>
      <c r="F11125" s="18" t="str">
        <f>IFERROR(__XLUDF.DUMMYFUNCTION("PROPER(REGEXREPLACE(D1037,""[^A-Za-z]+ "",""""))"),"Schmit Tradition")</f>
        <v xml:space="preserve">Schmit Tradition</v>
      </c>
      <c r="G11125" s="18" t="s">
        <v>25389</v>
      </c>
      <c r="H11125" s="18">
        <v>10</v>
      </c>
      <c r="I11125" s="18" t="s">
        <v>25390</v>
      </c>
      <c r="J11125" s="5" t="s">
        <v>25391</v>
      </c>
      <c r="K11125" s="5" t="s">
        <v>25392</v>
      </c>
      <c r="L11125" s="18" t="s">
        <v>5449</v>
      </c>
      <c r="M11125" s="18" t="s">
        <v>29</v>
      </c>
      <c r="N11125" s="18" t="s">
        <v>25393</v>
      </c>
      <c r="O11125" s="18" t="s">
        <v>29</v>
      </c>
      <c r="P11125" s="18" t="s">
        <v>25394</v>
      </c>
      <c r="Q11125" s="6"/>
      <c r="R11125" s="6"/>
      <c r="S11125" s="6"/>
      <c r="T11125" s="6"/>
      <c r="U11125" s="6"/>
    </row>
    <row r="11126" ht="14.25">
      <c r="B11126" s="18" t="s">
        <v>485</v>
      </c>
      <c r="C11126" s="18" t="s">
        <v>30018</v>
      </c>
      <c r="D11126" s="18" t="s">
        <v>426</v>
      </c>
      <c r="E11126" s="18" t="s">
        <v>30019</v>
      </c>
      <c r="F11126" s="18" t="str">
        <f>IFERROR(__XLUDF.DUMMYFUNCTION("PROPER(REGEXREPLACE(D1038,""[^A-Za-z]+ "",""""))"),"Teramat")</f>
        <v>Teramat</v>
      </c>
      <c r="G11126" s="18" t="s">
        <v>30020</v>
      </c>
      <c r="H11126" s="18">
        <v>37</v>
      </c>
      <c r="I11126" s="18" t="s">
        <v>14347</v>
      </c>
      <c r="J11126" s="5" t="s">
        <v>30021</v>
      </c>
      <c r="K11126" s="5" t="s">
        <v>30022</v>
      </c>
      <c r="L11126" s="18" t="s">
        <v>30023</v>
      </c>
      <c r="M11126" s="18" t="s">
        <v>29</v>
      </c>
      <c r="N11126" s="18" t="s">
        <v>30024</v>
      </c>
      <c r="O11126" s="18" t="s">
        <v>29</v>
      </c>
      <c r="P11126" s="18" t="s">
        <v>30025</v>
      </c>
      <c r="Q11126" s="6"/>
      <c r="R11126" s="6"/>
      <c r="S11126" s="6"/>
      <c r="T11126" s="6"/>
      <c r="U11126" s="6"/>
    </row>
    <row r="11127" ht="14.25">
      <c r="B11127" s="18" t="s">
        <v>5873</v>
      </c>
      <c r="C11127" s="18" t="s">
        <v>51074</v>
      </c>
      <c r="D11127" s="18" t="s">
        <v>172</v>
      </c>
      <c r="E11127" s="18" t="s">
        <v>51075</v>
      </c>
      <c r="F11127" s="18" t="str">
        <f>IFERROR(__XLUDF.DUMMYFUNCTION("PROPER(REGEXREPLACE(D1039,""[^A-Za-z]+ "",""""))"),"Eosgie")</f>
        <v>Eosgie</v>
      </c>
      <c r="G11127" s="18" t="s">
        <v>51076</v>
      </c>
      <c r="H11127" s="18">
        <v>9</v>
      </c>
      <c r="I11127" s="18" t="s">
        <v>9239</v>
      </c>
      <c r="J11127" s="5" t="s">
        <v>51077</v>
      </c>
      <c r="K11127" s="5" t="s">
        <v>51078</v>
      </c>
      <c r="L11127" s="18" t="s">
        <v>51079</v>
      </c>
      <c r="M11127" s="18" t="s">
        <v>29</v>
      </c>
      <c r="N11127" s="18" t="s">
        <v>51080</v>
      </c>
      <c r="O11127" s="18" t="s">
        <v>29</v>
      </c>
      <c r="P11127" s="6"/>
      <c r="Q11127" s="6"/>
      <c r="R11127" s="6"/>
      <c r="S11127" s="6"/>
      <c r="T11127" s="6"/>
      <c r="U11127" s="6"/>
    </row>
    <row r="11128" ht="14.25">
      <c r="B11128" s="18" t="s">
        <v>450</v>
      </c>
      <c r="C11128" s="18" t="s">
        <v>51081</v>
      </c>
      <c r="D11128" s="18" t="s">
        <v>172</v>
      </c>
      <c r="E11128" s="18" t="s">
        <v>51082</v>
      </c>
      <c r="F11128" s="18" t="str">
        <f>IFERROR(__XLUDF.DUMMYFUNCTION("PROPER(REGEXREPLACE(D1040,""[^A-Za-z]+ "",""""))"),"Sas Le Plombier Bordelais")</f>
        <v xml:space="preserve">Sas Le Plombier Bordelais</v>
      </c>
      <c r="G11128" s="18" t="s">
        <v>51083</v>
      </c>
      <c r="H11128" s="18">
        <v>7</v>
      </c>
      <c r="I11128" s="18" t="s">
        <v>9239</v>
      </c>
      <c r="J11128" s="5" t="s">
        <v>51084</v>
      </c>
      <c r="K11128" s="5" t="s">
        <v>51085</v>
      </c>
      <c r="L11128" s="18" t="s">
        <v>11589</v>
      </c>
      <c r="M11128" s="18" t="s">
        <v>29</v>
      </c>
      <c r="N11128" s="18" t="s">
        <v>51086</v>
      </c>
      <c r="O11128" s="18" t="s">
        <v>29</v>
      </c>
      <c r="P11128" s="18" t="s">
        <v>51087</v>
      </c>
      <c r="Q11128" s="6"/>
      <c r="R11128" s="6"/>
      <c r="S11128" s="6"/>
      <c r="T11128" s="6"/>
      <c r="U11128" s="6"/>
    </row>
    <row r="11129" ht="14.25">
      <c r="B11129" s="18" t="s">
        <v>1027</v>
      </c>
      <c r="C11129" s="18" t="s">
        <v>51088</v>
      </c>
      <c r="D11129" s="18" t="s">
        <v>172</v>
      </c>
      <c r="E11129" s="18" t="s">
        <v>51089</v>
      </c>
      <c r="F11129" s="18" t="str">
        <f>IFERROR(__XLUDF.DUMMYFUNCTION("PROPER(REGEXREPLACE(D1041,""[^A-Za-z]+ "",""""))"),"Cevoha")</f>
        <v>Cevoha</v>
      </c>
      <c r="G11129" s="18" t="s">
        <v>51090</v>
      </c>
      <c r="H11129" s="18">
        <v>6</v>
      </c>
      <c r="I11129" s="18" t="s">
        <v>9239</v>
      </c>
      <c r="J11129" s="5" t="s">
        <v>51091</v>
      </c>
      <c r="K11129" s="5" t="s">
        <v>51092</v>
      </c>
      <c r="L11129" s="18" t="s">
        <v>1745</v>
      </c>
      <c r="M11129" s="18" t="s">
        <v>29</v>
      </c>
      <c r="N11129" s="18" t="s">
        <v>51093</v>
      </c>
      <c r="O11129" s="18" t="s">
        <v>29</v>
      </c>
      <c r="P11129" s="18" t="s">
        <v>51094</v>
      </c>
      <c r="Q11129" s="6"/>
      <c r="R11129" s="6"/>
      <c r="S11129" s="6"/>
      <c r="T11129" s="6"/>
      <c r="U11129" s="6"/>
    </row>
    <row r="11130" ht="14.25">
      <c r="B11130" s="18" t="s">
        <v>866</v>
      </c>
      <c r="C11130" s="18" t="s">
        <v>19098</v>
      </c>
      <c r="D11130" s="18" t="s">
        <v>172</v>
      </c>
      <c r="E11130" s="18" t="s">
        <v>19099</v>
      </c>
      <c r="F11130" s="18" t="str">
        <f>IFERROR(__XLUDF.DUMMYFUNCTION("PROPER(REGEXREPLACE(D1042,""[^A-Za-z]+ "",""""))"),"Florevie")</f>
        <v>Florevie</v>
      </c>
      <c r="G11130" s="18" t="s">
        <v>19100</v>
      </c>
      <c r="H11130" s="18">
        <v>17</v>
      </c>
      <c r="I11130" s="18" t="s">
        <v>4293</v>
      </c>
      <c r="J11130" s="5" t="s">
        <v>19101</v>
      </c>
      <c r="K11130" s="5" t="s">
        <v>19102</v>
      </c>
      <c r="L11130" s="18" t="s">
        <v>846</v>
      </c>
      <c r="M11130" s="18" t="s">
        <v>29</v>
      </c>
      <c r="N11130" s="18" t="s">
        <v>19103</v>
      </c>
      <c r="O11130" s="18" t="s">
        <v>29</v>
      </c>
      <c r="P11130" s="6"/>
      <c r="Q11130" s="6"/>
      <c r="R11130" s="6"/>
      <c r="S11130" s="6"/>
      <c r="T11130" s="6"/>
      <c r="U11130" s="6"/>
    </row>
    <row r="11131" ht="14.25">
      <c r="B11131" s="18" t="s">
        <v>1654</v>
      </c>
      <c r="C11131" s="18" t="s">
        <v>17621</v>
      </c>
      <c r="D11131" s="18" t="s">
        <v>172</v>
      </c>
      <c r="E11131" s="18" t="s">
        <v>51095</v>
      </c>
      <c r="F11131" s="18" t="str">
        <f>IFERROR(__XLUDF.DUMMYFUNCTION("PROPER(REGEXREPLACE(D1043,""[^A-Za-z]+ "",""""))"),"Agb Renovation")</f>
        <v xml:space="preserve">Agb Renovation</v>
      </c>
      <c r="G11131" s="18" t="s">
        <v>51096</v>
      </c>
      <c r="H11131" s="18">
        <v>15</v>
      </c>
      <c r="I11131" s="18" t="s">
        <v>9239</v>
      </c>
      <c r="J11131" s="5" t="s">
        <v>51097</v>
      </c>
      <c r="K11131" s="5" t="s">
        <v>51098</v>
      </c>
      <c r="L11131" s="18" t="s">
        <v>10097</v>
      </c>
      <c r="M11131" s="18" t="s">
        <v>29</v>
      </c>
      <c r="N11131" s="18" t="s">
        <v>51099</v>
      </c>
      <c r="O11131" s="18" t="s">
        <v>29</v>
      </c>
      <c r="P11131" s="18" t="s">
        <v>51100</v>
      </c>
      <c r="Q11131" s="6"/>
      <c r="R11131" s="6"/>
      <c r="S11131" s="6"/>
      <c r="T11131" s="6"/>
      <c r="U11131" s="6"/>
    </row>
    <row r="11132" ht="14.25">
      <c r="B11132" s="18" t="s">
        <v>110</v>
      </c>
      <c r="C11132" s="18" t="s">
        <v>2598</v>
      </c>
      <c r="D11132" s="18" t="s">
        <v>172</v>
      </c>
      <c r="E11132" s="18" t="s">
        <v>51101</v>
      </c>
      <c r="F11132" s="18" t="str">
        <f>IFERROR(__XLUDF.DUMMYFUNCTION("PROPER(REGEXREPLACE(D1044,""[^A-Za-z]+ "",""""))"),"Ets Joseph Sas")</f>
        <v xml:space="preserve">Ets Joseph Sas</v>
      </c>
      <c r="G11132" s="18" t="s">
        <v>51102</v>
      </c>
      <c r="H11132" s="18">
        <v>25</v>
      </c>
      <c r="I11132" s="18" t="s">
        <v>9239</v>
      </c>
      <c r="J11132" s="5" t="s">
        <v>51103</v>
      </c>
      <c r="K11132" s="5" t="s">
        <v>51104</v>
      </c>
      <c r="L11132" s="18" t="s">
        <v>11201</v>
      </c>
      <c r="M11132" s="18" t="s">
        <v>29</v>
      </c>
      <c r="N11132" s="18" t="s">
        <v>51105</v>
      </c>
      <c r="O11132" s="18" t="s">
        <v>29</v>
      </c>
      <c r="P11132" s="6"/>
      <c r="Q11132" s="6"/>
      <c r="R11132" s="6"/>
      <c r="S11132" s="6"/>
      <c r="T11132" s="6"/>
      <c r="U11132" s="6"/>
    </row>
    <row r="11133" ht="14.25">
      <c r="B11133" s="18" t="s">
        <v>485</v>
      </c>
      <c r="C11133" s="18" t="s">
        <v>51106</v>
      </c>
      <c r="D11133" s="18" t="s">
        <v>247</v>
      </c>
      <c r="E11133" s="18" t="s">
        <v>49708</v>
      </c>
      <c r="F11133" s="18" t="str">
        <f>IFERROR(__XLUDF.DUMMYFUNCTION("PROPER(REGEXREPLACE(D1045,""[^A-Za-z]+ "",""""))"),"Sweelco")</f>
        <v>Sweelco</v>
      </c>
      <c r="G11133" s="18" t="s">
        <v>51107</v>
      </c>
      <c r="H11133" s="18">
        <v>7</v>
      </c>
      <c r="I11133" s="18" t="s">
        <v>9239</v>
      </c>
      <c r="J11133" s="5" t="s">
        <v>51108</v>
      </c>
      <c r="K11133" s="5" t="s">
        <v>49711</v>
      </c>
      <c r="L11133" s="6"/>
      <c r="M11133" s="18" t="s">
        <v>29</v>
      </c>
      <c r="N11133" s="18" t="s">
        <v>49712</v>
      </c>
      <c r="O11133" s="18" t="s">
        <v>29</v>
      </c>
      <c r="P11133" s="18" t="s">
        <v>49713</v>
      </c>
      <c r="Q11133" s="6"/>
      <c r="R11133" s="6"/>
      <c r="S11133" s="6"/>
      <c r="T11133" s="6"/>
      <c r="U11133" s="6"/>
    </row>
    <row r="11134" ht="14.25">
      <c r="B11134" s="18" t="s">
        <v>6822</v>
      </c>
      <c r="C11134" s="18" t="s">
        <v>51109</v>
      </c>
      <c r="D11134" s="18" t="s">
        <v>51110</v>
      </c>
      <c r="E11134" s="18" t="s">
        <v>50158</v>
      </c>
      <c r="F11134" s="18" t="str">
        <f>IFERROR(__XLUDF.DUMMYFUNCTION("PROPER(REGEXREPLACE(D1046,""[^A-Za-z]+ "",""""))"),"Artxbat")</f>
        <v>Artxbat</v>
      </c>
      <c r="G11134" s="18" t="s">
        <v>51111</v>
      </c>
      <c r="H11134" s="18">
        <v>25</v>
      </c>
      <c r="I11134" s="18" t="s">
        <v>9239</v>
      </c>
      <c r="J11134" s="5" t="s">
        <v>51112</v>
      </c>
      <c r="K11134" s="5" t="s">
        <v>50161</v>
      </c>
      <c r="L11134" s="18" t="s">
        <v>39</v>
      </c>
      <c r="M11134" s="18" t="s">
        <v>29</v>
      </c>
      <c r="N11134" s="18" t="s">
        <v>50162</v>
      </c>
      <c r="O11134" s="18" t="s">
        <v>29</v>
      </c>
      <c r="P11134" s="6"/>
      <c r="Q11134" s="6"/>
      <c r="R11134" s="6"/>
      <c r="S11134" s="6"/>
      <c r="T11134" s="6"/>
      <c r="U11134" s="6"/>
    </row>
    <row r="11135" ht="14.25">
      <c r="B11135" s="18" t="s">
        <v>604</v>
      </c>
      <c r="C11135" s="18" t="s">
        <v>51113</v>
      </c>
      <c r="D11135" s="18" t="s">
        <v>3704</v>
      </c>
      <c r="E11135" s="18" t="s">
        <v>51114</v>
      </c>
      <c r="F11135" s="18" t="str">
        <f>IFERROR(__XLUDF.DUMMYFUNCTION("PROPER(REGEXREPLACE(D1047,""[^A-Za-z]+ "",""""))"),"Ovatis")</f>
        <v>Ovatis</v>
      </c>
      <c r="G11135" s="18" t="s">
        <v>51115</v>
      </c>
      <c r="H11135" s="18">
        <v>46</v>
      </c>
      <c r="I11135" s="18" t="s">
        <v>45792</v>
      </c>
      <c r="J11135" s="5" t="s">
        <v>51116</v>
      </c>
      <c r="K11135" s="5" t="s">
        <v>51117</v>
      </c>
      <c r="L11135" s="18" t="s">
        <v>295</v>
      </c>
      <c r="M11135" s="18" t="s">
        <v>29</v>
      </c>
      <c r="N11135" s="18" t="s">
        <v>51118</v>
      </c>
      <c r="O11135" s="18" t="s">
        <v>29</v>
      </c>
      <c r="P11135" s="18" t="s">
        <v>51119</v>
      </c>
      <c r="Q11135" s="6"/>
      <c r="R11135" s="6"/>
      <c r="S11135" s="6"/>
      <c r="T11135" s="6"/>
      <c r="U11135" s="6"/>
    </row>
    <row r="11136" ht="14.25">
      <c r="B11136" s="18" t="s">
        <v>20</v>
      </c>
      <c r="C11136" s="18" t="s">
        <v>51120</v>
      </c>
      <c r="D11136" s="18" t="s">
        <v>51121</v>
      </c>
      <c r="E11136" s="18" t="s">
        <v>51122</v>
      </c>
      <c r="F11136" s="18" t="str">
        <f>IFERROR(__XLUDF.DUMMYFUNCTION("PROPER(REGEXREPLACE(D1048,""[^A-Za-z]+ "",""""))"),"Vpgreen Engineering")</f>
        <v xml:space="preserve">Vpgreen Engineering</v>
      </c>
      <c r="G11136" s="18" t="s">
        <v>51123</v>
      </c>
      <c r="H11136" s="18">
        <v>23</v>
      </c>
      <c r="I11136" s="18" t="s">
        <v>9239</v>
      </c>
      <c r="J11136" s="5" t="s">
        <v>51124</v>
      </c>
      <c r="K11136" s="5" t="s">
        <v>51125</v>
      </c>
      <c r="L11136" s="18" t="s">
        <v>39</v>
      </c>
      <c r="M11136" s="18" t="s">
        <v>29</v>
      </c>
      <c r="N11136" s="18" t="s">
        <v>51126</v>
      </c>
      <c r="O11136" s="18" t="s">
        <v>29</v>
      </c>
      <c r="P11136" s="18" t="s">
        <v>51127</v>
      </c>
      <c r="Q11136" s="6"/>
      <c r="R11136" s="6"/>
      <c r="S11136" s="6"/>
      <c r="T11136" s="6"/>
      <c r="U11136" s="6"/>
    </row>
    <row r="11137" ht="14.25">
      <c r="B11137" s="18" t="s">
        <v>298</v>
      </c>
      <c r="C11137" s="18" t="s">
        <v>7650</v>
      </c>
      <c r="D11137" s="18" t="s">
        <v>164</v>
      </c>
      <c r="E11137" s="18" t="s">
        <v>51128</v>
      </c>
      <c r="F11137" s="18" t="str">
        <f>IFERROR(__XLUDF.DUMMYFUNCTION("PROPER(REGEXREPLACE(D1049,""[^A-Za-z]+ "",""""))"),"S.E.F.A.T")</f>
        <v>S.E.F.A.T</v>
      </c>
      <c r="G11137" s="18" t="s">
        <v>51129</v>
      </c>
      <c r="H11137" s="18">
        <v>17</v>
      </c>
      <c r="I11137" s="18" t="s">
        <v>9239</v>
      </c>
      <c r="J11137" s="5" t="s">
        <v>51130</v>
      </c>
      <c r="K11137" s="5" t="s">
        <v>51131</v>
      </c>
      <c r="L11137" s="6"/>
      <c r="M11137" s="18" t="s">
        <v>29</v>
      </c>
      <c r="N11137" s="18" t="s">
        <v>51132</v>
      </c>
      <c r="O11137" s="18" t="s">
        <v>29</v>
      </c>
      <c r="P11137" s="6"/>
      <c r="Q11137" s="6"/>
      <c r="R11137" s="6"/>
      <c r="S11137" s="6"/>
      <c r="T11137" s="6"/>
      <c r="U11137" s="6"/>
    </row>
    <row r="11138" ht="14.25">
      <c r="B11138" s="18" t="s">
        <v>279</v>
      </c>
      <c r="C11138" s="18" t="s">
        <v>51133</v>
      </c>
      <c r="D11138" s="18" t="s">
        <v>51134</v>
      </c>
      <c r="E11138" s="18" t="s">
        <v>47218</v>
      </c>
      <c r="F11138" s="18" t="str">
        <f>IFERROR(__XLUDF.DUMMYFUNCTION("PROPER(REGEXREPLACE(D1050,""[^A-Za-z]+ "",""""))"),"Ocellis Energies")</f>
        <v xml:space="preserve">Ocellis Energies</v>
      </c>
      <c r="G11138" s="18" t="s">
        <v>51135</v>
      </c>
      <c r="H11138" s="18">
        <v>15</v>
      </c>
      <c r="I11138" s="18" t="s">
        <v>9239</v>
      </c>
      <c r="J11138" s="5" t="s">
        <v>51136</v>
      </c>
      <c r="K11138" s="5" t="s">
        <v>47221</v>
      </c>
      <c r="L11138" s="6"/>
      <c r="M11138" s="18" t="s">
        <v>29</v>
      </c>
      <c r="N11138" s="18" t="s">
        <v>47222</v>
      </c>
      <c r="O11138" s="18" t="s">
        <v>29</v>
      </c>
      <c r="P11138" s="18" t="s">
        <v>47223</v>
      </c>
      <c r="Q11138" s="6"/>
      <c r="R11138" s="6"/>
      <c r="S11138" s="6"/>
      <c r="T11138" s="6"/>
      <c r="U11138" s="6"/>
    </row>
    <row r="11139" ht="14.25">
      <c r="B11139" s="18" t="s">
        <v>255</v>
      </c>
      <c r="C11139" s="18" t="s">
        <v>51137</v>
      </c>
      <c r="D11139" s="18" t="s">
        <v>172</v>
      </c>
      <c r="E11139" s="18" t="s">
        <v>51138</v>
      </c>
      <c r="F11139" s="18" t="str">
        <f>IFERROR(__XLUDF.DUMMYFUNCTION("PROPER(REGEXREPLACE(D1051,""[^A-Za-z]+ "",""""))"),"Soraetec")</f>
        <v>Soraetec</v>
      </c>
      <c r="G11139" s="18" t="s">
        <v>51139</v>
      </c>
      <c r="H11139" s="18">
        <v>12</v>
      </c>
      <c r="I11139" s="18" t="s">
        <v>9239</v>
      </c>
      <c r="J11139" s="5" t="s">
        <v>51140</v>
      </c>
      <c r="K11139" s="5" t="s">
        <v>51141</v>
      </c>
      <c r="L11139" s="18" t="s">
        <v>1507</v>
      </c>
      <c r="M11139" s="18" t="s">
        <v>29</v>
      </c>
      <c r="N11139" s="18" t="s">
        <v>1851</v>
      </c>
      <c r="O11139" s="18" t="s">
        <v>29</v>
      </c>
      <c r="P11139" s="18" t="s">
        <v>51142</v>
      </c>
      <c r="Q11139" s="6"/>
      <c r="R11139" s="6"/>
      <c r="S11139" s="6"/>
      <c r="T11139" s="6"/>
      <c r="U11139" s="6"/>
    </row>
    <row r="11140" ht="14.25">
      <c r="B11140" s="18" t="s">
        <v>994</v>
      </c>
      <c r="C11140" s="18" t="s">
        <v>24529</v>
      </c>
      <c r="D11140" s="18" t="s">
        <v>172</v>
      </c>
      <c r="E11140" s="18" t="s">
        <v>50611</v>
      </c>
      <c r="F11140" s="18" t="str">
        <f>IFERROR(__XLUDF.DUMMYFUNCTION("PROPER(REGEXREPLACE(D1052,""[^A-Za-z]+ "",""""))"),"Herkrug")</f>
        <v>Herkrug</v>
      </c>
      <c r="G11140" s="18" t="s">
        <v>51143</v>
      </c>
      <c r="H11140" s="18">
        <v>20</v>
      </c>
      <c r="I11140" s="18" t="s">
        <v>9239</v>
      </c>
      <c r="J11140" s="5" t="s">
        <v>51144</v>
      </c>
      <c r="K11140" s="5" t="s">
        <v>50614</v>
      </c>
      <c r="L11140" s="18" t="s">
        <v>51145</v>
      </c>
      <c r="M11140" s="18" t="s">
        <v>29</v>
      </c>
      <c r="N11140" s="18" t="s">
        <v>50615</v>
      </c>
      <c r="O11140" s="18" t="s">
        <v>29</v>
      </c>
      <c r="P11140" s="18" t="s">
        <v>50616</v>
      </c>
      <c r="Q11140" s="6"/>
      <c r="R11140" s="6"/>
      <c r="S11140" s="6"/>
      <c r="T11140" s="6"/>
      <c r="U11140" s="6"/>
    </row>
    <row r="11141" ht="14.25">
      <c r="B11141" s="18" t="s">
        <v>2932</v>
      </c>
      <c r="C11141" s="18" t="s">
        <v>51146</v>
      </c>
      <c r="D11141" s="18" t="s">
        <v>1130</v>
      </c>
      <c r="E11141" s="18" t="s">
        <v>51147</v>
      </c>
      <c r="F11141" s="18" t="str">
        <f>IFERROR(__XLUDF.DUMMYFUNCTION("PROPER(REGEXREPLACE(D1053,""[^A-Za-z]+ "",""""))"),"Scop Secop")</f>
        <v xml:space="preserve">Scop Secop</v>
      </c>
      <c r="G11141" s="18" t="s">
        <v>51148</v>
      </c>
      <c r="H11141" s="18">
        <v>8</v>
      </c>
      <c r="I11141" s="18" t="s">
        <v>9239</v>
      </c>
      <c r="J11141" s="5" t="s">
        <v>51149</v>
      </c>
      <c r="K11141" s="5" t="s">
        <v>51150</v>
      </c>
      <c r="L11141" s="18" t="s">
        <v>1312</v>
      </c>
      <c r="M11141" s="18" t="s">
        <v>29</v>
      </c>
      <c r="N11141" s="18" t="s">
        <v>51151</v>
      </c>
      <c r="O11141" s="18" t="s">
        <v>29</v>
      </c>
      <c r="P11141" s="18" t="s">
        <v>51152</v>
      </c>
      <c r="Q11141" s="6"/>
      <c r="R11141" s="6"/>
      <c r="S11141" s="6"/>
      <c r="T11141" s="6"/>
      <c r="U11141" s="6"/>
    </row>
    <row r="11142" ht="14.25">
      <c r="B11142" s="18" t="s">
        <v>51153</v>
      </c>
      <c r="C11142" s="18" t="s">
        <v>3753</v>
      </c>
      <c r="D11142" s="18" t="s">
        <v>51154</v>
      </c>
      <c r="E11142" s="18" t="s">
        <v>51155</v>
      </c>
      <c r="F11142" s="18" t="str">
        <f>IFERROR(__XLUDF.DUMMYFUNCTION("PROPER(REGEXREPLACE(D1054,""[^A-Za-z]+ "",""""))"),"Ferreira Batiment")</f>
        <v xml:space="preserve">Ferreira Batiment</v>
      </c>
      <c r="G11142" s="18" t="s">
        <v>51156</v>
      </c>
      <c r="H11142" s="18">
        <v>23</v>
      </c>
      <c r="I11142" s="18" t="s">
        <v>9239</v>
      </c>
      <c r="J11142" s="5" t="s">
        <v>51157</v>
      </c>
      <c r="K11142" s="5" t="s">
        <v>51158</v>
      </c>
      <c r="L11142" s="18" t="s">
        <v>185</v>
      </c>
      <c r="M11142" s="18" t="s">
        <v>29</v>
      </c>
      <c r="N11142" s="18" t="s">
        <v>51159</v>
      </c>
      <c r="O11142" s="18" t="s">
        <v>29</v>
      </c>
      <c r="P11142" s="18" t="s">
        <v>51160</v>
      </c>
      <c r="Q11142" s="6"/>
      <c r="R11142" s="6"/>
      <c r="S11142" s="6"/>
      <c r="T11142" s="6"/>
      <c r="U11142" s="6"/>
    </row>
    <row r="11143" ht="14.25">
      <c r="B11143" s="18" t="s">
        <v>622</v>
      </c>
      <c r="C11143" s="18" t="s">
        <v>6055</v>
      </c>
      <c r="D11143" s="18" t="s">
        <v>112</v>
      </c>
      <c r="E11143" s="18" t="s">
        <v>51161</v>
      </c>
      <c r="F11143" s="18" t="str">
        <f>IFERROR(__XLUDF.DUMMYFUNCTION("PROPER(REGEXREPLACE(D1055,""[^A-Za-z]+ "",""""))"),"Jean Lucy")</f>
        <v xml:space="preserve">Jean Lucy</v>
      </c>
      <c r="G11143" s="18" t="s">
        <v>51162</v>
      </c>
      <c r="H11143" s="18">
        <v>13</v>
      </c>
      <c r="I11143" s="18" t="s">
        <v>9239</v>
      </c>
      <c r="J11143" s="5" t="s">
        <v>51163</v>
      </c>
      <c r="K11143" s="5" t="s">
        <v>51164</v>
      </c>
      <c r="L11143" s="18" t="s">
        <v>39</v>
      </c>
      <c r="M11143" s="18" t="s">
        <v>29</v>
      </c>
      <c r="N11143" s="18" t="s">
        <v>51165</v>
      </c>
      <c r="O11143" s="18" t="s">
        <v>29</v>
      </c>
      <c r="P11143" s="6"/>
      <c r="Q11143" s="6"/>
      <c r="R11143" s="6"/>
      <c r="S11143" s="6"/>
      <c r="T11143" s="6"/>
      <c r="U11143" s="6"/>
    </row>
    <row r="11144" ht="14.25">
      <c r="B11144" s="18" t="s">
        <v>630</v>
      </c>
      <c r="C11144" s="18" t="s">
        <v>51166</v>
      </c>
      <c r="D11144" s="18" t="s">
        <v>14574</v>
      </c>
      <c r="E11144" s="18" t="s">
        <v>51167</v>
      </c>
      <c r="F11144" s="18" t="str">
        <f>IFERROR(__XLUDF.DUMMYFUNCTION("PROPER(REGEXREPLACE(D1056,""[^A-Za-z]+ "",""""))"),"Seemo Promoteur Nouvelle Génération")</f>
        <v xml:space="preserve">Seemo Promoteur Nouvelle Génération</v>
      </c>
      <c r="G11144" s="18" t="s">
        <v>51168</v>
      </c>
      <c r="H11144" s="18">
        <v>22</v>
      </c>
      <c r="I11144" s="18" t="s">
        <v>9239</v>
      </c>
      <c r="J11144" s="5" t="s">
        <v>51169</v>
      </c>
      <c r="K11144" s="5" t="s">
        <v>51170</v>
      </c>
      <c r="L11144" s="18" t="s">
        <v>39</v>
      </c>
      <c r="M11144" s="18" t="s">
        <v>29</v>
      </c>
      <c r="N11144" s="18" t="s">
        <v>51171</v>
      </c>
      <c r="O11144" s="18" t="s">
        <v>29</v>
      </c>
      <c r="P11144" s="18" t="s">
        <v>51172</v>
      </c>
      <c r="Q11144" s="6"/>
      <c r="R11144" s="6"/>
      <c r="S11144" s="6"/>
      <c r="T11144" s="6"/>
      <c r="U11144" s="6"/>
    </row>
    <row r="11145" ht="14.25">
      <c r="B11145" s="18" t="s">
        <v>630</v>
      </c>
      <c r="C11145" s="18" t="s">
        <v>51173</v>
      </c>
      <c r="D11145" s="18" t="s">
        <v>10959</v>
      </c>
      <c r="E11145" s="18" t="s">
        <v>51174</v>
      </c>
      <c r="F11145" s="18" t="str">
        <f>IFERROR(__XLUDF.DUMMYFUNCTION("PROPER(REGEXREPLACE(D1057,""[^A-Za-z]+ "",""""))"),"Gf3M")</f>
        <v>Gf3M</v>
      </c>
      <c r="G11145" s="18" t="s">
        <v>51175</v>
      </c>
      <c r="H11145" s="18">
        <v>27</v>
      </c>
      <c r="I11145" s="18" t="s">
        <v>9239</v>
      </c>
      <c r="J11145" s="5" t="s">
        <v>51176</v>
      </c>
      <c r="K11145" s="5" t="s">
        <v>51177</v>
      </c>
      <c r="L11145" s="18" t="s">
        <v>243</v>
      </c>
      <c r="M11145" s="18" t="s">
        <v>29</v>
      </c>
      <c r="N11145" s="18" t="s">
        <v>51178</v>
      </c>
      <c r="O11145" s="18" t="s">
        <v>29</v>
      </c>
      <c r="P11145" s="6"/>
      <c r="Q11145" s="6"/>
      <c r="R11145" s="6"/>
      <c r="S11145" s="6"/>
      <c r="T11145" s="6"/>
      <c r="U11145" s="6"/>
    </row>
    <row r="11146" ht="14.25">
      <c r="B11146" s="18" t="s">
        <v>51179</v>
      </c>
      <c r="C11146" s="18" t="s">
        <v>51180</v>
      </c>
      <c r="D11146" s="18" t="s">
        <v>112</v>
      </c>
      <c r="E11146" s="18" t="s">
        <v>51181</v>
      </c>
      <c r="F11146" s="18" t="str">
        <f>IFERROR(__XLUDF.DUMMYFUNCTION("PROPER(REGEXREPLACE(D1058,""[^A-Za-z]+ "",""""))"),"Groupe 4S")</f>
        <v xml:space="preserve">Groupe 4S</v>
      </c>
      <c r="G11146" s="18" t="s">
        <v>51182</v>
      </c>
      <c r="H11146" s="18">
        <v>14</v>
      </c>
      <c r="I11146" s="18" t="s">
        <v>9239</v>
      </c>
      <c r="J11146" s="5" t="s">
        <v>51183</v>
      </c>
      <c r="K11146" s="5" t="s">
        <v>51184</v>
      </c>
      <c r="L11146" s="18" t="s">
        <v>431</v>
      </c>
      <c r="M11146" s="18" t="s">
        <v>29</v>
      </c>
      <c r="N11146" s="18" t="s">
        <v>51185</v>
      </c>
      <c r="O11146" s="18" t="s">
        <v>29</v>
      </c>
      <c r="P11146" s="18" t="s">
        <v>51186</v>
      </c>
      <c r="Q11146" s="6"/>
      <c r="R11146" s="6"/>
      <c r="S11146" s="6"/>
      <c r="T11146" s="6"/>
      <c r="U11146" s="6"/>
    </row>
    <row r="11147" ht="14.25">
      <c r="B11147" s="18" t="s">
        <v>4969</v>
      </c>
      <c r="C11147" s="18" t="s">
        <v>51187</v>
      </c>
      <c r="D11147" s="18" t="s">
        <v>1130</v>
      </c>
      <c r="E11147" s="18" t="s">
        <v>51188</v>
      </c>
      <c r="F11147" s="18" t="str">
        <f>IFERROR(__XLUDF.DUMMYFUNCTION("PROPER(REGEXREPLACE(D1059,""[^A-Za-z]+ "",""""))"),"Emi Genie Climatique")</f>
        <v xml:space="preserve">Emi Genie Climatique</v>
      </c>
      <c r="G11147" s="18" t="s">
        <v>51189</v>
      </c>
      <c r="H11147" s="18">
        <v>46</v>
      </c>
      <c r="I11147" s="18" t="s">
        <v>9239</v>
      </c>
      <c r="J11147" s="5" t="s">
        <v>51190</v>
      </c>
      <c r="K11147" s="5" t="s">
        <v>51191</v>
      </c>
      <c r="L11147" s="18" t="s">
        <v>6480</v>
      </c>
      <c r="M11147" s="18" t="s">
        <v>29</v>
      </c>
      <c r="N11147" s="18" t="s">
        <v>51192</v>
      </c>
      <c r="O11147" s="18" t="s">
        <v>29</v>
      </c>
      <c r="P11147" s="18" t="s">
        <v>51193</v>
      </c>
      <c r="Q11147" s="6"/>
      <c r="R11147" s="6"/>
      <c r="S11147" s="6"/>
      <c r="T11147" s="6"/>
      <c r="U11147" s="6"/>
    </row>
    <row r="11148" ht="14.25">
      <c r="B11148" s="18" t="s">
        <v>6788</v>
      </c>
      <c r="C11148" s="18" t="s">
        <v>51194</v>
      </c>
      <c r="D11148" s="18" t="s">
        <v>1130</v>
      </c>
      <c r="E11148" s="18" t="s">
        <v>51195</v>
      </c>
      <c r="F11148" s="18" t="str">
        <f>IFERROR(__XLUDF.DUMMYFUNCTION("PROPER(REGEXREPLACE(D1060,""[^A-Za-z]+ "",""""))"),"Heroult Electricite")</f>
        <v xml:space="preserve">Heroult Electricite</v>
      </c>
      <c r="G11148" s="18" t="s">
        <v>51196</v>
      </c>
      <c r="H11148" s="18">
        <v>13</v>
      </c>
      <c r="I11148" s="18" t="s">
        <v>9239</v>
      </c>
      <c r="J11148" s="5" t="s">
        <v>51197</v>
      </c>
      <c r="K11148" s="5" t="s">
        <v>51198</v>
      </c>
      <c r="L11148" s="18" t="s">
        <v>51199</v>
      </c>
      <c r="M11148" s="18" t="s">
        <v>29</v>
      </c>
      <c r="N11148" s="18" t="s">
        <v>51200</v>
      </c>
      <c r="O11148" s="18" t="s">
        <v>29</v>
      </c>
      <c r="P11148" s="6"/>
      <c r="Q11148" s="6"/>
      <c r="R11148" s="6"/>
      <c r="S11148" s="6"/>
      <c r="T11148" s="6"/>
      <c r="U11148" s="6"/>
    </row>
    <row r="11149" ht="14.25">
      <c r="B11149" s="18" t="s">
        <v>893</v>
      </c>
      <c r="C11149" s="18" t="s">
        <v>51201</v>
      </c>
      <c r="D11149" s="18" t="s">
        <v>120</v>
      </c>
      <c r="E11149" s="18" t="s">
        <v>51202</v>
      </c>
      <c r="F11149" s="18" t="str">
        <f>IFERROR(__XLUDF.DUMMYFUNCTION("PROPER(REGEXREPLACE(D1061,""[^A-Za-z]+ "",""""))"),"Caprinipellerin")</f>
        <v>Caprinipellerin</v>
      </c>
      <c r="G11149" s="18" t="s">
        <v>51203</v>
      </c>
      <c r="H11149" s="18">
        <v>35</v>
      </c>
      <c r="I11149" s="18" t="s">
        <v>10167</v>
      </c>
      <c r="J11149" s="5" t="s">
        <v>51204</v>
      </c>
      <c r="K11149" s="5" t="s">
        <v>51205</v>
      </c>
      <c r="L11149" s="18" t="s">
        <v>716</v>
      </c>
      <c r="M11149" s="18" t="s">
        <v>29</v>
      </c>
      <c r="N11149" s="18" t="s">
        <v>2515</v>
      </c>
      <c r="O11149" s="18" t="s">
        <v>29</v>
      </c>
      <c r="P11149" s="6"/>
      <c r="Q11149" s="6"/>
      <c r="R11149" s="6"/>
      <c r="S11149" s="6"/>
      <c r="T11149" s="6"/>
      <c r="U11149" s="6"/>
    </row>
    <row r="11150" ht="14.25">
      <c r="B11150" s="18" t="s">
        <v>26001</v>
      </c>
      <c r="C11150" s="18" t="s">
        <v>51206</v>
      </c>
      <c r="D11150" s="18" t="s">
        <v>172</v>
      </c>
      <c r="E11150" s="18" t="s">
        <v>51207</v>
      </c>
      <c r="F11150" s="18" t="str">
        <f>IFERROR(__XLUDF.DUMMYFUNCTION("PROPER(REGEXREPLACE(D1062,""[^A-Za-z]+ "",""""))"),"Lpb")</f>
        <v>Lpb</v>
      </c>
      <c r="G11150" s="18" t="s">
        <v>51208</v>
      </c>
      <c r="H11150" s="18">
        <v>35</v>
      </c>
      <c r="I11150" s="18" t="s">
        <v>9239</v>
      </c>
      <c r="J11150" s="5" t="s">
        <v>51209</v>
      </c>
      <c r="K11150" s="5" t="s">
        <v>51210</v>
      </c>
      <c r="L11150" s="18" t="s">
        <v>17537</v>
      </c>
      <c r="M11150" s="18" t="s">
        <v>29</v>
      </c>
      <c r="N11150" s="18" t="s">
        <v>51211</v>
      </c>
      <c r="O11150" s="18" t="s">
        <v>29</v>
      </c>
      <c r="P11150" s="18" t="s">
        <v>51212</v>
      </c>
      <c r="Q11150" s="6"/>
      <c r="R11150" s="6"/>
      <c r="S11150" s="6"/>
      <c r="T11150" s="6"/>
      <c r="U11150" s="6"/>
    </row>
    <row r="11151" ht="14.25">
      <c r="B11151" s="18" t="s">
        <v>222</v>
      </c>
      <c r="C11151" s="18" t="s">
        <v>42674</v>
      </c>
      <c r="D11151" s="18" t="s">
        <v>112</v>
      </c>
      <c r="E11151" s="18" t="s">
        <v>51213</v>
      </c>
      <c r="F11151" s="18" t="str">
        <f>IFERROR(__XLUDF.DUMMYFUNCTION("PROPER(REGEXREPLACE(D1063,""[^A-Za-z]+ "",""""))"),"Cybstores")</f>
        <v>Cybstores</v>
      </c>
      <c r="G11151" s="18" t="s">
        <v>51214</v>
      </c>
      <c r="H11151" s="18">
        <v>46</v>
      </c>
      <c r="I11151" s="18" t="s">
        <v>9239</v>
      </c>
      <c r="J11151" s="5" t="s">
        <v>51215</v>
      </c>
      <c r="K11151" s="5" t="s">
        <v>51216</v>
      </c>
      <c r="L11151" s="18" t="s">
        <v>10141</v>
      </c>
      <c r="M11151" s="18" t="s">
        <v>29</v>
      </c>
      <c r="N11151" s="18" t="s">
        <v>51217</v>
      </c>
      <c r="O11151" s="18" t="s">
        <v>29</v>
      </c>
      <c r="P11151" s="18" t="s">
        <v>51218</v>
      </c>
      <c r="Q11151" s="6"/>
      <c r="R11151" s="6"/>
      <c r="S11151" s="6"/>
      <c r="T11151" s="6"/>
      <c r="U11151" s="6"/>
    </row>
    <row r="11152" ht="14.25">
      <c r="B11152" s="18" t="s">
        <v>3850</v>
      </c>
      <c r="C11152" s="18" t="s">
        <v>51219</v>
      </c>
      <c r="D11152" s="18" t="s">
        <v>341</v>
      </c>
      <c r="E11152" s="18" t="s">
        <v>10296</v>
      </c>
      <c r="F11152" s="18" t="str">
        <f>IFERROR(__XLUDF.DUMMYFUNCTION("PROPER(REGEXREPLACE(D1064,""[^A-Za-z]+ "",""""))"),"Axys Etudes Techniques Fluides")</f>
        <v xml:space="preserve">Axys Etudes Techniques Fluides</v>
      </c>
      <c r="G11152" s="18" t="s">
        <v>51220</v>
      </c>
      <c r="H11152" s="18">
        <v>31</v>
      </c>
      <c r="I11152" s="18" t="s">
        <v>9239</v>
      </c>
      <c r="J11152" s="5" t="s">
        <v>51221</v>
      </c>
      <c r="K11152" s="5" t="s">
        <v>48447</v>
      </c>
      <c r="L11152" s="18" t="s">
        <v>10299</v>
      </c>
      <c r="M11152" s="18" t="s">
        <v>29</v>
      </c>
      <c r="N11152" s="18" t="s">
        <v>48448</v>
      </c>
      <c r="O11152" s="18" t="s">
        <v>29</v>
      </c>
      <c r="P11152" s="18" t="s">
        <v>10301</v>
      </c>
      <c r="Q11152" s="6"/>
      <c r="R11152" s="6"/>
      <c r="S11152" s="6"/>
      <c r="T11152" s="6"/>
      <c r="U11152" s="6"/>
    </row>
    <row r="11153" ht="14.25">
      <c r="B11153" s="18" t="s">
        <v>51222</v>
      </c>
      <c r="C11153" s="18" t="s">
        <v>4132</v>
      </c>
      <c r="D11153" s="18" t="s">
        <v>87</v>
      </c>
      <c r="E11153" s="18" t="s">
        <v>51223</v>
      </c>
      <c r="F11153" s="18" t="str">
        <f>IFERROR(__XLUDF.DUMMYFUNCTION("PROPER(REGEXREPLACE(D1065,""[^A-Za-z]+ "",""""))"),"Cte Structural Engineering")</f>
        <v xml:space="preserve">Cte Structural Engineering</v>
      </c>
      <c r="G11153" s="18" t="s">
        <v>51224</v>
      </c>
      <c r="H11153" s="18">
        <v>36</v>
      </c>
      <c r="I11153" s="18" t="s">
        <v>9239</v>
      </c>
      <c r="J11153" s="5" t="s">
        <v>51225</v>
      </c>
      <c r="K11153" s="5" t="s">
        <v>49685</v>
      </c>
      <c r="L11153" s="18" t="s">
        <v>1826</v>
      </c>
      <c r="M11153" s="18" t="s">
        <v>29</v>
      </c>
      <c r="N11153" s="18" t="s">
        <v>67</v>
      </c>
      <c r="O11153" s="18" t="s">
        <v>29</v>
      </c>
      <c r="P11153" s="18" t="s">
        <v>51226</v>
      </c>
      <c r="Q11153" s="6"/>
      <c r="R11153" s="6"/>
      <c r="S11153" s="6"/>
      <c r="T11153" s="6"/>
      <c r="U11153" s="6"/>
    </row>
    <row r="11154" ht="14.25">
      <c r="B11154" s="18" t="s">
        <v>24920</v>
      </c>
      <c r="C11154" s="18" t="s">
        <v>51227</v>
      </c>
      <c r="D11154" s="18" t="s">
        <v>112</v>
      </c>
      <c r="E11154" s="18" t="s">
        <v>45089</v>
      </c>
      <c r="F11154" s="18" t="str">
        <f>IFERROR(__XLUDF.DUMMYFUNCTION("PROPER(REGEXREPLACE(D1066,""[^A-Za-z]+ "",""""))"),"Cet Bâtiment Et Energie")</f>
        <v xml:space="preserve">Cet Bâtiment Et Energie</v>
      </c>
      <c r="G11154" s="18" t="s">
        <v>51228</v>
      </c>
      <c r="H11154" s="18">
        <v>24</v>
      </c>
      <c r="I11154" s="18" t="s">
        <v>9239</v>
      </c>
      <c r="J11154" s="5" t="s">
        <v>51229</v>
      </c>
      <c r="K11154" s="5" t="s">
        <v>45092</v>
      </c>
      <c r="L11154" s="18" t="s">
        <v>15722</v>
      </c>
      <c r="M11154" s="18" t="s">
        <v>29</v>
      </c>
      <c r="N11154" s="18" t="s">
        <v>45093</v>
      </c>
      <c r="O11154" s="18" t="s">
        <v>29</v>
      </c>
      <c r="P11154" s="18" t="s">
        <v>45094</v>
      </c>
      <c r="Q11154" s="6"/>
      <c r="R11154" s="6"/>
      <c r="S11154" s="6"/>
      <c r="T11154" s="6"/>
      <c r="U11154" s="6"/>
    </row>
    <row r="11155" ht="14.25">
      <c r="B11155" s="18" t="s">
        <v>622</v>
      </c>
      <c r="C11155" s="18" t="s">
        <v>6037</v>
      </c>
      <c r="D11155" s="18" t="s">
        <v>112</v>
      </c>
      <c r="E11155" s="18" t="s">
        <v>51230</v>
      </c>
      <c r="F11155" s="18" t="str">
        <f>IFERROR(__XLUDF.DUMMYFUNCTION("PROPER(REGEXREPLACE(D1067,""[^A-Za-z]+ "",""""))"),"Sud Ouest Batiment")</f>
        <v xml:space="preserve">Sud Ouest Batiment</v>
      </c>
      <c r="G11155" s="18" t="s">
        <v>51231</v>
      </c>
      <c r="H11155" s="18">
        <v>9</v>
      </c>
      <c r="I11155" s="18" t="s">
        <v>9239</v>
      </c>
      <c r="J11155" s="5" t="s">
        <v>51232</v>
      </c>
      <c r="K11155" s="5" t="s">
        <v>51233</v>
      </c>
      <c r="L11155" s="18" t="s">
        <v>83</v>
      </c>
      <c r="M11155" s="18" t="s">
        <v>29</v>
      </c>
      <c r="N11155" s="18" t="s">
        <v>51234</v>
      </c>
      <c r="O11155" s="18" t="s">
        <v>29</v>
      </c>
      <c r="P11155" s="18" t="s">
        <v>51235</v>
      </c>
      <c r="Q11155" s="6"/>
      <c r="R11155" s="6"/>
      <c r="S11155" s="6"/>
      <c r="T11155" s="6"/>
      <c r="U11155" s="6"/>
    </row>
    <row r="11156" ht="14.25">
      <c r="B11156" s="18" t="s">
        <v>110</v>
      </c>
      <c r="C11156" s="18" t="s">
        <v>30782</v>
      </c>
      <c r="D11156" s="18" t="s">
        <v>112</v>
      </c>
      <c r="E11156" s="18" t="s">
        <v>51236</v>
      </c>
      <c r="F11156" s="18" t="str">
        <f>IFERROR(__XLUDF.DUMMYFUNCTION("PROPER(REGEXREPLACE(D1068,""[^A-Za-z]+ "",""""))"),"Geay Menuiserie")</f>
        <v xml:space="preserve">Geay Menuiserie</v>
      </c>
      <c r="G11156" s="18" t="s">
        <v>51237</v>
      </c>
      <c r="H11156" s="18">
        <v>17</v>
      </c>
      <c r="I11156" s="18" t="s">
        <v>9239</v>
      </c>
      <c r="J11156" s="5" t="s">
        <v>51238</v>
      </c>
      <c r="K11156" s="5" t="s">
        <v>51239</v>
      </c>
      <c r="L11156" s="18" t="s">
        <v>51240</v>
      </c>
      <c r="M11156" s="18" t="s">
        <v>29</v>
      </c>
      <c r="N11156" s="18" t="s">
        <v>51241</v>
      </c>
      <c r="O11156" s="18" t="s">
        <v>29</v>
      </c>
      <c r="P11156" s="18" t="s">
        <v>51242</v>
      </c>
      <c r="Q11156" s="6"/>
      <c r="R11156" s="6"/>
      <c r="S11156" s="6"/>
      <c r="T11156" s="6"/>
      <c r="U11156" s="6"/>
    </row>
    <row r="11157" ht="14.25">
      <c r="B11157" s="18" t="s">
        <v>1596</v>
      </c>
      <c r="C11157" s="18" t="s">
        <v>7682</v>
      </c>
      <c r="D11157" s="18" t="s">
        <v>19958</v>
      </c>
      <c r="E11157" s="18" t="s">
        <v>46641</v>
      </c>
      <c r="F11157" s="18" t="str">
        <f>IFERROR(__XLUDF.DUMMYFUNCTION("PROPER(REGEXREPLACE(D1069,""[^A-Za-z]+ "",""""))"),"Acces Btp")</f>
        <v xml:space="preserve">Acces Btp</v>
      </c>
      <c r="G11157" s="18" t="s">
        <v>51243</v>
      </c>
      <c r="H11157" s="18">
        <v>48</v>
      </c>
      <c r="I11157" s="18" t="s">
        <v>9239</v>
      </c>
      <c r="J11157" s="5" t="s">
        <v>51244</v>
      </c>
      <c r="K11157" s="5" t="s">
        <v>46644</v>
      </c>
      <c r="L11157" s="18" t="s">
        <v>51245</v>
      </c>
      <c r="M11157" s="18" t="s">
        <v>29</v>
      </c>
      <c r="N11157" s="18" t="s">
        <v>46645</v>
      </c>
      <c r="O11157" s="18" t="s">
        <v>29</v>
      </c>
      <c r="P11157" s="18" t="s">
        <v>46646</v>
      </c>
      <c r="Q11157" s="6"/>
      <c r="R11157" s="6"/>
      <c r="S11157" s="6"/>
      <c r="T11157" s="6"/>
      <c r="U11157" s="6"/>
    </row>
    <row r="11158" ht="14.25">
      <c r="B11158" s="18" t="s">
        <v>5716</v>
      </c>
      <c r="C11158" s="18" t="s">
        <v>51246</v>
      </c>
      <c r="D11158" s="18" t="s">
        <v>1130</v>
      </c>
      <c r="E11158" s="18" t="s">
        <v>51247</v>
      </c>
      <c r="F11158" s="18" t="str">
        <f>IFERROR(__XLUDF.DUMMYFUNCTION("PROPER(REGEXREPLACE(D1070,""[^A-Za-z]+ "",""""))"),"Depc")</f>
        <v>Depc</v>
      </c>
      <c r="G11158" s="18" t="s">
        <v>51248</v>
      </c>
      <c r="H11158" s="18">
        <v>16</v>
      </c>
      <c r="I11158" s="18" t="s">
        <v>9239</v>
      </c>
      <c r="J11158" s="5" t="s">
        <v>51249</v>
      </c>
      <c r="K11158" s="5" t="s">
        <v>51250</v>
      </c>
      <c r="L11158" s="18" t="s">
        <v>1312</v>
      </c>
      <c r="M11158" s="18" t="s">
        <v>29</v>
      </c>
      <c r="N11158" s="18" t="s">
        <v>51251</v>
      </c>
      <c r="O11158" s="18" t="s">
        <v>29</v>
      </c>
      <c r="P11158" s="6"/>
      <c r="Q11158" s="6"/>
      <c r="R11158" s="6"/>
      <c r="S11158" s="6"/>
      <c r="T11158" s="6"/>
      <c r="U11158" s="6"/>
    </row>
    <row r="11159" ht="14.25">
      <c r="B11159" s="18" t="s">
        <v>51252</v>
      </c>
      <c r="C11159" s="18" t="s">
        <v>51253</v>
      </c>
      <c r="D11159" s="18" t="s">
        <v>120</v>
      </c>
      <c r="E11159" s="18" t="s">
        <v>51254</v>
      </c>
      <c r="F11159" s="18" t="str">
        <f>IFERROR(__XLUDF.DUMMYFUNCTION("PROPER(REGEXREPLACE(D1071,""[^A-Za-z]+ "",""""))"),"Heracles Robotics")</f>
        <v xml:space="preserve">Heracles Robotics</v>
      </c>
      <c r="G11159" s="18" t="s">
        <v>51255</v>
      </c>
      <c r="H11159" s="18">
        <v>9</v>
      </c>
      <c r="I11159" s="18" t="s">
        <v>9239</v>
      </c>
      <c r="J11159" s="5" t="s">
        <v>51256</v>
      </c>
      <c r="K11159" s="5" t="s">
        <v>51257</v>
      </c>
      <c r="L11159" s="6"/>
      <c r="M11159" s="18" t="s">
        <v>29</v>
      </c>
      <c r="N11159" s="6"/>
      <c r="O11159" s="6"/>
      <c r="P11159" s="18" t="s">
        <v>51258</v>
      </c>
      <c r="Q11159" s="6"/>
      <c r="R11159" s="6"/>
      <c r="S11159" s="6"/>
      <c r="T11159" s="6"/>
      <c r="U11159" s="6"/>
    </row>
    <row r="11160" ht="14.25">
      <c r="B11160" s="18" t="s">
        <v>2508</v>
      </c>
      <c r="C11160" s="18" t="s">
        <v>51259</v>
      </c>
      <c r="D11160" s="18" t="s">
        <v>172</v>
      </c>
      <c r="E11160" s="18" t="s">
        <v>51260</v>
      </c>
      <c r="F11160" s="18" t="str">
        <f>IFERROR(__XLUDF.DUMMYFUNCTION("PROPER(REGEXREPLACE(D1072,""[^A-Za-z]+ "",""""))"),"Groupe Ifh")</f>
        <v xml:space="preserve">Groupe Ifh</v>
      </c>
      <c r="G11160" s="18" t="s">
        <v>51261</v>
      </c>
      <c r="H11160" s="18">
        <v>12</v>
      </c>
      <c r="I11160" s="18" t="s">
        <v>9239</v>
      </c>
      <c r="J11160" s="5" t="s">
        <v>51262</v>
      </c>
      <c r="K11160" s="5" t="s">
        <v>51263</v>
      </c>
      <c r="L11160" s="6"/>
      <c r="M11160" s="18" t="s">
        <v>29</v>
      </c>
      <c r="N11160" s="6"/>
      <c r="O11160" s="6"/>
      <c r="P11160" s="18" t="s">
        <v>51264</v>
      </c>
      <c r="Q11160" s="6"/>
      <c r="R11160" s="6"/>
      <c r="S11160" s="6"/>
      <c r="T11160" s="6"/>
      <c r="U11160" s="6"/>
    </row>
    <row r="11161" ht="14.25">
      <c r="B11161" s="18" t="s">
        <v>46551</v>
      </c>
      <c r="C11161" s="18" t="s">
        <v>50733</v>
      </c>
      <c r="D11161" s="18" t="s">
        <v>172</v>
      </c>
      <c r="E11161" s="18" t="s">
        <v>51265</v>
      </c>
      <c r="F11161" s="18" t="str">
        <f>IFERROR(__XLUDF.DUMMYFUNCTION("PROPER(REGEXREPLACE(D1073,""[^A-Za-z]+ "",""""))"),"Euro Terre")</f>
        <v xml:space="preserve">Euro Terre</v>
      </c>
      <c r="G11161" s="18" t="s">
        <v>51266</v>
      </c>
      <c r="H11161" s="18">
        <v>16</v>
      </c>
      <c r="I11161" s="18" t="s">
        <v>9239</v>
      </c>
      <c r="J11161" s="5" t="s">
        <v>51267</v>
      </c>
      <c r="K11161" s="5" t="s">
        <v>51268</v>
      </c>
      <c r="L11161" s="6"/>
      <c r="M11161" s="18" t="s">
        <v>29</v>
      </c>
      <c r="N11161" s="18" t="s">
        <v>51269</v>
      </c>
      <c r="O11161" s="18" t="s">
        <v>29</v>
      </c>
      <c r="P11161" s="18" t="s">
        <v>51270</v>
      </c>
      <c r="Q11161" s="6"/>
      <c r="R11161" s="6"/>
      <c r="S11161" s="6"/>
      <c r="T11161" s="6"/>
      <c r="U11161" s="6"/>
    </row>
    <row r="11162" ht="14.25">
      <c r="B11162" s="18" t="s">
        <v>5252</v>
      </c>
      <c r="C11162" s="18" t="s">
        <v>51271</v>
      </c>
      <c r="D11162" s="18" t="s">
        <v>688</v>
      </c>
      <c r="E11162" s="18" t="s">
        <v>51272</v>
      </c>
      <c r="F11162" s="18" t="str">
        <f>IFERROR(__XLUDF.DUMMYFUNCTION("PROPER(REGEXREPLACE(D1074,""[^A-Za-z]+ "",""""))"),"Nid Perché")</f>
        <v xml:space="preserve">Nid Perché</v>
      </c>
      <c r="G11162" s="18" t="s">
        <v>51273</v>
      </c>
      <c r="H11162" s="18">
        <v>14</v>
      </c>
      <c r="I11162" s="18" t="s">
        <v>9239</v>
      </c>
      <c r="J11162" s="5" t="s">
        <v>51274</v>
      </c>
      <c r="K11162" s="5" t="s">
        <v>51275</v>
      </c>
      <c r="L11162" s="18" t="s">
        <v>51276</v>
      </c>
      <c r="M11162" s="18" t="s">
        <v>29</v>
      </c>
      <c r="N11162" s="18" t="s">
        <v>51277</v>
      </c>
      <c r="O11162" s="18" t="s">
        <v>29</v>
      </c>
      <c r="P11162" s="18" t="s">
        <v>51278</v>
      </c>
      <c r="Q11162" s="6"/>
      <c r="R11162" s="6"/>
      <c r="S11162" s="6"/>
      <c r="T11162" s="6"/>
      <c r="U11162" s="6"/>
    </row>
    <row r="11163" ht="14.25">
      <c r="B11163" s="18" t="s">
        <v>279</v>
      </c>
      <c r="C11163" s="18" t="s">
        <v>23150</v>
      </c>
      <c r="D11163" s="18" t="s">
        <v>172</v>
      </c>
      <c r="E11163" s="18" t="s">
        <v>51279</v>
      </c>
      <c r="F11163" s="18" t="str">
        <f>IFERROR(__XLUDF.DUMMYFUNCTION("PROPER(REGEXREPLACE(D1075,""[^A-Za-z]+ "",""""))"),"Dma Armatures")</f>
        <v xml:space="preserve">Dma Armatures</v>
      </c>
      <c r="G11163" s="18" t="s">
        <v>51280</v>
      </c>
      <c r="H11163" s="18">
        <v>30</v>
      </c>
      <c r="I11163" s="18" t="s">
        <v>9239</v>
      </c>
      <c r="J11163" s="5" t="s">
        <v>51281</v>
      </c>
      <c r="K11163" s="5" t="s">
        <v>51282</v>
      </c>
      <c r="L11163" s="18" t="s">
        <v>39</v>
      </c>
      <c r="M11163" s="18" t="s">
        <v>29</v>
      </c>
      <c r="N11163" s="18" t="s">
        <v>51283</v>
      </c>
      <c r="O11163" s="18" t="s">
        <v>29</v>
      </c>
      <c r="P11163" s="6"/>
      <c r="Q11163" s="6"/>
      <c r="R11163" s="6"/>
      <c r="S11163" s="6"/>
      <c r="T11163" s="6"/>
      <c r="U11163" s="6"/>
    </row>
    <row r="11164" ht="14.25">
      <c r="B11164" s="18" t="s">
        <v>1215</v>
      </c>
      <c r="C11164" s="18" t="s">
        <v>51284</v>
      </c>
      <c r="D11164" s="18" t="s">
        <v>172</v>
      </c>
      <c r="E11164" s="18" t="s">
        <v>51285</v>
      </c>
      <c r="F11164" s="18" t="str">
        <f>IFERROR(__XLUDF.DUMMYFUNCTION("PROPER(REGEXREPLACE(D1076,""[^A-Za-z]+ "",""""))"),"Ql Clean Consortium")</f>
        <v xml:space="preserve">Ql Clean Consortium</v>
      </c>
      <c r="G11164" s="18" t="s">
        <v>51286</v>
      </c>
      <c r="H11164" s="18">
        <v>10</v>
      </c>
      <c r="I11164" s="18" t="s">
        <v>14257</v>
      </c>
      <c r="J11164" s="5" t="s">
        <v>51287</v>
      </c>
      <c r="K11164" s="5" t="s">
        <v>51288</v>
      </c>
      <c r="L11164" s="18" t="s">
        <v>243</v>
      </c>
      <c r="M11164" s="18" t="s">
        <v>29</v>
      </c>
      <c r="N11164" s="18" t="s">
        <v>1084</v>
      </c>
      <c r="O11164" s="18" t="s">
        <v>29</v>
      </c>
      <c r="P11164" s="18" t="s">
        <v>51289</v>
      </c>
      <c r="Q11164" s="6"/>
      <c r="R11164" s="6"/>
      <c r="S11164" s="6"/>
      <c r="T11164" s="6"/>
      <c r="U11164" s="6"/>
    </row>
    <row r="11165" ht="14.25">
      <c r="B11165" s="18" t="s">
        <v>1009</v>
      </c>
      <c r="C11165" s="18" t="s">
        <v>51290</v>
      </c>
      <c r="D11165" s="18" t="s">
        <v>164</v>
      </c>
      <c r="E11165" s="18" t="s">
        <v>51291</v>
      </c>
      <c r="F11165" s="18" t="str">
        <f>IFERROR(__XLUDF.DUMMYFUNCTION("PROPER(REGEXREPLACE(D1077,""[^A-Za-z]+ "",""""))"),"Losberger De Boer France")</f>
        <v xml:space="preserve">Losberger De Boer France</v>
      </c>
      <c r="G11165" s="18" t="s">
        <v>51292</v>
      </c>
      <c r="H11165" s="18">
        <v>38</v>
      </c>
      <c r="I11165" s="18" t="s">
        <v>9239</v>
      </c>
      <c r="J11165" s="5" t="s">
        <v>51293</v>
      </c>
      <c r="K11165" s="5" t="s">
        <v>51294</v>
      </c>
      <c r="L11165" s="18" t="s">
        <v>651</v>
      </c>
      <c r="M11165" s="18" t="s">
        <v>29</v>
      </c>
      <c r="N11165" s="18" t="s">
        <v>51295</v>
      </c>
      <c r="O11165" s="18" t="s">
        <v>29</v>
      </c>
      <c r="P11165" s="6"/>
      <c r="Q11165" s="6"/>
      <c r="R11165" s="6"/>
      <c r="S11165" s="6"/>
      <c r="T11165" s="6"/>
      <c r="U11165" s="6"/>
    </row>
    <row r="11166" ht="14.25">
      <c r="B11166" s="18" t="s">
        <v>76</v>
      </c>
      <c r="C11166" s="18" t="s">
        <v>31313</v>
      </c>
      <c r="D11166" s="18" t="s">
        <v>172</v>
      </c>
      <c r="E11166" s="18" t="s">
        <v>51296</v>
      </c>
      <c r="F11166" s="18" t="str">
        <f>IFERROR(__XLUDF.DUMMYFUNCTION("PROPER(REGEXREPLACE(D1078,""[^A-Za-z]+ "",""""))"),"Occifluid")</f>
        <v>Occifluid</v>
      </c>
      <c r="G11166" s="18" t="s">
        <v>51297</v>
      </c>
      <c r="H11166" s="18">
        <v>6</v>
      </c>
      <c r="I11166" s="18" t="s">
        <v>9239</v>
      </c>
      <c r="J11166" s="5" t="s">
        <v>51298</v>
      </c>
      <c r="K11166" s="5" t="s">
        <v>51299</v>
      </c>
      <c r="L11166" s="18" t="s">
        <v>11191</v>
      </c>
      <c r="M11166" s="18" t="s">
        <v>29</v>
      </c>
      <c r="N11166" s="18" t="s">
        <v>51300</v>
      </c>
      <c r="O11166" s="18" t="s">
        <v>29</v>
      </c>
      <c r="P11166" s="18" t="s">
        <v>51301</v>
      </c>
      <c r="Q11166" s="6"/>
      <c r="R11166" s="6"/>
      <c r="S11166" s="6"/>
      <c r="T11166" s="6"/>
      <c r="U11166" s="6"/>
    </row>
    <row r="11167" ht="14.25">
      <c r="B11167" s="18" t="s">
        <v>661</v>
      </c>
      <c r="C11167" s="18" t="s">
        <v>51302</v>
      </c>
      <c r="D11167" s="18" t="s">
        <v>172</v>
      </c>
      <c r="E11167" s="18" t="s">
        <v>51303</v>
      </c>
      <c r="F11167" s="18" t="str">
        <f>IFERROR(__XLUDF.DUMMYFUNCTION("PROPER(REGEXREPLACE(D1079,""[^A-Za-z]+ "",""""))"),"Ger Constructeur")</f>
        <v xml:space="preserve">Ger Constructeur</v>
      </c>
      <c r="G11167" s="18" t="s">
        <v>51304</v>
      </c>
      <c r="H11167" s="18">
        <v>12</v>
      </c>
      <c r="I11167" s="18" t="s">
        <v>9239</v>
      </c>
      <c r="J11167" s="5" t="s">
        <v>51305</v>
      </c>
      <c r="K11167" s="5" t="s">
        <v>51306</v>
      </c>
      <c r="L11167" s="18" t="s">
        <v>16386</v>
      </c>
      <c r="M11167" s="18" t="s">
        <v>29</v>
      </c>
      <c r="N11167" s="18" t="s">
        <v>51307</v>
      </c>
      <c r="O11167" s="18" t="s">
        <v>29</v>
      </c>
      <c r="P11167" s="6"/>
      <c r="Q11167" s="6"/>
      <c r="R11167" s="6"/>
      <c r="S11167" s="6"/>
      <c r="T11167" s="6"/>
      <c r="U11167" s="6"/>
    </row>
    <row r="11168" ht="14.25">
      <c r="B11168" s="18" t="s">
        <v>51308</v>
      </c>
      <c r="C11168" s="18" t="s">
        <v>51309</v>
      </c>
      <c r="D11168" s="18" t="s">
        <v>172</v>
      </c>
      <c r="E11168" s="18" t="s">
        <v>49057</v>
      </c>
      <c r="F11168" s="18" t="str">
        <f>IFERROR(__XLUDF.DUMMYFUNCTION("PROPER(REGEXREPLACE(D1080,""[^A-Za-z]+ "",""""))"),"Snrb")</f>
        <v>Snrb</v>
      </c>
      <c r="G11168" s="18" t="s">
        <v>51310</v>
      </c>
      <c r="H11168" s="18">
        <v>29</v>
      </c>
      <c r="I11168" s="18" t="s">
        <v>9239</v>
      </c>
      <c r="J11168" s="5" t="s">
        <v>51311</v>
      </c>
      <c r="K11168" s="5" t="s">
        <v>49060</v>
      </c>
      <c r="L11168" s="6"/>
      <c r="M11168" s="18" t="s">
        <v>29</v>
      </c>
      <c r="N11168" s="18" t="s">
        <v>49061</v>
      </c>
      <c r="O11168" s="18" t="s">
        <v>29</v>
      </c>
      <c r="P11168" s="18" t="s">
        <v>49062</v>
      </c>
      <c r="Q11168" s="6"/>
      <c r="R11168" s="6"/>
      <c r="S11168" s="6"/>
      <c r="T11168" s="6"/>
      <c r="U11168" s="6"/>
    </row>
    <row r="11169" ht="14.25">
      <c r="B11169" s="18" t="s">
        <v>1654</v>
      </c>
      <c r="C11169" s="18" t="s">
        <v>43315</v>
      </c>
      <c r="D11169" s="18" t="s">
        <v>172</v>
      </c>
      <c r="E11169" s="18" t="s">
        <v>49467</v>
      </c>
      <c r="F11169" s="18" t="str">
        <f>IFERROR(__XLUDF.DUMMYFUNCTION("PROPER(REGEXREPLACE(D1081,""[^A-Za-z]+ "",""""))"),"Euromib")</f>
        <v>Euromib</v>
      </c>
      <c r="G11169" s="18" t="s">
        <v>51312</v>
      </c>
      <c r="H11169" s="18">
        <v>13</v>
      </c>
      <c r="I11169" s="18" t="s">
        <v>9239</v>
      </c>
      <c r="J11169" s="5" t="s">
        <v>51313</v>
      </c>
      <c r="K11169" s="5" t="s">
        <v>49470</v>
      </c>
      <c r="L11169" s="6"/>
      <c r="M11169" s="18" t="s">
        <v>29</v>
      </c>
      <c r="N11169" s="18" t="s">
        <v>49471</v>
      </c>
      <c r="O11169" s="18" t="s">
        <v>29</v>
      </c>
      <c r="P11169" s="6"/>
      <c r="Q11169" s="6"/>
      <c r="R11169" s="6"/>
      <c r="S11169" s="6"/>
      <c r="T11169" s="6"/>
      <c r="U11169" s="6"/>
    </row>
    <row r="11170" ht="14.25">
      <c r="B11170" s="18" t="s">
        <v>1215</v>
      </c>
      <c r="C11170" s="18" t="s">
        <v>51314</v>
      </c>
      <c r="D11170" s="18" t="s">
        <v>172</v>
      </c>
      <c r="E11170" s="18" t="s">
        <v>51315</v>
      </c>
      <c r="F11170" s="18" t="str">
        <f>IFERROR(__XLUDF.DUMMYFUNCTION("PROPER(REGEXREPLACE(D1082,""[^A-Za-z]+ "",""""))"),"Amg Fechoz")</f>
        <v xml:space="preserve">Amg Fechoz</v>
      </c>
      <c r="G11170" s="18" t="s">
        <v>51316</v>
      </c>
      <c r="H11170" s="18">
        <v>53</v>
      </c>
      <c r="I11170" s="18" t="s">
        <v>14347</v>
      </c>
      <c r="J11170" s="5" t="s">
        <v>51317</v>
      </c>
      <c r="K11170" s="5" t="s">
        <v>51318</v>
      </c>
      <c r="L11170" s="6"/>
      <c r="M11170" s="18" t="s">
        <v>29</v>
      </c>
      <c r="N11170" s="18" t="s">
        <v>51319</v>
      </c>
      <c r="O11170" s="18" t="s">
        <v>29</v>
      </c>
      <c r="P11170" s="6"/>
      <c r="Q11170" s="6"/>
      <c r="R11170" s="6"/>
      <c r="S11170" s="6"/>
      <c r="T11170" s="6"/>
      <c r="U11170" s="6"/>
    </row>
    <row r="11171" ht="14.25">
      <c r="B11171" s="18" t="s">
        <v>330</v>
      </c>
      <c r="C11171" s="18" t="s">
        <v>51320</v>
      </c>
      <c r="D11171" s="18" t="s">
        <v>172</v>
      </c>
      <c r="E11171" s="18" t="s">
        <v>51321</v>
      </c>
      <c r="F11171" s="18" t="str">
        <f>IFERROR(__XLUDF.DUMMYFUNCTION("PROPER(REGEXREPLACE(D1083,""[^A-Za-z]+ "",""""))"),"Patie Michel")</f>
        <v xml:space="preserve">Patie Michel</v>
      </c>
      <c r="G11171" s="18" t="s">
        <v>51322</v>
      </c>
      <c r="H11171" s="18">
        <v>8</v>
      </c>
      <c r="I11171" s="18" t="s">
        <v>9239</v>
      </c>
      <c r="J11171" s="5" t="s">
        <v>51323</v>
      </c>
      <c r="K11171" s="5" t="s">
        <v>51324</v>
      </c>
      <c r="L11171" s="18" t="s">
        <v>49</v>
      </c>
      <c r="M11171" s="18" t="s">
        <v>29</v>
      </c>
      <c r="N11171" s="18" t="s">
        <v>21052</v>
      </c>
      <c r="O11171" s="18" t="s">
        <v>29</v>
      </c>
      <c r="P11171" s="18" t="s">
        <v>51325</v>
      </c>
      <c r="Q11171" s="6"/>
      <c r="R11171" s="6"/>
      <c r="S11171" s="6"/>
      <c r="T11171" s="6"/>
      <c r="U11171" s="6"/>
    </row>
    <row r="11172" ht="14.25">
      <c r="B11172" s="18" t="s">
        <v>525</v>
      </c>
      <c r="C11172" s="18" t="s">
        <v>51326</v>
      </c>
      <c r="D11172" s="18" t="s">
        <v>172</v>
      </c>
      <c r="E11172" s="18" t="s">
        <v>51327</v>
      </c>
      <c r="F11172" s="18" t="str">
        <f>IFERROR(__XLUDF.DUMMYFUNCTION("PROPER(REGEXREPLACE(D1084,""[^A-Za-z]+ "",""""))"),"Viricel Sas")</f>
        <v xml:space="preserve">Viricel Sas</v>
      </c>
      <c r="G11172" s="18" t="s">
        <v>51328</v>
      </c>
      <c r="H11172" s="18">
        <v>14</v>
      </c>
      <c r="I11172" s="18" t="s">
        <v>9239</v>
      </c>
      <c r="J11172" s="5" t="s">
        <v>51329</v>
      </c>
      <c r="K11172" s="5" t="s">
        <v>51330</v>
      </c>
      <c r="L11172" s="18" t="s">
        <v>185</v>
      </c>
      <c r="M11172" s="18" t="s">
        <v>29</v>
      </c>
      <c r="N11172" s="18" t="s">
        <v>51331</v>
      </c>
      <c r="O11172" s="18" t="s">
        <v>29</v>
      </c>
      <c r="P11172" s="18" t="s">
        <v>51332</v>
      </c>
      <c r="Q11172" s="6"/>
      <c r="R11172" s="6"/>
      <c r="S11172" s="6"/>
      <c r="T11172" s="6"/>
      <c r="U11172" s="6"/>
    </row>
    <row r="11173" ht="14.25">
      <c r="B11173" s="18" t="s">
        <v>2589</v>
      </c>
      <c r="C11173" s="18" t="s">
        <v>51333</v>
      </c>
      <c r="D11173" s="18" t="s">
        <v>87</v>
      </c>
      <c r="E11173" s="18" t="s">
        <v>51334</v>
      </c>
      <c r="F11173" s="18" t="str">
        <f>IFERROR(__XLUDF.DUMMYFUNCTION("PROPER(REGEXREPLACE(D1085,""[^A-Za-z]+ "",""""))"),"Grupo Tesela")</f>
        <v xml:space="preserve">Grupo Tesela</v>
      </c>
      <c r="G11173" s="18" t="s">
        <v>51335</v>
      </c>
      <c r="H11173" s="18">
        <v>26</v>
      </c>
      <c r="I11173" s="18" t="s">
        <v>9239</v>
      </c>
      <c r="J11173" s="5" t="s">
        <v>51336</v>
      </c>
      <c r="K11173" s="5" t="s">
        <v>51337</v>
      </c>
      <c r="L11173" s="18" t="s">
        <v>1150</v>
      </c>
      <c r="M11173" s="18" t="s">
        <v>29</v>
      </c>
      <c r="N11173" s="18" t="s">
        <v>51338</v>
      </c>
      <c r="O11173" s="18" t="s">
        <v>1152</v>
      </c>
      <c r="P11173" s="6"/>
      <c r="Q11173" s="6"/>
      <c r="R11173" s="6"/>
      <c r="S11173" s="6"/>
      <c r="T11173" s="6"/>
      <c r="U11173" s="6"/>
    </row>
    <row r="11174" ht="14.25">
      <c r="B11174" s="18" t="s">
        <v>245</v>
      </c>
      <c r="C11174" s="18" t="s">
        <v>51339</v>
      </c>
      <c r="D11174" s="18" t="s">
        <v>172</v>
      </c>
      <c r="E11174" s="18" t="s">
        <v>10503</v>
      </c>
      <c r="F11174" s="18" t="str">
        <f>IFERROR(__XLUDF.DUMMYFUNCTION("PROPER(REGEXREPLACE(D1086,""[^A-Za-z]+ "",""""))"),"La Set")</f>
        <v xml:space="preserve">La Set</v>
      </c>
      <c r="G11174" s="18" t="s">
        <v>51340</v>
      </c>
      <c r="H11174" s="18">
        <v>40</v>
      </c>
      <c r="I11174" s="18" t="s">
        <v>9239</v>
      </c>
      <c r="J11174" s="5" t="s">
        <v>51341</v>
      </c>
      <c r="K11174" s="5" t="s">
        <v>51342</v>
      </c>
      <c r="L11174" s="18" t="s">
        <v>3898</v>
      </c>
      <c r="M11174" s="18" t="s">
        <v>29</v>
      </c>
      <c r="N11174" s="18" t="s">
        <v>51343</v>
      </c>
      <c r="O11174" s="18" t="s">
        <v>29</v>
      </c>
      <c r="P11174" s="6"/>
      <c r="Q11174" s="6"/>
      <c r="R11174" s="6"/>
      <c r="S11174" s="6"/>
      <c r="T11174" s="6"/>
      <c r="U11174" s="6"/>
    </row>
    <row r="11175" ht="14.25">
      <c r="B11175" s="18" t="s">
        <v>26461</v>
      </c>
      <c r="C11175" s="18" t="s">
        <v>51344</v>
      </c>
      <c r="D11175" s="18" t="s">
        <v>62</v>
      </c>
      <c r="E11175" s="18" t="s">
        <v>51345</v>
      </c>
      <c r="F11175" s="18" t="str">
        <f>IFERROR(__XLUDF.DUMMYFUNCTION("PROPER(REGEXREPLACE(D1087,""[^A-Za-z]+ "",""""))"),"Baw")</f>
        <v>Baw</v>
      </c>
      <c r="G11175" s="18" t="s">
        <v>51346</v>
      </c>
      <c r="H11175" s="18">
        <v>21</v>
      </c>
      <c r="I11175" s="18" t="s">
        <v>9239</v>
      </c>
      <c r="J11175" s="5" t="s">
        <v>51347</v>
      </c>
      <c r="K11175" s="5" t="s">
        <v>51348</v>
      </c>
      <c r="L11175" s="18" t="s">
        <v>39</v>
      </c>
      <c r="M11175" s="18" t="s">
        <v>29</v>
      </c>
      <c r="N11175" s="18" t="s">
        <v>51349</v>
      </c>
      <c r="O11175" s="18" t="s">
        <v>2953</v>
      </c>
      <c r="P11175" s="18" t="s">
        <v>51350</v>
      </c>
      <c r="Q11175" s="6"/>
      <c r="R11175" s="6"/>
      <c r="S11175" s="6"/>
      <c r="T11175" s="6"/>
      <c r="U11175" s="6"/>
    </row>
    <row r="11176" ht="14.25">
      <c r="B11176" s="18" t="s">
        <v>1948</v>
      </c>
      <c r="C11176" s="18" t="s">
        <v>49946</v>
      </c>
      <c r="D11176" s="18" t="s">
        <v>51351</v>
      </c>
      <c r="E11176" s="18" t="s">
        <v>45104</v>
      </c>
      <c r="F11176" s="18" t="str">
        <f>IFERROR(__XLUDF.DUMMYFUNCTION("PROPER(REGEXREPLACE(D1088,""[^A-Za-z]+ "",""""))"),"Bureau Gda")</f>
        <v xml:space="preserve">Bureau Gda</v>
      </c>
      <c r="G11176" s="18" t="s">
        <v>51352</v>
      </c>
      <c r="H11176" s="18">
        <v>8</v>
      </c>
      <c r="I11176" s="18" t="s">
        <v>9239</v>
      </c>
      <c r="J11176" s="5" t="s">
        <v>51353</v>
      </c>
      <c r="K11176" s="5" t="s">
        <v>45107</v>
      </c>
      <c r="L11176" s="6"/>
      <c r="M11176" s="18" t="s">
        <v>29</v>
      </c>
      <c r="N11176" s="18" t="s">
        <v>483</v>
      </c>
      <c r="O11176" s="18" t="s">
        <v>29</v>
      </c>
      <c r="P11176" s="18" t="s">
        <v>45108</v>
      </c>
      <c r="Q11176" s="6"/>
      <c r="R11176" s="6"/>
      <c r="S11176" s="6"/>
      <c r="T11176" s="6"/>
      <c r="U11176" s="6"/>
    </row>
    <row r="11177" ht="14.25">
      <c r="B11177" s="18" t="s">
        <v>1562</v>
      </c>
      <c r="C11177" s="18" t="s">
        <v>2105</v>
      </c>
      <c r="D11177" s="18" t="s">
        <v>51354</v>
      </c>
      <c r="E11177" s="18" t="s">
        <v>51355</v>
      </c>
      <c r="F11177" s="18" t="str">
        <f>IFERROR(__XLUDF.DUMMYFUNCTION("PROPER(REGEXREPLACE(D1089,""[^A-Za-z]+ "",""""))"),"Bluerium Sas")</f>
        <v xml:space="preserve">Bluerium Sas</v>
      </c>
      <c r="G11177" s="18" t="s">
        <v>51356</v>
      </c>
      <c r="H11177" s="18">
        <v>2</v>
      </c>
      <c r="I11177" s="18" t="s">
        <v>9239</v>
      </c>
      <c r="J11177" s="5" t="s">
        <v>51357</v>
      </c>
      <c r="K11177" s="5" t="s">
        <v>51358</v>
      </c>
      <c r="L11177" s="6"/>
      <c r="M11177" s="18" t="s">
        <v>29</v>
      </c>
      <c r="N11177" s="18" t="s">
        <v>51359</v>
      </c>
      <c r="O11177" s="18" t="s">
        <v>29</v>
      </c>
      <c r="P11177" s="6"/>
      <c r="Q11177" s="6"/>
      <c r="R11177" s="6"/>
      <c r="S11177" s="6"/>
      <c r="T11177" s="6"/>
      <c r="U11177" s="6"/>
    </row>
    <row r="11178" ht="14.25">
      <c r="B11178" s="18" t="s">
        <v>2299</v>
      </c>
      <c r="C11178" s="18" t="s">
        <v>19978</v>
      </c>
      <c r="D11178" s="18" t="s">
        <v>172</v>
      </c>
      <c r="E11178" s="18" t="s">
        <v>51360</v>
      </c>
      <c r="F11178" s="18" t="str">
        <f>IFERROR(__XLUDF.DUMMYFUNCTION("PROPER(REGEXREPLACE(D1090,""[^A-Za-z]+ "",""""))"),"42C Sécuritincendie")</f>
        <v xml:space="preserve">42C Sécuritincendie</v>
      </c>
      <c r="G11178" s="18" t="s">
        <v>51361</v>
      </c>
      <c r="H11178" s="18">
        <v>2</v>
      </c>
      <c r="I11178" s="18" t="s">
        <v>9239</v>
      </c>
      <c r="J11178" s="5" t="s">
        <v>51362</v>
      </c>
      <c r="K11178" s="5" t="s">
        <v>51363</v>
      </c>
      <c r="L11178" s="6"/>
      <c r="M11178" s="18" t="s">
        <v>29</v>
      </c>
      <c r="N11178" s="18" t="s">
        <v>51364</v>
      </c>
      <c r="O11178" s="18" t="s">
        <v>29</v>
      </c>
      <c r="P11178" s="6"/>
      <c r="Q11178" s="6"/>
      <c r="R11178" s="6"/>
      <c r="S11178" s="6"/>
      <c r="T11178" s="6"/>
      <c r="U11178" s="6"/>
    </row>
    <row r="11179" ht="14.25">
      <c r="B11179" s="18" t="s">
        <v>1215</v>
      </c>
      <c r="C11179" s="18" t="s">
        <v>51365</v>
      </c>
      <c r="D11179" s="18" t="s">
        <v>51366</v>
      </c>
      <c r="E11179" s="18" t="s">
        <v>51367</v>
      </c>
      <c r="F11179" s="18" t="str">
        <f>IFERROR(__XLUDF.DUMMYFUNCTION("PROPER(REGEXREPLACE(D1091,""[^A-Za-z]+ "",""""))"),"Énid")</f>
        <v>Énid</v>
      </c>
      <c r="G11179" s="18" t="s">
        <v>51368</v>
      </c>
      <c r="H11179" s="18">
        <v>3</v>
      </c>
      <c r="I11179" s="18" t="s">
        <v>9239</v>
      </c>
      <c r="J11179" s="5" t="s">
        <v>51369</v>
      </c>
      <c r="K11179" s="5" t="s">
        <v>51370</v>
      </c>
      <c r="L11179" s="18" t="s">
        <v>185</v>
      </c>
      <c r="M11179" s="18" t="s">
        <v>29</v>
      </c>
      <c r="N11179" s="18" t="s">
        <v>51371</v>
      </c>
      <c r="O11179" s="18" t="s">
        <v>29</v>
      </c>
      <c r="P11179" s="18" t="s">
        <v>51372</v>
      </c>
      <c r="Q11179" s="6"/>
      <c r="R11179" s="6"/>
      <c r="S11179" s="6"/>
      <c r="T11179" s="6"/>
      <c r="U11179" s="6"/>
    </row>
    <row r="11180" ht="14.25">
      <c r="B11180" s="18" t="s">
        <v>2299</v>
      </c>
      <c r="C11180" s="18" t="s">
        <v>51373</v>
      </c>
      <c r="D11180" s="18" t="s">
        <v>51374</v>
      </c>
      <c r="E11180" s="18" t="s">
        <v>51375</v>
      </c>
      <c r="F11180" s="18" t="str">
        <f>IFERROR(__XLUDF.DUMMYFUNCTION("PROPER(REGEXREPLACE(D1092,""[^A-Za-z]+ "",""""))"),"Services Voltige Travaux Difficiles D'Accès")</f>
        <v xml:space="preserve">Services Voltige Travaux Difficiles D'Accès</v>
      </c>
      <c r="G11180" s="18" t="s">
        <v>51376</v>
      </c>
      <c r="H11180" s="18">
        <v>72</v>
      </c>
      <c r="I11180" s="18" t="s">
        <v>9239</v>
      </c>
      <c r="J11180" s="5" t="s">
        <v>51377</v>
      </c>
      <c r="K11180" s="5" t="s">
        <v>51378</v>
      </c>
      <c r="L11180" s="18" t="s">
        <v>19664</v>
      </c>
      <c r="M11180" s="18" t="s">
        <v>29</v>
      </c>
      <c r="N11180" s="18" t="s">
        <v>51379</v>
      </c>
      <c r="O11180" s="18" t="s">
        <v>29</v>
      </c>
      <c r="P11180" s="18" t="s">
        <v>51380</v>
      </c>
      <c r="Q11180" s="6"/>
      <c r="R11180" s="6"/>
      <c r="S11180" s="6"/>
      <c r="T11180" s="6"/>
      <c r="U11180" s="6"/>
    </row>
    <row r="11181" ht="14.25">
      <c r="B11181" s="18" t="s">
        <v>2516</v>
      </c>
      <c r="C11181" s="18" t="s">
        <v>51381</v>
      </c>
      <c r="D11181" s="18" t="s">
        <v>172</v>
      </c>
      <c r="E11181" s="18" t="s">
        <v>51382</v>
      </c>
      <c r="F11181" s="18" t="str">
        <f>IFERROR(__XLUDF.DUMMYFUNCTION("PROPER(REGEXREPLACE(D1093,""[^A-Za-z]+ "",""""))"),"Cloisons Partena®")</f>
        <v xml:space="preserve">Cloisons Partena®</v>
      </c>
      <c r="G11181" s="18" t="s">
        <v>51383</v>
      </c>
      <c r="H11181" s="18">
        <v>26</v>
      </c>
      <c r="I11181" s="18" t="s">
        <v>9239</v>
      </c>
      <c r="J11181" s="5" t="s">
        <v>51384</v>
      </c>
      <c r="K11181" s="5" t="s">
        <v>51385</v>
      </c>
      <c r="L11181" s="6"/>
      <c r="M11181" s="18" t="s">
        <v>29</v>
      </c>
      <c r="N11181" s="18" t="s">
        <v>51386</v>
      </c>
      <c r="O11181" s="18" t="s">
        <v>29</v>
      </c>
      <c r="P11181" s="18" t="s">
        <v>51387</v>
      </c>
      <c r="Q11181" s="6"/>
      <c r="R11181" s="6"/>
      <c r="S11181" s="6"/>
      <c r="T11181" s="6"/>
      <c r="U11181" s="6"/>
    </row>
    <row r="11182" ht="14.25">
      <c r="B11182" s="18" t="s">
        <v>2380</v>
      </c>
      <c r="C11182" s="18" t="s">
        <v>8041</v>
      </c>
      <c r="D11182" s="18" t="s">
        <v>87</v>
      </c>
      <c r="E11182" s="18" t="s">
        <v>51388</v>
      </c>
      <c r="F11182" s="18" t="str">
        <f>IFERROR(__XLUDF.DUMMYFUNCTION("PROPER(REGEXREPLACE(D1094,""[^A-Za-z]+ "",""""))"),"Royal Group")</f>
        <v xml:space="preserve">Royal Group</v>
      </c>
      <c r="G11182" s="18" t="s">
        <v>51389</v>
      </c>
      <c r="H11182" s="18">
        <v>160</v>
      </c>
      <c r="I11182" s="18" t="s">
        <v>10639</v>
      </c>
      <c r="J11182" s="5" t="s">
        <v>51390</v>
      </c>
      <c r="K11182" s="5" t="s">
        <v>51391</v>
      </c>
      <c r="L11182" s="6"/>
      <c r="M11182" s="18" t="s">
        <v>29</v>
      </c>
      <c r="N11182" s="18" t="s">
        <v>40940</v>
      </c>
      <c r="O11182" s="18" t="s">
        <v>30882</v>
      </c>
      <c r="P11182" s="6"/>
      <c r="Q11182" s="6"/>
      <c r="R11182" s="6"/>
      <c r="S11182" s="6"/>
      <c r="T11182" s="6"/>
      <c r="U11182" s="6"/>
    </row>
    <row r="11183" ht="14.25">
      <c r="B11183" s="18" t="s">
        <v>18814</v>
      </c>
      <c r="C11183" s="18" t="s">
        <v>51392</v>
      </c>
      <c r="D11183" s="18" t="s">
        <v>51393</v>
      </c>
      <c r="E11183" s="18" t="s">
        <v>51394</v>
      </c>
      <c r="F11183" s="18" t="str">
        <f>IFERROR(__XLUDF.DUMMYFUNCTION("PROPER(REGEXREPLACE(D1095,""[^A-Za-z]+ "",""""))"),"Elyor Group")</f>
        <v xml:space="preserve">Elyor Group</v>
      </c>
      <c r="G11183" s="18" t="s">
        <v>51395</v>
      </c>
      <c r="H11183" s="18">
        <v>50</v>
      </c>
      <c r="I11183" s="18" t="s">
        <v>9239</v>
      </c>
      <c r="J11183" s="5" t="s">
        <v>51396</v>
      </c>
      <c r="K11183" s="5" t="s">
        <v>51397</v>
      </c>
      <c r="L11183" s="6"/>
      <c r="M11183" s="18" t="s">
        <v>29</v>
      </c>
      <c r="N11183" s="18" t="s">
        <v>2279</v>
      </c>
      <c r="O11183" s="18" t="s">
        <v>29</v>
      </c>
      <c r="P11183" s="18" t="s">
        <v>51398</v>
      </c>
      <c r="Q11183" s="6"/>
      <c r="R11183" s="6"/>
      <c r="S11183" s="6"/>
      <c r="T11183" s="6"/>
      <c r="U11183" s="6"/>
    </row>
    <row r="11184" ht="14.25">
      <c r="B11184" s="18" t="s">
        <v>5907</v>
      </c>
      <c r="C11184" s="18" t="s">
        <v>51399</v>
      </c>
      <c r="D11184" s="18" t="s">
        <v>51400</v>
      </c>
      <c r="E11184" s="18" t="s">
        <v>51401</v>
      </c>
      <c r="F11184" s="18" t="str">
        <f>IFERROR(__XLUDF.DUMMYFUNCTION("PROPER(REGEXREPLACE(D1096,""[^A-Za-z]+ "",""""))"),"Essonne Amenagement Et Spl Des Territoires De L'Essonne")</f>
        <v xml:space="preserve">Essonne Amenagement Et Spl Des Territoires De L'Essonne</v>
      </c>
      <c r="G11184" s="18" t="s">
        <v>51402</v>
      </c>
      <c r="H11184" s="18">
        <v>17</v>
      </c>
      <c r="I11184" s="18" t="s">
        <v>9239</v>
      </c>
      <c r="J11184" s="5" t="s">
        <v>51403</v>
      </c>
      <c r="K11184" s="5" t="s">
        <v>51404</v>
      </c>
      <c r="L11184" s="18" t="s">
        <v>39</v>
      </c>
      <c r="M11184" s="18" t="s">
        <v>29</v>
      </c>
      <c r="N11184" s="18" t="s">
        <v>51405</v>
      </c>
      <c r="O11184" s="18" t="s">
        <v>29</v>
      </c>
      <c r="P11184" s="18" t="s">
        <v>51406</v>
      </c>
      <c r="Q11184" s="6"/>
      <c r="R11184" s="6"/>
      <c r="S11184" s="6"/>
      <c r="T11184" s="6"/>
      <c r="U11184" s="6"/>
    </row>
    <row r="11185" ht="14.25">
      <c r="B11185" s="18" t="s">
        <v>7908</v>
      </c>
      <c r="C11185" s="18" t="s">
        <v>51407</v>
      </c>
      <c r="D11185" s="18" t="s">
        <v>51408</v>
      </c>
      <c r="E11185" s="18" t="s">
        <v>51409</v>
      </c>
      <c r="F11185" s="18" t="str">
        <f>IFERROR(__XLUDF.DUMMYFUNCTION("PROPER(REGEXREPLACE(D1097,""[^A-Za-z]+ "",""""))"),"Deveugle")</f>
        <v>Deveugle</v>
      </c>
      <c r="G11185" s="18" t="s">
        <v>51410</v>
      </c>
      <c r="H11185" s="18">
        <v>30</v>
      </c>
      <c r="I11185" s="18" t="s">
        <v>9239</v>
      </c>
      <c r="J11185" s="5" t="s">
        <v>51411</v>
      </c>
      <c r="K11185" s="5" t="s">
        <v>51412</v>
      </c>
      <c r="L11185" s="18" t="s">
        <v>14138</v>
      </c>
      <c r="M11185" s="18" t="s">
        <v>29</v>
      </c>
      <c r="N11185" s="18" t="s">
        <v>51413</v>
      </c>
      <c r="O11185" s="18" t="s">
        <v>29</v>
      </c>
      <c r="P11185" s="18" t="s">
        <v>51414</v>
      </c>
      <c r="Q11185" s="6"/>
      <c r="R11185" s="6"/>
      <c r="S11185" s="6"/>
      <c r="T11185" s="6"/>
      <c r="U11185" s="6"/>
    </row>
    <row r="11186" ht="14.25">
      <c r="B11186" s="18" t="s">
        <v>9210</v>
      </c>
      <c r="C11186" s="18" t="s">
        <v>51415</v>
      </c>
      <c r="D11186" s="18" t="s">
        <v>1130</v>
      </c>
      <c r="E11186" s="18" t="s">
        <v>51416</v>
      </c>
      <c r="F11186" s="18" t="str">
        <f>IFERROR(__XLUDF.DUMMYFUNCTION("PROPER(REGEXREPLACE(D1098,""[^A-Za-z]+ "",""""))"),"Cso")</f>
        <v>Cso</v>
      </c>
      <c r="G11186" s="18" t="s">
        <v>51417</v>
      </c>
      <c r="H11186" s="18">
        <v>29</v>
      </c>
      <c r="I11186" s="18" t="s">
        <v>9239</v>
      </c>
      <c r="J11186" s="5" t="s">
        <v>51418</v>
      </c>
      <c r="K11186" s="5" t="s">
        <v>51419</v>
      </c>
      <c r="L11186" s="18" t="s">
        <v>439</v>
      </c>
      <c r="M11186" s="18" t="s">
        <v>29</v>
      </c>
      <c r="N11186" s="18" t="s">
        <v>51420</v>
      </c>
      <c r="O11186" s="18" t="s">
        <v>29</v>
      </c>
      <c r="P11186" s="18" t="s">
        <v>51421</v>
      </c>
      <c r="Q11186" s="6"/>
      <c r="R11186" s="6"/>
      <c r="S11186" s="6"/>
      <c r="T11186" s="6"/>
      <c r="U11186" s="6"/>
    </row>
    <row r="11187" ht="14.25">
      <c r="B11187" s="18" t="s">
        <v>2299</v>
      </c>
      <c r="C11187" s="18" t="s">
        <v>51422</v>
      </c>
      <c r="D11187" s="18" t="s">
        <v>120</v>
      </c>
      <c r="E11187" s="18" t="s">
        <v>51423</v>
      </c>
      <c r="F11187" s="18" t="str">
        <f>IFERROR(__XLUDF.DUMMYFUNCTION("PROPER(REGEXREPLACE(D1099,""[^A-Za-z]+ "",""""))"),"Ecovair")</f>
        <v>Ecovair</v>
      </c>
      <c r="G11187" s="18" t="s">
        <v>51424</v>
      </c>
      <c r="H11187" s="18">
        <v>17</v>
      </c>
      <c r="I11187" s="18" t="s">
        <v>14347</v>
      </c>
      <c r="J11187" s="5" t="s">
        <v>51425</v>
      </c>
      <c r="K11187" s="5" t="s">
        <v>51426</v>
      </c>
      <c r="L11187" s="18" t="s">
        <v>39</v>
      </c>
      <c r="M11187" s="18" t="s">
        <v>29</v>
      </c>
      <c r="N11187" s="18" t="s">
        <v>51427</v>
      </c>
      <c r="O11187" s="18" t="s">
        <v>51428</v>
      </c>
      <c r="P11187" s="6"/>
      <c r="Q11187" s="6"/>
      <c r="R11187" s="6"/>
      <c r="S11187" s="6"/>
      <c r="T11187" s="6"/>
      <c r="U11187" s="6"/>
    </row>
    <row r="11188" ht="14.25">
      <c r="B11188" s="18" t="s">
        <v>23478</v>
      </c>
      <c r="C11188" s="18" t="s">
        <v>3165</v>
      </c>
      <c r="D11188" s="18" t="s">
        <v>172</v>
      </c>
      <c r="E11188" s="18" t="s">
        <v>51429</v>
      </c>
      <c r="F11188" s="18" t="str">
        <f>IFERROR(__XLUDF.DUMMYFUNCTION("PROPER(REGEXREPLACE(D1100,""[^A-Za-z]+ "",""""))"),"Maison Bleue Prefa")</f>
        <v xml:space="preserve">Maison Bleue Prefa</v>
      </c>
      <c r="G11188" s="18" t="s">
        <v>51430</v>
      </c>
      <c r="H11188" s="18">
        <v>27</v>
      </c>
      <c r="I11188" s="18" t="s">
        <v>9239</v>
      </c>
      <c r="J11188" s="5" t="s">
        <v>51431</v>
      </c>
      <c r="K11188" s="5" t="s">
        <v>51432</v>
      </c>
      <c r="L11188" s="18" t="s">
        <v>1711</v>
      </c>
      <c r="M11188" s="18" t="s">
        <v>29</v>
      </c>
      <c r="N11188" s="18" t="s">
        <v>51433</v>
      </c>
      <c r="O11188" s="18" t="s">
        <v>29</v>
      </c>
      <c r="P11188" s="18" t="s">
        <v>51434</v>
      </c>
      <c r="Q11188" s="6"/>
      <c r="R11188" s="6"/>
      <c r="S11188" s="6"/>
      <c r="T11188" s="6"/>
      <c r="U11188" s="6"/>
    </row>
    <row r="11189" ht="14.25">
      <c r="B11189" s="18" t="s">
        <v>630</v>
      </c>
      <c r="C11189" s="18" t="s">
        <v>11439</v>
      </c>
      <c r="D11189" s="18" t="s">
        <v>112</v>
      </c>
      <c r="E11189" s="18" t="s">
        <v>51435</v>
      </c>
      <c r="F11189" s="18" t="str">
        <f>IFERROR(__XLUDF.DUMMYFUNCTION("PROPER(REGEXREPLACE(D1101,""[^A-Za-z]+ "",""""))"),"Nortec Ingénierie")</f>
        <v xml:space="preserve">Nortec Ingénierie</v>
      </c>
      <c r="G11189" s="18" t="s">
        <v>51436</v>
      </c>
      <c r="H11189" s="18">
        <v>60</v>
      </c>
      <c r="I11189" s="18" t="s">
        <v>9239</v>
      </c>
      <c r="J11189" s="5" t="s">
        <v>51437</v>
      </c>
      <c r="K11189" s="5" t="s">
        <v>51438</v>
      </c>
      <c r="L11189" s="18" t="s">
        <v>10537</v>
      </c>
      <c r="M11189" s="18" t="s">
        <v>29</v>
      </c>
      <c r="N11189" s="18" t="s">
        <v>30065</v>
      </c>
      <c r="O11189" s="18" t="s">
        <v>29</v>
      </c>
      <c r="P11189" s="6"/>
      <c r="Q11189" s="6"/>
      <c r="R11189" s="6"/>
      <c r="S11189" s="6"/>
      <c r="T11189" s="6"/>
      <c r="U11189" s="6"/>
    </row>
    <row r="11190" ht="14.25">
      <c r="B11190" s="18" t="s">
        <v>76</v>
      </c>
      <c r="C11190" s="18" t="s">
        <v>51439</v>
      </c>
      <c r="D11190" s="18" t="s">
        <v>112</v>
      </c>
      <c r="E11190" s="18" t="s">
        <v>51440</v>
      </c>
      <c r="F11190" s="18" t="str">
        <f>IFERROR(__XLUDF.DUMMYFUNCTION("PROPER(REGEXREPLACE(D1102,""[^A-Za-z]+ "",""""))"),"Groupe Noblet")</f>
        <v xml:space="preserve">Groupe Noblet</v>
      </c>
      <c r="G11190" s="18" t="s">
        <v>51441</v>
      </c>
      <c r="H11190" s="18">
        <v>47</v>
      </c>
      <c r="I11190" s="18" t="s">
        <v>9239</v>
      </c>
      <c r="J11190" s="5" t="s">
        <v>51442</v>
      </c>
      <c r="K11190" s="5" t="s">
        <v>51443</v>
      </c>
      <c r="L11190" s="18" t="s">
        <v>39</v>
      </c>
      <c r="M11190" s="18" t="s">
        <v>29</v>
      </c>
      <c r="N11190" s="18" t="s">
        <v>51444</v>
      </c>
      <c r="O11190" s="18" t="s">
        <v>29</v>
      </c>
      <c r="P11190" s="18" t="s">
        <v>51445</v>
      </c>
      <c r="Q11190" s="6"/>
      <c r="R11190" s="6"/>
      <c r="S11190" s="6"/>
      <c r="T11190" s="6"/>
      <c r="U11190" s="6"/>
    </row>
    <row r="11191" ht="14.25">
      <c r="B11191" s="18" t="s">
        <v>330</v>
      </c>
      <c r="C11191" s="18" t="s">
        <v>51446</v>
      </c>
      <c r="D11191" s="18" t="s">
        <v>112</v>
      </c>
      <c r="E11191" s="18" t="s">
        <v>51447</v>
      </c>
      <c r="F11191" s="18" t="str">
        <f>IFERROR(__XLUDF.DUMMYFUNCTION("PROPER(REGEXREPLACE(D1103,""[^A-Za-z]+ "",""""))"),"Bbe")</f>
        <v>Bbe</v>
      </c>
      <c r="G11191" s="18" t="s">
        <v>51448</v>
      </c>
      <c r="H11191" s="18">
        <v>13</v>
      </c>
      <c r="I11191" s="18" t="s">
        <v>9239</v>
      </c>
      <c r="J11191" s="5" t="s">
        <v>51449</v>
      </c>
      <c r="K11191" s="5" t="s">
        <v>51450</v>
      </c>
      <c r="L11191" s="18" t="s">
        <v>185</v>
      </c>
      <c r="M11191" s="18" t="s">
        <v>29</v>
      </c>
      <c r="N11191" s="18" t="s">
        <v>51451</v>
      </c>
      <c r="O11191" s="18" t="s">
        <v>29</v>
      </c>
      <c r="P11191" s="6"/>
      <c r="Q11191" s="6"/>
      <c r="R11191" s="6"/>
      <c r="S11191" s="6"/>
      <c r="T11191" s="6"/>
      <c r="U11191" s="6"/>
    </row>
    <row r="11192" ht="14.25">
      <c r="B11192" s="18" t="s">
        <v>808</v>
      </c>
      <c r="C11192" s="18" t="s">
        <v>51452</v>
      </c>
      <c r="D11192" s="18" t="s">
        <v>10745</v>
      </c>
      <c r="E11192" s="18" t="s">
        <v>14128</v>
      </c>
      <c r="F11192" s="18" t="str">
        <f>IFERROR(__XLUDF.DUMMYFUNCTION("PROPER(REGEXREPLACE(D1104,""[^A-Za-z]+ "",""""))"),"Sngi")</f>
        <v>Sngi</v>
      </c>
      <c r="G11192" s="18" t="s">
        <v>51453</v>
      </c>
      <c r="H11192" s="18">
        <v>14</v>
      </c>
      <c r="I11192" s="18" t="s">
        <v>9239</v>
      </c>
      <c r="J11192" s="5" t="s">
        <v>51454</v>
      </c>
      <c r="K11192" s="5" t="s">
        <v>51455</v>
      </c>
      <c r="L11192" s="18" t="s">
        <v>185</v>
      </c>
      <c r="M11192" s="18" t="s">
        <v>29</v>
      </c>
      <c r="N11192" s="18" t="s">
        <v>51456</v>
      </c>
      <c r="O11192" s="18" t="s">
        <v>29</v>
      </c>
      <c r="P11192" s="6"/>
      <c r="Q11192" s="6"/>
      <c r="R11192" s="6"/>
      <c r="S11192" s="6"/>
      <c r="T11192" s="6"/>
      <c r="U11192" s="6"/>
    </row>
    <row r="11193" ht="14.25">
      <c r="B11193" s="18" t="s">
        <v>1596</v>
      </c>
      <c r="C11193" s="18" t="s">
        <v>49273</v>
      </c>
      <c r="D11193" s="18" t="s">
        <v>315</v>
      </c>
      <c r="E11193" s="18" t="s">
        <v>51260</v>
      </c>
      <c r="F11193" s="18" t="str">
        <f>IFERROR(__XLUDF.DUMMYFUNCTION("PROPER(REGEXREPLACE(D1105,""[^A-Za-z]+ "",""""))"),"Groupe Ifh")</f>
        <v xml:space="preserve">Groupe Ifh</v>
      </c>
      <c r="G11193" s="18" t="s">
        <v>51457</v>
      </c>
      <c r="H11193" s="18">
        <v>12</v>
      </c>
      <c r="I11193" s="18" t="s">
        <v>9239</v>
      </c>
      <c r="J11193" s="5" t="s">
        <v>51458</v>
      </c>
      <c r="K11193" s="5" t="s">
        <v>51263</v>
      </c>
      <c r="L11193" s="6"/>
      <c r="M11193" s="18" t="s">
        <v>29</v>
      </c>
      <c r="N11193" s="6"/>
      <c r="O11193" s="6"/>
      <c r="P11193" s="18" t="s">
        <v>51264</v>
      </c>
      <c r="Q11193" s="6"/>
      <c r="R11193" s="6"/>
      <c r="S11193" s="6"/>
      <c r="T11193" s="6"/>
      <c r="U11193" s="6"/>
    </row>
    <row r="11194" ht="14.25">
      <c r="B11194" s="18" t="s">
        <v>330</v>
      </c>
      <c r="C11194" s="18" t="s">
        <v>51459</v>
      </c>
      <c r="D11194" s="18" t="s">
        <v>487</v>
      </c>
      <c r="E11194" s="18" t="s">
        <v>51460</v>
      </c>
      <c r="F11194" s="18" t="str">
        <f>IFERROR(__XLUDF.DUMMYFUNCTION("PROPER(REGEXREPLACE(D1106,""[^A-Za-z]+ "",""""))"),"Carrillo Carrelage")</f>
        <v xml:space="preserve">Carrillo Carrelage</v>
      </c>
      <c r="G11194" s="18" t="s">
        <v>51461</v>
      </c>
      <c r="H11194" s="18">
        <v>48</v>
      </c>
      <c r="I11194" s="18" t="s">
        <v>9239</v>
      </c>
      <c r="J11194" s="5" t="s">
        <v>51462</v>
      </c>
      <c r="K11194" s="5" t="s">
        <v>51463</v>
      </c>
      <c r="L11194" s="18" t="s">
        <v>51464</v>
      </c>
      <c r="M11194" s="18" t="s">
        <v>29</v>
      </c>
      <c r="N11194" s="18" t="s">
        <v>51465</v>
      </c>
      <c r="O11194" s="18" t="s">
        <v>29</v>
      </c>
      <c r="P11194" s="6"/>
      <c r="Q11194" s="6"/>
      <c r="R11194" s="6"/>
      <c r="S11194" s="6"/>
      <c r="T11194" s="6"/>
      <c r="U11194" s="6"/>
    </row>
    <row r="11195" ht="14.25">
      <c r="B11195" s="18" t="s">
        <v>34515</v>
      </c>
      <c r="C11195" s="18" t="s">
        <v>51466</v>
      </c>
      <c r="D11195" s="18" t="s">
        <v>51467</v>
      </c>
      <c r="E11195" s="18" t="s">
        <v>51468</v>
      </c>
      <c r="F11195" s="18" t="str">
        <f>IFERROR(__XLUDF.DUMMYFUNCTION("PROPER(REGEXREPLACE(D1107,""[^A-Za-z]+ "",""""))"),"Le Pavé®")</f>
        <v xml:space="preserve">Le Pavé®</v>
      </c>
      <c r="G11195" s="18" t="s">
        <v>51469</v>
      </c>
      <c r="H11195" s="18">
        <v>41</v>
      </c>
      <c r="I11195" s="18" t="s">
        <v>9239</v>
      </c>
      <c r="J11195" s="5" t="s">
        <v>51470</v>
      </c>
      <c r="K11195" s="5" t="s">
        <v>51471</v>
      </c>
      <c r="L11195" s="6"/>
      <c r="M11195" s="18" t="s">
        <v>29</v>
      </c>
      <c r="N11195" s="18" t="s">
        <v>51472</v>
      </c>
      <c r="O11195" s="18" t="s">
        <v>29</v>
      </c>
      <c r="P11195" s="6"/>
      <c r="Q11195" s="6"/>
      <c r="R11195" s="6"/>
      <c r="S11195" s="6"/>
      <c r="T11195" s="6"/>
      <c r="U11195" s="6"/>
    </row>
    <row r="11196" ht="14.25">
      <c r="B11196" s="18" t="s">
        <v>2119</v>
      </c>
      <c r="C11196" s="18" t="s">
        <v>51473</v>
      </c>
      <c r="D11196" s="18" t="s">
        <v>25166</v>
      </c>
      <c r="E11196" s="18" t="s">
        <v>49045</v>
      </c>
      <c r="F11196" s="18" t="str">
        <f>IFERROR(__XLUDF.DUMMYFUNCTION("PROPER(REGEXREPLACE(D1108,""[^A-Za-z]+ "",""""))"),"S2T Ingenierie")</f>
        <v xml:space="preserve">S2T Ingenierie</v>
      </c>
      <c r="G11196" s="18" t="s">
        <v>51474</v>
      </c>
      <c r="H11196" s="18">
        <v>42</v>
      </c>
      <c r="I11196" s="18" t="s">
        <v>9239</v>
      </c>
      <c r="J11196" s="5" t="s">
        <v>51475</v>
      </c>
      <c r="K11196" s="5" t="s">
        <v>49048</v>
      </c>
      <c r="L11196" s="6"/>
      <c r="M11196" s="18" t="s">
        <v>29</v>
      </c>
      <c r="N11196" s="18" t="s">
        <v>43092</v>
      </c>
      <c r="O11196" s="18" t="s">
        <v>29</v>
      </c>
      <c r="P11196" s="6"/>
      <c r="Q11196" s="6"/>
      <c r="R11196" s="6"/>
      <c r="S11196" s="6"/>
      <c r="T11196" s="6"/>
      <c r="U11196" s="6"/>
    </row>
    <row r="11197" ht="14.25">
      <c r="B11197" s="18" t="s">
        <v>330</v>
      </c>
      <c r="C11197" s="18" t="s">
        <v>51476</v>
      </c>
      <c r="D11197" s="18" t="s">
        <v>1240</v>
      </c>
      <c r="E11197" s="18" t="s">
        <v>51477</v>
      </c>
      <c r="F11197" s="18" t="str">
        <f>IFERROR(__XLUDF.DUMMYFUNCTION("PROPER(REGEXREPLACE(D1109,""[^A-Za-z]+ "",""""))"),"Citizens Id")</f>
        <v xml:space="preserve">Citizens Id</v>
      </c>
      <c r="G11197" s="18" t="s">
        <v>51478</v>
      </c>
      <c r="H11197" s="18">
        <v>20</v>
      </c>
      <c r="I11197" s="18" t="s">
        <v>10167</v>
      </c>
      <c r="J11197" s="5" t="s">
        <v>51479</v>
      </c>
      <c r="K11197" s="5" t="s">
        <v>51480</v>
      </c>
      <c r="L11197" s="6"/>
      <c r="M11197" s="18" t="s">
        <v>29</v>
      </c>
      <c r="N11197" s="18" t="s">
        <v>51481</v>
      </c>
      <c r="O11197" s="18" t="s">
        <v>8427</v>
      </c>
      <c r="P11197" s="6"/>
      <c r="Q11197" s="6"/>
      <c r="R11197" s="6"/>
      <c r="S11197" s="6"/>
      <c r="T11197" s="6"/>
      <c r="U11197" s="6"/>
    </row>
    <row r="11198" ht="14.25">
      <c r="B11198" s="18" t="s">
        <v>661</v>
      </c>
      <c r="C11198" s="18" t="s">
        <v>51482</v>
      </c>
      <c r="D11198" s="18" t="s">
        <v>5953</v>
      </c>
      <c r="E11198" s="18" t="s">
        <v>51483</v>
      </c>
      <c r="F11198" s="18" t="str">
        <f>IFERROR(__XLUDF.DUMMYFUNCTION("PROPER(REGEXREPLACE(D1110,""[^A-Za-z]+ "",""""))"),"Michel Sas")</f>
        <v xml:space="preserve">Michel Sas</v>
      </c>
      <c r="G11198" s="18" t="s">
        <v>51484</v>
      </c>
      <c r="H11198" s="18">
        <v>30</v>
      </c>
      <c r="I11198" s="18" t="s">
        <v>9239</v>
      </c>
      <c r="J11198" s="5" t="s">
        <v>51485</v>
      </c>
      <c r="K11198" s="5" t="s">
        <v>51486</v>
      </c>
      <c r="L11198" s="18" t="s">
        <v>7883</v>
      </c>
      <c r="M11198" s="18" t="s">
        <v>29</v>
      </c>
      <c r="N11198" s="18" t="s">
        <v>51487</v>
      </c>
      <c r="O11198" s="18" t="s">
        <v>29</v>
      </c>
      <c r="P11198" s="18" t="s">
        <v>51488</v>
      </c>
      <c r="Q11198" s="6"/>
      <c r="R11198" s="6"/>
      <c r="S11198" s="6"/>
      <c r="T11198" s="6"/>
      <c r="U11198" s="6"/>
    </row>
    <row r="11199" ht="14.25">
      <c r="B11199" s="18" t="s">
        <v>1421</v>
      </c>
      <c r="C11199" s="18" t="s">
        <v>51489</v>
      </c>
      <c r="D11199" s="18" t="s">
        <v>1950</v>
      </c>
      <c r="E11199" s="18" t="s">
        <v>51490</v>
      </c>
      <c r="F11199" s="18" t="str">
        <f>IFERROR(__XLUDF.DUMMYFUNCTION("PROPER(REGEXREPLACE(D1111,""[^A-Za-z]+ "",""""))"),"Esolia")</f>
        <v>Esolia</v>
      </c>
      <c r="G11199" s="18" t="s">
        <v>51491</v>
      </c>
      <c r="H11199" s="18">
        <v>10</v>
      </c>
      <c r="I11199" s="18" t="s">
        <v>9239</v>
      </c>
      <c r="J11199" s="5" t="s">
        <v>51492</v>
      </c>
      <c r="K11199" s="5" t="s">
        <v>51493</v>
      </c>
      <c r="L11199" s="18" t="s">
        <v>1312</v>
      </c>
      <c r="M11199" s="18" t="s">
        <v>29</v>
      </c>
      <c r="N11199" s="18" t="s">
        <v>51494</v>
      </c>
      <c r="O11199" s="18" t="s">
        <v>29</v>
      </c>
      <c r="P11199" s="18" t="s">
        <v>51495</v>
      </c>
      <c r="Q11199" s="6"/>
      <c r="R11199" s="6"/>
      <c r="S11199" s="6"/>
      <c r="T11199" s="6"/>
      <c r="U11199" s="6"/>
    </row>
    <row r="11200" ht="14.25">
      <c r="B11200" s="18" t="s">
        <v>840</v>
      </c>
      <c r="C11200" s="18" t="s">
        <v>51496</v>
      </c>
      <c r="D11200" s="18" t="s">
        <v>51497</v>
      </c>
      <c r="E11200" s="18" t="s">
        <v>47729</v>
      </c>
      <c r="F11200" s="18" t="str">
        <f>IFERROR(__XLUDF.DUMMYFUNCTION("PROPER(REGEXREPLACE(D1112,""[^A-Za-z]+ "",""""))"),"Bellastock")</f>
        <v>Bellastock</v>
      </c>
      <c r="G11200" s="18" t="s">
        <v>51498</v>
      </c>
      <c r="H11200" s="18">
        <v>24</v>
      </c>
      <c r="I11200" s="18" t="s">
        <v>10167</v>
      </c>
      <c r="J11200" s="5" t="s">
        <v>51499</v>
      </c>
      <c r="K11200" s="5" t="s">
        <v>47732</v>
      </c>
      <c r="L11200" s="18" t="s">
        <v>39</v>
      </c>
      <c r="M11200" s="18" t="s">
        <v>29</v>
      </c>
      <c r="N11200" s="18" t="s">
        <v>47733</v>
      </c>
      <c r="O11200" s="18" t="s">
        <v>29</v>
      </c>
      <c r="P11200" s="6"/>
      <c r="Q11200" s="6"/>
      <c r="R11200" s="6"/>
      <c r="S11200" s="6"/>
      <c r="T11200" s="6"/>
      <c r="U11200" s="6"/>
    </row>
    <row r="11201" ht="14.25">
      <c r="B11201" s="18" t="s">
        <v>5716</v>
      </c>
      <c r="C11201" s="18" t="s">
        <v>51500</v>
      </c>
      <c r="D11201" s="18" t="s">
        <v>879</v>
      </c>
      <c r="E11201" s="18" t="s">
        <v>51501</v>
      </c>
      <c r="F11201" s="18" t="str">
        <f>IFERROR(__XLUDF.DUMMYFUNCTION("PROPER(REGEXREPLACE(D1113,""[^A-Za-z]+ "",""""))"),"Le Wood Gang")</f>
        <v xml:space="preserve">Le Wood Gang</v>
      </c>
      <c r="G11201" s="18" t="s">
        <v>51502</v>
      </c>
      <c r="H11201" s="18">
        <v>5</v>
      </c>
      <c r="I11201" s="18" t="s">
        <v>9239</v>
      </c>
      <c r="J11201" s="5" t="s">
        <v>51503</v>
      </c>
      <c r="K11201" s="5" t="s">
        <v>51504</v>
      </c>
      <c r="L11201" s="18" t="s">
        <v>846</v>
      </c>
      <c r="M11201" s="18" t="s">
        <v>29</v>
      </c>
      <c r="N11201" s="18" t="s">
        <v>51505</v>
      </c>
      <c r="O11201" s="18" t="s">
        <v>29</v>
      </c>
      <c r="P11201" s="6"/>
      <c r="Q11201" s="6"/>
      <c r="R11201" s="6"/>
      <c r="S11201" s="6"/>
      <c r="T11201" s="6"/>
      <c r="U11201" s="6"/>
    </row>
    <row r="11202" ht="14.25">
      <c r="B11202" s="18" t="s">
        <v>1704</v>
      </c>
      <c r="C11202" s="18" t="s">
        <v>51506</v>
      </c>
      <c r="D11202" s="18" t="s">
        <v>120</v>
      </c>
      <c r="E11202" s="18" t="s">
        <v>51507</v>
      </c>
      <c r="F11202" s="18" t="str">
        <f>IFERROR(__XLUDF.DUMMYFUNCTION("PROPER(REGEXREPLACE(D1114,""[^A-Za-z]+ "",""""))"),"Pharmabois")</f>
        <v>Pharmabois</v>
      </c>
      <c r="G11202" s="18" t="s">
        <v>51508</v>
      </c>
      <c r="H11202" s="18">
        <v>21</v>
      </c>
      <c r="I11202" s="18" t="s">
        <v>9239</v>
      </c>
      <c r="J11202" s="5" t="s">
        <v>51509</v>
      </c>
      <c r="K11202" s="5" t="s">
        <v>51510</v>
      </c>
      <c r="L11202" s="18" t="s">
        <v>39</v>
      </c>
      <c r="M11202" s="18" t="s">
        <v>29</v>
      </c>
      <c r="N11202" s="18" t="s">
        <v>48839</v>
      </c>
      <c r="O11202" s="18" t="s">
        <v>29</v>
      </c>
      <c r="P11202" s="18" t="s">
        <v>51511</v>
      </c>
      <c r="Q11202" s="6"/>
      <c r="R11202" s="6"/>
      <c r="S11202" s="6"/>
      <c r="T11202" s="6"/>
      <c r="U11202" s="6"/>
    </row>
    <row r="11203" ht="14.25">
      <c r="B11203" s="18" t="s">
        <v>76</v>
      </c>
      <c r="C11203" s="18" t="s">
        <v>51512</v>
      </c>
      <c r="D11203" s="18" t="s">
        <v>172</v>
      </c>
      <c r="E11203" s="18" t="s">
        <v>51513</v>
      </c>
      <c r="F11203" s="18" t="str">
        <f>IFERROR(__XLUDF.DUMMYFUNCTION("PROPER(REGEXREPLACE(D1115,""[^A-Za-z]+ "",""""))"),"Quince Construction")</f>
        <v xml:space="preserve">Quince Construction</v>
      </c>
      <c r="G11203" s="18" t="s">
        <v>51514</v>
      </c>
      <c r="H11203" s="18">
        <v>18</v>
      </c>
      <c r="I11203" s="18" t="s">
        <v>9239</v>
      </c>
      <c r="J11203" s="5" t="s">
        <v>51515</v>
      </c>
      <c r="K11203" s="5" t="s">
        <v>51516</v>
      </c>
      <c r="L11203" s="18" t="s">
        <v>6954</v>
      </c>
      <c r="M11203" s="18" t="s">
        <v>29</v>
      </c>
      <c r="N11203" s="18" t="s">
        <v>51517</v>
      </c>
      <c r="O11203" s="18" t="s">
        <v>29</v>
      </c>
      <c r="P11203" s="18" t="s">
        <v>51518</v>
      </c>
      <c r="Q11203" s="6"/>
      <c r="R11203" s="6"/>
      <c r="S11203" s="6"/>
      <c r="T11203" s="6"/>
      <c r="U11203" s="6"/>
    </row>
    <row r="11204" ht="14.25">
      <c r="B11204" s="18" t="s">
        <v>630</v>
      </c>
      <c r="C11204" s="18" t="s">
        <v>51519</v>
      </c>
      <c r="D11204" s="18" t="s">
        <v>5655</v>
      </c>
      <c r="E11204" s="18" t="s">
        <v>51520</v>
      </c>
      <c r="F11204" s="18" t="str">
        <f>IFERROR(__XLUDF.DUMMYFUNCTION("PROPER(REGEXREPLACE(D1116,""[^A-Za-z]+ "",""""))"),"Arching")</f>
        <v>Arching</v>
      </c>
      <c r="G11204" s="18" t="s">
        <v>51521</v>
      </c>
      <c r="H11204" s="18">
        <v>12</v>
      </c>
      <c r="I11204" s="18" t="s">
        <v>9239</v>
      </c>
      <c r="J11204" s="5" t="s">
        <v>51522</v>
      </c>
      <c r="K11204" s="5" t="s">
        <v>51523</v>
      </c>
      <c r="L11204" s="6"/>
      <c r="M11204" s="18" t="s">
        <v>29</v>
      </c>
      <c r="N11204" s="18" t="s">
        <v>47016</v>
      </c>
      <c r="O11204" s="18" t="s">
        <v>29</v>
      </c>
      <c r="P11204" s="6"/>
      <c r="Q11204" s="6"/>
      <c r="R11204" s="6"/>
      <c r="S11204" s="6"/>
      <c r="T11204" s="6"/>
      <c r="U11204" s="6"/>
    </row>
    <row r="11205" ht="14.25">
      <c r="B11205" s="18" t="s">
        <v>630</v>
      </c>
      <c r="C11205" s="18" t="s">
        <v>51524</v>
      </c>
      <c r="D11205" s="18" t="s">
        <v>172</v>
      </c>
      <c r="E11205" s="18" t="s">
        <v>51082</v>
      </c>
      <c r="F11205" s="18" t="str">
        <f>IFERROR(__XLUDF.DUMMYFUNCTION("PROPER(REGEXREPLACE(D1117,""[^A-Za-z]+ "",""""))"),"Sas Le Plombier Bordelais")</f>
        <v xml:space="preserve">Sas Le Plombier Bordelais</v>
      </c>
      <c r="G11205" s="18" t="s">
        <v>51525</v>
      </c>
      <c r="H11205" s="18">
        <v>7</v>
      </c>
      <c r="I11205" s="18" t="s">
        <v>9239</v>
      </c>
      <c r="J11205" s="5" t="s">
        <v>51526</v>
      </c>
      <c r="K11205" s="5" t="s">
        <v>51085</v>
      </c>
      <c r="L11205" s="18" t="s">
        <v>243</v>
      </c>
      <c r="M11205" s="18" t="s">
        <v>29</v>
      </c>
      <c r="N11205" s="18" t="s">
        <v>51086</v>
      </c>
      <c r="O11205" s="18" t="s">
        <v>29</v>
      </c>
      <c r="P11205" s="18" t="s">
        <v>51087</v>
      </c>
      <c r="Q11205" s="6"/>
      <c r="R11205" s="6"/>
      <c r="S11205" s="6"/>
      <c r="T11205" s="6"/>
      <c r="U11205" s="6"/>
    </row>
    <row r="11206" ht="14.25">
      <c r="B11206" s="18" t="s">
        <v>20</v>
      </c>
      <c r="C11206" s="18" t="s">
        <v>51187</v>
      </c>
      <c r="D11206" s="18" t="s">
        <v>172</v>
      </c>
      <c r="E11206" s="18" t="s">
        <v>51188</v>
      </c>
      <c r="F11206" s="18" t="str">
        <f>IFERROR(__XLUDF.DUMMYFUNCTION("PROPER(REGEXREPLACE(D1118,""[^A-Za-z]+ "",""""))"),"Emi Genie Climatique")</f>
        <v xml:space="preserve">Emi Genie Climatique</v>
      </c>
      <c r="G11206" s="18" t="s">
        <v>51527</v>
      </c>
      <c r="H11206" s="18">
        <v>46</v>
      </c>
      <c r="I11206" s="18" t="s">
        <v>9239</v>
      </c>
      <c r="J11206" s="5" t="s">
        <v>51528</v>
      </c>
      <c r="K11206" s="5" t="s">
        <v>51191</v>
      </c>
      <c r="L11206" s="18" t="s">
        <v>6480</v>
      </c>
      <c r="M11206" s="18" t="s">
        <v>29</v>
      </c>
      <c r="N11206" s="18" t="s">
        <v>51192</v>
      </c>
      <c r="O11206" s="18" t="s">
        <v>29</v>
      </c>
      <c r="P11206" s="18" t="s">
        <v>51193</v>
      </c>
      <c r="Q11206" s="6"/>
      <c r="R11206" s="6"/>
      <c r="S11206" s="6"/>
      <c r="T11206" s="6"/>
      <c r="U11206" s="6"/>
    </row>
    <row r="11207" ht="14.25">
      <c r="B11207" s="18" t="s">
        <v>3967</v>
      </c>
      <c r="C11207" s="18" t="s">
        <v>51529</v>
      </c>
      <c r="D11207" s="18" t="s">
        <v>172</v>
      </c>
      <c r="E11207" s="18" t="s">
        <v>51530</v>
      </c>
      <c r="F11207" s="18" t="str">
        <f>IFERROR(__XLUDF.DUMMYFUNCTION("PROPER(REGEXREPLACE(D1119,""[^A-Za-z]+ "",""""))"),"Energy Menuiseries")</f>
        <v xml:space="preserve">Energy Menuiseries</v>
      </c>
      <c r="G11207" s="18" t="s">
        <v>51531</v>
      </c>
      <c r="H11207" s="18">
        <v>7</v>
      </c>
      <c r="I11207" s="18" t="s">
        <v>9239</v>
      </c>
      <c r="J11207" s="5" t="s">
        <v>51532</v>
      </c>
      <c r="K11207" s="5" t="s">
        <v>51533</v>
      </c>
      <c r="L11207" s="18" t="s">
        <v>6489</v>
      </c>
      <c r="M11207" s="18" t="s">
        <v>29</v>
      </c>
      <c r="N11207" s="18" t="s">
        <v>51534</v>
      </c>
      <c r="O11207" s="18" t="s">
        <v>29</v>
      </c>
      <c r="P11207" s="6"/>
      <c r="Q11207" s="6"/>
      <c r="R11207" s="6"/>
      <c r="S11207" s="6"/>
      <c r="T11207" s="6"/>
      <c r="U11207" s="6"/>
    </row>
    <row r="11208" ht="14.25">
      <c r="B11208" s="18" t="s">
        <v>817</v>
      </c>
      <c r="C11208" s="18" t="s">
        <v>51535</v>
      </c>
      <c r="D11208" s="18" t="s">
        <v>172</v>
      </c>
      <c r="E11208" s="18" t="s">
        <v>25483</v>
      </c>
      <c r="F11208" s="18" t="str">
        <f>IFERROR(__XLUDF.DUMMYFUNCTION("PROPER(REGEXREPLACE(D1120,""[^A-Za-z]+ "",""""))"),"Sedri")</f>
        <v>Sedri</v>
      </c>
      <c r="G11208" s="18" t="s">
        <v>51536</v>
      </c>
      <c r="H11208" s="18">
        <v>35</v>
      </c>
      <c r="I11208" s="18" t="s">
        <v>4293</v>
      </c>
      <c r="J11208" s="5" t="s">
        <v>51537</v>
      </c>
      <c r="K11208" s="5" t="s">
        <v>25486</v>
      </c>
      <c r="L11208" s="18" t="s">
        <v>1419</v>
      </c>
      <c r="M11208" s="18" t="s">
        <v>29</v>
      </c>
      <c r="N11208" s="18" t="s">
        <v>25487</v>
      </c>
      <c r="O11208" s="18" t="s">
        <v>29</v>
      </c>
      <c r="P11208" s="18" t="s">
        <v>25488</v>
      </c>
      <c r="Q11208" s="6"/>
      <c r="R11208" s="6"/>
      <c r="S11208" s="6"/>
      <c r="T11208" s="6"/>
      <c r="U11208" s="6"/>
    </row>
    <row r="11209" ht="14.25">
      <c r="B11209" s="18" t="s">
        <v>963</v>
      </c>
      <c r="C11209" s="18" t="s">
        <v>51538</v>
      </c>
      <c r="D11209" s="18" t="s">
        <v>172</v>
      </c>
      <c r="E11209" s="18" t="s">
        <v>50287</v>
      </c>
      <c r="F11209" s="18" t="str">
        <f>IFERROR(__XLUDF.DUMMYFUNCTION("PROPER(REGEXREPLACE(D1121,""[^A-Za-z]+ "",""""))"),"Seric Group")</f>
        <v xml:space="preserve">Seric Group</v>
      </c>
      <c r="G11209" s="18" t="s">
        <v>51539</v>
      </c>
      <c r="H11209" s="18">
        <v>23</v>
      </c>
      <c r="I11209" s="18" t="s">
        <v>9239</v>
      </c>
      <c r="J11209" s="5" t="s">
        <v>51540</v>
      </c>
      <c r="K11209" s="5" t="s">
        <v>50290</v>
      </c>
      <c r="L11209" s="6"/>
      <c r="M11209" s="18" t="s">
        <v>29</v>
      </c>
      <c r="N11209" s="18" t="s">
        <v>29</v>
      </c>
      <c r="O11209" s="18" t="s">
        <v>29</v>
      </c>
      <c r="P11209" s="18" t="s">
        <v>50291</v>
      </c>
      <c r="Q11209" s="6"/>
      <c r="R11209" s="6"/>
      <c r="S11209" s="6"/>
      <c r="T11209" s="6"/>
      <c r="U11209" s="6"/>
    </row>
    <row r="11210" ht="14.25">
      <c r="B11210" s="18" t="s">
        <v>734</v>
      </c>
      <c r="C11210" s="18" t="s">
        <v>5636</v>
      </c>
      <c r="D11210" s="18" t="s">
        <v>172</v>
      </c>
      <c r="E11210" s="18" t="s">
        <v>51541</v>
      </c>
      <c r="F11210" s="18" t="str">
        <f>IFERROR(__XLUDF.DUMMYFUNCTION("PROPER(REGEXREPLACE(D1122,""[^A-Za-z]+ "",""""))"),"C.R.D")</f>
        <v>C.R.D</v>
      </c>
      <c r="G11210" s="18" t="s">
        <v>51542</v>
      </c>
      <c r="H11210" s="18">
        <v>11</v>
      </c>
      <c r="I11210" s="18" t="s">
        <v>9239</v>
      </c>
      <c r="J11210" s="5" t="s">
        <v>51543</v>
      </c>
      <c r="K11210" s="5" t="s">
        <v>51544</v>
      </c>
      <c r="L11210" s="18" t="s">
        <v>1826</v>
      </c>
      <c r="M11210" s="18" t="s">
        <v>29</v>
      </c>
      <c r="N11210" s="18" t="s">
        <v>51545</v>
      </c>
      <c r="O11210" s="18" t="s">
        <v>29</v>
      </c>
      <c r="P11210" s="18" t="s">
        <v>51546</v>
      </c>
      <c r="Q11210" s="6"/>
      <c r="R11210" s="6"/>
      <c r="S11210" s="6"/>
      <c r="T11210" s="6"/>
      <c r="U11210" s="6"/>
    </row>
    <row r="11211" ht="14.25">
      <c r="B11211" s="18" t="s">
        <v>3271</v>
      </c>
      <c r="C11211" s="18" t="s">
        <v>51547</v>
      </c>
      <c r="D11211" s="18" t="s">
        <v>172</v>
      </c>
      <c r="E11211" s="18" t="s">
        <v>15665</v>
      </c>
      <c r="F11211" s="18" t="str">
        <f>IFERROR(__XLUDF.DUMMYFUNCTION("PROPER(REGEXREPLACE(D1123,""[^A-Za-z]+ "",""""))"),"Delaval")</f>
        <v>Delaval</v>
      </c>
      <c r="G11211" s="18" t="s">
        <v>51548</v>
      </c>
      <c r="H11211" s="18">
        <v>35</v>
      </c>
      <c r="I11211" s="18" t="s">
        <v>9239</v>
      </c>
      <c r="J11211" s="5" t="s">
        <v>51549</v>
      </c>
      <c r="K11211" s="5" t="s">
        <v>47855</v>
      </c>
      <c r="L11211" s="18" t="s">
        <v>6603</v>
      </c>
      <c r="M11211" s="18" t="s">
        <v>29</v>
      </c>
      <c r="N11211" s="18" t="s">
        <v>47856</v>
      </c>
      <c r="O11211" s="18" t="s">
        <v>29</v>
      </c>
      <c r="P11211" s="6"/>
      <c r="Q11211" s="6"/>
      <c r="R11211" s="6"/>
      <c r="S11211" s="6"/>
      <c r="T11211" s="6"/>
      <c r="U11211" s="6"/>
    </row>
    <row r="11212" ht="14.25">
      <c r="B11212" s="18" t="s">
        <v>51550</v>
      </c>
      <c r="C11212" s="18" t="s">
        <v>6945</v>
      </c>
      <c r="D11212" s="18" t="s">
        <v>7155</v>
      </c>
      <c r="E11212" s="18" t="s">
        <v>51551</v>
      </c>
      <c r="F11212" s="18" t="str">
        <f>IFERROR(__XLUDF.DUMMYFUNCTION("PROPER(REGEXREPLACE(D1124,""[^A-Za-z]+ "",""""))"),"Jei")</f>
        <v>Jei</v>
      </c>
      <c r="G11212" s="18" t="s">
        <v>51552</v>
      </c>
      <c r="H11212" s="18">
        <v>16</v>
      </c>
      <c r="I11212" s="18" t="s">
        <v>9239</v>
      </c>
      <c r="J11212" s="5" t="s">
        <v>51553</v>
      </c>
      <c r="K11212" s="5" t="s">
        <v>51554</v>
      </c>
      <c r="L11212" s="18" t="s">
        <v>39</v>
      </c>
      <c r="M11212" s="18" t="s">
        <v>29</v>
      </c>
      <c r="N11212" s="18" t="s">
        <v>50368</v>
      </c>
      <c r="O11212" s="18" t="s">
        <v>29</v>
      </c>
      <c r="P11212" s="6"/>
      <c r="Q11212" s="6"/>
      <c r="R11212" s="6"/>
      <c r="S11212" s="6"/>
      <c r="T11212" s="6"/>
      <c r="U11212" s="6"/>
    </row>
    <row r="11213" ht="14.25">
      <c r="B11213" s="18" t="s">
        <v>330</v>
      </c>
      <c r="C11213" s="18" t="s">
        <v>49112</v>
      </c>
      <c r="D11213" s="18" t="s">
        <v>51555</v>
      </c>
      <c r="E11213" s="18" t="s">
        <v>50056</v>
      </c>
      <c r="F11213" s="18" t="str">
        <f>IFERROR(__XLUDF.DUMMYFUNCTION("PROPER(REGEXREPLACE(D1125,""[^A-Za-z]+ "",""""))"),"Beam³")</f>
        <v>Beam³</v>
      </c>
      <c r="G11213" s="18" t="s">
        <v>51556</v>
      </c>
      <c r="H11213" s="18">
        <v>19</v>
      </c>
      <c r="I11213" s="18" t="s">
        <v>9239</v>
      </c>
      <c r="J11213" s="5" t="s">
        <v>51557</v>
      </c>
      <c r="K11213" s="5" t="s">
        <v>50059</v>
      </c>
      <c r="L11213" s="18" t="s">
        <v>731</v>
      </c>
      <c r="M11213" s="18" t="s">
        <v>29</v>
      </c>
      <c r="N11213" s="18" t="s">
        <v>28777</v>
      </c>
      <c r="O11213" s="18" t="s">
        <v>29</v>
      </c>
      <c r="P11213" s="6"/>
      <c r="Q11213" s="6"/>
      <c r="R11213" s="6"/>
      <c r="S11213" s="6"/>
      <c r="T11213" s="6"/>
      <c r="U11213" s="6"/>
    </row>
    <row r="11214" ht="14.25">
      <c r="B11214" s="18" t="s">
        <v>548</v>
      </c>
      <c r="C11214" s="18" t="s">
        <v>51558</v>
      </c>
      <c r="D11214" s="18" t="s">
        <v>487</v>
      </c>
      <c r="E11214" s="18" t="s">
        <v>51559</v>
      </c>
      <c r="F11214" s="18" t="str">
        <f>IFERROR(__XLUDF.DUMMYFUNCTION("PROPER(REGEXREPLACE(D1126,""[^A-Za-z]+ "",""""))"),"Les Menuisiers Du Rhone")</f>
        <v xml:space="preserve">Les Menuisiers Du Rhone</v>
      </c>
      <c r="G11214" s="18" t="s">
        <v>51560</v>
      </c>
      <c r="H11214" s="18">
        <v>15</v>
      </c>
      <c r="I11214" s="18" t="s">
        <v>9239</v>
      </c>
      <c r="J11214" s="5" t="s">
        <v>51561</v>
      </c>
      <c r="K11214" s="5" t="s">
        <v>51562</v>
      </c>
      <c r="L11214" s="18" t="s">
        <v>51563</v>
      </c>
      <c r="M11214" s="18" t="s">
        <v>29</v>
      </c>
      <c r="N11214" s="18" t="s">
        <v>51564</v>
      </c>
      <c r="O11214" s="18" t="s">
        <v>29</v>
      </c>
      <c r="P11214" s="18" t="s">
        <v>51565</v>
      </c>
      <c r="Q11214" s="6"/>
      <c r="R11214" s="6"/>
      <c r="S11214" s="6"/>
      <c r="T11214" s="6"/>
      <c r="U11214" s="6"/>
    </row>
    <row r="11215" ht="14.25">
      <c r="B11215" s="18" t="s">
        <v>51566</v>
      </c>
      <c r="C11215" s="18" t="s">
        <v>51567</v>
      </c>
      <c r="D11215" s="18" t="s">
        <v>5003</v>
      </c>
      <c r="E11215" s="18" t="s">
        <v>51568</v>
      </c>
      <c r="F11215" s="18" t="str">
        <f>IFERROR(__XLUDF.DUMMYFUNCTION("PROPER(REGEXREPLACE(D1127,""[^A-Za-z]+ "",""""))"),"Brg Habitat")</f>
        <v xml:space="preserve">Brg Habitat</v>
      </c>
      <c r="G11215" s="18" t="s">
        <v>51569</v>
      </c>
      <c r="H11215" s="18">
        <v>8</v>
      </c>
      <c r="I11215" s="18" t="s">
        <v>9239</v>
      </c>
      <c r="J11215" s="5" t="s">
        <v>51570</v>
      </c>
      <c r="K11215" s="5" t="s">
        <v>51571</v>
      </c>
      <c r="L11215" s="18" t="s">
        <v>48082</v>
      </c>
      <c r="M11215" s="18" t="s">
        <v>29</v>
      </c>
      <c r="N11215" s="18" t="s">
        <v>51572</v>
      </c>
      <c r="O11215" s="18" t="s">
        <v>29</v>
      </c>
      <c r="P11215" s="6"/>
      <c r="Q11215" s="6"/>
      <c r="R11215" s="6"/>
      <c r="S11215" s="6"/>
      <c r="T11215" s="6"/>
      <c r="U11215" s="6"/>
    </row>
    <row r="11216" ht="14.25">
      <c r="B11216" s="18" t="s">
        <v>51573</v>
      </c>
      <c r="C11216" s="18" t="s">
        <v>51574</v>
      </c>
      <c r="D11216" s="18" t="s">
        <v>5003</v>
      </c>
      <c r="E11216" s="18" t="s">
        <v>51575</v>
      </c>
      <c r="F11216" s="18" t="str">
        <f>IFERROR(__XLUDF.DUMMYFUNCTION("PROPER(REGEXREPLACE(D1128,""[^A-Za-z]+ "",""""))"),"Elrp")</f>
        <v>Elrp</v>
      </c>
      <c r="G11216" s="18" t="s">
        <v>51576</v>
      </c>
      <c r="H11216" s="18">
        <v>9</v>
      </c>
      <c r="I11216" s="18" t="s">
        <v>9239</v>
      </c>
      <c r="J11216" s="5" t="s">
        <v>51577</v>
      </c>
      <c r="K11216" s="5" t="s">
        <v>51578</v>
      </c>
      <c r="L11216" s="18" t="s">
        <v>14784</v>
      </c>
      <c r="M11216" s="18" t="s">
        <v>29</v>
      </c>
      <c r="N11216" s="18" t="s">
        <v>51579</v>
      </c>
      <c r="O11216" s="18" t="s">
        <v>29</v>
      </c>
      <c r="P11216" s="18" t="s">
        <v>51580</v>
      </c>
      <c r="Q11216" s="6"/>
      <c r="R11216" s="6"/>
      <c r="S11216" s="6"/>
      <c r="T11216" s="6"/>
      <c r="U11216" s="6"/>
    </row>
    <row r="11217" ht="14.25">
      <c r="B11217" s="18" t="s">
        <v>7273</v>
      </c>
      <c r="C11217" s="18" t="s">
        <v>51581</v>
      </c>
      <c r="D11217" s="18" t="s">
        <v>487</v>
      </c>
      <c r="E11217" s="18" t="s">
        <v>51582</v>
      </c>
      <c r="F11217" s="18" t="str">
        <f>IFERROR(__XLUDF.DUMMYFUNCTION("PROPER(REGEXREPLACE(D1129,""[^A-Za-z]+ "",""""))"),"Auzeo Habitat")</f>
        <v xml:space="preserve">Auzeo Habitat</v>
      </c>
      <c r="G11217" s="18" t="s">
        <v>51583</v>
      </c>
      <c r="H11217" s="18">
        <v>2</v>
      </c>
      <c r="I11217" s="18" t="s">
        <v>9239</v>
      </c>
      <c r="J11217" s="5" t="s">
        <v>51584</v>
      </c>
      <c r="K11217" s="5" t="s">
        <v>51585</v>
      </c>
      <c r="L11217" s="18" t="s">
        <v>39</v>
      </c>
      <c r="M11217" s="18" t="s">
        <v>29</v>
      </c>
      <c r="N11217" s="18" t="s">
        <v>51586</v>
      </c>
      <c r="O11217" s="18" t="s">
        <v>29</v>
      </c>
      <c r="P11217" s="18" t="s">
        <v>51587</v>
      </c>
      <c r="Q11217" s="6"/>
      <c r="R11217" s="6"/>
      <c r="S11217" s="6"/>
      <c r="T11217" s="6"/>
      <c r="U11217" s="6"/>
    </row>
    <row r="11218" ht="14.25">
      <c r="B11218" s="18" t="s">
        <v>661</v>
      </c>
      <c r="C11218" s="18" t="s">
        <v>51588</v>
      </c>
      <c r="D11218" s="18" t="s">
        <v>172</v>
      </c>
      <c r="E11218" s="18" t="s">
        <v>51589</v>
      </c>
      <c r="F11218" s="18" t="str">
        <f>IFERROR(__XLUDF.DUMMYFUNCTION("PROPER(REGEXREPLACE(D1130,""[^A-Za-z]+ "",""""))"),"Techni Chauffage")</f>
        <v xml:space="preserve">Techni Chauffage</v>
      </c>
      <c r="G11218" s="18" t="s">
        <v>51590</v>
      </c>
      <c r="H11218" s="6"/>
      <c r="I11218" s="6"/>
      <c r="J11218" s="5" t="s">
        <v>51591</v>
      </c>
      <c r="K11218" s="5" t="s">
        <v>51592</v>
      </c>
      <c r="L11218" s="18" t="s">
        <v>51593</v>
      </c>
      <c r="M11218" s="18" t="s">
        <v>29</v>
      </c>
      <c r="N11218" s="18" t="s">
        <v>48886</v>
      </c>
      <c r="O11218" s="18" t="s">
        <v>29</v>
      </c>
      <c r="P11218" s="6"/>
      <c r="Q11218" s="6"/>
      <c r="R11218" s="6"/>
      <c r="S11218" s="6"/>
      <c r="T11218" s="6"/>
      <c r="U11218" s="6"/>
    </row>
    <row r="11219" ht="14.25">
      <c r="B11219" s="18" t="s">
        <v>3019</v>
      </c>
      <c r="C11219" s="18" t="s">
        <v>51594</v>
      </c>
      <c r="D11219" s="18" t="s">
        <v>172</v>
      </c>
      <c r="E11219" s="18" t="s">
        <v>51595</v>
      </c>
      <c r="F11219" s="18" t="str">
        <f>IFERROR(__XLUDF.DUMMYFUNCTION("PROPER(REGEXREPLACE(D1131,""[^A-Za-z]+ "",""""))"),"Sas-Bim")</f>
        <v>Sas-Bim</v>
      </c>
      <c r="G11219" s="18" t="s">
        <v>51596</v>
      </c>
      <c r="H11219" s="18">
        <v>1</v>
      </c>
      <c r="I11219" s="18" t="s">
        <v>9239</v>
      </c>
      <c r="J11219" s="5" t="s">
        <v>51597</v>
      </c>
      <c r="K11219" s="5" t="s">
        <v>51598</v>
      </c>
      <c r="L11219" s="6"/>
      <c r="M11219" s="18" t="s">
        <v>29</v>
      </c>
      <c r="N11219" s="18" t="s">
        <v>51599</v>
      </c>
      <c r="O11219" s="18" t="s">
        <v>29</v>
      </c>
      <c r="P11219" s="18" t="s">
        <v>51600</v>
      </c>
      <c r="Q11219" s="6"/>
      <c r="R11219" s="6"/>
      <c r="S11219" s="6"/>
      <c r="T11219" s="6"/>
      <c r="U11219" s="6"/>
    </row>
    <row r="11220" ht="14.25">
      <c r="B11220" s="18" t="s">
        <v>5252</v>
      </c>
      <c r="C11220" s="18" t="s">
        <v>51601</v>
      </c>
      <c r="D11220" s="18" t="s">
        <v>51602</v>
      </c>
      <c r="E11220" s="18" t="s">
        <v>51603</v>
      </c>
      <c r="F11220" s="18" t="str">
        <f>IFERROR(__XLUDF.DUMMYFUNCTION("PROPER(REGEXREPLACE(D1132,""[^A-Za-z]+ "",""""))"),"Carbonero Sas")</f>
        <v xml:space="preserve">Carbonero Sas</v>
      </c>
      <c r="G11220" s="18" t="s">
        <v>51604</v>
      </c>
      <c r="H11220" s="18">
        <v>15</v>
      </c>
      <c r="I11220" s="18" t="s">
        <v>9239</v>
      </c>
      <c r="J11220" s="5" t="s">
        <v>51605</v>
      </c>
      <c r="K11220" s="5" t="s">
        <v>51606</v>
      </c>
      <c r="L11220" s="18" t="s">
        <v>1507</v>
      </c>
      <c r="M11220" s="18" t="s">
        <v>29</v>
      </c>
      <c r="N11220" s="18" t="s">
        <v>51607</v>
      </c>
      <c r="O11220" s="18" t="s">
        <v>29</v>
      </c>
      <c r="P11220" s="6"/>
      <c r="Q11220" s="6"/>
      <c r="R11220" s="6"/>
      <c r="S11220" s="6"/>
      <c r="T11220" s="6"/>
      <c r="U11220" s="6"/>
    </row>
    <row r="11221" ht="14.25">
      <c r="B11221" s="18" t="s">
        <v>13300</v>
      </c>
      <c r="C11221" s="18" t="s">
        <v>51608</v>
      </c>
      <c r="D11221" s="18" t="s">
        <v>172</v>
      </c>
      <c r="E11221" s="18" t="s">
        <v>51609</v>
      </c>
      <c r="F11221" s="18" t="str">
        <f>IFERROR(__XLUDF.DUMMYFUNCTION("PROPER(REGEXREPLACE(D1133,""[^A-Za-z]+ "",""""))"),"Tpsas")</f>
        <v>Tpsas</v>
      </c>
      <c r="G11221" s="18" t="s">
        <v>51610</v>
      </c>
      <c r="H11221" s="18">
        <v>2</v>
      </c>
      <c r="I11221" s="18" t="s">
        <v>9239</v>
      </c>
      <c r="J11221" s="5" t="s">
        <v>51611</v>
      </c>
      <c r="K11221" s="5" t="s">
        <v>51612</v>
      </c>
      <c r="L11221" s="18" t="s">
        <v>51613</v>
      </c>
      <c r="M11221" s="18" t="s">
        <v>29</v>
      </c>
      <c r="N11221" s="18" t="s">
        <v>51614</v>
      </c>
      <c r="O11221" s="18" t="s">
        <v>29</v>
      </c>
      <c r="P11221" s="6"/>
      <c r="Q11221" s="6"/>
      <c r="R11221" s="6"/>
      <c r="S11221" s="6"/>
      <c r="T11221" s="6"/>
      <c r="U11221" s="6"/>
    </row>
    <row r="11222" ht="14.25">
      <c r="B11222" s="18" t="s">
        <v>3752</v>
      </c>
      <c r="C11222" s="18" t="s">
        <v>51615</v>
      </c>
      <c r="D11222" s="18" t="s">
        <v>172</v>
      </c>
      <c r="E11222" s="18" t="s">
        <v>48302</v>
      </c>
      <c r="F11222" s="18" t="str">
        <f>IFERROR(__XLUDF.DUMMYFUNCTION("PROPER(REGEXREPLACE(D1134,""[^A-Za-z]+ "",""""))"),"Metiista")</f>
        <v>Metiista</v>
      </c>
      <c r="G11222" s="18" t="s">
        <v>51616</v>
      </c>
      <c r="H11222" s="18">
        <v>12</v>
      </c>
      <c r="I11222" s="18" t="s">
        <v>9239</v>
      </c>
      <c r="J11222" s="5" t="s">
        <v>51617</v>
      </c>
      <c r="K11222" s="5" t="s">
        <v>48305</v>
      </c>
      <c r="L11222" s="18" t="s">
        <v>185</v>
      </c>
      <c r="M11222" s="18" t="s">
        <v>29</v>
      </c>
      <c r="N11222" s="18" t="s">
        <v>48306</v>
      </c>
      <c r="O11222" s="18" t="s">
        <v>29</v>
      </c>
      <c r="P11222" s="18" t="s">
        <v>48307</v>
      </c>
      <c r="Q11222" s="6"/>
      <c r="R11222" s="6"/>
      <c r="S11222" s="6"/>
      <c r="T11222" s="6"/>
      <c r="U11222" s="6"/>
    </row>
    <row r="11223" ht="14.25">
      <c r="B11223" s="18" t="s">
        <v>15990</v>
      </c>
      <c r="C11223" s="18" t="s">
        <v>4305</v>
      </c>
      <c r="D11223" s="18" t="s">
        <v>172</v>
      </c>
      <c r="E11223" s="18" t="s">
        <v>48003</v>
      </c>
      <c r="F11223" s="18" t="str">
        <f>IFERROR(__XLUDF.DUMMYFUNCTION("PROPER(REGEXREPLACE(D1135,""[^A-Za-z]+ "",""""))"),"Bernasconi T.P")</f>
        <v xml:space="preserve">Bernasconi T.P</v>
      </c>
      <c r="G11223" s="18" t="s">
        <v>51618</v>
      </c>
      <c r="H11223" s="18">
        <v>14</v>
      </c>
      <c r="I11223" s="18" t="s">
        <v>9239</v>
      </c>
      <c r="J11223" s="5" t="s">
        <v>51619</v>
      </c>
      <c r="K11223" s="5" t="s">
        <v>48006</v>
      </c>
      <c r="L11223" s="18" t="s">
        <v>1826</v>
      </c>
      <c r="M11223" s="18" t="s">
        <v>29</v>
      </c>
      <c r="N11223" s="18" t="s">
        <v>48008</v>
      </c>
      <c r="O11223" s="18" t="s">
        <v>29</v>
      </c>
      <c r="P11223" s="6"/>
      <c r="Q11223" s="6"/>
      <c r="R11223" s="6"/>
      <c r="S11223" s="6"/>
      <c r="T11223" s="6"/>
      <c r="U11223" s="6"/>
    </row>
    <row r="11224" ht="14.25">
      <c r="B11224" s="18" t="s">
        <v>245</v>
      </c>
      <c r="C11224" s="18" t="s">
        <v>19869</v>
      </c>
      <c r="D11224" s="18" t="s">
        <v>1950</v>
      </c>
      <c r="E11224" s="18" t="s">
        <v>51620</v>
      </c>
      <c r="F11224" s="18" t="str">
        <f>IFERROR(__XLUDF.DUMMYFUNCTION("PROPER(REGEXREPLACE(D1136,""[^A-Za-z]+ "",""""))"),"Homagil")</f>
        <v>Homagil</v>
      </c>
      <c r="G11224" s="18" t="s">
        <v>51621</v>
      </c>
      <c r="H11224" s="18">
        <v>8</v>
      </c>
      <c r="I11224" s="18" t="s">
        <v>9239</v>
      </c>
      <c r="J11224" s="5" t="s">
        <v>51622</v>
      </c>
      <c r="K11224" s="5" t="s">
        <v>51623</v>
      </c>
      <c r="L11224" s="18" t="s">
        <v>12601</v>
      </c>
      <c r="M11224" s="18" t="s">
        <v>29</v>
      </c>
      <c r="N11224" s="18" t="s">
        <v>29</v>
      </c>
      <c r="O11224" s="18" t="s">
        <v>29</v>
      </c>
      <c r="P11224" s="18" t="s">
        <v>51624</v>
      </c>
      <c r="Q11224" s="6"/>
      <c r="R11224" s="6"/>
      <c r="S11224" s="6"/>
      <c r="T11224" s="6"/>
      <c r="U11224" s="6"/>
    </row>
    <row r="11225" ht="14.25">
      <c r="B11225" s="18" t="s">
        <v>1215</v>
      </c>
      <c r="C11225" s="18" t="s">
        <v>51625</v>
      </c>
      <c r="D11225" s="18" t="s">
        <v>51626</v>
      </c>
      <c r="E11225" s="18" t="s">
        <v>51627</v>
      </c>
      <c r="F11225" s="18" t="str">
        <f>IFERROR(__XLUDF.DUMMYFUNCTION("PROPER(REGEXREPLACE(D1137,""[^A-Za-z]+ "",""""))"),"Transparence")</f>
        <v>Transparence</v>
      </c>
      <c r="G11225" s="18" t="s">
        <v>51628</v>
      </c>
      <c r="H11225" s="18">
        <v>19</v>
      </c>
      <c r="I11225" s="18" t="s">
        <v>9239</v>
      </c>
      <c r="J11225" s="5" t="s">
        <v>51629</v>
      </c>
      <c r="K11225" s="5" t="s">
        <v>51630</v>
      </c>
      <c r="L11225" s="18" t="s">
        <v>185</v>
      </c>
      <c r="M11225" s="18" t="s">
        <v>29</v>
      </c>
      <c r="N11225" s="18" t="s">
        <v>51631</v>
      </c>
      <c r="O11225" s="18" t="s">
        <v>7702</v>
      </c>
      <c r="P11225" s="18" t="s">
        <v>51632</v>
      </c>
      <c r="Q11225" s="6"/>
      <c r="R11225" s="6"/>
      <c r="S11225" s="6"/>
      <c r="T11225" s="6"/>
      <c r="U11225" s="6"/>
    </row>
    <row r="11226" ht="14.25">
      <c r="B11226" s="18" t="s">
        <v>579</v>
      </c>
      <c r="C11226" s="18" t="s">
        <v>51633</v>
      </c>
      <c r="D11226" s="18" t="s">
        <v>468</v>
      </c>
      <c r="E11226" s="18" t="s">
        <v>51634</v>
      </c>
      <c r="F11226" s="18" t="str">
        <f>IFERROR(__XLUDF.DUMMYFUNCTION("PROPER(REGEXREPLACE(D1138,""[^A-Za-z]+ "",""""))"),"Cool Roof")</f>
        <v xml:space="preserve">Cool Roof</v>
      </c>
      <c r="G11226" s="18" t="s">
        <v>51635</v>
      </c>
      <c r="H11226" s="18">
        <v>11</v>
      </c>
      <c r="I11226" s="18" t="s">
        <v>9239</v>
      </c>
      <c r="J11226" s="5" t="s">
        <v>51636</v>
      </c>
      <c r="K11226" s="5" t="s">
        <v>51637</v>
      </c>
      <c r="L11226" s="18" t="s">
        <v>51638</v>
      </c>
      <c r="M11226" s="18" t="s">
        <v>29</v>
      </c>
      <c r="N11226" s="18" t="s">
        <v>51639</v>
      </c>
      <c r="O11226" s="18" t="s">
        <v>1261</v>
      </c>
      <c r="P11226" s="6"/>
      <c r="Q11226" s="6"/>
      <c r="R11226" s="6"/>
      <c r="S11226" s="6"/>
      <c r="T11226" s="6"/>
      <c r="U11226" s="6"/>
    </row>
    <row r="11227" ht="14.25">
      <c r="B11227" s="18" t="s">
        <v>110</v>
      </c>
      <c r="C11227" s="18" t="s">
        <v>51640</v>
      </c>
      <c r="D11227" s="18" t="s">
        <v>62</v>
      </c>
      <c r="E11227" s="18" t="s">
        <v>47410</v>
      </c>
      <c r="F11227" s="18" t="str">
        <f>IFERROR(__XLUDF.DUMMYFUNCTION("PROPER(REGEXREPLACE(D1139,""[^A-Za-z]+ "",""""))"),"Vestack")</f>
        <v>Vestack</v>
      </c>
      <c r="G11227" s="18" t="s">
        <v>51641</v>
      </c>
      <c r="H11227" s="18">
        <v>48</v>
      </c>
      <c r="I11227" s="18" t="s">
        <v>9239</v>
      </c>
      <c r="J11227" s="5" t="s">
        <v>51642</v>
      </c>
      <c r="K11227" s="5" t="s">
        <v>47413</v>
      </c>
      <c r="L11227" s="18" t="s">
        <v>39</v>
      </c>
      <c r="M11227" s="18" t="s">
        <v>29</v>
      </c>
      <c r="N11227" s="18" t="s">
        <v>47414</v>
      </c>
      <c r="O11227" s="18" t="s">
        <v>29</v>
      </c>
      <c r="P11227" s="18" t="s">
        <v>47415</v>
      </c>
      <c r="Q11227" s="6"/>
      <c r="R11227" s="6"/>
      <c r="S11227" s="6"/>
      <c r="T11227" s="6"/>
      <c r="U11227" s="6"/>
    </row>
    <row r="11228" ht="14.25">
      <c r="B11228" s="18" t="s">
        <v>1605</v>
      </c>
      <c r="C11228" s="18" t="s">
        <v>18425</v>
      </c>
      <c r="D11228" s="18" t="s">
        <v>51643</v>
      </c>
      <c r="E11228" s="18" t="s">
        <v>51644</v>
      </c>
      <c r="F11228" s="18" t="str">
        <f>IFERROR(__XLUDF.DUMMYFUNCTION("PROPER(REGEXREPLACE(D1140,""[^A-Za-z]+ "",""""))"),"Sinfonic")</f>
        <v>Sinfonic</v>
      </c>
      <c r="G11228" s="18" t="s">
        <v>51645</v>
      </c>
      <c r="H11228" s="18">
        <v>36</v>
      </c>
      <c r="I11228" s="18" t="s">
        <v>9239</v>
      </c>
      <c r="J11228" s="5" t="s">
        <v>51646</v>
      </c>
      <c r="K11228" s="5" t="s">
        <v>51647</v>
      </c>
      <c r="L11228" s="18" t="s">
        <v>39</v>
      </c>
      <c r="M11228" s="18" t="s">
        <v>29</v>
      </c>
      <c r="N11228" s="18" t="s">
        <v>67</v>
      </c>
      <c r="O11228" s="18" t="s">
        <v>29</v>
      </c>
      <c r="P11228" s="6"/>
      <c r="Q11228" s="6"/>
      <c r="R11228" s="6"/>
      <c r="S11228" s="6"/>
      <c r="T11228" s="6"/>
      <c r="U11228" s="6"/>
    </row>
    <row r="11229" ht="14.25">
      <c r="B11229" s="18" t="s">
        <v>51648</v>
      </c>
      <c r="C11229" s="18" t="s">
        <v>51649</v>
      </c>
      <c r="D11229" s="18" t="s">
        <v>1130</v>
      </c>
      <c r="E11229" s="18" t="s">
        <v>51650</v>
      </c>
      <c r="F11229" s="18" t="str">
        <f>IFERROR(__XLUDF.DUMMYFUNCTION("PROPER(REGEXREPLACE(D1141,""[^A-Za-z]+ "",""""))"),"Manosque Electricite Plomberie")</f>
        <v xml:space="preserve">Manosque Electricite Plomberie</v>
      </c>
      <c r="G11229" s="18" t="s">
        <v>51651</v>
      </c>
      <c r="H11229" s="18">
        <v>32</v>
      </c>
      <c r="I11229" s="18" t="s">
        <v>9239</v>
      </c>
      <c r="J11229" s="5" t="s">
        <v>51652</v>
      </c>
      <c r="K11229" s="5" t="s">
        <v>51653</v>
      </c>
      <c r="L11229" s="18" t="s">
        <v>295</v>
      </c>
      <c r="M11229" s="18" t="s">
        <v>29</v>
      </c>
      <c r="N11229" s="18" t="s">
        <v>51654</v>
      </c>
      <c r="O11229" s="18" t="s">
        <v>29</v>
      </c>
      <c r="P11229" s="6"/>
      <c r="Q11229" s="6"/>
      <c r="R11229" s="6"/>
      <c r="S11229" s="6"/>
      <c r="T11229" s="6"/>
      <c r="U11229" s="6"/>
    </row>
    <row r="11230" ht="14.25">
      <c r="B11230" s="18" t="s">
        <v>785</v>
      </c>
      <c r="C11230" s="18" t="s">
        <v>20703</v>
      </c>
      <c r="D11230" s="18" t="s">
        <v>112</v>
      </c>
      <c r="E11230" s="18" t="s">
        <v>51655</v>
      </c>
      <c r="F11230" s="18" t="str">
        <f>IFERROR(__XLUDF.DUMMYFUNCTION("PROPER(REGEXREPLACE(D1142,""[^A-Za-z]+ "",""""))"),"Frasil")</f>
        <v>Frasil</v>
      </c>
      <c r="G11230" s="18" t="s">
        <v>51656</v>
      </c>
      <c r="H11230" s="18">
        <v>2</v>
      </c>
      <c r="I11230" s="18" t="s">
        <v>9239</v>
      </c>
      <c r="J11230" s="5" t="s">
        <v>51657</v>
      </c>
      <c r="K11230" s="5" t="s">
        <v>51658</v>
      </c>
      <c r="L11230" s="18" t="s">
        <v>185</v>
      </c>
      <c r="M11230" s="18" t="s">
        <v>29</v>
      </c>
      <c r="N11230" s="18" t="s">
        <v>51659</v>
      </c>
      <c r="O11230" s="18" t="s">
        <v>29</v>
      </c>
      <c r="P11230" s="18" t="s">
        <v>51660</v>
      </c>
      <c r="Q11230" s="6"/>
      <c r="R11230" s="6"/>
      <c r="S11230" s="6"/>
      <c r="T11230" s="6"/>
      <c r="U11230" s="6"/>
    </row>
    <row r="11231" ht="14.25">
      <c r="B11231" s="18" t="s">
        <v>4800</v>
      </c>
      <c r="C11231" s="18" t="s">
        <v>51661</v>
      </c>
      <c r="D11231" s="18" t="s">
        <v>112</v>
      </c>
      <c r="E11231" s="18" t="s">
        <v>50540</v>
      </c>
      <c r="F11231" s="18" t="str">
        <f>IFERROR(__XLUDF.DUMMYFUNCTION("PROPER(REGEXREPLACE(D1143,""[^A-Za-z]+ "",""""))"),"Gcbtp")</f>
        <v>Gcbtp</v>
      </c>
      <c r="G11231" s="18" t="s">
        <v>51662</v>
      </c>
      <c r="H11231" s="18">
        <v>42</v>
      </c>
      <c r="I11231" s="18" t="s">
        <v>9239</v>
      </c>
      <c r="J11231" s="5" t="s">
        <v>51663</v>
      </c>
      <c r="K11231" s="5" t="s">
        <v>50543</v>
      </c>
      <c r="L11231" s="18" t="s">
        <v>39</v>
      </c>
      <c r="M11231" s="18" t="s">
        <v>29</v>
      </c>
      <c r="N11231" s="18" t="s">
        <v>23170</v>
      </c>
      <c r="O11231" s="18" t="s">
        <v>29</v>
      </c>
      <c r="P11231" s="6"/>
      <c r="Q11231" s="6"/>
      <c r="R11231" s="6"/>
      <c r="S11231" s="6"/>
      <c r="T11231" s="6"/>
      <c r="U11231" s="6"/>
    </row>
    <row r="11232" ht="14.25">
      <c r="B11232" s="18" t="s">
        <v>3072</v>
      </c>
      <c r="C11232" s="18" t="s">
        <v>10461</v>
      </c>
      <c r="D11232" s="18" t="s">
        <v>112</v>
      </c>
      <c r="E11232" s="18" t="s">
        <v>51664</v>
      </c>
      <c r="F11232" s="18" t="str">
        <f>IFERROR(__XLUDF.DUMMYFUNCTION("PROPER(REGEXREPLACE(D1144,""[^A-Za-z]+ "",""""))"),"Groupe Brunet")</f>
        <v xml:space="preserve">Groupe Brunet</v>
      </c>
      <c r="G11232" s="18" t="s">
        <v>51665</v>
      </c>
      <c r="H11232" s="18">
        <v>17</v>
      </c>
      <c r="I11232" s="18" t="s">
        <v>9239</v>
      </c>
      <c r="J11232" s="5" t="s">
        <v>51666</v>
      </c>
      <c r="K11232" s="5" t="s">
        <v>51667</v>
      </c>
      <c r="L11232" s="18" t="s">
        <v>185</v>
      </c>
      <c r="M11232" s="18" t="s">
        <v>29</v>
      </c>
      <c r="N11232" s="18" t="s">
        <v>51668</v>
      </c>
      <c r="O11232" s="18" t="s">
        <v>29</v>
      </c>
      <c r="P11232" s="18" t="s">
        <v>51669</v>
      </c>
      <c r="Q11232" s="6"/>
      <c r="R11232" s="6"/>
      <c r="S11232" s="6"/>
      <c r="T11232" s="6"/>
      <c r="U11232" s="6"/>
    </row>
    <row r="11233" ht="14.25">
      <c r="B11233" s="18" t="s">
        <v>279</v>
      </c>
      <c r="C11233" s="18" t="s">
        <v>7505</v>
      </c>
      <c r="D11233" s="18" t="s">
        <v>112</v>
      </c>
      <c r="E11233" s="18" t="s">
        <v>51670</v>
      </c>
      <c r="F11233" s="18" t="str">
        <f>IFERROR(__XLUDF.DUMMYFUNCTION("PROPER(REGEXREPLACE(D1145,""[^A-Za-z]+ "",""""))"),"Richard Construction")</f>
        <v xml:space="preserve">Richard Construction</v>
      </c>
      <c r="G11233" s="18" t="s">
        <v>51671</v>
      </c>
      <c r="H11233" s="18">
        <v>26</v>
      </c>
      <c r="I11233" s="18" t="s">
        <v>9239</v>
      </c>
      <c r="J11233" s="5" t="s">
        <v>51672</v>
      </c>
      <c r="K11233" s="5" t="s">
        <v>51673</v>
      </c>
      <c r="L11233" s="18" t="s">
        <v>185</v>
      </c>
      <c r="M11233" s="18" t="s">
        <v>29</v>
      </c>
      <c r="N11233" s="18" t="s">
        <v>29</v>
      </c>
      <c r="O11233" s="18" t="s">
        <v>29</v>
      </c>
      <c r="P11233" s="18" t="s">
        <v>51674</v>
      </c>
      <c r="Q11233" s="6"/>
      <c r="R11233" s="6"/>
      <c r="S11233" s="6"/>
      <c r="T11233" s="6"/>
      <c r="U11233" s="6"/>
    </row>
    <row r="11234" ht="14.25">
      <c r="B11234" s="18" t="s">
        <v>330</v>
      </c>
      <c r="C11234" s="18" t="s">
        <v>51675</v>
      </c>
      <c r="D11234" s="18" t="s">
        <v>315</v>
      </c>
      <c r="E11234" s="18" t="s">
        <v>49527</v>
      </c>
      <c r="F11234" s="18" t="str">
        <f>IFERROR(__XLUDF.DUMMYFUNCTION("PROPER(REGEXREPLACE(D1146,""[^A-Za-z]+ "",""""))"),"Ferro Ingenierie")</f>
        <v xml:space="preserve">Ferro Ingenierie</v>
      </c>
      <c r="G11234" s="18" t="s">
        <v>51676</v>
      </c>
      <c r="H11234" s="18">
        <v>29</v>
      </c>
      <c r="I11234" s="18" t="s">
        <v>9239</v>
      </c>
      <c r="J11234" s="5" t="s">
        <v>51677</v>
      </c>
      <c r="K11234" s="5" t="s">
        <v>49530</v>
      </c>
      <c r="L11234" s="18" t="s">
        <v>39</v>
      </c>
      <c r="M11234" s="18" t="s">
        <v>29</v>
      </c>
      <c r="N11234" s="18" t="s">
        <v>49531</v>
      </c>
      <c r="O11234" s="18" t="s">
        <v>29</v>
      </c>
      <c r="P11234" s="18" t="s">
        <v>49532</v>
      </c>
      <c r="Q11234" s="6"/>
      <c r="R11234" s="6"/>
      <c r="S11234" s="6"/>
      <c r="T11234" s="6"/>
      <c r="U11234" s="6"/>
    </row>
    <row r="11235" ht="14.25">
      <c r="B11235" s="18" t="s">
        <v>1238</v>
      </c>
      <c r="C11235" s="18" t="s">
        <v>51678</v>
      </c>
      <c r="D11235" s="18" t="s">
        <v>112</v>
      </c>
      <c r="E11235" s="18" t="s">
        <v>51679</v>
      </c>
      <c r="F11235" s="18" t="str">
        <f>IFERROR(__XLUDF.DUMMYFUNCTION("PROPER(REGEXREPLACE(D1147,""[^A-Za-z]+ "",""""))"),"Groupe Eliéne")</f>
        <v xml:space="preserve">Groupe Eliéne</v>
      </c>
      <c r="G11235" s="18" t="s">
        <v>51680</v>
      </c>
      <c r="H11235" s="18">
        <v>38</v>
      </c>
      <c r="I11235" s="18" t="s">
        <v>9239</v>
      </c>
      <c r="J11235" s="5" t="s">
        <v>51681</v>
      </c>
      <c r="K11235" s="5" t="s">
        <v>51682</v>
      </c>
      <c r="L11235" s="18" t="s">
        <v>1745</v>
      </c>
      <c r="M11235" s="18" t="s">
        <v>29</v>
      </c>
      <c r="N11235" s="18" t="s">
        <v>17793</v>
      </c>
      <c r="O11235" s="18" t="s">
        <v>29</v>
      </c>
      <c r="P11235" s="6"/>
      <c r="Q11235" s="6"/>
      <c r="R11235" s="6"/>
      <c r="S11235" s="6"/>
      <c r="T11235" s="6"/>
      <c r="U11235" s="6"/>
    </row>
    <row r="11236" ht="14.25">
      <c r="B11236" s="18" t="s">
        <v>12327</v>
      </c>
      <c r="C11236" s="18" t="s">
        <v>51683</v>
      </c>
      <c r="D11236" s="18" t="s">
        <v>7155</v>
      </c>
      <c r="E11236" s="18" t="s">
        <v>51684</v>
      </c>
      <c r="F11236" s="18" t="str">
        <f>IFERROR(__XLUDF.DUMMYFUNCTION("PROPER(REGEXREPLACE(D1148,""[^A-Za-z]+ "",""""))"),"Cmd Lyon")</f>
        <v xml:space="preserve">Cmd Lyon</v>
      </c>
      <c r="G11236" s="18" t="s">
        <v>51685</v>
      </c>
      <c r="H11236" s="18">
        <v>14</v>
      </c>
      <c r="I11236" s="18" t="s">
        <v>9239</v>
      </c>
      <c r="J11236" s="5" t="s">
        <v>51686</v>
      </c>
      <c r="K11236" s="5" t="s">
        <v>51687</v>
      </c>
      <c r="L11236" s="18" t="s">
        <v>185</v>
      </c>
      <c r="M11236" s="18" t="s">
        <v>29</v>
      </c>
      <c r="N11236" s="18" t="s">
        <v>51688</v>
      </c>
      <c r="O11236" s="18" t="s">
        <v>29</v>
      </c>
      <c r="P11236" s="6"/>
      <c r="Q11236" s="6"/>
      <c r="R11236" s="6"/>
      <c r="S11236" s="6"/>
      <c r="T11236" s="6"/>
      <c r="U11236" s="6"/>
    </row>
    <row r="11237" ht="14.25">
      <c r="B11237" s="18" t="s">
        <v>1198</v>
      </c>
      <c r="C11237" s="18" t="s">
        <v>51689</v>
      </c>
      <c r="D11237" s="18" t="s">
        <v>341</v>
      </c>
      <c r="E11237" s="18" t="s">
        <v>51690</v>
      </c>
      <c r="F11237" s="18" t="str">
        <f>IFERROR(__XLUDF.DUMMYFUNCTION("PROPER(REGEXREPLACE(D1149,""[^A-Za-z]+ "",""""))"),"Groupe Lartigue")</f>
        <v xml:space="preserve">Groupe Lartigue</v>
      </c>
      <c r="G11237" s="18" t="s">
        <v>51691</v>
      </c>
      <c r="H11237" s="18">
        <v>16</v>
      </c>
      <c r="I11237" s="18" t="s">
        <v>4293</v>
      </c>
      <c r="J11237" s="5" t="s">
        <v>51692</v>
      </c>
      <c r="K11237" s="5" t="s">
        <v>51693</v>
      </c>
      <c r="L11237" s="18" t="s">
        <v>1204</v>
      </c>
      <c r="M11237" s="18" t="s">
        <v>29</v>
      </c>
      <c r="N11237" s="18" t="s">
        <v>41166</v>
      </c>
      <c r="O11237" s="18" t="s">
        <v>29</v>
      </c>
      <c r="P11237" s="18" t="s">
        <v>51694</v>
      </c>
      <c r="Q11237" s="6"/>
      <c r="R11237" s="6"/>
      <c r="S11237" s="6"/>
      <c r="T11237" s="6"/>
      <c r="U11237" s="6"/>
    </row>
    <row r="11238" ht="14.25">
      <c r="B11238" s="18" t="s">
        <v>679</v>
      </c>
      <c r="C11238" s="18" t="s">
        <v>51695</v>
      </c>
      <c r="D11238" s="18" t="s">
        <v>487</v>
      </c>
      <c r="E11238" s="18" t="s">
        <v>44815</v>
      </c>
      <c r="F11238" s="18" t="str">
        <f>IFERROR(__XLUDF.DUMMYFUNCTION("PROPER(REGEXREPLACE(D1150,""[^A-Za-z]+ "",""""))"),"Mf Construction")</f>
        <v xml:space="preserve">Mf Construction</v>
      </c>
      <c r="G11238" s="18" t="s">
        <v>51696</v>
      </c>
      <c r="H11238" s="18">
        <v>19</v>
      </c>
      <c r="I11238" s="18" t="s">
        <v>9239</v>
      </c>
      <c r="J11238" s="5" t="s">
        <v>51697</v>
      </c>
      <c r="K11238" s="5" t="s">
        <v>44818</v>
      </c>
      <c r="L11238" s="18" t="s">
        <v>1711</v>
      </c>
      <c r="M11238" s="18" t="s">
        <v>29</v>
      </c>
      <c r="N11238" s="18" t="s">
        <v>44819</v>
      </c>
      <c r="O11238" s="18" t="s">
        <v>29</v>
      </c>
      <c r="P11238" s="18" t="s">
        <v>44820</v>
      </c>
      <c r="Q11238" s="6"/>
      <c r="R11238" s="6"/>
      <c r="S11238" s="6"/>
      <c r="T11238" s="6"/>
      <c r="U11238" s="6"/>
    </row>
    <row r="11239" ht="14.25">
      <c r="B11239" s="18" t="s">
        <v>28888</v>
      </c>
      <c r="C11239" s="18" t="s">
        <v>51698</v>
      </c>
      <c r="D11239" s="18" t="s">
        <v>44</v>
      </c>
      <c r="E11239" s="18" t="s">
        <v>51699</v>
      </c>
      <c r="F11239" s="18" t="str">
        <f>IFERROR(__XLUDF.DUMMYFUNCTION("PROPER(REGEXREPLACE(D1151,""[^A-Za-z]+ "",""""))"),"Maverick")</f>
        <v>Maverick</v>
      </c>
      <c r="G11239" s="18" t="s">
        <v>51700</v>
      </c>
      <c r="H11239" s="18">
        <v>10</v>
      </c>
      <c r="I11239" s="18" t="s">
        <v>9239</v>
      </c>
      <c r="J11239" s="5" t="s">
        <v>51701</v>
      </c>
      <c r="K11239" s="5" t="s">
        <v>51702</v>
      </c>
      <c r="L11239" s="18" t="s">
        <v>49</v>
      </c>
      <c r="M11239" s="18" t="s">
        <v>29</v>
      </c>
      <c r="N11239" s="18" t="s">
        <v>51703</v>
      </c>
      <c r="O11239" s="18" t="s">
        <v>595</v>
      </c>
      <c r="P11239" s="18" t="s">
        <v>51704</v>
      </c>
      <c r="Q11239" s="6"/>
      <c r="R11239" s="6"/>
      <c r="S11239" s="6"/>
      <c r="T11239" s="6"/>
      <c r="U11239" s="6"/>
    </row>
    <row r="11240" ht="14.25">
      <c r="B11240" s="18" t="s">
        <v>12387</v>
      </c>
      <c r="C11240" s="18" t="s">
        <v>51705</v>
      </c>
      <c r="D11240" s="18" t="s">
        <v>112</v>
      </c>
      <c r="E11240" s="18" t="s">
        <v>51706</v>
      </c>
      <c r="F11240" s="18" t="str">
        <f>IFERROR(__XLUDF.DUMMYFUNCTION("PROPER(REGEXREPLACE(D1152,""[^A-Za-z]+ "",""""))"),"Menuiserie Joie")</f>
        <v xml:space="preserve">Menuiserie Joie</v>
      </c>
      <c r="G11240" s="18" t="s">
        <v>51707</v>
      </c>
      <c r="H11240" s="18">
        <v>4</v>
      </c>
      <c r="I11240" s="18" t="s">
        <v>9239</v>
      </c>
      <c r="J11240" s="5" t="s">
        <v>51708</v>
      </c>
      <c r="K11240" s="5" t="s">
        <v>51709</v>
      </c>
      <c r="L11240" s="18" t="s">
        <v>51710</v>
      </c>
      <c r="M11240" s="18" t="s">
        <v>29</v>
      </c>
      <c r="N11240" s="18" t="s">
        <v>51711</v>
      </c>
      <c r="O11240" s="18" t="s">
        <v>29</v>
      </c>
      <c r="P11240" s="18" t="s">
        <v>51712</v>
      </c>
      <c r="Q11240" s="6"/>
      <c r="R11240" s="6"/>
      <c r="S11240" s="6"/>
      <c r="T11240" s="6"/>
      <c r="U11240" s="6"/>
    </row>
    <row r="11241" ht="14.25">
      <c r="B11241" s="18" t="s">
        <v>2436</v>
      </c>
      <c r="C11241" s="18" t="s">
        <v>51713</v>
      </c>
      <c r="D11241" s="18" t="s">
        <v>120</v>
      </c>
      <c r="E11241" s="18" t="s">
        <v>48641</v>
      </c>
      <c r="F11241" s="18" t="str">
        <f>IFERROR(__XLUDF.DUMMYFUNCTION("PROPER(REGEXREPLACE(D1153,""[^A-Za-z]+ "",""""))"),"Homyos")</f>
        <v>Homyos</v>
      </c>
      <c r="G11241" s="18" t="s">
        <v>51714</v>
      </c>
      <c r="H11241" s="18">
        <v>15</v>
      </c>
      <c r="I11241" s="18" t="s">
        <v>9239</v>
      </c>
      <c r="J11241" s="5" t="s">
        <v>51715</v>
      </c>
      <c r="K11241" s="5" t="s">
        <v>48644</v>
      </c>
      <c r="L11241" s="18" t="s">
        <v>39</v>
      </c>
      <c r="M11241" s="18" t="s">
        <v>29</v>
      </c>
      <c r="N11241" s="18" t="s">
        <v>48645</v>
      </c>
      <c r="O11241" s="18" t="s">
        <v>29</v>
      </c>
      <c r="P11241" s="18" t="s">
        <v>48646</v>
      </c>
      <c r="Q11241" s="6"/>
      <c r="R11241" s="6"/>
      <c r="S11241" s="6"/>
      <c r="T11241" s="6"/>
      <c r="U11241" s="6"/>
    </row>
    <row r="11242" ht="14.25">
      <c r="B11242" s="18" t="s">
        <v>1853</v>
      </c>
      <c r="C11242" s="18" t="s">
        <v>25760</v>
      </c>
      <c r="D11242" s="18" t="s">
        <v>426</v>
      </c>
      <c r="E11242" s="18" t="s">
        <v>51716</v>
      </c>
      <c r="F11242" s="18" t="str">
        <f>IFERROR(__XLUDF.DUMMYFUNCTION("PROPER(REGEXREPLACE(D1154,""[^A-Za-z]+ "",""""))"),"Technopôle Domolandes")</f>
        <v xml:space="preserve">Technopôle Domolandes</v>
      </c>
      <c r="G11242" s="18" t="s">
        <v>51717</v>
      </c>
      <c r="H11242" s="18">
        <v>11</v>
      </c>
      <c r="I11242" s="18" t="s">
        <v>9239</v>
      </c>
      <c r="J11242" s="5" t="s">
        <v>51718</v>
      </c>
      <c r="K11242" s="5" t="s">
        <v>51719</v>
      </c>
      <c r="L11242" s="6"/>
      <c r="M11242" s="18" t="s">
        <v>29</v>
      </c>
      <c r="N11242" s="18" t="s">
        <v>51720</v>
      </c>
      <c r="O11242" s="18" t="s">
        <v>29</v>
      </c>
      <c r="P11242" s="18" t="s">
        <v>51721</v>
      </c>
      <c r="Q11242" s="6"/>
      <c r="R11242" s="6"/>
      <c r="S11242" s="6"/>
      <c r="T11242" s="6"/>
      <c r="U11242" s="6"/>
    </row>
    <row r="11243" ht="14.25">
      <c r="B11243" s="18" t="s">
        <v>51722</v>
      </c>
      <c r="C11243" s="18" t="s">
        <v>3548</v>
      </c>
      <c r="D11243" s="18" t="s">
        <v>18553</v>
      </c>
      <c r="E11243" s="18" t="s">
        <v>51723</v>
      </c>
      <c r="F11243" s="18" t="str">
        <f>IFERROR(__XLUDF.DUMMYFUNCTION("PROPER(REGEXREPLACE(D1155,""[^A-Za-z]+ "",""""))"),"Hoummi")</f>
        <v>Hoummi</v>
      </c>
      <c r="G11243" s="18" t="s">
        <v>51724</v>
      </c>
      <c r="H11243" s="18">
        <v>4</v>
      </c>
      <c r="I11243" s="18" t="s">
        <v>9239</v>
      </c>
      <c r="J11243" s="5" t="s">
        <v>51725</v>
      </c>
      <c r="K11243" s="5" t="s">
        <v>51726</v>
      </c>
      <c r="L11243" s="18" t="s">
        <v>39</v>
      </c>
      <c r="M11243" s="18" t="s">
        <v>29</v>
      </c>
      <c r="N11243" s="18" t="s">
        <v>51727</v>
      </c>
      <c r="O11243" s="18" t="s">
        <v>29</v>
      </c>
      <c r="P11243" s="18" t="s">
        <v>51728</v>
      </c>
      <c r="Q11243" s="6"/>
      <c r="R11243" s="6"/>
      <c r="S11243" s="6"/>
      <c r="T11243" s="6"/>
      <c r="U11243" s="6"/>
    </row>
    <row r="11244" ht="14.25">
      <c r="B11244" s="18" t="s">
        <v>1768</v>
      </c>
      <c r="C11244" s="18" t="s">
        <v>16259</v>
      </c>
      <c r="D11244" s="18" t="s">
        <v>688</v>
      </c>
      <c r="E11244" s="18" t="s">
        <v>51729</v>
      </c>
      <c r="F11244" s="18" t="str">
        <f>IFERROR(__XLUDF.DUMMYFUNCTION("PROPER(REGEXREPLACE(D1156,""[^A-Za-z]+ "",""""))"),"Thermsanit Groupe")</f>
        <v xml:space="preserve">Thermsanit Groupe</v>
      </c>
      <c r="G11244" s="18" t="s">
        <v>51730</v>
      </c>
      <c r="H11244" s="18">
        <v>23</v>
      </c>
      <c r="I11244" s="18" t="s">
        <v>9239</v>
      </c>
      <c r="J11244" s="5" t="s">
        <v>51731</v>
      </c>
      <c r="K11244" s="5" t="s">
        <v>51732</v>
      </c>
      <c r="L11244" s="18" t="s">
        <v>3378</v>
      </c>
      <c r="M11244" s="18" t="s">
        <v>29</v>
      </c>
      <c r="N11244" s="18" t="s">
        <v>51733</v>
      </c>
      <c r="O11244" s="18" t="s">
        <v>29</v>
      </c>
      <c r="P11244" s="18" t="s">
        <v>51734</v>
      </c>
      <c r="Q11244" s="6"/>
      <c r="R11244" s="6"/>
      <c r="S11244" s="6"/>
      <c r="T11244" s="6"/>
      <c r="U11244" s="6"/>
    </row>
    <row r="11245" ht="14.25">
      <c r="B11245" s="18" t="s">
        <v>4236</v>
      </c>
      <c r="C11245" s="18" t="s">
        <v>51735</v>
      </c>
      <c r="D11245" s="18" t="s">
        <v>29921</v>
      </c>
      <c r="E11245" s="18" t="s">
        <v>51736</v>
      </c>
      <c r="F11245" s="18" t="str">
        <f>IFERROR(__XLUDF.DUMMYFUNCTION("PROPER(REGEXREPLACE(D1157,""[^A-Za-z]+ "",""""))"),"Coat-Ing")</f>
        <v>Coat-Ing</v>
      </c>
      <c r="G11245" s="18" t="s">
        <v>51737</v>
      </c>
      <c r="H11245" s="18">
        <v>2</v>
      </c>
      <c r="I11245" s="18" t="s">
        <v>9239</v>
      </c>
      <c r="J11245" s="5" t="s">
        <v>51738</v>
      </c>
      <c r="K11245" s="5" t="s">
        <v>51739</v>
      </c>
      <c r="L11245" s="18" t="s">
        <v>39</v>
      </c>
      <c r="M11245" s="18" t="s">
        <v>29</v>
      </c>
      <c r="N11245" s="18" t="s">
        <v>51740</v>
      </c>
      <c r="O11245" s="18" t="s">
        <v>29</v>
      </c>
      <c r="P11245" s="18" t="s">
        <v>51741</v>
      </c>
      <c r="Q11245" s="6"/>
      <c r="R11245" s="6"/>
      <c r="S11245" s="6"/>
      <c r="T11245" s="6"/>
      <c r="U11245" s="6"/>
    </row>
    <row r="11246" ht="14.25">
      <c r="B11246" s="18" t="s">
        <v>963</v>
      </c>
      <c r="C11246" s="18" t="s">
        <v>3257</v>
      </c>
      <c r="D11246" s="18" t="s">
        <v>172</v>
      </c>
      <c r="E11246" s="18" t="s">
        <v>51742</v>
      </c>
      <c r="F11246" s="18" t="str">
        <f>IFERROR(__XLUDF.DUMMYFUNCTION("PROPER(REGEXREPLACE(D1158,""[^A-Za-z]+ "",""""))"),"Groupe Crespy")</f>
        <v xml:space="preserve">Groupe Crespy</v>
      </c>
      <c r="G11246" s="18" t="s">
        <v>51743</v>
      </c>
      <c r="H11246" s="18">
        <v>22</v>
      </c>
      <c r="I11246" s="18" t="s">
        <v>9239</v>
      </c>
      <c r="J11246" s="5" t="s">
        <v>51744</v>
      </c>
      <c r="K11246" s="5" t="s">
        <v>51745</v>
      </c>
      <c r="L11246" s="18" t="s">
        <v>83</v>
      </c>
      <c r="M11246" s="18" t="s">
        <v>29</v>
      </c>
      <c r="N11246" s="18" t="s">
        <v>51746</v>
      </c>
      <c r="O11246" s="18" t="s">
        <v>29</v>
      </c>
      <c r="P11246" s="18" t="s">
        <v>51747</v>
      </c>
      <c r="Q11246" s="6"/>
      <c r="R11246" s="6"/>
      <c r="S11246" s="6"/>
      <c r="T11246" s="6"/>
      <c r="U11246" s="6"/>
    </row>
    <row r="11247" ht="14.25">
      <c r="B11247" s="18" t="s">
        <v>4986</v>
      </c>
      <c r="C11247" s="18" t="s">
        <v>937</v>
      </c>
      <c r="D11247" s="18" t="s">
        <v>164</v>
      </c>
      <c r="E11247" s="18" t="s">
        <v>51748</v>
      </c>
      <c r="F11247" s="18" t="str">
        <f>IFERROR(__XLUDF.DUMMYFUNCTION("PROPER(REGEXREPLACE(D1159,""[^A-Za-z]+ "",""""))"),"G2I")</f>
        <v>G2I</v>
      </c>
      <c r="G11247" s="18" t="s">
        <v>51749</v>
      </c>
      <c r="H11247" s="18">
        <v>34</v>
      </c>
      <c r="I11247" s="18" t="s">
        <v>9239</v>
      </c>
      <c r="J11247" s="5" t="s">
        <v>51750</v>
      </c>
      <c r="K11247" s="5" t="s">
        <v>51751</v>
      </c>
      <c r="L11247" s="18" t="s">
        <v>295</v>
      </c>
      <c r="M11247" s="18" t="s">
        <v>29</v>
      </c>
      <c r="N11247" s="18" t="s">
        <v>51752</v>
      </c>
      <c r="O11247" s="18" t="s">
        <v>29</v>
      </c>
      <c r="P11247" s="6"/>
      <c r="Q11247" s="6"/>
      <c r="R11247" s="6"/>
      <c r="S11247" s="6"/>
      <c r="T11247" s="6"/>
      <c r="U11247" s="6"/>
    </row>
    <row r="11248" ht="14.25">
      <c r="B11248" s="18" t="s">
        <v>322</v>
      </c>
      <c r="C11248" s="18" t="s">
        <v>17621</v>
      </c>
      <c r="D11248" s="18" t="s">
        <v>172</v>
      </c>
      <c r="E11248" s="18" t="s">
        <v>51753</v>
      </c>
      <c r="F11248" s="18" t="str">
        <f>IFERROR(__XLUDF.DUMMYFUNCTION("PROPER(REGEXREPLACE(D1160,""[^A-Za-z]+ "",""""))"),"Ets Fernandes Sa")</f>
        <v xml:space="preserve">Ets Fernandes Sa</v>
      </c>
      <c r="G11248" s="18" t="s">
        <v>51754</v>
      </c>
      <c r="H11248" s="18">
        <v>10</v>
      </c>
      <c r="I11248" s="18" t="s">
        <v>9239</v>
      </c>
      <c r="J11248" s="5" t="s">
        <v>51755</v>
      </c>
      <c r="K11248" s="5" t="s">
        <v>51756</v>
      </c>
      <c r="L11248" s="18" t="s">
        <v>831</v>
      </c>
      <c r="M11248" s="18" t="s">
        <v>29</v>
      </c>
      <c r="N11248" s="18" t="s">
        <v>51757</v>
      </c>
      <c r="O11248" s="18" t="s">
        <v>29</v>
      </c>
      <c r="P11248" s="18" t="s">
        <v>51758</v>
      </c>
      <c r="Q11248" s="6"/>
      <c r="R11248" s="6"/>
      <c r="S11248" s="6"/>
      <c r="T11248" s="6"/>
      <c r="U11248" s="6"/>
    </row>
    <row r="11249" ht="14.25">
      <c r="B11249" s="18" t="s">
        <v>85</v>
      </c>
      <c r="C11249" s="18" t="s">
        <v>51759</v>
      </c>
      <c r="D11249" s="18" t="s">
        <v>164</v>
      </c>
      <c r="E11249" s="18" t="s">
        <v>51760</v>
      </c>
      <c r="F11249" s="18" t="str">
        <f>IFERROR(__XLUDF.DUMMYFUNCTION("PROPER(REGEXREPLACE(D1161,""[^A-Za-z]+ "",""""))"),"Batinor")</f>
        <v>Batinor</v>
      </c>
      <c r="G11249" s="18" t="s">
        <v>51761</v>
      </c>
      <c r="H11249" s="18">
        <v>32</v>
      </c>
      <c r="I11249" s="18" t="s">
        <v>9239</v>
      </c>
      <c r="J11249" s="5" t="s">
        <v>51762</v>
      </c>
      <c r="K11249" s="5" t="s">
        <v>51763</v>
      </c>
      <c r="L11249" s="18" t="s">
        <v>51764</v>
      </c>
      <c r="M11249" s="18" t="s">
        <v>29</v>
      </c>
      <c r="N11249" s="18" t="s">
        <v>51765</v>
      </c>
      <c r="O11249" s="18" t="s">
        <v>29</v>
      </c>
      <c r="P11249" s="6"/>
      <c r="Q11249" s="6"/>
      <c r="R11249" s="6"/>
      <c r="S11249" s="6"/>
      <c r="T11249" s="6"/>
      <c r="U11249" s="6"/>
    </row>
    <row r="11250" ht="14.25">
      <c r="B11250" s="18" t="s">
        <v>1844</v>
      </c>
      <c r="C11250" s="18" t="s">
        <v>51766</v>
      </c>
      <c r="D11250" s="18" t="s">
        <v>6091</v>
      </c>
      <c r="E11250" s="18" t="s">
        <v>51767</v>
      </c>
      <c r="F11250" s="18" t="str">
        <f>IFERROR(__XLUDF.DUMMYFUNCTION("PROPER(REGEXREPLACE(D1162,""[^A-Za-z]+ "",""""))"),"Elaii")</f>
        <v>Elaii</v>
      </c>
      <c r="G11250" s="18" t="s">
        <v>51768</v>
      </c>
      <c r="H11250" s="18">
        <v>8</v>
      </c>
      <c r="I11250" s="18" t="s">
        <v>9239</v>
      </c>
      <c r="J11250" s="5" t="s">
        <v>51769</v>
      </c>
      <c r="K11250" s="5" t="s">
        <v>51770</v>
      </c>
      <c r="L11250" s="6"/>
      <c r="M11250" s="18" t="s">
        <v>29</v>
      </c>
      <c r="N11250" s="18" t="s">
        <v>67</v>
      </c>
      <c r="O11250" s="18" t="s">
        <v>29</v>
      </c>
      <c r="P11250" s="6"/>
      <c r="Q11250" s="6"/>
      <c r="R11250" s="6"/>
      <c r="S11250" s="6"/>
      <c r="T11250" s="6"/>
      <c r="U11250" s="6"/>
    </row>
    <row r="11251" ht="14.25">
      <c r="B11251" s="18" t="s">
        <v>222</v>
      </c>
      <c r="C11251" s="18" t="s">
        <v>51771</v>
      </c>
      <c r="D11251" s="18" t="s">
        <v>172</v>
      </c>
      <c r="E11251" s="18" t="s">
        <v>51772</v>
      </c>
      <c r="F11251" s="18" t="str">
        <f>IFERROR(__XLUDF.DUMMYFUNCTION("PROPER(REGEXREPLACE(D1163,""[^A-Za-z]+ "",""""))"),"Cemexa")</f>
        <v>Cemexa</v>
      </c>
      <c r="G11251" s="18" t="s">
        <v>51773</v>
      </c>
      <c r="H11251" s="18">
        <v>10</v>
      </c>
      <c r="I11251" s="18" t="s">
        <v>9239</v>
      </c>
      <c r="J11251" s="5" t="s">
        <v>51774</v>
      </c>
      <c r="K11251" s="5" t="s">
        <v>51775</v>
      </c>
      <c r="L11251" s="18" t="s">
        <v>51776</v>
      </c>
      <c r="M11251" s="18" t="s">
        <v>29</v>
      </c>
      <c r="N11251" s="18" t="s">
        <v>51777</v>
      </c>
      <c r="O11251" s="18" t="s">
        <v>29</v>
      </c>
      <c r="P11251" s="6"/>
      <c r="Q11251" s="6"/>
      <c r="R11251" s="6"/>
      <c r="S11251" s="6"/>
      <c r="T11251" s="6"/>
      <c r="U11251" s="6"/>
    </row>
    <row r="11252" ht="14.25">
      <c r="B11252" s="18" t="s">
        <v>245</v>
      </c>
      <c r="C11252" s="18" t="s">
        <v>51778</v>
      </c>
      <c r="D11252" s="18" t="s">
        <v>172</v>
      </c>
      <c r="E11252" s="18" t="s">
        <v>51779</v>
      </c>
      <c r="F11252" s="18" t="str">
        <f>IFERROR(__XLUDF.DUMMYFUNCTION("PROPER(REGEXREPLACE(D1164,""[^A-Za-z]+ "",""""))"),"Novactory")</f>
        <v>Novactory</v>
      </c>
      <c r="G11252" s="18" t="s">
        <v>51780</v>
      </c>
      <c r="H11252" s="18">
        <v>4</v>
      </c>
      <c r="I11252" s="18" t="s">
        <v>9239</v>
      </c>
      <c r="J11252" s="5" t="s">
        <v>51781</v>
      </c>
      <c r="K11252" s="5" t="s">
        <v>51782</v>
      </c>
      <c r="L11252" s="18" t="s">
        <v>51783</v>
      </c>
      <c r="M11252" s="18" t="s">
        <v>29</v>
      </c>
      <c r="N11252" s="18" t="s">
        <v>51784</v>
      </c>
      <c r="O11252" s="18" t="s">
        <v>29</v>
      </c>
      <c r="P11252" s="18" t="s">
        <v>51785</v>
      </c>
      <c r="Q11252" s="6"/>
      <c r="R11252" s="6"/>
      <c r="S11252" s="6"/>
      <c r="T11252" s="6"/>
      <c r="U11252" s="6"/>
    </row>
    <row r="11253" ht="14.25">
      <c r="B11253" s="18" t="s">
        <v>955</v>
      </c>
      <c r="C11253" s="18" t="s">
        <v>51786</v>
      </c>
      <c r="D11253" s="18" t="s">
        <v>172</v>
      </c>
      <c r="E11253" s="18" t="s">
        <v>51787</v>
      </c>
      <c r="F11253" s="18" t="str">
        <f>IFERROR(__XLUDF.DUMMYFUNCTION("PROPER(REGEXREPLACE(D1165,""[^A-Za-z]+ "",""""))"),"Gallia Ets")</f>
        <v xml:space="preserve">Gallia Ets</v>
      </c>
      <c r="G11253" s="18" t="s">
        <v>51788</v>
      </c>
      <c r="H11253" s="18">
        <v>7</v>
      </c>
      <c r="I11253" s="18" t="s">
        <v>9239</v>
      </c>
      <c r="J11253" s="5" t="s">
        <v>51789</v>
      </c>
      <c r="K11253" s="5" t="s">
        <v>51790</v>
      </c>
      <c r="L11253" s="6"/>
      <c r="M11253" s="18" t="s">
        <v>29</v>
      </c>
      <c r="N11253" s="18" t="s">
        <v>51791</v>
      </c>
      <c r="O11253" s="18" t="s">
        <v>29</v>
      </c>
      <c r="P11253" s="6"/>
      <c r="Q11253" s="6"/>
      <c r="R11253" s="6"/>
      <c r="S11253" s="6"/>
      <c r="T11253" s="6"/>
      <c r="U11253" s="6"/>
    </row>
    <row r="11254" ht="14.25">
      <c r="B11254" s="18" t="s">
        <v>734</v>
      </c>
      <c r="C11254" s="18" t="s">
        <v>22407</v>
      </c>
      <c r="D11254" s="18" t="s">
        <v>172</v>
      </c>
      <c r="E11254" s="18" t="s">
        <v>22408</v>
      </c>
      <c r="F11254" s="18" t="str">
        <f>IFERROR(__XLUDF.DUMMYFUNCTION("PROPER(REGEXREPLACE(D1166,""[^A-Za-z]+ "",""""))"),"Scintelle")</f>
        <v>Scintelle</v>
      </c>
      <c r="G11254" s="18" t="s">
        <v>22409</v>
      </c>
      <c r="H11254" s="18">
        <v>32</v>
      </c>
      <c r="I11254" s="18" t="s">
        <v>9239</v>
      </c>
      <c r="J11254" s="5" t="s">
        <v>22410</v>
      </c>
      <c r="K11254" s="5" t="s">
        <v>22411</v>
      </c>
      <c r="L11254" s="18" t="s">
        <v>11888</v>
      </c>
      <c r="M11254" s="18" t="s">
        <v>29</v>
      </c>
      <c r="N11254" s="18" t="s">
        <v>22412</v>
      </c>
      <c r="O11254" s="18" t="s">
        <v>29</v>
      </c>
      <c r="P11254" s="6"/>
      <c r="Q11254" s="6"/>
      <c r="R11254" s="6"/>
      <c r="S11254" s="6"/>
      <c r="T11254" s="6"/>
      <c r="U11254" s="6"/>
    </row>
    <row r="11255" ht="14.25">
      <c r="B11255" s="18" t="s">
        <v>3019</v>
      </c>
      <c r="C11255" s="18" t="s">
        <v>51792</v>
      </c>
      <c r="D11255" s="18" t="s">
        <v>172</v>
      </c>
      <c r="E11255" s="18" t="s">
        <v>45571</v>
      </c>
      <c r="F11255" s="18" t="str">
        <f>IFERROR(__XLUDF.DUMMYFUNCTION("PROPER(REGEXREPLACE(D1167,""[^A-Za-z]+ "",""""))"),"Groupe Brandizi")</f>
        <v xml:space="preserve">Groupe Brandizi</v>
      </c>
      <c r="G11255" s="18" t="s">
        <v>51793</v>
      </c>
      <c r="H11255" s="18">
        <v>21</v>
      </c>
      <c r="I11255" s="18" t="s">
        <v>9239</v>
      </c>
      <c r="J11255" s="5" t="s">
        <v>51794</v>
      </c>
      <c r="K11255" s="5" t="s">
        <v>45574</v>
      </c>
      <c r="L11255" s="18" t="s">
        <v>39</v>
      </c>
      <c r="M11255" s="18" t="s">
        <v>29</v>
      </c>
      <c r="N11255" s="18" t="s">
        <v>45576</v>
      </c>
      <c r="O11255" s="18" t="s">
        <v>29</v>
      </c>
      <c r="P11255" s="18" t="s">
        <v>45577</v>
      </c>
      <c r="Q11255" s="6"/>
      <c r="R11255" s="6"/>
      <c r="S11255" s="6"/>
      <c r="T11255" s="6"/>
      <c r="U11255" s="6"/>
    </row>
    <row r="11256" ht="14.25">
      <c r="B11256" s="18" t="s">
        <v>17867</v>
      </c>
      <c r="C11256" s="18" t="s">
        <v>29815</v>
      </c>
      <c r="D11256" s="18" t="s">
        <v>51795</v>
      </c>
      <c r="E11256" s="18" t="s">
        <v>51285</v>
      </c>
      <c r="F11256" s="18" t="str">
        <f>IFERROR(__XLUDF.DUMMYFUNCTION("PROPER(REGEXREPLACE(D1168,""[^A-Za-z]+ "",""""))"),"Ql Clean Consortium")</f>
        <v xml:space="preserve">Ql Clean Consortium</v>
      </c>
      <c r="G11256" s="18" t="s">
        <v>51796</v>
      </c>
      <c r="H11256" s="18">
        <v>10</v>
      </c>
      <c r="I11256" s="18" t="s">
        <v>14257</v>
      </c>
      <c r="J11256" s="5" t="s">
        <v>51797</v>
      </c>
      <c r="K11256" s="5" t="s">
        <v>51288</v>
      </c>
      <c r="L11256" s="6"/>
      <c r="M11256" s="18" t="s">
        <v>29</v>
      </c>
      <c r="N11256" s="18" t="s">
        <v>1084</v>
      </c>
      <c r="O11256" s="18" t="s">
        <v>29</v>
      </c>
      <c r="P11256" s="18" t="s">
        <v>51289</v>
      </c>
      <c r="Q11256" s="6"/>
      <c r="R11256" s="6"/>
      <c r="S11256" s="6"/>
      <c r="T11256" s="6"/>
      <c r="U11256" s="6"/>
    </row>
    <row r="11257" ht="14.25">
      <c r="B11257" s="18" t="s">
        <v>7525</v>
      </c>
      <c r="C11257" s="18" t="s">
        <v>51798</v>
      </c>
      <c r="D11257" s="18" t="s">
        <v>51799</v>
      </c>
      <c r="E11257" s="18" t="s">
        <v>51800</v>
      </c>
      <c r="F11257" s="18" t="str">
        <f>IFERROR(__XLUDF.DUMMYFUNCTION("PROPER(REGEXREPLACE(D1169,""[^A-Za-z]+ "",""""))"),"Localteams")</f>
        <v>Localteams</v>
      </c>
      <c r="G11257" s="18" t="s">
        <v>51801</v>
      </c>
      <c r="H11257" s="18">
        <v>4</v>
      </c>
      <c r="I11257" s="18" t="s">
        <v>9239</v>
      </c>
      <c r="J11257" s="5" t="s">
        <v>51802</v>
      </c>
      <c r="K11257" s="5" t="s">
        <v>51803</v>
      </c>
      <c r="L11257" s="18" t="s">
        <v>15292</v>
      </c>
      <c r="M11257" s="18" t="s">
        <v>29</v>
      </c>
      <c r="N11257" s="18" t="s">
        <v>51804</v>
      </c>
      <c r="O11257" s="18" t="s">
        <v>29</v>
      </c>
      <c r="P11257" s="6"/>
      <c r="Q11257" s="6"/>
      <c r="R11257" s="6"/>
      <c r="S11257" s="6"/>
      <c r="T11257" s="6"/>
      <c r="U11257" s="6"/>
    </row>
    <row r="11258" ht="14.25">
      <c r="B11258" s="18" t="s">
        <v>1853</v>
      </c>
      <c r="C11258" s="18" t="s">
        <v>51805</v>
      </c>
      <c r="D11258" s="18" t="s">
        <v>172</v>
      </c>
      <c r="E11258" s="18" t="s">
        <v>51806</v>
      </c>
      <c r="F11258" s="18" t="str">
        <f>IFERROR(__XLUDF.DUMMYFUNCTION("PROPER(REGEXREPLACE(D1170,""[^A-Za-z]+ "",""""))"),"Srbi Immobilier Professionnel")</f>
        <v xml:space="preserve">Srbi Immobilier Professionnel</v>
      </c>
      <c r="G11258" s="18" t="s">
        <v>51807</v>
      </c>
      <c r="H11258" s="18">
        <v>8</v>
      </c>
      <c r="I11258" s="18" t="s">
        <v>9239</v>
      </c>
      <c r="J11258" s="5" t="s">
        <v>51808</v>
      </c>
      <c r="K11258" s="5" t="s">
        <v>51809</v>
      </c>
      <c r="L11258" s="6"/>
      <c r="M11258" s="18" t="s">
        <v>29</v>
      </c>
      <c r="N11258" s="18" t="s">
        <v>51810</v>
      </c>
      <c r="O11258" s="18" t="s">
        <v>29</v>
      </c>
      <c r="P11258" s="18" t="s">
        <v>51811</v>
      </c>
      <c r="Q11258" s="6"/>
      <c r="R11258" s="6"/>
      <c r="S11258" s="6"/>
      <c r="T11258" s="6"/>
      <c r="U11258" s="6"/>
    </row>
    <row r="11259" ht="14.25">
      <c r="B11259" s="18" t="s">
        <v>548</v>
      </c>
      <c r="C11259" s="18" t="s">
        <v>51812</v>
      </c>
      <c r="D11259" s="18" t="s">
        <v>172</v>
      </c>
      <c r="E11259" s="18" t="s">
        <v>50937</v>
      </c>
      <c r="F11259" s="18" t="str">
        <f>IFERROR(__XLUDF.DUMMYFUNCTION("PROPER(REGEXREPLACE(D1171,""[^A-Za-z]+ "",""""))"),"Edgar-Den")</f>
        <v>Edgar-Den</v>
      </c>
      <c r="G11259" s="18" t="s">
        <v>51813</v>
      </c>
      <c r="H11259" s="18">
        <v>4</v>
      </c>
      <c r="I11259" s="18" t="s">
        <v>9239</v>
      </c>
      <c r="J11259" s="5" t="s">
        <v>51814</v>
      </c>
      <c r="K11259" s="5" t="s">
        <v>50940</v>
      </c>
      <c r="L11259" s="18" t="s">
        <v>44246</v>
      </c>
      <c r="M11259" s="18" t="s">
        <v>29</v>
      </c>
      <c r="N11259" s="18" t="s">
        <v>50941</v>
      </c>
      <c r="O11259" s="18" t="s">
        <v>29</v>
      </c>
      <c r="P11259" s="6"/>
      <c r="Q11259" s="6"/>
      <c r="R11259" s="6"/>
      <c r="S11259" s="6"/>
      <c r="T11259" s="6"/>
      <c r="U11259" s="6"/>
    </row>
    <row r="11260" ht="14.25">
      <c r="B11260" s="18" t="s">
        <v>2348</v>
      </c>
      <c r="C11260" s="18" t="s">
        <v>51815</v>
      </c>
      <c r="D11260" s="18" t="s">
        <v>172</v>
      </c>
      <c r="E11260" s="18" t="s">
        <v>51816</v>
      </c>
      <c r="F11260" s="18" t="str">
        <f>IFERROR(__XLUDF.DUMMYFUNCTION("PROPER(REGEXREPLACE(D1172,""[^A-Za-z]+ "",""""))"),"Ag Concept")</f>
        <v xml:space="preserve">Ag Concept</v>
      </c>
      <c r="G11260" s="18" t="s">
        <v>51817</v>
      </c>
      <c r="H11260" s="18">
        <v>5</v>
      </c>
      <c r="I11260" s="18" t="s">
        <v>9239</v>
      </c>
      <c r="J11260" s="5" t="s">
        <v>51818</v>
      </c>
      <c r="K11260" s="5" t="s">
        <v>51819</v>
      </c>
      <c r="L11260" s="18" t="s">
        <v>16314</v>
      </c>
      <c r="M11260" s="18" t="s">
        <v>29</v>
      </c>
      <c r="N11260" s="18" t="s">
        <v>51820</v>
      </c>
      <c r="O11260" s="18" t="s">
        <v>29</v>
      </c>
      <c r="P11260" s="18" t="s">
        <v>51821</v>
      </c>
      <c r="Q11260" s="6"/>
      <c r="R11260" s="6"/>
      <c r="S11260" s="6"/>
      <c r="T11260" s="6"/>
      <c r="U11260" s="6"/>
    </row>
    <row r="11261" ht="14.25">
      <c r="B11261" s="18" t="s">
        <v>1732</v>
      </c>
      <c r="C11261" s="18" t="s">
        <v>51822</v>
      </c>
      <c r="D11261" s="18" t="s">
        <v>172</v>
      </c>
      <c r="E11261" s="18" t="s">
        <v>51823</v>
      </c>
      <c r="F11261" s="18" t="str">
        <f>IFERROR(__XLUDF.DUMMYFUNCTION("PROPER(REGEXREPLACE(D1173,""[^A-Za-z]+ "",""""))"),"Cemfluid")</f>
        <v>Cemfluid</v>
      </c>
      <c r="G11261" s="18" t="s">
        <v>51824</v>
      </c>
      <c r="H11261" s="18">
        <v>2</v>
      </c>
      <c r="I11261" s="18" t="s">
        <v>9239</v>
      </c>
      <c r="J11261" s="5" t="s">
        <v>51825</v>
      </c>
      <c r="K11261" s="5" t="s">
        <v>51826</v>
      </c>
      <c r="L11261" s="18" t="s">
        <v>1745</v>
      </c>
      <c r="M11261" s="18" t="s">
        <v>29</v>
      </c>
      <c r="N11261" s="18" t="s">
        <v>51827</v>
      </c>
      <c r="O11261" s="18" t="s">
        <v>29</v>
      </c>
      <c r="P11261" s="18" t="s">
        <v>51828</v>
      </c>
      <c r="Q11261" s="6"/>
      <c r="R11261" s="6"/>
      <c r="S11261" s="6"/>
      <c r="T11261" s="6"/>
      <c r="U11261" s="6"/>
    </row>
    <row r="11262" ht="14.25">
      <c r="B11262" s="18" t="s">
        <v>110</v>
      </c>
      <c r="C11262" s="18" t="s">
        <v>51829</v>
      </c>
      <c r="D11262" s="18" t="s">
        <v>5400</v>
      </c>
      <c r="E11262" s="18" t="s">
        <v>49449</v>
      </c>
      <c r="F11262" s="18" t="str">
        <f>IFERROR(__XLUDF.DUMMYFUNCTION("PROPER(REGEXREPLACE(D1174,""[^A-Za-z]+ "",""""))"),"Groupe Bir")</f>
        <v xml:space="preserve">Groupe Bir</v>
      </c>
      <c r="G11262" s="18" t="s">
        <v>51830</v>
      </c>
      <c r="H11262" s="18">
        <v>280</v>
      </c>
      <c r="I11262" s="18" t="s">
        <v>9239</v>
      </c>
      <c r="J11262" s="5" t="s">
        <v>51831</v>
      </c>
      <c r="K11262" s="5" t="s">
        <v>49452</v>
      </c>
      <c r="L11262" s="6"/>
      <c r="M11262" s="18" t="s">
        <v>29</v>
      </c>
      <c r="N11262" s="18" t="s">
        <v>17675</v>
      </c>
      <c r="O11262" s="18" t="s">
        <v>29</v>
      </c>
      <c r="P11262" s="6"/>
      <c r="Q11262" s="6"/>
      <c r="R11262" s="6"/>
      <c r="S11262" s="6"/>
      <c r="T11262" s="6"/>
      <c r="U11262" s="6"/>
    </row>
    <row r="11263" ht="14.25">
      <c r="B11263" s="18" t="s">
        <v>1198</v>
      </c>
      <c r="C11263" s="18" t="s">
        <v>29063</v>
      </c>
      <c r="D11263" s="18" t="s">
        <v>9532</v>
      </c>
      <c r="E11263" s="18" t="s">
        <v>10414</v>
      </c>
      <c r="F11263" s="18" t="str">
        <f>IFERROR(__XLUDF.DUMMYFUNCTION("PROPER(REGEXREPLACE(D1175,""[^A-Za-z]+ "",""""))"),"Atdr Ingénierie")</f>
        <v xml:space="preserve">Atdr Ingénierie</v>
      </c>
      <c r="G11263" s="18" t="s">
        <v>29064</v>
      </c>
      <c r="H11263" s="18">
        <v>14</v>
      </c>
      <c r="I11263" s="18" t="s">
        <v>9239</v>
      </c>
      <c r="J11263" s="5" t="s">
        <v>29065</v>
      </c>
      <c r="K11263" s="5" t="s">
        <v>29066</v>
      </c>
      <c r="L11263" s="18" t="s">
        <v>2903</v>
      </c>
      <c r="M11263" s="18" t="s">
        <v>29</v>
      </c>
      <c r="N11263" s="18" t="s">
        <v>20656</v>
      </c>
      <c r="O11263" s="18" t="s">
        <v>29</v>
      </c>
      <c r="P11263" s="6"/>
      <c r="Q11263" s="6"/>
      <c r="R11263" s="6"/>
      <c r="S11263" s="6"/>
      <c r="T11263" s="6"/>
      <c r="U11263" s="6"/>
    </row>
    <row r="11264" ht="14.25">
      <c r="B11264" s="18" t="s">
        <v>51832</v>
      </c>
      <c r="C11264" s="18" t="s">
        <v>51833</v>
      </c>
      <c r="D11264" s="18" t="s">
        <v>19070</v>
      </c>
      <c r="E11264" s="18" t="s">
        <v>49192</v>
      </c>
      <c r="F11264" s="18" t="str">
        <f>IFERROR(__XLUDF.DUMMYFUNCTION("PROPER(REGEXREPLACE(D1176,""[^A-Za-z]+ "",""""))"),"Cflc Groupe")</f>
        <v xml:space="preserve">Cflc Groupe</v>
      </c>
      <c r="G11264" s="18" t="s">
        <v>51834</v>
      </c>
      <c r="H11264" s="18">
        <v>2</v>
      </c>
      <c r="I11264" s="18" t="s">
        <v>9239</v>
      </c>
      <c r="J11264" s="5" t="s">
        <v>51835</v>
      </c>
      <c r="K11264" s="5" t="s">
        <v>49195</v>
      </c>
      <c r="L11264" s="18" t="s">
        <v>39</v>
      </c>
      <c r="M11264" s="18" t="s">
        <v>29</v>
      </c>
      <c r="N11264" s="18" t="s">
        <v>4211</v>
      </c>
      <c r="O11264" s="18" t="s">
        <v>29</v>
      </c>
      <c r="P11264" s="6"/>
      <c r="Q11264" s="6"/>
      <c r="R11264" s="6"/>
      <c r="S11264" s="6"/>
      <c r="T11264" s="6"/>
      <c r="U11264" s="6"/>
    </row>
    <row r="11265" ht="14.25">
      <c r="B11265" s="18" t="s">
        <v>2516</v>
      </c>
      <c r="C11265" s="18" t="s">
        <v>51836</v>
      </c>
      <c r="D11265" s="18" t="s">
        <v>51837</v>
      </c>
      <c r="E11265" s="18" t="s">
        <v>51838</v>
      </c>
      <c r="F11265" s="18" t="str">
        <f>IFERROR(__XLUDF.DUMMYFUNCTION("PROPER(REGEXREPLACE(D1177,""[^A-Za-z]+ "",""""))"),"Rouzès Groupe")</f>
        <v xml:space="preserve">Rouzès Groupe</v>
      </c>
      <c r="G11265" s="18" t="s">
        <v>51839</v>
      </c>
      <c r="H11265" s="18">
        <v>60</v>
      </c>
      <c r="I11265" s="18" t="s">
        <v>9239</v>
      </c>
      <c r="J11265" s="5" t="s">
        <v>51840</v>
      </c>
      <c r="K11265" s="5" t="s">
        <v>51841</v>
      </c>
      <c r="L11265" s="6"/>
      <c r="M11265" s="18" t="s">
        <v>29</v>
      </c>
      <c r="N11265" s="18" t="s">
        <v>51842</v>
      </c>
      <c r="O11265" s="18" t="s">
        <v>29</v>
      </c>
      <c r="P11265" s="6"/>
      <c r="Q11265" s="6"/>
      <c r="R11265" s="6"/>
      <c r="S11265" s="6"/>
      <c r="T11265" s="6"/>
      <c r="U11265" s="6"/>
    </row>
    <row r="11266" ht="14.25">
      <c r="B11266" s="18" t="s">
        <v>5579</v>
      </c>
      <c r="C11266" s="18" t="s">
        <v>11744</v>
      </c>
      <c r="D11266" s="18" t="s">
        <v>1130</v>
      </c>
      <c r="E11266" s="18" t="s">
        <v>45165</v>
      </c>
      <c r="F11266" s="18" t="str">
        <f>IFERROR(__XLUDF.DUMMYFUNCTION("PROPER(REGEXREPLACE(D1178,""[^A-Za-z]+ "",""""))"),"Infra Services")</f>
        <v xml:space="preserve">Infra Services</v>
      </c>
      <c r="G11266" s="18" t="s">
        <v>51843</v>
      </c>
      <c r="H11266" s="18">
        <v>39</v>
      </c>
      <c r="I11266" s="18" t="s">
        <v>9239</v>
      </c>
      <c r="J11266" s="5" t="s">
        <v>51844</v>
      </c>
      <c r="K11266" s="5" t="s">
        <v>45168</v>
      </c>
      <c r="L11266" s="18" t="s">
        <v>492</v>
      </c>
      <c r="M11266" s="18" t="s">
        <v>29</v>
      </c>
      <c r="N11266" s="18" t="s">
        <v>45169</v>
      </c>
      <c r="O11266" s="18" t="s">
        <v>29</v>
      </c>
      <c r="P11266" s="6"/>
      <c r="Q11266" s="6"/>
      <c r="R11266" s="6"/>
      <c r="S11266" s="6"/>
      <c r="T11266" s="6"/>
      <c r="U11266" s="6"/>
    </row>
    <row r="11267" ht="14.25">
      <c r="B11267" s="18" t="s">
        <v>679</v>
      </c>
      <c r="C11267" s="18" t="s">
        <v>51845</v>
      </c>
      <c r="D11267" s="18" t="s">
        <v>112</v>
      </c>
      <c r="E11267" s="18" t="s">
        <v>51429</v>
      </c>
      <c r="F11267" s="18" t="str">
        <f>IFERROR(__XLUDF.DUMMYFUNCTION("PROPER(REGEXREPLACE(D1179,""[^A-Za-z]+ "",""""))"),"Maison Bleue Prefa")</f>
        <v xml:space="preserve">Maison Bleue Prefa</v>
      </c>
      <c r="G11267" s="18" t="s">
        <v>51846</v>
      </c>
      <c r="H11267" s="18">
        <v>27</v>
      </c>
      <c r="I11267" s="18" t="s">
        <v>9239</v>
      </c>
      <c r="J11267" s="5" t="s">
        <v>51847</v>
      </c>
      <c r="K11267" s="5" t="s">
        <v>51432</v>
      </c>
      <c r="L11267" s="18" t="s">
        <v>1711</v>
      </c>
      <c r="M11267" s="18" t="s">
        <v>29</v>
      </c>
      <c r="N11267" s="18" t="s">
        <v>51433</v>
      </c>
      <c r="O11267" s="18" t="s">
        <v>29</v>
      </c>
      <c r="P11267" s="18" t="s">
        <v>51434</v>
      </c>
      <c r="Q11267" s="6"/>
      <c r="R11267" s="6"/>
      <c r="S11267" s="6"/>
      <c r="T11267" s="6"/>
      <c r="U11267" s="6"/>
    </row>
    <row r="11268" ht="14.25">
      <c r="B11268" s="18" t="s">
        <v>3850</v>
      </c>
      <c r="C11268" s="18" t="s">
        <v>51848</v>
      </c>
      <c r="D11268" s="18" t="s">
        <v>112</v>
      </c>
      <c r="E11268" s="18" t="s">
        <v>51849</v>
      </c>
      <c r="F11268" s="18" t="str">
        <f>IFERROR(__XLUDF.DUMMYFUNCTION("PROPER(REGEXREPLACE(D1180,""[^A-Za-z]+ "",""""))"),"Geprif")</f>
        <v>Geprif</v>
      </c>
      <c r="G11268" s="18" t="s">
        <v>51850</v>
      </c>
      <c r="H11268" s="18">
        <v>14</v>
      </c>
      <c r="I11268" s="18" t="s">
        <v>4293</v>
      </c>
      <c r="J11268" s="5" t="s">
        <v>51851</v>
      </c>
      <c r="K11268" s="5" t="s">
        <v>51852</v>
      </c>
      <c r="L11268" s="18" t="s">
        <v>39</v>
      </c>
      <c r="M11268" s="18" t="s">
        <v>29</v>
      </c>
      <c r="N11268" s="18" t="s">
        <v>51853</v>
      </c>
      <c r="O11268" s="18" t="s">
        <v>29</v>
      </c>
      <c r="P11268" s="6"/>
      <c r="Q11268" s="6"/>
      <c r="R11268" s="6"/>
      <c r="S11268" s="6"/>
      <c r="T11268" s="6"/>
      <c r="U11268" s="6"/>
    </row>
    <row r="11269" ht="14.25">
      <c r="B11269" s="18" t="s">
        <v>2119</v>
      </c>
      <c r="C11269" s="18" t="s">
        <v>51854</v>
      </c>
      <c r="D11269" s="18" t="s">
        <v>112</v>
      </c>
      <c r="E11269" s="18" t="s">
        <v>51855</v>
      </c>
      <c r="F11269" s="18" t="str">
        <f>IFERROR(__XLUDF.DUMMYFUNCTION("PROPER(REGEXREPLACE(D1181,""[^A-Za-z]+ "",""""))"),"Cba")</f>
        <v>Cba</v>
      </c>
      <c r="G11269" s="18" t="s">
        <v>51856</v>
      </c>
      <c r="H11269" s="18">
        <v>58</v>
      </c>
      <c r="I11269" s="18" t="s">
        <v>9239</v>
      </c>
      <c r="J11269" s="5" t="s">
        <v>51857</v>
      </c>
      <c r="K11269" s="5" t="s">
        <v>51858</v>
      </c>
      <c r="L11269" s="6"/>
      <c r="M11269" s="18" t="s">
        <v>29</v>
      </c>
      <c r="N11269" s="18" t="s">
        <v>51859</v>
      </c>
      <c r="O11269" s="18" t="s">
        <v>29</v>
      </c>
      <c r="P11269" s="18" t="s">
        <v>51860</v>
      </c>
      <c r="Q11269" s="6"/>
      <c r="R11269" s="6"/>
      <c r="S11269" s="6"/>
      <c r="T11269" s="6"/>
      <c r="U11269" s="6"/>
    </row>
    <row r="11270" ht="14.25">
      <c r="B11270" s="18" t="s">
        <v>874</v>
      </c>
      <c r="C11270" s="18" t="s">
        <v>51861</v>
      </c>
      <c r="D11270" s="18" t="s">
        <v>51862</v>
      </c>
      <c r="E11270" s="18" t="s">
        <v>51863</v>
      </c>
      <c r="F11270" s="18" t="str">
        <f>IFERROR(__XLUDF.DUMMYFUNCTION("PROPER(REGEXREPLACE(D1182,""[^A-Za-z]+ "",""""))"),"Synthésart")</f>
        <v>Synthésart</v>
      </c>
      <c r="G11270" s="18" t="s">
        <v>51864</v>
      </c>
      <c r="H11270" s="18">
        <v>13</v>
      </c>
      <c r="I11270" s="18" t="s">
        <v>9239</v>
      </c>
      <c r="J11270" s="5" t="s">
        <v>51865</v>
      </c>
      <c r="K11270" s="5" t="s">
        <v>51866</v>
      </c>
      <c r="L11270" s="18" t="s">
        <v>1204</v>
      </c>
      <c r="M11270" s="18" t="s">
        <v>29</v>
      </c>
      <c r="N11270" s="18" t="s">
        <v>51867</v>
      </c>
      <c r="O11270" s="18" t="s">
        <v>29</v>
      </c>
      <c r="P11270" s="6"/>
      <c r="Q11270" s="6"/>
      <c r="R11270" s="6"/>
      <c r="S11270" s="6"/>
      <c r="T11270" s="6"/>
      <c r="U11270" s="6"/>
    </row>
    <row r="11271" ht="14.25">
      <c r="B11271" s="18" t="s">
        <v>255</v>
      </c>
      <c r="C11271" s="18" t="s">
        <v>51868</v>
      </c>
      <c r="D11271" s="18" t="s">
        <v>5953</v>
      </c>
      <c r="E11271" s="18" t="s">
        <v>47716</v>
      </c>
      <c r="F11271" s="18" t="str">
        <f>IFERROR(__XLUDF.DUMMYFUNCTION("PROPER(REGEXREPLACE(D1183,""[^A-Za-z]+ "",""""))"),"Sa Carrières Nivet")</f>
        <v xml:space="preserve">Sa Carrières Nivet</v>
      </c>
      <c r="G11271" s="18" t="s">
        <v>51869</v>
      </c>
      <c r="H11271" s="18">
        <v>8</v>
      </c>
      <c r="I11271" s="18" t="s">
        <v>9239</v>
      </c>
      <c r="J11271" s="5" t="s">
        <v>51870</v>
      </c>
      <c r="K11271" s="5" t="s">
        <v>47719</v>
      </c>
      <c r="L11271" s="18" t="s">
        <v>41087</v>
      </c>
      <c r="M11271" s="18" t="s">
        <v>29</v>
      </c>
      <c r="N11271" s="18" t="s">
        <v>47720</v>
      </c>
      <c r="O11271" s="18" t="s">
        <v>29</v>
      </c>
      <c r="P11271" s="6"/>
      <c r="Q11271" s="6"/>
      <c r="R11271" s="6"/>
      <c r="S11271" s="6"/>
      <c r="T11271" s="6"/>
      <c r="U11271" s="6"/>
    </row>
    <row r="11272" ht="14.25">
      <c r="B11272" s="18" t="s">
        <v>2932</v>
      </c>
      <c r="C11272" s="18" t="s">
        <v>6717</v>
      </c>
      <c r="D11272" s="18" t="s">
        <v>24769</v>
      </c>
      <c r="E11272" s="18" t="s">
        <v>51871</v>
      </c>
      <c r="F11272" s="18" t="str">
        <f>IFERROR(__XLUDF.DUMMYFUNCTION("PROPER(REGEXREPLACE(D1184,""[^A-Za-z]+ "",""""))"),"Maisons Du Val")</f>
        <v xml:space="preserve">Maisons Du Val</v>
      </c>
      <c r="G11272" s="18" t="s">
        <v>51872</v>
      </c>
      <c r="H11272" s="18">
        <v>3</v>
      </c>
      <c r="I11272" s="18" t="s">
        <v>9239</v>
      </c>
      <c r="J11272" s="5" t="s">
        <v>51873</v>
      </c>
      <c r="K11272" s="5" t="s">
        <v>51874</v>
      </c>
      <c r="L11272" s="18" t="s">
        <v>1711</v>
      </c>
      <c r="M11272" s="18" t="s">
        <v>29</v>
      </c>
      <c r="N11272" s="18" t="s">
        <v>51875</v>
      </c>
      <c r="O11272" s="18" t="s">
        <v>29</v>
      </c>
      <c r="P11272" s="6"/>
      <c r="Q11272" s="6"/>
      <c r="R11272" s="6"/>
      <c r="S11272" s="6"/>
      <c r="T11272" s="6"/>
      <c r="U11272" s="6"/>
    </row>
    <row r="11273" ht="14.25">
      <c r="B11273" s="18" t="s">
        <v>51876</v>
      </c>
      <c r="C11273" s="18" t="s">
        <v>51877</v>
      </c>
      <c r="D11273" s="18" t="s">
        <v>13589</v>
      </c>
      <c r="E11273" s="18" t="s">
        <v>31947</v>
      </c>
      <c r="F11273" s="18" t="str">
        <f>IFERROR(__XLUDF.DUMMYFUNCTION("PROPER(REGEXREPLACE(D1185,""[^A-Za-z]+ "",""""))"),"Buildrz")</f>
        <v>Buildrz</v>
      </c>
      <c r="G11273" s="18" t="s">
        <v>51878</v>
      </c>
      <c r="H11273" s="18">
        <v>20</v>
      </c>
      <c r="I11273" s="18" t="s">
        <v>4293</v>
      </c>
      <c r="J11273" s="5" t="s">
        <v>51879</v>
      </c>
      <c r="K11273" s="5" t="s">
        <v>31950</v>
      </c>
      <c r="L11273" s="6"/>
      <c r="M11273" s="18" t="s">
        <v>29</v>
      </c>
      <c r="N11273" s="18" t="s">
        <v>31951</v>
      </c>
      <c r="O11273" s="18" t="s">
        <v>29</v>
      </c>
      <c r="P11273" s="18" t="s">
        <v>31952</v>
      </c>
      <c r="Q11273" s="6"/>
      <c r="R11273" s="6"/>
      <c r="S11273" s="6"/>
      <c r="T11273" s="6"/>
      <c r="U11273" s="6"/>
    </row>
    <row r="11274" ht="14.25">
      <c r="B11274" s="18" t="s">
        <v>2299</v>
      </c>
      <c r="C11274" s="18" t="s">
        <v>51880</v>
      </c>
      <c r="D11274" s="18" t="s">
        <v>112</v>
      </c>
      <c r="E11274" s="18" t="s">
        <v>22408</v>
      </c>
      <c r="F11274" s="18" t="str">
        <f>IFERROR(__XLUDF.DUMMYFUNCTION("PROPER(REGEXREPLACE(D1186,""[^A-Za-z]+ "",""""))"),"Scintelle")</f>
        <v>Scintelle</v>
      </c>
      <c r="G11274" s="18" t="s">
        <v>51881</v>
      </c>
      <c r="H11274" s="18">
        <v>32</v>
      </c>
      <c r="I11274" s="18" t="s">
        <v>9239</v>
      </c>
      <c r="J11274" s="5" t="s">
        <v>51882</v>
      </c>
      <c r="K11274" s="5" t="s">
        <v>22411</v>
      </c>
      <c r="L11274" s="18" t="s">
        <v>6936</v>
      </c>
      <c r="M11274" s="18" t="s">
        <v>29</v>
      </c>
      <c r="N11274" s="18" t="s">
        <v>22412</v>
      </c>
      <c r="O11274" s="18" t="s">
        <v>29</v>
      </c>
      <c r="P11274" s="6"/>
      <c r="Q11274" s="6"/>
      <c r="R11274" s="6"/>
      <c r="S11274" s="6"/>
      <c r="T11274" s="6"/>
      <c r="U11274" s="6"/>
    </row>
    <row r="11275" ht="14.25">
      <c r="B11275" s="18" t="s">
        <v>1853</v>
      </c>
      <c r="C11275" s="18" t="s">
        <v>51883</v>
      </c>
      <c r="D11275" s="18" t="s">
        <v>112</v>
      </c>
      <c r="E11275" s="18" t="s">
        <v>51884</v>
      </c>
      <c r="F11275" s="18" t="str">
        <f>IFERROR(__XLUDF.DUMMYFUNCTION("PROPER(REGEXREPLACE(D1187,""[^A-Za-z]+ "",""""))"),"Groupe Jardin")</f>
        <v xml:space="preserve">Groupe Jardin</v>
      </c>
      <c r="G11275" s="18" t="s">
        <v>51885</v>
      </c>
      <c r="H11275" s="18">
        <v>2</v>
      </c>
      <c r="I11275" s="18" t="s">
        <v>9239</v>
      </c>
      <c r="J11275" s="5" t="s">
        <v>51886</v>
      </c>
      <c r="K11275" s="5" t="s">
        <v>51887</v>
      </c>
      <c r="L11275" s="18" t="s">
        <v>39</v>
      </c>
      <c r="M11275" s="18" t="s">
        <v>29</v>
      </c>
      <c r="N11275" s="18" t="s">
        <v>47568</v>
      </c>
      <c r="O11275" s="18" t="s">
        <v>29</v>
      </c>
      <c r="P11275" s="6"/>
      <c r="Q11275" s="6"/>
      <c r="R11275" s="6"/>
      <c r="S11275" s="6"/>
      <c r="T11275" s="6"/>
      <c r="U11275" s="6"/>
    </row>
    <row r="11276" ht="14.25">
      <c r="B11276" s="18" t="s">
        <v>110</v>
      </c>
      <c r="C11276" s="18" t="s">
        <v>51888</v>
      </c>
      <c r="D11276" s="18" t="s">
        <v>120</v>
      </c>
      <c r="E11276" s="18" t="s">
        <v>51889</v>
      </c>
      <c r="F11276" s="18" t="str">
        <f>IFERROR(__XLUDF.DUMMYFUNCTION("PROPER(REGEXREPLACE(D1188,""[^A-Za-z]+ "",""""))"),"Cocreata")</f>
        <v>Cocreata</v>
      </c>
      <c r="G11276" s="18" t="s">
        <v>51890</v>
      </c>
      <c r="H11276" s="18">
        <v>14</v>
      </c>
      <c r="I11276" s="18" t="s">
        <v>9239</v>
      </c>
      <c r="J11276" s="5" t="s">
        <v>51891</v>
      </c>
      <c r="K11276" s="5" t="s">
        <v>51892</v>
      </c>
      <c r="L11276" s="18" t="s">
        <v>1826</v>
      </c>
      <c r="M11276" s="18" t="s">
        <v>29</v>
      </c>
      <c r="N11276" s="18" t="s">
        <v>2286</v>
      </c>
      <c r="O11276" s="18" t="s">
        <v>29</v>
      </c>
      <c r="P11276" s="6"/>
      <c r="Q11276" s="6"/>
      <c r="R11276" s="6"/>
      <c r="S11276" s="6"/>
      <c r="T11276" s="6"/>
      <c r="U11276" s="6"/>
    </row>
    <row r="11277" ht="14.25">
      <c r="B11277" s="18" t="s">
        <v>571</v>
      </c>
      <c r="C11277" s="18" t="s">
        <v>51893</v>
      </c>
      <c r="D11277" s="18" t="s">
        <v>172</v>
      </c>
      <c r="E11277" s="18" t="s">
        <v>51894</v>
      </c>
      <c r="F11277" s="18" t="str">
        <f>IFERROR(__XLUDF.DUMMYFUNCTION("PROPER(REGEXREPLACE(D1189,""[^A-Za-z]+ "",""""))"),"Delta Pompage")</f>
        <v xml:space="preserve">Delta Pompage</v>
      </c>
      <c r="G11277" s="18" t="s">
        <v>51895</v>
      </c>
      <c r="H11277" s="18">
        <v>21</v>
      </c>
      <c r="I11277" s="18" t="s">
        <v>9239</v>
      </c>
      <c r="J11277" s="5" t="s">
        <v>51896</v>
      </c>
      <c r="K11277" s="5" t="s">
        <v>51897</v>
      </c>
      <c r="L11277" s="18" t="s">
        <v>774</v>
      </c>
      <c r="M11277" s="18" t="s">
        <v>29</v>
      </c>
      <c r="N11277" s="18" t="s">
        <v>51898</v>
      </c>
      <c r="O11277" s="18" t="s">
        <v>29</v>
      </c>
      <c r="P11277" s="6"/>
      <c r="Q11277" s="6"/>
      <c r="R11277" s="6"/>
      <c r="S11277" s="6"/>
      <c r="T11277" s="6"/>
      <c r="U11277" s="6"/>
    </row>
    <row r="11278" ht="14.25">
      <c r="B11278" s="18" t="s">
        <v>51899</v>
      </c>
      <c r="C11278" s="18" t="s">
        <v>51900</v>
      </c>
      <c r="D11278" s="18" t="s">
        <v>172</v>
      </c>
      <c r="E11278" s="18" t="s">
        <v>51901</v>
      </c>
      <c r="F11278" s="18" t="str">
        <f>IFERROR(__XLUDF.DUMMYFUNCTION("PROPER(REGEXREPLACE(D1190,""[^A-Za-z]+ "",""""))"),"Setea Ingénierie Electrique")</f>
        <v xml:space="preserve">Setea Ingénierie Electrique</v>
      </c>
      <c r="G11278" s="18" t="s">
        <v>51902</v>
      </c>
      <c r="H11278" s="18">
        <v>10</v>
      </c>
      <c r="I11278" s="18" t="s">
        <v>9239</v>
      </c>
      <c r="J11278" s="5" t="s">
        <v>51903</v>
      </c>
      <c r="K11278" s="5" t="s">
        <v>51904</v>
      </c>
      <c r="L11278" s="6"/>
      <c r="M11278" s="18" t="s">
        <v>29</v>
      </c>
      <c r="N11278" s="18" t="s">
        <v>51905</v>
      </c>
      <c r="O11278" s="18" t="s">
        <v>29</v>
      </c>
      <c r="P11278" s="6"/>
      <c r="Q11278" s="6"/>
      <c r="R11278" s="6"/>
      <c r="S11278" s="6"/>
      <c r="T11278" s="6"/>
      <c r="U11278" s="6"/>
    </row>
    <row r="11279" ht="14.25">
      <c r="B11279" s="18" t="s">
        <v>13010</v>
      </c>
      <c r="C11279" s="18" t="s">
        <v>51906</v>
      </c>
      <c r="D11279" s="18" t="s">
        <v>672</v>
      </c>
      <c r="E11279" s="18" t="s">
        <v>51907</v>
      </c>
      <c r="F11279" s="18" t="str">
        <f>IFERROR(__XLUDF.DUMMYFUNCTION("PROPER(REGEXREPLACE(D1191,""[^A-Za-z]+ "",""""))"),"Rezoprocess")</f>
        <v>Rezoprocess</v>
      </c>
      <c r="G11279" s="18" t="s">
        <v>51908</v>
      </c>
      <c r="H11279" s="18">
        <v>2</v>
      </c>
      <c r="I11279" s="18" t="s">
        <v>9239</v>
      </c>
      <c r="J11279" s="5" t="s">
        <v>51909</v>
      </c>
      <c r="K11279" s="5" t="s">
        <v>51910</v>
      </c>
      <c r="L11279" s="18" t="s">
        <v>423</v>
      </c>
      <c r="M11279" s="18" t="s">
        <v>29</v>
      </c>
      <c r="N11279" s="18" t="s">
        <v>51911</v>
      </c>
      <c r="O11279" s="18" t="s">
        <v>29</v>
      </c>
      <c r="P11279" s="18" t="s">
        <v>51912</v>
      </c>
      <c r="Q11279" s="6"/>
      <c r="R11279" s="6"/>
      <c r="S11279" s="6"/>
      <c r="T11279" s="6"/>
      <c r="U11279" s="6"/>
    </row>
    <row r="11280" ht="14.25">
      <c r="B11280" s="18" t="s">
        <v>4800</v>
      </c>
      <c r="C11280" s="18" t="s">
        <v>51913</v>
      </c>
      <c r="D11280" s="18" t="s">
        <v>21799</v>
      </c>
      <c r="E11280" s="18" t="s">
        <v>51914</v>
      </c>
      <c r="F11280" s="18" t="str">
        <f>IFERROR(__XLUDF.DUMMYFUNCTION("PROPER(REGEXREPLACE(D1192,""[^A-Za-z]+ "",""""))"),"Sgdm")</f>
        <v>Sgdm</v>
      </c>
      <c r="G11280" s="18" t="s">
        <v>51915</v>
      </c>
      <c r="H11280" s="18">
        <v>16</v>
      </c>
      <c r="I11280" s="18" t="s">
        <v>9239</v>
      </c>
      <c r="J11280" s="5" t="s">
        <v>51916</v>
      </c>
      <c r="K11280" s="5" t="s">
        <v>51917</v>
      </c>
      <c r="L11280" s="18" t="s">
        <v>39</v>
      </c>
      <c r="M11280" s="18" t="s">
        <v>29</v>
      </c>
      <c r="N11280" s="18" t="s">
        <v>51918</v>
      </c>
      <c r="O11280" s="18" t="s">
        <v>848</v>
      </c>
      <c r="P11280" s="6"/>
      <c r="Q11280" s="6"/>
      <c r="R11280" s="6"/>
      <c r="S11280" s="6"/>
      <c r="T11280" s="6"/>
      <c r="U11280" s="6"/>
    </row>
    <row r="11281" ht="14.25">
      <c r="B11281" s="18" t="s">
        <v>734</v>
      </c>
      <c r="C11281" s="18" t="s">
        <v>51919</v>
      </c>
      <c r="D11281" s="18" t="s">
        <v>87</v>
      </c>
      <c r="E11281" s="18" t="s">
        <v>51920</v>
      </c>
      <c r="F11281" s="18" t="str">
        <f>IFERROR(__XLUDF.DUMMYFUNCTION("PROPER(REGEXREPLACE(D1193,""[^A-Za-z]+ "",""""))"),"Vareo")</f>
        <v>Vareo</v>
      </c>
      <c r="G11281" s="18" t="s">
        <v>51921</v>
      </c>
      <c r="H11281" s="18">
        <v>8</v>
      </c>
      <c r="I11281" s="18" t="s">
        <v>9239</v>
      </c>
      <c r="J11281" s="5" t="s">
        <v>51922</v>
      </c>
      <c r="K11281" s="5" t="s">
        <v>51923</v>
      </c>
      <c r="L11281" s="18" t="s">
        <v>1015</v>
      </c>
      <c r="M11281" s="18" t="s">
        <v>29</v>
      </c>
      <c r="N11281" s="18" t="s">
        <v>51924</v>
      </c>
      <c r="O11281" s="18" t="s">
        <v>29</v>
      </c>
      <c r="P11281" s="18" t="s">
        <v>51925</v>
      </c>
      <c r="Q11281" s="6"/>
      <c r="R11281" s="6"/>
      <c r="S11281" s="6"/>
      <c r="T11281" s="6"/>
      <c r="U11281" s="6"/>
    </row>
    <row r="11282" ht="14.25">
      <c r="B11282" s="18" t="s">
        <v>2598</v>
      </c>
      <c r="C11282" s="18" t="s">
        <v>51926</v>
      </c>
      <c r="D11282" s="18" t="s">
        <v>172</v>
      </c>
      <c r="E11282" s="18" t="s">
        <v>51927</v>
      </c>
      <c r="F11282" s="18" t="str">
        <f>IFERROR(__XLUDF.DUMMYFUNCTION("PROPER(REGEXREPLACE(D1194,""[^A-Za-z]+ "",""""))"),"Les Compagnons Du Barroux")</f>
        <v xml:space="preserve">Les Compagnons Du Barroux</v>
      </c>
      <c r="G11282" s="18" t="s">
        <v>51928</v>
      </c>
      <c r="H11282" s="18">
        <v>11</v>
      </c>
      <c r="I11282" s="18" t="s">
        <v>9239</v>
      </c>
      <c r="J11282" s="5" t="s">
        <v>51929</v>
      </c>
      <c r="K11282" s="5" t="s">
        <v>51930</v>
      </c>
      <c r="L11282" s="18" t="s">
        <v>295</v>
      </c>
      <c r="M11282" s="18" t="s">
        <v>29</v>
      </c>
      <c r="N11282" s="18" t="s">
        <v>51931</v>
      </c>
      <c r="O11282" s="18" t="s">
        <v>29</v>
      </c>
      <c r="P11282" s="6"/>
      <c r="Q11282" s="6"/>
      <c r="R11282" s="6"/>
      <c r="S11282" s="6"/>
      <c r="T11282" s="6"/>
      <c r="U11282" s="6"/>
    </row>
    <row r="11283" ht="14.25">
      <c r="B11283" s="18" t="s">
        <v>2508</v>
      </c>
      <c r="C11283" s="18" t="s">
        <v>51932</v>
      </c>
      <c r="D11283" s="18" t="s">
        <v>172</v>
      </c>
      <c r="E11283" s="18" t="s">
        <v>51933</v>
      </c>
      <c r="F11283" s="18" t="str">
        <f>IFERROR(__XLUDF.DUMMYFUNCTION("PROPER(REGEXREPLACE(D1195,""[^A-Za-z]+ "",""""))"),"Ks Aménagement")</f>
        <v xml:space="preserve">Ks Aménagement</v>
      </c>
      <c r="G11283" s="18" t="s">
        <v>51934</v>
      </c>
      <c r="H11283" s="18">
        <v>14</v>
      </c>
      <c r="I11283" s="18" t="s">
        <v>9239</v>
      </c>
      <c r="J11283" s="5" t="s">
        <v>51935</v>
      </c>
      <c r="K11283" s="5" t="s">
        <v>51936</v>
      </c>
      <c r="L11283" s="18" t="s">
        <v>651</v>
      </c>
      <c r="M11283" s="18" t="s">
        <v>29</v>
      </c>
      <c r="N11283" s="18" t="s">
        <v>51937</v>
      </c>
      <c r="O11283" s="18" t="s">
        <v>29</v>
      </c>
      <c r="P11283" s="18" t="s">
        <v>51938</v>
      </c>
      <c r="Q11283" s="6"/>
      <c r="R11283" s="6"/>
      <c r="S11283" s="6"/>
      <c r="T11283" s="6"/>
      <c r="U11283" s="6"/>
    </row>
    <row r="11284" ht="14.25">
      <c r="B11284" s="18" t="s">
        <v>2249</v>
      </c>
      <c r="C11284" s="18" t="s">
        <v>6179</v>
      </c>
      <c r="D11284" s="18" t="s">
        <v>172</v>
      </c>
      <c r="E11284" s="18" t="s">
        <v>51939</v>
      </c>
      <c r="F11284" s="18" t="str">
        <f>IFERROR(__XLUDF.DUMMYFUNCTION("PROPER(REGEXREPLACE(D1196,""[^A-Za-z]+ "",""""))"),"Gea Bassin")</f>
        <v xml:space="preserve">Gea Bassin</v>
      </c>
      <c r="G11284" s="18" t="s">
        <v>51940</v>
      </c>
      <c r="H11284" s="18">
        <v>7</v>
      </c>
      <c r="I11284" s="18" t="s">
        <v>9239</v>
      </c>
      <c r="J11284" s="5" t="s">
        <v>51941</v>
      </c>
      <c r="K11284" s="5" t="s">
        <v>51942</v>
      </c>
      <c r="L11284" s="18" t="s">
        <v>243</v>
      </c>
      <c r="M11284" s="18" t="s">
        <v>29</v>
      </c>
      <c r="N11284" s="18" t="s">
        <v>51943</v>
      </c>
      <c r="O11284" s="18" t="s">
        <v>29</v>
      </c>
      <c r="P11284" s="18" t="s">
        <v>51944</v>
      </c>
      <c r="Q11284" s="6"/>
      <c r="R11284" s="6"/>
      <c r="S11284" s="6"/>
      <c r="T11284" s="6"/>
      <c r="U11284" s="6"/>
    </row>
    <row r="11285" ht="14.25">
      <c r="B11285" s="18" t="s">
        <v>279</v>
      </c>
      <c r="C11285" s="18" t="s">
        <v>51945</v>
      </c>
      <c r="D11285" s="18" t="s">
        <v>172</v>
      </c>
      <c r="E11285" s="18" t="s">
        <v>51946</v>
      </c>
      <c r="F11285" s="18" t="str">
        <f>IFERROR(__XLUDF.DUMMYFUNCTION("PROPER(REGEXREPLACE(D1197,""[^A-Za-z]+ "",""""))"),"Agos Agencement Organisation Services")</f>
        <v xml:space="preserve">Agos Agencement Organisation Services</v>
      </c>
      <c r="G11285" s="18" t="s">
        <v>51947</v>
      </c>
      <c r="H11285" s="18">
        <v>34</v>
      </c>
      <c r="I11285" s="18" t="s">
        <v>9239</v>
      </c>
      <c r="J11285" s="5" t="s">
        <v>51948</v>
      </c>
      <c r="K11285" s="5" t="s">
        <v>51949</v>
      </c>
      <c r="L11285" s="18" t="s">
        <v>185</v>
      </c>
      <c r="M11285" s="18" t="s">
        <v>29</v>
      </c>
      <c r="N11285" s="18" t="s">
        <v>51950</v>
      </c>
      <c r="O11285" s="18" t="s">
        <v>29</v>
      </c>
      <c r="P11285" s="6"/>
      <c r="Q11285" s="6"/>
      <c r="R11285" s="6"/>
      <c r="S11285" s="6"/>
      <c r="T11285" s="6"/>
      <c r="U11285" s="6"/>
    </row>
    <row r="11286" ht="14.25">
      <c r="B11286" s="18" t="s">
        <v>6945</v>
      </c>
      <c r="C11286" s="18" t="s">
        <v>22306</v>
      </c>
      <c r="D11286" s="18" t="s">
        <v>172</v>
      </c>
      <c r="E11286" s="18" t="s">
        <v>51951</v>
      </c>
      <c r="F11286" s="18" t="str">
        <f>IFERROR(__XLUDF.DUMMYFUNCTION("PROPER(REGEXREPLACE(D1198,""[^A-Za-z]+ "",""""))"),"Armory")</f>
        <v>Armory</v>
      </c>
      <c r="G11286" s="18" t="s">
        <v>51952</v>
      </c>
      <c r="H11286" s="18">
        <v>25</v>
      </c>
      <c r="I11286" s="18" t="s">
        <v>9239</v>
      </c>
      <c r="J11286" s="5" t="s">
        <v>51953</v>
      </c>
      <c r="K11286" s="5" t="s">
        <v>51954</v>
      </c>
      <c r="L11286" s="18" t="s">
        <v>439</v>
      </c>
      <c r="M11286" s="18" t="s">
        <v>29</v>
      </c>
      <c r="N11286" s="18" t="s">
        <v>51955</v>
      </c>
      <c r="O11286" s="18" t="s">
        <v>29</v>
      </c>
      <c r="P11286" s="18" t="s">
        <v>51956</v>
      </c>
      <c r="Q11286" s="6"/>
      <c r="R11286" s="6"/>
      <c r="S11286" s="6"/>
      <c r="T11286" s="6"/>
      <c r="U11286" s="6"/>
    </row>
    <row r="11287" ht="14.25">
      <c r="B11287" s="18" t="s">
        <v>255</v>
      </c>
      <c r="C11287" s="18" t="s">
        <v>51957</v>
      </c>
      <c r="D11287" s="18" t="s">
        <v>172</v>
      </c>
      <c r="E11287" s="18" t="s">
        <v>51958</v>
      </c>
      <c r="F11287" s="18" t="str">
        <f>IFERROR(__XLUDF.DUMMYFUNCTION("PROPER(REGEXREPLACE(D1199,""[^A-Za-z]+ "",""""))"),"Tecamver Concept")</f>
        <v xml:space="preserve">Tecamver Concept</v>
      </c>
      <c r="G11287" s="18" t="s">
        <v>51959</v>
      </c>
      <c r="H11287" s="18">
        <v>8</v>
      </c>
      <c r="I11287" s="18" t="s">
        <v>9239</v>
      </c>
      <c r="J11287" s="5" t="s">
        <v>51960</v>
      </c>
      <c r="K11287" s="5" t="s">
        <v>51961</v>
      </c>
      <c r="L11287" s="18" t="s">
        <v>51962</v>
      </c>
      <c r="M11287" s="18" t="s">
        <v>29</v>
      </c>
      <c r="N11287" s="18" t="s">
        <v>51963</v>
      </c>
      <c r="O11287" s="18" t="s">
        <v>29</v>
      </c>
      <c r="P11287" s="18" t="s">
        <v>51964</v>
      </c>
      <c r="Q11287" s="6"/>
      <c r="R11287" s="6"/>
      <c r="S11287" s="6"/>
      <c r="T11287" s="6"/>
      <c r="U11287" s="6"/>
    </row>
    <row r="11288" ht="14.25">
      <c r="B11288" s="18" t="s">
        <v>679</v>
      </c>
      <c r="C11288" s="18" t="s">
        <v>51965</v>
      </c>
      <c r="D11288" s="18" t="s">
        <v>172</v>
      </c>
      <c r="E11288" s="18" t="s">
        <v>51966</v>
      </c>
      <c r="F11288" s="18" t="str">
        <f>IFERROR(__XLUDF.DUMMYFUNCTION("PROPER(REGEXREPLACE(D1200,""[^A-Za-z]+ "",""""))"),"Bipa")</f>
        <v>Bipa</v>
      </c>
      <c r="G11288" s="18" t="s">
        <v>51967</v>
      </c>
      <c r="H11288" s="18">
        <v>41</v>
      </c>
      <c r="I11288" s="18" t="s">
        <v>9239</v>
      </c>
      <c r="J11288" s="5" t="s">
        <v>51968</v>
      </c>
      <c r="K11288" s="5" t="s">
        <v>51969</v>
      </c>
      <c r="L11288" s="18" t="s">
        <v>51970</v>
      </c>
      <c r="M11288" s="18" t="s">
        <v>29</v>
      </c>
      <c r="N11288" s="18" t="s">
        <v>51971</v>
      </c>
      <c r="O11288" s="18" t="s">
        <v>29</v>
      </c>
      <c r="P11288" s="18" t="s">
        <v>51972</v>
      </c>
      <c r="Q11288" s="6"/>
      <c r="R11288" s="6"/>
      <c r="S11288" s="6"/>
      <c r="T11288" s="6"/>
      <c r="U11288" s="6"/>
    </row>
    <row r="11289" ht="14.25">
      <c r="B11289" s="18" t="s">
        <v>1153</v>
      </c>
      <c r="C11289" s="18" t="s">
        <v>51973</v>
      </c>
      <c r="D11289" s="18" t="s">
        <v>172</v>
      </c>
      <c r="E11289" s="18" t="s">
        <v>51974</v>
      </c>
      <c r="F11289" s="18" t="str">
        <f>IFERROR(__XLUDF.DUMMYFUNCTION("PROPER(REGEXREPLACE(D1201,""[^A-Za-z]+ "",""""))"),"Bouchard Construction")</f>
        <v xml:space="preserve">Bouchard Construction</v>
      </c>
      <c r="G11289" s="18" t="s">
        <v>51975</v>
      </c>
      <c r="H11289" s="18">
        <v>18</v>
      </c>
      <c r="I11289" s="18" t="s">
        <v>9239</v>
      </c>
      <c r="J11289" s="5" t="s">
        <v>51976</v>
      </c>
      <c r="K11289" s="5" t="s">
        <v>51977</v>
      </c>
      <c r="L11289" s="18" t="s">
        <v>1826</v>
      </c>
      <c r="M11289" s="18" t="s">
        <v>29</v>
      </c>
      <c r="N11289" s="18" t="s">
        <v>51978</v>
      </c>
      <c r="O11289" s="18" t="s">
        <v>29</v>
      </c>
      <c r="P11289" s="6"/>
      <c r="Q11289" s="6"/>
      <c r="R11289" s="6"/>
      <c r="S11289" s="6"/>
      <c r="T11289" s="6"/>
      <c r="U11289" s="6"/>
    </row>
    <row r="11290" ht="14.25">
      <c r="B11290" s="18" t="s">
        <v>4132</v>
      </c>
      <c r="C11290" s="18" t="s">
        <v>51979</v>
      </c>
      <c r="D11290" s="18" t="s">
        <v>172</v>
      </c>
      <c r="E11290" s="18" t="s">
        <v>51980</v>
      </c>
      <c r="F11290" s="18" t="str">
        <f>IFERROR(__XLUDF.DUMMYFUNCTION("PROPER(REGEXREPLACE(D1202,""[^A-Za-z]+ "",""""))"),"Hamon Molard")</f>
        <v xml:space="preserve">Hamon Molard</v>
      </c>
      <c r="G11290" s="18" t="s">
        <v>51981</v>
      </c>
      <c r="H11290" s="18">
        <v>17</v>
      </c>
      <c r="I11290" s="18" t="s">
        <v>9239</v>
      </c>
      <c r="J11290" s="5" t="s">
        <v>51982</v>
      </c>
      <c r="K11290" s="5" t="s">
        <v>51983</v>
      </c>
      <c r="L11290" s="18" t="s">
        <v>1826</v>
      </c>
      <c r="M11290" s="18" t="s">
        <v>29</v>
      </c>
      <c r="N11290" s="18" t="s">
        <v>51984</v>
      </c>
      <c r="O11290" s="18" t="s">
        <v>29</v>
      </c>
      <c r="P11290" s="6"/>
      <c r="Q11290" s="6"/>
      <c r="R11290" s="6"/>
      <c r="S11290" s="6"/>
      <c r="T11290" s="6"/>
      <c r="U11290" s="6"/>
    </row>
    <row r="11291" ht="14.25">
      <c r="B11291" s="18" t="s">
        <v>679</v>
      </c>
      <c r="C11291" s="18" t="s">
        <v>51985</v>
      </c>
      <c r="D11291" s="18" t="s">
        <v>172</v>
      </c>
      <c r="E11291" s="18" t="s">
        <v>51986</v>
      </c>
      <c r="F11291" s="18" t="str">
        <f>IFERROR(__XLUDF.DUMMYFUNCTION("PROPER(REGEXREPLACE(D1203,""[^A-Za-z]+ "",""""))"),"Kanos Concassagecriblage Mobile")</f>
        <v xml:space="preserve">Kanos Concassagecriblage Mobile</v>
      </c>
      <c r="G11291" s="18" t="s">
        <v>51987</v>
      </c>
      <c r="H11291" s="18">
        <v>6</v>
      </c>
      <c r="I11291" s="18" t="s">
        <v>9239</v>
      </c>
      <c r="J11291" s="5" t="s">
        <v>51988</v>
      </c>
      <c r="K11291" s="5" t="s">
        <v>51989</v>
      </c>
      <c r="L11291" s="18" t="s">
        <v>51990</v>
      </c>
      <c r="M11291" s="18" t="s">
        <v>29</v>
      </c>
      <c r="N11291" s="18" t="s">
        <v>51991</v>
      </c>
      <c r="O11291" s="18" t="s">
        <v>29</v>
      </c>
      <c r="P11291" s="18" t="s">
        <v>51992</v>
      </c>
      <c r="Q11291" s="6"/>
      <c r="R11291" s="6"/>
      <c r="S11291" s="6"/>
      <c r="T11291" s="6"/>
      <c r="U11291" s="6"/>
    </row>
    <row r="11292" ht="14.25">
      <c r="B11292" s="18" t="s">
        <v>51993</v>
      </c>
      <c r="C11292" s="18" t="s">
        <v>51994</v>
      </c>
      <c r="D11292" s="18" t="s">
        <v>172</v>
      </c>
      <c r="E11292" s="18" t="s">
        <v>45844</v>
      </c>
      <c r="F11292" s="18" t="str">
        <f>IFERROR(__XLUDF.DUMMYFUNCTION("PROPER(REGEXREPLACE(D1204,""[^A-Za-z]+ "",""""))"),"Oxium Group")</f>
        <v xml:space="preserve">Oxium Group</v>
      </c>
      <c r="G11292" s="18" t="s">
        <v>51995</v>
      </c>
      <c r="H11292" s="18">
        <v>35</v>
      </c>
      <c r="I11292" s="18" t="s">
        <v>9239</v>
      </c>
      <c r="J11292" s="5" t="s">
        <v>51996</v>
      </c>
      <c r="K11292" s="5" t="s">
        <v>45847</v>
      </c>
      <c r="L11292" s="18" t="s">
        <v>51997</v>
      </c>
      <c r="M11292" s="18" t="s">
        <v>29</v>
      </c>
      <c r="N11292" s="18" t="s">
        <v>45848</v>
      </c>
      <c r="O11292" s="18" t="s">
        <v>29</v>
      </c>
      <c r="P11292" s="6"/>
      <c r="Q11292" s="6"/>
      <c r="R11292" s="6"/>
      <c r="S11292" s="6"/>
      <c r="T11292" s="6"/>
      <c r="U11292" s="6"/>
    </row>
    <row r="11293" ht="14.25">
      <c r="B11293" s="18" t="s">
        <v>2299</v>
      </c>
      <c r="C11293" s="18" t="s">
        <v>51998</v>
      </c>
      <c r="D11293" s="18" t="s">
        <v>172</v>
      </c>
      <c r="E11293" s="18" t="s">
        <v>51787</v>
      </c>
      <c r="F11293" s="18" t="str">
        <f>IFERROR(__XLUDF.DUMMYFUNCTION("PROPER(REGEXREPLACE(D1205,""[^A-Za-z]+ "",""""))"),"Gallia Ets")</f>
        <v xml:space="preserve">Gallia Ets</v>
      </c>
      <c r="G11293" s="18" t="s">
        <v>51999</v>
      </c>
      <c r="H11293" s="18">
        <v>7</v>
      </c>
      <c r="I11293" s="18" t="s">
        <v>9239</v>
      </c>
      <c r="J11293" s="5" t="s">
        <v>52000</v>
      </c>
      <c r="K11293" s="5" t="s">
        <v>51790</v>
      </c>
      <c r="L11293" s="18" t="s">
        <v>52001</v>
      </c>
      <c r="M11293" s="18" t="s">
        <v>29</v>
      </c>
      <c r="N11293" s="18" t="s">
        <v>51791</v>
      </c>
      <c r="O11293" s="18" t="s">
        <v>29</v>
      </c>
      <c r="P11293" s="6"/>
      <c r="Q11293" s="6"/>
      <c r="R11293" s="6"/>
      <c r="S11293" s="6"/>
      <c r="T11293" s="6"/>
      <c r="U11293" s="6"/>
    </row>
    <row r="11294" ht="14.25">
      <c r="B11294" s="18" t="s">
        <v>661</v>
      </c>
      <c r="C11294" s="18" t="s">
        <v>52002</v>
      </c>
      <c r="D11294" s="18" t="s">
        <v>172</v>
      </c>
      <c r="E11294" s="18" t="s">
        <v>52003</v>
      </c>
      <c r="F11294" s="18" t="str">
        <f>IFERROR(__XLUDF.DUMMYFUNCTION("PROPER(REGEXREPLACE(D1206,""[^A-Za-z]+ "",""""))"),"Desneux")</f>
        <v>Desneux</v>
      </c>
      <c r="G11294" s="18" t="s">
        <v>52004</v>
      </c>
      <c r="H11294" s="18">
        <v>31</v>
      </c>
      <c r="I11294" s="18" t="s">
        <v>9239</v>
      </c>
      <c r="J11294" s="5" t="s">
        <v>52005</v>
      </c>
      <c r="K11294" s="5" t="s">
        <v>52006</v>
      </c>
      <c r="L11294" s="6"/>
      <c r="M11294" s="18" t="s">
        <v>29</v>
      </c>
      <c r="N11294" s="18" t="s">
        <v>52007</v>
      </c>
      <c r="O11294" s="18" t="s">
        <v>29</v>
      </c>
      <c r="P11294" s="6"/>
      <c r="Q11294" s="6"/>
      <c r="R11294" s="6"/>
      <c r="S11294" s="6"/>
      <c r="T11294" s="6"/>
      <c r="U11294" s="6"/>
    </row>
    <row r="11295" ht="14.25">
      <c r="B11295" s="18" t="s">
        <v>866</v>
      </c>
      <c r="C11295" s="18" t="s">
        <v>52008</v>
      </c>
      <c r="D11295" s="18" t="s">
        <v>172</v>
      </c>
      <c r="E11295" s="18" t="s">
        <v>47151</v>
      </c>
      <c r="F11295" s="18" t="str">
        <f>IFERROR(__XLUDF.DUMMYFUNCTION("PROPER(REGEXREPLACE(D1207,""[^A-Za-z]+ "",""""))"),"Techgroup")</f>
        <v>Techgroup</v>
      </c>
      <c r="G11295" s="18" t="s">
        <v>52009</v>
      </c>
      <c r="H11295" s="18">
        <v>21</v>
      </c>
      <c r="I11295" s="18" t="s">
        <v>9239</v>
      </c>
      <c r="J11295" s="5" t="s">
        <v>52010</v>
      </c>
      <c r="K11295" s="5" t="s">
        <v>47154</v>
      </c>
      <c r="L11295" s="18" t="s">
        <v>3855</v>
      </c>
      <c r="M11295" s="18" t="s">
        <v>29</v>
      </c>
      <c r="N11295" s="18" t="s">
        <v>47155</v>
      </c>
      <c r="O11295" s="18" t="s">
        <v>29</v>
      </c>
      <c r="P11295" s="6"/>
      <c r="Q11295" s="6"/>
      <c r="R11295" s="6"/>
      <c r="S11295" s="6"/>
      <c r="T11295" s="6"/>
      <c r="U11295" s="6"/>
    </row>
    <row r="11296" ht="14.25">
      <c r="B11296" s="18" t="s">
        <v>670</v>
      </c>
      <c r="C11296" s="18" t="s">
        <v>52011</v>
      </c>
      <c r="D11296" s="18" t="s">
        <v>487</v>
      </c>
      <c r="E11296" s="18" t="s">
        <v>52012</v>
      </c>
      <c r="F11296" s="18" t="str">
        <f>IFERROR(__XLUDF.DUMMYFUNCTION("PROPER(REGEXREPLACE(D1208,""[^A-Za-z]+ "",""""))"),"Parouteau Entreprise")</f>
        <v xml:space="preserve">Parouteau Entreprise</v>
      </c>
      <c r="G11296" s="18" t="s">
        <v>52013</v>
      </c>
      <c r="H11296" s="18">
        <v>9</v>
      </c>
      <c r="I11296" s="18" t="s">
        <v>9239</v>
      </c>
      <c r="J11296" s="5" t="s">
        <v>52014</v>
      </c>
      <c r="K11296" s="5" t="s">
        <v>52015</v>
      </c>
      <c r="L11296" s="18" t="s">
        <v>10628</v>
      </c>
      <c r="M11296" s="18" t="s">
        <v>29</v>
      </c>
      <c r="N11296" s="18" t="s">
        <v>52016</v>
      </c>
      <c r="O11296" s="18" t="s">
        <v>29</v>
      </c>
      <c r="P11296" s="18" t="s">
        <v>52017</v>
      </c>
      <c r="Q11296" s="6"/>
      <c r="R11296" s="6"/>
      <c r="S11296" s="6"/>
      <c r="T11296" s="6"/>
      <c r="U11296" s="6"/>
    </row>
    <row r="11297" ht="14.25">
      <c r="B11297" s="18" t="s">
        <v>874</v>
      </c>
      <c r="C11297" s="18" t="s">
        <v>43121</v>
      </c>
      <c r="D11297" s="18" t="s">
        <v>1950</v>
      </c>
      <c r="E11297" s="18" t="s">
        <v>52018</v>
      </c>
      <c r="F11297" s="18" t="str">
        <f>IFERROR(__XLUDF.DUMMYFUNCTION("PROPER(REGEXREPLACE(D1209,""[^A-Za-z]+ "",""""))"),"Sud Renovation Paca")</f>
        <v xml:space="preserve">Sud Renovation Paca</v>
      </c>
      <c r="G11297" s="18" t="s">
        <v>52019</v>
      </c>
      <c r="H11297" s="18">
        <v>4</v>
      </c>
      <c r="I11297" s="18" t="s">
        <v>9239</v>
      </c>
      <c r="J11297" s="5" t="s">
        <v>52020</v>
      </c>
      <c r="K11297" s="5" t="s">
        <v>52021</v>
      </c>
      <c r="L11297" s="18" t="s">
        <v>3855</v>
      </c>
      <c r="M11297" s="18" t="s">
        <v>29</v>
      </c>
      <c r="N11297" s="18" t="s">
        <v>52022</v>
      </c>
      <c r="O11297" s="18" t="s">
        <v>29</v>
      </c>
      <c r="P11297" s="6"/>
      <c r="Q11297" s="6"/>
      <c r="R11297" s="6"/>
      <c r="S11297" s="6"/>
      <c r="T11297" s="6"/>
      <c r="U11297" s="6"/>
    </row>
    <row r="11298" ht="14.25">
      <c r="B11298" s="18" t="s">
        <v>3850</v>
      </c>
      <c r="C11298" s="18" t="s">
        <v>52023</v>
      </c>
      <c r="D11298" s="18" t="s">
        <v>172</v>
      </c>
      <c r="E11298" s="18" t="s">
        <v>52024</v>
      </c>
      <c r="F11298" s="18" t="str">
        <f>IFERROR(__XLUDF.DUMMYFUNCTION("PROPER(REGEXREPLACE(D1210,""[^A-Za-z]+ "",""""))"),"Facades Sud-Ouest")</f>
        <v xml:space="preserve">Facades Sud-Ouest</v>
      </c>
      <c r="G11298" s="18" t="s">
        <v>52025</v>
      </c>
      <c r="H11298" s="18">
        <v>3</v>
      </c>
      <c r="I11298" s="18" t="s">
        <v>9239</v>
      </c>
      <c r="J11298" s="5" t="s">
        <v>52026</v>
      </c>
      <c r="K11298" s="5" t="s">
        <v>52027</v>
      </c>
      <c r="L11298" s="6"/>
      <c r="M11298" s="18" t="s">
        <v>29</v>
      </c>
      <c r="N11298" s="18" t="s">
        <v>52028</v>
      </c>
      <c r="O11298" s="18" t="s">
        <v>29</v>
      </c>
      <c r="P11298" s="18" t="s">
        <v>52029</v>
      </c>
      <c r="Q11298" s="6"/>
      <c r="R11298" s="6"/>
      <c r="S11298" s="6"/>
      <c r="T11298" s="6"/>
      <c r="U11298" s="6"/>
    </row>
    <row r="11299" ht="14.25">
      <c r="B11299" s="18" t="s">
        <v>14276</v>
      </c>
      <c r="C11299" s="18" t="s">
        <v>17621</v>
      </c>
      <c r="D11299" s="18" t="s">
        <v>172</v>
      </c>
      <c r="E11299" s="18" t="s">
        <v>52030</v>
      </c>
      <c r="F11299" s="18" t="str">
        <f>IFERROR(__XLUDF.DUMMYFUNCTION("PROPER(REGEXREPLACE(D1211,""[^A-Za-z]+ "",""""))"),"Techni-Resine")</f>
        <v>Techni-Resine</v>
      </c>
      <c r="G11299" s="18" t="s">
        <v>52031</v>
      </c>
      <c r="H11299" s="18">
        <v>3</v>
      </c>
      <c r="I11299" s="18" t="s">
        <v>9239</v>
      </c>
      <c r="J11299" s="5" t="s">
        <v>52032</v>
      </c>
      <c r="K11299" s="5" t="s">
        <v>52033</v>
      </c>
      <c r="L11299" s="18" t="s">
        <v>52034</v>
      </c>
      <c r="M11299" s="18" t="s">
        <v>29</v>
      </c>
      <c r="N11299" s="18" t="s">
        <v>52035</v>
      </c>
      <c r="O11299" s="18" t="s">
        <v>29</v>
      </c>
      <c r="P11299" s="18" t="s">
        <v>52036</v>
      </c>
      <c r="Q11299" s="6"/>
      <c r="R11299" s="6"/>
      <c r="S11299" s="6"/>
      <c r="T11299" s="6"/>
      <c r="U11299" s="6"/>
    </row>
    <row r="11300" ht="14.25">
      <c r="B11300" s="18" t="s">
        <v>485</v>
      </c>
      <c r="C11300" s="18" t="s">
        <v>52037</v>
      </c>
      <c r="D11300" s="18" t="s">
        <v>52038</v>
      </c>
      <c r="E11300" s="18" t="s">
        <v>52039</v>
      </c>
      <c r="F11300" s="18" t="str">
        <f>IFERROR(__XLUDF.DUMMYFUNCTION("PROPER(REGEXREPLACE(D1212,""[^A-Za-z]+ "",""""))"),"Smb")</f>
        <v>Smb</v>
      </c>
      <c r="G11300" s="18" t="s">
        <v>52040</v>
      </c>
      <c r="H11300" s="18">
        <v>28</v>
      </c>
      <c r="I11300" s="18" t="s">
        <v>9239</v>
      </c>
      <c r="J11300" s="5" t="s">
        <v>52041</v>
      </c>
      <c r="K11300" s="5" t="s">
        <v>52042</v>
      </c>
      <c r="L11300" s="18" t="s">
        <v>1745</v>
      </c>
      <c r="M11300" s="18" t="s">
        <v>29</v>
      </c>
      <c r="N11300" s="18" t="s">
        <v>52043</v>
      </c>
      <c r="O11300" s="18" t="s">
        <v>29</v>
      </c>
      <c r="P11300" s="6"/>
      <c r="Q11300" s="6"/>
      <c r="R11300" s="6"/>
      <c r="S11300" s="6"/>
      <c r="T11300" s="6"/>
      <c r="U11300" s="6"/>
    </row>
    <row r="11301" ht="14.25">
      <c r="B11301" s="18" t="s">
        <v>52044</v>
      </c>
      <c r="C11301" s="18" t="s">
        <v>1583</v>
      </c>
      <c r="D11301" s="18" t="s">
        <v>5500</v>
      </c>
      <c r="E11301" s="18" t="s">
        <v>52045</v>
      </c>
      <c r="F11301" s="18" t="str">
        <f>IFERROR(__XLUDF.DUMMYFUNCTION("PROPER(REGEXREPLACE(D1213,""[^A-Za-z]+ "",""""))"),"Gillouaye Sas")</f>
        <v xml:space="preserve">Gillouaye Sas</v>
      </c>
      <c r="G11301" s="18" t="s">
        <v>52046</v>
      </c>
      <c r="H11301" s="18">
        <v>24</v>
      </c>
      <c r="I11301" s="18" t="s">
        <v>9239</v>
      </c>
      <c r="J11301" s="5" t="s">
        <v>52047</v>
      </c>
      <c r="K11301" s="5" t="s">
        <v>52048</v>
      </c>
      <c r="L11301" s="18" t="s">
        <v>52049</v>
      </c>
      <c r="M11301" s="18" t="s">
        <v>29</v>
      </c>
      <c r="N11301" s="18" t="s">
        <v>52050</v>
      </c>
      <c r="O11301" s="18" t="s">
        <v>29</v>
      </c>
      <c r="P11301" s="18" t="s">
        <v>52051</v>
      </c>
      <c r="Q11301" s="6"/>
      <c r="R11301" s="6"/>
      <c r="S11301" s="6"/>
      <c r="T11301" s="6"/>
      <c r="U11301" s="6"/>
    </row>
    <row r="11302" ht="14.25">
      <c r="B11302" s="18" t="s">
        <v>622</v>
      </c>
      <c r="C11302" s="18" t="s">
        <v>52052</v>
      </c>
      <c r="D11302" s="18" t="s">
        <v>172</v>
      </c>
      <c r="E11302" s="18" t="s">
        <v>52053</v>
      </c>
      <c r="F11302" s="18" t="str">
        <f>IFERROR(__XLUDF.DUMMYFUNCTION("PROPER(REGEXREPLACE(D1214,""[^A-Za-z]+ "",""""))"),"Smbi Promotion")</f>
        <v xml:space="preserve">Smbi Promotion</v>
      </c>
      <c r="G11302" s="18" t="s">
        <v>52054</v>
      </c>
      <c r="H11302" s="18">
        <v>4</v>
      </c>
      <c r="I11302" s="18" t="s">
        <v>9239</v>
      </c>
      <c r="J11302" s="5" t="s">
        <v>52055</v>
      </c>
      <c r="K11302" s="5" t="s">
        <v>52056</v>
      </c>
      <c r="L11302" s="18" t="s">
        <v>39</v>
      </c>
      <c r="M11302" s="18" t="s">
        <v>29</v>
      </c>
      <c r="N11302" s="18" t="s">
        <v>52057</v>
      </c>
      <c r="O11302" s="18" t="s">
        <v>29</v>
      </c>
      <c r="P11302" s="18" t="s">
        <v>52058</v>
      </c>
      <c r="Q11302" s="6"/>
      <c r="R11302" s="6"/>
      <c r="S11302" s="6"/>
      <c r="T11302" s="6"/>
      <c r="U11302" s="6"/>
    </row>
    <row r="11303" ht="14.25">
      <c r="B11303" s="18" t="s">
        <v>1198</v>
      </c>
      <c r="C11303" s="18" t="s">
        <v>52059</v>
      </c>
      <c r="D11303" s="18" t="s">
        <v>52060</v>
      </c>
      <c r="E11303" s="18" t="s">
        <v>11809</v>
      </c>
      <c r="F11303" s="18" t="str">
        <f>IFERROR(__XLUDF.DUMMYFUNCTION("PROPER(REGEXREPLACE(D1215,""[^A-Za-z]+ "",""""))"),"Stellagroup")</f>
        <v>Stellagroup</v>
      </c>
      <c r="G11303" s="18" t="s">
        <v>52061</v>
      </c>
      <c r="H11303" s="18">
        <v>37</v>
      </c>
      <c r="I11303" s="18" t="s">
        <v>9239</v>
      </c>
      <c r="J11303" s="5" t="s">
        <v>52062</v>
      </c>
      <c r="K11303" s="5" t="s">
        <v>52063</v>
      </c>
      <c r="L11303" s="6"/>
      <c r="M11303" s="18" t="s">
        <v>29</v>
      </c>
      <c r="N11303" s="18" t="s">
        <v>84</v>
      </c>
      <c r="O11303" s="18" t="s">
        <v>29</v>
      </c>
      <c r="P11303" s="18" t="s">
        <v>11814</v>
      </c>
      <c r="Q11303" s="6"/>
      <c r="R11303" s="6"/>
      <c r="S11303" s="6"/>
      <c r="T11303" s="6"/>
      <c r="U11303" s="6"/>
    </row>
    <row r="11304" ht="14.25">
      <c r="B11304" s="18" t="s">
        <v>52064</v>
      </c>
      <c r="C11304" s="18" t="s">
        <v>52065</v>
      </c>
      <c r="D11304" s="18" t="s">
        <v>52066</v>
      </c>
      <c r="E11304" s="18" t="s">
        <v>52067</v>
      </c>
      <c r="F11304" s="18" t="str">
        <f>IFERROR(__XLUDF.DUMMYFUNCTION("PROPER(REGEXREPLACE(D1216,""[^A-Za-z]+ "",""""))"),"National Engineering Building")</f>
        <v xml:space="preserve">National Engineering Building</v>
      </c>
      <c r="G11304" s="18" t="s">
        <v>52068</v>
      </c>
      <c r="H11304" s="18">
        <v>7</v>
      </c>
      <c r="I11304" s="18" t="s">
        <v>9239</v>
      </c>
      <c r="J11304" s="5" t="s">
        <v>52069</v>
      </c>
      <c r="K11304" s="5" t="s">
        <v>52070</v>
      </c>
      <c r="L11304" s="6"/>
      <c r="M11304" s="18" t="s">
        <v>29</v>
      </c>
      <c r="N11304" s="18" t="s">
        <v>52071</v>
      </c>
      <c r="O11304" s="18" t="s">
        <v>29</v>
      </c>
      <c r="P11304" s="18" t="s">
        <v>52072</v>
      </c>
      <c r="Q11304" s="6"/>
      <c r="R11304" s="6"/>
      <c r="S11304" s="6"/>
      <c r="T11304" s="6"/>
      <c r="U11304" s="6"/>
    </row>
    <row r="11305" ht="14.25">
      <c r="B11305" s="18" t="s">
        <v>52073</v>
      </c>
      <c r="C11305" s="18" t="s">
        <v>52074</v>
      </c>
      <c r="D11305" s="18" t="s">
        <v>172</v>
      </c>
      <c r="E11305" s="18" t="s">
        <v>52075</v>
      </c>
      <c r="F11305" s="18" t="str">
        <f>IFERROR(__XLUDF.DUMMYFUNCTION("PROPER(REGEXREPLACE(D1217,""[^A-Za-z]+ "",""""))"),"Gte Construction")</f>
        <v xml:space="preserve">Gte Construction</v>
      </c>
      <c r="G11305" s="18" t="s">
        <v>52076</v>
      </c>
      <c r="H11305" s="18">
        <v>1</v>
      </c>
      <c r="I11305" s="18" t="s">
        <v>9239</v>
      </c>
      <c r="J11305" s="5" t="s">
        <v>52077</v>
      </c>
      <c r="K11305" s="5" t="s">
        <v>52078</v>
      </c>
      <c r="L11305" s="18" t="s">
        <v>39</v>
      </c>
      <c r="M11305" s="18" t="s">
        <v>29</v>
      </c>
      <c r="N11305" s="18" t="s">
        <v>52079</v>
      </c>
      <c r="O11305" s="18" t="s">
        <v>1261</v>
      </c>
      <c r="P11305" s="6"/>
      <c r="Q11305" s="6"/>
      <c r="R11305" s="6"/>
      <c r="S11305" s="6"/>
      <c r="T11305" s="6"/>
      <c r="U11305" s="6"/>
    </row>
    <row r="11306" ht="14.25">
      <c r="B11306" s="18" t="s">
        <v>20</v>
      </c>
      <c r="C11306" s="18" t="s">
        <v>52080</v>
      </c>
      <c r="D11306" s="18" t="s">
        <v>172</v>
      </c>
      <c r="E11306" s="18" t="s">
        <v>52081</v>
      </c>
      <c r="F11306" s="18" t="str">
        <f>IFERROR(__XLUDF.DUMMYFUNCTION("PROPER(REGEXREPLACE(D1218,""[^A-Za-z]+ "",""""))"),"Steuer")</f>
        <v>Steuer</v>
      </c>
      <c r="G11306" s="18" t="s">
        <v>52082</v>
      </c>
      <c r="H11306" s="18">
        <v>5</v>
      </c>
      <c r="I11306" s="18" t="s">
        <v>9239</v>
      </c>
      <c r="J11306" s="5" t="s">
        <v>52083</v>
      </c>
      <c r="K11306" s="5" t="s">
        <v>52084</v>
      </c>
      <c r="L11306" s="18" t="s">
        <v>52085</v>
      </c>
      <c r="M11306" s="18" t="s">
        <v>29</v>
      </c>
      <c r="N11306" s="18" t="s">
        <v>52086</v>
      </c>
      <c r="O11306" s="18" t="s">
        <v>595</v>
      </c>
      <c r="P11306" s="6"/>
      <c r="Q11306" s="6"/>
      <c r="R11306" s="6"/>
      <c r="S11306" s="6"/>
      <c r="T11306" s="6"/>
      <c r="U11306" s="6"/>
    </row>
    <row r="11307" ht="14.25">
      <c r="B11307" s="18" t="s">
        <v>1324</v>
      </c>
      <c r="C11307" s="18" t="s">
        <v>52087</v>
      </c>
      <c r="D11307" s="18" t="s">
        <v>52088</v>
      </c>
      <c r="E11307" s="18" t="s">
        <v>52089</v>
      </c>
      <c r="F11307" s="18" t="str">
        <f>IFERROR(__XLUDF.DUMMYFUNCTION("PROPER(REGEXREPLACE(D1219,""[^A-Za-z]+ "",""""))"),"Biom Energies")</f>
        <v xml:space="preserve">Biom Energies</v>
      </c>
      <c r="G11307" s="18" t="s">
        <v>52090</v>
      </c>
      <c r="H11307" s="18">
        <v>11</v>
      </c>
      <c r="I11307" s="18" t="s">
        <v>9239</v>
      </c>
      <c r="J11307" s="5" t="s">
        <v>52091</v>
      </c>
      <c r="K11307" s="5" t="s">
        <v>52092</v>
      </c>
      <c r="L11307" s="18" t="s">
        <v>3285</v>
      </c>
      <c r="M11307" s="18" t="s">
        <v>29</v>
      </c>
      <c r="N11307" s="18" t="s">
        <v>52093</v>
      </c>
      <c r="O11307" s="18" t="s">
        <v>29</v>
      </c>
      <c r="P11307" s="6"/>
      <c r="Q11307" s="6"/>
      <c r="R11307" s="6"/>
      <c r="S11307" s="6"/>
      <c r="T11307" s="6"/>
      <c r="U11307" s="6"/>
    </row>
    <row r="11308" ht="14.25">
      <c r="B11308" s="18" t="s">
        <v>525</v>
      </c>
      <c r="C11308" s="18" t="s">
        <v>52094</v>
      </c>
      <c r="D11308" s="18" t="s">
        <v>1130</v>
      </c>
      <c r="E11308" s="18" t="s">
        <v>52095</v>
      </c>
      <c r="F11308" s="18" t="str">
        <f>IFERROR(__XLUDF.DUMMYFUNCTION("PROPER(REGEXREPLACE(D1220,""[^A-Za-z]+ "",""""))"),"Menuiserie Tiquet")</f>
        <v xml:space="preserve">Menuiserie Tiquet</v>
      </c>
      <c r="G11308" s="18" t="s">
        <v>52096</v>
      </c>
      <c r="H11308" s="18">
        <v>8</v>
      </c>
      <c r="I11308" s="18" t="s">
        <v>9239</v>
      </c>
      <c r="J11308" s="5" t="s">
        <v>52097</v>
      </c>
      <c r="K11308" s="5" t="s">
        <v>52098</v>
      </c>
      <c r="L11308" s="18" t="s">
        <v>946</v>
      </c>
      <c r="M11308" s="18" t="s">
        <v>29</v>
      </c>
      <c r="N11308" s="18" t="s">
        <v>52099</v>
      </c>
      <c r="O11308" s="18" t="s">
        <v>29</v>
      </c>
      <c r="P11308" s="18" t="s">
        <v>52100</v>
      </c>
      <c r="Q11308" s="6"/>
      <c r="R11308" s="6"/>
      <c r="S11308" s="6"/>
      <c r="T11308" s="6"/>
      <c r="U11308" s="6"/>
    </row>
    <row r="11309" ht="14.25">
      <c r="B11309" s="18" t="s">
        <v>52101</v>
      </c>
      <c r="C11309" s="18" t="s">
        <v>52102</v>
      </c>
      <c r="D11309" s="18" t="s">
        <v>112</v>
      </c>
      <c r="E11309" s="18" t="s">
        <v>52103</v>
      </c>
      <c r="F11309" s="18" t="str">
        <f>IFERROR(__XLUDF.DUMMYFUNCTION("PROPER(REGEXREPLACE(D1221,""[^A-Za-z]+ "",""""))"),"Joseph Fougères")</f>
        <v xml:space="preserve">Joseph Fougères</v>
      </c>
      <c r="G11309" s="18" t="s">
        <v>52104</v>
      </c>
      <c r="H11309" s="18">
        <v>6</v>
      </c>
      <c r="I11309" s="18" t="s">
        <v>9239</v>
      </c>
      <c r="J11309" s="5" t="s">
        <v>52105</v>
      </c>
      <c r="K11309" s="5" t="s">
        <v>52106</v>
      </c>
      <c r="L11309" s="18" t="s">
        <v>1826</v>
      </c>
      <c r="M11309" s="18" t="s">
        <v>29</v>
      </c>
      <c r="N11309" s="18" t="s">
        <v>22467</v>
      </c>
      <c r="O11309" s="18" t="s">
        <v>29</v>
      </c>
      <c r="P11309" s="18" t="s">
        <v>52107</v>
      </c>
      <c r="Q11309" s="6"/>
      <c r="R11309" s="6"/>
      <c r="S11309" s="6"/>
      <c r="T11309" s="6"/>
      <c r="U11309" s="6"/>
    </row>
    <row r="11310" ht="14.25">
      <c r="B11310" s="18" t="s">
        <v>1562</v>
      </c>
      <c r="C11310" s="18" t="s">
        <v>52108</v>
      </c>
      <c r="D11310" s="18" t="s">
        <v>1130</v>
      </c>
      <c r="E11310" s="18" t="s">
        <v>51382</v>
      </c>
      <c r="F11310" s="18" t="str">
        <f>IFERROR(__XLUDF.DUMMYFUNCTION("PROPER(REGEXREPLACE(D1222,""[^A-Za-z]+ "",""""))"),"Cloisons Partena®")</f>
        <v xml:space="preserve">Cloisons Partena®</v>
      </c>
      <c r="G11310" s="18" t="s">
        <v>52109</v>
      </c>
      <c r="H11310" s="18">
        <v>26</v>
      </c>
      <c r="I11310" s="18" t="s">
        <v>9239</v>
      </c>
      <c r="J11310" s="5" t="s">
        <v>52110</v>
      </c>
      <c r="K11310" s="5" t="s">
        <v>51385</v>
      </c>
      <c r="L11310" s="6"/>
      <c r="M11310" s="18" t="s">
        <v>29</v>
      </c>
      <c r="N11310" s="18" t="s">
        <v>51386</v>
      </c>
      <c r="O11310" s="18" t="s">
        <v>29</v>
      </c>
      <c r="P11310" s="18" t="s">
        <v>51387</v>
      </c>
      <c r="Q11310" s="6"/>
      <c r="R11310" s="6"/>
      <c r="S11310" s="6"/>
      <c r="T11310" s="6"/>
      <c r="U11310" s="6"/>
    </row>
    <row r="11311" ht="14.25">
      <c r="B11311" s="18" t="s">
        <v>206</v>
      </c>
      <c r="C11311" s="18" t="s">
        <v>20</v>
      </c>
      <c r="D11311" s="18" t="s">
        <v>1130</v>
      </c>
      <c r="E11311" s="18" t="s">
        <v>52111</v>
      </c>
      <c r="F11311" s="18" t="str">
        <f>IFERROR(__XLUDF.DUMMYFUNCTION("PROPER(REGEXREPLACE(D1223,""[^A-Za-z]+ "",""""))"),"Ec-Be")</f>
        <v>Ec-Be</v>
      </c>
      <c r="G11311" s="18" t="s">
        <v>52112</v>
      </c>
      <c r="H11311" s="18">
        <v>13</v>
      </c>
      <c r="I11311" s="18" t="s">
        <v>9239</v>
      </c>
      <c r="J11311" s="5" t="s">
        <v>52113</v>
      </c>
      <c r="K11311" s="5" t="s">
        <v>52114</v>
      </c>
      <c r="L11311" s="18" t="s">
        <v>39</v>
      </c>
      <c r="M11311" s="18" t="s">
        <v>29</v>
      </c>
      <c r="N11311" s="18" t="s">
        <v>67</v>
      </c>
      <c r="O11311" s="18" t="s">
        <v>29</v>
      </c>
      <c r="P11311" s="6"/>
      <c r="Q11311" s="6"/>
      <c r="R11311" s="6"/>
      <c r="S11311" s="6"/>
      <c r="T11311" s="6"/>
      <c r="U11311" s="6"/>
    </row>
    <row r="11312" ht="14.25">
      <c r="B11312" s="18" t="s">
        <v>52115</v>
      </c>
      <c r="C11312" s="18" t="s">
        <v>52116</v>
      </c>
      <c r="D11312" s="18" t="s">
        <v>1130</v>
      </c>
      <c r="E11312" s="18" t="s">
        <v>52117</v>
      </c>
      <c r="F11312" s="18" t="str">
        <f>IFERROR(__XLUDF.DUMMYFUNCTION("PROPER(REGEXREPLACE(D1224,""[^A-Za-z]+ "",""""))"),"Boutillet Sas")</f>
        <v xml:space="preserve">Boutillet Sas</v>
      </c>
      <c r="G11312" s="18" t="s">
        <v>52118</v>
      </c>
      <c r="H11312" s="18">
        <v>44</v>
      </c>
      <c r="I11312" s="18" t="s">
        <v>9239</v>
      </c>
      <c r="J11312" s="5" t="s">
        <v>52119</v>
      </c>
      <c r="K11312" s="5" t="s">
        <v>52120</v>
      </c>
      <c r="L11312" s="18" t="s">
        <v>6777</v>
      </c>
      <c r="M11312" s="18" t="s">
        <v>29</v>
      </c>
      <c r="N11312" s="18" t="s">
        <v>52121</v>
      </c>
      <c r="O11312" s="18" t="s">
        <v>29</v>
      </c>
      <c r="P11312" s="6"/>
      <c r="Q11312" s="6"/>
      <c r="R11312" s="6"/>
      <c r="S11312" s="6"/>
      <c r="T11312" s="6"/>
      <c r="U11312" s="6"/>
    </row>
    <row r="11313" ht="14.25">
      <c r="B11313" s="18" t="s">
        <v>15990</v>
      </c>
      <c r="C11313" s="18" t="s">
        <v>52122</v>
      </c>
      <c r="D11313" s="18" t="s">
        <v>1130</v>
      </c>
      <c r="E11313" s="18" t="s">
        <v>48528</v>
      </c>
      <c r="F11313" s="18" t="str">
        <f>IFERROR(__XLUDF.DUMMYFUNCTION("PROPER(REGEXREPLACE(D1225,""[^A-Za-z]+ "",""""))"),"Darrieumerlou Charpente")</f>
        <v xml:space="preserve">Darrieumerlou Charpente</v>
      </c>
      <c r="G11313" s="18" t="s">
        <v>52123</v>
      </c>
      <c r="H11313" s="18">
        <v>15</v>
      </c>
      <c r="I11313" s="18" t="s">
        <v>9239</v>
      </c>
      <c r="J11313" s="5" t="s">
        <v>52124</v>
      </c>
      <c r="K11313" s="5" t="s">
        <v>48531</v>
      </c>
      <c r="L11313" s="18" t="s">
        <v>52125</v>
      </c>
      <c r="M11313" s="18" t="s">
        <v>29</v>
      </c>
      <c r="N11313" s="18" t="s">
        <v>48533</v>
      </c>
      <c r="O11313" s="18" t="s">
        <v>29</v>
      </c>
      <c r="P11313" s="6"/>
      <c r="Q11313" s="6"/>
      <c r="R11313" s="6"/>
      <c r="S11313" s="6"/>
      <c r="T11313" s="6"/>
      <c r="U11313" s="6"/>
    </row>
    <row r="11314" ht="14.25">
      <c r="B11314" s="18" t="s">
        <v>866</v>
      </c>
      <c r="C11314" s="18" t="s">
        <v>52126</v>
      </c>
      <c r="D11314" s="18" t="s">
        <v>8042</v>
      </c>
      <c r="E11314" s="18" t="s">
        <v>52127</v>
      </c>
      <c r="F11314" s="18" t="str">
        <f>IFERROR(__XLUDF.DUMMYFUNCTION("PROPER(REGEXREPLACE(D1226,""[^A-Za-z]+ "",""""))"),"Bgcv")</f>
        <v>Bgcv</v>
      </c>
      <c r="G11314" s="18" t="s">
        <v>52128</v>
      </c>
      <c r="H11314" s="18">
        <v>24</v>
      </c>
      <c r="I11314" s="18" t="s">
        <v>9239</v>
      </c>
      <c r="J11314" s="5" t="s">
        <v>52129</v>
      </c>
      <c r="K11314" s="5" t="s">
        <v>52130</v>
      </c>
      <c r="L11314" s="18" t="s">
        <v>52131</v>
      </c>
      <c r="M11314" s="18" t="s">
        <v>29</v>
      </c>
      <c r="N11314" s="18" t="s">
        <v>52132</v>
      </c>
      <c r="O11314" s="18" t="s">
        <v>29</v>
      </c>
      <c r="P11314" s="18" t="s">
        <v>52133</v>
      </c>
      <c r="Q11314" s="6"/>
      <c r="R11314" s="6"/>
      <c r="S11314" s="6"/>
      <c r="T11314" s="6"/>
      <c r="U11314" s="6"/>
    </row>
    <row r="11315" ht="14.25">
      <c r="B11315" s="18" t="s">
        <v>20</v>
      </c>
      <c r="C11315" s="18" t="s">
        <v>52134</v>
      </c>
      <c r="D11315" s="18" t="s">
        <v>52135</v>
      </c>
      <c r="E11315" s="18" t="s">
        <v>52136</v>
      </c>
      <c r="F11315" s="18" t="str">
        <f>IFERROR(__XLUDF.DUMMYFUNCTION("PROPER(REGEXREPLACE(D1227,""[^A-Za-z]+ "",""""))"),"Bâti 85")</f>
        <v xml:space="preserve">Bâti 85</v>
      </c>
      <c r="G11315" s="18" t="s">
        <v>52137</v>
      </c>
      <c r="H11315" s="18">
        <v>22</v>
      </c>
      <c r="I11315" s="18" t="s">
        <v>9239</v>
      </c>
      <c r="J11315" s="5" t="s">
        <v>52138</v>
      </c>
      <c r="K11315" s="5" t="s">
        <v>52139</v>
      </c>
      <c r="L11315" s="18" t="s">
        <v>13441</v>
      </c>
      <c r="M11315" s="18" t="s">
        <v>29</v>
      </c>
      <c r="N11315" s="18" t="s">
        <v>52140</v>
      </c>
      <c r="O11315" s="18" t="s">
        <v>29</v>
      </c>
      <c r="P11315" s="18" t="s">
        <v>52141</v>
      </c>
      <c r="Q11315" s="6"/>
      <c r="R11315" s="6"/>
      <c r="S11315" s="6"/>
      <c r="T11315" s="6"/>
      <c r="U11315" s="6"/>
    </row>
    <row r="11316" ht="14.25">
      <c r="B11316" s="18" t="s">
        <v>330</v>
      </c>
      <c r="C11316" s="18" t="s">
        <v>52142</v>
      </c>
      <c r="D11316" s="18" t="s">
        <v>23879</v>
      </c>
      <c r="E11316" s="18" t="s">
        <v>52143</v>
      </c>
      <c r="F11316" s="18" t="str">
        <f>IFERROR(__XLUDF.DUMMYFUNCTION("PROPER(REGEXREPLACE(D1228,""[^A-Za-z]+ "",""""))"),"Cap Dc")</f>
        <v xml:space="preserve">Cap Dc</v>
      </c>
      <c r="G11316" s="18" t="s">
        <v>52144</v>
      </c>
      <c r="H11316" s="18">
        <v>18</v>
      </c>
      <c r="I11316" s="18" t="s">
        <v>9239</v>
      </c>
      <c r="J11316" s="5" t="s">
        <v>52145</v>
      </c>
      <c r="K11316" s="5" t="s">
        <v>52146</v>
      </c>
      <c r="L11316" s="18" t="s">
        <v>21406</v>
      </c>
      <c r="M11316" s="18" t="s">
        <v>29</v>
      </c>
      <c r="N11316" s="18" t="s">
        <v>52147</v>
      </c>
      <c r="O11316" s="18" t="s">
        <v>29</v>
      </c>
      <c r="P11316" s="6"/>
      <c r="Q11316" s="6"/>
      <c r="R11316" s="6"/>
      <c r="S11316" s="6"/>
      <c r="T11316" s="6"/>
      <c r="U11316" s="6"/>
    </row>
    <row r="11317" ht="14.25">
      <c r="B11317" s="18" t="s">
        <v>52148</v>
      </c>
      <c r="C11317" s="18" t="s">
        <v>52149</v>
      </c>
      <c r="D11317" s="18" t="s">
        <v>112</v>
      </c>
      <c r="E11317" s="18" t="s">
        <v>52150</v>
      </c>
      <c r="F11317" s="18" t="str">
        <f>IFERROR(__XLUDF.DUMMYFUNCTION("PROPER(REGEXREPLACE(D1229,""[^A-Za-z]+ "",""""))"),"Isosign Sécuritroutière")</f>
        <v xml:space="preserve">Isosign Sécuritroutière</v>
      </c>
      <c r="G11317" s="18" t="s">
        <v>52151</v>
      </c>
      <c r="H11317" s="18">
        <v>54</v>
      </c>
      <c r="I11317" s="18" t="s">
        <v>9239</v>
      </c>
      <c r="J11317" s="5" t="s">
        <v>52152</v>
      </c>
      <c r="K11317" s="5" t="s">
        <v>52153</v>
      </c>
      <c r="L11317" s="18" t="s">
        <v>39</v>
      </c>
      <c r="M11317" s="18" t="s">
        <v>29</v>
      </c>
      <c r="N11317" s="18" t="s">
        <v>52154</v>
      </c>
      <c r="O11317" s="18" t="s">
        <v>29</v>
      </c>
      <c r="P11317" s="6"/>
      <c r="Q11317" s="6"/>
      <c r="R11317" s="6"/>
      <c r="S11317" s="6"/>
      <c r="T11317" s="6"/>
      <c r="U11317" s="6"/>
    </row>
    <row r="11318" ht="14.25">
      <c r="B11318" s="18" t="s">
        <v>330</v>
      </c>
      <c r="C11318" s="18" t="s">
        <v>52155</v>
      </c>
      <c r="D11318" s="18" t="s">
        <v>112</v>
      </c>
      <c r="E11318" s="18" t="s">
        <v>52156</v>
      </c>
      <c r="F11318" s="18" t="str">
        <f>IFERROR(__XLUDF.DUMMYFUNCTION("PROPER(REGEXREPLACE(D1230,""[^A-Za-z]+ "",""""))"),"Jps-Contrôle")</f>
        <v>Jps-Contrôle</v>
      </c>
      <c r="G11318" s="18" t="s">
        <v>52157</v>
      </c>
      <c r="H11318" s="18">
        <v>32</v>
      </c>
      <c r="I11318" s="18" t="s">
        <v>9239</v>
      </c>
      <c r="J11318" s="5" t="s">
        <v>52158</v>
      </c>
      <c r="K11318" s="5" t="s">
        <v>52159</v>
      </c>
      <c r="L11318" s="6"/>
      <c r="M11318" s="18" t="s">
        <v>29</v>
      </c>
      <c r="N11318" s="18" t="s">
        <v>52160</v>
      </c>
      <c r="O11318" s="18" t="s">
        <v>29</v>
      </c>
      <c r="P11318" s="18" t="s">
        <v>52161</v>
      </c>
      <c r="Q11318" s="6"/>
      <c r="R11318" s="6"/>
      <c r="S11318" s="6"/>
      <c r="T11318" s="6"/>
      <c r="U11318" s="6"/>
    </row>
    <row r="11319" ht="14.25">
      <c r="B11319" s="18" t="s">
        <v>21089</v>
      </c>
      <c r="C11319" s="18" t="s">
        <v>52162</v>
      </c>
      <c r="D11319" s="18" t="s">
        <v>112</v>
      </c>
      <c r="E11319" s="18" t="s">
        <v>52163</v>
      </c>
      <c r="F11319" s="18" t="str">
        <f>IFERROR(__XLUDF.DUMMYFUNCTION("PROPER(REGEXREPLACE(D1231,""[^A-Za-z]+ "",""""))"),"Citec Label Porte Automatique")</f>
        <v xml:space="preserve">Citec Label Porte Automatique</v>
      </c>
      <c r="G11319" s="18" t="s">
        <v>52164</v>
      </c>
      <c r="H11319" s="18">
        <v>39</v>
      </c>
      <c r="I11319" s="18" t="s">
        <v>9239</v>
      </c>
      <c r="J11319" s="5" t="s">
        <v>52165</v>
      </c>
      <c r="K11319" s="5" t="s">
        <v>52166</v>
      </c>
      <c r="L11319" s="18" t="s">
        <v>9702</v>
      </c>
      <c r="M11319" s="18" t="s">
        <v>29</v>
      </c>
      <c r="N11319" s="18" t="s">
        <v>52167</v>
      </c>
      <c r="O11319" s="18" t="s">
        <v>29</v>
      </c>
      <c r="P11319" s="18" t="s">
        <v>52168</v>
      </c>
      <c r="Q11319" s="6"/>
      <c r="R11319" s="6"/>
      <c r="S11319" s="6"/>
      <c r="T11319" s="6"/>
      <c r="U11319" s="6"/>
    </row>
    <row r="11320" ht="14.25">
      <c r="B11320" s="18" t="s">
        <v>1153</v>
      </c>
      <c r="C11320" s="18" t="s">
        <v>52169</v>
      </c>
      <c r="D11320" s="18" t="s">
        <v>112</v>
      </c>
      <c r="E11320" s="18" t="s">
        <v>52170</v>
      </c>
      <c r="F11320" s="18" t="str">
        <f>IFERROR(__XLUDF.DUMMYFUNCTION("PROPER(REGEXREPLACE(D1232,""[^A-Za-z]+ "",""""))"),"Sdcc")</f>
        <v>Sdcc</v>
      </c>
      <c r="G11320" s="18" t="s">
        <v>52171</v>
      </c>
      <c r="H11320" s="18">
        <v>47</v>
      </c>
      <c r="I11320" s="18" t="s">
        <v>9239</v>
      </c>
      <c r="J11320" s="5" t="s">
        <v>52172</v>
      </c>
      <c r="K11320" s="5" t="s">
        <v>52173</v>
      </c>
      <c r="L11320" s="18" t="s">
        <v>1507</v>
      </c>
      <c r="M11320" s="18" t="s">
        <v>29</v>
      </c>
      <c r="N11320" s="18" t="s">
        <v>52174</v>
      </c>
      <c r="O11320" s="18" t="s">
        <v>29</v>
      </c>
      <c r="P11320" s="6"/>
      <c r="Q11320" s="6"/>
      <c r="R11320" s="6"/>
      <c r="S11320" s="6"/>
      <c r="T11320" s="6"/>
      <c r="U11320" s="6"/>
    </row>
    <row r="11321" ht="14.25">
      <c r="B11321" s="18" t="s">
        <v>6788</v>
      </c>
      <c r="C11321" s="18" t="s">
        <v>52175</v>
      </c>
      <c r="D11321" s="18" t="s">
        <v>52176</v>
      </c>
      <c r="E11321" s="18" t="s">
        <v>52177</v>
      </c>
      <c r="F11321" s="18" t="str">
        <f>IFERROR(__XLUDF.DUMMYFUNCTION("PROPER(REGEXREPLACE(D1233,""[^A-Za-z]+ "",""""))"),"Gcdh Nord")</f>
        <v xml:space="preserve">Gcdh Nord</v>
      </c>
      <c r="G11321" s="18" t="s">
        <v>52178</v>
      </c>
      <c r="H11321" s="18">
        <v>8</v>
      </c>
      <c r="I11321" s="18" t="s">
        <v>9239</v>
      </c>
      <c r="J11321" s="5" t="s">
        <v>52179</v>
      </c>
      <c r="K11321" s="5" t="s">
        <v>52180</v>
      </c>
      <c r="L11321" s="18" t="s">
        <v>185</v>
      </c>
      <c r="M11321" s="18" t="s">
        <v>29</v>
      </c>
      <c r="N11321" s="18" t="s">
        <v>52181</v>
      </c>
      <c r="O11321" s="18" t="s">
        <v>29</v>
      </c>
      <c r="P11321" s="6"/>
      <c r="Q11321" s="6"/>
      <c r="R11321" s="6"/>
      <c r="S11321" s="6"/>
      <c r="T11321" s="6"/>
      <c r="U11321" s="6"/>
    </row>
    <row r="11322" ht="14.25">
      <c r="B11322" s="18" t="s">
        <v>52182</v>
      </c>
      <c r="C11322" s="18" t="s">
        <v>52183</v>
      </c>
      <c r="D11322" s="18" t="s">
        <v>164</v>
      </c>
      <c r="E11322" s="18" t="s">
        <v>52184</v>
      </c>
      <c r="F11322" s="18" t="str">
        <f>IFERROR(__XLUDF.DUMMYFUNCTION("PROPER(REGEXREPLACE(D1234,""[^A-Za-z]+ "",""""))"),"Traconord")</f>
        <v>Traconord</v>
      </c>
      <c r="G11322" s="18" t="s">
        <v>52185</v>
      </c>
      <c r="H11322" s="18">
        <v>20</v>
      </c>
      <c r="I11322" s="18" t="s">
        <v>9239</v>
      </c>
      <c r="J11322" s="5" t="s">
        <v>52186</v>
      </c>
      <c r="K11322" s="5" t="s">
        <v>52187</v>
      </c>
      <c r="L11322" s="18" t="s">
        <v>846</v>
      </c>
      <c r="M11322" s="18" t="s">
        <v>29</v>
      </c>
      <c r="N11322" s="18" t="s">
        <v>52188</v>
      </c>
      <c r="O11322" s="18" t="s">
        <v>29</v>
      </c>
      <c r="P11322" s="18" t="s">
        <v>52189</v>
      </c>
      <c r="Q11322" s="6"/>
      <c r="R11322" s="6"/>
      <c r="S11322" s="6"/>
      <c r="T11322" s="6"/>
      <c r="U11322" s="6"/>
    </row>
    <row r="11323" ht="14.25">
      <c r="B11323" s="18" t="s">
        <v>52190</v>
      </c>
      <c r="C11323" s="18" t="s">
        <v>52191</v>
      </c>
      <c r="D11323" s="18" t="s">
        <v>1240</v>
      </c>
      <c r="E11323" s="18" t="s">
        <v>52192</v>
      </c>
      <c r="F11323" s="18" t="str">
        <f>IFERROR(__XLUDF.DUMMYFUNCTION("PROPER(REGEXREPLACE(D1235,""[^A-Za-z]+ "",""""))"),"Untitled")</f>
        <v>Untitled</v>
      </c>
      <c r="G11323" s="18" t="s">
        <v>52193</v>
      </c>
      <c r="H11323" s="18">
        <v>47</v>
      </c>
      <c r="I11323" s="18" t="s">
        <v>9239</v>
      </c>
      <c r="J11323" s="5" t="s">
        <v>52194</v>
      </c>
      <c r="K11323" s="5" t="s">
        <v>52195</v>
      </c>
      <c r="L11323" s="6"/>
      <c r="M11323" s="18" t="s">
        <v>29</v>
      </c>
      <c r="N11323" s="18" t="s">
        <v>52196</v>
      </c>
      <c r="O11323" s="18" t="s">
        <v>1261</v>
      </c>
      <c r="P11323" s="6"/>
      <c r="Q11323" s="6"/>
      <c r="R11323" s="6"/>
      <c r="S11323" s="6"/>
      <c r="T11323" s="6"/>
      <c r="U11323" s="6"/>
    </row>
    <row r="11324" ht="14.25">
      <c r="B11324" s="18" t="s">
        <v>85</v>
      </c>
      <c r="C11324" s="18" t="s">
        <v>52197</v>
      </c>
      <c r="D11324" s="18" t="s">
        <v>9582</v>
      </c>
      <c r="E11324" s="18" t="s">
        <v>52198</v>
      </c>
      <c r="F11324" s="18" t="str">
        <f>IFERROR(__XLUDF.DUMMYFUNCTION("PROPER(REGEXREPLACE(D1236,""[^A-Za-z]+ "",""""))"),"Ateliers Arkal")</f>
        <v xml:space="preserve">Ateliers Arkal</v>
      </c>
      <c r="G11324" s="18" t="s">
        <v>52199</v>
      </c>
      <c r="H11324" s="18">
        <v>30</v>
      </c>
      <c r="I11324" s="18" t="s">
        <v>9239</v>
      </c>
      <c r="J11324" s="5" t="s">
        <v>52200</v>
      </c>
      <c r="K11324" s="5" t="s">
        <v>52201</v>
      </c>
      <c r="L11324" s="18" t="s">
        <v>52202</v>
      </c>
      <c r="M11324" s="18" t="s">
        <v>29</v>
      </c>
      <c r="N11324" s="18" t="s">
        <v>52203</v>
      </c>
      <c r="O11324" s="18" t="s">
        <v>29</v>
      </c>
      <c r="P11324" s="18" t="s">
        <v>52204</v>
      </c>
      <c r="Q11324" s="6"/>
      <c r="R11324" s="6"/>
      <c r="S11324" s="6"/>
      <c r="T11324" s="6"/>
      <c r="U11324" s="6"/>
    </row>
    <row r="11325" ht="14.25">
      <c r="B11325" s="18" t="s">
        <v>2419</v>
      </c>
      <c r="C11325" s="18" t="s">
        <v>52205</v>
      </c>
      <c r="D11325" s="18" t="s">
        <v>52206</v>
      </c>
      <c r="E11325" s="18" t="s">
        <v>52207</v>
      </c>
      <c r="F11325" s="18" t="str">
        <f>IFERROR(__XLUDF.DUMMYFUNCTION("PROPER(REGEXREPLACE(D1237,""[^A-Za-z]+ "",""""))"),"Nuuk®")</f>
        <v>Nuuk®</v>
      </c>
      <c r="G11325" s="18" t="s">
        <v>52208</v>
      </c>
      <c r="H11325" s="18">
        <v>15</v>
      </c>
      <c r="I11325" s="18" t="s">
        <v>9239</v>
      </c>
      <c r="J11325" s="5" t="s">
        <v>52209</v>
      </c>
      <c r="K11325" s="5" t="s">
        <v>52210</v>
      </c>
      <c r="L11325" s="18" t="s">
        <v>846</v>
      </c>
      <c r="M11325" s="18" t="s">
        <v>29</v>
      </c>
      <c r="N11325" s="18" t="s">
        <v>52211</v>
      </c>
      <c r="O11325" s="18" t="s">
        <v>29</v>
      </c>
      <c r="P11325" s="6"/>
      <c r="Q11325" s="6"/>
      <c r="R11325" s="6"/>
      <c r="S11325" s="6"/>
      <c r="T11325" s="6"/>
      <c r="U11325" s="6"/>
    </row>
    <row r="11326" ht="14.25">
      <c r="B11326" s="18" t="s">
        <v>485</v>
      </c>
      <c r="C11326" s="18" t="s">
        <v>52212</v>
      </c>
      <c r="D11326" s="18" t="s">
        <v>172</v>
      </c>
      <c r="E11326" s="18" t="s">
        <v>52213</v>
      </c>
      <c r="F11326" s="18" t="str">
        <f>IFERROR(__XLUDF.DUMMYFUNCTION("PROPER(REGEXREPLACE(D1238,""[^A-Za-z]+ "",""""))"),"Carniel-Sonaplast")</f>
        <v>Carniel-Sonaplast</v>
      </c>
      <c r="G11326" s="18" t="s">
        <v>52214</v>
      </c>
      <c r="H11326" s="18">
        <v>40</v>
      </c>
      <c r="I11326" s="18" t="s">
        <v>9239</v>
      </c>
      <c r="J11326" s="5" t="s">
        <v>52215</v>
      </c>
      <c r="K11326" s="5" t="s">
        <v>52216</v>
      </c>
      <c r="L11326" s="6"/>
      <c r="M11326" s="18" t="s">
        <v>29</v>
      </c>
      <c r="N11326" s="18" t="s">
        <v>52217</v>
      </c>
      <c r="O11326" s="18" t="s">
        <v>29</v>
      </c>
      <c r="P11326" s="18" t="s">
        <v>52218</v>
      </c>
      <c r="Q11326" s="6"/>
      <c r="R11326" s="6"/>
      <c r="S11326" s="6"/>
      <c r="T11326" s="6"/>
      <c r="U11326" s="6"/>
    </row>
    <row r="11327" ht="14.25">
      <c r="B11327" s="18" t="s">
        <v>49063</v>
      </c>
      <c r="C11327" s="18" t="s">
        <v>52219</v>
      </c>
      <c r="D11327" s="18" t="s">
        <v>172</v>
      </c>
      <c r="E11327" s="18" t="s">
        <v>52220</v>
      </c>
      <c r="F11327" s="18" t="str">
        <f>IFERROR(__XLUDF.DUMMYFUNCTION("PROPER(REGEXREPLACE(D1239,""[^A-Za-z]+ "",""""))"),"2M Construction")</f>
        <v xml:space="preserve">2M Construction</v>
      </c>
      <c r="G11327" s="18" t="s">
        <v>52221</v>
      </c>
      <c r="H11327" s="18">
        <v>53</v>
      </c>
      <c r="I11327" s="18" t="s">
        <v>9239</v>
      </c>
      <c r="J11327" s="5" t="s">
        <v>52222</v>
      </c>
      <c r="K11327" s="5" t="s">
        <v>52223</v>
      </c>
      <c r="L11327" s="18" t="s">
        <v>11191</v>
      </c>
      <c r="M11327" s="18" t="s">
        <v>29</v>
      </c>
      <c r="N11327" s="18" t="s">
        <v>51300</v>
      </c>
      <c r="O11327" s="18" t="s">
        <v>29</v>
      </c>
      <c r="P11327" s="18" t="s">
        <v>52224</v>
      </c>
      <c r="Q11327" s="6"/>
      <c r="R11327" s="6"/>
      <c r="S11327" s="6"/>
      <c r="T11327" s="6"/>
      <c r="U11327" s="6"/>
    </row>
    <row r="11328" ht="14.25">
      <c r="B11328" s="18" t="s">
        <v>768</v>
      </c>
      <c r="C11328" s="18" t="s">
        <v>12981</v>
      </c>
      <c r="D11328" s="18" t="s">
        <v>172</v>
      </c>
      <c r="E11328" s="18" t="s">
        <v>51447</v>
      </c>
      <c r="F11328" s="18" t="str">
        <f>IFERROR(__XLUDF.DUMMYFUNCTION("PROPER(REGEXREPLACE(D1240,""[^A-Za-z]+ "",""""))"),"Bbe")</f>
        <v>Bbe</v>
      </c>
      <c r="G11328" s="18" t="s">
        <v>52225</v>
      </c>
      <c r="H11328" s="18">
        <v>13</v>
      </c>
      <c r="I11328" s="18" t="s">
        <v>9239</v>
      </c>
      <c r="J11328" s="5" t="s">
        <v>52226</v>
      </c>
      <c r="K11328" s="5" t="s">
        <v>51450</v>
      </c>
      <c r="L11328" s="18" t="s">
        <v>185</v>
      </c>
      <c r="M11328" s="18" t="s">
        <v>29</v>
      </c>
      <c r="N11328" s="18" t="s">
        <v>51451</v>
      </c>
      <c r="O11328" s="18" t="s">
        <v>29</v>
      </c>
      <c r="P11328" s="6"/>
      <c r="Q11328" s="6"/>
      <c r="R11328" s="6"/>
      <c r="S11328" s="6"/>
      <c r="T11328" s="6"/>
      <c r="U11328" s="6"/>
    </row>
    <row r="11329" ht="14.25">
      <c r="B11329" s="18" t="s">
        <v>1562</v>
      </c>
      <c r="C11329" s="18" t="s">
        <v>52227</v>
      </c>
      <c r="D11329" s="18" t="s">
        <v>172</v>
      </c>
      <c r="E11329" s="18" t="s">
        <v>52228</v>
      </c>
      <c r="F11329" s="18" t="str">
        <f>IFERROR(__XLUDF.DUMMYFUNCTION("PROPER(REGEXREPLACE(D1241,""[^A-Za-z]+ "",""""))"),"Groupe Metalpe")</f>
        <v xml:space="preserve">Groupe Metalpe</v>
      </c>
      <c r="G11329" s="18" t="s">
        <v>52229</v>
      </c>
      <c r="H11329" s="18">
        <v>43</v>
      </c>
      <c r="I11329" s="18" t="s">
        <v>9239</v>
      </c>
      <c r="J11329" s="5" t="s">
        <v>52230</v>
      </c>
      <c r="K11329" s="5" t="s">
        <v>52231</v>
      </c>
      <c r="L11329" s="18" t="s">
        <v>185</v>
      </c>
      <c r="M11329" s="18" t="s">
        <v>29</v>
      </c>
      <c r="N11329" s="18" t="s">
        <v>52232</v>
      </c>
      <c r="O11329" s="18" t="s">
        <v>29</v>
      </c>
      <c r="P11329" s="18" t="s">
        <v>52233</v>
      </c>
      <c r="Q11329" s="6"/>
      <c r="R11329" s="6"/>
      <c r="S11329" s="6"/>
      <c r="T11329" s="6"/>
      <c r="U11329" s="6"/>
    </row>
    <row r="11330" ht="14.25">
      <c r="B11330" s="18" t="s">
        <v>52234</v>
      </c>
      <c r="C11330" s="18" t="s">
        <v>52235</v>
      </c>
      <c r="D11330" s="18" t="s">
        <v>52236</v>
      </c>
      <c r="E11330" s="18" t="s">
        <v>52237</v>
      </c>
      <c r="F11330" s="18" t="str">
        <f>IFERROR(__XLUDF.DUMMYFUNCTION("PROPER(REGEXREPLACE(D1242,""[^A-Za-z]+ "",""""))"),"Mbacity")</f>
        <v>Mbacity</v>
      </c>
      <c r="G11330" s="18" t="s">
        <v>52238</v>
      </c>
      <c r="H11330" s="18">
        <v>33</v>
      </c>
      <c r="I11330" s="18" t="s">
        <v>9239</v>
      </c>
      <c r="J11330" s="5" t="s">
        <v>52239</v>
      </c>
      <c r="K11330" s="5" t="s">
        <v>52240</v>
      </c>
      <c r="L11330" s="18" t="s">
        <v>39</v>
      </c>
      <c r="M11330" s="18" t="s">
        <v>29</v>
      </c>
      <c r="N11330" s="18" t="s">
        <v>52241</v>
      </c>
      <c r="O11330" s="18" t="s">
        <v>29</v>
      </c>
      <c r="P11330" s="18" t="s">
        <v>52242</v>
      </c>
      <c r="Q11330" s="6"/>
      <c r="R11330" s="6"/>
      <c r="S11330" s="6"/>
      <c r="T11330" s="6"/>
      <c r="U11330" s="6"/>
    </row>
    <row r="11331" ht="14.25">
      <c r="B11331" s="18" t="s">
        <v>2119</v>
      </c>
      <c r="C11331" s="18" t="s">
        <v>52243</v>
      </c>
      <c r="D11331" s="18" t="s">
        <v>172</v>
      </c>
      <c r="E11331" s="18" t="s">
        <v>51664</v>
      </c>
      <c r="F11331" s="18" t="str">
        <f>IFERROR(__XLUDF.DUMMYFUNCTION("PROPER(REGEXREPLACE(D1243,""[^A-Za-z]+ "",""""))"),"Groupe Brunet")</f>
        <v xml:space="preserve">Groupe Brunet</v>
      </c>
      <c r="G11331" s="18" t="s">
        <v>52244</v>
      </c>
      <c r="H11331" s="18">
        <v>17</v>
      </c>
      <c r="I11331" s="18" t="s">
        <v>9239</v>
      </c>
      <c r="J11331" s="5" t="s">
        <v>52245</v>
      </c>
      <c r="K11331" s="5" t="s">
        <v>51667</v>
      </c>
      <c r="L11331" s="6"/>
      <c r="M11331" s="18" t="s">
        <v>29</v>
      </c>
      <c r="N11331" s="18" t="s">
        <v>51668</v>
      </c>
      <c r="O11331" s="18" t="s">
        <v>29</v>
      </c>
      <c r="P11331" s="18" t="s">
        <v>51669</v>
      </c>
      <c r="Q11331" s="6"/>
      <c r="R11331" s="6"/>
      <c r="S11331" s="6"/>
      <c r="T11331" s="6"/>
      <c r="U11331" s="6"/>
    </row>
    <row r="11332" ht="14.25">
      <c r="B11332" s="18" t="s">
        <v>808</v>
      </c>
      <c r="C11332" s="18" t="s">
        <v>45462</v>
      </c>
      <c r="D11332" s="18" t="s">
        <v>172</v>
      </c>
      <c r="E11332" s="18" t="s">
        <v>45463</v>
      </c>
      <c r="F11332" s="18" t="str">
        <f>IFERROR(__XLUDF.DUMMYFUNCTION("PROPER(REGEXREPLACE(D1244,""[^A-Za-z]+ "",""""))"),"Beaufrere-Tp")</f>
        <v>Beaufrere-Tp</v>
      </c>
      <c r="G11332" s="18" t="s">
        <v>52246</v>
      </c>
      <c r="H11332" s="18">
        <v>11</v>
      </c>
      <c r="I11332" s="18" t="s">
        <v>9239</v>
      </c>
      <c r="J11332" s="5" t="s">
        <v>52247</v>
      </c>
      <c r="K11332" s="5" t="s">
        <v>45466</v>
      </c>
      <c r="L11332" s="18" t="s">
        <v>185</v>
      </c>
      <c r="M11332" s="18" t="s">
        <v>29</v>
      </c>
      <c r="N11332" s="18" t="s">
        <v>45467</v>
      </c>
      <c r="O11332" s="18" t="s">
        <v>29</v>
      </c>
      <c r="P11332" s="6"/>
      <c r="Q11332" s="6"/>
      <c r="R11332" s="6"/>
      <c r="S11332" s="6"/>
      <c r="T11332" s="6"/>
      <c r="U11332" s="6"/>
    </row>
    <row r="11333" ht="14.25">
      <c r="B11333" s="18" t="s">
        <v>8995</v>
      </c>
      <c r="C11333" s="18" t="s">
        <v>52248</v>
      </c>
      <c r="D11333" s="18" t="s">
        <v>87</v>
      </c>
      <c r="E11333" s="18" t="s">
        <v>45939</v>
      </c>
      <c r="F11333" s="18" t="str">
        <f>IFERROR(__XLUDF.DUMMYFUNCTION("PROPER(REGEXREPLACE(D1245,""[^A-Za-z]+ "",""""))"),"Technocarbon")</f>
        <v>Technocarbon</v>
      </c>
      <c r="G11333" s="18" t="s">
        <v>52249</v>
      </c>
      <c r="H11333" s="18">
        <v>10</v>
      </c>
      <c r="I11333" s="18" t="s">
        <v>9239</v>
      </c>
      <c r="J11333" s="5" t="s">
        <v>52250</v>
      </c>
      <c r="K11333" s="5" t="s">
        <v>45942</v>
      </c>
      <c r="L11333" s="18" t="s">
        <v>295</v>
      </c>
      <c r="M11333" s="18" t="s">
        <v>29</v>
      </c>
      <c r="N11333" s="18" t="s">
        <v>45943</v>
      </c>
      <c r="O11333" s="18" t="s">
        <v>29</v>
      </c>
      <c r="P11333" s="18" t="s">
        <v>45944</v>
      </c>
      <c r="Q11333" s="6"/>
      <c r="R11333" s="6"/>
      <c r="S11333" s="6"/>
      <c r="T11333" s="6"/>
      <c r="U11333" s="6"/>
    </row>
    <row r="11334" ht="14.25">
      <c r="B11334" s="18" t="s">
        <v>7525</v>
      </c>
      <c r="C11334" s="18" t="s">
        <v>49733</v>
      </c>
      <c r="D11334" s="18" t="s">
        <v>172</v>
      </c>
      <c r="E11334" s="18" t="s">
        <v>49734</v>
      </c>
      <c r="F11334" s="18" t="str">
        <f>IFERROR(__XLUDF.DUMMYFUNCTION("PROPER(REGEXREPLACE(D1246,""[^A-Za-z]+ "",""""))"),"C'Clôt")</f>
        <v>C'Clôt</v>
      </c>
      <c r="G11334" s="18" t="s">
        <v>52251</v>
      </c>
      <c r="H11334" s="18">
        <v>25</v>
      </c>
      <c r="I11334" s="18" t="s">
        <v>9239</v>
      </c>
      <c r="J11334" s="5" t="s">
        <v>52252</v>
      </c>
      <c r="K11334" s="5" t="s">
        <v>49737</v>
      </c>
      <c r="L11334" s="18" t="s">
        <v>12149</v>
      </c>
      <c r="M11334" s="18" t="s">
        <v>29</v>
      </c>
      <c r="N11334" s="18" t="s">
        <v>49738</v>
      </c>
      <c r="O11334" s="18" t="s">
        <v>29</v>
      </c>
      <c r="P11334" s="18" t="s">
        <v>49739</v>
      </c>
      <c r="Q11334" s="6"/>
      <c r="R11334" s="6"/>
      <c r="S11334" s="6"/>
      <c r="T11334" s="6"/>
      <c r="U11334" s="6"/>
    </row>
    <row r="11335" ht="14.25">
      <c r="B11335" s="18" t="s">
        <v>1853</v>
      </c>
      <c r="C11335" s="18" t="s">
        <v>52253</v>
      </c>
      <c r="D11335" s="18" t="s">
        <v>52254</v>
      </c>
      <c r="E11335" s="18" t="s">
        <v>52255</v>
      </c>
      <c r="F11335" s="18" t="str">
        <f>IFERROR(__XLUDF.DUMMYFUNCTION("PROPER(REGEXREPLACE(D1247,""[^A-Za-z]+ "",""""))"),"Eppy")</f>
        <v>Eppy</v>
      </c>
      <c r="G11335" s="18" t="s">
        <v>52256</v>
      </c>
      <c r="H11335" s="18">
        <v>25</v>
      </c>
      <c r="I11335" s="18" t="s">
        <v>9239</v>
      </c>
      <c r="J11335" s="5" t="s">
        <v>52257</v>
      </c>
      <c r="K11335" s="5" t="s">
        <v>52258</v>
      </c>
      <c r="L11335" s="18" t="s">
        <v>27777</v>
      </c>
      <c r="M11335" s="18" t="s">
        <v>29</v>
      </c>
      <c r="N11335" s="18" t="s">
        <v>52259</v>
      </c>
      <c r="O11335" s="18" t="s">
        <v>29</v>
      </c>
      <c r="P11335" s="18" t="s">
        <v>52260</v>
      </c>
      <c r="Q11335" s="6"/>
      <c r="R11335" s="6"/>
      <c r="S11335" s="6"/>
      <c r="T11335" s="6"/>
      <c r="U11335" s="6"/>
    </row>
    <row r="11336" ht="14.25">
      <c r="B11336" s="18" t="s">
        <v>26223</v>
      </c>
      <c r="C11336" s="18" t="s">
        <v>46658</v>
      </c>
      <c r="D11336" s="18" t="s">
        <v>3982</v>
      </c>
      <c r="E11336" s="18" t="s">
        <v>46659</v>
      </c>
      <c r="F11336" s="18" t="str">
        <f>IFERROR(__XLUDF.DUMMYFUNCTION("PROPER(REGEXREPLACE(D1248,""[^A-Za-z]+ "",""""))"),"Mader Sa")</f>
        <v xml:space="preserve">Mader Sa</v>
      </c>
      <c r="G11336" s="18" t="s">
        <v>52261</v>
      </c>
      <c r="H11336" s="18">
        <v>38</v>
      </c>
      <c r="I11336" s="18" t="s">
        <v>9239</v>
      </c>
      <c r="J11336" s="5" t="s">
        <v>52262</v>
      </c>
      <c r="K11336" s="5" t="s">
        <v>46662</v>
      </c>
      <c r="L11336" s="18" t="s">
        <v>7883</v>
      </c>
      <c r="M11336" s="18" t="s">
        <v>29</v>
      </c>
      <c r="N11336" s="18" t="s">
        <v>46663</v>
      </c>
      <c r="O11336" s="18" t="s">
        <v>29</v>
      </c>
      <c r="P11336" s="18" t="s">
        <v>46664</v>
      </c>
      <c r="Q11336" s="6"/>
      <c r="R11336" s="6"/>
      <c r="S11336" s="6"/>
      <c r="T11336" s="6"/>
      <c r="U11336" s="6"/>
    </row>
    <row r="11337" ht="14.25">
      <c r="B11337" s="18" t="s">
        <v>768</v>
      </c>
      <c r="C11337" s="18" t="s">
        <v>40372</v>
      </c>
      <c r="D11337" s="18" t="s">
        <v>3982</v>
      </c>
      <c r="E11337" s="18" t="s">
        <v>52263</v>
      </c>
      <c r="F11337" s="18" t="str">
        <f>IFERROR(__XLUDF.DUMMYFUNCTION("PROPER(REGEXREPLACE(D1249,""[^A-Za-z]+ "",""""))"),"Saint Roch Btp")</f>
        <v xml:space="preserve">Saint Roch Btp</v>
      </c>
      <c r="G11337" s="18" t="s">
        <v>52264</v>
      </c>
      <c r="H11337" s="18">
        <v>6</v>
      </c>
      <c r="I11337" s="18" t="s">
        <v>9239</v>
      </c>
      <c r="J11337" s="5" t="s">
        <v>52265</v>
      </c>
      <c r="K11337" s="5" t="s">
        <v>52266</v>
      </c>
      <c r="L11337" s="18" t="s">
        <v>482</v>
      </c>
      <c r="M11337" s="18" t="s">
        <v>29</v>
      </c>
      <c r="N11337" s="18" t="s">
        <v>52267</v>
      </c>
      <c r="O11337" s="18" t="s">
        <v>29</v>
      </c>
      <c r="P11337" s="6"/>
      <c r="Q11337" s="6"/>
      <c r="R11337" s="6"/>
      <c r="S11337" s="6"/>
      <c r="T11337" s="6"/>
      <c r="U11337" s="6"/>
    </row>
    <row r="11338" ht="14.25">
      <c r="B11338" s="18" t="s">
        <v>52268</v>
      </c>
      <c r="C11338" s="18" t="s">
        <v>52269</v>
      </c>
      <c r="D11338" s="18" t="s">
        <v>265</v>
      </c>
      <c r="E11338" s="18" t="s">
        <v>45393</v>
      </c>
      <c r="F11338" s="18" t="str">
        <f>IFERROR(__XLUDF.DUMMYFUNCTION("PROPER(REGEXREPLACE(D1250,""[^A-Za-z]+ "",""""))"),"Depanneo")</f>
        <v>Depanneo</v>
      </c>
      <c r="G11338" s="18" t="s">
        <v>52270</v>
      </c>
      <c r="H11338" s="18">
        <v>7</v>
      </c>
      <c r="I11338" s="18" t="s">
        <v>9239</v>
      </c>
      <c r="J11338" s="5" t="s">
        <v>52271</v>
      </c>
      <c r="K11338" s="5" t="s">
        <v>45396</v>
      </c>
      <c r="L11338" s="6"/>
      <c r="M11338" s="18" t="s">
        <v>29</v>
      </c>
      <c r="N11338" s="18" t="s">
        <v>21656</v>
      </c>
      <c r="O11338" s="18" t="s">
        <v>29</v>
      </c>
      <c r="P11338" s="18" t="s">
        <v>45397</v>
      </c>
      <c r="Q11338" s="6"/>
      <c r="R11338" s="6"/>
      <c r="S11338" s="6"/>
      <c r="T11338" s="6"/>
      <c r="U11338" s="6"/>
    </row>
    <row r="11339" ht="14.25">
      <c r="B11339" s="18" t="s">
        <v>955</v>
      </c>
      <c r="C11339" s="18" t="s">
        <v>28212</v>
      </c>
      <c r="D11339" s="18" t="s">
        <v>487</v>
      </c>
      <c r="E11339" s="18" t="s">
        <v>52272</v>
      </c>
      <c r="F11339" s="18" t="str">
        <f>IFERROR(__XLUDF.DUMMYFUNCTION("PROPER(REGEXREPLACE(D1251,""[^A-Za-z]+ "",""""))"),"Royet")</f>
        <v>Royet</v>
      </c>
      <c r="G11339" s="18" t="s">
        <v>52273</v>
      </c>
      <c r="H11339" s="18">
        <v>12</v>
      </c>
      <c r="I11339" s="18" t="s">
        <v>9239</v>
      </c>
      <c r="J11339" s="5" t="s">
        <v>52274</v>
      </c>
      <c r="K11339" s="5" t="s">
        <v>52275</v>
      </c>
      <c r="L11339" s="18" t="s">
        <v>831</v>
      </c>
      <c r="M11339" s="18" t="s">
        <v>29</v>
      </c>
      <c r="N11339" s="18" t="s">
        <v>41101</v>
      </c>
      <c r="O11339" s="18" t="s">
        <v>29</v>
      </c>
      <c r="P11339" s="6"/>
      <c r="Q11339" s="6"/>
      <c r="R11339" s="6"/>
      <c r="S11339" s="6"/>
      <c r="T11339" s="6"/>
      <c r="U11339" s="6"/>
    </row>
    <row r="11340" ht="14.25">
      <c r="B11340" s="18" t="s">
        <v>52276</v>
      </c>
      <c r="C11340" s="18" t="s">
        <v>52277</v>
      </c>
      <c r="D11340" s="18" t="s">
        <v>426</v>
      </c>
      <c r="E11340" s="18" t="s">
        <v>52278</v>
      </c>
      <c r="F11340" s="18" t="str">
        <f>IFERROR(__XLUDF.DUMMYFUNCTION("PROPER(REGEXREPLACE(D1252,""[^A-Za-z]+ "",""""))"),"Ede Ingenierie Group")</f>
        <v xml:space="preserve">Ede Ingenierie Group</v>
      </c>
      <c r="G11340" s="18" t="s">
        <v>52279</v>
      </c>
      <c r="H11340" s="18">
        <v>4</v>
      </c>
      <c r="I11340" s="18" t="s">
        <v>9239</v>
      </c>
      <c r="J11340" s="5" t="s">
        <v>52280</v>
      </c>
      <c r="K11340" s="5" t="s">
        <v>52281</v>
      </c>
      <c r="L11340" s="18" t="s">
        <v>39</v>
      </c>
      <c r="M11340" s="18" t="s">
        <v>29</v>
      </c>
      <c r="N11340" s="18" t="s">
        <v>22237</v>
      </c>
      <c r="O11340" s="18" t="s">
        <v>29</v>
      </c>
      <c r="P11340" s="18" t="s">
        <v>52282</v>
      </c>
      <c r="Q11340" s="6"/>
      <c r="R11340" s="6"/>
      <c r="S11340" s="6"/>
      <c r="T11340" s="6"/>
      <c r="U11340" s="6"/>
    </row>
    <row r="11341" ht="14.25">
      <c r="B11341" s="18" t="s">
        <v>52283</v>
      </c>
      <c r="C11341" s="18" t="s">
        <v>52284</v>
      </c>
      <c r="D11341" s="18" t="s">
        <v>468</v>
      </c>
      <c r="E11341" s="18" t="s">
        <v>52285</v>
      </c>
      <c r="F11341" s="18" t="str">
        <f>IFERROR(__XLUDF.DUMMYFUNCTION("PROPER(REGEXREPLACE(D1253,""[^A-Za-z]+ "",""""))"),"Groupe Bonhomme")</f>
        <v xml:space="preserve">Groupe Bonhomme</v>
      </c>
      <c r="G11341" s="18" t="s">
        <v>52286</v>
      </c>
      <c r="H11341" s="18">
        <v>17</v>
      </c>
      <c r="I11341" s="18" t="s">
        <v>9239</v>
      </c>
      <c r="J11341" s="5" t="s">
        <v>52287</v>
      </c>
      <c r="K11341" s="5" t="s">
        <v>52288</v>
      </c>
      <c r="L11341" s="18" t="s">
        <v>52289</v>
      </c>
      <c r="M11341" s="18" t="s">
        <v>29</v>
      </c>
      <c r="N11341" s="18" t="s">
        <v>52290</v>
      </c>
      <c r="O11341" s="18" t="s">
        <v>29</v>
      </c>
      <c r="P11341" s="18" t="s">
        <v>52291</v>
      </c>
      <c r="Q11341" s="6"/>
      <c r="R11341" s="6"/>
      <c r="S11341" s="6"/>
      <c r="T11341" s="6"/>
      <c r="U11341" s="6"/>
    </row>
    <row r="11342" ht="14.25">
      <c r="B11342" s="18" t="s">
        <v>3164</v>
      </c>
      <c r="C11342" s="18" t="s">
        <v>2980</v>
      </c>
      <c r="D11342" s="18" t="s">
        <v>52292</v>
      </c>
      <c r="E11342" s="18" t="s">
        <v>45735</v>
      </c>
      <c r="F11342" s="18" t="str">
        <f>IFERROR(__XLUDF.DUMMYFUNCTION("PROPER(REGEXREPLACE(D1254,""[^A-Za-z]+ "",""""))"),"D2M Immobilier")</f>
        <v xml:space="preserve">D2M Immobilier</v>
      </c>
      <c r="G11342" s="18" t="s">
        <v>52293</v>
      </c>
      <c r="H11342" s="18">
        <v>9</v>
      </c>
      <c r="I11342" s="18" t="s">
        <v>4293</v>
      </c>
      <c r="J11342" s="5" t="s">
        <v>52294</v>
      </c>
      <c r="K11342" s="5" t="s">
        <v>45738</v>
      </c>
      <c r="L11342" s="18" t="s">
        <v>562</v>
      </c>
      <c r="M11342" s="18" t="s">
        <v>29</v>
      </c>
      <c r="N11342" s="18" t="s">
        <v>45739</v>
      </c>
      <c r="O11342" s="18" t="s">
        <v>29</v>
      </c>
      <c r="P11342" s="18" t="s">
        <v>45740</v>
      </c>
      <c r="Q11342" s="6"/>
      <c r="R11342" s="6"/>
      <c r="S11342" s="6"/>
      <c r="T11342" s="6"/>
      <c r="U11342" s="6"/>
    </row>
    <row r="11343" ht="14.25">
      <c r="B11343" s="18" t="s">
        <v>52295</v>
      </c>
      <c r="C11343" s="18" t="s">
        <v>52296</v>
      </c>
      <c r="D11343" s="18" t="s">
        <v>426</v>
      </c>
      <c r="E11343" s="18" t="s">
        <v>52297</v>
      </c>
      <c r="F11343" s="18" t="str">
        <f>IFERROR(__XLUDF.DUMMYFUNCTION("PROPER(REGEXREPLACE(D1255,""[^A-Za-z]+ "",""""))"),"Ravalsa")</f>
        <v>Ravalsa</v>
      </c>
      <c r="G11343" s="18" t="s">
        <v>52298</v>
      </c>
      <c r="H11343" s="18">
        <v>6</v>
      </c>
      <c r="I11343" s="18" t="s">
        <v>9239</v>
      </c>
      <c r="J11343" s="5" t="s">
        <v>52299</v>
      </c>
      <c r="K11343" s="5" t="s">
        <v>52300</v>
      </c>
      <c r="L11343" s="6"/>
      <c r="M11343" s="18" t="s">
        <v>29</v>
      </c>
      <c r="N11343" s="6"/>
      <c r="O11343" s="6"/>
      <c r="P11343" s="6"/>
      <c r="Q11343" s="6"/>
      <c r="R11343" s="6"/>
      <c r="S11343" s="6"/>
      <c r="T11343" s="6"/>
      <c r="U11343" s="6"/>
    </row>
    <row r="11344" ht="14.25">
      <c r="B11344" s="18" t="s">
        <v>4469</v>
      </c>
      <c r="C11344" s="18" t="s">
        <v>52301</v>
      </c>
      <c r="D11344" s="18" t="s">
        <v>164</v>
      </c>
      <c r="E11344" s="18" t="s">
        <v>52302</v>
      </c>
      <c r="F11344" s="18" t="str">
        <f>IFERROR(__XLUDF.DUMMYFUNCTION("PROPER(REGEXREPLACE(D1256,""[^A-Za-z]+ "",""""))"),"Geb Construction")</f>
        <v xml:space="preserve">Geb Construction</v>
      </c>
      <c r="G11344" s="18" t="s">
        <v>52303</v>
      </c>
      <c r="H11344" s="18">
        <v>6</v>
      </c>
      <c r="I11344" s="18" t="s">
        <v>10167</v>
      </c>
      <c r="J11344" s="5" t="s">
        <v>52304</v>
      </c>
      <c r="K11344" s="5" t="s">
        <v>52305</v>
      </c>
      <c r="L11344" s="18" t="s">
        <v>52306</v>
      </c>
      <c r="M11344" s="18" t="s">
        <v>29</v>
      </c>
      <c r="N11344" s="18" t="s">
        <v>29</v>
      </c>
      <c r="O11344" s="18" t="s">
        <v>29</v>
      </c>
      <c r="P11344" s="6"/>
      <c r="Q11344" s="6"/>
      <c r="R11344" s="6"/>
      <c r="S11344" s="6"/>
      <c r="T11344" s="6"/>
      <c r="U11344" s="6"/>
    </row>
    <row r="11345" ht="14.25">
      <c r="B11345" s="18" t="s">
        <v>222</v>
      </c>
      <c r="C11345" s="18" t="s">
        <v>6390</v>
      </c>
      <c r="D11345" s="18" t="s">
        <v>24285</v>
      </c>
      <c r="E11345" s="18" t="s">
        <v>24286</v>
      </c>
      <c r="F11345" s="18" t="str">
        <f>IFERROR(__XLUDF.DUMMYFUNCTION("PROPER(REGEXREPLACE(D1257,""[^A-Za-z]+ "",""""))"),"La Soderec")</f>
        <v xml:space="preserve">La Soderec</v>
      </c>
      <c r="G11345" s="18" t="s">
        <v>24287</v>
      </c>
      <c r="H11345" s="18">
        <v>20</v>
      </c>
      <c r="I11345" s="18" t="s">
        <v>4293</v>
      </c>
      <c r="J11345" s="5" t="s">
        <v>24288</v>
      </c>
      <c r="K11345" s="5" t="s">
        <v>24289</v>
      </c>
      <c r="L11345" s="18" t="s">
        <v>482</v>
      </c>
      <c r="M11345" s="18" t="s">
        <v>29</v>
      </c>
      <c r="N11345" s="18" t="s">
        <v>24290</v>
      </c>
      <c r="O11345" s="18" t="s">
        <v>29</v>
      </c>
      <c r="P11345" s="18" t="s">
        <v>24291</v>
      </c>
      <c r="Q11345" s="6"/>
      <c r="R11345" s="6"/>
      <c r="S11345" s="6"/>
      <c r="T11345" s="6"/>
      <c r="U11345" s="6"/>
    </row>
    <row r="11346" ht="14.25">
      <c r="B11346" s="18" t="s">
        <v>3540</v>
      </c>
      <c r="C11346" s="18" t="s">
        <v>52307</v>
      </c>
      <c r="D11346" s="18" t="s">
        <v>52308</v>
      </c>
      <c r="E11346" s="18" t="s">
        <v>52309</v>
      </c>
      <c r="F11346" s="18" t="str">
        <f>IFERROR(__XLUDF.DUMMYFUNCTION("PROPER(REGEXREPLACE(D1258,""[^A-Za-z]+ "",""""))"),"Ctp Coffrage")</f>
        <v xml:space="preserve">Ctp Coffrage</v>
      </c>
      <c r="G11346" s="18" t="s">
        <v>52310</v>
      </c>
      <c r="H11346" s="18">
        <v>5</v>
      </c>
      <c r="I11346" s="18" t="s">
        <v>9239</v>
      </c>
      <c r="J11346" s="5" t="s">
        <v>52311</v>
      </c>
      <c r="K11346" s="5" t="s">
        <v>52312</v>
      </c>
      <c r="L11346" s="18" t="s">
        <v>39</v>
      </c>
      <c r="M11346" s="18" t="s">
        <v>29</v>
      </c>
      <c r="N11346" s="18" t="s">
        <v>52313</v>
      </c>
      <c r="O11346" s="18" t="s">
        <v>29</v>
      </c>
      <c r="P11346" s="6"/>
      <c r="Q11346" s="6"/>
      <c r="R11346" s="6"/>
      <c r="S11346" s="6"/>
      <c r="T11346" s="6"/>
      <c r="U11346" s="6"/>
    </row>
    <row r="11347" ht="14.25">
      <c r="B11347" s="18" t="s">
        <v>1596</v>
      </c>
      <c r="C11347" s="18" t="s">
        <v>52314</v>
      </c>
      <c r="D11347" s="18" t="s">
        <v>468</v>
      </c>
      <c r="E11347" s="18" t="s">
        <v>44964</v>
      </c>
      <c r="F11347" s="18" t="str">
        <f>IFERROR(__XLUDF.DUMMYFUNCTION("PROPER(REGEXREPLACE(D1259,""[^A-Za-z]+ "",""""))"),"Périgord Habitat")</f>
        <v xml:space="preserve">Périgord Habitat</v>
      </c>
      <c r="G11347" s="18" t="s">
        <v>52315</v>
      </c>
      <c r="H11347" s="18">
        <v>52</v>
      </c>
      <c r="I11347" s="18" t="s">
        <v>4293</v>
      </c>
      <c r="J11347" s="5" t="s">
        <v>52316</v>
      </c>
      <c r="K11347" s="5" t="s">
        <v>44967</v>
      </c>
      <c r="L11347" s="18" t="s">
        <v>16684</v>
      </c>
      <c r="M11347" s="18" t="s">
        <v>29</v>
      </c>
      <c r="N11347" s="18" t="s">
        <v>44968</v>
      </c>
      <c r="O11347" s="18" t="s">
        <v>29</v>
      </c>
      <c r="P11347" s="18" t="s">
        <v>44969</v>
      </c>
      <c r="Q11347" s="6"/>
      <c r="R11347" s="6"/>
      <c r="S11347" s="6"/>
      <c r="T11347" s="6"/>
      <c r="U11347" s="6"/>
    </row>
    <row r="11348" ht="14.25">
      <c r="B11348" s="18" t="s">
        <v>3002</v>
      </c>
      <c r="C11348" s="18" t="s">
        <v>52317</v>
      </c>
      <c r="D11348" s="18" t="s">
        <v>172</v>
      </c>
      <c r="E11348" s="18" t="s">
        <v>49254</v>
      </c>
      <c r="F11348" s="18" t="str">
        <f>IFERROR(__XLUDF.DUMMYFUNCTION("PROPER(REGEXREPLACE(D1260,""[^A-Za-z]+ "",""""))"),"Alisa.D")</f>
        <v>Alisa.D</v>
      </c>
      <c r="G11348" s="18" t="s">
        <v>52318</v>
      </c>
      <c r="H11348" s="18">
        <v>20</v>
      </c>
      <c r="I11348" s="18" t="s">
        <v>9239</v>
      </c>
      <c r="J11348" s="5" t="s">
        <v>52319</v>
      </c>
      <c r="K11348" s="5" t="s">
        <v>49257</v>
      </c>
      <c r="L11348" s="18" t="s">
        <v>12322</v>
      </c>
      <c r="M11348" s="18" t="s">
        <v>29</v>
      </c>
      <c r="N11348" s="18" t="s">
        <v>49258</v>
      </c>
      <c r="O11348" s="18" t="s">
        <v>29</v>
      </c>
      <c r="P11348" s="6"/>
      <c r="Q11348" s="6"/>
      <c r="R11348" s="6"/>
      <c r="S11348" s="6"/>
      <c r="T11348" s="6"/>
      <c r="U11348" s="6"/>
    </row>
    <row r="11349" ht="14.25">
      <c r="B11349" s="18" t="s">
        <v>2643</v>
      </c>
      <c r="C11349" s="18" t="s">
        <v>52320</v>
      </c>
      <c r="D11349" s="18" t="s">
        <v>2636</v>
      </c>
      <c r="E11349" s="18" t="s">
        <v>52321</v>
      </c>
      <c r="F11349" s="18" t="str">
        <f>IFERROR(__XLUDF.DUMMYFUNCTION("PROPER(REGEXREPLACE(D1261,""[^A-Za-z]+ "",""""))"),"Atlantic Sols Confort")</f>
        <v xml:space="preserve">Atlantic Sols Confort</v>
      </c>
      <c r="G11349" s="18" t="s">
        <v>52322</v>
      </c>
      <c r="H11349" s="18">
        <v>8</v>
      </c>
      <c r="I11349" s="18" t="s">
        <v>9239</v>
      </c>
      <c r="J11349" s="5" t="s">
        <v>52323</v>
      </c>
      <c r="K11349" s="5" t="s">
        <v>52324</v>
      </c>
      <c r="L11349" s="18" t="s">
        <v>48998</v>
      </c>
      <c r="M11349" s="18" t="s">
        <v>29</v>
      </c>
      <c r="N11349" s="18" t="s">
        <v>29</v>
      </c>
      <c r="O11349" s="18" t="s">
        <v>29</v>
      </c>
      <c r="P11349" s="6"/>
      <c r="Q11349" s="6"/>
      <c r="R11349" s="6"/>
      <c r="S11349" s="6"/>
      <c r="T11349" s="6"/>
      <c r="U11349" s="6"/>
    </row>
    <row r="11350" ht="14.25">
      <c r="B11350" s="18" t="s">
        <v>661</v>
      </c>
      <c r="C11350" s="18" t="s">
        <v>52325</v>
      </c>
      <c r="D11350" s="18" t="s">
        <v>172</v>
      </c>
      <c r="E11350" s="18" t="s">
        <v>52326</v>
      </c>
      <c r="F11350" s="18" t="str">
        <f>IFERROR(__XLUDF.DUMMYFUNCTION("PROPER(REGEXREPLACE(D1262,""[^A-Za-z]+ "",""""))"),"Menuiserie Papet")</f>
        <v xml:space="preserve">Menuiserie Papet</v>
      </c>
      <c r="G11350" s="18" t="s">
        <v>52327</v>
      </c>
      <c r="H11350" s="6"/>
      <c r="I11350" s="6"/>
      <c r="J11350" s="5" t="s">
        <v>52328</v>
      </c>
      <c r="K11350" s="5" t="s">
        <v>52329</v>
      </c>
      <c r="L11350" s="18" t="s">
        <v>39</v>
      </c>
      <c r="M11350" s="18" t="s">
        <v>29</v>
      </c>
      <c r="N11350" s="18" t="s">
        <v>52330</v>
      </c>
      <c r="O11350" s="18" t="s">
        <v>29</v>
      </c>
      <c r="P11350" s="6"/>
      <c r="Q11350" s="6"/>
      <c r="R11350" s="6"/>
      <c r="S11350" s="6"/>
      <c r="T11350" s="6"/>
      <c r="U11350" s="6"/>
    </row>
    <row r="11351" ht="14.25">
      <c r="B11351" s="18" t="s">
        <v>5716</v>
      </c>
      <c r="C11351" s="18" t="s">
        <v>30239</v>
      </c>
      <c r="D11351" s="18" t="s">
        <v>1130</v>
      </c>
      <c r="E11351" s="18" t="s">
        <v>52331</v>
      </c>
      <c r="F11351" s="18" t="str">
        <f>IFERROR(__XLUDF.DUMMYFUNCTION("PROPER(REGEXREPLACE(D1263,""[^A-Za-z]+ "",""""))"),"Pvc Alu Creation")</f>
        <v xml:space="preserve">Pvc Alu Creation</v>
      </c>
      <c r="G11351" s="18" t="s">
        <v>52332</v>
      </c>
      <c r="H11351" s="18">
        <v>16</v>
      </c>
      <c r="I11351" s="18" t="s">
        <v>9239</v>
      </c>
      <c r="J11351" s="5" t="s">
        <v>52333</v>
      </c>
      <c r="K11351" s="5" t="s">
        <v>52334</v>
      </c>
      <c r="L11351" s="18" t="s">
        <v>52335</v>
      </c>
      <c r="M11351" s="18" t="s">
        <v>29</v>
      </c>
      <c r="N11351" s="18" t="s">
        <v>52336</v>
      </c>
      <c r="O11351" s="18" t="s">
        <v>29</v>
      </c>
      <c r="P11351" s="18" t="s">
        <v>52337</v>
      </c>
      <c r="Q11351" s="6"/>
      <c r="R11351" s="6"/>
      <c r="S11351" s="6"/>
      <c r="T11351" s="6"/>
      <c r="U11351" s="6"/>
    </row>
    <row r="11352" ht="14.25">
      <c r="B11352" s="18" t="s">
        <v>5728</v>
      </c>
      <c r="C11352" s="18" t="s">
        <v>52338</v>
      </c>
      <c r="D11352" s="18" t="s">
        <v>52339</v>
      </c>
      <c r="E11352" s="18" t="s">
        <v>46240</v>
      </c>
      <c r="F11352" s="18" t="str">
        <f>IFERROR(__XLUDF.DUMMYFUNCTION("PROPER(REGEXREPLACE(D1264,""[^A-Za-z]+ "",""""))"),"Groupe Bage")</f>
        <v xml:space="preserve">Groupe Bage</v>
      </c>
      <c r="G11352" s="18" t="s">
        <v>52340</v>
      </c>
      <c r="H11352" s="18">
        <v>24</v>
      </c>
      <c r="I11352" s="18" t="s">
        <v>9239</v>
      </c>
      <c r="J11352" s="5" t="s">
        <v>52341</v>
      </c>
      <c r="K11352" s="5" t="s">
        <v>46243</v>
      </c>
      <c r="L11352" s="6"/>
      <c r="M11352" s="18" t="s">
        <v>29</v>
      </c>
      <c r="N11352" s="18" t="s">
        <v>25944</v>
      </c>
      <c r="O11352" s="18" t="s">
        <v>29</v>
      </c>
      <c r="P11352" s="18" t="s">
        <v>46244</v>
      </c>
      <c r="Q11352" s="6"/>
      <c r="R11352" s="6"/>
      <c r="S11352" s="6"/>
      <c r="T11352" s="6"/>
      <c r="U11352" s="6"/>
    </row>
    <row r="11353" ht="14.25">
      <c r="B11353" s="18" t="s">
        <v>22725</v>
      </c>
      <c r="C11353" s="18" t="s">
        <v>21907</v>
      </c>
      <c r="D11353" s="18" t="s">
        <v>672</v>
      </c>
      <c r="E11353" s="18" t="s">
        <v>52342</v>
      </c>
      <c r="F11353" s="18" t="str">
        <f>IFERROR(__XLUDF.DUMMYFUNCTION("PROPER(REGEXREPLACE(D1265,""[^A-Za-z]+ "",""""))"),"Aglo")</f>
        <v>Aglo</v>
      </c>
      <c r="G11353" s="18" t="s">
        <v>52343</v>
      </c>
      <c r="H11353" s="18">
        <v>35</v>
      </c>
      <c r="I11353" s="18" t="s">
        <v>9239</v>
      </c>
      <c r="J11353" s="5" t="s">
        <v>52344</v>
      </c>
      <c r="K11353" s="5" t="s">
        <v>52345</v>
      </c>
      <c r="L11353" s="6"/>
      <c r="M11353" s="18" t="s">
        <v>29</v>
      </c>
      <c r="N11353" s="18" t="s">
        <v>3642</v>
      </c>
      <c r="O11353" s="18" t="s">
        <v>29</v>
      </c>
      <c r="P11353" s="18" t="s">
        <v>52346</v>
      </c>
      <c r="Q11353" s="6"/>
      <c r="R11353" s="6"/>
      <c r="S11353" s="6"/>
      <c r="T11353" s="6"/>
      <c r="U11353" s="6"/>
    </row>
    <row r="11354" ht="14.25">
      <c r="B11354" s="18" t="s">
        <v>52347</v>
      </c>
      <c r="C11354" s="18" t="s">
        <v>52348</v>
      </c>
      <c r="D11354" s="18" t="s">
        <v>688</v>
      </c>
      <c r="E11354" s="18" t="s">
        <v>52349</v>
      </c>
      <c r="F11354" s="18" t="str">
        <f>IFERROR(__XLUDF.DUMMYFUNCTION("PROPER(REGEXREPLACE(D1266,""[^A-Za-z]+ "",""""))"),"Safechaf")</f>
        <v>Safechaf</v>
      </c>
      <c r="G11354" s="18" t="s">
        <v>52350</v>
      </c>
      <c r="H11354" s="18">
        <v>34</v>
      </c>
      <c r="I11354" s="18" t="s">
        <v>9239</v>
      </c>
      <c r="J11354" s="5" t="s">
        <v>52351</v>
      </c>
      <c r="K11354" s="5" t="s">
        <v>52352</v>
      </c>
      <c r="L11354" s="18" t="s">
        <v>6489</v>
      </c>
      <c r="M11354" s="18" t="s">
        <v>29</v>
      </c>
      <c r="N11354" s="18" t="s">
        <v>52353</v>
      </c>
      <c r="O11354" s="18" t="s">
        <v>14046</v>
      </c>
      <c r="P11354" s="18" t="s">
        <v>52354</v>
      </c>
      <c r="Q11354" s="6"/>
      <c r="R11354" s="6"/>
      <c r="S11354" s="6"/>
      <c r="T11354" s="6"/>
      <c r="U11354" s="6"/>
    </row>
    <row r="11355" ht="14.25">
      <c r="B11355" s="18" t="s">
        <v>52355</v>
      </c>
      <c r="C11355" s="18" t="s">
        <v>52356</v>
      </c>
      <c r="D11355" s="18" t="s">
        <v>1130</v>
      </c>
      <c r="E11355" s="18" t="s">
        <v>52357</v>
      </c>
      <c r="F11355" s="18" t="str">
        <f>IFERROR(__XLUDF.DUMMYFUNCTION("PROPER(REGEXREPLACE(D1267,""[^A-Za-z]+ "",""""))"),"Extha")</f>
        <v>Extha</v>
      </c>
      <c r="G11355" s="18" t="s">
        <v>52358</v>
      </c>
      <c r="H11355" s="18">
        <v>16</v>
      </c>
      <c r="I11355" s="18" t="s">
        <v>9239</v>
      </c>
      <c r="J11355" s="5" t="s">
        <v>52359</v>
      </c>
      <c r="K11355" s="5" t="s">
        <v>52360</v>
      </c>
      <c r="L11355" s="6"/>
      <c r="M11355" s="18" t="s">
        <v>29</v>
      </c>
      <c r="N11355" s="18" t="s">
        <v>52361</v>
      </c>
      <c r="O11355" s="18" t="s">
        <v>29</v>
      </c>
      <c r="P11355" s="6"/>
      <c r="Q11355" s="6"/>
      <c r="R11355" s="6"/>
      <c r="S11355" s="6"/>
      <c r="T11355" s="6"/>
      <c r="U11355" s="6"/>
    </row>
    <row r="11356" ht="14.25">
      <c r="B11356" s="18" t="s">
        <v>110</v>
      </c>
      <c r="C11356" s="18" t="s">
        <v>52362</v>
      </c>
      <c r="D11356" s="18" t="s">
        <v>112</v>
      </c>
      <c r="E11356" s="18" t="s">
        <v>52363</v>
      </c>
      <c r="F11356" s="18" t="str">
        <f>IFERROR(__XLUDF.DUMMYFUNCTION("PROPER(REGEXREPLACE(D1268,""[^A-Za-z]+ "",""""))"),"Captain Solar")</f>
        <v xml:space="preserve">Captain Solar</v>
      </c>
      <c r="G11356" s="18" t="s">
        <v>52364</v>
      </c>
      <c r="H11356" s="18">
        <v>2</v>
      </c>
      <c r="I11356" s="18" t="s">
        <v>9239</v>
      </c>
      <c r="J11356" s="5" t="s">
        <v>52365</v>
      </c>
      <c r="K11356" s="5" t="s">
        <v>52366</v>
      </c>
      <c r="L11356" s="18" t="s">
        <v>482</v>
      </c>
      <c r="M11356" s="18" t="s">
        <v>29</v>
      </c>
      <c r="N11356" s="18" t="s">
        <v>52367</v>
      </c>
      <c r="O11356" s="18" t="s">
        <v>29</v>
      </c>
      <c r="P11356" s="18" t="s">
        <v>52368</v>
      </c>
      <c r="Q11356" s="6"/>
      <c r="R11356" s="6"/>
      <c r="S11356" s="6"/>
      <c r="T11356" s="6"/>
      <c r="U11356" s="6"/>
    </row>
    <row r="11357" ht="14.25">
      <c r="B11357" s="18" t="s">
        <v>5001</v>
      </c>
      <c r="C11357" s="18" t="s">
        <v>52369</v>
      </c>
      <c r="D11357" s="18" t="s">
        <v>112</v>
      </c>
      <c r="E11357" s="18" t="s">
        <v>52370</v>
      </c>
      <c r="F11357" s="18" t="str">
        <f>IFERROR(__XLUDF.DUMMYFUNCTION("PROPER(REGEXREPLACE(D1269,""[^A-Za-z]+ "",""""))"),"Etablissements Lemaitre")</f>
        <v xml:space="preserve">Etablissements Lemaitre</v>
      </c>
      <c r="G11357" s="18" t="s">
        <v>52371</v>
      </c>
      <c r="H11357" s="18">
        <v>1</v>
      </c>
      <c r="I11357" s="18" t="s">
        <v>9239</v>
      </c>
      <c r="J11357" s="5" t="s">
        <v>52372</v>
      </c>
      <c r="K11357" s="5" t="s">
        <v>52373</v>
      </c>
      <c r="L11357" s="18" t="s">
        <v>1711</v>
      </c>
      <c r="M11357" s="18" t="s">
        <v>29</v>
      </c>
      <c r="N11357" s="18" t="s">
        <v>52374</v>
      </c>
      <c r="O11357" s="18" t="s">
        <v>29</v>
      </c>
      <c r="P11357" s="6"/>
      <c r="Q11357" s="6"/>
      <c r="R11357" s="6"/>
      <c r="S11357" s="6"/>
      <c r="T11357" s="6"/>
      <c r="U11357" s="6"/>
    </row>
    <row r="11358" ht="14.25">
      <c r="B11358" s="18" t="s">
        <v>4341</v>
      </c>
      <c r="C11358" s="18" t="s">
        <v>52375</v>
      </c>
      <c r="D11358" s="18" t="s">
        <v>5080</v>
      </c>
      <c r="E11358" s="18" t="s">
        <v>52376</v>
      </c>
      <c r="F11358" s="18" t="str">
        <f>IFERROR(__XLUDF.DUMMYFUNCTION("PROPER(REGEXREPLACE(D1270,""[^A-Za-z]+ "",""""))"),"Atlas Promotion")</f>
        <v xml:space="preserve">Atlas Promotion</v>
      </c>
      <c r="G11358" s="18" t="s">
        <v>52377</v>
      </c>
      <c r="H11358" s="18">
        <v>4</v>
      </c>
      <c r="I11358" s="18" t="s">
        <v>9239</v>
      </c>
      <c r="J11358" s="5" t="s">
        <v>52378</v>
      </c>
      <c r="K11358" s="5" t="s">
        <v>52379</v>
      </c>
      <c r="L11358" s="18" t="s">
        <v>1711</v>
      </c>
      <c r="M11358" s="18" t="s">
        <v>29</v>
      </c>
      <c r="N11358" s="18" t="s">
        <v>52380</v>
      </c>
      <c r="O11358" s="18" t="s">
        <v>29</v>
      </c>
      <c r="P11358" s="18" t="s">
        <v>52381</v>
      </c>
      <c r="Q11358" s="6"/>
      <c r="R11358" s="6"/>
      <c r="S11358" s="6"/>
      <c r="T11358" s="6"/>
      <c r="U11358" s="6"/>
    </row>
    <row r="11359" ht="14.25">
      <c r="B11359" s="18" t="s">
        <v>1853</v>
      </c>
      <c r="C11359" s="18" t="s">
        <v>52382</v>
      </c>
      <c r="D11359" s="18" t="s">
        <v>172</v>
      </c>
      <c r="E11359" s="18" t="s">
        <v>52383</v>
      </c>
      <c r="F11359" s="18" t="str">
        <f>IFERROR(__XLUDF.DUMMYFUNCTION("PROPER(REGEXREPLACE(D1271,""[^A-Za-z]+ "",""""))"),"Vitel Menuiseries")</f>
        <v xml:space="preserve">Vitel Menuiseries</v>
      </c>
      <c r="G11359" s="18" t="s">
        <v>52384</v>
      </c>
      <c r="H11359" s="18">
        <v>12</v>
      </c>
      <c r="I11359" s="18" t="s">
        <v>9239</v>
      </c>
      <c r="J11359" s="5" t="s">
        <v>52385</v>
      </c>
      <c r="K11359" s="5" t="s">
        <v>52386</v>
      </c>
      <c r="L11359" s="18" t="s">
        <v>52387</v>
      </c>
      <c r="M11359" s="18" t="s">
        <v>29</v>
      </c>
      <c r="N11359" s="18" t="s">
        <v>52388</v>
      </c>
      <c r="O11359" s="18" t="s">
        <v>29</v>
      </c>
      <c r="P11359" s="6"/>
      <c r="Q11359" s="6"/>
      <c r="R11359" s="6"/>
      <c r="S11359" s="6"/>
      <c r="T11359" s="6"/>
      <c r="U11359" s="6"/>
    </row>
    <row r="11360" ht="14.25">
      <c r="B11360" s="18" t="s">
        <v>1198</v>
      </c>
      <c r="C11360" s="18" t="s">
        <v>52389</v>
      </c>
      <c r="D11360" s="18" t="s">
        <v>112</v>
      </c>
      <c r="E11360" s="18" t="s">
        <v>52390</v>
      </c>
      <c r="F11360" s="18" t="str">
        <f>IFERROR(__XLUDF.DUMMYFUNCTION("PROPER(REGEXREPLACE(D1272,""[^A-Za-z]+ "",""""))"),"Avb Innovations")</f>
        <v xml:space="preserve">Avb Innovations</v>
      </c>
      <c r="G11360" s="18" t="s">
        <v>52391</v>
      </c>
      <c r="H11360" s="18">
        <v>16</v>
      </c>
      <c r="I11360" s="18" t="s">
        <v>9239</v>
      </c>
      <c r="J11360" s="5" t="s">
        <v>52392</v>
      </c>
      <c r="K11360" s="5" t="s">
        <v>52393</v>
      </c>
      <c r="L11360" s="6"/>
      <c r="M11360" s="18" t="s">
        <v>29</v>
      </c>
      <c r="N11360" s="18" t="s">
        <v>52394</v>
      </c>
      <c r="O11360" s="18" t="s">
        <v>29</v>
      </c>
      <c r="P11360" s="6"/>
      <c r="Q11360" s="6"/>
      <c r="R11360" s="6"/>
      <c r="S11360" s="6"/>
      <c r="T11360" s="6"/>
      <c r="U11360" s="6"/>
    </row>
    <row r="11361" ht="14.25">
      <c r="B11361" s="18" t="s">
        <v>670</v>
      </c>
      <c r="C11361" s="18" t="s">
        <v>52395</v>
      </c>
      <c r="D11361" s="18" t="s">
        <v>7155</v>
      </c>
      <c r="E11361" s="18" t="s">
        <v>51483</v>
      </c>
      <c r="F11361" s="18" t="str">
        <f>IFERROR(__XLUDF.DUMMYFUNCTION("PROPER(REGEXREPLACE(D1273,""[^A-Za-z]+ "",""""))"),"Michel Sas")</f>
        <v xml:space="preserve">Michel Sas</v>
      </c>
      <c r="G11361" s="18" t="s">
        <v>52396</v>
      </c>
      <c r="H11361" s="18">
        <v>30</v>
      </c>
      <c r="I11361" s="18" t="s">
        <v>9239</v>
      </c>
      <c r="J11361" s="5" t="s">
        <v>52397</v>
      </c>
      <c r="K11361" s="5" t="s">
        <v>51486</v>
      </c>
      <c r="L11361" s="18" t="s">
        <v>18055</v>
      </c>
      <c r="M11361" s="18" t="s">
        <v>29</v>
      </c>
      <c r="N11361" s="18" t="s">
        <v>51487</v>
      </c>
      <c r="O11361" s="18" t="s">
        <v>29</v>
      </c>
      <c r="P11361" s="18" t="s">
        <v>51488</v>
      </c>
      <c r="Q11361" s="6"/>
      <c r="R11361" s="6"/>
      <c r="S11361" s="6"/>
      <c r="T11361" s="6"/>
      <c r="U11361" s="6"/>
    </row>
    <row r="11362" ht="14.25">
      <c r="B11362" s="18" t="s">
        <v>245</v>
      </c>
      <c r="C11362" s="18" t="s">
        <v>52398</v>
      </c>
      <c r="D11362" s="18" t="s">
        <v>45422</v>
      </c>
      <c r="E11362" s="18" t="s">
        <v>52399</v>
      </c>
      <c r="F11362" s="18" t="str">
        <f>IFERROR(__XLUDF.DUMMYFUNCTION("PROPER(REGEXREPLACE(D1274,""[^A-Za-z]+ "",""""))"),"Groupe Kube")</f>
        <v xml:space="preserve">Groupe Kube</v>
      </c>
      <c r="G11362" s="18" t="s">
        <v>52400</v>
      </c>
      <c r="H11362" s="18">
        <v>49</v>
      </c>
      <c r="I11362" s="18" t="s">
        <v>9239</v>
      </c>
      <c r="J11362" s="5" t="s">
        <v>52401</v>
      </c>
      <c r="K11362" s="5" t="s">
        <v>50127</v>
      </c>
      <c r="L11362" s="18" t="s">
        <v>562</v>
      </c>
      <c r="M11362" s="18" t="s">
        <v>29</v>
      </c>
      <c r="N11362" s="18" t="s">
        <v>52402</v>
      </c>
      <c r="O11362" s="18" t="s">
        <v>29</v>
      </c>
      <c r="P11362" s="6"/>
      <c r="Q11362" s="6"/>
      <c r="R11362" s="6"/>
      <c r="S11362" s="6"/>
      <c r="T11362" s="6"/>
      <c r="U11362" s="6"/>
    </row>
    <row r="11363" ht="14.25">
      <c r="B11363" s="18" t="s">
        <v>1153</v>
      </c>
      <c r="C11363" s="18" t="s">
        <v>9246</v>
      </c>
      <c r="D11363" s="18" t="s">
        <v>1130</v>
      </c>
      <c r="E11363" s="18" t="s">
        <v>52403</v>
      </c>
      <c r="F11363" s="18" t="str">
        <f>IFERROR(__XLUDF.DUMMYFUNCTION("PROPER(REGEXREPLACE(D1275,""[^A-Za-z]+ "",""""))"),"Groupe Verlaine")</f>
        <v xml:space="preserve">Groupe Verlaine</v>
      </c>
      <c r="G11363" s="18" t="s">
        <v>52404</v>
      </c>
      <c r="H11363" s="18">
        <v>90</v>
      </c>
      <c r="I11363" s="18" t="s">
        <v>9239</v>
      </c>
      <c r="J11363" s="5" t="s">
        <v>52405</v>
      </c>
      <c r="K11363" s="5" t="s">
        <v>52406</v>
      </c>
      <c r="L11363" s="6"/>
      <c r="M11363" s="18" t="s">
        <v>29</v>
      </c>
      <c r="N11363" s="18" t="s">
        <v>52407</v>
      </c>
      <c r="O11363" s="18" t="s">
        <v>29</v>
      </c>
      <c r="P11363" s="6"/>
      <c r="Q11363" s="6"/>
      <c r="R11363" s="6"/>
      <c r="S11363" s="6"/>
      <c r="T11363" s="6"/>
      <c r="U11363" s="6"/>
    </row>
    <row r="11364" ht="14.25">
      <c r="B11364" s="18" t="s">
        <v>330</v>
      </c>
      <c r="C11364" s="18" t="s">
        <v>52408</v>
      </c>
      <c r="D11364" s="18" t="s">
        <v>172</v>
      </c>
      <c r="E11364" s="18" t="s">
        <v>52409</v>
      </c>
      <c r="F11364" s="18" t="str">
        <f>IFERROR(__XLUDF.DUMMYFUNCTION("PROPER(REGEXREPLACE(D1276,""[^A-Za-z]+ "",""""))"),"Lamotte Maisons Individuelles")</f>
        <v xml:space="preserve">Lamotte Maisons Individuelles</v>
      </c>
      <c r="G11364" s="18" t="s">
        <v>52410</v>
      </c>
      <c r="H11364" s="18">
        <v>19</v>
      </c>
      <c r="I11364" s="18" t="s">
        <v>9239</v>
      </c>
      <c r="J11364" s="5" t="s">
        <v>52411</v>
      </c>
      <c r="K11364" s="5" t="s">
        <v>52412</v>
      </c>
      <c r="L11364" s="18" t="s">
        <v>1711</v>
      </c>
      <c r="M11364" s="18" t="s">
        <v>29</v>
      </c>
      <c r="N11364" s="18" t="s">
        <v>52413</v>
      </c>
      <c r="O11364" s="18" t="s">
        <v>29</v>
      </c>
      <c r="P11364" s="18" t="s">
        <v>52414</v>
      </c>
      <c r="Q11364" s="6"/>
      <c r="R11364" s="6"/>
      <c r="S11364" s="6"/>
      <c r="T11364" s="6"/>
      <c r="U11364" s="6"/>
    </row>
    <row r="11365" ht="14.25">
      <c r="B11365" s="18" t="s">
        <v>245</v>
      </c>
      <c r="C11365" s="18" t="s">
        <v>52415</v>
      </c>
      <c r="D11365" s="18" t="s">
        <v>112</v>
      </c>
      <c r="E11365" s="18" t="s">
        <v>52416</v>
      </c>
      <c r="F11365" s="18" t="str">
        <f>IFERROR(__XLUDF.DUMMYFUNCTION("PROPER(REGEXREPLACE(D1277,""[^A-Za-z]+ "",""""))"),"Greennest")</f>
        <v>Greennest</v>
      </c>
      <c r="G11365" s="18" t="s">
        <v>52417</v>
      </c>
      <c r="H11365" s="18">
        <v>6</v>
      </c>
      <c r="I11365" s="18" t="s">
        <v>9239</v>
      </c>
      <c r="J11365" s="5" t="s">
        <v>52418</v>
      </c>
      <c r="K11365" s="5" t="s">
        <v>52419</v>
      </c>
      <c r="L11365" s="18" t="s">
        <v>482</v>
      </c>
      <c r="M11365" s="18" t="s">
        <v>29</v>
      </c>
      <c r="N11365" s="18" t="s">
        <v>52420</v>
      </c>
      <c r="O11365" s="18" t="s">
        <v>29</v>
      </c>
      <c r="P11365" s="18" t="s">
        <v>52421</v>
      </c>
      <c r="Q11365" s="6"/>
      <c r="R11365" s="6"/>
      <c r="S11365" s="6"/>
      <c r="T11365" s="6"/>
      <c r="U11365" s="6"/>
    </row>
    <row r="11366" ht="14.25">
      <c r="B11366" s="18" t="s">
        <v>3165</v>
      </c>
      <c r="C11366" s="18" t="s">
        <v>52422</v>
      </c>
      <c r="D11366" s="18" t="s">
        <v>172</v>
      </c>
      <c r="E11366" s="18" t="s">
        <v>52423</v>
      </c>
      <c r="F11366" s="18" t="str">
        <f>IFERROR(__XLUDF.DUMMYFUNCTION("PROPER(REGEXREPLACE(D1278,""[^A-Za-z]+ "",""""))"),"Groupe Hydro-Therm")</f>
        <v xml:space="preserve">Groupe Hydro-Therm</v>
      </c>
      <c r="G11366" s="18" t="s">
        <v>52424</v>
      </c>
      <c r="H11366" s="18">
        <v>24</v>
      </c>
      <c r="I11366" s="18" t="s">
        <v>9239</v>
      </c>
      <c r="J11366" s="5" t="s">
        <v>52425</v>
      </c>
      <c r="K11366" s="5" t="s">
        <v>52426</v>
      </c>
      <c r="L11366" s="18" t="s">
        <v>49</v>
      </c>
      <c r="M11366" s="18" t="s">
        <v>29</v>
      </c>
      <c r="N11366" s="18" t="s">
        <v>52427</v>
      </c>
      <c r="O11366" s="18" t="s">
        <v>29</v>
      </c>
      <c r="P11366" s="18" t="s">
        <v>52428</v>
      </c>
      <c r="Q11366" s="6"/>
      <c r="R11366" s="6"/>
      <c r="S11366" s="6"/>
      <c r="T11366" s="6"/>
      <c r="U11366" s="6"/>
    </row>
    <row r="11367" ht="14.25">
      <c r="B11367" s="18" t="s">
        <v>1198</v>
      </c>
      <c r="C11367" s="18" t="s">
        <v>52429</v>
      </c>
      <c r="D11367" s="18" t="s">
        <v>52430</v>
      </c>
      <c r="E11367" s="18" t="s">
        <v>52431</v>
      </c>
      <c r="F11367" s="18" t="str">
        <f>IFERROR(__XLUDF.DUMMYFUNCTION("PROPER(REGEXREPLACE(D1279,""[^A-Za-z]+ "",""""))"),"Tecsol Antilles Guyane")</f>
        <v xml:space="preserve">Tecsol Antilles Guyane</v>
      </c>
      <c r="G11367" s="18" t="s">
        <v>52432</v>
      </c>
      <c r="H11367" s="18">
        <v>19</v>
      </c>
      <c r="I11367" s="18" t="s">
        <v>9239</v>
      </c>
      <c r="J11367" s="5" t="s">
        <v>52433</v>
      </c>
      <c r="K11367" s="5" t="s">
        <v>52434</v>
      </c>
      <c r="L11367" s="6"/>
      <c r="M11367" s="18" t="s">
        <v>29</v>
      </c>
      <c r="N11367" s="18" t="s">
        <v>52435</v>
      </c>
      <c r="O11367" s="18" t="s">
        <v>52436</v>
      </c>
      <c r="P11367" s="18" t="s">
        <v>52437</v>
      </c>
      <c r="Q11367" s="6"/>
      <c r="R11367" s="6"/>
      <c r="S11367" s="6"/>
      <c r="T11367" s="6"/>
      <c r="U11367" s="6"/>
    </row>
    <row r="11368" ht="14.25">
      <c r="B11368" s="18" t="s">
        <v>2299</v>
      </c>
      <c r="C11368" s="18" t="s">
        <v>52438</v>
      </c>
      <c r="D11368" s="18" t="s">
        <v>315</v>
      </c>
      <c r="E11368" s="18" t="s">
        <v>52439</v>
      </c>
      <c r="F11368" s="18" t="str">
        <f>IFERROR(__XLUDF.DUMMYFUNCTION("PROPER(REGEXREPLACE(D1280,""[^A-Za-z]+ "",""""))"),"Regoods")</f>
        <v>Regoods</v>
      </c>
      <c r="G11368" s="18" t="s">
        <v>52440</v>
      </c>
      <c r="H11368" s="18">
        <v>3</v>
      </c>
      <c r="I11368" s="18" t="s">
        <v>9239</v>
      </c>
      <c r="J11368" s="5" t="s">
        <v>52441</v>
      </c>
      <c r="K11368" s="5" t="s">
        <v>52442</v>
      </c>
      <c r="L11368" s="18" t="s">
        <v>185</v>
      </c>
      <c r="M11368" s="18" t="s">
        <v>29</v>
      </c>
      <c r="N11368" s="18" t="s">
        <v>1283</v>
      </c>
      <c r="O11368" s="18" t="s">
        <v>29</v>
      </c>
      <c r="P11368" s="6"/>
      <c r="Q11368" s="6"/>
      <c r="R11368" s="6"/>
      <c r="S11368" s="6"/>
      <c r="T11368" s="6"/>
      <c r="U11368" s="6"/>
    </row>
    <row r="11369" ht="14.25">
      <c r="B11369" s="18" t="s">
        <v>6064</v>
      </c>
      <c r="C11369" s="18" t="s">
        <v>52443</v>
      </c>
      <c r="D11369" s="18" t="s">
        <v>164</v>
      </c>
      <c r="E11369" s="18" t="s">
        <v>52444</v>
      </c>
      <c r="F11369" s="18" t="str">
        <f>IFERROR(__XLUDF.DUMMYFUNCTION("PROPER(REGEXREPLACE(D1281,""[^A-Za-z]+ "",""""))"),"Ky Architecture")</f>
        <v xml:space="preserve">Ky Architecture</v>
      </c>
      <c r="G11369" s="18" t="s">
        <v>52445</v>
      </c>
      <c r="H11369" s="18">
        <v>11</v>
      </c>
      <c r="I11369" s="18" t="s">
        <v>10167</v>
      </c>
      <c r="J11369" s="5" t="s">
        <v>52446</v>
      </c>
      <c r="K11369" s="5" t="s">
        <v>52447</v>
      </c>
      <c r="L11369" s="18" t="s">
        <v>39</v>
      </c>
      <c r="M11369" s="18" t="s">
        <v>29</v>
      </c>
      <c r="N11369" s="18" t="s">
        <v>52448</v>
      </c>
      <c r="O11369" s="18" t="s">
        <v>29</v>
      </c>
      <c r="P11369" s="18" t="s">
        <v>52449</v>
      </c>
      <c r="Q11369" s="6"/>
      <c r="R11369" s="6"/>
      <c r="S11369" s="6"/>
      <c r="T11369" s="6"/>
      <c r="U11369" s="6"/>
    </row>
    <row r="11370" ht="14.25">
      <c r="B11370" s="18" t="s">
        <v>1815</v>
      </c>
      <c r="C11370" s="18" t="s">
        <v>52450</v>
      </c>
      <c r="D11370" s="18" t="s">
        <v>164</v>
      </c>
      <c r="E11370" s="18" t="s">
        <v>52451</v>
      </c>
      <c r="F11370" s="18" t="str">
        <f>IFERROR(__XLUDF.DUMMYFUNCTION("PROPER(REGEXREPLACE(D1282,""[^A-Za-z]+ "",""""))"),"Groupe Dsa")</f>
        <v xml:space="preserve">Groupe Dsa</v>
      </c>
      <c r="G11370" s="18" t="s">
        <v>52452</v>
      </c>
      <c r="H11370" s="18">
        <v>23</v>
      </c>
      <c r="I11370" s="18" t="s">
        <v>9239</v>
      </c>
      <c r="J11370" s="5" t="s">
        <v>52453</v>
      </c>
      <c r="K11370" s="5" t="s">
        <v>52454</v>
      </c>
      <c r="L11370" s="6"/>
      <c r="M11370" s="18" t="s">
        <v>29</v>
      </c>
      <c r="N11370" s="18" t="s">
        <v>52455</v>
      </c>
      <c r="O11370" s="18" t="s">
        <v>29</v>
      </c>
      <c r="P11370" s="18" t="s">
        <v>52456</v>
      </c>
      <c r="Q11370" s="6"/>
      <c r="R11370" s="6"/>
      <c r="S11370" s="6"/>
      <c r="T11370" s="6"/>
      <c r="U11370" s="6"/>
    </row>
    <row r="11371" ht="14.25">
      <c r="B11371" s="18" t="s">
        <v>1442</v>
      </c>
      <c r="C11371" s="18" t="s">
        <v>52457</v>
      </c>
      <c r="D11371" s="18" t="s">
        <v>172</v>
      </c>
      <c r="E11371" s="18" t="s">
        <v>52458</v>
      </c>
      <c r="F11371" s="18" t="str">
        <f>IFERROR(__XLUDF.DUMMYFUNCTION("PROPER(REGEXREPLACE(D1283,""[^A-Za-z]+ "",""""))"),"Shm")</f>
        <v>Shm</v>
      </c>
      <c r="G11371" s="18" t="s">
        <v>52459</v>
      </c>
      <c r="H11371" s="18">
        <v>7</v>
      </c>
      <c r="I11371" s="18" t="s">
        <v>9239</v>
      </c>
      <c r="J11371" s="5" t="s">
        <v>52460</v>
      </c>
      <c r="K11371" s="5" t="s">
        <v>52461</v>
      </c>
      <c r="L11371" s="18" t="s">
        <v>295</v>
      </c>
      <c r="M11371" s="18" t="s">
        <v>29</v>
      </c>
      <c r="N11371" s="18" t="s">
        <v>52462</v>
      </c>
      <c r="O11371" s="18" t="s">
        <v>29</v>
      </c>
      <c r="P11371" s="6"/>
      <c r="Q11371" s="6"/>
      <c r="R11371" s="6"/>
      <c r="S11371" s="6"/>
      <c r="T11371" s="6"/>
      <c r="U11371" s="6"/>
    </row>
    <row r="11372" ht="14.25">
      <c r="B11372" s="18" t="s">
        <v>670</v>
      </c>
      <c r="C11372" s="18" t="s">
        <v>52463</v>
      </c>
      <c r="D11372" s="18" t="s">
        <v>172</v>
      </c>
      <c r="E11372" s="18" t="s">
        <v>52464</v>
      </c>
      <c r="F11372" s="18" t="str">
        <f>IFERROR(__XLUDF.DUMMYFUNCTION("PROPER(REGEXREPLACE(D1284,""[^A-Za-z]+ "",""""))"),"Caty Peinture")</f>
        <v xml:space="preserve">Caty Peinture</v>
      </c>
      <c r="G11372" s="18" t="s">
        <v>52465</v>
      </c>
      <c r="H11372" s="18">
        <v>25</v>
      </c>
      <c r="I11372" s="18" t="s">
        <v>9239</v>
      </c>
      <c r="J11372" s="5" t="s">
        <v>52466</v>
      </c>
      <c r="K11372" s="5" t="s">
        <v>52467</v>
      </c>
      <c r="L11372" s="18" t="s">
        <v>6480</v>
      </c>
      <c r="M11372" s="18" t="s">
        <v>29</v>
      </c>
      <c r="N11372" s="18" t="s">
        <v>52468</v>
      </c>
      <c r="O11372" s="18" t="s">
        <v>29</v>
      </c>
      <c r="P11372" s="6"/>
      <c r="Q11372" s="6"/>
      <c r="R11372" s="6"/>
      <c r="S11372" s="6"/>
      <c r="T11372" s="6"/>
      <c r="U11372" s="6"/>
    </row>
    <row r="11373" ht="14.25">
      <c r="B11373" s="18" t="s">
        <v>22131</v>
      </c>
      <c r="C11373" s="18" t="s">
        <v>2036</v>
      </c>
      <c r="D11373" s="18" t="s">
        <v>172</v>
      </c>
      <c r="E11373" s="18" t="s">
        <v>52469</v>
      </c>
      <c r="F11373" s="18" t="str">
        <f>IFERROR(__XLUDF.DUMMYFUNCTION("PROPER(REGEXREPLACE(D1285,""[^A-Za-z]+ "",""""))"),"Heris Construction")</f>
        <v xml:space="preserve">Heris Construction</v>
      </c>
      <c r="G11373" s="18" t="s">
        <v>52470</v>
      </c>
      <c r="H11373" s="18">
        <v>6</v>
      </c>
      <c r="I11373" s="18" t="s">
        <v>9239</v>
      </c>
      <c r="J11373" s="5" t="s">
        <v>52471</v>
      </c>
      <c r="K11373" s="5" t="s">
        <v>52472</v>
      </c>
      <c r="L11373" s="18" t="s">
        <v>243</v>
      </c>
      <c r="M11373" s="18" t="s">
        <v>29</v>
      </c>
      <c r="N11373" s="18" t="s">
        <v>52473</v>
      </c>
      <c r="O11373" s="18" t="s">
        <v>29</v>
      </c>
      <c r="P11373" s="18" t="s">
        <v>52474</v>
      </c>
      <c r="Q11373" s="6"/>
      <c r="R11373" s="6"/>
      <c r="S11373" s="6"/>
      <c r="T11373" s="6"/>
      <c r="U11373" s="6"/>
    </row>
    <row r="11374" ht="14.25">
      <c r="B11374" s="18" t="s">
        <v>6744</v>
      </c>
      <c r="C11374" s="18" t="s">
        <v>52475</v>
      </c>
      <c r="D11374" s="18" t="s">
        <v>164</v>
      </c>
      <c r="E11374" s="18" t="s">
        <v>52476</v>
      </c>
      <c r="F11374" s="18" t="str">
        <f>IFERROR(__XLUDF.DUMMYFUNCTION("PROPER(REGEXREPLACE(D1286,""[^A-Za-z]+ "",""""))"),"Novimo Sas")</f>
        <v xml:space="preserve">Novimo Sas</v>
      </c>
      <c r="G11374" s="18" t="s">
        <v>52477</v>
      </c>
      <c r="H11374" s="18">
        <v>12</v>
      </c>
      <c r="I11374" s="18" t="s">
        <v>9239</v>
      </c>
      <c r="J11374" s="5" t="s">
        <v>52478</v>
      </c>
      <c r="K11374" s="5" t="s">
        <v>52479</v>
      </c>
      <c r="L11374" s="18" t="s">
        <v>39</v>
      </c>
      <c r="M11374" s="18" t="s">
        <v>29</v>
      </c>
      <c r="N11374" s="18" t="s">
        <v>52480</v>
      </c>
      <c r="O11374" s="18" t="s">
        <v>29</v>
      </c>
      <c r="P11374" s="6"/>
      <c r="Q11374" s="6"/>
      <c r="R11374" s="6"/>
      <c r="S11374" s="6"/>
      <c r="T11374" s="6"/>
      <c r="U11374" s="6"/>
    </row>
    <row r="11375" ht="14.25">
      <c r="B11375" s="18" t="s">
        <v>5001</v>
      </c>
      <c r="C11375" s="18" t="s">
        <v>52481</v>
      </c>
      <c r="D11375" s="18" t="s">
        <v>172</v>
      </c>
      <c r="E11375" s="18" t="s">
        <v>52482</v>
      </c>
      <c r="F11375" s="18" t="str">
        <f>IFERROR(__XLUDF.DUMMYFUNCTION("PROPER(REGEXREPLACE(D1287,""[^A-Za-z]+ "",""""))"),"Feralules Techniciens Du Métal")</f>
        <v xml:space="preserve">Feralules Techniciens Du Métal</v>
      </c>
      <c r="G11375" s="18" t="s">
        <v>52483</v>
      </c>
      <c r="H11375" s="18">
        <v>4</v>
      </c>
      <c r="I11375" s="18" t="s">
        <v>9239</v>
      </c>
      <c r="J11375" s="5" t="s">
        <v>52484</v>
      </c>
      <c r="K11375" s="5" t="s">
        <v>52485</v>
      </c>
      <c r="L11375" s="18" t="s">
        <v>4360</v>
      </c>
      <c r="M11375" s="18" t="s">
        <v>29</v>
      </c>
      <c r="N11375" s="18" t="s">
        <v>52486</v>
      </c>
      <c r="O11375" s="18" t="s">
        <v>29</v>
      </c>
      <c r="P11375" s="18" t="s">
        <v>52487</v>
      </c>
      <c r="Q11375" s="6"/>
      <c r="R11375" s="6"/>
      <c r="S11375" s="6"/>
      <c r="T11375" s="6"/>
      <c r="U11375" s="6"/>
    </row>
    <row r="11376" ht="14.25">
      <c r="B11376" s="18" t="s">
        <v>874</v>
      </c>
      <c r="C11376" s="18" t="s">
        <v>52488</v>
      </c>
      <c r="D11376" s="18" t="s">
        <v>172</v>
      </c>
      <c r="E11376" s="18" t="s">
        <v>52489</v>
      </c>
      <c r="F11376" s="18" t="str">
        <f>IFERROR(__XLUDF.DUMMYFUNCTION("PROPER(REGEXREPLACE(D1288,""[^A-Za-z]+ "",""""))"),"Felec")</f>
        <v>Felec</v>
      </c>
      <c r="G11376" s="18" t="s">
        <v>52490</v>
      </c>
      <c r="H11376" s="18">
        <v>12</v>
      </c>
      <c r="I11376" s="18" t="s">
        <v>9239</v>
      </c>
      <c r="J11376" s="5" t="s">
        <v>52491</v>
      </c>
      <c r="K11376" s="5" t="s">
        <v>52492</v>
      </c>
      <c r="L11376" s="18" t="s">
        <v>492</v>
      </c>
      <c r="M11376" s="18" t="s">
        <v>29</v>
      </c>
      <c r="N11376" s="18" t="s">
        <v>29</v>
      </c>
      <c r="O11376" s="18" t="s">
        <v>29</v>
      </c>
      <c r="P11376" s="6"/>
      <c r="Q11376" s="6"/>
      <c r="R11376" s="6"/>
      <c r="S11376" s="6"/>
      <c r="T11376" s="6"/>
      <c r="U11376" s="6"/>
    </row>
    <row r="11377" ht="14.25">
      <c r="B11377" s="18" t="s">
        <v>52493</v>
      </c>
      <c r="C11377" s="18" t="s">
        <v>52494</v>
      </c>
      <c r="D11377" s="18" t="s">
        <v>172</v>
      </c>
      <c r="E11377" s="18" t="s">
        <v>52495</v>
      </c>
      <c r="F11377" s="18" t="str">
        <f>IFERROR(__XLUDF.DUMMYFUNCTION("PROPER(REGEXREPLACE(D1289,""[^A-Za-z]+ "",""""))"),"Az Metal")</f>
        <v xml:space="preserve">Az Metal</v>
      </c>
      <c r="G11377" s="18" t="s">
        <v>52496</v>
      </c>
      <c r="H11377" s="18">
        <v>39</v>
      </c>
      <c r="I11377" s="18" t="s">
        <v>9239</v>
      </c>
      <c r="J11377" s="5" t="s">
        <v>52497</v>
      </c>
      <c r="K11377" s="5" t="s">
        <v>52498</v>
      </c>
      <c r="L11377" s="18" t="s">
        <v>43320</v>
      </c>
      <c r="M11377" s="18" t="s">
        <v>29</v>
      </c>
      <c r="N11377" s="18" t="s">
        <v>52499</v>
      </c>
      <c r="O11377" s="18" t="s">
        <v>29</v>
      </c>
      <c r="P11377" s="6"/>
      <c r="Q11377" s="6"/>
      <c r="R11377" s="6"/>
      <c r="S11377" s="6"/>
      <c r="T11377" s="6"/>
      <c r="U11377" s="6"/>
    </row>
    <row r="11378" ht="14.25">
      <c r="B11378" s="18" t="s">
        <v>1215</v>
      </c>
      <c r="C11378" s="18" t="s">
        <v>52500</v>
      </c>
      <c r="D11378" s="18" t="s">
        <v>426</v>
      </c>
      <c r="E11378" s="18" t="s">
        <v>52501</v>
      </c>
      <c r="F11378" s="18" t="str">
        <f>IFERROR(__XLUDF.DUMMYFUNCTION("PROPER(REGEXREPLACE(D1290,""[^A-Za-z]+ "",""""))"),"Btp Cfa Loire-Atlantique")</f>
        <v xml:space="preserve">Btp Cfa Loire-Atlantique</v>
      </c>
      <c r="G11378" s="18" t="s">
        <v>52502</v>
      </c>
      <c r="H11378" s="6"/>
      <c r="I11378" s="6"/>
      <c r="J11378" s="5" t="s">
        <v>52503</v>
      </c>
      <c r="K11378" s="6"/>
      <c r="L11378" s="18" t="s">
        <v>19226</v>
      </c>
      <c r="M11378" s="18" t="s">
        <v>29</v>
      </c>
      <c r="N11378" s="18" t="s">
        <v>52504</v>
      </c>
      <c r="O11378" s="18" t="s">
        <v>29</v>
      </c>
      <c r="P11378" s="6"/>
      <c r="Q11378" s="6"/>
      <c r="R11378" s="6"/>
      <c r="S11378" s="6"/>
      <c r="T11378" s="6"/>
      <c r="U11378" s="6"/>
    </row>
    <row r="11379" ht="14.25">
      <c r="B11379" s="18" t="s">
        <v>622</v>
      </c>
      <c r="C11379" s="18" t="s">
        <v>52505</v>
      </c>
      <c r="D11379" s="18" t="s">
        <v>426</v>
      </c>
      <c r="E11379" s="18" t="s">
        <v>52506</v>
      </c>
      <c r="F11379" s="18" t="str">
        <f>IFERROR(__XLUDF.DUMMYFUNCTION("PROPER(REGEXREPLACE(D1291,""[^A-Za-z]+ "",""""))"),"Cabinet Axial")</f>
        <v xml:space="preserve">Cabinet Axial</v>
      </c>
      <c r="G11379" s="18" t="s">
        <v>52507</v>
      </c>
      <c r="H11379" s="18">
        <v>9</v>
      </c>
      <c r="I11379" s="18" t="s">
        <v>9239</v>
      </c>
      <c r="J11379" s="5" t="s">
        <v>52508</v>
      </c>
      <c r="K11379" s="5" t="s">
        <v>52509</v>
      </c>
      <c r="L11379" s="18" t="s">
        <v>49</v>
      </c>
      <c r="M11379" s="18" t="s">
        <v>29</v>
      </c>
      <c r="N11379" s="18" t="s">
        <v>5457</v>
      </c>
      <c r="O11379" s="18" t="s">
        <v>29</v>
      </c>
      <c r="P11379" s="18" t="s">
        <v>52510</v>
      </c>
      <c r="Q11379" s="6"/>
      <c r="R11379" s="6"/>
      <c r="S11379" s="6"/>
      <c r="T11379" s="6"/>
      <c r="U11379" s="6"/>
    </row>
    <row r="11380" ht="14.25">
      <c r="B11380" s="18" t="s">
        <v>330</v>
      </c>
      <c r="C11380" s="18" t="s">
        <v>24865</v>
      </c>
      <c r="D11380" s="18" t="s">
        <v>172</v>
      </c>
      <c r="E11380" s="18" t="s">
        <v>24866</v>
      </c>
      <c r="F11380" s="18" t="str">
        <f>IFERROR(__XLUDF.DUMMYFUNCTION("PROPER(REGEXREPLACE(D1292,""[^A-Za-z]+ "",""""))"),"Habitat 70")</f>
        <v xml:space="preserve">Habitat 70</v>
      </c>
      <c r="G11380" s="18" t="s">
        <v>24867</v>
      </c>
      <c r="H11380" s="18">
        <v>47</v>
      </c>
      <c r="I11380" s="18" t="s">
        <v>4293</v>
      </c>
      <c r="J11380" s="5" t="s">
        <v>52511</v>
      </c>
      <c r="K11380" s="5" t="s">
        <v>24869</v>
      </c>
      <c r="L11380" s="18" t="s">
        <v>24870</v>
      </c>
      <c r="M11380" s="18" t="s">
        <v>29</v>
      </c>
      <c r="N11380" s="18" t="s">
        <v>24871</v>
      </c>
      <c r="O11380" s="18" t="s">
        <v>29</v>
      </c>
      <c r="P11380" s="18" t="s">
        <v>24872</v>
      </c>
      <c r="Q11380" s="6"/>
      <c r="R11380" s="6"/>
      <c r="S11380" s="6"/>
      <c r="T11380" s="6"/>
      <c r="U11380" s="6"/>
    </row>
    <row r="11381" ht="14.25">
      <c r="B11381" s="18" t="s">
        <v>874</v>
      </c>
      <c r="C11381" s="18" t="s">
        <v>52512</v>
      </c>
      <c r="D11381" s="18" t="s">
        <v>172</v>
      </c>
      <c r="E11381" s="18" t="s">
        <v>52513</v>
      </c>
      <c r="F11381" s="18" t="str">
        <f>IFERROR(__XLUDF.DUMMYFUNCTION("PROPER(REGEXREPLACE(D1293,""[^A-Za-z]+ "",""""))"),"Simpra")</f>
        <v>Simpra</v>
      </c>
      <c r="G11381" s="18" t="s">
        <v>52514</v>
      </c>
      <c r="H11381" s="18">
        <v>21</v>
      </c>
      <c r="I11381" s="18" t="s">
        <v>9239</v>
      </c>
      <c r="J11381" s="5" t="s">
        <v>52515</v>
      </c>
      <c r="K11381" s="5" t="s">
        <v>52516</v>
      </c>
      <c r="L11381" s="6"/>
      <c r="M11381" s="18" t="s">
        <v>29</v>
      </c>
      <c r="N11381" s="18" t="s">
        <v>52517</v>
      </c>
      <c r="O11381" s="18" t="s">
        <v>29</v>
      </c>
      <c r="P11381" s="18" t="s">
        <v>52518</v>
      </c>
      <c r="Q11381" s="6"/>
      <c r="R11381" s="6"/>
      <c r="S11381" s="6"/>
      <c r="T11381" s="6"/>
      <c r="U11381" s="6"/>
    </row>
    <row r="11382" ht="14.25">
      <c r="B11382" s="18" t="s">
        <v>785</v>
      </c>
      <c r="C11382" s="18" t="s">
        <v>27648</v>
      </c>
      <c r="D11382" s="18" t="s">
        <v>172</v>
      </c>
      <c r="E11382" s="18" t="s">
        <v>52519</v>
      </c>
      <c r="F11382" s="18" t="str">
        <f>IFERROR(__XLUDF.DUMMYFUNCTION("PROPER(REGEXREPLACE(D1294,""[^A-Za-z]+ "",""""))"),"Amd Énergies")</f>
        <v xml:space="preserve">Amd Énergies</v>
      </c>
      <c r="G11382" s="18" t="s">
        <v>52520</v>
      </c>
      <c r="H11382" s="18">
        <v>27</v>
      </c>
      <c r="I11382" s="18" t="s">
        <v>9239</v>
      </c>
      <c r="J11382" s="5" t="s">
        <v>52521</v>
      </c>
      <c r="K11382" s="5" t="s">
        <v>52522</v>
      </c>
      <c r="L11382" s="6"/>
      <c r="M11382" s="18" t="s">
        <v>29</v>
      </c>
      <c r="N11382" s="18" t="s">
        <v>52523</v>
      </c>
      <c r="O11382" s="18" t="s">
        <v>29</v>
      </c>
      <c r="P11382" s="6"/>
      <c r="Q11382" s="6"/>
      <c r="R11382" s="6"/>
      <c r="S11382" s="6"/>
      <c r="T11382" s="6"/>
      <c r="U11382" s="6"/>
    </row>
    <row r="11383" ht="14.25">
      <c r="B11383" s="18" t="s">
        <v>15564</v>
      </c>
      <c r="C11383" s="18" t="s">
        <v>41415</v>
      </c>
      <c r="D11383" s="18" t="s">
        <v>62</v>
      </c>
      <c r="E11383" s="18" t="s">
        <v>46759</v>
      </c>
      <c r="F11383" s="18" t="str">
        <f>IFERROR(__XLUDF.DUMMYFUNCTION("PROPER(REGEXREPLACE(D1295,""[^A-Za-z]+ "",""""))"),"Lign.O")</f>
        <v>Lign.O</v>
      </c>
      <c r="G11383" s="18" t="s">
        <v>52524</v>
      </c>
      <c r="H11383" s="18">
        <v>6</v>
      </c>
      <c r="I11383" s="18" t="s">
        <v>9239</v>
      </c>
      <c r="J11383" s="5" t="s">
        <v>52525</v>
      </c>
      <c r="K11383" s="5" t="s">
        <v>46762</v>
      </c>
      <c r="L11383" s="18" t="s">
        <v>1015</v>
      </c>
      <c r="M11383" s="18" t="s">
        <v>29</v>
      </c>
      <c r="N11383" s="18" t="s">
        <v>30559</v>
      </c>
      <c r="O11383" s="18" t="s">
        <v>29</v>
      </c>
      <c r="P11383" s="6"/>
      <c r="Q11383" s="6"/>
      <c r="R11383" s="6"/>
      <c r="S11383" s="6"/>
      <c r="T11383" s="6"/>
      <c r="U11383" s="6"/>
    </row>
    <row r="11384" ht="14.25">
      <c r="B11384" s="18" t="s">
        <v>45449</v>
      </c>
      <c r="C11384" s="18" t="s">
        <v>52526</v>
      </c>
      <c r="D11384" s="18" t="s">
        <v>468</v>
      </c>
      <c r="E11384" s="18" t="s">
        <v>48421</v>
      </c>
      <c r="F11384" s="18" t="str">
        <f>IFERROR(__XLUDF.DUMMYFUNCTION("PROPER(REGEXREPLACE(D1296,""[^A-Za-z]+ "",""""))"),"Nge Immobilier")</f>
        <v xml:space="preserve">Nge Immobilier</v>
      </c>
      <c r="G11384" s="18" t="s">
        <v>52527</v>
      </c>
      <c r="H11384" s="18">
        <v>8</v>
      </c>
      <c r="I11384" s="18" t="s">
        <v>4293</v>
      </c>
      <c r="J11384" s="5" t="s">
        <v>52528</v>
      </c>
      <c r="K11384" s="5" t="s">
        <v>48424</v>
      </c>
      <c r="L11384" s="18" t="s">
        <v>39</v>
      </c>
      <c r="M11384" s="18" t="s">
        <v>29</v>
      </c>
      <c r="N11384" s="18" t="s">
        <v>48425</v>
      </c>
      <c r="O11384" s="18" t="s">
        <v>29</v>
      </c>
      <c r="P11384" s="6"/>
      <c r="Q11384" s="6"/>
      <c r="R11384" s="6"/>
      <c r="S11384" s="6"/>
      <c r="T11384" s="6"/>
      <c r="U11384" s="6"/>
    </row>
    <row r="11385" ht="14.25">
      <c r="B11385" s="18" t="s">
        <v>963</v>
      </c>
      <c r="C11385" s="18" t="s">
        <v>52529</v>
      </c>
      <c r="D11385" s="18" t="s">
        <v>52530</v>
      </c>
      <c r="E11385" s="18" t="s">
        <v>52531</v>
      </c>
      <c r="F11385" s="18" t="str">
        <f>IFERROR(__XLUDF.DUMMYFUNCTION("PROPER(REGEXREPLACE(D1297,""[^A-Za-z]+ "",""""))"),"Ernova")</f>
        <v>Ernova</v>
      </c>
      <c r="G11385" s="18" t="s">
        <v>52532</v>
      </c>
      <c r="H11385" s="18">
        <v>6</v>
      </c>
      <c r="I11385" s="18" t="s">
        <v>9239</v>
      </c>
      <c r="J11385" s="5" t="s">
        <v>52533</v>
      </c>
      <c r="K11385" s="5" t="s">
        <v>52534</v>
      </c>
      <c r="L11385" s="18" t="s">
        <v>9237</v>
      </c>
      <c r="M11385" s="18" t="s">
        <v>29</v>
      </c>
      <c r="N11385" s="18" t="s">
        <v>52535</v>
      </c>
      <c r="O11385" s="18" t="s">
        <v>29</v>
      </c>
      <c r="P11385" s="18" t="s">
        <v>52536</v>
      </c>
      <c r="Q11385" s="6"/>
      <c r="R11385" s="6"/>
      <c r="S11385" s="6"/>
      <c r="T11385" s="6"/>
      <c r="U11385" s="6"/>
    </row>
    <row r="11386" ht="14.25">
      <c r="B11386" s="18" t="s">
        <v>1153</v>
      </c>
      <c r="C11386" s="18" t="s">
        <v>52537</v>
      </c>
      <c r="D11386" s="18" t="s">
        <v>172</v>
      </c>
      <c r="E11386" s="18" t="s">
        <v>52538</v>
      </c>
      <c r="F11386" s="18" t="str">
        <f>IFERROR(__XLUDF.DUMMYFUNCTION("PROPER(REGEXREPLACE(D1298,""[^A-Za-z]+ "",""""))"),"L'Angle Roi")</f>
        <v xml:space="preserve">L'Angle Roi</v>
      </c>
      <c r="G11386" s="18" t="s">
        <v>52539</v>
      </c>
      <c r="H11386" s="18">
        <v>1</v>
      </c>
      <c r="I11386" s="18" t="s">
        <v>4293</v>
      </c>
      <c r="J11386" s="5" t="s">
        <v>52540</v>
      </c>
      <c r="K11386" s="5" t="s">
        <v>52541</v>
      </c>
      <c r="L11386" s="18" t="s">
        <v>17231</v>
      </c>
      <c r="M11386" s="18" t="s">
        <v>29</v>
      </c>
      <c r="N11386" s="18" t="s">
        <v>52542</v>
      </c>
      <c r="O11386" s="18" t="s">
        <v>29</v>
      </c>
      <c r="P11386" s="18" t="s">
        <v>52543</v>
      </c>
      <c r="Q11386" s="6"/>
      <c r="R11386" s="6"/>
      <c r="S11386" s="6"/>
      <c r="T11386" s="6"/>
      <c r="U11386" s="6"/>
    </row>
    <row r="11387" ht="14.25">
      <c r="B11387" s="18" t="s">
        <v>622</v>
      </c>
      <c r="C11387" s="18" t="s">
        <v>52544</v>
      </c>
      <c r="D11387" s="18" t="s">
        <v>52545</v>
      </c>
      <c r="E11387" s="18" t="s">
        <v>52546</v>
      </c>
      <c r="F11387" s="18" t="str">
        <f>IFERROR(__XLUDF.DUMMYFUNCTION("PROPER(REGEXREPLACE(D1299,""[^A-Za-z]+ "",""""))"),"Dumont Clean Services")</f>
        <v xml:space="preserve">Dumont Clean Services</v>
      </c>
      <c r="G11387" s="18" t="s">
        <v>52547</v>
      </c>
      <c r="H11387" s="18">
        <v>9</v>
      </c>
      <c r="I11387" s="18" t="s">
        <v>9239</v>
      </c>
      <c r="J11387" s="5" t="s">
        <v>52548</v>
      </c>
      <c r="K11387" s="5" t="s">
        <v>52549</v>
      </c>
      <c r="L11387" s="18" t="s">
        <v>52550</v>
      </c>
      <c r="M11387" s="18" t="s">
        <v>29</v>
      </c>
      <c r="N11387" s="18" t="s">
        <v>52551</v>
      </c>
      <c r="O11387" s="18" t="s">
        <v>29</v>
      </c>
      <c r="P11387" s="6"/>
      <c r="Q11387" s="6"/>
      <c r="R11387" s="6"/>
      <c r="S11387" s="6"/>
      <c r="T11387" s="6"/>
      <c r="U11387" s="6"/>
    </row>
    <row r="11388" ht="14.25">
      <c r="B11388" s="18" t="s">
        <v>2508</v>
      </c>
      <c r="C11388" s="18" t="s">
        <v>26795</v>
      </c>
      <c r="D11388" s="18" t="s">
        <v>172</v>
      </c>
      <c r="E11388" s="18" t="s">
        <v>52552</v>
      </c>
      <c r="F11388" s="18" t="str">
        <f>IFERROR(__XLUDF.DUMMYFUNCTION("PROPER(REGEXREPLACE(D1300,""[^A-Za-z]+ "",""""))"),"Ipolit")</f>
        <v>Ipolit</v>
      </c>
      <c r="G11388" s="18" t="s">
        <v>52553</v>
      </c>
      <c r="H11388" s="18">
        <v>1</v>
      </c>
      <c r="I11388" s="18" t="s">
        <v>9239</v>
      </c>
      <c r="J11388" s="5" t="s">
        <v>52554</v>
      </c>
      <c r="K11388" s="5" t="s">
        <v>52555</v>
      </c>
      <c r="L11388" s="18" t="s">
        <v>39</v>
      </c>
      <c r="M11388" s="18" t="s">
        <v>29</v>
      </c>
      <c r="N11388" s="18" t="s">
        <v>52556</v>
      </c>
      <c r="O11388" s="18" t="s">
        <v>29</v>
      </c>
      <c r="P11388" s="18" t="s">
        <v>52557</v>
      </c>
      <c r="Q11388" s="6"/>
      <c r="R11388" s="6"/>
      <c r="S11388" s="6"/>
      <c r="T11388" s="6"/>
      <c r="U11388" s="6"/>
    </row>
    <row r="11389" ht="14.25">
      <c r="B11389" s="18" t="s">
        <v>44146</v>
      </c>
      <c r="C11389" s="18" t="s">
        <v>40378</v>
      </c>
      <c r="D11389" s="18" t="s">
        <v>52558</v>
      </c>
      <c r="E11389" s="18" t="s">
        <v>52559</v>
      </c>
      <c r="F11389" s="18" t="str">
        <f>IFERROR(__XLUDF.DUMMYFUNCTION("PROPER(REGEXREPLACE(D1301,""[^A-Za-z]+ "",""""))"),"Sarl Tourneux")</f>
        <v xml:space="preserve">Sarl Tourneux</v>
      </c>
      <c r="G11389" s="18" t="s">
        <v>52560</v>
      </c>
      <c r="H11389" s="18">
        <v>8</v>
      </c>
      <c r="I11389" s="18" t="s">
        <v>9239</v>
      </c>
      <c r="J11389" s="5" t="s">
        <v>52561</v>
      </c>
      <c r="K11389" s="5" t="s">
        <v>52562</v>
      </c>
      <c r="L11389" s="18" t="s">
        <v>43058</v>
      </c>
      <c r="M11389" s="18" t="s">
        <v>29</v>
      </c>
      <c r="N11389" s="18" t="s">
        <v>22467</v>
      </c>
      <c r="O11389" s="18" t="s">
        <v>29</v>
      </c>
      <c r="P11389" s="18" t="s">
        <v>52563</v>
      </c>
      <c r="Q11389" s="6"/>
      <c r="R11389" s="6"/>
      <c r="S11389" s="6"/>
      <c r="T11389" s="6"/>
      <c r="U11389" s="6"/>
    </row>
    <row r="11390" ht="14.25">
      <c r="B11390" s="18" t="s">
        <v>330</v>
      </c>
      <c r="C11390" s="18" t="s">
        <v>817</v>
      </c>
      <c r="D11390" s="18" t="s">
        <v>172</v>
      </c>
      <c r="E11390" s="18" t="s">
        <v>52564</v>
      </c>
      <c r="F11390" s="18" t="str">
        <f>IFERROR(__XLUDF.DUMMYFUNCTION("PROPER(REGEXREPLACE(D1302,""[^A-Za-z]+ "",""""))"),"Qualiclim Sn")</f>
        <v xml:space="preserve">Qualiclim Sn</v>
      </c>
      <c r="G11390" s="18" t="s">
        <v>52565</v>
      </c>
      <c r="H11390" s="6"/>
      <c r="I11390" s="6"/>
      <c r="J11390" s="5" t="s">
        <v>52566</v>
      </c>
      <c r="K11390" s="5" t="s">
        <v>52567</v>
      </c>
      <c r="L11390" s="18" t="s">
        <v>11525</v>
      </c>
      <c r="M11390" s="18" t="s">
        <v>29</v>
      </c>
      <c r="N11390" s="18" t="s">
        <v>47289</v>
      </c>
      <c r="O11390" s="18" t="s">
        <v>29</v>
      </c>
      <c r="P11390" s="6"/>
      <c r="Q11390" s="6"/>
      <c r="R11390" s="6"/>
      <c r="S11390" s="6"/>
      <c r="T11390" s="6"/>
      <c r="U11390" s="6"/>
    </row>
    <row r="11391" ht="14.25">
      <c r="B11391" s="18" t="s">
        <v>1732</v>
      </c>
      <c r="C11391" s="18" t="s">
        <v>52568</v>
      </c>
      <c r="D11391" s="18" t="s">
        <v>172</v>
      </c>
      <c r="E11391" s="18" t="s">
        <v>52569</v>
      </c>
      <c r="F11391" s="18" t="str">
        <f>IFERROR(__XLUDF.DUMMYFUNCTION("PROPER(REGEXREPLACE(D1303,""[^A-Za-z]+ "",""""))"),"Piscines Et Traditions")</f>
        <v xml:space="preserve">Piscines Et Traditions</v>
      </c>
      <c r="G11391" s="18" t="s">
        <v>52570</v>
      </c>
      <c r="H11391" s="18">
        <v>5</v>
      </c>
      <c r="I11391" s="18" t="s">
        <v>9239</v>
      </c>
      <c r="J11391" s="5" t="s">
        <v>52571</v>
      </c>
      <c r="K11391" s="5" t="s">
        <v>52572</v>
      </c>
      <c r="L11391" s="18" t="s">
        <v>185</v>
      </c>
      <c r="M11391" s="18" t="s">
        <v>29</v>
      </c>
      <c r="N11391" s="18" t="s">
        <v>52573</v>
      </c>
      <c r="O11391" s="18" t="s">
        <v>29</v>
      </c>
      <c r="P11391" s="6"/>
      <c r="Q11391" s="6"/>
      <c r="R11391" s="6"/>
      <c r="S11391" s="6"/>
      <c r="T11391" s="6"/>
      <c r="U11391" s="6"/>
    </row>
    <row r="11392" ht="14.25">
      <c r="B11392" s="18" t="s">
        <v>7559</v>
      </c>
      <c r="C11392" s="18" t="s">
        <v>17125</v>
      </c>
      <c r="D11392" s="18" t="s">
        <v>87</v>
      </c>
      <c r="E11392" s="18" t="s">
        <v>52574</v>
      </c>
      <c r="F11392" s="18" t="str">
        <f>IFERROR(__XLUDF.DUMMYFUNCTION("PROPER(REGEXREPLACE(D1304,""[^A-Za-z]+ "",""""))"),"Urbalterre")</f>
        <v>Urbalterre</v>
      </c>
      <c r="G11392" s="18" t="s">
        <v>52575</v>
      </c>
      <c r="H11392" s="18">
        <v>4</v>
      </c>
      <c r="I11392" s="18" t="s">
        <v>10167</v>
      </c>
      <c r="J11392" s="5" t="s">
        <v>52576</v>
      </c>
      <c r="K11392" s="5" t="s">
        <v>52577</v>
      </c>
      <c r="L11392" s="18" t="s">
        <v>295</v>
      </c>
      <c r="M11392" s="18" t="s">
        <v>29</v>
      </c>
      <c r="N11392" s="18" t="s">
        <v>3642</v>
      </c>
      <c r="O11392" s="18" t="s">
        <v>29</v>
      </c>
      <c r="P11392" s="6"/>
      <c r="Q11392" s="6"/>
      <c r="R11392" s="6"/>
      <c r="S11392" s="6"/>
      <c r="T11392" s="6"/>
      <c r="U11392" s="6"/>
    </row>
    <row r="11393" ht="14.25">
      <c r="B11393" s="18" t="s">
        <v>330</v>
      </c>
      <c r="C11393" s="18" t="s">
        <v>12981</v>
      </c>
      <c r="D11393" s="18" t="s">
        <v>87</v>
      </c>
      <c r="E11393" s="18" t="s">
        <v>52578</v>
      </c>
      <c r="F11393" s="18" t="str">
        <f>IFERROR(__XLUDF.DUMMYFUNCTION("PROPER(REGEXREPLACE(D1305,""[^A-Za-z]+ "",""""))"),"Wood Impact")</f>
        <v xml:space="preserve">Wood Impact</v>
      </c>
      <c r="G11393" s="18" t="s">
        <v>52579</v>
      </c>
      <c r="H11393" s="18">
        <v>1</v>
      </c>
      <c r="I11393" s="18" t="s">
        <v>9239</v>
      </c>
      <c r="J11393" s="5" t="s">
        <v>52580</v>
      </c>
      <c r="K11393" s="5" t="s">
        <v>52581</v>
      </c>
      <c r="L11393" s="18" t="s">
        <v>11084</v>
      </c>
      <c r="M11393" s="18" t="s">
        <v>29</v>
      </c>
      <c r="N11393" s="6"/>
      <c r="O11393" s="6"/>
      <c r="P11393" s="6"/>
      <c r="Q11393" s="6"/>
      <c r="R11393" s="6"/>
      <c r="S11393" s="6"/>
      <c r="T11393" s="6"/>
      <c r="U11393" s="6"/>
    </row>
    <row r="11394" ht="14.25">
      <c r="B11394" s="18" t="s">
        <v>52582</v>
      </c>
      <c r="C11394" s="18" t="s">
        <v>52583</v>
      </c>
      <c r="D11394" s="18" t="s">
        <v>172</v>
      </c>
      <c r="E11394" s="18" t="s">
        <v>52584</v>
      </c>
      <c r="F11394" s="18" t="str">
        <f>IFERROR(__XLUDF.DUMMYFUNCTION("PROPER(REGEXREPLACE(D1306,""[^A-Za-z]+ "",""""))"),"Groupement Savoyard De Prefabrication")</f>
        <v xml:space="preserve">Groupement Savoyard De Prefabrication</v>
      </c>
      <c r="G11394" s="18" t="s">
        <v>52585</v>
      </c>
      <c r="H11394" s="6"/>
      <c r="I11394" s="6"/>
      <c r="J11394" s="5" t="s">
        <v>52586</v>
      </c>
      <c r="K11394" s="5" t="s">
        <v>52587</v>
      </c>
      <c r="L11394" s="18" t="s">
        <v>774</v>
      </c>
      <c r="M11394" s="18" t="s">
        <v>29</v>
      </c>
      <c r="N11394" s="18" t="s">
        <v>52588</v>
      </c>
      <c r="O11394" s="18" t="s">
        <v>29</v>
      </c>
      <c r="P11394" s="6"/>
      <c r="Q11394" s="6"/>
      <c r="R11394" s="6"/>
      <c r="S11394" s="6"/>
      <c r="T11394" s="6"/>
      <c r="U11394" s="6"/>
    </row>
    <row r="11395" ht="14.25">
      <c r="B11395" s="18" t="s">
        <v>52589</v>
      </c>
      <c r="C11395" s="18" t="s">
        <v>7714</v>
      </c>
      <c r="D11395" s="18" t="s">
        <v>468</v>
      </c>
      <c r="E11395" s="18" t="s">
        <v>51513</v>
      </c>
      <c r="F11395" s="18" t="str">
        <f>IFERROR(__XLUDF.DUMMYFUNCTION("PROPER(REGEXREPLACE(D1307,""[^A-Za-z]+ "",""""))"),"Quince Construction")</f>
        <v xml:space="preserve">Quince Construction</v>
      </c>
      <c r="G11395" s="18" t="s">
        <v>52590</v>
      </c>
      <c r="H11395" s="18">
        <v>18</v>
      </c>
      <c r="I11395" s="18" t="s">
        <v>9239</v>
      </c>
      <c r="J11395" s="5" t="s">
        <v>52591</v>
      </c>
      <c r="K11395" s="5" t="s">
        <v>51516</v>
      </c>
      <c r="L11395" s="18" t="s">
        <v>6954</v>
      </c>
      <c r="M11395" s="18" t="s">
        <v>29</v>
      </c>
      <c r="N11395" s="18" t="s">
        <v>51517</v>
      </c>
      <c r="O11395" s="18" t="s">
        <v>29</v>
      </c>
      <c r="P11395" s="18" t="s">
        <v>51518</v>
      </c>
      <c r="Q11395" s="6"/>
      <c r="R11395" s="6"/>
      <c r="S11395" s="6"/>
      <c r="T11395" s="6"/>
      <c r="U11395" s="6"/>
    </row>
    <row r="11396" ht="14.25">
      <c r="B11396" s="18" t="s">
        <v>11873</v>
      </c>
      <c r="C11396" s="18" t="s">
        <v>47822</v>
      </c>
      <c r="D11396" s="18" t="s">
        <v>172</v>
      </c>
      <c r="E11396" s="18" t="s">
        <v>52592</v>
      </c>
      <c r="F11396" s="18" t="str">
        <f>IFERROR(__XLUDF.DUMMYFUNCTION("PROPER(REGEXREPLACE(D1308,""[^A-Za-z]+ "",""""))"),"Entaro")</f>
        <v>Entaro</v>
      </c>
      <c r="G11396" s="18" t="s">
        <v>52593</v>
      </c>
      <c r="H11396" s="18">
        <v>4</v>
      </c>
      <c r="I11396" s="18" t="s">
        <v>9239</v>
      </c>
      <c r="J11396" s="5" t="s">
        <v>52594</v>
      </c>
      <c r="K11396" s="5" t="s">
        <v>52595</v>
      </c>
      <c r="L11396" s="6"/>
      <c r="M11396" s="18" t="s">
        <v>29</v>
      </c>
      <c r="N11396" s="18" t="s">
        <v>52596</v>
      </c>
      <c r="O11396" s="18" t="s">
        <v>29</v>
      </c>
      <c r="P11396" s="6"/>
      <c r="Q11396" s="6"/>
      <c r="R11396" s="6"/>
      <c r="S11396" s="6"/>
      <c r="T11396" s="6"/>
      <c r="U11396" s="6"/>
    </row>
    <row r="11397" ht="14.25">
      <c r="B11397" s="18" t="s">
        <v>622</v>
      </c>
      <c r="C11397" s="18" t="s">
        <v>52597</v>
      </c>
      <c r="D11397" s="18" t="s">
        <v>52598</v>
      </c>
      <c r="E11397" s="18" t="s">
        <v>52451</v>
      </c>
      <c r="F11397" s="18" t="str">
        <f>IFERROR(__XLUDF.DUMMYFUNCTION("PROPER(REGEXREPLACE(D1309,""[^A-Za-z]+ "",""""))"),"Groupe Dsa")</f>
        <v xml:space="preserve">Groupe Dsa</v>
      </c>
      <c r="G11397" s="18" t="s">
        <v>52599</v>
      </c>
      <c r="H11397" s="18">
        <v>23</v>
      </c>
      <c r="I11397" s="18" t="s">
        <v>9239</v>
      </c>
      <c r="J11397" s="5" t="s">
        <v>52600</v>
      </c>
      <c r="K11397" s="5" t="s">
        <v>52454</v>
      </c>
      <c r="L11397" s="18" t="s">
        <v>243</v>
      </c>
      <c r="M11397" s="18" t="s">
        <v>29</v>
      </c>
      <c r="N11397" s="18" t="s">
        <v>52455</v>
      </c>
      <c r="O11397" s="18" t="s">
        <v>29</v>
      </c>
      <c r="P11397" s="18" t="s">
        <v>52456</v>
      </c>
      <c r="Q11397" s="6"/>
      <c r="R11397" s="6"/>
      <c r="S11397" s="6"/>
      <c r="T11397" s="6"/>
      <c r="U11397" s="6"/>
    </row>
    <row r="11398" ht="14.25">
      <c r="B11398" s="18" t="s">
        <v>2771</v>
      </c>
      <c r="C11398" s="18" t="s">
        <v>52601</v>
      </c>
      <c r="D11398" s="18" t="s">
        <v>52602</v>
      </c>
      <c r="E11398" s="18" t="s">
        <v>52603</v>
      </c>
      <c r="F11398" s="18" t="str">
        <f>IFERROR(__XLUDF.DUMMYFUNCTION("PROPER(REGEXREPLACE(D1310,""[^A-Za-z]+ "",""""))"),"Mp Habitat")</f>
        <v xml:space="preserve">Mp Habitat</v>
      </c>
      <c r="G11398" s="18" t="s">
        <v>52604</v>
      </c>
      <c r="H11398" s="18">
        <v>5</v>
      </c>
      <c r="I11398" s="18" t="s">
        <v>9239</v>
      </c>
      <c r="J11398" s="5" t="s">
        <v>52605</v>
      </c>
      <c r="K11398" s="5" t="s">
        <v>52606</v>
      </c>
      <c r="L11398" s="18" t="s">
        <v>45636</v>
      </c>
      <c r="M11398" s="18" t="s">
        <v>29</v>
      </c>
      <c r="N11398" s="18" t="s">
        <v>52607</v>
      </c>
      <c r="O11398" s="18" t="s">
        <v>29</v>
      </c>
      <c r="P11398" s="18" t="s">
        <v>52608</v>
      </c>
      <c r="Q11398" s="6"/>
      <c r="R11398" s="6"/>
      <c r="S11398" s="6"/>
      <c r="T11398" s="6"/>
      <c r="U11398" s="6"/>
    </row>
    <row r="11399" ht="14.25">
      <c r="B11399" s="18" t="s">
        <v>52609</v>
      </c>
      <c r="C11399" s="18" t="s">
        <v>14719</v>
      </c>
      <c r="D11399" s="18" t="s">
        <v>112</v>
      </c>
      <c r="E11399" s="18" t="s">
        <v>52610</v>
      </c>
      <c r="F11399" s="18" t="str">
        <f>IFERROR(__XLUDF.DUMMYFUNCTION("PROPER(REGEXREPLACE(D1311,""[^A-Za-z]+ "",""""))"),"Coprim")</f>
        <v>Coprim</v>
      </c>
      <c r="G11399" s="18" t="s">
        <v>52611</v>
      </c>
      <c r="H11399" s="18">
        <v>15</v>
      </c>
      <c r="I11399" s="18" t="s">
        <v>9239</v>
      </c>
      <c r="J11399" s="5" t="s">
        <v>52612</v>
      </c>
      <c r="K11399" s="5" t="s">
        <v>52613</v>
      </c>
      <c r="L11399" s="18" t="s">
        <v>52614</v>
      </c>
      <c r="M11399" s="18" t="s">
        <v>29</v>
      </c>
      <c r="N11399" s="18" t="s">
        <v>52615</v>
      </c>
      <c r="O11399" s="18" t="s">
        <v>29</v>
      </c>
      <c r="P11399" s="6"/>
      <c r="Q11399" s="6"/>
      <c r="R11399" s="6"/>
      <c r="S11399" s="6"/>
      <c r="T11399" s="6"/>
      <c r="U11399" s="6"/>
    </row>
    <row r="11400" ht="14.25">
      <c r="B11400" s="18" t="s">
        <v>4480</v>
      </c>
      <c r="C11400" s="18" t="s">
        <v>8944</v>
      </c>
      <c r="D11400" s="18" t="s">
        <v>112</v>
      </c>
      <c r="E11400" s="18" t="s">
        <v>52616</v>
      </c>
      <c r="F11400" s="18" t="str">
        <f>IFERROR(__XLUDF.DUMMYFUNCTION("PROPER(REGEXREPLACE(D1312,""[^A-Za-z]+ "",""""))"),"Sev Energie")</f>
        <v xml:space="preserve">Sev Energie</v>
      </c>
      <c r="G11400" s="18" t="s">
        <v>52617</v>
      </c>
      <c r="H11400" s="18">
        <v>14</v>
      </c>
      <c r="I11400" s="18" t="s">
        <v>9239</v>
      </c>
      <c r="J11400" s="5" t="s">
        <v>52618</v>
      </c>
      <c r="K11400" s="5" t="s">
        <v>52619</v>
      </c>
      <c r="L11400" s="18" t="s">
        <v>846</v>
      </c>
      <c r="M11400" s="18" t="s">
        <v>29</v>
      </c>
      <c r="N11400" s="18" t="s">
        <v>52620</v>
      </c>
      <c r="O11400" s="18" t="s">
        <v>29</v>
      </c>
      <c r="P11400" s="18" t="s">
        <v>52621</v>
      </c>
      <c r="Q11400" s="6"/>
      <c r="R11400" s="6"/>
      <c r="S11400" s="6"/>
      <c r="T11400" s="6"/>
      <c r="U11400" s="6"/>
    </row>
    <row r="11401" ht="14.25">
      <c r="B11401" s="18" t="s">
        <v>52622</v>
      </c>
      <c r="C11401" s="18" t="s">
        <v>14676</v>
      </c>
      <c r="D11401" s="18" t="s">
        <v>172</v>
      </c>
      <c r="E11401" s="18" t="s">
        <v>52623</v>
      </c>
      <c r="F11401" s="18" t="str">
        <f>IFERROR(__XLUDF.DUMMYFUNCTION("PROPER(REGEXREPLACE(D1313,""[^A-Za-z]+ "",""""))"),"Cambra Industrie")</f>
        <v xml:space="preserve">Cambra Industrie</v>
      </c>
      <c r="G11401" s="18" t="s">
        <v>52624</v>
      </c>
      <c r="H11401" s="18">
        <v>4</v>
      </c>
      <c r="I11401" s="18" t="s">
        <v>9239</v>
      </c>
      <c r="J11401" s="5" t="s">
        <v>52625</v>
      </c>
      <c r="K11401" s="5" t="s">
        <v>52626</v>
      </c>
      <c r="L11401" s="18" t="s">
        <v>83</v>
      </c>
      <c r="M11401" s="18" t="s">
        <v>29</v>
      </c>
      <c r="N11401" s="18" t="s">
        <v>52627</v>
      </c>
      <c r="O11401" s="18" t="s">
        <v>29</v>
      </c>
      <c r="P11401" s="6"/>
      <c r="Q11401" s="6"/>
      <c r="R11401" s="6"/>
      <c r="S11401" s="6"/>
      <c r="T11401" s="6"/>
      <c r="U11401" s="6"/>
    </row>
    <row r="11402" ht="14.25">
      <c r="B11402" s="18" t="s">
        <v>622</v>
      </c>
      <c r="C11402" s="18" t="s">
        <v>19798</v>
      </c>
      <c r="D11402" s="18" t="s">
        <v>487</v>
      </c>
      <c r="E11402" s="18" t="s">
        <v>52628</v>
      </c>
      <c r="F11402" s="18" t="str">
        <f>IFERROR(__XLUDF.DUMMYFUNCTION("PROPER(REGEXREPLACE(D1314,""[^A-Za-z]+ "",""""))"),"Maisons Teco")</f>
        <v xml:space="preserve">Maisons Teco</v>
      </c>
      <c r="G11402" s="18" t="s">
        <v>52629</v>
      </c>
      <c r="H11402" s="18">
        <v>2</v>
      </c>
      <c r="I11402" s="18" t="s">
        <v>9239</v>
      </c>
      <c r="J11402" s="5" t="s">
        <v>52630</v>
      </c>
      <c r="K11402" s="5" t="s">
        <v>52631</v>
      </c>
      <c r="L11402" s="18" t="s">
        <v>49745</v>
      </c>
      <c r="M11402" s="18" t="s">
        <v>29</v>
      </c>
      <c r="N11402" s="6"/>
      <c r="O11402" s="6"/>
      <c r="P11402" s="6"/>
      <c r="Q11402" s="6"/>
      <c r="R11402" s="6"/>
      <c r="S11402" s="6"/>
      <c r="T11402" s="6"/>
      <c r="U11402" s="6"/>
    </row>
    <row r="11403" ht="14.25">
      <c r="B11403" s="18" t="s">
        <v>8045</v>
      </c>
      <c r="C11403" s="18" t="s">
        <v>52632</v>
      </c>
      <c r="D11403" s="18" t="s">
        <v>112</v>
      </c>
      <c r="E11403" s="18" t="s">
        <v>52633</v>
      </c>
      <c r="F11403" s="18" t="str">
        <f>IFERROR(__XLUDF.DUMMYFUNCTION("PROPER(REGEXREPLACE(D1315,""[^A-Za-z]+ "",""""))"),"Sas Botrel")</f>
        <v xml:space="preserve">Sas Botrel</v>
      </c>
      <c r="G11403" s="18" t="s">
        <v>52634</v>
      </c>
      <c r="H11403" s="18">
        <v>19</v>
      </c>
      <c r="I11403" s="18" t="s">
        <v>9239</v>
      </c>
      <c r="J11403" s="5" t="s">
        <v>52635</v>
      </c>
      <c r="K11403" s="5" t="s">
        <v>52636</v>
      </c>
      <c r="L11403" s="18" t="s">
        <v>52637</v>
      </c>
      <c r="M11403" s="18" t="s">
        <v>29</v>
      </c>
      <c r="N11403" s="18" t="s">
        <v>52638</v>
      </c>
      <c r="O11403" s="18" t="s">
        <v>29</v>
      </c>
      <c r="P11403" s="18" t="s">
        <v>52639</v>
      </c>
      <c r="Q11403" s="6"/>
      <c r="R11403" s="6"/>
      <c r="S11403" s="6"/>
      <c r="T11403" s="6"/>
      <c r="U11403" s="6"/>
    </row>
    <row r="11404" ht="14.25">
      <c r="B11404" s="18" t="s">
        <v>322</v>
      </c>
      <c r="C11404" s="18" t="s">
        <v>52640</v>
      </c>
      <c r="D11404" s="18" t="s">
        <v>112</v>
      </c>
      <c r="E11404" s="18" t="s">
        <v>52641</v>
      </c>
      <c r="F11404" s="18" t="str">
        <f>IFERROR(__XLUDF.DUMMYFUNCTION("PROPER(REGEXREPLACE(D1316,""[^A-Za-z]+ "",""""))"),"Elbene")</f>
        <v>Elbene</v>
      </c>
      <c r="G11404" s="18" t="s">
        <v>52642</v>
      </c>
      <c r="H11404" s="18">
        <v>18</v>
      </c>
      <c r="I11404" s="18" t="s">
        <v>9239</v>
      </c>
      <c r="J11404" s="5" t="s">
        <v>52643</v>
      </c>
      <c r="K11404" s="5" t="s">
        <v>52644</v>
      </c>
      <c r="L11404" s="18" t="s">
        <v>1507</v>
      </c>
      <c r="M11404" s="18" t="s">
        <v>29</v>
      </c>
      <c r="N11404" s="18" t="s">
        <v>52645</v>
      </c>
      <c r="O11404" s="18" t="s">
        <v>29</v>
      </c>
      <c r="P11404" s="6"/>
      <c r="Q11404" s="6"/>
      <c r="R11404" s="6"/>
      <c r="S11404" s="6"/>
      <c r="T11404" s="6"/>
      <c r="U11404" s="6"/>
    </row>
    <row r="11405" ht="14.25">
      <c r="B11405" s="18" t="s">
        <v>866</v>
      </c>
      <c r="C11405" s="18" t="s">
        <v>8303</v>
      </c>
      <c r="D11405" s="18" t="s">
        <v>112</v>
      </c>
      <c r="E11405" s="18" t="s">
        <v>52646</v>
      </c>
      <c r="F11405" s="18" t="str">
        <f>IFERROR(__XLUDF.DUMMYFUNCTION("PROPER(REGEXREPLACE(D1317,""[^A-Za-z]+ "",""""))"),"Bativaloire")</f>
        <v>Bativaloire</v>
      </c>
      <c r="G11405" s="18" t="s">
        <v>52647</v>
      </c>
      <c r="H11405" s="18">
        <v>14</v>
      </c>
      <c r="I11405" s="18" t="s">
        <v>9239</v>
      </c>
      <c r="J11405" s="5" t="s">
        <v>52648</v>
      </c>
      <c r="K11405" s="5" t="s">
        <v>52649</v>
      </c>
      <c r="L11405" s="18" t="s">
        <v>50243</v>
      </c>
      <c r="M11405" s="18" t="s">
        <v>29</v>
      </c>
      <c r="N11405" s="18" t="s">
        <v>52650</v>
      </c>
      <c r="O11405" s="18" t="s">
        <v>29</v>
      </c>
      <c r="P11405" s="18" t="s">
        <v>52651</v>
      </c>
      <c r="Q11405" s="6"/>
      <c r="R11405" s="6"/>
      <c r="S11405" s="6"/>
      <c r="T11405" s="6"/>
      <c r="U11405" s="6"/>
    </row>
    <row r="11406" ht="14.25">
      <c r="B11406" s="18" t="s">
        <v>52652</v>
      </c>
      <c r="C11406" s="18" t="s">
        <v>52653</v>
      </c>
      <c r="D11406" s="18" t="s">
        <v>112</v>
      </c>
      <c r="E11406" s="18" t="s">
        <v>52654</v>
      </c>
      <c r="F11406" s="18" t="str">
        <f>IFERROR(__XLUDF.DUMMYFUNCTION("PROPER(REGEXREPLACE(D1318,""[^A-Za-z]+ "",""""))"),"A.B.T.'")</f>
        <v>A.B.T.'</v>
      </c>
      <c r="G11406" s="18" t="s">
        <v>52655</v>
      </c>
      <c r="H11406" s="18">
        <v>13</v>
      </c>
      <c r="I11406" s="18" t="s">
        <v>9239</v>
      </c>
      <c r="J11406" s="5" t="s">
        <v>52656</v>
      </c>
      <c r="K11406" s="5" t="s">
        <v>52657</v>
      </c>
      <c r="L11406" s="18" t="s">
        <v>585</v>
      </c>
      <c r="M11406" s="18" t="s">
        <v>29</v>
      </c>
      <c r="N11406" s="18" t="s">
        <v>41760</v>
      </c>
      <c r="O11406" s="18" t="s">
        <v>29</v>
      </c>
      <c r="P11406" s="6"/>
      <c r="Q11406" s="6"/>
      <c r="R11406" s="6"/>
      <c r="S11406" s="6"/>
      <c r="T11406" s="6"/>
      <c r="U11406" s="6"/>
    </row>
    <row r="11407" ht="14.25">
      <c r="B11407" s="18" t="s">
        <v>2932</v>
      </c>
      <c r="C11407" s="18" t="s">
        <v>23359</v>
      </c>
      <c r="D11407" s="18" t="s">
        <v>112</v>
      </c>
      <c r="E11407" s="18" t="s">
        <v>52658</v>
      </c>
      <c r="F11407" s="18" t="str">
        <f>IFERROR(__XLUDF.DUMMYFUNCTION("PROPER(REGEXREPLACE(D1319,""[^A-Za-z]+ "",""""))"),"Clair De Baie")</f>
        <v xml:space="preserve">Clair De Baie</v>
      </c>
      <c r="G11407" s="18" t="s">
        <v>52659</v>
      </c>
      <c r="H11407" s="18">
        <v>57</v>
      </c>
      <c r="I11407" s="18" t="s">
        <v>9239</v>
      </c>
      <c r="J11407" s="5" t="s">
        <v>52660</v>
      </c>
      <c r="K11407" s="5" t="s">
        <v>52661</v>
      </c>
      <c r="L11407" s="18" t="s">
        <v>185</v>
      </c>
      <c r="M11407" s="18" t="s">
        <v>29</v>
      </c>
      <c r="N11407" s="18" t="s">
        <v>52662</v>
      </c>
      <c r="O11407" s="18" t="s">
        <v>29</v>
      </c>
      <c r="P11407" s="18" t="s">
        <v>52663</v>
      </c>
      <c r="Q11407" s="6"/>
      <c r="R11407" s="6"/>
      <c r="S11407" s="6"/>
      <c r="T11407" s="6"/>
      <c r="U11407" s="6"/>
    </row>
    <row r="11408" ht="14.25">
      <c r="B11408" s="18" t="s">
        <v>2652</v>
      </c>
      <c r="C11408" s="18" t="s">
        <v>52664</v>
      </c>
      <c r="D11408" s="18" t="s">
        <v>112</v>
      </c>
      <c r="E11408" s="18" t="s">
        <v>52665</v>
      </c>
      <c r="F11408" s="18" t="str">
        <f>IFERROR(__XLUDF.DUMMYFUNCTION("PROPER(REGEXREPLACE(D1320,""[^A-Za-z]+ "",""""))"),"Alliance Contrôle Bâtiment")</f>
        <v xml:space="preserve">Alliance Contrôle Bâtiment</v>
      </c>
      <c r="G11408" s="18" t="s">
        <v>52666</v>
      </c>
      <c r="H11408" s="18">
        <v>12</v>
      </c>
      <c r="I11408" s="18" t="s">
        <v>9239</v>
      </c>
      <c r="J11408" s="5" t="s">
        <v>52667</v>
      </c>
      <c r="K11408" s="5" t="s">
        <v>52668</v>
      </c>
      <c r="L11408" s="18" t="s">
        <v>39</v>
      </c>
      <c r="M11408" s="18" t="s">
        <v>29</v>
      </c>
      <c r="N11408" s="18" t="s">
        <v>52669</v>
      </c>
      <c r="O11408" s="18" t="s">
        <v>29</v>
      </c>
      <c r="P11408" s="18" t="s">
        <v>52670</v>
      </c>
      <c r="Q11408" s="6"/>
      <c r="R11408" s="6"/>
      <c r="S11408" s="6"/>
      <c r="T11408" s="6"/>
      <c r="U11408" s="6"/>
    </row>
    <row r="11409" ht="14.25">
      <c r="B11409" s="18" t="s">
        <v>52671</v>
      </c>
      <c r="C11409" s="18" t="s">
        <v>52672</v>
      </c>
      <c r="D11409" s="18" t="s">
        <v>172</v>
      </c>
      <c r="E11409" s="18" t="s">
        <v>52673</v>
      </c>
      <c r="F11409" s="18" t="str">
        <f>IFERROR(__XLUDF.DUMMYFUNCTION("PROPER(REGEXREPLACE(D1321,""[^A-Za-z]+ "",""""))"),"France-Lanordbichaton Entreprise Générale")</f>
        <v xml:space="preserve">France-Lanordbichaton Entreprise Générale</v>
      </c>
      <c r="G11409" s="18" t="s">
        <v>52674</v>
      </c>
      <c r="H11409" s="18">
        <v>31</v>
      </c>
      <c r="I11409" s="18" t="s">
        <v>9239</v>
      </c>
      <c r="J11409" s="5" t="s">
        <v>52675</v>
      </c>
      <c r="K11409" s="5" t="s">
        <v>52676</v>
      </c>
      <c r="L11409" s="6"/>
      <c r="M11409" s="18" t="s">
        <v>29</v>
      </c>
      <c r="N11409" s="18" t="s">
        <v>52677</v>
      </c>
      <c r="O11409" s="18" t="s">
        <v>29</v>
      </c>
      <c r="P11409" s="18" t="s">
        <v>52678</v>
      </c>
      <c r="Q11409" s="6"/>
      <c r="R11409" s="6"/>
      <c r="S11409" s="6"/>
      <c r="T11409" s="6"/>
      <c r="U11409" s="6"/>
    </row>
    <row r="11410" ht="14.25">
      <c r="B11410" s="18" t="s">
        <v>5252</v>
      </c>
      <c r="C11410" s="18" t="s">
        <v>52679</v>
      </c>
      <c r="D11410" s="18" t="s">
        <v>52680</v>
      </c>
      <c r="E11410" s="18" t="s">
        <v>52681</v>
      </c>
      <c r="F11410" s="18" t="str">
        <f>IFERROR(__XLUDF.DUMMYFUNCTION("PROPER(REGEXREPLACE(D1322,""[^A-Za-z]+ "",""""))"),"Neoabita")</f>
        <v>Neoabita</v>
      </c>
      <c r="G11410" s="18" t="s">
        <v>52682</v>
      </c>
      <c r="H11410" s="18">
        <v>4</v>
      </c>
      <c r="I11410" s="18" t="s">
        <v>9239</v>
      </c>
      <c r="J11410" s="5" t="s">
        <v>52683</v>
      </c>
      <c r="K11410" s="5" t="s">
        <v>52684</v>
      </c>
      <c r="L11410" s="18" t="s">
        <v>185</v>
      </c>
      <c r="M11410" s="18" t="s">
        <v>29</v>
      </c>
      <c r="N11410" s="18" t="s">
        <v>52685</v>
      </c>
      <c r="O11410" s="18" t="s">
        <v>29</v>
      </c>
      <c r="P11410" s="18" t="s">
        <v>52686</v>
      </c>
      <c r="Q11410" s="6"/>
      <c r="R11410" s="6"/>
      <c r="S11410" s="6"/>
      <c r="T11410" s="6"/>
      <c r="U11410" s="6"/>
    </row>
    <row r="11411" ht="14.25">
      <c r="B11411" s="18" t="s">
        <v>2119</v>
      </c>
      <c r="C11411" s="18" t="s">
        <v>52687</v>
      </c>
      <c r="D11411" s="18" t="s">
        <v>112</v>
      </c>
      <c r="E11411" s="18" t="s">
        <v>52688</v>
      </c>
      <c r="F11411" s="18" t="str">
        <f>IFERROR(__XLUDF.DUMMYFUNCTION("PROPER(REGEXREPLACE(D1323,""[^A-Za-z]+ "",""""))"),"Comalec")</f>
        <v>Comalec</v>
      </c>
      <c r="G11411" s="18" t="s">
        <v>52689</v>
      </c>
      <c r="H11411" s="18">
        <v>24</v>
      </c>
      <c r="I11411" s="18" t="s">
        <v>9239</v>
      </c>
      <c r="J11411" s="5" t="s">
        <v>52690</v>
      </c>
      <c r="K11411" s="5" t="s">
        <v>52691</v>
      </c>
      <c r="L11411" s="18" t="s">
        <v>18648</v>
      </c>
      <c r="M11411" s="18" t="s">
        <v>29</v>
      </c>
      <c r="N11411" s="18" t="s">
        <v>52692</v>
      </c>
      <c r="O11411" s="18" t="s">
        <v>29</v>
      </c>
      <c r="P11411" s="18" t="s">
        <v>52693</v>
      </c>
      <c r="Q11411" s="6"/>
      <c r="R11411" s="6"/>
      <c r="S11411" s="6"/>
      <c r="T11411" s="6"/>
      <c r="U11411" s="6"/>
    </row>
    <row r="11412" ht="14.25">
      <c r="B11412" s="18" t="s">
        <v>1027</v>
      </c>
      <c r="C11412" s="18" t="s">
        <v>52694</v>
      </c>
      <c r="D11412" s="18" t="s">
        <v>112</v>
      </c>
      <c r="E11412" s="18" t="s">
        <v>52695</v>
      </c>
      <c r="F11412" s="18" t="str">
        <f>IFERROR(__XLUDF.DUMMYFUNCTION("PROPER(REGEXREPLACE(D1324,""[^A-Za-z]+ "",""""))"),"Exagon")</f>
        <v>Exagon</v>
      </c>
      <c r="G11412" s="18" t="s">
        <v>52696</v>
      </c>
      <c r="H11412" s="18">
        <v>18</v>
      </c>
      <c r="I11412" s="18" t="s">
        <v>9239</v>
      </c>
      <c r="J11412" s="5" t="s">
        <v>52697</v>
      </c>
      <c r="K11412" s="5" t="s">
        <v>52698</v>
      </c>
      <c r="L11412" s="18" t="s">
        <v>10661</v>
      </c>
      <c r="M11412" s="18" t="s">
        <v>29</v>
      </c>
      <c r="N11412" s="18" t="s">
        <v>52699</v>
      </c>
      <c r="O11412" s="18" t="s">
        <v>29</v>
      </c>
      <c r="P11412" s="18" t="s">
        <v>52700</v>
      </c>
      <c r="Q11412" s="6"/>
      <c r="R11412" s="6"/>
      <c r="S11412" s="6"/>
      <c r="T11412" s="6"/>
      <c r="U11412" s="6"/>
    </row>
    <row r="11413" ht="14.25">
      <c r="B11413" s="18" t="s">
        <v>6634</v>
      </c>
      <c r="C11413" s="18" t="s">
        <v>5915</v>
      </c>
      <c r="D11413" s="18" t="s">
        <v>112</v>
      </c>
      <c r="E11413" s="18" t="s">
        <v>52255</v>
      </c>
      <c r="F11413" s="18" t="str">
        <f>IFERROR(__XLUDF.DUMMYFUNCTION("PROPER(REGEXREPLACE(D1325,""[^A-Za-z]+ "",""""))"),"Eppy")</f>
        <v>Eppy</v>
      </c>
      <c r="G11413" s="18" t="s">
        <v>52701</v>
      </c>
      <c r="H11413" s="18">
        <v>25</v>
      </c>
      <c r="I11413" s="18" t="s">
        <v>9239</v>
      </c>
      <c r="J11413" s="5" t="s">
        <v>52702</v>
      </c>
      <c r="K11413" s="5" t="s">
        <v>52258</v>
      </c>
      <c r="L11413" s="18" t="s">
        <v>27777</v>
      </c>
      <c r="M11413" s="18" t="s">
        <v>29</v>
      </c>
      <c r="N11413" s="18" t="s">
        <v>52259</v>
      </c>
      <c r="O11413" s="18" t="s">
        <v>29</v>
      </c>
      <c r="P11413" s="18" t="s">
        <v>52260</v>
      </c>
      <c r="Q11413" s="6"/>
      <c r="R11413" s="6"/>
      <c r="S11413" s="6"/>
      <c r="T11413" s="6"/>
      <c r="U11413" s="6"/>
    </row>
    <row r="11414" ht="14.25">
      <c r="B11414" s="18" t="s">
        <v>622</v>
      </c>
      <c r="C11414" s="18" t="s">
        <v>52703</v>
      </c>
      <c r="D11414" s="18" t="s">
        <v>112</v>
      </c>
      <c r="E11414" s="18" t="s">
        <v>52704</v>
      </c>
      <c r="F11414" s="18" t="str">
        <f>IFERROR(__XLUDF.DUMMYFUNCTION("PROPER(REGEXREPLACE(D1326,""[^A-Za-z]+ "",""""))"),"Ets Jean Crescitz")</f>
        <v xml:space="preserve">Ets Jean Crescitz</v>
      </c>
      <c r="G11414" s="18" t="s">
        <v>52705</v>
      </c>
      <c r="H11414" s="6"/>
      <c r="I11414" s="6"/>
      <c r="J11414" s="5" t="s">
        <v>52706</v>
      </c>
      <c r="K11414" s="5" t="s">
        <v>52707</v>
      </c>
      <c r="L11414" s="6"/>
      <c r="M11414" s="18" t="s">
        <v>29</v>
      </c>
      <c r="N11414" s="18" t="s">
        <v>337</v>
      </c>
      <c r="O11414" s="18" t="s">
        <v>29</v>
      </c>
      <c r="P11414" s="6"/>
      <c r="Q11414" s="6"/>
      <c r="R11414" s="6"/>
      <c r="S11414" s="6"/>
      <c r="T11414" s="6"/>
      <c r="U11414" s="6"/>
    </row>
    <row r="11415" ht="14.25">
      <c r="B11415" s="18" t="s">
        <v>734</v>
      </c>
      <c r="C11415" s="18" t="s">
        <v>52708</v>
      </c>
      <c r="D11415" s="18" t="s">
        <v>112</v>
      </c>
      <c r="E11415" s="18" t="s">
        <v>52709</v>
      </c>
      <c r="F11415" s="18" t="str">
        <f>IFERROR(__XLUDF.DUMMYFUNCTION("PROPER(REGEXREPLACE(D1327,""[^A-Za-z]+ "",""""))"),"Dumange Agencement")</f>
        <v xml:space="preserve">Dumange Agencement</v>
      </c>
      <c r="G11415" s="18" t="s">
        <v>52710</v>
      </c>
      <c r="H11415" s="6"/>
      <c r="I11415" s="6"/>
      <c r="J11415" s="5" t="s">
        <v>52711</v>
      </c>
      <c r="K11415" s="5" t="s">
        <v>52712</v>
      </c>
      <c r="L11415" s="18" t="s">
        <v>585</v>
      </c>
      <c r="M11415" s="18" t="s">
        <v>29</v>
      </c>
      <c r="N11415" s="18" t="s">
        <v>41760</v>
      </c>
      <c r="O11415" s="18" t="s">
        <v>29</v>
      </c>
      <c r="P11415" s="6"/>
      <c r="Q11415" s="6"/>
      <c r="R11415" s="6"/>
      <c r="S11415" s="6"/>
      <c r="T11415" s="6"/>
      <c r="U11415" s="6"/>
    </row>
    <row r="11416" ht="14.25">
      <c r="B11416" s="18" t="s">
        <v>76</v>
      </c>
      <c r="C11416" s="18" t="s">
        <v>52713</v>
      </c>
      <c r="D11416" s="18" t="s">
        <v>112</v>
      </c>
      <c r="E11416" s="18" t="s">
        <v>52714</v>
      </c>
      <c r="F11416" s="18" t="str">
        <f>IFERROR(__XLUDF.DUMMYFUNCTION("PROPER(REGEXREPLACE(D1328,""[^A-Za-z]+ "",""""))"),"Acciome 08")</f>
        <v xml:space="preserve">Acciome 08</v>
      </c>
      <c r="G11416" s="18" t="s">
        <v>52715</v>
      </c>
      <c r="H11416" s="18">
        <v>12</v>
      </c>
      <c r="I11416" s="18" t="s">
        <v>9239</v>
      </c>
      <c r="J11416" s="5" t="s">
        <v>52716</v>
      </c>
      <c r="K11416" s="5" t="s">
        <v>52717</v>
      </c>
      <c r="L11416" s="18" t="s">
        <v>15858</v>
      </c>
      <c r="M11416" s="18" t="s">
        <v>29</v>
      </c>
      <c r="N11416" s="18" t="s">
        <v>52718</v>
      </c>
      <c r="O11416" s="18" t="s">
        <v>29</v>
      </c>
      <c r="P11416" s="18" t="s">
        <v>52719</v>
      </c>
      <c r="Q11416" s="6"/>
      <c r="R11416" s="6"/>
      <c r="S11416" s="6"/>
      <c r="T11416" s="6"/>
      <c r="U11416" s="6"/>
    </row>
    <row r="11417" ht="14.25">
      <c r="B11417" s="18" t="s">
        <v>2932</v>
      </c>
      <c r="C11417" s="18" t="s">
        <v>52720</v>
      </c>
      <c r="D11417" s="18" t="s">
        <v>112</v>
      </c>
      <c r="E11417" s="18" t="s">
        <v>52721</v>
      </c>
      <c r="F11417" s="18" t="str">
        <f>IFERROR(__XLUDF.DUMMYFUNCTION("PROPER(REGEXREPLACE(D1329,""[^A-Za-z]+ "",""""))"),"Soredal")</f>
        <v>Soredal</v>
      </c>
      <c r="G11417" s="18" t="s">
        <v>52722</v>
      </c>
      <c r="H11417" s="18">
        <v>20</v>
      </c>
      <c r="I11417" s="18" t="s">
        <v>9239</v>
      </c>
      <c r="J11417" s="5" t="s">
        <v>52723</v>
      </c>
      <c r="K11417" s="5" t="s">
        <v>52724</v>
      </c>
      <c r="L11417" s="18" t="s">
        <v>185</v>
      </c>
      <c r="M11417" s="18" t="s">
        <v>29</v>
      </c>
      <c r="N11417" s="18" t="s">
        <v>52725</v>
      </c>
      <c r="O11417" s="18" t="s">
        <v>29</v>
      </c>
      <c r="P11417" s="6"/>
      <c r="Q11417" s="6"/>
      <c r="R11417" s="6"/>
      <c r="S11417" s="6"/>
      <c r="T11417" s="6"/>
      <c r="U11417" s="6"/>
    </row>
    <row r="11418" ht="14.25">
      <c r="B11418" s="18" t="s">
        <v>734</v>
      </c>
      <c r="C11418" s="18" t="s">
        <v>52726</v>
      </c>
      <c r="D11418" s="18" t="s">
        <v>112</v>
      </c>
      <c r="E11418" s="18" t="s">
        <v>52727</v>
      </c>
      <c r="F11418" s="18" t="str">
        <f>IFERROR(__XLUDF.DUMMYFUNCTION("PROPER(REGEXREPLACE(D1330,""[^A-Za-z]+ "",""""))"),"Hdms")</f>
        <v>Hdms</v>
      </c>
      <c r="G11418" s="18" t="s">
        <v>52728</v>
      </c>
      <c r="H11418" s="18">
        <v>15</v>
      </c>
      <c r="I11418" s="18" t="s">
        <v>9239</v>
      </c>
      <c r="J11418" s="5" t="s">
        <v>52729</v>
      </c>
      <c r="K11418" s="5" t="s">
        <v>52730</v>
      </c>
      <c r="L11418" s="18" t="s">
        <v>243</v>
      </c>
      <c r="M11418" s="18" t="s">
        <v>29</v>
      </c>
      <c r="N11418" s="18" t="s">
        <v>52731</v>
      </c>
      <c r="O11418" s="18" t="s">
        <v>29</v>
      </c>
      <c r="P11418" s="18" t="s">
        <v>52732</v>
      </c>
      <c r="Q11418" s="6"/>
      <c r="R11418" s="6"/>
      <c r="S11418" s="6"/>
      <c r="T11418" s="6"/>
      <c r="U11418" s="6"/>
    </row>
    <row r="11419" ht="14.25">
      <c r="B11419" s="18" t="s">
        <v>5406</v>
      </c>
      <c r="C11419" s="18" t="s">
        <v>52733</v>
      </c>
      <c r="D11419" s="18" t="s">
        <v>7185</v>
      </c>
      <c r="E11419" s="5" t="s">
        <v>46839</v>
      </c>
      <c r="F11419" s="5" t="str">
        <f>IFERROR(__XLUDF.DUMMYFUNCTION("PROPER(REGEXREPLACE(D1331,""[^A-Za-z]+ "",""""))"),"Monchauffagiste.Com")</f>
        <v>Monchauffagiste.Com</v>
      </c>
      <c r="G11419" s="18" t="s">
        <v>52734</v>
      </c>
      <c r="H11419" s="18">
        <v>12</v>
      </c>
      <c r="I11419" s="18" t="s">
        <v>9239</v>
      </c>
      <c r="J11419" s="5" t="s">
        <v>52735</v>
      </c>
      <c r="K11419" s="5" t="s">
        <v>46842</v>
      </c>
      <c r="L11419" s="18" t="s">
        <v>846</v>
      </c>
      <c r="M11419" s="18" t="s">
        <v>29</v>
      </c>
      <c r="N11419" s="18" t="s">
        <v>46843</v>
      </c>
      <c r="O11419" s="18" t="s">
        <v>29</v>
      </c>
      <c r="P11419" s="6"/>
      <c r="Q11419" s="6"/>
      <c r="R11419" s="6"/>
      <c r="S11419" s="6"/>
      <c r="T11419" s="6"/>
      <c r="U11419" s="6"/>
    </row>
    <row r="11420" ht="14.25">
      <c r="B11420" s="18" t="s">
        <v>893</v>
      </c>
      <c r="C11420" s="18" t="s">
        <v>18993</v>
      </c>
      <c r="D11420" s="18" t="s">
        <v>1130</v>
      </c>
      <c r="E11420" s="18" t="s">
        <v>52736</v>
      </c>
      <c r="F11420" s="18" t="str">
        <f>IFERROR(__XLUDF.DUMMYFUNCTION("PROPER(REGEXREPLACE(D1332,""[^A-Za-z]+ "",""""))"),"3D Nord")</f>
        <v xml:space="preserve">3D Nord</v>
      </c>
      <c r="G11420" s="18" t="s">
        <v>52737</v>
      </c>
      <c r="H11420" s="18">
        <v>14</v>
      </c>
      <c r="I11420" s="18" t="s">
        <v>9239</v>
      </c>
      <c r="J11420" s="5" t="s">
        <v>52738</v>
      </c>
      <c r="K11420" s="5" t="s">
        <v>52739</v>
      </c>
      <c r="L11420" s="18" t="s">
        <v>846</v>
      </c>
      <c r="M11420" s="18" t="s">
        <v>29</v>
      </c>
      <c r="N11420" s="18" t="s">
        <v>52740</v>
      </c>
      <c r="O11420" s="18" t="s">
        <v>29</v>
      </c>
      <c r="P11420" s="6"/>
      <c r="Q11420" s="6"/>
      <c r="R11420" s="6"/>
      <c r="S11420" s="6"/>
      <c r="T11420" s="6"/>
      <c r="U11420" s="6"/>
    </row>
    <row r="11421" ht="14.25">
      <c r="B11421" s="18" t="s">
        <v>2652</v>
      </c>
      <c r="C11421" s="18" t="s">
        <v>52741</v>
      </c>
      <c r="D11421" s="18" t="s">
        <v>1130</v>
      </c>
      <c r="E11421" s="18" t="s">
        <v>52742</v>
      </c>
      <c r="F11421" s="18" t="str">
        <f>IFERROR(__XLUDF.DUMMYFUNCTION("PROPER(REGEXREPLACE(D1333,""[^A-Za-z]+ "",""""))"),"Sebaco")</f>
        <v>Sebaco</v>
      </c>
      <c r="G11421" s="18" t="s">
        <v>52743</v>
      </c>
      <c r="H11421" s="18">
        <v>17</v>
      </c>
      <c r="I11421" s="18" t="s">
        <v>9239</v>
      </c>
      <c r="J11421" s="5" t="s">
        <v>52744</v>
      </c>
      <c r="K11421" s="5" t="s">
        <v>52745</v>
      </c>
      <c r="L11421" s="18" t="s">
        <v>439</v>
      </c>
      <c r="M11421" s="18" t="s">
        <v>29</v>
      </c>
      <c r="N11421" s="18" t="s">
        <v>52746</v>
      </c>
      <c r="O11421" s="18" t="s">
        <v>29</v>
      </c>
      <c r="P11421" s="6"/>
      <c r="Q11421" s="6"/>
      <c r="R11421" s="6"/>
      <c r="S11421" s="6"/>
      <c r="T11421" s="6"/>
      <c r="U11421" s="6"/>
    </row>
    <row r="11422" ht="14.25">
      <c r="B11422" s="18" t="s">
        <v>808</v>
      </c>
      <c r="C11422" s="18" t="s">
        <v>52747</v>
      </c>
      <c r="D11422" s="18" t="s">
        <v>112</v>
      </c>
      <c r="E11422" s="18" t="s">
        <v>44783</v>
      </c>
      <c r="F11422" s="18" t="str">
        <f>IFERROR(__XLUDF.DUMMYFUNCTION("PROPER(REGEXREPLACE(D1334,""[^A-Za-z]+ "",""""))"),"Facea Group")</f>
        <v xml:space="preserve">Facea Group</v>
      </c>
      <c r="G11422" s="18" t="s">
        <v>52748</v>
      </c>
      <c r="H11422" s="18">
        <v>45</v>
      </c>
      <c r="I11422" s="18" t="s">
        <v>9239</v>
      </c>
      <c r="J11422" s="5" t="s">
        <v>52749</v>
      </c>
      <c r="K11422" s="5" t="s">
        <v>44786</v>
      </c>
      <c r="L11422" s="18" t="s">
        <v>14237</v>
      </c>
      <c r="M11422" s="18" t="s">
        <v>29</v>
      </c>
      <c r="N11422" s="18" t="s">
        <v>44788</v>
      </c>
      <c r="O11422" s="18" t="s">
        <v>29</v>
      </c>
      <c r="P11422" s="6"/>
      <c r="Q11422" s="6"/>
      <c r="R11422" s="6"/>
      <c r="S11422" s="6"/>
      <c r="T11422" s="6"/>
      <c r="U11422" s="6"/>
    </row>
    <row r="11423" ht="14.25">
      <c r="B11423" s="18" t="s">
        <v>118</v>
      </c>
      <c r="C11423" s="18" t="s">
        <v>26446</v>
      </c>
      <c r="D11423" s="18" t="s">
        <v>1130</v>
      </c>
      <c r="E11423" s="18" t="s">
        <v>52750</v>
      </c>
      <c r="F11423" s="18" t="str">
        <f>IFERROR(__XLUDF.DUMMYFUNCTION("PROPER(REGEXREPLACE(D1335,""[^A-Za-z]+ "",""""))"),"Soleil Vert De France")</f>
        <v xml:space="preserve">Soleil Vert De France</v>
      </c>
      <c r="G11423" s="18" t="s">
        <v>52751</v>
      </c>
      <c r="H11423" s="18">
        <v>16</v>
      </c>
      <c r="I11423" s="18" t="s">
        <v>9239</v>
      </c>
      <c r="J11423" s="5" t="s">
        <v>52752</v>
      </c>
      <c r="K11423" s="5" t="s">
        <v>52753</v>
      </c>
      <c r="L11423" s="18" t="s">
        <v>185</v>
      </c>
      <c r="M11423" s="18" t="s">
        <v>29</v>
      </c>
      <c r="N11423" s="18" t="s">
        <v>125</v>
      </c>
      <c r="O11423" s="18" t="s">
        <v>29</v>
      </c>
      <c r="P11423" s="18" t="s">
        <v>52754</v>
      </c>
      <c r="Q11423" s="6"/>
      <c r="R11423" s="6"/>
      <c r="S11423" s="6"/>
      <c r="T11423" s="6"/>
      <c r="U11423" s="6"/>
    </row>
    <row r="11424" ht="14.25">
      <c r="B11424" s="18" t="s">
        <v>52755</v>
      </c>
      <c r="C11424" s="18" t="s">
        <v>52756</v>
      </c>
      <c r="D11424" s="18" t="s">
        <v>1130</v>
      </c>
      <c r="E11424" s="18" t="s">
        <v>52757</v>
      </c>
      <c r="F11424" s="18" t="str">
        <f>IFERROR(__XLUDF.DUMMYFUNCTION("PROPER(REGEXREPLACE(D1336,""[^A-Za-z]+ "",""""))"),"Labomat")</f>
        <v>Labomat</v>
      </c>
      <c r="G11424" s="18" t="s">
        <v>52758</v>
      </c>
      <c r="H11424" s="18">
        <v>14</v>
      </c>
      <c r="I11424" s="18" t="s">
        <v>9239</v>
      </c>
      <c r="J11424" s="5" t="s">
        <v>52759</v>
      </c>
      <c r="K11424" s="5" t="s">
        <v>52760</v>
      </c>
      <c r="L11424" s="18" t="s">
        <v>39</v>
      </c>
      <c r="M11424" s="18" t="s">
        <v>29</v>
      </c>
      <c r="N11424" s="18" t="s">
        <v>52761</v>
      </c>
      <c r="O11424" s="18" t="s">
        <v>2953</v>
      </c>
      <c r="P11424" s="18" t="s">
        <v>52762</v>
      </c>
      <c r="Q11424" s="6"/>
      <c r="R11424" s="6"/>
      <c r="S11424" s="6"/>
      <c r="T11424" s="6"/>
      <c r="U11424" s="6"/>
    </row>
    <row r="11425" ht="14.25">
      <c r="B11425" s="18" t="s">
        <v>13010</v>
      </c>
      <c r="C11425" s="18" t="s">
        <v>52763</v>
      </c>
      <c r="D11425" s="18" t="s">
        <v>112</v>
      </c>
      <c r="E11425" s="18" t="s">
        <v>52764</v>
      </c>
      <c r="F11425" s="18" t="str">
        <f>IFERROR(__XLUDF.DUMMYFUNCTION("PROPER(REGEXREPLACE(D1337,""[^A-Za-z]+ "",""""))"),"Smcb")</f>
        <v>Smcb</v>
      </c>
      <c r="G11425" s="18" t="s">
        <v>52765</v>
      </c>
      <c r="H11425" s="18">
        <v>18</v>
      </c>
      <c r="I11425" s="18" t="s">
        <v>9239</v>
      </c>
      <c r="J11425" s="5" t="s">
        <v>52766</v>
      </c>
      <c r="K11425" s="5" t="s">
        <v>52767</v>
      </c>
      <c r="L11425" s="18" t="s">
        <v>52768</v>
      </c>
      <c r="M11425" s="18" t="s">
        <v>29</v>
      </c>
      <c r="N11425" s="18" t="s">
        <v>52769</v>
      </c>
      <c r="O11425" s="18" t="s">
        <v>29</v>
      </c>
      <c r="P11425" s="6"/>
      <c r="Q11425" s="6"/>
      <c r="R11425" s="6"/>
      <c r="S11425" s="6"/>
      <c r="T11425" s="6"/>
      <c r="U11425" s="6"/>
    </row>
    <row r="11426" ht="14.25">
      <c r="B11426" s="18" t="s">
        <v>3019</v>
      </c>
      <c r="C11426" s="18" t="s">
        <v>52770</v>
      </c>
      <c r="D11426" s="18" t="s">
        <v>112</v>
      </c>
      <c r="E11426" s="18" t="s">
        <v>52771</v>
      </c>
      <c r="F11426" s="18" t="str">
        <f>IFERROR(__XLUDF.DUMMYFUNCTION("PROPER(REGEXREPLACE(D1338,""[^A-Za-z]+ "",""""))"),"P.Ce Tech")</f>
        <v xml:space="preserve">P.Ce Tech</v>
      </c>
      <c r="G11426" s="18" t="s">
        <v>52772</v>
      </c>
      <c r="H11426" s="18">
        <v>21</v>
      </c>
      <c r="I11426" s="18" t="s">
        <v>9239</v>
      </c>
      <c r="J11426" s="5" t="s">
        <v>52773</v>
      </c>
      <c r="K11426" s="5" t="s">
        <v>52774</v>
      </c>
      <c r="L11426" s="18" t="s">
        <v>27711</v>
      </c>
      <c r="M11426" s="18" t="s">
        <v>29</v>
      </c>
      <c r="N11426" s="18" t="s">
        <v>52775</v>
      </c>
      <c r="O11426" s="18" t="s">
        <v>29</v>
      </c>
      <c r="P11426" s="6"/>
      <c r="Q11426" s="6"/>
      <c r="R11426" s="6"/>
      <c r="S11426" s="6"/>
      <c r="T11426" s="6"/>
      <c r="U11426" s="6"/>
    </row>
    <row r="11427" ht="14.25">
      <c r="B11427" s="18" t="s">
        <v>18616</v>
      </c>
      <c r="C11427" s="18" t="s">
        <v>52776</v>
      </c>
      <c r="D11427" s="18" t="s">
        <v>112</v>
      </c>
      <c r="E11427" s="18" t="s">
        <v>47465</v>
      </c>
      <c r="F11427" s="18" t="str">
        <f>IFERROR(__XLUDF.DUMMYFUNCTION("PROPER(REGEXREPLACE(D1339,""[^A-Za-z]+ "",""""))"),"Life Ingénierieconstructions")</f>
        <v xml:space="preserve">Life Ingénierieconstructions</v>
      </c>
      <c r="G11427" s="18" t="s">
        <v>52777</v>
      </c>
      <c r="H11427" s="18">
        <v>20</v>
      </c>
      <c r="I11427" s="18" t="s">
        <v>9239</v>
      </c>
      <c r="J11427" s="5" t="s">
        <v>52778</v>
      </c>
      <c r="K11427" s="5" t="s">
        <v>47468</v>
      </c>
      <c r="L11427" s="18" t="s">
        <v>1507</v>
      </c>
      <c r="M11427" s="18" t="s">
        <v>29</v>
      </c>
      <c r="N11427" s="18" t="s">
        <v>47469</v>
      </c>
      <c r="O11427" s="18" t="s">
        <v>29</v>
      </c>
      <c r="P11427" s="18" t="s">
        <v>47470</v>
      </c>
      <c r="Q11427" s="6"/>
      <c r="R11427" s="6"/>
      <c r="S11427" s="6"/>
      <c r="T11427" s="6"/>
      <c r="U11427" s="6"/>
    </row>
    <row r="11428" ht="14.25">
      <c r="B11428" s="18" t="s">
        <v>1562</v>
      </c>
      <c r="C11428" s="18" t="s">
        <v>12063</v>
      </c>
      <c r="D11428" s="18" t="s">
        <v>247</v>
      </c>
      <c r="E11428" s="18" t="s">
        <v>52779</v>
      </c>
      <c r="F11428" s="18" t="str">
        <f>IFERROR(__XLUDF.DUMMYFUNCTION("PROPER(REGEXREPLACE(D1340,""[^A-Za-z]+ "",""""))"),"Rivet Création")</f>
        <v xml:space="preserve">Rivet Création</v>
      </c>
      <c r="G11428" s="18" t="s">
        <v>52780</v>
      </c>
      <c r="H11428" s="18">
        <v>4</v>
      </c>
      <c r="I11428" s="18" t="s">
        <v>9239</v>
      </c>
      <c r="J11428" s="5" t="s">
        <v>52781</v>
      </c>
      <c r="K11428" s="5" t="s">
        <v>52782</v>
      </c>
      <c r="L11428" s="18" t="s">
        <v>39</v>
      </c>
      <c r="M11428" s="18" t="s">
        <v>29</v>
      </c>
      <c r="N11428" s="18" t="s">
        <v>52783</v>
      </c>
      <c r="O11428" s="18" t="s">
        <v>29</v>
      </c>
      <c r="P11428" s="6"/>
      <c r="Q11428" s="6"/>
      <c r="R11428" s="6"/>
      <c r="S11428" s="6"/>
      <c r="T11428" s="6"/>
      <c r="U11428" s="6"/>
    </row>
    <row r="11429" ht="14.25">
      <c r="B11429" s="18" t="s">
        <v>4800</v>
      </c>
      <c r="C11429" s="18" t="s">
        <v>4811</v>
      </c>
      <c r="D11429" s="18" t="s">
        <v>112</v>
      </c>
      <c r="E11429" s="18" t="s">
        <v>52784</v>
      </c>
      <c r="F11429" s="18" t="str">
        <f>IFERROR(__XLUDF.DUMMYFUNCTION("PROPER(REGEXREPLACE(D1341,""[^A-Za-z]+ "",""""))"),"Martel")</f>
        <v>Martel</v>
      </c>
      <c r="G11429" s="18" t="s">
        <v>52785</v>
      </c>
      <c r="H11429" s="18">
        <v>32</v>
      </c>
      <c r="I11429" s="18" t="s">
        <v>9239</v>
      </c>
      <c r="J11429" s="5" t="s">
        <v>52786</v>
      </c>
      <c r="K11429" s="5" t="s">
        <v>52787</v>
      </c>
      <c r="L11429" s="18" t="s">
        <v>18779</v>
      </c>
      <c r="M11429" s="18" t="s">
        <v>29</v>
      </c>
      <c r="N11429" s="18" t="s">
        <v>52788</v>
      </c>
      <c r="O11429" s="18" t="s">
        <v>29</v>
      </c>
      <c r="P11429" s="18" t="s">
        <v>52789</v>
      </c>
      <c r="Q11429" s="6"/>
      <c r="R11429" s="6"/>
      <c r="S11429" s="6"/>
      <c r="T11429" s="6"/>
      <c r="U11429" s="6"/>
    </row>
    <row r="11430" ht="14.25">
      <c r="B11430" s="18" t="s">
        <v>963</v>
      </c>
      <c r="C11430" s="18" t="s">
        <v>52790</v>
      </c>
      <c r="D11430" s="18" t="s">
        <v>112</v>
      </c>
      <c r="E11430" s="18" t="s">
        <v>52791</v>
      </c>
      <c r="F11430" s="18" t="str">
        <f>IFERROR(__XLUDF.DUMMYFUNCTION("PROPER(REGEXREPLACE(D1342,""[^A-Za-z]+ "",""""))"),"Rconstruction")</f>
        <v>Rconstruction</v>
      </c>
      <c r="G11430" s="18" t="s">
        <v>52792</v>
      </c>
      <c r="H11430" s="18">
        <v>11</v>
      </c>
      <c r="I11430" s="18" t="s">
        <v>9239</v>
      </c>
      <c r="J11430" s="5" t="s">
        <v>52793</v>
      </c>
      <c r="K11430" s="5" t="s">
        <v>52794</v>
      </c>
      <c r="L11430" s="18" t="s">
        <v>149</v>
      </c>
      <c r="M11430" s="18" t="s">
        <v>29</v>
      </c>
      <c r="N11430" s="18" t="s">
        <v>52795</v>
      </c>
      <c r="O11430" s="18" t="s">
        <v>29</v>
      </c>
      <c r="P11430" s="18" t="s">
        <v>52796</v>
      </c>
      <c r="Q11430" s="6"/>
      <c r="R11430" s="6"/>
      <c r="S11430" s="6"/>
      <c r="T11430" s="6"/>
      <c r="U11430" s="6"/>
    </row>
    <row r="11431" ht="14.25">
      <c r="B11431" s="18" t="s">
        <v>485</v>
      </c>
      <c r="C11431" s="18" t="s">
        <v>17095</v>
      </c>
      <c r="D11431" s="18" t="s">
        <v>52797</v>
      </c>
      <c r="E11431" s="18" t="s">
        <v>52798</v>
      </c>
      <c r="F11431" s="18" t="str">
        <f>IFERROR(__XLUDF.DUMMYFUNCTION("PROPER(REGEXREPLACE(D1343,""[^A-Za-z]+ "",""""))"),"Arka Home")</f>
        <v xml:space="preserve">Arka Home</v>
      </c>
      <c r="G11431" s="18" t="s">
        <v>52799</v>
      </c>
      <c r="H11431" s="6"/>
      <c r="I11431" s="6"/>
      <c r="J11431" s="5" t="s">
        <v>52800</v>
      </c>
      <c r="K11431" s="5" t="s">
        <v>52801</v>
      </c>
      <c r="L11431" s="18" t="s">
        <v>1312</v>
      </c>
      <c r="M11431" s="18" t="s">
        <v>29</v>
      </c>
      <c r="N11431" s="18" t="s">
        <v>52802</v>
      </c>
      <c r="O11431" s="18" t="s">
        <v>29</v>
      </c>
      <c r="P11431" s="6"/>
      <c r="Q11431" s="6"/>
      <c r="R11431" s="6"/>
      <c r="S11431" s="6"/>
      <c r="T11431" s="6"/>
      <c r="U11431" s="6"/>
    </row>
    <row r="11432" ht="14.25">
      <c r="B11432" s="18" t="s">
        <v>840</v>
      </c>
      <c r="C11432" s="18" t="s">
        <v>52803</v>
      </c>
      <c r="D11432" s="18" t="s">
        <v>23197</v>
      </c>
      <c r="E11432" s="18" t="s">
        <v>46879</v>
      </c>
      <c r="F11432" s="18" t="str">
        <f>IFERROR(__XLUDF.DUMMYFUNCTION("PROPER(REGEXREPLACE(D1344,""[^A-Za-z]+ "",""""))"),"Nuarchitectural Designengineering Firm")</f>
        <v xml:space="preserve">Nuarchitectural Designengineering Firm</v>
      </c>
      <c r="G11432" s="18" t="s">
        <v>52804</v>
      </c>
      <c r="H11432" s="18">
        <v>19</v>
      </c>
      <c r="I11432" s="18" t="s">
        <v>9239</v>
      </c>
      <c r="J11432" s="5" t="s">
        <v>52805</v>
      </c>
      <c r="K11432" s="5" t="s">
        <v>46882</v>
      </c>
      <c r="L11432" s="6"/>
      <c r="M11432" s="18" t="s">
        <v>29</v>
      </c>
      <c r="N11432" s="18" t="s">
        <v>46870</v>
      </c>
      <c r="O11432" s="18" t="s">
        <v>29</v>
      </c>
      <c r="P11432" s="18" t="s">
        <v>46883</v>
      </c>
      <c r="Q11432" s="6"/>
      <c r="R11432" s="6"/>
      <c r="S11432" s="6"/>
      <c r="T11432" s="6"/>
      <c r="U11432" s="6"/>
    </row>
    <row r="11433" ht="14.25">
      <c r="B11433" s="18" t="s">
        <v>52806</v>
      </c>
      <c r="C11433" s="18" t="s">
        <v>52807</v>
      </c>
      <c r="D11433" s="18" t="s">
        <v>112</v>
      </c>
      <c r="E11433" s="18" t="s">
        <v>52808</v>
      </c>
      <c r="F11433" s="18" t="str">
        <f>IFERROR(__XLUDF.DUMMYFUNCTION("PROPER(REGEXREPLACE(D1345,""[^A-Za-z]+ "",""""))"),"3S Safety")</f>
        <v xml:space="preserve">3S Safety</v>
      </c>
      <c r="G11433" s="18" t="s">
        <v>52809</v>
      </c>
      <c r="H11433" s="18">
        <v>22</v>
      </c>
      <c r="I11433" s="18" t="s">
        <v>9239</v>
      </c>
      <c r="J11433" s="5" t="s">
        <v>52810</v>
      </c>
      <c r="K11433" s="5" t="s">
        <v>52811</v>
      </c>
      <c r="L11433" s="18" t="s">
        <v>52812</v>
      </c>
      <c r="M11433" s="18" t="s">
        <v>29</v>
      </c>
      <c r="N11433" s="18" t="s">
        <v>52813</v>
      </c>
      <c r="O11433" s="18" t="s">
        <v>2388</v>
      </c>
      <c r="P11433" s="6"/>
      <c r="Q11433" s="6"/>
      <c r="R11433" s="6"/>
      <c r="S11433" s="6"/>
      <c r="T11433" s="6"/>
      <c r="U11433" s="6"/>
    </row>
    <row r="11434" ht="14.25">
      <c r="B11434" s="18" t="s">
        <v>679</v>
      </c>
      <c r="C11434" s="18" t="s">
        <v>52814</v>
      </c>
      <c r="D11434" s="18" t="s">
        <v>112</v>
      </c>
      <c r="E11434" s="18" t="s">
        <v>52815</v>
      </c>
      <c r="F11434" s="18" t="str">
        <f>IFERROR(__XLUDF.DUMMYFUNCTION("PROPER(REGEXREPLACE(D1346,""[^A-Za-z]+ "",""""))"),"Pyretherm")</f>
        <v>Pyretherm</v>
      </c>
      <c r="G11434" s="18" t="s">
        <v>52816</v>
      </c>
      <c r="H11434" s="18">
        <v>14</v>
      </c>
      <c r="I11434" s="18" t="s">
        <v>9239</v>
      </c>
      <c r="J11434" s="5" t="s">
        <v>52817</v>
      </c>
      <c r="K11434" s="5" t="s">
        <v>52818</v>
      </c>
      <c r="L11434" s="18" t="s">
        <v>52819</v>
      </c>
      <c r="M11434" s="18" t="s">
        <v>29</v>
      </c>
      <c r="N11434" s="18" t="s">
        <v>52820</v>
      </c>
      <c r="O11434" s="18" t="s">
        <v>29</v>
      </c>
      <c r="P11434" s="18" t="s">
        <v>52821</v>
      </c>
      <c r="Q11434" s="6"/>
      <c r="R11434" s="6"/>
      <c r="S11434" s="6"/>
      <c r="T11434" s="6"/>
      <c r="U11434" s="6"/>
    </row>
    <row r="11435" ht="14.25">
      <c r="B11435" s="18" t="s">
        <v>5679</v>
      </c>
      <c r="C11435" s="18" t="s">
        <v>3280</v>
      </c>
      <c r="D11435" s="18" t="s">
        <v>172</v>
      </c>
      <c r="E11435" s="18" t="s">
        <v>52673</v>
      </c>
      <c r="F11435" s="18" t="str">
        <f>IFERROR(__XLUDF.DUMMYFUNCTION("PROPER(REGEXREPLACE(D1347,""[^A-Za-z]+ "",""""))"),"France-Lanordbichaton Entreprise Générale")</f>
        <v xml:space="preserve">France-Lanordbichaton Entreprise Générale</v>
      </c>
      <c r="G11435" s="18" t="s">
        <v>52822</v>
      </c>
      <c r="H11435" s="18">
        <v>31</v>
      </c>
      <c r="I11435" s="18" t="s">
        <v>9239</v>
      </c>
      <c r="J11435" s="5" t="s">
        <v>52823</v>
      </c>
      <c r="K11435" s="5" t="s">
        <v>52676</v>
      </c>
      <c r="L11435" s="18" t="s">
        <v>52824</v>
      </c>
      <c r="M11435" s="18" t="s">
        <v>29</v>
      </c>
      <c r="N11435" s="18" t="s">
        <v>52677</v>
      </c>
      <c r="O11435" s="18" t="s">
        <v>29</v>
      </c>
      <c r="P11435" s="18" t="s">
        <v>52678</v>
      </c>
      <c r="Q11435" s="6"/>
      <c r="R11435" s="6"/>
      <c r="S11435" s="6"/>
      <c r="T11435" s="6"/>
      <c r="U11435" s="6"/>
    </row>
    <row r="11436" ht="14.25">
      <c r="B11436" s="18" t="s">
        <v>14276</v>
      </c>
      <c r="C11436" s="18" t="s">
        <v>52825</v>
      </c>
      <c r="D11436" s="18" t="s">
        <v>112</v>
      </c>
      <c r="E11436" s="18" t="s">
        <v>52826</v>
      </c>
      <c r="F11436" s="18" t="str">
        <f>IFERROR(__XLUDF.DUMMYFUNCTION("PROPER(REGEXREPLACE(D1348,""[^A-Za-z]+ "",""""))"),"Domani")</f>
        <v>Domani</v>
      </c>
      <c r="G11436" s="18" t="s">
        <v>52827</v>
      </c>
      <c r="H11436" s="18">
        <v>14</v>
      </c>
      <c r="I11436" s="18" t="s">
        <v>9239</v>
      </c>
      <c r="J11436" s="5" t="s">
        <v>52828</v>
      </c>
      <c r="K11436" s="5" t="s">
        <v>52829</v>
      </c>
      <c r="L11436" s="18" t="s">
        <v>16314</v>
      </c>
      <c r="M11436" s="18" t="s">
        <v>29</v>
      </c>
      <c r="N11436" s="18" t="s">
        <v>52830</v>
      </c>
      <c r="O11436" s="18" t="s">
        <v>29</v>
      </c>
      <c r="P11436" s="6"/>
      <c r="Q11436" s="6"/>
      <c r="R11436" s="6"/>
      <c r="S11436" s="6"/>
      <c r="T11436" s="6"/>
      <c r="U11436" s="6"/>
    </row>
    <row r="11437" ht="14.25">
      <c r="B11437" s="18" t="s">
        <v>2303</v>
      </c>
      <c r="C11437" s="18" t="s">
        <v>52831</v>
      </c>
      <c r="D11437" s="18" t="s">
        <v>52832</v>
      </c>
      <c r="E11437" s="18" t="s">
        <v>52833</v>
      </c>
      <c r="F11437" s="18" t="str">
        <f>IFERROR(__XLUDF.DUMMYFUNCTION("PROPER(REGEXREPLACE(D1349,""[^A-Za-z]+ "",""""))"),"Scop Lesrives")</f>
        <v xml:space="preserve">Scop Lesrives</v>
      </c>
      <c r="G11437" s="18" t="s">
        <v>52834</v>
      </c>
      <c r="H11437" s="18">
        <v>4</v>
      </c>
      <c r="I11437" s="18" t="s">
        <v>10167</v>
      </c>
      <c r="J11437" s="5" t="s">
        <v>52835</v>
      </c>
      <c r="K11437" s="5" t="s">
        <v>52836</v>
      </c>
      <c r="L11437" s="18" t="s">
        <v>185</v>
      </c>
      <c r="M11437" s="18" t="s">
        <v>29</v>
      </c>
      <c r="N11437" s="18" t="s">
        <v>52837</v>
      </c>
      <c r="O11437" s="18" t="s">
        <v>29</v>
      </c>
      <c r="P11437" s="18" t="s">
        <v>52838</v>
      </c>
      <c r="Q11437" s="6"/>
      <c r="R11437" s="6"/>
      <c r="S11437" s="6"/>
      <c r="T11437" s="6"/>
      <c r="U11437" s="6"/>
    </row>
    <row r="11438" ht="14.25">
      <c r="B11438" s="18" t="s">
        <v>1667</v>
      </c>
      <c r="C11438" s="18" t="s">
        <v>15208</v>
      </c>
      <c r="D11438" s="18" t="s">
        <v>112</v>
      </c>
      <c r="E11438" s="18" t="s">
        <v>52839</v>
      </c>
      <c r="F11438" s="18" t="str">
        <f>IFERROR(__XLUDF.DUMMYFUNCTION("PROPER(REGEXREPLACE(D1350,""[^A-Za-z]+ "",""""))"),"Malbrel Conservation")</f>
        <v xml:space="preserve">Malbrel Conservation</v>
      </c>
      <c r="G11438" s="18" t="s">
        <v>52840</v>
      </c>
      <c r="H11438" s="18">
        <v>18</v>
      </c>
      <c r="I11438" s="18" t="s">
        <v>9239</v>
      </c>
      <c r="J11438" s="5" t="s">
        <v>52841</v>
      </c>
      <c r="K11438" s="5" t="s">
        <v>52842</v>
      </c>
      <c r="L11438" s="18" t="s">
        <v>9459</v>
      </c>
      <c r="M11438" s="18" t="s">
        <v>29</v>
      </c>
      <c r="N11438" s="18" t="s">
        <v>29</v>
      </c>
      <c r="O11438" s="18" t="s">
        <v>29</v>
      </c>
      <c r="P11438" s="18" t="s">
        <v>52843</v>
      </c>
      <c r="Q11438" s="6"/>
      <c r="R11438" s="6"/>
      <c r="S11438" s="6"/>
      <c r="T11438" s="6"/>
      <c r="U11438" s="6"/>
    </row>
    <row r="11439" ht="14.25">
      <c r="B11439" s="18" t="s">
        <v>2516</v>
      </c>
      <c r="C11439" s="18" t="s">
        <v>52844</v>
      </c>
      <c r="D11439" s="18" t="s">
        <v>112</v>
      </c>
      <c r="E11439" s="18" t="s">
        <v>52845</v>
      </c>
      <c r="F11439" s="18" t="str">
        <f>IFERROR(__XLUDF.DUMMYFUNCTION("PROPER(REGEXREPLACE(D1351,""[^A-Za-z]+ "",""""))"),"Nord Chauffage Services")</f>
        <v xml:space="preserve">Nord Chauffage Services</v>
      </c>
      <c r="G11439" s="18" t="s">
        <v>52846</v>
      </c>
      <c r="H11439" s="18">
        <v>11</v>
      </c>
      <c r="I11439" s="18" t="s">
        <v>9239</v>
      </c>
      <c r="J11439" s="5" t="s">
        <v>52847</v>
      </c>
      <c r="K11439" s="5" t="s">
        <v>52848</v>
      </c>
      <c r="L11439" s="18" t="s">
        <v>846</v>
      </c>
      <c r="M11439" s="18" t="s">
        <v>29</v>
      </c>
      <c r="N11439" s="18" t="s">
        <v>5865</v>
      </c>
      <c r="O11439" s="18" t="s">
        <v>29</v>
      </c>
      <c r="P11439" s="18" t="s">
        <v>52849</v>
      </c>
      <c r="Q11439" s="6"/>
      <c r="R11439" s="6"/>
      <c r="S11439" s="6"/>
      <c r="T11439" s="6"/>
      <c r="U11439" s="6"/>
    </row>
    <row r="11440" ht="14.25">
      <c r="B11440" s="18" t="s">
        <v>571</v>
      </c>
      <c r="C11440" s="18" t="s">
        <v>52850</v>
      </c>
      <c r="D11440" s="18" t="s">
        <v>112</v>
      </c>
      <c r="E11440" s="18" t="s">
        <v>52851</v>
      </c>
      <c r="F11440" s="18" t="str">
        <f>IFERROR(__XLUDF.DUMMYFUNCTION("PROPER(REGEXREPLACE(D1352,""[^A-Za-z]+ "",""""))"),"Jsd Groupe")</f>
        <v xml:space="preserve">Jsd Groupe</v>
      </c>
      <c r="G11440" s="18" t="s">
        <v>52852</v>
      </c>
      <c r="H11440" s="18">
        <v>31</v>
      </c>
      <c r="I11440" s="18" t="s">
        <v>9239</v>
      </c>
      <c r="J11440" s="5" t="s">
        <v>52853</v>
      </c>
      <c r="K11440" s="5" t="s">
        <v>52854</v>
      </c>
      <c r="L11440" s="18" t="s">
        <v>243</v>
      </c>
      <c r="M11440" s="18" t="s">
        <v>29</v>
      </c>
      <c r="N11440" s="18" t="s">
        <v>52855</v>
      </c>
      <c r="O11440" s="18" t="s">
        <v>29</v>
      </c>
      <c r="P11440" s="6"/>
      <c r="Q11440" s="6"/>
      <c r="R11440" s="6"/>
      <c r="S11440" s="6"/>
      <c r="T11440" s="6"/>
      <c r="U11440" s="6"/>
    </row>
    <row r="11441" ht="14.25">
      <c r="B11441" s="18" t="s">
        <v>52856</v>
      </c>
      <c r="C11441" s="18" t="s">
        <v>52857</v>
      </c>
      <c r="D11441" s="18" t="s">
        <v>172</v>
      </c>
      <c r="E11441" s="18" t="s">
        <v>52858</v>
      </c>
      <c r="F11441" s="18" t="str">
        <f>IFERROR(__XLUDF.DUMMYFUNCTION("PROPER(REGEXREPLACE(D1353,""[^A-Za-z]+ "",""""))"),"Br Consult")</f>
        <v xml:space="preserve">Br Consult</v>
      </c>
      <c r="G11441" s="18" t="s">
        <v>52859</v>
      </c>
      <c r="H11441" s="18">
        <v>26</v>
      </c>
      <c r="I11441" s="18" t="s">
        <v>9239</v>
      </c>
      <c r="J11441" s="5" t="s">
        <v>52860</v>
      </c>
      <c r="K11441" s="5" t="s">
        <v>52861</v>
      </c>
      <c r="L11441" s="18" t="s">
        <v>5449</v>
      </c>
      <c r="M11441" s="18" t="s">
        <v>29</v>
      </c>
      <c r="N11441" s="18" t="s">
        <v>52862</v>
      </c>
      <c r="O11441" s="18" t="s">
        <v>29</v>
      </c>
      <c r="P11441" s="6"/>
      <c r="Q11441" s="6"/>
      <c r="R11441" s="6"/>
      <c r="S11441" s="6"/>
      <c r="T11441" s="6"/>
      <c r="U11441" s="6"/>
    </row>
    <row r="11442" ht="14.25">
      <c r="B11442" s="18" t="s">
        <v>3797</v>
      </c>
      <c r="C11442" s="18" t="s">
        <v>52863</v>
      </c>
      <c r="D11442" s="18" t="s">
        <v>112</v>
      </c>
      <c r="E11442" s="18" t="s">
        <v>52864</v>
      </c>
      <c r="F11442" s="18" t="str">
        <f>IFERROR(__XLUDF.DUMMYFUNCTION("PROPER(REGEXREPLACE(D1354,""[^A-Za-z]+ "",""""))"),"Les Materiaux De L'Ouest")</f>
        <v xml:space="preserve">Les Materiaux De L'Ouest</v>
      </c>
      <c r="G11442" s="18" t="s">
        <v>52865</v>
      </c>
      <c r="H11442" s="18">
        <v>40</v>
      </c>
      <c r="I11442" s="18" t="s">
        <v>9239</v>
      </c>
      <c r="J11442" s="5" t="s">
        <v>52866</v>
      </c>
      <c r="K11442" s="5" t="s">
        <v>52867</v>
      </c>
      <c r="L11442" s="18" t="s">
        <v>1826</v>
      </c>
      <c r="M11442" s="18" t="s">
        <v>29</v>
      </c>
      <c r="N11442" s="18" t="s">
        <v>52868</v>
      </c>
      <c r="O11442" s="18" t="s">
        <v>29</v>
      </c>
      <c r="P11442" s="6"/>
      <c r="Q11442" s="6"/>
      <c r="R11442" s="6"/>
      <c r="S11442" s="6"/>
      <c r="T11442" s="6"/>
      <c r="U11442" s="6"/>
    </row>
    <row r="11443" ht="14.25">
      <c r="B11443" s="18" t="s">
        <v>170</v>
      </c>
      <c r="C11443" s="18" t="s">
        <v>52869</v>
      </c>
      <c r="D11443" s="18" t="s">
        <v>112</v>
      </c>
      <c r="E11443" s="18" t="s">
        <v>52870</v>
      </c>
      <c r="F11443" s="18" t="str">
        <f>IFERROR(__XLUDF.DUMMYFUNCTION("PROPER(REGEXREPLACE(D1355,""[^A-Za-z]+ "",""""))"),"Mr Menuiserie")</f>
        <v xml:space="preserve">Mr Menuiserie</v>
      </c>
      <c r="G11443" s="18" t="s">
        <v>52871</v>
      </c>
      <c r="H11443" s="18">
        <v>12</v>
      </c>
      <c r="I11443" s="18" t="s">
        <v>9239</v>
      </c>
      <c r="J11443" s="5" t="s">
        <v>52872</v>
      </c>
      <c r="K11443" s="5" t="s">
        <v>52873</v>
      </c>
      <c r="L11443" s="18" t="s">
        <v>52874</v>
      </c>
      <c r="M11443" s="18" t="s">
        <v>29</v>
      </c>
      <c r="N11443" s="18" t="s">
        <v>52875</v>
      </c>
      <c r="O11443" s="18" t="s">
        <v>29</v>
      </c>
      <c r="P11443" s="6"/>
      <c r="Q11443" s="6"/>
      <c r="R11443" s="6"/>
      <c r="S11443" s="6"/>
      <c r="T11443" s="6"/>
      <c r="U11443" s="6"/>
    </row>
    <row r="11444" ht="14.25">
      <c r="B11444" s="18" t="s">
        <v>31</v>
      </c>
      <c r="C11444" s="18" t="s">
        <v>52876</v>
      </c>
      <c r="D11444" s="18" t="s">
        <v>112</v>
      </c>
      <c r="E11444" s="18" t="s">
        <v>52877</v>
      </c>
      <c r="F11444" s="18" t="str">
        <f>IFERROR(__XLUDF.DUMMYFUNCTION("PROPER(REGEXREPLACE(D1356,""[^A-Za-z]+ "",""""))"),"Antona Et Cofi")</f>
        <v xml:space="preserve">Antona Et Cofi</v>
      </c>
      <c r="G11444" s="18" t="s">
        <v>52878</v>
      </c>
      <c r="H11444" s="18">
        <v>24</v>
      </c>
      <c r="I11444" s="18" t="s">
        <v>9239</v>
      </c>
      <c r="J11444" s="5" t="s">
        <v>52879</v>
      </c>
      <c r="K11444" s="5" t="s">
        <v>52880</v>
      </c>
      <c r="L11444" s="18" t="s">
        <v>39</v>
      </c>
      <c r="M11444" s="18" t="s">
        <v>29</v>
      </c>
      <c r="N11444" s="18" t="s">
        <v>52881</v>
      </c>
      <c r="O11444" s="18" t="s">
        <v>29</v>
      </c>
      <c r="P11444" s="18" t="s">
        <v>52882</v>
      </c>
      <c r="Q11444" s="6"/>
      <c r="R11444" s="6"/>
      <c r="S11444" s="6"/>
      <c r="T11444" s="6"/>
      <c r="U11444" s="6"/>
    </row>
    <row r="11445" ht="14.25">
      <c r="B11445" s="18" t="s">
        <v>785</v>
      </c>
      <c r="C11445" s="18" t="s">
        <v>52883</v>
      </c>
      <c r="D11445" s="18" t="s">
        <v>1130</v>
      </c>
      <c r="E11445" s="18" t="s">
        <v>47559</v>
      </c>
      <c r="F11445" s="18" t="str">
        <f>IFERROR(__XLUDF.DUMMYFUNCTION("PROPER(REGEXREPLACE(D1357,""[^A-Za-z]+ "",""""))"),"Comely")</f>
        <v>Comely</v>
      </c>
      <c r="G11445" s="18" t="s">
        <v>52884</v>
      </c>
      <c r="H11445" s="18">
        <v>29</v>
      </c>
      <c r="I11445" s="18" t="s">
        <v>9239</v>
      </c>
      <c r="J11445" s="5" t="s">
        <v>52885</v>
      </c>
      <c r="K11445" s="5" t="s">
        <v>47562</v>
      </c>
      <c r="L11445" s="6"/>
      <c r="M11445" s="18" t="s">
        <v>29</v>
      </c>
      <c r="N11445" s="18" t="s">
        <v>47563</v>
      </c>
      <c r="O11445" s="18" t="s">
        <v>29</v>
      </c>
      <c r="P11445" s="6"/>
      <c r="Q11445" s="6"/>
      <c r="R11445" s="6"/>
      <c r="S11445" s="6"/>
      <c r="T11445" s="6"/>
      <c r="U11445" s="6"/>
    </row>
    <row r="11446" ht="14.25">
      <c r="B11446" s="18" t="s">
        <v>355</v>
      </c>
      <c r="C11446" s="18" t="s">
        <v>52886</v>
      </c>
      <c r="D11446" s="18" t="s">
        <v>112</v>
      </c>
      <c r="E11446" s="18" t="s">
        <v>52887</v>
      </c>
      <c r="F11446" s="18" t="str">
        <f>IFERROR(__XLUDF.DUMMYFUNCTION("PROPER(REGEXREPLACE(D1358,""[^A-Za-z]+ "",""""))"),"Bredy Agencement")</f>
        <v xml:space="preserve">Bredy Agencement</v>
      </c>
      <c r="G11446" s="18" t="s">
        <v>52888</v>
      </c>
      <c r="H11446" s="18">
        <v>7</v>
      </c>
      <c r="I11446" s="18" t="s">
        <v>9239</v>
      </c>
      <c r="J11446" s="5" t="s">
        <v>52889</v>
      </c>
      <c r="K11446" s="5" t="s">
        <v>52890</v>
      </c>
      <c r="L11446" s="6"/>
      <c r="M11446" s="18" t="s">
        <v>29</v>
      </c>
      <c r="N11446" s="18" t="s">
        <v>32030</v>
      </c>
      <c r="O11446" s="18" t="s">
        <v>29</v>
      </c>
      <c r="P11446" s="18" t="s">
        <v>52891</v>
      </c>
      <c r="Q11446" s="6"/>
      <c r="R11446" s="6"/>
      <c r="S11446" s="6"/>
      <c r="T11446" s="6"/>
      <c r="U11446" s="6"/>
    </row>
    <row r="11447" ht="14.25">
      <c r="B11447" s="18" t="s">
        <v>52892</v>
      </c>
      <c r="C11447" s="18" t="s">
        <v>12551</v>
      </c>
      <c r="D11447" s="18" t="s">
        <v>2636</v>
      </c>
      <c r="E11447" s="18" t="s">
        <v>52893</v>
      </c>
      <c r="F11447" s="18" t="str">
        <f>IFERROR(__XLUDF.DUMMYFUNCTION("PROPER(REGEXREPLACE(D1359,""[^A-Za-z]+ "",""""))"),"Facili")</f>
        <v>Facili</v>
      </c>
      <c r="G11447" s="18" t="s">
        <v>52894</v>
      </c>
      <c r="H11447" s="18">
        <v>11</v>
      </c>
      <c r="I11447" s="18" t="s">
        <v>10167</v>
      </c>
      <c r="J11447" s="5" t="s">
        <v>52895</v>
      </c>
      <c r="K11447" s="5" t="s">
        <v>52896</v>
      </c>
      <c r="L11447" s="18" t="s">
        <v>39</v>
      </c>
      <c r="M11447" s="18" t="s">
        <v>29</v>
      </c>
      <c r="N11447" s="18" t="s">
        <v>52897</v>
      </c>
      <c r="O11447" s="18" t="s">
        <v>29</v>
      </c>
      <c r="P11447" s="18" t="s">
        <v>52898</v>
      </c>
      <c r="Q11447" s="6"/>
      <c r="R11447" s="6"/>
      <c r="S11447" s="6"/>
      <c r="T11447" s="6"/>
      <c r="U11447" s="6"/>
    </row>
    <row r="11448" ht="14.25">
      <c r="B11448" s="18" t="s">
        <v>2508</v>
      </c>
      <c r="C11448" s="18" t="s">
        <v>52899</v>
      </c>
      <c r="D11448" s="18" t="s">
        <v>1130</v>
      </c>
      <c r="E11448" s="18" t="s">
        <v>52900</v>
      </c>
      <c r="F11448" s="18" t="str">
        <f>IFERROR(__XLUDF.DUMMYFUNCTION("PROPER(REGEXREPLACE(D1360,""[^A-Za-z]+ "",""""))"),"Mouchet Construction")</f>
        <v xml:space="preserve">Mouchet Construction</v>
      </c>
      <c r="G11448" s="18" t="s">
        <v>52901</v>
      </c>
      <c r="H11448" s="18">
        <v>11</v>
      </c>
      <c r="I11448" s="18" t="s">
        <v>9239</v>
      </c>
      <c r="J11448" s="5" t="s">
        <v>52902</v>
      </c>
      <c r="K11448" s="5" t="s">
        <v>52903</v>
      </c>
      <c r="L11448" s="18" t="s">
        <v>52904</v>
      </c>
      <c r="M11448" s="18" t="s">
        <v>29</v>
      </c>
      <c r="N11448" s="18" t="s">
        <v>52905</v>
      </c>
      <c r="O11448" s="18" t="s">
        <v>29</v>
      </c>
      <c r="P11448" s="18" t="s">
        <v>52906</v>
      </c>
      <c r="Q11448" s="6"/>
      <c r="R11448" s="6"/>
      <c r="S11448" s="6"/>
      <c r="T11448" s="6"/>
      <c r="U11448" s="6"/>
    </row>
    <row r="11449" ht="14.25">
      <c r="B11449" s="18" t="s">
        <v>110</v>
      </c>
      <c r="C11449" s="18" t="s">
        <v>20266</v>
      </c>
      <c r="D11449" s="18" t="s">
        <v>1867</v>
      </c>
      <c r="E11449" s="18" t="s">
        <v>20267</v>
      </c>
      <c r="F11449" s="18" t="str">
        <f>IFERROR(__XLUDF.DUMMYFUNCTION("PROPER(REGEXREPLACE(D1361,""[^A-Za-z]+ "",""""))"),"Artemis Success")</f>
        <v xml:space="preserve">Artemis Success</v>
      </c>
      <c r="G11449" s="18" t="s">
        <v>20268</v>
      </c>
      <c r="H11449" s="18">
        <v>12</v>
      </c>
      <c r="I11449" s="18" t="s">
        <v>18063</v>
      </c>
      <c r="J11449" s="5" t="s">
        <v>20269</v>
      </c>
      <c r="K11449" s="5" t="s">
        <v>20270</v>
      </c>
      <c r="L11449" s="18" t="s">
        <v>39</v>
      </c>
      <c r="M11449" s="18" t="s">
        <v>29</v>
      </c>
      <c r="N11449" s="18" t="s">
        <v>20271</v>
      </c>
      <c r="O11449" s="18" t="s">
        <v>29</v>
      </c>
      <c r="P11449" s="6"/>
      <c r="Q11449" s="6"/>
      <c r="R11449" s="6"/>
      <c r="S11449" s="6"/>
      <c r="T11449" s="6"/>
      <c r="U11449" s="6"/>
    </row>
    <row r="11450" ht="14.25">
      <c r="B11450" s="18" t="s">
        <v>6931</v>
      </c>
      <c r="C11450" s="18" t="s">
        <v>279</v>
      </c>
      <c r="D11450" s="18" t="s">
        <v>112</v>
      </c>
      <c r="E11450" s="18" t="s">
        <v>52907</v>
      </c>
      <c r="F11450" s="18" t="str">
        <f>IFERROR(__XLUDF.DUMMYFUNCTION("PROPER(REGEXREPLACE(D1362,""[^A-Za-z]+ "",""""))"),"Sas Avenir Metal")</f>
        <v xml:space="preserve">Sas Avenir Metal</v>
      </c>
      <c r="G11450" s="18" t="s">
        <v>52908</v>
      </c>
      <c r="H11450" s="18">
        <v>17</v>
      </c>
      <c r="I11450" s="18" t="s">
        <v>9239</v>
      </c>
      <c r="J11450" s="5" t="s">
        <v>52909</v>
      </c>
      <c r="K11450" s="5" t="s">
        <v>52910</v>
      </c>
      <c r="L11450" s="18" t="s">
        <v>185</v>
      </c>
      <c r="M11450" s="18" t="s">
        <v>29</v>
      </c>
      <c r="N11450" s="18" t="s">
        <v>52911</v>
      </c>
      <c r="O11450" s="18" t="s">
        <v>29</v>
      </c>
      <c r="P11450" s="18" t="s">
        <v>52912</v>
      </c>
      <c r="Q11450" s="6"/>
      <c r="R11450" s="6"/>
      <c r="S11450" s="6"/>
      <c r="T11450" s="6"/>
      <c r="U11450" s="6"/>
    </row>
    <row r="11451" ht="14.25">
      <c r="B11451" s="18" t="s">
        <v>330</v>
      </c>
      <c r="C11451" s="18" t="s">
        <v>76</v>
      </c>
      <c r="D11451" s="18" t="s">
        <v>112</v>
      </c>
      <c r="E11451" s="18" t="s">
        <v>52913</v>
      </c>
      <c r="F11451" s="18" t="str">
        <f>IFERROR(__XLUDF.DUMMYFUNCTION("PROPER(REGEXREPLACE(D1363,""[^A-Za-z]+ "",""""))"),"Demeures Rhône-Alpes")</f>
        <v xml:space="preserve">Demeures Rhône-Alpes</v>
      </c>
      <c r="G11451" s="18" t="s">
        <v>52914</v>
      </c>
      <c r="H11451" s="18">
        <v>32</v>
      </c>
      <c r="I11451" s="18" t="s">
        <v>9239</v>
      </c>
      <c r="J11451" s="5" t="s">
        <v>52915</v>
      </c>
      <c r="K11451" s="5" t="s">
        <v>52916</v>
      </c>
      <c r="L11451" s="18" t="s">
        <v>185</v>
      </c>
      <c r="M11451" s="18" t="s">
        <v>29</v>
      </c>
      <c r="N11451" s="18" t="s">
        <v>52917</v>
      </c>
      <c r="O11451" s="18" t="s">
        <v>29</v>
      </c>
      <c r="P11451" s="6"/>
      <c r="Q11451" s="6"/>
      <c r="R11451" s="6"/>
      <c r="S11451" s="6"/>
      <c r="T11451" s="6"/>
      <c r="U11451" s="6"/>
    </row>
    <row r="11452" ht="14.25">
      <c r="B11452" s="18" t="s">
        <v>206</v>
      </c>
      <c r="C11452" s="18" t="s">
        <v>52918</v>
      </c>
      <c r="D11452" s="18" t="s">
        <v>112</v>
      </c>
      <c r="E11452" s="18" t="s">
        <v>52919</v>
      </c>
      <c r="F11452" s="18" t="str">
        <f>IFERROR(__XLUDF.DUMMYFUNCTION("PROPER(REGEXREPLACE(D1364,""[^A-Za-z]+ "",""""))"),"Diebolt Tp")</f>
        <v xml:space="preserve">Diebolt Tp</v>
      </c>
      <c r="G11452" s="18" t="s">
        <v>52920</v>
      </c>
      <c r="H11452" s="18">
        <v>11</v>
      </c>
      <c r="I11452" s="18" t="s">
        <v>9239</v>
      </c>
      <c r="J11452" s="5" t="s">
        <v>52921</v>
      </c>
      <c r="K11452" s="5" t="s">
        <v>52922</v>
      </c>
      <c r="L11452" s="18" t="s">
        <v>651</v>
      </c>
      <c r="M11452" s="18" t="s">
        <v>29</v>
      </c>
      <c r="N11452" s="18" t="s">
        <v>52923</v>
      </c>
      <c r="O11452" s="18" t="s">
        <v>29</v>
      </c>
      <c r="P11452" s="6"/>
      <c r="Q11452" s="6"/>
      <c r="R11452" s="6"/>
      <c r="S11452" s="6"/>
      <c r="T11452" s="6"/>
      <c r="U11452" s="6"/>
    </row>
    <row r="11453" ht="14.25">
      <c r="B11453" s="18" t="s">
        <v>52924</v>
      </c>
      <c r="C11453" s="18" t="s">
        <v>52925</v>
      </c>
      <c r="D11453" s="18" t="s">
        <v>44</v>
      </c>
      <c r="E11453" s="18" t="s">
        <v>52926</v>
      </c>
      <c r="F11453" s="18" t="str">
        <f>IFERROR(__XLUDF.DUMMYFUNCTION("PROPER(REGEXREPLACE(D1365,""[^A-Za-z]+ "",""""))"),"A.V.E Deco")</f>
        <v xml:space="preserve">A.V.E Deco</v>
      </c>
      <c r="G11453" s="18" t="s">
        <v>52927</v>
      </c>
      <c r="H11453" s="18">
        <v>6</v>
      </c>
      <c r="I11453" s="18" t="s">
        <v>9239</v>
      </c>
      <c r="J11453" s="5" t="s">
        <v>52928</v>
      </c>
      <c r="K11453" s="5" t="s">
        <v>52929</v>
      </c>
      <c r="L11453" s="18" t="s">
        <v>39</v>
      </c>
      <c r="M11453" s="18" t="s">
        <v>29</v>
      </c>
      <c r="N11453" s="18" t="s">
        <v>52930</v>
      </c>
      <c r="O11453" s="18" t="s">
        <v>29</v>
      </c>
      <c r="P11453" s="6"/>
      <c r="Q11453" s="6"/>
      <c r="R11453" s="6"/>
      <c r="S11453" s="6"/>
      <c r="T11453" s="6"/>
      <c r="U11453" s="6"/>
    </row>
    <row r="11454" ht="14.25">
      <c r="B11454" s="18" t="s">
        <v>322</v>
      </c>
      <c r="C11454" s="18" t="s">
        <v>52931</v>
      </c>
      <c r="D11454" s="18" t="s">
        <v>112</v>
      </c>
      <c r="E11454" s="18" t="s">
        <v>52932</v>
      </c>
      <c r="F11454" s="18" t="str">
        <f>IFERROR(__XLUDF.DUMMYFUNCTION("PROPER(REGEXREPLACE(D1366,""[^A-Za-z]+ "",""""))"),"Ideal Batiment")</f>
        <v xml:space="preserve">Ideal Batiment</v>
      </c>
      <c r="G11454" s="18" t="s">
        <v>52933</v>
      </c>
      <c r="H11454" s="18">
        <v>21</v>
      </c>
      <c r="I11454" s="18" t="s">
        <v>9239</v>
      </c>
      <c r="J11454" s="5" t="s">
        <v>52934</v>
      </c>
      <c r="K11454" s="5" t="s">
        <v>52935</v>
      </c>
      <c r="L11454" s="18" t="s">
        <v>83</v>
      </c>
      <c r="M11454" s="18" t="s">
        <v>29</v>
      </c>
      <c r="N11454" s="18" t="s">
        <v>52936</v>
      </c>
      <c r="O11454" s="18" t="s">
        <v>29</v>
      </c>
      <c r="P11454" s="18" t="s">
        <v>52937</v>
      </c>
      <c r="Q11454" s="6"/>
      <c r="R11454" s="6"/>
      <c r="S11454" s="6"/>
      <c r="T11454" s="6"/>
      <c r="U11454" s="6"/>
    </row>
    <row r="11455" ht="14.25">
      <c r="B11455" s="18" t="s">
        <v>20</v>
      </c>
      <c r="C11455" s="18" t="s">
        <v>2974</v>
      </c>
      <c r="D11455" s="18" t="s">
        <v>112</v>
      </c>
      <c r="E11455" s="18" t="s">
        <v>52938</v>
      </c>
      <c r="F11455" s="18" t="str">
        <f>IFERROR(__XLUDF.DUMMYFUNCTION("PROPER(REGEXREPLACE(D1367,""[^A-Za-z]+ "",""""))"),"Unelo Éco-Voiries")</f>
        <v xml:space="preserve">Unelo Éco-Voiries</v>
      </c>
      <c r="G11455" s="18" t="s">
        <v>52939</v>
      </c>
      <c r="H11455" s="18">
        <v>14</v>
      </c>
      <c r="I11455" s="18" t="s">
        <v>9239</v>
      </c>
      <c r="J11455" s="5" t="s">
        <v>52940</v>
      </c>
      <c r="K11455" s="5" t="s">
        <v>52941</v>
      </c>
      <c r="L11455" s="6"/>
      <c r="M11455" s="18" t="s">
        <v>29</v>
      </c>
      <c r="N11455" s="18" t="s">
        <v>52942</v>
      </c>
      <c r="O11455" s="18" t="s">
        <v>29</v>
      </c>
      <c r="P11455" s="18" t="s">
        <v>52943</v>
      </c>
      <c r="Q11455" s="6"/>
      <c r="R11455" s="6"/>
      <c r="S11455" s="6"/>
      <c r="T11455" s="6"/>
      <c r="U11455" s="6"/>
    </row>
    <row r="11456" ht="14.25">
      <c r="B11456" s="18" t="s">
        <v>4012</v>
      </c>
      <c r="C11456" s="18" t="s">
        <v>52944</v>
      </c>
      <c r="D11456" s="18" t="s">
        <v>1130</v>
      </c>
      <c r="E11456" s="18" t="s">
        <v>49741</v>
      </c>
      <c r="F11456" s="18" t="str">
        <f>IFERROR(__XLUDF.DUMMYFUNCTION("PROPER(REGEXREPLACE(D1368,""[^A-Za-z]+ "",""""))"),"Cpl Bois")</f>
        <v xml:space="preserve">Cpl Bois</v>
      </c>
      <c r="G11456" s="18" t="s">
        <v>52945</v>
      </c>
      <c r="H11456" s="18">
        <v>23</v>
      </c>
      <c r="I11456" s="18" t="s">
        <v>9239</v>
      </c>
      <c r="J11456" s="5" t="s">
        <v>52946</v>
      </c>
      <c r="K11456" s="5" t="s">
        <v>52947</v>
      </c>
      <c r="L11456" s="18" t="s">
        <v>6954</v>
      </c>
      <c r="M11456" s="18" t="s">
        <v>29</v>
      </c>
      <c r="N11456" s="18" t="s">
        <v>49746</v>
      </c>
      <c r="O11456" s="18" t="s">
        <v>29</v>
      </c>
      <c r="P11456" s="18" t="s">
        <v>52948</v>
      </c>
      <c r="Q11456" s="6"/>
      <c r="R11456" s="6"/>
      <c r="S11456" s="6"/>
      <c r="T11456" s="6"/>
      <c r="U11456" s="6"/>
    </row>
    <row r="11457" ht="14.25">
      <c r="B11457" s="18" t="s">
        <v>2436</v>
      </c>
      <c r="C11457" s="18" t="s">
        <v>52949</v>
      </c>
      <c r="D11457" s="18" t="s">
        <v>112</v>
      </c>
      <c r="E11457" s="18" t="s">
        <v>52950</v>
      </c>
      <c r="F11457" s="18" t="str">
        <f>IFERROR(__XLUDF.DUMMYFUNCTION("PROPER(REGEXREPLACE(D1369,""[^A-Za-z]+ "",""""))"),"Bouffard Aménagement")</f>
        <v xml:space="preserve">Bouffard Aménagement</v>
      </c>
      <c r="G11457" s="18" t="s">
        <v>52951</v>
      </c>
      <c r="H11457" s="18">
        <v>1</v>
      </c>
      <c r="I11457" s="18" t="s">
        <v>9239</v>
      </c>
      <c r="J11457" s="5" t="s">
        <v>52952</v>
      </c>
      <c r="K11457" s="5" t="s">
        <v>52953</v>
      </c>
      <c r="L11457" s="18" t="s">
        <v>1015</v>
      </c>
      <c r="M11457" s="18" t="s">
        <v>29</v>
      </c>
      <c r="N11457" s="18" t="s">
        <v>3036</v>
      </c>
      <c r="O11457" s="18" t="s">
        <v>29</v>
      </c>
      <c r="P11457" s="6"/>
      <c r="Q11457" s="6"/>
      <c r="R11457" s="6"/>
      <c r="S11457" s="6"/>
      <c r="T11457" s="6"/>
      <c r="U11457" s="6"/>
    </row>
    <row r="11458" ht="14.25">
      <c r="B11458" s="18" t="s">
        <v>170</v>
      </c>
      <c r="C11458" s="18" t="s">
        <v>26689</v>
      </c>
      <c r="D11458" s="18" t="s">
        <v>172</v>
      </c>
      <c r="E11458" s="18" t="s">
        <v>52954</v>
      </c>
      <c r="F11458" s="18" t="str">
        <f>IFERROR(__XLUDF.DUMMYFUNCTION("PROPER(REGEXREPLACE(D1370,""[^A-Za-z]+ "",""""))"),"Sn Babin")</f>
        <v xml:space="preserve">Sn Babin</v>
      </c>
      <c r="G11458" s="18" t="s">
        <v>52955</v>
      </c>
      <c r="H11458" s="18">
        <v>3</v>
      </c>
      <c r="I11458" s="18" t="s">
        <v>9239</v>
      </c>
      <c r="J11458" s="5" t="s">
        <v>52956</v>
      </c>
      <c r="K11458" s="5" t="s">
        <v>52957</v>
      </c>
      <c r="L11458" s="18" t="s">
        <v>47401</v>
      </c>
      <c r="M11458" s="18" t="s">
        <v>29</v>
      </c>
      <c r="N11458" s="18" t="s">
        <v>52958</v>
      </c>
      <c r="O11458" s="18" t="s">
        <v>29</v>
      </c>
      <c r="P11458" s="18" t="s">
        <v>52959</v>
      </c>
      <c r="Q11458" s="6"/>
      <c r="R11458" s="6"/>
      <c r="S11458" s="6"/>
      <c r="T11458" s="6"/>
      <c r="U11458" s="6"/>
    </row>
    <row r="11459" ht="14.25">
      <c r="B11459" s="18" t="s">
        <v>18475</v>
      </c>
      <c r="C11459" s="18" t="s">
        <v>2410</v>
      </c>
      <c r="D11459" s="18" t="s">
        <v>120</v>
      </c>
      <c r="E11459" s="18" t="s">
        <v>50095</v>
      </c>
      <c r="F11459" s="18" t="str">
        <f>IFERROR(__XLUDF.DUMMYFUNCTION("PROPER(REGEXREPLACE(D1371,""[^A-Za-z]+ "",""""))"),"Ad Validem")</f>
        <v xml:space="preserve">Ad Validem</v>
      </c>
      <c r="G11459" s="18" t="s">
        <v>52960</v>
      </c>
      <c r="H11459" s="18">
        <v>18</v>
      </c>
      <c r="I11459" s="18" t="s">
        <v>9239</v>
      </c>
      <c r="J11459" s="5" t="s">
        <v>52961</v>
      </c>
      <c r="K11459" s="5" t="s">
        <v>50098</v>
      </c>
      <c r="L11459" s="18" t="s">
        <v>83</v>
      </c>
      <c r="M11459" s="18" t="s">
        <v>29</v>
      </c>
      <c r="N11459" s="18" t="s">
        <v>50099</v>
      </c>
      <c r="O11459" s="18" t="s">
        <v>29</v>
      </c>
      <c r="P11459" s="18" t="s">
        <v>50100</v>
      </c>
      <c r="Q11459" s="6"/>
      <c r="R11459" s="6"/>
      <c r="S11459" s="6"/>
      <c r="T11459" s="6"/>
      <c r="U11459" s="6"/>
    </row>
    <row r="11460" ht="14.25">
      <c r="B11460" s="18" t="s">
        <v>1583</v>
      </c>
      <c r="C11460" s="18" t="s">
        <v>52962</v>
      </c>
      <c r="D11460" s="18" t="s">
        <v>14574</v>
      </c>
      <c r="E11460" s="18" t="s">
        <v>52963</v>
      </c>
      <c r="F11460" s="18" t="str">
        <f>IFERROR(__XLUDF.DUMMYFUNCTION("PROPER(REGEXREPLACE(D1372,""[^A-Za-z]+ "",""""))"),"Albedo Ingénierie Environnementale")</f>
        <v xml:space="preserve">Albedo Ingénierie Environnementale</v>
      </c>
      <c r="G11460" s="18" t="s">
        <v>52964</v>
      </c>
      <c r="H11460" s="18">
        <v>12</v>
      </c>
      <c r="I11460" s="18" t="s">
        <v>9239</v>
      </c>
      <c r="J11460" s="5" t="s">
        <v>52965</v>
      </c>
      <c r="K11460" s="5" t="s">
        <v>52966</v>
      </c>
      <c r="L11460" s="18" t="s">
        <v>492</v>
      </c>
      <c r="M11460" s="18" t="s">
        <v>29</v>
      </c>
      <c r="N11460" s="18" t="s">
        <v>2986</v>
      </c>
      <c r="O11460" s="18" t="s">
        <v>29</v>
      </c>
      <c r="P11460" s="6"/>
      <c r="Q11460" s="6"/>
      <c r="R11460" s="6"/>
      <c r="S11460" s="6"/>
      <c r="T11460" s="6"/>
      <c r="U11460" s="6"/>
    </row>
    <row r="11461" ht="14.25">
      <c r="B11461" s="18" t="s">
        <v>525</v>
      </c>
      <c r="C11461" s="18" t="s">
        <v>47017</v>
      </c>
      <c r="D11461" s="18" t="s">
        <v>112</v>
      </c>
      <c r="E11461" s="18" t="s">
        <v>47018</v>
      </c>
      <c r="F11461" s="18" t="str">
        <f>IFERROR(__XLUDF.DUMMYFUNCTION("PROPER(REGEXREPLACE(D1373,""[^A-Za-z]+ "",""""))"),"Groupe Stoops")</f>
        <v xml:space="preserve">Groupe Stoops</v>
      </c>
      <c r="G11461" s="18" t="s">
        <v>52967</v>
      </c>
      <c r="H11461" s="18">
        <v>19</v>
      </c>
      <c r="I11461" s="18" t="s">
        <v>9239</v>
      </c>
      <c r="J11461" s="5" t="s">
        <v>52968</v>
      </c>
      <c r="K11461" s="5" t="s">
        <v>47021</v>
      </c>
      <c r="L11461" s="18" t="s">
        <v>47022</v>
      </c>
      <c r="M11461" s="18" t="s">
        <v>29</v>
      </c>
      <c r="N11461" s="18" t="s">
        <v>47023</v>
      </c>
      <c r="O11461" s="18" t="s">
        <v>29</v>
      </c>
      <c r="P11461" s="18" t="s">
        <v>47024</v>
      </c>
      <c r="Q11461" s="6"/>
      <c r="R11461" s="6"/>
      <c r="S11461" s="6"/>
      <c r="T11461" s="6"/>
      <c r="U11461" s="6"/>
    </row>
    <row r="11462" ht="14.25">
      <c r="B11462" s="18" t="s">
        <v>3164</v>
      </c>
      <c r="C11462" s="18" t="s">
        <v>52969</v>
      </c>
      <c r="D11462" s="18" t="s">
        <v>52970</v>
      </c>
      <c r="E11462" s="18" t="s">
        <v>52971</v>
      </c>
      <c r="F11462" s="18" t="str">
        <f>IFERROR(__XLUDF.DUMMYFUNCTION("PROPER(REGEXREPLACE(D1374,""[^A-Za-z]+ "",""""))"),"Groupe Apb")</f>
        <v xml:space="preserve">Groupe Apb</v>
      </c>
      <c r="G11462" s="18" t="s">
        <v>52972</v>
      </c>
      <c r="H11462" s="18">
        <v>21</v>
      </c>
      <c r="I11462" s="18" t="s">
        <v>9239</v>
      </c>
      <c r="J11462" s="5" t="s">
        <v>52973</v>
      </c>
      <c r="K11462" s="5" t="s">
        <v>52974</v>
      </c>
      <c r="L11462" s="18" t="s">
        <v>4296</v>
      </c>
      <c r="M11462" s="18" t="s">
        <v>29</v>
      </c>
      <c r="N11462" s="18" t="s">
        <v>52975</v>
      </c>
      <c r="O11462" s="18" t="s">
        <v>29</v>
      </c>
      <c r="P11462" s="18" t="s">
        <v>52976</v>
      </c>
      <c r="Q11462" s="6"/>
      <c r="R11462" s="6"/>
      <c r="S11462" s="6"/>
      <c r="T11462" s="6"/>
      <c r="U11462" s="6"/>
    </row>
    <row r="11463" ht="14.25">
      <c r="B11463" s="18" t="s">
        <v>322</v>
      </c>
      <c r="C11463" s="18" t="s">
        <v>52977</v>
      </c>
      <c r="D11463" s="18" t="s">
        <v>468</v>
      </c>
      <c r="E11463" s="18" t="s">
        <v>52978</v>
      </c>
      <c r="F11463" s="18" t="str">
        <f>IFERROR(__XLUDF.DUMMYFUNCTION("PROPER(REGEXREPLACE(D1375,""[^A-Za-z]+ "",""""))"),"Abso Energies")</f>
        <v xml:space="preserve">Abso Energies</v>
      </c>
      <c r="G11463" s="18" t="s">
        <v>52979</v>
      </c>
      <c r="H11463" s="18">
        <v>3</v>
      </c>
      <c r="I11463" s="18" t="s">
        <v>9239</v>
      </c>
      <c r="J11463" s="5" t="s">
        <v>52980</v>
      </c>
      <c r="K11463" s="5" t="s">
        <v>52981</v>
      </c>
      <c r="L11463" s="18" t="s">
        <v>243</v>
      </c>
      <c r="M11463" s="18" t="s">
        <v>29</v>
      </c>
      <c r="N11463" s="18" t="s">
        <v>52982</v>
      </c>
      <c r="O11463" s="18" t="s">
        <v>29</v>
      </c>
      <c r="P11463" s="6"/>
      <c r="Q11463" s="6"/>
      <c r="R11463" s="6"/>
      <c r="S11463" s="6"/>
      <c r="T11463" s="6"/>
      <c r="U11463" s="6"/>
    </row>
    <row r="11464" ht="14.25">
      <c r="B11464" s="18" t="s">
        <v>866</v>
      </c>
      <c r="C11464" s="18" t="s">
        <v>52983</v>
      </c>
      <c r="D11464" s="18" t="s">
        <v>172</v>
      </c>
      <c r="E11464" s="18" t="s">
        <v>52984</v>
      </c>
      <c r="F11464" s="18" t="str">
        <f>IFERROR(__XLUDF.DUMMYFUNCTION("PROPER(REGEXREPLACE(D1376,""[^A-Za-z]+ "",""""))"),"Ctp")</f>
        <v>Ctp</v>
      </c>
      <c r="G11464" s="18" t="s">
        <v>52985</v>
      </c>
      <c r="H11464" s="18">
        <v>30</v>
      </c>
      <c r="I11464" s="18" t="s">
        <v>9239</v>
      </c>
      <c r="J11464" s="5" t="s">
        <v>52986</v>
      </c>
      <c r="K11464" s="5" t="s">
        <v>52987</v>
      </c>
      <c r="L11464" s="6"/>
      <c r="M11464" s="18" t="s">
        <v>29</v>
      </c>
      <c r="N11464" s="18" t="s">
        <v>52988</v>
      </c>
      <c r="O11464" s="18" t="s">
        <v>29</v>
      </c>
      <c r="P11464" s="6"/>
      <c r="Q11464" s="6"/>
      <c r="R11464" s="6"/>
      <c r="S11464" s="6"/>
      <c r="T11464" s="6"/>
      <c r="U11464" s="6"/>
    </row>
    <row r="11465" ht="14.25">
      <c r="B11465" s="18" t="s">
        <v>1198</v>
      </c>
      <c r="C11465" s="18" t="s">
        <v>52989</v>
      </c>
      <c r="D11465" s="18" t="s">
        <v>52990</v>
      </c>
      <c r="E11465" s="18" t="s">
        <v>52991</v>
      </c>
      <c r="F11465" s="18" t="str">
        <f>IFERROR(__XLUDF.DUMMYFUNCTION("PROPER(REGEXREPLACE(D1377,""[^A-Za-z]+ "",""""))"),"Monsieur Store Nimes Et Avignon")</f>
        <v xml:space="preserve">Monsieur Store Nimes Et Avignon</v>
      </c>
      <c r="G11465" s="18" t="s">
        <v>52992</v>
      </c>
      <c r="H11465" s="18">
        <v>4</v>
      </c>
      <c r="I11465" s="18" t="s">
        <v>9239</v>
      </c>
      <c r="J11465" s="5" t="s">
        <v>52993</v>
      </c>
      <c r="K11465" s="5" t="s">
        <v>52994</v>
      </c>
      <c r="L11465" s="18" t="s">
        <v>1745</v>
      </c>
      <c r="M11465" s="18" t="s">
        <v>29</v>
      </c>
      <c r="N11465" s="18" t="s">
        <v>52995</v>
      </c>
      <c r="O11465" s="18" t="s">
        <v>29</v>
      </c>
      <c r="P11465" s="18" t="s">
        <v>52996</v>
      </c>
      <c r="Q11465" s="6"/>
      <c r="R11465" s="6"/>
      <c r="S11465" s="6"/>
      <c r="T11465" s="6"/>
      <c r="U11465" s="6"/>
    </row>
    <row r="11466" ht="14.25">
      <c r="B11466" s="18" t="s">
        <v>1215</v>
      </c>
      <c r="C11466" s="18" t="s">
        <v>10461</v>
      </c>
      <c r="D11466" s="18" t="s">
        <v>7759</v>
      </c>
      <c r="E11466" s="18" t="s">
        <v>52997</v>
      </c>
      <c r="F11466" s="18" t="str">
        <f>IFERROR(__XLUDF.DUMMYFUNCTION("PROPER(REGEXREPLACE(D1378,""[^A-Za-z]+ "",""""))"),"Brunet Sas")</f>
        <v xml:space="preserve">Brunet Sas</v>
      </c>
      <c r="G11466" s="18" t="s">
        <v>52998</v>
      </c>
      <c r="H11466" s="18">
        <v>12</v>
      </c>
      <c r="I11466" s="18" t="s">
        <v>9239</v>
      </c>
      <c r="J11466" s="5" t="s">
        <v>52999</v>
      </c>
      <c r="K11466" s="5" t="s">
        <v>53000</v>
      </c>
      <c r="L11466" s="18" t="s">
        <v>243</v>
      </c>
      <c r="M11466" s="18" t="s">
        <v>29</v>
      </c>
      <c r="N11466" s="18" t="s">
        <v>53001</v>
      </c>
      <c r="O11466" s="18" t="s">
        <v>29</v>
      </c>
      <c r="P11466" s="18" t="s">
        <v>5069</v>
      </c>
      <c r="Q11466" s="6"/>
      <c r="R11466" s="6"/>
      <c r="S11466" s="6"/>
      <c r="T11466" s="6"/>
      <c r="U11466" s="6"/>
    </row>
    <row r="11467" ht="14.25">
      <c r="B11467" s="18" t="s">
        <v>9967</v>
      </c>
      <c r="C11467" s="18" t="s">
        <v>29074</v>
      </c>
      <c r="D11467" s="18" t="s">
        <v>53002</v>
      </c>
      <c r="E11467" s="18" t="s">
        <v>53003</v>
      </c>
      <c r="F11467" s="18" t="str">
        <f>IFERROR(__XLUDF.DUMMYFUNCTION("PROPER(REGEXREPLACE(D1379,""[^A-Za-z]+ "",""""))"),"Legagneurassocies")</f>
        <v>Legagneurassocies</v>
      </c>
      <c r="G11467" s="18" t="s">
        <v>53004</v>
      </c>
      <c r="H11467" s="18">
        <v>6</v>
      </c>
      <c r="I11467" s="18" t="s">
        <v>9239</v>
      </c>
      <c r="J11467" s="5" t="s">
        <v>53005</v>
      </c>
      <c r="K11467" s="5" t="s">
        <v>53006</v>
      </c>
      <c r="L11467" s="6"/>
      <c r="M11467" s="18" t="s">
        <v>29</v>
      </c>
      <c r="N11467" s="18" t="s">
        <v>53007</v>
      </c>
      <c r="O11467" s="18" t="s">
        <v>29</v>
      </c>
      <c r="P11467" s="18" t="s">
        <v>53008</v>
      </c>
      <c r="Q11467" s="6"/>
      <c r="R11467" s="6"/>
      <c r="S11467" s="6"/>
      <c r="T11467" s="6"/>
      <c r="U11467" s="6"/>
    </row>
    <row r="11468" ht="14.25">
      <c r="B11468" s="18" t="s">
        <v>7877</v>
      </c>
      <c r="C11468" s="18" t="s">
        <v>53009</v>
      </c>
      <c r="D11468" s="18" t="s">
        <v>53010</v>
      </c>
      <c r="E11468" s="18" t="s">
        <v>53011</v>
      </c>
      <c r="F11468" s="18" t="str">
        <f>IFERROR(__XLUDF.DUMMYFUNCTION("PROPER(REGEXREPLACE(D1380,""[^A-Za-z]+ "",""""))"),"Hb Engineering")</f>
        <v xml:space="preserve">Hb Engineering</v>
      </c>
      <c r="G11468" s="18" t="s">
        <v>53012</v>
      </c>
      <c r="H11468" s="18">
        <v>28</v>
      </c>
      <c r="I11468" s="18" t="s">
        <v>10167</v>
      </c>
      <c r="J11468" s="5" t="s">
        <v>53013</v>
      </c>
      <c r="K11468" s="5" t="s">
        <v>53014</v>
      </c>
      <c r="L11468" s="18" t="s">
        <v>53015</v>
      </c>
      <c r="M11468" s="18" t="s">
        <v>29</v>
      </c>
      <c r="N11468" s="18" t="s">
        <v>53016</v>
      </c>
      <c r="O11468" s="18" t="s">
        <v>29</v>
      </c>
      <c r="P11468" s="6"/>
      <c r="Q11468" s="6"/>
      <c r="R11468" s="6"/>
      <c r="S11468" s="6"/>
      <c r="T11468" s="6"/>
      <c r="U11468" s="6"/>
    </row>
    <row r="11469" ht="14.25">
      <c r="B11469" s="18" t="s">
        <v>53017</v>
      </c>
      <c r="C11469" s="18" t="s">
        <v>53018</v>
      </c>
      <c r="D11469" s="18" t="s">
        <v>112</v>
      </c>
      <c r="E11469" s="18" t="s">
        <v>52721</v>
      </c>
      <c r="F11469" s="18" t="str">
        <f>IFERROR(__XLUDF.DUMMYFUNCTION("PROPER(REGEXREPLACE(D1381,""[^A-Za-z]+ "",""""))"),"Soredal")</f>
        <v>Soredal</v>
      </c>
      <c r="G11469" s="18" t="s">
        <v>53019</v>
      </c>
      <c r="H11469" s="18">
        <v>20</v>
      </c>
      <c r="I11469" s="18" t="s">
        <v>9239</v>
      </c>
      <c r="J11469" s="5" t="s">
        <v>53020</v>
      </c>
      <c r="K11469" s="5" t="s">
        <v>52724</v>
      </c>
      <c r="L11469" s="18" t="s">
        <v>53021</v>
      </c>
      <c r="M11469" s="18" t="s">
        <v>29</v>
      </c>
      <c r="N11469" s="18" t="s">
        <v>52725</v>
      </c>
      <c r="O11469" s="18" t="s">
        <v>29</v>
      </c>
      <c r="P11469" s="6"/>
      <c r="Q11469" s="6"/>
      <c r="R11469" s="6"/>
      <c r="S11469" s="6"/>
      <c r="T11469" s="6"/>
      <c r="U11469" s="6"/>
    </row>
    <row r="11470" ht="14.25">
      <c r="B11470" s="18" t="s">
        <v>15990</v>
      </c>
      <c r="C11470" s="18" t="s">
        <v>8303</v>
      </c>
      <c r="D11470" s="18" t="s">
        <v>1130</v>
      </c>
      <c r="E11470" s="18" t="s">
        <v>53022</v>
      </c>
      <c r="F11470" s="18" t="str">
        <f>IFERROR(__XLUDF.DUMMYFUNCTION("PROPER(REGEXREPLACE(D1382,""[^A-Za-z]+ "",""""))"),"Roy Travaux")</f>
        <v xml:space="preserve">Roy Travaux</v>
      </c>
      <c r="G11470" s="18" t="s">
        <v>53023</v>
      </c>
      <c r="H11470" s="18">
        <v>37</v>
      </c>
      <c r="I11470" s="18" t="s">
        <v>9239</v>
      </c>
      <c r="J11470" s="5" t="s">
        <v>53024</v>
      </c>
      <c r="K11470" s="5" t="s">
        <v>53025</v>
      </c>
      <c r="L11470" s="18" t="s">
        <v>243</v>
      </c>
      <c r="M11470" s="18" t="s">
        <v>29</v>
      </c>
      <c r="N11470" s="18" t="s">
        <v>53026</v>
      </c>
      <c r="O11470" s="18" t="s">
        <v>29</v>
      </c>
      <c r="P11470" s="18" t="s">
        <v>53027</v>
      </c>
      <c r="Q11470" s="6"/>
      <c r="R11470" s="6"/>
      <c r="S11470" s="6"/>
      <c r="T11470" s="6"/>
      <c r="U11470" s="6"/>
    </row>
    <row r="11471" ht="14.25">
      <c r="B11471" s="18" t="s">
        <v>22184</v>
      </c>
      <c r="C11471" s="18" t="s">
        <v>18292</v>
      </c>
      <c r="D11471" s="18" t="s">
        <v>112</v>
      </c>
      <c r="E11471" s="18" t="s">
        <v>53028</v>
      </c>
      <c r="F11471" s="18" t="str">
        <f>IFERROR(__XLUDF.DUMMYFUNCTION("PROPER(REGEXREPLACE(D1383,""[^A-Za-z]+ "",""""))"),"Menuiserie Legendrelureau")</f>
        <v xml:space="preserve">Menuiserie Legendrelureau</v>
      </c>
      <c r="G11471" s="18" t="s">
        <v>53029</v>
      </c>
      <c r="H11471" s="18">
        <v>20</v>
      </c>
      <c r="I11471" s="18" t="s">
        <v>9239</v>
      </c>
      <c r="J11471" s="5" t="s">
        <v>53030</v>
      </c>
      <c r="K11471" s="5" t="s">
        <v>53031</v>
      </c>
      <c r="L11471" s="18" t="s">
        <v>243</v>
      </c>
      <c r="M11471" s="18" t="s">
        <v>29</v>
      </c>
      <c r="N11471" s="18" t="s">
        <v>53032</v>
      </c>
      <c r="O11471" s="18" t="s">
        <v>29</v>
      </c>
      <c r="P11471" s="18" t="s">
        <v>53033</v>
      </c>
      <c r="Q11471" s="6"/>
      <c r="R11471" s="6"/>
      <c r="S11471" s="6"/>
      <c r="T11471" s="6"/>
      <c r="U11471" s="6"/>
    </row>
    <row r="11472" ht="14.25">
      <c r="B11472" s="18" t="s">
        <v>1215</v>
      </c>
      <c r="C11472" s="18" t="s">
        <v>53034</v>
      </c>
      <c r="D11472" s="18" t="s">
        <v>112</v>
      </c>
      <c r="E11472" s="18" t="s">
        <v>53035</v>
      </c>
      <c r="F11472" s="18" t="str">
        <f>IFERROR(__XLUDF.DUMMYFUNCTION("PROPER(REGEXREPLACE(D1384,""[^A-Za-z]+ "",""""))"),"Baniti")</f>
        <v>Baniti</v>
      </c>
      <c r="G11472" s="18" t="s">
        <v>53036</v>
      </c>
      <c r="H11472" s="18">
        <v>13</v>
      </c>
      <c r="I11472" s="18" t="s">
        <v>9239</v>
      </c>
      <c r="J11472" s="5" t="s">
        <v>53037</v>
      </c>
      <c r="K11472" s="5" t="s">
        <v>53038</v>
      </c>
      <c r="L11472" s="6"/>
      <c r="M11472" s="18" t="s">
        <v>29</v>
      </c>
      <c r="N11472" s="18" t="s">
        <v>53039</v>
      </c>
      <c r="O11472" s="18" t="s">
        <v>29</v>
      </c>
      <c r="P11472" s="6"/>
      <c r="Q11472" s="6"/>
      <c r="R11472" s="6"/>
      <c r="S11472" s="6"/>
      <c r="T11472" s="6"/>
      <c r="U11472" s="6"/>
    </row>
    <row r="11473" ht="14.25">
      <c r="B11473" s="18" t="s">
        <v>769</v>
      </c>
      <c r="C11473" s="18" t="s">
        <v>17621</v>
      </c>
      <c r="D11473" s="18" t="s">
        <v>1130</v>
      </c>
      <c r="E11473" s="18" t="s">
        <v>53040</v>
      </c>
      <c r="F11473" s="18" t="str">
        <f>IFERROR(__XLUDF.DUMMYFUNCTION("PROPER(REGEXREPLACE(D1385,""[^A-Za-z]+ "",""""))"),"Nicolardot")</f>
        <v>Nicolardot</v>
      </c>
      <c r="G11473" s="18" t="s">
        <v>53041</v>
      </c>
      <c r="H11473" s="6"/>
      <c r="I11473" s="6"/>
      <c r="J11473" s="5" t="s">
        <v>53042</v>
      </c>
      <c r="K11473" s="5" t="s">
        <v>53043</v>
      </c>
      <c r="L11473" s="18" t="s">
        <v>149</v>
      </c>
      <c r="M11473" s="18" t="s">
        <v>29</v>
      </c>
      <c r="N11473" s="18" t="s">
        <v>53044</v>
      </c>
      <c r="O11473" s="18" t="s">
        <v>29</v>
      </c>
      <c r="P11473" s="6"/>
      <c r="Q11473" s="6"/>
      <c r="R11473" s="6"/>
      <c r="S11473" s="6"/>
      <c r="T11473" s="6"/>
      <c r="U11473" s="6"/>
    </row>
    <row r="11474" ht="14.25">
      <c r="B11474" s="18" t="s">
        <v>769</v>
      </c>
      <c r="C11474" s="18" t="s">
        <v>10724</v>
      </c>
      <c r="D11474" s="18" t="s">
        <v>112</v>
      </c>
      <c r="E11474" s="18" t="s">
        <v>10726</v>
      </c>
      <c r="F11474" s="18" t="str">
        <f>IFERROR(__XLUDF.DUMMYFUNCTION("PROPER(REGEXREPLACE(D1386,""[^A-Za-z]+ "",""""))"),"Harribey Constructions")</f>
        <v xml:space="preserve">Harribey Constructions</v>
      </c>
      <c r="G11474" s="18" t="s">
        <v>53045</v>
      </c>
      <c r="H11474" s="18">
        <v>24</v>
      </c>
      <c r="I11474" s="18" t="s">
        <v>9239</v>
      </c>
      <c r="J11474" s="5" t="s">
        <v>53046</v>
      </c>
      <c r="K11474" s="5" t="s">
        <v>53047</v>
      </c>
      <c r="L11474" s="18" t="s">
        <v>243</v>
      </c>
      <c r="M11474" s="18" t="s">
        <v>29</v>
      </c>
      <c r="N11474" s="18" t="s">
        <v>53048</v>
      </c>
      <c r="O11474" s="18" t="s">
        <v>29</v>
      </c>
      <c r="P11474" s="6"/>
      <c r="Q11474" s="6"/>
      <c r="R11474" s="6"/>
      <c r="S11474" s="6"/>
      <c r="T11474" s="6"/>
      <c r="U11474" s="6"/>
    </row>
    <row r="11475" ht="14.25">
      <c r="B11475" s="18" t="s">
        <v>222</v>
      </c>
      <c r="C11475" s="18" t="s">
        <v>53049</v>
      </c>
      <c r="D11475" s="18" t="s">
        <v>112</v>
      </c>
      <c r="E11475" s="18" t="s">
        <v>53050</v>
      </c>
      <c r="F11475" s="18" t="str">
        <f>IFERROR(__XLUDF.DUMMYFUNCTION("PROPER(REGEXREPLACE(D1387,""[^A-Za-z]+ "",""""))"),"Pasteur Tp")</f>
        <v xml:space="preserve">Pasteur Tp</v>
      </c>
      <c r="G11475" s="18" t="s">
        <v>53051</v>
      </c>
      <c r="H11475" s="18">
        <v>16</v>
      </c>
      <c r="I11475" s="18" t="s">
        <v>9239</v>
      </c>
      <c r="J11475" s="5" t="s">
        <v>53052</v>
      </c>
      <c r="K11475" s="5" t="s">
        <v>53053</v>
      </c>
      <c r="L11475" s="18" t="s">
        <v>5565</v>
      </c>
      <c r="M11475" s="18" t="s">
        <v>29</v>
      </c>
      <c r="N11475" s="18" t="s">
        <v>53054</v>
      </c>
      <c r="O11475" s="18" t="s">
        <v>29</v>
      </c>
      <c r="P11475" s="18" t="s">
        <v>53055</v>
      </c>
      <c r="Q11475" s="6"/>
      <c r="R11475" s="6"/>
      <c r="S11475" s="6"/>
      <c r="T11475" s="6"/>
      <c r="U11475" s="6"/>
    </row>
    <row r="11476" ht="14.25">
      <c r="B11476" s="18" t="s">
        <v>53056</v>
      </c>
      <c r="C11476" s="18" t="s">
        <v>53057</v>
      </c>
      <c r="D11476" s="18" t="s">
        <v>112</v>
      </c>
      <c r="E11476" s="18" t="s">
        <v>53058</v>
      </c>
      <c r="F11476" s="18" t="str">
        <f>IFERROR(__XLUDF.DUMMYFUNCTION("PROPER(REGEXREPLACE(D1388,""[^A-Za-z]+ "",""""))"),"Actium Groupe")</f>
        <v xml:space="preserve">Actium Groupe</v>
      </c>
      <c r="G11476" s="18" t="s">
        <v>53059</v>
      </c>
      <c r="H11476" s="18">
        <v>26</v>
      </c>
      <c r="I11476" s="18" t="s">
        <v>9239</v>
      </c>
      <c r="J11476" s="5" t="s">
        <v>53060</v>
      </c>
      <c r="K11476" s="5" t="s">
        <v>53061</v>
      </c>
      <c r="L11476" s="18" t="s">
        <v>5586</v>
      </c>
      <c r="M11476" s="18" t="s">
        <v>29</v>
      </c>
      <c r="N11476" s="18" t="s">
        <v>53062</v>
      </c>
      <c r="O11476" s="18" t="s">
        <v>29</v>
      </c>
      <c r="P11476" s="18" t="s">
        <v>53063</v>
      </c>
      <c r="Q11476" s="6"/>
      <c r="R11476" s="6"/>
      <c r="S11476" s="6"/>
      <c r="T11476" s="6"/>
      <c r="U11476" s="6"/>
    </row>
    <row r="11477" ht="14.25">
      <c r="B11477" s="18" t="s">
        <v>630</v>
      </c>
      <c r="C11477" s="18" t="s">
        <v>47440</v>
      </c>
      <c r="D11477" s="18" t="s">
        <v>112</v>
      </c>
      <c r="E11477" s="18" t="s">
        <v>53064</v>
      </c>
      <c r="F11477" s="18" t="str">
        <f>IFERROR(__XLUDF.DUMMYFUNCTION("PROPER(REGEXREPLACE(D1389,""[^A-Za-z]+ "",""""))"),"Gv Ingénierie")</f>
        <v xml:space="preserve">Gv Ingénierie</v>
      </c>
      <c r="G11477" s="18" t="s">
        <v>53065</v>
      </c>
      <c r="H11477" s="18">
        <v>18</v>
      </c>
      <c r="I11477" s="18" t="s">
        <v>9239</v>
      </c>
      <c r="J11477" s="5" t="s">
        <v>53066</v>
      </c>
      <c r="K11477" s="5" t="s">
        <v>53067</v>
      </c>
      <c r="L11477" s="18" t="s">
        <v>39</v>
      </c>
      <c r="M11477" s="18" t="s">
        <v>29</v>
      </c>
      <c r="N11477" s="18" t="s">
        <v>53068</v>
      </c>
      <c r="O11477" s="18" t="s">
        <v>29</v>
      </c>
      <c r="P11477" s="18" t="s">
        <v>53069</v>
      </c>
      <c r="Q11477" s="6"/>
      <c r="R11477" s="6"/>
      <c r="S11477" s="6"/>
      <c r="T11477" s="6"/>
      <c r="U11477" s="6"/>
    </row>
    <row r="11478" ht="14.25">
      <c r="B11478" s="18" t="s">
        <v>222</v>
      </c>
      <c r="C11478" s="18" t="s">
        <v>53070</v>
      </c>
      <c r="D11478" s="18" t="s">
        <v>112</v>
      </c>
      <c r="E11478" s="18" t="s">
        <v>53071</v>
      </c>
      <c r="F11478" s="18" t="str">
        <f>IFERROR(__XLUDF.DUMMYFUNCTION("PROPER(REGEXREPLACE(D1390,""[^A-Za-z]+ "",""""))"),"Fouqueron")</f>
        <v>Fouqueron</v>
      </c>
      <c r="G11478" s="18" t="s">
        <v>53072</v>
      </c>
      <c r="H11478" s="18">
        <v>18</v>
      </c>
      <c r="I11478" s="18" t="s">
        <v>9239</v>
      </c>
      <c r="J11478" s="5" t="s">
        <v>53073</v>
      </c>
      <c r="K11478" s="5" t="s">
        <v>53074</v>
      </c>
      <c r="L11478" s="18" t="s">
        <v>1312</v>
      </c>
      <c r="M11478" s="18" t="s">
        <v>29</v>
      </c>
      <c r="N11478" s="18" t="s">
        <v>53075</v>
      </c>
      <c r="O11478" s="18" t="s">
        <v>29</v>
      </c>
      <c r="P11478" s="18" t="s">
        <v>53076</v>
      </c>
      <c r="Q11478" s="6"/>
      <c r="R11478" s="6"/>
      <c r="S11478" s="6"/>
      <c r="T11478" s="6"/>
      <c r="U11478" s="6"/>
    </row>
    <row r="11479" ht="14.25">
      <c r="B11479" s="18" t="s">
        <v>955</v>
      </c>
      <c r="C11479" s="18" t="s">
        <v>9356</v>
      </c>
      <c r="D11479" s="18" t="s">
        <v>112</v>
      </c>
      <c r="E11479" s="18" t="s">
        <v>53077</v>
      </c>
      <c r="F11479" s="18" t="str">
        <f>IFERROR(__XLUDF.DUMMYFUNCTION("PROPER(REGEXREPLACE(D1391,""[^A-Za-z]+ "",""""))"),"Betis")</f>
        <v>Betis</v>
      </c>
      <c r="G11479" s="18" t="s">
        <v>53078</v>
      </c>
      <c r="H11479" s="18">
        <v>13</v>
      </c>
      <c r="I11479" s="18" t="s">
        <v>9239</v>
      </c>
      <c r="J11479" s="5" t="s">
        <v>53079</v>
      </c>
      <c r="K11479" s="5" t="s">
        <v>53080</v>
      </c>
      <c r="L11479" s="18" t="s">
        <v>11033</v>
      </c>
      <c r="M11479" s="18" t="s">
        <v>29</v>
      </c>
      <c r="N11479" s="18" t="s">
        <v>53081</v>
      </c>
      <c r="O11479" s="18" t="s">
        <v>29</v>
      </c>
      <c r="P11479" s="18" t="s">
        <v>53082</v>
      </c>
      <c r="Q11479" s="6"/>
      <c r="R11479" s="6"/>
      <c r="S11479" s="6"/>
      <c r="T11479" s="6"/>
      <c r="U11479" s="6"/>
    </row>
    <row r="11480" ht="14.25">
      <c r="B11480" s="18" t="s">
        <v>53083</v>
      </c>
      <c r="C11480" s="18" t="s">
        <v>53084</v>
      </c>
      <c r="D11480" s="18" t="s">
        <v>172</v>
      </c>
      <c r="E11480" s="18" t="s">
        <v>53085</v>
      </c>
      <c r="F11480" s="18" t="str">
        <f>IFERROR(__XLUDF.DUMMYFUNCTION("PROPER(REGEXREPLACE(D1392,""[^A-Za-z]+ "",""""))"),"Atelier Menuiséa")</f>
        <v xml:space="preserve">Atelier Menuiséa</v>
      </c>
      <c r="G11480" s="18" t="s">
        <v>53086</v>
      </c>
      <c r="H11480" s="6"/>
      <c r="I11480" s="6"/>
      <c r="J11480" s="5" t="s">
        <v>53087</v>
      </c>
      <c r="K11480" s="5" t="s">
        <v>53088</v>
      </c>
      <c r="L11480" s="18" t="s">
        <v>53089</v>
      </c>
      <c r="M11480" s="18" t="s">
        <v>29</v>
      </c>
      <c r="N11480" s="18" t="s">
        <v>53090</v>
      </c>
      <c r="O11480" s="18" t="s">
        <v>29</v>
      </c>
      <c r="P11480" s="6"/>
      <c r="Q11480" s="6"/>
      <c r="R11480" s="6"/>
      <c r="S11480" s="6"/>
      <c r="T11480" s="6"/>
      <c r="U11480" s="6"/>
    </row>
    <row r="11481" ht="14.25">
      <c r="B11481" s="18" t="s">
        <v>355</v>
      </c>
      <c r="C11481" s="18" t="s">
        <v>12452</v>
      </c>
      <c r="D11481" s="18" t="s">
        <v>468</v>
      </c>
      <c r="E11481" s="18" t="s">
        <v>53091</v>
      </c>
      <c r="F11481" s="18" t="str">
        <f>IFERROR(__XLUDF.DUMMYFUNCTION("PROPER(REGEXREPLACE(D1393,""[^A-Za-z]+ "",""""))"),"Altitech")</f>
        <v>Altitech</v>
      </c>
      <c r="G11481" s="18" t="s">
        <v>53092</v>
      </c>
      <c r="H11481" s="18">
        <v>15</v>
      </c>
      <c r="I11481" s="18" t="s">
        <v>9239</v>
      </c>
      <c r="J11481" s="5" t="s">
        <v>53093</v>
      </c>
      <c r="K11481" s="5" t="s">
        <v>53094</v>
      </c>
      <c r="L11481" s="18" t="s">
        <v>185</v>
      </c>
      <c r="M11481" s="18" t="s">
        <v>29</v>
      </c>
      <c r="N11481" s="18" t="s">
        <v>53095</v>
      </c>
      <c r="O11481" s="18" t="s">
        <v>29</v>
      </c>
      <c r="P11481" s="6"/>
      <c r="Q11481" s="6"/>
      <c r="R11481" s="6"/>
      <c r="S11481" s="6"/>
      <c r="T11481" s="6"/>
      <c r="U11481" s="6"/>
    </row>
    <row r="11482" ht="14.25">
      <c r="B11482" s="18" t="s">
        <v>2932</v>
      </c>
      <c r="C11482" s="18" t="s">
        <v>53096</v>
      </c>
      <c r="D11482" s="18" t="s">
        <v>172</v>
      </c>
      <c r="E11482" s="18" t="s">
        <v>53097</v>
      </c>
      <c r="F11482" s="18" t="str">
        <f>IFERROR(__XLUDF.DUMMYFUNCTION("PROPER(REGEXREPLACE(D1394,""[^A-Za-z]+ "",""""))"),"Richelieu Rénovation")</f>
        <v xml:space="preserve">Richelieu Rénovation</v>
      </c>
      <c r="G11482" s="18" t="s">
        <v>53098</v>
      </c>
      <c r="H11482" s="18">
        <v>15</v>
      </c>
      <c r="I11482" s="18" t="s">
        <v>9239</v>
      </c>
      <c r="J11482" s="5" t="s">
        <v>53099</v>
      </c>
      <c r="K11482" s="5" t="s">
        <v>53100</v>
      </c>
      <c r="L11482" s="18" t="s">
        <v>53101</v>
      </c>
      <c r="M11482" s="18" t="s">
        <v>29</v>
      </c>
      <c r="N11482" s="18" t="s">
        <v>53102</v>
      </c>
      <c r="O11482" s="18" t="s">
        <v>29</v>
      </c>
      <c r="P11482" s="18" t="s">
        <v>53103</v>
      </c>
      <c r="Q11482" s="6"/>
      <c r="R11482" s="6"/>
      <c r="S11482" s="6"/>
      <c r="T11482" s="6"/>
      <c r="U11482" s="6"/>
    </row>
    <row r="11483" ht="14.25">
      <c r="B11483" s="18" t="s">
        <v>622</v>
      </c>
      <c r="C11483" s="18" t="s">
        <v>255</v>
      </c>
      <c r="D11483" s="18" t="s">
        <v>19085</v>
      </c>
      <c r="E11483" s="18" t="s">
        <v>53104</v>
      </c>
      <c r="F11483" s="18" t="str">
        <f>IFERROR(__XLUDF.DUMMYFUNCTION("PROPER(REGEXREPLACE(D1395,""[^A-Za-z]+ "",""""))"),"Sols Industriels 21")</f>
        <v xml:space="preserve">Sols Industriels 21</v>
      </c>
      <c r="G11483" s="18" t="s">
        <v>53105</v>
      </c>
      <c r="H11483" s="18">
        <v>12</v>
      </c>
      <c r="I11483" s="18" t="s">
        <v>9239</v>
      </c>
      <c r="J11483" s="5" t="s">
        <v>53106</v>
      </c>
      <c r="K11483" s="5" t="s">
        <v>53107</v>
      </c>
      <c r="L11483" s="18" t="s">
        <v>149</v>
      </c>
      <c r="M11483" s="18" t="s">
        <v>29</v>
      </c>
      <c r="N11483" s="18" t="s">
        <v>53108</v>
      </c>
      <c r="O11483" s="18" t="s">
        <v>29</v>
      </c>
      <c r="P11483" s="6"/>
      <c r="Q11483" s="6"/>
      <c r="R11483" s="6"/>
      <c r="S11483" s="6"/>
      <c r="T11483" s="6"/>
      <c r="U11483" s="6"/>
    </row>
    <row r="11484" ht="14.25">
      <c r="B11484" s="18" t="s">
        <v>6744</v>
      </c>
      <c r="C11484" s="18" t="s">
        <v>3850</v>
      </c>
      <c r="D11484" s="18" t="s">
        <v>2636</v>
      </c>
      <c r="E11484" s="18" t="s">
        <v>53109</v>
      </c>
      <c r="F11484" s="18" t="str">
        <f>IFERROR(__XLUDF.DUMMYFUNCTION("PROPER(REGEXREPLACE(D1396,""[^A-Za-z]+ "",""""))"),"Emaplast")</f>
        <v>Emaplast</v>
      </c>
      <c r="G11484" s="18" t="s">
        <v>53110</v>
      </c>
      <c r="H11484" s="18">
        <v>38</v>
      </c>
      <c r="I11484" s="18" t="s">
        <v>9239</v>
      </c>
      <c r="J11484" s="5" t="s">
        <v>53111</v>
      </c>
      <c r="K11484" s="5" t="s">
        <v>53112</v>
      </c>
      <c r="L11484" s="18" t="s">
        <v>53113</v>
      </c>
      <c r="M11484" s="18" t="s">
        <v>29</v>
      </c>
      <c r="N11484" s="18" t="s">
        <v>53114</v>
      </c>
      <c r="O11484" s="18" t="s">
        <v>29</v>
      </c>
      <c r="P11484" s="18" t="s">
        <v>53115</v>
      </c>
      <c r="Q11484" s="6"/>
      <c r="R11484" s="6"/>
      <c r="S11484" s="6"/>
      <c r="T11484" s="6"/>
      <c r="U11484" s="6"/>
    </row>
    <row r="11485" ht="14.25">
      <c r="B11485" s="18" t="s">
        <v>3019</v>
      </c>
      <c r="C11485" s="18" t="s">
        <v>6844</v>
      </c>
      <c r="D11485" s="18" t="s">
        <v>7759</v>
      </c>
      <c r="E11485" s="18" t="s">
        <v>46351</v>
      </c>
      <c r="F11485" s="18" t="str">
        <f>IFERROR(__XLUDF.DUMMYFUNCTION("PROPER(REGEXREPLACE(D1397,""[^A-Za-z]+ "",""""))"),"Déco Charpente")</f>
        <v xml:space="preserve">Déco Charpente</v>
      </c>
      <c r="G11485" s="18" t="s">
        <v>53116</v>
      </c>
      <c r="H11485" s="18">
        <v>19</v>
      </c>
      <c r="I11485" s="18" t="s">
        <v>9239</v>
      </c>
      <c r="J11485" s="5" t="s">
        <v>53117</v>
      </c>
      <c r="K11485" s="5" t="s">
        <v>46354</v>
      </c>
      <c r="L11485" s="18" t="s">
        <v>53118</v>
      </c>
      <c r="M11485" s="18" t="s">
        <v>29</v>
      </c>
      <c r="N11485" s="18" t="s">
        <v>46356</v>
      </c>
      <c r="O11485" s="18" t="s">
        <v>29</v>
      </c>
      <c r="P11485" s="18" t="s">
        <v>46357</v>
      </c>
      <c r="Q11485" s="6"/>
      <c r="R11485" s="6"/>
      <c r="S11485" s="6"/>
      <c r="T11485" s="6"/>
      <c r="U11485" s="6"/>
    </row>
    <row r="11486" ht="14.25">
      <c r="B11486" s="18" t="s">
        <v>95</v>
      </c>
      <c r="C11486" s="18" t="s">
        <v>53119</v>
      </c>
      <c r="D11486" s="18" t="s">
        <v>53120</v>
      </c>
      <c r="E11486" s="18" t="s">
        <v>53121</v>
      </c>
      <c r="F11486" s="18" t="str">
        <f>IFERROR(__XLUDF.DUMMYFUNCTION("PROPER(REGEXREPLACE(D1398,""[^A-Za-z]+ "",""""))"),"Kermarec")</f>
        <v>Kermarec</v>
      </c>
      <c r="G11486" s="18" t="s">
        <v>53122</v>
      </c>
      <c r="H11486" s="18">
        <v>22</v>
      </c>
      <c r="I11486" s="18" t="s">
        <v>9239</v>
      </c>
      <c r="J11486" s="5" t="s">
        <v>53123</v>
      </c>
      <c r="K11486" s="5" t="s">
        <v>53124</v>
      </c>
      <c r="L11486" s="6"/>
      <c r="M11486" s="18" t="s">
        <v>29</v>
      </c>
      <c r="N11486" s="18" t="s">
        <v>53125</v>
      </c>
      <c r="O11486" s="18" t="s">
        <v>29</v>
      </c>
      <c r="P11486" s="6"/>
      <c r="Q11486" s="6"/>
      <c r="R11486" s="6"/>
      <c r="S11486" s="6"/>
      <c r="T11486" s="6"/>
      <c r="U11486" s="6"/>
    </row>
    <row r="11487" ht="14.25">
      <c r="B11487" s="18" t="s">
        <v>1198</v>
      </c>
      <c r="C11487" s="18" t="s">
        <v>49118</v>
      </c>
      <c r="D11487" s="18" t="s">
        <v>112</v>
      </c>
      <c r="E11487" s="18" t="s">
        <v>49119</v>
      </c>
      <c r="F11487" s="18" t="str">
        <f>IFERROR(__XLUDF.DUMMYFUNCTION("PROPER(REGEXREPLACE(D1399,""[^A-Za-z]+ "",""""))"),"Groupe Eovest")</f>
        <v xml:space="preserve">Groupe Eovest</v>
      </c>
      <c r="G11487" s="18" t="s">
        <v>53126</v>
      </c>
      <c r="H11487" s="18">
        <v>14</v>
      </c>
      <c r="I11487" s="18" t="s">
        <v>9239</v>
      </c>
      <c r="J11487" s="5" t="s">
        <v>53127</v>
      </c>
      <c r="K11487" s="5" t="s">
        <v>49122</v>
      </c>
      <c r="L11487" s="6"/>
      <c r="M11487" s="18" t="s">
        <v>29</v>
      </c>
      <c r="N11487" s="18" t="s">
        <v>49123</v>
      </c>
      <c r="O11487" s="18" t="s">
        <v>29</v>
      </c>
      <c r="P11487" s="18" t="s">
        <v>49124</v>
      </c>
      <c r="Q11487" s="6"/>
      <c r="R11487" s="6"/>
      <c r="S11487" s="6"/>
      <c r="T11487" s="6"/>
      <c r="U11487" s="6"/>
    </row>
    <row r="11488" ht="14.25">
      <c r="B11488" s="18" t="s">
        <v>2119</v>
      </c>
      <c r="C11488" s="18" t="s">
        <v>119</v>
      </c>
      <c r="D11488" s="18" t="s">
        <v>112</v>
      </c>
      <c r="E11488" s="18" t="s">
        <v>53128</v>
      </c>
      <c r="F11488" s="18" t="str">
        <f>IFERROR(__XLUDF.DUMMYFUNCTION("PROPER(REGEXREPLACE(D1400,""[^A-Za-z]+ "",""""))"),"Caro Tp")</f>
        <v xml:space="preserve">Caro Tp</v>
      </c>
      <c r="G11488" s="18" t="s">
        <v>53129</v>
      </c>
      <c r="H11488" s="18">
        <v>31</v>
      </c>
      <c r="I11488" s="18" t="s">
        <v>9239</v>
      </c>
      <c r="J11488" s="5" t="s">
        <v>53130</v>
      </c>
      <c r="K11488" s="5" t="s">
        <v>53131</v>
      </c>
      <c r="L11488" s="18" t="s">
        <v>83</v>
      </c>
      <c r="M11488" s="18" t="s">
        <v>29</v>
      </c>
      <c r="N11488" s="18" t="s">
        <v>29</v>
      </c>
      <c r="O11488" s="18" t="s">
        <v>29</v>
      </c>
      <c r="P11488" s="6"/>
      <c r="Q11488" s="6"/>
      <c r="R11488" s="6"/>
      <c r="S11488" s="6"/>
      <c r="T11488" s="6"/>
      <c r="U11488" s="6"/>
    </row>
    <row r="11489" ht="14.25">
      <c r="B11489" s="18" t="s">
        <v>76</v>
      </c>
      <c r="C11489" s="18" t="s">
        <v>3850</v>
      </c>
      <c r="D11489" s="18" t="s">
        <v>112</v>
      </c>
      <c r="E11489" s="18" t="s">
        <v>53132</v>
      </c>
      <c r="F11489" s="18" t="str">
        <f>IFERROR(__XLUDF.DUMMYFUNCTION("PROPER(REGEXREPLACE(D1401,""[^A-Za-z]+ "",""""))"),"Alliance Echafaudagesstructures")</f>
        <v xml:space="preserve">Alliance Echafaudagesstructures</v>
      </c>
      <c r="G11489" s="18" t="s">
        <v>53133</v>
      </c>
      <c r="H11489" s="6"/>
      <c r="I11489" s="6"/>
      <c r="J11489" s="5" t="s">
        <v>53134</v>
      </c>
      <c r="K11489" s="5" t="s">
        <v>53135</v>
      </c>
      <c r="L11489" s="18" t="s">
        <v>185</v>
      </c>
      <c r="M11489" s="18" t="s">
        <v>29</v>
      </c>
      <c r="N11489" s="18" t="s">
        <v>53136</v>
      </c>
      <c r="O11489" s="18" t="s">
        <v>29</v>
      </c>
      <c r="P11489" s="6"/>
      <c r="Q11489" s="6"/>
      <c r="R11489" s="6"/>
      <c r="S11489" s="6"/>
      <c r="T11489" s="6"/>
      <c r="U11489" s="6"/>
    </row>
    <row r="11490" ht="14.25">
      <c r="B11490" s="18" t="s">
        <v>76</v>
      </c>
      <c r="C11490" s="18" t="s">
        <v>53137</v>
      </c>
      <c r="D11490" s="18" t="s">
        <v>112</v>
      </c>
      <c r="E11490" s="18" t="s">
        <v>53138</v>
      </c>
      <c r="F11490" s="18" t="str">
        <f>IFERROR(__XLUDF.DUMMYFUNCTION("PROPER(REGEXREPLACE(D1402,""[^A-Za-z]+ "",""""))"),"Brondani")</f>
        <v>Brondani</v>
      </c>
      <c r="G11490" s="18" t="s">
        <v>53139</v>
      </c>
      <c r="H11490" s="18">
        <v>23</v>
      </c>
      <c r="I11490" s="18" t="s">
        <v>9239</v>
      </c>
      <c r="J11490" s="5" t="s">
        <v>53140</v>
      </c>
      <c r="K11490" s="5" t="s">
        <v>53141</v>
      </c>
      <c r="L11490" s="18" t="s">
        <v>651</v>
      </c>
      <c r="M11490" s="18" t="s">
        <v>29</v>
      </c>
      <c r="N11490" s="18" t="s">
        <v>53142</v>
      </c>
      <c r="O11490" s="18" t="s">
        <v>29</v>
      </c>
      <c r="P11490" s="18" t="s">
        <v>53143</v>
      </c>
      <c r="Q11490" s="6"/>
      <c r="R11490" s="6"/>
      <c r="S11490" s="6"/>
      <c r="T11490" s="6"/>
      <c r="U11490" s="6"/>
    </row>
    <row r="11491" ht="14.25">
      <c r="B11491" s="18" t="s">
        <v>622</v>
      </c>
      <c r="C11491" s="18" t="s">
        <v>53144</v>
      </c>
      <c r="D11491" s="18" t="s">
        <v>112</v>
      </c>
      <c r="E11491" s="18" t="s">
        <v>53145</v>
      </c>
      <c r="F11491" s="18" t="str">
        <f>IFERROR(__XLUDF.DUMMYFUNCTION("PROPER(REGEXREPLACE(D1403,""[^A-Za-z]+ "",""""))"),"Nancy Construction")</f>
        <v xml:space="preserve">Nancy Construction</v>
      </c>
      <c r="G11491" s="18" t="s">
        <v>53146</v>
      </c>
      <c r="H11491" s="18">
        <v>12</v>
      </c>
      <c r="I11491" s="18" t="s">
        <v>9239</v>
      </c>
      <c r="J11491" s="5" t="s">
        <v>53147</v>
      </c>
      <c r="K11491" s="5" t="s">
        <v>53148</v>
      </c>
      <c r="L11491" s="18" t="s">
        <v>4922</v>
      </c>
      <c r="M11491" s="18" t="s">
        <v>29</v>
      </c>
      <c r="N11491" s="18" t="s">
        <v>53149</v>
      </c>
      <c r="O11491" s="18" t="s">
        <v>29</v>
      </c>
      <c r="P11491" s="18" t="s">
        <v>53150</v>
      </c>
      <c r="Q11491" s="6"/>
      <c r="R11491" s="6"/>
      <c r="S11491" s="6"/>
      <c r="T11491" s="6"/>
      <c r="U11491" s="6"/>
    </row>
    <row r="11492" ht="14.25">
      <c r="B11492" s="18" t="s">
        <v>110</v>
      </c>
      <c r="C11492" s="18" t="s">
        <v>53151</v>
      </c>
      <c r="D11492" s="18" t="s">
        <v>1130</v>
      </c>
      <c r="E11492" s="18" t="s">
        <v>53152</v>
      </c>
      <c r="F11492" s="18" t="str">
        <f>IFERROR(__XLUDF.DUMMYFUNCTION("PROPER(REGEXREPLACE(D1404,""[^A-Za-z]+ "",""""))"),"Grosset-Janin")</f>
        <v>Grosset-Janin</v>
      </c>
      <c r="G11492" s="18" t="s">
        <v>53153</v>
      </c>
      <c r="H11492" s="18">
        <v>27</v>
      </c>
      <c r="I11492" s="18" t="s">
        <v>9239</v>
      </c>
      <c r="J11492" s="5" t="s">
        <v>53154</v>
      </c>
      <c r="K11492" s="5" t="s">
        <v>53155</v>
      </c>
      <c r="L11492" s="6"/>
      <c r="M11492" s="18" t="s">
        <v>29</v>
      </c>
      <c r="N11492" s="18" t="s">
        <v>53156</v>
      </c>
      <c r="O11492" s="18" t="s">
        <v>29</v>
      </c>
      <c r="P11492" s="18" t="s">
        <v>53157</v>
      </c>
      <c r="Q11492" s="6"/>
      <c r="R11492" s="6"/>
      <c r="S11492" s="6"/>
      <c r="T11492" s="6"/>
      <c r="U11492" s="6"/>
    </row>
    <row r="11493" ht="14.25">
      <c r="B11493" s="18" t="s">
        <v>3164</v>
      </c>
      <c r="C11493" s="18" t="s">
        <v>43335</v>
      </c>
      <c r="D11493" s="18" t="s">
        <v>53158</v>
      </c>
      <c r="E11493" s="18" t="s">
        <v>53159</v>
      </c>
      <c r="F11493" s="18" t="str">
        <f>IFERROR(__XLUDF.DUMMYFUNCTION("PROPER(REGEXREPLACE(D1405,""[^A-Za-z]+ "",""""))"),"Kayousoft")</f>
        <v>Kayousoft</v>
      </c>
      <c r="G11493" s="18" t="s">
        <v>53160</v>
      </c>
      <c r="H11493" s="18">
        <v>3</v>
      </c>
      <c r="I11493" s="18" t="s">
        <v>9239</v>
      </c>
      <c r="J11493" s="5" t="s">
        <v>53161</v>
      </c>
      <c r="K11493" s="5" t="s">
        <v>53162</v>
      </c>
      <c r="L11493" s="18" t="s">
        <v>185</v>
      </c>
      <c r="M11493" s="18" t="s">
        <v>29</v>
      </c>
      <c r="N11493" s="18" t="s">
        <v>53163</v>
      </c>
      <c r="O11493" s="18" t="s">
        <v>29</v>
      </c>
      <c r="P11493" s="18" t="s">
        <v>53164</v>
      </c>
      <c r="Q11493" s="6"/>
      <c r="R11493" s="6"/>
      <c r="S11493" s="6"/>
      <c r="T11493" s="6"/>
      <c r="U11493" s="6"/>
    </row>
    <row r="11494" ht="14.25">
      <c r="B11494" s="18" t="s">
        <v>6634</v>
      </c>
      <c r="C11494" s="18" t="s">
        <v>53165</v>
      </c>
      <c r="D11494" s="18" t="s">
        <v>19085</v>
      </c>
      <c r="E11494" s="18" t="s">
        <v>53166</v>
      </c>
      <c r="F11494" s="18" t="str">
        <f>IFERROR(__XLUDF.DUMMYFUNCTION("PROPER(REGEXREPLACE(D1406,""[^A-Za-z]+ "",""""))"),"Seralu")</f>
        <v>Seralu</v>
      </c>
      <c r="G11494" s="18" t="s">
        <v>53167</v>
      </c>
      <c r="H11494" s="18">
        <v>45</v>
      </c>
      <c r="I11494" s="18" t="s">
        <v>9239</v>
      </c>
      <c r="J11494" s="5" t="s">
        <v>53168</v>
      </c>
      <c r="K11494" s="5" t="s">
        <v>53169</v>
      </c>
      <c r="L11494" s="18" t="s">
        <v>1711</v>
      </c>
      <c r="M11494" s="18" t="s">
        <v>29</v>
      </c>
      <c r="N11494" s="18" t="s">
        <v>53170</v>
      </c>
      <c r="O11494" s="18" t="s">
        <v>29</v>
      </c>
      <c r="P11494" s="18" t="s">
        <v>53171</v>
      </c>
      <c r="Q11494" s="6"/>
      <c r="R11494" s="6"/>
      <c r="S11494" s="6"/>
      <c r="T11494" s="6"/>
      <c r="U11494" s="6"/>
    </row>
    <row r="11495" ht="14.25">
      <c r="B11495" s="18" t="s">
        <v>222</v>
      </c>
      <c r="C11495" s="18" t="s">
        <v>53172</v>
      </c>
      <c r="D11495" s="18" t="s">
        <v>53173</v>
      </c>
      <c r="E11495" s="18" t="s">
        <v>53174</v>
      </c>
      <c r="F11495" s="18" t="str">
        <f>IFERROR(__XLUDF.DUMMYFUNCTION("PROPER(REGEXREPLACE(D1407,""[^A-Za-z]+ "",""""))"),"Elect'Raux")</f>
        <v>Elect'Raux</v>
      </c>
      <c r="G11495" s="18" t="s">
        <v>53175</v>
      </c>
      <c r="H11495" s="18">
        <v>3</v>
      </c>
      <c r="I11495" s="18" t="s">
        <v>9239</v>
      </c>
      <c r="J11495" s="5" t="s">
        <v>53176</v>
      </c>
      <c r="K11495" s="5" t="s">
        <v>53177</v>
      </c>
      <c r="L11495" s="18" t="s">
        <v>53178</v>
      </c>
      <c r="M11495" s="18" t="s">
        <v>29</v>
      </c>
      <c r="N11495" s="18" t="s">
        <v>53179</v>
      </c>
      <c r="O11495" s="18" t="s">
        <v>29</v>
      </c>
      <c r="P11495" s="18" t="s">
        <v>53180</v>
      </c>
      <c r="Q11495" s="6"/>
      <c r="R11495" s="6"/>
      <c r="S11495" s="6"/>
      <c r="T11495" s="6"/>
      <c r="U11495" s="6"/>
    </row>
    <row r="11496" ht="14.25">
      <c r="B11496" s="18" t="s">
        <v>53181</v>
      </c>
      <c r="C11496" s="18" t="s">
        <v>53182</v>
      </c>
      <c r="D11496" s="18" t="s">
        <v>1130</v>
      </c>
      <c r="E11496" s="18" t="s">
        <v>53183</v>
      </c>
      <c r="F11496" s="18" t="str">
        <f>IFERROR(__XLUDF.DUMMYFUNCTION("PROPER(REGEXREPLACE(D1408,""[^A-Za-z]+ "",""""))"),"Maisons Jb")</f>
        <v xml:space="preserve">Maisons Jb</v>
      </c>
      <c r="G11496" s="18" t="s">
        <v>53184</v>
      </c>
      <c r="H11496" s="18">
        <v>19</v>
      </c>
      <c r="I11496" s="18" t="s">
        <v>9239</v>
      </c>
      <c r="J11496" s="5" t="s">
        <v>53185</v>
      </c>
      <c r="K11496" s="5" t="s">
        <v>53186</v>
      </c>
      <c r="L11496" s="18" t="s">
        <v>6412</v>
      </c>
      <c r="M11496" s="18" t="s">
        <v>29</v>
      </c>
      <c r="N11496" s="18" t="s">
        <v>53187</v>
      </c>
      <c r="O11496" s="18" t="s">
        <v>29</v>
      </c>
      <c r="P11496" s="18" t="s">
        <v>53188</v>
      </c>
      <c r="Q11496" s="6"/>
      <c r="R11496" s="6"/>
      <c r="S11496" s="6"/>
      <c r="T11496" s="6"/>
      <c r="U11496" s="6"/>
    </row>
    <row r="11497" ht="14.25">
      <c r="B11497" s="18" t="s">
        <v>1198</v>
      </c>
      <c r="C11497" s="18" t="s">
        <v>11018</v>
      </c>
      <c r="D11497" s="18" t="s">
        <v>112</v>
      </c>
      <c r="E11497" s="18" t="s">
        <v>53189</v>
      </c>
      <c r="F11497" s="18" t="str">
        <f>IFERROR(__XLUDF.DUMMYFUNCTION("PROPER(REGEXREPLACE(D1409,""[^A-Za-z]+ "",""""))"),"Menuiserie Le Cèdre")</f>
        <v xml:space="preserve">Menuiserie Le Cèdre</v>
      </c>
      <c r="G11497" s="18" t="s">
        <v>53190</v>
      </c>
      <c r="H11497" s="18">
        <v>5</v>
      </c>
      <c r="I11497" s="18" t="s">
        <v>9239</v>
      </c>
      <c r="J11497" s="5" t="s">
        <v>53191</v>
      </c>
      <c r="K11497" s="5" t="s">
        <v>53192</v>
      </c>
      <c r="L11497" s="18" t="s">
        <v>53193</v>
      </c>
      <c r="M11497" s="18" t="s">
        <v>29</v>
      </c>
      <c r="N11497" s="18" t="s">
        <v>53194</v>
      </c>
      <c r="O11497" s="18" t="s">
        <v>29</v>
      </c>
      <c r="P11497" s="6"/>
      <c r="Q11497" s="6"/>
      <c r="R11497" s="6"/>
      <c r="S11497" s="6"/>
      <c r="T11497" s="6"/>
      <c r="U11497" s="6"/>
    </row>
    <row r="11498" ht="14.25">
      <c r="B11498" s="18" t="s">
        <v>53195</v>
      </c>
      <c r="C11498" s="18" t="s">
        <v>1363</v>
      </c>
      <c r="D11498" s="18" t="s">
        <v>172</v>
      </c>
      <c r="E11498" s="18" t="s">
        <v>53196</v>
      </c>
      <c r="F11498" s="18" t="str">
        <f>IFERROR(__XLUDF.DUMMYFUNCTION("PROPER(REGEXREPLACE(D1410,""[^A-Za-z]+ "",""""))"),"A2L Habitat")</f>
        <v xml:space="preserve">A2L Habitat</v>
      </c>
      <c r="G11498" s="18" t="s">
        <v>53197</v>
      </c>
      <c r="H11498" s="18">
        <v>5</v>
      </c>
      <c r="I11498" s="18" t="s">
        <v>9239</v>
      </c>
      <c r="J11498" s="5" t="s">
        <v>53198</v>
      </c>
      <c r="K11498" s="5" t="s">
        <v>53199</v>
      </c>
      <c r="L11498" s="18" t="s">
        <v>6954</v>
      </c>
      <c r="M11498" s="18" t="s">
        <v>29</v>
      </c>
      <c r="N11498" s="18" t="s">
        <v>53200</v>
      </c>
      <c r="O11498" s="18" t="s">
        <v>29</v>
      </c>
      <c r="P11498" s="18" t="s">
        <v>53201</v>
      </c>
      <c r="Q11498" s="6"/>
      <c r="R11498" s="6"/>
      <c r="S11498" s="6"/>
      <c r="T11498" s="6"/>
      <c r="U11498" s="6"/>
    </row>
    <row r="11499" ht="14.25">
      <c r="B11499" s="18" t="s">
        <v>1454</v>
      </c>
      <c r="C11499" s="18" t="s">
        <v>53202</v>
      </c>
      <c r="D11499" s="18" t="s">
        <v>487</v>
      </c>
      <c r="E11499" s="18" t="s">
        <v>53203</v>
      </c>
      <c r="F11499" s="18" t="str">
        <f>IFERROR(__XLUDF.DUMMYFUNCTION("PROPER(REGEXREPLACE(D1411,""[^A-Za-z]+ "",""""))"),"Movvéo")</f>
        <v>Movvéo</v>
      </c>
      <c r="G11499" s="18" t="s">
        <v>53204</v>
      </c>
      <c r="H11499" s="18">
        <v>6</v>
      </c>
      <c r="I11499" s="18" t="s">
        <v>9239</v>
      </c>
      <c r="J11499" s="5" t="s">
        <v>53205</v>
      </c>
      <c r="K11499" s="5" t="s">
        <v>53206</v>
      </c>
      <c r="L11499" s="6"/>
      <c r="M11499" s="18" t="s">
        <v>29</v>
      </c>
      <c r="N11499" s="18" t="s">
        <v>53207</v>
      </c>
      <c r="O11499" s="18" t="s">
        <v>29</v>
      </c>
      <c r="P11499" s="6"/>
      <c r="Q11499" s="6"/>
      <c r="R11499" s="6"/>
      <c r="S11499" s="6"/>
      <c r="T11499" s="6"/>
      <c r="U11499" s="6"/>
    </row>
    <row r="11500" ht="14.25">
      <c r="B11500" s="18" t="s">
        <v>330</v>
      </c>
      <c r="C11500" s="18" t="s">
        <v>10093</v>
      </c>
      <c r="D11500" s="18" t="s">
        <v>31208</v>
      </c>
      <c r="E11500" s="18" t="s">
        <v>53208</v>
      </c>
      <c r="F11500" s="18" t="str">
        <f>IFERROR(__XLUDF.DUMMYFUNCTION("PROPER(REGEXREPLACE(D1412,""[^A-Za-z]+ "",""""))"),"Horizon Couverture Ravalement")</f>
        <v xml:space="preserve">Horizon Couverture Ravalement</v>
      </c>
      <c r="G11500" s="18" t="s">
        <v>53209</v>
      </c>
      <c r="H11500" s="18">
        <v>17</v>
      </c>
      <c r="I11500" s="18" t="s">
        <v>9239</v>
      </c>
      <c r="J11500" s="5" t="s">
        <v>53210</v>
      </c>
      <c r="K11500" s="5" t="s">
        <v>53211</v>
      </c>
      <c r="L11500" s="18" t="s">
        <v>2395</v>
      </c>
      <c r="M11500" s="18" t="s">
        <v>29</v>
      </c>
      <c r="N11500" s="18" t="s">
        <v>44995</v>
      </c>
      <c r="O11500" s="18" t="s">
        <v>29</v>
      </c>
      <c r="P11500" s="18" t="s">
        <v>53212</v>
      </c>
      <c r="Q11500" s="6"/>
      <c r="R11500" s="6"/>
      <c r="S11500" s="6"/>
      <c r="T11500" s="6"/>
      <c r="U11500" s="6"/>
    </row>
    <row r="11501" ht="14.25">
      <c r="B11501" s="18" t="s">
        <v>110</v>
      </c>
      <c r="C11501" s="18" t="s">
        <v>53213</v>
      </c>
      <c r="D11501" s="18" t="s">
        <v>172</v>
      </c>
      <c r="E11501" s="18" t="s">
        <v>53214</v>
      </c>
      <c r="F11501" s="18" t="str">
        <f>IFERROR(__XLUDF.DUMMYFUNCTION("PROPER(REGEXREPLACE(D1413,""[^A-Za-z]+ "",""""))"),"Sp Toiture")</f>
        <v xml:space="preserve">Sp Toiture</v>
      </c>
      <c r="G11501" s="18" t="s">
        <v>53215</v>
      </c>
      <c r="H11501" s="18">
        <v>5</v>
      </c>
      <c r="I11501" s="18" t="s">
        <v>9239</v>
      </c>
      <c r="J11501" s="5" t="s">
        <v>53216</v>
      </c>
      <c r="K11501" s="5" t="s">
        <v>53217</v>
      </c>
      <c r="L11501" s="18" t="s">
        <v>39</v>
      </c>
      <c r="M11501" s="18" t="s">
        <v>29</v>
      </c>
      <c r="N11501" s="18" t="s">
        <v>53218</v>
      </c>
      <c r="O11501" s="18" t="s">
        <v>29</v>
      </c>
      <c r="P11501" s="6"/>
      <c r="Q11501" s="6"/>
      <c r="R11501" s="6"/>
      <c r="S11501" s="6"/>
      <c r="T11501" s="6"/>
      <c r="U11501" s="6"/>
    </row>
    <row r="11502" ht="14.25">
      <c r="B11502" s="18" t="s">
        <v>110</v>
      </c>
      <c r="C11502" s="18" t="s">
        <v>53219</v>
      </c>
      <c r="D11502" s="18" t="s">
        <v>112</v>
      </c>
      <c r="E11502" s="18" t="s">
        <v>53220</v>
      </c>
      <c r="F11502" s="18" t="str">
        <f>IFERROR(__XLUDF.DUMMYFUNCTION("PROPER(REGEXREPLACE(D1414,""[^A-Za-z]+ "",""""))"),"Sas Pothelet")</f>
        <v xml:space="preserve">Sas Pothelet</v>
      </c>
      <c r="G11502" s="18" t="s">
        <v>53221</v>
      </c>
      <c r="H11502" s="18">
        <v>17</v>
      </c>
      <c r="I11502" s="18" t="s">
        <v>9239</v>
      </c>
      <c r="J11502" s="5" t="s">
        <v>53222</v>
      </c>
      <c r="K11502" s="5" t="s">
        <v>53223</v>
      </c>
      <c r="L11502" s="18" t="s">
        <v>53224</v>
      </c>
      <c r="M11502" s="18" t="s">
        <v>29</v>
      </c>
      <c r="N11502" s="18" t="s">
        <v>53225</v>
      </c>
      <c r="O11502" s="18" t="s">
        <v>29</v>
      </c>
      <c r="P11502" s="6"/>
      <c r="Q11502" s="6"/>
      <c r="R11502" s="6"/>
      <c r="S11502" s="6"/>
      <c r="T11502" s="6"/>
      <c r="U11502" s="6"/>
    </row>
    <row r="11503" ht="14.25">
      <c r="B11503" s="18" t="s">
        <v>1153</v>
      </c>
      <c r="C11503" s="18" t="s">
        <v>53226</v>
      </c>
      <c r="D11503" s="18" t="s">
        <v>112</v>
      </c>
      <c r="E11503" s="18" t="s">
        <v>53227</v>
      </c>
      <c r="F11503" s="18" t="str">
        <f>IFERROR(__XLUDF.DUMMYFUNCTION("PROPER(REGEXREPLACE(D1415,""[^A-Za-z]+ "",""""))"),"Kapea")</f>
        <v>Kapea</v>
      </c>
      <c r="G11503" s="18" t="s">
        <v>53228</v>
      </c>
      <c r="H11503" s="18">
        <v>11</v>
      </c>
      <c r="I11503" s="18" t="s">
        <v>9239</v>
      </c>
      <c r="J11503" s="5" t="s">
        <v>53229</v>
      </c>
      <c r="K11503" s="5" t="s">
        <v>53230</v>
      </c>
      <c r="L11503" s="18" t="s">
        <v>243</v>
      </c>
      <c r="M11503" s="18" t="s">
        <v>29</v>
      </c>
      <c r="N11503" s="18" t="s">
        <v>53231</v>
      </c>
      <c r="O11503" s="18" t="s">
        <v>29</v>
      </c>
      <c r="P11503" s="6"/>
      <c r="Q11503" s="6"/>
      <c r="R11503" s="6"/>
      <c r="S11503" s="6"/>
      <c r="T11503" s="6"/>
      <c r="U11503" s="6"/>
    </row>
    <row r="11504" ht="14.25">
      <c r="B11504" s="18" t="s">
        <v>2299</v>
      </c>
      <c r="C11504" s="18" t="s">
        <v>31989</v>
      </c>
      <c r="D11504" s="18" t="s">
        <v>112</v>
      </c>
      <c r="E11504" s="18" t="s">
        <v>53232</v>
      </c>
      <c r="F11504" s="18" t="str">
        <f>IFERROR(__XLUDF.DUMMYFUNCTION("PROPER(REGEXREPLACE(D1416,""[^A-Za-z]+ "",""""))"),"Artirenov")</f>
        <v>Artirenov</v>
      </c>
      <c r="G11504" s="18" t="s">
        <v>53233</v>
      </c>
      <c r="H11504" s="18">
        <v>32</v>
      </c>
      <c r="I11504" s="18" t="s">
        <v>9239</v>
      </c>
      <c r="J11504" s="5" t="s">
        <v>53234</v>
      </c>
      <c r="K11504" s="5" t="s">
        <v>53235</v>
      </c>
      <c r="L11504" s="18" t="s">
        <v>1312</v>
      </c>
      <c r="M11504" s="18" t="s">
        <v>29</v>
      </c>
      <c r="N11504" s="18" t="s">
        <v>53236</v>
      </c>
      <c r="O11504" s="18" t="s">
        <v>29</v>
      </c>
      <c r="P11504" s="18" t="s">
        <v>53237</v>
      </c>
      <c r="Q11504" s="6"/>
      <c r="R11504" s="6"/>
      <c r="S11504" s="6"/>
      <c r="T11504" s="6"/>
      <c r="U11504" s="6"/>
    </row>
    <row r="11505" ht="14.25">
      <c r="B11505" s="18" t="s">
        <v>37602</v>
      </c>
      <c r="C11505" s="18" t="s">
        <v>53238</v>
      </c>
      <c r="D11505" s="18" t="s">
        <v>172</v>
      </c>
      <c r="E11505" s="18" t="s">
        <v>53239</v>
      </c>
      <c r="F11505" s="18" t="str">
        <f>IFERROR(__XLUDF.DUMMYFUNCTION("PROPER(REGEXREPLACE(D1417,""[^A-Za-z]+ "",""""))"),"Griset Matériel")</f>
        <v xml:space="preserve">Griset Matériel</v>
      </c>
      <c r="G11505" s="18" t="s">
        <v>53240</v>
      </c>
      <c r="H11505" s="18">
        <v>21</v>
      </c>
      <c r="I11505" s="18" t="s">
        <v>9239</v>
      </c>
      <c r="J11505" s="5" t="s">
        <v>53241</v>
      </c>
      <c r="K11505" s="5" t="s">
        <v>53242</v>
      </c>
      <c r="L11505" s="18" t="s">
        <v>774</v>
      </c>
      <c r="M11505" s="18" t="s">
        <v>29</v>
      </c>
      <c r="N11505" s="18" t="s">
        <v>53243</v>
      </c>
      <c r="O11505" s="18" t="s">
        <v>29</v>
      </c>
      <c r="P11505" s="18" t="s">
        <v>53244</v>
      </c>
      <c r="Q11505" s="6"/>
      <c r="R11505" s="6"/>
      <c r="S11505" s="6"/>
      <c r="T11505" s="6"/>
      <c r="U11505" s="6"/>
    </row>
    <row r="11506" ht="14.25">
      <c r="B11506" s="18" t="s">
        <v>2249</v>
      </c>
      <c r="C11506" s="18" t="s">
        <v>53245</v>
      </c>
      <c r="D11506" s="18" t="s">
        <v>172</v>
      </c>
      <c r="E11506" s="18" t="s">
        <v>53246</v>
      </c>
      <c r="F11506" s="18" t="str">
        <f>IFERROR(__XLUDF.DUMMYFUNCTION("PROPER(REGEXREPLACE(D1418,""[^A-Za-z]+ "",""""))"),"Axiom Développement")</f>
        <v xml:space="preserve">Axiom Développement</v>
      </c>
      <c r="G11506" s="18" t="s">
        <v>53247</v>
      </c>
      <c r="H11506" s="18">
        <v>8</v>
      </c>
      <c r="I11506" s="18" t="s">
        <v>4293</v>
      </c>
      <c r="J11506" s="5" t="s">
        <v>53248</v>
      </c>
      <c r="K11506" s="5" t="s">
        <v>53249</v>
      </c>
      <c r="L11506" s="18" t="s">
        <v>39</v>
      </c>
      <c r="M11506" s="18" t="s">
        <v>29</v>
      </c>
      <c r="N11506" s="18" t="s">
        <v>53250</v>
      </c>
      <c r="O11506" s="18" t="s">
        <v>29</v>
      </c>
      <c r="P11506" s="6"/>
      <c r="Q11506" s="6"/>
      <c r="R11506" s="6"/>
      <c r="S11506" s="6"/>
      <c r="T11506" s="6"/>
      <c r="U11506" s="6"/>
    </row>
    <row r="11507" ht="14.25">
      <c r="B11507" s="18" t="s">
        <v>53251</v>
      </c>
      <c r="C11507" s="18" t="s">
        <v>604</v>
      </c>
      <c r="D11507" s="18" t="s">
        <v>426</v>
      </c>
      <c r="E11507" s="18" t="s">
        <v>53252</v>
      </c>
      <c r="F11507" s="18" t="str">
        <f>IFERROR(__XLUDF.DUMMYFUNCTION("PROPER(REGEXREPLACE(D1419,""[^A-Za-z]+ "",""""))"),"La Compagnie Du Logement")</f>
        <v xml:space="preserve">La Compagnie Du Logement</v>
      </c>
      <c r="G11507" s="18" t="s">
        <v>53253</v>
      </c>
      <c r="H11507" s="18">
        <v>32</v>
      </c>
      <c r="I11507" s="18" t="s">
        <v>9239</v>
      </c>
      <c r="J11507" s="5" t="s">
        <v>53254</v>
      </c>
      <c r="K11507" s="5" t="s">
        <v>53255</v>
      </c>
      <c r="L11507" s="18" t="s">
        <v>4303</v>
      </c>
      <c r="M11507" s="18" t="s">
        <v>29</v>
      </c>
      <c r="N11507" s="18" t="s">
        <v>53256</v>
      </c>
      <c r="O11507" s="18" t="s">
        <v>29</v>
      </c>
      <c r="P11507" s="6"/>
      <c r="Q11507" s="6"/>
      <c r="R11507" s="6"/>
      <c r="S11507" s="6"/>
      <c r="T11507" s="6"/>
      <c r="U11507" s="6"/>
    </row>
    <row r="11508" ht="14.25">
      <c r="B11508" s="18" t="s">
        <v>1027</v>
      </c>
      <c r="C11508" s="18" t="s">
        <v>53257</v>
      </c>
      <c r="D11508" s="18" t="s">
        <v>172</v>
      </c>
      <c r="E11508" s="18" t="s">
        <v>53258</v>
      </c>
      <c r="F11508" s="18" t="str">
        <f>IFERROR(__XLUDF.DUMMYFUNCTION("PROPER(REGEXREPLACE(D1420,""[^A-Za-z]+ "",""""))"),"Arteix")</f>
        <v>Arteix</v>
      </c>
      <c r="G11508" s="18" t="s">
        <v>53259</v>
      </c>
      <c r="H11508" s="18">
        <v>5</v>
      </c>
      <c r="I11508" s="18" t="s">
        <v>9239</v>
      </c>
      <c r="J11508" s="5" t="s">
        <v>53260</v>
      </c>
      <c r="K11508" s="5" t="s">
        <v>53261</v>
      </c>
      <c r="L11508" s="18" t="s">
        <v>846</v>
      </c>
      <c r="M11508" s="18" t="s">
        <v>29</v>
      </c>
      <c r="N11508" s="18" t="s">
        <v>5865</v>
      </c>
      <c r="O11508" s="18" t="s">
        <v>29</v>
      </c>
      <c r="P11508" s="18" t="s">
        <v>53262</v>
      </c>
      <c r="Q11508" s="6"/>
      <c r="R11508" s="6"/>
      <c r="S11508" s="6"/>
      <c r="T11508" s="6"/>
      <c r="U11508" s="6"/>
    </row>
    <row r="11509" ht="14.25">
      <c r="B11509" s="18" t="s">
        <v>4986</v>
      </c>
      <c r="C11509" s="18" t="s">
        <v>53263</v>
      </c>
      <c r="D11509" s="18" t="s">
        <v>172</v>
      </c>
      <c r="E11509" s="18" t="s">
        <v>53264</v>
      </c>
      <c r="F11509" s="18" t="str">
        <f>IFERROR(__XLUDF.DUMMYFUNCTION("PROPER(REGEXREPLACE(D1421,""[^A-Za-z]+ "",""""))"),"Oph De Saint-Dizier")</f>
        <v xml:space="preserve">Oph De Saint-Dizier</v>
      </c>
      <c r="G11509" s="18" t="s">
        <v>53265</v>
      </c>
      <c r="H11509" s="18">
        <v>20</v>
      </c>
      <c r="I11509" s="18" t="s">
        <v>4293</v>
      </c>
      <c r="J11509" s="5" t="s">
        <v>53266</v>
      </c>
      <c r="K11509" s="5" t="s">
        <v>53267</v>
      </c>
      <c r="L11509" s="18" t="s">
        <v>53268</v>
      </c>
      <c r="M11509" s="18" t="s">
        <v>29</v>
      </c>
      <c r="N11509" s="18" t="s">
        <v>53269</v>
      </c>
      <c r="O11509" s="18" t="s">
        <v>29</v>
      </c>
      <c r="P11509" s="18" t="s">
        <v>53270</v>
      </c>
      <c r="Q11509" s="6"/>
      <c r="R11509" s="6"/>
      <c r="S11509" s="6"/>
      <c r="T11509" s="6"/>
      <c r="U11509" s="6"/>
    </row>
    <row r="11510" ht="14.25">
      <c r="B11510" s="18" t="s">
        <v>53271</v>
      </c>
      <c r="C11510" s="18" t="s">
        <v>53272</v>
      </c>
      <c r="D11510" s="18" t="s">
        <v>172</v>
      </c>
      <c r="E11510" s="18" t="s">
        <v>53273</v>
      </c>
      <c r="F11510" s="18" t="str">
        <f>IFERROR(__XLUDF.DUMMYFUNCTION("PROPER(REGEXREPLACE(D1422,""[^A-Za-z]+ "",""""))"),"Prestibat")</f>
        <v>Prestibat</v>
      </c>
      <c r="G11510" s="18" t="s">
        <v>53274</v>
      </c>
      <c r="H11510" s="18">
        <v>32</v>
      </c>
      <c r="I11510" s="18" t="s">
        <v>9239</v>
      </c>
      <c r="J11510" s="5" t="s">
        <v>53275</v>
      </c>
      <c r="K11510" s="5" t="s">
        <v>53276</v>
      </c>
      <c r="L11510" s="18" t="s">
        <v>39</v>
      </c>
      <c r="M11510" s="18" t="s">
        <v>29</v>
      </c>
      <c r="N11510" s="18" t="s">
        <v>53277</v>
      </c>
      <c r="O11510" s="18" t="s">
        <v>29</v>
      </c>
      <c r="P11510" s="18" t="s">
        <v>53278</v>
      </c>
      <c r="Q11510" s="6"/>
      <c r="R11510" s="6"/>
      <c r="S11510" s="6"/>
      <c r="T11510" s="6"/>
      <c r="U11510" s="6"/>
    </row>
    <row r="11511" ht="14.25">
      <c r="B11511" s="18" t="s">
        <v>20</v>
      </c>
      <c r="C11511" s="18" t="s">
        <v>53279</v>
      </c>
      <c r="D11511" s="18" t="s">
        <v>172</v>
      </c>
      <c r="E11511" s="18" t="s">
        <v>53280</v>
      </c>
      <c r="F11511" s="18" t="str">
        <f>IFERROR(__XLUDF.DUMMYFUNCTION("PROPER(REGEXREPLACE(D1423,""[^A-Za-z]+ "",""""))"),"Antway")</f>
        <v>Antway</v>
      </c>
      <c r="G11511" s="18" t="s">
        <v>53281</v>
      </c>
      <c r="H11511" s="18">
        <v>20</v>
      </c>
      <c r="I11511" s="18" t="s">
        <v>9239</v>
      </c>
      <c r="J11511" s="5" t="s">
        <v>53282</v>
      </c>
      <c r="K11511" s="5" t="s">
        <v>53283</v>
      </c>
      <c r="L11511" s="18" t="s">
        <v>15456</v>
      </c>
      <c r="M11511" s="18" t="s">
        <v>29</v>
      </c>
      <c r="N11511" s="18" t="s">
        <v>53284</v>
      </c>
      <c r="O11511" s="18" t="s">
        <v>29</v>
      </c>
      <c r="P11511" s="6"/>
      <c r="Q11511" s="6"/>
      <c r="R11511" s="6"/>
      <c r="S11511" s="6"/>
      <c r="T11511" s="6"/>
      <c r="U11511" s="6"/>
    </row>
    <row r="11512" ht="14.25">
      <c r="B11512" s="18" t="s">
        <v>874</v>
      </c>
      <c r="C11512" s="18" t="s">
        <v>53285</v>
      </c>
      <c r="D11512" s="18" t="s">
        <v>53286</v>
      </c>
      <c r="E11512" s="18" t="s">
        <v>53287</v>
      </c>
      <c r="F11512" s="18" t="str">
        <f>IFERROR(__XLUDF.DUMMYFUNCTION("PROPER(REGEXREPLACE(D1424,""[^A-Za-z]+ "",""""))"),"Bexconsult")</f>
        <v>Bexconsult</v>
      </c>
      <c r="G11512" s="18" t="s">
        <v>53288</v>
      </c>
      <c r="H11512" s="18">
        <v>17</v>
      </c>
      <c r="I11512" s="18" t="s">
        <v>9239</v>
      </c>
      <c r="J11512" s="5" t="s">
        <v>53289</v>
      </c>
      <c r="K11512" s="5" t="s">
        <v>53290</v>
      </c>
      <c r="L11512" s="18" t="s">
        <v>140</v>
      </c>
      <c r="M11512" s="18" t="s">
        <v>29</v>
      </c>
      <c r="N11512" s="18" t="s">
        <v>3759</v>
      </c>
      <c r="O11512" s="18" t="s">
        <v>29</v>
      </c>
      <c r="P11512" s="18" t="s">
        <v>53291</v>
      </c>
      <c r="Q11512" s="6"/>
      <c r="R11512" s="6"/>
      <c r="S11512" s="6"/>
      <c r="T11512" s="6"/>
      <c r="U11512" s="6"/>
    </row>
    <row r="11513" ht="14.25">
      <c r="B11513" s="18" t="s">
        <v>785</v>
      </c>
      <c r="C11513" s="18" t="s">
        <v>53292</v>
      </c>
      <c r="D11513" s="18" t="s">
        <v>487</v>
      </c>
      <c r="E11513" s="18" t="s">
        <v>53293</v>
      </c>
      <c r="F11513" s="18" t="str">
        <f>IFERROR(__XLUDF.DUMMYFUNCTION("PROPER(REGEXREPLACE(D1425,""[^A-Za-z]+ "",""""))"),"Fer Met Alu")</f>
        <v xml:space="preserve">Fer Met Alu</v>
      </c>
      <c r="G11513" s="18" t="s">
        <v>53294</v>
      </c>
      <c r="H11513" s="18">
        <v>34</v>
      </c>
      <c r="I11513" s="18" t="s">
        <v>9239</v>
      </c>
      <c r="J11513" s="5" t="s">
        <v>53295</v>
      </c>
      <c r="K11513" s="5" t="s">
        <v>53296</v>
      </c>
      <c r="L11513" s="18" t="s">
        <v>1826</v>
      </c>
      <c r="M11513" s="18" t="s">
        <v>29</v>
      </c>
      <c r="N11513" s="18" t="s">
        <v>53297</v>
      </c>
      <c r="O11513" s="18" t="s">
        <v>29</v>
      </c>
      <c r="P11513" s="6"/>
      <c r="Q11513" s="6"/>
      <c r="R11513" s="6"/>
      <c r="S11513" s="6"/>
      <c r="T11513" s="6"/>
      <c r="U11513" s="6"/>
    </row>
    <row r="11514" ht="14.25">
      <c r="B11514" s="18" t="s">
        <v>322</v>
      </c>
      <c r="C11514" s="6"/>
      <c r="D11514" s="18" t="s">
        <v>87</v>
      </c>
      <c r="E11514" s="18" t="s">
        <v>53298</v>
      </c>
      <c r="F11514" s="18" t="str">
        <f>IFERROR(__XLUDF.DUMMYFUNCTION("PROPER(REGEXREPLACE(D1426,""[^A-Za-z]+ "",""""))"),"Walden Solutions")</f>
        <v xml:space="preserve">Walden Solutions</v>
      </c>
      <c r="G11514" s="18" t="s">
        <v>53299</v>
      </c>
      <c r="H11514" s="18">
        <v>5</v>
      </c>
      <c r="I11514" s="18" t="s">
        <v>9239</v>
      </c>
      <c r="J11514" s="5" t="s">
        <v>53300</v>
      </c>
      <c r="K11514" s="5" t="s">
        <v>53301</v>
      </c>
      <c r="L11514" s="6"/>
      <c r="M11514" s="18" t="s">
        <v>29</v>
      </c>
      <c r="N11514" s="18" t="s">
        <v>29</v>
      </c>
      <c r="O11514" s="18" t="s">
        <v>29</v>
      </c>
      <c r="P11514" s="18" t="s">
        <v>53302</v>
      </c>
      <c r="Q11514" s="6"/>
      <c r="R11514" s="6"/>
      <c r="S11514" s="6"/>
      <c r="T11514" s="6"/>
      <c r="U11514" s="6"/>
    </row>
    <row r="11515" ht="14.25">
      <c r="B11515" s="18" t="s">
        <v>95</v>
      </c>
      <c r="C11515" s="18" t="s">
        <v>53303</v>
      </c>
      <c r="D11515" s="18" t="s">
        <v>172</v>
      </c>
      <c r="E11515" s="18" t="s">
        <v>53304</v>
      </c>
      <c r="F11515" s="18" t="str">
        <f>IFERROR(__XLUDF.DUMMYFUNCTION("PROPER(REGEXREPLACE(D1427,""[^A-Za-z]+ "",""""))"),"Exedix")</f>
        <v>Exedix</v>
      </c>
      <c r="G11515" s="18" t="s">
        <v>53305</v>
      </c>
      <c r="H11515" s="18">
        <v>5</v>
      </c>
      <c r="I11515" s="18" t="s">
        <v>9239</v>
      </c>
      <c r="J11515" s="5" t="s">
        <v>53306</v>
      </c>
      <c r="K11515" s="5" t="s">
        <v>53307</v>
      </c>
      <c r="L11515" s="18" t="s">
        <v>39</v>
      </c>
      <c r="M11515" s="18" t="s">
        <v>29</v>
      </c>
      <c r="N11515" s="18" t="s">
        <v>53308</v>
      </c>
      <c r="O11515" s="18" t="s">
        <v>29</v>
      </c>
      <c r="P11515" s="18" t="s">
        <v>53309</v>
      </c>
      <c r="Q11515" s="6"/>
      <c r="R11515" s="6"/>
      <c r="S11515" s="6"/>
      <c r="T11515" s="6"/>
      <c r="U11515" s="6"/>
    </row>
    <row r="11516" ht="14.25">
      <c r="B11516" s="18" t="s">
        <v>670</v>
      </c>
      <c r="C11516" s="18" t="s">
        <v>53310</v>
      </c>
      <c r="D11516" s="18" t="s">
        <v>172</v>
      </c>
      <c r="E11516" s="18" t="s">
        <v>53311</v>
      </c>
      <c r="F11516" s="18" t="str">
        <f>IFERROR(__XLUDF.DUMMYFUNCTION("PROPER(REGEXREPLACE(D1428,""[^A-Za-z]+ "",""""))"),"Fraisage Services")</f>
        <v xml:space="preserve">Fraisage Services</v>
      </c>
      <c r="G11516" s="18" t="s">
        <v>53312</v>
      </c>
      <c r="H11516" s="18">
        <v>10</v>
      </c>
      <c r="I11516" s="18" t="s">
        <v>9239</v>
      </c>
      <c r="J11516" s="5" t="s">
        <v>53313</v>
      </c>
      <c r="K11516" s="5" t="s">
        <v>53314</v>
      </c>
      <c r="L11516" s="18" t="s">
        <v>53315</v>
      </c>
      <c r="M11516" s="18" t="s">
        <v>29</v>
      </c>
      <c r="N11516" s="18" t="s">
        <v>53316</v>
      </c>
      <c r="O11516" s="18" t="s">
        <v>29</v>
      </c>
      <c r="P11516" s="6"/>
      <c r="Q11516" s="6"/>
      <c r="R11516" s="6"/>
      <c r="S11516" s="6"/>
      <c r="T11516" s="6"/>
      <c r="U11516" s="6"/>
    </row>
    <row r="11517" ht="14.25">
      <c r="B11517" s="18" t="s">
        <v>5716</v>
      </c>
      <c r="C11517" s="18" t="s">
        <v>53317</v>
      </c>
      <c r="D11517" s="18" t="s">
        <v>172</v>
      </c>
      <c r="E11517" s="18" t="s">
        <v>53318</v>
      </c>
      <c r="F11517" s="18" t="str">
        <f>IFERROR(__XLUDF.DUMMYFUNCTION("PROPER(REGEXREPLACE(D1429,""[^A-Za-z]+ "",""""))"),"Menuiserie Thalmann")</f>
        <v xml:space="preserve">Menuiserie Thalmann</v>
      </c>
      <c r="G11517" s="18" t="s">
        <v>53319</v>
      </c>
      <c r="H11517" s="18">
        <v>6</v>
      </c>
      <c r="I11517" s="18" t="s">
        <v>9239</v>
      </c>
      <c r="J11517" s="5" t="s">
        <v>53320</v>
      </c>
      <c r="K11517" s="5" t="s">
        <v>53321</v>
      </c>
      <c r="L11517" s="18" t="s">
        <v>185</v>
      </c>
      <c r="M11517" s="18" t="s">
        <v>29</v>
      </c>
      <c r="N11517" s="18" t="s">
        <v>53322</v>
      </c>
      <c r="O11517" s="18" t="s">
        <v>29</v>
      </c>
      <c r="P11517" s="18" t="s">
        <v>53323</v>
      </c>
      <c r="Q11517" s="6"/>
      <c r="R11517" s="6"/>
      <c r="S11517" s="6"/>
      <c r="T11517" s="6"/>
      <c r="U11517" s="6"/>
    </row>
    <row r="11518" ht="14.25">
      <c r="B11518" s="18" t="s">
        <v>21738</v>
      </c>
      <c r="C11518" s="18" t="s">
        <v>4298</v>
      </c>
      <c r="D11518" s="18" t="s">
        <v>172</v>
      </c>
      <c r="E11518" s="18" t="s">
        <v>21739</v>
      </c>
      <c r="F11518" s="18" t="str">
        <f>IFERROR(__XLUDF.DUMMYFUNCTION("PROPER(REGEXREPLACE(D1430,""[^A-Za-z]+ "",""""))"),"Hotel Project Management Hpm")</f>
        <v xml:space="preserve">Hotel Project Management Hpm</v>
      </c>
      <c r="G11518" s="18" t="s">
        <v>21740</v>
      </c>
      <c r="H11518" s="18">
        <v>24</v>
      </c>
      <c r="I11518" s="18" t="s">
        <v>4293</v>
      </c>
      <c r="J11518" s="5" t="s">
        <v>53324</v>
      </c>
      <c r="K11518" s="5" t="s">
        <v>21742</v>
      </c>
      <c r="L11518" s="18" t="s">
        <v>39</v>
      </c>
      <c r="M11518" s="18" t="s">
        <v>29</v>
      </c>
      <c r="N11518" s="18" t="s">
        <v>21743</v>
      </c>
      <c r="O11518" s="18" t="s">
        <v>29</v>
      </c>
      <c r="P11518" s="6"/>
      <c r="Q11518" s="6"/>
      <c r="R11518" s="6"/>
      <c r="S11518" s="6"/>
      <c r="T11518" s="6"/>
      <c r="U11518" s="6"/>
    </row>
    <row r="11519" ht="14.25">
      <c r="B11519" s="18" t="s">
        <v>53325</v>
      </c>
      <c r="C11519" s="18" t="s">
        <v>53326</v>
      </c>
      <c r="D11519" s="18" t="s">
        <v>53327</v>
      </c>
      <c r="E11519" s="18" t="s">
        <v>53328</v>
      </c>
      <c r="F11519" s="18" t="str">
        <f>IFERROR(__XLUDF.DUMMYFUNCTION("PROPER(REGEXREPLACE(D1431,""[^A-Za-z]+ "",""""))"),"Creabois Menuiserie Agencement")</f>
        <v xml:space="preserve">Creabois Menuiserie Agencement</v>
      </c>
      <c r="G11519" s="18" t="s">
        <v>53329</v>
      </c>
      <c r="H11519" s="18">
        <v>12</v>
      </c>
      <c r="I11519" s="18" t="s">
        <v>9239</v>
      </c>
      <c r="J11519" s="5" t="s">
        <v>53330</v>
      </c>
      <c r="K11519" s="5" t="s">
        <v>53331</v>
      </c>
      <c r="L11519" s="6"/>
      <c r="M11519" s="18" t="s">
        <v>29</v>
      </c>
      <c r="N11519" s="18" t="s">
        <v>53332</v>
      </c>
      <c r="O11519" s="18" t="s">
        <v>29</v>
      </c>
      <c r="P11519" s="6"/>
      <c r="Q11519" s="6"/>
      <c r="R11519" s="6"/>
      <c r="S11519" s="6"/>
      <c r="T11519" s="6"/>
      <c r="U11519" s="6"/>
    </row>
    <row r="11520" ht="14.25">
      <c r="B11520" s="18" t="s">
        <v>1704</v>
      </c>
      <c r="C11520" s="18" t="s">
        <v>53333</v>
      </c>
      <c r="D11520" s="18" t="s">
        <v>120</v>
      </c>
      <c r="E11520" s="18" t="s">
        <v>53334</v>
      </c>
      <c r="F11520" s="18" t="str">
        <f>IFERROR(__XLUDF.DUMMYFUNCTION("PROPER(REGEXREPLACE(D1432,""[^A-Za-z]+ "",""""))"),"Les Métronormes")</f>
        <v xml:space="preserve">Les Métronormes</v>
      </c>
      <c r="G11520" s="18" t="s">
        <v>53335</v>
      </c>
      <c r="H11520" s="18">
        <v>7</v>
      </c>
      <c r="I11520" s="18" t="s">
        <v>9239</v>
      </c>
      <c r="J11520" s="5" t="s">
        <v>53336</v>
      </c>
      <c r="K11520" s="5" t="s">
        <v>53337</v>
      </c>
      <c r="L11520" s="18" t="s">
        <v>53338</v>
      </c>
      <c r="M11520" s="18" t="s">
        <v>29</v>
      </c>
      <c r="N11520" s="18" t="s">
        <v>53339</v>
      </c>
      <c r="O11520" s="18" t="s">
        <v>29</v>
      </c>
      <c r="P11520" s="18" t="s">
        <v>53340</v>
      </c>
      <c r="Q11520" s="6"/>
      <c r="R11520" s="6"/>
      <c r="S11520" s="6"/>
      <c r="T11520" s="6"/>
      <c r="U11520" s="6"/>
    </row>
    <row r="11521" ht="14.25">
      <c r="B11521" s="18" t="s">
        <v>2258</v>
      </c>
      <c r="C11521" s="18" t="s">
        <v>53341</v>
      </c>
      <c r="D11521" s="18" t="s">
        <v>172</v>
      </c>
      <c r="E11521" s="18" t="s">
        <v>13986</v>
      </c>
      <c r="F11521" s="18" t="str">
        <f>IFERROR(__XLUDF.DUMMYFUNCTION("PROPER(REGEXREPLACE(D1433,""[^A-Za-z]+ "",""""))"),"Roche Et Cie")</f>
        <v xml:space="preserve">Roche Et Cie</v>
      </c>
      <c r="G11521" s="18" t="s">
        <v>53342</v>
      </c>
      <c r="H11521" s="18">
        <v>41</v>
      </c>
      <c r="I11521" s="18" t="s">
        <v>9239</v>
      </c>
      <c r="J11521" s="5" t="s">
        <v>53343</v>
      </c>
      <c r="K11521" s="5" t="s">
        <v>53344</v>
      </c>
      <c r="L11521" s="18" t="s">
        <v>2174</v>
      </c>
      <c r="M11521" s="18" t="s">
        <v>29</v>
      </c>
      <c r="N11521" s="18" t="s">
        <v>53345</v>
      </c>
      <c r="O11521" s="18" t="s">
        <v>29</v>
      </c>
      <c r="P11521" s="6"/>
      <c r="Q11521" s="6"/>
      <c r="R11521" s="6"/>
      <c r="S11521" s="6"/>
      <c r="T11521" s="6"/>
      <c r="U11521" s="6"/>
    </row>
    <row r="11522" ht="14.25">
      <c r="B11522" s="18" t="s">
        <v>604</v>
      </c>
      <c r="C11522" s="18" t="s">
        <v>53346</v>
      </c>
      <c r="D11522" s="18" t="s">
        <v>172</v>
      </c>
      <c r="E11522" s="18" t="s">
        <v>53347</v>
      </c>
      <c r="F11522" s="18" t="str">
        <f>IFERROR(__XLUDF.DUMMYFUNCTION("PROPER(REGEXREPLACE(D1434,""[^A-Za-z]+ "",""""))"),"Eda")</f>
        <v>Eda</v>
      </c>
      <c r="G11522" s="18" t="s">
        <v>53348</v>
      </c>
      <c r="H11522" s="18">
        <v>16</v>
      </c>
      <c r="I11522" s="18" t="s">
        <v>9239</v>
      </c>
      <c r="J11522" s="5" t="s">
        <v>53349</v>
      </c>
      <c r="K11522" s="5" t="s">
        <v>53350</v>
      </c>
      <c r="L11522" s="18" t="s">
        <v>185</v>
      </c>
      <c r="M11522" s="18" t="s">
        <v>29</v>
      </c>
      <c r="N11522" s="18" t="s">
        <v>53351</v>
      </c>
      <c r="O11522" s="18" t="s">
        <v>29</v>
      </c>
      <c r="P11522" s="18" t="s">
        <v>53352</v>
      </c>
      <c r="Q11522" s="6"/>
      <c r="R11522" s="6"/>
      <c r="S11522" s="6"/>
      <c r="T11522" s="6"/>
      <c r="U11522" s="6"/>
    </row>
    <row r="11523" ht="14.25">
      <c r="B11523" s="18" t="s">
        <v>4026</v>
      </c>
      <c r="C11523" s="18" t="s">
        <v>53353</v>
      </c>
      <c r="D11523" s="18" t="s">
        <v>172</v>
      </c>
      <c r="E11523" s="18" t="s">
        <v>53354</v>
      </c>
      <c r="F11523" s="18" t="str">
        <f>IFERROR(__XLUDF.DUMMYFUNCTION("PROPER(REGEXREPLACE(D1435,""[^A-Za-z]+ "",""""))"),"Neoler Energie")</f>
        <v xml:space="preserve">Neoler Energie</v>
      </c>
      <c r="G11523" s="18" t="s">
        <v>53355</v>
      </c>
      <c r="H11523" s="18">
        <v>27</v>
      </c>
      <c r="I11523" s="18" t="s">
        <v>9239</v>
      </c>
      <c r="J11523" s="5" t="s">
        <v>53356</v>
      </c>
      <c r="K11523" s="5" t="s">
        <v>53357</v>
      </c>
      <c r="L11523" s="18" t="s">
        <v>53358</v>
      </c>
      <c r="M11523" s="18" t="s">
        <v>29</v>
      </c>
      <c r="N11523" s="18" t="s">
        <v>53359</v>
      </c>
      <c r="O11523" s="18" t="s">
        <v>29</v>
      </c>
      <c r="P11523" s="18" t="s">
        <v>53360</v>
      </c>
      <c r="Q11523" s="6"/>
      <c r="R11523" s="6"/>
      <c r="S11523" s="6"/>
      <c r="T11523" s="6"/>
      <c r="U11523" s="6"/>
    </row>
    <row r="11524" ht="14.25">
      <c r="B11524" s="18" t="s">
        <v>948</v>
      </c>
      <c r="C11524" s="18" t="s">
        <v>21090</v>
      </c>
      <c r="D11524" s="18" t="s">
        <v>172</v>
      </c>
      <c r="E11524" s="18" t="s">
        <v>53361</v>
      </c>
      <c r="F11524" s="18" t="str">
        <f>IFERROR(__XLUDF.DUMMYFUNCTION("PROPER(REGEXREPLACE(D1436,""[^A-Za-z]+ "",""""))"),"Oxymontage")</f>
        <v>Oxymontage</v>
      </c>
      <c r="G11524" s="18" t="s">
        <v>53362</v>
      </c>
      <c r="H11524" s="18">
        <v>30</v>
      </c>
      <c r="I11524" s="18" t="s">
        <v>9239</v>
      </c>
      <c r="J11524" s="5" t="s">
        <v>53363</v>
      </c>
      <c r="K11524" s="5" t="s">
        <v>53364</v>
      </c>
      <c r="L11524" s="18" t="s">
        <v>53365</v>
      </c>
      <c r="M11524" s="18" t="s">
        <v>29</v>
      </c>
      <c r="N11524" s="18" t="s">
        <v>53366</v>
      </c>
      <c r="O11524" s="18" t="s">
        <v>29</v>
      </c>
      <c r="P11524" s="6"/>
      <c r="Q11524" s="6"/>
      <c r="R11524" s="6"/>
      <c r="S11524" s="6"/>
      <c r="T11524" s="6"/>
      <c r="U11524" s="6"/>
    </row>
    <row r="11525" ht="14.25">
      <c r="B11525" s="18" t="s">
        <v>53367</v>
      </c>
      <c r="C11525" s="18" t="s">
        <v>53368</v>
      </c>
      <c r="D11525" s="18" t="s">
        <v>172</v>
      </c>
      <c r="E11525" s="18" t="s">
        <v>53369</v>
      </c>
      <c r="F11525" s="18" t="str">
        <f>IFERROR(__XLUDF.DUMMYFUNCTION("PROPER(REGEXREPLACE(D1437,""[^A-Za-z]+ "",""""))"),"A.M.D.F")</f>
        <v>A.M.D.F</v>
      </c>
      <c r="G11525" s="18" t="s">
        <v>53370</v>
      </c>
      <c r="H11525" s="18">
        <v>2</v>
      </c>
      <c r="I11525" s="18" t="s">
        <v>9239</v>
      </c>
      <c r="J11525" s="5" t="s">
        <v>53371</v>
      </c>
      <c r="K11525" s="5" t="s">
        <v>53372</v>
      </c>
      <c r="L11525" s="18" t="s">
        <v>39</v>
      </c>
      <c r="M11525" s="18" t="s">
        <v>29</v>
      </c>
      <c r="N11525" s="18" t="s">
        <v>53373</v>
      </c>
      <c r="O11525" s="18" t="s">
        <v>29</v>
      </c>
      <c r="P11525" s="6"/>
      <c r="Q11525" s="6"/>
      <c r="R11525" s="6"/>
      <c r="S11525" s="6"/>
      <c r="T11525" s="6"/>
      <c r="U11525" s="6"/>
    </row>
    <row r="11526" ht="14.25">
      <c r="B11526" s="18" t="s">
        <v>670</v>
      </c>
      <c r="C11526" s="18" t="s">
        <v>49401</v>
      </c>
      <c r="D11526" s="18" t="s">
        <v>53374</v>
      </c>
      <c r="E11526" s="18" t="s">
        <v>53375</v>
      </c>
      <c r="F11526" s="18" t="str">
        <f>IFERROR(__XLUDF.DUMMYFUNCTION("PROPER(REGEXREPLACE(D1438,""[^A-Za-z]+ "",""""))"),"Menuiserie Bonnardel")</f>
        <v xml:space="preserve">Menuiserie Bonnardel</v>
      </c>
      <c r="G11526" s="18" t="s">
        <v>53376</v>
      </c>
      <c r="H11526" s="18">
        <v>36</v>
      </c>
      <c r="I11526" s="18" t="s">
        <v>9239</v>
      </c>
      <c r="J11526" s="5" t="s">
        <v>53377</v>
      </c>
      <c r="K11526" s="5" t="s">
        <v>53378</v>
      </c>
      <c r="L11526" s="18" t="s">
        <v>53379</v>
      </c>
      <c r="M11526" s="18" t="s">
        <v>29</v>
      </c>
      <c r="N11526" s="18" t="s">
        <v>53380</v>
      </c>
      <c r="O11526" s="18" t="s">
        <v>29</v>
      </c>
      <c r="P11526" s="18" t="s">
        <v>53381</v>
      </c>
      <c r="Q11526" s="6"/>
      <c r="R11526" s="6"/>
      <c r="S11526" s="6"/>
      <c r="T11526" s="6"/>
      <c r="U11526" s="6"/>
    </row>
    <row r="11527" ht="14.25">
      <c r="B11527" s="18" t="s">
        <v>743</v>
      </c>
      <c r="C11527" s="18" t="s">
        <v>53382</v>
      </c>
      <c r="D11527" s="18" t="s">
        <v>172</v>
      </c>
      <c r="E11527" s="18" t="s">
        <v>53383</v>
      </c>
      <c r="F11527" s="18" t="str">
        <f>IFERROR(__XLUDF.DUMMYFUNCTION("PROPER(REGEXREPLACE(D1439,""[^A-Za-z]+ "",""""))"),"Nys Et Cie")</f>
        <v xml:space="preserve">Nys Et Cie</v>
      </c>
      <c r="G11527" s="18" t="s">
        <v>53384</v>
      </c>
      <c r="H11527" s="18">
        <v>4</v>
      </c>
      <c r="I11527" s="18" t="s">
        <v>9239</v>
      </c>
      <c r="J11527" s="5" t="s">
        <v>53385</v>
      </c>
      <c r="K11527" s="5" t="s">
        <v>53386</v>
      </c>
      <c r="L11527" s="18" t="s">
        <v>846</v>
      </c>
      <c r="M11527" s="18" t="s">
        <v>29</v>
      </c>
      <c r="N11527" s="18" t="s">
        <v>53387</v>
      </c>
      <c r="O11527" s="18" t="s">
        <v>29</v>
      </c>
      <c r="P11527" s="6"/>
      <c r="Q11527" s="6"/>
      <c r="R11527" s="6"/>
      <c r="S11527" s="6"/>
      <c r="T11527" s="6"/>
      <c r="U11527" s="6"/>
    </row>
    <row r="11528" ht="14.25">
      <c r="B11528" s="18" t="s">
        <v>785</v>
      </c>
      <c r="C11528" s="18" t="s">
        <v>53388</v>
      </c>
      <c r="D11528" s="18" t="s">
        <v>112</v>
      </c>
      <c r="E11528" s="18" t="s">
        <v>53389</v>
      </c>
      <c r="F11528" s="18" t="str">
        <f>IFERROR(__XLUDF.DUMMYFUNCTION("PROPER(REGEXREPLACE(D1440,""[^A-Za-z]+ "",""""))"),"Faceb Sas")</f>
        <v xml:space="preserve">Faceb Sas</v>
      </c>
      <c r="G11528" s="18" t="s">
        <v>53390</v>
      </c>
      <c r="H11528" s="18">
        <v>3</v>
      </c>
      <c r="I11528" s="18" t="s">
        <v>9239</v>
      </c>
      <c r="J11528" s="5" t="s">
        <v>53391</v>
      </c>
      <c r="K11528" s="5" t="s">
        <v>53392</v>
      </c>
      <c r="L11528" s="6"/>
      <c r="M11528" s="18" t="s">
        <v>29</v>
      </c>
      <c r="N11528" s="18" t="s">
        <v>25944</v>
      </c>
      <c r="O11528" s="18" t="s">
        <v>29</v>
      </c>
      <c r="P11528" s="18" t="s">
        <v>53393</v>
      </c>
      <c r="Q11528" s="6"/>
      <c r="R11528" s="6"/>
      <c r="S11528" s="6"/>
      <c r="T11528" s="6"/>
      <c r="U11528" s="6"/>
    </row>
    <row r="11529" ht="14.25">
      <c r="B11529" s="18" t="s">
        <v>1198</v>
      </c>
      <c r="C11529" s="18" t="s">
        <v>53394</v>
      </c>
      <c r="D11529" s="18" t="s">
        <v>487</v>
      </c>
      <c r="E11529" s="18" t="s">
        <v>53395</v>
      </c>
      <c r="F11529" s="18" t="str">
        <f>IFERROR(__XLUDF.DUMMYFUNCTION("PROPER(REGEXREPLACE(D1441,""[^A-Za-z]+ "",""""))"),"Pact Aciercomposite")</f>
        <v xml:space="preserve">Pact Aciercomposite</v>
      </c>
      <c r="G11529" s="18" t="s">
        <v>53396</v>
      </c>
      <c r="H11529" s="18">
        <v>40</v>
      </c>
      <c r="I11529" s="18" t="s">
        <v>9239</v>
      </c>
      <c r="J11529" s="5" t="s">
        <v>53397</v>
      </c>
      <c r="K11529" s="5" t="s">
        <v>53398</v>
      </c>
      <c r="L11529" s="18" t="s">
        <v>185</v>
      </c>
      <c r="M11529" s="18" t="s">
        <v>29</v>
      </c>
      <c r="N11529" s="18" t="s">
        <v>53399</v>
      </c>
      <c r="O11529" s="18" t="s">
        <v>29</v>
      </c>
      <c r="P11529" s="18" t="s">
        <v>53400</v>
      </c>
      <c r="Q11529" s="6"/>
      <c r="R11529" s="6"/>
      <c r="S11529" s="6"/>
      <c r="T11529" s="6"/>
      <c r="U11529" s="6"/>
    </row>
    <row r="11530" ht="14.25">
      <c r="B11530" s="18" t="s">
        <v>255</v>
      </c>
      <c r="C11530" s="18" t="s">
        <v>53401</v>
      </c>
      <c r="D11530" s="18" t="s">
        <v>24175</v>
      </c>
      <c r="E11530" s="18" t="s">
        <v>53402</v>
      </c>
      <c r="F11530" s="18" t="str">
        <f>IFERROR(__XLUDF.DUMMYFUNCTION("PROPER(REGEXREPLACE(D1442,""[^A-Za-z]+ "",""""))"),"Diese")</f>
        <v>Diese</v>
      </c>
      <c r="G11530" s="18" t="s">
        <v>53403</v>
      </c>
      <c r="H11530" s="18">
        <v>11</v>
      </c>
      <c r="I11530" s="18" t="s">
        <v>9239</v>
      </c>
      <c r="J11530" s="5" t="s">
        <v>53404</v>
      </c>
      <c r="K11530" s="5" t="s">
        <v>53405</v>
      </c>
      <c r="L11530" s="18" t="s">
        <v>2186</v>
      </c>
      <c r="M11530" s="18" t="s">
        <v>29</v>
      </c>
      <c r="N11530" s="18" t="s">
        <v>53406</v>
      </c>
      <c r="O11530" s="18" t="s">
        <v>29</v>
      </c>
      <c r="P11530" s="18" t="s">
        <v>53407</v>
      </c>
      <c r="Q11530" s="6"/>
      <c r="R11530" s="6"/>
      <c r="S11530" s="6"/>
      <c r="T11530" s="6"/>
      <c r="U11530" s="6"/>
    </row>
    <row r="11531" ht="14.25">
      <c r="B11531" s="18" t="s">
        <v>53408</v>
      </c>
      <c r="C11531" s="18" t="s">
        <v>661</v>
      </c>
      <c r="D11531" s="18" t="s">
        <v>172</v>
      </c>
      <c r="E11531" s="18" t="s">
        <v>53409</v>
      </c>
      <c r="F11531" s="18" t="str">
        <f>IFERROR(__XLUDF.DUMMYFUNCTION("PROPER(REGEXREPLACE(D1443,""[^A-Za-z]+ "",""""))"),"Flucklinger")</f>
        <v>Flucklinger</v>
      </c>
      <c r="G11531" s="18" t="s">
        <v>53410</v>
      </c>
      <c r="H11531" s="18">
        <v>19</v>
      </c>
      <c r="I11531" s="18" t="s">
        <v>9239</v>
      </c>
      <c r="J11531" s="5" t="s">
        <v>53411</v>
      </c>
      <c r="K11531" s="5" t="s">
        <v>53412</v>
      </c>
      <c r="L11531" s="18" t="s">
        <v>4922</v>
      </c>
      <c r="M11531" s="18" t="s">
        <v>29</v>
      </c>
      <c r="N11531" s="18" t="s">
        <v>53413</v>
      </c>
      <c r="O11531" s="18" t="s">
        <v>29</v>
      </c>
      <c r="P11531" s="18" t="s">
        <v>9120</v>
      </c>
      <c r="Q11531" s="6"/>
      <c r="R11531" s="6"/>
      <c r="S11531" s="6"/>
      <c r="T11531" s="6"/>
      <c r="U11531" s="6"/>
    </row>
    <row r="11532" ht="14.25">
      <c r="B11532" s="18" t="s">
        <v>47538</v>
      </c>
      <c r="C11532" s="18" t="s">
        <v>16032</v>
      </c>
      <c r="D11532" s="18" t="s">
        <v>120</v>
      </c>
      <c r="E11532" s="18" t="s">
        <v>53414</v>
      </c>
      <c r="F11532" s="18" t="str">
        <f>IFERROR(__XLUDF.DUMMYFUNCTION("PROPER(REGEXREPLACE(D1444,""[^A-Za-z]+ "",""""))"),"Abbs Habitat")</f>
        <v xml:space="preserve">Abbs Habitat</v>
      </c>
      <c r="G11532" s="18" t="s">
        <v>53415</v>
      </c>
      <c r="H11532" s="18">
        <v>26</v>
      </c>
      <c r="I11532" s="18" t="s">
        <v>9239</v>
      </c>
      <c r="J11532" s="5" t="s">
        <v>53416</v>
      </c>
      <c r="K11532" s="5" t="s">
        <v>53417</v>
      </c>
      <c r="L11532" s="18" t="s">
        <v>20846</v>
      </c>
      <c r="M11532" s="18" t="s">
        <v>29</v>
      </c>
      <c r="N11532" s="18" t="s">
        <v>53418</v>
      </c>
      <c r="O11532" s="18" t="s">
        <v>29</v>
      </c>
      <c r="P11532" s="18" t="s">
        <v>53419</v>
      </c>
      <c r="Q11532" s="6"/>
      <c r="R11532" s="6"/>
      <c r="S11532" s="6"/>
      <c r="T11532" s="6"/>
      <c r="U11532" s="6"/>
    </row>
    <row r="11533" ht="14.25">
      <c r="B11533" s="18" t="s">
        <v>255</v>
      </c>
      <c r="C11533" s="18" t="s">
        <v>53420</v>
      </c>
      <c r="D11533" s="18" t="s">
        <v>172</v>
      </c>
      <c r="E11533" s="18" t="s">
        <v>53208</v>
      </c>
      <c r="F11533" s="18" t="str">
        <f>IFERROR(__XLUDF.DUMMYFUNCTION("PROPER(REGEXREPLACE(D1445,""[^A-Za-z]+ "",""""))"),"Horizon Couverture Ravalement")</f>
        <v xml:space="preserve">Horizon Couverture Ravalement</v>
      </c>
      <c r="G11533" s="18" t="s">
        <v>53421</v>
      </c>
      <c r="H11533" s="18">
        <v>17</v>
      </c>
      <c r="I11533" s="18" t="s">
        <v>9239</v>
      </c>
      <c r="J11533" s="5" t="s">
        <v>53422</v>
      </c>
      <c r="K11533" s="5" t="s">
        <v>53211</v>
      </c>
      <c r="L11533" s="6"/>
      <c r="M11533" s="18" t="s">
        <v>29</v>
      </c>
      <c r="N11533" s="18" t="s">
        <v>44995</v>
      </c>
      <c r="O11533" s="18" t="s">
        <v>29</v>
      </c>
      <c r="P11533" s="18" t="s">
        <v>53212</v>
      </c>
      <c r="Q11533" s="6"/>
      <c r="R11533" s="6"/>
      <c r="S11533" s="6"/>
      <c r="T11533" s="6"/>
      <c r="U11533" s="6"/>
    </row>
    <row r="11534" ht="14.25">
      <c r="B11534" s="18" t="s">
        <v>2249</v>
      </c>
      <c r="C11534" s="18" t="s">
        <v>16348</v>
      </c>
      <c r="D11534" s="18" t="s">
        <v>172</v>
      </c>
      <c r="E11534" s="18" t="s">
        <v>53423</v>
      </c>
      <c r="F11534" s="18" t="str">
        <f>IFERROR(__XLUDF.DUMMYFUNCTION("PROPER(REGEXREPLACE(D1446,""[^A-Za-z]+ "",""""))"),"Rolandopoisson")</f>
        <v>Rolandopoisson</v>
      </c>
      <c r="G11534" s="18" t="s">
        <v>53424</v>
      </c>
      <c r="H11534" s="18">
        <v>13</v>
      </c>
      <c r="I11534" s="18" t="s">
        <v>9239</v>
      </c>
      <c r="J11534" s="5" t="s">
        <v>53425</v>
      </c>
      <c r="K11534" s="5" t="s">
        <v>53426</v>
      </c>
      <c r="L11534" s="18" t="s">
        <v>185</v>
      </c>
      <c r="M11534" s="18" t="s">
        <v>29</v>
      </c>
      <c r="N11534" s="18" t="s">
        <v>53427</v>
      </c>
      <c r="O11534" s="18" t="s">
        <v>29</v>
      </c>
      <c r="P11534" s="6"/>
      <c r="Q11534" s="6"/>
      <c r="R11534" s="6"/>
      <c r="S11534" s="6"/>
      <c r="T11534" s="6"/>
      <c r="U11534" s="6"/>
    </row>
    <row r="11535" ht="14.25">
      <c r="B11535" s="18" t="s">
        <v>53428</v>
      </c>
      <c r="C11535" s="18" t="s">
        <v>53429</v>
      </c>
      <c r="D11535" s="18" t="s">
        <v>172</v>
      </c>
      <c r="E11535" s="18" t="s">
        <v>53430</v>
      </c>
      <c r="F11535" s="18" t="str">
        <f>IFERROR(__XLUDF.DUMMYFUNCTION("PROPER(REGEXREPLACE(D1447,""[^A-Za-z]+ "",""""))"),"Pelatis Sas")</f>
        <v xml:space="preserve">Pelatis Sas</v>
      </c>
      <c r="G11535" s="18" t="s">
        <v>53431</v>
      </c>
      <c r="H11535" s="18">
        <v>26</v>
      </c>
      <c r="I11535" s="18" t="s">
        <v>9239</v>
      </c>
      <c r="J11535" s="5" t="s">
        <v>53432</v>
      </c>
      <c r="K11535" s="5" t="s">
        <v>53433</v>
      </c>
      <c r="L11535" s="6"/>
      <c r="M11535" s="18" t="s">
        <v>29</v>
      </c>
      <c r="N11535" s="18" t="s">
        <v>53434</v>
      </c>
      <c r="O11535" s="18" t="s">
        <v>29</v>
      </c>
      <c r="P11535" s="6"/>
      <c r="Q11535" s="6"/>
      <c r="R11535" s="6"/>
      <c r="S11535" s="6"/>
      <c r="T11535" s="6"/>
      <c r="U11535" s="6"/>
    </row>
    <row r="11536" ht="14.25">
      <c r="B11536" s="18" t="s">
        <v>3019</v>
      </c>
      <c r="C11536" s="18" t="s">
        <v>53435</v>
      </c>
      <c r="D11536" s="18" t="s">
        <v>426</v>
      </c>
      <c r="E11536" s="18" t="s">
        <v>53436</v>
      </c>
      <c r="F11536" s="18" t="str">
        <f>IFERROR(__XLUDF.DUMMYFUNCTION("PROPER(REGEXREPLACE(D1448,""[^A-Za-z]+ "",""""))"),"Zénith Constructions")</f>
        <v xml:space="preserve">Zénith Constructions</v>
      </c>
      <c r="G11536" s="18" t="s">
        <v>53437</v>
      </c>
      <c r="H11536" s="18">
        <v>16</v>
      </c>
      <c r="I11536" s="18" t="s">
        <v>9239</v>
      </c>
      <c r="J11536" s="5" t="s">
        <v>53438</v>
      </c>
      <c r="K11536" s="5" t="s">
        <v>53439</v>
      </c>
      <c r="L11536" s="18" t="s">
        <v>12209</v>
      </c>
      <c r="M11536" s="18" t="s">
        <v>29</v>
      </c>
      <c r="N11536" s="18" t="s">
        <v>53440</v>
      </c>
      <c r="O11536" s="18" t="s">
        <v>29</v>
      </c>
      <c r="P11536" s="18" t="s">
        <v>53441</v>
      </c>
      <c r="Q11536" s="6"/>
      <c r="R11536" s="6"/>
      <c r="S11536" s="6"/>
      <c r="T11536" s="6"/>
      <c r="U11536" s="6"/>
    </row>
    <row r="11537" ht="14.25">
      <c r="B11537" s="18" t="s">
        <v>4115</v>
      </c>
      <c r="C11537" s="18" t="s">
        <v>53442</v>
      </c>
      <c r="D11537" s="18" t="s">
        <v>172</v>
      </c>
      <c r="E11537" s="18" t="s">
        <v>53443</v>
      </c>
      <c r="F11537" s="18" t="str">
        <f>IFERROR(__XLUDF.DUMMYFUNCTION("PROPER(REGEXREPLACE(D1449,""[^A-Za-z]+ "",""""))"),"Bureau Sécurite De L'Habitat")</f>
        <v xml:space="preserve">Bureau Sécurite De L'Habitat</v>
      </c>
      <c r="G11537" s="18" t="s">
        <v>53444</v>
      </c>
      <c r="H11537" s="18">
        <v>29</v>
      </c>
      <c r="I11537" s="18" t="s">
        <v>9239</v>
      </c>
      <c r="J11537" s="5" t="s">
        <v>53445</v>
      </c>
      <c r="K11537" s="5" t="s">
        <v>53446</v>
      </c>
      <c r="L11537" s="18" t="s">
        <v>17231</v>
      </c>
      <c r="M11537" s="18" t="s">
        <v>29</v>
      </c>
      <c r="N11537" s="18" t="s">
        <v>53447</v>
      </c>
      <c r="O11537" s="18" t="s">
        <v>29</v>
      </c>
      <c r="P11537" s="18" t="s">
        <v>53448</v>
      </c>
      <c r="Q11537" s="6"/>
      <c r="R11537" s="6"/>
      <c r="S11537" s="6"/>
      <c r="T11537" s="6"/>
      <c r="U11537" s="6"/>
    </row>
    <row r="11538" ht="14.25">
      <c r="B11538" s="18" t="s">
        <v>53449</v>
      </c>
      <c r="C11538" s="18" t="s">
        <v>53450</v>
      </c>
      <c r="D11538" s="18" t="s">
        <v>53451</v>
      </c>
      <c r="E11538" s="18" t="s">
        <v>53452</v>
      </c>
      <c r="F11538" s="18" t="str">
        <f>IFERROR(__XLUDF.DUMMYFUNCTION("PROPER(REGEXREPLACE(D1450,""[^A-Za-z]+ "",""""))"),"Cjc Consulting")</f>
        <v xml:space="preserve">Cjc Consulting</v>
      </c>
      <c r="G11538" s="18" t="s">
        <v>53453</v>
      </c>
      <c r="H11538" s="18">
        <v>5</v>
      </c>
      <c r="I11538" s="18" t="s">
        <v>9239</v>
      </c>
      <c r="J11538" s="5" t="s">
        <v>53454</v>
      </c>
      <c r="K11538" s="5" t="s">
        <v>53455</v>
      </c>
      <c r="L11538" s="18" t="s">
        <v>53456</v>
      </c>
      <c r="M11538" s="18" t="s">
        <v>29</v>
      </c>
      <c r="N11538" s="18" t="s">
        <v>53457</v>
      </c>
      <c r="O11538" s="18" t="s">
        <v>29</v>
      </c>
      <c r="P11538" s="18" t="s">
        <v>53458</v>
      </c>
      <c r="Q11538" s="6"/>
      <c r="R11538" s="6"/>
      <c r="S11538" s="6"/>
      <c r="T11538" s="6"/>
      <c r="U11538" s="6"/>
    </row>
    <row r="11539" ht="14.25">
      <c r="B11539" s="18" t="s">
        <v>1324</v>
      </c>
      <c r="C11539" s="18" t="s">
        <v>53459</v>
      </c>
      <c r="D11539" s="18" t="s">
        <v>120</v>
      </c>
      <c r="E11539" s="18" t="s">
        <v>53460</v>
      </c>
      <c r="F11539" s="18" t="str">
        <f>IFERROR(__XLUDF.DUMMYFUNCTION("PROPER(REGEXREPLACE(D1451,""[^A-Za-z]+ "",""""))"),"Atb Agencement")</f>
        <v xml:space="preserve">Atb Agencement</v>
      </c>
      <c r="G11539" s="18" t="s">
        <v>53461</v>
      </c>
      <c r="H11539" s="18">
        <v>3</v>
      </c>
      <c r="I11539" s="18" t="s">
        <v>9239</v>
      </c>
      <c r="J11539" s="5" t="s">
        <v>53462</v>
      </c>
      <c r="K11539" s="5" t="s">
        <v>53463</v>
      </c>
      <c r="L11539" s="18" t="s">
        <v>10649</v>
      </c>
      <c r="M11539" s="18" t="s">
        <v>29</v>
      </c>
      <c r="N11539" s="18" t="s">
        <v>53464</v>
      </c>
      <c r="O11539" s="18" t="s">
        <v>29</v>
      </c>
      <c r="P11539" s="18" t="s">
        <v>53465</v>
      </c>
      <c r="Q11539" s="6"/>
      <c r="R11539" s="6"/>
      <c r="S11539" s="6"/>
      <c r="T11539" s="6"/>
      <c r="U11539" s="6"/>
    </row>
    <row r="11540" ht="14.25">
      <c r="B11540" s="18" t="s">
        <v>622</v>
      </c>
      <c r="C11540" s="18" t="s">
        <v>53466</v>
      </c>
      <c r="D11540" s="18" t="s">
        <v>7759</v>
      </c>
      <c r="E11540" s="18" t="s">
        <v>53467</v>
      </c>
      <c r="F11540" s="18" t="str">
        <f>IFERROR(__XLUDF.DUMMYFUNCTION("PROPER(REGEXREPLACE(D1452,""[^A-Za-z]+ "",""""))"),"Barbarit-Texier 85")</f>
        <v xml:space="preserve">Barbarit-Texier 85</v>
      </c>
      <c r="G11540" s="18" t="s">
        <v>53468</v>
      </c>
      <c r="H11540" s="18">
        <v>6</v>
      </c>
      <c r="I11540" s="18" t="s">
        <v>9239</v>
      </c>
      <c r="J11540" s="5" t="s">
        <v>53469</v>
      </c>
      <c r="K11540" s="5" t="s">
        <v>53470</v>
      </c>
      <c r="L11540" s="18" t="s">
        <v>1711</v>
      </c>
      <c r="M11540" s="18" t="s">
        <v>29</v>
      </c>
      <c r="N11540" s="18" t="s">
        <v>53471</v>
      </c>
      <c r="O11540" s="18" t="s">
        <v>29</v>
      </c>
      <c r="P11540" s="18" t="s">
        <v>53472</v>
      </c>
      <c r="Q11540" s="6"/>
      <c r="R11540" s="6"/>
      <c r="S11540" s="6"/>
      <c r="T11540" s="6"/>
      <c r="U11540" s="6"/>
    </row>
    <row r="11541" ht="14.25">
      <c r="B11541" s="18" t="s">
        <v>95</v>
      </c>
      <c r="C11541" s="18" t="s">
        <v>53473</v>
      </c>
      <c r="D11541" s="18" t="s">
        <v>1240</v>
      </c>
      <c r="E11541" s="18" t="s">
        <v>53474</v>
      </c>
      <c r="F11541" s="18" t="str">
        <f>IFERROR(__XLUDF.DUMMYFUNCTION("PROPER(REGEXREPLACE(D1453,""[^A-Za-z]+ "",""""))"),"Yalink")</f>
        <v>Yalink</v>
      </c>
      <c r="G11541" s="18" t="s">
        <v>53475</v>
      </c>
      <c r="H11541" s="18">
        <v>30</v>
      </c>
      <c r="I11541" s="18" t="s">
        <v>9239</v>
      </c>
      <c r="J11541" s="5" t="s">
        <v>53476</v>
      </c>
      <c r="K11541" s="5" t="s">
        <v>53477</v>
      </c>
      <c r="L11541" s="18" t="s">
        <v>243</v>
      </c>
      <c r="M11541" s="18" t="s">
        <v>29</v>
      </c>
      <c r="N11541" s="18" t="s">
        <v>929</v>
      </c>
      <c r="O11541" s="18" t="s">
        <v>29</v>
      </c>
      <c r="P11541" s="6"/>
      <c r="Q11541" s="6"/>
      <c r="R11541" s="6"/>
      <c r="S11541" s="6"/>
      <c r="T11541" s="6"/>
      <c r="U11541" s="6"/>
    </row>
    <row r="11542" ht="14.25">
      <c r="B11542" s="18" t="s">
        <v>768</v>
      </c>
      <c r="C11542" s="18" t="s">
        <v>2503</v>
      </c>
      <c r="D11542" s="18" t="s">
        <v>120</v>
      </c>
      <c r="E11542" s="18" t="s">
        <v>53478</v>
      </c>
      <c r="F11542" s="18" t="str">
        <f>IFERROR(__XLUDF.DUMMYFUNCTION("PROPER(REGEXREPLACE(D1454,""[^A-Za-z]+ "",""""))"),"Subclic")</f>
        <v>Subclic</v>
      </c>
      <c r="G11542" s="18" t="s">
        <v>53479</v>
      </c>
      <c r="H11542" s="18">
        <v>30</v>
      </c>
      <c r="I11542" s="18" t="s">
        <v>9239</v>
      </c>
      <c r="J11542" s="5" t="s">
        <v>53480</v>
      </c>
      <c r="K11542" s="5" t="s">
        <v>53481</v>
      </c>
      <c r="L11542" s="18" t="s">
        <v>295</v>
      </c>
      <c r="M11542" s="18" t="s">
        <v>29</v>
      </c>
      <c r="N11542" s="18" t="s">
        <v>53482</v>
      </c>
      <c r="O11542" s="18" t="s">
        <v>29</v>
      </c>
      <c r="P11542" s="18" t="s">
        <v>53483</v>
      </c>
      <c r="Q11542" s="6"/>
      <c r="R11542" s="6"/>
      <c r="S11542" s="6"/>
      <c r="T11542" s="6"/>
      <c r="U11542" s="6"/>
    </row>
    <row r="11543" ht="14.25">
      <c r="B11543" s="18" t="s">
        <v>85</v>
      </c>
      <c r="C11543" s="18" t="s">
        <v>53484</v>
      </c>
      <c r="D11543" s="18" t="s">
        <v>172</v>
      </c>
      <c r="E11543" s="18" t="s">
        <v>53485</v>
      </c>
      <c r="F11543" s="18" t="str">
        <f>IFERROR(__XLUDF.DUMMYFUNCTION("PROPER(REGEXREPLACE(D1455,""[^A-Za-z]+ "",""""))"),"Rga Bureau D'Étude Technique")</f>
        <v xml:space="preserve">Rga Bureau D'Étude Technique</v>
      </c>
      <c r="G11543" s="18" t="s">
        <v>53486</v>
      </c>
      <c r="H11543" s="18">
        <v>16</v>
      </c>
      <c r="I11543" s="18" t="s">
        <v>9239</v>
      </c>
      <c r="J11543" s="5" t="s">
        <v>53487</v>
      </c>
      <c r="K11543" s="5" t="s">
        <v>53488</v>
      </c>
      <c r="L11543" s="18" t="s">
        <v>31078</v>
      </c>
      <c r="M11543" s="18" t="s">
        <v>29</v>
      </c>
      <c r="N11543" s="18" t="s">
        <v>53489</v>
      </c>
      <c r="O11543" s="18" t="s">
        <v>29</v>
      </c>
      <c r="P11543" s="18" t="s">
        <v>53490</v>
      </c>
      <c r="Q11543" s="6"/>
      <c r="R11543" s="6"/>
      <c r="S11543" s="6"/>
      <c r="T11543" s="6"/>
      <c r="U11543" s="6"/>
    </row>
    <row r="11544" ht="14.25">
      <c r="B11544" s="18" t="s">
        <v>734</v>
      </c>
      <c r="C11544" s="18" t="s">
        <v>19154</v>
      </c>
      <c r="D11544" s="18" t="s">
        <v>172</v>
      </c>
      <c r="E11544" s="18" t="s">
        <v>53491</v>
      </c>
      <c r="F11544" s="18" t="str">
        <f>IFERROR(__XLUDF.DUMMYFUNCTION("PROPER(REGEXREPLACE(D1456,""[^A-Za-z]+ "",""""))"),"Spac95")</f>
        <v>Spac95</v>
      </c>
      <c r="G11544" s="18" t="s">
        <v>53492</v>
      </c>
      <c r="H11544" s="18">
        <v>9</v>
      </c>
      <c r="I11544" s="18" t="s">
        <v>9239</v>
      </c>
      <c r="J11544" s="5" t="s">
        <v>53493</v>
      </c>
      <c r="K11544" s="5" t="s">
        <v>53494</v>
      </c>
      <c r="L11544" s="18" t="s">
        <v>39</v>
      </c>
      <c r="M11544" s="18" t="s">
        <v>29</v>
      </c>
      <c r="N11544" s="18" t="s">
        <v>53495</v>
      </c>
      <c r="O11544" s="18" t="s">
        <v>29</v>
      </c>
      <c r="P11544" s="18" t="s">
        <v>53496</v>
      </c>
      <c r="Q11544" s="6"/>
      <c r="R11544" s="6"/>
      <c r="S11544" s="6"/>
      <c r="T11544" s="6"/>
      <c r="U11544" s="6"/>
    </row>
    <row r="11545" ht="14.25">
      <c r="B11545" s="18" t="s">
        <v>808</v>
      </c>
      <c r="C11545" s="18" t="s">
        <v>53497</v>
      </c>
      <c r="D11545" s="18" t="s">
        <v>172</v>
      </c>
      <c r="E11545" s="18" t="s">
        <v>53498</v>
      </c>
      <c r="F11545" s="18" t="str">
        <f>IFERROR(__XLUDF.DUMMYFUNCTION("PROPER(REGEXREPLACE(D1457,""[^A-Za-z]+ "",""""))"),"Spl Deux-Rives Strasbourg")</f>
        <v xml:space="preserve">Spl Deux-Rives Strasbourg</v>
      </c>
      <c r="G11545" s="18" t="s">
        <v>53499</v>
      </c>
      <c r="H11545" s="18">
        <v>20</v>
      </c>
      <c r="I11545" s="18" t="s">
        <v>10167</v>
      </c>
      <c r="J11545" s="5" t="s">
        <v>53500</v>
      </c>
      <c r="K11545" s="5" t="s">
        <v>53501</v>
      </c>
      <c r="L11545" s="6"/>
      <c r="M11545" s="18" t="s">
        <v>29</v>
      </c>
      <c r="N11545" s="18" t="s">
        <v>53502</v>
      </c>
      <c r="O11545" s="18" t="s">
        <v>29</v>
      </c>
      <c r="P11545" s="18" t="s">
        <v>53503</v>
      </c>
      <c r="Q11545" s="6"/>
      <c r="R11545" s="6"/>
      <c r="S11545" s="6"/>
      <c r="T11545" s="6"/>
      <c r="U11545" s="6"/>
    </row>
    <row r="11546" ht="14.25">
      <c r="B11546" s="18" t="s">
        <v>1732</v>
      </c>
      <c r="C11546" s="18" t="s">
        <v>53504</v>
      </c>
      <c r="D11546" s="18" t="s">
        <v>2745</v>
      </c>
      <c r="E11546" s="18" t="s">
        <v>53474</v>
      </c>
      <c r="F11546" s="18" t="str">
        <f>IFERROR(__XLUDF.DUMMYFUNCTION("PROPER(REGEXREPLACE(D1458,""[^A-Za-z]+ "",""""))"),"Yalink")</f>
        <v>Yalink</v>
      </c>
      <c r="G11546" s="18" t="s">
        <v>53505</v>
      </c>
      <c r="H11546" s="18">
        <v>30</v>
      </c>
      <c r="I11546" s="18" t="s">
        <v>9239</v>
      </c>
      <c r="J11546" s="5" t="s">
        <v>53506</v>
      </c>
      <c r="K11546" s="5" t="s">
        <v>53477</v>
      </c>
      <c r="L11546" s="18" t="s">
        <v>243</v>
      </c>
      <c r="M11546" s="18" t="s">
        <v>29</v>
      </c>
      <c r="N11546" s="18" t="s">
        <v>929</v>
      </c>
      <c r="O11546" s="18" t="s">
        <v>29</v>
      </c>
      <c r="P11546" s="6"/>
      <c r="Q11546" s="6"/>
      <c r="R11546" s="6"/>
      <c r="S11546" s="6"/>
      <c r="T11546" s="6"/>
      <c r="U11546" s="6"/>
    </row>
    <row r="11547" ht="14.25">
      <c r="B11547" s="18" t="s">
        <v>2516</v>
      </c>
      <c r="C11547" s="18" t="s">
        <v>53507</v>
      </c>
      <c r="D11547" s="18" t="s">
        <v>172</v>
      </c>
      <c r="E11547" s="18" t="s">
        <v>53508</v>
      </c>
      <c r="F11547" s="18" t="str">
        <f>IFERROR(__XLUDF.DUMMYFUNCTION("PROPER(REGEXREPLACE(D1459,""[^A-Za-z]+ "",""""))"),"Delta Realisation")</f>
        <v xml:space="preserve">Delta Realisation</v>
      </c>
      <c r="G11547" s="18" t="s">
        <v>53509</v>
      </c>
      <c r="H11547" s="18">
        <v>4</v>
      </c>
      <c r="I11547" s="18" t="s">
        <v>9239</v>
      </c>
      <c r="J11547" s="5" t="s">
        <v>53510</v>
      </c>
      <c r="K11547" s="5" t="s">
        <v>53511</v>
      </c>
      <c r="L11547" s="18" t="s">
        <v>49</v>
      </c>
      <c r="M11547" s="18" t="s">
        <v>29</v>
      </c>
      <c r="N11547" s="18" t="s">
        <v>53512</v>
      </c>
      <c r="O11547" s="18" t="s">
        <v>29</v>
      </c>
      <c r="P11547" s="18" t="s">
        <v>53513</v>
      </c>
      <c r="Q11547" s="6"/>
      <c r="R11547" s="6"/>
      <c r="S11547" s="6"/>
      <c r="T11547" s="6"/>
      <c r="U11547" s="6"/>
    </row>
    <row r="11548" ht="14.25">
      <c r="B11548" s="18" t="s">
        <v>670</v>
      </c>
      <c r="C11548" s="18" t="s">
        <v>76</v>
      </c>
      <c r="D11548" s="18" t="s">
        <v>172</v>
      </c>
      <c r="E11548" s="18" t="s">
        <v>53514</v>
      </c>
      <c r="F11548" s="18" t="str">
        <f>IFERROR(__XLUDF.DUMMYFUNCTION("PROPER(REGEXREPLACE(D1460,""[^A-Za-z]+ "",""""))"),"Sudetec")</f>
        <v>Sudetec</v>
      </c>
      <c r="G11548" s="18" t="s">
        <v>53515</v>
      </c>
      <c r="H11548" s="18">
        <v>7</v>
      </c>
      <c r="I11548" s="18" t="s">
        <v>9239</v>
      </c>
      <c r="J11548" s="5" t="s">
        <v>53516</v>
      </c>
      <c r="K11548" s="5" t="s">
        <v>53517</v>
      </c>
      <c r="L11548" s="18" t="s">
        <v>17925</v>
      </c>
      <c r="M11548" s="18" t="s">
        <v>29</v>
      </c>
      <c r="N11548" s="18" t="s">
        <v>53518</v>
      </c>
      <c r="O11548" s="18" t="s">
        <v>29</v>
      </c>
      <c r="P11548" s="6"/>
      <c r="Q11548" s="6"/>
      <c r="R11548" s="6"/>
      <c r="S11548" s="6"/>
      <c r="T11548" s="6"/>
      <c r="U11548" s="6"/>
    </row>
    <row r="11549" ht="14.25">
      <c r="B11549" s="18" t="s">
        <v>35629</v>
      </c>
      <c r="C11549" s="18" t="s">
        <v>53519</v>
      </c>
      <c r="D11549" s="18" t="s">
        <v>172</v>
      </c>
      <c r="E11549" s="18" t="s">
        <v>53520</v>
      </c>
      <c r="F11549" s="18" t="str">
        <f>IFERROR(__XLUDF.DUMMYFUNCTION("PROPER(REGEXREPLACE(D1461,""[^A-Za-z]+ "",""""))"),"Les Maisons Rennaises")</f>
        <v xml:space="preserve">Les Maisons Rennaises</v>
      </c>
      <c r="G11549" s="18" t="s">
        <v>53521</v>
      </c>
      <c r="H11549" s="18">
        <v>14</v>
      </c>
      <c r="I11549" s="18" t="s">
        <v>9239</v>
      </c>
      <c r="J11549" s="5" t="s">
        <v>53522</v>
      </c>
      <c r="K11549" s="5" t="s">
        <v>53523</v>
      </c>
      <c r="L11549" s="18" t="s">
        <v>1826</v>
      </c>
      <c r="M11549" s="18" t="s">
        <v>29</v>
      </c>
      <c r="N11549" s="18" t="s">
        <v>53524</v>
      </c>
      <c r="O11549" s="18" t="s">
        <v>29</v>
      </c>
      <c r="P11549" s="6"/>
      <c r="Q11549" s="6"/>
      <c r="R11549" s="6"/>
      <c r="S11549" s="6"/>
      <c r="T11549" s="6"/>
      <c r="U11549" s="6"/>
    </row>
    <row r="11550" ht="14.25">
      <c r="B11550" s="18" t="s">
        <v>1153</v>
      </c>
      <c r="C11550" s="18" t="s">
        <v>53525</v>
      </c>
      <c r="D11550" s="18" t="s">
        <v>53526</v>
      </c>
      <c r="E11550" s="18" t="s">
        <v>53527</v>
      </c>
      <c r="F11550" s="18" t="str">
        <f>IFERROR(__XLUDF.DUMMYFUNCTION("PROPER(REGEXREPLACE(D1462,""[^A-Za-z]+ "",""""))"),"Arkegreen")</f>
        <v>Arkegreen</v>
      </c>
      <c r="G11550" s="18" t="s">
        <v>53528</v>
      </c>
      <c r="H11550" s="18">
        <v>12</v>
      </c>
      <c r="I11550" s="18" t="s">
        <v>9239</v>
      </c>
      <c r="J11550" s="5" t="s">
        <v>53529</v>
      </c>
      <c r="K11550" s="5" t="s">
        <v>53530</v>
      </c>
      <c r="L11550" s="18" t="s">
        <v>39</v>
      </c>
      <c r="M11550" s="18" t="s">
        <v>29</v>
      </c>
      <c r="N11550" s="18" t="s">
        <v>53531</v>
      </c>
      <c r="O11550" s="18" t="s">
        <v>29</v>
      </c>
      <c r="P11550" s="18" t="s">
        <v>53532</v>
      </c>
      <c r="Q11550" s="6"/>
      <c r="R11550" s="6"/>
      <c r="S11550" s="6"/>
      <c r="T11550" s="6"/>
      <c r="U11550" s="6"/>
    </row>
    <row r="11551" ht="14.25">
      <c r="B11551" s="18" t="s">
        <v>1190</v>
      </c>
      <c r="C11551" s="18" t="s">
        <v>11018</v>
      </c>
      <c r="D11551" s="18" t="s">
        <v>5400</v>
      </c>
      <c r="E11551" s="18" t="s">
        <v>53533</v>
      </c>
      <c r="F11551" s="18" t="str">
        <f>IFERROR(__XLUDF.DUMMYFUNCTION("PROPER(REGEXREPLACE(D1463,""[^A-Za-z]+ "",""""))"),"Welds Energy")</f>
        <v xml:space="preserve">Welds Energy</v>
      </c>
      <c r="G11551" s="18" t="s">
        <v>53534</v>
      </c>
      <c r="H11551" s="18">
        <v>6</v>
      </c>
      <c r="I11551" s="18" t="s">
        <v>9239</v>
      </c>
      <c r="J11551" s="5" t="s">
        <v>53535</v>
      </c>
      <c r="K11551" s="5" t="s">
        <v>53536</v>
      </c>
      <c r="L11551" s="18" t="s">
        <v>52335</v>
      </c>
      <c r="M11551" s="18" t="s">
        <v>29</v>
      </c>
      <c r="N11551" s="18" t="s">
        <v>53537</v>
      </c>
      <c r="O11551" s="18" t="s">
        <v>29</v>
      </c>
      <c r="P11551" s="18" t="s">
        <v>53538</v>
      </c>
      <c r="Q11551" s="6"/>
      <c r="R11551" s="6"/>
      <c r="S11551" s="6"/>
      <c r="T11551" s="6"/>
      <c r="U11551" s="6"/>
    </row>
    <row r="11552" ht="14.25">
      <c r="B11552" s="18" t="s">
        <v>2249</v>
      </c>
      <c r="C11552" s="18" t="s">
        <v>18508</v>
      </c>
      <c r="D11552" s="18" t="s">
        <v>1950</v>
      </c>
      <c r="E11552" s="18" t="s">
        <v>53539</v>
      </c>
      <c r="F11552" s="18" t="str">
        <f>IFERROR(__XLUDF.DUMMYFUNCTION("PROPER(REGEXREPLACE(D1464,""[^A-Za-z]+ "",""""))"),"Bativrd")</f>
        <v>Bativrd</v>
      </c>
      <c r="G11552" s="18" t="s">
        <v>53540</v>
      </c>
      <c r="H11552" s="18">
        <v>3</v>
      </c>
      <c r="I11552" s="18" t="s">
        <v>9239</v>
      </c>
      <c r="J11552" s="5" t="s">
        <v>53541</v>
      </c>
      <c r="K11552" s="5" t="s">
        <v>53542</v>
      </c>
      <c r="L11552" s="18" t="s">
        <v>39</v>
      </c>
      <c r="M11552" s="18" t="s">
        <v>29</v>
      </c>
      <c r="N11552" s="18" t="s">
        <v>53543</v>
      </c>
      <c r="O11552" s="18" t="s">
        <v>7313</v>
      </c>
      <c r="P11552" s="18" t="s">
        <v>5069</v>
      </c>
      <c r="Q11552" s="6"/>
      <c r="R11552" s="6"/>
      <c r="S11552" s="6"/>
      <c r="T11552" s="6"/>
      <c r="U11552" s="6"/>
    </row>
    <row r="11553" ht="14.25">
      <c r="B11553" s="18" t="s">
        <v>8802</v>
      </c>
      <c r="C11553" s="18" t="s">
        <v>53544</v>
      </c>
      <c r="D11553" s="18" t="s">
        <v>14223</v>
      </c>
      <c r="E11553" s="18" t="s">
        <v>53545</v>
      </c>
      <c r="F11553" s="18" t="str">
        <f>IFERROR(__XLUDF.DUMMYFUNCTION("PROPER(REGEXREPLACE(D1465,""[^A-Za-z]+ "",""""))"),"Design Box")</f>
        <v xml:space="preserve">Design Box</v>
      </c>
      <c r="G11553" s="18" t="s">
        <v>53546</v>
      </c>
      <c r="H11553" s="18">
        <v>39</v>
      </c>
      <c r="I11553" s="18" t="s">
        <v>9239</v>
      </c>
      <c r="J11553" s="5" t="s">
        <v>53547</v>
      </c>
      <c r="K11553" s="5" t="s">
        <v>53548</v>
      </c>
      <c r="L11553" s="18" t="s">
        <v>492</v>
      </c>
      <c r="M11553" s="18" t="s">
        <v>29</v>
      </c>
      <c r="N11553" s="18" t="s">
        <v>53549</v>
      </c>
      <c r="O11553" s="18" t="s">
        <v>29</v>
      </c>
      <c r="P11553" s="18" t="s">
        <v>53550</v>
      </c>
      <c r="Q11553" s="6"/>
      <c r="R11553" s="6"/>
      <c r="S11553" s="6"/>
      <c r="T11553" s="6"/>
      <c r="U11553" s="6"/>
    </row>
    <row r="11554" ht="14.25">
      <c r="B11554" s="18" t="s">
        <v>76</v>
      </c>
      <c r="C11554" s="18" t="s">
        <v>53551</v>
      </c>
      <c r="D11554" s="18" t="s">
        <v>53552</v>
      </c>
      <c r="E11554" s="18" t="s">
        <v>53553</v>
      </c>
      <c r="F11554" s="18" t="str">
        <f>IFERROR(__XLUDF.DUMMYFUNCTION("PROPER(REGEXREPLACE(D1466,""[^A-Za-z]+ "",""""))"),"360Smartconnect")</f>
        <v>360Smartconnect</v>
      </c>
      <c r="G11554" s="18" t="s">
        <v>53554</v>
      </c>
      <c r="H11554" s="18">
        <v>8</v>
      </c>
      <c r="I11554" s="18" t="s">
        <v>9239</v>
      </c>
      <c r="J11554" s="5" t="s">
        <v>53555</v>
      </c>
      <c r="K11554" s="5" t="s">
        <v>53556</v>
      </c>
      <c r="L11554" s="18" t="s">
        <v>1015</v>
      </c>
      <c r="M11554" s="18" t="s">
        <v>29</v>
      </c>
      <c r="N11554" s="18" t="s">
        <v>53557</v>
      </c>
      <c r="O11554" s="18" t="s">
        <v>29</v>
      </c>
      <c r="P11554" s="18" t="s">
        <v>53558</v>
      </c>
      <c r="Q11554" s="6"/>
      <c r="R11554" s="6"/>
      <c r="S11554" s="6"/>
      <c r="T11554" s="6"/>
      <c r="U11554" s="6"/>
    </row>
    <row r="11555" ht="14.25">
      <c r="B11555" s="18" t="s">
        <v>661</v>
      </c>
      <c r="C11555" s="18" t="s">
        <v>53559</v>
      </c>
      <c r="D11555" s="18" t="s">
        <v>112</v>
      </c>
      <c r="E11555" s="18" t="s">
        <v>53560</v>
      </c>
      <c r="F11555" s="18" t="str">
        <f>IFERROR(__XLUDF.DUMMYFUNCTION("PROPER(REGEXREPLACE(D1467,""[^A-Za-z]+ "",""""))"),"Chaignard")</f>
        <v>Chaignard</v>
      </c>
      <c r="G11555" s="18" t="s">
        <v>53561</v>
      </c>
      <c r="H11555" s="18">
        <v>4</v>
      </c>
      <c r="I11555" s="18" t="s">
        <v>9239</v>
      </c>
      <c r="J11555" s="5" t="s">
        <v>53562</v>
      </c>
      <c r="K11555" s="5" t="s">
        <v>53563</v>
      </c>
      <c r="L11555" s="18" t="s">
        <v>19125</v>
      </c>
      <c r="M11555" s="18" t="s">
        <v>29</v>
      </c>
      <c r="N11555" s="18" t="s">
        <v>53564</v>
      </c>
      <c r="O11555" s="18" t="s">
        <v>29</v>
      </c>
      <c r="P11555" s="18" t="s">
        <v>53565</v>
      </c>
      <c r="Q11555" s="6"/>
      <c r="R11555" s="6"/>
      <c r="S11555" s="6"/>
      <c r="T11555" s="6"/>
      <c r="U11555" s="6"/>
    </row>
    <row r="11556" ht="14.25">
      <c r="B11556" s="18" t="s">
        <v>29241</v>
      </c>
      <c r="C11556" s="18" t="s">
        <v>53566</v>
      </c>
      <c r="D11556" s="18" t="s">
        <v>87</v>
      </c>
      <c r="E11556" s="18" t="s">
        <v>53567</v>
      </c>
      <c r="F11556" s="18" t="str">
        <f>IFERROR(__XLUDF.DUMMYFUNCTION("PROPER(REGEXREPLACE(D1468,""[^A-Za-z]+ "",""""))"),"Krt Groupe")</f>
        <v xml:space="preserve">Krt Groupe</v>
      </c>
      <c r="G11556" s="18" t="s">
        <v>53568</v>
      </c>
      <c r="H11556" s="18">
        <v>4</v>
      </c>
      <c r="I11556" s="18" t="s">
        <v>9239</v>
      </c>
      <c r="J11556" s="5" t="s">
        <v>53569</v>
      </c>
      <c r="K11556" s="5" t="s">
        <v>53570</v>
      </c>
      <c r="L11556" s="18" t="s">
        <v>39</v>
      </c>
      <c r="M11556" s="18" t="s">
        <v>29</v>
      </c>
      <c r="N11556" s="18" t="s">
        <v>53571</v>
      </c>
      <c r="O11556" s="18" t="s">
        <v>29</v>
      </c>
      <c r="P11556" s="6"/>
      <c r="Q11556" s="6"/>
      <c r="R11556" s="6"/>
      <c r="S11556" s="6"/>
      <c r="T11556" s="6"/>
      <c r="U11556" s="6"/>
    </row>
    <row r="11557" ht="14.25">
      <c r="B11557" s="18" t="s">
        <v>5001</v>
      </c>
      <c r="C11557" s="18" t="s">
        <v>53572</v>
      </c>
      <c r="D11557" s="18" t="s">
        <v>172</v>
      </c>
      <c r="E11557" s="18" t="s">
        <v>53573</v>
      </c>
      <c r="F11557" s="18" t="str">
        <f>IFERROR(__XLUDF.DUMMYFUNCTION("PROPER(REGEXREPLACE(D1469,""[^A-Za-z]+ "",""""))"),"Arma Groupe")</f>
        <v xml:space="preserve">Arma Groupe</v>
      </c>
      <c r="G11557" s="18" t="s">
        <v>53574</v>
      </c>
      <c r="H11557" s="18">
        <v>16</v>
      </c>
      <c r="I11557" s="18" t="s">
        <v>9239</v>
      </c>
      <c r="J11557" s="5" t="s">
        <v>53575</v>
      </c>
      <c r="K11557" s="5" t="s">
        <v>53576</v>
      </c>
      <c r="L11557" s="18" t="s">
        <v>53577</v>
      </c>
      <c r="M11557" s="18" t="s">
        <v>29</v>
      </c>
      <c r="N11557" s="18" t="s">
        <v>53578</v>
      </c>
      <c r="O11557" s="18" t="s">
        <v>29</v>
      </c>
      <c r="P11557" s="18" t="s">
        <v>53579</v>
      </c>
      <c r="Q11557" s="6"/>
      <c r="R11557" s="6"/>
      <c r="S11557" s="6"/>
      <c r="T11557" s="6"/>
      <c r="U11557" s="6"/>
    </row>
    <row r="11558" ht="14.25">
      <c r="B11558" s="18" t="s">
        <v>53580</v>
      </c>
      <c r="C11558" s="18" t="s">
        <v>53581</v>
      </c>
      <c r="D11558" s="18" t="s">
        <v>87</v>
      </c>
      <c r="E11558" s="18" t="s">
        <v>53582</v>
      </c>
      <c r="F11558" s="18" t="str">
        <f>IFERROR(__XLUDF.DUMMYFUNCTION("PROPER(REGEXREPLACE(D1470,""[^A-Za-z]+ "",""""))"),"Aquatech Innovation")</f>
        <v xml:space="preserve">Aquatech Innovation</v>
      </c>
      <c r="G11558" s="18" t="s">
        <v>53583</v>
      </c>
      <c r="H11558" s="18">
        <v>16</v>
      </c>
      <c r="I11558" s="18" t="s">
        <v>9239</v>
      </c>
      <c r="J11558" s="5" t="s">
        <v>53584</v>
      </c>
      <c r="K11558" s="5" t="s">
        <v>53585</v>
      </c>
      <c r="L11558" s="18" t="s">
        <v>482</v>
      </c>
      <c r="M11558" s="18" t="s">
        <v>29</v>
      </c>
      <c r="N11558" s="18" t="s">
        <v>53586</v>
      </c>
      <c r="O11558" s="18" t="s">
        <v>29</v>
      </c>
      <c r="P11558" s="18" t="s">
        <v>53587</v>
      </c>
      <c r="Q11558" s="6"/>
      <c r="R11558" s="6"/>
      <c r="S11558" s="6"/>
      <c r="T11558" s="6"/>
      <c r="U11558" s="6"/>
    </row>
    <row r="11559" ht="14.25">
      <c r="B11559" s="18" t="s">
        <v>330</v>
      </c>
      <c r="C11559" s="18" t="s">
        <v>14365</v>
      </c>
      <c r="D11559" s="18" t="s">
        <v>426</v>
      </c>
      <c r="E11559" s="18" t="s">
        <v>53588</v>
      </c>
      <c r="F11559" s="18" t="str">
        <f>IFERROR(__XLUDF.DUMMYFUNCTION("PROPER(REGEXREPLACE(D1471,""[^A-Za-z]+ "",""""))"),"Renoval Abris Piscine Et Terrasse")</f>
        <v xml:space="preserve">Renoval Abris Piscine Et Terrasse</v>
      </c>
      <c r="G11559" s="18" t="s">
        <v>53589</v>
      </c>
      <c r="H11559" s="18">
        <v>14</v>
      </c>
      <c r="I11559" s="18" t="s">
        <v>9239</v>
      </c>
      <c r="J11559" s="5" t="s">
        <v>53590</v>
      </c>
      <c r="K11559" s="5" t="s">
        <v>53591</v>
      </c>
      <c r="L11559" s="18" t="s">
        <v>53592</v>
      </c>
      <c r="M11559" s="18" t="s">
        <v>29</v>
      </c>
      <c r="N11559" s="18" t="s">
        <v>53593</v>
      </c>
      <c r="O11559" s="18" t="s">
        <v>29</v>
      </c>
      <c r="P11559" s="18" t="s">
        <v>53594</v>
      </c>
      <c r="Q11559" s="6"/>
      <c r="R11559" s="6"/>
      <c r="S11559" s="6"/>
      <c r="T11559" s="6"/>
      <c r="U11559" s="6"/>
    </row>
    <row r="11560" ht="14.25">
      <c r="B11560" s="18" t="s">
        <v>5252</v>
      </c>
      <c r="C11560" s="18" t="s">
        <v>53595</v>
      </c>
      <c r="D11560" s="18" t="s">
        <v>172</v>
      </c>
      <c r="E11560" s="18" t="s">
        <v>53596</v>
      </c>
      <c r="F11560" s="18" t="str">
        <f>IFERROR(__XLUDF.DUMMYFUNCTION("PROPER(REGEXREPLACE(D1472,""[^A-Za-z]+ "",""""))"),"Groupe Despretz")</f>
        <v xml:space="preserve">Groupe Despretz</v>
      </c>
      <c r="G11560" s="18" t="s">
        <v>53597</v>
      </c>
      <c r="H11560" s="18">
        <v>17</v>
      </c>
      <c r="I11560" s="18" t="s">
        <v>9239</v>
      </c>
      <c r="J11560" s="5" t="s">
        <v>53598</v>
      </c>
      <c r="K11560" s="5" t="s">
        <v>53599</v>
      </c>
      <c r="L11560" s="18" t="s">
        <v>15292</v>
      </c>
      <c r="M11560" s="18" t="s">
        <v>29</v>
      </c>
      <c r="N11560" s="18" t="s">
        <v>53600</v>
      </c>
      <c r="O11560" s="18" t="s">
        <v>29</v>
      </c>
      <c r="P11560" s="6"/>
      <c r="Q11560" s="6"/>
      <c r="R11560" s="6"/>
      <c r="S11560" s="6"/>
      <c r="T11560" s="6"/>
      <c r="U11560" s="6"/>
    </row>
    <row r="11561" ht="14.25">
      <c r="B11561" s="18" t="s">
        <v>1948</v>
      </c>
      <c r="C11561" s="18" t="s">
        <v>53601</v>
      </c>
      <c r="D11561" s="18" t="s">
        <v>172</v>
      </c>
      <c r="E11561" s="18" t="s">
        <v>53602</v>
      </c>
      <c r="F11561" s="18" t="str">
        <f>IFERROR(__XLUDF.DUMMYFUNCTION("PROPER(REGEXREPLACE(D1473,""[^A-Za-z]+ "",""""))"),"Socabat Construction")</f>
        <v xml:space="preserve">Socabat Construction</v>
      </c>
      <c r="G11561" s="18" t="s">
        <v>53603</v>
      </c>
      <c r="H11561" s="18">
        <v>13</v>
      </c>
      <c r="I11561" s="18" t="s">
        <v>9239</v>
      </c>
      <c r="J11561" s="5" t="s">
        <v>53604</v>
      </c>
      <c r="K11561" s="5" t="s">
        <v>53605</v>
      </c>
      <c r="L11561" s="18" t="s">
        <v>53606</v>
      </c>
      <c r="M11561" s="18" t="s">
        <v>29</v>
      </c>
      <c r="N11561" s="18" t="s">
        <v>53607</v>
      </c>
      <c r="O11561" s="18" t="s">
        <v>29</v>
      </c>
      <c r="P11561" s="18" t="s">
        <v>53608</v>
      </c>
      <c r="Q11561" s="6"/>
      <c r="R11561" s="6"/>
      <c r="S11561" s="6"/>
      <c r="T11561" s="6"/>
      <c r="U11561" s="6"/>
    </row>
    <row r="11562" ht="14.25">
      <c r="B11562" s="18" t="s">
        <v>485</v>
      </c>
      <c r="C11562" s="18" t="s">
        <v>53609</v>
      </c>
      <c r="D11562" s="18" t="s">
        <v>426</v>
      </c>
      <c r="E11562" s="18" t="s">
        <v>53610</v>
      </c>
      <c r="F11562" s="18" t="str">
        <f>IFERROR(__XLUDF.DUMMYFUNCTION("PROPER(REGEXREPLACE(D1474,""[^A-Za-z]+ "",""""))"),"Art Decor")</f>
        <v xml:space="preserve">Art Decor</v>
      </c>
      <c r="G11562" s="18" t="s">
        <v>53611</v>
      </c>
      <c r="H11562" s="18">
        <v>36</v>
      </c>
      <c r="I11562" s="18" t="s">
        <v>9239</v>
      </c>
      <c r="J11562" s="5" t="s">
        <v>53612</v>
      </c>
      <c r="K11562" s="5" t="s">
        <v>53613</v>
      </c>
      <c r="L11562" s="18" t="s">
        <v>39</v>
      </c>
      <c r="M11562" s="18" t="s">
        <v>29</v>
      </c>
      <c r="N11562" s="18" t="s">
        <v>53614</v>
      </c>
      <c r="O11562" s="18" t="s">
        <v>29</v>
      </c>
      <c r="P11562" s="6"/>
      <c r="Q11562" s="6"/>
      <c r="R11562" s="6"/>
      <c r="S11562" s="6"/>
      <c r="T11562" s="6"/>
      <c r="U11562" s="6"/>
    </row>
    <row r="11563" ht="14.25">
      <c r="B11563" s="18" t="s">
        <v>874</v>
      </c>
      <c r="C11563" s="18" t="s">
        <v>40375</v>
      </c>
      <c r="D11563" s="18" t="s">
        <v>172</v>
      </c>
      <c r="E11563" s="18" t="s">
        <v>53615</v>
      </c>
      <c r="F11563" s="18" t="str">
        <f>IFERROR(__XLUDF.DUMMYFUNCTION("PROPER(REGEXREPLACE(D1475,""[^A-Za-z]+ "",""""))"),"Batiment Service Sas")</f>
        <v xml:space="preserve">Batiment Service Sas</v>
      </c>
      <c r="G11563" s="18" t="s">
        <v>53616</v>
      </c>
      <c r="H11563" s="18">
        <v>31</v>
      </c>
      <c r="I11563" s="18" t="s">
        <v>9239</v>
      </c>
      <c r="J11563" s="5" t="s">
        <v>53617</v>
      </c>
      <c r="K11563" s="5" t="s">
        <v>53618</v>
      </c>
      <c r="L11563" s="18" t="s">
        <v>46384</v>
      </c>
      <c r="M11563" s="18" t="s">
        <v>29</v>
      </c>
      <c r="N11563" s="18" t="s">
        <v>53619</v>
      </c>
      <c r="O11563" s="18" t="s">
        <v>29</v>
      </c>
      <c r="P11563" s="18" t="s">
        <v>53620</v>
      </c>
      <c r="Q11563" s="6"/>
      <c r="R11563" s="6"/>
      <c r="S11563" s="6"/>
      <c r="T11563" s="6"/>
      <c r="U11563" s="6"/>
    </row>
    <row r="11564" ht="14.25">
      <c r="B11564" s="18" t="s">
        <v>622</v>
      </c>
      <c r="C11564" s="18" t="s">
        <v>3967</v>
      </c>
      <c r="D11564" s="18" t="s">
        <v>172</v>
      </c>
      <c r="E11564" s="18" t="s">
        <v>53621</v>
      </c>
      <c r="F11564" s="18" t="str">
        <f>IFERROR(__XLUDF.DUMMYFUNCTION("PROPER(REGEXREPLACE(D1476,""[^A-Za-z]+ "",""""))"),"Aeb Electricite")</f>
        <v xml:space="preserve">Aeb Electricite</v>
      </c>
      <c r="G11564" s="18" t="s">
        <v>53622</v>
      </c>
      <c r="H11564" s="18">
        <v>35</v>
      </c>
      <c r="I11564" s="18" t="s">
        <v>9239</v>
      </c>
      <c r="J11564" s="5" t="s">
        <v>53623</v>
      </c>
      <c r="K11564" s="5" t="s">
        <v>53624</v>
      </c>
      <c r="L11564" s="18" t="s">
        <v>31078</v>
      </c>
      <c r="M11564" s="18" t="s">
        <v>29</v>
      </c>
      <c r="N11564" s="18" t="s">
        <v>53625</v>
      </c>
      <c r="O11564" s="18" t="s">
        <v>29</v>
      </c>
      <c r="P11564" s="6"/>
      <c r="Q11564" s="6"/>
      <c r="R11564" s="6"/>
      <c r="S11564" s="6"/>
      <c r="T11564" s="6"/>
      <c r="U11564" s="6"/>
    </row>
    <row r="11565" ht="14.25">
      <c r="B11565" s="18" t="s">
        <v>6967</v>
      </c>
      <c r="C11565" s="18" t="s">
        <v>53626</v>
      </c>
      <c r="D11565" s="18" t="s">
        <v>3982</v>
      </c>
      <c r="E11565" s="18" t="s">
        <v>53627</v>
      </c>
      <c r="F11565" s="18" t="str">
        <f>IFERROR(__XLUDF.DUMMYFUNCTION("PROPER(REGEXREPLACE(D1477,""[^A-Za-z]+ "",""""))"),"Kalia Menuiserie")</f>
        <v xml:space="preserve">Kalia Menuiserie</v>
      </c>
      <c r="G11565" s="18" t="s">
        <v>53628</v>
      </c>
      <c r="H11565" s="18">
        <v>21</v>
      </c>
      <c r="I11565" s="18" t="s">
        <v>9239</v>
      </c>
      <c r="J11565" s="5" t="s">
        <v>53629</v>
      </c>
      <c r="K11565" s="5" t="s">
        <v>53630</v>
      </c>
      <c r="L11565" s="18" t="s">
        <v>1015</v>
      </c>
      <c r="M11565" s="18" t="s">
        <v>29</v>
      </c>
      <c r="N11565" s="18" t="s">
        <v>3036</v>
      </c>
      <c r="O11565" s="18" t="s">
        <v>29</v>
      </c>
      <c r="P11565" s="6"/>
      <c r="Q11565" s="6"/>
      <c r="R11565" s="6"/>
      <c r="S11565" s="6"/>
      <c r="T11565" s="6"/>
      <c r="U11565" s="6"/>
    </row>
    <row r="11566" ht="14.25">
      <c r="B11566" s="18" t="s">
        <v>808</v>
      </c>
      <c r="C11566" s="18" t="s">
        <v>53631</v>
      </c>
      <c r="D11566" s="18" t="s">
        <v>426</v>
      </c>
      <c r="E11566" s="18" t="s">
        <v>53632</v>
      </c>
      <c r="F11566" s="18" t="str">
        <f>IFERROR(__XLUDF.DUMMYFUNCTION("PROPER(REGEXREPLACE(D1478,""[^A-Za-z]+ "",""""))"),"Teyssier Travaux Publics")</f>
        <v xml:space="preserve">Teyssier Travaux Publics</v>
      </c>
      <c r="G11566" s="18" t="s">
        <v>53633</v>
      </c>
      <c r="H11566" s="18">
        <v>6</v>
      </c>
      <c r="I11566" s="18" t="s">
        <v>9239</v>
      </c>
      <c r="J11566" s="5" t="s">
        <v>53634</v>
      </c>
      <c r="K11566" s="5" t="s">
        <v>53635</v>
      </c>
      <c r="L11566" s="18" t="s">
        <v>25596</v>
      </c>
      <c r="M11566" s="18" t="s">
        <v>29</v>
      </c>
      <c r="N11566" s="18" t="s">
        <v>53636</v>
      </c>
      <c r="O11566" s="18" t="s">
        <v>29</v>
      </c>
      <c r="P11566" s="18" t="s">
        <v>53637</v>
      </c>
      <c r="Q11566" s="6"/>
      <c r="R11566" s="6"/>
      <c r="S11566" s="6"/>
      <c r="T11566" s="6"/>
      <c r="U11566" s="6"/>
    </row>
    <row r="11567" ht="14.25">
      <c r="B11567" s="18" t="s">
        <v>1732</v>
      </c>
      <c r="C11567" s="18" t="s">
        <v>53638</v>
      </c>
      <c r="D11567" s="18" t="s">
        <v>53639</v>
      </c>
      <c r="E11567" s="18" t="s">
        <v>53640</v>
      </c>
      <c r="F11567" s="18" t="str">
        <f>IFERROR(__XLUDF.DUMMYFUNCTION("PROPER(REGEXREPLACE(D1479,""[^A-Za-z]+ "",""""))"),"Cappel")</f>
        <v>Cappel</v>
      </c>
      <c r="G11567" s="18" t="s">
        <v>53641</v>
      </c>
      <c r="H11567" s="18">
        <v>10</v>
      </c>
      <c r="I11567" s="18" t="s">
        <v>9239</v>
      </c>
      <c r="J11567" s="5" t="s">
        <v>53642</v>
      </c>
      <c r="K11567" s="5" t="s">
        <v>53643</v>
      </c>
      <c r="L11567" s="6"/>
      <c r="M11567" s="18" t="s">
        <v>29</v>
      </c>
      <c r="N11567" s="18" t="s">
        <v>53644</v>
      </c>
      <c r="O11567" s="18" t="s">
        <v>29</v>
      </c>
      <c r="P11567" s="6"/>
      <c r="Q11567" s="6"/>
      <c r="R11567" s="6"/>
      <c r="S11567" s="6"/>
      <c r="T11567" s="6"/>
      <c r="U11567" s="6"/>
    </row>
    <row r="11568" ht="14.25">
      <c r="B11568" s="18" t="s">
        <v>4115</v>
      </c>
      <c r="C11568" s="18" t="s">
        <v>53645</v>
      </c>
      <c r="D11568" s="18" t="s">
        <v>172</v>
      </c>
      <c r="E11568" s="18" t="s">
        <v>53646</v>
      </c>
      <c r="F11568" s="18" t="str">
        <f>IFERROR(__XLUDF.DUMMYFUNCTION("PROPER(REGEXREPLACE(D1480,""[^A-Za-z]+ "",""""))"),"Acr Patrimoine")</f>
        <v xml:space="preserve">Acr Patrimoine</v>
      </c>
      <c r="G11568" s="18" t="s">
        <v>53647</v>
      </c>
      <c r="H11568" s="18">
        <v>22</v>
      </c>
      <c r="I11568" s="18" t="s">
        <v>9239</v>
      </c>
      <c r="J11568" s="5" t="s">
        <v>53648</v>
      </c>
      <c r="K11568" s="5" t="s">
        <v>53649</v>
      </c>
      <c r="L11568" s="18" t="s">
        <v>3898</v>
      </c>
      <c r="M11568" s="18" t="s">
        <v>29</v>
      </c>
      <c r="N11568" s="18" t="s">
        <v>53650</v>
      </c>
      <c r="O11568" s="18" t="s">
        <v>29</v>
      </c>
      <c r="P11568" s="6"/>
      <c r="Q11568" s="6"/>
      <c r="R11568" s="6"/>
      <c r="S11568" s="6"/>
      <c r="T11568" s="6"/>
      <c r="U11568" s="6"/>
    </row>
    <row r="11569" ht="14.25">
      <c r="B11569" s="18" t="s">
        <v>34846</v>
      </c>
      <c r="C11569" s="18" t="s">
        <v>53651</v>
      </c>
      <c r="D11569" s="18" t="s">
        <v>172</v>
      </c>
      <c r="E11569" s="18" t="s">
        <v>53652</v>
      </c>
      <c r="F11569" s="18" t="str">
        <f>IFERROR(__XLUDF.DUMMYFUNCTION("PROPER(REGEXREPLACE(D1481,""[^A-Za-z]+ "",""""))"),"Groupe Maho")</f>
        <v xml:space="preserve">Groupe Maho</v>
      </c>
      <c r="G11569" s="18" t="s">
        <v>53653</v>
      </c>
      <c r="H11569" s="18">
        <v>29</v>
      </c>
      <c r="I11569" s="18" t="s">
        <v>9239</v>
      </c>
      <c r="J11569" s="5" t="s">
        <v>53654</v>
      </c>
      <c r="K11569" s="5" t="s">
        <v>53655</v>
      </c>
      <c r="L11569" s="18" t="s">
        <v>1888</v>
      </c>
      <c r="M11569" s="18" t="s">
        <v>29</v>
      </c>
      <c r="N11569" s="18" t="s">
        <v>53656</v>
      </c>
      <c r="O11569" s="18" t="s">
        <v>29</v>
      </c>
      <c r="P11569" s="6"/>
      <c r="Q11569" s="6"/>
      <c r="R11569" s="6"/>
      <c r="S11569" s="6"/>
      <c r="T11569" s="6"/>
      <c r="U11569" s="6"/>
    </row>
    <row r="11570" ht="14.25">
      <c r="B11570" s="18" t="s">
        <v>743</v>
      </c>
      <c r="C11570" s="18" t="s">
        <v>53657</v>
      </c>
      <c r="D11570" s="18" t="s">
        <v>53658</v>
      </c>
      <c r="E11570" s="18" t="s">
        <v>53659</v>
      </c>
      <c r="F11570" s="18" t="str">
        <f>IFERROR(__XLUDF.DUMMYFUNCTION("PROPER(REGEXREPLACE(D1482,""[^A-Za-z]+ "",""""))"),"Groupe Aléatec")</f>
        <v xml:space="preserve">Groupe Aléatec</v>
      </c>
      <c r="G11570" s="18" t="s">
        <v>53660</v>
      </c>
      <c r="H11570" s="18">
        <v>5</v>
      </c>
      <c r="I11570" s="18" t="s">
        <v>9239</v>
      </c>
      <c r="J11570" s="5" t="s">
        <v>53661</v>
      </c>
      <c r="K11570" s="5" t="s">
        <v>53662</v>
      </c>
      <c r="L11570" s="18" t="s">
        <v>27718</v>
      </c>
      <c r="M11570" s="18" t="s">
        <v>29</v>
      </c>
      <c r="N11570" s="18" t="s">
        <v>53663</v>
      </c>
      <c r="O11570" s="18" t="s">
        <v>29</v>
      </c>
      <c r="P11570" s="18" t="s">
        <v>53664</v>
      </c>
      <c r="Q11570" s="6"/>
      <c r="R11570" s="6"/>
      <c r="S11570" s="6"/>
      <c r="T11570" s="6"/>
      <c r="U11570" s="6"/>
    </row>
    <row r="11571" ht="14.25">
      <c r="B11571" s="18" t="s">
        <v>785</v>
      </c>
      <c r="C11571" s="18" t="s">
        <v>15353</v>
      </c>
      <c r="D11571" s="18" t="s">
        <v>1950</v>
      </c>
      <c r="E11571" s="18" t="s">
        <v>53665</v>
      </c>
      <c r="F11571" s="18" t="str">
        <f>IFERROR(__XLUDF.DUMMYFUNCTION("PROPER(REGEXREPLACE(D1483,""[^A-Za-z]+ "",""""))"),"Cardonnel Ingénierie")</f>
        <v xml:space="preserve">Cardonnel Ingénierie</v>
      </c>
      <c r="G11571" s="18" t="s">
        <v>53666</v>
      </c>
      <c r="H11571" s="18">
        <v>13</v>
      </c>
      <c r="I11571" s="18" t="s">
        <v>9239</v>
      </c>
      <c r="J11571" s="5" t="s">
        <v>53667</v>
      </c>
      <c r="K11571" s="5" t="s">
        <v>53668</v>
      </c>
      <c r="L11571" s="18" t="s">
        <v>39</v>
      </c>
      <c r="M11571" s="18" t="s">
        <v>29</v>
      </c>
      <c r="N11571" s="18" t="s">
        <v>53669</v>
      </c>
      <c r="O11571" s="18" t="s">
        <v>29</v>
      </c>
      <c r="P11571" s="18" t="s">
        <v>53670</v>
      </c>
      <c r="Q11571" s="6"/>
      <c r="R11571" s="6"/>
      <c r="S11571" s="6"/>
      <c r="T11571" s="6"/>
      <c r="U11571" s="6"/>
    </row>
    <row r="11572" ht="14.25">
      <c r="B11572" s="18" t="s">
        <v>95</v>
      </c>
      <c r="C11572" s="18" t="s">
        <v>53671</v>
      </c>
      <c r="D11572" s="18" t="s">
        <v>1130</v>
      </c>
      <c r="E11572" s="18" t="s">
        <v>53672</v>
      </c>
      <c r="F11572" s="18" t="str">
        <f>IFERROR(__XLUDF.DUMMYFUNCTION("PROPER(REGEXREPLACE(D1484,""[^A-Za-z]+ "",""""))"),"Reux")</f>
        <v>Reux</v>
      </c>
      <c r="G11572" s="18" t="s">
        <v>53673</v>
      </c>
      <c r="H11572" s="18">
        <v>26</v>
      </c>
      <c r="I11572" s="18" t="s">
        <v>9239</v>
      </c>
      <c r="J11572" s="5" t="s">
        <v>53674</v>
      </c>
      <c r="K11572" s="5" t="s">
        <v>53675</v>
      </c>
      <c r="L11572" s="18" t="s">
        <v>39</v>
      </c>
      <c r="M11572" s="18" t="s">
        <v>29</v>
      </c>
      <c r="N11572" s="18" t="s">
        <v>53676</v>
      </c>
      <c r="O11572" s="18" t="s">
        <v>29</v>
      </c>
      <c r="P11572" s="18" t="s">
        <v>53677</v>
      </c>
      <c r="Q11572" s="6"/>
      <c r="R11572" s="6"/>
      <c r="S11572" s="6"/>
      <c r="T11572" s="6"/>
      <c r="U11572" s="6"/>
    </row>
    <row r="11573" ht="14.25">
      <c r="B11573" s="18" t="s">
        <v>53678</v>
      </c>
      <c r="C11573" s="18" t="s">
        <v>53679</v>
      </c>
      <c r="D11573" s="18" t="s">
        <v>468</v>
      </c>
      <c r="E11573" s="18" t="s">
        <v>53680</v>
      </c>
      <c r="F11573" s="18" t="str">
        <f>IFERROR(__XLUDF.DUMMYFUNCTION("PROPER(REGEXREPLACE(D1485,""[^A-Za-z]+ "",""""))"),"Ceme Moreau")</f>
        <v xml:space="preserve">Ceme Moreau</v>
      </c>
      <c r="G11573" s="18" t="s">
        <v>53681</v>
      </c>
      <c r="H11573" s="18">
        <v>49</v>
      </c>
      <c r="I11573" s="18" t="s">
        <v>9239</v>
      </c>
      <c r="J11573" s="5" t="s">
        <v>53682</v>
      </c>
      <c r="K11573" s="5" t="s">
        <v>53683</v>
      </c>
      <c r="L11573" s="18" t="s">
        <v>1711</v>
      </c>
      <c r="M11573" s="18" t="s">
        <v>29</v>
      </c>
      <c r="N11573" s="18" t="s">
        <v>53684</v>
      </c>
      <c r="O11573" s="18" t="s">
        <v>29</v>
      </c>
      <c r="P11573" s="18" t="s">
        <v>53685</v>
      </c>
      <c r="Q11573" s="6"/>
      <c r="R11573" s="6"/>
      <c r="S11573" s="6"/>
      <c r="T11573" s="6"/>
      <c r="U11573" s="6"/>
    </row>
    <row r="11574" ht="14.25">
      <c r="B11574" s="18" t="s">
        <v>963</v>
      </c>
      <c r="C11574" s="18" t="s">
        <v>53686</v>
      </c>
      <c r="D11574" s="18" t="s">
        <v>172</v>
      </c>
      <c r="E11574" s="18" t="s">
        <v>53687</v>
      </c>
      <c r="F11574" s="18" t="str">
        <f>IFERROR(__XLUDF.DUMMYFUNCTION("PROPER(REGEXREPLACE(D1486,""[^A-Za-z]+ "",""""))"),"Eurogranulats")</f>
        <v>Eurogranulats</v>
      </c>
      <c r="G11574" s="18" t="s">
        <v>53688</v>
      </c>
      <c r="H11574" s="18">
        <v>10</v>
      </c>
      <c r="I11574" s="18" t="s">
        <v>9239</v>
      </c>
      <c r="J11574" s="5" t="s">
        <v>53689</v>
      </c>
      <c r="K11574" s="5" t="s">
        <v>53690</v>
      </c>
      <c r="L11574" s="18" t="s">
        <v>4922</v>
      </c>
      <c r="M11574" s="18" t="s">
        <v>29</v>
      </c>
      <c r="N11574" s="18" t="s">
        <v>53691</v>
      </c>
      <c r="O11574" s="18" t="s">
        <v>29</v>
      </c>
      <c r="P11574" s="18" t="s">
        <v>53692</v>
      </c>
      <c r="Q11574" s="6"/>
      <c r="R11574" s="6"/>
      <c r="S11574" s="6"/>
      <c r="T11574" s="6"/>
      <c r="U11574" s="6"/>
    </row>
    <row r="11575" ht="14.25">
      <c r="B11575" s="18" t="s">
        <v>734</v>
      </c>
      <c r="C11575" s="18" t="s">
        <v>3280</v>
      </c>
      <c r="D11575" s="18" t="s">
        <v>172</v>
      </c>
      <c r="E11575" s="18" t="s">
        <v>53693</v>
      </c>
      <c r="F11575" s="18" t="str">
        <f>IFERROR(__XLUDF.DUMMYFUNCTION("PROPER(REGEXREPLACE(D1487,""[^A-Za-z]+ "",""""))"),"Marcel France Mecano Galva")</f>
        <v xml:space="preserve">Marcel France Mecano Galva</v>
      </c>
      <c r="G11575" s="18" t="s">
        <v>53694</v>
      </c>
      <c r="H11575" s="18">
        <v>33</v>
      </c>
      <c r="I11575" s="18" t="s">
        <v>9239</v>
      </c>
      <c r="J11575" s="5" t="s">
        <v>53695</v>
      </c>
      <c r="K11575" s="5" t="s">
        <v>53696</v>
      </c>
      <c r="L11575" s="18" t="s">
        <v>53697</v>
      </c>
      <c r="M11575" s="18" t="s">
        <v>29</v>
      </c>
      <c r="N11575" s="18" t="s">
        <v>53698</v>
      </c>
      <c r="O11575" s="18" t="s">
        <v>29</v>
      </c>
      <c r="P11575" s="18" t="s">
        <v>53699</v>
      </c>
      <c r="Q11575" s="6"/>
      <c r="R11575" s="6"/>
      <c r="S11575" s="6"/>
      <c r="T11575" s="6"/>
      <c r="U11575" s="6"/>
    </row>
    <row r="11576" ht="14.25">
      <c r="B11576" s="18" t="s">
        <v>2299</v>
      </c>
      <c r="C11576" s="18" t="s">
        <v>53700</v>
      </c>
      <c r="D11576" s="18" t="s">
        <v>112</v>
      </c>
      <c r="E11576" s="18" t="s">
        <v>53701</v>
      </c>
      <c r="F11576" s="18" t="str">
        <f>IFERROR(__XLUDF.DUMMYFUNCTION("PROPER(REGEXREPLACE(D1488,""[^A-Za-z]+ "",""""))"),"Arcades Solutions")</f>
        <v xml:space="preserve">Arcades Solutions</v>
      </c>
      <c r="G11576" s="18" t="s">
        <v>53702</v>
      </c>
      <c r="H11576" s="18">
        <v>11</v>
      </c>
      <c r="I11576" s="18" t="s">
        <v>9239</v>
      </c>
      <c r="J11576" s="5" t="s">
        <v>53703</v>
      </c>
      <c r="K11576" s="5" t="s">
        <v>53704</v>
      </c>
      <c r="L11576" s="18" t="s">
        <v>12209</v>
      </c>
      <c r="M11576" s="18" t="s">
        <v>29</v>
      </c>
      <c r="N11576" s="18" t="s">
        <v>18312</v>
      </c>
      <c r="O11576" s="18" t="s">
        <v>29</v>
      </c>
      <c r="P11576" s="6"/>
      <c r="Q11576" s="6"/>
      <c r="R11576" s="6"/>
      <c r="S11576" s="6"/>
      <c r="T11576" s="6"/>
      <c r="U11576" s="6"/>
    </row>
    <row r="11577" ht="14.25">
      <c r="B11577" s="18" t="s">
        <v>5103</v>
      </c>
      <c r="C11577" s="18" t="s">
        <v>30571</v>
      </c>
      <c r="D11577" s="18" t="s">
        <v>164</v>
      </c>
      <c r="E11577" s="18" t="s">
        <v>53705</v>
      </c>
      <c r="F11577" s="18" t="str">
        <f>IFERROR(__XLUDF.DUMMYFUNCTION("PROPER(REGEXREPLACE(D1489,""[^A-Za-z]+ "",""""))"),"Lowcalbat")</f>
        <v>Lowcalbat</v>
      </c>
      <c r="G11577" s="18" t="s">
        <v>53706</v>
      </c>
      <c r="H11577" s="18">
        <v>16</v>
      </c>
      <c r="I11577" s="18" t="s">
        <v>9239</v>
      </c>
      <c r="J11577" s="5" t="s">
        <v>53707</v>
      </c>
      <c r="K11577" s="5" t="s">
        <v>53708</v>
      </c>
      <c r="L11577" s="18" t="s">
        <v>846</v>
      </c>
      <c r="M11577" s="18" t="s">
        <v>29</v>
      </c>
      <c r="N11577" s="18" t="s">
        <v>53709</v>
      </c>
      <c r="O11577" s="18" t="s">
        <v>29</v>
      </c>
      <c r="P11577" s="18" t="s">
        <v>53710</v>
      </c>
      <c r="Q11577" s="6"/>
      <c r="R11577" s="6"/>
      <c r="S11577" s="6"/>
      <c r="T11577" s="6"/>
      <c r="U11577" s="6"/>
    </row>
    <row r="11578" ht="14.25">
      <c r="B11578" s="18" t="s">
        <v>3142</v>
      </c>
      <c r="C11578" s="18" t="s">
        <v>53711</v>
      </c>
      <c r="D11578" s="18" t="s">
        <v>172</v>
      </c>
      <c r="E11578" s="18" t="s">
        <v>53712</v>
      </c>
      <c r="F11578" s="18" t="str">
        <f>IFERROR(__XLUDF.DUMMYFUNCTION("PROPER(REGEXREPLACE(D1490,""[^A-Za-z]+ "",""""))"),"Labalu")</f>
        <v>Labalu</v>
      </c>
      <c r="G11578" s="18" t="s">
        <v>53713</v>
      </c>
      <c r="H11578" s="18">
        <v>14</v>
      </c>
      <c r="I11578" s="18" t="s">
        <v>9239</v>
      </c>
      <c r="J11578" s="5" t="s">
        <v>53714</v>
      </c>
      <c r="K11578" s="5" t="s">
        <v>53715</v>
      </c>
      <c r="L11578" s="18" t="s">
        <v>185</v>
      </c>
      <c r="M11578" s="18" t="s">
        <v>29</v>
      </c>
      <c r="N11578" s="18" t="s">
        <v>53716</v>
      </c>
      <c r="O11578" s="18" t="s">
        <v>29</v>
      </c>
      <c r="P11578" s="6"/>
      <c r="Q11578" s="6"/>
      <c r="R11578" s="6"/>
      <c r="S11578" s="6"/>
      <c r="T11578" s="6"/>
      <c r="U11578" s="6"/>
    </row>
    <row r="11579" ht="14.25">
      <c r="B11579" s="18" t="s">
        <v>5781</v>
      </c>
      <c r="C11579" s="18" t="s">
        <v>53717</v>
      </c>
      <c r="D11579" s="18" t="s">
        <v>172</v>
      </c>
      <c r="E11579" s="18" t="s">
        <v>53718</v>
      </c>
      <c r="F11579" s="18" t="str">
        <f>IFERROR(__XLUDF.DUMMYFUNCTION("PROPER(REGEXREPLACE(D1491,""[^A-Za-z]+ "",""""))"),"Batexpert")</f>
        <v>Batexpert</v>
      </c>
      <c r="G11579" s="18" t="s">
        <v>53719</v>
      </c>
      <c r="H11579" s="18">
        <v>16</v>
      </c>
      <c r="I11579" s="18" t="s">
        <v>9239</v>
      </c>
      <c r="J11579" s="5" t="s">
        <v>53720</v>
      </c>
      <c r="K11579" s="5" t="s">
        <v>53721</v>
      </c>
      <c r="L11579" s="18" t="s">
        <v>39</v>
      </c>
      <c r="M11579" s="18" t="s">
        <v>29</v>
      </c>
      <c r="N11579" s="18" t="s">
        <v>53722</v>
      </c>
      <c r="O11579" s="18" t="s">
        <v>29</v>
      </c>
      <c r="P11579" s="18" t="s">
        <v>53723</v>
      </c>
      <c r="Q11579" s="6"/>
      <c r="R11579" s="6"/>
      <c r="S11579" s="6"/>
      <c r="T11579" s="6"/>
      <c r="U11579" s="6"/>
    </row>
    <row r="11580" ht="14.25">
      <c r="B11580" s="18" t="s">
        <v>53724</v>
      </c>
      <c r="C11580" s="18" t="s">
        <v>53725</v>
      </c>
      <c r="D11580" s="18" t="s">
        <v>87</v>
      </c>
      <c r="E11580" s="18" t="s">
        <v>53726</v>
      </c>
      <c r="F11580" s="18" t="str">
        <f>IFERROR(__XLUDF.DUMMYFUNCTION("PROPER(REGEXREPLACE(D1492,""[^A-Za-z]+ "",""""))"),"High Cube Eco Habitat")</f>
        <v xml:space="preserve">High Cube Eco Habitat</v>
      </c>
      <c r="G11580" s="18" t="s">
        <v>53727</v>
      </c>
      <c r="H11580" s="18">
        <v>5</v>
      </c>
      <c r="I11580" s="18" t="s">
        <v>9239</v>
      </c>
      <c r="J11580" s="5" t="s">
        <v>53728</v>
      </c>
      <c r="K11580" s="5" t="s">
        <v>53729</v>
      </c>
      <c r="L11580" s="18" t="s">
        <v>53730</v>
      </c>
      <c r="M11580" s="18" t="s">
        <v>29</v>
      </c>
      <c r="N11580" s="18" t="s">
        <v>53731</v>
      </c>
      <c r="O11580" s="18" t="s">
        <v>29</v>
      </c>
      <c r="P11580" s="6"/>
      <c r="Q11580" s="6"/>
      <c r="R11580" s="6"/>
      <c r="S11580" s="6"/>
      <c r="T11580" s="6"/>
      <c r="U11580" s="6"/>
    </row>
    <row r="11581" ht="14.25">
      <c r="B11581" s="18" t="s">
        <v>76</v>
      </c>
      <c r="C11581" s="18" t="s">
        <v>53732</v>
      </c>
      <c r="D11581" s="18" t="s">
        <v>426</v>
      </c>
      <c r="E11581" s="18" t="s">
        <v>53733</v>
      </c>
      <c r="F11581" s="18" t="str">
        <f>IFERROR(__XLUDF.DUMMYFUNCTION("PROPER(REGEXREPLACE(D1493,""[^A-Za-z]+ "",""""))"),"Baffy Solutions Renovation")</f>
        <v xml:space="preserve">Baffy Solutions Renovation</v>
      </c>
      <c r="G11581" s="18" t="s">
        <v>53734</v>
      </c>
      <c r="H11581" s="18">
        <v>22</v>
      </c>
      <c r="I11581" s="18" t="s">
        <v>9239</v>
      </c>
      <c r="J11581" s="5" t="s">
        <v>53735</v>
      </c>
      <c r="K11581" s="5" t="s">
        <v>53736</v>
      </c>
      <c r="L11581" s="18" t="s">
        <v>149</v>
      </c>
      <c r="M11581" s="18" t="s">
        <v>29</v>
      </c>
      <c r="N11581" s="18" t="s">
        <v>53737</v>
      </c>
      <c r="O11581" s="18" t="s">
        <v>29</v>
      </c>
      <c r="P11581" s="18" t="s">
        <v>53738</v>
      </c>
      <c r="Q11581" s="6"/>
      <c r="R11581" s="6"/>
      <c r="S11581" s="6"/>
      <c r="T11581" s="6"/>
      <c r="U11581" s="6"/>
    </row>
    <row r="11582" ht="14.25">
      <c r="B11582" s="18" t="s">
        <v>330</v>
      </c>
      <c r="C11582" s="18" t="s">
        <v>53739</v>
      </c>
      <c r="D11582" s="18" t="s">
        <v>172</v>
      </c>
      <c r="E11582" s="18" t="s">
        <v>53740</v>
      </c>
      <c r="F11582" s="18" t="str">
        <f>IFERROR(__XLUDF.DUMMYFUNCTION("PROPER(REGEXREPLACE(D1494,""[^A-Za-z]+ "",""""))"),"Entreprise David Sas")</f>
        <v xml:space="preserve">Entreprise David Sas</v>
      </c>
      <c r="G11582" s="18" t="s">
        <v>53741</v>
      </c>
      <c r="H11582" s="18">
        <v>9</v>
      </c>
      <c r="I11582" s="18" t="s">
        <v>9239</v>
      </c>
      <c r="J11582" s="5" t="s">
        <v>53742</v>
      </c>
      <c r="K11582" s="5" t="s">
        <v>53743</v>
      </c>
      <c r="L11582" s="18" t="s">
        <v>83</v>
      </c>
      <c r="M11582" s="18" t="s">
        <v>29</v>
      </c>
      <c r="N11582" s="18" t="s">
        <v>53744</v>
      </c>
      <c r="O11582" s="18" t="s">
        <v>29</v>
      </c>
      <c r="P11582" s="6"/>
      <c r="Q11582" s="6"/>
      <c r="R11582" s="6"/>
      <c r="S11582" s="6"/>
      <c r="T11582" s="6"/>
      <c r="U11582" s="6"/>
    </row>
    <row r="11583" ht="14.25">
      <c r="B11583" s="18" t="s">
        <v>85</v>
      </c>
      <c r="C11583" s="18" t="s">
        <v>53745</v>
      </c>
      <c r="D11583" s="18" t="s">
        <v>4586</v>
      </c>
      <c r="E11583" s="18" t="s">
        <v>53746</v>
      </c>
      <c r="F11583" s="18" t="str">
        <f>IFERROR(__XLUDF.DUMMYFUNCTION("PROPER(REGEXREPLACE(D1495,""[^A-Za-z]+ "",""""))"),"Normandie Drainage")</f>
        <v xml:space="preserve">Normandie Drainage</v>
      </c>
      <c r="G11583" s="18" t="s">
        <v>53747</v>
      </c>
      <c r="H11583" s="18">
        <v>9</v>
      </c>
      <c r="I11583" s="18" t="s">
        <v>9239</v>
      </c>
      <c r="J11583" s="5" t="s">
        <v>53748</v>
      </c>
      <c r="K11583" s="5" t="s">
        <v>53749</v>
      </c>
      <c r="L11583" s="18" t="s">
        <v>53750</v>
      </c>
      <c r="M11583" s="18" t="s">
        <v>29</v>
      </c>
      <c r="N11583" s="18" t="s">
        <v>53751</v>
      </c>
      <c r="O11583" s="18" t="s">
        <v>29</v>
      </c>
      <c r="P11583" s="6"/>
      <c r="Q11583" s="6"/>
      <c r="R11583" s="6"/>
      <c r="S11583" s="6"/>
      <c r="T11583" s="6"/>
      <c r="U11583" s="6"/>
    </row>
    <row r="11584" ht="14.25">
      <c r="B11584" s="18" t="s">
        <v>24920</v>
      </c>
      <c r="C11584" s="18" t="s">
        <v>83</v>
      </c>
      <c r="D11584" s="18" t="s">
        <v>172</v>
      </c>
      <c r="E11584" s="18" t="s">
        <v>53752</v>
      </c>
      <c r="F11584" s="18" t="str">
        <f>IFERROR(__XLUDF.DUMMYFUNCTION("PROPER(REGEXREPLACE(D1496,""[^A-Za-z]+ "",""""))"),"Brun Ceccotti Mediterranee")</f>
        <v xml:space="preserve">Brun Ceccotti Mediterranee</v>
      </c>
      <c r="G11584" s="18" t="s">
        <v>53753</v>
      </c>
      <c r="H11584" s="18">
        <v>10</v>
      </c>
      <c r="I11584" s="18" t="s">
        <v>9239</v>
      </c>
      <c r="J11584" s="5" t="s">
        <v>53754</v>
      </c>
      <c r="K11584" s="5" t="s">
        <v>53755</v>
      </c>
      <c r="L11584" s="18" t="s">
        <v>482</v>
      </c>
      <c r="M11584" s="18" t="s">
        <v>29</v>
      </c>
      <c r="N11584" s="18" t="s">
        <v>53756</v>
      </c>
      <c r="O11584" s="18" t="s">
        <v>29</v>
      </c>
      <c r="P11584" s="6"/>
      <c r="Q11584" s="6"/>
      <c r="R11584" s="6"/>
      <c r="S11584" s="6"/>
      <c r="T11584" s="6"/>
      <c r="U11584" s="6"/>
    </row>
    <row r="11585" ht="14.25">
      <c r="B11585" s="18" t="s">
        <v>571</v>
      </c>
      <c r="C11585" s="18" t="s">
        <v>53757</v>
      </c>
      <c r="D11585" s="18" t="s">
        <v>53758</v>
      </c>
      <c r="E11585" s="18" t="s">
        <v>53759</v>
      </c>
      <c r="F11585" s="18" t="str">
        <f>IFERROR(__XLUDF.DUMMYFUNCTION("PROPER(REGEXREPLACE(D1497,""[^A-Za-z]+ "",""""))"),"R3S France")</f>
        <v xml:space="preserve">R3S France</v>
      </c>
      <c r="G11585" s="18" t="s">
        <v>53760</v>
      </c>
      <c r="H11585" s="18">
        <v>34</v>
      </c>
      <c r="I11585" s="18" t="s">
        <v>9239</v>
      </c>
      <c r="J11585" s="5" t="s">
        <v>53761</v>
      </c>
      <c r="K11585" s="5" t="s">
        <v>53762</v>
      </c>
      <c r="L11585" s="18" t="s">
        <v>53763</v>
      </c>
      <c r="M11585" s="18" t="s">
        <v>29</v>
      </c>
      <c r="N11585" s="18" t="s">
        <v>53764</v>
      </c>
      <c r="O11585" s="18" t="s">
        <v>29</v>
      </c>
      <c r="P11585" s="6"/>
      <c r="Q11585" s="6"/>
      <c r="R11585" s="6"/>
      <c r="S11585" s="6"/>
      <c r="T11585" s="6"/>
      <c r="U11585" s="6"/>
    </row>
    <row r="11586" ht="14.25">
      <c r="B11586" s="18" t="s">
        <v>330</v>
      </c>
      <c r="C11586" s="18" t="s">
        <v>3319</v>
      </c>
      <c r="D11586" s="18" t="s">
        <v>172</v>
      </c>
      <c r="E11586" s="18" t="s">
        <v>53765</v>
      </c>
      <c r="F11586" s="18" t="str">
        <f>IFERROR(__XLUDF.DUMMYFUNCTION("PROPER(REGEXREPLACE(D1498,""[^A-Za-z]+ "",""""))"),"Sotralentz Construction")</f>
        <v xml:space="preserve">Sotralentz Construction</v>
      </c>
      <c r="G11586" s="18" t="s">
        <v>53766</v>
      </c>
      <c r="H11586" s="18">
        <v>45</v>
      </c>
      <c r="I11586" s="18" t="s">
        <v>9239</v>
      </c>
      <c r="J11586" s="5" t="s">
        <v>53767</v>
      </c>
      <c r="K11586" s="5" t="s">
        <v>53768</v>
      </c>
      <c r="L11586" s="18" t="s">
        <v>1460</v>
      </c>
      <c r="M11586" s="18" t="s">
        <v>29</v>
      </c>
      <c r="N11586" s="18" t="s">
        <v>53769</v>
      </c>
      <c r="O11586" s="18" t="s">
        <v>29</v>
      </c>
      <c r="P11586" s="18" t="s">
        <v>53770</v>
      </c>
      <c r="Q11586" s="6"/>
      <c r="R11586" s="6"/>
      <c r="S11586" s="6"/>
      <c r="T11586" s="6"/>
      <c r="U11586" s="6"/>
    </row>
    <row r="11587" ht="14.25">
      <c r="B11587" s="18" t="s">
        <v>255</v>
      </c>
      <c r="C11587" s="18" t="s">
        <v>53771</v>
      </c>
      <c r="D11587" s="18" t="s">
        <v>172</v>
      </c>
      <c r="E11587" s="18" t="s">
        <v>53772</v>
      </c>
      <c r="F11587" s="18" t="str">
        <f>IFERROR(__XLUDF.DUMMYFUNCTION("PROPER(REGEXREPLACE(D1499,""[^A-Za-z]+ "",""""))"),"En'Go Bourgogne")</f>
        <v xml:space="preserve">En'Go Bourgogne</v>
      </c>
      <c r="G11587" s="18" t="s">
        <v>53773</v>
      </c>
      <c r="H11587" s="18">
        <v>14</v>
      </c>
      <c r="I11587" s="18" t="s">
        <v>9239</v>
      </c>
      <c r="J11587" s="5" t="s">
        <v>53774</v>
      </c>
      <c r="K11587" s="5" t="s">
        <v>53775</v>
      </c>
      <c r="L11587" s="18" t="s">
        <v>53776</v>
      </c>
      <c r="M11587" s="18" t="s">
        <v>29</v>
      </c>
      <c r="N11587" s="18" t="s">
        <v>53777</v>
      </c>
      <c r="O11587" s="18" t="s">
        <v>1261</v>
      </c>
      <c r="P11587" s="18" t="s">
        <v>53778</v>
      </c>
      <c r="Q11587" s="6"/>
      <c r="R11587" s="6"/>
      <c r="S11587" s="6"/>
      <c r="T11587" s="6"/>
      <c r="U11587" s="6"/>
    </row>
    <row r="11588" ht="14.25">
      <c r="B11588" s="18" t="s">
        <v>53779</v>
      </c>
      <c r="C11588" s="18" t="s">
        <v>53780</v>
      </c>
      <c r="D11588" s="18" t="s">
        <v>7147</v>
      </c>
      <c r="E11588" s="18" t="s">
        <v>53781</v>
      </c>
      <c r="F11588" s="18" t="str">
        <f>IFERROR(__XLUDF.DUMMYFUNCTION("PROPER(REGEXREPLACE(D1500,""[^A-Za-z]+ "",""""))"),"Cmbb")</f>
        <v>Cmbb</v>
      </c>
      <c r="G11588" s="18" t="s">
        <v>53782</v>
      </c>
      <c r="H11588" s="6"/>
      <c r="I11588" s="6"/>
      <c r="J11588" s="5" t="s">
        <v>53783</v>
      </c>
      <c r="K11588" s="5" t="s">
        <v>53784</v>
      </c>
      <c r="L11588" s="18" t="s">
        <v>14927</v>
      </c>
      <c r="M11588" s="18" t="s">
        <v>29</v>
      </c>
      <c r="N11588" s="18" t="s">
        <v>53785</v>
      </c>
      <c r="O11588" s="18" t="s">
        <v>29</v>
      </c>
      <c r="P11588" s="6"/>
      <c r="Q11588" s="6"/>
      <c r="R11588" s="6"/>
      <c r="S11588" s="6"/>
      <c r="T11588" s="6"/>
      <c r="U11588" s="6"/>
    </row>
    <row r="11589" ht="14.25">
      <c r="B11589" s="18" t="s">
        <v>53786</v>
      </c>
      <c r="C11589" s="18" t="s">
        <v>1562</v>
      </c>
      <c r="D11589" s="18" t="s">
        <v>112</v>
      </c>
      <c r="E11589" s="18" t="s">
        <v>53787</v>
      </c>
      <c r="F11589" s="18" t="str">
        <f>IFERROR(__XLUDF.DUMMYFUNCTION("PROPER(REGEXREPLACE(D1501,""[^A-Za-z]+ "",""""))"),"Apluselec Habitat")</f>
        <v xml:space="preserve">Apluselec Habitat</v>
      </c>
      <c r="G11589" s="18" t="s">
        <v>53788</v>
      </c>
      <c r="H11589" s="18">
        <v>8</v>
      </c>
      <c r="I11589" s="18" t="s">
        <v>9239</v>
      </c>
      <c r="J11589" s="5" t="s">
        <v>53789</v>
      </c>
      <c r="K11589" s="5" t="s">
        <v>53790</v>
      </c>
      <c r="L11589" s="18" t="s">
        <v>20332</v>
      </c>
      <c r="M11589" s="18" t="s">
        <v>29</v>
      </c>
      <c r="N11589" s="18" t="s">
        <v>53791</v>
      </c>
      <c r="O11589" s="18" t="s">
        <v>29</v>
      </c>
      <c r="P11589" s="18" t="s">
        <v>53792</v>
      </c>
      <c r="Q11589" s="6"/>
      <c r="R11589" s="6"/>
      <c r="S11589" s="6"/>
      <c r="T11589" s="6"/>
      <c r="U11589" s="6"/>
    </row>
    <row r="11590" ht="14.25">
      <c r="B11590" s="18" t="s">
        <v>622</v>
      </c>
      <c r="C11590" s="18" t="s">
        <v>53793</v>
      </c>
      <c r="D11590" s="18" t="s">
        <v>3982</v>
      </c>
      <c r="E11590" s="18" t="s">
        <v>53794</v>
      </c>
      <c r="F11590" s="18" t="str">
        <f>IFERROR(__XLUDF.DUMMYFUNCTION("PROPER(REGEXREPLACE(D1502,""[^A-Za-z]+ "",""""))"),"Atpv")</f>
        <v>Atpv</v>
      </c>
      <c r="G11590" s="18" t="s">
        <v>53795</v>
      </c>
      <c r="H11590" s="18">
        <v>5</v>
      </c>
      <c r="I11590" s="18" t="s">
        <v>10215</v>
      </c>
      <c r="J11590" s="5" t="s">
        <v>53796</v>
      </c>
      <c r="K11590" s="5" t="s">
        <v>53797</v>
      </c>
      <c r="L11590" s="18" t="s">
        <v>53798</v>
      </c>
      <c r="M11590" s="18" t="s">
        <v>29</v>
      </c>
      <c r="N11590" s="18" t="s">
        <v>53799</v>
      </c>
      <c r="O11590" s="18" t="s">
        <v>29</v>
      </c>
      <c r="P11590" s="6"/>
      <c r="Q11590" s="6"/>
      <c r="R11590" s="6"/>
      <c r="S11590" s="6"/>
      <c r="T11590" s="6"/>
      <c r="U11590" s="6"/>
    </row>
    <row r="11591" ht="14.25">
      <c r="B11591" s="18" t="s">
        <v>53800</v>
      </c>
      <c r="C11591" s="18" t="s">
        <v>53801</v>
      </c>
      <c r="D11591" s="18" t="s">
        <v>5655</v>
      </c>
      <c r="E11591" s="18" t="s">
        <v>53802</v>
      </c>
      <c r="F11591" s="18" t="str">
        <f>IFERROR(__XLUDF.DUMMYFUNCTION("PROPER(REGEXREPLACE(D1503,""[^A-Za-z]+ "",""""))"),"Mfp International")</f>
        <v xml:space="preserve">Mfp International</v>
      </c>
      <c r="G11591" s="18" t="s">
        <v>53803</v>
      </c>
      <c r="H11591" s="18">
        <v>2</v>
      </c>
      <c r="I11591" s="18" t="s">
        <v>9239</v>
      </c>
      <c r="J11591" s="5" t="s">
        <v>53804</v>
      </c>
      <c r="K11591" s="5" t="s">
        <v>53805</v>
      </c>
      <c r="L11591" s="18" t="s">
        <v>39</v>
      </c>
      <c r="M11591" s="18" t="s">
        <v>29</v>
      </c>
      <c r="N11591" s="18" t="s">
        <v>53806</v>
      </c>
      <c r="O11591" s="18" t="s">
        <v>1938</v>
      </c>
      <c r="P11591" s="6"/>
      <c r="Q11591" s="6"/>
      <c r="R11591" s="6"/>
      <c r="S11591" s="6"/>
      <c r="T11591" s="6"/>
      <c r="U11591" s="6"/>
    </row>
    <row r="11592" ht="14.25">
      <c r="B11592" s="18" t="s">
        <v>679</v>
      </c>
      <c r="C11592" s="18" t="s">
        <v>53807</v>
      </c>
      <c r="D11592" s="18" t="s">
        <v>53158</v>
      </c>
      <c r="E11592" s="18" t="s">
        <v>53808</v>
      </c>
      <c r="F11592" s="18" t="str">
        <f>IFERROR(__XLUDF.DUMMYFUNCTION("PROPER(REGEXREPLACE(D1504,""[^A-Za-z]+ "",""""))"),"Totemm")</f>
        <v>Totemm</v>
      </c>
      <c r="G11592" s="18" t="s">
        <v>53809</v>
      </c>
      <c r="H11592" s="18">
        <v>10</v>
      </c>
      <c r="I11592" s="18" t="s">
        <v>9239</v>
      </c>
      <c r="J11592" s="5" t="s">
        <v>53810</v>
      </c>
      <c r="K11592" s="5" t="s">
        <v>53811</v>
      </c>
      <c r="L11592" s="18" t="s">
        <v>185</v>
      </c>
      <c r="M11592" s="18" t="s">
        <v>29</v>
      </c>
      <c r="N11592" s="18" t="s">
        <v>53812</v>
      </c>
      <c r="O11592" s="18" t="s">
        <v>29</v>
      </c>
      <c r="P11592" s="6"/>
      <c r="Q11592" s="6"/>
      <c r="R11592" s="6"/>
      <c r="S11592" s="6"/>
      <c r="T11592" s="6"/>
      <c r="U11592" s="6"/>
    </row>
    <row r="11593" ht="14.25">
      <c r="B11593" s="18" t="s">
        <v>971</v>
      </c>
      <c r="C11593" s="18" t="s">
        <v>53813</v>
      </c>
      <c r="D11593" s="18" t="s">
        <v>172</v>
      </c>
      <c r="E11593" s="18" t="s">
        <v>53814</v>
      </c>
      <c r="F11593" s="18" t="str">
        <f>IFERROR(__XLUDF.DUMMYFUNCTION("PROPER(REGEXREPLACE(D1505,""[^A-Za-z]+ "",""""))"),"Groupe_Brassier")</f>
        <v>Groupe_Brassier</v>
      </c>
      <c r="G11593" s="18" t="s">
        <v>53815</v>
      </c>
      <c r="H11593" s="18">
        <v>14</v>
      </c>
      <c r="I11593" s="18" t="s">
        <v>9239</v>
      </c>
      <c r="J11593" s="5" t="s">
        <v>53816</v>
      </c>
      <c r="K11593" s="5" t="s">
        <v>53817</v>
      </c>
      <c r="L11593" s="18" t="s">
        <v>9237</v>
      </c>
      <c r="M11593" s="18" t="s">
        <v>29</v>
      </c>
      <c r="N11593" s="18" t="s">
        <v>53818</v>
      </c>
      <c r="O11593" s="18" t="s">
        <v>29</v>
      </c>
      <c r="P11593" s="18" t="s">
        <v>53819</v>
      </c>
      <c r="Q11593" s="6"/>
      <c r="R11593" s="6"/>
      <c r="S11593" s="6"/>
      <c r="T11593" s="6"/>
      <c r="U11593" s="6"/>
    </row>
    <row r="11594" ht="14.25">
      <c r="B11594" s="18" t="s">
        <v>170</v>
      </c>
      <c r="C11594" s="18" t="s">
        <v>42870</v>
      </c>
      <c r="D11594" s="18" t="s">
        <v>172</v>
      </c>
      <c r="E11594" s="18" t="s">
        <v>53820</v>
      </c>
      <c r="F11594" s="18" t="str">
        <f>IFERROR(__XLUDF.DUMMYFUNCTION("PROPER(REGEXREPLACE(D1506,""[^A-Za-z]+ "",""""))"),"Ac2F Normandie")</f>
        <v xml:space="preserve">Ac2F Normandie</v>
      </c>
      <c r="G11594" s="18" t="s">
        <v>53821</v>
      </c>
      <c r="H11594" s="18">
        <v>30</v>
      </c>
      <c r="I11594" s="18" t="s">
        <v>9239</v>
      </c>
      <c r="J11594" s="5" t="s">
        <v>53822</v>
      </c>
      <c r="K11594" s="5" t="s">
        <v>53823</v>
      </c>
      <c r="L11594" s="18" t="s">
        <v>492</v>
      </c>
      <c r="M11594" s="18" t="s">
        <v>29</v>
      </c>
      <c r="N11594" s="18" t="s">
        <v>53824</v>
      </c>
      <c r="O11594" s="18" t="s">
        <v>29</v>
      </c>
      <c r="P11594" s="6"/>
      <c r="Q11594" s="6"/>
      <c r="R11594" s="6"/>
      <c r="S11594" s="6"/>
      <c r="T11594" s="6"/>
      <c r="U11594" s="6"/>
    </row>
    <row r="11595" ht="14.25">
      <c r="B11595" s="18" t="s">
        <v>53825</v>
      </c>
      <c r="C11595" s="18" t="s">
        <v>53826</v>
      </c>
      <c r="D11595" s="18" t="s">
        <v>172</v>
      </c>
      <c r="E11595" s="18" t="s">
        <v>53827</v>
      </c>
      <c r="F11595" s="18" t="str">
        <f>IFERROR(__XLUDF.DUMMYFUNCTION("PROPER(REGEXREPLACE(D1507,""[^A-Za-z]+ "",""""))"),"Crp Ravalement")</f>
        <v xml:space="preserve">Crp Ravalement</v>
      </c>
      <c r="G11595" s="18" t="s">
        <v>53828</v>
      </c>
      <c r="H11595" s="18">
        <v>6</v>
      </c>
      <c r="I11595" s="18" t="s">
        <v>9239</v>
      </c>
      <c r="J11595" s="5" t="s">
        <v>53829</v>
      </c>
      <c r="K11595" s="5" t="s">
        <v>53830</v>
      </c>
      <c r="L11595" s="6"/>
      <c r="M11595" s="18" t="s">
        <v>29</v>
      </c>
      <c r="N11595" s="18" t="s">
        <v>19596</v>
      </c>
      <c r="O11595" s="18" t="s">
        <v>29</v>
      </c>
      <c r="P11595" s="6"/>
      <c r="Q11595" s="6"/>
      <c r="R11595" s="6"/>
      <c r="S11595" s="6"/>
      <c r="T11595" s="6"/>
      <c r="U11595" s="6"/>
    </row>
    <row r="11596" ht="14.25">
      <c r="B11596" s="18" t="s">
        <v>2299</v>
      </c>
      <c r="C11596" s="18" t="s">
        <v>53831</v>
      </c>
      <c r="D11596" s="18" t="s">
        <v>172</v>
      </c>
      <c r="E11596" s="18" t="s">
        <v>53832</v>
      </c>
      <c r="F11596" s="18" t="str">
        <f>IFERROR(__XLUDF.DUMMYFUNCTION("PROPER(REGEXREPLACE(D1508,""[^A-Za-z]+ "",""""))"),"Valente Construction")</f>
        <v xml:space="preserve">Valente Construction</v>
      </c>
      <c r="G11596" s="18" t="s">
        <v>53833</v>
      </c>
      <c r="H11596" s="18">
        <v>6</v>
      </c>
      <c r="I11596" s="18" t="s">
        <v>9239</v>
      </c>
      <c r="J11596" s="5" t="s">
        <v>53834</v>
      </c>
      <c r="K11596" s="5" t="s">
        <v>53835</v>
      </c>
      <c r="L11596" s="18" t="s">
        <v>53836</v>
      </c>
      <c r="M11596" s="18" t="s">
        <v>29</v>
      </c>
      <c r="N11596" s="18" t="s">
        <v>53837</v>
      </c>
      <c r="O11596" s="18" t="s">
        <v>29</v>
      </c>
      <c r="P11596" s="18" t="s">
        <v>53838</v>
      </c>
      <c r="Q11596" s="6"/>
      <c r="R11596" s="6"/>
      <c r="S11596" s="6"/>
      <c r="T11596" s="6"/>
      <c r="U11596" s="6"/>
    </row>
    <row r="11597" ht="14.25">
      <c r="B11597" s="18" t="s">
        <v>110</v>
      </c>
      <c r="C11597" s="18" t="s">
        <v>53839</v>
      </c>
      <c r="D11597" s="18" t="s">
        <v>172</v>
      </c>
      <c r="E11597" s="18" t="s">
        <v>53840</v>
      </c>
      <c r="F11597" s="18" t="str">
        <f>IFERROR(__XLUDF.DUMMYFUNCTION("PROPER(REGEXREPLACE(D1509,""[^A-Za-z]+ "",""""))"),"Groupe Solaire Clim Chauffage")</f>
        <v xml:space="preserve">Groupe Solaire Clim Chauffage</v>
      </c>
      <c r="G11597" s="18" t="s">
        <v>53841</v>
      </c>
      <c r="H11597" s="18">
        <v>12</v>
      </c>
      <c r="I11597" s="18" t="s">
        <v>9239</v>
      </c>
      <c r="J11597" s="5" t="s">
        <v>53842</v>
      </c>
      <c r="K11597" s="5" t="s">
        <v>53843</v>
      </c>
      <c r="L11597" s="18" t="s">
        <v>831</v>
      </c>
      <c r="M11597" s="18" t="s">
        <v>29</v>
      </c>
      <c r="N11597" s="18" t="s">
        <v>53844</v>
      </c>
      <c r="O11597" s="18" t="s">
        <v>29</v>
      </c>
      <c r="P11597" s="18" t="s">
        <v>53845</v>
      </c>
      <c r="Q11597" s="6"/>
      <c r="R11597" s="6"/>
      <c r="S11597" s="6"/>
      <c r="T11597" s="6"/>
      <c r="U11597" s="6"/>
    </row>
    <row r="11598" ht="14.25">
      <c r="B11598" s="18" t="s">
        <v>53846</v>
      </c>
      <c r="C11598" s="18" t="s">
        <v>53847</v>
      </c>
      <c r="D11598" s="18" t="s">
        <v>53848</v>
      </c>
      <c r="E11598" s="18" t="s">
        <v>53849</v>
      </c>
      <c r="F11598" s="18" t="str">
        <f>IFERROR(__XLUDF.DUMMYFUNCTION("PROPER(REGEXREPLACE(D1510,""[^A-Za-z]+ "",""""))"),"Us")</f>
        <v>Us</v>
      </c>
      <c r="G11598" s="18" t="s">
        <v>53850</v>
      </c>
      <c r="H11598" s="18">
        <v>27</v>
      </c>
      <c r="I11598" s="18" t="s">
        <v>9239</v>
      </c>
      <c r="J11598" s="5" t="s">
        <v>53851</v>
      </c>
      <c r="K11598" s="5" t="s">
        <v>53852</v>
      </c>
      <c r="L11598" s="18" t="s">
        <v>185</v>
      </c>
      <c r="M11598" s="18" t="s">
        <v>29</v>
      </c>
      <c r="N11598" s="18" t="s">
        <v>53853</v>
      </c>
      <c r="O11598" s="18" t="s">
        <v>29</v>
      </c>
      <c r="P11598" s="6"/>
      <c r="Q11598" s="6"/>
      <c r="R11598" s="6"/>
      <c r="S11598" s="6"/>
      <c r="T11598" s="6"/>
      <c r="U11598" s="6"/>
    </row>
    <row r="11599" ht="14.25">
      <c r="B11599" s="18" t="s">
        <v>1198</v>
      </c>
      <c r="C11599" s="18" t="s">
        <v>40450</v>
      </c>
      <c r="D11599" s="18" t="s">
        <v>172</v>
      </c>
      <c r="E11599" s="18" t="s">
        <v>53854</v>
      </c>
      <c r="F11599" s="18" t="str">
        <f>IFERROR(__XLUDF.DUMMYFUNCTION("PROPER(REGEXREPLACE(D1511,""[^A-Za-z]+ "",""""))"),"Maisons Ortelli")</f>
        <v xml:space="preserve">Maisons Ortelli</v>
      </c>
      <c r="G11599" s="18" t="s">
        <v>53855</v>
      </c>
      <c r="H11599" s="18">
        <v>3</v>
      </c>
      <c r="I11599" s="18" t="s">
        <v>9239</v>
      </c>
      <c r="J11599" s="5" t="s">
        <v>53856</v>
      </c>
      <c r="K11599" s="5" t="s">
        <v>53857</v>
      </c>
      <c r="L11599" s="6"/>
      <c r="M11599" s="18" t="s">
        <v>29</v>
      </c>
      <c r="N11599" s="18" t="s">
        <v>53858</v>
      </c>
      <c r="O11599" s="18" t="s">
        <v>29</v>
      </c>
      <c r="P11599" s="18" t="s">
        <v>53859</v>
      </c>
      <c r="Q11599" s="6"/>
      <c r="R11599" s="6"/>
      <c r="S11599" s="6"/>
      <c r="T11599" s="6"/>
      <c r="U11599" s="6"/>
    </row>
    <row r="11600" ht="14.25">
      <c r="B11600" s="18" t="s">
        <v>7323</v>
      </c>
      <c r="C11600" s="18" t="s">
        <v>8274</v>
      </c>
      <c r="D11600" s="18" t="s">
        <v>87</v>
      </c>
      <c r="E11600" s="18" t="s">
        <v>53860</v>
      </c>
      <c r="F11600" s="18" t="str">
        <f>IFERROR(__XLUDF.DUMMYFUNCTION("PROPER(REGEXREPLACE(D1512,""[^A-Za-z]+ "",""""))"),"Yoda Master")</f>
        <v xml:space="preserve">Yoda Master</v>
      </c>
      <c r="G11600" s="18" t="s">
        <v>53861</v>
      </c>
      <c r="H11600" s="18">
        <v>10</v>
      </c>
      <c r="I11600" s="18" t="s">
        <v>9239</v>
      </c>
      <c r="J11600" s="5" t="s">
        <v>53862</v>
      </c>
      <c r="K11600" s="5" t="s">
        <v>53863</v>
      </c>
      <c r="L11600" s="18" t="s">
        <v>39</v>
      </c>
      <c r="M11600" s="18" t="s">
        <v>29</v>
      </c>
      <c r="N11600" s="18" t="s">
        <v>53864</v>
      </c>
      <c r="O11600" s="18" t="s">
        <v>29</v>
      </c>
      <c r="P11600" s="18" t="s">
        <v>53865</v>
      </c>
      <c r="Q11600" s="6"/>
      <c r="R11600" s="6"/>
      <c r="S11600" s="6"/>
      <c r="T11600" s="6"/>
      <c r="U11600" s="6"/>
    </row>
    <row r="11601" ht="14.25">
      <c r="B11601" s="18" t="s">
        <v>955</v>
      </c>
      <c r="C11601" s="18" t="s">
        <v>53866</v>
      </c>
      <c r="D11601" s="18" t="s">
        <v>487</v>
      </c>
      <c r="E11601" s="18" t="s">
        <v>53867</v>
      </c>
      <c r="F11601" s="18" t="str">
        <f>IFERROR(__XLUDF.DUMMYFUNCTION("PROPER(REGEXREPLACE(D1513,""[^A-Za-z]+ "",""""))"),"Sapec Rhône Alpes")</f>
        <v xml:space="preserve">Sapec Rhône Alpes</v>
      </c>
      <c r="G11601" s="18" t="s">
        <v>53868</v>
      </c>
      <c r="H11601" s="18">
        <v>3</v>
      </c>
      <c r="I11601" s="18" t="s">
        <v>9239</v>
      </c>
      <c r="J11601" s="5" t="s">
        <v>53869</v>
      </c>
      <c r="K11601" s="5" t="s">
        <v>53870</v>
      </c>
      <c r="L11601" s="6"/>
      <c r="M11601" s="18" t="s">
        <v>29</v>
      </c>
      <c r="N11601" s="18" t="s">
        <v>53871</v>
      </c>
      <c r="O11601" s="18" t="s">
        <v>29</v>
      </c>
      <c r="P11601" s="6"/>
      <c r="Q11601" s="6"/>
      <c r="R11601" s="6"/>
      <c r="S11601" s="6"/>
      <c r="T11601" s="6"/>
      <c r="U11601" s="6"/>
    </row>
    <row r="11602" ht="14.25">
      <c r="B11602" s="18" t="s">
        <v>571</v>
      </c>
      <c r="C11602" s="18" t="s">
        <v>53872</v>
      </c>
      <c r="D11602" s="18" t="s">
        <v>53873</v>
      </c>
      <c r="E11602" s="18" t="s">
        <v>53874</v>
      </c>
      <c r="F11602" s="18" t="str">
        <f>IFERROR(__XLUDF.DUMMYFUNCTION("PROPER(REGEXREPLACE(D1514,""[^A-Za-z]+ "",""""))"),"Groupe Hild")</f>
        <v xml:space="preserve">Groupe Hild</v>
      </c>
      <c r="G11602" s="18" t="s">
        <v>53875</v>
      </c>
      <c r="H11602" s="18">
        <v>16</v>
      </c>
      <c r="I11602" s="18" t="s">
        <v>9239</v>
      </c>
      <c r="J11602" s="5" t="s">
        <v>53876</v>
      </c>
      <c r="K11602" s="5" t="s">
        <v>53877</v>
      </c>
      <c r="L11602" s="18" t="s">
        <v>39</v>
      </c>
      <c r="M11602" s="18" t="s">
        <v>29</v>
      </c>
      <c r="N11602" s="18" t="s">
        <v>53878</v>
      </c>
      <c r="O11602" s="18" t="s">
        <v>29</v>
      </c>
      <c r="P11602" s="6"/>
      <c r="Q11602" s="6"/>
      <c r="R11602" s="6"/>
      <c r="S11602" s="6"/>
      <c r="T11602" s="6"/>
      <c r="U11602" s="6"/>
    </row>
    <row r="11603" ht="14.25">
      <c r="B11603" s="18" t="s">
        <v>785</v>
      </c>
      <c r="C11603" s="18" t="s">
        <v>53879</v>
      </c>
      <c r="D11603" s="18" t="s">
        <v>172</v>
      </c>
      <c r="E11603" s="18" t="s">
        <v>53880</v>
      </c>
      <c r="F11603" s="18" t="str">
        <f>IFERROR(__XLUDF.DUMMYFUNCTION("PROPER(REGEXREPLACE(D1515,""[^A-Za-z]+ "",""""))"),"Cmbs")</f>
        <v>Cmbs</v>
      </c>
      <c r="G11603" s="18" t="s">
        <v>53881</v>
      </c>
      <c r="H11603" s="18">
        <v>31</v>
      </c>
      <c r="I11603" s="18" t="s">
        <v>9239</v>
      </c>
      <c r="J11603" s="5" t="s">
        <v>53882</v>
      </c>
      <c r="K11603" s="5" t="s">
        <v>53883</v>
      </c>
      <c r="L11603" s="6"/>
      <c r="M11603" s="18" t="s">
        <v>29</v>
      </c>
      <c r="N11603" s="18" t="s">
        <v>53884</v>
      </c>
      <c r="O11603" s="18" t="s">
        <v>29</v>
      </c>
      <c r="P11603" s="18" t="s">
        <v>53885</v>
      </c>
      <c r="Q11603" s="6"/>
      <c r="R11603" s="6"/>
      <c r="S11603" s="6"/>
      <c r="T11603" s="6"/>
      <c r="U11603" s="6"/>
    </row>
    <row r="11604" ht="14.25">
      <c r="B11604" s="18" t="s">
        <v>971</v>
      </c>
      <c r="C11604" s="18" t="s">
        <v>40375</v>
      </c>
      <c r="D11604" s="18" t="s">
        <v>172</v>
      </c>
      <c r="E11604" s="18" t="s">
        <v>53886</v>
      </c>
      <c r="F11604" s="18" t="str">
        <f>IFERROR(__XLUDF.DUMMYFUNCTION("PROPER(REGEXREPLACE(D1516,""[^A-Za-z]+ "",""""))"),"Mitek France")</f>
        <v xml:space="preserve">Mitek France</v>
      </c>
      <c r="G11604" s="18" t="s">
        <v>53887</v>
      </c>
      <c r="H11604" s="18">
        <v>10</v>
      </c>
      <c r="I11604" s="18" t="s">
        <v>9239</v>
      </c>
      <c r="J11604" s="5" t="s">
        <v>53888</v>
      </c>
      <c r="K11604" s="5" t="s">
        <v>53889</v>
      </c>
      <c r="L11604" s="18" t="s">
        <v>39</v>
      </c>
      <c r="M11604" s="18" t="s">
        <v>29</v>
      </c>
      <c r="N11604" s="18" t="s">
        <v>53890</v>
      </c>
      <c r="O11604" s="18" t="s">
        <v>29</v>
      </c>
      <c r="P11604" s="18" t="s">
        <v>53891</v>
      </c>
      <c r="Q11604" s="6"/>
      <c r="R11604" s="6"/>
      <c r="S11604" s="6"/>
      <c r="T11604" s="6"/>
      <c r="U11604" s="6"/>
    </row>
    <row r="11605" ht="14.25">
      <c r="B11605" s="18" t="s">
        <v>622</v>
      </c>
      <c r="C11605" s="18" t="s">
        <v>53892</v>
      </c>
      <c r="D11605" s="18" t="s">
        <v>172</v>
      </c>
      <c r="E11605" s="18" t="s">
        <v>53893</v>
      </c>
      <c r="F11605" s="18" t="str">
        <f>IFERROR(__XLUDF.DUMMYFUNCTION("PROPER(REGEXREPLACE(D1517,""[^A-Za-z]+ "",""""))"),"Asterm")</f>
        <v>Asterm</v>
      </c>
      <c r="G11605" s="18" t="s">
        <v>53894</v>
      </c>
      <c r="H11605" s="18">
        <v>40</v>
      </c>
      <c r="I11605" s="18" t="s">
        <v>9239</v>
      </c>
      <c r="J11605" s="5" t="s">
        <v>53895</v>
      </c>
      <c r="K11605" s="5" t="s">
        <v>53896</v>
      </c>
      <c r="L11605" s="6"/>
      <c r="M11605" s="18" t="s">
        <v>29</v>
      </c>
      <c r="N11605" s="18" t="s">
        <v>53897</v>
      </c>
      <c r="O11605" s="18" t="s">
        <v>29</v>
      </c>
      <c r="P11605" s="18" t="s">
        <v>53898</v>
      </c>
      <c r="Q11605" s="6"/>
      <c r="R11605" s="6"/>
      <c r="S11605" s="6"/>
      <c r="T11605" s="6"/>
      <c r="U11605" s="6"/>
    </row>
    <row r="11606" ht="14.25">
      <c r="B11606" s="18" t="s">
        <v>76</v>
      </c>
      <c r="C11606" s="18" t="s">
        <v>51836</v>
      </c>
      <c r="D11606" s="18" t="s">
        <v>833</v>
      </c>
      <c r="E11606" s="18" t="s">
        <v>53899</v>
      </c>
      <c r="F11606" s="18" t="str">
        <f>IFERROR(__XLUDF.DUMMYFUNCTION("PROPER(REGEXREPLACE(D1518,""[^A-Za-z]+ "",""""))"),"Sodeter")</f>
        <v>Sodeter</v>
      </c>
      <c r="G11606" s="18" t="s">
        <v>53900</v>
      </c>
      <c r="H11606" s="18">
        <v>6</v>
      </c>
      <c r="I11606" s="18" t="s">
        <v>9239</v>
      </c>
      <c r="J11606" s="5" t="s">
        <v>53901</v>
      </c>
      <c r="K11606" s="5" t="s">
        <v>53902</v>
      </c>
      <c r="L11606" s="18" t="s">
        <v>47217</v>
      </c>
      <c r="M11606" s="18" t="s">
        <v>29</v>
      </c>
      <c r="N11606" s="18" t="s">
        <v>53903</v>
      </c>
      <c r="O11606" s="18" t="s">
        <v>29</v>
      </c>
      <c r="P11606" s="6"/>
      <c r="Q11606" s="6"/>
      <c r="R11606" s="6"/>
      <c r="S11606" s="6"/>
      <c r="T11606" s="6"/>
      <c r="U11606" s="6"/>
    </row>
    <row r="11607" ht="14.25">
      <c r="B11607" s="18" t="s">
        <v>2668</v>
      </c>
      <c r="C11607" s="18" t="s">
        <v>15152</v>
      </c>
      <c r="D11607" s="18" t="s">
        <v>879</v>
      </c>
      <c r="E11607" s="18" t="s">
        <v>53904</v>
      </c>
      <c r="F11607" s="18" t="str">
        <f>IFERROR(__XLUDF.DUMMYFUNCTION("PROPER(REGEXREPLACE(D1519,""[^A-Za-z]+ "",""""))"),"Rainéa")</f>
        <v>Rainéa</v>
      </c>
      <c r="G11607" s="18" t="s">
        <v>53905</v>
      </c>
      <c r="H11607" s="18">
        <v>26</v>
      </c>
      <c r="I11607" s="18" t="s">
        <v>9239</v>
      </c>
      <c r="J11607" s="5" t="s">
        <v>53906</v>
      </c>
      <c r="K11607" s="5" t="s">
        <v>53907</v>
      </c>
      <c r="L11607" s="6"/>
      <c r="M11607" s="18" t="s">
        <v>29</v>
      </c>
      <c r="N11607" s="18" t="s">
        <v>46608</v>
      </c>
      <c r="O11607" s="18" t="s">
        <v>29</v>
      </c>
      <c r="P11607" s="18" t="s">
        <v>53908</v>
      </c>
      <c r="Q11607" s="6"/>
      <c r="R11607" s="6"/>
      <c r="S11607" s="6"/>
      <c r="T11607" s="6"/>
      <c r="U11607" s="6"/>
    </row>
    <row r="11608" ht="14.25">
      <c r="B11608" s="18" t="s">
        <v>110</v>
      </c>
      <c r="C11608" s="18" t="s">
        <v>53909</v>
      </c>
      <c r="D11608" s="18" t="s">
        <v>53910</v>
      </c>
      <c r="E11608" s="18" t="s">
        <v>53911</v>
      </c>
      <c r="F11608" s="18" t="str">
        <f>IFERROR(__XLUDF.DUMMYFUNCTION("PROPER(REGEXREPLACE(D1520,""[^A-Za-z]+ "",""""))"),"Alcad Climservice")</f>
        <v xml:space="preserve">Alcad Climservice</v>
      </c>
      <c r="G11608" s="18" t="s">
        <v>53912</v>
      </c>
      <c r="H11608" s="18">
        <v>18</v>
      </c>
      <c r="I11608" s="18" t="s">
        <v>9239</v>
      </c>
      <c r="J11608" s="5" t="s">
        <v>53913</v>
      </c>
      <c r="K11608" s="5" t="s">
        <v>53914</v>
      </c>
      <c r="L11608" s="18" t="s">
        <v>39</v>
      </c>
      <c r="M11608" s="18" t="s">
        <v>29</v>
      </c>
      <c r="N11608" s="18" t="s">
        <v>53915</v>
      </c>
      <c r="O11608" s="18" t="s">
        <v>29</v>
      </c>
      <c r="P11608" s="6"/>
      <c r="Q11608" s="6"/>
      <c r="R11608" s="6"/>
      <c r="S11608" s="6"/>
      <c r="T11608" s="6"/>
      <c r="U11608" s="6"/>
    </row>
    <row r="11609" ht="14.25">
      <c r="B11609" s="18" t="s">
        <v>6634</v>
      </c>
      <c r="C11609" s="18" t="s">
        <v>4132</v>
      </c>
      <c r="D11609" s="18" t="s">
        <v>172</v>
      </c>
      <c r="E11609" s="18" t="s">
        <v>53916</v>
      </c>
      <c r="F11609" s="18" t="str">
        <f>IFERROR(__XLUDF.DUMMYFUNCTION("PROPER(REGEXREPLACE(D1521,""[^A-Za-z]+ "",""""))"),"Demathieu Bard Maintenance")</f>
        <v xml:space="preserve">Demathieu Bard Maintenance</v>
      </c>
      <c r="G11609" s="18" t="s">
        <v>53917</v>
      </c>
      <c r="H11609" s="18">
        <v>53</v>
      </c>
      <c r="I11609" s="18" t="s">
        <v>9239</v>
      </c>
      <c r="J11609" s="5" t="s">
        <v>53918</v>
      </c>
      <c r="K11609" s="5" t="s">
        <v>53919</v>
      </c>
      <c r="L11609" s="18" t="s">
        <v>4922</v>
      </c>
      <c r="M11609" s="18" t="s">
        <v>29</v>
      </c>
      <c r="N11609" s="18" t="s">
        <v>53920</v>
      </c>
      <c r="O11609" s="18" t="s">
        <v>29</v>
      </c>
      <c r="P11609" s="18" t="s">
        <v>53921</v>
      </c>
      <c r="Q11609" s="6"/>
      <c r="R11609" s="6"/>
      <c r="S11609" s="6"/>
      <c r="T11609" s="6"/>
      <c r="U11609" s="6"/>
    </row>
    <row r="11610" ht="14.25">
      <c r="B11610" s="18" t="s">
        <v>76</v>
      </c>
      <c r="C11610" s="18" t="s">
        <v>16689</v>
      </c>
      <c r="D11610" s="18" t="s">
        <v>172</v>
      </c>
      <c r="E11610" s="18" t="s">
        <v>53922</v>
      </c>
      <c r="F11610" s="18" t="str">
        <f>IFERROR(__XLUDF.DUMMYFUNCTION("PROPER(REGEXREPLACE(D1522,""[^A-Za-z]+ "",""""))"),"Elypso")</f>
        <v>Elypso</v>
      </c>
      <c r="G11610" s="18" t="s">
        <v>53923</v>
      </c>
      <c r="H11610" s="18">
        <v>13</v>
      </c>
      <c r="I11610" s="18" t="s">
        <v>9239</v>
      </c>
      <c r="J11610" s="5" t="s">
        <v>53924</v>
      </c>
      <c r="K11610" s="5" t="s">
        <v>53925</v>
      </c>
      <c r="L11610" s="18" t="s">
        <v>185</v>
      </c>
      <c r="M11610" s="18" t="s">
        <v>29</v>
      </c>
      <c r="N11610" s="18" t="s">
        <v>53926</v>
      </c>
      <c r="O11610" s="18" t="s">
        <v>29</v>
      </c>
      <c r="P11610" s="6"/>
      <c r="Q11610" s="6"/>
      <c r="R11610" s="6"/>
      <c r="S11610" s="6"/>
      <c r="T11610" s="6"/>
      <c r="U11610" s="6"/>
    </row>
    <row r="11611" ht="14.25">
      <c r="B11611" s="18" t="s">
        <v>7323</v>
      </c>
      <c r="C11611" s="18" t="s">
        <v>53927</v>
      </c>
      <c r="D11611" s="18" t="s">
        <v>172</v>
      </c>
      <c r="E11611" s="18" t="s">
        <v>53928</v>
      </c>
      <c r="F11611" s="18" t="str">
        <f>IFERROR(__XLUDF.DUMMYFUNCTION("PROPER(REGEXREPLACE(D1523,""[^A-Za-z]+ "",""""))"),"Façonéo")</f>
        <v>Façonéo</v>
      </c>
      <c r="G11611" s="18" t="s">
        <v>53929</v>
      </c>
      <c r="H11611" s="18">
        <v>20</v>
      </c>
      <c r="I11611" s="18" t="s">
        <v>9239</v>
      </c>
      <c r="J11611" s="5" t="s">
        <v>53930</v>
      </c>
      <c r="K11611" s="5" t="s">
        <v>53931</v>
      </c>
      <c r="L11611" s="18" t="s">
        <v>295</v>
      </c>
      <c r="M11611" s="18" t="s">
        <v>29</v>
      </c>
      <c r="N11611" s="18" t="s">
        <v>53932</v>
      </c>
      <c r="O11611" s="18" t="s">
        <v>29</v>
      </c>
      <c r="P11611" s="18" t="s">
        <v>53933</v>
      </c>
      <c r="Q11611" s="6"/>
      <c r="R11611" s="6"/>
      <c r="S11611" s="6"/>
      <c r="T11611" s="6"/>
      <c r="U11611" s="6"/>
    </row>
    <row r="11612" ht="14.25">
      <c r="B11612" s="18" t="s">
        <v>110</v>
      </c>
      <c r="C11612" s="18" t="s">
        <v>53934</v>
      </c>
      <c r="D11612" s="18" t="s">
        <v>53935</v>
      </c>
      <c r="E11612" s="18" t="s">
        <v>53936</v>
      </c>
      <c r="F11612" s="18" t="str">
        <f>IFERROR(__XLUDF.DUMMYFUNCTION("PROPER(REGEXREPLACE(D1524,""[^A-Za-z]+ "",""""))"),"Rallie Elec")</f>
        <v xml:space="preserve">Rallie Elec</v>
      </c>
      <c r="G11612" s="18" t="s">
        <v>53937</v>
      </c>
      <c r="H11612" s="18">
        <v>2</v>
      </c>
      <c r="I11612" s="18" t="s">
        <v>9239</v>
      </c>
      <c r="J11612" s="5" t="s">
        <v>53938</v>
      </c>
      <c r="K11612" s="5" t="s">
        <v>53939</v>
      </c>
      <c r="L11612" s="6"/>
      <c r="M11612" s="18" t="s">
        <v>29</v>
      </c>
      <c r="N11612" s="18" t="s">
        <v>53940</v>
      </c>
      <c r="O11612" s="18" t="s">
        <v>29</v>
      </c>
      <c r="P11612" s="18" t="s">
        <v>53941</v>
      </c>
      <c r="Q11612" s="6"/>
      <c r="R11612" s="6"/>
      <c r="S11612" s="6"/>
      <c r="T11612" s="6"/>
      <c r="U11612" s="6"/>
    </row>
    <row r="11613" ht="14.25">
      <c r="B11613" s="18" t="s">
        <v>556</v>
      </c>
      <c r="C11613" s="18" t="s">
        <v>53942</v>
      </c>
      <c r="D11613" s="18" t="s">
        <v>7759</v>
      </c>
      <c r="E11613" s="18" t="s">
        <v>53943</v>
      </c>
      <c r="F11613" s="18" t="str">
        <f>IFERROR(__XLUDF.DUMMYFUNCTION("PROPER(REGEXREPLACE(D1525,""[^A-Za-z]+ "",""""))"),"Somedec")</f>
        <v>Somedec</v>
      </c>
      <c r="G11613" s="18" t="s">
        <v>53944</v>
      </c>
      <c r="H11613" s="6"/>
      <c r="I11613" s="6"/>
      <c r="J11613" s="5" t="s">
        <v>53945</v>
      </c>
      <c r="K11613" s="5" t="s">
        <v>53946</v>
      </c>
      <c r="L11613" s="18" t="s">
        <v>50224</v>
      </c>
      <c r="M11613" s="18" t="s">
        <v>29</v>
      </c>
      <c r="N11613" s="18" t="s">
        <v>53947</v>
      </c>
      <c r="O11613" s="18" t="s">
        <v>29</v>
      </c>
      <c r="P11613" s="6"/>
      <c r="Q11613" s="6"/>
      <c r="R11613" s="6"/>
      <c r="S11613" s="6"/>
      <c r="T11613" s="6"/>
      <c r="U11613" s="6"/>
    </row>
    <row r="11614" ht="14.25">
      <c r="B11614" s="18" t="s">
        <v>2119</v>
      </c>
      <c r="C11614" s="18" t="s">
        <v>53948</v>
      </c>
      <c r="D11614" s="18" t="s">
        <v>1130</v>
      </c>
      <c r="E11614" s="18" t="s">
        <v>53949</v>
      </c>
      <c r="F11614" s="18" t="str">
        <f>IFERROR(__XLUDF.DUMMYFUNCTION("PROPER(REGEXREPLACE(D1526,""[^A-Za-z]+ "",""""))"),"Liziard")</f>
        <v>Liziard</v>
      </c>
      <c r="G11614" s="18" t="s">
        <v>53950</v>
      </c>
      <c r="H11614" s="18">
        <v>22</v>
      </c>
      <c r="I11614" s="18" t="s">
        <v>9239</v>
      </c>
      <c r="J11614" s="5" t="s">
        <v>53951</v>
      </c>
      <c r="K11614" s="5" t="s">
        <v>53952</v>
      </c>
      <c r="L11614" s="18" t="s">
        <v>439</v>
      </c>
      <c r="M11614" s="18" t="s">
        <v>29</v>
      </c>
      <c r="N11614" s="18" t="s">
        <v>53953</v>
      </c>
      <c r="O11614" s="18" t="s">
        <v>29</v>
      </c>
      <c r="P11614" s="6"/>
      <c r="Q11614" s="6"/>
      <c r="R11614" s="6"/>
      <c r="S11614" s="6"/>
      <c r="T11614" s="6"/>
      <c r="U11614" s="6"/>
    </row>
    <row r="11615" ht="14.25">
      <c r="B11615" s="18" t="s">
        <v>653</v>
      </c>
      <c r="C11615" s="18" t="s">
        <v>53954</v>
      </c>
      <c r="D11615" s="18" t="s">
        <v>172</v>
      </c>
      <c r="E11615" s="18" t="s">
        <v>53955</v>
      </c>
      <c r="F11615" s="18" t="str">
        <f>IFERROR(__XLUDF.DUMMYFUNCTION("PROPER(REGEXREPLACE(D1527,""[^A-Za-z]+ "",""""))"),"Latieule Btp")</f>
        <v xml:space="preserve">Latieule Btp</v>
      </c>
      <c r="G11615" s="18" t="s">
        <v>53956</v>
      </c>
      <c r="H11615" s="18">
        <v>15</v>
      </c>
      <c r="I11615" s="18" t="s">
        <v>9239</v>
      </c>
      <c r="J11615" s="5" t="s">
        <v>53957</v>
      </c>
      <c r="K11615" s="5" t="s">
        <v>53958</v>
      </c>
      <c r="L11615" s="18" t="s">
        <v>83</v>
      </c>
      <c r="M11615" s="18" t="s">
        <v>29</v>
      </c>
      <c r="N11615" s="18" t="s">
        <v>53959</v>
      </c>
      <c r="O11615" s="18" t="s">
        <v>29</v>
      </c>
      <c r="P11615" s="6"/>
      <c r="Q11615" s="6"/>
      <c r="R11615" s="6"/>
      <c r="S11615" s="6"/>
      <c r="T11615" s="6"/>
      <c r="U11615" s="6"/>
    </row>
    <row r="11616" ht="14.25">
      <c r="B11616" s="18" t="s">
        <v>661</v>
      </c>
      <c r="C11616" s="18" t="s">
        <v>53960</v>
      </c>
      <c r="D11616" s="18" t="s">
        <v>87</v>
      </c>
      <c r="E11616" s="18" t="s">
        <v>53961</v>
      </c>
      <c r="F11616" s="18" t="str">
        <f>IFERROR(__XLUDF.DUMMYFUNCTION("PROPER(REGEXREPLACE(D1528,""[^A-Za-z]+ "",""""))"),"Atelier Jv")</f>
        <v xml:space="preserve">Atelier Jv</v>
      </c>
      <c r="G11616" s="18" t="s">
        <v>53962</v>
      </c>
      <c r="H11616" s="18">
        <v>9</v>
      </c>
      <c r="I11616" s="18" t="s">
        <v>9239</v>
      </c>
      <c r="J11616" s="5" t="s">
        <v>53963</v>
      </c>
      <c r="K11616" s="5" t="s">
        <v>53964</v>
      </c>
      <c r="L11616" s="18" t="s">
        <v>39</v>
      </c>
      <c r="M11616" s="18" t="s">
        <v>29</v>
      </c>
      <c r="N11616" s="18" t="s">
        <v>53965</v>
      </c>
      <c r="O11616" s="18" t="s">
        <v>4340</v>
      </c>
      <c r="P11616" s="18" t="s">
        <v>53966</v>
      </c>
      <c r="Q11616" s="6"/>
      <c r="R11616" s="6"/>
      <c r="S11616" s="6"/>
      <c r="T11616" s="6"/>
      <c r="U11616" s="6"/>
    </row>
    <row r="11617" ht="14.25">
      <c r="B11617" s="18" t="s">
        <v>53967</v>
      </c>
      <c r="C11617" s="18" t="s">
        <v>53968</v>
      </c>
      <c r="D11617" s="18" t="s">
        <v>190</v>
      </c>
      <c r="E11617" s="18" t="s">
        <v>53969</v>
      </c>
      <c r="F11617" s="18" t="str">
        <f>IFERROR(__XLUDF.DUMMYFUNCTION("PROPER(REGEXREPLACE(D1529,""[^A-Za-z]+ "",""""))"),"Mls Construction")</f>
        <v xml:space="preserve">Mls Construction</v>
      </c>
      <c r="G11617" s="18" t="s">
        <v>53970</v>
      </c>
      <c r="H11617" s="18">
        <v>8</v>
      </c>
      <c r="I11617" s="18" t="s">
        <v>9239</v>
      </c>
      <c r="J11617" s="5" t="s">
        <v>53971</v>
      </c>
      <c r="K11617" s="5" t="s">
        <v>53972</v>
      </c>
      <c r="L11617" s="6"/>
      <c r="M11617" s="18" t="s">
        <v>29</v>
      </c>
      <c r="N11617" s="18" t="s">
        <v>53973</v>
      </c>
      <c r="O11617" s="18" t="s">
        <v>29</v>
      </c>
      <c r="P11617" s="6"/>
      <c r="Q11617" s="6"/>
      <c r="R11617" s="6"/>
      <c r="S11617" s="6"/>
      <c r="T11617" s="6"/>
      <c r="U11617" s="6"/>
    </row>
    <row r="11618" ht="14.25">
      <c r="B11618" s="18" t="s">
        <v>13300</v>
      </c>
      <c r="C11618" s="18" t="s">
        <v>53974</v>
      </c>
      <c r="D11618" s="18" t="s">
        <v>53975</v>
      </c>
      <c r="E11618" s="18" t="s">
        <v>53976</v>
      </c>
      <c r="F11618" s="18" t="str">
        <f>IFERROR(__XLUDF.DUMMYFUNCTION("PROPER(REGEXREPLACE(D1530,""[^A-Za-z]+ "",""""))"),"Voisin Constructions")</f>
        <v xml:space="preserve">Voisin Constructions</v>
      </c>
      <c r="G11618" s="18" t="s">
        <v>53977</v>
      </c>
      <c r="H11618" s="18">
        <v>14</v>
      </c>
      <c r="I11618" s="18" t="s">
        <v>9239</v>
      </c>
      <c r="J11618" s="5" t="s">
        <v>53978</v>
      </c>
      <c r="K11618" s="5" t="s">
        <v>53979</v>
      </c>
      <c r="L11618" s="18" t="s">
        <v>52131</v>
      </c>
      <c r="M11618" s="18" t="s">
        <v>29</v>
      </c>
      <c r="N11618" s="18" t="s">
        <v>53980</v>
      </c>
      <c r="O11618" s="18" t="s">
        <v>29</v>
      </c>
      <c r="P11618" s="18" t="s">
        <v>53981</v>
      </c>
      <c r="Q11618" s="6"/>
      <c r="R11618" s="6"/>
      <c r="S11618" s="6"/>
      <c r="T11618" s="6"/>
      <c r="U11618" s="6"/>
    </row>
    <row r="11619" ht="14.25">
      <c r="B11619" s="18" t="s">
        <v>47794</v>
      </c>
      <c r="C11619" s="18" t="s">
        <v>53982</v>
      </c>
      <c r="D11619" s="18" t="s">
        <v>28295</v>
      </c>
      <c r="E11619" s="18" t="s">
        <v>53983</v>
      </c>
      <c r="F11619" s="18" t="str">
        <f>IFERROR(__XLUDF.DUMMYFUNCTION("PROPER(REGEXREPLACE(D1531,""[^A-Za-z]+ "",""""))"),"Baticel Groupe")</f>
        <v xml:space="preserve">Baticel Groupe</v>
      </c>
      <c r="G11619" s="18" t="s">
        <v>53984</v>
      </c>
      <c r="H11619" s="18">
        <v>44</v>
      </c>
      <c r="I11619" s="18" t="s">
        <v>9239</v>
      </c>
      <c r="J11619" s="5" t="s">
        <v>53985</v>
      </c>
      <c r="K11619" s="5" t="s">
        <v>53986</v>
      </c>
      <c r="L11619" s="6"/>
      <c r="M11619" s="18" t="s">
        <v>29</v>
      </c>
      <c r="N11619" s="18" t="s">
        <v>53987</v>
      </c>
      <c r="O11619" s="18" t="s">
        <v>29</v>
      </c>
      <c r="P11619" s="6"/>
      <c r="Q11619" s="6"/>
      <c r="R11619" s="6"/>
      <c r="S11619" s="6"/>
      <c r="T11619" s="6"/>
      <c r="U11619" s="6"/>
    </row>
    <row r="11620" ht="14.25">
      <c r="B11620" s="18" t="s">
        <v>5060</v>
      </c>
      <c r="C11620" s="18" t="s">
        <v>53988</v>
      </c>
      <c r="D11620" s="18" t="s">
        <v>53989</v>
      </c>
      <c r="E11620" s="18" t="s">
        <v>53990</v>
      </c>
      <c r="F11620" s="18" t="str">
        <f>IFERROR(__XLUDF.DUMMYFUNCTION("PROPER(REGEXREPLACE(D1532,""[^A-Za-z]+ "",""""))"),"Procontain France")</f>
        <v xml:space="preserve">Procontain France</v>
      </c>
      <c r="G11620" s="18" t="s">
        <v>53991</v>
      </c>
      <c r="H11620" s="18">
        <v>13</v>
      </c>
      <c r="I11620" s="18" t="s">
        <v>9239</v>
      </c>
      <c r="J11620" s="5" t="s">
        <v>53992</v>
      </c>
      <c r="K11620" s="5" t="s">
        <v>53993</v>
      </c>
      <c r="L11620" s="18" t="s">
        <v>11278</v>
      </c>
      <c r="M11620" s="18" t="s">
        <v>29</v>
      </c>
      <c r="N11620" s="18" t="s">
        <v>53994</v>
      </c>
      <c r="O11620" s="18" t="s">
        <v>29</v>
      </c>
      <c r="P11620" s="6"/>
      <c r="Q11620" s="6"/>
      <c r="R11620" s="6"/>
      <c r="S11620" s="6"/>
      <c r="T11620" s="6"/>
      <c r="U11620" s="6"/>
    </row>
    <row r="11621" ht="14.25">
      <c r="B11621" s="18" t="s">
        <v>7525</v>
      </c>
      <c r="C11621" s="18" t="s">
        <v>53995</v>
      </c>
      <c r="D11621" s="18" t="s">
        <v>1950</v>
      </c>
      <c r="E11621" s="18" t="s">
        <v>53996</v>
      </c>
      <c r="F11621" s="18" t="str">
        <f>IFERROR(__XLUDF.DUMMYFUNCTION("PROPER(REGEXREPLACE(D1533,""[^A-Za-z]+ "",""""))"),"Labastere 33")</f>
        <v xml:space="preserve">Labastere 33</v>
      </c>
      <c r="G11621" s="18" t="s">
        <v>53997</v>
      </c>
      <c r="H11621" s="18">
        <v>20</v>
      </c>
      <c r="I11621" s="18" t="s">
        <v>9239</v>
      </c>
      <c r="J11621" s="5" t="s">
        <v>53998</v>
      </c>
      <c r="K11621" s="5" t="s">
        <v>53999</v>
      </c>
      <c r="L11621" s="18" t="s">
        <v>243</v>
      </c>
      <c r="M11621" s="18" t="s">
        <v>29</v>
      </c>
      <c r="N11621" s="18" t="s">
        <v>54000</v>
      </c>
      <c r="O11621" s="18" t="s">
        <v>29</v>
      </c>
      <c r="P11621" s="6"/>
      <c r="Q11621" s="6"/>
      <c r="R11621" s="6"/>
      <c r="S11621" s="6"/>
      <c r="T11621" s="6"/>
      <c r="U11621" s="6"/>
    </row>
    <row r="11622" ht="14.25">
      <c r="B11622" s="18" t="s">
        <v>6945</v>
      </c>
      <c r="C11622" s="18" t="s">
        <v>54001</v>
      </c>
      <c r="D11622" s="18" t="s">
        <v>112</v>
      </c>
      <c r="E11622" s="18" t="s">
        <v>54002</v>
      </c>
      <c r="F11622" s="18" t="str">
        <f>IFERROR(__XLUDF.DUMMYFUNCTION("PROPER(REGEXREPLACE(D1534,""[^A-Za-z]+ "",""""))"),"Lenaud")</f>
        <v>Lenaud</v>
      </c>
      <c r="G11622" s="18" t="s">
        <v>54003</v>
      </c>
      <c r="H11622" s="18">
        <v>23</v>
      </c>
      <c r="I11622" s="18" t="s">
        <v>9239</v>
      </c>
      <c r="J11622" s="5" t="s">
        <v>54004</v>
      </c>
      <c r="K11622" s="5" t="s">
        <v>54005</v>
      </c>
      <c r="L11622" s="18" t="s">
        <v>54006</v>
      </c>
      <c r="M11622" s="18" t="s">
        <v>29</v>
      </c>
      <c r="N11622" s="18" t="s">
        <v>54007</v>
      </c>
      <c r="O11622" s="18" t="s">
        <v>29</v>
      </c>
      <c r="P11622" s="18" t="s">
        <v>54008</v>
      </c>
      <c r="Q11622" s="6"/>
      <c r="R11622" s="6"/>
      <c r="S11622" s="6"/>
      <c r="T11622" s="6"/>
      <c r="U11622" s="6"/>
    </row>
    <row r="11623" ht="14.25">
      <c r="B11623" s="18" t="s">
        <v>76</v>
      </c>
      <c r="C11623" s="18" t="s">
        <v>54009</v>
      </c>
      <c r="D11623" s="18" t="s">
        <v>112</v>
      </c>
      <c r="E11623" s="18" t="s">
        <v>54010</v>
      </c>
      <c r="F11623" s="18" t="str">
        <f>IFERROR(__XLUDF.DUMMYFUNCTION("PROPER(REGEXREPLACE(D1535,""[^A-Za-z]+ "",""""))"),"Groupe Morlot")</f>
        <v xml:space="preserve">Groupe Morlot</v>
      </c>
      <c r="G11623" s="18" t="s">
        <v>54011</v>
      </c>
      <c r="H11623" s="18">
        <v>49</v>
      </c>
      <c r="I11623" s="18" t="s">
        <v>9239</v>
      </c>
      <c r="J11623" s="5" t="s">
        <v>54012</v>
      </c>
      <c r="K11623" s="5" t="s">
        <v>54013</v>
      </c>
      <c r="L11623" s="6"/>
      <c r="M11623" s="18" t="s">
        <v>29</v>
      </c>
      <c r="N11623" s="6"/>
      <c r="O11623" s="6"/>
      <c r="P11623" s="6"/>
      <c r="Q11623" s="6"/>
      <c r="R11623" s="6"/>
      <c r="S11623" s="6"/>
      <c r="T11623" s="6"/>
      <c r="U11623" s="6"/>
    </row>
    <row r="11624" ht="14.25">
      <c r="B11624" s="18" t="s">
        <v>866</v>
      </c>
      <c r="C11624" s="18" t="s">
        <v>54014</v>
      </c>
      <c r="D11624" s="18" t="s">
        <v>54015</v>
      </c>
      <c r="E11624" s="18" t="s">
        <v>54016</v>
      </c>
      <c r="F11624" s="18" t="str">
        <f>IFERROR(__XLUDF.DUMMYFUNCTION("PROPER(REGEXREPLACE(D1536,""[^A-Za-z]+ "",""""))"),"Tremblais Créateur")</f>
        <v xml:space="preserve">Tremblais Créateur</v>
      </c>
      <c r="G11624" s="18" t="s">
        <v>54017</v>
      </c>
      <c r="H11624" s="18">
        <v>14</v>
      </c>
      <c r="I11624" s="18" t="s">
        <v>9239</v>
      </c>
      <c r="J11624" s="5" t="s">
        <v>54018</v>
      </c>
      <c r="K11624" s="5" t="s">
        <v>54019</v>
      </c>
      <c r="L11624" s="18" t="s">
        <v>1312</v>
      </c>
      <c r="M11624" s="18" t="s">
        <v>29</v>
      </c>
      <c r="N11624" s="18" t="s">
        <v>54020</v>
      </c>
      <c r="O11624" s="18" t="s">
        <v>29</v>
      </c>
      <c r="P11624" s="6"/>
      <c r="Q11624" s="6"/>
      <c r="R11624" s="6"/>
      <c r="S11624" s="6"/>
      <c r="T11624" s="6"/>
      <c r="U11624" s="6"/>
    </row>
    <row r="11625" ht="14.25">
      <c r="B11625" s="18" t="s">
        <v>604</v>
      </c>
      <c r="C11625" s="18" t="s">
        <v>23423</v>
      </c>
      <c r="D11625" s="18" t="s">
        <v>120</v>
      </c>
      <c r="E11625" s="18" t="s">
        <v>54021</v>
      </c>
      <c r="F11625" s="18" t="str">
        <f>IFERROR(__XLUDF.DUMMYFUNCTION("PROPER(REGEXREPLACE(D1537,""[^A-Za-z]+ "",""""))"),"Groupe Df2G")</f>
        <v xml:space="preserve">Groupe Df2G</v>
      </c>
      <c r="G11625" s="18" t="s">
        <v>54022</v>
      </c>
      <c r="H11625" s="18">
        <v>29</v>
      </c>
      <c r="I11625" s="18" t="s">
        <v>9239</v>
      </c>
      <c r="J11625" s="5" t="s">
        <v>54023</v>
      </c>
      <c r="K11625" s="5" t="s">
        <v>54024</v>
      </c>
      <c r="L11625" s="18" t="s">
        <v>21505</v>
      </c>
      <c r="M11625" s="18" t="s">
        <v>29</v>
      </c>
      <c r="N11625" s="18" t="s">
        <v>54025</v>
      </c>
      <c r="O11625" s="18" t="s">
        <v>29</v>
      </c>
      <c r="P11625" s="6"/>
      <c r="Q11625" s="6"/>
      <c r="R11625" s="6"/>
      <c r="S11625" s="6"/>
      <c r="T11625" s="6"/>
      <c r="U11625" s="6"/>
    </row>
    <row r="11626" ht="14.25">
      <c r="B11626" s="18" t="s">
        <v>18559</v>
      </c>
      <c r="C11626" s="18" t="s">
        <v>54026</v>
      </c>
      <c r="D11626" s="18" t="s">
        <v>164</v>
      </c>
      <c r="E11626" s="18" t="s">
        <v>54027</v>
      </c>
      <c r="F11626" s="18" t="str">
        <f>IFERROR(__XLUDF.DUMMYFUNCTION("PROPER(REGEXREPLACE(D1538,""[^A-Za-z]+ "",""""))"),"Mbs Servicesworks")</f>
        <v xml:space="preserve">Mbs Servicesworks</v>
      </c>
      <c r="G11626" s="18" t="s">
        <v>54028</v>
      </c>
      <c r="H11626" s="18">
        <v>14</v>
      </c>
      <c r="I11626" s="18" t="s">
        <v>9239</v>
      </c>
      <c r="J11626" s="5" t="s">
        <v>54029</v>
      </c>
      <c r="K11626" s="5" t="s">
        <v>54030</v>
      </c>
      <c r="L11626" s="18" t="s">
        <v>54031</v>
      </c>
      <c r="M11626" s="18" t="s">
        <v>29</v>
      </c>
      <c r="N11626" s="18" t="s">
        <v>54032</v>
      </c>
      <c r="O11626" s="18" t="s">
        <v>29</v>
      </c>
      <c r="P11626" s="6"/>
      <c r="Q11626" s="6"/>
      <c r="R11626" s="6"/>
      <c r="S11626" s="6"/>
      <c r="T11626" s="6"/>
      <c r="U11626" s="6"/>
    </row>
    <row r="11627" ht="14.25">
      <c r="B11627" s="18" t="s">
        <v>3540</v>
      </c>
      <c r="C11627" s="18" t="s">
        <v>54033</v>
      </c>
      <c r="D11627" s="18" t="s">
        <v>3836</v>
      </c>
      <c r="E11627" s="18" t="s">
        <v>54034</v>
      </c>
      <c r="F11627" s="18" t="str">
        <f>IFERROR(__XLUDF.DUMMYFUNCTION("PROPER(REGEXREPLACE(D1539,""[^A-Za-z]+ "",""""))"),"Optimiz Construction")</f>
        <v xml:space="preserve">Optimiz Construction</v>
      </c>
      <c r="G11627" s="18" t="s">
        <v>54035</v>
      </c>
      <c r="H11627" s="18">
        <v>9</v>
      </c>
      <c r="I11627" s="18" t="s">
        <v>9239</v>
      </c>
      <c r="J11627" s="5" t="s">
        <v>54036</v>
      </c>
      <c r="K11627" s="5" t="s">
        <v>54037</v>
      </c>
      <c r="L11627" s="18" t="s">
        <v>39</v>
      </c>
      <c r="M11627" s="18" t="s">
        <v>29</v>
      </c>
      <c r="N11627" s="18" t="s">
        <v>1158</v>
      </c>
      <c r="O11627" s="18" t="s">
        <v>29</v>
      </c>
      <c r="P11627" s="18" t="s">
        <v>54038</v>
      </c>
      <c r="Q11627" s="6"/>
      <c r="R11627" s="6"/>
      <c r="S11627" s="6"/>
      <c r="T11627" s="6"/>
      <c r="U11627" s="6"/>
    </row>
    <row r="11628" ht="14.25">
      <c r="B11628" s="18" t="s">
        <v>1704</v>
      </c>
      <c r="C11628" s="18" t="s">
        <v>54039</v>
      </c>
      <c r="D11628" s="18" t="s">
        <v>87</v>
      </c>
      <c r="E11628" s="18" t="s">
        <v>54040</v>
      </c>
      <c r="F11628" s="18" t="str">
        <f>IFERROR(__XLUDF.DUMMYFUNCTION("PROPER(REGEXREPLACE(D1540,""[^A-Za-z]+ "",""""))"),"Groupe Zacha")</f>
        <v xml:space="preserve">Groupe Zacha</v>
      </c>
      <c r="G11628" s="18" t="s">
        <v>54041</v>
      </c>
      <c r="H11628" s="18">
        <v>7</v>
      </c>
      <c r="I11628" s="18" t="s">
        <v>9239</v>
      </c>
      <c r="J11628" s="5" t="s">
        <v>54042</v>
      </c>
      <c r="K11628" s="5" t="s">
        <v>54043</v>
      </c>
      <c r="L11628" s="6"/>
      <c r="M11628" s="18" t="s">
        <v>29</v>
      </c>
      <c r="N11628" s="18" t="s">
        <v>54044</v>
      </c>
      <c r="O11628" s="18" t="s">
        <v>29</v>
      </c>
      <c r="P11628" s="6"/>
      <c r="Q11628" s="6"/>
      <c r="R11628" s="6"/>
      <c r="S11628" s="6"/>
      <c r="T11628" s="6"/>
      <c r="U11628" s="6"/>
    </row>
    <row r="11629" ht="14.25">
      <c r="B11629" s="18" t="s">
        <v>963</v>
      </c>
      <c r="C11629" s="18" t="s">
        <v>54045</v>
      </c>
      <c r="D11629" s="18" t="s">
        <v>54046</v>
      </c>
      <c r="E11629" s="18" t="s">
        <v>54047</v>
      </c>
      <c r="F11629" s="18" t="str">
        <f>IFERROR(__XLUDF.DUMMYFUNCTION("PROPER(REGEXREPLACE(D1541,""[^A-Za-z]+ "",""""))"),"Tikoam")</f>
        <v>Tikoam</v>
      </c>
      <c r="G11629" s="18" t="s">
        <v>54048</v>
      </c>
      <c r="H11629" s="18">
        <v>8</v>
      </c>
      <c r="I11629" s="18" t="s">
        <v>9239</v>
      </c>
      <c r="J11629" s="5" t="s">
        <v>54049</v>
      </c>
      <c r="K11629" s="5" t="s">
        <v>54050</v>
      </c>
      <c r="L11629" s="18" t="s">
        <v>252</v>
      </c>
      <c r="M11629" s="18" t="s">
        <v>29</v>
      </c>
      <c r="N11629" s="18" t="s">
        <v>54051</v>
      </c>
      <c r="O11629" s="18" t="s">
        <v>29</v>
      </c>
      <c r="P11629" s="6"/>
      <c r="Q11629" s="6"/>
      <c r="R11629" s="6"/>
      <c r="S11629" s="6"/>
      <c r="T11629" s="6"/>
      <c r="U11629" s="6"/>
    </row>
    <row r="11630" ht="14.25">
      <c r="B11630" s="18" t="s">
        <v>1215</v>
      </c>
      <c r="C11630" s="18" t="s">
        <v>54052</v>
      </c>
      <c r="D11630" s="18" t="s">
        <v>172</v>
      </c>
      <c r="E11630" s="18" t="s">
        <v>54053</v>
      </c>
      <c r="F11630" s="18" t="str">
        <f>IFERROR(__XLUDF.DUMMYFUNCTION("PROPER(REGEXREPLACE(D1542,""[^A-Za-z]+ "",""""))"),"Msolution")</f>
        <v>Msolution</v>
      </c>
      <c r="G11630" s="18" t="s">
        <v>54054</v>
      </c>
      <c r="H11630" s="18">
        <v>9</v>
      </c>
      <c r="I11630" s="18" t="s">
        <v>9239</v>
      </c>
      <c r="J11630" s="5" t="s">
        <v>54055</v>
      </c>
      <c r="K11630" s="5" t="s">
        <v>54056</v>
      </c>
      <c r="L11630" s="18" t="s">
        <v>83</v>
      </c>
      <c r="M11630" s="18" t="s">
        <v>29</v>
      </c>
      <c r="N11630" s="18" t="s">
        <v>54057</v>
      </c>
      <c r="O11630" s="18" t="s">
        <v>29</v>
      </c>
      <c r="P11630" s="6"/>
      <c r="Q11630" s="6"/>
      <c r="R11630" s="6"/>
      <c r="S11630" s="6"/>
      <c r="T11630" s="6"/>
      <c r="U11630" s="6"/>
    </row>
    <row r="11631" ht="14.25">
      <c r="B11631" s="18" t="s">
        <v>279</v>
      </c>
      <c r="C11631" s="18" t="s">
        <v>971</v>
      </c>
      <c r="D11631" s="18" t="s">
        <v>172</v>
      </c>
      <c r="E11631" s="18" t="s">
        <v>54058</v>
      </c>
      <c r="F11631" s="18" t="str">
        <f>IFERROR(__XLUDF.DUMMYFUNCTION("PROPER(REGEXREPLACE(D1543,""[^A-Za-z]+ "",""""))"),"Symbieau Tech")</f>
        <v xml:space="preserve">Symbieau Tech</v>
      </c>
      <c r="G11631" s="18" t="s">
        <v>54059</v>
      </c>
      <c r="H11631" s="18">
        <v>9</v>
      </c>
      <c r="I11631" s="18" t="s">
        <v>9239</v>
      </c>
      <c r="J11631" s="5" t="s">
        <v>54060</v>
      </c>
      <c r="K11631" s="5" t="s">
        <v>54061</v>
      </c>
      <c r="L11631" s="18" t="s">
        <v>1780</v>
      </c>
      <c r="M11631" s="18" t="s">
        <v>29</v>
      </c>
      <c r="N11631" s="18" t="s">
        <v>54062</v>
      </c>
      <c r="O11631" s="18" t="s">
        <v>29</v>
      </c>
      <c r="P11631" s="18" t="s">
        <v>54063</v>
      </c>
      <c r="Q11631" s="6"/>
      <c r="R11631" s="6"/>
      <c r="S11631" s="6"/>
      <c r="T11631" s="6"/>
      <c r="U11631" s="6"/>
    </row>
    <row r="11632" ht="14.25">
      <c r="B11632" s="18" t="s">
        <v>2119</v>
      </c>
      <c r="C11632" s="18" t="s">
        <v>3257</v>
      </c>
      <c r="D11632" s="18" t="s">
        <v>426</v>
      </c>
      <c r="E11632" s="18" t="s">
        <v>54064</v>
      </c>
      <c r="F11632" s="18" t="str">
        <f>IFERROR(__XLUDF.DUMMYFUNCTION("PROPER(REGEXREPLACE(D1544,""[^A-Za-z]+ "",""""))"),"Thivent")</f>
        <v>Thivent</v>
      </c>
      <c r="G11632" s="18" t="s">
        <v>54065</v>
      </c>
      <c r="H11632" s="18">
        <v>41</v>
      </c>
      <c r="I11632" s="18" t="s">
        <v>9239</v>
      </c>
      <c r="J11632" s="5" t="s">
        <v>54066</v>
      </c>
      <c r="K11632" s="5" t="s">
        <v>54067</v>
      </c>
      <c r="L11632" s="18" t="s">
        <v>185</v>
      </c>
      <c r="M11632" s="18" t="s">
        <v>29</v>
      </c>
      <c r="N11632" s="18" t="s">
        <v>54068</v>
      </c>
      <c r="O11632" s="18" t="s">
        <v>29</v>
      </c>
      <c r="P11632" s="18" t="s">
        <v>54069</v>
      </c>
      <c r="Q11632" s="6"/>
      <c r="R11632" s="6"/>
      <c r="S11632" s="6"/>
      <c r="T11632" s="6"/>
      <c r="U11632" s="6"/>
    </row>
    <row r="11633" ht="14.25">
      <c r="B11633" s="18" t="s">
        <v>330</v>
      </c>
      <c r="C11633" s="18" t="s">
        <v>54070</v>
      </c>
      <c r="D11633" s="18" t="s">
        <v>1950</v>
      </c>
      <c r="E11633" s="18" t="s">
        <v>54071</v>
      </c>
      <c r="F11633" s="18" t="str">
        <f>IFERROR(__XLUDF.DUMMYFUNCTION("PROPER(REGEXREPLACE(D1545,""[^A-Za-z]+ "",""""))"),"Fctp")</f>
        <v>Fctp</v>
      </c>
      <c r="G11633" s="18" t="s">
        <v>54072</v>
      </c>
      <c r="H11633" s="18">
        <v>27</v>
      </c>
      <c r="I11633" s="18" t="s">
        <v>45792</v>
      </c>
      <c r="J11633" s="5" t="s">
        <v>54073</v>
      </c>
      <c r="K11633" s="5" t="s">
        <v>54074</v>
      </c>
      <c r="L11633" s="18" t="s">
        <v>39</v>
      </c>
      <c r="M11633" s="18" t="s">
        <v>29</v>
      </c>
      <c r="N11633" s="18" t="s">
        <v>54075</v>
      </c>
      <c r="O11633" s="18" t="s">
        <v>29</v>
      </c>
      <c r="P11633" s="6"/>
      <c r="Q11633" s="6"/>
      <c r="R11633" s="6"/>
      <c r="S11633" s="6"/>
      <c r="T11633" s="6"/>
      <c r="U11633" s="6"/>
    </row>
    <row r="11634" ht="14.25">
      <c r="B11634" s="18" t="s">
        <v>322</v>
      </c>
      <c r="C11634" s="18" t="s">
        <v>53420</v>
      </c>
      <c r="D11634" s="18" t="s">
        <v>54076</v>
      </c>
      <c r="E11634" s="18" t="s">
        <v>54077</v>
      </c>
      <c r="F11634" s="18" t="str">
        <f>IFERROR(__XLUDF.DUMMYFUNCTION("PROPER(REGEXREPLACE(D1546,""[^A-Za-z]+ "",""""))"),"Studio Jouan")</f>
        <v xml:space="preserve">Studio Jouan</v>
      </c>
      <c r="G11634" s="18" t="s">
        <v>54078</v>
      </c>
      <c r="H11634" s="18">
        <v>2</v>
      </c>
      <c r="I11634" s="18" t="s">
        <v>9239</v>
      </c>
      <c r="J11634" s="5" t="s">
        <v>54079</v>
      </c>
      <c r="K11634" s="5" t="s">
        <v>54080</v>
      </c>
      <c r="L11634" s="18" t="s">
        <v>39</v>
      </c>
      <c r="M11634" s="18" t="s">
        <v>29</v>
      </c>
      <c r="N11634" s="18" t="s">
        <v>67</v>
      </c>
      <c r="O11634" s="18" t="s">
        <v>29</v>
      </c>
      <c r="P11634" s="18" t="s">
        <v>54081</v>
      </c>
      <c r="Q11634" s="6"/>
      <c r="R11634" s="6"/>
      <c r="S11634" s="6"/>
      <c r="T11634" s="6"/>
      <c r="U11634" s="6"/>
    </row>
    <row r="11635" ht="14.25">
      <c r="B11635" s="18" t="s">
        <v>622</v>
      </c>
      <c r="C11635" s="18" t="s">
        <v>54082</v>
      </c>
      <c r="D11635" s="18" t="s">
        <v>112</v>
      </c>
      <c r="E11635" s="18" t="s">
        <v>54083</v>
      </c>
      <c r="F11635" s="18" t="str">
        <f>IFERROR(__XLUDF.DUMMYFUNCTION("PROPER(REGEXREPLACE(D1547,""[^A-Za-z]+ "",""""))"),"Sbf Groupe")</f>
        <v xml:space="preserve">Sbf Groupe</v>
      </c>
      <c r="G11635" s="18" t="s">
        <v>54084</v>
      </c>
      <c r="H11635" s="18">
        <v>30</v>
      </c>
      <c r="I11635" s="18" t="s">
        <v>9239</v>
      </c>
      <c r="J11635" s="5" t="s">
        <v>54085</v>
      </c>
      <c r="K11635" s="5" t="s">
        <v>54086</v>
      </c>
      <c r="L11635" s="18" t="s">
        <v>39</v>
      </c>
      <c r="M11635" s="18" t="s">
        <v>29</v>
      </c>
      <c r="N11635" s="18" t="s">
        <v>54087</v>
      </c>
      <c r="O11635" s="18" t="s">
        <v>29</v>
      </c>
      <c r="P11635" s="6"/>
      <c r="Q11635" s="6"/>
      <c r="R11635" s="6"/>
      <c r="S11635" s="6"/>
      <c r="T11635" s="6"/>
      <c r="U11635" s="6"/>
    </row>
    <row r="11636" ht="14.25">
      <c r="B11636" s="18" t="s">
        <v>26247</v>
      </c>
      <c r="C11636" s="18" t="s">
        <v>54088</v>
      </c>
      <c r="D11636" s="18" t="s">
        <v>120</v>
      </c>
      <c r="E11636" s="18" t="s">
        <v>53414</v>
      </c>
      <c r="F11636" s="18" t="str">
        <f>IFERROR(__XLUDF.DUMMYFUNCTION("PROPER(REGEXREPLACE(D1548,""[^A-Za-z]+ "",""""))"),"Abbs Habitat")</f>
        <v xml:space="preserve">Abbs Habitat</v>
      </c>
      <c r="G11636" s="18" t="s">
        <v>54089</v>
      </c>
      <c r="H11636" s="18">
        <v>26</v>
      </c>
      <c r="I11636" s="18" t="s">
        <v>9239</v>
      </c>
      <c r="J11636" s="5" t="s">
        <v>54090</v>
      </c>
      <c r="K11636" s="5" t="s">
        <v>53417</v>
      </c>
      <c r="L11636" s="18" t="s">
        <v>20846</v>
      </c>
      <c r="M11636" s="18" t="s">
        <v>29</v>
      </c>
      <c r="N11636" s="18" t="s">
        <v>53418</v>
      </c>
      <c r="O11636" s="18" t="s">
        <v>29</v>
      </c>
      <c r="P11636" s="18" t="s">
        <v>53419</v>
      </c>
      <c r="Q11636" s="6"/>
      <c r="R11636" s="6"/>
      <c r="S11636" s="6"/>
      <c r="T11636" s="6"/>
      <c r="U11636" s="6"/>
    </row>
    <row r="11637" ht="14.25">
      <c r="B11637" s="18" t="s">
        <v>19890</v>
      </c>
      <c r="C11637" s="18" t="s">
        <v>54091</v>
      </c>
      <c r="D11637" s="18" t="s">
        <v>7759</v>
      </c>
      <c r="E11637" s="18" t="s">
        <v>54092</v>
      </c>
      <c r="F11637" s="18" t="str">
        <f>IFERROR(__XLUDF.DUMMYFUNCTION("PROPER(REGEXREPLACE(D1549,""[^A-Za-z]+ "",""""))"),"Rd Construction")</f>
        <v xml:space="preserve">Rd Construction</v>
      </c>
      <c r="G11637" s="18" t="s">
        <v>54093</v>
      </c>
      <c r="H11637" s="18">
        <v>29</v>
      </c>
      <c r="I11637" s="18" t="s">
        <v>9239</v>
      </c>
      <c r="J11637" s="5" t="s">
        <v>54094</v>
      </c>
      <c r="K11637" s="5" t="s">
        <v>54095</v>
      </c>
      <c r="L11637" s="18" t="s">
        <v>3848</v>
      </c>
      <c r="M11637" s="18" t="s">
        <v>29</v>
      </c>
      <c r="N11637" s="18" t="s">
        <v>54096</v>
      </c>
      <c r="O11637" s="18" t="s">
        <v>29</v>
      </c>
      <c r="P11637" s="6"/>
      <c r="Q11637" s="6"/>
      <c r="R11637" s="6"/>
      <c r="S11637" s="6"/>
      <c r="T11637" s="6"/>
      <c r="U11637" s="6"/>
    </row>
    <row r="11638" ht="14.25">
      <c r="B11638" s="18" t="s">
        <v>53408</v>
      </c>
      <c r="C11638" s="18" t="s">
        <v>1596</v>
      </c>
      <c r="D11638" s="18" t="s">
        <v>172</v>
      </c>
      <c r="E11638" s="18" t="s">
        <v>53409</v>
      </c>
      <c r="F11638" s="18" t="str">
        <f>IFERROR(__XLUDF.DUMMYFUNCTION("PROPER(REGEXREPLACE(D1550,""[^A-Za-z]+ "",""""))"),"Flucklinger")</f>
        <v>Flucklinger</v>
      </c>
      <c r="G11638" s="18" t="s">
        <v>54097</v>
      </c>
      <c r="H11638" s="18">
        <v>19</v>
      </c>
      <c r="I11638" s="18" t="s">
        <v>9239</v>
      </c>
      <c r="J11638" s="5" t="s">
        <v>54098</v>
      </c>
      <c r="K11638" s="5" t="s">
        <v>53412</v>
      </c>
      <c r="L11638" s="18" t="s">
        <v>4922</v>
      </c>
      <c r="M11638" s="18" t="s">
        <v>29</v>
      </c>
      <c r="N11638" s="18" t="s">
        <v>53413</v>
      </c>
      <c r="O11638" s="18" t="s">
        <v>29</v>
      </c>
      <c r="P11638" s="18" t="s">
        <v>9120</v>
      </c>
      <c r="Q11638" s="6"/>
      <c r="R11638" s="6"/>
      <c r="S11638" s="6"/>
      <c r="T11638" s="6"/>
      <c r="U11638" s="6"/>
    </row>
    <row r="11639" ht="14.25">
      <c r="B11639" s="18" t="s">
        <v>2119</v>
      </c>
      <c r="C11639" s="18" t="s">
        <v>54099</v>
      </c>
      <c r="D11639" s="18" t="s">
        <v>3637</v>
      </c>
      <c r="E11639" s="18" t="s">
        <v>54100</v>
      </c>
      <c r="F11639" s="18" t="str">
        <f>IFERROR(__XLUDF.DUMMYFUNCTION("PROPER(REGEXREPLACE(D1551,""[^A-Za-z]+ "",""""))"),"Pierrite")</f>
        <v>Pierrite</v>
      </c>
      <c r="G11639" s="18" t="s">
        <v>54101</v>
      </c>
      <c r="H11639" s="18">
        <v>12</v>
      </c>
      <c r="I11639" s="18" t="s">
        <v>9239</v>
      </c>
      <c r="J11639" s="5" t="s">
        <v>54102</v>
      </c>
      <c r="K11639" s="5" t="s">
        <v>54103</v>
      </c>
      <c r="L11639" s="18" t="s">
        <v>17690</v>
      </c>
      <c r="M11639" s="18" t="s">
        <v>29</v>
      </c>
      <c r="N11639" s="18" t="s">
        <v>54104</v>
      </c>
      <c r="O11639" s="18" t="s">
        <v>29</v>
      </c>
      <c r="P11639" s="6"/>
      <c r="Q11639" s="6"/>
      <c r="R11639" s="6"/>
      <c r="S11639" s="6"/>
      <c r="T11639" s="6"/>
      <c r="U11639" s="6"/>
    </row>
    <row r="11640" ht="14.25">
      <c r="B11640" s="18" t="s">
        <v>2436</v>
      </c>
      <c r="C11640" s="18" t="s">
        <v>54105</v>
      </c>
      <c r="D11640" s="18" t="s">
        <v>172</v>
      </c>
      <c r="E11640" s="18" t="s">
        <v>53485</v>
      </c>
      <c r="F11640" s="18" t="str">
        <f>IFERROR(__XLUDF.DUMMYFUNCTION("PROPER(REGEXREPLACE(D1552,""[^A-Za-z]+ "",""""))"),"Rga Bureau D'Étude Technique")</f>
        <v xml:space="preserve">Rga Bureau D'Étude Technique</v>
      </c>
      <c r="G11640" s="18" t="s">
        <v>54106</v>
      </c>
      <c r="H11640" s="18">
        <v>16</v>
      </c>
      <c r="I11640" s="18" t="s">
        <v>9239</v>
      </c>
      <c r="J11640" s="5" t="s">
        <v>54107</v>
      </c>
      <c r="K11640" s="5" t="s">
        <v>53488</v>
      </c>
      <c r="L11640" s="18" t="s">
        <v>31078</v>
      </c>
      <c r="M11640" s="18" t="s">
        <v>29</v>
      </c>
      <c r="N11640" s="18" t="s">
        <v>53489</v>
      </c>
      <c r="O11640" s="18" t="s">
        <v>29</v>
      </c>
      <c r="P11640" s="18" t="s">
        <v>53490</v>
      </c>
      <c r="Q11640" s="6"/>
      <c r="R11640" s="6"/>
      <c r="S11640" s="6"/>
      <c r="T11640" s="6"/>
      <c r="U11640" s="6"/>
    </row>
    <row r="11641" ht="14.25">
      <c r="B11641" s="18" t="s">
        <v>54108</v>
      </c>
      <c r="C11641" s="18" t="s">
        <v>948</v>
      </c>
      <c r="D11641" s="18" t="s">
        <v>172</v>
      </c>
      <c r="E11641" s="18" t="s">
        <v>54109</v>
      </c>
      <c r="F11641" s="18" t="str">
        <f>IFERROR(__XLUDF.DUMMYFUNCTION("PROPER(REGEXREPLACE(D1553,""[^A-Za-z]+ "",""""))"),"Akera")</f>
        <v>Akera</v>
      </c>
      <c r="G11641" s="18" t="s">
        <v>54110</v>
      </c>
      <c r="H11641" s="18">
        <v>18</v>
      </c>
      <c r="I11641" s="18" t="s">
        <v>4293</v>
      </c>
      <c r="J11641" s="5" t="s">
        <v>54111</v>
      </c>
      <c r="K11641" s="5" t="s">
        <v>54112</v>
      </c>
      <c r="L11641" s="6"/>
      <c r="M11641" s="18" t="s">
        <v>29</v>
      </c>
      <c r="N11641" s="18" t="s">
        <v>50208</v>
      </c>
      <c r="O11641" s="18" t="s">
        <v>29</v>
      </c>
      <c r="P11641" s="18" t="s">
        <v>54113</v>
      </c>
      <c r="Q11641" s="6"/>
      <c r="R11641" s="6"/>
      <c r="S11641" s="6"/>
      <c r="T11641" s="6"/>
      <c r="U11641" s="6"/>
    </row>
    <row r="11642" ht="14.25">
      <c r="B11642" s="18" t="s">
        <v>54114</v>
      </c>
      <c r="C11642" s="18" t="s">
        <v>54115</v>
      </c>
      <c r="D11642" s="18" t="s">
        <v>164</v>
      </c>
      <c r="E11642" s="18" t="s">
        <v>54116</v>
      </c>
      <c r="F11642" s="18" t="str">
        <f>IFERROR(__XLUDF.DUMMYFUNCTION("PROPER(REGEXREPLACE(D1554,""[^A-Za-z]+ "",""""))"),"Aedes")</f>
        <v>Aedes</v>
      </c>
      <c r="G11642" s="18" t="s">
        <v>54117</v>
      </c>
      <c r="H11642" s="18">
        <v>8</v>
      </c>
      <c r="I11642" s="18" t="s">
        <v>9239</v>
      </c>
      <c r="J11642" s="5" t="s">
        <v>54118</v>
      </c>
      <c r="K11642" s="5" t="s">
        <v>54119</v>
      </c>
      <c r="L11642" s="18" t="s">
        <v>54120</v>
      </c>
      <c r="M11642" s="18" t="s">
        <v>29</v>
      </c>
      <c r="N11642" s="18" t="s">
        <v>54121</v>
      </c>
      <c r="O11642" s="18" t="s">
        <v>29</v>
      </c>
      <c r="P11642" s="18" t="s">
        <v>54122</v>
      </c>
      <c r="Q11642" s="6"/>
      <c r="R11642" s="6"/>
      <c r="S11642" s="6"/>
      <c r="T11642" s="6"/>
      <c r="U11642" s="6"/>
    </row>
    <row r="11643" ht="14.25">
      <c r="B11643" s="18" t="s">
        <v>50307</v>
      </c>
      <c r="C11643" s="18" t="s">
        <v>54123</v>
      </c>
      <c r="D11643" s="18" t="s">
        <v>172</v>
      </c>
      <c r="E11643" s="18" t="s">
        <v>54124</v>
      </c>
      <c r="F11643" s="18" t="str">
        <f>IFERROR(__XLUDF.DUMMYFUNCTION("PROPER(REGEXREPLACE(D1555,""[^A-Za-z]+ "",""""))"),"Collin Étanchéité")</f>
        <v xml:space="preserve">Collin Étanchéité</v>
      </c>
      <c r="G11643" s="18" t="s">
        <v>54125</v>
      </c>
      <c r="H11643" s="18">
        <v>14</v>
      </c>
      <c r="I11643" s="18" t="s">
        <v>9239</v>
      </c>
      <c r="J11643" s="5" t="s">
        <v>54126</v>
      </c>
      <c r="K11643" s="5" t="s">
        <v>54127</v>
      </c>
      <c r="L11643" s="18" t="s">
        <v>562</v>
      </c>
      <c r="M11643" s="18" t="s">
        <v>29</v>
      </c>
      <c r="N11643" s="18" t="s">
        <v>54128</v>
      </c>
      <c r="O11643" s="18" t="s">
        <v>29</v>
      </c>
      <c r="P11643" s="6"/>
      <c r="Q11643" s="6"/>
      <c r="R11643" s="6"/>
      <c r="S11643" s="6"/>
      <c r="T11643" s="6"/>
      <c r="U11643" s="6"/>
    </row>
    <row r="11644" ht="14.25">
      <c r="B11644" s="18" t="s">
        <v>95</v>
      </c>
      <c r="C11644" s="18" t="s">
        <v>54129</v>
      </c>
      <c r="D11644" s="18" t="s">
        <v>172</v>
      </c>
      <c r="E11644" s="18" t="s">
        <v>54130</v>
      </c>
      <c r="F11644" s="18" t="str">
        <f>IFERROR(__XLUDF.DUMMYFUNCTION("PROPER(REGEXREPLACE(D1556,""[^A-Za-z]+ "",""""))"),"Cuppens")</f>
        <v>Cuppens</v>
      </c>
      <c r="G11644" s="18" t="s">
        <v>54131</v>
      </c>
      <c r="H11644" s="18">
        <v>51</v>
      </c>
      <c r="I11644" s="18" t="s">
        <v>9239</v>
      </c>
      <c r="J11644" s="5" t="s">
        <v>54132</v>
      </c>
      <c r="K11644" s="5" t="s">
        <v>54133</v>
      </c>
      <c r="L11644" s="18" t="s">
        <v>846</v>
      </c>
      <c r="M11644" s="18" t="s">
        <v>29</v>
      </c>
      <c r="N11644" s="18" t="s">
        <v>54134</v>
      </c>
      <c r="O11644" s="18" t="s">
        <v>29</v>
      </c>
      <c r="P11644" s="18" t="s">
        <v>54135</v>
      </c>
      <c r="Q11644" s="6"/>
      <c r="R11644" s="6"/>
      <c r="S11644" s="6"/>
      <c r="T11644" s="6"/>
      <c r="U11644" s="6"/>
    </row>
    <row r="11645" ht="14.25">
      <c r="B11645" s="18" t="s">
        <v>2119</v>
      </c>
      <c r="C11645" s="18" t="s">
        <v>45102</v>
      </c>
      <c r="D11645" s="18" t="s">
        <v>172</v>
      </c>
      <c r="E11645" s="18" t="s">
        <v>54136</v>
      </c>
      <c r="F11645" s="18" t="str">
        <f>IFERROR(__XLUDF.DUMMYFUNCTION("PROPER(REGEXREPLACE(D1557,""[^A-Za-z]+ "",""""))"),"France-Sols")</f>
        <v>France-Sols</v>
      </c>
      <c r="G11645" s="18" t="s">
        <v>54137</v>
      </c>
      <c r="H11645" s="18">
        <v>22</v>
      </c>
      <c r="I11645" s="18" t="s">
        <v>9239</v>
      </c>
      <c r="J11645" s="5" t="s">
        <v>54138</v>
      </c>
      <c r="K11645" s="5" t="s">
        <v>54139</v>
      </c>
      <c r="L11645" s="18" t="s">
        <v>18055</v>
      </c>
      <c r="M11645" s="18" t="s">
        <v>29</v>
      </c>
      <c r="N11645" s="18" t="s">
        <v>54140</v>
      </c>
      <c r="O11645" s="18" t="s">
        <v>29</v>
      </c>
      <c r="P11645" s="6"/>
      <c r="Q11645" s="6"/>
      <c r="R11645" s="6"/>
      <c r="S11645" s="6"/>
      <c r="T11645" s="6"/>
      <c r="U11645" s="6"/>
    </row>
    <row r="11646" ht="14.25">
      <c r="B11646" s="18" t="s">
        <v>255</v>
      </c>
      <c r="C11646" s="18" t="s">
        <v>54141</v>
      </c>
      <c r="D11646" s="18" t="s">
        <v>172</v>
      </c>
      <c r="E11646" s="18" t="s">
        <v>54142</v>
      </c>
      <c r="F11646" s="18" t="str">
        <f>IFERROR(__XLUDF.DUMMYFUNCTION("PROPER(REGEXREPLACE(D1558,""[^A-Za-z]+ "",""""))"),"G2T")</f>
        <v>G2T</v>
      </c>
      <c r="G11646" s="18" t="s">
        <v>54143</v>
      </c>
      <c r="H11646" s="18">
        <v>10</v>
      </c>
      <c r="I11646" s="18" t="s">
        <v>9239</v>
      </c>
      <c r="J11646" s="5" t="s">
        <v>54144</v>
      </c>
      <c r="K11646" s="5" t="s">
        <v>54145</v>
      </c>
      <c r="L11646" s="18" t="s">
        <v>30203</v>
      </c>
      <c r="M11646" s="18" t="s">
        <v>29</v>
      </c>
      <c r="N11646" s="18" t="s">
        <v>54146</v>
      </c>
      <c r="O11646" s="18" t="s">
        <v>29</v>
      </c>
      <c r="P11646" s="6"/>
      <c r="Q11646" s="6"/>
      <c r="R11646" s="6"/>
      <c r="S11646" s="6"/>
      <c r="T11646" s="6"/>
      <c r="U11646" s="6"/>
    </row>
    <row r="11647" ht="14.25">
      <c r="B11647" s="18" t="s">
        <v>971</v>
      </c>
      <c r="C11647" s="18" t="s">
        <v>54147</v>
      </c>
      <c r="D11647" s="18" t="s">
        <v>1130</v>
      </c>
      <c r="E11647" s="18" t="s">
        <v>54148</v>
      </c>
      <c r="F11647" s="18" t="str">
        <f>IFERROR(__XLUDF.DUMMYFUNCTION("PROPER(REGEXREPLACE(D1559,""[^A-Za-z]+ "",""""))"),"Sotrapp Tp")</f>
        <v xml:space="preserve">Sotrapp Tp</v>
      </c>
      <c r="G11647" s="18" t="s">
        <v>54149</v>
      </c>
      <c r="H11647" s="18">
        <v>11</v>
      </c>
      <c r="I11647" s="18" t="s">
        <v>9239</v>
      </c>
      <c r="J11647" s="5" t="s">
        <v>54150</v>
      </c>
      <c r="K11647" s="5" t="s">
        <v>54151</v>
      </c>
      <c r="L11647" s="18" t="s">
        <v>47129</v>
      </c>
      <c r="M11647" s="18" t="s">
        <v>29</v>
      </c>
      <c r="N11647" s="18" t="s">
        <v>54152</v>
      </c>
      <c r="O11647" s="18" t="s">
        <v>29</v>
      </c>
      <c r="P11647" s="6"/>
      <c r="Q11647" s="6"/>
      <c r="R11647" s="6"/>
      <c r="S11647" s="6"/>
      <c r="T11647" s="6"/>
      <c r="U11647" s="6"/>
    </row>
    <row r="11648" ht="14.25">
      <c r="B11648" s="18" t="s">
        <v>7198</v>
      </c>
      <c r="C11648" s="18" t="s">
        <v>54153</v>
      </c>
      <c r="D11648" s="18" t="s">
        <v>172</v>
      </c>
      <c r="E11648" s="18" t="s">
        <v>54154</v>
      </c>
      <c r="F11648" s="18" t="str">
        <f>IFERROR(__XLUDF.DUMMYFUNCTION("PROPER(REGEXREPLACE(D1560,""[^A-Za-z]+ "",""""))"),"Idmat Levage")</f>
        <v xml:space="preserve">Idmat Levage</v>
      </c>
      <c r="G11648" s="18" t="s">
        <v>54155</v>
      </c>
      <c r="H11648" s="18">
        <v>21</v>
      </c>
      <c r="I11648" s="18" t="s">
        <v>9239</v>
      </c>
      <c r="J11648" s="5" t="s">
        <v>54156</v>
      </c>
      <c r="K11648" s="5" t="s">
        <v>54157</v>
      </c>
      <c r="L11648" s="6"/>
      <c r="M11648" s="18" t="s">
        <v>29</v>
      </c>
      <c r="N11648" s="18" t="s">
        <v>54158</v>
      </c>
      <c r="O11648" s="18" t="s">
        <v>29</v>
      </c>
      <c r="P11648" s="18" t="s">
        <v>54159</v>
      </c>
      <c r="Q11648" s="6"/>
      <c r="R11648" s="6"/>
      <c r="S11648" s="6"/>
      <c r="T11648" s="6"/>
      <c r="U11648" s="6"/>
    </row>
    <row r="11649" ht="14.25">
      <c r="B11649" s="18" t="s">
        <v>769</v>
      </c>
      <c r="C11649" s="18" t="s">
        <v>54160</v>
      </c>
      <c r="D11649" s="18" t="s">
        <v>54161</v>
      </c>
      <c r="E11649" s="18" t="s">
        <v>54162</v>
      </c>
      <c r="F11649" s="18" t="str">
        <f>IFERROR(__XLUDF.DUMMYFUNCTION("PROPER(REGEXREPLACE(D1561,""[^A-Za-z]+ "",""""))"),"Compassi Prefa")</f>
        <v xml:space="preserve">Compassi Prefa</v>
      </c>
      <c r="G11649" s="18" t="s">
        <v>54163</v>
      </c>
      <c r="H11649" s="18">
        <v>1</v>
      </c>
      <c r="I11649" s="18" t="s">
        <v>9239</v>
      </c>
      <c r="J11649" s="5" t="s">
        <v>54164</v>
      </c>
      <c r="K11649" s="5" t="s">
        <v>54165</v>
      </c>
      <c r="L11649" s="18" t="s">
        <v>774</v>
      </c>
      <c r="M11649" s="18" t="s">
        <v>29</v>
      </c>
      <c r="N11649" s="18" t="s">
        <v>54166</v>
      </c>
      <c r="O11649" s="18" t="s">
        <v>29</v>
      </c>
      <c r="P11649" s="6"/>
      <c r="Q11649" s="6"/>
      <c r="R11649" s="6"/>
      <c r="S11649" s="6"/>
      <c r="T11649" s="6"/>
      <c r="U11649" s="6"/>
    </row>
    <row r="11650" ht="14.25">
      <c r="B11650" s="18" t="s">
        <v>54167</v>
      </c>
      <c r="C11650" s="18" t="s">
        <v>3753</v>
      </c>
      <c r="D11650" s="18" t="s">
        <v>54168</v>
      </c>
      <c r="E11650" s="18" t="s">
        <v>54169</v>
      </c>
      <c r="F11650" s="18" t="str">
        <f>IFERROR(__XLUDF.DUMMYFUNCTION("PROPER(REGEXREPLACE(D1562,""[^A-Za-z]+ "",""""))"),"Groupe Tpf")</f>
        <v xml:space="preserve">Groupe Tpf</v>
      </c>
      <c r="G11650" s="18" t="s">
        <v>54170</v>
      </c>
      <c r="H11650" s="18">
        <v>17</v>
      </c>
      <c r="I11650" s="18" t="s">
        <v>9239</v>
      </c>
      <c r="J11650" s="5" t="s">
        <v>54171</v>
      </c>
      <c r="K11650" s="5" t="s">
        <v>54172</v>
      </c>
      <c r="L11650" s="18" t="s">
        <v>45636</v>
      </c>
      <c r="M11650" s="18" t="s">
        <v>29</v>
      </c>
      <c r="N11650" s="18" t="s">
        <v>46557</v>
      </c>
      <c r="O11650" s="18" t="s">
        <v>29</v>
      </c>
      <c r="P11650" s="18" t="s">
        <v>54173</v>
      </c>
      <c r="Q11650" s="6"/>
      <c r="R11650" s="6"/>
      <c r="S11650" s="6"/>
      <c r="T11650" s="6"/>
      <c r="U11650" s="6"/>
    </row>
    <row r="11651" ht="14.25">
      <c r="B11651" s="18" t="s">
        <v>1198</v>
      </c>
      <c r="C11651" s="18" t="s">
        <v>54174</v>
      </c>
      <c r="D11651" s="18" t="s">
        <v>426</v>
      </c>
      <c r="E11651" s="18" t="s">
        <v>54175</v>
      </c>
      <c r="F11651" s="18" t="str">
        <f>IFERROR(__XLUDF.DUMMYFUNCTION("PROPER(REGEXREPLACE(D1563,""[^A-Za-z]+ "",""""))"),"Cf Services")</f>
        <v xml:space="preserve">Cf Services</v>
      </c>
      <c r="G11651" s="18" t="s">
        <v>54176</v>
      </c>
      <c r="H11651" s="18">
        <v>38</v>
      </c>
      <c r="I11651" s="18" t="s">
        <v>9239</v>
      </c>
      <c r="J11651" s="5" t="s">
        <v>54177</v>
      </c>
      <c r="K11651" s="5" t="s">
        <v>54178</v>
      </c>
      <c r="L11651" s="18" t="s">
        <v>39</v>
      </c>
      <c r="M11651" s="18" t="s">
        <v>29</v>
      </c>
      <c r="N11651" s="18" t="s">
        <v>54179</v>
      </c>
      <c r="O11651" s="18" t="s">
        <v>29</v>
      </c>
      <c r="P11651" s="18" t="s">
        <v>54180</v>
      </c>
      <c r="Q11651" s="6"/>
      <c r="R11651" s="6"/>
      <c r="S11651" s="6"/>
      <c r="T11651" s="6"/>
      <c r="U11651" s="6"/>
    </row>
    <row r="11652" ht="14.25">
      <c r="B11652" s="18" t="s">
        <v>54181</v>
      </c>
      <c r="C11652" s="18" t="s">
        <v>54182</v>
      </c>
      <c r="D11652" s="18" t="s">
        <v>172</v>
      </c>
      <c r="E11652" s="18" t="s">
        <v>54183</v>
      </c>
      <c r="F11652" s="18" t="str">
        <f>IFERROR(__XLUDF.DUMMYFUNCTION("PROPER(REGEXREPLACE(D1564,""[^A-Za-z]+ "",""""))"),"Homfen")</f>
        <v>Homfen</v>
      </c>
      <c r="G11652" s="18" t="s">
        <v>54184</v>
      </c>
      <c r="H11652" s="18">
        <v>6</v>
      </c>
      <c r="I11652" s="18" t="s">
        <v>9239</v>
      </c>
      <c r="J11652" s="5" t="s">
        <v>54185</v>
      </c>
      <c r="K11652" s="5" t="s">
        <v>54186</v>
      </c>
      <c r="L11652" s="18" t="s">
        <v>1745</v>
      </c>
      <c r="M11652" s="18" t="s">
        <v>29</v>
      </c>
      <c r="N11652" s="18" t="s">
        <v>21865</v>
      </c>
      <c r="O11652" s="18" t="s">
        <v>29</v>
      </c>
      <c r="P11652" s="18" t="s">
        <v>54187</v>
      </c>
      <c r="Q11652" s="6"/>
      <c r="R11652" s="6"/>
      <c r="S11652" s="6"/>
      <c r="T11652" s="6"/>
      <c r="U11652" s="6"/>
    </row>
    <row r="11653" ht="14.25">
      <c r="B11653" s="18" t="s">
        <v>222</v>
      </c>
      <c r="C11653" s="18" t="s">
        <v>54188</v>
      </c>
      <c r="D11653" s="18" t="s">
        <v>468</v>
      </c>
      <c r="E11653" s="18" t="s">
        <v>54189</v>
      </c>
      <c r="F11653" s="18" t="str">
        <f>IFERROR(__XLUDF.DUMMYFUNCTION("PROPER(REGEXREPLACE(D1565,""[^A-Za-z]+ "",""""))"),"Ucb Construction")</f>
        <v xml:space="preserve">Ucb Construction</v>
      </c>
      <c r="G11653" s="18" t="s">
        <v>54190</v>
      </c>
      <c r="H11653" s="18">
        <v>31</v>
      </c>
      <c r="I11653" s="18" t="s">
        <v>9239</v>
      </c>
      <c r="J11653" s="5" t="s">
        <v>54191</v>
      </c>
      <c r="K11653" s="5" t="s">
        <v>54192</v>
      </c>
      <c r="L11653" s="18" t="s">
        <v>21259</v>
      </c>
      <c r="M11653" s="18" t="s">
        <v>29</v>
      </c>
      <c r="N11653" s="18" t="s">
        <v>54193</v>
      </c>
      <c r="O11653" s="18" t="s">
        <v>29</v>
      </c>
      <c r="P11653" s="6"/>
      <c r="Q11653" s="6"/>
      <c r="R11653" s="6"/>
      <c r="S11653" s="6"/>
      <c r="T11653" s="6"/>
      <c r="U11653" s="6"/>
    </row>
    <row r="11654" ht="14.25">
      <c r="B11654" s="18" t="s">
        <v>10864</v>
      </c>
      <c r="C11654" s="18" t="s">
        <v>54194</v>
      </c>
      <c r="D11654" s="18" t="s">
        <v>172</v>
      </c>
      <c r="E11654" s="18" t="s">
        <v>54195</v>
      </c>
      <c r="F11654" s="18" t="str">
        <f>IFERROR(__XLUDF.DUMMYFUNCTION("PROPER(REGEXREPLACE(D1566,""[^A-Za-z]+ "",""""))"),"Arok Concasseur")</f>
        <v xml:space="preserve">Arok Concasseur</v>
      </c>
      <c r="G11654" s="18" t="s">
        <v>54196</v>
      </c>
      <c r="H11654" s="18">
        <v>4</v>
      </c>
      <c r="I11654" s="18" t="s">
        <v>9239</v>
      </c>
      <c r="J11654" s="5" t="s">
        <v>54197</v>
      </c>
      <c r="K11654" s="5" t="s">
        <v>54198</v>
      </c>
      <c r="L11654" s="18" t="s">
        <v>295</v>
      </c>
      <c r="M11654" s="18" t="s">
        <v>29</v>
      </c>
      <c r="N11654" s="18" t="s">
        <v>54199</v>
      </c>
      <c r="O11654" s="18" t="s">
        <v>29</v>
      </c>
      <c r="P11654" s="6"/>
      <c r="Q11654" s="6"/>
      <c r="R11654" s="6"/>
      <c r="S11654" s="6"/>
      <c r="T11654" s="6"/>
      <c r="U11654" s="6"/>
    </row>
    <row r="11655" ht="14.25">
      <c r="B11655" s="18" t="s">
        <v>54200</v>
      </c>
      <c r="C11655" s="18" t="s">
        <v>16607</v>
      </c>
      <c r="D11655" s="18" t="s">
        <v>7155</v>
      </c>
      <c r="E11655" s="18" t="s">
        <v>54201</v>
      </c>
      <c r="F11655" s="18" t="str">
        <f>IFERROR(__XLUDF.DUMMYFUNCTION("PROPER(REGEXREPLACE(D1567,""[^A-Za-z]+ "",""""))"),"Epic Protectionisolation")</f>
        <v xml:space="preserve">Epic Protectionisolation</v>
      </c>
      <c r="G11655" s="18" t="s">
        <v>54202</v>
      </c>
      <c r="H11655" s="18">
        <v>3</v>
      </c>
      <c r="I11655" s="18" t="s">
        <v>9239</v>
      </c>
      <c r="J11655" s="5" t="s">
        <v>54203</v>
      </c>
      <c r="K11655" s="5" t="s">
        <v>54204</v>
      </c>
      <c r="L11655" s="18" t="s">
        <v>39</v>
      </c>
      <c r="M11655" s="18" t="s">
        <v>29</v>
      </c>
      <c r="N11655" s="18" t="s">
        <v>54205</v>
      </c>
      <c r="O11655" s="18" t="s">
        <v>29</v>
      </c>
      <c r="P11655" s="6"/>
      <c r="Q11655" s="6"/>
      <c r="R11655" s="6"/>
      <c r="S11655" s="6"/>
      <c r="T11655" s="6"/>
      <c r="U11655" s="6"/>
    </row>
    <row r="11656" ht="14.25">
      <c r="B11656" s="18" t="s">
        <v>6810</v>
      </c>
      <c r="C11656" s="18" t="s">
        <v>40208</v>
      </c>
      <c r="D11656" s="18" t="s">
        <v>112</v>
      </c>
      <c r="E11656" s="18" t="s">
        <v>54206</v>
      </c>
      <c r="F11656" s="18" t="str">
        <f>IFERROR(__XLUDF.DUMMYFUNCTION("PROPER(REGEXREPLACE(D1568,""[^A-Za-z]+ "",""""))"),"S.M.I Construction")</f>
        <v xml:space="preserve">S.M.I Construction</v>
      </c>
      <c r="G11656" s="18" t="s">
        <v>54207</v>
      </c>
      <c r="H11656" s="18">
        <v>10</v>
      </c>
      <c r="I11656" s="18" t="s">
        <v>9239</v>
      </c>
      <c r="J11656" s="5" t="s">
        <v>54208</v>
      </c>
      <c r="K11656" s="5" t="s">
        <v>54209</v>
      </c>
      <c r="L11656" s="18" t="s">
        <v>651</v>
      </c>
      <c r="M11656" s="18" t="s">
        <v>29</v>
      </c>
      <c r="N11656" s="18" t="s">
        <v>54210</v>
      </c>
      <c r="O11656" s="18" t="s">
        <v>29</v>
      </c>
      <c r="P11656" s="6"/>
      <c r="Q11656" s="6"/>
      <c r="R11656" s="6"/>
      <c r="S11656" s="6"/>
      <c r="T11656" s="6"/>
      <c r="U11656" s="6"/>
    </row>
    <row r="11657" ht="14.25">
      <c r="B11657" s="18" t="s">
        <v>170</v>
      </c>
      <c r="C11657" s="18" t="s">
        <v>4492</v>
      </c>
      <c r="D11657" s="18" t="s">
        <v>172</v>
      </c>
      <c r="E11657" s="18" t="s">
        <v>54211</v>
      </c>
      <c r="F11657" s="18" t="str">
        <f>IFERROR(__XLUDF.DUMMYFUNCTION("PROPER(REGEXREPLACE(D1569,""[^A-Za-z]+ "",""""))"),"Ab Associés")</f>
        <v xml:space="preserve">Ab Associés</v>
      </c>
      <c r="G11657" s="18" t="s">
        <v>54212</v>
      </c>
      <c r="H11657" s="18">
        <v>7</v>
      </c>
      <c r="I11657" s="18" t="s">
        <v>9239</v>
      </c>
      <c r="J11657" s="5" t="s">
        <v>54213</v>
      </c>
      <c r="K11657" s="5" t="s">
        <v>54214</v>
      </c>
      <c r="L11657" s="6"/>
      <c r="M11657" s="18" t="s">
        <v>29</v>
      </c>
      <c r="N11657" s="18" t="s">
        <v>54215</v>
      </c>
      <c r="O11657" s="18" t="s">
        <v>29</v>
      </c>
      <c r="P11657" s="18" t="s">
        <v>54216</v>
      </c>
      <c r="Q11657" s="6"/>
      <c r="R11657" s="6"/>
      <c r="S11657" s="6"/>
      <c r="T11657" s="6"/>
      <c r="U11657" s="6"/>
    </row>
    <row r="11658" ht="14.25">
      <c r="B11658" s="18" t="s">
        <v>22011</v>
      </c>
      <c r="C11658" s="18" t="s">
        <v>54217</v>
      </c>
      <c r="D11658" s="18" t="s">
        <v>54218</v>
      </c>
      <c r="E11658" s="18" t="s">
        <v>54219</v>
      </c>
      <c r="F11658" s="18" t="str">
        <f>IFERROR(__XLUDF.DUMMYFUNCTION("PROPER(REGEXREPLACE(D1570,""[^A-Za-z]+ "",""""))"),"Bimcubes")</f>
        <v>Bimcubes</v>
      </c>
      <c r="G11658" s="18" t="s">
        <v>54220</v>
      </c>
      <c r="H11658" s="18">
        <v>13</v>
      </c>
      <c r="I11658" s="18" t="s">
        <v>9239</v>
      </c>
      <c r="J11658" s="5" t="s">
        <v>54221</v>
      </c>
      <c r="K11658" s="5" t="s">
        <v>54222</v>
      </c>
      <c r="L11658" s="18" t="s">
        <v>13773</v>
      </c>
      <c r="M11658" s="18" t="s">
        <v>29</v>
      </c>
      <c r="N11658" s="18" t="s">
        <v>54223</v>
      </c>
      <c r="O11658" s="18" t="s">
        <v>29</v>
      </c>
      <c r="P11658" s="6"/>
      <c r="Q11658" s="6"/>
      <c r="R11658" s="6"/>
      <c r="S11658" s="6"/>
      <c r="T11658" s="6"/>
      <c r="U11658" s="6"/>
    </row>
    <row r="11659" ht="14.25">
      <c r="B11659" s="18" t="s">
        <v>5252</v>
      </c>
      <c r="C11659" s="18" t="s">
        <v>54224</v>
      </c>
      <c r="D11659" s="18" t="s">
        <v>172</v>
      </c>
      <c r="E11659" s="18" t="s">
        <v>54225</v>
      </c>
      <c r="F11659" s="18" t="str">
        <f>IFERROR(__XLUDF.DUMMYFUNCTION("PROPER(REGEXREPLACE(D1571,""[^A-Za-z]+ "",""""))"),"Insitu-A")</f>
        <v>Insitu-A</v>
      </c>
      <c r="G11659" s="18" t="s">
        <v>54226</v>
      </c>
      <c r="H11659" s="18">
        <v>8</v>
      </c>
      <c r="I11659" s="18" t="s">
        <v>9239</v>
      </c>
      <c r="J11659" s="5" t="s">
        <v>54227</v>
      </c>
      <c r="K11659" s="5" t="s">
        <v>54228</v>
      </c>
      <c r="L11659" s="6"/>
      <c r="M11659" s="18" t="s">
        <v>29</v>
      </c>
      <c r="N11659" s="18" t="s">
        <v>54229</v>
      </c>
      <c r="O11659" s="18" t="s">
        <v>29</v>
      </c>
      <c r="P11659" s="6"/>
      <c r="Q11659" s="6"/>
      <c r="R11659" s="6"/>
      <c r="S11659" s="6"/>
      <c r="T11659" s="6"/>
      <c r="U11659" s="6"/>
    </row>
    <row r="11660" ht="14.25">
      <c r="B11660" s="18" t="s">
        <v>21046</v>
      </c>
      <c r="C11660" s="18" t="s">
        <v>6717</v>
      </c>
      <c r="D11660" s="18" t="s">
        <v>426</v>
      </c>
      <c r="E11660" s="18" t="s">
        <v>54230</v>
      </c>
      <c r="F11660" s="18" t="str">
        <f>IFERROR(__XLUDF.DUMMYFUNCTION("PROPER(REGEXREPLACE(D1572,""[^A-Za-z]+ "",""""))"),"Ets R Petit Et Fils")</f>
        <v xml:space="preserve">Ets R Petit Et Fils</v>
      </c>
      <c r="G11660" s="18" t="s">
        <v>54231</v>
      </c>
      <c r="H11660" s="18">
        <v>6</v>
      </c>
      <c r="I11660" s="18" t="s">
        <v>9239</v>
      </c>
      <c r="J11660" s="5" t="s">
        <v>54232</v>
      </c>
      <c r="K11660" s="5" t="s">
        <v>54233</v>
      </c>
      <c r="L11660" s="18" t="s">
        <v>39</v>
      </c>
      <c r="M11660" s="18" t="s">
        <v>29</v>
      </c>
      <c r="N11660" s="18" t="s">
        <v>54234</v>
      </c>
      <c r="O11660" s="18" t="s">
        <v>29</v>
      </c>
      <c r="P11660" s="18" t="s">
        <v>54235</v>
      </c>
      <c r="Q11660" s="6"/>
      <c r="R11660" s="6"/>
      <c r="S11660" s="6"/>
      <c r="T11660" s="6"/>
      <c r="U11660" s="6"/>
    </row>
    <row r="11661" ht="14.25">
      <c r="B11661" s="18" t="s">
        <v>661</v>
      </c>
      <c r="C11661" s="18" t="s">
        <v>54236</v>
      </c>
      <c r="D11661" s="18" t="s">
        <v>426</v>
      </c>
      <c r="E11661" s="18" t="s">
        <v>54237</v>
      </c>
      <c r="F11661" s="18" t="str">
        <f>IFERROR(__XLUDF.DUMMYFUNCTION("PROPER(REGEXREPLACE(D1573,""[^A-Za-z]+ "",""""))"),"Les Parcs")</f>
        <v xml:space="preserve">Les Parcs</v>
      </c>
      <c r="G11661" s="18" t="s">
        <v>54238</v>
      </c>
      <c r="H11661" s="18">
        <v>3</v>
      </c>
      <c r="I11661" s="18" t="s">
        <v>9239</v>
      </c>
      <c r="J11661" s="5" t="s">
        <v>54239</v>
      </c>
      <c r="K11661" s="5" t="s">
        <v>54240</v>
      </c>
      <c r="L11661" s="18" t="s">
        <v>83</v>
      </c>
      <c r="M11661" s="18" t="s">
        <v>29</v>
      </c>
      <c r="N11661" s="18" t="s">
        <v>54241</v>
      </c>
      <c r="O11661" s="18" t="s">
        <v>29</v>
      </c>
      <c r="P11661" s="18" t="s">
        <v>54242</v>
      </c>
      <c r="Q11661" s="6"/>
      <c r="R11661" s="6"/>
      <c r="S11661" s="6"/>
      <c r="T11661" s="6"/>
      <c r="U11661" s="6"/>
    </row>
    <row r="11662" ht="14.25">
      <c r="B11662" s="18" t="s">
        <v>215</v>
      </c>
      <c r="C11662" s="18" t="s">
        <v>54243</v>
      </c>
      <c r="D11662" s="18" t="s">
        <v>172</v>
      </c>
      <c r="E11662" s="18" t="s">
        <v>54244</v>
      </c>
      <c r="F11662" s="18" t="str">
        <f>IFERROR(__XLUDF.DUMMYFUNCTION("PROPER(REGEXREPLACE(D1574,""[^A-Za-z]+ "",""""))"),"Sfp Isobat")</f>
        <v xml:space="preserve">Sfp Isobat</v>
      </c>
      <c r="G11662" s="18" t="s">
        <v>54245</v>
      </c>
      <c r="H11662" s="18">
        <v>20</v>
      </c>
      <c r="I11662" s="18" t="s">
        <v>9239</v>
      </c>
      <c r="J11662" s="5" t="s">
        <v>54246</v>
      </c>
      <c r="K11662" s="5" t="s">
        <v>54247</v>
      </c>
      <c r="L11662" s="18" t="s">
        <v>23932</v>
      </c>
      <c r="M11662" s="18" t="s">
        <v>29</v>
      </c>
      <c r="N11662" s="18" t="s">
        <v>54248</v>
      </c>
      <c r="O11662" s="18" t="s">
        <v>29</v>
      </c>
      <c r="P11662" s="18" t="s">
        <v>54249</v>
      </c>
      <c r="Q11662" s="6"/>
      <c r="R11662" s="6"/>
      <c r="S11662" s="6"/>
      <c r="T11662" s="6"/>
      <c r="U11662" s="6"/>
    </row>
    <row r="11663" ht="14.25">
      <c r="B11663" s="18" t="s">
        <v>1190</v>
      </c>
      <c r="C11663" s="18" t="s">
        <v>2857</v>
      </c>
      <c r="D11663" s="18" t="s">
        <v>172</v>
      </c>
      <c r="E11663" s="18" t="s">
        <v>54250</v>
      </c>
      <c r="F11663" s="18" t="str">
        <f>IFERROR(__XLUDF.DUMMYFUNCTION("PROPER(REGEXREPLACE(D1575,""[^A-Za-z]+ "",""""))"),"Duartebaker")</f>
        <v>Duartebaker</v>
      </c>
      <c r="G11663" s="18" t="s">
        <v>54251</v>
      </c>
      <c r="H11663" s="18">
        <v>9</v>
      </c>
      <c r="I11663" s="18" t="s">
        <v>9239</v>
      </c>
      <c r="J11663" s="5" t="s">
        <v>54252</v>
      </c>
      <c r="K11663" s="5" t="s">
        <v>54253</v>
      </c>
      <c r="L11663" s="18" t="s">
        <v>39</v>
      </c>
      <c r="M11663" s="18" t="s">
        <v>29</v>
      </c>
      <c r="N11663" s="18" t="s">
        <v>54254</v>
      </c>
      <c r="O11663" s="18" t="s">
        <v>29</v>
      </c>
      <c r="P11663" s="18" t="s">
        <v>54255</v>
      </c>
      <c r="Q11663" s="6"/>
      <c r="R11663" s="6"/>
      <c r="S11663" s="6"/>
      <c r="T11663" s="6"/>
      <c r="U11663" s="6"/>
    </row>
    <row r="11664" ht="14.25">
      <c r="B11664" s="18" t="s">
        <v>54256</v>
      </c>
      <c r="C11664" s="18" t="s">
        <v>54257</v>
      </c>
      <c r="D11664" s="18" t="s">
        <v>112</v>
      </c>
      <c r="E11664" s="18" t="s">
        <v>54258</v>
      </c>
      <c r="F11664" s="18" t="str">
        <f>IFERROR(__XLUDF.DUMMYFUNCTION("PROPER(REGEXREPLACE(D1576,""[^A-Za-z]+ "",""""))"),"Mv2")</f>
        <v>Mv2</v>
      </c>
      <c r="G11664" s="18" t="s">
        <v>54259</v>
      </c>
      <c r="H11664" s="18">
        <v>14</v>
      </c>
      <c r="I11664" s="18" t="s">
        <v>9239</v>
      </c>
      <c r="J11664" s="5" t="s">
        <v>54260</v>
      </c>
      <c r="K11664" s="5" t="s">
        <v>54261</v>
      </c>
      <c r="L11664" s="18" t="s">
        <v>2728</v>
      </c>
      <c r="M11664" s="18" t="s">
        <v>29</v>
      </c>
      <c r="N11664" s="18" t="s">
        <v>54262</v>
      </c>
      <c r="O11664" s="18" t="s">
        <v>29</v>
      </c>
      <c r="P11664" s="18" t="s">
        <v>54263</v>
      </c>
      <c r="Q11664" s="6"/>
      <c r="R11664" s="6"/>
      <c r="S11664" s="6"/>
      <c r="T11664" s="6"/>
      <c r="U11664" s="6"/>
    </row>
    <row r="11665" ht="14.25">
      <c r="B11665" s="18" t="s">
        <v>2409</v>
      </c>
      <c r="C11665" s="18" t="s">
        <v>54264</v>
      </c>
      <c r="D11665" s="18" t="s">
        <v>341</v>
      </c>
      <c r="E11665" s="5" t="s">
        <v>54265</v>
      </c>
      <c r="F11665" s="5" t="str">
        <f>IFERROR(__XLUDF.DUMMYFUNCTION("PROPER(REGEXREPLACE(D1577,""[^A-Za-z]+ "",""""))"),"Prefabricationbois.Com")</f>
        <v>Prefabricationbois.Com</v>
      </c>
      <c r="G11665" s="18" t="s">
        <v>54266</v>
      </c>
      <c r="H11665" s="18">
        <v>2</v>
      </c>
      <c r="I11665" s="18" t="s">
        <v>9239</v>
      </c>
      <c r="J11665" s="5" t="s">
        <v>54267</v>
      </c>
      <c r="K11665" s="5" t="s">
        <v>54268</v>
      </c>
      <c r="L11665" s="18" t="s">
        <v>482</v>
      </c>
      <c r="M11665" s="18" t="s">
        <v>29</v>
      </c>
      <c r="N11665" s="18" t="s">
        <v>54269</v>
      </c>
      <c r="O11665" s="18" t="s">
        <v>29</v>
      </c>
      <c r="P11665" s="18" t="s">
        <v>54270</v>
      </c>
      <c r="Q11665" s="6"/>
      <c r="R11665" s="6"/>
      <c r="S11665" s="6"/>
      <c r="T11665" s="6"/>
      <c r="U11665" s="6"/>
    </row>
    <row r="11666" ht="14.25">
      <c r="B11666" s="18" t="s">
        <v>1596</v>
      </c>
      <c r="C11666" s="18" t="s">
        <v>5265</v>
      </c>
      <c r="D11666" s="18" t="s">
        <v>54271</v>
      </c>
      <c r="E11666" s="18" t="s">
        <v>20694</v>
      </c>
      <c r="F11666" s="18" t="str">
        <f>IFERROR(__XLUDF.DUMMYFUNCTION("PROPER(REGEXREPLACE(D1578,""[^A-Za-z]+ "",""""))"),"Aethica")</f>
        <v>Aethica</v>
      </c>
      <c r="G11666" s="18" t="s">
        <v>54272</v>
      </c>
      <c r="H11666" s="18">
        <v>40</v>
      </c>
      <c r="I11666" s="18" t="s">
        <v>4293</v>
      </c>
      <c r="J11666" s="5" t="s">
        <v>54273</v>
      </c>
      <c r="K11666" s="5" t="s">
        <v>20697</v>
      </c>
      <c r="L11666" s="18" t="s">
        <v>1711</v>
      </c>
      <c r="M11666" s="18" t="s">
        <v>29</v>
      </c>
      <c r="N11666" s="18" t="s">
        <v>20698</v>
      </c>
      <c r="O11666" s="18" t="s">
        <v>29</v>
      </c>
      <c r="P11666" s="18" t="s">
        <v>20699</v>
      </c>
      <c r="Q11666" s="6"/>
      <c r="R11666" s="6"/>
      <c r="S11666" s="6"/>
      <c r="T11666" s="6"/>
      <c r="U11666" s="6"/>
    </row>
    <row r="11667" ht="14.25">
      <c r="B11667" s="18" t="s">
        <v>255</v>
      </c>
      <c r="C11667" s="18" t="s">
        <v>54274</v>
      </c>
      <c r="D11667" s="18" t="s">
        <v>54275</v>
      </c>
      <c r="E11667" s="18" t="s">
        <v>54276</v>
      </c>
      <c r="F11667" s="18" t="str">
        <f>IFERROR(__XLUDF.DUMMYFUNCTION("PROPER(REGEXREPLACE(D1579,""[^A-Za-z]+ "",""""))"),"Hexagone")</f>
        <v>Hexagone</v>
      </c>
      <c r="G11667" s="18" t="s">
        <v>54277</v>
      </c>
      <c r="H11667" s="18">
        <v>10</v>
      </c>
      <c r="I11667" s="18" t="s">
        <v>9239</v>
      </c>
      <c r="J11667" s="5" t="s">
        <v>54278</v>
      </c>
      <c r="K11667" s="5" t="s">
        <v>54279</v>
      </c>
      <c r="L11667" s="6"/>
      <c r="M11667" s="18" t="s">
        <v>29</v>
      </c>
      <c r="N11667" s="18" t="s">
        <v>54280</v>
      </c>
      <c r="O11667" s="18" t="s">
        <v>29</v>
      </c>
      <c r="P11667" s="18" t="s">
        <v>54281</v>
      </c>
      <c r="Q11667" s="6"/>
      <c r="R11667" s="6"/>
      <c r="S11667" s="6"/>
      <c r="T11667" s="6"/>
      <c r="U11667" s="6"/>
    </row>
    <row r="11668" ht="14.25">
      <c r="B11668" s="18" t="s">
        <v>9043</v>
      </c>
      <c r="C11668" s="18" t="s">
        <v>2180</v>
      </c>
      <c r="D11668" s="18" t="s">
        <v>120</v>
      </c>
      <c r="E11668" s="18" t="s">
        <v>54282</v>
      </c>
      <c r="F11668" s="18" t="str">
        <f>IFERROR(__XLUDF.DUMMYFUNCTION("PROPER(REGEXREPLACE(D1580,""[^A-Za-z]+ "",""""))"),"Reniew®")</f>
        <v>Reniew®</v>
      </c>
      <c r="G11668" s="18" t="s">
        <v>54283</v>
      </c>
      <c r="H11668" s="18">
        <v>4</v>
      </c>
      <c r="I11668" s="18" t="s">
        <v>9239</v>
      </c>
      <c r="J11668" s="5" t="s">
        <v>54284</v>
      </c>
      <c r="K11668" s="5" t="s">
        <v>54285</v>
      </c>
      <c r="L11668" s="18" t="s">
        <v>39</v>
      </c>
      <c r="M11668" s="18" t="s">
        <v>29</v>
      </c>
      <c r="N11668" s="18" t="s">
        <v>54286</v>
      </c>
      <c r="O11668" s="18" t="s">
        <v>29</v>
      </c>
      <c r="P11668" s="18" t="s">
        <v>54287</v>
      </c>
      <c r="Q11668" s="6"/>
      <c r="R11668" s="6"/>
      <c r="S11668" s="6"/>
      <c r="T11668" s="6"/>
      <c r="U11668" s="6"/>
    </row>
    <row r="11669" ht="14.25">
      <c r="B11669" s="18" t="s">
        <v>76</v>
      </c>
      <c r="C11669" s="18" t="s">
        <v>31983</v>
      </c>
      <c r="D11669" s="18" t="s">
        <v>172</v>
      </c>
      <c r="E11669" s="18" t="s">
        <v>54288</v>
      </c>
      <c r="F11669" s="18" t="str">
        <f>IFERROR(__XLUDF.DUMMYFUNCTION("PROPER(REGEXREPLACE(D1581,""[^A-Za-z]+ "",""""))"),"Barconnière")</f>
        <v>Barconnière</v>
      </c>
      <c r="G11669" s="18" t="s">
        <v>54289</v>
      </c>
      <c r="H11669" s="18">
        <v>26</v>
      </c>
      <c r="I11669" s="18" t="s">
        <v>9239</v>
      </c>
      <c r="J11669" s="5" t="s">
        <v>54290</v>
      </c>
      <c r="K11669" s="5" t="s">
        <v>54291</v>
      </c>
      <c r="L11669" s="6"/>
      <c r="M11669" s="18" t="s">
        <v>29</v>
      </c>
      <c r="N11669" s="18" t="s">
        <v>54292</v>
      </c>
      <c r="O11669" s="18" t="s">
        <v>29</v>
      </c>
      <c r="P11669" s="18" t="s">
        <v>54293</v>
      </c>
      <c r="Q11669" s="6"/>
      <c r="R11669" s="6"/>
      <c r="S11669" s="6"/>
      <c r="T11669" s="6"/>
      <c r="U11669" s="6"/>
    </row>
    <row r="11670" ht="14.25">
      <c r="B11670" s="18" t="s">
        <v>3072</v>
      </c>
      <c r="C11670" s="18" t="s">
        <v>54294</v>
      </c>
      <c r="D11670" s="18" t="s">
        <v>172</v>
      </c>
      <c r="E11670" s="18" t="s">
        <v>54136</v>
      </c>
      <c r="F11670" s="18" t="str">
        <f>IFERROR(__XLUDF.DUMMYFUNCTION("PROPER(REGEXREPLACE(D1582,""[^A-Za-z]+ "",""""))"),"France-Sols")</f>
        <v>France-Sols</v>
      </c>
      <c r="G11670" s="18" t="s">
        <v>54295</v>
      </c>
      <c r="H11670" s="18">
        <v>22</v>
      </c>
      <c r="I11670" s="18" t="s">
        <v>9239</v>
      </c>
      <c r="J11670" s="5" t="s">
        <v>54296</v>
      </c>
      <c r="K11670" s="5" t="s">
        <v>54139</v>
      </c>
      <c r="L11670" s="6"/>
      <c r="M11670" s="18" t="s">
        <v>29</v>
      </c>
      <c r="N11670" s="18" t="s">
        <v>54140</v>
      </c>
      <c r="O11670" s="18" t="s">
        <v>29</v>
      </c>
      <c r="P11670" s="6"/>
      <c r="Q11670" s="6"/>
      <c r="R11670" s="6"/>
      <c r="S11670" s="6"/>
      <c r="T11670" s="6"/>
      <c r="U11670" s="6"/>
    </row>
    <row r="11671" ht="14.25">
      <c r="B11671" s="18" t="s">
        <v>2508</v>
      </c>
      <c r="C11671" s="18" t="s">
        <v>54297</v>
      </c>
      <c r="D11671" s="18" t="s">
        <v>172</v>
      </c>
      <c r="E11671" s="18" t="s">
        <v>54298</v>
      </c>
      <c r="F11671" s="18" t="str">
        <f>IFERROR(__XLUDF.DUMMYFUNCTION("PROPER(REGEXREPLACE(D1583,""[^A-Za-z]+ "",""""))"),"A2M Proximetal")</f>
        <v xml:space="preserve">A2M Proximetal</v>
      </c>
      <c r="G11671" s="18" t="s">
        <v>54299</v>
      </c>
      <c r="H11671" s="18">
        <v>26</v>
      </c>
      <c r="I11671" s="18" t="s">
        <v>9239</v>
      </c>
      <c r="J11671" s="5" t="s">
        <v>54300</v>
      </c>
      <c r="K11671" s="5" t="s">
        <v>54301</v>
      </c>
      <c r="L11671" s="18" t="s">
        <v>54302</v>
      </c>
      <c r="M11671" s="18" t="s">
        <v>29</v>
      </c>
      <c r="N11671" s="18" t="s">
        <v>54303</v>
      </c>
      <c r="O11671" s="18" t="s">
        <v>29</v>
      </c>
      <c r="P11671" s="18" t="s">
        <v>54304</v>
      </c>
      <c r="Q11671" s="6"/>
      <c r="R11671" s="6"/>
      <c r="S11671" s="6"/>
      <c r="T11671" s="6"/>
      <c r="U11671" s="6"/>
    </row>
    <row r="11672" ht="14.25">
      <c r="B11672" s="18" t="s">
        <v>4800</v>
      </c>
      <c r="C11672" s="18" t="s">
        <v>54305</v>
      </c>
      <c r="D11672" s="18" t="s">
        <v>54306</v>
      </c>
      <c r="E11672" s="18" t="s">
        <v>54307</v>
      </c>
      <c r="F11672" s="18" t="str">
        <f>IFERROR(__XLUDF.DUMMYFUNCTION("PROPER(REGEXREPLACE(D1584,""[^A-Za-z]+ "",""""))"),"Home Concept")</f>
        <v xml:space="preserve">Home Concept</v>
      </c>
      <c r="G11672" s="18" t="s">
        <v>54308</v>
      </c>
      <c r="H11672" s="18">
        <v>12</v>
      </c>
      <c r="I11672" s="18" t="s">
        <v>9239</v>
      </c>
      <c r="J11672" s="5" t="s">
        <v>54309</v>
      </c>
      <c r="K11672" s="5" t="s">
        <v>54310</v>
      </c>
      <c r="L11672" s="18" t="s">
        <v>1962</v>
      </c>
      <c r="M11672" s="18" t="s">
        <v>29</v>
      </c>
      <c r="N11672" s="18" t="s">
        <v>54311</v>
      </c>
      <c r="O11672" s="18" t="s">
        <v>29</v>
      </c>
      <c r="P11672" s="18" t="s">
        <v>54312</v>
      </c>
      <c r="Q11672" s="6"/>
      <c r="R11672" s="6"/>
      <c r="S11672" s="6"/>
      <c r="T11672" s="6"/>
      <c r="U11672" s="6"/>
    </row>
    <row r="11673" ht="14.25">
      <c r="B11673" s="18" t="s">
        <v>3164</v>
      </c>
      <c r="C11673" s="18" t="s">
        <v>54313</v>
      </c>
      <c r="D11673" s="18" t="s">
        <v>172</v>
      </c>
      <c r="E11673" s="18" t="s">
        <v>54314</v>
      </c>
      <c r="F11673" s="18" t="str">
        <f>IFERROR(__XLUDF.DUMMYFUNCTION("PROPER(REGEXREPLACE(D1585,""[^A-Za-z]+ "",""""))"),"Climatika 77")</f>
        <v xml:space="preserve">Climatika 77</v>
      </c>
      <c r="G11673" s="18" t="s">
        <v>54315</v>
      </c>
      <c r="H11673" s="18">
        <v>7</v>
      </c>
      <c r="I11673" s="18" t="s">
        <v>9239</v>
      </c>
      <c r="J11673" s="5" t="s">
        <v>54316</v>
      </c>
      <c r="K11673" s="5" t="s">
        <v>54317</v>
      </c>
      <c r="L11673" s="18" t="s">
        <v>22897</v>
      </c>
      <c r="M11673" s="18" t="s">
        <v>29</v>
      </c>
      <c r="N11673" s="18" t="s">
        <v>54318</v>
      </c>
      <c r="O11673" s="18" t="s">
        <v>29</v>
      </c>
      <c r="P11673" s="6"/>
      <c r="Q11673" s="6"/>
      <c r="R11673" s="6"/>
      <c r="S11673" s="6"/>
      <c r="T11673" s="6"/>
      <c r="U11673" s="6"/>
    </row>
    <row r="11674" ht="14.25">
      <c r="B11674" s="18" t="s">
        <v>330</v>
      </c>
      <c r="C11674" s="18" t="s">
        <v>54319</v>
      </c>
      <c r="D11674" s="18" t="s">
        <v>112</v>
      </c>
      <c r="E11674" s="18" t="s">
        <v>54320</v>
      </c>
      <c r="F11674" s="18" t="str">
        <f>IFERROR(__XLUDF.DUMMYFUNCTION("PROPER(REGEXREPLACE(D1586,""[^A-Za-z]+ "",""""))"),"Climat")</f>
        <v>Climat</v>
      </c>
      <c r="G11674" s="18" t="s">
        <v>54321</v>
      </c>
      <c r="H11674" s="18">
        <v>30</v>
      </c>
      <c r="I11674" s="18" t="s">
        <v>9239</v>
      </c>
      <c r="J11674" s="5" t="s">
        <v>54322</v>
      </c>
      <c r="K11674" s="5" t="s">
        <v>54323</v>
      </c>
      <c r="L11674" s="18" t="s">
        <v>54324</v>
      </c>
      <c r="M11674" s="18" t="s">
        <v>29</v>
      </c>
      <c r="N11674" s="18" t="s">
        <v>54325</v>
      </c>
      <c r="O11674" s="18" t="s">
        <v>29</v>
      </c>
      <c r="P11674" s="18" t="s">
        <v>54326</v>
      </c>
      <c r="Q11674" s="6"/>
      <c r="R11674" s="6"/>
      <c r="S11674" s="6"/>
      <c r="T11674" s="6"/>
      <c r="U11674" s="6"/>
    </row>
    <row r="11675" ht="14.25">
      <c r="B11675" s="18" t="s">
        <v>2932</v>
      </c>
      <c r="C11675" s="18" t="s">
        <v>6451</v>
      </c>
      <c r="D11675" s="18" t="s">
        <v>112</v>
      </c>
      <c r="E11675" s="18" t="s">
        <v>54327</v>
      </c>
      <c r="F11675" s="18" t="str">
        <f>IFERROR(__XLUDF.DUMMYFUNCTION("PROPER(REGEXREPLACE(D1587,""[^A-Za-z]+ "",""""))"),"Preventec")</f>
        <v>Preventec</v>
      </c>
      <c r="G11675" s="18" t="s">
        <v>54328</v>
      </c>
      <c r="H11675" s="18">
        <v>42</v>
      </c>
      <c r="I11675" s="18" t="s">
        <v>9239</v>
      </c>
      <c r="J11675" s="5" t="s">
        <v>54329</v>
      </c>
      <c r="K11675" s="5" t="s">
        <v>54330</v>
      </c>
      <c r="L11675" s="18" t="s">
        <v>846</v>
      </c>
      <c r="M11675" s="18" t="s">
        <v>29</v>
      </c>
      <c r="N11675" s="18" t="s">
        <v>54331</v>
      </c>
      <c r="O11675" s="18" t="s">
        <v>29</v>
      </c>
      <c r="P11675" s="6"/>
      <c r="Q11675" s="6"/>
      <c r="R11675" s="6"/>
      <c r="S11675" s="6"/>
      <c r="T11675" s="6"/>
      <c r="U11675" s="6"/>
    </row>
    <row r="11676" ht="14.25">
      <c r="B11676" s="18" t="s">
        <v>16133</v>
      </c>
      <c r="C11676" s="18" t="s">
        <v>54332</v>
      </c>
      <c r="D11676" s="18" t="s">
        <v>1130</v>
      </c>
      <c r="E11676" s="18" t="s">
        <v>54333</v>
      </c>
      <c r="F11676" s="18" t="str">
        <f>IFERROR(__XLUDF.DUMMYFUNCTION("PROPER(REGEXREPLACE(D1588,""[^A-Za-z]+ "",""""))"),"I2C Ingenierie")</f>
        <v xml:space="preserve">I2C Ingenierie</v>
      </c>
      <c r="G11676" s="18" t="s">
        <v>54334</v>
      </c>
      <c r="H11676" s="18">
        <v>19</v>
      </c>
      <c r="I11676" s="18" t="s">
        <v>9239</v>
      </c>
      <c r="J11676" s="5" t="s">
        <v>54335</v>
      </c>
      <c r="K11676" s="5" t="s">
        <v>54336</v>
      </c>
      <c r="L11676" s="18" t="s">
        <v>1826</v>
      </c>
      <c r="M11676" s="18" t="s">
        <v>29</v>
      </c>
      <c r="N11676" s="18" t="s">
        <v>54337</v>
      </c>
      <c r="O11676" s="18" t="s">
        <v>29</v>
      </c>
      <c r="P11676" s="18" t="s">
        <v>54338</v>
      </c>
      <c r="Q11676" s="6"/>
      <c r="R11676" s="6"/>
      <c r="S11676" s="6"/>
      <c r="T11676" s="6"/>
      <c r="U11676" s="6"/>
    </row>
    <row r="11677" ht="14.25">
      <c r="B11677" s="18" t="s">
        <v>3609</v>
      </c>
      <c r="C11677" s="18" t="s">
        <v>6562</v>
      </c>
      <c r="D11677" s="18" t="s">
        <v>54339</v>
      </c>
      <c r="E11677" s="18" t="s">
        <v>53474</v>
      </c>
      <c r="F11677" s="18" t="str">
        <f>IFERROR(__XLUDF.DUMMYFUNCTION("PROPER(REGEXREPLACE(D1589,""[^A-Za-z]+ "",""""))"),"Yalink")</f>
        <v>Yalink</v>
      </c>
      <c r="G11677" s="18" t="s">
        <v>54340</v>
      </c>
      <c r="H11677" s="18">
        <v>30</v>
      </c>
      <c r="I11677" s="18" t="s">
        <v>9239</v>
      </c>
      <c r="J11677" s="5" t="s">
        <v>54341</v>
      </c>
      <c r="K11677" s="5" t="s">
        <v>53477</v>
      </c>
      <c r="L11677" s="18" t="s">
        <v>243</v>
      </c>
      <c r="M11677" s="18" t="s">
        <v>29</v>
      </c>
      <c r="N11677" s="18" t="s">
        <v>929</v>
      </c>
      <c r="O11677" s="18" t="s">
        <v>29</v>
      </c>
      <c r="P11677" s="6"/>
      <c r="Q11677" s="6"/>
      <c r="R11677" s="6"/>
      <c r="S11677" s="6"/>
      <c r="T11677" s="6"/>
      <c r="U11677" s="6"/>
    </row>
    <row r="11678" ht="14.25">
      <c r="B11678" s="18" t="s">
        <v>971</v>
      </c>
      <c r="C11678" s="18" t="s">
        <v>27284</v>
      </c>
      <c r="D11678" s="18" t="s">
        <v>1130</v>
      </c>
      <c r="E11678" s="18" t="s">
        <v>54342</v>
      </c>
      <c r="F11678" s="18" t="str">
        <f>IFERROR(__XLUDF.DUMMYFUNCTION("PROPER(REGEXREPLACE(D1590,""[^A-Za-z]+ "",""""))"),"Océane Habitat")</f>
        <v xml:space="preserve">Océane Habitat</v>
      </c>
      <c r="G11678" s="18" t="s">
        <v>54343</v>
      </c>
      <c r="H11678" s="18">
        <v>15</v>
      </c>
      <c r="I11678" s="18" t="s">
        <v>9239</v>
      </c>
      <c r="J11678" s="5" t="s">
        <v>54344</v>
      </c>
      <c r="K11678" s="5" t="s">
        <v>54345</v>
      </c>
      <c r="L11678" s="18" t="s">
        <v>47210</v>
      </c>
      <c r="M11678" s="18" t="s">
        <v>29</v>
      </c>
      <c r="N11678" s="18" t="s">
        <v>47211</v>
      </c>
      <c r="O11678" s="18" t="s">
        <v>29</v>
      </c>
      <c r="P11678" s="18" t="s">
        <v>54346</v>
      </c>
      <c r="Q11678" s="6"/>
      <c r="R11678" s="6"/>
      <c r="S11678" s="6"/>
      <c r="T11678" s="6"/>
      <c r="U11678" s="6"/>
    </row>
    <row r="11679" ht="14.25">
      <c r="B11679" s="18" t="s">
        <v>1583</v>
      </c>
      <c r="C11679" s="18" t="s">
        <v>41573</v>
      </c>
      <c r="D11679" s="18" t="s">
        <v>87</v>
      </c>
      <c r="E11679" s="18" t="s">
        <v>54347</v>
      </c>
      <c r="F11679" s="18" t="str">
        <f>IFERROR(__XLUDF.DUMMYFUNCTION("PROPER(REGEXREPLACE(D1591,""[^A-Za-z]+ "",""""))"),"Lda Environnement")</f>
        <v xml:space="preserve">Lda Environnement</v>
      </c>
      <c r="G11679" s="18" t="s">
        <v>54348</v>
      </c>
      <c r="H11679" s="6"/>
      <c r="I11679" s="6"/>
      <c r="J11679" s="5" t="s">
        <v>54349</v>
      </c>
      <c r="K11679" s="5" t="s">
        <v>54350</v>
      </c>
      <c r="L11679" s="18" t="s">
        <v>51764</v>
      </c>
      <c r="M11679" s="18" t="s">
        <v>29</v>
      </c>
      <c r="N11679" s="18" t="s">
        <v>54351</v>
      </c>
      <c r="O11679" s="18" t="s">
        <v>29</v>
      </c>
      <c r="P11679" s="6"/>
      <c r="Q11679" s="6"/>
      <c r="R11679" s="6"/>
      <c r="S11679" s="6"/>
      <c r="T11679" s="6"/>
      <c r="U11679" s="6"/>
    </row>
    <row r="11680" ht="14.25">
      <c r="B11680" s="18" t="s">
        <v>571</v>
      </c>
      <c r="C11680" s="18" t="s">
        <v>54352</v>
      </c>
      <c r="D11680" s="18" t="s">
        <v>112</v>
      </c>
      <c r="E11680" s="18" t="s">
        <v>54353</v>
      </c>
      <c r="F11680" s="18" t="str">
        <f>IFERROR(__XLUDF.DUMMYFUNCTION("PROPER(REGEXREPLACE(D1592,""[^A-Za-z]+ "",""""))"),"Juignet")</f>
        <v>Juignet</v>
      </c>
      <c r="G11680" s="18" t="s">
        <v>54354</v>
      </c>
      <c r="H11680" s="18">
        <v>29</v>
      </c>
      <c r="I11680" s="18" t="s">
        <v>9239</v>
      </c>
      <c r="J11680" s="5" t="s">
        <v>54355</v>
      </c>
      <c r="K11680" s="5" t="s">
        <v>54356</v>
      </c>
      <c r="L11680" s="18" t="s">
        <v>14443</v>
      </c>
      <c r="M11680" s="18" t="s">
        <v>29</v>
      </c>
      <c r="N11680" s="18" t="s">
        <v>54357</v>
      </c>
      <c r="O11680" s="18" t="s">
        <v>29</v>
      </c>
      <c r="P11680" s="6"/>
      <c r="Q11680" s="6"/>
      <c r="R11680" s="6"/>
      <c r="S11680" s="6"/>
      <c r="T11680" s="6"/>
      <c r="U11680" s="6"/>
    </row>
    <row r="11681" ht="14.25">
      <c r="B11681" s="18" t="s">
        <v>2258</v>
      </c>
      <c r="C11681" s="18" t="s">
        <v>15353</v>
      </c>
      <c r="D11681" s="18" t="s">
        <v>112</v>
      </c>
      <c r="E11681" s="18" t="s">
        <v>54358</v>
      </c>
      <c r="F11681" s="18" t="str">
        <f>IFERROR(__XLUDF.DUMMYFUNCTION("PROPER(REGEXREPLACE(D1593,""[^A-Za-z]+ "",""""))"),"Sce")</f>
        <v>Sce</v>
      </c>
      <c r="G11681" s="18" t="s">
        <v>54359</v>
      </c>
      <c r="H11681" s="18">
        <v>17</v>
      </c>
      <c r="I11681" s="18" t="s">
        <v>9239</v>
      </c>
      <c r="J11681" s="5" t="s">
        <v>54360</v>
      </c>
      <c r="K11681" s="5" t="s">
        <v>54361</v>
      </c>
      <c r="L11681" s="18" t="s">
        <v>5565</v>
      </c>
      <c r="M11681" s="18" t="s">
        <v>29</v>
      </c>
      <c r="N11681" s="18" t="s">
        <v>54362</v>
      </c>
      <c r="O11681" s="18" t="s">
        <v>29</v>
      </c>
      <c r="P11681" s="18" t="s">
        <v>54363</v>
      </c>
      <c r="Q11681" s="6"/>
      <c r="R11681" s="6"/>
      <c r="S11681" s="6"/>
      <c r="T11681" s="6"/>
      <c r="U11681" s="6"/>
    </row>
    <row r="11682" ht="14.25">
      <c r="B11682" s="18" t="s">
        <v>2516</v>
      </c>
      <c r="C11682" s="18" t="s">
        <v>54364</v>
      </c>
      <c r="D11682" s="18" t="s">
        <v>1130</v>
      </c>
      <c r="E11682" s="18" t="s">
        <v>54365</v>
      </c>
      <c r="F11682" s="18" t="str">
        <f>IFERROR(__XLUDF.DUMMYFUNCTION("PROPER(REGEXREPLACE(D1594,""[^A-Za-z]+ "",""""))"),"Union Thermique")</f>
        <v xml:space="preserve">Union Thermique</v>
      </c>
      <c r="G11682" s="18" t="s">
        <v>54366</v>
      </c>
      <c r="H11682" s="18">
        <v>13</v>
      </c>
      <c r="I11682" s="18" t="s">
        <v>9239</v>
      </c>
      <c r="J11682" s="5" t="s">
        <v>54367</v>
      </c>
      <c r="K11682" s="5" t="s">
        <v>54368</v>
      </c>
      <c r="L11682" s="18" t="s">
        <v>39</v>
      </c>
      <c r="M11682" s="18" t="s">
        <v>29</v>
      </c>
      <c r="N11682" s="18" t="s">
        <v>54369</v>
      </c>
      <c r="O11682" s="18" t="s">
        <v>29</v>
      </c>
      <c r="P11682" s="6"/>
      <c r="Q11682" s="6"/>
      <c r="R11682" s="6"/>
      <c r="S11682" s="6"/>
      <c r="T11682" s="6"/>
      <c r="U11682" s="6"/>
    </row>
    <row r="11683" ht="14.25">
      <c r="B11683" s="18" t="s">
        <v>4215</v>
      </c>
      <c r="C11683" s="18" t="s">
        <v>54370</v>
      </c>
      <c r="D11683" s="18" t="s">
        <v>426</v>
      </c>
      <c r="E11683" s="18" t="s">
        <v>54371</v>
      </c>
      <c r="F11683" s="18" t="str">
        <f>IFERROR(__XLUDF.DUMMYFUNCTION("PROPER(REGEXREPLACE(D1595,""[^A-Za-z]+ "",""""))"),"Logelis")</f>
        <v>Logelis</v>
      </c>
      <c r="G11683" s="18" t="s">
        <v>54372</v>
      </c>
      <c r="H11683" s="18">
        <v>35</v>
      </c>
      <c r="I11683" s="18" t="s">
        <v>9239</v>
      </c>
      <c r="J11683" s="5" t="s">
        <v>54373</v>
      </c>
      <c r="K11683" s="5" t="s">
        <v>54374</v>
      </c>
      <c r="L11683" s="18" t="s">
        <v>6603</v>
      </c>
      <c r="M11683" s="18" t="s">
        <v>29</v>
      </c>
      <c r="N11683" s="18" t="s">
        <v>54375</v>
      </c>
      <c r="O11683" s="18" t="s">
        <v>29</v>
      </c>
      <c r="P11683" s="18" t="s">
        <v>54376</v>
      </c>
      <c r="Q11683" s="6"/>
      <c r="R11683" s="6"/>
      <c r="S11683" s="6"/>
      <c r="T11683" s="6"/>
      <c r="U11683" s="6"/>
    </row>
    <row r="11684" ht="14.25">
      <c r="B11684" s="18" t="s">
        <v>110</v>
      </c>
      <c r="C11684" s="18" t="s">
        <v>54377</v>
      </c>
      <c r="D11684" s="18" t="s">
        <v>112</v>
      </c>
      <c r="E11684" s="18" t="s">
        <v>54378</v>
      </c>
      <c r="F11684" s="18" t="str">
        <f>IFERROR(__XLUDF.DUMMYFUNCTION("PROPER(REGEXREPLACE(D1596,""[^A-Za-z]+ "",""""))"),"Orikia Promotion")</f>
        <v xml:space="preserve">Orikia Promotion</v>
      </c>
      <c r="G11684" s="18" t="s">
        <v>54379</v>
      </c>
      <c r="H11684" s="18">
        <v>1</v>
      </c>
      <c r="I11684" s="18" t="s">
        <v>4293</v>
      </c>
      <c r="J11684" s="5" t="s">
        <v>54380</v>
      </c>
      <c r="K11684" s="5" t="s">
        <v>54381</v>
      </c>
      <c r="L11684" s="18" t="s">
        <v>423</v>
      </c>
      <c r="M11684" s="18" t="s">
        <v>29</v>
      </c>
      <c r="N11684" s="18" t="s">
        <v>3890</v>
      </c>
      <c r="O11684" s="18" t="s">
        <v>29</v>
      </c>
      <c r="P11684" s="6"/>
      <c r="Q11684" s="6"/>
      <c r="R11684" s="6"/>
      <c r="S11684" s="6"/>
      <c r="T11684" s="6"/>
      <c r="U11684" s="6"/>
    </row>
    <row r="11685" ht="14.25">
      <c r="B11685" s="18" t="s">
        <v>110</v>
      </c>
      <c r="C11685" s="18" t="s">
        <v>54382</v>
      </c>
      <c r="D11685" s="18" t="s">
        <v>172</v>
      </c>
      <c r="E11685" s="18" t="s">
        <v>54383</v>
      </c>
      <c r="F11685" s="18" t="str">
        <f>IFERROR(__XLUDF.DUMMYFUNCTION("PROPER(REGEXREPLACE(D1597,""[^A-Za-z]+ "",""""))"),"Leray Menuiserie")</f>
        <v xml:space="preserve">Leray Menuiserie</v>
      </c>
      <c r="G11685" s="18" t="s">
        <v>54384</v>
      </c>
      <c r="H11685" s="18">
        <v>11</v>
      </c>
      <c r="I11685" s="18" t="s">
        <v>9239</v>
      </c>
      <c r="J11685" s="5" t="s">
        <v>54385</v>
      </c>
      <c r="K11685" s="5" t="s">
        <v>54386</v>
      </c>
      <c r="L11685" s="18" t="s">
        <v>1711</v>
      </c>
      <c r="M11685" s="18" t="s">
        <v>29</v>
      </c>
      <c r="N11685" s="18" t="s">
        <v>54387</v>
      </c>
      <c r="O11685" s="18" t="s">
        <v>29</v>
      </c>
      <c r="P11685" s="18" t="s">
        <v>54388</v>
      </c>
      <c r="Q11685" s="6"/>
      <c r="R11685" s="6"/>
      <c r="S11685" s="6"/>
      <c r="T11685" s="6"/>
      <c r="U11685" s="6"/>
    </row>
    <row r="11686" ht="14.25">
      <c r="B11686" s="18" t="s">
        <v>817</v>
      </c>
      <c r="C11686" s="18" t="s">
        <v>54389</v>
      </c>
      <c r="D11686" s="18" t="s">
        <v>9456</v>
      </c>
      <c r="E11686" s="18" t="s">
        <v>54390</v>
      </c>
      <c r="F11686" s="18" t="str">
        <f>IFERROR(__XLUDF.DUMMYFUNCTION("PROPER(REGEXREPLACE(D1598,""[^A-Za-z]+ "",""""))"),"Crea Construction")</f>
        <v xml:space="preserve">Crea Construction</v>
      </c>
      <c r="G11686" s="18" t="s">
        <v>54391</v>
      </c>
      <c r="H11686" s="18">
        <v>7</v>
      </c>
      <c r="I11686" s="18" t="s">
        <v>9239</v>
      </c>
      <c r="J11686" s="5" t="s">
        <v>54392</v>
      </c>
      <c r="K11686" s="5" t="s">
        <v>54393</v>
      </c>
      <c r="L11686" s="18" t="s">
        <v>54394</v>
      </c>
      <c r="M11686" s="18" t="s">
        <v>29</v>
      </c>
      <c r="N11686" s="18" t="s">
        <v>54395</v>
      </c>
      <c r="O11686" s="18" t="s">
        <v>1261</v>
      </c>
      <c r="P11686" s="6"/>
      <c r="Q11686" s="6"/>
      <c r="R11686" s="6"/>
      <c r="S11686" s="6"/>
      <c r="T11686" s="6"/>
      <c r="U11686" s="6"/>
    </row>
    <row r="11687" ht="14.25">
      <c r="B11687" s="18" t="s">
        <v>9922</v>
      </c>
      <c r="C11687" s="18" t="s">
        <v>54396</v>
      </c>
      <c r="D11687" s="18" t="s">
        <v>341</v>
      </c>
      <c r="E11687" s="18" t="s">
        <v>54397</v>
      </c>
      <c r="F11687" s="18" t="str">
        <f>IFERROR(__XLUDF.DUMMYFUNCTION("PROPER(REGEXREPLACE(D1599,""[^A-Za-z]+ "",""""))"),"Boisdellys")</f>
        <v>Boisdellys</v>
      </c>
      <c r="G11687" s="18" t="s">
        <v>54398</v>
      </c>
      <c r="H11687" s="18">
        <v>8</v>
      </c>
      <c r="I11687" s="18" t="s">
        <v>9239</v>
      </c>
      <c r="J11687" s="5" t="s">
        <v>54399</v>
      </c>
      <c r="K11687" s="5" t="s">
        <v>54400</v>
      </c>
      <c r="L11687" s="18" t="s">
        <v>1826</v>
      </c>
      <c r="M11687" s="18" t="s">
        <v>29</v>
      </c>
      <c r="N11687" s="18" t="s">
        <v>54401</v>
      </c>
      <c r="O11687" s="18" t="s">
        <v>29</v>
      </c>
      <c r="P11687" s="18" t="s">
        <v>54402</v>
      </c>
      <c r="Q11687" s="6"/>
      <c r="R11687" s="6"/>
      <c r="S11687" s="6"/>
      <c r="T11687" s="6"/>
      <c r="U11687" s="6"/>
    </row>
    <row r="11688" ht="14.25">
      <c r="B11688" s="18" t="s">
        <v>604</v>
      </c>
      <c r="C11688" s="18" t="s">
        <v>54403</v>
      </c>
      <c r="D11688" s="18" t="s">
        <v>172</v>
      </c>
      <c r="E11688" s="18" t="s">
        <v>54404</v>
      </c>
      <c r="F11688" s="18" t="str">
        <f>IFERROR(__XLUDF.DUMMYFUNCTION("PROPER(REGEXREPLACE(D1600,""[^A-Za-z]+ "",""""))"),"Couvrest")</f>
        <v>Couvrest</v>
      </c>
      <c r="G11688" s="18" t="s">
        <v>54405</v>
      </c>
      <c r="H11688" s="18">
        <v>30</v>
      </c>
      <c r="I11688" s="18" t="s">
        <v>9239</v>
      </c>
      <c r="J11688" s="5" t="s">
        <v>54406</v>
      </c>
      <c r="K11688" s="5" t="s">
        <v>54407</v>
      </c>
      <c r="L11688" s="18" t="s">
        <v>4922</v>
      </c>
      <c r="M11688" s="18" t="s">
        <v>29</v>
      </c>
      <c r="N11688" s="18" t="s">
        <v>54408</v>
      </c>
      <c r="O11688" s="18" t="s">
        <v>29</v>
      </c>
      <c r="P11688" s="18" t="s">
        <v>54409</v>
      </c>
      <c r="Q11688" s="6"/>
      <c r="R11688" s="6"/>
      <c r="S11688" s="6"/>
      <c r="T11688" s="6"/>
      <c r="U11688" s="6"/>
    </row>
    <row r="11689" ht="14.25">
      <c r="B11689" s="18" t="s">
        <v>1667</v>
      </c>
      <c r="C11689" s="18" t="s">
        <v>24999</v>
      </c>
      <c r="D11689" s="18" t="s">
        <v>54410</v>
      </c>
      <c r="E11689" s="18" t="s">
        <v>25001</v>
      </c>
      <c r="F11689" s="18" t="str">
        <f>IFERROR(__XLUDF.DUMMYFUNCTION("PROPER(REGEXREPLACE(D1601,""[^A-Za-z]+ "",""""))"),"Groupe Immalliance")</f>
        <v xml:space="preserve">Groupe Immalliance</v>
      </c>
      <c r="G11689" s="18" t="s">
        <v>25002</v>
      </c>
      <c r="H11689" s="18">
        <v>12</v>
      </c>
      <c r="I11689" s="18" t="s">
        <v>4293</v>
      </c>
      <c r="J11689" s="5" t="s">
        <v>25003</v>
      </c>
      <c r="K11689" s="5" t="s">
        <v>25004</v>
      </c>
      <c r="L11689" s="18" t="s">
        <v>295</v>
      </c>
      <c r="M11689" s="18" t="s">
        <v>29</v>
      </c>
      <c r="N11689" s="18" t="s">
        <v>19491</v>
      </c>
      <c r="O11689" s="18" t="s">
        <v>29</v>
      </c>
      <c r="P11689" s="18" t="s">
        <v>25005</v>
      </c>
      <c r="Q11689" s="6"/>
      <c r="R11689" s="6"/>
      <c r="S11689" s="6"/>
      <c r="T11689" s="6"/>
      <c r="U11689" s="6"/>
    </row>
    <row r="11690" ht="14.25">
      <c r="B11690" s="18" t="s">
        <v>1732</v>
      </c>
      <c r="C11690" s="18" t="s">
        <v>867</v>
      </c>
      <c r="D11690" s="18" t="s">
        <v>5500</v>
      </c>
      <c r="E11690" s="18" t="s">
        <v>54411</v>
      </c>
      <c r="F11690" s="18" t="str">
        <f>IFERROR(__XLUDF.DUMMYFUNCTION("PROPER(REGEXREPLACE(D1602,""[^A-Za-z]+ "",""""))"),"Valdevez Peinture")</f>
        <v xml:space="preserve">Valdevez Peinture</v>
      </c>
      <c r="G11690" s="18" t="s">
        <v>54412</v>
      </c>
      <c r="H11690" s="18">
        <v>3</v>
      </c>
      <c r="I11690" s="18" t="s">
        <v>9239</v>
      </c>
      <c r="J11690" s="5" t="s">
        <v>54413</v>
      </c>
      <c r="K11690" s="5" t="s">
        <v>54414</v>
      </c>
      <c r="L11690" s="18" t="s">
        <v>185</v>
      </c>
      <c r="M11690" s="18" t="s">
        <v>29</v>
      </c>
      <c r="N11690" s="18" t="s">
        <v>54415</v>
      </c>
      <c r="O11690" s="18" t="s">
        <v>29</v>
      </c>
      <c r="P11690" s="6"/>
      <c r="Q11690" s="6"/>
      <c r="R11690" s="6"/>
      <c r="S11690" s="6"/>
      <c r="T11690" s="6"/>
      <c r="U11690" s="6"/>
    </row>
    <row r="11691" ht="14.25">
      <c r="B11691" s="18" t="s">
        <v>808</v>
      </c>
      <c r="C11691" s="18" t="s">
        <v>54416</v>
      </c>
      <c r="D11691" s="18" t="s">
        <v>112</v>
      </c>
      <c r="E11691" s="18" t="s">
        <v>54417</v>
      </c>
      <c r="F11691" s="18" t="str">
        <f>IFERROR(__XLUDF.DUMMYFUNCTION("PROPER(REGEXREPLACE(D1603,""[^A-Za-z]+ "",""""))"),"Eréo")</f>
        <v>Eréo</v>
      </c>
      <c r="G11691" s="18" t="s">
        <v>54418</v>
      </c>
      <c r="H11691" s="18">
        <v>15</v>
      </c>
      <c r="I11691" s="18" t="s">
        <v>9239</v>
      </c>
      <c r="J11691" s="5" t="s">
        <v>54419</v>
      </c>
      <c r="K11691" s="5" t="s">
        <v>54420</v>
      </c>
      <c r="L11691" s="18" t="s">
        <v>17350</v>
      </c>
      <c r="M11691" s="18" t="s">
        <v>29</v>
      </c>
      <c r="N11691" s="18" t="s">
        <v>29</v>
      </c>
      <c r="O11691" s="18" t="s">
        <v>29</v>
      </c>
      <c r="P11691" s="18" t="s">
        <v>54421</v>
      </c>
      <c r="Q11691" s="6"/>
      <c r="R11691" s="6"/>
      <c r="S11691" s="6"/>
      <c r="T11691" s="6"/>
      <c r="U11691" s="6"/>
    </row>
    <row r="11692" ht="14.25">
      <c r="B11692" s="18" t="s">
        <v>26223</v>
      </c>
      <c r="C11692" s="18" t="s">
        <v>4132</v>
      </c>
      <c r="D11692" s="18" t="s">
        <v>1130</v>
      </c>
      <c r="E11692" s="18" t="s">
        <v>54422</v>
      </c>
      <c r="F11692" s="18" t="str">
        <f>IFERROR(__XLUDF.DUMMYFUNCTION("PROPER(REGEXREPLACE(D1604,""[^A-Za-z]+ "",""""))"),"Arsenal Fluides")</f>
        <v xml:space="preserve">Arsenal Fluides</v>
      </c>
      <c r="G11692" s="18" t="s">
        <v>54423</v>
      </c>
      <c r="H11692" s="18">
        <v>13</v>
      </c>
      <c r="I11692" s="18" t="s">
        <v>9239</v>
      </c>
      <c r="J11692" s="5" t="s">
        <v>54424</v>
      </c>
      <c r="K11692" s="5" t="s">
        <v>54425</v>
      </c>
      <c r="L11692" s="6"/>
      <c r="M11692" s="18" t="s">
        <v>29</v>
      </c>
      <c r="N11692" s="18" t="s">
        <v>54426</v>
      </c>
      <c r="O11692" s="18" t="s">
        <v>29</v>
      </c>
      <c r="P11692" s="6"/>
      <c r="Q11692" s="6"/>
      <c r="R11692" s="6"/>
      <c r="S11692" s="6"/>
      <c r="T11692" s="6"/>
      <c r="U11692" s="6"/>
    </row>
    <row r="11693" ht="14.25">
      <c r="B11693" s="18" t="s">
        <v>1198</v>
      </c>
      <c r="C11693" s="18" t="s">
        <v>54427</v>
      </c>
      <c r="D11693" s="18" t="s">
        <v>1130</v>
      </c>
      <c r="E11693" s="18" t="s">
        <v>54428</v>
      </c>
      <c r="F11693" s="18" t="str">
        <f>IFERROR(__XLUDF.DUMMYFUNCTION("PROPER(REGEXREPLACE(D1605,""[^A-Za-z]+ "",""""))"),"Sacma Agencements")</f>
        <v xml:space="preserve">Sacma Agencements</v>
      </c>
      <c r="G11693" s="18" t="s">
        <v>54429</v>
      </c>
      <c r="H11693" s="18">
        <v>20</v>
      </c>
      <c r="I11693" s="18" t="s">
        <v>9239</v>
      </c>
      <c r="J11693" s="5" t="s">
        <v>54430</v>
      </c>
      <c r="K11693" s="5" t="s">
        <v>54431</v>
      </c>
      <c r="L11693" s="18" t="s">
        <v>185</v>
      </c>
      <c r="M11693" s="18" t="s">
        <v>29</v>
      </c>
      <c r="N11693" s="18" t="s">
        <v>54432</v>
      </c>
      <c r="O11693" s="18" t="s">
        <v>29</v>
      </c>
      <c r="P11693" s="18" t="s">
        <v>54433</v>
      </c>
      <c r="Q11693" s="6"/>
      <c r="R11693" s="6"/>
      <c r="S11693" s="6"/>
      <c r="T11693" s="6"/>
      <c r="U11693" s="6"/>
    </row>
    <row r="11694" ht="14.25">
      <c r="B11694" s="18" t="s">
        <v>1198</v>
      </c>
      <c r="C11694" s="18" t="s">
        <v>54434</v>
      </c>
      <c r="D11694" s="18" t="s">
        <v>112</v>
      </c>
      <c r="E11694" s="18" t="s">
        <v>53478</v>
      </c>
      <c r="F11694" s="18" t="str">
        <f>IFERROR(__XLUDF.DUMMYFUNCTION("PROPER(REGEXREPLACE(D1606,""[^A-Za-z]+ "",""""))"),"Subclic")</f>
        <v>Subclic</v>
      </c>
      <c r="G11694" s="18" t="s">
        <v>54435</v>
      </c>
      <c r="H11694" s="18">
        <v>30</v>
      </c>
      <c r="I11694" s="18" t="s">
        <v>9239</v>
      </c>
      <c r="J11694" s="5" t="s">
        <v>54436</v>
      </c>
      <c r="K11694" s="5" t="s">
        <v>53481</v>
      </c>
      <c r="L11694" s="18" t="s">
        <v>295</v>
      </c>
      <c r="M11694" s="18" t="s">
        <v>29</v>
      </c>
      <c r="N11694" s="18" t="s">
        <v>53482</v>
      </c>
      <c r="O11694" s="18" t="s">
        <v>29</v>
      </c>
      <c r="P11694" s="18" t="s">
        <v>53483</v>
      </c>
      <c r="Q11694" s="6"/>
      <c r="R11694" s="6"/>
      <c r="S11694" s="6"/>
      <c r="T11694" s="6"/>
      <c r="U11694" s="6"/>
    </row>
    <row r="11695" ht="14.25">
      <c r="B11695" s="18" t="s">
        <v>1853</v>
      </c>
      <c r="C11695" s="18" t="s">
        <v>54437</v>
      </c>
      <c r="D11695" s="18" t="s">
        <v>112</v>
      </c>
      <c r="E11695" s="18" t="s">
        <v>54438</v>
      </c>
      <c r="F11695" s="18" t="str">
        <f>IFERROR(__XLUDF.DUMMYFUNCTION("PROPER(REGEXREPLACE(D1607,""[^A-Za-z]+ "",""""))"),"Dourmap")</f>
        <v>Dourmap</v>
      </c>
      <c r="G11695" s="18" t="s">
        <v>54439</v>
      </c>
      <c r="H11695" s="18">
        <v>49</v>
      </c>
      <c r="I11695" s="18" t="s">
        <v>9239</v>
      </c>
      <c r="J11695" s="5" t="s">
        <v>54440</v>
      </c>
      <c r="K11695" s="5" t="s">
        <v>54441</v>
      </c>
      <c r="L11695" s="18" t="s">
        <v>439</v>
      </c>
      <c r="M11695" s="18" t="s">
        <v>29</v>
      </c>
      <c r="N11695" s="18" t="s">
        <v>54442</v>
      </c>
      <c r="O11695" s="18" t="s">
        <v>29</v>
      </c>
      <c r="P11695" s="6"/>
      <c r="Q11695" s="6"/>
      <c r="R11695" s="6"/>
      <c r="S11695" s="6"/>
      <c r="T11695" s="6"/>
      <c r="U11695" s="6"/>
    </row>
    <row r="11696" ht="14.25">
      <c r="B11696" s="18" t="s">
        <v>14654</v>
      </c>
      <c r="C11696" s="18" t="s">
        <v>1270</v>
      </c>
      <c r="D11696" s="18" t="s">
        <v>164</v>
      </c>
      <c r="E11696" s="18" t="s">
        <v>54443</v>
      </c>
      <c r="F11696" s="18" t="str">
        <f>IFERROR(__XLUDF.DUMMYFUNCTION("PROPER(REGEXREPLACE(D1608,""[^A-Za-z]+ "",""""))"),"Ryfe Bureau D’Études")</f>
        <v xml:space="preserve">Ryfe Bureau D’Études</v>
      </c>
      <c r="G11696" s="18" t="s">
        <v>54444</v>
      </c>
      <c r="H11696" s="18">
        <v>4</v>
      </c>
      <c r="I11696" s="18" t="s">
        <v>9239</v>
      </c>
      <c r="J11696" s="5" t="s">
        <v>54445</v>
      </c>
      <c r="K11696" s="5" t="s">
        <v>54446</v>
      </c>
      <c r="L11696" s="18" t="s">
        <v>39</v>
      </c>
      <c r="M11696" s="18" t="s">
        <v>29</v>
      </c>
      <c r="N11696" s="18" t="s">
        <v>54447</v>
      </c>
      <c r="O11696" s="18" t="s">
        <v>29</v>
      </c>
      <c r="P11696" s="6"/>
      <c r="Q11696" s="6"/>
      <c r="R11696" s="6"/>
      <c r="S11696" s="6"/>
      <c r="T11696" s="6"/>
      <c r="U11696" s="6"/>
    </row>
    <row r="11697" ht="14.25">
      <c r="B11697" s="18" t="s">
        <v>442</v>
      </c>
      <c r="C11697" s="18" t="s">
        <v>54448</v>
      </c>
      <c r="D11697" s="18" t="s">
        <v>54449</v>
      </c>
      <c r="E11697" s="18" t="s">
        <v>54450</v>
      </c>
      <c r="F11697" s="18" t="str">
        <f>IFERROR(__XLUDF.DUMMYFUNCTION("PROPER(REGEXREPLACE(D1609,""[^A-Za-z]+ "",""""))"),"Acie-Ingenierie")</f>
        <v>Acie-Ingenierie</v>
      </c>
      <c r="G11697" s="18" t="s">
        <v>54451</v>
      </c>
      <c r="H11697" s="18">
        <v>11</v>
      </c>
      <c r="I11697" s="18" t="s">
        <v>9239</v>
      </c>
      <c r="J11697" s="5" t="s">
        <v>54452</v>
      </c>
      <c r="K11697" s="5" t="s">
        <v>54453</v>
      </c>
      <c r="L11697" s="18" t="s">
        <v>39</v>
      </c>
      <c r="M11697" s="18" t="s">
        <v>29</v>
      </c>
      <c r="N11697" s="18" t="s">
        <v>29</v>
      </c>
      <c r="O11697" s="18" t="s">
        <v>29</v>
      </c>
      <c r="P11697" s="6"/>
      <c r="Q11697" s="6"/>
      <c r="R11697" s="6"/>
      <c r="S11697" s="6"/>
      <c r="T11697" s="6"/>
      <c r="U11697" s="6"/>
    </row>
    <row r="11698" ht="14.25">
      <c r="B11698" s="18" t="s">
        <v>1592</v>
      </c>
      <c r="C11698" s="18" t="s">
        <v>6772</v>
      </c>
      <c r="D11698" s="18" t="s">
        <v>112</v>
      </c>
      <c r="E11698" s="18" t="s">
        <v>54454</v>
      </c>
      <c r="F11698" s="18" t="str">
        <f>IFERROR(__XLUDF.DUMMYFUNCTION("PROPER(REGEXREPLACE(D1610,""[^A-Za-z]+ "",""""))"),"Vauban Gc")</f>
        <v xml:space="preserve">Vauban Gc</v>
      </c>
      <c r="G11698" s="18" t="s">
        <v>54455</v>
      </c>
      <c r="H11698" s="18">
        <v>22</v>
      </c>
      <c r="I11698" s="18" t="s">
        <v>9239</v>
      </c>
      <c r="J11698" s="5" t="s">
        <v>54456</v>
      </c>
      <c r="K11698" s="5" t="s">
        <v>54457</v>
      </c>
      <c r="L11698" s="18" t="s">
        <v>6954</v>
      </c>
      <c r="M11698" s="18" t="s">
        <v>29</v>
      </c>
      <c r="N11698" s="18" t="s">
        <v>54458</v>
      </c>
      <c r="O11698" s="18" t="s">
        <v>29</v>
      </c>
      <c r="P11698" s="18" t="s">
        <v>54459</v>
      </c>
      <c r="Q11698" s="6"/>
      <c r="R11698" s="6"/>
      <c r="S11698" s="6"/>
      <c r="T11698" s="6"/>
      <c r="U11698" s="6"/>
    </row>
    <row r="11699" ht="14.25">
      <c r="B11699" s="18" t="s">
        <v>6356</v>
      </c>
      <c r="C11699" s="18" t="s">
        <v>54460</v>
      </c>
      <c r="D11699" s="18" t="s">
        <v>112</v>
      </c>
      <c r="E11699" s="18" t="s">
        <v>54461</v>
      </c>
      <c r="F11699" s="18" t="str">
        <f>IFERROR(__XLUDF.DUMMYFUNCTION("PROPER(REGEXREPLACE(D1611,""[^A-Za-z]+ "",""""))"),"Archimed-Ge")</f>
        <v>Archimed-Ge</v>
      </c>
      <c r="G11699" s="18" t="s">
        <v>54462</v>
      </c>
      <c r="H11699" s="18">
        <v>9</v>
      </c>
      <c r="I11699" s="18" t="s">
        <v>9239</v>
      </c>
      <c r="J11699" s="5" t="s">
        <v>54463</v>
      </c>
      <c r="K11699" s="5" t="s">
        <v>54464</v>
      </c>
      <c r="L11699" s="18" t="s">
        <v>651</v>
      </c>
      <c r="M11699" s="18" t="s">
        <v>29</v>
      </c>
      <c r="N11699" s="18" t="s">
        <v>6216</v>
      </c>
      <c r="O11699" s="18" t="s">
        <v>29</v>
      </c>
      <c r="P11699" s="6"/>
      <c r="Q11699" s="6"/>
      <c r="R11699" s="6"/>
      <c r="S11699" s="6"/>
      <c r="T11699" s="6"/>
      <c r="U11699" s="6"/>
    </row>
    <row r="11700" ht="14.25">
      <c r="B11700" s="18" t="s">
        <v>330</v>
      </c>
      <c r="C11700" s="18" t="s">
        <v>54465</v>
      </c>
      <c r="D11700" s="18" t="s">
        <v>54466</v>
      </c>
      <c r="E11700" s="18" t="s">
        <v>54467</v>
      </c>
      <c r="F11700" s="18" t="str">
        <f>IFERROR(__XLUDF.DUMMYFUNCTION("PROPER(REGEXREPLACE(D1612,""[^A-Za-z]+ "",""""))"),"Imetis")</f>
        <v>Imetis</v>
      </c>
      <c r="G11700" s="18" t="s">
        <v>54468</v>
      </c>
      <c r="H11700" s="18">
        <v>3</v>
      </c>
      <c r="I11700" s="18" t="s">
        <v>4293</v>
      </c>
      <c r="J11700" s="5" t="s">
        <v>54469</v>
      </c>
      <c r="K11700" s="5" t="s">
        <v>54470</v>
      </c>
      <c r="L11700" s="18" t="s">
        <v>17537</v>
      </c>
      <c r="M11700" s="18" t="s">
        <v>29</v>
      </c>
      <c r="N11700" s="18" t="s">
        <v>54471</v>
      </c>
      <c r="O11700" s="18" t="s">
        <v>29</v>
      </c>
      <c r="P11700" s="18" t="s">
        <v>54472</v>
      </c>
      <c r="Q11700" s="6"/>
      <c r="R11700" s="6"/>
      <c r="S11700" s="6"/>
      <c r="T11700" s="6"/>
      <c r="U11700" s="6"/>
    </row>
    <row r="11701" ht="14.25">
      <c r="B11701" s="18" t="s">
        <v>31</v>
      </c>
      <c r="C11701" s="18" t="s">
        <v>54473</v>
      </c>
      <c r="D11701" s="18" t="s">
        <v>112</v>
      </c>
      <c r="E11701" s="18" t="s">
        <v>54474</v>
      </c>
      <c r="F11701" s="18" t="str">
        <f>IFERROR(__XLUDF.DUMMYFUNCTION("PROPER(REGEXREPLACE(D1613,""[^A-Za-z]+ "",""""))"),"Snr Entreprise")</f>
        <v xml:space="preserve">Snr Entreprise</v>
      </c>
      <c r="G11701" s="18" t="s">
        <v>54475</v>
      </c>
      <c r="H11701" s="18">
        <v>4</v>
      </c>
      <c r="I11701" s="18" t="s">
        <v>9239</v>
      </c>
      <c r="J11701" s="5" t="s">
        <v>54476</v>
      </c>
      <c r="K11701" s="5" t="s">
        <v>54477</v>
      </c>
      <c r="L11701" s="6"/>
      <c r="M11701" s="18" t="s">
        <v>29</v>
      </c>
      <c r="N11701" s="18" t="s">
        <v>54478</v>
      </c>
      <c r="O11701" s="18" t="s">
        <v>29</v>
      </c>
      <c r="P11701" s="18" t="s">
        <v>54479</v>
      </c>
      <c r="Q11701" s="6"/>
      <c r="R11701" s="6"/>
      <c r="S11701" s="6"/>
      <c r="T11701" s="6"/>
      <c r="U11701" s="6"/>
    </row>
    <row r="11702" ht="14.25">
      <c r="B11702" s="18" t="s">
        <v>322</v>
      </c>
      <c r="C11702" s="18" t="s">
        <v>48077</v>
      </c>
      <c r="D11702" s="18" t="s">
        <v>112</v>
      </c>
      <c r="E11702" s="18" t="s">
        <v>54480</v>
      </c>
      <c r="F11702" s="18" t="str">
        <f>IFERROR(__XLUDF.DUMMYFUNCTION("PROPER(REGEXREPLACE(D1614,""[^A-Za-z]+ "",""""))"),"Spp Pai")</f>
        <v xml:space="preserve">Spp Pai</v>
      </c>
      <c r="G11702" s="18" t="s">
        <v>54481</v>
      </c>
      <c r="H11702" s="18">
        <v>39</v>
      </c>
      <c r="I11702" s="18" t="s">
        <v>47738</v>
      </c>
      <c r="J11702" s="5" t="s">
        <v>54482</v>
      </c>
      <c r="K11702" s="5" t="s">
        <v>54483</v>
      </c>
      <c r="L11702" s="18" t="s">
        <v>2149</v>
      </c>
      <c r="M11702" s="18" t="s">
        <v>29</v>
      </c>
      <c r="N11702" s="18" t="s">
        <v>54484</v>
      </c>
      <c r="O11702" s="18" t="s">
        <v>29</v>
      </c>
      <c r="P11702" s="18" t="s">
        <v>54485</v>
      </c>
      <c r="Q11702" s="6"/>
      <c r="R11702" s="6"/>
      <c r="S11702" s="6"/>
      <c r="T11702" s="6"/>
      <c r="U11702" s="6"/>
    </row>
    <row r="11703" ht="14.25">
      <c r="B11703" s="18" t="s">
        <v>525</v>
      </c>
      <c r="C11703" s="18" t="s">
        <v>54486</v>
      </c>
      <c r="D11703" s="18" t="s">
        <v>112</v>
      </c>
      <c r="E11703" s="18" t="s">
        <v>53820</v>
      </c>
      <c r="F11703" s="18" t="str">
        <f>IFERROR(__XLUDF.DUMMYFUNCTION("PROPER(REGEXREPLACE(D1615,""[^A-Za-z]+ "",""""))"),"Ac2F Normandie")</f>
        <v xml:space="preserve">Ac2F Normandie</v>
      </c>
      <c r="G11703" s="18" t="s">
        <v>54487</v>
      </c>
      <c r="H11703" s="18">
        <v>30</v>
      </c>
      <c r="I11703" s="18" t="s">
        <v>9239</v>
      </c>
      <c r="J11703" s="5" t="s">
        <v>54488</v>
      </c>
      <c r="K11703" s="5" t="s">
        <v>53823</v>
      </c>
      <c r="L11703" s="18" t="s">
        <v>492</v>
      </c>
      <c r="M11703" s="18" t="s">
        <v>29</v>
      </c>
      <c r="N11703" s="18" t="s">
        <v>53824</v>
      </c>
      <c r="O11703" s="18" t="s">
        <v>29</v>
      </c>
      <c r="P11703" s="6"/>
      <c r="Q11703" s="6"/>
      <c r="R11703" s="6"/>
      <c r="S11703" s="6"/>
      <c r="T11703" s="6"/>
      <c r="U11703" s="6"/>
    </row>
    <row r="11704" ht="14.25">
      <c r="B11704" s="18" t="s">
        <v>18475</v>
      </c>
      <c r="C11704" s="18" t="s">
        <v>54489</v>
      </c>
      <c r="D11704" s="18" t="s">
        <v>112</v>
      </c>
      <c r="E11704" s="18" t="s">
        <v>54490</v>
      </c>
      <c r="F11704" s="18" t="str">
        <f>IFERROR(__XLUDF.DUMMYFUNCTION("PROPER(REGEXREPLACE(D1616,""[^A-Za-z]+ "",""""))"),"Bst-Batiment Sanitaire Thermique")</f>
        <v xml:space="preserve">Bst-Batiment Sanitaire Thermique</v>
      </c>
      <c r="G11704" s="18" t="s">
        <v>54491</v>
      </c>
      <c r="H11704" s="18">
        <v>25</v>
      </c>
      <c r="I11704" s="18" t="s">
        <v>9239</v>
      </c>
      <c r="J11704" s="5" t="s">
        <v>54492</v>
      </c>
      <c r="K11704" s="5" t="s">
        <v>54493</v>
      </c>
      <c r="L11704" s="18" t="s">
        <v>5329</v>
      </c>
      <c r="M11704" s="18" t="s">
        <v>29</v>
      </c>
      <c r="N11704" s="18" t="s">
        <v>54494</v>
      </c>
      <c r="O11704" s="18" t="s">
        <v>1261</v>
      </c>
      <c r="P11704" s="6"/>
      <c r="Q11704" s="6"/>
      <c r="R11704" s="6"/>
      <c r="S11704" s="6"/>
      <c r="T11704" s="6"/>
      <c r="U11704" s="6"/>
    </row>
    <row r="11705" ht="14.25">
      <c r="B11705" s="18" t="s">
        <v>1215</v>
      </c>
      <c r="C11705" s="18" t="s">
        <v>54495</v>
      </c>
      <c r="D11705" s="18" t="s">
        <v>172</v>
      </c>
      <c r="E11705" s="18" t="s">
        <v>54496</v>
      </c>
      <c r="F11705" s="18" t="str">
        <f>IFERROR(__XLUDF.DUMMYFUNCTION("PROPER(REGEXREPLACE(D1617,""[^A-Za-z]+ "",""""))"),"Bc Inoxeo")</f>
        <v xml:space="preserve">Bc Inoxeo</v>
      </c>
      <c r="G11705" s="18" t="s">
        <v>54497</v>
      </c>
      <c r="H11705" s="18">
        <v>21</v>
      </c>
      <c r="I11705" s="18" t="s">
        <v>9239</v>
      </c>
      <c r="J11705" s="5" t="s">
        <v>54498</v>
      </c>
      <c r="K11705" s="5" t="s">
        <v>54499</v>
      </c>
      <c r="L11705" s="18" t="s">
        <v>54500</v>
      </c>
      <c r="M11705" s="18" t="s">
        <v>29</v>
      </c>
      <c r="N11705" s="18" t="s">
        <v>54501</v>
      </c>
      <c r="O11705" s="18" t="s">
        <v>29</v>
      </c>
      <c r="P11705" s="18" t="s">
        <v>54502</v>
      </c>
      <c r="Q11705" s="6"/>
      <c r="R11705" s="6"/>
      <c r="S11705" s="6"/>
      <c r="T11705" s="6"/>
      <c r="U11705" s="6"/>
    </row>
    <row r="11706" ht="14.25">
      <c r="B11706" s="18" t="s">
        <v>661</v>
      </c>
      <c r="C11706" s="18" t="s">
        <v>76</v>
      </c>
      <c r="D11706" s="18" t="s">
        <v>172</v>
      </c>
      <c r="E11706" s="18" t="s">
        <v>54503</v>
      </c>
      <c r="F11706" s="18" t="str">
        <f>IFERROR(__XLUDF.DUMMYFUNCTION("PROPER(REGEXREPLACE(D1618,""[^A-Za-z]+ "",""""))"),"Amocer Group")</f>
        <v xml:space="preserve">Amocer Group</v>
      </c>
      <c r="G11706" s="18" t="s">
        <v>54504</v>
      </c>
      <c r="H11706" s="18">
        <v>28</v>
      </c>
      <c r="I11706" s="18" t="s">
        <v>9239</v>
      </c>
      <c r="J11706" s="5" t="s">
        <v>54505</v>
      </c>
      <c r="K11706" s="5" t="s">
        <v>54506</v>
      </c>
      <c r="L11706" s="18" t="s">
        <v>1745</v>
      </c>
      <c r="M11706" s="18" t="s">
        <v>29</v>
      </c>
      <c r="N11706" s="18" t="s">
        <v>54507</v>
      </c>
      <c r="O11706" s="18" t="s">
        <v>29</v>
      </c>
      <c r="P11706" s="18" t="s">
        <v>54508</v>
      </c>
      <c r="Q11706" s="6"/>
      <c r="R11706" s="6"/>
      <c r="S11706" s="6"/>
      <c r="T11706" s="6"/>
      <c r="U11706" s="6"/>
    </row>
    <row r="11707" ht="14.25">
      <c r="B11707" s="18" t="s">
        <v>630</v>
      </c>
      <c r="C11707" s="18" t="s">
        <v>54509</v>
      </c>
      <c r="D11707" s="18" t="s">
        <v>487</v>
      </c>
      <c r="E11707" s="18" t="s">
        <v>54510</v>
      </c>
      <c r="F11707" s="18" t="str">
        <f>IFERROR(__XLUDF.DUMMYFUNCTION("PROPER(REGEXREPLACE(D1619,""[^A-Za-z]+ "",""""))"),"Ingenierie Construction Structures")</f>
        <v xml:space="preserve">Ingenierie Construction Structures</v>
      </c>
      <c r="G11707" s="18" t="s">
        <v>54511</v>
      </c>
      <c r="H11707" s="18">
        <v>15</v>
      </c>
      <c r="I11707" s="18" t="s">
        <v>9239</v>
      </c>
      <c r="J11707" s="5" t="s">
        <v>54512</v>
      </c>
      <c r="K11707" s="5" t="s">
        <v>54513</v>
      </c>
      <c r="L11707" s="18" t="s">
        <v>14969</v>
      </c>
      <c r="M11707" s="18" t="s">
        <v>29</v>
      </c>
      <c r="N11707" s="18" t="s">
        <v>54514</v>
      </c>
      <c r="O11707" s="18" t="s">
        <v>29</v>
      </c>
      <c r="P11707" s="18" t="s">
        <v>51142</v>
      </c>
      <c r="Q11707" s="6"/>
      <c r="R11707" s="6"/>
      <c r="S11707" s="6"/>
      <c r="T11707" s="6"/>
      <c r="U11707" s="6"/>
    </row>
    <row r="11708" ht="14.25">
      <c r="B11708" s="18" t="s">
        <v>4048</v>
      </c>
      <c r="C11708" s="18" t="s">
        <v>54515</v>
      </c>
      <c r="D11708" s="18" t="s">
        <v>54516</v>
      </c>
      <c r="E11708" s="18" t="s">
        <v>54517</v>
      </c>
      <c r="F11708" s="18" t="str">
        <f>IFERROR(__XLUDF.DUMMYFUNCTION("PROPER(REGEXREPLACE(D1620,""[^A-Za-z]+ "",""""))"),"Asc Robine")</f>
        <v xml:space="preserve">Asc Robine</v>
      </c>
      <c r="G11708" s="18" t="s">
        <v>54518</v>
      </c>
      <c r="H11708" s="6"/>
      <c r="I11708" s="6"/>
      <c r="J11708" s="5" t="s">
        <v>54519</v>
      </c>
      <c r="K11708" s="5" t="s">
        <v>54520</v>
      </c>
      <c r="L11708" s="18" t="s">
        <v>54521</v>
      </c>
      <c r="M11708" s="18" t="s">
        <v>29</v>
      </c>
      <c r="N11708" s="18" t="s">
        <v>54522</v>
      </c>
      <c r="O11708" s="18" t="s">
        <v>29</v>
      </c>
      <c r="P11708" s="6"/>
      <c r="Q11708" s="6"/>
      <c r="R11708" s="6"/>
      <c r="S11708" s="6"/>
      <c r="T11708" s="6"/>
      <c r="U11708" s="6"/>
    </row>
    <row r="11709" ht="14.25">
      <c r="B11709" s="18" t="s">
        <v>54523</v>
      </c>
      <c r="C11709" s="18" t="s">
        <v>54524</v>
      </c>
      <c r="D11709" s="18" t="s">
        <v>2911</v>
      </c>
      <c r="E11709" s="18" t="s">
        <v>54525</v>
      </c>
      <c r="F11709" s="18" t="str">
        <f>IFERROR(__XLUDF.DUMMYFUNCTION("PROPER(REGEXREPLACE(D1621,""[^A-Za-z]+ "",""""))"),"Sopump")</f>
        <v>Sopump</v>
      </c>
      <c r="G11709" s="18" t="s">
        <v>54526</v>
      </c>
      <c r="H11709" s="18">
        <v>4</v>
      </c>
      <c r="I11709" s="18" t="s">
        <v>47738</v>
      </c>
      <c r="J11709" s="5" t="s">
        <v>54527</v>
      </c>
      <c r="K11709" s="5" t="s">
        <v>54528</v>
      </c>
      <c r="L11709" s="18" t="s">
        <v>482</v>
      </c>
      <c r="M11709" s="18" t="s">
        <v>29</v>
      </c>
      <c r="N11709" s="18" t="s">
        <v>22691</v>
      </c>
      <c r="O11709" s="18" t="s">
        <v>29</v>
      </c>
      <c r="P11709" s="18" t="s">
        <v>54529</v>
      </c>
      <c r="Q11709" s="6"/>
      <c r="R11709" s="6"/>
      <c r="S11709" s="6"/>
      <c r="T11709" s="6"/>
      <c r="U11709" s="6"/>
    </row>
    <row r="11710" ht="14.25">
      <c r="B11710" s="18" t="s">
        <v>670</v>
      </c>
      <c r="C11710" s="18" t="s">
        <v>15353</v>
      </c>
      <c r="D11710" s="18" t="s">
        <v>172</v>
      </c>
      <c r="E11710" s="18" t="s">
        <v>54530</v>
      </c>
      <c r="F11710" s="18" t="str">
        <f>IFERROR(__XLUDF.DUMMYFUNCTION("PROPER(REGEXREPLACE(D1622,""[^A-Za-z]+ "",""""))"),"Agdi")</f>
        <v>Agdi</v>
      </c>
      <c r="G11710" s="18" t="s">
        <v>54531</v>
      </c>
      <c r="H11710" s="18">
        <v>3</v>
      </c>
      <c r="I11710" s="18" t="s">
        <v>9239</v>
      </c>
      <c r="J11710" s="5" t="s">
        <v>54532</v>
      </c>
      <c r="K11710" s="5" t="s">
        <v>54533</v>
      </c>
      <c r="L11710" s="18" t="s">
        <v>54534</v>
      </c>
      <c r="M11710" s="18" t="s">
        <v>29</v>
      </c>
      <c r="N11710" s="18" t="s">
        <v>54535</v>
      </c>
      <c r="O11710" s="18" t="s">
        <v>29</v>
      </c>
      <c r="P11710" s="6"/>
      <c r="Q11710" s="6"/>
      <c r="R11710" s="6"/>
      <c r="S11710" s="6"/>
      <c r="T11710" s="6"/>
      <c r="U11710" s="6"/>
    </row>
    <row r="11711" ht="14.25">
      <c r="B11711" s="18" t="s">
        <v>963</v>
      </c>
      <c r="C11711" s="18" t="s">
        <v>54536</v>
      </c>
      <c r="D11711" s="18" t="s">
        <v>172</v>
      </c>
      <c r="E11711" s="18" t="s">
        <v>54537</v>
      </c>
      <c r="F11711" s="18" t="str">
        <f>IFERROR(__XLUDF.DUMMYFUNCTION("PROPER(REGEXREPLACE(D1623,""[^A-Za-z]+ "",""""))"),"Entreprise De Constructions Hirschner")</f>
        <v xml:space="preserve">Entreprise De Constructions Hirschner</v>
      </c>
      <c r="G11711" s="18" t="s">
        <v>54538</v>
      </c>
      <c r="H11711" s="6"/>
      <c r="I11711" s="6"/>
      <c r="J11711" s="5" t="s">
        <v>54539</v>
      </c>
      <c r="K11711" s="5" t="s">
        <v>54540</v>
      </c>
      <c r="L11711" s="18" t="s">
        <v>651</v>
      </c>
      <c r="M11711" s="18" t="s">
        <v>29</v>
      </c>
      <c r="N11711" s="18" t="s">
        <v>54541</v>
      </c>
      <c r="O11711" s="18" t="s">
        <v>29</v>
      </c>
      <c r="P11711" s="6"/>
      <c r="Q11711" s="6"/>
      <c r="R11711" s="6"/>
      <c r="S11711" s="6"/>
      <c r="T11711" s="6"/>
      <c r="U11711" s="6"/>
    </row>
    <row r="11712" ht="14.25">
      <c r="B11712" s="18" t="s">
        <v>54542</v>
      </c>
      <c r="C11712" s="18" t="s">
        <v>54543</v>
      </c>
      <c r="D11712" s="18" t="s">
        <v>54544</v>
      </c>
      <c r="E11712" s="18" t="s">
        <v>54545</v>
      </c>
      <c r="F11712" s="18" t="str">
        <f>IFERROR(__XLUDF.DUMMYFUNCTION("PROPER(REGEXREPLACE(D1624,""[^A-Za-z]+ "",""""))"),"Sos B.E.T")</f>
        <v xml:space="preserve">Sos B.E.T</v>
      </c>
      <c r="G11712" s="18" t="s">
        <v>54546</v>
      </c>
      <c r="H11712" s="18">
        <v>13</v>
      </c>
      <c r="I11712" s="18" t="s">
        <v>9239</v>
      </c>
      <c r="J11712" s="5" t="s">
        <v>54547</v>
      </c>
      <c r="K11712" s="5" t="s">
        <v>54548</v>
      </c>
      <c r="L11712" s="18" t="s">
        <v>295</v>
      </c>
      <c r="M11712" s="18" t="s">
        <v>29</v>
      </c>
      <c r="N11712" s="18" t="s">
        <v>54549</v>
      </c>
      <c r="O11712" s="18" t="s">
        <v>29</v>
      </c>
      <c r="P11712" s="6"/>
      <c r="Q11712" s="6"/>
      <c r="R11712" s="6"/>
      <c r="S11712" s="6"/>
      <c r="T11712" s="6"/>
      <c r="U11712" s="6"/>
    </row>
    <row r="11713" ht="14.25">
      <c r="B11713" s="18" t="s">
        <v>1596</v>
      </c>
      <c r="C11713" s="18" t="s">
        <v>54550</v>
      </c>
      <c r="D11713" s="18" t="s">
        <v>1130</v>
      </c>
      <c r="E11713" s="18" t="s">
        <v>54551</v>
      </c>
      <c r="F11713" s="18" t="str">
        <f>IFERROR(__XLUDF.DUMMYFUNCTION("PROPER(REGEXREPLACE(D1625,""[^A-Za-z]+ "",""""))"),"Santrac")</f>
        <v>Santrac</v>
      </c>
      <c r="G11713" s="18" t="s">
        <v>54552</v>
      </c>
      <c r="H11713" s="18">
        <v>28</v>
      </c>
      <c r="I11713" s="18" t="s">
        <v>9239</v>
      </c>
      <c r="J11713" s="5" t="s">
        <v>54553</v>
      </c>
      <c r="K11713" s="5" t="s">
        <v>54554</v>
      </c>
      <c r="L11713" s="18" t="s">
        <v>1312</v>
      </c>
      <c r="M11713" s="18" t="s">
        <v>29</v>
      </c>
      <c r="N11713" s="18" t="s">
        <v>54555</v>
      </c>
      <c r="O11713" s="18" t="s">
        <v>29</v>
      </c>
      <c r="P11713" s="18" t="s">
        <v>54556</v>
      </c>
      <c r="Q11713" s="6"/>
      <c r="R11713" s="6"/>
      <c r="S11713" s="6"/>
      <c r="T11713" s="6"/>
      <c r="U11713" s="6"/>
    </row>
    <row r="11714" ht="14.25">
      <c r="B11714" s="18" t="s">
        <v>622</v>
      </c>
      <c r="C11714" s="18" t="s">
        <v>54557</v>
      </c>
      <c r="D11714" s="18" t="s">
        <v>54558</v>
      </c>
      <c r="E11714" s="18" t="s">
        <v>54559</v>
      </c>
      <c r="F11714" s="18" t="str">
        <f>IFERROR(__XLUDF.DUMMYFUNCTION("PROPER(REGEXREPLACE(D1626,""[^A-Za-z]+ "",""""))"),"Maisons Atrium")</f>
        <v xml:space="preserve">Maisons Atrium</v>
      </c>
      <c r="G11714" s="18" t="s">
        <v>54560</v>
      </c>
      <c r="H11714" s="18">
        <v>6</v>
      </c>
      <c r="I11714" s="18" t="s">
        <v>9239</v>
      </c>
      <c r="J11714" s="5" t="s">
        <v>54561</v>
      </c>
      <c r="K11714" s="5" t="s">
        <v>54562</v>
      </c>
      <c r="L11714" s="18" t="s">
        <v>15332</v>
      </c>
      <c r="M11714" s="18" t="s">
        <v>29</v>
      </c>
      <c r="N11714" s="18" t="s">
        <v>54563</v>
      </c>
      <c r="O11714" s="18" t="s">
        <v>29</v>
      </c>
      <c r="P11714" s="18" t="s">
        <v>54564</v>
      </c>
      <c r="Q11714" s="6"/>
      <c r="R11714" s="6"/>
      <c r="S11714" s="6"/>
      <c r="T11714" s="6"/>
      <c r="U11714" s="6"/>
    </row>
    <row r="11715" ht="14.25">
      <c r="B11715" s="18" t="s">
        <v>53017</v>
      </c>
      <c r="C11715" s="18" t="s">
        <v>6037</v>
      </c>
      <c r="D11715" s="18" t="s">
        <v>54565</v>
      </c>
      <c r="E11715" s="18" t="s">
        <v>54566</v>
      </c>
      <c r="F11715" s="18" t="str">
        <f>IFERROR(__XLUDF.DUMMYFUNCTION("PROPER(REGEXREPLACE(D1627,""[^A-Za-z]+ "",""""))"),"High Six")</f>
        <v xml:space="preserve">High Six</v>
      </c>
      <c r="G11715" s="18" t="s">
        <v>54567</v>
      </c>
      <c r="H11715" s="18">
        <v>4</v>
      </c>
      <c r="I11715" s="18" t="s">
        <v>9239</v>
      </c>
      <c r="J11715" s="5" t="s">
        <v>54568</v>
      </c>
      <c r="K11715" s="5" t="s">
        <v>54569</v>
      </c>
      <c r="L11715" s="6"/>
      <c r="M11715" s="18" t="s">
        <v>29</v>
      </c>
      <c r="N11715" s="18" t="s">
        <v>929</v>
      </c>
      <c r="O11715" s="18" t="s">
        <v>29</v>
      </c>
      <c r="P11715" s="18" t="s">
        <v>54570</v>
      </c>
      <c r="Q11715" s="6"/>
      <c r="R11715" s="6"/>
      <c r="S11715" s="6"/>
      <c r="T11715" s="6"/>
      <c r="U11715" s="6"/>
    </row>
    <row r="11716" ht="14.25">
      <c r="B11716" s="18" t="s">
        <v>1190</v>
      </c>
      <c r="C11716" s="18" t="s">
        <v>54571</v>
      </c>
      <c r="D11716" s="18" t="s">
        <v>172</v>
      </c>
      <c r="E11716" s="18" t="s">
        <v>54572</v>
      </c>
      <c r="F11716" s="18" t="str">
        <f>IFERROR(__XLUDF.DUMMYFUNCTION("PROPER(REGEXREPLACE(D1628,""[^A-Za-z]+ "",""""))"),"Eurisol")</f>
        <v>Eurisol</v>
      </c>
      <c r="G11716" s="18" t="s">
        <v>54573</v>
      </c>
      <c r="H11716" s="18">
        <v>6</v>
      </c>
      <c r="I11716" s="18" t="s">
        <v>47738</v>
      </c>
      <c r="J11716" s="5" t="s">
        <v>54574</v>
      </c>
      <c r="K11716" s="5" t="s">
        <v>54575</v>
      </c>
      <c r="L11716" s="6"/>
      <c r="M11716" s="18" t="s">
        <v>29</v>
      </c>
      <c r="N11716" s="18" t="s">
        <v>54576</v>
      </c>
      <c r="O11716" s="18" t="s">
        <v>29</v>
      </c>
      <c r="P11716" s="6"/>
      <c r="Q11716" s="6"/>
      <c r="R11716" s="6"/>
      <c r="S11716" s="6"/>
      <c r="T11716" s="6"/>
      <c r="U11716" s="6"/>
    </row>
    <row r="11717" ht="14.25">
      <c r="B11717" s="18" t="s">
        <v>110</v>
      </c>
      <c r="C11717" s="18" t="s">
        <v>54577</v>
      </c>
      <c r="D11717" s="18" t="s">
        <v>54578</v>
      </c>
      <c r="E11717" s="18" t="s">
        <v>54579</v>
      </c>
      <c r="F11717" s="18" t="str">
        <f>IFERROR(__XLUDF.DUMMYFUNCTION("PROPER(REGEXREPLACE(D1629,""[^A-Za-z]+ "",""""))"),"Ravier Plombier Depuis 1958")</f>
        <v xml:space="preserve">Ravier Plombier Depuis 1958</v>
      </c>
      <c r="G11717" s="18" t="s">
        <v>54580</v>
      </c>
      <c r="H11717" s="18">
        <v>38</v>
      </c>
      <c r="I11717" s="18" t="s">
        <v>9239</v>
      </c>
      <c r="J11717" s="5" t="s">
        <v>54581</v>
      </c>
      <c r="K11717" s="5" t="s">
        <v>54582</v>
      </c>
      <c r="L11717" s="18" t="s">
        <v>39</v>
      </c>
      <c r="M11717" s="18" t="s">
        <v>29</v>
      </c>
      <c r="N11717" s="18" t="s">
        <v>18439</v>
      </c>
      <c r="O11717" s="18" t="s">
        <v>29</v>
      </c>
      <c r="P11717" s="6"/>
      <c r="Q11717" s="6"/>
      <c r="R11717" s="6"/>
      <c r="S11717" s="6"/>
      <c r="T11717" s="6"/>
      <c r="U11717" s="6"/>
    </row>
    <row r="11718" ht="14.25">
      <c r="B11718" s="18" t="s">
        <v>76</v>
      </c>
      <c r="C11718" s="18" t="s">
        <v>31983</v>
      </c>
      <c r="D11718" s="18" t="s">
        <v>172</v>
      </c>
      <c r="E11718" s="18" t="s">
        <v>54583</v>
      </c>
      <c r="F11718" s="18" t="str">
        <f>IFERROR(__XLUDF.DUMMYFUNCTION("PROPER(REGEXREPLACE(D1630,""[^A-Za-z]+ "",""""))"),"Groupe Pagès")</f>
        <v xml:space="preserve">Groupe Pagès</v>
      </c>
      <c r="G11718" s="18" t="s">
        <v>54584</v>
      </c>
      <c r="H11718" s="18">
        <v>37</v>
      </c>
      <c r="I11718" s="18" t="s">
        <v>9239</v>
      </c>
      <c r="J11718" s="5" t="s">
        <v>54585</v>
      </c>
      <c r="K11718" s="5" t="s">
        <v>54586</v>
      </c>
      <c r="L11718" s="18" t="s">
        <v>482</v>
      </c>
      <c r="M11718" s="18" t="s">
        <v>29</v>
      </c>
      <c r="N11718" s="18" t="s">
        <v>54587</v>
      </c>
      <c r="O11718" s="18" t="s">
        <v>29</v>
      </c>
      <c r="P11718" s="18" t="s">
        <v>54588</v>
      </c>
      <c r="Q11718" s="6"/>
      <c r="R11718" s="6"/>
      <c r="S11718" s="6"/>
      <c r="T11718" s="6"/>
      <c r="U11718" s="6"/>
    </row>
    <row r="11719" ht="14.25">
      <c r="B11719" s="18" t="s">
        <v>1592</v>
      </c>
      <c r="C11719" s="18" t="s">
        <v>3030</v>
      </c>
      <c r="D11719" s="18" t="s">
        <v>172</v>
      </c>
      <c r="E11719" s="18" t="s">
        <v>54589</v>
      </c>
      <c r="F11719" s="18" t="str">
        <f>IFERROR(__XLUDF.DUMMYFUNCTION("PROPER(REGEXREPLACE(D1631,""[^A-Za-z]+ "",""""))"),"Pons Menuiseries")</f>
        <v xml:space="preserve">Pons Menuiseries</v>
      </c>
      <c r="G11719" s="18" t="s">
        <v>54590</v>
      </c>
      <c r="H11719" s="18">
        <v>10</v>
      </c>
      <c r="I11719" s="18" t="s">
        <v>9239</v>
      </c>
      <c r="J11719" s="5" t="s">
        <v>54591</v>
      </c>
      <c r="K11719" s="5" t="s">
        <v>54592</v>
      </c>
      <c r="L11719" s="18" t="s">
        <v>54593</v>
      </c>
      <c r="M11719" s="18" t="s">
        <v>29</v>
      </c>
      <c r="N11719" s="18" t="s">
        <v>54594</v>
      </c>
      <c r="O11719" s="18" t="s">
        <v>29</v>
      </c>
      <c r="P11719" s="6"/>
      <c r="Q11719" s="6"/>
      <c r="R11719" s="6"/>
      <c r="S11719" s="6"/>
      <c r="T11719" s="6"/>
      <c r="U11719" s="6"/>
    </row>
    <row r="11720" ht="14.25">
      <c r="B11720" s="18" t="s">
        <v>1153</v>
      </c>
      <c r="C11720" s="18" t="s">
        <v>52450</v>
      </c>
      <c r="D11720" s="18" t="s">
        <v>1950</v>
      </c>
      <c r="E11720" s="18" t="s">
        <v>54595</v>
      </c>
      <c r="F11720" s="18" t="str">
        <f>IFERROR(__XLUDF.DUMMYFUNCTION("PROPER(REGEXREPLACE(D1632,""[^A-Za-z]+ "",""""))"),"Sola Tp")</f>
        <v xml:space="preserve">Sola Tp</v>
      </c>
      <c r="G11720" s="18" t="s">
        <v>54596</v>
      </c>
      <c r="H11720" s="18">
        <v>4</v>
      </c>
      <c r="I11720" s="18" t="s">
        <v>9239</v>
      </c>
      <c r="J11720" s="5" t="s">
        <v>54597</v>
      </c>
      <c r="K11720" s="5" t="s">
        <v>54598</v>
      </c>
      <c r="L11720" s="18" t="s">
        <v>54599</v>
      </c>
      <c r="M11720" s="18" t="s">
        <v>29</v>
      </c>
      <c r="N11720" s="18" t="s">
        <v>53537</v>
      </c>
      <c r="O11720" s="18" t="s">
        <v>29</v>
      </c>
      <c r="P11720" s="18" t="s">
        <v>54600</v>
      </c>
      <c r="Q11720" s="6"/>
      <c r="R11720" s="6"/>
      <c r="S11720" s="6"/>
      <c r="T11720" s="6"/>
      <c r="U11720" s="6"/>
    </row>
    <row r="11721" ht="14.25">
      <c r="B11721" s="18" t="s">
        <v>5801</v>
      </c>
      <c r="C11721" s="18" t="s">
        <v>3753</v>
      </c>
      <c r="D11721" s="18" t="s">
        <v>103</v>
      </c>
      <c r="E11721" s="18" t="s">
        <v>54169</v>
      </c>
      <c r="F11721" s="18" t="str">
        <f>IFERROR(__XLUDF.DUMMYFUNCTION("PROPER(REGEXREPLACE(D1633,""[^A-Za-z]+ "",""""))"),"Groupe Tpf")</f>
        <v xml:space="preserve">Groupe Tpf</v>
      </c>
      <c r="G11721" s="18" t="s">
        <v>54601</v>
      </c>
      <c r="H11721" s="18">
        <v>17</v>
      </c>
      <c r="I11721" s="18" t="s">
        <v>9239</v>
      </c>
      <c r="J11721" s="5" t="s">
        <v>54602</v>
      </c>
      <c r="K11721" s="5" t="s">
        <v>54172</v>
      </c>
      <c r="L11721" s="18" t="s">
        <v>45636</v>
      </c>
      <c r="M11721" s="18" t="s">
        <v>29</v>
      </c>
      <c r="N11721" s="18" t="s">
        <v>46557</v>
      </c>
      <c r="O11721" s="18" t="s">
        <v>29</v>
      </c>
      <c r="P11721" s="18" t="s">
        <v>54173</v>
      </c>
      <c r="Q11721" s="6"/>
      <c r="R11721" s="6"/>
      <c r="S11721" s="6"/>
      <c r="T11721" s="6"/>
      <c r="U11721" s="6"/>
    </row>
    <row r="11722" ht="14.25">
      <c r="B11722" s="18" t="s">
        <v>54603</v>
      </c>
      <c r="C11722" s="18" t="s">
        <v>54305</v>
      </c>
      <c r="D11722" s="18" t="s">
        <v>54604</v>
      </c>
      <c r="E11722" s="18" t="s">
        <v>54307</v>
      </c>
      <c r="F11722" s="18" t="str">
        <f>IFERROR(__XLUDF.DUMMYFUNCTION("PROPER(REGEXREPLACE(D1634,""[^A-Za-z]+ "",""""))"),"Home Concept")</f>
        <v xml:space="preserve">Home Concept</v>
      </c>
      <c r="G11722" s="18" t="s">
        <v>54605</v>
      </c>
      <c r="H11722" s="18">
        <v>12</v>
      </c>
      <c r="I11722" s="18" t="s">
        <v>9239</v>
      </c>
      <c r="J11722" s="5" t="s">
        <v>54606</v>
      </c>
      <c r="K11722" s="5" t="s">
        <v>54310</v>
      </c>
      <c r="L11722" s="18" t="s">
        <v>1962</v>
      </c>
      <c r="M11722" s="18" t="s">
        <v>29</v>
      </c>
      <c r="N11722" s="18" t="s">
        <v>54311</v>
      </c>
      <c r="O11722" s="18" t="s">
        <v>29</v>
      </c>
      <c r="P11722" s="18" t="s">
        <v>54312</v>
      </c>
      <c r="Q11722" s="6"/>
      <c r="R11722" s="6"/>
      <c r="S11722" s="6"/>
      <c r="T11722" s="6"/>
      <c r="U11722" s="6"/>
    </row>
    <row r="11723" ht="14.25">
      <c r="B11723" s="18" t="s">
        <v>3142</v>
      </c>
      <c r="C11723" s="18" t="s">
        <v>54607</v>
      </c>
      <c r="D11723" s="18" t="s">
        <v>3265</v>
      </c>
      <c r="E11723" s="18" t="s">
        <v>54608</v>
      </c>
      <c r="F11723" s="18" t="str">
        <f>IFERROR(__XLUDF.DUMMYFUNCTION("PROPER(REGEXREPLACE(D1635,""[^A-Za-z]+ "",""""))"),"Réavie")</f>
        <v>Réavie</v>
      </c>
      <c r="G11723" s="18" t="s">
        <v>54609</v>
      </c>
      <c r="H11723" s="18">
        <v>6</v>
      </c>
      <c r="I11723" s="18" t="s">
        <v>9239</v>
      </c>
      <c r="J11723" s="5" t="s">
        <v>54610</v>
      </c>
      <c r="K11723" s="5" t="s">
        <v>54611</v>
      </c>
      <c r="L11723" s="18" t="s">
        <v>39</v>
      </c>
      <c r="M11723" s="18" t="s">
        <v>29</v>
      </c>
      <c r="N11723" s="18" t="s">
        <v>52361</v>
      </c>
      <c r="O11723" s="18" t="s">
        <v>29</v>
      </c>
      <c r="P11723" s="6"/>
      <c r="Q11723" s="6"/>
      <c r="R11723" s="6"/>
      <c r="S11723" s="6"/>
      <c r="T11723" s="6"/>
      <c r="U11723" s="6"/>
    </row>
    <row r="11724" ht="14.25">
      <c r="B11724" s="18" t="s">
        <v>222</v>
      </c>
      <c r="C11724" s="18" t="s">
        <v>4636</v>
      </c>
      <c r="D11724" s="18" t="s">
        <v>54612</v>
      </c>
      <c r="E11724" s="18" t="s">
        <v>54613</v>
      </c>
      <c r="F11724" s="18" t="str">
        <f>IFERROR(__XLUDF.DUMMYFUNCTION("PROPER(REGEXREPLACE(D1636,""[^A-Za-z]+ "",""""))"),"Clairon")</f>
        <v>Clairon</v>
      </c>
      <c r="G11724" s="18" t="s">
        <v>54614</v>
      </c>
      <c r="H11724" s="18">
        <v>5</v>
      </c>
      <c r="I11724" s="18" t="s">
        <v>9239</v>
      </c>
      <c r="J11724" s="5" t="s">
        <v>54615</v>
      </c>
      <c r="K11724" s="5" t="s">
        <v>54616</v>
      </c>
      <c r="L11724" s="18" t="s">
        <v>39</v>
      </c>
      <c r="M11724" s="18" t="s">
        <v>29</v>
      </c>
      <c r="N11724" s="18" t="s">
        <v>54617</v>
      </c>
      <c r="O11724" s="18" t="s">
        <v>1261</v>
      </c>
      <c r="P11724" s="18" t="s">
        <v>54618</v>
      </c>
      <c r="Q11724" s="6"/>
      <c r="R11724" s="6"/>
      <c r="S11724" s="6"/>
      <c r="T11724" s="6"/>
      <c r="U11724" s="6"/>
    </row>
    <row r="11725" ht="14.25">
      <c r="B11725" s="18" t="s">
        <v>734</v>
      </c>
      <c r="C11725" s="18" t="s">
        <v>54619</v>
      </c>
      <c r="D11725" s="18" t="s">
        <v>112</v>
      </c>
      <c r="E11725" s="18" t="s">
        <v>54620</v>
      </c>
      <c r="F11725" s="18" t="str">
        <f>IFERROR(__XLUDF.DUMMYFUNCTION("PROPER(REGEXREPLACE(D1637,""[^A-Za-z]+ "",""""))"),"Groupe Lobligeois")</f>
        <v xml:space="preserve">Groupe Lobligeois</v>
      </c>
      <c r="G11725" s="18" t="s">
        <v>54621</v>
      </c>
      <c r="H11725" s="18">
        <v>22</v>
      </c>
      <c r="I11725" s="18" t="s">
        <v>9239</v>
      </c>
      <c r="J11725" s="5" t="s">
        <v>54622</v>
      </c>
      <c r="K11725" s="5" t="s">
        <v>54623</v>
      </c>
      <c r="L11725" s="18" t="s">
        <v>439</v>
      </c>
      <c r="M11725" s="18" t="s">
        <v>29</v>
      </c>
      <c r="N11725" s="18" t="s">
        <v>54624</v>
      </c>
      <c r="O11725" s="18" t="s">
        <v>29</v>
      </c>
      <c r="P11725" s="18" t="s">
        <v>54625</v>
      </c>
      <c r="Q11725" s="6"/>
      <c r="R11725" s="6"/>
      <c r="S11725" s="6"/>
      <c r="T11725" s="6"/>
      <c r="U11725" s="6"/>
    </row>
    <row r="11726" ht="14.25">
      <c r="B11726" s="18" t="s">
        <v>510</v>
      </c>
      <c r="C11726" s="18" t="s">
        <v>45612</v>
      </c>
      <c r="D11726" s="18" t="s">
        <v>112</v>
      </c>
      <c r="E11726" s="18" t="s">
        <v>44892</v>
      </c>
      <c r="F11726" s="18" t="str">
        <f>IFERROR(__XLUDF.DUMMYFUNCTION("PROPER(REGEXREPLACE(D1638,""[^A-Za-z]+ "",""""))"),"Debevre Ventilation")</f>
        <v xml:space="preserve">Debevre Ventilation</v>
      </c>
      <c r="G11726" s="18" t="s">
        <v>54626</v>
      </c>
      <c r="H11726" s="18">
        <v>29</v>
      </c>
      <c r="I11726" s="18" t="s">
        <v>9239</v>
      </c>
      <c r="J11726" s="5" t="s">
        <v>54627</v>
      </c>
      <c r="K11726" s="5" t="s">
        <v>44895</v>
      </c>
      <c r="L11726" s="18" t="s">
        <v>846</v>
      </c>
      <c r="M11726" s="18" t="s">
        <v>29</v>
      </c>
      <c r="N11726" s="18" t="s">
        <v>44897</v>
      </c>
      <c r="O11726" s="18" t="s">
        <v>29</v>
      </c>
      <c r="P11726" s="18" t="s">
        <v>44898</v>
      </c>
      <c r="Q11726" s="6"/>
      <c r="R11726" s="6"/>
      <c r="S11726" s="6"/>
      <c r="T11726" s="6"/>
      <c r="U11726" s="6"/>
    </row>
    <row r="11727" ht="14.25">
      <c r="B11727" s="18" t="s">
        <v>2419</v>
      </c>
      <c r="C11727" s="18" t="s">
        <v>279</v>
      </c>
      <c r="D11727" s="18" t="s">
        <v>112</v>
      </c>
      <c r="E11727" s="18" t="s">
        <v>54628</v>
      </c>
      <c r="F11727" s="18" t="str">
        <f>IFERROR(__XLUDF.DUMMYFUNCTION("PROPER(REGEXREPLACE(D1639,""[^A-Za-z]+ "",""""))"),"Spacing")</f>
        <v>Spacing</v>
      </c>
      <c r="G11727" s="18" t="s">
        <v>54629</v>
      </c>
      <c r="H11727" s="18">
        <v>34</v>
      </c>
      <c r="I11727" s="18" t="s">
        <v>9239</v>
      </c>
      <c r="J11727" s="5" t="s">
        <v>54630</v>
      </c>
      <c r="K11727" s="5" t="s">
        <v>54631</v>
      </c>
      <c r="L11727" s="18" t="s">
        <v>846</v>
      </c>
      <c r="M11727" s="18" t="s">
        <v>29</v>
      </c>
      <c r="N11727" s="18" t="s">
        <v>54632</v>
      </c>
      <c r="O11727" s="18" t="s">
        <v>29</v>
      </c>
      <c r="P11727" s="18" t="s">
        <v>54633</v>
      </c>
      <c r="Q11727" s="6"/>
      <c r="R11727" s="6"/>
      <c r="S11727" s="6"/>
      <c r="T11727" s="6"/>
      <c r="U11727" s="6"/>
    </row>
    <row r="11728" ht="14.25">
      <c r="B11728" s="18" t="s">
        <v>963</v>
      </c>
      <c r="C11728" s="18" t="s">
        <v>54634</v>
      </c>
      <c r="D11728" s="18" t="s">
        <v>172</v>
      </c>
      <c r="E11728" s="18" t="s">
        <v>54635</v>
      </c>
      <c r="F11728" s="18" t="str">
        <f>IFERROR(__XLUDF.DUMMYFUNCTION("PROPER(REGEXREPLACE(D1640,""[^A-Za-z]+ "",""""))"),"Sitm")</f>
        <v>Sitm</v>
      </c>
      <c r="G11728" s="18" t="s">
        <v>54636</v>
      </c>
      <c r="H11728" s="18">
        <v>38</v>
      </c>
      <c r="I11728" s="18" t="s">
        <v>9239</v>
      </c>
      <c r="J11728" s="5" t="s">
        <v>54637</v>
      </c>
      <c r="K11728" s="5" t="s">
        <v>54638</v>
      </c>
      <c r="L11728" s="18" t="s">
        <v>39</v>
      </c>
      <c r="M11728" s="18" t="s">
        <v>29</v>
      </c>
      <c r="N11728" s="18" t="s">
        <v>54639</v>
      </c>
      <c r="O11728" s="18" t="s">
        <v>29</v>
      </c>
      <c r="P11728" s="18" t="s">
        <v>54640</v>
      </c>
      <c r="Q11728" s="6"/>
      <c r="R11728" s="6"/>
      <c r="S11728" s="6"/>
      <c r="T11728" s="6"/>
      <c r="U11728" s="6"/>
    </row>
    <row r="11729" ht="14.25">
      <c r="B11729" s="18" t="s">
        <v>768</v>
      </c>
      <c r="C11729" s="18" t="s">
        <v>54641</v>
      </c>
      <c r="D11729" s="18" t="s">
        <v>172</v>
      </c>
      <c r="E11729" s="18" t="s">
        <v>54642</v>
      </c>
      <c r="F11729" s="18" t="str">
        <f>IFERROR(__XLUDF.DUMMYFUNCTION("PROPER(REGEXREPLACE(D1641,""[^A-Za-z]+ "",""""))"),"Sam Rénovation")</f>
        <v xml:space="preserve">Sam Rénovation</v>
      </c>
      <c r="G11729" s="18" t="s">
        <v>54643</v>
      </c>
      <c r="H11729" s="18">
        <v>14</v>
      </c>
      <c r="I11729" s="18" t="s">
        <v>9239</v>
      </c>
      <c r="J11729" s="5" t="s">
        <v>54644</v>
      </c>
      <c r="K11729" s="5" t="s">
        <v>54645</v>
      </c>
      <c r="L11729" s="18" t="s">
        <v>482</v>
      </c>
      <c r="M11729" s="18" t="s">
        <v>29</v>
      </c>
      <c r="N11729" s="18" t="s">
        <v>54646</v>
      </c>
      <c r="O11729" s="18" t="s">
        <v>29</v>
      </c>
      <c r="P11729" s="18" t="s">
        <v>54647</v>
      </c>
      <c r="Q11729" s="6"/>
      <c r="R11729" s="6"/>
      <c r="S11729" s="6"/>
      <c r="T11729" s="6"/>
      <c r="U11729" s="6"/>
    </row>
    <row r="11730" ht="14.25">
      <c r="B11730" s="18" t="s">
        <v>785</v>
      </c>
      <c r="C11730" s="18" t="s">
        <v>54648</v>
      </c>
      <c r="D11730" s="18" t="s">
        <v>172</v>
      </c>
      <c r="E11730" s="18" t="s">
        <v>54649</v>
      </c>
      <c r="F11730" s="18" t="str">
        <f>IFERROR(__XLUDF.DUMMYFUNCTION("PROPER(REGEXREPLACE(D1642,""[^A-Za-z]+ "",""""))"),"Ets Serraille")</f>
        <v xml:space="preserve">Ets Serraille</v>
      </c>
      <c r="G11730" s="18" t="s">
        <v>54650</v>
      </c>
      <c r="H11730" s="18">
        <v>8</v>
      </c>
      <c r="I11730" s="18" t="s">
        <v>9239</v>
      </c>
      <c r="J11730" s="5" t="s">
        <v>54651</v>
      </c>
      <c r="K11730" s="5" t="s">
        <v>54652</v>
      </c>
      <c r="L11730" s="18" t="s">
        <v>9237</v>
      </c>
      <c r="M11730" s="18" t="s">
        <v>29</v>
      </c>
      <c r="N11730" s="18" t="s">
        <v>54653</v>
      </c>
      <c r="O11730" s="18" t="s">
        <v>29</v>
      </c>
      <c r="P11730" s="18" t="s">
        <v>54654</v>
      </c>
      <c r="Q11730" s="6"/>
      <c r="R11730" s="6"/>
      <c r="S11730" s="6"/>
      <c r="T11730" s="6"/>
      <c r="U11730" s="6"/>
    </row>
    <row r="11731" ht="14.25">
      <c r="B11731" s="18" t="s">
        <v>54655</v>
      </c>
      <c r="C11731" s="18" t="s">
        <v>54656</v>
      </c>
      <c r="D11731" s="18" t="s">
        <v>172</v>
      </c>
      <c r="E11731" s="18" t="s">
        <v>54657</v>
      </c>
      <c r="F11731" s="18" t="str">
        <f>IFERROR(__XLUDF.DUMMYFUNCTION("PROPER(REGEXREPLACE(D1643,""[^A-Za-z]+ "",""""))"),"Façades Ingénierie Construction")</f>
        <v xml:space="preserve">Façades Ingénierie Construction</v>
      </c>
      <c r="G11731" s="18" t="s">
        <v>54658</v>
      </c>
      <c r="H11731" s="18">
        <v>21</v>
      </c>
      <c r="I11731" s="18" t="s">
        <v>9239</v>
      </c>
      <c r="J11731" s="5" t="s">
        <v>54659</v>
      </c>
      <c r="K11731" s="5" t="s">
        <v>54660</v>
      </c>
      <c r="L11731" s="18" t="s">
        <v>39</v>
      </c>
      <c r="M11731" s="18" t="s">
        <v>29</v>
      </c>
      <c r="N11731" s="18" t="s">
        <v>54661</v>
      </c>
      <c r="O11731" s="18" t="s">
        <v>29</v>
      </c>
      <c r="P11731" s="18" t="s">
        <v>54662</v>
      </c>
      <c r="Q11731" s="6"/>
      <c r="R11731" s="6"/>
      <c r="S11731" s="6"/>
      <c r="T11731" s="6"/>
      <c r="U11731" s="6"/>
    </row>
    <row r="11732" ht="14.25">
      <c r="B11732" s="18" t="s">
        <v>355</v>
      </c>
      <c r="C11732" s="18" t="s">
        <v>54663</v>
      </c>
      <c r="D11732" s="18" t="s">
        <v>172</v>
      </c>
      <c r="E11732" s="18" t="s">
        <v>54664</v>
      </c>
      <c r="F11732" s="18" t="str">
        <f>IFERROR(__XLUDF.DUMMYFUNCTION("PROPER(REGEXREPLACE(D1644,""[^A-Za-z]+ "",""""))"),"Maf Atlantique Menuiserie Acier")</f>
        <v xml:space="preserve">Maf Atlantique Menuiserie Acier</v>
      </c>
      <c r="G11732" s="18" t="s">
        <v>54665</v>
      </c>
      <c r="H11732" s="18">
        <v>13</v>
      </c>
      <c r="I11732" s="18" t="s">
        <v>9239</v>
      </c>
      <c r="J11732" s="5" t="s">
        <v>54666</v>
      </c>
      <c r="K11732" s="5" t="s">
        <v>54667</v>
      </c>
      <c r="L11732" s="18" t="s">
        <v>54668</v>
      </c>
      <c r="M11732" s="18" t="s">
        <v>29</v>
      </c>
      <c r="N11732" s="18" t="s">
        <v>54669</v>
      </c>
      <c r="O11732" s="18" t="s">
        <v>29</v>
      </c>
      <c r="P11732" s="18" t="s">
        <v>54670</v>
      </c>
      <c r="Q11732" s="6"/>
      <c r="R11732" s="6"/>
      <c r="S11732" s="6"/>
      <c r="T11732" s="6"/>
      <c r="U11732" s="6"/>
    </row>
    <row r="11733" ht="14.25">
      <c r="B11733" s="18" t="s">
        <v>54671</v>
      </c>
      <c r="C11733" s="18" t="s">
        <v>54672</v>
      </c>
      <c r="D11733" s="18" t="s">
        <v>1130</v>
      </c>
      <c r="E11733" s="18" t="s">
        <v>54673</v>
      </c>
      <c r="F11733" s="18" t="str">
        <f>IFERROR(__XLUDF.DUMMYFUNCTION("PROPER(REGEXREPLACE(D1645,""[^A-Za-z]+ "",""""))"),"Idea Construction")</f>
        <v xml:space="preserve">Idea Construction</v>
      </c>
      <c r="G11733" s="18" t="s">
        <v>54674</v>
      </c>
      <c r="H11733" s="18">
        <v>33</v>
      </c>
      <c r="I11733" s="18" t="s">
        <v>9239</v>
      </c>
      <c r="J11733" s="5" t="s">
        <v>54675</v>
      </c>
      <c r="K11733" s="5" t="s">
        <v>54676</v>
      </c>
      <c r="L11733" s="18" t="s">
        <v>54677</v>
      </c>
      <c r="M11733" s="18" t="s">
        <v>29</v>
      </c>
      <c r="N11733" s="18" t="s">
        <v>54678</v>
      </c>
      <c r="O11733" s="18" t="s">
        <v>1261</v>
      </c>
      <c r="P11733" s="6"/>
      <c r="Q11733" s="6"/>
      <c r="R11733" s="6"/>
      <c r="S11733" s="6"/>
      <c r="T11733" s="6"/>
      <c r="U11733" s="6"/>
    </row>
    <row r="11734" ht="14.25">
      <c r="B11734" s="18" t="s">
        <v>14276</v>
      </c>
      <c r="C11734" s="18" t="s">
        <v>19344</v>
      </c>
      <c r="D11734" s="18" t="s">
        <v>112</v>
      </c>
      <c r="E11734" s="18" t="s">
        <v>54679</v>
      </c>
      <c r="F11734" s="18" t="str">
        <f>IFERROR(__XLUDF.DUMMYFUNCTION("PROPER(REGEXREPLACE(D1646,""[^A-Za-z]+ "",""""))"),"Maisons Eglantine")</f>
        <v xml:space="preserve">Maisons Eglantine</v>
      </c>
      <c r="G11734" s="18" t="s">
        <v>54680</v>
      </c>
      <c r="H11734" s="18">
        <v>22</v>
      </c>
      <c r="I11734" s="18" t="s">
        <v>9239</v>
      </c>
      <c r="J11734" s="5" t="s">
        <v>54681</v>
      </c>
      <c r="K11734" s="5" t="s">
        <v>54682</v>
      </c>
      <c r="L11734" s="18" t="s">
        <v>243</v>
      </c>
      <c r="M11734" s="18" t="s">
        <v>29</v>
      </c>
      <c r="N11734" s="18" t="s">
        <v>54683</v>
      </c>
      <c r="O11734" s="18" t="s">
        <v>29</v>
      </c>
      <c r="P11734" s="18" t="s">
        <v>54684</v>
      </c>
      <c r="Q11734" s="6"/>
      <c r="R11734" s="6"/>
      <c r="S11734" s="6"/>
      <c r="T11734" s="6"/>
      <c r="U11734" s="6"/>
    </row>
    <row r="11735" ht="14.25">
      <c r="B11735" s="18" t="s">
        <v>1215</v>
      </c>
      <c r="C11735" s="18" t="s">
        <v>54685</v>
      </c>
      <c r="D11735" s="18" t="s">
        <v>341</v>
      </c>
      <c r="E11735" s="18" t="s">
        <v>54686</v>
      </c>
      <c r="F11735" s="18" t="str">
        <f>IFERROR(__XLUDF.DUMMYFUNCTION("PROPER(REGEXREPLACE(D1647,""[^A-Za-z]+ "",""""))"),"Cortep")</f>
        <v>Cortep</v>
      </c>
      <c r="G11735" s="18" t="s">
        <v>54687</v>
      </c>
      <c r="H11735" s="18">
        <v>13</v>
      </c>
      <c r="I11735" s="18" t="s">
        <v>9239</v>
      </c>
      <c r="J11735" s="5" t="s">
        <v>54688</v>
      </c>
      <c r="K11735" s="5" t="s">
        <v>54689</v>
      </c>
      <c r="L11735" s="18" t="s">
        <v>9195</v>
      </c>
      <c r="M11735" s="18" t="s">
        <v>29</v>
      </c>
      <c r="N11735" s="18" t="s">
        <v>54690</v>
      </c>
      <c r="O11735" s="18" t="s">
        <v>29</v>
      </c>
      <c r="P11735" s="6"/>
      <c r="Q11735" s="6"/>
      <c r="R11735" s="6"/>
      <c r="S11735" s="6"/>
      <c r="T11735" s="6"/>
      <c r="U11735" s="6"/>
    </row>
    <row r="11736" ht="14.25">
      <c r="B11736" s="18" t="s">
        <v>2932</v>
      </c>
      <c r="C11736" s="18" t="s">
        <v>7847</v>
      </c>
      <c r="D11736" s="18" t="s">
        <v>172</v>
      </c>
      <c r="E11736" s="18" t="s">
        <v>48331</v>
      </c>
      <c r="F11736" s="18" t="str">
        <f>IFERROR(__XLUDF.DUMMYFUNCTION("PROPER(REGEXREPLACE(D1648,""[^A-Za-z]+ "",""""))"),"Total Cable")</f>
        <v xml:space="preserve">Total Cable</v>
      </c>
      <c r="G11736" s="18" t="s">
        <v>54691</v>
      </c>
      <c r="H11736" s="18">
        <v>13</v>
      </c>
      <c r="I11736" s="18" t="s">
        <v>9239</v>
      </c>
      <c r="J11736" s="5" t="s">
        <v>54692</v>
      </c>
      <c r="K11736" s="5" t="s">
        <v>48334</v>
      </c>
      <c r="L11736" s="6"/>
      <c r="M11736" s="18" t="s">
        <v>29</v>
      </c>
      <c r="N11736" s="18" t="s">
        <v>48335</v>
      </c>
      <c r="O11736" s="18" t="s">
        <v>29</v>
      </c>
      <c r="P11736" s="18" t="s">
        <v>48336</v>
      </c>
      <c r="Q11736" s="6"/>
      <c r="R11736" s="6"/>
      <c r="S11736" s="6"/>
      <c r="T11736" s="6"/>
      <c r="U11736" s="6"/>
    </row>
    <row r="11737" ht="14.25">
      <c r="B11737" s="18" t="s">
        <v>54693</v>
      </c>
      <c r="C11737" s="18" t="s">
        <v>54694</v>
      </c>
      <c r="D11737" s="18" t="s">
        <v>172</v>
      </c>
      <c r="E11737" s="18" t="s">
        <v>54695</v>
      </c>
      <c r="F11737" s="18" t="str">
        <f>IFERROR(__XLUDF.DUMMYFUNCTION("PROPER(REGEXREPLACE(D1649,""[^A-Za-z]+ "",""""))"),"Harke D&amp;B")</f>
        <v xml:space="preserve">Harke D&amp;B</v>
      </c>
      <c r="G11737" s="18" t="s">
        <v>54696</v>
      </c>
      <c r="H11737" s="18">
        <v>3</v>
      </c>
      <c r="I11737" s="18" t="s">
        <v>9239</v>
      </c>
      <c r="J11737" s="5" t="s">
        <v>54697</v>
      </c>
      <c r="K11737" s="5" t="s">
        <v>54698</v>
      </c>
      <c r="L11737" s="6"/>
      <c r="M11737" s="18" t="s">
        <v>29</v>
      </c>
      <c r="N11737" s="18" t="s">
        <v>54699</v>
      </c>
      <c r="O11737" s="18" t="s">
        <v>29</v>
      </c>
      <c r="P11737" s="18" t="s">
        <v>54700</v>
      </c>
      <c r="Q11737" s="6"/>
      <c r="R11737" s="6"/>
      <c r="S11737" s="6"/>
      <c r="T11737" s="6"/>
      <c r="U11737" s="6"/>
    </row>
    <row r="11738" ht="14.25">
      <c r="B11738" s="18" t="s">
        <v>1583</v>
      </c>
      <c r="C11738" s="18" t="s">
        <v>76</v>
      </c>
      <c r="D11738" s="18" t="s">
        <v>468</v>
      </c>
      <c r="E11738" s="18" t="s">
        <v>54701</v>
      </c>
      <c r="F11738" s="18" t="str">
        <f>IFERROR(__XLUDF.DUMMYFUNCTION("PROPER(REGEXREPLACE(D1650,""[^A-Za-z]+ "",""""))"),"Fimurex Btp")</f>
        <v xml:space="preserve">Fimurex Btp</v>
      </c>
      <c r="G11738" s="18" t="s">
        <v>54702</v>
      </c>
      <c r="H11738" s="18">
        <v>23</v>
      </c>
      <c r="I11738" s="18" t="s">
        <v>9239</v>
      </c>
      <c r="J11738" s="5" t="s">
        <v>54703</v>
      </c>
      <c r="K11738" s="5" t="s">
        <v>54704</v>
      </c>
      <c r="L11738" s="18" t="s">
        <v>10267</v>
      </c>
      <c r="M11738" s="18" t="s">
        <v>29</v>
      </c>
      <c r="N11738" s="18" t="s">
        <v>54705</v>
      </c>
      <c r="O11738" s="18" t="s">
        <v>29</v>
      </c>
      <c r="P11738" s="6"/>
      <c r="Q11738" s="6"/>
      <c r="R11738" s="6"/>
      <c r="S11738" s="6"/>
      <c r="T11738" s="6"/>
      <c r="U11738" s="6"/>
    </row>
    <row r="11739" ht="14.25">
      <c r="B11739" s="18" t="s">
        <v>170</v>
      </c>
      <c r="C11739" s="18" t="s">
        <v>54706</v>
      </c>
      <c r="D11739" s="18" t="s">
        <v>54707</v>
      </c>
      <c r="E11739" s="18" t="s">
        <v>54708</v>
      </c>
      <c r="F11739" s="18" t="str">
        <f>IFERROR(__XLUDF.DUMMYFUNCTION("PROPER(REGEXREPLACE(D1651,""[^A-Za-z]+ "",""""))"),"In&amp;Maa")</f>
        <v>In&amp;Maa</v>
      </c>
      <c r="G11739" s="18" t="s">
        <v>54709</v>
      </c>
      <c r="H11739" s="18">
        <v>7</v>
      </c>
      <c r="I11739" s="18" t="s">
        <v>9239</v>
      </c>
      <c r="J11739" s="5" t="s">
        <v>54710</v>
      </c>
      <c r="K11739" s="5" t="s">
        <v>54711</v>
      </c>
      <c r="L11739" s="18" t="s">
        <v>1711</v>
      </c>
      <c r="M11739" s="18" t="s">
        <v>29</v>
      </c>
      <c r="N11739" s="18" t="s">
        <v>54712</v>
      </c>
      <c r="O11739" s="18" t="s">
        <v>29</v>
      </c>
      <c r="P11739" s="6"/>
      <c r="Q11739" s="6"/>
      <c r="R11739" s="6"/>
      <c r="S11739" s="6"/>
      <c r="T11739" s="6"/>
      <c r="U11739" s="6"/>
    </row>
    <row r="11740" ht="14.25">
      <c r="B11740" s="18" t="s">
        <v>679</v>
      </c>
      <c r="C11740" s="18" t="s">
        <v>54713</v>
      </c>
      <c r="D11740" s="18" t="s">
        <v>112</v>
      </c>
      <c r="E11740" s="18" t="s">
        <v>54714</v>
      </c>
      <c r="F11740" s="18" t="str">
        <f>IFERROR(__XLUDF.DUMMYFUNCTION("PROPER(REGEXREPLACE(D1652,""[^A-Za-z]+ "",""""))"),"Abac Ingenierie")</f>
        <v xml:space="preserve">Abac Ingenierie</v>
      </c>
      <c r="G11740" s="18" t="s">
        <v>54715</v>
      </c>
      <c r="H11740" s="18">
        <v>25</v>
      </c>
      <c r="I11740" s="18" t="s">
        <v>9239</v>
      </c>
      <c r="J11740" s="5" t="s">
        <v>54716</v>
      </c>
      <c r="K11740" s="5" t="s">
        <v>54717</v>
      </c>
      <c r="L11740" s="18" t="s">
        <v>54718</v>
      </c>
      <c r="M11740" s="18" t="s">
        <v>29</v>
      </c>
      <c r="N11740" s="18" t="s">
        <v>54719</v>
      </c>
      <c r="O11740" s="18" t="s">
        <v>29</v>
      </c>
      <c r="P11740" s="6"/>
      <c r="Q11740" s="6"/>
      <c r="R11740" s="6"/>
      <c r="S11740" s="6"/>
      <c r="T11740" s="6"/>
      <c r="U11740" s="6"/>
    </row>
    <row r="11741" ht="14.25">
      <c r="B11741" s="18" t="s">
        <v>54720</v>
      </c>
      <c r="C11741" s="18" t="s">
        <v>54721</v>
      </c>
      <c r="D11741" s="18" t="s">
        <v>112</v>
      </c>
      <c r="E11741" s="18" t="s">
        <v>3540</v>
      </c>
      <c r="F11741" s="18" t="str">
        <f>IFERROR(__XLUDF.DUMMYFUNCTION("PROPER(REGEXREPLACE(D1653,""[^A-Za-z]+ "",""""))"),"Marion")</f>
        <v>Marion</v>
      </c>
      <c r="G11741" s="18" t="s">
        <v>54722</v>
      </c>
      <c r="H11741" s="18">
        <v>17</v>
      </c>
      <c r="I11741" s="18" t="s">
        <v>9239</v>
      </c>
      <c r="J11741" s="5" t="s">
        <v>54723</v>
      </c>
      <c r="K11741" s="5" t="s">
        <v>54724</v>
      </c>
      <c r="L11741" s="6"/>
      <c r="M11741" s="18" t="s">
        <v>29</v>
      </c>
      <c r="N11741" s="18" t="s">
        <v>54725</v>
      </c>
      <c r="O11741" s="18" t="s">
        <v>29</v>
      </c>
      <c r="P11741" s="6"/>
      <c r="Q11741" s="6"/>
      <c r="R11741" s="6"/>
      <c r="S11741" s="6"/>
      <c r="T11741" s="6"/>
      <c r="U11741" s="6"/>
    </row>
    <row r="11742" ht="14.25">
      <c r="B11742" s="18" t="s">
        <v>8944</v>
      </c>
      <c r="C11742" s="18" t="s">
        <v>330</v>
      </c>
      <c r="D11742" s="18" t="s">
        <v>1130</v>
      </c>
      <c r="E11742" s="18" t="s">
        <v>54726</v>
      </c>
      <c r="F11742" s="18" t="str">
        <f>IFERROR(__XLUDF.DUMMYFUNCTION("PROPER(REGEXREPLACE(D1654,""[^A-Za-z]+ "",""""))"),"Fabriplast Menuiseries")</f>
        <v xml:space="preserve">Fabriplast Menuiseries</v>
      </c>
      <c r="G11742" s="18" t="s">
        <v>54727</v>
      </c>
      <c r="H11742" s="18">
        <v>17</v>
      </c>
      <c r="I11742" s="18" t="s">
        <v>9239</v>
      </c>
      <c r="J11742" s="5" t="s">
        <v>54728</v>
      </c>
      <c r="K11742" s="5" t="s">
        <v>54729</v>
      </c>
      <c r="L11742" s="18" t="s">
        <v>44514</v>
      </c>
      <c r="M11742" s="18" t="s">
        <v>29</v>
      </c>
      <c r="N11742" s="18" t="s">
        <v>54730</v>
      </c>
      <c r="O11742" s="18" t="s">
        <v>29</v>
      </c>
      <c r="P11742" s="18" t="s">
        <v>54731</v>
      </c>
      <c r="Q11742" s="6"/>
      <c r="R11742" s="6"/>
      <c r="S11742" s="6"/>
      <c r="T11742" s="6"/>
      <c r="U11742" s="6"/>
    </row>
    <row r="11743" ht="14.25">
      <c r="B11743" s="18" t="s">
        <v>23753</v>
      </c>
      <c r="C11743" s="18" t="s">
        <v>54732</v>
      </c>
      <c r="D11743" s="18" t="s">
        <v>172</v>
      </c>
      <c r="E11743" s="18" t="s">
        <v>54733</v>
      </c>
      <c r="F11743" s="18" t="str">
        <f>IFERROR(__XLUDF.DUMMYFUNCTION("PROPER(REGEXREPLACE(D1655,""[^A-Za-z]+ "",""""))"),"Sas Pegeon Fils")</f>
        <v xml:space="preserve">Sas Pegeon Fils</v>
      </c>
      <c r="G11743" s="18" t="s">
        <v>54734</v>
      </c>
      <c r="H11743" s="6"/>
      <c r="I11743" s="6"/>
      <c r="J11743" s="5" t="s">
        <v>54735</v>
      </c>
      <c r="K11743" s="5" t="s">
        <v>54736</v>
      </c>
      <c r="L11743" s="18" t="s">
        <v>9237</v>
      </c>
      <c r="M11743" s="18" t="s">
        <v>29</v>
      </c>
      <c r="N11743" s="18" t="s">
        <v>54737</v>
      </c>
      <c r="O11743" s="18" t="s">
        <v>29</v>
      </c>
      <c r="P11743" s="6"/>
      <c r="Q11743" s="6"/>
      <c r="R11743" s="6"/>
      <c r="S11743" s="6"/>
      <c r="T11743" s="6"/>
      <c r="U11743" s="6"/>
    </row>
    <row r="11744" ht="14.25">
      <c r="B11744" s="18" t="s">
        <v>31</v>
      </c>
      <c r="C11744" s="18" t="s">
        <v>54738</v>
      </c>
      <c r="D11744" s="18" t="s">
        <v>3704</v>
      </c>
      <c r="E11744" s="18" t="s">
        <v>54739</v>
      </c>
      <c r="F11744" s="18" t="str">
        <f>IFERROR(__XLUDF.DUMMYFUNCTION("PROPER(REGEXREPLACE(D1656,""[^A-Za-z]+ "",""""))"),"Wall Up Préfa")</f>
        <v xml:space="preserve">Wall Up Préfa</v>
      </c>
      <c r="G11744" s="18" t="s">
        <v>54740</v>
      </c>
      <c r="H11744" s="18">
        <v>8</v>
      </c>
      <c r="I11744" s="18" t="s">
        <v>9239</v>
      </c>
      <c r="J11744" s="5" t="s">
        <v>54741</v>
      </c>
      <c r="K11744" s="5" t="s">
        <v>54742</v>
      </c>
      <c r="L11744" s="18" t="s">
        <v>39</v>
      </c>
      <c r="M11744" s="18" t="s">
        <v>29</v>
      </c>
      <c r="N11744" s="18" t="s">
        <v>54743</v>
      </c>
      <c r="O11744" s="18" t="s">
        <v>29</v>
      </c>
      <c r="P11744" s="6"/>
      <c r="Q11744" s="6"/>
      <c r="R11744" s="6"/>
      <c r="S11744" s="6"/>
      <c r="T11744" s="6"/>
      <c r="U11744" s="6"/>
    </row>
    <row r="11745" ht="14.25">
      <c r="B11745" s="18" t="s">
        <v>170</v>
      </c>
      <c r="C11745" s="18" t="s">
        <v>15353</v>
      </c>
      <c r="D11745" s="18" t="s">
        <v>426</v>
      </c>
      <c r="E11745" s="18" t="s">
        <v>54358</v>
      </c>
      <c r="F11745" s="18" t="str">
        <f>IFERROR(__XLUDF.DUMMYFUNCTION("PROPER(REGEXREPLACE(D1657,""[^A-Za-z]+ "",""""))"),"Sce")</f>
        <v>Sce</v>
      </c>
      <c r="G11745" s="18" t="s">
        <v>54744</v>
      </c>
      <c r="H11745" s="18">
        <v>17</v>
      </c>
      <c r="I11745" s="18" t="s">
        <v>9239</v>
      </c>
      <c r="J11745" s="5" t="s">
        <v>54745</v>
      </c>
      <c r="K11745" s="5" t="s">
        <v>54361</v>
      </c>
      <c r="L11745" s="18" t="s">
        <v>4943</v>
      </c>
      <c r="M11745" s="18" t="s">
        <v>29</v>
      </c>
      <c r="N11745" s="18" t="s">
        <v>54362</v>
      </c>
      <c r="O11745" s="18" t="s">
        <v>29</v>
      </c>
      <c r="P11745" s="18" t="s">
        <v>54363</v>
      </c>
      <c r="Q11745" s="6"/>
      <c r="R11745" s="6"/>
      <c r="S11745" s="6"/>
      <c r="T11745" s="6"/>
      <c r="U11745" s="6"/>
    </row>
    <row r="11746" ht="14.25">
      <c r="B11746" s="18" t="s">
        <v>4800</v>
      </c>
      <c r="C11746" s="18" t="s">
        <v>54746</v>
      </c>
      <c r="D11746" s="18" t="s">
        <v>172</v>
      </c>
      <c r="E11746" s="18" t="s">
        <v>54747</v>
      </c>
      <c r="F11746" s="18" t="str">
        <f>IFERROR(__XLUDF.DUMMYFUNCTION("PROPER(REGEXREPLACE(D1658,""[^A-Za-z]+ "",""""))"),"Wax Beton")</f>
        <v xml:space="preserve">Wax Beton</v>
      </c>
      <c r="G11746" s="18" t="s">
        <v>54748</v>
      </c>
      <c r="H11746" s="18">
        <v>3</v>
      </c>
      <c r="I11746" s="18" t="s">
        <v>9239</v>
      </c>
      <c r="J11746" s="5" t="s">
        <v>54749</v>
      </c>
      <c r="K11746" s="5" t="s">
        <v>54750</v>
      </c>
      <c r="L11746" s="18" t="s">
        <v>16341</v>
      </c>
      <c r="M11746" s="18" t="s">
        <v>29</v>
      </c>
      <c r="N11746" s="18" t="s">
        <v>54751</v>
      </c>
      <c r="O11746" s="18" t="s">
        <v>29</v>
      </c>
      <c r="P11746" s="18" t="s">
        <v>54752</v>
      </c>
      <c r="Q11746" s="6"/>
      <c r="R11746" s="6"/>
      <c r="S11746" s="6"/>
      <c r="T11746" s="6"/>
      <c r="U11746" s="6"/>
    </row>
    <row r="11747" ht="14.25">
      <c r="B11747" s="18" t="s">
        <v>279</v>
      </c>
      <c r="C11747" s="18" t="s">
        <v>54753</v>
      </c>
      <c r="D11747" s="18" t="s">
        <v>172</v>
      </c>
      <c r="E11747" s="18" t="s">
        <v>54754</v>
      </c>
      <c r="F11747" s="18" t="str">
        <f>IFERROR(__XLUDF.DUMMYFUNCTION("PROPER(REGEXREPLACE(D1659,""[^A-Za-z]+ "",""""))"),"Roger Marteau Sas")</f>
        <v xml:space="preserve">Roger Marteau Sas</v>
      </c>
      <c r="G11747" s="18" t="s">
        <v>54755</v>
      </c>
      <c r="H11747" s="18">
        <v>62</v>
      </c>
      <c r="I11747" s="18" t="s">
        <v>9239</v>
      </c>
      <c r="J11747" s="5" t="s">
        <v>54756</v>
      </c>
      <c r="K11747" s="5" t="s">
        <v>54757</v>
      </c>
      <c r="L11747" s="18" t="s">
        <v>50243</v>
      </c>
      <c r="M11747" s="18" t="s">
        <v>29</v>
      </c>
      <c r="N11747" s="18" t="s">
        <v>54758</v>
      </c>
      <c r="O11747" s="18" t="s">
        <v>29</v>
      </c>
      <c r="P11747" s="6"/>
      <c r="Q11747" s="6"/>
      <c r="R11747" s="6"/>
      <c r="S11747" s="6"/>
      <c r="T11747" s="6"/>
      <c r="U11747" s="6"/>
    </row>
    <row r="11748" ht="14.25">
      <c r="B11748" s="18" t="s">
        <v>355</v>
      </c>
      <c r="C11748" s="18" t="s">
        <v>54759</v>
      </c>
      <c r="D11748" s="18" t="s">
        <v>315</v>
      </c>
      <c r="E11748" s="18" t="s">
        <v>54760</v>
      </c>
      <c r="F11748" s="18" t="str">
        <f>IFERROR(__XLUDF.DUMMYFUNCTION("PROPER(REGEXREPLACE(D1660,""[^A-Za-z]+ "",""""))"),"Nooco")</f>
        <v>Nooco</v>
      </c>
      <c r="G11748" s="18" t="s">
        <v>54761</v>
      </c>
      <c r="H11748" s="18">
        <v>20</v>
      </c>
      <c r="I11748" s="18" t="s">
        <v>9239</v>
      </c>
      <c r="J11748" s="5" t="s">
        <v>54762</v>
      </c>
      <c r="K11748" s="5" t="s">
        <v>54763</v>
      </c>
      <c r="L11748" s="18" t="s">
        <v>39</v>
      </c>
      <c r="M11748" s="18" t="s">
        <v>29</v>
      </c>
      <c r="N11748" s="18" t="s">
        <v>546</v>
      </c>
      <c r="O11748" s="18" t="s">
        <v>29</v>
      </c>
      <c r="P11748" s="18" t="s">
        <v>54764</v>
      </c>
      <c r="Q11748" s="6"/>
      <c r="R11748" s="6"/>
      <c r="S11748" s="6"/>
      <c r="T11748" s="6"/>
      <c r="U11748" s="6"/>
    </row>
    <row r="11749" ht="14.25">
      <c r="B11749" s="18" t="s">
        <v>548</v>
      </c>
      <c r="C11749" s="18" t="s">
        <v>54765</v>
      </c>
      <c r="D11749" s="18" t="s">
        <v>87</v>
      </c>
      <c r="E11749" s="18" t="s">
        <v>54766</v>
      </c>
      <c r="F11749" s="18" t="str">
        <f>IFERROR(__XLUDF.DUMMYFUNCTION("PROPER(REGEXREPLACE(D1661,""[^A-Za-z]+ "",""""))"),"Evolum Containers")</f>
        <v xml:space="preserve">Evolum Containers</v>
      </c>
      <c r="G11749" s="18" t="s">
        <v>54767</v>
      </c>
      <c r="H11749" s="18">
        <v>8</v>
      </c>
      <c r="I11749" s="18" t="s">
        <v>9239</v>
      </c>
      <c r="J11749" s="5" t="s">
        <v>54768</v>
      </c>
      <c r="K11749" s="5" t="s">
        <v>54769</v>
      </c>
      <c r="L11749" s="18" t="s">
        <v>185</v>
      </c>
      <c r="M11749" s="18" t="s">
        <v>29</v>
      </c>
      <c r="N11749" s="18" t="s">
        <v>54770</v>
      </c>
      <c r="O11749" s="18" t="s">
        <v>29</v>
      </c>
      <c r="P11749" s="6"/>
      <c r="Q11749" s="6"/>
      <c r="R11749" s="6"/>
      <c r="S11749" s="6"/>
      <c r="T11749" s="6"/>
      <c r="U11749" s="6"/>
    </row>
    <row r="11750" ht="14.25">
      <c r="B11750" s="18" t="s">
        <v>6634</v>
      </c>
      <c r="C11750" s="18" t="s">
        <v>54771</v>
      </c>
      <c r="D11750" s="18" t="s">
        <v>87</v>
      </c>
      <c r="E11750" s="18" t="s">
        <v>54772</v>
      </c>
      <c r="F11750" s="18" t="str">
        <f>IFERROR(__XLUDF.DUMMYFUNCTION("PROPER(REGEXREPLACE(D1662,""[^A-Za-z]+ "",""""))"),"Fds")</f>
        <v>Fds</v>
      </c>
      <c r="G11750" s="18" t="s">
        <v>54773</v>
      </c>
      <c r="H11750" s="18">
        <v>25</v>
      </c>
      <c r="I11750" s="18" t="s">
        <v>9239</v>
      </c>
      <c r="J11750" s="5" t="s">
        <v>54774</v>
      </c>
      <c r="K11750" s="5" t="s">
        <v>54775</v>
      </c>
      <c r="L11750" s="18" t="s">
        <v>54776</v>
      </c>
      <c r="M11750" s="18" t="s">
        <v>29</v>
      </c>
      <c r="N11750" s="18" t="s">
        <v>54777</v>
      </c>
      <c r="O11750" s="18" t="s">
        <v>1548</v>
      </c>
      <c r="P11750" s="6"/>
      <c r="Q11750" s="6"/>
      <c r="R11750" s="6"/>
      <c r="S11750" s="6"/>
      <c r="T11750" s="6"/>
      <c r="U11750" s="6"/>
    </row>
    <row r="11751" ht="14.25">
      <c r="B11751" s="18" t="s">
        <v>7188</v>
      </c>
      <c r="C11751" s="18" t="s">
        <v>54778</v>
      </c>
      <c r="D11751" s="18" t="s">
        <v>112</v>
      </c>
      <c r="E11751" s="18" t="s">
        <v>54779</v>
      </c>
      <c r="F11751" s="18" t="str">
        <f>IFERROR(__XLUDF.DUMMYFUNCTION("PROPER(REGEXREPLACE(D1663,""[^A-Za-z]+ "",""""))"),"Afonso")</f>
        <v>Afonso</v>
      </c>
      <c r="G11751" s="18" t="s">
        <v>54780</v>
      </c>
      <c r="H11751" s="18">
        <v>6</v>
      </c>
      <c r="I11751" s="18" t="s">
        <v>9239</v>
      </c>
      <c r="J11751" s="5" t="s">
        <v>54781</v>
      </c>
      <c r="K11751" s="5" t="s">
        <v>54782</v>
      </c>
      <c r="L11751" s="18" t="s">
        <v>46384</v>
      </c>
      <c r="M11751" s="18" t="s">
        <v>29</v>
      </c>
      <c r="N11751" s="18" t="s">
        <v>54783</v>
      </c>
      <c r="O11751" s="18" t="s">
        <v>29</v>
      </c>
      <c r="P11751" s="6"/>
      <c r="Q11751" s="6"/>
      <c r="R11751" s="6"/>
      <c r="S11751" s="6"/>
      <c r="T11751" s="6"/>
      <c r="U11751" s="6"/>
    </row>
    <row r="11752" ht="14.25">
      <c r="B11752" s="18" t="s">
        <v>20</v>
      </c>
      <c r="C11752" s="18" t="s">
        <v>54784</v>
      </c>
      <c r="D11752" s="18" t="s">
        <v>112</v>
      </c>
      <c r="E11752" s="18" t="s">
        <v>54785</v>
      </c>
      <c r="F11752" s="18" t="str">
        <f>IFERROR(__XLUDF.DUMMYFUNCTION("PROPER(REGEXREPLACE(D1664,""[^A-Za-z]+ "",""""))"),"Spehner")</f>
        <v>Spehner</v>
      </c>
      <c r="G11752" s="18" t="s">
        <v>54786</v>
      </c>
      <c r="H11752" s="18">
        <v>12</v>
      </c>
      <c r="I11752" s="18" t="s">
        <v>9239</v>
      </c>
      <c r="J11752" s="5" t="s">
        <v>54787</v>
      </c>
      <c r="K11752" s="5" t="s">
        <v>54788</v>
      </c>
      <c r="L11752" s="18" t="s">
        <v>54789</v>
      </c>
      <c r="M11752" s="18" t="s">
        <v>29</v>
      </c>
      <c r="N11752" s="18" t="s">
        <v>54790</v>
      </c>
      <c r="O11752" s="18" t="s">
        <v>29</v>
      </c>
      <c r="P11752" s="6"/>
      <c r="Q11752" s="6"/>
      <c r="R11752" s="6"/>
      <c r="S11752" s="6"/>
      <c r="T11752" s="6"/>
      <c r="U11752" s="6"/>
    </row>
    <row r="11753" ht="14.25">
      <c r="B11753" s="18" t="s">
        <v>1583</v>
      </c>
      <c r="C11753" s="18" t="s">
        <v>3981</v>
      </c>
      <c r="D11753" s="18" t="s">
        <v>468</v>
      </c>
      <c r="E11753" s="18" t="s">
        <v>54791</v>
      </c>
      <c r="F11753" s="18" t="str">
        <f>IFERROR(__XLUDF.DUMMYFUNCTION("PROPER(REGEXREPLACE(D1665,""[^A-Za-z]+ "",""""))"),"Lachaux Paysage")</f>
        <v xml:space="preserve">Lachaux Paysage</v>
      </c>
      <c r="G11753" s="18" t="s">
        <v>54792</v>
      </c>
      <c r="H11753" s="18">
        <v>33</v>
      </c>
      <c r="I11753" s="18" t="s">
        <v>9239</v>
      </c>
      <c r="J11753" s="5" t="s">
        <v>54793</v>
      </c>
      <c r="K11753" s="5" t="s">
        <v>54794</v>
      </c>
      <c r="L11753" s="18" t="s">
        <v>39</v>
      </c>
      <c r="M11753" s="18" t="s">
        <v>29</v>
      </c>
      <c r="N11753" s="18" t="s">
        <v>54795</v>
      </c>
      <c r="O11753" s="18" t="s">
        <v>29</v>
      </c>
      <c r="P11753" s="18" t="s">
        <v>54796</v>
      </c>
      <c r="Q11753" s="6"/>
      <c r="R11753" s="6"/>
      <c r="S11753" s="6"/>
      <c r="T11753" s="6"/>
      <c r="U11753" s="6"/>
    </row>
    <row r="11754" ht="14.25">
      <c r="B11754" s="18" t="s">
        <v>1583</v>
      </c>
      <c r="C11754" s="18" t="s">
        <v>54797</v>
      </c>
      <c r="D11754" s="18" t="s">
        <v>1130</v>
      </c>
      <c r="E11754" s="18" t="s">
        <v>54798</v>
      </c>
      <c r="F11754" s="18" t="str">
        <f>IFERROR(__XLUDF.DUMMYFUNCTION("PROPER(REGEXREPLACE(D1666,""[^A-Za-z]+ "",""""))"),"Les Toitures De L'Est")</f>
        <v xml:space="preserve">Les Toitures De L'Est</v>
      </c>
      <c r="G11754" s="18" t="s">
        <v>54799</v>
      </c>
      <c r="H11754" s="18">
        <v>10</v>
      </c>
      <c r="I11754" s="18" t="s">
        <v>9239</v>
      </c>
      <c r="J11754" s="5" t="s">
        <v>54800</v>
      </c>
      <c r="K11754" s="5" t="s">
        <v>54801</v>
      </c>
      <c r="L11754" s="18" t="s">
        <v>54802</v>
      </c>
      <c r="M11754" s="18" t="s">
        <v>29</v>
      </c>
      <c r="N11754" s="18" t="s">
        <v>54803</v>
      </c>
      <c r="O11754" s="18" t="s">
        <v>29</v>
      </c>
      <c r="P11754" s="6"/>
      <c r="Q11754" s="6"/>
      <c r="R11754" s="6"/>
      <c r="S11754" s="6"/>
      <c r="T11754" s="6"/>
      <c r="U11754" s="6"/>
    </row>
    <row r="11755" ht="14.25">
      <c r="B11755" s="18" t="s">
        <v>330</v>
      </c>
      <c r="C11755" s="18" t="s">
        <v>54804</v>
      </c>
      <c r="D11755" s="18" t="s">
        <v>112</v>
      </c>
      <c r="E11755" s="18" t="s">
        <v>54805</v>
      </c>
      <c r="F11755" s="18" t="str">
        <f>IFERROR(__XLUDF.DUMMYFUNCTION("PROPER(REGEXREPLACE(D1667,""[^A-Za-z]+ "",""""))"),"Directique Engineering")</f>
        <v xml:space="preserve">Directique Engineering</v>
      </c>
      <c r="G11755" s="18" t="s">
        <v>54806</v>
      </c>
      <c r="H11755" s="18">
        <v>25</v>
      </c>
      <c r="I11755" s="18" t="s">
        <v>9239</v>
      </c>
      <c r="J11755" s="5" t="s">
        <v>54807</v>
      </c>
      <c r="K11755" s="5" t="s">
        <v>54808</v>
      </c>
      <c r="L11755" s="18" t="s">
        <v>39</v>
      </c>
      <c r="M11755" s="18" t="s">
        <v>29</v>
      </c>
      <c r="N11755" s="18" t="s">
        <v>54809</v>
      </c>
      <c r="O11755" s="18" t="s">
        <v>29</v>
      </c>
      <c r="P11755" s="6"/>
      <c r="Q11755" s="6"/>
      <c r="R11755" s="6"/>
      <c r="S11755" s="6"/>
      <c r="T11755" s="6"/>
      <c r="U11755" s="6"/>
    </row>
    <row r="11756" ht="14.25">
      <c r="B11756" s="18" t="s">
        <v>3371</v>
      </c>
      <c r="C11756" s="18" t="s">
        <v>54810</v>
      </c>
      <c r="D11756" s="18" t="s">
        <v>112</v>
      </c>
      <c r="E11756" s="18" t="s">
        <v>54811</v>
      </c>
      <c r="F11756" s="18" t="str">
        <f>IFERROR(__XLUDF.DUMMYFUNCTION("PROPER(REGEXREPLACE(D1668,""[^A-Za-z]+ "",""""))"),"Dext Habitat")</f>
        <v xml:space="preserve">Dext Habitat</v>
      </c>
      <c r="G11756" s="18" t="s">
        <v>54812</v>
      </c>
      <c r="H11756" s="18">
        <v>12</v>
      </c>
      <c r="I11756" s="18" t="s">
        <v>9239</v>
      </c>
      <c r="J11756" s="5" t="s">
        <v>54813</v>
      </c>
      <c r="K11756" s="5" t="s">
        <v>54814</v>
      </c>
      <c r="L11756" s="18" t="s">
        <v>482</v>
      </c>
      <c r="M11756" s="18" t="s">
        <v>29</v>
      </c>
      <c r="N11756" s="18" t="s">
        <v>54815</v>
      </c>
      <c r="O11756" s="18" t="s">
        <v>29</v>
      </c>
      <c r="P11756" s="18" t="s">
        <v>54816</v>
      </c>
      <c r="Q11756" s="6"/>
      <c r="R11756" s="6"/>
      <c r="S11756" s="6"/>
      <c r="T11756" s="6"/>
      <c r="U11756" s="6"/>
    </row>
    <row r="11757" ht="14.25">
      <c r="B11757" s="18" t="s">
        <v>670</v>
      </c>
      <c r="C11757" s="18" t="s">
        <v>54817</v>
      </c>
      <c r="D11757" s="18" t="s">
        <v>1130</v>
      </c>
      <c r="E11757" s="18" t="s">
        <v>54818</v>
      </c>
      <c r="F11757" s="18" t="str">
        <f>IFERROR(__XLUDF.DUMMYFUNCTION("PROPER(REGEXREPLACE(D1669,""[^A-Za-z]+ "",""""))"),"Midavaine Groupe")</f>
        <v xml:space="preserve">Midavaine Groupe</v>
      </c>
      <c r="G11757" s="18" t="s">
        <v>54819</v>
      </c>
      <c r="H11757" s="18">
        <v>28</v>
      </c>
      <c r="I11757" s="18" t="s">
        <v>9239</v>
      </c>
      <c r="J11757" s="5" t="s">
        <v>54820</v>
      </c>
      <c r="K11757" s="5" t="s">
        <v>54821</v>
      </c>
      <c r="L11757" s="18" t="s">
        <v>12731</v>
      </c>
      <c r="M11757" s="18" t="s">
        <v>29</v>
      </c>
      <c r="N11757" s="18" t="s">
        <v>29</v>
      </c>
      <c r="O11757" s="18" t="s">
        <v>29</v>
      </c>
      <c r="P11757" s="6"/>
      <c r="Q11757" s="6"/>
      <c r="R11757" s="6"/>
      <c r="S11757" s="6"/>
      <c r="T11757" s="6"/>
      <c r="U11757" s="6"/>
    </row>
    <row r="11758" ht="14.25">
      <c r="B11758" s="18" t="s">
        <v>54822</v>
      </c>
      <c r="C11758" s="18" t="s">
        <v>54823</v>
      </c>
      <c r="D11758" s="18" t="s">
        <v>112</v>
      </c>
      <c r="E11758" s="18" t="s">
        <v>54002</v>
      </c>
      <c r="F11758" s="18" t="str">
        <f>IFERROR(__XLUDF.DUMMYFUNCTION("PROPER(REGEXREPLACE(D1670,""[^A-Za-z]+ "",""""))"),"Lenaud")</f>
        <v>Lenaud</v>
      </c>
      <c r="G11758" s="18" t="s">
        <v>54824</v>
      </c>
      <c r="H11758" s="18">
        <v>23</v>
      </c>
      <c r="I11758" s="18" t="s">
        <v>9239</v>
      </c>
      <c r="J11758" s="5" t="s">
        <v>54825</v>
      </c>
      <c r="K11758" s="5" t="s">
        <v>54005</v>
      </c>
      <c r="L11758" s="18" t="s">
        <v>12291</v>
      </c>
      <c r="M11758" s="18" t="s">
        <v>29</v>
      </c>
      <c r="N11758" s="18" t="s">
        <v>54007</v>
      </c>
      <c r="O11758" s="18" t="s">
        <v>29</v>
      </c>
      <c r="P11758" s="18" t="s">
        <v>54008</v>
      </c>
      <c r="Q11758" s="6"/>
      <c r="R11758" s="6"/>
      <c r="S11758" s="6"/>
      <c r="T11758" s="6"/>
      <c r="U11758" s="6"/>
    </row>
    <row r="11759" ht="14.25">
      <c r="B11759" s="18" t="s">
        <v>6356</v>
      </c>
      <c r="C11759" s="18" t="s">
        <v>54826</v>
      </c>
      <c r="D11759" s="18" t="s">
        <v>7185</v>
      </c>
      <c r="E11759" s="18" t="s">
        <v>54827</v>
      </c>
      <c r="F11759" s="18" t="str">
        <f>IFERROR(__XLUDF.DUMMYFUNCTION("PROPER(REGEXREPLACE(D1671,""[^A-Za-z]+ "",""""))"),"Sarl Fenetres De Picardie")</f>
        <v xml:space="preserve">Sarl Fenetres De Picardie</v>
      </c>
      <c r="G11759" s="18" t="s">
        <v>54828</v>
      </c>
      <c r="H11759" s="18">
        <v>4</v>
      </c>
      <c r="I11759" s="18" t="s">
        <v>9239</v>
      </c>
      <c r="J11759" s="5" t="s">
        <v>54829</v>
      </c>
      <c r="K11759" s="5" t="s">
        <v>54830</v>
      </c>
      <c r="L11759" s="18" t="s">
        <v>54831</v>
      </c>
      <c r="M11759" s="18" t="s">
        <v>29</v>
      </c>
      <c r="N11759" s="18" t="s">
        <v>54832</v>
      </c>
      <c r="O11759" s="18" t="s">
        <v>29</v>
      </c>
      <c r="P11759" s="18" t="s">
        <v>54833</v>
      </c>
      <c r="Q11759" s="6"/>
      <c r="R11759" s="6"/>
      <c r="S11759" s="6"/>
      <c r="T11759" s="6"/>
      <c r="U11759" s="6"/>
    </row>
    <row r="11760" ht="14.25">
      <c r="B11760" s="18" t="s">
        <v>54834</v>
      </c>
      <c r="C11760" s="18" t="s">
        <v>5252</v>
      </c>
      <c r="D11760" s="18" t="s">
        <v>112</v>
      </c>
      <c r="E11760" s="18" t="s">
        <v>54835</v>
      </c>
      <c r="F11760" s="18" t="str">
        <f>IFERROR(__XLUDF.DUMMYFUNCTION("PROPER(REGEXREPLACE(D1672,""[^A-Za-z]+ "",""""))"),"Spras")</f>
        <v>Spras</v>
      </c>
      <c r="G11760" s="18" t="s">
        <v>54836</v>
      </c>
      <c r="H11760" s="18">
        <v>16</v>
      </c>
      <c r="I11760" s="18" t="s">
        <v>9239</v>
      </c>
      <c r="J11760" s="5" t="s">
        <v>54837</v>
      </c>
      <c r="K11760" s="5" t="s">
        <v>54838</v>
      </c>
      <c r="L11760" s="18" t="s">
        <v>39</v>
      </c>
      <c r="M11760" s="18" t="s">
        <v>29</v>
      </c>
      <c r="N11760" s="18" t="s">
        <v>54839</v>
      </c>
      <c r="O11760" s="18" t="s">
        <v>29</v>
      </c>
      <c r="P11760" s="18" t="s">
        <v>54840</v>
      </c>
      <c r="Q11760" s="6"/>
      <c r="R11760" s="6"/>
      <c r="S11760" s="6"/>
      <c r="T11760" s="6"/>
      <c r="U11760" s="6"/>
    </row>
    <row r="11761" ht="14.25">
      <c r="B11761" s="18" t="s">
        <v>874</v>
      </c>
      <c r="C11761" s="18" t="s">
        <v>54841</v>
      </c>
      <c r="D11761" s="18" t="s">
        <v>112</v>
      </c>
      <c r="E11761" s="18" t="s">
        <v>54842</v>
      </c>
      <c r="F11761" s="18" t="str">
        <f>IFERROR(__XLUDF.DUMMYFUNCTION("PROPER(REGEXREPLACE(D1673,""[^A-Za-z]+ "",""""))"),"Th")</f>
        <v>Th</v>
      </c>
      <c r="G11761" s="18" t="s">
        <v>54843</v>
      </c>
      <c r="H11761" s="18">
        <v>36</v>
      </c>
      <c r="I11761" s="18" t="s">
        <v>9239</v>
      </c>
      <c r="J11761" s="5" t="s">
        <v>54844</v>
      </c>
      <c r="K11761" s="5" t="s">
        <v>54845</v>
      </c>
      <c r="L11761" s="18" t="s">
        <v>1507</v>
      </c>
      <c r="M11761" s="18" t="s">
        <v>29</v>
      </c>
      <c r="N11761" s="18" t="s">
        <v>54846</v>
      </c>
      <c r="O11761" s="18" t="s">
        <v>1261</v>
      </c>
      <c r="P11761" s="6"/>
      <c r="Q11761" s="6"/>
      <c r="R11761" s="6"/>
      <c r="S11761" s="6"/>
      <c r="T11761" s="6"/>
      <c r="U11761" s="6"/>
    </row>
    <row r="11762" ht="14.25">
      <c r="B11762" s="18" t="s">
        <v>1215</v>
      </c>
      <c r="C11762" s="18" t="s">
        <v>54847</v>
      </c>
      <c r="D11762" s="18" t="s">
        <v>54848</v>
      </c>
      <c r="E11762" s="18" t="s">
        <v>54109</v>
      </c>
      <c r="F11762" s="18" t="str">
        <f>IFERROR(__XLUDF.DUMMYFUNCTION("PROPER(REGEXREPLACE(D1674,""[^A-Za-z]+ "",""""))"),"Akera")</f>
        <v>Akera</v>
      </c>
      <c r="G11762" s="18" t="s">
        <v>54849</v>
      </c>
      <c r="H11762" s="18">
        <v>18</v>
      </c>
      <c r="I11762" s="18" t="s">
        <v>4293</v>
      </c>
      <c r="J11762" s="5" t="s">
        <v>54850</v>
      </c>
      <c r="K11762" s="5" t="s">
        <v>54112</v>
      </c>
      <c r="L11762" s="18" t="s">
        <v>39</v>
      </c>
      <c r="M11762" s="18" t="s">
        <v>29</v>
      </c>
      <c r="N11762" s="18" t="s">
        <v>50208</v>
      </c>
      <c r="O11762" s="18" t="s">
        <v>29</v>
      </c>
      <c r="P11762" s="18" t="s">
        <v>54113</v>
      </c>
      <c r="Q11762" s="6"/>
      <c r="R11762" s="6"/>
      <c r="S11762" s="6"/>
      <c r="T11762" s="6"/>
      <c r="U11762" s="6"/>
    </row>
    <row r="11763" ht="14.25">
      <c r="B11763" s="18" t="s">
        <v>866</v>
      </c>
      <c r="C11763" s="18" t="s">
        <v>54851</v>
      </c>
      <c r="D11763" s="18" t="s">
        <v>112</v>
      </c>
      <c r="E11763" s="18" t="s">
        <v>54852</v>
      </c>
      <c r="F11763" s="18" t="str">
        <f>IFERROR(__XLUDF.DUMMYFUNCTION("PROPER(REGEXREPLACE(D1675,""[^A-Za-z]+ "",""""))"),"Favrat Construction Bois")</f>
        <v xml:space="preserve">Favrat Construction Bois</v>
      </c>
      <c r="G11763" s="18" t="s">
        <v>54853</v>
      </c>
      <c r="H11763" s="18">
        <v>23</v>
      </c>
      <c r="I11763" s="18" t="s">
        <v>9239</v>
      </c>
      <c r="J11763" s="5" t="s">
        <v>54854</v>
      </c>
      <c r="K11763" s="5" t="s">
        <v>54855</v>
      </c>
      <c r="L11763" s="18" t="s">
        <v>54856</v>
      </c>
      <c r="M11763" s="18" t="s">
        <v>29</v>
      </c>
      <c r="N11763" s="18" t="s">
        <v>54857</v>
      </c>
      <c r="O11763" s="18" t="s">
        <v>29</v>
      </c>
      <c r="P11763" s="18" t="s">
        <v>54858</v>
      </c>
      <c r="Q11763" s="6"/>
      <c r="R11763" s="6"/>
      <c r="S11763" s="6"/>
      <c r="T11763" s="6"/>
      <c r="U11763" s="6"/>
    </row>
    <row r="11764" ht="14.25">
      <c r="B11764" s="18" t="s">
        <v>27291</v>
      </c>
      <c r="C11764" s="18" t="s">
        <v>54859</v>
      </c>
      <c r="D11764" s="18" t="s">
        <v>112</v>
      </c>
      <c r="E11764" s="18" t="s">
        <v>54175</v>
      </c>
      <c r="F11764" s="18" t="str">
        <f>IFERROR(__XLUDF.DUMMYFUNCTION("PROPER(REGEXREPLACE(D1676,""[^A-Za-z]+ "",""""))"),"Cf Services")</f>
        <v xml:space="preserve">Cf Services</v>
      </c>
      <c r="G11764" s="18" t="s">
        <v>54860</v>
      </c>
      <c r="H11764" s="18">
        <v>38</v>
      </c>
      <c r="I11764" s="18" t="s">
        <v>9239</v>
      </c>
      <c r="J11764" s="5" t="s">
        <v>54861</v>
      </c>
      <c r="K11764" s="5" t="s">
        <v>54178</v>
      </c>
      <c r="L11764" s="18" t="s">
        <v>39</v>
      </c>
      <c r="M11764" s="18" t="s">
        <v>29</v>
      </c>
      <c r="N11764" s="18" t="s">
        <v>54179</v>
      </c>
      <c r="O11764" s="18" t="s">
        <v>29</v>
      </c>
      <c r="P11764" s="18" t="s">
        <v>54180</v>
      </c>
      <c r="Q11764" s="6"/>
      <c r="R11764" s="6"/>
      <c r="S11764" s="6"/>
      <c r="T11764" s="6"/>
      <c r="U11764" s="6"/>
    </row>
    <row r="11765" ht="14.25">
      <c r="B11765" s="18" t="s">
        <v>330</v>
      </c>
      <c r="C11765" s="18" t="s">
        <v>3272</v>
      </c>
      <c r="D11765" s="18" t="s">
        <v>87</v>
      </c>
      <c r="E11765" s="18" t="s">
        <v>54862</v>
      </c>
      <c r="F11765" s="18" t="str">
        <f>IFERROR(__XLUDF.DUMMYFUNCTION("PROPER(REGEXREPLACE(D1677,""[^A-Za-z]+ "",""""))"),"Ossature Production")</f>
        <v xml:space="preserve">Ossature Production</v>
      </c>
      <c r="G11765" s="18" t="s">
        <v>54863</v>
      </c>
      <c r="H11765" s="18">
        <v>7</v>
      </c>
      <c r="I11765" s="18" t="s">
        <v>9239</v>
      </c>
      <c r="J11765" s="5" t="s">
        <v>54864</v>
      </c>
      <c r="K11765" s="5" t="s">
        <v>54865</v>
      </c>
      <c r="L11765" s="18" t="s">
        <v>5565</v>
      </c>
      <c r="M11765" s="18" t="s">
        <v>29</v>
      </c>
      <c r="N11765" s="18" t="s">
        <v>54866</v>
      </c>
      <c r="O11765" s="18" t="s">
        <v>29</v>
      </c>
      <c r="P11765" s="18" t="s">
        <v>54867</v>
      </c>
      <c r="Q11765" s="6"/>
      <c r="R11765" s="6"/>
      <c r="S11765" s="6"/>
      <c r="T11765" s="6"/>
      <c r="U11765" s="6"/>
    </row>
    <row r="11766" ht="14.25">
      <c r="B11766" s="18" t="s">
        <v>20</v>
      </c>
      <c r="C11766" s="18" t="s">
        <v>54868</v>
      </c>
      <c r="D11766" s="18" t="s">
        <v>120</v>
      </c>
      <c r="E11766" s="18" t="s">
        <v>54869</v>
      </c>
      <c r="F11766" s="18" t="str">
        <f>IFERROR(__XLUDF.DUMMYFUNCTION("PROPER(REGEXREPLACE(D1678,""[^A-Za-z]+ "",""""))"),"Collectif Jinkau")</f>
        <v xml:space="preserve">Collectif Jinkau</v>
      </c>
      <c r="G11766" s="18" t="s">
        <v>54870</v>
      </c>
      <c r="H11766" s="18">
        <v>12</v>
      </c>
      <c r="I11766" s="18" t="s">
        <v>9239</v>
      </c>
      <c r="J11766" s="5" t="s">
        <v>54871</v>
      </c>
      <c r="K11766" s="5" t="s">
        <v>54872</v>
      </c>
      <c r="L11766" s="18" t="s">
        <v>47022</v>
      </c>
      <c r="M11766" s="18" t="s">
        <v>29</v>
      </c>
      <c r="N11766" s="18" t="s">
        <v>30065</v>
      </c>
      <c r="O11766" s="18" t="s">
        <v>29</v>
      </c>
      <c r="P11766" s="6"/>
      <c r="Q11766" s="6"/>
      <c r="R11766" s="6"/>
      <c r="S11766" s="6"/>
      <c r="T11766" s="6"/>
      <c r="U11766" s="6"/>
    </row>
    <row r="11767" ht="14.25">
      <c r="B11767" s="18" t="s">
        <v>322</v>
      </c>
      <c r="C11767" s="18" t="s">
        <v>54873</v>
      </c>
      <c r="D11767" s="18" t="s">
        <v>172</v>
      </c>
      <c r="E11767" s="18" t="s">
        <v>54874</v>
      </c>
      <c r="F11767" s="18" t="str">
        <f>IFERROR(__XLUDF.DUMMYFUNCTION("PROPER(REGEXREPLACE(D1679,""[^A-Za-z]+ "",""""))"),"Techpli Sas")</f>
        <v xml:space="preserve">Techpli Sas</v>
      </c>
      <c r="G11767" s="18" t="s">
        <v>54875</v>
      </c>
      <c r="H11767" s="18">
        <v>7</v>
      </c>
      <c r="I11767" s="18" t="s">
        <v>9239</v>
      </c>
      <c r="J11767" s="5" t="s">
        <v>54876</v>
      </c>
      <c r="K11767" s="5" t="s">
        <v>54877</v>
      </c>
      <c r="L11767" s="18" t="s">
        <v>83</v>
      </c>
      <c r="M11767" s="18" t="s">
        <v>29</v>
      </c>
      <c r="N11767" s="18" t="s">
        <v>54878</v>
      </c>
      <c r="O11767" s="18" t="s">
        <v>29</v>
      </c>
      <c r="P11767" s="6"/>
      <c r="Q11767" s="6"/>
      <c r="R11767" s="6"/>
      <c r="S11767" s="6"/>
      <c r="T11767" s="6"/>
      <c r="U11767" s="6"/>
    </row>
    <row r="11768" ht="14.25">
      <c r="B11768" s="18" t="s">
        <v>46387</v>
      </c>
      <c r="C11768" s="18" t="s">
        <v>9837</v>
      </c>
      <c r="D11768" s="18" t="s">
        <v>1130</v>
      </c>
      <c r="E11768" s="18" t="s">
        <v>54879</v>
      </c>
      <c r="F11768" s="18" t="str">
        <f>IFERROR(__XLUDF.DUMMYFUNCTION("PROPER(REGEXREPLACE(D1680,""[^A-Za-z]+ "",""""))"),"Boulanger Sas")</f>
        <v xml:space="preserve">Boulanger Sas</v>
      </c>
      <c r="G11768" s="18" t="s">
        <v>54880</v>
      </c>
      <c r="H11768" s="6"/>
      <c r="I11768" s="6"/>
      <c r="J11768" s="5" t="s">
        <v>54881</v>
      </c>
      <c r="K11768" s="5" t="s">
        <v>54882</v>
      </c>
      <c r="L11768" s="18" t="s">
        <v>1312</v>
      </c>
      <c r="M11768" s="18" t="s">
        <v>29</v>
      </c>
      <c r="N11768" s="18" t="s">
        <v>54883</v>
      </c>
      <c r="O11768" s="18" t="s">
        <v>29</v>
      </c>
      <c r="P11768" s="6"/>
      <c r="Q11768" s="6"/>
      <c r="R11768" s="6"/>
      <c r="S11768" s="6"/>
      <c r="T11768" s="6"/>
      <c r="U11768" s="6"/>
    </row>
    <row r="11769" ht="14.25">
      <c r="B11769" s="18" t="s">
        <v>1153</v>
      </c>
      <c r="C11769" s="18" t="s">
        <v>7714</v>
      </c>
      <c r="D11769" s="18" t="s">
        <v>120</v>
      </c>
      <c r="E11769" s="18" t="s">
        <v>53334</v>
      </c>
      <c r="F11769" s="18" t="str">
        <f>IFERROR(__XLUDF.DUMMYFUNCTION("PROPER(REGEXREPLACE(D1681,""[^A-Za-z]+ "",""""))"),"Les Métronormes")</f>
        <v xml:space="preserve">Les Métronormes</v>
      </c>
      <c r="G11769" s="18" t="s">
        <v>54884</v>
      </c>
      <c r="H11769" s="18">
        <v>7</v>
      </c>
      <c r="I11769" s="18" t="s">
        <v>9239</v>
      </c>
      <c r="J11769" s="5" t="s">
        <v>54885</v>
      </c>
      <c r="K11769" s="5" t="s">
        <v>53337</v>
      </c>
      <c r="L11769" s="18" t="s">
        <v>6954</v>
      </c>
      <c r="M11769" s="18" t="s">
        <v>29</v>
      </c>
      <c r="N11769" s="18" t="s">
        <v>53339</v>
      </c>
      <c r="O11769" s="18" t="s">
        <v>29</v>
      </c>
      <c r="P11769" s="18" t="s">
        <v>53340</v>
      </c>
      <c r="Q11769" s="6"/>
      <c r="R11769" s="6"/>
      <c r="S11769" s="6"/>
      <c r="T11769" s="6"/>
      <c r="U11769" s="6"/>
    </row>
    <row r="11770" ht="14.25">
      <c r="B11770" s="18" t="s">
        <v>1704</v>
      </c>
      <c r="C11770" s="18" t="s">
        <v>29664</v>
      </c>
      <c r="D11770" s="18" t="s">
        <v>172</v>
      </c>
      <c r="E11770" s="18" t="s">
        <v>21739</v>
      </c>
      <c r="F11770" s="18" t="str">
        <f>IFERROR(__XLUDF.DUMMYFUNCTION("PROPER(REGEXREPLACE(D1682,""[^A-Za-z]+ "",""""))"),"Hotel Project Management Hpm")</f>
        <v xml:space="preserve">Hotel Project Management Hpm</v>
      </c>
      <c r="G11770" s="18" t="s">
        <v>54886</v>
      </c>
      <c r="H11770" s="18">
        <v>24</v>
      </c>
      <c r="I11770" s="18" t="s">
        <v>4293</v>
      </c>
      <c r="J11770" s="5" t="s">
        <v>54887</v>
      </c>
      <c r="K11770" s="5" t="s">
        <v>21742</v>
      </c>
      <c r="L11770" s="18" t="s">
        <v>39</v>
      </c>
      <c r="M11770" s="18" t="s">
        <v>29</v>
      </c>
      <c r="N11770" s="18" t="s">
        <v>21743</v>
      </c>
      <c r="O11770" s="18" t="s">
        <v>29</v>
      </c>
      <c r="P11770" s="6"/>
      <c r="Q11770" s="6"/>
      <c r="R11770" s="6"/>
      <c r="S11770" s="6"/>
      <c r="T11770" s="6"/>
      <c r="U11770" s="6"/>
    </row>
    <row r="11771" ht="14.25">
      <c r="B11771" s="18" t="s">
        <v>1153</v>
      </c>
      <c r="C11771" s="18" t="s">
        <v>54888</v>
      </c>
      <c r="D11771" s="18" t="s">
        <v>172</v>
      </c>
      <c r="E11771" s="18" t="s">
        <v>54889</v>
      </c>
      <c r="F11771" s="18" t="str">
        <f>IFERROR(__XLUDF.DUMMYFUNCTION("PROPER(REGEXREPLACE(D1683,""[^A-Za-z]+ "",""""))"),"Uniscop")</f>
        <v>Uniscop</v>
      </c>
      <c r="G11771" s="18" t="s">
        <v>54890</v>
      </c>
      <c r="H11771" s="18">
        <v>7</v>
      </c>
      <c r="I11771" s="18" t="s">
        <v>9239</v>
      </c>
      <c r="J11771" s="5" t="s">
        <v>54891</v>
      </c>
      <c r="K11771" s="5" t="s">
        <v>54892</v>
      </c>
      <c r="L11771" s="6"/>
      <c r="M11771" s="18" t="s">
        <v>29</v>
      </c>
      <c r="N11771" s="18" t="s">
        <v>54893</v>
      </c>
      <c r="O11771" s="18" t="s">
        <v>29</v>
      </c>
      <c r="P11771" s="18" t="s">
        <v>54894</v>
      </c>
      <c r="Q11771" s="6"/>
      <c r="R11771" s="6"/>
      <c r="S11771" s="6"/>
      <c r="T11771" s="6"/>
      <c r="U11771" s="6"/>
    </row>
    <row r="11772" ht="14.25">
      <c r="B11772" s="18" t="s">
        <v>785</v>
      </c>
      <c r="C11772" s="18" t="s">
        <v>54895</v>
      </c>
      <c r="D11772" s="18" t="s">
        <v>172</v>
      </c>
      <c r="E11772" s="18" t="s">
        <v>54896</v>
      </c>
      <c r="F11772" s="18" t="str">
        <f>IFERROR(__XLUDF.DUMMYFUNCTION("PROPER(REGEXREPLACE(D1684,""[^A-Za-z]+ "",""""))"),"Façades France Rénovation")</f>
        <v xml:space="preserve">Façades France Rénovation</v>
      </c>
      <c r="G11772" s="18" t="s">
        <v>54897</v>
      </c>
      <c r="H11772" s="18">
        <v>11</v>
      </c>
      <c r="I11772" s="18" t="s">
        <v>9239</v>
      </c>
      <c r="J11772" s="5" t="s">
        <v>54898</v>
      </c>
      <c r="K11772" s="5" t="s">
        <v>54899</v>
      </c>
      <c r="L11772" s="18" t="s">
        <v>185</v>
      </c>
      <c r="M11772" s="18" t="s">
        <v>29</v>
      </c>
      <c r="N11772" s="18" t="s">
        <v>54900</v>
      </c>
      <c r="O11772" s="18" t="s">
        <v>29</v>
      </c>
      <c r="P11772" s="18" t="s">
        <v>54901</v>
      </c>
      <c r="Q11772" s="6"/>
      <c r="R11772" s="6"/>
      <c r="S11772" s="6"/>
      <c r="T11772" s="6"/>
      <c r="U11772" s="6"/>
    </row>
    <row r="11773" ht="14.25">
      <c r="B11773" s="18" t="s">
        <v>46545</v>
      </c>
      <c r="C11773" s="18" t="s">
        <v>3089</v>
      </c>
      <c r="D11773" s="18" t="s">
        <v>172</v>
      </c>
      <c r="E11773" s="18" t="s">
        <v>54902</v>
      </c>
      <c r="F11773" s="18" t="str">
        <f>IFERROR(__XLUDF.DUMMYFUNCTION("PROPER(REGEXREPLACE(D1685,""[^A-Za-z]+ "",""""))"),"Martek")</f>
        <v>Martek</v>
      </c>
      <c r="G11773" s="18" t="s">
        <v>54903</v>
      </c>
      <c r="H11773" s="18">
        <v>38</v>
      </c>
      <c r="I11773" s="18" t="s">
        <v>9239</v>
      </c>
      <c r="J11773" s="5" t="s">
        <v>54904</v>
      </c>
      <c r="K11773" s="5" t="s">
        <v>54905</v>
      </c>
      <c r="L11773" s="6"/>
      <c r="M11773" s="18" t="s">
        <v>29</v>
      </c>
      <c r="N11773" s="18" t="s">
        <v>54906</v>
      </c>
      <c r="O11773" s="18" t="s">
        <v>1548</v>
      </c>
      <c r="P11773" s="18" t="s">
        <v>54907</v>
      </c>
      <c r="Q11773" s="6"/>
      <c r="R11773" s="6"/>
      <c r="S11773" s="6"/>
      <c r="T11773" s="6"/>
      <c r="U11773" s="6"/>
    </row>
    <row r="11774" ht="14.25">
      <c r="B11774" s="18" t="s">
        <v>3593</v>
      </c>
      <c r="C11774" s="18" t="s">
        <v>54908</v>
      </c>
      <c r="D11774" s="18" t="s">
        <v>426</v>
      </c>
      <c r="E11774" s="18" t="s">
        <v>54909</v>
      </c>
      <c r="F11774" s="18" t="str">
        <f>IFERROR(__XLUDF.DUMMYFUNCTION("PROPER(REGEXREPLACE(D1686,""[^A-Za-z]+ "",""""))"),"Atelier Tourtoulou Paris")</f>
        <v xml:space="preserve">Atelier Tourtoulou Paris</v>
      </c>
      <c r="G11774" s="18" t="s">
        <v>54910</v>
      </c>
      <c r="H11774" s="18">
        <v>6</v>
      </c>
      <c r="I11774" s="18" t="s">
        <v>9239</v>
      </c>
      <c r="J11774" s="5" t="s">
        <v>54911</v>
      </c>
      <c r="K11774" s="5" t="s">
        <v>54912</v>
      </c>
      <c r="L11774" s="18" t="s">
        <v>39</v>
      </c>
      <c r="M11774" s="18" t="s">
        <v>29</v>
      </c>
      <c r="N11774" s="18" t="s">
        <v>54913</v>
      </c>
      <c r="O11774" s="18" t="s">
        <v>29</v>
      </c>
      <c r="P11774" s="6"/>
      <c r="Q11774" s="6"/>
      <c r="R11774" s="6"/>
      <c r="S11774" s="6"/>
      <c r="T11774" s="6"/>
      <c r="U11774" s="6"/>
    </row>
    <row r="11775" ht="14.25">
      <c r="B11775" s="18" t="s">
        <v>4245</v>
      </c>
      <c r="C11775" s="18" t="s">
        <v>1999</v>
      </c>
      <c r="D11775" s="18" t="s">
        <v>54914</v>
      </c>
      <c r="E11775" s="18" t="s">
        <v>54915</v>
      </c>
      <c r="F11775" s="18" t="str">
        <f>IFERROR(__XLUDF.DUMMYFUNCTION("PROPER(REGEXREPLACE(D1687,""[^A-Za-z]+ "",""""))"),"Tecsound By Soprema")</f>
        <v xml:space="preserve">Tecsound By Soprema</v>
      </c>
      <c r="G11775" s="18" t="s">
        <v>54916</v>
      </c>
      <c r="H11775" s="18">
        <v>11</v>
      </c>
      <c r="I11775" s="18" t="s">
        <v>9239</v>
      </c>
      <c r="J11775" s="5" t="s">
        <v>54917</v>
      </c>
      <c r="K11775" s="5" t="s">
        <v>54918</v>
      </c>
      <c r="L11775" s="18" t="s">
        <v>243</v>
      </c>
      <c r="M11775" s="18" t="s">
        <v>29</v>
      </c>
      <c r="N11775" s="18" t="s">
        <v>54919</v>
      </c>
      <c r="O11775" s="18" t="s">
        <v>29</v>
      </c>
      <c r="P11775" s="18" t="s">
        <v>54920</v>
      </c>
      <c r="Q11775" s="6"/>
      <c r="R11775" s="6"/>
      <c r="S11775" s="6"/>
      <c r="T11775" s="6"/>
      <c r="U11775" s="6"/>
    </row>
    <row r="11776" ht="14.25">
      <c r="B11776" s="18" t="s">
        <v>4012</v>
      </c>
      <c r="C11776" s="18" t="s">
        <v>54921</v>
      </c>
      <c r="D11776" s="18" t="s">
        <v>112</v>
      </c>
      <c r="E11776" s="18" t="s">
        <v>54922</v>
      </c>
      <c r="F11776" s="18" t="str">
        <f>IFERROR(__XLUDF.DUMMYFUNCTION("PROPER(REGEXREPLACE(D1688,""[^A-Za-z]+ "",""""))"),"Raoul Corre")</f>
        <v xml:space="preserve">Raoul Corre</v>
      </c>
      <c r="G11776" s="18" t="s">
        <v>54923</v>
      </c>
      <c r="H11776" s="18">
        <v>1</v>
      </c>
      <c r="I11776" s="18" t="s">
        <v>9239</v>
      </c>
      <c r="J11776" s="5" t="s">
        <v>54924</v>
      </c>
      <c r="K11776" s="5" t="s">
        <v>54925</v>
      </c>
      <c r="L11776" s="18" t="s">
        <v>439</v>
      </c>
      <c r="M11776" s="18" t="s">
        <v>29</v>
      </c>
      <c r="N11776" s="18" t="s">
        <v>54926</v>
      </c>
      <c r="O11776" s="18" t="s">
        <v>29</v>
      </c>
      <c r="P11776" s="18" t="s">
        <v>54927</v>
      </c>
      <c r="Q11776" s="6"/>
      <c r="R11776" s="6"/>
      <c r="S11776" s="6"/>
      <c r="T11776" s="6"/>
      <c r="U11776" s="6"/>
    </row>
    <row r="11777" ht="14.25">
      <c r="B11777" s="18" t="s">
        <v>2508</v>
      </c>
      <c r="C11777" s="18" t="s">
        <v>54928</v>
      </c>
      <c r="D11777" s="18" t="s">
        <v>9849</v>
      </c>
      <c r="E11777" s="18" t="s">
        <v>54929</v>
      </c>
      <c r="F11777" s="18" t="str">
        <f>IFERROR(__XLUDF.DUMMYFUNCTION("PROPER(REGEXREPLACE(D1689,""[^A-Za-z]+ "",""""))"),"Aston Batiment")</f>
        <v xml:space="preserve">Aston Batiment</v>
      </c>
      <c r="G11777" s="18" t="s">
        <v>54930</v>
      </c>
      <c r="H11777" s="18">
        <v>5</v>
      </c>
      <c r="I11777" s="18" t="s">
        <v>9239</v>
      </c>
      <c r="J11777" s="5" t="s">
        <v>54931</v>
      </c>
      <c r="K11777" s="5" t="s">
        <v>54932</v>
      </c>
      <c r="L11777" s="18" t="s">
        <v>465</v>
      </c>
      <c r="M11777" s="18" t="s">
        <v>29</v>
      </c>
      <c r="N11777" s="18" t="s">
        <v>54933</v>
      </c>
      <c r="O11777" s="18" t="s">
        <v>29</v>
      </c>
      <c r="P11777" s="6"/>
      <c r="Q11777" s="6"/>
      <c r="R11777" s="6"/>
      <c r="S11777" s="6"/>
      <c r="T11777" s="6"/>
      <c r="U11777" s="6"/>
    </row>
    <row r="11778" ht="14.25">
      <c r="B11778" s="18" t="s">
        <v>110</v>
      </c>
      <c r="C11778" s="18" t="s">
        <v>54934</v>
      </c>
      <c r="D11778" s="18" t="s">
        <v>4644</v>
      </c>
      <c r="E11778" s="18" t="s">
        <v>54935</v>
      </c>
      <c r="F11778" s="18" t="str">
        <f>IFERROR(__XLUDF.DUMMYFUNCTION("PROPER(REGEXREPLACE(D1690,""[^A-Za-z]+ "",""""))"),"Bbc-Bois")</f>
        <v>Bbc-Bois</v>
      </c>
      <c r="G11778" s="18" t="s">
        <v>54936</v>
      </c>
      <c r="H11778" s="18">
        <v>4</v>
      </c>
      <c r="I11778" s="18" t="s">
        <v>9239</v>
      </c>
      <c r="J11778" s="5" t="s">
        <v>54937</v>
      </c>
      <c r="K11778" s="5" t="s">
        <v>54938</v>
      </c>
      <c r="L11778" s="18" t="s">
        <v>20178</v>
      </c>
      <c r="M11778" s="18" t="s">
        <v>29</v>
      </c>
      <c r="N11778" s="18" t="s">
        <v>54939</v>
      </c>
      <c r="O11778" s="18" t="s">
        <v>29</v>
      </c>
      <c r="P11778" s="18" t="s">
        <v>54940</v>
      </c>
      <c r="Q11778" s="6"/>
      <c r="R11778" s="6"/>
      <c r="S11778" s="6"/>
      <c r="T11778" s="6"/>
      <c r="U11778" s="6"/>
    </row>
    <row r="11779" ht="14.25">
      <c r="B11779" s="18" t="s">
        <v>1153</v>
      </c>
      <c r="C11779" s="18" t="s">
        <v>54941</v>
      </c>
      <c r="D11779" s="18" t="s">
        <v>54942</v>
      </c>
      <c r="E11779" s="18" t="s">
        <v>54943</v>
      </c>
      <c r="F11779" s="18" t="str">
        <f>IFERROR(__XLUDF.DUMMYFUNCTION("PROPER(REGEXREPLACE(D1691,""[^A-Za-z]+ "",""""))"),"Groppi Sas")</f>
        <v xml:space="preserve">Groppi Sas</v>
      </c>
      <c r="G11779" s="18" t="s">
        <v>54944</v>
      </c>
      <c r="H11779" s="18">
        <v>28</v>
      </c>
      <c r="I11779" s="18" t="s">
        <v>9239</v>
      </c>
      <c r="J11779" s="5" t="s">
        <v>54945</v>
      </c>
      <c r="K11779" s="5" t="s">
        <v>54946</v>
      </c>
      <c r="L11779" s="6"/>
      <c r="M11779" s="18" t="s">
        <v>29</v>
      </c>
      <c r="N11779" s="18" t="s">
        <v>54947</v>
      </c>
      <c r="O11779" s="18" t="s">
        <v>29</v>
      </c>
      <c r="P11779" s="18" t="s">
        <v>54948</v>
      </c>
      <c r="Q11779" s="6"/>
      <c r="R11779" s="6"/>
      <c r="S11779" s="6"/>
      <c r="T11779" s="6"/>
      <c r="U11779" s="6"/>
    </row>
    <row r="11780" ht="14.25">
      <c r="B11780" s="18" t="s">
        <v>54949</v>
      </c>
      <c r="C11780" s="18" t="s">
        <v>47091</v>
      </c>
      <c r="D11780" s="18" t="s">
        <v>172</v>
      </c>
      <c r="E11780" s="18" t="s">
        <v>54950</v>
      </c>
      <c r="F11780" s="18" t="str">
        <f>IFERROR(__XLUDF.DUMMYFUNCTION("PROPER(REGEXREPLACE(D1692,""[^A-Za-z]+ "",""""))"),"Acts")</f>
        <v>Acts</v>
      </c>
      <c r="G11780" s="18" t="s">
        <v>54951</v>
      </c>
      <c r="H11780" s="18">
        <v>1</v>
      </c>
      <c r="I11780" s="18" t="s">
        <v>9239</v>
      </c>
      <c r="J11780" s="5" t="s">
        <v>54952</v>
      </c>
      <c r="K11780" s="5" t="s">
        <v>54953</v>
      </c>
      <c r="L11780" s="18" t="s">
        <v>39</v>
      </c>
      <c r="M11780" s="18" t="s">
        <v>29</v>
      </c>
      <c r="N11780" s="18" t="s">
        <v>54954</v>
      </c>
      <c r="O11780" s="18" t="s">
        <v>29</v>
      </c>
      <c r="P11780" s="6"/>
      <c r="Q11780" s="6"/>
      <c r="R11780" s="6"/>
      <c r="S11780" s="6"/>
      <c r="T11780" s="6"/>
      <c r="U11780" s="6"/>
    </row>
    <row r="11781" ht="14.25">
      <c r="B11781" s="18" t="s">
        <v>330</v>
      </c>
      <c r="C11781" s="18" t="s">
        <v>20693</v>
      </c>
      <c r="D11781" s="18" t="s">
        <v>468</v>
      </c>
      <c r="E11781" s="18" t="s">
        <v>20694</v>
      </c>
      <c r="F11781" s="18" t="str">
        <f>IFERROR(__XLUDF.DUMMYFUNCTION("PROPER(REGEXREPLACE(D1693,""[^A-Za-z]+ "",""""))"),"Aethica")</f>
        <v>Aethica</v>
      </c>
      <c r="G11781" s="18" t="s">
        <v>20695</v>
      </c>
      <c r="H11781" s="18">
        <v>40</v>
      </c>
      <c r="I11781" s="18" t="s">
        <v>4293</v>
      </c>
      <c r="J11781" s="5" t="s">
        <v>20696</v>
      </c>
      <c r="K11781" s="5" t="s">
        <v>20697</v>
      </c>
      <c r="L11781" s="18" t="s">
        <v>1711</v>
      </c>
      <c r="M11781" s="18" t="s">
        <v>29</v>
      </c>
      <c r="N11781" s="18" t="s">
        <v>20698</v>
      </c>
      <c r="O11781" s="18" t="s">
        <v>29</v>
      </c>
      <c r="P11781" s="18" t="s">
        <v>20699</v>
      </c>
      <c r="Q11781" s="6"/>
      <c r="R11781" s="6"/>
      <c r="S11781" s="6"/>
      <c r="T11781" s="6"/>
      <c r="U11781" s="6"/>
    </row>
    <row r="11782" ht="14.25">
      <c r="B11782" s="18" t="s">
        <v>355</v>
      </c>
      <c r="C11782" s="18" t="s">
        <v>54955</v>
      </c>
      <c r="D11782" s="18" t="s">
        <v>54956</v>
      </c>
      <c r="E11782" s="18" t="s">
        <v>54957</v>
      </c>
      <c r="F11782" s="18" t="str">
        <f>IFERROR(__XLUDF.DUMMYFUNCTION("PROPER(REGEXREPLACE(D1694,""[^A-Za-z]+ "",""""))"),"Ren Ingénierie")</f>
        <v xml:space="preserve">Ren Ingénierie</v>
      </c>
      <c r="G11782" s="18" t="s">
        <v>54958</v>
      </c>
      <c r="H11782" s="18">
        <v>0</v>
      </c>
      <c r="I11782" s="18" t="s">
        <v>9239</v>
      </c>
      <c r="J11782" s="5" t="s">
        <v>54959</v>
      </c>
      <c r="K11782" s="5" t="s">
        <v>54960</v>
      </c>
      <c r="L11782" s="18" t="s">
        <v>39</v>
      </c>
      <c r="M11782" s="18" t="s">
        <v>29</v>
      </c>
      <c r="N11782" s="18" t="s">
        <v>42956</v>
      </c>
      <c r="O11782" s="18" t="s">
        <v>29</v>
      </c>
      <c r="P11782" s="18" t="s">
        <v>54961</v>
      </c>
      <c r="Q11782" s="6"/>
      <c r="R11782" s="6"/>
      <c r="S11782" s="6"/>
      <c r="T11782" s="6"/>
      <c r="U11782" s="6"/>
    </row>
    <row r="11783" ht="14.25">
      <c r="B11783" s="18" t="s">
        <v>54962</v>
      </c>
      <c r="C11783" s="18" t="s">
        <v>54963</v>
      </c>
      <c r="D11783" s="18" t="s">
        <v>54964</v>
      </c>
      <c r="E11783" s="18" t="s">
        <v>54965</v>
      </c>
      <c r="F11783" s="18" t="str">
        <f>IFERROR(__XLUDF.DUMMYFUNCTION("PROPER(REGEXREPLACE(D1695,""[^A-Za-z]+ "",""""))"),"Trianon Homes")</f>
        <v xml:space="preserve">Trianon Homes</v>
      </c>
      <c r="G11783" s="18" t="s">
        <v>54966</v>
      </c>
      <c r="H11783" s="18">
        <v>32</v>
      </c>
      <c r="I11783" s="18" t="s">
        <v>9239</v>
      </c>
      <c r="J11783" s="5" t="s">
        <v>54967</v>
      </c>
      <c r="K11783" s="5" t="s">
        <v>54968</v>
      </c>
      <c r="L11783" s="6"/>
      <c r="M11783" s="18" t="s">
        <v>29</v>
      </c>
      <c r="N11783" s="18" t="s">
        <v>54969</v>
      </c>
      <c r="O11783" s="18" t="s">
        <v>54970</v>
      </c>
      <c r="P11783" s="6"/>
      <c r="Q11783" s="6"/>
      <c r="R11783" s="6"/>
      <c r="S11783" s="6"/>
      <c r="T11783" s="6"/>
      <c r="U11783" s="6"/>
    </row>
    <row r="11784" ht="14.25">
      <c r="B11784" s="18" t="s">
        <v>20</v>
      </c>
      <c r="C11784" s="18" t="s">
        <v>54971</v>
      </c>
      <c r="D11784" s="18" t="s">
        <v>54972</v>
      </c>
      <c r="E11784" s="18" t="s">
        <v>54973</v>
      </c>
      <c r="F11784" s="18" t="str">
        <f>IFERROR(__XLUDF.DUMMYFUNCTION("PROPER(REGEXREPLACE(D1696,""[^A-Za-z]+ "",""""))"),"Erb Entreprise Générale")</f>
        <v xml:space="preserve">Erb Entreprise Générale</v>
      </c>
      <c r="G11784" s="18" t="s">
        <v>54974</v>
      </c>
      <c r="H11784" s="18">
        <v>36</v>
      </c>
      <c r="I11784" s="18" t="s">
        <v>9239</v>
      </c>
      <c r="J11784" s="5" t="s">
        <v>54975</v>
      </c>
      <c r="K11784" s="5" t="s">
        <v>54976</v>
      </c>
      <c r="L11784" s="18" t="s">
        <v>1312</v>
      </c>
      <c r="M11784" s="18" t="s">
        <v>29</v>
      </c>
      <c r="N11784" s="18" t="s">
        <v>54977</v>
      </c>
      <c r="O11784" s="18" t="s">
        <v>29</v>
      </c>
      <c r="P11784" s="6"/>
      <c r="Q11784" s="6"/>
      <c r="R11784" s="6"/>
      <c r="S11784" s="6"/>
      <c r="T11784" s="6"/>
      <c r="U11784" s="6"/>
    </row>
    <row r="11785" ht="14.25">
      <c r="B11785" s="18" t="s">
        <v>817</v>
      </c>
      <c r="C11785" s="18" t="s">
        <v>51625</v>
      </c>
      <c r="D11785" s="18" t="s">
        <v>54978</v>
      </c>
      <c r="E11785" s="18" t="s">
        <v>54979</v>
      </c>
      <c r="F11785" s="18" t="str">
        <f>IFERROR(__XLUDF.DUMMYFUNCTION("PROPER(REGEXREPLACE(D1697,""[^A-Za-z]+ "",""""))"),"Ilot")</f>
        <v>Ilot</v>
      </c>
      <c r="G11785" s="18" t="s">
        <v>54980</v>
      </c>
      <c r="H11785" s="18">
        <v>46</v>
      </c>
      <c r="I11785" s="18" t="s">
        <v>9239</v>
      </c>
      <c r="J11785" s="5" t="s">
        <v>54981</v>
      </c>
      <c r="K11785" s="5" t="s">
        <v>54982</v>
      </c>
      <c r="L11785" s="18" t="s">
        <v>19664</v>
      </c>
      <c r="M11785" s="18" t="s">
        <v>29</v>
      </c>
      <c r="N11785" s="18" t="s">
        <v>54104</v>
      </c>
      <c r="O11785" s="18" t="s">
        <v>29</v>
      </c>
      <c r="P11785" s="18" t="s">
        <v>54983</v>
      </c>
      <c r="Q11785" s="6"/>
      <c r="R11785" s="6"/>
      <c r="S11785" s="6"/>
      <c r="T11785" s="6"/>
      <c r="U11785" s="6"/>
    </row>
    <row r="11786" ht="14.25">
      <c r="B11786" s="18" t="s">
        <v>4341</v>
      </c>
      <c r="C11786" s="18" t="s">
        <v>54984</v>
      </c>
      <c r="D11786" s="18" t="s">
        <v>1130</v>
      </c>
      <c r="E11786" s="18" t="s">
        <v>54985</v>
      </c>
      <c r="F11786" s="18" t="str">
        <f>IFERROR(__XLUDF.DUMMYFUNCTION("PROPER(REGEXREPLACE(D1698,""[^A-Za-z]+ "",""""))"),"Floca-Rem")</f>
        <v>Floca-Rem</v>
      </c>
      <c r="G11786" s="18" t="s">
        <v>54986</v>
      </c>
      <c r="H11786" s="18">
        <v>6</v>
      </c>
      <c r="I11786" s="18" t="s">
        <v>9239</v>
      </c>
      <c r="J11786" s="5" t="s">
        <v>54987</v>
      </c>
      <c r="K11786" s="5" t="s">
        <v>54988</v>
      </c>
      <c r="L11786" s="18" t="s">
        <v>562</v>
      </c>
      <c r="M11786" s="18" t="s">
        <v>29</v>
      </c>
      <c r="N11786" s="18" t="s">
        <v>54989</v>
      </c>
      <c r="O11786" s="18" t="s">
        <v>29</v>
      </c>
      <c r="P11786" s="18" t="s">
        <v>54990</v>
      </c>
      <c r="Q11786" s="6"/>
      <c r="R11786" s="6"/>
      <c r="S11786" s="6"/>
      <c r="T11786" s="6"/>
      <c r="U11786" s="6"/>
    </row>
    <row r="11787" ht="14.25">
      <c r="B11787" s="18" t="s">
        <v>2299</v>
      </c>
      <c r="C11787" s="18" t="s">
        <v>54991</v>
      </c>
      <c r="D11787" s="18" t="s">
        <v>1130</v>
      </c>
      <c r="E11787" s="18" t="s">
        <v>54992</v>
      </c>
      <c r="F11787" s="18" t="str">
        <f>IFERROR(__XLUDF.DUMMYFUNCTION("PROPER(REGEXREPLACE(D1699,""[^A-Za-z]+ "",""""))"),"Recma")</f>
        <v>Recma</v>
      </c>
      <c r="G11787" s="18" t="s">
        <v>54993</v>
      </c>
      <c r="H11787" s="18">
        <v>26</v>
      </c>
      <c r="I11787" s="18" t="s">
        <v>9239</v>
      </c>
      <c r="J11787" s="5" t="s">
        <v>54994</v>
      </c>
      <c r="K11787" s="5" t="s">
        <v>54995</v>
      </c>
      <c r="L11787" s="18" t="s">
        <v>39</v>
      </c>
      <c r="M11787" s="18" t="s">
        <v>29</v>
      </c>
      <c r="N11787" s="18" t="s">
        <v>54996</v>
      </c>
      <c r="O11787" s="18" t="s">
        <v>29</v>
      </c>
      <c r="P11787" s="18" t="s">
        <v>54997</v>
      </c>
      <c r="Q11787" s="6"/>
      <c r="R11787" s="6"/>
      <c r="S11787" s="6"/>
      <c r="T11787" s="6"/>
      <c r="U11787" s="6"/>
    </row>
    <row r="11788" ht="14.25">
      <c r="B11788" s="18" t="s">
        <v>76</v>
      </c>
      <c r="C11788" s="18" t="s">
        <v>48408</v>
      </c>
      <c r="D11788" s="18" t="s">
        <v>112</v>
      </c>
      <c r="E11788" s="18" t="s">
        <v>54998</v>
      </c>
      <c r="F11788" s="18" t="str">
        <f>IFERROR(__XLUDF.DUMMYFUNCTION("PROPER(REGEXREPLACE(D1700,""[^A-Za-z]+ "",""""))"),"Afl Amélioration Française Du Logement")</f>
        <v xml:space="preserve">Afl Amélioration Française Du Logement</v>
      </c>
      <c r="G11788" s="18" t="s">
        <v>54999</v>
      </c>
      <c r="H11788" s="18">
        <v>13</v>
      </c>
      <c r="I11788" s="18" t="s">
        <v>9239</v>
      </c>
      <c r="J11788" s="5" t="s">
        <v>55000</v>
      </c>
      <c r="K11788" s="5" t="s">
        <v>55001</v>
      </c>
      <c r="L11788" s="18" t="s">
        <v>846</v>
      </c>
      <c r="M11788" s="18" t="s">
        <v>29</v>
      </c>
      <c r="N11788" s="18" t="s">
        <v>55002</v>
      </c>
      <c r="O11788" s="18" t="s">
        <v>29</v>
      </c>
      <c r="P11788" s="18" t="s">
        <v>55003</v>
      </c>
      <c r="Q11788" s="6"/>
      <c r="R11788" s="6"/>
      <c r="S11788" s="6"/>
      <c r="T11788" s="6"/>
      <c r="U11788" s="6"/>
    </row>
    <row r="11789" ht="14.25">
      <c r="B11789" s="18" t="s">
        <v>22377</v>
      </c>
      <c r="C11789" s="18" t="s">
        <v>16196</v>
      </c>
      <c r="D11789" s="18" t="s">
        <v>55004</v>
      </c>
      <c r="E11789" s="18" t="s">
        <v>54525</v>
      </c>
      <c r="F11789" s="18" t="str">
        <f>IFERROR(__XLUDF.DUMMYFUNCTION("PROPER(REGEXREPLACE(D1701,""[^A-Za-z]+ "",""""))"),"Sopump")</f>
        <v>Sopump</v>
      </c>
      <c r="G11789" s="18" t="s">
        <v>55005</v>
      </c>
      <c r="H11789" s="18">
        <v>4</v>
      </c>
      <c r="I11789" s="18" t="s">
        <v>47738</v>
      </c>
      <c r="J11789" s="5" t="s">
        <v>55006</v>
      </c>
      <c r="K11789" s="5" t="s">
        <v>54528</v>
      </c>
      <c r="L11789" s="18" t="s">
        <v>482</v>
      </c>
      <c r="M11789" s="18" t="s">
        <v>29</v>
      </c>
      <c r="N11789" s="18" t="s">
        <v>22691</v>
      </c>
      <c r="O11789" s="18" t="s">
        <v>29</v>
      </c>
      <c r="P11789" s="18" t="s">
        <v>54529</v>
      </c>
      <c r="Q11789" s="6"/>
      <c r="R11789" s="6"/>
      <c r="S11789" s="6"/>
      <c r="T11789" s="6"/>
      <c r="U11789" s="6"/>
    </row>
    <row r="11790" ht="14.25">
      <c r="B11790" s="18" t="s">
        <v>808</v>
      </c>
      <c r="C11790" s="18" t="s">
        <v>55007</v>
      </c>
      <c r="D11790" s="18" t="s">
        <v>112</v>
      </c>
      <c r="E11790" s="18" t="s">
        <v>55008</v>
      </c>
      <c r="F11790" s="18" t="str">
        <f>IFERROR(__XLUDF.DUMMYFUNCTION("PROPER(REGEXREPLACE(D1702,""[^A-Za-z]+ "",""""))"),"Logissia")</f>
        <v>Logissia</v>
      </c>
      <c r="G11790" s="18" t="s">
        <v>55009</v>
      </c>
      <c r="H11790" s="18">
        <v>57</v>
      </c>
      <c r="I11790" s="18" t="s">
        <v>4293</v>
      </c>
      <c r="J11790" s="5" t="s">
        <v>55010</v>
      </c>
      <c r="K11790" s="5" t="s">
        <v>55011</v>
      </c>
      <c r="L11790" s="18" t="s">
        <v>55012</v>
      </c>
      <c r="M11790" s="18" t="s">
        <v>29</v>
      </c>
      <c r="N11790" s="18" t="s">
        <v>55013</v>
      </c>
      <c r="O11790" s="18" t="s">
        <v>29</v>
      </c>
      <c r="P11790" s="18" t="s">
        <v>55014</v>
      </c>
      <c r="Q11790" s="6"/>
      <c r="R11790" s="6"/>
      <c r="S11790" s="6"/>
      <c r="T11790" s="6"/>
      <c r="U11790" s="6"/>
    </row>
    <row r="11791" ht="14.25">
      <c r="B11791" s="18" t="s">
        <v>355</v>
      </c>
      <c r="C11791" s="18" t="s">
        <v>8274</v>
      </c>
      <c r="D11791" s="18" t="s">
        <v>112</v>
      </c>
      <c r="E11791" s="18" t="s">
        <v>55015</v>
      </c>
      <c r="F11791" s="18" t="str">
        <f>IFERROR(__XLUDF.DUMMYFUNCTION("PROPER(REGEXREPLACE(D1703,""[^A-Za-z]+ "",""""))"),"Domeus Constructions")</f>
        <v xml:space="preserve">Domeus Constructions</v>
      </c>
      <c r="G11791" s="18" t="s">
        <v>55016</v>
      </c>
      <c r="H11791" s="18">
        <v>10</v>
      </c>
      <c r="I11791" s="18" t="s">
        <v>9239</v>
      </c>
      <c r="J11791" s="5" t="s">
        <v>55017</v>
      </c>
      <c r="K11791" s="5" t="s">
        <v>55018</v>
      </c>
      <c r="L11791" s="18" t="s">
        <v>1711</v>
      </c>
      <c r="M11791" s="18" t="s">
        <v>29</v>
      </c>
      <c r="N11791" s="18" t="s">
        <v>55019</v>
      </c>
      <c r="O11791" s="18" t="s">
        <v>29</v>
      </c>
      <c r="P11791" s="6"/>
      <c r="Q11791" s="6"/>
      <c r="R11791" s="6"/>
      <c r="S11791" s="6"/>
      <c r="T11791" s="6"/>
      <c r="U11791" s="6"/>
    </row>
    <row r="11792" ht="14.25">
      <c r="B11792" s="18" t="s">
        <v>630</v>
      </c>
      <c r="C11792" s="18" t="s">
        <v>485</v>
      </c>
      <c r="D11792" s="18" t="s">
        <v>112</v>
      </c>
      <c r="E11792" s="18" t="s">
        <v>55020</v>
      </c>
      <c r="F11792" s="18" t="str">
        <f>IFERROR(__XLUDF.DUMMYFUNCTION("PROPER(REGEXREPLACE(D1704,""[^A-Za-z]+ "",""""))"),"Acmes Sas")</f>
        <v xml:space="preserve">Acmes Sas</v>
      </c>
      <c r="G11792" s="18" t="s">
        <v>55021</v>
      </c>
      <c r="H11792" s="18">
        <v>14</v>
      </c>
      <c r="I11792" s="18" t="s">
        <v>9239</v>
      </c>
      <c r="J11792" s="5" t="s">
        <v>55022</v>
      </c>
      <c r="K11792" s="5" t="s">
        <v>55023</v>
      </c>
      <c r="L11792" s="18" t="s">
        <v>243</v>
      </c>
      <c r="M11792" s="18" t="s">
        <v>29</v>
      </c>
      <c r="N11792" s="18" t="s">
        <v>55024</v>
      </c>
      <c r="O11792" s="18" t="s">
        <v>29</v>
      </c>
      <c r="P11792" s="6"/>
      <c r="Q11792" s="6"/>
      <c r="R11792" s="6"/>
      <c r="S11792" s="6"/>
      <c r="T11792" s="6"/>
      <c r="U11792" s="6"/>
    </row>
    <row r="11793" ht="14.25">
      <c r="B11793" s="18" t="s">
        <v>1592</v>
      </c>
      <c r="C11793" s="18" t="s">
        <v>23551</v>
      </c>
      <c r="D11793" s="18" t="s">
        <v>19877</v>
      </c>
      <c r="E11793" s="18" t="s">
        <v>55025</v>
      </c>
      <c r="F11793" s="18" t="str">
        <f>IFERROR(__XLUDF.DUMMYFUNCTION("PROPER(REGEXREPLACE(D1705,""[^A-Za-z]+ "",""""))"),"Mf Drone")</f>
        <v xml:space="preserve">Mf Drone</v>
      </c>
      <c r="G11793" s="18" t="s">
        <v>55026</v>
      </c>
      <c r="H11793" s="18">
        <v>2</v>
      </c>
      <c r="I11793" s="18" t="s">
        <v>9239</v>
      </c>
      <c r="J11793" s="5" t="s">
        <v>55027</v>
      </c>
      <c r="K11793" s="5" t="s">
        <v>55028</v>
      </c>
      <c r="L11793" s="18" t="s">
        <v>4922</v>
      </c>
      <c r="M11793" s="18" t="s">
        <v>29</v>
      </c>
      <c r="N11793" s="18" t="s">
        <v>55029</v>
      </c>
      <c r="O11793" s="18" t="s">
        <v>29</v>
      </c>
      <c r="P11793" s="6"/>
      <c r="Q11793" s="6"/>
      <c r="R11793" s="6"/>
      <c r="S11793" s="6"/>
      <c r="T11793" s="6"/>
      <c r="U11793" s="6"/>
    </row>
    <row r="11794" ht="14.25">
      <c r="B11794" s="18" t="s">
        <v>808</v>
      </c>
      <c r="C11794" s="18" t="s">
        <v>55030</v>
      </c>
      <c r="D11794" s="18" t="s">
        <v>19297</v>
      </c>
      <c r="E11794" s="18" t="s">
        <v>53911</v>
      </c>
      <c r="F11794" s="18" t="str">
        <f>IFERROR(__XLUDF.DUMMYFUNCTION("PROPER(REGEXREPLACE(D1706,""[^A-Za-z]+ "",""""))"),"Alcad Climservice")</f>
        <v xml:space="preserve">Alcad Climservice</v>
      </c>
      <c r="G11794" s="18" t="s">
        <v>55031</v>
      </c>
      <c r="H11794" s="18">
        <v>18</v>
      </c>
      <c r="I11794" s="18" t="s">
        <v>9239</v>
      </c>
      <c r="J11794" s="5" t="s">
        <v>55032</v>
      </c>
      <c r="K11794" s="5" t="s">
        <v>53914</v>
      </c>
      <c r="L11794" s="6"/>
      <c r="M11794" s="18" t="s">
        <v>29</v>
      </c>
      <c r="N11794" s="18" t="s">
        <v>53915</v>
      </c>
      <c r="O11794" s="18" t="s">
        <v>29</v>
      </c>
      <c r="P11794" s="6"/>
      <c r="Q11794" s="6"/>
      <c r="R11794" s="6"/>
      <c r="S11794" s="6"/>
      <c r="T11794" s="6"/>
      <c r="U11794" s="6"/>
    </row>
    <row r="11795" ht="14.25">
      <c r="B11795" s="18" t="s">
        <v>571</v>
      </c>
      <c r="C11795" s="18" t="s">
        <v>55033</v>
      </c>
      <c r="D11795" s="18" t="s">
        <v>426</v>
      </c>
      <c r="E11795" s="18" t="s">
        <v>55034</v>
      </c>
      <c r="F11795" s="18" t="str">
        <f>IFERROR(__XLUDF.DUMMYFUNCTION("PROPER(REGEXREPLACE(D1707,""[^A-Za-z]+ "",""""))"),"Groupe Eddifis")</f>
        <v xml:space="preserve">Groupe Eddifis</v>
      </c>
      <c r="G11795" s="18" t="s">
        <v>55035</v>
      </c>
      <c r="H11795" s="18">
        <v>19</v>
      </c>
      <c r="I11795" s="18" t="s">
        <v>9239</v>
      </c>
      <c r="J11795" s="5" t="s">
        <v>55036</v>
      </c>
      <c r="K11795" s="5" t="s">
        <v>55037</v>
      </c>
      <c r="L11795" s="18" t="s">
        <v>39</v>
      </c>
      <c r="M11795" s="18" t="s">
        <v>29</v>
      </c>
      <c r="N11795" s="18" t="s">
        <v>55038</v>
      </c>
      <c r="O11795" s="18" t="s">
        <v>29</v>
      </c>
      <c r="P11795" s="6"/>
      <c r="Q11795" s="6"/>
      <c r="R11795" s="6"/>
      <c r="S11795" s="6"/>
      <c r="T11795" s="6"/>
      <c r="U11795" s="6"/>
    </row>
    <row r="11796" ht="14.25">
      <c r="B11796" s="18" t="s">
        <v>1732</v>
      </c>
      <c r="C11796" s="18" t="s">
        <v>12327</v>
      </c>
      <c r="D11796" s="18" t="s">
        <v>55039</v>
      </c>
      <c r="E11796" s="18" t="s">
        <v>55040</v>
      </c>
      <c r="F11796" s="18" t="str">
        <f>IFERROR(__XLUDF.DUMMYFUNCTION("PROPER(REGEXREPLACE(D1708,""[^A-Za-z]+ "",""""))"),"G2V")</f>
        <v>G2V</v>
      </c>
      <c r="G11796" s="18" t="s">
        <v>55041</v>
      </c>
      <c r="H11796" s="18">
        <v>34</v>
      </c>
      <c r="I11796" s="18" t="s">
        <v>9239</v>
      </c>
      <c r="J11796" s="5" t="s">
        <v>55042</v>
      </c>
      <c r="K11796" s="5" t="s">
        <v>55043</v>
      </c>
      <c r="L11796" s="18" t="s">
        <v>47741</v>
      </c>
      <c r="M11796" s="18" t="s">
        <v>29</v>
      </c>
      <c r="N11796" s="18" t="s">
        <v>55044</v>
      </c>
      <c r="O11796" s="18" t="s">
        <v>29</v>
      </c>
      <c r="P11796" s="6"/>
      <c r="Q11796" s="6"/>
      <c r="R11796" s="6"/>
      <c r="S11796" s="6"/>
      <c r="T11796" s="6"/>
      <c r="U11796" s="6"/>
    </row>
    <row r="11797" ht="14.25">
      <c r="B11797" s="18" t="s">
        <v>7525</v>
      </c>
      <c r="C11797" s="18" t="s">
        <v>4086</v>
      </c>
      <c r="D11797" s="18" t="s">
        <v>341</v>
      </c>
      <c r="E11797" s="18" t="s">
        <v>55045</v>
      </c>
      <c r="F11797" s="18" t="str">
        <f>IFERROR(__XLUDF.DUMMYFUNCTION("PROPER(REGEXREPLACE(D1709,""[^A-Za-z]+ "",""""))"),"Decobat Entreprises")</f>
        <v xml:space="preserve">Decobat Entreprises</v>
      </c>
      <c r="G11797" s="18" t="s">
        <v>55046</v>
      </c>
      <c r="H11797" s="18">
        <v>18</v>
      </c>
      <c r="I11797" s="18" t="s">
        <v>9239</v>
      </c>
      <c r="J11797" s="5" t="s">
        <v>55047</v>
      </c>
      <c r="K11797" s="5" t="s">
        <v>55048</v>
      </c>
      <c r="L11797" s="18" t="s">
        <v>39</v>
      </c>
      <c r="M11797" s="18" t="s">
        <v>29</v>
      </c>
      <c r="N11797" s="18" t="s">
        <v>55049</v>
      </c>
      <c r="O11797" s="18" t="s">
        <v>29</v>
      </c>
      <c r="P11797" s="6"/>
      <c r="Q11797" s="6"/>
      <c r="R11797" s="6"/>
      <c r="S11797" s="6"/>
      <c r="T11797" s="6"/>
      <c r="U11797" s="6"/>
    </row>
    <row r="11798" ht="14.25">
      <c r="B11798" s="18" t="s">
        <v>17452</v>
      </c>
      <c r="C11798" s="18" t="s">
        <v>55050</v>
      </c>
      <c r="D11798" s="18" t="s">
        <v>24803</v>
      </c>
      <c r="E11798" s="18" t="s">
        <v>55051</v>
      </c>
      <c r="F11798" s="18" t="str">
        <f>IFERROR(__XLUDF.DUMMYFUNCTION("PROPER(REGEXREPLACE(D1710,""[^A-Za-z]+ "",""""))"),"Torqelectric Motion")</f>
        <v xml:space="preserve">Torqelectric Motion</v>
      </c>
      <c r="G11798" s="18" t="s">
        <v>55052</v>
      </c>
      <c r="H11798" s="18">
        <v>4</v>
      </c>
      <c r="I11798" s="18" t="s">
        <v>14347</v>
      </c>
      <c r="J11798" s="5" t="s">
        <v>55053</v>
      </c>
      <c r="K11798" s="5" t="s">
        <v>55054</v>
      </c>
      <c r="L11798" s="18" t="s">
        <v>1711</v>
      </c>
      <c r="M11798" s="18" t="s">
        <v>29</v>
      </c>
      <c r="N11798" s="18" t="s">
        <v>55055</v>
      </c>
      <c r="O11798" s="18" t="s">
        <v>29</v>
      </c>
      <c r="P11798" s="18" t="s">
        <v>55056</v>
      </c>
      <c r="Q11798" s="6"/>
      <c r="R11798" s="6"/>
      <c r="S11798" s="6"/>
      <c r="T11798" s="6"/>
      <c r="U11798" s="6"/>
    </row>
    <row r="11799" ht="14.25">
      <c r="B11799" s="18" t="s">
        <v>55057</v>
      </c>
      <c r="C11799" s="18" t="s">
        <v>10695</v>
      </c>
      <c r="D11799" s="18" t="s">
        <v>87</v>
      </c>
      <c r="E11799" s="18" t="s">
        <v>55058</v>
      </c>
      <c r="F11799" s="18" t="str">
        <f>IFERROR(__XLUDF.DUMMYFUNCTION("PROPER(REGEXREPLACE(D1711,""[^A-Za-z]+ "",""""))"),"Eathventum")</f>
        <v>Eathventum</v>
      </c>
      <c r="G11799" s="18" t="s">
        <v>55059</v>
      </c>
      <c r="H11799" s="18">
        <v>3</v>
      </c>
      <c r="I11799" s="18" t="s">
        <v>14347</v>
      </c>
      <c r="J11799" s="5" t="s">
        <v>55060</v>
      </c>
      <c r="K11799" s="5" t="s">
        <v>55061</v>
      </c>
      <c r="L11799" s="18" t="s">
        <v>39</v>
      </c>
      <c r="M11799" s="18" t="s">
        <v>29</v>
      </c>
      <c r="N11799" s="18" t="s">
        <v>55062</v>
      </c>
      <c r="O11799" s="18" t="s">
        <v>29</v>
      </c>
      <c r="P11799" s="6"/>
      <c r="Q11799" s="6"/>
      <c r="R11799" s="6"/>
      <c r="S11799" s="6"/>
      <c r="T11799" s="6"/>
      <c r="U11799" s="6"/>
    </row>
    <row r="11800" ht="14.25">
      <c r="B11800" s="18" t="s">
        <v>14276</v>
      </c>
      <c r="C11800" s="18" t="s">
        <v>55063</v>
      </c>
      <c r="D11800" s="18" t="s">
        <v>55064</v>
      </c>
      <c r="E11800" s="18" t="s">
        <v>55065</v>
      </c>
      <c r="F11800" s="18" t="str">
        <f>IFERROR(__XLUDF.DUMMYFUNCTION("PROPER(REGEXREPLACE(D1712,""[^A-Za-z]+ "",""""))"),"Stugan")</f>
        <v>Stugan</v>
      </c>
      <c r="G11800" s="18" t="s">
        <v>55066</v>
      </c>
      <c r="H11800" s="18">
        <v>2</v>
      </c>
      <c r="I11800" s="18" t="s">
        <v>9239</v>
      </c>
      <c r="J11800" s="5" t="s">
        <v>55067</v>
      </c>
      <c r="K11800" s="5" t="s">
        <v>55068</v>
      </c>
      <c r="L11800" s="18" t="s">
        <v>23932</v>
      </c>
      <c r="M11800" s="18" t="s">
        <v>29</v>
      </c>
      <c r="N11800" s="18" t="s">
        <v>55069</v>
      </c>
      <c r="O11800" s="18" t="s">
        <v>29</v>
      </c>
      <c r="P11800" s="6"/>
      <c r="Q11800" s="6"/>
      <c r="R11800" s="6"/>
      <c r="S11800" s="6"/>
      <c r="T11800" s="6"/>
      <c r="U11800" s="6"/>
    </row>
    <row r="11801" ht="14.25">
      <c r="B11801" s="18" t="s">
        <v>1732</v>
      </c>
      <c r="C11801" s="18" t="s">
        <v>55070</v>
      </c>
      <c r="D11801" s="18" t="s">
        <v>172</v>
      </c>
      <c r="E11801" s="18" t="s">
        <v>55071</v>
      </c>
      <c r="F11801" s="18" t="str">
        <f>IFERROR(__XLUDF.DUMMYFUNCTION("PROPER(REGEXREPLACE(D1713,""[^A-Za-z]+ "",""""))"),"Zeom")</f>
        <v>Zeom</v>
      </c>
      <c r="G11801" s="18" t="s">
        <v>55072</v>
      </c>
      <c r="H11801" s="18">
        <v>9</v>
      </c>
      <c r="I11801" s="18" t="s">
        <v>9239</v>
      </c>
      <c r="J11801" s="5" t="s">
        <v>55073</v>
      </c>
      <c r="K11801" s="5" t="s">
        <v>55074</v>
      </c>
      <c r="L11801" s="18" t="s">
        <v>1826</v>
      </c>
      <c r="M11801" s="18" t="s">
        <v>29</v>
      </c>
      <c r="N11801" s="18" t="s">
        <v>55075</v>
      </c>
      <c r="O11801" s="18" t="s">
        <v>29</v>
      </c>
      <c r="P11801" s="18" t="s">
        <v>55076</v>
      </c>
      <c r="Q11801" s="6"/>
      <c r="R11801" s="6"/>
      <c r="S11801" s="6"/>
      <c r="T11801" s="6"/>
      <c r="U11801" s="6"/>
    </row>
    <row r="11802" ht="14.25">
      <c r="B11802" s="18" t="s">
        <v>3332</v>
      </c>
      <c r="C11802" s="18" t="s">
        <v>55077</v>
      </c>
      <c r="D11802" s="18" t="s">
        <v>172</v>
      </c>
      <c r="E11802" s="18" t="s">
        <v>55078</v>
      </c>
      <c r="F11802" s="18" t="str">
        <f>IFERROR(__XLUDF.DUMMYFUNCTION("PROPER(REGEXREPLACE(D1714,""[^A-Za-z]+ "",""""))"),"Groupe Culture Habitat")</f>
        <v xml:space="preserve">Groupe Culture Habitat</v>
      </c>
      <c r="G11802" s="18" t="s">
        <v>55079</v>
      </c>
      <c r="H11802" s="18">
        <v>31</v>
      </c>
      <c r="I11802" s="18" t="s">
        <v>9239</v>
      </c>
      <c r="J11802" s="5" t="s">
        <v>55080</v>
      </c>
      <c r="K11802" s="5" t="s">
        <v>55081</v>
      </c>
      <c r="L11802" s="18" t="s">
        <v>185</v>
      </c>
      <c r="M11802" s="18" t="s">
        <v>29</v>
      </c>
      <c r="N11802" s="6"/>
      <c r="O11802" s="6"/>
      <c r="P11802" s="6"/>
      <c r="Q11802" s="6"/>
      <c r="R11802" s="6"/>
      <c r="S11802" s="6"/>
      <c r="T11802" s="6"/>
      <c r="U11802" s="6"/>
    </row>
    <row r="11803" ht="14.25">
      <c r="B11803" s="18" t="s">
        <v>768</v>
      </c>
      <c r="C11803" s="18" t="s">
        <v>55082</v>
      </c>
      <c r="D11803" s="18" t="s">
        <v>426</v>
      </c>
      <c r="E11803" s="18" t="s">
        <v>55083</v>
      </c>
      <c r="F11803" s="18" t="str">
        <f>IFERROR(__XLUDF.DUMMYFUNCTION("PROPER(REGEXREPLACE(D1715,""[^A-Za-z]+ "",""""))"),"Maisons Claude Rizzon")</f>
        <v xml:space="preserve">Maisons Claude Rizzon</v>
      </c>
      <c r="G11803" s="18" t="s">
        <v>55084</v>
      </c>
      <c r="H11803" s="18">
        <v>18</v>
      </c>
      <c r="I11803" s="18" t="s">
        <v>9239</v>
      </c>
      <c r="J11803" s="5" t="s">
        <v>55085</v>
      </c>
      <c r="K11803" s="5" t="s">
        <v>55086</v>
      </c>
      <c r="L11803" s="18" t="s">
        <v>55087</v>
      </c>
      <c r="M11803" s="18" t="s">
        <v>29</v>
      </c>
      <c r="N11803" s="18" t="s">
        <v>55088</v>
      </c>
      <c r="O11803" s="18" t="s">
        <v>29</v>
      </c>
      <c r="P11803" s="6"/>
      <c r="Q11803" s="6"/>
      <c r="R11803" s="6"/>
      <c r="S11803" s="6"/>
      <c r="T11803" s="6"/>
      <c r="U11803" s="6"/>
    </row>
    <row r="11804" ht="14.25">
      <c r="B11804" s="18" t="s">
        <v>55089</v>
      </c>
      <c r="C11804" s="18" t="s">
        <v>55090</v>
      </c>
      <c r="D11804" s="18" t="s">
        <v>172</v>
      </c>
      <c r="E11804" s="18" t="s">
        <v>55091</v>
      </c>
      <c r="F11804" s="18" t="str">
        <f>IFERROR(__XLUDF.DUMMYFUNCTION("PROPER(REGEXREPLACE(D1716,""[^A-Za-z]+ "",""""))"),"Semm Logging")</f>
        <v xml:space="preserve">Semm Logging</v>
      </c>
      <c r="G11804" s="18" t="s">
        <v>55092</v>
      </c>
      <c r="H11804" s="18">
        <v>11</v>
      </c>
      <c r="I11804" s="18" t="s">
        <v>9239</v>
      </c>
      <c r="J11804" s="5" t="s">
        <v>55093</v>
      </c>
      <c r="K11804" s="5" t="s">
        <v>55094</v>
      </c>
      <c r="L11804" s="18" t="s">
        <v>6489</v>
      </c>
      <c r="M11804" s="18" t="s">
        <v>29</v>
      </c>
      <c r="N11804" s="18" t="s">
        <v>55095</v>
      </c>
      <c r="O11804" s="18" t="s">
        <v>29</v>
      </c>
      <c r="P11804" s="6"/>
      <c r="Q11804" s="6"/>
      <c r="R11804" s="6"/>
      <c r="S11804" s="6"/>
      <c r="T11804" s="6"/>
      <c r="U11804" s="6"/>
    </row>
    <row r="11805" ht="14.25">
      <c r="B11805" s="18" t="s">
        <v>76</v>
      </c>
      <c r="C11805" s="18" t="s">
        <v>15014</v>
      </c>
      <c r="D11805" s="18" t="s">
        <v>172</v>
      </c>
      <c r="E11805" s="18" t="s">
        <v>55096</v>
      </c>
      <c r="F11805" s="18" t="str">
        <f>IFERROR(__XLUDF.DUMMYFUNCTION("PROPER(REGEXREPLACE(D1717,""[^A-Za-z]+ "",""""))"),"Cv3E")</f>
        <v>Cv3E</v>
      </c>
      <c r="G11805" s="18" t="s">
        <v>55097</v>
      </c>
      <c r="H11805" s="18">
        <v>13</v>
      </c>
      <c r="I11805" s="18" t="s">
        <v>9239</v>
      </c>
      <c r="J11805" s="5" t="s">
        <v>55098</v>
      </c>
      <c r="K11805" s="5" t="s">
        <v>55099</v>
      </c>
      <c r="L11805" s="6"/>
      <c r="M11805" s="18" t="s">
        <v>29</v>
      </c>
      <c r="N11805" s="18" t="s">
        <v>55100</v>
      </c>
      <c r="O11805" s="18" t="s">
        <v>29</v>
      </c>
      <c r="P11805" s="18" t="s">
        <v>55101</v>
      </c>
      <c r="Q11805" s="6"/>
      <c r="R11805" s="6"/>
      <c r="S11805" s="6"/>
      <c r="T11805" s="6"/>
      <c r="U11805" s="6"/>
    </row>
    <row r="11806" ht="14.25">
      <c r="B11806" s="18" t="s">
        <v>110</v>
      </c>
      <c r="C11806" s="18" t="s">
        <v>55102</v>
      </c>
      <c r="D11806" s="18" t="s">
        <v>172</v>
      </c>
      <c r="E11806" s="18" t="s">
        <v>55103</v>
      </c>
      <c r="F11806" s="18" t="str">
        <f>IFERROR(__XLUDF.DUMMYFUNCTION("PROPER(REGEXREPLACE(D1718,""[^A-Za-z]+ "",""""))"),"Maisons D’En France Sud Pyrénéesacteur De Procivis Nouvelle Aquitaine")</f>
        <v xml:space="preserve">Maisons D’En France Sud Pyrénéesacteur De Procivis Nouvelle Aquitaine</v>
      </c>
      <c r="G11806" s="18" t="s">
        <v>55104</v>
      </c>
      <c r="H11806" s="18">
        <v>26</v>
      </c>
      <c r="I11806" s="18" t="s">
        <v>9239</v>
      </c>
      <c r="J11806" s="5" t="s">
        <v>55105</v>
      </c>
      <c r="K11806" s="5" t="s">
        <v>55106</v>
      </c>
      <c r="L11806" s="18" t="s">
        <v>6489</v>
      </c>
      <c r="M11806" s="18" t="s">
        <v>29</v>
      </c>
      <c r="N11806" s="18" t="s">
        <v>55107</v>
      </c>
      <c r="O11806" s="18" t="s">
        <v>29</v>
      </c>
      <c r="P11806" s="6"/>
      <c r="Q11806" s="6"/>
      <c r="R11806" s="6"/>
      <c r="S11806" s="6"/>
      <c r="T11806" s="6"/>
      <c r="U11806" s="6"/>
    </row>
    <row r="11807" ht="14.25">
      <c r="B11807" s="18" t="s">
        <v>110</v>
      </c>
      <c r="C11807" s="18" t="s">
        <v>55108</v>
      </c>
      <c r="D11807" s="18" t="s">
        <v>172</v>
      </c>
      <c r="E11807" s="18" t="s">
        <v>55109</v>
      </c>
      <c r="F11807" s="18" t="str">
        <f>IFERROR(__XLUDF.DUMMYFUNCTION("PROPER(REGEXREPLACE(D1719,""[^A-Za-z]+ "",""""))"),"Advivo Office Public De L'Habitat")</f>
        <v xml:space="preserve">Advivo Office Public De L'Habitat</v>
      </c>
      <c r="G11807" s="18" t="s">
        <v>55110</v>
      </c>
      <c r="H11807" s="18">
        <v>50</v>
      </c>
      <c r="I11807" s="18" t="s">
        <v>4293</v>
      </c>
      <c r="J11807" s="5" t="s">
        <v>55111</v>
      </c>
      <c r="K11807" s="5" t="s">
        <v>55112</v>
      </c>
      <c r="L11807" s="18" t="s">
        <v>185</v>
      </c>
      <c r="M11807" s="18" t="s">
        <v>29</v>
      </c>
      <c r="N11807" s="18" t="s">
        <v>55113</v>
      </c>
      <c r="O11807" s="18" t="s">
        <v>29</v>
      </c>
      <c r="P11807" s="6"/>
      <c r="Q11807" s="6"/>
      <c r="R11807" s="6"/>
      <c r="S11807" s="6"/>
      <c r="T11807" s="6"/>
      <c r="U11807" s="6"/>
    </row>
    <row r="11808" ht="14.25">
      <c r="B11808" s="18" t="s">
        <v>55114</v>
      </c>
      <c r="C11808" s="18" t="s">
        <v>55115</v>
      </c>
      <c r="D11808" s="18" t="s">
        <v>3637</v>
      </c>
      <c r="E11808" s="18" t="s">
        <v>55116</v>
      </c>
      <c r="F11808" s="18" t="str">
        <f>IFERROR(__XLUDF.DUMMYFUNCTION("PROPER(REGEXREPLACE(D1720,""[^A-Za-z]+ "",""""))"),"M&amp;H Ingénierie")</f>
        <v xml:space="preserve">M&amp;H Ingénierie</v>
      </c>
      <c r="G11808" s="18" t="s">
        <v>55117</v>
      </c>
      <c r="H11808" s="18">
        <v>8</v>
      </c>
      <c r="I11808" s="18" t="s">
        <v>9239</v>
      </c>
      <c r="J11808" s="5" t="s">
        <v>55118</v>
      </c>
      <c r="K11808" s="5" t="s">
        <v>55119</v>
      </c>
      <c r="L11808" s="18" t="s">
        <v>12466</v>
      </c>
      <c r="M11808" s="18" t="s">
        <v>29</v>
      </c>
      <c r="N11808" s="18" t="s">
        <v>55120</v>
      </c>
      <c r="O11808" s="18" t="s">
        <v>29</v>
      </c>
      <c r="P11808" s="6"/>
      <c r="Q11808" s="6"/>
      <c r="R11808" s="6"/>
      <c r="S11808" s="6"/>
      <c r="T11808" s="6"/>
      <c r="U11808" s="6"/>
    </row>
    <row r="11809" ht="14.25">
      <c r="B11809" s="18" t="s">
        <v>5579</v>
      </c>
      <c r="C11809" s="18" t="s">
        <v>55121</v>
      </c>
      <c r="D11809" s="18" t="s">
        <v>172</v>
      </c>
      <c r="E11809" s="18" t="s">
        <v>55122</v>
      </c>
      <c r="F11809" s="18" t="str">
        <f>IFERROR(__XLUDF.DUMMYFUNCTION("PROPER(REGEXREPLACE(D1721,""[^A-Za-z]+ "",""""))"),"Anaclos")</f>
        <v>Anaclos</v>
      </c>
      <c r="G11809" s="18" t="s">
        <v>55123</v>
      </c>
      <c r="H11809" s="6"/>
      <c r="I11809" s="6"/>
      <c r="J11809" s="5" t="s">
        <v>55124</v>
      </c>
      <c r="K11809" s="5" t="s">
        <v>55125</v>
      </c>
      <c r="L11809" s="18" t="s">
        <v>11278</v>
      </c>
      <c r="M11809" s="18" t="s">
        <v>29</v>
      </c>
      <c r="N11809" s="6"/>
      <c r="O11809" s="6"/>
      <c r="P11809" s="6"/>
      <c r="Q11809" s="6"/>
      <c r="R11809" s="6"/>
      <c r="S11809" s="6"/>
      <c r="T11809" s="6"/>
      <c r="U11809" s="6"/>
    </row>
    <row r="11810" ht="14.25">
      <c r="B11810" s="18" t="s">
        <v>330</v>
      </c>
      <c r="C11810" s="18" t="s">
        <v>3967</v>
      </c>
      <c r="D11810" s="18" t="s">
        <v>44</v>
      </c>
      <c r="E11810" s="18" t="s">
        <v>55126</v>
      </c>
      <c r="F11810" s="18" t="str">
        <f>IFERROR(__XLUDF.DUMMYFUNCTION("PROPER(REGEXREPLACE(D1722,""[^A-Za-z]+ "",""""))"),"Realsense")</f>
        <v>Realsense</v>
      </c>
      <c r="G11810" s="18" t="s">
        <v>55127</v>
      </c>
      <c r="H11810" s="18">
        <v>1</v>
      </c>
      <c r="I11810" s="18" t="s">
        <v>9239</v>
      </c>
      <c r="J11810" s="5" t="s">
        <v>55128</v>
      </c>
      <c r="K11810" s="5" t="s">
        <v>55129</v>
      </c>
      <c r="L11810" s="18" t="s">
        <v>39</v>
      </c>
      <c r="M11810" s="18" t="s">
        <v>29</v>
      </c>
      <c r="N11810" s="18" t="s">
        <v>55130</v>
      </c>
      <c r="O11810" s="18" t="s">
        <v>29</v>
      </c>
      <c r="P11810" s="18" t="s">
        <v>55131</v>
      </c>
      <c r="Q11810" s="6"/>
      <c r="R11810" s="6"/>
      <c r="S11810" s="6"/>
      <c r="T11810" s="6"/>
      <c r="U11810" s="6"/>
    </row>
    <row r="11811" ht="14.25">
      <c r="B11811" s="18" t="s">
        <v>222</v>
      </c>
      <c r="C11811" s="18" t="s">
        <v>55132</v>
      </c>
      <c r="D11811" s="18" t="s">
        <v>55133</v>
      </c>
      <c r="E11811" s="18" t="s">
        <v>55134</v>
      </c>
      <c r="F11811" s="18" t="str">
        <f>IFERROR(__XLUDF.DUMMYFUNCTION("PROPER(REGEXREPLACE(D1723,""[^A-Za-z]+ "",""""))"),"Ilcree")</f>
        <v>Ilcree</v>
      </c>
      <c r="G11811" s="18" t="s">
        <v>55135</v>
      </c>
      <c r="H11811" s="18">
        <v>17</v>
      </c>
      <c r="I11811" s="18" t="s">
        <v>9239</v>
      </c>
      <c r="J11811" s="5" t="s">
        <v>55136</v>
      </c>
      <c r="K11811" s="5" t="s">
        <v>55137</v>
      </c>
      <c r="L11811" s="18" t="s">
        <v>47248</v>
      </c>
      <c r="M11811" s="18" t="s">
        <v>29</v>
      </c>
      <c r="N11811" s="18" t="s">
        <v>55138</v>
      </c>
      <c r="O11811" s="18" t="s">
        <v>29</v>
      </c>
      <c r="P11811" s="6"/>
      <c r="Q11811" s="6"/>
      <c r="R11811" s="6"/>
      <c r="S11811" s="6"/>
      <c r="T11811" s="6"/>
      <c r="U11811" s="6"/>
    </row>
    <row r="11812" ht="14.25">
      <c r="B11812" s="18" t="s">
        <v>55139</v>
      </c>
      <c r="C11812" s="18" t="s">
        <v>55140</v>
      </c>
      <c r="D11812" s="18" t="s">
        <v>172</v>
      </c>
      <c r="E11812" s="18" t="s">
        <v>55141</v>
      </c>
      <c r="F11812" s="18" t="str">
        <f>IFERROR(__XLUDF.DUMMYFUNCTION("PROPER(REGEXREPLACE(D1724,""[^A-Za-z]+ "",""""))"),"Mapair")</f>
        <v>Mapair</v>
      </c>
      <c r="G11812" s="18" t="s">
        <v>55142</v>
      </c>
      <c r="H11812" s="18">
        <v>4</v>
      </c>
      <c r="I11812" s="18" t="s">
        <v>9239</v>
      </c>
      <c r="J11812" s="5" t="s">
        <v>55143</v>
      </c>
      <c r="K11812" s="5" t="s">
        <v>55144</v>
      </c>
      <c r="L11812" s="18" t="s">
        <v>55145</v>
      </c>
      <c r="M11812" s="18" t="s">
        <v>29</v>
      </c>
      <c r="N11812" s="18" t="s">
        <v>55146</v>
      </c>
      <c r="O11812" s="18" t="s">
        <v>29</v>
      </c>
      <c r="P11812" s="6"/>
      <c r="Q11812" s="6"/>
      <c r="R11812" s="6"/>
      <c r="S11812" s="6"/>
      <c r="T11812" s="6"/>
      <c r="U11812" s="6"/>
    </row>
    <row r="11813" ht="14.25">
      <c r="B11813" s="18" t="s">
        <v>330</v>
      </c>
      <c r="C11813" s="18" t="s">
        <v>55147</v>
      </c>
      <c r="D11813" s="18" t="s">
        <v>172</v>
      </c>
      <c r="E11813" s="18" t="s">
        <v>55148</v>
      </c>
      <c r="F11813" s="18" t="str">
        <f>IFERROR(__XLUDF.DUMMYFUNCTION("PROPER(REGEXREPLACE(D1725,""[^A-Za-z]+ "",""""))"),"Groupe Secre")</f>
        <v xml:space="preserve">Groupe Secre</v>
      </c>
      <c r="G11813" s="18" t="s">
        <v>55149</v>
      </c>
      <c r="H11813" s="18">
        <v>28</v>
      </c>
      <c r="I11813" s="18" t="s">
        <v>9239</v>
      </c>
      <c r="J11813" s="5" t="s">
        <v>55150</v>
      </c>
      <c r="K11813" s="5" t="s">
        <v>55151</v>
      </c>
      <c r="L11813" s="18" t="s">
        <v>846</v>
      </c>
      <c r="M11813" s="18" t="s">
        <v>29</v>
      </c>
      <c r="N11813" s="18" t="s">
        <v>55152</v>
      </c>
      <c r="O11813" s="18" t="s">
        <v>29</v>
      </c>
      <c r="P11813" s="6"/>
      <c r="Q11813" s="6"/>
      <c r="R11813" s="6"/>
      <c r="S11813" s="6"/>
      <c r="T11813" s="6"/>
      <c r="U11813" s="6"/>
    </row>
    <row r="11814" ht="14.25">
      <c r="B11814" s="18" t="s">
        <v>5252</v>
      </c>
      <c r="C11814" s="18" t="s">
        <v>55153</v>
      </c>
      <c r="D11814" s="18" t="s">
        <v>172</v>
      </c>
      <c r="E11814" s="18" t="s">
        <v>55154</v>
      </c>
      <c r="F11814" s="18" t="str">
        <f>IFERROR(__XLUDF.DUMMYFUNCTION("PROPER(REGEXREPLACE(D1726,""[^A-Za-z]+ "",""""))"),"Prodotec")</f>
        <v>Prodotec</v>
      </c>
      <c r="G11814" s="18" t="s">
        <v>55155</v>
      </c>
      <c r="H11814" s="18">
        <v>5</v>
      </c>
      <c r="I11814" s="18" t="s">
        <v>9239</v>
      </c>
      <c r="J11814" s="5" t="s">
        <v>55156</v>
      </c>
      <c r="K11814" s="5" t="s">
        <v>55157</v>
      </c>
      <c r="L11814" s="18" t="s">
        <v>4922</v>
      </c>
      <c r="M11814" s="18" t="s">
        <v>29</v>
      </c>
      <c r="N11814" s="18" t="s">
        <v>55158</v>
      </c>
      <c r="O11814" s="18" t="s">
        <v>29</v>
      </c>
      <c r="P11814" s="6"/>
      <c r="Q11814" s="6"/>
      <c r="R11814" s="6"/>
      <c r="S11814" s="6"/>
      <c r="T11814" s="6"/>
      <c r="U11814" s="6"/>
    </row>
    <row r="11815" ht="14.25">
      <c r="B11815" s="18" t="s">
        <v>22218</v>
      </c>
      <c r="C11815" s="18" t="s">
        <v>55159</v>
      </c>
      <c r="D11815" s="18" t="s">
        <v>55160</v>
      </c>
      <c r="E11815" s="18" t="s">
        <v>55161</v>
      </c>
      <c r="F11815" s="18" t="str">
        <f>IFERROR(__XLUDF.DUMMYFUNCTION("PROPER(REGEXREPLACE(D1727,""[^A-Za-z]+ "",""""))"),"We Build Up")</f>
        <v xml:space="preserve">We Build Up</v>
      </c>
      <c r="G11815" s="18" t="s">
        <v>55162</v>
      </c>
      <c r="H11815" s="18">
        <v>2</v>
      </c>
      <c r="I11815" s="18" t="s">
        <v>9239</v>
      </c>
      <c r="J11815" s="5" t="s">
        <v>55163</v>
      </c>
      <c r="K11815" s="5" t="s">
        <v>55164</v>
      </c>
      <c r="L11815" s="18" t="s">
        <v>39</v>
      </c>
      <c r="M11815" s="18" t="s">
        <v>29</v>
      </c>
      <c r="N11815" s="18" t="s">
        <v>55165</v>
      </c>
      <c r="O11815" s="18" t="s">
        <v>29</v>
      </c>
      <c r="P11815" s="18" t="s">
        <v>55166</v>
      </c>
      <c r="Q11815" s="6"/>
      <c r="R11815" s="6"/>
      <c r="S11815" s="6"/>
      <c r="T11815" s="6"/>
      <c r="U11815" s="6"/>
    </row>
    <row r="11816" ht="14.25">
      <c r="B11816" s="18" t="s">
        <v>55167</v>
      </c>
      <c r="C11816" s="18" t="s">
        <v>55168</v>
      </c>
      <c r="D11816" s="18" t="s">
        <v>172</v>
      </c>
      <c r="E11816" s="18" t="s">
        <v>55169</v>
      </c>
      <c r="F11816" s="18" t="str">
        <f>IFERROR(__XLUDF.DUMMYFUNCTION("PROPER(REGEXREPLACE(D1728,""[^A-Za-z]+ "",""""))"),"Constructions Nascer Do Sol")</f>
        <v xml:space="preserve">Constructions Nascer Do Sol</v>
      </c>
      <c r="G11816" s="18" t="s">
        <v>55170</v>
      </c>
      <c r="H11816" s="18">
        <v>1</v>
      </c>
      <c r="I11816" s="18" t="s">
        <v>9239</v>
      </c>
      <c r="J11816" s="5" t="s">
        <v>55171</v>
      </c>
      <c r="K11816" s="5" t="s">
        <v>55172</v>
      </c>
      <c r="L11816" s="18" t="s">
        <v>10661</v>
      </c>
      <c r="M11816" s="18" t="s">
        <v>29</v>
      </c>
      <c r="N11816" s="18" t="s">
        <v>55173</v>
      </c>
      <c r="O11816" s="18" t="s">
        <v>29</v>
      </c>
      <c r="P11816" s="18" t="s">
        <v>55174</v>
      </c>
      <c r="Q11816" s="6"/>
      <c r="R11816" s="6"/>
      <c r="S11816" s="6"/>
      <c r="T11816" s="6"/>
      <c r="U11816" s="6"/>
    </row>
    <row r="11817" ht="14.25">
      <c r="B11817" s="18" t="s">
        <v>1596</v>
      </c>
      <c r="C11817" s="18" t="s">
        <v>55175</v>
      </c>
      <c r="D11817" s="18" t="s">
        <v>112</v>
      </c>
      <c r="E11817" s="18" t="s">
        <v>55176</v>
      </c>
      <c r="F11817" s="18" t="str">
        <f>IFERROR(__XLUDF.DUMMYFUNCTION("PROPER(REGEXREPLACE(D1729,""[^A-Za-z]+ "",""""))"),"Saint Quentin Bâtiment")</f>
        <v xml:space="preserve">Saint Quentin Bâtiment</v>
      </c>
      <c r="G11817" s="18" t="s">
        <v>55177</v>
      </c>
      <c r="H11817" s="18">
        <v>4</v>
      </c>
      <c r="I11817" s="18" t="s">
        <v>9239</v>
      </c>
      <c r="J11817" s="5" t="s">
        <v>55178</v>
      </c>
      <c r="K11817" s="5" t="s">
        <v>55179</v>
      </c>
      <c r="L11817" s="18" t="s">
        <v>6848</v>
      </c>
      <c r="M11817" s="18" t="s">
        <v>29</v>
      </c>
      <c r="N11817" s="18" t="s">
        <v>55180</v>
      </c>
      <c r="O11817" s="18" t="s">
        <v>29</v>
      </c>
      <c r="P11817" s="18" t="s">
        <v>55181</v>
      </c>
      <c r="Q11817" s="6"/>
      <c r="R11817" s="6"/>
      <c r="S11817" s="6"/>
      <c r="T11817" s="6"/>
      <c r="U11817" s="6"/>
    </row>
    <row r="11818" ht="14.25">
      <c r="B11818" s="18" t="s">
        <v>588</v>
      </c>
      <c r="C11818" s="18" t="s">
        <v>55182</v>
      </c>
      <c r="D11818" s="18" t="s">
        <v>1130</v>
      </c>
      <c r="E11818" s="18" t="s">
        <v>55183</v>
      </c>
      <c r="F11818" s="18" t="str">
        <f>IFERROR(__XLUDF.DUMMYFUNCTION("PROPER(REGEXREPLACE(D1730,""[^A-Za-z]+ "",""""))"),"La Maison Du Patrimoine")</f>
        <v xml:space="preserve">La Maison Du Patrimoine</v>
      </c>
      <c r="G11818" s="18" t="s">
        <v>55184</v>
      </c>
      <c r="H11818" s="18">
        <v>13</v>
      </c>
      <c r="I11818" s="18" t="s">
        <v>9239</v>
      </c>
      <c r="J11818" s="5" t="s">
        <v>55185</v>
      </c>
      <c r="K11818" s="5" t="s">
        <v>55186</v>
      </c>
      <c r="L11818" s="18" t="s">
        <v>6777</v>
      </c>
      <c r="M11818" s="18" t="s">
        <v>29</v>
      </c>
      <c r="N11818" s="18" t="s">
        <v>23519</v>
      </c>
      <c r="O11818" s="18" t="s">
        <v>29</v>
      </c>
      <c r="P11818" s="6"/>
      <c r="Q11818" s="6"/>
      <c r="R11818" s="6"/>
      <c r="S11818" s="6"/>
      <c r="T11818" s="6"/>
      <c r="U11818" s="6"/>
    </row>
    <row r="11819" ht="14.25">
      <c r="B11819" s="18" t="s">
        <v>55187</v>
      </c>
      <c r="C11819" s="18" t="s">
        <v>55188</v>
      </c>
      <c r="D11819" s="18" t="s">
        <v>1130</v>
      </c>
      <c r="E11819" s="18" t="s">
        <v>55189</v>
      </c>
      <c r="F11819" s="18" t="str">
        <f>IFERROR(__XLUDF.DUMMYFUNCTION("PROPER(REGEXREPLACE(D1731,""[^A-Za-z]+ "",""""))"),"Groupe Solidum")</f>
        <v xml:space="preserve">Groupe Solidum</v>
      </c>
      <c r="G11819" s="18" t="s">
        <v>55190</v>
      </c>
      <c r="H11819" s="18">
        <v>42</v>
      </c>
      <c r="I11819" s="18" t="s">
        <v>9239</v>
      </c>
      <c r="J11819" s="5" t="s">
        <v>55191</v>
      </c>
      <c r="K11819" s="5" t="s">
        <v>55192</v>
      </c>
      <c r="L11819" s="18" t="s">
        <v>846</v>
      </c>
      <c r="M11819" s="18" t="s">
        <v>29</v>
      </c>
      <c r="N11819" s="18" t="s">
        <v>55193</v>
      </c>
      <c r="O11819" s="18" t="s">
        <v>29</v>
      </c>
      <c r="P11819" s="6"/>
      <c r="Q11819" s="6"/>
      <c r="R11819" s="6"/>
      <c r="S11819" s="6"/>
      <c r="T11819" s="6"/>
      <c r="U11819" s="6"/>
    </row>
    <row r="11820" ht="14.25">
      <c r="B11820" s="18" t="s">
        <v>622</v>
      </c>
      <c r="C11820" s="18" t="s">
        <v>55194</v>
      </c>
      <c r="D11820" s="18" t="s">
        <v>172</v>
      </c>
      <c r="E11820" s="18" t="s">
        <v>55195</v>
      </c>
      <c r="F11820" s="18" t="str">
        <f>IFERROR(__XLUDF.DUMMYFUNCTION("PROPER(REGEXREPLACE(D1732,""[^A-Za-z]+ "",""""))"),"Societe Francilienne De Beton")</f>
        <v xml:space="preserve">Societe Francilienne De Beton</v>
      </c>
      <c r="G11820" s="18" t="s">
        <v>55196</v>
      </c>
      <c r="H11820" s="18">
        <v>36</v>
      </c>
      <c r="I11820" s="18" t="s">
        <v>9239</v>
      </c>
      <c r="J11820" s="5" t="s">
        <v>55197</v>
      </c>
      <c r="K11820" s="5" t="s">
        <v>55198</v>
      </c>
      <c r="L11820" s="18" t="s">
        <v>4257</v>
      </c>
      <c r="M11820" s="18" t="s">
        <v>29</v>
      </c>
      <c r="N11820" s="18" t="s">
        <v>55199</v>
      </c>
      <c r="O11820" s="18" t="s">
        <v>29</v>
      </c>
      <c r="P11820" s="18" t="s">
        <v>55200</v>
      </c>
      <c r="Q11820" s="6"/>
      <c r="R11820" s="6"/>
      <c r="S11820" s="6"/>
      <c r="T11820" s="6"/>
      <c r="U11820" s="6"/>
    </row>
    <row r="11821" ht="14.25">
      <c r="B11821" s="18" t="s">
        <v>206</v>
      </c>
      <c r="C11821" s="18" t="s">
        <v>55201</v>
      </c>
      <c r="D11821" s="18" t="s">
        <v>487</v>
      </c>
      <c r="E11821" s="18" t="s">
        <v>55202</v>
      </c>
      <c r="F11821" s="18" t="str">
        <f>IFERROR(__XLUDF.DUMMYFUNCTION("PROPER(REGEXREPLACE(D1733,""[^A-Za-z]+ "",""""))"),"Solarcom-Enr")</f>
        <v>Solarcom-Enr</v>
      </c>
      <c r="G11821" s="18" t="s">
        <v>55203</v>
      </c>
      <c r="H11821" s="18">
        <v>3</v>
      </c>
      <c r="I11821" s="18" t="s">
        <v>9239</v>
      </c>
      <c r="J11821" s="5" t="s">
        <v>55204</v>
      </c>
      <c r="K11821" s="5" t="s">
        <v>55205</v>
      </c>
      <c r="L11821" s="18" t="s">
        <v>13206</v>
      </c>
      <c r="M11821" s="18" t="s">
        <v>29</v>
      </c>
      <c r="N11821" s="18" t="s">
        <v>55206</v>
      </c>
      <c r="O11821" s="18" t="s">
        <v>29</v>
      </c>
      <c r="P11821" s="18" t="s">
        <v>55207</v>
      </c>
      <c r="Q11821" s="6"/>
      <c r="R11821" s="6"/>
      <c r="S11821" s="6"/>
      <c r="T11821" s="6"/>
      <c r="U11821" s="6"/>
    </row>
    <row r="11822" ht="14.25">
      <c r="B11822" s="18" t="s">
        <v>630</v>
      </c>
      <c r="C11822" s="18" t="s">
        <v>46138</v>
      </c>
      <c r="D11822" s="18" t="s">
        <v>112</v>
      </c>
      <c r="E11822" s="18" t="s">
        <v>55208</v>
      </c>
      <c r="F11822" s="18" t="str">
        <f>IFERROR(__XLUDF.DUMMYFUNCTION("PROPER(REGEXREPLACE(D1734,""[^A-Za-z]+ "",""""))"),"Db Centre")</f>
        <v xml:space="preserve">Db Centre</v>
      </c>
      <c r="G11822" s="18" t="s">
        <v>55209</v>
      </c>
      <c r="H11822" s="6"/>
      <c r="I11822" s="6"/>
      <c r="J11822" s="5" t="s">
        <v>55210</v>
      </c>
      <c r="K11822" s="5" t="s">
        <v>55211</v>
      </c>
      <c r="L11822" s="18" t="s">
        <v>44442</v>
      </c>
      <c r="M11822" s="18" t="s">
        <v>29</v>
      </c>
      <c r="N11822" s="18" t="s">
        <v>55212</v>
      </c>
      <c r="O11822" s="18" t="s">
        <v>29</v>
      </c>
      <c r="P11822" s="6"/>
      <c r="Q11822" s="6"/>
      <c r="R11822" s="6"/>
      <c r="S11822" s="6"/>
      <c r="T11822" s="6"/>
      <c r="U11822" s="6"/>
    </row>
    <row r="11823" ht="14.25">
      <c r="B11823" s="18" t="s">
        <v>322</v>
      </c>
      <c r="C11823" s="18" t="s">
        <v>55213</v>
      </c>
      <c r="D11823" s="18" t="s">
        <v>112</v>
      </c>
      <c r="E11823" s="18" t="s">
        <v>55214</v>
      </c>
      <c r="F11823" s="18" t="str">
        <f>IFERROR(__XLUDF.DUMMYFUNCTION("PROPER(REGEXREPLACE(D1735,""[^A-Za-z]+ "",""""))"),"Sademo")</f>
        <v>Sademo</v>
      </c>
      <c r="G11823" s="18" t="s">
        <v>55215</v>
      </c>
      <c r="H11823" s="18">
        <v>20</v>
      </c>
      <c r="I11823" s="18" t="s">
        <v>9239</v>
      </c>
      <c r="J11823" s="5" t="s">
        <v>55216</v>
      </c>
      <c r="K11823" s="5" t="s">
        <v>55217</v>
      </c>
      <c r="L11823" s="18" t="s">
        <v>774</v>
      </c>
      <c r="M11823" s="18" t="s">
        <v>29</v>
      </c>
      <c r="N11823" s="18" t="s">
        <v>55218</v>
      </c>
      <c r="O11823" s="18" t="s">
        <v>29</v>
      </c>
      <c r="P11823" s="18" t="s">
        <v>55219</v>
      </c>
      <c r="Q11823" s="6"/>
      <c r="R11823" s="6"/>
      <c r="S11823" s="6"/>
      <c r="T11823" s="6"/>
      <c r="U11823" s="6"/>
    </row>
    <row r="11824" ht="14.25">
      <c r="B11824" s="18" t="s">
        <v>4341</v>
      </c>
      <c r="C11824" s="18" t="s">
        <v>55220</v>
      </c>
      <c r="D11824" s="18" t="s">
        <v>112</v>
      </c>
      <c r="E11824" s="18" t="s">
        <v>55221</v>
      </c>
      <c r="F11824" s="18" t="str">
        <f>IFERROR(__XLUDF.DUMMYFUNCTION("PROPER(REGEXREPLACE(D1736,""[^A-Za-z]+ "",""""))"),"Bc Sylvametal")</f>
        <v xml:space="preserve">Bc Sylvametal</v>
      </c>
      <c r="G11824" s="18" t="s">
        <v>55222</v>
      </c>
      <c r="H11824" s="18">
        <v>22</v>
      </c>
      <c r="I11824" s="18" t="s">
        <v>9239</v>
      </c>
      <c r="J11824" s="5" t="s">
        <v>55223</v>
      </c>
      <c r="K11824" s="5" t="s">
        <v>55224</v>
      </c>
      <c r="L11824" s="6"/>
      <c r="M11824" s="18" t="s">
        <v>29</v>
      </c>
      <c r="N11824" s="18" t="s">
        <v>55225</v>
      </c>
      <c r="O11824" s="18" t="s">
        <v>29</v>
      </c>
      <c r="P11824" s="18" t="s">
        <v>55226</v>
      </c>
      <c r="Q11824" s="6"/>
      <c r="R11824" s="6"/>
      <c r="S11824" s="6"/>
      <c r="T11824" s="6"/>
      <c r="U11824" s="6"/>
    </row>
    <row r="11825" ht="14.25">
      <c r="B11825" s="18" t="s">
        <v>7525</v>
      </c>
      <c r="C11825" s="18" t="s">
        <v>4143</v>
      </c>
      <c r="D11825" s="18" t="s">
        <v>341</v>
      </c>
      <c r="E11825" s="18" t="s">
        <v>55227</v>
      </c>
      <c r="F11825" s="18" t="str">
        <f>IFERROR(__XLUDF.DUMMYFUNCTION("PROPER(REGEXREPLACE(D1737,""[^A-Za-z]+ "",""""))"),"Ideal Tiny")</f>
        <v xml:space="preserve">Ideal Tiny</v>
      </c>
      <c r="G11825" s="18" t="s">
        <v>55228</v>
      </c>
      <c r="H11825" s="18">
        <v>23</v>
      </c>
      <c r="I11825" s="18" t="s">
        <v>9239</v>
      </c>
      <c r="J11825" s="5" t="s">
        <v>55229</v>
      </c>
      <c r="K11825" s="5" t="s">
        <v>55230</v>
      </c>
      <c r="L11825" s="18" t="s">
        <v>55231</v>
      </c>
      <c r="M11825" s="18" t="s">
        <v>29</v>
      </c>
      <c r="N11825" s="18" t="s">
        <v>55232</v>
      </c>
      <c r="O11825" s="18" t="s">
        <v>29</v>
      </c>
      <c r="P11825" s="18" t="s">
        <v>55233</v>
      </c>
      <c r="Q11825" s="6"/>
      <c r="R11825" s="6"/>
      <c r="S11825" s="6"/>
      <c r="T11825" s="6"/>
      <c r="U11825" s="6"/>
    </row>
    <row r="11826" ht="14.25">
      <c r="B11826" s="18" t="s">
        <v>7188</v>
      </c>
      <c r="C11826" s="18" t="s">
        <v>15071</v>
      </c>
      <c r="D11826" s="18" t="s">
        <v>112</v>
      </c>
      <c r="E11826" s="18" t="s">
        <v>55234</v>
      </c>
      <c r="F11826" s="18" t="str">
        <f>IFERROR(__XLUDF.DUMMYFUNCTION("PROPER(REGEXREPLACE(D1738,""[^A-Za-z]+ "",""""))"),"Fluid'Inox")</f>
        <v>Fluid'Inox</v>
      </c>
      <c r="G11826" s="18" t="s">
        <v>55235</v>
      </c>
      <c r="H11826" s="18">
        <v>25</v>
      </c>
      <c r="I11826" s="18" t="s">
        <v>9239</v>
      </c>
      <c r="J11826" s="5" t="s">
        <v>55236</v>
      </c>
      <c r="K11826" s="5" t="s">
        <v>55237</v>
      </c>
      <c r="L11826" s="18" t="s">
        <v>1507</v>
      </c>
      <c r="M11826" s="18" t="s">
        <v>29</v>
      </c>
      <c r="N11826" s="18" t="s">
        <v>55238</v>
      </c>
      <c r="O11826" s="18" t="s">
        <v>29</v>
      </c>
      <c r="P11826" s="18" t="s">
        <v>55239</v>
      </c>
      <c r="Q11826" s="6"/>
      <c r="R11826" s="6"/>
      <c r="S11826" s="6"/>
      <c r="T11826" s="6"/>
      <c r="U11826" s="6"/>
    </row>
    <row r="11827" ht="14.25">
      <c r="B11827" s="18" t="s">
        <v>55240</v>
      </c>
      <c r="C11827" s="18" t="s">
        <v>874</v>
      </c>
      <c r="D11827" s="18" t="s">
        <v>1130</v>
      </c>
      <c r="E11827" s="18" t="s">
        <v>55241</v>
      </c>
      <c r="F11827" s="18" t="str">
        <f>IFERROR(__XLUDF.DUMMYFUNCTION("PROPER(REGEXREPLACE(D1739,""[^A-Za-z]+ "",""""))"),"Albizzati Père Et Fils")</f>
        <v xml:space="preserve">Albizzati Père Et Fils</v>
      </c>
      <c r="G11827" s="18" t="s">
        <v>55242</v>
      </c>
      <c r="H11827" s="18">
        <v>22</v>
      </c>
      <c r="I11827" s="18" t="s">
        <v>9239</v>
      </c>
      <c r="J11827" s="5" t="s">
        <v>55243</v>
      </c>
      <c r="K11827" s="5" t="s">
        <v>55244</v>
      </c>
      <c r="L11827" s="18" t="s">
        <v>7883</v>
      </c>
      <c r="M11827" s="18" t="s">
        <v>29</v>
      </c>
      <c r="N11827" s="18" t="s">
        <v>55245</v>
      </c>
      <c r="O11827" s="18" t="s">
        <v>29</v>
      </c>
      <c r="P11827" s="6"/>
      <c r="Q11827" s="6"/>
      <c r="R11827" s="6"/>
      <c r="S11827" s="6"/>
      <c r="T11827" s="6"/>
      <c r="U11827" s="6"/>
    </row>
    <row r="11828" ht="14.25">
      <c r="B11828" s="18" t="s">
        <v>2419</v>
      </c>
      <c r="C11828" s="18" t="s">
        <v>55246</v>
      </c>
      <c r="D11828" s="18" t="s">
        <v>112</v>
      </c>
      <c r="E11828" s="18" t="s">
        <v>55247</v>
      </c>
      <c r="F11828" s="18" t="str">
        <f>IFERROR(__XLUDF.DUMMYFUNCTION("PROPER(REGEXREPLACE(D1740,""[^A-Za-z]+ "",""""))"),"Hitec")</f>
        <v>Hitec</v>
      </c>
      <c r="G11828" s="18" t="s">
        <v>55248</v>
      </c>
      <c r="H11828" s="18">
        <v>32</v>
      </c>
      <c r="I11828" s="18" t="s">
        <v>9239</v>
      </c>
      <c r="J11828" s="5" t="s">
        <v>55249</v>
      </c>
      <c r="K11828" s="5" t="s">
        <v>55250</v>
      </c>
      <c r="L11828" s="18" t="s">
        <v>32288</v>
      </c>
      <c r="M11828" s="18" t="s">
        <v>29</v>
      </c>
      <c r="N11828" s="18" t="s">
        <v>55251</v>
      </c>
      <c r="O11828" s="18" t="s">
        <v>29</v>
      </c>
      <c r="P11828" s="6"/>
      <c r="Q11828" s="6"/>
      <c r="R11828" s="6"/>
      <c r="S11828" s="6"/>
      <c r="T11828" s="6"/>
      <c r="U11828" s="6"/>
    </row>
    <row r="11829" ht="14.25">
      <c r="B11829" s="18" t="s">
        <v>110</v>
      </c>
      <c r="C11829" s="18" t="s">
        <v>55252</v>
      </c>
      <c r="D11829" s="18" t="s">
        <v>112</v>
      </c>
      <c r="E11829" s="18" t="s">
        <v>54628</v>
      </c>
      <c r="F11829" s="18" t="str">
        <f>IFERROR(__XLUDF.DUMMYFUNCTION("PROPER(REGEXREPLACE(D1741,""[^A-Za-z]+ "",""""))"),"Spacing")</f>
        <v>Spacing</v>
      </c>
      <c r="G11829" s="18" t="s">
        <v>55253</v>
      </c>
      <c r="H11829" s="18">
        <v>34</v>
      </c>
      <c r="I11829" s="18" t="s">
        <v>9239</v>
      </c>
      <c r="J11829" s="5" t="s">
        <v>55254</v>
      </c>
      <c r="K11829" s="5" t="s">
        <v>54631</v>
      </c>
      <c r="L11829" s="18" t="s">
        <v>55255</v>
      </c>
      <c r="M11829" s="18" t="s">
        <v>29</v>
      </c>
      <c r="N11829" s="18" t="s">
        <v>54632</v>
      </c>
      <c r="O11829" s="18" t="s">
        <v>29</v>
      </c>
      <c r="P11829" s="18" t="s">
        <v>54633</v>
      </c>
      <c r="Q11829" s="6"/>
      <c r="R11829" s="6"/>
      <c r="S11829" s="6"/>
      <c r="T11829" s="6"/>
      <c r="U11829" s="6"/>
    </row>
    <row r="11830" ht="14.25">
      <c r="B11830" s="18" t="s">
        <v>1153</v>
      </c>
      <c r="C11830" s="18" t="s">
        <v>55256</v>
      </c>
      <c r="D11830" s="18" t="s">
        <v>172</v>
      </c>
      <c r="E11830" s="18" t="s">
        <v>55257</v>
      </c>
      <c r="F11830" s="18" t="str">
        <f>IFERROR(__XLUDF.DUMMYFUNCTION("PROPER(REGEXREPLACE(D1742,""[^A-Za-z]+ "",""""))"),"Araujo Seignat Energie")</f>
        <v xml:space="preserve">Araujo Seignat Energie</v>
      </c>
      <c r="G11830" s="18" t="s">
        <v>55258</v>
      </c>
      <c r="H11830" s="18">
        <v>3</v>
      </c>
      <c r="I11830" s="18" t="s">
        <v>9239</v>
      </c>
      <c r="J11830" s="5" t="s">
        <v>55259</v>
      </c>
      <c r="K11830" s="5" t="s">
        <v>55260</v>
      </c>
      <c r="L11830" s="18" t="s">
        <v>6489</v>
      </c>
      <c r="M11830" s="18" t="s">
        <v>29</v>
      </c>
      <c r="N11830" s="18" t="s">
        <v>47361</v>
      </c>
      <c r="O11830" s="18" t="s">
        <v>29</v>
      </c>
      <c r="P11830" s="18" t="s">
        <v>55261</v>
      </c>
      <c r="Q11830" s="6"/>
      <c r="R11830" s="6"/>
      <c r="S11830" s="6"/>
      <c r="T11830" s="6"/>
      <c r="U11830" s="6"/>
    </row>
    <row r="11831" ht="14.25">
      <c r="B11831" s="18" t="s">
        <v>5001</v>
      </c>
      <c r="C11831" s="18" t="s">
        <v>55262</v>
      </c>
      <c r="D11831" s="18" t="s">
        <v>172</v>
      </c>
      <c r="E11831" s="18" t="s">
        <v>55263</v>
      </c>
      <c r="F11831" s="18" t="str">
        <f>IFERROR(__XLUDF.DUMMYFUNCTION("PROPER(REGEXREPLACE(D1743,""[^A-Za-z]+ "",""""))"),"France Bâtiment Rénovation Entretien")</f>
        <v xml:space="preserve">France Bâtiment Rénovation Entretien</v>
      </c>
      <c r="G11831" s="18" t="s">
        <v>55264</v>
      </c>
      <c r="H11831" s="18">
        <v>15</v>
      </c>
      <c r="I11831" s="18" t="s">
        <v>9239</v>
      </c>
      <c r="J11831" s="5" t="s">
        <v>55265</v>
      </c>
      <c r="K11831" s="5" t="s">
        <v>55266</v>
      </c>
      <c r="L11831" s="18" t="s">
        <v>28199</v>
      </c>
      <c r="M11831" s="18" t="s">
        <v>29</v>
      </c>
      <c r="N11831" s="18" t="s">
        <v>55267</v>
      </c>
      <c r="O11831" s="18" t="s">
        <v>29</v>
      </c>
      <c r="P11831" s="18" t="s">
        <v>55268</v>
      </c>
      <c r="Q11831" s="6"/>
      <c r="R11831" s="6"/>
      <c r="S11831" s="6"/>
      <c r="T11831" s="6"/>
      <c r="U11831" s="6"/>
    </row>
    <row r="11832" ht="14.25">
      <c r="B11832" s="18" t="s">
        <v>604</v>
      </c>
      <c r="C11832" s="18" t="s">
        <v>22505</v>
      </c>
      <c r="D11832" s="18" t="s">
        <v>10202</v>
      </c>
      <c r="E11832" s="18" t="s">
        <v>54869</v>
      </c>
      <c r="F11832" s="18" t="str">
        <f>IFERROR(__XLUDF.DUMMYFUNCTION("PROPER(REGEXREPLACE(D1744,""[^A-Za-z]+ "",""""))"),"Collectif Jinkau")</f>
        <v xml:space="preserve">Collectif Jinkau</v>
      </c>
      <c r="G11832" s="18" t="s">
        <v>55269</v>
      </c>
      <c r="H11832" s="18">
        <v>12</v>
      </c>
      <c r="I11832" s="18" t="s">
        <v>9239</v>
      </c>
      <c r="J11832" s="5" t="s">
        <v>55270</v>
      </c>
      <c r="K11832" s="5" t="s">
        <v>54872</v>
      </c>
      <c r="L11832" s="18" t="s">
        <v>55271</v>
      </c>
      <c r="M11832" s="18" t="s">
        <v>29</v>
      </c>
      <c r="N11832" s="18" t="s">
        <v>30065</v>
      </c>
      <c r="O11832" s="18" t="s">
        <v>29</v>
      </c>
      <c r="P11832" s="6"/>
      <c r="Q11832" s="6"/>
      <c r="R11832" s="6"/>
      <c r="S11832" s="6"/>
      <c r="T11832" s="6"/>
      <c r="U11832" s="6"/>
    </row>
    <row r="11833" ht="14.25">
      <c r="B11833" s="18" t="s">
        <v>1499</v>
      </c>
      <c r="C11833" s="18" t="s">
        <v>55272</v>
      </c>
      <c r="D11833" s="18" t="s">
        <v>55273</v>
      </c>
      <c r="E11833" s="18" t="s">
        <v>55274</v>
      </c>
      <c r="F11833" s="18" t="str">
        <f>IFERROR(__XLUDF.DUMMYFUNCTION("PROPER(REGEXREPLACE(D1745,""[^A-Za-z]+ "",""""))"),"Chez Moi Demain")</f>
        <v xml:space="preserve">Chez Moi Demain</v>
      </c>
      <c r="G11833" s="18" t="s">
        <v>55275</v>
      </c>
      <c r="H11833" s="18">
        <v>29</v>
      </c>
      <c r="I11833" s="18" t="s">
        <v>9239</v>
      </c>
      <c r="J11833" s="5" t="s">
        <v>55276</v>
      </c>
      <c r="K11833" s="5" t="s">
        <v>55277</v>
      </c>
      <c r="L11833" s="18" t="s">
        <v>185</v>
      </c>
      <c r="M11833" s="18" t="s">
        <v>29</v>
      </c>
      <c r="N11833" s="18" t="s">
        <v>2338</v>
      </c>
      <c r="O11833" s="18" t="s">
        <v>29</v>
      </c>
      <c r="P11833" s="18" t="s">
        <v>55278</v>
      </c>
      <c r="Q11833" s="6"/>
      <c r="R11833" s="6"/>
      <c r="S11833" s="6"/>
      <c r="T11833" s="6"/>
      <c r="U11833" s="6"/>
    </row>
    <row r="11834" ht="14.25">
      <c r="B11834" s="18" t="s">
        <v>4048</v>
      </c>
      <c r="C11834" s="18" t="s">
        <v>55279</v>
      </c>
      <c r="D11834" s="18" t="s">
        <v>1130</v>
      </c>
      <c r="E11834" s="18" t="s">
        <v>55280</v>
      </c>
      <c r="F11834" s="18" t="str">
        <f>IFERROR(__XLUDF.DUMMYFUNCTION("PROPER(REGEXREPLACE(D1746,""[^A-Za-z]+ "",""""))"),"Charpentes Jugla")</f>
        <v xml:space="preserve">Charpentes Jugla</v>
      </c>
      <c r="G11834" s="18" t="s">
        <v>55281</v>
      </c>
      <c r="H11834" s="18">
        <v>4</v>
      </c>
      <c r="I11834" s="18" t="s">
        <v>9239</v>
      </c>
      <c r="J11834" s="5" t="s">
        <v>55282</v>
      </c>
      <c r="K11834" s="5" t="s">
        <v>55283</v>
      </c>
      <c r="L11834" s="18" t="s">
        <v>55284</v>
      </c>
      <c r="M11834" s="18" t="s">
        <v>29</v>
      </c>
      <c r="N11834" s="18" t="s">
        <v>55285</v>
      </c>
      <c r="O11834" s="18" t="s">
        <v>29</v>
      </c>
      <c r="P11834" s="18" t="s">
        <v>55286</v>
      </c>
      <c r="Q11834" s="6"/>
      <c r="R11834" s="6"/>
      <c r="S11834" s="6"/>
      <c r="T11834" s="6"/>
      <c r="U11834" s="6"/>
    </row>
    <row r="11835" ht="14.25">
      <c r="B11835" s="18" t="s">
        <v>8049</v>
      </c>
      <c r="C11835" s="18" t="s">
        <v>55287</v>
      </c>
      <c r="D11835" s="18" t="s">
        <v>54466</v>
      </c>
      <c r="E11835" s="18" t="s">
        <v>53527</v>
      </c>
      <c r="F11835" s="18" t="str">
        <f>IFERROR(__XLUDF.DUMMYFUNCTION("PROPER(REGEXREPLACE(D1747,""[^A-Za-z]+ "",""""))"),"Arkegreen")</f>
        <v>Arkegreen</v>
      </c>
      <c r="G11835" s="18" t="s">
        <v>55288</v>
      </c>
      <c r="H11835" s="18">
        <v>12</v>
      </c>
      <c r="I11835" s="18" t="s">
        <v>9239</v>
      </c>
      <c r="J11835" s="5" t="s">
        <v>55289</v>
      </c>
      <c r="K11835" s="5" t="s">
        <v>53530</v>
      </c>
      <c r="L11835" s="18" t="s">
        <v>55290</v>
      </c>
      <c r="M11835" s="18" t="s">
        <v>29</v>
      </c>
      <c r="N11835" s="18" t="s">
        <v>53531</v>
      </c>
      <c r="O11835" s="18" t="s">
        <v>29</v>
      </c>
      <c r="P11835" s="18" t="s">
        <v>53532</v>
      </c>
      <c r="Q11835" s="6"/>
      <c r="R11835" s="6"/>
      <c r="S11835" s="6"/>
      <c r="T11835" s="6"/>
      <c r="U11835" s="6"/>
    </row>
    <row r="11836" ht="14.25">
      <c r="B11836" s="18" t="s">
        <v>1780</v>
      </c>
      <c r="C11836" s="18" t="s">
        <v>55291</v>
      </c>
      <c r="D11836" s="18" t="s">
        <v>164</v>
      </c>
      <c r="E11836" s="18" t="s">
        <v>55292</v>
      </c>
      <c r="F11836" s="18" t="str">
        <f>IFERROR(__XLUDF.DUMMYFUNCTION("PROPER(REGEXREPLACE(D1748,""[^A-Za-z]+ "",""""))"),"Serclim")</f>
        <v>Serclim</v>
      </c>
      <c r="G11836" s="18" t="s">
        <v>55293</v>
      </c>
      <c r="H11836" s="18">
        <v>45</v>
      </c>
      <c r="I11836" s="18" t="s">
        <v>9239</v>
      </c>
      <c r="J11836" s="5" t="s">
        <v>55294</v>
      </c>
      <c r="K11836" s="5" t="s">
        <v>55295</v>
      </c>
      <c r="L11836" s="18" t="s">
        <v>946</v>
      </c>
      <c r="M11836" s="18" t="s">
        <v>29</v>
      </c>
      <c r="N11836" s="18" t="s">
        <v>55296</v>
      </c>
      <c r="O11836" s="18" t="s">
        <v>29</v>
      </c>
      <c r="P11836" s="18" t="s">
        <v>55297</v>
      </c>
      <c r="Q11836" s="6"/>
      <c r="R11836" s="6"/>
      <c r="S11836" s="6"/>
      <c r="T11836" s="6"/>
      <c r="U11836" s="6"/>
    </row>
    <row r="11837" ht="14.25">
      <c r="B11837" s="18" t="s">
        <v>2932</v>
      </c>
      <c r="C11837" s="18" t="s">
        <v>55298</v>
      </c>
      <c r="D11837" s="18" t="s">
        <v>55299</v>
      </c>
      <c r="E11837" s="18" t="s">
        <v>53640</v>
      </c>
      <c r="F11837" s="18" t="str">
        <f>IFERROR(__XLUDF.DUMMYFUNCTION("PROPER(REGEXREPLACE(D1749,""[^A-Za-z]+ "",""""))"),"Cappel")</f>
        <v>Cappel</v>
      </c>
      <c r="G11837" s="18" t="s">
        <v>55300</v>
      </c>
      <c r="H11837" s="18">
        <v>10</v>
      </c>
      <c r="I11837" s="18" t="s">
        <v>9239</v>
      </c>
      <c r="J11837" s="5" t="s">
        <v>55301</v>
      </c>
      <c r="K11837" s="5" t="s">
        <v>53643</v>
      </c>
      <c r="L11837" s="18" t="s">
        <v>14206</v>
      </c>
      <c r="M11837" s="18" t="s">
        <v>29</v>
      </c>
      <c r="N11837" s="18" t="s">
        <v>53644</v>
      </c>
      <c r="O11837" s="18" t="s">
        <v>29</v>
      </c>
      <c r="P11837" s="6"/>
      <c r="Q11837" s="6"/>
      <c r="R11837" s="6"/>
      <c r="S11837" s="6"/>
      <c r="T11837" s="6"/>
      <c r="U11837" s="6"/>
    </row>
    <row r="11838" ht="14.25">
      <c r="B11838" s="18" t="s">
        <v>27569</v>
      </c>
      <c r="C11838" s="18" t="s">
        <v>55302</v>
      </c>
      <c r="D11838" s="18" t="s">
        <v>4586</v>
      </c>
      <c r="E11838" s="18" t="s">
        <v>55189</v>
      </c>
      <c r="F11838" s="18" t="str">
        <f>IFERROR(__XLUDF.DUMMYFUNCTION("PROPER(REGEXREPLACE(D1750,""[^A-Za-z]+ "",""""))"),"Groupe Solidum")</f>
        <v xml:space="preserve">Groupe Solidum</v>
      </c>
      <c r="G11838" s="18" t="s">
        <v>55303</v>
      </c>
      <c r="H11838" s="18">
        <v>42</v>
      </c>
      <c r="I11838" s="18" t="s">
        <v>9239</v>
      </c>
      <c r="J11838" s="5" t="s">
        <v>55304</v>
      </c>
      <c r="K11838" s="5" t="s">
        <v>55192</v>
      </c>
      <c r="L11838" s="18" t="s">
        <v>846</v>
      </c>
      <c r="M11838" s="18" t="s">
        <v>29</v>
      </c>
      <c r="N11838" s="18" t="s">
        <v>55193</v>
      </c>
      <c r="O11838" s="18" t="s">
        <v>29</v>
      </c>
      <c r="P11838" s="6"/>
      <c r="Q11838" s="6"/>
      <c r="R11838" s="6"/>
      <c r="S11838" s="6"/>
      <c r="T11838" s="6"/>
      <c r="U11838" s="6"/>
    </row>
    <row r="11839" ht="14.25">
      <c r="B11839" s="18" t="s">
        <v>7559</v>
      </c>
      <c r="C11839" s="18" t="s">
        <v>6274</v>
      </c>
      <c r="D11839" s="18" t="s">
        <v>55305</v>
      </c>
      <c r="E11839" s="18" t="s">
        <v>55306</v>
      </c>
      <c r="F11839" s="18" t="str">
        <f>IFERROR(__XLUDF.DUMMYFUNCTION("PROPER(REGEXREPLACE(D1751,""[^A-Za-z]+ "",""""))"),"Aecco Consulting")</f>
        <v xml:space="preserve">Aecco Consulting</v>
      </c>
      <c r="G11839" s="18" t="s">
        <v>55307</v>
      </c>
      <c r="H11839" s="18">
        <v>4</v>
      </c>
      <c r="I11839" s="18" t="s">
        <v>9239</v>
      </c>
      <c r="J11839" s="5" t="s">
        <v>55308</v>
      </c>
      <c r="K11839" s="5" t="s">
        <v>55309</v>
      </c>
      <c r="L11839" s="6"/>
      <c r="M11839" s="18" t="s">
        <v>29</v>
      </c>
      <c r="N11839" s="18" t="s">
        <v>54690</v>
      </c>
      <c r="O11839" s="18" t="s">
        <v>29</v>
      </c>
      <c r="P11839" s="6"/>
      <c r="Q11839" s="6"/>
      <c r="R11839" s="6"/>
      <c r="S11839" s="6"/>
      <c r="T11839" s="6"/>
      <c r="U11839" s="6"/>
    </row>
    <row r="11840" ht="14.25">
      <c r="B11840" s="18" t="s">
        <v>44146</v>
      </c>
      <c r="C11840" s="18" t="s">
        <v>55310</v>
      </c>
      <c r="D11840" s="18" t="s">
        <v>172</v>
      </c>
      <c r="E11840" s="18" t="s">
        <v>55311</v>
      </c>
      <c r="F11840" s="18" t="str">
        <f>IFERROR(__XLUDF.DUMMYFUNCTION("PROPER(REGEXREPLACE(D1752,""[^A-Za-z]+ "",""""))"),"Van Ingen Forages")</f>
        <v xml:space="preserve">Van Ingen Forages</v>
      </c>
      <c r="G11840" s="18" t="s">
        <v>55312</v>
      </c>
      <c r="H11840" s="18">
        <v>6</v>
      </c>
      <c r="I11840" s="18" t="s">
        <v>9239</v>
      </c>
      <c r="J11840" s="5" t="s">
        <v>55313</v>
      </c>
      <c r="K11840" s="5" t="s">
        <v>55314</v>
      </c>
      <c r="L11840" s="18" t="s">
        <v>3898</v>
      </c>
      <c r="M11840" s="18" t="s">
        <v>29</v>
      </c>
      <c r="N11840" s="18" t="s">
        <v>55315</v>
      </c>
      <c r="O11840" s="18" t="s">
        <v>29</v>
      </c>
      <c r="P11840" s="18" t="s">
        <v>55316</v>
      </c>
      <c r="Q11840" s="6"/>
      <c r="R11840" s="6"/>
      <c r="S11840" s="6"/>
      <c r="T11840" s="6"/>
      <c r="U11840" s="6"/>
    </row>
    <row r="11841" ht="14.25">
      <c r="B11841" s="18" t="s">
        <v>604</v>
      </c>
      <c r="C11841" s="18" t="s">
        <v>26411</v>
      </c>
      <c r="D11841" s="18" t="s">
        <v>55317</v>
      </c>
      <c r="E11841" s="18" t="s">
        <v>55318</v>
      </c>
      <c r="F11841" s="18" t="str">
        <f>IFERROR(__XLUDF.DUMMYFUNCTION("PROPER(REGEXREPLACE(D1753,""[^A-Za-z]+ "",""""))"),"Groupe Treuil")</f>
        <v xml:space="preserve">Groupe Treuil</v>
      </c>
      <c r="G11841" s="18" t="s">
        <v>55319</v>
      </c>
      <c r="H11841" s="18">
        <v>44</v>
      </c>
      <c r="I11841" s="18" t="s">
        <v>9239</v>
      </c>
      <c r="J11841" s="5" t="s">
        <v>55320</v>
      </c>
      <c r="K11841" s="5" t="s">
        <v>55321</v>
      </c>
      <c r="L11841" s="18" t="s">
        <v>11084</v>
      </c>
      <c r="M11841" s="18" t="s">
        <v>29</v>
      </c>
      <c r="N11841" s="18" t="s">
        <v>55322</v>
      </c>
      <c r="O11841" s="18" t="s">
        <v>29</v>
      </c>
      <c r="P11841" s="6"/>
      <c r="Q11841" s="6"/>
      <c r="R11841" s="6"/>
      <c r="S11841" s="6"/>
      <c r="T11841" s="6"/>
      <c r="U11841" s="6"/>
    </row>
    <row r="11842" ht="14.25">
      <c r="B11842" s="18" t="s">
        <v>222</v>
      </c>
      <c r="C11842" s="18" t="s">
        <v>20517</v>
      </c>
      <c r="D11842" s="18" t="s">
        <v>172</v>
      </c>
      <c r="E11842" s="18" t="s">
        <v>55323</v>
      </c>
      <c r="F11842" s="18" t="str">
        <f>IFERROR(__XLUDF.DUMMYFUNCTION("PROPER(REGEXREPLACE(D1754,""[^A-Za-z]+ "",""""))"),"Enerscience")</f>
        <v>Enerscience</v>
      </c>
      <c r="G11842" s="18" t="s">
        <v>55324</v>
      </c>
      <c r="H11842" s="18">
        <v>11</v>
      </c>
      <c r="I11842" s="18" t="s">
        <v>9239</v>
      </c>
      <c r="J11842" s="5" t="s">
        <v>55325</v>
      </c>
      <c r="K11842" s="5" t="s">
        <v>55326</v>
      </c>
      <c r="L11842" s="18" t="s">
        <v>11157</v>
      </c>
      <c r="M11842" s="18" t="s">
        <v>29</v>
      </c>
      <c r="N11842" s="18" t="s">
        <v>45115</v>
      </c>
      <c r="O11842" s="18" t="s">
        <v>29</v>
      </c>
      <c r="P11842" s="18" t="s">
        <v>55327</v>
      </c>
      <c r="Q11842" s="6"/>
      <c r="R11842" s="6"/>
      <c r="S11842" s="6"/>
      <c r="T11842" s="6"/>
      <c r="U11842" s="6"/>
    </row>
    <row r="11843" ht="14.25">
      <c r="B11843" s="18" t="s">
        <v>55328</v>
      </c>
      <c r="C11843" s="18" t="s">
        <v>55329</v>
      </c>
      <c r="D11843" s="18" t="s">
        <v>112</v>
      </c>
      <c r="E11843" s="18" t="s">
        <v>55330</v>
      </c>
      <c r="F11843" s="18" t="str">
        <f>IFERROR(__XLUDF.DUMMYFUNCTION("PROPER(REGEXREPLACE(D1755,""[^A-Za-z]+ "",""""))"),"Patfoort Batiment")</f>
        <v xml:space="preserve">Patfoort Batiment</v>
      </c>
      <c r="G11843" s="18" t="s">
        <v>55331</v>
      </c>
      <c r="H11843" s="18">
        <v>7</v>
      </c>
      <c r="I11843" s="18" t="s">
        <v>9239</v>
      </c>
      <c r="J11843" s="5" t="s">
        <v>55332</v>
      </c>
      <c r="K11843" s="5" t="s">
        <v>55333</v>
      </c>
      <c r="L11843" s="18" t="s">
        <v>12731</v>
      </c>
      <c r="M11843" s="18" t="s">
        <v>29</v>
      </c>
      <c r="N11843" s="18" t="s">
        <v>55334</v>
      </c>
      <c r="O11843" s="18" t="s">
        <v>29</v>
      </c>
      <c r="P11843" s="6"/>
      <c r="Q11843" s="6"/>
      <c r="R11843" s="6"/>
      <c r="S11843" s="6"/>
      <c r="T11843" s="6"/>
      <c r="U11843" s="6"/>
    </row>
    <row r="11844" ht="14.25">
      <c r="B11844" s="18" t="s">
        <v>26461</v>
      </c>
      <c r="C11844" s="18" t="s">
        <v>52488</v>
      </c>
      <c r="D11844" s="18" t="s">
        <v>55335</v>
      </c>
      <c r="E11844" s="18" t="s">
        <v>55336</v>
      </c>
      <c r="F11844" s="18" t="str">
        <f>IFERROR(__XLUDF.DUMMYFUNCTION("PROPER(REGEXREPLACE(D1756,""[^A-Za-z]+ "",""""))"),"Cobalto Sas")</f>
        <v xml:space="preserve">Cobalto Sas</v>
      </c>
      <c r="G11844" s="18" t="s">
        <v>55337</v>
      </c>
      <c r="H11844" s="18">
        <v>19</v>
      </c>
      <c r="I11844" s="18" t="s">
        <v>9239</v>
      </c>
      <c r="J11844" s="5" t="s">
        <v>55338</v>
      </c>
      <c r="K11844" s="5" t="s">
        <v>55339</v>
      </c>
      <c r="L11844" s="18" t="s">
        <v>243</v>
      </c>
      <c r="M11844" s="18" t="s">
        <v>29</v>
      </c>
      <c r="N11844" s="18" t="s">
        <v>55340</v>
      </c>
      <c r="O11844" s="18" t="s">
        <v>29</v>
      </c>
      <c r="P11844" s="18" t="s">
        <v>55341</v>
      </c>
      <c r="Q11844" s="6"/>
      <c r="R11844" s="6"/>
      <c r="S11844" s="6"/>
      <c r="T11844" s="6"/>
      <c r="U11844" s="6"/>
    </row>
    <row r="11845" ht="14.25">
      <c r="B11845" s="18" t="s">
        <v>1153</v>
      </c>
      <c r="C11845" s="18" t="s">
        <v>41343</v>
      </c>
      <c r="D11845" s="18" t="s">
        <v>19297</v>
      </c>
      <c r="E11845" s="18" t="s">
        <v>53911</v>
      </c>
      <c r="F11845" s="18" t="str">
        <f>IFERROR(__XLUDF.DUMMYFUNCTION("PROPER(REGEXREPLACE(D1757,""[^A-Za-z]+ "",""""))"),"Alcad Climservice")</f>
        <v xml:space="preserve">Alcad Climservice</v>
      </c>
      <c r="G11845" s="18" t="s">
        <v>55342</v>
      </c>
      <c r="H11845" s="18">
        <v>18</v>
      </c>
      <c r="I11845" s="18" t="s">
        <v>9239</v>
      </c>
      <c r="J11845" s="5" t="s">
        <v>55343</v>
      </c>
      <c r="K11845" s="5" t="s">
        <v>53914</v>
      </c>
      <c r="L11845" s="18" t="s">
        <v>55344</v>
      </c>
      <c r="M11845" s="18" t="s">
        <v>29</v>
      </c>
      <c r="N11845" s="18" t="s">
        <v>53915</v>
      </c>
      <c r="O11845" s="18" t="s">
        <v>29</v>
      </c>
      <c r="P11845" s="6"/>
      <c r="Q11845" s="6"/>
      <c r="R11845" s="6"/>
      <c r="S11845" s="6"/>
      <c r="T11845" s="6"/>
      <c r="U11845" s="6"/>
    </row>
    <row r="11846" ht="14.25">
      <c r="B11846" s="18" t="s">
        <v>817</v>
      </c>
      <c r="C11846" s="18" t="s">
        <v>55345</v>
      </c>
      <c r="D11846" s="18" t="s">
        <v>172</v>
      </c>
      <c r="E11846" s="18" t="s">
        <v>55346</v>
      </c>
      <c r="F11846" s="18" t="str">
        <f>IFERROR(__XLUDF.DUMMYFUNCTION("PROPER(REGEXREPLACE(D1758,""[^A-Za-z]+ "",""""))"),"Pb Constructions")</f>
        <v xml:space="preserve">Pb Constructions</v>
      </c>
      <c r="G11846" s="18" t="s">
        <v>55347</v>
      </c>
      <c r="H11846" s="18">
        <v>17</v>
      </c>
      <c r="I11846" s="18" t="s">
        <v>9239</v>
      </c>
      <c r="J11846" s="5" t="s">
        <v>55348</v>
      </c>
      <c r="K11846" s="5" t="s">
        <v>55349</v>
      </c>
      <c r="L11846" s="18" t="s">
        <v>55350</v>
      </c>
      <c r="M11846" s="18" t="s">
        <v>29</v>
      </c>
      <c r="N11846" s="18" t="s">
        <v>55351</v>
      </c>
      <c r="O11846" s="18" t="s">
        <v>29</v>
      </c>
      <c r="P11846" s="6"/>
      <c r="Q11846" s="6"/>
      <c r="R11846" s="6"/>
      <c r="S11846" s="6"/>
      <c r="T11846" s="6"/>
      <c r="U11846" s="6"/>
    </row>
    <row r="11847" ht="14.25">
      <c r="B11847" s="18" t="s">
        <v>2299</v>
      </c>
      <c r="C11847" s="18" t="s">
        <v>46937</v>
      </c>
      <c r="D11847" s="18" t="s">
        <v>172</v>
      </c>
      <c r="E11847" s="18" t="s">
        <v>17535</v>
      </c>
      <c r="F11847" s="18" t="str">
        <f>IFERROR(__XLUDF.DUMMYFUNCTION("PROPER(REGEXREPLACE(D1759,""[^A-Za-z]+ "",""""))"),"Only Toit")</f>
        <v xml:space="preserve">Only Toit</v>
      </c>
      <c r="G11847" s="18" t="s">
        <v>55352</v>
      </c>
      <c r="H11847" s="18">
        <v>15</v>
      </c>
      <c r="I11847" s="18" t="s">
        <v>9239</v>
      </c>
      <c r="J11847" s="5" t="s">
        <v>55353</v>
      </c>
      <c r="K11847" s="5" t="s">
        <v>55354</v>
      </c>
      <c r="L11847" s="18" t="s">
        <v>185</v>
      </c>
      <c r="M11847" s="18" t="s">
        <v>29</v>
      </c>
      <c r="N11847" s="18" t="s">
        <v>55355</v>
      </c>
      <c r="O11847" s="18" t="s">
        <v>29</v>
      </c>
      <c r="P11847" s="6"/>
      <c r="Q11847" s="6"/>
      <c r="R11847" s="6"/>
      <c r="S11847" s="6"/>
      <c r="T11847" s="6"/>
      <c r="U11847" s="6"/>
    </row>
    <row r="11848" ht="14.25">
      <c r="B11848" s="18" t="s">
        <v>118</v>
      </c>
      <c r="C11848" s="18" t="s">
        <v>47429</v>
      </c>
      <c r="D11848" s="18" t="s">
        <v>172</v>
      </c>
      <c r="E11848" s="18" t="s">
        <v>55356</v>
      </c>
      <c r="F11848" s="18" t="str">
        <f>IFERROR(__XLUDF.DUMMYFUNCTION("PROPER(REGEXREPLACE(D1760,""[^A-Za-z]+ "",""""))"),"Cgem Construction")</f>
        <v xml:space="preserve">Cgem Construction</v>
      </c>
      <c r="G11848" s="18" t="s">
        <v>55357</v>
      </c>
      <c r="H11848" s="18">
        <v>39</v>
      </c>
      <c r="I11848" s="18" t="s">
        <v>9239</v>
      </c>
      <c r="J11848" s="5" t="s">
        <v>55358</v>
      </c>
      <c r="K11848" s="5" t="s">
        <v>55359</v>
      </c>
      <c r="L11848" s="18" t="s">
        <v>83</v>
      </c>
      <c r="M11848" s="18" t="s">
        <v>29</v>
      </c>
      <c r="N11848" s="18" t="s">
        <v>55360</v>
      </c>
      <c r="O11848" s="18" t="s">
        <v>29</v>
      </c>
      <c r="P11848" s="18" t="s">
        <v>55361</v>
      </c>
      <c r="Q11848" s="6"/>
      <c r="R11848" s="6"/>
      <c r="S11848" s="6"/>
      <c r="T11848" s="6"/>
      <c r="U11848" s="6"/>
    </row>
    <row r="11849" ht="14.25">
      <c r="B11849" s="18" t="s">
        <v>134</v>
      </c>
      <c r="C11849" s="18" t="s">
        <v>55362</v>
      </c>
      <c r="D11849" s="18" t="s">
        <v>172</v>
      </c>
      <c r="E11849" s="18" t="s">
        <v>55363</v>
      </c>
      <c r="F11849" s="18" t="str">
        <f>IFERROR(__XLUDF.DUMMYFUNCTION("PROPER(REGEXREPLACE(D1761,""[^A-Za-z]+ "",""""))"),"Groupe Bodeze")</f>
        <v xml:space="preserve">Groupe Bodeze</v>
      </c>
      <c r="G11849" s="18" t="s">
        <v>55364</v>
      </c>
      <c r="H11849" s="18">
        <v>6</v>
      </c>
      <c r="I11849" s="18" t="s">
        <v>9239</v>
      </c>
      <c r="J11849" s="5" t="s">
        <v>55365</v>
      </c>
      <c r="K11849" s="5" t="s">
        <v>55366</v>
      </c>
      <c r="L11849" s="18" t="s">
        <v>482</v>
      </c>
      <c r="M11849" s="18" t="s">
        <v>29</v>
      </c>
      <c r="N11849" s="18" t="s">
        <v>55367</v>
      </c>
      <c r="O11849" s="18" t="s">
        <v>29</v>
      </c>
      <c r="P11849" s="18" t="s">
        <v>55368</v>
      </c>
      <c r="Q11849" s="6"/>
      <c r="R11849" s="6"/>
      <c r="S11849" s="6"/>
      <c r="T11849" s="6"/>
      <c r="U11849" s="6"/>
    </row>
    <row r="11850" ht="14.25">
      <c r="B11850" s="18" t="s">
        <v>55369</v>
      </c>
      <c r="C11850" s="18" t="s">
        <v>4800</v>
      </c>
      <c r="D11850" s="18" t="s">
        <v>172</v>
      </c>
      <c r="E11850" s="18" t="s">
        <v>55370</v>
      </c>
      <c r="F11850" s="18" t="str">
        <f>IFERROR(__XLUDF.DUMMYFUNCTION("PROPER(REGEXREPLACE(D1762,""[^A-Za-z]+ "",""""))"),"Gad Rénovation")</f>
        <v xml:space="preserve">Gad Rénovation</v>
      </c>
      <c r="G11850" s="18" t="s">
        <v>55371</v>
      </c>
      <c r="H11850" s="18">
        <v>1</v>
      </c>
      <c r="I11850" s="18" t="s">
        <v>9239</v>
      </c>
      <c r="J11850" s="5" t="s">
        <v>55372</v>
      </c>
      <c r="K11850" s="5" t="s">
        <v>55373</v>
      </c>
      <c r="L11850" s="18" t="s">
        <v>2174</v>
      </c>
      <c r="M11850" s="18" t="s">
        <v>29</v>
      </c>
      <c r="N11850" s="18" t="s">
        <v>18452</v>
      </c>
      <c r="O11850" s="18" t="s">
        <v>29</v>
      </c>
      <c r="P11850" s="18" t="s">
        <v>55374</v>
      </c>
      <c r="Q11850" s="6"/>
      <c r="R11850" s="6"/>
      <c r="S11850" s="6"/>
      <c r="T11850" s="6"/>
      <c r="U11850" s="6"/>
    </row>
    <row r="11851" ht="14.25">
      <c r="B11851" s="18" t="s">
        <v>55375</v>
      </c>
      <c r="C11851" s="18" t="s">
        <v>12266</v>
      </c>
      <c r="D11851" s="18" t="s">
        <v>341</v>
      </c>
      <c r="E11851" s="18" t="s">
        <v>55376</v>
      </c>
      <c r="F11851" s="18" t="str">
        <f>IFERROR(__XLUDF.DUMMYFUNCTION("PROPER(REGEXREPLACE(D1763,""[^A-Za-z]+ "",""""))"),"Amicitia Immobilier")</f>
        <v xml:space="preserve">Amicitia Immobilier</v>
      </c>
      <c r="G11851" s="18" t="s">
        <v>55377</v>
      </c>
      <c r="H11851" s="18">
        <v>5</v>
      </c>
      <c r="I11851" s="18" t="s">
        <v>9239</v>
      </c>
      <c r="J11851" s="5" t="s">
        <v>55378</v>
      </c>
      <c r="K11851" s="5" t="s">
        <v>55379</v>
      </c>
      <c r="L11851" s="18" t="s">
        <v>83</v>
      </c>
      <c r="M11851" s="18" t="s">
        <v>29</v>
      </c>
      <c r="N11851" s="18" t="s">
        <v>55380</v>
      </c>
      <c r="O11851" s="18" t="s">
        <v>29</v>
      </c>
      <c r="P11851" s="18" t="s">
        <v>55381</v>
      </c>
      <c r="Q11851" s="6"/>
      <c r="R11851" s="6"/>
      <c r="S11851" s="6"/>
      <c r="T11851" s="6"/>
      <c r="U11851" s="6"/>
    </row>
    <row r="11852" ht="14.25">
      <c r="B11852" s="18" t="s">
        <v>95</v>
      </c>
      <c r="C11852" s="18" t="s">
        <v>55382</v>
      </c>
      <c r="D11852" s="18" t="s">
        <v>172</v>
      </c>
      <c r="E11852" s="18" t="s">
        <v>55383</v>
      </c>
      <c r="F11852" s="18" t="str">
        <f>IFERROR(__XLUDF.DUMMYFUNCTION("PROPER(REGEXREPLACE(D1764,""[^A-Za-z]+ "",""""))"),"Aquitaine Céramique")</f>
        <v xml:space="preserve">Aquitaine Céramique</v>
      </c>
      <c r="G11852" s="18" t="s">
        <v>55384</v>
      </c>
      <c r="H11852" s="18">
        <v>2</v>
      </c>
      <c r="I11852" s="18" t="s">
        <v>9239</v>
      </c>
      <c r="J11852" s="5" t="s">
        <v>55385</v>
      </c>
      <c r="K11852" s="5" t="s">
        <v>55386</v>
      </c>
      <c r="L11852" s="18" t="s">
        <v>243</v>
      </c>
      <c r="M11852" s="18" t="s">
        <v>29</v>
      </c>
      <c r="N11852" s="18" t="s">
        <v>5722</v>
      </c>
      <c r="O11852" s="18" t="s">
        <v>29</v>
      </c>
      <c r="P11852" s="6"/>
      <c r="Q11852" s="6"/>
      <c r="R11852" s="6"/>
      <c r="S11852" s="6"/>
      <c r="T11852" s="6"/>
      <c r="U11852" s="6"/>
    </row>
    <row r="11853" ht="14.25">
      <c r="B11853" s="18" t="s">
        <v>6945</v>
      </c>
      <c r="C11853" s="18" t="s">
        <v>55387</v>
      </c>
      <c r="D11853" s="18" t="s">
        <v>1950</v>
      </c>
      <c r="E11853" s="18" t="s">
        <v>55388</v>
      </c>
      <c r="F11853" s="18" t="str">
        <f>IFERROR(__XLUDF.DUMMYFUNCTION("PROPER(REGEXREPLACE(D1765,""[^A-Za-z]+ "",""""))"),"Fib Federation De L Industrie Du Beton")</f>
        <v xml:space="preserve">Fib Federation De L Industrie Du Beton</v>
      </c>
      <c r="G11853" s="18" t="s">
        <v>55389</v>
      </c>
      <c r="H11853" s="18">
        <v>9</v>
      </c>
      <c r="I11853" s="18" t="s">
        <v>9239</v>
      </c>
      <c r="J11853" s="5" t="s">
        <v>55390</v>
      </c>
      <c r="K11853" s="5" t="s">
        <v>55391</v>
      </c>
      <c r="L11853" s="18" t="s">
        <v>39</v>
      </c>
      <c r="M11853" s="18" t="s">
        <v>29</v>
      </c>
      <c r="N11853" s="18" t="s">
        <v>55392</v>
      </c>
      <c r="O11853" s="18" t="s">
        <v>29</v>
      </c>
      <c r="P11853" s="18" t="s">
        <v>55393</v>
      </c>
      <c r="Q11853" s="6"/>
      <c r="R11853" s="6"/>
      <c r="S11853" s="6"/>
      <c r="T11853" s="6"/>
      <c r="U11853" s="6"/>
    </row>
    <row r="11854" ht="14.25">
      <c r="B11854" s="18" t="s">
        <v>55394</v>
      </c>
      <c r="C11854" s="18" t="s">
        <v>55395</v>
      </c>
      <c r="D11854" s="18" t="s">
        <v>55396</v>
      </c>
      <c r="E11854" s="18" t="s">
        <v>55397</v>
      </c>
      <c r="F11854" s="18" t="str">
        <f>IFERROR(__XLUDF.DUMMYFUNCTION("PROPER(REGEXREPLACE(D1766,""[^A-Za-z]+ "",""""))"),"Cbr Architecture")</f>
        <v xml:space="preserve">Cbr Architecture</v>
      </c>
      <c r="G11854" s="18" t="s">
        <v>55398</v>
      </c>
      <c r="H11854" s="18">
        <v>1</v>
      </c>
      <c r="I11854" s="18" t="s">
        <v>10167</v>
      </c>
      <c r="J11854" s="5" t="s">
        <v>55399</v>
      </c>
      <c r="K11854" s="5" t="s">
        <v>55400</v>
      </c>
      <c r="L11854" s="18" t="s">
        <v>492</v>
      </c>
      <c r="M11854" s="18" t="s">
        <v>29</v>
      </c>
      <c r="N11854" s="18" t="s">
        <v>55401</v>
      </c>
      <c r="O11854" s="18" t="s">
        <v>29</v>
      </c>
      <c r="P11854" s="18" t="s">
        <v>55402</v>
      </c>
      <c r="Q11854" s="6"/>
      <c r="R11854" s="6"/>
      <c r="S11854" s="6"/>
      <c r="T11854" s="6"/>
      <c r="U11854" s="6"/>
    </row>
    <row r="11855" ht="14.25">
      <c r="B11855" s="18" t="s">
        <v>24920</v>
      </c>
      <c r="C11855" s="18" t="s">
        <v>55403</v>
      </c>
      <c r="D11855" s="18" t="s">
        <v>172</v>
      </c>
      <c r="E11855" s="18" t="s">
        <v>55404</v>
      </c>
      <c r="F11855" s="18" t="str">
        <f>IFERROR(__XLUDF.DUMMYFUNCTION("PROPER(REGEXREPLACE(D1767,""[^A-Za-z]+ "",""""))"),"Secobois")</f>
        <v>Secobois</v>
      </c>
      <c r="G11855" s="18" t="s">
        <v>55405</v>
      </c>
      <c r="H11855" s="18">
        <v>4</v>
      </c>
      <c r="I11855" s="18" t="s">
        <v>9239</v>
      </c>
      <c r="J11855" s="5" t="s">
        <v>55406</v>
      </c>
      <c r="K11855" s="5" t="s">
        <v>55407</v>
      </c>
      <c r="L11855" s="18" t="s">
        <v>55408</v>
      </c>
      <c r="M11855" s="18" t="s">
        <v>29</v>
      </c>
      <c r="N11855" s="18" t="s">
        <v>29</v>
      </c>
      <c r="O11855" s="18" t="s">
        <v>29</v>
      </c>
      <c r="P11855" s="6"/>
      <c r="Q11855" s="6"/>
      <c r="R11855" s="6"/>
      <c r="S11855" s="6"/>
      <c r="T11855" s="6"/>
      <c r="U11855" s="6"/>
    </row>
    <row r="11856" ht="14.25">
      <c r="B11856" s="18" t="s">
        <v>571</v>
      </c>
      <c r="C11856" s="18" t="s">
        <v>55409</v>
      </c>
      <c r="D11856" s="18" t="s">
        <v>112</v>
      </c>
      <c r="E11856" s="18" t="s">
        <v>55410</v>
      </c>
      <c r="F11856" s="18" t="str">
        <f>IFERROR(__XLUDF.DUMMYFUNCTION("PROPER(REGEXREPLACE(D1768,""[^A-Za-z]+ "",""""))"),"Groupe Charpentier")</f>
        <v xml:space="preserve">Groupe Charpentier</v>
      </c>
      <c r="G11856" s="18" t="s">
        <v>55411</v>
      </c>
      <c r="H11856" s="18">
        <v>27</v>
      </c>
      <c r="I11856" s="18" t="s">
        <v>9239</v>
      </c>
      <c r="J11856" s="5" t="s">
        <v>55412</v>
      </c>
      <c r="K11856" s="5" t="s">
        <v>55413</v>
      </c>
      <c r="L11856" s="18" t="s">
        <v>1711</v>
      </c>
      <c r="M11856" s="18" t="s">
        <v>29</v>
      </c>
      <c r="N11856" s="18" t="s">
        <v>55414</v>
      </c>
      <c r="O11856" s="18" t="s">
        <v>29</v>
      </c>
      <c r="P11856" s="18" t="s">
        <v>55415</v>
      </c>
      <c r="Q11856" s="6"/>
      <c r="R11856" s="6"/>
      <c r="S11856" s="6"/>
      <c r="T11856" s="6"/>
      <c r="U11856" s="6"/>
    </row>
    <row r="11857" ht="14.25">
      <c r="B11857" s="18" t="s">
        <v>26461</v>
      </c>
      <c r="C11857" s="18" t="s">
        <v>55416</v>
      </c>
      <c r="D11857" s="18" t="s">
        <v>9456</v>
      </c>
      <c r="E11857" s="18" t="s">
        <v>55417</v>
      </c>
      <c r="F11857" s="18" t="str">
        <f>IFERROR(__XLUDF.DUMMYFUNCTION("PROPER(REGEXREPLACE(D1769,""[^A-Za-z]+ "",""""))"),"Aquadeco La Différence")</f>
        <v xml:space="preserve">Aquadeco La Différence</v>
      </c>
      <c r="G11857" s="18" t="s">
        <v>55418</v>
      </c>
      <c r="H11857" s="18">
        <v>7</v>
      </c>
      <c r="I11857" s="18" t="s">
        <v>9239</v>
      </c>
      <c r="J11857" s="5" t="s">
        <v>55419</v>
      </c>
      <c r="K11857" s="5" t="s">
        <v>55420</v>
      </c>
      <c r="L11857" s="18" t="s">
        <v>5329</v>
      </c>
      <c r="M11857" s="18" t="s">
        <v>29</v>
      </c>
      <c r="N11857" s="18" t="s">
        <v>55421</v>
      </c>
      <c r="O11857" s="18" t="s">
        <v>29</v>
      </c>
      <c r="P11857" s="18" t="s">
        <v>55422</v>
      </c>
      <c r="Q11857" s="6"/>
      <c r="R11857" s="6"/>
      <c r="S11857" s="6"/>
      <c r="T11857" s="6"/>
      <c r="U11857" s="6"/>
    </row>
    <row r="11858" ht="14.25">
      <c r="B11858" s="18" t="s">
        <v>4800</v>
      </c>
      <c r="C11858" s="18" t="s">
        <v>55423</v>
      </c>
      <c r="D11858" s="18" t="s">
        <v>9410</v>
      </c>
      <c r="E11858" s="18" t="s">
        <v>54869</v>
      </c>
      <c r="F11858" s="18" t="str">
        <f>IFERROR(__XLUDF.DUMMYFUNCTION("PROPER(REGEXREPLACE(D1770,""[^A-Za-z]+ "",""""))"),"Collectif Jinkau")</f>
        <v xml:space="preserve">Collectif Jinkau</v>
      </c>
      <c r="G11858" s="18" t="s">
        <v>55424</v>
      </c>
      <c r="H11858" s="18">
        <v>12</v>
      </c>
      <c r="I11858" s="18" t="s">
        <v>9239</v>
      </c>
      <c r="J11858" s="5" t="s">
        <v>55425</v>
      </c>
      <c r="K11858" s="5" t="s">
        <v>54872</v>
      </c>
      <c r="L11858" s="18" t="s">
        <v>846</v>
      </c>
      <c r="M11858" s="18" t="s">
        <v>29</v>
      </c>
      <c r="N11858" s="18" t="s">
        <v>30065</v>
      </c>
      <c r="O11858" s="18" t="s">
        <v>29</v>
      </c>
      <c r="P11858" s="6"/>
      <c r="Q11858" s="6"/>
      <c r="R11858" s="6"/>
      <c r="S11858" s="6"/>
      <c r="T11858" s="6"/>
      <c r="U11858" s="6"/>
    </row>
    <row r="11859" ht="14.25">
      <c r="B11859" s="18" t="s">
        <v>55426</v>
      </c>
      <c r="C11859" s="18" t="s">
        <v>55427</v>
      </c>
      <c r="D11859" s="18" t="s">
        <v>1130</v>
      </c>
      <c r="E11859" s="18" t="s">
        <v>55428</v>
      </c>
      <c r="F11859" s="18" t="str">
        <f>IFERROR(__XLUDF.DUMMYFUNCTION("PROPER(REGEXREPLACE(D1771,""[^A-Za-z]+ "",""""))"),"Elef Ingénierie")</f>
        <v xml:space="preserve">Elef Ingénierie</v>
      </c>
      <c r="G11859" s="18" t="s">
        <v>55429</v>
      </c>
      <c r="H11859" s="18">
        <v>3</v>
      </c>
      <c r="I11859" s="18" t="s">
        <v>9239</v>
      </c>
      <c r="J11859" s="5" t="s">
        <v>55430</v>
      </c>
      <c r="K11859" s="5" t="s">
        <v>55431</v>
      </c>
      <c r="L11859" s="18" t="s">
        <v>11171</v>
      </c>
      <c r="M11859" s="18" t="s">
        <v>29</v>
      </c>
      <c r="N11859" s="18" t="s">
        <v>55432</v>
      </c>
      <c r="O11859" s="18" t="s">
        <v>29</v>
      </c>
      <c r="P11859" s="6"/>
      <c r="Q11859" s="6"/>
      <c r="R11859" s="6"/>
      <c r="S11859" s="6"/>
      <c r="T11859" s="6"/>
      <c r="U11859" s="6"/>
    </row>
    <row r="11860" ht="14.25">
      <c r="B11860" s="18" t="s">
        <v>743</v>
      </c>
      <c r="C11860" s="18" t="s">
        <v>16833</v>
      </c>
      <c r="D11860" s="18" t="s">
        <v>87</v>
      </c>
      <c r="E11860" s="18" t="s">
        <v>55433</v>
      </c>
      <c r="F11860" s="18" t="str">
        <f>IFERROR(__XLUDF.DUMMYFUNCTION("PROPER(REGEXREPLACE(D1772,""[^A-Za-z]+ "",""""))"),"Snerct Construction")</f>
        <v xml:space="preserve">Snerct Construction</v>
      </c>
      <c r="G11860" s="18" t="s">
        <v>55434</v>
      </c>
      <c r="H11860" s="18">
        <v>52</v>
      </c>
      <c r="I11860" s="18" t="s">
        <v>9239</v>
      </c>
      <c r="J11860" s="5" t="s">
        <v>55435</v>
      </c>
      <c r="K11860" s="5" t="s">
        <v>55436</v>
      </c>
      <c r="L11860" s="18" t="s">
        <v>39</v>
      </c>
      <c r="M11860" s="18" t="s">
        <v>29</v>
      </c>
      <c r="N11860" s="18" t="s">
        <v>55437</v>
      </c>
      <c r="O11860" s="18" t="s">
        <v>29</v>
      </c>
      <c r="P11860" s="6"/>
      <c r="Q11860" s="6"/>
      <c r="R11860" s="6"/>
      <c r="S11860" s="6"/>
      <c r="T11860" s="6"/>
      <c r="U11860" s="6"/>
    </row>
    <row r="11861" ht="14.25">
      <c r="B11861" s="18" t="s">
        <v>255</v>
      </c>
      <c r="C11861" s="18" t="s">
        <v>55438</v>
      </c>
      <c r="D11861" s="18" t="s">
        <v>112</v>
      </c>
      <c r="E11861" s="18" t="s">
        <v>55439</v>
      </c>
      <c r="F11861" s="18" t="str">
        <f>IFERROR(__XLUDF.DUMMYFUNCTION("PROPER(REGEXREPLACE(D1773,""[^A-Za-z]+ "",""""))"),"Paveco Aménagement")</f>
        <v xml:space="preserve">Paveco Aménagement</v>
      </c>
      <c r="G11861" s="18" t="s">
        <v>55440</v>
      </c>
      <c r="H11861" s="18">
        <v>16</v>
      </c>
      <c r="I11861" s="18" t="s">
        <v>9239</v>
      </c>
      <c r="J11861" s="5" t="s">
        <v>55441</v>
      </c>
      <c r="K11861" s="5" t="s">
        <v>55442</v>
      </c>
      <c r="L11861" s="18" t="s">
        <v>7827</v>
      </c>
      <c r="M11861" s="18" t="s">
        <v>29</v>
      </c>
      <c r="N11861" s="18" t="s">
        <v>55443</v>
      </c>
      <c r="O11861" s="18" t="s">
        <v>29</v>
      </c>
      <c r="P11861" s="18" t="s">
        <v>55444</v>
      </c>
      <c r="Q11861" s="6"/>
      <c r="R11861" s="6"/>
      <c r="S11861" s="6"/>
      <c r="T11861" s="6"/>
      <c r="U11861" s="6"/>
    </row>
    <row r="11862" ht="14.25">
      <c r="B11862" s="18" t="s">
        <v>485</v>
      </c>
      <c r="C11862" s="18" t="s">
        <v>55445</v>
      </c>
      <c r="D11862" s="18" t="s">
        <v>1130</v>
      </c>
      <c r="E11862" s="18" t="s">
        <v>55446</v>
      </c>
      <c r="F11862" s="18" t="str">
        <f>IFERROR(__XLUDF.DUMMYFUNCTION("PROPER(REGEXREPLACE(D1774,""[^A-Za-z]+ "",""""))"),"Dassé")</f>
        <v>Dassé</v>
      </c>
      <c r="G11862" s="18" t="s">
        <v>55447</v>
      </c>
      <c r="H11862" s="18">
        <v>40</v>
      </c>
      <c r="I11862" s="18" t="s">
        <v>9239</v>
      </c>
      <c r="J11862" s="5" t="s">
        <v>55448</v>
      </c>
      <c r="K11862" s="5" t="s">
        <v>55449</v>
      </c>
      <c r="L11862" s="18" t="s">
        <v>55450</v>
      </c>
      <c r="M11862" s="18" t="s">
        <v>29</v>
      </c>
      <c r="N11862" s="18" t="s">
        <v>55451</v>
      </c>
      <c r="O11862" s="18" t="s">
        <v>29</v>
      </c>
      <c r="P11862" s="18" t="s">
        <v>55452</v>
      </c>
      <c r="Q11862" s="6"/>
      <c r="R11862" s="6"/>
      <c r="S11862" s="6"/>
      <c r="T11862" s="6"/>
      <c r="U11862" s="6"/>
    </row>
    <row r="11863" ht="14.25">
      <c r="B11863" s="18" t="s">
        <v>55453</v>
      </c>
      <c r="C11863" s="18" t="s">
        <v>55454</v>
      </c>
      <c r="D11863" s="18" t="s">
        <v>112</v>
      </c>
      <c r="E11863" s="18" t="s">
        <v>53273</v>
      </c>
      <c r="F11863" s="18" t="str">
        <f>IFERROR(__XLUDF.DUMMYFUNCTION("PROPER(REGEXREPLACE(D1775,""[^A-Za-z]+ "",""""))"),"Prestibat")</f>
        <v>Prestibat</v>
      </c>
      <c r="G11863" s="18" t="s">
        <v>55455</v>
      </c>
      <c r="H11863" s="18">
        <v>32</v>
      </c>
      <c r="I11863" s="18" t="s">
        <v>9239</v>
      </c>
      <c r="J11863" s="5" t="s">
        <v>55456</v>
      </c>
      <c r="K11863" s="5" t="s">
        <v>53276</v>
      </c>
      <c r="L11863" s="6"/>
      <c r="M11863" s="18" t="s">
        <v>29</v>
      </c>
      <c r="N11863" s="18" t="s">
        <v>53277</v>
      </c>
      <c r="O11863" s="18" t="s">
        <v>29</v>
      </c>
      <c r="P11863" s="18" t="s">
        <v>53278</v>
      </c>
      <c r="Q11863" s="6"/>
      <c r="R11863" s="6"/>
      <c r="S11863" s="6"/>
      <c r="T11863" s="6"/>
      <c r="U11863" s="6"/>
    </row>
    <row r="11864" ht="14.25">
      <c r="B11864" s="18" t="s">
        <v>6923</v>
      </c>
      <c r="C11864" s="18" t="s">
        <v>55457</v>
      </c>
      <c r="D11864" s="18" t="s">
        <v>112</v>
      </c>
      <c r="E11864" s="18" t="s">
        <v>55458</v>
      </c>
      <c r="F11864" s="18" t="str">
        <f>IFERROR(__XLUDF.DUMMYFUNCTION("PROPER(REGEXREPLACE(D1776,""[^A-Za-z]+ "",""""))"),"Brault Sas")</f>
        <v xml:space="preserve">Brault Sas</v>
      </c>
      <c r="G11864" s="18" t="s">
        <v>55459</v>
      </c>
      <c r="H11864" s="18">
        <v>27</v>
      </c>
      <c r="I11864" s="18" t="s">
        <v>9239</v>
      </c>
      <c r="J11864" s="5" t="s">
        <v>55460</v>
      </c>
      <c r="K11864" s="5" t="s">
        <v>55461</v>
      </c>
      <c r="L11864" s="18" t="s">
        <v>55462</v>
      </c>
      <c r="M11864" s="18" t="s">
        <v>29</v>
      </c>
      <c r="N11864" s="18" t="s">
        <v>55463</v>
      </c>
      <c r="O11864" s="18" t="s">
        <v>29</v>
      </c>
      <c r="P11864" s="18" t="s">
        <v>55464</v>
      </c>
      <c r="Q11864" s="6"/>
      <c r="R11864" s="6"/>
      <c r="S11864" s="6"/>
      <c r="T11864" s="6"/>
      <c r="U11864" s="6"/>
    </row>
    <row r="11865" ht="14.25">
      <c r="B11865" s="18" t="s">
        <v>1198</v>
      </c>
      <c r="C11865" s="18" t="s">
        <v>55465</v>
      </c>
      <c r="D11865" s="18" t="s">
        <v>112</v>
      </c>
      <c r="E11865" s="18" t="s">
        <v>55466</v>
      </c>
      <c r="F11865" s="18" t="str">
        <f>IFERROR(__XLUDF.DUMMYFUNCTION("PROPER(REGEXREPLACE(D1777,""[^A-Za-z]+ "",""""))"),"Fondouest")</f>
        <v>Fondouest</v>
      </c>
      <c r="G11865" s="18" t="s">
        <v>55467</v>
      </c>
      <c r="H11865" s="18">
        <v>45</v>
      </c>
      <c r="I11865" s="18" t="s">
        <v>9239</v>
      </c>
      <c r="J11865" s="5" t="s">
        <v>55468</v>
      </c>
      <c r="K11865" s="5" t="s">
        <v>55469</v>
      </c>
      <c r="L11865" s="18" t="s">
        <v>55470</v>
      </c>
      <c r="M11865" s="18" t="s">
        <v>29</v>
      </c>
      <c r="N11865" s="18" t="s">
        <v>55471</v>
      </c>
      <c r="O11865" s="18" t="s">
        <v>29</v>
      </c>
      <c r="P11865" s="18" t="s">
        <v>55472</v>
      </c>
      <c r="Q11865" s="6"/>
      <c r="R11865" s="6"/>
      <c r="S11865" s="6"/>
      <c r="T11865" s="6"/>
      <c r="U11865" s="6"/>
    </row>
    <row r="11866" ht="14.25">
      <c r="B11866" s="18" t="s">
        <v>6923</v>
      </c>
      <c r="C11866" s="18" t="s">
        <v>55473</v>
      </c>
      <c r="D11866" s="18" t="s">
        <v>688</v>
      </c>
      <c r="E11866" s="18" t="s">
        <v>55474</v>
      </c>
      <c r="F11866" s="18" t="str">
        <f>IFERROR(__XLUDF.DUMMYFUNCTION("PROPER(REGEXREPLACE(D1778,""[^A-Za-z]+ "",""""))"),"Timetonic")</f>
        <v>Timetonic</v>
      </c>
      <c r="G11866" s="18" t="s">
        <v>55475</v>
      </c>
      <c r="H11866" s="18">
        <v>23</v>
      </c>
      <c r="I11866" s="18" t="s">
        <v>9239</v>
      </c>
      <c r="J11866" s="5" t="s">
        <v>55476</v>
      </c>
      <c r="K11866" s="5" t="s">
        <v>55477</v>
      </c>
      <c r="L11866" s="6"/>
      <c r="M11866" s="18" t="s">
        <v>29</v>
      </c>
      <c r="N11866" s="18" t="s">
        <v>55478</v>
      </c>
      <c r="O11866" s="18" t="s">
        <v>29</v>
      </c>
      <c r="P11866" s="18" t="s">
        <v>55479</v>
      </c>
      <c r="Q11866" s="6"/>
      <c r="R11866" s="6"/>
      <c r="S11866" s="6"/>
      <c r="T11866" s="6"/>
      <c r="U11866" s="6"/>
    </row>
    <row r="11867" ht="14.25">
      <c r="B11867" s="18" t="s">
        <v>76</v>
      </c>
      <c r="C11867" s="18" t="s">
        <v>51759</v>
      </c>
      <c r="D11867" s="18" t="s">
        <v>87</v>
      </c>
      <c r="E11867" s="18" t="s">
        <v>55480</v>
      </c>
      <c r="F11867" s="18" t="str">
        <f>IFERROR(__XLUDF.DUMMYFUNCTION("PROPER(REGEXREPLACE(D1779,""[^A-Za-z]+ "",""""))"),"Imx Group")</f>
        <v xml:space="preserve">Imx Group</v>
      </c>
      <c r="G11867" s="18" t="s">
        <v>55481</v>
      </c>
      <c r="H11867" s="18">
        <v>3</v>
      </c>
      <c r="I11867" s="18" t="s">
        <v>9239</v>
      </c>
      <c r="J11867" s="5" t="s">
        <v>55482</v>
      </c>
      <c r="K11867" s="5" t="s">
        <v>55483</v>
      </c>
      <c r="L11867" s="18" t="s">
        <v>39</v>
      </c>
      <c r="M11867" s="18" t="s">
        <v>29</v>
      </c>
      <c r="N11867" s="18" t="s">
        <v>55484</v>
      </c>
      <c r="O11867" s="18" t="s">
        <v>1261</v>
      </c>
      <c r="P11867" s="6"/>
      <c r="Q11867" s="6"/>
      <c r="R11867" s="6"/>
      <c r="S11867" s="6"/>
      <c r="T11867" s="6"/>
      <c r="U11867" s="6"/>
    </row>
    <row r="11868" ht="14.25">
      <c r="B11868" s="18" t="s">
        <v>2419</v>
      </c>
      <c r="C11868" s="18" t="s">
        <v>55485</v>
      </c>
      <c r="D11868" s="18" t="s">
        <v>426</v>
      </c>
      <c r="E11868" s="18" t="s">
        <v>55486</v>
      </c>
      <c r="F11868" s="18" t="str">
        <f>IFERROR(__XLUDF.DUMMYFUNCTION("PROPER(REGEXREPLACE(D1780,""[^A-Za-z]+ "",""""))"),"Tchoulfian Sas")</f>
        <v xml:space="preserve">Tchoulfian Sas</v>
      </c>
      <c r="G11868" s="18" t="s">
        <v>55487</v>
      </c>
      <c r="H11868" s="18">
        <v>17</v>
      </c>
      <c r="I11868" s="18" t="s">
        <v>9239</v>
      </c>
      <c r="J11868" s="5" t="s">
        <v>55488</v>
      </c>
      <c r="K11868" s="5" t="s">
        <v>55489</v>
      </c>
      <c r="L11868" s="18" t="s">
        <v>185</v>
      </c>
      <c r="M11868" s="18" t="s">
        <v>29</v>
      </c>
      <c r="N11868" s="18" t="s">
        <v>55490</v>
      </c>
      <c r="O11868" s="18" t="s">
        <v>29</v>
      </c>
      <c r="P11868" s="18" t="s">
        <v>55491</v>
      </c>
      <c r="Q11868" s="6"/>
      <c r="R11868" s="6"/>
      <c r="S11868" s="6"/>
      <c r="T11868" s="6"/>
      <c r="U11868" s="6"/>
    </row>
    <row r="11869" ht="14.25">
      <c r="B11869" s="18" t="s">
        <v>2051</v>
      </c>
      <c r="C11869" s="18" t="s">
        <v>55492</v>
      </c>
      <c r="D11869" s="18" t="s">
        <v>112</v>
      </c>
      <c r="E11869" s="18" t="s">
        <v>54189</v>
      </c>
      <c r="F11869" s="18" t="str">
        <f>IFERROR(__XLUDF.DUMMYFUNCTION("PROPER(REGEXREPLACE(D1781,""[^A-Za-z]+ "",""""))"),"Ucb Construction")</f>
        <v xml:space="preserve">Ucb Construction</v>
      </c>
      <c r="G11869" s="18" t="s">
        <v>55493</v>
      </c>
      <c r="H11869" s="18">
        <v>31</v>
      </c>
      <c r="I11869" s="18" t="s">
        <v>9239</v>
      </c>
      <c r="J11869" s="5" t="s">
        <v>55494</v>
      </c>
      <c r="K11869" s="5" t="s">
        <v>54192</v>
      </c>
      <c r="L11869" s="18" t="s">
        <v>19108</v>
      </c>
      <c r="M11869" s="18" t="s">
        <v>29</v>
      </c>
      <c r="N11869" s="18" t="s">
        <v>54193</v>
      </c>
      <c r="O11869" s="18" t="s">
        <v>29</v>
      </c>
      <c r="P11869" s="6"/>
      <c r="Q11869" s="6"/>
      <c r="R11869" s="6"/>
      <c r="S11869" s="6"/>
      <c r="T11869" s="6"/>
      <c r="U11869" s="6"/>
    </row>
    <row r="11870" ht="14.25">
      <c r="B11870" s="18" t="s">
        <v>622</v>
      </c>
      <c r="C11870" s="18" t="s">
        <v>20</v>
      </c>
      <c r="D11870" s="18" t="s">
        <v>1130</v>
      </c>
      <c r="E11870" s="18" t="s">
        <v>55495</v>
      </c>
      <c r="F11870" s="18" t="str">
        <f>IFERROR(__XLUDF.DUMMYFUNCTION("PROPER(REGEXREPLACE(D1782,""[^A-Za-z]+ "",""""))"),"Rapid'Béton")</f>
        <v>Rapid'Béton</v>
      </c>
      <c r="G11870" s="18" t="s">
        <v>55496</v>
      </c>
      <c r="H11870" s="18">
        <v>12</v>
      </c>
      <c r="I11870" s="18" t="s">
        <v>9239</v>
      </c>
      <c r="J11870" s="5" t="s">
        <v>55497</v>
      </c>
      <c r="K11870" s="5" t="s">
        <v>55498</v>
      </c>
      <c r="L11870" s="18" t="s">
        <v>423</v>
      </c>
      <c r="M11870" s="18" t="s">
        <v>29</v>
      </c>
      <c r="N11870" s="18" t="s">
        <v>26234</v>
      </c>
      <c r="O11870" s="18" t="s">
        <v>29</v>
      </c>
      <c r="P11870" s="6"/>
      <c r="Q11870" s="6"/>
      <c r="R11870" s="6"/>
      <c r="S11870" s="6"/>
      <c r="T11870" s="6"/>
      <c r="U11870" s="6"/>
    </row>
    <row r="11871" ht="14.25">
      <c r="B11871" s="18" t="s">
        <v>55499</v>
      </c>
      <c r="C11871" s="18" t="s">
        <v>743</v>
      </c>
      <c r="D11871" s="18" t="s">
        <v>2281</v>
      </c>
      <c r="E11871" s="18" t="s">
        <v>55500</v>
      </c>
      <c r="F11871" s="18" t="str">
        <f>IFERROR(__XLUDF.DUMMYFUNCTION("PROPER(REGEXREPLACE(D1783,""[^A-Za-z]+ "",""""))"),"Bavetta Construction")</f>
        <v xml:space="preserve">Bavetta Construction</v>
      </c>
      <c r="G11871" s="18" t="s">
        <v>55501</v>
      </c>
      <c r="H11871" s="18">
        <v>12</v>
      </c>
      <c r="I11871" s="18" t="s">
        <v>9239</v>
      </c>
      <c r="J11871" s="5" t="s">
        <v>55502</v>
      </c>
      <c r="K11871" s="5" t="s">
        <v>55503</v>
      </c>
      <c r="L11871" s="18" t="s">
        <v>846</v>
      </c>
      <c r="M11871" s="18" t="s">
        <v>29</v>
      </c>
      <c r="N11871" s="18" t="s">
        <v>55504</v>
      </c>
      <c r="O11871" s="18" t="s">
        <v>29</v>
      </c>
      <c r="P11871" s="6"/>
      <c r="Q11871" s="6"/>
      <c r="R11871" s="6"/>
      <c r="S11871" s="6"/>
      <c r="T11871" s="6"/>
      <c r="U11871" s="6"/>
    </row>
    <row r="11872" ht="14.25">
      <c r="B11872" s="18" t="s">
        <v>556</v>
      </c>
      <c r="C11872" s="18" t="s">
        <v>1153</v>
      </c>
      <c r="D11872" s="18" t="s">
        <v>172</v>
      </c>
      <c r="E11872" s="18" t="s">
        <v>55505</v>
      </c>
      <c r="F11872" s="18" t="str">
        <f>IFERROR(__XLUDF.DUMMYFUNCTION("PROPER(REGEXREPLACE(D1784,""[^A-Za-z]+ "",""""))"),"Constructions De L'Erdre")</f>
        <v xml:space="preserve">Constructions De L'Erdre</v>
      </c>
      <c r="G11872" s="18" t="s">
        <v>55506</v>
      </c>
      <c r="H11872" s="18">
        <v>11</v>
      </c>
      <c r="I11872" s="18" t="s">
        <v>9239</v>
      </c>
      <c r="J11872" s="5" t="s">
        <v>55507</v>
      </c>
      <c r="K11872" s="5" t="s">
        <v>55508</v>
      </c>
      <c r="L11872" s="18" t="s">
        <v>1711</v>
      </c>
      <c r="M11872" s="18" t="s">
        <v>29</v>
      </c>
      <c r="N11872" s="18" t="s">
        <v>55509</v>
      </c>
      <c r="O11872" s="18" t="s">
        <v>29</v>
      </c>
      <c r="P11872" s="6"/>
      <c r="Q11872" s="6"/>
      <c r="R11872" s="6"/>
      <c r="S11872" s="6"/>
      <c r="T11872" s="6"/>
      <c r="U11872" s="6"/>
    </row>
    <row r="11873" ht="14.25">
      <c r="B11873" s="18" t="s">
        <v>710</v>
      </c>
      <c r="C11873" s="18" t="s">
        <v>26529</v>
      </c>
      <c r="D11873" s="18" t="s">
        <v>120</v>
      </c>
      <c r="E11873" s="18" t="s">
        <v>54282</v>
      </c>
      <c r="F11873" s="18" t="str">
        <f>IFERROR(__XLUDF.DUMMYFUNCTION("PROPER(REGEXREPLACE(D1785,""[^A-Za-z]+ "",""""))"),"Reniew®")</f>
        <v>Reniew®</v>
      </c>
      <c r="G11873" s="18" t="s">
        <v>55510</v>
      </c>
      <c r="H11873" s="18">
        <v>4</v>
      </c>
      <c r="I11873" s="18" t="s">
        <v>9239</v>
      </c>
      <c r="J11873" s="5" t="s">
        <v>55511</v>
      </c>
      <c r="K11873" s="5" t="s">
        <v>54285</v>
      </c>
      <c r="L11873" s="6"/>
      <c r="M11873" s="18" t="s">
        <v>29</v>
      </c>
      <c r="N11873" s="18" t="s">
        <v>54286</v>
      </c>
      <c r="O11873" s="18" t="s">
        <v>29</v>
      </c>
      <c r="P11873" s="18" t="s">
        <v>54287</v>
      </c>
      <c r="Q11873" s="6"/>
      <c r="R11873" s="6"/>
      <c r="S11873" s="6"/>
      <c r="T11873" s="6"/>
      <c r="U11873" s="6"/>
    </row>
    <row r="11874" ht="14.25">
      <c r="B11874" s="18" t="s">
        <v>3142</v>
      </c>
      <c r="C11874" s="18" t="s">
        <v>55512</v>
      </c>
      <c r="D11874" s="18" t="s">
        <v>27601</v>
      </c>
      <c r="E11874" s="18" t="s">
        <v>55513</v>
      </c>
      <c r="F11874" s="18" t="str">
        <f>IFERROR(__XLUDF.DUMMYFUNCTION("PROPER(REGEXREPLACE(D1786,""[^A-Za-z]+ "",""""))"),"Patrimoinerénovation")</f>
        <v>Patrimoinerénovation</v>
      </c>
      <c r="G11874" s="18" t="s">
        <v>55514</v>
      </c>
      <c r="H11874" s="18">
        <v>35</v>
      </c>
      <c r="I11874" s="18" t="s">
        <v>9239</v>
      </c>
      <c r="J11874" s="5" t="s">
        <v>55515</v>
      </c>
      <c r="K11874" s="5" t="s">
        <v>55516</v>
      </c>
      <c r="L11874" s="6"/>
      <c r="M11874" s="18" t="s">
        <v>29</v>
      </c>
      <c r="N11874" s="18" t="s">
        <v>55517</v>
      </c>
      <c r="O11874" s="18" t="s">
        <v>29</v>
      </c>
      <c r="P11874" s="18" t="s">
        <v>55518</v>
      </c>
      <c r="Q11874" s="6"/>
      <c r="R11874" s="6"/>
      <c r="S11874" s="6"/>
      <c r="T11874" s="6"/>
      <c r="U11874" s="6"/>
    </row>
    <row r="11875" ht="14.25">
      <c r="B11875" s="18" t="s">
        <v>55519</v>
      </c>
      <c r="C11875" s="18" t="s">
        <v>55520</v>
      </c>
      <c r="D11875" s="18" t="s">
        <v>172</v>
      </c>
      <c r="E11875" s="18" t="s">
        <v>55521</v>
      </c>
      <c r="F11875" s="18" t="str">
        <f>IFERROR(__XLUDF.DUMMYFUNCTION("PROPER(REGEXREPLACE(D1787,""[^A-Za-z]+ "",""""))"),"Kavak Groupe")</f>
        <v xml:space="preserve">Kavak Groupe</v>
      </c>
      <c r="G11875" s="18" t="s">
        <v>55522</v>
      </c>
      <c r="H11875" s="18">
        <v>8</v>
      </c>
      <c r="I11875" s="18" t="s">
        <v>9239</v>
      </c>
      <c r="J11875" s="5" t="s">
        <v>55523</v>
      </c>
      <c r="K11875" s="5" t="s">
        <v>55524</v>
      </c>
      <c r="L11875" s="18" t="s">
        <v>1204</v>
      </c>
      <c r="M11875" s="18" t="s">
        <v>29</v>
      </c>
      <c r="N11875" s="18" t="s">
        <v>55525</v>
      </c>
      <c r="O11875" s="18" t="s">
        <v>29</v>
      </c>
      <c r="P11875" s="18" t="s">
        <v>55526</v>
      </c>
      <c r="Q11875" s="6"/>
      <c r="R11875" s="6"/>
      <c r="S11875" s="6"/>
      <c r="T11875" s="6"/>
      <c r="U11875" s="6"/>
    </row>
    <row r="11876" ht="14.25">
      <c r="B11876" s="18" t="s">
        <v>2932</v>
      </c>
      <c r="C11876" s="18" t="s">
        <v>29448</v>
      </c>
      <c r="D11876" s="18" t="s">
        <v>112</v>
      </c>
      <c r="E11876" s="18" t="s">
        <v>55527</v>
      </c>
      <c r="F11876" s="18" t="str">
        <f>IFERROR(__XLUDF.DUMMYFUNCTION("PROPER(REGEXREPLACE(D1788,""[^A-Za-z]+ "",""""))"),"Brb Construction")</f>
        <v xml:space="preserve">Brb Construction</v>
      </c>
      <c r="G11876" s="18" t="s">
        <v>55528</v>
      </c>
      <c r="H11876" s="18">
        <v>21</v>
      </c>
      <c r="I11876" s="18" t="s">
        <v>9239</v>
      </c>
      <c r="J11876" s="5" t="s">
        <v>55529</v>
      </c>
      <c r="K11876" s="5" t="s">
        <v>55530</v>
      </c>
      <c r="L11876" s="18" t="s">
        <v>185</v>
      </c>
      <c r="M11876" s="18" t="s">
        <v>29</v>
      </c>
      <c r="N11876" s="18" t="s">
        <v>55531</v>
      </c>
      <c r="O11876" s="18" t="s">
        <v>29</v>
      </c>
      <c r="P11876" s="6"/>
      <c r="Q11876" s="6"/>
      <c r="R11876" s="6"/>
      <c r="S11876" s="6"/>
      <c r="T11876" s="6"/>
      <c r="U11876" s="6"/>
    </row>
    <row r="11877" ht="14.25">
      <c r="B11877" s="18" t="s">
        <v>679</v>
      </c>
      <c r="C11877" s="18" t="s">
        <v>1619</v>
      </c>
      <c r="D11877" s="18" t="s">
        <v>112</v>
      </c>
      <c r="E11877" s="18" t="s">
        <v>55532</v>
      </c>
      <c r="F11877" s="18" t="str">
        <f>IFERROR(__XLUDF.DUMMYFUNCTION("PROPER(REGEXREPLACE(D1789,""[^A-Za-z]+ "",""""))"),"Simon 4G")</f>
        <v xml:space="preserve">Simon 4G</v>
      </c>
      <c r="G11877" s="18" t="s">
        <v>55533</v>
      </c>
      <c r="H11877" s="18">
        <v>14</v>
      </c>
      <c r="I11877" s="18" t="s">
        <v>9239</v>
      </c>
      <c r="J11877" s="5" t="s">
        <v>55534</v>
      </c>
      <c r="K11877" s="5" t="s">
        <v>55535</v>
      </c>
      <c r="L11877" s="18" t="s">
        <v>46259</v>
      </c>
      <c r="M11877" s="18" t="s">
        <v>29</v>
      </c>
      <c r="N11877" s="18" t="s">
        <v>55536</v>
      </c>
      <c r="O11877" s="18" t="s">
        <v>29</v>
      </c>
      <c r="P11877" s="6"/>
      <c r="Q11877" s="6"/>
      <c r="R11877" s="6"/>
      <c r="S11877" s="6"/>
      <c r="T11877" s="6"/>
      <c r="U11877" s="6"/>
    </row>
    <row r="11878" ht="14.25">
      <c r="B11878" s="18" t="s">
        <v>866</v>
      </c>
      <c r="C11878" s="18" t="s">
        <v>55537</v>
      </c>
      <c r="D11878" s="18" t="s">
        <v>1130</v>
      </c>
      <c r="E11878" s="18" t="s">
        <v>55538</v>
      </c>
      <c r="F11878" s="18" t="str">
        <f>IFERROR(__XLUDF.DUMMYFUNCTION("PROPER(REGEXREPLACE(D1790,""[^A-Za-z]+ "",""""))"),"Young Cm")</f>
        <v xml:space="preserve">Young Cm</v>
      </c>
      <c r="G11878" s="18" t="s">
        <v>55539</v>
      </c>
      <c r="H11878" s="18">
        <v>17</v>
      </c>
      <c r="I11878" s="18" t="s">
        <v>9239</v>
      </c>
      <c r="J11878" s="5" t="s">
        <v>55540</v>
      </c>
      <c r="K11878" s="5" t="s">
        <v>55541</v>
      </c>
      <c r="L11878" s="18" t="s">
        <v>243</v>
      </c>
      <c r="M11878" s="18" t="s">
        <v>29</v>
      </c>
      <c r="N11878" s="18" t="s">
        <v>55542</v>
      </c>
      <c r="O11878" s="18" t="s">
        <v>29</v>
      </c>
      <c r="P11878" s="18" t="s">
        <v>55543</v>
      </c>
      <c r="Q11878" s="6"/>
      <c r="R11878" s="6"/>
      <c r="S11878" s="6"/>
      <c r="T11878" s="6"/>
      <c r="U11878" s="6"/>
    </row>
    <row r="11879" ht="14.25">
      <c r="B11879" s="18" t="s">
        <v>4800</v>
      </c>
      <c r="C11879" s="18" t="s">
        <v>55544</v>
      </c>
      <c r="D11879" s="18" t="s">
        <v>112</v>
      </c>
      <c r="E11879" s="18" t="s">
        <v>55545</v>
      </c>
      <c r="F11879" s="18" t="str">
        <f>IFERROR(__XLUDF.DUMMYFUNCTION("PROPER(REGEXREPLACE(D1791,""[^A-Za-z]+ "",""""))"),"Parquets Briatte")</f>
        <v xml:space="preserve">Parquets Briatte</v>
      </c>
      <c r="G11879" s="18" t="s">
        <v>55546</v>
      </c>
      <c r="H11879" s="18">
        <v>20</v>
      </c>
      <c r="I11879" s="18" t="s">
        <v>9239</v>
      </c>
      <c r="J11879" s="5" t="s">
        <v>55547</v>
      </c>
      <c r="K11879" s="5" t="s">
        <v>55548</v>
      </c>
      <c r="L11879" s="18" t="s">
        <v>39</v>
      </c>
      <c r="M11879" s="18" t="s">
        <v>29</v>
      </c>
      <c r="N11879" s="18" t="s">
        <v>55549</v>
      </c>
      <c r="O11879" s="18" t="s">
        <v>29</v>
      </c>
      <c r="P11879" s="18" t="s">
        <v>55550</v>
      </c>
      <c r="Q11879" s="6"/>
      <c r="R11879" s="6"/>
      <c r="S11879" s="6"/>
      <c r="T11879" s="6"/>
      <c r="U11879" s="6"/>
    </row>
    <row r="11880" ht="14.25">
      <c r="B11880" s="18" t="s">
        <v>55551</v>
      </c>
      <c r="C11880" s="18" t="s">
        <v>55552</v>
      </c>
      <c r="D11880" s="18" t="s">
        <v>112</v>
      </c>
      <c r="E11880" s="18" t="s">
        <v>55553</v>
      </c>
      <c r="F11880" s="18" t="str">
        <f>IFERROR(__XLUDF.DUMMYFUNCTION("PROPER(REGEXREPLACE(D1792,""[^A-Za-z]+ "",""""))"),"Spb Elec")</f>
        <v xml:space="preserve">Spb Elec</v>
      </c>
      <c r="G11880" s="18" t="s">
        <v>55554</v>
      </c>
      <c r="H11880" s="18">
        <v>14</v>
      </c>
      <c r="I11880" s="18" t="s">
        <v>9239</v>
      </c>
      <c r="J11880" s="5" t="s">
        <v>55555</v>
      </c>
      <c r="K11880" s="5" t="s">
        <v>55556</v>
      </c>
      <c r="L11880" s="18" t="s">
        <v>286</v>
      </c>
      <c r="M11880" s="18" t="s">
        <v>29</v>
      </c>
      <c r="N11880" s="18" t="s">
        <v>55557</v>
      </c>
      <c r="O11880" s="18" t="s">
        <v>29</v>
      </c>
      <c r="P11880" s="18" t="s">
        <v>55558</v>
      </c>
      <c r="Q11880" s="6"/>
      <c r="R11880" s="6"/>
      <c r="S11880" s="6"/>
      <c r="T11880" s="6"/>
      <c r="U11880" s="6"/>
    </row>
    <row r="11881" ht="14.25">
      <c r="B11881" s="18" t="s">
        <v>2652</v>
      </c>
      <c r="C11881" s="18" t="s">
        <v>55559</v>
      </c>
      <c r="D11881" s="18" t="s">
        <v>112</v>
      </c>
      <c r="E11881" s="18" t="s">
        <v>55560</v>
      </c>
      <c r="F11881" s="18" t="str">
        <f>IFERROR(__XLUDF.DUMMYFUNCTION("PROPER(REGEXREPLACE(D1793,""[^A-Za-z]+ "",""""))"),"T.S.Mtravaux Sur Mesure Groupe Graftek Métal")</f>
        <v xml:space="preserve">T.S.Mtravaux Sur Mesure Groupe Graftek Métal</v>
      </c>
      <c r="G11881" s="18" t="s">
        <v>55561</v>
      </c>
      <c r="H11881" s="18">
        <v>17</v>
      </c>
      <c r="I11881" s="18" t="s">
        <v>9239</v>
      </c>
      <c r="J11881" s="5" t="s">
        <v>55562</v>
      </c>
      <c r="K11881" s="5" t="s">
        <v>55563</v>
      </c>
      <c r="L11881" s="6"/>
      <c r="M11881" s="18" t="s">
        <v>29</v>
      </c>
      <c r="N11881" s="18" t="s">
        <v>55564</v>
      </c>
      <c r="O11881" s="18" t="s">
        <v>29</v>
      </c>
      <c r="P11881" s="18" t="s">
        <v>55565</v>
      </c>
      <c r="Q11881" s="6"/>
      <c r="R11881" s="6"/>
      <c r="S11881" s="6"/>
      <c r="T11881" s="6"/>
      <c r="U11881" s="6"/>
    </row>
    <row r="11882" ht="14.25">
      <c r="B11882" s="18" t="s">
        <v>4245</v>
      </c>
      <c r="C11882" s="18" t="s">
        <v>55566</v>
      </c>
      <c r="D11882" s="18" t="s">
        <v>112</v>
      </c>
      <c r="E11882" s="18" t="s">
        <v>55567</v>
      </c>
      <c r="F11882" s="18" t="str">
        <f>IFERROR(__XLUDF.DUMMYFUNCTION("PROPER(REGEXREPLACE(D1794,""[^A-Za-z]+ "",""""))"),"Alric")</f>
        <v>Alric</v>
      </c>
      <c r="G11882" s="18" t="s">
        <v>55568</v>
      </c>
      <c r="H11882" s="18">
        <v>32</v>
      </c>
      <c r="I11882" s="18" t="s">
        <v>9239</v>
      </c>
      <c r="J11882" s="5" t="s">
        <v>55569</v>
      </c>
      <c r="K11882" s="5" t="s">
        <v>55570</v>
      </c>
      <c r="L11882" s="18" t="s">
        <v>39</v>
      </c>
      <c r="M11882" s="18" t="s">
        <v>29</v>
      </c>
      <c r="N11882" s="18" t="s">
        <v>55571</v>
      </c>
      <c r="O11882" s="18" t="s">
        <v>29</v>
      </c>
      <c r="P11882" s="6"/>
      <c r="Q11882" s="6"/>
      <c r="R11882" s="6"/>
      <c r="S11882" s="6"/>
      <c r="T11882" s="6"/>
      <c r="U11882" s="6"/>
    </row>
    <row r="11883" ht="14.25">
      <c r="B11883" s="18" t="s">
        <v>55572</v>
      </c>
      <c r="C11883" s="18" t="s">
        <v>40441</v>
      </c>
      <c r="D11883" s="18" t="s">
        <v>87</v>
      </c>
      <c r="E11883" s="5" t="s">
        <v>55573</v>
      </c>
      <c r="F11883" s="5" t="str">
        <f>IFERROR(__XLUDF.DUMMYFUNCTION("PROPER(REGEXREPLACE(D1795,""[^A-Za-z]+ "",""""))"),"Chefdechantier.Fr")</f>
        <v>Chefdechantier.Fr</v>
      </c>
      <c r="G11883" s="18" t="s">
        <v>55574</v>
      </c>
      <c r="H11883" s="18">
        <v>120</v>
      </c>
      <c r="I11883" s="18" t="s">
        <v>9239</v>
      </c>
      <c r="J11883" s="5" t="s">
        <v>55575</v>
      </c>
      <c r="K11883" s="5" t="s">
        <v>55576</v>
      </c>
      <c r="L11883" s="18" t="s">
        <v>39</v>
      </c>
      <c r="M11883" s="18" t="s">
        <v>29</v>
      </c>
      <c r="N11883" s="18" t="s">
        <v>4353</v>
      </c>
      <c r="O11883" s="18" t="s">
        <v>29</v>
      </c>
      <c r="P11883" s="18" t="s">
        <v>55577</v>
      </c>
      <c r="Q11883" s="6"/>
      <c r="R11883" s="6"/>
      <c r="S11883" s="6"/>
      <c r="T11883" s="6"/>
      <c r="U11883" s="6"/>
    </row>
    <row r="11884" ht="14.25">
      <c r="B11884" s="18" t="s">
        <v>22218</v>
      </c>
      <c r="C11884" s="18" t="s">
        <v>55578</v>
      </c>
      <c r="D11884" s="18" t="s">
        <v>55579</v>
      </c>
      <c r="E11884" s="18" t="s">
        <v>55580</v>
      </c>
      <c r="F11884" s="18" t="str">
        <f>IFERROR(__XLUDF.DUMMYFUNCTION("PROPER(REGEXREPLACE(D1796,""[^A-Za-z]+ "",""""))"),"Chapelec")</f>
        <v>Chapelec</v>
      </c>
      <c r="G11884" s="18" t="s">
        <v>55581</v>
      </c>
      <c r="H11884" s="18">
        <v>32</v>
      </c>
      <c r="I11884" s="18" t="s">
        <v>9239</v>
      </c>
      <c r="J11884" s="5" t="s">
        <v>55582</v>
      </c>
      <c r="K11884" s="5" t="s">
        <v>55583</v>
      </c>
      <c r="L11884" s="18" t="s">
        <v>39</v>
      </c>
      <c r="M11884" s="18" t="s">
        <v>29</v>
      </c>
      <c r="N11884" s="18" t="s">
        <v>55584</v>
      </c>
      <c r="O11884" s="18" t="s">
        <v>29</v>
      </c>
      <c r="P11884" s="18" t="s">
        <v>55585</v>
      </c>
      <c r="Q11884" s="6"/>
      <c r="R11884" s="6"/>
      <c r="S11884" s="6"/>
      <c r="T11884" s="6"/>
      <c r="U11884" s="6"/>
    </row>
    <row r="11885" ht="14.25">
      <c r="B11885" s="18" t="s">
        <v>571</v>
      </c>
      <c r="C11885" s="18" t="s">
        <v>55409</v>
      </c>
      <c r="D11885" s="18" t="s">
        <v>426</v>
      </c>
      <c r="E11885" s="18" t="s">
        <v>55586</v>
      </c>
      <c r="F11885" s="18" t="str">
        <f>IFERROR(__XLUDF.DUMMYFUNCTION("PROPER(REGEXREPLACE(D1797,""[^A-Za-z]+ "",""""))"),"Atlanroute")</f>
        <v>Atlanroute</v>
      </c>
      <c r="G11885" s="18" t="s">
        <v>55587</v>
      </c>
      <c r="H11885" s="18">
        <v>45</v>
      </c>
      <c r="I11885" s="18" t="s">
        <v>9239</v>
      </c>
      <c r="J11885" s="5" t="s">
        <v>55588</v>
      </c>
      <c r="K11885" s="5" t="s">
        <v>55589</v>
      </c>
      <c r="L11885" s="18" t="s">
        <v>1711</v>
      </c>
      <c r="M11885" s="18" t="s">
        <v>29</v>
      </c>
      <c r="N11885" s="18" t="s">
        <v>48260</v>
      </c>
      <c r="O11885" s="18" t="s">
        <v>29</v>
      </c>
      <c r="P11885" s="18" t="s">
        <v>55590</v>
      </c>
      <c r="Q11885" s="6"/>
      <c r="R11885" s="6"/>
      <c r="S11885" s="6"/>
      <c r="T11885" s="6"/>
      <c r="U11885" s="6"/>
    </row>
    <row r="11886" ht="14.25">
      <c r="B11886" s="18" t="s">
        <v>768</v>
      </c>
      <c r="C11886" s="18" t="s">
        <v>48255</v>
      </c>
      <c r="D11886" s="18" t="s">
        <v>426</v>
      </c>
      <c r="E11886" s="18" t="s">
        <v>55591</v>
      </c>
      <c r="F11886" s="18" t="str">
        <f>IFERROR(__XLUDF.DUMMYFUNCTION("PROPER(REGEXREPLACE(D1798,""[^A-Za-z]+ "",""""))"),"Tpu")</f>
        <v>Tpu</v>
      </c>
      <c r="G11886" s="18" t="s">
        <v>55592</v>
      </c>
      <c r="H11886" s="18">
        <v>19</v>
      </c>
      <c r="I11886" s="18" t="s">
        <v>9239</v>
      </c>
      <c r="J11886" s="5" t="s">
        <v>55593</v>
      </c>
      <c r="K11886" s="5" t="s">
        <v>55594</v>
      </c>
      <c r="L11886" s="18" t="s">
        <v>39</v>
      </c>
      <c r="M11886" s="18" t="s">
        <v>29</v>
      </c>
      <c r="N11886" s="18" t="s">
        <v>55595</v>
      </c>
      <c r="O11886" s="18" t="s">
        <v>29</v>
      </c>
      <c r="P11886" s="6"/>
      <c r="Q11886" s="6"/>
      <c r="R11886" s="6"/>
      <c r="S11886" s="6"/>
      <c r="T11886" s="6"/>
      <c r="U11886" s="6"/>
    </row>
    <row r="11887" ht="14.25">
      <c r="B11887" s="18" t="s">
        <v>222</v>
      </c>
      <c r="C11887" s="18" t="s">
        <v>55596</v>
      </c>
      <c r="D11887" s="18" t="s">
        <v>172</v>
      </c>
      <c r="E11887" s="18" t="s">
        <v>55597</v>
      </c>
      <c r="F11887" s="18" t="str">
        <f>IFERROR(__XLUDF.DUMMYFUNCTION("PROPER(REGEXREPLACE(D1799,""[^A-Za-z]+ "",""""))"),"Eau Air Système")</f>
        <v xml:space="preserve">Eau Air Système</v>
      </c>
      <c r="G11887" s="18" t="s">
        <v>55598</v>
      </c>
      <c r="H11887" s="18">
        <v>39</v>
      </c>
      <c r="I11887" s="18" t="s">
        <v>9239</v>
      </c>
      <c r="J11887" s="5" t="s">
        <v>55599</v>
      </c>
      <c r="K11887" s="5" t="s">
        <v>55600</v>
      </c>
      <c r="L11887" s="18" t="s">
        <v>846</v>
      </c>
      <c r="M11887" s="18" t="s">
        <v>29</v>
      </c>
      <c r="N11887" s="18" t="s">
        <v>55601</v>
      </c>
      <c r="O11887" s="18" t="s">
        <v>29</v>
      </c>
      <c r="P11887" s="18" t="s">
        <v>55602</v>
      </c>
      <c r="Q11887" s="6"/>
      <c r="R11887" s="6"/>
      <c r="S11887" s="6"/>
      <c r="T11887" s="6"/>
      <c r="U11887" s="6"/>
    </row>
    <row r="11888" ht="14.25">
      <c r="B11888" s="18" t="s">
        <v>874</v>
      </c>
      <c r="C11888" s="18" t="s">
        <v>55603</v>
      </c>
      <c r="D11888" s="18" t="s">
        <v>5480</v>
      </c>
      <c r="E11888" s="18" t="s">
        <v>55604</v>
      </c>
      <c r="F11888" s="18" t="str">
        <f>IFERROR(__XLUDF.DUMMYFUNCTION("PROPER(REGEXREPLACE(D1800,""[^A-Za-z]+ "",""""))"),"Bangui Groupe")</f>
        <v xml:space="preserve">Bangui Groupe</v>
      </c>
      <c r="G11888" s="18" t="s">
        <v>55605</v>
      </c>
      <c r="H11888" s="18">
        <v>40</v>
      </c>
      <c r="I11888" s="18" t="s">
        <v>9239</v>
      </c>
      <c r="J11888" s="5" t="s">
        <v>55606</v>
      </c>
      <c r="K11888" s="5" t="s">
        <v>55607</v>
      </c>
      <c r="L11888" s="18" t="s">
        <v>32278</v>
      </c>
      <c r="M11888" s="18" t="s">
        <v>29</v>
      </c>
      <c r="N11888" s="18" t="s">
        <v>55608</v>
      </c>
      <c r="O11888" s="18" t="s">
        <v>29</v>
      </c>
      <c r="P11888" s="6"/>
      <c r="Q11888" s="6"/>
      <c r="R11888" s="6"/>
      <c r="S11888" s="6"/>
      <c r="T11888" s="6"/>
      <c r="U11888" s="6"/>
    </row>
    <row r="11889" ht="14.25">
      <c r="B11889" s="18" t="s">
        <v>4800</v>
      </c>
      <c r="C11889" s="18" t="s">
        <v>30184</v>
      </c>
      <c r="D11889" s="18" t="s">
        <v>112</v>
      </c>
      <c r="E11889" s="18" t="s">
        <v>55609</v>
      </c>
      <c r="F11889" s="18" t="str">
        <f>IFERROR(__XLUDF.DUMMYFUNCTION("PROPER(REGEXREPLACE(D1801,""[^A-Za-z]+ "",""""))"),"Smb Agencement")</f>
        <v xml:space="preserve">Smb Agencement</v>
      </c>
      <c r="G11889" s="18" t="s">
        <v>55610</v>
      </c>
      <c r="H11889" s="18">
        <v>11</v>
      </c>
      <c r="I11889" s="18" t="s">
        <v>9239</v>
      </c>
      <c r="J11889" s="5" t="s">
        <v>55611</v>
      </c>
      <c r="K11889" s="5" t="s">
        <v>55612</v>
      </c>
      <c r="L11889" s="18" t="s">
        <v>439</v>
      </c>
      <c r="M11889" s="18" t="s">
        <v>29</v>
      </c>
      <c r="N11889" s="18" t="s">
        <v>30190</v>
      </c>
      <c r="O11889" s="18" t="s">
        <v>29</v>
      </c>
      <c r="P11889" s="18" t="s">
        <v>55613</v>
      </c>
      <c r="Q11889" s="6"/>
      <c r="R11889" s="6"/>
      <c r="S11889" s="6"/>
      <c r="T11889" s="6"/>
      <c r="U11889" s="6"/>
    </row>
    <row r="11890" ht="14.25">
      <c r="B11890" s="18" t="s">
        <v>2884</v>
      </c>
      <c r="C11890" s="18" t="s">
        <v>54052</v>
      </c>
      <c r="D11890" s="18" t="s">
        <v>87</v>
      </c>
      <c r="E11890" s="18" t="s">
        <v>53553</v>
      </c>
      <c r="F11890" s="18" t="str">
        <f>IFERROR(__XLUDF.DUMMYFUNCTION("PROPER(REGEXREPLACE(D1802,""[^A-Za-z]+ "",""""))"),"360Smartconnect")</f>
        <v>360Smartconnect</v>
      </c>
      <c r="G11890" s="18" t="s">
        <v>55614</v>
      </c>
      <c r="H11890" s="18">
        <v>8</v>
      </c>
      <c r="I11890" s="18" t="s">
        <v>9239</v>
      </c>
      <c r="J11890" s="5" t="s">
        <v>55615</v>
      </c>
      <c r="K11890" s="5" t="s">
        <v>53556</v>
      </c>
      <c r="L11890" s="18" t="s">
        <v>55616</v>
      </c>
      <c r="M11890" s="18" t="s">
        <v>29</v>
      </c>
      <c r="N11890" s="18" t="s">
        <v>53557</v>
      </c>
      <c r="O11890" s="18" t="s">
        <v>29</v>
      </c>
      <c r="P11890" s="18" t="s">
        <v>53558</v>
      </c>
      <c r="Q11890" s="6"/>
      <c r="R11890" s="6"/>
      <c r="S11890" s="6"/>
      <c r="T11890" s="6"/>
      <c r="U11890" s="6"/>
    </row>
    <row r="11891" ht="14.25">
      <c r="B11891" s="18" t="s">
        <v>24920</v>
      </c>
      <c r="C11891" s="18" t="s">
        <v>55617</v>
      </c>
      <c r="D11891" s="18" t="s">
        <v>112</v>
      </c>
      <c r="E11891" s="18" t="s">
        <v>55618</v>
      </c>
      <c r="F11891" s="18" t="str">
        <f>IFERROR(__XLUDF.DUMMYFUNCTION("PROPER(REGEXREPLACE(D1803,""[^A-Za-z]+ "",""""))"),"Egsa Btp")</f>
        <v xml:space="preserve">Egsa Btp</v>
      </c>
      <c r="G11891" s="18" t="s">
        <v>55619</v>
      </c>
      <c r="H11891" s="18">
        <v>14</v>
      </c>
      <c r="I11891" s="18" t="s">
        <v>9239</v>
      </c>
      <c r="J11891" s="5" t="s">
        <v>55620</v>
      </c>
      <c r="K11891" s="5" t="s">
        <v>55621</v>
      </c>
      <c r="L11891" s="18" t="s">
        <v>482</v>
      </c>
      <c r="M11891" s="18" t="s">
        <v>29</v>
      </c>
      <c r="N11891" s="18" t="s">
        <v>55622</v>
      </c>
      <c r="O11891" s="18" t="s">
        <v>29</v>
      </c>
      <c r="P11891" s="18" t="s">
        <v>55623</v>
      </c>
      <c r="Q11891" s="6"/>
      <c r="R11891" s="6"/>
      <c r="S11891" s="6"/>
      <c r="T11891" s="6"/>
      <c r="U11891" s="6"/>
    </row>
    <row r="11892" ht="14.25">
      <c r="B11892" s="18" t="s">
        <v>330</v>
      </c>
      <c r="C11892" s="18" t="s">
        <v>55624</v>
      </c>
      <c r="D11892" s="18" t="s">
        <v>172</v>
      </c>
      <c r="E11892" s="18" t="s">
        <v>55625</v>
      </c>
      <c r="F11892" s="18" t="str">
        <f>IFERROR(__XLUDF.DUMMYFUNCTION("PROPER(REGEXREPLACE(D1804,""[^A-Za-z]+ "",""""))"),"Pool And Co")</f>
        <v xml:space="preserve">Pool And Co</v>
      </c>
      <c r="G11892" s="18" t="s">
        <v>55626</v>
      </c>
      <c r="H11892" s="18">
        <v>10</v>
      </c>
      <c r="I11892" s="18" t="s">
        <v>9239</v>
      </c>
      <c r="J11892" s="5" t="s">
        <v>55627</v>
      </c>
      <c r="K11892" s="5" t="s">
        <v>55628</v>
      </c>
      <c r="L11892" s="18" t="s">
        <v>55629</v>
      </c>
      <c r="M11892" s="18" t="s">
        <v>29</v>
      </c>
      <c r="N11892" s="18" t="s">
        <v>55630</v>
      </c>
      <c r="O11892" s="18" t="s">
        <v>29</v>
      </c>
      <c r="P11892" s="18" t="s">
        <v>55631</v>
      </c>
      <c r="Q11892" s="6"/>
      <c r="R11892" s="6"/>
      <c r="S11892" s="6"/>
      <c r="T11892" s="6"/>
      <c r="U11892" s="6"/>
    </row>
    <row r="11893" ht="14.25">
      <c r="B11893" s="18" t="s">
        <v>3164</v>
      </c>
      <c r="C11893" s="18" t="s">
        <v>55632</v>
      </c>
      <c r="D11893" s="18" t="s">
        <v>7155</v>
      </c>
      <c r="E11893" s="18" t="s">
        <v>55633</v>
      </c>
      <c r="F11893" s="18" t="str">
        <f>IFERROR(__XLUDF.DUMMYFUNCTION("PROPER(REGEXREPLACE(D1805,""[^A-Za-z]+ "",""""))"),"Framatec Sas")</f>
        <v xml:space="preserve">Framatec Sas</v>
      </c>
      <c r="G11893" s="18" t="s">
        <v>55634</v>
      </c>
      <c r="H11893" s="18">
        <v>34</v>
      </c>
      <c r="I11893" s="18" t="s">
        <v>9239</v>
      </c>
      <c r="J11893" s="5" t="s">
        <v>55635</v>
      </c>
      <c r="K11893" s="5" t="s">
        <v>55636</v>
      </c>
      <c r="L11893" s="6"/>
      <c r="M11893" s="18" t="s">
        <v>29</v>
      </c>
      <c r="N11893" s="18" t="s">
        <v>55637</v>
      </c>
      <c r="O11893" s="18" t="s">
        <v>29</v>
      </c>
      <c r="P11893" s="6"/>
      <c r="Q11893" s="6"/>
      <c r="R11893" s="6"/>
      <c r="S11893" s="6"/>
      <c r="T11893" s="6"/>
      <c r="U11893" s="6"/>
    </row>
    <row r="11894" ht="14.25">
      <c r="B11894" s="18" t="s">
        <v>118</v>
      </c>
      <c r="C11894" s="18" t="s">
        <v>55638</v>
      </c>
      <c r="D11894" s="18" t="s">
        <v>172</v>
      </c>
      <c r="E11894" s="18" t="s">
        <v>55639</v>
      </c>
      <c r="F11894" s="18" t="str">
        <f>IFERROR(__XLUDF.DUMMYFUNCTION("PROPER(REGEXREPLACE(D1806,""[^A-Za-z]+ "",""""))"),"Renov Innov")</f>
        <v xml:space="preserve">Renov Innov</v>
      </c>
      <c r="G11894" s="18" t="s">
        <v>55640</v>
      </c>
      <c r="H11894" s="18">
        <v>6</v>
      </c>
      <c r="I11894" s="18" t="s">
        <v>9239</v>
      </c>
      <c r="J11894" s="5" t="s">
        <v>55641</v>
      </c>
      <c r="K11894" s="5" t="s">
        <v>55642</v>
      </c>
      <c r="L11894" s="18" t="s">
        <v>31078</v>
      </c>
      <c r="M11894" s="18" t="s">
        <v>29</v>
      </c>
      <c r="N11894" s="18" t="s">
        <v>1508</v>
      </c>
      <c r="O11894" s="18" t="s">
        <v>29</v>
      </c>
      <c r="P11894" s="6"/>
      <c r="Q11894" s="6"/>
      <c r="R11894" s="6"/>
      <c r="S11894" s="6"/>
      <c r="T11894" s="6"/>
      <c r="U11894" s="6"/>
    </row>
    <row r="11895" ht="14.25">
      <c r="B11895" s="18" t="s">
        <v>661</v>
      </c>
      <c r="C11895" s="18" t="s">
        <v>5306</v>
      </c>
      <c r="D11895" s="18" t="s">
        <v>172</v>
      </c>
      <c r="E11895" s="18" t="s">
        <v>20694</v>
      </c>
      <c r="F11895" s="18" t="str">
        <f>IFERROR(__XLUDF.DUMMYFUNCTION("PROPER(REGEXREPLACE(D1807,""[^A-Za-z]+ "",""""))"),"Aethica")</f>
        <v>Aethica</v>
      </c>
      <c r="G11895" s="18" t="s">
        <v>55643</v>
      </c>
      <c r="H11895" s="18">
        <v>40</v>
      </c>
      <c r="I11895" s="18" t="s">
        <v>4293</v>
      </c>
      <c r="J11895" s="5" t="s">
        <v>55644</v>
      </c>
      <c r="K11895" s="5" t="s">
        <v>20697</v>
      </c>
      <c r="L11895" s="18" t="s">
        <v>3898</v>
      </c>
      <c r="M11895" s="18" t="s">
        <v>29</v>
      </c>
      <c r="N11895" s="18" t="s">
        <v>20698</v>
      </c>
      <c r="O11895" s="18" t="s">
        <v>29</v>
      </c>
      <c r="P11895" s="18" t="s">
        <v>20699</v>
      </c>
      <c r="Q11895" s="6"/>
      <c r="R11895" s="6"/>
      <c r="S11895" s="6"/>
      <c r="T11895" s="6"/>
      <c r="U11895" s="6"/>
    </row>
    <row r="11896" ht="14.25">
      <c r="B11896" s="18" t="s">
        <v>874</v>
      </c>
      <c r="C11896" s="18" t="s">
        <v>55645</v>
      </c>
      <c r="D11896" s="18" t="s">
        <v>172</v>
      </c>
      <c r="E11896" s="18" t="s">
        <v>55646</v>
      </c>
      <c r="F11896" s="18" t="str">
        <f>IFERROR(__XLUDF.DUMMYFUNCTION("PROPER(REGEXREPLACE(D1808,""[^A-Za-z]+ "",""""))"),"Cecfa-Id")</f>
        <v>Cecfa-Id</v>
      </c>
      <c r="G11896" s="18" t="s">
        <v>55647</v>
      </c>
      <c r="H11896" s="6"/>
      <c r="I11896" s="6"/>
      <c r="J11896" s="5" t="s">
        <v>55648</v>
      </c>
      <c r="K11896" s="5" t="s">
        <v>55649</v>
      </c>
      <c r="L11896" s="18" t="s">
        <v>39</v>
      </c>
      <c r="M11896" s="18" t="s">
        <v>29</v>
      </c>
      <c r="N11896" s="18" t="s">
        <v>55650</v>
      </c>
      <c r="O11896" s="18" t="s">
        <v>29</v>
      </c>
      <c r="P11896" s="6"/>
      <c r="Q11896" s="6"/>
      <c r="R11896" s="6"/>
      <c r="S11896" s="6"/>
      <c r="T11896" s="6"/>
      <c r="U11896" s="6"/>
    </row>
    <row r="11897" ht="14.25">
      <c r="B11897" s="18" t="s">
        <v>255</v>
      </c>
      <c r="C11897" s="18" t="s">
        <v>55651</v>
      </c>
      <c r="D11897" s="18" t="s">
        <v>112</v>
      </c>
      <c r="E11897" s="18" t="s">
        <v>55652</v>
      </c>
      <c r="F11897" s="18" t="str">
        <f>IFERROR(__XLUDF.DUMMYFUNCTION("PROPER(REGEXREPLACE(D1809,""[^A-Za-z]+ "",""""))"),"Clim-Mag")</f>
        <v>Clim-Mag</v>
      </c>
      <c r="G11897" s="18" t="s">
        <v>55653</v>
      </c>
      <c r="H11897" s="18">
        <v>20</v>
      </c>
      <c r="I11897" s="18" t="s">
        <v>9239</v>
      </c>
      <c r="J11897" s="5" t="s">
        <v>55654</v>
      </c>
      <c r="K11897" s="5" t="s">
        <v>55655</v>
      </c>
      <c r="L11897" s="18" t="s">
        <v>482</v>
      </c>
      <c r="M11897" s="18" t="s">
        <v>29</v>
      </c>
      <c r="N11897" s="18" t="s">
        <v>31186</v>
      </c>
      <c r="O11897" s="18" t="s">
        <v>29</v>
      </c>
      <c r="P11897" s="18" t="s">
        <v>55656</v>
      </c>
      <c r="Q11897" s="6"/>
      <c r="R11897" s="6"/>
      <c r="S11897" s="6"/>
      <c r="T11897" s="6"/>
      <c r="U11897" s="6"/>
    </row>
    <row r="11898" ht="14.25">
      <c r="B11898" s="18" t="s">
        <v>5001</v>
      </c>
      <c r="C11898" s="18" t="s">
        <v>55657</v>
      </c>
      <c r="D11898" s="18" t="s">
        <v>112</v>
      </c>
      <c r="E11898" s="18" t="s">
        <v>55658</v>
      </c>
      <c r="F11898" s="18" t="str">
        <f>IFERROR(__XLUDF.DUMMYFUNCTION("PROPER(REGEXREPLACE(D1810,""[^A-Za-z]+ "",""""))"),"Rtso")</f>
        <v>Rtso</v>
      </c>
      <c r="G11898" s="18" t="s">
        <v>55659</v>
      </c>
      <c r="H11898" s="18">
        <v>23</v>
      </c>
      <c r="I11898" s="18" t="s">
        <v>9239</v>
      </c>
      <c r="J11898" s="5" t="s">
        <v>55660</v>
      </c>
      <c r="K11898" s="5" t="s">
        <v>55661</v>
      </c>
      <c r="L11898" s="18" t="s">
        <v>1723</v>
      </c>
      <c r="M11898" s="18" t="s">
        <v>29</v>
      </c>
      <c r="N11898" s="18" t="s">
        <v>1724</v>
      </c>
      <c r="O11898" s="18" t="s">
        <v>29</v>
      </c>
      <c r="P11898" s="18" t="s">
        <v>55662</v>
      </c>
      <c r="Q11898" s="6"/>
      <c r="R11898" s="6"/>
      <c r="S11898" s="6"/>
      <c r="T11898" s="6"/>
      <c r="U11898" s="6"/>
    </row>
    <row r="11899" ht="14.25">
      <c r="B11899" s="18" t="s">
        <v>1198</v>
      </c>
      <c r="C11899" s="18" t="s">
        <v>55663</v>
      </c>
      <c r="D11899" s="18" t="s">
        <v>341</v>
      </c>
      <c r="E11899" s="18" t="s">
        <v>55664</v>
      </c>
      <c r="F11899" s="18" t="str">
        <f>IFERROR(__XLUDF.DUMMYFUNCTION("PROPER(REGEXREPLACE(D1811,""[^A-Za-z]+ "",""""))"),"Renostyles")</f>
        <v>Renostyles</v>
      </c>
      <c r="G11899" s="18" t="s">
        <v>55665</v>
      </c>
      <c r="H11899" s="18">
        <v>15</v>
      </c>
      <c r="I11899" s="18" t="s">
        <v>9239</v>
      </c>
      <c r="J11899" s="5" t="s">
        <v>55666</v>
      </c>
      <c r="K11899" s="5" t="s">
        <v>55667</v>
      </c>
      <c r="L11899" s="18" t="s">
        <v>39</v>
      </c>
      <c r="M11899" s="18" t="s">
        <v>29</v>
      </c>
      <c r="N11899" s="18" t="s">
        <v>55668</v>
      </c>
      <c r="O11899" s="18" t="s">
        <v>29</v>
      </c>
      <c r="P11899" s="6"/>
      <c r="Q11899" s="6"/>
      <c r="R11899" s="6"/>
      <c r="S11899" s="6"/>
      <c r="T11899" s="6"/>
      <c r="U11899" s="6"/>
    </row>
    <row r="11900" ht="14.25">
      <c r="B11900" s="18" t="s">
        <v>2771</v>
      </c>
      <c r="C11900" s="18" t="s">
        <v>7518</v>
      </c>
      <c r="D11900" s="18" t="s">
        <v>172</v>
      </c>
      <c r="E11900" s="18" t="s">
        <v>55669</v>
      </c>
      <c r="F11900" s="18" t="str">
        <f>IFERROR(__XLUDF.DUMMYFUNCTION("PROPER(REGEXREPLACE(D1812,""[^A-Za-z]+ "",""""))"),"Méca Métal Process")</f>
        <v xml:space="preserve">Méca Métal Process</v>
      </c>
      <c r="G11900" s="18" t="s">
        <v>55670</v>
      </c>
      <c r="H11900" s="18">
        <v>13</v>
      </c>
      <c r="I11900" s="18" t="s">
        <v>9239</v>
      </c>
      <c r="J11900" s="5" t="s">
        <v>55671</v>
      </c>
      <c r="K11900" s="5" t="s">
        <v>55672</v>
      </c>
      <c r="L11900" s="18" t="s">
        <v>9237</v>
      </c>
      <c r="M11900" s="18" t="s">
        <v>29</v>
      </c>
      <c r="N11900" s="18" t="s">
        <v>55673</v>
      </c>
      <c r="O11900" s="18" t="s">
        <v>29</v>
      </c>
      <c r="P11900" s="18" t="s">
        <v>55674</v>
      </c>
      <c r="Q11900" s="6"/>
      <c r="R11900" s="6"/>
      <c r="S11900" s="6"/>
      <c r="T11900" s="6"/>
      <c r="U11900" s="6"/>
    </row>
    <row r="11901" ht="14.25">
      <c r="B11901" s="18" t="s">
        <v>355</v>
      </c>
      <c r="C11901" s="18" t="s">
        <v>55675</v>
      </c>
      <c r="D11901" s="18" t="s">
        <v>112</v>
      </c>
      <c r="E11901" s="18" t="s">
        <v>55676</v>
      </c>
      <c r="F11901" s="18" t="str">
        <f>IFERROR(__XLUDF.DUMMYFUNCTION("PROPER(REGEXREPLACE(D1813,""[^A-Za-z]+ "",""""))"),"Kpla")</f>
        <v>Kpla</v>
      </c>
      <c r="G11901" s="18" t="s">
        <v>55677</v>
      </c>
      <c r="H11901" s="18">
        <v>12</v>
      </c>
      <c r="I11901" s="18" t="s">
        <v>25390</v>
      </c>
      <c r="J11901" s="5" t="s">
        <v>55678</v>
      </c>
      <c r="K11901" s="5" t="s">
        <v>55679</v>
      </c>
      <c r="L11901" s="18" t="s">
        <v>39</v>
      </c>
      <c r="M11901" s="18" t="s">
        <v>29</v>
      </c>
      <c r="N11901" s="18" t="s">
        <v>55680</v>
      </c>
      <c r="O11901" s="18" t="s">
        <v>29</v>
      </c>
      <c r="P11901" s="18" t="s">
        <v>55681</v>
      </c>
      <c r="Q11901" s="6"/>
      <c r="R11901" s="6"/>
      <c r="S11901" s="6"/>
      <c r="T11901" s="6"/>
      <c r="U11901" s="6"/>
    </row>
    <row r="11902" ht="14.25">
      <c r="B11902" s="18" t="s">
        <v>85</v>
      </c>
      <c r="C11902" s="18" t="s">
        <v>19562</v>
      </c>
      <c r="D11902" s="18" t="s">
        <v>164</v>
      </c>
      <c r="E11902" s="18" t="s">
        <v>55682</v>
      </c>
      <c r="F11902" s="18" t="str">
        <f>IFERROR(__XLUDF.DUMMYFUNCTION("PROPER(REGEXREPLACE(D1814,""[^A-Za-z]+ "",""""))"),"La Nouvelle Sirolaise De Construction")</f>
        <v xml:space="preserve">La Nouvelle Sirolaise De Construction</v>
      </c>
      <c r="G11902" s="18" t="s">
        <v>55683</v>
      </c>
      <c r="H11902" s="18">
        <v>43</v>
      </c>
      <c r="I11902" s="18" t="s">
        <v>9239</v>
      </c>
      <c r="J11902" s="5" t="s">
        <v>55684</v>
      </c>
      <c r="K11902" s="5" t="s">
        <v>55685</v>
      </c>
      <c r="L11902" s="18" t="s">
        <v>49</v>
      </c>
      <c r="M11902" s="18" t="s">
        <v>29</v>
      </c>
      <c r="N11902" s="18" t="s">
        <v>55686</v>
      </c>
      <c r="O11902" s="18" t="s">
        <v>29</v>
      </c>
      <c r="P11902" s="6"/>
      <c r="Q11902" s="6"/>
      <c r="R11902" s="6"/>
      <c r="S11902" s="6"/>
      <c r="T11902" s="6"/>
      <c r="U11902" s="6"/>
    </row>
    <row r="11903" ht="14.25">
      <c r="B11903" s="18" t="s">
        <v>1215</v>
      </c>
      <c r="C11903" s="18" t="s">
        <v>55687</v>
      </c>
      <c r="D11903" s="18" t="s">
        <v>172</v>
      </c>
      <c r="E11903" s="18" t="s">
        <v>55527</v>
      </c>
      <c r="F11903" s="18" t="str">
        <f>IFERROR(__XLUDF.DUMMYFUNCTION("PROPER(REGEXREPLACE(D1815,""[^A-Za-z]+ "",""""))"),"Brb Construction")</f>
        <v xml:space="preserve">Brb Construction</v>
      </c>
      <c r="G11903" s="18" t="s">
        <v>55688</v>
      </c>
      <c r="H11903" s="18">
        <v>21</v>
      </c>
      <c r="I11903" s="18" t="s">
        <v>9239</v>
      </c>
      <c r="J11903" s="5" t="s">
        <v>55689</v>
      </c>
      <c r="K11903" s="5" t="s">
        <v>55530</v>
      </c>
      <c r="L11903" s="6"/>
      <c r="M11903" s="18" t="s">
        <v>29</v>
      </c>
      <c r="N11903" s="18" t="s">
        <v>55531</v>
      </c>
      <c r="O11903" s="18" t="s">
        <v>29</v>
      </c>
      <c r="P11903" s="6"/>
      <c r="Q11903" s="6"/>
      <c r="R11903" s="6"/>
      <c r="S11903" s="6"/>
      <c r="T11903" s="6"/>
      <c r="U11903" s="6"/>
    </row>
    <row r="11904" ht="14.25">
      <c r="B11904" s="18" t="s">
        <v>4298</v>
      </c>
      <c r="C11904" s="18" t="s">
        <v>16584</v>
      </c>
      <c r="D11904" s="18" t="s">
        <v>55690</v>
      </c>
      <c r="E11904" s="18" t="s">
        <v>55691</v>
      </c>
      <c r="F11904" s="18" t="str">
        <f>IFERROR(__XLUDF.DUMMYFUNCTION("PROPER(REGEXREPLACE(D1816,""[^A-Za-z]+ "",""""))"),"Energis Engineering")</f>
        <v xml:space="preserve">Energis Engineering</v>
      </c>
      <c r="G11904" s="18" t="s">
        <v>55692</v>
      </c>
      <c r="H11904" s="18">
        <v>12</v>
      </c>
      <c r="I11904" s="18" t="s">
        <v>9239</v>
      </c>
      <c r="J11904" s="5" t="s">
        <v>55693</v>
      </c>
      <c r="K11904" s="5" t="s">
        <v>55694</v>
      </c>
      <c r="L11904" s="18" t="s">
        <v>295</v>
      </c>
      <c r="M11904" s="18" t="s">
        <v>29</v>
      </c>
      <c r="N11904" s="18" t="s">
        <v>55695</v>
      </c>
      <c r="O11904" s="18" t="s">
        <v>29</v>
      </c>
      <c r="P11904" s="6"/>
      <c r="Q11904" s="6"/>
      <c r="R11904" s="6"/>
      <c r="S11904" s="6"/>
      <c r="T11904" s="6"/>
      <c r="U11904" s="6"/>
    </row>
    <row r="11905" ht="14.25">
      <c r="B11905" s="18" t="s">
        <v>85</v>
      </c>
      <c r="C11905" s="18" t="s">
        <v>55696</v>
      </c>
      <c r="D11905" s="18" t="s">
        <v>164</v>
      </c>
      <c r="E11905" s="18" t="s">
        <v>55697</v>
      </c>
      <c r="F11905" s="18" t="str">
        <f>IFERROR(__XLUDF.DUMMYFUNCTION("PROPER(REGEXREPLACE(D1817,""[^A-Za-z]+ "",""""))"),"Sogimac")</f>
        <v>Sogimac</v>
      </c>
      <c r="G11905" s="18" t="s">
        <v>55698</v>
      </c>
      <c r="H11905" s="6"/>
      <c r="I11905" s="6"/>
      <c r="J11905" s="5" t="s">
        <v>55699</v>
      </c>
      <c r="K11905" s="5" t="s">
        <v>55700</v>
      </c>
      <c r="L11905" s="18" t="s">
        <v>39</v>
      </c>
      <c r="M11905" s="18" t="s">
        <v>29</v>
      </c>
      <c r="N11905" s="18" t="s">
        <v>55701</v>
      </c>
      <c r="O11905" s="18" t="s">
        <v>29</v>
      </c>
      <c r="P11905" s="6"/>
      <c r="Q11905" s="6"/>
      <c r="R11905" s="6"/>
      <c r="S11905" s="6"/>
      <c r="T11905" s="6"/>
      <c r="U11905" s="6"/>
    </row>
    <row r="11906" ht="14.25">
      <c r="B11906" s="18" t="s">
        <v>55702</v>
      </c>
      <c r="C11906" s="18" t="s">
        <v>55703</v>
      </c>
      <c r="D11906" s="18" t="s">
        <v>1950</v>
      </c>
      <c r="E11906" s="18" t="s">
        <v>55704</v>
      </c>
      <c r="F11906" s="18" t="str">
        <f>IFERROR(__XLUDF.DUMMYFUNCTION("PROPER(REGEXREPLACE(D1818,""[^A-Za-z]+ "",""""))"),"Scb")</f>
        <v>Scb</v>
      </c>
      <c r="G11906" s="18" t="s">
        <v>55705</v>
      </c>
      <c r="H11906" s="18">
        <v>28</v>
      </c>
      <c r="I11906" s="18" t="s">
        <v>47738</v>
      </c>
      <c r="J11906" s="5" t="s">
        <v>55706</v>
      </c>
      <c r="K11906" s="5" t="s">
        <v>55707</v>
      </c>
      <c r="L11906" s="18" t="s">
        <v>5565</v>
      </c>
      <c r="M11906" s="18" t="s">
        <v>29</v>
      </c>
      <c r="N11906" s="18" t="s">
        <v>55708</v>
      </c>
      <c r="O11906" s="18" t="s">
        <v>29</v>
      </c>
      <c r="P11906" s="18" t="s">
        <v>55709</v>
      </c>
      <c r="Q11906" s="6"/>
      <c r="R11906" s="6"/>
      <c r="S11906" s="6"/>
      <c r="T11906" s="6"/>
      <c r="U11906" s="6"/>
    </row>
    <row r="11907" ht="14.25">
      <c r="B11907" s="18" t="s">
        <v>1215</v>
      </c>
      <c r="C11907" s="18" t="s">
        <v>55710</v>
      </c>
      <c r="D11907" s="18" t="s">
        <v>3637</v>
      </c>
      <c r="E11907" s="18" t="s">
        <v>55711</v>
      </c>
      <c r="F11907" s="18" t="str">
        <f>IFERROR(__XLUDF.DUMMYFUNCTION("PROPER(REGEXREPLACE(D1819,""[^A-Za-z]+ "",""""))"),"Avelis")</f>
        <v>Avelis</v>
      </c>
      <c r="G11907" s="18" t="s">
        <v>55712</v>
      </c>
      <c r="H11907" s="18">
        <v>49</v>
      </c>
      <c r="I11907" s="18" t="s">
        <v>9239</v>
      </c>
      <c r="J11907" s="5" t="s">
        <v>55713</v>
      </c>
      <c r="K11907" s="5" t="s">
        <v>55714</v>
      </c>
      <c r="L11907" s="18" t="s">
        <v>39</v>
      </c>
      <c r="M11907" s="18" t="s">
        <v>29</v>
      </c>
      <c r="N11907" s="18" t="s">
        <v>55715</v>
      </c>
      <c r="O11907" s="18" t="s">
        <v>29</v>
      </c>
      <c r="P11907" s="18" t="s">
        <v>55716</v>
      </c>
      <c r="Q11907" s="6"/>
      <c r="R11907" s="6"/>
      <c r="S11907" s="6"/>
      <c r="T11907" s="6"/>
      <c r="U11907" s="6"/>
    </row>
    <row r="11908" ht="14.25">
      <c r="B11908" s="18" t="s">
        <v>571</v>
      </c>
      <c r="C11908" s="18" t="s">
        <v>55220</v>
      </c>
      <c r="D11908" s="18" t="s">
        <v>112</v>
      </c>
      <c r="E11908" s="18" t="s">
        <v>55717</v>
      </c>
      <c r="F11908" s="18" t="str">
        <f>IFERROR(__XLUDF.DUMMYFUNCTION("PROPER(REGEXREPLACE(D1820,""[^A-Za-z]+ "",""""))"),"Bj Partenaires")</f>
        <v xml:space="preserve">Bj Partenaires</v>
      </c>
      <c r="G11908" s="18" t="s">
        <v>55718</v>
      </c>
      <c r="H11908" s="18">
        <v>24</v>
      </c>
      <c r="I11908" s="18" t="s">
        <v>14257</v>
      </c>
      <c r="J11908" s="5" t="s">
        <v>55719</v>
      </c>
      <c r="K11908" s="5" t="s">
        <v>55720</v>
      </c>
      <c r="L11908" s="18" t="s">
        <v>423</v>
      </c>
      <c r="M11908" s="18" t="s">
        <v>29</v>
      </c>
      <c r="N11908" s="18" t="s">
        <v>55721</v>
      </c>
      <c r="O11908" s="18" t="s">
        <v>29</v>
      </c>
      <c r="P11908" s="18" t="s">
        <v>55722</v>
      </c>
      <c r="Q11908" s="6"/>
      <c r="R11908" s="6"/>
      <c r="S11908" s="6"/>
      <c r="T11908" s="6"/>
      <c r="U11908" s="6"/>
    </row>
    <row r="11909" ht="14.25">
      <c r="B11909" s="18" t="s">
        <v>971</v>
      </c>
      <c r="C11909" s="18" t="s">
        <v>6717</v>
      </c>
      <c r="D11909" s="18" t="s">
        <v>172</v>
      </c>
      <c r="E11909" s="18" t="s">
        <v>53520</v>
      </c>
      <c r="F11909" s="18" t="str">
        <f>IFERROR(__XLUDF.DUMMYFUNCTION("PROPER(REGEXREPLACE(D1821,""[^A-Za-z]+ "",""""))"),"Les Maisons Rennaises")</f>
        <v xml:space="preserve">Les Maisons Rennaises</v>
      </c>
      <c r="G11909" s="18" t="s">
        <v>55723</v>
      </c>
      <c r="H11909" s="18">
        <v>14</v>
      </c>
      <c r="I11909" s="18" t="s">
        <v>9239</v>
      </c>
      <c r="J11909" s="5" t="s">
        <v>55724</v>
      </c>
      <c r="K11909" s="5" t="s">
        <v>53523</v>
      </c>
      <c r="L11909" s="6"/>
      <c r="M11909" s="18" t="s">
        <v>29</v>
      </c>
      <c r="N11909" s="18" t="s">
        <v>53524</v>
      </c>
      <c r="O11909" s="18" t="s">
        <v>29</v>
      </c>
      <c r="P11909" s="6"/>
      <c r="Q11909" s="6"/>
      <c r="R11909" s="6"/>
      <c r="S11909" s="6"/>
      <c r="T11909" s="6"/>
      <c r="U11909" s="6"/>
    </row>
    <row r="11910" ht="14.25">
      <c r="B11910" s="18" t="s">
        <v>2348</v>
      </c>
      <c r="C11910" s="18" t="s">
        <v>55725</v>
      </c>
      <c r="D11910" s="18" t="s">
        <v>55726</v>
      </c>
      <c r="E11910" s="18" t="s">
        <v>55727</v>
      </c>
      <c r="F11910" s="18" t="str">
        <f>IFERROR(__XLUDF.DUMMYFUNCTION("PROPER(REGEXREPLACE(D1822,""[^A-Za-z]+ "",""""))"),"Alpaga")</f>
        <v>Alpaga</v>
      </c>
      <c r="G11910" s="18" t="s">
        <v>55728</v>
      </c>
      <c r="H11910" s="18">
        <v>7</v>
      </c>
      <c r="I11910" s="18" t="s">
        <v>9239</v>
      </c>
      <c r="J11910" s="5" t="s">
        <v>55729</v>
      </c>
      <c r="K11910" s="5" t="s">
        <v>55730</v>
      </c>
      <c r="L11910" s="18" t="s">
        <v>243</v>
      </c>
      <c r="M11910" s="18" t="s">
        <v>29</v>
      </c>
      <c r="N11910" s="18" t="s">
        <v>55731</v>
      </c>
      <c r="O11910" s="18" t="s">
        <v>29</v>
      </c>
      <c r="P11910" s="18" t="s">
        <v>55732</v>
      </c>
      <c r="Q11910" s="6"/>
      <c r="R11910" s="6"/>
      <c r="S11910" s="6"/>
      <c r="T11910" s="6"/>
      <c r="U11910" s="6"/>
    </row>
    <row r="11911" ht="14.25">
      <c r="B11911" s="18" t="s">
        <v>222</v>
      </c>
      <c r="C11911" s="18" t="s">
        <v>16264</v>
      </c>
      <c r="D11911" s="18" t="s">
        <v>172</v>
      </c>
      <c r="E11911" s="18" t="s">
        <v>55733</v>
      </c>
      <c r="F11911" s="18" t="str">
        <f>IFERROR(__XLUDF.DUMMYFUNCTION("PROPER(REGEXREPLACE(D1823,""[^A-Za-z]+ "",""""))"),"Rawlplug France")</f>
        <v xml:space="preserve">Rawlplug France</v>
      </c>
      <c r="G11911" s="18" t="s">
        <v>55734</v>
      </c>
      <c r="H11911" s="18">
        <v>13</v>
      </c>
      <c r="I11911" s="18" t="s">
        <v>9239</v>
      </c>
      <c r="J11911" s="5" t="s">
        <v>55735</v>
      </c>
      <c r="K11911" s="6"/>
      <c r="L11911" s="18" t="s">
        <v>16312</v>
      </c>
      <c r="M11911" s="18" t="s">
        <v>29</v>
      </c>
      <c r="N11911" s="18" t="s">
        <v>55736</v>
      </c>
      <c r="O11911" s="18" t="s">
        <v>29</v>
      </c>
      <c r="P11911" s="6"/>
      <c r="Q11911" s="6"/>
      <c r="R11911" s="6"/>
      <c r="S11911" s="6"/>
      <c r="T11911" s="6"/>
      <c r="U11911" s="6"/>
    </row>
    <row r="11912" ht="14.25">
      <c r="B11912" s="18" t="s">
        <v>26223</v>
      </c>
      <c r="C11912" s="18" t="s">
        <v>55737</v>
      </c>
      <c r="D11912" s="18" t="s">
        <v>172</v>
      </c>
      <c r="E11912" s="18" t="s">
        <v>55738</v>
      </c>
      <c r="F11912" s="18" t="str">
        <f>IFERROR(__XLUDF.DUMMYFUNCTION("PROPER(REGEXREPLACE(D1824,""[^A-Za-z]+ "",""""))"),"Groupe Saintex")</f>
        <v xml:space="preserve">Groupe Saintex</v>
      </c>
      <c r="G11912" s="18" t="s">
        <v>55739</v>
      </c>
      <c r="H11912" s="18">
        <v>7</v>
      </c>
      <c r="I11912" s="18" t="s">
        <v>9239</v>
      </c>
      <c r="J11912" s="5" t="s">
        <v>55740</v>
      </c>
      <c r="K11912" s="6"/>
      <c r="L11912" s="18" t="s">
        <v>482</v>
      </c>
      <c r="M11912" s="18" t="s">
        <v>29</v>
      </c>
      <c r="N11912" s="6"/>
      <c r="O11912" s="6"/>
      <c r="P11912" s="6"/>
      <c r="Q11912" s="6"/>
      <c r="R11912" s="6"/>
      <c r="S11912" s="6"/>
      <c r="T11912" s="6"/>
      <c r="U11912" s="6"/>
    </row>
    <row r="11913" ht="14.25">
      <c r="B11913" s="18" t="s">
        <v>10864</v>
      </c>
      <c r="C11913" s="18" t="s">
        <v>55188</v>
      </c>
      <c r="D11913" s="18" t="s">
        <v>172</v>
      </c>
      <c r="E11913" s="18" t="s">
        <v>55189</v>
      </c>
      <c r="F11913" s="18" t="str">
        <f>IFERROR(__XLUDF.DUMMYFUNCTION("PROPER(REGEXREPLACE(D1825,""[^A-Za-z]+ "",""""))"),"Groupe Solidum")</f>
        <v xml:space="preserve">Groupe Solidum</v>
      </c>
      <c r="G11913" s="18" t="s">
        <v>55741</v>
      </c>
      <c r="H11913" s="18">
        <v>42</v>
      </c>
      <c r="I11913" s="18" t="s">
        <v>9239</v>
      </c>
      <c r="J11913" s="5" t="s">
        <v>55742</v>
      </c>
      <c r="K11913" s="5" t="s">
        <v>55192</v>
      </c>
      <c r="L11913" s="18" t="s">
        <v>846</v>
      </c>
      <c r="M11913" s="18" t="s">
        <v>29</v>
      </c>
      <c r="N11913" s="18" t="s">
        <v>55193</v>
      </c>
      <c r="O11913" s="18" t="s">
        <v>29</v>
      </c>
      <c r="P11913" s="6"/>
      <c r="Q11913" s="6"/>
      <c r="R11913" s="6"/>
      <c r="S11913" s="6"/>
      <c r="T11913" s="6"/>
      <c r="U11913" s="6"/>
    </row>
    <row r="11914" ht="14.25">
      <c r="B11914" s="18" t="s">
        <v>2419</v>
      </c>
      <c r="C11914" s="18" t="s">
        <v>55743</v>
      </c>
      <c r="D11914" s="18" t="s">
        <v>3637</v>
      </c>
      <c r="E11914" s="18" t="s">
        <v>55744</v>
      </c>
      <c r="F11914" s="18" t="str">
        <f>IFERROR(__XLUDF.DUMMYFUNCTION("PROPER(REGEXREPLACE(D1826,""[^A-Za-z]+ "",""""))"),"Canupi")</f>
        <v>Canupi</v>
      </c>
      <c r="G11914" s="18" t="s">
        <v>55745</v>
      </c>
      <c r="H11914" s="18">
        <v>4</v>
      </c>
      <c r="I11914" s="18" t="s">
        <v>9239</v>
      </c>
      <c r="J11914" s="5" t="s">
        <v>55746</v>
      </c>
      <c r="K11914" s="5" t="s">
        <v>55747</v>
      </c>
      <c r="L11914" s="18" t="s">
        <v>7965</v>
      </c>
      <c r="M11914" s="18" t="s">
        <v>29</v>
      </c>
      <c r="N11914" s="18" t="s">
        <v>55748</v>
      </c>
      <c r="O11914" s="18" t="s">
        <v>29</v>
      </c>
      <c r="P11914" s="6"/>
      <c r="Q11914" s="6"/>
      <c r="R11914" s="6"/>
      <c r="S11914" s="6"/>
      <c r="T11914" s="6"/>
      <c r="U11914" s="6"/>
    </row>
    <row r="11915" ht="14.25">
      <c r="B11915" s="18" t="s">
        <v>30883</v>
      </c>
      <c r="C11915" s="18" t="s">
        <v>55749</v>
      </c>
      <c r="D11915" s="18" t="s">
        <v>460</v>
      </c>
      <c r="E11915" s="18" t="s">
        <v>53430</v>
      </c>
      <c r="F11915" s="18" t="str">
        <f>IFERROR(__XLUDF.DUMMYFUNCTION("PROPER(REGEXREPLACE(D1827,""[^A-Za-z]+ "",""""))"),"Pelatis Sas")</f>
        <v xml:space="preserve">Pelatis Sas</v>
      </c>
      <c r="G11915" s="18" t="s">
        <v>55750</v>
      </c>
      <c r="H11915" s="18">
        <v>26</v>
      </c>
      <c r="I11915" s="18" t="s">
        <v>9239</v>
      </c>
      <c r="J11915" s="5" t="s">
        <v>55751</v>
      </c>
      <c r="K11915" s="5" t="s">
        <v>53433</v>
      </c>
      <c r="L11915" s="18" t="s">
        <v>39</v>
      </c>
      <c r="M11915" s="18" t="s">
        <v>29</v>
      </c>
      <c r="N11915" s="18" t="s">
        <v>53434</v>
      </c>
      <c r="O11915" s="18" t="s">
        <v>29</v>
      </c>
      <c r="P11915" s="6"/>
      <c r="Q11915" s="6"/>
      <c r="R11915" s="6"/>
      <c r="S11915" s="6"/>
      <c r="T11915" s="6"/>
      <c r="U11915" s="6"/>
    </row>
    <row r="11916" ht="14.25">
      <c r="B11916" s="18" t="s">
        <v>24071</v>
      </c>
      <c r="C11916" s="18" t="s">
        <v>27764</v>
      </c>
      <c r="D11916" s="18" t="s">
        <v>9550</v>
      </c>
      <c r="E11916" s="18" t="s">
        <v>55065</v>
      </c>
      <c r="F11916" s="18" t="str">
        <f>IFERROR(__XLUDF.DUMMYFUNCTION("PROPER(REGEXREPLACE(D1828,""[^A-Za-z]+ "",""""))"),"Stugan")</f>
        <v>Stugan</v>
      </c>
      <c r="G11916" s="18" t="s">
        <v>55752</v>
      </c>
      <c r="H11916" s="18">
        <v>2</v>
      </c>
      <c r="I11916" s="18" t="s">
        <v>9239</v>
      </c>
      <c r="J11916" s="5" t="s">
        <v>55753</v>
      </c>
      <c r="K11916" s="5" t="s">
        <v>55068</v>
      </c>
      <c r="L11916" s="18" t="s">
        <v>2499</v>
      </c>
      <c r="M11916" s="18" t="s">
        <v>29</v>
      </c>
      <c r="N11916" s="18" t="s">
        <v>55069</v>
      </c>
      <c r="O11916" s="18" t="s">
        <v>29</v>
      </c>
      <c r="P11916" s="6"/>
      <c r="Q11916" s="6"/>
      <c r="R11916" s="6"/>
      <c r="S11916" s="6"/>
      <c r="T11916" s="6"/>
      <c r="U11916" s="6"/>
    </row>
    <row r="11917" ht="14.25">
      <c r="B11917" s="18" t="s">
        <v>4012</v>
      </c>
      <c r="C11917" s="18" t="s">
        <v>5286</v>
      </c>
      <c r="D11917" s="18" t="s">
        <v>1130</v>
      </c>
      <c r="E11917" s="18" t="s">
        <v>55754</v>
      </c>
      <c r="F11917" s="18" t="str">
        <f>IFERROR(__XLUDF.DUMMYFUNCTION("PROPER(REGEXREPLACE(D1829,""[^A-Za-z]+ "",""""))"),"Pyrenees Charpentes")</f>
        <v xml:space="preserve">Pyrenees Charpentes</v>
      </c>
      <c r="G11917" s="18" t="s">
        <v>55755</v>
      </c>
      <c r="H11917" s="18">
        <v>40</v>
      </c>
      <c r="I11917" s="18" t="s">
        <v>9239</v>
      </c>
      <c r="J11917" s="5" t="s">
        <v>55756</v>
      </c>
      <c r="K11917" s="5" t="s">
        <v>55757</v>
      </c>
      <c r="L11917" s="18" t="s">
        <v>55758</v>
      </c>
      <c r="M11917" s="18" t="s">
        <v>29</v>
      </c>
      <c r="N11917" s="18" t="s">
        <v>55759</v>
      </c>
      <c r="O11917" s="18" t="s">
        <v>29</v>
      </c>
      <c r="P11917" s="18" t="s">
        <v>55760</v>
      </c>
      <c r="Q11917" s="6"/>
      <c r="R11917" s="6"/>
      <c r="S11917" s="6"/>
      <c r="T11917" s="6"/>
      <c r="U11917" s="6"/>
    </row>
    <row r="11918" ht="14.25">
      <c r="B11918" s="18" t="s">
        <v>785</v>
      </c>
      <c r="C11918" s="18" t="s">
        <v>55761</v>
      </c>
      <c r="D11918" s="18" t="s">
        <v>112</v>
      </c>
      <c r="E11918" s="18" t="s">
        <v>55762</v>
      </c>
      <c r="F11918" s="18" t="str">
        <f>IFERROR(__XLUDF.DUMMYFUNCTION("PROPER(REGEXREPLACE(D1830,""[^A-Za-z]+ "",""""))"),"Harrault Construction Management")</f>
        <v xml:space="preserve">Harrault Construction Management</v>
      </c>
      <c r="G11918" s="18" t="s">
        <v>55763</v>
      </c>
      <c r="H11918" s="18">
        <v>21</v>
      </c>
      <c r="I11918" s="18" t="s">
        <v>9239</v>
      </c>
      <c r="J11918" s="5" t="s">
        <v>55764</v>
      </c>
      <c r="K11918" s="5" t="s">
        <v>55765</v>
      </c>
      <c r="L11918" s="18" t="s">
        <v>651</v>
      </c>
      <c r="M11918" s="18" t="s">
        <v>29</v>
      </c>
      <c r="N11918" s="18" t="s">
        <v>55766</v>
      </c>
      <c r="O11918" s="18" t="s">
        <v>29</v>
      </c>
      <c r="P11918" s="18" t="s">
        <v>55767</v>
      </c>
      <c r="Q11918" s="6"/>
      <c r="R11918" s="6"/>
      <c r="S11918" s="6"/>
      <c r="T11918" s="6"/>
      <c r="U11918" s="6"/>
    </row>
    <row r="11919" ht="14.25">
      <c r="B11919" s="18" t="s">
        <v>6788</v>
      </c>
      <c r="C11919" s="18" t="s">
        <v>55768</v>
      </c>
      <c r="D11919" s="18" t="s">
        <v>55769</v>
      </c>
      <c r="E11919" s="18" t="s">
        <v>55770</v>
      </c>
      <c r="F11919" s="18" t="str">
        <f>IFERROR(__XLUDF.DUMMYFUNCTION("PROPER(REGEXREPLACE(D1831,""[^A-Za-z]+ "",""""))"),"Mca Sevre Et Maine")</f>
        <v xml:space="preserve">Mca Sevre Et Maine</v>
      </c>
      <c r="G11919" s="18" t="s">
        <v>55771</v>
      </c>
      <c r="H11919" s="6"/>
      <c r="I11919" s="6"/>
      <c r="J11919" s="5" t="s">
        <v>55772</v>
      </c>
      <c r="K11919" s="5" t="s">
        <v>55773</v>
      </c>
      <c r="L11919" s="18" t="s">
        <v>1711</v>
      </c>
      <c r="M11919" s="18" t="s">
        <v>29</v>
      </c>
      <c r="N11919" s="18" t="s">
        <v>55774</v>
      </c>
      <c r="O11919" s="18" t="s">
        <v>29</v>
      </c>
      <c r="P11919" s="6"/>
      <c r="Q11919" s="6"/>
      <c r="R11919" s="6"/>
      <c r="S11919" s="6"/>
      <c r="T11919" s="6"/>
      <c r="U11919" s="6"/>
    </row>
    <row r="11920" ht="14.25">
      <c r="B11920" s="18" t="s">
        <v>110</v>
      </c>
      <c r="C11920" s="18" t="s">
        <v>55775</v>
      </c>
      <c r="D11920" s="18" t="s">
        <v>112</v>
      </c>
      <c r="E11920" s="18" t="s">
        <v>55776</v>
      </c>
      <c r="F11920" s="18" t="str">
        <f>IFERROR(__XLUDF.DUMMYFUNCTION("PROPER(REGEXREPLACE(D1832,""[^A-Za-z]+ "",""""))"),"Casado Sas")</f>
        <v xml:space="preserve">Casado Sas</v>
      </c>
      <c r="G11920" s="18" t="s">
        <v>55777</v>
      </c>
      <c r="H11920" s="18">
        <v>10</v>
      </c>
      <c r="I11920" s="18" t="s">
        <v>9239</v>
      </c>
      <c r="J11920" s="5" t="s">
        <v>55778</v>
      </c>
      <c r="K11920" s="5" t="s">
        <v>55779</v>
      </c>
      <c r="L11920" s="6"/>
      <c r="M11920" s="18" t="s">
        <v>29</v>
      </c>
      <c r="N11920" s="18" t="s">
        <v>55780</v>
      </c>
      <c r="O11920" s="18" t="s">
        <v>29</v>
      </c>
      <c r="P11920" s="18" t="s">
        <v>55781</v>
      </c>
      <c r="Q11920" s="6"/>
      <c r="R11920" s="6"/>
      <c r="S11920" s="6"/>
      <c r="T11920" s="6"/>
      <c r="U11920" s="6"/>
    </row>
    <row r="11921" ht="14.25">
      <c r="B11921" s="18" t="s">
        <v>279</v>
      </c>
      <c r="C11921" s="18" t="s">
        <v>55782</v>
      </c>
      <c r="D11921" s="18" t="s">
        <v>112</v>
      </c>
      <c r="E11921" s="18" t="s">
        <v>55783</v>
      </c>
      <c r="F11921" s="18" t="str">
        <f>IFERROR(__XLUDF.DUMMYFUNCTION("PROPER(REGEXREPLACE(D1833,""[^A-Za-z]+ "",""""))"),"Benetiere Sas")</f>
        <v xml:space="preserve">Benetiere Sas</v>
      </c>
      <c r="G11921" s="18" t="s">
        <v>55784</v>
      </c>
      <c r="H11921" s="18">
        <v>7</v>
      </c>
      <c r="I11921" s="18" t="s">
        <v>9239</v>
      </c>
      <c r="J11921" s="5" t="s">
        <v>55785</v>
      </c>
      <c r="K11921" s="5" t="s">
        <v>55786</v>
      </c>
      <c r="L11921" s="18" t="s">
        <v>831</v>
      </c>
      <c r="M11921" s="18" t="s">
        <v>29</v>
      </c>
      <c r="N11921" s="18" t="s">
        <v>55787</v>
      </c>
      <c r="O11921" s="18" t="s">
        <v>29</v>
      </c>
      <c r="P11921" s="6"/>
      <c r="Q11921" s="6"/>
      <c r="R11921" s="6"/>
      <c r="S11921" s="6"/>
      <c r="T11921" s="6"/>
      <c r="U11921" s="6"/>
    </row>
    <row r="11922" ht="14.25">
      <c r="B11922" s="18" t="s">
        <v>785</v>
      </c>
      <c r="C11922" s="18" t="s">
        <v>55788</v>
      </c>
      <c r="D11922" s="18" t="s">
        <v>62</v>
      </c>
      <c r="E11922" s="18" t="s">
        <v>55789</v>
      </c>
      <c r="F11922" s="18" t="str">
        <f>IFERROR(__XLUDF.DUMMYFUNCTION("PROPER(REGEXREPLACE(D1834,""[^A-Za-z]+ "",""""))"),"Bloctobuild")</f>
        <v>Bloctobuild</v>
      </c>
      <c r="G11922" s="18" t="s">
        <v>55790</v>
      </c>
      <c r="H11922" s="18">
        <v>4</v>
      </c>
      <c r="I11922" s="18" t="s">
        <v>4293</v>
      </c>
      <c r="J11922" s="5" t="s">
        <v>55791</v>
      </c>
      <c r="K11922" s="5" t="s">
        <v>55792</v>
      </c>
      <c r="L11922" s="18" t="s">
        <v>39</v>
      </c>
      <c r="M11922" s="18" t="s">
        <v>29</v>
      </c>
      <c r="N11922" s="18" t="s">
        <v>67</v>
      </c>
      <c r="O11922" s="18" t="s">
        <v>29</v>
      </c>
      <c r="P11922" s="18" t="s">
        <v>55793</v>
      </c>
      <c r="Q11922" s="6"/>
      <c r="R11922" s="6"/>
      <c r="S11922" s="6"/>
      <c r="T11922" s="6"/>
      <c r="U11922" s="6"/>
    </row>
    <row r="11923" ht="14.25">
      <c r="B11923" s="18" t="s">
        <v>7246</v>
      </c>
      <c r="C11923" s="18" t="s">
        <v>55794</v>
      </c>
      <c r="D11923" s="18" t="s">
        <v>247</v>
      </c>
      <c r="E11923" s="18" t="s">
        <v>55795</v>
      </c>
      <c r="F11923" s="18" t="str">
        <f>IFERROR(__XLUDF.DUMMYFUNCTION("PROPER(REGEXREPLACE(D1835,""[^A-Za-z]+ "",""""))"),"Adora Rénovation")</f>
        <v xml:space="preserve">Adora Rénovation</v>
      </c>
      <c r="G11923" s="18" t="s">
        <v>55796</v>
      </c>
      <c r="H11923" s="18">
        <v>2</v>
      </c>
      <c r="I11923" s="18" t="s">
        <v>9239</v>
      </c>
      <c r="J11923" s="5" t="s">
        <v>55797</v>
      </c>
      <c r="K11923" s="5" t="s">
        <v>55798</v>
      </c>
      <c r="L11923" s="18" t="s">
        <v>39</v>
      </c>
      <c r="M11923" s="18" t="s">
        <v>29</v>
      </c>
      <c r="N11923" s="18" t="s">
        <v>55799</v>
      </c>
      <c r="O11923" s="18" t="s">
        <v>29</v>
      </c>
      <c r="P11923" s="18" t="s">
        <v>55800</v>
      </c>
      <c r="Q11923" s="6"/>
      <c r="R11923" s="6"/>
      <c r="S11923" s="6"/>
      <c r="T11923" s="6"/>
      <c r="U11923" s="6"/>
    </row>
    <row r="11924" ht="14.25">
      <c r="B11924" s="18" t="s">
        <v>971</v>
      </c>
      <c r="C11924" s="18" t="s">
        <v>55801</v>
      </c>
      <c r="D11924" s="18" t="s">
        <v>172</v>
      </c>
      <c r="E11924" s="18" t="s">
        <v>55802</v>
      </c>
      <c r="F11924" s="18" t="str">
        <f>IFERROR(__XLUDF.DUMMYFUNCTION("PROPER(REGEXREPLACE(D1836,""[^A-Za-z]+ "",""""))"),"Dc2M Incendie")</f>
        <v xml:space="preserve">Dc2M Incendie</v>
      </c>
      <c r="G11924" s="18" t="s">
        <v>55803</v>
      </c>
      <c r="H11924" s="18">
        <v>3</v>
      </c>
      <c r="I11924" s="18" t="s">
        <v>9239</v>
      </c>
      <c r="J11924" s="5" t="s">
        <v>55804</v>
      </c>
      <c r="K11924" s="5" t="s">
        <v>55805</v>
      </c>
      <c r="L11924" s="18" t="s">
        <v>39</v>
      </c>
      <c r="M11924" s="18" t="s">
        <v>29</v>
      </c>
      <c r="N11924" s="18" t="s">
        <v>55806</v>
      </c>
      <c r="O11924" s="18" t="s">
        <v>29</v>
      </c>
      <c r="P11924" s="6"/>
      <c r="Q11924" s="6"/>
      <c r="R11924" s="6"/>
      <c r="S11924" s="6"/>
      <c r="T11924" s="6"/>
      <c r="U11924" s="6"/>
    </row>
    <row r="11925" ht="14.25">
      <c r="B11925" s="18" t="s">
        <v>222</v>
      </c>
      <c r="C11925" s="18" t="s">
        <v>55807</v>
      </c>
      <c r="D11925" s="18" t="s">
        <v>1950</v>
      </c>
      <c r="E11925" s="18" t="s">
        <v>55808</v>
      </c>
      <c r="F11925" s="18" t="str">
        <f>IFERROR(__XLUDF.DUMMYFUNCTION("PROPER(REGEXREPLACE(D1837,""[^A-Za-z]+ "",""""))"),"Labastere 64")</f>
        <v xml:space="preserve">Labastere 64</v>
      </c>
      <c r="G11925" s="18" t="s">
        <v>55809</v>
      </c>
      <c r="H11925" s="18">
        <v>28</v>
      </c>
      <c r="I11925" s="18" t="s">
        <v>9239</v>
      </c>
      <c r="J11925" s="5" t="s">
        <v>55810</v>
      </c>
      <c r="K11925" s="5" t="s">
        <v>55811</v>
      </c>
      <c r="L11925" s="18" t="s">
        <v>83</v>
      </c>
      <c r="M11925" s="18" t="s">
        <v>29</v>
      </c>
      <c r="N11925" s="18" t="s">
        <v>55812</v>
      </c>
      <c r="O11925" s="18" t="s">
        <v>29</v>
      </c>
      <c r="P11925" s="6"/>
      <c r="Q11925" s="6"/>
      <c r="R11925" s="6"/>
      <c r="S11925" s="6"/>
      <c r="T11925" s="6"/>
      <c r="U11925" s="6"/>
    </row>
    <row r="11926" ht="14.25">
      <c r="B11926" s="18" t="s">
        <v>55813</v>
      </c>
      <c r="C11926" s="18" t="s">
        <v>55814</v>
      </c>
      <c r="D11926" s="18" t="s">
        <v>172</v>
      </c>
      <c r="E11926" s="18" t="s">
        <v>55815</v>
      </c>
      <c r="F11926" s="18" t="str">
        <f>IFERROR(__XLUDF.DUMMYFUNCTION("PROPER(REGEXREPLACE(D1838,""[^A-Za-z]+ "",""""))"),"Grafic Art")</f>
        <v xml:space="preserve">Grafic Art</v>
      </c>
      <c r="G11926" s="18" t="s">
        <v>55816</v>
      </c>
      <c r="H11926" s="18">
        <v>3</v>
      </c>
      <c r="I11926" s="18" t="s">
        <v>9239</v>
      </c>
      <c r="J11926" s="5" t="s">
        <v>55817</v>
      </c>
      <c r="K11926" s="5" t="s">
        <v>55818</v>
      </c>
      <c r="L11926" s="18" t="s">
        <v>3898</v>
      </c>
      <c r="M11926" s="18" t="s">
        <v>29</v>
      </c>
      <c r="N11926" s="18" t="s">
        <v>55819</v>
      </c>
      <c r="O11926" s="18" t="s">
        <v>1261</v>
      </c>
      <c r="P11926" s="18" t="s">
        <v>55820</v>
      </c>
      <c r="Q11926" s="6"/>
      <c r="R11926" s="6"/>
      <c r="S11926" s="6"/>
      <c r="T11926" s="6"/>
      <c r="U11926" s="6"/>
    </row>
    <row r="11927" ht="14.25">
      <c r="B11927" s="18" t="s">
        <v>3516</v>
      </c>
      <c r="C11927" s="18" t="s">
        <v>55821</v>
      </c>
      <c r="D11927" s="18" t="s">
        <v>164</v>
      </c>
      <c r="E11927" s="18" t="s">
        <v>55822</v>
      </c>
      <c r="F11927" s="18" t="str">
        <f>IFERROR(__XLUDF.DUMMYFUNCTION("PROPER(REGEXREPLACE(D1839,""[^A-Za-z]+ "",""""))"),"Côtjardin Piscines Carrbleu Lyon")</f>
        <v xml:space="preserve">Côtjardin Piscines Carrbleu Lyon</v>
      </c>
      <c r="G11927" s="18" t="s">
        <v>55823</v>
      </c>
      <c r="H11927" s="18">
        <v>6</v>
      </c>
      <c r="I11927" s="18" t="s">
        <v>9239</v>
      </c>
      <c r="J11927" s="5" t="s">
        <v>55824</v>
      </c>
      <c r="K11927" s="5" t="s">
        <v>55825</v>
      </c>
      <c r="L11927" s="18" t="s">
        <v>55826</v>
      </c>
      <c r="M11927" s="18" t="s">
        <v>29</v>
      </c>
      <c r="N11927" s="18" t="s">
        <v>55827</v>
      </c>
      <c r="O11927" s="18" t="s">
        <v>1938</v>
      </c>
      <c r="P11927" s="18" t="s">
        <v>55828</v>
      </c>
      <c r="Q11927" s="6"/>
      <c r="R11927" s="6"/>
      <c r="S11927" s="6"/>
      <c r="T11927" s="6"/>
      <c r="U11927" s="6"/>
    </row>
    <row r="11928" ht="14.25">
      <c r="B11928" s="18" t="s">
        <v>330</v>
      </c>
      <c r="C11928" s="18" t="s">
        <v>55829</v>
      </c>
      <c r="D11928" s="18" t="s">
        <v>112</v>
      </c>
      <c r="E11928" s="18" t="s">
        <v>55830</v>
      </c>
      <c r="F11928" s="18" t="str">
        <f>IFERROR(__XLUDF.DUMMYFUNCTION("PROPER(REGEXREPLACE(D1840,""[^A-Za-z]+ "",""""))"),"Chanu Hd")</f>
        <v xml:space="preserve">Chanu Hd</v>
      </c>
      <c r="G11928" s="18" t="s">
        <v>55831</v>
      </c>
      <c r="H11928" s="18">
        <v>19</v>
      </c>
      <c r="I11928" s="18" t="s">
        <v>9239</v>
      </c>
      <c r="J11928" s="5" t="s">
        <v>55832</v>
      </c>
      <c r="K11928" s="5" t="s">
        <v>55833</v>
      </c>
      <c r="L11928" s="18" t="s">
        <v>49745</v>
      </c>
      <c r="M11928" s="18" t="s">
        <v>29</v>
      </c>
      <c r="N11928" s="18" t="s">
        <v>55834</v>
      </c>
      <c r="O11928" s="18" t="s">
        <v>29</v>
      </c>
      <c r="P11928" s="18" t="s">
        <v>55835</v>
      </c>
      <c r="Q11928" s="6"/>
      <c r="R11928" s="6"/>
      <c r="S11928" s="6"/>
      <c r="T11928" s="6"/>
      <c r="U11928" s="6"/>
    </row>
    <row r="11933" ht="14.25">
      <c r="B11933" s="17" t="s">
        <v>1</v>
      </c>
      <c r="C11933" s="17" t="s">
        <v>2</v>
      </c>
      <c r="D11933" s="17" t="s">
        <v>3</v>
      </c>
      <c r="E11933" s="17" t="s">
        <v>17619</v>
      </c>
      <c r="F11933" s="17" t="s">
        <v>4</v>
      </c>
      <c r="G11933" s="17" t="s">
        <v>5</v>
      </c>
      <c r="H11933" s="17" t="s">
        <v>6</v>
      </c>
      <c r="I11933" s="17" t="s">
        <v>17620</v>
      </c>
      <c r="J11933" s="17" t="s">
        <v>7</v>
      </c>
      <c r="K11933" s="17" t="s">
        <v>8</v>
      </c>
      <c r="L11933" s="17" t="s">
        <v>9</v>
      </c>
      <c r="M11933" s="17" t="s">
        <v>10</v>
      </c>
      <c r="N11933" s="17" t="s">
        <v>11</v>
      </c>
      <c r="O11933" s="17" t="s">
        <v>12</v>
      </c>
      <c r="P11933" s="17" t="s">
        <v>13</v>
      </c>
      <c r="Q11933" s="17" t="s">
        <v>14</v>
      </c>
      <c r="R11933" s="17" t="s">
        <v>15</v>
      </c>
      <c r="S11933" s="17" t="s">
        <v>16</v>
      </c>
      <c r="T11933" s="17" t="s">
        <v>17</v>
      </c>
      <c r="U11933" s="17" t="s">
        <v>18</v>
      </c>
      <c r="V11933" s="17" t="s">
        <v>19</v>
      </c>
      <c r="W11933" s="17"/>
      <c r="X11933" s="17"/>
    </row>
    <row r="11934" ht="14.25">
      <c r="B11934" s="18" t="s">
        <v>52892</v>
      </c>
      <c r="C11934" s="18" t="s">
        <v>12551</v>
      </c>
      <c r="D11934" s="18" t="s">
        <v>2636</v>
      </c>
      <c r="E11934" s="18" t="s">
        <v>52893</v>
      </c>
      <c r="F11934" s="18" t="str">
        <f>IFERROR(__XLUDF.DUMMYFUNCTION("PROPER(REGEXREPLACE(D2,""[^A-Za-z]+ "",""""))"),"Facili")</f>
        <v>Facili</v>
      </c>
      <c r="G11934" s="18" t="s">
        <v>52894</v>
      </c>
      <c r="H11934" s="18">
        <v>11</v>
      </c>
      <c r="I11934" s="18" t="s">
        <v>10167</v>
      </c>
      <c r="J11934" s="18" t="str">
        <f>IFERROR(__XLUDF.DUMMYFUNCTION("VLOOKUP(M2,IMPORTRANGE(""https://docs.google.com/spreadsheets/d/1opm6ZNvGZ7KditA9TuJwrZ25eFLfTNIkrNnY6mhV5Eg"",""list!A1:C115""),3,TRUE)"),"le secteur de la production alimentaire")</f>
        <v xml:space="preserve">le secteur de la production alimentaire</v>
      </c>
      <c r="K11934" s="5" t="s">
        <v>52895</v>
      </c>
      <c r="L11934" s="5" t="s">
        <v>52896</v>
      </c>
      <c r="M11934" s="18" t="s">
        <v>39</v>
      </c>
      <c r="N11934" s="18" t="s">
        <v>29</v>
      </c>
      <c r="O11934" s="18" t="s">
        <v>52897</v>
      </c>
      <c r="P11934" s="18" t="s">
        <v>29</v>
      </c>
      <c r="Q11934" s="18" t="s">
        <v>52898</v>
      </c>
      <c r="R11934" s="6"/>
      <c r="S11934" s="6"/>
      <c r="T11934" s="6"/>
      <c r="U11934" s="6"/>
      <c r="V11934" s="6"/>
      <c r="W11934" s="6"/>
      <c r="X11934" s="6"/>
    </row>
    <row r="11935" ht="14.25">
      <c r="B11935" s="18" t="s">
        <v>1198</v>
      </c>
      <c r="C11935" s="18" t="s">
        <v>10686</v>
      </c>
      <c r="D11935" s="18" t="s">
        <v>5480</v>
      </c>
      <c r="E11935" s="18" t="s">
        <v>44899</v>
      </c>
      <c r="F11935" s="18" t="str">
        <f>IFERROR(__XLUDF.DUMMYFUNCTION("PROPER(REGEXREPLACE(D3,""[^A-Za-z]+ "",""""))"),"Hexagone Groupe")</f>
        <v xml:space="preserve">Hexagone Groupe</v>
      </c>
      <c r="G11935" s="18" t="s">
        <v>44900</v>
      </c>
      <c r="H11935" s="18">
        <v>15</v>
      </c>
      <c r="I11935" s="18" t="s">
        <v>10167</v>
      </c>
      <c r="J11935" s="18" t="str">
        <f>IFERROR(__XLUDF.DUMMYFUNCTION("VLOOKUP(M3,IMPORTRANGE(""https://docs.google.com/spreadsheets/d/1opm6ZNvGZ7KditA9TuJwrZ25eFLfTNIkrNnY6mhV5Eg"",""list!A1:C115""),3,TRUE)"),"le secteur de la production alimentaire")</f>
        <v xml:space="preserve">le secteur de la production alimentaire</v>
      </c>
      <c r="K11935" s="5" t="s">
        <v>44901</v>
      </c>
      <c r="L11935" s="5" t="s">
        <v>44902</v>
      </c>
      <c r="M11935" s="18" t="s">
        <v>243</v>
      </c>
      <c r="N11935" s="18" t="s">
        <v>29</v>
      </c>
      <c r="O11935" s="18" t="s">
        <v>1533</v>
      </c>
      <c r="P11935" s="18" t="s">
        <v>29</v>
      </c>
      <c r="Q11935" s="6"/>
      <c r="R11935" s="6"/>
      <c r="S11935" s="6"/>
      <c r="T11935" s="6"/>
      <c r="U11935" s="6"/>
      <c r="V11935" s="6"/>
      <c r="W11935" s="6"/>
      <c r="X11935" s="6"/>
    </row>
    <row r="11936" ht="14.25">
      <c r="B11936" s="18" t="s">
        <v>46827</v>
      </c>
      <c r="C11936" s="18" t="s">
        <v>46828</v>
      </c>
      <c r="D11936" s="18" t="s">
        <v>1130</v>
      </c>
      <c r="E11936" s="18" t="s">
        <v>44899</v>
      </c>
      <c r="F11936" s="18" t="str">
        <f>IFERROR(__XLUDF.DUMMYFUNCTION("PROPER(REGEXREPLACE(D4,""[^A-Za-z]+ "",""""))"),"Hexagone Groupe")</f>
        <v xml:space="preserve">Hexagone Groupe</v>
      </c>
      <c r="G11936" s="18" t="s">
        <v>46829</v>
      </c>
      <c r="H11936" s="18">
        <v>15</v>
      </c>
      <c r="I11936" s="18" t="s">
        <v>10167</v>
      </c>
      <c r="J11936" s="18" t="str">
        <f>IFERROR(__XLUDF.DUMMYFUNCTION("VLOOKUP(M4,IMPORTRANGE(""https://docs.google.com/spreadsheets/d/1opm6ZNvGZ7KditA9TuJwrZ25eFLfTNIkrNnY6mhV5Eg"",""list!A1:C115""),3,TRUE)"),"le secteur de la production alimentaire")</f>
        <v xml:space="preserve">le secteur de la production alimentaire</v>
      </c>
      <c r="K11936" s="5" t="s">
        <v>46830</v>
      </c>
      <c r="L11936" s="5" t="s">
        <v>44902</v>
      </c>
      <c r="M11936" s="18" t="s">
        <v>243</v>
      </c>
      <c r="N11936" s="18" t="s">
        <v>29</v>
      </c>
      <c r="O11936" s="18" t="s">
        <v>1533</v>
      </c>
      <c r="P11936" s="18" t="s">
        <v>29</v>
      </c>
      <c r="Q11936" s="6"/>
      <c r="R11936" s="6"/>
      <c r="S11936" s="6"/>
      <c r="T11936" s="6"/>
      <c r="U11936" s="6"/>
      <c r="V11936" s="6"/>
      <c r="W11936" s="6"/>
      <c r="X11936" s="6"/>
    </row>
    <row r="11937" ht="14.25">
      <c r="B11937" s="18" t="s">
        <v>6945</v>
      </c>
      <c r="C11937" s="18" t="s">
        <v>48228</v>
      </c>
      <c r="D11937" s="18" t="s">
        <v>487</v>
      </c>
      <c r="E11937" s="18" t="s">
        <v>48229</v>
      </c>
      <c r="F11937" s="18" t="str">
        <f>IFERROR(__XLUDF.DUMMYFUNCTION("PROPER(REGEXREPLACE(D5,""[^A-Za-z]+ "",""""))"),"Cénovia")</f>
        <v>Cénovia</v>
      </c>
      <c r="G11937" s="18" t="s">
        <v>48230</v>
      </c>
      <c r="H11937" s="18">
        <v>30</v>
      </c>
      <c r="I11937" s="18" t="s">
        <v>10167</v>
      </c>
      <c r="J11937" s="18" t="str">
        <f>IFERROR(__XLUDF.DUMMYFUNCTION("VLOOKUP(M5,IMPORTRANGE(""https://docs.google.com/spreadsheets/d/1opm6ZNvGZ7KditA9TuJwrZ25eFLfTNIkrNnY6mhV5Eg"",""list!A1:C115""),3,TRUE)"),"le secteur de la production alimentaire")</f>
        <v xml:space="preserve">le secteur de la production alimentaire</v>
      </c>
      <c r="K11937" s="5" t="s">
        <v>48231</v>
      </c>
      <c r="L11937" s="5" t="s">
        <v>48232</v>
      </c>
      <c r="M11937" s="18" t="s">
        <v>2650</v>
      </c>
      <c r="N11937" s="18" t="s">
        <v>29</v>
      </c>
      <c r="O11937" s="18" t="s">
        <v>48233</v>
      </c>
      <c r="P11937" s="18" t="s">
        <v>29</v>
      </c>
      <c r="Q11937" s="18" t="s">
        <v>48234</v>
      </c>
      <c r="R11937" s="6"/>
      <c r="S11937" s="6"/>
      <c r="T11937" s="6"/>
      <c r="U11937" s="6"/>
      <c r="V11937" s="6"/>
      <c r="W11937" s="6"/>
      <c r="X11937" s="6"/>
    </row>
    <row r="11938" ht="14.25">
      <c r="B11938" s="18" t="s">
        <v>26223</v>
      </c>
      <c r="C11938" s="18" t="s">
        <v>46780</v>
      </c>
      <c r="D11938" s="18" t="s">
        <v>426</v>
      </c>
      <c r="E11938" s="18" t="s">
        <v>46781</v>
      </c>
      <c r="F11938" s="18" t="str">
        <f>IFERROR(__XLUDF.DUMMYFUNCTION("PROPER(REGEXREPLACE(D6,""[^A-Za-z]+ "",""""))"),"Laval Mayenne Aménagements")</f>
        <v xml:space="preserve">Laval Mayenne Aménagements</v>
      </c>
      <c r="G11938" s="18" t="s">
        <v>46782</v>
      </c>
      <c r="H11938" s="18">
        <v>19</v>
      </c>
      <c r="I11938" s="18" t="s">
        <v>10167</v>
      </c>
      <c r="J11938" s="18" t="str">
        <f>IFERROR(__XLUDF.DUMMYFUNCTION("VLOOKUP(M6,IMPORTRANGE(""https://docs.google.com/spreadsheets/d/1opm6ZNvGZ7KditA9TuJwrZ25eFLfTNIkrNnY6mhV5Eg"",""list!A1:C115""),3,TRUE)"),"le secteur de la production alimentaire")</f>
        <v xml:space="preserve">le secteur de la production alimentaire</v>
      </c>
      <c r="K11938" s="5" t="s">
        <v>46783</v>
      </c>
      <c r="L11938" s="5" t="s">
        <v>46784</v>
      </c>
      <c r="M11938" s="6"/>
      <c r="N11938" s="18" t="s">
        <v>29</v>
      </c>
      <c r="O11938" s="18" t="s">
        <v>25944</v>
      </c>
      <c r="P11938" s="18" t="s">
        <v>29</v>
      </c>
      <c r="Q11938" s="18" t="s">
        <v>46785</v>
      </c>
      <c r="R11938" s="6"/>
      <c r="S11938" s="6"/>
      <c r="T11938" s="6"/>
      <c r="U11938" s="6"/>
      <c r="V11938" s="6"/>
      <c r="W11938" s="6"/>
      <c r="X11938" s="6"/>
    </row>
    <row r="11939" ht="14.25">
      <c r="B11939" s="18" t="s">
        <v>7877</v>
      </c>
      <c r="C11939" s="18" t="s">
        <v>53009</v>
      </c>
      <c r="D11939" s="18" t="s">
        <v>53010</v>
      </c>
      <c r="E11939" s="18" t="s">
        <v>53011</v>
      </c>
      <c r="F11939" s="18" t="str">
        <f>IFERROR(__XLUDF.DUMMYFUNCTION("PROPER(REGEXREPLACE(D7,""[^A-Za-z]+ "",""""))"),"Hb Engineering")</f>
        <v xml:space="preserve">Hb Engineering</v>
      </c>
      <c r="G11939" s="18" t="s">
        <v>53012</v>
      </c>
      <c r="H11939" s="18">
        <v>28</v>
      </c>
      <c r="I11939" s="18" t="s">
        <v>10167</v>
      </c>
      <c r="J11939" s="18" t="str">
        <f>IFERROR(__XLUDF.DUMMYFUNCTION("VLOOKUP(M7,IMPORTRANGE(""https://docs.google.com/spreadsheets/d/1opm6ZNvGZ7KditA9TuJwrZ25eFLfTNIkrNnY6mhV5Eg"",""list!A1:C115""),3,TRUE)"),"le secteur de la production alimentaire")</f>
        <v xml:space="preserve">le secteur de la production alimentaire</v>
      </c>
      <c r="K11939" s="5" t="s">
        <v>53013</v>
      </c>
      <c r="L11939" s="5" t="s">
        <v>53014</v>
      </c>
      <c r="M11939" s="18" t="s">
        <v>53015</v>
      </c>
      <c r="N11939" s="18" t="s">
        <v>29</v>
      </c>
      <c r="O11939" s="18" t="s">
        <v>53016</v>
      </c>
      <c r="P11939" s="18" t="s">
        <v>29</v>
      </c>
      <c r="Q11939" s="6"/>
      <c r="R11939" s="6"/>
      <c r="S11939" s="6"/>
      <c r="T11939" s="6"/>
      <c r="U11939" s="6"/>
      <c r="V11939" s="6"/>
      <c r="W11939" s="6"/>
      <c r="X11939" s="6"/>
    </row>
    <row r="11940" ht="14.25">
      <c r="B11940" s="18" t="s">
        <v>2516</v>
      </c>
      <c r="C11940" s="18" t="s">
        <v>49946</v>
      </c>
      <c r="D11940" s="18" t="s">
        <v>172</v>
      </c>
      <c r="E11940" s="18" t="s">
        <v>48229</v>
      </c>
      <c r="F11940" s="18" t="str">
        <f>IFERROR(__XLUDF.DUMMYFUNCTION("PROPER(REGEXREPLACE(D8,""[^A-Za-z]+ "",""""))"),"Cénovia")</f>
        <v>Cénovia</v>
      </c>
      <c r="G11940" s="18" t="s">
        <v>49947</v>
      </c>
      <c r="H11940" s="18">
        <v>30</v>
      </c>
      <c r="I11940" s="18" t="s">
        <v>10167</v>
      </c>
      <c r="J11940" s="18" t="str">
        <f>IFERROR(__XLUDF.DUMMYFUNCTION("VLOOKUP(M8,IMPORTRANGE(""https://docs.google.com/spreadsheets/d/1opm6ZNvGZ7KditA9TuJwrZ25eFLfTNIkrNnY6mhV5Eg"",""list!A1:C115""),3,TRUE)"),"le secteur de la production alimentaire")</f>
        <v xml:space="preserve">le secteur de la production alimentaire</v>
      </c>
      <c r="K11940" s="5" t="s">
        <v>49948</v>
      </c>
      <c r="L11940" s="5" t="s">
        <v>48232</v>
      </c>
      <c r="M11940" s="18" t="s">
        <v>12466</v>
      </c>
      <c r="N11940" s="18" t="s">
        <v>29</v>
      </c>
      <c r="O11940" s="18" t="s">
        <v>48233</v>
      </c>
      <c r="P11940" s="18" t="s">
        <v>29</v>
      </c>
      <c r="Q11940" s="18" t="s">
        <v>48234</v>
      </c>
      <c r="R11940" s="6"/>
      <c r="S11940" s="6"/>
      <c r="T11940" s="6"/>
      <c r="U11940" s="6"/>
      <c r="V11940" s="6"/>
      <c r="W11940" s="6"/>
      <c r="X11940" s="6"/>
    </row>
    <row r="11941" ht="14.25">
      <c r="B11941" s="18" t="s">
        <v>3019</v>
      </c>
      <c r="C11941" s="18" t="s">
        <v>49014</v>
      </c>
      <c r="D11941" s="18" t="s">
        <v>1950</v>
      </c>
      <c r="E11941" s="18" t="s">
        <v>49015</v>
      </c>
      <c r="F11941" s="18" t="str">
        <f>IFERROR(__XLUDF.DUMMYFUNCTION("PROPER(REGEXREPLACE(D9,""[^A-Za-z]+ "",""""))"),"Semdas")</f>
        <v>Semdas</v>
      </c>
      <c r="G11941" s="18" t="s">
        <v>49016</v>
      </c>
      <c r="H11941" s="18">
        <v>25</v>
      </c>
      <c r="I11941" s="18" t="s">
        <v>10167</v>
      </c>
      <c r="J11941" s="18" t="str">
        <f>IFERROR(__XLUDF.DUMMYFUNCTION("VLOOKUP(M9,IMPORTRANGE(""https://docs.google.com/spreadsheets/d/1opm6ZNvGZ7KditA9TuJwrZ25eFLfTNIkrNnY6mhV5Eg"",""list!A1:C115""),3,TRUE)"),"le secteur de la production alimentaire")</f>
        <v xml:space="preserve">le secteur de la production alimentaire</v>
      </c>
      <c r="K11941" s="5" t="s">
        <v>49017</v>
      </c>
      <c r="L11941" s="5" t="s">
        <v>49018</v>
      </c>
      <c r="M11941" s="18" t="s">
        <v>2186</v>
      </c>
      <c r="N11941" s="18" t="s">
        <v>29</v>
      </c>
      <c r="O11941" s="18" t="s">
        <v>49019</v>
      </c>
      <c r="P11941" s="18" t="s">
        <v>29</v>
      </c>
      <c r="Q11941" s="18" t="s">
        <v>49020</v>
      </c>
      <c r="R11941" s="6"/>
      <c r="S11941" s="6"/>
      <c r="T11941" s="6"/>
      <c r="U11941" s="6"/>
      <c r="V11941" s="6"/>
      <c r="W11941" s="6"/>
      <c r="X11941" s="6"/>
    </row>
    <row r="11942" ht="14.25">
      <c r="B11942" s="18" t="s">
        <v>604</v>
      </c>
      <c r="C11942" s="18" t="s">
        <v>51113</v>
      </c>
      <c r="D11942" s="18" t="s">
        <v>3704</v>
      </c>
      <c r="E11942" s="18" t="s">
        <v>51114</v>
      </c>
      <c r="F11942" s="18" t="str">
        <f>IFERROR(__XLUDF.DUMMYFUNCTION("PROPER(REGEXREPLACE(D10,""[^A-Za-z]+ "",""""))"),"Ovatis")</f>
        <v>Ovatis</v>
      </c>
      <c r="G11942" s="18" t="s">
        <v>51115</v>
      </c>
      <c r="H11942" s="18">
        <v>46</v>
      </c>
      <c r="I11942" s="18" t="s">
        <v>45792</v>
      </c>
      <c r="J11942" s="18" t="str">
        <f>IFERROR(__XLUDF.DUMMYFUNCTION("VLOOKUP(M10,IMPORTRANGE(""https://docs.google.com/spreadsheets/d/1opm6ZNvGZ7KditA9TuJwrZ25eFLfTNIkrNnY6mhV5Eg"",""list!A1:C115""),3,TRUE)"),"le secteur de la production alimentaire")</f>
        <v xml:space="preserve">le secteur de la production alimentaire</v>
      </c>
      <c r="K11942" s="5" t="s">
        <v>51116</v>
      </c>
      <c r="L11942" s="5" t="s">
        <v>51117</v>
      </c>
      <c r="M11942" s="18" t="s">
        <v>295</v>
      </c>
      <c r="N11942" s="18" t="s">
        <v>29</v>
      </c>
      <c r="O11942" s="18" t="s">
        <v>51118</v>
      </c>
      <c r="P11942" s="18" t="s">
        <v>29</v>
      </c>
      <c r="Q11942" s="18" t="s">
        <v>51119</v>
      </c>
      <c r="R11942" s="6"/>
      <c r="S11942" s="6"/>
      <c r="T11942" s="6"/>
      <c r="U11942" s="6"/>
      <c r="V11942" s="6"/>
      <c r="W11942" s="6"/>
      <c r="X11942" s="6"/>
    </row>
    <row r="11943" ht="14.25">
      <c r="B11943" s="18" t="s">
        <v>22184</v>
      </c>
      <c r="C11943" s="18" t="s">
        <v>18292</v>
      </c>
      <c r="D11943" s="18" t="s">
        <v>112</v>
      </c>
      <c r="E11943" s="18" t="s">
        <v>53028</v>
      </c>
      <c r="F11943" s="18" t="str">
        <f>IFERROR(__XLUDF.DUMMYFUNCTION("PROPER(REGEXREPLACE(D11,""[^A-Za-z]+ "",""""))"),"Menuiserie Legendrelureau")</f>
        <v xml:space="preserve">Menuiserie Legendrelureau</v>
      </c>
      <c r="G11943" s="18" t="s">
        <v>53029</v>
      </c>
      <c r="H11943" s="18">
        <v>20</v>
      </c>
      <c r="I11943" s="18" t="s">
        <v>9239</v>
      </c>
      <c r="J11943" s="18" t="str">
        <f>IFERROR(__XLUDF.DUMMYFUNCTION("VLOOKUP(M11,IMPORTRANGE(""https://docs.google.com/spreadsheets/d/1opm6ZNvGZ7KditA9TuJwrZ25eFLfTNIkrNnY6mhV5Eg"",""list!A1:C115""),3,TRUE)"),"le secteur de la production alimentaire")</f>
        <v xml:space="preserve">le secteur de la production alimentaire</v>
      </c>
      <c r="K11943" s="5" t="s">
        <v>53030</v>
      </c>
      <c r="L11943" s="5" t="s">
        <v>53031</v>
      </c>
      <c r="M11943" s="18" t="s">
        <v>243</v>
      </c>
      <c r="N11943" s="18" t="s">
        <v>29</v>
      </c>
      <c r="O11943" s="18" t="s">
        <v>53032</v>
      </c>
      <c r="P11943" s="18" t="s">
        <v>29</v>
      </c>
      <c r="Q11943" s="18" t="s">
        <v>53033</v>
      </c>
      <c r="R11943" s="6"/>
      <c r="S11943" s="6"/>
      <c r="T11943" s="6"/>
      <c r="U11943" s="6"/>
      <c r="V11943" s="6"/>
      <c r="W11943" s="6"/>
      <c r="X11943" s="6"/>
    </row>
    <row r="11944" ht="14.25">
      <c r="B11944" s="18" t="s">
        <v>9922</v>
      </c>
      <c r="C11944" s="18" t="s">
        <v>47839</v>
      </c>
      <c r="D11944" s="18" t="s">
        <v>112</v>
      </c>
      <c r="E11944" s="18" t="s">
        <v>47840</v>
      </c>
      <c r="F11944" s="18" t="str">
        <f>IFERROR(__XLUDF.DUMMYFUNCTION("PROPER(REGEXREPLACE(D12,""[^A-Za-z]+ "",""""))"),"Ambee")</f>
        <v>Ambee</v>
      </c>
      <c r="G11944" s="18" t="s">
        <v>47841</v>
      </c>
      <c r="H11944" s="18">
        <v>13</v>
      </c>
      <c r="I11944" s="18" t="s">
        <v>9239</v>
      </c>
      <c r="J11944" s="18" t="str">
        <f>IFERROR(__XLUDF.DUMMYFUNCTION("VLOOKUP(M12,IMPORTRANGE(""https://docs.google.com/spreadsheets/d/1opm6ZNvGZ7KditA9TuJwrZ25eFLfTNIkrNnY6mhV5Eg"",""list!A1:C115""),3,TRUE)"),"le secteur de la production alimentaire")</f>
        <v xml:space="preserve">le secteur de la production alimentaire</v>
      </c>
      <c r="K11944" s="5" t="s">
        <v>47842</v>
      </c>
      <c r="L11944" s="5" t="s">
        <v>47843</v>
      </c>
      <c r="M11944" s="18" t="s">
        <v>185</v>
      </c>
      <c r="N11944" s="18" t="s">
        <v>29</v>
      </c>
      <c r="O11944" s="18" t="s">
        <v>125</v>
      </c>
      <c r="P11944" s="18" t="s">
        <v>29</v>
      </c>
      <c r="Q11944" s="18" t="s">
        <v>47844</v>
      </c>
      <c r="R11944" s="6"/>
      <c r="S11944" s="6"/>
      <c r="T11944" s="6"/>
      <c r="U11944" s="6"/>
      <c r="V11944" s="6"/>
      <c r="W11944" s="6"/>
      <c r="X11944" s="6"/>
    </row>
    <row r="11945" ht="14.25">
      <c r="B11945" s="18" t="s">
        <v>1654</v>
      </c>
      <c r="C11945" s="18" t="s">
        <v>17621</v>
      </c>
      <c r="D11945" s="18" t="s">
        <v>172</v>
      </c>
      <c r="E11945" s="18" t="s">
        <v>51095</v>
      </c>
      <c r="F11945" s="18" t="str">
        <f>IFERROR(__XLUDF.DUMMYFUNCTION("PROPER(REGEXREPLACE(D13,""[^A-Za-z]+ "",""""))"),"Agb Renovation")</f>
        <v xml:space="preserve">Agb Renovation</v>
      </c>
      <c r="G11945" s="18" t="s">
        <v>51096</v>
      </c>
      <c r="H11945" s="18">
        <v>15</v>
      </c>
      <c r="I11945" s="18" t="s">
        <v>9239</v>
      </c>
      <c r="J11945" s="18" t="str">
        <f>IFERROR(__XLUDF.DUMMYFUNCTION("VLOOKUP(M13,IMPORTRANGE(""https://docs.google.com/spreadsheets/d/1opm6ZNvGZ7KditA9TuJwrZ25eFLfTNIkrNnY6mhV5Eg"",""list!A1:C115""),3,TRUE)"),"le secteur de la production alimentaire")</f>
        <v xml:space="preserve">le secteur de la production alimentaire</v>
      </c>
      <c r="K11945" s="5" t="s">
        <v>51097</v>
      </c>
      <c r="L11945" s="5" t="s">
        <v>51098</v>
      </c>
      <c r="M11945" s="18" t="s">
        <v>10097</v>
      </c>
      <c r="N11945" s="18" t="s">
        <v>29</v>
      </c>
      <c r="O11945" s="18" t="s">
        <v>51099</v>
      </c>
      <c r="P11945" s="18" t="s">
        <v>29</v>
      </c>
      <c r="Q11945" s="18" t="s">
        <v>51100</v>
      </c>
      <c r="R11945" s="6"/>
      <c r="S11945" s="6"/>
      <c r="T11945" s="6"/>
      <c r="U11945" s="6"/>
      <c r="V11945" s="6"/>
      <c r="W11945" s="6"/>
      <c r="X11945" s="6"/>
    </row>
    <row r="11946" ht="14.25">
      <c r="B11946" s="18" t="s">
        <v>14831</v>
      </c>
      <c r="C11946" s="18" t="s">
        <v>50867</v>
      </c>
      <c r="D11946" s="18" t="s">
        <v>172</v>
      </c>
      <c r="E11946" s="18" t="s">
        <v>50868</v>
      </c>
      <c r="F11946" s="18" t="str">
        <f>IFERROR(__XLUDF.DUMMYFUNCTION("PROPER(REGEXREPLACE(D14,""[^A-Za-z]+ "",""""))"),"Empeering")</f>
        <v>Empeering</v>
      </c>
      <c r="G11946" s="18" t="s">
        <v>50869</v>
      </c>
      <c r="H11946" s="18">
        <v>44</v>
      </c>
      <c r="I11946" s="18" t="s">
        <v>9239</v>
      </c>
      <c r="J11946" s="18" t="str">
        <f>IFERROR(__XLUDF.DUMMYFUNCTION("VLOOKUP(M14,IMPORTRANGE(""https://docs.google.com/spreadsheets/d/1opm6ZNvGZ7KditA9TuJwrZ25eFLfTNIkrNnY6mhV5Eg"",""list!A1:C115""),3,TRUE)"),"le secteur de la production alimentaire")</f>
        <v xml:space="preserve">le secteur de la production alimentaire</v>
      </c>
      <c r="K11946" s="5" t="s">
        <v>50870</v>
      </c>
      <c r="L11946" s="5" t="s">
        <v>50871</v>
      </c>
      <c r="M11946" s="6"/>
      <c r="N11946" s="18" t="s">
        <v>29</v>
      </c>
      <c r="O11946" s="18" t="s">
        <v>50872</v>
      </c>
      <c r="P11946" s="18" t="s">
        <v>29</v>
      </c>
      <c r="Q11946" s="18" t="s">
        <v>50873</v>
      </c>
      <c r="R11946" s="6"/>
      <c r="S11946" s="6"/>
      <c r="T11946" s="6"/>
      <c r="U11946" s="6"/>
      <c r="V11946" s="6"/>
      <c r="W11946" s="6"/>
      <c r="X11946" s="6"/>
    </row>
    <row r="11947" ht="14.25">
      <c r="B11947" s="18" t="s">
        <v>874</v>
      </c>
      <c r="C11947" s="18" t="s">
        <v>52512</v>
      </c>
      <c r="D11947" s="18" t="s">
        <v>172</v>
      </c>
      <c r="E11947" s="18" t="s">
        <v>52513</v>
      </c>
      <c r="F11947" s="18" t="str">
        <f>IFERROR(__XLUDF.DUMMYFUNCTION("PROPER(REGEXREPLACE(D15,""[^A-Za-z]+ "",""""))"),"Simpra")</f>
        <v>Simpra</v>
      </c>
      <c r="G11947" s="18" t="s">
        <v>52514</v>
      </c>
      <c r="H11947" s="18">
        <v>21</v>
      </c>
      <c r="I11947" s="18" t="s">
        <v>9239</v>
      </c>
      <c r="J11947" s="18" t="str">
        <f>IFERROR(__XLUDF.DUMMYFUNCTION("VLOOKUP(M15,IMPORTRANGE(""https://docs.google.com/spreadsheets/d/1opm6ZNvGZ7KditA9TuJwrZ25eFLfTNIkrNnY6mhV5Eg"",""list!A1:C115""),3,TRUE)"),"le secteur de la production alimentaire")</f>
        <v xml:space="preserve">le secteur de la production alimentaire</v>
      </c>
      <c r="K11947" s="5" t="s">
        <v>52515</v>
      </c>
      <c r="L11947" s="5" t="s">
        <v>52516</v>
      </c>
      <c r="M11947" s="6"/>
      <c r="N11947" s="18" t="s">
        <v>29</v>
      </c>
      <c r="O11947" s="18" t="s">
        <v>52517</v>
      </c>
      <c r="P11947" s="18" t="s">
        <v>29</v>
      </c>
      <c r="Q11947" s="18" t="s">
        <v>52518</v>
      </c>
      <c r="R11947" s="6"/>
      <c r="S11947" s="6"/>
      <c r="T11947" s="6"/>
      <c r="U11947" s="6"/>
      <c r="V11947" s="6"/>
      <c r="W11947" s="6"/>
      <c r="X11947" s="6"/>
    </row>
    <row r="11948" ht="14.25">
      <c r="B11948" s="18" t="s">
        <v>3164</v>
      </c>
      <c r="C11948" s="18" t="s">
        <v>45350</v>
      </c>
      <c r="D11948" s="18" t="s">
        <v>172</v>
      </c>
      <c r="E11948" s="18" t="s">
        <v>45351</v>
      </c>
      <c r="F11948" s="18" t="str">
        <f>IFERROR(__XLUDF.DUMMYFUNCTION("PROPER(REGEXREPLACE(D16,""[^A-Za-z]+ "",""""))"),"Bost Diagnostics Structures")</f>
        <v xml:space="preserve">Bost Diagnostics Structures</v>
      </c>
      <c r="G11948" s="18" t="s">
        <v>45352</v>
      </c>
      <c r="H11948" s="18">
        <v>19</v>
      </c>
      <c r="I11948" s="18" t="s">
        <v>9239</v>
      </c>
      <c r="J11948" s="18" t="str">
        <f>IFERROR(__XLUDF.DUMMYFUNCTION("VLOOKUP(M16,IMPORTRANGE(""https://docs.google.com/spreadsheets/d/1opm6ZNvGZ7KditA9TuJwrZ25eFLfTNIkrNnY6mhV5Eg"",""list!A1:C115""),3,TRUE)"),"le secteur de la production alimentaire")</f>
        <v xml:space="preserve">le secteur de la production alimentaire</v>
      </c>
      <c r="K11948" s="5" t="s">
        <v>45353</v>
      </c>
      <c r="L11948" s="5" t="s">
        <v>45354</v>
      </c>
      <c r="M11948" s="18" t="s">
        <v>185</v>
      </c>
      <c r="N11948" s="18" t="s">
        <v>29</v>
      </c>
      <c r="O11948" s="18" t="s">
        <v>45355</v>
      </c>
      <c r="P11948" s="18" t="s">
        <v>29</v>
      </c>
      <c r="Q11948" s="18" t="s">
        <v>45356</v>
      </c>
      <c r="R11948" s="6"/>
      <c r="S11948" s="6"/>
      <c r="T11948" s="6"/>
      <c r="U11948" s="6"/>
      <c r="V11948" s="6"/>
      <c r="W11948" s="6"/>
      <c r="X11948" s="6"/>
    </row>
    <row r="11949" ht="14.25">
      <c r="B11949" s="18" t="s">
        <v>42669</v>
      </c>
      <c r="C11949" s="18" t="s">
        <v>50401</v>
      </c>
      <c r="D11949" s="18" t="s">
        <v>50402</v>
      </c>
      <c r="E11949" s="18" t="s">
        <v>44909</v>
      </c>
      <c r="F11949" s="18" t="str">
        <f>IFERROR(__XLUDF.DUMMYFUNCTION("PROPER(REGEXREPLACE(D17,""[^A-Za-z]+ "",""""))"),"Groupe Tilkeo")</f>
        <v xml:space="preserve">Groupe Tilkeo</v>
      </c>
      <c r="G11949" s="18" t="s">
        <v>50403</v>
      </c>
      <c r="H11949" s="18">
        <v>37</v>
      </c>
      <c r="I11949" s="18" t="s">
        <v>9239</v>
      </c>
      <c r="J11949" s="18" t="str">
        <f>IFERROR(__XLUDF.DUMMYFUNCTION("VLOOKUP(M17,IMPORTRANGE(""https://docs.google.com/spreadsheets/d/1opm6ZNvGZ7KditA9TuJwrZ25eFLfTNIkrNnY6mhV5Eg"",""list!A1:C115""),3,TRUE)"),"le secteur de la production alimentaire")</f>
        <v xml:space="preserve">le secteur de la production alimentaire</v>
      </c>
      <c r="K11949" s="5" t="s">
        <v>50404</v>
      </c>
      <c r="L11949" s="5" t="s">
        <v>44912</v>
      </c>
      <c r="M11949" s="6"/>
      <c r="N11949" s="18" t="s">
        <v>29</v>
      </c>
      <c r="O11949" s="18" t="s">
        <v>44914</v>
      </c>
      <c r="P11949" s="18" t="s">
        <v>29</v>
      </c>
      <c r="Q11949" s="18" t="s">
        <v>44915</v>
      </c>
      <c r="R11949" s="6"/>
      <c r="S11949" s="6"/>
      <c r="T11949" s="6"/>
      <c r="U11949" s="6"/>
      <c r="V11949" s="6"/>
      <c r="W11949" s="6"/>
      <c r="X11949" s="6"/>
    </row>
    <row r="11950" ht="14.25">
      <c r="B11950" s="18" t="s">
        <v>45449</v>
      </c>
      <c r="C11950" s="18" t="s">
        <v>45450</v>
      </c>
      <c r="D11950" s="18" t="s">
        <v>112</v>
      </c>
      <c r="E11950" s="18" t="s">
        <v>45451</v>
      </c>
      <c r="F11950" s="18" t="str">
        <f>IFERROR(__XLUDF.DUMMYFUNCTION("PROPER(REGEXREPLACE(D18,""[^A-Za-z]+ "",""""))"),"Hproject")</f>
        <v>Hproject</v>
      </c>
      <c r="G11950" s="18" t="s">
        <v>45452</v>
      </c>
      <c r="H11950" s="18">
        <v>11</v>
      </c>
      <c r="I11950" s="18" t="s">
        <v>9239</v>
      </c>
      <c r="J11950" s="18" t="str">
        <f>IFERROR(__XLUDF.DUMMYFUNCTION("VLOOKUP(M18,IMPORTRANGE(""https://docs.google.com/spreadsheets/d/1opm6ZNvGZ7KditA9TuJwrZ25eFLfTNIkrNnY6mhV5Eg"",""list!A1:C115""),3,TRUE)"),"le secteur de la production alimentaire")</f>
        <v xml:space="preserve">le secteur de la production alimentaire</v>
      </c>
      <c r="K11950" s="5" t="s">
        <v>45453</v>
      </c>
      <c r="L11950" s="5" t="s">
        <v>45454</v>
      </c>
      <c r="M11950" s="18" t="s">
        <v>39</v>
      </c>
      <c r="N11950" s="18" t="s">
        <v>29</v>
      </c>
      <c r="O11950" s="18" t="s">
        <v>67</v>
      </c>
      <c r="P11950" s="18" t="s">
        <v>29</v>
      </c>
      <c r="Q11950" s="18" t="s">
        <v>45455</v>
      </c>
      <c r="R11950" s="6"/>
      <c r="S11950" s="6"/>
      <c r="T11950" s="6"/>
      <c r="U11950" s="6"/>
      <c r="V11950" s="6"/>
      <c r="W11950" s="6"/>
      <c r="X11950" s="6"/>
    </row>
    <row r="11951" ht="14.25">
      <c r="B11951" s="18" t="s">
        <v>653</v>
      </c>
      <c r="C11951" s="18" t="s">
        <v>48255</v>
      </c>
      <c r="D11951" s="18" t="s">
        <v>172</v>
      </c>
      <c r="E11951" s="18" t="s">
        <v>48256</v>
      </c>
      <c r="F11951" s="18" t="str">
        <f>IFERROR(__XLUDF.DUMMYFUNCTION("PROPER(REGEXREPLACE(D19,""[^A-Za-z]+ "",""""))"),"Guillet Tp")</f>
        <v xml:space="preserve">Guillet Tp</v>
      </c>
      <c r="G11951" s="18" t="s">
        <v>48257</v>
      </c>
      <c r="H11951" s="18">
        <v>19</v>
      </c>
      <c r="I11951" s="18" t="s">
        <v>9239</v>
      </c>
      <c r="J11951" s="18" t="str">
        <f>IFERROR(__XLUDF.DUMMYFUNCTION("VLOOKUP(M19,IMPORTRANGE(""https://docs.google.com/spreadsheets/d/1opm6ZNvGZ7KditA9TuJwrZ25eFLfTNIkrNnY6mhV5Eg"",""list!A1:C115""),3,TRUE)"),"le secteur de la production alimentaire")</f>
        <v xml:space="preserve">le secteur de la production alimentaire</v>
      </c>
      <c r="K11951" s="5" t="s">
        <v>48258</v>
      </c>
      <c r="L11951" s="5" t="s">
        <v>48259</v>
      </c>
      <c r="M11951" s="18" t="s">
        <v>1711</v>
      </c>
      <c r="N11951" s="18" t="s">
        <v>29</v>
      </c>
      <c r="O11951" s="18" t="s">
        <v>48260</v>
      </c>
      <c r="P11951" s="18" t="s">
        <v>29</v>
      </c>
      <c r="Q11951" s="6"/>
      <c r="R11951" s="6"/>
      <c r="S11951" s="6"/>
      <c r="T11951" s="6"/>
      <c r="U11951" s="6"/>
      <c r="V11951" s="6"/>
      <c r="W11951" s="6"/>
      <c r="X11951" s="6"/>
    </row>
    <row r="11952" ht="14.25">
      <c r="B11952" s="18" t="s">
        <v>46364</v>
      </c>
      <c r="C11952" s="18" t="s">
        <v>46365</v>
      </c>
      <c r="D11952" s="18" t="s">
        <v>1130</v>
      </c>
      <c r="E11952" s="18" t="s">
        <v>46366</v>
      </c>
      <c r="F11952" s="18" t="str">
        <f>IFERROR(__XLUDF.DUMMYFUNCTION("PROPER(REGEXREPLACE(D20,""[^A-Za-z]+ "",""""))"),"Energical")</f>
        <v>Energical</v>
      </c>
      <c r="G11952" s="18" t="s">
        <v>46367</v>
      </c>
      <c r="H11952" s="18">
        <v>18</v>
      </c>
      <c r="I11952" s="18" t="s">
        <v>9239</v>
      </c>
      <c r="J11952" s="18" t="str">
        <f>IFERROR(__XLUDF.DUMMYFUNCTION("VLOOKUP(M20,IMPORTRANGE(""https://docs.google.com/spreadsheets/d/1opm6ZNvGZ7KditA9TuJwrZ25eFLfTNIkrNnY6mhV5Eg"",""list!A1:C115""),3,TRUE)"),"le secteur de la production alimentaire")</f>
        <v xml:space="preserve">le secteur de la production alimentaire</v>
      </c>
      <c r="K11952" s="5" t="s">
        <v>46368</v>
      </c>
      <c r="L11952" s="5" t="s">
        <v>46369</v>
      </c>
      <c r="M11952" s="18" t="s">
        <v>243</v>
      </c>
      <c r="N11952" s="18" t="s">
        <v>29</v>
      </c>
      <c r="O11952" s="18" t="s">
        <v>46370</v>
      </c>
      <c r="P11952" s="18" t="s">
        <v>29</v>
      </c>
      <c r="Q11952" s="6"/>
      <c r="R11952" s="6"/>
      <c r="S11952" s="6"/>
      <c r="T11952" s="6"/>
      <c r="U11952" s="6"/>
      <c r="V11952" s="6"/>
      <c r="W11952" s="6"/>
      <c r="X11952" s="6"/>
    </row>
    <row r="11953" ht="14.25">
      <c r="B11953" s="18" t="s">
        <v>46714</v>
      </c>
      <c r="C11953" s="18" t="s">
        <v>46715</v>
      </c>
      <c r="D11953" s="18" t="s">
        <v>172</v>
      </c>
      <c r="E11953" s="18" t="s">
        <v>46716</v>
      </c>
      <c r="F11953" s="18" t="str">
        <f>IFERROR(__XLUDF.DUMMYFUNCTION("PROPER(REGEXREPLACE(D21,""[^A-Za-z]+ "",""""))"),"Aidf")</f>
        <v>Aidf</v>
      </c>
      <c r="G11953" s="18" t="s">
        <v>46717</v>
      </c>
      <c r="H11953" s="18">
        <v>36</v>
      </c>
      <c r="I11953" s="18" t="s">
        <v>9239</v>
      </c>
      <c r="J11953" s="18" t="str">
        <f>IFERROR(__XLUDF.DUMMYFUNCTION("VLOOKUP(M21,IMPORTRANGE(""https://docs.google.com/spreadsheets/d/1opm6ZNvGZ7KditA9TuJwrZ25eFLfTNIkrNnY6mhV5Eg"",""list!A1:C115""),3,TRUE)"),"le secteur de la production alimentaire")</f>
        <v xml:space="preserve">le secteur de la production alimentaire</v>
      </c>
      <c r="K11953" s="5" t="s">
        <v>46718</v>
      </c>
      <c r="L11953" s="5" t="s">
        <v>46719</v>
      </c>
      <c r="M11953" s="6"/>
      <c r="N11953" s="18" t="s">
        <v>29</v>
      </c>
      <c r="O11953" s="18" t="s">
        <v>228</v>
      </c>
      <c r="P11953" s="18" t="s">
        <v>29</v>
      </c>
      <c r="Q11953" s="18" t="s">
        <v>46720</v>
      </c>
      <c r="R11953" s="6"/>
      <c r="S11953" s="6"/>
      <c r="T11953" s="6"/>
      <c r="U11953" s="6"/>
      <c r="V11953" s="6"/>
      <c r="W11953" s="6"/>
      <c r="X11953" s="6"/>
    </row>
    <row r="11954" ht="14.25">
      <c r="B11954" s="18" t="s">
        <v>2299</v>
      </c>
      <c r="C11954" s="18" t="s">
        <v>16833</v>
      </c>
      <c r="D11954" s="18" t="s">
        <v>172</v>
      </c>
      <c r="E11954" s="18" t="s">
        <v>49701</v>
      </c>
      <c r="F11954" s="18" t="str">
        <f>IFERROR(__XLUDF.DUMMYFUNCTION("PROPER(REGEXREPLACE(D22,""[^A-Za-z]+ "",""""))"),"Armeton")</f>
        <v>Armeton</v>
      </c>
      <c r="G11954" s="18" t="s">
        <v>49702</v>
      </c>
      <c r="H11954" s="18">
        <v>21</v>
      </c>
      <c r="I11954" s="18" t="s">
        <v>9239</v>
      </c>
      <c r="J11954" s="18" t="str">
        <f>IFERROR(__XLUDF.DUMMYFUNCTION("VLOOKUP(M22,IMPORTRANGE(""https://docs.google.com/spreadsheets/d/1opm6ZNvGZ7KditA9TuJwrZ25eFLfTNIkrNnY6mhV5Eg"",""list!A1:C115""),3,TRUE)"),"le secteur de la production alimentaire")</f>
        <v xml:space="preserve">le secteur de la production alimentaire</v>
      </c>
      <c r="K11954" s="5" t="s">
        <v>49703</v>
      </c>
      <c r="L11954" s="5" t="s">
        <v>49704</v>
      </c>
      <c r="M11954" s="18" t="s">
        <v>49705</v>
      </c>
      <c r="N11954" s="18" t="s">
        <v>29</v>
      </c>
      <c r="O11954" s="18" t="s">
        <v>49706</v>
      </c>
      <c r="P11954" s="18" t="s">
        <v>29</v>
      </c>
      <c r="Q11954" s="18" t="s">
        <v>49707</v>
      </c>
      <c r="R11954" s="6"/>
      <c r="S11954" s="6"/>
      <c r="T11954" s="6"/>
      <c r="U11954" s="6"/>
      <c r="V11954" s="6"/>
      <c r="W11954" s="6"/>
      <c r="X11954" s="6"/>
    </row>
    <row r="11955" ht="14.25">
      <c r="B11955" s="18" t="s">
        <v>874</v>
      </c>
      <c r="C11955" s="18" t="s">
        <v>52488</v>
      </c>
      <c r="D11955" s="18" t="s">
        <v>172</v>
      </c>
      <c r="E11955" s="18" t="s">
        <v>52489</v>
      </c>
      <c r="F11955" s="18" t="str">
        <f>IFERROR(__XLUDF.DUMMYFUNCTION("PROPER(REGEXREPLACE(D23,""[^A-Za-z]+ "",""""))"),"Felec")</f>
        <v>Felec</v>
      </c>
      <c r="G11955" s="18" t="s">
        <v>52490</v>
      </c>
      <c r="H11955" s="18">
        <v>12</v>
      </c>
      <c r="I11955" s="18" t="s">
        <v>9239</v>
      </c>
      <c r="J11955" s="18" t="str">
        <f>IFERROR(__XLUDF.DUMMYFUNCTION("VLOOKUP(M23,IMPORTRANGE(""https://docs.google.com/spreadsheets/d/1opm6ZNvGZ7KditA9TuJwrZ25eFLfTNIkrNnY6mhV5Eg"",""list!A1:C115""),3,TRUE)"),"le secteur de la production alimentaire")</f>
        <v xml:space="preserve">le secteur de la production alimentaire</v>
      </c>
      <c r="K11955" s="5" t="s">
        <v>52491</v>
      </c>
      <c r="L11955" s="5" t="s">
        <v>52492</v>
      </c>
      <c r="M11955" s="18" t="s">
        <v>492</v>
      </c>
      <c r="N11955" s="18" t="s">
        <v>29</v>
      </c>
      <c r="O11955" s="18" t="s">
        <v>29</v>
      </c>
      <c r="P11955" s="18" t="s">
        <v>29</v>
      </c>
      <c r="Q11955" s="6"/>
      <c r="R11955" s="6"/>
      <c r="S11955" s="6"/>
      <c r="T11955" s="6"/>
      <c r="U11955" s="6"/>
      <c r="V11955" s="6"/>
      <c r="W11955" s="6"/>
      <c r="X11955" s="6"/>
    </row>
    <row r="11956" ht="14.25">
      <c r="B11956" s="18" t="s">
        <v>4425</v>
      </c>
      <c r="C11956" s="18" t="s">
        <v>45081</v>
      </c>
      <c r="D11956" s="18" t="s">
        <v>164</v>
      </c>
      <c r="E11956" s="18" t="s">
        <v>45082</v>
      </c>
      <c r="F11956" s="18" t="str">
        <f>IFERROR(__XLUDF.DUMMYFUNCTION("PROPER(REGEXREPLACE(D24,""[^A-Za-z]+ "",""""))"),"Ami Bois")</f>
        <v xml:space="preserve">Ami Bois</v>
      </c>
      <c r="G11956" s="18" t="s">
        <v>45083</v>
      </c>
      <c r="H11956" s="18">
        <v>36</v>
      </c>
      <c r="I11956" s="18" t="s">
        <v>9239</v>
      </c>
      <c r="J11956" s="18" t="str">
        <f>IFERROR(__XLUDF.DUMMYFUNCTION("VLOOKUP(M24,IMPORTRANGE(""https://docs.google.com/spreadsheets/d/1opm6ZNvGZ7KditA9TuJwrZ25eFLfTNIkrNnY6mhV5Eg"",""list!A1:C115""),3,TRUE)"),"le secteur de la production alimentaire")</f>
        <v xml:space="preserve">le secteur de la production alimentaire</v>
      </c>
      <c r="K11956" s="5" t="s">
        <v>45084</v>
      </c>
      <c r="L11956" s="5" t="s">
        <v>45085</v>
      </c>
      <c r="M11956" s="18" t="s">
        <v>2354</v>
      </c>
      <c r="N11956" s="18" t="s">
        <v>29</v>
      </c>
      <c r="O11956" s="18" t="s">
        <v>45086</v>
      </c>
      <c r="P11956" s="18" t="s">
        <v>29</v>
      </c>
      <c r="Q11956" s="18" t="s">
        <v>45087</v>
      </c>
      <c r="R11956" s="6"/>
      <c r="S11956" s="6"/>
      <c r="T11956" s="6"/>
      <c r="U11956" s="6"/>
      <c r="V11956" s="6"/>
      <c r="W11956" s="6"/>
      <c r="X11956" s="6"/>
    </row>
    <row r="11957" ht="14.25">
      <c r="B11957" s="18" t="s">
        <v>743</v>
      </c>
      <c r="C11957" s="18" t="s">
        <v>45462</v>
      </c>
      <c r="D11957" s="18" t="s">
        <v>112</v>
      </c>
      <c r="E11957" s="18" t="s">
        <v>45463</v>
      </c>
      <c r="F11957" s="18" t="str">
        <f>IFERROR(__XLUDF.DUMMYFUNCTION("PROPER(REGEXREPLACE(D25,""[^A-Za-z]+ "",""""))"),"Beaufrere-Tp")</f>
        <v>Beaufrere-Tp</v>
      </c>
      <c r="G11957" s="18" t="s">
        <v>45464</v>
      </c>
      <c r="H11957" s="18">
        <v>11</v>
      </c>
      <c r="I11957" s="18" t="s">
        <v>9239</v>
      </c>
      <c r="J11957" s="18" t="str">
        <f>IFERROR(__XLUDF.DUMMYFUNCTION("VLOOKUP(M25,IMPORTRANGE(""https://docs.google.com/spreadsheets/d/1opm6ZNvGZ7KditA9TuJwrZ25eFLfTNIkrNnY6mhV5Eg"",""list!A1:C115""),3,TRUE)"),"le secteur de la production alimentaire")</f>
        <v xml:space="preserve">le secteur de la production alimentaire</v>
      </c>
      <c r="K11957" s="5" t="s">
        <v>45465</v>
      </c>
      <c r="L11957" s="5" t="s">
        <v>45466</v>
      </c>
      <c r="M11957" s="18" t="s">
        <v>185</v>
      </c>
      <c r="N11957" s="18" t="s">
        <v>29</v>
      </c>
      <c r="O11957" s="18" t="s">
        <v>45467</v>
      </c>
      <c r="P11957" s="18" t="s">
        <v>29</v>
      </c>
      <c r="Q11957" s="6"/>
      <c r="R11957" s="6"/>
      <c r="S11957" s="6"/>
      <c r="T11957" s="6"/>
      <c r="U11957" s="6"/>
      <c r="V11957" s="6"/>
      <c r="W11957" s="6"/>
      <c r="X11957" s="6"/>
    </row>
    <row r="11958" ht="14.25">
      <c r="B11958" s="18" t="s">
        <v>743</v>
      </c>
      <c r="C11958" s="18" t="s">
        <v>27880</v>
      </c>
      <c r="D11958" s="18" t="s">
        <v>112</v>
      </c>
      <c r="E11958" s="18" t="s">
        <v>45889</v>
      </c>
      <c r="F11958" s="18" t="str">
        <f>IFERROR(__XLUDF.DUMMYFUNCTION("PROPER(REGEXREPLACE(D26,""[^A-Za-z]+ "",""""))"),"Altius France")</f>
        <v xml:space="preserve">Altius France</v>
      </c>
      <c r="G11958" s="18" t="s">
        <v>48344</v>
      </c>
      <c r="H11958" s="18">
        <v>44</v>
      </c>
      <c r="I11958" s="18" t="s">
        <v>9239</v>
      </c>
      <c r="J11958" s="18" t="str">
        <f>IFERROR(__XLUDF.DUMMYFUNCTION("VLOOKUP(M26,IMPORTRANGE(""https://docs.google.com/spreadsheets/d/1opm6ZNvGZ7KditA9TuJwrZ25eFLfTNIkrNnY6mhV5Eg"",""list!A1:C115""),3,TRUE)"),"le secteur de la production alimentaire")</f>
        <v xml:space="preserve">le secteur de la production alimentaire</v>
      </c>
      <c r="K11958" s="5" t="s">
        <v>48345</v>
      </c>
      <c r="L11958" s="5" t="s">
        <v>45892</v>
      </c>
      <c r="M11958" s="18" t="s">
        <v>423</v>
      </c>
      <c r="N11958" s="18" t="s">
        <v>29</v>
      </c>
      <c r="O11958" s="18" t="s">
        <v>45893</v>
      </c>
      <c r="P11958" s="18" t="s">
        <v>29</v>
      </c>
      <c r="Q11958" s="18" t="s">
        <v>45894</v>
      </c>
      <c r="R11958" s="6"/>
      <c r="S11958" s="6"/>
      <c r="T11958" s="6"/>
      <c r="U11958" s="6"/>
      <c r="V11958" s="6"/>
      <c r="W11958" s="6"/>
      <c r="X11958" s="6"/>
    </row>
    <row r="11959" ht="14.25">
      <c r="B11959" s="18" t="s">
        <v>743</v>
      </c>
      <c r="C11959" s="18" t="s">
        <v>48337</v>
      </c>
      <c r="D11959" s="18" t="s">
        <v>112</v>
      </c>
      <c r="E11959" s="18" t="s">
        <v>48338</v>
      </c>
      <c r="F11959" s="18" t="str">
        <f>IFERROR(__XLUDF.DUMMYFUNCTION("PROPER(REGEXREPLACE(D27,""[^A-Za-z]+ "",""""))"),"Donato Sa")</f>
        <v xml:space="preserve">Donato Sa</v>
      </c>
      <c r="G11959" s="18" t="s">
        <v>48339</v>
      </c>
      <c r="H11959" s="18">
        <v>24</v>
      </c>
      <c r="I11959" s="18" t="s">
        <v>9239</v>
      </c>
      <c r="J11959" s="18" t="str">
        <f>IFERROR(__XLUDF.DUMMYFUNCTION("VLOOKUP(M27,IMPORTRANGE(""https://docs.google.com/spreadsheets/d/1opm6ZNvGZ7KditA9TuJwrZ25eFLfTNIkrNnY6mhV5Eg"",""list!A1:C115""),3,TRUE)"),"le secteur de la production alimentaire")</f>
        <v xml:space="preserve">le secteur de la production alimentaire</v>
      </c>
      <c r="K11959" s="5" t="s">
        <v>55836</v>
      </c>
      <c r="L11959" s="5" t="s">
        <v>48341</v>
      </c>
      <c r="M11959" s="18" t="s">
        <v>39</v>
      </c>
      <c r="N11959" s="18" t="s">
        <v>29</v>
      </c>
      <c r="O11959" s="18" t="s">
        <v>48342</v>
      </c>
      <c r="P11959" s="18" t="s">
        <v>29</v>
      </c>
      <c r="Q11959" s="18" t="s">
        <v>48343</v>
      </c>
      <c r="R11959" s="6"/>
      <c r="S11959" s="6"/>
      <c r="T11959" s="6"/>
      <c r="U11959" s="6"/>
      <c r="V11959" s="6"/>
      <c r="W11959" s="6"/>
      <c r="X11959" s="6"/>
    </row>
    <row r="11960" ht="14.25">
      <c r="B11960" s="18" t="s">
        <v>5252</v>
      </c>
      <c r="C11960" s="18" t="s">
        <v>49222</v>
      </c>
      <c r="D11960" s="18" t="s">
        <v>332</v>
      </c>
      <c r="E11960" s="18" t="s">
        <v>49223</v>
      </c>
      <c r="F11960" s="18" t="str">
        <f>IFERROR(__XLUDF.DUMMYFUNCTION("PROPER(REGEXREPLACE(D28,""[^A-Za-z]+ "",""""))"),"Sicep")</f>
        <v>Sicep</v>
      </c>
      <c r="G11960" s="18" t="s">
        <v>49224</v>
      </c>
      <c r="H11960" s="18">
        <v>20</v>
      </c>
      <c r="I11960" s="18" t="s">
        <v>9239</v>
      </c>
      <c r="J11960" s="18" t="str">
        <f>IFERROR(__XLUDF.DUMMYFUNCTION("VLOOKUP(M28,IMPORTRANGE(""https://docs.google.com/spreadsheets/d/1opm6ZNvGZ7KditA9TuJwrZ25eFLfTNIkrNnY6mhV5Eg"",""list!A1:C115""),3,TRUE)"),"le secteur de la production alimentaire")</f>
        <v xml:space="preserve">le secteur de la production alimentaire</v>
      </c>
      <c r="K11960" s="5" t="s">
        <v>49225</v>
      </c>
      <c r="L11960" s="5" t="s">
        <v>49226</v>
      </c>
      <c r="M11960" s="18" t="s">
        <v>49227</v>
      </c>
      <c r="N11960" s="18" t="s">
        <v>29</v>
      </c>
      <c r="O11960" s="18" t="s">
        <v>49228</v>
      </c>
      <c r="P11960" s="18" t="s">
        <v>29</v>
      </c>
      <c r="Q11960" s="18" t="s">
        <v>49229</v>
      </c>
      <c r="R11960" s="6"/>
      <c r="S11960" s="6"/>
      <c r="T11960" s="6"/>
      <c r="U11960" s="6"/>
      <c r="V11960" s="6"/>
      <c r="W11960" s="6"/>
      <c r="X11960" s="6"/>
    </row>
    <row r="11961" ht="14.25">
      <c r="B11961" s="18" t="s">
        <v>272</v>
      </c>
      <c r="C11961" s="18" t="s">
        <v>46791</v>
      </c>
      <c r="D11961" s="18" t="s">
        <v>468</v>
      </c>
      <c r="E11961" s="18" t="s">
        <v>46792</v>
      </c>
      <c r="F11961" s="18" t="str">
        <f>IFERROR(__XLUDF.DUMMYFUNCTION("PROPER(REGEXREPLACE(D29,""[^A-Za-z]+ "",""""))"),"Willy Naessens France")</f>
        <v xml:space="preserve">Willy Naessens France</v>
      </c>
      <c r="G11961" s="18" t="s">
        <v>46793</v>
      </c>
      <c r="H11961" s="18">
        <v>23</v>
      </c>
      <c r="I11961" s="18" t="s">
        <v>9239</v>
      </c>
      <c r="J11961" s="18" t="str">
        <f>IFERROR(__XLUDF.DUMMYFUNCTION("VLOOKUP(M29,IMPORTRANGE(""https://docs.google.com/spreadsheets/d/1opm6ZNvGZ7KditA9TuJwrZ25eFLfTNIkrNnY6mhV5Eg"",""list!A1:C115""),3,TRUE)"),"le secteur de la production alimentaire")</f>
        <v xml:space="preserve">le secteur de la production alimentaire</v>
      </c>
      <c r="K11961" s="5" t="s">
        <v>46794</v>
      </c>
      <c r="L11961" s="5" t="s">
        <v>46795</v>
      </c>
      <c r="M11961" s="18" t="s">
        <v>846</v>
      </c>
      <c r="N11961" s="18" t="s">
        <v>29</v>
      </c>
      <c r="O11961" s="18" t="s">
        <v>46796</v>
      </c>
      <c r="P11961" s="18" t="s">
        <v>29</v>
      </c>
      <c r="Q11961" s="6"/>
      <c r="R11961" s="6"/>
      <c r="S11961" s="6"/>
      <c r="T11961" s="6"/>
      <c r="U11961" s="6"/>
      <c r="V11961" s="6"/>
      <c r="W11961" s="6"/>
      <c r="X11961" s="6"/>
    </row>
    <row r="11962" ht="14.25">
      <c r="B11962" s="18" t="s">
        <v>3164</v>
      </c>
      <c r="C11962" s="18" t="s">
        <v>52969</v>
      </c>
      <c r="D11962" s="18" t="s">
        <v>52970</v>
      </c>
      <c r="E11962" s="18" t="s">
        <v>52971</v>
      </c>
      <c r="F11962" s="18" t="str">
        <f>IFERROR(__XLUDF.DUMMYFUNCTION("PROPER(REGEXREPLACE(D30,""[^A-Za-z]+ "",""""))"),"Groupe Apb")</f>
        <v xml:space="preserve">Groupe Apb</v>
      </c>
      <c r="G11962" s="18" t="s">
        <v>52972</v>
      </c>
      <c r="H11962" s="18">
        <v>21</v>
      </c>
      <c r="I11962" s="18" t="s">
        <v>9239</v>
      </c>
      <c r="J11962" s="18" t="str">
        <f>IFERROR(__XLUDF.DUMMYFUNCTION("VLOOKUP(M30,IMPORTRANGE(""https://docs.google.com/spreadsheets/d/1opm6ZNvGZ7KditA9TuJwrZ25eFLfTNIkrNnY6mhV5Eg"",""list!A1:C115""),3,TRUE)"),"le secteur de la production alimentaire")</f>
        <v xml:space="preserve">le secteur de la production alimentaire</v>
      </c>
      <c r="K11962" s="5" t="s">
        <v>52973</v>
      </c>
      <c r="L11962" s="5" t="s">
        <v>52974</v>
      </c>
      <c r="M11962" s="18" t="s">
        <v>4296</v>
      </c>
      <c r="N11962" s="18" t="s">
        <v>29</v>
      </c>
      <c r="O11962" s="18" t="s">
        <v>52975</v>
      </c>
      <c r="P11962" s="18" t="s">
        <v>29</v>
      </c>
      <c r="Q11962" s="18" t="s">
        <v>52976</v>
      </c>
      <c r="R11962" s="6"/>
      <c r="S11962" s="6"/>
      <c r="T11962" s="6"/>
      <c r="U11962" s="6"/>
      <c r="V11962" s="6"/>
      <c r="W11962" s="6"/>
      <c r="X11962" s="6"/>
    </row>
    <row r="11963" ht="14.25">
      <c r="B11963" s="18" t="s">
        <v>95</v>
      </c>
      <c r="C11963" s="18" t="s">
        <v>48266</v>
      </c>
      <c r="D11963" s="18" t="s">
        <v>48267</v>
      </c>
      <c r="E11963" s="18" t="s">
        <v>45286</v>
      </c>
      <c r="F11963" s="18" t="str">
        <f>IFERROR(__XLUDF.DUMMYFUNCTION("PROPER(REGEXREPLACE(D31,""[^A-Za-z]+ "",""""))"),"Kenergies")</f>
        <v>Kenergies</v>
      </c>
      <c r="G11963" s="18" t="s">
        <v>48268</v>
      </c>
      <c r="H11963" s="18">
        <v>25</v>
      </c>
      <c r="I11963" s="18" t="s">
        <v>9239</v>
      </c>
      <c r="J11963" s="18" t="str">
        <f>IFERROR(__XLUDF.DUMMYFUNCTION("VLOOKUP(M31,IMPORTRANGE(""https://docs.google.com/spreadsheets/d/1opm6ZNvGZ7KditA9TuJwrZ25eFLfTNIkrNnY6mhV5Eg"",""list!A1:C115""),3,TRUE)"),"le secteur de la production alimentaire")</f>
        <v xml:space="preserve">le secteur de la production alimentaire</v>
      </c>
      <c r="K11963" s="5" t="s">
        <v>48269</v>
      </c>
      <c r="L11963" s="5" t="s">
        <v>45289</v>
      </c>
      <c r="M11963" s="18" t="s">
        <v>1723</v>
      </c>
      <c r="N11963" s="18" t="s">
        <v>29</v>
      </c>
      <c r="O11963" s="18" t="s">
        <v>45290</v>
      </c>
      <c r="P11963" s="18" t="s">
        <v>29</v>
      </c>
      <c r="Q11963" s="18" t="s">
        <v>45291</v>
      </c>
      <c r="R11963" s="6"/>
      <c r="S11963" s="6"/>
      <c r="T11963" s="6"/>
      <c r="U11963" s="6"/>
      <c r="V11963" s="6"/>
      <c r="W11963" s="6"/>
      <c r="X11963" s="6"/>
    </row>
    <row r="11964" ht="14.25">
      <c r="B11964" s="18" t="s">
        <v>95</v>
      </c>
      <c r="C11964" s="18" t="s">
        <v>47156</v>
      </c>
      <c r="D11964" s="18" t="s">
        <v>20181</v>
      </c>
      <c r="E11964" s="18" t="s">
        <v>47157</v>
      </c>
      <c r="F11964" s="18" t="str">
        <f>IFERROR(__XLUDF.DUMMYFUNCTION("PROPER(REGEXREPLACE(D32,""[^A-Za-z]+ "",""""))"),"Rpi")</f>
        <v>Rpi</v>
      </c>
      <c r="G11964" s="18" t="s">
        <v>47158</v>
      </c>
      <c r="H11964" s="18">
        <v>31</v>
      </c>
      <c r="I11964" s="18" t="s">
        <v>9239</v>
      </c>
      <c r="J11964" s="18" t="str">
        <f>IFERROR(__XLUDF.DUMMYFUNCTION("VLOOKUP(M32,IMPORTRANGE(""https://docs.google.com/spreadsheets/d/1opm6ZNvGZ7KditA9TuJwrZ25eFLfTNIkrNnY6mhV5Eg"",""list!A1:C115""),3,TRUE)"),"le secteur de la production alimentaire")</f>
        <v xml:space="preserve">le secteur de la production alimentaire</v>
      </c>
      <c r="K11964" s="5" t="s">
        <v>47159</v>
      </c>
      <c r="L11964" s="5" t="s">
        <v>47160</v>
      </c>
      <c r="M11964" s="18" t="s">
        <v>243</v>
      </c>
      <c r="N11964" s="18" t="s">
        <v>29</v>
      </c>
      <c r="O11964" s="18" t="s">
        <v>47161</v>
      </c>
      <c r="P11964" s="18" t="s">
        <v>29</v>
      </c>
      <c r="Q11964" s="6"/>
      <c r="R11964" s="6"/>
      <c r="S11964" s="6"/>
      <c r="T11964" s="6"/>
      <c r="U11964" s="6"/>
      <c r="V11964" s="6"/>
      <c r="W11964" s="6"/>
      <c r="X11964" s="6"/>
    </row>
    <row r="11965" ht="14.25">
      <c r="B11965" s="18" t="s">
        <v>95</v>
      </c>
      <c r="C11965" s="18" t="s">
        <v>53119</v>
      </c>
      <c r="D11965" s="18" t="s">
        <v>53120</v>
      </c>
      <c r="E11965" s="18" t="s">
        <v>53121</v>
      </c>
      <c r="F11965" s="18" t="str">
        <f>IFERROR(__XLUDF.DUMMYFUNCTION("PROPER(REGEXREPLACE(D33,""[^A-Za-z]+ "",""""))"),"Kermarec")</f>
        <v>Kermarec</v>
      </c>
      <c r="G11965" s="18" t="s">
        <v>53122</v>
      </c>
      <c r="H11965" s="18">
        <v>22</v>
      </c>
      <c r="I11965" s="18" t="s">
        <v>9239</v>
      </c>
      <c r="J11965" s="18" t="str">
        <f>IFERROR(__XLUDF.DUMMYFUNCTION("VLOOKUP(M33,IMPORTRANGE(""https://docs.google.com/spreadsheets/d/1opm6ZNvGZ7KditA9TuJwrZ25eFLfTNIkrNnY6mhV5Eg"",""list!A1:C115""),3,TRUE)"),"le secteur de la production alimentaire")</f>
        <v xml:space="preserve">le secteur de la production alimentaire</v>
      </c>
      <c r="K11965" s="5" t="s">
        <v>53123</v>
      </c>
      <c r="L11965" s="5" t="s">
        <v>53124</v>
      </c>
      <c r="M11965" s="6"/>
      <c r="N11965" s="18" t="s">
        <v>29</v>
      </c>
      <c r="O11965" s="18" t="s">
        <v>53125</v>
      </c>
      <c r="P11965" s="18" t="s">
        <v>29</v>
      </c>
      <c r="Q11965" s="6"/>
      <c r="R11965" s="6"/>
      <c r="S11965" s="6"/>
      <c r="T11965" s="6"/>
      <c r="U11965" s="6"/>
      <c r="V11965" s="6"/>
      <c r="W11965" s="6"/>
      <c r="X11965" s="6"/>
    </row>
    <row r="11966" ht="14.25">
      <c r="B11966" s="18" t="s">
        <v>95</v>
      </c>
      <c r="C11966" s="18" t="s">
        <v>49215</v>
      </c>
      <c r="D11966" s="18" t="s">
        <v>49216</v>
      </c>
      <c r="E11966" s="18" t="s">
        <v>49217</v>
      </c>
      <c r="F11966" s="18" t="str">
        <f>IFERROR(__XLUDF.DUMMYFUNCTION("PROPER(REGEXREPLACE(D34,""[^A-Za-z]+ "",""""))"),"Office Santé")</f>
        <v xml:space="preserve">Office Santé</v>
      </c>
      <c r="G11966" s="18" t="s">
        <v>49218</v>
      </c>
      <c r="H11966" s="18">
        <v>44</v>
      </c>
      <c r="I11966" s="18" t="s">
        <v>9239</v>
      </c>
      <c r="J11966" s="18" t="str">
        <f>IFERROR(__XLUDF.DUMMYFUNCTION("VLOOKUP(M34,IMPORTRANGE(""https://docs.google.com/spreadsheets/d/1opm6ZNvGZ7KditA9TuJwrZ25eFLfTNIkrNnY6mhV5Eg"",""list!A1:C115""),3,TRUE)"),"le secteur de la production alimentaire")</f>
        <v xml:space="preserve">le secteur de la production alimentaire</v>
      </c>
      <c r="K11966" s="5" t="s">
        <v>49219</v>
      </c>
      <c r="L11966" s="5" t="s">
        <v>49220</v>
      </c>
      <c r="M11966" s="18" t="s">
        <v>11278</v>
      </c>
      <c r="N11966" s="18" t="s">
        <v>29</v>
      </c>
      <c r="O11966" s="18" t="s">
        <v>26417</v>
      </c>
      <c r="P11966" s="18" t="s">
        <v>29</v>
      </c>
      <c r="Q11966" s="18" t="s">
        <v>49221</v>
      </c>
      <c r="R11966" s="6"/>
      <c r="S11966" s="6"/>
      <c r="T11966" s="6"/>
      <c r="U11966" s="6"/>
      <c r="V11966" s="6"/>
      <c r="W11966" s="6"/>
      <c r="X11966" s="6"/>
    </row>
    <row r="11967" ht="14.25">
      <c r="B11967" s="18" t="s">
        <v>1654</v>
      </c>
      <c r="C11967" s="18" t="s">
        <v>43315</v>
      </c>
      <c r="D11967" s="18" t="s">
        <v>172</v>
      </c>
      <c r="E11967" s="18" t="s">
        <v>49467</v>
      </c>
      <c r="F11967" s="18" t="str">
        <f>IFERROR(__XLUDF.DUMMYFUNCTION("PROPER(REGEXREPLACE(D35,""[^A-Za-z]+ "",""""))"),"Euromib")</f>
        <v>Euromib</v>
      </c>
      <c r="G11967" s="18" t="s">
        <v>51312</v>
      </c>
      <c r="H11967" s="18">
        <v>13</v>
      </c>
      <c r="I11967" s="18" t="s">
        <v>9239</v>
      </c>
      <c r="J11967" s="18" t="str">
        <f>IFERROR(__XLUDF.DUMMYFUNCTION("VLOOKUP(M35,IMPORTRANGE(""https://docs.google.com/spreadsheets/d/1opm6ZNvGZ7KditA9TuJwrZ25eFLfTNIkrNnY6mhV5Eg"",""list!A1:C115""),3,TRUE)"),"le secteur de la production alimentaire")</f>
        <v xml:space="preserve">le secteur de la production alimentaire</v>
      </c>
      <c r="K11967" s="5" t="s">
        <v>51313</v>
      </c>
      <c r="L11967" s="5" t="s">
        <v>49470</v>
      </c>
      <c r="M11967" s="6"/>
      <c r="N11967" s="18" t="s">
        <v>29</v>
      </c>
      <c r="O11967" s="18" t="s">
        <v>49471</v>
      </c>
      <c r="P11967" s="18" t="s">
        <v>29</v>
      </c>
      <c r="Q11967" s="6"/>
      <c r="R11967" s="6"/>
      <c r="S11967" s="6"/>
      <c r="T11967" s="6"/>
      <c r="U11967" s="6"/>
      <c r="V11967" s="6"/>
      <c r="W11967" s="6"/>
      <c r="X11967" s="6"/>
    </row>
    <row r="11968" ht="14.25">
      <c r="B11968" s="18" t="s">
        <v>874</v>
      </c>
      <c r="C11968" s="18" t="s">
        <v>46087</v>
      </c>
      <c r="D11968" s="18" t="s">
        <v>1130</v>
      </c>
      <c r="E11968" s="18" t="s">
        <v>46088</v>
      </c>
      <c r="F11968" s="18" t="str">
        <f>IFERROR(__XLUDF.DUMMYFUNCTION("PROPER(REGEXREPLACE(D36,""[^A-Za-z]+ "",""""))"),"Femil")</f>
        <v>Femil</v>
      </c>
      <c r="G11968" s="18" t="s">
        <v>46089</v>
      </c>
      <c r="H11968" s="18">
        <v>13</v>
      </c>
      <c r="I11968" s="18" t="s">
        <v>9239</v>
      </c>
      <c r="J11968" s="18" t="str">
        <f>IFERROR(__XLUDF.DUMMYFUNCTION("VLOOKUP(M36,IMPORTRANGE(""https://docs.google.com/spreadsheets/d/1opm6ZNvGZ7KditA9TuJwrZ25eFLfTNIkrNnY6mhV5Eg"",""list!A1:C115""),3,TRUE)"),"le secteur de la production alimentaire")</f>
        <v xml:space="preserve">le secteur de la production alimentaire</v>
      </c>
      <c r="K11968" s="5" t="s">
        <v>46090</v>
      </c>
      <c r="L11968" s="5" t="s">
        <v>46091</v>
      </c>
      <c r="M11968" s="18" t="s">
        <v>46092</v>
      </c>
      <c r="N11968" s="18" t="s">
        <v>29</v>
      </c>
      <c r="O11968" s="18" t="s">
        <v>29</v>
      </c>
      <c r="P11968" s="18" t="s">
        <v>29</v>
      </c>
      <c r="Q11968" s="18" t="s">
        <v>46093</v>
      </c>
      <c r="R11968" s="6"/>
      <c r="S11968" s="6"/>
      <c r="T11968" s="6"/>
      <c r="U11968" s="6"/>
      <c r="V11968" s="6"/>
      <c r="W11968" s="6"/>
      <c r="X11968" s="6"/>
    </row>
    <row r="11969" ht="14.25">
      <c r="B11969" s="18" t="s">
        <v>670</v>
      </c>
      <c r="C11969" s="18" t="s">
        <v>50718</v>
      </c>
      <c r="D11969" s="18" t="s">
        <v>112</v>
      </c>
      <c r="E11969" s="18" t="s">
        <v>50719</v>
      </c>
      <c r="F11969" s="18" t="str">
        <f>IFERROR(__XLUDF.DUMMYFUNCTION("PROPER(REGEXREPLACE(D37,""[^A-Za-z]+ "",""""))"),"Carayon")</f>
        <v>Carayon</v>
      </c>
      <c r="G11969" s="18" t="s">
        <v>50720</v>
      </c>
      <c r="H11969" s="18">
        <v>31</v>
      </c>
      <c r="I11969" s="18" t="s">
        <v>9239</v>
      </c>
      <c r="J11969" s="18" t="str">
        <f>IFERROR(__XLUDF.DUMMYFUNCTION("VLOOKUP(M37,IMPORTRANGE(""https://docs.google.com/spreadsheets/d/1opm6ZNvGZ7KditA9TuJwrZ25eFLfTNIkrNnY6mhV5Eg"",""list!A1:C115""),3,TRUE)"),"le secteur de la production alimentaire")</f>
        <v xml:space="preserve">le secteur de la production alimentaire</v>
      </c>
      <c r="K11969" s="5" t="s">
        <v>50721</v>
      </c>
      <c r="L11969" s="5" t="s">
        <v>50722</v>
      </c>
      <c r="M11969" s="18" t="s">
        <v>11898</v>
      </c>
      <c r="N11969" s="18" t="s">
        <v>29</v>
      </c>
      <c r="O11969" s="18" t="s">
        <v>50723</v>
      </c>
      <c r="P11969" s="18" t="s">
        <v>29</v>
      </c>
      <c r="Q11969" s="6"/>
      <c r="R11969" s="6"/>
      <c r="S11969" s="6"/>
      <c r="T11969" s="6"/>
      <c r="U11969" s="6"/>
      <c r="V11969" s="6"/>
      <c r="W11969" s="6"/>
      <c r="X11969" s="6"/>
    </row>
    <row r="11970" ht="14.25">
      <c r="B11970" s="18" t="s">
        <v>31</v>
      </c>
      <c r="C11970" s="18" t="s">
        <v>52876</v>
      </c>
      <c r="D11970" s="18" t="s">
        <v>112</v>
      </c>
      <c r="E11970" s="18" t="s">
        <v>52877</v>
      </c>
      <c r="F11970" s="18" t="str">
        <f>IFERROR(__XLUDF.DUMMYFUNCTION("PROPER(REGEXREPLACE(D38,""[^A-Za-z]+ "",""""))"),"Antona Et Cofi")</f>
        <v xml:space="preserve">Antona Et Cofi</v>
      </c>
      <c r="G11970" s="18" t="s">
        <v>52878</v>
      </c>
      <c r="H11970" s="18">
        <v>24</v>
      </c>
      <c r="I11970" s="18" t="s">
        <v>9239</v>
      </c>
      <c r="J11970" s="18" t="str">
        <f>IFERROR(__XLUDF.DUMMYFUNCTION("VLOOKUP(M38,IMPORTRANGE(""https://docs.google.com/spreadsheets/d/1opm6ZNvGZ7KditA9TuJwrZ25eFLfTNIkrNnY6mhV5Eg"",""list!A1:C115""),3,TRUE)"),"le secteur de la production alimentaire")</f>
        <v xml:space="preserve">le secteur de la production alimentaire</v>
      </c>
      <c r="K11970" s="5" t="s">
        <v>52879</v>
      </c>
      <c r="L11970" s="5" t="s">
        <v>52880</v>
      </c>
      <c r="M11970" s="18" t="s">
        <v>39</v>
      </c>
      <c r="N11970" s="18" t="s">
        <v>29</v>
      </c>
      <c r="O11970" s="18" t="s">
        <v>52881</v>
      </c>
      <c r="P11970" s="18" t="s">
        <v>29</v>
      </c>
      <c r="Q11970" s="18" t="s">
        <v>52882</v>
      </c>
      <c r="R11970" s="6"/>
      <c r="S11970" s="6"/>
      <c r="T11970" s="6"/>
      <c r="U11970" s="6"/>
      <c r="V11970" s="6"/>
      <c r="W11970" s="6"/>
      <c r="X11970" s="6"/>
    </row>
    <row r="11971" ht="14.25">
      <c r="B11971" s="18" t="s">
        <v>1596</v>
      </c>
      <c r="C11971" s="18" t="s">
        <v>50684</v>
      </c>
      <c r="D11971" s="18" t="s">
        <v>50685</v>
      </c>
      <c r="E11971" s="18" t="s">
        <v>50686</v>
      </c>
      <c r="F11971" s="18" t="str">
        <f>IFERROR(__XLUDF.DUMMYFUNCTION("PROPER(REGEXREPLACE(D39,""[^A-Za-z]+ "",""""))"),"Solosar")</f>
        <v>Solosar</v>
      </c>
      <c r="G11971" s="18" t="s">
        <v>50687</v>
      </c>
      <c r="H11971" s="18">
        <v>10</v>
      </c>
      <c r="I11971" s="18" t="s">
        <v>9239</v>
      </c>
      <c r="J11971" s="18" t="str">
        <f>IFERROR(__XLUDF.DUMMYFUNCTION("VLOOKUP(M39,IMPORTRANGE(""https://docs.google.com/spreadsheets/d/1opm6ZNvGZ7KditA9TuJwrZ25eFLfTNIkrNnY6mhV5Eg"",""list!A1:C115""),3,TRUE)"),"le secteur de la production alimentaire")</f>
        <v xml:space="preserve">le secteur de la production alimentaire</v>
      </c>
      <c r="K11971" s="5" t="s">
        <v>50688</v>
      </c>
      <c r="L11971" s="5" t="s">
        <v>50689</v>
      </c>
      <c r="M11971" s="18" t="s">
        <v>42019</v>
      </c>
      <c r="N11971" s="18" t="s">
        <v>29</v>
      </c>
      <c r="O11971" s="18" t="s">
        <v>50690</v>
      </c>
      <c r="P11971" s="18" t="s">
        <v>29</v>
      </c>
      <c r="Q11971" s="6"/>
      <c r="R11971" s="6"/>
      <c r="S11971" s="6"/>
      <c r="T11971" s="6"/>
      <c r="U11971" s="6"/>
      <c r="V11971" s="6"/>
      <c r="W11971" s="6"/>
      <c r="X11971" s="6"/>
    </row>
    <row r="11972" ht="14.25">
      <c r="B11972" s="18" t="s">
        <v>645</v>
      </c>
      <c r="C11972" s="18" t="s">
        <v>45109</v>
      </c>
      <c r="D11972" s="18" t="s">
        <v>164</v>
      </c>
      <c r="E11972" s="18" t="s">
        <v>45110</v>
      </c>
      <c r="F11972" s="18" t="str">
        <f>IFERROR(__XLUDF.DUMMYFUNCTION("PROPER(REGEXREPLACE(D40,""[^A-Za-z]+ "",""""))"),"Ducré")</f>
        <v>Ducré</v>
      </c>
      <c r="G11972" s="18" t="s">
        <v>45111</v>
      </c>
      <c r="H11972" s="18">
        <v>24</v>
      </c>
      <c r="I11972" s="18" t="s">
        <v>9239</v>
      </c>
      <c r="J11972" s="18" t="str">
        <f>IFERROR(__XLUDF.DUMMYFUNCTION("VLOOKUP(M40,IMPORTRANGE(""https://docs.google.com/spreadsheets/d/1opm6ZNvGZ7KditA9TuJwrZ25eFLfTNIkrNnY6mhV5Eg"",""list!A1:C115""),3,TRUE)"),"le secteur de la production alimentaire")</f>
        <v xml:space="preserve">le secteur de la production alimentaire</v>
      </c>
      <c r="K11972" s="5" t="s">
        <v>45112</v>
      </c>
      <c r="L11972" s="5" t="s">
        <v>45113</v>
      </c>
      <c r="M11972" s="18" t="s">
        <v>45114</v>
      </c>
      <c r="N11972" s="18" t="s">
        <v>29</v>
      </c>
      <c r="O11972" s="18" t="s">
        <v>45115</v>
      </c>
      <c r="P11972" s="18" t="s">
        <v>29</v>
      </c>
      <c r="Q11972" s="18" t="s">
        <v>45116</v>
      </c>
      <c r="R11972" s="6"/>
      <c r="S11972" s="6"/>
      <c r="T11972" s="6"/>
      <c r="U11972" s="6"/>
      <c r="V11972" s="6"/>
      <c r="W11972" s="6"/>
      <c r="X11972" s="6"/>
    </row>
    <row r="11973" ht="14.25">
      <c r="B11973" s="18" t="s">
        <v>49975</v>
      </c>
      <c r="C11973" s="18" t="s">
        <v>9288</v>
      </c>
      <c r="D11973" s="18" t="s">
        <v>172</v>
      </c>
      <c r="E11973" s="18" t="s">
        <v>49976</v>
      </c>
      <c r="F11973" s="18" t="str">
        <f>IFERROR(__XLUDF.DUMMYFUNCTION("PROPER(REGEXREPLACE(D41,""[^A-Za-z]+ "",""""))"),"Secc Ingénierie")</f>
        <v xml:space="preserve">Secc Ingénierie</v>
      </c>
      <c r="G11973" s="18" t="s">
        <v>49977</v>
      </c>
      <c r="H11973" s="18">
        <v>20</v>
      </c>
      <c r="I11973" s="18" t="s">
        <v>9239</v>
      </c>
      <c r="J11973" s="18" t="str">
        <f>IFERROR(__XLUDF.DUMMYFUNCTION("VLOOKUP(M41,IMPORTRANGE(""https://docs.google.com/spreadsheets/d/1opm6ZNvGZ7KditA9TuJwrZ25eFLfTNIkrNnY6mhV5Eg"",""list!A1:C115""),3,TRUE)"),"le secteur de la production alimentaire")</f>
        <v xml:space="preserve">le secteur de la production alimentaire</v>
      </c>
      <c r="K11973" s="5" t="s">
        <v>49978</v>
      </c>
      <c r="L11973" s="5" t="s">
        <v>49979</v>
      </c>
      <c r="M11973" s="18" t="s">
        <v>15667</v>
      </c>
      <c r="N11973" s="18" t="s">
        <v>29</v>
      </c>
      <c r="O11973" s="18" t="s">
        <v>49980</v>
      </c>
      <c r="P11973" s="18" t="s">
        <v>29</v>
      </c>
      <c r="Q11973" s="18" t="s">
        <v>49981</v>
      </c>
      <c r="R11973" s="6"/>
      <c r="S11973" s="6"/>
      <c r="T11973" s="6"/>
      <c r="U11973" s="6"/>
      <c r="V11973" s="6"/>
      <c r="W11973" s="6"/>
      <c r="X11973" s="6"/>
    </row>
    <row r="11974" ht="14.25">
      <c r="B11974" s="18" t="s">
        <v>29037</v>
      </c>
      <c r="C11974" s="18" t="s">
        <v>48426</v>
      </c>
      <c r="D11974" s="18" t="s">
        <v>172</v>
      </c>
      <c r="E11974" s="18" t="s">
        <v>48427</v>
      </c>
      <c r="F11974" s="18" t="str">
        <f>IFERROR(__XLUDF.DUMMYFUNCTION("PROPER(REGEXREPLACE(D42,""[^A-Za-z]+ "",""""))"),"Chanel Rénovation")</f>
        <v xml:space="preserve">Chanel Rénovation</v>
      </c>
      <c r="G11974" s="18" t="s">
        <v>48428</v>
      </c>
      <c r="H11974" s="18">
        <v>72</v>
      </c>
      <c r="I11974" s="18" t="s">
        <v>9239</v>
      </c>
      <c r="J11974" s="18" t="str">
        <f>IFERROR(__XLUDF.DUMMYFUNCTION("VLOOKUP(M42,IMPORTRANGE(""https://docs.google.com/spreadsheets/d/1opm6ZNvGZ7KditA9TuJwrZ25eFLfTNIkrNnY6mhV5Eg"",""list!A1:C115""),3,TRUE)"),"le secteur de la production alimentaire")</f>
        <v xml:space="preserve">le secteur de la production alimentaire</v>
      </c>
      <c r="K11974" s="5" t="s">
        <v>48429</v>
      </c>
      <c r="L11974" s="5" t="s">
        <v>48430</v>
      </c>
      <c r="M11974" s="18" t="s">
        <v>482</v>
      </c>
      <c r="N11974" s="18" t="s">
        <v>29</v>
      </c>
      <c r="O11974" s="18" t="s">
        <v>48431</v>
      </c>
      <c r="P11974" s="18" t="s">
        <v>29</v>
      </c>
      <c r="Q11974" s="18" t="s">
        <v>48432</v>
      </c>
      <c r="R11974" s="6"/>
      <c r="S11974" s="6"/>
      <c r="T11974" s="6"/>
      <c r="U11974" s="6"/>
      <c r="V11974" s="6"/>
      <c r="W11974" s="6"/>
      <c r="X11974" s="6"/>
    </row>
    <row r="11975" ht="14.25">
      <c r="B11975" s="18" t="s">
        <v>3850</v>
      </c>
      <c r="C11975" s="18" t="s">
        <v>44885</v>
      </c>
      <c r="D11975" s="18" t="s">
        <v>3982</v>
      </c>
      <c r="E11975" s="18" t="s">
        <v>44886</v>
      </c>
      <c r="F11975" s="18" t="str">
        <f>IFERROR(__XLUDF.DUMMYFUNCTION("PROPER(REGEXREPLACE(D43,""[^A-Za-z]+ "",""""))"),"Cobeima")</f>
        <v>Cobeima</v>
      </c>
      <c r="G11975" s="18" t="s">
        <v>44887</v>
      </c>
      <c r="H11975" s="18">
        <v>25</v>
      </c>
      <c r="I11975" s="18" t="s">
        <v>9239</v>
      </c>
      <c r="J11975" s="18" t="str">
        <f>IFERROR(__XLUDF.DUMMYFUNCTION("VLOOKUP(M43,IMPORTRANGE(""https://docs.google.com/spreadsheets/d/1opm6ZNvGZ7KditA9TuJwrZ25eFLfTNIkrNnY6mhV5Eg"",""list!A1:C115""),3,TRUE)"),"le secteur de la production alimentaire")</f>
        <v xml:space="preserve">le secteur de la production alimentaire</v>
      </c>
      <c r="K11975" s="5" t="s">
        <v>44888</v>
      </c>
      <c r="L11975" s="5" t="s">
        <v>44889</v>
      </c>
      <c r="M11975" s="18" t="s">
        <v>492</v>
      </c>
      <c r="N11975" s="18" t="s">
        <v>29</v>
      </c>
      <c r="O11975" s="18" t="s">
        <v>44890</v>
      </c>
      <c r="P11975" s="18" t="s">
        <v>29</v>
      </c>
      <c r="Q11975" s="6"/>
      <c r="R11975" s="6"/>
      <c r="S11975" s="6"/>
      <c r="T11975" s="6"/>
      <c r="U11975" s="6"/>
      <c r="V11975" s="6"/>
      <c r="W11975" s="6"/>
      <c r="X11975" s="6"/>
    </row>
    <row r="11976" ht="14.25">
      <c r="B11976" s="18" t="s">
        <v>630</v>
      </c>
      <c r="C11976" s="18" t="s">
        <v>48756</v>
      </c>
      <c r="D11976" s="18" t="s">
        <v>3982</v>
      </c>
      <c r="E11976" s="18" t="s">
        <v>48757</v>
      </c>
      <c r="F11976" s="18" t="str">
        <f>IFERROR(__XLUDF.DUMMYFUNCTION("PROPER(REGEXREPLACE(D44,""[^A-Za-z]+ "",""""))"),"Pr Industrie")</f>
        <v xml:space="preserve">Pr Industrie</v>
      </c>
      <c r="G11976" s="18" t="s">
        <v>48758</v>
      </c>
      <c r="H11976" s="18">
        <v>13</v>
      </c>
      <c r="I11976" s="18" t="s">
        <v>9239</v>
      </c>
      <c r="J11976" s="18" t="str">
        <f>IFERROR(__XLUDF.DUMMYFUNCTION("VLOOKUP(M44,IMPORTRANGE(""https://docs.google.com/spreadsheets/d/1opm6ZNvGZ7KditA9TuJwrZ25eFLfTNIkrNnY6mhV5Eg"",""list!A1:C115""),3,TRUE)"),"le secteur de la production alimentaire")</f>
        <v xml:space="preserve">le secteur de la production alimentaire</v>
      </c>
      <c r="K11976" s="5" t="s">
        <v>48759</v>
      </c>
      <c r="L11976" s="5" t="s">
        <v>48760</v>
      </c>
      <c r="M11976" s="18" t="s">
        <v>149</v>
      </c>
      <c r="N11976" s="18" t="s">
        <v>29</v>
      </c>
      <c r="O11976" s="18" t="s">
        <v>48761</v>
      </c>
      <c r="P11976" s="18" t="s">
        <v>29</v>
      </c>
      <c r="Q11976" s="18" t="s">
        <v>48762</v>
      </c>
      <c r="R11976" s="6"/>
      <c r="S11976" s="6"/>
      <c r="T11976" s="6"/>
      <c r="U11976" s="6"/>
      <c r="V11976" s="6"/>
      <c r="W11976" s="6"/>
      <c r="X11976" s="6"/>
    </row>
    <row r="11977" ht="14.25">
      <c r="B11977" s="18" t="s">
        <v>3271</v>
      </c>
      <c r="C11977" s="18" t="s">
        <v>45718</v>
      </c>
      <c r="D11977" s="18" t="s">
        <v>45719</v>
      </c>
      <c r="E11977" s="18" t="s">
        <v>45720</v>
      </c>
      <c r="F11977" s="18" t="str">
        <f>IFERROR(__XLUDF.DUMMYFUNCTION("PROPER(REGEXREPLACE(D45,""[^A-Za-z]+ "",""""))"),"Sas Garabos")</f>
        <v xml:space="preserve">Sas Garabos</v>
      </c>
      <c r="G11977" s="18" t="s">
        <v>45721</v>
      </c>
      <c r="H11977" s="18">
        <v>10</v>
      </c>
      <c r="I11977" s="18" t="s">
        <v>9239</v>
      </c>
      <c r="J11977" s="18" t="str">
        <f>IFERROR(__XLUDF.DUMMYFUNCTION("VLOOKUP(M45,IMPORTRANGE(""https://docs.google.com/spreadsheets/d/1opm6ZNvGZ7KditA9TuJwrZ25eFLfTNIkrNnY6mhV5Eg"",""list!A1:C115""),3,TRUE)"),"le secteur de la production alimentaire")</f>
        <v xml:space="preserve">le secteur de la production alimentaire</v>
      </c>
      <c r="K11977" s="5" t="s">
        <v>45722</v>
      </c>
      <c r="L11977" s="5" t="s">
        <v>45723</v>
      </c>
      <c r="M11977" s="18" t="s">
        <v>243</v>
      </c>
      <c r="N11977" s="18" t="s">
        <v>29</v>
      </c>
      <c r="O11977" s="18" t="s">
        <v>45724</v>
      </c>
      <c r="P11977" s="18" t="s">
        <v>29</v>
      </c>
      <c r="Q11977" s="6"/>
      <c r="R11977" s="6"/>
      <c r="S11977" s="6"/>
      <c r="T11977" s="6"/>
      <c r="U11977" s="6"/>
      <c r="V11977" s="6"/>
      <c r="W11977" s="6"/>
      <c r="X11977" s="6"/>
    </row>
    <row r="11978" ht="14.25">
      <c r="B11978" s="18" t="s">
        <v>630</v>
      </c>
      <c r="C11978" s="18" t="s">
        <v>785</v>
      </c>
      <c r="D11978" s="18" t="s">
        <v>172</v>
      </c>
      <c r="E11978" s="18" t="s">
        <v>48718</v>
      </c>
      <c r="F11978" s="18" t="str">
        <f>IFERROR(__XLUDF.DUMMYFUNCTION("PROPER(REGEXREPLACE(D46,""[^A-Za-z]+ "",""""))"),"Sud Est Prevention")</f>
        <v xml:space="preserve">Sud Est Prevention</v>
      </c>
      <c r="G11978" s="18" t="s">
        <v>48719</v>
      </c>
      <c r="H11978" s="18">
        <v>20</v>
      </c>
      <c r="I11978" s="18" t="s">
        <v>9239</v>
      </c>
      <c r="J11978" s="18" t="str">
        <f>IFERROR(__XLUDF.DUMMYFUNCTION("VLOOKUP(M46,IMPORTRANGE(""https://docs.google.com/spreadsheets/d/1opm6ZNvGZ7KditA9TuJwrZ25eFLfTNIkrNnY6mhV5Eg"",""list!A1:C115""),3,TRUE)"),"le secteur de la production alimentaire")</f>
        <v xml:space="preserve">le secteur de la production alimentaire</v>
      </c>
      <c r="K11978" s="5" t="s">
        <v>48720</v>
      </c>
      <c r="L11978" s="5" t="s">
        <v>48721</v>
      </c>
      <c r="M11978" s="18" t="s">
        <v>482</v>
      </c>
      <c r="N11978" s="18" t="s">
        <v>29</v>
      </c>
      <c r="O11978" s="18" t="s">
        <v>48722</v>
      </c>
      <c r="P11978" s="18" t="s">
        <v>29</v>
      </c>
      <c r="Q11978" s="6"/>
      <c r="R11978" s="6"/>
      <c r="S11978" s="6"/>
      <c r="T11978" s="6"/>
      <c r="U11978" s="6"/>
      <c r="V11978" s="6"/>
      <c r="W11978" s="6"/>
      <c r="X11978" s="6"/>
    </row>
    <row r="11979" ht="14.25">
      <c r="B11979" s="18" t="s">
        <v>817</v>
      </c>
      <c r="C11979" s="18" t="s">
        <v>50460</v>
      </c>
      <c r="D11979" s="18" t="s">
        <v>172</v>
      </c>
      <c r="E11979" s="18" t="s">
        <v>50461</v>
      </c>
      <c r="F11979" s="18" t="str">
        <f>IFERROR(__XLUDF.DUMMYFUNCTION("PROPER(REGEXREPLACE(D47,""[^A-Za-z]+ "",""""))"),"3S Equipements Routiers")</f>
        <v xml:space="preserve">3S Equipements Routiers</v>
      </c>
      <c r="G11979" s="18" t="s">
        <v>50462</v>
      </c>
      <c r="H11979" s="18">
        <v>35</v>
      </c>
      <c r="I11979" s="18" t="s">
        <v>9239</v>
      </c>
      <c r="J11979" s="18" t="str">
        <f>IFERROR(__XLUDF.DUMMYFUNCTION("VLOOKUP(M47,IMPORTRANGE(""https://docs.google.com/spreadsheets/d/1opm6ZNvGZ7KditA9TuJwrZ25eFLfTNIkrNnY6mhV5Eg"",""list!A1:C115""),3,TRUE)"),"le secteur de la production alimentaire")</f>
        <v xml:space="preserve">le secteur de la production alimentaire</v>
      </c>
      <c r="K11979" s="5" t="s">
        <v>50463</v>
      </c>
      <c r="L11979" s="5" t="s">
        <v>50464</v>
      </c>
      <c r="M11979" s="18" t="s">
        <v>83</v>
      </c>
      <c r="N11979" s="18" t="s">
        <v>29</v>
      </c>
      <c r="O11979" s="18" t="s">
        <v>50465</v>
      </c>
      <c r="P11979" s="18" t="s">
        <v>29</v>
      </c>
      <c r="Q11979" s="6"/>
      <c r="R11979" s="6"/>
      <c r="S11979" s="6"/>
      <c r="T11979" s="6"/>
      <c r="U11979" s="6"/>
      <c r="V11979" s="6"/>
      <c r="W11979" s="6"/>
      <c r="X11979" s="6"/>
    </row>
    <row r="11980" ht="14.25">
      <c r="B11980" s="18" t="s">
        <v>52652</v>
      </c>
      <c r="C11980" s="18" t="s">
        <v>52653</v>
      </c>
      <c r="D11980" s="18" t="s">
        <v>112</v>
      </c>
      <c r="E11980" s="18" t="s">
        <v>52654</v>
      </c>
      <c r="F11980" s="18" t="str">
        <f>IFERROR(__XLUDF.DUMMYFUNCTION("PROPER(REGEXREPLACE(D48,""[^A-Za-z]+ "",""""))"),"A.B.T.'")</f>
        <v>A.B.T.'</v>
      </c>
      <c r="G11980" s="18" t="s">
        <v>52655</v>
      </c>
      <c r="H11980" s="18">
        <v>13</v>
      </c>
      <c r="I11980" s="18" t="s">
        <v>9239</v>
      </c>
      <c r="J11980" s="18" t="str">
        <f>IFERROR(__XLUDF.DUMMYFUNCTION("VLOOKUP(M48,IMPORTRANGE(""https://docs.google.com/spreadsheets/d/1opm6ZNvGZ7KditA9TuJwrZ25eFLfTNIkrNnY6mhV5Eg"",""list!A1:C115""),3,TRUE)"),"le secteur de la production alimentaire")</f>
        <v xml:space="preserve">le secteur de la production alimentaire</v>
      </c>
      <c r="K11980" s="5" t="s">
        <v>52656</v>
      </c>
      <c r="L11980" s="5" t="s">
        <v>52657</v>
      </c>
      <c r="M11980" s="18" t="s">
        <v>585</v>
      </c>
      <c r="N11980" s="18" t="s">
        <v>29</v>
      </c>
      <c r="O11980" s="18" t="s">
        <v>41760</v>
      </c>
      <c r="P11980" s="18" t="s">
        <v>29</v>
      </c>
      <c r="Q11980" s="6"/>
      <c r="R11980" s="6"/>
      <c r="S11980" s="6"/>
      <c r="T11980" s="6"/>
      <c r="U11980" s="6"/>
      <c r="V11980" s="6"/>
      <c r="W11980" s="6"/>
      <c r="X11980" s="6"/>
    </row>
    <row r="11981" ht="14.25">
      <c r="B11981" s="18" t="s">
        <v>817</v>
      </c>
      <c r="C11981" s="18" t="s">
        <v>8041</v>
      </c>
      <c r="D11981" s="18" t="s">
        <v>487</v>
      </c>
      <c r="E11981" s="18" t="s">
        <v>49491</v>
      </c>
      <c r="F11981" s="18" t="str">
        <f>IFERROR(__XLUDF.DUMMYFUNCTION("PROPER(REGEXREPLACE(D49,""[^A-Za-z]+ "",""""))"),"Renobat Paca")</f>
        <v xml:space="preserve">Renobat Paca</v>
      </c>
      <c r="G11981" s="18" t="s">
        <v>49492</v>
      </c>
      <c r="H11981" s="18">
        <v>14</v>
      </c>
      <c r="I11981" s="18" t="s">
        <v>9239</v>
      </c>
      <c r="J11981" s="18" t="str">
        <f>IFERROR(__XLUDF.DUMMYFUNCTION("VLOOKUP(M49,IMPORTRANGE(""https://docs.google.com/spreadsheets/d/1opm6ZNvGZ7KditA9TuJwrZ25eFLfTNIkrNnY6mhV5Eg"",""list!A1:C115""),3,TRUE)"),"le secteur de la production alimentaire")</f>
        <v xml:space="preserve">le secteur de la production alimentaire</v>
      </c>
      <c r="K11981" s="5" t="s">
        <v>49493</v>
      </c>
      <c r="L11981" s="5" t="s">
        <v>49494</v>
      </c>
      <c r="M11981" s="18" t="s">
        <v>7965</v>
      </c>
      <c r="N11981" s="18" t="s">
        <v>29</v>
      </c>
      <c r="O11981" s="18" t="s">
        <v>49495</v>
      </c>
      <c r="P11981" s="18" t="s">
        <v>29</v>
      </c>
      <c r="Q11981" s="18" t="s">
        <v>49496</v>
      </c>
      <c r="R11981" s="6"/>
      <c r="S11981" s="6"/>
      <c r="T11981" s="6"/>
      <c r="U11981" s="6"/>
      <c r="V11981" s="6"/>
      <c r="W11981" s="6"/>
      <c r="X11981" s="6"/>
    </row>
    <row r="11982" ht="14.25">
      <c r="B11982" s="18" t="s">
        <v>630</v>
      </c>
      <c r="C11982" s="18" t="s">
        <v>51166</v>
      </c>
      <c r="D11982" s="18" t="s">
        <v>14574</v>
      </c>
      <c r="E11982" s="18" t="s">
        <v>51167</v>
      </c>
      <c r="F11982" s="18" t="str">
        <f>IFERROR(__XLUDF.DUMMYFUNCTION("PROPER(REGEXREPLACE(D50,""[^A-Za-z]+ "",""""))"),"Seemo Promoteur Nouvelle Génération")</f>
        <v xml:space="preserve">Seemo Promoteur Nouvelle Génération</v>
      </c>
      <c r="G11982" s="18" t="s">
        <v>51168</v>
      </c>
      <c r="H11982" s="18">
        <v>22</v>
      </c>
      <c r="I11982" s="18" t="s">
        <v>9239</v>
      </c>
      <c r="J11982" s="18" t="str">
        <f>IFERROR(__XLUDF.DUMMYFUNCTION("VLOOKUP(M50,IMPORTRANGE(""https://docs.google.com/spreadsheets/d/1opm6ZNvGZ7KditA9TuJwrZ25eFLfTNIkrNnY6mhV5Eg"",""list!A1:C115""),3,TRUE)"),"le secteur de la production alimentaire")</f>
        <v xml:space="preserve">le secteur de la production alimentaire</v>
      </c>
      <c r="K11982" s="5" t="s">
        <v>51169</v>
      </c>
      <c r="L11982" s="5" t="s">
        <v>51170</v>
      </c>
      <c r="M11982" s="18" t="s">
        <v>39</v>
      </c>
      <c r="N11982" s="18" t="s">
        <v>29</v>
      </c>
      <c r="O11982" s="18" t="s">
        <v>51171</v>
      </c>
      <c r="P11982" s="18" t="s">
        <v>29</v>
      </c>
      <c r="Q11982" s="18" t="s">
        <v>51172</v>
      </c>
      <c r="R11982" s="6"/>
      <c r="S11982" s="6"/>
      <c r="T11982" s="6"/>
      <c r="U11982" s="6"/>
      <c r="V11982" s="6"/>
      <c r="W11982" s="6"/>
      <c r="X11982" s="6"/>
    </row>
    <row r="11983" ht="14.25">
      <c r="B11983" s="18" t="s">
        <v>6634</v>
      </c>
      <c r="C11983" s="18" t="s">
        <v>50512</v>
      </c>
      <c r="D11983" s="18" t="s">
        <v>112</v>
      </c>
      <c r="E11983" s="18" t="s">
        <v>50513</v>
      </c>
      <c r="F11983" s="18" t="str">
        <f>IFERROR(__XLUDF.DUMMYFUNCTION("PROPER(REGEXREPLACE(D51,""[^A-Za-z]+ "",""""))"),"Contant S.A.S")</f>
        <v xml:space="preserve">Contant S.A.S</v>
      </c>
      <c r="G11983" s="18" t="s">
        <v>50514</v>
      </c>
      <c r="H11983" s="18">
        <v>18</v>
      </c>
      <c r="I11983" s="18" t="s">
        <v>9239</v>
      </c>
      <c r="J11983" s="18" t="str">
        <f>IFERROR(__XLUDF.DUMMYFUNCTION("VLOOKUP(M51,IMPORTRANGE(""https://docs.google.com/spreadsheets/d/1opm6ZNvGZ7KditA9TuJwrZ25eFLfTNIkrNnY6mhV5Eg"",""list!A1:C115""),3,TRUE)"),"le secteur de la production alimentaire")</f>
        <v xml:space="preserve">le secteur de la production alimentaire</v>
      </c>
      <c r="K11983" s="5" t="s">
        <v>50515</v>
      </c>
      <c r="L11983" s="5" t="s">
        <v>50516</v>
      </c>
      <c r="M11983" s="6"/>
      <c r="N11983" s="18" t="s">
        <v>29</v>
      </c>
      <c r="O11983" s="18" t="s">
        <v>50517</v>
      </c>
      <c r="P11983" s="18" t="s">
        <v>29</v>
      </c>
      <c r="Q11983" s="18" t="s">
        <v>50518</v>
      </c>
      <c r="R11983" s="6"/>
      <c r="S11983" s="6"/>
      <c r="T11983" s="6"/>
      <c r="U11983" s="6"/>
      <c r="V11983" s="6"/>
      <c r="W11983" s="6"/>
      <c r="X11983" s="6"/>
    </row>
    <row r="11984" ht="14.25">
      <c r="B11984" s="18" t="s">
        <v>6634</v>
      </c>
      <c r="C11984" s="18" t="s">
        <v>46074</v>
      </c>
      <c r="D11984" s="18" t="s">
        <v>1130</v>
      </c>
      <c r="E11984" s="18" t="s">
        <v>46075</v>
      </c>
      <c r="F11984" s="18" t="str">
        <f>IFERROR(__XLUDF.DUMMYFUNCTION("PROPER(REGEXREPLACE(D52,""[^A-Za-z]+ "",""""))"),"Les Nouveaux Batisseurs Associes")</f>
        <v xml:space="preserve">Les Nouveaux Batisseurs Associes</v>
      </c>
      <c r="G11984" s="18" t="s">
        <v>46076</v>
      </c>
      <c r="H11984" s="18">
        <v>23</v>
      </c>
      <c r="I11984" s="18" t="s">
        <v>9239</v>
      </c>
      <c r="J11984" s="18" t="str">
        <f>IFERROR(__XLUDF.DUMMYFUNCTION("VLOOKUP(M52,IMPORTRANGE(""https://docs.google.com/spreadsheets/d/1opm6ZNvGZ7KditA9TuJwrZ25eFLfTNIkrNnY6mhV5Eg"",""list!A1:C115""),3,TRUE)"),"le secteur de la production alimentaire")</f>
        <v xml:space="preserve">le secteur de la production alimentaire</v>
      </c>
      <c r="K11984" s="5" t="s">
        <v>46077</v>
      </c>
      <c r="L11984" s="5" t="s">
        <v>46078</v>
      </c>
      <c r="M11984" s="6"/>
      <c r="N11984" s="18" t="s">
        <v>29</v>
      </c>
      <c r="O11984" s="18" t="s">
        <v>24493</v>
      </c>
      <c r="P11984" s="18" t="s">
        <v>29</v>
      </c>
      <c r="Q11984" s="6"/>
      <c r="R11984" s="6"/>
      <c r="S11984" s="6"/>
      <c r="T11984" s="6"/>
      <c r="U11984" s="6"/>
      <c r="V11984" s="6"/>
      <c r="W11984" s="6"/>
      <c r="X11984" s="6"/>
    </row>
    <row r="11985" ht="14.25">
      <c r="B11985" s="18" t="s">
        <v>4977</v>
      </c>
      <c r="C11985" s="18" t="s">
        <v>28006</v>
      </c>
      <c r="D11985" s="18" t="s">
        <v>172</v>
      </c>
      <c r="E11985" s="18" t="s">
        <v>48712</v>
      </c>
      <c r="F11985" s="18" t="str">
        <f>IFERROR(__XLUDF.DUMMYFUNCTION("PROPER(REGEXREPLACE(D53,""[^A-Za-z]+ "",""""))"),"Stim Technibat")</f>
        <v xml:space="preserve">Stim Technibat</v>
      </c>
      <c r="G11985" s="18" t="s">
        <v>48713</v>
      </c>
      <c r="H11985" s="18">
        <v>17</v>
      </c>
      <c r="I11985" s="18" t="s">
        <v>9239</v>
      </c>
      <c r="J11985" s="18" t="str">
        <f>IFERROR(__XLUDF.DUMMYFUNCTION("VLOOKUP(M53,IMPORTRANGE(""https://docs.google.com/spreadsheets/d/1opm6ZNvGZ7KditA9TuJwrZ25eFLfTNIkrNnY6mhV5Eg"",""list!A1:C115""),3,TRUE)"),"le secteur de la production alimentaire")</f>
        <v xml:space="preserve">le secteur de la production alimentaire</v>
      </c>
      <c r="K11985" s="5" t="s">
        <v>48714</v>
      </c>
      <c r="L11985" s="5" t="s">
        <v>48715</v>
      </c>
      <c r="M11985" s="18" t="s">
        <v>39</v>
      </c>
      <c r="N11985" s="18" t="s">
        <v>29</v>
      </c>
      <c r="O11985" s="18" t="s">
        <v>48716</v>
      </c>
      <c r="P11985" s="18" t="s">
        <v>29</v>
      </c>
      <c r="Q11985" s="18" t="s">
        <v>48717</v>
      </c>
      <c r="R11985" s="6"/>
      <c r="S11985" s="6"/>
      <c r="T11985" s="6"/>
      <c r="U11985" s="6"/>
      <c r="V11985" s="6"/>
      <c r="W11985" s="6"/>
      <c r="X11985" s="6"/>
    </row>
    <row r="11986" ht="14.25">
      <c r="B11986" s="18" t="s">
        <v>1324</v>
      </c>
      <c r="C11986" s="18" t="s">
        <v>52087</v>
      </c>
      <c r="D11986" s="18" t="s">
        <v>52088</v>
      </c>
      <c r="E11986" s="18" t="s">
        <v>52089</v>
      </c>
      <c r="F11986" s="18" t="str">
        <f>IFERROR(__XLUDF.DUMMYFUNCTION("PROPER(REGEXREPLACE(D54,""[^A-Za-z]+ "",""""))"),"Biom Energies")</f>
        <v xml:space="preserve">Biom Energies</v>
      </c>
      <c r="G11986" s="18" t="s">
        <v>52090</v>
      </c>
      <c r="H11986" s="18">
        <v>11</v>
      </c>
      <c r="I11986" s="18" t="s">
        <v>9239</v>
      </c>
      <c r="J11986" s="18" t="str">
        <f>IFERROR(__XLUDF.DUMMYFUNCTION("VLOOKUP(M54,IMPORTRANGE(""https://docs.google.com/spreadsheets/d/1opm6ZNvGZ7KditA9TuJwrZ25eFLfTNIkrNnY6mhV5Eg"",""list!A1:C115""),3,TRUE)"),"le secteur de la production alimentaire")</f>
        <v xml:space="preserve">le secteur de la production alimentaire</v>
      </c>
      <c r="K11986" s="5" t="s">
        <v>52091</v>
      </c>
      <c r="L11986" s="5" t="s">
        <v>52092</v>
      </c>
      <c r="M11986" s="18" t="s">
        <v>3285</v>
      </c>
      <c r="N11986" s="18" t="s">
        <v>29</v>
      </c>
      <c r="O11986" s="18" t="s">
        <v>52093</v>
      </c>
      <c r="P11986" s="18" t="s">
        <v>29</v>
      </c>
      <c r="Q11986" s="6"/>
      <c r="R11986" s="6"/>
      <c r="S11986" s="6"/>
      <c r="T11986" s="6"/>
      <c r="U11986" s="6"/>
      <c r="V11986" s="6"/>
      <c r="W11986" s="6"/>
      <c r="X11986" s="6"/>
    </row>
    <row r="11987" ht="14.25">
      <c r="B11987" s="18" t="s">
        <v>1324</v>
      </c>
      <c r="C11987" s="18" t="s">
        <v>46245</v>
      </c>
      <c r="D11987" s="18" t="s">
        <v>172</v>
      </c>
      <c r="E11987" s="18" t="s">
        <v>46246</v>
      </c>
      <c r="F11987" s="18" t="str">
        <f>IFERROR(__XLUDF.DUMMYFUNCTION("PROPER(REGEXREPLACE(D55,""[^A-Za-z]+ "",""""))"),"Groupe Saint Leonard")</f>
        <v xml:space="preserve">Groupe Saint Leonard</v>
      </c>
      <c r="G11987" s="18" t="s">
        <v>46247</v>
      </c>
      <c r="H11987" s="18">
        <v>37</v>
      </c>
      <c r="I11987" s="18" t="s">
        <v>9239</v>
      </c>
      <c r="J11987" s="18" t="str">
        <f>IFERROR(__XLUDF.DUMMYFUNCTION("VLOOKUP(M55,IMPORTRANGE(""https://docs.google.com/spreadsheets/d/1opm6ZNvGZ7KditA9TuJwrZ25eFLfTNIkrNnY6mhV5Eg"",""list!A1:C115""),3,TRUE)"),"le secteur de la production alimentaire")</f>
        <v xml:space="preserve">le secteur de la production alimentaire</v>
      </c>
      <c r="K11987" s="5" t="s">
        <v>46248</v>
      </c>
      <c r="L11987" s="5" t="s">
        <v>46249</v>
      </c>
      <c r="M11987" s="18" t="s">
        <v>46250</v>
      </c>
      <c r="N11987" s="18" t="s">
        <v>29</v>
      </c>
      <c r="O11987" s="18" t="s">
        <v>46251</v>
      </c>
      <c r="P11987" s="18" t="s">
        <v>29</v>
      </c>
      <c r="Q11987" s="18" t="s">
        <v>46252</v>
      </c>
      <c r="R11987" s="6"/>
      <c r="S11987" s="6"/>
      <c r="T11987" s="6"/>
      <c r="U11987" s="6"/>
      <c r="V11987" s="6"/>
      <c r="W11987" s="6"/>
      <c r="X11987" s="6"/>
    </row>
    <row r="11988" ht="14.25">
      <c r="B11988" s="18" t="s">
        <v>6634</v>
      </c>
      <c r="C11988" s="18" t="s">
        <v>48559</v>
      </c>
      <c r="D11988" s="18" t="s">
        <v>1130</v>
      </c>
      <c r="E11988" s="18" t="s">
        <v>48560</v>
      </c>
      <c r="F11988" s="18" t="str">
        <f>IFERROR(__XLUDF.DUMMYFUNCTION("PROPER(REGEXREPLACE(D56,""[^A-Za-z]+ "",""""))"),"Lbc Sas")</f>
        <v xml:space="preserve">Lbc Sas</v>
      </c>
      <c r="G11988" s="18" t="s">
        <v>48561</v>
      </c>
      <c r="H11988" s="18">
        <v>28</v>
      </c>
      <c r="I11988" s="18" t="s">
        <v>9239</v>
      </c>
      <c r="J11988" s="18" t="str">
        <f>IFERROR(__XLUDF.DUMMYFUNCTION("VLOOKUP(M56,IMPORTRANGE(""https://docs.google.com/spreadsheets/d/1opm6ZNvGZ7KditA9TuJwrZ25eFLfTNIkrNnY6mhV5Eg"",""list!A1:C115""),3,TRUE)"),"le secteur de la production alimentaire")</f>
        <v xml:space="preserve">le secteur de la production alimentaire</v>
      </c>
      <c r="K11988" s="5" t="s">
        <v>48562</v>
      </c>
      <c r="L11988" s="5" t="s">
        <v>48563</v>
      </c>
      <c r="M11988" s="18" t="s">
        <v>1419</v>
      </c>
      <c r="N11988" s="18" t="s">
        <v>29</v>
      </c>
      <c r="O11988" s="18" t="s">
        <v>48564</v>
      </c>
      <c r="P11988" s="18" t="s">
        <v>29</v>
      </c>
      <c r="Q11988" s="6"/>
      <c r="R11988" s="6"/>
      <c r="S11988" s="6"/>
      <c r="T11988" s="6"/>
      <c r="U11988" s="6"/>
      <c r="V11988" s="6"/>
      <c r="W11988" s="6"/>
      <c r="X11988" s="6"/>
    </row>
    <row r="11989" ht="14.25">
      <c r="B11989" s="18" t="s">
        <v>768</v>
      </c>
      <c r="C11989" s="18" t="s">
        <v>49674</v>
      </c>
      <c r="D11989" s="18" t="s">
        <v>172</v>
      </c>
      <c r="E11989" s="18" t="s">
        <v>49675</v>
      </c>
      <c r="F11989" s="18" t="str">
        <f>IFERROR(__XLUDF.DUMMYFUNCTION("PROPER(REGEXREPLACE(D57,""[^A-Za-z]+ "",""""))"),"Socobat Aulagnier")</f>
        <v xml:space="preserve">Socobat Aulagnier</v>
      </c>
      <c r="G11989" s="18" t="s">
        <v>49676</v>
      </c>
      <c r="H11989" s="18">
        <v>11</v>
      </c>
      <c r="I11989" s="18" t="s">
        <v>9239</v>
      </c>
      <c r="J11989" s="18" t="str">
        <f>IFERROR(__XLUDF.DUMMYFUNCTION("VLOOKUP(M57,IMPORTRANGE(""https://docs.google.com/spreadsheets/d/1opm6ZNvGZ7KditA9TuJwrZ25eFLfTNIkrNnY6mhV5Eg"",""list!A1:C115""),3,TRUE)"),"le secteur de la production alimentaire")</f>
        <v xml:space="preserve">le secteur de la production alimentaire</v>
      </c>
      <c r="K11989" s="5" t="s">
        <v>49677</v>
      </c>
      <c r="L11989" s="5" t="s">
        <v>49678</v>
      </c>
      <c r="M11989" s="18" t="s">
        <v>831</v>
      </c>
      <c r="N11989" s="18" t="s">
        <v>29</v>
      </c>
      <c r="O11989" s="18" t="s">
        <v>49679</v>
      </c>
      <c r="P11989" s="18" t="s">
        <v>29</v>
      </c>
      <c r="Q11989" s="18" t="s">
        <v>49680</v>
      </c>
      <c r="R11989" s="6"/>
      <c r="S11989" s="6"/>
      <c r="T11989" s="6"/>
      <c r="U11989" s="6"/>
      <c r="V11989" s="6"/>
      <c r="W11989" s="6"/>
      <c r="X11989" s="6"/>
    </row>
    <row r="11990" ht="14.25">
      <c r="B11990" s="18" t="s">
        <v>630</v>
      </c>
      <c r="C11990" s="18" t="s">
        <v>47440</v>
      </c>
      <c r="D11990" s="18" t="s">
        <v>112</v>
      </c>
      <c r="E11990" s="18" t="s">
        <v>53064</v>
      </c>
      <c r="F11990" s="18" t="str">
        <f>IFERROR(__XLUDF.DUMMYFUNCTION("PROPER(REGEXREPLACE(D58,""[^A-Za-z]+ "",""""))"),"Gv Ingénierie")</f>
        <v xml:space="preserve">Gv Ingénierie</v>
      </c>
      <c r="G11990" s="18" t="s">
        <v>53065</v>
      </c>
      <c r="H11990" s="18">
        <v>18</v>
      </c>
      <c r="I11990" s="18" t="s">
        <v>9239</v>
      </c>
      <c r="J11990" s="18" t="str">
        <f>IFERROR(__XLUDF.DUMMYFUNCTION("VLOOKUP(M58,IMPORTRANGE(""https://docs.google.com/spreadsheets/d/1opm6ZNvGZ7KditA9TuJwrZ25eFLfTNIkrNnY6mhV5Eg"",""list!A1:C115""),3,TRUE)"),"le secteur de la production alimentaire")</f>
        <v xml:space="preserve">le secteur de la production alimentaire</v>
      </c>
      <c r="K11990" s="5" t="s">
        <v>53066</v>
      </c>
      <c r="L11990" s="5" t="s">
        <v>53067</v>
      </c>
      <c r="M11990" s="18" t="s">
        <v>39</v>
      </c>
      <c r="N11990" s="18" t="s">
        <v>29</v>
      </c>
      <c r="O11990" s="18" t="s">
        <v>53068</v>
      </c>
      <c r="P11990" s="18" t="s">
        <v>29</v>
      </c>
      <c r="Q11990" s="18" t="s">
        <v>53069</v>
      </c>
      <c r="R11990" s="6"/>
      <c r="S11990" s="6"/>
      <c r="T11990" s="6"/>
      <c r="U11990" s="6"/>
      <c r="V11990" s="6"/>
      <c r="W11990" s="6"/>
      <c r="X11990" s="6"/>
    </row>
    <row r="11991" ht="14.25">
      <c r="B11991" s="18" t="s">
        <v>630</v>
      </c>
      <c r="C11991" s="18" t="s">
        <v>50905</v>
      </c>
      <c r="D11991" s="18" t="s">
        <v>172</v>
      </c>
      <c r="E11991" s="18" t="s">
        <v>50906</v>
      </c>
      <c r="F11991" s="18" t="str">
        <f>IFERROR(__XLUDF.DUMMYFUNCTION("PROPER(REGEXREPLACE(D59,""[^A-Za-z]+ "",""""))"),"Ie Résine")</f>
        <v xml:space="preserve">Ie Résine</v>
      </c>
      <c r="G11991" s="18" t="s">
        <v>50907</v>
      </c>
      <c r="H11991" s="18">
        <v>18</v>
      </c>
      <c r="I11991" s="18" t="s">
        <v>9239</v>
      </c>
      <c r="J11991" s="18" t="str">
        <f>IFERROR(__XLUDF.DUMMYFUNCTION("VLOOKUP(M59,IMPORTRANGE(""https://docs.google.com/spreadsheets/d/1opm6ZNvGZ7KditA9TuJwrZ25eFLfTNIkrNnY6mhV5Eg"",""list!A1:C115""),3,TRUE)"),"le secteur de la production alimentaire")</f>
        <v xml:space="preserve">le secteur de la production alimentaire</v>
      </c>
      <c r="K11991" s="5" t="s">
        <v>50908</v>
      </c>
      <c r="L11991" s="5" t="s">
        <v>50909</v>
      </c>
      <c r="M11991" s="18" t="s">
        <v>1507</v>
      </c>
      <c r="N11991" s="18" t="s">
        <v>29</v>
      </c>
      <c r="O11991" s="18" t="s">
        <v>50910</v>
      </c>
      <c r="P11991" s="18" t="s">
        <v>29</v>
      </c>
      <c r="Q11991" s="6"/>
      <c r="R11991" s="6"/>
      <c r="S11991" s="6"/>
      <c r="T11991" s="6"/>
      <c r="U11991" s="6"/>
      <c r="V11991" s="6"/>
      <c r="W11991" s="6"/>
      <c r="X11991" s="6"/>
    </row>
    <row r="11992" ht="14.25">
      <c r="B11992" s="18" t="s">
        <v>630</v>
      </c>
      <c r="C11992" s="18" t="s">
        <v>51173</v>
      </c>
      <c r="D11992" s="18" t="s">
        <v>10959</v>
      </c>
      <c r="E11992" s="18" t="s">
        <v>51174</v>
      </c>
      <c r="F11992" s="18" t="str">
        <f>IFERROR(__XLUDF.DUMMYFUNCTION("PROPER(REGEXREPLACE(D60,""[^A-Za-z]+ "",""""))"),"Gf3M")</f>
        <v>Gf3M</v>
      </c>
      <c r="G11992" s="18" t="s">
        <v>51175</v>
      </c>
      <c r="H11992" s="18">
        <v>26</v>
      </c>
      <c r="I11992" s="18" t="s">
        <v>9239</v>
      </c>
      <c r="J11992" s="18" t="str">
        <f>IFERROR(__XLUDF.DUMMYFUNCTION("VLOOKUP(M60,IMPORTRANGE(""https://docs.google.com/spreadsheets/d/1opm6ZNvGZ7KditA9TuJwrZ25eFLfTNIkrNnY6mhV5Eg"",""list!A1:C115""),3,TRUE)"),"le secteur de la production alimentaire")</f>
        <v xml:space="preserve">le secteur de la production alimentaire</v>
      </c>
      <c r="K11992" s="5" t="s">
        <v>51176</v>
      </c>
      <c r="L11992" s="5" t="s">
        <v>51177</v>
      </c>
      <c r="M11992" s="18" t="s">
        <v>243</v>
      </c>
      <c r="N11992" s="18" t="s">
        <v>29</v>
      </c>
      <c r="O11992" s="18" t="s">
        <v>51178</v>
      </c>
      <c r="P11992" s="18" t="s">
        <v>29</v>
      </c>
      <c r="Q11992" s="6"/>
      <c r="R11992" s="6"/>
      <c r="S11992" s="6"/>
      <c r="T11992" s="6"/>
      <c r="U11992" s="6"/>
      <c r="V11992" s="6"/>
      <c r="W11992" s="6"/>
      <c r="X11992" s="6"/>
    </row>
    <row r="11993" ht="14.25">
      <c r="B11993" s="18" t="s">
        <v>630</v>
      </c>
      <c r="C11993" s="18" t="s">
        <v>46523</v>
      </c>
      <c r="D11993" s="18" t="s">
        <v>172</v>
      </c>
      <c r="E11993" s="18" t="s">
        <v>46524</v>
      </c>
      <c r="F11993" s="18" t="str">
        <f>IFERROR(__XLUDF.DUMMYFUNCTION("PROPER(REGEXREPLACE(D61,""[^A-Za-z]+ "",""""))"),"Barthe")</f>
        <v>Barthe</v>
      </c>
      <c r="G11993" s="18" t="s">
        <v>46525</v>
      </c>
      <c r="H11993" s="18">
        <v>38</v>
      </c>
      <c r="I11993" s="18" t="s">
        <v>9239</v>
      </c>
      <c r="J11993" s="18" t="str">
        <f>IFERROR(__XLUDF.DUMMYFUNCTION("VLOOKUP(M61,IMPORTRANGE(""https://docs.google.com/spreadsheets/d/1opm6ZNvGZ7KditA9TuJwrZ25eFLfTNIkrNnY6mhV5Eg"",""list!A1:C115""),3,TRUE)"),"le secteur de la production alimentaire")</f>
        <v xml:space="preserve">le secteur de la production alimentaire</v>
      </c>
      <c r="K11993" s="5" t="s">
        <v>46526</v>
      </c>
      <c r="L11993" s="5" t="s">
        <v>46527</v>
      </c>
      <c r="M11993" s="6"/>
      <c r="N11993" s="18" t="s">
        <v>29</v>
      </c>
      <c r="O11993" s="18" t="s">
        <v>46528</v>
      </c>
      <c r="P11993" s="18" t="s">
        <v>1261</v>
      </c>
      <c r="Q11993" s="18" t="s">
        <v>46529</v>
      </c>
      <c r="R11993" s="6"/>
      <c r="S11993" s="6"/>
      <c r="T11993" s="6"/>
      <c r="U11993" s="6"/>
      <c r="V11993" s="6"/>
      <c r="W11993" s="6"/>
      <c r="X11993" s="6"/>
    </row>
    <row r="11994" ht="14.25">
      <c r="B11994" s="18" t="s">
        <v>817</v>
      </c>
      <c r="C11994" s="18" t="s">
        <v>48526</v>
      </c>
      <c r="D11994" s="18" t="s">
        <v>48527</v>
      </c>
      <c r="E11994" s="18" t="s">
        <v>48528</v>
      </c>
      <c r="F11994" s="18" t="str">
        <f>IFERROR(__XLUDF.DUMMYFUNCTION("PROPER(REGEXREPLACE(D62,""[^A-Za-z]+ "",""""))"),"Darrieumerlou Charpente")</f>
        <v xml:space="preserve">Darrieumerlou Charpente</v>
      </c>
      <c r="G11994" s="18" t="s">
        <v>48529</v>
      </c>
      <c r="H11994" s="18">
        <v>15</v>
      </c>
      <c r="I11994" s="18" t="s">
        <v>9239</v>
      </c>
      <c r="J11994" s="18" t="str">
        <f>IFERROR(__XLUDF.DUMMYFUNCTION("VLOOKUP(M62,IMPORTRANGE(""https://docs.google.com/spreadsheets/d/1opm6ZNvGZ7KditA9TuJwrZ25eFLfTNIkrNnY6mhV5Eg"",""list!A1:C115""),3,TRUE)"),"le secteur de la production alimentaire")</f>
        <v xml:space="preserve">le secteur de la production alimentaire</v>
      </c>
      <c r="K11994" s="5" t="s">
        <v>48530</v>
      </c>
      <c r="L11994" s="5" t="s">
        <v>48531</v>
      </c>
      <c r="M11994" s="18" t="s">
        <v>48532</v>
      </c>
      <c r="N11994" s="18" t="s">
        <v>29</v>
      </c>
      <c r="O11994" s="18" t="s">
        <v>48533</v>
      </c>
      <c r="P11994" s="18" t="s">
        <v>29</v>
      </c>
      <c r="Q11994" s="6"/>
      <c r="R11994" s="6"/>
      <c r="S11994" s="6"/>
      <c r="T11994" s="6"/>
      <c r="U11994" s="6"/>
      <c r="V11994" s="6"/>
      <c r="W11994" s="6"/>
      <c r="X11994" s="6"/>
    </row>
    <row r="11995" ht="14.25">
      <c r="B11995" s="18" t="s">
        <v>1562</v>
      </c>
      <c r="C11995" s="18" t="s">
        <v>49230</v>
      </c>
      <c r="D11995" s="18" t="s">
        <v>172</v>
      </c>
      <c r="E11995" s="18" t="s">
        <v>49231</v>
      </c>
      <c r="F11995" s="18" t="str">
        <f>IFERROR(__XLUDF.DUMMYFUNCTION("PROPER(REGEXREPLACE(D63,""[^A-Za-z]+ "",""""))"),"Lemaire-Tricotel")</f>
        <v>Lemaire-Tricotel</v>
      </c>
      <c r="G11995" s="18" t="s">
        <v>49232</v>
      </c>
      <c r="H11995" s="18">
        <v>22</v>
      </c>
      <c r="I11995" s="18" t="s">
        <v>9239</v>
      </c>
      <c r="J11995" s="18" t="str">
        <f>IFERROR(__XLUDF.DUMMYFUNCTION("VLOOKUP(M63,IMPORTRANGE(""https://docs.google.com/spreadsheets/d/1opm6ZNvGZ7KditA9TuJwrZ25eFLfTNIkrNnY6mhV5Eg"",""list!A1:C115""),3,TRUE)"),"le secteur de la production alimentaire")</f>
        <v xml:space="preserve">le secteur de la production alimentaire</v>
      </c>
      <c r="K11995" s="5" t="s">
        <v>49233</v>
      </c>
      <c r="L11995" s="5" t="s">
        <v>49234</v>
      </c>
      <c r="M11995" s="18" t="s">
        <v>49235</v>
      </c>
      <c r="N11995" s="18" t="s">
        <v>29</v>
      </c>
      <c r="O11995" s="18" t="s">
        <v>49236</v>
      </c>
      <c r="P11995" s="18" t="s">
        <v>29</v>
      </c>
      <c r="Q11995" s="18" t="s">
        <v>49237</v>
      </c>
      <c r="R11995" s="6"/>
      <c r="S11995" s="6"/>
      <c r="T11995" s="6"/>
      <c r="U11995" s="6"/>
      <c r="V11995" s="6"/>
      <c r="W11995" s="6"/>
      <c r="X11995" s="6"/>
    </row>
    <row r="11996" ht="14.25">
      <c r="B11996" s="18" t="s">
        <v>3271</v>
      </c>
      <c r="C11996" s="18" t="s">
        <v>47775</v>
      </c>
      <c r="D11996" s="18" t="s">
        <v>172</v>
      </c>
      <c r="E11996" s="18" t="s">
        <v>47776</v>
      </c>
      <c r="F11996" s="18" t="str">
        <f>IFERROR(__XLUDF.DUMMYFUNCTION("PROPER(REGEXREPLACE(D64,""[^A-Za-z]+ "",""""))"),"Groupe Bardon")</f>
        <v xml:space="preserve">Groupe Bardon</v>
      </c>
      <c r="G11996" s="18" t="s">
        <v>47777</v>
      </c>
      <c r="H11996" s="18">
        <v>10</v>
      </c>
      <c r="I11996" s="18" t="s">
        <v>9239</v>
      </c>
      <c r="J11996" s="18" t="str">
        <f>IFERROR(__XLUDF.DUMMYFUNCTION("VLOOKUP(M64,IMPORTRANGE(""https://docs.google.com/spreadsheets/d/1opm6ZNvGZ7KditA9TuJwrZ25eFLfTNIkrNnY6mhV5Eg"",""list!A1:C115""),3,TRUE)"),"le secteur de la production alimentaire")</f>
        <v xml:space="preserve">le secteur de la production alimentaire</v>
      </c>
      <c r="K11996" s="5" t="s">
        <v>47778</v>
      </c>
      <c r="L11996" s="5" t="s">
        <v>47779</v>
      </c>
      <c r="M11996" s="18" t="s">
        <v>1826</v>
      </c>
      <c r="N11996" s="18" t="s">
        <v>29</v>
      </c>
      <c r="O11996" s="18" t="s">
        <v>47780</v>
      </c>
      <c r="P11996" s="18" t="s">
        <v>29</v>
      </c>
      <c r="Q11996" s="18" t="s">
        <v>47781</v>
      </c>
      <c r="R11996" s="6"/>
      <c r="S11996" s="6"/>
      <c r="T11996" s="6"/>
      <c r="U11996" s="6"/>
      <c r="V11996" s="6"/>
      <c r="W11996" s="6"/>
      <c r="X11996" s="6"/>
    </row>
    <row r="11997" ht="14.25">
      <c r="B11997" s="18" t="s">
        <v>630</v>
      </c>
      <c r="C11997" s="18" t="s">
        <v>46732</v>
      </c>
      <c r="D11997" s="18" t="s">
        <v>172</v>
      </c>
      <c r="E11997" s="18" t="s">
        <v>46733</v>
      </c>
      <c r="F11997" s="18" t="str">
        <f>IFERROR(__XLUDF.DUMMYFUNCTION("PROPER(REGEXREPLACE(D65,""[^A-Za-z]+ "",""""))"),"Liotard Tp")</f>
        <v xml:space="preserve">Liotard Tp</v>
      </c>
      <c r="G11997" s="18" t="s">
        <v>46734</v>
      </c>
      <c r="H11997" s="18">
        <v>12</v>
      </c>
      <c r="I11997" s="18" t="s">
        <v>9239</v>
      </c>
      <c r="J11997" s="18" t="str">
        <f>IFERROR(__XLUDF.DUMMYFUNCTION("VLOOKUP(M65,IMPORTRANGE(""https://docs.google.com/spreadsheets/d/1opm6ZNvGZ7KditA9TuJwrZ25eFLfTNIkrNnY6mhV5Eg"",""list!A1:C115""),3,TRUE)"),"le secteur de la production alimentaire")</f>
        <v xml:space="preserve">le secteur de la production alimentaire</v>
      </c>
      <c r="K11997" s="5" t="s">
        <v>46735</v>
      </c>
      <c r="L11997" s="5" t="s">
        <v>46736</v>
      </c>
      <c r="M11997" s="18" t="s">
        <v>46737</v>
      </c>
      <c r="N11997" s="18" t="s">
        <v>29</v>
      </c>
      <c r="O11997" s="18" t="s">
        <v>46738</v>
      </c>
      <c r="P11997" s="18" t="s">
        <v>29</v>
      </c>
      <c r="Q11997" s="18" t="s">
        <v>46739</v>
      </c>
      <c r="R11997" s="6"/>
      <c r="S11997" s="6"/>
      <c r="T11997" s="6"/>
      <c r="U11997" s="6"/>
      <c r="V11997" s="6"/>
      <c r="W11997" s="6"/>
      <c r="X11997" s="6"/>
    </row>
    <row r="11998" ht="14.25">
      <c r="B11998" s="18" t="s">
        <v>3271</v>
      </c>
      <c r="C11998" s="18" t="s">
        <v>51547</v>
      </c>
      <c r="D11998" s="18" t="s">
        <v>172</v>
      </c>
      <c r="E11998" s="18" t="s">
        <v>15665</v>
      </c>
      <c r="F11998" s="18" t="str">
        <f>IFERROR(__XLUDF.DUMMYFUNCTION("PROPER(REGEXREPLACE(D66,""[^A-Za-z]+ "",""""))"),"Delaval")</f>
        <v>Delaval</v>
      </c>
      <c r="G11998" s="18" t="s">
        <v>51548</v>
      </c>
      <c r="H11998" s="18">
        <v>34</v>
      </c>
      <c r="I11998" s="18" t="s">
        <v>9239</v>
      </c>
      <c r="J11998" s="18" t="str">
        <f>IFERROR(__XLUDF.DUMMYFUNCTION("VLOOKUP(M66,IMPORTRANGE(""https://docs.google.com/spreadsheets/d/1opm6ZNvGZ7KditA9TuJwrZ25eFLfTNIkrNnY6mhV5Eg"",""list!A1:C115""),3,TRUE)"),"le secteur de la production alimentaire")</f>
        <v xml:space="preserve">le secteur de la production alimentaire</v>
      </c>
      <c r="K11998" s="5" t="s">
        <v>55837</v>
      </c>
      <c r="L11998" s="5" t="s">
        <v>47855</v>
      </c>
      <c r="M11998" s="18" t="s">
        <v>6603</v>
      </c>
      <c r="N11998" s="18" t="s">
        <v>29</v>
      </c>
      <c r="O11998" s="18" t="s">
        <v>47856</v>
      </c>
      <c r="P11998" s="18" t="s">
        <v>29</v>
      </c>
      <c r="Q11998" s="6"/>
      <c r="R11998" s="6"/>
      <c r="S11998" s="6"/>
      <c r="T11998" s="6"/>
      <c r="U11998" s="6"/>
      <c r="V11998" s="6"/>
      <c r="W11998" s="6"/>
      <c r="X11998" s="6"/>
    </row>
    <row r="11999" ht="14.25">
      <c r="B11999" s="18" t="s">
        <v>6634</v>
      </c>
      <c r="C11999" s="18" t="s">
        <v>5915</v>
      </c>
      <c r="D11999" s="18" t="s">
        <v>112</v>
      </c>
      <c r="E11999" s="18" t="s">
        <v>52255</v>
      </c>
      <c r="F11999" s="18" t="str">
        <f>IFERROR(__XLUDF.DUMMYFUNCTION("PROPER(REGEXREPLACE(D67,""[^A-Za-z]+ "",""""))"),"Eppy")</f>
        <v>Eppy</v>
      </c>
      <c r="G11999" s="18" t="s">
        <v>52701</v>
      </c>
      <c r="H11999" s="18">
        <v>25</v>
      </c>
      <c r="I11999" s="18" t="s">
        <v>9239</v>
      </c>
      <c r="J11999" s="18" t="str">
        <f>IFERROR(__XLUDF.DUMMYFUNCTION("VLOOKUP(M67,IMPORTRANGE(""https://docs.google.com/spreadsheets/d/1opm6ZNvGZ7KditA9TuJwrZ25eFLfTNIkrNnY6mhV5Eg"",""list!A1:C115""),3,TRUE)"),"le secteur de la production alimentaire")</f>
        <v xml:space="preserve">le secteur de la production alimentaire</v>
      </c>
      <c r="K11999" s="5" t="s">
        <v>52702</v>
      </c>
      <c r="L11999" s="5" t="s">
        <v>52258</v>
      </c>
      <c r="M11999" s="18" t="s">
        <v>27777</v>
      </c>
      <c r="N11999" s="18" t="s">
        <v>29</v>
      </c>
      <c r="O11999" s="18" t="s">
        <v>52259</v>
      </c>
      <c r="P11999" s="18" t="s">
        <v>29</v>
      </c>
      <c r="Q11999" s="18" t="s">
        <v>52260</v>
      </c>
      <c r="R11999" s="6"/>
      <c r="S11999" s="6"/>
      <c r="T11999" s="6"/>
      <c r="U11999" s="6"/>
      <c r="V11999" s="6"/>
      <c r="W11999" s="6"/>
      <c r="X11999" s="6"/>
    </row>
    <row r="12000" ht="14.25">
      <c r="B12000" s="18" t="s">
        <v>6634</v>
      </c>
      <c r="C12000" s="18" t="s">
        <v>53165</v>
      </c>
      <c r="D12000" s="18" t="s">
        <v>19085</v>
      </c>
      <c r="E12000" s="18" t="s">
        <v>53166</v>
      </c>
      <c r="F12000" s="18" t="str">
        <f>IFERROR(__XLUDF.DUMMYFUNCTION("PROPER(REGEXREPLACE(D68,""[^A-Za-z]+ "",""""))"),"Seralu")</f>
        <v>Seralu</v>
      </c>
      <c r="G12000" s="18" t="s">
        <v>53167</v>
      </c>
      <c r="H12000" s="18">
        <v>45</v>
      </c>
      <c r="I12000" s="18" t="s">
        <v>9239</v>
      </c>
      <c r="J12000" s="18" t="str">
        <f>IFERROR(__XLUDF.DUMMYFUNCTION("VLOOKUP(M68,IMPORTRANGE(""https://docs.google.com/spreadsheets/d/1opm6ZNvGZ7KditA9TuJwrZ25eFLfTNIkrNnY6mhV5Eg"",""list!A1:C115""),3,TRUE)"),"le secteur de la production alimentaire")</f>
        <v xml:space="preserve">le secteur de la production alimentaire</v>
      </c>
      <c r="K12000" s="5" t="s">
        <v>53168</v>
      </c>
      <c r="L12000" s="5" t="s">
        <v>53169</v>
      </c>
      <c r="M12000" s="18" t="s">
        <v>1711</v>
      </c>
      <c r="N12000" s="18" t="s">
        <v>29</v>
      </c>
      <c r="O12000" s="18" t="s">
        <v>53170</v>
      </c>
      <c r="P12000" s="18" t="s">
        <v>29</v>
      </c>
      <c r="Q12000" s="18" t="s">
        <v>53171</v>
      </c>
      <c r="R12000" s="6"/>
      <c r="S12000" s="6"/>
      <c r="T12000" s="6"/>
      <c r="U12000" s="6"/>
      <c r="V12000" s="6"/>
      <c r="W12000" s="6"/>
      <c r="X12000" s="6"/>
    </row>
    <row r="12001" ht="14.25">
      <c r="B12001" s="18" t="s">
        <v>4196</v>
      </c>
      <c r="C12001" s="18" t="s">
        <v>10294</v>
      </c>
      <c r="D12001" s="18" t="s">
        <v>2636</v>
      </c>
      <c r="E12001" s="18" t="s">
        <v>10296</v>
      </c>
      <c r="F12001" s="18" t="str">
        <f>IFERROR(__XLUDF.DUMMYFUNCTION("PROPER(REGEXREPLACE(D69,""[^A-Za-z]+ "",""""))"),"Axys Etudes Techniques Fluides")</f>
        <v xml:space="preserve">Axys Etudes Techniques Fluides</v>
      </c>
      <c r="G12001" s="18" t="s">
        <v>10295</v>
      </c>
      <c r="H12001" s="18">
        <v>31</v>
      </c>
      <c r="I12001" s="18" t="s">
        <v>9239</v>
      </c>
      <c r="J12001" s="18" t="str">
        <f>IFERROR(__XLUDF.DUMMYFUNCTION("VLOOKUP(M69,IMPORTRANGE(""https://docs.google.com/spreadsheets/d/1opm6ZNvGZ7KditA9TuJwrZ25eFLfTNIkrNnY6mhV5Eg"",""list!A1:C115""),3,TRUE)"),"le secteur de la production alimentaire")</f>
        <v xml:space="preserve">le secteur de la production alimentaire</v>
      </c>
      <c r="K12001" s="5" t="s">
        <v>10302</v>
      </c>
      <c r="L12001" s="5" t="s">
        <v>48447</v>
      </c>
      <c r="M12001" s="18" t="s">
        <v>39</v>
      </c>
      <c r="N12001" s="18" t="s">
        <v>29</v>
      </c>
      <c r="O12001" s="18" t="s">
        <v>48448</v>
      </c>
      <c r="P12001" s="18" t="s">
        <v>29</v>
      </c>
      <c r="Q12001" s="18" t="s">
        <v>10301</v>
      </c>
      <c r="R12001" s="6"/>
      <c r="S12001" s="6"/>
      <c r="T12001" s="6"/>
      <c r="U12001" s="6"/>
      <c r="V12001" s="6"/>
      <c r="W12001" s="6"/>
      <c r="X12001" s="6"/>
    </row>
    <row r="12002" ht="14.25">
      <c r="B12002" s="18" t="s">
        <v>222</v>
      </c>
      <c r="C12002" s="18" t="s">
        <v>49681</v>
      </c>
      <c r="D12002" s="18" t="s">
        <v>172</v>
      </c>
      <c r="E12002" s="18" t="s">
        <v>49682</v>
      </c>
      <c r="F12002" s="18" t="str">
        <f>IFERROR(__XLUDF.DUMMYFUNCTION("PROPER(REGEXREPLACE(D70,""[^A-Za-z]+ "",""""))"),"Cte Lyon")</f>
        <v xml:space="preserve">Cte Lyon</v>
      </c>
      <c r="G12002" s="18" t="s">
        <v>49683</v>
      </c>
      <c r="H12002" s="18">
        <v>11</v>
      </c>
      <c r="I12002" s="18" t="s">
        <v>9239</v>
      </c>
      <c r="J12002" s="18" t="str">
        <f>IFERROR(__XLUDF.DUMMYFUNCTION("VLOOKUP(M70,IMPORTRANGE(""https://docs.google.com/spreadsheets/d/1opm6ZNvGZ7KditA9TuJwrZ25eFLfTNIkrNnY6mhV5Eg"",""list!A1:C115""),3,TRUE)"),"le secteur de la production alimentaire")</f>
        <v xml:space="preserve">le secteur de la production alimentaire</v>
      </c>
      <c r="K12002" s="5" t="s">
        <v>49684</v>
      </c>
      <c r="L12002" s="5" t="s">
        <v>49685</v>
      </c>
      <c r="M12002" s="18" t="s">
        <v>185</v>
      </c>
      <c r="N12002" s="18" t="s">
        <v>29</v>
      </c>
      <c r="O12002" s="18" t="s">
        <v>1283</v>
      </c>
      <c r="P12002" s="18" t="s">
        <v>29</v>
      </c>
      <c r="Q12002" s="6"/>
      <c r="R12002" s="6"/>
      <c r="S12002" s="6"/>
      <c r="T12002" s="6"/>
      <c r="U12002" s="6"/>
      <c r="V12002" s="6"/>
      <c r="W12002" s="6"/>
      <c r="X12002" s="6"/>
    </row>
    <row r="12003" ht="14.25">
      <c r="B12003" s="18" t="s">
        <v>222</v>
      </c>
      <c r="C12003" s="18" t="s">
        <v>46371</v>
      </c>
      <c r="D12003" s="18" t="s">
        <v>112</v>
      </c>
      <c r="E12003" s="18" t="s">
        <v>46372</v>
      </c>
      <c r="F12003" s="18" t="str">
        <f>IFERROR(__XLUDF.DUMMYFUNCTION("PROPER(REGEXREPLACE(D71,""[^A-Za-z]+ "",""""))"),"Cimalto")</f>
        <v>Cimalto</v>
      </c>
      <c r="G12003" s="18" t="s">
        <v>46373</v>
      </c>
      <c r="H12003" s="18">
        <v>20</v>
      </c>
      <c r="I12003" s="18" t="s">
        <v>9239</v>
      </c>
      <c r="J12003" s="18" t="str">
        <f>IFERROR(__XLUDF.DUMMYFUNCTION("VLOOKUP(M71,IMPORTRANGE(""https://docs.google.com/spreadsheets/d/1opm6ZNvGZ7KditA9TuJwrZ25eFLfTNIkrNnY6mhV5Eg"",""list!A1:C115""),3,TRUE)"),"le secteur de la production alimentaire")</f>
        <v xml:space="preserve">le secteur de la production alimentaire</v>
      </c>
      <c r="K12003" s="5" t="s">
        <v>46374</v>
      </c>
      <c r="L12003" s="5" t="s">
        <v>46375</v>
      </c>
      <c r="M12003" s="18" t="s">
        <v>46376</v>
      </c>
      <c r="N12003" s="18" t="s">
        <v>29</v>
      </c>
      <c r="O12003" s="18" t="s">
        <v>46377</v>
      </c>
      <c r="P12003" s="18" t="s">
        <v>29</v>
      </c>
      <c r="Q12003" s="18" t="s">
        <v>46378</v>
      </c>
      <c r="R12003" s="6"/>
      <c r="S12003" s="6"/>
      <c r="T12003" s="6"/>
      <c r="U12003" s="6"/>
      <c r="V12003" s="6"/>
      <c r="W12003" s="6"/>
      <c r="X12003" s="6"/>
    </row>
    <row r="12004" ht="14.25">
      <c r="B12004" s="18" t="s">
        <v>222</v>
      </c>
      <c r="C12004" s="18" t="s">
        <v>48734</v>
      </c>
      <c r="D12004" s="18" t="s">
        <v>172</v>
      </c>
      <c r="E12004" s="18" t="s">
        <v>47753</v>
      </c>
      <c r="F12004" s="18" t="str">
        <f>IFERROR(__XLUDF.DUMMYFUNCTION("PROPER(REGEXREPLACE(D72,""[^A-Za-z]+ "",""""))"),"Groupe Bonnefoy")</f>
        <v xml:space="preserve">Groupe Bonnefoy</v>
      </c>
      <c r="G12004" s="18" t="s">
        <v>48735</v>
      </c>
      <c r="H12004" s="18">
        <v>43</v>
      </c>
      <c r="I12004" s="18" t="s">
        <v>9239</v>
      </c>
      <c r="J12004" s="18" t="str">
        <f>IFERROR(__XLUDF.DUMMYFUNCTION("VLOOKUP(M72,IMPORTRANGE(""https://docs.google.com/spreadsheets/d/1opm6ZNvGZ7KditA9TuJwrZ25eFLfTNIkrNnY6mhV5Eg"",""list!A1:C115""),3,TRUE)"),"le secteur de la production alimentaire")</f>
        <v xml:space="preserve">le secteur de la production alimentaire</v>
      </c>
      <c r="K12004" s="5" t="s">
        <v>48736</v>
      </c>
      <c r="L12004" s="5" t="s">
        <v>47756</v>
      </c>
      <c r="M12004" s="6"/>
      <c r="N12004" s="18" t="s">
        <v>29</v>
      </c>
      <c r="O12004" s="18" t="s">
        <v>47757</v>
      </c>
      <c r="P12004" s="18" t="s">
        <v>29</v>
      </c>
      <c r="Q12004" s="18" t="s">
        <v>55838</v>
      </c>
      <c r="R12004" s="6"/>
      <c r="S12004" s="6"/>
      <c r="T12004" s="6"/>
      <c r="U12004" s="6"/>
      <c r="V12004" s="6"/>
      <c r="W12004" s="6"/>
      <c r="X12004" s="6"/>
    </row>
    <row r="12005" ht="14.25">
      <c r="B12005" s="18" t="s">
        <v>222</v>
      </c>
      <c r="C12005" s="18" t="s">
        <v>51771</v>
      </c>
      <c r="D12005" s="18" t="s">
        <v>172</v>
      </c>
      <c r="E12005" s="18" t="s">
        <v>51772</v>
      </c>
      <c r="F12005" s="18" t="str">
        <f>IFERROR(__XLUDF.DUMMYFUNCTION("PROPER(REGEXREPLACE(D73,""[^A-Za-z]+ "",""""))"),"Cemexa")</f>
        <v>Cemexa</v>
      </c>
      <c r="G12005" s="18" t="s">
        <v>51773</v>
      </c>
      <c r="H12005" s="18">
        <v>12</v>
      </c>
      <c r="I12005" s="18" t="s">
        <v>9239</v>
      </c>
      <c r="J12005" s="18" t="str">
        <f>IFERROR(__XLUDF.DUMMYFUNCTION("VLOOKUP(M73,IMPORTRANGE(""https://docs.google.com/spreadsheets/d/1opm6ZNvGZ7KditA9TuJwrZ25eFLfTNIkrNnY6mhV5Eg"",""list!A1:C115""),3,TRUE)"),"le secteur de la production alimentaire")</f>
        <v xml:space="preserve">le secteur de la production alimentaire</v>
      </c>
      <c r="K12005" s="5" t="s">
        <v>51774</v>
      </c>
      <c r="L12005" s="5" t="s">
        <v>51775</v>
      </c>
      <c r="M12005" s="18" t="s">
        <v>51776</v>
      </c>
      <c r="N12005" s="18" t="s">
        <v>29</v>
      </c>
      <c r="O12005" s="18" t="s">
        <v>51777</v>
      </c>
      <c r="P12005" s="18" t="s">
        <v>29</v>
      </c>
      <c r="Q12005" s="6"/>
      <c r="R12005" s="6"/>
      <c r="S12005" s="6"/>
      <c r="T12005" s="6"/>
      <c r="U12005" s="6"/>
      <c r="V12005" s="6"/>
      <c r="W12005" s="6"/>
      <c r="X12005" s="6"/>
    </row>
    <row r="12006" ht="14.25">
      <c r="B12006" s="18" t="s">
        <v>222</v>
      </c>
      <c r="C12006" s="18" t="s">
        <v>11070</v>
      </c>
      <c r="D12006" s="18" t="s">
        <v>172</v>
      </c>
      <c r="E12006" s="18" t="s">
        <v>45357</v>
      </c>
      <c r="F12006" s="18" t="str">
        <f>IFERROR(__XLUDF.DUMMYFUNCTION("PROPER(REGEXREPLACE(D74,""[^A-Za-z]+ "",""""))"),"Alphametal")</f>
        <v>Alphametal</v>
      </c>
      <c r="G12006" s="18" t="s">
        <v>45358</v>
      </c>
      <c r="H12006" s="18">
        <v>22</v>
      </c>
      <c r="I12006" s="18" t="s">
        <v>9239</v>
      </c>
      <c r="J12006" s="18" t="str">
        <f>IFERROR(__XLUDF.DUMMYFUNCTION("VLOOKUP(M74,IMPORTRANGE(""https://docs.google.com/spreadsheets/d/1opm6ZNvGZ7KditA9TuJwrZ25eFLfTNIkrNnY6mhV5Eg"",""list!A1:C115""),3,TRUE)"),"le secteur de la production alimentaire")</f>
        <v xml:space="preserve">le secteur de la production alimentaire</v>
      </c>
      <c r="K12006" s="5" t="s">
        <v>45359</v>
      </c>
      <c r="L12006" s="5" t="s">
        <v>45360</v>
      </c>
      <c r="M12006" s="6"/>
      <c r="N12006" s="18" t="s">
        <v>29</v>
      </c>
      <c r="O12006" s="18" t="s">
        <v>45361</v>
      </c>
      <c r="P12006" s="18" t="s">
        <v>29</v>
      </c>
      <c r="Q12006" s="18" t="s">
        <v>45362</v>
      </c>
      <c r="R12006" s="6"/>
      <c r="S12006" s="6"/>
      <c r="T12006" s="6"/>
      <c r="U12006" s="6"/>
      <c r="V12006" s="6"/>
      <c r="W12006" s="6"/>
      <c r="X12006" s="6"/>
    </row>
    <row r="12007" ht="14.25">
      <c r="B12007" s="18" t="s">
        <v>47170</v>
      </c>
      <c r="C12007" s="18" t="s">
        <v>47171</v>
      </c>
      <c r="D12007" s="18" t="s">
        <v>112</v>
      </c>
      <c r="E12007" s="18" t="s">
        <v>44909</v>
      </c>
      <c r="F12007" s="18" t="str">
        <f>IFERROR(__XLUDF.DUMMYFUNCTION("PROPER(REGEXREPLACE(D75,""[^A-Za-z]+ "",""""))"),"Groupe Tilkeo")</f>
        <v xml:space="preserve">Groupe Tilkeo</v>
      </c>
      <c r="G12007" s="18" t="s">
        <v>47172</v>
      </c>
      <c r="H12007" s="18">
        <v>37</v>
      </c>
      <c r="I12007" s="18" t="s">
        <v>9239</v>
      </c>
      <c r="J12007" s="18" t="str">
        <f>IFERROR(__XLUDF.DUMMYFUNCTION("VLOOKUP(M75,IMPORTRANGE(""https://docs.google.com/spreadsheets/d/1opm6ZNvGZ7KditA9TuJwrZ25eFLfTNIkrNnY6mhV5Eg"",""list!A1:C115""),3,TRUE)"),"le secteur de la production alimentaire")</f>
        <v xml:space="preserve">le secteur de la production alimentaire</v>
      </c>
      <c r="K12007" s="5" t="s">
        <v>47173</v>
      </c>
      <c r="L12007" s="5" t="s">
        <v>44912</v>
      </c>
      <c r="M12007" s="18" t="s">
        <v>47174</v>
      </c>
      <c r="N12007" s="18" t="s">
        <v>29</v>
      </c>
      <c r="O12007" s="18" t="s">
        <v>44914</v>
      </c>
      <c r="P12007" s="18" t="s">
        <v>29</v>
      </c>
      <c r="Q12007" s="18" t="s">
        <v>44915</v>
      </c>
      <c r="R12007" s="6"/>
      <c r="S12007" s="6"/>
      <c r="T12007" s="6"/>
      <c r="U12007" s="6"/>
      <c r="V12007" s="6"/>
      <c r="W12007" s="6"/>
      <c r="X12007" s="6"/>
    </row>
    <row r="12008" ht="14.25">
      <c r="B12008" s="18" t="s">
        <v>48433</v>
      </c>
      <c r="C12008" s="18" t="s">
        <v>48434</v>
      </c>
      <c r="D12008" s="18" t="s">
        <v>172</v>
      </c>
      <c r="E12008" s="18" t="s">
        <v>45527</v>
      </c>
      <c r="F12008" s="18" t="str">
        <f>IFERROR(__XLUDF.DUMMYFUNCTION("PROPER(REGEXREPLACE(D76,""[^A-Za-z]+ "",""""))"),"Groupe Carré")</f>
        <v xml:space="preserve">Groupe Carré</v>
      </c>
      <c r="G12008" s="18" t="s">
        <v>48435</v>
      </c>
      <c r="H12008" s="18">
        <v>30</v>
      </c>
      <c r="I12008" s="18" t="s">
        <v>9239</v>
      </c>
      <c r="J12008" s="18" t="str">
        <f>IFERROR(__XLUDF.DUMMYFUNCTION("VLOOKUP(M76,IMPORTRANGE(""https://docs.google.com/spreadsheets/d/1opm6ZNvGZ7KditA9TuJwrZ25eFLfTNIkrNnY6mhV5Eg"",""list!A1:C115""),3,TRUE)"),"le secteur de la production alimentaire")</f>
        <v xml:space="preserve">le secteur de la production alimentaire</v>
      </c>
      <c r="K12008" s="5" t="s">
        <v>48436</v>
      </c>
      <c r="L12008" s="5" t="s">
        <v>45530</v>
      </c>
      <c r="M12008" s="6"/>
      <c r="N12008" s="18" t="s">
        <v>29</v>
      </c>
      <c r="O12008" s="18" t="s">
        <v>45531</v>
      </c>
      <c r="P12008" s="18" t="s">
        <v>29</v>
      </c>
      <c r="Q12008" s="6"/>
      <c r="R12008" s="6"/>
      <c r="S12008" s="6"/>
      <c r="T12008" s="6"/>
      <c r="U12008" s="6"/>
      <c r="V12008" s="6"/>
      <c r="W12008" s="6"/>
      <c r="X12008" s="6"/>
    </row>
    <row r="12009" ht="14.25">
      <c r="B12009" s="18" t="s">
        <v>734</v>
      </c>
      <c r="C12009" s="18" t="s">
        <v>47374</v>
      </c>
      <c r="D12009" s="18" t="s">
        <v>112</v>
      </c>
      <c r="E12009" s="18" t="s">
        <v>47375</v>
      </c>
      <c r="F12009" s="18" t="str">
        <f>IFERROR(__XLUDF.DUMMYFUNCTION("PROPER(REGEXREPLACE(D77,""[^A-Za-z]+ "",""""))"),"Lachaumette Chaput")</f>
        <v xml:space="preserve">Lachaumette Chaput</v>
      </c>
      <c r="G12009" s="18" t="s">
        <v>47376</v>
      </c>
      <c r="H12009" s="18">
        <v>18</v>
      </c>
      <c r="I12009" s="18" t="s">
        <v>9239</v>
      </c>
      <c r="J12009" s="18" t="str">
        <f>IFERROR(__XLUDF.DUMMYFUNCTION("VLOOKUP(M77,IMPORTRANGE(""https://docs.google.com/spreadsheets/d/1opm6ZNvGZ7KditA9TuJwrZ25eFLfTNIkrNnY6mhV5Eg"",""list!A1:C115""),3,TRUE)"),"le secteur de la production alimentaire")</f>
        <v xml:space="preserve">le secteur de la production alimentaire</v>
      </c>
      <c r="K12009" s="5" t="s">
        <v>47377</v>
      </c>
      <c r="L12009" s="5" t="s">
        <v>47378</v>
      </c>
      <c r="M12009" s="18" t="s">
        <v>39</v>
      </c>
      <c r="N12009" s="18" t="s">
        <v>29</v>
      </c>
      <c r="O12009" s="18" t="s">
        <v>47379</v>
      </c>
      <c r="P12009" s="18" t="s">
        <v>29</v>
      </c>
      <c r="Q12009" s="18" t="s">
        <v>47380</v>
      </c>
      <c r="R12009" s="6"/>
      <c r="S12009" s="6"/>
      <c r="T12009" s="6"/>
      <c r="U12009" s="6"/>
      <c r="V12009" s="6"/>
      <c r="W12009" s="6"/>
      <c r="X12009" s="6"/>
    </row>
    <row r="12010" ht="14.25">
      <c r="B12010" s="18" t="s">
        <v>222</v>
      </c>
      <c r="C12010" s="18" t="s">
        <v>53070</v>
      </c>
      <c r="D12010" s="18" t="s">
        <v>112</v>
      </c>
      <c r="E12010" s="18" t="s">
        <v>53071</v>
      </c>
      <c r="F12010" s="18" t="str">
        <f>IFERROR(__XLUDF.DUMMYFUNCTION("PROPER(REGEXREPLACE(D78,""[^A-Za-z]+ "",""""))"),"Fouqueron")</f>
        <v>Fouqueron</v>
      </c>
      <c r="G12010" s="18" t="s">
        <v>53072</v>
      </c>
      <c r="H12010" s="18">
        <v>18</v>
      </c>
      <c r="I12010" s="18" t="s">
        <v>9239</v>
      </c>
      <c r="J12010" s="18" t="str">
        <f>IFERROR(__XLUDF.DUMMYFUNCTION("VLOOKUP(M78,IMPORTRANGE(""https://docs.google.com/spreadsheets/d/1opm6ZNvGZ7KditA9TuJwrZ25eFLfTNIkrNnY6mhV5Eg"",""list!A1:C115""),3,TRUE)"),"le secteur de la production alimentaire")</f>
        <v xml:space="preserve">le secteur de la production alimentaire</v>
      </c>
      <c r="K12010" s="5" t="s">
        <v>53073</v>
      </c>
      <c r="L12010" s="5" t="s">
        <v>53074</v>
      </c>
      <c r="M12010" s="18" t="s">
        <v>1312</v>
      </c>
      <c r="N12010" s="18" t="s">
        <v>29</v>
      </c>
      <c r="O12010" s="18" t="s">
        <v>53075</v>
      </c>
      <c r="P12010" s="18" t="s">
        <v>29</v>
      </c>
      <c r="Q12010" s="18" t="s">
        <v>53076</v>
      </c>
      <c r="R12010" s="6"/>
      <c r="S12010" s="6"/>
      <c r="T12010" s="6"/>
      <c r="U12010" s="6"/>
      <c r="V12010" s="6"/>
      <c r="W12010" s="6"/>
      <c r="X12010" s="6"/>
    </row>
    <row r="12011" ht="14.25">
      <c r="B12011" s="18" t="s">
        <v>53181</v>
      </c>
      <c r="C12011" s="18" t="s">
        <v>53182</v>
      </c>
      <c r="D12011" s="18" t="s">
        <v>1130</v>
      </c>
      <c r="E12011" s="18" t="s">
        <v>53183</v>
      </c>
      <c r="F12011" s="18" t="str">
        <f>IFERROR(__XLUDF.DUMMYFUNCTION("PROPER(REGEXREPLACE(D79,""[^A-Za-z]+ "",""""))"),"Maisons Jb")</f>
        <v xml:space="preserve">Maisons Jb</v>
      </c>
      <c r="G12011" s="18" t="s">
        <v>53184</v>
      </c>
      <c r="H12011" s="18">
        <v>15</v>
      </c>
      <c r="I12011" s="18" t="s">
        <v>9239</v>
      </c>
      <c r="J12011" s="18" t="str">
        <f>IFERROR(__XLUDF.DUMMYFUNCTION("VLOOKUP(M79,IMPORTRANGE(""https://docs.google.com/spreadsheets/d/1opm6ZNvGZ7KditA9TuJwrZ25eFLfTNIkrNnY6mhV5Eg"",""list!A1:C115""),3,TRUE)"),"le secteur de la production alimentaire")</f>
        <v xml:space="preserve">le secteur de la production alimentaire</v>
      </c>
      <c r="K12011" s="5" t="s">
        <v>53185</v>
      </c>
      <c r="L12011" s="5" t="s">
        <v>53186</v>
      </c>
      <c r="M12011" s="18" t="s">
        <v>6412</v>
      </c>
      <c r="N12011" s="18" t="s">
        <v>29</v>
      </c>
      <c r="O12011" s="18" t="s">
        <v>53187</v>
      </c>
      <c r="P12011" s="18" t="s">
        <v>29</v>
      </c>
      <c r="Q12011" s="18" t="s">
        <v>53188</v>
      </c>
      <c r="R12011" s="6"/>
      <c r="S12011" s="6"/>
      <c r="T12011" s="6"/>
      <c r="U12011" s="6"/>
      <c r="V12011" s="6"/>
      <c r="W12011" s="6"/>
      <c r="X12011" s="6"/>
    </row>
    <row r="12012" ht="14.25">
      <c r="B12012" s="18" t="s">
        <v>222</v>
      </c>
      <c r="C12012" s="18" t="s">
        <v>46330</v>
      </c>
      <c r="D12012" s="18" t="s">
        <v>1950</v>
      </c>
      <c r="E12012" s="18" t="s">
        <v>46331</v>
      </c>
      <c r="F12012" s="18" t="str">
        <f>IFERROR(__XLUDF.DUMMYFUNCTION("PROPER(REGEXREPLACE(D80,""[^A-Za-z]+ "",""""))"),"Speyser Lucien Et Cie Sa")</f>
        <v xml:space="preserve">Speyser Lucien Et Cie Sa</v>
      </c>
      <c r="G12012" s="18" t="s">
        <v>46332</v>
      </c>
      <c r="H12012" s="18">
        <v>24</v>
      </c>
      <c r="I12012" s="18" t="s">
        <v>9239</v>
      </c>
      <c r="J12012" s="18" t="str">
        <f>IFERROR(__XLUDF.DUMMYFUNCTION("VLOOKUP(M80,IMPORTRANGE(""https://docs.google.com/spreadsheets/d/1opm6ZNvGZ7KditA9TuJwrZ25eFLfTNIkrNnY6mhV5Eg"",""list!A1:C115""),3,TRUE)"),"le secteur de la production alimentaire")</f>
        <v xml:space="preserve">le secteur de la production alimentaire</v>
      </c>
      <c r="K12012" s="5" t="s">
        <v>46333</v>
      </c>
      <c r="L12012" s="5" t="s">
        <v>46334</v>
      </c>
      <c r="M12012" s="18" t="s">
        <v>5742</v>
      </c>
      <c r="N12012" s="18" t="s">
        <v>29</v>
      </c>
      <c r="O12012" s="18" t="s">
        <v>46335</v>
      </c>
      <c r="P12012" s="18" t="s">
        <v>29</v>
      </c>
      <c r="Q12012" s="6"/>
      <c r="R12012" s="6"/>
      <c r="S12012" s="6"/>
      <c r="T12012" s="6"/>
      <c r="U12012" s="6"/>
      <c r="V12012" s="6"/>
      <c r="W12012" s="6"/>
      <c r="X12012" s="6"/>
    </row>
    <row r="12013" ht="14.25">
      <c r="B12013" s="18" t="s">
        <v>1667</v>
      </c>
      <c r="C12013" s="18" t="s">
        <v>15208</v>
      </c>
      <c r="D12013" s="18" t="s">
        <v>112</v>
      </c>
      <c r="E12013" s="18" t="s">
        <v>52839</v>
      </c>
      <c r="F12013" s="18" t="str">
        <f>IFERROR(__XLUDF.DUMMYFUNCTION("PROPER(REGEXREPLACE(D81,""[^A-Za-z]+ "",""""))"),"Malbrel Conservation")</f>
        <v xml:space="preserve">Malbrel Conservation</v>
      </c>
      <c r="G12013" s="18" t="s">
        <v>52840</v>
      </c>
      <c r="H12013" s="18">
        <v>18</v>
      </c>
      <c r="I12013" s="18" t="s">
        <v>9239</v>
      </c>
      <c r="J12013" s="18" t="str">
        <f>IFERROR(__XLUDF.DUMMYFUNCTION("VLOOKUP(M81,IMPORTRANGE(""https://docs.google.com/spreadsheets/d/1opm6ZNvGZ7KditA9TuJwrZ25eFLfTNIkrNnY6mhV5Eg"",""list!A1:C115""),3,TRUE)"),"le secteur de la production alimentaire")</f>
        <v xml:space="preserve">le secteur de la production alimentaire</v>
      </c>
      <c r="K12013" s="5" t="s">
        <v>52841</v>
      </c>
      <c r="L12013" s="5" t="s">
        <v>52842</v>
      </c>
      <c r="M12013" s="18" t="s">
        <v>9459</v>
      </c>
      <c r="N12013" s="18" t="s">
        <v>29</v>
      </c>
      <c r="O12013" s="18" t="s">
        <v>29</v>
      </c>
      <c r="P12013" s="18" t="s">
        <v>29</v>
      </c>
      <c r="Q12013" s="18" t="s">
        <v>52843</v>
      </c>
      <c r="R12013" s="6"/>
      <c r="S12013" s="6"/>
      <c r="T12013" s="6"/>
      <c r="U12013" s="6"/>
      <c r="V12013" s="6"/>
      <c r="W12013" s="6"/>
      <c r="X12013" s="6"/>
    </row>
    <row r="12014" ht="14.25">
      <c r="B12014" s="18" t="s">
        <v>49812</v>
      </c>
      <c r="C12014" s="18" t="s">
        <v>222</v>
      </c>
      <c r="D12014" s="18" t="s">
        <v>1130</v>
      </c>
      <c r="E12014" s="18" t="s">
        <v>49813</v>
      </c>
      <c r="F12014" s="18" t="str">
        <f>IFERROR(__XLUDF.DUMMYFUNCTION("PROPER(REGEXREPLACE(D82,""[^A-Za-z]+ "",""""))"),"Boulet Bâtiment")</f>
        <v xml:space="preserve">Boulet Bâtiment</v>
      </c>
      <c r="G12014" s="18" t="s">
        <v>49814</v>
      </c>
      <c r="H12014" s="18">
        <v>22</v>
      </c>
      <c r="I12014" s="18" t="s">
        <v>9239</v>
      </c>
      <c r="J12014" s="18" t="str">
        <f>IFERROR(__XLUDF.DUMMYFUNCTION("VLOOKUP(M82,IMPORTRANGE(""https://docs.google.com/spreadsheets/d/1opm6ZNvGZ7KditA9TuJwrZ25eFLfTNIkrNnY6mhV5Eg"",""list!A1:C115""),3,TRUE)"),"le secteur de la production alimentaire")</f>
        <v xml:space="preserve">le secteur de la production alimentaire</v>
      </c>
      <c r="K12014" s="5" t="s">
        <v>49815</v>
      </c>
      <c r="L12014" s="5" t="s">
        <v>49816</v>
      </c>
      <c r="M12014" s="18" t="s">
        <v>49817</v>
      </c>
      <c r="N12014" s="18" t="s">
        <v>29</v>
      </c>
      <c r="O12014" s="18" t="s">
        <v>49818</v>
      </c>
      <c r="P12014" s="18" t="s">
        <v>29</v>
      </c>
      <c r="Q12014" s="18" t="s">
        <v>49819</v>
      </c>
      <c r="R12014" s="6"/>
      <c r="S12014" s="6"/>
      <c r="T12014" s="6"/>
      <c r="U12014" s="6"/>
      <c r="V12014" s="6"/>
      <c r="W12014" s="6"/>
      <c r="X12014" s="6"/>
    </row>
    <row r="12015" ht="14.25">
      <c r="B12015" s="18" t="s">
        <v>734</v>
      </c>
      <c r="C12015" s="18" t="s">
        <v>25313</v>
      </c>
      <c r="D12015" s="18" t="s">
        <v>172</v>
      </c>
      <c r="E12015" s="18" t="s">
        <v>49589</v>
      </c>
      <c r="F12015" s="18" t="str">
        <f>IFERROR(__XLUDF.DUMMYFUNCTION("PROPER(REGEXREPLACE(D83,""[^A-Za-z]+ "",""""))"),"Adeclim")</f>
        <v>Adeclim</v>
      </c>
      <c r="G12015" s="18" t="s">
        <v>55839</v>
      </c>
      <c r="H12015" s="18">
        <v>24</v>
      </c>
      <c r="I12015" s="18" t="s">
        <v>9239</v>
      </c>
      <c r="J12015" s="18" t="str">
        <f>IFERROR(__XLUDF.DUMMYFUNCTION("VLOOKUP(M83,IMPORTRANGE(""https://docs.google.com/spreadsheets/d/1opm6ZNvGZ7KditA9TuJwrZ25eFLfTNIkrNnY6mhV5Eg"",""list!A1:C115""),3,TRUE)"),"le secteur de la production alimentaire")</f>
        <v xml:space="preserve">le secteur de la production alimentaire</v>
      </c>
      <c r="K12015" s="5" t="s">
        <v>55840</v>
      </c>
      <c r="L12015" s="5" t="s">
        <v>49592</v>
      </c>
      <c r="M12015" s="18" t="s">
        <v>1711</v>
      </c>
      <c r="N12015" s="18" t="s">
        <v>29</v>
      </c>
      <c r="O12015" s="18" t="s">
        <v>49593</v>
      </c>
      <c r="P12015" s="18" t="s">
        <v>29</v>
      </c>
      <c r="Q12015" s="18" t="s">
        <v>49594</v>
      </c>
      <c r="R12015" s="6"/>
      <c r="S12015" s="6"/>
      <c r="T12015" s="6"/>
      <c r="U12015" s="6"/>
      <c r="V12015" s="6"/>
      <c r="W12015" s="6"/>
      <c r="X12015" s="6"/>
    </row>
    <row r="12016" ht="14.25">
      <c r="B12016" s="18" t="s">
        <v>734</v>
      </c>
      <c r="C12016" s="18" t="s">
        <v>3745</v>
      </c>
      <c r="D12016" s="18" t="s">
        <v>468</v>
      </c>
      <c r="E12016" s="18" t="s">
        <v>44909</v>
      </c>
      <c r="F12016" s="18" t="str">
        <f>IFERROR(__XLUDF.DUMMYFUNCTION("PROPER(REGEXREPLACE(D84,""[^A-Za-z]+ "",""""))"),"Groupe Tilkeo")</f>
        <v xml:space="preserve">Groupe Tilkeo</v>
      </c>
      <c r="G12016" s="18" t="s">
        <v>44910</v>
      </c>
      <c r="H12016" s="18">
        <v>37</v>
      </c>
      <c r="I12016" s="18" t="s">
        <v>9239</v>
      </c>
      <c r="J12016" s="18" t="str">
        <f>IFERROR(__XLUDF.DUMMYFUNCTION("VLOOKUP(M84,IMPORTRANGE(""https://docs.google.com/spreadsheets/d/1opm6ZNvGZ7KditA9TuJwrZ25eFLfTNIkrNnY6mhV5Eg"",""list!A1:C115""),3,TRUE)"),"le secteur de la production alimentaire")</f>
        <v xml:space="preserve">le secteur de la production alimentaire</v>
      </c>
      <c r="K12016" s="5" t="s">
        <v>44911</v>
      </c>
      <c r="L12016" s="5" t="s">
        <v>44912</v>
      </c>
      <c r="M12016" s="18" t="s">
        <v>44913</v>
      </c>
      <c r="N12016" s="18" t="s">
        <v>29</v>
      </c>
      <c r="O12016" s="18" t="s">
        <v>44914</v>
      </c>
      <c r="P12016" s="18" t="s">
        <v>29</v>
      </c>
      <c r="Q12016" s="18" t="s">
        <v>44915</v>
      </c>
      <c r="R12016" s="6"/>
      <c r="S12016" s="6"/>
      <c r="T12016" s="6"/>
      <c r="U12016" s="6"/>
      <c r="V12016" s="6"/>
      <c r="W12016" s="6"/>
      <c r="X12016" s="6"/>
    </row>
    <row r="12017" ht="14.25">
      <c r="B12017" s="18" t="s">
        <v>734</v>
      </c>
      <c r="C12017" s="18" t="s">
        <v>44891</v>
      </c>
      <c r="D12017" s="18" t="s">
        <v>172</v>
      </c>
      <c r="E12017" s="18" t="s">
        <v>44892</v>
      </c>
      <c r="F12017" s="18" t="str">
        <f>IFERROR(__XLUDF.DUMMYFUNCTION("PROPER(REGEXREPLACE(D85,""[^A-Za-z]+ "",""""))"),"Debevre Ventilation")</f>
        <v xml:space="preserve">Debevre Ventilation</v>
      </c>
      <c r="G12017" s="18" t="s">
        <v>44893</v>
      </c>
      <c r="H12017" s="18">
        <v>29</v>
      </c>
      <c r="I12017" s="18" t="s">
        <v>9239</v>
      </c>
      <c r="J12017" s="18" t="str">
        <f>IFERROR(__XLUDF.DUMMYFUNCTION("VLOOKUP(M85,IMPORTRANGE(""https://docs.google.com/spreadsheets/d/1opm6ZNvGZ7KditA9TuJwrZ25eFLfTNIkrNnY6mhV5Eg"",""list!A1:C115""),3,TRUE)"),"le secteur de la production alimentaire")</f>
        <v xml:space="preserve">le secteur de la production alimentaire</v>
      </c>
      <c r="K12017" s="5" t="s">
        <v>44894</v>
      </c>
      <c r="L12017" s="5" t="s">
        <v>44895</v>
      </c>
      <c r="M12017" s="18" t="s">
        <v>44896</v>
      </c>
      <c r="N12017" s="18" t="s">
        <v>29</v>
      </c>
      <c r="O12017" s="18" t="s">
        <v>44897</v>
      </c>
      <c r="P12017" s="18" t="s">
        <v>29</v>
      </c>
      <c r="Q12017" s="18" t="s">
        <v>44898</v>
      </c>
      <c r="R12017" s="6"/>
      <c r="S12017" s="6"/>
      <c r="T12017" s="6"/>
      <c r="U12017" s="6"/>
      <c r="V12017" s="6"/>
      <c r="W12017" s="6"/>
      <c r="X12017" s="6"/>
    </row>
    <row r="12018" ht="14.25">
      <c r="B12018" s="18" t="s">
        <v>734</v>
      </c>
      <c r="C12018" s="18" t="s">
        <v>52726</v>
      </c>
      <c r="D12018" s="18" t="s">
        <v>112</v>
      </c>
      <c r="E12018" s="18" t="s">
        <v>52727</v>
      </c>
      <c r="F12018" s="18" t="str">
        <f>IFERROR(__XLUDF.DUMMYFUNCTION("PROPER(REGEXREPLACE(D86,""[^A-Za-z]+ "",""""))"),"Hdms")</f>
        <v>Hdms</v>
      </c>
      <c r="G12018" s="18" t="s">
        <v>52728</v>
      </c>
      <c r="H12018" s="18">
        <v>15</v>
      </c>
      <c r="I12018" s="18" t="s">
        <v>9239</v>
      </c>
      <c r="J12018" s="18" t="str">
        <f>IFERROR(__XLUDF.DUMMYFUNCTION("VLOOKUP(M86,IMPORTRANGE(""https://docs.google.com/spreadsheets/d/1opm6ZNvGZ7KditA9TuJwrZ25eFLfTNIkrNnY6mhV5Eg"",""list!A1:C115""),3,TRUE)"),"le secteur de la production alimentaire")</f>
        <v xml:space="preserve">le secteur de la production alimentaire</v>
      </c>
      <c r="K12018" s="5" t="s">
        <v>55841</v>
      </c>
      <c r="L12018" s="5" t="s">
        <v>52730</v>
      </c>
      <c r="M12018" s="18" t="s">
        <v>243</v>
      </c>
      <c r="N12018" s="18" t="s">
        <v>29</v>
      </c>
      <c r="O12018" s="18" t="s">
        <v>52731</v>
      </c>
      <c r="P12018" s="18" t="s">
        <v>29</v>
      </c>
      <c r="Q12018" s="18" t="s">
        <v>52732</v>
      </c>
      <c r="R12018" s="6"/>
      <c r="S12018" s="6"/>
      <c r="T12018" s="6"/>
      <c r="U12018" s="6"/>
      <c r="V12018" s="6"/>
      <c r="W12018" s="6"/>
      <c r="X12018" s="6"/>
    </row>
    <row r="12019" ht="14.25">
      <c r="B12019" s="18" t="s">
        <v>50889</v>
      </c>
      <c r="C12019" s="18" t="s">
        <v>4012</v>
      </c>
      <c r="D12019" s="18" t="s">
        <v>487</v>
      </c>
      <c r="E12019" s="18" t="s">
        <v>50890</v>
      </c>
      <c r="F12019" s="18" t="str">
        <f>IFERROR(__XLUDF.DUMMYFUNCTION("PROPER(REGEXREPLACE(D87,""[^A-Za-z]+ "",""""))"),"Exa Ecs")</f>
        <v xml:space="preserve">Exa Ecs</v>
      </c>
      <c r="G12019" s="18" t="s">
        <v>50891</v>
      </c>
      <c r="H12019" s="18">
        <v>19</v>
      </c>
      <c r="I12019" s="18" t="s">
        <v>9239</v>
      </c>
      <c r="J12019" s="18" t="str">
        <f>IFERROR(__XLUDF.DUMMYFUNCTION("VLOOKUP(M87,IMPORTRANGE(""https://docs.google.com/spreadsheets/d/1opm6ZNvGZ7KditA9TuJwrZ25eFLfTNIkrNnY6mhV5Eg"",""list!A1:C115""),3,TRUE)"),"le secteur de la production alimentaire")</f>
        <v xml:space="preserve">le secteur de la production alimentaire</v>
      </c>
      <c r="K12019" s="5" t="s">
        <v>50892</v>
      </c>
      <c r="L12019" s="5" t="s">
        <v>50893</v>
      </c>
      <c r="M12019" s="18" t="s">
        <v>29304</v>
      </c>
      <c r="N12019" s="18" t="s">
        <v>29</v>
      </c>
      <c r="O12019" s="18" t="s">
        <v>50894</v>
      </c>
      <c r="P12019" s="18" t="s">
        <v>29</v>
      </c>
      <c r="Q12019" s="18" t="s">
        <v>50895</v>
      </c>
      <c r="R12019" s="6"/>
      <c r="S12019" s="6"/>
      <c r="T12019" s="6"/>
      <c r="U12019" s="6"/>
      <c r="V12019" s="6"/>
      <c r="W12019" s="6"/>
      <c r="X12019" s="6"/>
    </row>
    <row r="12020" ht="14.25">
      <c r="B12020" s="18" t="s">
        <v>222</v>
      </c>
      <c r="C12020" s="18" t="s">
        <v>48937</v>
      </c>
      <c r="D12020" s="18" t="s">
        <v>172</v>
      </c>
      <c r="E12020" s="18" t="s">
        <v>48938</v>
      </c>
      <c r="F12020" s="18" t="str">
        <f>IFERROR(__XLUDF.DUMMYFUNCTION("PROPER(REGEXREPLACE(D88,""[^A-Za-z]+ "",""""))"),"Mecoworks")</f>
        <v>Mecoworks</v>
      </c>
      <c r="G12020" s="18" t="s">
        <v>48939</v>
      </c>
      <c r="H12020" s="18">
        <v>32</v>
      </c>
      <c r="I12020" s="18" t="s">
        <v>9239</v>
      </c>
      <c r="J12020" s="18" t="str">
        <f>IFERROR(__XLUDF.DUMMYFUNCTION("VLOOKUP(M88,IMPORTRANGE(""https://docs.google.com/spreadsheets/d/1opm6ZNvGZ7KditA9TuJwrZ25eFLfTNIkrNnY6mhV5Eg"",""list!A1:C115""),3,TRUE)"),"le secteur de la production alimentaire")</f>
        <v xml:space="preserve">le secteur de la production alimentaire</v>
      </c>
      <c r="K12020" s="5" t="s">
        <v>55842</v>
      </c>
      <c r="L12020" s="5" t="s">
        <v>48941</v>
      </c>
      <c r="M12020" s="18" t="s">
        <v>83</v>
      </c>
      <c r="N12020" s="18" t="s">
        <v>29</v>
      </c>
      <c r="O12020" s="18" t="s">
        <v>29</v>
      </c>
      <c r="P12020" s="18" t="s">
        <v>29</v>
      </c>
      <c r="Q12020" s="6"/>
      <c r="R12020" s="6"/>
      <c r="S12020" s="6"/>
      <c r="T12020" s="6"/>
      <c r="U12020" s="6"/>
      <c r="V12020" s="6"/>
      <c r="W12020" s="6"/>
      <c r="X12020" s="6"/>
    </row>
    <row r="12021" ht="14.25">
      <c r="B12021" s="18" t="s">
        <v>222</v>
      </c>
      <c r="C12021" s="18" t="s">
        <v>49754</v>
      </c>
      <c r="D12021" s="18" t="s">
        <v>29084</v>
      </c>
      <c r="E12021" s="18" t="s">
        <v>49755</v>
      </c>
      <c r="F12021" s="18" t="str">
        <f>IFERROR(__XLUDF.DUMMYFUNCTION("PROPER(REGEXREPLACE(D89,""[^A-Za-z]+ "",""""))"),"Arbonia Climate")</f>
        <v xml:space="preserve">Arbonia Climate</v>
      </c>
      <c r="G12021" s="18" t="s">
        <v>49756</v>
      </c>
      <c r="H12021" s="18">
        <v>13</v>
      </c>
      <c r="I12021" s="18" t="s">
        <v>9239</v>
      </c>
      <c r="J12021" s="18" t="str">
        <f>IFERROR(__XLUDF.DUMMYFUNCTION("VLOOKUP(M89,IMPORTRANGE(""https://docs.google.com/spreadsheets/d/1opm6ZNvGZ7KditA9TuJwrZ25eFLfTNIkrNnY6mhV5Eg"",""list!A1:C115""),3,TRUE)"),"le secteur de la production alimentaire")</f>
        <v xml:space="preserve">le secteur de la production alimentaire</v>
      </c>
      <c r="K12021" s="5" t="s">
        <v>49757</v>
      </c>
      <c r="L12021" s="5" t="s">
        <v>49758</v>
      </c>
      <c r="M12021" s="6"/>
      <c r="N12021" s="18" t="s">
        <v>29</v>
      </c>
      <c r="O12021" s="6"/>
      <c r="P12021" s="6"/>
      <c r="Q12021" s="18" t="s">
        <v>49759</v>
      </c>
      <c r="R12021" s="6"/>
      <c r="S12021" s="6"/>
      <c r="T12021" s="6"/>
      <c r="U12021" s="6"/>
      <c r="V12021" s="6"/>
      <c r="W12021" s="6"/>
      <c r="X12021" s="6"/>
    </row>
    <row r="12022" ht="14.25">
      <c r="B12022" s="18" t="s">
        <v>222</v>
      </c>
      <c r="C12022" s="18" t="s">
        <v>41573</v>
      </c>
      <c r="D12022" s="18" t="s">
        <v>49497</v>
      </c>
      <c r="E12022" s="18" t="s">
        <v>45267</v>
      </c>
      <c r="F12022" s="18" t="str">
        <f>IFERROR(__XLUDF.DUMMYFUNCTION("PROPER(REGEXREPLACE(D90,""[^A-Za-z]+ "",""""))"),"Bureau D'Etudes Qsb")</f>
        <v xml:space="preserve">Bureau D'Etudes Qsb</v>
      </c>
      <c r="G12022" s="18" t="s">
        <v>49498</v>
      </c>
      <c r="H12022" s="18">
        <v>18</v>
      </c>
      <c r="I12022" s="18" t="s">
        <v>9239</v>
      </c>
      <c r="J12022" s="18" t="str">
        <f>IFERROR(__XLUDF.DUMMYFUNCTION("VLOOKUP(M90,IMPORTRANGE(""https://docs.google.com/spreadsheets/d/1opm6ZNvGZ7KditA9TuJwrZ25eFLfTNIkrNnY6mhV5Eg"",""list!A1:C115""),3,TRUE)"),"le secteur de la production alimentaire")</f>
        <v xml:space="preserve">le secteur de la production alimentaire</v>
      </c>
      <c r="K12022" s="5" t="s">
        <v>49499</v>
      </c>
      <c r="L12022" s="5" t="s">
        <v>45270</v>
      </c>
      <c r="M12022" s="18" t="s">
        <v>731</v>
      </c>
      <c r="N12022" s="18" t="s">
        <v>29</v>
      </c>
      <c r="O12022" s="18" t="s">
        <v>45271</v>
      </c>
      <c r="P12022" s="18" t="s">
        <v>29</v>
      </c>
      <c r="Q12022" s="18" t="s">
        <v>45272</v>
      </c>
      <c r="R12022" s="6"/>
      <c r="S12022" s="6"/>
      <c r="T12022" s="6"/>
      <c r="U12022" s="6"/>
      <c r="V12022" s="6"/>
      <c r="W12022" s="6"/>
      <c r="X12022" s="6"/>
    </row>
    <row r="12023" ht="14.25">
      <c r="B12023" s="18" t="s">
        <v>222</v>
      </c>
      <c r="C12023" s="18" t="s">
        <v>53049</v>
      </c>
      <c r="D12023" s="18" t="s">
        <v>112</v>
      </c>
      <c r="E12023" s="18" t="s">
        <v>53050</v>
      </c>
      <c r="F12023" s="18" t="str">
        <f>IFERROR(__XLUDF.DUMMYFUNCTION("PROPER(REGEXREPLACE(D91,""[^A-Za-z]+ "",""""))"),"Pasteur Tp")</f>
        <v xml:space="preserve">Pasteur Tp</v>
      </c>
      <c r="G12023" s="18" t="s">
        <v>53051</v>
      </c>
      <c r="H12023" s="18">
        <v>16</v>
      </c>
      <c r="I12023" s="18" t="s">
        <v>9239</v>
      </c>
      <c r="J12023" s="18" t="str">
        <f>IFERROR(__XLUDF.DUMMYFUNCTION("VLOOKUP(M91,IMPORTRANGE(""https://docs.google.com/spreadsheets/d/1opm6ZNvGZ7KditA9TuJwrZ25eFLfTNIkrNnY6mhV5Eg"",""list!A1:C115""),3,TRUE)"),"le secteur de la production alimentaire")</f>
        <v xml:space="preserve">le secteur de la production alimentaire</v>
      </c>
      <c r="K12023" s="5" t="s">
        <v>53052</v>
      </c>
      <c r="L12023" s="5" t="s">
        <v>53053</v>
      </c>
      <c r="M12023" s="18" t="s">
        <v>5565</v>
      </c>
      <c r="N12023" s="18" t="s">
        <v>29</v>
      </c>
      <c r="O12023" s="18" t="s">
        <v>53054</v>
      </c>
      <c r="P12023" s="18" t="s">
        <v>29</v>
      </c>
      <c r="Q12023" s="18" t="s">
        <v>53055</v>
      </c>
      <c r="R12023" s="6"/>
      <c r="S12023" s="6"/>
      <c r="T12023" s="6"/>
      <c r="U12023" s="6"/>
      <c r="V12023" s="6"/>
      <c r="W12023" s="6"/>
      <c r="X12023" s="6"/>
    </row>
    <row r="12024" ht="14.25">
      <c r="B12024" s="18" t="s">
        <v>222</v>
      </c>
      <c r="C12024" s="18" t="s">
        <v>49747</v>
      </c>
      <c r="D12024" s="18" t="s">
        <v>49748</v>
      </c>
      <c r="E12024" s="18" t="s">
        <v>49749</v>
      </c>
      <c r="F12024" s="18" t="str">
        <f>IFERROR(__XLUDF.DUMMYFUNCTION("PROPER(REGEXREPLACE(D92,""[^A-Za-z]+ "",""""))"),"Climelec Entreprise Sas")</f>
        <v xml:space="preserve">Climelec Entreprise Sas</v>
      </c>
      <c r="G12024" s="18" t="s">
        <v>49750</v>
      </c>
      <c r="H12024" s="18">
        <v>15</v>
      </c>
      <c r="I12024" s="18" t="s">
        <v>9239</v>
      </c>
      <c r="J12024" s="18" t="str">
        <f>IFERROR(__XLUDF.DUMMYFUNCTION("VLOOKUP(M92,IMPORTRANGE(""https://docs.google.com/spreadsheets/d/1opm6ZNvGZ7KditA9TuJwrZ25eFLfTNIkrNnY6mhV5Eg"",""list!A1:C115""),3,TRUE)"),"le secteur de la production alimentaire")</f>
        <v xml:space="preserve">le secteur de la production alimentaire</v>
      </c>
      <c r="K12024" s="5" t="s">
        <v>49751</v>
      </c>
      <c r="L12024" s="5" t="s">
        <v>49752</v>
      </c>
      <c r="M12024" s="18" t="s">
        <v>295</v>
      </c>
      <c r="N12024" s="18" t="s">
        <v>29</v>
      </c>
      <c r="O12024" s="18" t="s">
        <v>49753</v>
      </c>
      <c r="P12024" s="18" t="s">
        <v>29</v>
      </c>
      <c r="Q12024" s="18" t="s">
        <v>55843</v>
      </c>
      <c r="R12024" s="6"/>
      <c r="S12024" s="6"/>
      <c r="T12024" s="6"/>
      <c r="U12024" s="6"/>
      <c r="V12024" s="6"/>
      <c r="W12024" s="6"/>
      <c r="X12024" s="6"/>
    </row>
    <row r="12025" ht="14.25">
      <c r="B12025" s="18" t="s">
        <v>222</v>
      </c>
      <c r="C12025" s="18" t="s">
        <v>46261</v>
      </c>
      <c r="D12025" s="18" t="s">
        <v>172</v>
      </c>
      <c r="E12025" s="18" t="s">
        <v>46262</v>
      </c>
      <c r="F12025" s="18" t="str">
        <f>IFERROR(__XLUDF.DUMMYFUNCTION("PROPER(REGEXREPLACE(D93,""[^A-Za-z]+ "",""""))"),"Constructions Idéale Demeure")</f>
        <v xml:space="preserve">Constructions Idéale Demeure</v>
      </c>
      <c r="G12025" s="18" t="s">
        <v>46263</v>
      </c>
      <c r="H12025" s="18">
        <v>11</v>
      </c>
      <c r="I12025" s="18" t="s">
        <v>9239</v>
      </c>
      <c r="J12025" s="18" t="str">
        <f>IFERROR(__XLUDF.DUMMYFUNCTION("VLOOKUP(M93,IMPORTRANGE(""https://docs.google.com/spreadsheets/d/1opm6ZNvGZ7KditA9TuJwrZ25eFLfTNIkrNnY6mhV5Eg"",""list!A1:C115""),3,TRUE)"),"le secteur de la production alimentaire")</f>
        <v xml:space="preserve">le secteur de la production alimentaire</v>
      </c>
      <c r="K12025" s="5" t="s">
        <v>46264</v>
      </c>
      <c r="L12025" s="5" t="s">
        <v>46265</v>
      </c>
      <c r="M12025" s="6"/>
      <c r="N12025" s="18" t="s">
        <v>29</v>
      </c>
      <c r="O12025" s="18" t="s">
        <v>46266</v>
      </c>
      <c r="P12025" s="18" t="s">
        <v>29</v>
      </c>
      <c r="Q12025" s="6"/>
      <c r="R12025" s="6"/>
      <c r="S12025" s="6"/>
      <c r="T12025" s="6"/>
      <c r="U12025" s="6"/>
      <c r="V12025" s="6"/>
      <c r="W12025" s="6"/>
      <c r="X12025" s="6"/>
    </row>
    <row r="12026" ht="14.25">
      <c r="B12026" s="18" t="s">
        <v>734</v>
      </c>
      <c r="C12026" s="18" t="s">
        <v>5636</v>
      </c>
      <c r="D12026" s="18" t="s">
        <v>172</v>
      </c>
      <c r="E12026" s="18" t="s">
        <v>51541</v>
      </c>
      <c r="F12026" s="18" t="str">
        <f>IFERROR(__XLUDF.DUMMYFUNCTION("PROPER(REGEXREPLACE(D94,""[^A-Za-z]+ "",""""))"),"C.R.D")</f>
        <v>C.R.D</v>
      </c>
      <c r="G12026" s="18" t="s">
        <v>51542</v>
      </c>
      <c r="H12026" s="18">
        <v>11</v>
      </c>
      <c r="I12026" s="18" t="s">
        <v>9239</v>
      </c>
      <c r="J12026" s="18" t="str">
        <f>IFERROR(__XLUDF.DUMMYFUNCTION("VLOOKUP(M94,IMPORTRANGE(""https://docs.google.com/spreadsheets/d/1opm6ZNvGZ7KditA9TuJwrZ25eFLfTNIkrNnY6mhV5Eg"",""list!A1:C115""),3,TRUE)"),"le secteur de la production alimentaire")</f>
        <v xml:space="preserve">le secteur de la production alimentaire</v>
      </c>
      <c r="K12026" s="5" t="s">
        <v>51543</v>
      </c>
      <c r="L12026" s="5" t="s">
        <v>51544</v>
      </c>
      <c r="M12026" s="18" t="s">
        <v>1826</v>
      </c>
      <c r="N12026" s="18" t="s">
        <v>29</v>
      </c>
      <c r="O12026" s="18" t="s">
        <v>51545</v>
      </c>
      <c r="P12026" s="18" t="s">
        <v>29</v>
      </c>
      <c r="Q12026" s="18" t="s">
        <v>51546</v>
      </c>
      <c r="R12026" s="6"/>
      <c r="S12026" s="6"/>
      <c r="T12026" s="6"/>
      <c r="U12026" s="6"/>
      <c r="V12026" s="6"/>
      <c r="W12026" s="6"/>
      <c r="X12026" s="6"/>
    </row>
    <row r="12027" ht="14.25">
      <c r="B12027" s="18" t="s">
        <v>245</v>
      </c>
      <c r="C12027" s="18" t="s">
        <v>19154</v>
      </c>
      <c r="D12027" s="18" t="s">
        <v>50019</v>
      </c>
      <c r="E12027" s="18" t="s">
        <v>50020</v>
      </c>
      <c r="F12027" s="18" t="str">
        <f>IFERROR(__XLUDF.DUMMYFUNCTION("PROPER(REGEXREPLACE(D95,""[^A-Za-z]+ "",""""))"),"3Cs")</f>
        <v>3Cs</v>
      </c>
      <c r="G12027" s="18" t="s">
        <v>50021</v>
      </c>
      <c r="H12027" s="18">
        <v>13</v>
      </c>
      <c r="I12027" s="18" t="s">
        <v>9239</v>
      </c>
      <c r="J12027" s="18" t="str">
        <f>IFERROR(__XLUDF.DUMMYFUNCTION("VLOOKUP(M95,IMPORTRANGE(""https://docs.google.com/spreadsheets/d/1opm6ZNvGZ7KditA9TuJwrZ25eFLfTNIkrNnY6mhV5Eg"",""list!A1:C115""),3,TRUE)"),"le secteur de la production alimentaire")</f>
        <v xml:space="preserve">le secteur de la production alimentaire</v>
      </c>
      <c r="K12027" s="5" t="s">
        <v>50022</v>
      </c>
      <c r="L12027" s="5" t="s">
        <v>50023</v>
      </c>
      <c r="M12027" s="6"/>
      <c r="N12027" s="18" t="s">
        <v>29</v>
      </c>
      <c r="O12027" s="18" t="s">
        <v>42956</v>
      </c>
      <c r="P12027" s="18" t="s">
        <v>29</v>
      </c>
      <c r="Q12027" s="6"/>
      <c r="R12027" s="6"/>
      <c r="S12027" s="6"/>
      <c r="T12027" s="6"/>
      <c r="U12027" s="6"/>
      <c r="V12027" s="6"/>
      <c r="W12027" s="6"/>
      <c r="X12027" s="6"/>
    </row>
    <row r="12028" ht="14.25">
      <c r="B12028" s="18" t="s">
        <v>5679</v>
      </c>
      <c r="C12028" s="18" t="s">
        <v>3280</v>
      </c>
      <c r="D12028" s="18" t="s">
        <v>172</v>
      </c>
      <c r="E12028" s="18" t="s">
        <v>52673</v>
      </c>
      <c r="F12028" s="18" t="str">
        <f>IFERROR(__XLUDF.DUMMYFUNCTION("PROPER(REGEXREPLACE(D96,""[^A-Za-z]+ "",""""))"),"France-Lanordbichaton Entreprise Générale")</f>
        <v xml:space="preserve">France-Lanordbichaton Entreprise Générale</v>
      </c>
      <c r="G12028" s="18" t="s">
        <v>52822</v>
      </c>
      <c r="H12028" s="18">
        <v>30</v>
      </c>
      <c r="I12028" s="18" t="s">
        <v>9239</v>
      </c>
      <c r="J12028" s="18" t="str">
        <f>IFERROR(__XLUDF.DUMMYFUNCTION("VLOOKUP(M96,IMPORTRANGE(""https://docs.google.com/spreadsheets/d/1opm6ZNvGZ7KditA9TuJwrZ25eFLfTNIkrNnY6mhV5Eg"",""list!A1:C115""),3,TRUE)"),"le secteur de la production alimentaire")</f>
        <v xml:space="preserve">le secteur de la production alimentaire</v>
      </c>
      <c r="K12028" s="5" t="s">
        <v>52823</v>
      </c>
      <c r="L12028" s="5" t="s">
        <v>52676</v>
      </c>
      <c r="M12028" s="18" t="s">
        <v>52824</v>
      </c>
      <c r="N12028" s="18" t="s">
        <v>29</v>
      </c>
      <c r="O12028" s="18" t="s">
        <v>52677</v>
      </c>
      <c r="P12028" s="18" t="s">
        <v>29</v>
      </c>
      <c r="Q12028" s="18" t="s">
        <v>52678</v>
      </c>
      <c r="R12028" s="6"/>
      <c r="S12028" s="6"/>
      <c r="T12028" s="6"/>
      <c r="U12028" s="6"/>
      <c r="V12028" s="6"/>
      <c r="W12028" s="6"/>
      <c r="X12028" s="6"/>
    </row>
    <row r="12029" ht="14.25">
      <c r="B12029" s="18" t="s">
        <v>222</v>
      </c>
      <c r="C12029" s="18" t="s">
        <v>10834</v>
      </c>
      <c r="D12029" s="18" t="s">
        <v>7759</v>
      </c>
      <c r="E12029" s="18" t="s">
        <v>10836</v>
      </c>
      <c r="F12029" s="18" t="str">
        <f>IFERROR(__XLUDF.DUMMYFUNCTION("PROPER(REGEXREPLACE(D97,""[^A-Za-z]+ "",""""))"),"Tec2E")</f>
        <v>Tec2E</v>
      </c>
      <c r="G12029" s="18" t="s">
        <v>10835</v>
      </c>
      <c r="H12029" s="18">
        <v>34</v>
      </c>
      <c r="I12029" s="18" t="s">
        <v>9239</v>
      </c>
      <c r="J12029" s="18" t="str">
        <f>IFERROR(__XLUDF.DUMMYFUNCTION("VLOOKUP(M97,IMPORTRANGE(""https://docs.google.com/spreadsheets/d/1opm6ZNvGZ7KditA9TuJwrZ25eFLfTNIkrNnY6mhV5Eg"",""list!A1:C115""),3,TRUE)"),"le secteur de la production alimentaire")</f>
        <v xml:space="preserve">le secteur de la production alimentaire</v>
      </c>
      <c r="K12029" s="5" t="s">
        <v>10841</v>
      </c>
      <c r="L12029" s="5" t="s">
        <v>55844</v>
      </c>
      <c r="M12029" s="18" t="s">
        <v>9330</v>
      </c>
      <c r="N12029" s="18" t="s">
        <v>29</v>
      </c>
      <c r="O12029" s="18" t="s">
        <v>55845</v>
      </c>
      <c r="P12029" s="18" t="s">
        <v>29</v>
      </c>
      <c r="Q12029" s="18" t="s">
        <v>10840</v>
      </c>
      <c r="R12029" s="6"/>
      <c r="S12029" s="6"/>
      <c r="T12029" s="6"/>
      <c r="U12029" s="6"/>
      <c r="V12029" s="6"/>
      <c r="W12029" s="6"/>
      <c r="X12029" s="6"/>
    </row>
    <row r="12030" ht="14.25">
      <c r="B12030" s="18" t="s">
        <v>48774</v>
      </c>
      <c r="C12030" s="18" t="s">
        <v>48930</v>
      </c>
      <c r="D12030" s="18" t="s">
        <v>48931</v>
      </c>
      <c r="E12030" s="18" t="s">
        <v>48932</v>
      </c>
      <c r="F12030" s="18" t="str">
        <f>IFERROR(__XLUDF.DUMMYFUNCTION("PROPER(REGEXREPLACE(D98,""[^A-Za-z]+ "",""""))"),"Avoltis Rénovation")</f>
        <v xml:space="preserve">Avoltis Rénovation</v>
      </c>
      <c r="G12030" s="18" t="s">
        <v>48933</v>
      </c>
      <c r="H12030" s="18">
        <v>9</v>
      </c>
      <c r="I12030" s="18" t="s">
        <v>9239</v>
      </c>
      <c r="J12030" s="18" t="str">
        <f>IFERROR(__XLUDF.DUMMYFUNCTION("VLOOKUP(M98,IMPORTRANGE(""https://docs.google.com/spreadsheets/d/1opm6ZNvGZ7KditA9TuJwrZ25eFLfTNIkrNnY6mhV5Eg"",""list!A1:C115""),3,TRUE)"),"le secteur de la production alimentaire")</f>
        <v xml:space="preserve">le secteur de la production alimentaire</v>
      </c>
      <c r="K12030" s="5" t="s">
        <v>48934</v>
      </c>
      <c r="L12030" s="5" t="s">
        <v>48935</v>
      </c>
      <c r="M12030" s="18" t="s">
        <v>39</v>
      </c>
      <c r="N12030" s="18" t="s">
        <v>29</v>
      </c>
      <c r="O12030" s="18" t="s">
        <v>7599</v>
      </c>
      <c r="P12030" s="18" t="s">
        <v>29</v>
      </c>
      <c r="Q12030" s="18" t="s">
        <v>55846</v>
      </c>
      <c r="R12030" s="6"/>
      <c r="S12030" s="6"/>
      <c r="T12030" s="6"/>
      <c r="U12030" s="6"/>
      <c r="V12030" s="6"/>
      <c r="W12030" s="6"/>
      <c r="X12030" s="6"/>
    </row>
    <row r="12031" ht="14.25">
      <c r="B12031" s="18" t="s">
        <v>4012</v>
      </c>
      <c r="C12031" s="18" t="s">
        <v>52944</v>
      </c>
      <c r="D12031" s="18" t="s">
        <v>1130</v>
      </c>
      <c r="E12031" s="18" t="s">
        <v>49741</v>
      </c>
      <c r="F12031" s="18" t="str">
        <f>IFERROR(__XLUDF.DUMMYFUNCTION("PROPER(REGEXREPLACE(D99,""[^A-Za-z]+ "",""""))"),"Cpl Bois")</f>
        <v xml:space="preserve">Cpl Bois</v>
      </c>
      <c r="G12031" s="18" t="s">
        <v>52945</v>
      </c>
      <c r="H12031" s="18">
        <v>23</v>
      </c>
      <c r="I12031" s="18" t="s">
        <v>9239</v>
      </c>
      <c r="J12031" s="18" t="str">
        <f>IFERROR(__XLUDF.DUMMYFUNCTION("VLOOKUP(M99,IMPORTRANGE(""https://docs.google.com/spreadsheets/d/1opm6ZNvGZ7KditA9TuJwrZ25eFLfTNIkrNnY6mhV5Eg"",""list!A1:C115""),3,TRUE)"),"le secteur de la production alimentaire")</f>
        <v xml:space="preserve">le secteur de la production alimentaire</v>
      </c>
      <c r="K12031" s="5" t="s">
        <v>52946</v>
      </c>
      <c r="L12031" s="5" t="s">
        <v>52947</v>
      </c>
      <c r="M12031" s="18" t="s">
        <v>6954</v>
      </c>
      <c r="N12031" s="18" t="s">
        <v>29</v>
      </c>
      <c r="O12031" s="18" t="s">
        <v>49746</v>
      </c>
      <c r="P12031" s="18" t="s">
        <v>29</v>
      </c>
      <c r="Q12031" s="18" t="s">
        <v>52948</v>
      </c>
      <c r="R12031" s="6"/>
      <c r="S12031" s="6"/>
      <c r="T12031" s="6"/>
      <c r="U12031" s="6"/>
      <c r="V12031" s="6"/>
      <c r="W12031" s="6"/>
      <c r="X12031" s="6"/>
    </row>
    <row r="12032" ht="14.25">
      <c r="B12032" s="18" t="s">
        <v>222</v>
      </c>
      <c r="C12032" s="18" t="s">
        <v>47296</v>
      </c>
      <c r="D12032" s="18" t="s">
        <v>172</v>
      </c>
      <c r="E12032" s="18" t="s">
        <v>47297</v>
      </c>
      <c r="F12032" s="18" t="str">
        <f>IFERROR(__XLUDF.DUMMYFUNCTION("PROPER(REGEXREPLACE(D100,""[^A-Za-z]+ "",""""))"),"Hasler Fenster Ag")</f>
        <v xml:space="preserve">Hasler Fenster Ag</v>
      </c>
      <c r="G12032" s="18" t="s">
        <v>47298</v>
      </c>
      <c r="H12032" s="18">
        <v>30</v>
      </c>
      <c r="I12032" s="18" t="s">
        <v>9239</v>
      </c>
      <c r="J12032" s="18" t="str">
        <f>IFERROR(__XLUDF.DUMMYFUNCTION("VLOOKUP(M100,IMPORTRANGE(""https://docs.google.com/spreadsheets/d/1opm6ZNvGZ7KditA9TuJwrZ25eFLfTNIkrNnY6mhV5Eg"",""list!A1:C115""),3,TRUE)"),"le secteur de la production alimentaire")</f>
        <v xml:space="preserve">le secteur de la production alimentaire</v>
      </c>
      <c r="K12032" s="5" t="s">
        <v>55847</v>
      </c>
      <c r="L12032" s="5" t="s">
        <v>47300</v>
      </c>
      <c r="M12032" s="18" t="s">
        <v>1460</v>
      </c>
      <c r="N12032" s="18" t="s">
        <v>29</v>
      </c>
      <c r="O12032" s="18" t="s">
        <v>47301</v>
      </c>
      <c r="P12032" s="18" t="s">
        <v>1938</v>
      </c>
      <c r="Q12032" s="6"/>
      <c r="R12032" s="6"/>
      <c r="S12032" s="6"/>
      <c r="T12032" s="6"/>
      <c r="U12032" s="6"/>
      <c r="V12032" s="6"/>
      <c r="W12032" s="6"/>
      <c r="X12032" s="6"/>
    </row>
    <row r="12033" ht="14.25">
      <c r="B12033" s="18" t="s">
        <v>5001</v>
      </c>
      <c r="C12033" s="18" t="s">
        <v>48942</v>
      </c>
      <c r="D12033" s="18" t="s">
        <v>172</v>
      </c>
      <c r="E12033" s="18" t="s">
        <v>48943</v>
      </c>
      <c r="F12033" s="18" t="str">
        <f>IFERROR(__XLUDF.DUMMYFUNCTION("PROPER(REGEXREPLACE(D101,""[^A-Za-z]+ "",""""))"),"Groupe Geceha")</f>
        <v xml:space="preserve">Groupe Geceha</v>
      </c>
      <c r="G12033" s="18" t="s">
        <v>48944</v>
      </c>
      <c r="H12033" s="18">
        <v>17</v>
      </c>
      <c r="I12033" s="18" t="s">
        <v>9239</v>
      </c>
      <c r="J12033" s="18" t="str">
        <f>IFERROR(__XLUDF.DUMMYFUNCTION("VLOOKUP(M101,IMPORTRANGE(""https://docs.google.com/spreadsheets/d/1opm6ZNvGZ7KditA9TuJwrZ25eFLfTNIkrNnY6mhV5Eg"",""list!A1:C115""),3,TRUE)"),"le secteur de la production alimentaire")</f>
        <v xml:space="preserve">le secteur de la production alimentaire</v>
      </c>
      <c r="K12033" s="5" t="s">
        <v>48945</v>
      </c>
      <c r="L12033" s="5" t="s">
        <v>48946</v>
      </c>
      <c r="M12033" s="18" t="s">
        <v>48947</v>
      </c>
      <c r="N12033" s="18" t="s">
        <v>29</v>
      </c>
      <c r="O12033" s="18" t="s">
        <v>48948</v>
      </c>
      <c r="P12033" s="18" t="s">
        <v>29</v>
      </c>
      <c r="Q12033" s="18" t="s">
        <v>48949</v>
      </c>
      <c r="R12033" s="6"/>
      <c r="S12033" s="6"/>
      <c r="T12033" s="6"/>
      <c r="U12033" s="6"/>
      <c r="V12033" s="6"/>
      <c r="W12033" s="6"/>
      <c r="X12033" s="6"/>
    </row>
    <row r="12034" ht="14.25">
      <c r="B12034" s="18" t="s">
        <v>604</v>
      </c>
      <c r="C12034" s="18" t="s">
        <v>47381</v>
      </c>
      <c r="D12034" s="18" t="s">
        <v>112</v>
      </c>
      <c r="E12034" s="18" t="s">
        <v>47382</v>
      </c>
      <c r="F12034" s="18" t="str">
        <f>IFERROR(__XLUDF.DUMMYFUNCTION("PROPER(REGEXREPLACE(D102,""[^A-Za-z]+ "",""""))"),"Porcheron Freres Et Cie")</f>
        <v xml:space="preserve">Porcheron Freres Et Cie</v>
      </c>
      <c r="G12034" s="18" t="s">
        <v>47383</v>
      </c>
      <c r="H12034" s="18">
        <v>15</v>
      </c>
      <c r="I12034" s="18" t="s">
        <v>9239</v>
      </c>
      <c r="J12034" s="18" t="str">
        <f>IFERROR(__XLUDF.DUMMYFUNCTION("VLOOKUP(M102,IMPORTRANGE(""https://docs.google.com/spreadsheets/d/1opm6ZNvGZ7KditA9TuJwrZ25eFLfTNIkrNnY6mhV5Eg"",""list!A1:C115""),3,TRUE)"),"le secteur de la production alimentaire")</f>
        <v xml:space="preserve">le secteur de la production alimentaire</v>
      </c>
      <c r="K12034" s="5" t="s">
        <v>47384</v>
      </c>
      <c r="L12034" s="5" t="s">
        <v>47385</v>
      </c>
      <c r="M12034" s="18" t="s">
        <v>47386</v>
      </c>
      <c r="N12034" s="18" t="s">
        <v>29</v>
      </c>
      <c r="O12034" s="18" t="s">
        <v>47387</v>
      </c>
      <c r="P12034" s="18" t="s">
        <v>1938</v>
      </c>
      <c r="Q12034" s="18" t="s">
        <v>47388</v>
      </c>
      <c r="R12034" s="6"/>
      <c r="S12034" s="6"/>
      <c r="T12034" s="6"/>
      <c r="U12034" s="6"/>
      <c r="V12034" s="6"/>
      <c r="W12034" s="6"/>
      <c r="X12034" s="6"/>
    </row>
    <row r="12035" ht="14.25">
      <c r="B12035" s="18" t="s">
        <v>571</v>
      </c>
      <c r="C12035" s="18" t="s">
        <v>52850</v>
      </c>
      <c r="D12035" s="18" t="s">
        <v>112</v>
      </c>
      <c r="E12035" s="18" t="s">
        <v>52851</v>
      </c>
      <c r="F12035" s="18" t="str">
        <f>IFERROR(__XLUDF.DUMMYFUNCTION("PROPER(REGEXREPLACE(D103,""[^A-Za-z]+ "",""""))"),"Jsd Groupe")</f>
        <v xml:space="preserve">Jsd Groupe</v>
      </c>
      <c r="G12035" s="18" t="s">
        <v>52852</v>
      </c>
      <c r="H12035" s="18">
        <v>33</v>
      </c>
      <c r="I12035" s="18" t="s">
        <v>9239</v>
      </c>
      <c r="J12035" s="18" t="str">
        <f>IFERROR(__XLUDF.DUMMYFUNCTION("VLOOKUP(M103,IMPORTRANGE(""https://docs.google.com/spreadsheets/d/1opm6ZNvGZ7KditA9TuJwrZ25eFLfTNIkrNnY6mhV5Eg"",""list!A1:C115""),3,TRUE)"),"le secteur de la production alimentaire")</f>
        <v xml:space="preserve">le secteur de la production alimentaire</v>
      </c>
      <c r="K12035" s="5" t="s">
        <v>52853</v>
      </c>
      <c r="L12035" s="5" t="s">
        <v>52854</v>
      </c>
      <c r="M12035" s="18" t="s">
        <v>243</v>
      </c>
      <c r="N12035" s="18" t="s">
        <v>29</v>
      </c>
      <c r="O12035" s="18" t="s">
        <v>52855</v>
      </c>
      <c r="P12035" s="18" t="s">
        <v>29</v>
      </c>
      <c r="Q12035" s="6"/>
      <c r="R12035" s="6"/>
      <c r="S12035" s="6"/>
      <c r="T12035" s="6"/>
      <c r="U12035" s="6"/>
      <c r="V12035" s="6"/>
      <c r="W12035" s="6"/>
      <c r="X12035" s="6"/>
    </row>
    <row r="12036" ht="14.25">
      <c r="B12036" s="18" t="s">
        <v>7559</v>
      </c>
      <c r="C12036" s="18" t="s">
        <v>48270</v>
      </c>
      <c r="D12036" s="18" t="s">
        <v>1950</v>
      </c>
      <c r="E12036" s="18" t="s">
        <v>16210</v>
      </c>
      <c r="F12036" s="18" t="str">
        <f>IFERROR(__XLUDF.DUMMYFUNCTION("PROPER(REGEXREPLACE(D104,""[^A-Za-z]+ "",""""))"),"Cohésens")</f>
        <v>Cohésens</v>
      </c>
      <c r="G12036" s="18" t="s">
        <v>48271</v>
      </c>
      <c r="H12036" s="18">
        <v>12</v>
      </c>
      <c r="I12036" s="18" t="s">
        <v>9239</v>
      </c>
      <c r="J12036" s="18" t="str">
        <f>IFERROR(__XLUDF.DUMMYFUNCTION("VLOOKUP(M104,IMPORTRANGE(""https://docs.google.com/spreadsheets/d/1opm6ZNvGZ7KditA9TuJwrZ25eFLfTNIkrNnY6mhV5Eg"",""list!A1:C115""),3,TRUE)"),"le secteur de la production alimentaire")</f>
        <v xml:space="preserve">le secteur de la production alimentaire</v>
      </c>
      <c r="K12036" s="5" t="s">
        <v>48272</v>
      </c>
      <c r="L12036" s="5" t="s">
        <v>48273</v>
      </c>
      <c r="M12036" s="18" t="s">
        <v>5586</v>
      </c>
      <c r="N12036" s="18" t="s">
        <v>29</v>
      </c>
      <c r="O12036" s="18" t="s">
        <v>48274</v>
      </c>
      <c r="P12036" s="18" t="s">
        <v>29</v>
      </c>
      <c r="Q12036" s="18" t="s">
        <v>16214</v>
      </c>
      <c r="R12036" s="6"/>
      <c r="S12036" s="6"/>
      <c r="T12036" s="6"/>
      <c r="U12036" s="6"/>
      <c r="V12036" s="6"/>
      <c r="W12036" s="6"/>
      <c r="X12036" s="6"/>
    </row>
    <row r="12037" ht="14.25">
      <c r="B12037" s="18" t="s">
        <v>604</v>
      </c>
      <c r="C12037" s="18" t="s">
        <v>49796</v>
      </c>
      <c r="D12037" s="18" t="s">
        <v>112</v>
      </c>
      <c r="E12037" s="18" t="s">
        <v>49797</v>
      </c>
      <c r="F12037" s="18" t="str">
        <f>IFERROR(__XLUDF.DUMMYFUNCTION("PROPER(REGEXREPLACE(D105,""[^A-Za-z]+ "",""""))"),"Rosin Entreprise")</f>
        <v xml:space="preserve">Rosin Entreprise</v>
      </c>
      <c r="G12037" s="18" t="s">
        <v>49798</v>
      </c>
      <c r="H12037" s="18">
        <v>53</v>
      </c>
      <c r="I12037" s="18" t="s">
        <v>9239</v>
      </c>
      <c r="J12037" s="18" t="str">
        <f>IFERROR(__XLUDF.DUMMYFUNCTION("VLOOKUP(M105,IMPORTRANGE(""https://docs.google.com/spreadsheets/d/1opm6ZNvGZ7KditA9TuJwrZ25eFLfTNIkrNnY6mhV5Eg"",""list!A1:C115""),3,TRUE)"),"le secteur de la production alimentaire")</f>
        <v xml:space="preserve">le secteur de la production alimentaire</v>
      </c>
      <c r="K12037" s="5" t="s">
        <v>49799</v>
      </c>
      <c r="L12037" s="5" t="s">
        <v>49800</v>
      </c>
      <c r="M12037" s="18" t="s">
        <v>1507</v>
      </c>
      <c r="N12037" s="18" t="s">
        <v>29</v>
      </c>
      <c r="O12037" s="18" t="s">
        <v>49801</v>
      </c>
      <c r="P12037" s="18" t="s">
        <v>29</v>
      </c>
      <c r="Q12037" s="18" t="s">
        <v>49802</v>
      </c>
      <c r="R12037" s="6"/>
      <c r="S12037" s="6"/>
      <c r="T12037" s="6"/>
      <c r="U12037" s="6"/>
      <c r="V12037" s="6"/>
      <c r="W12037" s="6"/>
      <c r="X12037" s="6"/>
    </row>
    <row r="12038" ht="14.25">
      <c r="B12038" s="18" t="s">
        <v>1153</v>
      </c>
      <c r="C12038" s="18" t="s">
        <v>3652</v>
      </c>
      <c r="D12038" s="18" t="s">
        <v>112</v>
      </c>
      <c r="E12038" s="18" t="s">
        <v>47828</v>
      </c>
      <c r="F12038" s="18" t="str">
        <f>IFERROR(__XLUDF.DUMMYFUNCTION("PROPER(REGEXREPLACE(D106,""[^A-Za-z]+ "",""""))"),"Fenêtres Et Vérandas")</f>
        <v xml:space="preserve">Fenêtres Et Vérandas</v>
      </c>
      <c r="G12038" s="18" t="s">
        <v>47829</v>
      </c>
      <c r="H12038" s="18">
        <v>12</v>
      </c>
      <c r="I12038" s="18" t="s">
        <v>9239</v>
      </c>
      <c r="J12038" s="18" t="str">
        <f>IFERROR(__XLUDF.DUMMYFUNCTION("VLOOKUP(M106,IMPORTRANGE(""https://docs.google.com/spreadsheets/d/1opm6ZNvGZ7KditA9TuJwrZ25eFLfTNIkrNnY6mhV5Eg"",""list!A1:C115""),3,TRUE)"),"le secteur de la production alimentaire")</f>
        <v xml:space="preserve">le secteur de la production alimentaire</v>
      </c>
      <c r="K12038" s="5" t="s">
        <v>47830</v>
      </c>
      <c r="L12038" s="5" t="s">
        <v>47831</v>
      </c>
      <c r="M12038" s="18" t="s">
        <v>6480</v>
      </c>
      <c r="N12038" s="18" t="s">
        <v>29</v>
      </c>
      <c r="O12038" s="18" t="s">
        <v>47832</v>
      </c>
      <c r="P12038" s="18" t="s">
        <v>29</v>
      </c>
      <c r="Q12038" s="6"/>
      <c r="R12038" s="6"/>
      <c r="S12038" s="6"/>
      <c r="T12038" s="6"/>
      <c r="U12038" s="6"/>
      <c r="V12038" s="6"/>
      <c r="W12038" s="6"/>
      <c r="X12038" s="6"/>
    </row>
    <row r="12039" ht="14.25">
      <c r="B12039" s="18" t="s">
        <v>7525</v>
      </c>
      <c r="C12039" s="18" t="s">
        <v>49733</v>
      </c>
      <c r="D12039" s="18" t="s">
        <v>172</v>
      </c>
      <c r="E12039" s="18" t="s">
        <v>49734</v>
      </c>
      <c r="F12039" s="18" t="str">
        <f>IFERROR(__XLUDF.DUMMYFUNCTION("PROPER(REGEXREPLACE(D107,""[^A-Za-z]+ "",""""))"),"C'Clôt")</f>
        <v>C'Clôt</v>
      </c>
      <c r="G12039" s="18" t="s">
        <v>52251</v>
      </c>
      <c r="H12039" s="18">
        <v>25</v>
      </c>
      <c r="I12039" s="18" t="s">
        <v>9239</v>
      </c>
      <c r="J12039" s="18" t="str">
        <f>IFERROR(__XLUDF.DUMMYFUNCTION("VLOOKUP(M107,IMPORTRANGE(""https://docs.google.com/spreadsheets/d/1opm6ZNvGZ7KditA9TuJwrZ25eFLfTNIkrNnY6mhV5Eg"",""list!A1:C115""),3,TRUE)"),"le secteur de la production alimentaire")</f>
        <v xml:space="preserve">le secteur de la production alimentaire</v>
      </c>
      <c r="K12039" s="5" t="s">
        <v>52252</v>
      </c>
      <c r="L12039" s="5" t="s">
        <v>49737</v>
      </c>
      <c r="M12039" s="18" t="s">
        <v>12149</v>
      </c>
      <c r="N12039" s="18" t="s">
        <v>29</v>
      </c>
      <c r="O12039" s="18" t="s">
        <v>49738</v>
      </c>
      <c r="P12039" s="18" t="s">
        <v>29</v>
      </c>
      <c r="Q12039" s="18" t="s">
        <v>49739</v>
      </c>
      <c r="R12039" s="6"/>
      <c r="S12039" s="6"/>
      <c r="T12039" s="6"/>
      <c r="U12039" s="6"/>
      <c r="V12039" s="6"/>
      <c r="W12039" s="6"/>
      <c r="X12039" s="6"/>
    </row>
    <row r="12040" ht="14.25">
      <c r="B12040" s="18" t="s">
        <v>47582</v>
      </c>
      <c r="C12040" s="18" t="s">
        <v>571</v>
      </c>
      <c r="D12040" s="18" t="s">
        <v>172</v>
      </c>
      <c r="E12040" s="18" t="s">
        <v>45469</v>
      </c>
      <c r="F12040" s="18" t="str">
        <f>IFERROR(__XLUDF.DUMMYFUNCTION("PROPER(REGEXREPLACE(D108,""[^A-Za-z]+ "",""""))"),"Paquet Sas")</f>
        <v xml:space="preserve">Paquet Sas</v>
      </c>
      <c r="G12040" s="18" t="s">
        <v>47583</v>
      </c>
      <c r="H12040" s="18">
        <v>15</v>
      </c>
      <c r="I12040" s="18" t="s">
        <v>9239</v>
      </c>
      <c r="J12040" s="18" t="str">
        <f>IFERROR(__XLUDF.DUMMYFUNCTION("VLOOKUP(M108,IMPORTRANGE(""https://docs.google.com/spreadsheets/d/1opm6ZNvGZ7KditA9TuJwrZ25eFLfTNIkrNnY6mhV5Eg"",""list!A1:C115""),3,TRUE)"),"le secteur de la production alimentaire")</f>
        <v xml:space="preserve">le secteur de la production alimentaire</v>
      </c>
      <c r="K12040" s="5" t="s">
        <v>47584</v>
      </c>
      <c r="L12040" s="5" t="s">
        <v>45472</v>
      </c>
      <c r="M12040" s="18" t="s">
        <v>149</v>
      </c>
      <c r="N12040" s="18" t="s">
        <v>29</v>
      </c>
      <c r="O12040" s="18" t="s">
        <v>45473</v>
      </c>
      <c r="P12040" s="18" t="s">
        <v>29</v>
      </c>
      <c r="Q12040" s="18" t="s">
        <v>45474</v>
      </c>
      <c r="R12040" s="6"/>
      <c r="S12040" s="6"/>
      <c r="T12040" s="6"/>
      <c r="U12040" s="6"/>
      <c r="V12040" s="6"/>
      <c r="W12040" s="6"/>
      <c r="X12040" s="6"/>
    </row>
    <row r="12041" ht="14.25">
      <c r="B12041" s="18" t="s">
        <v>571</v>
      </c>
      <c r="C12041" s="18" t="s">
        <v>49998</v>
      </c>
      <c r="D12041" s="18" t="s">
        <v>49999</v>
      </c>
      <c r="E12041" s="18" t="s">
        <v>50000</v>
      </c>
      <c r="F12041" s="18" t="str">
        <f>IFERROR(__XLUDF.DUMMYFUNCTION("PROPER(REGEXREPLACE(D109,""[^A-Za-z]+ "",""""))"),"Bridault Solutions")</f>
        <v xml:space="preserve">Bridault Solutions</v>
      </c>
      <c r="G12041" s="18" t="s">
        <v>50001</v>
      </c>
      <c r="H12041" s="18">
        <v>12</v>
      </c>
      <c r="I12041" s="18" t="s">
        <v>9239</v>
      </c>
      <c r="J12041" s="18" t="str">
        <f>IFERROR(__XLUDF.DUMMYFUNCTION("VLOOKUP(M109,IMPORTRANGE(""https://docs.google.com/spreadsheets/d/1opm6ZNvGZ7KditA9TuJwrZ25eFLfTNIkrNnY6mhV5Eg"",""list!A1:C115""),3,TRUE)"),"le secteur de la production alimentaire")</f>
        <v xml:space="preserve">le secteur de la production alimentaire</v>
      </c>
      <c r="K12041" s="5" t="s">
        <v>50002</v>
      </c>
      <c r="L12041" s="5" t="s">
        <v>50003</v>
      </c>
      <c r="M12041" s="18" t="s">
        <v>846</v>
      </c>
      <c r="N12041" s="18" t="s">
        <v>29</v>
      </c>
      <c r="O12041" s="18" t="s">
        <v>50004</v>
      </c>
      <c r="P12041" s="18" t="s">
        <v>29</v>
      </c>
      <c r="Q12041" s="6"/>
      <c r="R12041" s="6"/>
      <c r="S12041" s="6"/>
      <c r="T12041" s="6"/>
      <c r="U12041" s="6"/>
      <c r="V12041" s="6"/>
      <c r="W12041" s="6"/>
      <c r="X12041" s="6"/>
    </row>
    <row r="12042" ht="14.25">
      <c r="B12042" s="18" t="s">
        <v>661</v>
      </c>
      <c r="C12042" s="18" t="s">
        <v>47355</v>
      </c>
      <c r="D12042" s="18" t="s">
        <v>332</v>
      </c>
      <c r="E12042" s="18" t="s">
        <v>47356</v>
      </c>
      <c r="F12042" s="18" t="str">
        <f>IFERROR(__XLUDF.DUMMYFUNCTION("PROPER(REGEXREPLACE(D110,""[^A-Za-z]+ "",""""))"),"Habitat Environnement Services")</f>
        <v xml:space="preserve">Habitat Environnement Services</v>
      </c>
      <c r="G12042" s="18" t="s">
        <v>47357</v>
      </c>
      <c r="H12042" s="18">
        <v>14</v>
      </c>
      <c r="I12042" s="18" t="s">
        <v>9239</v>
      </c>
      <c r="J12042" s="18" t="str">
        <f>IFERROR(__XLUDF.DUMMYFUNCTION("VLOOKUP(M110,IMPORTRANGE(""https://docs.google.com/spreadsheets/d/1opm6ZNvGZ7KditA9TuJwrZ25eFLfTNIkrNnY6mhV5Eg"",""list!A1:C115""),3,TRUE)"),"le secteur de la production alimentaire")</f>
        <v xml:space="preserve">le secteur de la production alimentaire</v>
      </c>
      <c r="K12042" s="5" t="s">
        <v>47358</v>
      </c>
      <c r="L12042" s="5" t="s">
        <v>47359</v>
      </c>
      <c r="M12042" s="18" t="s">
        <v>47360</v>
      </c>
      <c r="N12042" s="18" t="s">
        <v>29</v>
      </c>
      <c r="O12042" s="18" t="s">
        <v>47361</v>
      </c>
      <c r="P12042" s="18" t="s">
        <v>29</v>
      </c>
      <c r="Q12042" s="18" t="s">
        <v>47362</v>
      </c>
      <c r="R12042" s="6"/>
      <c r="S12042" s="6"/>
      <c r="T12042" s="6"/>
      <c r="U12042" s="6"/>
      <c r="V12042" s="6"/>
      <c r="W12042" s="6"/>
      <c r="X12042" s="6"/>
    </row>
    <row r="12043" ht="14.25">
      <c r="B12043" s="18" t="s">
        <v>15981</v>
      </c>
      <c r="C12043" s="18" t="s">
        <v>50195</v>
      </c>
      <c r="D12043" s="18" t="s">
        <v>172</v>
      </c>
      <c r="E12043" s="18" t="s">
        <v>17147</v>
      </c>
      <c r="F12043" s="18" t="str">
        <f>IFERROR(__XLUDF.DUMMYFUNCTION("PROPER(REGEXREPLACE(D111,""[^A-Za-z]+ "",""""))"),"Bim Ingenierie")</f>
        <v xml:space="preserve">Bim Ingenierie</v>
      </c>
      <c r="G12043" s="18" t="s">
        <v>50196</v>
      </c>
      <c r="H12043" s="18">
        <v>14</v>
      </c>
      <c r="I12043" s="18" t="s">
        <v>9239</v>
      </c>
      <c r="J12043" s="18" t="str">
        <f>IFERROR(__XLUDF.DUMMYFUNCTION("VLOOKUP(M111,IMPORTRANGE(""https://docs.google.com/spreadsheets/d/1opm6ZNvGZ7KditA9TuJwrZ25eFLfTNIkrNnY6mhV5Eg"",""list!A1:C115""),3,TRUE)"),"le secteur de la production alimentaire")</f>
        <v xml:space="preserve">le secteur de la production alimentaire</v>
      </c>
      <c r="K12043" s="5" t="s">
        <v>50197</v>
      </c>
      <c r="L12043" s="5" t="s">
        <v>50198</v>
      </c>
      <c r="M12043" s="18" t="s">
        <v>39</v>
      </c>
      <c r="N12043" s="18" t="s">
        <v>29</v>
      </c>
      <c r="O12043" s="18" t="s">
        <v>50199</v>
      </c>
      <c r="P12043" s="18" t="s">
        <v>29</v>
      </c>
      <c r="Q12043" s="6"/>
      <c r="R12043" s="6"/>
      <c r="S12043" s="6"/>
      <c r="T12043" s="6"/>
      <c r="U12043" s="6"/>
      <c r="V12043" s="6"/>
      <c r="W12043" s="6"/>
      <c r="X12043" s="6"/>
    </row>
    <row r="12044" ht="14.25">
      <c r="B12044" s="18" t="s">
        <v>874</v>
      </c>
      <c r="C12044" s="18" t="s">
        <v>48308</v>
      </c>
      <c r="D12044" s="18" t="s">
        <v>1130</v>
      </c>
      <c r="E12044" s="18" t="s">
        <v>48309</v>
      </c>
      <c r="F12044" s="18" t="str">
        <f>IFERROR(__XLUDF.DUMMYFUNCTION("PROPER(REGEXREPLACE(D112,""[^A-Za-z]+ "",""""))"),"Provençale D'Aluminium")</f>
        <v xml:space="preserve">Provençale D'Aluminium</v>
      </c>
      <c r="G12044" s="18" t="s">
        <v>48310</v>
      </c>
      <c r="H12044" s="18">
        <v>11</v>
      </c>
      <c r="I12044" s="18" t="s">
        <v>9239</v>
      </c>
      <c r="J12044" s="18" t="str">
        <f>IFERROR(__XLUDF.DUMMYFUNCTION("VLOOKUP(M112,IMPORTRANGE(""https://docs.google.com/spreadsheets/d/1opm6ZNvGZ7KditA9TuJwrZ25eFLfTNIkrNnY6mhV5Eg"",""list!A1:C115""),3,TRUE)"),"le secteur de la production alimentaire")</f>
        <v xml:space="preserve">le secteur de la production alimentaire</v>
      </c>
      <c r="K12044" s="5" t="s">
        <v>48311</v>
      </c>
      <c r="L12044" s="5" t="s">
        <v>48312</v>
      </c>
      <c r="M12044" s="18" t="s">
        <v>48313</v>
      </c>
      <c r="N12044" s="18" t="s">
        <v>29</v>
      </c>
      <c r="O12044" s="18" t="s">
        <v>48314</v>
      </c>
      <c r="P12044" s="18" t="s">
        <v>29</v>
      </c>
      <c r="Q12044" s="18" t="s">
        <v>48315</v>
      </c>
      <c r="R12044" s="6"/>
      <c r="S12044" s="6"/>
      <c r="T12044" s="6"/>
      <c r="U12044" s="6"/>
      <c r="V12044" s="6"/>
      <c r="W12044" s="6"/>
      <c r="X12044" s="6"/>
    </row>
    <row r="12045" ht="14.25">
      <c r="B12045" s="18" t="s">
        <v>1732</v>
      </c>
      <c r="C12045" s="18" t="s">
        <v>45117</v>
      </c>
      <c r="D12045" s="18" t="s">
        <v>172</v>
      </c>
      <c r="E12045" s="18" t="s">
        <v>45118</v>
      </c>
      <c r="F12045" s="18" t="str">
        <f>IFERROR(__XLUDF.DUMMYFUNCTION("PROPER(REGEXREPLACE(D113,""[^A-Za-z]+ "",""""))"),"Sopega Tp")</f>
        <v xml:space="preserve">Sopega Tp</v>
      </c>
      <c r="G12045" s="18" t="s">
        <v>45119</v>
      </c>
      <c r="H12045" s="18">
        <v>18</v>
      </c>
      <c r="I12045" s="18" t="s">
        <v>9239</v>
      </c>
      <c r="J12045" s="18" t="str">
        <f>IFERROR(__XLUDF.DUMMYFUNCTION("VLOOKUP(M113,IMPORTRANGE(""https://docs.google.com/spreadsheets/d/1opm6ZNvGZ7KditA9TuJwrZ25eFLfTNIkrNnY6mhV5Eg"",""list!A1:C115""),3,TRUE)"),"le secteur de la production alimentaire")</f>
        <v xml:space="preserve">le secteur de la production alimentaire</v>
      </c>
      <c r="K12045" s="5" t="s">
        <v>45120</v>
      </c>
      <c r="L12045" s="5" t="s">
        <v>45121</v>
      </c>
      <c r="M12045" s="18" t="s">
        <v>39</v>
      </c>
      <c r="N12045" s="18" t="s">
        <v>29</v>
      </c>
      <c r="O12045" s="18" t="s">
        <v>45122</v>
      </c>
      <c r="P12045" s="18" t="s">
        <v>29</v>
      </c>
      <c r="Q12045" s="18" t="s">
        <v>45123</v>
      </c>
      <c r="R12045" s="6"/>
      <c r="S12045" s="6"/>
      <c r="T12045" s="6"/>
      <c r="U12045" s="6"/>
      <c r="V12045" s="6"/>
      <c r="W12045" s="6"/>
      <c r="X12045" s="6"/>
    </row>
    <row r="12046" ht="14.25">
      <c r="B12046" s="18" t="s">
        <v>3002</v>
      </c>
      <c r="C12046" s="18" t="s">
        <v>52317</v>
      </c>
      <c r="D12046" s="18" t="s">
        <v>172</v>
      </c>
      <c r="E12046" s="18" t="s">
        <v>49254</v>
      </c>
      <c r="F12046" s="18" t="str">
        <f>IFERROR(__XLUDF.DUMMYFUNCTION("PROPER(REGEXREPLACE(D114,""[^A-Za-z]+ "",""""))"),"Alisa.D")</f>
        <v>Alisa.D</v>
      </c>
      <c r="G12046" s="18" t="s">
        <v>52318</v>
      </c>
      <c r="H12046" s="18">
        <v>21</v>
      </c>
      <c r="I12046" s="18" t="s">
        <v>9239</v>
      </c>
      <c r="J12046" s="18" t="str">
        <f>IFERROR(__XLUDF.DUMMYFUNCTION("VLOOKUP(M114,IMPORTRANGE(""https://docs.google.com/spreadsheets/d/1opm6ZNvGZ7KditA9TuJwrZ25eFLfTNIkrNnY6mhV5Eg"",""list!A1:C115""),3,TRUE)"),"le secteur de la production alimentaire")</f>
        <v xml:space="preserve">le secteur de la production alimentaire</v>
      </c>
      <c r="K12046" s="5" t="s">
        <v>52319</v>
      </c>
      <c r="L12046" s="5" t="s">
        <v>49257</v>
      </c>
      <c r="M12046" s="18" t="s">
        <v>12322</v>
      </c>
      <c r="N12046" s="18" t="s">
        <v>29</v>
      </c>
      <c r="O12046" s="18" t="s">
        <v>49258</v>
      </c>
      <c r="P12046" s="18" t="s">
        <v>29</v>
      </c>
      <c r="Q12046" s="6"/>
      <c r="R12046" s="6"/>
      <c r="S12046" s="6"/>
      <c r="T12046" s="6"/>
      <c r="U12046" s="6"/>
      <c r="V12046" s="6"/>
      <c r="W12046" s="6"/>
      <c r="X12046" s="6"/>
    </row>
    <row r="12047" ht="14.25">
      <c r="B12047" s="18" t="s">
        <v>4177</v>
      </c>
      <c r="C12047" s="18" t="s">
        <v>47268</v>
      </c>
      <c r="D12047" s="18" t="s">
        <v>164</v>
      </c>
      <c r="E12047" s="18" t="s">
        <v>45546</v>
      </c>
      <c r="F12047" s="18" t="str">
        <f>IFERROR(__XLUDF.DUMMYFUNCTION("PROPER(REGEXREPLACE(D115,""[^A-Za-z]+ "",""""))"),"Groupe Vérandaline")</f>
        <v xml:space="preserve">Groupe Vérandaline</v>
      </c>
      <c r="G12047" s="18" t="s">
        <v>47269</v>
      </c>
      <c r="H12047" s="18">
        <v>30</v>
      </c>
      <c r="I12047" s="18" t="s">
        <v>9239</v>
      </c>
      <c r="J12047" s="18" t="str">
        <f>IFERROR(__XLUDF.DUMMYFUNCTION("VLOOKUP(M115,IMPORTRANGE(""https://docs.google.com/spreadsheets/d/1opm6ZNvGZ7KditA9TuJwrZ25eFLfTNIkrNnY6mhV5Eg"",""list!A1:C115""),3,TRUE)"),"le secteur de la production alimentaire")</f>
        <v xml:space="preserve">le secteur de la production alimentaire</v>
      </c>
      <c r="K12047" s="5" t="s">
        <v>47270</v>
      </c>
      <c r="L12047" s="5" t="s">
        <v>45549</v>
      </c>
      <c r="M12047" s="18" t="s">
        <v>47271</v>
      </c>
      <c r="N12047" s="18" t="s">
        <v>29</v>
      </c>
      <c r="O12047" s="18" t="s">
        <v>45550</v>
      </c>
      <c r="P12047" s="18" t="s">
        <v>29</v>
      </c>
      <c r="Q12047" s="18" t="s">
        <v>45551</v>
      </c>
      <c r="R12047" s="6"/>
      <c r="S12047" s="6"/>
      <c r="T12047" s="6"/>
      <c r="U12047" s="6"/>
      <c r="V12047" s="6"/>
      <c r="W12047" s="6"/>
      <c r="X12047" s="6"/>
    </row>
    <row r="12048" ht="14.25">
      <c r="B12048" s="18" t="s">
        <v>2249</v>
      </c>
      <c r="C12048" s="18" t="s">
        <v>46010</v>
      </c>
      <c r="D12048" s="18" t="s">
        <v>8042</v>
      </c>
      <c r="E12048" s="18" t="s">
        <v>46011</v>
      </c>
      <c r="F12048" s="18" t="str">
        <f>IFERROR(__XLUDF.DUMMYFUNCTION("PROPER(REGEXREPLACE(D116,""[^A-Za-z]+ "",""""))"),"Edwood Construction Bois")</f>
        <v xml:space="preserve">Edwood Construction Bois</v>
      </c>
      <c r="G12048" s="18" t="s">
        <v>46012</v>
      </c>
      <c r="H12048" s="18">
        <v>17</v>
      </c>
      <c r="I12048" s="18" t="s">
        <v>9239</v>
      </c>
      <c r="J12048" s="18" t="str">
        <f>IFERROR(__XLUDF.DUMMYFUNCTION("VLOOKUP(M116,IMPORTRANGE(""https://docs.google.com/spreadsheets/d/1opm6ZNvGZ7KditA9TuJwrZ25eFLfTNIkrNnY6mhV5Eg"",""list!A1:C115""),3,TRUE)"),"le secteur de la production alimentaire")</f>
        <v xml:space="preserve">le secteur de la production alimentaire</v>
      </c>
      <c r="K12048" s="5" t="s">
        <v>46013</v>
      </c>
      <c r="L12048" s="5" t="s">
        <v>46014</v>
      </c>
      <c r="M12048" s="18" t="s">
        <v>846</v>
      </c>
      <c r="N12048" s="18" t="s">
        <v>29</v>
      </c>
      <c r="O12048" s="18" t="s">
        <v>46015</v>
      </c>
      <c r="P12048" s="18" t="s">
        <v>29</v>
      </c>
      <c r="Q12048" s="6"/>
      <c r="R12048" s="6"/>
      <c r="S12048" s="6"/>
      <c r="T12048" s="6"/>
      <c r="U12048" s="6"/>
      <c r="V12048" s="6"/>
      <c r="W12048" s="6"/>
      <c r="X12048" s="6"/>
    </row>
    <row r="12049" ht="14.25">
      <c r="B12049" s="18" t="s">
        <v>808</v>
      </c>
      <c r="C12049" s="18" t="s">
        <v>52747</v>
      </c>
      <c r="D12049" s="18" t="s">
        <v>112</v>
      </c>
      <c r="E12049" s="18" t="s">
        <v>44783</v>
      </c>
      <c r="F12049" s="18" t="str">
        <f>IFERROR(__XLUDF.DUMMYFUNCTION("PROPER(REGEXREPLACE(D117,""[^A-Za-z]+ "",""""))"),"Facea Group")</f>
        <v xml:space="preserve">Facea Group</v>
      </c>
      <c r="G12049" s="18" t="s">
        <v>52748</v>
      </c>
      <c r="H12049" s="18">
        <v>45</v>
      </c>
      <c r="I12049" s="18" t="s">
        <v>9239</v>
      </c>
      <c r="J12049" s="18" t="str">
        <f>IFERROR(__XLUDF.DUMMYFUNCTION("VLOOKUP(M117,IMPORTRANGE(""https://docs.google.com/spreadsheets/d/1opm6ZNvGZ7KditA9TuJwrZ25eFLfTNIkrNnY6mhV5Eg"",""list!A1:C115""),3,TRUE)"),"le secteur de la production alimentaire")</f>
        <v xml:space="preserve">le secteur de la production alimentaire</v>
      </c>
      <c r="K12049" s="5" t="s">
        <v>52749</v>
      </c>
      <c r="L12049" s="5" t="s">
        <v>44786</v>
      </c>
      <c r="M12049" s="18" t="s">
        <v>14237</v>
      </c>
      <c r="N12049" s="18" t="s">
        <v>29</v>
      </c>
      <c r="O12049" s="18" t="s">
        <v>44788</v>
      </c>
      <c r="P12049" s="18" t="s">
        <v>29</v>
      </c>
      <c r="Q12049" s="6"/>
      <c r="R12049" s="6"/>
      <c r="S12049" s="6"/>
      <c r="T12049" s="6"/>
      <c r="U12049" s="6"/>
      <c r="V12049" s="6"/>
      <c r="W12049" s="6"/>
      <c r="X12049" s="6"/>
    </row>
    <row r="12050" ht="14.25">
      <c r="B12050" s="18" t="s">
        <v>1861</v>
      </c>
      <c r="C12050" s="18" t="s">
        <v>13092</v>
      </c>
      <c r="D12050" s="18" t="s">
        <v>112</v>
      </c>
      <c r="E12050" s="18" t="s">
        <v>50929</v>
      </c>
      <c r="F12050" s="18" t="str">
        <f>IFERROR(__XLUDF.DUMMYFUNCTION("PROPER(REGEXREPLACE(D118,""[^A-Za-z]+ "",""""))"),"Geplast_Fr")</f>
        <v>Geplast_Fr</v>
      </c>
      <c r="G12050" s="18" t="s">
        <v>50930</v>
      </c>
      <c r="H12050" s="18">
        <v>48</v>
      </c>
      <c r="I12050" s="18" t="s">
        <v>9239</v>
      </c>
      <c r="J12050" s="18" t="str">
        <f>IFERROR(__XLUDF.DUMMYFUNCTION("VLOOKUP(M118,IMPORTRANGE(""https://docs.google.com/spreadsheets/d/1opm6ZNvGZ7KditA9TuJwrZ25eFLfTNIkrNnY6mhV5Eg"",""list!A1:C115""),3,TRUE)"),"le secteur de la production alimentaire")</f>
        <v xml:space="preserve">le secteur de la production alimentaire</v>
      </c>
      <c r="K12050" s="5" t="s">
        <v>50931</v>
      </c>
      <c r="L12050" s="5" t="s">
        <v>50932</v>
      </c>
      <c r="M12050" s="18" t="s">
        <v>50933</v>
      </c>
      <c r="N12050" s="18" t="s">
        <v>29</v>
      </c>
      <c r="O12050" s="18" t="s">
        <v>50934</v>
      </c>
      <c r="P12050" s="18" t="s">
        <v>29</v>
      </c>
      <c r="Q12050" s="18" t="s">
        <v>50935</v>
      </c>
      <c r="R12050" s="6"/>
      <c r="S12050" s="6"/>
      <c r="T12050" s="6"/>
      <c r="U12050" s="6"/>
      <c r="V12050" s="6"/>
      <c r="W12050" s="6"/>
      <c r="X12050" s="6"/>
    </row>
    <row r="12051" ht="14.25">
      <c r="B12051" s="18" t="s">
        <v>1562</v>
      </c>
      <c r="C12051" s="18" t="s">
        <v>48437</v>
      </c>
      <c r="D12051" s="18" t="s">
        <v>172</v>
      </c>
      <c r="E12051" s="18" t="s">
        <v>48438</v>
      </c>
      <c r="F12051" s="18" t="str">
        <f>IFERROR(__XLUDF.DUMMYFUNCTION("PROPER(REGEXREPLACE(D119,""[^A-Za-z]+ "",""""))"),"Ap2R")</f>
        <v>Ap2R</v>
      </c>
      <c r="G12051" s="18" t="s">
        <v>48439</v>
      </c>
      <c r="H12051" s="18">
        <v>14</v>
      </c>
      <c r="I12051" s="18" t="s">
        <v>9239</v>
      </c>
      <c r="J12051" s="18" t="str">
        <f>IFERROR(__XLUDF.DUMMYFUNCTION("VLOOKUP(M119,IMPORTRANGE(""https://docs.google.com/spreadsheets/d/1opm6ZNvGZ7KditA9TuJwrZ25eFLfTNIkrNnY6mhV5Eg"",""list!A1:C115""),3,TRUE)"),"le secteur de la production alimentaire")</f>
        <v xml:space="preserve">le secteur de la production alimentaire</v>
      </c>
      <c r="K12051" s="5" t="s">
        <v>48440</v>
      </c>
      <c r="L12051" s="5" t="s">
        <v>48441</v>
      </c>
      <c r="M12051" s="6"/>
      <c r="N12051" s="18" t="s">
        <v>29</v>
      </c>
      <c r="O12051" s="18" t="s">
        <v>48442</v>
      </c>
      <c r="P12051" s="18" t="s">
        <v>29</v>
      </c>
      <c r="Q12051" s="18" t="s">
        <v>48443</v>
      </c>
      <c r="R12051" s="6"/>
      <c r="S12051" s="6"/>
      <c r="T12051" s="6"/>
      <c r="U12051" s="6"/>
      <c r="V12051" s="6"/>
      <c r="W12051" s="6"/>
      <c r="X12051" s="6"/>
    </row>
    <row r="12052" ht="14.25">
      <c r="B12052" s="18" t="s">
        <v>1562</v>
      </c>
      <c r="C12052" s="18" t="s">
        <v>828</v>
      </c>
      <c r="D12052" s="18" t="s">
        <v>120</v>
      </c>
      <c r="E12052" s="18" t="s">
        <v>46358</v>
      </c>
      <c r="F12052" s="18" t="str">
        <f>IFERROR(__XLUDF.DUMMYFUNCTION("PROPER(REGEXREPLACE(D120,""[^A-Za-z]+ "",""""))"),"Articonnex")</f>
        <v>Articonnex</v>
      </c>
      <c r="G12052" s="18" t="s">
        <v>46359</v>
      </c>
      <c r="H12052" s="18">
        <v>24</v>
      </c>
      <c r="I12052" s="18" t="s">
        <v>9239</v>
      </c>
      <c r="J12052" s="18" t="str">
        <f>IFERROR(__XLUDF.DUMMYFUNCTION("VLOOKUP(M120,IMPORTRANGE(""https://docs.google.com/spreadsheets/d/1opm6ZNvGZ7KditA9TuJwrZ25eFLfTNIkrNnY6mhV5Eg"",""list!A1:C115""),3,TRUE)"),"le secteur de la production alimentaire")</f>
        <v xml:space="preserve">le secteur de la production alimentaire</v>
      </c>
      <c r="K12052" s="5" t="s">
        <v>46360</v>
      </c>
      <c r="L12052" s="5" t="s">
        <v>46361</v>
      </c>
      <c r="M12052" s="18" t="s">
        <v>1711</v>
      </c>
      <c r="N12052" s="18" t="s">
        <v>29</v>
      </c>
      <c r="O12052" s="18" t="s">
        <v>46362</v>
      </c>
      <c r="P12052" s="18" t="s">
        <v>29</v>
      </c>
      <c r="Q12052" s="18" t="s">
        <v>46363</v>
      </c>
      <c r="R12052" s="6"/>
      <c r="S12052" s="6"/>
      <c r="T12052" s="6"/>
      <c r="U12052" s="6"/>
      <c r="V12052" s="6"/>
      <c r="W12052" s="6"/>
      <c r="X12052" s="6"/>
    </row>
    <row r="12053" ht="14.25">
      <c r="B12053" s="18" t="s">
        <v>808</v>
      </c>
      <c r="C12053" s="18" t="s">
        <v>45462</v>
      </c>
      <c r="D12053" s="18" t="s">
        <v>172</v>
      </c>
      <c r="E12053" s="18" t="s">
        <v>45463</v>
      </c>
      <c r="F12053" s="18" t="str">
        <f>IFERROR(__XLUDF.DUMMYFUNCTION("PROPER(REGEXREPLACE(D121,""[^A-Za-z]+ "",""""))"),"Beaufrere-Tp")</f>
        <v>Beaufrere-Tp</v>
      </c>
      <c r="G12053" s="18" t="s">
        <v>52246</v>
      </c>
      <c r="H12053" s="18">
        <v>11</v>
      </c>
      <c r="I12053" s="18" t="s">
        <v>9239</v>
      </c>
      <c r="J12053" s="18" t="str">
        <f>IFERROR(__XLUDF.DUMMYFUNCTION("VLOOKUP(M121,IMPORTRANGE(""https://docs.google.com/spreadsheets/d/1opm6ZNvGZ7KditA9TuJwrZ25eFLfTNIkrNnY6mhV5Eg"",""list!A1:C115""),3,TRUE)"),"le secteur de la production alimentaire")</f>
        <v xml:space="preserve">le secteur de la production alimentaire</v>
      </c>
      <c r="K12053" s="5" t="s">
        <v>52247</v>
      </c>
      <c r="L12053" s="5" t="s">
        <v>45466</v>
      </c>
      <c r="M12053" s="18" t="s">
        <v>185</v>
      </c>
      <c r="N12053" s="18" t="s">
        <v>29</v>
      </c>
      <c r="O12053" s="18" t="s">
        <v>45467</v>
      </c>
      <c r="P12053" s="18" t="s">
        <v>29</v>
      </c>
      <c r="Q12053" s="6"/>
      <c r="R12053" s="6"/>
      <c r="S12053" s="6"/>
      <c r="T12053" s="6"/>
      <c r="U12053" s="6"/>
      <c r="V12053" s="6"/>
      <c r="W12053" s="6"/>
      <c r="X12053" s="6"/>
    </row>
    <row r="12054" ht="14.25">
      <c r="B12054" s="18" t="s">
        <v>808</v>
      </c>
      <c r="C12054" s="18" t="s">
        <v>47621</v>
      </c>
      <c r="D12054" s="18" t="s">
        <v>112</v>
      </c>
      <c r="E12054" s="18" t="s">
        <v>47622</v>
      </c>
      <c r="F12054" s="18" t="str">
        <f>IFERROR(__XLUDF.DUMMYFUNCTION("PROPER(REGEXREPLACE(D122,""[^A-Za-z]+ "",""""))"),"Sarthou Sas")</f>
        <v xml:space="preserve">Sarthou Sas</v>
      </c>
      <c r="G12054" s="18" t="s">
        <v>47623</v>
      </c>
      <c r="H12054" s="18">
        <v>11</v>
      </c>
      <c r="I12054" s="18" t="s">
        <v>9239</v>
      </c>
      <c r="J12054" s="18" t="str">
        <f>IFERROR(__XLUDF.DUMMYFUNCTION("VLOOKUP(M122,IMPORTRANGE(""https://docs.google.com/spreadsheets/d/1opm6ZNvGZ7KditA9TuJwrZ25eFLfTNIkrNnY6mhV5Eg"",""list!A1:C115""),3,TRUE)"),"le secteur de la production alimentaire")</f>
        <v xml:space="preserve">le secteur de la production alimentaire</v>
      </c>
      <c r="K12054" s="5" t="s">
        <v>47624</v>
      </c>
      <c r="L12054" s="5" t="s">
        <v>47625</v>
      </c>
      <c r="M12054" s="18" t="s">
        <v>6489</v>
      </c>
      <c r="N12054" s="18" t="s">
        <v>29</v>
      </c>
      <c r="O12054" s="18" t="s">
        <v>47626</v>
      </c>
      <c r="P12054" s="18" t="s">
        <v>29</v>
      </c>
      <c r="Q12054" s="18" t="s">
        <v>47627</v>
      </c>
      <c r="R12054" s="6"/>
      <c r="S12054" s="6"/>
      <c r="T12054" s="6"/>
      <c r="U12054" s="6"/>
      <c r="V12054" s="6"/>
      <c r="W12054" s="6"/>
      <c r="X12054" s="6"/>
    </row>
    <row r="12055" ht="14.25">
      <c r="B12055" s="18" t="s">
        <v>47558</v>
      </c>
      <c r="C12055" s="18" t="s">
        <v>5001</v>
      </c>
      <c r="D12055" s="18" t="s">
        <v>468</v>
      </c>
      <c r="E12055" s="18" t="s">
        <v>47559</v>
      </c>
      <c r="F12055" s="18" t="str">
        <f>IFERROR(__XLUDF.DUMMYFUNCTION("PROPER(REGEXREPLACE(D123,""[^A-Za-z]+ "",""""))"),"Comely")</f>
        <v>Comely</v>
      </c>
      <c r="G12055" s="18" t="s">
        <v>47560</v>
      </c>
      <c r="H12055" s="18">
        <v>29</v>
      </c>
      <c r="I12055" s="18" t="s">
        <v>9239</v>
      </c>
      <c r="J12055" s="18" t="str">
        <f>IFERROR(__XLUDF.DUMMYFUNCTION("VLOOKUP(M123,IMPORTRANGE(""https://docs.google.com/spreadsheets/d/1opm6ZNvGZ7KditA9TuJwrZ25eFLfTNIkrNnY6mhV5Eg"",""list!A1:C115""),3,TRUE)"),"le secteur de la production alimentaire")</f>
        <v xml:space="preserve">le secteur de la production alimentaire</v>
      </c>
      <c r="K12055" s="5" t="s">
        <v>47561</v>
      </c>
      <c r="L12055" s="5" t="s">
        <v>47562</v>
      </c>
      <c r="M12055" s="18" t="s">
        <v>185</v>
      </c>
      <c r="N12055" s="18" t="s">
        <v>29</v>
      </c>
      <c r="O12055" s="18" t="s">
        <v>47563</v>
      </c>
      <c r="P12055" s="18" t="s">
        <v>29</v>
      </c>
      <c r="Q12055" s="6"/>
      <c r="R12055" s="6"/>
      <c r="S12055" s="6"/>
      <c r="T12055" s="6"/>
      <c r="U12055" s="6"/>
      <c r="V12055" s="6"/>
      <c r="W12055" s="6"/>
      <c r="X12055" s="6"/>
    </row>
    <row r="12056" ht="14.25">
      <c r="B12056" s="18" t="s">
        <v>1861</v>
      </c>
      <c r="C12056" s="18" t="s">
        <v>50236</v>
      </c>
      <c r="D12056" s="18" t="s">
        <v>112</v>
      </c>
      <c r="E12056" s="18" t="s">
        <v>45667</v>
      </c>
      <c r="F12056" s="18" t="str">
        <f>IFERROR(__XLUDF.DUMMYFUNCTION("PROPER(REGEXREPLACE(D124,""[^A-Za-z]+ "",""""))"),"Roquet")</f>
        <v>Roquet</v>
      </c>
      <c r="G12056" s="18" t="s">
        <v>50237</v>
      </c>
      <c r="H12056" s="18">
        <v>47</v>
      </c>
      <c r="I12056" s="18" t="s">
        <v>9239</v>
      </c>
      <c r="J12056" s="18" t="str">
        <f>IFERROR(__XLUDF.DUMMYFUNCTION("VLOOKUP(M124,IMPORTRANGE(""https://docs.google.com/spreadsheets/d/1opm6ZNvGZ7KditA9TuJwrZ25eFLfTNIkrNnY6mhV5Eg"",""list!A1:C115""),3,TRUE)"),"le secteur de la production alimentaire")</f>
        <v xml:space="preserve">le secteur de la production alimentaire</v>
      </c>
      <c r="K12056" s="5" t="s">
        <v>50238</v>
      </c>
      <c r="L12056" s="5" t="s">
        <v>45670</v>
      </c>
      <c r="M12056" s="6"/>
      <c r="N12056" s="18" t="s">
        <v>29</v>
      </c>
      <c r="O12056" s="18" t="s">
        <v>45671</v>
      </c>
      <c r="P12056" s="18" t="s">
        <v>29</v>
      </c>
      <c r="Q12056" s="18" t="s">
        <v>45672</v>
      </c>
      <c r="R12056" s="6"/>
      <c r="S12056" s="6"/>
      <c r="T12056" s="6"/>
      <c r="U12056" s="6"/>
      <c r="V12056" s="6"/>
      <c r="W12056" s="6"/>
      <c r="X12056" s="6"/>
    </row>
    <row r="12057" ht="14.25">
      <c r="B12057" s="18" t="s">
        <v>1198</v>
      </c>
      <c r="C12057" s="18" t="s">
        <v>48737</v>
      </c>
      <c r="D12057" s="18" t="s">
        <v>172</v>
      </c>
      <c r="E12057" s="18" t="s">
        <v>48738</v>
      </c>
      <c r="F12057" s="18" t="str">
        <f>IFERROR(__XLUDF.DUMMYFUNCTION("PROPER(REGEXREPLACE(D125,""[^A-Za-z]+ "",""""))"),"Vivian Et Cie")</f>
        <v xml:space="preserve">Vivian Et Cie</v>
      </c>
      <c r="G12057" s="18" t="s">
        <v>48739</v>
      </c>
      <c r="H12057" s="18">
        <v>26</v>
      </c>
      <c r="I12057" s="18" t="s">
        <v>9239</v>
      </c>
      <c r="J12057" s="18" t="str">
        <f>IFERROR(__XLUDF.DUMMYFUNCTION("VLOOKUP(M125,IMPORTRANGE(""https://docs.google.com/spreadsheets/d/1opm6ZNvGZ7KditA9TuJwrZ25eFLfTNIkrNnY6mhV5Eg"",""list!A1:C115""),3,TRUE)"),"le secteur de la production alimentaire")</f>
        <v xml:space="preserve">le secteur de la production alimentaire</v>
      </c>
      <c r="K12057" s="5" t="s">
        <v>48740</v>
      </c>
      <c r="L12057" s="5" t="s">
        <v>48741</v>
      </c>
      <c r="M12057" s="18" t="s">
        <v>295</v>
      </c>
      <c r="N12057" s="18" t="s">
        <v>29</v>
      </c>
      <c r="O12057" s="18" t="s">
        <v>3642</v>
      </c>
      <c r="P12057" s="18" t="s">
        <v>29</v>
      </c>
      <c r="Q12057" s="6"/>
      <c r="R12057" s="6"/>
      <c r="S12057" s="6"/>
      <c r="T12057" s="6"/>
      <c r="U12057" s="6"/>
      <c r="V12057" s="6"/>
      <c r="W12057" s="6"/>
      <c r="X12057" s="6"/>
    </row>
    <row r="12058" ht="14.25">
      <c r="B12058" s="18" t="s">
        <v>5716</v>
      </c>
      <c r="C12058" s="18" t="s">
        <v>30239</v>
      </c>
      <c r="D12058" s="18" t="s">
        <v>1130</v>
      </c>
      <c r="E12058" s="18" t="s">
        <v>52331</v>
      </c>
      <c r="F12058" s="18" t="str">
        <f>IFERROR(__XLUDF.DUMMYFUNCTION("PROPER(REGEXREPLACE(D126,""[^A-Za-z]+ "",""""))"),"Pvc Alu Creation")</f>
        <v xml:space="preserve">Pvc Alu Creation</v>
      </c>
      <c r="G12058" s="18" t="s">
        <v>52332</v>
      </c>
      <c r="H12058" s="18">
        <v>16</v>
      </c>
      <c r="I12058" s="18" t="s">
        <v>9239</v>
      </c>
      <c r="J12058" s="18" t="str">
        <f>IFERROR(__XLUDF.DUMMYFUNCTION("VLOOKUP(M126,IMPORTRANGE(""https://docs.google.com/spreadsheets/d/1opm6ZNvGZ7KditA9TuJwrZ25eFLfTNIkrNnY6mhV5Eg"",""list!A1:C115""),3,TRUE)"),"le secteur de la production alimentaire")</f>
        <v xml:space="preserve">le secteur de la production alimentaire</v>
      </c>
      <c r="K12058" s="5" t="s">
        <v>52333</v>
      </c>
      <c r="L12058" s="5" t="s">
        <v>52334</v>
      </c>
      <c r="M12058" s="18" t="s">
        <v>52335</v>
      </c>
      <c r="N12058" s="18" t="s">
        <v>29</v>
      </c>
      <c r="O12058" s="18" t="s">
        <v>52336</v>
      </c>
      <c r="P12058" s="18" t="s">
        <v>29</v>
      </c>
      <c r="Q12058" s="18" t="s">
        <v>52337</v>
      </c>
      <c r="R12058" s="6"/>
      <c r="S12058" s="6"/>
      <c r="T12058" s="6"/>
      <c r="U12058" s="6"/>
      <c r="V12058" s="6"/>
      <c r="W12058" s="6"/>
      <c r="X12058" s="6"/>
    </row>
    <row r="12059" ht="14.25">
      <c r="B12059" s="18" t="s">
        <v>2932</v>
      </c>
      <c r="C12059" s="18" t="s">
        <v>53096</v>
      </c>
      <c r="D12059" s="18" t="s">
        <v>172</v>
      </c>
      <c r="E12059" s="18" t="s">
        <v>53097</v>
      </c>
      <c r="F12059" s="18" t="str">
        <f>IFERROR(__XLUDF.DUMMYFUNCTION("PROPER(REGEXREPLACE(D127,""[^A-Za-z]+ "",""""))"),"Richelieu Rénovation")</f>
        <v xml:space="preserve">Richelieu Rénovation</v>
      </c>
      <c r="G12059" s="18" t="s">
        <v>53098</v>
      </c>
      <c r="H12059" s="18">
        <v>12</v>
      </c>
      <c r="I12059" s="18" t="s">
        <v>9239</v>
      </c>
      <c r="J12059" s="18" t="str">
        <f>IFERROR(__XLUDF.DUMMYFUNCTION("VLOOKUP(M127,IMPORTRANGE(""https://docs.google.com/spreadsheets/d/1opm6ZNvGZ7KditA9TuJwrZ25eFLfTNIkrNnY6mhV5Eg"",""list!A1:C115""),3,TRUE)"),"le secteur de la production alimentaire")</f>
        <v xml:space="preserve">le secteur de la production alimentaire</v>
      </c>
      <c r="K12059" s="5" t="s">
        <v>53099</v>
      </c>
      <c r="L12059" s="5" t="s">
        <v>53100</v>
      </c>
      <c r="M12059" s="18" t="s">
        <v>53101</v>
      </c>
      <c r="N12059" s="18" t="s">
        <v>29</v>
      </c>
      <c r="O12059" s="18" t="s">
        <v>53102</v>
      </c>
      <c r="P12059" s="18" t="s">
        <v>29</v>
      </c>
      <c r="Q12059" s="18" t="s">
        <v>53103</v>
      </c>
      <c r="R12059" s="6"/>
      <c r="S12059" s="6"/>
      <c r="T12059" s="6"/>
      <c r="U12059" s="6"/>
      <c r="V12059" s="6"/>
      <c r="W12059" s="6"/>
      <c r="X12059" s="6"/>
    </row>
    <row r="12060" ht="14.25">
      <c r="B12060" s="18" t="s">
        <v>1198</v>
      </c>
      <c r="C12060" s="18" t="s">
        <v>49118</v>
      </c>
      <c r="D12060" s="18" t="s">
        <v>112</v>
      </c>
      <c r="E12060" s="18" t="s">
        <v>49119</v>
      </c>
      <c r="F12060" s="18" t="str">
        <f>IFERROR(__XLUDF.DUMMYFUNCTION("PROPER(REGEXREPLACE(D128,""[^A-Za-z]+ "",""""))"),"Groupe Eovest")</f>
        <v xml:space="preserve">Groupe Eovest</v>
      </c>
      <c r="G12060" s="18" t="s">
        <v>53126</v>
      </c>
      <c r="H12060" s="18">
        <v>14</v>
      </c>
      <c r="I12060" s="18" t="s">
        <v>9239</v>
      </c>
      <c r="J12060" s="18" t="str">
        <f>IFERROR(__XLUDF.DUMMYFUNCTION("VLOOKUP(M128,IMPORTRANGE(""https://docs.google.com/spreadsheets/d/1opm6ZNvGZ7KditA9TuJwrZ25eFLfTNIkrNnY6mhV5Eg"",""list!A1:C115""),3,TRUE)"),"le secteur de la production alimentaire")</f>
        <v xml:space="preserve">le secteur de la production alimentaire</v>
      </c>
      <c r="K12060" s="5" t="s">
        <v>53127</v>
      </c>
      <c r="L12060" s="5" t="s">
        <v>49122</v>
      </c>
      <c r="M12060" s="6"/>
      <c r="N12060" s="18" t="s">
        <v>29</v>
      </c>
      <c r="O12060" s="18" t="s">
        <v>49123</v>
      </c>
      <c r="P12060" s="18" t="s">
        <v>29</v>
      </c>
      <c r="Q12060" s="18" t="s">
        <v>49124</v>
      </c>
      <c r="R12060" s="6"/>
      <c r="S12060" s="6"/>
      <c r="T12060" s="6"/>
      <c r="U12060" s="6"/>
      <c r="V12060" s="6"/>
      <c r="W12060" s="6"/>
      <c r="X12060" s="6"/>
    </row>
    <row r="12061" ht="14.25">
      <c r="B12061" s="18" t="s">
        <v>1198</v>
      </c>
      <c r="C12061" s="18" t="s">
        <v>50246</v>
      </c>
      <c r="D12061" s="18" t="s">
        <v>112</v>
      </c>
      <c r="E12061" s="18" t="s">
        <v>50247</v>
      </c>
      <c r="F12061" s="18" t="str">
        <f>IFERROR(__XLUDF.DUMMYFUNCTION("PROPER(REGEXREPLACE(D129,""[^A-Za-z]+ "",""""))"),"Aster Btp")</f>
        <v xml:space="preserve">Aster Btp</v>
      </c>
      <c r="G12061" s="18" t="s">
        <v>50248</v>
      </c>
      <c r="H12061" s="18">
        <v>15</v>
      </c>
      <c r="I12061" s="18" t="s">
        <v>9239</v>
      </c>
      <c r="J12061" s="18" t="str">
        <f>IFERROR(__XLUDF.DUMMYFUNCTION("VLOOKUP(M129,IMPORTRANGE(""https://docs.google.com/spreadsheets/d/1opm6ZNvGZ7KditA9TuJwrZ25eFLfTNIkrNnY6mhV5Eg"",""list!A1:C115""),3,TRUE)"),"le secteur de la production alimentaire")</f>
        <v xml:space="preserve">le secteur de la production alimentaire</v>
      </c>
      <c r="K12061" s="5" t="s">
        <v>50249</v>
      </c>
      <c r="L12061" s="5" t="s">
        <v>50250</v>
      </c>
      <c r="M12061" s="6"/>
      <c r="N12061" s="18" t="s">
        <v>29</v>
      </c>
      <c r="O12061" s="18" t="s">
        <v>50251</v>
      </c>
      <c r="P12061" s="18" t="s">
        <v>29</v>
      </c>
      <c r="Q12061" s="18" t="s">
        <v>50252</v>
      </c>
      <c r="R12061" s="6"/>
      <c r="S12061" s="6"/>
      <c r="T12061" s="6"/>
      <c r="U12061" s="6"/>
      <c r="V12061" s="6"/>
      <c r="W12061" s="6"/>
      <c r="X12061" s="6"/>
    </row>
    <row r="12062" ht="14.25">
      <c r="B12062" s="18" t="s">
        <v>679</v>
      </c>
      <c r="C12062" s="18" t="s">
        <v>52814</v>
      </c>
      <c r="D12062" s="18" t="s">
        <v>112</v>
      </c>
      <c r="E12062" s="18" t="s">
        <v>52815</v>
      </c>
      <c r="F12062" s="18" t="str">
        <f>IFERROR(__XLUDF.DUMMYFUNCTION("PROPER(REGEXREPLACE(D130,""[^A-Za-z]+ "",""""))"),"Pyretherm")</f>
        <v>Pyretherm</v>
      </c>
      <c r="G12062" s="18" t="s">
        <v>52816</v>
      </c>
      <c r="H12062" s="18">
        <v>14</v>
      </c>
      <c r="I12062" s="18" t="s">
        <v>9239</v>
      </c>
      <c r="J12062" s="18" t="str">
        <f>IFERROR(__XLUDF.DUMMYFUNCTION("VLOOKUP(M130,IMPORTRANGE(""https://docs.google.com/spreadsheets/d/1opm6ZNvGZ7KditA9TuJwrZ25eFLfTNIkrNnY6mhV5Eg"",""list!A1:C115""),3,TRUE)"),"le secteur de la production alimentaire")</f>
        <v xml:space="preserve">le secteur de la production alimentaire</v>
      </c>
      <c r="K12062" s="5" t="s">
        <v>52817</v>
      </c>
      <c r="L12062" s="5" t="s">
        <v>52818</v>
      </c>
      <c r="M12062" s="18" t="s">
        <v>52819</v>
      </c>
      <c r="N12062" s="18" t="s">
        <v>29</v>
      </c>
      <c r="O12062" s="18" t="s">
        <v>52820</v>
      </c>
      <c r="P12062" s="18" t="s">
        <v>29</v>
      </c>
      <c r="Q12062" s="18" t="s">
        <v>52821</v>
      </c>
      <c r="R12062" s="6"/>
      <c r="S12062" s="6"/>
      <c r="T12062" s="6"/>
      <c r="U12062" s="6"/>
      <c r="V12062" s="6"/>
      <c r="W12062" s="6"/>
      <c r="X12062" s="6"/>
    </row>
    <row r="12063" ht="14.25">
      <c r="B12063" s="18" t="s">
        <v>7627</v>
      </c>
      <c r="C12063" s="18" t="s">
        <v>47262</v>
      </c>
      <c r="D12063" s="18" t="s">
        <v>172</v>
      </c>
      <c r="E12063" s="18" t="s">
        <v>47263</v>
      </c>
      <c r="F12063" s="18" t="str">
        <f>IFERROR(__XLUDF.DUMMYFUNCTION("PROPER(REGEXREPLACE(D131,""[^A-Za-z]+ "",""""))"),"Real Sol")</f>
        <v xml:space="preserve">Real Sol</v>
      </c>
      <c r="G12063" s="18" t="s">
        <v>47264</v>
      </c>
      <c r="H12063" s="18">
        <v>10</v>
      </c>
      <c r="I12063" s="18" t="s">
        <v>9239</v>
      </c>
      <c r="J12063" s="18" t="str">
        <f>IFERROR(__XLUDF.DUMMYFUNCTION("VLOOKUP(M131,IMPORTRANGE(""https://docs.google.com/spreadsheets/d/1opm6ZNvGZ7KditA9TuJwrZ25eFLfTNIkrNnY6mhV5Eg"",""list!A1:C115""),3,TRUE)"),"le secteur de la production alimentaire")</f>
        <v xml:space="preserve">le secteur de la production alimentaire</v>
      </c>
      <c r="K12063" s="5" t="s">
        <v>47265</v>
      </c>
      <c r="L12063" s="5" t="s">
        <v>47266</v>
      </c>
      <c r="M12063" s="18" t="s">
        <v>1497</v>
      </c>
      <c r="N12063" s="18" t="s">
        <v>29</v>
      </c>
      <c r="O12063" s="18" t="s">
        <v>47267</v>
      </c>
      <c r="P12063" s="18" t="s">
        <v>29</v>
      </c>
      <c r="Q12063" s="6"/>
      <c r="R12063" s="6"/>
      <c r="S12063" s="6"/>
      <c r="T12063" s="6"/>
      <c r="U12063" s="6"/>
      <c r="V12063" s="6"/>
      <c r="W12063" s="6"/>
      <c r="X12063" s="6"/>
    </row>
    <row r="12064" ht="14.25">
      <c r="B12064" s="18" t="s">
        <v>1198</v>
      </c>
      <c r="C12064" s="18" t="s">
        <v>52059</v>
      </c>
      <c r="D12064" s="18" t="s">
        <v>52060</v>
      </c>
      <c r="E12064" s="18" t="s">
        <v>11809</v>
      </c>
      <c r="F12064" s="18" t="str">
        <f>IFERROR(__XLUDF.DUMMYFUNCTION("PROPER(REGEXREPLACE(D132,""[^A-Za-z]+ "",""""))"),"Stellagroup")</f>
        <v>Stellagroup</v>
      </c>
      <c r="G12064" s="18" t="s">
        <v>52061</v>
      </c>
      <c r="H12064" s="18">
        <v>38</v>
      </c>
      <c r="I12064" s="18" t="s">
        <v>9239</v>
      </c>
      <c r="J12064" s="18" t="str">
        <f>IFERROR(__XLUDF.DUMMYFUNCTION("VLOOKUP(M132,IMPORTRANGE(""https://docs.google.com/spreadsheets/d/1opm6ZNvGZ7KditA9TuJwrZ25eFLfTNIkrNnY6mhV5Eg"",""list!A1:C115""),3,TRUE)"),"le secteur de la production alimentaire")</f>
        <v xml:space="preserve">le secteur de la production alimentaire</v>
      </c>
      <c r="K12064" s="5" t="s">
        <v>52062</v>
      </c>
      <c r="L12064" s="5" t="s">
        <v>52063</v>
      </c>
      <c r="M12064" s="6"/>
      <c r="N12064" s="18" t="s">
        <v>29</v>
      </c>
      <c r="O12064" s="18" t="s">
        <v>84</v>
      </c>
      <c r="P12064" s="18" t="s">
        <v>29</v>
      </c>
      <c r="Q12064" s="18" t="s">
        <v>11814</v>
      </c>
      <c r="R12064" s="6"/>
      <c r="S12064" s="6"/>
      <c r="T12064" s="6"/>
      <c r="U12064" s="6"/>
      <c r="V12064" s="6"/>
      <c r="W12064" s="6"/>
      <c r="X12064" s="6"/>
    </row>
    <row r="12065" ht="14.25">
      <c r="B12065" s="18" t="s">
        <v>1027</v>
      </c>
      <c r="C12065" s="18" t="s">
        <v>52694</v>
      </c>
      <c r="D12065" s="18" t="s">
        <v>112</v>
      </c>
      <c r="E12065" s="18" t="s">
        <v>52695</v>
      </c>
      <c r="F12065" s="18" t="str">
        <f>IFERROR(__XLUDF.DUMMYFUNCTION("PROPER(REGEXREPLACE(D133,""[^A-Za-z]+ "",""""))"),"Exagon")</f>
        <v>Exagon</v>
      </c>
      <c r="G12065" s="18" t="s">
        <v>52696</v>
      </c>
      <c r="H12065" s="18">
        <v>18</v>
      </c>
      <c r="I12065" s="18" t="s">
        <v>9239</v>
      </c>
      <c r="J12065" s="18" t="str">
        <f>IFERROR(__XLUDF.DUMMYFUNCTION("VLOOKUP(M133,IMPORTRANGE(""https://docs.google.com/spreadsheets/d/1opm6ZNvGZ7KditA9TuJwrZ25eFLfTNIkrNnY6mhV5Eg"",""list!A1:C115""),3,TRUE)"),"le secteur de la production alimentaire")</f>
        <v xml:space="preserve">le secteur de la production alimentaire</v>
      </c>
      <c r="K12065" s="5" t="s">
        <v>52697</v>
      </c>
      <c r="L12065" s="5" t="s">
        <v>52698</v>
      </c>
      <c r="M12065" s="18" t="s">
        <v>10661</v>
      </c>
      <c r="N12065" s="18" t="s">
        <v>29</v>
      </c>
      <c r="O12065" s="18" t="s">
        <v>52699</v>
      </c>
      <c r="P12065" s="18" t="s">
        <v>29</v>
      </c>
      <c r="Q12065" s="18" t="s">
        <v>52700</v>
      </c>
      <c r="R12065" s="6"/>
      <c r="S12065" s="6"/>
      <c r="T12065" s="6"/>
      <c r="U12065" s="6"/>
      <c r="V12065" s="6"/>
      <c r="W12065" s="6"/>
      <c r="X12065" s="6"/>
    </row>
    <row r="12066" ht="14.25">
      <c r="B12066" s="18" t="s">
        <v>955</v>
      </c>
      <c r="C12066" s="18" t="s">
        <v>47517</v>
      </c>
      <c r="D12066" s="18" t="s">
        <v>172</v>
      </c>
      <c r="E12066" s="18" t="s">
        <v>47518</v>
      </c>
      <c r="F12066" s="18" t="str">
        <f>IFERROR(__XLUDF.DUMMYFUNCTION("PROPER(REGEXREPLACE(D134,""[^A-Za-z]+ "",""""))"),"Spada Construction")</f>
        <v xml:space="preserve">Spada Construction</v>
      </c>
      <c r="G12066" s="18" t="s">
        <v>47519</v>
      </c>
      <c r="H12066" s="18">
        <v>26</v>
      </c>
      <c r="I12066" s="18" t="s">
        <v>9239</v>
      </c>
      <c r="J12066" s="18" t="str">
        <f>IFERROR(__XLUDF.DUMMYFUNCTION("VLOOKUP(M134,IMPORTRANGE(""https://docs.google.com/spreadsheets/d/1opm6ZNvGZ7KditA9TuJwrZ25eFLfTNIkrNnY6mhV5Eg"",""list!A1:C115""),3,TRUE)"),"le secteur de la production alimentaire")</f>
        <v xml:space="preserve">le secteur de la production alimentaire</v>
      </c>
      <c r="K12066" s="5" t="s">
        <v>47520</v>
      </c>
      <c r="L12066" s="5" t="s">
        <v>47521</v>
      </c>
      <c r="M12066" s="18" t="s">
        <v>49</v>
      </c>
      <c r="N12066" s="18" t="s">
        <v>29</v>
      </c>
      <c r="O12066" s="18" t="s">
        <v>47522</v>
      </c>
      <c r="P12066" s="18" t="s">
        <v>29</v>
      </c>
      <c r="Q12066" s="18" t="s">
        <v>47523</v>
      </c>
      <c r="R12066" s="6"/>
      <c r="S12066" s="6"/>
      <c r="T12066" s="6"/>
      <c r="U12066" s="6"/>
      <c r="V12066" s="6"/>
      <c r="W12066" s="6"/>
      <c r="X12066" s="6"/>
    </row>
    <row r="12067" ht="14.25">
      <c r="B12067" s="18" t="s">
        <v>679</v>
      </c>
      <c r="C12067" s="18" t="s">
        <v>11439</v>
      </c>
      <c r="D12067" s="18" t="s">
        <v>172</v>
      </c>
      <c r="E12067" s="18" t="s">
        <v>46753</v>
      </c>
      <c r="F12067" s="18" t="str">
        <f>IFERROR(__XLUDF.DUMMYFUNCTION("PROPER(REGEXREPLACE(D135,""[^A-Za-z]+ "",""""))"),"Stifor")</f>
        <v>Stifor</v>
      </c>
      <c r="G12067" s="18" t="s">
        <v>46754</v>
      </c>
      <c r="H12067" s="18">
        <v>10</v>
      </c>
      <c r="I12067" s="18" t="s">
        <v>9239</v>
      </c>
      <c r="J12067" s="18" t="str">
        <f>IFERROR(__XLUDF.DUMMYFUNCTION("VLOOKUP(M135,IMPORTRANGE(""https://docs.google.com/spreadsheets/d/1opm6ZNvGZ7KditA9TuJwrZ25eFLfTNIkrNnY6mhV5Eg"",""list!A1:C115""),3,TRUE)"),"le secteur de la production alimentaire")</f>
        <v xml:space="preserve">le secteur de la production alimentaire</v>
      </c>
      <c r="K12067" s="5" t="s">
        <v>46755</v>
      </c>
      <c r="L12067" s="5" t="s">
        <v>46756</v>
      </c>
      <c r="M12067" s="18" t="s">
        <v>1723</v>
      </c>
      <c r="N12067" s="18" t="s">
        <v>29</v>
      </c>
      <c r="O12067" s="18" t="s">
        <v>5722</v>
      </c>
      <c r="P12067" s="18" t="s">
        <v>29</v>
      </c>
      <c r="Q12067" s="18" t="s">
        <v>46757</v>
      </c>
      <c r="R12067" s="6"/>
      <c r="S12067" s="6"/>
      <c r="T12067" s="6"/>
      <c r="U12067" s="6"/>
      <c r="V12067" s="6"/>
      <c r="W12067" s="6"/>
      <c r="X12067" s="6"/>
    </row>
    <row r="12068" ht="14.25">
      <c r="B12068" s="18" t="s">
        <v>5716</v>
      </c>
      <c r="C12068" s="18" t="s">
        <v>24028</v>
      </c>
      <c r="D12068" s="18" t="s">
        <v>5400</v>
      </c>
      <c r="E12068" s="18" t="s">
        <v>45783</v>
      </c>
      <c r="F12068" s="18" t="str">
        <f>IFERROR(__XLUDF.DUMMYFUNCTION("PROPER(REGEXREPLACE(D136,""[^A-Za-z]+ "",""""))"),"Groupe Landais")</f>
        <v xml:space="preserve">Groupe Landais</v>
      </c>
      <c r="G12068" s="18" t="s">
        <v>45784</v>
      </c>
      <c r="H12068" s="18">
        <v>36</v>
      </c>
      <c r="I12068" s="18" t="s">
        <v>9239</v>
      </c>
      <c r="J12068" s="18" t="str">
        <f>IFERROR(__XLUDF.DUMMYFUNCTION("VLOOKUP(M136,IMPORTRANGE(""https://docs.google.com/spreadsheets/d/1opm6ZNvGZ7KditA9TuJwrZ25eFLfTNIkrNnY6mhV5Eg"",""list!A1:C115""),3,TRUE)"),"le secteur de la production alimentaire")</f>
        <v xml:space="preserve">le secteur de la production alimentaire</v>
      </c>
      <c r="K12068" s="5" t="s">
        <v>45785</v>
      </c>
      <c r="L12068" s="5" t="s">
        <v>45786</v>
      </c>
      <c r="M12068" s="18" t="s">
        <v>1711</v>
      </c>
      <c r="N12068" s="18" t="s">
        <v>29</v>
      </c>
      <c r="O12068" s="18" t="s">
        <v>45787</v>
      </c>
      <c r="P12068" s="18" t="s">
        <v>29</v>
      </c>
      <c r="Q12068" s="6"/>
      <c r="R12068" s="6"/>
      <c r="S12068" s="6"/>
      <c r="T12068" s="6"/>
      <c r="U12068" s="6"/>
      <c r="V12068" s="6"/>
      <c r="W12068" s="6"/>
      <c r="X12068" s="6"/>
    </row>
    <row r="12069" ht="14.25">
      <c r="B12069" s="18" t="s">
        <v>5716</v>
      </c>
      <c r="C12069" s="18" t="s">
        <v>828</v>
      </c>
      <c r="D12069" s="18" t="s">
        <v>44866</v>
      </c>
      <c r="E12069" s="18" t="s">
        <v>44867</v>
      </c>
      <c r="F12069" s="18" t="str">
        <f>IFERROR(__XLUDF.DUMMYFUNCTION("PROPER(REGEXREPLACE(D137,""[^A-Za-z]+ "",""""))"),"Atticora")</f>
        <v>Atticora</v>
      </c>
      <c r="G12069" s="18" t="s">
        <v>44868</v>
      </c>
      <c r="H12069" s="18">
        <v>15</v>
      </c>
      <c r="I12069" s="18" t="s">
        <v>9239</v>
      </c>
      <c r="J12069" s="18" t="str">
        <f>IFERROR(__XLUDF.DUMMYFUNCTION("VLOOKUP(M137,IMPORTRANGE(""https://docs.google.com/spreadsheets/d/1opm6ZNvGZ7KditA9TuJwrZ25eFLfTNIkrNnY6mhV5Eg"",""list!A1:C115""),3,TRUE)"),"le secteur de la production alimentaire")</f>
        <v xml:space="preserve">le secteur de la production alimentaire</v>
      </c>
      <c r="K12069" s="5" t="s">
        <v>44869</v>
      </c>
      <c r="L12069" s="5" t="s">
        <v>44870</v>
      </c>
      <c r="M12069" s="6"/>
      <c r="N12069" s="18" t="s">
        <v>29</v>
      </c>
      <c r="O12069" s="18" t="s">
        <v>44871</v>
      </c>
      <c r="P12069" s="18" t="s">
        <v>29</v>
      </c>
      <c r="Q12069" s="18" t="s">
        <v>44872</v>
      </c>
      <c r="R12069" s="6"/>
      <c r="S12069" s="6"/>
      <c r="T12069" s="6"/>
      <c r="U12069" s="6"/>
      <c r="V12069" s="6"/>
      <c r="W12069" s="6"/>
      <c r="X12069" s="6"/>
    </row>
    <row r="12070" ht="14.25">
      <c r="B12070" s="18" t="s">
        <v>6788</v>
      </c>
      <c r="C12070" s="18" t="s">
        <v>3981</v>
      </c>
      <c r="D12070" s="18" t="s">
        <v>172</v>
      </c>
      <c r="E12070" s="18" t="s">
        <v>45667</v>
      </c>
      <c r="F12070" s="18" t="str">
        <f>IFERROR(__XLUDF.DUMMYFUNCTION("PROPER(REGEXREPLACE(D138,""[^A-Za-z]+ "",""""))"),"Roquet")</f>
        <v>Roquet</v>
      </c>
      <c r="G12070" s="18" t="s">
        <v>45668</v>
      </c>
      <c r="H12070" s="18">
        <v>47</v>
      </c>
      <c r="I12070" s="18" t="s">
        <v>9239</v>
      </c>
      <c r="J12070" s="18" t="str">
        <f>IFERROR(__XLUDF.DUMMYFUNCTION("VLOOKUP(M138,IMPORTRANGE(""https://docs.google.com/spreadsheets/d/1opm6ZNvGZ7KditA9TuJwrZ25eFLfTNIkrNnY6mhV5Eg"",""list!A1:C115""),3,TRUE)"),"le secteur de la production alimentaire")</f>
        <v xml:space="preserve">le secteur de la production alimentaire</v>
      </c>
      <c r="K12070" s="5" t="s">
        <v>45669</v>
      </c>
      <c r="L12070" s="5" t="s">
        <v>45670</v>
      </c>
      <c r="M12070" s="18" t="s">
        <v>1711</v>
      </c>
      <c r="N12070" s="18" t="s">
        <v>29</v>
      </c>
      <c r="O12070" s="18" t="s">
        <v>45671</v>
      </c>
      <c r="P12070" s="18" t="s">
        <v>29</v>
      </c>
      <c r="Q12070" s="18" t="s">
        <v>45672</v>
      </c>
      <c r="R12070" s="6"/>
      <c r="S12070" s="6"/>
      <c r="T12070" s="6"/>
      <c r="U12070" s="6"/>
      <c r="V12070" s="6"/>
      <c r="W12070" s="6"/>
      <c r="X12070" s="6"/>
    </row>
    <row r="12071" ht="14.25">
      <c r="B12071" s="18" t="s">
        <v>955</v>
      </c>
      <c r="C12071" s="18" t="s">
        <v>9356</v>
      </c>
      <c r="D12071" s="18" t="s">
        <v>112</v>
      </c>
      <c r="E12071" s="18" t="s">
        <v>53077</v>
      </c>
      <c r="F12071" s="18" t="str">
        <f>IFERROR(__XLUDF.DUMMYFUNCTION("PROPER(REGEXREPLACE(D139,""[^A-Za-z]+ "",""""))"),"Betis")</f>
        <v>Betis</v>
      </c>
      <c r="G12071" s="18" t="s">
        <v>53078</v>
      </c>
      <c r="H12071" s="18">
        <v>13</v>
      </c>
      <c r="I12071" s="18" t="s">
        <v>9239</v>
      </c>
      <c r="J12071" s="18" t="str">
        <f>IFERROR(__XLUDF.DUMMYFUNCTION("VLOOKUP(M139,IMPORTRANGE(""https://docs.google.com/spreadsheets/d/1opm6ZNvGZ7KditA9TuJwrZ25eFLfTNIkrNnY6mhV5Eg"",""list!A1:C115""),3,TRUE)"),"le secteur de la production alimentaire")</f>
        <v xml:space="preserve">le secteur de la production alimentaire</v>
      </c>
      <c r="K12071" s="5" t="s">
        <v>53079</v>
      </c>
      <c r="L12071" s="5" t="s">
        <v>53080</v>
      </c>
      <c r="M12071" s="18" t="s">
        <v>11033</v>
      </c>
      <c r="N12071" s="18" t="s">
        <v>29</v>
      </c>
      <c r="O12071" s="18" t="s">
        <v>53081</v>
      </c>
      <c r="P12071" s="18" t="s">
        <v>29</v>
      </c>
      <c r="Q12071" s="18" t="s">
        <v>53082</v>
      </c>
      <c r="R12071" s="6"/>
      <c r="S12071" s="6"/>
      <c r="T12071" s="6"/>
      <c r="U12071" s="6"/>
      <c r="V12071" s="6"/>
      <c r="W12071" s="6"/>
      <c r="X12071" s="6"/>
    </row>
    <row r="12072" ht="14.25">
      <c r="B12072" s="18" t="s">
        <v>2932</v>
      </c>
      <c r="C12072" s="18" t="s">
        <v>47662</v>
      </c>
      <c r="D12072" s="18" t="s">
        <v>172</v>
      </c>
      <c r="E12072" s="18" t="s">
        <v>50636</v>
      </c>
      <c r="F12072" s="18" t="str">
        <f>IFERROR(__XLUDF.DUMMYFUNCTION("PROPER(REGEXREPLACE(D140,""[^A-Za-z]+ "",""""))"),"L2A Agencement")</f>
        <v xml:space="preserve">L2A Agencement</v>
      </c>
      <c r="G12072" s="18" t="s">
        <v>50637</v>
      </c>
      <c r="H12072" s="18">
        <v>47</v>
      </c>
      <c r="I12072" s="18" t="s">
        <v>9239</v>
      </c>
      <c r="J12072" s="18" t="str">
        <f>IFERROR(__XLUDF.DUMMYFUNCTION("VLOOKUP(M140,IMPORTRANGE(""https://docs.google.com/spreadsheets/d/1opm6ZNvGZ7KditA9TuJwrZ25eFLfTNIkrNnY6mhV5Eg"",""list!A1:C115""),3,TRUE)"),"le secteur de la production alimentaire")</f>
        <v xml:space="preserve">le secteur de la production alimentaire</v>
      </c>
      <c r="K12072" s="5" t="s">
        <v>55848</v>
      </c>
      <c r="L12072" s="5" t="s">
        <v>50639</v>
      </c>
      <c r="M12072" s="18" t="s">
        <v>8318</v>
      </c>
      <c r="N12072" s="18" t="s">
        <v>29</v>
      </c>
      <c r="O12072" s="18" t="s">
        <v>50640</v>
      </c>
      <c r="P12072" s="18" t="s">
        <v>29</v>
      </c>
      <c r="Q12072" s="18" t="s">
        <v>50641</v>
      </c>
      <c r="R12072" s="6"/>
      <c r="S12072" s="6"/>
      <c r="T12072" s="6"/>
      <c r="U12072" s="6"/>
      <c r="V12072" s="6"/>
      <c r="W12072" s="6"/>
      <c r="X12072" s="6"/>
    </row>
    <row r="12073" ht="14.25">
      <c r="B12073" s="18" t="s">
        <v>3797</v>
      </c>
      <c r="C12073" s="18" t="s">
        <v>52863</v>
      </c>
      <c r="D12073" s="18" t="s">
        <v>112</v>
      </c>
      <c r="E12073" s="18" t="s">
        <v>52864</v>
      </c>
      <c r="F12073" s="18" t="str">
        <f>IFERROR(__XLUDF.DUMMYFUNCTION("PROPER(REGEXREPLACE(D141,""[^A-Za-z]+ "",""""))"),"Les Materiaux De L'Ouest")</f>
        <v xml:space="preserve">Les Materiaux De L'Ouest</v>
      </c>
      <c r="G12073" s="18" t="s">
        <v>52865</v>
      </c>
      <c r="H12073" s="18">
        <v>40</v>
      </c>
      <c r="I12073" s="18" t="s">
        <v>9239</v>
      </c>
      <c r="J12073" s="18" t="str">
        <f>IFERROR(__XLUDF.DUMMYFUNCTION("VLOOKUP(M141,IMPORTRANGE(""https://docs.google.com/spreadsheets/d/1opm6ZNvGZ7KditA9TuJwrZ25eFLfTNIkrNnY6mhV5Eg"",""list!A1:C115""),3,TRUE)"),"le secteur de la production alimentaire")</f>
        <v xml:space="preserve">le secteur de la production alimentaire</v>
      </c>
      <c r="K12073" s="5" t="s">
        <v>52866</v>
      </c>
      <c r="L12073" s="5" t="s">
        <v>52867</v>
      </c>
      <c r="M12073" s="18" t="s">
        <v>1826</v>
      </c>
      <c r="N12073" s="18" t="s">
        <v>29</v>
      </c>
      <c r="O12073" s="18" t="s">
        <v>52868</v>
      </c>
      <c r="P12073" s="18" t="s">
        <v>29</v>
      </c>
      <c r="Q12073" s="6"/>
      <c r="R12073" s="6"/>
      <c r="S12073" s="6"/>
      <c r="T12073" s="6"/>
      <c r="U12073" s="6"/>
      <c r="V12073" s="6"/>
      <c r="W12073" s="6"/>
      <c r="X12073" s="6"/>
    </row>
    <row r="12074" ht="14.25">
      <c r="B12074" s="18" t="s">
        <v>955</v>
      </c>
      <c r="C12074" s="18" t="s">
        <v>28212</v>
      </c>
      <c r="D12074" s="18" t="s">
        <v>487</v>
      </c>
      <c r="E12074" s="18" t="s">
        <v>52272</v>
      </c>
      <c r="F12074" s="18" t="str">
        <f>IFERROR(__XLUDF.DUMMYFUNCTION("PROPER(REGEXREPLACE(D142,""[^A-Za-z]+ "",""""))"),"Royet")</f>
        <v>Royet</v>
      </c>
      <c r="G12074" s="18" t="s">
        <v>52273</v>
      </c>
      <c r="H12074" s="18">
        <v>12</v>
      </c>
      <c r="I12074" s="18" t="s">
        <v>9239</v>
      </c>
      <c r="J12074" s="18" t="str">
        <f>IFERROR(__XLUDF.DUMMYFUNCTION("VLOOKUP(M142,IMPORTRANGE(""https://docs.google.com/spreadsheets/d/1opm6ZNvGZ7KditA9TuJwrZ25eFLfTNIkrNnY6mhV5Eg"",""list!A1:C115""),3,TRUE)"),"le secteur de la production alimentaire")</f>
        <v xml:space="preserve">le secteur de la production alimentaire</v>
      </c>
      <c r="K12074" s="5" t="s">
        <v>52274</v>
      </c>
      <c r="L12074" s="5" t="s">
        <v>52275</v>
      </c>
      <c r="M12074" s="18" t="s">
        <v>831</v>
      </c>
      <c r="N12074" s="18" t="s">
        <v>29</v>
      </c>
      <c r="O12074" s="18" t="s">
        <v>41101</v>
      </c>
      <c r="P12074" s="18" t="s">
        <v>29</v>
      </c>
      <c r="Q12074" s="6"/>
      <c r="R12074" s="6"/>
      <c r="S12074" s="6"/>
      <c r="T12074" s="6"/>
      <c r="U12074" s="6"/>
      <c r="V12074" s="6"/>
      <c r="W12074" s="6"/>
      <c r="X12074" s="6"/>
    </row>
    <row r="12075" ht="14.25">
      <c r="B12075" s="18" t="s">
        <v>5716</v>
      </c>
      <c r="C12075" s="18" t="s">
        <v>50499</v>
      </c>
      <c r="D12075" s="18" t="s">
        <v>112</v>
      </c>
      <c r="E12075" s="18" t="s">
        <v>50500</v>
      </c>
      <c r="F12075" s="18" t="str">
        <f>IFERROR(__XLUDF.DUMMYFUNCTION("PROPER(REGEXREPLACE(D143,""[^A-Za-z]+ "",""""))"),"Motec Ingenierie")</f>
        <v xml:space="preserve">Motec Ingenierie</v>
      </c>
      <c r="G12075" s="18" t="s">
        <v>50501</v>
      </c>
      <c r="H12075" s="18">
        <v>19</v>
      </c>
      <c r="I12075" s="18" t="s">
        <v>9239</v>
      </c>
      <c r="J12075" s="18" t="str">
        <f>IFERROR(__XLUDF.DUMMYFUNCTION("VLOOKUP(M143,IMPORTRANGE(""https://docs.google.com/spreadsheets/d/1opm6ZNvGZ7KditA9TuJwrZ25eFLfTNIkrNnY6mhV5Eg"",""list!A1:C115""),3,TRUE)"),"le secteur de la production alimentaire")</f>
        <v xml:space="preserve">le secteur de la production alimentaire</v>
      </c>
      <c r="K12075" s="5" t="s">
        <v>50502</v>
      </c>
      <c r="L12075" s="5" t="s">
        <v>50503</v>
      </c>
      <c r="M12075" s="6"/>
      <c r="N12075" s="18" t="s">
        <v>29</v>
      </c>
      <c r="O12075" s="18" t="s">
        <v>49323</v>
      </c>
      <c r="P12075" s="18" t="s">
        <v>29</v>
      </c>
      <c r="Q12075" s="18" t="s">
        <v>50504</v>
      </c>
      <c r="R12075" s="6"/>
      <c r="S12075" s="6"/>
      <c r="T12075" s="6"/>
      <c r="U12075" s="6"/>
      <c r="V12075" s="6"/>
      <c r="W12075" s="6"/>
      <c r="X12075" s="6"/>
    </row>
    <row r="12076" ht="14.25">
      <c r="B12076" s="18" t="s">
        <v>52609</v>
      </c>
      <c r="C12076" s="18" t="s">
        <v>14719</v>
      </c>
      <c r="D12076" s="18" t="s">
        <v>112</v>
      </c>
      <c r="E12076" s="18" t="s">
        <v>52610</v>
      </c>
      <c r="F12076" s="18" t="str">
        <f>IFERROR(__XLUDF.DUMMYFUNCTION("PROPER(REGEXREPLACE(D144,""[^A-Za-z]+ "",""""))"),"Coprim")</f>
        <v>Coprim</v>
      </c>
      <c r="G12076" s="18" t="s">
        <v>52611</v>
      </c>
      <c r="H12076" s="18">
        <v>15</v>
      </c>
      <c r="I12076" s="18" t="s">
        <v>9239</v>
      </c>
      <c r="J12076" s="18" t="str">
        <f>IFERROR(__XLUDF.DUMMYFUNCTION("VLOOKUP(M144,IMPORTRANGE(""https://docs.google.com/spreadsheets/d/1opm6ZNvGZ7KditA9TuJwrZ25eFLfTNIkrNnY6mhV5Eg"",""list!A1:C115""),3,TRUE)"),"le secteur de la production alimentaire")</f>
        <v xml:space="preserve">le secteur de la production alimentaire</v>
      </c>
      <c r="K12076" s="5" t="s">
        <v>52612</v>
      </c>
      <c r="L12076" s="5" t="s">
        <v>52613</v>
      </c>
      <c r="M12076" s="18" t="s">
        <v>52614</v>
      </c>
      <c r="N12076" s="18" t="s">
        <v>29</v>
      </c>
      <c r="O12076" s="18" t="s">
        <v>52615</v>
      </c>
      <c r="P12076" s="18" t="s">
        <v>29</v>
      </c>
      <c r="Q12076" s="6"/>
      <c r="R12076" s="6"/>
      <c r="S12076" s="6"/>
      <c r="T12076" s="6"/>
      <c r="U12076" s="6"/>
      <c r="V12076" s="6"/>
      <c r="W12076" s="6"/>
      <c r="X12076" s="6"/>
    </row>
    <row r="12077" ht="14.25">
      <c r="B12077" s="18" t="s">
        <v>48077</v>
      </c>
      <c r="C12077" s="18" t="s">
        <v>1198</v>
      </c>
      <c r="D12077" s="18" t="s">
        <v>112</v>
      </c>
      <c r="E12077" s="18" t="s">
        <v>48078</v>
      </c>
      <c r="F12077" s="18" t="str">
        <f>IFERROR(__XLUDF.DUMMYFUNCTION("PROPER(REGEXREPLACE(D145,""[^A-Za-z]+ "",""""))"),"Ets Peuch Fils")</f>
        <v xml:space="preserve">Ets Peuch Fils</v>
      </c>
      <c r="G12077" s="18" t="s">
        <v>50710</v>
      </c>
      <c r="H12077" s="18">
        <v>13</v>
      </c>
      <c r="I12077" s="18" t="s">
        <v>9239</v>
      </c>
      <c r="J12077" s="18" t="str">
        <f>IFERROR(__XLUDF.DUMMYFUNCTION("VLOOKUP(M145,IMPORTRANGE(""https://docs.google.com/spreadsheets/d/1opm6ZNvGZ7KditA9TuJwrZ25eFLfTNIkrNnY6mhV5Eg"",""list!A1:C115""),3,TRUE)"),"le secteur de la production alimentaire")</f>
        <v xml:space="preserve">le secteur de la production alimentaire</v>
      </c>
      <c r="K12077" s="5" t="s">
        <v>50711</v>
      </c>
      <c r="L12077" s="5" t="s">
        <v>48081</v>
      </c>
      <c r="M12077" s="18" t="s">
        <v>286</v>
      </c>
      <c r="N12077" s="18" t="s">
        <v>29</v>
      </c>
      <c r="O12077" s="18" t="s">
        <v>48083</v>
      </c>
      <c r="P12077" s="18" t="s">
        <v>29</v>
      </c>
      <c r="Q12077" s="18" t="s">
        <v>48084</v>
      </c>
      <c r="R12077" s="6"/>
      <c r="S12077" s="6"/>
      <c r="T12077" s="6"/>
      <c r="U12077" s="6"/>
      <c r="V12077" s="6"/>
      <c r="W12077" s="6"/>
      <c r="X12077" s="6"/>
    </row>
    <row r="12078" ht="14.25">
      <c r="B12078" s="18" t="s">
        <v>48969</v>
      </c>
      <c r="C12078" s="18" t="s">
        <v>48970</v>
      </c>
      <c r="D12078" s="18" t="s">
        <v>48971</v>
      </c>
      <c r="E12078" s="18" t="s">
        <v>48972</v>
      </c>
      <c r="F12078" s="18" t="str">
        <f>IFERROR(__XLUDF.DUMMYFUNCTION("PROPER(REGEXREPLACE(D146,""[^A-Za-z]+ "",""""))"),"Omniaworks")</f>
        <v>Omniaworks</v>
      </c>
      <c r="G12078" s="18" t="s">
        <v>48973</v>
      </c>
      <c r="H12078" s="18">
        <v>11</v>
      </c>
      <c r="I12078" s="18" t="s">
        <v>9239</v>
      </c>
      <c r="J12078" s="18" t="str">
        <f>IFERROR(__XLUDF.DUMMYFUNCTION("VLOOKUP(M146,IMPORTRANGE(""https://docs.google.com/spreadsheets/d/1opm6ZNvGZ7KditA9TuJwrZ25eFLfTNIkrNnY6mhV5Eg"",""list!A1:C115""),3,TRUE)"),"le secteur de la production alimentaire")</f>
        <v xml:space="preserve">le secteur de la production alimentaire</v>
      </c>
      <c r="K12078" s="5" t="s">
        <v>48974</v>
      </c>
      <c r="L12078" s="5" t="s">
        <v>48975</v>
      </c>
      <c r="M12078" s="18" t="s">
        <v>39</v>
      </c>
      <c r="N12078" s="18" t="s">
        <v>29</v>
      </c>
      <c r="O12078" s="18" t="s">
        <v>48976</v>
      </c>
      <c r="P12078" s="18" t="s">
        <v>2388</v>
      </c>
      <c r="Q12078" s="18" t="s">
        <v>48977</v>
      </c>
      <c r="R12078" s="6"/>
      <c r="S12078" s="6"/>
      <c r="T12078" s="6"/>
      <c r="U12078" s="6"/>
      <c r="V12078" s="6"/>
      <c r="W12078" s="6"/>
      <c r="X12078" s="6"/>
    </row>
    <row r="12079" ht="14.25">
      <c r="B12079" s="18" t="s">
        <v>2932</v>
      </c>
      <c r="C12079" s="18" t="s">
        <v>52720</v>
      </c>
      <c r="D12079" s="18" t="s">
        <v>112</v>
      </c>
      <c r="E12079" s="18" t="s">
        <v>52721</v>
      </c>
      <c r="F12079" s="18" t="str">
        <f>IFERROR(__XLUDF.DUMMYFUNCTION("PROPER(REGEXREPLACE(D147,""[^A-Za-z]+ "",""""))"),"Soredal")</f>
        <v>Soredal</v>
      </c>
      <c r="G12079" s="18" t="s">
        <v>52722</v>
      </c>
      <c r="H12079" s="18">
        <v>20</v>
      </c>
      <c r="I12079" s="18" t="s">
        <v>9239</v>
      </c>
      <c r="J12079" s="18" t="str">
        <f>IFERROR(__XLUDF.DUMMYFUNCTION("VLOOKUP(M147,IMPORTRANGE(""https://docs.google.com/spreadsheets/d/1opm6ZNvGZ7KditA9TuJwrZ25eFLfTNIkrNnY6mhV5Eg"",""list!A1:C115""),3,TRUE)"),"le secteur de la production alimentaire")</f>
        <v xml:space="preserve">le secteur de la production alimentaire</v>
      </c>
      <c r="K12079" s="5" t="s">
        <v>52723</v>
      </c>
      <c r="L12079" s="5" t="s">
        <v>52724</v>
      </c>
      <c r="M12079" s="18" t="s">
        <v>185</v>
      </c>
      <c r="N12079" s="18" t="s">
        <v>29</v>
      </c>
      <c r="O12079" s="18" t="s">
        <v>52725</v>
      </c>
      <c r="P12079" s="18" t="s">
        <v>29</v>
      </c>
      <c r="Q12079" s="6"/>
      <c r="R12079" s="6"/>
      <c r="S12079" s="6"/>
      <c r="T12079" s="6"/>
      <c r="U12079" s="6"/>
      <c r="V12079" s="6"/>
      <c r="W12079" s="6"/>
      <c r="X12079" s="6"/>
    </row>
    <row r="12080" ht="14.25">
      <c r="B12080" s="18" t="s">
        <v>1198</v>
      </c>
      <c r="C12080" s="18" t="s">
        <v>45706</v>
      </c>
      <c r="D12080" s="18" t="s">
        <v>487</v>
      </c>
      <c r="E12080" s="18" t="s">
        <v>45707</v>
      </c>
      <c r="F12080" s="18" t="str">
        <f>IFERROR(__XLUDF.DUMMYFUNCTION("PROPER(REGEXREPLACE(D148,""[^A-Za-z]+ "",""""))"),"Entreprise Flipo")</f>
        <v xml:space="preserve">Entreprise Flipo</v>
      </c>
      <c r="G12080" s="18" t="s">
        <v>45708</v>
      </c>
      <c r="H12080" s="18">
        <v>23</v>
      </c>
      <c r="I12080" s="18" t="s">
        <v>9239</v>
      </c>
      <c r="J12080" s="18" t="str">
        <f>IFERROR(__XLUDF.DUMMYFUNCTION("VLOOKUP(M148,IMPORTRANGE(""https://docs.google.com/spreadsheets/d/1opm6ZNvGZ7KditA9TuJwrZ25eFLfTNIkrNnY6mhV5Eg"",""list!A1:C115""),3,TRUE)"),"le secteur de la production alimentaire")</f>
        <v xml:space="preserve">le secteur de la production alimentaire</v>
      </c>
      <c r="K12080" s="5" t="s">
        <v>45709</v>
      </c>
      <c r="L12080" s="5" t="s">
        <v>45710</v>
      </c>
      <c r="M12080" s="6"/>
      <c r="N12080" s="18" t="s">
        <v>29</v>
      </c>
      <c r="O12080" s="18" t="s">
        <v>45711</v>
      </c>
      <c r="P12080" s="18" t="s">
        <v>29</v>
      </c>
      <c r="Q12080" s="6"/>
      <c r="R12080" s="6"/>
      <c r="S12080" s="6"/>
      <c r="T12080" s="6"/>
      <c r="U12080" s="6"/>
      <c r="V12080" s="6"/>
      <c r="W12080" s="6"/>
      <c r="X12080" s="6"/>
    </row>
    <row r="12081" ht="14.25">
      <c r="B12081" s="18" t="s">
        <v>1198</v>
      </c>
      <c r="C12081" s="18" t="s">
        <v>46831</v>
      </c>
      <c r="D12081" s="18" t="s">
        <v>46832</v>
      </c>
      <c r="E12081" s="18" t="s">
        <v>46833</v>
      </c>
      <c r="F12081" s="18" t="str">
        <f>IFERROR(__XLUDF.DUMMYFUNCTION("PROPER(REGEXREPLACE(D149,""[^A-Za-z]+ "",""""))"),"Réseau Fja")</f>
        <v xml:space="preserve">Réseau Fja</v>
      </c>
      <c r="G12081" s="18" t="s">
        <v>46834</v>
      </c>
      <c r="H12081" s="18">
        <v>18</v>
      </c>
      <c r="I12081" s="18" t="s">
        <v>9239</v>
      </c>
      <c r="J12081" s="18" t="str">
        <f>IFERROR(__XLUDF.DUMMYFUNCTION("VLOOKUP(M149,IMPORTRANGE(""https://docs.google.com/spreadsheets/d/1opm6ZNvGZ7KditA9TuJwrZ25eFLfTNIkrNnY6mhV5Eg"",""list!A1:C115""),3,TRUE)"),"le secteur de la production alimentaire")</f>
        <v xml:space="preserve">le secteur de la production alimentaire</v>
      </c>
      <c r="K12081" s="5" t="s">
        <v>46835</v>
      </c>
      <c r="L12081" s="5" t="s">
        <v>46836</v>
      </c>
      <c r="M12081" s="18" t="s">
        <v>13098</v>
      </c>
      <c r="N12081" s="18" t="s">
        <v>29</v>
      </c>
      <c r="O12081" s="18" t="s">
        <v>46837</v>
      </c>
      <c r="P12081" s="18" t="s">
        <v>29</v>
      </c>
      <c r="Q12081" s="18" t="s">
        <v>46838</v>
      </c>
      <c r="R12081" s="6"/>
      <c r="S12081" s="6"/>
      <c r="T12081" s="6"/>
      <c r="U12081" s="6"/>
      <c r="V12081" s="6"/>
      <c r="W12081" s="6"/>
      <c r="X12081" s="6"/>
    </row>
    <row r="12082" ht="14.25">
      <c r="B12082" s="18" t="s">
        <v>8585</v>
      </c>
      <c r="C12082" s="18" t="s">
        <v>48002</v>
      </c>
      <c r="D12082" s="18" t="s">
        <v>172</v>
      </c>
      <c r="E12082" s="18" t="s">
        <v>48003</v>
      </c>
      <c r="F12082" s="18" t="str">
        <f>IFERROR(__XLUDF.DUMMYFUNCTION("PROPER(REGEXREPLACE(D150,""[^A-Za-z]+ "",""""))"),"Bernasconi T.P")</f>
        <v xml:space="preserve">Bernasconi T.P</v>
      </c>
      <c r="G12082" s="18" t="s">
        <v>48004</v>
      </c>
      <c r="H12082" s="18">
        <v>14</v>
      </c>
      <c r="I12082" s="18" t="s">
        <v>9239</v>
      </c>
      <c r="J12082" s="18" t="str">
        <f>IFERROR(__XLUDF.DUMMYFUNCTION("VLOOKUP(M150,IMPORTRANGE(""https://docs.google.com/spreadsheets/d/1opm6ZNvGZ7KditA9TuJwrZ25eFLfTNIkrNnY6mhV5Eg"",""list!A1:C115""),3,TRUE)"),"le secteur de la production alimentaire")</f>
        <v xml:space="preserve">le secteur de la production alimentaire</v>
      </c>
      <c r="K12082" s="5" t="s">
        <v>48005</v>
      </c>
      <c r="L12082" s="5" t="s">
        <v>48006</v>
      </c>
      <c r="M12082" s="18" t="s">
        <v>48007</v>
      </c>
      <c r="N12082" s="18" t="s">
        <v>29</v>
      </c>
      <c r="O12082" s="18" t="s">
        <v>48008</v>
      </c>
      <c r="P12082" s="18" t="s">
        <v>29</v>
      </c>
      <c r="Q12082" s="18" t="s">
        <v>55849</v>
      </c>
      <c r="R12082" s="6"/>
      <c r="S12082" s="6"/>
      <c r="T12082" s="6"/>
      <c r="U12082" s="6"/>
      <c r="V12082" s="6"/>
      <c r="W12082" s="6"/>
      <c r="X12082" s="6"/>
    </row>
    <row r="12083" ht="14.25">
      <c r="B12083" s="18" t="s">
        <v>76</v>
      </c>
      <c r="C12083" s="18" t="s">
        <v>49472</v>
      </c>
      <c r="D12083" s="18" t="s">
        <v>172</v>
      </c>
      <c r="E12083" s="18" t="s">
        <v>49473</v>
      </c>
      <c r="F12083" s="18" t="str">
        <f>IFERROR(__XLUDF.DUMMYFUNCTION("PROPER(REGEXREPLACE(D151,""[^A-Za-z]+ "",""""))"),"Rhp Combles")</f>
        <v xml:space="preserve">Rhp Combles</v>
      </c>
      <c r="G12083" s="18" t="s">
        <v>49474</v>
      </c>
      <c r="H12083" s="18">
        <v>11</v>
      </c>
      <c r="I12083" s="18" t="s">
        <v>9239</v>
      </c>
      <c r="J12083" s="18" t="str">
        <f>IFERROR(__XLUDF.DUMMYFUNCTION("VLOOKUP(M151,IMPORTRANGE(""https://docs.google.com/spreadsheets/d/1opm6ZNvGZ7KditA9TuJwrZ25eFLfTNIkrNnY6mhV5Eg"",""list!A1:C115""),3,TRUE)"),"le secteur de la production alimentaire")</f>
        <v xml:space="preserve">le secteur de la production alimentaire</v>
      </c>
      <c r="K12083" s="5" t="s">
        <v>49475</v>
      </c>
      <c r="L12083" s="5" t="s">
        <v>49476</v>
      </c>
      <c r="M12083" s="18" t="s">
        <v>49477</v>
      </c>
      <c r="N12083" s="18" t="s">
        <v>29</v>
      </c>
      <c r="O12083" s="18" t="s">
        <v>49478</v>
      </c>
      <c r="P12083" s="18" t="s">
        <v>29</v>
      </c>
      <c r="Q12083" s="18" t="s">
        <v>49479</v>
      </c>
      <c r="R12083" s="6"/>
      <c r="S12083" s="6"/>
      <c r="T12083" s="6"/>
      <c r="U12083" s="6"/>
      <c r="V12083" s="6"/>
      <c r="W12083" s="6"/>
      <c r="X12083" s="6"/>
    </row>
    <row r="12084" ht="14.25">
      <c r="B12084" s="18" t="s">
        <v>6822</v>
      </c>
      <c r="C12084" s="18" t="s">
        <v>51109</v>
      </c>
      <c r="D12084" s="18" t="s">
        <v>51110</v>
      </c>
      <c r="E12084" s="18" t="s">
        <v>50158</v>
      </c>
      <c r="F12084" s="18" t="str">
        <f>IFERROR(__XLUDF.DUMMYFUNCTION("PROPER(REGEXREPLACE(D152,""[^A-Za-z]+ "",""""))"),"Artxbat")</f>
        <v>Artxbat</v>
      </c>
      <c r="G12084" s="18" t="s">
        <v>51111</v>
      </c>
      <c r="H12084" s="18">
        <v>25</v>
      </c>
      <c r="I12084" s="18" t="s">
        <v>9239</v>
      </c>
      <c r="J12084" s="18" t="str">
        <f>IFERROR(__XLUDF.DUMMYFUNCTION("VLOOKUP(M152,IMPORTRANGE(""https://docs.google.com/spreadsheets/d/1opm6ZNvGZ7KditA9TuJwrZ25eFLfTNIkrNnY6mhV5Eg"",""list!A1:C115""),3,TRUE)"),"le secteur de la production alimentaire")</f>
        <v xml:space="preserve">le secteur de la production alimentaire</v>
      </c>
      <c r="K12084" s="5" t="s">
        <v>51112</v>
      </c>
      <c r="L12084" s="5" t="s">
        <v>50161</v>
      </c>
      <c r="M12084" s="18" t="s">
        <v>39</v>
      </c>
      <c r="N12084" s="18" t="s">
        <v>29</v>
      </c>
      <c r="O12084" s="18" t="s">
        <v>50162</v>
      </c>
      <c r="P12084" s="18" t="s">
        <v>29</v>
      </c>
      <c r="Q12084" s="6"/>
      <c r="R12084" s="6"/>
      <c r="S12084" s="6"/>
      <c r="T12084" s="6"/>
      <c r="U12084" s="6"/>
      <c r="V12084" s="6"/>
      <c r="W12084" s="6"/>
      <c r="X12084" s="6"/>
    </row>
    <row r="12085" ht="14.25">
      <c r="B12085" s="18" t="s">
        <v>12073</v>
      </c>
      <c r="C12085" s="18" t="s">
        <v>46889</v>
      </c>
      <c r="D12085" s="18" t="s">
        <v>112</v>
      </c>
      <c r="E12085" s="18" t="s">
        <v>46890</v>
      </c>
      <c r="F12085" s="18" t="str">
        <f>IFERROR(__XLUDF.DUMMYFUNCTION("PROPER(REGEXREPLACE(D153,""[^A-Za-z]+ "",""""))"),"Eurolec 2000")</f>
        <v xml:space="preserve">Eurolec 2000</v>
      </c>
      <c r="G12085" s="18" t="s">
        <v>46891</v>
      </c>
      <c r="H12085" s="18">
        <v>16</v>
      </c>
      <c r="I12085" s="18" t="s">
        <v>9239</v>
      </c>
      <c r="J12085" s="18" t="str">
        <f>IFERROR(__XLUDF.DUMMYFUNCTION("VLOOKUP(M153,IMPORTRANGE(""https://docs.google.com/spreadsheets/d/1opm6ZNvGZ7KditA9TuJwrZ25eFLfTNIkrNnY6mhV5Eg"",""list!A1:C115""),3,TRUE)"),"le secteur de la production alimentaire")</f>
        <v xml:space="preserve">le secteur de la production alimentaire</v>
      </c>
      <c r="K12085" s="5" t="s">
        <v>46892</v>
      </c>
      <c r="L12085" s="5" t="s">
        <v>46893</v>
      </c>
      <c r="M12085" s="6"/>
      <c r="N12085" s="18" t="s">
        <v>29</v>
      </c>
      <c r="O12085" s="18" t="s">
        <v>46894</v>
      </c>
      <c r="P12085" s="18" t="s">
        <v>29</v>
      </c>
      <c r="Q12085" s="18" t="s">
        <v>46895</v>
      </c>
      <c r="R12085" s="6"/>
      <c r="S12085" s="6"/>
      <c r="T12085" s="6"/>
      <c r="U12085" s="6"/>
      <c r="V12085" s="6"/>
      <c r="W12085" s="6"/>
      <c r="X12085" s="6"/>
    </row>
    <row r="12086" ht="14.25">
      <c r="B12086" s="18" t="s">
        <v>840</v>
      </c>
      <c r="C12086" s="18" t="s">
        <v>52803</v>
      </c>
      <c r="D12086" s="18" t="s">
        <v>23197</v>
      </c>
      <c r="E12086" s="18" t="s">
        <v>55850</v>
      </c>
      <c r="F12086" s="18" t="str">
        <f>IFERROR(__XLUDF.DUMMYFUNCTION("PROPER(REGEXREPLACE(D154,""[^A-Za-z]+ "",""""))"),"Nu")</f>
        <v>Nu</v>
      </c>
      <c r="G12086" s="18" t="s">
        <v>52804</v>
      </c>
      <c r="H12086" s="18">
        <v>19</v>
      </c>
      <c r="I12086" s="18" t="s">
        <v>9239</v>
      </c>
      <c r="J12086" s="18" t="str">
        <f>IFERROR(__XLUDF.DUMMYFUNCTION("VLOOKUP(M154,IMPORTRANGE(""https://docs.google.com/spreadsheets/d/1opm6ZNvGZ7KditA9TuJwrZ25eFLfTNIkrNnY6mhV5Eg"",""list!A1:C115""),3,TRUE)"),"le secteur de la production alimentaire")</f>
        <v xml:space="preserve">le secteur de la production alimentaire</v>
      </c>
      <c r="K12086" s="5" t="s">
        <v>52805</v>
      </c>
      <c r="L12086" s="5" t="s">
        <v>46882</v>
      </c>
      <c r="M12086" s="6"/>
      <c r="N12086" s="18" t="s">
        <v>29</v>
      </c>
      <c r="O12086" s="18" t="s">
        <v>46870</v>
      </c>
      <c r="P12086" s="18" t="s">
        <v>29</v>
      </c>
      <c r="Q12086" s="18" t="s">
        <v>46883</v>
      </c>
      <c r="R12086" s="6"/>
      <c r="S12086" s="6"/>
      <c r="T12086" s="6"/>
      <c r="U12086" s="6"/>
      <c r="V12086" s="6"/>
      <c r="W12086" s="6"/>
      <c r="X12086" s="6"/>
    </row>
    <row r="12087" ht="14.25">
      <c r="B12087" s="18" t="s">
        <v>525</v>
      </c>
      <c r="C12087" s="18" t="s">
        <v>51326</v>
      </c>
      <c r="D12087" s="18" t="s">
        <v>172</v>
      </c>
      <c r="E12087" s="18" t="s">
        <v>51327</v>
      </c>
      <c r="F12087" s="18" t="str">
        <f>IFERROR(__XLUDF.DUMMYFUNCTION("PROPER(REGEXREPLACE(D155,""[^A-Za-z]+ "",""""))"),"Viricel Sas")</f>
        <v xml:space="preserve">Viricel Sas</v>
      </c>
      <c r="G12087" s="18" t="s">
        <v>51328</v>
      </c>
      <c r="H12087" s="18">
        <v>14</v>
      </c>
      <c r="I12087" s="18" t="s">
        <v>9239</v>
      </c>
      <c r="J12087" s="18" t="str">
        <f>IFERROR(__XLUDF.DUMMYFUNCTION("VLOOKUP(M155,IMPORTRANGE(""https://docs.google.com/spreadsheets/d/1opm6ZNvGZ7KditA9TuJwrZ25eFLfTNIkrNnY6mhV5Eg"",""list!A1:C115""),3,TRUE)"),"le secteur de la production alimentaire")</f>
        <v xml:space="preserve">le secteur de la production alimentaire</v>
      </c>
      <c r="K12087" s="5" t="s">
        <v>51329</v>
      </c>
      <c r="L12087" s="5" t="s">
        <v>51330</v>
      </c>
      <c r="M12087" s="18" t="s">
        <v>185</v>
      </c>
      <c r="N12087" s="18" t="s">
        <v>29</v>
      </c>
      <c r="O12087" s="18" t="s">
        <v>51331</v>
      </c>
      <c r="P12087" s="18" t="s">
        <v>29</v>
      </c>
      <c r="Q12087" s="18" t="s">
        <v>51332</v>
      </c>
      <c r="R12087" s="6"/>
      <c r="S12087" s="6"/>
      <c r="T12087" s="6"/>
      <c r="U12087" s="6"/>
      <c r="V12087" s="6"/>
      <c r="W12087" s="6"/>
      <c r="X12087" s="6"/>
    </row>
    <row r="12088" ht="14.25">
      <c r="B12088" s="18" t="s">
        <v>4800</v>
      </c>
      <c r="C12088" s="18" t="s">
        <v>48316</v>
      </c>
      <c r="D12088" s="18" t="s">
        <v>112</v>
      </c>
      <c r="E12088" s="18" t="s">
        <v>48317</v>
      </c>
      <c r="F12088" s="18" t="str">
        <f>IFERROR(__XLUDF.DUMMYFUNCTION("PROPER(REGEXREPLACE(D156,""[^A-Za-z]+ "",""""))"),"Atebat")</f>
        <v>Atebat</v>
      </c>
      <c r="G12088" s="18" t="s">
        <v>48318</v>
      </c>
      <c r="H12088" s="18">
        <v>19</v>
      </c>
      <c r="I12088" s="18" t="s">
        <v>9239</v>
      </c>
      <c r="J12088" s="18" t="str">
        <f>IFERROR(__XLUDF.DUMMYFUNCTION("VLOOKUP(M156,IMPORTRANGE(""https://docs.google.com/spreadsheets/d/1opm6ZNvGZ7KditA9TuJwrZ25eFLfTNIkrNnY6mhV5Eg"",""list!A1:C115""),3,TRUE)"),"le secteur de la production alimentaire")</f>
        <v xml:space="preserve">le secteur de la production alimentaire</v>
      </c>
      <c r="K12088" s="5" t="s">
        <v>48319</v>
      </c>
      <c r="L12088" s="5" t="s">
        <v>48320</v>
      </c>
      <c r="M12088" s="18" t="s">
        <v>562</v>
      </c>
      <c r="N12088" s="18" t="s">
        <v>29</v>
      </c>
      <c r="O12088" s="18" t="s">
        <v>48321</v>
      </c>
      <c r="P12088" s="18" t="s">
        <v>29</v>
      </c>
      <c r="Q12088" s="6"/>
      <c r="R12088" s="6"/>
      <c r="S12088" s="6"/>
      <c r="T12088" s="6"/>
      <c r="U12088" s="6"/>
      <c r="V12088" s="6"/>
      <c r="W12088" s="6"/>
      <c r="X12088" s="6"/>
    </row>
    <row r="12089" ht="14.25">
      <c r="B12089" s="18" t="s">
        <v>4800</v>
      </c>
      <c r="C12089" s="18" t="s">
        <v>4811</v>
      </c>
      <c r="D12089" s="18" t="s">
        <v>112</v>
      </c>
      <c r="E12089" s="18" t="s">
        <v>52784</v>
      </c>
      <c r="F12089" s="18" t="str">
        <f>IFERROR(__XLUDF.DUMMYFUNCTION("PROPER(REGEXREPLACE(D157,""[^A-Za-z]+ "",""""))"),"Martel")</f>
        <v>Martel</v>
      </c>
      <c r="G12089" s="18" t="s">
        <v>52785</v>
      </c>
      <c r="H12089" s="18">
        <v>32</v>
      </c>
      <c r="I12089" s="18" t="s">
        <v>9239</v>
      </c>
      <c r="J12089" s="18" t="str">
        <f>IFERROR(__XLUDF.DUMMYFUNCTION("VLOOKUP(M157,IMPORTRANGE(""https://docs.google.com/spreadsheets/d/1opm6ZNvGZ7KditA9TuJwrZ25eFLfTNIkrNnY6mhV5Eg"",""list!A1:C115""),3,TRUE)"),"le secteur de la production alimentaire")</f>
        <v xml:space="preserve">le secteur de la production alimentaire</v>
      </c>
      <c r="K12089" s="5" t="s">
        <v>52786</v>
      </c>
      <c r="L12089" s="5" t="s">
        <v>52787</v>
      </c>
      <c r="M12089" s="18" t="s">
        <v>18779</v>
      </c>
      <c r="N12089" s="18" t="s">
        <v>29</v>
      </c>
      <c r="O12089" s="18" t="s">
        <v>52788</v>
      </c>
      <c r="P12089" s="18" t="s">
        <v>29</v>
      </c>
      <c r="Q12089" s="18" t="s">
        <v>52789</v>
      </c>
      <c r="R12089" s="6"/>
      <c r="S12089" s="6"/>
      <c r="T12089" s="6"/>
      <c r="U12089" s="6"/>
      <c r="V12089" s="6"/>
      <c r="W12089" s="6"/>
      <c r="X12089" s="6"/>
    </row>
    <row r="12090" ht="14.25">
      <c r="B12090" s="18" t="s">
        <v>840</v>
      </c>
      <c r="C12090" s="18" t="s">
        <v>47894</v>
      </c>
      <c r="D12090" s="18" t="s">
        <v>1950</v>
      </c>
      <c r="E12090" s="18" t="s">
        <v>48249</v>
      </c>
      <c r="F12090" s="18" t="str">
        <f>IFERROR(__XLUDF.DUMMYFUNCTION("PROPER(REGEXREPLACE(D158,""[^A-Za-z]+ "",""""))"),"Maisons Oxygène")</f>
        <v xml:space="preserve">Maisons Oxygène</v>
      </c>
      <c r="G12090" s="18" t="s">
        <v>48250</v>
      </c>
      <c r="H12090" s="18">
        <v>30</v>
      </c>
      <c r="I12090" s="18" t="s">
        <v>9239</v>
      </c>
      <c r="J12090" s="18" t="str">
        <f>IFERROR(__XLUDF.DUMMYFUNCTION("VLOOKUP(M158,IMPORTRANGE(""https://docs.google.com/spreadsheets/d/1opm6ZNvGZ7KditA9TuJwrZ25eFLfTNIkrNnY6mhV5Eg"",""list!A1:C115""),3,TRUE)"),"le secteur de la production alimentaire")</f>
        <v xml:space="preserve">le secteur de la production alimentaire</v>
      </c>
      <c r="K12090" s="5" t="s">
        <v>48251</v>
      </c>
      <c r="L12090" s="5" t="s">
        <v>48252</v>
      </c>
      <c r="M12090" s="18" t="s">
        <v>185</v>
      </c>
      <c r="N12090" s="18" t="s">
        <v>29</v>
      </c>
      <c r="O12090" s="18" t="s">
        <v>48253</v>
      </c>
      <c r="P12090" s="18" t="s">
        <v>29</v>
      </c>
      <c r="Q12090" s="18" t="s">
        <v>48254</v>
      </c>
      <c r="R12090" s="6"/>
      <c r="S12090" s="6"/>
      <c r="T12090" s="6"/>
      <c r="U12090" s="6"/>
      <c r="V12090" s="6"/>
      <c r="W12090" s="6"/>
      <c r="X12090" s="6"/>
    </row>
    <row r="12091" ht="14.25">
      <c r="B12091" s="18" t="s">
        <v>12387</v>
      </c>
      <c r="C12091" s="18" t="s">
        <v>45141</v>
      </c>
      <c r="D12091" s="18" t="s">
        <v>172</v>
      </c>
      <c r="E12091" s="18" t="s">
        <v>45142</v>
      </c>
      <c r="F12091" s="18" t="str">
        <f>IFERROR(__XLUDF.DUMMYFUNCTION("PROPER(REGEXREPLACE(D159,""[^A-Za-z]+ "",""""))"),"Milon-Isolation")</f>
        <v>Milon-Isolation</v>
      </c>
      <c r="G12091" s="18" t="s">
        <v>45143</v>
      </c>
      <c r="H12091" s="18">
        <v>21</v>
      </c>
      <c r="I12091" s="18" t="s">
        <v>9239</v>
      </c>
      <c r="J12091" s="18" t="str">
        <f>IFERROR(__XLUDF.DUMMYFUNCTION("VLOOKUP(M159,IMPORTRANGE(""https://docs.google.com/spreadsheets/d/1opm6ZNvGZ7KditA9TuJwrZ25eFLfTNIkrNnY6mhV5Eg"",""list!A1:C115""),3,TRUE)"),"le secteur de la production alimentaire")</f>
        <v xml:space="preserve">le secteur de la production alimentaire</v>
      </c>
      <c r="K12091" s="5" t="s">
        <v>45144</v>
      </c>
      <c r="L12091" s="5" t="s">
        <v>45145</v>
      </c>
      <c r="M12091" s="18" t="s">
        <v>1826</v>
      </c>
      <c r="N12091" s="18" t="s">
        <v>29</v>
      </c>
      <c r="O12091" s="18" t="s">
        <v>45146</v>
      </c>
      <c r="P12091" s="18" t="s">
        <v>29</v>
      </c>
      <c r="Q12091" s="6"/>
      <c r="R12091" s="6"/>
      <c r="S12091" s="6"/>
      <c r="T12091" s="6"/>
      <c r="U12091" s="6"/>
      <c r="V12091" s="6"/>
      <c r="W12091" s="6"/>
      <c r="X12091" s="6"/>
    </row>
    <row r="12092" ht="14.25">
      <c r="B12092" s="18" t="s">
        <v>12387</v>
      </c>
      <c r="C12092" s="18" t="s">
        <v>47118</v>
      </c>
      <c r="D12092" s="18" t="s">
        <v>487</v>
      </c>
      <c r="E12092" s="18" t="s">
        <v>47119</v>
      </c>
      <c r="F12092" s="18" t="str">
        <f>IFERROR(__XLUDF.DUMMYFUNCTION("PROPER(REGEXREPLACE(D160,""[^A-Za-z]+ "",""""))"),"Haret Déco")</f>
        <v xml:space="preserve">Haret Déco</v>
      </c>
      <c r="G12092" s="18" t="s">
        <v>47120</v>
      </c>
      <c r="H12092" s="18">
        <v>19</v>
      </c>
      <c r="I12092" s="18" t="s">
        <v>9239</v>
      </c>
      <c r="J12092" s="18" t="str">
        <f>IFERROR(__XLUDF.DUMMYFUNCTION("VLOOKUP(M160,IMPORTRANGE(""https://docs.google.com/spreadsheets/d/1opm6ZNvGZ7KditA9TuJwrZ25eFLfTNIkrNnY6mhV5Eg"",""list!A1:C115""),3,TRUE)"),"le secteur de la production alimentaire")</f>
        <v xml:space="preserve">le secteur de la production alimentaire</v>
      </c>
      <c r="K12092" s="5" t="s">
        <v>47121</v>
      </c>
      <c r="L12092" s="5" t="s">
        <v>47122</v>
      </c>
      <c r="M12092" s="18" t="s">
        <v>6954</v>
      </c>
      <c r="N12092" s="18" t="s">
        <v>29</v>
      </c>
      <c r="O12092" s="18" t="s">
        <v>47123</v>
      </c>
      <c r="P12092" s="18" t="s">
        <v>29</v>
      </c>
      <c r="Q12092" s="18" t="s">
        <v>47124</v>
      </c>
      <c r="R12092" s="6"/>
      <c r="S12092" s="6"/>
      <c r="T12092" s="6"/>
      <c r="U12092" s="6"/>
      <c r="V12092" s="6"/>
      <c r="W12092" s="6"/>
      <c r="X12092" s="6"/>
    </row>
    <row r="12093" ht="14.25">
      <c r="B12093" s="18" t="s">
        <v>12387</v>
      </c>
      <c r="C12093" s="18" t="s">
        <v>49733</v>
      </c>
      <c r="D12093" s="18" t="s">
        <v>172</v>
      </c>
      <c r="E12093" s="18" t="s">
        <v>49734</v>
      </c>
      <c r="F12093" s="18" t="str">
        <f>IFERROR(__XLUDF.DUMMYFUNCTION("PROPER(REGEXREPLACE(D161,""[^A-Za-z]+ "",""""))"),"C'Clôt")</f>
        <v>C'Clôt</v>
      </c>
      <c r="G12093" s="18" t="s">
        <v>49735</v>
      </c>
      <c r="H12093" s="18">
        <v>25</v>
      </c>
      <c r="I12093" s="18" t="s">
        <v>9239</v>
      </c>
      <c r="J12093" s="18" t="str">
        <f>IFERROR(__XLUDF.DUMMYFUNCTION("VLOOKUP(M161,IMPORTRANGE(""https://docs.google.com/spreadsheets/d/1opm6ZNvGZ7KditA9TuJwrZ25eFLfTNIkrNnY6mhV5Eg"",""list!A1:C115""),3,TRUE)"),"le secteur de la production alimentaire")</f>
        <v xml:space="preserve">le secteur de la production alimentaire</v>
      </c>
      <c r="K12093" s="5" t="s">
        <v>49736</v>
      </c>
      <c r="L12093" s="5" t="s">
        <v>49737</v>
      </c>
      <c r="M12093" s="18" t="s">
        <v>185</v>
      </c>
      <c r="N12093" s="18" t="s">
        <v>29</v>
      </c>
      <c r="O12093" s="18" t="s">
        <v>49738</v>
      </c>
      <c r="P12093" s="18" t="s">
        <v>29</v>
      </c>
      <c r="Q12093" s="18" t="s">
        <v>49739</v>
      </c>
      <c r="R12093" s="6"/>
      <c r="S12093" s="6"/>
      <c r="T12093" s="6"/>
      <c r="U12093" s="6"/>
      <c r="V12093" s="6"/>
      <c r="W12093" s="6"/>
      <c r="X12093" s="6"/>
    </row>
    <row r="12094" ht="14.25">
      <c r="B12094" s="18" t="s">
        <v>1070</v>
      </c>
      <c r="C12094" s="18" t="s">
        <v>47083</v>
      </c>
      <c r="D12094" s="18" t="s">
        <v>172</v>
      </c>
      <c r="E12094" s="18" t="s">
        <v>47084</v>
      </c>
      <c r="F12094" s="18" t="str">
        <f>IFERROR(__XLUDF.DUMMYFUNCTION("PROPER(REGEXREPLACE(D162,""[^A-Za-z]+ "",""""))"),"Dwelling")</f>
        <v>Dwelling</v>
      </c>
      <c r="G12094" s="18" t="s">
        <v>47085</v>
      </c>
      <c r="H12094" s="18">
        <v>15</v>
      </c>
      <c r="I12094" s="18" t="s">
        <v>9239</v>
      </c>
      <c r="J12094" s="18" t="str">
        <f>IFERROR(__XLUDF.DUMMYFUNCTION("VLOOKUP(M162,IMPORTRANGE(""https://docs.google.com/spreadsheets/d/1opm6ZNvGZ7KditA9TuJwrZ25eFLfTNIkrNnY6mhV5Eg"",""list!A1:C115""),3,TRUE)"),"le secteur de la production alimentaire")</f>
        <v xml:space="preserve">le secteur de la production alimentaire</v>
      </c>
      <c r="K12094" s="5" t="s">
        <v>47086</v>
      </c>
      <c r="L12094" s="5" t="s">
        <v>47087</v>
      </c>
      <c r="M12094" s="6"/>
      <c r="N12094" s="18" t="s">
        <v>29</v>
      </c>
      <c r="O12094" s="18" t="s">
        <v>47088</v>
      </c>
      <c r="P12094" s="18" t="s">
        <v>2953</v>
      </c>
      <c r="Q12094" s="6"/>
      <c r="R12094" s="6"/>
      <c r="S12094" s="6"/>
      <c r="T12094" s="6"/>
      <c r="U12094" s="6"/>
      <c r="V12094" s="6"/>
      <c r="W12094" s="6"/>
      <c r="X12094" s="6"/>
    </row>
    <row r="12095" ht="14.25">
      <c r="B12095" s="18" t="s">
        <v>4800</v>
      </c>
      <c r="C12095" s="18" t="s">
        <v>49165</v>
      </c>
      <c r="D12095" s="18" t="s">
        <v>172</v>
      </c>
      <c r="E12095" s="18" t="s">
        <v>49166</v>
      </c>
      <c r="F12095" s="18" t="str">
        <f>IFERROR(__XLUDF.DUMMYFUNCTION("PROPER(REGEXREPLACE(D163,""[^A-Za-z]+ "",""""))"),"Sys&amp;Com")</f>
        <v>Sys&amp;Com</v>
      </c>
      <c r="G12095" s="18" t="s">
        <v>49167</v>
      </c>
      <c r="H12095" s="18">
        <v>40</v>
      </c>
      <c r="I12095" s="18" t="s">
        <v>9239</v>
      </c>
      <c r="J12095" s="18" t="str">
        <f>IFERROR(__XLUDF.DUMMYFUNCTION("VLOOKUP(M163,IMPORTRANGE(""https://docs.google.com/spreadsheets/d/1opm6ZNvGZ7KditA9TuJwrZ25eFLfTNIkrNnY6mhV5Eg"",""list!A1:C115""),3,TRUE)"),"le secteur de la production alimentaire")</f>
        <v xml:space="preserve">le secteur de la production alimentaire</v>
      </c>
      <c r="K12095" s="5" t="s">
        <v>49168</v>
      </c>
      <c r="L12095" s="5" t="s">
        <v>49169</v>
      </c>
      <c r="M12095" s="18" t="s">
        <v>585</v>
      </c>
      <c r="N12095" s="18" t="s">
        <v>29</v>
      </c>
      <c r="O12095" s="18" t="s">
        <v>49170</v>
      </c>
      <c r="P12095" s="18" t="s">
        <v>29</v>
      </c>
      <c r="Q12095" s="6"/>
      <c r="R12095" s="6"/>
      <c r="S12095" s="6"/>
      <c r="T12095" s="6"/>
      <c r="U12095" s="6"/>
      <c r="V12095" s="6"/>
      <c r="W12095" s="6"/>
      <c r="X12095" s="6"/>
    </row>
    <row r="12096" ht="14.25">
      <c r="B12096" s="18" t="s">
        <v>4800</v>
      </c>
      <c r="C12096" s="18" t="s">
        <v>48096</v>
      </c>
      <c r="D12096" s="18" t="s">
        <v>19085</v>
      </c>
      <c r="E12096" s="18" t="s">
        <v>48097</v>
      </c>
      <c r="F12096" s="18" t="str">
        <f>IFERROR(__XLUDF.DUMMYFUNCTION("PROPER(REGEXREPLACE(D164,""[^A-Za-z]+ "",""""))"),"Decopeint")</f>
        <v>Decopeint</v>
      </c>
      <c r="G12096" s="18" t="s">
        <v>48098</v>
      </c>
      <c r="H12096" s="18">
        <v>33</v>
      </c>
      <c r="I12096" s="18" t="s">
        <v>9239</v>
      </c>
      <c r="J12096" s="18" t="str">
        <f>IFERROR(__XLUDF.DUMMYFUNCTION("VLOOKUP(M164,IMPORTRANGE(""https://docs.google.com/spreadsheets/d/1opm6ZNvGZ7KditA9TuJwrZ25eFLfTNIkrNnY6mhV5Eg"",""list!A1:C115""),3,TRUE)"),"le secteur de la production alimentaire")</f>
        <v xml:space="preserve">le secteur de la production alimentaire</v>
      </c>
      <c r="K12096" s="5" t="s">
        <v>48099</v>
      </c>
      <c r="L12096" s="5" t="s">
        <v>48100</v>
      </c>
      <c r="M12096" s="18" t="s">
        <v>1460</v>
      </c>
      <c r="N12096" s="18" t="s">
        <v>29</v>
      </c>
      <c r="O12096" s="18" t="s">
        <v>48101</v>
      </c>
      <c r="P12096" s="18" t="s">
        <v>29</v>
      </c>
      <c r="Q12096" s="18" t="s">
        <v>48102</v>
      </c>
      <c r="R12096" s="6"/>
      <c r="S12096" s="6"/>
      <c r="T12096" s="6"/>
      <c r="U12096" s="6"/>
      <c r="V12096" s="6"/>
      <c r="W12096" s="6"/>
      <c r="X12096" s="6"/>
    </row>
    <row r="12097" ht="14.25">
      <c r="B12097" s="18" t="s">
        <v>28249</v>
      </c>
      <c r="C12097" s="18" t="s">
        <v>48542</v>
      </c>
      <c r="D12097" s="18" t="s">
        <v>112</v>
      </c>
      <c r="E12097" s="18" t="s">
        <v>48543</v>
      </c>
      <c r="F12097" s="18" t="str">
        <f>IFERROR(__XLUDF.DUMMYFUNCTION("PROPER(REGEXREPLACE(D165,""[^A-Za-z]+ "",""""))"),"Bief-Cariçaie")</f>
        <v>Bief-Cariçaie</v>
      </c>
      <c r="G12097" s="18" t="s">
        <v>48544</v>
      </c>
      <c r="H12097" s="18">
        <v>16</v>
      </c>
      <c r="I12097" s="18" t="s">
        <v>9239</v>
      </c>
      <c r="J12097" s="18" t="str">
        <f>IFERROR(__XLUDF.DUMMYFUNCTION("VLOOKUP(M165,IMPORTRANGE(""https://docs.google.com/spreadsheets/d/1opm6ZNvGZ7KditA9TuJwrZ25eFLfTNIkrNnY6mhV5Eg"",""list!A1:C115""),3,TRUE)"),"le secteur de la production alimentaire")</f>
        <v xml:space="preserve">le secteur de la production alimentaire</v>
      </c>
      <c r="K12097" s="5" t="s">
        <v>48545</v>
      </c>
      <c r="L12097" s="5" t="s">
        <v>48546</v>
      </c>
      <c r="M12097" s="18" t="s">
        <v>39</v>
      </c>
      <c r="N12097" s="18" t="s">
        <v>29</v>
      </c>
      <c r="O12097" s="18" t="s">
        <v>48547</v>
      </c>
      <c r="P12097" s="18" t="s">
        <v>29</v>
      </c>
      <c r="Q12097" s="18" t="s">
        <v>48548</v>
      </c>
      <c r="R12097" s="6"/>
      <c r="S12097" s="6"/>
      <c r="T12097" s="6"/>
      <c r="U12097" s="6"/>
      <c r="V12097" s="6"/>
      <c r="W12097" s="6"/>
      <c r="X12097" s="6"/>
    </row>
    <row r="12098" ht="14.25">
      <c r="B12098" s="18" t="s">
        <v>355</v>
      </c>
      <c r="C12098" s="18" t="s">
        <v>46299</v>
      </c>
      <c r="D12098" s="18" t="s">
        <v>172</v>
      </c>
      <c r="E12098" s="18" t="s">
        <v>46300</v>
      </c>
      <c r="F12098" s="18" t="str">
        <f>IFERROR(__XLUDF.DUMMYFUNCTION("PROPER(REGEXREPLACE(D166,""[^A-Za-z]+ "",""""))"),"Batif")</f>
        <v>Batif</v>
      </c>
      <c r="G12098" s="18" t="s">
        <v>46301</v>
      </c>
      <c r="H12098" s="18">
        <v>25</v>
      </c>
      <c r="I12098" s="18" t="s">
        <v>9239</v>
      </c>
      <c r="J12098" s="18" t="str">
        <f>IFERROR(__XLUDF.DUMMYFUNCTION("VLOOKUP(M166,IMPORTRANGE(""https://docs.google.com/spreadsheets/d/1opm6ZNvGZ7KditA9TuJwrZ25eFLfTNIkrNnY6mhV5Eg"",""list!A1:C115""),3,TRUE)"),"le secteur de la production alimentaire")</f>
        <v xml:space="preserve">le secteur de la production alimentaire</v>
      </c>
      <c r="K12098" s="5" t="s">
        <v>46302</v>
      </c>
      <c r="L12098" s="5" t="s">
        <v>46303</v>
      </c>
      <c r="M12098" s="18" t="s">
        <v>2499</v>
      </c>
      <c r="N12098" s="18" t="s">
        <v>29</v>
      </c>
      <c r="O12098" s="18" t="s">
        <v>20312</v>
      </c>
      <c r="P12098" s="18" t="s">
        <v>29</v>
      </c>
      <c r="Q12098" s="18" t="s">
        <v>46304</v>
      </c>
      <c r="R12098" s="6"/>
      <c r="S12098" s="6"/>
      <c r="T12098" s="6"/>
      <c r="U12098" s="6"/>
      <c r="V12098" s="6"/>
      <c r="W12098" s="6"/>
      <c r="X12098" s="6"/>
    </row>
    <row r="12099" ht="14.25">
      <c r="B12099" s="18" t="s">
        <v>525</v>
      </c>
      <c r="C12099" s="18" t="s">
        <v>47017</v>
      </c>
      <c r="D12099" s="18" t="s">
        <v>112</v>
      </c>
      <c r="E12099" s="18" t="s">
        <v>47018</v>
      </c>
      <c r="F12099" s="18" t="str">
        <f>IFERROR(__XLUDF.DUMMYFUNCTION("PROPER(REGEXREPLACE(D167,""[^A-Za-z]+ "",""""))"),"Groupe Stoops")</f>
        <v xml:space="preserve">Groupe Stoops</v>
      </c>
      <c r="G12099" s="18" t="s">
        <v>52967</v>
      </c>
      <c r="H12099" s="18">
        <v>19</v>
      </c>
      <c r="I12099" s="18" t="s">
        <v>9239</v>
      </c>
      <c r="J12099" s="18" t="str">
        <f>IFERROR(__XLUDF.DUMMYFUNCTION("VLOOKUP(M167,IMPORTRANGE(""https://docs.google.com/spreadsheets/d/1opm6ZNvGZ7KditA9TuJwrZ25eFLfTNIkrNnY6mhV5Eg"",""list!A1:C115""),3,TRUE)"),"le secteur de la production alimentaire")</f>
        <v xml:space="preserve">le secteur de la production alimentaire</v>
      </c>
      <c r="K12099" s="5" t="s">
        <v>52968</v>
      </c>
      <c r="L12099" s="5" t="s">
        <v>47021</v>
      </c>
      <c r="M12099" s="18" t="s">
        <v>47022</v>
      </c>
      <c r="N12099" s="18" t="s">
        <v>29</v>
      </c>
      <c r="O12099" s="18" t="s">
        <v>47023</v>
      </c>
      <c r="P12099" s="18" t="s">
        <v>29</v>
      </c>
      <c r="Q12099" s="18" t="s">
        <v>47024</v>
      </c>
      <c r="R12099" s="6"/>
      <c r="S12099" s="6"/>
      <c r="T12099" s="6"/>
      <c r="U12099" s="6"/>
      <c r="V12099" s="6"/>
      <c r="W12099" s="6"/>
      <c r="X12099" s="6"/>
    </row>
    <row r="12100" ht="14.25">
      <c r="B12100" s="18" t="s">
        <v>355</v>
      </c>
      <c r="C12100" s="18" t="s">
        <v>12452</v>
      </c>
      <c r="D12100" s="18" t="s">
        <v>468</v>
      </c>
      <c r="E12100" s="18" t="s">
        <v>53091</v>
      </c>
      <c r="F12100" s="18" t="str">
        <f>IFERROR(__XLUDF.DUMMYFUNCTION("PROPER(REGEXREPLACE(D168,""[^A-Za-z]+ "",""""))"),"Altitech")</f>
        <v>Altitech</v>
      </c>
      <c r="G12100" s="18" t="s">
        <v>53092</v>
      </c>
      <c r="H12100" s="18">
        <v>15</v>
      </c>
      <c r="I12100" s="18" t="s">
        <v>9239</v>
      </c>
      <c r="J12100" s="18" t="str">
        <f>IFERROR(__XLUDF.DUMMYFUNCTION("VLOOKUP(M168,IMPORTRANGE(""https://docs.google.com/spreadsheets/d/1opm6ZNvGZ7KditA9TuJwrZ25eFLfTNIkrNnY6mhV5Eg"",""list!A1:C115""),3,TRUE)"),"le secteur de la production alimentaire")</f>
        <v xml:space="preserve">le secteur de la production alimentaire</v>
      </c>
      <c r="K12100" s="5" t="s">
        <v>53093</v>
      </c>
      <c r="L12100" s="5" t="s">
        <v>53094</v>
      </c>
      <c r="M12100" s="18" t="s">
        <v>185</v>
      </c>
      <c r="N12100" s="18" t="s">
        <v>29</v>
      </c>
      <c r="O12100" s="18" t="s">
        <v>53095</v>
      </c>
      <c r="P12100" s="18" t="s">
        <v>29</v>
      </c>
      <c r="Q12100" s="6"/>
      <c r="R12100" s="6"/>
      <c r="S12100" s="6"/>
      <c r="T12100" s="6"/>
      <c r="U12100" s="6"/>
      <c r="V12100" s="6"/>
      <c r="W12100" s="6"/>
      <c r="X12100" s="6"/>
    </row>
    <row r="12101" ht="14.25">
      <c r="B12101" s="18" t="s">
        <v>50216</v>
      </c>
      <c r="C12101" s="18" t="s">
        <v>24319</v>
      </c>
      <c r="D12101" s="18" t="s">
        <v>172</v>
      </c>
      <c r="E12101" s="18" t="s">
        <v>49332</v>
      </c>
      <c r="F12101" s="18" t="str">
        <f>IFERROR(__XLUDF.DUMMYFUNCTION("PROPER(REGEXREPLACE(D169,""[^A-Za-z]+ "",""""))"),"Trianon Résidences")</f>
        <v xml:space="preserve">Trianon Résidences</v>
      </c>
      <c r="G12101" s="18" t="s">
        <v>50217</v>
      </c>
      <c r="H12101" s="18">
        <v>32</v>
      </c>
      <c r="I12101" s="18" t="s">
        <v>9239</v>
      </c>
      <c r="J12101" s="18" t="str">
        <f>IFERROR(__XLUDF.DUMMYFUNCTION("VLOOKUP(M169,IMPORTRANGE(""https://docs.google.com/spreadsheets/d/1opm6ZNvGZ7KditA9TuJwrZ25eFLfTNIkrNnY6mhV5Eg"",""list!A1:C115""),3,TRUE)"),"le secteur de la production alimentaire")</f>
        <v xml:space="preserve">le secteur de la production alimentaire</v>
      </c>
      <c r="K12101" s="5" t="s">
        <v>50218</v>
      </c>
      <c r="L12101" s="5" t="s">
        <v>49335</v>
      </c>
      <c r="M12101" s="18" t="s">
        <v>651</v>
      </c>
      <c r="N12101" s="18" t="s">
        <v>29</v>
      </c>
      <c r="O12101" s="18" t="s">
        <v>49336</v>
      </c>
      <c r="P12101" s="18" t="s">
        <v>29</v>
      </c>
      <c r="Q12101" s="18" t="s">
        <v>49337</v>
      </c>
      <c r="R12101" s="6"/>
      <c r="S12101" s="6"/>
      <c r="T12101" s="6"/>
      <c r="U12101" s="6"/>
      <c r="V12101" s="6"/>
      <c r="W12101" s="6"/>
      <c r="X12101" s="6"/>
    </row>
    <row r="12102" ht="14.25">
      <c r="B12102" s="18" t="s">
        <v>1421</v>
      </c>
      <c r="C12102" s="18" t="s">
        <v>6390</v>
      </c>
      <c r="D12102" s="18" t="s">
        <v>50430</v>
      </c>
      <c r="E12102" s="18" t="s">
        <v>9235</v>
      </c>
      <c r="F12102" s="18" t="str">
        <f>IFERROR(__XLUDF.DUMMYFUNCTION("PROPER(REGEXREPLACE(D170,""[^A-Za-z]+ "",""""))"),"Bcm")</f>
        <v>Bcm</v>
      </c>
      <c r="G12102" s="18" t="s">
        <v>50431</v>
      </c>
      <c r="H12102" s="18">
        <v>25</v>
      </c>
      <c r="I12102" s="18" t="s">
        <v>9239</v>
      </c>
      <c r="J12102" s="18" t="str">
        <f>IFERROR(__XLUDF.DUMMYFUNCTION("VLOOKUP(M170,IMPORTRANGE(""https://docs.google.com/spreadsheets/d/1opm6ZNvGZ7KditA9TuJwrZ25eFLfTNIkrNnY6mhV5Eg"",""list!A1:C115""),3,TRUE)"),"le secteur de la production alimentaire")</f>
        <v xml:space="preserve">le secteur de la production alimentaire</v>
      </c>
      <c r="K12102" s="5" t="s">
        <v>50432</v>
      </c>
      <c r="L12102" s="5" t="s">
        <v>50027</v>
      </c>
      <c r="M12102" s="18" t="s">
        <v>9237</v>
      </c>
      <c r="N12102" s="18" t="s">
        <v>29</v>
      </c>
      <c r="O12102" s="18" t="s">
        <v>50028</v>
      </c>
      <c r="P12102" s="18" t="s">
        <v>29</v>
      </c>
      <c r="Q12102" s="18" t="s">
        <v>9243</v>
      </c>
      <c r="R12102" s="6"/>
      <c r="S12102" s="6"/>
      <c r="T12102" s="6"/>
      <c r="U12102" s="6"/>
      <c r="V12102" s="6"/>
      <c r="W12102" s="6"/>
      <c r="X12102" s="6"/>
    </row>
    <row r="12103" ht="14.25">
      <c r="B12103" s="18" t="s">
        <v>47794</v>
      </c>
      <c r="C12103" s="18" t="s">
        <v>47795</v>
      </c>
      <c r="D12103" s="18" t="s">
        <v>87</v>
      </c>
      <c r="E12103" s="18" t="s">
        <v>47796</v>
      </c>
      <c r="F12103" s="18" t="str">
        <f>IFERROR(__XLUDF.DUMMYFUNCTION("PROPER(REGEXREPLACE(D171,""[^A-Za-z]+ "",""""))"),"Ahl Designengineering")</f>
        <v xml:space="preserve">Ahl Designengineering</v>
      </c>
      <c r="G12103" s="18" t="s">
        <v>47797</v>
      </c>
      <c r="H12103" s="18">
        <v>31</v>
      </c>
      <c r="I12103" s="18" t="s">
        <v>9239</v>
      </c>
      <c r="J12103" s="18" t="str">
        <f>IFERROR(__XLUDF.DUMMYFUNCTION("VLOOKUP(M171,IMPORTRANGE(""https://docs.google.com/spreadsheets/d/1opm6ZNvGZ7KditA9TuJwrZ25eFLfTNIkrNnY6mhV5Eg"",""list!A1:C115""),3,TRUE)"),"le secteur de la production alimentaire")</f>
        <v xml:space="preserve">le secteur de la production alimentaire</v>
      </c>
      <c r="K12103" s="5" t="s">
        <v>47798</v>
      </c>
      <c r="L12103" s="5" t="s">
        <v>47799</v>
      </c>
      <c r="M12103" s="18" t="s">
        <v>185</v>
      </c>
      <c r="N12103" s="18" t="s">
        <v>29</v>
      </c>
      <c r="O12103" s="18" t="s">
        <v>47800</v>
      </c>
      <c r="P12103" s="18" t="s">
        <v>24754</v>
      </c>
      <c r="Q12103" s="18" t="s">
        <v>55851</v>
      </c>
      <c r="R12103" s="6"/>
      <c r="S12103" s="6"/>
      <c r="T12103" s="6"/>
      <c r="U12103" s="6"/>
      <c r="V12103" s="6"/>
      <c r="W12103" s="6"/>
      <c r="X12103" s="6"/>
    </row>
    <row r="12104" ht="14.25">
      <c r="B12104" s="18" t="s">
        <v>47090</v>
      </c>
      <c r="C12104" s="18" t="s">
        <v>47091</v>
      </c>
      <c r="D12104" s="18" t="s">
        <v>172</v>
      </c>
      <c r="E12104" s="18" t="s">
        <v>47092</v>
      </c>
      <c r="F12104" s="18" t="str">
        <f>IFERROR(__XLUDF.DUMMYFUNCTION("PROPER(REGEXREPLACE(D172,""[^A-Za-z]+ "",""""))"),"Archi-Bat")</f>
        <v>Archi-Bat</v>
      </c>
      <c r="G12104" s="18" t="s">
        <v>47093</v>
      </c>
      <c r="H12104" s="18">
        <v>11</v>
      </c>
      <c r="I12104" s="18" t="s">
        <v>9239</v>
      </c>
      <c r="J12104" s="18" t="str">
        <f>IFERROR(__XLUDF.DUMMYFUNCTION("VLOOKUP(M172,IMPORTRANGE(""https://docs.google.com/spreadsheets/d/1opm6ZNvGZ7KditA9TuJwrZ25eFLfTNIkrNnY6mhV5Eg"",""list!A1:C115""),3,TRUE)"),"le secteur de la production alimentaire")</f>
        <v xml:space="preserve">le secteur de la production alimentaire</v>
      </c>
      <c r="K12104" s="5" t="s">
        <v>47094</v>
      </c>
      <c r="L12104" s="5" t="s">
        <v>47095</v>
      </c>
      <c r="M12104" s="18" t="s">
        <v>39</v>
      </c>
      <c r="N12104" s="18" t="s">
        <v>29</v>
      </c>
      <c r="O12104" s="18" t="s">
        <v>47096</v>
      </c>
      <c r="P12104" s="18" t="s">
        <v>29</v>
      </c>
      <c r="Q12104" s="18" t="s">
        <v>47097</v>
      </c>
      <c r="R12104" s="6"/>
      <c r="S12104" s="6"/>
      <c r="T12104" s="6"/>
      <c r="U12104" s="6"/>
      <c r="V12104" s="6"/>
      <c r="W12104" s="6"/>
      <c r="X12104" s="6"/>
    </row>
    <row r="12105" ht="14.25">
      <c r="B12105" s="18" t="s">
        <v>46530</v>
      </c>
      <c r="C12105" s="18" t="s">
        <v>46531</v>
      </c>
      <c r="D12105" s="18" t="s">
        <v>172</v>
      </c>
      <c r="E12105" s="18" t="s">
        <v>46532</v>
      </c>
      <c r="F12105" s="18" t="str">
        <f>IFERROR(__XLUDF.DUMMYFUNCTION("PROPER(REGEXREPLACE(D173,""[^A-Za-z]+ "",""""))"),"Methodes Et Pilotage")</f>
        <v xml:space="preserve">Methodes Et Pilotage</v>
      </c>
      <c r="G12105" s="18" t="s">
        <v>46533</v>
      </c>
      <c r="H12105" s="18">
        <v>29</v>
      </c>
      <c r="I12105" s="18" t="s">
        <v>9239</v>
      </c>
      <c r="J12105" s="18" t="str">
        <f>IFERROR(__XLUDF.DUMMYFUNCTION("VLOOKUP(M173,IMPORTRANGE(""https://docs.google.com/spreadsheets/d/1opm6ZNvGZ7KditA9TuJwrZ25eFLfTNIkrNnY6mhV5Eg"",""list!A1:C115""),3,TRUE)"),"le secteur de la production alimentaire")</f>
        <v xml:space="preserve">le secteur de la production alimentaire</v>
      </c>
      <c r="K12105" s="5" t="s">
        <v>46534</v>
      </c>
      <c r="L12105" s="5" t="s">
        <v>46535</v>
      </c>
      <c r="M12105" s="6"/>
      <c r="N12105" s="18" t="s">
        <v>29</v>
      </c>
      <c r="O12105" s="18" t="s">
        <v>46536</v>
      </c>
      <c r="P12105" s="18" t="s">
        <v>29</v>
      </c>
      <c r="Q12105" s="18" t="s">
        <v>46537</v>
      </c>
      <c r="R12105" s="6"/>
      <c r="S12105" s="6"/>
      <c r="T12105" s="6"/>
      <c r="U12105" s="6"/>
      <c r="V12105" s="6"/>
      <c r="W12105" s="6"/>
      <c r="X12105" s="6"/>
    </row>
    <row r="12106" ht="14.25">
      <c r="B12106" s="18" t="s">
        <v>1853</v>
      </c>
      <c r="C12106" s="18" t="s">
        <v>52253</v>
      </c>
      <c r="D12106" s="18" t="s">
        <v>52254</v>
      </c>
      <c r="E12106" s="18" t="s">
        <v>52255</v>
      </c>
      <c r="F12106" s="18" t="str">
        <f>IFERROR(__XLUDF.DUMMYFUNCTION("PROPER(REGEXREPLACE(D174,""[^A-Za-z]+ "",""""))"),"Eppy")</f>
        <v>Eppy</v>
      </c>
      <c r="G12106" s="18" t="s">
        <v>52256</v>
      </c>
      <c r="H12106" s="18">
        <v>25</v>
      </c>
      <c r="I12106" s="18" t="s">
        <v>9239</v>
      </c>
      <c r="J12106" s="18" t="str">
        <f>IFERROR(__XLUDF.DUMMYFUNCTION("VLOOKUP(M174,IMPORTRANGE(""https://docs.google.com/spreadsheets/d/1opm6ZNvGZ7KditA9TuJwrZ25eFLfTNIkrNnY6mhV5Eg"",""list!A1:C115""),3,TRUE)"),"le secteur de la production alimentaire")</f>
        <v xml:space="preserve">le secteur de la production alimentaire</v>
      </c>
      <c r="K12106" s="5" t="s">
        <v>52257</v>
      </c>
      <c r="L12106" s="5" t="s">
        <v>52258</v>
      </c>
      <c r="M12106" s="18" t="s">
        <v>27777</v>
      </c>
      <c r="N12106" s="18" t="s">
        <v>29</v>
      </c>
      <c r="O12106" s="18" t="s">
        <v>52259</v>
      </c>
      <c r="P12106" s="18" t="s">
        <v>29</v>
      </c>
      <c r="Q12106" s="18" t="s">
        <v>52260</v>
      </c>
      <c r="R12106" s="6"/>
      <c r="S12106" s="6"/>
      <c r="T12106" s="6"/>
      <c r="U12106" s="6"/>
      <c r="V12106" s="6"/>
      <c r="W12106" s="6"/>
      <c r="X12106" s="6"/>
    </row>
    <row r="12107" ht="14.25">
      <c r="B12107" s="18" t="s">
        <v>7714</v>
      </c>
      <c r="C12107" s="18" t="s">
        <v>46061</v>
      </c>
      <c r="D12107" s="18" t="s">
        <v>112</v>
      </c>
      <c r="E12107" s="18" t="s">
        <v>46062</v>
      </c>
      <c r="F12107" s="18" t="str">
        <f>IFERROR(__XLUDF.DUMMYFUNCTION("PROPER(REGEXREPLACE(D175,""[^A-Za-z]+ "",""""))"),"Cosinus")</f>
        <v>Cosinus</v>
      </c>
      <c r="G12107" s="18" t="s">
        <v>46063</v>
      </c>
      <c r="H12107" s="18">
        <v>17</v>
      </c>
      <c r="I12107" s="18" t="s">
        <v>9239</v>
      </c>
      <c r="J12107" s="18" t="str">
        <f>IFERROR(__XLUDF.DUMMYFUNCTION("VLOOKUP(M175,IMPORTRANGE(""https://docs.google.com/spreadsheets/d/1opm6ZNvGZ7KditA9TuJwrZ25eFLfTNIkrNnY6mhV5Eg"",""list!A1:C115""),3,TRUE)"),"le secteur de la production alimentaire")</f>
        <v xml:space="preserve">le secteur de la production alimentaire</v>
      </c>
      <c r="K12107" s="5" t="s">
        <v>46064</v>
      </c>
      <c r="L12107" s="5" t="s">
        <v>46065</v>
      </c>
      <c r="M12107" s="18" t="s">
        <v>185</v>
      </c>
      <c r="N12107" s="18" t="s">
        <v>29</v>
      </c>
      <c r="O12107" s="18" t="s">
        <v>46066</v>
      </c>
      <c r="P12107" s="18" t="s">
        <v>29</v>
      </c>
      <c r="Q12107" s="18" t="s">
        <v>46067</v>
      </c>
      <c r="R12107" s="6"/>
      <c r="S12107" s="6"/>
      <c r="T12107" s="6"/>
      <c r="U12107" s="6"/>
      <c r="V12107" s="6"/>
      <c r="W12107" s="6"/>
      <c r="X12107" s="6"/>
    </row>
    <row r="12108" ht="14.25">
      <c r="B12108" s="18" t="s">
        <v>2398</v>
      </c>
      <c r="C12108" s="18" t="s">
        <v>48328</v>
      </c>
      <c r="D12108" s="18" t="s">
        <v>112</v>
      </c>
      <c r="E12108" s="18" t="s">
        <v>45771</v>
      </c>
      <c r="F12108" s="18" t="str">
        <f>IFERROR(__XLUDF.DUMMYFUNCTION("PROPER(REGEXREPLACE(D176,""[^A-Za-z]+ "",""""))"),"Hugo Tech")</f>
        <v xml:space="preserve">Hugo Tech</v>
      </c>
      <c r="G12108" s="18" t="s">
        <v>48329</v>
      </c>
      <c r="H12108" s="18">
        <v>27</v>
      </c>
      <c r="I12108" s="18" t="s">
        <v>9239</v>
      </c>
      <c r="J12108" s="18" t="str">
        <f>IFERROR(__XLUDF.DUMMYFUNCTION("VLOOKUP(M176,IMPORTRANGE(""https://docs.google.com/spreadsheets/d/1opm6ZNvGZ7KditA9TuJwrZ25eFLfTNIkrNnY6mhV5Eg"",""list!A1:C115""),3,TRUE)"),"le secteur de la production alimentaire")</f>
        <v xml:space="preserve">le secteur de la production alimentaire</v>
      </c>
      <c r="K12108" s="5" t="s">
        <v>48330</v>
      </c>
      <c r="L12108" s="5" t="s">
        <v>45774</v>
      </c>
      <c r="M12108" s="18" t="s">
        <v>716</v>
      </c>
      <c r="N12108" s="18" t="s">
        <v>29</v>
      </c>
      <c r="O12108" s="18" t="s">
        <v>45775</v>
      </c>
      <c r="P12108" s="18" t="s">
        <v>29</v>
      </c>
      <c r="Q12108" s="18" t="s">
        <v>45776</v>
      </c>
      <c r="R12108" s="6"/>
      <c r="S12108" s="6"/>
      <c r="T12108" s="6"/>
      <c r="U12108" s="6"/>
      <c r="V12108" s="6"/>
      <c r="W12108" s="6"/>
      <c r="X12108" s="6"/>
    </row>
    <row r="12109" ht="14.25">
      <c r="B12109" s="18" t="s">
        <v>4469</v>
      </c>
      <c r="C12109" s="18" t="s">
        <v>49526</v>
      </c>
      <c r="D12109" s="18" t="s">
        <v>164</v>
      </c>
      <c r="E12109" s="18" t="s">
        <v>49527</v>
      </c>
      <c r="F12109" s="18" t="str">
        <f>IFERROR(__XLUDF.DUMMYFUNCTION("PROPER(REGEXREPLACE(D177,""[^A-Za-z]+ "",""""))"),"Ferro Ingenierie")</f>
        <v xml:space="preserve">Ferro Ingenierie</v>
      </c>
      <c r="G12109" s="18" t="s">
        <v>49528</v>
      </c>
      <c r="H12109" s="18">
        <v>29</v>
      </c>
      <c r="I12109" s="18" t="s">
        <v>9239</v>
      </c>
      <c r="J12109" s="18" t="str">
        <f>IFERROR(__XLUDF.DUMMYFUNCTION("VLOOKUP(M177,IMPORTRANGE(""https://docs.google.com/spreadsheets/d/1opm6ZNvGZ7KditA9TuJwrZ25eFLfTNIkrNnY6mhV5Eg"",""list!A1:C115""),3,TRUE)"),"le secteur de la production alimentaire")</f>
        <v xml:space="preserve">le secteur de la production alimentaire</v>
      </c>
      <c r="K12109" s="5" t="s">
        <v>49529</v>
      </c>
      <c r="L12109" s="5" t="s">
        <v>49530</v>
      </c>
      <c r="M12109" s="6"/>
      <c r="N12109" s="18" t="s">
        <v>29</v>
      </c>
      <c r="O12109" s="18" t="s">
        <v>49531</v>
      </c>
      <c r="P12109" s="18" t="s">
        <v>29</v>
      </c>
      <c r="Q12109" s="18" t="s">
        <v>49532</v>
      </c>
      <c r="R12109" s="6"/>
      <c r="S12109" s="6"/>
      <c r="T12109" s="6"/>
      <c r="U12109" s="6"/>
      <c r="V12109" s="6"/>
      <c r="W12109" s="6"/>
      <c r="X12109" s="6"/>
    </row>
    <row r="12110" ht="14.25">
      <c r="B12110" s="18" t="s">
        <v>661</v>
      </c>
      <c r="C12110" s="18" t="s">
        <v>49208</v>
      </c>
      <c r="D12110" s="18" t="s">
        <v>1950</v>
      </c>
      <c r="E12110" s="18" t="s">
        <v>55852</v>
      </c>
      <c r="F12110" s="18" t="str">
        <f>IFERROR(__XLUDF.DUMMYFUNCTION("PROPER(REGEXREPLACE(D178,""[^A-Za-z]+ "",""""))"),"Stéphane Berger")</f>
        <v xml:space="preserve">Stéphane Berger</v>
      </c>
      <c r="G12110" s="18" t="s">
        <v>49210</v>
      </c>
      <c r="H12110" s="18">
        <v>31</v>
      </c>
      <c r="I12110" s="18" t="s">
        <v>9239</v>
      </c>
      <c r="J12110" s="18" t="str">
        <f>IFERROR(__XLUDF.DUMMYFUNCTION("VLOOKUP(M178,IMPORTRANGE(""https://docs.google.com/spreadsheets/d/1opm6ZNvGZ7KditA9TuJwrZ25eFLfTNIkrNnY6mhV5Eg"",""list!A1:C115""),3,TRUE)"),"le secteur de la production alimentaire")</f>
        <v xml:space="preserve">le secteur de la production alimentaire</v>
      </c>
      <c r="K12110" s="5" t="s">
        <v>49211</v>
      </c>
      <c r="L12110" s="5" t="s">
        <v>49212</v>
      </c>
      <c r="M12110" s="18" t="s">
        <v>7883</v>
      </c>
      <c r="N12110" s="18" t="s">
        <v>29</v>
      </c>
      <c r="O12110" s="18" t="s">
        <v>49213</v>
      </c>
      <c r="P12110" s="18" t="s">
        <v>29</v>
      </c>
      <c r="Q12110" s="18" t="s">
        <v>49214</v>
      </c>
      <c r="R12110" s="6"/>
      <c r="S12110" s="6"/>
      <c r="T12110" s="6"/>
      <c r="U12110" s="6"/>
      <c r="V12110" s="6"/>
      <c r="W12110" s="6"/>
      <c r="X12110" s="6"/>
    </row>
    <row r="12111" ht="14.25">
      <c r="B12111" s="18" t="s">
        <v>548</v>
      </c>
      <c r="C12111" s="18" t="s">
        <v>51558</v>
      </c>
      <c r="D12111" s="18" t="s">
        <v>487</v>
      </c>
      <c r="E12111" s="18" t="s">
        <v>51559</v>
      </c>
      <c r="F12111" s="18" t="str">
        <f>IFERROR(__XLUDF.DUMMYFUNCTION("PROPER(REGEXREPLACE(D179,""[^A-Za-z]+ "",""""))"),"Les Menuisiers Du Rhone")</f>
        <v xml:space="preserve">Les Menuisiers Du Rhone</v>
      </c>
      <c r="G12111" s="18" t="s">
        <v>51560</v>
      </c>
      <c r="H12111" s="18">
        <v>15</v>
      </c>
      <c r="I12111" s="18" t="s">
        <v>9239</v>
      </c>
      <c r="J12111" s="18" t="str">
        <f>IFERROR(__XLUDF.DUMMYFUNCTION("VLOOKUP(M179,IMPORTRANGE(""https://docs.google.com/spreadsheets/d/1opm6ZNvGZ7KditA9TuJwrZ25eFLfTNIkrNnY6mhV5Eg"",""list!A1:C115""),3,TRUE)"),"le secteur de la production alimentaire")</f>
        <v xml:space="preserve">le secteur de la production alimentaire</v>
      </c>
      <c r="K12111" s="5" t="s">
        <v>51561</v>
      </c>
      <c r="L12111" s="5" t="s">
        <v>51562</v>
      </c>
      <c r="M12111" s="18" t="s">
        <v>51563</v>
      </c>
      <c r="N12111" s="18" t="s">
        <v>29</v>
      </c>
      <c r="O12111" s="18" t="s">
        <v>51564</v>
      </c>
      <c r="P12111" s="18" t="s">
        <v>29</v>
      </c>
      <c r="Q12111" s="18" t="s">
        <v>51565</v>
      </c>
      <c r="R12111" s="6"/>
      <c r="S12111" s="6"/>
      <c r="T12111" s="6"/>
      <c r="U12111" s="6"/>
      <c r="V12111" s="6"/>
      <c r="W12111" s="6"/>
      <c r="X12111" s="6"/>
    </row>
    <row r="12112" ht="14.25">
      <c r="B12112" s="18" t="s">
        <v>450</v>
      </c>
      <c r="C12112" s="18" t="s">
        <v>45659</v>
      </c>
      <c r="D12112" s="18" t="s">
        <v>172</v>
      </c>
      <c r="E12112" s="18" t="s">
        <v>45660</v>
      </c>
      <c r="F12112" s="18" t="str">
        <f>IFERROR(__XLUDF.DUMMYFUNCTION("PROPER(REGEXREPLACE(D180,""[^A-Za-z]+ "",""""))"),"Triangle Horizon")</f>
        <v xml:space="preserve">Triangle Horizon</v>
      </c>
      <c r="G12112" s="18" t="s">
        <v>45661</v>
      </c>
      <c r="H12112" s="18">
        <v>43</v>
      </c>
      <c r="I12112" s="18" t="s">
        <v>9239</v>
      </c>
      <c r="J12112" s="18" t="str">
        <f>IFERROR(__XLUDF.DUMMYFUNCTION("VLOOKUP(M180,IMPORTRANGE(""https://docs.google.com/spreadsheets/d/1opm6ZNvGZ7KditA9TuJwrZ25eFLfTNIkrNnY6mhV5Eg"",""list!A1:C115""),3,TRUE)"),"le secteur de la production alimentaire")</f>
        <v xml:space="preserve">le secteur de la production alimentaire</v>
      </c>
      <c r="K12112" s="5" t="s">
        <v>45662</v>
      </c>
      <c r="L12112" s="5" t="s">
        <v>45663</v>
      </c>
      <c r="M12112" s="18" t="s">
        <v>45664</v>
      </c>
      <c r="N12112" s="18" t="s">
        <v>29</v>
      </c>
      <c r="O12112" s="18" t="s">
        <v>45665</v>
      </c>
      <c r="P12112" s="18" t="s">
        <v>29</v>
      </c>
      <c r="Q12112" s="18" t="s">
        <v>45666</v>
      </c>
      <c r="R12112" s="6"/>
      <c r="S12112" s="6"/>
      <c r="T12112" s="6"/>
      <c r="U12112" s="6"/>
      <c r="V12112" s="6"/>
      <c r="W12112" s="6"/>
      <c r="X12112" s="6"/>
    </row>
    <row r="12113" ht="14.25">
      <c r="B12113" s="18" t="s">
        <v>52755</v>
      </c>
      <c r="C12113" s="18" t="s">
        <v>52756</v>
      </c>
      <c r="D12113" s="18" t="s">
        <v>1130</v>
      </c>
      <c r="E12113" s="18" t="s">
        <v>52757</v>
      </c>
      <c r="F12113" s="18" t="str">
        <f>IFERROR(__XLUDF.DUMMYFUNCTION("PROPER(REGEXREPLACE(D181,""[^A-Za-z]+ "",""""))"),"Labomat")</f>
        <v>Labomat</v>
      </c>
      <c r="G12113" s="18" t="s">
        <v>52758</v>
      </c>
      <c r="H12113" s="18">
        <v>14</v>
      </c>
      <c r="I12113" s="18" t="s">
        <v>9239</v>
      </c>
      <c r="J12113" s="18" t="str">
        <f>IFERROR(__XLUDF.DUMMYFUNCTION("VLOOKUP(M181,IMPORTRANGE(""https://docs.google.com/spreadsheets/d/1opm6ZNvGZ7KditA9TuJwrZ25eFLfTNIkrNnY6mhV5Eg"",""list!A1:C115""),3,TRUE)"),"le secteur de la production alimentaire")</f>
        <v xml:space="preserve">le secteur de la production alimentaire</v>
      </c>
      <c r="K12113" s="5" t="s">
        <v>52759</v>
      </c>
      <c r="L12113" s="5" t="s">
        <v>52760</v>
      </c>
      <c r="M12113" s="18" t="s">
        <v>39</v>
      </c>
      <c r="N12113" s="18" t="s">
        <v>29</v>
      </c>
      <c r="O12113" s="18" t="s">
        <v>52761</v>
      </c>
      <c r="P12113" s="18" t="s">
        <v>2953</v>
      </c>
      <c r="Q12113" s="18" t="s">
        <v>52762</v>
      </c>
      <c r="R12113" s="6"/>
      <c r="S12113" s="6"/>
      <c r="T12113" s="6"/>
      <c r="U12113" s="6"/>
      <c r="V12113" s="6"/>
      <c r="W12113" s="6"/>
      <c r="X12113" s="6"/>
    </row>
    <row r="12114" ht="14.25">
      <c r="B12114" s="18" t="s">
        <v>51550</v>
      </c>
      <c r="C12114" s="18" t="s">
        <v>6945</v>
      </c>
      <c r="D12114" s="18" t="s">
        <v>7155</v>
      </c>
      <c r="E12114" s="18" t="s">
        <v>51551</v>
      </c>
      <c r="F12114" s="18" t="str">
        <f>IFERROR(__XLUDF.DUMMYFUNCTION("PROPER(REGEXREPLACE(D182,""[^A-Za-z]+ "",""""))"),"Jei")</f>
        <v>Jei</v>
      </c>
      <c r="G12114" s="18" t="s">
        <v>51552</v>
      </c>
      <c r="H12114" s="18">
        <v>16</v>
      </c>
      <c r="I12114" s="18" t="s">
        <v>9239</v>
      </c>
      <c r="J12114" s="18" t="str">
        <f>IFERROR(__XLUDF.DUMMYFUNCTION("VLOOKUP(M182,IMPORTRANGE(""https://docs.google.com/spreadsheets/d/1opm6ZNvGZ7KditA9TuJwrZ25eFLfTNIkrNnY6mhV5Eg"",""list!A1:C115""),3,TRUE)"),"le secteur de la production alimentaire")</f>
        <v xml:space="preserve">le secteur de la production alimentaire</v>
      </c>
      <c r="K12114" s="5" t="s">
        <v>51553</v>
      </c>
      <c r="L12114" s="5" t="s">
        <v>51554</v>
      </c>
      <c r="M12114" s="18" t="s">
        <v>39</v>
      </c>
      <c r="N12114" s="18" t="s">
        <v>29</v>
      </c>
      <c r="O12114" s="18" t="s">
        <v>50368</v>
      </c>
      <c r="P12114" s="18" t="s">
        <v>29</v>
      </c>
      <c r="Q12114" s="6"/>
      <c r="R12114" s="6"/>
      <c r="S12114" s="6"/>
      <c r="T12114" s="6"/>
      <c r="U12114" s="6"/>
      <c r="V12114" s="6"/>
      <c r="W12114" s="6"/>
      <c r="X12114" s="6"/>
    </row>
    <row r="12115" ht="14.25">
      <c r="B12115" s="18" t="s">
        <v>785</v>
      </c>
      <c r="C12115" s="18" t="s">
        <v>47822</v>
      </c>
      <c r="D12115" s="18" t="s">
        <v>172</v>
      </c>
      <c r="E12115" s="18" t="s">
        <v>47823</v>
      </c>
      <c r="F12115" s="18" t="str">
        <f>IFERROR(__XLUDF.DUMMYFUNCTION("PROPER(REGEXREPLACE(D183,""[^A-Za-z]+ "",""""))"),"J4R Echafaudages")</f>
        <v xml:space="preserve">J4R Echafaudages</v>
      </c>
      <c r="G12115" s="18" t="s">
        <v>47824</v>
      </c>
      <c r="H12115" s="18">
        <v>10</v>
      </c>
      <c r="I12115" s="18" t="s">
        <v>9239</v>
      </c>
      <c r="J12115" s="18" t="str">
        <f>IFERROR(__XLUDF.DUMMYFUNCTION("VLOOKUP(M183,IMPORTRANGE(""https://docs.google.com/spreadsheets/d/1opm6ZNvGZ7KditA9TuJwrZ25eFLfTNIkrNnY6mhV5Eg"",""list!A1:C115""),3,TRUE)"),"le secteur de la production alimentaire")</f>
        <v xml:space="preserve">le secteur de la production alimentaire</v>
      </c>
      <c r="K12115" s="5" t="s">
        <v>47825</v>
      </c>
      <c r="L12115" s="5" t="s">
        <v>47826</v>
      </c>
      <c r="M12115" s="18" t="s">
        <v>39</v>
      </c>
      <c r="N12115" s="18" t="s">
        <v>29</v>
      </c>
      <c r="O12115" s="18" t="s">
        <v>47827</v>
      </c>
      <c r="P12115" s="18" t="s">
        <v>29</v>
      </c>
      <c r="Q12115" s="6"/>
      <c r="R12115" s="6"/>
      <c r="S12115" s="6"/>
      <c r="T12115" s="6"/>
      <c r="U12115" s="6"/>
      <c r="V12115" s="6"/>
      <c r="W12115" s="6"/>
      <c r="X12115" s="6"/>
    </row>
    <row r="12116" ht="14.25">
      <c r="B12116" s="18" t="s">
        <v>785</v>
      </c>
      <c r="C12116" s="18" t="s">
        <v>47789</v>
      </c>
      <c r="D12116" s="18" t="s">
        <v>14547</v>
      </c>
      <c r="E12116" s="18" t="s">
        <v>47790</v>
      </c>
      <c r="F12116" s="18" t="str">
        <f>IFERROR(__XLUDF.DUMMYFUNCTION("PROPER(REGEXREPLACE(D184,""[^A-Za-z]+ "",""""))"),"Ectb Group")</f>
        <v xml:space="preserve">Ectb Group</v>
      </c>
      <c r="G12116" s="18" t="s">
        <v>47791</v>
      </c>
      <c r="H12116" s="18">
        <v>11</v>
      </c>
      <c r="I12116" s="18" t="s">
        <v>9239</v>
      </c>
      <c r="J12116" s="18" t="str">
        <f>IFERROR(__XLUDF.DUMMYFUNCTION("VLOOKUP(M184,IMPORTRANGE(""https://docs.google.com/spreadsheets/d/1opm6ZNvGZ7KditA9TuJwrZ25eFLfTNIkrNnY6mhV5Eg"",""list!A1:C115""),3,TRUE)"),"le secteur de la production alimentaire")</f>
        <v xml:space="preserve">le secteur de la production alimentaire</v>
      </c>
      <c r="K12116" s="5" t="s">
        <v>47792</v>
      </c>
      <c r="L12116" s="5" t="s">
        <v>47793</v>
      </c>
      <c r="M12116" s="18" t="s">
        <v>295</v>
      </c>
      <c r="N12116" s="18" t="s">
        <v>29</v>
      </c>
      <c r="O12116" s="18" t="s">
        <v>3642</v>
      </c>
      <c r="P12116" s="18" t="s">
        <v>29</v>
      </c>
      <c r="Q12116" s="6"/>
      <c r="R12116" s="6"/>
      <c r="S12116" s="6"/>
      <c r="T12116" s="6"/>
      <c r="U12116" s="6"/>
      <c r="V12116" s="6"/>
      <c r="W12116" s="6"/>
      <c r="X12116" s="6"/>
    </row>
    <row r="12117" ht="14.25">
      <c r="B12117" s="18" t="s">
        <v>2138</v>
      </c>
      <c r="C12117" s="18" t="s">
        <v>46079</v>
      </c>
      <c r="D12117" s="18" t="s">
        <v>46080</v>
      </c>
      <c r="E12117" s="18" t="s">
        <v>46081</v>
      </c>
      <c r="F12117" s="18" t="str">
        <f>IFERROR(__XLUDF.DUMMYFUNCTION("PROPER(REGEXREPLACE(D185,""[^A-Za-z]+ "",""""))"),"Euclid Ingénierie")</f>
        <v xml:space="preserve">Euclid Ingénierie</v>
      </c>
      <c r="G12117" s="18" t="s">
        <v>46082</v>
      </c>
      <c r="H12117" s="18">
        <v>42</v>
      </c>
      <c r="I12117" s="18" t="s">
        <v>9239</v>
      </c>
      <c r="J12117" s="18" t="str">
        <f>IFERROR(__XLUDF.DUMMYFUNCTION("VLOOKUP(M185,IMPORTRANGE(""https://docs.google.com/spreadsheets/d/1opm6ZNvGZ7KditA9TuJwrZ25eFLfTNIkrNnY6mhV5Eg"",""list!A1:C115""),3,TRUE)"),"le secteur de la production alimentaire")</f>
        <v xml:space="preserve">le secteur de la production alimentaire</v>
      </c>
      <c r="K12117" s="5" t="s">
        <v>46083</v>
      </c>
      <c r="L12117" s="5" t="s">
        <v>46084</v>
      </c>
      <c r="M12117" s="18" t="s">
        <v>9237</v>
      </c>
      <c r="N12117" s="18" t="s">
        <v>29</v>
      </c>
      <c r="O12117" s="18" t="s">
        <v>46085</v>
      </c>
      <c r="P12117" s="18" t="s">
        <v>29</v>
      </c>
      <c r="Q12117" s="18" t="s">
        <v>46086</v>
      </c>
      <c r="R12117" s="6"/>
      <c r="S12117" s="6"/>
      <c r="T12117" s="6"/>
      <c r="U12117" s="6"/>
      <c r="V12117" s="6"/>
      <c r="W12117" s="6"/>
      <c r="X12117" s="6"/>
    </row>
    <row r="12118" ht="14.25">
      <c r="B12118" s="18" t="s">
        <v>6945</v>
      </c>
      <c r="C12118" s="18" t="s">
        <v>45207</v>
      </c>
      <c r="D12118" s="18" t="s">
        <v>1950</v>
      </c>
      <c r="E12118" s="18" t="s">
        <v>45208</v>
      </c>
      <c r="F12118" s="18" t="str">
        <f>IFERROR(__XLUDF.DUMMYFUNCTION("PROPER(REGEXREPLACE(D186,""[^A-Za-z]+ "",""""))"),"Daussy Constructions Métalliques")</f>
        <v xml:space="preserve">Daussy Constructions Métalliques</v>
      </c>
      <c r="G12118" s="18" t="s">
        <v>45209</v>
      </c>
      <c r="H12118" s="18">
        <v>19</v>
      </c>
      <c r="I12118" s="18" t="s">
        <v>9239</v>
      </c>
      <c r="J12118" s="18" t="str">
        <f>IFERROR(__XLUDF.DUMMYFUNCTION("VLOOKUP(M186,IMPORTRANGE(""https://docs.google.com/spreadsheets/d/1opm6ZNvGZ7KditA9TuJwrZ25eFLfTNIkrNnY6mhV5Eg"",""list!A1:C115""),3,TRUE)"),"le secteur de la production alimentaire")</f>
        <v xml:space="preserve">le secteur de la production alimentaire</v>
      </c>
      <c r="K12118" s="5" t="s">
        <v>45210</v>
      </c>
      <c r="L12118" s="5" t="s">
        <v>45211</v>
      </c>
      <c r="M12118" s="18" t="s">
        <v>846</v>
      </c>
      <c r="N12118" s="18" t="s">
        <v>29</v>
      </c>
      <c r="O12118" s="18" t="s">
        <v>45212</v>
      </c>
      <c r="P12118" s="18" t="s">
        <v>29</v>
      </c>
      <c r="Q12118" s="6"/>
      <c r="R12118" s="6"/>
      <c r="S12118" s="6"/>
      <c r="T12118" s="6"/>
      <c r="U12118" s="6"/>
      <c r="V12118" s="6"/>
      <c r="W12118" s="6"/>
      <c r="X12118" s="6"/>
    </row>
    <row r="12119" ht="14.25">
      <c r="B12119" s="18" t="s">
        <v>6945</v>
      </c>
      <c r="C12119" s="18" t="s">
        <v>50724</v>
      </c>
      <c r="D12119" s="18" t="s">
        <v>112</v>
      </c>
      <c r="E12119" s="18" t="s">
        <v>50725</v>
      </c>
      <c r="F12119" s="18" t="str">
        <f>IFERROR(__XLUDF.DUMMYFUNCTION("PROPER(REGEXREPLACE(D187,""[^A-Za-z]+ "",""""))"),"Sas Suchet")</f>
        <v xml:space="preserve">Sas Suchet</v>
      </c>
      <c r="G12119" s="18" t="s">
        <v>50726</v>
      </c>
      <c r="H12119" s="18">
        <v>15</v>
      </c>
      <c r="I12119" s="18" t="s">
        <v>9239</v>
      </c>
      <c r="J12119" s="18" t="str">
        <f>IFERROR(__XLUDF.DUMMYFUNCTION("VLOOKUP(M187,IMPORTRANGE(""https://docs.google.com/spreadsheets/d/1opm6ZNvGZ7KditA9TuJwrZ25eFLfTNIkrNnY6mhV5Eg"",""list!A1:C115""),3,TRUE)"),"le secteur de la production alimentaire")</f>
        <v xml:space="preserve">le secteur de la production alimentaire</v>
      </c>
      <c r="K12119" s="5" t="s">
        <v>50727</v>
      </c>
      <c r="L12119" s="5" t="s">
        <v>50728</v>
      </c>
      <c r="M12119" s="18" t="s">
        <v>50729</v>
      </c>
      <c r="N12119" s="18" t="s">
        <v>29</v>
      </c>
      <c r="O12119" s="18" t="s">
        <v>50730</v>
      </c>
      <c r="P12119" s="18" t="s">
        <v>29</v>
      </c>
      <c r="Q12119" s="18" t="s">
        <v>50731</v>
      </c>
      <c r="R12119" s="6"/>
      <c r="S12119" s="6"/>
      <c r="T12119" s="6"/>
      <c r="U12119" s="6"/>
      <c r="V12119" s="6"/>
      <c r="W12119" s="6"/>
      <c r="X12119" s="6"/>
    </row>
    <row r="12120" ht="14.25">
      <c r="B12120" s="18" t="s">
        <v>931</v>
      </c>
      <c r="C12120" s="18" t="s">
        <v>46267</v>
      </c>
      <c r="D12120" s="18" t="s">
        <v>1130</v>
      </c>
      <c r="E12120" s="18" t="s">
        <v>46268</v>
      </c>
      <c r="F12120" s="18" t="str">
        <f>IFERROR(__XLUDF.DUMMYFUNCTION("PROPER(REGEXREPLACE(D188,""[^A-Za-z]+ "",""""))"),"Puel Génie Climatique")</f>
        <v xml:space="preserve">Puel Génie Climatique</v>
      </c>
      <c r="G12120" s="18" t="s">
        <v>46269</v>
      </c>
      <c r="H12120" s="18">
        <v>21</v>
      </c>
      <c r="I12120" s="18" t="s">
        <v>9239</v>
      </c>
      <c r="J12120" s="18" t="str">
        <f>IFERROR(__XLUDF.DUMMYFUNCTION("VLOOKUP(M188,IMPORTRANGE(""https://docs.google.com/spreadsheets/d/1opm6ZNvGZ7KditA9TuJwrZ25eFLfTNIkrNnY6mhV5Eg"",""list!A1:C115""),3,TRUE)"),"le secteur de la production alimentaire")</f>
        <v xml:space="preserve">le secteur de la production alimentaire</v>
      </c>
      <c r="K12120" s="5" t="s">
        <v>46270</v>
      </c>
      <c r="L12120" s="5" t="s">
        <v>46271</v>
      </c>
      <c r="M12120" s="6"/>
      <c r="N12120" s="18" t="s">
        <v>29</v>
      </c>
      <c r="O12120" s="18" t="s">
        <v>46272</v>
      </c>
      <c r="P12120" s="18" t="s">
        <v>29</v>
      </c>
      <c r="Q12120" s="6"/>
      <c r="R12120" s="6"/>
      <c r="S12120" s="6"/>
      <c r="T12120" s="6"/>
      <c r="U12120" s="6"/>
      <c r="V12120" s="6"/>
      <c r="W12120" s="6"/>
      <c r="X12120" s="6"/>
    </row>
    <row r="12121" ht="14.25">
      <c r="B12121" s="18" t="s">
        <v>48449</v>
      </c>
      <c r="C12121" s="18" t="s">
        <v>10732</v>
      </c>
      <c r="D12121" s="18" t="s">
        <v>172</v>
      </c>
      <c r="E12121" s="18" t="s">
        <v>10734</v>
      </c>
      <c r="F12121" s="18" t="str">
        <f>IFERROR(__XLUDF.DUMMYFUNCTION("PROPER(REGEXREPLACE(D189,""[^A-Za-z]+ "",""""))"),"C2Tmi")</f>
        <v>C2Tmi</v>
      </c>
      <c r="G12121" s="18" t="s">
        <v>48450</v>
      </c>
      <c r="H12121" s="18">
        <v>13</v>
      </c>
      <c r="I12121" s="18" t="s">
        <v>9239</v>
      </c>
      <c r="J12121" s="18" t="str">
        <f>IFERROR(__XLUDF.DUMMYFUNCTION("VLOOKUP(M189,IMPORTRANGE(""https://docs.google.com/spreadsheets/d/1opm6ZNvGZ7KditA9TuJwrZ25eFLfTNIkrNnY6mhV5Eg"",""list!A1:C115""),3,TRUE)"),"le secteur de la production alimentaire")</f>
        <v xml:space="preserve">le secteur de la production alimentaire</v>
      </c>
      <c r="K12121" s="5" t="s">
        <v>48451</v>
      </c>
      <c r="L12121" s="5" t="s">
        <v>48452</v>
      </c>
      <c r="M12121" s="18" t="s">
        <v>3898</v>
      </c>
      <c r="N12121" s="18" t="s">
        <v>29</v>
      </c>
      <c r="O12121" s="18" t="s">
        <v>48453</v>
      </c>
      <c r="P12121" s="18" t="s">
        <v>29</v>
      </c>
      <c r="Q12121" s="6"/>
      <c r="R12121" s="6"/>
      <c r="S12121" s="6"/>
      <c r="T12121" s="6"/>
      <c r="U12121" s="6"/>
      <c r="V12121" s="6"/>
      <c r="W12121" s="6"/>
      <c r="X12121" s="6"/>
    </row>
    <row r="12122" ht="14.25">
      <c r="B12122" s="18" t="s">
        <v>769</v>
      </c>
      <c r="C12122" s="18" t="s">
        <v>9500</v>
      </c>
      <c r="D12122" s="18" t="s">
        <v>112</v>
      </c>
      <c r="E12122" s="18" t="s">
        <v>44923</v>
      </c>
      <c r="F12122" s="18" t="str">
        <f>IFERROR(__XLUDF.DUMMYFUNCTION("PROPER(REGEXREPLACE(D190,""[^A-Za-z]+ "",""""))"),"Canal Sanit-Air")</f>
        <v xml:space="preserve">Canal Sanit-Air</v>
      </c>
      <c r="G12122" s="18" t="s">
        <v>44924</v>
      </c>
      <c r="H12122" s="18">
        <v>12</v>
      </c>
      <c r="I12122" s="18" t="s">
        <v>9239</v>
      </c>
      <c r="J12122" s="18" t="str">
        <f>IFERROR(__XLUDF.DUMMYFUNCTION("VLOOKUP(M190,IMPORTRANGE(""https://docs.google.com/spreadsheets/d/1opm6ZNvGZ7KditA9TuJwrZ25eFLfTNIkrNnY6mhV5Eg"",""list!A1:C115""),3,TRUE)"),"le secteur de la production alimentaire")</f>
        <v xml:space="preserve">le secteur de la production alimentaire</v>
      </c>
      <c r="K12122" s="5" t="s">
        <v>44925</v>
      </c>
      <c r="L12122" s="5" t="s">
        <v>44926</v>
      </c>
      <c r="M12122" s="18" t="s">
        <v>774</v>
      </c>
      <c r="N12122" s="18" t="s">
        <v>29</v>
      </c>
      <c r="O12122" s="18" t="s">
        <v>44927</v>
      </c>
      <c r="P12122" s="18" t="s">
        <v>29</v>
      </c>
      <c r="Q12122" s="6"/>
      <c r="R12122" s="6"/>
      <c r="S12122" s="6"/>
      <c r="T12122" s="6"/>
      <c r="U12122" s="6"/>
      <c r="V12122" s="6"/>
      <c r="W12122" s="6"/>
      <c r="X12122" s="6"/>
    </row>
    <row r="12123" ht="14.25">
      <c r="B12123" s="18" t="s">
        <v>42694</v>
      </c>
      <c r="C12123" s="18" t="s">
        <v>50505</v>
      </c>
      <c r="D12123" s="18" t="s">
        <v>112</v>
      </c>
      <c r="E12123" s="18" t="s">
        <v>50506</v>
      </c>
      <c r="F12123" s="18" t="str">
        <f>IFERROR(__XLUDF.DUMMYFUNCTION("PROPER(REGEXREPLACE(D191,""[^A-Za-z]+ "",""""))"),"Laboratoire Ceapic")</f>
        <v xml:space="preserve">Laboratoire Ceapic</v>
      </c>
      <c r="G12123" s="18" t="s">
        <v>50507</v>
      </c>
      <c r="H12123" s="18">
        <v>30</v>
      </c>
      <c r="I12123" s="18" t="s">
        <v>9239</v>
      </c>
      <c r="J12123" s="18" t="str">
        <f>IFERROR(__XLUDF.DUMMYFUNCTION("VLOOKUP(M191,IMPORTRANGE(""https://docs.google.com/spreadsheets/d/1opm6ZNvGZ7KditA9TuJwrZ25eFLfTNIkrNnY6mhV5Eg"",""list!A1:C115""),3,TRUE)"),"le secteur de la production alimentaire")</f>
        <v xml:space="preserve">le secteur de la production alimentaire</v>
      </c>
      <c r="K12123" s="5" t="s">
        <v>55853</v>
      </c>
      <c r="L12123" s="5" t="s">
        <v>50509</v>
      </c>
      <c r="M12123" s="6"/>
      <c r="N12123" s="18" t="s">
        <v>29</v>
      </c>
      <c r="O12123" s="18" t="s">
        <v>50510</v>
      </c>
      <c r="P12123" s="18" t="s">
        <v>29</v>
      </c>
      <c r="Q12123" s="18" t="s">
        <v>50511</v>
      </c>
      <c r="R12123" s="6"/>
      <c r="S12123" s="6"/>
      <c r="T12123" s="6"/>
      <c r="U12123" s="6"/>
      <c r="V12123" s="6"/>
      <c r="W12123" s="6"/>
      <c r="X12123" s="6"/>
    </row>
    <row r="12124" ht="14.25">
      <c r="B12124" s="18" t="s">
        <v>769</v>
      </c>
      <c r="C12124" s="18" t="s">
        <v>50896</v>
      </c>
      <c r="D12124" s="18" t="s">
        <v>50897</v>
      </c>
      <c r="E12124" s="18" t="s">
        <v>50898</v>
      </c>
      <c r="F12124" s="18" t="str">
        <f>IFERROR(__XLUDF.DUMMYFUNCTION("PROPER(REGEXREPLACE(D192,""[^A-Za-z]+ "",""""))"),"Isovoo")</f>
        <v>Isovoo</v>
      </c>
      <c r="G12124" s="18" t="s">
        <v>50899</v>
      </c>
      <c r="H12124" s="18">
        <v>10</v>
      </c>
      <c r="I12124" s="18" t="s">
        <v>9239</v>
      </c>
      <c r="J12124" s="18" t="str">
        <f>IFERROR(__XLUDF.DUMMYFUNCTION("VLOOKUP(M192,IMPORTRANGE(""https://docs.google.com/spreadsheets/d/1opm6ZNvGZ7KditA9TuJwrZ25eFLfTNIkrNnY6mhV5Eg"",""list!A1:C115""),3,TRUE)"),"le secteur de la production alimentaire")</f>
        <v xml:space="preserve">le secteur de la production alimentaire</v>
      </c>
      <c r="K12124" s="5" t="s">
        <v>55854</v>
      </c>
      <c r="L12124" s="5" t="s">
        <v>50901</v>
      </c>
      <c r="M12124" s="18" t="s">
        <v>50902</v>
      </c>
      <c r="N12124" s="18" t="s">
        <v>29</v>
      </c>
      <c r="O12124" s="18" t="s">
        <v>50903</v>
      </c>
      <c r="P12124" s="18" t="s">
        <v>29</v>
      </c>
      <c r="Q12124" s="18" t="s">
        <v>50904</v>
      </c>
      <c r="R12124" s="6"/>
      <c r="S12124" s="6"/>
      <c r="T12124" s="6"/>
      <c r="U12124" s="6"/>
      <c r="V12124" s="6"/>
      <c r="W12124" s="6"/>
      <c r="X12124" s="6"/>
    </row>
    <row r="12125" ht="14.25">
      <c r="B12125" s="18" t="s">
        <v>13010</v>
      </c>
      <c r="C12125" s="18" t="s">
        <v>47302</v>
      </c>
      <c r="D12125" s="18" t="s">
        <v>9532</v>
      </c>
      <c r="E12125" s="18" t="s">
        <v>47303</v>
      </c>
      <c r="F12125" s="18" t="str">
        <f>IFERROR(__XLUDF.DUMMYFUNCTION("PROPER(REGEXREPLACE(D193,""[^A-Za-z]+ "",""""))"),"Sc Floriot")</f>
        <v xml:space="preserve">Sc Floriot</v>
      </c>
      <c r="G12125" s="18" t="s">
        <v>47304</v>
      </c>
      <c r="H12125" s="18">
        <v>46</v>
      </c>
      <c r="I12125" s="18" t="s">
        <v>9239</v>
      </c>
      <c r="J12125" s="18" t="str">
        <f>IFERROR(__XLUDF.DUMMYFUNCTION("VLOOKUP(M193,IMPORTRANGE(""https://docs.google.com/spreadsheets/d/1opm6ZNvGZ7KditA9TuJwrZ25eFLfTNIkrNnY6mhV5Eg"",""list!A1:C115""),3,TRUE)"),"le secteur de la production alimentaire")</f>
        <v xml:space="preserve">le secteur de la production alimentaire</v>
      </c>
      <c r="K12125" s="5" t="s">
        <v>47305</v>
      </c>
      <c r="L12125" s="5" t="s">
        <v>47306</v>
      </c>
      <c r="M12125" s="18" t="s">
        <v>185</v>
      </c>
      <c r="N12125" s="18" t="s">
        <v>29</v>
      </c>
      <c r="O12125" s="18" t="s">
        <v>47130</v>
      </c>
      <c r="P12125" s="18" t="s">
        <v>29</v>
      </c>
      <c r="Q12125" s="18" t="s">
        <v>47307</v>
      </c>
      <c r="R12125" s="6"/>
      <c r="S12125" s="6"/>
      <c r="T12125" s="6"/>
      <c r="U12125" s="6"/>
      <c r="V12125" s="6"/>
      <c r="W12125" s="6"/>
      <c r="X12125" s="6"/>
    </row>
    <row r="12126" ht="14.25">
      <c r="B12126" s="18" t="s">
        <v>661</v>
      </c>
      <c r="C12126" s="18" t="s">
        <v>52002</v>
      </c>
      <c r="D12126" s="18" t="s">
        <v>172</v>
      </c>
      <c r="E12126" s="18" t="s">
        <v>52003</v>
      </c>
      <c r="F12126" s="18" t="str">
        <f>IFERROR(__XLUDF.DUMMYFUNCTION("PROPER(REGEXREPLACE(D194,""[^A-Za-z]+ "",""""))"),"Desneux")</f>
        <v>Desneux</v>
      </c>
      <c r="G12126" s="18" t="s">
        <v>52004</v>
      </c>
      <c r="H12126" s="18">
        <v>31</v>
      </c>
      <c r="I12126" s="18" t="s">
        <v>9239</v>
      </c>
      <c r="J12126" s="18" t="str">
        <f>IFERROR(__XLUDF.DUMMYFUNCTION("VLOOKUP(M194,IMPORTRANGE(""https://docs.google.com/spreadsheets/d/1opm6ZNvGZ7KditA9TuJwrZ25eFLfTNIkrNnY6mhV5Eg"",""list!A1:C115""),3,TRUE)"),"le secteur de la production alimentaire")</f>
        <v xml:space="preserve">le secteur de la production alimentaire</v>
      </c>
      <c r="K12126" s="5" t="s">
        <v>52005</v>
      </c>
      <c r="L12126" s="5" t="s">
        <v>52006</v>
      </c>
      <c r="M12126" s="6"/>
      <c r="N12126" s="18" t="s">
        <v>29</v>
      </c>
      <c r="O12126" s="18" t="s">
        <v>52007</v>
      </c>
      <c r="P12126" s="18" t="s">
        <v>29</v>
      </c>
      <c r="Q12126" s="6"/>
      <c r="R12126" s="6"/>
      <c r="S12126" s="6"/>
      <c r="T12126" s="6"/>
      <c r="U12126" s="6"/>
      <c r="V12126" s="6"/>
      <c r="W12126" s="6"/>
      <c r="X12126" s="6"/>
    </row>
    <row r="12127" ht="14.25">
      <c r="B12127" s="18" t="s">
        <v>13010</v>
      </c>
      <c r="C12127" s="18" t="s">
        <v>48789</v>
      </c>
      <c r="D12127" s="18" t="s">
        <v>26346</v>
      </c>
      <c r="E12127" s="18" t="s">
        <v>48790</v>
      </c>
      <c r="F12127" s="18" t="str">
        <f>IFERROR(__XLUDF.DUMMYFUNCTION("PROPER(REGEXREPLACE(D195,""[^A-Za-z]+ "",""""))"),"Innovia Developpement")</f>
        <v xml:space="preserve">Innovia Developpement</v>
      </c>
      <c r="G12127" s="18" t="s">
        <v>48791</v>
      </c>
      <c r="H12127" s="18">
        <v>12</v>
      </c>
      <c r="I12127" s="18" t="s">
        <v>9239</v>
      </c>
      <c r="J12127" s="18" t="str">
        <f>IFERROR(__XLUDF.DUMMYFUNCTION("VLOOKUP(M195,IMPORTRANGE(""https://docs.google.com/spreadsheets/d/1opm6ZNvGZ7KditA9TuJwrZ25eFLfTNIkrNnY6mhV5Eg"",""list!A1:C115""),3,TRUE)"),"le secteur de la production alimentaire")</f>
        <v xml:space="preserve">le secteur de la production alimentaire</v>
      </c>
      <c r="K12127" s="5" t="s">
        <v>48792</v>
      </c>
      <c r="L12127" s="5" t="s">
        <v>48793</v>
      </c>
      <c r="M12127" s="18" t="s">
        <v>39</v>
      </c>
      <c r="N12127" s="18" t="s">
        <v>29</v>
      </c>
      <c r="O12127" s="18" t="s">
        <v>48794</v>
      </c>
      <c r="P12127" s="18" t="s">
        <v>29</v>
      </c>
      <c r="Q12127" s="6"/>
      <c r="R12127" s="6"/>
      <c r="S12127" s="6"/>
      <c r="T12127" s="6"/>
      <c r="U12127" s="6"/>
      <c r="V12127" s="6"/>
      <c r="W12127" s="6"/>
      <c r="X12127" s="6"/>
    </row>
    <row r="12128" ht="14.25">
      <c r="B12128" s="18" t="s">
        <v>13010</v>
      </c>
      <c r="C12128" s="18" t="s">
        <v>11139</v>
      </c>
      <c r="D12128" s="18" t="s">
        <v>487</v>
      </c>
      <c r="E12128" s="18" t="s">
        <v>48467</v>
      </c>
      <c r="F12128" s="18" t="str">
        <f>IFERROR(__XLUDF.DUMMYFUNCTION("PROPER(REGEXREPLACE(D196,""[^A-Za-z]+ "",""""))"),"Tpboutté")</f>
        <v>Tpboutté</v>
      </c>
      <c r="G12128" s="18" t="s">
        <v>48468</v>
      </c>
      <c r="H12128" s="18">
        <v>23</v>
      </c>
      <c r="I12128" s="18" t="s">
        <v>9239</v>
      </c>
      <c r="J12128" s="18" t="str">
        <f>IFERROR(__XLUDF.DUMMYFUNCTION("VLOOKUP(M196,IMPORTRANGE(""https://docs.google.com/spreadsheets/d/1opm6ZNvGZ7KditA9TuJwrZ25eFLfTNIkrNnY6mhV5Eg"",""list!A1:C115""),3,TRUE)"),"le secteur de la production alimentaire")</f>
        <v xml:space="preserve">le secteur de la production alimentaire</v>
      </c>
      <c r="K12128" s="5" t="s">
        <v>48469</v>
      </c>
      <c r="L12128" s="5" t="s">
        <v>48470</v>
      </c>
      <c r="M12128" s="18" t="s">
        <v>48471</v>
      </c>
      <c r="N12128" s="18" t="s">
        <v>29</v>
      </c>
      <c r="O12128" s="18" t="s">
        <v>48472</v>
      </c>
      <c r="P12128" s="18" t="s">
        <v>29</v>
      </c>
      <c r="Q12128" s="18" t="s">
        <v>48473</v>
      </c>
      <c r="R12128" s="6"/>
      <c r="S12128" s="6"/>
      <c r="T12128" s="6"/>
      <c r="U12128" s="6"/>
      <c r="V12128" s="6"/>
      <c r="W12128" s="6"/>
      <c r="X12128" s="6"/>
    </row>
    <row r="12129" ht="14.25">
      <c r="B12129" s="18" t="s">
        <v>13010</v>
      </c>
      <c r="C12129" s="18" t="s">
        <v>47075</v>
      </c>
      <c r="D12129" s="18" t="s">
        <v>172</v>
      </c>
      <c r="E12129" s="18" t="s">
        <v>47076</v>
      </c>
      <c r="F12129" s="18" t="str">
        <f>IFERROR(__XLUDF.DUMMYFUNCTION("PROPER(REGEXREPLACE(D197,""[^A-Za-z]+ "",""""))"),"Socodip")</f>
        <v>Socodip</v>
      </c>
      <c r="G12129" s="18" t="s">
        <v>47077</v>
      </c>
      <c r="H12129" s="18">
        <v>17</v>
      </c>
      <c r="I12129" s="18" t="s">
        <v>9239</v>
      </c>
      <c r="J12129" s="18" t="str">
        <f>IFERROR(__XLUDF.DUMMYFUNCTION("VLOOKUP(M197,IMPORTRANGE(""https://docs.google.com/spreadsheets/d/1opm6ZNvGZ7KditA9TuJwrZ25eFLfTNIkrNnY6mhV5Eg"",""list!A1:C115""),3,TRUE)"),"le secteur de la production alimentaire")</f>
        <v xml:space="preserve">le secteur de la production alimentaire</v>
      </c>
      <c r="K12129" s="5" t="s">
        <v>47078</v>
      </c>
      <c r="L12129" s="5" t="s">
        <v>47079</v>
      </c>
      <c r="M12129" s="18" t="s">
        <v>47080</v>
      </c>
      <c r="N12129" s="18" t="s">
        <v>29</v>
      </c>
      <c r="O12129" s="18" t="s">
        <v>47081</v>
      </c>
      <c r="P12129" s="18" t="s">
        <v>29</v>
      </c>
      <c r="Q12129" s="18" t="s">
        <v>47082</v>
      </c>
      <c r="R12129" s="6"/>
      <c r="S12129" s="6"/>
      <c r="T12129" s="6"/>
      <c r="U12129" s="6"/>
      <c r="V12129" s="6"/>
      <c r="W12129" s="6"/>
      <c r="X12129" s="6"/>
    </row>
    <row r="12130" ht="14.25">
      <c r="B12130" s="18" t="s">
        <v>13010</v>
      </c>
      <c r="C12130" s="18" t="s">
        <v>48322</v>
      </c>
      <c r="D12130" s="18" t="s">
        <v>112</v>
      </c>
      <c r="E12130" s="18" t="s">
        <v>48323</v>
      </c>
      <c r="F12130" s="18" t="str">
        <f>IFERROR(__XLUDF.DUMMYFUNCTION("PROPER(REGEXREPLACE(D198,""[^A-Za-z]+ "",""""))"),"Gesys Ingénierie")</f>
        <v xml:space="preserve">Gesys Ingénierie</v>
      </c>
      <c r="G12130" s="18" t="s">
        <v>48324</v>
      </c>
      <c r="H12130" s="18">
        <v>22</v>
      </c>
      <c r="I12130" s="18" t="s">
        <v>9239</v>
      </c>
      <c r="J12130" s="18" t="str">
        <f>IFERROR(__XLUDF.DUMMYFUNCTION("VLOOKUP(M198,IMPORTRANGE(""https://docs.google.com/spreadsheets/d/1opm6ZNvGZ7KditA9TuJwrZ25eFLfTNIkrNnY6mhV5Eg"",""list!A1:C115""),3,TRUE)"),"le secteur de la production alimentaire")</f>
        <v xml:space="preserve">le secteur de la production alimentaire</v>
      </c>
      <c r="K12130" s="5" t="s">
        <v>48325</v>
      </c>
      <c r="L12130" s="5" t="s">
        <v>48326</v>
      </c>
      <c r="M12130" s="18" t="s">
        <v>39</v>
      </c>
      <c r="N12130" s="18" t="s">
        <v>29</v>
      </c>
      <c r="O12130" s="18" t="s">
        <v>48327</v>
      </c>
      <c r="P12130" s="18" t="s">
        <v>29</v>
      </c>
      <c r="Q12130" s="6"/>
      <c r="R12130" s="6"/>
      <c r="S12130" s="6"/>
      <c r="T12130" s="6"/>
      <c r="U12130" s="6"/>
      <c r="V12130" s="6"/>
      <c r="W12130" s="6"/>
      <c r="X12130" s="6"/>
    </row>
    <row r="12131" ht="14.25">
      <c r="B12131" s="18" t="s">
        <v>13010</v>
      </c>
      <c r="C12131" s="18" t="s">
        <v>52763</v>
      </c>
      <c r="D12131" s="18" t="s">
        <v>112</v>
      </c>
      <c r="E12131" s="18" t="s">
        <v>52764</v>
      </c>
      <c r="F12131" s="18" t="str">
        <f>IFERROR(__XLUDF.DUMMYFUNCTION("PROPER(REGEXREPLACE(D199,""[^A-Za-z]+ "",""""))"),"Smcb")</f>
        <v>Smcb</v>
      </c>
      <c r="G12131" s="18" t="s">
        <v>52765</v>
      </c>
      <c r="H12131" s="18">
        <v>18</v>
      </c>
      <c r="I12131" s="18" t="s">
        <v>9239</v>
      </c>
      <c r="J12131" s="18" t="str">
        <f>IFERROR(__XLUDF.DUMMYFUNCTION("VLOOKUP(M199,IMPORTRANGE(""https://docs.google.com/spreadsheets/d/1opm6ZNvGZ7KditA9TuJwrZ25eFLfTNIkrNnY6mhV5Eg"",""list!A1:C115""),3,TRUE)"),"le secteur de la production alimentaire")</f>
        <v xml:space="preserve">le secteur de la production alimentaire</v>
      </c>
      <c r="K12131" s="5" t="s">
        <v>52766</v>
      </c>
      <c r="L12131" s="5" t="s">
        <v>52767</v>
      </c>
      <c r="M12131" s="18" t="s">
        <v>52768</v>
      </c>
      <c r="N12131" s="18" t="s">
        <v>29</v>
      </c>
      <c r="O12131" s="18" t="s">
        <v>52769</v>
      </c>
      <c r="P12131" s="18" t="s">
        <v>29</v>
      </c>
      <c r="Q12131" s="6"/>
      <c r="R12131" s="6"/>
      <c r="S12131" s="6"/>
      <c r="T12131" s="6"/>
      <c r="U12131" s="6"/>
      <c r="V12131" s="6"/>
      <c r="W12131" s="6"/>
      <c r="X12131" s="6"/>
    </row>
    <row r="12132" ht="14.25">
      <c r="B12132" s="18" t="s">
        <v>21744</v>
      </c>
      <c r="C12132" s="18" t="s">
        <v>46747</v>
      </c>
      <c r="D12132" s="18" t="s">
        <v>172</v>
      </c>
      <c r="E12132" s="18" t="s">
        <v>10424</v>
      </c>
      <c r="F12132" s="18" t="str">
        <f>IFERROR(__XLUDF.DUMMYFUNCTION("PROPER(REGEXREPLACE(D200,""[^A-Za-z]+ "",""""))"),"Groupe Bardec")</f>
        <v xml:space="preserve">Groupe Bardec</v>
      </c>
      <c r="G12132" s="18" t="s">
        <v>46748</v>
      </c>
      <c r="H12132" s="18">
        <v>10</v>
      </c>
      <c r="I12132" s="18" t="s">
        <v>9239</v>
      </c>
      <c r="J12132" s="18" t="str">
        <f>IFERROR(__XLUDF.DUMMYFUNCTION("VLOOKUP(M200,IMPORTRANGE(""https://docs.google.com/spreadsheets/d/1opm6ZNvGZ7KditA9TuJwrZ25eFLfTNIkrNnY6mhV5Eg"",""list!A1:C115""),3,TRUE)"),"le secteur de la production alimentaire")</f>
        <v xml:space="preserve">le secteur de la production alimentaire</v>
      </c>
      <c r="K12132" s="5" t="s">
        <v>46749</v>
      </c>
      <c r="L12132" s="5" t="s">
        <v>55855</v>
      </c>
      <c r="M12132" s="18" t="s">
        <v>46751</v>
      </c>
      <c r="N12132" s="18" t="s">
        <v>29</v>
      </c>
      <c r="O12132" s="18" t="s">
        <v>46752</v>
      </c>
      <c r="P12132" s="18" t="s">
        <v>29</v>
      </c>
      <c r="Q12132" s="6"/>
      <c r="R12132" s="6"/>
      <c r="S12132" s="6"/>
      <c r="T12132" s="6"/>
      <c r="U12132" s="6"/>
      <c r="V12132" s="6"/>
      <c r="W12132" s="6"/>
      <c r="X12132" s="6"/>
    </row>
    <row r="12133" ht="14.25">
      <c r="B12133" s="18" t="s">
        <v>18475</v>
      </c>
      <c r="C12133" s="18" t="s">
        <v>2410</v>
      </c>
      <c r="D12133" s="18" t="s">
        <v>120</v>
      </c>
      <c r="E12133" s="18" t="s">
        <v>50095</v>
      </c>
      <c r="F12133" s="18" t="str">
        <f>IFERROR(__XLUDF.DUMMYFUNCTION("PROPER(REGEXREPLACE(D201,""[^A-Za-z]+ "",""""))"),"Ad Validem")</f>
        <v xml:space="preserve">Ad Validem</v>
      </c>
      <c r="G12133" s="18" t="s">
        <v>52960</v>
      </c>
      <c r="H12133" s="18">
        <v>18</v>
      </c>
      <c r="I12133" s="18" t="s">
        <v>9239</v>
      </c>
      <c r="J12133" s="18" t="str">
        <f>IFERROR(__XLUDF.DUMMYFUNCTION("VLOOKUP(M201,IMPORTRANGE(""https://docs.google.com/spreadsheets/d/1opm6ZNvGZ7KditA9TuJwrZ25eFLfTNIkrNnY6mhV5Eg"",""list!A1:C115""),3,TRUE)"),"le secteur de la production alimentaire")</f>
        <v xml:space="preserve">le secteur de la production alimentaire</v>
      </c>
      <c r="K12133" s="5" t="s">
        <v>52961</v>
      </c>
      <c r="L12133" s="5" t="s">
        <v>50098</v>
      </c>
      <c r="M12133" s="18" t="s">
        <v>83</v>
      </c>
      <c r="N12133" s="18" t="s">
        <v>29</v>
      </c>
      <c r="O12133" s="18" t="s">
        <v>50099</v>
      </c>
      <c r="P12133" s="18" t="s">
        <v>29</v>
      </c>
      <c r="Q12133" s="18" t="s">
        <v>50100</v>
      </c>
      <c r="R12133" s="6"/>
      <c r="S12133" s="6"/>
      <c r="T12133" s="6"/>
      <c r="U12133" s="6"/>
      <c r="V12133" s="6"/>
      <c r="W12133" s="6"/>
      <c r="X12133" s="6"/>
    </row>
    <row r="12134" ht="14.25">
      <c r="B12134" s="18" t="s">
        <v>661</v>
      </c>
      <c r="C12134" s="18" t="s">
        <v>45134</v>
      </c>
      <c r="D12134" s="18" t="s">
        <v>172</v>
      </c>
      <c r="E12134" s="18" t="s">
        <v>45135</v>
      </c>
      <c r="F12134" s="18" t="str">
        <f>IFERROR(__XLUDF.DUMMYFUNCTION("PROPER(REGEXREPLACE(D202,""[^A-Za-z]+ "",""""))"),"Sas Eric Lequertier")</f>
        <v xml:space="preserve">Sas Eric Lequertier</v>
      </c>
      <c r="G12134" s="18" t="s">
        <v>45136</v>
      </c>
      <c r="H12134" s="18">
        <v>42</v>
      </c>
      <c r="I12134" s="18" t="s">
        <v>9239</v>
      </c>
      <c r="J12134" s="18" t="str">
        <f>IFERROR(__XLUDF.DUMMYFUNCTION("VLOOKUP(M202,IMPORTRANGE(""https://docs.google.com/spreadsheets/d/1opm6ZNvGZ7KditA9TuJwrZ25eFLfTNIkrNnY6mhV5Eg"",""list!A1:C115""),3,TRUE)"),"le secteur de la production alimentaire")</f>
        <v xml:space="preserve">le secteur de la production alimentaire</v>
      </c>
      <c r="K12134" s="5" t="s">
        <v>45137</v>
      </c>
      <c r="L12134" s="5" t="s">
        <v>45138</v>
      </c>
      <c r="M12134" s="18" t="s">
        <v>1826</v>
      </c>
      <c r="N12134" s="18" t="s">
        <v>29</v>
      </c>
      <c r="O12134" s="18" t="s">
        <v>45139</v>
      </c>
      <c r="P12134" s="18" t="s">
        <v>29</v>
      </c>
      <c r="Q12134" s="18" t="s">
        <v>45140</v>
      </c>
      <c r="R12134" s="6"/>
      <c r="S12134" s="6"/>
      <c r="T12134" s="6"/>
      <c r="U12134" s="6"/>
      <c r="V12134" s="6"/>
      <c r="W12134" s="6"/>
      <c r="X12134" s="6"/>
    </row>
    <row r="12135" ht="14.25">
      <c r="B12135" s="18" t="s">
        <v>1454</v>
      </c>
      <c r="C12135" s="18" t="s">
        <v>45685</v>
      </c>
      <c r="D12135" s="18" t="s">
        <v>172</v>
      </c>
      <c r="E12135" s="18" t="s">
        <v>45686</v>
      </c>
      <c r="F12135" s="18" t="str">
        <f>IFERROR(__XLUDF.DUMMYFUNCTION("PROPER(REGEXREPLACE(D203,""[^A-Za-z]+ "",""""))"),"Proclim_Officiel")</f>
        <v>Proclim_Officiel</v>
      </c>
      <c r="G12135" s="18" t="s">
        <v>45687</v>
      </c>
      <c r="H12135" s="18">
        <v>22</v>
      </c>
      <c r="I12135" s="18" t="s">
        <v>9239</v>
      </c>
      <c r="J12135" s="18" t="str">
        <f>IFERROR(__XLUDF.DUMMYFUNCTION("VLOOKUP(M203,IMPORTRANGE(""https://docs.google.com/spreadsheets/d/1opm6ZNvGZ7KditA9TuJwrZ25eFLfTNIkrNnY6mhV5Eg"",""list!A1:C115""),3,TRUE)"),"le secteur de la production alimentaire")</f>
        <v xml:space="preserve">le secteur de la production alimentaire</v>
      </c>
      <c r="K12135" s="5" t="s">
        <v>45688</v>
      </c>
      <c r="L12135" s="5" t="s">
        <v>45689</v>
      </c>
      <c r="M12135" s="18" t="s">
        <v>26728</v>
      </c>
      <c r="N12135" s="18" t="s">
        <v>29</v>
      </c>
      <c r="O12135" s="18" t="s">
        <v>45690</v>
      </c>
      <c r="P12135" s="18" t="s">
        <v>29</v>
      </c>
      <c r="Q12135" s="18" t="s">
        <v>45691</v>
      </c>
      <c r="R12135" s="6"/>
      <c r="S12135" s="6"/>
      <c r="T12135" s="6"/>
      <c r="U12135" s="6"/>
      <c r="V12135" s="6"/>
      <c r="W12135" s="6"/>
      <c r="X12135" s="6"/>
    </row>
    <row r="12136" ht="14.25">
      <c r="B12136" s="18" t="s">
        <v>48555</v>
      </c>
      <c r="C12136" s="18" t="s">
        <v>48556</v>
      </c>
      <c r="D12136" s="18" t="s">
        <v>1130</v>
      </c>
      <c r="E12136" s="18" t="s">
        <v>45591</v>
      </c>
      <c r="F12136" s="18" t="str">
        <f>IFERROR(__XLUDF.DUMMYFUNCTION("PROPER(REGEXREPLACE(D204,""[^A-Za-z]+ "",""""))"),"Isole Plus Énergies")</f>
        <v xml:space="preserve">Isole Plus Énergies</v>
      </c>
      <c r="G12136" s="18" t="s">
        <v>48557</v>
      </c>
      <c r="H12136" s="18">
        <v>18</v>
      </c>
      <c r="I12136" s="18" t="s">
        <v>9239</v>
      </c>
      <c r="J12136" s="18" t="str">
        <f>IFERROR(__XLUDF.DUMMYFUNCTION("VLOOKUP(M204,IMPORTRANGE(""https://docs.google.com/spreadsheets/d/1opm6ZNvGZ7KditA9TuJwrZ25eFLfTNIkrNnY6mhV5Eg"",""list!A1:C115""),3,TRUE)"),"le secteur de la production alimentaire")</f>
        <v xml:space="preserve">le secteur de la production alimentaire</v>
      </c>
      <c r="K12136" s="5" t="s">
        <v>48558</v>
      </c>
      <c r="L12136" s="5" t="s">
        <v>45594</v>
      </c>
      <c r="M12136" s="18" t="s">
        <v>149</v>
      </c>
      <c r="N12136" s="18" t="s">
        <v>29</v>
      </c>
      <c r="O12136" s="18" t="s">
        <v>45595</v>
      </c>
      <c r="P12136" s="18" t="s">
        <v>29</v>
      </c>
      <c r="Q12136" s="18" t="s">
        <v>45596</v>
      </c>
      <c r="R12136" s="6"/>
      <c r="S12136" s="6"/>
      <c r="T12136" s="6"/>
      <c r="U12136" s="6"/>
      <c r="V12136" s="6"/>
      <c r="W12136" s="6"/>
      <c r="X12136" s="6"/>
    </row>
    <row r="12137" ht="14.25">
      <c r="B12137" s="18" t="s">
        <v>769</v>
      </c>
      <c r="C12137" s="18" t="s">
        <v>10724</v>
      </c>
      <c r="D12137" s="18" t="s">
        <v>112</v>
      </c>
      <c r="E12137" s="18" t="s">
        <v>10726</v>
      </c>
      <c r="F12137" s="18" t="str">
        <f>IFERROR(__XLUDF.DUMMYFUNCTION("PROPER(REGEXREPLACE(D205,""[^A-Za-z]+ "",""""))"),"Harribey Constructions")</f>
        <v xml:space="preserve">Harribey Constructions</v>
      </c>
      <c r="G12137" s="18" t="s">
        <v>53045</v>
      </c>
      <c r="H12137" s="18">
        <v>24</v>
      </c>
      <c r="I12137" s="18" t="s">
        <v>9239</v>
      </c>
      <c r="J12137" s="18" t="str">
        <f>IFERROR(__XLUDF.DUMMYFUNCTION("VLOOKUP(M205,IMPORTRANGE(""https://docs.google.com/spreadsheets/d/1opm6ZNvGZ7KditA9TuJwrZ25eFLfTNIkrNnY6mhV5Eg"",""list!A1:C115""),3,TRUE)"),"le secteur de la production alimentaire")</f>
        <v xml:space="preserve">le secteur de la production alimentaire</v>
      </c>
      <c r="K12137" s="5" t="s">
        <v>53046</v>
      </c>
      <c r="L12137" s="5" t="s">
        <v>53047</v>
      </c>
      <c r="M12137" s="18" t="s">
        <v>243</v>
      </c>
      <c r="N12137" s="18" t="s">
        <v>29</v>
      </c>
      <c r="O12137" s="18" t="s">
        <v>53048</v>
      </c>
      <c r="P12137" s="18" t="s">
        <v>29</v>
      </c>
      <c r="Q12137" s="6"/>
      <c r="R12137" s="6"/>
      <c r="S12137" s="6"/>
      <c r="T12137" s="6"/>
      <c r="U12137" s="6"/>
      <c r="V12137" s="6"/>
      <c r="W12137" s="6"/>
      <c r="X12137" s="6"/>
    </row>
    <row r="12138" ht="14.25">
      <c r="B12138" s="18" t="s">
        <v>26223</v>
      </c>
      <c r="C12138" s="18" t="s">
        <v>46658</v>
      </c>
      <c r="D12138" s="18" t="s">
        <v>3982</v>
      </c>
      <c r="E12138" s="18" t="s">
        <v>46659</v>
      </c>
      <c r="F12138" s="18" t="str">
        <f>IFERROR(__XLUDF.DUMMYFUNCTION("PROPER(REGEXREPLACE(D206,""[^A-Za-z]+ "",""""))"),"Mader Sa")</f>
        <v xml:space="preserve">Mader Sa</v>
      </c>
      <c r="G12138" s="18" t="s">
        <v>52261</v>
      </c>
      <c r="H12138" s="18">
        <v>38</v>
      </c>
      <c r="I12138" s="18" t="s">
        <v>9239</v>
      </c>
      <c r="J12138" s="18" t="str">
        <f>IFERROR(__XLUDF.DUMMYFUNCTION("VLOOKUP(M206,IMPORTRANGE(""https://docs.google.com/spreadsheets/d/1opm6ZNvGZ7KditA9TuJwrZ25eFLfTNIkrNnY6mhV5Eg"",""list!A1:C115""),3,TRUE)"),"le secteur de la production alimentaire")</f>
        <v xml:space="preserve">le secteur de la production alimentaire</v>
      </c>
      <c r="K12138" s="5" t="s">
        <v>52262</v>
      </c>
      <c r="L12138" s="5" t="s">
        <v>46662</v>
      </c>
      <c r="M12138" s="18" t="s">
        <v>7883</v>
      </c>
      <c r="N12138" s="18" t="s">
        <v>29</v>
      </c>
      <c r="O12138" s="18" t="s">
        <v>46663</v>
      </c>
      <c r="P12138" s="18" t="s">
        <v>29</v>
      </c>
      <c r="Q12138" s="18" t="s">
        <v>46664</v>
      </c>
      <c r="R12138" s="6"/>
      <c r="S12138" s="6"/>
      <c r="T12138" s="6"/>
      <c r="U12138" s="6"/>
      <c r="V12138" s="6"/>
      <c r="W12138" s="6"/>
      <c r="X12138" s="6"/>
    </row>
    <row r="12139" ht="14.25">
      <c r="B12139" s="18" t="s">
        <v>4969</v>
      </c>
      <c r="C12139" s="18" t="s">
        <v>51187</v>
      </c>
      <c r="D12139" s="18" t="s">
        <v>1130</v>
      </c>
      <c r="E12139" s="18" t="s">
        <v>51188</v>
      </c>
      <c r="F12139" s="18" t="str">
        <f>IFERROR(__XLUDF.DUMMYFUNCTION("PROPER(REGEXREPLACE(D207,""[^A-Za-z]+ "",""""))"),"Emi Genie Climatique")</f>
        <v xml:space="preserve">Emi Genie Climatique</v>
      </c>
      <c r="G12139" s="18" t="s">
        <v>51189</v>
      </c>
      <c r="H12139" s="18">
        <v>46</v>
      </c>
      <c r="I12139" s="18" t="s">
        <v>9239</v>
      </c>
      <c r="J12139" s="18" t="str">
        <f>IFERROR(__XLUDF.DUMMYFUNCTION("VLOOKUP(M207,IMPORTRANGE(""https://docs.google.com/spreadsheets/d/1opm6ZNvGZ7KditA9TuJwrZ25eFLfTNIkrNnY6mhV5Eg"",""list!A1:C115""),3,TRUE)"),"le secteur de la production alimentaire")</f>
        <v xml:space="preserve">le secteur de la production alimentaire</v>
      </c>
      <c r="K12139" s="5" t="s">
        <v>51190</v>
      </c>
      <c r="L12139" s="5" t="s">
        <v>51191</v>
      </c>
      <c r="M12139" s="18" t="s">
        <v>6480</v>
      </c>
      <c r="N12139" s="18" t="s">
        <v>29</v>
      </c>
      <c r="O12139" s="18" t="s">
        <v>51192</v>
      </c>
      <c r="P12139" s="18" t="s">
        <v>29</v>
      </c>
      <c r="Q12139" s="18" t="s">
        <v>51193</v>
      </c>
      <c r="R12139" s="6"/>
      <c r="S12139" s="6"/>
      <c r="T12139" s="6"/>
      <c r="U12139" s="6"/>
      <c r="V12139" s="6"/>
      <c r="W12139" s="6"/>
      <c r="X12139" s="6"/>
    </row>
    <row r="12140" ht="14.25">
      <c r="B12140" s="18" t="s">
        <v>45797</v>
      </c>
      <c r="C12140" s="18" t="s">
        <v>45798</v>
      </c>
      <c r="D12140" s="18" t="s">
        <v>172</v>
      </c>
      <c r="E12140" s="18" t="s">
        <v>45799</v>
      </c>
      <c r="F12140" s="18" t="str">
        <f>IFERROR(__XLUDF.DUMMYFUNCTION("PROPER(REGEXREPLACE(D208,""[^A-Za-z]+ "",""""))"),"Jme Ingénierie")</f>
        <v xml:space="preserve">Jme Ingénierie</v>
      </c>
      <c r="G12140" s="18" t="s">
        <v>45800</v>
      </c>
      <c r="H12140" s="18">
        <v>12</v>
      </c>
      <c r="I12140" s="18" t="s">
        <v>9239</v>
      </c>
      <c r="J12140" s="18" t="str">
        <f>IFERROR(__XLUDF.DUMMYFUNCTION("VLOOKUP(M208,IMPORTRANGE(""https://docs.google.com/spreadsheets/d/1opm6ZNvGZ7KditA9TuJwrZ25eFLfTNIkrNnY6mhV5Eg"",""list!A1:C115""),3,TRUE)"),"le secteur de la production alimentaire")</f>
        <v xml:space="preserve">le secteur de la production alimentaire</v>
      </c>
      <c r="K12140" s="5" t="s">
        <v>45801</v>
      </c>
      <c r="L12140" s="5" t="s">
        <v>45802</v>
      </c>
      <c r="M12140" s="18" t="s">
        <v>39</v>
      </c>
      <c r="N12140" s="18" t="s">
        <v>29</v>
      </c>
      <c r="O12140" s="18" t="s">
        <v>1986</v>
      </c>
      <c r="P12140" s="18" t="s">
        <v>29</v>
      </c>
      <c r="Q12140" s="6"/>
      <c r="R12140" s="6"/>
      <c r="S12140" s="6"/>
      <c r="T12140" s="6"/>
      <c r="U12140" s="6"/>
      <c r="V12140" s="6"/>
      <c r="W12140" s="6"/>
      <c r="X12140" s="6"/>
    </row>
    <row r="12141" ht="14.25">
      <c r="B12141" s="18" t="s">
        <v>4480</v>
      </c>
      <c r="C12141" s="18" t="s">
        <v>8944</v>
      </c>
      <c r="D12141" s="18" t="s">
        <v>112</v>
      </c>
      <c r="E12141" s="18" t="s">
        <v>52616</v>
      </c>
      <c r="F12141" s="18" t="str">
        <f>IFERROR(__XLUDF.DUMMYFUNCTION("PROPER(REGEXREPLACE(D209,""[^A-Za-z]+ "",""""))"),"Sev Energie")</f>
        <v xml:space="preserve">Sev Energie</v>
      </c>
      <c r="G12141" s="18" t="s">
        <v>52617</v>
      </c>
      <c r="H12141" s="18">
        <v>14</v>
      </c>
      <c r="I12141" s="18" t="s">
        <v>9239</v>
      </c>
      <c r="J12141" s="18" t="str">
        <f>IFERROR(__XLUDF.DUMMYFUNCTION("VLOOKUP(M209,IMPORTRANGE(""https://docs.google.com/spreadsheets/d/1opm6ZNvGZ7KditA9TuJwrZ25eFLfTNIkrNnY6mhV5Eg"",""list!A1:C115""),3,TRUE)"),"le secteur de la production alimentaire")</f>
        <v xml:space="preserve">le secteur de la production alimentaire</v>
      </c>
      <c r="K12141" s="5" t="s">
        <v>52618</v>
      </c>
      <c r="L12141" s="5" t="s">
        <v>52619</v>
      </c>
      <c r="M12141" s="18" t="s">
        <v>846</v>
      </c>
      <c r="N12141" s="18" t="s">
        <v>29</v>
      </c>
      <c r="O12141" s="18" t="s">
        <v>52620</v>
      </c>
      <c r="P12141" s="18" t="s">
        <v>29</v>
      </c>
      <c r="Q12141" s="18" t="s">
        <v>52621</v>
      </c>
      <c r="R12141" s="6"/>
      <c r="S12141" s="6"/>
      <c r="T12141" s="6"/>
      <c r="U12141" s="6"/>
      <c r="V12141" s="6"/>
      <c r="W12141" s="6"/>
      <c r="X12141" s="6"/>
    </row>
    <row r="12142" ht="14.25">
      <c r="B12142" s="18" t="s">
        <v>4115</v>
      </c>
      <c r="C12142" s="18" t="s">
        <v>47801</v>
      </c>
      <c r="D12142" s="18" t="s">
        <v>8042</v>
      </c>
      <c r="E12142" s="18" t="s">
        <v>55856</v>
      </c>
      <c r="F12142" s="18" t="str">
        <f>IFERROR(__XLUDF.DUMMYFUNCTION("PROPER(REGEXREPLACE(D210,""[^A-Za-z]+ "",""""))"),"G2J-Elec")</f>
        <v>G2J-Elec</v>
      </c>
      <c r="G12142" s="18" t="s">
        <v>47803</v>
      </c>
      <c r="H12142" s="18">
        <v>24</v>
      </c>
      <c r="I12142" s="18" t="s">
        <v>9239</v>
      </c>
      <c r="J12142" s="18" t="str">
        <f>IFERROR(__XLUDF.DUMMYFUNCTION("VLOOKUP(M210,IMPORTRANGE(""https://docs.google.com/spreadsheets/d/1opm6ZNvGZ7KditA9TuJwrZ25eFLfTNIkrNnY6mhV5Eg"",""list!A1:C115""),3,TRUE)"),"le secteur de la production alimentaire")</f>
        <v xml:space="preserve">le secteur de la production alimentaire</v>
      </c>
      <c r="K12142" s="5" t="s">
        <v>47804</v>
      </c>
      <c r="L12142" s="5" t="s">
        <v>47805</v>
      </c>
      <c r="M12142" s="18" t="s">
        <v>39</v>
      </c>
      <c r="N12142" s="18" t="s">
        <v>29</v>
      </c>
      <c r="O12142" s="18" t="s">
        <v>47806</v>
      </c>
      <c r="P12142" s="18" t="s">
        <v>29</v>
      </c>
      <c r="Q12142" s="18" t="s">
        <v>47807</v>
      </c>
      <c r="R12142" s="6"/>
      <c r="S12142" s="6"/>
      <c r="T12142" s="6"/>
      <c r="U12142" s="6"/>
      <c r="V12142" s="6"/>
      <c r="W12142" s="6"/>
      <c r="X12142" s="6"/>
    </row>
    <row r="12143" ht="14.25">
      <c r="B12143" s="18" t="s">
        <v>4115</v>
      </c>
      <c r="C12143" s="18" t="s">
        <v>9082</v>
      </c>
      <c r="D12143" s="18" t="s">
        <v>172</v>
      </c>
      <c r="E12143" s="18" t="s">
        <v>49862</v>
      </c>
      <c r="F12143" s="18" t="str">
        <f>IFERROR(__XLUDF.DUMMYFUNCTION("PROPER(REGEXREPLACE(D211,""[^A-Za-z]+ "",""""))"),"Menuiserie Devilloise")</f>
        <v xml:space="preserve">Menuiserie Devilloise</v>
      </c>
      <c r="G12143" s="18" t="s">
        <v>50880</v>
      </c>
      <c r="H12143" s="18">
        <v>30</v>
      </c>
      <c r="I12143" s="18" t="s">
        <v>9239</v>
      </c>
      <c r="J12143" s="18" t="str">
        <f>IFERROR(__XLUDF.DUMMYFUNCTION("VLOOKUP(M211,IMPORTRANGE(""https://docs.google.com/spreadsheets/d/1opm6ZNvGZ7KditA9TuJwrZ25eFLfTNIkrNnY6mhV5Eg"",""list!A1:C115""),3,TRUE)"),"le secteur de la production alimentaire")</f>
        <v xml:space="preserve">le secteur de la production alimentaire</v>
      </c>
      <c r="K12143" s="5" t="s">
        <v>50881</v>
      </c>
      <c r="L12143" s="5" t="s">
        <v>49865</v>
      </c>
      <c r="M12143" s="18" t="s">
        <v>492</v>
      </c>
      <c r="N12143" s="18" t="s">
        <v>29</v>
      </c>
      <c r="O12143" s="18" t="s">
        <v>49866</v>
      </c>
      <c r="P12143" s="18" t="s">
        <v>29</v>
      </c>
      <c r="Q12143" s="6"/>
      <c r="R12143" s="6"/>
      <c r="S12143" s="6"/>
      <c r="T12143" s="6"/>
      <c r="U12143" s="6"/>
      <c r="V12143" s="6"/>
      <c r="W12143" s="6"/>
      <c r="X12143" s="6"/>
    </row>
    <row r="12144" ht="14.25">
      <c r="B12144" s="18" t="s">
        <v>3072</v>
      </c>
      <c r="C12144" s="18" t="s">
        <v>55857</v>
      </c>
      <c r="D12144" s="18" t="s">
        <v>7759</v>
      </c>
      <c r="E12144" s="18" t="s">
        <v>55858</v>
      </c>
      <c r="F12144" s="18" t="str">
        <f>IFERROR(__XLUDF.DUMMYFUNCTION("PROPER(REGEXREPLACE(D212,""[^A-Za-z]+ "",""""))"),"Ingedec")</f>
        <v>Ingedec</v>
      </c>
      <c r="G12144" s="18" t="s">
        <v>55859</v>
      </c>
      <c r="H12144" s="18">
        <v>18</v>
      </c>
      <c r="I12144" s="18" t="s">
        <v>9239</v>
      </c>
      <c r="J12144" s="18" t="str">
        <f>IFERROR(__XLUDF.DUMMYFUNCTION("VLOOKUP(M212,IMPORTRANGE(""https://docs.google.com/spreadsheets/d/1opm6ZNvGZ7KditA9TuJwrZ25eFLfTNIkrNnY6mhV5Eg"",""list!A1:C115""),3,TRUE)"),"le secteur de la production alimentaire")</f>
        <v xml:space="preserve">le secteur de la production alimentaire</v>
      </c>
      <c r="K12144" s="5" t="s">
        <v>55860</v>
      </c>
      <c r="L12144" s="5" t="s">
        <v>55861</v>
      </c>
      <c r="M12144" s="18" t="s">
        <v>20157</v>
      </c>
      <c r="N12144" s="18" t="s">
        <v>29</v>
      </c>
      <c r="O12144" s="18" t="s">
        <v>55862</v>
      </c>
      <c r="P12144" s="18" t="s">
        <v>29</v>
      </c>
      <c r="Q12144" s="18" t="s">
        <v>55863</v>
      </c>
      <c r="R12144" s="6"/>
      <c r="S12144" s="6"/>
      <c r="T12144" s="6"/>
      <c r="U12144" s="6"/>
      <c r="V12144" s="6"/>
      <c r="W12144" s="6"/>
      <c r="X12144" s="6"/>
    </row>
    <row r="12145" ht="14.25">
      <c r="B12145" s="18" t="s">
        <v>26461</v>
      </c>
      <c r="C12145" s="18" t="s">
        <v>51344</v>
      </c>
      <c r="D12145" s="18" t="s">
        <v>62</v>
      </c>
      <c r="E12145" s="18" t="s">
        <v>51345</v>
      </c>
      <c r="F12145" s="18" t="str">
        <f>IFERROR(__XLUDF.DUMMYFUNCTION("PROPER(REGEXREPLACE(D213,""[^A-Za-z]+ "",""""))"),"Baw")</f>
        <v>Baw</v>
      </c>
      <c r="G12145" s="18" t="s">
        <v>51346</v>
      </c>
      <c r="H12145" s="18">
        <v>21</v>
      </c>
      <c r="I12145" s="18" t="s">
        <v>9239</v>
      </c>
      <c r="J12145" s="18" t="str">
        <f>IFERROR(__XLUDF.DUMMYFUNCTION("VLOOKUP(M213,IMPORTRANGE(""https://docs.google.com/spreadsheets/d/1opm6ZNvGZ7KditA9TuJwrZ25eFLfTNIkrNnY6mhV5Eg"",""list!A1:C115""),3,TRUE)"),"le secteur de la production alimentaire")</f>
        <v xml:space="preserve">le secteur de la production alimentaire</v>
      </c>
      <c r="K12145" s="5" t="s">
        <v>51347</v>
      </c>
      <c r="L12145" s="5" t="s">
        <v>51348</v>
      </c>
      <c r="M12145" s="18" t="s">
        <v>39</v>
      </c>
      <c r="N12145" s="18" t="s">
        <v>29</v>
      </c>
      <c r="O12145" s="18" t="s">
        <v>51349</v>
      </c>
      <c r="P12145" s="18" t="s">
        <v>2953</v>
      </c>
      <c r="Q12145" s="18" t="s">
        <v>51350</v>
      </c>
      <c r="R12145" s="6"/>
      <c r="S12145" s="6"/>
      <c r="T12145" s="6"/>
      <c r="U12145" s="6"/>
      <c r="V12145" s="6"/>
      <c r="W12145" s="6"/>
      <c r="X12145" s="6"/>
    </row>
    <row r="12146" ht="14.25">
      <c r="B12146" s="18" t="s">
        <v>785</v>
      </c>
      <c r="C12146" s="18" t="s">
        <v>45692</v>
      </c>
      <c r="D12146" s="18" t="s">
        <v>172</v>
      </c>
      <c r="E12146" s="18" t="s">
        <v>45693</v>
      </c>
      <c r="F12146" s="18" t="str">
        <f>IFERROR(__XLUDF.DUMMYFUNCTION("PROPER(REGEXREPLACE(D214,""[^A-Za-z]+ "",""""))"),"Barcol-Air")</f>
        <v>Barcol-Air</v>
      </c>
      <c r="G12146" s="18" t="s">
        <v>45694</v>
      </c>
      <c r="H12146" s="18">
        <v>28</v>
      </c>
      <c r="I12146" s="18" t="s">
        <v>9239</v>
      </c>
      <c r="J12146" s="18" t="str">
        <f>IFERROR(__XLUDF.DUMMYFUNCTION("VLOOKUP(M214,IMPORTRANGE(""https://docs.google.com/spreadsheets/d/1opm6ZNvGZ7KditA9TuJwrZ25eFLfTNIkrNnY6mhV5Eg"",""list!A1:C115""),3,TRUE)"),"le secteur de la production alimentaire")</f>
        <v xml:space="preserve">le secteur de la production alimentaire</v>
      </c>
      <c r="K12146" s="5" t="s">
        <v>45695</v>
      </c>
      <c r="L12146" s="5" t="s">
        <v>45696</v>
      </c>
      <c r="M12146" s="18" t="s">
        <v>11537</v>
      </c>
      <c r="N12146" s="18" t="s">
        <v>29</v>
      </c>
      <c r="O12146" s="18" t="s">
        <v>45697</v>
      </c>
      <c r="P12146" s="18" t="s">
        <v>29</v>
      </c>
      <c r="Q12146" s="6"/>
      <c r="R12146" s="6"/>
      <c r="S12146" s="6"/>
      <c r="T12146" s="6"/>
      <c r="U12146" s="6"/>
      <c r="V12146" s="6"/>
      <c r="W12146" s="6"/>
      <c r="X12146" s="6"/>
    </row>
    <row r="12147" ht="14.25">
      <c r="B12147" s="18" t="s">
        <v>785</v>
      </c>
      <c r="C12147" s="18" t="s">
        <v>27648</v>
      </c>
      <c r="D12147" s="18" t="s">
        <v>172</v>
      </c>
      <c r="E12147" s="18" t="s">
        <v>52519</v>
      </c>
      <c r="F12147" s="18" t="str">
        <f>IFERROR(__XLUDF.DUMMYFUNCTION("PROPER(REGEXREPLACE(D215,""[^A-Za-z]+ "",""""))"),"Amd Énergies")</f>
        <v xml:space="preserve">Amd Énergies</v>
      </c>
      <c r="G12147" s="18" t="s">
        <v>52520</v>
      </c>
      <c r="H12147" s="18">
        <v>27</v>
      </c>
      <c r="I12147" s="18" t="s">
        <v>9239</v>
      </c>
      <c r="J12147" s="18" t="str">
        <f>IFERROR(__XLUDF.DUMMYFUNCTION("VLOOKUP(M215,IMPORTRANGE(""https://docs.google.com/spreadsheets/d/1opm6ZNvGZ7KditA9TuJwrZ25eFLfTNIkrNnY6mhV5Eg"",""list!A1:C115""),3,TRUE)"),"le secteur de la production alimentaire")</f>
        <v xml:space="preserve">le secteur de la production alimentaire</v>
      </c>
      <c r="K12147" s="5" t="s">
        <v>52521</v>
      </c>
      <c r="L12147" s="5" t="s">
        <v>52522</v>
      </c>
      <c r="M12147" s="6"/>
      <c r="N12147" s="18" t="s">
        <v>29</v>
      </c>
      <c r="O12147" s="18" t="s">
        <v>52523</v>
      </c>
      <c r="P12147" s="18" t="s">
        <v>29</v>
      </c>
      <c r="Q12147" s="6"/>
      <c r="R12147" s="6"/>
      <c r="S12147" s="6"/>
      <c r="T12147" s="6"/>
      <c r="U12147" s="6"/>
      <c r="V12147" s="6"/>
      <c r="W12147" s="6"/>
      <c r="X12147" s="6"/>
    </row>
    <row r="12148" ht="14.25">
      <c r="B12148" s="18" t="s">
        <v>785</v>
      </c>
      <c r="C12148" s="18" t="s">
        <v>6569</v>
      </c>
      <c r="D12148" s="18" t="s">
        <v>7691</v>
      </c>
      <c r="E12148" s="18" t="s">
        <v>46705</v>
      </c>
      <c r="F12148" s="18" t="str">
        <f>IFERROR(__XLUDF.DUMMYFUNCTION("PROPER(REGEXREPLACE(D216,""[^A-Za-z]+ "",""""))"),"Tracktor")</f>
        <v>Tracktor</v>
      </c>
      <c r="G12148" s="18" t="s">
        <v>46706</v>
      </c>
      <c r="H12148" s="18">
        <v>39</v>
      </c>
      <c r="I12148" s="18" t="s">
        <v>9239</v>
      </c>
      <c r="J12148" s="18" t="str">
        <f>IFERROR(__XLUDF.DUMMYFUNCTION("VLOOKUP(M216,IMPORTRANGE(""https://docs.google.com/spreadsheets/d/1opm6ZNvGZ7KditA9TuJwrZ25eFLfTNIkrNnY6mhV5Eg"",""list!A1:C115""),3,TRUE)"),"le secteur de la production alimentaire")</f>
        <v xml:space="preserve">le secteur de la production alimentaire</v>
      </c>
      <c r="K12148" s="5" t="s">
        <v>46707</v>
      </c>
      <c r="L12148" s="5" t="s">
        <v>46708</v>
      </c>
      <c r="M12148" s="18" t="s">
        <v>39</v>
      </c>
      <c r="N12148" s="18" t="s">
        <v>29</v>
      </c>
      <c r="O12148" s="18" t="s">
        <v>18467</v>
      </c>
      <c r="P12148" s="18" t="s">
        <v>29</v>
      </c>
      <c r="Q12148" s="18" t="s">
        <v>46709</v>
      </c>
      <c r="R12148" s="6"/>
      <c r="S12148" s="6"/>
      <c r="T12148" s="6"/>
      <c r="U12148" s="6"/>
      <c r="V12148" s="6"/>
      <c r="W12148" s="6"/>
      <c r="X12148" s="6"/>
    </row>
    <row r="12149" ht="14.25">
      <c r="B12149" s="18" t="s">
        <v>785</v>
      </c>
      <c r="C12149" s="18" t="s">
        <v>8041</v>
      </c>
      <c r="D12149" s="18" t="s">
        <v>172</v>
      </c>
      <c r="E12149" s="18" t="s">
        <v>46727</v>
      </c>
      <c r="F12149" s="18" t="str">
        <f>IFERROR(__XLUDF.DUMMYFUNCTION("PROPER(REGEXREPLACE(D217,""[^A-Za-z]+ "",""""))"),"Pierrenoel")</f>
        <v>Pierrenoel</v>
      </c>
      <c r="G12149" s="18" t="s">
        <v>46728</v>
      </c>
      <c r="H12149" s="18">
        <v>24</v>
      </c>
      <c r="I12149" s="18" t="s">
        <v>9239</v>
      </c>
      <c r="J12149" s="18" t="str">
        <f>IFERROR(__XLUDF.DUMMYFUNCTION("VLOOKUP(M217,IMPORTRANGE(""https://docs.google.com/spreadsheets/d/1opm6ZNvGZ7KditA9TuJwrZ25eFLfTNIkrNnY6mhV5Eg"",""list!A1:C115""),3,TRUE)"),"le secteur de la production alimentaire")</f>
        <v xml:space="preserve">le secteur de la production alimentaire</v>
      </c>
      <c r="K12149" s="5" t="s">
        <v>46729</v>
      </c>
      <c r="L12149" s="5" t="s">
        <v>46730</v>
      </c>
      <c r="M12149" s="18" t="s">
        <v>6603</v>
      </c>
      <c r="N12149" s="18" t="s">
        <v>29</v>
      </c>
      <c r="O12149" s="18" t="s">
        <v>46731</v>
      </c>
      <c r="P12149" s="18" t="s">
        <v>29</v>
      </c>
      <c r="Q12149" s="18" t="s">
        <v>11244</v>
      </c>
      <c r="R12149" s="6"/>
      <c r="S12149" s="6"/>
      <c r="T12149" s="6"/>
      <c r="U12149" s="6"/>
      <c r="V12149" s="6"/>
      <c r="W12149" s="6"/>
      <c r="X12149" s="6"/>
    </row>
    <row r="12150" ht="14.25">
      <c r="B12150" s="18" t="s">
        <v>785</v>
      </c>
      <c r="C12150" s="18" t="s">
        <v>15404</v>
      </c>
      <c r="D12150" s="18" t="s">
        <v>172</v>
      </c>
      <c r="E12150" s="18" t="s">
        <v>15407</v>
      </c>
      <c r="F12150" s="18" t="str">
        <f>IFERROR(__XLUDF.DUMMYFUNCTION("PROPER(REGEXREPLACE(D218,""[^A-Za-z]+ "",""""))"),"Fms Fermetures Menuiseries Schoch")</f>
        <v xml:space="preserve">Fms Fermetures Menuiseries Schoch</v>
      </c>
      <c r="G12150" s="18" t="s">
        <v>46710</v>
      </c>
      <c r="H12150" s="18">
        <v>41</v>
      </c>
      <c r="I12150" s="18" t="s">
        <v>9239</v>
      </c>
      <c r="J12150" s="18" t="str">
        <f>IFERROR(__XLUDF.DUMMYFUNCTION("VLOOKUP(M218,IMPORTRANGE(""https://docs.google.com/spreadsheets/d/1opm6ZNvGZ7KditA9TuJwrZ25eFLfTNIkrNnY6mhV5Eg"",""list!A1:C115""),3,TRUE)"),"le secteur de la production alimentaire")</f>
        <v xml:space="preserve">le secteur de la production alimentaire</v>
      </c>
      <c r="K12150" s="5" t="s">
        <v>46711</v>
      </c>
      <c r="L12150" s="5" t="s">
        <v>46712</v>
      </c>
      <c r="M12150" s="18" t="s">
        <v>651</v>
      </c>
      <c r="N12150" s="18" t="s">
        <v>29</v>
      </c>
      <c r="O12150" s="18" t="s">
        <v>46713</v>
      </c>
      <c r="P12150" s="18" t="s">
        <v>29</v>
      </c>
      <c r="Q12150" s="18" t="s">
        <v>15411</v>
      </c>
      <c r="R12150" s="6"/>
      <c r="S12150" s="6"/>
      <c r="T12150" s="6"/>
      <c r="U12150" s="6"/>
      <c r="V12150" s="6"/>
      <c r="W12150" s="6"/>
      <c r="X12150" s="6"/>
    </row>
    <row r="12151" ht="14.25">
      <c r="B12151" s="18" t="s">
        <v>785</v>
      </c>
      <c r="C12151" s="18" t="s">
        <v>13520</v>
      </c>
      <c r="D12151" s="18" t="s">
        <v>7759</v>
      </c>
      <c r="E12151" s="18" t="s">
        <v>13522</v>
      </c>
      <c r="F12151" s="18" t="str">
        <f>IFERROR(__XLUDF.DUMMYFUNCTION("PROPER(REGEXREPLACE(D219,""[^A-Za-z]+ "",""""))"),"Rénoouest")</f>
        <v>Rénoouest</v>
      </c>
      <c r="G12151" s="18" t="s">
        <v>13521</v>
      </c>
      <c r="H12151" s="18">
        <v>21</v>
      </c>
      <c r="I12151" s="18" t="s">
        <v>9239</v>
      </c>
      <c r="J12151" s="18" t="str">
        <f>IFERROR(__XLUDF.DUMMYFUNCTION("VLOOKUP(M219,IMPORTRANGE(""https://docs.google.com/spreadsheets/d/1opm6ZNvGZ7KditA9TuJwrZ25eFLfTNIkrNnY6mhV5Eg"",""list!A1:C115""),3,TRUE)"),"le secteur de la production alimentaire")</f>
        <v xml:space="preserve">le secteur de la production alimentaire</v>
      </c>
      <c r="K12151" s="5" t="s">
        <v>55864</v>
      </c>
      <c r="L12151" s="5" t="s">
        <v>55865</v>
      </c>
      <c r="M12151" s="18" t="s">
        <v>1711</v>
      </c>
      <c r="N12151" s="18" t="s">
        <v>29</v>
      </c>
      <c r="O12151" s="18" t="s">
        <v>55866</v>
      </c>
      <c r="P12151" s="18" t="s">
        <v>29</v>
      </c>
      <c r="Q12151" s="6"/>
      <c r="R12151" s="6"/>
      <c r="S12151" s="6"/>
      <c r="T12151" s="6"/>
      <c r="U12151" s="6"/>
      <c r="V12151" s="6"/>
      <c r="W12151" s="6"/>
      <c r="X12151" s="6"/>
    </row>
    <row r="12152" ht="14.25">
      <c r="B12152" s="18" t="s">
        <v>3371</v>
      </c>
      <c r="C12152" s="18" t="s">
        <v>45363</v>
      </c>
      <c r="D12152" s="18" t="s">
        <v>172</v>
      </c>
      <c r="E12152" s="18" t="s">
        <v>45364</v>
      </c>
      <c r="F12152" s="18" t="str">
        <f>IFERROR(__XLUDF.DUMMYFUNCTION("PROPER(REGEXREPLACE(D220,""[^A-Za-z]+ "",""""))"),"Maisons Lelièvre")</f>
        <v xml:space="preserve">Maisons Lelièvre</v>
      </c>
      <c r="G12152" s="18" t="s">
        <v>45365</v>
      </c>
      <c r="H12152" s="18">
        <v>35</v>
      </c>
      <c r="I12152" s="18" t="s">
        <v>9239</v>
      </c>
      <c r="J12152" s="18" t="str">
        <f>IFERROR(__XLUDF.DUMMYFUNCTION("VLOOKUP(M220,IMPORTRANGE(""https://docs.google.com/spreadsheets/d/1opm6ZNvGZ7KditA9TuJwrZ25eFLfTNIkrNnY6mhV5Eg"",""list!A1:C115""),3,TRUE)"),"le secteur de la production alimentaire")</f>
        <v xml:space="preserve">le secteur de la production alimentaire</v>
      </c>
      <c r="K12152" s="5" t="s">
        <v>45366</v>
      </c>
      <c r="L12152" s="5" t="s">
        <v>45367</v>
      </c>
      <c r="M12152" s="18" t="s">
        <v>2650</v>
      </c>
      <c r="N12152" s="18" t="s">
        <v>29</v>
      </c>
      <c r="O12152" s="18" t="s">
        <v>45368</v>
      </c>
      <c r="P12152" s="18" t="s">
        <v>29</v>
      </c>
      <c r="Q12152" s="18" t="s">
        <v>45369</v>
      </c>
      <c r="R12152" s="6"/>
      <c r="S12152" s="6"/>
      <c r="T12152" s="6"/>
      <c r="U12152" s="6"/>
      <c r="V12152" s="6"/>
      <c r="W12152" s="6"/>
      <c r="X12152" s="6"/>
    </row>
    <row r="12153" ht="14.25">
      <c r="B12153" s="18" t="s">
        <v>4048</v>
      </c>
      <c r="C12153" s="18" t="s">
        <v>46048</v>
      </c>
      <c r="D12153" s="18" t="s">
        <v>46049</v>
      </c>
      <c r="E12153" s="18" t="s">
        <v>46050</v>
      </c>
      <c r="F12153" s="18" t="str">
        <f>IFERROR(__XLUDF.DUMMYFUNCTION("PROPER(REGEXREPLACE(D221,""[^A-Za-z]+ "",""""))"),"Somen")</f>
        <v>Somen</v>
      </c>
      <c r="G12153" s="18" t="s">
        <v>46051</v>
      </c>
      <c r="H12153" s="18">
        <v>15</v>
      </c>
      <c r="I12153" s="18" t="s">
        <v>9239</v>
      </c>
      <c r="J12153" s="18" t="str">
        <f>IFERROR(__XLUDF.DUMMYFUNCTION("VLOOKUP(M221,IMPORTRANGE(""https://docs.google.com/spreadsheets/d/1opm6ZNvGZ7KditA9TuJwrZ25eFLfTNIkrNnY6mhV5Eg"",""list!A1:C115""),3,TRUE)"),"le secteur de la production alimentaire")</f>
        <v xml:space="preserve">le secteur de la production alimentaire</v>
      </c>
      <c r="K12153" s="5" t="s">
        <v>46052</v>
      </c>
      <c r="L12153" s="5" t="s">
        <v>46053</v>
      </c>
      <c r="M12153" s="6"/>
      <c r="N12153" s="18" t="s">
        <v>29</v>
      </c>
      <c r="O12153" s="18" t="s">
        <v>46054</v>
      </c>
      <c r="P12153" s="18" t="s">
        <v>29</v>
      </c>
      <c r="Q12153" s="18" t="s">
        <v>46050</v>
      </c>
      <c r="R12153" s="6"/>
      <c r="S12153" s="6"/>
      <c r="T12153" s="6"/>
      <c r="U12153" s="6"/>
      <c r="V12153" s="6"/>
      <c r="W12153" s="6"/>
      <c r="X12153" s="6"/>
    </row>
    <row r="12154" ht="14.25">
      <c r="B12154" s="18" t="s">
        <v>893</v>
      </c>
      <c r="C12154" s="18" t="s">
        <v>18993</v>
      </c>
      <c r="D12154" s="18" t="s">
        <v>1130</v>
      </c>
      <c r="E12154" s="18" t="s">
        <v>52736</v>
      </c>
      <c r="F12154" s="18" t="str">
        <f>IFERROR(__XLUDF.DUMMYFUNCTION("PROPER(REGEXREPLACE(D222,""[^A-Za-z]+ "",""""))"),"3D Nord")</f>
        <v xml:space="preserve">3D Nord</v>
      </c>
      <c r="G12154" s="18" t="s">
        <v>52737</v>
      </c>
      <c r="H12154" s="18">
        <v>14</v>
      </c>
      <c r="I12154" s="18" t="s">
        <v>9239</v>
      </c>
      <c r="J12154" s="18" t="str">
        <f>IFERROR(__XLUDF.DUMMYFUNCTION("VLOOKUP(M222,IMPORTRANGE(""https://docs.google.com/spreadsheets/d/1opm6ZNvGZ7KditA9TuJwrZ25eFLfTNIkrNnY6mhV5Eg"",""list!A1:C115""),3,TRUE)"),"le secteur de la production alimentaire")</f>
        <v xml:space="preserve">le secteur de la production alimentaire</v>
      </c>
      <c r="K12154" s="5" t="s">
        <v>52738</v>
      </c>
      <c r="L12154" s="5" t="s">
        <v>52739</v>
      </c>
      <c r="M12154" s="18" t="s">
        <v>846</v>
      </c>
      <c r="N12154" s="18" t="s">
        <v>29</v>
      </c>
      <c r="O12154" s="18" t="s">
        <v>52740</v>
      </c>
      <c r="P12154" s="18" t="s">
        <v>29</v>
      </c>
      <c r="Q12154" s="6"/>
      <c r="R12154" s="6"/>
      <c r="S12154" s="6"/>
      <c r="T12154" s="6"/>
      <c r="U12154" s="6"/>
      <c r="V12154" s="6"/>
      <c r="W12154" s="6"/>
      <c r="X12154" s="6"/>
    </row>
    <row r="12155" ht="14.25">
      <c r="B12155" s="18" t="s">
        <v>52856</v>
      </c>
      <c r="C12155" s="18" t="s">
        <v>52857</v>
      </c>
      <c r="D12155" s="18" t="s">
        <v>172</v>
      </c>
      <c r="E12155" s="18" t="s">
        <v>52858</v>
      </c>
      <c r="F12155" s="18" t="str">
        <f>IFERROR(__XLUDF.DUMMYFUNCTION("PROPER(REGEXREPLACE(D223,""[^A-Za-z]+ "",""""))"),"Br Consult")</f>
        <v xml:space="preserve">Br Consult</v>
      </c>
      <c r="G12155" s="18" t="s">
        <v>52859</v>
      </c>
      <c r="H12155" s="18">
        <v>26</v>
      </c>
      <c r="I12155" s="18" t="s">
        <v>9239</v>
      </c>
      <c r="J12155" s="18" t="str">
        <f>IFERROR(__XLUDF.DUMMYFUNCTION("VLOOKUP(M223,IMPORTRANGE(""https://docs.google.com/spreadsheets/d/1opm6ZNvGZ7KditA9TuJwrZ25eFLfTNIkrNnY6mhV5Eg"",""list!A1:C115""),3,TRUE)"),"le secteur de la production alimentaire")</f>
        <v xml:space="preserve">le secteur de la production alimentaire</v>
      </c>
      <c r="K12155" s="5" t="s">
        <v>52860</v>
      </c>
      <c r="L12155" s="5" t="s">
        <v>52861</v>
      </c>
      <c r="M12155" s="18" t="s">
        <v>5449</v>
      </c>
      <c r="N12155" s="18" t="s">
        <v>29</v>
      </c>
      <c r="O12155" s="18" t="s">
        <v>52862</v>
      </c>
      <c r="P12155" s="18" t="s">
        <v>29</v>
      </c>
      <c r="Q12155" s="6"/>
      <c r="R12155" s="6"/>
      <c r="S12155" s="6"/>
      <c r="T12155" s="6"/>
      <c r="U12155" s="6"/>
      <c r="V12155" s="6"/>
      <c r="W12155" s="6"/>
      <c r="X12155" s="6"/>
    </row>
    <row r="12156" ht="14.25">
      <c r="B12156" s="18" t="s">
        <v>47389</v>
      </c>
      <c r="C12156" s="18" t="s">
        <v>47390</v>
      </c>
      <c r="D12156" s="18" t="s">
        <v>1867</v>
      </c>
      <c r="E12156" s="18" t="s">
        <v>47391</v>
      </c>
      <c r="F12156" s="18" t="str">
        <f>IFERROR(__XLUDF.DUMMYFUNCTION("PROPER(REGEXREPLACE(D224,""[^A-Za-z]+ "",""""))"),"Dg Group")</f>
        <v xml:space="preserve">Dg Group</v>
      </c>
      <c r="G12156" s="18" t="s">
        <v>47392</v>
      </c>
      <c r="H12156" s="18">
        <v>23</v>
      </c>
      <c r="I12156" s="18" t="s">
        <v>9239</v>
      </c>
      <c r="J12156" s="18" t="str">
        <f>IFERROR(__XLUDF.DUMMYFUNCTION("VLOOKUP(M224,IMPORTRANGE(""https://docs.google.com/spreadsheets/d/1opm6ZNvGZ7KditA9TuJwrZ25eFLfTNIkrNnY6mhV5Eg"",""list!A1:C115""),3,TRUE)"),"le secteur de la production alimentaire")</f>
        <v xml:space="preserve">le secteur de la production alimentaire</v>
      </c>
      <c r="K12156" s="5" t="s">
        <v>47393</v>
      </c>
      <c r="L12156" s="5" t="s">
        <v>47394</v>
      </c>
      <c r="M12156" s="18" t="s">
        <v>39</v>
      </c>
      <c r="N12156" s="18" t="s">
        <v>29</v>
      </c>
      <c r="O12156" s="18" t="s">
        <v>47395</v>
      </c>
      <c r="P12156" s="18" t="s">
        <v>29</v>
      </c>
      <c r="Q12156" s="18" t="s">
        <v>47396</v>
      </c>
      <c r="R12156" s="6"/>
      <c r="S12156" s="6"/>
      <c r="T12156" s="6"/>
      <c r="U12156" s="6"/>
      <c r="V12156" s="6"/>
      <c r="W12156" s="6"/>
      <c r="X12156" s="6"/>
    </row>
    <row r="12157" ht="14.25">
      <c r="B12157" s="18" t="s">
        <v>76</v>
      </c>
      <c r="C12157" s="18" t="s">
        <v>53137</v>
      </c>
      <c r="D12157" s="18" t="s">
        <v>112</v>
      </c>
      <c r="E12157" s="18" t="s">
        <v>53138</v>
      </c>
      <c r="F12157" s="18" t="str">
        <f>IFERROR(__XLUDF.DUMMYFUNCTION("PROPER(REGEXREPLACE(D225,""[^A-Za-z]+ "",""""))"),"Brondani")</f>
        <v>Brondani</v>
      </c>
      <c r="G12157" s="18" t="s">
        <v>53139</v>
      </c>
      <c r="H12157" s="18">
        <v>23</v>
      </c>
      <c r="I12157" s="18" t="s">
        <v>9239</v>
      </c>
      <c r="J12157" s="18" t="str">
        <f>IFERROR(__XLUDF.DUMMYFUNCTION("VLOOKUP(M225,IMPORTRANGE(""https://docs.google.com/spreadsheets/d/1opm6ZNvGZ7KditA9TuJwrZ25eFLfTNIkrNnY6mhV5Eg"",""list!A1:C115""),3,TRUE)"),"le secteur de la production alimentaire")</f>
        <v xml:space="preserve">le secteur de la production alimentaire</v>
      </c>
      <c r="K12157" s="5" t="s">
        <v>53140</v>
      </c>
      <c r="L12157" s="5" t="s">
        <v>53141</v>
      </c>
      <c r="M12157" s="18" t="s">
        <v>651</v>
      </c>
      <c r="N12157" s="18" t="s">
        <v>29</v>
      </c>
      <c r="O12157" s="18" t="s">
        <v>53142</v>
      </c>
      <c r="P12157" s="18" t="s">
        <v>29</v>
      </c>
      <c r="Q12157" s="18" t="s">
        <v>53143</v>
      </c>
      <c r="R12157" s="6"/>
      <c r="S12157" s="6"/>
      <c r="T12157" s="6"/>
      <c r="U12157" s="6"/>
      <c r="V12157" s="6"/>
      <c r="W12157" s="6"/>
      <c r="X12157" s="6"/>
    </row>
    <row r="12158" ht="14.25">
      <c r="B12158" s="18" t="s">
        <v>76</v>
      </c>
      <c r="C12158" s="18" t="s">
        <v>46239</v>
      </c>
      <c r="D12158" s="18" t="s">
        <v>426</v>
      </c>
      <c r="E12158" s="18" t="s">
        <v>46240</v>
      </c>
      <c r="F12158" s="18" t="str">
        <f>IFERROR(__XLUDF.DUMMYFUNCTION("PROPER(REGEXREPLACE(D226,""[^A-Za-z]+ "",""""))"),"Groupe Bage")</f>
        <v xml:space="preserve">Groupe Bage</v>
      </c>
      <c r="G12158" s="18" t="s">
        <v>46241</v>
      </c>
      <c r="H12158" s="18">
        <v>24</v>
      </c>
      <c r="I12158" s="18" t="s">
        <v>9239</v>
      </c>
      <c r="J12158" s="18" t="str">
        <f>IFERROR(__XLUDF.DUMMYFUNCTION("VLOOKUP(M226,IMPORTRANGE(""https://docs.google.com/spreadsheets/d/1opm6ZNvGZ7KditA9TuJwrZ25eFLfTNIkrNnY6mhV5Eg"",""list!A1:C115""),3,TRUE)"),"le secteur de la production alimentaire")</f>
        <v xml:space="preserve">le secteur de la production alimentaire</v>
      </c>
      <c r="K12158" s="5" t="s">
        <v>46242</v>
      </c>
      <c r="L12158" s="5" t="s">
        <v>46243</v>
      </c>
      <c r="M12158" s="18" t="s">
        <v>1711</v>
      </c>
      <c r="N12158" s="18" t="s">
        <v>29</v>
      </c>
      <c r="O12158" s="18" t="s">
        <v>25944</v>
      </c>
      <c r="P12158" s="18" t="s">
        <v>29</v>
      </c>
      <c r="Q12158" s="18" t="s">
        <v>46244</v>
      </c>
      <c r="R12158" s="6"/>
      <c r="S12158" s="6"/>
      <c r="T12158" s="6"/>
      <c r="U12158" s="6"/>
      <c r="V12158" s="6"/>
      <c r="W12158" s="6"/>
      <c r="X12158" s="6"/>
    </row>
    <row r="12159" ht="14.25">
      <c r="B12159" s="18" t="s">
        <v>76</v>
      </c>
      <c r="C12159" s="18" t="s">
        <v>45755</v>
      </c>
      <c r="D12159" s="18" t="s">
        <v>45756</v>
      </c>
      <c r="E12159" s="18" t="s">
        <v>45757</v>
      </c>
      <c r="F12159" s="18" t="str">
        <f>IFERROR(__XLUDF.DUMMYFUNCTION("PROPER(REGEXREPLACE(D227,""[^A-Za-z]+ "",""""))"),"S.B.T.P")</f>
        <v>S.B.T.P</v>
      </c>
      <c r="G12159" s="18" t="s">
        <v>45758</v>
      </c>
      <c r="H12159" s="18">
        <v>29</v>
      </c>
      <c r="I12159" s="18" t="s">
        <v>9239</v>
      </c>
      <c r="J12159" s="18" t="str">
        <f>IFERROR(__XLUDF.DUMMYFUNCTION("VLOOKUP(M227,IMPORTRANGE(""https://docs.google.com/spreadsheets/d/1opm6ZNvGZ7KditA9TuJwrZ25eFLfTNIkrNnY6mhV5Eg"",""list!A1:C115""),3,TRUE)"),"le secteur de la production alimentaire")</f>
        <v xml:space="preserve">le secteur de la production alimentaire</v>
      </c>
      <c r="K12159" s="5" t="s">
        <v>45759</v>
      </c>
      <c r="L12159" s="5" t="s">
        <v>45760</v>
      </c>
      <c r="M12159" s="18" t="s">
        <v>11201</v>
      </c>
      <c r="N12159" s="18" t="s">
        <v>29</v>
      </c>
      <c r="O12159" s="18" t="s">
        <v>45761</v>
      </c>
      <c r="P12159" s="18" t="s">
        <v>29</v>
      </c>
      <c r="Q12159" s="6"/>
      <c r="R12159" s="6"/>
      <c r="S12159" s="6"/>
      <c r="T12159" s="6"/>
      <c r="U12159" s="6"/>
      <c r="V12159" s="6"/>
      <c r="W12159" s="6"/>
      <c r="X12159" s="6"/>
    </row>
    <row r="12160" ht="14.25">
      <c r="B12160" s="18" t="s">
        <v>2508</v>
      </c>
      <c r="C12160" s="18" t="s">
        <v>48235</v>
      </c>
      <c r="D12160" s="18" t="s">
        <v>3982</v>
      </c>
      <c r="E12160" s="18" t="s">
        <v>48236</v>
      </c>
      <c r="F12160" s="18" t="str">
        <f>IFERROR(__XLUDF.DUMMYFUNCTION("PROPER(REGEXREPLACE(D228,""[^A-Za-z]+ "",""""))"),"Objectif Bâtiment")</f>
        <v xml:space="preserve">Objectif Bâtiment</v>
      </c>
      <c r="G12160" s="18" t="s">
        <v>48237</v>
      </c>
      <c r="H12160" s="18">
        <v>16</v>
      </c>
      <c r="I12160" s="18" t="s">
        <v>9239</v>
      </c>
      <c r="J12160" s="18" t="str">
        <f>IFERROR(__XLUDF.DUMMYFUNCTION("VLOOKUP(M228,IMPORTRANGE(""https://docs.google.com/spreadsheets/d/1opm6ZNvGZ7KditA9TuJwrZ25eFLfTNIkrNnY6mhV5Eg"",""list!A1:C115""),3,TRUE)"),"le secteur de la production alimentaire")</f>
        <v xml:space="preserve">le secteur de la production alimentaire</v>
      </c>
      <c r="K12160" s="5" t="s">
        <v>48238</v>
      </c>
      <c r="L12160" s="5" t="s">
        <v>48239</v>
      </c>
      <c r="M12160" s="18" t="s">
        <v>48240</v>
      </c>
      <c r="N12160" s="18" t="s">
        <v>29</v>
      </c>
      <c r="O12160" s="18" t="s">
        <v>48241</v>
      </c>
      <c r="P12160" s="18" t="s">
        <v>29</v>
      </c>
      <c r="Q12160" s="6"/>
      <c r="R12160" s="6"/>
      <c r="S12160" s="6"/>
      <c r="T12160" s="6"/>
      <c r="U12160" s="6"/>
      <c r="V12160" s="6"/>
      <c r="W12160" s="6"/>
      <c r="X12160" s="6"/>
    </row>
    <row r="12161" ht="14.25">
      <c r="B12161" s="18" t="s">
        <v>76</v>
      </c>
      <c r="C12161" s="18" t="s">
        <v>55867</v>
      </c>
      <c r="D12161" s="18" t="s">
        <v>112</v>
      </c>
      <c r="E12161" s="18" t="s">
        <v>55868</v>
      </c>
      <c r="F12161" s="18" t="str">
        <f>IFERROR(__XLUDF.DUMMYFUNCTION("PROPER(REGEXREPLACE(D229,""[^A-Za-z]+ "",""""))"),"Adebat")</f>
        <v>Adebat</v>
      </c>
      <c r="G12161" s="18" t="s">
        <v>55869</v>
      </c>
      <c r="H12161" s="18">
        <v>10</v>
      </c>
      <c r="I12161" s="18" t="s">
        <v>9239</v>
      </c>
      <c r="J12161" s="18" t="str">
        <f>IFERROR(__XLUDF.DUMMYFUNCTION("VLOOKUP(M229,IMPORTRANGE(""https://docs.google.com/spreadsheets/d/1opm6ZNvGZ7KditA9TuJwrZ25eFLfTNIkrNnY6mhV5Eg"",""list!A1:C115""),3,TRUE)"),"le secteur de la production alimentaire")</f>
        <v xml:space="preserve">le secteur de la production alimentaire</v>
      </c>
      <c r="K12161" s="5" t="s">
        <v>55870</v>
      </c>
      <c r="L12161" s="5" t="s">
        <v>55871</v>
      </c>
      <c r="M12161" s="18" t="s">
        <v>9403</v>
      </c>
      <c r="N12161" s="18" t="s">
        <v>29</v>
      </c>
      <c r="O12161" s="18" t="s">
        <v>55872</v>
      </c>
      <c r="P12161" s="18" t="s">
        <v>29</v>
      </c>
      <c r="Q12161" s="18" t="s">
        <v>55873</v>
      </c>
      <c r="R12161" s="6"/>
      <c r="S12161" s="6"/>
      <c r="T12161" s="6"/>
      <c r="U12161" s="6"/>
      <c r="V12161" s="6"/>
      <c r="W12161" s="6"/>
      <c r="X12161" s="6"/>
    </row>
    <row r="12162" ht="14.25">
      <c r="B12162" s="18" t="s">
        <v>76</v>
      </c>
      <c r="C12162" s="18" t="s">
        <v>47340</v>
      </c>
      <c r="D12162" s="18" t="s">
        <v>9532</v>
      </c>
      <c r="E12162" s="18" t="s">
        <v>55874</v>
      </c>
      <c r="F12162" s="18" t="str">
        <f>IFERROR(__XLUDF.DUMMYFUNCTION("PROPER(REGEXREPLACE(D230,""[^A-Za-z]+ "",""""))"),"Allouis Face In Tec")</f>
        <v xml:space="preserve">Allouis Face In Tec</v>
      </c>
      <c r="G12162" s="18" t="s">
        <v>47342</v>
      </c>
      <c r="H12162" s="18">
        <v>21</v>
      </c>
      <c r="I12162" s="18" t="s">
        <v>9239</v>
      </c>
      <c r="J12162" s="18" t="str">
        <f>IFERROR(__XLUDF.DUMMYFUNCTION("VLOOKUP(M230,IMPORTRANGE(""https://docs.google.com/spreadsheets/d/1opm6ZNvGZ7KditA9TuJwrZ25eFLfTNIkrNnY6mhV5Eg"",""list!A1:C115""),3,TRUE)"),"le secteur de la production alimentaire")</f>
        <v xml:space="preserve">le secteur de la production alimentaire</v>
      </c>
      <c r="K12162" s="5" t="s">
        <v>47343</v>
      </c>
      <c r="L12162" s="5" t="s">
        <v>47344</v>
      </c>
      <c r="M12162" s="6"/>
      <c r="N12162" s="18" t="s">
        <v>29</v>
      </c>
      <c r="O12162" s="18" t="s">
        <v>47345</v>
      </c>
      <c r="P12162" s="18" t="s">
        <v>29</v>
      </c>
      <c r="Q12162" s="6"/>
      <c r="R12162" s="6"/>
      <c r="S12162" s="6"/>
      <c r="T12162" s="6"/>
      <c r="U12162" s="6"/>
      <c r="V12162" s="6"/>
      <c r="W12162" s="6"/>
      <c r="X12162" s="6"/>
    </row>
    <row r="12163" ht="14.25">
      <c r="B12163" s="18" t="s">
        <v>45170</v>
      </c>
      <c r="C12163" s="18" t="s">
        <v>45171</v>
      </c>
      <c r="D12163" s="18" t="s">
        <v>468</v>
      </c>
      <c r="E12163" s="18" t="s">
        <v>45172</v>
      </c>
      <c r="F12163" s="18" t="str">
        <f>IFERROR(__XLUDF.DUMMYFUNCTION("PROPER(REGEXREPLACE(D231,""[^A-Za-z]+ "",""""))"),"Coméca Les Maisons")</f>
        <v xml:space="preserve">Coméca Les Maisons</v>
      </c>
      <c r="G12163" s="18" t="s">
        <v>45173</v>
      </c>
      <c r="H12163" s="18">
        <v>39</v>
      </c>
      <c r="I12163" s="18" t="s">
        <v>9239</v>
      </c>
      <c r="J12163" s="18" t="str">
        <f>IFERROR(__XLUDF.DUMMYFUNCTION("VLOOKUP(M231,IMPORTRANGE(""https://docs.google.com/spreadsheets/d/1opm6ZNvGZ7KditA9TuJwrZ25eFLfTNIkrNnY6mhV5Eg"",""list!A1:C115""),3,TRUE)"),"le secteur de la production alimentaire")</f>
        <v xml:space="preserve">le secteur de la production alimentaire</v>
      </c>
      <c r="K12163" s="5" t="s">
        <v>45174</v>
      </c>
      <c r="L12163" s="5" t="s">
        <v>45175</v>
      </c>
      <c r="M12163" s="18" t="s">
        <v>1711</v>
      </c>
      <c r="N12163" s="18" t="s">
        <v>29</v>
      </c>
      <c r="O12163" s="18" t="s">
        <v>45176</v>
      </c>
      <c r="P12163" s="18" t="s">
        <v>29</v>
      </c>
      <c r="Q12163" s="18" t="s">
        <v>45177</v>
      </c>
      <c r="R12163" s="6"/>
      <c r="S12163" s="6"/>
      <c r="T12163" s="6"/>
      <c r="U12163" s="6"/>
      <c r="V12163" s="6"/>
      <c r="W12163" s="6"/>
      <c r="X12163" s="6"/>
    </row>
    <row r="12164" ht="14.25">
      <c r="B12164" s="18" t="s">
        <v>2589</v>
      </c>
      <c r="C12164" s="18" t="s">
        <v>49153</v>
      </c>
      <c r="D12164" s="18" t="s">
        <v>164</v>
      </c>
      <c r="E12164" s="18" t="s">
        <v>49154</v>
      </c>
      <c r="F12164" s="18" t="str">
        <f>IFERROR(__XLUDF.DUMMYFUNCTION("PROPER(REGEXREPLACE(D232,""[^A-Za-z]+ "",""""))"),"Cosepi France")</f>
        <v xml:space="preserve">Cosepi France</v>
      </c>
      <c r="G12164" s="18" t="s">
        <v>49155</v>
      </c>
      <c r="H12164" s="18">
        <v>21</v>
      </c>
      <c r="I12164" s="18" t="s">
        <v>9239</v>
      </c>
      <c r="J12164" s="18" t="str">
        <f>IFERROR(__XLUDF.DUMMYFUNCTION("VLOOKUP(M232,IMPORTRANGE(""https://docs.google.com/spreadsheets/d/1opm6ZNvGZ7KditA9TuJwrZ25eFLfTNIkrNnY6mhV5Eg"",""list!A1:C115""),3,TRUE)"),"le secteur de la production alimentaire")</f>
        <v xml:space="preserve">le secteur de la production alimentaire</v>
      </c>
      <c r="K12164" s="5" t="s">
        <v>49156</v>
      </c>
      <c r="L12164" s="5" t="s">
        <v>49157</v>
      </c>
      <c r="M12164" s="6"/>
      <c r="N12164" s="18" t="s">
        <v>29</v>
      </c>
      <c r="O12164" s="18" t="s">
        <v>49158</v>
      </c>
      <c r="P12164" s="18" t="s">
        <v>29</v>
      </c>
      <c r="Q12164" s="18" t="s">
        <v>49159</v>
      </c>
      <c r="R12164" s="6"/>
      <c r="S12164" s="6"/>
      <c r="T12164" s="6"/>
      <c r="U12164" s="6"/>
      <c r="V12164" s="6"/>
      <c r="W12164" s="6"/>
      <c r="X12164" s="6"/>
    </row>
    <row r="12165" ht="14.25">
      <c r="B12165" s="18" t="s">
        <v>2589</v>
      </c>
      <c r="C12165" s="18" t="s">
        <v>51333</v>
      </c>
      <c r="D12165" s="18" t="s">
        <v>87</v>
      </c>
      <c r="E12165" s="18" t="s">
        <v>51334</v>
      </c>
      <c r="F12165" s="18" t="str">
        <f>IFERROR(__XLUDF.DUMMYFUNCTION("PROPER(REGEXREPLACE(D233,""[^A-Za-z]+ "",""""))"),"Grupo Tesela")</f>
        <v xml:space="preserve">Grupo Tesela</v>
      </c>
      <c r="G12165" s="18" t="s">
        <v>51335</v>
      </c>
      <c r="H12165" s="18">
        <v>26</v>
      </c>
      <c r="I12165" s="18" t="s">
        <v>9239</v>
      </c>
      <c r="J12165" s="18" t="str">
        <f>IFERROR(__XLUDF.DUMMYFUNCTION("VLOOKUP(M233,IMPORTRANGE(""https://docs.google.com/spreadsheets/d/1opm6ZNvGZ7KditA9TuJwrZ25eFLfTNIkrNnY6mhV5Eg"",""list!A1:C115""),3,TRUE)"),"le secteur de la production alimentaire")</f>
        <v xml:space="preserve">le secteur de la production alimentaire</v>
      </c>
      <c r="K12165" s="5" t="s">
        <v>51336</v>
      </c>
      <c r="L12165" s="5" t="s">
        <v>51337</v>
      </c>
      <c r="M12165" s="18" t="s">
        <v>1150</v>
      </c>
      <c r="N12165" s="18" t="s">
        <v>29</v>
      </c>
      <c r="O12165" s="18" t="s">
        <v>51338</v>
      </c>
      <c r="P12165" s="18" t="s">
        <v>1152</v>
      </c>
      <c r="Q12165" s="6"/>
      <c r="R12165" s="6"/>
      <c r="S12165" s="6"/>
      <c r="T12165" s="6"/>
      <c r="U12165" s="6"/>
      <c r="V12165" s="6"/>
      <c r="W12165" s="6"/>
      <c r="X12165" s="6"/>
    </row>
    <row r="12166" ht="14.25">
      <c r="B12166" s="18" t="s">
        <v>76</v>
      </c>
      <c r="C12166" s="18" t="s">
        <v>29241</v>
      </c>
      <c r="D12166" s="18" t="s">
        <v>112</v>
      </c>
      <c r="E12166" s="18" t="s">
        <v>50043</v>
      </c>
      <c r="F12166" s="18" t="str">
        <f>IFERROR(__XLUDF.DUMMYFUNCTION("PROPER(REGEXREPLACE(D234,""[^A-Za-z]+ "",""""))"),"Valtinee")</f>
        <v>Valtinee</v>
      </c>
      <c r="G12166" s="18" t="s">
        <v>50044</v>
      </c>
      <c r="H12166" s="18">
        <v>16</v>
      </c>
      <c r="I12166" s="18" t="s">
        <v>9239</v>
      </c>
      <c r="J12166" s="18" t="str">
        <f>IFERROR(__XLUDF.DUMMYFUNCTION("VLOOKUP(M234,IMPORTRANGE(""https://docs.google.com/spreadsheets/d/1opm6ZNvGZ7KditA9TuJwrZ25eFLfTNIkrNnY6mhV5Eg"",""list!A1:C115""),3,TRUE)"),"le secteur de la production alimentaire")</f>
        <v xml:space="preserve">le secteur de la production alimentaire</v>
      </c>
      <c r="K12166" s="5" t="s">
        <v>50045</v>
      </c>
      <c r="L12166" s="5" t="s">
        <v>50046</v>
      </c>
      <c r="M12166" s="18" t="s">
        <v>49</v>
      </c>
      <c r="N12166" s="18" t="s">
        <v>29</v>
      </c>
      <c r="O12166" s="18" t="s">
        <v>50047</v>
      </c>
      <c r="P12166" s="18" t="s">
        <v>29</v>
      </c>
      <c r="Q12166" s="18" t="s">
        <v>50048</v>
      </c>
      <c r="R12166" s="6"/>
      <c r="S12166" s="6"/>
      <c r="T12166" s="6"/>
      <c r="U12166" s="6"/>
      <c r="V12166" s="6"/>
      <c r="W12166" s="6"/>
      <c r="X12166" s="6"/>
    </row>
    <row r="12167" ht="14.25">
      <c r="B12167" s="18" t="s">
        <v>76</v>
      </c>
      <c r="C12167" s="18" t="s">
        <v>50370</v>
      </c>
      <c r="D12167" s="18" t="s">
        <v>426</v>
      </c>
      <c r="E12167" s="18" t="s">
        <v>55875</v>
      </c>
      <c r="F12167" s="18" t="str">
        <f>IFERROR(__XLUDF.DUMMYFUNCTION("PROPER(REGEXREPLACE(D235,""[^A-Za-z]+ "",""""))"),"Tradi Art")</f>
        <v xml:space="preserve">Tradi Art</v>
      </c>
      <c r="G12167" s="18" t="s">
        <v>50372</v>
      </c>
      <c r="H12167" s="18">
        <v>19</v>
      </c>
      <c r="I12167" s="18" t="s">
        <v>9239</v>
      </c>
      <c r="J12167" s="18" t="str">
        <f>IFERROR(__XLUDF.DUMMYFUNCTION("VLOOKUP(M235,IMPORTRANGE(""https://docs.google.com/spreadsheets/d/1opm6ZNvGZ7KditA9TuJwrZ25eFLfTNIkrNnY6mhV5Eg"",""list!A1:C115""),3,TRUE)"),"le secteur de la production alimentaire")</f>
        <v xml:space="preserve">le secteur de la production alimentaire</v>
      </c>
      <c r="K12167" s="5" t="s">
        <v>50373</v>
      </c>
      <c r="L12167" s="5" t="s">
        <v>50374</v>
      </c>
      <c r="M12167" s="18" t="s">
        <v>50375</v>
      </c>
      <c r="N12167" s="18" t="s">
        <v>29</v>
      </c>
      <c r="O12167" s="18" t="s">
        <v>50376</v>
      </c>
      <c r="P12167" s="18" t="s">
        <v>29</v>
      </c>
      <c r="Q12167" s="6"/>
      <c r="R12167" s="6"/>
      <c r="S12167" s="6"/>
      <c r="T12167" s="6"/>
      <c r="U12167" s="6"/>
      <c r="V12167" s="6"/>
      <c r="W12167" s="6"/>
      <c r="X12167" s="6"/>
    </row>
    <row r="12168" ht="14.25">
      <c r="B12168" s="18" t="s">
        <v>579</v>
      </c>
      <c r="C12168" s="18" t="s">
        <v>51633</v>
      </c>
      <c r="D12168" s="18" t="s">
        <v>468</v>
      </c>
      <c r="E12168" s="18" t="s">
        <v>51634</v>
      </c>
      <c r="F12168" s="18" t="str">
        <f>IFERROR(__XLUDF.DUMMYFUNCTION("PROPER(REGEXREPLACE(D236,""[^A-Za-z]+ "",""""))"),"Cool Roof")</f>
        <v xml:space="preserve">Cool Roof</v>
      </c>
      <c r="G12168" s="18" t="s">
        <v>51635</v>
      </c>
      <c r="H12168" s="18">
        <v>11</v>
      </c>
      <c r="I12168" s="18" t="s">
        <v>9239</v>
      </c>
      <c r="J12168" s="18" t="str">
        <f>IFERROR(__XLUDF.DUMMYFUNCTION("VLOOKUP(M236,IMPORTRANGE(""https://docs.google.com/spreadsheets/d/1opm6ZNvGZ7KditA9TuJwrZ25eFLfTNIkrNnY6mhV5Eg"",""list!A1:C115""),3,TRUE)"),"le secteur de la production alimentaire")</f>
        <v xml:space="preserve">le secteur de la production alimentaire</v>
      </c>
      <c r="K12168" s="5" t="s">
        <v>51636</v>
      </c>
      <c r="L12168" s="5" t="s">
        <v>51637</v>
      </c>
      <c r="M12168" s="18" t="s">
        <v>51638</v>
      </c>
      <c r="N12168" s="18" t="s">
        <v>29</v>
      </c>
      <c r="O12168" s="18" t="s">
        <v>51639</v>
      </c>
      <c r="P12168" s="18" t="s">
        <v>1261</v>
      </c>
      <c r="Q12168" s="6"/>
      <c r="R12168" s="6"/>
      <c r="S12168" s="6"/>
      <c r="T12168" s="6"/>
      <c r="U12168" s="6"/>
      <c r="V12168" s="6"/>
      <c r="W12168" s="6"/>
      <c r="X12168" s="6"/>
    </row>
    <row r="12169" ht="14.25">
      <c r="B12169" s="18" t="s">
        <v>44858</v>
      </c>
      <c r="C12169" s="18" t="s">
        <v>44859</v>
      </c>
      <c r="D12169" s="18" t="s">
        <v>44</v>
      </c>
      <c r="E12169" s="18" t="s">
        <v>44860</v>
      </c>
      <c r="F12169" s="18" t="str">
        <f>IFERROR(__XLUDF.DUMMYFUNCTION("PROPER(REGEXREPLACE(D237,""[^A-Za-z]+ "",""""))"),"Helm")</f>
        <v>Helm</v>
      </c>
      <c r="G12169" s="18" t="s">
        <v>44861</v>
      </c>
      <c r="H12169" s="18">
        <v>14</v>
      </c>
      <c r="I12169" s="18" t="s">
        <v>9239</v>
      </c>
      <c r="J12169" s="18" t="str">
        <f>IFERROR(__XLUDF.DUMMYFUNCTION("VLOOKUP(M237,IMPORTRANGE(""https://docs.google.com/spreadsheets/d/1opm6ZNvGZ7KditA9TuJwrZ25eFLfTNIkrNnY6mhV5Eg"",""list!A1:C115""),3,TRUE)"),"le secteur de la production alimentaire")</f>
        <v xml:space="preserve">le secteur de la production alimentaire</v>
      </c>
      <c r="K12169" s="5" t="s">
        <v>44862</v>
      </c>
      <c r="L12169" s="5" t="s">
        <v>44863</v>
      </c>
      <c r="M12169" s="18" t="s">
        <v>39</v>
      </c>
      <c r="N12169" s="18" t="s">
        <v>29</v>
      </c>
      <c r="O12169" s="18" t="s">
        <v>44864</v>
      </c>
      <c r="P12169" s="18" t="s">
        <v>4340</v>
      </c>
      <c r="Q12169" s="18" t="s">
        <v>44865</v>
      </c>
      <c r="R12169" s="6"/>
      <c r="S12169" s="6"/>
      <c r="T12169" s="6"/>
      <c r="U12169" s="6"/>
      <c r="V12169" s="6"/>
      <c r="W12169" s="6"/>
      <c r="X12169" s="6"/>
    </row>
    <row r="12170" ht="14.25">
      <c r="B12170" s="18" t="s">
        <v>46544</v>
      </c>
      <c r="C12170" s="18" t="s">
        <v>46545</v>
      </c>
      <c r="D12170" s="18" t="s">
        <v>172</v>
      </c>
      <c r="E12170" s="18" t="s">
        <v>46546</v>
      </c>
      <c r="F12170" s="18" t="str">
        <f>IFERROR(__XLUDF.DUMMYFUNCTION("PROPER(REGEXREPLACE(D238,""[^A-Za-z]+ "",""""))"),"Servigaz")</f>
        <v>Servigaz</v>
      </c>
      <c r="G12170" s="18" t="s">
        <v>46547</v>
      </c>
      <c r="H12170" s="18">
        <v>18</v>
      </c>
      <c r="I12170" s="18" t="s">
        <v>9239</v>
      </c>
      <c r="J12170" s="18" t="str">
        <f>IFERROR(__XLUDF.DUMMYFUNCTION("VLOOKUP(M238,IMPORTRANGE(""https://docs.google.com/spreadsheets/d/1opm6ZNvGZ7KditA9TuJwrZ25eFLfTNIkrNnY6mhV5Eg"",""list!A1:C115""),3,TRUE)"),"le secteur de la production alimentaire")</f>
        <v xml:space="preserve">le secteur de la production alimentaire</v>
      </c>
      <c r="K12170" s="5" t="s">
        <v>46548</v>
      </c>
      <c r="L12170" s="5" t="s">
        <v>46549</v>
      </c>
      <c r="M12170" s="18" t="s">
        <v>185</v>
      </c>
      <c r="N12170" s="18" t="s">
        <v>29</v>
      </c>
      <c r="O12170" s="18" t="s">
        <v>18452</v>
      </c>
      <c r="P12170" s="18" t="s">
        <v>29</v>
      </c>
      <c r="Q12170" s="18" t="s">
        <v>46550</v>
      </c>
      <c r="R12170" s="6"/>
      <c r="S12170" s="6"/>
      <c r="T12170" s="6"/>
      <c r="U12170" s="6"/>
      <c r="V12170" s="6"/>
      <c r="W12170" s="6"/>
      <c r="X12170" s="6"/>
    </row>
    <row r="12171" ht="14.25">
      <c r="B12171" s="18" t="s">
        <v>2516</v>
      </c>
      <c r="C12171" s="18" t="s">
        <v>51381</v>
      </c>
      <c r="D12171" s="18" t="s">
        <v>172</v>
      </c>
      <c r="E12171" s="18" t="s">
        <v>55876</v>
      </c>
      <c r="F12171" s="18" t="str">
        <f>IFERROR(__XLUDF.DUMMYFUNCTION("PROPER(REGEXREPLACE(D239,""[^A-Za-z]+ "",""""))"),"Cloisons Partena")</f>
        <v xml:space="preserve">Cloisons Partena</v>
      </c>
      <c r="G12171" s="18" t="s">
        <v>51383</v>
      </c>
      <c r="H12171" s="18">
        <v>26</v>
      </c>
      <c r="I12171" s="18" t="s">
        <v>9239</v>
      </c>
      <c r="J12171" s="18" t="str">
        <f>IFERROR(__XLUDF.DUMMYFUNCTION("VLOOKUP(M239,IMPORTRANGE(""https://docs.google.com/spreadsheets/d/1opm6ZNvGZ7KditA9TuJwrZ25eFLfTNIkrNnY6mhV5Eg"",""list!A1:C115""),3,TRUE)"),"le secteur de la production alimentaire")</f>
        <v xml:space="preserve">le secteur de la production alimentaire</v>
      </c>
      <c r="K12171" s="5" t="s">
        <v>51384</v>
      </c>
      <c r="L12171" s="5" t="s">
        <v>51385</v>
      </c>
      <c r="M12171" s="6"/>
      <c r="N12171" s="18" t="s">
        <v>29</v>
      </c>
      <c r="O12171" s="18" t="s">
        <v>51386</v>
      </c>
      <c r="P12171" s="18" t="s">
        <v>29</v>
      </c>
      <c r="Q12171" s="18" t="s">
        <v>51387</v>
      </c>
      <c r="R12171" s="6"/>
      <c r="S12171" s="6"/>
      <c r="T12171" s="6"/>
      <c r="U12171" s="6"/>
      <c r="V12171" s="6"/>
      <c r="W12171" s="6"/>
      <c r="X12171" s="6"/>
    </row>
    <row r="12172" ht="14.25">
      <c r="B12172" s="18" t="s">
        <v>2516</v>
      </c>
      <c r="C12172" s="18" t="s">
        <v>52844</v>
      </c>
      <c r="D12172" s="18" t="s">
        <v>112</v>
      </c>
      <c r="E12172" s="18" t="s">
        <v>52845</v>
      </c>
      <c r="F12172" s="18" t="str">
        <f>IFERROR(__XLUDF.DUMMYFUNCTION("PROPER(REGEXREPLACE(D240,""[^A-Za-z]+ "",""""))"),"Nord Chauffage Services")</f>
        <v xml:space="preserve">Nord Chauffage Services</v>
      </c>
      <c r="G12172" s="18" t="s">
        <v>52846</v>
      </c>
      <c r="H12172" s="18">
        <v>11</v>
      </c>
      <c r="I12172" s="18" t="s">
        <v>9239</v>
      </c>
      <c r="J12172" s="18" t="str">
        <f>IFERROR(__XLUDF.DUMMYFUNCTION("VLOOKUP(M240,IMPORTRANGE(""https://docs.google.com/spreadsheets/d/1opm6ZNvGZ7KditA9TuJwrZ25eFLfTNIkrNnY6mhV5Eg"",""list!A1:C115""),3,TRUE)"),"le secteur de la production alimentaire")</f>
        <v xml:space="preserve">le secteur de la production alimentaire</v>
      </c>
      <c r="K12172" s="5" t="s">
        <v>52847</v>
      </c>
      <c r="L12172" s="5" t="s">
        <v>52848</v>
      </c>
      <c r="M12172" s="18" t="s">
        <v>846</v>
      </c>
      <c r="N12172" s="18" t="s">
        <v>29</v>
      </c>
      <c r="O12172" s="18" t="s">
        <v>5865</v>
      </c>
      <c r="P12172" s="18" t="s">
        <v>29</v>
      </c>
      <c r="Q12172" s="18" t="s">
        <v>52849</v>
      </c>
      <c r="R12172" s="6"/>
      <c r="S12172" s="6"/>
      <c r="T12172" s="6"/>
      <c r="U12172" s="6"/>
      <c r="V12172" s="6"/>
      <c r="W12172" s="6"/>
      <c r="X12172" s="6"/>
    </row>
    <row r="12173" ht="14.25">
      <c r="B12173" s="18" t="s">
        <v>1592</v>
      </c>
      <c r="C12173" s="18" t="s">
        <v>49238</v>
      </c>
      <c r="D12173" s="18" t="s">
        <v>879</v>
      </c>
      <c r="E12173" s="18" t="s">
        <v>46351</v>
      </c>
      <c r="F12173" s="18" t="str">
        <f>IFERROR(__XLUDF.DUMMYFUNCTION("PROPER(REGEXREPLACE(D241,""[^A-Za-z]+ "",""""))"),"Déco Charpente")</f>
        <v xml:space="preserve">Déco Charpente</v>
      </c>
      <c r="G12173" s="18" t="s">
        <v>49239</v>
      </c>
      <c r="H12173" s="18">
        <v>20</v>
      </c>
      <c r="I12173" s="18" t="s">
        <v>9239</v>
      </c>
      <c r="J12173" s="18" t="str">
        <f>IFERROR(__XLUDF.DUMMYFUNCTION("VLOOKUP(M241,IMPORTRANGE(""https://docs.google.com/spreadsheets/d/1opm6ZNvGZ7KditA9TuJwrZ25eFLfTNIkrNnY6mhV5Eg"",""list!A1:C115""),3,TRUE)"),"le secteur de la production alimentaire")</f>
        <v xml:space="preserve">le secteur de la production alimentaire</v>
      </c>
      <c r="K12173" s="5" t="s">
        <v>49240</v>
      </c>
      <c r="L12173" s="5" t="s">
        <v>46354</v>
      </c>
      <c r="M12173" s="18" t="s">
        <v>49241</v>
      </c>
      <c r="N12173" s="18" t="s">
        <v>29</v>
      </c>
      <c r="O12173" s="18" t="s">
        <v>46356</v>
      </c>
      <c r="P12173" s="18" t="s">
        <v>29</v>
      </c>
      <c r="Q12173" s="18" t="s">
        <v>46357</v>
      </c>
      <c r="R12173" s="6"/>
      <c r="S12173" s="6"/>
      <c r="T12173" s="6"/>
      <c r="U12173" s="6"/>
      <c r="V12173" s="6"/>
      <c r="W12173" s="6"/>
      <c r="X12173" s="6"/>
    </row>
    <row r="12174" ht="14.25">
      <c r="B12174" s="18" t="s">
        <v>1592</v>
      </c>
      <c r="C12174" s="18" t="s">
        <v>47057</v>
      </c>
      <c r="D12174" s="18" t="s">
        <v>172</v>
      </c>
      <c r="E12174" s="18" t="s">
        <v>47058</v>
      </c>
      <c r="F12174" s="18" t="str">
        <f>IFERROR(__XLUDF.DUMMYFUNCTION("PROPER(REGEXREPLACE(D242,""[^A-Za-z]+ "",""""))"),"Bigmat Spielmann")</f>
        <v xml:space="preserve">Bigmat Spielmann</v>
      </c>
      <c r="G12174" s="18" t="s">
        <v>47059</v>
      </c>
      <c r="H12174" s="18">
        <v>34</v>
      </c>
      <c r="I12174" s="18" t="s">
        <v>9239</v>
      </c>
      <c r="J12174" s="18" t="str">
        <f>IFERROR(__XLUDF.DUMMYFUNCTION("VLOOKUP(M242,IMPORTRANGE(""https://docs.google.com/spreadsheets/d/1opm6ZNvGZ7KditA9TuJwrZ25eFLfTNIkrNnY6mhV5Eg"",""list!A1:C115""),3,TRUE)"),"le secteur de la production alimentaire")</f>
        <v xml:space="preserve">le secteur de la production alimentaire</v>
      </c>
      <c r="K12174" s="5" t="s">
        <v>47060</v>
      </c>
      <c r="L12174" s="5" t="s">
        <v>47061</v>
      </c>
      <c r="M12174" s="18" t="s">
        <v>651</v>
      </c>
      <c r="N12174" s="18" t="s">
        <v>29</v>
      </c>
      <c r="O12174" s="18" t="s">
        <v>47062</v>
      </c>
      <c r="P12174" s="18" t="s">
        <v>29</v>
      </c>
      <c r="Q12174" s="6"/>
      <c r="R12174" s="6"/>
      <c r="S12174" s="6"/>
      <c r="T12174" s="6"/>
      <c r="U12174" s="6"/>
      <c r="V12174" s="6"/>
      <c r="W12174" s="6"/>
      <c r="X12174" s="6"/>
    </row>
    <row r="12175" ht="14.25">
      <c r="B12175" s="18" t="s">
        <v>47050</v>
      </c>
      <c r="C12175" s="18" t="s">
        <v>47051</v>
      </c>
      <c r="D12175" s="18" t="s">
        <v>164</v>
      </c>
      <c r="E12175" s="18" t="s">
        <v>47052</v>
      </c>
      <c r="F12175" s="18" t="str">
        <f>IFERROR(__XLUDF.DUMMYFUNCTION("PROPER(REGEXREPLACE(D243,""[^A-Za-z]+ "",""""))"),"Työ")</f>
        <v>Työ</v>
      </c>
      <c r="G12175" s="18" t="s">
        <v>47053</v>
      </c>
      <c r="H12175" s="18">
        <v>29</v>
      </c>
      <c r="I12175" s="18" t="s">
        <v>9239</v>
      </c>
      <c r="J12175" s="18" t="str">
        <f>IFERROR(__XLUDF.DUMMYFUNCTION("VLOOKUP(M243,IMPORTRANGE(""https://docs.google.com/spreadsheets/d/1opm6ZNvGZ7KditA9TuJwrZ25eFLfTNIkrNnY6mhV5Eg"",""list!A1:C115""),3,TRUE)"),"le secteur de la production alimentaire")</f>
        <v xml:space="preserve">le secteur de la production alimentaire</v>
      </c>
      <c r="K12175" s="5" t="s">
        <v>47054</v>
      </c>
      <c r="L12175" s="5" t="s">
        <v>47055</v>
      </c>
      <c r="M12175" s="18" t="s">
        <v>651</v>
      </c>
      <c r="N12175" s="18" t="s">
        <v>29</v>
      </c>
      <c r="O12175" s="18" t="s">
        <v>47056</v>
      </c>
      <c r="P12175" s="18" t="s">
        <v>29</v>
      </c>
      <c r="Q12175" s="6"/>
      <c r="R12175" s="6"/>
      <c r="S12175" s="6"/>
      <c r="T12175" s="6"/>
      <c r="U12175" s="6"/>
      <c r="V12175" s="6"/>
      <c r="W12175" s="6"/>
      <c r="X12175" s="6"/>
    </row>
    <row r="12176" ht="14.25">
      <c r="B12176" s="18" t="s">
        <v>170</v>
      </c>
      <c r="C12176" s="18" t="s">
        <v>9837</v>
      </c>
      <c r="D12176" s="18" t="s">
        <v>9456</v>
      </c>
      <c r="E12176" s="5" t="s">
        <v>46839</v>
      </c>
      <c r="F12176" s="5" t="str">
        <f>IFERROR(__XLUDF.DUMMYFUNCTION("PROPER(REGEXREPLACE(D244,""[^A-Za-z]+ "",""""))"),"Monchauffagiste.Com")</f>
        <v>Monchauffagiste.Com</v>
      </c>
      <c r="G12176" s="18" t="s">
        <v>46840</v>
      </c>
      <c r="H12176" s="18">
        <v>8</v>
      </c>
      <c r="I12176" s="18" t="s">
        <v>9239</v>
      </c>
      <c r="J12176" s="18" t="str">
        <f>IFERROR(__XLUDF.DUMMYFUNCTION("VLOOKUP(M244,IMPORTRANGE(""https://docs.google.com/spreadsheets/d/1opm6ZNvGZ7KditA9TuJwrZ25eFLfTNIkrNnY6mhV5Eg"",""list!A1:C115""),3,TRUE)"),"le secteur de la production alimentaire")</f>
        <v xml:space="preserve">le secteur de la production alimentaire</v>
      </c>
      <c r="K12176" s="5" t="s">
        <v>46841</v>
      </c>
      <c r="L12176" s="5" t="s">
        <v>46842</v>
      </c>
      <c r="M12176" s="18" t="s">
        <v>846</v>
      </c>
      <c r="N12176" s="18" t="s">
        <v>29</v>
      </c>
      <c r="O12176" s="18" t="s">
        <v>46843</v>
      </c>
      <c r="P12176" s="18" t="s">
        <v>29</v>
      </c>
      <c r="Q12176" s="6"/>
      <c r="R12176" s="6"/>
      <c r="S12176" s="6"/>
      <c r="T12176" s="6"/>
      <c r="U12176" s="6"/>
      <c r="V12176" s="6"/>
      <c r="W12176" s="6"/>
      <c r="X12176" s="6"/>
    </row>
    <row r="12177" ht="14.25">
      <c r="B12177" s="18" t="s">
        <v>963</v>
      </c>
      <c r="C12177" s="18" t="s">
        <v>51538</v>
      </c>
      <c r="D12177" s="18" t="s">
        <v>172</v>
      </c>
      <c r="E12177" s="18" t="s">
        <v>50287</v>
      </c>
      <c r="F12177" s="18" t="str">
        <f>IFERROR(__XLUDF.DUMMYFUNCTION("PROPER(REGEXREPLACE(D245,""[^A-Za-z]+ "",""""))"),"Seric Group")</f>
        <v xml:space="preserve">Seric Group</v>
      </c>
      <c r="G12177" s="18" t="s">
        <v>51539</v>
      </c>
      <c r="H12177" s="18">
        <v>23</v>
      </c>
      <c r="I12177" s="18" t="s">
        <v>9239</v>
      </c>
      <c r="J12177" s="18" t="str">
        <f>IFERROR(__XLUDF.DUMMYFUNCTION("VLOOKUP(M245,IMPORTRANGE(""https://docs.google.com/spreadsheets/d/1opm6ZNvGZ7KditA9TuJwrZ25eFLfTNIkrNnY6mhV5Eg"",""list!A1:C115""),3,TRUE)"),"le secteur de la production alimentaire")</f>
        <v xml:space="preserve">le secteur de la production alimentaire</v>
      </c>
      <c r="K12177" s="5" t="s">
        <v>51540</v>
      </c>
      <c r="L12177" s="5" t="s">
        <v>50290</v>
      </c>
      <c r="M12177" s="6"/>
      <c r="N12177" s="18" t="s">
        <v>29</v>
      </c>
      <c r="O12177" s="18" t="s">
        <v>29</v>
      </c>
      <c r="P12177" s="18" t="s">
        <v>29</v>
      </c>
      <c r="Q12177" s="18" t="s">
        <v>50291</v>
      </c>
      <c r="R12177" s="6"/>
      <c r="S12177" s="6"/>
      <c r="T12177" s="6"/>
      <c r="U12177" s="6"/>
      <c r="V12177" s="6"/>
      <c r="W12177" s="6"/>
      <c r="X12177" s="6"/>
    </row>
    <row r="12178" ht="14.25">
      <c r="B12178" s="18" t="s">
        <v>170</v>
      </c>
      <c r="C12178" s="18" t="s">
        <v>52869</v>
      </c>
      <c r="D12178" s="18" t="s">
        <v>112</v>
      </c>
      <c r="E12178" s="18" t="s">
        <v>52870</v>
      </c>
      <c r="F12178" s="18" t="str">
        <f>IFERROR(__XLUDF.DUMMYFUNCTION("PROPER(REGEXREPLACE(D246,""[^A-Za-z]+ "",""""))"),"Mr Menuiserie")</f>
        <v xml:space="preserve">Mr Menuiserie</v>
      </c>
      <c r="G12178" s="18" t="s">
        <v>52871</v>
      </c>
      <c r="H12178" s="18">
        <v>11</v>
      </c>
      <c r="I12178" s="18" t="s">
        <v>9239</v>
      </c>
      <c r="J12178" s="18" t="str">
        <f>IFERROR(__XLUDF.DUMMYFUNCTION("VLOOKUP(M246,IMPORTRANGE(""https://docs.google.com/spreadsheets/d/1opm6ZNvGZ7KditA9TuJwrZ25eFLfTNIkrNnY6mhV5Eg"",""list!A1:C115""),3,TRUE)"),"le secteur de la production alimentaire")</f>
        <v xml:space="preserve">le secteur de la production alimentaire</v>
      </c>
      <c r="K12178" s="5" t="s">
        <v>52872</v>
      </c>
      <c r="L12178" s="5" t="s">
        <v>52873</v>
      </c>
      <c r="M12178" s="18" t="s">
        <v>52874</v>
      </c>
      <c r="N12178" s="18" t="s">
        <v>29</v>
      </c>
      <c r="O12178" s="18" t="s">
        <v>52875</v>
      </c>
      <c r="P12178" s="18" t="s">
        <v>29</v>
      </c>
      <c r="Q12178" s="6"/>
      <c r="R12178" s="6"/>
      <c r="S12178" s="6"/>
      <c r="T12178" s="6"/>
      <c r="U12178" s="6"/>
      <c r="V12178" s="6"/>
      <c r="W12178" s="6"/>
      <c r="X12178" s="6"/>
    </row>
    <row r="12179" ht="14.25">
      <c r="B12179" s="18" t="s">
        <v>51993</v>
      </c>
      <c r="C12179" s="18" t="s">
        <v>51994</v>
      </c>
      <c r="D12179" s="18" t="s">
        <v>172</v>
      </c>
      <c r="E12179" s="18" t="s">
        <v>45844</v>
      </c>
      <c r="F12179" s="18" t="str">
        <f>IFERROR(__XLUDF.DUMMYFUNCTION("PROPER(REGEXREPLACE(D247,""[^A-Za-z]+ "",""""))"),"Oxium Group")</f>
        <v xml:space="preserve">Oxium Group</v>
      </c>
      <c r="G12179" s="18" t="s">
        <v>51995</v>
      </c>
      <c r="H12179" s="18">
        <v>35</v>
      </c>
      <c r="I12179" s="18" t="s">
        <v>9239</v>
      </c>
      <c r="J12179" s="18" t="str">
        <f>IFERROR(__XLUDF.DUMMYFUNCTION("VLOOKUP(M247,IMPORTRANGE(""https://docs.google.com/spreadsheets/d/1opm6ZNvGZ7KditA9TuJwrZ25eFLfTNIkrNnY6mhV5Eg"",""list!A1:C115""),3,TRUE)"),"le secteur de la production alimentaire")</f>
        <v xml:space="preserve">le secteur de la production alimentaire</v>
      </c>
      <c r="K12179" s="5" t="s">
        <v>51996</v>
      </c>
      <c r="L12179" s="5" t="s">
        <v>45847</v>
      </c>
      <c r="M12179" s="18" t="s">
        <v>51997</v>
      </c>
      <c r="N12179" s="18" t="s">
        <v>29</v>
      </c>
      <c r="O12179" s="18" t="s">
        <v>45848</v>
      </c>
      <c r="P12179" s="18" t="s">
        <v>29</v>
      </c>
      <c r="Q12179" s="6"/>
      <c r="R12179" s="6"/>
      <c r="S12179" s="6"/>
      <c r="T12179" s="6"/>
      <c r="U12179" s="6"/>
      <c r="V12179" s="6"/>
      <c r="W12179" s="6"/>
      <c r="X12179" s="6"/>
    </row>
    <row r="12180" ht="14.25">
      <c r="B12180" s="18" t="s">
        <v>206</v>
      </c>
      <c r="C12180" s="18" t="s">
        <v>50363</v>
      </c>
      <c r="D12180" s="18" t="s">
        <v>172</v>
      </c>
      <c r="E12180" s="18" t="s">
        <v>50364</v>
      </c>
      <c r="F12180" s="18" t="str">
        <f>IFERROR(__XLUDF.DUMMYFUNCTION("PROPER(REGEXREPLACE(D248,""[^A-Za-z]+ "",""""))"),"Chanin Btp")</f>
        <v xml:space="preserve">Chanin Btp</v>
      </c>
      <c r="G12180" s="18" t="s">
        <v>50365</v>
      </c>
      <c r="H12180" s="18">
        <v>22</v>
      </c>
      <c r="I12180" s="18" t="s">
        <v>9239</v>
      </c>
      <c r="J12180" s="18" t="str">
        <f>IFERROR(__XLUDF.DUMMYFUNCTION("VLOOKUP(M248,IMPORTRANGE(""https://docs.google.com/spreadsheets/d/1opm6ZNvGZ7KditA9TuJwrZ25eFLfTNIkrNnY6mhV5Eg"",""list!A1:C115""),3,TRUE)"),"le secteur de la production alimentaire")</f>
        <v xml:space="preserve">le secteur de la production alimentaire</v>
      </c>
      <c r="K12180" s="5" t="s">
        <v>50366</v>
      </c>
      <c r="L12180" s="5" t="s">
        <v>50367</v>
      </c>
      <c r="M12180" s="18" t="s">
        <v>21259</v>
      </c>
      <c r="N12180" s="18" t="s">
        <v>29</v>
      </c>
      <c r="O12180" s="18" t="s">
        <v>50368</v>
      </c>
      <c r="P12180" s="18" t="s">
        <v>29</v>
      </c>
      <c r="Q12180" s="18" t="s">
        <v>50369</v>
      </c>
      <c r="R12180" s="6"/>
      <c r="S12180" s="6"/>
      <c r="T12180" s="6"/>
      <c r="U12180" s="6"/>
      <c r="V12180" s="6"/>
      <c r="W12180" s="6"/>
      <c r="X12180" s="6"/>
    </row>
    <row r="12181" ht="14.25">
      <c r="B12181" s="18" t="s">
        <v>21692</v>
      </c>
      <c r="C12181" s="18" t="s">
        <v>49803</v>
      </c>
      <c r="D12181" s="18" t="s">
        <v>112</v>
      </c>
      <c r="E12181" s="18" t="s">
        <v>49260</v>
      </c>
      <c r="F12181" s="18" t="str">
        <f>IFERROR(__XLUDF.DUMMYFUNCTION("PROPER(REGEXREPLACE(D249,""[^A-Za-z]+ "",""""))"),"Design Constructionsassociés")</f>
        <v xml:space="preserve">Design Constructionsassociés</v>
      </c>
      <c r="G12181" s="18" t="s">
        <v>49804</v>
      </c>
      <c r="H12181" s="18">
        <v>27</v>
      </c>
      <c r="I12181" s="18" t="s">
        <v>9239</v>
      </c>
      <c r="J12181" s="18" t="str">
        <f>IFERROR(__XLUDF.DUMMYFUNCTION("VLOOKUP(M249,IMPORTRANGE(""https://docs.google.com/spreadsheets/d/1opm6ZNvGZ7KditA9TuJwrZ25eFLfTNIkrNnY6mhV5Eg"",""list!A1:C115""),3,TRUE)"),"le secteur de la production alimentaire")</f>
        <v xml:space="preserve">le secteur de la production alimentaire</v>
      </c>
      <c r="K12181" s="5" t="s">
        <v>49805</v>
      </c>
      <c r="L12181" s="5" t="s">
        <v>49263</v>
      </c>
      <c r="M12181" s="18" t="s">
        <v>1507</v>
      </c>
      <c r="N12181" s="18" t="s">
        <v>29</v>
      </c>
      <c r="O12181" s="18" t="s">
        <v>49264</v>
      </c>
      <c r="P12181" s="18" t="s">
        <v>29</v>
      </c>
      <c r="Q12181" s="18" t="s">
        <v>49265</v>
      </c>
      <c r="R12181" s="6"/>
      <c r="S12181" s="6"/>
      <c r="T12181" s="6"/>
      <c r="U12181" s="6"/>
      <c r="V12181" s="6"/>
      <c r="W12181" s="6"/>
      <c r="X12181" s="6"/>
    </row>
    <row r="12182" ht="14.25">
      <c r="B12182" s="18" t="s">
        <v>170</v>
      </c>
      <c r="C12182" s="18" t="s">
        <v>46577</v>
      </c>
      <c r="D12182" s="18" t="s">
        <v>8042</v>
      </c>
      <c r="E12182" s="18" t="s">
        <v>46578</v>
      </c>
      <c r="F12182" s="18" t="str">
        <f>IFERROR(__XLUDF.DUMMYFUNCTION("PROPER(REGEXREPLACE(D250,""[^A-Za-z]+ "",""""))"),"Aiv")</f>
        <v>Aiv</v>
      </c>
      <c r="G12182" s="18" t="s">
        <v>46579</v>
      </c>
      <c r="H12182" s="18">
        <v>41</v>
      </c>
      <c r="I12182" s="18" t="s">
        <v>9239</v>
      </c>
      <c r="J12182" s="18" t="str">
        <f>IFERROR(__XLUDF.DUMMYFUNCTION("VLOOKUP(M250,IMPORTRANGE(""https://docs.google.com/spreadsheets/d/1opm6ZNvGZ7KditA9TuJwrZ25eFLfTNIkrNnY6mhV5Eg"",""list!A1:C115""),3,TRUE)"),"le secteur de la production alimentaire")</f>
        <v xml:space="preserve">le secteur de la production alimentaire</v>
      </c>
      <c r="K12182" s="5" t="s">
        <v>46580</v>
      </c>
      <c r="L12182" s="5" t="s">
        <v>46581</v>
      </c>
      <c r="M12182" s="18" t="s">
        <v>243</v>
      </c>
      <c r="N12182" s="18" t="s">
        <v>29</v>
      </c>
      <c r="O12182" s="18" t="s">
        <v>46582</v>
      </c>
      <c r="P12182" s="18" t="s">
        <v>29</v>
      </c>
      <c r="Q12182" s="6"/>
      <c r="R12182" s="6"/>
      <c r="S12182" s="6"/>
      <c r="T12182" s="6"/>
      <c r="U12182" s="6"/>
      <c r="V12182" s="6"/>
      <c r="W12182" s="6"/>
      <c r="X12182" s="6"/>
    </row>
    <row r="12183" ht="14.25">
      <c r="B12183" s="18" t="s">
        <v>963</v>
      </c>
      <c r="C12183" s="18" t="s">
        <v>52790</v>
      </c>
      <c r="D12183" s="18" t="s">
        <v>112</v>
      </c>
      <c r="E12183" s="18" t="s">
        <v>52791</v>
      </c>
      <c r="F12183" s="18" t="str">
        <f>IFERROR(__XLUDF.DUMMYFUNCTION("PROPER(REGEXREPLACE(D251,""[^A-Za-z]+ "",""""))"),"Rconstruction")</f>
        <v>Rconstruction</v>
      </c>
      <c r="G12183" s="18" t="s">
        <v>52792</v>
      </c>
      <c r="H12183" s="18">
        <v>11</v>
      </c>
      <c r="I12183" s="18" t="s">
        <v>9239</v>
      </c>
      <c r="J12183" s="18" t="str">
        <f>IFERROR(__XLUDF.DUMMYFUNCTION("VLOOKUP(M251,IMPORTRANGE(""https://docs.google.com/spreadsheets/d/1opm6ZNvGZ7KditA9TuJwrZ25eFLfTNIkrNnY6mhV5Eg"",""list!A1:C115""),3,TRUE)"),"le secteur de la production alimentaire")</f>
        <v xml:space="preserve">le secteur de la production alimentaire</v>
      </c>
      <c r="K12183" s="5" t="s">
        <v>52793</v>
      </c>
      <c r="L12183" s="5" t="s">
        <v>52794</v>
      </c>
      <c r="M12183" s="18" t="s">
        <v>149</v>
      </c>
      <c r="N12183" s="18" t="s">
        <v>29</v>
      </c>
      <c r="O12183" s="18" t="s">
        <v>52795</v>
      </c>
      <c r="P12183" s="18" t="s">
        <v>29</v>
      </c>
      <c r="Q12183" s="18" t="s">
        <v>52796</v>
      </c>
      <c r="R12183" s="6"/>
      <c r="S12183" s="6"/>
      <c r="T12183" s="6"/>
      <c r="U12183" s="6"/>
      <c r="V12183" s="6"/>
      <c r="W12183" s="6"/>
      <c r="X12183" s="6"/>
    </row>
    <row r="12184" ht="14.25">
      <c r="B12184" s="18" t="s">
        <v>2508</v>
      </c>
      <c r="C12184" s="18" t="s">
        <v>52899</v>
      </c>
      <c r="D12184" s="18" t="s">
        <v>1130</v>
      </c>
      <c r="E12184" s="18" t="s">
        <v>52900</v>
      </c>
      <c r="F12184" s="18" t="str">
        <f>IFERROR(__XLUDF.DUMMYFUNCTION("PROPER(REGEXREPLACE(D252,""[^A-Za-z]+ "",""""))"),"Mouchet Construction")</f>
        <v xml:space="preserve">Mouchet Construction</v>
      </c>
      <c r="G12184" s="18" t="s">
        <v>52901</v>
      </c>
      <c r="H12184" s="18">
        <v>11</v>
      </c>
      <c r="I12184" s="18" t="s">
        <v>9239</v>
      </c>
      <c r="J12184" s="18" t="str">
        <f>IFERROR(__XLUDF.DUMMYFUNCTION("VLOOKUP(M252,IMPORTRANGE(""https://docs.google.com/spreadsheets/d/1opm6ZNvGZ7KditA9TuJwrZ25eFLfTNIkrNnY6mhV5Eg"",""list!A1:C115""),3,TRUE)"),"le secteur de la production alimentaire")</f>
        <v xml:space="preserve">le secteur de la production alimentaire</v>
      </c>
      <c r="K12184" s="5" t="s">
        <v>52902</v>
      </c>
      <c r="L12184" s="5" t="s">
        <v>52903</v>
      </c>
      <c r="M12184" s="18" t="s">
        <v>52904</v>
      </c>
      <c r="N12184" s="18" t="s">
        <v>29</v>
      </c>
      <c r="O12184" s="18" t="s">
        <v>52905</v>
      </c>
      <c r="P12184" s="18" t="s">
        <v>29</v>
      </c>
      <c r="Q12184" s="18" t="s">
        <v>52906</v>
      </c>
      <c r="R12184" s="6"/>
      <c r="S12184" s="6"/>
      <c r="T12184" s="6"/>
      <c r="U12184" s="6"/>
      <c r="V12184" s="6"/>
      <c r="W12184" s="6"/>
      <c r="X12184" s="6"/>
    </row>
    <row r="12185" ht="14.25">
      <c r="B12185" s="18" t="s">
        <v>2119</v>
      </c>
      <c r="C12185" s="18" t="s">
        <v>52687</v>
      </c>
      <c r="D12185" s="18" t="s">
        <v>112</v>
      </c>
      <c r="E12185" s="18" t="s">
        <v>52688</v>
      </c>
      <c r="F12185" s="18" t="str">
        <f>IFERROR(__XLUDF.DUMMYFUNCTION("PROPER(REGEXREPLACE(D253,""[^A-Za-z]+ "",""""))"),"Comalec")</f>
        <v>Comalec</v>
      </c>
      <c r="G12185" s="18" t="s">
        <v>52689</v>
      </c>
      <c r="H12185" s="18">
        <v>24</v>
      </c>
      <c r="I12185" s="18" t="s">
        <v>9239</v>
      </c>
      <c r="J12185" s="18" t="str">
        <f>IFERROR(__XLUDF.DUMMYFUNCTION("VLOOKUP(M253,IMPORTRANGE(""https://docs.google.com/spreadsheets/d/1opm6ZNvGZ7KditA9TuJwrZ25eFLfTNIkrNnY6mhV5Eg"",""list!A1:C115""),3,TRUE)"),"le secteur de la production alimentaire")</f>
        <v xml:space="preserve">le secteur de la production alimentaire</v>
      </c>
      <c r="K12185" s="5" t="s">
        <v>52690</v>
      </c>
      <c r="L12185" s="5" t="s">
        <v>52691</v>
      </c>
      <c r="M12185" s="18" t="s">
        <v>18648</v>
      </c>
      <c r="N12185" s="18" t="s">
        <v>29</v>
      </c>
      <c r="O12185" s="18" t="s">
        <v>52692</v>
      </c>
      <c r="P12185" s="18" t="s">
        <v>29</v>
      </c>
      <c r="Q12185" s="18" t="s">
        <v>52693</v>
      </c>
      <c r="R12185" s="6"/>
      <c r="S12185" s="6"/>
      <c r="T12185" s="6"/>
      <c r="U12185" s="6"/>
      <c r="V12185" s="6"/>
      <c r="W12185" s="6"/>
      <c r="X12185" s="6"/>
    </row>
    <row r="12186" ht="14.25">
      <c r="B12186" s="18" t="s">
        <v>2119</v>
      </c>
      <c r="C12186" s="18" t="s">
        <v>119</v>
      </c>
      <c r="D12186" s="18" t="s">
        <v>112</v>
      </c>
      <c r="E12186" s="18" t="s">
        <v>53128</v>
      </c>
      <c r="F12186" s="18" t="str">
        <f>IFERROR(__XLUDF.DUMMYFUNCTION("PROPER(REGEXREPLACE(D254,""[^A-Za-z]+ "",""""))"),"Caro Tp")</f>
        <v xml:space="preserve">Caro Tp</v>
      </c>
      <c r="G12186" s="18" t="s">
        <v>53129</v>
      </c>
      <c r="H12186" s="18">
        <v>31</v>
      </c>
      <c r="I12186" s="18" t="s">
        <v>9239</v>
      </c>
      <c r="J12186" s="18" t="str">
        <f>IFERROR(__XLUDF.DUMMYFUNCTION("VLOOKUP(M254,IMPORTRANGE(""https://docs.google.com/spreadsheets/d/1opm6ZNvGZ7KditA9TuJwrZ25eFLfTNIkrNnY6mhV5Eg"",""list!A1:C115""),3,TRUE)"),"le secteur de la production alimentaire")</f>
        <v xml:space="preserve">le secteur de la production alimentaire</v>
      </c>
      <c r="K12186" s="5" t="s">
        <v>53130</v>
      </c>
      <c r="L12186" s="5" t="s">
        <v>53131</v>
      </c>
      <c r="M12186" s="18" t="s">
        <v>83</v>
      </c>
      <c r="N12186" s="18" t="s">
        <v>29</v>
      </c>
      <c r="O12186" s="18" t="s">
        <v>29</v>
      </c>
      <c r="P12186" s="18" t="s">
        <v>29</v>
      </c>
      <c r="Q12186" s="6"/>
      <c r="R12186" s="6"/>
      <c r="S12186" s="6"/>
      <c r="T12186" s="6"/>
      <c r="U12186" s="6"/>
      <c r="V12186" s="6"/>
      <c r="W12186" s="6"/>
      <c r="X12186" s="6"/>
    </row>
    <row r="12187" ht="14.25">
      <c r="B12187" s="18" t="s">
        <v>29241</v>
      </c>
      <c r="C12187" s="18" t="s">
        <v>43315</v>
      </c>
      <c r="D12187" s="18" t="s">
        <v>172</v>
      </c>
      <c r="E12187" s="18" t="s">
        <v>49467</v>
      </c>
      <c r="F12187" s="18" t="str">
        <f>IFERROR(__XLUDF.DUMMYFUNCTION("PROPER(REGEXREPLACE(D255,""[^A-Za-z]+ "",""""))"),"Euromib")</f>
        <v>Euromib</v>
      </c>
      <c r="G12187" s="18" t="s">
        <v>49468</v>
      </c>
      <c r="H12187" s="18">
        <v>13</v>
      </c>
      <c r="I12187" s="18" t="s">
        <v>9239</v>
      </c>
      <c r="J12187" s="18" t="str">
        <f>IFERROR(__XLUDF.DUMMYFUNCTION("VLOOKUP(M255,IMPORTRANGE(""https://docs.google.com/spreadsheets/d/1opm6ZNvGZ7KditA9TuJwrZ25eFLfTNIkrNnY6mhV5Eg"",""list!A1:C115""),3,TRUE)"),"le secteur de la production alimentaire")</f>
        <v xml:space="preserve">le secteur de la production alimentaire</v>
      </c>
      <c r="K12187" s="5" t="s">
        <v>49469</v>
      </c>
      <c r="L12187" s="5" t="s">
        <v>49470</v>
      </c>
      <c r="M12187" s="18" t="s">
        <v>45731</v>
      </c>
      <c r="N12187" s="18" t="s">
        <v>29</v>
      </c>
      <c r="O12187" s="18" t="s">
        <v>49471</v>
      </c>
      <c r="P12187" s="18" t="s">
        <v>29</v>
      </c>
      <c r="Q12187" s="6"/>
      <c r="R12187" s="6"/>
      <c r="S12187" s="6"/>
      <c r="T12187" s="6"/>
      <c r="U12187" s="6"/>
      <c r="V12187" s="6"/>
      <c r="W12187" s="6"/>
      <c r="X12187" s="6"/>
    </row>
    <row r="12188" ht="14.25">
      <c r="B12188" s="18" t="s">
        <v>51153</v>
      </c>
      <c r="C12188" s="18" t="s">
        <v>3753</v>
      </c>
      <c r="D12188" s="18" t="s">
        <v>51154</v>
      </c>
      <c r="E12188" s="18" t="s">
        <v>51155</v>
      </c>
      <c r="F12188" s="18" t="str">
        <f>IFERROR(__XLUDF.DUMMYFUNCTION("PROPER(REGEXREPLACE(D256,""[^A-Za-z]+ "",""""))"),"Ferreira Batiment")</f>
        <v xml:space="preserve">Ferreira Batiment</v>
      </c>
      <c r="G12188" s="18" t="s">
        <v>51156</v>
      </c>
      <c r="H12188" s="18">
        <v>23</v>
      </c>
      <c r="I12188" s="18" t="s">
        <v>9239</v>
      </c>
      <c r="J12188" s="18" t="str">
        <f>IFERROR(__XLUDF.DUMMYFUNCTION("VLOOKUP(M256,IMPORTRANGE(""https://docs.google.com/spreadsheets/d/1opm6ZNvGZ7KditA9TuJwrZ25eFLfTNIkrNnY6mhV5Eg"",""list!A1:C115""),3,TRUE)"),"le secteur de la production alimentaire")</f>
        <v xml:space="preserve">le secteur de la production alimentaire</v>
      </c>
      <c r="K12188" s="5" t="s">
        <v>51157</v>
      </c>
      <c r="L12188" s="5" t="s">
        <v>51158</v>
      </c>
      <c r="M12188" s="18" t="s">
        <v>185</v>
      </c>
      <c r="N12188" s="18" t="s">
        <v>29</v>
      </c>
      <c r="O12188" s="18" t="s">
        <v>51159</v>
      </c>
      <c r="P12188" s="18" t="s">
        <v>29</v>
      </c>
      <c r="Q12188" s="18" t="s">
        <v>51160</v>
      </c>
      <c r="R12188" s="6"/>
      <c r="S12188" s="6"/>
      <c r="T12188" s="6"/>
      <c r="U12188" s="6"/>
      <c r="V12188" s="6"/>
      <c r="W12188" s="6"/>
      <c r="X12188" s="6"/>
    </row>
    <row r="12189" ht="14.25">
      <c r="B12189" s="18" t="s">
        <v>4132</v>
      </c>
      <c r="C12189" s="18" t="s">
        <v>51979</v>
      </c>
      <c r="D12189" s="18" t="s">
        <v>172</v>
      </c>
      <c r="E12189" s="18" t="s">
        <v>51980</v>
      </c>
      <c r="F12189" s="18" t="str">
        <f>IFERROR(__XLUDF.DUMMYFUNCTION("PROPER(REGEXREPLACE(D257,""[^A-Za-z]+ "",""""))"),"Hamon Molard")</f>
        <v xml:space="preserve">Hamon Molard</v>
      </c>
      <c r="G12189" s="18" t="s">
        <v>51981</v>
      </c>
      <c r="H12189" s="18">
        <v>17</v>
      </c>
      <c r="I12189" s="18" t="s">
        <v>9239</v>
      </c>
      <c r="J12189" s="18" t="str">
        <f>IFERROR(__XLUDF.DUMMYFUNCTION("VLOOKUP(M257,IMPORTRANGE(""https://docs.google.com/spreadsheets/d/1opm6ZNvGZ7KditA9TuJwrZ25eFLfTNIkrNnY6mhV5Eg"",""list!A1:C115""),3,TRUE)"),"le secteur de la production alimentaire")</f>
        <v xml:space="preserve">le secteur de la production alimentaire</v>
      </c>
      <c r="K12189" s="5" t="s">
        <v>51982</v>
      </c>
      <c r="L12189" s="5" t="s">
        <v>51983</v>
      </c>
      <c r="M12189" s="18" t="s">
        <v>1826</v>
      </c>
      <c r="N12189" s="18" t="s">
        <v>29</v>
      </c>
      <c r="O12189" s="18" t="s">
        <v>51984</v>
      </c>
      <c r="P12189" s="18" t="s">
        <v>29</v>
      </c>
      <c r="Q12189" s="6"/>
      <c r="R12189" s="6"/>
      <c r="S12189" s="6"/>
      <c r="T12189" s="6"/>
      <c r="U12189" s="6"/>
      <c r="V12189" s="6"/>
      <c r="W12189" s="6"/>
      <c r="X12189" s="6"/>
    </row>
    <row r="12190" ht="14.25">
      <c r="B12190" s="18" t="s">
        <v>206</v>
      </c>
      <c r="C12190" s="18" t="s">
        <v>46517</v>
      </c>
      <c r="D12190" s="18" t="s">
        <v>172</v>
      </c>
      <c r="E12190" s="18" t="s">
        <v>46518</v>
      </c>
      <c r="F12190" s="18" t="str">
        <f>IFERROR(__XLUDF.DUMMYFUNCTION("PROPER(REGEXREPLACE(D258,""[^A-Za-z]+ "",""""))"),"Groupe Moyse")</f>
        <v xml:space="preserve">Groupe Moyse</v>
      </c>
      <c r="G12190" s="18" t="s">
        <v>46519</v>
      </c>
      <c r="H12190" s="18">
        <v>41</v>
      </c>
      <c r="I12190" s="18" t="s">
        <v>9239</v>
      </c>
      <c r="J12190" s="18" t="str">
        <f>IFERROR(__XLUDF.DUMMYFUNCTION("VLOOKUP(M258,IMPORTRANGE(""https://docs.google.com/spreadsheets/d/1opm6ZNvGZ7KditA9TuJwrZ25eFLfTNIkrNnY6mhV5Eg"",""list!A1:C115""),3,TRUE)"),"le secteur de la production alimentaire")</f>
        <v xml:space="preserve">le secteur de la production alimentaire</v>
      </c>
      <c r="K12190" s="5" t="s">
        <v>46520</v>
      </c>
      <c r="L12190" s="5" t="s">
        <v>46521</v>
      </c>
      <c r="M12190" s="18" t="s">
        <v>149</v>
      </c>
      <c r="N12190" s="18" t="s">
        <v>29</v>
      </c>
      <c r="O12190" s="18" t="s">
        <v>46522</v>
      </c>
      <c r="P12190" s="18" t="s">
        <v>29</v>
      </c>
      <c r="Q12190" s="6"/>
      <c r="R12190" s="6"/>
      <c r="S12190" s="6"/>
      <c r="T12190" s="6"/>
      <c r="U12190" s="6"/>
      <c r="V12190" s="6"/>
      <c r="W12190" s="6"/>
      <c r="X12190" s="6"/>
    </row>
    <row r="12191" ht="14.25">
      <c r="B12191" s="18" t="s">
        <v>18814</v>
      </c>
      <c r="C12191" s="18" t="s">
        <v>51392</v>
      </c>
      <c r="D12191" s="18" t="s">
        <v>51393</v>
      </c>
      <c r="E12191" s="18" t="s">
        <v>51394</v>
      </c>
      <c r="F12191" s="18" t="str">
        <f>IFERROR(__XLUDF.DUMMYFUNCTION("PROPER(REGEXREPLACE(D259,""[^A-Za-z]+ "",""""))"),"Elyor Group")</f>
        <v xml:space="preserve">Elyor Group</v>
      </c>
      <c r="G12191" s="18" t="s">
        <v>51395</v>
      </c>
      <c r="H12191" s="18">
        <v>20</v>
      </c>
      <c r="I12191" s="18" t="s">
        <v>9239</v>
      </c>
      <c r="J12191" s="18" t="str">
        <f>IFERROR(__XLUDF.DUMMYFUNCTION("VLOOKUP(M259,IMPORTRANGE(""https://docs.google.com/spreadsheets/d/1opm6ZNvGZ7KditA9TuJwrZ25eFLfTNIkrNnY6mhV5Eg"",""list!A1:C115""),3,TRUE)"),"le secteur de la production alimentaire")</f>
        <v xml:space="preserve">le secteur de la production alimentaire</v>
      </c>
      <c r="K12191" s="5" t="s">
        <v>51396</v>
      </c>
      <c r="L12191" s="5" t="s">
        <v>51397</v>
      </c>
      <c r="M12191" s="6"/>
      <c r="N12191" s="18" t="s">
        <v>29</v>
      </c>
      <c r="O12191" s="18" t="s">
        <v>2279</v>
      </c>
      <c r="P12191" s="18" t="s">
        <v>29</v>
      </c>
      <c r="Q12191" s="18" t="s">
        <v>51398</v>
      </c>
      <c r="R12191" s="6"/>
      <c r="S12191" s="6"/>
      <c r="T12191" s="6"/>
      <c r="U12191" s="6"/>
      <c r="V12191" s="6"/>
      <c r="W12191" s="6"/>
      <c r="X12191" s="6"/>
    </row>
    <row r="12192" ht="14.25">
      <c r="B12192" s="18" t="s">
        <v>53017</v>
      </c>
      <c r="C12192" s="18" t="s">
        <v>53018</v>
      </c>
      <c r="D12192" s="18" t="s">
        <v>112</v>
      </c>
      <c r="E12192" s="18" t="s">
        <v>52721</v>
      </c>
      <c r="F12192" s="18" t="str">
        <f>IFERROR(__XLUDF.DUMMYFUNCTION("PROPER(REGEXREPLACE(D260,""[^A-Za-z]+ "",""""))"),"Soredal")</f>
        <v>Soredal</v>
      </c>
      <c r="G12192" s="18" t="s">
        <v>53019</v>
      </c>
      <c r="H12192" s="18">
        <v>20</v>
      </c>
      <c r="I12192" s="18" t="s">
        <v>9239</v>
      </c>
      <c r="J12192" s="18" t="str">
        <f>IFERROR(__XLUDF.DUMMYFUNCTION("VLOOKUP(M260,IMPORTRANGE(""https://docs.google.com/spreadsheets/d/1opm6ZNvGZ7KditA9TuJwrZ25eFLfTNIkrNnY6mhV5Eg"",""list!A1:C115""),3,TRUE)"),"le secteur de la production alimentaire")</f>
        <v xml:space="preserve">le secteur de la production alimentaire</v>
      </c>
      <c r="K12192" s="5" t="s">
        <v>53020</v>
      </c>
      <c r="L12192" s="5" t="s">
        <v>52724</v>
      </c>
      <c r="M12192" s="18" t="s">
        <v>53021</v>
      </c>
      <c r="N12192" s="18" t="s">
        <v>29</v>
      </c>
      <c r="O12192" s="18" t="s">
        <v>52725</v>
      </c>
      <c r="P12192" s="18" t="s">
        <v>29</v>
      </c>
      <c r="Q12192" s="6"/>
      <c r="R12192" s="6"/>
      <c r="S12192" s="6"/>
      <c r="T12192" s="6"/>
      <c r="U12192" s="6"/>
      <c r="V12192" s="6"/>
      <c r="W12192" s="6"/>
      <c r="X12192" s="6"/>
    </row>
    <row r="12193" ht="14.25">
      <c r="B12193" s="18" t="s">
        <v>48203</v>
      </c>
      <c r="C12193" s="18" t="s">
        <v>7198</v>
      </c>
      <c r="D12193" s="18" t="s">
        <v>164</v>
      </c>
      <c r="E12193" s="18" t="s">
        <v>45267</v>
      </c>
      <c r="F12193" s="18" t="str">
        <f>IFERROR(__XLUDF.DUMMYFUNCTION("PROPER(REGEXREPLACE(D261,""[^A-Za-z]+ "",""""))"),"Bureau D'Etudes Qsb")</f>
        <v xml:space="preserve">Bureau D'Etudes Qsb</v>
      </c>
      <c r="G12193" s="18" t="s">
        <v>48204</v>
      </c>
      <c r="H12193" s="18">
        <v>18</v>
      </c>
      <c r="I12193" s="18" t="s">
        <v>9239</v>
      </c>
      <c r="J12193" s="18" t="str">
        <f>IFERROR(__XLUDF.DUMMYFUNCTION("VLOOKUP(M261,IMPORTRANGE(""https://docs.google.com/spreadsheets/d/1opm6ZNvGZ7KditA9TuJwrZ25eFLfTNIkrNnY6mhV5Eg"",""list!A1:C115""),3,TRUE)"),"le secteur de la production alimentaire")</f>
        <v xml:space="preserve">le secteur de la production alimentaire</v>
      </c>
      <c r="K12193" s="5" t="s">
        <v>48205</v>
      </c>
      <c r="L12193" s="5" t="s">
        <v>45270</v>
      </c>
      <c r="M12193" s="18" t="s">
        <v>48206</v>
      </c>
      <c r="N12193" s="18" t="s">
        <v>29</v>
      </c>
      <c r="O12193" s="18" t="s">
        <v>45271</v>
      </c>
      <c r="P12193" s="18" t="s">
        <v>29</v>
      </c>
      <c r="Q12193" s="18" t="s">
        <v>45272</v>
      </c>
      <c r="R12193" s="6"/>
      <c r="S12193" s="6"/>
      <c r="T12193" s="6"/>
      <c r="U12193" s="6"/>
      <c r="V12193" s="6"/>
      <c r="W12193" s="6"/>
      <c r="X12193" s="6"/>
    </row>
    <row r="12194" ht="14.25">
      <c r="B12194" s="18" t="s">
        <v>52283</v>
      </c>
      <c r="C12194" s="18" t="s">
        <v>52284</v>
      </c>
      <c r="D12194" s="18" t="s">
        <v>468</v>
      </c>
      <c r="E12194" s="18" t="s">
        <v>52285</v>
      </c>
      <c r="F12194" s="18" t="str">
        <f>IFERROR(__XLUDF.DUMMYFUNCTION("PROPER(REGEXREPLACE(D262,""[^A-Za-z]+ "",""""))"),"Groupe Bonhomme")</f>
        <v xml:space="preserve">Groupe Bonhomme</v>
      </c>
      <c r="G12194" s="18" t="s">
        <v>52286</v>
      </c>
      <c r="H12194" s="18">
        <v>18</v>
      </c>
      <c r="I12194" s="18" t="s">
        <v>9239</v>
      </c>
      <c r="J12194" s="18" t="str">
        <f>IFERROR(__XLUDF.DUMMYFUNCTION("VLOOKUP(M262,IMPORTRANGE(""https://docs.google.com/spreadsheets/d/1opm6ZNvGZ7KditA9TuJwrZ25eFLfTNIkrNnY6mhV5Eg"",""list!A1:C115""),3,TRUE)"),"le secteur de la production alimentaire")</f>
        <v xml:space="preserve">le secteur de la production alimentaire</v>
      </c>
      <c r="K12194" s="5" t="s">
        <v>52287</v>
      </c>
      <c r="L12194" s="5" t="s">
        <v>52288</v>
      </c>
      <c r="M12194" s="18" t="s">
        <v>52289</v>
      </c>
      <c r="N12194" s="18" t="s">
        <v>29</v>
      </c>
      <c r="O12194" s="18" t="s">
        <v>52290</v>
      </c>
      <c r="P12194" s="18" t="s">
        <v>29</v>
      </c>
      <c r="Q12194" s="18" t="s">
        <v>52291</v>
      </c>
      <c r="R12194" s="6"/>
      <c r="S12194" s="6"/>
      <c r="T12194" s="6"/>
      <c r="U12194" s="6"/>
      <c r="V12194" s="6"/>
      <c r="W12194" s="6"/>
      <c r="X12194" s="6"/>
    </row>
    <row r="12195" ht="14.25">
      <c r="B12195" s="18" t="s">
        <v>963</v>
      </c>
      <c r="C12195" s="18" t="s">
        <v>50917</v>
      </c>
      <c r="D12195" s="18" t="s">
        <v>8042</v>
      </c>
      <c r="E12195" s="18" t="s">
        <v>50918</v>
      </c>
      <c r="F12195" s="18" t="str">
        <f>IFERROR(__XLUDF.DUMMYFUNCTION("PROPER(REGEXREPLACE(D263,""[^A-Za-z]+ "",""""))"),"Bftb Sas")</f>
        <v xml:space="preserve">Bftb Sas</v>
      </c>
      <c r="G12195" s="18" t="s">
        <v>50919</v>
      </c>
      <c r="H12195" s="18">
        <v>10</v>
      </c>
      <c r="I12195" s="18" t="s">
        <v>9239</v>
      </c>
      <c r="J12195" s="18" t="str">
        <f>IFERROR(__XLUDF.DUMMYFUNCTION("VLOOKUP(M263,IMPORTRANGE(""https://docs.google.com/spreadsheets/d/1opm6ZNvGZ7KditA9TuJwrZ25eFLfTNIkrNnY6mhV5Eg"",""list!A1:C115""),3,TRUE)"),"le secteur de la production alimentaire")</f>
        <v xml:space="preserve">le secteur de la production alimentaire</v>
      </c>
      <c r="K12195" s="5" t="s">
        <v>50920</v>
      </c>
      <c r="L12195" s="5" t="s">
        <v>50921</v>
      </c>
      <c r="M12195" s="18" t="s">
        <v>4943</v>
      </c>
      <c r="N12195" s="18" t="s">
        <v>29</v>
      </c>
      <c r="O12195" s="18" t="s">
        <v>50922</v>
      </c>
      <c r="P12195" s="18" t="s">
        <v>29</v>
      </c>
      <c r="Q12195" s="18" t="s">
        <v>50923</v>
      </c>
      <c r="R12195" s="6"/>
      <c r="S12195" s="6"/>
      <c r="T12195" s="6"/>
      <c r="U12195" s="6"/>
      <c r="V12195" s="6"/>
      <c r="W12195" s="6"/>
      <c r="X12195" s="6"/>
    </row>
    <row r="12196" ht="14.25">
      <c r="B12196" s="18" t="s">
        <v>206</v>
      </c>
      <c r="C12196" s="18" t="s">
        <v>52918</v>
      </c>
      <c r="D12196" s="18" t="s">
        <v>112</v>
      </c>
      <c r="E12196" s="18" t="s">
        <v>52919</v>
      </c>
      <c r="F12196" s="18" t="str">
        <f>IFERROR(__XLUDF.DUMMYFUNCTION("PROPER(REGEXREPLACE(D264,""[^A-Za-z]+ "",""""))"),"Diebolt Tp")</f>
        <v xml:space="preserve">Diebolt Tp</v>
      </c>
      <c r="G12196" s="18" t="s">
        <v>52920</v>
      </c>
      <c r="H12196" s="18">
        <v>11</v>
      </c>
      <c r="I12196" s="18" t="s">
        <v>9239</v>
      </c>
      <c r="J12196" s="18" t="str">
        <f>IFERROR(__XLUDF.DUMMYFUNCTION("VLOOKUP(M264,IMPORTRANGE(""https://docs.google.com/spreadsheets/d/1opm6ZNvGZ7KditA9TuJwrZ25eFLfTNIkrNnY6mhV5Eg"",""list!A1:C115""),3,TRUE)"),"le secteur de la production alimentaire")</f>
        <v xml:space="preserve">le secteur de la production alimentaire</v>
      </c>
      <c r="K12196" s="5" t="s">
        <v>52921</v>
      </c>
      <c r="L12196" s="5" t="s">
        <v>52922</v>
      </c>
      <c r="M12196" s="18" t="s">
        <v>651</v>
      </c>
      <c r="N12196" s="18" t="s">
        <v>29</v>
      </c>
      <c r="O12196" s="18" t="s">
        <v>52923</v>
      </c>
      <c r="P12196" s="18" t="s">
        <v>29</v>
      </c>
      <c r="Q12196" s="6"/>
      <c r="R12196" s="6"/>
      <c r="S12196" s="6"/>
      <c r="T12196" s="6"/>
      <c r="U12196" s="6"/>
      <c r="V12196" s="6"/>
      <c r="W12196" s="6"/>
      <c r="X12196" s="6"/>
    </row>
    <row r="12197" ht="14.25">
      <c r="B12197" s="18" t="s">
        <v>170</v>
      </c>
      <c r="C12197" s="18" t="s">
        <v>48534</v>
      </c>
      <c r="D12197" s="18" t="s">
        <v>48535</v>
      </c>
      <c r="E12197" s="18" t="s">
        <v>48536</v>
      </c>
      <c r="F12197" s="18" t="str">
        <f>IFERROR(__XLUDF.DUMMYFUNCTION("PROPER(REGEXREPLACE(D265,""[^A-Za-z]+ "",""""))"),"Groupe Ascia")</f>
        <v xml:space="preserve">Groupe Ascia</v>
      </c>
      <c r="G12197" s="18" t="s">
        <v>48537</v>
      </c>
      <c r="H12197" s="18">
        <v>41</v>
      </c>
      <c r="I12197" s="18" t="s">
        <v>9239</v>
      </c>
      <c r="J12197" s="18" t="str">
        <f>IFERROR(__XLUDF.DUMMYFUNCTION("VLOOKUP(M265,IMPORTRANGE(""https://docs.google.com/spreadsheets/d/1opm6ZNvGZ7KditA9TuJwrZ25eFLfTNIkrNnY6mhV5Eg"",""list!A1:C115""),3,TRUE)"),"le secteur de la production alimentaire")</f>
        <v xml:space="preserve">le secteur de la production alimentaire</v>
      </c>
      <c r="K12197" s="5" t="s">
        <v>48538</v>
      </c>
      <c r="L12197" s="5" t="s">
        <v>48539</v>
      </c>
      <c r="M12197" s="18" t="s">
        <v>7361</v>
      </c>
      <c r="N12197" s="18" t="s">
        <v>29</v>
      </c>
      <c r="O12197" s="18" t="s">
        <v>48540</v>
      </c>
      <c r="P12197" s="18" t="s">
        <v>29</v>
      </c>
      <c r="Q12197" s="18" t="s">
        <v>48541</v>
      </c>
      <c r="R12197" s="6"/>
      <c r="S12197" s="6"/>
      <c r="T12197" s="6"/>
      <c r="U12197" s="6"/>
      <c r="V12197" s="6"/>
      <c r="W12197" s="6"/>
      <c r="X12197" s="6"/>
    </row>
    <row r="12198" ht="14.25">
      <c r="B12198" s="18" t="s">
        <v>3002</v>
      </c>
      <c r="C12198" s="18" t="s">
        <v>46350</v>
      </c>
      <c r="D12198" s="18" t="s">
        <v>9456</v>
      </c>
      <c r="E12198" s="18" t="s">
        <v>46351</v>
      </c>
      <c r="F12198" s="18" t="str">
        <f>IFERROR(__XLUDF.DUMMYFUNCTION("PROPER(REGEXREPLACE(D266,""[^A-Za-z]+ "",""""))"),"Déco Charpente")</f>
        <v xml:space="preserve">Déco Charpente</v>
      </c>
      <c r="G12198" s="18" t="s">
        <v>46352</v>
      </c>
      <c r="H12198" s="18">
        <v>20</v>
      </c>
      <c r="I12198" s="18" t="s">
        <v>9239</v>
      </c>
      <c r="J12198" s="18" t="str">
        <f>IFERROR(__XLUDF.DUMMYFUNCTION("VLOOKUP(M266,IMPORTRANGE(""https://docs.google.com/spreadsheets/d/1opm6ZNvGZ7KditA9TuJwrZ25eFLfTNIkrNnY6mhV5Eg"",""list!A1:C115""),3,TRUE)"),"le secteur de la production alimentaire")</f>
        <v xml:space="preserve">le secteur de la production alimentaire</v>
      </c>
      <c r="K12198" s="5" t="s">
        <v>46353</v>
      </c>
      <c r="L12198" s="5" t="s">
        <v>46354</v>
      </c>
      <c r="M12198" s="18" t="s">
        <v>46355</v>
      </c>
      <c r="N12198" s="18" t="s">
        <v>29</v>
      </c>
      <c r="O12198" s="18" t="s">
        <v>46356</v>
      </c>
      <c r="P12198" s="18" t="s">
        <v>29</v>
      </c>
      <c r="Q12198" s="18" t="s">
        <v>46357</v>
      </c>
      <c r="R12198" s="6"/>
      <c r="S12198" s="6"/>
      <c r="T12198" s="6"/>
      <c r="U12198" s="6"/>
      <c r="V12198" s="6"/>
      <c r="W12198" s="6"/>
      <c r="X12198" s="6"/>
    </row>
    <row r="12199" ht="14.25">
      <c r="B12199" s="18" t="s">
        <v>245</v>
      </c>
      <c r="C12199" s="18" t="s">
        <v>51339</v>
      </c>
      <c r="D12199" s="18" t="s">
        <v>172</v>
      </c>
      <c r="E12199" s="18" t="s">
        <v>10503</v>
      </c>
      <c r="F12199" s="18" t="str">
        <f>IFERROR(__XLUDF.DUMMYFUNCTION("PROPER(REGEXREPLACE(D267,""[^A-Za-z]+ "",""""))"),"La Set")</f>
        <v xml:space="preserve">La Set</v>
      </c>
      <c r="G12199" s="18" t="s">
        <v>51340</v>
      </c>
      <c r="H12199" s="18">
        <v>40</v>
      </c>
      <c r="I12199" s="18" t="s">
        <v>9239</v>
      </c>
      <c r="J12199" s="18" t="str">
        <f>IFERROR(__XLUDF.DUMMYFUNCTION("VLOOKUP(M267,IMPORTRANGE(""https://docs.google.com/spreadsheets/d/1opm6ZNvGZ7KditA9TuJwrZ25eFLfTNIkrNnY6mhV5Eg"",""list!A1:C115""),3,TRUE)"),"le secteur de la production alimentaire")</f>
        <v xml:space="preserve">le secteur de la production alimentaire</v>
      </c>
      <c r="K12199" s="5" t="s">
        <v>51341</v>
      </c>
      <c r="L12199" s="5" t="s">
        <v>51342</v>
      </c>
      <c r="M12199" s="18" t="s">
        <v>3898</v>
      </c>
      <c r="N12199" s="18" t="s">
        <v>29</v>
      </c>
      <c r="O12199" s="18" t="s">
        <v>51343</v>
      </c>
      <c r="P12199" s="18" t="s">
        <v>29</v>
      </c>
      <c r="Q12199" s="6"/>
      <c r="R12199" s="6"/>
      <c r="S12199" s="6"/>
      <c r="T12199" s="6"/>
      <c r="U12199" s="6"/>
      <c r="V12199" s="6"/>
      <c r="W12199" s="6"/>
      <c r="X12199" s="6"/>
    </row>
    <row r="12200" ht="14.25">
      <c r="B12200" s="18" t="s">
        <v>963</v>
      </c>
      <c r="C12200" s="18" t="s">
        <v>50491</v>
      </c>
      <c r="D12200" s="18" t="s">
        <v>50492</v>
      </c>
      <c r="E12200" s="18" t="s">
        <v>50493</v>
      </c>
      <c r="F12200" s="18" t="str">
        <f>IFERROR(__XLUDF.DUMMYFUNCTION("PROPER(REGEXREPLACE(D268,""[^A-Za-z]+ "",""""))"),"Geo²Concept")</f>
        <v>Geo²Concept</v>
      </c>
      <c r="G12200" s="18" t="s">
        <v>50494</v>
      </c>
      <c r="H12200" s="18">
        <v>20</v>
      </c>
      <c r="I12200" s="18" t="s">
        <v>9239</v>
      </c>
      <c r="J12200" s="18" t="str">
        <f>IFERROR(__XLUDF.DUMMYFUNCTION("VLOOKUP(M268,IMPORTRANGE(""https://docs.google.com/spreadsheets/d/1opm6ZNvGZ7KditA9TuJwrZ25eFLfTNIkrNnY6mhV5Eg"",""list!A1:C115""),3,TRUE)"),"le secteur de la production alimentaire")</f>
        <v xml:space="preserve">le secteur de la production alimentaire</v>
      </c>
      <c r="K12200" s="5" t="s">
        <v>50495</v>
      </c>
      <c r="L12200" s="5" t="s">
        <v>50496</v>
      </c>
      <c r="M12200" s="18" t="s">
        <v>439</v>
      </c>
      <c r="N12200" s="18" t="s">
        <v>29</v>
      </c>
      <c r="O12200" s="18" t="s">
        <v>50497</v>
      </c>
      <c r="P12200" s="18" t="s">
        <v>29</v>
      </c>
      <c r="Q12200" s="18" t="s">
        <v>50498</v>
      </c>
      <c r="R12200" s="6"/>
      <c r="S12200" s="6"/>
      <c r="T12200" s="6"/>
      <c r="U12200" s="6"/>
      <c r="V12200" s="6"/>
      <c r="W12200" s="6"/>
      <c r="X12200" s="6"/>
    </row>
    <row r="12201" ht="14.25">
      <c r="B12201" s="18" t="s">
        <v>2119</v>
      </c>
      <c r="C12201" s="18" t="s">
        <v>52243</v>
      </c>
      <c r="D12201" s="18" t="s">
        <v>172</v>
      </c>
      <c r="E12201" s="18" t="s">
        <v>51664</v>
      </c>
      <c r="F12201" s="18" t="str">
        <f>IFERROR(__XLUDF.DUMMYFUNCTION("PROPER(REGEXREPLACE(D269,""[^A-Za-z]+ "",""""))"),"Groupe Brunet")</f>
        <v xml:space="preserve">Groupe Brunet</v>
      </c>
      <c r="G12201" s="18" t="s">
        <v>52244</v>
      </c>
      <c r="H12201" s="18">
        <v>17</v>
      </c>
      <c r="I12201" s="18" t="s">
        <v>9239</v>
      </c>
      <c r="J12201" s="18" t="str">
        <f>IFERROR(__XLUDF.DUMMYFUNCTION("VLOOKUP(M269,IMPORTRANGE(""https://docs.google.com/spreadsheets/d/1opm6ZNvGZ7KditA9TuJwrZ25eFLfTNIkrNnY6mhV5Eg"",""list!A1:C115""),3,TRUE)"),"le secteur de la production alimentaire")</f>
        <v xml:space="preserve">le secteur de la production alimentaire</v>
      </c>
      <c r="K12201" s="5" t="s">
        <v>52245</v>
      </c>
      <c r="L12201" s="5" t="s">
        <v>51667</v>
      </c>
      <c r="M12201" s="6"/>
      <c r="N12201" s="18" t="s">
        <v>29</v>
      </c>
      <c r="O12201" s="18" t="s">
        <v>51668</v>
      </c>
      <c r="P12201" s="18" t="s">
        <v>29</v>
      </c>
      <c r="Q12201" s="18" t="s">
        <v>51669</v>
      </c>
      <c r="R12201" s="6"/>
      <c r="S12201" s="6"/>
      <c r="T12201" s="6"/>
      <c r="U12201" s="6"/>
      <c r="V12201" s="6"/>
      <c r="W12201" s="6"/>
      <c r="X12201" s="6"/>
    </row>
    <row r="12202" ht="14.25">
      <c r="B12202" s="18" t="s">
        <v>38769</v>
      </c>
      <c r="C12202" s="18" t="s">
        <v>50385</v>
      </c>
      <c r="D12202" s="18" t="s">
        <v>468</v>
      </c>
      <c r="E12202" s="18" t="s">
        <v>48009</v>
      </c>
      <c r="F12202" s="18" t="str">
        <f>IFERROR(__XLUDF.DUMMYFUNCTION("PROPER(REGEXREPLACE(D270,""[^A-Za-z]+ "",""""))"),"Resolution France")</f>
        <v xml:space="preserve">Resolution France</v>
      </c>
      <c r="G12202" s="18" t="s">
        <v>50386</v>
      </c>
      <c r="H12202" s="18">
        <v>23</v>
      </c>
      <c r="I12202" s="18" t="s">
        <v>9239</v>
      </c>
      <c r="J12202" s="18" t="str">
        <f>IFERROR(__XLUDF.DUMMYFUNCTION("VLOOKUP(M270,IMPORTRANGE(""https://docs.google.com/spreadsheets/d/1opm6ZNvGZ7KditA9TuJwrZ25eFLfTNIkrNnY6mhV5Eg"",""list!A1:C115""),3,TRUE)"),"le secteur de la production alimentaire")</f>
        <v xml:space="preserve">le secteur de la production alimentaire</v>
      </c>
      <c r="K12202" s="5" t="s">
        <v>50387</v>
      </c>
      <c r="L12202" s="5" t="s">
        <v>48012</v>
      </c>
      <c r="M12202" s="18" t="s">
        <v>39</v>
      </c>
      <c r="N12202" s="18" t="s">
        <v>29</v>
      </c>
      <c r="O12202" s="18" t="s">
        <v>48013</v>
      </c>
      <c r="P12202" s="18" t="s">
        <v>29</v>
      </c>
      <c r="Q12202" s="6"/>
      <c r="R12202" s="6"/>
      <c r="S12202" s="6"/>
      <c r="T12202" s="6"/>
      <c r="U12202" s="6"/>
      <c r="V12202" s="6"/>
      <c r="W12202" s="6"/>
      <c r="X12202" s="6"/>
    </row>
    <row r="12203" ht="14.25">
      <c r="B12203" s="18" t="s">
        <v>5873</v>
      </c>
      <c r="C12203" s="18" t="s">
        <v>48077</v>
      </c>
      <c r="D12203" s="18" t="s">
        <v>112</v>
      </c>
      <c r="E12203" s="18" t="s">
        <v>48078</v>
      </c>
      <c r="F12203" s="18" t="str">
        <f>IFERROR(__XLUDF.DUMMYFUNCTION("PROPER(REGEXREPLACE(D271,""[^A-Za-z]+ "",""""))"),"Ets Peuch Fils")</f>
        <v xml:space="preserve">Ets Peuch Fils</v>
      </c>
      <c r="G12203" s="18" t="s">
        <v>48079</v>
      </c>
      <c r="H12203" s="18">
        <v>13</v>
      </c>
      <c r="I12203" s="18" t="s">
        <v>9239</v>
      </c>
      <c r="J12203" s="18" t="str">
        <f>IFERROR(__XLUDF.DUMMYFUNCTION("VLOOKUP(M271,IMPORTRANGE(""https://docs.google.com/spreadsheets/d/1opm6ZNvGZ7KditA9TuJwrZ25eFLfTNIkrNnY6mhV5Eg"",""list!A1:C115""),3,TRUE)"),"le secteur de la production alimentaire")</f>
        <v xml:space="preserve">le secteur de la production alimentaire</v>
      </c>
      <c r="K12203" s="5" t="s">
        <v>48080</v>
      </c>
      <c r="L12203" s="5" t="s">
        <v>48081</v>
      </c>
      <c r="M12203" s="18" t="s">
        <v>48082</v>
      </c>
      <c r="N12203" s="18" t="s">
        <v>29</v>
      </c>
      <c r="O12203" s="18" t="s">
        <v>48083</v>
      </c>
      <c r="P12203" s="18" t="s">
        <v>29</v>
      </c>
      <c r="Q12203" s="18" t="s">
        <v>48084</v>
      </c>
      <c r="R12203" s="6"/>
      <c r="S12203" s="6"/>
      <c r="T12203" s="6"/>
      <c r="U12203" s="6"/>
      <c r="V12203" s="6"/>
      <c r="W12203" s="6"/>
      <c r="X12203" s="6"/>
    </row>
    <row r="12204" ht="14.25">
      <c r="B12204" s="18" t="s">
        <v>14276</v>
      </c>
      <c r="C12204" s="18" t="s">
        <v>52825</v>
      </c>
      <c r="D12204" s="18" t="s">
        <v>112</v>
      </c>
      <c r="E12204" s="18" t="s">
        <v>52826</v>
      </c>
      <c r="F12204" s="18" t="str">
        <f>IFERROR(__XLUDF.DUMMYFUNCTION("PROPER(REGEXREPLACE(D272,""[^A-Za-z]+ "",""""))"),"Domani")</f>
        <v>Domani</v>
      </c>
      <c r="G12204" s="18" t="s">
        <v>52827</v>
      </c>
      <c r="H12204" s="18">
        <v>14</v>
      </c>
      <c r="I12204" s="18" t="s">
        <v>9239</v>
      </c>
      <c r="J12204" s="18" t="str">
        <f>IFERROR(__XLUDF.DUMMYFUNCTION("VLOOKUP(M272,IMPORTRANGE(""https://docs.google.com/spreadsheets/d/1opm6ZNvGZ7KditA9TuJwrZ25eFLfTNIkrNnY6mhV5Eg"",""list!A1:C115""),3,TRUE)"),"le secteur de la production alimentaire")</f>
        <v xml:space="preserve">le secteur de la production alimentaire</v>
      </c>
      <c r="K12204" s="5" t="s">
        <v>52828</v>
      </c>
      <c r="L12204" s="5" t="s">
        <v>52829</v>
      </c>
      <c r="M12204" s="18" t="s">
        <v>16314</v>
      </c>
      <c r="N12204" s="18" t="s">
        <v>29</v>
      </c>
      <c r="O12204" s="18" t="s">
        <v>52830</v>
      </c>
      <c r="P12204" s="18" t="s">
        <v>29</v>
      </c>
      <c r="Q12204" s="6"/>
      <c r="R12204" s="6"/>
      <c r="S12204" s="6"/>
      <c r="T12204" s="6"/>
      <c r="U12204" s="6"/>
      <c r="V12204" s="6"/>
      <c r="W12204" s="6"/>
      <c r="X12204" s="6"/>
    </row>
    <row r="12205" ht="14.25">
      <c r="B12205" s="18" t="s">
        <v>110</v>
      </c>
      <c r="C12205" s="18" t="s">
        <v>47833</v>
      </c>
      <c r="D12205" s="18" t="s">
        <v>112</v>
      </c>
      <c r="E12205" s="18" t="s">
        <v>47834</v>
      </c>
      <c r="F12205" s="18" t="str">
        <f>IFERROR(__XLUDF.DUMMYFUNCTION("PROPER(REGEXREPLACE(D273,""[^A-Za-z]+ "",""""))"),"Sas B Bati")</f>
        <v xml:space="preserve">Sas B Bati</v>
      </c>
      <c r="G12205" s="18" t="s">
        <v>47835</v>
      </c>
      <c r="H12205" s="18">
        <v>14</v>
      </c>
      <c r="I12205" s="18" t="s">
        <v>9239</v>
      </c>
      <c r="J12205" s="18" t="str">
        <f>IFERROR(__XLUDF.DUMMYFUNCTION("VLOOKUP(M273,IMPORTRANGE(""https://docs.google.com/spreadsheets/d/1opm6ZNvGZ7KditA9TuJwrZ25eFLfTNIkrNnY6mhV5Eg"",""list!A1:C115""),3,TRUE)"),"le secteur de la production alimentaire")</f>
        <v xml:space="preserve">le secteur de la production alimentaire</v>
      </c>
      <c r="K12205" s="5" t="s">
        <v>47836</v>
      </c>
      <c r="L12205" s="5" t="s">
        <v>47837</v>
      </c>
      <c r="M12205" s="18" t="s">
        <v>39</v>
      </c>
      <c r="N12205" s="18" t="s">
        <v>29</v>
      </c>
      <c r="O12205" s="18" t="s">
        <v>47838</v>
      </c>
      <c r="P12205" s="18" t="s">
        <v>29</v>
      </c>
      <c r="Q12205" s="6"/>
      <c r="R12205" s="6"/>
      <c r="S12205" s="6"/>
      <c r="T12205" s="6"/>
      <c r="U12205" s="6"/>
      <c r="V12205" s="6"/>
      <c r="W12205" s="6"/>
      <c r="X12205" s="6"/>
    </row>
    <row r="12206" ht="14.25">
      <c r="B12206" s="18" t="s">
        <v>110</v>
      </c>
      <c r="C12206" s="18" t="s">
        <v>45429</v>
      </c>
      <c r="D12206" s="18" t="s">
        <v>45430</v>
      </c>
      <c r="E12206" s="18" t="s">
        <v>45431</v>
      </c>
      <c r="F12206" s="18" t="str">
        <f>IFERROR(__XLUDF.DUMMYFUNCTION("PROPER(REGEXREPLACE(D274,""[^A-Za-z]+ "",""""))"),"Iris Expertise")</f>
        <v xml:space="preserve">Iris Expertise</v>
      </c>
      <c r="G12206" s="18" t="s">
        <v>45432</v>
      </c>
      <c r="H12206" s="18">
        <v>12</v>
      </c>
      <c r="I12206" s="18" t="s">
        <v>9239</v>
      </c>
      <c r="J12206" s="18" t="str">
        <f>IFERROR(__XLUDF.DUMMYFUNCTION("VLOOKUP(M274,IMPORTRANGE(""https://docs.google.com/spreadsheets/d/1opm6ZNvGZ7KditA9TuJwrZ25eFLfTNIkrNnY6mhV5Eg"",""list!A1:C115""),3,TRUE)"),"le secteur de la production alimentaire")</f>
        <v xml:space="preserve">le secteur de la production alimentaire</v>
      </c>
      <c r="K12206" s="5" t="s">
        <v>45433</v>
      </c>
      <c r="L12206" s="5" t="s">
        <v>45434</v>
      </c>
      <c r="M12206" s="6"/>
      <c r="N12206" s="18" t="s">
        <v>29</v>
      </c>
      <c r="O12206" s="18" t="s">
        <v>45435</v>
      </c>
      <c r="P12206" s="18" t="s">
        <v>29</v>
      </c>
      <c r="Q12206" s="18" t="s">
        <v>45436</v>
      </c>
      <c r="R12206" s="6"/>
      <c r="S12206" s="6"/>
      <c r="T12206" s="6"/>
      <c r="U12206" s="6"/>
      <c r="V12206" s="6"/>
      <c r="W12206" s="6"/>
      <c r="X12206" s="6"/>
    </row>
    <row r="12207" ht="14.25">
      <c r="B12207" s="18" t="s">
        <v>110</v>
      </c>
      <c r="C12207" s="18" t="s">
        <v>11099</v>
      </c>
      <c r="D12207" s="18" t="s">
        <v>112</v>
      </c>
      <c r="E12207" s="18" t="s">
        <v>47602</v>
      </c>
      <c r="F12207" s="18" t="str">
        <f>IFERROR(__XLUDF.DUMMYFUNCTION("PROPER(REGEXREPLACE(D275,""[^A-Za-z]+ "",""""))"),"Avr Ingenierie")</f>
        <v xml:space="preserve">Avr Ingenierie</v>
      </c>
      <c r="G12207" s="18" t="s">
        <v>47603</v>
      </c>
      <c r="H12207" s="18">
        <v>20</v>
      </c>
      <c r="I12207" s="18" t="s">
        <v>9239</v>
      </c>
      <c r="J12207" s="18" t="str">
        <f>IFERROR(__XLUDF.DUMMYFUNCTION("VLOOKUP(M275,IMPORTRANGE(""https://docs.google.com/spreadsheets/d/1opm6ZNvGZ7KditA9TuJwrZ25eFLfTNIkrNnY6mhV5Eg"",""list!A1:C115""),3,TRUE)"),"le secteur de la production alimentaire")</f>
        <v xml:space="preserve">le secteur de la production alimentaire</v>
      </c>
      <c r="K12207" s="5" t="s">
        <v>47604</v>
      </c>
      <c r="L12207" s="5" t="s">
        <v>47605</v>
      </c>
      <c r="M12207" s="18" t="s">
        <v>47606</v>
      </c>
      <c r="N12207" s="18" t="s">
        <v>29</v>
      </c>
      <c r="O12207" s="18" t="s">
        <v>47607</v>
      </c>
      <c r="P12207" s="18" t="s">
        <v>29</v>
      </c>
      <c r="Q12207" s="18" t="s">
        <v>55877</v>
      </c>
      <c r="R12207" s="6"/>
      <c r="S12207" s="6"/>
      <c r="T12207" s="6"/>
      <c r="U12207" s="6"/>
      <c r="V12207" s="6"/>
      <c r="W12207" s="6"/>
      <c r="X12207" s="6"/>
    </row>
    <row r="12208" ht="14.25">
      <c r="B12208" s="18" t="s">
        <v>110</v>
      </c>
      <c r="C12208" s="18" t="s">
        <v>45152</v>
      </c>
      <c r="D12208" s="18" t="s">
        <v>45153</v>
      </c>
      <c r="E12208" s="18" t="s">
        <v>45154</v>
      </c>
      <c r="F12208" s="18" t="str">
        <f>IFERROR(__XLUDF.DUMMYFUNCTION("PROPER(REGEXREPLACE(D276,""[^A-Za-z]+ "",""""))"),"Sfeco")</f>
        <v>Sfeco</v>
      </c>
      <c r="G12208" s="18" t="s">
        <v>45155</v>
      </c>
      <c r="H12208" s="18">
        <v>33</v>
      </c>
      <c r="I12208" s="18" t="s">
        <v>9239</v>
      </c>
      <c r="J12208" s="18" t="str">
        <f>IFERROR(__XLUDF.DUMMYFUNCTION("VLOOKUP(M276,IMPORTRANGE(""https://docs.google.com/spreadsheets/d/1opm6ZNvGZ7KditA9TuJwrZ25eFLfTNIkrNnY6mhV5Eg"",""list!A1:C115""),3,TRUE)"),"le secteur de la production alimentaire")</f>
        <v xml:space="preserve">le secteur de la production alimentaire</v>
      </c>
      <c r="K12208" s="5" t="s">
        <v>45156</v>
      </c>
      <c r="L12208" s="5" t="s">
        <v>45157</v>
      </c>
      <c r="M12208" s="18" t="s">
        <v>3848</v>
      </c>
      <c r="N12208" s="18" t="s">
        <v>29</v>
      </c>
      <c r="O12208" s="18" t="s">
        <v>45158</v>
      </c>
      <c r="P12208" s="18" t="s">
        <v>29</v>
      </c>
      <c r="Q12208" s="6"/>
      <c r="R12208" s="6"/>
      <c r="S12208" s="6"/>
      <c r="T12208" s="6"/>
      <c r="U12208" s="6"/>
      <c r="V12208" s="6"/>
      <c r="W12208" s="6"/>
      <c r="X12208" s="6"/>
    </row>
    <row r="12209" ht="14.25">
      <c r="B12209" s="18" t="s">
        <v>110</v>
      </c>
      <c r="C12209" s="18" t="s">
        <v>53151</v>
      </c>
      <c r="D12209" s="18" t="s">
        <v>1130</v>
      </c>
      <c r="E12209" s="18" t="s">
        <v>53152</v>
      </c>
      <c r="F12209" s="18" t="str">
        <f>IFERROR(__XLUDF.DUMMYFUNCTION("PROPER(REGEXREPLACE(D277,""[^A-Za-z]+ "",""""))"),"Grosset-Janin")</f>
        <v>Grosset-Janin</v>
      </c>
      <c r="G12209" s="18" t="s">
        <v>53153</v>
      </c>
      <c r="H12209" s="18">
        <v>27</v>
      </c>
      <c r="I12209" s="18" t="s">
        <v>9239</v>
      </c>
      <c r="J12209" s="18" t="str">
        <f>IFERROR(__XLUDF.DUMMYFUNCTION("VLOOKUP(M277,IMPORTRANGE(""https://docs.google.com/spreadsheets/d/1opm6ZNvGZ7KditA9TuJwrZ25eFLfTNIkrNnY6mhV5Eg"",""list!A1:C115""),3,TRUE)"),"le secteur de la production alimentaire")</f>
        <v xml:space="preserve">le secteur de la production alimentaire</v>
      </c>
      <c r="K12209" s="5" t="s">
        <v>53154</v>
      </c>
      <c r="L12209" s="5" t="s">
        <v>53155</v>
      </c>
      <c r="M12209" s="6"/>
      <c r="N12209" s="18" t="s">
        <v>29</v>
      </c>
      <c r="O12209" s="18" t="s">
        <v>53156</v>
      </c>
      <c r="P12209" s="18" t="s">
        <v>29</v>
      </c>
      <c r="Q12209" s="18" t="s">
        <v>53157</v>
      </c>
      <c r="R12209" s="6"/>
      <c r="S12209" s="6"/>
      <c r="T12209" s="6"/>
      <c r="U12209" s="6"/>
      <c r="V12209" s="6"/>
      <c r="W12209" s="6"/>
      <c r="X12209" s="6"/>
    </row>
    <row r="12210" ht="14.25">
      <c r="B12210" s="18" t="s">
        <v>55878</v>
      </c>
      <c r="C12210" s="18" t="s">
        <v>55879</v>
      </c>
      <c r="D12210" s="18" t="s">
        <v>7185</v>
      </c>
      <c r="E12210" s="18" t="s">
        <v>55880</v>
      </c>
      <c r="F12210" s="18" t="str">
        <f>IFERROR(__XLUDF.DUMMYFUNCTION("PROPER(REGEXREPLACE(D278,""[^A-Za-z]+ "",""""))"),"Mieux Renover")</f>
        <v xml:space="preserve">Mieux Renover</v>
      </c>
      <c r="G12210" s="18" t="s">
        <v>55881</v>
      </c>
      <c r="H12210" s="18">
        <v>25</v>
      </c>
      <c r="I12210" s="18" t="s">
        <v>9239</v>
      </c>
      <c r="J12210" s="18" t="str">
        <f>IFERROR(__XLUDF.DUMMYFUNCTION("VLOOKUP(M278,IMPORTRANGE(""https://docs.google.com/spreadsheets/d/1opm6ZNvGZ7KditA9TuJwrZ25eFLfTNIkrNnY6mhV5Eg"",""list!A1:C115""),3,TRUE)"),"le secteur de la production alimentaire")</f>
        <v xml:space="preserve">le secteur de la production alimentaire</v>
      </c>
      <c r="K12210" s="5" t="s">
        <v>55882</v>
      </c>
      <c r="L12210" s="5" t="s">
        <v>55883</v>
      </c>
      <c r="M12210" s="18" t="s">
        <v>39</v>
      </c>
      <c r="N12210" s="18" t="s">
        <v>29</v>
      </c>
      <c r="O12210" s="18" t="s">
        <v>55884</v>
      </c>
      <c r="P12210" s="18" t="s">
        <v>29</v>
      </c>
      <c r="Q12210" s="18" t="s">
        <v>55885</v>
      </c>
      <c r="R12210" s="6"/>
      <c r="S12210" s="6"/>
      <c r="T12210" s="6"/>
      <c r="U12210" s="6"/>
      <c r="V12210" s="6"/>
      <c r="W12210" s="6"/>
      <c r="X12210" s="6"/>
    </row>
    <row r="12211" ht="14.25">
      <c r="B12211" s="18" t="s">
        <v>110</v>
      </c>
      <c r="C12211" s="18" t="s">
        <v>2598</v>
      </c>
      <c r="D12211" s="18" t="s">
        <v>172</v>
      </c>
      <c r="E12211" s="18" t="s">
        <v>51101</v>
      </c>
      <c r="F12211" s="18" t="str">
        <f>IFERROR(__XLUDF.DUMMYFUNCTION("PROPER(REGEXREPLACE(D279,""[^A-Za-z]+ "",""""))"),"Ets Joseph Sas")</f>
        <v xml:space="preserve">Ets Joseph Sas</v>
      </c>
      <c r="G12211" s="18" t="s">
        <v>51102</v>
      </c>
      <c r="H12211" s="18">
        <v>25</v>
      </c>
      <c r="I12211" s="18" t="s">
        <v>9239</v>
      </c>
      <c r="J12211" s="18" t="str">
        <f>IFERROR(__XLUDF.DUMMYFUNCTION("VLOOKUP(M279,IMPORTRANGE(""https://docs.google.com/spreadsheets/d/1opm6ZNvGZ7KditA9TuJwrZ25eFLfTNIkrNnY6mhV5Eg"",""list!A1:C115""),3,TRUE)"),"le secteur de la production alimentaire")</f>
        <v xml:space="preserve">le secteur de la production alimentaire</v>
      </c>
      <c r="K12211" s="5" t="s">
        <v>51103</v>
      </c>
      <c r="L12211" s="5" t="s">
        <v>51104</v>
      </c>
      <c r="M12211" s="18" t="s">
        <v>11201</v>
      </c>
      <c r="N12211" s="18" t="s">
        <v>29</v>
      </c>
      <c r="O12211" s="18" t="s">
        <v>51105</v>
      </c>
      <c r="P12211" s="18" t="s">
        <v>29</v>
      </c>
      <c r="Q12211" s="6"/>
      <c r="R12211" s="6"/>
      <c r="S12211" s="6"/>
      <c r="T12211" s="6"/>
      <c r="U12211" s="6"/>
      <c r="V12211" s="6"/>
      <c r="W12211" s="6"/>
      <c r="X12211" s="6"/>
    </row>
    <row r="12212" ht="14.25">
      <c r="B12212" s="18" t="s">
        <v>110</v>
      </c>
      <c r="C12212" s="18" t="s">
        <v>47845</v>
      </c>
      <c r="D12212" s="18" t="s">
        <v>112</v>
      </c>
      <c r="E12212" s="18" t="s">
        <v>47846</v>
      </c>
      <c r="F12212" s="18" t="str">
        <f>IFERROR(__XLUDF.DUMMYFUNCTION("PROPER(REGEXREPLACE(D280,""[^A-Za-z]+ "",""""))"),"Sepem")</f>
        <v>Sepem</v>
      </c>
      <c r="G12212" s="18" t="s">
        <v>47847</v>
      </c>
      <c r="H12212" s="18">
        <v>11</v>
      </c>
      <c r="I12212" s="18" t="s">
        <v>9239</v>
      </c>
      <c r="J12212" s="18" t="str">
        <f>IFERROR(__XLUDF.DUMMYFUNCTION("VLOOKUP(M280,IMPORTRANGE(""https://docs.google.com/spreadsheets/d/1opm6ZNvGZ7KditA9TuJwrZ25eFLfTNIkrNnY6mhV5Eg"",""list!A1:C115""),3,TRUE)"),"le secteur de la production alimentaire")</f>
        <v xml:space="preserve">le secteur de la production alimentaire</v>
      </c>
      <c r="K12212" s="5" t="s">
        <v>47848</v>
      </c>
      <c r="L12212" s="5" t="s">
        <v>47849</v>
      </c>
      <c r="M12212" s="18" t="s">
        <v>83</v>
      </c>
      <c r="N12212" s="18" t="s">
        <v>29</v>
      </c>
      <c r="O12212" s="18" t="s">
        <v>47850</v>
      </c>
      <c r="P12212" s="18" t="s">
        <v>29</v>
      </c>
      <c r="Q12212" s="18" t="s">
        <v>47851</v>
      </c>
      <c r="R12212" s="6"/>
      <c r="S12212" s="6"/>
      <c r="T12212" s="6"/>
      <c r="U12212" s="6"/>
      <c r="V12212" s="6"/>
      <c r="W12212" s="6"/>
      <c r="X12212" s="6"/>
    </row>
    <row r="12213" ht="14.25">
      <c r="B12213" s="18" t="s">
        <v>110</v>
      </c>
      <c r="C12213" s="18" t="s">
        <v>47990</v>
      </c>
      <c r="D12213" s="18" t="s">
        <v>172</v>
      </c>
      <c r="E12213" s="18" t="s">
        <v>47991</v>
      </c>
      <c r="F12213" s="18" t="str">
        <f>IFERROR(__XLUDF.DUMMYFUNCTION("PROPER(REGEXREPLACE(D281,""[^A-Za-z]+ "",""""))"),"Scic Ielo")</f>
        <v xml:space="preserve">Scic Ielo</v>
      </c>
      <c r="G12213" s="18" t="s">
        <v>47992</v>
      </c>
      <c r="H12213" s="18">
        <v>10</v>
      </c>
      <c r="I12213" s="18" t="s">
        <v>9239</v>
      </c>
      <c r="J12213" s="18" t="str">
        <f>IFERROR(__XLUDF.DUMMYFUNCTION("VLOOKUP(M281,IMPORTRANGE(""https://docs.google.com/spreadsheets/d/1opm6ZNvGZ7KditA9TuJwrZ25eFLfTNIkrNnY6mhV5Eg"",""list!A1:C115""),3,TRUE)"),"le secteur de la production alimentaire")</f>
        <v xml:space="preserve">le secteur de la production alimentaire</v>
      </c>
      <c r="K12213" s="5" t="s">
        <v>47993</v>
      </c>
      <c r="L12213" s="5" t="s">
        <v>47994</v>
      </c>
      <c r="M12213" s="18" t="s">
        <v>6412</v>
      </c>
      <c r="N12213" s="18" t="s">
        <v>29</v>
      </c>
      <c r="O12213" s="6"/>
      <c r="P12213" s="6"/>
      <c r="Q12213" s="18" t="s">
        <v>47995</v>
      </c>
      <c r="R12213" s="6"/>
      <c r="S12213" s="6"/>
      <c r="T12213" s="6"/>
      <c r="U12213" s="6"/>
      <c r="V12213" s="6"/>
      <c r="W12213" s="6"/>
      <c r="X12213" s="6"/>
    </row>
    <row r="12214" ht="14.25">
      <c r="B12214" s="18" t="s">
        <v>110</v>
      </c>
      <c r="C12214" s="18" t="s">
        <v>55886</v>
      </c>
      <c r="D12214" s="18" t="s">
        <v>7759</v>
      </c>
      <c r="E12214" s="18" t="s">
        <v>55887</v>
      </c>
      <c r="F12214" s="18" t="str">
        <f>IFERROR(__XLUDF.DUMMYFUNCTION("PROPER(REGEXREPLACE(D282,""[^A-Za-z]+ "",""""))"),"Novecology")</f>
        <v>Novecology</v>
      </c>
      <c r="G12214" s="18" t="s">
        <v>55888</v>
      </c>
      <c r="H12214" s="18">
        <v>14</v>
      </c>
      <c r="I12214" s="18" t="s">
        <v>9239</v>
      </c>
      <c r="J12214" s="18" t="str">
        <f>IFERROR(__XLUDF.DUMMYFUNCTION("VLOOKUP(M282,IMPORTRANGE(""https://docs.google.com/spreadsheets/d/1opm6ZNvGZ7KditA9TuJwrZ25eFLfTNIkrNnY6mhV5Eg"",""list!A1:C115""),3,TRUE)"),"le secteur de la production alimentaire")</f>
        <v xml:space="preserve">le secteur de la production alimentaire</v>
      </c>
      <c r="K12214" s="5" t="s">
        <v>55889</v>
      </c>
      <c r="L12214" s="5" t="s">
        <v>55890</v>
      </c>
      <c r="M12214" s="6"/>
      <c r="N12214" s="18" t="s">
        <v>29</v>
      </c>
      <c r="O12214" s="18" t="s">
        <v>55891</v>
      </c>
      <c r="P12214" s="18" t="s">
        <v>29</v>
      </c>
      <c r="Q12214" s="18" t="s">
        <v>55892</v>
      </c>
      <c r="R12214" s="6"/>
      <c r="S12214" s="6"/>
      <c r="T12214" s="6"/>
      <c r="U12214" s="6"/>
      <c r="V12214" s="6"/>
      <c r="W12214" s="6"/>
      <c r="X12214" s="6"/>
    </row>
    <row r="12215" ht="14.25">
      <c r="B12215" s="18" t="s">
        <v>21731</v>
      </c>
      <c r="C12215" s="18" t="s">
        <v>45966</v>
      </c>
      <c r="D12215" s="18" t="s">
        <v>172</v>
      </c>
      <c r="E12215" s="18" t="s">
        <v>45967</v>
      </c>
      <c r="F12215" s="18" t="str">
        <f>IFERROR(__XLUDF.DUMMYFUNCTION("PROPER(REGEXREPLACE(D283,""[^A-Za-z]+ "",""""))"),"Sorreba Technologie®")</f>
        <v xml:space="preserve">Sorreba Technologie®</v>
      </c>
      <c r="G12215" s="18" t="s">
        <v>45968</v>
      </c>
      <c r="H12215" s="18">
        <v>22</v>
      </c>
      <c r="I12215" s="18" t="s">
        <v>9239</v>
      </c>
      <c r="J12215" s="18" t="str">
        <f>IFERROR(__XLUDF.DUMMYFUNCTION("VLOOKUP(M283,IMPORTRANGE(""https://docs.google.com/spreadsheets/d/1opm6ZNvGZ7KditA9TuJwrZ25eFLfTNIkrNnY6mhV5Eg"",""list!A1:C115""),3,TRUE)"),"le secteur de la production alimentaire")</f>
        <v xml:space="preserve">le secteur de la production alimentaire</v>
      </c>
      <c r="K12215" s="5" t="s">
        <v>45969</v>
      </c>
      <c r="L12215" s="5" t="s">
        <v>45970</v>
      </c>
      <c r="M12215" s="18" t="s">
        <v>243</v>
      </c>
      <c r="N12215" s="18" t="s">
        <v>29</v>
      </c>
      <c r="O12215" s="18" t="s">
        <v>5722</v>
      </c>
      <c r="P12215" s="18" t="s">
        <v>29</v>
      </c>
      <c r="Q12215" s="18" t="s">
        <v>45971</v>
      </c>
      <c r="R12215" s="6"/>
      <c r="S12215" s="6"/>
      <c r="T12215" s="6"/>
      <c r="U12215" s="6"/>
      <c r="V12215" s="6"/>
      <c r="W12215" s="6"/>
      <c r="X12215" s="6"/>
    </row>
    <row r="12216" ht="14.25">
      <c r="B12216" s="18" t="s">
        <v>330</v>
      </c>
      <c r="C12216" s="18" t="s">
        <v>48950</v>
      </c>
      <c r="D12216" s="18" t="s">
        <v>172</v>
      </c>
      <c r="E12216" s="18" t="s">
        <v>48951</v>
      </c>
      <c r="F12216" s="18" t="str">
        <f>IFERROR(__XLUDF.DUMMYFUNCTION("PROPER(REGEXREPLACE(D284,""[^A-Za-z]+ "",""""))"),"Ghezzi Menuiserie")</f>
        <v xml:space="preserve">Ghezzi Menuiserie</v>
      </c>
      <c r="G12216" s="18" t="s">
        <v>48952</v>
      </c>
      <c r="H12216" s="18">
        <v>41</v>
      </c>
      <c r="I12216" s="18" t="s">
        <v>9239</v>
      </c>
      <c r="J12216" s="18" t="str">
        <f>IFERROR(__XLUDF.DUMMYFUNCTION("VLOOKUP(M284,IMPORTRANGE(""https://docs.google.com/spreadsheets/d/1opm6ZNvGZ7KditA9TuJwrZ25eFLfTNIkrNnY6mhV5Eg"",""list!A1:C115""),3,TRUE)"),"le secteur de la production alimentaire")</f>
        <v xml:space="preserve">le secteur de la production alimentaire</v>
      </c>
      <c r="K12216" s="5" t="s">
        <v>48953</v>
      </c>
      <c r="L12216" s="5" t="s">
        <v>48954</v>
      </c>
      <c r="M12216" s="18" t="s">
        <v>48955</v>
      </c>
      <c r="N12216" s="18" t="s">
        <v>29</v>
      </c>
      <c r="O12216" s="18" t="s">
        <v>48956</v>
      </c>
      <c r="P12216" s="18" t="s">
        <v>29</v>
      </c>
      <c r="Q12216" s="18" t="s">
        <v>48957</v>
      </c>
      <c r="R12216" s="6"/>
      <c r="S12216" s="6"/>
      <c r="T12216" s="6"/>
      <c r="U12216" s="6"/>
      <c r="V12216" s="6"/>
      <c r="W12216" s="6"/>
      <c r="X12216" s="6"/>
    </row>
    <row r="12217" ht="14.25">
      <c r="B12217" s="18" t="s">
        <v>48978</v>
      </c>
      <c r="C12217" s="18" t="s">
        <v>48979</v>
      </c>
      <c r="D12217" s="18" t="s">
        <v>5480</v>
      </c>
      <c r="E12217" s="18" t="s">
        <v>48980</v>
      </c>
      <c r="F12217" s="18" t="str">
        <f>IFERROR(__XLUDF.DUMMYFUNCTION("PROPER(REGEXREPLACE(D285,""[^A-Za-z]+ "",""""))"),"Maisons Batige")</f>
        <v xml:space="preserve">Maisons Batige</v>
      </c>
      <c r="G12217" s="18" t="s">
        <v>48981</v>
      </c>
      <c r="H12217" s="18">
        <v>18</v>
      </c>
      <c r="I12217" s="18" t="s">
        <v>9239</v>
      </c>
      <c r="J12217" s="18" t="str">
        <f>IFERROR(__XLUDF.DUMMYFUNCTION("VLOOKUP(M285,IMPORTRANGE(""https://docs.google.com/spreadsheets/d/1opm6ZNvGZ7KditA9TuJwrZ25eFLfTNIkrNnY6mhV5Eg"",""list!A1:C115""),3,TRUE)"),"le secteur de la production alimentaire")</f>
        <v xml:space="preserve">le secteur de la production alimentaire</v>
      </c>
      <c r="K12217" s="5" t="s">
        <v>48982</v>
      </c>
      <c r="L12217" s="5" t="s">
        <v>48983</v>
      </c>
      <c r="M12217" s="6"/>
      <c r="N12217" s="18" t="s">
        <v>29</v>
      </c>
      <c r="O12217" s="18" t="s">
        <v>48984</v>
      </c>
      <c r="P12217" s="18" t="s">
        <v>29</v>
      </c>
      <c r="Q12217" s="18" t="s">
        <v>48985</v>
      </c>
      <c r="R12217" s="6"/>
      <c r="S12217" s="6"/>
      <c r="T12217" s="6"/>
      <c r="U12217" s="6"/>
      <c r="V12217" s="6"/>
      <c r="W12217" s="6"/>
      <c r="X12217" s="6"/>
    </row>
    <row r="12218" ht="14.25">
      <c r="B12218" s="18" t="s">
        <v>330</v>
      </c>
      <c r="C12218" s="18" t="s">
        <v>49453</v>
      </c>
      <c r="D12218" s="18" t="s">
        <v>172</v>
      </c>
      <c r="E12218" s="18" t="s">
        <v>49454</v>
      </c>
      <c r="F12218" s="18" t="str">
        <f>IFERROR(__XLUDF.DUMMYFUNCTION("PROPER(REGEXREPLACE(D286,""[^A-Za-z]+ "",""""))"),"Mabi")</f>
        <v>Mabi</v>
      </c>
      <c r="G12218" s="18" t="s">
        <v>49455</v>
      </c>
      <c r="H12218" s="18">
        <v>67</v>
      </c>
      <c r="I12218" s="18" t="s">
        <v>9239</v>
      </c>
      <c r="J12218" s="18" t="str">
        <f>IFERROR(__XLUDF.DUMMYFUNCTION("VLOOKUP(M286,IMPORTRANGE(""https://docs.google.com/spreadsheets/d/1opm6ZNvGZ7KditA9TuJwrZ25eFLfTNIkrNnY6mhV5Eg"",""list!A1:C115""),3,TRUE)"),"le secteur de la production alimentaire")</f>
        <v xml:space="preserve">le secteur de la production alimentaire</v>
      </c>
      <c r="K12218" s="5" t="s">
        <v>49456</v>
      </c>
      <c r="L12218" s="5" t="s">
        <v>49457</v>
      </c>
      <c r="M12218" s="18" t="s">
        <v>49458</v>
      </c>
      <c r="N12218" s="18" t="s">
        <v>29</v>
      </c>
      <c r="O12218" s="18" t="s">
        <v>49459</v>
      </c>
      <c r="P12218" s="18" t="s">
        <v>29</v>
      </c>
      <c r="Q12218" s="6"/>
      <c r="R12218" s="6"/>
      <c r="S12218" s="6"/>
      <c r="T12218" s="6"/>
      <c r="U12218" s="6"/>
      <c r="V12218" s="6"/>
      <c r="W12218" s="6"/>
      <c r="X12218" s="6"/>
    </row>
    <row r="12219" ht="14.25">
      <c r="B12219" s="18" t="s">
        <v>330</v>
      </c>
      <c r="C12219" s="18" t="s">
        <v>76</v>
      </c>
      <c r="D12219" s="18" t="s">
        <v>112</v>
      </c>
      <c r="E12219" s="18" t="s">
        <v>52913</v>
      </c>
      <c r="F12219" s="18" t="str">
        <f>IFERROR(__XLUDF.DUMMYFUNCTION("PROPER(REGEXREPLACE(D287,""[^A-Za-z]+ "",""""))"),"Demeures Rhône-Alpes")</f>
        <v xml:space="preserve">Demeures Rhône-Alpes</v>
      </c>
      <c r="G12219" s="18" t="s">
        <v>52914</v>
      </c>
      <c r="H12219" s="18">
        <v>23</v>
      </c>
      <c r="I12219" s="18" t="s">
        <v>9239</v>
      </c>
      <c r="J12219" s="18" t="str">
        <f>IFERROR(__XLUDF.DUMMYFUNCTION("VLOOKUP(M287,IMPORTRANGE(""https://docs.google.com/spreadsheets/d/1opm6ZNvGZ7KditA9TuJwrZ25eFLfTNIkrNnY6mhV5Eg"",""list!A1:C115""),3,TRUE)"),"le secteur de la production alimentaire")</f>
        <v xml:space="preserve">le secteur de la production alimentaire</v>
      </c>
      <c r="K12219" s="5" t="s">
        <v>52915</v>
      </c>
      <c r="L12219" s="5" t="s">
        <v>52916</v>
      </c>
      <c r="M12219" s="18" t="s">
        <v>185</v>
      </c>
      <c r="N12219" s="18" t="s">
        <v>29</v>
      </c>
      <c r="O12219" s="18" t="s">
        <v>52917</v>
      </c>
      <c r="P12219" s="18" t="s">
        <v>29</v>
      </c>
      <c r="Q12219" s="6"/>
      <c r="R12219" s="6"/>
      <c r="S12219" s="6"/>
      <c r="T12219" s="6"/>
      <c r="U12219" s="6"/>
      <c r="V12219" s="6"/>
      <c r="W12219" s="6"/>
      <c r="X12219" s="6"/>
    </row>
    <row r="12220" ht="14.25">
      <c r="B12220" s="18" t="s">
        <v>330</v>
      </c>
      <c r="C12220" s="18" t="s">
        <v>1924</v>
      </c>
      <c r="D12220" s="18" t="s">
        <v>5480</v>
      </c>
      <c r="E12220" s="18" t="s">
        <v>44879</v>
      </c>
      <c r="F12220" s="18" t="str">
        <f>IFERROR(__XLUDF.DUMMYFUNCTION("PROPER(REGEXREPLACE(D288,""[^A-Za-z]+ "",""""))"),"Groupe Mallet")</f>
        <v xml:space="preserve">Groupe Mallet</v>
      </c>
      <c r="G12220" s="18" t="s">
        <v>44880</v>
      </c>
      <c r="H12220" s="18">
        <v>22</v>
      </c>
      <c r="I12220" s="18" t="s">
        <v>9239</v>
      </c>
      <c r="J12220" s="18" t="str">
        <f>IFERROR(__XLUDF.DUMMYFUNCTION("VLOOKUP(M288,IMPORTRANGE(""https://docs.google.com/spreadsheets/d/1opm6ZNvGZ7KditA9TuJwrZ25eFLfTNIkrNnY6mhV5Eg"",""list!A1:C115""),3,TRUE)"),"le secteur de la production alimentaire")</f>
        <v xml:space="preserve">le secteur de la production alimentaire</v>
      </c>
      <c r="K12220" s="5" t="s">
        <v>44881</v>
      </c>
      <c r="L12220" s="5" t="s">
        <v>44882</v>
      </c>
      <c r="M12220" s="18" t="s">
        <v>562</v>
      </c>
      <c r="N12220" s="18" t="s">
        <v>29</v>
      </c>
      <c r="O12220" s="18" t="s">
        <v>44883</v>
      </c>
      <c r="P12220" s="18" t="s">
        <v>29</v>
      </c>
      <c r="Q12220" s="5" t="s">
        <v>44884</v>
      </c>
      <c r="R12220" s="6"/>
      <c r="S12220" s="6"/>
      <c r="T12220" s="6"/>
      <c r="U12220" s="6"/>
      <c r="V12220" s="6"/>
      <c r="W12220" s="6"/>
      <c r="X12220" s="6"/>
    </row>
    <row r="12221" ht="14.25">
      <c r="B12221" s="18" t="s">
        <v>330</v>
      </c>
      <c r="C12221" s="18" t="s">
        <v>49112</v>
      </c>
      <c r="D12221" s="18" t="s">
        <v>51555</v>
      </c>
      <c r="E12221" s="18" t="s">
        <v>55893</v>
      </c>
      <c r="F12221" s="18" t="str">
        <f>IFERROR(__XLUDF.DUMMYFUNCTION("PROPER(REGEXREPLACE(D289,""[^A-Za-z]+ "",""""))"),"Beam")</f>
        <v>Beam</v>
      </c>
      <c r="G12221" s="18" t="s">
        <v>51556</v>
      </c>
      <c r="H12221" s="18">
        <v>19</v>
      </c>
      <c r="I12221" s="18" t="s">
        <v>9239</v>
      </c>
      <c r="J12221" s="18" t="str">
        <f>IFERROR(__XLUDF.DUMMYFUNCTION("VLOOKUP(M289,IMPORTRANGE(""https://docs.google.com/spreadsheets/d/1opm6ZNvGZ7KditA9TuJwrZ25eFLfTNIkrNnY6mhV5Eg"",""list!A1:C115""),3,TRUE)"),"le secteur de la production alimentaire")</f>
        <v xml:space="preserve">le secteur de la production alimentaire</v>
      </c>
      <c r="K12221" s="5" t="s">
        <v>51557</v>
      </c>
      <c r="L12221" s="5" t="s">
        <v>50059</v>
      </c>
      <c r="M12221" s="18" t="s">
        <v>731</v>
      </c>
      <c r="N12221" s="18" t="s">
        <v>29</v>
      </c>
      <c r="O12221" s="18" t="s">
        <v>28777</v>
      </c>
      <c r="P12221" s="18" t="s">
        <v>29</v>
      </c>
      <c r="Q12221" s="6"/>
      <c r="R12221" s="6"/>
      <c r="S12221" s="6"/>
      <c r="T12221" s="6"/>
      <c r="U12221" s="6"/>
      <c r="V12221" s="6"/>
      <c r="W12221" s="6"/>
      <c r="X12221" s="6"/>
    </row>
    <row r="12222" ht="14.25">
      <c r="B12222" s="18" t="s">
        <v>330</v>
      </c>
      <c r="C12222" s="18" t="s">
        <v>45343</v>
      </c>
      <c r="D12222" s="18" t="s">
        <v>426</v>
      </c>
      <c r="E12222" s="18" t="s">
        <v>45344</v>
      </c>
      <c r="F12222" s="18" t="str">
        <f>IFERROR(__XLUDF.DUMMYFUNCTION("PROPER(REGEXREPLACE(D290,""[^A-Za-z]+ "",""""))"),"Rem-Isol")</f>
        <v>Rem-Isol</v>
      </c>
      <c r="G12222" s="18" t="s">
        <v>45345</v>
      </c>
      <c r="H12222" s="18">
        <v>12</v>
      </c>
      <c r="I12222" s="18" t="s">
        <v>9239</v>
      </c>
      <c r="J12222" s="18" t="str">
        <f>IFERROR(__XLUDF.DUMMYFUNCTION("VLOOKUP(M290,IMPORTRANGE(""https://docs.google.com/spreadsheets/d/1opm6ZNvGZ7KditA9TuJwrZ25eFLfTNIkrNnY6mhV5Eg"",""list!A1:C115""),3,TRUE)"),"le secteur de la production alimentaire")</f>
        <v xml:space="preserve">le secteur de la production alimentaire</v>
      </c>
      <c r="K12222" s="5" t="s">
        <v>45346</v>
      </c>
      <c r="L12222" s="5" t="s">
        <v>45347</v>
      </c>
      <c r="M12222" s="18" t="s">
        <v>185</v>
      </c>
      <c r="N12222" s="18" t="s">
        <v>29</v>
      </c>
      <c r="O12222" s="18" t="s">
        <v>45348</v>
      </c>
      <c r="P12222" s="18" t="s">
        <v>29</v>
      </c>
      <c r="Q12222" s="18" t="s">
        <v>45349</v>
      </c>
      <c r="R12222" s="6"/>
      <c r="S12222" s="6"/>
      <c r="T12222" s="6"/>
      <c r="U12222" s="6"/>
      <c r="V12222" s="6"/>
      <c r="W12222" s="6"/>
      <c r="X12222" s="6"/>
    </row>
    <row r="12223" ht="14.25">
      <c r="B12223" s="18" t="s">
        <v>330</v>
      </c>
      <c r="C12223" s="18" t="s">
        <v>49730</v>
      </c>
      <c r="D12223" s="18" t="s">
        <v>1950</v>
      </c>
      <c r="E12223" s="18" t="s">
        <v>48134</v>
      </c>
      <c r="F12223" s="18" t="str">
        <f>IFERROR(__XLUDF.DUMMYFUNCTION("PROPER(REGEXREPLACE(D291,""[^A-Za-z]+ "",""""))"),"Les Charpentiers De Paris")</f>
        <v xml:space="preserve">Les Charpentiers De Paris</v>
      </c>
      <c r="G12223" s="18" t="s">
        <v>49731</v>
      </c>
      <c r="H12223" s="18">
        <v>41</v>
      </c>
      <c r="I12223" s="18" t="s">
        <v>9239</v>
      </c>
      <c r="J12223" s="18" t="str">
        <f>IFERROR(__XLUDF.DUMMYFUNCTION("VLOOKUP(M291,IMPORTRANGE(""https://docs.google.com/spreadsheets/d/1opm6ZNvGZ7KditA9TuJwrZ25eFLfTNIkrNnY6mhV5Eg"",""list!A1:C115""),3,TRUE)"),"le secteur de la production alimentaire")</f>
        <v xml:space="preserve">le secteur de la production alimentaire</v>
      </c>
      <c r="K12223" s="5" t="s">
        <v>49732</v>
      </c>
      <c r="L12223" s="5" t="s">
        <v>48137</v>
      </c>
      <c r="M12223" s="6"/>
      <c r="N12223" s="18" t="s">
        <v>29</v>
      </c>
      <c r="O12223" s="18" t="s">
        <v>48138</v>
      </c>
      <c r="P12223" s="18" t="s">
        <v>29</v>
      </c>
      <c r="Q12223" s="18" t="s">
        <v>48139</v>
      </c>
      <c r="R12223" s="6"/>
      <c r="S12223" s="6"/>
      <c r="T12223" s="6"/>
      <c r="U12223" s="6"/>
      <c r="V12223" s="6"/>
      <c r="W12223" s="6"/>
      <c r="X12223" s="6"/>
    </row>
    <row r="12224" ht="14.25">
      <c r="B12224" s="18" t="s">
        <v>330</v>
      </c>
      <c r="C12224" s="18" t="s">
        <v>46305</v>
      </c>
      <c r="D12224" s="18" t="s">
        <v>29084</v>
      </c>
      <c r="E12224" s="18" t="s">
        <v>46306</v>
      </c>
      <c r="F12224" s="18" t="str">
        <f>IFERROR(__XLUDF.DUMMYFUNCTION("PROPER(REGEXREPLACE(D292,""[^A-Za-z]+ "",""""))"),"Husqvarna Construction France")</f>
        <v xml:space="preserve">Husqvarna Construction France</v>
      </c>
      <c r="G12224" s="18" t="s">
        <v>46307</v>
      </c>
      <c r="H12224" s="18">
        <v>23</v>
      </c>
      <c r="I12224" s="18" t="s">
        <v>9239</v>
      </c>
      <c r="J12224" s="18" t="str">
        <f>IFERROR(__XLUDF.DUMMYFUNCTION("VLOOKUP(M292,IMPORTRANGE(""https://docs.google.com/spreadsheets/d/1opm6ZNvGZ7KditA9TuJwrZ25eFLfTNIkrNnY6mhV5Eg"",""list!A1:C115""),3,TRUE)"),"le secteur de la production alimentaire")</f>
        <v xml:space="preserve">le secteur de la production alimentaire</v>
      </c>
      <c r="K12224" s="5" t="s">
        <v>46308</v>
      </c>
      <c r="L12224" s="5" t="s">
        <v>46309</v>
      </c>
      <c r="M12224" s="6"/>
      <c r="N12224" s="18" t="s">
        <v>29</v>
      </c>
      <c r="O12224" s="18" t="s">
        <v>46310</v>
      </c>
      <c r="P12224" s="18" t="s">
        <v>29</v>
      </c>
      <c r="Q12224" s="6"/>
      <c r="R12224" s="6"/>
      <c r="S12224" s="6"/>
      <c r="T12224" s="6"/>
      <c r="U12224" s="6"/>
      <c r="V12224" s="6"/>
      <c r="W12224" s="6"/>
      <c r="X12224" s="6"/>
    </row>
    <row r="12225" ht="14.25">
      <c r="B12225" s="18" t="s">
        <v>1596</v>
      </c>
      <c r="C12225" s="18" t="s">
        <v>48444</v>
      </c>
      <c r="D12225" s="18" t="s">
        <v>172</v>
      </c>
      <c r="E12225" s="18" t="s">
        <v>10296</v>
      </c>
      <c r="F12225" s="18" t="str">
        <f>IFERROR(__XLUDF.DUMMYFUNCTION("PROPER(REGEXREPLACE(D293,""[^A-Za-z]+ "",""""))"),"Axys Etudes Techniques Fluides")</f>
        <v xml:space="preserve">Axys Etudes Techniques Fluides</v>
      </c>
      <c r="G12225" s="18" t="s">
        <v>48445</v>
      </c>
      <c r="H12225" s="18">
        <v>31</v>
      </c>
      <c r="I12225" s="18" t="s">
        <v>9239</v>
      </c>
      <c r="J12225" s="18" t="str">
        <f>IFERROR(__XLUDF.DUMMYFUNCTION("VLOOKUP(M293,IMPORTRANGE(""https://docs.google.com/spreadsheets/d/1opm6ZNvGZ7KditA9TuJwrZ25eFLfTNIkrNnY6mhV5Eg"",""list!A1:C115""),3,TRUE)"),"le secteur de la production alimentaire")</f>
        <v xml:space="preserve">le secteur de la production alimentaire</v>
      </c>
      <c r="K12225" s="5" t="s">
        <v>48446</v>
      </c>
      <c r="L12225" s="5" t="s">
        <v>48447</v>
      </c>
      <c r="M12225" s="18" t="s">
        <v>10299</v>
      </c>
      <c r="N12225" s="18" t="s">
        <v>29</v>
      </c>
      <c r="O12225" s="18" t="s">
        <v>48448</v>
      </c>
      <c r="P12225" s="18" t="s">
        <v>29</v>
      </c>
      <c r="Q12225" s="18" t="s">
        <v>10301</v>
      </c>
      <c r="R12225" s="6"/>
      <c r="S12225" s="6"/>
      <c r="T12225" s="6"/>
      <c r="U12225" s="6"/>
      <c r="V12225" s="6"/>
      <c r="W12225" s="6"/>
      <c r="X12225" s="6"/>
    </row>
    <row r="12226" ht="14.25">
      <c r="B12226" s="18" t="s">
        <v>1215</v>
      </c>
      <c r="C12226" s="18" t="s">
        <v>47063</v>
      </c>
      <c r="D12226" s="18" t="s">
        <v>172</v>
      </c>
      <c r="E12226" s="18" t="s">
        <v>47064</v>
      </c>
      <c r="F12226" s="18" t="str">
        <f>IFERROR(__XLUDF.DUMMYFUNCTION("PROPER(REGEXREPLACE(D294,""[^A-Za-z]+ "",""""))"),"Merceron Tp")</f>
        <v xml:space="preserve">Merceron Tp</v>
      </c>
      <c r="G12226" s="18" t="s">
        <v>47065</v>
      </c>
      <c r="H12226" s="18">
        <v>55</v>
      </c>
      <c r="I12226" s="18" t="s">
        <v>9239</v>
      </c>
      <c r="J12226" s="18" t="str">
        <f>IFERROR(__XLUDF.DUMMYFUNCTION("VLOOKUP(M294,IMPORTRANGE(""https://docs.google.com/spreadsheets/d/1opm6ZNvGZ7KditA9TuJwrZ25eFLfTNIkrNnY6mhV5Eg"",""list!A1:C115""),3,TRUE)"),"le secteur de la production alimentaire")</f>
        <v xml:space="preserve">le secteur de la production alimentaire</v>
      </c>
      <c r="K12226" s="5" t="s">
        <v>47066</v>
      </c>
      <c r="L12226" s="5" t="s">
        <v>47067</v>
      </c>
      <c r="M12226" s="18" t="s">
        <v>39</v>
      </c>
      <c r="N12226" s="18" t="s">
        <v>29</v>
      </c>
      <c r="O12226" s="18" t="s">
        <v>47068</v>
      </c>
      <c r="P12226" s="18" t="s">
        <v>29</v>
      </c>
      <c r="Q12226" s="18" t="s">
        <v>55894</v>
      </c>
      <c r="R12226" s="6"/>
      <c r="S12226" s="6"/>
      <c r="T12226" s="6"/>
      <c r="U12226" s="6"/>
      <c r="V12226" s="6"/>
      <c r="W12226" s="6"/>
      <c r="X12226" s="6"/>
    </row>
    <row r="12227" ht="14.25">
      <c r="B12227" s="18" t="s">
        <v>1596</v>
      </c>
      <c r="C12227" s="18" t="s">
        <v>45698</v>
      </c>
      <c r="D12227" s="18" t="s">
        <v>172</v>
      </c>
      <c r="E12227" s="18" t="s">
        <v>45699</v>
      </c>
      <c r="F12227" s="18" t="str">
        <f>IFERROR(__XLUDF.DUMMYFUNCTION("PROPER(REGEXREPLACE(D295,""[^A-Za-z]+ "",""""))"),"Ecec Étanchéité")</f>
        <v xml:space="preserve">Ecec Étanchéité</v>
      </c>
      <c r="G12227" s="18" t="s">
        <v>45700</v>
      </c>
      <c r="H12227" s="18">
        <v>10</v>
      </c>
      <c r="I12227" s="18" t="s">
        <v>9239</v>
      </c>
      <c r="J12227" s="18" t="str">
        <f>IFERROR(__XLUDF.DUMMYFUNCTION("VLOOKUP(M295,IMPORTRANGE(""https://docs.google.com/spreadsheets/d/1opm6ZNvGZ7KditA9TuJwrZ25eFLfTNIkrNnY6mhV5Eg"",""list!A1:C115""),3,TRUE)"),"le secteur de la production alimentaire")</f>
        <v xml:space="preserve">le secteur de la production alimentaire</v>
      </c>
      <c r="K12227" s="5" t="s">
        <v>45701</v>
      </c>
      <c r="L12227" s="5" t="s">
        <v>45702</v>
      </c>
      <c r="M12227" s="18" t="s">
        <v>45703</v>
      </c>
      <c r="N12227" s="18" t="s">
        <v>29</v>
      </c>
      <c r="O12227" s="18" t="s">
        <v>45704</v>
      </c>
      <c r="P12227" s="18" t="s">
        <v>29</v>
      </c>
      <c r="Q12227" s="18" t="s">
        <v>45705</v>
      </c>
      <c r="R12227" s="6"/>
      <c r="S12227" s="6"/>
      <c r="T12227" s="6"/>
      <c r="U12227" s="6"/>
      <c r="V12227" s="6"/>
      <c r="W12227" s="6"/>
      <c r="X12227" s="6"/>
    </row>
    <row r="12228" ht="14.25">
      <c r="B12228" s="18" t="s">
        <v>1215</v>
      </c>
      <c r="C12228" s="18" t="s">
        <v>47808</v>
      </c>
      <c r="D12228" s="18" t="s">
        <v>426</v>
      </c>
      <c r="E12228" s="18" t="s">
        <v>47809</v>
      </c>
      <c r="F12228" s="18" t="str">
        <f>IFERROR(__XLUDF.DUMMYFUNCTION("PROPER(REGEXREPLACE(D296,""[^A-Za-z]+ "",""""))"),"Peinteco Sas")</f>
        <v xml:space="preserve">Peinteco Sas</v>
      </c>
      <c r="G12228" s="18" t="s">
        <v>47810</v>
      </c>
      <c r="H12228" s="18">
        <v>10</v>
      </c>
      <c r="I12228" s="18" t="s">
        <v>9239</v>
      </c>
      <c r="J12228" s="18" t="str">
        <f>IFERROR(__XLUDF.DUMMYFUNCTION("VLOOKUP(M296,IMPORTRANGE(""https://docs.google.com/spreadsheets/d/1opm6ZNvGZ7KditA9TuJwrZ25eFLfTNIkrNnY6mhV5Eg"",""list!A1:C115""),3,TRUE)"),"le secteur de la production alimentaire")</f>
        <v xml:space="preserve">le secteur de la production alimentaire</v>
      </c>
      <c r="K12228" s="5" t="s">
        <v>47811</v>
      </c>
      <c r="L12228" s="5" t="s">
        <v>47812</v>
      </c>
      <c r="M12228" s="18" t="s">
        <v>39</v>
      </c>
      <c r="N12228" s="18" t="s">
        <v>29</v>
      </c>
      <c r="O12228" s="18" t="s">
        <v>47813</v>
      </c>
      <c r="P12228" s="18" t="s">
        <v>29</v>
      </c>
      <c r="Q12228" s="18" t="s">
        <v>47814</v>
      </c>
      <c r="R12228" s="6"/>
      <c r="S12228" s="6"/>
      <c r="T12228" s="6"/>
      <c r="U12228" s="6"/>
      <c r="V12228" s="6"/>
      <c r="W12228" s="6"/>
      <c r="X12228" s="6"/>
    </row>
    <row r="12229" ht="14.25">
      <c r="B12229" s="18" t="s">
        <v>1596</v>
      </c>
      <c r="C12229" s="18" t="s">
        <v>45570</v>
      </c>
      <c r="D12229" s="18" t="s">
        <v>112</v>
      </c>
      <c r="E12229" s="18" t="s">
        <v>45571</v>
      </c>
      <c r="F12229" s="18" t="str">
        <f>IFERROR(__XLUDF.DUMMYFUNCTION("PROPER(REGEXREPLACE(D297,""[^A-Za-z]+ "",""""))"),"Groupe Brandizi")</f>
        <v xml:space="preserve">Groupe Brandizi</v>
      </c>
      <c r="G12229" s="18" t="s">
        <v>49794</v>
      </c>
      <c r="H12229" s="18">
        <v>20</v>
      </c>
      <c r="I12229" s="18" t="s">
        <v>9239</v>
      </c>
      <c r="J12229" s="18" t="str">
        <f>IFERROR(__XLUDF.DUMMYFUNCTION("VLOOKUP(M297,IMPORTRANGE(""https://docs.google.com/spreadsheets/d/1opm6ZNvGZ7KditA9TuJwrZ25eFLfTNIkrNnY6mhV5Eg"",""list!A1:C115""),3,TRUE)"),"le secteur de la production alimentaire")</f>
        <v xml:space="preserve">le secteur de la production alimentaire</v>
      </c>
      <c r="K12229" s="5" t="s">
        <v>49795</v>
      </c>
      <c r="L12229" s="5" t="s">
        <v>45574</v>
      </c>
      <c r="M12229" s="6"/>
      <c r="N12229" s="18" t="s">
        <v>29</v>
      </c>
      <c r="O12229" s="18" t="s">
        <v>45576</v>
      </c>
      <c r="P12229" s="18" t="s">
        <v>29</v>
      </c>
      <c r="Q12229" s="6"/>
      <c r="R12229" s="6"/>
      <c r="S12229" s="6"/>
      <c r="T12229" s="6"/>
      <c r="U12229" s="6"/>
      <c r="V12229" s="6"/>
      <c r="W12229" s="6"/>
      <c r="X12229" s="6"/>
    </row>
    <row r="12230" ht="14.25">
      <c r="B12230" s="18" t="s">
        <v>1387</v>
      </c>
      <c r="C12230" s="18" t="s">
        <v>45088</v>
      </c>
      <c r="D12230" s="18" t="s">
        <v>172</v>
      </c>
      <c r="E12230" s="18" t="s">
        <v>45089</v>
      </c>
      <c r="F12230" s="18" t="str">
        <f>IFERROR(__XLUDF.DUMMYFUNCTION("PROPER(REGEXREPLACE(D298,""[^A-Za-z]+ "",""""))"),"Cet Bâtiment Et Energie")</f>
        <v xml:space="preserve">Cet Bâtiment Et Energie</v>
      </c>
      <c r="G12230" s="18" t="s">
        <v>45090</v>
      </c>
      <c r="H12230" s="18">
        <v>24</v>
      </c>
      <c r="I12230" s="18" t="s">
        <v>9239</v>
      </c>
      <c r="J12230" s="18" t="str">
        <f>IFERROR(__XLUDF.DUMMYFUNCTION("VLOOKUP(M298,IMPORTRANGE(""https://docs.google.com/spreadsheets/d/1opm6ZNvGZ7KditA9TuJwrZ25eFLfTNIkrNnY6mhV5Eg"",""list!A1:C115""),3,TRUE)"),"le secteur de la production alimentaire")</f>
        <v xml:space="preserve">le secteur de la production alimentaire</v>
      </c>
      <c r="K12230" s="5" t="s">
        <v>45091</v>
      </c>
      <c r="L12230" s="5" t="s">
        <v>45092</v>
      </c>
      <c r="M12230" s="18" t="s">
        <v>1507</v>
      </c>
      <c r="N12230" s="18" t="s">
        <v>29</v>
      </c>
      <c r="O12230" s="18" t="s">
        <v>45093</v>
      </c>
      <c r="P12230" s="18" t="s">
        <v>29</v>
      </c>
      <c r="Q12230" s="18" t="s">
        <v>45094</v>
      </c>
      <c r="R12230" s="6"/>
      <c r="S12230" s="6"/>
      <c r="T12230" s="6"/>
      <c r="U12230" s="6"/>
      <c r="V12230" s="6"/>
      <c r="W12230" s="6"/>
      <c r="X12230" s="6"/>
    </row>
    <row r="12231" ht="14.25">
      <c r="B12231" s="18" t="s">
        <v>18616</v>
      </c>
      <c r="C12231" s="18" t="s">
        <v>52776</v>
      </c>
      <c r="D12231" s="18" t="s">
        <v>112</v>
      </c>
      <c r="E12231" s="18" t="s">
        <v>47465</v>
      </c>
      <c r="F12231" s="18" t="str">
        <f>IFERROR(__XLUDF.DUMMYFUNCTION("PROPER(REGEXREPLACE(D299,""[^A-Za-z]+ "",""""))"),"Life Ingénierieconstructions")</f>
        <v xml:space="preserve">Life Ingénierieconstructions</v>
      </c>
      <c r="G12231" s="18" t="s">
        <v>52777</v>
      </c>
      <c r="H12231" s="18">
        <v>20</v>
      </c>
      <c r="I12231" s="18" t="s">
        <v>9239</v>
      </c>
      <c r="J12231" s="18" t="str">
        <f>IFERROR(__XLUDF.DUMMYFUNCTION("VLOOKUP(M299,IMPORTRANGE(""https://docs.google.com/spreadsheets/d/1opm6ZNvGZ7KditA9TuJwrZ25eFLfTNIkrNnY6mhV5Eg"",""list!A1:C115""),3,TRUE)"),"le secteur de la production alimentaire")</f>
        <v xml:space="preserve">le secteur de la production alimentaire</v>
      </c>
      <c r="K12231" s="5" t="s">
        <v>52778</v>
      </c>
      <c r="L12231" s="5" t="s">
        <v>47468</v>
      </c>
      <c r="M12231" s="18" t="s">
        <v>1507</v>
      </c>
      <c r="N12231" s="18" t="s">
        <v>29</v>
      </c>
      <c r="O12231" s="18" t="s">
        <v>47469</v>
      </c>
      <c r="P12231" s="18" t="s">
        <v>29</v>
      </c>
      <c r="Q12231" s="18" t="s">
        <v>47470</v>
      </c>
      <c r="R12231" s="6"/>
      <c r="S12231" s="6"/>
      <c r="T12231" s="6"/>
      <c r="U12231" s="6"/>
      <c r="V12231" s="6"/>
      <c r="W12231" s="6"/>
      <c r="X12231" s="6"/>
    </row>
    <row r="12232" ht="14.25">
      <c r="B12232" s="18" t="s">
        <v>45370</v>
      </c>
      <c r="C12232" s="18" t="s">
        <v>32273</v>
      </c>
      <c r="D12232" s="18" t="s">
        <v>172</v>
      </c>
      <c r="E12232" s="18" t="s">
        <v>45371</v>
      </c>
      <c r="F12232" s="18" t="str">
        <f>IFERROR(__XLUDF.DUMMYFUNCTION("PROPER(REGEXREPLACE(D300,""[^A-Za-z]+ "",""""))"),"Esteves Freres")</f>
        <v xml:space="preserve">Esteves Freres</v>
      </c>
      <c r="G12232" s="18" t="s">
        <v>45372</v>
      </c>
      <c r="H12232" s="18">
        <v>14</v>
      </c>
      <c r="I12232" s="18" t="s">
        <v>9239</v>
      </c>
      <c r="J12232" s="18" t="str">
        <f>IFERROR(__XLUDF.DUMMYFUNCTION("VLOOKUP(M300,IMPORTRANGE(""https://docs.google.com/spreadsheets/d/1opm6ZNvGZ7KditA9TuJwrZ25eFLfTNIkrNnY6mhV5Eg"",""list!A1:C115""),3,TRUE)"),"le secteur de la production alimentaire")</f>
        <v xml:space="preserve">le secteur de la production alimentaire</v>
      </c>
      <c r="K12232" s="5" t="s">
        <v>45373</v>
      </c>
      <c r="L12232" s="5" t="s">
        <v>45374</v>
      </c>
      <c r="M12232" s="18" t="s">
        <v>45375</v>
      </c>
      <c r="N12232" s="18" t="s">
        <v>29</v>
      </c>
      <c r="O12232" s="18" t="s">
        <v>45376</v>
      </c>
      <c r="P12232" s="18" t="s">
        <v>29</v>
      </c>
      <c r="Q12232" s="18" t="s">
        <v>45377</v>
      </c>
      <c r="R12232" s="6"/>
      <c r="S12232" s="6"/>
      <c r="T12232" s="6"/>
      <c r="U12232" s="6"/>
      <c r="V12232" s="6"/>
      <c r="W12232" s="6"/>
      <c r="X12232" s="6"/>
    </row>
    <row r="12233" ht="14.25">
      <c r="B12233" s="18" t="s">
        <v>866</v>
      </c>
      <c r="C12233" s="18" t="s">
        <v>52008</v>
      </c>
      <c r="D12233" s="18" t="s">
        <v>172</v>
      </c>
      <c r="E12233" s="18" t="s">
        <v>47151</v>
      </c>
      <c r="F12233" s="18" t="str">
        <f>IFERROR(__XLUDF.DUMMYFUNCTION("PROPER(REGEXREPLACE(D301,""[^A-Za-z]+ "",""""))"),"Techgroup")</f>
        <v>Techgroup</v>
      </c>
      <c r="G12233" s="18" t="s">
        <v>52009</v>
      </c>
      <c r="H12233" s="18">
        <v>21</v>
      </c>
      <c r="I12233" s="18" t="s">
        <v>9239</v>
      </c>
      <c r="J12233" s="18" t="str">
        <f>IFERROR(__XLUDF.DUMMYFUNCTION("VLOOKUP(M301,IMPORTRANGE(""https://docs.google.com/spreadsheets/d/1opm6ZNvGZ7KditA9TuJwrZ25eFLfTNIkrNnY6mhV5Eg"",""list!A1:C115""),3,TRUE)"),"le secteur de la production alimentaire")</f>
        <v xml:space="preserve">le secteur de la production alimentaire</v>
      </c>
      <c r="K12233" s="5" t="s">
        <v>52010</v>
      </c>
      <c r="L12233" s="5" t="s">
        <v>47154</v>
      </c>
      <c r="M12233" s="18" t="s">
        <v>3855</v>
      </c>
      <c r="N12233" s="18" t="s">
        <v>29</v>
      </c>
      <c r="O12233" s="18" t="s">
        <v>47155</v>
      </c>
      <c r="P12233" s="18" t="s">
        <v>29</v>
      </c>
      <c r="Q12233" s="6"/>
      <c r="R12233" s="6"/>
      <c r="S12233" s="6"/>
      <c r="T12233" s="6"/>
      <c r="U12233" s="6"/>
      <c r="V12233" s="6"/>
      <c r="W12233" s="6"/>
      <c r="X12233" s="6"/>
    </row>
    <row r="12234" ht="14.25">
      <c r="B12234" s="18" t="s">
        <v>1215</v>
      </c>
      <c r="C12234" s="18" t="s">
        <v>26744</v>
      </c>
      <c r="D12234" s="18" t="s">
        <v>31208</v>
      </c>
      <c r="E12234" s="18" t="s">
        <v>47303</v>
      </c>
      <c r="F12234" s="18" t="str">
        <f>IFERROR(__XLUDF.DUMMYFUNCTION("PROPER(REGEXREPLACE(D302,""[^A-Za-z]+ "",""""))"),"Sc Floriot")</f>
        <v xml:space="preserve">Sc Floriot</v>
      </c>
      <c r="G12234" s="18" t="s">
        <v>50005</v>
      </c>
      <c r="H12234" s="18">
        <v>46</v>
      </c>
      <c r="I12234" s="18" t="s">
        <v>9239</v>
      </c>
      <c r="J12234" s="18" t="str">
        <f>IFERROR(__XLUDF.DUMMYFUNCTION("VLOOKUP(M302,IMPORTRANGE(""https://docs.google.com/spreadsheets/d/1opm6ZNvGZ7KditA9TuJwrZ25eFLfTNIkrNnY6mhV5Eg"",""list!A1:C115""),3,TRUE)"),"le secteur de la production alimentaire")</f>
        <v xml:space="preserve">le secteur de la production alimentaire</v>
      </c>
      <c r="K12234" s="5" t="s">
        <v>50006</v>
      </c>
      <c r="L12234" s="5" t="s">
        <v>47306</v>
      </c>
      <c r="M12234" s="18" t="s">
        <v>185</v>
      </c>
      <c r="N12234" s="18" t="s">
        <v>29</v>
      </c>
      <c r="O12234" s="18" t="s">
        <v>47130</v>
      </c>
      <c r="P12234" s="18" t="s">
        <v>29</v>
      </c>
      <c r="Q12234" s="18" t="s">
        <v>47307</v>
      </c>
      <c r="R12234" s="6"/>
      <c r="S12234" s="6"/>
      <c r="T12234" s="6"/>
      <c r="U12234" s="6"/>
      <c r="V12234" s="6"/>
      <c r="W12234" s="6"/>
      <c r="X12234" s="6"/>
    </row>
    <row r="12235" ht="14.25">
      <c r="B12235" s="18" t="s">
        <v>3019</v>
      </c>
      <c r="C12235" s="18" t="s">
        <v>50665</v>
      </c>
      <c r="D12235" s="18" t="s">
        <v>172</v>
      </c>
      <c r="E12235" s="18" t="s">
        <v>50666</v>
      </c>
      <c r="F12235" s="18" t="str">
        <f>IFERROR(__XLUDF.DUMMYFUNCTION("PROPER(REGEXREPLACE(D303,""[^A-Za-z]+ "",""""))"),"Drillheat")</f>
        <v>Drillheat</v>
      </c>
      <c r="G12235" s="18" t="s">
        <v>50667</v>
      </c>
      <c r="H12235" s="18">
        <v>17</v>
      </c>
      <c r="I12235" s="18" t="s">
        <v>9239</v>
      </c>
      <c r="J12235" s="18" t="str">
        <f>IFERROR(__XLUDF.DUMMYFUNCTION("VLOOKUP(M303,IMPORTRANGE(""https://docs.google.com/spreadsheets/d/1opm6ZNvGZ7KditA9TuJwrZ25eFLfTNIkrNnY6mhV5Eg"",""list!A1:C115""),3,TRUE)"),"le secteur de la production alimentaire")</f>
        <v xml:space="preserve">le secteur de la production alimentaire</v>
      </c>
      <c r="K12235" s="5" t="s">
        <v>50668</v>
      </c>
      <c r="L12235" s="5" t="s">
        <v>50669</v>
      </c>
      <c r="M12235" s="18" t="s">
        <v>1460</v>
      </c>
      <c r="N12235" s="18" t="s">
        <v>29</v>
      </c>
      <c r="O12235" s="18" t="s">
        <v>29</v>
      </c>
      <c r="P12235" s="18" t="s">
        <v>29</v>
      </c>
      <c r="Q12235" s="18" t="s">
        <v>50670</v>
      </c>
      <c r="R12235" s="6"/>
      <c r="S12235" s="6"/>
      <c r="T12235" s="6"/>
      <c r="U12235" s="6"/>
      <c r="V12235" s="6"/>
      <c r="W12235" s="6"/>
      <c r="X12235" s="6"/>
    </row>
    <row r="12236" ht="14.25">
      <c r="B12236" s="18" t="s">
        <v>1215</v>
      </c>
      <c r="C12236" s="18" t="s">
        <v>19011</v>
      </c>
      <c r="D12236" s="18" t="s">
        <v>172</v>
      </c>
      <c r="E12236" s="18" t="s">
        <v>47290</v>
      </c>
      <c r="F12236" s="18" t="str">
        <f>IFERROR(__XLUDF.DUMMYFUNCTION("PROPER(REGEXREPLACE(D304,""[^A-Za-z]+ "",""""))"),"Batisol Dallages")</f>
        <v xml:space="preserve">Batisol Dallages</v>
      </c>
      <c r="G12236" s="18" t="s">
        <v>47291</v>
      </c>
      <c r="H12236" s="18">
        <v>13</v>
      </c>
      <c r="I12236" s="18" t="s">
        <v>9239</v>
      </c>
      <c r="J12236" s="18" t="str">
        <f>IFERROR(__XLUDF.DUMMYFUNCTION("VLOOKUP(M304,IMPORTRANGE(""https://docs.google.com/spreadsheets/d/1opm6ZNvGZ7KditA9TuJwrZ25eFLfTNIkrNnY6mhV5Eg"",""list!A1:C115""),3,TRUE)"),"le secteur de la production alimentaire")</f>
        <v xml:space="preserve">le secteur de la production alimentaire</v>
      </c>
      <c r="K12236" s="5" t="s">
        <v>47292</v>
      </c>
      <c r="L12236" s="5" t="s">
        <v>47293</v>
      </c>
      <c r="M12236" s="18" t="s">
        <v>47294</v>
      </c>
      <c r="N12236" s="18" t="s">
        <v>29</v>
      </c>
      <c r="O12236" s="18" t="s">
        <v>45201</v>
      </c>
      <c r="P12236" s="18" t="s">
        <v>29</v>
      </c>
      <c r="Q12236" s="18" t="s">
        <v>47295</v>
      </c>
      <c r="R12236" s="6"/>
      <c r="S12236" s="6"/>
      <c r="T12236" s="6"/>
      <c r="U12236" s="6"/>
      <c r="V12236" s="6"/>
      <c r="W12236" s="6"/>
      <c r="X12236" s="6"/>
    </row>
    <row r="12237" ht="14.25">
      <c r="B12237" s="18" t="s">
        <v>866</v>
      </c>
      <c r="C12237" s="18" t="s">
        <v>4132</v>
      </c>
      <c r="D12237" s="18" t="s">
        <v>426</v>
      </c>
      <c r="E12237" s="18" t="s">
        <v>47104</v>
      </c>
      <c r="F12237" s="18" t="str">
        <f>IFERROR(__XLUDF.DUMMYFUNCTION("PROPER(REGEXREPLACE(D305,""[^A-Za-z]+ "",""""))"),"Alprofer")</f>
        <v>Alprofer</v>
      </c>
      <c r="G12237" s="18" t="s">
        <v>47105</v>
      </c>
      <c r="H12237" s="18">
        <v>33</v>
      </c>
      <c r="I12237" s="18" t="s">
        <v>9239</v>
      </c>
      <c r="J12237" s="18" t="str">
        <f>IFERROR(__XLUDF.DUMMYFUNCTION("VLOOKUP(M305,IMPORTRANGE(""https://docs.google.com/spreadsheets/d/1opm6ZNvGZ7KditA9TuJwrZ25eFLfTNIkrNnY6mhV5Eg"",""list!A1:C115""),3,TRUE)"),"le secteur de la production alimentaire")</f>
        <v xml:space="preserve">le secteur de la production alimentaire</v>
      </c>
      <c r="K12237" s="5" t="s">
        <v>47106</v>
      </c>
      <c r="L12237" s="5" t="s">
        <v>47107</v>
      </c>
      <c r="M12237" s="18" t="s">
        <v>19125</v>
      </c>
      <c r="N12237" s="18" t="s">
        <v>29</v>
      </c>
      <c r="O12237" s="18" t="s">
        <v>47108</v>
      </c>
      <c r="P12237" s="18" t="s">
        <v>29</v>
      </c>
      <c r="Q12237" s="18" t="s">
        <v>47109</v>
      </c>
      <c r="R12237" s="6"/>
      <c r="S12237" s="6"/>
      <c r="T12237" s="6"/>
      <c r="U12237" s="6"/>
      <c r="V12237" s="6"/>
      <c r="W12237" s="6"/>
      <c r="X12237" s="6"/>
    </row>
    <row r="12238" ht="14.25">
      <c r="B12238" s="18" t="s">
        <v>48014</v>
      </c>
      <c r="C12238" s="18" t="s">
        <v>48015</v>
      </c>
      <c r="D12238" s="18" t="s">
        <v>3637</v>
      </c>
      <c r="E12238" s="18" t="s">
        <v>48016</v>
      </c>
      <c r="F12238" s="18" t="str">
        <f>IFERROR(__XLUDF.DUMMYFUNCTION("PROPER(REGEXREPLACE(D306,""[^A-Za-z]+ "",""""))"),"Arkeo System")</f>
        <v xml:space="preserve">Arkeo System</v>
      </c>
      <c r="G12238" s="18" t="s">
        <v>48017</v>
      </c>
      <c r="H12238" s="18">
        <v>10</v>
      </c>
      <c r="I12238" s="18" t="s">
        <v>9239</v>
      </c>
      <c r="J12238" s="18" t="str">
        <f>IFERROR(__XLUDF.DUMMYFUNCTION("VLOOKUP(M306,IMPORTRANGE(""https://docs.google.com/spreadsheets/d/1opm6ZNvGZ7KditA9TuJwrZ25eFLfTNIkrNnY6mhV5Eg"",""list!A1:C115""),3,TRUE)"),"le secteur de la production alimentaire")</f>
        <v xml:space="preserve">le secteur de la production alimentaire</v>
      </c>
      <c r="K12238" s="5" t="s">
        <v>48018</v>
      </c>
      <c r="L12238" s="5" t="s">
        <v>48019</v>
      </c>
      <c r="M12238" s="18" t="s">
        <v>16456</v>
      </c>
      <c r="N12238" s="18" t="s">
        <v>29</v>
      </c>
      <c r="O12238" s="18" t="s">
        <v>20610</v>
      </c>
      <c r="P12238" s="18" t="s">
        <v>29</v>
      </c>
      <c r="Q12238" s="18" t="s">
        <v>48020</v>
      </c>
      <c r="R12238" s="6"/>
      <c r="S12238" s="6"/>
      <c r="T12238" s="6"/>
      <c r="U12238" s="6"/>
      <c r="V12238" s="6"/>
      <c r="W12238" s="6"/>
      <c r="X12238" s="6"/>
    </row>
    <row r="12239" ht="14.25">
      <c r="B12239" s="18" t="s">
        <v>3019</v>
      </c>
      <c r="C12239" s="18" t="s">
        <v>51792</v>
      </c>
      <c r="D12239" s="18" t="s">
        <v>172</v>
      </c>
      <c r="E12239" s="18" t="s">
        <v>45571</v>
      </c>
      <c r="F12239" s="18" t="str">
        <f>IFERROR(__XLUDF.DUMMYFUNCTION("PROPER(REGEXREPLACE(D307,""[^A-Za-z]+ "",""""))"),"Groupe Brandizi")</f>
        <v xml:space="preserve">Groupe Brandizi</v>
      </c>
      <c r="G12239" s="18" t="s">
        <v>51793</v>
      </c>
      <c r="H12239" s="18">
        <v>20</v>
      </c>
      <c r="I12239" s="18" t="s">
        <v>9239</v>
      </c>
      <c r="J12239" s="18" t="str">
        <f>IFERROR(__XLUDF.DUMMYFUNCTION("VLOOKUP(M307,IMPORTRANGE(""https://docs.google.com/spreadsheets/d/1opm6ZNvGZ7KditA9TuJwrZ25eFLfTNIkrNnY6mhV5Eg"",""list!A1:C115""),3,TRUE)"),"le secteur de la production alimentaire")</f>
        <v xml:space="preserve">le secteur de la production alimentaire</v>
      </c>
      <c r="K12239" s="5" t="s">
        <v>51794</v>
      </c>
      <c r="L12239" s="5" t="s">
        <v>45574</v>
      </c>
      <c r="M12239" s="18" t="s">
        <v>39</v>
      </c>
      <c r="N12239" s="18" t="s">
        <v>29</v>
      </c>
      <c r="O12239" s="18" t="s">
        <v>45576</v>
      </c>
      <c r="P12239" s="18" t="s">
        <v>29</v>
      </c>
      <c r="Q12239" s="6"/>
      <c r="R12239" s="6"/>
      <c r="S12239" s="6"/>
      <c r="T12239" s="6"/>
      <c r="U12239" s="6"/>
      <c r="V12239" s="6"/>
      <c r="W12239" s="6"/>
      <c r="X12239" s="6"/>
    </row>
    <row r="12240" ht="14.25">
      <c r="B12240" s="18" t="s">
        <v>866</v>
      </c>
      <c r="C12240" s="18" t="s">
        <v>8303</v>
      </c>
      <c r="D12240" s="18" t="s">
        <v>112</v>
      </c>
      <c r="E12240" s="18" t="s">
        <v>52646</v>
      </c>
      <c r="F12240" s="18" t="str">
        <f>IFERROR(__XLUDF.DUMMYFUNCTION("PROPER(REGEXREPLACE(D308,""[^A-Za-z]+ "",""""))"),"Bativaloire")</f>
        <v>Bativaloire</v>
      </c>
      <c r="G12240" s="18" t="s">
        <v>52647</v>
      </c>
      <c r="H12240" s="18">
        <v>14</v>
      </c>
      <c r="I12240" s="18" t="s">
        <v>9239</v>
      </c>
      <c r="J12240" s="18" t="str">
        <f>IFERROR(__XLUDF.DUMMYFUNCTION("VLOOKUP(M308,IMPORTRANGE(""https://docs.google.com/spreadsheets/d/1opm6ZNvGZ7KditA9TuJwrZ25eFLfTNIkrNnY6mhV5Eg"",""list!A1:C115""),3,TRUE)"),"le secteur de la production alimentaire")</f>
        <v xml:space="preserve">le secteur de la production alimentaire</v>
      </c>
      <c r="K12240" s="5" t="s">
        <v>52648</v>
      </c>
      <c r="L12240" s="5" t="s">
        <v>52649</v>
      </c>
      <c r="M12240" s="18" t="s">
        <v>50243</v>
      </c>
      <c r="N12240" s="18" t="s">
        <v>29</v>
      </c>
      <c r="O12240" s="18" t="s">
        <v>52650</v>
      </c>
      <c r="P12240" s="18" t="s">
        <v>29</v>
      </c>
      <c r="Q12240" s="18" t="s">
        <v>52651</v>
      </c>
      <c r="R12240" s="6"/>
      <c r="S12240" s="6"/>
      <c r="T12240" s="6"/>
      <c r="U12240" s="6"/>
      <c r="V12240" s="6"/>
      <c r="W12240" s="6"/>
      <c r="X12240" s="6"/>
    </row>
    <row r="12241" ht="14.25">
      <c r="B12241" s="18" t="s">
        <v>485</v>
      </c>
      <c r="C12241" s="18" t="s">
        <v>52037</v>
      </c>
      <c r="D12241" s="18" t="s">
        <v>52038</v>
      </c>
      <c r="E12241" s="18" t="s">
        <v>52039</v>
      </c>
      <c r="F12241" s="18" t="str">
        <f>IFERROR(__XLUDF.DUMMYFUNCTION("PROPER(REGEXREPLACE(D309,""[^A-Za-z]+ "",""""))"),"Smb")</f>
        <v>Smb</v>
      </c>
      <c r="G12241" s="18" t="s">
        <v>52040</v>
      </c>
      <c r="H12241" s="18">
        <v>28</v>
      </c>
      <c r="I12241" s="18" t="s">
        <v>9239</v>
      </c>
      <c r="J12241" s="18" t="str">
        <f>IFERROR(__XLUDF.DUMMYFUNCTION("VLOOKUP(M309,IMPORTRANGE(""https://docs.google.com/spreadsheets/d/1opm6ZNvGZ7KditA9TuJwrZ25eFLfTNIkrNnY6mhV5Eg"",""list!A1:C115""),3,TRUE)"),"le secteur de la production alimentaire")</f>
        <v xml:space="preserve">le secteur de la production alimentaire</v>
      </c>
      <c r="K12241" s="5" t="s">
        <v>52041</v>
      </c>
      <c r="L12241" s="5" t="s">
        <v>52042</v>
      </c>
      <c r="M12241" s="18" t="s">
        <v>1745</v>
      </c>
      <c r="N12241" s="18" t="s">
        <v>29</v>
      </c>
      <c r="O12241" s="18" t="s">
        <v>52043</v>
      </c>
      <c r="P12241" s="18" t="s">
        <v>29</v>
      </c>
      <c r="Q12241" s="6"/>
      <c r="R12241" s="6"/>
      <c r="S12241" s="6"/>
      <c r="T12241" s="6"/>
      <c r="U12241" s="6"/>
      <c r="V12241" s="6"/>
      <c r="W12241" s="6"/>
      <c r="X12241" s="6"/>
    </row>
    <row r="12242" ht="14.25">
      <c r="B12242" s="18" t="s">
        <v>1596</v>
      </c>
      <c r="C12242" s="18" t="s">
        <v>47149</v>
      </c>
      <c r="D12242" s="18" t="s">
        <v>47150</v>
      </c>
      <c r="E12242" s="18" t="s">
        <v>47151</v>
      </c>
      <c r="F12242" s="18" t="str">
        <f>IFERROR(__XLUDF.DUMMYFUNCTION("PROPER(REGEXREPLACE(D310,""[^A-Za-z]+ "",""""))"),"Techgroup")</f>
        <v>Techgroup</v>
      </c>
      <c r="G12242" s="18" t="s">
        <v>47152</v>
      </c>
      <c r="H12242" s="18">
        <v>21</v>
      </c>
      <c r="I12242" s="18" t="s">
        <v>9239</v>
      </c>
      <c r="J12242" s="18" t="str">
        <f>IFERROR(__XLUDF.DUMMYFUNCTION("VLOOKUP(M310,IMPORTRANGE(""https://docs.google.com/spreadsheets/d/1opm6ZNvGZ7KditA9TuJwrZ25eFLfTNIkrNnY6mhV5Eg"",""list!A1:C115""),3,TRUE)"),"le secteur de la production alimentaire")</f>
        <v xml:space="preserve">le secteur de la production alimentaire</v>
      </c>
      <c r="K12242" s="5" t="s">
        <v>47153</v>
      </c>
      <c r="L12242" s="5" t="s">
        <v>47154</v>
      </c>
      <c r="M12242" s="6"/>
      <c r="N12242" s="18" t="s">
        <v>29</v>
      </c>
      <c r="O12242" s="18" t="s">
        <v>47155</v>
      </c>
      <c r="P12242" s="18" t="s">
        <v>29</v>
      </c>
      <c r="Q12242" s="6"/>
      <c r="R12242" s="6"/>
      <c r="S12242" s="6"/>
      <c r="T12242" s="6"/>
      <c r="U12242" s="6"/>
      <c r="V12242" s="6"/>
      <c r="W12242" s="6"/>
      <c r="X12242" s="6"/>
    </row>
    <row r="12243" ht="14.25">
      <c r="B12243" s="18" t="s">
        <v>485</v>
      </c>
      <c r="C12243" s="18" t="s">
        <v>47284</v>
      </c>
      <c r="D12243" s="18" t="s">
        <v>172</v>
      </c>
      <c r="E12243" s="18" t="s">
        <v>47285</v>
      </c>
      <c r="F12243" s="18" t="str">
        <f>IFERROR(__XLUDF.DUMMYFUNCTION("PROPER(REGEXREPLACE(D311,""[^A-Za-z]+ "",""""))"),"Groupe Viviany")</f>
        <v xml:space="preserve">Groupe Viviany</v>
      </c>
      <c r="G12243" s="18" t="s">
        <v>47286</v>
      </c>
      <c r="H12243" s="18">
        <v>11</v>
      </c>
      <c r="I12243" s="18" t="s">
        <v>9239</v>
      </c>
      <c r="J12243" s="18" t="str">
        <f>IFERROR(__XLUDF.DUMMYFUNCTION("VLOOKUP(M311,IMPORTRANGE(""https://docs.google.com/spreadsheets/d/1opm6ZNvGZ7KditA9TuJwrZ25eFLfTNIkrNnY6mhV5Eg"",""list!A1:C115""),3,TRUE)"),"le secteur de la production alimentaire")</f>
        <v xml:space="preserve">le secteur de la production alimentaire</v>
      </c>
      <c r="K12243" s="5" t="s">
        <v>47287</v>
      </c>
      <c r="L12243" s="5" t="s">
        <v>47288</v>
      </c>
      <c r="M12243" s="18" t="s">
        <v>11525</v>
      </c>
      <c r="N12243" s="18" t="s">
        <v>29</v>
      </c>
      <c r="O12243" s="18" t="s">
        <v>47289</v>
      </c>
      <c r="P12243" s="18" t="s">
        <v>29</v>
      </c>
      <c r="Q12243" s="6"/>
      <c r="R12243" s="6"/>
      <c r="S12243" s="6"/>
      <c r="T12243" s="6"/>
      <c r="U12243" s="6"/>
      <c r="V12243" s="6"/>
      <c r="W12243" s="6"/>
      <c r="X12243" s="6"/>
    </row>
    <row r="12244" ht="14.25">
      <c r="B12244" s="18" t="s">
        <v>866</v>
      </c>
      <c r="C12244" s="18" t="s">
        <v>20</v>
      </c>
      <c r="D12244" s="18" t="s">
        <v>468</v>
      </c>
      <c r="E12244" s="18" t="s">
        <v>48479</v>
      </c>
      <c r="F12244" s="18" t="str">
        <f>IFERROR(__XLUDF.DUMMYFUNCTION("PROPER(REGEXREPLACE(D312,""[^A-Za-z]+ "",""""))"),"Pennequin")</f>
        <v>Pennequin</v>
      </c>
      <c r="G12244" s="18" t="s">
        <v>48480</v>
      </c>
      <c r="H12244" s="18">
        <v>34</v>
      </c>
      <c r="I12244" s="18" t="s">
        <v>9239</v>
      </c>
      <c r="J12244" s="18" t="str">
        <f>IFERROR(__XLUDF.DUMMYFUNCTION("VLOOKUP(M312,IMPORTRANGE(""https://docs.google.com/spreadsheets/d/1opm6ZNvGZ7KditA9TuJwrZ25eFLfTNIkrNnY6mhV5Eg"",""list!A1:C115""),3,TRUE)"),"le secteur de la production alimentaire")</f>
        <v xml:space="preserve">le secteur de la production alimentaire</v>
      </c>
      <c r="K12244" s="5" t="s">
        <v>48481</v>
      </c>
      <c r="L12244" s="5" t="s">
        <v>48482</v>
      </c>
      <c r="M12244" s="6"/>
      <c r="N12244" s="18" t="s">
        <v>29</v>
      </c>
      <c r="O12244" s="18" t="s">
        <v>48483</v>
      </c>
      <c r="P12244" s="18" t="s">
        <v>29</v>
      </c>
      <c r="Q12244" s="18" t="s">
        <v>48484</v>
      </c>
      <c r="R12244" s="6"/>
      <c r="S12244" s="6"/>
      <c r="T12244" s="6"/>
      <c r="U12244" s="6"/>
      <c r="V12244" s="6"/>
      <c r="W12244" s="6"/>
      <c r="X12244" s="6"/>
    </row>
    <row r="12245" ht="14.25">
      <c r="B12245" s="18" t="s">
        <v>3019</v>
      </c>
      <c r="C12245" s="18" t="s">
        <v>6844</v>
      </c>
      <c r="D12245" s="18" t="s">
        <v>7759</v>
      </c>
      <c r="E12245" s="18" t="s">
        <v>46351</v>
      </c>
      <c r="F12245" s="18" t="str">
        <f>IFERROR(__XLUDF.DUMMYFUNCTION("PROPER(REGEXREPLACE(D313,""[^A-Za-z]+ "",""""))"),"Déco Charpente")</f>
        <v xml:space="preserve">Déco Charpente</v>
      </c>
      <c r="G12245" s="18" t="s">
        <v>53116</v>
      </c>
      <c r="H12245" s="18">
        <v>20</v>
      </c>
      <c r="I12245" s="18" t="s">
        <v>9239</v>
      </c>
      <c r="J12245" s="18" t="str">
        <f>IFERROR(__XLUDF.DUMMYFUNCTION("VLOOKUP(M313,IMPORTRANGE(""https://docs.google.com/spreadsheets/d/1opm6ZNvGZ7KditA9TuJwrZ25eFLfTNIkrNnY6mhV5Eg"",""list!A1:C115""),3,TRUE)"),"le secteur de la production alimentaire")</f>
        <v xml:space="preserve">le secteur de la production alimentaire</v>
      </c>
      <c r="K12245" s="5" t="s">
        <v>53117</v>
      </c>
      <c r="L12245" s="5" t="s">
        <v>46354</v>
      </c>
      <c r="M12245" s="18" t="s">
        <v>53118</v>
      </c>
      <c r="N12245" s="18" t="s">
        <v>29</v>
      </c>
      <c r="O12245" s="18" t="s">
        <v>46356</v>
      </c>
      <c r="P12245" s="18" t="s">
        <v>29</v>
      </c>
      <c r="Q12245" s="18" t="s">
        <v>46357</v>
      </c>
      <c r="R12245" s="6"/>
      <c r="S12245" s="6"/>
      <c r="T12245" s="6"/>
      <c r="U12245" s="6"/>
      <c r="V12245" s="6"/>
      <c r="W12245" s="6"/>
      <c r="X12245" s="6"/>
    </row>
    <row r="12246" ht="14.25">
      <c r="B12246" s="18" t="s">
        <v>1596</v>
      </c>
      <c r="C12246" s="18" t="s">
        <v>49518</v>
      </c>
      <c r="D12246" s="18" t="s">
        <v>49519</v>
      </c>
      <c r="E12246" s="18" t="s">
        <v>49520</v>
      </c>
      <c r="F12246" s="18" t="str">
        <f>IFERROR(__XLUDF.DUMMYFUNCTION("PROPER(REGEXREPLACE(D314,""[^A-Za-z]+ "",""""))"),"Qfort")</f>
        <v>Qfort</v>
      </c>
      <c r="G12246" s="18" t="s">
        <v>49521</v>
      </c>
      <c r="H12246" s="18">
        <v>42</v>
      </c>
      <c r="I12246" s="18" t="s">
        <v>9239</v>
      </c>
      <c r="J12246" s="18" t="str">
        <f>IFERROR(__XLUDF.DUMMYFUNCTION("VLOOKUP(M314,IMPORTRANGE(""https://docs.google.com/spreadsheets/d/1opm6ZNvGZ7KditA9TuJwrZ25eFLfTNIkrNnY6mhV5Eg"",""list!A1:C115""),3,TRUE)"),"le secteur de la production alimentaire")</f>
        <v xml:space="preserve">le secteur de la production alimentaire</v>
      </c>
      <c r="K12246" s="5" t="s">
        <v>49522</v>
      </c>
      <c r="L12246" s="5" t="s">
        <v>49523</v>
      </c>
      <c r="M12246" s="6"/>
      <c r="N12246" s="18" t="s">
        <v>29</v>
      </c>
      <c r="O12246" s="18" t="s">
        <v>49524</v>
      </c>
      <c r="P12246" s="18" t="s">
        <v>29</v>
      </c>
      <c r="Q12246" s="18" t="s">
        <v>49525</v>
      </c>
      <c r="R12246" s="6"/>
      <c r="S12246" s="6"/>
      <c r="T12246" s="6"/>
      <c r="U12246" s="6"/>
      <c r="V12246" s="6"/>
      <c r="W12246" s="6"/>
      <c r="X12246" s="6"/>
    </row>
    <row r="12247" ht="14.25">
      <c r="B12247" s="18" t="s">
        <v>53428</v>
      </c>
      <c r="C12247" s="18" t="s">
        <v>53429</v>
      </c>
      <c r="D12247" s="18" t="s">
        <v>172</v>
      </c>
      <c r="E12247" s="18" t="s">
        <v>53430</v>
      </c>
      <c r="F12247" s="18" t="str">
        <f>IFERROR(__XLUDF.DUMMYFUNCTION("PROPER(REGEXREPLACE(D315,""[^A-Za-z]+ "",""""))"),"Pelatis Sas")</f>
        <v xml:space="preserve">Pelatis Sas</v>
      </c>
      <c r="G12247" s="18" t="s">
        <v>53431</v>
      </c>
      <c r="H12247" s="18">
        <v>27</v>
      </c>
      <c r="I12247" s="18" t="s">
        <v>9239</v>
      </c>
      <c r="J12247" s="18" t="str">
        <f>IFERROR(__XLUDF.DUMMYFUNCTION("VLOOKUP(M315,IMPORTRANGE(""https://docs.google.com/spreadsheets/d/1opm6ZNvGZ7KditA9TuJwrZ25eFLfTNIkrNnY6mhV5Eg"",""list!A1:C115""),3,TRUE)"),"le secteur de la production alimentaire")</f>
        <v xml:space="preserve">le secteur de la production alimentaire</v>
      </c>
      <c r="K12247" s="5" t="s">
        <v>53432</v>
      </c>
      <c r="L12247" s="5" t="s">
        <v>53433</v>
      </c>
      <c r="M12247" s="6"/>
      <c r="N12247" s="18" t="s">
        <v>29</v>
      </c>
      <c r="O12247" s="18" t="s">
        <v>53434</v>
      </c>
      <c r="P12247" s="18" t="s">
        <v>29</v>
      </c>
      <c r="Q12247" s="6"/>
      <c r="R12247" s="6"/>
      <c r="S12247" s="6"/>
      <c r="T12247" s="6"/>
      <c r="U12247" s="6"/>
      <c r="V12247" s="6"/>
      <c r="W12247" s="6"/>
      <c r="X12247" s="6"/>
    </row>
    <row r="12248" ht="14.25">
      <c r="B12248" s="18" t="s">
        <v>866</v>
      </c>
      <c r="C12248" s="18" t="s">
        <v>48511</v>
      </c>
      <c r="D12248" s="18" t="s">
        <v>48512</v>
      </c>
      <c r="E12248" s="18" t="s">
        <v>48513</v>
      </c>
      <c r="F12248" s="18" t="str">
        <f>IFERROR(__XLUDF.DUMMYFUNCTION("PROPER(REGEXREPLACE(D316,""[^A-Za-z]+ "",""""))"),"Clotures Michel Willoquaux")</f>
        <v xml:space="preserve">Clotures Michel Willoquaux</v>
      </c>
      <c r="G12248" s="18" t="s">
        <v>48514</v>
      </c>
      <c r="H12248" s="18">
        <v>24</v>
      </c>
      <c r="I12248" s="18" t="s">
        <v>9239</v>
      </c>
      <c r="J12248" s="18" t="str">
        <f>IFERROR(__XLUDF.DUMMYFUNCTION("VLOOKUP(M316,IMPORTRANGE(""https://docs.google.com/spreadsheets/d/1opm6ZNvGZ7KditA9TuJwrZ25eFLfTNIkrNnY6mhV5Eg"",""list!A1:C115""),3,TRUE)"),"le secteur de la production alimentaire")</f>
        <v xml:space="preserve">le secteur de la production alimentaire</v>
      </c>
      <c r="K12248" s="5" t="s">
        <v>48515</v>
      </c>
      <c r="L12248" s="5" t="s">
        <v>48516</v>
      </c>
      <c r="M12248" s="18" t="s">
        <v>846</v>
      </c>
      <c r="N12248" s="18" t="s">
        <v>29</v>
      </c>
      <c r="O12248" s="18" t="s">
        <v>48517</v>
      </c>
      <c r="P12248" s="18" t="s">
        <v>29</v>
      </c>
      <c r="Q12248" s="18" t="s">
        <v>48518</v>
      </c>
      <c r="R12248" s="6"/>
      <c r="S12248" s="6"/>
      <c r="T12248" s="6"/>
      <c r="U12248" s="6"/>
      <c r="V12248" s="6"/>
      <c r="W12248" s="6"/>
      <c r="X12248" s="6"/>
    </row>
    <row r="12249" ht="14.25">
      <c r="B12249" s="18" t="s">
        <v>3019</v>
      </c>
      <c r="C12249" s="18" t="s">
        <v>52770</v>
      </c>
      <c r="D12249" s="18" t="s">
        <v>112</v>
      </c>
      <c r="E12249" s="18" t="s">
        <v>52771</v>
      </c>
      <c r="F12249" s="18" t="str">
        <f>IFERROR(__XLUDF.DUMMYFUNCTION("PROPER(REGEXREPLACE(D317,""[^A-Za-z]+ "",""""))"),"P.Ce Tech")</f>
        <v xml:space="preserve">P.Ce Tech</v>
      </c>
      <c r="G12249" s="18" t="s">
        <v>52772</v>
      </c>
      <c r="H12249" s="18">
        <v>21</v>
      </c>
      <c r="I12249" s="18" t="s">
        <v>9239</v>
      </c>
      <c r="J12249" s="18" t="str">
        <f>IFERROR(__XLUDF.DUMMYFUNCTION("VLOOKUP(M317,IMPORTRANGE(""https://docs.google.com/spreadsheets/d/1opm6ZNvGZ7KditA9TuJwrZ25eFLfTNIkrNnY6mhV5Eg"",""list!A1:C115""),3,TRUE)"),"le secteur de la production alimentaire")</f>
        <v xml:space="preserve">le secteur de la production alimentaire</v>
      </c>
      <c r="K12249" s="5" t="s">
        <v>52773</v>
      </c>
      <c r="L12249" s="5" t="s">
        <v>52774</v>
      </c>
      <c r="M12249" s="18" t="s">
        <v>27711</v>
      </c>
      <c r="N12249" s="18" t="s">
        <v>29</v>
      </c>
      <c r="O12249" s="18" t="s">
        <v>52775</v>
      </c>
      <c r="P12249" s="18" t="s">
        <v>29</v>
      </c>
      <c r="Q12249" s="6"/>
      <c r="R12249" s="6"/>
      <c r="S12249" s="6"/>
      <c r="T12249" s="6"/>
      <c r="U12249" s="6"/>
      <c r="V12249" s="6"/>
      <c r="W12249" s="6"/>
      <c r="X12249" s="6"/>
    </row>
    <row r="12250" ht="14.25">
      <c r="B12250" s="18" t="s">
        <v>1215</v>
      </c>
      <c r="C12250" s="18" t="s">
        <v>50519</v>
      </c>
      <c r="D12250" s="18" t="s">
        <v>112</v>
      </c>
      <c r="E12250" s="18" t="s">
        <v>50520</v>
      </c>
      <c r="F12250" s="18" t="str">
        <f>IFERROR(__XLUDF.DUMMYFUNCTION("PROPER(REGEXREPLACE(D318,""[^A-Za-z]+ "",""""))"),"Menuiserie Vuillermet")</f>
        <v xml:space="preserve">Menuiserie Vuillermet</v>
      </c>
      <c r="G12250" s="18" t="s">
        <v>50521</v>
      </c>
      <c r="H12250" s="18">
        <v>17</v>
      </c>
      <c r="I12250" s="18" t="s">
        <v>9239</v>
      </c>
      <c r="J12250" s="18" t="str">
        <f>IFERROR(__XLUDF.DUMMYFUNCTION("VLOOKUP(M318,IMPORTRANGE(""https://docs.google.com/spreadsheets/d/1opm6ZNvGZ7KditA9TuJwrZ25eFLfTNIkrNnY6mhV5Eg"",""list!A1:C115""),3,TRUE)"),"le secteur de la production alimentaire")</f>
        <v xml:space="preserve">le secteur de la production alimentaire</v>
      </c>
      <c r="K12250" s="5" t="s">
        <v>50522</v>
      </c>
      <c r="L12250" s="5" t="s">
        <v>50523</v>
      </c>
      <c r="M12250" s="18" t="s">
        <v>774</v>
      </c>
      <c r="N12250" s="18" t="s">
        <v>29</v>
      </c>
      <c r="O12250" s="18" t="s">
        <v>30059</v>
      </c>
      <c r="P12250" s="18" t="s">
        <v>29</v>
      </c>
      <c r="Q12250" s="6"/>
      <c r="R12250" s="6"/>
      <c r="S12250" s="6"/>
      <c r="T12250" s="6"/>
      <c r="U12250" s="6"/>
      <c r="V12250" s="6"/>
      <c r="W12250" s="6"/>
      <c r="X12250" s="6"/>
    </row>
    <row r="12251" ht="14.25">
      <c r="B12251" s="18" t="s">
        <v>1215</v>
      </c>
      <c r="C12251" s="18" t="s">
        <v>46094</v>
      </c>
      <c r="D12251" s="18" t="s">
        <v>112</v>
      </c>
      <c r="E12251" s="18" t="s">
        <v>46095</v>
      </c>
      <c r="F12251" s="18" t="str">
        <f>IFERROR(__XLUDF.DUMMYFUNCTION("PROPER(REGEXREPLACE(D319,""[^A-Za-z]+ "",""""))"),"Stores Ecochard")</f>
        <v xml:space="preserve">Stores Ecochard</v>
      </c>
      <c r="G12251" s="18" t="s">
        <v>46096</v>
      </c>
      <c r="H12251" s="18">
        <v>11</v>
      </c>
      <c r="I12251" s="18" t="s">
        <v>9239</v>
      </c>
      <c r="J12251" s="18" t="str">
        <f>IFERROR(__XLUDF.DUMMYFUNCTION("VLOOKUP(M319,IMPORTRANGE(""https://docs.google.com/spreadsheets/d/1opm6ZNvGZ7KditA9TuJwrZ25eFLfTNIkrNnY6mhV5Eg"",""list!A1:C115""),3,TRUE)"),"le secteur de la production alimentaire")</f>
        <v xml:space="preserve">le secteur de la production alimentaire</v>
      </c>
      <c r="K12251" s="5" t="s">
        <v>46097</v>
      </c>
      <c r="L12251" s="5" t="s">
        <v>46098</v>
      </c>
      <c r="M12251" s="18" t="s">
        <v>46099</v>
      </c>
      <c r="N12251" s="18" t="s">
        <v>29</v>
      </c>
      <c r="O12251" s="18" t="s">
        <v>46100</v>
      </c>
      <c r="P12251" s="18" t="s">
        <v>29</v>
      </c>
      <c r="Q12251" s="6"/>
      <c r="R12251" s="6"/>
      <c r="S12251" s="6"/>
      <c r="T12251" s="6"/>
      <c r="U12251" s="6"/>
      <c r="V12251" s="6"/>
      <c r="W12251" s="6"/>
      <c r="X12251" s="6"/>
    </row>
    <row r="12252" ht="14.25">
      <c r="B12252" s="18" t="s">
        <v>1215</v>
      </c>
      <c r="C12252" s="18" t="s">
        <v>45984</v>
      </c>
      <c r="D12252" s="18" t="s">
        <v>1950</v>
      </c>
      <c r="E12252" s="18" t="s">
        <v>45985</v>
      </c>
      <c r="F12252" s="18" t="str">
        <f>IFERROR(__XLUDF.DUMMYFUNCTION("PROPER(REGEXREPLACE(D320,""[^A-Za-z]+ "",""""))"),"Brard Menuiserie Agencement")</f>
        <v xml:space="preserve">Brard Menuiserie Agencement</v>
      </c>
      <c r="G12252" s="18" t="s">
        <v>45986</v>
      </c>
      <c r="H12252" s="18">
        <v>27</v>
      </c>
      <c r="I12252" s="18" t="s">
        <v>9239</v>
      </c>
      <c r="J12252" s="18" t="str">
        <f>IFERROR(__XLUDF.DUMMYFUNCTION("VLOOKUP(M320,IMPORTRANGE(""https://docs.google.com/spreadsheets/d/1opm6ZNvGZ7KditA9TuJwrZ25eFLfTNIkrNnY6mhV5Eg"",""list!A1:C115""),3,TRUE)"),"le secteur de la production alimentaire")</f>
        <v xml:space="preserve">le secteur de la production alimentaire</v>
      </c>
      <c r="K12252" s="5" t="s">
        <v>45987</v>
      </c>
      <c r="L12252" s="5" t="s">
        <v>45988</v>
      </c>
      <c r="M12252" s="18" t="s">
        <v>39</v>
      </c>
      <c r="N12252" s="18" t="s">
        <v>29</v>
      </c>
      <c r="O12252" s="18" t="s">
        <v>45989</v>
      </c>
      <c r="P12252" s="18" t="s">
        <v>29</v>
      </c>
      <c r="Q12252" s="6"/>
      <c r="R12252" s="6"/>
      <c r="S12252" s="6"/>
      <c r="T12252" s="6"/>
      <c r="U12252" s="6"/>
      <c r="V12252" s="6"/>
      <c r="W12252" s="6"/>
      <c r="X12252" s="6"/>
    </row>
    <row r="12253" ht="14.25">
      <c r="B12253" s="18" t="s">
        <v>1215</v>
      </c>
      <c r="C12253" s="18" t="s">
        <v>1619</v>
      </c>
      <c r="D12253" s="18" t="s">
        <v>112</v>
      </c>
      <c r="E12253" s="18" t="s">
        <v>50239</v>
      </c>
      <c r="F12253" s="18" t="str">
        <f>IFERROR(__XLUDF.DUMMYFUNCTION("PROPER(REGEXREPLACE(D321,""[^A-Za-z]+ "",""""))"),"Spic Ingénierie Structures")</f>
        <v xml:space="preserve">Spic Ingénierie Structures</v>
      </c>
      <c r="G12253" s="18" t="s">
        <v>50240</v>
      </c>
      <c r="H12253" s="18">
        <v>12</v>
      </c>
      <c r="I12253" s="18" t="s">
        <v>9239</v>
      </c>
      <c r="J12253" s="18" t="str">
        <f>IFERROR(__XLUDF.DUMMYFUNCTION("VLOOKUP(M321,IMPORTRANGE(""https://docs.google.com/spreadsheets/d/1opm6ZNvGZ7KditA9TuJwrZ25eFLfTNIkrNnY6mhV5Eg"",""list!A1:C115""),3,TRUE)"),"le secteur de la production alimentaire")</f>
        <v xml:space="preserve">le secteur de la production alimentaire</v>
      </c>
      <c r="K12253" s="5" t="s">
        <v>50241</v>
      </c>
      <c r="L12253" s="5" t="s">
        <v>50242</v>
      </c>
      <c r="M12253" s="18" t="s">
        <v>50243</v>
      </c>
      <c r="N12253" s="18" t="s">
        <v>29</v>
      </c>
      <c r="O12253" s="18" t="s">
        <v>50244</v>
      </c>
      <c r="P12253" s="18" t="s">
        <v>29</v>
      </c>
      <c r="Q12253" s="18" t="s">
        <v>50245</v>
      </c>
      <c r="R12253" s="6"/>
      <c r="S12253" s="6"/>
      <c r="T12253" s="6"/>
      <c r="U12253" s="6"/>
      <c r="V12253" s="6"/>
      <c r="W12253" s="6"/>
      <c r="X12253" s="6"/>
    </row>
    <row r="12254" ht="14.25">
      <c r="B12254" s="18" t="s">
        <v>1215</v>
      </c>
      <c r="C12254" s="18" t="s">
        <v>51625</v>
      </c>
      <c r="D12254" s="18" t="s">
        <v>51626</v>
      </c>
      <c r="E12254" s="18" t="s">
        <v>51627</v>
      </c>
      <c r="F12254" s="18" t="str">
        <f>IFERROR(__XLUDF.DUMMYFUNCTION("PROPER(REGEXREPLACE(D322,""[^A-Za-z]+ "",""""))"),"Transparence")</f>
        <v>Transparence</v>
      </c>
      <c r="G12254" s="18" t="s">
        <v>51628</v>
      </c>
      <c r="H12254" s="18">
        <v>19</v>
      </c>
      <c r="I12254" s="18" t="s">
        <v>9239</v>
      </c>
      <c r="J12254" s="18" t="str">
        <f>IFERROR(__XLUDF.DUMMYFUNCTION("VLOOKUP(M322,IMPORTRANGE(""https://docs.google.com/spreadsheets/d/1opm6ZNvGZ7KditA9TuJwrZ25eFLfTNIkrNnY6mhV5Eg"",""list!A1:C115""),3,TRUE)"),"le secteur de la production alimentaire")</f>
        <v xml:space="preserve">le secteur de la production alimentaire</v>
      </c>
      <c r="K12254" s="5" t="s">
        <v>51629</v>
      </c>
      <c r="L12254" s="5" t="s">
        <v>51630</v>
      </c>
      <c r="M12254" s="18" t="s">
        <v>185</v>
      </c>
      <c r="N12254" s="18" t="s">
        <v>29</v>
      </c>
      <c r="O12254" s="18" t="s">
        <v>51631</v>
      </c>
      <c r="P12254" s="18" t="s">
        <v>7702</v>
      </c>
      <c r="Q12254" s="18" t="s">
        <v>51632</v>
      </c>
      <c r="R12254" s="6"/>
      <c r="S12254" s="6"/>
      <c r="T12254" s="6"/>
      <c r="U12254" s="6"/>
      <c r="V12254" s="6"/>
      <c r="W12254" s="6"/>
      <c r="X12254" s="6"/>
    </row>
    <row r="12255" ht="14.25">
      <c r="B12255" s="18" t="s">
        <v>1215</v>
      </c>
      <c r="C12255" s="18" t="s">
        <v>10461</v>
      </c>
      <c r="D12255" s="18" t="s">
        <v>7759</v>
      </c>
      <c r="E12255" s="18" t="s">
        <v>52997</v>
      </c>
      <c r="F12255" s="18" t="str">
        <f>IFERROR(__XLUDF.DUMMYFUNCTION("PROPER(REGEXREPLACE(D323,""[^A-Za-z]+ "",""""))"),"Brunet Sas")</f>
        <v xml:space="preserve">Brunet Sas</v>
      </c>
      <c r="G12255" s="18" t="s">
        <v>52998</v>
      </c>
      <c r="H12255" s="18">
        <v>12</v>
      </c>
      <c r="I12255" s="18" t="s">
        <v>9239</v>
      </c>
      <c r="J12255" s="18" t="str">
        <f>IFERROR(__XLUDF.DUMMYFUNCTION("VLOOKUP(M323,IMPORTRANGE(""https://docs.google.com/spreadsheets/d/1opm6ZNvGZ7KditA9TuJwrZ25eFLfTNIkrNnY6mhV5Eg"",""list!A1:C115""),3,TRUE)"),"le secteur de la production alimentaire")</f>
        <v xml:space="preserve">le secteur de la production alimentaire</v>
      </c>
      <c r="K12255" s="5" t="s">
        <v>52999</v>
      </c>
      <c r="L12255" s="5" t="s">
        <v>53000</v>
      </c>
      <c r="M12255" s="18" t="s">
        <v>243</v>
      </c>
      <c r="N12255" s="18" t="s">
        <v>29</v>
      </c>
      <c r="O12255" s="18" t="s">
        <v>53001</v>
      </c>
      <c r="P12255" s="18" t="s">
        <v>29</v>
      </c>
      <c r="Q12255" s="18" t="s">
        <v>5069</v>
      </c>
      <c r="R12255" s="6"/>
      <c r="S12255" s="6"/>
      <c r="T12255" s="6"/>
      <c r="U12255" s="6"/>
      <c r="V12255" s="6"/>
      <c r="W12255" s="6"/>
      <c r="X12255" s="6"/>
    </row>
    <row r="12256" ht="14.25">
      <c r="B12256" s="18" t="s">
        <v>485</v>
      </c>
      <c r="C12256" s="18" t="s">
        <v>4885</v>
      </c>
      <c r="D12256" s="18" t="s">
        <v>48044</v>
      </c>
      <c r="E12256" s="18" t="s">
        <v>46546</v>
      </c>
      <c r="F12256" s="18" t="str">
        <f>IFERROR(__XLUDF.DUMMYFUNCTION("PROPER(REGEXREPLACE(D324,""[^A-Za-z]+ "",""""))"),"Servigaz")</f>
        <v>Servigaz</v>
      </c>
      <c r="G12256" s="18" t="s">
        <v>48045</v>
      </c>
      <c r="H12256" s="18">
        <v>18</v>
      </c>
      <c r="I12256" s="18" t="s">
        <v>9239</v>
      </c>
      <c r="J12256" s="18" t="str">
        <f>IFERROR(__XLUDF.DUMMYFUNCTION("VLOOKUP(M324,IMPORTRANGE(""https://docs.google.com/spreadsheets/d/1opm6ZNvGZ7KditA9TuJwrZ25eFLfTNIkrNnY6mhV5Eg"",""list!A1:C115""),3,TRUE)"),"le secteur de la production alimentaire")</f>
        <v xml:space="preserve">le secteur de la production alimentaire</v>
      </c>
      <c r="K12256" s="5" t="s">
        <v>48046</v>
      </c>
      <c r="L12256" s="5" t="s">
        <v>46549</v>
      </c>
      <c r="M12256" s="6"/>
      <c r="N12256" s="18" t="s">
        <v>29</v>
      </c>
      <c r="O12256" s="18" t="s">
        <v>18452</v>
      </c>
      <c r="P12256" s="18" t="s">
        <v>29</v>
      </c>
      <c r="Q12256" s="18" t="s">
        <v>46550</v>
      </c>
      <c r="R12256" s="6"/>
      <c r="S12256" s="6"/>
      <c r="T12256" s="6"/>
      <c r="U12256" s="6"/>
      <c r="V12256" s="6"/>
      <c r="W12256" s="6"/>
      <c r="X12256" s="6"/>
    </row>
    <row r="12257" ht="14.25">
      <c r="B12257" s="18" t="s">
        <v>485</v>
      </c>
      <c r="C12257" s="18" t="s">
        <v>47524</v>
      </c>
      <c r="D12257" s="18" t="s">
        <v>172</v>
      </c>
      <c r="E12257" s="18" t="s">
        <v>14854</v>
      </c>
      <c r="F12257" s="18" t="str">
        <f>IFERROR(__XLUDF.DUMMYFUNCTION("PROPER(REGEXREPLACE(D325,""[^A-Za-z]+ "",""""))"),"Groupe D'Ingénierie")</f>
        <v xml:space="preserve">Groupe D'Ingénierie</v>
      </c>
      <c r="G12257" s="18" t="s">
        <v>47525</v>
      </c>
      <c r="H12257" s="18">
        <v>11</v>
      </c>
      <c r="I12257" s="18" t="s">
        <v>9239</v>
      </c>
      <c r="J12257" s="18" t="str">
        <f>IFERROR(__XLUDF.DUMMYFUNCTION("VLOOKUP(M325,IMPORTRANGE(""https://docs.google.com/spreadsheets/d/1opm6ZNvGZ7KditA9TuJwrZ25eFLfTNIkrNnY6mhV5Eg"",""list!A1:C115""),3,TRUE)"),"le secteur de la production alimentaire")</f>
        <v xml:space="preserve">le secteur de la production alimentaire</v>
      </c>
      <c r="K12257" s="5" t="s">
        <v>47526</v>
      </c>
      <c r="L12257" s="5" t="s">
        <v>47527</v>
      </c>
      <c r="M12257" s="18" t="s">
        <v>39</v>
      </c>
      <c r="N12257" s="18" t="s">
        <v>29</v>
      </c>
      <c r="O12257" s="18" t="s">
        <v>47528</v>
      </c>
      <c r="P12257" s="18" t="s">
        <v>29</v>
      </c>
      <c r="Q12257" s="6"/>
      <c r="R12257" s="6"/>
      <c r="S12257" s="6"/>
      <c r="T12257" s="6"/>
      <c r="U12257" s="6"/>
      <c r="V12257" s="6"/>
      <c r="W12257" s="6"/>
      <c r="X12257" s="6"/>
    </row>
    <row r="12258" ht="14.25">
      <c r="B12258" s="18" t="s">
        <v>48301</v>
      </c>
      <c r="C12258" s="18" t="s">
        <v>24676</v>
      </c>
      <c r="D12258" s="18" t="s">
        <v>7759</v>
      </c>
      <c r="E12258" s="18" t="s">
        <v>48302</v>
      </c>
      <c r="F12258" s="18" t="str">
        <f>IFERROR(__XLUDF.DUMMYFUNCTION("PROPER(REGEXREPLACE(D326,""[^A-Za-z]+ "",""""))"),"Metiista")</f>
        <v>Metiista</v>
      </c>
      <c r="G12258" s="18" t="s">
        <v>48303</v>
      </c>
      <c r="H12258" s="18">
        <v>12</v>
      </c>
      <c r="I12258" s="18" t="s">
        <v>9239</v>
      </c>
      <c r="J12258" s="18" t="str">
        <f>IFERROR(__XLUDF.DUMMYFUNCTION("VLOOKUP(M326,IMPORTRANGE(""https://docs.google.com/spreadsheets/d/1opm6ZNvGZ7KditA9TuJwrZ25eFLfTNIkrNnY6mhV5Eg"",""list!A1:C115""),3,TRUE)"),"le secteur de la production alimentaire")</f>
        <v xml:space="preserve">le secteur de la production alimentaire</v>
      </c>
      <c r="K12258" s="5" t="s">
        <v>48304</v>
      </c>
      <c r="L12258" s="5" t="s">
        <v>48305</v>
      </c>
      <c r="M12258" s="18" t="s">
        <v>185</v>
      </c>
      <c r="N12258" s="18" t="s">
        <v>29</v>
      </c>
      <c r="O12258" s="18" t="s">
        <v>48306</v>
      </c>
      <c r="P12258" s="18" t="s">
        <v>29</v>
      </c>
      <c r="Q12258" s="18" t="s">
        <v>48307</v>
      </c>
      <c r="R12258" s="6"/>
      <c r="S12258" s="6"/>
      <c r="T12258" s="6"/>
      <c r="U12258" s="6"/>
      <c r="V12258" s="6"/>
      <c r="W12258" s="6"/>
      <c r="X12258" s="6"/>
    </row>
    <row r="12259" ht="14.25">
      <c r="B12259" s="18" t="s">
        <v>866</v>
      </c>
      <c r="C12259" s="18" t="s">
        <v>52983</v>
      </c>
      <c r="D12259" s="18" t="s">
        <v>172</v>
      </c>
      <c r="E12259" s="18" t="s">
        <v>52984</v>
      </c>
      <c r="F12259" s="18" t="str">
        <f>IFERROR(__XLUDF.DUMMYFUNCTION("PROPER(REGEXREPLACE(D327,""[^A-Za-z]+ "",""""))"),"Ctp")</f>
        <v>Ctp</v>
      </c>
      <c r="G12259" s="18" t="s">
        <v>52985</v>
      </c>
      <c r="H12259" s="18">
        <v>33</v>
      </c>
      <c r="I12259" s="18" t="s">
        <v>9239</v>
      </c>
      <c r="J12259" s="18" t="str">
        <f>IFERROR(__XLUDF.DUMMYFUNCTION("VLOOKUP(M327,IMPORTRANGE(""https://docs.google.com/spreadsheets/d/1opm6ZNvGZ7KditA9TuJwrZ25eFLfTNIkrNnY6mhV5Eg"",""list!A1:C115""),3,TRUE)"),"le secteur de la production alimentaire")</f>
        <v xml:space="preserve">le secteur de la production alimentaire</v>
      </c>
      <c r="K12259" s="5" t="s">
        <v>52986</v>
      </c>
      <c r="L12259" s="5" t="s">
        <v>52987</v>
      </c>
      <c r="M12259" s="6"/>
      <c r="N12259" s="18" t="s">
        <v>29</v>
      </c>
      <c r="O12259" s="18" t="s">
        <v>52988</v>
      </c>
      <c r="P12259" s="18" t="s">
        <v>29</v>
      </c>
      <c r="Q12259" s="6"/>
      <c r="R12259" s="6"/>
      <c r="S12259" s="6"/>
      <c r="T12259" s="6"/>
      <c r="U12259" s="6"/>
      <c r="V12259" s="6"/>
      <c r="W12259" s="6"/>
      <c r="X12259" s="6"/>
    </row>
    <row r="12260" ht="14.25">
      <c r="B12260" s="18" t="s">
        <v>1215</v>
      </c>
      <c r="C12260" s="18" t="s">
        <v>53034</v>
      </c>
      <c r="D12260" s="18" t="s">
        <v>112</v>
      </c>
      <c r="E12260" s="18" t="s">
        <v>53035</v>
      </c>
      <c r="F12260" s="18" t="str">
        <f>IFERROR(__XLUDF.DUMMYFUNCTION("PROPER(REGEXREPLACE(D328,""[^A-Za-z]+ "",""""))"),"Baniti")</f>
        <v>Baniti</v>
      </c>
      <c r="G12260" s="18" t="s">
        <v>53036</v>
      </c>
      <c r="H12260" s="18">
        <v>13</v>
      </c>
      <c r="I12260" s="18" t="s">
        <v>9239</v>
      </c>
      <c r="J12260" s="18" t="str">
        <f>IFERROR(__XLUDF.DUMMYFUNCTION("VLOOKUP(M328,IMPORTRANGE(""https://docs.google.com/spreadsheets/d/1opm6ZNvGZ7KditA9TuJwrZ25eFLfTNIkrNnY6mhV5Eg"",""list!A1:C115""),3,TRUE)"),"le secteur de la production alimentaire")</f>
        <v xml:space="preserve">le secteur de la production alimentaire</v>
      </c>
      <c r="K12260" s="5" t="s">
        <v>55895</v>
      </c>
      <c r="L12260" s="5" t="s">
        <v>53038</v>
      </c>
      <c r="M12260" s="6"/>
      <c r="N12260" s="18" t="s">
        <v>29</v>
      </c>
      <c r="O12260" s="18" t="s">
        <v>53039</v>
      </c>
      <c r="P12260" s="18" t="s">
        <v>29</v>
      </c>
      <c r="Q12260" s="6"/>
      <c r="R12260" s="6"/>
      <c r="S12260" s="6"/>
      <c r="T12260" s="6"/>
      <c r="U12260" s="6"/>
      <c r="V12260" s="6"/>
      <c r="W12260" s="6"/>
      <c r="X12260" s="6"/>
    </row>
    <row r="12261" ht="14.25">
      <c r="B12261" s="18" t="s">
        <v>710</v>
      </c>
      <c r="C12261" s="18" t="s">
        <v>76</v>
      </c>
      <c r="D12261" s="18" t="s">
        <v>112</v>
      </c>
      <c r="E12261" s="18" t="s">
        <v>49806</v>
      </c>
      <c r="F12261" s="18" t="str">
        <f>IFERROR(__XLUDF.DUMMYFUNCTION("PROPER(REGEXREPLACE(D329,""[^A-Za-z]+ "",""""))"),"Alliance Travaux Speciaux")</f>
        <v xml:space="preserve">Alliance Travaux Speciaux</v>
      </c>
      <c r="G12261" s="18" t="s">
        <v>49807</v>
      </c>
      <c r="H12261" s="18">
        <v>18</v>
      </c>
      <c r="I12261" s="18" t="s">
        <v>9239</v>
      </c>
      <c r="J12261" s="18" t="str">
        <f>IFERROR(__XLUDF.DUMMYFUNCTION("VLOOKUP(M329,IMPORTRANGE(""https://docs.google.com/spreadsheets/d/1opm6ZNvGZ7KditA9TuJwrZ25eFLfTNIkrNnY6mhV5Eg"",""list!A1:C115""),3,TRUE)"),"le secteur de la production alimentaire")</f>
        <v xml:space="preserve">le secteur de la production alimentaire</v>
      </c>
      <c r="K12261" s="5" t="s">
        <v>49808</v>
      </c>
      <c r="L12261" s="5" t="s">
        <v>49809</v>
      </c>
      <c r="M12261" s="18" t="s">
        <v>185</v>
      </c>
      <c r="N12261" s="18" t="s">
        <v>29</v>
      </c>
      <c r="O12261" s="18" t="s">
        <v>49810</v>
      </c>
      <c r="P12261" s="18" t="s">
        <v>29</v>
      </c>
      <c r="Q12261" s="18" t="s">
        <v>49811</v>
      </c>
      <c r="R12261" s="6"/>
      <c r="S12261" s="6"/>
      <c r="T12261" s="6"/>
      <c r="U12261" s="6"/>
      <c r="V12261" s="6"/>
      <c r="W12261" s="6"/>
      <c r="X12261" s="6"/>
    </row>
    <row r="12262" ht="14.25">
      <c r="B12262" s="18" t="s">
        <v>710</v>
      </c>
      <c r="C12262" s="18" t="s">
        <v>1520</v>
      </c>
      <c r="D12262" s="18" t="s">
        <v>172</v>
      </c>
      <c r="E12262" s="18" t="s">
        <v>47098</v>
      </c>
      <c r="F12262" s="18" t="str">
        <f>IFERROR(__XLUDF.DUMMYFUNCTION("PROPER(REGEXREPLACE(D330,""[^A-Za-z]+ "",""""))"),"La Charpente Thouarsaise")</f>
        <v xml:space="preserve">La Charpente Thouarsaise</v>
      </c>
      <c r="G12262" s="18" t="s">
        <v>47099</v>
      </c>
      <c r="H12262" s="18">
        <v>21</v>
      </c>
      <c r="I12262" s="18" t="s">
        <v>9239</v>
      </c>
      <c r="J12262" s="18" t="str">
        <f>IFERROR(__XLUDF.DUMMYFUNCTION("VLOOKUP(M330,IMPORTRANGE(""https://docs.google.com/spreadsheets/d/1opm6ZNvGZ7KditA9TuJwrZ25eFLfTNIkrNnY6mhV5Eg"",""list!A1:C115""),3,TRUE)"),"le secteur de la production alimentaire")</f>
        <v xml:space="preserve">le secteur de la production alimentaire</v>
      </c>
      <c r="K12262" s="5" t="s">
        <v>47100</v>
      </c>
      <c r="L12262" s="5" t="s">
        <v>47101</v>
      </c>
      <c r="M12262" s="18" t="s">
        <v>1312</v>
      </c>
      <c r="N12262" s="18" t="s">
        <v>29</v>
      </c>
      <c r="O12262" s="18" t="s">
        <v>47102</v>
      </c>
      <c r="P12262" s="18" t="s">
        <v>29</v>
      </c>
      <c r="Q12262" s="18" t="s">
        <v>47103</v>
      </c>
      <c r="R12262" s="6"/>
      <c r="S12262" s="6"/>
      <c r="T12262" s="6"/>
      <c r="U12262" s="6"/>
      <c r="V12262" s="6"/>
      <c r="W12262" s="6"/>
      <c r="X12262" s="6"/>
    </row>
    <row r="12263" ht="14.25">
      <c r="B12263" s="18" t="s">
        <v>710</v>
      </c>
      <c r="C12263" s="18" t="s">
        <v>45945</v>
      </c>
      <c r="D12263" s="18" t="s">
        <v>172</v>
      </c>
      <c r="E12263" s="18" t="s">
        <v>45946</v>
      </c>
      <c r="F12263" s="18" t="str">
        <f>IFERROR(__XLUDF.DUMMYFUNCTION("PROPER(REGEXREPLACE(D331,""[^A-Za-z]+ "",""""))"),"Gifetal Aluminium")</f>
        <v xml:space="preserve">Gifetal Aluminium</v>
      </c>
      <c r="G12263" s="18" t="s">
        <v>50383</v>
      </c>
      <c r="H12263" s="18">
        <v>26</v>
      </c>
      <c r="I12263" s="18" t="s">
        <v>9239</v>
      </c>
      <c r="J12263" s="18" t="str">
        <f>IFERROR(__XLUDF.DUMMYFUNCTION("VLOOKUP(M331,IMPORTRANGE(""https://docs.google.com/spreadsheets/d/1opm6ZNvGZ7KditA9TuJwrZ25eFLfTNIkrNnY6mhV5Eg"",""list!A1:C115""),3,TRUE)"),"le secteur de la production alimentaire")</f>
        <v xml:space="preserve">le secteur de la production alimentaire</v>
      </c>
      <c r="K12263" s="5" t="s">
        <v>50384</v>
      </c>
      <c r="L12263" s="5" t="s">
        <v>45949</v>
      </c>
      <c r="M12263" s="18" t="s">
        <v>19976</v>
      </c>
      <c r="N12263" s="18" t="s">
        <v>29</v>
      </c>
      <c r="O12263" s="18" t="s">
        <v>45950</v>
      </c>
      <c r="P12263" s="18" t="s">
        <v>29</v>
      </c>
      <c r="Q12263" s="18" t="s">
        <v>45951</v>
      </c>
      <c r="R12263" s="6"/>
      <c r="S12263" s="6"/>
      <c r="T12263" s="6"/>
      <c r="U12263" s="6"/>
      <c r="V12263" s="6"/>
      <c r="W12263" s="6"/>
      <c r="X12263" s="6"/>
    </row>
    <row r="12264" ht="14.25">
      <c r="B12264" s="18" t="s">
        <v>5406</v>
      </c>
      <c r="C12264" s="18" t="s">
        <v>52733</v>
      </c>
      <c r="D12264" s="18" t="s">
        <v>7185</v>
      </c>
      <c r="E12264" s="5" t="s">
        <v>46839</v>
      </c>
      <c r="F12264" s="5" t="str">
        <f>IFERROR(__XLUDF.DUMMYFUNCTION("PROPER(REGEXREPLACE(D332,""[^A-Za-z]+ "",""""))"),"Monchauffagiste.Com")</f>
        <v>Monchauffagiste.Com</v>
      </c>
      <c r="G12264" s="18" t="s">
        <v>52734</v>
      </c>
      <c r="H12264" s="18">
        <v>8</v>
      </c>
      <c r="I12264" s="18" t="s">
        <v>9239</v>
      </c>
      <c r="J12264" s="18" t="str">
        <f>IFERROR(__XLUDF.DUMMYFUNCTION("VLOOKUP(M332,IMPORTRANGE(""https://docs.google.com/spreadsheets/d/1opm6ZNvGZ7KditA9TuJwrZ25eFLfTNIkrNnY6mhV5Eg"",""list!A1:C115""),3,TRUE)"),"le secteur de la production alimentaire")</f>
        <v xml:space="preserve">le secteur de la production alimentaire</v>
      </c>
      <c r="K12264" s="5" t="s">
        <v>52735</v>
      </c>
      <c r="L12264" s="5" t="s">
        <v>46842</v>
      </c>
      <c r="M12264" s="18" t="s">
        <v>846</v>
      </c>
      <c r="N12264" s="18" t="s">
        <v>29</v>
      </c>
      <c r="O12264" s="18" t="s">
        <v>46843</v>
      </c>
      <c r="P12264" s="18" t="s">
        <v>29</v>
      </c>
      <c r="Q12264" s="6"/>
      <c r="R12264" s="6"/>
      <c r="S12264" s="6"/>
      <c r="T12264" s="6"/>
      <c r="U12264" s="6"/>
      <c r="V12264" s="6"/>
      <c r="W12264" s="6"/>
      <c r="X12264" s="6"/>
    </row>
    <row r="12265" ht="14.25">
      <c r="B12265" s="18" t="s">
        <v>45385</v>
      </c>
      <c r="C12265" s="18" t="s">
        <v>14355</v>
      </c>
      <c r="D12265" s="18" t="s">
        <v>426</v>
      </c>
      <c r="E12265" s="18" t="s">
        <v>45386</v>
      </c>
      <c r="F12265" s="18" t="str">
        <f>IFERROR(__XLUDF.DUMMYFUNCTION("PROPER(REGEXREPLACE(D333,""[^A-Za-z]+ "",""""))"),"Gounot")</f>
        <v>Gounot</v>
      </c>
      <c r="G12265" s="18" t="s">
        <v>45387</v>
      </c>
      <c r="H12265" s="18">
        <v>12</v>
      </c>
      <c r="I12265" s="18" t="s">
        <v>9239</v>
      </c>
      <c r="J12265" s="18" t="str">
        <f>IFERROR(__XLUDF.DUMMYFUNCTION("VLOOKUP(M333,IMPORTRANGE(""https://docs.google.com/spreadsheets/d/1opm6ZNvGZ7KditA9TuJwrZ25eFLfTNIkrNnY6mhV5Eg"",""list!A1:C115""),3,TRUE)"),"le secteur de la production alimentaire")</f>
        <v xml:space="preserve">le secteur de la production alimentaire</v>
      </c>
      <c r="K12265" s="5" t="s">
        <v>55896</v>
      </c>
      <c r="L12265" s="5" t="s">
        <v>45389</v>
      </c>
      <c r="M12265" s="18" t="s">
        <v>39</v>
      </c>
      <c r="N12265" s="18" t="s">
        <v>29</v>
      </c>
      <c r="O12265" s="18" t="s">
        <v>45390</v>
      </c>
      <c r="P12265" s="18" t="s">
        <v>29</v>
      </c>
      <c r="Q12265" s="18" t="s">
        <v>45391</v>
      </c>
      <c r="R12265" s="6"/>
      <c r="S12265" s="6"/>
      <c r="T12265" s="6"/>
      <c r="U12265" s="6"/>
      <c r="V12265" s="6"/>
      <c r="W12265" s="6"/>
      <c r="X12265" s="6"/>
    </row>
    <row r="12266" ht="14.25">
      <c r="B12266" s="18" t="s">
        <v>5252</v>
      </c>
      <c r="C12266" s="18" t="s">
        <v>51601</v>
      </c>
      <c r="D12266" s="18" t="s">
        <v>51602</v>
      </c>
      <c r="E12266" s="18" t="s">
        <v>51603</v>
      </c>
      <c r="F12266" s="18" t="str">
        <f>IFERROR(__XLUDF.DUMMYFUNCTION("PROPER(REGEXREPLACE(D334,""[^A-Za-z]+ "",""""))"),"Carbonero Sas")</f>
        <v xml:space="preserve">Carbonero Sas</v>
      </c>
      <c r="G12266" s="18" t="s">
        <v>51604</v>
      </c>
      <c r="H12266" s="18">
        <v>15</v>
      </c>
      <c r="I12266" s="18" t="s">
        <v>9239</v>
      </c>
      <c r="J12266" s="18" t="str">
        <f>IFERROR(__XLUDF.DUMMYFUNCTION("VLOOKUP(M334,IMPORTRANGE(""https://docs.google.com/spreadsheets/d/1opm6ZNvGZ7KditA9TuJwrZ25eFLfTNIkrNnY6mhV5Eg"",""list!A1:C115""),3,TRUE)"),"le secteur de la production alimentaire")</f>
        <v xml:space="preserve">le secteur de la production alimentaire</v>
      </c>
      <c r="K12266" s="5" t="s">
        <v>51605</v>
      </c>
      <c r="L12266" s="5" t="s">
        <v>51606</v>
      </c>
      <c r="M12266" s="18" t="s">
        <v>1507</v>
      </c>
      <c r="N12266" s="18" t="s">
        <v>29</v>
      </c>
      <c r="O12266" s="18" t="s">
        <v>51607</v>
      </c>
      <c r="P12266" s="18" t="s">
        <v>29</v>
      </c>
      <c r="Q12266" s="6"/>
      <c r="R12266" s="6"/>
      <c r="S12266" s="6"/>
      <c r="T12266" s="6"/>
      <c r="U12266" s="6"/>
      <c r="V12266" s="6"/>
      <c r="W12266" s="6"/>
      <c r="X12266" s="6"/>
    </row>
    <row r="12267" ht="14.25">
      <c r="B12267" s="18" t="s">
        <v>118</v>
      </c>
      <c r="C12267" s="18" t="s">
        <v>5293</v>
      </c>
      <c r="D12267" s="18" t="s">
        <v>44916</v>
      </c>
      <c r="E12267" s="18" t="s">
        <v>44917</v>
      </c>
      <c r="F12267" s="18" t="str">
        <f>IFERROR(__XLUDF.DUMMYFUNCTION("PROPER(REGEXREPLACE(D335,""[^A-Za-z]+ "",""""))"),"Limeul")</f>
        <v>Limeul</v>
      </c>
      <c r="G12267" s="18" t="s">
        <v>44918</v>
      </c>
      <c r="H12267" s="18">
        <v>12</v>
      </c>
      <c r="I12267" s="18" t="s">
        <v>9239</v>
      </c>
      <c r="J12267" s="18" t="str">
        <f>IFERROR(__XLUDF.DUMMYFUNCTION("VLOOKUP(M335,IMPORTRANGE(""https://docs.google.com/spreadsheets/d/1opm6ZNvGZ7KditA9TuJwrZ25eFLfTNIkrNnY6mhV5Eg"",""list!A1:C115""),3,TRUE)"),"le secteur de la production alimentaire")</f>
        <v xml:space="preserve">le secteur de la production alimentaire</v>
      </c>
      <c r="K12267" s="5" t="s">
        <v>44919</v>
      </c>
      <c r="L12267" s="5" t="s">
        <v>44920</v>
      </c>
      <c r="M12267" s="18" t="s">
        <v>1826</v>
      </c>
      <c r="N12267" s="18" t="s">
        <v>29</v>
      </c>
      <c r="O12267" s="18" t="s">
        <v>44921</v>
      </c>
      <c r="P12267" s="18" t="s">
        <v>29</v>
      </c>
      <c r="Q12267" s="18" t="s">
        <v>44922</v>
      </c>
      <c r="R12267" s="6"/>
      <c r="S12267" s="6"/>
      <c r="T12267" s="6"/>
      <c r="U12267" s="6"/>
      <c r="V12267" s="6"/>
      <c r="W12267" s="6"/>
      <c r="X12267" s="6"/>
    </row>
    <row r="12268" ht="14.25">
      <c r="B12268" s="18" t="s">
        <v>5252</v>
      </c>
      <c r="C12268" s="18" t="s">
        <v>45712</v>
      </c>
      <c r="D12268" s="18" t="s">
        <v>487</v>
      </c>
      <c r="E12268" s="18" t="s">
        <v>45713</v>
      </c>
      <c r="F12268" s="18" t="str">
        <f>IFERROR(__XLUDF.DUMMYFUNCTION("PROPER(REGEXREPLACE(D336,""[^A-Za-z]+ "",""""))"),"Senelec")</f>
        <v>Senelec</v>
      </c>
      <c r="G12268" s="18" t="s">
        <v>45714</v>
      </c>
      <c r="H12268" s="18">
        <v>28</v>
      </c>
      <c r="I12268" s="18" t="s">
        <v>9239</v>
      </c>
      <c r="J12268" s="18" t="str">
        <f>IFERROR(__XLUDF.DUMMYFUNCTION("VLOOKUP(M336,IMPORTRANGE(""https://docs.google.com/spreadsheets/d/1opm6ZNvGZ7KditA9TuJwrZ25eFLfTNIkrNnY6mhV5Eg"",""list!A1:C115""),3,TRUE)"),"le secteur de la production alimentaire")</f>
        <v xml:space="preserve">le secteur de la production alimentaire</v>
      </c>
      <c r="K12268" s="5" t="s">
        <v>45715</v>
      </c>
      <c r="L12268" s="5" t="s">
        <v>45716</v>
      </c>
      <c r="M12268" s="18" t="s">
        <v>39</v>
      </c>
      <c r="N12268" s="18" t="s">
        <v>29</v>
      </c>
      <c r="O12268" s="18" t="s">
        <v>45717</v>
      </c>
      <c r="P12268" s="18" t="s">
        <v>29</v>
      </c>
      <c r="Q12268" s="6"/>
      <c r="R12268" s="6"/>
      <c r="S12268" s="6"/>
      <c r="T12268" s="6"/>
      <c r="U12268" s="6"/>
      <c r="V12268" s="6"/>
      <c r="W12268" s="6"/>
      <c r="X12268" s="6"/>
    </row>
    <row r="12269" ht="14.25">
      <c r="B12269" s="18" t="s">
        <v>118</v>
      </c>
      <c r="C12269" s="18" t="s">
        <v>26446</v>
      </c>
      <c r="D12269" s="18" t="s">
        <v>1130</v>
      </c>
      <c r="E12269" s="18" t="s">
        <v>52750</v>
      </c>
      <c r="F12269" s="18" t="str">
        <f>IFERROR(__XLUDF.DUMMYFUNCTION("PROPER(REGEXREPLACE(D337,""[^A-Za-z]+ "",""""))"),"Soleil Vert De France")</f>
        <v xml:space="preserve">Soleil Vert De France</v>
      </c>
      <c r="G12269" s="18" t="s">
        <v>52751</v>
      </c>
      <c r="H12269" s="18">
        <v>16</v>
      </c>
      <c r="I12269" s="18" t="s">
        <v>9239</v>
      </c>
      <c r="J12269" s="18" t="str">
        <f>IFERROR(__XLUDF.DUMMYFUNCTION("VLOOKUP(M337,IMPORTRANGE(""https://docs.google.com/spreadsheets/d/1opm6ZNvGZ7KditA9TuJwrZ25eFLfTNIkrNnY6mhV5Eg"",""list!A1:C115""),3,TRUE)"),"le secteur de la production alimentaire")</f>
        <v xml:space="preserve">le secteur de la production alimentaire</v>
      </c>
      <c r="K12269" s="5" t="s">
        <v>52752</v>
      </c>
      <c r="L12269" s="5" t="s">
        <v>52753</v>
      </c>
      <c r="M12269" s="18" t="s">
        <v>185</v>
      </c>
      <c r="N12269" s="18" t="s">
        <v>29</v>
      </c>
      <c r="O12269" s="18" t="s">
        <v>125</v>
      </c>
      <c r="P12269" s="18" t="s">
        <v>29</v>
      </c>
      <c r="Q12269" s="18" t="s">
        <v>52754</v>
      </c>
      <c r="R12269" s="6"/>
      <c r="S12269" s="6"/>
      <c r="T12269" s="6"/>
      <c r="U12269" s="6"/>
      <c r="V12269" s="6"/>
      <c r="W12269" s="6"/>
      <c r="X12269" s="6"/>
    </row>
    <row r="12270" ht="14.25">
      <c r="B12270" s="18" t="s">
        <v>118</v>
      </c>
      <c r="C12270" s="18" t="s">
        <v>15353</v>
      </c>
      <c r="D12270" s="18" t="s">
        <v>112</v>
      </c>
      <c r="E12270" s="18" t="s">
        <v>50524</v>
      </c>
      <c r="F12270" s="18" t="str">
        <f>IFERROR(__XLUDF.DUMMYFUNCTION("PROPER(REGEXREPLACE(D338,""[^A-Za-z]+ "",""""))"),"Sanipac")</f>
        <v>Sanipac</v>
      </c>
      <c r="G12270" s="18" t="s">
        <v>50525</v>
      </c>
      <c r="H12270" s="18">
        <v>21</v>
      </c>
      <c r="I12270" s="18" t="s">
        <v>9239</v>
      </c>
      <c r="J12270" s="18" t="str">
        <f>IFERROR(__XLUDF.DUMMYFUNCTION("VLOOKUP(M338,IMPORTRANGE(""https://docs.google.com/spreadsheets/d/1opm6ZNvGZ7KditA9TuJwrZ25eFLfTNIkrNnY6mhV5Eg"",""list!A1:C115""),3,TRUE)"),"le secteur de la production alimentaire")</f>
        <v xml:space="preserve">le secteur de la production alimentaire</v>
      </c>
      <c r="K12270" s="5" t="s">
        <v>50526</v>
      </c>
      <c r="L12270" s="5" t="s">
        <v>50527</v>
      </c>
      <c r="M12270" s="6"/>
      <c r="N12270" s="18" t="s">
        <v>29</v>
      </c>
      <c r="O12270" s="18" t="s">
        <v>50528</v>
      </c>
      <c r="P12270" s="18" t="s">
        <v>29</v>
      </c>
      <c r="Q12270" s="18" t="s">
        <v>50529</v>
      </c>
      <c r="R12270" s="6"/>
      <c r="S12270" s="6"/>
      <c r="T12270" s="6"/>
      <c r="U12270" s="6"/>
      <c r="V12270" s="6"/>
      <c r="W12270" s="6"/>
      <c r="X12270" s="6"/>
    </row>
    <row r="12271" ht="14.25">
      <c r="B12271" s="18" t="s">
        <v>118</v>
      </c>
      <c r="C12271" s="18" t="s">
        <v>48294</v>
      </c>
      <c r="D12271" s="18" t="s">
        <v>172</v>
      </c>
      <c r="E12271" s="18" t="s">
        <v>48295</v>
      </c>
      <c r="F12271" s="18" t="str">
        <f>IFERROR(__XLUDF.DUMMYFUNCTION("PROPER(REGEXREPLACE(D339,""[^A-Za-z]+ "",""""))"),"Continental Bitumen")</f>
        <v xml:space="preserve">Continental Bitumen</v>
      </c>
      <c r="G12271" s="18" t="s">
        <v>48296</v>
      </c>
      <c r="H12271" s="18">
        <v>16</v>
      </c>
      <c r="I12271" s="18" t="s">
        <v>9239</v>
      </c>
      <c r="J12271" s="18" t="str">
        <f>IFERROR(__XLUDF.DUMMYFUNCTION("VLOOKUP(M339,IMPORTRANGE(""https://docs.google.com/spreadsheets/d/1opm6ZNvGZ7KditA9TuJwrZ25eFLfTNIkrNnY6mhV5Eg"",""list!A1:C115""),3,TRUE)"),"le secteur de la production alimentaire")</f>
        <v xml:space="preserve">le secteur de la production alimentaire</v>
      </c>
      <c r="K12271" s="5" t="s">
        <v>48297</v>
      </c>
      <c r="L12271" s="5" t="s">
        <v>48298</v>
      </c>
      <c r="M12271" s="18" t="s">
        <v>39</v>
      </c>
      <c r="N12271" s="18" t="s">
        <v>29</v>
      </c>
      <c r="O12271" s="18" t="s">
        <v>48299</v>
      </c>
      <c r="P12271" s="18" t="s">
        <v>19092</v>
      </c>
      <c r="Q12271" s="18" t="s">
        <v>48300</v>
      </c>
      <c r="R12271" s="6"/>
      <c r="S12271" s="6"/>
      <c r="T12271" s="6"/>
      <c r="U12271" s="6"/>
      <c r="V12271" s="6"/>
      <c r="W12271" s="6"/>
      <c r="X12271" s="6"/>
    </row>
    <row r="12272" ht="14.25">
      <c r="B12272" s="18" t="s">
        <v>118</v>
      </c>
      <c r="C12272" s="6"/>
      <c r="D12272" s="18" t="s">
        <v>20235</v>
      </c>
      <c r="E12272" s="18" t="s">
        <v>50013</v>
      </c>
      <c r="F12272" s="18" t="str">
        <f>IFERROR(__XLUDF.DUMMYFUNCTION("PROPER(REGEXREPLACE(D340,""[^A-Za-z]+ "",""""))"),"Emmac")</f>
        <v>Emmac</v>
      </c>
      <c r="G12272" s="18" t="s">
        <v>50014</v>
      </c>
      <c r="H12272" s="18">
        <v>12</v>
      </c>
      <c r="I12272" s="18" t="s">
        <v>9239</v>
      </c>
      <c r="J12272" s="18" t="str">
        <f>IFERROR(__XLUDF.DUMMYFUNCTION("VLOOKUP(M340,IMPORTRANGE(""https://docs.google.com/spreadsheets/d/1opm6ZNvGZ7KditA9TuJwrZ25eFLfTNIkrNnY6mhV5Eg"",""list!A1:C115""),3,TRUE)"),"le secteur de la production alimentaire")</f>
        <v xml:space="preserve">le secteur de la production alimentaire</v>
      </c>
      <c r="K12272" s="5" t="s">
        <v>50015</v>
      </c>
      <c r="L12272" s="5" t="s">
        <v>50016</v>
      </c>
      <c r="M12272" s="18" t="s">
        <v>39</v>
      </c>
      <c r="N12272" s="18" t="s">
        <v>29</v>
      </c>
      <c r="O12272" s="18" t="s">
        <v>50017</v>
      </c>
      <c r="P12272" s="18" t="s">
        <v>29</v>
      </c>
      <c r="Q12272" s="18" t="s">
        <v>50018</v>
      </c>
      <c r="R12272" s="6"/>
      <c r="S12272" s="6"/>
      <c r="T12272" s="6"/>
      <c r="U12272" s="6"/>
      <c r="V12272" s="6"/>
      <c r="W12272" s="6"/>
      <c r="X12272" s="6"/>
    </row>
    <row r="12273" ht="14.25">
      <c r="B12273" s="18" t="s">
        <v>15990</v>
      </c>
      <c r="C12273" s="18" t="s">
        <v>4305</v>
      </c>
      <c r="D12273" s="18" t="s">
        <v>172</v>
      </c>
      <c r="E12273" s="18" t="s">
        <v>48003</v>
      </c>
      <c r="F12273" s="18" t="str">
        <f>IFERROR(__XLUDF.DUMMYFUNCTION("PROPER(REGEXREPLACE(D341,""[^A-Za-z]+ "",""""))"),"Bernasconi T.P")</f>
        <v xml:space="preserve">Bernasconi T.P</v>
      </c>
      <c r="G12273" s="18" t="s">
        <v>51618</v>
      </c>
      <c r="H12273" s="18">
        <v>14</v>
      </c>
      <c r="I12273" s="18" t="s">
        <v>9239</v>
      </c>
      <c r="J12273" s="18" t="str">
        <f>IFERROR(__XLUDF.DUMMYFUNCTION("VLOOKUP(M341,IMPORTRANGE(""https://docs.google.com/spreadsheets/d/1opm6ZNvGZ7KditA9TuJwrZ25eFLfTNIkrNnY6mhV5Eg"",""list!A1:C115""),3,TRUE)"),"le secteur de la production alimentaire")</f>
        <v xml:space="preserve">le secteur de la production alimentaire</v>
      </c>
      <c r="K12273" s="5" t="s">
        <v>51619</v>
      </c>
      <c r="L12273" s="5" t="s">
        <v>48006</v>
      </c>
      <c r="M12273" s="18" t="s">
        <v>1826</v>
      </c>
      <c r="N12273" s="18" t="s">
        <v>29</v>
      </c>
      <c r="O12273" s="18" t="s">
        <v>48008</v>
      </c>
      <c r="P12273" s="18" t="s">
        <v>29</v>
      </c>
      <c r="Q12273" s="18" t="s">
        <v>55849</v>
      </c>
      <c r="R12273" s="6"/>
      <c r="S12273" s="6"/>
      <c r="T12273" s="6"/>
      <c r="U12273" s="6"/>
      <c r="V12273" s="6"/>
      <c r="W12273" s="6"/>
      <c r="X12273" s="6"/>
    </row>
    <row r="12274" ht="14.25">
      <c r="B12274" s="18" t="s">
        <v>279</v>
      </c>
      <c r="C12274" s="18" t="s">
        <v>51133</v>
      </c>
      <c r="D12274" s="18" t="s">
        <v>51134</v>
      </c>
      <c r="E12274" s="18" t="s">
        <v>47218</v>
      </c>
      <c r="F12274" s="18" t="str">
        <f>IFERROR(__XLUDF.DUMMYFUNCTION("PROPER(REGEXREPLACE(D342,""[^A-Za-z]+ "",""""))"),"Ocellis Energies")</f>
        <v xml:space="preserve">Ocellis Energies</v>
      </c>
      <c r="G12274" s="18" t="s">
        <v>51135</v>
      </c>
      <c r="H12274" s="18">
        <v>15</v>
      </c>
      <c r="I12274" s="18" t="s">
        <v>9239</v>
      </c>
      <c r="J12274" s="18" t="str">
        <f>IFERROR(__XLUDF.DUMMYFUNCTION("VLOOKUP(M342,IMPORTRANGE(""https://docs.google.com/spreadsheets/d/1opm6ZNvGZ7KditA9TuJwrZ25eFLfTNIkrNnY6mhV5Eg"",""list!A1:C115""),3,TRUE)"),"le secteur de la production alimentaire")</f>
        <v xml:space="preserve">le secteur de la production alimentaire</v>
      </c>
      <c r="K12274" s="5" t="s">
        <v>51136</v>
      </c>
      <c r="L12274" s="5" t="s">
        <v>47221</v>
      </c>
      <c r="M12274" s="6"/>
      <c r="N12274" s="18" t="s">
        <v>29</v>
      </c>
      <c r="O12274" s="18" t="s">
        <v>47222</v>
      </c>
      <c r="P12274" s="18" t="s">
        <v>29</v>
      </c>
      <c r="Q12274" s="18" t="s">
        <v>47223</v>
      </c>
      <c r="R12274" s="6"/>
      <c r="S12274" s="6"/>
      <c r="T12274" s="6"/>
      <c r="U12274" s="6"/>
      <c r="V12274" s="6"/>
      <c r="W12274" s="6"/>
      <c r="X12274" s="6"/>
    </row>
    <row r="12275" ht="14.25">
      <c r="B12275" s="18" t="s">
        <v>255</v>
      </c>
      <c r="C12275" s="18" t="s">
        <v>50219</v>
      </c>
      <c r="D12275" s="18" t="s">
        <v>468</v>
      </c>
      <c r="E12275" s="18" t="s">
        <v>50220</v>
      </c>
      <c r="F12275" s="18" t="str">
        <f>IFERROR(__XLUDF.DUMMYFUNCTION("PROPER(REGEXREPLACE(D343,""[^A-Za-z]+ "",""""))"),"Forages Du Nord Ouest")</f>
        <v xml:space="preserve">Forages Du Nord Ouest</v>
      </c>
      <c r="G12275" s="18" t="s">
        <v>50221</v>
      </c>
      <c r="H12275" s="18">
        <v>17</v>
      </c>
      <c r="I12275" s="18" t="s">
        <v>9239</v>
      </c>
      <c r="J12275" s="18" t="str">
        <f>IFERROR(__XLUDF.DUMMYFUNCTION("VLOOKUP(M343,IMPORTRANGE(""https://docs.google.com/spreadsheets/d/1opm6ZNvGZ7KditA9TuJwrZ25eFLfTNIkrNnY6mhV5Eg"",""list!A1:C115""),3,TRUE)"),"le secteur de la production alimentaire")</f>
        <v xml:space="preserve">le secteur de la production alimentaire</v>
      </c>
      <c r="K12275" s="5" t="s">
        <v>50222</v>
      </c>
      <c r="L12275" s="5" t="s">
        <v>50223</v>
      </c>
      <c r="M12275" s="18" t="s">
        <v>50224</v>
      </c>
      <c r="N12275" s="18" t="s">
        <v>29</v>
      </c>
      <c r="O12275" s="18" t="s">
        <v>50225</v>
      </c>
      <c r="P12275" s="18" t="s">
        <v>29</v>
      </c>
      <c r="Q12275" s="18" t="s">
        <v>50226</v>
      </c>
      <c r="R12275" s="6"/>
      <c r="S12275" s="6"/>
      <c r="T12275" s="6"/>
      <c r="U12275" s="6"/>
      <c r="V12275" s="6"/>
      <c r="W12275" s="6"/>
      <c r="X12275" s="6"/>
    </row>
    <row r="12276" ht="14.25">
      <c r="B12276" s="18" t="s">
        <v>15990</v>
      </c>
      <c r="C12276" s="18" t="s">
        <v>48698</v>
      </c>
      <c r="D12276" s="18" t="s">
        <v>172</v>
      </c>
      <c r="E12276" s="18" t="s">
        <v>48699</v>
      </c>
      <c r="F12276" s="18" t="str">
        <f>IFERROR(__XLUDF.DUMMYFUNCTION("PROPER(REGEXREPLACE(D344,""[^A-Za-z]+ "",""""))"),"Groupe Proxiso")</f>
        <v xml:space="preserve">Groupe Proxiso</v>
      </c>
      <c r="G12276" s="18" t="s">
        <v>48700</v>
      </c>
      <c r="H12276" s="18">
        <v>14</v>
      </c>
      <c r="I12276" s="18" t="s">
        <v>9239</v>
      </c>
      <c r="J12276" s="18" t="str">
        <f>IFERROR(__XLUDF.DUMMYFUNCTION("VLOOKUP(M344,IMPORTRANGE(""https://docs.google.com/spreadsheets/d/1opm6ZNvGZ7KditA9TuJwrZ25eFLfTNIkrNnY6mhV5Eg"",""list!A1:C115""),3,TRUE)"),"le secteur de la production alimentaire")</f>
        <v xml:space="preserve">le secteur de la production alimentaire</v>
      </c>
      <c r="K12276" s="5" t="s">
        <v>48701</v>
      </c>
      <c r="L12276" s="5" t="s">
        <v>48702</v>
      </c>
      <c r="M12276" s="18" t="s">
        <v>4922</v>
      </c>
      <c r="N12276" s="18" t="s">
        <v>29</v>
      </c>
      <c r="O12276" s="18" t="s">
        <v>21461</v>
      </c>
      <c r="P12276" s="18" t="s">
        <v>29</v>
      </c>
      <c r="Q12276" s="18" t="s">
        <v>48703</v>
      </c>
      <c r="R12276" s="6"/>
      <c r="S12276" s="6"/>
      <c r="T12276" s="6"/>
      <c r="U12276" s="6"/>
      <c r="V12276" s="6"/>
      <c r="W12276" s="6"/>
      <c r="X12276" s="6"/>
    </row>
    <row r="12277" ht="14.25">
      <c r="B12277" s="18" t="s">
        <v>5252</v>
      </c>
      <c r="C12277" s="18" t="s">
        <v>45770</v>
      </c>
      <c r="D12277" s="18" t="s">
        <v>172</v>
      </c>
      <c r="E12277" s="18" t="s">
        <v>45771</v>
      </c>
      <c r="F12277" s="18" t="str">
        <f>IFERROR(__XLUDF.DUMMYFUNCTION("PROPER(REGEXREPLACE(D345,""[^A-Za-z]+ "",""""))"),"Hugo Tech")</f>
        <v xml:space="preserve">Hugo Tech</v>
      </c>
      <c r="G12277" s="18" t="s">
        <v>45772</v>
      </c>
      <c r="H12277" s="18">
        <v>27</v>
      </c>
      <c r="I12277" s="18" t="s">
        <v>9239</v>
      </c>
      <c r="J12277" s="18" t="str">
        <f>IFERROR(__XLUDF.DUMMYFUNCTION("VLOOKUP(M345,IMPORTRANGE(""https://docs.google.com/spreadsheets/d/1opm6ZNvGZ7KditA9TuJwrZ25eFLfTNIkrNnY6mhV5Eg"",""list!A1:C115""),3,TRUE)"),"le secteur de la production alimentaire")</f>
        <v xml:space="preserve">le secteur de la production alimentaire</v>
      </c>
      <c r="K12277" s="5" t="s">
        <v>45773</v>
      </c>
      <c r="L12277" s="5" t="s">
        <v>45774</v>
      </c>
      <c r="M12277" s="18" t="s">
        <v>716</v>
      </c>
      <c r="N12277" s="18" t="s">
        <v>29</v>
      </c>
      <c r="O12277" s="18" t="s">
        <v>45775</v>
      </c>
      <c r="P12277" s="18" t="s">
        <v>29</v>
      </c>
      <c r="Q12277" s="18" t="s">
        <v>45776</v>
      </c>
      <c r="R12277" s="6"/>
      <c r="S12277" s="6"/>
      <c r="T12277" s="6"/>
      <c r="U12277" s="6"/>
      <c r="V12277" s="6"/>
      <c r="W12277" s="6"/>
      <c r="X12277" s="6"/>
    </row>
    <row r="12278" ht="14.25">
      <c r="B12278" s="18" t="s">
        <v>50227</v>
      </c>
      <c r="C12278" s="18" t="s">
        <v>5444</v>
      </c>
      <c r="D12278" s="18" t="s">
        <v>9849</v>
      </c>
      <c r="E12278" s="18" t="s">
        <v>48536</v>
      </c>
      <c r="F12278" s="18" t="str">
        <f>IFERROR(__XLUDF.DUMMYFUNCTION("PROPER(REGEXREPLACE(D346,""[^A-Za-z]+ "",""""))"),"Groupe Ascia")</f>
        <v xml:space="preserve">Groupe Ascia</v>
      </c>
      <c r="G12278" s="18" t="s">
        <v>50228</v>
      </c>
      <c r="H12278" s="18">
        <v>41</v>
      </c>
      <c r="I12278" s="18" t="s">
        <v>9239</v>
      </c>
      <c r="J12278" s="18" t="str">
        <f>IFERROR(__XLUDF.DUMMYFUNCTION("VLOOKUP(M346,IMPORTRANGE(""https://docs.google.com/spreadsheets/d/1opm6ZNvGZ7KditA9TuJwrZ25eFLfTNIkrNnY6mhV5Eg"",""list!A1:C115""),3,TRUE)"),"le secteur de la production alimentaire")</f>
        <v xml:space="preserve">le secteur de la production alimentaire</v>
      </c>
      <c r="K12278" s="5" t="s">
        <v>50229</v>
      </c>
      <c r="L12278" s="5" t="s">
        <v>48539</v>
      </c>
      <c r="M12278" s="18" t="s">
        <v>1711</v>
      </c>
      <c r="N12278" s="18" t="s">
        <v>29</v>
      </c>
      <c r="O12278" s="18" t="s">
        <v>48540</v>
      </c>
      <c r="P12278" s="18" t="s">
        <v>29</v>
      </c>
      <c r="Q12278" s="18" t="s">
        <v>48541</v>
      </c>
      <c r="R12278" s="6"/>
      <c r="S12278" s="6"/>
      <c r="T12278" s="6"/>
      <c r="U12278" s="6"/>
      <c r="V12278" s="6"/>
      <c r="W12278" s="6"/>
      <c r="X12278" s="6"/>
    </row>
    <row r="12279" ht="14.25">
      <c r="B12279" s="18" t="s">
        <v>817</v>
      </c>
      <c r="C12279" s="18" t="s">
        <v>10222</v>
      </c>
      <c r="D12279" s="18" t="s">
        <v>45972</v>
      </c>
      <c r="E12279" s="18" t="s">
        <v>45973</v>
      </c>
      <c r="F12279" s="18" t="str">
        <f>IFERROR(__XLUDF.DUMMYFUNCTION("PROPER(REGEXREPLACE(D347,""[^A-Za-z]+ "",""""))"),"Rom")</f>
        <v>Rom</v>
      </c>
      <c r="G12279" s="18" t="s">
        <v>45974</v>
      </c>
      <c r="H12279" s="18">
        <v>22</v>
      </c>
      <c r="I12279" s="18" t="s">
        <v>9239</v>
      </c>
      <c r="J12279" s="18" t="str">
        <f>IFERROR(__XLUDF.DUMMYFUNCTION("VLOOKUP(M347,IMPORTRANGE(""https://docs.google.com/spreadsheets/d/1opm6ZNvGZ7KditA9TuJwrZ25eFLfTNIkrNnY6mhV5Eg"",""list!A1:C115""),3,TRUE)"),"le secteur de la production alimentaire")</f>
        <v xml:space="preserve">le secteur de la production alimentaire</v>
      </c>
      <c r="K12279" s="5" t="s">
        <v>45975</v>
      </c>
      <c r="L12279" s="5" t="s">
        <v>45976</v>
      </c>
      <c r="M12279" s="18" t="s">
        <v>39</v>
      </c>
      <c r="N12279" s="18" t="s">
        <v>29</v>
      </c>
      <c r="O12279" s="18" t="s">
        <v>45977</v>
      </c>
      <c r="P12279" s="18" t="s">
        <v>29</v>
      </c>
      <c r="Q12279" s="6"/>
      <c r="R12279" s="6"/>
      <c r="S12279" s="6"/>
      <c r="T12279" s="6"/>
      <c r="U12279" s="6"/>
      <c r="V12279" s="6"/>
      <c r="W12279" s="6"/>
      <c r="X12279" s="6"/>
    </row>
    <row r="12280" ht="14.25">
      <c r="B12280" s="18" t="s">
        <v>255</v>
      </c>
      <c r="C12280" s="18" t="s">
        <v>51137</v>
      </c>
      <c r="D12280" s="18" t="s">
        <v>172</v>
      </c>
      <c r="E12280" s="18" t="s">
        <v>51138</v>
      </c>
      <c r="F12280" s="18" t="str">
        <f>IFERROR(__XLUDF.DUMMYFUNCTION("PROPER(REGEXREPLACE(D348,""[^A-Za-z]+ "",""""))"),"Soraetec")</f>
        <v>Soraetec</v>
      </c>
      <c r="G12280" s="18" t="s">
        <v>51139</v>
      </c>
      <c r="H12280" s="18">
        <v>9</v>
      </c>
      <c r="I12280" s="18" t="s">
        <v>9239</v>
      </c>
      <c r="J12280" s="18" t="str">
        <f>IFERROR(__XLUDF.DUMMYFUNCTION("VLOOKUP(M348,IMPORTRANGE(""https://docs.google.com/spreadsheets/d/1opm6ZNvGZ7KditA9TuJwrZ25eFLfTNIkrNnY6mhV5Eg"",""list!A1:C115""),3,TRUE)"),"le secteur de la production alimentaire")</f>
        <v xml:space="preserve">le secteur de la production alimentaire</v>
      </c>
      <c r="K12280" s="5" t="s">
        <v>51140</v>
      </c>
      <c r="L12280" s="5" t="s">
        <v>51141</v>
      </c>
      <c r="M12280" s="18" t="s">
        <v>1507</v>
      </c>
      <c r="N12280" s="18" t="s">
        <v>29</v>
      </c>
      <c r="O12280" s="18" t="s">
        <v>1851</v>
      </c>
      <c r="P12280" s="18" t="s">
        <v>29</v>
      </c>
      <c r="Q12280" s="18" t="s">
        <v>51142</v>
      </c>
      <c r="R12280" s="6"/>
      <c r="S12280" s="6"/>
      <c r="T12280" s="6"/>
      <c r="U12280" s="6"/>
      <c r="V12280" s="6"/>
      <c r="W12280" s="6"/>
      <c r="X12280" s="6"/>
    </row>
    <row r="12281" ht="14.25">
      <c r="B12281" s="18" t="s">
        <v>994</v>
      </c>
      <c r="C12281" s="18" t="s">
        <v>24529</v>
      </c>
      <c r="D12281" s="18" t="s">
        <v>172</v>
      </c>
      <c r="E12281" s="18" t="s">
        <v>50611</v>
      </c>
      <c r="F12281" s="18" t="str">
        <f>IFERROR(__XLUDF.DUMMYFUNCTION("PROPER(REGEXREPLACE(D349,""[^A-Za-z]+ "",""""))"),"Herkrug")</f>
        <v>Herkrug</v>
      </c>
      <c r="G12281" s="18" t="s">
        <v>51143</v>
      </c>
      <c r="H12281" s="18">
        <v>20</v>
      </c>
      <c r="I12281" s="18" t="s">
        <v>9239</v>
      </c>
      <c r="J12281" s="18" t="str">
        <f>IFERROR(__XLUDF.DUMMYFUNCTION("VLOOKUP(M349,IMPORTRANGE(""https://docs.google.com/spreadsheets/d/1opm6ZNvGZ7KditA9TuJwrZ25eFLfTNIkrNnY6mhV5Eg"",""list!A1:C115""),3,TRUE)"),"le secteur de la production alimentaire")</f>
        <v xml:space="preserve">le secteur de la production alimentaire</v>
      </c>
      <c r="K12281" s="5" t="s">
        <v>51144</v>
      </c>
      <c r="L12281" s="5" t="s">
        <v>50614</v>
      </c>
      <c r="M12281" s="18" t="s">
        <v>51145</v>
      </c>
      <c r="N12281" s="18" t="s">
        <v>29</v>
      </c>
      <c r="O12281" s="18" t="s">
        <v>50615</v>
      </c>
      <c r="P12281" s="18" t="s">
        <v>29</v>
      </c>
      <c r="Q12281" s="18" t="s">
        <v>50616</v>
      </c>
      <c r="R12281" s="6"/>
      <c r="S12281" s="6"/>
      <c r="T12281" s="6"/>
      <c r="U12281" s="6"/>
      <c r="V12281" s="6"/>
      <c r="W12281" s="6"/>
      <c r="X12281" s="6"/>
    </row>
    <row r="12282" ht="14.25">
      <c r="B12282" s="18" t="s">
        <v>15990</v>
      </c>
      <c r="C12282" s="18" t="s">
        <v>8303</v>
      </c>
      <c r="D12282" s="18" t="s">
        <v>1130</v>
      </c>
      <c r="E12282" s="18" t="s">
        <v>53022</v>
      </c>
      <c r="F12282" s="18" t="str">
        <f>IFERROR(__XLUDF.DUMMYFUNCTION("PROPER(REGEXREPLACE(D350,""[^A-Za-z]+ "",""""))"),"Roy Travaux")</f>
        <v xml:space="preserve">Roy Travaux</v>
      </c>
      <c r="G12282" s="18" t="s">
        <v>53023</v>
      </c>
      <c r="H12282" s="18">
        <v>37</v>
      </c>
      <c r="I12282" s="18" t="s">
        <v>9239</v>
      </c>
      <c r="J12282" s="18" t="str">
        <f>IFERROR(__XLUDF.DUMMYFUNCTION("VLOOKUP(M350,IMPORTRANGE(""https://docs.google.com/spreadsheets/d/1opm6ZNvGZ7KditA9TuJwrZ25eFLfTNIkrNnY6mhV5Eg"",""list!A1:C115""),3,TRUE)"),"le secteur de la production alimentaire")</f>
        <v xml:space="preserve">le secteur de la production alimentaire</v>
      </c>
      <c r="K12282" s="5" t="s">
        <v>55897</v>
      </c>
      <c r="L12282" s="5" t="s">
        <v>53025</v>
      </c>
      <c r="M12282" s="18" t="s">
        <v>243</v>
      </c>
      <c r="N12282" s="18" t="s">
        <v>29</v>
      </c>
      <c r="O12282" s="18" t="s">
        <v>53026</v>
      </c>
      <c r="P12282" s="18" t="s">
        <v>29</v>
      </c>
      <c r="Q12282" s="18" t="s">
        <v>53027</v>
      </c>
      <c r="R12282" s="6"/>
      <c r="S12282" s="6"/>
      <c r="T12282" s="6"/>
      <c r="U12282" s="6"/>
      <c r="V12282" s="6"/>
      <c r="W12282" s="6"/>
      <c r="X12282" s="6"/>
    </row>
    <row r="12283" ht="14.25">
      <c r="B12283" s="18" t="s">
        <v>52671</v>
      </c>
      <c r="C12283" s="18" t="s">
        <v>52672</v>
      </c>
      <c r="D12283" s="18" t="s">
        <v>172</v>
      </c>
      <c r="E12283" s="18" t="s">
        <v>52673</v>
      </c>
      <c r="F12283" s="18" t="str">
        <f>IFERROR(__XLUDF.DUMMYFUNCTION("PROPER(REGEXREPLACE(D351,""[^A-Za-z]+ "",""""))"),"France-Lanordbichaton Entreprise Générale")</f>
        <v xml:space="preserve">France-Lanordbichaton Entreprise Générale</v>
      </c>
      <c r="G12283" s="18" t="s">
        <v>52674</v>
      </c>
      <c r="H12283" s="18">
        <v>30</v>
      </c>
      <c r="I12283" s="18" t="s">
        <v>9239</v>
      </c>
      <c r="J12283" s="18" t="str">
        <f>IFERROR(__XLUDF.DUMMYFUNCTION("VLOOKUP(M351,IMPORTRANGE(""https://docs.google.com/spreadsheets/d/1opm6ZNvGZ7KditA9TuJwrZ25eFLfTNIkrNnY6mhV5Eg"",""list!A1:C115""),3,TRUE)"),"le secteur de la production alimentaire")</f>
        <v xml:space="preserve">le secteur de la production alimentaire</v>
      </c>
      <c r="K12283" s="5" t="s">
        <v>52675</v>
      </c>
      <c r="L12283" s="5" t="s">
        <v>52676</v>
      </c>
      <c r="M12283" s="6"/>
      <c r="N12283" s="18" t="s">
        <v>29</v>
      </c>
      <c r="O12283" s="18" t="s">
        <v>52677</v>
      </c>
      <c r="P12283" s="18" t="s">
        <v>29</v>
      </c>
      <c r="Q12283" s="18" t="s">
        <v>52678</v>
      </c>
      <c r="R12283" s="6"/>
      <c r="S12283" s="6"/>
      <c r="T12283" s="6"/>
      <c r="U12283" s="6"/>
      <c r="V12283" s="6"/>
      <c r="W12283" s="6"/>
      <c r="X12283" s="6"/>
    </row>
    <row r="12284" ht="14.25">
      <c r="B12284" s="18" t="s">
        <v>322</v>
      </c>
      <c r="C12284" s="18" t="s">
        <v>46824</v>
      </c>
      <c r="D12284" s="18" t="s">
        <v>87</v>
      </c>
      <c r="E12284" s="18" t="s">
        <v>46565</v>
      </c>
      <c r="F12284" s="18" t="str">
        <f>IFERROR(__XLUDF.DUMMYFUNCTION("PROPER(REGEXREPLACE(D352,""[^A-Za-z]+ "",""""))"),"123Modules")</f>
        <v>123Modules</v>
      </c>
      <c r="G12284" s="18" t="s">
        <v>46825</v>
      </c>
      <c r="H12284" s="18">
        <v>19</v>
      </c>
      <c r="I12284" s="18" t="s">
        <v>9239</v>
      </c>
      <c r="J12284" s="18" t="str">
        <f>IFERROR(__XLUDF.DUMMYFUNCTION("VLOOKUP(M352,IMPORTRANGE(""https://docs.google.com/spreadsheets/d/1opm6ZNvGZ7KditA9TuJwrZ25eFLfTNIkrNnY6mhV5Eg"",""list!A1:C115""),3,TRUE)"),"le secteur de la production alimentaire")</f>
        <v xml:space="preserve">le secteur de la production alimentaire</v>
      </c>
      <c r="K12284" s="5" t="s">
        <v>46826</v>
      </c>
      <c r="L12284" s="5" t="s">
        <v>46568</v>
      </c>
      <c r="M12284" s="6"/>
      <c r="N12284" s="18" t="s">
        <v>29</v>
      </c>
      <c r="O12284" s="18" t="s">
        <v>46569</v>
      </c>
      <c r="P12284" s="18" t="s">
        <v>29</v>
      </c>
      <c r="Q12284" s="6"/>
      <c r="R12284" s="6"/>
      <c r="S12284" s="6"/>
      <c r="T12284" s="6"/>
      <c r="U12284" s="6"/>
      <c r="V12284" s="6"/>
      <c r="W12284" s="6"/>
      <c r="X12284" s="6"/>
    </row>
    <row r="12285" ht="14.25">
      <c r="B12285" s="18" t="s">
        <v>34201</v>
      </c>
      <c r="C12285" s="18" t="s">
        <v>48074</v>
      </c>
      <c r="D12285" s="18" t="s">
        <v>468</v>
      </c>
      <c r="E12285" s="18" t="s">
        <v>46911</v>
      </c>
      <c r="F12285" s="18" t="str">
        <f>IFERROR(__XLUDF.DUMMYFUNCTION("PROPER(REGEXREPLACE(D353,""[^A-Za-z]+ "",""""))"),"Abcis Contractant")</f>
        <v xml:space="preserve">Abcis Contractant</v>
      </c>
      <c r="G12285" s="18" t="s">
        <v>48075</v>
      </c>
      <c r="H12285" s="18">
        <v>36</v>
      </c>
      <c r="I12285" s="18" t="s">
        <v>9239</v>
      </c>
      <c r="J12285" s="18" t="str">
        <f>IFERROR(__XLUDF.DUMMYFUNCTION("VLOOKUP(M353,IMPORTRANGE(""https://docs.google.com/spreadsheets/d/1opm6ZNvGZ7KditA9TuJwrZ25eFLfTNIkrNnY6mhV5Eg"",""list!A1:C115""),3,TRUE)"),"le secteur de la production alimentaire")</f>
        <v xml:space="preserve">le secteur de la production alimentaire</v>
      </c>
      <c r="K12285" s="5" t="s">
        <v>48076</v>
      </c>
      <c r="L12285" s="5" t="s">
        <v>46914</v>
      </c>
      <c r="M12285" s="18" t="s">
        <v>39</v>
      </c>
      <c r="N12285" s="18" t="s">
        <v>29</v>
      </c>
      <c r="O12285" s="18" t="s">
        <v>67</v>
      </c>
      <c r="P12285" s="18" t="s">
        <v>29</v>
      </c>
      <c r="Q12285" s="6"/>
      <c r="R12285" s="6"/>
      <c r="S12285" s="6"/>
      <c r="T12285" s="6"/>
      <c r="U12285" s="6"/>
      <c r="V12285" s="6"/>
      <c r="W12285" s="6"/>
      <c r="X12285" s="6"/>
    </row>
    <row r="12286" ht="14.25">
      <c r="B12286" s="18" t="s">
        <v>622</v>
      </c>
      <c r="C12286" s="18" t="s">
        <v>47983</v>
      </c>
      <c r="D12286" s="18" t="s">
        <v>426</v>
      </c>
      <c r="E12286" s="18" t="s">
        <v>55898</v>
      </c>
      <c r="F12286" s="18" t="str">
        <f>IFERROR(__XLUDF.DUMMYFUNCTION("PROPER(REGEXREPLACE(D354,""[^A-Za-z]+ "",""""))"),"Negri France")</f>
        <v xml:space="preserve">Negri France</v>
      </c>
      <c r="G12286" s="18" t="s">
        <v>47985</v>
      </c>
      <c r="H12286" s="18">
        <v>40</v>
      </c>
      <c r="I12286" s="18" t="s">
        <v>9239</v>
      </c>
      <c r="J12286" s="18" t="str">
        <f>IFERROR(__XLUDF.DUMMYFUNCTION("VLOOKUP(M354,IMPORTRANGE(""https://docs.google.com/spreadsheets/d/1opm6ZNvGZ7KditA9TuJwrZ25eFLfTNIkrNnY6mhV5Eg"",""list!A1:C115""),3,TRUE)"),"le secteur de la production alimentaire")</f>
        <v xml:space="preserve">le secteur de la production alimentaire</v>
      </c>
      <c r="K12286" s="5" t="s">
        <v>47986</v>
      </c>
      <c r="L12286" s="5" t="s">
        <v>47987</v>
      </c>
      <c r="M12286" s="18" t="s">
        <v>295</v>
      </c>
      <c r="N12286" s="18" t="s">
        <v>29</v>
      </c>
      <c r="O12286" s="18" t="s">
        <v>47988</v>
      </c>
      <c r="P12286" s="18" t="s">
        <v>29</v>
      </c>
      <c r="Q12286" s="18" t="s">
        <v>47989</v>
      </c>
      <c r="R12286" s="6"/>
      <c r="S12286" s="6"/>
      <c r="T12286" s="6"/>
      <c r="U12286" s="6"/>
      <c r="V12286" s="6"/>
      <c r="W12286" s="6"/>
      <c r="X12286" s="6"/>
    </row>
    <row r="12287" ht="14.25">
      <c r="B12287" s="18" t="s">
        <v>322</v>
      </c>
      <c r="C12287" s="18" t="s">
        <v>45252</v>
      </c>
      <c r="D12287" s="18" t="s">
        <v>112</v>
      </c>
      <c r="E12287" s="18" t="s">
        <v>45253</v>
      </c>
      <c r="F12287" s="18" t="str">
        <f>IFERROR(__XLUDF.DUMMYFUNCTION("PROPER(REGEXREPLACE(D355,""[^A-Za-z]+ "",""""))"),"Groupe Vigier")</f>
        <v xml:space="preserve">Groupe Vigier</v>
      </c>
      <c r="G12287" s="18" t="s">
        <v>45254</v>
      </c>
      <c r="H12287" s="18">
        <v>38</v>
      </c>
      <c r="I12287" s="18" t="s">
        <v>9239</v>
      </c>
      <c r="J12287" s="18" t="str">
        <f>IFERROR(__XLUDF.DUMMYFUNCTION("VLOOKUP(M355,IMPORTRANGE(""https://docs.google.com/spreadsheets/d/1opm6ZNvGZ7KditA9TuJwrZ25eFLfTNIkrNnY6mhV5Eg"",""list!A1:C115""),3,TRUE)"),"le secteur de la production alimentaire")</f>
        <v xml:space="preserve">le secteur de la production alimentaire</v>
      </c>
      <c r="K12287" s="5" t="s">
        <v>55899</v>
      </c>
      <c r="L12287" s="5" t="s">
        <v>45256</v>
      </c>
      <c r="M12287" s="18" t="s">
        <v>16684</v>
      </c>
      <c r="N12287" s="18" t="s">
        <v>29</v>
      </c>
      <c r="O12287" s="18" t="s">
        <v>45257</v>
      </c>
      <c r="P12287" s="18" t="s">
        <v>29</v>
      </c>
      <c r="Q12287" s="18" t="s">
        <v>45258</v>
      </c>
      <c r="R12287" s="6"/>
      <c r="S12287" s="6"/>
      <c r="T12287" s="6"/>
      <c r="U12287" s="6"/>
      <c r="V12287" s="6"/>
      <c r="W12287" s="6"/>
      <c r="X12287" s="6"/>
    </row>
    <row r="12288" ht="14.25">
      <c r="B12288" s="18" t="s">
        <v>6356</v>
      </c>
      <c r="C12288" s="18" t="s">
        <v>1775</v>
      </c>
      <c r="D12288" s="18" t="s">
        <v>172</v>
      </c>
      <c r="E12288" s="18" t="s">
        <v>49008</v>
      </c>
      <c r="F12288" s="18" t="str">
        <f>IFERROR(__XLUDF.DUMMYFUNCTION("PROPER(REGEXREPLACE(D356,""[^A-Za-z]+ "",""""))"),"Edmi")</f>
        <v>Edmi</v>
      </c>
      <c r="G12288" s="18" t="s">
        <v>49009</v>
      </c>
      <c r="H12288" s="18">
        <v>20</v>
      </c>
      <c r="I12288" s="18" t="s">
        <v>9239</v>
      </c>
      <c r="J12288" s="18" t="str">
        <f>IFERROR(__XLUDF.DUMMYFUNCTION("VLOOKUP(M356,IMPORTRANGE(""https://docs.google.com/spreadsheets/d/1opm6ZNvGZ7KditA9TuJwrZ25eFLfTNIkrNnY6mhV5Eg"",""list!A1:C115""),3,TRUE)"),"le secteur de la production alimentaire")</f>
        <v xml:space="preserve">le secteur de la production alimentaire</v>
      </c>
      <c r="K12288" s="5" t="s">
        <v>49010</v>
      </c>
      <c r="L12288" s="5" t="s">
        <v>49011</v>
      </c>
      <c r="M12288" s="18" t="s">
        <v>1507</v>
      </c>
      <c r="N12288" s="18" t="s">
        <v>29</v>
      </c>
      <c r="O12288" s="18" t="s">
        <v>49012</v>
      </c>
      <c r="P12288" s="18" t="s">
        <v>29</v>
      </c>
      <c r="Q12288" s="18" t="s">
        <v>49013</v>
      </c>
      <c r="R12288" s="6"/>
      <c r="S12288" s="6"/>
      <c r="T12288" s="6"/>
      <c r="U12288" s="6"/>
      <c r="V12288" s="6"/>
      <c r="W12288" s="6"/>
      <c r="X12288" s="6"/>
    </row>
    <row r="12289" ht="14.25">
      <c r="B12289" s="18" t="s">
        <v>622</v>
      </c>
      <c r="C12289" s="18" t="s">
        <v>47996</v>
      </c>
      <c r="D12289" s="18" t="s">
        <v>172</v>
      </c>
      <c r="E12289" s="18" t="s">
        <v>47997</v>
      </c>
      <c r="F12289" s="18" t="str">
        <f>IFERROR(__XLUDF.DUMMYFUNCTION("PROPER(REGEXREPLACE(D357,""[^A-Za-z]+ "",""""))"),"Groupe Vernat Travaux Publics Gvtp")</f>
        <v xml:space="preserve">Groupe Vernat Travaux Publics Gvtp</v>
      </c>
      <c r="G12289" s="18" t="s">
        <v>47998</v>
      </c>
      <c r="H12289" s="18">
        <v>34</v>
      </c>
      <c r="I12289" s="18" t="s">
        <v>9239</v>
      </c>
      <c r="J12289" s="18" t="str">
        <f>IFERROR(__XLUDF.DUMMYFUNCTION("VLOOKUP(M357,IMPORTRANGE(""https://docs.google.com/spreadsheets/d/1opm6ZNvGZ7KditA9TuJwrZ25eFLfTNIkrNnY6mhV5Eg"",""list!A1:C115""),3,TRUE)"),"le secteur de la production alimentaire")</f>
        <v xml:space="preserve">le secteur de la production alimentaire</v>
      </c>
      <c r="K12289" s="5" t="s">
        <v>47999</v>
      </c>
      <c r="L12289" s="5" t="s">
        <v>48000</v>
      </c>
      <c r="M12289" s="18" t="s">
        <v>3898</v>
      </c>
      <c r="N12289" s="18" t="s">
        <v>29</v>
      </c>
      <c r="O12289" s="18" t="s">
        <v>48001</v>
      </c>
      <c r="P12289" s="18" t="s">
        <v>29</v>
      </c>
      <c r="Q12289" s="6"/>
      <c r="R12289" s="6"/>
      <c r="S12289" s="6"/>
      <c r="T12289" s="6"/>
      <c r="U12289" s="6"/>
      <c r="V12289" s="6"/>
      <c r="W12289" s="6"/>
      <c r="X12289" s="6"/>
    </row>
    <row r="12290" ht="14.25">
      <c r="B12290" s="18" t="s">
        <v>6356</v>
      </c>
      <c r="C12290" s="18" t="s">
        <v>49460</v>
      </c>
      <c r="D12290" s="18" t="s">
        <v>172</v>
      </c>
      <c r="E12290" s="18" t="s">
        <v>49461</v>
      </c>
      <c r="F12290" s="18" t="str">
        <f>IFERROR(__XLUDF.DUMMYFUNCTION("PROPER(REGEXREPLACE(D358,""[^A-Za-z]+ "",""""))"),"Tso Reali")</f>
        <v xml:space="preserve">Tso Reali</v>
      </c>
      <c r="G12290" s="18" t="s">
        <v>49462</v>
      </c>
      <c r="H12290" s="18">
        <v>38</v>
      </c>
      <c r="I12290" s="18" t="s">
        <v>9239</v>
      </c>
      <c r="J12290" s="18" t="str">
        <f>IFERROR(__XLUDF.DUMMYFUNCTION("VLOOKUP(M358,IMPORTRANGE(""https://docs.google.com/spreadsheets/d/1opm6ZNvGZ7KditA9TuJwrZ25eFLfTNIkrNnY6mhV5Eg"",""list!A1:C115""),3,TRUE)"),"le secteur de la production alimentaire")</f>
        <v xml:space="preserve">le secteur de la production alimentaire</v>
      </c>
      <c r="K12290" s="5" t="s">
        <v>49463</v>
      </c>
      <c r="L12290" s="5" t="s">
        <v>49464</v>
      </c>
      <c r="M12290" s="18" t="s">
        <v>49465</v>
      </c>
      <c r="N12290" s="18" t="s">
        <v>29</v>
      </c>
      <c r="O12290" s="18" t="s">
        <v>49466</v>
      </c>
      <c r="P12290" s="18" t="s">
        <v>29</v>
      </c>
      <c r="Q12290" s="6"/>
      <c r="R12290" s="6"/>
      <c r="S12290" s="6"/>
      <c r="T12290" s="6"/>
      <c r="U12290" s="6"/>
      <c r="V12290" s="6"/>
      <c r="W12290" s="6"/>
      <c r="X12290" s="6"/>
    </row>
    <row r="12291" ht="14.25">
      <c r="B12291" s="18" t="s">
        <v>322</v>
      </c>
      <c r="C12291" s="18" t="s">
        <v>52931</v>
      </c>
      <c r="D12291" s="18" t="s">
        <v>112</v>
      </c>
      <c r="E12291" s="18" t="s">
        <v>52932</v>
      </c>
      <c r="F12291" s="18" t="str">
        <f>IFERROR(__XLUDF.DUMMYFUNCTION("PROPER(REGEXREPLACE(D359,""[^A-Za-z]+ "",""""))"),"Ideal Batiment")</f>
        <v xml:space="preserve">Ideal Batiment</v>
      </c>
      <c r="G12291" s="18" t="s">
        <v>52933</v>
      </c>
      <c r="H12291" s="18">
        <v>18</v>
      </c>
      <c r="I12291" s="18" t="s">
        <v>9239</v>
      </c>
      <c r="J12291" s="18" t="str">
        <f>IFERROR(__XLUDF.DUMMYFUNCTION("VLOOKUP(M359,IMPORTRANGE(""https://docs.google.com/spreadsheets/d/1opm6ZNvGZ7KditA9TuJwrZ25eFLfTNIkrNnY6mhV5Eg"",""list!A1:C115""),3,TRUE)"),"le secteur de la production alimentaire")</f>
        <v xml:space="preserve">le secteur de la production alimentaire</v>
      </c>
      <c r="K12291" s="5" t="s">
        <v>52934</v>
      </c>
      <c r="L12291" s="5" t="s">
        <v>52935</v>
      </c>
      <c r="M12291" s="18" t="s">
        <v>83</v>
      </c>
      <c r="N12291" s="18" t="s">
        <v>29</v>
      </c>
      <c r="O12291" s="18" t="s">
        <v>52936</v>
      </c>
      <c r="P12291" s="18" t="s">
        <v>29</v>
      </c>
      <c r="Q12291" s="18" t="s">
        <v>52937</v>
      </c>
      <c r="R12291" s="6"/>
      <c r="S12291" s="6"/>
      <c r="T12291" s="6"/>
      <c r="U12291" s="6"/>
      <c r="V12291" s="6"/>
      <c r="W12291" s="6"/>
      <c r="X12291" s="6"/>
    </row>
    <row r="12292" ht="14.25">
      <c r="B12292" s="18" t="s">
        <v>14778</v>
      </c>
      <c r="C12292" s="18" t="s">
        <v>48549</v>
      </c>
      <c r="D12292" s="18" t="s">
        <v>1130</v>
      </c>
      <c r="E12292" s="18" t="s">
        <v>48550</v>
      </c>
      <c r="F12292" s="18" t="str">
        <f>IFERROR(__XLUDF.DUMMYFUNCTION("PROPER(REGEXREPLACE(D360,""[^A-Za-z]+ "",""""))"),"Cireme Échafaudage")</f>
        <v xml:space="preserve">Cireme Échafaudage</v>
      </c>
      <c r="G12292" s="18" t="s">
        <v>48551</v>
      </c>
      <c r="H12292" s="18">
        <v>45</v>
      </c>
      <c r="I12292" s="18" t="s">
        <v>9239</v>
      </c>
      <c r="J12292" s="18" t="str">
        <f>IFERROR(__XLUDF.DUMMYFUNCTION("VLOOKUP(M360,IMPORTRANGE(""https://docs.google.com/spreadsheets/d/1opm6ZNvGZ7KditA9TuJwrZ25eFLfTNIkrNnY6mhV5Eg"",""list!A1:C115""),3,TRUE)"),"le secteur de la production alimentaire")</f>
        <v xml:space="preserve">le secteur de la production alimentaire</v>
      </c>
      <c r="K12292" s="5" t="s">
        <v>48552</v>
      </c>
      <c r="L12292" s="5" t="s">
        <v>48553</v>
      </c>
      <c r="M12292" s="18" t="s">
        <v>185</v>
      </c>
      <c r="N12292" s="18" t="s">
        <v>29</v>
      </c>
      <c r="O12292" s="18" t="s">
        <v>27031</v>
      </c>
      <c r="P12292" s="18" t="s">
        <v>29</v>
      </c>
      <c r="Q12292" s="18" t="s">
        <v>48554</v>
      </c>
      <c r="R12292" s="6"/>
      <c r="S12292" s="6"/>
      <c r="T12292" s="6"/>
      <c r="U12292" s="6"/>
      <c r="V12292" s="6"/>
      <c r="W12292" s="6"/>
      <c r="X12292" s="6"/>
    </row>
    <row r="12293" ht="14.25">
      <c r="B12293" s="18" t="s">
        <v>322</v>
      </c>
      <c r="C12293" s="18" t="s">
        <v>246</v>
      </c>
      <c r="D12293" s="18" t="s">
        <v>17795</v>
      </c>
      <c r="E12293" s="18" t="s">
        <v>46653</v>
      </c>
      <c r="F12293" s="18" t="str">
        <f>IFERROR(__XLUDF.DUMMYFUNCTION("PROPER(REGEXREPLACE(D361,""[^A-Za-z]+ "",""""))"),"Valentin Construction")</f>
        <v xml:space="preserve">Valentin Construction</v>
      </c>
      <c r="G12293" s="18" t="s">
        <v>48021</v>
      </c>
      <c r="H12293" s="18">
        <v>16</v>
      </c>
      <c r="I12293" s="18" t="s">
        <v>9239</v>
      </c>
      <c r="J12293" s="18" t="str">
        <f>IFERROR(__XLUDF.DUMMYFUNCTION("VLOOKUP(M361,IMPORTRANGE(""https://docs.google.com/spreadsheets/d/1opm6ZNvGZ7KditA9TuJwrZ25eFLfTNIkrNnY6mhV5Eg"",""list!A1:C115""),3,TRUE)"),"le secteur de la production alimentaire")</f>
        <v xml:space="preserve">le secteur de la production alimentaire</v>
      </c>
      <c r="K12293" s="5" t="s">
        <v>48022</v>
      </c>
      <c r="L12293" s="5" t="s">
        <v>46656</v>
      </c>
      <c r="M12293" s="18" t="s">
        <v>48023</v>
      </c>
      <c r="N12293" s="18" t="s">
        <v>29</v>
      </c>
      <c r="O12293" s="18" t="s">
        <v>46657</v>
      </c>
      <c r="P12293" s="18" t="s">
        <v>29</v>
      </c>
      <c r="Q12293" s="6"/>
      <c r="R12293" s="6"/>
      <c r="S12293" s="6"/>
      <c r="T12293" s="6"/>
      <c r="U12293" s="6"/>
      <c r="V12293" s="6"/>
      <c r="W12293" s="6"/>
      <c r="X12293" s="6"/>
    </row>
    <row r="12294" ht="14.25">
      <c r="B12294" s="18" t="s">
        <v>622</v>
      </c>
      <c r="C12294" s="18" t="s">
        <v>53144</v>
      </c>
      <c r="D12294" s="18" t="s">
        <v>112</v>
      </c>
      <c r="E12294" s="18" t="s">
        <v>53145</v>
      </c>
      <c r="F12294" s="18" t="str">
        <f>IFERROR(__XLUDF.DUMMYFUNCTION("PROPER(REGEXREPLACE(D362,""[^A-Za-z]+ "",""""))"),"Nancy Construction")</f>
        <v xml:space="preserve">Nancy Construction</v>
      </c>
      <c r="G12294" s="18" t="s">
        <v>53146</v>
      </c>
      <c r="H12294" s="18">
        <v>12</v>
      </c>
      <c r="I12294" s="18" t="s">
        <v>9239</v>
      </c>
      <c r="J12294" s="18" t="str">
        <f>IFERROR(__XLUDF.DUMMYFUNCTION("VLOOKUP(M362,IMPORTRANGE(""https://docs.google.com/spreadsheets/d/1opm6ZNvGZ7KditA9TuJwrZ25eFLfTNIkrNnY6mhV5Eg"",""list!A1:C115""),3,TRUE)"),"le secteur de la production alimentaire")</f>
        <v xml:space="preserve">le secteur de la production alimentaire</v>
      </c>
      <c r="K12294" s="5" t="s">
        <v>53147</v>
      </c>
      <c r="L12294" s="5" t="s">
        <v>53148</v>
      </c>
      <c r="M12294" s="18" t="s">
        <v>4922</v>
      </c>
      <c r="N12294" s="18" t="s">
        <v>29</v>
      </c>
      <c r="O12294" s="18" t="s">
        <v>53149</v>
      </c>
      <c r="P12294" s="18" t="s">
        <v>29</v>
      </c>
      <c r="Q12294" s="18" t="s">
        <v>53150</v>
      </c>
      <c r="R12294" s="6"/>
      <c r="S12294" s="6"/>
      <c r="T12294" s="6"/>
      <c r="U12294" s="6"/>
      <c r="V12294" s="6"/>
      <c r="W12294" s="6"/>
      <c r="X12294" s="6"/>
    </row>
    <row r="12295" ht="14.25">
      <c r="B12295" s="18" t="s">
        <v>5781</v>
      </c>
      <c r="C12295" s="18" t="s">
        <v>4897</v>
      </c>
      <c r="D12295" s="18" t="s">
        <v>1950</v>
      </c>
      <c r="E12295" s="18" t="s">
        <v>50704</v>
      </c>
      <c r="F12295" s="18" t="str">
        <f>IFERROR(__XLUDF.DUMMYFUNCTION("PROPER(REGEXREPLACE(D363,""[^A-Za-z]+ "",""""))"),"Versant")</f>
        <v>Versant</v>
      </c>
      <c r="G12295" s="18" t="s">
        <v>50705</v>
      </c>
      <c r="H12295" s="18">
        <v>51</v>
      </c>
      <c r="I12295" s="18" t="s">
        <v>9239</v>
      </c>
      <c r="J12295" s="18" t="str">
        <f>IFERROR(__XLUDF.DUMMYFUNCTION("VLOOKUP(M363,IMPORTRANGE(""https://docs.google.com/spreadsheets/d/1opm6ZNvGZ7KditA9TuJwrZ25eFLfTNIkrNnY6mhV5Eg"",""list!A1:C115""),3,TRUE)"),"le secteur de la production alimentaire")</f>
        <v xml:space="preserve">le secteur de la production alimentaire</v>
      </c>
      <c r="K12295" s="5" t="s">
        <v>50706</v>
      </c>
      <c r="L12295" s="5" t="s">
        <v>50707</v>
      </c>
      <c r="M12295" s="18" t="s">
        <v>140</v>
      </c>
      <c r="N12295" s="18" t="s">
        <v>29</v>
      </c>
      <c r="O12295" s="18" t="s">
        <v>50708</v>
      </c>
      <c r="P12295" s="18" t="s">
        <v>29</v>
      </c>
      <c r="Q12295" s="18" t="s">
        <v>50709</v>
      </c>
      <c r="R12295" s="6"/>
      <c r="S12295" s="6"/>
      <c r="T12295" s="6"/>
      <c r="U12295" s="6"/>
      <c r="V12295" s="6"/>
      <c r="W12295" s="6"/>
      <c r="X12295" s="6"/>
    </row>
    <row r="12296" ht="14.25">
      <c r="B12296" s="18" t="s">
        <v>6356</v>
      </c>
      <c r="C12296" s="18" t="s">
        <v>16823</v>
      </c>
      <c r="D12296" s="18" t="s">
        <v>112</v>
      </c>
      <c r="E12296" s="18" t="s">
        <v>16825</v>
      </c>
      <c r="F12296" s="18" t="str">
        <f>IFERROR(__XLUDF.DUMMYFUNCTION("PROPER(REGEXREPLACE(D364,""[^A-Za-z]+ "",""""))"),"Myral")</f>
        <v>Myral</v>
      </c>
      <c r="G12296" s="18" t="s">
        <v>55900</v>
      </c>
      <c r="H12296" s="18">
        <v>36</v>
      </c>
      <c r="I12296" s="18" t="s">
        <v>9239</v>
      </c>
      <c r="J12296" s="18" t="str">
        <f>IFERROR(__XLUDF.DUMMYFUNCTION("VLOOKUP(M364,IMPORTRANGE(""https://docs.google.com/spreadsheets/d/1opm6ZNvGZ7KditA9TuJwrZ25eFLfTNIkrNnY6mhV5Eg"",""list!A1:C115""),3,TRUE)"),"le secteur de la production alimentaire")</f>
        <v xml:space="preserve">le secteur de la production alimentaire</v>
      </c>
      <c r="K12296" s="5" t="s">
        <v>16831</v>
      </c>
      <c r="L12296" s="5" t="s">
        <v>55901</v>
      </c>
      <c r="M12296" s="18" t="s">
        <v>16827</v>
      </c>
      <c r="N12296" s="18" t="s">
        <v>29</v>
      </c>
      <c r="O12296" s="18" t="s">
        <v>55902</v>
      </c>
      <c r="P12296" s="18" t="s">
        <v>29</v>
      </c>
      <c r="Q12296" s="18" t="s">
        <v>16830</v>
      </c>
      <c r="R12296" s="6"/>
      <c r="S12296" s="6"/>
      <c r="T12296" s="6"/>
      <c r="U12296" s="6"/>
      <c r="V12296" s="6"/>
      <c r="W12296" s="6"/>
      <c r="X12296" s="6"/>
    </row>
    <row r="12297" ht="14.25">
      <c r="B12297" s="18" t="s">
        <v>5907</v>
      </c>
      <c r="C12297" s="18" t="s">
        <v>51399</v>
      </c>
      <c r="D12297" s="18" t="s">
        <v>51400</v>
      </c>
      <c r="E12297" s="18" t="s">
        <v>51401</v>
      </c>
      <c r="F12297" s="18" t="str">
        <f>IFERROR(__XLUDF.DUMMYFUNCTION("PROPER(REGEXREPLACE(D365,""[^A-Za-z]+ "",""""))"),"Essonne Amenagement Et Spl Des Territoires De L'Essonne")</f>
        <v xml:space="preserve">Essonne Amenagement Et Spl Des Territoires De L'Essonne</v>
      </c>
      <c r="G12297" s="18" t="s">
        <v>51402</v>
      </c>
      <c r="H12297" s="18">
        <v>17</v>
      </c>
      <c r="I12297" s="18" t="s">
        <v>9239</v>
      </c>
      <c r="J12297" s="18" t="str">
        <f>IFERROR(__XLUDF.DUMMYFUNCTION("VLOOKUP(M365,IMPORTRANGE(""https://docs.google.com/spreadsheets/d/1opm6ZNvGZ7KditA9TuJwrZ25eFLfTNIkrNnY6mhV5Eg"",""list!A1:C115""),3,TRUE)"),"le secteur de la production alimentaire")</f>
        <v xml:space="preserve">le secteur de la production alimentaire</v>
      </c>
      <c r="K12297" s="5" t="s">
        <v>51403</v>
      </c>
      <c r="L12297" s="5" t="s">
        <v>51404</v>
      </c>
      <c r="M12297" s="18" t="s">
        <v>39</v>
      </c>
      <c r="N12297" s="18" t="s">
        <v>29</v>
      </c>
      <c r="O12297" s="18" t="s">
        <v>51405</v>
      </c>
      <c r="P12297" s="18" t="s">
        <v>29</v>
      </c>
      <c r="Q12297" s="18" t="s">
        <v>51406</v>
      </c>
      <c r="R12297" s="6"/>
      <c r="S12297" s="6"/>
      <c r="T12297" s="6"/>
      <c r="U12297" s="6"/>
      <c r="V12297" s="6"/>
      <c r="W12297" s="6"/>
      <c r="X12297" s="6"/>
    </row>
    <row r="12298" ht="14.25">
      <c r="B12298" s="18" t="s">
        <v>7908</v>
      </c>
      <c r="C12298" s="18" t="s">
        <v>51407</v>
      </c>
      <c r="D12298" s="18" t="s">
        <v>51408</v>
      </c>
      <c r="E12298" s="18" t="s">
        <v>51409</v>
      </c>
      <c r="F12298" s="18" t="str">
        <f>IFERROR(__XLUDF.DUMMYFUNCTION("PROPER(REGEXREPLACE(D366,""[^A-Za-z]+ "",""""))"),"Deveugle")</f>
        <v>Deveugle</v>
      </c>
      <c r="G12298" s="18" t="s">
        <v>51410</v>
      </c>
      <c r="H12298" s="18">
        <v>30</v>
      </c>
      <c r="I12298" s="18" t="s">
        <v>9239</v>
      </c>
      <c r="J12298" s="18" t="str">
        <f>IFERROR(__XLUDF.DUMMYFUNCTION("VLOOKUP(M366,IMPORTRANGE(""https://docs.google.com/spreadsheets/d/1opm6ZNvGZ7KditA9TuJwrZ25eFLfTNIkrNnY6mhV5Eg"",""list!A1:C115""),3,TRUE)"),"le secteur de la production alimentaire")</f>
        <v xml:space="preserve">le secteur de la production alimentaire</v>
      </c>
      <c r="K12298" s="5" t="s">
        <v>51411</v>
      </c>
      <c r="L12298" s="5" t="s">
        <v>51412</v>
      </c>
      <c r="M12298" s="18" t="s">
        <v>14138</v>
      </c>
      <c r="N12298" s="18" t="s">
        <v>29</v>
      </c>
      <c r="O12298" s="18" t="s">
        <v>51413</v>
      </c>
      <c r="P12298" s="18" t="s">
        <v>29</v>
      </c>
      <c r="Q12298" s="18" t="s">
        <v>51414</v>
      </c>
      <c r="R12298" s="6"/>
      <c r="S12298" s="6"/>
      <c r="T12298" s="6"/>
      <c r="U12298" s="6"/>
      <c r="V12298" s="6"/>
      <c r="W12298" s="6"/>
      <c r="X12298" s="6"/>
    </row>
    <row r="12299" ht="14.25">
      <c r="B12299" s="18" t="s">
        <v>322</v>
      </c>
      <c r="C12299" s="18" t="s">
        <v>45095</v>
      </c>
      <c r="D12299" s="18" t="s">
        <v>172</v>
      </c>
      <c r="E12299" s="18" t="s">
        <v>45096</v>
      </c>
      <c r="F12299" s="18" t="str">
        <f>IFERROR(__XLUDF.DUMMYFUNCTION("PROPER(REGEXREPLACE(D367,""[^A-Za-z]+ "",""""))"),"Heinrichbock")</f>
        <v>Heinrichbock</v>
      </c>
      <c r="G12299" s="18" t="s">
        <v>45097</v>
      </c>
      <c r="H12299" s="18">
        <v>36</v>
      </c>
      <c r="I12299" s="18" t="s">
        <v>9239</v>
      </c>
      <c r="J12299" s="18" t="str">
        <f>IFERROR(__XLUDF.DUMMYFUNCTION("VLOOKUP(M367,IMPORTRANGE(""https://docs.google.com/spreadsheets/d/1opm6ZNvGZ7KditA9TuJwrZ25eFLfTNIkrNnY6mhV5Eg"",""list!A1:C115""),3,TRUE)"),"le secteur de la production alimentaire")</f>
        <v xml:space="preserve">le secteur de la production alimentaire</v>
      </c>
      <c r="K12299" s="5" t="s">
        <v>45098</v>
      </c>
      <c r="L12299" s="5" t="s">
        <v>45099</v>
      </c>
      <c r="M12299" s="18" t="s">
        <v>1460</v>
      </c>
      <c r="N12299" s="18" t="s">
        <v>29</v>
      </c>
      <c r="O12299" s="18" t="s">
        <v>45100</v>
      </c>
      <c r="P12299" s="18" t="s">
        <v>29</v>
      </c>
      <c r="Q12299" s="18" t="s">
        <v>45101</v>
      </c>
      <c r="R12299" s="6"/>
      <c r="S12299" s="6"/>
      <c r="T12299" s="6"/>
      <c r="U12299" s="6"/>
      <c r="V12299" s="6"/>
      <c r="W12299" s="6"/>
      <c r="X12299" s="6"/>
    </row>
    <row r="12300" ht="14.25">
      <c r="B12300" s="18" t="s">
        <v>322</v>
      </c>
      <c r="C12300" s="18" t="s">
        <v>17301</v>
      </c>
      <c r="D12300" s="18" t="s">
        <v>172</v>
      </c>
      <c r="E12300" s="18" t="s">
        <v>49480</v>
      </c>
      <c r="F12300" s="18" t="str">
        <f>IFERROR(__XLUDF.DUMMYFUNCTION("PROPER(REGEXREPLACE(D368,""[^A-Za-z]+ "",""""))"),"Fregonese Échafaudages")</f>
        <v xml:space="preserve">Fregonese Échafaudages</v>
      </c>
      <c r="G12300" s="18" t="s">
        <v>49481</v>
      </c>
      <c r="H12300" s="18">
        <v>18</v>
      </c>
      <c r="I12300" s="18" t="s">
        <v>9239</v>
      </c>
      <c r="J12300" s="18" t="str">
        <f>IFERROR(__XLUDF.DUMMYFUNCTION("VLOOKUP(M368,IMPORTRANGE(""https://docs.google.com/spreadsheets/d/1opm6ZNvGZ7KditA9TuJwrZ25eFLfTNIkrNnY6mhV5Eg"",""list!A1:C115""),3,TRUE)"),"le secteur de la production alimentaire")</f>
        <v xml:space="preserve">le secteur de la production alimentaire</v>
      </c>
      <c r="K12300" s="5" t="s">
        <v>49482</v>
      </c>
      <c r="L12300" s="5" t="s">
        <v>49483</v>
      </c>
      <c r="M12300" s="6"/>
      <c r="N12300" s="18" t="s">
        <v>29</v>
      </c>
      <c r="O12300" s="18" t="s">
        <v>49484</v>
      </c>
      <c r="P12300" s="18" t="s">
        <v>29</v>
      </c>
      <c r="Q12300" s="18" t="s">
        <v>49485</v>
      </c>
      <c r="R12300" s="6"/>
      <c r="S12300" s="6"/>
      <c r="T12300" s="6"/>
      <c r="U12300" s="6"/>
      <c r="V12300" s="6"/>
      <c r="W12300" s="6"/>
      <c r="X12300" s="6"/>
    </row>
    <row r="12301" ht="14.25">
      <c r="B12301" s="18" t="s">
        <v>322</v>
      </c>
      <c r="C12301" s="18" t="s">
        <v>17621</v>
      </c>
      <c r="D12301" s="18" t="s">
        <v>172</v>
      </c>
      <c r="E12301" s="18" t="s">
        <v>51753</v>
      </c>
      <c r="F12301" s="18" t="str">
        <f>IFERROR(__XLUDF.DUMMYFUNCTION("PROPER(REGEXREPLACE(D369,""[^A-Za-z]+ "",""""))"),"Ets Fernandes Sa")</f>
        <v xml:space="preserve">Ets Fernandes Sa</v>
      </c>
      <c r="G12301" s="18" t="s">
        <v>51754</v>
      </c>
      <c r="H12301" s="18">
        <v>10</v>
      </c>
      <c r="I12301" s="18" t="s">
        <v>9239</v>
      </c>
      <c r="J12301" s="18" t="str">
        <f>IFERROR(__XLUDF.DUMMYFUNCTION("VLOOKUP(M369,IMPORTRANGE(""https://docs.google.com/spreadsheets/d/1opm6ZNvGZ7KditA9TuJwrZ25eFLfTNIkrNnY6mhV5Eg"",""list!A1:C115""),3,TRUE)"),"le secteur de la production alimentaire")</f>
        <v xml:space="preserve">le secteur de la production alimentaire</v>
      </c>
      <c r="K12301" s="5" t="s">
        <v>51755</v>
      </c>
      <c r="L12301" s="5" t="s">
        <v>51756</v>
      </c>
      <c r="M12301" s="18" t="s">
        <v>831</v>
      </c>
      <c r="N12301" s="18" t="s">
        <v>29</v>
      </c>
      <c r="O12301" s="18" t="s">
        <v>51757</v>
      </c>
      <c r="P12301" s="18" t="s">
        <v>29</v>
      </c>
      <c r="Q12301" s="18" t="s">
        <v>51758</v>
      </c>
      <c r="R12301" s="6"/>
      <c r="S12301" s="6"/>
      <c r="T12301" s="6"/>
      <c r="U12301" s="6"/>
      <c r="V12301" s="6"/>
      <c r="W12301" s="6"/>
      <c r="X12301" s="6"/>
    </row>
    <row r="12302" ht="14.25">
      <c r="B12302" s="18" t="s">
        <v>52806</v>
      </c>
      <c r="C12302" s="18" t="s">
        <v>52807</v>
      </c>
      <c r="D12302" s="18" t="s">
        <v>112</v>
      </c>
      <c r="E12302" s="18" t="s">
        <v>52808</v>
      </c>
      <c r="F12302" s="18" t="str">
        <f>IFERROR(__XLUDF.DUMMYFUNCTION("PROPER(REGEXREPLACE(D370,""[^A-Za-z]+ "",""""))"),"3S Safety")</f>
        <v xml:space="preserve">3S Safety</v>
      </c>
      <c r="G12302" s="18" t="s">
        <v>52809</v>
      </c>
      <c r="H12302" s="18">
        <v>22</v>
      </c>
      <c r="I12302" s="18" t="s">
        <v>9239</v>
      </c>
      <c r="J12302" s="18" t="str">
        <f>IFERROR(__XLUDF.DUMMYFUNCTION("VLOOKUP(M370,IMPORTRANGE(""https://docs.google.com/spreadsheets/d/1opm6ZNvGZ7KditA9TuJwrZ25eFLfTNIkrNnY6mhV5Eg"",""list!A1:C115""),3,TRUE)"),"le secteur de la production alimentaire")</f>
        <v xml:space="preserve">le secteur de la production alimentaire</v>
      </c>
      <c r="K12302" s="5" t="s">
        <v>52810</v>
      </c>
      <c r="L12302" s="5" t="s">
        <v>52811</v>
      </c>
      <c r="M12302" s="18" t="s">
        <v>52812</v>
      </c>
      <c r="N12302" s="18" t="s">
        <v>29</v>
      </c>
      <c r="O12302" s="18" t="s">
        <v>52813</v>
      </c>
      <c r="P12302" s="18" t="s">
        <v>2388</v>
      </c>
      <c r="Q12302" s="6"/>
      <c r="R12302" s="6"/>
      <c r="S12302" s="6"/>
      <c r="T12302" s="6"/>
      <c r="U12302" s="6"/>
      <c r="V12302" s="6"/>
      <c r="W12302" s="6"/>
      <c r="X12302" s="6"/>
    </row>
    <row r="12303" ht="14.25">
      <c r="B12303" s="18" t="s">
        <v>52493</v>
      </c>
      <c r="C12303" s="18" t="s">
        <v>52494</v>
      </c>
      <c r="D12303" s="18" t="s">
        <v>172</v>
      </c>
      <c r="E12303" s="18" t="s">
        <v>52495</v>
      </c>
      <c r="F12303" s="18" t="str">
        <f>IFERROR(__XLUDF.DUMMYFUNCTION("PROPER(REGEXREPLACE(D371,""[^A-Za-z]+ "",""""))"),"Az Metal")</f>
        <v xml:space="preserve">Az Metal</v>
      </c>
      <c r="G12303" s="18" t="s">
        <v>52496</v>
      </c>
      <c r="H12303" s="18">
        <v>39</v>
      </c>
      <c r="I12303" s="18" t="s">
        <v>9239</v>
      </c>
      <c r="J12303" s="18" t="str">
        <f>IFERROR(__XLUDF.DUMMYFUNCTION("VLOOKUP(M371,IMPORTRANGE(""https://docs.google.com/spreadsheets/d/1opm6ZNvGZ7KditA9TuJwrZ25eFLfTNIkrNnY6mhV5Eg"",""list!A1:C115""),3,TRUE)"),"le secteur de la production alimentaire")</f>
        <v xml:space="preserve">le secteur de la production alimentaire</v>
      </c>
      <c r="K12303" s="5" t="s">
        <v>52497</v>
      </c>
      <c r="L12303" s="5" t="s">
        <v>52498</v>
      </c>
      <c r="M12303" s="18" t="s">
        <v>43320</v>
      </c>
      <c r="N12303" s="18" t="s">
        <v>29</v>
      </c>
      <c r="O12303" s="18" t="s">
        <v>52499</v>
      </c>
      <c r="P12303" s="18" t="s">
        <v>29</v>
      </c>
      <c r="Q12303" s="6"/>
      <c r="R12303" s="6"/>
      <c r="S12303" s="6"/>
      <c r="T12303" s="6"/>
      <c r="U12303" s="6"/>
      <c r="V12303" s="6"/>
      <c r="W12303" s="6"/>
      <c r="X12303" s="6"/>
    </row>
    <row r="12304" ht="14.25">
      <c r="B12304" s="18" t="s">
        <v>8995</v>
      </c>
      <c r="C12304" s="18" t="s">
        <v>52248</v>
      </c>
      <c r="D12304" s="18" t="s">
        <v>87</v>
      </c>
      <c r="E12304" s="18" t="s">
        <v>45939</v>
      </c>
      <c r="F12304" s="18" t="str">
        <f>IFERROR(__XLUDF.DUMMYFUNCTION("PROPER(REGEXREPLACE(D372,""[^A-Za-z]+ "",""""))"),"Technocarbon")</f>
        <v>Technocarbon</v>
      </c>
      <c r="G12304" s="18" t="s">
        <v>52249</v>
      </c>
      <c r="H12304" s="18">
        <v>10</v>
      </c>
      <c r="I12304" s="18" t="s">
        <v>9239</v>
      </c>
      <c r="J12304" s="18" t="str">
        <f>IFERROR(__XLUDF.DUMMYFUNCTION("VLOOKUP(M372,IMPORTRANGE(""https://docs.google.com/spreadsheets/d/1opm6ZNvGZ7KditA9TuJwrZ25eFLfTNIkrNnY6mhV5Eg"",""list!A1:C115""),3,TRUE)"),"le secteur de la production alimentaire")</f>
        <v xml:space="preserve">le secteur de la production alimentaire</v>
      </c>
      <c r="K12304" s="5" t="s">
        <v>52250</v>
      </c>
      <c r="L12304" s="5" t="s">
        <v>45942</v>
      </c>
      <c r="M12304" s="18" t="s">
        <v>295</v>
      </c>
      <c r="N12304" s="18" t="s">
        <v>29</v>
      </c>
      <c r="O12304" s="18" t="s">
        <v>45943</v>
      </c>
      <c r="P12304" s="18" t="s">
        <v>29</v>
      </c>
      <c r="Q12304" s="18" t="s">
        <v>45944</v>
      </c>
      <c r="R12304" s="6"/>
      <c r="S12304" s="6"/>
      <c r="T12304" s="6"/>
      <c r="U12304" s="6"/>
      <c r="V12304" s="6"/>
      <c r="W12304" s="6"/>
      <c r="X12304" s="6"/>
    </row>
    <row r="12305" ht="14.25">
      <c r="B12305" s="18" t="s">
        <v>51179</v>
      </c>
      <c r="C12305" s="18" t="s">
        <v>51180</v>
      </c>
      <c r="D12305" s="18" t="s">
        <v>112</v>
      </c>
      <c r="E12305" s="18" t="s">
        <v>51181</v>
      </c>
      <c r="F12305" s="18" t="str">
        <f>IFERROR(__XLUDF.DUMMYFUNCTION("PROPER(REGEXREPLACE(D373,""[^A-Za-z]+ "",""""))"),"Groupe 4S")</f>
        <v xml:space="preserve">Groupe 4S</v>
      </c>
      <c r="G12305" s="18" t="s">
        <v>51182</v>
      </c>
      <c r="H12305" s="18">
        <v>14</v>
      </c>
      <c r="I12305" s="18" t="s">
        <v>9239</v>
      </c>
      <c r="J12305" s="18" t="str">
        <f>IFERROR(__XLUDF.DUMMYFUNCTION("VLOOKUP(M373,IMPORTRANGE(""https://docs.google.com/spreadsheets/d/1opm6ZNvGZ7KditA9TuJwrZ25eFLfTNIkrNnY6mhV5Eg"",""list!A1:C115""),3,TRUE)"),"le secteur de la production alimentaire")</f>
        <v xml:space="preserve">le secteur de la production alimentaire</v>
      </c>
      <c r="K12305" s="5" t="s">
        <v>51183</v>
      </c>
      <c r="L12305" s="5" t="s">
        <v>51184</v>
      </c>
      <c r="M12305" s="18" t="s">
        <v>431</v>
      </c>
      <c r="N12305" s="18" t="s">
        <v>29</v>
      </c>
      <c r="O12305" s="18" t="s">
        <v>51185</v>
      </c>
      <c r="P12305" s="18" t="s">
        <v>29</v>
      </c>
      <c r="Q12305" s="18" t="s">
        <v>51186</v>
      </c>
      <c r="R12305" s="6"/>
      <c r="S12305" s="6"/>
      <c r="T12305" s="6"/>
      <c r="U12305" s="6"/>
      <c r="V12305" s="6"/>
      <c r="W12305" s="6"/>
      <c r="X12305" s="6"/>
    </row>
    <row r="12306" ht="14.25">
      <c r="B12306" s="18" t="s">
        <v>622</v>
      </c>
      <c r="C12306" s="18" t="s">
        <v>6055</v>
      </c>
      <c r="D12306" s="18" t="s">
        <v>112</v>
      </c>
      <c r="E12306" s="18" t="s">
        <v>51161</v>
      </c>
      <c r="F12306" s="18" t="str">
        <f>IFERROR(__XLUDF.DUMMYFUNCTION("PROPER(REGEXREPLACE(D374,""[^A-Za-z]+ "",""""))"),"Jean Lucy")</f>
        <v xml:space="preserve">Jean Lucy</v>
      </c>
      <c r="G12306" s="18" t="s">
        <v>51162</v>
      </c>
      <c r="H12306" s="18">
        <v>13</v>
      </c>
      <c r="I12306" s="18" t="s">
        <v>9239</v>
      </c>
      <c r="J12306" s="18" t="str">
        <f>IFERROR(__XLUDF.DUMMYFUNCTION("VLOOKUP(M374,IMPORTRANGE(""https://docs.google.com/spreadsheets/d/1opm6ZNvGZ7KditA9TuJwrZ25eFLfTNIkrNnY6mhV5Eg"",""list!A1:C115""),3,TRUE)"),"le secteur de la production alimentaire")</f>
        <v xml:space="preserve">le secteur de la production alimentaire</v>
      </c>
      <c r="K12306" s="5" t="s">
        <v>51163</v>
      </c>
      <c r="L12306" s="5" t="s">
        <v>51164</v>
      </c>
      <c r="M12306" s="18" t="s">
        <v>39</v>
      </c>
      <c r="N12306" s="18" t="s">
        <v>29</v>
      </c>
      <c r="O12306" s="18" t="s">
        <v>51165</v>
      </c>
      <c r="P12306" s="18" t="s">
        <v>29</v>
      </c>
      <c r="Q12306" s="6"/>
      <c r="R12306" s="6"/>
      <c r="S12306" s="6"/>
      <c r="T12306" s="6"/>
      <c r="U12306" s="6"/>
      <c r="V12306" s="6"/>
      <c r="W12306" s="6"/>
      <c r="X12306" s="6"/>
    </row>
    <row r="12307" ht="14.25">
      <c r="B12307" s="18" t="s">
        <v>298</v>
      </c>
      <c r="C12307" s="18" t="s">
        <v>7650</v>
      </c>
      <c r="D12307" s="18" t="s">
        <v>164</v>
      </c>
      <c r="E12307" s="18" t="s">
        <v>51128</v>
      </c>
      <c r="F12307" s="18" t="str">
        <f>IFERROR(__XLUDF.DUMMYFUNCTION("PROPER(REGEXREPLACE(D375,""[^A-Za-z]+ "",""""))"),"S.E.F.A.T")</f>
        <v>S.E.F.A.T</v>
      </c>
      <c r="G12307" s="18" t="s">
        <v>51129</v>
      </c>
      <c r="H12307" s="18">
        <v>17</v>
      </c>
      <c r="I12307" s="18" t="s">
        <v>9239</v>
      </c>
      <c r="J12307" s="18" t="str">
        <f>IFERROR(__XLUDF.DUMMYFUNCTION("VLOOKUP(M375,IMPORTRANGE(""https://docs.google.com/spreadsheets/d/1opm6ZNvGZ7KditA9TuJwrZ25eFLfTNIkrNnY6mhV5Eg"",""list!A1:C115""),3,TRUE)"),"le secteur de la production alimentaire")</f>
        <v xml:space="preserve">le secteur de la production alimentaire</v>
      </c>
      <c r="K12307" s="5" t="s">
        <v>51130</v>
      </c>
      <c r="L12307" s="5" t="s">
        <v>51131</v>
      </c>
      <c r="M12307" s="6"/>
      <c r="N12307" s="18" t="s">
        <v>29</v>
      </c>
      <c r="O12307" s="18" t="s">
        <v>51132</v>
      </c>
      <c r="P12307" s="18" t="s">
        <v>29</v>
      </c>
      <c r="Q12307" s="6"/>
      <c r="R12307" s="6"/>
      <c r="S12307" s="6"/>
      <c r="T12307" s="6"/>
      <c r="U12307" s="6"/>
      <c r="V12307" s="6"/>
      <c r="W12307" s="6"/>
      <c r="X12307" s="6"/>
    </row>
    <row r="12308" ht="14.25">
      <c r="B12308" s="18" t="s">
        <v>298</v>
      </c>
      <c r="C12308" s="18" t="s">
        <v>48207</v>
      </c>
      <c r="D12308" s="18" t="s">
        <v>172</v>
      </c>
      <c r="E12308" s="18" t="s">
        <v>48208</v>
      </c>
      <c r="F12308" s="18" t="str">
        <f>IFERROR(__XLUDF.DUMMYFUNCTION("PROPER(REGEXREPLACE(D376,""[^A-Za-z]+ "",""""))"),"Entreprise Imper Etancheite")</f>
        <v xml:space="preserve">Entreprise Imper Etancheite</v>
      </c>
      <c r="G12308" s="18" t="s">
        <v>48209</v>
      </c>
      <c r="H12308" s="18">
        <v>11</v>
      </c>
      <c r="I12308" s="18" t="s">
        <v>9239</v>
      </c>
      <c r="J12308" s="18" t="str">
        <f>IFERROR(__XLUDF.DUMMYFUNCTION("VLOOKUP(M376,IMPORTRANGE(""https://docs.google.com/spreadsheets/d/1opm6ZNvGZ7KditA9TuJwrZ25eFLfTNIkrNnY6mhV5Eg"",""list!A1:C115""),3,TRUE)"),"le secteur de la production alimentaire")</f>
        <v xml:space="preserve">le secteur de la production alimentaire</v>
      </c>
      <c r="K12308" s="5" t="s">
        <v>48210</v>
      </c>
      <c r="L12308" s="5" t="s">
        <v>48211</v>
      </c>
      <c r="M12308" s="18" t="s">
        <v>16152</v>
      </c>
      <c r="N12308" s="18" t="s">
        <v>29</v>
      </c>
      <c r="O12308" s="18" t="s">
        <v>48212</v>
      </c>
      <c r="P12308" s="18" t="s">
        <v>29</v>
      </c>
      <c r="Q12308" s="18" t="s">
        <v>48213</v>
      </c>
      <c r="R12308" s="6"/>
      <c r="S12308" s="6"/>
      <c r="T12308" s="6"/>
      <c r="U12308" s="6"/>
      <c r="V12308" s="6"/>
      <c r="W12308" s="6"/>
      <c r="X12308" s="6"/>
    </row>
    <row r="12309" ht="14.25">
      <c r="B12309" s="18" t="s">
        <v>622</v>
      </c>
      <c r="C12309" s="18" t="s">
        <v>255</v>
      </c>
      <c r="D12309" s="18" t="s">
        <v>19085</v>
      </c>
      <c r="E12309" s="18" t="s">
        <v>53104</v>
      </c>
      <c r="F12309" s="18" t="str">
        <f>IFERROR(__XLUDF.DUMMYFUNCTION("PROPER(REGEXREPLACE(D377,""[^A-Za-z]+ "",""""))"),"Sols Industriels 21")</f>
        <v xml:space="preserve">Sols Industriels 21</v>
      </c>
      <c r="G12309" s="18" t="s">
        <v>53105</v>
      </c>
      <c r="H12309" s="18">
        <v>12</v>
      </c>
      <c r="I12309" s="18" t="s">
        <v>9239</v>
      </c>
      <c r="J12309" s="18" t="str">
        <f>IFERROR(__XLUDF.DUMMYFUNCTION("VLOOKUP(M377,IMPORTRANGE(""https://docs.google.com/spreadsheets/d/1opm6ZNvGZ7KditA9TuJwrZ25eFLfTNIkrNnY6mhV5Eg"",""list!A1:C115""),3,TRUE)"),"le secteur de la production alimentaire")</f>
        <v xml:space="preserve">le secteur de la production alimentaire</v>
      </c>
      <c r="K12309" s="5" t="s">
        <v>53106</v>
      </c>
      <c r="L12309" s="5" t="s">
        <v>53107</v>
      </c>
      <c r="M12309" s="18" t="s">
        <v>149</v>
      </c>
      <c r="N12309" s="18" t="s">
        <v>29</v>
      </c>
      <c r="O12309" s="18" t="s">
        <v>53108</v>
      </c>
      <c r="P12309" s="18" t="s">
        <v>29</v>
      </c>
      <c r="Q12309" s="6"/>
      <c r="R12309" s="6"/>
      <c r="S12309" s="6"/>
      <c r="T12309" s="6"/>
      <c r="U12309" s="6"/>
      <c r="V12309" s="6"/>
      <c r="W12309" s="6"/>
      <c r="X12309" s="6"/>
    </row>
    <row r="12310" ht="14.25">
      <c r="B12310" s="18" t="s">
        <v>215</v>
      </c>
      <c r="C12310" s="18" t="s">
        <v>15873</v>
      </c>
      <c r="D12310" s="18" t="s">
        <v>1130</v>
      </c>
      <c r="E12310" s="18" t="s">
        <v>45443</v>
      </c>
      <c r="F12310" s="18" t="str">
        <f>IFERROR(__XLUDF.DUMMYFUNCTION("PROPER(REGEXREPLACE(D378,""[^A-Za-z]+ "",""""))"),"Acetech Structure")</f>
        <v xml:space="preserve">Acetech Structure</v>
      </c>
      <c r="G12310" s="18" t="s">
        <v>45444</v>
      </c>
      <c r="H12310" s="18">
        <v>17</v>
      </c>
      <c r="I12310" s="18" t="s">
        <v>9239</v>
      </c>
      <c r="J12310" s="18" t="str">
        <f>IFERROR(__XLUDF.DUMMYFUNCTION("VLOOKUP(M378,IMPORTRANGE(""https://docs.google.com/spreadsheets/d/1opm6ZNvGZ7KditA9TuJwrZ25eFLfTNIkrNnY6mhV5Eg"",""list!A1:C115""),3,TRUE)"),"le secteur de la production alimentaire")</f>
        <v xml:space="preserve">le secteur de la production alimentaire</v>
      </c>
      <c r="K12310" s="5" t="s">
        <v>45445</v>
      </c>
      <c r="L12310" s="5" t="s">
        <v>45446</v>
      </c>
      <c r="M12310" s="18" t="s">
        <v>39</v>
      </c>
      <c r="N12310" s="18" t="s">
        <v>29</v>
      </c>
      <c r="O12310" s="18" t="s">
        <v>45447</v>
      </c>
      <c r="P12310" s="18" t="s">
        <v>29</v>
      </c>
      <c r="Q12310" s="18" t="s">
        <v>45448</v>
      </c>
      <c r="R12310" s="6"/>
      <c r="S12310" s="6"/>
      <c r="T12310" s="6"/>
      <c r="U12310" s="6"/>
      <c r="V12310" s="6"/>
      <c r="W12310" s="6"/>
      <c r="X12310" s="6"/>
    </row>
    <row r="12311" ht="14.25">
      <c r="B12311" s="18" t="s">
        <v>622</v>
      </c>
      <c r="C12311" s="18" t="s">
        <v>45938</v>
      </c>
      <c r="D12311" s="18" t="s">
        <v>172</v>
      </c>
      <c r="E12311" s="18" t="s">
        <v>45939</v>
      </c>
      <c r="F12311" s="18" t="str">
        <f>IFERROR(__XLUDF.DUMMYFUNCTION("PROPER(REGEXREPLACE(D379,""[^A-Za-z]+ "",""""))"),"Technocarbon")</f>
        <v>Technocarbon</v>
      </c>
      <c r="G12311" s="18" t="s">
        <v>45940</v>
      </c>
      <c r="H12311" s="18">
        <v>10</v>
      </c>
      <c r="I12311" s="18" t="s">
        <v>9239</v>
      </c>
      <c r="J12311" s="18" t="str">
        <f>IFERROR(__XLUDF.DUMMYFUNCTION("VLOOKUP(M379,IMPORTRANGE(""https://docs.google.com/spreadsheets/d/1opm6ZNvGZ7KditA9TuJwrZ25eFLfTNIkrNnY6mhV5Eg"",""list!A1:C115""),3,TRUE)"),"le secteur de la production alimentaire")</f>
        <v xml:space="preserve">le secteur de la production alimentaire</v>
      </c>
      <c r="K12311" s="5" t="s">
        <v>45941</v>
      </c>
      <c r="L12311" s="5" t="s">
        <v>45942</v>
      </c>
      <c r="M12311" s="18" t="s">
        <v>39</v>
      </c>
      <c r="N12311" s="18" t="s">
        <v>29</v>
      </c>
      <c r="O12311" s="18" t="s">
        <v>45943</v>
      </c>
      <c r="P12311" s="18" t="s">
        <v>29</v>
      </c>
      <c r="Q12311" s="18" t="s">
        <v>45944</v>
      </c>
      <c r="R12311" s="6"/>
      <c r="S12311" s="6"/>
      <c r="T12311" s="6"/>
      <c r="U12311" s="6"/>
      <c r="V12311" s="6"/>
      <c r="W12311" s="6"/>
      <c r="X12311" s="6"/>
    </row>
    <row r="12312" ht="14.25">
      <c r="B12312" s="18" t="s">
        <v>622</v>
      </c>
      <c r="C12312" s="18" t="s">
        <v>46324</v>
      </c>
      <c r="D12312" s="18" t="s">
        <v>1950</v>
      </c>
      <c r="E12312" s="18" t="s">
        <v>46325</v>
      </c>
      <c r="F12312" s="18" t="str">
        <f>IFERROR(__XLUDF.DUMMYFUNCTION("PROPER(REGEXREPLACE(D380,""[^A-Za-z]+ "",""""))"),"Profil")</f>
        <v>Profil</v>
      </c>
      <c r="G12312" s="18" t="s">
        <v>46326</v>
      </c>
      <c r="H12312" s="18">
        <v>39</v>
      </c>
      <c r="I12312" s="18" t="s">
        <v>9239</v>
      </c>
      <c r="J12312" s="18" t="str">
        <f>IFERROR(__XLUDF.DUMMYFUNCTION("VLOOKUP(M380,IMPORTRANGE(""https://docs.google.com/spreadsheets/d/1opm6ZNvGZ7KditA9TuJwrZ25eFLfTNIkrNnY6mhV5Eg"",""list!A1:C115""),3,TRUE)"),"le secteur de la production alimentaire")</f>
        <v xml:space="preserve">le secteur de la production alimentaire</v>
      </c>
      <c r="K12312" s="5" t="s">
        <v>46327</v>
      </c>
      <c r="L12312" s="5" t="s">
        <v>46328</v>
      </c>
      <c r="M12312" s="18" t="s">
        <v>295</v>
      </c>
      <c r="N12312" s="18" t="s">
        <v>29</v>
      </c>
      <c r="O12312" s="18" t="s">
        <v>46329</v>
      </c>
      <c r="P12312" s="18" t="s">
        <v>29</v>
      </c>
      <c r="Q12312" s="6"/>
      <c r="R12312" s="6"/>
      <c r="S12312" s="6"/>
      <c r="T12312" s="6"/>
      <c r="U12312" s="6"/>
      <c r="V12312" s="6"/>
      <c r="W12312" s="6"/>
      <c r="X12312" s="6"/>
    </row>
    <row r="12313" ht="14.25">
      <c r="B12313" s="18" t="s">
        <v>622</v>
      </c>
      <c r="C12313" s="18" t="s">
        <v>45468</v>
      </c>
      <c r="D12313" s="18" t="s">
        <v>112</v>
      </c>
      <c r="E12313" s="18" t="s">
        <v>45469</v>
      </c>
      <c r="F12313" s="18" t="str">
        <f>IFERROR(__XLUDF.DUMMYFUNCTION("PROPER(REGEXREPLACE(D381,""[^A-Za-z]+ "",""""))"),"Paquet Sas")</f>
        <v xml:space="preserve">Paquet Sas</v>
      </c>
      <c r="G12313" s="18" t="s">
        <v>45470</v>
      </c>
      <c r="H12313" s="18">
        <v>15</v>
      </c>
      <c r="I12313" s="18" t="s">
        <v>9239</v>
      </c>
      <c r="J12313" s="18" t="str">
        <f>IFERROR(__XLUDF.DUMMYFUNCTION("VLOOKUP(M381,IMPORTRANGE(""https://docs.google.com/spreadsheets/d/1opm6ZNvGZ7KditA9TuJwrZ25eFLfTNIkrNnY6mhV5Eg"",""list!A1:C115""),3,TRUE)"),"le secteur de la production alimentaire")</f>
        <v xml:space="preserve">le secteur de la production alimentaire</v>
      </c>
      <c r="K12313" s="5" t="s">
        <v>45471</v>
      </c>
      <c r="L12313" s="5" t="s">
        <v>45472</v>
      </c>
      <c r="M12313" s="6"/>
      <c r="N12313" s="18" t="s">
        <v>29</v>
      </c>
      <c r="O12313" s="18" t="s">
        <v>45473</v>
      </c>
      <c r="P12313" s="18" t="s">
        <v>29</v>
      </c>
      <c r="Q12313" s="18" t="s">
        <v>45474</v>
      </c>
      <c r="R12313" s="6"/>
      <c r="S12313" s="6"/>
      <c r="T12313" s="6"/>
      <c r="U12313" s="6"/>
      <c r="V12313" s="6"/>
      <c r="W12313" s="6"/>
      <c r="X12313" s="6"/>
    </row>
    <row r="12314" ht="14.25">
      <c r="B12314" s="18" t="s">
        <v>622</v>
      </c>
      <c r="C12314" s="18" t="s">
        <v>52597</v>
      </c>
      <c r="D12314" s="18" t="s">
        <v>52598</v>
      </c>
      <c r="E12314" s="18" t="s">
        <v>52451</v>
      </c>
      <c r="F12314" s="18" t="str">
        <f>IFERROR(__XLUDF.DUMMYFUNCTION("PROPER(REGEXREPLACE(D382,""[^A-Za-z]+ "",""""))"),"Groupe Dsa")</f>
        <v xml:space="preserve">Groupe Dsa</v>
      </c>
      <c r="G12314" s="18" t="s">
        <v>52599</v>
      </c>
      <c r="H12314" s="18">
        <v>23</v>
      </c>
      <c r="I12314" s="18" t="s">
        <v>9239</v>
      </c>
      <c r="J12314" s="18" t="str">
        <f>IFERROR(__XLUDF.DUMMYFUNCTION("VLOOKUP(M382,IMPORTRANGE(""https://docs.google.com/spreadsheets/d/1opm6ZNvGZ7KditA9TuJwrZ25eFLfTNIkrNnY6mhV5Eg"",""list!A1:C115""),3,TRUE)"),"le secteur de la production alimentaire")</f>
        <v xml:space="preserve">le secteur de la production alimentaire</v>
      </c>
      <c r="K12314" s="5" t="s">
        <v>52600</v>
      </c>
      <c r="L12314" s="5" t="s">
        <v>52454</v>
      </c>
      <c r="M12314" s="18" t="s">
        <v>243</v>
      </c>
      <c r="N12314" s="18" t="s">
        <v>29</v>
      </c>
      <c r="O12314" s="18" t="s">
        <v>52455</v>
      </c>
      <c r="P12314" s="18" t="s">
        <v>29</v>
      </c>
      <c r="Q12314" s="18" t="s">
        <v>52456</v>
      </c>
      <c r="R12314" s="6"/>
      <c r="S12314" s="6"/>
      <c r="T12314" s="6"/>
      <c r="U12314" s="6"/>
      <c r="V12314" s="6"/>
      <c r="W12314" s="6"/>
      <c r="X12314" s="6"/>
    </row>
    <row r="12315" ht="14.25">
      <c r="B12315" s="18" t="s">
        <v>622</v>
      </c>
      <c r="C12315" s="18" t="s">
        <v>5579</v>
      </c>
      <c r="D12315" s="18" t="s">
        <v>46336</v>
      </c>
      <c r="E12315" s="18" t="s">
        <v>55903</v>
      </c>
      <c r="F12315" s="18" t="str">
        <f>IFERROR(__XLUDF.DUMMYFUNCTION("PROPER(REGEXREPLACE(D383,""[^A-Za-z]+ "",""""))"),"Abbei")</f>
        <v>Abbei</v>
      </c>
      <c r="G12315" s="18" t="s">
        <v>46338</v>
      </c>
      <c r="H12315" s="18">
        <v>30</v>
      </c>
      <c r="I12315" s="18" t="s">
        <v>9239</v>
      </c>
      <c r="J12315" s="18" t="str">
        <f>IFERROR(__XLUDF.DUMMYFUNCTION("VLOOKUP(M383,IMPORTRANGE(""https://docs.google.com/spreadsheets/d/1opm6ZNvGZ7KditA9TuJwrZ25eFLfTNIkrNnY6mhV5Eg"",""list!A1:C115""),3,TRUE)"),"le secteur de la production alimentaire")</f>
        <v xml:space="preserve">le secteur de la production alimentaire</v>
      </c>
      <c r="K12315" s="5" t="s">
        <v>46339</v>
      </c>
      <c r="L12315" s="5" t="s">
        <v>46340</v>
      </c>
      <c r="M12315" s="18" t="s">
        <v>492</v>
      </c>
      <c r="N12315" s="18" t="s">
        <v>29</v>
      </c>
      <c r="O12315" s="18" t="s">
        <v>29</v>
      </c>
      <c r="P12315" s="18" t="s">
        <v>29</v>
      </c>
      <c r="Q12315" s="18" t="s">
        <v>46341</v>
      </c>
      <c r="R12315" s="6"/>
      <c r="S12315" s="6"/>
      <c r="T12315" s="6"/>
      <c r="U12315" s="6"/>
      <c r="V12315" s="6"/>
      <c r="W12315" s="6"/>
      <c r="X12315" s="6"/>
    </row>
    <row r="12316" ht="14.25">
      <c r="B12316" s="18" t="s">
        <v>622</v>
      </c>
      <c r="C12316" s="18" t="s">
        <v>46055</v>
      </c>
      <c r="D12316" s="18" t="s">
        <v>112</v>
      </c>
      <c r="E12316" s="18" t="s">
        <v>46056</v>
      </c>
      <c r="F12316" s="18" t="str">
        <f>IFERROR(__XLUDF.DUMMYFUNCTION("PROPER(REGEXREPLACE(D384,""[^A-Za-z]+ "",""""))"),"Ccmt Sas")</f>
        <v xml:space="preserve">Ccmt Sas</v>
      </c>
      <c r="G12316" s="18" t="s">
        <v>46057</v>
      </c>
      <c r="H12316" s="18">
        <v>11</v>
      </c>
      <c r="I12316" s="18" t="s">
        <v>9239</v>
      </c>
      <c r="J12316" s="18" t="str">
        <f>IFERROR(__XLUDF.DUMMYFUNCTION("VLOOKUP(M384,IMPORTRANGE(""https://docs.google.com/spreadsheets/d/1opm6ZNvGZ7KditA9TuJwrZ25eFLfTNIkrNnY6mhV5Eg"",""list!A1:C115""),3,TRUE)"),"le secteur de la production alimentaire")</f>
        <v xml:space="preserve">le secteur de la production alimentaire</v>
      </c>
      <c r="K12316" s="5" t="s">
        <v>46058</v>
      </c>
      <c r="L12316" s="5" t="s">
        <v>46059</v>
      </c>
      <c r="M12316" s="18" t="s">
        <v>39</v>
      </c>
      <c r="N12316" s="18" t="s">
        <v>29</v>
      </c>
      <c r="O12316" s="18" t="s">
        <v>46060</v>
      </c>
      <c r="P12316" s="18" t="s">
        <v>29</v>
      </c>
      <c r="Q12316" s="6"/>
      <c r="R12316" s="6"/>
      <c r="S12316" s="6"/>
      <c r="T12316" s="6"/>
      <c r="U12316" s="6"/>
      <c r="V12316" s="6"/>
      <c r="W12316" s="6"/>
      <c r="X12316" s="6"/>
    </row>
    <row r="12317" ht="14.25">
      <c r="B12317" s="18" t="s">
        <v>85</v>
      </c>
      <c r="C12317" s="18" t="s">
        <v>51759</v>
      </c>
      <c r="D12317" s="18" t="s">
        <v>164</v>
      </c>
      <c r="E12317" s="18" t="s">
        <v>51760</v>
      </c>
      <c r="F12317" s="18" t="str">
        <f>IFERROR(__XLUDF.DUMMYFUNCTION("PROPER(REGEXREPLACE(D385,""[^A-Za-z]+ "",""""))"),"Batinor")</f>
        <v>Batinor</v>
      </c>
      <c r="G12317" s="18" t="s">
        <v>51761</v>
      </c>
      <c r="H12317" s="18">
        <v>32</v>
      </c>
      <c r="I12317" s="18" t="s">
        <v>9239</v>
      </c>
      <c r="J12317" s="18" t="str">
        <f>IFERROR(__XLUDF.DUMMYFUNCTION("VLOOKUP(M385,IMPORTRANGE(""https://docs.google.com/spreadsheets/d/1opm6ZNvGZ7KditA9TuJwrZ25eFLfTNIkrNnY6mhV5Eg"",""list!A1:C115""),3,TRUE)"),"le secteur de la production alimentaire")</f>
        <v xml:space="preserve">le secteur de la production alimentaire</v>
      </c>
      <c r="K12317" s="5" t="s">
        <v>51762</v>
      </c>
      <c r="L12317" s="5" t="s">
        <v>51763</v>
      </c>
      <c r="M12317" s="18" t="s">
        <v>51764</v>
      </c>
      <c r="N12317" s="18" t="s">
        <v>29</v>
      </c>
      <c r="O12317" s="18" t="s">
        <v>51765</v>
      </c>
      <c r="P12317" s="18" t="s">
        <v>29</v>
      </c>
      <c r="Q12317" s="18" t="s">
        <v>55904</v>
      </c>
      <c r="R12317" s="6"/>
      <c r="S12317" s="6"/>
      <c r="T12317" s="6"/>
      <c r="U12317" s="6"/>
      <c r="V12317" s="6"/>
      <c r="W12317" s="6"/>
      <c r="X12317" s="6"/>
    </row>
    <row r="12318" ht="14.25">
      <c r="B12318" s="18" t="s">
        <v>23171</v>
      </c>
      <c r="C12318" s="18" t="s">
        <v>46002</v>
      </c>
      <c r="D12318" s="18" t="s">
        <v>46003</v>
      </c>
      <c r="E12318" s="18" t="s">
        <v>46004</v>
      </c>
      <c r="F12318" s="18" t="str">
        <f>IFERROR(__XLUDF.DUMMYFUNCTION("PROPER(REGEXREPLACE(D386,""[^A-Za-z]+ "",""""))"),"Groupe Adré")</f>
        <v xml:space="preserve">Groupe Adré</v>
      </c>
      <c r="G12318" s="18" t="s">
        <v>46005</v>
      </c>
      <c r="H12318" s="18">
        <v>49</v>
      </c>
      <c r="I12318" s="18" t="s">
        <v>9239</v>
      </c>
      <c r="J12318" s="18" t="str">
        <f>IFERROR(__XLUDF.DUMMYFUNCTION("VLOOKUP(M386,IMPORTRANGE(""https://docs.google.com/spreadsheets/d/1opm6ZNvGZ7KditA9TuJwrZ25eFLfTNIkrNnY6mhV5Eg"",""list!A1:C115""),3,TRUE)"),"le secteur de la production alimentaire")</f>
        <v xml:space="preserve">le secteur de la production alimentaire</v>
      </c>
      <c r="K12318" s="5" t="s">
        <v>46006</v>
      </c>
      <c r="L12318" s="5" t="s">
        <v>46007</v>
      </c>
      <c r="M12318" s="18" t="s">
        <v>243</v>
      </c>
      <c r="N12318" s="18" t="s">
        <v>29</v>
      </c>
      <c r="O12318" s="18" t="s">
        <v>46008</v>
      </c>
      <c r="P12318" s="18" t="s">
        <v>29</v>
      </c>
      <c r="Q12318" s="18" t="s">
        <v>46009</v>
      </c>
      <c r="R12318" s="6"/>
      <c r="S12318" s="6"/>
      <c r="T12318" s="6"/>
      <c r="U12318" s="6"/>
      <c r="V12318" s="6"/>
      <c r="W12318" s="6"/>
      <c r="X12318" s="6"/>
    </row>
    <row r="12319" ht="14.25">
      <c r="B12319" s="18" t="s">
        <v>322</v>
      </c>
      <c r="C12319" s="18" t="s">
        <v>52640</v>
      </c>
      <c r="D12319" s="18" t="s">
        <v>112</v>
      </c>
      <c r="E12319" s="18" t="s">
        <v>52641</v>
      </c>
      <c r="F12319" s="18" t="str">
        <f>IFERROR(__XLUDF.DUMMYFUNCTION("PROPER(REGEXREPLACE(D387,""[^A-Za-z]+ "",""""))"),"Elbene")</f>
        <v>Elbene</v>
      </c>
      <c r="G12319" s="18" t="s">
        <v>52642</v>
      </c>
      <c r="H12319" s="18">
        <v>18</v>
      </c>
      <c r="I12319" s="18" t="s">
        <v>9239</v>
      </c>
      <c r="J12319" s="18" t="str">
        <f>IFERROR(__XLUDF.DUMMYFUNCTION("VLOOKUP(M387,IMPORTRANGE(""https://docs.google.com/spreadsheets/d/1opm6ZNvGZ7KditA9TuJwrZ25eFLfTNIkrNnY6mhV5Eg"",""list!A1:C115""),3,TRUE)"),"le secteur de la production alimentaire")</f>
        <v xml:space="preserve">le secteur de la production alimentaire</v>
      </c>
      <c r="K12319" s="5" t="s">
        <v>52643</v>
      </c>
      <c r="L12319" s="5" t="s">
        <v>52644</v>
      </c>
      <c r="M12319" s="18" t="s">
        <v>1507</v>
      </c>
      <c r="N12319" s="18" t="s">
        <v>29</v>
      </c>
      <c r="O12319" s="18" t="s">
        <v>52645</v>
      </c>
      <c r="P12319" s="18" t="s">
        <v>29</v>
      </c>
      <c r="Q12319" s="6"/>
      <c r="R12319" s="6"/>
      <c r="S12319" s="6"/>
      <c r="T12319" s="6"/>
      <c r="U12319" s="6"/>
      <c r="V12319" s="6"/>
      <c r="W12319" s="6"/>
      <c r="X12319" s="6"/>
    </row>
    <row r="12320" ht="14.25">
      <c r="B12320" s="18" t="s">
        <v>6356</v>
      </c>
      <c r="C12320" s="18" t="s">
        <v>48085</v>
      </c>
      <c r="D12320" s="18" t="s">
        <v>112</v>
      </c>
      <c r="E12320" s="18" t="s">
        <v>48086</v>
      </c>
      <c r="F12320" s="18" t="str">
        <f>IFERROR(__XLUDF.DUMMYFUNCTION("PROPER(REGEXREPLACE(D388,""[^A-Za-z]+ "",""""))"),"Ionyx Industrie Environnement")</f>
        <v xml:space="preserve">Ionyx Industrie Environnement</v>
      </c>
      <c r="G12320" s="18" t="s">
        <v>48087</v>
      </c>
      <c r="H12320" s="18">
        <v>13</v>
      </c>
      <c r="I12320" s="18" t="s">
        <v>9239</v>
      </c>
      <c r="J12320" s="18" t="str">
        <f>IFERROR(__XLUDF.DUMMYFUNCTION("VLOOKUP(M388,IMPORTRANGE(""https://docs.google.com/spreadsheets/d/1opm6ZNvGZ7KditA9TuJwrZ25eFLfTNIkrNnY6mhV5Eg"",""list!A1:C115""),3,TRUE)"),"le secteur de la production alimentaire")</f>
        <v xml:space="preserve">le secteur de la production alimentaire</v>
      </c>
      <c r="K12320" s="5" t="s">
        <v>48088</v>
      </c>
      <c r="L12320" s="5" t="s">
        <v>48089</v>
      </c>
      <c r="M12320" s="18" t="s">
        <v>295</v>
      </c>
      <c r="N12320" s="18" t="s">
        <v>29</v>
      </c>
      <c r="O12320" s="18" t="s">
        <v>48090</v>
      </c>
      <c r="P12320" s="18" t="s">
        <v>29</v>
      </c>
      <c r="Q12320" s="6"/>
      <c r="R12320" s="6"/>
      <c r="S12320" s="6"/>
      <c r="T12320" s="6"/>
      <c r="U12320" s="6"/>
      <c r="V12320" s="6"/>
      <c r="W12320" s="6"/>
      <c r="X12320" s="6"/>
    </row>
    <row r="12321" ht="14.25">
      <c r="B12321" s="18" t="s">
        <v>6356</v>
      </c>
      <c r="C12321" s="18" t="s">
        <v>48214</v>
      </c>
      <c r="D12321" s="18" t="s">
        <v>172</v>
      </c>
      <c r="E12321" s="18" t="s">
        <v>48215</v>
      </c>
      <c r="F12321" s="18" t="str">
        <f>IFERROR(__XLUDF.DUMMYFUNCTION("PROPER(REGEXREPLACE(D389,""[^A-Za-z]+ "",""""))"),"Constructions Saint-Eloi")</f>
        <v xml:space="preserve">Constructions Saint-Eloi</v>
      </c>
      <c r="G12321" s="18" t="s">
        <v>48216</v>
      </c>
      <c r="H12321" s="18">
        <v>32</v>
      </c>
      <c r="I12321" s="18" t="s">
        <v>9239</v>
      </c>
      <c r="J12321" s="18" t="str">
        <f>IFERROR(__XLUDF.DUMMYFUNCTION("VLOOKUP(M389,IMPORTRANGE(""https://docs.google.com/spreadsheets/d/1opm6ZNvGZ7KditA9TuJwrZ25eFLfTNIkrNnY6mhV5Eg"",""list!A1:C115""),3,TRUE)"),"le secteur de la production alimentaire")</f>
        <v xml:space="preserve">le secteur de la production alimentaire</v>
      </c>
      <c r="K12321" s="5" t="s">
        <v>48217</v>
      </c>
      <c r="L12321" s="5" t="s">
        <v>48218</v>
      </c>
      <c r="M12321" s="6"/>
      <c r="N12321" s="18" t="s">
        <v>29</v>
      </c>
      <c r="O12321" s="18" t="s">
        <v>48219</v>
      </c>
      <c r="P12321" s="18" t="s">
        <v>29</v>
      </c>
      <c r="Q12321" s="18" t="s">
        <v>48220</v>
      </c>
      <c r="R12321" s="6"/>
      <c r="S12321" s="6"/>
      <c r="T12321" s="6"/>
      <c r="U12321" s="6"/>
      <c r="V12321" s="6"/>
      <c r="W12321" s="6"/>
      <c r="X12321" s="6"/>
    </row>
    <row r="12322" ht="14.25">
      <c r="B12322" s="18" t="s">
        <v>6744</v>
      </c>
      <c r="C12322" s="18" t="s">
        <v>3850</v>
      </c>
      <c r="D12322" s="18" t="s">
        <v>2636</v>
      </c>
      <c r="E12322" s="18" t="s">
        <v>53109</v>
      </c>
      <c r="F12322" s="18" t="str">
        <f>IFERROR(__XLUDF.DUMMYFUNCTION("PROPER(REGEXREPLACE(D390,""[^A-Za-z]+ "",""""))"),"Emaplast")</f>
        <v>Emaplast</v>
      </c>
      <c r="G12322" s="18" t="s">
        <v>53110</v>
      </c>
      <c r="H12322" s="18">
        <v>38</v>
      </c>
      <c r="I12322" s="18" t="s">
        <v>9239</v>
      </c>
      <c r="J12322" s="18" t="str">
        <f>IFERROR(__XLUDF.DUMMYFUNCTION("VLOOKUP(M390,IMPORTRANGE(""https://docs.google.com/spreadsheets/d/1opm6ZNvGZ7KditA9TuJwrZ25eFLfTNIkrNnY6mhV5Eg"",""list!A1:C115""),3,TRUE)"),"le secteur de la production alimentaire")</f>
        <v xml:space="preserve">le secteur de la production alimentaire</v>
      </c>
      <c r="K12322" s="5" t="s">
        <v>53111</v>
      </c>
      <c r="L12322" s="5" t="s">
        <v>55905</v>
      </c>
      <c r="M12322" s="18" t="s">
        <v>53113</v>
      </c>
      <c r="N12322" s="18" t="s">
        <v>29</v>
      </c>
      <c r="O12322" s="18" t="s">
        <v>53114</v>
      </c>
      <c r="P12322" s="18" t="s">
        <v>29</v>
      </c>
      <c r="Q12322" s="18" t="s">
        <v>53115</v>
      </c>
      <c r="R12322" s="6"/>
      <c r="S12322" s="6"/>
      <c r="T12322" s="6"/>
      <c r="U12322" s="6"/>
      <c r="V12322" s="6"/>
      <c r="W12322" s="6"/>
      <c r="X12322" s="6"/>
    </row>
    <row r="12323" ht="14.25">
      <c r="B12323" s="18" t="s">
        <v>2348</v>
      </c>
      <c r="C12323" s="18" t="s">
        <v>46878</v>
      </c>
      <c r="D12323" s="18" t="s">
        <v>23197</v>
      </c>
      <c r="E12323" s="18" t="s">
        <v>55906</v>
      </c>
      <c r="F12323" s="18" t="str">
        <f>IFERROR(__XLUDF.DUMMYFUNCTION("PROPER(REGEXREPLACE(D391,""[^A-Za-z]+ "",""""))"),"Nu ‎")</f>
        <v xml:space="preserve">Nu ‎</v>
      </c>
      <c r="G12323" s="18" t="s">
        <v>46880</v>
      </c>
      <c r="H12323" s="18">
        <v>19</v>
      </c>
      <c r="I12323" s="18" t="s">
        <v>9239</v>
      </c>
      <c r="J12323" s="18" t="str">
        <f>IFERROR(__XLUDF.DUMMYFUNCTION("VLOOKUP(M391,IMPORTRANGE(""https://docs.google.com/spreadsheets/d/1opm6ZNvGZ7KditA9TuJwrZ25eFLfTNIkrNnY6mhV5Eg"",""list!A1:C115""),3,TRUE)"),"le secteur de la production alimentaire")</f>
        <v xml:space="preserve">le secteur de la production alimentaire</v>
      </c>
      <c r="K12323" s="5" t="s">
        <v>46881</v>
      </c>
      <c r="L12323" s="5" t="s">
        <v>46882</v>
      </c>
      <c r="M12323" s="18" t="s">
        <v>39</v>
      </c>
      <c r="N12323" s="18" t="s">
        <v>29</v>
      </c>
      <c r="O12323" s="18" t="s">
        <v>46870</v>
      </c>
      <c r="P12323" s="18" t="s">
        <v>29</v>
      </c>
      <c r="Q12323" s="18" t="s">
        <v>46883</v>
      </c>
      <c r="R12323" s="6"/>
      <c r="S12323" s="6"/>
      <c r="T12323" s="6"/>
      <c r="U12323" s="6"/>
      <c r="V12323" s="6"/>
      <c r="W12323" s="6"/>
      <c r="X12323" s="6"/>
    </row>
    <row r="12324" ht="14.25">
      <c r="B12324" s="18" t="s">
        <v>52044</v>
      </c>
      <c r="C12324" s="18" t="s">
        <v>1583</v>
      </c>
      <c r="D12324" s="18" t="s">
        <v>5500</v>
      </c>
      <c r="E12324" s="18" t="s">
        <v>52045</v>
      </c>
      <c r="F12324" s="18" t="str">
        <f>IFERROR(__XLUDF.DUMMYFUNCTION("PROPER(REGEXREPLACE(D392,""[^A-Za-z]+ "",""""))"),"Gillouaye Sas")</f>
        <v xml:space="preserve">Gillouaye Sas</v>
      </c>
      <c r="G12324" s="18" t="s">
        <v>52046</v>
      </c>
      <c r="H12324" s="18">
        <v>24</v>
      </c>
      <c r="I12324" s="18" t="s">
        <v>9239</v>
      </c>
      <c r="J12324" s="18" t="str">
        <f>IFERROR(__XLUDF.DUMMYFUNCTION("VLOOKUP(M392,IMPORTRANGE(""https://docs.google.com/spreadsheets/d/1opm6ZNvGZ7KditA9TuJwrZ25eFLfTNIkrNnY6mhV5Eg"",""list!A1:C115""),3,TRUE)"),"le secteur de la production alimentaire")</f>
        <v xml:space="preserve">le secteur de la production alimentaire</v>
      </c>
      <c r="K12324" s="5" t="s">
        <v>52047</v>
      </c>
      <c r="L12324" s="5" t="s">
        <v>52048</v>
      </c>
      <c r="M12324" s="18" t="s">
        <v>52049</v>
      </c>
      <c r="N12324" s="18" t="s">
        <v>29</v>
      </c>
      <c r="O12324" s="18" t="s">
        <v>52050</v>
      </c>
      <c r="P12324" s="18" t="s">
        <v>29</v>
      </c>
      <c r="Q12324" s="18" t="s">
        <v>52051</v>
      </c>
      <c r="R12324" s="6"/>
      <c r="S12324" s="6"/>
      <c r="T12324" s="6"/>
      <c r="U12324" s="6"/>
      <c r="V12324" s="6"/>
      <c r="W12324" s="6"/>
      <c r="X12324" s="6"/>
    </row>
    <row r="12325" ht="14.25">
      <c r="B12325" s="18" t="s">
        <v>1583</v>
      </c>
      <c r="C12325" s="18" t="s">
        <v>45679</v>
      </c>
      <c r="D12325" s="18" t="s">
        <v>172</v>
      </c>
      <c r="E12325" s="18" t="s">
        <v>45680</v>
      </c>
      <c r="F12325" s="18" t="str">
        <f>IFERROR(__XLUDF.DUMMYFUNCTION("PROPER(REGEXREPLACE(D393,""[^A-Za-z]+ "",""""))"),"Betag")</f>
        <v>Betag</v>
      </c>
      <c r="G12325" s="18" t="s">
        <v>45681</v>
      </c>
      <c r="H12325" s="18">
        <v>19</v>
      </c>
      <c r="I12325" s="18" t="s">
        <v>9239</v>
      </c>
      <c r="J12325" s="18" t="str">
        <f>IFERROR(__XLUDF.DUMMYFUNCTION("VLOOKUP(M393,IMPORTRANGE(""https://docs.google.com/spreadsheets/d/1opm6ZNvGZ7KditA9TuJwrZ25eFLfTNIkrNnY6mhV5Eg"",""list!A1:C115""),3,TRUE)"),"le secteur de la production alimentaire")</f>
        <v xml:space="preserve">le secteur de la production alimentaire</v>
      </c>
      <c r="K12325" s="5" t="s">
        <v>45682</v>
      </c>
      <c r="L12325" s="5" t="s">
        <v>45683</v>
      </c>
      <c r="M12325" s="18" t="s">
        <v>1665</v>
      </c>
      <c r="N12325" s="18" t="s">
        <v>29</v>
      </c>
      <c r="O12325" s="18" t="s">
        <v>45684</v>
      </c>
      <c r="P12325" s="18" t="s">
        <v>29</v>
      </c>
      <c r="Q12325" s="6"/>
      <c r="R12325" s="6"/>
      <c r="S12325" s="6"/>
      <c r="T12325" s="6"/>
      <c r="U12325" s="6"/>
      <c r="V12325" s="6"/>
      <c r="W12325" s="6"/>
      <c r="X12325" s="6"/>
    </row>
    <row r="12326" ht="14.25">
      <c r="B12326" s="18" t="s">
        <v>52589</v>
      </c>
      <c r="C12326" s="18" t="s">
        <v>7714</v>
      </c>
      <c r="D12326" s="18" t="s">
        <v>468</v>
      </c>
      <c r="E12326" s="18" t="s">
        <v>51513</v>
      </c>
      <c r="F12326" s="18" t="str">
        <f>IFERROR(__XLUDF.DUMMYFUNCTION("PROPER(REGEXREPLACE(D394,""[^A-Za-z]+ "",""""))"),"Quince Construction")</f>
        <v xml:space="preserve">Quince Construction</v>
      </c>
      <c r="G12326" s="18" t="s">
        <v>52590</v>
      </c>
      <c r="H12326" s="18">
        <v>18</v>
      </c>
      <c r="I12326" s="18" t="s">
        <v>9239</v>
      </c>
      <c r="J12326" s="18" t="str">
        <f>IFERROR(__XLUDF.DUMMYFUNCTION("VLOOKUP(M394,IMPORTRANGE(""https://docs.google.com/spreadsheets/d/1opm6ZNvGZ7KditA9TuJwrZ25eFLfTNIkrNnY6mhV5Eg"",""list!A1:C115""),3,TRUE)"),"le secteur de la production alimentaire")</f>
        <v xml:space="preserve">le secteur de la production alimentaire</v>
      </c>
      <c r="K12326" s="5" t="s">
        <v>52591</v>
      </c>
      <c r="L12326" s="5" t="s">
        <v>51516</v>
      </c>
      <c r="M12326" s="18" t="s">
        <v>6954</v>
      </c>
      <c r="N12326" s="18" t="s">
        <v>29</v>
      </c>
      <c r="O12326" s="18" t="s">
        <v>51517</v>
      </c>
      <c r="P12326" s="18" t="s">
        <v>29</v>
      </c>
      <c r="Q12326" s="18" t="s">
        <v>51518</v>
      </c>
      <c r="R12326" s="6"/>
      <c r="S12326" s="6"/>
      <c r="T12326" s="6"/>
      <c r="U12326" s="6"/>
      <c r="V12326" s="6"/>
      <c r="W12326" s="6"/>
      <c r="X12326" s="6"/>
    </row>
    <row r="12327" ht="14.25">
      <c r="B12327" s="18" t="s">
        <v>6931</v>
      </c>
      <c r="C12327" s="18" t="s">
        <v>279</v>
      </c>
      <c r="D12327" s="18" t="s">
        <v>112</v>
      </c>
      <c r="E12327" s="18" t="s">
        <v>52907</v>
      </c>
      <c r="F12327" s="18" t="str">
        <f>IFERROR(__XLUDF.DUMMYFUNCTION("PROPER(REGEXREPLACE(D395,""[^A-Za-z]+ "",""""))"),"Sas Avenir Metal")</f>
        <v xml:space="preserve">Sas Avenir Metal</v>
      </c>
      <c r="G12327" s="18" t="s">
        <v>52908</v>
      </c>
      <c r="H12327" s="18">
        <v>17</v>
      </c>
      <c r="I12327" s="18" t="s">
        <v>9239</v>
      </c>
      <c r="J12327" s="18" t="str">
        <f>IFERROR(__XLUDF.DUMMYFUNCTION("VLOOKUP(M395,IMPORTRANGE(""https://docs.google.com/spreadsheets/d/1opm6ZNvGZ7KditA9TuJwrZ25eFLfTNIkrNnY6mhV5Eg"",""list!A1:C115""),3,TRUE)"),"le secteur de la production alimentaire")</f>
        <v xml:space="preserve">le secteur de la production alimentaire</v>
      </c>
      <c r="K12327" s="5" t="s">
        <v>52909</v>
      </c>
      <c r="L12327" s="5" t="s">
        <v>52910</v>
      </c>
      <c r="M12327" s="18" t="s">
        <v>185</v>
      </c>
      <c r="N12327" s="18" t="s">
        <v>29</v>
      </c>
      <c r="O12327" s="18" t="s">
        <v>52911</v>
      </c>
      <c r="P12327" s="18" t="s">
        <v>29</v>
      </c>
      <c r="Q12327" s="18" t="s">
        <v>52912</v>
      </c>
      <c r="R12327" s="6"/>
      <c r="S12327" s="6"/>
      <c r="T12327" s="6"/>
      <c r="U12327" s="6"/>
      <c r="V12327" s="6"/>
      <c r="W12327" s="6"/>
      <c r="X12327" s="6"/>
    </row>
    <row r="12328" ht="14.25">
      <c r="B12328" s="18" t="s">
        <v>1844</v>
      </c>
      <c r="C12328" s="18" t="s">
        <v>11744</v>
      </c>
      <c r="D12328" s="18" t="s">
        <v>1950</v>
      </c>
      <c r="E12328" s="18" t="s">
        <v>45165</v>
      </c>
      <c r="F12328" s="18" t="str">
        <f>IFERROR(__XLUDF.DUMMYFUNCTION("PROPER(REGEXREPLACE(D396,""[^A-Za-z]+ "",""""))"),"Infra Services")</f>
        <v xml:space="preserve">Infra Services</v>
      </c>
      <c r="G12328" s="18" t="s">
        <v>45166</v>
      </c>
      <c r="H12328" s="18">
        <v>39</v>
      </c>
      <c r="I12328" s="18" t="s">
        <v>9239</v>
      </c>
      <c r="J12328" s="18" t="str">
        <f>IFERROR(__XLUDF.DUMMYFUNCTION("VLOOKUP(M396,IMPORTRANGE(""https://docs.google.com/spreadsheets/d/1opm6ZNvGZ7KditA9TuJwrZ25eFLfTNIkrNnY6mhV5Eg"",""list!A1:C115""),3,TRUE)"),"le secteur de la production alimentaire")</f>
        <v xml:space="preserve">le secteur de la production alimentaire</v>
      </c>
      <c r="K12328" s="5" t="s">
        <v>45167</v>
      </c>
      <c r="L12328" s="5" t="s">
        <v>45168</v>
      </c>
      <c r="M12328" s="18" t="s">
        <v>492</v>
      </c>
      <c r="N12328" s="18" t="s">
        <v>29</v>
      </c>
      <c r="O12328" s="18" t="s">
        <v>45169</v>
      </c>
      <c r="P12328" s="18" t="s">
        <v>29</v>
      </c>
      <c r="Q12328" s="6"/>
      <c r="R12328" s="6"/>
      <c r="S12328" s="6"/>
      <c r="T12328" s="6"/>
      <c r="U12328" s="6"/>
      <c r="V12328" s="6"/>
      <c r="W12328" s="6"/>
      <c r="X12328" s="6"/>
    </row>
    <row r="12329" ht="14.25">
      <c r="B12329" s="18" t="s">
        <v>20</v>
      </c>
      <c r="C12329" s="18" t="s">
        <v>2974</v>
      </c>
      <c r="D12329" s="18" t="s">
        <v>112</v>
      </c>
      <c r="E12329" s="18" t="s">
        <v>52938</v>
      </c>
      <c r="F12329" s="18" t="str">
        <f>IFERROR(__XLUDF.DUMMYFUNCTION("PROPER(REGEXREPLACE(D397,""[^A-Za-z]+ "",""""))"),"Unelo Éco-Voiries")</f>
        <v xml:space="preserve">Unelo Éco-Voiries</v>
      </c>
      <c r="G12329" s="18" t="s">
        <v>52939</v>
      </c>
      <c r="H12329" s="18">
        <v>14</v>
      </c>
      <c r="I12329" s="18" t="s">
        <v>9239</v>
      </c>
      <c r="J12329" s="18" t="str">
        <f>IFERROR(__XLUDF.DUMMYFUNCTION("VLOOKUP(M397,IMPORTRANGE(""https://docs.google.com/spreadsheets/d/1opm6ZNvGZ7KditA9TuJwrZ25eFLfTNIkrNnY6mhV5Eg"",""list!A1:C115""),3,TRUE)"),"le secteur de la production alimentaire")</f>
        <v xml:space="preserve">le secteur de la production alimentaire</v>
      </c>
      <c r="K12329" s="5" t="s">
        <v>52940</v>
      </c>
      <c r="L12329" s="5" t="s">
        <v>52941</v>
      </c>
      <c r="M12329" s="6"/>
      <c r="N12329" s="18" t="s">
        <v>29</v>
      </c>
      <c r="O12329" s="18" t="s">
        <v>52942</v>
      </c>
      <c r="P12329" s="18" t="s">
        <v>29</v>
      </c>
      <c r="Q12329" s="18" t="s">
        <v>52943</v>
      </c>
      <c r="R12329" s="6"/>
      <c r="S12329" s="6"/>
      <c r="T12329" s="6"/>
      <c r="U12329" s="6"/>
      <c r="V12329" s="6"/>
      <c r="W12329" s="6"/>
      <c r="X12329" s="6"/>
    </row>
    <row r="12330" ht="14.25">
      <c r="B12330" s="18" t="s">
        <v>6931</v>
      </c>
      <c r="C12330" s="18" t="s">
        <v>50911</v>
      </c>
      <c r="D12330" s="18" t="s">
        <v>1950</v>
      </c>
      <c r="E12330" s="18" t="s">
        <v>50912</v>
      </c>
      <c r="F12330" s="18" t="str">
        <f>IFERROR(__XLUDF.DUMMYFUNCTION("PROPER(REGEXREPLACE(D398,""[^A-Za-z]+ "",""""))"),"Dubrulle Faignot Tp")</f>
        <v xml:space="preserve">Dubrulle Faignot Tp</v>
      </c>
      <c r="G12330" s="18" t="s">
        <v>50913</v>
      </c>
      <c r="H12330" s="18">
        <v>24</v>
      </c>
      <c r="I12330" s="18" t="s">
        <v>9239</v>
      </c>
      <c r="J12330" s="18" t="str">
        <f>IFERROR(__XLUDF.DUMMYFUNCTION("VLOOKUP(M398,IMPORTRANGE(""https://docs.google.com/spreadsheets/d/1opm6ZNvGZ7KditA9TuJwrZ25eFLfTNIkrNnY6mhV5Eg"",""list!A1:C115""),3,TRUE)"),"le secteur de la production alimentaire")</f>
        <v xml:space="preserve">le secteur de la production alimentaire</v>
      </c>
      <c r="K12330" s="5" t="s">
        <v>50914</v>
      </c>
      <c r="L12330" s="5" t="s">
        <v>50915</v>
      </c>
      <c r="M12330" s="18" t="s">
        <v>846</v>
      </c>
      <c r="N12330" s="18" t="s">
        <v>29</v>
      </c>
      <c r="O12330" s="18" t="s">
        <v>50916</v>
      </c>
      <c r="P12330" s="18" t="s">
        <v>29</v>
      </c>
      <c r="Q12330" s="6"/>
      <c r="R12330" s="6"/>
      <c r="S12330" s="6"/>
      <c r="T12330" s="6"/>
      <c r="U12330" s="6"/>
      <c r="V12330" s="6"/>
      <c r="W12330" s="6"/>
      <c r="X12330" s="6"/>
    </row>
    <row r="12331" ht="14.25">
      <c r="B12331" s="18" t="s">
        <v>30883</v>
      </c>
      <c r="C12331" s="18" t="s">
        <v>55749</v>
      </c>
      <c r="D12331" s="18" t="s">
        <v>460</v>
      </c>
      <c r="E12331" s="18" t="s">
        <v>53430</v>
      </c>
      <c r="F12331" s="18" t="str">
        <f>IFERROR(__XLUDF.DUMMYFUNCTION("PROPER(REGEXREPLACE(D399,""[^A-Za-z]+ "",""""))"),"Pelatis Sas")</f>
        <v xml:space="preserve">Pelatis Sas</v>
      </c>
      <c r="G12331" s="18" t="s">
        <v>55750</v>
      </c>
      <c r="H12331" s="18">
        <v>27</v>
      </c>
      <c r="I12331" s="18" t="s">
        <v>9239</v>
      </c>
      <c r="J12331" s="18" t="str">
        <f>IFERROR(__XLUDF.DUMMYFUNCTION("VLOOKUP(M399,IMPORTRANGE(""https://docs.google.com/spreadsheets/d/1opm6ZNvGZ7KditA9TuJwrZ25eFLfTNIkrNnY6mhV5Eg"",""list!A1:C115""),3,TRUE)"),"le secteur de la production alimentaire")</f>
        <v xml:space="preserve">le secteur de la production alimentaire</v>
      </c>
      <c r="K12331" s="5" t="s">
        <v>55907</v>
      </c>
      <c r="L12331" s="5" t="s">
        <v>53433</v>
      </c>
      <c r="M12331" s="18" t="s">
        <v>39</v>
      </c>
      <c r="N12331" s="18" t="s">
        <v>29</v>
      </c>
      <c r="O12331" s="18" t="s">
        <v>53434</v>
      </c>
      <c r="P12331" s="18" t="s">
        <v>29</v>
      </c>
      <c r="Q12331" s="6"/>
      <c r="R12331" s="6"/>
      <c r="S12331" s="6"/>
      <c r="T12331" s="6"/>
      <c r="U12331" s="6"/>
      <c r="V12331" s="6"/>
      <c r="W12331" s="6"/>
      <c r="X12331" s="6"/>
    </row>
    <row r="12332" ht="14.25">
      <c r="B12332" s="18" t="s">
        <v>1583</v>
      </c>
      <c r="C12332" s="18" t="s">
        <v>29575</v>
      </c>
      <c r="D12332" s="18" t="s">
        <v>112</v>
      </c>
      <c r="E12332" s="18" t="s">
        <v>46884</v>
      </c>
      <c r="F12332" s="18" t="str">
        <f>IFERROR(__XLUDF.DUMMYFUNCTION("PROPER(REGEXREPLACE(D400,""[^A-Za-z]+ "",""""))"),"Asro")</f>
        <v>Asro</v>
      </c>
      <c r="G12332" s="18" t="s">
        <v>46885</v>
      </c>
      <c r="H12332" s="18">
        <v>15</v>
      </c>
      <c r="I12332" s="18" t="s">
        <v>9239</v>
      </c>
      <c r="J12332" s="18" t="str">
        <f>IFERROR(__XLUDF.DUMMYFUNCTION("VLOOKUP(M400,IMPORTRANGE(""https://docs.google.com/spreadsheets/d/1opm6ZNvGZ7KditA9TuJwrZ25eFLfTNIkrNnY6mhV5Eg"",""list!A1:C115""),3,TRUE)"),"le secteur de la production alimentaire")</f>
        <v xml:space="preserve">le secteur de la production alimentaire</v>
      </c>
      <c r="K12332" s="5" t="s">
        <v>46886</v>
      </c>
      <c r="L12332" s="5" t="s">
        <v>46887</v>
      </c>
      <c r="M12332" s="18" t="s">
        <v>846</v>
      </c>
      <c r="N12332" s="18" t="s">
        <v>29</v>
      </c>
      <c r="O12332" s="18" t="s">
        <v>46888</v>
      </c>
      <c r="P12332" s="18" t="s">
        <v>2953</v>
      </c>
      <c r="Q12332" s="6"/>
      <c r="R12332" s="6"/>
      <c r="S12332" s="6"/>
      <c r="T12332" s="6"/>
      <c r="U12332" s="6"/>
      <c r="V12332" s="6"/>
      <c r="W12332" s="6"/>
      <c r="X12332" s="6"/>
    </row>
    <row r="12333" ht="14.25">
      <c r="B12333" s="18" t="s">
        <v>1583</v>
      </c>
      <c r="C12333" s="18" t="s">
        <v>15446</v>
      </c>
      <c r="D12333" s="18" t="s">
        <v>172</v>
      </c>
      <c r="E12333" s="18" t="s">
        <v>45673</v>
      </c>
      <c r="F12333" s="18" t="str">
        <f>IFERROR(__XLUDF.DUMMYFUNCTION("PROPER(REGEXREPLACE(D401,""[^A-Za-z]+ "",""""))"),"Le Toit Forezien")</f>
        <v xml:space="preserve">Le Toit Forezien</v>
      </c>
      <c r="G12333" s="18" t="s">
        <v>45674</v>
      </c>
      <c r="H12333" s="18">
        <v>34</v>
      </c>
      <c r="I12333" s="18" t="s">
        <v>9239</v>
      </c>
      <c r="J12333" s="18" t="str">
        <f>IFERROR(__XLUDF.DUMMYFUNCTION("VLOOKUP(M401,IMPORTRANGE(""https://docs.google.com/spreadsheets/d/1opm6ZNvGZ7KditA9TuJwrZ25eFLfTNIkrNnY6mhV5Eg"",""list!A1:C115""),3,TRUE)"),"le secteur de la production alimentaire")</f>
        <v xml:space="preserve">le secteur de la production alimentaire</v>
      </c>
      <c r="K12333" s="5" t="s">
        <v>45675</v>
      </c>
      <c r="L12333" s="5" t="s">
        <v>45676</v>
      </c>
      <c r="M12333" s="18" t="s">
        <v>831</v>
      </c>
      <c r="N12333" s="18" t="s">
        <v>29</v>
      </c>
      <c r="O12333" s="18" t="s">
        <v>45677</v>
      </c>
      <c r="P12333" s="18" t="s">
        <v>29</v>
      </c>
      <c r="Q12333" s="18" t="s">
        <v>45678</v>
      </c>
      <c r="R12333" s="6"/>
      <c r="S12333" s="6"/>
      <c r="T12333" s="6"/>
      <c r="U12333" s="6"/>
      <c r="V12333" s="6"/>
      <c r="W12333" s="6"/>
      <c r="X12333" s="6"/>
    </row>
    <row r="12334" ht="14.25">
      <c r="B12334" s="18" t="s">
        <v>1583</v>
      </c>
      <c r="C12334" s="18" t="s">
        <v>7847</v>
      </c>
      <c r="D12334" s="18" t="s">
        <v>112</v>
      </c>
      <c r="E12334" s="18" t="s">
        <v>48331</v>
      </c>
      <c r="F12334" s="18" t="str">
        <f>IFERROR(__XLUDF.DUMMYFUNCTION("PROPER(REGEXREPLACE(D402,""[^A-Za-z]+ "",""""))"),"Total Cable")</f>
        <v xml:space="preserve">Total Cable</v>
      </c>
      <c r="G12334" s="18" t="s">
        <v>48332</v>
      </c>
      <c r="H12334" s="18">
        <v>13</v>
      </c>
      <c r="I12334" s="18" t="s">
        <v>9239</v>
      </c>
      <c r="J12334" s="18" t="str">
        <f>IFERROR(__XLUDF.DUMMYFUNCTION("VLOOKUP(M402,IMPORTRANGE(""https://docs.google.com/spreadsheets/d/1opm6ZNvGZ7KditA9TuJwrZ25eFLfTNIkrNnY6mhV5Eg"",""list!A1:C115""),3,TRUE)"),"le secteur de la production alimentaire")</f>
        <v xml:space="preserve">le secteur de la production alimentaire</v>
      </c>
      <c r="K12334" s="5" t="s">
        <v>48333</v>
      </c>
      <c r="L12334" s="5" t="s">
        <v>48334</v>
      </c>
      <c r="M12334" s="18" t="s">
        <v>83</v>
      </c>
      <c r="N12334" s="18" t="s">
        <v>29</v>
      </c>
      <c r="O12334" s="18" t="s">
        <v>48335</v>
      </c>
      <c r="P12334" s="18" t="s">
        <v>29</v>
      </c>
      <c r="Q12334" s="18" t="s">
        <v>48336</v>
      </c>
      <c r="R12334" s="6"/>
      <c r="S12334" s="6"/>
      <c r="T12334" s="6"/>
      <c r="U12334" s="6"/>
      <c r="V12334" s="6"/>
      <c r="W12334" s="6"/>
      <c r="X12334" s="6"/>
    </row>
    <row r="12335" ht="14.25">
      <c r="B12335" s="18" t="s">
        <v>20</v>
      </c>
      <c r="C12335" s="18" t="s">
        <v>45398</v>
      </c>
      <c r="D12335" s="18" t="s">
        <v>460</v>
      </c>
      <c r="E12335" s="18" t="s">
        <v>45399</v>
      </c>
      <c r="F12335" s="18" t="str">
        <f>IFERROR(__XLUDF.DUMMYFUNCTION("PROPER(REGEXREPLACE(D403,""[^A-Za-z]+ "",""""))"),"Satp")</f>
        <v>Satp</v>
      </c>
      <c r="G12335" s="18" t="s">
        <v>45400</v>
      </c>
      <c r="H12335" s="18">
        <v>43</v>
      </c>
      <c r="I12335" s="18" t="s">
        <v>9239</v>
      </c>
      <c r="J12335" s="18" t="str">
        <f>IFERROR(__XLUDF.DUMMYFUNCTION("VLOOKUP(M403,IMPORTRANGE(""https://docs.google.com/spreadsheets/d/1opm6ZNvGZ7KditA9TuJwrZ25eFLfTNIkrNnY6mhV5Eg"",""list!A1:C115""),3,TRUE)"),"le secteur de la production alimentaire")</f>
        <v xml:space="preserve">le secteur de la production alimentaire</v>
      </c>
      <c r="K12335" s="5" t="s">
        <v>45401</v>
      </c>
      <c r="L12335" s="5" t="s">
        <v>45402</v>
      </c>
      <c r="M12335" s="18" t="s">
        <v>39</v>
      </c>
      <c r="N12335" s="18" t="s">
        <v>29</v>
      </c>
      <c r="O12335" s="18" t="s">
        <v>45403</v>
      </c>
      <c r="P12335" s="18" t="s">
        <v>29</v>
      </c>
      <c r="Q12335" s="18" t="s">
        <v>45404</v>
      </c>
      <c r="R12335" s="6"/>
      <c r="S12335" s="6"/>
      <c r="T12335" s="6"/>
      <c r="U12335" s="6"/>
      <c r="V12335" s="6"/>
      <c r="W12335" s="6"/>
      <c r="X12335" s="6"/>
    </row>
    <row r="12336" ht="14.25">
      <c r="B12336" s="18" t="s">
        <v>20</v>
      </c>
      <c r="C12336" s="18" t="s">
        <v>46872</v>
      </c>
      <c r="D12336" s="18" t="s">
        <v>112</v>
      </c>
      <c r="E12336" s="18" t="s">
        <v>46873</v>
      </c>
      <c r="F12336" s="18" t="str">
        <f>IFERROR(__XLUDF.DUMMYFUNCTION("PROPER(REGEXREPLACE(D404,""[^A-Za-z]+ "",""""))"),"Stio")</f>
        <v>Stio</v>
      </c>
      <c r="G12336" s="18" t="s">
        <v>46874</v>
      </c>
      <c r="H12336" s="18">
        <v>11</v>
      </c>
      <c r="I12336" s="18" t="s">
        <v>9239</v>
      </c>
      <c r="J12336" s="18" t="str">
        <f>IFERROR(__XLUDF.DUMMYFUNCTION("VLOOKUP(M404,IMPORTRANGE(""https://docs.google.com/spreadsheets/d/1opm6ZNvGZ7KditA9TuJwrZ25eFLfTNIkrNnY6mhV5Eg"",""list!A1:C115""),3,TRUE)"),"le secteur de la production alimentaire")</f>
        <v xml:space="preserve">le secteur de la production alimentaire</v>
      </c>
      <c r="K12336" s="5" t="s">
        <v>46875</v>
      </c>
      <c r="L12336" s="5" t="s">
        <v>46876</v>
      </c>
      <c r="M12336" s="6"/>
      <c r="N12336" s="18" t="s">
        <v>29</v>
      </c>
      <c r="O12336" s="18" t="s">
        <v>46877</v>
      </c>
      <c r="P12336" s="18" t="s">
        <v>29</v>
      </c>
      <c r="Q12336" s="18" t="s">
        <v>46873</v>
      </c>
      <c r="R12336" s="6"/>
      <c r="S12336" s="6"/>
      <c r="T12336" s="6"/>
      <c r="U12336" s="6"/>
      <c r="V12336" s="6"/>
      <c r="W12336" s="6"/>
      <c r="X12336" s="6"/>
    </row>
    <row r="12337" ht="14.25">
      <c r="B12337" s="18" t="s">
        <v>20</v>
      </c>
      <c r="C12337" s="18" t="s">
        <v>49698</v>
      </c>
      <c r="D12337" s="18" t="s">
        <v>172</v>
      </c>
      <c r="E12337" s="18" t="s">
        <v>46132</v>
      </c>
      <c r="F12337" s="18" t="str">
        <f>IFERROR(__XLUDF.DUMMYFUNCTION("PROPER(REGEXREPLACE(D405,""[^A-Za-z]+ "",""""))"),"Stepelec")</f>
        <v>Stepelec</v>
      </c>
      <c r="G12337" s="18" t="s">
        <v>49699</v>
      </c>
      <c r="H12337" s="18">
        <v>30</v>
      </c>
      <c r="I12337" s="18" t="s">
        <v>9239</v>
      </c>
      <c r="J12337" s="18" t="str">
        <f>IFERROR(__XLUDF.DUMMYFUNCTION("VLOOKUP(M405,IMPORTRANGE(""https://docs.google.com/spreadsheets/d/1opm6ZNvGZ7KditA9TuJwrZ25eFLfTNIkrNnY6mhV5Eg"",""list!A1:C115""),3,TRUE)"),"le secteur de la production alimentaire")</f>
        <v xml:space="preserve">le secteur de la production alimentaire</v>
      </c>
      <c r="K12337" s="5" t="s">
        <v>49700</v>
      </c>
      <c r="L12337" s="5" t="s">
        <v>46135</v>
      </c>
      <c r="M12337" s="18" t="s">
        <v>6954</v>
      </c>
      <c r="N12337" s="18" t="s">
        <v>29</v>
      </c>
      <c r="O12337" s="18" t="s">
        <v>46136</v>
      </c>
      <c r="P12337" s="18" t="s">
        <v>29</v>
      </c>
      <c r="Q12337" s="18" t="s">
        <v>46137</v>
      </c>
      <c r="R12337" s="6"/>
      <c r="S12337" s="6"/>
      <c r="T12337" s="6"/>
      <c r="U12337" s="6"/>
      <c r="V12337" s="6"/>
      <c r="W12337" s="6"/>
      <c r="X12337" s="6"/>
    </row>
    <row r="12338" ht="14.25">
      <c r="B12338" s="18" t="s">
        <v>20</v>
      </c>
      <c r="C12338" s="18" t="s">
        <v>51120</v>
      </c>
      <c r="D12338" s="18" t="s">
        <v>51121</v>
      </c>
      <c r="E12338" s="18" t="s">
        <v>51122</v>
      </c>
      <c r="F12338" s="18" t="str">
        <f>IFERROR(__XLUDF.DUMMYFUNCTION("PROPER(REGEXREPLACE(D406,""[^A-Za-z]+ "",""""))"),"Vpgreen Engineering")</f>
        <v xml:space="preserve">Vpgreen Engineering</v>
      </c>
      <c r="G12338" s="18" t="s">
        <v>51123</v>
      </c>
      <c r="H12338" s="18">
        <v>23</v>
      </c>
      <c r="I12338" s="18" t="s">
        <v>9239</v>
      </c>
      <c r="J12338" s="18" t="str">
        <f>IFERROR(__XLUDF.DUMMYFUNCTION("VLOOKUP(M406,IMPORTRANGE(""https://docs.google.com/spreadsheets/d/1opm6ZNvGZ7KditA9TuJwrZ25eFLfTNIkrNnY6mhV5Eg"",""list!A1:C115""),3,TRUE)"),"le secteur de la production alimentaire")</f>
        <v xml:space="preserve">le secteur de la production alimentaire</v>
      </c>
      <c r="K12338" s="5" t="s">
        <v>51124</v>
      </c>
      <c r="L12338" s="5" t="s">
        <v>51125</v>
      </c>
      <c r="M12338" s="18" t="s">
        <v>39</v>
      </c>
      <c r="N12338" s="18" t="s">
        <v>29</v>
      </c>
      <c r="O12338" s="18" t="s">
        <v>51126</v>
      </c>
      <c r="P12338" s="18" t="s">
        <v>29</v>
      </c>
      <c r="Q12338" s="18" t="s">
        <v>51127</v>
      </c>
      <c r="R12338" s="6"/>
      <c r="S12338" s="6"/>
      <c r="T12338" s="6"/>
      <c r="U12338" s="6"/>
      <c r="V12338" s="6"/>
      <c r="W12338" s="6"/>
      <c r="X12338" s="6"/>
    </row>
    <row r="12339" ht="14.25">
      <c r="B12339" s="18" t="s">
        <v>20</v>
      </c>
      <c r="C12339" s="18" t="s">
        <v>46610</v>
      </c>
      <c r="D12339" s="18" t="s">
        <v>112</v>
      </c>
      <c r="E12339" s="18" t="s">
        <v>46611</v>
      </c>
      <c r="F12339" s="18" t="str">
        <f>IFERROR(__XLUDF.DUMMYFUNCTION("PROPER(REGEXREPLACE(D407,""[^A-Za-z]+ "",""""))"),"Ecce")</f>
        <v>Ecce</v>
      </c>
      <c r="G12339" s="18" t="s">
        <v>46612</v>
      </c>
      <c r="H12339" s="18">
        <v>13</v>
      </c>
      <c r="I12339" s="18" t="s">
        <v>9239</v>
      </c>
      <c r="J12339" s="18" t="str">
        <f>IFERROR(__XLUDF.DUMMYFUNCTION("VLOOKUP(M407,IMPORTRANGE(""https://docs.google.com/spreadsheets/d/1opm6ZNvGZ7KditA9TuJwrZ25eFLfTNIkrNnY6mhV5Eg"",""list!A1:C115""),3,TRUE)"),"le secteur de la production alimentaire")</f>
        <v xml:space="preserve">le secteur de la production alimentaire</v>
      </c>
      <c r="K12339" s="5" t="s">
        <v>46613</v>
      </c>
      <c r="L12339" s="5" t="s">
        <v>46614</v>
      </c>
      <c r="M12339" s="18" t="s">
        <v>39</v>
      </c>
      <c r="N12339" s="18" t="s">
        <v>29</v>
      </c>
      <c r="O12339" s="18" t="s">
        <v>46615</v>
      </c>
      <c r="P12339" s="18" t="s">
        <v>9969</v>
      </c>
      <c r="Q12339" s="6"/>
      <c r="R12339" s="6"/>
      <c r="S12339" s="6"/>
      <c r="T12339" s="6"/>
      <c r="U12339" s="6"/>
      <c r="V12339" s="6"/>
      <c r="W12339" s="6"/>
      <c r="X12339" s="6"/>
    </row>
    <row r="12340" ht="14.25">
      <c r="B12340" s="18" t="s">
        <v>1844</v>
      </c>
      <c r="C12340" s="18" t="s">
        <v>17453</v>
      </c>
      <c r="D12340" s="18" t="s">
        <v>487</v>
      </c>
      <c r="E12340" s="18" t="s">
        <v>48009</v>
      </c>
      <c r="F12340" s="18" t="str">
        <f>IFERROR(__XLUDF.DUMMYFUNCTION("PROPER(REGEXREPLACE(D408,""[^A-Za-z]+ "",""""))"),"Resolution France")</f>
        <v xml:space="preserve">Resolution France</v>
      </c>
      <c r="G12340" s="18" t="s">
        <v>48010</v>
      </c>
      <c r="H12340" s="18">
        <v>23</v>
      </c>
      <c r="I12340" s="18" t="s">
        <v>9239</v>
      </c>
      <c r="J12340" s="18" t="str">
        <f>IFERROR(__XLUDF.DUMMYFUNCTION("VLOOKUP(M408,IMPORTRANGE(""https://docs.google.com/spreadsheets/d/1opm6ZNvGZ7KditA9TuJwrZ25eFLfTNIkrNnY6mhV5Eg"",""list!A1:C115""),3,TRUE)"),"le secteur de la production alimentaire")</f>
        <v xml:space="preserve">le secteur de la production alimentaire</v>
      </c>
      <c r="K12340" s="5" t="s">
        <v>48011</v>
      </c>
      <c r="L12340" s="5" t="s">
        <v>48012</v>
      </c>
      <c r="M12340" s="18" t="s">
        <v>47217</v>
      </c>
      <c r="N12340" s="18" t="s">
        <v>29</v>
      </c>
      <c r="O12340" s="18" t="s">
        <v>48013</v>
      </c>
      <c r="P12340" s="18" t="s">
        <v>29</v>
      </c>
      <c r="Q12340" s="6"/>
      <c r="R12340" s="6"/>
      <c r="S12340" s="6"/>
      <c r="T12340" s="6"/>
      <c r="U12340" s="6"/>
      <c r="V12340" s="6"/>
      <c r="W12340" s="6"/>
      <c r="X12340" s="6"/>
    </row>
    <row r="12341" ht="14.25">
      <c r="B12341" s="18" t="s">
        <v>1965</v>
      </c>
      <c r="C12341" s="18" t="s">
        <v>45945</v>
      </c>
      <c r="D12341" s="18" t="s">
        <v>172</v>
      </c>
      <c r="E12341" s="18" t="s">
        <v>45946</v>
      </c>
      <c r="F12341" s="18" t="str">
        <f>IFERROR(__XLUDF.DUMMYFUNCTION("PROPER(REGEXREPLACE(D409,""[^A-Za-z]+ "",""""))"),"Gifetal Aluminium")</f>
        <v xml:space="preserve">Gifetal Aluminium</v>
      </c>
      <c r="G12341" s="18" t="s">
        <v>45947</v>
      </c>
      <c r="H12341" s="18">
        <v>26</v>
      </c>
      <c r="I12341" s="18" t="s">
        <v>9239</v>
      </c>
      <c r="J12341" s="18" t="str">
        <f>IFERROR(__XLUDF.DUMMYFUNCTION("VLOOKUP(M409,IMPORTRANGE(""https://docs.google.com/spreadsheets/d/1opm6ZNvGZ7KditA9TuJwrZ25eFLfTNIkrNnY6mhV5Eg"",""list!A1:C115""),3,TRUE)"),"le secteur de la production alimentaire")</f>
        <v xml:space="preserve">le secteur de la production alimentaire</v>
      </c>
      <c r="K12341" s="5" t="s">
        <v>45948</v>
      </c>
      <c r="L12341" s="5" t="s">
        <v>45949</v>
      </c>
      <c r="M12341" s="18" t="s">
        <v>185</v>
      </c>
      <c r="N12341" s="18" t="s">
        <v>29</v>
      </c>
      <c r="O12341" s="18" t="s">
        <v>45950</v>
      </c>
      <c r="P12341" s="18" t="s">
        <v>29</v>
      </c>
      <c r="Q12341" s="18" t="s">
        <v>45951</v>
      </c>
      <c r="R12341" s="6"/>
      <c r="S12341" s="6"/>
      <c r="T12341" s="6"/>
      <c r="U12341" s="6"/>
      <c r="V12341" s="6"/>
      <c r="W12341" s="6"/>
      <c r="X12341" s="6"/>
    </row>
    <row r="12342" ht="14.25">
      <c r="B12342" s="18" t="s">
        <v>1732</v>
      </c>
      <c r="C12342" s="18" t="s">
        <v>47608</v>
      </c>
      <c r="D12342" s="18" t="s">
        <v>112</v>
      </c>
      <c r="E12342" s="18" t="s">
        <v>47609</v>
      </c>
      <c r="F12342" s="18" t="str">
        <f>IFERROR(__XLUDF.DUMMYFUNCTION("PROPER(REGEXREPLACE(D410,""[^A-Za-z]+ "",""""))"),"Boitelfils")</f>
        <v>Boitelfils</v>
      </c>
      <c r="G12342" s="18" t="s">
        <v>47610</v>
      </c>
      <c r="H12342" s="18">
        <v>12</v>
      </c>
      <c r="I12342" s="18" t="s">
        <v>9239</v>
      </c>
      <c r="J12342" s="18" t="str">
        <f>IFERROR(__XLUDF.DUMMYFUNCTION("VLOOKUP(M410,IMPORTRANGE(""https://docs.google.com/spreadsheets/d/1opm6ZNvGZ7KditA9TuJwrZ25eFLfTNIkrNnY6mhV5Eg"",""list!A1:C115""),3,TRUE)"),"le secteur de la production alimentaire")</f>
        <v xml:space="preserve">le secteur de la production alimentaire</v>
      </c>
      <c r="K12342" s="5" t="s">
        <v>47611</v>
      </c>
      <c r="L12342" s="5" t="s">
        <v>47612</v>
      </c>
      <c r="M12342" s="6"/>
      <c r="N12342" s="18" t="s">
        <v>29</v>
      </c>
      <c r="O12342" s="18" t="s">
        <v>47613</v>
      </c>
      <c r="P12342" s="18" t="s">
        <v>29</v>
      </c>
      <c r="Q12342" s="18" t="s">
        <v>47614</v>
      </c>
      <c r="R12342" s="6"/>
      <c r="S12342" s="6"/>
      <c r="T12342" s="6"/>
      <c r="U12342" s="6"/>
      <c r="V12342" s="6"/>
      <c r="W12342" s="6"/>
      <c r="X12342" s="6"/>
    </row>
    <row r="12343" ht="14.25">
      <c r="B12343" s="18" t="s">
        <v>1732</v>
      </c>
      <c r="C12343" s="18" t="s">
        <v>21731</v>
      </c>
      <c r="D12343" s="18" t="s">
        <v>172</v>
      </c>
      <c r="E12343" s="18" t="s">
        <v>10969</v>
      </c>
      <c r="F12343" s="18" t="str">
        <f>IFERROR(__XLUDF.DUMMYFUNCTION("PROPER(REGEXREPLACE(D411,""[^A-Za-z]+ "",""""))"),"Cybel Extension")</f>
        <v xml:space="preserve">Cybel Extension</v>
      </c>
      <c r="G12343" s="18" t="s">
        <v>48723</v>
      </c>
      <c r="H12343" s="18">
        <v>41</v>
      </c>
      <c r="I12343" s="18" t="s">
        <v>9239</v>
      </c>
      <c r="J12343" s="18" t="str">
        <f>IFERROR(__XLUDF.DUMMYFUNCTION("VLOOKUP(M411,IMPORTRANGE(""https://docs.google.com/spreadsheets/d/1opm6ZNvGZ7KditA9TuJwrZ25eFLfTNIkrNnY6mhV5Eg"",""list!A1:C115""),3,TRUE)"),"le secteur de la production alimentaire")</f>
        <v xml:space="preserve">le secteur de la production alimentaire</v>
      </c>
      <c r="K12343" s="5" t="s">
        <v>48724</v>
      </c>
      <c r="L12343" s="5" t="s">
        <v>48725</v>
      </c>
      <c r="M12343" s="18" t="s">
        <v>1826</v>
      </c>
      <c r="N12343" s="18" t="s">
        <v>29</v>
      </c>
      <c r="O12343" s="18" t="s">
        <v>48726</v>
      </c>
      <c r="P12343" s="18" t="s">
        <v>29</v>
      </c>
      <c r="Q12343" s="18" t="s">
        <v>10975</v>
      </c>
      <c r="R12343" s="6"/>
      <c r="S12343" s="6"/>
      <c r="T12343" s="6"/>
      <c r="U12343" s="6"/>
      <c r="V12343" s="6"/>
      <c r="W12343" s="6"/>
      <c r="X12343" s="6"/>
    </row>
    <row r="12344" ht="14.25">
      <c r="B12344" s="18" t="s">
        <v>178</v>
      </c>
      <c r="C12344" s="18" t="s">
        <v>12923</v>
      </c>
      <c r="D12344" s="18" t="s">
        <v>47336</v>
      </c>
      <c r="E12344" s="18" t="s">
        <v>12925</v>
      </c>
      <c r="F12344" s="18" t="str">
        <f>IFERROR(__XLUDF.DUMMYFUNCTION("PROPER(REGEXREPLACE(D412,""[^A-Za-z]+ "",""""))"),"Groupe Amourdedieu")</f>
        <v xml:space="preserve">Groupe Amourdedieu</v>
      </c>
      <c r="G12344" s="18" t="s">
        <v>47337</v>
      </c>
      <c r="H12344" s="18">
        <v>28</v>
      </c>
      <c r="I12344" s="18" t="s">
        <v>9239</v>
      </c>
      <c r="J12344" s="18" t="str">
        <f>IFERROR(__XLUDF.DUMMYFUNCTION("VLOOKUP(M412,IMPORTRANGE(""https://docs.google.com/spreadsheets/d/1opm6ZNvGZ7KditA9TuJwrZ25eFLfTNIkrNnY6mhV5Eg"",""list!A1:C115""),3,TRUE)"),"le secteur de la production alimentaire")</f>
        <v xml:space="preserve">le secteur de la production alimentaire</v>
      </c>
      <c r="K12344" s="5" t="s">
        <v>47338</v>
      </c>
      <c r="L12344" s="5" t="s">
        <v>47339</v>
      </c>
      <c r="M12344" s="18" t="s">
        <v>1015</v>
      </c>
      <c r="N12344" s="18" t="s">
        <v>29</v>
      </c>
      <c r="O12344" s="6"/>
      <c r="P12344" s="6"/>
      <c r="Q12344" s="18" t="s">
        <v>12930</v>
      </c>
      <c r="R12344" s="6"/>
      <c r="S12344" s="6"/>
      <c r="T12344" s="6"/>
      <c r="U12344" s="6"/>
      <c r="V12344" s="6"/>
      <c r="W12344" s="6"/>
      <c r="X12344" s="6"/>
    </row>
    <row r="12345" ht="14.25">
      <c r="B12345" s="18" t="s">
        <v>1732</v>
      </c>
      <c r="C12345" s="18" t="s">
        <v>50874</v>
      </c>
      <c r="D12345" s="18" t="s">
        <v>172</v>
      </c>
      <c r="E12345" s="18" t="s">
        <v>50875</v>
      </c>
      <c r="F12345" s="18" t="str">
        <f>IFERROR(__XLUDF.DUMMYFUNCTION("PROPER(REGEXREPLACE(D413,""[^A-Za-z]+ "",""""))"),"Er2C")</f>
        <v>Er2C</v>
      </c>
      <c r="G12345" s="18" t="s">
        <v>50876</v>
      </c>
      <c r="H12345" s="18">
        <v>25</v>
      </c>
      <c r="I12345" s="18" t="s">
        <v>9239</v>
      </c>
      <c r="J12345" s="18" t="str">
        <f>IFERROR(__XLUDF.DUMMYFUNCTION("VLOOKUP(M413,IMPORTRANGE(""https://docs.google.com/spreadsheets/d/1opm6ZNvGZ7KditA9TuJwrZ25eFLfTNIkrNnY6mhV5Eg"",""list!A1:C115""),3,TRUE)"),"le secteur de la production alimentaire")</f>
        <v xml:space="preserve">le secteur de la production alimentaire</v>
      </c>
      <c r="K12345" s="5" t="s">
        <v>50877</v>
      </c>
      <c r="L12345" s="5" t="s">
        <v>50878</v>
      </c>
      <c r="M12345" s="18" t="s">
        <v>39</v>
      </c>
      <c r="N12345" s="18" t="s">
        <v>29</v>
      </c>
      <c r="O12345" s="18" t="s">
        <v>50879</v>
      </c>
      <c r="P12345" s="18" t="s">
        <v>29</v>
      </c>
      <c r="Q12345" s="6"/>
      <c r="R12345" s="6"/>
      <c r="S12345" s="6"/>
      <c r="T12345" s="6"/>
      <c r="U12345" s="6"/>
      <c r="V12345" s="6"/>
      <c r="W12345" s="6"/>
      <c r="X12345" s="6"/>
    </row>
    <row r="12346" ht="14.25">
      <c r="B12346" s="18" t="s">
        <v>3752</v>
      </c>
      <c r="C12346" s="18" t="s">
        <v>27361</v>
      </c>
      <c r="D12346" s="18" t="s">
        <v>50024</v>
      </c>
      <c r="E12346" s="18" t="s">
        <v>9235</v>
      </c>
      <c r="F12346" s="18" t="str">
        <f>IFERROR(__XLUDF.DUMMYFUNCTION("PROPER(REGEXREPLACE(D414,""[^A-Za-z]+ "",""""))"),"Bcm")</f>
        <v>Bcm</v>
      </c>
      <c r="G12346" s="18" t="s">
        <v>50025</v>
      </c>
      <c r="H12346" s="18">
        <v>25</v>
      </c>
      <c r="I12346" s="18" t="s">
        <v>9239</v>
      </c>
      <c r="J12346" s="18" t="str">
        <f>IFERROR(__XLUDF.DUMMYFUNCTION("VLOOKUP(M414,IMPORTRANGE(""https://docs.google.com/spreadsheets/d/1opm6ZNvGZ7KditA9TuJwrZ25eFLfTNIkrNnY6mhV5Eg"",""list!A1:C115""),3,TRUE)"),"le secteur de la production alimentaire")</f>
        <v xml:space="preserve">le secteur de la production alimentaire</v>
      </c>
      <c r="K12346" s="5" t="s">
        <v>50026</v>
      </c>
      <c r="L12346" s="5" t="s">
        <v>50027</v>
      </c>
      <c r="M12346" s="18" t="s">
        <v>9237</v>
      </c>
      <c r="N12346" s="18" t="s">
        <v>29</v>
      </c>
      <c r="O12346" s="18" t="s">
        <v>50028</v>
      </c>
      <c r="P12346" s="18" t="s">
        <v>29</v>
      </c>
      <c r="Q12346" s="18" t="s">
        <v>9243</v>
      </c>
      <c r="R12346" s="6"/>
      <c r="S12346" s="6"/>
      <c r="T12346" s="6"/>
      <c r="U12346" s="6"/>
      <c r="V12346" s="6"/>
      <c r="W12346" s="6"/>
      <c r="X12346" s="6"/>
    </row>
    <row r="12347" ht="14.25">
      <c r="B12347" s="18" t="s">
        <v>46740</v>
      </c>
      <c r="C12347" s="18" t="s">
        <v>46741</v>
      </c>
      <c r="D12347" s="18" t="s">
        <v>172</v>
      </c>
      <c r="E12347" s="18" t="s">
        <v>46742</v>
      </c>
      <c r="F12347" s="18" t="str">
        <f>IFERROR(__XLUDF.DUMMYFUNCTION("PROPER(REGEXREPLACE(D415,""[^A-Za-z]+ "",""""))"),"Sybat")</f>
        <v>Sybat</v>
      </c>
      <c r="G12347" s="18" t="s">
        <v>46743</v>
      </c>
      <c r="H12347" s="18">
        <v>19</v>
      </c>
      <c r="I12347" s="18" t="s">
        <v>9239</v>
      </c>
      <c r="J12347" s="18" t="str">
        <f>IFERROR(__XLUDF.DUMMYFUNCTION("VLOOKUP(M415,IMPORTRANGE(""https://docs.google.com/spreadsheets/d/1opm6ZNvGZ7KditA9TuJwrZ25eFLfTNIkrNnY6mhV5Eg"",""list!A1:C115""),3,TRUE)"),"le secteur de la production alimentaire")</f>
        <v xml:space="preserve">le secteur de la production alimentaire</v>
      </c>
      <c r="K12347" s="5" t="s">
        <v>46744</v>
      </c>
      <c r="L12347" s="5" t="s">
        <v>46745</v>
      </c>
      <c r="M12347" s="18" t="s">
        <v>39</v>
      </c>
      <c r="N12347" s="18" t="s">
        <v>29</v>
      </c>
      <c r="O12347" s="18" t="s">
        <v>46746</v>
      </c>
      <c r="P12347" s="18" t="s">
        <v>29</v>
      </c>
      <c r="Q12347" s="6"/>
      <c r="R12347" s="6"/>
      <c r="S12347" s="6"/>
      <c r="T12347" s="6"/>
      <c r="U12347" s="6"/>
      <c r="V12347" s="6"/>
      <c r="W12347" s="6"/>
      <c r="X12347" s="6"/>
    </row>
    <row r="12348" ht="14.25">
      <c r="B12348" s="18" t="s">
        <v>785</v>
      </c>
      <c r="C12348" s="18" t="s">
        <v>52883</v>
      </c>
      <c r="D12348" s="18" t="s">
        <v>1130</v>
      </c>
      <c r="E12348" s="18" t="s">
        <v>47559</v>
      </c>
      <c r="F12348" s="18" t="str">
        <f>IFERROR(__XLUDF.DUMMYFUNCTION("PROPER(REGEXREPLACE(D416,""[^A-Za-z]+ "",""""))"),"Comely")</f>
        <v>Comely</v>
      </c>
      <c r="G12348" s="18" t="s">
        <v>52884</v>
      </c>
      <c r="H12348" s="18">
        <v>29</v>
      </c>
      <c r="I12348" s="18" t="s">
        <v>9239</v>
      </c>
      <c r="J12348" s="18" t="str">
        <f>IFERROR(__XLUDF.DUMMYFUNCTION("VLOOKUP(M416,IMPORTRANGE(""https://docs.google.com/spreadsheets/d/1opm6ZNvGZ7KditA9TuJwrZ25eFLfTNIkrNnY6mhV5Eg"",""list!A1:C115""),3,TRUE)"),"le secteur de la production alimentaire")</f>
        <v xml:space="preserve">le secteur de la production alimentaire</v>
      </c>
      <c r="K12348" s="5" t="s">
        <v>52885</v>
      </c>
      <c r="L12348" s="5" t="s">
        <v>47562</v>
      </c>
      <c r="M12348" s="6"/>
      <c r="N12348" s="18" t="s">
        <v>29</v>
      </c>
      <c r="O12348" s="18" t="s">
        <v>47563</v>
      </c>
      <c r="P12348" s="18" t="s">
        <v>29</v>
      </c>
      <c r="Q12348" s="6"/>
      <c r="R12348" s="6"/>
      <c r="S12348" s="6"/>
      <c r="T12348" s="6"/>
      <c r="U12348" s="6"/>
      <c r="V12348" s="6"/>
      <c r="W12348" s="6"/>
      <c r="X12348" s="6"/>
    </row>
    <row r="12349" ht="14.25">
      <c r="B12349" s="18" t="s">
        <v>178</v>
      </c>
      <c r="C12349" s="18" t="s">
        <v>50454</v>
      </c>
      <c r="D12349" s="18" t="s">
        <v>172</v>
      </c>
      <c r="E12349" s="18" t="s">
        <v>50455</v>
      </c>
      <c r="F12349" s="18" t="str">
        <f>IFERROR(__XLUDF.DUMMYFUNCTION("PROPER(REGEXREPLACE(D417,""[^A-Za-z]+ "",""""))"),"Launet Construction")</f>
        <v xml:space="preserve">Launet Construction</v>
      </c>
      <c r="G12349" s="18" t="s">
        <v>50456</v>
      </c>
      <c r="H12349" s="18">
        <v>49</v>
      </c>
      <c r="I12349" s="18" t="s">
        <v>9239</v>
      </c>
      <c r="J12349" s="18" t="str">
        <f>IFERROR(__XLUDF.DUMMYFUNCTION("VLOOKUP(M417,IMPORTRANGE(""https://docs.google.com/spreadsheets/d/1opm6ZNvGZ7KditA9TuJwrZ25eFLfTNIkrNnY6mhV5Eg"",""list!A1:C115""),3,TRUE)"),"le secteur de la production alimentaire")</f>
        <v xml:space="preserve">le secteur de la production alimentaire</v>
      </c>
      <c r="K12349" s="5" t="s">
        <v>50457</v>
      </c>
      <c r="L12349" s="5" t="s">
        <v>50458</v>
      </c>
      <c r="M12349" s="6"/>
      <c r="N12349" s="18" t="s">
        <v>29</v>
      </c>
      <c r="O12349" s="18" t="s">
        <v>50459</v>
      </c>
      <c r="P12349" s="18" t="s">
        <v>29</v>
      </c>
      <c r="Q12349" s="6"/>
      <c r="R12349" s="6"/>
      <c r="S12349" s="6"/>
      <c r="T12349" s="6"/>
      <c r="U12349" s="6"/>
      <c r="V12349" s="6"/>
      <c r="W12349" s="6"/>
      <c r="X12349" s="6"/>
    </row>
    <row r="12350" ht="14.25">
      <c r="B12350" s="18" t="s">
        <v>3752</v>
      </c>
      <c r="C12350" s="18" t="s">
        <v>51615</v>
      </c>
      <c r="D12350" s="18" t="s">
        <v>172</v>
      </c>
      <c r="E12350" s="18" t="s">
        <v>48302</v>
      </c>
      <c r="F12350" s="18" t="str">
        <f>IFERROR(__XLUDF.DUMMYFUNCTION("PROPER(REGEXREPLACE(D418,""[^A-Za-z]+ "",""""))"),"Metiista")</f>
        <v>Metiista</v>
      </c>
      <c r="G12350" s="18" t="s">
        <v>51616</v>
      </c>
      <c r="H12350" s="18">
        <v>12</v>
      </c>
      <c r="I12350" s="18" t="s">
        <v>9239</v>
      </c>
      <c r="J12350" s="18" t="str">
        <f>IFERROR(__XLUDF.DUMMYFUNCTION("VLOOKUP(M418,IMPORTRANGE(""https://docs.google.com/spreadsheets/d/1opm6ZNvGZ7KditA9TuJwrZ25eFLfTNIkrNnY6mhV5Eg"",""list!A1:C115""),3,TRUE)"),"le secteur de la production alimentaire")</f>
        <v xml:space="preserve">le secteur de la production alimentaire</v>
      </c>
      <c r="K12350" s="5" t="s">
        <v>51617</v>
      </c>
      <c r="L12350" s="5" t="s">
        <v>48305</v>
      </c>
      <c r="M12350" s="18" t="s">
        <v>185</v>
      </c>
      <c r="N12350" s="18" t="s">
        <v>29</v>
      </c>
      <c r="O12350" s="18" t="s">
        <v>48306</v>
      </c>
      <c r="P12350" s="18" t="s">
        <v>29</v>
      </c>
      <c r="Q12350" s="18" t="s">
        <v>48307</v>
      </c>
      <c r="R12350" s="6"/>
      <c r="S12350" s="6"/>
      <c r="T12350" s="6"/>
      <c r="U12350" s="6"/>
      <c r="V12350" s="6"/>
      <c r="W12350" s="6"/>
      <c r="X12350" s="6"/>
    </row>
    <row r="12351" ht="14.25">
      <c r="B12351" s="18" t="s">
        <v>53056</v>
      </c>
      <c r="C12351" s="18" t="s">
        <v>53057</v>
      </c>
      <c r="D12351" s="18" t="s">
        <v>112</v>
      </c>
      <c r="E12351" s="18" t="s">
        <v>53058</v>
      </c>
      <c r="F12351" s="18" t="str">
        <f>IFERROR(__XLUDF.DUMMYFUNCTION("PROPER(REGEXREPLACE(D419,""[^A-Za-z]+ "",""""))"),"Actium Groupe")</f>
        <v xml:space="preserve">Actium Groupe</v>
      </c>
      <c r="G12351" s="18" t="s">
        <v>53059</v>
      </c>
      <c r="H12351" s="18">
        <v>26</v>
      </c>
      <c r="I12351" s="18" t="s">
        <v>9239</v>
      </c>
      <c r="J12351" s="18" t="str">
        <f>IFERROR(__XLUDF.DUMMYFUNCTION("VLOOKUP(M419,IMPORTRANGE(""https://docs.google.com/spreadsheets/d/1opm6ZNvGZ7KditA9TuJwrZ25eFLfTNIkrNnY6mhV5Eg"",""list!A1:C115""),3,TRUE)"),"le secteur de la production alimentaire")</f>
        <v xml:space="preserve">le secteur de la production alimentaire</v>
      </c>
      <c r="K12351" s="5" t="s">
        <v>53060</v>
      </c>
      <c r="L12351" s="5" t="s">
        <v>53061</v>
      </c>
      <c r="M12351" s="18" t="s">
        <v>5586</v>
      </c>
      <c r="N12351" s="18" t="s">
        <v>29</v>
      </c>
      <c r="O12351" s="18" t="s">
        <v>53062</v>
      </c>
      <c r="P12351" s="18" t="s">
        <v>29</v>
      </c>
      <c r="Q12351" s="18" t="s">
        <v>53063</v>
      </c>
      <c r="R12351" s="6"/>
      <c r="S12351" s="6"/>
      <c r="T12351" s="6"/>
      <c r="U12351" s="6"/>
      <c r="V12351" s="6"/>
      <c r="W12351" s="6"/>
      <c r="X12351" s="6"/>
    </row>
    <row r="12352" ht="14.25">
      <c r="B12352" s="18" t="s">
        <v>2419</v>
      </c>
      <c r="C12352" s="18" t="s">
        <v>279</v>
      </c>
      <c r="D12352" s="18" t="s">
        <v>112</v>
      </c>
      <c r="E12352" s="18" t="s">
        <v>50037</v>
      </c>
      <c r="F12352" s="18" t="str">
        <f>IFERROR(__XLUDF.DUMMYFUNCTION("PROPER(REGEXREPLACE(D420,""[^A-Za-z]+ "",""""))"),"Ad2L")</f>
        <v>Ad2L</v>
      </c>
      <c r="G12352" s="18" t="s">
        <v>50038</v>
      </c>
      <c r="H12352" s="18">
        <v>20</v>
      </c>
      <c r="I12352" s="18" t="s">
        <v>9239</v>
      </c>
      <c r="J12352" s="18" t="str">
        <f>IFERROR(__XLUDF.DUMMYFUNCTION("VLOOKUP(M420,IMPORTRANGE(""https://docs.google.com/spreadsheets/d/1opm6ZNvGZ7KditA9TuJwrZ25eFLfTNIkrNnY6mhV5Eg"",""list!A1:C115""),3,TRUE)"),"le secteur de la production alimentaire")</f>
        <v xml:space="preserve">le secteur de la production alimentaire</v>
      </c>
      <c r="K12352" s="5" t="s">
        <v>50039</v>
      </c>
      <c r="L12352" s="5" t="s">
        <v>50040</v>
      </c>
      <c r="M12352" s="18" t="s">
        <v>3898</v>
      </c>
      <c r="N12352" s="18" t="s">
        <v>29</v>
      </c>
      <c r="O12352" s="18" t="s">
        <v>50041</v>
      </c>
      <c r="P12352" s="18" t="s">
        <v>29</v>
      </c>
      <c r="Q12352" s="18" t="s">
        <v>50042</v>
      </c>
      <c r="R12352" s="6"/>
      <c r="S12352" s="6"/>
      <c r="T12352" s="6"/>
      <c r="U12352" s="6"/>
      <c r="V12352" s="6"/>
      <c r="W12352" s="6"/>
      <c r="X12352" s="6"/>
    </row>
    <row r="12353" ht="14.25">
      <c r="B12353" s="18" t="s">
        <v>2419</v>
      </c>
      <c r="C12353" s="18" t="s">
        <v>49982</v>
      </c>
      <c r="D12353" s="18" t="s">
        <v>172</v>
      </c>
      <c r="E12353" s="18" t="s">
        <v>49983</v>
      </c>
      <c r="F12353" s="18" t="str">
        <f>IFERROR(__XLUDF.DUMMYFUNCTION("PROPER(REGEXREPLACE(D421,""[^A-Za-z]+ "",""""))"),"Norba")</f>
        <v>Norba</v>
      </c>
      <c r="G12353" s="18" t="s">
        <v>49984</v>
      </c>
      <c r="H12353" s="18">
        <v>40</v>
      </c>
      <c r="I12353" s="18" t="s">
        <v>9239</v>
      </c>
      <c r="J12353" s="18" t="str">
        <f>IFERROR(__XLUDF.DUMMYFUNCTION("VLOOKUP(M421,IMPORTRANGE(""https://docs.google.com/spreadsheets/d/1opm6ZNvGZ7KditA9TuJwrZ25eFLfTNIkrNnY6mhV5Eg"",""list!A1:C115""),3,TRUE)"),"le secteur de la production alimentaire")</f>
        <v xml:space="preserve">le secteur de la production alimentaire</v>
      </c>
      <c r="K12353" s="5" t="s">
        <v>49985</v>
      </c>
      <c r="L12353" s="5" t="s">
        <v>49986</v>
      </c>
      <c r="M12353" s="18" t="s">
        <v>1507</v>
      </c>
      <c r="N12353" s="18" t="s">
        <v>29</v>
      </c>
      <c r="O12353" s="18" t="s">
        <v>49987</v>
      </c>
      <c r="P12353" s="18" t="s">
        <v>1938</v>
      </c>
      <c r="Q12353" s="6"/>
      <c r="R12353" s="6"/>
      <c r="S12353" s="6"/>
      <c r="T12353" s="6"/>
      <c r="U12353" s="6"/>
      <c r="V12353" s="6"/>
      <c r="W12353" s="6"/>
      <c r="X12353" s="6"/>
    </row>
    <row r="12354" ht="14.25">
      <c r="B12354" s="18" t="s">
        <v>8045</v>
      </c>
      <c r="C12354" s="18" t="s">
        <v>52632</v>
      </c>
      <c r="D12354" s="18" t="s">
        <v>112</v>
      </c>
      <c r="E12354" s="18" t="s">
        <v>52633</v>
      </c>
      <c r="F12354" s="18" t="str">
        <f>IFERROR(__XLUDF.DUMMYFUNCTION("PROPER(REGEXREPLACE(D422,""[^A-Za-z]+ "",""""))"),"Sas Botrel")</f>
        <v xml:space="preserve">Sas Botrel</v>
      </c>
      <c r="G12354" s="18" t="s">
        <v>52634</v>
      </c>
      <c r="H12354" s="18">
        <v>19</v>
      </c>
      <c r="I12354" s="18" t="s">
        <v>9239</v>
      </c>
      <c r="J12354" s="18" t="str">
        <f>IFERROR(__XLUDF.DUMMYFUNCTION("VLOOKUP(M422,IMPORTRANGE(""https://docs.google.com/spreadsheets/d/1opm6ZNvGZ7KditA9TuJwrZ25eFLfTNIkrNnY6mhV5Eg"",""list!A1:C115""),3,TRUE)"),"le secteur de la production alimentaire")</f>
        <v xml:space="preserve">le secteur de la production alimentaire</v>
      </c>
      <c r="K12354" s="5" t="s">
        <v>52635</v>
      </c>
      <c r="L12354" s="5" t="s">
        <v>52636</v>
      </c>
      <c r="M12354" s="18" t="s">
        <v>52637</v>
      </c>
      <c r="N12354" s="18" t="s">
        <v>29</v>
      </c>
      <c r="O12354" s="18" t="s">
        <v>52638</v>
      </c>
      <c r="P12354" s="18" t="s">
        <v>29</v>
      </c>
      <c r="Q12354" s="18" t="s">
        <v>52639</v>
      </c>
      <c r="R12354" s="6"/>
      <c r="S12354" s="6"/>
      <c r="T12354" s="6"/>
      <c r="U12354" s="6"/>
      <c r="V12354" s="6"/>
      <c r="W12354" s="6"/>
      <c r="X12354" s="6"/>
    </row>
    <row r="12355" ht="14.25">
      <c r="B12355" s="18" t="s">
        <v>2652</v>
      </c>
      <c r="C12355" s="18" t="s">
        <v>2462</v>
      </c>
      <c r="D12355" s="18" t="s">
        <v>426</v>
      </c>
      <c r="E12355" s="18" t="s">
        <v>50204</v>
      </c>
      <c r="F12355" s="18" t="str">
        <f>IFERROR(__XLUDF.DUMMYFUNCTION("PROPER(REGEXREPLACE(D423,""[^A-Za-z]+ "",""""))"),"J&amp;P Facilities")</f>
        <v xml:space="preserve">J&amp;P Facilities</v>
      </c>
      <c r="G12355" s="18" t="s">
        <v>50205</v>
      </c>
      <c r="H12355" s="18">
        <v>31</v>
      </c>
      <c r="I12355" s="18" t="s">
        <v>9239</v>
      </c>
      <c r="J12355" s="18" t="str">
        <f>IFERROR(__XLUDF.DUMMYFUNCTION("VLOOKUP(M423,IMPORTRANGE(""https://docs.google.com/spreadsheets/d/1opm6ZNvGZ7KditA9TuJwrZ25eFLfTNIkrNnY6mhV5Eg"",""list!A1:C115""),3,TRUE)"),"le secteur de la production alimentaire")</f>
        <v xml:space="preserve">le secteur de la production alimentaire</v>
      </c>
      <c r="K12355" s="5" t="s">
        <v>50206</v>
      </c>
      <c r="L12355" s="5" t="s">
        <v>50207</v>
      </c>
      <c r="M12355" s="18" t="s">
        <v>39</v>
      </c>
      <c r="N12355" s="18" t="s">
        <v>29</v>
      </c>
      <c r="O12355" s="18" t="s">
        <v>50208</v>
      </c>
      <c r="P12355" s="18" t="s">
        <v>29</v>
      </c>
      <c r="Q12355" s="18" t="s">
        <v>50209</v>
      </c>
      <c r="R12355" s="6"/>
      <c r="S12355" s="6"/>
      <c r="T12355" s="6"/>
      <c r="U12355" s="6"/>
      <c r="V12355" s="6"/>
      <c r="W12355" s="6"/>
      <c r="X12355" s="6"/>
    </row>
    <row r="12356" ht="14.25">
      <c r="B12356" s="18" t="s">
        <v>55908</v>
      </c>
      <c r="C12356" s="18" t="s">
        <v>55909</v>
      </c>
      <c r="D12356" s="18" t="s">
        <v>55910</v>
      </c>
      <c r="E12356" s="18" t="s">
        <v>55911</v>
      </c>
      <c r="F12356" s="18" t="str">
        <f>IFERROR(__XLUDF.DUMMYFUNCTION("PROPER(REGEXREPLACE(D424,""[^A-Za-z]+ "",""""))"),"Proficircle")</f>
        <v>Proficircle</v>
      </c>
      <c r="G12356" s="18" t="s">
        <v>55912</v>
      </c>
      <c r="H12356" s="18">
        <v>17</v>
      </c>
      <c r="I12356" s="18" t="s">
        <v>9239</v>
      </c>
      <c r="J12356" s="18" t="str">
        <f>IFERROR(__XLUDF.DUMMYFUNCTION("VLOOKUP(M424,IMPORTRANGE(""https://docs.google.com/spreadsheets/d/1opm6ZNvGZ7KditA9TuJwrZ25eFLfTNIkrNnY6mhV5Eg"",""list!A1:C115""),3,TRUE)"),"le secteur de la production alimentaire")</f>
        <v xml:space="preserve">le secteur de la production alimentaire</v>
      </c>
      <c r="K12356" s="5" t="s">
        <v>55913</v>
      </c>
      <c r="L12356" s="5" t="s">
        <v>55914</v>
      </c>
      <c r="M12356" s="18" t="s">
        <v>39</v>
      </c>
      <c r="N12356" s="18" t="s">
        <v>29</v>
      </c>
      <c r="O12356" s="18" t="s">
        <v>55915</v>
      </c>
      <c r="P12356" s="18" t="s">
        <v>1938</v>
      </c>
      <c r="Q12356" s="18" t="s">
        <v>55916</v>
      </c>
      <c r="R12356" s="6"/>
      <c r="S12356" s="6"/>
      <c r="T12356" s="6"/>
      <c r="U12356" s="6"/>
      <c r="V12356" s="6"/>
      <c r="W12356" s="6"/>
      <c r="X12356" s="6"/>
    </row>
    <row r="12357" ht="14.25">
      <c r="B12357" s="18" t="s">
        <v>2652</v>
      </c>
      <c r="C12357" s="18" t="s">
        <v>46603</v>
      </c>
      <c r="D12357" s="18" t="s">
        <v>112</v>
      </c>
      <c r="E12357" s="18" t="s">
        <v>46604</v>
      </c>
      <c r="F12357" s="18" t="str">
        <f>IFERROR(__XLUDF.DUMMYFUNCTION("PROPER(REGEXREPLACE(D425,""[^A-Za-z]+ "",""""))"),"Icofluides Ingénierie")</f>
        <v xml:space="preserve">Icofluides Ingénierie</v>
      </c>
      <c r="G12357" s="18" t="s">
        <v>46605</v>
      </c>
      <c r="H12357" s="18">
        <v>14</v>
      </c>
      <c r="I12357" s="18" t="s">
        <v>9239</v>
      </c>
      <c r="J12357" s="18" t="str">
        <f>IFERROR(__XLUDF.DUMMYFUNCTION("VLOOKUP(M425,IMPORTRANGE(""https://docs.google.com/spreadsheets/d/1opm6ZNvGZ7KditA9TuJwrZ25eFLfTNIkrNnY6mhV5Eg"",""list!A1:C115""),3,TRUE)"),"le secteur de la production alimentaire")</f>
        <v xml:space="preserve">le secteur de la production alimentaire</v>
      </c>
      <c r="K12357" s="5" t="s">
        <v>46606</v>
      </c>
      <c r="L12357" s="5" t="s">
        <v>46607</v>
      </c>
      <c r="M12357" s="18" t="s">
        <v>1826</v>
      </c>
      <c r="N12357" s="18" t="s">
        <v>29</v>
      </c>
      <c r="O12357" s="18" t="s">
        <v>46608</v>
      </c>
      <c r="P12357" s="18" t="s">
        <v>29</v>
      </c>
      <c r="Q12357" s="18" t="s">
        <v>46609</v>
      </c>
      <c r="R12357" s="6"/>
      <c r="S12357" s="6"/>
      <c r="T12357" s="6"/>
      <c r="U12357" s="6"/>
      <c r="V12357" s="6"/>
      <c r="W12357" s="6"/>
      <c r="X12357" s="6"/>
    </row>
    <row r="12358" ht="14.25">
      <c r="B12358" s="18" t="s">
        <v>2652</v>
      </c>
      <c r="C12358" s="18" t="s">
        <v>46317</v>
      </c>
      <c r="D12358" s="18" t="s">
        <v>8042</v>
      </c>
      <c r="E12358" s="18" t="s">
        <v>46318</v>
      </c>
      <c r="F12358" s="18" t="str">
        <f>IFERROR(__XLUDF.DUMMYFUNCTION("PROPER(REGEXREPLACE(D426,""[^A-Za-z]+ "",""""))"),"Soconer")</f>
        <v>Soconer</v>
      </c>
      <c r="G12358" s="18" t="s">
        <v>46319</v>
      </c>
      <c r="H12358" s="18">
        <v>23</v>
      </c>
      <c r="I12358" s="18" t="s">
        <v>9239</v>
      </c>
      <c r="J12358" s="18" t="str">
        <f>IFERROR(__XLUDF.DUMMYFUNCTION("VLOOKUP(M426,IMPORTRANGE(""https://docs.google.com/spreadsheets/d/1opm6ZNvGZ7KditA9TuJwrZ25eFLfTNIkrNnY6mhV5Eg"",""list!A1:C115""),3,TRUE)"),"le secteur de la production alimentaire")</f>
        <v xml:space="preserve">le secteur de la production alimentaire</v>
      </c>
      <c r="K12358" s="5" t="s">
        <v>46320</v>
      </c>
      <c r="L12358" s="5" t="s">
        <v>46321</v>
      </c>
      <c r="M12358" s="18" t="s">
        <v>83</v>
      </c>
      <c r="N12358" s="18" t="s">
        <v>29</v>
      </c>
      <c r="O12358" s="18" t="s">
        <v>46322</v>
      </c>
      <c r="P12358" s="18" t="s">
        <v>29</v>
      </c>
      <c r="Q12358" s="18" t="s">
        <v>46323</v>
      </c>
      <c r="R12358" s="6"/>
      <c r="S12358" s="6"/>
      <c r="T12358" s="6"/>
      <c r="U12358" s="6"/>
      <c r="V12358" s="6"/>
      <c r="W12358" s="6"/>
      <c r="X12358" s="6"/>
    </row>
    <row r="12359" ht="14.25">
      <c r="B12359" s="18" t="s">
        <v>2652</v>
      </c>
      <c r="C12359" s="18" t="s">
        <v>52664</v>
      </c>
      <c r="D12359" s="18" t="s">
        <v>112</v>
      </c>
      <c r="E12359" s="18" t="s">
        <v>52665</v>
      </c>
      <c r="F12359" s="18" t="str">
        <f>IFERROR(__XLUDF.DUMMYFUNCTION("PROPER(REGEXREPLACE(D427,""[^A-Za-z]+ "",""""))"),"Alliance Contrôle Bâtiment")</f>
        <v xml:space="preserve">Alliance Contrôle Bâtiment</v>
      </c>
      <c r="G12359" s="18" t="s">
        <v>52666</v>
      </c>
      <c r="H12359" s="18">
        <v>12</v>
      </c>
      <c r="I12359" s="18" t="s">
        <v>9239</v>
      </c>
      <c r="J12359" s="18" t="str">
        <f>IFERROR(__XLUDF.DUMMYFUNCTION("VLOOKUP(M427,IMPORTRANGE(""https://docs.google.com/spreadsheets/d/1opm6ZNvGZ7KditA9TuJwrZ25eFLfTNIkrNnY6mhV5Eg"",""list!A1:C115""),3,TRUE)"),"le secteur de la production alimentaire")</f>
        <v xml:space="preserve">le secteur de la production alimentaire</v>
      </c>
      <c r="K12359" s="5" t="s">
        <v>52667</v>
      </c>
      <c r="L12359" s="5" t="s">
        <v>52668</v>
      </c>
      <c r="M12359" s="18" t="s">
        <v>39</v>
      </c>
      <c r="N12359" s="18" t="s">
        <v>29</v>
      </c>
      <c r="O12359" s="18" t="s">
        <v>52669</v>
      </c>
      <c r="P12359" s="18" t="s">
        <v>29</v>
      </c>
      <c r="Q12359" s="18" t="s">
        <v>52670</v>
      </c>
      <c r="R12359" s="6"/>
      <c r="S12359" s="6"/>
      <c r="T12359" s="6"/>
      <c r="U12359" s="6"/>
      <c r="V12359" s="6"/>
      <c r="W12359" s="6"/>
      <c r="X12359" s="6"/>
    </row>
    <row r="12360" ht="14.25">
      <c r="B12360" s="18" t="s">
        <v>2652</v>
      </c>
      <c r="C12360" s="18" t="s">
        <v>52741</v>
      </c>
      <c r="D12360" s="18" t="s">
        <v>1130</v>
      </c>
      <c r="E12360" s="18" t="s">
        <v>52742</v>
      </c>
      <c r="F12360" s="18" t="str">
        <f>IFERROR(__XLUDF.DUMMYFUNCTION("PROPER(REGEXREPLACE(D428,""[^A-Za-z]+ "",""""))"),"Sebaco")</f>
        <v>Sebaco</v>
      </c>
      <c r="G12360" s="18" t="s">
        <v>52743</v>
      </c>
      <c r="H12360" s="18">
        <v>17</v>
      </c>
      <c r="I12360" s="18" t="s">
        <v>9239</v>
      </c>
      <c r="J12360" s="18" t="str">
        <f>IFERROR(__XLUDF.DUMMYFUNCTION("VLOOKUP(M428,IMPORTRANGE(""https://docs.google.com/spreadsheets/d/1opm6ZNvGZ7KditA9TuJwrZ25eFLfTNIkrNnY6mhV5Eg"",""list!A1:C115""),3,TRUE)"),"le secteur de la production alimentaire")</f>
        <v xml:space="preserve">le secteur de la production alimentaire</v>
      </c>
      <c r="K12360" s="5" t="s">
        <v>52744</v>
      </c>
      <c r="L12360" s="5" t="s">
        <v>52745</v>
      </c>
      <c r="M12360" s="18" t="s">
        <v>439</v>
      </c>
      <c r="N12360" s="18" t="s">
        <v>29</v>
      </c>
      <c r="O12360" s="18" t="s">
        <v>52746</v>
      </c>
      <c r="P12360" s="18" t="s">
        <v>29</v>
      </c>
      <c r="Q12360" s="6"/>
      <c r="R12360" s="6"/>
      <c r="S12360" s="6"/>
      <c r="T12360" s="6"/>
      <c r="U12360" s="6"/>
      <c r="V12360" s="6"/>
      <c r="W12360" s="6"/>
      <c r="X12360" s="6"/>
    </row>
    <row r="12361" ht="14.25">
      <c r="B12361" s="18" t="s">
        <v>7323</v>
      </c>
      <c r="C12361" s="18" t="s">
        <v>46570</v>
      </c>
      <c r="D12361" s="18" t="s">
        <v>468</v>
      </c>
      <c r="E12361" s="18" t="s">
        <v>46571</v>
      </c>
      <c r="F12361" s="18" t="str">
        <f>IFERROR(__XLUDF.DUMMYFUNCTION("PROPER(REGEXREPLACE(D429,""[^A-Za-z]+ "",""""))"),"Ipe Immobilier Pour L'Entreprise")</f>
        <v xml:space="preserve">Ipe Immobilier Pour L'Entreprise</v>
      </c>
      <c r="G12361" s="18" t="s">
        <v>46572</v>
      </c>
      <c r="H12361" s="18">
        <v>25</v>
      </c>
      <c r="I12361" s="18" t="s">
        <v>9239</v>
      </c>
      <c r="J12361" s="18" t="str">
        <f>IFERROR(__XLUDF.DUMMYFUNCTION("VLOOKUP(M429,IMPORTRANGE(""https://docs.google.com/spreadsheets/d/1opm6ZNvGZ7KditA9TuJwrZ25eFLfTNIkrNnY6mhV5Eg"",""list!A1:C115""),3,TRUE)"),"le secteur de la production alimentaire")</f>
        <v xml:space="preserve">le secteur de la production alimentaire</v>
      </c>
      <c r="K12361" s="5" t="s">
        <v>46573</v>
      </c>
      <c r="L12361" s="5" t="s">
        <v>55917</v>
      </c>
      <c r="M12361" s="18" t="s">
        <v>39</v>
      </c>
      <c r="N12361" s="18" t="s">
        <v>29</v>
      </c>
      <c r="O12361" s="18" t="s">
        <v>46575</v>
      </c>
      <c r="P12361" s="18" t="s">
        <v>29</v>
      </c>
      <c r="Q12361" s="6"/>
      <c r="R12361" s="6"/>
      <c r="S12361" s="6"/>
      <c r="T12361" s="6"/>
      <c r="U12361" s="6"/>
      <c r="V12361" s="6"/>
      <c r="W12361" s="6"/>
      <c r="X12361" s="6"/>
    </row>
    <row r="12362" ht="14.25">
      <c r="B12362" s="18" t="s">
        <v>2932</v>
      </c>
      <c r="C12362" s="18" t="s">
        <v>47698</v>
      </c>
      <c r="D12362" s="18" t="s">
        <v>112</v>
      </c>
      <c r="E12362" s="18" t="s">
        <v>46742</v>
      </c>
      <c r="F12362" s="18" t="str">
        <f>IFERROR(__XLUDF.DUMMYFUNCTION("PROPER(REGEXREPLACE(D430,""[^A-Za-z]+ "",""""))"),"Sybat")</f>
        <v>Sybat</v>
      </c>
      <c r="G12362" s="18" t="s">
        <v>48346</v>
      </c>
      <c r="H12362" s="18">
        <v>19</v>
      </c>
      <c r="I12362" s="18" t="s">
        <v>9239</v>
      </c>
      <c r="J12362" s="18" t="str">
        <f>IFERROR(__XLUDF.DUMMYFUNCTION("VLOOKUP(M430,IMPORTRANGE(""https://docs.google.com/spreadsheets/d/1opm6ZNvGZ7KditA9TuJwrZ25eFLfTNIkrNnY6mhV5Eg"",""list!A1:C115""),3,TRUE)"),"le secteur de la production alimentaire")</f>
        <v xml:space="preserve">le secteur de la production alimentaire</v>
      </c>
      <c r="K12362" s="5" t="s">
        <v>48347</v>
      </c>
      <c r="L12362" s="5" t="s">
        <v>46745</v>
      </c>
      <c r="M12362" s="18" t="s">
        <v>10141</v>
      </c>
      <c r="N12362" s="18" t="s">
        <v>29</v>
      </c>
      <c r="O12362" s="18" t="s">
        <v>46746</v>
      </c>
      <c r="P12362" s="18" t="s">
        <v>29</v>
      </c>
      <c r="Q12362" s="6"/>
      <c r="R12362" s="6"/>
      <c r="S12362" s="6"/>
      <c r="T12362" s="6"/>
      <c r="U12362" s="6"/>
      <c r="V12362" s="6"/>
      <c r="W12362" s="6"/>
      <c r="X12362" s="6"/>
    </row>
    <row r="12363" ht="14.25">
      <c r="B12363" s="18" t="s">
        <v>32341</v>
      </c>
      <c r="C12363" s="18" t="s">
        <v>1070</v>
      </c>
      <c r="D12363" s="18" t="s">
        <v>1130</v>
      </c>
      <c r="E12363" s="18" t="s">
        <v>50049</v>
      </c>
      <c r="F12363" s="18" t="str">
        <f>IFERROR(__XLUDF.DUMMYFUNCTION("PROPER(REGEXREPLACE(D431,""[^A-Za-z]+ "",""""))"),"Azelec")</f>
        <v>Azelec</v>
      </c>
      <c r="G12363" s="18" t="s">
        <v>50050</v>
      </c>
      <c r="H12363" s="18">
        <v>25</v>
      </c>
      <c r="I12363" s="18" t="s">
        <v>9239</v>
      </c>
      <c r="J12363" s="18" t="str">
        <f>IFERROR(__XLUDF.DUMMYFUNCTION("VLOOKUP(M431,IMPORTRANGE(""https://docs.google.com/spreadsheets/d/1opm6ZNvGZ7KditA9TuJwrZ25eFLfTNIkrNnY6mhV5Eg"",""list!A1:C115""),3,TRUE)"),"le secteur de la production alimentaire")</f>
        <v xml:space="preserve">le secteur de la production alimentaire</v>
      </c>
      <c r="K12363" s="5" t="s">
        <v>50051</v>
      </c>
      <c r="L12363" s="5" t="s">
        <v>50052</v>
      </c>
      <c r="M12363" s="6"/>
      <c r="N12363" s="18" t="s">
        <v>29</v>
      </c>
      <c r="O12363" s="18" t="s">
        <v>50053</v>
      </c>
      <c r="P12363" s="18" t="s">
        <v>2953</v>
      </c>
      <c r="Q12363" s="18" t="s">
        <v>50054</v>
      </c>
      <c r="R12363" s="6"/>
      <c r="S12363" s="6"/>
      <c r="T12363" s="6"/>
      <c r="U12363" s="6"/>
      <c r="V12363" s="6"/>
      <c r="W12363" s="6"/>
      <c r="X12363" s="6"/>
    </row>
    <row r="12364" ht="14.25">
      <c r="B12364" s="18" t="s">
        <v>95</v>
      </c>
      <c r="C12364" s="18" t="s">
        <v>46010</v>
      </c>
      <c r="D12364" s="18" t="s">
        <v>172</v>
      </c>
      <c r="E12364" s="18" t="s">
        <v>46011</v>
      </c>
      <c r="F12364" s="18" t="str">
        <f>IFERROR(__XLUDF.DUMMYFUNCTION("PROPER(REGEXREPLACE(D432,""[^A-Za-z]+ "",""""))"),"Edwood Construction Bois")</f>
        <v xml:space="preserve">Edwood Construction Bois</v>
      </c>
      <c r="G12364" s="18" t="s">
        <v>47536</v>
      </c>
      <c r="H12364" s="18">
        <v>17</v>
      </c>
      <c r="I12364" s="18" t="s">
        <v>9239</v>
      </c>
      <c r="J12364" s="18" t="str">
        <f>IFERROR(__XLUDF.DUMMYFUNCTION("VLOOKUP(M432,IMPORTRANGE(""https://docs.google.com/spreadsheets/d/1opm6ZNvGZ7KditA9TuJwrZ25eFLfTNIkrNnY6mhV5Eg"",""list!A1:C115""),3,TRUE)"),"le secteur de la production alimentaire")</f>
        <v xml:space="preserve">le secteur de la production alimentaire</v>
      </c>
      <c r="K12364" s="5" t="s">
        <v>47537</v>
      </c>
      <c r="L12364" s="5" t="s">
        <v>46014</v>
      </c>
      <c r="M12364" s="18" t="s">
        <v>846</v>
      </c>
      <c r="N12364" s="18" t="s">
        <v>29</v>
      </c>
      <c r="O12364" s="18" t="s">
        <v>46015</v>
      </c>
      <c r="P12364" s="18" t="s">
        <v>29</v>
      </c>
      <c r="Q12364" s="6"/>
      <c r="R12364" s="6"/>
      <c r="S12364" s="6"/>
      <c r="T12364" s="6"/>
      <c r="U12364" s="6"/>
      <c r="V12364" s="6"/>
      <c r="W12364" s="6"/>
      <c r="X12364" s="6"/>
    </row>
    <row r="12368" ht="14.25">
      <c r="B12368" s="18" t="s">
        <v>1</v>
      </c>
      <c r="C12368" s="18" t="s">
        <v>2</v>
      </c>
      <c r="D12368" s="18" t="s">
        <v>3</v>
      </c>
      <c r="E12368" s="18" t="s">
        <v>17619</v>
      </c>
      <c r="F12368" s="18" t="s">
        <v>4</v>
      </c>
      <c r="G12368" s="18" t="s">
        <v>5</v>
      </c>
      <c r="H12368" s="18" t="s">
        <v>6</v>
      </c>
      <c r="I12368" s="18" t="s">
        <v>17620</v>
      </c>
      <c r="J12368" s="18" t="s">
        <v>7</v>
      </c>
      <c r="K12368" s="18" t="s">
        <v>8</v>
      </c>
      <c r="L12368" s="18" t="s">
        <v>9</v>
      </c>
      <c r="M12368" s="18" t="s">
        <v>10</v>
      </c>
      <c r="N12368" s="18" t="s">
        <v>11</v>
      </c>
      <c r="O12368" s="18" t="s">
        <v>12</v>
      </c>
      <c r="P12368" s="18" t="s">
        <v>13</v>
      </c>
      <c r="Q12368" s="18" t="s">
        <v>14</v>
      </c>
      <c r="R12368" s="6"/>
    </row>
    <row r="12369" ht="14.25">
      <c r="B12369" s="18" t="s">
        <v>95</v>
      </c>
      <c r="C12369" s="18" t="s">
        <v>55918</v>
      </c>
      <c r="D12369" s="18" t="s">
        <v>172</v>
      </c>
      <c r="E12369" s="18" t="s">
        <v>55919</v>
      </c>
      <c r="F12369" s="18" t="str">
        <f>IFERROR(__XLUDF.DUMMYFUNCTION("PROPER(REGEXREPLACE(D2,""[^A-Za-z]+ "",""""))"),"Territoires Rennes")</f>
        <v xml:space="preserve">Territoires Rennes</v>
      </c>
      <c r="G12369" s="18" t="s">
        <v>55920</v>
      </c>
      <c r="H12369" s="18">
        <v>54</v>
      </c>
      <c r="I12369" s="18" t="s">
        <v>10167</v>
      </c>
      <c r="J12369" s="18" t="str">
        <f>IFERROR(__XLUDF.DUMMYFUNCTION("VLOOKUP(H2,IMPORTRANGE(""https://docs.google.com/spreadsheets/d/1opm6ZNvGZ7KditA9TuJwrZ25eFLfTNIkrNnY6mhV5Eg"",""list!A1:C115""),3,TRUE)"),"le secteur de l'architecture et de l'urbanisme")</f>
        <v xml:space="preserve">le secteur de l'architecture et de l'urbanisme</v>
      </c>
      <c r="K12369" s="5" t="s">
        <v>55921</v>
      </c>
      <c r="L12369" s="5" t="s">
        <v>55922</v>
      </c>
      <c r="M12369" s="18" t="s">
        <v>1826</v>
      </c>
      <c r="N12369" s="18" t="s">
        <v>29</v>
      </c>
      <c r="O12369" s="18" t="s">
        <v>55923</v>
      </c>
      <c r="P12369" s="18" t="s">
        <v>29</v>
      </c>
      <c r="Q12369" s="18" t="s">
        <v>55924</v>
      </c>
      <c r="R12369" s="18">
        <v>0.30585732450000003</v>
      </c>
    </row>
    <row r="12370" ht="14.25">
      <c r="B12370" s="18" t="s">
        <v>2303</v>
      </c>
      <c r="C12370" s="18" t="s">
        <v>55925</v>
      </c>
      <c r="D12370" s="18" t="s">
        <v>55926</v>
      </c>
      <c r="E12370" s="18" t="s">
        <v>55927</v>
      </c>
      <c r="F12370" s="18" t="str">
        <f>IFERROR(__XLUDF.DUMMYFUNCTION("PROPER(REGEXREPLACE(D3,""[^A-Za-z]+ "",""""))"),"Elegia Groupe")</f>
        <v xml:space="preserve">Elegia Groupe</v>
      </c>
      <c r="G12370" s="18" t="s">
        <v>55928</v>
      </c>
      <c r="H12370" s="18">
        <v>79</v>
      </c>
      <c r="I12370" s="18" t="s">
        <v>10167</v>
      </c>
      <c r="J12370" s="18" t="str">
        <f>IFERROR(__XLUDF.DUMMYFUNCTION("VLOOKUP(H3,IMPORTRANGE(""https://docs.google.com/spreadsheets/d/1opm6ZNvGZ7KditA9TuJwrZ25eFLfTNIkrNnY6mhV5Eg"",""list!A1:C115""),3,TRUE)"),"le secteur de l'architecture et de l'urbanisme")</f>
        <v xml:space="preserve">le secteur de l'architecture et de l'urbanisme</v>
      </c>
      <c r="K12370" s="5" t="s">
        <v>55929</v>
      </c>
      <c r="L12370" s="5" t="s">
        <v>55930</v>
      </c>
      <c r="M12370" s="18" t="s">
        <v>185</v>
      </c>
      <c r="N12370" s="18" t="s">
        <v>29</v>
      </c>
      <c r="O12370" s="18" t="s">
        <v>1508</v>
      </c>
      <c r="P12370" s="18" t="s">
        <v>29</v>
      </c>
      <c r="Q12370" s="18" t="s">
        <v>55931</v>
      </c>
      <c r="R12370" s="18">
        <v>0.88844424550000001</v>
      </c>
    </row>
    <row r="12371" ht="14.25">
      <c r="B12371" s="18" t="s">
        <v>571</v>
      </c>
      <c r="C12371" s="18" t="s">
        <v>55932</v>
      </c>
      <c r="D12371" s="18" t="s">
        <v>112</v>
      </c>
      <c r="E12371" s="18" t="s">
        <v>55933</v>
      </c>
      <c r="F12371" s="18" t="str">
        <f>IFERROR(__XLUDF.DUMMYFUNCTION("PROPER(REGEXREPLACE(D4,""[^A-Za-z]+ "",""""))"),"Atelier Cos")</f>
        <v xml:space="preserve">Atelier Cos</v>
      </c>
      <c r="G12371" s="18" t="s">
        <v>55934</v>
      </c>
      <c r="H12371" s="18">
        <v>72</v>
      </c>
      <c r="I12371" s="18" t="s">
        <v>10167</v>
      </c>
      <c r="J12371" s="18" t="str">
        <f>IFERROR(__XLUDF.DUMMYFUNCTION("VLOOKUP(H4,IMPORTRANGE(""https://docs.google.com/spreadsheets/d/1opm6ZNvGZ7KditA9TuJwrZ25eFLfTNIkrNnY6mhV5Eg"",""list!A1:C115""),3,TRUE)"),"le secteur de l'architecture et de l'urbanisme")</f>
        <v xml:space="preserve">le secteur de l'architecture et de l'urbanisme</v>
      </c>
      <c r="K12371" s="5" t="s">
        <v>55935</v>
      </c>
      <c r="L12371" s="5" t="s">
        <v>55936</v>
      </c>
      <c r="M12371" s="18" t="s">
        <v>39</v>
      </c>
      <c r="N12371" s="18" t="s">
        <v>29</v>
      </c>
      <c r="O12371" s="18" t="s">
        <v>55937</v>
      </c>
      <c r="P12371" s="18" t="s">
        <v>29</v>
      </c>
      <c r="Q12371" s="18" t="s">
        <v>55938</v>
      </c>
      <c r="R12371" s="18">
        <v>0.51937817580000001</v>
      </c>
    </row>
    <row r="12372" ht="14.25">
      <c r="B12372" s="18" t="s">
        <v>55939</v>
      </c>
      <c r="C12372" s="18" t="s">
        <v>18837</v>
      </c>
      <c r="D12372" s="18" t="s">
        <v>172</v>
      </c>
      <c r="E12372" s="18" t="s">
        <v>55940</v>
      </c>
      <c r="F12372" s="18" t="str">
        <f>IFERROR(__XLUDF.DUMMYFUNCTION("PROPER(REGEXREPLACE(D5,""[^A-Za-z]+ "",""""))"),"Ville Renouvelée")</f>
        <v xml:space="preserve">Ville Renouvelée</v>
      </c>
      <c r="G12372" s="18" t="s">
        <v>55941</v>
      </c>
      <c r="H12372" s="18">
        <v>54</v>
      </c>
      <c r="I12372" s="18" t="s">
        <v>10167</v>
      </c>
      <c r="J12372" s="18" t="str">
        <f>IFERROR(__XLUDF.DUMMYFUNCTION("VLOOKUP(H5,IMPORTRANGE(""https://docs.google.com/spreadsheets/d/1opm6ZNvGZ7KditA9TuJwrZ25eFLfTNIkrNnY6mhV5Eg"",""list!A1:C115""),3,TRUE)"),"le secteur de l'architecture et de l'urbanisme")</f>
        <v xml:space="preserve">le secteur de l'architecture et de l'urbanisme</v>
      </c>
      <c r="K12372" s="5" t="s">
        <v>55942</v>
      </c>
      <c r="L12372" s="5" t="s">
        <v>55943</v>
      </c>
      <c r="M12372" s="18" t="s">
        <v>846</v>
      </c>
      <c r="N12372" s="18" t="s">
        <v>29</v>
      </c>
      <c r="O12372" s="18" t="s">
        <v>55944</v>
      </c>
      <c r="P12372" s="18" t="s">
        <v>29</v>
      </c>
      <c r="Q12372" s="18" t="s">
        <v>55945</v>
      </c>
      <c r="R12372" s="18">
        <v>0.12227385</v>
      </c>
    </row>
    <row r="12373" ht="14.25">
      <c r="B12373" s="18" t="s">
        <v>2668</v>
      </c>
      <c r="C12373" s="18" t="s">
        <v>55946</v>
      </c>
      <c r="D12373" s="18" t="s">
        <v>172</v>
      </c>
      <c r="E12373" s="18" t="s">
        <v>55947</v>
      </c>
      <c r="F12373" s="18" t="str">
        <f>IFERROR(__XLUDF.DUMMYFUNCTION("PROPER(REGEXREPLACE(D6,""[^A-Za-z]+ "",""""))"),"Plaine Commune Développement")</f>
        <v xml:space="preserve">Plaine Commune Développement</v>
      </c>
      <c r="G12373" s="18" t="s">
        <v>55948</v>
      </c>
      <c r="H12373" s="18">
        <v>52</v>
      </c>
      <c r="I12373" s="18" t="s">
        <v>10167</v>
      </c>
      <c r="J12373" s="18" t="str">
        <f>IFERROR(__XLUDF.DUMMYFUNCTION("VLOOKUP(H6,IMPORTRANGE(""https://docs.google.com/spreadsheets/d/1opm6ZNvGZ7KditA9TuJwrZ25eFLfTNIkrNnY6mhV5Eg"",""list!A1:C115""),3,TRUE)"),"le secteur de l'architecture et de l'urbanisme")</f>
        <v xml:space="preserve">le secteur de l'architecture et de l'urbanisme</v>
      </c>
      <c r="K12373" s="5" t="s">
        <v>55949</v>
      </c>
      <c r="L12373" s="5" t="s">
        <v>55950</v>
      </c>
      <c r="M12373" s="18" t="s">
        <v>39</v>
      </c>
      <c r="N12373" s="18" t="s">
        <v>29</v>
      </c>
      <c r="O12373" s="18" t="s">
        <v>55951</v>
      </c>
      <c r="P12373" s="18" t="s">
        <v>29</v>
      </c>
      <c r="Q12373" s="18" t="s">
        <v>55952</v>
      </c>
      <c r="R12373" s="18">
        <v>0.36563878960000001</v>
      </c>
    </row>
    <row r="12374" ht="14.25">
      <c r="B12374" s="18" t="s">
        <v>355</v>
      </c>
      <c r="C12374" s="18" t="s">
        <v>55953</v>
      </c>
      <c r="D12374" s="18" t="s">
        <v>172</v>
      </c>
      <c r="E12374" s="18" t="s">
        <v>55954</v>
      </c>
      <c r="F12374" s="18" t="str">
        <f>IFERROR(__XLUDF.DUMMYFUNCTION("PROPER(REGEXREPLACE(D7,""[^A-Za-z]+ "",""""))"),"Sembreizh")</f>
        <v>Sembreizh</v>
      </c>
      <c r="G12374" s="18" t="s">
        <v>55955</v>
      </c>
      <c r="H12374" s="18">
        <v>63</v>
      </c>
      <c r="I12374" s="18" t="s">
        <v>10167</v>
      </c>
      <c r="J12374" s="18" t="str">
        <f>IFERROR(__XLUDF.DUMMYFUNCTION("VLOOKUP(H7,IMPORTRANGE(""https://docs.google.com/spreadsheets/d/1opm6ZNvGZ7KditA9TuJwrZ25eFLfTNIkrNnY6mhV5Eg"",""list!A1:C115""),3,TRUE)"),"le secteur de l'architecture et de l'urbanisme")</f>
        <v xml:space="preserve">le secteur de l'architecture et de l'urbanisme</v>
      </c>
      <c r="K12374" s="5" t="s">
        <v>55956</v>
      </c>
      <c r="L12374" s="5" t="s">
        <v>55957</v>
      </c>
      <c r="M12374" s="18" t="s">
        <v>1826</v>
      </c>
      <c r="N12374" s="18" t="s">
        <v>29</v>
      </c>
      <c r="O12374" s="18" t="s">
        <v>2286</v>
      </c>
      <c r="P12374" s="18" t="s">
        <v>29</v>
      </c>
      <c r="Q12374" s="6"/>
      <c r="R12374" s="18">
        <v>0.7650112013</v>
      </c>
    </row>
    <row r="12375" ht="14.25">
      <c r="B12375" s="18" t="s">
        <v>26317</v>
      </c>
      <c r="C12375" s="18" t="s">
        <v>55958</v>
      </c>
      <c r="D12375" s="18" t="s">
        <v>55959</v>
      </c>
      <c r="E12375" s="18" t="s">
        <v>55960</v>
      </c>
      <c r="F12375" s="18" t="str">
        <f>IFERROR(__XLUDF.DUMMYFUNCTION("PROPER(REGEXREPLACE(D8,""[^A-Za-z]+ "",""""))"),"Allure")</f>
        <v>Allure</v>
      </c>
      <c r="G12375" s="18" t="s">
        <v>55961</v>
      </c>
      <c r="H12375" s="18">
        <v>110</v>
      </c>
      <c r="I12375" s="18" t="s">
        <v>10167</v>
      </c>
      <c r="J12375" s="18" t="str">
        <f>IFERROR(__XLUDF.DUMMYFUNCTION("VLOOKUP(H8,IMPORTRANGE(""https://docs.google.com/spreadsheets/d/1opm6ZNvGZ7KditA9TuJwrZ25eFLfTNIkrNnY6mhV5Eg"",""list!A1:C115""),3,TRUE)"),"le secteur de l'architecture et de l'urbanisme")</f>
        <v xml:space="preserve">le secteur de l'architecture et de l'urbanisme</v>
      </c>
      <c r="K12375" s="5" t="s">
        <v>55962</v>
      </c>
      <c r="L12375" s="5" t="s">
        <v>55963</v>
      </c>
      <c r="M12375" s="18" t="s">
        <v>39</v>
      </c>
      <c r="N12375" s="18" t="s">
        <v>29</v>
      </c>
      <c r="O12375" s="18" t="s">
        <v>67</v>
      </c>
      <c r="P12375" s="18" t="s">
        <v>29</v>
      </c>
      <c r="Q12375" s="18" t="s">
        <v>55964</v>
      </c>
      <c r="R12375" s="18">
        <v>0.83427019540000003</v>
      </c>
    </row>
    <row r="12376" ht="14.25">
      <c r="B12376" s="18" t="s">
        <v>866</v>
      </c>
      <c r="C12376" s="18" t="s">
        <v>55965</v>
      </c>
      <c r="D12376" s="18" t="s">
        <v>87</v>
      </c>
      <c r="E12376" s="18" t="s">
        <v>55960</v>
      </c>
      <c r="F12376" s="18" t="str">
        <f>IFERROR(__XLUDF.DUMMYFUNCTION("PROPER(REGEXREPLACE(D9,""[^A-Za-z]+ "",""""))"),"Allure")</f>
        <v>Allure</v>
      </c>
      <c r="G12376" s="18" t="s">
        <v>55966</v>
      </c>
      <c r="H12376" s="18">
        <v>110</v>
      </c>
      <c r="I12376" s="18" t="s">
        <v>10167</v>
      </c>
      <c r="J12376" s="18" t="str">
        <f>IFERROR(__XLUDF.DUMMYFUNCTION("VLOOKUP(H9,IMPORTRANGE(""https://docs.google.com/spreadsheets/d/1opm6ZNvGZ7KditA9TuJwrZ25eFLfTNIkrNnY6mhV5Eg"",""list!A1:C115""),3,TRUE)"),"le secteur de l'architecture et de l'urbanisme")</f>
        <v xml:space="preserve">le secteur de l'architecture et de l'urbanisme</v>
      </c>
      <c r="K12376" s="5" t="s">
        <v>55967</v>
      </c>
      <c r="L12376" s="5" t="s">
        <v>55963</v>
      </c>
      <c r="M12376" s="18" t="s">
        <v>55968</v>
      </c>
      <c r="N12376" s="18" t="s">
        <v>29</v>
      </c>
      <c r="O12376" s="18" t="s">
        <v>67</v>
      </c>
      <c r="P12376" s="18" t="s">
        <v>29</v>
      </c>
      <c r="Q12376" s="18" t="s">
        <v>55964</v>
      </c>
      <c r="R12376" s="18">
        <v>0.42994472880000001</v>
      </c>
    </row>
    <row r="12377" ht="14.25">
      <c r="B12377" s="18" t="s">
        <v>118</v>
      </c>
      <c r="C12377" s="18" t="s">
        <v>55969</v>
      </c>
      <c r="D12377" s="18" t="s">
        <v>172</v>
      </c>
      <c r="E12377" s="18" t="s">
        <v>55970</v>
      </c>
      <c r="F12377" s="18" t="str">
        <f>IFERROR(__XLUDF.DUMMYFUNCTION("PROPER(REGEXREPLACE(D10,""[^A-Za-z]+ "",""""))"),"Oppidea")</f>
        <v>Oppidea</v>
      </c>
      <c r="G12377" s="18" t="s">
        <v>55971</v>
      </c>
      <c r="H12377" s="18">
        <v>88</v>
      </c>
      <c r="I12377" s="18" t="s">
        <v>10167</v>
      </c>
      <c r="J12377" s="18" t="str">
        <f>IFERROR(__XLUDF.DUMMYFUNCTION("VLOOKUP(H10,IMPORTRANGE(""https://docs.google.com/spreadsheets/d/1opm6ZNvGZ7KditA9TuJwrZ25eFLfTNIkrNnY6mhV5Eg"",""list!A1:C115""),3,TRUE)"),"le secteur de l'architecture et de l'urbanisme")</f>
        <v xml:space="preserve">le secteur de l'architecture et de l'urbanisme</v>
      </c>
      <c r="K12377" s="5" t="s">
        <v>55972</v>
      </c>
      <c r="L12377" s="5" t="s">
        <v>55973</v>
      </c>
      <c r="M12377" s="18" t="s">
        <v>83</v>
      </c>
      <c r="N12377" s="18" t="s">
        <v>29</v>
      </c>
      <c r="O12377" s="18" t="s">
        <v>55974</v>
      </c>
      <c r="P12377" s="18" t="s">
        <v>29</v>
      </c>
      <c r="Q12377" s="18" t="s">
        <v>55975</v>
      </c>
      <c r="R12377" s="18">
        <v>0.73294457160000004</v>
      </c>
    </row>
    <row r="12378" ht="14.25">
      <c r="B12378" s="18" t="s">
        <v>7951</v>
      </c>
      <c r="C12378" s="18" t="s">
        <v>55976</v>
      </c>
      <c r="D12378" s="18" t="s">
        <v>55977</v>
      </c>
      <c r="E12378" s="18" t="s">
        <v>55960</v>
      </c>
      <c r="F12378" s="18" t="str">
        <f>IFERROR(__XLUDF.DUMMYFUNCTION("PROPER(REGEXREPLACE(D11,""[^A-Za-z]+ "",""""))"),"Allure")</f>
        <v>Allure</v>
      </c>
      <c r="G12378" s="18" t="s">
        <v>55978</v>
      </c>
      <c r="H12378" s="18">
        <v>110</v>
      </c>
      <c r="I12378" s="18" t="s">
        <v>10167</v>
      </c>
      <c r="J12378" s="18" t="str">
        <f>IFERROR(__XLUDF.DUMMYFUNCTION("VLOOKUP(H11,IMPORTRANGE(""https://docs.google.com/spreadsheets/d/1opm6ZNvGZ7KditA9TuJwrZ25eFLfTNIkrNnY6mhV5Eg"",""list!A1:C115""),3,TRUE)"),"le secteur de l'architecture et de l'urbanisme")</f>
        <v xml:space="preserve">le secteur de l'architecture et de l'urbanisme</v>
      </c>
      <c r="K12378" s="5" t="s">
        <v>55979</v>
      </c>
      <c r="L12378" s="5" t="s">
        <v>55963</v>
      </c>
      <c r="M12378" s="18" t="s">
        <v>39</v>
      </c>
      <c r="N12378" s="18" t="s">
        <v>29</v>
      </c>
      <c r="O12378" s="18" t="s">
        <v>67</v>
      </c>
      <c r="P12378" s="18" t="s">
        <v>29</v>
      </c>
      <c r="Q12378" s="18" t="s">
        <v>55964</v>
      </c>
      <c r="R12378" s="18">
        <v>0.84094345920000002</v>
      </c>
    </row>
    <row r="12379" ht="14.25">
      <c r="B12379" s="18" t="s">
        <v>3850</v>
      </c>
      <c r="C12379" s="18" t="s">
        <v>29249</v>
      </c>
      <c r="D12379" s="18" t="s">
        <v>25321</v>
      </c>
      <c r="E12379" s="18" t="s">
        <v>55980</v>
      </c>
      <c r="F12379" s="18" t="str">
        <f>IFERROR(__XLUDF.DUMMYFUNCTION("PROPER(REGEXREPLACE(D12,""[^A-Za-z]+ "",""""))"),"Neolife")</f>
        <v>Neolife</v>
      </c>
      <c r="G12379" s="18" t="s">
        <v>55981</v>
      </c>
      <c r="H12379" s="18">
        <v>160</v>
      </c>
      <c r="I12379" s="18" t="s">
        <v>47738</v>
      </c>
      <c r="J12379" s="18" t="str">
        <f>IFERROR(__XLUDF.DUMMYFUNCTION("VLOOKUP(H12,IMPORTRANGE(""https://docs.google.com/spreadsheets/d/1opm6ZNvGZ7KditA9TuJwrZ25eFLfTNIkrNnY6mhV5Eg"",""list!A1:C115""),3,TRUE)"),"le secteur des matériaux de construction")</f>
        <v xml:space="preserve">le secteur des matériaux de construction</v>
      </c>
      <c r="K12379" s="5" t="s">
        <v>55982</v>
      </c>
      <c r="L12379" s="5" t="s">
        <v>55983</v>
      </c>
      <c r="M12379" s="18" t="s">
        <v>43511</v>
      </c>
      <c r="N12379" s="18" t="s">
        <v>29</v>
      </c>
      <c r="O12379" s="18" t="s">
        <v>55984</v>
      </c>
      <c r="P12379" s="18" t="s">
        <v>29</v>
      </c>
      <c r="Q12379" s="18" t="s">
        <v>55985</v>
      </c>
      <c r="R12379" s="18">
        <v>0.50980878299999999</v>
      </c>
    </row>
    <row r="12380" ht="14.25">
      <c r="B12380" s="18" t="s">
        <v>734</v>
      </c>
      <c r="C12380" s="18" t="s">
        <v>55986</v>
      </c>
      <c r="D12380" s="18" t="s">
        <v>172</v>
      </c>
      <c r="E12380" s="18" t="s">
        <v>55987</v>
      </c>
      <c r="F12380" s="18" t="str">
        <f>IFERROR(__XLUDF.DUMMYFUNCTION("PROPER(REGEXREPLACE(D13,""[^A-Za-z]+ "",""""))"),"Ceccon Btp")</f>
        <v xml:space="preserve">Ceccon Btp</v>
      </c>
      <c r="G12380" s="18" t="s">
        <v>55988</v>
      </c>
      <c r="H12380" s="18">
        <v>69</v>
      </c>
      <c r="I12380" s="18" t="s">
        <v>45792</v>
      </c>
      <c r="J12380" s="18" t="str">
        <f>IFERROR(__XLUDF.DUMMYFUNCTION("VLOOKUP(H13,IMPORTRANGE(""https://docs.google.com/spreadsheets/d/1opm6ZNvGZ7KditA9TuJwrZ25eFLfTNIkrNnY6mhV5Eg"",""list!A1:C115""),3,TRUE)"),"le secteur du génie civil")</f>
        <v xml:space="preserve">le secteur du génie civil</v>
      </c>
      <c r="K12380" s="5" t="s">
        <v>55989</v>
      </c>
      <c r="L12380" s="5" t="s">
        <v>55990</v>
      </c>
      <c r="M12380" s="18" t="s">
        <v>423</v>
      </c>
      <c r="N12380" s="18" t="s">
        <v>29</v>
      </c>
      <c r="O12380" s="18" t="s">
        <v>3890</v>
      </c>
      <c r="P12380" s="18" t="s">
        <v>29</v>
      </c>
      <c r="Q12380" s="6"/>
      <c r="R12380" s="18">
        <v>0.027366350510000002</v>
      </c>
    </row>
    <row r="12381" ht="14.25">
      <c r="B12381" s="18" t="s">
        <v>2598</v>
      </c>
      <c r="C12381" s="18" t="s">
        <v>55991</v>
      </c>
      <c r="D12381" s="18" t="s">
        <v>112</v>
      </c>
      <c r="E12381" s="18" t="s">
        <v>38537</v>
      </c>
      <c r="F12381" s="18" t="str">
        <f>IFERROR(__XLUDF.DUMMYFUNCTION("PROPER(REGEXREPLACE(D14,""[^A-Za-z]+ "",""""))"),"Ribiere")</f>
        <v>Ribiere</v>
      </c>
      <c r="G12381" s="18" t="s">
        <v>55992</v>
      </c>
      <c r="H12381" s="18">
        <v>80</v>
      </c>
      <c r="I12381" s="18" t="s">
        <v>45792</v>
      </c>
      <c r="J12381" s="18" t="str">
        <f>IFERROR(__XLUDF.DUMMYFUNCTION("VLOOKUP(H14,IMPORTRANGE(""https://docs.google.com/spreadsheets/d/1opm6ZNvGZ7KditA9TuJwrZ25eFLfTNIkrNnY6mhV5Eg"",""list!A1:C115""),3,TRUE)"),"le secteur du génie civil")</f>
        <v xml:space="preserve">le secteur du génie civil</v>
      </c>
      <c r="K12381" s="5" t="s">
        <v>55993</v>
      </c>
      <c r="L12381" s="5" t="s">
        <v>55994</v>
      </c>
      <c r="M12381" s="18" t="s">
        <v>185</v>
      </c>
      <c r="N12381" s="18" t="s">
        <v>29</v>
      </c>
      <c r="O12381" s="18" t="s">
        <v>55995</v>
      </c>
      <c r="P12381" s="18" t="s">
        <v>29</v>
      </c>
      <c r="Q12381" s="18" t="s">
        <v>55996</v>
      </c>
      <c r="R12381" s="18">
        <v>0.20750958019999999</v>
      </c>
    </row>
    <row r="12382" ht="14.25">
      <c r="B12382" s="18" t="s">
        <v>31</v>
      </c>
      <c r="C12382" s="18" t="s">
        <v>55997</v>
      </c>
      <c r="D12382" s="18" t="s">
        <v>426</v>
      </c>
      <c r="E12382" s="18" t="s">
        <v>55998</v>
      </c>
      <c r="F12382" s="18" t="str">
        <f>IFERROR(__XLUDF.DUMMYFUNCTION("PROPER(REGEXREPLACE(D15,""[^A-Za-z]+ "",""""))"),"Dorémi Rénovation")</f>
        <v xml:space="preserve">Dorémi Rénovation</v>
      </c>
      <c r="G12382" s="18" t="s">
        <v>55999</v>
      </c>
      <c r="H12382" s="18">
        <v>77</v>
      </c>
      <c r="I12382" s="18" t="s">
        <v>9239</v>
      </c>
      <c r="J12382" s="18" t="str">
        <f>IFERROR(__XLUDF.DUMMYFUNCTION("VLOOKUP(H15,IMPORTRANGE(""https://docs.google.com/spreadsheets/d/1opm6ZNvGZ7KditA9TuJwrZ25eFLfTNIkrNnY6mhV5Eg"",""list!A1:C115""),3,TRUE)"),"le secteur de la construction")</f>
        <v xml:space="preserve">le secteur de la construction</v>
      </c>
      <c r="K12382" s="5" t="s">
        <v>56000</v>
      </c>
      <c r="L12382" s="5" t="s">
        <v>56001</v>
      </c>
      <c r="M12382" s="18" t="s">
        <v>185</v>
      </c>
      <c r="N12382" s="18" t="s">
        <v>29</v>
      </c>
      <c r="O12382" s="18" t="s">
        <v>56002</v>
      </c>
      <c r="P12382" s="18" t="s">
        <v>29</v>
      </c>
      <c r="Q12382" s="18" t="s">
        <v>56003</v>
      </c>
      <c r="R12382" s="18">
        <v>0.059118520670000001</v>
      </c>
    </row>
    <row r="12383" ht="14.25">
      <c r="B12383" s="18" t="s">
        <v>2299</v>
      </c>
      <c r="C12383" s="18" t="s">
        <v>56004</v>
      </c>
      <c r="D12383" s="18" t="s">
        <v>172</v>
      </c>
      <c r="E12383" s="18" t="s">
        <v>56005</v>
      </c>
      <c r="F12383" s="18" t="str">
        <f>IFERROR(__XLUDF.DUMMYFUNCTION("PROPER(REGEXREPLACE(D16,""[^A-Za-z]+ "",""""))"),"Fayat Fondations")</f>
        <v xml:space="preserve">Fayat Fondations</v>
      </c>
      <c r="G12383" s="18" t="s">
        <v>56006</v>
      </c>
      <c r="H12383" s="18">
        <v>81</v>
      </c>
      <c r="I12383" s="18" t="s">
        <v>9239</v>
      </c>
      <c r="J12383" s="18" t="str">
        <f>IFERROR(__XLUDF.DUMMYFUNCTION("VLOOKUP(H16,IMPORTRANGE(""https://docs.google.com/spreadsheets/d/1opm6ZNvGZ7KditA9TuJwrZ25eFLfTNIkrNnY6mhV5Eg"",""list!A1:C115""),3,TRUE)"),"le secteur de la construction")</f>
        <v xml:space="preserve">le secteur de la construction</v>
      </c>
      <c r="K12383" s="5" t="s">
        <v>56007</v>
      </c>
      <c r="L12383" s="5" t="s">
        <v>56008</v>
      </c>
      <c r="M12383" s="6"/>
      <c r="N12383" s="18" t="s">
        <v>29</v>
      </c>
      <c r="O12383" s="18" t="s">
        <v>56009</v>
      </c>
      <c r="P12383" s="18" t="s">
        <v>29</v>
      </c>
      <c r="Q12383" s="6"/>
      <c r="R12383" s="18">
        <v>0.81309366530000005</v>
      </c>
    </row>
    <row r="12384" ht="14.25">
      <c r="B12384" s="18" t="s">
        <v>670</v>
      </c>
      <c r="C12384" s="18" t="s">
        <v>6415</v>
      </c>
      <c r="D12384" s="18" t="s">
        <v>112</v>
      </c>
      <c r="E12384" s="18" t="s">
        <v>6415</v>
      </c>
      <c r="F12384" s="18" t="str">
        <f>IFERROR(__XLUDF.DUMMYFUNCTION("PROPER(REGEXREPLACE(D17,""[^A-Za-z]+ "",""""))"),"Pingat")</f>
        <v>Pingat</v>
      </c>
      <c r="G12384" s="18" t="s">
        <v>56010</v>
      </c>
      <c r="H12384" s="18">
        <v>130</v>
      </c>
      <c r="I12384" s="18" t="s">
        <v>9239</v>
      </c>
      <c r="J12384" s="18" t="str">
        <f>IFERROR(__XLUDF.DUMMYFUNCTION("VLOOKUP(H17,IMPORTRANGE(""https://docs.google.com/spreadsheets/d/1opm6ZNvGZ7KditA9TuJwrZ25eFLfTNIkrNnY6mhV5Eg"",""list!A1:C115""),3,TRUE)"),"le secteur de la construction")</f>
        <v xml:space="preserve">le secteur de la construction</v>
      </c>
      <c r="K12384" s="5" t="s">
        <v>56011</v>
      </c>
      <c r="L12384" s="5" t="s">
        <v>56012</v>
      </c>
      <c r="M12384" s="18" t="s">
        <v>562</v>
      </c>
      <c r="N12384" s="18" t="s">
        <v>29</v>
      </c>
      <c r="O12384" s="18" t="s">
        <v>56013</v>
      </c>
      <c r="P12384" s="18" t="s">
        <v>29</v>
      </c>
      <c r="Q12384" s="18" t="s">
        <v>56014</v>
      </c>
      <c r="R12384" s="18">
        <v>0.7791067585</v>
      </c>
    </row>
    <row r="12385" ht="14.25">
      <c r="B12385" s="18" t="s">
        <v>874</v>
      </c>
      <c r="C12385" s="18" t="s">
        <v>56015</v>
      </c>
      <c r="D12385" s="18" t="s">
        <v>6362</v>
      </c>
      <c r="E12385" s="18" t="s">
        <v>56016</v>
      </c>
      <c r="F12385" s="18" t="str">
        <f>IFERROR(__XLUDF.DUMMYFUNCTION("PROPER(REGEXREPLACE(D18,""[^A-Za-z]+ "",""""))"),"Ecoba-Ads")</f>
        <v>Ecoba-Ads</v>
      </c>
      <c r="G12385" s="18" t="s">
        <v>56017</v>
      </c>
      <c r="H12385" s="18">
        <v>45</v>
      </c>
      <c r="I12385" s="18" t="s">
        <v>9239</v>
      </c>
      <c r="J12385" s="18" t="str">
        <f>IFERROR(__XLUDF.DUMMYFUNCTION("VLOOKUP(H18,IMPORTRANGE(""https://docs.google.com/spreadsheets/d/1opm6ZNvGZ7KditA9TuJwrZ25eFLfTNIkrNnY6mhV5Eg"",""list!A1:C115""),3,TRUE)"),"le secteur de la construction")</f>
        <v xml:space="preserve">le secteur de la construction</v>
      </c>
      <c r="K12385" s="5" t="s">
        <v>56018</v>
      </c>
      <c r="L12385" s="5" t="s">
        <v>56019</v>
      </c>
      <c r="M12385" s="18" t="s">
        <v>14237</v>
      </c>
      <c r="N12385" s="18" t="s">
        <v>29</v>
      </c>
      <c r="O12385" s="18" t="s">
        <v>5163</v>
      </c>
      <c r="P12385" s="18" t="s">
        <v>29</v>
      </c>
      <c r="Q12385" s="18" t="s">
        <v>56020</v>
      </c>
      <c r="R12385" s="18">
        <v>0.506243789</v>
      </c>
    </row>
    <row r="12386" ht="14.25">
      <c r="B12386" s="18" t="s">
        <v>95</v>
      </c>
      <c r="C12386" s="18" t="s">
        <v>56021</v>
      </c>
      <c r="D12386" s="18" t="s">
        <v>112</v>
      </c>
      <c r="E12386" s="18" t="s">
        <v>56022</v>
      </c>
      <c r="F12386" s="18" t="str">
        <f>IFERROR(__XLUDF.DUMMYFUNCTION("PROPER(REGEXREPLACE(D19,""[^A-Za-z]+ "",""""))"),"Cabre")</f>
        <v>Cabre</v>
      </c>
      <c r="G12386" s="18" t="s">
        <v>56023</v>
      </c>
      <c r="H12386" s="18">
        <v>78</v>
      </c>
      <c r="I12386" s="18" t="s">
        <v>9239</v>
      </c>
      <c r="J12386" s="18" t="str">
        <f>IFERROR(__XLUDF.DUMMYFUNCTION("VLOOKUP(H19,IMPORTRANGE(""https://docs.google.com/spreadsheets/d/1opm6ZNvGZ7KditA9TuJwrZ25eFLfTNIkrNnY6mhV5Eg"",""list!A1:C115""),3,TRUE)"),"le secteur de la construction")</f>
        <v xml:space="preserve">le secteur de la construction</v>
      </c>
      <c r="K12386" s="5" t="s">
        <v>56024</v>
      </c>
      <c r="L12386" s="5" t="s">
        <v>56025</v>
      </c>
      <c r="M12386" s="18" t="s">
        <v>47320</v>
      </c>
      <c r="N12386" s="18" t="s">
        <v>29</v>
      </c>
      <c r="O12386" s="18" t="s">
        <v>56026</v>
      </c>
      <c r="P12386" s="18" t="s">
        <v>29</v>
      </c>
      <c r="Q12386" s="6"/>
      <c r="R12386" s="18">
        <v>0.27923147310000002</v>
      </c>
    </row>
    <row r="12387" ht="14.25">
      <c r="B12387" s="18" t="s">
        <v>3834</v>
      </c>
      <c r="C12387" s="18" t="s">
        <v>56027</v>
      </c>
      <c r="D12387" s="18" t="s">
        <v>164</v>
      </c>
      <c r="E12387" s="18" t="s">
        <v>56028</v>
      </c>
      <c r="F12387" s="18" t="str">
        <f>IFERROR(__XLUDF.DUMMYFUNCTION("PROPER(REGEXREPLACE(D20,""[^A-Za-z]+ "",""""))"),"Groupe Sionneau")</f>
        <v xml:space="preserve">Groupe Sionneau</v>
      </c>
      <c r="G12387" s="18" t="s">
        <v>56029</v>
      </c>
      <c r="H12387" s="18">
        <v>79</v>
      </c>
      <c r="I12387" s="18" t="s">
        <v>9239</v>
      </c>
      <c r="J12387" s="18" t="str">
        <f>IFERROR(__XLUDF.DUMMYFUNCTION("VLOOKUP(H20,IMPORTRANGE(""https://docs.google.com/spreadsheets/d/1opm6ZNvGZ7KditA9TuJwrZ25eFLfTNIkrNnY6mhV5Eg"",""list!A1:C115""),3,TRUE)"),"le secteur de la construction")</f>
        <v xml:space="preserve">le secteur de la construction</v>
      </c>
      <c r="K12387" s="5" t="s">
        <v>56030</v>
      </c>
      <c r="L12387" s="5" t="s">
        <v>56031</v>
      </c>
      <c r="M12387" s="18" t="s">
        <v>562</v>
      </c>
      <c r="N12387" s="18" t="s">
        <v>29</v>
      </c>
      <c r="O12387" s="18" t="s">
        <v>56032</v>
      </c>
      <c r="P12387" s="18" t="s">
        <v>29</v>
      </c>
      <c r="Q12387" s="6"/>
      <c r="R12387" s="18">
        <v>0.43320527390000002</v>
      </c>
    </row>
    <row r="12388" ht="14.25">
      <c r="B12388" s="18" t="s">
        <v>4169</v>
      </c>
      <c r="C12388" s="18" t="s">
        <v>56033</v>
      </c>
      <c r="D12388" s="18" t="s">
        <v>172</v>
      </c>
      <c r="E12388" s="18" t="s">
        <v>56034</v>
      </c>
      <c r="F12388" s="18" t="str">
        <f>IFERROR(__XLUDF.DUMMYFUNCTION("PROPER(REGEXREPLACE(D21,""[^A-Za-z]+ "",""""))"),"Groupe Hdv")</f>
        <v xml:space="preserve">Groupe Hdv</v>
      </c>
      <c r="G12388" s="18" t="s">
        <v>56035</v>
      </c>
      <c r="H12388" s="18">
        <v>93</v>
      </c>
      <c r="I12388" s="18" t="s">
        <v>9239</v>
      </c>
      <c r="J12388" s="18" t="str">
        <f>IFERROR(__XLUDF.DUMMYFUNCTION("VLOOKUP(H21,IMPORTRANGE(""https://docs.google.com/spreadsheets/d/1opm6ZNvGZ7KditA9TuJwrZ25eFLfTNIkrNnY6mhV5Eg"",""list!A1:C115""),3,TRUE)"),"le secteur de la construction")</f>
        <v xml:space="preserve">le secteur de la construction</v>
      </c>
      <c r="K12388" s="5" t="s">
        <v>56036</v>
      </c>
      <c r="L12388" s="5" t="s">
        <v>56037</v>
      </c>
      <c r="M12388" s="18" t="s">
        <v>243</v>
      </c>
      <c r="N12388" s="18" t="s">
        <v>29</v>
      </c>
      <c r="O12388" s="18" t="s">
        <v>56038</v>
      </c>
      <c r="P12388" s="18" t="s">
        <v>29</v>
      </c>
      <c r="Q12388" s="18" t="s">
        <v>56039</v>
      </c>
      <c r="R12388" s="18">
        <v>0.86422553950000003</v>
      </c>
    </row>
    <row r="12389" ht="14.25">
      <c r="B12389" s="18" t="s">
        <v>2258</v>
      </c>
      <c r="C12389" s="18" t="s">
        <v>56040</v>
      </c>
      <c r="D12389" s="18" t="s">
        <v>56041</v>
      </c>
      <c r="E12389" s="18" t="s">
        <v>56042</v>
      </c>
      <c r="F12389" s="18" t="str">
        <f>IFERROR(__XLUDF.DUMMYFUNCTION("PROPER(REGEXREPLACE(D22,""[^A-Za-z]+ "",""""))"),"Axess")</f>
        <v>Axess</v>
      </c>
      <c r="G12389" s="18" t="s">
        <v>56043</v>
      </c>
      <c r="H12389" s="18">
        <v>130</v>
      </c>
      <c r="I12389" s="18" t="s">
        <v>9239</v>
      </c>
      <c r="J12389" s="18" t="str">
        <f>IFERROR(__XLUDF.DUMMYFUNCTION("VLOOKUP(H22,IMPORTRANGE(""https://docs.google.com/spreadsheets/d/1opm6ZNvGZ7KditA9TuJwrZ25eFLfTNIkrNnY6mhV5Eg"",""list!A1:C115""),3,TRUE)"),"le secteur de la construction")</f>
        <v xml:space="preserve">le secteur de la construction</v>
      </c>
      <c r="K12389" s="5" t="s">
        <v>56044</v>
      </c>
      <c r="L12389" s="5" t="s">
        <v>56045</v>
      </c>
      <c r="M12389" s="18" t="s">
        <v>39</v>
      </c>
      <c r="N12389" s="18" t="s">
        <v>29</v>
      </c>
      <c r="O12389" s="18" t="s">
        <v>56046</v>
      </c>
      <c r="P12389" s="18" t="s">
        <v>29</v>
      </c>
      <c r="Q12389" s="18" t="s">
        <v>56047</v>
      </c>
      <c r="R12389" s="18">
        <v>0.97622982059999996</v>
      </c>
    </row>
    <row r="12390" ht="14.25">
      <c r="B12390" s="18" t="s">
        <v>31</v>
      </c>
      <c r="C12390" s="18" t="s">
        <v>56048</v>
      </c>
      <c r="D12390" s="18" t="s">
        <v>426</v>
      </c>
      <c r="E12390" s="18" t="s">
        <v>56049</v>
      </c>
      <c r="F12390" s="18" t="str">
        <f>IFERROR(__XLUDF.DUMMYFUNCTION("PROPER(REGEXREPLACE(D23,""[^A-Za-z]+ "",""""))"),"Ab2Pro France")</f>
        <v xml:space="preserve">Ab2Pro France</v>
      </c>
      <c r="G12390" s="18" t="s">
        <v>56050</v>
      </c>
      <c r="H12390" s="18">
        <v>110</v>
      </c>
      <c r="I12390" s="18" t="s">
        <v>9239</v>
      </c>
      <c r="J12390" s="18" t="str">
        <f>IFERROR(__XLUDF.DUMMYFUNCTION("VLOOKUP(H23,IMPORTRANGE(""https://docs.google.com/spreadsheets/d/1opm6ZNvGZ7KditA9TuJwrZ25eFLfTNIkrNnY6mhV5Eg"",""list!A1:C115""),3,TRUE)"),"le secteur de la construction")</f>
        <v xml:space="preserve">le secteur de la construction</v>
      </c>
      <c r="K12390" s="5" t="s">
        <v>56051</v>
      </c>
      <c r="L12390" s="5" t="s">
        <v>56052</v>
      </c>
      <c r="M12390" s="18" t="s">
        <v>1711</v>
      </c>
      <c r="N12390" s="18" t="s">
        <v>29</v>
      </c>
      <c r="O12390" s="18" t="s">
        <v>56053</v>
      </c>
      <c r="P12390" s="18" t="s">
        <v>29</v>
      </c>
      <c r="Q12390" s="18" t="s">
        <v>56054</v>
      </c>
      <c r="R12390" s="18">
        <v>0.20331325080000001</v>
      </c>
    </row>
    <row r="12391" ht="14.25">
      <c r="B12391" s="18" t="s">
        <v>29037</v>
      </c>
      <c r="C12391" s="18" t="s">
        <v>56055</v>
      </c>
      <c r="D12391" s="18" t="s">
        <v>56056</v>
      </c>
      <c r="E12391" s="18" t="s">
        <v>56057</v>
      </c>
      <c r="F12391" s="18" t="str">
        <f>IFERROR(__XLUDF.DUMMYFUNCTION("PROPER(REGEXREPLACE(D24,""[^A-Za-z]+ "",""""))"),"Batibig")</f>
        <v>Batibig</v>
      </c>
      <c r="G12391" s="18" t="s">
        <v>56058</v>
      </c>
      <c r="H12391" s="18">
        <v>87</v>
      </c>
      <c r="I12391" s="18" t="s">
        <v>9239</v>
      </c>
      <c r="J12391" s="18" t="str">
        <f>IFERROR(__XLUDF.DUMMYFUNCTION("VLOOKUP(H24,IMPORTRANGE(""https://docs.google.com/spreadsheets/d/1opm6ZNvGZ7KditA9TuJwrZ25eFLfTNIkrNnY6mhV5Eg"",""list!A1:C115""),3,TRUE)"),"le secteur de la construction")</f>
        <v xml:space="preserve">le secteur de la construction</v>
      </c>
      <c r="K12391" s="5" t="s">
        <v>56059</v>
      </c>
      <c r="L12391" s="5" t="s">
        <v>56060</v>
      </c>
      <c r="M12391" s="6"/>
      <c r="N12391" s="18" t="s">
        <v>29</v>
      </c>
      <c r="O12391" s="18" t="s">
        <v>56061</v>
      </c>
      <c r="P12391" s="18" t="s">
        <v>29</v>
      </c>
      <c r="Q12391" s="18" t="s">
        <v>56062</v>
      </c>
      <c r="R12391" s="18">
        <v>0.35405423460000002</v>
      </c>
    </row>
    <row r="12392" ht="14.25">
      <c r="B12392" s="18" t="s">
        <v>17662</v>
      </c>
      <c r="C12392" s="18" t="s">
        <v>15353</v>
      </c>
      <c r="D12392" s="18" t="s">
        <v>164</v>
      </c>
      <c r="E12392" s="18" t="s">
        <v>56063</v>
      </c>
      <c r="F12392" s="18" t="str">
        <f>IFERROR(__XLUDF.DUMMYFUNCTION("PROPER(REGEXREPLACE(D25,""[^A-Za-z]+ "",""""))"),"Soriba")</f>
        <v>Soriba</v>
      </c>
      <c r="G12392" s="18" t="s">
        <v>56064</v>
      </c>
      <c r="H12392" s="18">
        <v>80</v>
      </c>
      <c r="I12392" s="18" t="s">
        <v>9239</v>
      </c>
      <c r="J12392" s="18" t="str">
        <f>IFERROR(__XLUDF.DUMMYFUNCTION("VLOOKUP(H25,IMPORTRANGE(""https://docs.google.com/spreadsheets/d/1opm6ZNvGZ7KditA9TuJwrZ25eFLfTNIkrNnY6mhV5Eg"",""list!A1:C115""),3,TRUE)"),"le secteur de la construction")</f>
        <v xml:space="preserve">le secteur de la construction</v>
      </c>
      <c r="K12392" s="5" t="s">
        <v>56065</v>
      </c>
      <c r="L12392" s="5" t="s">
        <v>56066</v>
      </c>
      <c r="M12392" s="18" t="s">
        <v>1711</v>
      </c>
      <c r="N12392" s="18" t="s">
        <v>29</v>
      </c>
      <c r="O12392" s="18" t="s">
        <v>56067</v>
      </c>
      <c r="P12392" s="18" t="s">
        <v>29</v>
      </c>
      <c r="Q12392" s="18" t="s">
        <v>56068</v>
      </c>
      <c r="R12392" s="18">
        <v>0.3611647892</v>
      </c>
    </row>
    <row r="12393" ht="14.25">
      <c r="B12393" s="18" t="s">
        <v>95</v>
      </c>
      <c r="C12393" s="18" t="s">
        <v>7198</v>
      </c>
      <c r="D12393" s="18" t="s">
        <v>6362</v>
      </c>
      <c r="E12393" s="18" t="s">
        <v>56069</v>
      </c>
      <c r="F12393" s="18" t="str">
        <f>IFERROR(__XLUDF.DUMMYFUNCTION("PROPER(REGEXREPLACE(D26,""[^A-Za-z]+ "",""""))"),"Entreprise Chanson")</f>
        <v xml:space="preserve">Entreprise Chanson</v>
      </c>
      <c r="G12393" s="18" t="s">
        <v>56070</v>
      </c>
      <c r="H12393" s="18">
        <v>30</v>
      </c>
      <c r="I12393" s="18" t="s">
        <v>9239</v>
      </c>
      <c r="J12393" s="18" t="str">
        <f>IFERROR(__XLUDF.DUMMYFUNCTION("VLOOKUP(H26,IMPORTRANGE(""https://docs.google.com/spreadsheets/d/1opm6ZNvGZ7KditA9TuJwrZ25eFLfTNIkrNnY6mhV5Eg"",""list!A1:C115""),3,TRUE)"),"le secteur de la construction")</f>
        <v xml:space="preserve">le secteur de la construction</v>
      </c>
      <c r="K12393" s="5" t="s">
        <v>56071</v>
      </c>
      <c r="L12393" s="5" t="s">
        <v>56072</v>
      </c>
      <c r="M12393" s="18" t="s">
        <v>1826</v>
      </c>
      <c r="N12393" s="18" t="s">
        <v>29</v>
      </c>
      <c r="O12393" s="18" t="s">
        <v>56073</v>
      </c>
      <c r="P12393" s="18" t="s">
        <v>29</v>
      </c>
      <c r="Q12393" s="18" t="s">
        <v>56074</v>
      </c>
      <c r="R12393" s="18">
        <v>0.86801405440000001</v>
      </c>
    </row>
    <row r="12394" ht="14.25">
      <c r="B12394" s="18" t="s">
        <v>874</v>
      </c>
      <c r="C12394" s="18" t="s">
        <v>56075</v>
      </c>
      <c r="D12394" s="18" t="s">
        <v>172</v>
      </c>
      <c r="E12394" s="18" t="s">
        <v>56076</v>
      </c>
      <c r="F12394" s="18" t="str">
        <f>IFERROR(__XLUDF.DUMMYFUNCTION("PROPER(REGEXREPLACE(D27,""[^A-Za-z]+ "",""""))"),"Lindera")</f>
        <v>Lindera</v>
      </c>
      <c r="G12394" s="18" t="s">
        <v>56077</v>
      </c>
      <c r="H12394" s="18">
        <v>61</v>
      </c>
      <c r="I12394" s="18" t="s">
        <v>9239</v>
      </c>
      <c r="J12394" s="18" t="str">
        <f>IFERROR(__XLUDF.DUMMYFUNCTION("VLOOKUP(H27,IMPORTRANGE(""https://docs.google.com/spreadsheets/d/1opm6ZNvGZ7KditA9TuJwrZ25eFLfTNIkrNnY6mhV5Eg"",""list!A1:C115""),3,TRUE)"),"le secteur de la construction")</f>
        <v xml:space="preserve">le secteur de la construction</v>
      </c>
      <c r="K12394" s="5" t="s">
        <v>56078</v>
      </c>
      <c r="L12394" s="5" t="s">
        <v>56079</v>
      </c>
      <c r="M12394" s="18" t="s">
        <v>7883</v>
      </c>
      <c r="N12394" s="18" t="s">
        <v>29</v>
      </c>
      <c r="O12394" s="18" t="s">
        <v>56080</v>
      </c>
      <c r="P12394" s="18" t="s">
        <v>29</v>
      </c>
      <c r="Q12394" s="18" t="s">
        <v>56081</v>
      </c>
      <c r="R12394" s="18">
        <v>0.47486827450000002</v>
      </c>
    </row>
    <row r="12395" ht="14.25">
      <c r="B12395" s="18" t="s">
        <v>948</v>
      </c>
      <c r="C12395" s="18" t="s">
        <v>43774</v>
      </c>
      <c r="D12395" s="18" t="s">
        <v>56082</v>
      </c>
      <c r="E12395" s="18" t="s">
        <v>56083</v>
      </c>
      <c r="F12395" s="18" t="str">
        <f>IFERROR(__XLUDF.DUMMYFUNCTION("PROPER(REGEXREPLACE(D28,""[^A-Za-z]+ "",""""))"),"Cruard Charpente Et Constructions Bois")</f>
        <v xml:space="preserve">Cruard Charpente Et Constructions Bois</v>
      </c>
      <c r="G12395" s="18" t="s">
        <v>56084</v>
      </c>
      <c r="H12395" s="18">
        <v>83</v>
      </c>
      <c r="I12395" s="18" t="s">
        <v>9239</v>
      </c>
      <c r="J12395" s="18" t="str">
        <f>IFERROR(__XLUDF.DUMMYFUNCTION("VLOOKUP(H28,IMPORTRANGE(""https://docs.google.com/spreadsheets/d/1opm6ZNvGZ7KditA9TuJwrZ25eFLfTNIkrNnY6mhV5Eg"",""list!A1:C115""),3,TRUE)"),"le secteur de la construction")</f>
        <v xml:space="preserve">le secteur de la construction</v>
      </c>
      <c r="K12395" s="5" t="s">
        <v>56085</v>
      </c>
      <c r="L12395" s="5" t="s">
        <v>56086</v>
      </c>
      <c r="M12395" s="18" t="s">
        <v>56087</v>
      </c>
      <c r="N12395" s="18" t="s">
        <v>29</v>
      </c>
      <c r="O12395" s="18" t="s">
        <v>56088</v>
      </c>
      <c r="P12395" s="18" t="s">
        <v>29</v>
      </c>
      <c r="Q12395" s="18" t="s">
        <v>56089</v>
      </c>
      <c r="R12395" s="18">
        <v>0.88438407699999999</v>
      </c>
    </row>
    <row r="12396" ht="14.25">
      <c r="B12396" s="18" t="s">
        <v>2299</v>
      </c>
      <c r="C12396" s="18" t="s">
        <v>56090</v>
      </c>
      <c r="D12396" s="18" t="s">
        <v>112</v>
      </c>
      <c r="E12396" s="18" t="s">
        <v>56091</v>
      </c>
      <c r="F12396" s="18" t="str">
        <f>IFERROR(__XLUDF.DUMMYFUNCTION("PROPER(REGEXREPLACE(D29,""[^A-Za-z]+ "",""""))"),"Groupe Moos")</f>
        <v xml:space="preserve">Groupe Moos</v>
      </c>
      <c r="G12396" s="18" t="s">
        <v>56092</v>
      </c>
      <c r="H12396" s="18">
        <v>71</v>
      </c>
      <c r="I12396" s="18" t="s">
        <v>9239</v>
      </c>
      <c r="J12396" s="18" t="str">
        <f>IFERROR(__XLUDF.DUMMYFUNCTION("VLOOKUP(H29,IMPORTRANGE(""https://docs.google.com/spreadsheets/d/1opm6ZNvGZ7KditA9TuJwrZ25eFLfTNIkrNnY6mhV5Eg"",""list!A1:C115""),3,TRUE)"),"le secteur de la construction")</f>
        <v xml:space="preserve">le secteur de la construction</v>
      </c>
      <c r="K12396" s="5" t="s">
        <v>56093</v>
      </c>
      <c r="L12396" s="5" t="s">
        <v>56094</v>
      </c>
      <c r="M12396" s="18" t="s">
        <v>185</v>
      </c>
      <c r="N12396" s="18" t="s">
        <v>29</v>
      </c>
      <c r="O12396" s="18" t="s">
        <v>56095</v>
      </c>
      <c r="P12396" s="18" t="s">
        <v>29</v>
      </c>
      <c r="Q12396" s="18" t="s">
        <v>56096</v>
      </c>
      <c r="R12396" s="18">
        <v>0.57803421359999996</v>
      </c>
    </row>
    <row r="12397" ht="14.25">
      <c r="B12397" s="18" t="s">
        <v>2299</v>
      </c>
      <c r="C12397" s="18" t="s">
        <v>56097</v>
      </c>
      <c r="D12397" s="18" t="s">
        <v>6362</v>
      </c>
      <c r="E12397" s="18" t="s">
        <v>56098</v>
      </c>
      <c r="F12397" s="18" t="str">
        <f>IFERROR(__XLUDF.DUMMYFUNCTION("PROPER(REGEXREPLACE(D30,""[^A-Za-z]+ "",""""))"),"Groupe E2M")</f>
        <v xml:space="preserve">Groupe E2M</v>
      </c>
      <c r="G12397" s="18" t="s">
        <v>56099</v>
      </c>
      <c r="H12397" s="18">
        <v>76</v>
      </c>
      <c r="I12397" s="18" t="s">
        <v>9239</v>
      </c>
      <c r="J12397" s="18" t="str">
        <f>IFERROR(__XLUDF.DUMMYFUNCTION("VLOOKUP(H30,IMPORTRANGE(""https://docs.google.com/spreadsheets/d/1opm6ZNvGZ7KditA9TuJwrZ25eFLfTNIkrNnY6mhV5Eg"",""list!A1:C115""),3,TRUE)"),"le secteur de la construction")</f>
        <v xml:space="preserve">le secteur de la construction</v>
      </c>
      <c r="K12397" s="5" t="s">
        <v>56100</v>
      </c>
      <c r="L12397" s="5" t="s">
        <v>56101</v>
      </c>
      <c r="M12397" s="18" t="s">
        <v>243</v>
      </c>
      <c r="N12397" s="18" t="s">
        <v>29</v>
      </c>
      <c r="O12397" s="18" t="s">
        <v>56102</v>
      </c>
      <c r="P12397" s="18" t="s">
        <v>29</v>
      </c>
      <c r="Q12397" s="18" t="s">
        <v>56103</v>
      </c>
      <c r="R12397" s="18">
        <v>0.14233063579999999</v>
      </c>
    </row>
    <row r="12398" ht="14.25">
      <c r="B12398" s="18" t="s">
        <v>2299</v>
      </c>
      <c r="C12398" s="18" t="s">
        <v>56104</v>
      </c>
      <c r="D12398" s="18" t="s">
        <v>56105</v>
      </c>
      <c r="E12398" s="18" t="s">
        <v>56106</v>
      </c>
      <c r="F12398" s="18" t="str">
        <f>IFERROR(__XLUDF.DUMMYFUNCTION("PROPER(REGEXREPLACE(D31,""[^A-Za-z]+ "",""""))"),"Acem")</f>
        <v>Acem</v>
      </c>
      <c r="G12398" s="18" t="s">
        <v>56107</v>
      </c>
      <c r="H12398" s="18">
        <v>58</v>
      </c>
      <c r="I12398" s="18" t="s">
        <v>9239</v>
      </c>
      <c r="J12398" s="18" t="str">
        <f>IFERROR(__XLUDF.DUMMYFUNCTION("VLOOKUP(H31,IMPORTRANGE(""https://docs.google.com/spreadsheets/d/1opm6ZNvGZ7KditA9TuJwrZ25eFLfTNIkrNnY6mhV5Eg"",""list!A1:C115""),3,TRUE)"),"le secteur de la construction")</f>
        <v xml:space="preserve">le secteur de la construction</v>
      </c>
      <c r="K12398" s="5" t="s">
        <v>56108</v>
      </c>
      <c r="L12398" s="5" t="s">
        <v>56109</v>
      </c>
      <c r="M12398" s="18" t="s">
        <v>39</v>
      </c>
      <c r="N12398" s="18" t="s">
        <v>29</v>
      </c>
      <c r="O12398" s="18" t="s">
        <v>67</v>
      </c>
      <c r="P12398" s="18" t="s">
        <v>29</v>
      </c>
      <c r="Q12398" s="18" t="s">
        <v>56110</v>
      </c>
      <c r="R12398" s="18">
        <v>0.68098387439999997</v>
      </c>
    </row>
    <row r="12399" ht="14.25">
      <c r="B12399" s="18" t="s">
        <v>2299</v>
      </c>
      <c r="C12399" s="18" t="s">
        <v>56111</v>
      </c>
      <c r="D12399" s="18" t="s">
        <v>56112</v>
      </c>
      <c r="E12399" s="18" t="s">
        <v>56113</v>
      </c>
      <c r="F12399" s="18" t="str">
        <f>IFERROR(__XLUDF.DUMMYFUNCTION("PROPER(REGEXREPLACE(D32,""[^A-Za-z]+ "",""""))"),"Mon Concept Habitation")</f>
        <v xml:space="preserve">Mon Concept Habitation</v>
      </c>
      <c r="G12399" s="18" t="s">
        <v>56114</v>
      </c>
      <c r="H12399" s="18">
        <v>74</v>
      </c>
      <c r="I12399" s="18" t="s">
        <v>9239</v>
      </c>
      <c r="J12399" s="18" t="str">
        <f>IFERROR(__XLUDF.DUMMYFUNCTION("VLOOKUP(H32,IMPORTRANGE(""https://docs.google.com/spreadsheets/d/1opm6ZNvGZ7KditA9TuJwrZ25eFLfTNIkrNnY6mhV5Eg"",""list!A1:C115""),3,TRUE)"),"le secteur de la construction")</f>
        <v xml:space="preserve">le secteur de la construction</v>
      </c>
      <c r="K12399" s="5" t="s">
        <v>56115</v>
      </c>
      <c r="L12399" s="5" t="s">
        <v>56116</v>
      </c>
      <c r="M12399" s="18" t="s">
        <v>846</v>
      </c>
      <c r="N12399" s="18" t="s">
        <v>29</v>
      </c>
      <c r="O12399" s="18" t="s">
        <v>56117</v>
      </c>
      <c r="P12399" s="18" t="s">
        <v>29</v>
      </c>
      <c r="Q12399" s="18" t="s">
        <v>56118</v>
      </c>
      <c r="R12399" s="18">
        <v>0.91231624720000004</v>
      </c>
    </row>
    <row r="12400" ht="14.25">
      <c r="B12400" s="18" t="s">
        <v>51689</v>
      </c>
      <c r="C12400" s="18" t="s">
        <v>743</v>
      </c>
      <c r="D12400" s="18" t="s">
        <v>1130</v>
      </c>
      <c r="E12400" s="18" t="s">
        <v>56119</v>
      </c>
      <c r="F12400" s="18" t="str">
        <f>IFERROR(__XLUDF.DUMMYFUNCTION("PROPER(REGEXREPLACE(D33,""[^A-Za-z]+ "",""""))"),"Iming")</f>
        <v>Iming</v>
      </c>
      <c r="G12400" s="18" t="s">
        <v>56120</v>
      </c>
      <c r="H12400" s="18">
        <v>110</v>
      </c>
      <c r="I12400" s="18" t="s">
        <v>9239</v>
      </c>
      <c r="J12400" s="18" t="str">
        <f>IFERROR(__XLUDF.DUMMYFUNCTION("VLOOKUP(H33,IMPORTRANGE(""https://docs.google.com/spreadsheets/d/1opm6ZNvGZ7KditA9TuJwrZ25eFLfTNIkrNnY6mhV5Eg"",""list!A1:C115""),3,TRUE)"),"le secteur de la construction")</f>
        <v xml:space="preserve">le secteur de la construction</v>
      </c>
      <c r="K12400" s="5" t="s">
        <v>56121</v>
      </c>
      <c r="L12400" s="5" t="s">
        <v>56122</v>
      </c>
      <c r="M12400" s="18" t="s">
        <v>185</v>
      </c>
      <c r="N12400" s="18" t="s">
        <v>29</v>
      </c>
      <c r="O12400" s="18" t="s">
        <v>56123</v>
      </c>
      <c r="P12400" s="18" t="s">
        <v>29</v>
      </c>
      <c r="Q12400" s="18" t="s">
        <v>56124</v>
      </c>
      <c r="R12400" s="18">
        <v>0.30294694030000002</v>
      </c>
    </row>
    <row r="12401" ht="14.25">
      <c r="B12401" s="18" t="s">
        <v>510</v>
      </c>
      <c r="C12401" s="18" t="s">
        <v>56125</v>
      </c>
      <c r="D12401" s="18" t="s">
        <v>426</v>
      </c>
      <c r="E12401" s="18" t="s">
        <v>56126</v>
      </c>
      <c r="F12401" s="18" t="str">
        <f>IFERROR(__XLUDF.DUMMYFUNCTION("PROPER(REGEXREPLACE(D34,""[^A-Za-z]+ "",""""))"),"Hirsch Isolation")</f>
        <v xml:space="preserve">Hirsch Isolation</v>
      </c>
      <c r="G12401" s="18" t="s">
        <v>56127</v>
      </c>
      <c r="H12401" s="18">
        <v>90</v>
      </c>
      <c r="I12401" s="18" t="s">
        <v>9239</v>
      </c>
      <c r="J12401" s="18" t="str">
        <f>IFERROR(__XLUDF.DUMMYFUNCTION("VLOOKUP(H34,IMPORTRANGE(""https://docs.google.com/spreadsheets/d/1opm6ZNvGZ7KditA9TuJwrZ25eFLfTNIkrNnY6mhV5Eg"",""list!A1:C115""),3,TRUE)"),"le secteur de la construction")</f>
        <v xml:space="preserve">le secteur de la construction</v>
      </c>
      <c r="K12401" s="5" t="s">
        <v>56128</v>
      </c>
      <c r="L12401" s="5" t="s">
        <v>56129</v>
      </c>
      <c r="M12401" s="6"/>
      <c r="N12401" s="18" t="s">
        <v>29</v>
      </c>
      <c r="O12401" s="18" t="s">
        <v>25608</v>
      </c>
      <c r="P12401" s="18" t="s">
        <v>29</v>
      </c>
      <c r="Q12401" s="18" t="s">
        <v>56130</v>
      </c>
      <c r="R12401" s="18">
        <v>0.76850145989999996</v>
      </c>
    </row>
    <row r="12402" ht="14.25">
      <c r="B12402" s="18" t="s">
        <v>3892</v>
      </c>
      <c r="C12402" s="18" t="s">
        <v>56131</v>
      </c>
      <c r="D12402" s="18" t="s">
        <v>6362</v>
      </c>
      <c r="E12402" s="18" t="s">
        <v>56132</v>
      </c>
      <c r="F12402" s="18" t="str">
        <f>IFERROR(__XLUDF.DUMMYFUNCTION("PROPER(REGEXREPLACE(D35,""[^A-Za-z]+ "",""""))"),"Garden Design")</f>
        <v xml:space="preserve">Garden Design</v>
      </c>
      <c r="G12402" s="18" t="s">
        <v>56133</v>
      </c>
      <c r="H12402" s="18">
        <v>78</v>
      </c>
      <c r="I12402" s="18" t="s">
        <v>9239</v>
      </c>
      <c r="J12402" s="18" t="str">
        <f>IFERROR(__XLUDF.DUMMYFUNCTION("VLOOKUP(H35,IMPORTRANGE(""https://docs.google.com/spreadsheets/d/1opm6ZNvGZ7KditA9TuJwrZ25eFLfTNIkrNnY6mhV5Eg"",""list!A1:C115""),3,TRUE)"),"le secteur de la construction")</f>
        <v xml:space="preserve">le secteur de la construction</v>
      </c>
      <c r="K12402" s="5" t="s">
        <v>56134</v>
      </c>
      <c r="L12402" s="5" t="s">
        <v>56135</v>
      </c>
      <c r="M12402" s="18" t="s">
        <v>6954</v>
      </c>
      <c r="N12402" s="18" t="s">
        <v>29</v>
      </c>
      <c r="O12402" s="18" t="s">
        <v>56136</v>
      </c>
      <c r="P12402" s="18" t="s">
        <v>1261</v>
      </c>
      <c r="Q12402" s="6"/>
      <c r="R12402" s="18">
        <v>0.64859656919999997</v>
      </c>
    </row>
    <row r="12403" ht="14.25">
      <c r="B12403" s="18" t="s">
        <v>638</v>
      </c>
      <c r="C12403" s="18" t="s">
        <v>16780</v>
      </c>
      <c r="D12403" s="18" t="s">
        <v>112</v>
      </c>
      <c r="E12403" s="18" t="s">
        <v>56137</v>
      </c>
      <c r="F12403" s="18" t="str">
        <f>IFERROR(__XLUDF.DUMMYFUNCTION("PROPER(REGEXREPLACE(D36,""[^A-Za-z]+ "",""""))"),"Groupe Guinier 1823")</f>
        <v xml:space="preserve">Groupe Guinier 1823</v>
      </c>
      <c r="G12403" s="18" t="s">
        <v>56138</v>
      </c>
      <c r="H12403" s="18">
        <v>75</v>
      </c>
      <c r="I12403" s="18" t="s">
        <v>9239</v>
      </c>
      <c r="J12403" s="18" t="str">
        <f>IFERROR(__XLUDF.DUMMYFUNCTION("VLOOKUP(H36,IMPORTRANGE(""https://docs.google.com/spreadsheets/d/1opm6ZNvGZ7KditA9TuJwrZ25eFLfTNIkrNnY6mhV5Eg"",""list!A1:C115""),3,TRUE)"),"le secteur de la construction")</f>
        <v xml:space="preserve">le secteur de la construction</v>
      </c>
      <c r="K12403" s="5" t="s">
        <v>56139</v>
      </c>
      <c r="L12403" s="5" t="s">
        <v>56140</v>
      </c>
      <c r="M12403" s="6"/>
      <c r="N12403" s="18" t="s">
        <v>29</v>
      </c>
      <c r="O12403" s="18" t="s">
        <v>18919</v>
      </c>
      <c r="P12403" s="18" t="s">
        <v>29</v>
      </c>
      <c r="Q12403" s="6"/>
      <c r="R12403" s="18">
        <v>0.3274140867</v>
      </c>
    </row>
    <row r="12404" ht="14.25">
      <c r="B12404" s="18" t="s">
        <v>95</v>
      </c>
      <c r="C12404" s="18" t="s">
        <v>56141</v>
      </c>
      <c r="D12404" s="18" t="s">
        <v>56142</v>
      </c>
      <c r="E12404" s="18" t="s">
        <v>56143</v>
      </c>
      <c r="F12404" s="18" t="str">
        <f>IFERROR(__XLUDF.DUMMYFUNCTION("PROPER(REGEXREPLACE(D37,""[^A-Za-z]+ "",""""))"),"Lenoir Metallerie")</f>
        <v xml:space="preserve">Lenoir Metallerie</v>
      </c>
      <c r="G12404" s="18" t="s">
        <v>56144</v>
      </c>
      <c r="H12404" s="18">
        <v>63</v>
      </c>
      <c r="I12404" s="18" t="s">
        <v>9239</v>
      </c>
      <c r="J12404" s="18" t="str">
        <f>IFERROR(__XLUDF.DUMMYFUNCTION("VLOOKUP(H37,IMPORTRANGE(""https://docs.google.com/spreadsheets/d/1opm6ZNvGZ7KditA9TuJwrZ25eFLfTNIkrNnY6mhV5Eg"",""list!A1:C115""),3,TRUE)"),"le secteur de la construction")</f>
        <v xml:space="preserve">le secteur de la construction</v>
      </c>
      <c r="K12404" s="5" t="s">
        <v>56145</v>
      </c>
      <c r="L12404" s="5" t="s">
        <v>56146</v>
      </c>
      <c r="M12404" s="18" t="s">
        <v>51563</v>
      </c>
      <c r="N12404" s="18" t="s">
        <v>29</v>
      </c>
      <c r="O12404" s="18" t="s">
        <v>56147</v>
      </c>
      <c r="P12404" s="18" t="s">
        <v>29</v>
      </c>
      <c r="Q12404" s="6"/>
      <c r="R12404" s="18">
        <v>0.59356191120000001</v>
      </c>
    </row>
    <row r="12405" ht="14.25">
      <c r="B12405" s="18" t="s">
        <v>3164</v>
      </c>
      <c r="C12405" s="18" t="s">
        <v>56148</v>
      </c>
      <c r="D12405" s="18" t="s">
        <v>112</v>
      </c>
      <c r="E12405" s="18" t="s">
        <v>56149</v>
      </c>
      <c r="F12405" s="18" t="str">
        <f>IFERROR(__XLUDF.DUMMYFUNCTION("PROPER(REGEXREPLACE(D38,""[^A-Za-z]+ "",""""))"),"Groupe Eitp")</f>
        <v xml:space="preserve">Groupe Eitp</v>
      </c>
      <c r="G12405" s="18" t="s">
        <v>56150</v>
      </c>
      <c r="H12405" s="18">
        <v>76</v>
      </c>
      <c r="I12405" s="18" t="s">
        <v>9239</v>
      </c>
      <c r="J12405" s="18" t="str">
        <f>IFERROR(__XLUDF.DUMMYFUNCTION("VLOOKUP(H38,IMPORTRANGE(""https://docs.google.com/spreadsheets/d/1opm6ZNvGZ7KditA9TuJwrZ25eFLfTNIkrNnY6mhV5Eg"",""list!A1:C115""),3,TRUE)"),"le secteur de la construction")</f>
        <v xml:space="preserve">le secteur de la construction</v>
      </c>
      <c r="K12405" s="5" t="s">
        <v>56151</v>
      </c>
      <c r="L12405" s="5" t="s">
        <v>56152</v>
      </c>
      <c r="M12405" s="18" t="s">
        <v>295</v>
      </c>
      <c r="N12405" s="18" t="s">
        <v>29</v>
      </c>
      <c r="O12405" s="18" t="s">
        <v>56153</v>
      </c>
      <c r="P12405" s="18" t="s">
        <v>29</v>
      </c>
      <c r="Q12405" s="6"/>
      <c r="R12405" s="18">
        <v>0.2436077261</v>
      </c>
    </row>
    <row r="12406" ht="14.25">
      <c r="B12406" s="18" t="s">
        <v>56154</v>
      </c>
      <c r="C12406" s="18" t="s">
        <v>95</v>
      </c>
      <c r="D12406" s="18" t="s">
        <v>6362</v>
      </c>
      <c r="E12406" s="18" t="s">
        <v>56155</v>
      </c>
      <c r="F12406" s="18" t="str">
        <f>IFERROR(__XLUDF.DUMMYFUNCTION("PROPER(REGEXREPLACE(D39,""[^A-Za-z]+ "",""""))"),"Ubat")</f>
        <v>Ubat</v>
      </c>
      <c r="G12406" s="18" t="s">
        <v>56156</v>
      </c>
      <c r="H12406" s="18">
        <v>73</v>
      </c>
      <c r="I12406" s="18" t="s">
        <v>9239</v>
      </c>
      <c r="J12406" s="18" t="str">
        <f>IFERROR(__XLUDF.DUMMYFUNCTION("VLOOKUP(H39,IMPORTRANGE(""https://docs.google.com/spreadsheets/d/1opm6ZNvGZ7KditA9TuJwrZ25eFLfTNIkrNnY6mhV5Eg"",""list!A1:C115""),3,TRUE)"),"le secteur de la construction")</f>
        <v xml:space="preserve">le secteur de la construction</v>
      </c>
      <c r="K12406" s="5" t="s">
        <v>56157</v>
      </c>
      <c r="L12406" s="5" t="s">
        <v>56158</v>
      </c>
      <c r="M12406" s="18" t="s">
        <v>2149</v>
      </c>
      <c r="N12406" s="18" t="s">
        <v>29</v>
      </c>
      <c r="O12406" s="18" t="s">
        <v>56159</v>
      </c>
      <c r="P12406" s="18" t="s">
        <v>29</v>
      </c>
      <c r="Q12406" s="18" t="s">
        <v>56160</v>
      </c>
      <c r="R12406" s="18">
        <v>0.026141646679999998</v>
      </c>
    </row>
    <row r="12407" ht="14.25">
      <c r="B12407" s="18" t="s">
        <v>670</v>
      </c>
      <c r="C12407" s="18" t="s">
        <v>56161</v>
      </c>
      <c r="D12407" s="18" t="s">
        <v>6391</v>
      </c>
      <c r="E12407" s="18" t="s">
        <v>56162</v>
      </c>
      <c r="F12407" s="18" t="str">
        <f>IFERROR(__XLUDF.DUMMYFUNCTION("PROPER(REGEXREPLACE(D40,""[^A-Za-z]+ "",""""))"),"Natilia")</f>
        <v>Natilia</v>
      </c>
      <c r="G12407" s="18" t="s">
        <v>56163</v>
      </c>
      <c r="H12407" s="18">
        <v>90</v>
      </c>
      <c r="I12407" s="18" t="s">
        <v>9239</v>
      </c>
      <c r="J12407" s="18" t="str">
        <f>IFERROR(__XLUDF.DUMMYFUNCTION("VLOOKUP(H40,IMPORTRANGE(""https://docs.google.com/spreadsheets/d/1opm6ZNvGZ7KditA9TuJwrZ25eFLfTNIkrNnY6mhV5Eg"",""list!A1:C115""),3,TRUE)"),"le secteur de la construction")</f>
        <v xml:space="preserve">le secteur de la construction</v>
      </c>
      <c r="K12407" s="5" t="s">
        <v>56164</v>
      </c>
      <c r="L12407" s="5" t="s">
        <v>56165</v>
      </c>
      <c r="M12407" s="6"/>
      <c r="N12407" s="18" t="s">
        <v>29</v>
      </c>
      <c r="O12407" s="18" t="s">
        <v>56166</v>
      </c>
      <c r="P12407" s="18" t="s">
        <v>29</v>
      </c>
      <c r="Q12407" s="18" t="s">
        <v>56167</v>
      </c>
      <c r="R12407" s="18">
        <v>0.53867334739999995</v>
      </c>
    </row>
    <row r="12408" ht="14.25">
      <c r="B12408" s="18" t="s">
        <v>9922</v>
      </c>
      <c r="C12408" s="18" t="s">
        <v>56168</v>
      </c>
      <c r="D12408" s="18" t="s">
        <v>172</v>
      </c>
      <c r="E12408" s="18" t="s">
        <v>56169</v>
      </c>
      <c r="F12408" s="18" t="str">
        <f>IFERROR(__XLUDF.DUMMYFUNCTION("PROPER(REGEXREPLACE(D41,""[^A-Za-z]+ "",""""))"),"Perfhome")</f>
        <v>Perfhome</v>
      </c>
      <c r="G12408" s="18" t="s">
        <v>56170</v>
      </c>
      <c r="H12408" s="18">
        <v>67</v>
      </c>
      <c r="I12408" s="18" t="s">
        <v>9239</v>
      </c>
      <c r="J12408" s="18" t="str">
        <f>IFERROR(__XLUDF.DUMMYFUNCTION("VLOOKUP(H41,IMPORTRANGE(""https://docs.google.com/spreadsheets/d/1opm6ZNvGZ7KditA9TuJwrZ25eFLfTNIkrNnY6mhV5Eg"",""list!A1:C115""),3,TRUE)"),"le secteur de la construction")</f>
        <v xml:space="preserve">le secteur de la construction</v>
      </c>
      <c r="K12408" s="5" t="s">
        <v>56171</v>
      </c>
      <c r="L12408" s="5" t="s">
        <v>56172</v>
      </c>
      <c r="M12408" s="18" t="s">
        <v>10537</v>
      </c>
      <c r="N12408" s="18" t="s">
        <v>29</v>
      </c>
      <c r="O12408" s="18" t="s">
        <v>56173</v>
      </c>
      <c r="P12408" s="18" t="s">
        <v>29</v>
      </c>
      <c r="Q12408" s="18" t="s">
        <v>56174</v>
      </c>
      <c r="R12408" s="18">
        <v>0.54668165619999998</v>
      </c>
    </row>
    <row r="12409" ht="14.25">
      <c r="B12409" s="18" t="s">
        <v>41529</v>
      </c>
      <c r="C12409" s="18" t="s">
        <v>56175</v>
      </c>
      <c r="D12409" s="18" t="s">
        <v>172</v>
      </c>
      <c r="E12409" s="18" t="s">
        <v>56176</v>
      </c>
      <c r="F12409" s="18" t="str">
        <f>IFERROR(__XLUDF.DUMMYFUNCTION("PROPER(REGEXREPLACE(D42,""[^A-Za-z]+ "",""""))"),"Scie")</f>
        <v>Scie</v>
      </c>
      <c r="G12409" s="18" t="s">
        <v>56177</v>
      </c>
      <c r="H12409" s="18">
        <v>89</v>
      </c>
      <c r="I12409" s="18" t="s">
        <v>9239</v>
      </c>
      <c r="J12409" s="18" t="str">
        <f>IFERROR(__XLUDF.DUMMYFUNCTION("VLOOKUP(H42,IMPORTRANGE(""https://docs.google.com/spreadsheets/d/1opm6ZNvGZ7KditA9TuJwrZ25eFLfTNIkrNnY6mhV5Eg"",""list!A1:C115""),3,TRUE)"),"le secteur de la construction")</f>
        <v xml:space="preserve">le secteur de la construction</v>
      </c>
      <c r="K12409" s="5" t="s">
        <v>56178</v>
      </c>
      <c r="L12409" s="5" t="s">
        <v>56179</v>
      </c>
      <c r="M12409" s="6"/>
      <c r="N12409" s="18" t="s">
        <v>29</v>
      </c>
      <c r="O12409" s="18" t="s">
        <v>56180</v>
      </c>
      <c r="P12409" s="18" t="s">
        <v>29</v>
      </c>
      <c r="Q12409" s="6"/>
      <c r="R12409" s="18">
        <v>0.68346868449999998</v>
      </c>
    </row>
    <row r="12410" ht="14.25">
      <c r="B12410" s="18" t="s">
        <v>6634</v>
      </c>
      <c r="C12410" s="18" t="s">
        <v>56181</v>
      </c>
      <c r="D12410" s="18" t="s">
        <v>3982</v>
      </c>
      <c r="E12410" s="18" t="s">
        <v>56182</v>
      </c>
      <c r="F12410" s="18" t="str">
        <f>IFERROR(__XLUDF.DUMMYFUNCTION("PROPER(REGEXREPLACE(D43,""[^A-Za-z]+ "",""""))"),"Marc Sas")</f>
        <v xml:space="preserve">Marc Sas</v>
      </c>
      <c r="G12410" s="18" t="s">
        <v>56183</v>
      </c>
      <c r="H12410" s="18">
        <v>53</v>
      </c>
      <c r="I12410" s="18" t="s">
        <v>9239</v>
      </c>
      <c r="J12410" s="18" t="str">
        <f>IFERROR(__XLUDF.DUMMYFUNCTION("VLOOKUP(H43,IMPORTRANGE(""https://docs.google.com/spreadsheets/d/1opm6ZNvGZ7KditA9TuJwrZ25eFLfTNIkrNnY6mhV5Eg"",""list!A1:C115""),3,TRUE)"),"le secteur de la construction")</f>
        <v xml:space="preserve">le secteur de la construction</v>
      </c>
      <c r="K12410" s="5" t="s">
        <v>56184</v>
      </c>
      <c r="L12410" s="5" t="s">
        <v>56185</v>
      </c>
      <c r="M12410" s="18" t="s">
        <v>482</v>
      </c>
      <c r="N12410" s="18" t="s">
        <v>29</v>
      </c>
      <c r="O12410" s="18" t="s">
        <v>56186</v>
      </c>
      <c r="P12410" s="18" t="s">
        <v>29</v>
      </c>
      <c r="Q12410" s="18" t="s">
        <v>56187</v>
      </c>
      <c r="R12410" s="18">
        <v>0.46448584139999999</v>
      </c>
    </row>
    <row r="12411" ht="14.25">
      <c r="B12411" s="18" t="s">
        <v>556</v>
      </c>
      <c r="C12411" s="18" t="s">
        <v>56188</v>
      </c>
      <c r="D12411" s="18" t="s">
        <v>56189</v>
      </c>
      <c r="E12411" s="18" t="s">
        <v>56190</v>
      </c>
      <c r="F12411" s="18" t="str">
        <f>IFERROR(__XLUDF.DUMMYFUNCTION("PROPER(REGEXREPLACE(D44,""[^A-Za-z]+ "",""""))"),"Ilao")</f>
        <v>Ilao</v>
      </c>
      <c r="G12411" s="18" t="s">
        <v>56191</v>
      </c>
      <c r="H12411" s="18">
        <v>54</v>
      </c>
      <c r="I12411" s="18" t="s">
        <v>9239</v>
      </c>
      <c r="J12411" s="18" t="str">
        <f>IFERROR(__XLUDF.DUMMYFUNCTION("VLOOKUP(H44,IMPORTRANGE(""https://docs.google.com/spreadsheets/d/1opm6ZNvGZ7KditA9TuJwrZ25eFLfTNIkrNnY6mhV5Eg"",""list!A1:C115""),3,TRUE)"),"le secteur de la construction")</f>
        <v xml:space="preserve">le secteur de la construction</v>
      </c>
      <c r="K12411" s="5" t="s">
        <v>56192</v>
      </c>
      <c r="L12411" s="5" t="s">
        <v>56193</v>
      </c>
      <c r="M12411" s="6"/>
      <c r="N12411" s="18" t="s">
        <v>29</v>
      </c>
      <c r="O12411" s="18" t="s">
        <v>56194</v>
      </c>
      <c r="P12411" s="18" t="s">
        <v>29</v>
      </c>
      <c r="Q12411" s="18" t="s">
        <v>56195</v>
      </c>
      <c r="R12411" s="18">
        <v>0.2125554408</v>
      </c>
    </row>
    <row r="12412" ht="14.25">
      <c r="B12412" s="18" t="s">
        <v>25851</v>
      </c>
      <c r="C12412" s="18" t="s">
        <v>56196</v>
      </c>
      <c r="D12412" s="18" t="s">
        <v>112</v>
      </c>
      <c r="E12412" s="18" t="s">
        <v>56197</v>
      </c>
      <c r="F12412" s="18" t="str">
        <f>IFERROR(__XLUDF.DUMMYFUNCTION("PROPER(REGEXREPLACE(D45,""[^A-Za-z]+ "",""""))"),"Groupe Darver")</f>
        <v xml:space="preserve">Groupe Darver</v>
      </c>
      <c r="G12412" s="18" t="s">
        <v>56198</v>
      </c>
      <c r="H12412" s="18">
        <v>86</v>
      </c>
      <c r="I12412" s="18" t="s">
        <v>9239</v>
      </c>
      <c r="J12412" s="18" t="str">
        <f>IFERROR(__XLUDF.DUMMYFUNCTION("VLOOKUP(H45,IMPORTRANGE(""https://docs.google.com/spreadsheets/d/1opm6ZNvGZ7KditA9TuJwrZ25eFLfTNIkrNnY6mhV5Eg"",""list!A1:C115""),3,TRUE)"),"le secteur de la construction")</f>
        <v xml:space="preserve">le secteur de la construction</v>
      </c>
      <c r="K12412" s="5" t="s">
        <v>56199</v>
      </c>
      <c r="L12412" s="5" t="s">
        <v>56200</v>
      </c>
      <c r="M12412" s="18" t="s">
        <v>482</v>
      </c>
      <c r="N12412" s="18" t="s">
        <v>29</v>
      </c>
      <c r="O12412" s="18" t="s">
        <v>56201</v>
      </c>
      <c r="P12412" s="18" t="s">
        <v>29</v>
      </c>
      <c r="Q12412" s="6"/>
      <c r="R12412" s="18">
        <v>0.57125561879999998</v>
      </c>
    </row>
    <row r="12413" ht="14.25">
      <c r="B12413" s="18" t="s">
        <v>1324</v>
      </c>
      <c r="C12413" s="18" t="s">
        <v>46219</v>
      </c>
      <c r="D12413" s="18" t="s">
        <v>172</v>
      </c>
      <c r="E12413" s="18" t="s">
        <v>56119</v>
      </c>
      <c r="F12413" s="18" t="str">
        <f>IFERROR(__XLUDF.DUMMYFUNCTION("PROPER(REGEXREPLACE(D46,""[^A-Za-z]+ "",""""))"),"Iming")</f>
        <v>Iming</v>
      </c>
      <c r="G12413" s="18" t="s">
        <v>56202</v>
      </c>
      <c r="H12413" s="18">
        <v>110</v>
      </c>
      <c r="I12413" s="18" t="s">
        <v>9239</v>
      </c>
      <c r="J12413" s="18" t="str">
        <f>IFERROR(__XLUDF.DUMMYFUNCTION("VLOOKUP(H46,IMPORTRANGE(""https://docs.google.com/spreadsheets/d/1opm6ZNvGZ7KditA9TuJwrZ25eFLfTNIkrNnY6mhV5Eg"",""list!A1:C115""),3,TRUE)"),"le secteur de la construction")</f>
        <v xml:space="preserve">le secteur de la construction</v>
      </c>
      <c r="K12413" s="5" t="s">
        <v>56203</v>
      </c>
      <c r="L12413" s="5" t="s">
        <v>56122</v>
      </c>
      <c r="M12413" s="18" t="s">
        <v>9403</v>
      </c>
      <c r="N12413" s="18" t="s">
        <v>29</v>
      </c>
      <c r="O12413" s="18" t="s">
        <v>56123</v>
      </c>
      <c r="P12413" s="18" t="s">
        <v>29</v>
      </c>
      <c r="Q12413" s="18" t="s">
        <v>56124</v>
      </c>
      <c r="R12413" s="18">
        <v>0.49028143790000001</v>
      </c>
    </row>
    <row r="12414" ht="14.25">
      <c r="B12414" s="18" t="s">
        <v>817</v>
      </c>
      <c r="C12414" s="18" t="s">
        <v>56204</v>
      </c>
      <c r="D12414" s="18" t="s">
        <v>172</v>
      </c>
      <c r="E12414" s="18" t="s">
        <v>56205</v>
      </c>
      <c r="F12414" s="18" t="str">
        <f>IFERROR(__XLUDF.DUMMYFUNCTION("PROPER(REGEXREPLACE(D47,""[^A-Za-z]+ "",""""))"),"Baudet S.A")</f>
        <v xml:space="preserve">Baudet S.A</v>
      </c>
      <c r="G12414" s="18" t="s">
        <v>56206</v>
      </c>
      <c r="H12414" s="18">
        <v>62</v>
      </c>
      <c r="I12414" s="18" t="s">
        <v>9239</v>
      </c>
      <c r="J12414" s="18" t="str">
        <f>IFERROR(__XLUDF.DUMMYFUNCTION("VLOOKUP(H47,IMPORTRANGE(""https://docs.google.com/spreadsheets/d/1opm6ZNvGZ7KditA9TuJwrZ25eFLfTNIkrNnY6mhV5Eg"",""list!A1:C115""),3,TRUE)"),"le secteur de la construction")</f>
        <v xml:space="preserve">le secteur de la construction</v>
      </c>
      <c r="K12414" s="5" t="s">
        <v>56207</v>
      </c>
      <c r="L12414" s="5" t="s">
        <v>56208</v>
      </c>
      <c r="M12414" s="18" t="s">
        <v>1711</v>
      </c>
      <c r="N12414" s="18" t="s">
        <v>29</v>
      </c>
      <c r="O12414" s="18" t="s">
        <v>56209</v>
      </c>
      <c r="P12414" s="18" t="s">
        <v>29</v>
      </c>
      <c r="Q12414" s="18" t="s">
        <v>56210</v>
      </c>
      <c r="R12414" s="18">
        <v>0.57836763989999995</v>
      </c>
    </row>
    <row r="12415" ht="14.25">
      <c r="B12415" s="18" t="s">
        <v>817</v>
      </c>
      <c r="C12415" s="18" t="s">
        <v>56211</v>
      </c>
      <c r="D12415" s="18" t="s">
        <v>41140</v>
      </c>
      <c r="E12415" s="18" t="s">
        <v>56212</v>
      </c>
      <c r="F12415" s="18" t="str">
        <f>IFERROR(__XLUDF.DUMMYFUNCTION("PROPER(REGEXREPLACE(D48,""[^A-Za-z]+ "",""""))"),"Serupa Sas")</f>
        <v xml:space="preserve">Serupa Sas</v>
      </c>
      <c r="G12415" s="18" t="s">
        <v>56213</v>
      </c>
      <c r="H12415" s="18">
        <v>79</v>
      </c>
      <c r="I12415" s="18" t="s">
        <v>9239</v>
      </c>
      <c r="J12415" s="18" t="str">
        <f>IFERROR(__XLUDF.DUMMYFUNCTION("VLOOKUP(H48,IMPORTRANGE(""https://docs.google.com/spreadsheets/d/1opm6ZNvGZ7KditA9TuJwrZ25eFLfTNIkrNnY6mhV5Eg"",""list!A1:C115""),3,TRUE)"),"le secteur de la construction")</f>
        <v xml:space="preserve">le secteur de la construction</v>
      </c>
      <c r="K12415" s="5" t="s">
        <v>56214</v>
      </c>
      <c r="L12415" s="5" t="s">
        <v>56215</v>
      </c>
      <c r="M12415" s="18" t="s">
        <v>1826</v>
      </c>
      <c r="N12415" s="18" t="s">
        <v>29</v>
      </c>
      <c r="O12415" s="18" t="s">
        <v>56216</v>
      </c>
      <c r="P12415" s="18" t="s">
        <v>29</v>
      </c>
      <c r="Q12415" s="18" t="s">
        <v>56217</v>
      </c>
      <c r="R12415" s="18">
        <v>0.91974594789999997</v>
      </c>
    </row>
    <row r="12416" ht="14.25">
      <c r="B12416" s="18" t="s">
        <v>630</v>
      </c>
      <c r="C12416" s="18" t="s">
        <v>30817</v>
      </c>
      <c r="D12416" s="18" t="s">
        <v>172</v>
      </c>
      <c r="E12416" s="18" t="s">
        <v>4492</v>
      </c>
      <c r="F12416" s="18" t="str">
        <f>IFERROR(__XLUDF.DUMMYFUNCTION("PROPER(REGEXREPLACE(D49,""[^A-Za-z]+ "",""""))"),"Asselin")</f>
        <v>Asselin</v>
      </c>
      <c r="G12416" s="18" t="s">
        <v>56218</v>
      </c>
      <c r="H12416" s="18">
        <v>79</v>
      </c>
      <c r="I12416" s="18" t="s">
        <v>9239</v>
      </c>
      <c r="J12416" s="18" t="str">
        <f>IFERROR(__XLUDF.DUMMYFUNCTION("VLOOKUP(H49,IMPORTRANGE(""https://docs.google.com/spreadsheets/d/1opm6ZNvGZ7KditA9TuJwrZ25eFLfTNIkrNnY6mhV5Eg"",""list!A1:C115""),3,TRUE)"),"le secteur de la construction")</f>
        <v xml:space="preserve">le secteur de la construction</v>
      </c>
      <c r="K12416" s="5" t="s">
        <v>56219</v>
      </c>
      <c r="L12416" s="5" t="s">
        <v>56220</v>
      </c>
      <c r="M12416" s="18" t="s">
        <v>2186</v>
      </c>
      <c r="N12416" s="18" t="s">
        <v>29</v>
      </c>
      <c r="O12416" s="18" t="s">
        <v>56221</v>
      </c>
      <c r="P12416" s="18" t="s">
        <v>29</v>
      </c>
      <c r="Q12416" s="18" t="s">
        <v>56222</v>
      </c>
      <c r="R12416" s="18">
        <v>0.58768094429999995</v>
      </c>
    </row>
    <row r="12417" ht="14.25">
      <c r="B12417" s="18" t="s">
        <v>630</v>
      </c>
      <c r="C12417" s="18" t="s">
        <v>56223</v>
      </c>
      <c r="D12417" s="18" t="s">
        <v>56224</v>
      </c>
      <c r="E12417" s="18" t="s">
        <v>56225</v>
      </c>
      <c r="F12417" s="18" t="str">
        <f>IFERROR(__XLUDF.DUMMYFUNCTION("PROPER(REGEXREPLACE(D50,""[^A-Za-z]+ "",""""))"),"Sateba France")</f>
        <v xml:space="preserve">Sateba France</v>
      </c>
      <c r="G12417" s="18" t="s">
        <v>56226</v>
      </c>
      <c r="H12417" s="18">
        <v>63</v>
      </c>
      <c r="I12417" s="18" t="s">
        <v>9239</v>
      </c>
      <c r="J12417" s="18" t="str">
        <f>IFERROR(__XLUDF.DUMMYFUNCTION("VLOOKUP(H50,IMPORTRANGE(""https://docs.google.com/spreadsheets/d/1opm6ZNvGZ7KditA9TuJwrZ25eFLfTNIkrNnY6mhV5Eg"",""list!A1:C115""),3,TRUE)"),"le secteur de la construction")</f>
        <v xml:space="preserve">le secteur de la construction</v>
      </c>
      <c r="K12417" s="5" t="s">
        <v>56227</v>
      </c>
      <c r="L12417" s="5" t="s">
        <v>56228</v>
      </c>
      <c r="M12417" s="6"/>
      <c r="N12417" s="18" t="s">
        <v>29</v>
      </c>
      <c r="O12417" s="18" t="s">
        <v>337</v>
      </c>
      <c r="P12417" s="18" t="s">
        <v>29</v>
      </c>
      <c r="Q12417" s="18" t="s">
        <v>56229</v>
      </c>
      <c r="R12417" s="18">
        <v>0.52748369530000006</v>
      </c>
    </row>
    <row r="12418" ht="14.25">
      <c r="B12418" s="18" t="s">
        <v>630</v>
      </c>
      <c r="C12418" s="18" t="s">
        <v>56230</v>
      </c>
      <c r="D12418" s="18" t="s">
        <v>56231</v>
      </c>
      <c r="E12418" s="18" t="s">
        <v>56232</v>
      </c>
      <c r="F12418" s="18" t="str">
        <f>IFERROR(__XLUDF.DUMMYFUNCTION("PROPER(REGEXREPLACE(D51,""[^A-Za-z]+ "",""""))"),"Natibox Studio De Jardin Environnemental")</f>
        <v xml:space="preserve">Natibox Studio De Jardin Environnemental</v>
      </c>
      <c r="G12418" s="18" t="s">
        <v>56233</v>
      </c>
      <c r="H12418" s="18">
        <v>26</v>
      </c>
      <c r="I12418" s="18" t="s">
        <v>9239</v>
      </c>
      <c r="J12418" s="18" t="str">
        <f>IFERROR(__XLUDF.DUMMYFUNCTION("VLOOKUP(H51,IMPORTRANGE(""https://docs.google.com/spreadsheets/d/1opm6ZNvGZ7KditA9TuJwrZ25eFLfTNIkrNnY6mhV5Eg"",""list!A1:C115""),3,TRUE)"),"le secteur de la construction")</f>
        <v xml:space="preserve">le secteur de la construction</v>
      </c>
      <c r="K12418" s="5" t="s">
        <v>56234</v>
      </c>
      <c r="L12418" s="5" t="s">
        <v>56235</v>
      </c>
      <c r="M12418" s="18" t="s">
        <v>24527</v>
      </c>
      <c r="N12418" s="18" t="s">
        <v>29</v>
      </c>
      <c r="O12418" s="18" t="s">
        <v>56236</v>
      </c>
      <c r="P12418" s="18" t="s">
        <v>29</v>
      </c>
      <c r="Q12418" s="6"/>
      <c r="R12418" s="18">
        <v>0.69508905880000005</v>
      </c>
    </row>
    <row r="12419" ht="14.25">
      <c r="B12419" s="18" t="s">
        <v>3850</v>
      </c>
      <c r="C12419" s="18" t="s">
        <v>56237</v>
      </c>
      <c r="D12419" s="18" t="s">
        <v>6362</v>
      </c>
      <c r="E12419" s="18" t="s">
        <v>56238</v>
      </c>
      <c r="F12419" s="18" t="str">
        <f>IFERROR(__XLUDF.DUMMYFUNCTION("PROPER(REGEXREPLACE(D52,""[^A-Za-z]+ "",""""))"),"Adelec")</f>
        <v>Adelec</v>
      </c>
      <c r="G12419" s="18" t="s">
        <v>56239</v>
      </c>
      <c r="H12419" s="18">
        <v>40</v>
      </c>
      <c r="I12419" s="18" t="s">
        <v>9239</v>
      </c>
      <c r="J12419" s="18" t="str">
        <f>IFERROR(__XLUDF.DUMMYFUNCTION("VLOOKUP(H52,IMPORTRANGE(""https://docs.google.com/spreadsheets/d/1opm6ZNvGZ7KditA9TuJwrZ25eFLfTNIkrNnY6mhV5Eg"",""list!A1:C115""),3,TRUE)"),"le secteur de la construction")</f>
        <v xml:space="preserve">le secteur de la construction</v>
      </c>
      <c r="K12419" s="5" t="s">
        <v>56240</v>
      </c>
      <c r="L12419" s="18" t="s">
        <v>56241</v>
      </c>
      <c r="M12419" s="18" t="s">
        <v>39</v>
      </c>
      <c r="N12419" s="18" t="s">
        <v>29</v>
      </c>
      <c r="O12419" s="18" t="s">
        <v>20200</v>
      </c>
      <c r="P12419" s="18" t="s">
        <v>29</v>
      </c>
      <c r="Q12419" s="6"/>
      <c r="R12419" s="18">
        <v>0.72077732510000003</v>
      </c>
    </row>
    <row r="12420" ht="14.25">
      <c r="B12420" s="18" t="s">
        <v>6945</v>
      </c>
      <c r="C12420" s="18" t="s">
        <v>27839</v>
      </c>
      <c r="D12420" s="18" t="s">
        <v>6362</v>
      </c>
      <c r="E12420" s="18" t="s">
        <v>56242</v>
      </c>
      <c r="F12420" s="18" t="str">
        <f>IFERROR(__XLUDF.DUMMYFUNCTION("PROPER(REGEXREPLACE(D53,""[^A-Za-z]+ "",""""))"),"Abg Climatique")</f>
        <v xml:space="preserve">Abg Climatique</v>
      </c>
      <c r="G12420" s="18" t="s">
        <v>56243</v>
      </c>
      <c r="H12420" s="18">
        <v>28</v>
      </c>
      <c r="I12420" s="18" t="s">
        <v>9239</v>
      </c>
      <c r="J12420" s="18" t="str">
        <f>IFERROR(__XLUDF.DUMMYFUNCTION("VLOOKUP(H53,IMPORTRANGE(""https://docs.google.com/spreadsheets/d/1opm6ZNvGZ7KditA9TuJwrZ25eFLfTNIkrNnY6mhV5Eg"",""list!A1:C115""),3,TRUE)"),"le secteur de la construction")</f>
        <v xml:space="preserve">le secteur de la construction</v>
      </c>
      <c r="K12420" s="5" t="s">
        <v>56244</v>
      </c>
      <c r="L12420" s="5" t="s">
        <v>56245</v>
      </c>
      <c r="M12420" s="18" t="s">
        <v>1711</v>
      </c>
      <c r="N12420" s="18" t="s">
        <v>29</v>
      </c>
      <c r="O12420" s="18" t="s">
        <v>56246</v>
      </c>
      <c r="P12420" s="18" t="s">
        <v>29</v>
      </c>
      <c r="Q12420" s="18" t="s">
        <v>56247</v>
      </c>
      <c r="R12420" s="18">
        <v>0.67891408200000003</v>
      </c>
    </row>
    <row r="12421" ht="14.25">
      <c r="B12421" s="18" t="s">
        <v>768</v>
      </c>
      <c r="C12421" s="18" t="s">
        <v>6179</v>
      </c>
      <c r="D12421" s="18" t="s">
        <v>5400</v>
      </c>
      <c r="E12421" s="18" t="s">
        <v>56248</v>
      </c>
      <c r="F12421" s="18" t="str">
        <f>IFERROR(__XLUDF.DUMMYFUNCTION("PROPER(REGEXREPLACE(D54,""[^A-Za-z]+ "",""""))"),"Coreva")</f>
        <v>Coreva</v>
      </c>
      <c r="G12421" s="18" t="s">
        <v>56249</v>
      </c>
      <c r="H12421" s="18">
        <v>74</v>
      </c>
      <c r="I12421" s="18" t="s">
        <v>9239</v>
      </c>
      <c r="J12421" s="18" t="str">
        <f>IFERROR(__XLUDF.DUMMYFUNCTION("VLOOKUP(H54,IMPORTRANGE(""https://docs.google.com/spreadsheets/d/1opm6ZNvGZ7KditA9TuJwrZ25eFLfTNIkrNnY6mhV5Eg"",""list!A1:C115""),3,TRUE)"),"le secteur de la construction")</f>
        <v xml:space="preserve">le secteur de la construction</v>
      </c>
      <c r="K12421" s="5" t="s">
        <v>56250</v>
      </c>
      <c r="L12421" s="5" t="s">
        <v>56251</v>
      </c>
      <c r="M12421" s="6"/>
      <c r="N12421" s="18" t="s">
        <v>29</v>
      </c>
      <c r="O12421" s="18" t="s">
        <v>56252</v>
      </c>
      <c r="P12421" s="18" t="s">
        <v>29</v>
      </c>
      <c r="Q12421" s="18" t="s">
        <v>56253</v>
      </c>
      <c r="R12421" s="18">
        <v>0.0075309564100000002</v>
      </c>
    </row>
    <row r="12422" ht="14.25">
      <c r="B12422" s="18" t="s">
        <v>3002</v>
      </c>
      <c r="C12422" s="18" t="s">
        <v>11874</v>
      </c>
      <c r="D12422" s="18" t="s">
        <v>6362</v>
      </c>
      <c r="E12422" s="18" t="s">
        <v>56254</v>
      </c>
      <c r="F12422" s="18" t="str">
        <f>IFERROR(__XLUDF.DUMMYFUNCTION("PROPER(REGEXREPLACE(D55,""[^A-Za-z]+ "",""""))"),"Cmf Structures")</f>
        <v xml:space="preserve">Cmf Structures</v>
      </c>
      <c r="G12422" s="18" t="s">
        <v>56255</v>
      </c>
      <c r="H12422" s="18">
        <v>18</v>
      </c>
      <c r="I12422" s="18" t="s">
        <v>9239</v>
      </c>
      <c r="J12422" s="18" t="str">
        <f>IFERROR(__XLUDF.DUMMYFUNCTION("VLOOKUP(H55,IMPORTRANGE(""https://docs.google.com/spreadsheets/d/1opm6ZNvGZ7KditA9TuJwrZ25eFLfTNIkrNnY6mhV5Eg"",""list!A1:C115""),3,TRUE)"),"le secteur de la construction")</f>
        <v xml:space="preserve">le secteur de la construction</v>
      </c>
      <c r="K12422" s="5" t="s">
        <v>56256</v>
      </c>
      <c r="L12422" s="5" t="s">
        <v>56257</v>
      </c>
      <c r="M12422" s="6"/>
      <c r="N12422" s="18" t="s">
        <v>29</v>
      </c>
      <c r="O12422" s="18" t="s">
        <v>56258</v>
      </c>
      <c r="P12422" s="18" t="s">
        <v>29</v>
      </c>
      <c r="Q12422" s="6"/>
      <c r="R12422" s="18">
        <v>0.78812634780000002</v>
      </c>
    </row>
    <row r="12423" ht="14.25">
      <c r="B12423" s="18" t="s">
        <v>41529</v>
      </c>
      <c r="C12423" s="18" t="s">
        <v>56259</v>
      </c>
      <c r="D12423" s="18" t="s">
        <v>6391</v>
      </c>
      <c r="E12423" s="18" t="s">
        <v>52971</v>
      </c>
      <c r="F12423" s="18" t="str">
        <f>IFERROR(__XLUDF.DUMMYFUNCTION("PROPER(REGEXREPLACE(D56,""[^A-Za-z]+ "",""""))"),"Groupe Apb")</f>
        <v xml:space="preserve">Groupe Apb</v>
      </c>
      <c r="G12423" s="18" t="s">
        <v>56260</v>
      </c>
      <c r="H12423" s="18">
        <v>21</v>
      </c>
      <c r="I12423" s="18" t="s">
        <v>9239</v>
      </c>
      <c r="J12423" s="18" t="str">
        <f>IFERROR(__XLUDF.DUMMYFUNCTION("VLOOKUP(H56,IMPORTRANGE(""https://docs.google.com/spreadsheets/d/1opm6ZNvGZ7KditA9TuJwrZ25eFLfTNIkrNnY6mhV5Eg"",""list!A1:C115""),3,TRUE)"),"le secteur de la construction")</f>
        <v xml:space="preserve">le secteur de la construction</v>
      </c>
      <c r="K12423" s="5" t="s">
        <v>56261</v>
      </c>
      <c r="L12423" s="5" t="s">
        <v>56262</v>
      </c>
      <c r="M12423" s="18" t="s">
        <v>39</v>
      </c>
      <c r="N12423" s="18" t="s">
        <v>29</v>
      </c>
      <c r="O12423" s="18" t="s">
        <v>52975</v>
      </c>
      <c r="P12423" s="18" t="s">
        <v>29</v>
      </c>
      <c r="Q12423" s="18" t="s">
        <v>52976</v>
      </c>
      <c r="R12423" s="18">
        <v>0.12122852520000001</v>
      </c>
    </row>
    <row r="12424" ht="14.25">
      <c r="B12424" s="18" t="s">
        <v>5001</v>
      </c>
      <c r="C12424" s="18" t="s">
        <v>56263</v>
      </c>
      <c r="D12424" s="18" t="s">
        <v>56264</v>
      </c>
      <c r="E12424" s="18" t="s">
        <v>56265</v>
      </c>
      <c r="F12424" s="18" t="str">
        <f>IFERROR(__XLUDF.DUMMYFUNCTION("PROPER(REGEXREPLACE(D57,""[^A-Za-z]+ "",""""))"),"Activ Travaux France")</f>
        <v xml:space="preserve">Activ Travaux France</v>
      </c>
      <c r="G12424" s="18" t="s">
        <v>56266</v>
      </c>
      <c r="H12424" s="18">
        <v>84</v>
      </c>
      <c r="I12424" s="18" t="s">
        <v>9239</v>
      </c>
      <c r="J12424" s="18" t="str">
        <f>IFERROR(__XLUDF.DUMMYFUNCTION("VLOOKUP(H57,IMPORTRANGE(""https://docs.google.com/spreadsheets/d/1opm6ZNvGZ7KditA9TuJwrZ25eFLfTNIkrNnY6mhV5Eg"",""list!A1:C115""),3,TRUE)"),"le secteur de la construction")</f>
        <v xml:space="preserve">le secteur de la construction</v>
      </c>
      <c r="K12424" s="5" t="s">
        <v>56267</v>
      </c>
      <c r="L12424" s="5" t="s">
        <v>56268</v>
      </c>
      <c r="M12424" s="18" t="s">
        <v>56269</v>
      </c>
      <c r="N12424" s="18" t="s">
        <v>29</v>
      </c>
      <c r="O12424" s="18" t="s">
        <v>56270</v>
      </c>
      <c r="P12424" s="18" t="s">
        <v>29</v>
      </c>
      <c r="Q12424" s="18" t="s">
        <v>56271</v>
      </c>
      <c r="R12424" s="18">
        <v>0.28913059790000001</v>
      </c>
    </row>
    <row r="12425" ht="14.25">
      <c r="B12425" s="18" t="s">
        <v>4012</v>
      </c>
      <c r="C12425" s="18" t="s">
        <v>56272</v>
      </c>
      <c r="D12425" s="18" t="s">
        <v>45422</v>
      </c>
      <c r="E12425" s="18" t="s">
        <v>56265</v>
      </c>
      <c r="F12425" s="18" t="str">
        <f>IFERROR(__XLUDF.DUMMYFUNCTION("PROPER(REGEXREPLACE(D58,""[^A-Za-z]+ "",""""))"),"Activ Travaux France")</f>
        <v xml:space="preserve">Activ Travaux France</v>
      </c>
      <c r="G12425" s="18" t="s">
        <v>56273</v>
      </c>
      <c r="H12425" s="18">
        <v>84</v>
      </c>
      <c r="I12425" s="18" t="s">
        <v>9239</v>
      </c>
      <c r="J12425" s="18" t="str">
        <f>IFERROR(__XLUDF.DUMMYFUNCTION("VLOOKUP(H58,IMPORTRANGE(""https://docs.google.com/spreadsheets/d/1opm6ZNvGZ7KditA9TuJwrZ25eFLfTNIkrNnY6mhV5Eg"",""list!A1:C115""),3,TRUE)"),"le secteur de la construction")</f>
        <v xml:space="preserve">le secteur de la construction</v>
      </c>
      <c r="K12425" s="5" t="s">
        <v>56274</v>
      </c>
      <c r="L12425" s="5" t="s">
        <v>56268</v>
      </c>
      <c r="M12425" s="18" t="s">
        <v>1826</v>
      </c>
      <c r="N12425" s="18" t="s">
        <v>29</v>
      </c>
      <c r="O12425" s="18" t="s">
        <v>56270</v>
      </c>
      <c r="P12425" s="18" t="s">
        <v>29</v>
      </c>
      <c r="Q12425" s="18" t="s">
        <v>56271</v>
      </c>
      <c r="R12425" s="18">
        <v>0.80905087860000002</v>
      </c>
    </row>
    <row r="12426" ht="14.25">
      <c r="B12426" s="18" t="s">
        <v>4012</v>
      </c>
      <c r="C12426" s="18" t="s">
        <v>56275</v>
      </c>
      <c r="D12426" s="18" t="s">
        <v>172</v>
      </c>
      <c r="E12426" s="18" t="s">
        <v>56225</v>
      </c>
      <c r="F12426" s="18" t="str">
        <f>IFERROR(__XLUDF.DUMMYFUNCTION("PROPER(REGEXREPLACE(D59,""[^A-Za-z]+ "",""""))"),"Sateba France")</f>
        <v xml:space="preserve">Sateba France</v>
      </c>
      <c r="G12426" s="18" t="s">
        <v>56276</v>
      </c>
      <c r="H12426" s="18">
        <v>63</v>
      </c>
      <c r="I12426" s="18" t="s">
        <v>9239</v>
      </c>
      <c r="J12426" s="18" t="str">
        <f>IFERROR(__XLUDF.DUMMYFUNCTION("VLOOKUP(H59,IMPORTRANGE(""https://docs.google.com/spreadsheets/d/1opm6ZNvGZ7KditA9TuJwrZ25eFLfTNIkrNnY6mhV5Eg"",""list!A1:C115""),3,TRUE)"),"le secteur de la construction")</f>
        <v xml:space="preserve">le secteur de la construction</v>
      </c>
      <c r="K12426" s="5" t="s">
        <v>56277</v>
      </c>
      <c r="L12426" s="5" t="s">
        <v>56228</v>
      </c>
      <c r="M12426" s="18" t="s">
        <v>56278</v>
      </c>
      <c r="N12426" s="18" t="s">
        <v>29</v>
      </c>
      <c r="O12426" s="18" t="s">
        <v>337</v>
      </c>
      <c r="P12426" s="18" t="s">
        <v>29</v>
      </c>
      <c r="Q12426" s="18" t="s">
        <v>56229</v>
      </c>
      <c r="R12426" s="18">
        <v>0.77938489050000004</v>
      </c>
    </row>
    <row r="12427" ht="14.25">
      <c r="B12427" s="18" t="s">
        <v>222</v>
      </c>
      <c r="C12427" s="18" t="s">
        <v>56279</v>
      </c>
      <c r="D12427" s="18" t="s">
        <v>112</v>
      </c>
      <c r="E12427" s="18" t="s">
        <v>56280</v>
      </c>
      <c r="F12427" s="18" t="str">
        <f>IFERROR(__XLUDF.DUMMYFUNCTION("PROPER(REGEXREPLACE(D60,""[^A-Za-z]+ "",""""))"),"C&amp;W Design+Build France")</f>
        <v xml:space="preserve">C&amp;W Design+Build France</v>
      </c>
      <c r="G12427" s="18" t="s">
        <v>56281</v>
      </c>
      <c r="H12427" s="18">
        <v>65</v>
      </c>
      <c r="I12427" s="18" t="s">
        <v>9239</v>
      </c>
      <c r="J12427" s="18" t="str">
        <f>IFERROR(__XLUDF.DUMMYFUNCTION("VLOOKUP(H60,IMPORTRANGE(""https://docs.google.com/spreadsheets/d/1opm6ZNvGZ7KditA9TuJwrZ25eFLfTNIkrNnY6mhV5Eg"",""list!A1:C115""),3,TRUE)"),"le secteur de la construction")</f>
        <v xml:space="preserve">le secteur de la construction</v>
      </c>
      <c r="K12427" s="5" t="s">
        <v>56282</v>
      </c>
      <c r="L12427" s="5" t="s">
        <v>56283</v>
      </c>
      <c r="M12427" s="6"/>
      <c r="N12427" s="18" t="s">
        <v>29</v>
      </c>
      <c r="O12427" s="18" t="s">
        <v>18884</v>
      </c>
      <c r="P12427" s="18" t="s">
        <v>29</v>
      </c>
      <c r="Q12427" s="6"/>
      <c r="R12427" s="18">
        <v>0.15462096659999999</v>
      </c>
    </row>
    <row r="12428" ht="14.25">
      <c r="B12428" s="18" t="s">
        <v>222</v>
      </c>
      <c r="C12428" s="18" t="s">
        <v>56284</v>
      </c>
      <c r="D12428" s="18" t="s">
        <v>112</v>
      </c>
      <c r="E12428" s="18" t="s">
        <v>56285</v>
      </c>
      <c r="F12428" s="18" t="str">
        <f>IFERROR(__XLUDF.DUMMYFUNCTION("PROPER(REGEXREPLACE(D61,""[^A-Za-z]+ "",""""))"),"Betom Group")</f>
        <v xml:space="preserve">Betom Group</v>
      </c>
      <c r="G12428" s="18" t="s">
        <v>56286</v>
      </c>
      <c r="H12428" s="18">
        <v>59</v>
      </c>
      <c r="I12428" s="18" t="s">
        <v>9239</v>
      </c>
      <c r="J12428" s="18" t="str">
        <f>IFERROR(__XLUDF.DUMMYFUNCTION("VLOOKUP(H61,IMPORTRANGE(""https://docs.google.com/spreadsheets/d/1opm6ZNvGZ7KditA9TuJwrZ25eFLfTNIkrNnY6mhV5Eg"",""list!A1:C115""),3,TRUE)"),"le secteur de la construction")</f>
        <v xml:space="preserve">le secteur de la construction</v>
      </c>
      <c r="K12428" s="5" t="s">
        <v>56287</v>
      </c>
      <c r="L12428" s="5" t="s">
        <v>56288</v>
      </c>
      <c r="M12428" s="18" t="s">
        <v>2734</v>
      </c>
      <c r="N12428" s="18" t="s">
        <v>29</v>
      </c>
      <c r="O12428" s="18" t="s">
        <v>807</v>
      </c>
      <c r="P12428" s="18" t="s">
        <v>29</v>
      </c>
      <c r="Q12428" s="18" t="s">
        <v>56289</v>
      </c>
      <c r="R12428" s="18">
        <v>0.59018573949999997</v>
      </c>
    </row>
    <row r="12429" ht="14.25">
      <c r="B12429" s="18" t="s">
        <v>222</v>
      </c>
      <c r="C12429" s="18" t="s">
        <v>56290</v>
      </c>
      <c r="D12429" s="18" t="s">
        <v>172</v>
      </c>
      <c r="E12429" s="18" t="s">
        <v>56291</v>
      </c>
      <c r="F12429" s="18" t="str">
        <f>IFERROR(__XLUDF.DUMMYFUNCTION("PROPER(REGEXREPLACE(D62,""[^A-Za-z]+ "",""""))"),"Alkar Constructions Métalliques")</f>
        <v xml:space="preserve">Alkar Constructions Métalliques</v>
      </c>
      <c r="G12429" s="18" t="s">
        <v>56292</v>
      </c>
      <c r="H12429" s="18">
        <v>60</v>
      </c>
      <c r="I12429" s="18" t="s">
        <v>9239</v>
      </c>
      <c r="J12429" s="18" t="str">
        <f>IFERROR(__XLUDF.DUMMYFUNCTION("VLOOKUP(H62,IMPORTRANGE(""https://docs.google.com/spreadsheets/d/1opm6ZNvGZ7KditA9TuJwrZ25eFLfTNIkrNnY6mhV5Eg"",""list!A1:C115""),3,TRUE)"),"le secteur de la construction")</f>
        <v xml:space="preserve">le secteur de la construction</v>
      </c>
      <c r="K12429" s="5" t="s">
        <v>56293</v>
      </c>
      <c r="L12429" s="5" t="s">
        <v>56294</v>
      </c>
      <c r="M12429" s="18" t="s">
        <v>56295</v>
      </c>
      <c r="N12429" s="18" t="s">
        <v>29</v>
      </c>
      <c r="O12429" s="18" t="s">
        <v>56296</v>
      </c>
      <c r="P12429" s="18" t="s">
        <v>29</v>
      </c>
      <c r="Q12429" s="18" t="s">
        <v>56297</v>
      </c>
      <c r="R12429" s="18">
        <v>0.20671167439999999</v>
      </c>
    </row>
    <row r="12430" ht="14.25">
      <c r="B12430" s="18" t="s">
        <v>222</v>
      </c>
      <c r="C12430" s="18" t="s">
        <v>56298</v>
      </c>
      <c r="D12430" s="18" t="s">
        <v>426</v>
      </c>
      <c r="E12430" s="18" t="s">
        <v>56299</v>
      </c>
      <c r="F12430" s="18" t="str">
        <f>IFERROR(__XLUDF.DUMMYFUNCTION("PROPER(REGEXREPLACE(D63,""[^A-Za-z]+ "",""""))"),"Hrs")</f>
        <v>Hrs</v>
      </c>
      <c r="G12430" s="18" t="s">
        <v>56300</v>
      </c>
      <c r="H12430" s="18">
        <v>64</v>
      </c>
      <c r="I12430" s="18" t="s">
        <v>9239</v>
      </c>
      <c r="J12430" s="18" t="str">
        <f>IFERROR(__XLUDF.DUMMYFUNCTION("VLOOKUP(H63,IMPORTRANGE(""https://docs.google.com/spreadsheets/d/1opm6ZNvGZ7KditA9TuJwrZ25eFLfTNIkrNnY6mhV5Eg"",""list!A1:C115""),3,TRUE)"),"le secteur de la construction")</f>
        <v xml:space="preserve">le secteur de la construction</v>
      </c>
      <c r="K12430" s="5" t="s">
        <v>56301</v>
      </c>
      <c r="L12430" s="5" t="s">
        <v>56302</v>
      </c>
      <c r="M12430" s="18" t="s">
        <v>52614</v>
      </c>
      <c r="N12430" s="18" t="s">
        <v>29</v>
      </c>
      <c r="O12430" s="18" t="s">
        <v>56303</v>
      </c>
      <c r="P12430" s="18" t="s">
        <v>1548</v>
      </c>
      <c r="Q12430" s="18" t="s">
        <v>56304</v>
      </c>
      <c r="R12430" s="18">
        <v>0.71079893429999996</v>
      </c>
    </row>
    <row r="12431" ht="14.25">
      <c r="B12431" s="18" t="s">
        <v>1667</v>
      </c>
      <c r="C12431" s="18" t="s">
        <v>56305</v>
      </c>
      <c r="D12431" s="18" t="s">
        <v>56306</v>
      </c>
      <c r="E12431" s="18" t="s">
        <v>56057</v>
      </c>
      <c r="F12431" s="18" t="str">
        <f>IFERROR(__XLUDF.DUMMYFUNCTION("PROPER(REGEXREPLACE(D64,""[^A-Za-z]+ "",""""))"),"Batibig")</f>
        <v>Batibig</v>
      </c>
      <c r="G12431" s="18" t="s">
        <v>56307</v>
      </c>
      <c r="H12431" s="18">
        <v>87</v>
      </c>
      <c r="I12431" s="18" t="s">
        <v>9239</v>
      </c>
      <c r="J12431" s="18" t="str">
        <f>IFERROR(__XLUDF.DUMMYFUNCTION("VLOOKUP(H64,IMPORTRANGE(""https://docs.google.com/spreadsheets/d/1opm6ZNvGZ7KditA9TuJwrZ25eFLfTNIkrNnY6mhV5Eg"",""list!A1:C115""),3,TRUE)"),"le secteur de la construction")</f>
        <v xml:space="preserve">le secteur de la construction</v>
      </c>
      <c r="K12431" s="5" t="s">
        <v>56308</v>
      </c>
      <c r="L12431" s="5" t="s">
        <v>56060</v>
      </c>
      <c r="M12431" s="6"/>
      <c r="N12431" s="18" t="s">
        <v>29</v>
      </c>
      <c r="O12431" s="18" t="s">
        <v>56061</v>
      </c>
      <c r="P12431" s="18" t="s">
        <v>29</v>
      </c>
      <c r="Q12431" s="18" t="s">
        <v>56062</v>
      </c>
      <c r="R12431" s="18">
        <v>0.29853450539999998</v>
      </c>
    </row>
    <row r="12432" ht="14.25">
      <c r="B12432" s="18" t="s">
        <v>5111</v>
      </c>
      <c r="C12432" s="18" t="s">
        <v>6138</v>
      </c>
      <c r="D12432" s="18" t="s">
        <v>164</v>
      </c>
      <c r="E12432" s="18" t="s">
        <v>56309</v>
      </c>
      <c r="F12432" s="18" t="str">
        <f>IFERROR(__XLUDF.DUMMYFUNCTION("PROPER(REGEXREPLACE(D65,""[^A-Za-z]+ "",""""))"),"Synerciel")</f>
        <v>Synerciel</v>
      </c>
      <c r="G12432" s="18" t="s">
        <v>56310</v>
      </c>
      <c r="H12432" s="18">
        <v>85</v>
      </c>
      <c r="I12432" s="18" t="s">
        <v>9239</v>
      </c>
      <c r="J12432" s="18" t="str">
        <f>IFERROR(__XLUDF.DUMMYFUNCTION("VLOOKUP(H65,IMPORTRANGE(""https://docs.google.com/spreadsheets/d/1opm6ZNvGZ7KditA9TuJwrZ25eFLfTNIkrNnY6mhV5Eg"",""list!A1:C115""),3,TRUE)"),"le secteur de la construction")</f>
        <v xml:space="preserve">le secteur de la construction</v>
      </c>
      <c r="K12432" s="5" t="s">
        <v>56311</v>
      </c>
      <c r="L12432" s="5" t="s">
        <v>56312</v>
      </c>
      <c r="M12432" s="18" t="s">
        <v>15147</v>
      </c>
      <c r="N12432" s="18" t="s">
        <v>29</v>
      </c>
      <c r="O12432" s="18" t="s">
        <v>56313</v>
      </c>
      <c r="P12432" s="18" t="s">
        <v>29</v>
      </c>
      <c r="Q12432" s="18" t="s">
        <v>56314</v>
      </c>
      <c r="R12432" s="18">
        <v>0.56144099800000002</v>
      </c>
    </row>
    <row r="12433" ht="14.25">
      <c r="B12433" s="18" t="s">
        <v>4012</v>
      </c>
      <c r="C12433" s="18" t="s">
        <v>56315</v>
      </c>
      <c r="D12433" s="18" t="s">
        <v>2281</v>
      </c>
      <c r="E12433" s="18" t="s">
        <v>56316</v>
      </c>
      <c r="F12433" s="18" t="str">
        <f>IFERROR(__XLUDF.DUMMYFUNCTION("PROPER(REGEXREPLACE(D66,""[^A-Za-z]+ "",""""))"),"Simonin Sas Wood Solutions")</f>
        <v xml:space="preserve">Simonin Sas Wood Solutions</v>
      </c>
      <c r="G12433" s="18" t="s">
        <v>56317</v>
      </c>
      <c r="H12433" s="18">
        <v>58</v>
      </c>
      <c r="I12433" s="18" t="s">
        <v>9239</v>
      </c>
      <c r="J12433" s="18" t="str">
        <f>IFERROR(__XLUDF.DUMMYFUNCTION("VLOOKUP(H66,IMPORTRANGE(""https://docs.google.com/spreadsheets/d/1opm6ZNvGZ7KditA9TuJwrZ25eFLfTNIkrNnY6mhV5Eg"",""list!A1:C115""),3,TRUE)"),"le secteur de la construction")</f>
        <v xml:space="preserve">le secteur de la construction</v>
      </c>
      <c r="K12433" s="5" t="s">
        <v>56318</v>
      </c>
      <c r="L12433" s="5" t="s">
        <v>56319</v>
      </c>
      <c r="M12433" s="18" t="s">
        <v>56320</v>
      </c>
      <c r="N12433" s="18" t="s">
        <v>29</v>
      </c>
      <c r="O12433" s="18" t="s">
        <v>56321</v>
      </c>
      <c r="P12433" s="18" t="s">
        <v>29</v>
      </c>
      <c r="Q12433" s="18" t="s">
        <v>56322</v>
      </c>
      <c r="R12433" s="18">
        <v>0.65649090239999996</v>
      </c>
    </row>
    <row r="12434" ht="14.25">
      <c r="B12434" s="18" t="s">
        <v>245</v>
      </c>
      <c r="C12434" s="18" t="s">
        <v>4086</v>
      </c>
      <c r="D12434" s="18" t="s">
        <v>172</v>
      </c>
      <c r="E12434" s="18" t="s">
        <v>56323</v>
      </c>
      <c r="F12434" s="18" t="str">
        <f>IFERROR(__XLUDF.DUMMYFUNCTION("PROPER(REGEXREPLACE(D67,""[^A-Za-z]+ "",""""))"),"Capremib")</f>
        <v>Capremib</v>
      </c>
      <c r="G12434" s="18" t="s">
        <v>56324</v>
      </c>
      <c r="H12434" s="18">
        <v>71</v>
      </c>
      <c r="I12434" s="18" t="s">
        <v>9239</v>
      </c>
      <c r="J12434" s="18" t="str">
        <f>IFERROR(__XLUDF.DUMMYFUNCTION("VLOOKUP(H67,IMPORTRANGE(""https://docs.google.com/spreadsheets/d/1opm6ZNvGZ7KditA9TuJwrZ25eFLfTNIkrNnY6mhV5Eg"",""list!A1:C115""),3,TRUE)"),"le secteur de la construction")</f>
        <v xml:space="preserve">le secteur de la construction</v>
      </c>
      <c r="K12434" s="5" t="s">
        <v>56325</v>
      </c>
      <c r="L12434" s="5" t="s">
        <v>56326</v>
      </c>
      <c r="M12434" s="18" t="s">
        <v>562</v>
      </c>
      <c r="N12434" s="18" t="s">
        <v>29</v>
      </c>
      <c r="O12434" s="18" t="s">
        <v>56327</v>
      </c>
      <c r="P12434" s="18" t="s">
        <v>29</v>
      </c>
      <c r="Q12434" s="6"/>
      <c r="R12434" s="18">
        <v>0.41113028130000001</v>
      </c>
    </row>
    <row r="12435" ht="14.25">
      <c r="B12435" s="18" t="s">
        <v>222</v>
      </c>
      <c r="C12435" s="18" t="s">
        <v>56328</v>
      </c>
      <c r="D12435" s="18" t="s">
        <v>56329</v>
      </c>
      <c r="E12435" s="18" t="s">
        <v>56330</v>
      </c>
      <c r="F12435" s="18" t="str">
        <f>IFERROR(__XLUDF.DUMMYFUNCTION("PROPER(REGEXREPLACE(D68,""[^A-Za-z]+ "",""""))"),"Demex")</f>
        <v>Demex</v>
      </c>
      <c r="G12435" s="18" t="s">
        <v>56331</v>
      </c>
      <c r="H12435" s="18">
        <v>120</v>
      </c>
      <c r="I12435" s="18" t="s">
        <v>9239</v>
      </c>
      <c r="J12435" s="18" t="str">
        <f>IFERROR(__XLUDF.DUMMYFUNCTION("VLOOKUP(H68,IMPORTRANGE(""https://docs.google.com/spreadsheets/d/1opm6ZNvGZ7KditA9TuJwrZ25eFLfTNIkrNnY6mhV5Eg"",""list!A1:C115""),3,TRUE)"),"le secteur de la construction")</f>
        <v xml:space="preserve">le secteur de la construction</v>
      </c>
      <c r="K12435" s="5" t="s">
        <v>56332</v>
      </c>
      <c r="L12435" s="5" t="s">
        <v>56333</v>
      </c>
      <c r="M12435" s="18" t="s">
        <v>10527</v>
      </c>
      <c r="N12435" s="18" t="s">
        <v>29</v>
      </c>
      <c r="O12435" s="18" t="s">
        <v>56334</v>
      </c>
      <c r="P12435" s="18" t="s">
        <v>4340</v>
      </c>
      <c r="Q12435" s="18" t="s">
        <v>56335</v>
      </c>
      <c r="R12435" s="18">
        <v>0.76360401290000002</v>
      </c>
    </row>
    <row r="12436" ht="14.25">
      <c r="B12436" s="18" t="s">
        <v>734</v>
      </c>
      <c r="C12436" s="18" t="s">
        <v>56336</v>
      </c>
      <c r="D12436" s="18" t="s">
        <v>6391</v>
      </c>
      <c r="E12436" s="18" t="s">
        <v>56337</v>
      </c>
      <c r="F12436" s="18" t="str">
        <f>IFERROR(__XLUDF.DUMMYFUNCTION("PROPER(REGEXREPLACE(D69,""[^A-Za-z]+ "",""""))"),"Petiteau")</f>
        <v>Petiteau</v>
      </c>
      <c r="G12436" s="18" t="s">
        <v>56338</v>
      </c>
      <c r="H12436" s="18">
        <v>20</v>
      </c>
      <c r="I12436" s="18" t="s">
        <v>9239</v>
      </c>
      <c r="J12436" s="18" t="str">
        <f>IFERROR(__XLUDF.DUMMYFUNCTION("VLOOKUP(H69,IMPORTRANGE(""https://docs.google.com/spreadsheets/d/1opm6ZNvGZ7KditA9TuJwrZ25eFLfTNIkrNnY6mhV5Eg"",""list!A1:C115""),3,TRUE)"),"le secteur de la construction")</f>
        <v xml:space="preserve">le secteur de la construction</v>
      </c>
      <c r="K12436" s="5" t="s">
        <v>56339</v>
      </c>
      <c r="L12436" s="5" t="s">
        <v>56340</v>
      </c>
      <c r="M12436" s="18" t="s">
        <v>1312</v>
      </c>
      <c r="N12436" s="18" t="s">
        <v>29</v>
      </c>
      <c r="O12436" s="18" t="s">
        <v>56341</v>
      </c>
      <c r="P12436" s="18" t="s">
        <v>29</v>
      </c>
      <c r="Q12436" s="6"/>
      <c r="R12436" s="18">
        <v>0.50441609320000003</v>
      </c>
    </row>
    <row r="12437" ht="14.25">
      <c r="B12437" s="18" t="s">
        <v>330</v>
      </c>
      <c r="C12437" s="18" t="s">
        <v>2932</v>
      </c>
      <c r="D12437" s="18" t="s">
        <v>6362</v>
      </c>
      <c r="E12437" s="18" t="s">
        <v>56342</v>
      </c>
      <c r="F12437" s="18" t="str">
        <f>IFERROR(__XLUDF.DUMMYFUNCTION("PROPER(REGEXREPLACE(D70,""[^A-Za-z]+ "",""""))"),"Cecm")</f>
        <v>Cecm</v>
      </c>
      <c r="G12437" s="18" t="s">
        <v>56343</v>
      </c>
      <c r="H12437" s="18">
        <v>64</v>
      </c>
      <c r="I12437" s="18" t="s">
        <v>9239</v>
      </c>
      <c r="J12437" s="18" t="str">
        <f>IFERROR(__XLUDF.DUMMYFUNCTION("VLOOKUP(H70,IMPORTRANGE(""https://docs.google.com/spreadsheets/d/1opm6ZNvGZ7KditA9TuJwrZ25eFLfTNIkrNnY6mhV5Eg"",""list!A1:C115""),3,TRUE)"),"le secteur de la construction")</f>
        <v xml:space="preserve">le secteur de la construction</v>
      </c>
      <c r="K12437" s="5" t="s">
        <v>56344</v>
      </c>
      <c r="L12437" s="5" t="s">
        <v>56345</v>
      </c>
      <c r="M12437" s="18" t="s">
        <v>651</v>
      </c>
      <c r="N12437" s="18" t="s">
        <v>29</v>
      </c>
      <c r="O12437" s="18" t="s">
        <v>56346</v>
      </c>
      <c r="P12437" s="18" t="s">
        <v>5973</v>
      </c>
      <c r="Q12437" s="6"/>
      <c r="R12437" s="18">
        <v>0.11762216690000001</v>
      </c>
    </row>
    <row r="12438" ht="14.25">
      <c r="B12438" s="18" t="s">
        <v>1667</v>
      </c>
      <c r="C12438" s="18" t="s">
        <v>56347</v>
      </c>
      <c r="D12438" s="18" t="s">
        <v>6362</v>
      </c>
      <c r="E12438" s="18" t="s">
        <v>56348</v>
      </c>
      <c r="F12438" s="18" t="str">
        <f>IFERROR(__XLUDF.DUMMYFUNCTION("PROPER(REGEXREPLACE(D71,""[^A-Za-z]+ "",""""))"),"Mrc Construction")</f>
        <v xml:space="preserve">Mrc Construction</v>
      </c>
      <c r="G12438" s="18" t="s">
        <v>56349</v>
      </c>
      <c r="H12438" s="18">
        <v>43</v>
      </c>
      <c r="I12438" s="18" t="s">
        <v>9239</v>
      </c>
      <c r="J12438" s="18" t="str">
        <f>IFERROR(__XLUDF.DUMMYFUNCTION("VLOOKUP(H71,IMPORTRANGE(""https://docs.google.com/spreadsheets/d/1opm6ZNvGZ7KditA9TuJwrZ25eFLfTNIkrNnY6mhV5Eg"",""list!A1:C115""),3,TRUE)"),"le secteur de la construction")</f>
        <v xml:space="preserve">le secteur de la construction</v>
      </c>
      <c r="K12438" s="5" t="s">
        <v>56350</v>
      </c>
      <c r="L12438" s="5" t="s">
        <v>56351</v>
      </c>
      <c r="M12438" s="18" t="s">
        <v>295</v>
      </c>
      <c r="N12438" s="18" t="s">
        <v>29</v>
      </c>
      <c r="O12438" s="18" t="s">
        <v>56352</v>
      </c>
      <c r="P12438" s="18" t="s">
        <v>1261</v>
      </c>
      <c r="Q12438" s="18" t="s">
        <v>56353</v>
      </c>
      <c r="R12438" s="18">
        <v>0.22069972669999999</v>
      </c>
    </row>
    <row r="12439" ht="14.25">
      <c r="B12439" s="18" t="s">
        <v>1667</v>
      </c>
      <c r="C12439" s="18" t="s">
        <v>56354</v>
      </c>
      <c r="D12439" s="18" t="s">
        <v>120</v>
      </c>
      <c r="E12439" s="18" t="s">
        <v>56355</v>
      </c>
      <c r="F12439" s="18" t="str">
        <f>IFERROR(__XLUDF.DUMMYFUNCTION("PROPER(REGEXREPLACE(D72,""[^A-Za-z]+ "",""""))"),"Monsieur Peinture")</f>
        <v xml:space="preserve">Monsieur Peinture</v>
      </c>
      <c r="G12439" s="18" t="s">
        <v>56356</v>
      </c>
      <c r="H12439" s="18">
        <v>110</v>
      </c>
      <c r="I12439" s="18" t="s">
        <v>9239</v>
      </c>
      <c r="J12439" s="18" t="str">
        <f>IFERROR(__XLUDF.DUMMYFUNCTION("VLOOKUP(H72,IMPORTRANGE(""https://docs.google.com/spreadsheets/d/1opm6ZNvGZ7KditA9TuJwrZ25eFLfTNIkrNnY6mhV5Eg"",""list!A1:C115""),3,TRUE)"),"le secteur de la construction")</f>
        <v xml:space="preserve">le secteur de la construction</v>
      </c>
      <c r="K12439" s="5" t="s">
        <v>56357</v>
      </c>
      <c r="L12439" s="5" t="s">
        <v>56358</v>
      </c>
      <c r="M12439" s="18" t="s">
        <v>39</v>
      </c>
      <c r="N12439" s="18" t="s">
        <v>29</v>
      </c>
      <c r="O12439" s="18" t="s">
        <v>56359</v>
      </c>
      <c r="P12439" s="18" t="s">
        <v>29</v>
      </c>
      <c r="Q12439" s="18" t="s">
        <v>56360</v>
      </c>
      <c r="R12439" s="18">
        <v>0.44078291629999999</v>
      </c>
    </row>
    <row r="12440" ht="14.25">
      <c r="B12440" s="18" t="s">
        <v>222</v>
      </c>
      <c r="C12440" s="18" t="s">
        <v>56361</v>
      </c>
      <c r="D12440" s="18" t="s">
        <v>1130</v>
      </c>
      <c r="E12440" s="18" t="s">
        <v>56362</v>
      </c>
      <c r="F12440" s="18" t="str">
        <f>IFERROR(__XLUDF.DUMMYFUNCTION("PROPER(REGEXREPLACE(D73,""[^A-Za-z]+ "",""""))"),"Fprs")</f>
        <v>Fprs</v>
      </c>
      <c r="G12440" s="18" t="s">
        <v>56363</v>
      </c>
      <c r="H12440" s="18">
        <v>64</v>
      </c>
      <c r="I12440" s="18" t="s">
        <v>9239</v>
      </c>
      <c r="J12440" s="18" t="str">
        <f>IFERROR(__XLUDF.DUMMYFUNCTION("VLOOKUP(H73,IMPORTRANGE(""https://docs.google.com/spreadsheets/d/1opm6ZNvGZ7KditA9TuJwrZ25eFLfTNIkrNnY6mhV5Eg"",""list!A1:C115""),3,TRUE)"),"le secteur de la construction")</f>
        <v xml:space="preserve">le secteur de la construction</v>
      </c>
      <c r="K12440" s="5" t="s">
        <v>56364</v>
      </c>
      <c r="L12440" s="5" t="s">
        <v>56365</v>
      </c>
      <c r="M12440" s="18" t="s">
        <v>26443</v>
      </c>
      <c r="N12440" s="18" t="s">
        <v>29</v>
      </c>
      <c r="O12440" s="18" t="s">
        <v>27858</v>
      </c>
      <c r="P12440" s="18" t="s">
        <v>29</v>
      </c>
      <c r="Q12440" s="18" t="s">
        <v>56366</v>
      </c>
      <c r="R12440" s="18">
        <v>0.23695310629999999</v>
      </c>
    </row>
    <row r="12441" ht="14.25">
      <c r="B12441" s="18" t="s">
        <v>222</v>
      </c>
      <c r="C12441" s="18" t="s">
        <v>56367</v>
      </c>
      <c r="D12441" s="18" t="s">
        <v>1130</v>
      </c>
      <c r="E12441" s="18" t="s">
        <v>56368</v>
      </c>
      <c r="F12441" s="18" t="str">
        <f>IFERROR(__XLUDF.DUMMYFUNCTION("PROPER(REGEXREPLACE(D74,""[^A-Za-z]+ "",""""))"),"Nicoletta Groupe")</f>
        <v xml:space="preserve">Nicoletta Groupe</v>
      </c>
      <c r="G12441" s="18" t="s">
        <v>56369</v>
      </c>
      <c r="H12441" s="18">
        <v>98</v>
      </c>
      <c r="I12441" s="18" t="s">
        <v>9239</v>
      </c>
      <c r="J12441" s="18" t="str">
        <f>IFERROR(__XLUDF.DUMMYFUNCTION("VLOOKUP(H74,IMPORTRANGE(""https://docs.google.com/spreadsheets/d/1opm6ZNvGZ7KditA9TuJwrZ25eFLfTNIkrNnY6mhV5Eg"",""list!A1:C115""),3,TRUE)"),"le secteur de la construction")</f>
        <v xml:space="preserve">le secteur de la construction</v>
      </c>
      <c r="K12441" s="5" t="s">
        <v>56370</v>
      </c>
      <c r="L12441" s="5" t="s">
        <v>56371</v>
      </c>
      <c r="M12441" s="18" t="s">
        <v>4922</v>
      </c>
      <c r="N12441" s="18" t="s">
        <v>29</v>
      </c>
      <c r="O12441" s="18" t="s">
        <v>56372</v>
      </c>
      <c r="P12441" s="18" t="s">
        <v>29</v>
      </c>
      <c r="Q12441" s="18" t="s">
        <v>56373</v>
      </c>
      <c r="R12441" s="18">
        <v>0.3196627668</v>
      </c>
    </row>
    <row r="12442" ht="14.25">
      <c r="B12442" s="18" t="s">
        <v>222</v>
      </c>
      <c r="C12442" s="18" t="s">
        <v>56374</v>
      </c>
      <c r="D12442" s="18" t="s">
        <v>112</v>
      </c>
      <c r="E12442" s="18" t="s">
        <v>56375</v>
      </c>
      <c r="F12442" s="18" t="str">
        <f>IFERROR(__XLUDF.DUMMYFUNCTION("PROPER(REGEXREPLACE(D75,""[^A-Za-z]+ "",""""))"),"Le Batiment Associe")</f>
        <v xml:space="preserve">Le Batiment Associe</v>
      </c>
      <c r="G12442" s="18" t="s">
        <v>56376</v>
      </c>
      <c r="H12442" s="18">
        <v>83</v>
      </c>
      <c r="I12442" s="18" t="s">
        <v>9239</v>
      </c>
      <c r="J12442" s="18" t="str">
        <f>IFERROR(__XLUDF.DUMMYFUNCTION("VLOOKUP(H75,IMPORTRANGE(""https://docs.google.com/spreadsheets/d/1opm6ZNvGZ7KditA9TuJwrZ25eFLfTNIkrNnY6mhV5Eg"",""list!A1:C115""),3,TRUE)"),"le secteur de la construction")</f>
        <v xml:space="preserve">le secteur de la construction</v>
      </c>
      <c r="K12442" s="5" t="s">
        <v>56377</v>
      </c>
      <c r="L12442" s="5" t="s">
        <v>56378</v>
      </c>
      <c r="M12442" s="18" t="s">
        <v>562</v>
      </c>
      <c r="N12442" s="18" t="s">
        <v>29</v>
      </c>
      <c r="O12442" s="18" t="s">
        <v>56379</v>
      </c>
      <c r="P12442" s="18" t="s">
        <v>29</v>
      </c>
      <c r="Q12442" s="6"/>
      <c r="R12442" s="18">
        <v>0.63229563749999995</v>
      </c>
    </row>
    <row r="12443" ht="14.25">
      <c r="B12443" s="18" t="s">
        <v>5001</v>
      </c>
      <c r="C12443" s="18" t="s">
        <v>56380</v>
      </c>
      <c r="D12443" s="18" t="s">
        <v>172</v>
      </c>
      <c r="E12443" s="18" t="s">
        <v>56381</v>
      </c>
      <c r="F12443" s="18" t="str">
        <f>IFERROR(__XLUDF.DUMMYFUNCTION("PROPER(REGEXREPLACE(D76,""[^A-Za-z]+ "",""""))"),"Sotrelec")</f>
        <v>Sotrelec</v>
      </c>
      <c r="G12443" s="18" t="s">
        <v>56382</v>
      </c>
      <c r="H12443" s="18">
        <v>63</v>
      </c>
      <c r="I12443" s="18" t="s">
        <v>9239</v>
      </c>
      <c r="J12443" s="18" t="str">
        <f>IFERROR(__XLUDF.DUMMYFUNCTION("VLOOKUP(H76,IMPORTRANGE(""https://docs.google.com/spreadsheets/d/1opm6ZNvGZ7KditA9TuJwrZ25eFLfTNIkrNnY6mhV5Eg"",""list!A1:C115""),3,TRUE)"),"le secteur de la construction")</f>
        <v xml:space="preserve">le secteur de la construction</v>
      </c>
      <c r="K12443" s="5" t="s">
        <v>56383</v>
      </c>
      <c r="L12443" s="5" t="s">
        <v>56384</v>
      </c>
      <c r="M12443" s="18" t="s">
        <v>19108</v>
      </c>
      <c r="N12443" s="18" t="s">
        <v>29</v>
      </c>
      <c r="O12443" s="18" t="s">
        <v>56385</v>
      </c>
      <c r="P12443" s="18" t="s">
        <v>29</v>
      </c>
      <c r="Q12443" s="18" t="s">
        <v>56386</v>
      </c>
      <c r="R12443" s="18">
        <v>0.25911428980000001</v>
      </c>
    </row>
    <row r="12444" ht="14.25">
      <c r="B12444" s="18" t="s">
        <v>4245</v>
      </c>
      <c r="C12444" s="18" t="s">
        <v>10461</v>
      </c>
      <c r="D12444" s="18" t="s">
        <v>112</v>
      </c>
      <c r="E12444" s="18" t="s">
        <v>56387</v>
      </c>
      <c r="F12444" s="18" t="str">
        <f>IFERROR(__XLUDF.DUMMYFUNCTION("PROPER(REGEXREPLACE(D77,""[^A-Za-z]+ "",""""))"),"Genere")</f>
        <v>Genere</v>
      </c>
      <c r="G12444" s="18" t="s">
        <v>56388</v>
      </c>
      <c r="H12444" s="18">
        <v>83</v>
      </c>
      <c r="I12444" s="18" t="s">
        <v>9239</v>
      </c>
      <c r="J12444" s="18" t="str">
        <f>IFERROR(__XLUDF.DUMMYFUNCTION("VLOOKUP(H77,IMPORTRANGE(""https://docs.google.com/spreadsheets/d/1opm6ZNvGZ7KditA9TuJwrZ25eFLfTNIkrNnY6mhV5Eg"",""list!A1:C115""),3,TRUE)"),"le secteur de la construction")</f>
        <v xml:space="preserve">le secteur de la construction</v>
      </c>
      <c r="K12444" s="5" t="s">
        <v>56389</v>
      </c>
      <c r="L12444" s="5" t="s">
        <v>56390</v>
      </c>
      <c r="M12444" s="6"/>
      <c r="N12444" s="18" t="s">
        <v>29</v>
      </c>
      <c r="O12444" s="18" t="s">
        <v>56391</v>
      </c>
      <c r="P12444" s="18" t="s">
        <v>29</v>
      </c>
      <c r="Q12444" s="18" t="s">
        <v>56392</v>
      </c>
      <c r="R12444" s="18">
        <v>0.20652879830000001</v>
      </c>
    </row>
    <row r="12445" ht="14.25">
      <c r="B12445" s="18" t="s">
        <v>7559</v>
      </c>
      <c r="C12445" s="18" t="s">
        <v>17383</v>
      </c>
      <c r="D12445" s="18" t="s">
        <v>6362</v>
      </c>
      <c r="E12445" s="18" t="s">
        <v>56393</v>
      </c>
      <c r="F12445" s="18" t="str">
        <f>IFERROR(__XLUDF.DUMMYFUNCTION("PROPER(REGEXREPLACE(D78,""[^A-Za-z]+ "",""""))"),"Vivien")</f>
        <v>Vivien</v>
      </c>
      <c r="G12445" s="18" t="s">
        <v>56394</v>
      </c>
      <c r="H12445" s="18">
        <v>36</v>
      </c>
      <c r="I12445" s="18" t="s">
        <v>9239</v>
      </c>
      <c r="J12445" s="18" t="str">
        <f>IFERROR(__XLUDF.DUMMYFUNCTION("VLOOKUP(H78,IMPORTRANGE(""https://docs.google.com/spreadsheets/d/1opm6ZNvGZ7KditA9TuJwrZ25eFLfTNIkrNnY6mhV5Eg"",""list!A1:C115""),3,TRUE)"),"le secteur de la construction")</f>
        <v xml:space="preserve">le secteur de la construction</v>
      </c>
      <c r="K12445" s="5" t="s">
        <v>56395</v>
      </c>
      <c r="L12445" s="5" t="s">
        <v>56396</v>
      </c>
      <c r="M12445" s="6"/>
      <c r="N12445" s="18" t="s">
        <v>29</v>
      </c>
      <c r="O12445" s="18" t="s">
        <v>56397</v>
      </c>
      <c r="P12445" s="18" t="s">
        <v>29</v>
      </c>
      <c r="Q12445" s="6"/>
      <c r="R12445" s="18">
        <v>0.83813871049999999</v>
      </c>
    </row>
    <row r="12446" ht="14.25">
      <c r="B12446" s="18" t="s">
        <v>39856</v>
      </c>
      <c r="C12446" s="18" t="s">
        <v>4245</v>
      </c>
      <c r="D12446" s="18" t="s">
        <v>1130</v>
      </c>
      <c r="E12446" s="18" t="s">
        <v>56398</v>
      </c>
      <c r="F12446" s="18" t="str">
        <f>IFERROR(__XLUDF.DUMMYFUNCTION("PROPER(REGEXREPLACE(D79,""[^A-Za-z]+ "",""""))"),"Wig France Entreprises")</f>
        <v xml:space="preserve">Wig France Entreprises</v>
      </c>
      <c r="G12446" s="18" t="s">
        <v>56399</v>
      </c>
      <c r="H12446" s="18">
        <v>110</v>
      </c>
      <c r="I12446" s="18" t="s">
        <v>9239</v>
      </c>
      <c r="J12446" s="18" t="str">
        <f>IFERROR(__XLUDF.DUMMYFUNCTION("VLOOKUP(H79,IMPORTRANGE(""https://docs.google.com/spreadsheets/d/1opm6ZNvGZ7KditA9TuJwrZ25eFLfTNIkrNnY6mhV5Eg"",""list!A1:C115""),3,TRUE)"),"le secteur de la construction")</f>
        <v xml:space="preserve">le secteur de la construction</v>
      </c>
      <c r="K12446" s="5" t="s">
        <v>56400</v>
      </c>
      <c r="L12446" s="5" t="s">
        <v>56401</v>
      </c>
      <c r="M12446" s="18" t="s">
        <v>4922</v>
      </c>
      <c r="N12446" s="18" t="s">
        <v>29</v>
      </c>
      <c r="O12446" s="18" t="s">
        <v>56402</v>
      </c>
      <c r="P12446" s="18" t="s">
        <v>29</v>
      </c>
      <c r="Q12446" s="18" t="s">
        <v>56403</v>
      </c>
      <c r="R12446" s="18">
        <v>0.73203414590000004</v>
      </c>
    </row>
    <row r="12447" ht="14.25">
      <c r="B12447" s="18" t="s">
        <v>4245</v>
      </c>
      <c r="C12447" s="18" t="s">
        <v>56404</v>
      </c>
      <c r="D12447" s="18" t="s">
        <v>6362</v>
      </c>
      <c r="E12447" s="18" t="s">
        <v>56405</v>
      </c>
      <c r="F12447" s="18" t="str">
        <f>IFERROR(__XLUDF.DUMMYFUNCTION("PROPER(REGEXREPLACE(D80,""[^A-Za-z]+ "",""""))"),"Constructions Du Haut Anjou")</f>
        <v xml:space="preserve">Constructions Du Haut Anjou</v>
      </c>
      <c r="G12447" s="18" t="s">
        <v>56406</v>
      </c>
      <c r="H12447" s="18">
        <v>32</v>
      </c>
      <c r="I12447" s="18" t="s">
        <v>9239</v>
      </c>
      <c r="J12447" s="18" t="str">
        <f>IFERROR(__XLUDF.DUMMYFUNCTION("VLOOKUP(H80,IMPORTRANGE(""https://docs.google.com/spreadsheets/d/1opm6ZNvGZ7KditA9TuJwrZ25eFLfTNIkrNnY6mhV5Eg"",""list!A1:C115""),3,TRUE)"),"le secteur de la construction")</f>
        <v xml:space="preserve">le secteur de la construction</v>
      </c>
      <c r="K12447" s="5" t="s">
        <v>56407</v>
      </c>
      <c r="L12447" s="5" t="s">
        <v>56408</v>
      </c>
      <c r="M12447" s="18" t="s">
        <v>1711</v>
      </c>
      <c r="N12447" s="18" t="s">
        <v>29</v>
      </c>
      <c r="O12447" s="18" t="s">
        <v>56409</v>
      </c>
      <c r="P12447" s="18" t="s">
        <v>29</v>
      </c>
      <c r="Q12447" s="18" t="s">
        <v>56410</v>
      </c>
      <c r="R12447" s="18">
        <v>0.033268584570000002</v>
      </c>
    </row>
    <row r="12448" ht="14.25">
      <c r="B12448" s="18" t="s">
        <v>1153</v>
      </c>
      <c r="C12448" s="18" t="s">
        <v>56411</v>
      </c>
      <c r="D12448" s="18" t="s">
        <v>426</v>
      </c>
      <c r="E12448" s="18" t="s">
        <v>56412</v>
      </c>
      <c r="F12448" s="18" t="str">
        <f>IFERROR(__XLUDF.DUMMYFUNCTION("PROPER(REGEXREPLACE(D81,""[^A-Za-z]+ "",""""))"),"R2M")</f>
        <v>R2M</v>
      </c>
      <c r="G12448" s="18" t="s">
        <v>56413</v>
      </c>
      <c r="H12448" s="18">
        <v>62</v>
      </c>
      <c r="I12448" s="18" t="s">
        <v>9239</v>
      </c>
      <c r="J12448" s="18" t="str">
        <f>IFERROR(__XLUDF.DUMMYFUNCTION("VLOOKUP(H81,IMPORTRANGE(""https://docs.google.com/spreadsheets/d/1opm6ZNvGZ7KditA9TuJwrZ25eFLfTNIkrNnY6mhV5Eg"",""list!A1:C115""),3,TRUE)"),"le secteur de la construction")</f>
        <v xml:space="preserve">le secteur de la construction</v>
      </c>
      <c r="K12448" s="5" t="s">
        <v>56414</v>
      </c>
      <c r="L12448" s="5" t="s">
        <v>56415</v>
      </c>
      <c r="M12448" s="18" t="s">
        <v>295</v>
      </c>
      <c r="N12448" s="18" t="s">
        <v>29</v>
      </c>
      <c r="O12448" s="18" t="s">
        <v>56416</v>
      </c>
      <c r="P12448" s="18" t="s">
        <v>29</v>
      </c>
      <c r="Q12448" s="18" t="s">
        <v>56417</v>
      </c>
      <c r="R12448" s="18">
        <v>0.7894552789</v>
      </c>
    </row>
    <row r="12449" ht="14.25">
      <c r="B12449" s="18" t="s">
        <v>7525</v>
      </c>
      <c r="C12449" s="18" t="s">
        <v>4937</v>
      </c>
      <c r="D12449" s="18" t="s">
        <v>56418</v>
      </c>
      <c r="E12449" s="18" t="s">
        <v>56042</v>
      </c>
      <c r="F12449" s="18" t="str">
        <f>IFERROR(__XLUDF.DUMMYFUNCTION("PROPER(REGEXREPLACE(D82,""[^A-Za-z]+ "",""""))"),"Axess")</f>
        <v>Axess</v>
      </c>
      <c r="G12449" s="18" t="s">
        <v>56419</v>
      </c>
      <c r="H12449" s="18">
        <v>130</v>
      </c>
      <c r="I12449" s="18" t="s">
        <v>9239</v>
      </c>
      <c r="J12449" s="18" t="str">
        <f>IFERROR(__XLUDF.DUMMYFUNCTION("VLOOKUP(H82,IMPORTRANGE(""https://docs.google.com/spreadsheets/d/1opm6ZNvGZ7KditA9TuJwrZ25eFLfTNIkrNnY6mhV5Eg"",""list!A1:C115""),3,TRUE)"),"le secteur de la construction")</f>
        <v xml:space="preserve">le secteur de la construction</v>
      </c>
      <c r="K12449" s="5" t="s">
        <v>56420</v>
      </c>
      <c r="L12449" s="5" t="s">
        <v>56045</v>
      </c>
      <c r="M12449" s="18" t="s">
        <v>39</v>
      </c>
      <c r="N12449" s="18" t="s">
        <v>29</v>
      </c>
      <c r="O12449" s="18" t="s">
        <v>56046</v>
      </c>
      <c r="P12449" s="18" t="s">
        <v>29</v>
      </c>
      <c r="Q12449" s="18" t="s">
        <v>56047</v>
      </c>
      <c r="R12449" s="18">
        <v>0.14256678049999999</v>
      </c>
    </row>
    <row r="12450" ht="14.25">
      <c r="B12450" s="18" t="s">
        <v>571</v>
      </c>
      <c r="C12450" s="18" t="s">
        <v>56421</v>
      </c>
      <c r="D12450" s="18" t="s">
        <v>56422</v>
      </c>
      <c r="E12450" s="18" t="s">
        <v>56423</v>
      </c>
      <c r="F12450" s="18" t="str">
        <f>IFERROR(__XLUDF.DUMMYFUNCTION("PROPER(REGEXREPLACE(D83,""[^A-Za-z]+ "",""""))"),"Maisons Création")</f>
        <v xml:space="preserve">Maisons Création</v>
      </c>
      <c r="G12450" s="18" t="s">
        <v>56424</v>
      </c>
      <c r="H12450" s="18">
        <v>23</v>
      </c>
      <c r="I12450" s="18" t="s">
        <v>9239</v>
      </c>
      <c r="J12450" s="18" t="str">
        <f>IFERROR(__XLUDF.DUMMYFUNCTION("VLOOKUP(H83,IMPORTRANGE(""https://docs.google.com/spreadsheets/d/1opm6ZNvGZ7KditA9TuJwrZ25eFLfTNIkrNnY6mhV5Eg"",""list!A1:C115""),3,TRUE)"),"le secteur de la construction")</f>
        <v xml:space="preserve">le secteur de la construction</v>
      </c>
      <c r="K12450" s="5" t="s">
        <v>56425</v>
      </c>
      <c r="L12450" s="5" t="s">
        <v>56426</v>
      </c>
      <c r="M12450" s="18" t="s">
        <v>1826</v>
      </c>
      <c r="N12450" s="18" t="s">
        <v>29</v>
      </c>
      <c r="O12450" s="18" t="s">
        <v>56427</v>
      </c>
      <c r="P12450" s="18" t="s">
        <v>29</v>
      </c>
      <c r="Q12450" s="18" t="s">
        <v>56428</v>
      </c>
      <c r="R12450" s="18">
        <v>0.22513736840000001</v>
      </c>
    </row>
    <row r="12451" ht="14.25">
      <c r="B12451" s="18" t="s">
        <v>4986</v>
      </c>
      <c r="C12451" s="18" t="s">
        <v>52</v>
      </c>
      <c r="D12451" s="18" t="s">
        <v>164</v>
      </c>
      <c r="E12451" s="18" t="s">
        <v>56429</v>
      </c>
      <c r="F12451" s="18" t="str">
        <f>IFERROR(__XLUDF.DUMMYFUNCTION("PROPER(REGEXREPLACE(D84,""[^A-Za-z]+ "",""""))"),"Idf Habitat")</f>
        <v xml:space="preserve">Idf Habitat</v>
      </c>
      <c r="G12451" s="18" t="s">
        <v>56430</v>
      </c>
      <c r="H12451" s="18">
        <v>130</v>
      </c>
      <c r="I12451" s="18" t="s">
        <v>9239</v>
      </c>
      <c r="J12451" s="18" t="str">
        <f>IFERROR(__XLUDF.DUMMYFUNCTION("VLOOKUP(H84,IMPORTRANGE(""https://docs.google.com/spreadsheets/d/1opm6ZNvGZ7KditA9TuJwrZ25eFLfTNIkrNnY6mhV5Eg"",""list!A1:C115""),3,TRUE)"),"le secteur de la construction")</f>
        <v xml:space="preserve">le secteur de la construction</v>
      </c>
      <c r="K12451" s="5" t="s">
        <v>56431</v>
      </c>
      <c r="L12451" s="5" t="s">
        <v>56432</v>
      </c>
      <c r="M12451" s="18" t="s">
        <v>39</v>
      </c>
      <c r="N12451" s="18" t="s">
        <v>29</v>
      </c>
      <c r="O12451" s="18" t="s">
        <v>56433</v>
      </c>
      <c r="P12451" s="18" t="s">
        <v>29</v>
      </c>
      <c r="Q12451" s="18" t="s">
        <v>56434</v>
      </c>
      <c r="R12451" s="18">
        <v>0.810053413</v>
      </c>
    </row>
    <row r="12452" ht="14.25">
      <c r="B12452" s="18" t="s">
        <v>1153</v>
      </c>
      <c r="C12452" s="18" t="s">
        <v>56435</v>
      </c>
      <c r="D12452" s="18" t="s">
        <v>56436</v>
      </c>
      <c r="E12452" s="18" t="s">
        <v>56437</v>
      </c>
      <c r="F12452" s="18" t="str">
        <f>IFERROR(__XLUDF.DUMMYFUNCTION("PROPER(REGEXREPLACE(D85,""[^A-Za-z]+ "",""""))"),"Groupe Roger Delattre")</f>
        <v xml:space="preserve">Groupe Roger Delattre</v>
      </c>
      <c r="G12452" s="18" t="s">
        <v>56438</v>
      </c>
      <c r="H12452" s="18">
        <v>65</v>
      </c>
      <c r="I12452" s="18" t="s">
        <v>9239</v>
      </c>
      <c r="J12452" s="18" t="str">
        <f>IFERROR(__XLUDF.DUMMYFUNCTION("VLOOKUP(H85,IMPORTRANGE(""https://docs.google.com/spreadsheets/d/1opm6ZNvGZ7KditA9TuJwrZ25eFLfTNIkrNnY6mhV5Eg"",""list!A1:C115""),3,TRUE)"),"le secteur de la construction")</f>
        <v xml:space="preserve">le secteur de la construction</v>
      </c>
      <c r="K12452" s="5" t="s">
        <v>56439</v>
      </c>
      <c r="L12452" s="5" t="s">
        <v>56440</v>
      </c>
      <c r="M12452" s="18" t="s">
        <v>846</v>
      </c>
      <c r="N12452" s="18" t="s">
        <v>29</v>
      </c>
      <c r="O12452" s="18" t="s">
        <v>56441</v>
      </c>
      <c r="P12452" s="18" t="s">
        <v>29</v>
      </c>
      <c r="Q12452" s="6"/>
      <c r="R12452" s="18">
        <v>0.41628135859999998</v>
      </c>
    </row>
    <row r="12453" ht="14.25">
      <c r="B12453" s="18" t="s">
        <v>7525</v>
      </c>
      <c r="C12453" s="18" t="s">
        <v>56442</v>
      </c>
      <c r="D12453" s="18" t="s">
        <v>56443</v>
      </c>
      <c r="E12453" s="18" t="s">
        <v>56444</v>
      </c>
      <c r="F12453" s="18" t="str">
        <f>IFERROR(__XLUDF.DUMMYFUNCTION("PROPER(REGEXREPLACE(D86,""[^A-Za-z]+ "",""""))"),"Federaly")</f>
        <v>Federaly</v>
      </c>
      <c r="G12453" s="18" t="s">
        <v>56445</v>
      </c>
      <c r="H12453" s="18">
        <v>64</v>
      </c>
      <c r="I12453" s="18" t="s">
        <v>9239</v>
      </c>
      <c r="J12453" s="18" t="str">
        <f>IFERROR(__XLUDF.DUMMYFUNCTION("VLOOKUP(H86,IMPORTRANGE(""https://docs.google.com/spreadsheets/d/1opm6ZNvGZ7KditA9TuJwrZ25eFLfTNIkrNnY6mhV5Eg"",""list!A1:C115""),3,TRUE)"),"le secteur de la construction")</f>
        <v xml:space="preserve">le secteur de la construction</v>
      </c>
      <c r="K12453" s="5" t="s">
        <v>56446</v>
      </c>
      <c r="L12453" s="5" t="s">
        <v>56447</v>
      </c>
      <c r="M12453" s="18" t="s">
        <v>423</v>
      </c>
      <c r="N12453" s="18" t="s">
        <v>29</v>
      </c>
      <c r="O12453" s="18" t="s">
        <v>56448</v>
      </c>
      <c r="P12453" s="18" t="s">
        <v>29</v>
      </c>
      <c r="Q12453" s="18" t="s">
        <v>56449</v>
      </c>
      <c r="R12453" s="18">
        <v>0.94112430479999998</v>
      </c>
    </row>
    <row r="12454" ht="14.25">
      <c r="B12454" s="18" t="s">
        <v>7525</v>
      </c>
      <c r="C12454" s="18" t="s">
        <v>56450</v>
      </c>
      <c r="D12454" s="18" t="s">
        <v>3611</v>
      </c>
      <c r="E12454" s="18" t="s">
        <v>56451</v>
      </c>
      <c r="F12454" s="18" t="str">
        <f>IFERROR(__XLUDF.DUMMYFUNCTION("PROPER(REGEXREPLACE(D87,""[^A-Za-z]+ "",""""))"),"Copac")</f>
        <v>Copac</v>
      </c>
      <c r="G12454" s="18" t="s">
        <v>56452</v>
      </c>
      <c r="H12454" s="18">
        <v>130</v>
      </c>
      <c r="I12454" s="18" t="s">
        <v>9239</v>
      </c>
      <c r="J12454" s="18" t="str">
        <f>IFERROR(__XLUDF.DUMMYFUNCTION("VLOOKUP(H87,IMPORTRANGE(""https://docs.google.com/spreadsheets/d/1opm6ZNvGZ7KditA9TuJwrZ25eFLfTNIkrNnY6mhV5Eg"",""list!A1:C115""),3,TRUE)"),"le secteur de la construction")</f>
        <v xml:space="preserve">le secteur de la construction</v>
      </c>
      <c r="K12454" s="5" t="s">
        <v>56453</v>
      </c>
      <c r="L12454" s="5" t="s">
        <v>56454</v>
      </c>
      <c r="M12454" s="18" t="s">
        <v>56455</v>
      </c>
      <c r="N12454" s="18" t="s">
        <v>29</v>
      </c>
      <c r="O12454" s="18" t="s">
        <v>56456</v>
      </c>
      <c r="P12454" s="18" t="s">
        <v>29</v>
      </c>
      <c r="Q12454" s="18" t="s">
        <v>56457</v>
      </c>
      <c r="R12454" s="18">
        <v>0.66046136529999999</v>
      </c>
    </row>
    <row r="12455" ht="14.25">
      <c r="B12455" s="18" t="s">
        <v>571</v>
      </c>
      <c r="C12455" s="18" t="s">
        <v>56458</v>
      </c>
      <c r="D12455" s="18" t="s">
        <v>112</v>
      </c>
      <c r="E12455" s="18" t="s">
        <v>56459</v>
      </c>
      <c r="F12455" s="18" t="str">
        <f>IFERROR(__XLUDF.DUMMYFUNCTION("PROPER(REGEXREPLACE(D88,""[^A-Za-z]+ "",""""))"),"3Ia")</f>
        <v>3Ia</v>
      </c>
      <c r="G12455" s="18" t="s">
        <v>56460</v>
      </c>
      <c r="H12455" s="18">
        <v>89</v>
      </c>
      <c r="I12455" s="18" t="s">
        <v>9239</v>
      </c>
      <c r="J12455" s="18" t="str">
        <f>IFERROR(__XLUDF.DUMMYFUNCTION("VLOOKUP(H88,IMPORTRANGE(""https://docs.google.com/spreadsheets/d/1opm6ZNvGZ7KditA9TuJwrZ25eFLfTNIkrNnY6mhV5Eg"",""list!A1:C115""),3,TRUE)"),"le secteur de la construction")</f>
        <v xml:space="preserve">le secteur de la construction</v>
      </c>
      <c r="K12455" s="5" t="s">
        <v>56461</v>
      </c>
      <c r="L12455" s="5" t="s">
        <v>56462</v>
      </c>
      <c r="M12455" s="18" t="s">
        <v>11716</v>
      </c>
      <c r="N12455" s="18" t="s">
        <v>29</v>
      </c>
      <c r="O12455" s="18" t="s">
        <v>56463</v>
      </c>
      <c r="P12455" s="18" t="s">
        <v>29</v>
      </c>
      <c r="Q12455" s="6"/>
      <c r="R12455" s="18">
        <v>0.80717349199999999</v>
      </c>
    </row>
    <row r="12456" ht="14.25">
      <c r="B12456" s="18" t="s">
        <v>3909</v>
      </c>
      <c r="C12456" s="18" t="s">
        <v>56464</v>
      </c>
      <c r="D12456" s="18" t="s">
        <v>6362</v>
      </c>
      <c r="E12456" s="18" t="s">
        <v>56232</v>
      </c>
      <c r="F12456" s="18" t="str">
        <f>IFERROR(__XLUDF.DUMMYFUNCTION("PROPER(REGEXREPLACE(D89,""[^A-Za-z]+ "",""""))"),"Natibox Studio De Jardin Environnemental")</f>
        <v xml:space="preserve">Natibox Studio De Jardin Environnemental</v>
      </c>
      <c r="G12456" s="18" t="s">
        <v>56465</v>
      </c>
      <c r="H12456" s="18">
        <v>26</v>
      </c>
      <c r="I12456" s="18" t="s">
        <v>9239</v>
      </c>
      <c r="J12456" s="18" t="str">
        <f>IFERROR(__XLUDF.DUMMYFUNCTION("VLOOKUP(H89,IMPORTRANGE(""https://docs.google.com/spreadsheets/d/1opm6ZNvGZ7KditA9TuJwrZ25eFLfTNIkrNnY6mhV5Eg"",""list!A1:C115""),3,TRUE)"),"le secteur de la construction")</f>
        <v xml:space="preserve">le secteur de la construction</v>
      </c>
      <c r="K12456" s="5" t="s">
        <v>56466</v>
      </c>
      <c r="L12456" s="5" t="s">
        <v>56235</v>
      </c>
      <c r="M12456" s="18" t="s">
        <v>39</v>
      </c>
      <c r="N12456" s="18" t="s">
        <v>29</v>
      </c>
      <c r="O12456" s="18" t="s">
        <v>56236</v>
      </c>
      <c r="P12456" s="18" t="s">
        <v>29</v>
      </c>
      <c r="Q12456" s="6"/>
      <c r="R12456" s="18">
        <v>0.2579836969</v>
      </c>
    </row>
    <row r="12457" ht="14.25">
      <c r="B12457" s="18" t="s">
        <v>3909</v>
      </c>
      <c r="C12457" s="18" t="s">
        <v>56467</v>
      </c>
      <c r="D12457" s="18" t="s">
        <v>172</v>
      </c>
      <c r="E12457" s="18" t="s">
        <v>56468</v>
      </c>
      <c r="F12457" s="18" t="str">
        <f>IFERROR(__XLUDF.DUMMYFUNCTION("PROPER(REGEXREPLACE(D90,""[^A-Za-z]+ "",""""))"),"Clmtp")</f>
        <v>Clmtp</v>
      </c>
      <c r="G12457" s="18" t="s">
        <v>56469</v>
      </c>
      <c r="H12457" s="18">
        <v>57</v>
      </c>
      <c r="I12457" s="18" t="s">
        <v>9239</v>
      </c>
      <c r="J12457" s="18" t="str">
        <f>IFERROR(__XLUDF.DUMMYFUNCTION("VLOOKUP(H90,IMPORTRANGE(""https://docs.google.com/spreadsheets/d/1opm6ZNvGZ7KditA9TuJwrZ25eFLfTNIkrNnY6mhV5Eg"",""list!A1:C115""),3,TRUE)"),"le secteur de la construction")</f>
        <v xml:space="preserve">le secteur de la construction</v>
      </c>
      <c r="K12457" s="5" t="s">
        <v>56470</v>
      </c>
      <c r="L12457" s="5" t="s">
        <v>56471</v>
      </c>
      <c r="M12457" s="18" t="s">
        <v>42108</v>
      </c>
      <c r="N12457" s="18" t="s">
        <v>29</v>
      </c>
      <c r="O12457" s="18" t="s">
        <v>56472</v>
      </c>
      <c r="P12457" s="18" t="s">
        <v>29</v>
      </c>
      <c r="Q12457" s="18" t="s">
        <v>56473</v>
      </c>
      <c r="R12457" s="18">
        <v>0.70686661770000003</v>
      </c>
    </row>
    <row r="12458" ht="14.25">
      <c r="B12458" s="18" t="s">
        <v>571</v>
      </c>
      <c r="C12458" s="18" t="s">
        <v>47628</v>
      </c>
      <c r="D12458" s="18" t="s">
        <v>6362</v>
      </c>
      <c r="E12458" s="18" t="s">
        <v>56474</v>
      </c>
      <c r="F12458" s="18" t="str">
        <f>IFERROR(__XLUDF.DUMMYFUNCTION("PROPER(REGEXREPLACE(D91,""[^A-Za-z]+ "",""""))"),"Groupe Planchais")</f>
        <v xml:space="preserve">Groupe Planchais</v>
      </c>
      <c r="G12458" s="18" t="s">
        <v>56475</v>
      </c>
      <c r="H12458" s="18">
        <v>30</v>
      </c>
      <c r="I12458" s="18" t="s">
        <v>9239</v>
      </c>
      <c r="J12458" s="18" t="str">
        <f>IFERROR(__XLUDF.DUMMYFUNCTION("VLOOKUP(H91,IMPORTRANGE(""https://docs.google.com/spreadsheets/d/1opm6ZNvGZ7KditA9TuJwrZ25eFLfTNIkrNnY6mhV5Eg"",""list!A1:C115""),3,TRUE)"),"le secteur de la construction")</f>
        <v xml:space="preserve">le secteur de la construction</v>
      </c>
      <c r="K12458" s="5" t="s">
        <v>56476</v>
      </c>
      <c r="L12458" s="5" t="s">
        <v>56477</v>
      </c>
      <c r="M12458" s="6"/>
      <c r="N12458" s="18" t="s">
        <v>29</v>
      </c>
      <c r="O12458" s="18" t="s">
        <v>56478</v>
      </c>
      <c r="P12458" s="18" t="s">
        <v>29</v>
      </c>
      <c r="Q12458" s="18" t="s">
        <v>56479</v>
      </c>
      <c r="R12458" s="18">
        <v>0.63309542590000001</v>
      </c>
    </row>
    <row r="12459" ht="14.25">
      <c r="B12459" s="18" t="s">
        <v>571</v>
      </c>
      <c r="C12459" s="18" t="s">
        <v>56480</v>
      </c>
      <c r="D12459" s="18" t="s">
        <v>426</v>
      </c>
      <c r="E12459" s="18" t="s">
        <v>56481</v>
      </c>
      <c r="F12459" s="18" t="str">
        <f>IFERROR(__XLUDF.DUMMYFUNCTION("PROPER(REGEXREPLACE(D92,""[^A-Za-z]+ "",""""))"),"Big")</f>
        <v>Big</v>
      </c>
      <c r="G12459" s="18" t="s">
        <v>56482</v>
      </c>
      <c r="H12459" s="18">
        <v>56</v>
      </c>
      <c r="I12459" s="18" t="s">
        <v>9239</v>
      </c>
      <c r="J12459" s="18" t="str">
        <f>IFERROR(__XLUDF.DUMMYFUNCTION("VLOOKUP(H92,IMPORTRANGE(""https://docs.google.com/spreadsheets/d/1opm6ZNvGZ7KditA9TuJwrZ25eFLfTNIkrNnY6mhV5Eg"",""list!A1:C115""),3,TRUE)"),"le secteur de la construction")</f>
        <v xml:space="preserve">le secteur de la construction</v>
      </c>
      <c r="K12459" s="5" t="s">
        <v>56483</v>
      </c>
      <c r="L12459" s="5" t="s">
        <v>56484</v>
      </c>
      <c r="M12459" s="18" t="s">
        <v>185</v>
      </c>
      <c r="N12459" s="18" t="s">
        <v>29</v>
      </c>
      <c r="O12459" s="18" t="s">
        <v>56485</v>
      </c>
      <c r="P12459" s="18" t="s">
        <v>29</v>
      </c>
      <c r="Q12459" s="6"/>
      <c r="R12459" s="18">
        <v>0.92990979539999996</v>
      </c>
    </row>
    <row r="12460" ht="14.25">
      <c r="B12460" s="18" t="s">
        <v>7559</v>
      </c>
      <c r="C12460" s="18" t="s">
        <v>5103</v>
      </c>
      <c r="D12460" s="18" t="s">
        <v>172</v>
      </c>
      <c r="E12460" s="18" t="s">
        <v>56486</v>
      </c>
      <c r="F12460" s="18" t="str">
        <f>IFERROR(__XLUDF.DUMMYFUNCTION("PROPER(REGEXREPLACE(D93,""[^A-Za-z]+ "",""""))"),"Mateloc")</f>
        <v>Mateloc</v>
      </c>
      <c r="G12460" s="18" t="s">
        <v>56487</v>
      </c>
      <c r="H12460" s="18">
        <v>60</v>
      </c>
      <c r="I12460" s="18" t="s">
        <v>9239</v>
      </c>
      <c r="J12460" s="18" t="str">
        <f>IFERROR(__XLUDF.DUMMYFUNCTION("VLOOKUP(H93,IMPORTRANGE(""https://docs.google.com/spreadsheets/d/1opm6ZNvGZ7KditA9TuJwrZ25eFLfTNIkrNnY6mhV5Eg"",""list!A1:C115""),3,TRUE)"),"le secteur de la construction")</f>
        <v xml:space="preserve">le secteur de la construction</v>
      </c>
      <c r="K12460" s="5" t="s">
        <v>56488</v>
      </c>
      <c r="L12460" s="5" t="s">
        <v>56489</v>
      </c>
      <c r="M12460" s="18" t="s">
        <v>1711</v>
      </c>
      <c r="N12460" s="18" t="s">
        <v>29</v>
      </c>
      <c r="O12460" s="18" t="s">
        <v>56490</v>
      </c>
      <c r="P12460" s="18" t="s">
        <v>29</v>
      </c>
      <c r="Q12460" s="18" t="s">
        <v>56491</v>
      </c>
      <c r="R12460" s="18">
        <v>0.20179427159999999</v>
      </c>
    </row>
    <row r="12461" ht="14.25">
      <c r="B12461" s="18" t="s">
        <v>56492</v>
      </c>
      <c r="C12461" s="18" t="s">
        <v>6243</v>
      </c>
      <c r="D12461" s="18" t="s">
        <v>164</v>
      </c>
      <c r="E12461" s="18" t="s">
        <v>56493</v>
      </c>
      <c r="F12461" s="18" t="str">
        <f>IFERROR(__XLUDF.DUMMYFUNCTION("PROPER(REGEXREPLACE(D94,""[^A-Za-z]+ "",""""))"),"Ctmnc Centre Technique De Matériaux Naturels De Construction")</f>
        <v xml:space="preserve">Ctmnc Centre Technique De Matériaux Naturels De Construction</v>
      </c>
      <c r="G12461" s="18" t="s">
        <v>56494</v>
      </c>
      <c r="H12461" s="18">
        <v>56</v>
      </c>
      <c r="I12461" s="18" t="s">
        <v>9239</v>
      </c>
      <c r="J12461" s="18" t="str">
        <f>IFERROR(__XLUDF.DUMMYFUNCTION("VLOOKUP(H94,IMPORTRANGE(""https://docs.google.com/spreadsheets/d/1opm6ZNvGZ7KditA9TuJwrZ25eFLfTNIkrNnY6mhV5Eg"",""list!A1:C115""),3,TRUE)"),"le secteur de la construction")</f>
        <v xml:space="preserve">le secteur de la construction</v>
      </c>
      <c r="K12461" s="5" t="s">
        <v>56495</v>
      </c>
      <c r="L12461" s="5" t="s">
        <v>56496</v>
      </c>
      <c r="M12461" s="18" t="s">
        <v>39</v>
      </c>
      <c r="N12461" s="18" t="s">
        <v>29</v>
      </c>
      <c r="O12461" s="18" t="s">
        <v>56497</v>
      </c>
      <c r="P12461" s="18" t="s">
        <v>29</v>
      </c>
      <c r="Q12461" s="6"/>
      <c r="R12461" s="18">
        <v>0.44934407009999999</v>
      </c>
    </row>
    <row r="12462" ht="14.25">
      <c r="B12462" s="18" t="s">
        <v>604</v>
      </c>
      <c r="C12462" s="18" t="s">
        <v>56498</v>
      </c>
      <c r="D12462" s="18" t="s">
        <v>172</v>
      </c>
      <c r="E12462" s="18" t="s">
        <v>56499</v>
      </c>
      <c r="F12462" s="18" t="str">
        <f>IFERROR(__XLUDF.DUMMYFUNCTION("PROPER(REGEXREPLACE(D95,""[^A-Za-z]+ "",""""))"),"Setec Élite")</f>
        <v xml:space="preserve">Setec Élite</v>
      </c>
      <c r="G12462" s="18" t="s">
        <v>56500</v>
      </c>
      <c r="H12462" s="18">
        <v>16</v>
      </c>
      <c r="I12462" s="18" t="s">
        <v>9239</v>
      </c>
      <c r="J12462" s="18" t="str">
        <f>IFERROR(__XLUDF.DUMMYFUNCTION("VLOOKUP(H95,IMPORTRANGE(""https://docs.google.com/spreadsheets/d/1opm6ZNvGZ7KditA9TuJwrZ25eFLfTNIkrNnY6mhV5Eg"",""list!A1:C115""),3,TRUE)"),"le secteur de la construction")</f>
        <v xml:space="preserve">le secteur de la construction</v>
      </c>
      <c r="K12462" s="5" t="s">
        <v>56501</v>
      </c>
      <c r="L12462" s="5" t="s">
        <v>56502</v>
      </c>
      <c r="M12462" s="18" t="s">
        <v>1419</v>
      </c>
      <c r="N12462" s="18" t="s">
        <v>29</v>
      </c>
      <c r="O12462" s="18" t="s">
        <v>56503</v>
      </c>
      <c r="P12462" s="18" t="s">
        <v>29</v>
      </c>
      <c r="Q12462" s="6"/>
      <c r="R12462" s="18">
        <v>0.53758898580000003</v>
      </c>
    </row>
    <row r="12463" ht="14.25">
      <c r="B12463" s="18" t="s">
        <v>4026</v>
      </c>
      <c r="C12463" s="18" t="s">
        <v>56504</v>
      </c>
      <c r="D12463" s="18" t="s">
        <v>112</v>
      </c>
      <c r="E12463" s="18" t="s">
        <v>56505</v>
      </c>
      <c r="F12463" s="18" t="str">
        <f>IFERROR(__XLUDF.DUMMYFUNCTION("PROPER(REGEXREPLACE(D96,""[^A-Za-z]+ "",""""))"),"Stibat Groupe")</f>
        <v xml:space="preserve">Stibat Groupe</v>
      </c>
      <c r="G12463" s="18" t="s">
        <v>56506</v>
      </c>
      <c r="H12463" s="18">
        <v>69</v>
      </c>
      <c r="I12463" s="18" t="s">
        <v>9239</v>
      </c>
      <c r="J12463" s="18" t="str">
        <f>IFERROR(__XLUDF.DUMMYFUNCTION("VLOOKUP(H96,IMPORTRANGE(""https://docs.google.com/spreadsheets/d/1opm6ZNvGZ7KditA9TuJwrZ25eFLfTNIkrNnY6mhV5Eg"",""list!A1:C115""),3,TRUE)"),"le secteur de la construction")</f>
        <v xml:space="preserve">le secteur de la construction</v>
      </c>
      <c r="K12463" s="5" t="s">
        <v>56507</v>
      </c>
      <c r="L12463" s="5" t="s">
        <v>56508</v>
      </c>
      <c r="M12463" s="18" t="s">
        <v>83</v>
      </c>
      <c r="N12463" s="18" t="s">
        <v>29</v>
      </c>
      <c r="O12463" s="18" t="s">
        <v>56509</v>
      </c>
      <c r="P12463" s="18" t="s">
        <v>29</v>
      </c>
      <c r="Q12463" s="18" t="s">
        <v>56510</v>
      </c>
      <c r="R12463" s="18">
        <v>0.57749415039999996</v>
      </c>
    </row>
    <row r="12464" ht="14.25">
      <c r="B12464" s="18" t="s">
        <v>330</v>
      </c>
      <c r="C12464" s="18" t="s">
        <v>7095</v>
      </c>
      <c r="D12464" s="18" t="s">
        <v>468</v>
      </c>
      <c r="E12464" s="18" t="s">
        <v>56493</v>
      </c>
      <c r="F12464" s="18" t="str">
        <f>IFERROR(__XLUDF.DUMMYFUNCTION("PROPER(REGEXREPLACE(D97,""[^A-Za-z]+ "",""""))"),"Ctmnc Centre Technique De Matériaux Naturels De Construction")</f>
        <v xml:space="preserve">Ctmnc Centre Technique De Matériaux Naturels De Construction</v>
      </c>
      <c r="G12464" s="18" t="s">
        <v>56511</v>
      </c>
      <c r="H12464" s="18">
        <v>56</v>
      </c>
      <c r="I12464" s="18" t="s">
        <v>9239</v>
      </c>
      <c r="J12464" s="18" t="str">
        <f>IFERROR(__XLUDF.DUMMYFUNCTION("VLOOKUP(H97,IMPORTRANGE(""https://docs.google.com/spreadsheets/d/1opm6ZNvGZ7KditA9TuJwrZ25eFLfTNIkrNnY6mhV5Eg"",""list!A1:C115""),3,TRUE)"),"le secteur de la construction")</f>
        <v xml:space="preserve">le secteur de la construction</v>
      </c>
      <c r="K12464" s="5" t="s">
        <v>56512</v>
      </c>
      <c r="L12464" s="5" t="s">
        <v>56496</v>
      </c>
      <c r="M12464" s="18" t="s">
        <v>39</v>
      </c>
      <c r="N12464" s="18" t="s">
        <v>29</v>
      </c>
      <c r="O12464" s="18" t="s">
        <v>56497</v>
      </c>
      <c r="P12464" s="18" t="s">
        <v>29</v>
      </c>
      <c r="Q12464" s="6"/>
      <c r="R12464" s="18">
        <v>0.68891335850000002</v>
      </c>
    </row>
    <row r="12465" ht="14.25">
      <c r="B12465" s="18" t="s">
        <v>1153</v>
      </c>
      <c r="C12465" s="18" t="s">
        <v>56513</v>
      </c>
      <c r="D12465" s="18" t="s">
        <v>487</v>
      </c>
      <c r="E12465" s="18" t="s">
        <v>56514</v>
      </c>
      <c r="F12465" s="18" t="str">
        <f>IFERROR(__XLUDF.DUMMYFUNCTION("PROPER(REGEXREPLACE(D98,""[^A-Za-z]+ "",""""))"),"Energie Côtsud")</f>
        <v xml:space="preserve">Energie Côtsud</v>
      </c>
      <c r="G12465" s="18" t="s">
        <v>56515</v>
      </c>
      <c r="H12465" s="18">
        <v>95</v>
      </c>
      <c r="I12465" s="18" t="s">
        <v>9239</v>
      </c>
      <c r="J12465" s="18" t="str">
        <f>IFERROR(__XLUDF.DUMMYFUNCTION("VLOOKUP(H98,IMPORTRANGE(""https://docs.google.com/spreadsheets/d/1opm6ZNvGZ7KditA9TuJwrZ25eFLfTNIkrNnY6mhV5Eg"",""list!A1:C115""),3,TRUE)"),"le secteur de la construction")</f>
        <v xml:space="preserve">le secteur de la construction</v>
      </c>
      <c r="K12465" s="5" t="s">
        <v>56516</v>
      </c>
      <c r="L12465" s="5" t="s">
        <v>56517</v>
      </c>
      <c r="M12465" s="18" t="s">
        <v>10589</v>
      </c>
      <c r="N12465" s="18" t="s">
        <v>29</v>
      </c>
      <c r="O12465" s="18" t="s">
        <v>56518</v>
      </c>
      <c r="P12465" s="18" t="s">
        <v>29</v>
      </c>
      <c r="Q12465" s="18" t="s">
        <v>56519</v>
      </c>
      <c r="R12465" s="18">
        <v>0.064959067339999996</v>
      </c>
    </row>
    <row r="12466" ht="14.25">
      <c r="B12466" s="18" t="s">
        <v>1861</v>
      </c>
      <c r="C12466" s="18" t="s">
        <v>56520</v>
      </c>
      <c r="D12466" s="18" t="s">
        <v>426</v>
      </c>
      <c r="E12466" s="18" t="s">
        <v>56521</v>
      </c>
      <c r="F12466" s="18" t="str">
        <f>IFERROR(__XLUDF.DUMMYFUNCTION("PROPER(REGEXREPLACE(D99,""[^A-Za-z]+ "",""""))"),"Sopreco")</f>
        <v>Sopreco</v>
      </c>
      <c r="G12466" s="18" t="s">
        <v>56522</v>
      </c>
      <c r="H12466" s="18">
        <v>76</v>
      </c>
      <c r="I12466" s="18" t="s">
        <v>9239</v>
      </c>
      <c r="J12466" s="18" t="str">
        <f>IFERROR(__XLUDF.DUMMYFUNCTION("VLOOKUP(H99,IMPORTRANGE(""https://docs.google.com/spreadsheets/d/1opm6ZNvGZ7KditA9TuJwrZ25eFLfTNIkrNnY6mhV5Eg"",""list!A1:C115""),3,TRUE)"),"le secteur de la construction")</f>
        <v xml:space="preserve">le secteur de la construction</v>
      </c>
      <c r="K12466" s="5" t="s">
        <v>56523</v>
      </c>
      <c r="L12466" s="5" t="s">
        <v>56524</v>
      </c>
      <c r="M12466" s="18" t="s">
        <v>16314</v>
      </c>
      <c r="N12466" s="18" t="s">
        <v>29</v>
      </c>
      <c r="O12466" s="18" t="s">
        <v>56525</v>
      </c>
      <c r="P12466" s="18" t="s">
        <v>29</v>
      </c>
      <c r="Q12466" s="18" t="s">
        <v>56526</v>
      </c>
      <c r="R12466" s="18">
        <v>0.26338527299999998</v>
      </c>
    </row>
    <row r="12467" ht="14.25">
      <c r="B12467" s="18" t="s">
        <v>808</v>
      </c>
      <c r="C12467" s="18" t="s">
        <v>4132</v>
      </c>
      <c r="D12467" s="18" t="s">
        <v>172</v>
      </c>
      <c r="E12467" s="18" t="s">
        <v>56527</v>
      </c>
      <c r="F12467" s="18" t="str">
        <f>IFERROR(__XLUDF.DUMMYFUNCTION("PROPER(REGEXREPLACE(D100,""[^A-Za-z]+ "",""""))"),"Sygmatel")</f>
        <v>Sygmatel</v>
      </c>
      <c r="G12467" s="18" t="s">
        <v>56528</v>
      </c>
      <c r="H12467" s="18">
        <v>120</v>
      </c>
      <c r="I12467" s="18" t="s">
        <v>9239</v>
      </c>
      <c r="J12467" s="18" t="str">
        <f>IFERROR(__XLUDF.DUMMYFUNCTION("VLOOKUP(H100,IMPORTRANGE(""https://docs.google.com/spreadsheets/d/1opm6ZNvGZ7KditA9TuJwrZ25eFLfTNIkrNnY6mhV5Eg"",""list!A1:C115""),3,TRUE)"),"le secteur de la construction")</f>
        <v xml:space="preserve">le secteur de la construction</v>
      </c>
      <c r="K12467" s="5" t="s">
        <v>56529</v>
      </c>
      <c r="L12467" s="5" t="s">
        <v>56530</v>
      </c>
      <c r="M12467" s="18" t="s">
        <v>1711</v>
      </c>
      <c r="N12467" s="18" t="s">
        <v>29</v>
      </c>
      <c r="O12467" s="18" t="s">
        <v>55509</v>
      </c>
      <c r="P12467" s="18" t="s">
        <v>29</v>
      </c>
      <c r="Q12467" s="18" t="s">
        <v>56531</v>
      </c>
      <c r="R12467" s="18">
        <v>0.96831188030000004</v>
      </c>
    </row>
    <row r="12468" ht="14.25">
      <c r="B12468" s="18" t="s">
        <v>2249</v>
      </c>
      <c r="C12468" s="18" t="s">
        <v>56532</v>
      </c>
      <c r="D12468" s="18" t="s">
        <v>56533</v>
      </c>
      <c r="E12468" s="18" t="s">
        <v>56534</v>
      </c>
      <c r="F12468" s="18" t="str">
        <f>IFERROR(__XLUDF.DUMMYFUNCTION("PROPER(REGEXREPLACE(D101,""[^A-Za-z]+ "",""""))"),"Lca Construction Bois")</f>
        <v xml:space="preserve">Lca Construction Bois</v>
      </c>
      <c r="G12468" s="18" t="s">
        <v>56535</v>
      </c>
      <c r="H12468" s="18">
        <v>78</v>
      </c>
      <c r="I12468" s="18" t="s">
        <v>9239</v>
      </c>
      <c r="J12468" s="18" t="str">
        <f>IFERROR(__XLUDF.DUMMYFUNCTION("VLOOKUP(H101,IMPORTRANGE(""https://docs.google.com/spreadsheets/d/1opm6ZNvGZ7KditA9TuJwrZ25eFLfTNIkrNnY6mhV5Eg"",""list!A1:C115""),3,TRUE)"),"le secteur de la construction")</f>
        <v xml:space="preserve">le secteur de la construction</v>
      </c>
      <c r="K12468" s="5" t="s">
        <v>56536</v>
      </c>
      <c r="L12468" s="5" t="s">
        <v>56537</v>
      </c>
      <c r="M12468" s="18" t="s">
        <v>1711</v>
      </c>
      <c r="N12468" s="18" t="s">
        <v>29</v>
      </c>
      <c r="O12468" s="18" t="s">
        <v>56538</v>
      </c>
      <c r="P12468" s="18" t="s">
        <v>29</v>
      </c>
      <c r="Q12468" s="18" t="s">
        <v>56539</v>
      </c>
      <c r="R12468" s="18">
        <v>0.43027274700000001</v>
      </c>
    </row>
    <row r="12469" ht="14.25">
      <c r="B12469" s="18" t="s">
        <v>56540</v>
      </c>
      <c r="C12469" s="18" t="s">
        <v>7601</v>
      </c>
      <c r="D12469" s="18" t="s">
        <v>1950</v>
      </c>
      <c r="E12469" s="18" t="s">
        <v>56541</v>
      </c>
      <c r="F12469" s="18" t="str">
        <f>IFERROR(__XLUDF.DUMMYFUNCTION("PROPER(REGEXREPLACE(D102,""[^A-Za-z]+ "",""""))"),"La Scetec")</f>
        <v xml:space="preserve">La Scetec</v>
      </c>
      <c r="G12469" s="18" t="s">
        <v>56542</v>
      </c>
      <c r="H12469" s="18">
        <v>89</v>
      </c>
      <c r="I12469" s="18" t="s">
        <v>9239</v>
      </c>
      <c r="J12469" s="18" t="str">
        <f>IFERROR(__XLUDF.DUMMYFUNCTION("VLOOKUP(H102,IMPORTRANGE(""https://docs.google.com/spreadsheets/d/1opm6ZNvGZ7KditA9TuJwrZ25eFLfTNIkrNnY6mhV5Eg"",""list!A1:C115""),3,TRUE)"),"le secteur de la construction")</f>
        <v xml:space="preserve">le secteur de la construction</v>
      </c>
      <c r="K12469" s="5" t="s">
        <v>56543</v>
      </c>
      <c r="L12469" s="5" t="s">
        <v>56544</v>
      </c>
      <c r="M12469" s="18" t="s">
        <v>2650</v>
      </c>
      <c r="N12469" s="18" t="s">
        <v>29</v>
      </c>
      <c r="O12469" s="18" t="s">
        <v>56545</v>
      </c>
      <c r="P12469" s="18" t="s">
        <v>29</v>
      </c>
      <c r="Q12469" s="18" t="s">
        <v>56546</v>
      </c>
      <c r="R12469" s="18">
        <v>0.18647296190000001</v>
      </c>
    </row>
    <row r="12470" ht="14.25">
      <c r="B12470" s="18" t="s">
        <v>808</v>
      </c>
      <c r="C12470" s="18" t="s">
        <v>56547</v>
      </c>
      <c r="D12470" s="18" t="s">
        <v>172</v>
      </c>
      <c r="E12470" s="18" t="s">
        <v>56548</v>
      </c>
      <c r="F12470" s="18" t="str">
        <f>IFERROR(__XLUDF.DUMMYFUNCTION("PROPER(REGEXREPLACE(D103,""[^A-Za-z]+ "",""""))"),"Créa-Design")</f>
        <v>Créa-Design</v>
      </c>
      <c r="G12470" s="18" t="s">
        <v>56549</v>
      </c>
      <c r="H12470" s="18">
        <v>56</v>
      </c>
      <c r="I12470" s="18" t="s">
        <v>9239</v>
      </c>
      <c r="J12470" s="18" t="str">
        <f>IFERROR(__XLUDF.DUMMYFUNCTION("VLOOKUP(H103,IMPORTRANGE(""https://docs.google.com/spreadsheets/d/1opm6ZNvGZ7KditA9TuJwrZ25eFLfTNIkrNnY6mhV5Eg"",""list!A1:C115""),3,TRUE)"),"le secteur de la construction")</f>
        <v xml:space="preserve">le secteur de la construction</v>
      </c>
      <c r="K12470" s="5" t="s">
        <v>56550</v>
      </c>
      <c r="L12470" s="5" t="s">
        <v>56551</v>
      </c>
      <c r="M12470" s="18" t="s">
        <v>774</v>
      </c>
      <c r="N12470" s="18" t="s">
        <v>29</v>
      </c>
      <c r="O12470" s="18" t="s">
        <v>56552</v>
      </c>
      <c r="P12470" s="18" t="s">
        <v>29</v>
      </c>
      <c r="Q12470" s="18" t="s">
        <v>56553</v>
      </c>
      <c r="R12470" s="18">
        <v>0.86494455260000003</v>
      </c>
    </row>
    <row r="12471" ht="14.25">
      <c r="B12471" s="18" t="s">
        <v>1562</v>
      </c>
      <c r="C12471" s="18" t="s">
        <v>56554</v>
      </c>
      <c r="D12471" s="18" t="s">
        <v>1950</v>
      </c>
      <c r="E12471" s="18" t="s">
        <v>56541</v>
      </c>
      <c r="F12471" s="18" t="str">
        <f>IFERROR(__XLUDF.DUMMYFUNCTION("PROPER(REGEXREPLACE(D104,""[^A-Za-z]+ "",""""))"),"La Scetec")</f>
        <v xml:space="preserve">La Scetec</v>
      </c>
      <c r="G12471" s="18" t="s">
        <v>56555</v>
      </c>
      <c r="H12471" s="18">
        <v>89</v>
      </c>
      <c r="I12471" s="18" t="s">
        <v>9239</v>
      </c>
      <c r="J12471" s="18" t="str">
        <f>IFERROR(__XLUDF.DUMMYFUNCTION("VLOOKUP(H104,IMPORTRANGE(""https://docs.google.com/spreadsheets/d/1opm6ZNvGZ7KditA9TuJwrZ25eFLfTNIkrNnY6mhV5Eg"",""list!A1:C115""),3,TRUE)"),"le secteur de la construction")</f>
        <v xml:space="preserve">le secteur de la construction</v>
      </c>
      <c r="K12471" s="5" t="s">
        <v>56556</v>
      </c>
      <c r="L12471" s="5" t="s">
        <v>56544</v>
      </c>
      <c r="M12471" s="18" t="s">
        <v>2650</v>
      </c>
      <c r="N12471" s="18" t="s">
        <v>29</v>
      </c>
      <c r="O12471" s="18" t="s">
        <v>56545</v>
      </c>
      <c r="P12471" s="18" t="s">
        <v>29</v>
      </c>
      <c r="Q12471" s="18" t="s">
        <v>56546</v>
      </c>
      <c r="R12471" s="18">
        <v>0.52467401889999998</v>
      </c>
    </row>
    <row r="12472" ht="14.25">
      <c r="B12472" s="18" t="s">
        <v>1562</v>
      </c>
      <c r="C12472" s="18" t="s">
        <v>56557</v>
      </c>
      <c r="D12472" s="18" t="s">
        <v>6362</v>
      </c>
      <c r="E12472" s="18" t="s">
        <v>56558</v>
      </c>
      <c r="F12472" s="18" t="str">
        <f>IFERROR(__XLUDF.DUMMYFUNCTION("PROPER(REGEXREPLACE(D105,""[^A-Za-z]+ "",""""))"),"Electricite Veit")</f>
        <v xml:space="preserve">Electricite Veit</v>
      </c>
      <c r="G12472" s="18" t="s">
        <v>56559</v>
      </c>
      <c r="H12472" s="18">
        <v>39</v>
      </c>
      <c r="I12472" s="18" t="s">
        <v>9239</v>
      </c>
      <c r="J12472" s="18" t="str">
        <f>IFERROR(__XLUDF.DUMMYFUNCTION("VLOOKUP(H105,IMPORTRANGE(""https://docs.google.com/spreadsheets/d/1opm6ZNvGZ7KditA9TuJwrZ25eFLfTNIkrNnY6mhV5Eg"",""list!A1:C115""),3,TRUE)"),"le secteur de la construction")</f>
        <v xml:space="preserve">le secteur de la construction</v>
      </c>
      <c r="K12472" s="5" t="s">
        <v>56560</v>
      </c>
      <c r="L12472" s="5" t="s">
        <v>56561</v>
      </c>
      <c r="M12472" s="18" t="s">
        <v>1460</v>
      </c>
      <c r="N12472" s="18" t="s">
        <v>29</v>
      </c>
      <c r="O12472" s="18" t="s">
        <v>56562</v>
      </c>
      <c r="P12472" s="18" t="s">
        <v>29</v>
      </c>
      <c r="Q12472" s="18" t="s">
        <v>56563</v>
      </c>
      <c r="R12472" s="18">
        <v>0.10240152850000001</v>
      </c>
    </row>
    <row r="12473" ht="14.25">
      <c r="B12473" s="18" t="s">
        <v>1562</v>
      </c>
      <c r="C12473" s="18" t="s">
        <v>18921</v>
      </c>
      <c r="D12473" s="18" t="s">
        <v>112</v>
      </c>
      <c r="E12473" s="18" t="s">
        <v>56564</v>
      </c>
      <c r="F12473" s="18" t="str">
        <f>IFERROR(__XLUDF.DUMMYFUNCTION("PROPER(REGEXREPLACE(D106,""[^A-Za-z]+ "",""""))"),"Ségic Ingénierie")</f>
        <v xml:space="preserve">Ségic Ingénierie</v>
      </c>
      <c r="G12473" s="18" t="s">
        <v>56565</v>
      </c>
      <c r="H12473" s="18">
        <v>79</v>
      </c>
      <c r="I12473" s="18" t="s">
        <v>9239</v>
      </c>
      <c r="J12473" s="18" t="str">
        <f>IFERROR(__XLUDF.DUMMYFUNCTION("VLOOKUP(H106,IMPORTRANGE(""https://docs.google.com/spreadsheets/d/1opm6ZNvGZ7KditA9TuJwrZ25eFLfTNIkrNnY6mhV5Eg"",""list!A1:C115""),3,TRUE)"),"le secteur de la construction")</f>
        <v xml:space="preserve">le secteur de la construction</v>
      </c>
      <c r="K12473" s="5" t="s">
        <v>56566</v>
      </c>
      <c r="L12473" s="5" t="s">
        <v>56567</v>
      </c>
      <c r="M12473" s="18" t="s">
        <v>10963</v>
      </c>
      <c r="N12473" s="18" t="s">
        <v>29</v>
      </c>
      <c r="O12473" s="18" t="s">
        <v>56568</v>
      </c>
      <c r="P12473" s="18" t="s">
        <v>29</v>
      </c>
      <c r="Q12473" s="6"/>
      <c r="R12473" s="18">
        <v>0.55933941060000003</v>
      </c>
    </row>
    <row r="12474" ht="14.25">
      <c r="B12474" s="18" t="s">
        <v>808</v>
      </c>
      <c r="C12474" s="18" t="s">
        <v>56569</v>
      </c>
      <c r="D12474" s="18" t="s">
        <v>172</v>
      </c>
      <c r="E12474" s="18" t="s">
        <v>56570</v>
      </c>
      <c r="F12474" s="18" t="str">
        <f>IFERROR(__XLUDF.DUMMYFUNCTION("PROPER(REGEXREPLACE(D107,""[^A-Za-z]+ "",""""))"),"Francioli")</f>
        <v>Francioli</v>
      </c>
      <c r="G12474" s="18" t="s">
        <v>56571</v>
      </c>
      <c r="H12474" s="18">
        <v>61</v>
      </c>
      <c r="I12474" s="18" t="s">
        <v>9239</v>
      </c>
      <c r="J12474" s="18" t="str">
        <f>IFERROR(__XLUDF.DUMMYFUNCTION("VLOOKUP(H107,IMPORTRANGE(""https://docs.google.com/spreadsheets/d/1opm6ZNvGZ7KditA9TuJwrZ25eFLfTNIkrNnY6mhV5Eg"",""list!A1:C115""),3,TRUE)"),"le secteur de la construction")</f>
        <v xml:space="preserve">le secteur de la construction</v>
      </c>
      <c r="K12474" s="5" t="s">
        <v>56572</v>
      </c>
      <c r="L12474" s="5" t="s">
        <v>56573</v>
      </c>
      <c r="M12474" s="6"/>
      <c r="N12474" s="18" t="s">
        <v>29</v>
      </c>
      <c r="O12474" s="18" t="s">
        <v>56574</v>
      </c>
      <c r="P12474" s="18" t="s">
        <v>29</v>
      </c>
      <c r="Q12474" s="18" t="s">
        <v>56575</v>
      </c>
      <c r="R12474" s="18">
        <v>0.88863868069999996</v>
      </c>
    </row>
    <row r="12475" ht="14.25">
      <c r="B12475" s="18" t="s">
        <v>808</v>
      </c>
      <c r="C12475" s="18" t="s">
        <v>56576</v>
      </c>
      <c r="D12475" s="18" t="s">
        <v>6362</v>
      </c>
      <c r="E12475" s="18" t="s">
        <v>56577</v>
      </c>
      <c r="F12475" s="18" t="str">
        <f>IFERROR(__XLUDF.DUMMYFUNCTION("PROPER(REGEXREPLACE(D108,""[^A-Za-z]+ "",""""))"),"Ctio")</f>
        <v>Ctio</v>
      </c>
      <c r="G12475" s="18" t="s">
        <v>56578</v>
      </c>
      <c r="H12475" s="18">
        <v>22</v>
      </c>
      <c r="I12475" s="18" t="s">
        <v>9239</v>
      </c>
      <c r="J12475" s="18" t="str">
        <f>IFERROR(__XLUDF.DUMMYFUNCTION("VLOOKUP(H108,IMPORTRANGE(""https://docs.google.com/spreadsheets/d/1opm6ZNvGZ7KditA9TuJwrZ25eFLfTNIkrNnY6mhV5Eg"",""list!A1:C115""),3,TRUE)"),"le secteur de la construction")</f>
        <v xml:space="preserve">le secteur de la construction</v>
      </c>
      <c r="K12475" s="5" t="s">
        <v>56579</v>
      </c>
      <c r="L12475" s="5" t="s">
        <v>56580</v>
      </c>
      <c r="M12475" s="18" t="s">
        <v>1711</v>
      </c>
      <c r="N12475" s="18" t="s">
        <v>29</v>
      </c>
      <c r="O12475" s="18" t="s">
        <v>56581</v>
      </c>
      <c r="P12475" s="18" t="s">
        <v>29</v>
      </c>
      <c r="Q12475" s="6"/>
      <c r="R12475" s="18">
        <v>0.60227253550000004</v>
      </c>
    </row>
    <row r="12476" ht="14.25">
      <c r="B12476" s="18" t="s">
        <v>2249</v>
      </c>
      <c r="C12476" s="18" t="s">
        <v>56582</v>
      </c>
      <c r="D12476" s="18" t="s">
        <v>56583</v>
      </c>
      <c r="E12476" s="18" t="s">
        <v>56584</v>
      </c>
      <c r="F12476" s="18" t="str">
        <f>IFERROR(__XLUDF.DUMMYFUNCTION("PROPER(REGEXREPLACE(D109,""[^A-Za-z]+ "",""""))"),"Ks Groupe")</f>
        <v xml:space="preserve">Ks Groupe</v>
      </c>
      <c r="G12476" s="18" t="s">
        <v>56585</v>
      </c>
      <c r="H12476" s="18">
        <v>67</v>
      </c>
      <c r="I12476" s="18" t="s">
        <v>9239</v>
      </c>
      <c r="J12476" s="18" t="str">
        <f>IFERROR(__XLUDF.DUMMYFUNCTION("VLOOKUP(H109,IMPORTRANGE(""https://docs.google.com/spreadsheets/d/1opm6ZNvGZ7KditA9TuJwrZ25eFLfTNIkrNnY6mhV5Eg"",""list!A1:C115""),3,TRUE)"),"le secteur de la construction")</f>
        <v xml:space="preserve">le secteur de la construction</v>
      </c>
      <c r="K12476" s="5" t="s">
        <v>56586</v>
      </c>
      <c r="L12476" s="5" t="s">
        <v>56587</v>
      </c>
      <c r="M12476" s="18" t="s">
        <v>651</v>
      </c>
      <c r="N12476" s="18" t="s">
        <v>29</v>
      </c>
      <c r="O12476" s="18" t="s">
        <v>56588</v>
      </c>
      <c r="P12476" s="18" t="s">
        <v>29</v>
      </c>
      <c r="Q12476" s="18" t="s">
        <v>56589</v>
      </c>
      <c r="R12476" s="18">
        <v>0.045358856879999999</v>
      </c>
    </row>
    <row r="12477" ht="14.25">
      <c r="B12477" s="18" t="s">
        <v>1861</v>
      </c>
      <c r="C12477" s="18" t="s">
        <v>56590</v>
      </c>
      <c r="D12477" s="18" t="s">
        <v>1130</v>
      </c>
      <c r="E12477" s="18" t="s">
        <v>56591</v>
      </c>
      <c r="F12477" s="18" t="str">
        <f>IFERROR(__XLUDF.DUMMYFUNCTION("PROPER(REGEXREPLACE(D110,""[^A-Za-z]+ "",""""))"),"Ouvrard")</f>
        <v>Ouvrard</v>
      </c>
      <c r="G12477" s="18" t="s">
        <v>56592</v>
      </c>
      <c r="H12477" s="18">
        <v>80</v>
      </c>
      <c r="I12477" s="18" t="s">
        <v>9239</v>
      </c>
      <c r="J12477" s="18" t="str">
        <f>IFERROR(__XLUDF.DUMMYFUNCTION("VLOOKUP(H110,IMPORTRANGE(""https://docs.google.com/spreadsheets/d/1opm6ZNvGZ7KditA9TuJwrZ25eFLfTNIkrNnY6mhV5Eg"",""list!A1:C115""),3,TRUE)"),"le secteur de la construction")</f>
        <v xml:space="preserve">le secteur de la construction</v>
      </c>
      <c r="K12477" s="5" t="s">
        <v>56593</v>
      </c>
      <c r="L12477" s="5" t="s">
        <v>56594</v>
      </c>
      <c r="M12477" s="18" t="s">
        <v>10276</v>
      </c>
      <c r="N12477" s="18" t="s">
        <v>29</v>
      </c>
      <c r="O12477" s="18" t="s">
        <v>56595</v>
      </c>
      <c r="P12477" s="18" t="s">
        <v>29</v>
      </c>
      <c r="Q12477" s="18" t="s">
        <v>56596</v>
      </c>
      <c r="R12477" s="18">
        <v>0.23114859939999999</v>
      </c>
    </row>
    <row r="12478" ht="14.25">
      <c r="B12478" s="18" t="s">
        <v>1861</v>
      </c>
      <c r="C12478" s="18" t="s">
        <v>56597</v>
      </c>
      <c r="D12478" s="18" t="s">
        <v>172</v>
      </c>
      <c r="E12478" s="18" t="s">
        <v>56598</v>
      </c>
      <c r="F12478" s="18" t="str">
        <f>IFERROR(__XLUDF.DUMMYFUNCTION("PROPER(REGEXREPLACE(D111,""[^A-Za-z]+ "",""""))"),"Embase")</f>
        <v>Embase</v>
      </c>
      <c r="G12478" s="18" t="s">
        <v>56599</v>
      </c>
      <c r="H12478" s="18">
        <v>50</v>
      </c>
      <c r="I12478" s="18" t="s">
        <v>9239</v>
      </c>
      <c r="J12478" s="18" t="str">
        <f>IFERROR(__XLUDF.DUMMYFUNCTION("VLOOKUP(H111,IMPORTRANGE(""https://docs.google.com/spreadsheets/d/1opm6ZNvGZ7KditA9TuJwrZ25eFLfTNIkrNnY6mhV5Eg"",""list!A1:C115""),3,TRUE)"),"le secteur de la construction")</f>
        <v xml:space="preserve">le secteur de la construction</v>
      </c>
      <c r="K12478" s="5" t="s">
        <v>56600</v>
      </c>
      <c r="L12478" s="5" t="s">
        <v>56601</v>
      </c>
      <c r="M12478" s="18" t="s">
        <v>651</v>
      </c>
      <c r="N12478" s="18" t="s">
        <v>29</v>
      </c>
      <c r="O12478" s="18" t="s">
        <v>56602</v>
      </c>
      <c r="P12478" s="18" t="s">
        <v>29</v>
      </c>
      <c r="Q12478" s="18" t="s">
        <v>56603</v>
      </c>
      <c r="R12478" s="18">
        <v>0.44880050310000003</v>
      </c>
    </row>
    <row r="12479" ht="14.25">
      <c r="B12479" s="18" t="s">
        <v>679</v>
      </c>
      <c r="C12479" s="18" t="s">
        <v>1896</v>
      </c>
      <c r="D12479" s="18" t="s">
        <v>56604</v>
      </c>
      <c r="E12479" s="18" t="s">
        <v>56265</v>
      </c>
      <c r="F12479" s="18" t="str">
        <f>IFERROR(__XLUDF.DUMMYFUNCTION("PROPER(REGEXREPLACE(D112,""[^A-Za-z]+ "",""""))"),"Activ Travaux France")</f>
        <v xml:space="preserve">Activ Travaux France</v>
      </c>
      <c r="G12479" s="18" t="s">
        <v>56605</v>
      </c>
      <c r="H12479" s="18">
        <v>84</v>
      </c>
      <c r="I12479" s="18" t="s">
        <v>9239</v>
      </c>
      <c r="J12479" s="18" t="str">
        <f>IFERROR(__XLUDF.DUMMYFUNCTION("VLOOKUP(H112,IMPORTRANGE(""https://docs.google.com/spreadsheets/d/1opm6ZNvGZ7KditA9TuJwrZ25eFLfTNIkrNnY6mhV5Eg"",""list!A1:C115""),3,TRUE)"),"le secteur de la construction")</f>
        <v xml:space="preserve">le secteur de la construction</v>
      </c>
      <c r="K12479" s="5" t="s">
        <v>56606</v>
      </c>
      <c r="L12479" s="5" t="s">
        <v>56268</v>
      </c>
      <c r="M12479" s="18" t="s">
        <v>1826</v>
      </c>
      <c r="N12479" s="18" t="s">
        <v>29</v>
      </c>
      <c r="O12479" s="18" t="s">
        <v>56270</v>
      </c>
      <c r="P12479" s="18" t="s">
        <v>29</v>
      </c>
      <c r="Q12479" s="18" t="s">
        <v>56271</v>
      </c>
      <c r="R12479" s="18">
        <v>0.2553129469</v>
      </c>
    </row>
    <row r="12480" ht="14.25">
      <c r="B12480" s="18" t="s">
        <v>679</v>
      </c>
      <c r="C12480" s="18" t="s">
        <v>1183</v>
      </c>
      <c r="D12480" s="18" t="s">
        <v>172</v>
      </c>
      <c r="E12480" s="18" t="s">
        <v>56607</v>
      </c>
      <c r="F12480" s="18" t="str">
        <f>IFERROR(__XLUDF.DUMMYFUNCTION("PROPER(REGEXREPLACE(D113,""[^A-Za-z]+ "",""""))"),"Egdc")</f>
        <v>Egdc</v>
      </c>
      <c r="G12480" s="18" t="s">
        <v>56608</v>
      </c>
      <c r="H12480" s="18">
        <v>89</v>
      </c>
      <c r="I12480" s="18" t="s">
        <v>9239</v>
      </c>
      <c r="J12480" s="18" t="str">
        <f>IFERROR(__XLUDF.DUMMYFUNCTION("VLOOKUP(H113,IMPORTRANGE(""https://docs.google.com/spreadsheets/d/1opm6ZNvGZ7KditA9TuJwrZ25eFLfTNIkrNnY6mhV5Eg"",""list!A1:C115""),3,TRUE)"),"le secteur de la construction")</f>
        <v xml:space="preserve">le secteur de la construction</v>
      </c>
      <c r="K12480" s="5" t="s">
        <v>56609</v>
      </c>
      <c r="L12480" s="5" t="s">
        <v>56610</v>
      </c>
      <c r="M12480" s="18" t="s">
        <v>56611</v>
      </c>
      <c r="N12480" s="18" t="s">
        <v>29</v>
      </c>
      <c r="O12480" s="18" t="s">
        <v>56612</v>
      </c>
      <c r="P12480" s="18" t="s">
        <v>29</v>
      </c>
      <c r="Q12480" s="18" t="s">
        <v>56613</v>
      </c>
      <c r="R12480" s="18">
        <v>0.4416155349</v>
      </c>
    </row>
    <row r="12481" ht="14.25">
      <c r="B12481" s="18" t="s">
        <v>5716</v>
      </c>
      <c r="C12481" s="18" t="s">
        <v>56614</v>
      </c>
      <c r="D12481" s="18" t="s">
        <v>426</v>
      </c>
      <c r="E12481" s="18" t="s">
        <v>56615</v>
      </c>
      <c r="F12481" s="18" t="str">
        <f>IFERROR(__XLUDF.DUMMYFUNCTION("PROPER(REGEXREPLACE(D114,""[^A-Za-z]+ "",""""))"),"Placeo")</f>
        <v>Placeo</v>
      </c>
      <c r="G12481" s="18" t="s">
        <v>56616</v>
      </c>
      <c r="H12481" s="18">
        <v>78</v>
      </c>
      <c r="I12481" s="18" t="s">
        <v>9239</v>
      </c>
      <c r="J12481" s="18" t="str">
        <f>IFERROR(__XLUDF.DUMMYFUNCTION("VLOOKUP(H114,IMPORTRANGE(""https://docs.google.com/spreadsheets/d/1opm6ZNvGZ7KditA9TuJwrZ25eFLfTNIkrNnY6mhV5Eg"",""list!A1:C115""),3,TRUE)"),"le secteur de la construction")</f>
        <v xml:space="preserve">le secteur de la construction</v>
      </c>
      <c r="K12481" s="5" t="s">
        <v>56617</v>
      </c>
      <c r="L12481" s="5" t="s">
        <v>56618</v>
      </c>
      <c r="M12481" s="6"/>
      <c r="N12481" s="18" t="s">
        <v>29</v>
      </c>
      <c r="O12481" s="18" t="s">
        <v>17736</v>
      </c>
      <c r="P12481" s="18" t="s">
        <v>29</v>
      </c>
      <c r="Q12481" s="18" t="s">
        <v>56619</v>
      </c>
      <c r="R12481" s="18">
        <v>0.69218146140000003</v>
      </c>
    </row>
    <row r="12482" ht="14.25">
      <c r="B12482" s="18" t="s">
        <v>6788</v>
      </c>
      <c r="C12482" s="18" t="s">
        <v>29176</v>
      </c>
      <c r="D12482" s="18" t="s">
        <v>112</v>
      </c>
      <c r="E12482" s="18" t="s">
        <v>56309</v>
      </c>
      <c r="F12482" s="18" t="str">
        <f>IFERROR(__XLUDF.DUMMYFUNCTION("PROPER(REGEXREPLACE(D115,""[^A-Za-z]+ "",""""))"),"Synerciel")</f>
        <v>Synerciel</v>
      </c>
      <c r="G12482" s="18" t="s">
        <v>56620</v>
      </c>
      <c r="H12482" s="18">
        <v>85</v>
      </c>
      <c r="I12482" s="18" t="s">
        <v>9239</v>
      </c>
      <c r="J12482" s="18" t="str">
        <f>IFERROR(__XLUDF.DUMMYFUNCTION("VLOOKUP(H115,IMPORTRANGE(""https://docs.google.com/spreadsheets/d/1opm6ZNvGZ7KditA9TuJwrZ25eFLfTNIkrNnY6mhV5Eg"",""list!A1:C115""),3,TRUE)"),"le secteur de la construction")</f>
        <v xml:space="preserve">le secteur de la construction</v>
      </c>
      <c r="K12482" s="5" t="s">
        <v>56621</v>
      </c>
      <c r="L12482" s="5" t="s">
        <v>56312</v>
      </c>
      <c r="M12482" s="18" t="s">
        <v>15292</v>
      </c>
      <c r="N12482" s="18" t="s">
        <v>29</v>
      </c>
      <c r="O12482" s="18" t="s">
        <v>56313</v>
      </c>
      <c r="P12482" s="18" t="s">
        <v>29</v>
      </c>
      <c r="Q12482" s="18" t="s">
        <v>56314</v>
      </c>
      <c r="R12482" s="18">
        <v>0.60508080369999995</v>
      </c>
    </row>
    <row r="12483" ht="14.25">
      <c r="B12483" s="18" t="s">
        <v>679</v>
      </c>
      <c r="C12483" s="18" t="s">
        <v>16942</v>
      </c>
      <c r="D12483" s="18" t="s">
        <v>112</v>
      </c>
      <c r="E12483" s="18" t="s">
        <v>56622</v>
      </c>
      <c r="F12483" s="18" t="str">
        <f>IFERROR(__XLUDF.DUMMYFUNCTION("PROPER(REGEXREPLACE(D116,""[^A-Za-z]+ "",""""))"),"Arkédia")</f>
        <v>Arkédia</v>
      </c>
      <c r="G12483" s="18" t="s">
        <v>56623</v>
      </c>
      <c r="H12483" s="18">
        <v>97</v>
      </c>
      <c r="I12483" s="18" t="s">
        <v>9239</v>
      </c>
      <c r="J12483" s="18" t="str">
        <f>IFERROR(__XLUDF.DUMMYFUNCTION("VLOOKUP(H116,IMPORTRANGE(""https://docs.google.com/spreadsheets/d/1opm6ZNvGZ7KditA9TuJwrZ25eFLfTNIkrNnY6mhV5Eg"",""list!A1:C115""),3,TRUE)"),"le secteur de la construction")</f>
        <v xml:space="preserve">le secteur de la construction</v>
      </c>
      <c r="K12483" s="5" t="s">
        <v>56624</v>
      </c>
      <c r="L12483" s="5" t="s">
        <v>56625</v>
      </c>
      <c r="M12483" s="18" t="s">
        <v>1460</v>
      </c>
      <c r="N12483" s="18" t="s">
        <v>29</v>
      </c>
      <c r="O12483" s="18" t="s">
        <v>56626</v>
      </c>
      <c r="P12483" s="18" t="s">
        <v>29</v>
      </c>
      <c r="Q12483" s="18" t="s">
        <v>56627</v>
      </c>
      <c r="R12483" s="18">
        <v>0.92493543430000003</v>
      </c>
    </row>
    <row r="12484" ht="14.25">
      <c r="B12484" s="18" t="s">
        <v>1198</v>
      </c>
      <c r="C12484" s="18" t="s">
        <v>56628</v>
      </c>
      <c r="D12484" s="18" t="s">
        <v>172</v>
      </c>
      <c r="E12484" s="18" t="s">
        <v>56629</v>
      </c>
      <c r="F12484" s="18" t="str">
        <f>IFERROR(__XLUDF.DUMMYFUNCTION("PROPER(REGEXREPLACE(D117,""[^A-Za-z]+ "",""""))"),"Mpo Fenêtres")</f>
        <v xml:space="preserve">Mpo Fenêtres</v>
      </c>
      <c r="G12484" s="18" t="s">
        <v>56630</v>
      </c>
      <c r="H12484" s="18">
        <v>73</v>
      </c>
      <c r="I12484" s="18" t="s">
        <v>9239</v>
      </c>
      <c r="J12484" s="18" t="str">
        <f>IFERROR(__XLUDF.DUMMYFUNCTION("VLOOKUP(H117,IMPORTRANGE(""https://docs.google.com/spreadsheets/d/1opm6ZNvGZ7KditA9TuJwrZ25eFLfTNIkrNnY6mhV5Eg"",""list!A1:C115""),3,TRUE)"),"le secteur de la construction")</f>
        <v xml:space="preserve">le secteur de la construction</v>
      </c>
      <c r="K12484" s="5" t="s">
        <v>56631</v>
      </c>
      <c r="L12484" s="5" t="s">
        <v>56632</v>
      </c>
      <c r="M12484" s="18" t="s">
        <v>11084</v>
      </c>
      <c r="N12484" s="18" t="s">
        <v>29</v>
      </c>
      <c r="O12484" s="18" t="s">
        <v>56633</v>
      </c>
      <c r="P12484" s="18" t="s">
        <v>29</v>
      </c>
      <c r="Q12484" s="18" t="s">
        <v>56634</v>
      </c>
      <c r="R12484" s="18">
        <v>0.94531236809999997</v>
      </c>
    </row>
    <row r="12485" ht="14.25">
      <c r="B12485" s="18" t="s">
        <v>56635</v>
      </c>
      <c r="C12485" s="18" t="s">
        <v>679</v>
      </c>
      <c r="D12485" s="18" t="s">
        <v>112</v>
      </c>
      <c r="E12485" s="18" t="s">
        <v>56636</v>
      </c>
      <c r="F12485" s="18" t="str">
        <f>IFERROR(__XLUDF.DUMMYFUNCTION("PROPER(REGEXREPLACE(D118,""[^A-Za-z]+ "",""""))"),"Mtechbuild")</f>
        <v>Mtechbuild</v>
      </c>
      <c r="G12485" s="18" t="s">
        <v>56637</v>
      </c>
      <c r="H12485" s="18">
        <v>60</v>
      </c>
      <c r="I12485" s="18" t="s">
        <v>9239</v>
      </c>
      <c r="J12485" s="18" t="str">
        <f>IFERROR(__XLUDF.DUMMYFUNCTION("VLOOKUP(H118,IMPORTRANGE(""https://docs.google.com/spreadsheets/d/1opm6ZNvGZ7KditA9TuJwrZ25eFLfTNIkrNnY6mhV5Eg"",""list!A1:C115""),3,TRUE)"),"le secteur de la construction")</f>
        <v xml:space="preserve">le secteur de la construction</v>
      </c>
      <c r="K12485" s="5" t="s">
        <v>56638</v>
      </c>
      <c r="L12485" s="5" t="s">
        <v>56639</v>
      </c>
      <c r="M12485" s="18" t="s">
        <v>1711</v>
      </c>
      <c r="N12485" s="18" t="s">
        <v>29</v>
      </c>
      <c r="O12485" s="18" t="s">
        <v>56640</v>
      </c>
      <c r="P12485" s="18" t="s">
        <v>29</v>
      </c>
      <c r="Q12485" s="18" t="s">
        <v>56641</v>
      </c>
      <c r="R12485" s="18">
        <v>0.74622089420000004</v>
      </c>
    </row>
    <row r="12486" ht="14.25">
      <c r="B12486" s="18" t="s">
        <v>679</v>
      </c>
      <c r="C12486" s="18" t="s">
        <v>56642</v>
      </c>
      <c r="D12486" s="18" t="s">
        <v>172</v>
      </c>
      <c r="E12486" s="18" t="s">
        <v>56643</v>
      </c>
      <c r="F12486" s="18" t="str">
        <f>IFERROR(__XLUDF.DUMMYFUNCTION("PROPER(REGEXREPLACE(D119,""[^A-Za-z]+ "",""""))"),"France Rabotage")</f>
        <v xml:space="preserve">France Rabotage</v>
      </c>
      <c r="G12486" s="18" t="s">
        <v>56644</v>
      </c>
      <c r="H12486" s="18">
        <v>80</v>
      </c>
      <c r="I12486" s="18" t="s">
        <v>9239</v>
      </c>
      <c r="J12486" s="18" t="str">
        <f>IFERROR(__XLUDF.DUMMYFUNCTION("VLOOKUP(H119,IMPORTRANGE(""https://docs.google.com/spreadsheets/d/1opm6ZNvGZ7KditA9TuJwrZ25eFLfTNIkrNnY6mhV5Eg"",""list!A1:C115""),3,TRUE)"),"le secteur de la construction")</f>
        <v xml:space="preserve">le secteur de la construction</v>
      </c>
      <c r="K12486" s="5" t="s">
        <v>56645</v>
      </c>
      <c r="L12486" s="5" t="s">
        <v>56646</v>
      </c>
      <c r="M12486" s="18" t="s">
        <v>53730</v>
      </c>
      <c r="N12486" s="18" t="s">
        <v>29</v>
      </c>
      <c r="O12486" s="18" t="s">
        <v>56647</v>
      </c>
      <c r="P12486" s="18" t="s">
        <v>29</v>
      </c>
      <c r="Q12486" s="6"/>
      <c r="R12486" s="18">
        <v>0.97438776140000005</v>
      </c>
    </row>
    <row r="12487" ht="14.25">
      <c r="B12487" s="18" t="s">
        <v>679</v>
      </c>
      <c r="C12487" s="18" t="s">
        <v>56648</v>
      </c>
      <c r="D12487" s="18" t="s">
        <v>56649</v>
      </c>
      <c r="E12487" s="18" t="s">
        <v>56650</v>
      </c>
      <c r="F12487" s="18" t="str">
        <f>IFERROR(__XLUDF.DUMMYFUNCTION("PROPER(REGEXREPLACE(D120,""[^A-Za-z]+ "",""""))"),"Elo Énergie")</f>
        <v xml:space="preserve">Elo Énergie</v>
      </c>
      <c r="G12487" s="18" t="s">
        <v>56651</v>
      </c>
      <c r="H12487" s="18">
        <v>65</v>
      </c>
      <c r="I12487" s="18" t="s">
        <v>9239</v>
      </c>
      <c r="J12487" s="18" t="str">
        <f>IFERROR(__XLUDF.DUMMYFUNCTION("VLOOKUP(H120,IMPORTRANGE(""https://docs.google.com/spreadsheets/d/1opm6ZNvGZ7KditA9TuJwrZ25eFLfTNIkrNnY6mhV5Eg"",""list!A1:C115""),3,TRUE)"),"le secteur de la construction")</f>
        <v xml:space="preserve">le secteur de la construction</v>
      </c>
      <c r="K12487" s="5" t="s">
        <v>56652</v>
      </c>
      <c r="L12487" s="5" t="s">
        <v>56653</v>
      </c>
      <c r="M12487" s="18" t="s">
        <v>56654</v>
      </c>
      <c r="N12487" s="18" t="s">
        <v>29</v>
      </c>
      <c r="O12487" s="18" t="s">
        <v>56655</v>
      </c>
      <c r="P12487" s="18" t="s">
        <v>29</v>
      </c>
      <c r="Q12487" s="18" t="s">
        <v>56656</v>
      </c>
      <c r="R12487" s="18">
        <v>0.52283814679999996</v>
      </c>
    </row>
    <row r="12488" ht="14.25">
      <c r="B12488" s="18" t="s">
        <v>679</v>
      </c>
      <c r="C12488" s="18" t="s">
        <v>56657</v>
      </c>
      <c r="D12488" s="18" t="s">
        <v>56658</v>
      </c>
      <c r="E12488" s="18" t="s">
        <v>56659</v>
      </c>
      <c r="F12488" s="18" t="str">
        <f>IFERROR(__XLUDF.DUMMYFUNCTION("PROPER(REGEXREPLACE(D121,""[^A-Za-z]+ "",""""))"),"Bois Loisirs Creations")</f>
        <v xml:space="preserve">Bois Loisirs Creations</v>
      </c>
      <c r="G12488" s="18" t="s">
        <v>56660</v>
      </c>
      <c r="H12488" s="18">
        <v>24</v>
      </c>
      <c r="I12488" s="18" t="s">
        <v>9239</v>
      </c>
      <c r="J12488" s="18" t="str">
        <f>IFERROR(__XLUDF.DUMMYFUNCTION("VLOOKUP(H121,IMPORTRANGE(""https://docs.google.com/spreadsheets/d/1opm6ZNvGZ7KditA9TuJwrZ25eFLfTNIkrNnY6mhV5Eg"",""list!A1:C115""),3,TRUE)"),"le secteur de la construction")</f>
        <v xml:space="preserve">le secteur de la construction</v>
      </c>
      <c r="K12488" s="5" t="s">
        <v>56661</v>
      </c>
      <c r="L12488" s="5" t="s">
        <v>56662</v>
      </c>
      <c r="M12488" s="18" t="s">
        <v>1711</v>
      </c>
      <c r="N12488" s="18" t="s">
        <v>29</v>
      </c>
      <c r="O12488" s="18" t="s">
        <v>56663</v>
      </c>
      <c r="P12488" s="18" t="s">
        <v>29</v>
      </c>
      <c r="Q12488" s="18" t="s">
        <v>56664</v>
      </c>
      <c r="R12488" s="18">
        <v>0.2052196889</v>
      </c>
    </row>
    <row r="12489" ht="14.25">
      <c r="B12489" s="18" t="s">
        <v>2932</v>
      </c>
      <c r="C12489" s="18" t="s">
        <v>56161</v>
      </c>
      <c r="D12489" s="18" t="s">
        <v>6391</v>
      </c>
      <c r="E12489" s="18" t="s">
        <v>56162</v>
      </c>
      <c r="F12489" s="18" t="str">
        <f>IFERROR(__XLUDF.DUMMYFUNCTION("PROPER(REGEXREPLACE(D122,""[^A-Za-z]+ "",""""))"),"Natilia")</f>
        <v>Natilia</v>
      </c>
      <c r="G12489" s="18" t="s">
        <v>56665</v>
      </c>
      <c r="H12489" s="18">
        <v>90</v>
      </c>
      <c r="I12489" s="18" t="s">
        <v>9239</v>
      </c>
      <c r="J12489" s="18" t="str">
        <f>IFERROR(__XLUDF.DUMMYFUNCTION("VLOOKUP(H122,IMPORTRANGE(""https://docs.google.com/spreadsheets/d/1opm6ZNvGZ7KditA9TuJwrZ25eFLfTNIkrNnY6mhV5Eg"",""list!A1:C115""),3,TRUE)"),"le secteur de la construction")</f>
        <v xml:space="preserve">le secteur de la construction</v>
      </c>
      <c r="K12489" s="5" t="s">
        <v>56666</v>
      </c>
      <c r="L12489" s="5" t="s">
        <v>56165</v>
      </c>
      <c r="M12489" s="18" t="s">
        <v>846</v>
      </c>
      <c r="N12489" s="18" t="s">
        <v>29</v>
      </c>
      <c r="O12489" s="18" t="s">
        <v>56166</v>
      </c>
      <c r="P12489" s="18" t="s">
        <v>29</v>
      </c>
      <c r="Q12489" s="18" t="s">
        <v>56167</v>
      </c>
      <c r="R12489" s="18">
        <v>0.89307979120000003</v>
      </c>
    </row>
    <row r="12490" ht="14.25">
      <c r="B12490" s="18" t="s">
        <v>2932</v>
      </c>
      <c r="C12490" s="18" t="s">
        <v>56667</v>
      </c>
      <c r="D12490" s="18" t="s">
        <v>112</v>
      </c>
      <c r="E12490" s="18" t="s">
        <v>56668</v>
      </c>
      <c r="F12490" s="18" t="str">
        <f>IFERROR(__XLUDF.DUMMYFUNCTION("PROPER(REGEXREPLACE(D123,""[^A-Za-z]+ "",""""))"),"Gamma Industries")</f>
        <v xml:space="preserve">Gamma Industries</v>
      </c>
      <c r="G12490" s="18" t="s">
        <v>56669</v>
      </c>
      <c r="H12490" s="18">
        <v>73</v>
      </c>
      <c r="I12490" s="18" t="s">
        <v>9239</v>
      </c>
      <c r="J12490" s="18" t="str">
        <f>IFERROR(__XLUDF.DUMMYFUNCTION("VLOOKUP(H123,IMPORTRANGE(""https://docs.google.com/spreadsheets/d/1opm6ZNvGZ7KditA9TuJwrZ25eFLfTNIkrNnY6mhV5Eg"",""list!A1:C115""),3,TRUE)"),"le secteur de la construction")</f>
        <v xml:space="preserve">le secteur de la construction</v>
      </c>
      <c r="K12490" s="5" t="s">
        <v>56670</v>
      </c>
      <c r="L12490" s="5" t="s">
        <v>56671</v>
      </c>
      <c r="M12490" s="6"/>
      <c r="N12490" s="18" t="s">
        <v>29</v>
      </c>
      <c r="O12490" s="18" t="s">
        <v>7599</v>
      </c>
      <c r="P12490" s="18" t="s">
        <v>29</v>
      </c>
      <c r="Q12490" s="18" t="s">
        <v>56672</v>
      </c>
      <c r="R12490" s="18">
        <v>0.57941992610000004</v>
      </c>
    </row>
    <row r="12491" ht="14.25">
      <c r="B12491" s="18" t="s">
        <v>2932</v>
      </c>
      <c r="C12491" s="18" t="s">
        <v>56673</v>
      </c>
      <c r="D12491" s="18" t="s">
        <v>56674</v>
      </c>
      <c r="E12491" s="18" t="s">
        <v>56675</v>
      </c>
      <c r="F12491" s="18" t="str">
        <f>IFERROR(__XLUDF.DUMMYFUNCTION("PROPER(REGEXREPLACE(D124,""[^A-Za-z]+ "",""""))"),"Groupe Stihlé")</f>
        <v xml:space="preserve">Groupe Stihlé</v>
      </c>
      <c r="G12491" s="18" t="s">
        <v>56676</v>
      </c>
      <c r="H12491" s="18">
        <v>120</v>
      </c>
      <c r="I12491" s="18" t="s">
        <v>9239</v>
      </c>
      <c r="J12491" s="18" t="str">
        <f>IFERROR(__XLUDF.DUMMYFUNCTION("VLOOKUP(H124,IMPORTRANGE(""https://docs.google.com/spreadsheets/d/1opm6ZNvGZ7KditA9TuJwrZ25eFLfTNIkrNnY6mhV5Eg"",""list!A1:C115""),3,TRUE)"),"le secteur de la construction")</f>
        <v xml:space="preserve">le secteur de la construction</v>
      </c>
      <c r="K12491" s="5" t="s">
        <v>56677</v>
      </c>
      <c r="L12491" s="5" t="s">
        <v>56678</v>
      </c>
      <c r="M12491" s="18" t="s">
        <v>16312</v>
      </c>
      <c r="N12491" s="18" t="s">
        <v>29</v>
      </c>
      <c r="O12491" s="18" t="s">
        <v>56679</v>
      </c>
      <c r="P12491" s="18" t="s">
        <v>29</v>
      </c>
      <c r="Q12491" s="18" t="s">
        <v>56680</v>
      </c>
      <c r="R12491" s="18">
        <v>0.44541963779999999</v>
      </c>
    </row>
    <row r="12492" ht="14.25">
      <c r="B12492" s="18" t="s">
        <v>1198</v>
      </c>
      <c r="C12492" s="18" t="s">
        <v>56681</v>
      </c>
      <c r="D12492" s="18" t="s">
        <v>56682</v>
      </c>
      <c r="E12492" s="18" t="s">
        <v>56683</v>
      </c>
      <c r="F12492" s="18" t="str">
        <f>IFERROR(__XLUDF.DUMMYFUNCTION("PROPER(REGEXREPLACE(D125,""[^A-Za-z]+ "",""""))"),"Monopanel Sas")</f>
        <v xml:space="preserve">Monopanel Sas</v>
      </c>
      <c r="G12492" s="18" t="s">
        <v>56684</v>
      </c>
      <c r="H12492" s="18">
        <v>69</v>
      </c>
      <c r="I12492" s="18" t="s">
        <v>9239</v>
      </c>
      <c r="J12492" s="18" t="str">
        <f>IFERROR(__XLUDF.DUMMYFUNCTION("VLOOKUP(H125,IMPORTRANGE(""https://docs.google.com/spreadsheets/d/1opm6ZNvGZ7KditA9TuJwrZ25eFLfTNIkrNnY6mhV5Eg"",""list!A1:C115""),3,TRUE)"),"le secteur de la construction")</f>
        <v xml:space="preserve">le secteur de la construction</v>
      </c>
      <c r="K12492" s="5" t="s">
        <v>56685</v>
      </c>
      <c r="L12492" s="5" t="s">
        <v>56686</v>
      </c>
      <c r="M12492" s="6"/>
      <c r="N12492" s="18" t="s">
        <v>29</v>
      </c>
      <c r="O12492" s="18" t="s">
        <v>56687</v>
      </c>
      <c r="P12492" s="18" t="s">
        <v>29</v>
      </c>
      <c r="Q12492" s="18" t="s">
        <v>56688</v>
      </c>
      <c r="R12492" s="18">
        <v>0.87403191729999996</v>
      </c>
    </row>
    <row r="12493" ht="14.25">
      <c r="B12493" s="18" t="s">
        <v>1198</v>
      </c>
      <c r="C12493" s="18" t="s">
        <v>29664</v>
      </c>
      <c r="D12493" s="18" t="s">
        <v>6362</v>
      </c>
      <c r="E12493" s="18" t="s">
        <v>56689</v>
      </c>
      <c r="F12493" s="18" t="str">
        <f>IFERROR(__XLUDF.DUMMYFUNCTION("PROPER(REGEXREPLACE(D126,""[^A-Za-z]+ "",""""))"),"Cirtec")</f>
        <v>Cirtec</v>
      </c>
      <c r="G12493" s="18" t="s">
        <v>56690</v>
      </c>
      <c r="H12493" s="18">
        <v>31</v>
      </c>
      <c r="I12493" s="18" t="s">
        <v>9239</v>
      </c>
      <c r="J12493" s="18" t="str">
        <f>IFERROR(__XLUDF.DUMMYFUNCTION("VLOOKUP(H126,IMPORTRANGE(""https://docs.google.com/spreadsheets/d/1opm6ZNvGZ7KditA9TuJwrZ25eFLfTNIkrNnY6mhV5Eg"",""list!A1:C115""),3,TRUE)"),"le secteur de la construction")</f>
        <v xml:space="preserve">le secteur de la construction</v>
      </c>
      <c r="K12493" s="5" t="s">
        <v>56691</v>
      </c>
      <c r="L12493" s="5" t="s">
        <v>56692</v>
      </c>
      <c r="M12493" s="18" t="s">
        <v>1826</v>
      </c>
      <c r="N12493" s="18" t="s">
        <v>29</v>
      </c>
      <c r="O12493" s="18" t="s">
        <v>56693</v>
      </c>
      <c r="P12493" s="18" t="s">
        <v>29</v>
      </c>
      <c r="Q12493" s="18" t="s">
        <v>56694</v>
      </c>
      <c r="R12493" s="18">
        <v>0.30457241080000003</v>
      </c>
    </row>
    <row r="12494" ht="14.25">
      <c r="B12494" s="18" t="s">
        <v>2932</v>
      </c>
      <c r="C12494" s="18" t="s">
        <v>52126</v>
      </c>
      <c r="D12494" s="18" t="s">
        <v>1130</v>
      </c>
      <c r="E12494" s="18" t="s">
        <v>56695</v>
      </c>
      <c r="F12494" s="18" t="str">
        <f>IFERROR(__XLUDF.DUMMYFUNCTION("PROPER(REGEXREPLACE(D127,""[^A-Za-z]+ "",""""))"),"Samibois")</f>
        <v>Samibois</v>
      </c>
      <c r="G12494" s="18" t="s">
        <v>56696</v>
      </c>
      <c r="H12494" s="18">
        <v>65</v>
      </c>
      <c r="I12494" s="18" t="s">
        <v>9239</v>
      </c>
      <c r="J12494" s="18" t="str">
        <f>IFERROR(__XLUDF.DUMMYFUNCTION("VLOOKUP(H127,IMPORTRANGE(""https://docs.google.com/spreadsheets/d/1opm6ZNvGZ7KditA9TuJwrZ25eFLfTNIkrNnY6mhV5Eg"",""list!A1:C115""),3,TRUE)"),"le secteur de la construction")</f>
        <v xml:space="preserve">le secteur de la construction</v>
      </c>
      <c r="K12494" s="5" t="s">
        <v>56697</v>
      </c>
      <c r="L12494" s="5" t="s">
        <v>56698</v>
      </c>
      <c r="M12494" s="18" t="s">
        <v>1711</v>
      </c>
      <c r="N12494" s="18" t="s">
        <v>29</v>
      </c>
      <c r="O12494" s="18" t="s">
        <v>56699</v>
      </c>
      <c r="P12494" s="18" t="s">
        <v>29</v>
      </c>
      <c r="Q12494" s="18" t="s">
        <v>56700</v>
      </c>
      <c r="R12494" s="18">
        <v>0.59478124300000002</v>
      </c>
    </row>
    <row r="12495" ht="14.25">
      <c r="B12495" s="18" t="s">
        <v>6788</v>
      </c>
      <c r="C12495" s="18" t="s">
        <v>56701</v>
      </c>
      <c r="D12495" s="18" t="s">
        <v>172</v>
      </c>
      <c r="E12495" s="18" t="s">
        <v>56702</v>
      </c>
      <c r="F12495" s="18" t="str">
        <f>IFERROR(__XLUDF.DUMMYFUNCTION("PROPER(REGEXREPLACE(D128,""[^A-Za-z]+ "",""""))"),"Picard Serrures")</f>
        <v xml:space="preserve">Picard Serrures</v>
      </c>
      <c r="G12495" s="18" t="s">
        <v>56703</v>
      </c>
      <c r="H12495" s="18">
        <v>71</v>
      </c>
      <c r="I12495" s="18" t="s">
        <v>9239</v>
      </c>
      <c r="J12495" s="18" t="str">
        <f>IFERROR(__XLUDF.DUMMYFUNCTION("VLOOKUP(H128,IMPORTRANGE(""https://docs.google.com/spreadsheets/d/1opm6ZNvGZ7KditA9TuJwrZ25eFLfTNIkrNnY6mhV5Eg"",""list!A1:C115""),3,TRUE)"),"le secteur de la construction")</f>
        <v xml:space="preserve">le secteur de la construction</v>
      </c>
      <c r="K12495" s="5" t="s">
        <v>56704</v>
      </c>
      <c r="L12495" s="5" t="s">
        <v>56705</v>
      </c>
      <c r="M12495" s="18" t="s">
        <v>39</v>
      </c>
      <c r="N12495" s="18" t="s">
        <v>29</v>
      </c>
      <c r="O12495" s="18" t="s">
        <v>56706</v>
      </c>
      <c r="P12495" s="18" t="s">
        <v>29</v>
      </c>
      <c r="Q12495" s="18" t="s">
        <v>56707</v>
      </c>
      <c r="R12495" s="18">
        <v>0.79403966100000001</v>
      </c>
    </row>
    <row r="12496" ht="14.25">
      <c r="B12496" s="18" t="s">
        <v>41112</v>
      </c>
      <c r="C12496" s="18" t="s">
        <v>56708</v>
      </c>
      <c r="D12496" s="18" t="s">
        <v>56709</v>
      </c>
      <c r="E12496" s="18" t="s">
        <v>56285</v>
      </c>
      <c r="F12496" s="18" t="str">
        <f>IFERROR(__XLUDF.DUMMYFUNCTION("PROPER(REGEXREPLACE(D129,""[^A-Za-z]+ "",""""))"),"Betom Group")</f>
        <v xml:space="preserve">Betom Group</v>
      </c>
      <c r="G12496" s="18" t="s">
        <v>56710</v>
      </c>
      <c r="H12496" s="18">
        <v>59</v>
      </c>
      <c r="I12496" s="18" t="s">
        <v>9239</v>
      </c>
      <c r="J12496" s="18" t="str">
        <f>IFERROR(__XLUDF.DUMMYFUNCTION("VLOOKUP(H129,IMPORTRANGE(""https://docs.google.com/spreadsheets/d/1opm6ZNvGZ7KditA9TuJwrZ25eFLfTNIkrNnY6mhV5Eg"",""list!A1:C115""),3,TRUE)"),"le secteur de la construction")</f>
        <v xml:space="preserve">le secteur de la construction</v>
      </c>
      <c r="K12496" s="5" t="s">
        <v>56711</v>
      </c>
      <c r="L12496" s="5" t="s">
        <v>56288</v>
      </c>
      <c r="M12496" s="18" t="s">
        <v>1711</v>
      </c>
      <c r="N12496" s="18" t="s">
        <v>29</v>
      </c>
      <c r="O12496" s="18" t="s">
        <v>807</v>
      </c>
      <c r="P12496" s="18" t="s">
        <v>29</v>
      </c>
      <c r="Q12496" s="18" t="s">
        <v>56289</v>
      </c>
      <c r="R12496" s="18">
        <v>0.24139293410000001</v>
      </c>
    </row>
    <row r="12497" ht="14.25">
      <c r="B12497" s="18" t="s">
        <v>355</v>
      </c>
      <c r="C12497" s="18" t="s">
        <v>56712</v>
      </c>
      <c r="D12497" s="18" t="s">
        <v>56713</v>
      </c>
      <c r="E12497" s="18" t="s">
        <v>56265</v>
      </c>
      <c r="F12497" s="18" t="str">
        <f>IFERROR(__XLUDF.DUMMYFUNCTION("PROPER(REGEXREPLACE(D130,""[^A-Za-z]+ "",""""))"),"Activ Travaux France")</f>
        <v xml:space="preserve">Activ Travaux France</v>
      </c>
      <c r="G12497" s="18" t="s">
        <v>56714</v>
      </c>
      <c r="H12497" s="18">
        <v>84</v>
      </c>
      <c r="I12497" s="18" t="s">
        <v>9239</v>
      </c>
      <c r="J12497" s="18" t="str">
        <f>IFERROR(__XLUDF.DUMMYFUNCTION("VLOOKUP(H130,IMPORTRANGE(""https://docs.google.com/spreadsheets/d/1opm6ZNvGZ7KditA9TuJwrZ25eFLfTNIkrNnY6mhV5Eg"",""list!A1:C115""),3,TRUE)"),"le secteur de la construction")</f>
        <v xml:space="preserve">le secteur de la construction</v>
      </c>
      <c r="K12497" s="5" t="s">
        <v>56715</v>
      </c>
      <c r="L12497" s="5" t="s">
        <v>56268</v>
      </c>
      <c r="M12497" s="18" t="s">
        <v>295</v>
      </c>
      <c r="N12497" s="18" t="s">
        <v>29</v>
      </c>
      <c r="O12497" s="18" t="s">
        <v>56270</v>
      </c>
      <c r="P12497" s="18" t="s">
        <v>29</v>
      </c>
      <c r="Q12497" s="18" t="s">
        <v>56271</v>
      </c>
      <c r="R12497" s="18">
        <v>0.4431750558</v>
      </c>
    </row>
    <row r="12498" ht="14.25">
      <c r="B12498" s="18" t="s">
        <v>4800</v>
      </c>
      <c r="C12498" s="18" t="s">
        <v>56716</v>
      </c>
      <c r="D12498" s="18" t="s">
        <v>112</v>
      </c>
      <c r="E12498" s="18" t="s">
        <v>56717</v>
      </c>
      <c r="F12498" s="18" t="str">
        <f>IFERROR(__XLUDF.DUMMYFUNCTION("PROPER(REGEXREPLACE(D131,""[^A-Za-z]+ "",""""))"),"Sateb")</f>
        <v>Sateb</v>
      </c>
      <c r="G12498" s="18" t="s">
        <v>56718</v>
      </c>
      <c r="H12498" s="18">
        <v>85</v>
      </c>
      <c r="I12498" s="18" t="s">
        <v>9239</v>
      </c>
      <c r="J12498" s="18" t="str">
        <f>IFERROR(__XLUDF.DUMMYFUNCTION("VLOOKUP(H131,IMPORTRANGE(""https://docs.google.com/spreadsheets/d/1opm6ZNvGZ7KditA9TuJwrZ25eFLfTNIkrNnY6mhV5Eg"",""list!A1:C115""),3,TRUE)"),"le secteur de la construction")</f>
        <v xml:space="preserve">le secteur de la construction</v>
      </c>
      <c r="K12498" s="5" t="s">
        <v>56719</v>
      </c>
      <c r="L12498" s="5" t="s">
        <v>56720</v>
      </c>
      <c r="M12498" s="18" t="s">
        <v>492</v>
      </c>
      <c r="N12498" s="18" t="s">
        <v>29</v>
      </c>
      <c r="O12498" s="18" t="s">
        <v>56721</v>
      </c>
      <c r="P12498" s="18" t="s">
        <v>29</v>
      </c>
      <c r="Q12498" s="18" t="s">
        <v>56722</v>
      </c>
      <c r="R12498" s="18">
        <v>0.33202994790000001</v>
      </c>
    </row>
    <row r="12499" ht="14.25">
      <c r="B12499" s="18" t="s">
        <v>56723</v>
      </c>
      <c r="C12499" s="18" t="s">
        <v>485</v>
      </c>
      <c r="D12499" s="18" t="s">
        <v>56724</v>
      </c>
      <c r="E12499" s="18" t="s">
        <v>56725</v>
      </c>
      <c r="F12499" s="18" t="str">
        <f>IFERROR(__XLUDF.DUMMYFUNCTION("PROPER(REGEXREPLACE(D132,""[^A-Za-z]+ "",""""))"),"Groupe Gb")</f>
        <v xml:space="preserve">Groupe Gb</v>
      </c>
      <c r="G12499" s="18" t="s">
        <v>56726</v>
      </c>
      <c r="H12499" s="18">
        <v>84</v>
      </c>
      <c r="I12499" s="18" t="s">
        <v>9239</v>
      </c>
      <c r="J12499" s="18" t="str">
        <f>IFERROR(__XLUDF.DUMMYFUNCTION("VLOOKUP(H132,IMPORTRANGE(""https://docs.google.com/spreadsheets/d/1opm6ZNvGZ7KditA9TuJwrZ25eFLfTNIkrNnY6mhV5Eg"",""list!A1:C115""),3,TRUE)"),"le secteur de la construction")</f>
        <v xml:space="preserve">le secteur de la construction</v>
      </c>
      <c r="K12499" s="5" t="s">
        <v>56727</v>
      </c>
      <c r="L12499" s="5" t="s">
        <v>56728</v>
      </c>
      <c r="M12499" s="18" t="s">
        <v>83</v>
      </c>
      <c r="N12499" s="18" t="s">
        <v>29</v>
      </c>
      <c r="O12499" s="18" t="s">
        <v>56729</v>
      </c>
      <c r="P12499" s="18" t="s">
        <v>29</v>
      </c>
      <c r="Q12499" s="6"/>
      <c r="R12499" s="18">
        <v>0.56363123589999997</v>
      </c>
    </row>
    <row r="12500" ht="14.25">
      <c r="B12500" s="18" t="s">
        <v>840</v>
      </c>
      <c r="C12500" s="18" t="s">
        <v>46956</v>
      </c>
      <c r="D12500" s="18" t="s">
        <v>7759</v>
      </c>
      <c r="E12500" s="18" t="s">
        <v>47663</v>
      </c>
      <c r="F12500" s="18" t="str">
        <f>IFERROR(__XLUDF.DUMMYFUNCTION("PROPER(REGEXREPLACE(D133,""[^A-Za-z]+ "",""""))"),"La Compagnie Des Toits")</f>
        <v xml:space="preserve">La Compagnie Des Toits</v>
      </c>
      <c r="G12500" s="18" t="s">
        <v>56730</v>
      </c>
      <c r="H12500" s="18">
        <v>54</v>
      </c>
      <c r="I12500" s="18" t="s">
        <v>9239</v>
      </c>
      <c r="J12500" s="18" t="str">
        <f>IFERROR(__XLUDF.DUMMYFUNCTION("VLOOKUP(H133,IMPORTRANGE(""https://docs.google.com/spreadsheets/d/1opm6ZNvGZ7KditA9TuJwrZ25eFLfTNIkrNnY6mhV5Eg"",""list!A1:C115""),3,TRUE)"),"le secteur de la construction")</f>
        <v xml:space="preserve">le secteur de la construction</v>
      </c>
      <c r="K12500" s="5" t="s">
        <v>56731</v>
      </c>
      <c r="L12500" s="5" t="s">
        <v>56732</v>
      </c>
      <c r="M12500" s="18" t="s">
        <v>185</v>
      </c>
      <c r="N12500" s="18" t="s">
        <v>29</v>
      </c>
      <c r="O12500" s="18" t="s">
        <v>47667</v>
      </c>
      <c r="P12500" s="18" t="s">
        <v>29</v>
      </c>
      <c r="Q12500" s="18" t="s">
        <v>47668</v>
      </c>
      <c r="R12500" s="18">
        <v>0.8837531569</v>
      </c>
    </row>
    <row r="12501" ht="14.25">
      <c r="B12501" s="18" t="s">
        <v>6844</v>
      </c>
      <c r="C12501" s="18" t="s">
        <v>51187</v>
      </c>
      <c r="D12501" s="18" t="s">
        <v>6362</v>
      </c>
      <c r="E12501" s="18" t="s">
        <v>56733</v>
      </c>
      <c r="F12501" s="18" t="str">
        <f>IFERROR(__XLUDF.DUMMYFUNCTION("PROPER(REGEXREPLACE(D134,""[^A-Za-z]+ "",""""))"),"Alupic Par A2Groupe")</f>
        <v xml:space="preserve">Alupic Par A2Groupe</v>
      </c>
      <c r="G12501" s="18" t="s">
        <v>56734</v>
      </c>
      <c r="H12501" s="18">
        <v>22</v>
      </c>
      <c r="I12501" s="18" t="s">
        <v>9239</v>
      </c>
      <c r="J12501" s="18" t="str">
        <f>IFERROR(__XLUDF.DUMMYFUNCTION("VLOOKUP(H134,IMPORTRANGE(""https://docs.google.com/spreadsheets/d/1opm6ZNvGZ7KditA9TuJwrZ25eFLfTNIkrNnY6mhV5Eg"",""list!A1:C115""),3,TRUE)"),"le secteur de la construction")</f>
        <v xml:space="preserve">le secteur de la construction</v>
      </c>
      <c r="K12501" s="5" t="s">
        <v>56735</v>
      </c>
      <c r="L12501" s="5" t="s">
        <v>56736</v>
      </c>
      <c r="M12501" s="18" t="s">
        <v>56737</v>
      </c>
      <c r="N12501" s="18" t="s">
        <v>29</v>
      </c>
      <c r="O12501" s="18" t="s">
        <v>56738</v>
      </c>
      <c r="P12501" s="18" t="s">
        <v>29</v>
      </c>
      <c r="Q12501" s="18" t="s">
        <v>56739</v>
      </c>
      <c r="R12501" s="18">
        <v>0.0028713032910000001</v>
      </c>
    </row>
    <row r="12502" ht="14.25">
      <c r="B12502" s="18" t="s">
        <v>12327</v>
      </c>
      <c r="C12502" s="18" t="s">
        <v>31996</v>
      </c>
      <c r="D12502" s="18" t="s">
        <v>6391</v>
      </c>
      <c r="E12502" s="18" t="s">
        <v>56740</v>
      </c>
      <c r="F12502" s="18" t="str">
        <f>IFERROR(__XLUDF.DUMMYFUNCTION("PROPER(REGEXREPLACE(D135,""[^A-Za-z]+ "",""""))"),"Vip Plus")</f>
        <v xml:space="preserve">Vip Plus</v>
      </c>
      <c r="G12502" s="18" t="s">
        <v>56741</v>
      </c>
      <c r="H12502" s="18">
        <v>39</v>
      </c>
      <c r="I12502" s="18" t="s">
        <v>9239</v>
      </c>
      <c r="J12502" s="18" t="str">
        <f>IFERROR(__XLUDF.DUMMYFUNCTION("VLOOKUP(H135,IMPORTRANGE(""https://docs.google.com/spreadsheets/d/1opm6ZNvGZ7KditA9TuJwrZ25eFLfTNIkrNnY6mhV5Eg"",""list!A1:C115""),3,TRUE)"),"le secteur de la construction")</f>
        <v xml:space="preserve">le secteur de la construction</v>
      </c>
      <c r="K12502" s="5" t="s">
        <v>56742</v>
      </c>
      <c r="L12502" s="5" t="s">
        <v>56743</v>
      </c>
      <c r="M12502" s="18" t="s">
        <v>16489</v>
      </c>
      <c r="N12502" s="18" t="s">
        <v>29</v>
      </c>
      <c r="O12502" s="18" t="s">
        <v>56744</v>
      </c>
      <c r="P12502" s="18" t="s">
        <v>29</v>
      </c>
      <c r="Q12502" s="18" t="s">
        <v>56745</v>
      </c>
      <c r="R12502" s="18">
        <v>0.094674556189999995</v>
      </c>
    </row>
    <row r="12503" ht="14.25">
      <c r="B12503" s="18" t="s">
        <v>355</v>
      </c>
      <c r="C12503" s="18" t="s">
        <v>19154</v>
      </c>
      <c r="D12503" s="18" t="s">
        <v>6362</v>
      </c>
      <c r="E12503" s="18" t="s">
        <v>47663</v>
      </c>
      <c r="F12503" s="18" t="str">
        <f>IFERROR(__XLUDF.DUMMYFUNCTION("PROPER(REGEXREPLACE(D136,""[^A-Za-z]+ "",""""))"),"La Compagnie Des Toits")</f>
        <v xml:space="preserve">La Compagnie Des Toits</v>
      </c>
      <c r="G12503" s="18" t="s">
        <v>56746</v>
      </c>
      <c r="H12503" s="18">
        <v>54</v>
      </c>
      <c r="I12503" s="18" t="s">
        <v>9239</v>
      </c>
      <c r="J12503" s="18" t="str">
        <f>IFERROR(__XLUDF.DUMMYFUNCTION("VLOOKUP(H136,IMPORTRANGE(""https://docs.google.com/spreadsheets/d/1opm6ZNvGZ7KditA9TuJwrZ25eFLfTNIkrNnY6mhV5Eg"",""list!A1:C115""),3,TRUE)"),"le secteur de la construction")</f>
        <v xml:space="preserve">le secteur de la construction</v>
      </c>
      <c r="K12503" s="5" t="s">
        <v>56747</v>
      </c>
      <c r="L12503" s="5" t="s">
        <v>56732</v>
      </c>
      <c r="M12503" s="6"/>
      <c r="N12503" s="18" t="s">
        <v>29</v>
      </c>
      <c r="O12503" s="18" t="s">
        <v>47667</v>
      </c>
      <c r="P12503" s="18" t="s">
        <v>29</v>
      </c>
      <c r="Q12503" s="18" t="s">
        <v>47668</v>
      </c>
      <c r="R12503" s="18">
        <v>0.75670807750000002</v>
      </c>
    </row>
    <row r="12504" ht="14.25">
      <c r="B12504" s="18" t="s">
        <v>355</v>
      </c>
      <c r="C12504" s="18" t="s">
        <v>3037</v>
      </c>
      <c r="D12504" s="18" t="s">
        <v>4290</v>
      </c>
      <c r="E12504" s="18" t="s">
        <v>56748</v>
      </c>
      <c r="F12504" s="18" t="str">
        <f>IFERROR(__XLUDF.DUMMYFUNCTION("PROPER(REGEXREPLACE(D137,""[^A-Za-z]+ "",""""))"),"Vizcab")</f>
        <v>Vizcab</v>
      </c>
      <c r="G12504" s="18" t="s">
        <v>56749</v>
      </c>
      <c r="H12504" s="18">
        <v>69</v>
      </c>
      <c r="I12504" s="18" t="s">
        <v>9239</v>
      </c>
      <c r="J12504" s="18" t="str">
        <f>IFERROR(__XLUDF.DUMMYFUNCTION("VLOOKUP(H137,IMPORTRANGE(""https://docs.google.com/spreadsheets/d/1opm6ZNvGZ7KditA9TuJwrZ25eFLfTNIkrNnY6mhV5Eg"",""list!A1:C115""),3,TRUE)"),"le secteur de la construction")</f>
        <v xml:space="preserve">le secteur de la construction</v>
      </c>
      <c r="K12504" s="5" t="s">
        <v>56750</v>
      </c>
      <c r="L12504" s="5" t="s">
        <v>56751</v>
      </c>
      <c r="M12504" s="18" t="s">
        <v>185</v>
      </c>
      <c r="N12504" s="18" t="s">
        <v>29</v>
      </c>
      <c r="O12504" s="18" t="s">
        <v>54471</v>
      </c>
      <c r="P12504" s="18" t="s">
        <v>29</v>
      </c>
      <c r="Q12504" s="18" t="s">
        <v>56752</v>
      </c>
      <c r="R12504" s="18">
        <v>0.75807774969999997</v>
      </c>
    </row>
    <row r="12505" ht="14.25">
      <c r="B12505" s="18" t="s">
        <v>525</v>
      </c>
      <c r="C12505" s="18" t="s">
        <v>56753</v>
      </c>
      <c r="D12505" s="18" t="s">
        <v>315</v>
      </c>
      <c r="E12505" s="18" t="s">
        <v>56754</v>
      </c>
      <c r="F12505" s="18" t="str">
        <f>IFERROR(__XLUDF.DUMMYFUNCTION("PROPER(REGEXREPLACE(D138,""[^A-Za-z]+ "",""""))"),"Atixis")</f>
        <v>Atixis</v>
      </c>
      <c r="G12505" s="18" t="s">
        <v>56755</v>
      </c>
      <c r="H12505" s="18">
        <v>76</v>
      </c>
      <c r="I12505" s="18" t="s">
        <v>9239</v>
      </c>
      <c r="J12505" s="18" t="str">
        <f>IFERROR(__XLUDF.DUMMYFUNCTION("VLOOKUP(H138,IMPORTRANGE(""https://docs.google.com/spreadsheets/d/1opm6ZNvGZ7KditA9TuJwrZ25eFLfTNIkrNnY6mhV5Eg"",""list!A1:C115""),3,TRUE)"),"le secteur de la construction")</f>
        <v xml:space="preserve">le secteur de la construction</v>
      </c>
      <c r="K12505" s="5" t="s">
        <v>56756</v>
      </c>
      <c r="L12505" s="5" t="s">
        <v>56757</v>
      </c>
      <c r="M12505" s="18" t="s">
        <v>39</v>
      </c>
      <c r="N12505" s="18" t="s">
        <v>29</v>
      </c>
      <c r="O12505" s="18" t="s">
        <v>56758</v>
      </c>
      <c r="P12505" s="18" t="s">
        <v>29</v>
      </c>
      <c r="Q12505" s="18" t="s">
        <v>56759</v>
      </c>
      <c r="R12505" s="18">
        <v>0.2611471803</v>
      </c>
    </row>
    <row r="12506" ht="14.25">
      <c r="B12506" s="18" t="s">
        <v>525</v>
      </c>
      <c r="C12506" s="18" t="s">
        <v>6708</v>
      </c>
      <c r="D12506" s="18" t="s">
        <v>6362</v>
      </c>
      <c r="E12506" s="18" t="s">
        <v>47865</v>
      </c>
      <c r="F12506" s="18" t="str">
        <f>IFERROR(__XLUDF.DUMMYFUNCTION("PROPER(REGEXREPLACE(D139,""[^A-Za-z]+ "",""""))"),"Ingégroup")</f>
        <v>Ingégroup</v>
      </c>
      <c r="G12506" s="18" t="s">
        <v>56760</v>
      </c>
      <c r="H12506" s="18">
        <v>24</v>
      </c>
      <c r="I12506" s="18" t="s">
        <v>9239</v>
      </c>
      <c r="J12506" s="18" t="str">
        <f>IFERROR(__XLUDF.DUMMYFUNCTION("VLOOKUP(H139,IMPORTRANGE(""https://docs.google.com/spreadsheets/d/1opm6ZNvGZ7KditA9TuJwrZ25eFLfTNIkrNnY6mhV5Eg"",""list!A1:C115""),3,TRUE)"),"le secteur de la construction")</f>
        <v xml:space="preserve">le secteur de la construction</v>
      </c>
      <c r="K12506" s="5" t="s">
        <v>56761</v>
      </c>
      <c r="L12506" s="5" t="s">
        <v>56762</v>
      </c>
      <c r="M12506" s="18" t="s">
        <v>185</v>
      </c>
      <c r="N12506" s="18" t="s">
        <v>29</v>
      </c>
      <c r="O12506" s="18" t="s">
        <v>47869</v>
      </c>
      <c r="P12506" s="18" t="s">
        <v>29</v>
      </c>
      <c r="Q12506" s="6"/>
      <c r="R12506" s="18">
        <v>0.74585442209999997</v>
      </c>
    </row>
    <row r="12507" ht="14.25">
      <c r="B12507" s="18" t="s">
        <v>27213</v>
      </c>
      <c r="C12507" s="18" t="s">
        <v>56763</v>
      </c>
      <c r="D12507" s="18" t="s">
        <v>172</v>
      </c>
      <c r="E12507" s="18" t="s">
        <v>56764</v>
      </c>
      <c r="F12507" s="18" t="str">
        <f>IFERROR(__XLUDF.DUMMYFUNCTION("PROPER(REGEXREPLACE(D140,""[^A-Za-z]+ "",""""))"),"Le Nouy Windowsclosures")</f>
        <v xml:space="preserve">Le Nouy Windowsclosures</v>
      </c>
      <c r="G12507" s="18" t="s">
        <v>56765</v>
      </c>
      <c r="H12507" s="18">
        <v>68</v>
      </c>
      <c r="I12507" s="18" t="s">
        <v>9239</v>
      </c>
      <c r="J12507" s="18" t="str">
        <f>IFERROR(__XLUDF.DUMMYFUNCTION("VLOOKUP(H140,IMPORTRANGE(""https://docs.google.com/spreadsheets/d/1opm6ZNvGZ7KditA9TuJwrZ25eFLfTNIkrNnY6mhV5Eg"",""list!A1:C115""),3,TRUE)"),"le secteur de la construction")</f>
        <v xml:space="preserve">le secteur de la construction</v>
      </c>
      <c r="K12507" s="5" t="s">
        <v>56766</v>
      </c>
      <c r="L12507" s="5" t="s">
        <v>56767</v>
      </c>
      <c r="M12507" s="18" t="s">
        <v>56768</v>
      </c>
      <c r="N12507" s="18" t="s">
        <v>29</v>
      </c>
      <c r="O12507" s="18" t="s">
        <v>56769</v>
      </c>
      <c r="P12507" s="18" t="s">
        <v>29</v>
      </c>
      <c r="Q12507" s="6"/>
      <c r="R12507" s="18">
        <v>0.80021754789999999</v>
      </c>
    </row>
    <row r="12508" ht="14.25">
      <c r="B12508" s="18" t="s">
        <v>1853</v>
      </c>
      <c r="C12508" s="18" t="s">
        <v>49259</v>
      </c>
      <c r="D12508" s="18" t="s">
        <v>56770</v>
      </c>
      <c r="E12508" s="18" t="s">
        <v>56265</v>
      </c>
      <c r="F12508" s="18" t="str">
        <f>IFERROR(__XLUDF.DUMMYFUNCTION("PROPER(REGEXREPLACE(D141,""[^A-Za-z]+ "",""""))"),"Activ Travaux France")</f>
        <v xml:space="preserve">Activ Travaux France</v>
      </c>
      <c r="G12508" s="18" t="s">
        <v>56771</v>
      </c>
      <c r="H12508" s="18">
        <v>84</v>
      </c>
      <c r="I12508" s="18" t="s">
        <v>9239</v>
      </c>
      <c r="J12508" s="18" t="str">
        <f>IFERROR(__XLUDF.DUMMYFUNCTION("VLOOKUP(H141,IMPORTRANGE(""https://docs.google.com/spreadsheets/d/1opm6ZNvGZ7KditA9TuJwrZ25eFLfTNIkrNnY6mhV5Eg"",""list!A1:C115""),3,TRUE)"),"le secteur de la construction")</f>
        <v xml:space="preserve">le secteur de la construction</v>
      </c>
      <c r="K12508" s="5" t="s">
        <v>56772</v>
      </c>
      <c r="L12508" s="5" t="s">
        <v>56268</v>
      </c>
      <c r="M12508" s="18" t="s">
        <v>6425</v>
      </c>
      <c r="N12508" s="18" t="s">
        <v>29</v>
      </c>
      <c r="O12508" s="18" t="s">
        <v>56270</v>
      </c>
      <c r="P12508" s="18" t="s">
        <v>29</v>
      </c>
      <c r="Q12508" s="18" t="s">
        <v>56271</v>
      </c>
      <c r="R12508" s="18">
        <v>0.51613892049999999</v>
      </c>
    </row>
    <row r="12509" ht="14.25">
      <c r="B12509" s="18" t="s">
        <v>1853</v>
      </c>
      <c r="C12509" s="18" t="s">
        <v>43245</v>
      </c>
      <c r="D12509" s="18" t="s">
        <v>56773</v>
      </c>
      <c r="E12509" s="18" t="s">
        <v>56280</v>
      </c>
      <c r="F12509" s="18" t="str">
        <f>IFERROR(__XLUDF.DUMMYFUNCTION("PROPER(REGEXREPLACE(D142,""[^A-Za-z]+ "",""""))"),"C&amp;W Design+Build France")</f>
        <v xml:space="preserve">C&amp;W Design+Build France</v>
      </c>
      <c r="G12509" s="18" t="s">
        <v>56774</v>
      </c>
      <c r="H12509" s="18">
        <v>65</v>
      </c>
      <c r="I12509" s="18" t="s">
        <v>9239</v>
      </c>
      <c r="J12509" s="18" t="str">
        <f>IFERROR(__XLUDF.DUMMYFUNCTION("VLOOKUP(H142,IMPORTRANGE(""https://docs.google.com/spreadsheets/d/1opm6ZNvGZ7KditA9TuJwrZ25eFLfTNIkrNnY6mhV5Eg"",""list!A1:C115""),3,TRUE)"),"le secteur de la construction")</f>
        <v xml:space="preserve">le secteur de la construction</v>
      </c>
      <c r="K12509" s="5" t="s">
        <v>56775</v>
      </c>
      <c r="L12509" s="5" t="s">
        <v>56283</v>
      </c>
      <c r="M12509" s="18" t="s">
        <v>39</v>
      </c>
      <c r="N12509" s="18" t="s">
        <v>29</v>
      </c>
      <c r="O12509" s="18" t="s">
        <v>18884</v>
      </c>
      <c r="P12509" s="18" t="s">
        <v>29</v>
      </c>
      <c r="Q12509" s="6"/>
      <c r="R12509" s="18">
        <v>0.39230860449999999</v>
      </c>
    </row>
    <row r="12510" ht="14.25">
      <c r="B12510" s="18" t="s">
        <v>4500</v>
      </c>
      <c r="C12510" s="18" t="s">
        <v>19689</v>
      </c>
      <c r="D12510" s="18" t="s">
        <v>7759</v>
      </c>
      <c r="E12510" s="18" t="s">
        <v>47663</v>
      </c>
      <c r="F12510" s="18" t="str">
        <f>IFERROR(__XLUDF.DUMMYFUNCTION("PROPER(REGEXREPLACE(D143,""[^A-Za-z]+ "",""""))"),"La Compagnie Des Toits")</f>
        <v xml:space="preserve">La Compagnie Des Toits</v>
      </c>
      <c r="G12510" s="18" t="s">
        <v>56776</v>
      </c>
      <c r="H12510" s="18">
        <v>54</v>
      </c>
      <c r="I12510" s="18" t="s">
        <v>9239</v>
      </c>
      <c r="J12510" s="18" t="str">
        <f>IFERROR(__XLUDF.DUMMYFUNCTION("VLOOKUP(H143,IMPORTRANGE(""https://docs.google.com/spreadsheets/d/1opm6ZNvGZ7KditA9TuJwrZ25eFLfTNIkrNnY6mhV5Eg"",""list!A1:C115""),3,TRUE)"),"le secteur de la construction")</f>
        <v xml:space="preserve">le secteur de la construction</v>
      </c>
      <c r="K12510" s="5" t="s">
        <v>56777</v>
      </c>
      <c r="L12510" s="5" t="s">
        <v>56732</v>
      </c>
      <c r="M12510" s="18" t="s">
        <v>562</v>
      </c>
      <c r="N12510" s="18" t="s">
        <v>29</v>
      </c>
      <c r="O12510" s="18" t="s">
        <v>47667</v>
      </c>
      <c r="P12510" s="18" t="s">
        <v>29</v>
      </c>
      <c r="Q12510" s="18" t="s">
        <v>47668</v>
      </c>
      <c r="R12510" s="18">
        <v>0.34026484340000002</v>
      </c>
    </row>
    <row r="12511" ht="14.25">
      <c r="B12511" s="18" t="s">
        <v>2436</v>
      </c>
      <c r="C12511" s="18" t="s">
        <v>56778</v>
      </c>
      <c r="D12511" s="18" t="s">
        <v>6362</v>
      </c>
      <c r="E12511" s="18" t="s">
        <v>51974</v>
      </c>
      <c r="F12511" s="18" t="str">
        <f>IFERROR(__XLUDF.DUMMYFUNCTION("PROPER(REGEXREPLACE(D144,""[^A-Za-z]+ "",""""))"),"Bouchard Construction")</f>
        <v xml:space="preserve">Bouchard Construction</v>
      </c>
      <c r="G12511" s="18" t="s">
        <v>56779</v>
      </c>
      <c r="H12511" s="18">
        <v>18</v>
      </c>
      <c r="I12511" s="18" t="s">
        <v>9239</v>
      </c>
      <c r="J12511" s="18" t="str">
        <f>IFERROR(__XLUDF.DUMMYFUNCTION("VLOOKUP(H144,IMPORTRANGE(""https://docs.google.com/spreadsheets/d/1opm6ZNvGZ7KditA9TuJwrZ25eFLfTNIkrNnY6mhV5Eg"",""list!A1:C115""),3,TRUE)"),"le secteur de la construction")</f>
        <v xml:space="preserve">le secteur de la construction</v>
      </c>
      <c r="K12511" s="5" t="s">
        <v>56780</v>
      </c>
      <c r="L12511" s="5" t="s">
        <v>56781</v>
      </c>
      <c r="M12511" s="18" t="s">
        <v>1826</v>
      </c>
      <c r="N12511" s="18" t="s">
        <v>29</v>
      </c>
      <c r="O12511" s="18" t="s">
        <v>51978</v>
      </c>
      <c r="P12511" s="18" t="s">
        <v>29</v>
      </c>
      <c r="Q12511" s="6"/>
      <c r="R12511" s="18">
        <v>0.4590011591</v>
      </c>
    </row>
    <row r="12512" ht="14.25">
      <c r="B12512" s="18" t="s">
        <v>931</v>
      </c>
      <c r="C12512" s="18" t="s">
        <v>56782</v>
      </c>
      <c r="D12512" s="18" t="s">
        <v>468</v>
      </c>
      <c r="E12512" s="18" t="s">
        <v>56783</v>
      </c>
      <c r="F12512" s="18" t="str">
        <f>IFERROR(__XLUDF.DUMMYFUNCTION("PROPER(REGEXREPLACE(D145,""[^A-Za-z]+ "",""""))"),"Idec Agrofactory")</f>
        <v xml:space="preserve">Idec Agrofactory</v>
      </c>
      <c r="G12512" s="18" t="s">
        <v>56784</v>
      </c>
      <c r="H12512" s="18">
        <v>46</v>
      </c>
      <c r="I12512" s="18" t="s">
        <v>9239</v>
      </c>
      <c r="J12512" s="18" t="str">
        <f>IFERROR(__XLUDF.DUMMYFUNCTION("VLOOKUP(H145,IMPORTRANGE(""https://docs.google.com/spreadsheets/d/1opm6ZNvGZ7KditA9TuJwrZ25eFLfTNIkrNnY6mhV5Eg"",""list!A1:C115""),3,TRUE)"),"le secteur de la construction")</f>
        <v xml:space="preserve">le secteur de la construction</v>
      </c>
      <c r="K12512" s="5" t="s">
        <v>56785</v>
      </c>
      <c r="L12512" s="5" t="s">
        <v>56786</v>
      </c>
      <c r="M12512" s="18" t="s">
        <v>1826</v>
      </c>
      <c r="N12512" s="18" t="s">
        <v>29</v>
      </c>
      <c r="O12512" s="18" t="s">
        <v>56787</v>
      </c>
      <c r="P12512" s="18" t="s">
        <v>29</v>
      </c>
      <c r="Q12512" s="18" t="s">
        <v>56788</v>
      </c>
      <c r="R12512" s="18">
        <v>0.57645284699999999</v>
      </c>
    </row>
    <row r="12513" ht="14.25">
      <c r="B12513" s="18" t="s">
        <v>661</v>
      </c>
      <c r="C12513" s="18" t="s">
        <v>6160</v>
      </c>
      <c r="D12513" s="18" t="s">
        <v>172</v>
      </c>
      <c r="E12513" s="18" t="s">
        <v>56789</v>
      </c>
      <c r="F12513" s="18" t="str">
        <f>IFERROR(__XLUDF.DUMMYFUNCTION("PROPER(REGEXREPLACE(D146,""[^A-Za-z]+ "",""""))"),"Comptoir Des Revetements")</f>
        <v xml:space="preserve">Comptoir Des Revetements</v>
      </c>
      <c r="G12513" s="18" t="s">
        <v>56790</v>
      </c>
      <c r="H12513" s="18">
        <v>74</v>
      </c>
      <c r="I12513" s="18" t="s">
        <v>9239</v>
      </c>
      <c r="J12513" s="18" t="str">
        <f>IFERROR(__XLUDF.DUMMYFUNCTION("VLOOKUP(H146,IMPORTRANGE(""https://docs.google.com/spreadsheets/d/1opm6ZNvGZ7KditA9TuJwrZ25eFLfTNIkrNnY6mhV5Eg"",""list!A1:C115""),3,TRUE)"),"le secteur de la construction")</f>
        <v xml:space="preserve">le secteur de la construction</v>
      </c>
      <c r="K12513" s="5" t="s">
        <v>56791</v>
      </c>
      <c r="L12513" s="5" t="s">
        <v>56792</v>
      </c>
      <c r="M12513" s="18" t="s">
        <v>185</v>
      </c>
      <c r="N12513" s="18" t="s">
        <v>29</v>
      </c>
      <c r="O12513" s="18" t="s">
        <v>56793</v>
      </c>
      <c r="P12513" s="18" t="s">
        <v>29</v>
      </c>
      <c r="Q12513" s="18" t="s">
        <v>56794</v>
      </c>
      <c r="R12513" s="18">
        <v>0.12382504129999999</v>
      </c>
    </row>
    <row r="12514" ht="14.25">
      <c r="B12514" s="18" t="s">
        <v>13376</v>
      </c>
      <c r="C12514" s="18" t="s">
        <v>27887</v>
      </c>
      <c r="D12514" s="18" t="s">
        <v>6391</v>
      </c>
      <c r="E12514" s="18" t="s">
        <v>56795</v>
      </c>
      <c r="F12514" s="18" t="str">
        <f>IFERROR(__XLUDF.DUMMYFUNCTION("PROPER(REGEXREPLACE(D147,""[^A-Za-z]+ "",""""))"),"Groupe Qualitat")</f>
        <v xml:space="preserve">Groupe Qualitat</v>
      </c>
      <c r="G12514" s="18" t="s">
        <v>56796</v>
      </c>
      <c r="H12514" s="18">
        <v>66</v>
      </c>
      <c r="I12514" s="18" t="s">
        <v>9239</v>
      </c>
      <c r="J12514" s="18" t="str">
        <f>IFERROR(__XLUDF.DUMMYFUNCTION("VLOOKUP(H147,IMPORTRANGE(""https://docs.google.com/spreadsheets/d/1opm6ZNvGZ7KditA9TuJwrZ25eFLfTNIkrNnY6mhV5Eg"",""list!A1:C115""),3,TRUE)"),"le secteur de la construction")</f>
        <v xml:space="preserve">le secteur de la construction</v>
      </c>
      <c r="K12514" s="5" t="s">
        <v>56797</v>
      </c>
      <c r="L12514" s="5" t="s">
        <v>56798</v>
      </c>
      <c r="M12514" s="18" t="s">
        <v>39</v>
      </c>
      <c r="N12514" s="18" t="s">
        <v>29</v>
      </c>
      <c r="O12514" s="18" t="s">
        <v>56799</v>
      </c>
      <c r="P12514" s="18" t="s">
        <v>29</v>
      </c>
      <c r="Q12514" s="18" t="s">
        <v>56800</v>
      </c>
      <c r="R12514" s="18">
        <v>0.85218811660000005</v>
      </c>
    </row>
    <row r="12515" ht="14.25">
      <c r="B12515" s="18" t="s">
        <v>6945</v>
      </c>
      <c r="C12515" s="18" t="s">
        <v>25603</v>
      </c>
      <c r="D12515" s="18" t="s">
        <v>172</v>
      </c>
      <c r="E12515" s="18" t="s">
        <v>56801</v>
      </c>
      <c r="F12515" s="18" t="str">
        <f>IFERROR(__XLUDF.DUMMYFUNCTION("PROPER(REGEXREPLACE(D148,""[^A-Za-z]+ "",""""))"),"Entreprise Pitel")</f>
        <v xml:space="preserve">Entreprise Pitel</v>
      </c>
      <c r="G12515" s="18" t="s">
        <v>56802</v>
      </c>
      <c r="H12515" s="18">
        <v>74</v>
      </c>
      <c r="I12515" s="18" t="s">
        <v>9239</v>
      </c>
      <c r="J12515" s="18" t="str">
        <f>IFERROR(__XLUDF.DUMMYFUNCTION("VLOOKUP(H148,IMPORTRANGE(""https://docs.google.com/spreadsheets/d/1opm6ZNvGZ7KditA9TuJwrZ25eFLfTNIkrNnY6mhV5Eg"",""list!A1:C115""),3,TRUE)"),"le secteur de la construction")</f>
        <v xml:space="preserve">le secteur de la construction</v>
      </c>
      <c r="K12515" s="5" t="s">
        <v>56803</v>
      </c>
      <c r="L12515" s="5" t="s">
        <v>56804</v>
      </c>
      <c r="M12515" s="18" t="s">
        <v>56805</v>
      </c>
      <c r="N12515" s="18" t="s">
        <v>29</v>
      </c>
      <c r="O12515" s="18" t="s">
        <v>56806</v>
      </c>
      <c r="P12515" s="18" t="s">
        <v>29</v>
      </c>
      <c r="Q12515" s="18" t="s">
        <v>56807</v>
      </c>
      <c r="R12515" s="18">
        <v>0.96934727840000001</v>
      </c>
    </row>
    <row r="12516" ht="14.25">
      <c r="B12516" s="18" t="s">
        <v>785</v>
      </c>
      <c r="C12516" s="18" t="s">
        <v>43568</v>
      </c>
      <c r="D12516" s="18" t="s">
        <v>6362</v>
      </c>
      <c r="E12516" s="18" t="s">
        <v>56808</v>
      </c>
      <c r="F12516" s="18" t="str">
        <f>IFERROR(__XLUDF.DUMMYFUNCTION("PROPER(REGEXREPLACE(D149,""[^A-Za-z]+ "",""""))"),"Bost Ingénierie")</f>
        <v xml:space="preserve">Bost Ingénierie</v>
      </c>
      <c r="G12516" s="18" t="s">
        <v>56809</v>
      </c>
      <c r="H12516" s="18">
        <v>33</v>
      </c>
      <c r="I12516" s="18" t="s">
        <v>9239</v>
      </c>
      <c r="J12516" s="18" t="str">
        <f>IFERROR(__XLUDF.DUMMYFUNCTION("VLOOKUP(H149,IMPORTRANGE(""https://docs.google.com/spreadsheets/d/1opm6ZNvGZ7KditA9TuJwrZ25eFLfTNIkrNnY6mhV5Eg"",""list!A1:C115""),3,TRUE)"),"le secteur de la construction")</f>
        <v xml:space="preserve">le secteur de la construction</v>
      </c>
      <c r="K12516" s="5" t="s">
        <v>56810</v>
      </c>
      <c r="L12516" s="5" t="s">
        <v>56811</v>
      </c>
      <c r="M12516" s="18" t="s">
        <v>831</v>
      </c>
      <c r="N12516" s="18" t="s">
        <v>29</v>
      </c>
      <c r="O12516" s="18" t="s">
        <v>56812</v>
      </c>
      <c r="P12516" s="18" t="s">
        <v>29</v>
      </c>
      <c r="Q12516" s="18" t="s">
        <v>56813</v>
      </c>
      <c r="R12516" s="18">
        <v>0.80544024940000003</v>
      </c>
    </row>
    <row r="12517" ht="14.25">
      <c r="B12517" s="18" t="s">
        <v>13010</v>
      </c>
      <c r="C12517" s="18" t="s">
        <v>29368</v>
      </c>
      <c r="D12517" s="18" t="s">
        <v>112</v>
      </c>
      <c r="E12517" s="18" t="s">
        <v>56814</v>
      </c>
      <c r="F12517" s="18" t="str">
        <f>IFERROR(__XLUDF.DUMMYFUNCTION("PROPER(REGEXREPLACE(D150,""[^A-Za-z]+ "",""""))"),"Les Établissements Giffard")</f>
        <v xml:space="preserve">Les Établissements Giffard</v>
      </c>
      <c r="G12517" s="18" t="s">
        <v>56815</v>
      </c>
      <c r="H12517" s="18">
        <v>56</v>
      </c>
      <c r="I12517" s="18" t="s">
        <v>9239</v>
      </c>
      <c r="J12517" s="18" t="str">
        <f>IFERROR(__XLUDF.DUMMYFUNCTION("VLOOKUP(H150,IMPORTRANGE(""https://docs.google.com/spreadsheets/d/1opm6ZNvGZ7KditA9TuJwrZ25eFLfTNIkrNnY6mhV5Eg"",""list!A1:C115""),3,TRUE)"),"le secteur de la construction")</f>
        <v xml:space="preserve">le secteur de la construction</v>
      </c>
      <c r="K12517" s="5" t="s">
        <v>56816</v>
      </c>
      <c r="L12517" s="5" t="s">
        <v>56817</v>
      </c>
      <c r="M12517" s="18" t="s">
        <v>56818</v>
      </c>
      <c r="N12517" s="18" t="s">
        <v>29</v>
      </c>
      <c r="O12517" s="18" t="s">
        <v>56819</v>
      </c>
      <c r="P12517" s="18" t="s">
        <v>29</v>
      </c>
      <c r="Q12517" s="6"/>
      <c r="R12517" s="18">
        <v>0.80804786839999998</v>
      </c>
    </row>
    <row r="12518" ht="14.25">
      <c r="B12518" s="18" t="s">
        <v>1454</v>
      </c>
      <c r="C12518" s="18" t="s">
        <v>56820</v>
      </c>
      <c r="D12518" s="18" t="s">
        <v>172</v>
      </c>
      <c r="E12518" s="18" t="s">
        <v>56821</v>
      </c>
      <c r="F12518" s="18" t="str">
        <f>IFERROR(__XLUDF.DUMMYFUNCTION("PROPER(REGEXREPLACE(D151,""[^A-Za-z]+ "",""""))"),"Slci Groupe Acteur Du Réseau Procivis")</f>
        <v xml:space="preserve">Slci Groupe Acteur Du Réseau Procivis</v>
      </c>
      <c r="G12518" s="18" t="s">
        <v>56822</v>
      </c>
      <c r="H12518" s="18">
        <v>84</v>
      </c>
      <c r="I12518" s="18" t="s">
        <v>9239</v>
      </c>
      <c r="J12518" s="18" t="str">
        <f>IFERROR(__XLUDF.DUMMYFUNCTION("VLOOKUP(H151,IMPORTRANGE(""https://docs.google.com/spreadsheets/d/1opm6ZNvGZ7KditA9TuJwrZ25eFLfTNIkrNnY6mhV5Eg"",""list!A1:C115""),3,TRUE)"),"le secteur de la construction")</f>
        <v xml:space="preserve">le secteur de la construction</v>
      </c>
      <c r="K12518" s="5" t="s">
        <v>56823</v>
      </c>
      <c r="L12518" s="5" t="s">
        <v>56824</v>
      </c>
      <c r="M12518" s="6"/>
      <c r="N12518" s="18" t="s">
        <v>29</v>
      </c>
      <c r="O12518" s="18" t="s">
        <v>56825</v>
      </c>
      <c r="P12518" s="18" t="s">
        <v>29</v>
      </c>
      <c r="Q12518" s="6"/>
      <c r="R12518" s="18">
        <v>0.036780575849999997</v>
      </c>
    </row>
    <row r="12519" ht="14.25">
      <c r="B12519" s="18" t="s">
        <v>18475</v>
      </c>
      <c r="C12519" s="18" t="s">
        <v>26518</v>
      </c>
      <c r="D12519" s="18" t="s">
        <v>112</v>
      </c>
      <c r="E12519" s="18" t="s">
        <v>56826</v>
      </c>
      <c r="F12519" s="18" t="str">
        <f>IFERROR(__XLUDF.DUMMYFUNCTION("PROPER(REGEXREPLACE(D152,""[^A-Za-z]+ "",""""))"),"Cotexa")</f>
        <v>Cotexa</v>
      </c>
      <c r="G12519" s="18" t="s">
        <v>56827</v>
      </c>
      <c r="H12519" s="18">
        <v>63</v>
      </c>
      <c r="I12519" s="18" t="s">
        <v>9239</v>
      </c>
      <c r="J12519" s="18" t="str">
        <f>IFERROR(__XLUDF.DUMMYFUNCTION("VLOOKUP(H152,IMPORTRANGE(""https://docs.google.com/spreadsheets/d/1opm6ZNvGZ7KditA9TuJwrZ25eFLfTNIkrNnY6mhV5Eg"",""list!A1:C115""),3,TRUE)"),"le secteur de la construction")</f>
        <v xml:space="preserve">le secteur de la construction</v>
      </c>
      <c r="K12519" s="5" t="s">
        <v>56828</v>
      </c>
      <c r="L12519" s="5" t="s">
        <v>56829</v>
      </c>
      <c r="M12519" s="18" t="s">
        <v>2572</v>
      </c>
      <c r="N12519" s="18" t="s">
        <v>29</v>
      </c>
      <c r="O12519" s="18" t="s">
        <v>54969</v>
      </c>
      <c r="P12519" s="18" t="s">
        <v>54970</v>
      </c>
      <c r="Q12519" s="18" t="s">
        <v>56830</v>
      </c>
      <c r="R12519" s="18">
        <v>0.39326595869999997</v>
      </c>
    </row>
    <row r="12520" ht="14.25">
      <c r="B12520" s="18" t="s">
        <v>661</v>
      </c>
      <c r="C12520" s="18" t="s">
        <v>47110</v>
      </c>
      <c r="D12520" s="18" t="s">
        <v>56831</v>
      </c>
      <c r="E12520" s="18" t="s">
        <v>56162</v>
      </c>
      <c r="F12520" s="18" t="str">
        <f>IFERROR(__XLUDF.DUMMYFUNCTION("PROPER(REGEXREPLACE(D153,""[^A-Za-z]+ "",""""))"),"Natilia")</f>
        <v>Natilia</v>
      </c>
      <c r="G12520" s="18" t="s">
        <v>56832</v>
      </c>
      <c r="H12520" s="18">
        <v>90</v>
      </c>
      <c r="I12520" s="18" t="s">
        <v>9239</v>
      </c>
      <c r="J12520" s="18" t="str">
        <f>IFERROR(__XLUDF.DUMMYFUNCTION("VLOOKUP(H153,IMPORTRANGE(""https://docs.google.com/spreadsheets/d/1opm6ZNvGZ7KditA9TuJwrZ25eFLfTNIkrNnY6mhV5Eg"",""list!A1:C115""),3,TRUE)"),"le secteur de la construction")</f>
        <v xml:space="preserve">le secteur de la construction</v>
      </c>
      <c r="K12520" s="5" t="s">
        <v>56833</v>
      </c>
      <c r="L12520" s="5" t="s">
        <v>56165</v>
      </c>
      <c r="M12520" s="18" t="s">
        <v>56834</v>
      </c>
      <c r="N12520" s="18" t="s">
        <v>29</v>
      </c>
      <c r="O12520" s="18" t="s">
        <v>56166</v>
      </c>
      <c r="P12520" s="18" t="s">
        <v>29</v>
      </c>
      <c r="Q12520" s="18" t="s">
        <v>56167</v>
      </c>
      <c r="R12520" s="18">
        <v>0.41809956079999999</v>
      </c>
    </row>
    <row r="12521" ht="14.25">
      <c r="B12521" s="18" t="s">
        <v>661</v>
      </c>
      <c r="C12521" s="18" t="s">
        <v>7602</v>
      </c>
      <c r="D12521" s="18" t="s">
        <v>56835</v>
      </c>
      <c r="E12521" s="18" t="s">
        <v>56836</v>
      </c>
      <c r="F12521" s="18" t="str">
        <f>IFERROR(__XLUDF.DUMMYFUNCTION("PROPER(REGEXREPLACE(D154,""[^A-Za-z]+ "",""""))"),"Groupe Comelec")</f>
        <v xml:space="preserve">Groupe Comelec</v>
      </c>
      <c r="G12521" s="18" t="s">
        <v>56837</v>
      </c>
      <c r="H12521" s="18">
        <v>95</v>
      </c>
      <c r="I12521" s="18" t="s">
        <v>9239</v>
      </c>
      <c r="J12521" s="18" t="str">
        <f>IFERROR(__XLUDF.DUMMYFUNCTION("VLOOKUP(H154,IMPORTRANGE(""https://docs.google.com/spreadsheets/d/1opm6ZNvGZ7KditA9TuJwrZ25eFLfTNIkrNnY6mhV5Eg"",""list!A1:C115""),3,TRUE)"),"le secteur de la construction")</f>
        <v xml:space="preserve">le secteur de la construction</v>
      </c>
      <c r="K12521" s="5" t="s">
        <v>56838</v>
      </c>
      <c r="L12521" s="5" t="s">
        <v>56839</v>
      </c>
      <c r="M12521" s="18" t="s">
        <v>1204</v>
      </c>
      <c r="N12521" s="18" t="s">
        <v>29</v>
      </c>
      <c r="O12521" s="18" t="s">
        <v>56840</v>
      </c>
      <c r="P12521" s="18" t="s">
        <v>29</v>
      </c>
      <c r="Q12521" s="18" t="s">
        <v>56841</v>
      </c>
      <c r="R12521" s="18">
        <v>0.097317046990000003</v>
      </c>
    </row>
    <row r="12522" ht="14.25">
      <c r="B12522" s="18" t="s">
        <v>1454</v>
      </c>
      <c r="C12522" s="18" t="s">
        <v>56842</v>
      </c>
      <c r="D12522" s="18" t="s">
        <v>112</v>
      </c>
      <c r="E12522" s="18" t="s">
        <v>56801</v>
      </c>
      <c r="F12522" s="18" t="str">
        <f>IFERROR(__XLUDF.DUMMYFUNCTION("PROPER(REGEXREPLACE(D155,""[^A-Za-z]+ "",""""))"),"Entreprise Pitel")</f>
        <v xml:space="preserve">Entreprise Pitel</v>
      </c>
      <c r="G12522" s="18" t="s">
        <v>56843</v>
      </c>
      <c r="H12522" s="18">
        <v>74</v>
      </c>
      <c r="I12522" s="18" t="s">
        <v>9239</v>
      </c>
      <c r="J12522" s="18" t="str">
        <f>IFERROR(__XLUDF.DUMMYFUNCTION("VLOOKUP(H155,IMPORTRANGE(""https://docs.google.com/spreadsheets/d/1opm6ZNvGZ7KditA9TuJwrZ25eFLfTNIkrNnY6mhV5Eg"",""list!A1:C115""),3,TRUE)"),"le secteur de la construction")</f>
        <v xml:space="preserve">le secteur de la construction</v>
      </c>
      <c r="K12522" s="5" t="s">
        <v>56844</v>
      </c>
      <c r="L12522" s="5" t="s">
        <v>56804</v>
      </c>
      <c r="M12522" s="6"/>
      <c r="N12522" s="18" t="s">
        <v>29</v>
      </c>
      <c r="O12522" s="18" t="s">
        <v>56806</v>
      </c>
      <c r="P12522" s="18" t="s">
        <v>29</v>
      </c>
      <c r="Q12522" s="18" t="s">
        <v>56807</v>
      </c>
      <c r="R12522" s="18">
        <v>0.037197481310000002</v>
      </c>
    </row>
    <row r="12523" ht="14.25">
      <c r="B12523" s="18" t="s">
        <v>6923</v>
      </c>
      <c r="C12523" s="18" t="s">
        <v>56845</v>
      </c>
      <c r="D12523" s="18" t="s">
        <v>3611</v>
      </c>
      <c r="E12523" s="18" t="s">
        <v>56846</v>
      </c>
      <c r="F12523" s="18" t="str">
        <f>IFERROR(__XLUDF.DUMMYFUNCTION("PROPER(REGEXREPLACE(D156,""[^A-Za-z]+ "",""""))"),"Atawey Hydrogen")</f>
        <v xml:space="preserve">Atawey Hydrogen</v>
      </c>
      <c r="G12523" s="18" t="s">
        <v>56847</v>
      </c>
      <c r="H12523" s="18">
        <v>120</v>
      </c>
      <c r="I12523" s="18" t="s">
        <v>9239</v>
      </c>
      <c r="J12523" s="18" t="str">
        <f>IFERROR(__XLUDF.DUMMYFUNCTION("VLOOKUP(H156,IMPORTRANGE(""https://docs.google.com/spreadsheets/d/1opm6ZNvGZ7KditA9TuJwrZ25eFLfTNIkrNnY6mhV5Eg"",""list!A1:C115""),3,TRUE)"),"le secteur de la construction")</f>
        <v xml:space="preserve">le secteur de la construction</v>
      </c>
      <c r="K12523" s="5" t="s">
        <v>56848</v>
      </c>
      <c r="L12523" s="5" t="s">
        <v>56849</v>
      </c>
      <c r="M12523" s="18" t="s">
        <v>32331</v>
      </c>
      <c r="N12523" s="18" t="s">
        <v>29</v>
      </c>
      <c r="O12523" s="18" t="s">
        <v>56850</v>
      </c>
      <c r="P12523" s="18" t="s">
        <v>29</v>
      </c>
      <c r="Q12523" s="18" t="s">
        <v>56851</v>
      </c>
      <c r="R12523" s="18">
        <v>0.86600568499999997</v>
      </c>
    </row>
    <row r="12524" ht="14.25">
      <c r="B12524" s="18" t="s">
        <v>661</v>
      </c>
      <c r="C12524" s="18" t="s">
        <v>56852</v>
      </c>
      <c r="D12524" s="18" t="s">
        <v>7759</v>
      </c>
      <c r="E12524" s="18" t="s">
        <v>47663</v>
      </c>
      <c r="F12524" s="18" t="str">
        <f>IFERROR(__XLUDF.DUMMYFUNCTION("PROPER(REGEXREPLACE(D157,""[^A-Za-z]+ "",""""))"),"La Compagnie Des Toits")</f>
        <v xml:space="preserve">La Compagnie Des Toits</v>
      </c>
      <c r="G12524" s="18" t="s">
        <v>56853</v>
      </c>
      <c r="H12524" s="18">
        <v>54</v>
      </c>
      <c r="I12524" s="18" t="s">
        <v>9239</v>
      </c>
      <c r="J12524" s="18" t="str">
        <f>IFERROR(__XLUDF.DUMMYFUNCTION("VLOOKUP(H157,IMPORTRANGE(""https://docs.google.com/spreadsheets/d/1opm6ZNvGZ7KditA9TuJwrZ25eFLfTNIkrNnY6mhV5Eg"",""list!A1:C115""),3,TRUE)"),"le secteur de la construction")</f>
        <v xml:space="preserve">le secteur de la construction</v>
      </c>
      <c r="K12524" s="5" t="s">
        <v>56854</v>
      </c>
      <c r="L12524" s="5" t="s">
        <v>56732</v>
      </c>
      <c r="M12524" s="6"/>
      <c r="N12524" s="18" t="s">
        <v>29</v>
      </c>
      <c r="O12524" s="18" t="s">
        <v>47667</v>
      </c>
      <c r="P12524" s="18" t="s">
        <v>29</v>
      </c>
      <c r="Q12524" s="18" t="s">
        <v>47668</v>
      </c>
      <c r="R12524" s="18">
        <v>0.50711435069999999</v>
      </c>
    </row>
    <row r="12525" ht="14.25">
      <c r="B12525" s="18" t="s">
        <v>450</v>
      </c>
      <c r="C12525" s="18" t="s">
        <v>56855</v>
      </c>
      <c r="D12525" s="18" t="s">
        <v>172</v>
      </c>
      <c r="E12525" s="18" t="s">
        <v>56856</v>
      </c>
      <c r="F12525" s="18" t="str">
        <f>IFERROR(__XLUDF.DUMMYFUNCTION("PROPER(REGEXREPLACE(D158,""[^A-Za-z]+ "",""""))"),"Guinot Tp")</f>
        <v xml:space="preserve">Guinot Tp</v>
      </c>
      <c r="G12525" s="18" t="s">
        <v>56857</v>
      </c>
      <c r="H12525" s="18">
        <v>110</v>
      </c>
      <c r="I12525" s="18" t="s">
        <v>9239</v>
      </c>
      <c r="J12525" s="18" t="str">
        <f>IFERROR(__XLUDF.DUMMYFUNCTION("VLOOKUP(H158,IMPORTRANGE(""https://docs.google.com/spreadsheets/d/1opm6ZNvGZ7KditA9TuJwrZ25eFLfTNIkrNnY6mhV5Eg"",""list!A1:C115""),3,TRUE)"),"le secteur de la construction")</f>
        <v xml:space="preserve">le secteur de la construction</v>
      </c>
      <c r="K12525" s="5" t="s">
        <v>56858</v>
      </c>
      <c r="L12525" s="5" t="s">
        <v>56859</v>
      </c>
      <c r="M12525" s="18" t="s">
        <v>50902</v>
      </c>
      <c r="N12525" s="18" t="s">
        <v>29</v>
      </c>
      <c r="O12525" s="18" t="s">
        <v>56860</v>
      </c>
      <c r="P12525" s="18" t="s">
        <v>29</v>
      </c>
      <c r="Q12525" s="18" t="s">
        <v>56861</v>
      </c>
      <c r="R12525" s="18">
        <v>0.4476448354</v>
      </c>
    </row>
    <row r="12526" ht="14.25">
      <c r="B12526" s="18" t="s">
        <v>450</v>
      </c>
      <c r="C12526" s="18" t="s">
        <v>51792</v>
      </c>
      <c r="D12526" s="18" t="s">
        <v>1950</v>
      </c>
      <c r="E12526" s="18" t="s">
        <v>56862</v>
      </c>
      <c r="F12526" s="18" t="str">
        <f>IFERROR(__XLUDF.DUMMYFUNCTION("PROPER(REGEXREPLACE(D159,""[^A-Za-z]+ "",""""))"),"Soc Spécialiste De L’Eau L’Énergie Et De L’Électricité")</f>
        <v xml:space="preserve">Soc Spécialiste De L’Eau L’Énergie Et De L’Électricité</v>
      </c>
      <c r="G12526" s="18" t="s">
        <v>56863</v>
      </c>
      <c r="H12526" s="18">
        <v>230</v>
      </c>
      <c r="I12526" s="18" t="s">
        <v>9239</v>
      </c>
      <c r="J12526" s="18" t="str">
        <f>IFERROR(__XLUDF.DUMMYFUNCTION("VLOOKUP(H159,IMPORTRANGE(""https://docs.google.com/spreadsheets/d/1opm6ZNvGZ7KditA9TuJwrZ25eFLfTNIkrNnY6mhV5Eg"",""list!A1:C115""),3,TRUE)"),"le secteur de la construction")</f>
        <v xml:space="preserve">le secteur de la construction</v>
      </c>
      <c r="K12526" s="5" t="s">
        <v>56864</v>
      </c>
      <c r="L12526" s="5" t="s">
        <v>56865</v>
      </c>
      <c r="M12526" s="18" t="s">
        <v>243</v>
      </c>
      <c r="N12526" s="18" t="s">
        <v>29</v>
      </c>
      <c r="O12526" s="18" t="s">
        <v>56866</v>
      </c>
      <c r="P12526" s="18" t="s">
        <v>29</v>
      </c>
      <c r="Q12526" s="6"/>
      <c r="R12526" s="18">
        <v>0.57184864099999999</v>
      </c>
    </row>
    <row r="12527" ht="14.25">
      <c r="B12527" s="18" t="s">
        <v>13355</v>
      </c>
      <c r="C12527" s="18" t="s">
        <v>56867</v>
      </c>
      <c r="D12527" s="18" t="s">
        <v>6383</v>
      </c>
      <c r="E12527" s="18" t="s">
        <v>56868</v>
      </c>
      <c r="F12527" s="18" t="str">
        <f>IFERROR(__XLUDF.DUMMYFUNCTION("PROPER(REGEXREPLACE(D160,""[^A-Za-z]+ "",""""))"),"Ib Construction")</f>
        <v xml:space="preserve">Ib Construction</v>
      </c>
      <c r="G12527" s="18" t="s">
        <v>56869</v>
      </c>
      <c r="H12527" s="18">
        <v>27</v>
      </c>
      <c r="I12527" s="18" t="s">
        <v>9239</v>
      </c>
      <c r="J12527" s="18" t="str">
        <f>IFERROR(__XLUDF.DUMMYFUNCTION("VLOOKUP(H160,IMPORTRANGE(""https://docs.google.com/spreadsheets/d/1opm6ZNvGZ7KditA9TuJwrZ25eFLfTNIkrNnY6mhV5Eg"",""list!A1:C115""),3,TRUE)"),"le secteur de la construction")</f>
        <v xml:space="preserve">le secteur de la construction</v>
      </c>
      <c r="K12527" s="5" t="s">
        <v>56870</v>
      </c>
      <c r="L12527" s="5" t="s">
        <v>56871</v>
      </c>
      <c r="M12527" s="18" t="s">
        <v>47762</v>
      </c>
      <c r="N12527" s="18" t="s">
        <v>29</v>
      </c>
      <c r="O12527" s="18" t="s">
        <v>56872</v>
      </c>
      <c r="P12527" s="18" t="s">
        <v>5428</v>
      </c>
      <c r="Q12527" s="6"/>
      <c r="R12527" s="18">
        <v>0.13329106560000001</v>
      </c>
    </row>
    <row r="12528" ht="14.25">
      <c r="B12528" s="18" t="s">
        <v>769</v>
      </c>
      <c r="C12528" s="18" t="s">
        <v>56873</v>
      </c>
      <c r="D12528" s="18" t="s">
        <v>1950</v>
      </c>
      <c r="E12528" s="18" t="s">
        <v>56874</v>
      </c>
      <c r="F12528" s="18" t="str">
        <f>IFERROR(__XLUDF.DUMMYFUNCTION("PROPER(REGEXREPLACE(D161,""[^A-Za-z]+ "",""""))"),"Soleam")</f>
        <v>Soleam</v>
      </c>
      <c r="G12528" s="18" t="s">
        <v>56875</v>
      </c>
      <c r="H12528" s="18">
        <v>67</v>
      </c>
      <c r="I12528" s="18" t="s">
        <v>9239</v>
      </c>
      <c r="J12528" s="18" t="str">
        <f>IFERROR(__XLUDF.DUMMYFUNCTION("VLOOKUP(H161,IMPORTRANGE(""https://docs.google.com/spreadsheets/d/1opm6ZNvGZ7KditA9TuJwrZ25eFLfTNIkrNnY6mhV5Eg"",""list!A1:C115""),3,TRUE)"),"le secteur de la construction")</f>
        <v xml:space="preserve">le secteur de la construction</v>
      </c>
      <c r="K12528" s="5" t="s">
        <v>56876</v>
      </c>
      <c r="L12528" s="5" t="s">
        <v>56877</v>
      </c>
      <c r="M12528" s="18" t="s">
        <v>295</v>
      </c>
      <c r="N12528" s="18" t="s">
        <v>29</v>
      </c>
      <c r="O12528" s="18" t="s">
        <v>56878</v>
      </c>
      <c r="P12528" s="18" t="s">
        <v>29</v>
      </c>
      <c r="Q12528" s="18" t="s">
        <v>56879</v>
      </c>
      <c r="R12528" s="18">
        <v>0.87851162000000005</v>
      </c>
    </row>
    <row r="12529" ht="14.25">
      <c r="B12529" s="18" t="s">
        <v>785</v>
      </c>
      <c r="C12529" s="18" t="s">
        <v>56880</v>
      </c>
      <c r="D12529" s="18" t="s">
        <v>172</v>
      </c>
      <c r="E12529" s="18" t="s">
        <v>56881</v>
      </c>
      <c r="F12529" s="18" t="str">
        <f>IFERROR(__XLUDF.DUMMYFUNCTION("PROPER(REGEXREPLACE(D162,""[^A-Za-z]+ "",""""))"),"Rhin Climatisation")</f>
        <v xml:space="preserve">Rhin Climatisation</v>
      </c>
      <c r="G12529" s="18" t="s">
        <v>56882</v>
      </c>
      <c r="H12529" s="18">
        <v>55</v>
      </c>
      <c r="I12529" s="18" t="s">
        <v>9239</v>
      </c>
      <c r="J12529" s="18" t="str">
        <f>IFERROR(__XLUDF.DUMMYFUNCTION("VLOOKUP(H162,IMPORTRANGE(""https://docs.google.com/spreadsheets/d/1opm6ZNvGZ7KditA9TuJwrZ25eFLfTNIkrNnY6mhV5Eg"",""list!A1:C115""),3,TRUE)"),"le secteur de la construction")</f>
        <v xml:space="preserve">le secteur de la construction</v>
      </c>
      <c r="K12529" s="5" t="s">
        <v>56883</v>
      </c>
      <c r="L12529" s="5" t="s">
        <v>56884</v>
      </c>
      <c r="M12529" s="18" t="s">
        <v>651</v>
      </c>
      <c r="N12529" s="18" t="s">
        <v>29</v>
      </c>
      <c r="O12529" s="18" t="s">
        <v>56885</v>
      </c>
      <c r="P12529" s="18" t="s">
        <v>29</v>
      </c>
      <c r="Q12529" s="18" t="s">
        <v>56886</v>
      </c>
      <c r="R12529" s="18">
        <v>0.74727077490000005</v>
      </c>
    </row>
    <row r="12530" ht="14.25">
      <c r="B12530" s="18" t="s">
        <v>76</v>
      </c>
      <c r="C12530" s="18" t="s">
        <v>630</v>
      </c>
      <c r="D12530" s="18" t="s">
        <v>172</v>
      </c>
      <c r="E12530" s="18" t="s">
        <v>56887</v>
      </c>
      <c r="F12530" s="18" t="str">
        <f>IFERROR(__XLUDF.DUMMYFUNCTION("PROPER(REGEXREPLACE(D163,""[^A-Za-z]+ "",""""))"),"Iliade Ingénierie")</f>
        <v xml:space="preserve">Iliade Ingénierie</v>
      </c>
      <c r="G12530" s="18" t="s">
        <v>56888</v>
      </c>
      <c r="H12530" s="18">
        <v>62</v>
      </c>
      <c r="I12530" s="18" t="s">
        <v>9239</v>
      </c>
      <c r="J12530" s="18" t="str">
        <f>IFERROR(__XLUDF.DUMMYFUNCTION("VLOOKUP(H163,IMPORTRANGE(""https://docs.google.com/spreadsheets/d/1opm6ZNvGZ7KditA9TuJwrZ25eFLfTNIkrNnY6mhV5Eg"",""list!A1:C115""),3,TRUE)"),"le secteur de la construction")</f>
        <v xml:space="preserve">le secteur de la construction</v>
      </c>
      <c r="K12530" s="5" t="s">
        <v>56889</v>
      </c>
      <c r="L12530" s="5" t="s">
        <v>56890</v>
      </c>
      <c r="M12530" s="18" t="s">
        <v>19976</v>
      </c>
      <c r="N12530" s="18" t="s">
        <v>29</v>
      </c>
      <c r="O12530" s="18" t="s">
        <v>56891</v>
      </c>
      <c r="P12530" s="18" t="s">
        <v>29</v>
      </c>
      <c r="Q12530" s="18" t="s">
        <v>56892</v>
      </c>
      <c r="R12530" s="18">
        <v>0.94381065360000005</v>
      </c>
    </row>
    <row r="12531" ht="14.25">
      <c r="B12531" s="18" t="s">
        <v>76</v>
      </c>
      <c r="C12531" s="18" t="s">
        <v>56893</v>
      </c>
      <c r="D12531" s="18" t="s">
        <v>172</v>
      </c>
      <c r="E12531" s="18" t="s">
        <v>56894</v>
      </c>
      <c r="F12531" s="18" t="str">
        <f>IFERROR(__XLUDF.DUMMYFUNCTION("PROPER(REGEXREPLACE(D164,""[^A-Za-z]+ "",""""))"),"Groupe Galopin")</f>
        <v xml:space="preserve">Groupe Galopin</v>
      </c>
      <c r="G12531" s="18" t="s">
        <v>56895</v>
      </c>
      <c r="H12531" s="18">
        <v>69</v>
      </c>
      <c r="I12531" s="18" t="s">
        <v>9239</v>
      </c>
      <c r="J12531" s="18" t="str">
        <f>IFERROR(__XLUDF.DUMMYFUNCTION("VLOOKUP(H164,IMPORTRANGE(""https://docs.google.com/spreadsheets/d/1opm6ZNvGZ7KditA9TuJwrZ25eFLfTNIkrNnY6mhV5Eg"",""list!A1:C115""),3,TRUE)"),"le secteur de la construction")</f>
        <v xml:space="preserve">le secteur de la construction</v>
      </c>
      <c r="K12531" s="5" t="s">
        <v>56896</v>
      </c>
      <c r="L12531" s="5" t="s">
        <v>56897</v>
      </c>
      <c r="M12531" s="18" t="s">
        <v>651</v>
      </c>
      <c r="N12531" s="18" t="s">
        <v>29</v>
      </c>
      <c r="O12531" s="18" t="s">
        <v>56898</v>
      </c>
      <c r="P12531" s="18" t="s">
        <v>29</v>
      </c>
      <c r="Q12531" s="18" t="s">
        <v>56899</v>
      </c>
      <c r="R12531" s="18">
        <v>0.84112195030000003</v>
      </c>
    </row>
    <row r="12532" ht="14.25">
      <c r="B12532" s="18" t="s">
        <v>76</v>
      </c>
      <c r="C12532" s="18" t="s">
        <v>56900</v>
      </c>
      <c r="D12532" s="18" t="s">
        <v>87</v>
      </c>
      <c r="E12532" s="18" t="s">
        <v>56901</v>
      </c>
      <c r="F12532" s="18" t="str">
        <f>IFERROR(__XLUDF.DUMMYFUNCTION("PROPER(REGEXREPLACE(D165,""[^A-Za-z]+ "",""""))"),"Poralu Marine")</f>
        <v xml:space="preserve">Poralu Marine</v>
      </c>
      <c r="G12532" s="18" t="s">
        <v>56902</v>
      </c>
      <c r="H12532" s="18">
        <v>81</v>
      </c>
      <c r="I12532" s="18" t="s">
        <v>9239</v>
      </c>
      <c r="J12532" s="18" t="str">
        <f>IFERROR(__XLUDF.DUMMYFUNCTION("VLOOKUP(H165,IMPORTRANGE(""https://docs.google.com/spreadsheets/d/1opm6ZNvGZ7KditA9TuJwrZ25eFLfTNIkrNnY6mhV5Eg"",""list!A1:C115""),3,TRUE)"),"le secteur de la construction")</f>
        <v xml:space="preserve">le secteur de la construction</v>
      </c>
      <c r="K12532" s="5" t="s">
        <v>56903</v>
      </c>
      <c r="L12532" s="5" t="s">
        <v>56904</v>
      </c>
      <c r="M12532" s="18" t="s">
        <v>185</v>
      </c>
      <c r="N12532" s="18" t="s">
        <v>29</v>
      </c>
      <c r="O12532" s="18" t="s">
        <v>56905</v>
      </c>
      <c r="P12532" s="18" t="s">
        <v>32348</v>
      </c>
      <c r="Q12532" s="6"/>
      <c r="R12532" s="18">
        <v>0.2691393816</v>
      </c>
    </row>
    <row r="12533" ht="14.25">
      <c r="B12533" s="18" t="s">
        <v>2508</v>
      </c>
      <c r="C12533" s="18" t="s">
        <v>56906</v>
      </c>
      <c r="D12533" s="18" t="s">
        <v>112</v>
      </c>
      <c r="E12533" s="18" t="s">
        <v>56894</v>
      </c>
      <c r="F12533" s="18" t="str">
        <f>IFERROR(__XLUDF.DUMMYFUNCTION("PROPER(REGEXREPLACE(D166,""[^A-Za-z]+ "",""""))"),"Groupe Galopin")</f>
        <v xml:space="preserve">Groupe Galopin</v>
      </c>
      <c r="G12533" s="18" t="s">
        <v>56907</v>
      </c>
      <c r="H12533" s="18">
        <v>69</v>
      </c>
      <c r="I12533" s="18" t="s">
        <v>9239</v>
      </c>
      <c r="J12533" s="18" t="str">
        <f>IFERROR(__XLUDF.DUMMYFUNCTION("VLOOKUP(H166,IMPORTRANGE(""https://docs.google.com/spreadsheets/d/1opm6ZNvGZ7KditA9TuJwrZ25eFLfTNIkrNnY6mhV5Eg"",""list!A1:C115""),3,TRUE)"),"le secteur de la construction")</f>
        <v xml:space="preserve">le secteur de la construction</v>
      </c>
      <c r="K12533" s="5" t="s">
        <v>56908</v>
      </c>
      <c r="L12533" s="5" t="s">
        <v>56897</v>
      </c>
      <c r="M12533" s="18" t="s">
        <v>7883</v>
      </c>
      <c r="N12533" s="18" t="s">
        <v>29</v>
      </c>
      <c r="O12533" s="18" t="s">
        <v>56898</v>
      </c>
      <c r="P12533" s="18" t="s">
        <v>29</v>
      </c>
      <c r="Q12533" s="18" t="s">
        <v>56899</v>
      </c>
      <c r="R12533" s="18">
        <v>0.70126902280000003</v>
      </c>
    </row>
    <row r="12534" ht="14.25">
      <c r="B12534" s="18" t="s">
        <v>2508</v>
      </c>
      <c r="C12534" s="18" t="s">
        <v>32513</v>
      </c>
      <c r="D12534" s="18" t="s">
        <v>56909</v>
      </c>
      <c r="E12534" s="18" t="s">
        <v>56137</v>
      </c>
      <c r="F12534" s="18" t="str">
        <f>IFERROR(__XLUDF.DUMMYFUNCTION("PROPER(REGEXREPLACE(D167,""[^A-Za-z]+ "",""""))"),"Groupe Guinier 1823")</f>
        <v xml:space="preserve">Groupe Guinier 1823</v>
      </c>
      <c r="G12534" s="18" t="s">
        <v>56910</v>
      </c>
      <c r="H12534" s="18">
        <v>75</v>
      </c>
      <c r="I12534" s="18" t="s">
        <v>9239</v>
      </c>
      <c r="J12534" s="18" t="str">
        <f>IFERROR(__XLUDF.DUMMYFUNCTION("VLOOKUP(H167,IMPORTRANGE(""https://docs.google.com/spreadsheets/d/1opm6ZNvGZ7KditA9TuJwrZ25eFLfTNIkrNnY6mhV5Eg"",""list!A1:C115""),3,TRUE)"),"le secteur de la construction")</f>
        <v xml:space="preserve">le secteur de la construction</v>
      </c>
      <c r="K12534" s="5" t="s">
        <v>56911</v>
      </c>
      <c r="L12534" s="5" t="s">
        <v>56140</v>
      </c>
      <c r="M12534" s="6"/>
      <c r="N12534" s="18" t="s">
        <v>29</v>
      </c>
      <c r="O12534" s="18" t="s">
        <v>18919</v>
      </c>
      <c r="P12534" s="18" t="s">
        <v>29</v>
      </c>
      <c r="Q12534" s="6"/>
      <c r="R12534" s="18">
        <v>0.73692776829999995</v>
      </c>
    </row>
    <row r="12535" ht="14.25">
      <c r="B12535" s="18" t="s">
        <v>2589</v>
      </c>
      <c r="C12535" s="18" t="s">
        <v>56912</v>
      </c>
      <c r="D12535" s="18" t="s">
        <v>164</v>
      </c>
      <c r="E12535" s="18" t="s">
        <v>56913</v>
      </c>
      <c r="F12535" s="18" t="str">
        <f>IFERROR(__XLUDF.DUMMYFUNCTION("PROPER(REGEXREPLACE(D168,""[^A-Za-z]+ "",""""))"),"Poupin")</f>
        <v>Poupin</v>
      </c>
      <c r="G12535" s="18" t="s">
        <v>56914</v>
      </c>
      <c r="H12535" s="18">
        <v>57</v>
      </c>
      <c r="I12535" s="18" t="s">
        <v>9239</v>
      </c>
      <c r="J12535" s="18" t="str">
        <f>IFERROR(__XLUDF.DUMMYFUNCTION("VLOOKUP(H168,IMPORTRANGE(""https://docs.google.com/spreadsheets/d/1opm6ZNvGZ7KditA9TuJwrZ25eFLfTNIkrNnY6mhV5Eg"",""list!A1:C115""),3,TRUE)"),"le secteur de la construction")</f>
        <v xml:space="preserve">le secteur de la construction</v>
      </c>
      <c r="K12535" s="5" t="s">
        <v>56915</v>
      </c>
      <c r="L12535" s="5" t="s">
        <v>56916</v>
      </c>
      <c r="M12535" s="18" t="s">
        <v>1312</v>
      </c>
      <c r="N12535" s="18" t="s">
        <v>29</v>
      </c>
      <c r="O12535" s="18" t="s">
        <v>56917</v>
      </c>
      <c r="P12535" s="18" t="s">
        <v>29</v>
      </c>
      <c r="Q12535" s="18" t="s">
        <v>56918</v>
      </c>
      <c r="R12535" s="18">
        <v>0.213532905</v>
      </c>
    </row>
    <row r="12536" ht="14.25">
      <c r="B12536" s="18" t="s">
        <v>76</v>
      </c>
      <c r="C12536" s="18" t="s">
        <v>56919</v>
      </c>
      <c r="D12536" s="18" t="s">
        <v>6362</v>
      </c>
      <c r="E12536" s="18" t="s">
        <v>56920</v>
      </c>
      <c r="F12536" s="18" t="str">
        <f>IFERROR(__XLUDF.DUMMYFUNCTION("PROPER(REGEXREPLACE(D169,""[^A-Za-z]+ "",""""))"),"Egcs")</f>
        <v>Egcs</v>
      </c>
      <c r="G12536" s="18" t="s">
        <v>56921</v>
      </c>
      <c r="H12536" s="18">
        <v>27</v>
      </c>
      <c r="I12536" s="18" t="s">
        <v>9239</v>
      </c>
      <c r="J12536" s="18" t="str">
        <f>IFERROR(__XLUDF.DUMMYFUNCTION("VLOOKUP(H169,IMPORTRANGE(""https://docs.google.com/spreadsheets/d/1opm6ZNvGZ7KditA9TuJwrZ25eFLfTNIkrNnY6mhV5Eg"",""list!A1:C115""),3,TRUE)"),"le secteur de la construction")</f>
        <v xml:space="preserve">le secteur de la construction</v>
      </c>
      <c r="K12536" s="5" t="s">
        <v>56922</v>
      </c>
      <c r="L12536" s="5" t="s">
        <v>56923</v>
      </c>
      <c r="M12536" s="18" t="s">
        <v>185</v>
      </c>
      <c r="N12536" s="18" t="s">
        <v>29</v>
      </c>
      <c r="O12536" s="18" t="s">
        <v>56924</v>
      </c>
      <c r="P12536" s="18" t="s">
        <v>29</v>
      </c>
      <c r="Q12536" s="6"/>
      <c r="R12536" s="18">
        <v>0.24580121229999999</v>
      </c>
    </row>
    <row r="12537" ht="14.25">
      <c r="B12537" s="18" t="s">
        <v>76</v>
      </c>
      <c r="C12537" s="18" t="s">
        <v>31215</v>
      </c>
      <c r="D12537" s="18" t="s">
        <v>56925</v>
      </c>
      <c r="E12537" s="18" t="s">
        <v>56926</v>
      </c>
      <c r="F12537" s="18" t="str">
        <f>IFERROR(__XLUDF.DUMMYFUNCTION("PROPER(REGEXREPLACE(D170,""[^A-Za-z]+ "",""""))"),"Arac Occitanie")</f>
        <v xml:space="preserve">Arac Occitanie</v>
      </c>
      <c r="G12537" s="18" t="s">
        <v>56927</v>
      </c>
      <c r="H12537" s="18">
        <v>91</v>
      </c>
      <c r="I12537" s="18" t="s">
        <v>9239</v>
      </c>
      <c r="J12537" s="18" t="str">
        <f>IFERROR(__XLUDF.DUMMYFUNCTION("VLOOKUP(H170,IMPORTRANGE(""https://docs.google.com/spreadsheets/d/1opm6ZNvGZ7KditA9TuJwrZ25eFLfTNIkrNnY6mhV5Eg"",""list!A1:C115""),3,TRUE)"),"le secteur de la construction")</f>
        <v xml:space="preserve">le secteur de la construction</v>
      </c>
      <c r="K12537" s="5" t="s">
        <v>56928</v>
      </c>
      <c r="L12537" s="5" t="s">
        <v>56929</v>
      </c>
      <c r="M12537" s="18" t="s">
        <v>16314</v>
      </c>
      <c r="N12537" s="18" t="s">
        <v>29</v>
      </c>
      <c r="O12537" s="18" t="s">
        <v>56930</v>
      </c>
      <c r="P12537" s="18" t="s">
        <v>29</v>
      </c>
      <c r="Q12537" s="18" t="s">
        <v>56931</v>
      </c>
      <c r="R12537" s="18">
        <v>0.92682508050000001</v>
      </c>
    </row>
    <row r="12538" ht="14.25">
      <c r="B12538" s="18" t="s">
        <v>76</v>
      </c>
      <c r="C12538" s="18" t="s">
        <v>56932</v>
      </c>
      <c r="D12538" s="18" t="s">
        <v>468</v>
      </c>
      <c r="E12538" s="18" t="s">
        <v>56362</v>
      </c>
      <c r="F12538" s="18" t="str">
        <f>IFERROR(__XLUDF.DUMMYFUNCTION("PROPER(REGEXREPLACE(D171,""[^A-Za-z]+ "",""""))"),"Fprs")</f>
        <v>Fprs</v>
      </c>
      <c r="G12538" s="18" t="s">
        <v>56933</v>
      </c>
      <c r="H12538" s="18">
        <v>64</v>
      </c>
      <c r="I12538" s="18" t="s">
        <v>9239</v>
      </c>
      <c r="J12538" s="18" t="str">
        <f>IFERROR(__XLUDF.DUMMYFUNCTION("VLOOKUP(H171,IMPORTRANGE(""https://docs.google.com/spreadsheets/d/1opm6ZNvGZ7KditA9TuJwrZ25eFLfTNIkrNnY6mhV5Eg"",""list!A1:C115""),3,TRUE)"),"le secteur de la construction")</f>
        <v xml:space="preserve">le secteur de la construction</v>
      </c>
      <c r="K12538" s="5" t="s">
        <v>56934</v>
      </c>
      <c r="L12538" s="5" t="s">
        <v>56365</v>
      </c>
      <c r="M12538" s="18" t="s">
        <v>39</v>
      </c>
      <c r="N12538" s="18" t="s">
        <v>29</v>
      </c>
      <c r="O12538" s="18" t="s">
        <v>27858</v>
      </c>
      <c r="P12538" s="18" t="s">
        <v>29</v>
      </c>
      <c r="Q12538" s="18" t="s">
        <v>56366</v>
      </c>
      <c r="R12538" s="18">
        <v>0.20522011879999999</v>
      </c>
    </row>
    <row r="12539" ht="14.25">
      <c r="B12539" s="18" t="s">
        <v>76</v>
      </c>
      <c r="C12539" s="18" t="s">
        <v>8046</v>
      </c>
      <c r="D12539" s="18" t="s">
        <v>1130</v>
      </c>
      <c r="E12539" s="18" t="s">
        <v>56935</v>
      </c>
      <c r="F12539" s="18" t="str">
        <f>IFERROR(__XLUDF.DUMMYFUNCTION("PROPER(REGEXREPLACE(D172,""[^A-Za-z]+ "",""""))"),"Aitec")</f>
        <v>Aitec</v>
      </c>
      <c r="G12539" s="18" t="s">
        <v>56936</v>
      </c>
      <c r="H12539" s="18">
        <v>49</v>
      </c>
      <c r="I12539" s="18" t="s">
        <v>9239</v>
      </c>
      <c r="J12539" s="18" t="str">
        <f>IFERROR(__XLUDF.DUMMYFUNCTION("VLOOKUP(H172,IMPORTRANGE(""https://docs.google.com/spreadsheets/d/1opm6ZNvGZ7KditA9TuJwrZ25eFLfTNIkrNnY6mhV5Eg"",""list!A1:C115""),3,TRUE)"),"le secteur de la construction")</f>
        <v xml:space="preserve">le secteur de la construction</v>
      </c>
      <c r="K12539" s="5" t="s">
        <v>56937</v>
      </c>
      <c r="L12539" s="5" t="s">
        <v>56938</v>
      </c>
      <c r="M12539" s="18" t="s">
        <v>49</v>
      </c>
      <c r="N12539" s="18" t="s">
        <v>29</v>
      </c>
      <c r="O12539" s="18" t="s">
        <v>56939</v>
      </c>
      <c r="P12539" s="18" t="s">
        <v>29</v>
      </c>
      <c r="Q12539" s="6"/>
      <c r="R12539" s="18">
        <v>0.48388437470000001</v>
      </c>
    </row>
    <row r="12540" ht="14.25">
      <c r="B12540" s="18" t="s">
        <v>971</v>
      </c>
      <c r="C12540" s="18" t="s">
        <v>56940</v>
      </c>
      <c r="D12540" s="18" t="s">
        <v>172</v>
      </c>
      <c r="E12540" s="18" t="s">
        <v>34349</v>
      </c>
      <c r="F12540" s="18" t="str">
        <f>IFERROR(__XLUDF.DUMMYFUNCTION("PROPER(REGEXREPLACE(D173,""[^A-Za-z]+ "",""""))"),"Alquier")</f>
        <v>Alquier</v>
      </c>
      <c r="G12540" s="18" t="s">
        <v>56941</v>
      </c>
      <c r="H12540" s="18">
        <v>63</v>
      </c>
      <c r="I12540" s="18" t="s">
        <v>9239</v>
      </c>
      <c r="J12540" s="18" t="str">
        <f>IFERROR(__XLUDF.DUMMYFUNCTION("VLOOKUP(H173,IMPORTRANGE(""https://docs.google.com/spreadsheets/d/1opm6ZNvGZ7KditA9TuJwrZ25eFLfTNIkrNnY6mhV5Eg"",""list!A1:C115""),3,TRUE)"),"le secteur de la construction")</f>
        <v xml:space="preserve">le secteur de la construction</v>
      </c>
      <c r="K12540" s="5" t="s">
        <v>56942</v>
      </c>
      <c r="L12540" s="5" t="s">
        <v>56943</v>
      </c>
      <c r="M12540" s="18" t="s">
        <v>3291</v>
      </c>
      <c r="N12540" s="18" t="s">
        <v>29</v>
      </c>
      <c r="O12540" s="18" t="s">
        <v>56944</v>
      </c>
      <c r="P12540" s="18" t="s">
        <v>29</v>
      </c>
      <c r="Q12540" s="6"/>
      <c r="R12540" s="18">
        <v>0.74332735390000004</v>
      </c>
    </row>
    <row r="12541" ht="14.25">
      <c r="B12541" s="18" t="s">
        <v>2508</v>
      </c>
      <c r="C12541" s="18" t="s">
        <v>56945</v>
      </c>
      <c r="D12541" s="18" t="s">
        <v>6362</v>
      </c>
      <c r="E12541" s="18" t="s">
        <v>56946</v>
      </c>
      <c r="F12541" s="18" t="str">
        <f>IFERROR(__XLUDF.DUMMYFUNCTION("PROPER(REGEXREPLACE(D174,""[^A-Za-z]+ "",""""))"),"Maison Villas Club")</f>
        <v xml:space="preserve">Maison Villas Club</v>
      </c>
      <c r="G12541" s="18" t="s">
        <v>56947</v>
      </c>
      <c r="H12541" s="18">
        <v>26</v>
      </c>
      <c r="I12541" s="18" t="s">
        <v>9239</v>
      </c>
      <c r="J12541" s="18" t="str">
        <f>IFERROR(__XLUDF.DUMMYFUNCTION("VLOOKUP(H174,IMPORTRANGE(""https://docs.google.com/spreadsheets/d/1opm6ZNvGZ7KditA9TuJwrZ25eFLfTNIkrNnY6mhV5Eg"",""list!A1:C115""),3,TRUE)"),"le secteur de la construction")</f>
        <v xml:space="preserve">le secteur de la construction</v>
      </c>
      <c r="K12541" s="5" t="s">
        <v>56948</v>
      </c>
      <c r="L12541" s="5" t="s">
        <v>56949</v>
      </c>
      <c r="M12541" s="18" t="s">
        <v>16456</v>
      </c>
      <c r="N12541" s="18" t="s">
        <v>29</v>
      </c>
      <c r="O12541" s="18" t="s">
        <v>56236</v>
      </c>
      <c r="P12541" s="18" t="s">
        <v>29</v>
      </c>
      <c r="Q12541" s="18" t="s">
        <v>56950</v>
      </c>
      <c r="R12541" s="18">
        <v>0.42469720109999998</v>
      </c>
    </row>
    <row r="12542" ht="14.25">
      <c r="B12542" s="18" t="s">
        <v>56951</v>
      </c>
      <c r="C12542" s="18" t="s">
        <v>56952</v>
      </c>
      <c r="D12542" s="18" t="s">
        <v>56953</v>
      </c>
      <c r="E12542" s="18" t="s">
        <v>47663</v>
      </c>
      <c r="F12542" s="18" t="str">
        <f>IFERROR(__XLUDF.DUMMYFUNCTION("PROPER(REGEXREPLACE(D175,""[^A-Za-z]+ "",""""))"),"La Compagnie Des Toits")</f>
        <v xml:space="preserve">La Compagnie Des Toits</v>
      </c>
      <c r="G12542" s="18" t="s">
        <v>56954</v>
      </c>
      <c r="H12542" s="18">
        <v>54</v>
      </c>
      <c r="I12542" s="18" t="s">
        <v>9239</v>
      </c>
      <c r="J12542" s="18" t="str">
        <f>IFERROR(__XLUDF.DUMMYFUNCTION("VLOOKUP(H175,IMPORTRANGE(""https://docs.google.com/spreadsheets/d/1opm6ZNvGZ7KditA9TuJwrZ25eFLfTNIkrNnY6mhV5Eg"",""list!A1:C115""),3,TRUE)"),"le secteur de la construction")</f>
        <v xml:space="preserve">le secteur de la construction</v>
      </c>
      <c r="K12542" s="5" t="s">
        <v>56955</v>
      </c>
      <c r="L12542" s="5" t="s">
        <v>56732</v>
      </c>
      <c r="M12542" s="18" t="s">
        <v>482</v>
      </c>
      <c r="N12542" s="18" t="s">
        <v>29</v>
      </c>
      <c r="O12542" s="18" t="s">
        <v>47667</v>
      </c>
      <c r="P12542" s="18" t="s">
        <v>29</v>
      </c>
      <c r="Q12542" s="18" t="s">
        <v>47668</v>
      </c>
      <c r="R12542" s="18">
        <v>0.33966096410000002</v>
      </c>
    </row>
    <row r="12543" ht="14.25">
      <c r="B12543" s="18" t="s">
        <v>56956</v>
      </c>
      <c r="C12543" s="18" t="s">
        <v>56957</v>
      </c>
      <c r="D12543" s="18" t="s">
        <v>56958</v>
      </c>
      <c r="E12543" s="18" t="s">
        <v>56162</v>
      </c>
      <c r="F12543" s="18" t="str">
        <f>IFERROR(__XLUDF.DUMMYFUNCTION("PROPER(REGEXREPLACE(D176,""[^A-Za-z]+ "",""""))"),"Natilia")</f>
        <v>Natilia</v>
      </c>
      <c r="G12543" s="18" t="s">
        <v>56959</v>
      </c>
      <c r="H12543" s="18">
        <v>90</v>
      </c>
      <c r="I12543" s="18" t="s">
        <v>9239</v>
      </c>
      <c r="J12543" s="18" t="str">
        <f>IFERROR(__XLUDF.DUMMYFUNCTION("VLOOKUP(H176,IMPORTRANGE(""https://docs.google.com/spreadsheets/d/1opm6ZNvGZ7KditA9TuJwrZ25eFLfTNIkrNnY6mhV5Eg"",""list!A1:C115""),3,TRUE)"),"le secteur de la construction")</f>
        <v xml:space="preserve">le secteur de la construction</v>
      </c>
      <c r="K12543" s="5" t="s">
        <v>56960</v>
      </c>
      <c r="L12543" s="5" t="s">
        <v>56165</v>
      </c>
      <c r="M12543" s="18" t="s">
        <v>651</v>
      </c>
      <c r="N12543" s="18" t="s">
        <v>29</v>
      </c>
      <c r="O12543" s="18" t="s">
        <v>56166</v>
      </c>
      <c r="P12543" s="18" t="s">
        <v>29</v>
      </c>
      <c r="Q12543" s="18" t="s">
        <v>56167</v>
      </c>
      <c r="R12543" s="18">
        <v>0.75515203320000002</v>
      </c>
    </row>
    <row r="12544" ht="14.25">
      <c r="B12544" s="18" t="s">
        <v>579</v>
      </c>
      <c r="C12544" s="18" t="s">
        <v>56961</v>
      </c>
      <c r="D12544" s="18" t="s">
        <v>6362</v>
      </c>
      <c r="E12544" s="18" t="s">
        <v>51409</v>
      </c>
      <c r="F12544" s="18" t="str">
        <f>IFERROR(__XLUDF.DUMMYFUNCTION("PROPER(REGEXREPLACE(D177,""[^A-Za-z]+ "",""""))"),"Deveugle")</f>
        <v>Deveugle</v>
      </c>
      <c r="G12544" s="18" t="s">
        <v>56962</v>
      </c>
      <c r="H12544" s="18">
        <v>30</v>
      </c>
      <c r="I12544" s="18" t="s">
        <v>9239</v>
      </c>
      <c r="J12544" s="18" t="str">
        <f>IFERROR(__XLUDF.DUMMYFUNCTION("VLOOKUP(H177,IMPORTRANGE(""https://docs.google.com/spreadsheets/d/1opm6ZNvGZ7KditA9TuJwrZ25eFLfTNIkrNnY6mhV5Eg"",""list!A1:C115""),3,TRUE)"),"le secteur de la construction")</f>
        <v xml:space="preserve">le secteur de la construction</v>
      </c>
      <c r="K12544" s="5" t="s">
        <v>56963</v>
      </c>
      <c r="L12544" s="5" t="s">
        <v>56964</v>
      </c>
      <c r="M12544" s="18" t="s">
        <v>56965</v>
      </c>
      <c r="N12544" s="18" t="s">
        <v>29</v>
      </c>
      <c r="O12544" s="18" t="s">
        <v>51413</v>
      </c>
      <c r="P12544" s="18" t="s">
        <v>29</v>
      </c>
      <c r="Q12544" s="18" t="s">
        <v>51414</v>
      </c>
      <c r="R12544" s="18">
        <v>0.81120256989999995</v>
      </c>
    </row>
    <row r="12545" ht="14.25">
      <c r="B12545" s="18" t="s">
        <v>76</v>
      </c>
      <c r="C12545" s="18" t="s">
        <v>48565</v>
      </c>
      <c r="D12545" s="18" t="s">
        <v>468</v>
      </c>
      <c r="E12545" s="18" t="s">
        <v>56205</v>
      </c>
      <c r="F12545" s="18" t="str">
        <f>IFERROR(__XLUDF.DUMMYFUNCTION("PROPER(REGEXREPLACE(D178,""[^A-Za-z]+ "",""""))"),"Baudet S.A")</f>
        <v xml:space="preserve">Baudet S.A</v>
      </c>
      <c r="G12545" s="18" t="s">
        <v>56966</v>
      </c>
      <c r="H12545" s="18">
        <v>62</v>
      </c>
      <c r="I12545" s="18" t="s">
        <v>9239</v>
      </c>
      <c r="J12545" s="18" t="str">
        <f>IFERROR(__XLUDF.DUMMYFUNCTION("VLOOKUP(H178,IMPORTRANGE(""https://docs.google.com/spreadsheets/d/1opm6ZNvGZ7KditA9TuJwrZ25eFLfTNIkrNnY6mhV5Eg"",""list!A1:C115""),3,TRUE)"),"le secteur de la construction")</f>
        <v xml:space="preserve">le secteur de la construction</v>
      </c>
      <c r="K12545" s="5" t="s">
        <v>56967</v>
      </c>
      <c r="L12545" s="5" t="s">
        <v>56208</v>
      </c>
      <c r="M12545" s="18" t="s">
        <v>10276</v>
      </c>
      <c r="N12545" s="18" t="s">
        <v>29</v>
      </c>
      <c r="O12545" s="18" t="s">
        <v>56209</v>
      </c>
      <c r="P12545" s="18" t="s">
        <v>29</v>
      </c>
      <c r="Q12545" s="18" t="s">
        <v>56210</v>
      </c>
      <c r="R12545" s="18">
        <v>0.082508425669999996</v>
      </c>
    </row>
    <row r="12546" ht="14.25">
      <c r="B12546" s="18" t="s">
        <v>7198</v>
      </c>
      <c r="C12546" s="18" t="s">
        <v>56968</v>
      </c>
      <c r="D12546" s="18" t="s">
        <v>2084</v>
      </c>
      <c r="E12546" s="18" t="s">
        <v>15489</v>
      </c>
      <c r="F12546" s="18" t="str">
        <f>IFERROR(__XLUDF.DUMMYFUNCTION("PROPER(REGEXREPLACE(D179,""[^A-Za-z]+ "",""""))"),"Scob")</f>
        <v>Scob</v>
      </c>
      <c r="G12546" s="18" t="s">
        <v>56969</v>
      </c>
      <c r="H12546" s="18">
        <v>50</v>
      </c>
      <c r="I12546" s="18" t="s">
        <v>9239</v>
      </c>
      <c r="J12546" s="18" t="str">
        <f>IFERROR(__XLUDF.DUMMYFUNCTION("VLOOKUP(H179,IMPORTRANGE(""https://docs.google.com/spreadsheets/d/1opm6ZNvGZ7KditA9TuJwrZ25eFLfTNIkrNnY6mhV5Eg"",""list!A1:C115""),3,TRUE)"),"le secteur de la construction")</f>
        <v xml:space="preserve">le secteur de la construction</v>
      </c>
      <c r="K12546" s="5" t="s">
        <v>56970</v>
      </c>
      <c r="L12546" s="5" t="s">
        <v>56971</v>
      </c>
      <c r="M12546" s="18" t="s">
        <v>39</v>
      </c>
      <c r="N12546" s="18" t="s">
        <v>29</v>
      </c>
      <c r="O12546" s="18" t="s">
        <v>56972</v>
      </c>
      <c r="P12546" s="18" t="s">
        <v>29</v>
      </c>
      <c r="Q12546" s="18" t="s">
        <v>15494</v>
      </c>
      <c r="R12546" s="18">
        <v>0.94183449080000003</v>
      </c>
    </row>
    <row r="12547" ht="14.25">
      <c r="B12547" s="18" t="s">
        <v>206</v>
      </c>
      <c r="C12547" s="18" t="s">
        <v>56973</v>
      </c>
      <c r="D12547" s="18" t="s">
        <v>6362</v>
      </c>
      <c r="E12547" s="18" t="s">
        <v>56974</v>
      </c>
      <c r="F12547" s="18" t="str">
        <f>IFERROR(__XLUDF.DUMMYFUNCTION("PROPER(REGEXREPLACE(D180,""[^A-Za-z]+ "",""""))"),"Groupe Mce")</f>
        <v xml:space="preserve">Groupe Mce</v>
      </c>
      <c r="G12547" s="18" t="s">
        <v>56975</v>
      </c>
      <c r="H12547" s="18">
        <v>88</v>
      </c>
      <c r="I12547" s="18" t="s">
        <v>9239</v>
      </c>
      <c r="J12547" s="18" t="str">
        <f>IFERROR(__XLUDF.DUMMYFUNCTION("VLOOKUP(H180,IMPORTRANGE(""https://docs.google.com/spreadsheets/d/1opm6ZNvGZ7KditA9TuJwrZ25eFLfTNIkrNnY6mhV5Eg"",""list!A1:C115""),3,TRUE)"),"le secteur de la construction")</f>
        <v xml:space="preserve">le secteur de la construction</v>
      </c>
      <c r="K12547" s="5" t="s">
        <v>56976</v>
      </c>
      <c r="L12547" s="5" t="s">
        <v>56977</v>
      </c>
      <c r="M12547" s="18" t="s">
        <v>6480</v>
      </c>
      <c r="N12547" s="18" t="s">
        <v>29</v>
      </c>
      <c r="O12547" s="18" t="s">
        <v>56978</v>
      </c>
      <c r="P12547" s="18" t="s">
        <v>29</v>
      </c>
      <c r="Q12547" s="6"/>
      <c r="R12547" s="18">
        <v>0.2350417917</v>
      </c>
    </row>
    <row r="12548" ht="14.25">
      <c r="B12548" s="18" t="s">
        <v>5579</v>
      </c>
      <c r="C12548" s="18" t="s">
        <v>52450</v>
      </c>
      <c r="D12548" s="18" t="s">
        <v>426</v>
      </c>
      <c r="E12548" s="18" t="s">
        <v>56979</v>
      </c>
      <c r="F12548" s="18" t="str">
        <f>IFERROR(__XLUDF.DUMMYFUNCTION("PROPER(REGEXREPLACE(D181,""[^A-Za-z]+ "",""""))"),"Cide Elec")</f>
        <v xml:space="preserve">Cide Elec</v>
      </c>
      <c r="G12548" s="18" t="s">
        <v>56980</v>
      </c>
      <c r="H12548" s="18">
        <v>64</v>
      </c>
      <c r="I12548" s="18" t="s">
        <v>9239</v>
      </c>
      <c r="J12548" s="18" t="str">
        <f>IFERROR(__XLUDF.DUMMYFUNCTION("VLOOKUP(H181,IMPORTRANGE(""https://docs.google.com/spreadsheets/d/1opm6ZNvGZ7KditA9TuJwrZ25eFLfTNIkrNnY6mhV5Eg"",""list!A1:C115""),3,TRUE)"),"le secteur de la construction")</f>
        <v xml:space="preserve">le secteur de la construction</v>
      </c>
      <c r="K12548" s="5" t="s">
        <v>56981</v>
      </c>
      <c r="L12548" s="5" t="s">
        <v>56982</v>
      </c>
      <c r="M12548" s="18" t="s">
        <v>56983</v>
      </c>
      <c r="N12548" s="18" t="s">
        <v>29</v>
      </c>
      <c r="O12548" s="18" t="s">
        <v>56984</v>
      </c>
      <c r="P12548" s="18" t="s">
        <v>29</v>
      </c>
      <c r="Q12548" s="18" t="s">
        <v>56985</v>
      </c>
      <c r="R12548" s="18">
        <v>0.93475795149999996</v>
      </c>
    </row>
    <row r="12549" ht="14.25">
      <c r="B12549" s="18" t="s">
        <v>56986</v>
      </c>
      <c r="C12549" s="18" t="s">
        <v>11151</v>
      </c>
      <c r="D12549" s="18" t="s">
        <v>56987</v>
      </c>
      <c r="E12549" s="18" t="s">
        <v>56988</v>
      </c>
      <c r="F12549" s="18" t="str">
        <f>IFERROR(__XLUDF.DUMMYFUNCTION("PROPER(REGEXREPLACE(D182,""[^A-Za-z]+ "",""""))"),"Eitem")</f>
        <v>Eitem</v>
      </c>
      <c r="G12549" s="18" t="s">
        <v>56989</v>
      </c>
      <c r="H12549" s="18">
        <v>66</v>
      </c>
      <c r="I12549" s="18" t="s">
        <v>9239</v>
      </c>
      <c r="J12549" s="18" t="str">
        <f>IFERROR(__XLUDF.DUMMYFUNCTION("VLOOKUP(H182,IMPORTRANGE(""https://docs.google.com/spreadsheets/d/1opm6ZNvGZ7KditA9TuJwrZ25eFLfTNIkrNnY6mhV5Eg"",""list!A1:C115""),3,TRUE)"),"le secteur de la construction")</f>
        <v xml:space="preserve">le secteur de la construction</v>
      </c>
      <c r="K12549" s="5" t="s">
        <v>56990</v>
      </c>
      <c r="L12549" s="5" t="s">
        <v>56991</v>
      </c>
      <c r="M12549" s="18" t="s">
        <v>39</v>
      </c>
      <c r="N12549" s="18" t="s">
        <v>29</v>
      </c>
      <c r="O12549" s="18" t="s">
        <v>56992</v>
      </c>
      <c r="P12549" s="18" t="s">
        <v>29</v>
      </c>
      <c r="Q12549" s="18" t="s">
        <v>56993</v>
      </c>
      <c r="R12549" s="18">
        <v>0.87374948600000002</v>
      </c>
    </row>
    <row r="12550" ht="14.25">
      <c r="B12550" s="18" t="s">
        <v>963</v>
      </c>
      <c r="C12550" s="18" t="s">
        <v>4086</v>
      </c>
      <c r="D12550" s="18" t="s">
        <v>56994</v>
      </c>
      <c r="E12550" s="18" t="s">
        <v>56995</v>
      </c>
      <c r="F12550" s="18" t="str">
        <f>IFERROR(__XLUDF.DUMMYFUNCTION("PROPER(REGEXREPLACE(D183,""[^A-Za-z]+ "",""""))"),"Hasap")</f>
        <v>Hasap</v>
      </c>
      <c r="G12550" s="18" t="s">
        <v>56996</v>
      </c>
      <c r="H12550" s="18">
        <v>54</v>
      </c>
      <c r="I12550" s="18" t="s">
        <v>9239</v>
      </c>
      <c r="J12550" s="18" t="str">
        <f>IFERROR(__XLUDF.DUMMYFUNCTION("VLOOKUP(H183,IMPORTRANGE(""https://docs.google.com/spreadsheets/d/1opm6ZNvGZ7KditA9TuJwrZ25eFLfTNIkrNnY6mhV5Eg"",""list!A1:C115""),3,TRUE)"),"le secteur de la construction")</f>
        <v xml:space="preserve">le secteur de la construction</v>
      </c>
      <c r="K12550" s="5" t="s">
        <v>56997</v>
      </c>
      <c r="L12550" s="5" t="s">
        <v>56998</v>
      </c>
      <c r="M12550" s="18" t="s">
        <v>185</v>
      </c>
      <c r="N12550" s="18" t="s">
        <v>29</v>
      </c>
      <c r="O12550" s="18" t="s">
        <v>56999</v>
      </c>
      <c r="P12550" s="18" t="s">
        <v>29</v>
      </c>
      <c r="Q12550" s="18" t="s">
        <v>57000</v>
      </c>
      <c r="R12550" s="18">
        <v>0.69777673969999998</v>
      </c>
    </row>
    <row r="12551" ht="14.25">
      <c r="B12551" s="18" t="s">
        <v>5891</v>
      </c>
      <c r="C12551" s="18" t="s">
        <v>57001</v>
      </c>
      <c r="D12551" s="18" t="s">
        <v>6362</v>
      </c>
      <c r="E12551" s="18" t="s">
        <v>57002</v>
      </c>
      <c r="F12551" s="18" t="str">
        <f>IFERROR(__XLUDF.DUMMYFUNCTION("PROPER(REGEXREPLACE(D184,""[^A-Za-z]+ "",""""))"),"Mastore")</f>
        <v>Mastore</v>
      </c>
      <c r="G12551" s="18" t="s">
        <v>57003</v>
      </c>
      <c r="H12551" s="18">
        <v>29</v>
      </c>
      <c r="I12551" s="18" t="s">
        <v>9239</v>
      </c>
      <c r="J12551" s="18" t="str">
        <f>IFERROR(__XLUDF.DUMMYFUNCTION("VLOOKUP(H184,IMPORTRANGE(""https://docs.google.com/spreadsheets/d/1opm6ZNvGZ7KditA9TuJwrZ25eFLfTNIkrNnY6mhV5Eg"",""list!A1:C115""),3,TRUE)"),"le secteur de la construction")</f>
        <v xml:space="preserve">le secteur de la construction</v>
      </c>
      <c r="K12551" s="5" t="s">
        <v>57004</v>
      </c>
      <c r="L12551" s="5" t="s">
        <v>57005</v>
      </c>
      <c r="M12551" s="18" t="s">
        <v>185</v>
      </c>
      <c r="N12551" s="18" t="s">
        <v>29</v>
      </c>
      <c r="O12551" s="18" t="s">
        <v>29801</v>
      </c>
      <c r="P12551" s="18" t="s">
        <v>29</v>
      </c>
      <c r="Q12551" s="18" t="s">
        <v>57006</v>
      </c>
      <c r="R12551" s="18">
        <v>0.95729380689999999</v>
      </c>
    </row>
    <row r="12552" ht="14.25">
      <c r="B12552" s="18" t="s">
        <v>2119</v>
      </c>
      <c r="C12552" s="18" t="s">
        <v>3565</v>
      </c>
      <c r="D12552" s="18" t="s">
        <v>7339</v>
      </c>
      <c r="E12552" s="18" t="s">
        <v>57007</v>
      </c>
      <c r="F12552" s="18" t="str">
        <f>IFERROR(__XLUDF.DUMMYFUNCTION("PROPER(REGEXREPLACE(D185,""[^A-Za-z]+ "",""""))"),"Lbge")</f>
        <v>Lbge</v>
      </c>
      <c r="G12552" s="18" t="s">
        <v>57008</v>
      </c>
      <c r="H12552" s="18">
        <v>21</v>
      </c>
      <c r="I12552" s="18" t="s">
        <v>9239</v>
      </c>
      <c r="J12552" s="18" t="str">
        <f>IFERROR(__XLUDF.DUMMYFUNCTION("VLOOKUP(H185,IMPORTRANGE(""https://docs.google.com/spreadsheets/d/1opm6ZNvGZ7KditA9TuJwrZ25eFLfTNIkrNnY6mhV5Eg"",""list!A1:C115""),3,TRUE)"),"le secteur de la construction")</f>
        <v xml:space="preserve">le secteur de la construction</v>
      </c>
      <c r="K12552" s="5" t="s">
        <v>57009</v>
      </c>
      <c r="L12552" s="5" t="s">
        <v>57010</v>
      </c>
      <c r="M12552" s="18" t="s">
        <v>5376</v>
      </c>
      <c r="N12552" s="18" t="s">
        <v>29</v>
      </c>
      <c r="O12552" s="18" t="s">
        <v>57011</v>
      </c>
      <c r="P12552" s="18" t="s">
        <v>29</v>
      </c>
      <c r="Q12552" s="6"/>
      <c r="R12552" s="18">
        <v>0.64768414419999998</v>
      </c>
    </row>
    <row r="12553" ht="14.25">
      <c r="B12553" s="18" t="s">
        <v>2771</v>
      </c>
      <c r="C12553" s="18" t="s">
        <v>57012</v>
      </c>
      <c r="D12553" s="18" t="s">
        <v>5400</v>
      </c>
      <c r="E12553" s="18" t="s">
        <v>57013</v>
      </c>
      <c r="F12553" s="18" t="str">
        <f>IFERROR(__XLUDF.DUMMYFUNCTION("PROPER(REGEXREPLACE(D186,""[^A-Za-z]+ "",""""))"),"Sociétnouvelle De Travaux Publics Et Particuliers")</f>
        <v xml:space="preserve">Sociétnouvelle De Travaux Publics Et Particuliers</v>
      </c>
      <c r="G12553" s="18" t="s">
        <v>57014</v>
      </c>
      <c r="H12553" s="18">
        <v>60</v>
      </c>
      <c r="I12553" s="18" t="s">
        <v>9239</v>
      </c>
      <c r="J12553" s="18" t="str">
        <f>IFERROR(__XLUDF.DUMMYFUNCTION("VLOOKUP(H186,IMPORTRANGE(""https://docs.google.com/spreadsheets/d/1opm6ZNvGZ7KditA9TuJwrZ25eFLfTNIkrNnY6mhV5Eg"",""list!A1:C115""),3,TRUE)"),"le secteur de la construction")</f>
        <v xml:space="preserve">le secteur de la construction</v>
      </c>
      <c r="K12553" s="5" t="s">
        <v>57015</v>
      </c>
      <c r="L12553" s="5" t="s">
        <v>57016</v>
      </c>
      <c r="M12553" s="6"/>
      <c r="N12553" s="18" t="s">
        <v>29</v>
      </c>
      <c r="O12553" s="18" t="s">
        <v>57017</v>
      </c>
      <c r="P12553" s="18" t="s">
        <v>29</v>
      </c>
      <c r="Q12553" s="6"/>
      <c r="R12553" s="18">
        <v>0.83934592409999997</v>
      </c>
    </row>
    <row r="12554" ht="14.25">
      <c r="B12554" s="18" t="s">
        <v>206</v>
      </c>
      <c r="C12554" s="18" t="s">
        <v>57018</v>
      </c>
      <c r="D12554" s="18" t="s">
        <v>172</v>
      </c>
      <c r="E12554" s="18" t="s">
        <v>57019</v>
      </c>
      <c r="F12554" s="18" t="str">
        <f>IFERROR(__XLUDF.DUMMYFUNCTION("PROPER(REGEXREPLACE(D187,""[^A-Za-z]+ "",""""))"),"Kerleroux")</f>
        <v>Kerleroux</v>
      </c>
      <c r="G12554" s="18" t="s">
        <v>57020</v>
      </c>
      <c r="H12554" s="18">
        <v>57</v>
      </c>
      <c r="I12554" s="18" t="s">
        <v>9239</v>
      </c>
      <c r="J12554" s="18" t="str">
        <f>IFERROR(__XLUDF.DUMMYFUNCTION("VLOOKUP(H187,IMPORTRANGE(""https://docs.google.com/spreadsheets/d/1opm6ZNvGZ7KditA9TuJwrZ25eFLfTNIkrNnY6mhV5Eg"",""list!A1:C115""),3,TRUE)"),"le secteur de la construction")</f>
        <v xml:space="preserve">le secteur de la construction</v>
      </c>
      <c r="K12554" s="5" t="s">
        <v>57021</v>
      </c>
      <c r="L12554" s="5" t="s">
        <v>57022</v>
      </c>
      <c r="M12554" s="18" t="s">
        <v>439</v>
      </c>
      <c r="N12554" s="18" t="s">
        <v>29</v>
      </c>
      <c r="O12554" s="18" t="s">
        <v>57023</v>
      </c>
      <c r="P12554" s="18" t="s">
        <v>29</v>
      </c>
      <c r="Q12554" s="18" t="s">
        <v>57024</v>
      </c>
      <c r="R12554" s="18">
        <v>0.73872419950000001</v>
      </c>
    </row>
    <row r="12555" ht="14.25">
      <c r="B12555" s="18" t="s">
        <v>21692</v>
      </c>
      <c r="C12555" s="18" t="s">
        <v>57025</v>
      </c>
      <c r="D12555" s="18" t="s">
        <v>6362</v>
      </c>
      <c r="E12555" s="18" t="s">
        <v>57026</v>
      </c>
      <c r="F12555" s="18" t="str">
        <f>IFERROR(__XLUDF.DUMMYFUNCTION("PROPER(REGEXREPLACE(D188,""[^A-Za-z]+ "",""""))"),"Md Construction")</f>
        <v xml:space="preserve">Md Construction</v>
      </c>
      <c r="G12555" s="18" t="s">
        <v>57027</v>
      </c>
      <c r="H12555" s="18">
        <v>35</v>
      </c>
      <c r="I12555" s="18" t="s">
        <v>9239</v>
      </c>
      <c r="J12555" s="18" t="str">
        <f>IFERROR(__XLUDF.DUMMYFUNCTION("VLOOKUP(H188,IMPORTRANGE(""https://docs.google.com/spreadsheets/d/1opm6ZNvGZ7KditA9TuJwrZ25eFLfTNIkrNnY6mhV5Eg"",""list!A1:C115""),3,TRUE)"),"le secteur de la construction")</f>
        <v xml:space="preserve">le secteur de la construction</v>
      </c>
      <c r="K12555" s="5" t="s">
        <v>57028</v>
      </c>
      <c r="L12555" s="5" t="s">
        <v>57029</v>
      </c>
      <c r="M12555" s="18" t="s">
        <v>11525</v>
      </c>
      <c r="N12555" s="18" t="s">
        <v>29</v>
      </c>
      <c r="O12555" s="18" t="s">
        <v>57030</v>
      </c>
      <c r="P12555" s="18" t="s">
        <v>29</v>
      </c>
      <c r="Q12555" s="6"/>
      <c r="R12555" s="18">
        <v>0.54963629179999995</v>
      </c>
    </row>
    <row r="12556" ht="14.25">
      <c r="B12556" s="18" t="s">
        <v>110</v>
      </c>
      <c r="C12556" s="18" t="s">
        <v>51489</v>
      </c>
      <c r="D12556" s="18" t="s">
        <v>57031</v>
      </c>
      <c r="E12556" s="18" t="s">
        <v>57032</v>
      </c>
      <c r="F12556" s="18" t="str">
        <f>IFERROR(__XLUDF.DUMMYFUNCTION("PROPER(REGEXREPLACE(D189,""[^A-Za-z]+ "",""""))"),"Mateos Electricite")</f>
        <v xml:space="preserve">Mateos Electricite</v>
      </c>
      <c r="G12556" s="18" t="s">
        <v>57033</v>
      </c>
      <c r="H12556" s="18">
        <v>83</v>
      </c>
      <c r="I12556" s="18" t="s">
        <v>9239</v>
      </c>
      <c r="J12556" s="18" t="str">
        <f>IFERROR(__XLUDF.DUMMYFUNCTION("VLOOKUP(H189,IMPORTRANGE(""https://docs.google.com/spreadsheets/d/1opm6ZNvGZ7KditA9TuJwrZ25eFLfTNIkrNnY6mhV5Eg"",""list!A1:C115""),3,TRUE)"),"le secteur de la construction")</f>
        <v xml:space="preserve">le secteur de la construction</v>
      </c>
      <c r="K12556" s="5" t="s">
        <v>57034</v>
      </c>
      <c r="L12556" s="5" t="s">
        <v>57035</v>
      </c>
      <c r="M12556" s="18" t="s">
        <v>243</v>
      </c>
      <c r="N12556" s="18" t="s">
        <v>29</v>
      </c>
      <c r="O12556" s="18" t="s">
        <v>57036</v>
      </c>
      <c r="P12556" s="18" t="s">
        <v>29</v>
      </c>
      <c r="Q12556" s="18" t="s">
        <v>57037</v>
      </c>
      <c r="R12556" s="18">
        <v>0.757237084</v>
      </c>
    </row>
    <row r="12557" ht="14.25">
      <c r="B12557" s="18" t="s">
        <v>110</v>
      </c>
      <c r="C12557" s="18" t="s">
        <v>57038</v>
      </c>
      <c r="D12557" s="18" t="s">
        <v>1130</v>
      </c>
      <c r="E12557" s="18" t="s">
        <v>57039</v>
      </c>
      <c r="F12557" s="18" t="str">
        <f>IFERROR(__XLUDF.DUMMYFUNCTION("PROPER(REGEXREPLACE(D190,""[^A-Za-z]+ "",""""))"),"Viater")</f>
        <v>Viater</v>
      </c>
      <c r="G12557" s="18" t="s">
        <v>57040</v>
      </c>
      <c r="H12557" s="18">
        <v>61</v>
      </c>
      <c r="I12557" s="18" t="s">
        <v>9239</v>
      </c>
      <c r="J12557" s="18" t="str">
        <f>IFERROR(__XLUDF.DUMMYFUNCTION("VLOOKUP(H190,IMPORTRANGE(""https://docs.google.com/spreadsheets/d/1opm6ZNvGZ7KditA9TuJwrZ25eFLfTNIkrNnY6mhV5Eg"",""list!A1:C115""),3,TRUE)"),"le secteur de la construction")</f>
        <v xml:space="preserve">le secteur de la construction</v>
      </c>
      <c r="K12557" s="5" t="s">
        <v>57041</v>
      </c>
      <c r="L12557" s="5" t="s">
        <v>57042</v>
      </c>
      <c r="M12557" s="18" t="s">
        <v>2110</v>
      </c>
      <c r="N12557" s="18" t="s">
        <v>29</v>
      </c>
      <c r="O12557" s="18" t="s">
        <v>57043</v>
      </c>
      <c r="P12557" s="18" t="s">
        <v>29</v>
      </c>
      <c r="Q12557" s="18" t="s">
        <v>57044</v>
      </c>
      <c r="R12557" s="18">
        <v>0.94435792829999998</v>
      </c>
    </row>
    <row r="12558" ht="14.25">
      <c r="B12558" s="18" t="s">
        <v>986</v>
      </c>
      <c r="C12558" s="18" t="s">
        <v>57045</v>
      </c>
      <c r="D12558" s="18" t="s">
        <v>1130</v>
      </c>
      <c r="E12558" s="18" t="s">
        <v>57046</v>
      </c>
      <c r="F12558" s="18" t="str">
        <f>IFERROR(__XLUDF.DUMMYFUNCTION("PROPER(REGEXREPLACE(D191,""[^A-Za-z]+ "",""""))"),"Eccs")</f>
        <v>Eccs</v>
      </c>
      <c r="G12558" s="18" t="s">
        <v>57047</v>
      </c>
      <c r="H12558" s="18">
        <v>120</v>
      </c>
      <c r="I12558" s="18" t="s">
        <v>9239</v>
      </c>
      <c r="J12558" s="18" t="str">
        <f>IFERROR(__XLUDF.DUMMYFUNCTION("VLOOKUP(H191,IMPORTRANGE(""https://docs.google.com/spreadsheets/d/1opm6ZNvGZ7KditA9TuJwrZ25eFLfTNIkrNnY6mhV5Eg"",""list!A1:C115""),3,TRUE)"),"le secteur de la construction")</f>
        <v xml:space="preserve">le secteur de la construction</v>
      </c>
      <c r="K12558" s="5" t="s">
        <v>57048</v>
      </c>
      <c r="L12558" s="5" t="s">
        <v>57049</v>
      </c>
      <c r="M12558" s="18" t="s">
        <v>8027</v>
      </c>
      <c r="N12558" s="18" t="s">
        <v>29</v>
      </c>
      <c r="O12558" s="18" t="s">
        <v>57050</v>
      </c>
      <c r="P12558" s="18" t="s">
        <v>29</v>
      </c>
      <c r="Q12558" s="6"/>
      <c r="R12558" s="18">
        <v>0.2415947034</v>
      </c>
    </row>
    <row r="12559" ht="14.25">
      <c r="B12559" s="18" t="s">
        <v>110</v>
      </c>
      <c r="C12559" s="18" t="s">
        <v>51625</v>
      </c>
      <c r="D12559" s="18" t="s">
        <v>460</v>
      </c>
      <c r="E12559" s="18" t="s">
        <v>52150</v>
      </c>
      <c r="F12559" s="18" t="str">
        <f>IFERROR(__XLUDF.DUMMYFUNCTION("PROPER(REGEXREPLACE(D192,""[^A-Za-z]+ "",""""))"),"Isosign Sécuritroutière")</f>
        <v xml:space="preserve">Isosign Sécuritroutière</v>
      </c>
      <c r="G12559" s="18" t="s">
        <v>57051</v>
      </c>
      <c r="H12559" s="18">
        <v>54</v>
      </c>
      <c r="I12559" s="18" t="s">
        <v>9239</v>
      </c>
      <c r="J12559" s="18" t="str">
        <f>IFERROR(__XLUDF.DUMMYFUNCTION("VLOOKUP(H192,IMPORTRANGE(""https://docs.google.com/spreadsheets/d/1opm6ZNvGZ7KditA9TuJwrZ25eFLfTNIkrNnY6mhV5Eg"",""list!A1:C115""),3,TRUE)"),"le secteur de la construction")</f>
        <v xml:space="preserve">le secteur de la construction</v>
      </c>
      <c r="K12559" s="5" t="s">
        <v>57052</v>
      </c>
      <c r="L12559" s="5" t="s">
        <v>57053</v>
      </c>
      <c r="M12559" s="18" t="s">
        <v>57054</v>
      </c>
      <c r="N12559" s="18" t="s">
        <v>29</v>
      </c>
      <c r="O12559" s="18" t="s">
        <v>52154</v>
      </c>
      <c r="P12559" s="18" t="s">
        <v>29</v>
      </c>
      <c r="Q12559" s="6"/>
      <c r="R12559" s="18">
        <v>0.34151779030000001</v>
      </c>
    </row>
    <row r="12560" ht="14.25">
      <c r="B12560" s="18" t="s">
        <v>110</v>
      </c>
      <c r="C12560" s="18" t="s">
        <v>57055</v>
      </c>
      <c r="D12560" s="18" t="s">
        <v>57056</v>
      </c>
      <c r="E12560" s="18" t="s">
        <v>56887</v>
      </c>
      <c r="F12560" s="18" t="str">
        <f>IFERROR(__XLUDF.DUMMYFUNCTION("PROPER(REGEXREPLACE(D193,""[^A-Za-z]+ "",""""))"),"Iliade Ingénierie")</f>
        <v xml:space="preserve">Iliade Ingénierie</v>
      </c>
      <c r="G12560" s="18" t="s">
        <v>57057</v>
      </c>
      <c r="H12560" s="18">
        <v>62</v>
      </c>
      <c r="I12560" s="18" t="s">
        <v>9239</v>
      </c>
      <c r="J12560" s="18" t="str">
        <f>IFERROR(__XLUDF.DUMMYFUNCTION("VLOOKUP(H193,IMPORTRANGE(""https://docs.google.com/spreadsheets/d/1opm6ZNvGZ7KditA9TuJwrZ25eFLfTNIkrNnY6mhV5Eg"",""list!A1:C115""),3,TRUE)"),"le secteur de la construction")</f>
        <v xml:space="preserve">le secteur de la construction</v>
      </c>
      <c r="K12560" s="5" t="s">
        <v>57058</v>
      </c>
      <c r="L12560" s="5" t="s">
        <v>56890</v>
      </c>
      <c r="M12560" s="18" t="s">
        <v>19976</v>
      </c>
      <c r="N12560" s="18" t="s">
        <v>29</v>
      </c>
      <c r="O12560" s="18" t="s">
        <v>56891</v>
      </c>
      <c r="P12560" s="18" t="s">
        <v>29</v>
      </c>
      <c r="Q12560" s="18" t="s">
        <v>56892</v>
      </c>
      <c r="R12560" s="18">
        <v>0.7783045757</v>
      </c>
    </row>
    <row r="12561" ht="14.25">
      <c r="B12561" s="18" t="s">
        <v>110</v>
      </c>
      <c r="C12561" s="18" t="s">
        <v>42674</v>
      </c>
      <c r="D12561" s="18" t="s">
        <v>57059</v>
      </c>
      <c r="E12561" s="18" t="s">
        <v>57060</v>
      </c>
      <c r="F12561" s="18" t="str">
        <f>IFERROR(__XLUDF.DUMMYFUNCTION("PROPER(REGEXREPLACE(D194,""[^A-Za-z]+ "",""""))"),"Anéo")</f>
        <v>Anéo</v>
      </c>
      <c r="G12561" s="18" t="s">
        <v>57061</v>
      </c>
      <c r="H12561" s="18">
        <v>22</v>
      </c>
      <c r="I12561" s="18" t="s">
        <v>9239</v>
      </c>
      <c r="J12561" s="18" t="str">
        <f>IFERROR(__XLUDF.DUMMYFUNCTION("VLOOKUP(H194,IMPORTRANGE(""https://docs.google.com/spreadsheets/d/1opm6ZNvGZ7KditA9TuJwrZ25eFLfTNIkrNnY6mhV5Eg"",""list!A1:C115""),3,TRUE)"),"le secteur de la construction")</f>
        <v xml:space="preserve">le secteur de la construction</v>
      </c>
      <c r="K12561" s="5" t="s">
        <v>57062</v>
      </c>
      <c r="L12561" s="5" t="s">
        <v>57063</v>
      </c>
      <c r="M12561" s="18" t="s">
        <v>482</v>
      </c>
      <c r="N12561" s="18" t="s">
        <v>29</v>
      </c>
      <c r="O12561" s="18" t="s">
        <v>29841</v>
      </c>
      <c r="P12561" s="18" t="s">
        <v>29</v>
      </c>
      <c r="Q12561" s="18" t="s">
        <v>57064</v>
      </c>
      <c r="R12561" s="18">
        <v>0.97844644879999998</v>
      </c>
    </row>
    <row r="12562" ht="14.25">
      <c r="B12562" s="18" t="s">
        <v>110</v>
      </c>
      <c r="C12562" s="18" t="s">
        <v>57065</v>
      </c>
      <c r="D12562" s="18" t="s">
        <v>1130</v>
      </c>
      <c r="E12562" s="18" t="s">
        <v>57066</v>
      </c>
      <c r="F12562" s="18" t="str">
        <f>IFERROR(__XLUDF.DUMMYFUNCTION("PROPER(REGEXREPLACE(D195,""[^A-Za-z]+ "",""""))"),"Qovans®")</f>
        <v>Qovans®</v>
      </c>
      <c r="G12562" s="18" t="s">
        <v>57067</v>
      </c>
      <c r="H12562" s="18">
        <v>64</v>
      </c>
      <c r="I12562" s="18" t="s">
        <v>9239</v>
      </c>
      <c r="J12562" s="18" t="str">
        <f>IFERROR(__XLUDF.DUMMYFUNCTION("VLOOKUP(H195,IMPORTRANGE(""https://docs.google.com/spreadsheets/d/1opm6ZNvGZ7KditA9TuJwrZ25eFLfTNIkrNnY6mhV5Eg"",""list!A1:C115""),3,TRUE)"),"le secteur de la construction")</f>
        <v xml:space="preserve">le secteur de la construction</v>
      </c>
      <c r="K12562" s="5" t="s">
        <v>57068</v>
      </c>
      <c r="L12562" s="5" t="s">
        <v>57069</v>
      </c>
      <c r="M12562" s="18" t="s">
        <v>6954</v>
      </c>
      <c r="N12562" s="18" t="s">
        <v>29</v>
      </c>
      <c r="O12562" s="18" t="s">
        <v>57070</v>
      </c>
      <c r="P12562" s="18" t="s">
        <v>29</v>
      </c>
      <c r="Q12562" s="18" t="s">
        <v>57071</v>
      </c>
      <c r="R12562" s="18">
        <v>0.026003928839999999</v>
      </c>
    </row>
    <row r="12563" ht="14.25">
      <c r="B12563" s="18" t="s">
        <v>110</v>
      </c>
      <c r="C12563" s="18" t="s">
        <v>57072</v>
      </c>
      <c r="D12563" s="18" t="s">
        <v>426</v>
      </c>
      <c r="E12563" s="18" t="s">
        <v>57073</v>
      </c>
      <c r="F12563" s="18" t="str">
        <f>IFERROR(__XLUDF.DUMMYFUNCTION("PROPER(REGEXREPLACE(D196,""[^A-Za-z]+ "",""""))"),"Unifer")</f>
        <v>Unifer</v>
      </c>
      <c r="G12563" s="18" t="s">
        <v>57074</v>
      </c>
      <c r="H12563" s="18">
        <v>110</v>
      </c>
      <c r="I12563" s="18" t="s">
        <v>9239</v>
      </c>
      <c r="J12563" s="18" t="str">
        <f>IFERROR(__XLUDF.DUMMYFUNCTION("VLOOKUP(H196,IMPORTRANGE(""https://docs.google.com/spreadsheets/d/1opm6ZNvGZ7KditA9TuJwrZ25eFLfTNIkrNnY6mhV5Eg"",""list!A1:C115""),3,TRUE)"),"le secteur de la construction")</f>
        <v xml:space="preserve">le secteur de la construction</v>
      </c>
      <c r="K12563" s="5" t="s">
        <v>57075</v>
      </c>
      <c r="L12563" s="5" t="s">
        <v>57076</v>
      </c>
      <c r="M12563" s="6"/>
      <c r="N12563" s="18" t="s">
        <v>29</v>
      </c>
      <c r="O12563" s="18" t="s">
        <v>45943</v>
      </c>
      <c r="P12563" s="18" t="s">
        <v>29</v>
      </c>
      <c r="Q12563" s="18" t="s">
        <v>57077</v>
      </c>
      <c r="R12563" s="18">
        <v>0.87567174650000001</v>
      </c>
    </row>
    <row r="12564" ht="14.25">
      <c r="B12564" s="18" t="s">
        <v>110</v>
      </c>
      <c r="C12564" s="18" t="s">
        <v>57078</v>
      </c>
      <c r="D12564" s="18" t="s">
        <v>62</v>
      </c>
      <c r="E12564" s="18" t="s">
        <v>56113</v>
      </c>
      <c r="F12564" s="18" t="str">
        <f>IFERROR(__XLUDF.DUMMYFUNCTION("PROPER(REGEXREPLACE(D197,""[^A-Za-z]+ "",""""))"),"Mon Concept Habitation")</f>
        <v xml:space="preserve">Mon Concept Habitation</v>
      </c>
      <c r="G12564" s="18" t="s">
        <v>57079</v>
      </c>
      <c r="H12564" s="18">
        <v>74</v>
      </c>
      <c r="I12564" s="18" t="s">
        <v>9239</v>
      </c>
      <c r="J12564" s="18" t="str">
        <f>IFERROR(__XLUDF.DUMMYFUNCTION("VLOOKUP(H197,IMPORTRANGE(""https://docs.google.com/spreadsheets/d/1opm6ZNvGZ7KditA9TuJwrZ25eFLfTNIkrNnY6mhV5Eg"",""list!A1:C115""),3,TRUE)"),"le secteur de la construction")</f>
        <v xml:space="preserve">le secteur de la construction</v>
      </c>
      <c r="K12564" s="5" t="s">
        <v>57080</v>
      </c>
      <c r="L12564" s="5" t="s">
        <v>56116</v>
      </c>
      <c r="M12564" s="18" t="s">
        <v>39</v>
      </c>
      <c r="N12564" s="18" t="s">
        <v>29</v>
      </c>
      <c r="O12564" s="18" t="s">
        <v>56117</v>
      </c>
      <c r="P12564" s="18" t="s">
        <v>29</v>
      </c>
      <c r="Q12564" s="18" t="s">
        <v>56118</v>
      </c>
      <c r="R12564" s="18">
        <v>0.107518193</v>
      </c>
    </row>
    <row r="12565" ht="14.25">
      <c r="B12565" s="18" t="s">
        <v>110</v>
      </c>
      <c r="C12565" s="18" t="s">
        <v>1572</v>
      </c>
      <c r="D12565" s="18" t="s">
        <v>57081</v>
      </c>
      <c r="E12565" s="18" t="s">
        <v>57082</v>
      </c>
      <c r="F12565" s="18" t="str">
        <f>IFERROR(__XLUDF.DUMMYFUNCTION("PROPER(REGEXREPLACE(D198,""[^A-Za-z]+ "",""""))"),"Roof")</f>
        <v>Roof</v>
      </c>
      <c r="G12565" s="18" t="s">
        <v>57083</v>
      </c>
      <c r="H12565" s="18">
        <v>52</v>
      </c>
      <c r="I12565" s="18" t="s">
        <v>9239</v>
      </c>
      <c r="J12565" s="18" t="str">
        <f>IFERROR(__XLUDF.DUMMYFUNCTION("VLOOKUP(H198,IMPORTRANGE(""https://docs.google.com/spreadsheets/d/1opm6ZNvGZ7KditA9TuJwrZ25eFLfTNIkrNnY6mhV5Eg"",""list!A1:C115""),3,TRUE)"),"le secteur de la construction")</f>
        <v xml:space="preserve">le secteur de la construction</v>
      </c>
      <c r="K12565" s="5" t="s">
        <v>57084</v>
      </c>
      <c r="L12565" s="5" t="s">
        <v>57085</v>
      </c>
      <c r="M12565" s="18" t="s">
        <v>39</v>
      </c>
      <c r="N12565" s="18" t="s">
        <v>29</v>
      </c>
      <c r="O12565" s="18" t="s">
        <v>57086</v>
      </c>
      <c r="P12565" s="18" t="s">
        <v>1938</v>
      </c>
      <c r="Q12565" s="6"/>
      <c r="R12565" s="18">
        <v>0.54326503839999996</v>
      </c>
    </row>
    <row r="12566" ht="14.25">
      <c r="B12566" s="18" t="s">
        <v>110</v>
      </c>
      <c r="C12566" s="18" t="s">
        <v>639</v>
      </c>
      <c r="D12566" s="18" t="s">
        <v>112</v>
      </c>
      <c r="E12566" s="18" t="s">
        <v>57087</v>
      </c>
      <c r="F12566" s="18" t="str">
        <f>IFERROR(__XLUDF.DUMMYFUNCTION("PROPER(REGEXREPLACE(D199,""[^A-Za-z]+ "",""""))"),"Rp France")</f>
        <v xml:space="preserve">Rp France</v>
      </c>
      <c r="G12566" s="18" t="s">
        <v>57088</v>
      </c>
      <c r="H12566" s="18">
        <v>140</v>
      </c>
      <c r="I12566" s="18" t="s">
        <v>9239</v>
      </c>
      <c r="J12566" s="18" t="str">
        <f>IFERROR(__XLUDF.DUMMYFUNCTION("VLOOKUP(H199,IMPORTRANGE(""https://docs.google.com/spreadsheets/d/1opm6ZNvGZ7KditA9TuJwrZ25eFLfTNIkrNnY6mhV5Eg"",""list!A1:C115""),3,TRUE)"),"le secteur de la construction")</f>
        <v xml:space="preserve">le secteur de la construction</v>
      </c>
      <c r="K12566" s="5" t="s">
        <v>57089</v>
      </c>
      <c r="L12566" s="5" t="s">
        <v>57090</v>
      </c>
      <c r="M12566" s="18" t="s">
        <v>6777</v>
      </c>
      <c r="N12566" s="18" t="s">
        <v>29</v>
      </c>
      <c r="O12566" s="18" t="s">
        <v>57091</v>
      </c>
      <c r="P12566" s="18" t="s">
        <v>29</v>
      </c>
      <c r="Q12566" s="18" t="s">
        <v>57092</v>
      </c>
      <c r="R12566" s="18">
        <v>0.4984911206</v>
      </c>
    </row>
    <row r="12567" ht="14.25">
      <c r="B12567" s="18" t="s">
        <v>57093</v>
      </c>
      <c r="C12567" s="18" t="s">
        <v>57094</v>
      </c>
      <c r="D12567" s="18" t="s">
        <v>172</v>
      </c>
      <c r="E12567" s="18" t="s">
        <v>57095</v>
      </c>
      <c r="F12567" s="18" t="str">
        <f>IFERROR(__XLUDF.DUMMYFUNCTION("PROPER(REGEXREPLACE(D200,""[^A-Za-z]+ "",""""))"),"Defi")</f>
        <v>Defi</v>
      </c>
      <c r="G12567" s="18" t="s">
        <v>57096</v>
      </c>
      <c r="H12567" s="18">
        <v>60</v>
      </c>
      <c r="I12567" s="18" t="s">
        <v>9239</v>
      </c>
      <c r="J12567" s="18" t="str">
        <f>IFERROR(__XLUDF.DUMMYFUNCTION("VLOOKUP(H200,IMPORTRANGE(""https://docs.google.com/spreadsheets/d/1opm6ZNvGZ7KditA9TuJwrZ25eFLfTNIkrNnY6mhV5Eg"",""list!A1:C115""),3,TRUE)"),"le secteur de la construction")</f>
        <v xml:space="preserve">le secteur de la construction</v>
      </c>
      <c r="K12567" s="5" t="s">
        <v>57097</v>
      </c>
      <c r="L12567" s="5" t="s">
        <v>57098</v>
      </c>
      <c r="M12567" s="6"/>
      <c r="N12567" s="18" t="s">
        <v>29</v>
      </c>
      <c r="O12567" s="18" t="s">
        <v>57099</v>
      </c>
      <c r="P12567" s="18" t="s">
        <v>29</v>
      </c>
      <c r="Q12567" s="18" t="s">
        <v>57100</v>
      </c>
      <c r="R12567" s="18">
        <v>0.94148136439999996</v>
      </c>
    </row>
    <row r="12568" ht="14.25">
      <c r="B12568" s="18" t="s">
        <v>330</v>
      </c>
      <c r="C12568" s="18" t="s">
        <v>57101</v>
      </c>
      <c r="D12568" s="18" t="s">
        <v>112</v>
      </c>
      <c r="E12568" s="18" t="s">
        <v>57102</v>
      </c>
      <c r="F12568" s="18" t="str">
        <f>IFERROR(__XLUDF.DUMMYFUNCTION("PROPER(REGEXREPLACE(D201,""[^A-Za-z]+ "",""""))"),"B27")</f>
        <v>B27</v>
      </c>
      <c r="G12568" s="18" t="s">
        <v>57103</v>
      </c>
      <c r="H12568" s="18">
        <v>99</v>
      </c>
      <c r="I12568" s="18" t="s">
        <v>9239</v>
      </c>
      <c r="J12568" s="18" t="str">
        <f>IFERROR(__XLUDF.DUMMYFUNCTION("VLOOKUP(H201,IMPORTRANGE(""https://docs.google.com/spreadsheets/d/1opm6ZNvGZ7KditA9TuJwrZ25eFLfTNIkrNnY6mhV5Eg"",""list!A1:C115""),3,TRUE)"),"le secteur de la construction")</f>
        <v xml:space="preserve">le secteur de la construction</v>
      </c>
      <c r="K12568" s="5" t="s">
        <v>57104</v>
      </c>
      <c r="L12568" s="5" t="s">
        <v>57105</v>
      </c>
      <c r="M12568" s="18" t="s">
        <v>827</v>
      </c>
      <c r="N12568" s="18" t="s">
        <v>29</v>
      </c>
      <c r="O12568" s="18" t="s">
        <v>67</v>
      </c>
      <c r="P12568" s="18" t="s">
        <v>29</v>
      </c>
      <c r="Q12568" s="18" t="s">
        <v>57106</v>
      </c>
      <c r="R12568" s="18">
        <v>0.1076806005</v>
      </c>
    </row>
    <row r="12569" ht="14.25">
      <c r="B12569" s="18" t="s">
        <v>330</v>
      </c>
      <c r="C12569" s="18" t="s">
        <v>16264</v>
      </c>
      <c r="D12569" s="18" t="s">
        <v>112</v>
      </c>
      <c r="E12569" s="18" t="s">
        <v>57107</v>
      </c>
      <c r="F12569" s="18" t="str">
        <f>IFERROR(__XLUDF.DUMMYFUNCTION("PROPER(REGEXREPLACE(D202,""[^A-Za-z]+ "",""""))"),"Maisons France Style")</f>
        <v xml:space="preserve">Maisons France Style</v>
      </c>
      <c r="G12569" s="18" t="s">
        <v>57108</v>
      </c>
      <c r="H12569" s="18">
        <v>69</v>
      </c>
      <c r="I12569" s="18" t="s">
        <v>9239</v>
      </c>
      <c r="J12569" s="18" t="str">
        <f>IFERROR(__XLUDF.DUMMYFUNCTION("VLOOKUP(H202,IMPORTRANGE(""https://docs.google.com/spreadsheets/d/1opm6ZNvGZ7KditA9TuJwrZ25eFLfTNIkrNnY6mhV5Eg"",""list!A1:C115""),3,TRUE)"),"le secteur de la construction")</f>
        <v xml:space="preserve">le secteur de la construction</v>
      </c>
      <c r="K12569" s="5" t="s">
        <v>57109</v>
      </c>
      <c r="L12569" s="5" t="s">
        <v>57110</v>
      </c>
      <c r="M12569" s="18" t="s">
        <v>492</v>
      </c>
      <c r="N12569" s="18" t="s">
        <v>29</v>
      </c>
      <c r="O12569" s="18" t="s">
        <v>57111</v>
      </c>
      <c r="P12569" s="18" t="s">
        <v>29</v>
      </c>
      <c r="Q12569" s="18" t="s">
        <v>57112</v>
      </c>
      <c r="R12569" s="18">
        <v>0.2238705926</v>
      </c>
    </row>
    <row r="12570" ht="14.25">
      <c r="B12570" s="18" t="s">
        <v>330</v>
      </c>
      <c r="C12570" s="18" t="s">
        <v>57113</v>
      </c>
      <c r="D12570" s="18" t="s">
        <v>468</v>
      </c>
      <c r="E12570" s="18" t="s">
        <v>56584</v>
      </c>
      <c r="F12570" s="18" t="str">
        <f>IFERROR(__XLUDF.DUMMYFUNCTION("PROPER(REGEXREPLACE(D203,""[^A-Za-z]+ "",""""))"),"Ks Groupe")</f>
        <v xml:space="preserve">Ks Groupe</v>
      </c>
      <c r="G12570" s="18" t="s">
        <v>57114</v>
      </c>
      <c r="H12570" s="18">
        <v>67</v>
      </c>
      <c r="I12570" s="18" t="s">
        <v>9239</v>
      </c>
      <c r="J12570" s="18" t="str">
        <f>IFERROR(__XLUDF.DUMMYFUNCTION("VLOOKUP(H203,IMPORTRANGE(""https://docs.google.com/spreadsheets/d/1opm6ZNvGZ7KditA9TuJwrZ25eFLfTNIkrNnY6mhV5Eg"",""list!A1:C115""),3,TRUE)"),"le secteur de la construction")</f>
        <v xml:space="preserve">le secteur de la construction</v>
      </c>
      <c r="K12570" s="5" t="s">
        <v>57115</v>
      </c>
      <c r="L12570" s="5" t="s">
        <v>56587</v>
      </c>
      <c r="M12570" s="18" t="s">
        <v>651</v>
      </c>
      <c r="N12570" s="18" t="s">
        <v>29</v>
      </c>
      <c r="O12570" s="18" t="s">
        <v>56588</v>
      </c>
      <c r="P12570" s="18" t="s">
        <v>29</v>
      </c>
      <c r="Q12570" s="18" t="s">
        <v>56589</v>
      </c>
      <c r="R12570" s="18">
        <v>0.1066625665</v>
      </c>
    </row>
    <row r="12571" ht="14.25">
      <c r="B12571" s="18" t="s">
        <v>330</v>
      </c>
      <c r="C12571" s="18" t="s">
        <v>57116</v>
      </c>
      <c r="D12571" s="18" t="s">
        <v>7759</v>
      </c>
      <c r="E12571" s="18" t="s">
        <v>47663</v>
      </c>
      <c r="F12571" s="18" t="str">
        <f>IFERROR(__XLUDF.DUMMYFUNCTION("PROPER(REGEXREPLACE(D204,""[^A-Za-z]+ "",""""))"),"La Compagnie Des Toits")</f>
        <v xml:space="preserve">La Compagnie Des Toits</v>
      </c>
      <c r="G12571" s="18" t="s">
        <v>57117</v>
      </c>
      <c r="H12571" s="18">
        <v>54</v>
      </c>
      <c r="I12571" s="18" t="s">
        <v>9239</v>
      </c>
      <c r="J12571" s="18" t="str">
        <f>IFERROR(__XLUDF.DUMMYFUNCTION("VLOOKUP(H204,IMPORTRANGE(""https://docs.google.com/spreadsheets/d/1opm6ZNvGZ7KditA9TuJwrZ25eFLfTNIkrNnY6mhV5Eg"",""list!A1:C115""),3,TRUE)"),"le secteur de la construction")</f>
        <v xml:space="preserve">le secteur de la construction</v>
      </c>
      <c r="K12571" s="5" t="s">
        <v>57118</v>
      </c>
      <c r="L12571" s="5" t="s">
        <v>56732</v>
      </c>
      <c r="M12571" s="18" t="s">
        <v>492</v>
      </c>
      <c r="N12571" s="18" t="s">
        <v>29</v>
      </c>
      <c r="O12571" s="18" t="s">
        <v>47667</v>
      </c>
      <c r="P12571" s="18" t="s">
        <v>29</v>
      </c>
      <c r="Q12571" s="18" t="s">
        <v>47668</v>
      </c>
      <c r="R12571" s="18">
        <v>0.9395137214</v>
      </c>
    </row>
    <row r="12572" ht="14.25">
      <c r="B12572" s="18" t="s">
        <v>330</v>
      </c>
      <c r="C12572" s="18" t="s">
        <v>57119</v>
      </c>
      <c r="D12572" s="18" t="s">
        <v>57120</v>
      </c>
      <c r="E12572" s="18" t="s">
        <v>47663</v>
      </c>
      <c r="F12572" s="18" t="str">
        <f>IFERROR(__XLUDF.DUMMYFUNCTION("PROPER(REGEXREPLACE(D205,""[^A-Za-z]+ "",""""))"),"La Compagnie Des Toits")</f>
        <v xml:space="preserve">La Compagnie Des Toits</v>
      </c>
      <c r="G12572" s="18" t="s">
        <v>57121</v>
      </c>
      <c r="H12572" s="18">
        <v>54</v>
      </c>
      <c r="I12572" s="18" t="s">
        <v>9239</v>
      </c>
      <c r="J12572" s="18" t="str">
        <f>IFERROR(__XLUDF.DUMMYFUNCTION("VLOOKUP(H205,IMPORTRANGE(""https://docs.google.com/spreadsheets/d/1opm6ZNvGZ7KditA9TuJwrZ25eFLfTNIkrNnY6mhV5Eg"",""list!A1:C115""),3,TRUE)"),"le secteur de la construction")</f>
        <v xml:space="preserve">le secteur de la construction</v>
      </c>
      <c r="K12572" s="5" t="s">
        <v>57122</v>
      </c>
      <c r="L12572" s="5" t="s">
        <v>56732</v>
      </c>
      <c r="M12572" s="18" t="s">
        <v>1312</v>
      </c>
      <c r="N12572" s="18" t="s">
        <v>29</v>
      </c>
      <c r="O12572" s="18" t="s">
        <v>47667</v>
      </c>
      <c r="P12572" s="18" t="s">
        <v>29</v>
      </c>
      <c r="Q12572" s="18" t="s">
        <v>47668</v>
      </c>
      <c r="R12572" s="18">
        <v>0.62323409330000001</v>
      </c>
    </row>
    <row r="12573" ht="14.25">
      <c r="B12573" s="18" t="s">
        <v>330</v>
      </c>
      <c r="C12573" s="18" t="s">
        <v>57123</v>
      </c>
      <c r="D12573" s="18" t="s">
        <v>426</v>
      </c>
      <c r="E12573" s="18" t="s">
        <v>57124</v>
      </c>
      <c r="F12573" s="18" t="str">
        <f>IFERROR(__XLUDF.DUMMYFUNCTION("PROPER(REGEXREPLACE(D206,""[^A-Za-z]+ "",""""))"),"Groupe Ipelec")</f>
        <v xml:space="preserve">Groupe Ipelec</v>
      </c>
      <c r="G12573" s="18" t="s">
        <v>57125</v>
      </c>
      <c r="H12573" s="18">
        <v>66</v>
      </c>
      <c r="I12573" s="18" t="s">
        <v>9239</v>
      </c>
      <c r="J12573" s="18" t="str">
        <f>IFERROR(__XLUDF.DUMMYFUNCTION("VLOOKUP(H206,IMPORTRANGE(""https://docs.google.com/spreadsheets/d/1opm6ZNvGZ7KditA9TuJwrZ25eFLfTNIkrNnY6mhV5Eg"",""list!A1:C115""),3,TRUE)"),"le secteur de la construction")</f>
        <v xml:space="preserve">le secteur de la construction</v>
      </c>
      <c r="K12573" s="5" t="s">
        <v>57126</v>
      </c>
      <c r="L12573" s="5" t="s">
        <v>57127</v>
      </c>
      <c r="M12573" s="18" t="s">
        <v>492</v>
      </c>
      <c r="N12573" s="18" t="s">
        <v>29</v>
      </c>
      <c r="O12573" s="18" t="s">
        <v>57128</v>
      </c>
      <c r="P12573" s="18" t="s">
        <v>29</v>
      </c>
      <c r="Q12573" s="18" t="s">
        <v>57129</v>
      </c>
      <c r="R12573" s="18">
        <v>0.78378636469999996</v>
      </c>
    </row>
    <row r="12574" ht="14.25">
      <c r="B12574" s="18" t="s">
        <v>330</v>
      </c>
      <c r="C12574" s="18" t="s">
        <v>57130</v>
      </c>
      <c r="D12574" s="18" t="s">
        <v>426</v>
      </c>
      <c r="E12574" s="18" t="s">
        <v>57131</v>
      </c>
      <c r="F12574" s="18" t="str">
        <f>IFERROR(__XLUDF.DUMMYFUNCTION("PROPER(REGEXREPLACE(D207,""[^A-Za-z]+ "",""""))"),"Eribel France")</f>
        <v xml:space="preserve">Eribel France</v>
      </c>
      <c r="G12574" s="18" t="s">
        <v>57132</v>
      </c>
      <c r="H12574" s="18">
        <v>51</v>
      </c>
      <c r="I12574" s="18" t="s">
        <v>9239</v>
      </c>
      <c r="J12574" s="18" t="str">
        <f>IFERROR(__XLUDF.DUMMYFUNCTION("VLOOKUP(H207,IMPORTRANGE(""https://docs.google.com/spreadsheets/d/1opm6ZNvGZ7KditA9TuJwrZ25eFLfTNIkrNnY6mhV5Eg"",""list!A1:C115""),3,TRUE)"),"le secteur de la construction")</f>
        <v xml:space="preserve">le secteur de la construction</v>
      </c>
      <c r="K12574" s="5" t="s">
        <v>57133</v>
      </c>
      <c r="L12574" s="5" t="s">
        <v>57134</v>
      </c>
      <c r="M12574" s="18" t="s">
        <v>57135</v>
      </c>
      <c r="N12574" s="18" t="s">
        <v>29</v>
      </c>
      <c r="O12574" s="18" t="s">
        <v>57136</v>
      </c>
      <c r="P12574" s="18" t="s">
        <v>29</v>
      </c>
      <c r="Q12574" s="18" t="s">
        <v>57137</v>
      </c>
      <c r="R12574" s="18">
        <v>0.58559619139999997</v>
      </c>
    </row>
    <row r="12575" ht="14.25">
      <c r="B12575" s="18" t="s">
        <v>330</v>
      </c>
      <c r="C12575" s="18" t="s">
        <v>13511</v>
      </c>
      <c r="D12575" s="18" t="s">
        <v>6391</v>
      </c>
      <c r="E12575" s="18" t="s">
        <v>13513</v>
      </c>
      <c r="F12575" s="18" t="str">
        <f>IFERROR(__XLUDF.DUMMYFUNCTION("PROPER(REGEXREPLACE(D208,""[^A-Za-z]+ "",""""))"),"Guermonprez Storesfermetures")</f>
        <v xml:space="preserve">Guermonprez Storesfermetures</v>
      </c>
      <c r="G12575" s="18" t="s">
        <v>57138</v>
      </c>
      <c r="H12575" s="18">
        <v>38</v>
      </c>
      <c r="I12575" s="18" t="s">
        <v>9239</v>
      </c>
      <c r="J12575" s="18" t="str">
        <f>IFERROR(__XLUDF.DUMMYFUNCTION("VLOOKUP(H208,IMPORTRANGE(""https://docs.google.com/spreadsheets/d/1opm6ZNvGZ7KditA9TuJwrZ25eFLfTNIkrNnY6mhV5Eg"",""list!A1:C115""),3,TRUE)"),"le secteur de la construction")</f>
        <v xml:space="preserve">le secteur de la construction</v>
      </c>
      <c r="K12575" s="5" t="s">
        <v>57139</v>
      </c>
      <c r="L12575" s="5" t="s">
        <v>57140</v>
      </c>
      <c r="M12575" s="18" t="s">
        <v>39</v>
      </c>
      <c r="N12575" s="18" t="s">
        <v>29</v>
      </c>
      <c r="O12575" s="18" t="s">
        <v>29</v>
      </c>
      <c r="P12575" s="18" t="s">
        <v>29</v>
      </c>
      <c r="Q12575" s="18" t="s">
        <v>13517</v>
      </c>
      <c r="R12575" s="18">
        <v>0.03065922196</v>
      </c>
    </row>
    <row r="12576" ht="14.25">
      <c r="B12576" s="18" t="s">
        <v>330</v>
      </c>
      <c r="C12576" s="18" t="s">
        <v>57141</v>
      </c>
      <c r="D12576" s="18" t="s">
        <v>57142</v>
      </c>
      <c r="E12576" s="18" t="s">
        <v>57143</v>
      </c>
      <c r="F12576" s="18" t="str">
        <f>IFERROR(__XLUDF.DUMMYFUNCTION("PROPER(REGEXREPLACE(D209,""[^A-Za-z]+ "",""""))"),"Tdi")</f>
        <v>Tdi</v>
      </c>
      <c r="G12576" s="18" t="s">
        <v>57144</v>
      </c>
      <c r="H12576" s="18">
        <v>57</v>
      </c>
      <c r="I12576" s="18" t="s">
        <v>9239</v>
      </c>
      <c r="J12576" s="18" t="str">
        <f>IFERROR(__XLUDF.DUMMYFUNCTION("VLOOKUP(H209,IMPORTRANGE(""https://docs.google.com/spreadsheets/d/1opm6ZNvGZ7KditA9TuJwrZ25eFLfTNIkrNnY6mhV5Eg"",""list!A1:C115""),3,TRUE)"),"le secteur de la construction")</f>
        <v xml:space="preserve">le secteur de la construction</v>
      </c>
      <c r="K12576" s="5" t="s">
        <v>57145</v>
      </c>
      <c r="L12576" s="5" t="s">
        <v>57146</v>
      </c>
      <c r="M12576" s="6"/>
      <c r="N12576" s="18" t="s">
        <v>29</v>
      </c>
      <c r="O12576" s="18" t="s">
        <v>57147</v>
      </c>
      <c r="P12576" s="18" t="s">
        <v>1548</v>
      </c>
      <c r="Q12576" s="6"/>
      <c r="R12576" s="18">
        <v>0.96804331529999998</v>
      </c>
    </row>
    <row r="12577" ht="14.25">
      <c r="B12577" s="18" t="s">
        <v>330</v>
      </c>
      <c r="C12577" s="18" t="s">
        <v>57148</v>
      </c>
      <c r="D12577" s="18" t="s">
        <v>112</v>
      </c>
      <c r="E12577" s="18" t="s">
        <v>57149</v>
      </c>
      <c r="F12577" s="18" t="str">
        <f>IFERROR(__XLUDF.DUMMYFUNCTION("PROPER(REGEXREPLACE(D210,""[^A-Za-z]+ "",""""))"),"Tommasini Construction")</f>
        <v xml:space="preserve">Tommasini Construction</v>
      </c>
      <c r="G12577" s="18" t="s">
        <v>57150</v>
      </c>
      <c r="H12577" s="18">
        <v>88</v>
      </c>
      <c r="I12577" s="18" t="s">
        <v>9239</v>
      </c>
      <c r="J12577" s="18" t="str">
        <f>IFERROR(__XLUDF.DUMMYFUNCTION("VLOOKUP(H210,IMPORTRANGE(""https://docs.google.com/spreadsheets/d/1opm6ZNvGZ7KditA9TuJwrZ25eFLfTNIkrNnY6mhV5Eg"",""list!A1:C115""),3,TRUE)"),"le secteur de la construction")</f>
        <v xml:space="preserve">le secteur de la construction</v>
      </c>
      <c r="K12577" s="5" t="s">
        <v>57151</v>
      </c>
      <c r="L12577" s="5" t="s">
        <v>57152</v>
      </c>
      <c r="M12577" s="18" t="s">
        <v>846</v>
      </c>
      <c r="N12577" s="18" t="s">
        <v>29</v>
      </c>
      <c r="O12577" s="18" t="s">
        <v>57153</v>
      </c>
      <c r="P12577" s="18" t="s">
        <v>29</v>
      </c>
      <c r="Q12577" s="6"/>
      <c r="R12577" s="18">
        <v>0.16662090660000001</v>
      </c>
    </row>
    <row r="12578" ht="14.25">
      <c r="B12578" s="18" t="s">
        <v>330</v>
      </c>
      <c r="C12578" s="18" t="s">
        <v>57154</v>
      </c>
      <c r="D12578" s="18" t="s">
        <v>6452</v>
      </c>
      <c r="E12578" s="18" t="s">
        <v>57155</v>
      </c>
      <c r="F12578" s="18" t="str">
        <f>IFERROR(__XLUDF.DUMMYFUNCTION("PROPER(REGEXREPLACE(D211,""[^A-Za-z]+ "",""""))"),"Vernassa Electricité")</f>
        <v xml:space="preserve">Vernassa Electricité</v>
      </c>
      <c r="G12578" s="18" t="s">
        <v>57156</v>
      </c>
      <c r="H12578" s="18">
        <v>26</v>
      </c>
      <c r="I12578" s="18" t="s">
        <v>9239</v>
      </c>
      <c r="J12578" s="18" t="str">
        <f>IFERROR(__XLUDF.DUMMYFUNCTION("VLOOKUP(H211,IMPORTRANGE(""https://docs.google.com/spreadsheets/d/1opm6ZNvGZ7KditA9TuJwrZ25eFLfTNIkrNnY6mhV5Eg"",""list!A1:C115""),3,TRUE)"),"le secteur de la construction")</f>
        <v xml:space="preserve">le secteur de la construction</v>
      </c>
      <c r="K12578" s="5" t="s">
        <v>57157</v>
      </c>
      <c r="L12578" s="5" t="s">
        <v>57158</v>
      </c>
      <c r="M12578" s="18" t="s">
        <v>49</v>
      </c>
      <c r="N12578" s="18" t="s">
        <v>29</v>
      </c>
      <c r="O12578" s="18" t="s">
        <v>57159</v>
      </c>
      <c r="P12578" s="18" t="s">
        <v>29</v>
      </c>
      <c r="Q12578" s="18" t="s">
        <v>57160</v>
      </c>
      <c r="R12578" s="18">
        <v>0.91830022730000005</v>
      </c>
    </row>
    <row r="12579" ht="14.25">
      <c r="B12579" s="18" t="s">
        <v>485</v>
      </c>
      <c r="C12579" s="18" t="s">
        <v>57161</v>
      </c>
      <c r="D12579" s="18" t="s">
        <v>172</v>
      </c>
      <c r="E12579" s="18" t="s">
        <v>56894</v>
      </c>
      <c r="F12579" s="18" t="str">
        <f>IFERROR(__XLUDF.DUMMYFUNCTION("PROPER(REGEXREPLACE(D212,""[^A-Za-z]+ "",""""))"),"Groupe Galopin")</f>
        <v xml:space="preserve">Groupe Galopin</v>
      </c>
      <c r="G12579" s="18" t="s">
        <v>57162</v>
      </c>
      <c r="H12579" s="18">
        <v>69</v>
      </c>
      <c r="I12579" s="18" t="s">
        <v>9239</v>
      </c>
      <c r="J12579" s="18" t="str">
        <f>IFERROR(__XLUDF.DUMMYFUNCTION("VLOOKUP(H212,IMPORTRANGE(""https://docs.google.com/spreadsheets/d/1opm6ZNvGZ7KditA9TuJwrZ25eFLfTNIkrNnY6mhV5Eg"",""list!A1:C115""),3,TRUE)"),"le secteur de la construction")</f>
        <v xml:space="preserve">le secteur de la construction</v>
      </c>
      <c r="K12579" s="5" t="s">
        <v>57163</v>
      </c>
      <c r="L12579" s="5" t="s">
        <v>56897</v>
      </c>
      <c r="M12579" s="18" t="s">
        <v>39</v>
      </c>
      <c r="N12579" s="18" t="s">
        <v>29</v>
      </c>
      <c r="O12579" s="18" t="s">
        <v>56898</v>
      </c>
      <c r="P12579" s="18" t="s">
        <v>29</v>
      </c>
      <c r="Q12579" s="18" t="s">
        <v>56899</v>
      </c>
      <c r="R12579" s="18">
        <v>0.18624792179999999</v>
      </c>
    </row>
    <row r="12580" ht="14.25">
      <c r="B12580" s="18" t="s">
        <v>485</v>
      </c>
      <c r="C12580" s="18" t="s">
        <v>57164</v>
      </c>
      <c r="D12580" s="18" t="s">
        <v>172</v>
      </c>
      <c r="E12580" s="18" t="s">
        <v>57165</v>
      </c>
      <c r="F12580" s="18" t="str">
        <f>IFERROR(__XLUDF.DUMMYFUNCTION("PROPER(REGEXREPLACE(D213,""[^A-Za-z]+ "",""""))"),"Rampa Travaux Publics")</f>
        <v xml:space="preserve">Rampa Travaux Publics</v>
      </c>
      <c r="G12580" s="18" t="s">
        <v>57166</v>
      </c>
      <c r="H12580" s="18">
        <v>110</v>
      </c>
      <c r="I12580" s="18" t="s">
        <v>9239</v>
      </c>
      <c r="J12580" s="18" t="str">
        <f>IFERROR(__XLUDF.DUMMYFUNCTION("VLOOKUP(H213,IMPORTRANGE(""https://docs.google.com/spreadsheets/d/1opm6ZNvGZ7KditA9TuJwrZ25eFLfTNIkrNnY6mhV5Eg"",""list!A1:C115""),3,TRUE)"),"le secteur de la construction")</f>
        <v xml:space="preserve">le secteur de la construction</v>
      </c>
      <c r="K12580" s="5" t="s">
        <v>57167</v>
      </c>
      <c r="L12580" s="5" t="s">
        <v>57168</v>
      </c>
      <c r="M12580" s="6"/>
      <c r="N12580" s="18" t="s">
        <v>29</v>
      </c>
      <c r="O12580" s="18" t="s">
        <v>57169</v>
      </c>
      <c r="P12580" s="18" t="s">
        <v>29</v>
      </c>
      <c r="Q12580" s="6"/>
      <c r="R12580" s="18">
        <v>0.2269166614</v>
      </c>
    </row>
    <row r="12581" ht="14.25">
      <c r="B12581" s="18" t="s">
        <v>18616</v>
      </c>
      <c r="C12581" s="18" t="s">
        <v>57170</v>
      </c>
      <c r="D12581" s="18" t="s">
        <v>468</v>
      </c>
      <c r="E12581" s="18" t="s">
        <v>57171</v>
      </c>
      <c r="F12581" s="18" t="str">
        <f>IFERROR(__XLUDF.DUMMYFUNCTION("PROPER(REGEXREPLACE(D214,""[^A-Za-z]+ "",""""))"),"Zub S.A")</f>
        <v xml:space="preserve">Zub S.A</v>
      </c>
      <c r="G12581" s="18" t="s">
        <v>57172</v>
      </c>
      <c r="H12581" s="18">
        <v>68</v>
      </c>
      <c r="I12581" s="18" t="s">
        <v>9239</v>
      </c>
      <c r="J12581" s="18" t="str">
        <f>IFERROR(__XLUDF.DUMMYFUNCTION("VLOOKUP(H214,IMPORTRANGE(""https://docs.google.com/spreadsheets/d/1opm6ZNvGZ7KditA9TuJwrZ25eFLfTNIkrNnY6mhV5Eg"",""list!A1:C115""),3,TRUE)"),"le secteur de la construction")</f>
        <v xml:space="preserve">le secteur de la construction</v>
      </c>
      <c r="K12581" s="5" t="s">
        <v>57173</v>
      </c>
      <c r="L12581" s="5" t="s">
        <v>57174</v>
      </c>
      <c r="M12581" s="6"/>
      <c r="N12581" s="18" t="s">
        <v>29</v>
      </c>
      <c r="O12581" s="18" t="s">
        <v>57175</v>
      </c>
      <c r="P12581" s="18" t="s">
        <v>29</v>
      </c>
      <c r="Q12581" s="6"/>
      <c r="R12581" s="18">
        <v>0.068134488889999997</v>
      </c>
    </row>
    <row r="12582" ht="14.25">
      <c r="B12582" s="18" t="s">
        <v>1596</v>
      </c>
      <c r="C12582" s="18" t="s">
        <v>57176</v>
      </c>
      <c r="D12582" s="18" t="s">
        <v>172</v>
      </c>
      <c r="E12582" s="18" t="s">
        <v>56285</v>
      </c>
      <c r="F12582" s="18" t="str">
        <f>IFERROR(__XLUDF.DUMMYFUNCTION("PROPER(REGEXREPLACE(D215,""[^A-Za-z]+ "",""""))"),"Betom Group")</f>
        <v xml:space="preserve">Betom Group</v>
      </c>
      <c r="G12582" s="18" t="s">
        <v>57177</v>
      </c>
      <c r="H12582" s="18">
        <v>59</v>
      </c>
      <c r="I12582" s="18" t="s">
        <v>9239</v>
      </c>
      <c r="J12582" s="18" t="str">
        <f>IFERROR(__XLUDF.DUMMYFUNCTION("VLOOKUP(H215,IMPORTRANGE(""https://docs.google.com/spreadsheets/d/1opm6ZNvGZ7KditA9TuJwrZ25eFLfTNIkrNnY6mhV5Eg"",""list!A1:C115""),3,TRUE)"),"le secteur de la construction")</f>
        <v xml:space="preserve">le secteur de la construction</v>
      </c>
      <c r="K12582" s="5" t="s">
        <v>57178</v>
      </c>
      <c r="L12582" s="5" t="s">
        <v>56288</v>
      </c>
      <c r="M12582" s="6"/>
      <c r="N12582" s="18" t="s">
        <v>29</v>
      </c>
      <c r="O12582" s="18" t="s">
        <v>807</v>
      </c>
      <c r="P12582" s="18" t="s">
        <v>29</v>
      </c>
      <c r="Q12582" s="18" t="s">
        <v>56289</v>
      </c>
      <c r="R12582" s="18">
        <v>0.2155820973</v>
      </c>
    </row>
    <row r="12583" ht="14.25">
      <c r="B12583" s="18" t="s">
        <v>485</v>
      </c>
      <c r="C12583" s="18" t="s">
        <v>57179</v>
      </c>
      <c r="D12583" s="18" t="s">
        <v>57180</v>
      </c>
      <c r="E12583" s="18" t="s">
        <v>56137</v>
      </c>
      <c r="F12583" s="18" t="str">
        <f>IFERROR(__XLUDF.DUMMYFUNCTION("PROPER(REGEXREPLACE(D216,""[^A-Za-z]+ "",""""))"),"Groupe Guinier 1823")</f>
        <v xml:space="preserve">Groupe Guinier 1823</v>
      </c>
      <c r="G12583" s="18" t="s">
        <v>57181</v>
      </c>
      <c r="H12583" s="18">
        <v>75</v>
      </c>
      <c r="I12583" s="18" t="s">
        <v>9239</v>
      </c>
      <c r="J12583" s="18" t="str">
        <f>IFERROR(__XLUDF.DUMMYFUNCTION("VLOOKUP(H216,IMPORTRANGE(""https://docs.google.com/spreadsheets/d/1opm6ZNvGZ7KditA9TuJwrZ25eFLfTNIkrNnY6mhV5Eg"",""list!A1:C115""),3,TRUE)"),"le secteur de la construction")</f>
        <v xml:space="preserve">le secteur de la construction</v>
      </c>
      <c r="K12583" s="5" t="s">
        <v>57182</v>
      </c>
      <c r="L12583" s="5" t="s">
        <v>56140</v>
      </c>
      <c r="M12583" s="6"/>
      <c r="N12583" s="18" t="s">
        <v>29</v>
      </c>
      <c r="O12583" s="18" t="s">
        <v>18919</v>
      </c>
      <c r="P12583" s="18" t="s">
        <v>29</v>
      </c>
      <c r="Q12583" s="6"/>
      <c r="R12583" s="18">
        <v>0.089338037349999996</v>
      </c>
    </row>
    <row r="12584" ht="14.25">
      <c r="B12584" s="18" t="s">
        <v>866</v>
      </c>
      <c r="C12584" s="18" t="s">
        <v>57183</v>
      </c>
      <c r="D12584" s="18" t="s">
        <v>172</v>
      </c>
      <c r="E12584" s="18" t="s">
        <v>8898</v>
      </c>
      <c r="F12584" s="18" t="str">
        <f>IFERROR(__XLUDF.DUMMYFUNCTION("PROPER(REGEXREPLACE(D217,""[^A-Za-z]+ "",""""))"),"Fouchard")</f>
        <v>Fouchard</v>
      </c>
      <c r="G12584" s="18" t="s">
        <v>57184</v>
      </c>
      <c r="H12584" s="18">
        <v>51</v>
      </c>
      <c r="I12584" s="18" t="s">
        <v>9239</v>
      </c>
      <c r="J12584" s="18" t="str">
        <f>IFERROR(__XLUDF.DUMMYFUNCTION("VLOOKUP(H217,IMPORTRANGE(""https://docs.google.com/spreadsheets/d/1opm6ZNvGZ7KditA9TuJwrZ25eFLfTNIkrNnY6mhV5Eg"",""list!A1:C115""),3,TRUE)"),"le secteur de la construction")</f>
        <v xml:space="preserve">le secteur de la construction</v>
      </c>
      <c r="K12584" s="5" t="s">
        <v>57185</v>
      </c>
      <c r="L12584" s="5" t="s">
        <v>57186</v>
      </c>
      <c r="M12584" s="18" t="s">
        <v>39</v>
      </c>
      <c r="N12584" s="18" t="s">
        <v>29</v>
      </c>
      <c r="O12584" s="18" t="s">
        <v>57187</v>
      </c>
      <c r="P12584" s="18" t="s">
        <v>29</v>
      </c>
      <c r="Q12584" s="6"/>
      <c r="R12584" s="18">
        <v>0.87466791430000002</v>
      </c>
    </row>
    <row r="12585" ht="14.25">
      <c r="B12585" s="18" t="s">
        <v>866</v>
      </c>
      <c r="C12585" s="18" t="s">
        <v>3037</v>
      </c>
      <c r="D12585" s="18" t="s">
        <v>6362</v>
      </c>
      <c r="E12585" s="18" t="s">
        <v>57188</v>
      </c>
      <c r="F12585" s="18" t="str">
        <f>IFERROR(__XLUDF.DUMMYFUNCTION("PROPER(REGEXREPLACE(D218,""[^A-Za-z]+ "",""""))"),"Cadelec")</f>
        <v>Cadelec</v>
      </c>
      <c r="G12585" s="18" t="s">
        <v>57189</v>
      </c>
      <c r="H12585" s="18">
        <v>32</v>
      </c>
      <c r="I12585" s="18" t="s">
        <v>9239</v>
      </c>
      <c r="J12585" s="18" t="str">
        <f>IFERROR(__XLUDF.DUMMYFUNCTION("VLOOKUP(H218,IMPORTRANGE(""https://docs.google.com/spreadsheets/d/1opm6ZNvGZ7KditA9TuJwrZ25eFLfTNIkrNnY6mhV5Eg"",""list!A1:C115""),3,TRUE)"),"le secteur de la construction")</f>
        <v xml:space="preserve">le secteur de la construction</v>
      </c>
      <c r="K12585" s="5" t="s">
        <v>57190</v>
      </c>
      <c r="L12585" s="5" t="s">
        <v>57191</v>
      </c>
      <c r="M12585" s="18" t="s">
        <v>42788</v>
      </c>
      <c r="N12585" s="18" t="s">
        <v>29</v>
      </c>
      <c r="O12585" s="18" t="s">
        <v>57192</v>
      </c>
      <c r="P12585" s="18" t="s">
        <v>29</v>
      </c>
      <c r="Q12585" s="6"/>
      <c r="R12585" s="18">
        <v>0.41145327939999998</v>
      </c>
    </row>
    <row r="12586" ht="14.25">
      <c r="B12586" s="18" t="s">
        <v>866</v>
      </c>
      <c r="C12586" s="18" t="s">
        <v>13827</v>
      </c>
      <c r="D12586" s="18" t="s">
        <v>5400</v>
      </c>
      <c r="E12586" s="18" t="s">
        <v>57193</v>
      </c>
      <c r="F12586" s="18" t="str">
        <f>IFERROR(__XLUDF.DUMMYFUNCTION("PROPER(REGEXREPLACE(D219,""[^A-Za-z]+ "",""""))"),"Samedia Int")</f>
        <v xml:space="preserve">Samedia Int</v>
      </c>
      <c r="G12586" s="18" t="s">
        <v>57194</v>
      </c>
      <c r="H12586" s="18">
        <v>74</v>
      </c>
      <c r="I12586" s="18" t="s">
        <v>9239</v>
      </c>
      <c r="J12586" s="18" t="str">
        <f>IFERROR(__XLUDF.DUMMYFUNCTION("VLOOKUP(H219,IMPORTRANGE(""https://docs.google.com/spreadsheets/d/1opm6ZNvGZ7KditA9TuJwrZ25eFLfTNIkrNnY6mhV5Eg"",""list!A1:C115""),3,TRUE)"),"le secteur de la construction")</f>
        <v xml:space="preserve">le secteur de la construction</v>
      </c>
      <c r="K12586" s="5" t="s">
        <v>57195</v>
      </c>
      <c r="L12586" s="5" t="s">
        <v>57196</v>
      </c>
      <c r="M12586" s="18" t="s">
        <v>1711</v>
      </c>
      <c r="N12586" s="18" t="s">
        <v>29</v>
      </c>
      <c r="O12586" s="18" t="s">
        <v>57197</v>
      </c>
      <c r="P12586" s="18" t="s">
        <v>29</v>
      </c>
      <c r="Q12586" s="18" t="s">
        <v>57198</v>
      </c>
      <c r="R12586" s="18">
        <v>0.65961159749999998</v>
      </c>
    </row>
    <row r="12587" ht="14.25">
      <c r="B12587" s="18" t="s">
        <v>1596</v>
      </c>
      <c r="C12587" s="18" t="s">
        <v>57199</v>
      </c>
      <c r="D12587" s="18" t="s">
        <v>7147</v>
      </c>
      <c r="E12587" s="18" t="s">
        <v>57200</v>
      </c>
      <c r="F12587" s="18" t="str">
        <f>IFERROR(__XLUDF.DUMMYFUNCTION("PROPER(REGEXREPLACE(D220,""[^A-Za-z]+ "",""""))"),"Troisel")</f>
        <v>Troisel</v>
      </c>
      <c r="G12587" s="18" t="s">
        <v>57201</v>
      </c>
      <c r="H12587" s="18">
        <v>64</v>
      </c>
      <c r="I12587" s="18" t="s">
        <v>9239</v>
      </c>
      <c r="J12587" s="18" t="str">
        <f>IFERROR(__XLUDF.DUMMYFUNCTION("VLOOKUP(H220,IMPORTRANGE(""https://docs.google.com/spreadsheets/d/1opm6ZNvGZ7KditA9TuJwrZ25eFLfTNIkrNnY6mhV5Eg"",""list!A1:C115""),3,TRUE)"),"le secteur de la construction")</f>
        <v xml:space="preserve">le secteur de la construction</v>
      </c>
      <c r="K12587" s="5" t="s">
        <v>57202</v>
      </c>
      <c r="L12587" s="5" t="s">
        <v>57203</v>
      </c>
      <c r="M12587" s="18" t="s">
        <v>83</v>
      </c>
      <c r="N12587" s="18" t="s">
        <v>29</v>
      </c>
      <c r="O12587" s="18" t="s">
        <v>57204</v>
      </c>
      <c r="P12587" s="18" t="s">
        <v>29</v>
      </c>
      <c r="Q12587" s="6"/>
      <c r="R12587" s="18">
        <v>0.42247947250000001</v>
      </c>
    </row>
    <row r="12588" ht="14.25">
      <c r="B12588" s="18" t="s">
        <v>1596</v>
      </c>
      <c r="C12588" s="18" t="s">
        <v>57205</v>
      </c>
      <c r="D12588" s="18" t="s">
        <v>6362</v>
      </c>
      <c r="E12588" s="18" t="s">
        <v>57206</v>
      </c>
      <c r="F12588" s="18" t="str">
        <f>IFERROR(__XLUDF.DUMMYFUNCTION("PROPER(REGEXREPLACE(D221,""[^A-Za-z]+ "",""""))"),"Pineau")</f>
        <v>Pineau</v>
      </c>
      <c r="G12588" s="18" t="s">
        <v>57207</v>
      </c>
      <c r="H12588" s="18">
        <v>61</v>
      </c>
      <c r="I12588" s="18" t="s">
        <v>9239</v>
      </c>
      <c r="J12588" s="18" t="str">
        <f>IFERROR(__XLUDF.DUMMYFUNCTION("VLOOKUP(H221,IMPORTRANGE(""https://docs.google.com/spreadsheets/d/1opm6ZNvGZ7KditA9TuJwrZ25eFLfTNIkrNnY6mhV5Eg"",""list!A1:C115""),3,TRUE)"),"le secteur de la construction")</f>
        <v xml:space="preserve">le secteur de la construction</v>
      </c>
      <c r="K12588" s="5" t="s">
        <v>57208</v>
      </c>
      <c r="L12588" s="5" t="s">
        <v>57209</v>
      </c>
      <c r="M12588" s="18" t="s">
        <v>57210</v>
      </c>
      <c r="N12588" s="18" t="s">
        <v>29</v>
      </c>
      <c r="O12588" s="18" t="s">
        <v>57211</v>
      </c>
      <c r="P12588" s="18" t="s">
        <v>29</v>
      </c>
      <c r="Q12588" s="18" t="s">
        <v>57212</v>
      </c>
      <c r="R12588" s="18">
        <v>0.4047156079</v>
      </c>
    </row>
    <row r="12589" ht="14.25">
      <c r="B12589" s="18" t="s">
        <v>1387</v>
      </c>
      <c r="C12589" s="18" t="s">
        <v>57213</v>
      </c>
      <c r="D12589" s="18" t="s">
        <v>112</v>
      </c>
      <c r="E12589" s="18" t="s">
        <v>57165</v>
      </c>
      <c r="F12589" s="18" t="str">
        <f>IFERROR(__XLUDF.DUMMYFUNCTION("PROPER(REGEXREPLACE(D222,""[^A-Za-z]+ "",""""))"),"Rampa Travaux Publics")</f>
        <v xml:space="preserve">Rampa Travaux Publics</v>
      </c>
      <c r="G12589" s="18" t="s">
        <v>57214</v>
      </c>
      <c r="H12589" s="18">
        <v>110</v>
      </c>
      <c r="I12589" s="18" t="s">
        <v>9239</v>
      </c>
      <c r="J12589" s="18" t="str">
        <f>IFERROR(__XLUDF.DUMMYFUNCTION("VLOOKUP(H222,IMPORTRANGE(""https://docs.google.com/spreadsheets/d/1opm6ZNvGZ7KditA9TuJwrZ25eFLfTNIkrNnY6mhV5Eg"",""list!A1:C115""),3,TRUE)"),"le secteur de la construction")</f>
        <v xml:space="preserve">le secteur de la construction</v>
      </c>
      <c r="K12589" s="5" t="s">
        <v>57215</v>
      </c>
      <c r="L12589" s="5" t="s">
        <v>57168</v>
      </c>
      <c r="M12589" s="6"/>
      <c r="N12589" s="18" t="s">
        <v>29</v>
      </c>
      <c r="O12589" s="18" t="s">
        <v>57169</v>
      </c>
      <c r="P12589" s="18" t="s">
        <v>29</v>
      </c>
      <c r="Q12589" s="6"/>
      <c r="R12589" s="18">
        <v>0.9104876569</v>
      </c>
    </row>
    <row r="12590" ht="14.25">
      <c r="B12590" s="18" t="s">
        <v>1215</v>
      </c>
      <c r="C12590" s="18" t="s">
        <v>27461</v>
      </c>
      <c r="D12590" s="18" t="s">
        <v>6362</v>
      </c>
      <c r="E12590" s="18" t="s">
        <v>57216</v>
      </c>
      <c r="F12590" s="18" t="str">
        <f>IFERROR(__XLUDF.DUMMYFUNCTION("PROPER(REGEXREPLACE(D223,""[^A-Za-z]+ "",""""))"),"Detect Réseaux France")</f>
        <v xml:space="preserve">Detect Réseaux France</v>
      </c>
      <c r="G12590" s="18" t="s">
        <v>57217</v>
      </c>
      <c r="H12590" s="18">
        <v>39</v>
      </c>
      <c r="I12590" s="18" t="s">
        <v>9239</v>
      </c>
      <c r="J12590" s="18" t="str">
        <f>IFERROR(__XLUDF.DUMMYFUNCTION("VLOOKUP(H223,IMPORTRANGE(""https://docs.google.com/spreadsheets/d/1opm6ZNvGZ7KditA9TuJwrZ25eFLfTNIkrNnY6mhV5Eg"",""list!A1:C115""),3,TRUE)"),"le secteur de la construction")</f>
        <v xml:space="preserve">le secteur de la construction</v>
      </c>
      <c r="K12590" s="5" t="s">
        <v>57218</v>
      </c>
      <c r="L12590" s="5" t="s">
        <v>57219</v>
      </c>
      <c r="M12590" s="18" t="s">
        <v>185</v>
      </c>
      <c r="N12590" s="18" t="s">
        <v>29</v>
      </c>
      <c r="O12590" s="18" t="s">
        <v>57220</v>
      </c>
      <c r="P12590" s="18" t="s">
        <v>29</v>
      </c>
      <c r="Q12590" s="18" t="s">
        <v>57221</v>
      </c>
      <c r="R12590" s="18">
        <v>0.52452966810000001</v>
      </c>
    </row>
    <row r="12591" ht="14.25">
      <c r="B12591" s="18" t="s">
        <v>1215</v>
      </c>
      <c r="C12591" s="18" t="s">
        <v>57222</v>
      </c>
      <c r="D12591" s="18" t="s">
        <v>6362</v>
      </c>
      <c r="E12591" s="18" t="s">
        <v>47663</v>
      </c>
      <c r="F12591" s="18" t="str">
        <f>IFERROR(__XLUDF.DUMMYFUNCTION("PROPER(REGEXREPLACE(D224,""[^A-Za-z]+ "",""""))"),"La Compagnie Des Toits")</f>
        <v xml:space="preserve">La Compagnie Des Toits</v>
      </c>
      <c r="G12591" s="18" t="s">
        <v>57223</v>
      </c>
      <c r="H12591" s="18">
        <v>54</v>
      </c>
      <c r="I12591" s="18" t="s">
        <v>9239</v>
      </c>
      <c r="J12591" s="18" t="str">
        <f>IFERROR(__XLUDF.DUMMYFUNCTION("VLOOKUP(H224,IMPORTRANGE(""https://docs.google.com/spreadsheets/d/1opm6ZNvGZ7KditA9TuJwrZ25eFLfTNIkrNnY6mhV5Eg"",""list!A1:C115""),3,TRUE)"),"le secteur de la construction")</f>
        <v xml:space="preserve">le secteur de la construction</v>
      </c>
      <c r="K12591" s="5" t="s">
        <v>57224</v>
      </c>
      <c r="L12591" s="5" t="s">
        <v>56732</v>
      </c>
      <c r="M12591" s="18" t="s">
        <v>1015</v>
      </c>
      <c r="N12591" s="18" t="s">
        <v>29</v>
      </c>
      <c r="O12591" s="18" t="s">
        <v>47667</v>
      </c>
      <c r="P12591" s="18" t="s">
        <v>29</v>
      </c>
      <c r="Q12591" s="18" t="s">
        <v>47668</v>
      </c>
      <c r="R12591" s="18">
        <v>0.76961347869999996</v>
      </c>
    </row>
    <row r="12592" ht="14.25">
      <c r="B12592" s="18" t="s">
        <v>57225</v>
      </c>
      <c r="C12592" s="18" t="s">
        <v>10834</v>
      </c>
      <c r="D12592" s="18" t="s">
        <v>6391</v>
      </c>
      <c r="E12592" s="18" t="s">
        <v>57226</v>
      </c>
      <c r="F12592" s="18" t="str">
        <f>IFERROR(__XLUDF.DUMMYFUNCTION("PROPER(REGEXREPLACE(D225,""[^A-Za-z]+ "",""""))"),"Groupe Morin")</f>
        <v xml:space="preserve">Groupe Morin</v>
      </c>
      <c r="G12592" s="18" t="s">
        <v>57227</v>
      </c>
      <c r="H12592" s="18">
        <v>50</v>
      </c>
      <c r="I12592" s="18" t="s">
        <v>9239</v>
      </c>
      <c r="J12592" s="18" t="str">
        <f>IFERROR(__XLUDF.DUMMYFUNCTION("VLOOKUP(H225,IMPORTRANGE(""https://docs.google.com/spreadsheets/d/1opm6ZNvGZ7KditA9TuJwrZ25eFLfTNIkrNnY6mhV5Eg"",""list!A1:C115""),3,TRUE)"),"le secteur de la construction")</f>
        <v xml:space="preserve">le secteur de la construction</v>
      </c>
      <c r="K12592" s="5" t="s">
        <v>57228</v>
      </c>
      <c r="L12592" s="5" t="s">
        <v>57229</v>
      </c>
      <c r="M12592" s="18" t="s">
        <v>185</v>
      </c>
      <c r="N12592" s="18" t="s">
        <v>29</v>
      </c>
      <c r="O12592" s="18" t="s">
        <v>57230</v>
      </c>
      <c r="P12592" s="18" t="s">
        <v>29</v>
      </c>
      <c r="Q12592" s="18" t="s">
        <v>57231</v>
      </c>
      <c r="R12592" s="18">
        <v>0.70892919190000003</v>
      </c>
    </row>
    <row r="12593" ht="14.25">
      <c r="B12593" s="18" t="s">
        <v>485</v>
      </c>
      <c r="C12593" s="18" t="s">
        <v>57232</v>
      </c>
      <c r="D12593" s="18" t="s">
        <v>5003</v>
      </c>
      <c r="E12593" s="18" t="s">
        <v>57233</v>
      </c>
      <c r="F12593" s="18" t="str">
        <f>IFERROR(__XLUDF.DUMMYFUNCTION("PROPER(REGEXREPLACE(D226,""[^A-Za-z]+ "",""""))"),"Ecovegetal")</f>
        <v>Ecovegetal</v>
      </c>
      <c r="G12593" s="18" t="s">
        <v>57234</v>
      </c>
      <c r="H12593" s="18">
        <v>76</v>
      </c>
      <c r="I12593" s="18" t="s">
        <v>9239</v>
      </c>
      <c r="J12593" s="18" t="str">
        <f>IFERROR(__XLUDF.DUMMYFUNCTION("VLOOKUP(H226,IMPORTRANGE(""https://docs.google.com/spreadsheets/d/1opm6ZNvGZ7KditA9TuJwrZ25eFLfTNIkrNnY6mhV5Eg"",""list!A1:C115""),3,TRUE)"),"le secteur de la construction")</f>
        <v xml:space="preserve">le secteur de la construction</v>
      </c>
      <c r="K12593" s="5" t="s">
        <v>57235</v>
      </c>
      <c r="L12593" s="5" t="s">
        <v>57236</v>
      </c>
      <c r="M12593" s="18" t="s">
        <v>57237</v>
      </c>
      <c r="N12593" s="18" t="s">
        <v>29</v>
      </c>
      <c r="O12593" s="18" t="s">
        <v>57238</v>
      </c>
      <c r="P12593" s="18" t="s">
        <v>29</v>
      </c>
      <c r="Q12593" s="18" t="s">
        <v>57239</v>
      </c>
      <c r="R12593" s="18">
        <v>0.0027932888329999998</v>
      </c>
    </row>
    <row r="12594" ht="14.25">
      <c r="B12594" s="18" t="s">
        <v>1215</v>
      </c>
      <c r="C12594" s="18" t="s">
        <v>57240</v>
      </c>
      <c r="D12594" s="18" t="s">
        <v>112</v>
      </c>
      <c r="E12594" s="18" t="s">
        <v>57241</v>
      </c>
      <c r="F12594" s="18" t="str">
        <f>IFERROR(__XLUDF.DUMMYFUNCTION("PROPER(REGEXREPLACE(D227,""[^A-Za-z]+ "",""""))"),"Plasteurop")</f>
        <v>Plasteurop</v>
      </c>
      <c r="G12594" s="18" t="s">
        <v>57242</v>
      </c>
      <c r="H12594" s="18">
        <v>52</v>
      </c>
      <c r="I12594" s="18" t="s">
        <v>9239</v>
      </c>
      <c r="J12594" s="18" t="str">
        <f>IFERROR(__XLUDF.DUMMYFUNCTION("VLOOKUP(H227,IMPORTRANGE(""https://docs.google.com/spreadsheets/d/1opm6ZNvGZ7KditA9TuJwrZ25eFLfTNIkrNnY6mhV5Eg"",""list!A1:C115""),3,TRUE)"),"le secteur de la construction")</f>
        <v xml:space="preserve">le secteur de la construction</v>
      </c>
      <c r="K12594" s="5" t="s">
        <v>57243</v>
      </c>
      <c r="L12594" s="5" t="s">
        <v>57244</v>
      </c>
      <c r="M12594" s="18" t="s">
        <v>47354</v>
      </c>
      <c r="N12594" s="18" t="s">
        <v>29</v>
      </c>
      <c r="O12594" s="18" t="s">
        <v>57245</v>
      </c>
      <c r="P12594" s="18" t="s">
        <v>29</v>
      </c>
      <c r="Q12594" s="18" t="s">
        <v>57246</v>
      </c>
      <c r="R12594" s="18">
        <v>0.78584349170000001</v>
      </c>
    </row>
    <row r="12595" ht="14.25">
      <c r="B12595" s="18" t="s">
        <v>1215</v>
      </c>
      <c r="C12595" s="18" t="s">
        <v>245</v>
      </c>
      <c r="D12595" s="18" t="s">
        <v>172</v>
      </c>
      <c r="E12595" s="18" t="s">
        <v>56856</v>
      </c>
      <c r="F12595" s="18" t="str">
        <f>IFERROR(__XLUDF.DUMMYFUNCTION("PROPER(REGEXREPLACE(D228,""[^A-Za-z]+ "",""""))"),"Guinot Tp")</f>
        <v xml:space="preserve">Guinot Tp</v>
      </c>
      <c r="G12595" s="18" t="s">
        <v>57247</v>
      </c>
      <c r="H12595" s="18">
        <v>110</v>
      </c>
      <c r="I12595" s="18" t="s">
        <v>9239</v>
      </c>
      <c r="J12595" s="18" t="str">
        <f>IFERROR(__XLUDF.DUMMYFUNCTION("VLOOKUP(H228,IMPORTRANGE(""https://docs.google.com/spreadsheets/d/1opm6ZNvGZ7KditA9TuJwrZ25eFLfTNIkrNnY6mhV5Eg"",""list!A1:C115""),3,TRUE)"),"le secteur de la construction")</f>
        <v xml:space="preserve">le secteur de la construction</v>
      </c>
      <c r="K12595" s="5" t="s">
        <v>57248</v>
      </c>
      <c r="L12595" s="5" t="s">
        <v>56859</v>
      </c>
      <c r="M12595" s="18" t="s">
        <v>50902</v>
      </c>
      <c r="N12595" s="18" t="s">
        <v>29</v>
      </c>
      <c r="O12595" s="18" t="s">
        <v>56860</v>
      </c>
      <c r="P12595" s="18" t="s">
        <v>29</v>
      </c>
      <c r="Q12595" s="18" t="s">
        <v>56861</v>
      </c>
      <c r="R12595" s="18">
        <v>0.33150512710000002</v>
      </c>
    </row>
    <row r="12596" ht="14.25">
      <c r="B12596" s="18" t="s">
        <v>1215</v>
      </c>
      <c r="C12596" s="18" t="s">
        <v>57249</v>
      </c>
      <c r="D12596" s="18" t="s">
        <v>112</v>
      </c>
      <c r="E12596" s="18" t="s">
        <v>57250</v>
      </c>
      <c r="F12596" s="18" t="str">
        <f>IFERROR(__XLUDF.DUMMYFUNCTION("PROPER(REGEXREPLACE(D229,""[^A-Za-z]+ "",""""))"),"Le Du")</f>
        <v xml:space="preserve">Le Du</v>
      </c>
      <c r="G12596" s="18" t="s">
        <v>57251</v>
      </c>
      <c r="H12596" s="18">
        <v>110</v>
      </c>
      <c r="I12596" s="18" t="s">
        <v>9239</v>
      </c>
      <c r="J12596" s="18" t="str">
        <f>IFERROR(__XLUDF.DUMMYFUNCTION("VLOOKUP(H229,IMPORTRANGE(""https://docs.google.com/spreadsheets/d/1opm6ZNvGZ7KditA9TuJwrZ25eFLfTNIkrNnY6mhV5Eg"",""list!A1:C115""),3,TRUE)"),"le secteur de la construction")</f>
        <v xml:space="preserve">le secteur de la construction</v>
      </c>
      <c r="K12596" s="5" t="s">
        <v>57252</v>
      </c>
      <c r="L12596" s="5" t="s">
        <v>57253</v>
      </c>
      <c r="M12596" s="18" t="s">
        <v>20178</v>
      </c>
      <c r="N12596" s="18" t="s">
        <v>29</v>
      </c>
      <c r="O12596" s="18" t="s">
        <v>57254</v>
      </c>
      <c r="P12596" s="18" t="s">
        <v>29</v>
      </c>
      <c r="Q12596" s="6"/>
      <c r="R12596" s="18">
        <v>0.4891659122</v>
      </c>
    </row>
    <row r="12597" ht="14.25">
      <c r="B12597" s="18" t="s">
        <v>15758</v>
      </c>
      <c r="C12597" s="18" t="s">
        <v>1215</v>
      </c>
      <c r="D12597" s="18" t="s">
        <v>6362</v>
      </c>
      <c r="E12597" s="18" t="s">
        <v>15760</v>
      </c>
      <c r="F12597" s="18" t="str">
        <f>IFERROR(__XLUDF.DUMMYFUNCTION("PROPER(REGEXREPLACE(D230,""[^A-Za-z]+ "",""""))"),"Everest Isolation")</f>
        <v xml:space="preserve">Everest Isolation</v>
      </c>
      <c r="G12597" s="18" t="s">
        <v>15759</v>
      </c>
      <c r="H12597" s="18">
        <v>21</v>
      </c>
      <c r="I12597" s="18" t="s">
        <v>9239</v>
      </c>
      <c r="J12597" s="18" t="str">
        <f>IFERROR(__XLUDF.DUMMYFUNCTION("VLOOKUP(H230,IMPORTRANGE(""https://docs.google.com/spreadsheets/d/1opm6ZNvGZ7KditA9TuJwrZ25eFLfTNIkrNnY6mhV5Eg"",""list!A1:C115""),3,TRUE)"),"le secteur de la construction")</f>
        <v xml:space="preserve">le secteur de la construction</v>
      </c>
      <c r="K12597" s="5" t="s">
        <v>57255</v>
      </c>
      <c r="L12597" s="5" t="s">
        <v>57256</v>
      </c>
      <c r="M12597" s="18" t="s">
        <v>1745</v>
      </c>
      <c r="N12597" s="18" t="s">
        <v>29</v>
      </c>
      <c r="O12597" s="18" t="s">
        <v>57257</v>
      </c>
      <c r="P12597" s="18" t="s">
        <v>29</v>
      </c>
      <c r="Q12597" s="18" t="s">
        <v>15766</v>
      </c>
      <c r="R12597" s="18">
        <v>0.50052894920000002</v>
      </c>
    </row>
    <row r="12598" ht="14.25">
      <c r="B12598" s="18" t="s">
        <v>485</v>
      </c>
      <c r="C12598" s="18" t="s">
        <v>47615</v>
      </c>
      <c r="D12598" s="18" t="s">
        <v>112</v>
      </c>
      <c r="E12598" s="18" t="s">
        <v>56821</v>
      </c>
      <c r="F12598" s="18" t="str">
        <f>IFERROR(__XLUDF.DUMMYFUNCTION("PROPER(REGEXREPLACE(D231,""[^A-Za-z]+ "",""""))"),"Slci Groupe Acteur Du Réseau Procivis")</f>
        <v xml:space="preserve">Slci Groupe Acteur Du Réseau Procivis</v>
      </c>
      <c r="G12598" s="18" t="s">
        <v>57258</v>
      </c>
      <c r="H12598" s="18">
        <v>84</v>
      </c>
      <c r="I12598" s="18" t="s">
        <v>9239</v>
      </c>
      <c r="J12598" s="18" t="str">
        <f>IFERROR(__XLUDF.DUMMYFUNCTION("VLOOKUP(H231,IMPORTRANGE(""https://docs.google.com/spreadsheets/d/1opm6ZNvGZ7KditA9TuJwrZ25eFLfTNIkrNnY6mhV5Eg"",""list!A1:C115""),3,TRUE)"),"le secteur de la construction")</f>
        <v xml:space="preserve">le secteur de la construction</v>
      </c>
      <c r="K12598" s="5" t="s">
        <v>57259</v>
      </c>
      <c r="L12598" s="5" t="s">
        <v>56824</v>
      </c>
      <c r="M12598" s="18" t="s">
        <v>185</v>
      </c>
      <c r="N12598" s="18" t="s">
        <v>29</v>
      </c>
      <c r="O12598" s="18" t="s">
        <v>56825</v>
      </c>
      <c r="P12598" s="18" t="s">
        <v>29</v>
      </c>
      <c r="Q12598" s="6"/>
      <c r="R12598" s="18">
        <v>0.56629292419999999</v>
      </c>
    </row>
    <row r="12599" ht="14.25">
      <c r="B12599" s="18" t="s">
        <v>485</v>
      </c>
      <c r="C12599" s="18" t="s">
        <v>57260</v>
      </c>
      <c r="D12599" s="18" t="s">
        <v>112</v>
      </c>
      <c r="E12599" s="18" t="s">
        <v>57261</v>
      </c>
      <c r="F12599" s="18" t="str">
        <f>IFERROR(__XLUDF.DUMMYFUNCTION("PROPER(REGEXREPLACE(D232,""[^A-Za-z]+ "",""""))"),"Btp Cfa Pays De La Loire")</f>
        <v xml:space="preserve">Btp Cfa Pays De La Loire</v>
      </c>
      <c r="G12599" s="18" t="s">
        <v>57262</v>
      </c>
      <c r="H12599" s="18">
        <v>88</v>
      </c>
      <c r="I12599" s="18" t="s">
        <v>9239</v>
      </c>
      <c r="J12599" s="18" t="str">
        <f>IFERROR(__XLUDF.DUMMYFUNCTION("VLOOKUP(H232,IMPORTRANGE(""https://docs.google.com/spreadsheets/d/1opm6ZNvGZ7KditA9TuJwrZ25eFLfTNIkrNnY6mhV5Eg"",""list!A1:C115""),3,TRUE)"),"le secteur de la construction")</f>
        <v xml:space="preserve">le secteur de la construction</v>
      </c>
      <c r="K12599" s="5" t="s">
        <v>57263</v>
      </c>
      <c r="L12599" s="5" t="s">
        <v>57264</v>
      </c>
      <c r="M12599" s="18" t="s">
        <v>1312</v>
      </c>
      <c r="N12599" s="18" t="s">
        <v>29</v>
      </c>
      <c r="O12599" s="18" t="s">
        <v>41375</v>
      </c>
      <c r="P12599" s="18" t="s">
        <v>29</v>
      </c>
      <c r="Q12599" s="18" t="s">
        <v>57265</v>
      </c>
      <c r="R12599" s="18">
        <v>0.50994153809999998</v>
      </c>
    </row>
    <row r="12600" ht="14.25">
      <c r="B12600" s="18" t="s">
        <v>24006</v>
      </c>
      <c r="C12600" s="18" t="s">
        <v>57266</v>
      </c>
      <c r="D12600" s="18" t="s">
        <v>120</v>
      </c>
      <c r="E12600" s="18" t="s">
        <v>56846</v>
      </c>
      <c r="F12600" s="18" t="str">
        <f>IFERROR(__XLUDF.DUMMYFUNCTION("PROPER(REGEXREPLACE(D233,""[^A-Za-z]+ "",""""))"),"Atawey Hydrogen")</f>
        <v xml:space="preserve">Atawey Hydrogen</v>
      </c>
      <c r="G12600" s="18" t="s">
        <v>57267</v>
      </c>
      <c r="H12600" s="18">
        <v>120</v>
      </c>
      <c r="I12600" s="18" t="s">
        <v>9239</v>
      </c>
      <c r="J12600" s="18" t="str">
        <f>IFERROR(__XLUDF.DUMMYFUNCTION("VLOOKUP(H233,IMPORTRANGE(""https://docs.google.com/spreadsheets/d/1opm6ZNvGZ7KditA9TuJwrZ25eFLfTNIkrNnY6mhV5Eg"",""list!A1:C115""),3,TRUE)"),"le secteur de la construction")</f>
        <v xml:space="preserve">le secteur de la construction</v>
      </c>
      <c r="K12600" s="5" t="s">
        <v>57268</v>
      </c>
      <c r="L12600" s="5" t="s">
        <v>56849</v>
      </c>
      <c r="M12600" s="18" t="s">
        <v>1507</v>
      </c>
      <c r="N12600" s="18" t="s">
        <v>29</v>
      </c>
      <c r="O12600" s="18" t="s">
        <v>56850</v>
      </c>
      <c r="P12600" s="18" t="s">
        <v>29</v>
      </c>
      <c r="Q12600" s="18" t="s">
        <v>56851</v>
      </c>
      <c r="R12600" s="18">
        <v>0.71871723669999998</v>
      </c>
    </row>
    <row r="12601" ht="14.25">
      <c r="B12601" s="18" t="s">
        <v>57269</v>
      </c>
      <c r="C12601" s="18" t="s">
        <v>57270</v>
      </c>
      <c r="D12601" s="18" t="s">
        <v>172</v>
      </c>
      <c r="E12601" s="18" t="s">
        <v>57271</v>
      </c>
      <c r="F12601" s="18" t="str">
        <f>IFERROR(__XLUDF.DUMMYFUNCTION("PROPER(REGEXREPLACE(D234,""[^A-Za-z]+ "",""""))"),"Garelli")</f>
        <v>Garelli</v>
      </c>
      <c r="G12601" s="18" t="s">
        <v>57272</v>
      </c>
      <c r="H12601" s="18">
        <v>110</v>
      </c>
      <c r="I12601" s="18" t="s">
        <v>9239</v>
      </c>
      <c r="J12601" s="18" t="str">
        <f>IFERROR(__XLUDF.DUMMYFUNCTION("VLOOKUP(H234,IMPORTRANGE(""https://docs.google.com/spreadsheets/d/1opm6ZNvGZ7KditA9TuJwrZ25eFLfTNIkrNnY6mhV5Eg"",""list!A1:C115""),3,TRUE)"),"le secteur de la construction")</f>
        <v xml:space="preserve">le secteur de la construction</v>
      </c>
      <c r="K12601" s="5" t="s">
        <v>57273</v>
      </c>
      <c r="L12601" s="5" t="s">
        <v>57274</v>
      </c>
      <c r="M12601" s="18" t="s">
        <v>49</v>
      </c>
      <c r="N12601" s="18" t="s">
        <v>29</v>
      </c>
      <c r="O12601" s="18" t="s">
        <v>57275</v>
      </c>
      <c r="P12601" s="18" t="s">
        <v>29</v>
      </c>
      <c r="Q12601" s="18" t="s">
        <v>57276</v>
      </c>
      <c r="R12601" s="18">
        <v>0.26826608320000001</v>
      </c>
    </row>
    <row r="12602" ht="14.25">
      <c r="B12602" s="18" t="s">
        <v>866</v>
      </c>
      <c r="C12602" s="18" t="s">
        <v>57093</v>
      </c>
      <c r="D12602" s="18" t="s">
        <v>6362</v>
      </c>
      <c r="E12602" s="18" t="s">
        <v>57095</v>
      </c>
      <c r="F12602" s="18" t="str">
        <f>IFERROR(__XLUDF.DUMMYFUNCTION("PROPER(REGEXREPLACE(D235,""[^A-Za-z]+ "",""""))"),"Defi")</f>
        <v>Defi</v>
      </c>
      <c r="G12602" s="18" t="s">
        <v>57277</v>
      </c>
      <c r="H12602" s="18">
        <v>60</v>
      </c>
      <c r="I12602" s="18" t="s">
        <v>9239</v>
      </c>
      <c r="J12602" s="18" t="str">
        <f>IFERROR(__XLUDF.DUMMYFUNCTION("VLOOKUP(H235,IMPORTRANGE(""https://docs.google.com/spreadsheets/d/1opm6ZNvGZ7KditA9TuJwrZ25eFLfTNIkrNnY6mhV5Eg"",""list!A1:C115""),3,TRUE)"),"le secteur de la construction")</f>
        <v xml:space="preserve">le secteur de la construction</v>
      </c>
      <c r="K12602" s="5" t="s">
        <v>57278</v>
      </c>
      <c r="L12602" s="5" t="s">
        <v>57098</v>
      </c>
      <c r="M12602" s="18" t="s">
        <v>1711</v>
      </c>
      <c r="N12602" s="18" t="s">
        <v>29</v>
      </c>
      <c r="O12602" s="18" t="s">
        <v>57099</v>
      </c>
      <c r="P12602" s="18" t="s">
        <v>29</v>
      </c>
      <c r="Q12602" s="18" t="s">
        <v>57100</v>
      </c>
      <c r="R12602" s="18">
        <v>0.96488325509999995</v>
      </c>
    </row>
    <row r="12603" ht="14.25">
      <c r="B12603" s="18" t="s">
        <v>710</v>
      </c>
      <c r="C12603" s="18" t="s">
        <v>57279</v>
      </c>
      <c r="D12603" s="18" t="s">
        <v>120</v>
      </c>
      <c r="E12603" s="18" t="s">
        <v>56355</v>
      </c>
      <c r="F12603" s="18" t="str">
        <f>IFERROR(__XLUDF.DUMMYFUNCTION("PROPER(REGEXREPLACE(D236,""[^A-Za-z]+ "",""""))"),"Monsieur Peinture")</f>
        <v xml:space="preserve">Monsieur Peinture</v>
      </c>
      <c r="G12603" s="18" t="s">
        <v>57280</v>
      </c>
      <c r="H12603" s="18">
        <v>110</v>
      </c>
      <c r="I12603" s="18" t="s">
        <v>9239</v>
      </c>
      <c r="J12603" s="18" t="str">
        <f>IFERROR(__XLUDF.DUMMYFUNCTION("VLOOKUP(H236,IMPORTRANGE(""https://docs.google.com/spreadsheets/d/1opm6ZNvGZ7KditA9TuJwrZ25eFLfTNIkrNnY6mhV5Eg"",""list!A1:C115""),3,TRUE)"),"le secteur de la construction")</f>
        <v xml:space="preserve">le secteur de la construction</v>
      </c>
      <c r="K12603" s="5" t="s">
        <v>57281</v>
      </c>
      <c r="L12603" s="5" t="s">
        <v>56358</v>
      </c>
      <c r="M12603" s="6"/>
      <c r="N12603" s="18" t="s">
        <v>29</v>
      </c>
      <c r="O12603" s="18" t="s">
        <v>56359</v>
      </c>
      <c r="P12603" s="18" t="s">
        <v>29</v>
      </c>
      <c r="Q12603" s="18" t="s">
        <v>56360</v>
      </c>
      <c r="R12603" s="18">
        <v>0.65822102490000001</v>
      </c>
    </row>
    <row r="12604" ht="14.25">
      <c r="B12604" s="18" t="s">
        <v>46545</v>
      </c>
      <c r="C12604" s="18" t="s">
        <v>57282</v>
      </c>
      <c r="D12604" s="18" t="s">
        <v>172</v>
      </c>
      <c r="E12604" s="18" t="s">
        <v>57283</v>
      </c>
      <c r="F12604" s="18" t="str">
        <f>IFERROR(__XLUDF.DUMMYFUNCTION("PROPER(REGEXREPLACE(D237,""[^A-Za-z]+ "",""""))"),"Groupe Braja")</f>
        <v xml:space="preserve">Groupe Braja</v>
      </c>
      <c r="G12604" s="18" t="s">
        <v>57284</v>
      </c>
      <c r="H12604" s="18">
        <v>82</v>
      </c>
      <c r="I12604" s="18" t="s">
        <v>9239</v>
      </c>
      <c r="J12604" s="18" t="str">
        <f>IFERROR(__XLUDF.DUMMYFUNCTION("VLOOKUP(H237,IMPORTRANGE(""https://docs.google.com/spreadsheets/d/1opm6ZNvGZ7KditA9TuJwrZ25eFLfTNIkrNnY6mhV5Eg"",""list!A1:C115""),3,TRUE)"),"le secteur de la construction")</f>
        <v xml:space="preserve">le secteur de la construction</v>
      </c>
      <c r="K12604" s="5" t="s">
        <v>57285</v>
      </c>
      <c r="L12604" s="5" t="s">
        <v>57286</v>
      </c>
      <c r="M12604" s="18" t="s">
        <v>15762</v>
      </c>
      <c r="N12604" s="18" t="s">
        <v>29</v>
      </c>
      <c r="O12604" s="18" t="s">
        <v>57287</v>
      </c>
      <c r="P12604" s="18" t="s">
        <v>29</v>
      </c>
      <c r="Q12604" s="18" t="s">
        <v>57288</v>
      </c>
      <c r="R12604" s="18">
        <v>0.67214551379999998</v>
      </c>
    </row>
    <row r="12605" ht="14.25">
      <c r="B12605" s="18" t="s">
        <v>279</v>
      </c>
      <c r="C12605" s="18" t="s">
        <v>57289</v>
      </c>
      <c r="D12605" s="18" t="s">
        <v>172</v>
      </c>
      <c r="E12605" s="18" t="s">
        <v>57290</v>
      </c>
      <c r="F12605" s="18" t="str">
        <f>IFERROR(__XLUDF.DUMMYFUNCTION("PROPER(REGEXREPLACE(D238,""[^A-Za-z]+ "",""""))"),"Berthouly Travaux Publics")</f>
        <v xml:space="preserve">Berthouly Travaux Publics</v>
      </c>
      <c r="G12605" s="18" t="s">
        <v>57291</v>
      </c>
      <c r="H12605" s="18">
        <v>39</v>
      </c>
      <c r="I12605" s="18" t="s">
        <v>9239</v>
      </c>
      <c r="J12605" s="18" t="str">
        <f>IFERROR(__XLUDF.DUMMYFUNCTION("VLOOKUP(H238,IMPORTRANGE(""https://docs.google.com/spreadsheets/d/1opm6ZNvGZ7KditA9TuJwrZ25eFLfTNIkrNnY6mhV5Eg"",""list!A1:C115""),3,TRUE)"),"le secteur de la construction")</f>
        <v xml:space="preserve">le secteur de la construction</v>
      </c>
      <c r="K12605" s="5" t="s">
        <v>57292</v>
      </c>
      <c r="L12605" s="5" t="s">
        <v>57293</v>
      </c>
      <c r="M12605" s="18" t="s">
        <v>11525</v>
      </c>
      <c r="N12605" s="18" t="s">
        <v>29</v>
      </c>
      <c r="O12605" s="18" t="s">
        <v>57294</v>
      </c>
      <c r="P12605" s="18" t="s">
        <v>29</v>
      </c>
      <c r="Q12605" s="18" t="s">
        <v>57295</v>
      </c>
      <c r="R12605" s="18">
        <v>0.83542540190000003</v>
      </c>
    </row>
    <row r="12606" ht="14.25">
      <c r="B12606" s="18" t="s">
        <v>6390</v>
      </c>
      <c r="C12606" s="18" t="s">
        <v>57296</v>
      </c>
      <c r="D12606" s="18" t="s">
        <v>112</v>
      </c>
      <c r="E12606" s="18" t="s">
        <v>57297</v>
      </c>
      <c r="F12606" s="18" t="str">
        <f>IFERROR(__XLUDF.DUMMYFUNCTION("PROPER(REGEXREPLACE(D239,""[^A-Za-z]+ "",""""))"),"Duret Electricite")</f>
        <v xml:space="preserve">Duret Electricite</v>
      </c>
      <c r="G12606" s="18" t="s">
        <v>57298</v>
      </c>
      <c r="H12606" s="18">
        <v>53</v>
      </c>
      <c r="I12606" s="18" t="s">
        <v>9239</v>
      </c>
      <c r="J12606" s="18" t="str">
        <f>IFERROR(__XLUDF.DUMMYFUNCTION("VLOOKUP(H239,IMPORTRANGE(""https://docs.google.com/spreadsheets/d/1opm6ZNvGZ7KditA9TuJwrZ25eFLfTNIkrNnY6mhV5Eg"",""list!A1:C115""),3,TRUE)"),"le secteur de la construction")</f>
        <v xml:space="preserve">le secteur de la construction</v>
      </c>
      <c r="K12606" s="5" t="s">
        <v>57299</v>
      </c>
      <c r="L12606" s="5" t="s">
        <v>57300</v>
      </c>
      <c r="M12606" s="18" t="s">
        <v>423</v>
      </c>
      <c r="N12606" s="18" t="s">
        <v>29</v>
      </c>
      <c r="O12606" s="18" t="s">
        <v>57301</v>
      </c>
      <c r="P12606" s="18" t="s">
        <v>29</v>
      </c>
      <c r="Q12606" s="18" t="s">
        <v>57302</v>
      </c>
      <c r="R12606" s="18">
        <v>0.64505429339999998</v>
      </c>
    </row>
    <row r="12607" ht="14.25">
      <c r="B12607" s="18" t="s">
        <v>442</v>
      </c>
      <c r="C12607" s="18" t="s">
        <v>57303</v>
      </c>
      <c r="D12607" s="18" t="s">
        <v>57304</v>
      </c>
      <c r="E12607" s="18" t="s">
        <v>57305</v>
      </c>
      <c r="F12607" s="18" t="str">
        <f>IFERROR(__XLUDF.DUMMYFUNCTION("PROPER(REGEXREPLACE(D240,""[^A-Za-z]+ "",""""))"),"Stis")</f>
        <v>Stis</v>
      </c>
      <c r="G12607" s="18" t="s">
        <v>57306</v>
      </c>
      <c r="H12607" s="18">
        <v>39</v>
      </c>
      <c r="I12607" s="18" t="s">
        <v>9239</v>
      </c>
      <c r="J12607" s="18" t="str">
        <f>IFERROR(__XLUDF.DUMMYFUNCTION("VLOOKUP(H240,IMPORTRANGE(""https://docs.google.com/spreadsheets/d/1opm6ZNvGZ7KditA9TuJwrZ25eFLfTNIkrNnY6mhV5Eg"",""list!A1:C115""),3,TRUE)"),"le secteur de la construction")</f>
        <v xml:space="preserve">le secteur de la construction</v>
      </c>
      <c r="K12607" s="5" t="s">
        <v>57307</v>
      </c>
      <c r="L12607" s="5" t="s">
        <v>57308</v>
      </c>
      <c r="M12607" s="18" t="s">
        <v>6480</v>
      </c>
      <c r="N12607" s="18" t="s">
        <v>29</v>
      </c>
      <c r="O12607" s="18" t="s">
        <v>57309</v>
      </c>
      <c r="P12607" s="18" t="s">
        <v>29</v>
      </c>
      <c r="Q12607" s="6"/>
      <c r="R12607" s="18">
        <v>0.49273593269999999</v>
      </c>
    </row>
    <row r="12608" ht="14.25">
      <c r="B12608" s="18" t="s">
        <v>57310</v>
      </c>
      <c r="C12608" s="18" t="s">
        <v>118</v>
      </c>
      <c r="D12608" s="18" t="s">
        <v>57311</v>
      </c>
      <c r="E12608" s="18" t="s">
        <v>56162</v>
      </c>
      <c r="F12608" s="18" t="str">
        <f>IFERROR(__XLUDF.DUMMYFUNCTION("PROPER(REGEXREPLACE(D241,""[^A-Za-z]+ "",""""))"),"Natilia")</f>
        <v>Natilia</v>
      </c>
      <c r="G12608" s="18" t="s">
        <v>57312</v>
      </c>
      <c r="H12608" s="18">
        <v>90</v>
      </c>
      <c r="I12608" s="18" t="s">
        <v>9239</v>
      </c>
      <c r="J12608" s="18" t="str">
        <f>IFERROR(__XLUDF.DUMMYFUNCTION("VLOOKUP(H241,IMPORTRANGE(""https://docs.google.com/spreadsheets/d/1opm6ZNvGZ7KditA9TuJwrZ25eFLfTNIkrNnY6mhV5Eg"",""list!A1:C115""),3,TRUE)"),"le secteur de la construction")</f>
        <v xml:space="preserve">le secteur de la construction</v>
      </c>
      <c r="K12608" s="5" t="s">
        <v>57313</v>
      </c>
      <c r="L12608" s="5" t="s">
        <v>56165</v>
      </c>
      <c r="M12608" s="18" t="s">
        <v>295</v>
      </c>
      <c r="N12608" s="18" t="s">
        <v>29</v>
      </c>
      <c r="O12608" s="18" t="s">
        <v>56166</v>
      </c>
      <c r="P12608" s="18" t="s">
        <v>29</v>
      </c>
      <c r="Q12608" s="18" t="s">
        <v>56167</v>
      </c>
      <c r="R12608" s="18">
        <v>0.75948090219999997</v>
      </c>
    </row>
    <row r="12609" ht="14.25">
      <c r="B12609" s="18" t="s">
        <v>118</v>
      </c>
      <c r="C12609" s="18" t="s">
        <v>15741</v>
      </c>
      <c r="D12609" s="18" t="s">
        <v>57314</v>
      </c>
      <c r="E12609" s="18" t="s">
        <v>57315</v>
      </c>
      <c r="F12609" s="18" t="str">
        <f>IFERROR(__XLUDF.DUMMYFUNCTION("PROPER(REGEXREPLACE(D242,""[^A-Za-z]+ "",""""))"),"Le Prieuré")</f>
        <v xml:space="preserve">Le Prieuré</v>
      </c>
      <c r="G12609" s="18" t="s">
        <v>57316</v>
      </c>
      <c r="H12609" s="18">
        <v>68</v>
      </c>
      <c r="I12609" s="18" t="s">
        <v>9239</v>
      </c>
      <c r="J12609" s="18" t="str">
        <f>IFERROR(__XLUDF.DUMMYFUNCTION("VLOOKUP(H242,IMPORTRANGE(""https://docs.google.com/spreadsheets/d/1opm6ZNvGZ7KditA9TuJwrZ25eFLfTNIkrNnY6mhV5Eg"",""list!A1:C115""),3,TRUE)"),"le secteur de la construction")</f>
        <v xml:space="preserve">le secteur de la construction</v>
      </c>
      <c r="K12609" s="5" t="s">
        <v>57317</v>
      </c>
      <c r="L12609" s="5" t="s">
        <v>57318</v>
      </c>
      <c r="M12609" s="18" t="s">
        <v>3898</v>
      </c>
      <c r="N12609" s="18" t="s">
        <v>29</v>
      </c>
      <c r="O12609" s="18" t="s">
        <v>57319</v>
      </c>
      <c r="P12609" s="18" t="s">
        <v>29</v>
      </c>
      <c r="Q12609" s="18" t="s">
        <v>57320</v>
      </c>
      <c r="R12609" s="18">
        <v>0.62694504689999997</v>
      </c>
    </row>
    <row r="12610" ht="14.25">
      <c r="B12610" s="18" t="s">
        <v>3165</v>
      </c>
      <c r="C12610" s="18" t="s">
        <v>57321</v>
      </c>
      <c r="D12610" s="18" t="s">
        <v>6362</v>
      </c>
      <c r="E12610" s="18" t="s">
        <v>57322</v>
      </c>
      <c r="F12610" s="18" t="str">
        <f>IFERROR(__XLUDF.DUMMYFUNCTION("PROPER(REGEXREPLACE(D243,""[^A-Za-z]+ "",""""))"),"Bmf")</f>
        <v>Bmf</v>
      </c>
      <c r="G12610" s="18" t="s">
        <v>57323</v>
      </c>
      <c r="H12610" s="18">
        <v>54</v>
      </c>
      <c r="I12610" s="18" t="s">
        <v>9239</v>
      </c>
      <c r="J12610" s="18" t="str">
        <f>IFERROR(__XLUDF.DUMMYFUNCTION("VLOOKUP(H243,IMPORTRANGE(""https://docs.google.com/spreadsheets/d/1opm6ZNvGZ7KditA9TuJwrZ25eFLfTNIkrNnY6mhV5Eg"",""list!A1:C115""),3,TRUE)"),"le secteur de la construction")</f>
        <v xml:space="preserve">le secteur de la construction</v>
      </c>
      <c r="K12610" s="5" t="s">
        <v>57324</v>
      </c>
      <c r="L12610" s="5" t="s">
        <v>57325</v>
      </c>
      <c r="M12610" s="18" t="s">
        <v>185</v>
      </c>
      <c r="N12610" s="18" t="s">
        <v>29</v>
      </c>
      <c r="O12610" s="18" t="s">
        <v>57326</v>
      </c>
      <c r="P12610" s="18" t="s">
        <v>29</v>
      </c>
      <c r="Q12610" s="18" t="s">
        <v>57327</v>
      </c>
      <c r="R12610" s="18">
        <v>0.63640199340000003</v>
      </c>
    </row>
    <row r="12611" ht="14.25">
      <c r="B12611" s="18" t="s">
        <v>46545</v>
      </c>
      <c r="C12611" s="18" t="s">
        <v>52857</v>
      </c>
      <c r="D12611" s="18" t="s">
        <v>6362</v>
      </c>
      <c r="E12611" s="18" t="s">
        <v>52858</v>
      </c>
      <c r="F12611" s="18" t="str">
        <f>IFERROR(__XLUDF.DUMMYFUNCTION("PROPER(REGEXREPLACE(D244,""[^A-Za-z]+ "",""""))"),"Br Consult")</f>
        <v xml:space="preserve">Br Consult</v>
      </c>
      <c r="G12611" s="18" t="s">
        <v>57328</v>
      </c>
      <c r="H12611" s="18">
        <v>26</v>
      </c>
      <c r="I12611" s="18" t="s">
        <v>9239</v>
      </c>
      <c r="J12611" s="18" t="str">
        <f>IFERROR(__XLUDF.DUMMYFUNCTION("VLOOKUP(H244,IMPORTRANGE(""https://docs.google.com/spreadsheets/d/1opm6ZNvGZ7KditA9TuJwrZ25eFLfTNIkrNnY6mhV5Eg"",""list!A1:C115""),3,TRUE)"),"le secteur de la construction")</f>
        <v xml:space="preserve">le secteur de la construction</v>
      </c>
      <c r="K12611" s="5" t="s">
        <v>57329</v>
      </c>
      <c r="L12611" s="5" t="s">
        <v>57330</v>
      </c>
      <c r="M12611" s="18" t="s">
        <v>5449</v>
      </c>
      <c r="N12611" s="18" t="s">
        <v>29</v>
      </c>
      <c r="O12611" s="18" t="s">
        <v>52862</v>
      </c>
      <c r="P12611" s="18" t="s">
        <v>29</v>
      </c>
      <c r="Q12611" s="6"/>
      <c r="R12611" s="18">
        <v>0.8272049225</v>
      </c>
    </row>
    <row r="12612" ht="14.25">
      <c r="B12612" s="18" t="s">
        <v>255</v>
      </c>
      <c r="C12612" s="18" t="s">
        <v>57331</v>
      </c>
      <c r="D12612" s="18" t="s">
        <v>6362</v>
      </c>
      <c r="E12612" s="18" t="s">
        <v>47663</v>
      </c>
      <c r="F12612" s="18" t="str">
        <f>IFERROR(__XLUDF.DUMMYFUNCTION("PROPER(REGEXREPLACE(D245,""[^A-Za-z]+ "",""""))"),"La Compagnie Des Toits")</f>
        <v xml:space="preserve">La Compagnie Des Toits</v>
      </c>
      <c r="G12612" s="18" t="s">
        <v>57332</v>
      </c>
      <c r="H12612" s="18">
        <v>54</v>
      </c>
      <c r="I12612" s="18" t="s">
        <v>9239</v>
      </c>
      <c r="J12612" s="18" t="str">
        <f>IFERROR(__XLUDF.DUMMYFUNCTION("VLOOKUP(H245,IMPORTRANGE(""https://docs.google.com/spreadsheets/d/1opm6ZNvGZ7KditA9TuJwrZ25eFLfTNIkrNnY6mhV5Eg"",""list!A1:C115""),3,TRUE)"),"le secteur de la construction")</f>
        <v xml:space="preserve">le secteur de la construction</v>
      </c>
      <c r="K12612" s="5" t="s">
        <v>57333</v>
      </c>
      <c r="L12612" s="5" t="s">
        <v>56732</v>
      </c>
      <c r="M12612" s="18" t="s">
        <v>16341</v>
      </c>
      <c r="N12612" s="18" t="s">
        <v>29</v>
      </c>
      <c r="O12612" s="18" t="s">
        <v>47667</v>
      </c>
      <c r="P12612" s="18" t="s">
        <v>29</v>
      </c>
      <c r="Q12612" s="18" t="s">
        <v>47668</v>
      </c>
      <c r="R12612" s="18">
        <v>0.48176577949999999</v>
      </c>
    </row>
    <row r="12613" ht="14.25">
      <c r="B12613" s="18" t="s">
        <v>16133</v>
      </c>
      <c r="C12613" s="18" t="s">
        <v>57334</v>
      </c>
      <c r="D12613" s="18" t="s">
        <v>6362</v>
      </c>
      <c r="E12613" s="18" t="s">
        <v>57335</v>
      </c>
      <c r="F12613" s="18" t="str">
        <f>IFERROR(__XLUDF.DUMMYFUNCTION("PROPER(REGEXREPLACE(D246,""[^A-Za-z]+ "",""""))"),"Aquaclim Service")</f>
        <v xml:space="preserve">Aquaclim Service</v>
      </c>
      <c r="G12613" s="18" t="s">
        <v>57336</v>
      </c>
      <c r="H12613" s="18">
        <v>32</v>
      </c>
      <c r="I12613" s="18" t="s">
        <v>9239</v>
      </c>
      <c r="J12613" s="18" t="str">
        <f>IFERROR(__XLUDF.DUMMYFUNCTION("VLOOKUP(H246,IMPORTRANGE(""https://docs.google.com/spreadsheets/d/1opm6ZNvGZ7KditA9TuJwrZ25eFLfTNIkrNnY6mhV5Eg"",""list!A1:C115""),3,TRUE)"),"le secteur de la construction")</f>
        <v xml:space="preserve">le secteur de la construction</v>
      </c>
      <c r="K12613" s="5" t="s">
        <v>57337</v>
      </c>
      <c r="L12613" s="5" t="s">
        <v>57338</v>
      </c>
      <c r="M12613" s="18" t="s">
        <v>5376</v>
      </c>
      <c r="N12613" s="18" t="s">
        <v>29</v>
      </c>
      <c r="O12613" s="18" t="s">
        <v>57339</v>
      </c>
      <c r="P12613" s="18" t="s">
        <v>29</v>
      </c>
      <c r="Q12613" s="18" t="s">
        <v>57340</v>
      </c>
      <c r="R12613" s="18">
        <v>0.40422151680000001</v>
      </c>
    </row>
    <row r="12614" ht="14.25">
      <c r="B12614" s="18" t="s">
        <v>279</v>
      </c>
      <c r="C12614" s="18" t="s">
        <v>56582</v>
      </c>
      <c r="D12614" s="18" t="s">
        <v>57341</v>
      </c>
      <c r="E12614" s="18" t="s">
        <v>56584</v>
      </c>
      <c r="F12614" s="18" t="str">
        <f>IFERROR(__XLUDF.DUMMYFUNCTION("PROPER(REGEXREPLACE(D247,""[^A-Za-z]+ "",""""))"),"Ks Groupe")</f>
        <v xml:space="preserve">Ks Groupe</v>
      </c>
      <c r="G12614" s="18" t="s">
        <v>57342</v>
      </c>
      <c r="H12614" s="18">
        <v>67</v>
      </c>
      <c r="I12614" s="18" t="s">
        <v>9239</v>
      </c>
      <c r="J12614" s="18" t="str">
        <f>IFERROR(__XLUDF.DUMMYFUNCTION("VLOOKUP(H247,IMPORTRANGE(""https://docs.google.com/spreadsheets/d/1opm6ZNvGZ7KditA9TuJwrZ25eFLfTNIkrNnY6mhV5Eg"",""list!A1:C115""),3,TRUE)"),"le secteur de la construction")</f>
        <v xml:space="preserve">le secteur de la construction</v>
      </c>
      <c r="K12614" s="5" t="s">
        <v>57343</v>
      </c>
      <c r="L12614" s="5" t="s">
        <v>56587</v>
      </c>
      <c r="M12614" s="18" t="s">
        <v>1460</v>
      </c>
      <c r="N12614" s="18" t="s">
        <v>29</v>
      </c>
      <c r="O12614" s="18" t="s">
        <v>56588</v>
      </c>
      <c r="P12614" s="18" t="s">
        <v>29</v>
      </c>
      <c r="Q12614" s="18" t="s">
        <v>56589</v>
      </c>
      <c r="R12614" s="18">
        <v>0.46994707679999997</v>
      </c>
    </row>
    <row r="12615" ht="14.25">
      <c r="B12615" s="18" t="s">
        <v>6356</v>
      </c>
      <c r="C12615" s="18" t="s">
        <v>57344</v>
      </c>
      <c r="D12615" s="18" t="s">
        <v>10202</v>
      </c>
      <c r="E12615" s="18" t="s">
        <v>57345</v>
      </c>
      <c r="F12615" s="18" t="str">
        <f>IFERROR(__XLUDF.DUMMYFUNCTION("PROPER(REGEXREPLACE(D248,""[^A-Za-z]+ "",""""))"),"Ana Ingénierie")</f>
        <v xml:space="preserve">Ana Ingénierie</v>
      </c>
      <c r="G12615" s="18" t="s">
        <v>57346</v>
      </c>
      <c r="H12615" s="18">
        <v>60</v>
      </c>
      <c r="I12615" s="18" t="s">
        <v>9239</v>
      </c>
      <c r="J12615" s="18" t="str">
        <f>IFERROR(__XLUDF.DUMMYFUNCTION("VLOOKUP(H248,IMPORTRANGE(""https://docs.google.com/spreadsheets/d/1opm6ZNvGZ7KditA9TuJwrZ25eFLfTNIkrNnY6mhV5Eg"",""list!A1:C115""),3,TRUE)"),"le secteur de la construction")</f>
        <v xml:space="preserve">le secteur de la construction</v>
      </c>
      <c r="K12615" s="5" t="s">
        <v>57347</v>
      </c>
      <c r="L12615" s="5" t="s">
        <v>57348</v>
      </c>
      <c r="M12615" s="6"/>
      <c r="N12615" s="18" t="s">
        <v>29</v>
      </c>
      <c r="O12615" s="18" t="s">
        <v>57349</v>
      </c>
      <c r="P12615" s="18" t="s">
        <v>29</v>
      </c>
      <c r="Q12615" s="18" t="s">
        <v>57350</v>
      </c>
      <c r="R12615" s="18">
        <v>0.6922990296</v>
      </c>
    </row>
    <row r="12616" ht="14.25">
      <c r="B12616" s="18" t="s">
        <v>322</v>
      </c>
      <c r="C12616" s="18" t="s">
        <v>31996</v>
      </c>
      <c r="D12616" s="18" t="s">
        <v>6391</v>
      </c>
      <c r="E12616" s="18" t="s">
        <v>56740</v>
      </c>
      <c r="F12616" s="18" t="str">
        <f>IFERROR(__XLUDF.DUMMYFUNCTION("PROPER(REGEXREPLACE(D249,""[^A-Za-z]+ "",""""))"),"Vip Plus")</f>
        <v xml:space="preserve">Vip Plus</v>
      </c>
      <c r="G12616" s="18" t="s">
        <v>57351</v>
      </c>
      <c r="H12616" s="18">
        <v>39</v>
      </c>
      <c r="I12616" s="18" t="s">
        <v>9239</v>
      </c>
      <c r="J12616" s="18" t="str">
        <f>IFERROR(__XLUDF.DUMMYFUNCTION("VLOOKUP(H249,IMPORTRANGE(""https://docs.google.com/spreadsheets/d/1opm6ZNvGZ7KditA9TuJwrZ25eFLfTNIkrNnY6mhV5Eg"",""list!A1:C115""),3,TRUE)"),"le secteur de la construction")</f>
        <v xml:space="preserve">le secteur de la construction</v>
      </c>
      <c r="K12616" s="5" t="s">
        <v>57352</v>
      </c>
      <c r="L12616" s="5" t="s">
        <v>56743</v>
      </c>
      <c r="M12616" s="18" t="s">
        <v>482</v>
      </c>
      <c r="N12616" s="18" t="s">
        <v>29</v>
      </c>
      <c r="O12616" s="18" t="s">
        <v>56744</v>
      </c>
      <c r="P12616" s="18" t="s">
        <v>29</v>
      </c>
      <c r="Q12616" s="18" t="s">
        <v>56745</v>
      </c>
      <c r="R12616" s="18">
        <v>0.91584929910000001</v>
      </c>
    </row>
    <row r="12617" ht="14.25">
      <c r="B12617" s="18" t="s">
        <v>1704</v>
      </c>
      <c r="C12617" s="18" t="s">
        <v>841</v>
      </c>
      <c r="D12617" s="18" t="s">
        <v>10202</v>
      </c>
      <c r="E12617" s="18" t="s">
        <v>57345</v>
      </c>
      <c r="F12617" s="18" t="str">
        <f>IFERROR(__XLUDF.DUMMYFUNCTION("PROPER(REGEXREPLACE(D250,""[^A-Za-z]+ "",""""))"),"Ana Ingénierie")</f>
        <v xml:space="preserve">Ana Ingénierie</v>
      </c>
      <c r="G12617" s="18" t="s">
        <v>57353</v>
      </c>
      <c r="H12617" s="18">
        <v>60</v>
      </c>
      <c r="I12617" s="18" t="s">
        <v>9239</v>
      </c>
      <c r="J12617" s="18" t="str">
        <f>IFERROR(__XLUDF.DUMMYFUNCTION("VLOOKUP(H250,IMPORTRANGE(""https://docs.google.com/spreadsheets/d/1opm6ZNvGZ7KditA9TuJwrZ25eFLfTNIkrNnY6mhV5Eg"",""list!A1:C115""),3,TRUE)"),"le secteur de la construction")</f>
        <v xml:space="preserve">le secteur de la construction</v>
      </c>
      <c r="K12617" s="5" t="s">
        <v>57354</v>
      </c>
      <c r="L12617" s="5" t="s">
        <v>57348</v>
      </c>
      <c r="M12617" s="18" t="s">
        <v>243</v>
      </c>
      <c r="N12617" s="18" t="s">
        <v>29</v>
      </c>
      <c r="O12617" s="18" t="s">
        <v>57349</v>
      </c>
      <c r="P12617" s="18" t="s">
        <v>29</v>
      </c>
      <c r="Q12617" s="18" t="s">
        <v>57350</v>
      </c>
      <c r="R12617" s="18">
        <v>0.70917101449999997</v>
      </c>
    </row>
    <row r="12618" ht="14.25">
      <c r="B12618" s="18" t="s">
        <v>622</v>
      </c>
      <c r="C12618" s="18" t="s">
        <v>14667</v>
      </c>
      <c r="D12618" s="18" t="s">
        <v>57355</v>
      </c>
      <c r="E12618" s="18" t="s">
        <v>56291</v>
      </c>
      <c r="F12618" s="18" t="str">
        <f>IFERROR(__XLUDF.DUMMYFUNCTION("PROPER(REGEXREPLACE(D251,""[^A-Za-z]+ "",""""))"),"Alkar Constructions Métalliques")</f>
        <v xml:space="preserve">Alkar Constructions Métalliques</v>
      </c>
      <c r="G12618" s="18" t="s">
        <v>57356</v>
      </c>
      <c r="H12618" s="18">
        <v>60</v>
      </c>
      <c r="I12618" s="18" t="s">
        <v>9239</v>
      </c>
      <c r="J12618" s="18" t="str">
        <f>IFERROR(__XLUDF.DUMMYFUNCTION("VLOOKUP(H251,IMPORTRANGE(""https://docs.google.com/spreadsheets/d/1opm6ZNvGZ7KditA9TuJwrZ25eFLfTNIkrNnY6mhV5Eg"",""list!A1:C115""),3,TRUE)"),"le secteur de la construction")</f>
        <v xml:space="preserve">le secteur de la construction</v>
      </c>
      <c r="K12618" s="5" t="s">
        <v>57357</v>
      </c>
      <c r="L12618" s="5" t="s">
        <v>56294</v>
      </c>
      <c r="M12618" s="18" t="s">
        <v>57358</v>
      </c>
      <c r="N12618" s="18" t="s">
        <v>29</v>
      </c>
      <c r="O12618" s="18" t="s">
        <v>56296</v>
      </c>
      <c r="P12618" s="18" t="s">
        <v>29</v>
      </c>
      <c r="Q12618" s="18" t="s">
        <v>56297</v>
      </c>
      <c r="R12618" s="18">
        <v>0.44457635899999998</v>
      </c>
    </row>
    <row r="12619" ht="14.25">
      <c r="B12619" s="18" t="s">
        <v>6356</v>
      </c>
      <c r="C12619" s="18" t="s">
        <v>57359</v>
      </c>
      <c r="D12619" s="18" t="s">
        <v>172</v>
      </c>
      <c r="E12619" s="18" t="s">
        <v>57360</v>
      </c>
      <c r="F12619" s="18" t="str">
        <f>IFERROR(__XLUDF.DUMMYFUNCTION("PROPER(REGEXREPLACE(D252,""[^A-Za-z]+ "",""""))"),"Satri Sam")</f>
        <v xml:space="preserve">Satri Sam</v>
      </c>
      <c r="G12619" s="18" t="s">
        <v>57361</v>
      </c>
      <c r="H12619" s="18">
        <v>56</v>
      </c>
      <c r="I12619" s="18" t="s">
        <v>9239</v>
      </c>
      <c r="J12619" s="18" t="str">
        <f>IFERROR(__XLUDF.DUMMYFUNCTION("VLOOKUP(H252,IMPORTRANGE(""https://docs.google.com/spreadsheets/d/1opm6ZNvGZ7KditA9TuJwrZ25eFLfTNIkrNnY6mhV5Eg"",""list!A1:C115""),3,TRUE)"),"le secteur de la construction")</f>
        <v xml:space="preserve">le secteur de la construction</v>
      </c>
      <c r="K12619" s="5" t="s">
        <v>57362</v>
      </c>
      <c r="L12619" s="5" t="s">
        <v>57363</v>
      </c>
      <c r="M12619" s="18" t="s">
        <v>49</v>
      </c>
      <c r="N12619" s="18" t="s">
        <v>29</v>
      </c>
      <c r="O12619" s="18" t="s">
        <v>57364</v>
      </c>
      <c r="P12619" s="18" t="s">
        <v>18837</v>
      </c>
      <c r="Q12619" s="6"/>
      <c r="R12619" s="18">
        <v>0.3544198321</v>
      </c>
    </row>
    <row r="12620" ht="14.25">
      <c r="B12620" s="18" t="s">
        <v>622</v>
      </c>
      <c r="C12620" s="18" t="s">
        <v>44602</v>
      </c>
      <c r="D12620" s="18" t="s">
        <v>6362</v>
      </c>
      <c r="E12620" s="18" t="s">
        <v>57365</v>
      </c>
      <c r="F12620" s="18" t="str">
        <f>IFERROR(__XLUDF.DUMMYFUNCTION("PROPER(REGEXREPLACE(D253,""[^A-Za-z]+ "",""""))"),"I2D Conseils")</f>
        <v xml:space="preserve">I2D Conseils</v>
      </c>
      <c r="G12620" s="18" t="s">
        <v>57366</v>
      </c>
      <c r="H12620" s="18">
        <v>31</v>
      </c>
      <c r="I12620" s="18" t="s">
        <v>9239</v>
      </c>
      <c r="J12620" s="18" t="str">
        <f>IFERROR(__XLUDF.DUMMYFUNCTION("VLOOKUP(H253,IMPORTRANGE(""https://docs.google.com/spreadsheets/d/1opm6ZNvGZ7KditA9TuJwrZ25eFLfTNIkrNnY6mhV5Eg"",""list!A1:C115""),3,TRUE)"),"le secteur de la construction")</f>
        <v xml:space="preserve">le secteur de la construction</v>
      </c>
      <c r="K12620" s="5" t="s">
        <v>57367</v>
      </c>
      <c r="L12620" s="5" t="s">
        <v>57368</v>
      </c>
      <c r="M12620" s="18" t="s">
        <v>19833</v>
      </c>
      <c r="N12620" s="18" t="s">
        <v>29</v>
      </c>
      <c r="O12620" s="18" t="s">
        <v>57369</v>
      </c>
      <c r="P12620" s="18" t="s">
        <v>29</v>
      </c>
      <c r="Q12620" s="18" t="s">
        <v>57370</v>
      </c>
      <c r="R12620" s="18">
        <v>0.52346599989999998</v>
      </c>
    </row>
    <row r="12621" ht="14.25">
      <c r="B12621" s="18" t="s">
        <v>215</v>
      </c>
      <c r="C12621" s="18" t="s">
        <v>57371</v>
      </c>
      <c r="D12621" s="18" t="s">
        <v>7155</v>
      </c>
      <c r="E12621" s="18" t="s">
        <v>57372</v>
      </c>
      <c r="F12621" s="18" t="str">
        <f>IFERROR(__XLUDF.DUMMYFUNCTION("PROPER(REGEXREPLACE(D254,""[^A-Za-z]+ "",""""))"),"Maisons Mca")</f>
        <v xml:space="preserve">Maisons Mca</v>
      </c>
      <c r="G12621" s="18" t="s">
        <v>57373</v>
      </c>
      <c r="H12621" s="18">
        <v>97</v>
      </c>
      <c r="I12621" s="18" t="s">
        <v>9239</v>
      </c>
      <c r="J12621" s="18" t="str">
        <f>IFERROR(__XLUDF.DUMMYFUNCTION("VLOOKUP(H254,IMPORTRANGE(""https://docs.google.com/spreadsheets/d/1opm6ZNvGZ7KditA9TuJwrZ25eFLfTNIkrNnY6mhV5Eg"",""list!A1:C115""),3,TRUE)"),"le secteur de la construction")</f>
        <v xml:space="preserve">le secteur de la construction</v>
      </c>
      <c r="K12621" s="5" t="s">
        <v>57374</v>
      </c>
      <c r="L12621" s="5" t="s">
        <v>57375</v>
      </c>
      <c r="M12621" s="18" t="s">
        <v>57376</v>
      </c>
      <c r="N12621" s="18" t="s">
        <v>29</v>
      </c>
      <c r="O12621" s="18" t="s">
        <v>57377</v>
      </c>
      <c r="P12621" s="18" t="s">
        <v>29</v>
      </c>
      <c r="Q12621" s="18" t="s">
        <v>57378</v>
      </c>
      <c r="R12621" s="18">
        <v>0.44384784269999999</v>
      </c>
    </row>
    <row r="12622" ht="14.25">
      <c r="B12622" s="18" t="s">
        <v>1704</v>
      </c>
      <c r="C12622" s="18" t="s">
        <v>57379</v>
      </c>
      <c r="D12622" s="18" t="s">
        <v>172</v>
      </c>
      <c r="E12622" s="18" t="s">
        <v>50968</v>
      </c>
      <c r="F12622" s="18" t="str">
        <f>IFERROR(__XLUDF.DUMMYFUNCTION("PROPER(REGEXREPLACE(D255,""[^A-Za-z]+ "",""""))"),"Groupe Omnium")</f>
        <v xml:space="preserve">Groupe Omnium</v>
      </c>
      <c r="G12622" s="18" t="s">
        <v>57380</v>
      </c>
      <c r="H12622" s="18">
        <v>56</v>
      </c>
      <c r="I12622" s="18" t="s">
        <v>9239</v>
      </c>
      <c r="J12622" s="18" t="str">
        <f>IFERROR(__XLUDF.DUMMYFUNCTION("VLOOKUP(H255,IMPORTRANGE(""https://docs.google.com/spreadsheets/d/1opm6ZNvGZ7KditA9TuJwrZ25eFLfTNIkrNnY6mhV5Eg"",""list!A1:C115""),3,TRUE)"),"le secteur de la construction")</f>
        <v xml:space="preserve">le secteur de la construction</v>
      </c>
      <c r="K12622" s="5" t="s">
        <v>57381</v>
      </c>
      <c r="L12622" s="5" t="s">
        <v>57382</v>
      </c>
      <c r="M12622" s="18" t="s">
        <v>295</v>
      </c>
      <c r="N12622" s="18" t="s">
        <v>29</v>
      </c>
      <c r="O12622" s="18" t="s">
        <v>50972</v>
      </c>
      <c r="P12622" s="18" t="s">
        <v>29</v>
      </c>
      <c r="Q12622" s="18" t="s">
        <v>50973</v>
      </c>
      <c r="R12622" s="18">
        <v>0.4561845564</v>
      </c>
    </row>
    <row r="12623" ht="14.25">
      <c r="B12623" s="18" t="s">
        <v>322</v>
      </c>
      <c r="C12623" s="18" t="s">
        <v>12327</v>
      </c>
      <c r="D12623" s="18" t="s">
        <v>426</v>
      </c>
      <c r="E12623" s="18" t="s">
        <v>56836</v>
      </c>
      <c r="F12623" s="18" t="str">
        <f>IFERROR(__XLUDF.DUMMYFUNCTION("PROPER(REGEXREPLACE(D256,""[^A-Za-z]+ "",""""))"),"Groupe Comelec")</f>
        <v xml:space="preserve">Groupe Comelec</v>
      </c>
      <c r="G12623" s="18" t="s">
        <v>57383</v>
      </c>
      <c r="H12623" s="18">
        <v>95</v>
      </c>
      <c r="I12623" s="18" t="s">
        <v>9239</v>
      </c>
      <c r="J12623" s="18" t="str">
        <f>IFERROR(__XLUDF.DUMMYFUNCTION("VLOOKUP(H256,IMPORTRANGE(""https://docs.google.com/spreadsheets/d/1opm6ZNvGZ7KditA9TuJwrZ25eFLfTNIkrNnY6mhV5Eg"",""list!A1:C115""),3,TRUE)"),"le secteur de la construction")</f>
        <v xml:space="preserve">le secteur de la construction</v>
      </c>
      <c r="K12623" s="5" t="s">
        <v>57384</v>
      </c>
      <c r="L12623" s="5" t="s">
        <v>56839</v>
      </c>
      <c r="M12623" s="18" t="s">
        <v>12445</v>
      </c>
      <c r="N12623" s="18" t="s">
        <v>29</v>
      </c>
      <c r="O12623" s="18" t="s">
        <v>56840</v>
      </c>
      <c r="P12623" s="18" t="s">
        <v>29</v>
      </c>
      <c r="Q12623" s="18" t="s">
        <v>56841</v>
      </c>
      <c r="R12623" s="18">
        <v>0.1583317622</v>
      </c>
    </row>
    <row r="12624" ht="14.25">
      <c r="B12624" s="18" t="s">
        <v>322</v>
      </c>
      <c r="C12624" s="18" t="s">
        <v>57385</v>
      </c>
      <c r="D12624" s="18" t="s">
        <v>57386</v>
      </c>
      <c r="E12624" s="18" t="s">
        <v>57387</v>
      </c>
      <c r="F12624" s="18" t="str">
        <f>IFERROR(__XLUDF.DUMMYFUNCTION("PROPER(REGEXREPLACE(D257,""[^A-Za-z]+ "",""""))"),"Moduo")</f>
        <v>Moduo</v>
      </c>
      <c r="G12624" s="18" t="s">
        <v>57388</v>
      </c>
      <c r="H12624" s="18">
        <v>73</v>
      </c>
      <c r="I12624" s="18" t="s">
        <v>9239</v>
      </c>
      <c r="J12624" s="18" t="str">
        <f>IFERROR(__XLUDF.DUMMYFUNCTION("VLOOKUP(H257,IMPORTRANGE(""https://docs.google.com/spreadsheets/d/1opm6ZNvGZ7KditA9TuJwrZ25eFLfTNIkrNnY6mhV5Eg"",""list!A1:C115""),3,TRUE)"),"le secteur de la construction")</f>
        <v xml:space="preserve">le secteur de la construction</v>
      </c>
      <c r="K12624" s="5" t="s">
        <v>57389</v>
      </c>
      <c r="L12624" s="5" t="s">
        <v>57390</v>
      </c>
      <c r="M12624" s="18" t="s">
        <v>846</v>
      </c>
      <c r="N12624" s="18" t="s">
        <v>29</v>
      </c>
      <c r="O12624" s="18" t="s">
        <v>57391</v>
      </c>
      <c r="P12624" s="18" t="s">
        <v>29</v>
      </c>
      <c r="Q12624" s="18" t="s">
        <v>57392</v>
      </c>
      <c r="R12624" s="18">
        <v>0.54158349549999996</v>
      </c>
    </row>
    <row r="12625" ht="14.25">
      <c r="B12625" s="18" t="s">
        <v>622</v>
      </c>
      <c r="C12625" s="18" t="s">
        <v>15353</v>
      </c>
      <c r="D12625" s="18" t="s">
        <v>7155</v>
      </c>
      <c r="E12625" s="18" t="s">
        <v>56063</v>
      </c>
      <c r="F12625" s="18" t="str">
        <f>IFERROR(__XLUDF.DUMMYFUNCTION("PROPER(REGEXREPLACE(D258,""[^A-Za-z]+ "",""""))"),"Soriba")</f>
        <v>Soriba</v>
      </c>
      <c r="G12625" s="18" t="s">
        <v>57393</v>
      </c>
      <c r="H12625" s="18">
        <v>80</v>
      </c>
      <c r="I12625" s="18" t="s">
        <v>9239</v>
      </c>
      <c r="J12625" s="18" t="str">
        <f>IFERROR(__XLUDF.DUMMYFUNCTION("VLOOKUP(H258,IMPORTRANGE(""https://docs.google.com/spreadsheets/d/1opm6ZNvGZ7KditA9TuJwrZ25eFLfTNIkrNnY6mhV5Eg"",""list!A1:C115""),3,TRUE)"),"le secteur de la construction")</f>
        <v xml:space="preserve">le secteur de la construction</v>
      </c>
      <c r="K12625" s="5" t="s">
        <v>57394</v>
      </c>
      <c r="L12625" s="5" t="s">
        <v>56066</v>
      </c>
      <c r="M12625" s="18" t="s">
        <v>1711</v>
      </c>
      <c r="N12625" s="18" t="s">
        <v>29</v>
      </c>
      <c r="O12625" s="18" t="s">
        <v>56067</v>
      </c>
      <c r="P12625" s="18" t="s">
        <v>29</v>
      </c>
      <c r="Q12625" s="18" t="s">
        <v>56068</v>
      </c>
      <c r="R12625" s="18">
        <v>0.6835501088</v>
      </c>
    </row>
    <row r="12626" ht="14.25">
      <c r="B12626" s="18" t="s">
        <v>322</v>
      </c>
      <c r="C12626" s="18" t="s">
        <v>57395</v>
      </c>
      <c r="D12626" s="18" t="s">
        <v>468</v>
      </c>
      <c r="E12626" s="18" t="s">
        <v>57396</v>
      </c>
      <c r="F12626" s="18" t="str">
        <f>IFERROR(__XLUDF.DUMMYFUNCTION("PROPER(REGEXREPLACE(D259,""[^A-Za-z]+ "",""""))"),"Jarnias")</f>
        <v>Jarnias</v>
      </c>
      <c r="G12626" s="18" t="s">
        <v>57397</v>
      </c>
      <c r="H12626" s="18">
        <v>93</v>
      </c>
      <c r="I12626" s="18" t="s">
        <v>9239</v>
      </c>
      <c r="J12626" s="18" t="str">
        <f>IFERROR(__XLUDF.DUMMYFUNCTION("VLOOKUP(H259,IMPORTRANGE(""https://docs.google.com/spreadsheets/d/1opm6ZNvGZ7KditA9TuJwrZ25eFLfTNIkrNnY6mhV5Eg"",""list!A1:C115""),3,TRUE)"),"le secteur de la construction")</f>
        <v xml:space="preserve">le secteur de la construction</v>
      </c>
      <c r="K12626" s="5" t="s">
        <v>57398</v>
      </c>
      <c r="L12626" s="5" t="s">
        <v>57399</v>
      </c>
      <c r="M12626" s="6"/>
      <c r="N12626" s="18" t="s">
        <v>29</v>
      </c>
      <c r="O12626" s="18" t="s">
        <v>57400</v>
      </c>
      <c r="P12626" s="18" t="s">
        <v>29</v>
      </c>
      <c r="Q12626" s="18" t="s">
        <v>57401</v>
      </c>
      <c r="R12626" s="18">
        <v>0.84896071120000005</v>
      </c>
    </row>
    <row r="12627" ht="14.25">
      <c r="B12627" s="18" t="s">
        <v>6356</v>
      </c>
      <c r="C12627" s="18" t="s">
        <v>57402</v>
      </c>
      <c r="D12627" s="18" t="s">
        <v>7339</v>
      </c>
      <c r="E12627" s="18" t="s">
        <v>57403</v>
      </c>
      <c r="F12627" s="18" t="str">
        <f>IFERROR(__XLUDF.DUMMYFUNCTION("PROPER(REGEXREPLACE(D260,""[^A-Za-z]+ "",""""))"),"Sotrav")</f>
        <v>Sotrav</v>
      </c>
      <c r="G12627" s="18" t="s">
        <v>57404</v>
      </c>
      <c r="H12627" s="18">
        <v>40</v>
      </c>
      <c r="I12627" s="18" t="s">
        <v>9239</v>
      </c>
      <c r="J12627" s="18" t="str">
        <f>IFERROR(__XLUDF.DUMMYFUNCTION("VLOOKUP(H260,IMPORTRANGE(""https://docs.google.com/spreadsheets/d/1opm6ZNvGZ7KditA9TuJwrZ25eFLfTNIkrNnY6mhV5Eg"",""list!A1:C115""),3,TRUE)"),"le secteur de la construction")</f>
        <v xml:space="preserve">le secteur de la construction</v>
      </c>
      <c r="K12627" s="5" t="s">
        <v>57405</v>
      </c>
      <c r="L12627" s="5" t="s">
        <v>57406</v>
      </c>
      <c r="M12627" s="6"/>
      <c r="N12627" s="18" t="s">
        <v>29</v>
      </c>
      <c r="O12627" s="18" t="s">
        <v>57407</v>
      </c>
      <c r="P12627" s="18" t="s">
        <v>29</v>
      </c>
      <c r="Q12627" s="18" t="s">
        <v>57408</v>
      </c>
      <c r="R12627" s="18">
        <v>0.60536118449999998</v>
      </c>
    </row>
    <row r="12628" ht="14.25">
      <c r="B12628" s="18" t="s">
        <v>2932</v>
      </c>
      <c r="C12628" s="18" t="s">
        <v>57409</v>
      </c>
      <c r="D12628" s="18" t="s">
        <v>6362</v>
      </c>
      <c r="E12628" s="18" t="s">
        <v>52039</v>
      </c>
      <c r="F12628" s="18" t="str">
        <f>IFERROR(__XLUDF.DUMMYFUNCTION("PROPER(REGEXREPLACE(D261,""[^A-Za-z]+ "",""""))"),"Smb")</f>
        <v>Smb</v>
      </c>
      <c r="G12628" s="18" t="s">
        <v>57410</v>
      </c>
      <c r="H12628" s="18">
        <v>59</v>
      </c>
      <c r="I12628" s="18" t="s">
        <v>9239</v>
      </c>
      <c r="J12628" s="18" t="str">
        <f>IFERROR(__XLUDF.DUMMYFUNCTION("VLOOKUP(H261,IMPORTRANGE(""https://docs.google.com/spreadsheets/d/1opm6ZNvGZ7KditA9TuJwrZ25eFLfTNIkrNnY6mhV5Eg"",""list!A1:C115""),3,TRUE)"),"le secteur de la construction")</f>
        <v xml:space="preserve">le secteur de la construction</v>
      </c>
      <c r="K12628" s="5" t="s">
        <v>57411</v>
      </c>
      <c r="L12628" s="5" t="s">
        <v>57412</v>
      </c>
      <c r="M12628" s="18" t="s">
        <v>831</v>
      </c>
      <c r="N12628" s="18" t="s">
        <v>29</v>
      </c>
      <c r="O12628" s="18" t="s">
        <v>57413</v>
      </c>
      <c r="P12628" s="18" t="s">
        <v>29</v>
      </c>
      <c r="Q12628" s="18" t="s">
        <v>57414</v>
      </c>
      <c r="R12628" s="18">
        <v>0.39286393860000002</v>
      </c>
    </row>
    <row r="12629" ht="14.25">
      <c r="B12629" s="18" t="s">
        <v>298</v>
      </c>
      <c r="C12629" s="18" t="s">
        <v>7095</v>
      </c>
      <c r="D12629" s="18" t="s">
        <v>4586</v>
      </c>
      <c r="E12629" s="18" t="s">
        <v>56821</v>
      </c>
      <c r="F12629" s="18" t="str">
        <f>IFERROR(__XLUDF.DUMMYFUNCTION("PROPER(REGEXREPLACE(D262,""[^A-Za-z]+ "",""""))"),"Slci Groupe Acteur Du Réseau Procivis")</f>
        <v xml:space="preserve">Slci Groupe Acteur Du Réseau Procivis</v>
      </c>
      <c r="G12629" s="18" t="s">
        <v>57415</v>
      </c>
      <c r="H12629" s="18">
        <v>84</v>
      </c>
      <c r="I12629" s="18" t="s">
        <v>9239</v>
      </c>
      <c r="J12629" s="18" t="str">
        <f>IFERROR(__XLUDF.DUMMYFUNCTION("VLOOKUP(H262,IMPORTRANGE(""https://docs.google.com/spreadsheets/d/1opm6ZNvGZ7KditA9TuJwrZ25eFLfTNIkrNnY6mhV5Eg"",""list!A1:C115""),3,TRUE)"),"le secteur de la construction")</f>
        <v xml:space="preserve">le secteur de la construction</v>
      </c>
      <c r="K12629" s="5" t="s">
        <v>57416</v>
      </c>
      <c r="L12629" s="5" t="s">
        <v>56824</v>
      </c>
      <c r="M12629" s="18" t="s">
        <v>185</v>
      </c>
      <c r="N12629" s="18" t="s">
        <v>29</v>
      </c>
      <c r="O12629" s="18" t="s">
        <v>56825</v>
      </c>
      <c r="P12629" s="18" t="s">
        <v>29</v>
      </c>
      <c r="Q12629" s="6"/>
      <c r="R12629" s="18">
        <v>0.76811075380000005</v>
      </c>
    </row>
    <row r="12630" ht="14.25">
      <c r="B12630" s="18" t="s">
        <v>1704</v>
      </c>
      <c r="C12630" s="18" t="s">
        <v>57417</v>
      </c>
      <c r="D12630" s="18" t="s">
        <v>57418</v>
      </c>
      <c r="E12630" s="18" t="s">
        <v>47663</v>
      </c>
      <c r="F12630" s="18" t="str">
        <f>IFERROR(__XLUDF.DUMMYFUNCTION("PROPER(REGEXREPLACE(D263,""[^A-Za-z]+ "",""""))"),"La Compagnie Des Toits")</f>
        <v xml:space="preserve">La Compagnie Des Toits</v>
      </c>
      <c r="G12630" s="18" t="s">
        <v>57419</v>
      </c>
      <c r="H12630" s="18">
        <v>54</v>
      </c>
      <c r="I12630" s="18" t="s">
        <v>9239</v>
      </c>
      <c r="J12630" s="18" t="str">
        <f>IFERROR(__XLUDF.DUMMYFUNCTION("VLOOKUP(H263,IMPORTRANGE(""https://docs.google.com/spreadsheets/d/1opm6ZNvGZ7KditA9TuJwrZ25eFLfTNIkrNnY6mhV5Eg"",""list!A1:C115""),3,TRUE)"),"le secteur de la construction")</f>
        <v xml:space="preserve">le secteur de la construction</v>
      </c>
      <c r="K12630" s="5" t="s">
        <v>57420</v>
      </c>
      <c r="L12630" s="5" t="s">
        <v>56732</v>
      </c>
      <c r="M12630" s="6"/>
      <c r="N12630" s="18" t="s">
        <v>29</v>
      </c>
      <c r="O12630" s="18" t="s">
        <v>47667</v>
      </c>
      <c r="P12630" s="18" t="s">
        <v>29</v>
      </c>
      <c r="Q12630" s="18" t="s">
        <v>47668</v>
      </c>
      <c r="R12630" s="18">
        <v>0.81519563549999996</v>
      </c>
    </row>
    <row r="12631" ht="14.25">
      <c r="B12631" s="18" t="s">
        <v>622</v>
      </c>
      <c r="C12631" s="18" t="s">
        <v>57421</v>
      </c>
      <c r="D12631" s="18" t="s">
        <v>172</v>
      </c>
      <c r="E12631" s="18" t="s">
        <v>57422</v>
      </c>
      <c r="F12631" s="18" t="str">
        <f>IFERROR(__XLUDF.DUMMYFUNCTION("PROPER(REGEXREPLACE(D264,""[^A-Za-z]+ "",""""))"),"Mayers")</f>
        <v>Mayers</v>
      </c>
      <c r="G12631" s="18" t="s">
        <v>57423</v>
      </c>
      <c r="H12631" s="18">
        <v>66</v>
      </c>
      <c r="I12631" s="18" t="s">
        <v>9239</v>
      </c>
      <c r="J12631" s="18" t="str">
        <f>IFERROR(__XLUDF.DUMMYFUNCTION("VLOOKUP(H264,IMPORTRANGE(""https://docs.google.com/spreadsheets/d/1opm6ZNvGZ7KditA9TuJwrZ25eFLfTNIkrNnY6mhV5Eg"",""list!A1:C115""),3,TRUE)"),"le secteur de la construction")</f>
        <v xml:space="preserve">le secteur de la construction</v>
      </c>
      <c r="K12631" s="5" t="s">
        <v>57424</v>
      </c>
      <c r="L12631" s="5" t="s">
        <v>57425</v>
      </c>
      <c r="M12631" s="18" t="s">
        <v>19226</v>
      </c>
      <c r="N12631" s="18" t="s">
        <v>29</v>
      </c>
      <c r="O12631" s="18" t="s">
        <v>4883</v>
      </c>
      <c r="P12631" s="18" t="s">
        <v>29</v>
      </c>
      <c r="Q12631" s="18" t="s">
        <v>57426</v>
      </c>
      <c r="R12631" s="18">
        <v>0.87616410410000001</v>
      </c>
    </row>
    <row r="12632" ht="14.25">
      <c r="B12632" s="18" t="s">
        <v>622</v>
      </c>
      <c r="C12632" s="18" t="s">
        <v>2932</v>
      </c>
      <c r="D12632" s="18" t="s">
        <v>6362</v>
      </c>
      <c r="E12632" s="18" t="s">
        <v>57427</v>
      </c>
      <c r="F12632" s="18" t="str">
        <f>IFERROR(__XLUDF.DUMMYFUNCTION("PROPER(REGEXREPLACE(D265,""[^A-Za-z]+ "",""""))"),"Afs Plomberie Cvc")</f>
        <v xml:space="preserve">Afs Plomberie Cvc</v>
      </c>
      <c r="G12632" s="18" t="s">
        <v>57428</v>
      </c>
      <c r="H12632" s="18">
        <v>25</v>
      </c>
      <c r="I12632" s="18" t="s">
        <v>9239</v>
      </c>
      <c r="J12632" s="18" t="str">
        <f>IFERROR(__XLUDF.DUMMYFUNCTION("VLOOKUP(H265,IMPORTRANGE(""https://docs.google.com/spreadsheets/d/1opm6ZNvGZ7KditA9TuJwrZ25eFLfTNIkrNnY6mhV5Eg"",""list!A1:C115""),3,TRUE)"),"le secteur de la construction")</f>
        <v xml:space="preserve">le secteur de la construction</v>
      </c>
      <c r="K12632" s="5" t="s">
        <v>57429</v>
      </c>
      <c r="L12632" s="5" t="s">
        <v>57430</v>
      </c>
      <c r="M12632" s="6"/>
      <c r="N12632" s="18" t="s">
        <v>29</v>
      </c>
      <c r="O12632" s="18" t="s">
        <v>57431</v>
      </c>
      <c r="P12632" s="18" t="s">
        <v>29</v>
      </c>
      <c r="Q12632" s="18" t="s">
        <v>57432</v>
      </c>
      <c r="R12632" s="18">
        <v>0.057298720810000002</v>
      </c>
    </row>
    <row r="12633" ht="14.25">
      <c r="B12633" s="18" t="s">
        <v>622</v>
      </c>
      <c r="C12633" s="18" t="s">
        <v>48408</v>
      </c>
      <c r="D12633" s="18" t="s">
        <v>6362</v>
      </c>
      <c r="E12633" s="18" t="s">
        <v>57433</v>
      </c>
      <c r="F12633" s="18" t="str">
        <f>IFERROR(__XLUDF.DUMMYFUNCTION("PROPER(REGEXREPLACE(D266,""[^A-Za-z]+ "",""""))"),"Entreprise Neveu")</f>
        <v xml:space="preserve">Entreprise Neveu</v>
      </c>
      <c r="G12633" s="18" t="s">
        <v>57434</v>
      </c>
      <c r="H12633" s="18">
        <v>26</v>
      </c>
      <c r="I12633" s="18" t="s">
        <v>9239</v>
      </c>
      <c r="J12633" s="18" t="str">
        <f>IFERROR(__XLUDF.DUMMYFUNCTION("VLOOKUP(H266,IMPORTRANGE(""https://docs.google.com/spreadsheets/d/1opm6ZNvGZ7KditA9TuJwrZ25eFLfTNIkrNnY6mhV5Eg"",""list!A1:C115""),3,TRUE)"),"le secteur de la construction")</f>
        <v xml:space="preserve">le secteur de la construction</v>
      </c>
      <c r="K12633" s="5" t="s">
        <v>57435</v>
      </c>
      <c r="L12633" s="5" t="s">
        <v>57436</v>
      </c>
      <c r="M12633" s="18" t="s">
        <v>243</v>
      </c>
      <c r="N12633" s="18" t="s">
        <v>29</v>
      </c>
      <c r="O12633" s="18" t="s">
        <v>57437</v>
      </c>
      <c r="P12633" s="18" t="s">
        <v>29</v>
      </c>
      <c r="Q12633" s="18" t="s">
        <v>57438</v>
      </c>
      <c r="R12633" s="18">
        <v>0.15401762569999999</v>
      </c>
    </row>
    <row r="12634" ht="14.25">
      <c r="B12634" s="18" t="s">
        <v>45018</v>
      </c>
      <c r="C12634" s="18" t="s">
        <v>57439</v>
      </c>
      <c r="D12634" s="18" t="s">
        <v>6362</v>
      </c>
      <c r="E12634" s="18" t="s">
        <v>57440</v>
      </c>
      <c r="F12634" s="18" t="str">
        <f>IFERROR(__XLUDF.DUMMYFUNCTION("PROPER(REGEXREPLACE(D267,""[^A-Za-z]+ "",""""))"),"A Ciel Ouvert")</f>
        <v xml:space="preserve">A Ciel Ouvert</v>
      </c>
      <c r="G12634" s="18" t="s">
        <v>57441</v>
      </c>
      <c r="H12634" s="18">
        <v>37</v>
      </c>
      <c r="I12634" s="18" t="s">
        <v>9239</v>
      </c>
      <c r="J12634" s="18" t="str">
        <f>IFERROR(__XLUDF.DUMMYFUNCTION("VLOOKUP(H267,IMPORTRANGE(""https://docs.google.com/spreadsheets/d/1opm6ZNvGZ7KditA9TuJwrZ25eFLfTNIkrNnY6mhV5Eg"",""list!A1:C115""),3,TRUE)"),"le secteur de la construction")</f>
        <v xml:space="preserve">le secteur de la construction</v>
      </c>
      <c r="K12634" s="5" t="s">
        <v>57442</v>
      </c>
      <c r="L12634" s="5" t="s">
        <v>57443</v>
      </c>
      <c r="M12634" s="18" t="s">
        <v>4922</v>
      </c>
      <c r="N12634" s="18" t="s">
        <v>29</v>
      </c>
      <c r="O12634" s="18" t="s">
        <v>57444</v>
      </c>
      <c r="P12634" s="18" t="s">
        <v>29</v>
      </c>
      <c r="Q12634" s="18" t="s">
        <v>57445</v>
      </c>
      <c r="R12634" s="18">
        <v>0.61228977620000002</v>
      </c>
    </row>
    <row r="12635" ht="14.25">
      <c r="B12635" s="18" t="s">
        <v>20</v>
      </c>
      <c r="C12635" s="18" t="s">
        <v>57446</v>
      </c>
      <c r="D12635" s="18" t="s">
        <v>57447</v>
      </c>
      <c r="E12635" s="18" t="s">
        <v>57448</v>
      </c>
      <c r="F12635" s="18" t="str">
        <f>IFERROR(__XLUDF.DUMMYFUNCTION("PROPER(REGEXREPLACE(D268,""[^A-Za-z]+ "",""""))"),"Gipen")</f>
        <v>Gipen</v>
      </c>
      <c r="G12635" s="18" t="s">
        <v>57449</v>
      </c>
      <c r="H12635" s="18">
        <v>62</v>
      </c>
      <c r="I12635" s="18" t="s">
        <v>9239</v>
      </c>
      <c r="J12635" s="18" t="str">
        <f>IFERROR(__XLUDF.DUMMYFUNCTION("VLOOKUP(H268,IMPORTRANGE(""https://docs.google.com/spreadsheets/d/1opm6ZNvGZ7KditA9TuJwrZ25eFLfTNIkrNnY6mhV5Eg"",""list!A1:C115""),3,TRUE)"),"le secteur de la construction")</f>
        <v xml:space="preserve">le secteur de la construction</v>
      </c>
      <c r="K12635" s="5" t="s">
        <v>57450</v>
      </c>
      <c r="L12635" s="5" t="s">
        <v>57451</v>
      </c>
      <c r="M12635" s="6"/>
      <c r="N12635" s="18" t="s">
        <v>29</v>
      </c>
      <c r="O12635" s="18" t="s">
        <v>57452</v>
      </c>
      <c r="P12635" s="18" t="s">
        <v>29</v>
      </c>
      <c r="Q12635" s="18" t="s">
        <v>57453</v>
      </c>
      <c r="R12635" s="18">
        <v>0.91197467030000001</v>
      </c>
    </row>
    <row r="12636" ht="14.25">
      <c r="B12636" s="18" t="s">
        <v>24776</v>
      </c>
      <c r="C12636" s="18" t="s">
        <v>1583</v>
      </c>
      <c r="D12636" s="18" t="s">
        <v>468</v>
      </c>
      <c r="E12636" s="18" t="s">
        <v>57454</v>
      </c>
      <c r="F12636" s="18" t="str">
        <f>IFERROR(__XLUDF.DUMMYFUNCTION("PROPER(REGEXREPLACE(D269,""[^A-Za-z]+ "",""""))"),"Fontanel Groupe")</f>
        <v xml:space="preserve">Fontanel Groupe</v>
      </c>
      <c r="G12636" s="18" t="s">
        <v>57455</v>
      </c>
      <c r="H12636" s="18">
        <v>91</v>
      </c>
      <c r="I12636" s="18" t="s">
        <v>9239</v>
      </c>
      <c r="J12636" s="18" t="str">
        <f>IFERROR(__XLUDF.DUMMYFUNCTION("VLOOKUP(H269,IMPORTRANGE(""https://docs.google.com/spreadsheets/d/1opm6ZNvGZ7KditA9TuJwrZ25eFLfTNIkrNnY6mhV5Eg"",""list!A1:C115""),3,TRUE)"),"le secteur de la construction")</f>
        <v xml:space="preserve">le secteur de la construction</v>
      </c>
      <c r="K12636" s="5" t="s">
        <v>57456</v>
      </c>
      <c r="L12636" s="5" t="s">
        <v>57457</v>
      </c>
      <c r="M12636" s="6"/>
      <c r="N12636" s="18" t="s">
        <v>29</v>
      </c>
      <c r="O12636" s="18" t="s">
        <v>57458</v>
      </c>
      <c r="P12636" s="18" t="s">
        <v>29</v>
      </c>
      <c r="Q12636" s="6"/>
      <c r="R12636" s="18">
        <v>0.6175180079</v>
      </c>
    </row>
    <row r="12637" ht="14.25">
      <c r="B12637" s="18" t="s">
        <v>1583</v>
      </c>
      <c r="C12637" s="18" t="s">
        <v>3942</v>
      </c>
      <c r="D12637" s="18" t="s">
        <v>426</v>
      </c>
      <c r="E12637" s="18" t="s">
        <v>57459</v>
      </c>
      <c r="F12637" s="18" t="str">
        <f>IFERROR(__XLUDF.DUMMYFUNCTION("PROPER(REGEXREPLACE(D270,""[^A-Za-z]+ "",""""))"),"Maisons Clair Logis")</f>
        <v xml:space="preserve">Maisons Clair Logis</v>
      </c>
      <c r="G12637" s="18" t="s">
        <v>57460</v>
      </c>
      <c r="H12637" s="18">
        <v>80</v>
      </c>
      <c r="I12637" s="18" t="s">
        <v>9239</v>
      </c>
      <c r="J12637" s="18" t="str">
        <f>IFERROR(__XLUDF.DUMMYFUNCTION("VLOOKUP(H270,IMPORTRANGE(""https://docs.google.com/spreadsheets/d/1opm6ZNvGZ7KditA9TuJwrZ25eFLfTNIkrNnY6mhV5Eg"",""list!A1:C115""),3,TRUE)"),"le secteur de la construction")</f>
        <v xml:space="preserve">le secteur de la construction</v>
      </c>
      <c r="K12637" s="5" t="s">
        <v>57461</v>
      </c>
      <c r="L12637" s="5" t="s">
        <v>57462</v>
      </c>
      <c r="M12637" s="6"/>
      <c r="N12637" s="18" t="s">
        <v>29</v>
      </c>
      <c r="O12637" s="18" t="s">
        <v>57463</v>
      </c>
      <c r="P12637" s="18" t="s">
        <v>29</v>
      </c>
      <c r="Q12637" s="18" t="s">
        <v>57464</v>
      </c>
      <c r="R12637" s="18">
        <v>0.66130379340000001</v>
      </c>
    </row>
    <row r="12638" ht="14.25">
      <c r="B12638" s="18" t="s">
        <v>1844</v>
      </c>
      <c r="C12638" s="18" t="s">
        <v>57465</v>
      </c>
      <c r="D12638" s="18" t="s">
        <v>468</v>
      </c>
      <c r="E12638" s="18" t="s">
        <v>56481</v>
      </c>
      <c r="F12638" s="18" t="str">
        <f>IFERROR(__XLUDF.DUMMYFUNCTION("PROPER(REGEXREPLACE(D271,""[^A-Za-z]+ "",""""))"),"Big")</f>
        <v>Big</v>
      </c>
      <c r="G12638" s="18" t="s">
        <v>57466</v>
      </c>
      <c r="H12638" s="18">
        <v>56</v>
      </c>
      <c r="I12638" s="18" t="s">
        <v>9239</v>
      </c>
      <c r="J12638" s="18" t="str">
        <f>IFERROR(__XLUDF.DUMMYFUNCTION("VLOOKUP(H271,IMPORTRANGE(""https://docs.google.com/spreadsheets/d/1opm6ZNvGZ7KditA9TuJwrZ25eFLfTNIkrNnY6mhV5Eg"",""list!A1:C115""),3,TRUE)"),"le secteur de la construction")</f>
        <v xml:space="preserve">le secteur de la construction</v>
      </c>
      <c r="K12638" s="5" t="s">
        <v>57467</v>
      </c>
      <c r="L12638" s="5" t="s">
        <v>56484</v>
      </c>
      <c r="M12638" s="18" t="s">
        <v>185</v>
      </c>
      <c r="N12638" s="18" t="s">
        <v>29</v>
      </c>
      <c r="O12638" s="18" t="s">
        <v>56485</v>
      </c>
      <c r="P12638" s="18" t="s">
        <v>29</v>
      </c>
      <c r="Q12638" s="6"/>
      <c r="R12638" s="18">
        <v>0.77093524550000003</v>
      </c>
    </row>
    <row r="12639" ht="14.25">
      <c r="B12639" s="18" t="s">
        <v>2348</v>
      </c>
      <c r="C12639" s="18" t="s">
        <v>18672</v>
      </c>
      <c r="D12639" s="18" t="s">
        <v>172</v>
      </c>
      <c r="E12639" s="18" t="s">
        <v>56368</v>
      </c>
      <c r="F12639" s="18" t="str">
        <f>IFERROR(__XLUDF.DUMMYFUNCTION("PROPER(REGEXREPLACE(D272,""[^A-Za-z]+ "",""""))"),"Nicoletta Groupe")</f>
        <v xml:space="preserve">Nicoletta Groupe</v>
      </c>
      <c r="G12639" s="18" t="s">
        <v>57468</v>
      </c>
      <c r="H12639" s="18">
        <v>98</v>
      </c>
      <c r="I12639" s="18" t="s">
        <v>9239</v>
      </c>
      <c r="J12639" s="18" t="str">
        <f>IFERROR(__XLUDF.DUMMYFUNCTION("VLOOKUP(H272,IMPORTRANGE(""https://docs.google.com/spreadsheets/d/1opm6ZNvGZ7KditA9TuJwrZ25eFLfTNIkrNnY6mhV5Eg"",""list!A1:C115""),3,TRUE)"),"le secteur de la construction")</f>
        <v xml:space="preserve">le secteur de la construction</v>
      </c>
      <c r="K12639" s="5" t="s">
        <v>57469</v>
      </c>
      <c r="L12639" s="5" t="s">
        <v>56371</v>
      </c>
      <c r="M12639" s="18" t="s">
        <v>57470</v>
      </c>
      <c r="N12639" s="18" t="s">
        <v>29</v>
      </c>
      <c r="O12639" s="18" t="s">
        <v>56372</v>
      </c>
      <c r="P12639" s="18" t="s">
        <v>29</v>
      </c>
      <c r="Q12639" s="18" t="s">
        <v>56373</v>
      </c>
      <c r="R12639" s="18">
        <v>0.50693541750000004</v>
      </c>
    </row>
    <row r="12640" ht="14.25">
      <c r="B12640" s="18" t="s">
        <v>1583</v>
      </c>
      <c r="C12640" s="18" t="s">
        <v>2437</v>
      </c>
      <c r="D12640" s="18" t="s">
        <v>426</v>
      </c>
      <c r="E12640" s="18" t="s">
        <v>56725</v>
      </c>
      <c r="F12640" s="18" t="str">
        <f>IFERROR(__XLUDF.DUMMYFUNCTION("PROPER(REGEXREPLACE(D273,""[^A-Za-z]+ "",""""))"),"Groupe Gb")</f>
        <v xml:space="preserve">Groupe Gb</v>
      </c>
      <c r="G12640" s="18" t="s">
        <v>57471</v>
      </c>
      <c r="H12640" s="18">
        <v>84</v>
      </c>
      <c r="I12640" s="18" t="s">
        <v>9239</v>
      </c>
      <c r="J12640" s="18" t="str">
        <f>IFERROR(__XLUDF.DUMMYFUNCTION("VLOOKUP(H273,IMPORTRANGE(""https://docs.google.com/spreadsheets/d/1opm6ZNvGZ7KditA9TuJwrZ25eFLfTNIkrNnY6mhV5Eg"",""list!A1:C115""),3,TRUE)"),"le secteur de la construction")</f>
        <v xml:space="preserve">le secteur de la construction</v>
      </c>
      <c r="K12640" s="5" t="s">
        <v>57472</v>
      </c>
      <c r="L12640" s="5" t="s">
        <v>56728</v>
      </c>
      <c r="M12640" s="18" t="s">
        <v>295</v>
      </c>
      <c r="N12640" s="18" t="s">
        <v>29</v>
      </c>
      <c r="O12640" s="18" t="s">
        <v>56729</v>
      </c>
      <c r="P12640" s="18" t="s">
        <v>29</v>
      </c>
      <c r="Q12640" s="6"/>
      <c r="R12640" s="18">
        <v>0.64423420600000003</v>
      </c>
    </row>
    <row r="12641" ht="14.25">
      <c r="B12641" s="18" t="s">
        <v>1583</v>
      </c>
      <c r="C12641" s="18" t="s">
        <v>3319</v>
      </c>
      <c r="D12641" s="18" t="s">
        <v>172</v>
      </c>
      <c r="E12641" s="18" t="s">
        <v>57473</v>
      </c>
      <c r="F12641" s="18" t="str">
        <f>IFERROR(__XLUDF.DUMMYFUNCTION("PROPER(REGEXREPLACE(D274,""[^A-Za-z]+ "",""""))"),"Serue Ingenierie")</f>
        <v xml:space="preserve">Serue Ingenierie</v>
      </c>
      <c r="G12641" s="18" t="s">
        <v>57474</v>
      </c>
      <c r="H12641" s="18">
        <v>48</v>
      </c>
      <c r="I12641" s="18" t="s">
        <v>9239</v>
      </c>
      <c r="J12641" s="18" t="str">
        <f>IFERROR(__XLUDF.DUMMYFUNCTION("VLOOKUP(H274,IMPORTRANGE(""https://docs.google.com/spreadsheets/d/1opm6ZNvGZ7KditA9TuJwrZ25eFLfTNIkrNnY6mhV5Eg"",""list!A1:C115""),3,TRUE)"),"le secteur de la construction")</f>
        <v xml:space="preserve">le secteur de la construction</v>
      </c>
      <c r="K12641" s="5" t="s">
        <v>57475</v>
      </c>
      <c r="L12641" s="5" t="s">
        <v>57476</v>
      </c>
      <c r="M12641" s="6"/>
      <c r="N12641" s="18" t="s">
        <v>29</v>
      </c>
      <c r="O12641" s="18" t="s">
        <v>57477</v>
      </c>
      <c r="P12641" s="18" t="s">
        <v>29</v>
      </c>
      <c r="Q12641" s="18" t="s">
        <v>57478</v>
      </c>
      <c r="R12641" s="18">
        <v>0.36240321060000003</v>
      </c>
    </row>
    <row r="12642" ht="14.25">
      <c r="B12642" s="18" t="s">
        <v>1583</v>
      </c>
      <c r="C12642" s="18" t="s">
        <v>9923</v>
      </c>
      <c r="D12642" s="18" t="s">
        <v>112</v>
      </c>
      <c r="E12642" s="18" t="s">
        <v>57087</v>
      </c>
      <c r="F12642" s="18" t="str">
        <f>IFERROR(__XLUDF.DUMMYFUNCTION("PROPER(REGEXREPLACE(D275,""[^A-Za-z]+ "",""""))"),"Rp France")</f>
        <v xml:space="preserve">Rp France</v>
      </c>
      <c r="G12642" s="18" t="s">
        <v>57479</v>
      </c>
      <c r="H12642" s="18">
        <v>140</v>
      </c>
      <c r="I12642" s="18" t="s">
        <v>9239</v>
      </c>
      <c r="J12642" s="18" t="str">
        <f>IFERROR(__XLUDF.DUMMYFUNCTION("VLOOKUP(H275,IMPORTRANGE(""https://docs.google.com/spreadsheets/d/1opm6ZNvGZ7KditA9TuJwrZ25eFLfTNIkrNnY6mhV5Eg"",""list!A1:C115""),3,TRUE)"),"le secteur de la construction")</f>
        <v xml:space="preserve">le secteur de la construction</v>
      </c>
      <c r="K12642" s="5" t="s">
        <v>57480</v>
      </c>
      <c r="L12642" s="5" t="s">
        <v>57090</v>
      </c>
      <c r="M12642" s="18" t="s">
        <v>6777</v>
      </c>
      <c r="N12642" s="18" t="s">
        <v>29</v>
      </c>
      <c r="O12642" s="18" t="s">
        <v>57091</v>
      </c>
      <c r="P12642" s="18" t="s">
        <v>29</v>
      </c>
      <c r="Q12642" s="18" t="s">
        <v>57092</v>
      </c>
      <c r="R12642" s="18">
        <v>0.92497797670000004</v>
      </c>
    </row>
    <row r="12643" ht="14.25">
      <c r="B12643" s="18" t="s">
        <v>20</v>
      </c>
      <c r="C12643" s="18" t="s">
        <v>56855</v>
      </c>
      <c r="D12643" s="18" t="s">
        <v>172</v>
      </c>
      <c r="E12643" s="18" t="s">
        <v>57481</v>
      </c>
      <c r="F12643" s="18" t="str">
        <f>IFERROR(__XLUDF.DUMMYFUNCTION("PROPER(REGEXREPLACE(D276,""[^A-Za-z]+ "",""""))"),"Altempo")</f>
        <v>Altempo</v>
      </c>
      <c r="G12643" s="18" t="s">
        <v>57482</v>
      </c>
      <c r="H12643" s="18">
        <v>82</v>
      </c>
      <c r="I12643" s="18" t="s">
        <v>9239</v>
      </c>
      <c r="J12643" s="18" t="str">
        <f>IFERROR(__XLUDF.DUMMYFUNCTION("VLOOKUP(H276,IMPORTRANGE(""https://docs.google.com/spreadsheets/d/1opm6ZNvGZ7KditA9TuJwrZ25eFLfTNIkrNnY6mhV5Eg"",""list!A1:C115""),3,TRUE)"),"le secteur de la construction")</f>
        <v xml:space="preserve">le secteur de la construction</v>
      </c>
      <c r="K12643" s="5" t="s">
        <v>57483</v>
      </c>
      <c r="L12643" s="5" t="s">
        <v>57484</v>
      </c>
      <c r="M12643" s="18" t="s">
        <v>16312</v>
      </c>
      <c r="N12643" s="18" t="s">
        <v>29</v>
      </c>
      <c r="O12643" s="18" t="s">
        <v>57485</v>
      </c>
      <c r="P12643" s="18" t="s">
        <v>29</v>
      </c>
      <c r="Q12643" s="18" t="s">
        <v>57486</v>
      </c>
      <c r="R12643" s="18">
        <v>0.23891903110000001</v>
      </c>
    </row>
    <row r="12644" ht="14.25">
      <c r="B12644" s="18" t="s">
        <v>20</v>
      </c>
      <c r="C12644" s="18" t="s">
        <v>7653</v>
      </c>
      <c r="D12644" s="18" t="s">
        <v>6362</v>
      </c>
      <c r="E12644" s="18" t="s">
        <v>57487</v>
      </c>
      <c r="F12644" s="18" t="str">
        <f>IFERROR(__XLUDF.DUMMYFUNCTION("PROPER(REGEXREPLACE(D277,""[^A-Za-z]+ "",""""))"),"Iso&amp;Face")</f>
        <v>Iso&amp;Face</v>
      </c>
      <c r="G12644" s="18" t="s">
        <v>57488</v>
      </c>
      <c r="H12644" s="18">
        <v>31</v>
      </c>
      <c r="I12644" s="18" t="s">
        <v>9239</v>
      </c>
      <c r="J12644" s="18" t="str">
        <f>IFERROR(__XLUDF.DUMMYFUNCTION("VLOOKUP(H277,IMPORTRANGE(""https://docs.google.com/spreadsheets/d/1opm6ZNvGZ7KditA9TuJwrZ25eFLfTNIkrNnY6mhV5Eg"",""list!A1:C115""),3,TRUE)"),"le secteur de la construction")</f>
        <v xml:space="preserve">le secteur de la construction</v>
      </c>
      <c r="K12644" s="5" t="s">
        <v>57489</v>
      </c>
      <c r="L12644" s="5" t="s">
        <v>57490</v>
      </c>
      <c r="M12644" s="18" t="s">
        <v>243</v>
      </c>
      <c r="N12644" s="18" t="s">
        <v>29</v>
      </c>
      <c r="O12644" s="18" t="s">
        <v>57491</v>
      </c>
      <c r="P12644" s="18" t="s">
        <v>29</v>
      </c>
      <c r="Q12644" s="18" t="s">
        <v>57492</v>
      </c>
      <c r="R12644" s="18">
        <v>0.92584321839999995</v>
      </c>
    </row>
    <row r="12645" ht="14.25">
      <c r="B12645" s="18" t="s">
        <v>1844</v>
      </c>
      <c r="C12645" s="18" t="s">
        <v>886</v>
      </c>
      <c r="D12645" s="18" t="s">
        <v>172</v>
      </c>
      <c r="E12645" s="18" t="s">
        <v>57493</v>
      </c>
      <c r="F12645" s="18" t="str">
        <f>IFERROR(__XLUDF.DUMMYFUNCTION("PROPER(REGEXREPLACE(D278,""[^A-Za-z]+ "",""""))"),"Pi Install")</f>
        <v xml:space="preserve">Pi Install</v>
      </c>
      <c r="G12645" s="18" t="s">
        <v>57494</v>
      </c>
      <c r="H12645" s="18">
        <v>79</v>
      </c>
      <c r="I12645" s="18" t="s">
        <v>9239</v>
      </c>
      <c r="J12645" s="18" t="str">
        <f>IFERROR(__XLUDF.DUMMYFUNCTION("VLOOKUP(H278,IMPORTRANGE(""https://docs.google.com/spreadsheets/d/1opm6ZNvGZ7KditA9TuJwrZ25eFLfTNIkrNnY6mhV5Eg"",""list!A1:C115""),3,TRUE)"),"le secteur de la construction")</f>
        <v xml:space="preserve">le secteur de la construction</v>
      </c>
      <c r="K12645" s="5" t="s">
        <v>57495</v>
      </c>
      <c r="L12645" s="5" t="s">
        <v>57496</v>
      </c>
      <c r="M12645" s="18" t="s">
        <v>57497</v>
      </c>
      <c r="N12645" s="18" t="s">
        <v>29</v>
      </c>
      <c r="O12645" s="18" t="s">
        <v>57498</v>
      </c>
      <c r="P12645" s="18" t="s">
        <v>29</v>
      </c>
      <c r="Q12645" s="18" t="s">
        <v>57499</v>
      </c>
      <c r="R12645" s="18">
        <v>0.56115607440000004</v>
      </c>
    </row>
    <row r="12646" ht="14.25">
      <c r="B12646" s="18" t="s">
        <v>6931</v>
      </c>
      <c r="C12646" s="18" t="s">
        <v>57500</v>
      </c>
      <c r="D12646" s="18" t="s">
        <v>57501</v>
      </c>
      <c r="E12646" s="18" t="s">
        <v>56057</v>
      </c>
      <c r="F12646" s="18" t="str">
        <f>IFERROR(__XLUDF.DUMMYFUNCTION("PROPER(REGEXREPLACE(D279,""[^A-Za-z]+ "",""""))"),"Batibig")</f>
        <v>Batibig</v>
      </c>
      <c r="G12646" s="18" t="s">
        <v>57502</v>
      </c>
      <c r="H12646" s="18">
        <v>87</v>
      </c>
      <c r="I12646" s="18" t="s">
        <v>9239</v>
      </c>
      <c r="J12646" s="18" t="str">
        <f>IFERROR(__XLUDF.DUMMYFUNCTION("VLOOKUP(H279,IMPORTRANGE(""https://docs.google.com/spreadsheets/d/1opm6ZNvGZ7KditA9TuJwrZ25eFLfTNIkrNnY6mhV5Eg"",""list!A1:C115""),3,TRUE)"),"le secteur de la construction")</f>
        <v xml:space="preserve">le secteur de la construction</v>
      </c>
      <c r="K12646" s="5" t="s">
        <v>57503</v>
      </c>
      <c r="L12646" s="5" t="s">
        <v>56060</v>
      </c>
      <c r="M12646" s="18" t="s">
        <v>39</v>
      </c>
      <c r="N12646" s="18" t="s">
        <v>29</v>
      </c>
      <c r="O12646" s="18" t="s">
        <v>56061</v>
      </c>
      <c r="P12646" s="18" t="s">
        <v>29</v>
      </c>
      <c r="Q12646" s="18" t="s">
        <v>56062</v>
      </c>
      <c r="R12646" s="18">
        <v>0.33927128699999998</v>
      </c>
    </row>
    <row r="12647" ht="14.25">
      <c r="B12647" s="18" t="s">
        <v>9043</v>
      </c>
      <c r="C12647" s="18" t="s">
        <v>57504</v>
      </c>
      <c r="D12647" s="18" t="s">
        <v>6362</v>
      </c>
      <c r="E12647" s="18" t="s">
        <v>57505</v>
      </c>
      <c r="F12647" s="18" t="str">
        <f>IFERROR(__XLUDF.DUMMYFUNCTION("PROPER(REGEXREPLACE(D280,""[^A-Za-z]+ "",""""))"),"Ts Construction")</f>
        <v xml:space="preserve">Ts Construction</v>
      </c>
      <c r="G12647" s="18" t="s">
        <v>57506</v>
      </c>
      <c r="H12647" s="18">
        <v>33</v>
      </c>
      <c r="I12647" s="18" t="s">
        <v>9239</v>
      </c>
      <c r="J12647" s="18" t="str">
        <f>IFERROR(__XLUDF.DUMMYFUNCTION("VLOOKUP(H280,IMPORTRANGE(""https://docs.google.com/spreadsheets/d/1opm6ZNvGZ7KditA9TuJwrZ25eFLfTNIkrNnY6mhV5Eg"",""list!A1:C115""),3,TRUE)"),"le secteur de la construction")</f>
        <v xml:space="preserve">le secteur de la construction</v>
      </c>
      <c r="K12647" s="5" t="s">
        <v>57507</v>
      </c>
      <c r="L12647" s="5" t="s">
        <v>57508</v>
      </c>
      <c r="M12647" s="18" t="s">
        <v>39</v>
      </c>
      <c r="N12647" s="18" t="s">
        <v>29</v>
      </c>
      <c r="O12647" s="18" t="s">
        <v>57509</v>
      </c>
      <c r="P12647" s="18" t="s">
        <v>29</v>
      </c>
      <c r="Q12647" s="6"/>
      <c r="R12647" s="18">
        <v>0.90841902470000002</v>
      </c>
    </row>
    <row r="12648" ht="14.25">
      <c r="B12648" s="18" t="s">
        <v>1583</v>
      </c>
      <c r="C12648" s="18" t="s">
        <v>57510</v>
      </c>
      <c r="D12648" s="18" t="s">
        <v>172</v>
      </c>
      <c r="E12648" s="18" t="s">
        <v>57511</v>
      </c>
      <c r="F12648" s="18" t="str">
        <f>IFERROR(__XLUDF.DUMMYFUNCTION("PROPER(REGEXREPLACE(D281,""[^A-Za-z]+ "",""""))"),"Sopcz")</f>
        <v>Sopcz</v>
      </c>
      <c r="G12648" s="18" t="s">
        <v>57512</v>
      </c>
      <c r="H12648" s="18">
        <v>72</v>
      </c>
      <c r="I12648" s="18" t="s">
        <v>9239</v>
      </c>
      <c r="J12648" s="18" t="str">
        <f>IFERROR(__XLUDF.DUMMYFUNCTION("VLOOKUP(H281,IMPORTRANGE(""https://docs.google.com/spreadsheets/d/1opm6ZNvGZ7KditA9TuJwrZ25eFLfTNIkrNnY6mhV5Eg"",""list!A1:C115""),3,TRUE)"),"le secteur de la construction")</f>
        <v xml:space="preserve">le secteur de la construction</v>
      </c>
      <c r="K12648" s="5" t="s">
        <v>57513</v>
      </c>
      <c r="L12648" s="5" t="s">
        <v>57514</v>
      </c>
      <c r="M12648" s="18" t="s">
        <v>6412</v>
      </c>
      <c r="N12648" s="18" t="s">
        <v>29</v>
      </c>
      <c r="O12648" s="18" t="s">
        <v>49645</v>
      </c>
      <c r="P12648" s="18" t="s">
        <v>29</v>
      </c>
      <c r="Q12648" s="18" t="s">
        <v>57515</v>
      </c>
      <c r="R12648" s="18">
        <v>0.02939082447</v>
      </c>
    </row>
    <row r="12649" ht="14.25">
      <c r="B12649" s="18" t="s">
        <v>1732</v>
      </c>
      <c r="C12649" s="18" t="s">
        <v>57516</v>
      </c>
      <c r="D12649" s="18" t="s">
        <v>172</v>
      </c>
      <c r="E12649" s="18" t="s">
        <v>57422</v>
      </c>
      <c r="F12649" s="18" t="str">
        <f>IFERROR(__XLUDF.DUMMYFUNCTION("PROPER(REGEXREPLACE(D282,""[^A-Za-z]+ "",""""))"),"Mayers")</f>
        <v>Mayers</v>
      </c>
      <c r="G12649" s="18" t="s">
        <v>57517</v>
      </c>
      <c r="H12649" s="18">
        <v>66</v>
      </c>
      <c r="I12649" s="18" t="s">
        <v>9239</v>
      </c>
      <c r="J12649" s="18" t="str">
        <f>IFERROR(__XLUDF.DUMMYFUNCTION("VLOOKUP(H282,IMPORTRANGE(""https://docs.google.com/spreadsheets/d/1opm6ZNvGZ7KditA9TuJwrZ25eFLfTNIkrNnY6mhV5Eg"",""list!A1:C115""),3,TRUE)"),"le secteur de la construction")</f>
        <v xml:space="preserve">le secteur de la construction</v>
      </c>
      <c r="K12649" s="5" t="s">
        <v>57518</v>
      </c>
      <c r="L12649" s="5" t="s">
        <v>57425</v>
      </c>
      <c r="M12649" s="18" t="s">
        <v>1711</v>
      </c>
      <c r="N12649" s="18" t="s">
        <v>29</v>
      </c>
      <c r="O12649" s="18" t="s">
        <v>4883</v>
      </c>
      <c r="P12649" s="18" t="s">
        <v>29</v>
      </c>
      <c r="Q12649" s="18" t="s">
        <v>57426</v>
      </c>
      <c r="R12649" s="18">
        <v>0.0053015335209999999</v>
      </c>
    </row>
    <row r="12650" ht="14.25">
      <c r="B12650" s="18" t="s">
        <v>1732</v>
      </c>
      <c r="C12650" s="18" t="s">
        <v>1697</v>
      </c>
      <c r="D12650" s="18" t="s">
        <v>112</v>
      </c>
      <c r="E12650" s="18" t="s">
        <v>55998</v>
      </c>
      <c r="F12650" s="18" t="str">
        <f>IFERROR(__XLUDF.DUMMYFUNCTION("PROPER(REGEXREPLACE(D283,""[^A-Za-z]+ "",""""))"),"Dorémi Rénovation")</f>
        <v xml:space="preserve">Dorémi Rénovation</v>
      </c>
      <c r="G12650" s="18" t="s">
        <v>57519</v>
      </c>
      <c r="H12650" s="18">
        <v>77</v>
      </c>
      <c r="I12650" s="18" t="s">
        <v>9239</v>
      </c>
      <c r="J12650" s="18" t="str">
        <f>IFERROR(__XLUDF.DUMMYFUNCTION("VLOOKUP(H283,IMPORTRANGE(""https://docs.google.com/spreadsheets/d/1opm6ZNvGZ7KditA9TuJwrZ25eFLfTNIkrNnY6mhV5Eg"",""list!A1:C115""),3,TRUE)"),"le secteur de la construction")</f>
        <v xml:space="preserve">le secteur de la construction</v>
      </c>
      <c r="K12650" s="5" t="s">
        <v>57520</v>
      </c>
      <c r="L12650" s="5" t="s">
        <v>56001</v>
      </c>
      <c r="M12650" s="18" t="s">
        <v>57521</v>
      </c>
      <c r="N12650" s="18" t="s">
        <v>29</v>
      </c>
      <c r="O12650" s="18" t="s">
        <v>56002</v>
      </c>
      <c r="P12650" s="18" t="s">
        <v>29</v>
      </c>
      <c r="Q12650" s="18" t="s">
        <v>56003</v>
      </c>
      <c r="R12650" s="18">
        <v>0.42574122110000001</v>
      </c>
    </row>
    <row r="12651" ht="14.25">
      <c r="B12651" s="18" t="s">
        <v>1732</v>
      </c>
      <c r="C12651" s="18" t="s">
        <v>57522</v>
      </c>
      <c r="D12651" s="18" t="s">
        <v>6362</v>
      </c>
      <c r="E12651" s="18" t="s">
        <v>57523</v>
      </c>
      <c r="F12651" s="18" t="str">
        <f>IFERROR(__XLUDF.DUMMYFUNCTION("PROPER(REGEXREPLACE(D284,""[^A-Za-z]+ "",""""))"),"Ain Carrelages")</f>
        <v xml:space="preserve">Ain Carrelages</v>
      </c>
      <c r="G12651" s="18" t="s">
        <v>57524</v>
      </c>
      <c r="H12651" s="18">
        <v>30</v>
      </c>
      <c r="I12651" s="18" t="s">
        <v>9239</v>
      </c>
      <c r="J12651" s="18" t="str">
        <f>IFERROR(__XLUDF.DUMMYFUNCTION("VLOOKUP(H284,IMPORTRANGE(""https://docs.google.com/spreadsheets/d/1opm6ZNvGZ7KditA9TuJwrZ25eFLfTNIkrNnY6mhV5Eg"",""list!A1:C115""),3,TRUE)"),"le secteur de la construction")</f>
        <v xml:space="preserve">le secteur de la construction</v>
      </c>
      <c r="K12651" s="5" t="s">
        <v>57525</v>
      </c>
      <c r="L12651" s="5" t="s">
        <v>57526</v>
      </c>
      <c r="M12651" s="18" t="s">
        <v>185</v>
      </c>
      <c r="N12651" s="18" t="s">
        <v>29</v>
      </c>
      <c r="O12651" s="18" t="s">
        <v>57527</v>
      </c>
      <c r="P12651" s="18" t="s">
        <v>29</v>
      </c>
      <c r="Q12651" s="18" t="s">
        <v>8930</v>
      </c>
      <c r="R12651" s="18">
        <v>0.16971943310000001</v>
      </c>
    </row>
    <row r="12652" ht="14.25">
      <c r="B12652" s="18" t="s">
        <v>2643</v>
      </c>
      <c r="C12652" s="18" t="s">
        <v>57528</v>
      </c>
      <c r="D12652" s="18" t="s">
        <v>164</v>
      </c>
      <c r="E12652" s="18" t="s">
        <v>57529</v>
      </c>
      <c r="F12652" s="18" t="str">
        <f>IFERROR(__XLUDF.DUMMYFUNCTION("PROPER(REGEXREPLACE(D285,""[^A-Za-z]+ "",""""))"),"Entreprise Chazelle")</f>
        <v xml:space="preserve">Entreprise Chazelle</v>
      </c>
      <c r="G12652" s="18" t="s">
        <v>57530</v>
      </c>
      <c r="H12652" s="18">
        <v>68</v>
      </c>
      <c r="I12652" s="18" t="s">
        <v>9239</v>
      </c>
      <c r="J12652" s="18" t="str">
        <f>IFERROR(__XLUDF.DUMMYFUNCTION("VLOOKUP(H285,IMPORTRANGE(""https://docs.google.com/spreadsheets/d/1opm6ZNvGZ7KditA9TuJwrZ25eFLfTNIkrNnY6mhV5Eg"",""list!A1:C115""),3,TRUE)"),"le secteur de la construction")</f>
        <v xml:space="preserve">le secteur de la construction</v>
      </c>
      <c r="K12652" s="5" t="s">
        <v>57531</v>
      </c>
      <c r="L12652" s="5" t="s">
        <v>57532</v>
      </c>
      <c r="M12652" s="18" t="s">
        <v>749</v>
      </c>
      <c r="N12652" s="18" t="s">
        <v>29</v>
      </c>
      <c r="O12652" s="18" t="s">
        <v>57533</v>
      </c>
      <c r="P12652" s="18" t="s">
        <v>29</v>
      </c>
      <c r="Q12652" s="18" t="s">
        <v>57534</v>
      </c>
      <c r="R12652" s="18">
        <v>0.17760840920000001</v>
      </c>
    </row>
    <row r="12653" ht="14.25">
      <c r="B12653" s="18" t="s">
        <v>178</v>
      </c>
      <c r="C12653" s="18" t="s">
        <v>57535</v>
      </c>
      <c r="D12653" s="18" t="s">
        <v>120</v>
      </c>
      <c r="E12653" s="18" t="s">
        <v>56355</v>
      </c>
      <c r="F12653" s="18" t="str">
        <f>IFERROR(__XLUDF.DUMMYFUNCTION("PROPER(REGEXREPLACE(D286,""[^A-Za-z]+ "",""""))"),"Monsieur Peinture")</f>
        <v xml:space="preserve">Monsieur Peinture</v>
      </c>
      <c r="G12653" s="18" t="s">
        <v>57536</v>
      </c>
      <c r="H12653" s="18">
        <v>110</v>
      </c>
      <c r="I12653" s="18" t="s">
        <v>9239</v>
      </c>
      <c r="J12653" s="18" t="str">
        <f>IFERROR(__XLUDF.DUMMYFUNCTION("VLOOKUP(H286,IMPORTRANGE(""https://docs.google.com/spreadsheets/d/1opm6ZNvGZ7KditA9TuJwrZ25eFLfTNIkrNnY6mhV5Eg"",""list!A1:C115""),3,TRUE)"),"le secteur de la construction")</f>
        <v xml:space="preserve">le secteur de la construction</v>
      </c>
      <c r="K12653" s="5" t="s">
        <v>57537</v>
      </c>
      <c r="L12653" s="5" t="s">
        <v>56358</v>
      </c>
      <c r="M12653" s="18" t="s">
        <v>39</v>
      </c>
      <c r="N12653" s="18" t="s">
        <v>29</v>
      </c>
      <c r="O12653" s="18" t="s">
        <v>56359</v>
      </c>
      <c r="P12653" s="18" t="s">
        <v>29</v>
      </c>
      <c r="Q12653" s="18" t="s">
        <v>56360</v>
      </c>
      <c r="R12653" s="18">
        <v>0.62191553830000001</v>
      </c>
    </row>
    <row r="12654" ht="14.25">
      <c r="B12654" s="18" t="s">
        <v>1732</v>
      </c>
      <c r="C12654" s="18" t="s">
        <v>57538</v>
      </c>
      <c r="D12654" s="18" t="s">
        <v>468</v>
      </c>
      <c r="E12654" s="18" t="s">
        <v>57539</v>
      </c>
      <c r="F12654" s="18" t="str">
        <f>IFERROR(__XLUDF.DUMMYFUNCTION("PROPER(REGEXREPLACE(D287,""[^A-Za-z]+ "",""""))"),"Essemes Services")</f>
        <v xml:space="preserve">Essemes Services</v>
      </c>
      <c r="G12654" s="18" t="s">
        <v>57540</v>
      </c>
      <c r="H12654" s="18">
        <v>93</v>
      </c>
      <c r="I12654" s="18" t="s">
        <v>9239</v>
      </c>
      <c r="J12654" s="18" t="str">
        <f>IFERROR(__XLUDF.DUMMYFUNCTION("VLOOKUP(H287,IMPORTRANGE(""https://docs.google.com/spreadsheets/d/1opm6ZNvGZ7KditA9TuJwrZ25eFLfTNIkrNnY6mhV5Eg"",""list!A1:C115""),3,TRUE)"),"le secteur de la construction")</f>
        <v xml:space="preserve">le secteur de la construction</v>
      </c>
      <c r="K12654" s="5" t="s">
        <v>57541</v>
      </c>
      <c r="L12654" s="5" t="s">
        <v>57542</v>
      </c>
      <c r="M12654" s="18" t="s">
        <v>21210</v>
      </c>
      <c r="N12654" s="18" t="s">
        <v>29</v>
      </c>
      <c r="O12654" s="18" t="s">
        <v>57543</v>
      </c>
      <c r="P12654" s="18" t="s">
        <v>29</v>
      </c>
      <c r="Q12654" s="6"/>
      <c r="R12654" s="18">
        <v>0.090297157089999996</v>
      </c>
    </row>
    <row r="12655" ht="14.25">
      <c r="B12655" s="18" t="s">
        <v>1732</v>
      </c>
      <c r="C12655" s="18" t="s">
        <v>57544</v>
      </c>
      <c r="D12655" s="18" t="s">
        <v>6407</v>
      </c>
      <c r="E12655" s="18" t="s">
        <v>57545</v>
      </c>
      <c r="F12655" s="18" t="str">
        <f>IFERROR(__XLUDF.DUMMYFUNCTION("PROPER(REGEXREPLACE(D288,""[^A-Za-z]+ "",""""))"),"Justeau")</f>
        <v>Justeau</v>
      </c>
      <c r="G12655" s="18" t="s">
        <v>57546</v>
      </c>
      <c r="H12655" s="18">
        <v>49</v>
      </c>
      <c r="I12655" s="18" t="s">
        <v>9239</v>
      </c>
      <c r="J12655" s="18" t="str">
        <f>IFERROR(__XLUDF.DUMMYFUNCTION("VLOOKUP(H288,IMPORTRANGE(""https://docs.google.com/spreadsheets/d/1opm6ZNvGZ7KditA9TuJwrZ25eFLfTNIkrNnY6mhV5Eg"",""list!A1:C115""),3,TRUE)"),"le secteur de la construction")</f>
        <v xml:space="preserve">le secteur de la construction</v>
      </c>
      <c r="K12655" s="5" t="s">
        <v>57547</v>
      </c>
      <c r="L12655" s="5" t="s">
        <v>57548</v>
      </c>
      <c r="M12655" s="18" t="s">
        <v>1312</v>
      </c>
      <c r="N12655" s="18" t="s">
        <v>29</v>
      </c>
      <c r="O12655" s="18" t="s">
        <v>57549</v>
      </c>
      <c r="P12655" s="18" t="s">
        <v>29</v>
      </c>
      <c r="Q12655" s="18" t="s">
        <v>57550</v>
      </c>
      <c r="R12655" s="18">
        <v>0.8918746743</v>
      </c>
    </row>
    <row r="12656" ht="14.25">
      <c r="B12656" s="18" t="s">
        <v>1732</v>
      </c>
      <c r="C12656" s="18" t="s">
        <v>57551</v>
      </c>
      <c r="D12656" s="18" t="s">
        <v>5500</v>
      </c>
      <c r="E12656" s="18" t="s">
        <v>57552</v>
      </c>
      <c r="F12656" s="18" t="str">
        <f>IFERROR(__XLUDF.DUMMYFUNCTION("PROPER(REGEXREPLACE(D289,""[^A-Za-z]+ "",""""))"),"Sabeko")</f>
        <v>Sabeko</v>
      </c>
      <c r="G12656" s="18" t="s">
        <v>57553</v>
      </c>
      <c r="H12656" s="18">
        <v>90</v>
      </c>
      <c r="I12656" s="18" t="s">
        <v>9239</v>
      </c>
      <c r="J12656" s="18" t="str">
        <f>IFERROR(__XLUDF.DUMMYFUNCTION("VLOOKUP(H289,IMPORTRANGE(""https://docs.google.com/spreadsheets/d/1opm6ZNvGZ7KditA9TuJwrZ25eFLfTNIkrNnY6mhV5Eg"",""list!A1:C115""),3,TRUE)"),"le secteur de la construction")</f>
        <v xml:space="preserve">le secteur de la construction</v>
      </c>
      <c r="K12656" s="5" t="s">
        <v>57554</v>
      </c>
      <c r="L12656" s="5" t="s">
        <v>57555</v>
      </c>
      <c r="M12656" s="6"/>
      <c r="N12656" s="18" t="s">
        <v>29</v>
      </c>
      <c r="O12656" s="18" t="s">
        <v>56166</v>
      </c>
      <c r="P12656" s="18" t="s">
        <v>29</v>
      </c>
      <c r="Q12656" s="18" t="s">
        <v>57556</v>
      </c>
      <c r="R12656" s="18">
        <v>0.86003865300000004</v>
      </c>
    </row>
    <row r="12657" ht="14.25">
      <c r="B12657" s="18" t="s">
        <v>3752</v>
      </c>
      <c r="C12657" s="18" t="s">
        <v>57557</v>
      </c>
      <c r="D12657" s="18" t="s">
        <v>57558</v>
      </c>
      <c r="E12657" s="18" t="s">
        <v>56821</v>
      </c>
      <c r="F12657" s="18" t="str">
        <f>IFERROR(__XLUDF.DUMMYFUNCTION("PROPER(REGEXREPLACE(D290,""[^A-Za-z]+ "",""""))"),"Slci Groupe Acteur Du Réseau Procivis")</f>
        <v xml:space="preserve">Slci Groupe Acteur Du Réseau Procivis</v>
      </c>
      <c r="G12657" s="18" t="s">
        <v>57559</v>
      </c>
      <c r="H12657" s="18">
        <v>84</v>
      </c>
      <c r="I12657" s="18" t="s">
        <v>9239</v>
      </c>
      <c r="J12657" s="18" t="str">
        <f>IFERROR(__XLUDF.DUMMYFUNCTION("VLOOKUP(H290,IMPORTRANGE(""https://docs.google.com/spreadsheets/d/1opm6ZNvGZ7KditA9TuJwrZ25eFLfTNIkrNnY6mhV5Eg"",""list!A1:C115""),3,TRUE)"),"le secteur de la construction")</f>
        <v xml:space="preserve">le secteur de la construction</v>
      </c>
      <c r="K12657" s="5" t="s">
        <v>57560</v>
      </c>
      <c r="L12657" s="5" t="s">
        <v>56824</v>
      </c>
      <c r="M12657" s="18" t="s">
        <v>185</v>
      </c>
      <c r="N12657" s="18" t="s">
        <v>29</v>
      </c>
      <c r="O12657" s="18" t="s">
        <v>56825</v>
      </c>
      <c r="P12657" s="18" t="s">
        <v>29</v>
      </c>
      <c r="Q12657" s="6"/>
      <c r="R12657" s="18">
        <v>0.38022018549999997</v>
      </c>
    </row>
    <row r="12658" ht="14.25">
      <c r="B12658" s="18" t="s">
        <v>2643</v>
      </c>
      <c r="C12658" s="18" t="s">
        <v>57561</v>
      </c>
      <c r="D12658" s="18" t="s">
        <v>4586</v>
      </c>
      <c r="E12658" s="18" t="s">
        <v>57562</v>
      </c>
      <c r="F12658" s="18" t="str">
        <f>IFERROR(__XLUDF.DUMMYFUNCTION("PROPER(REGEXREPLACE(D291,""[^A-Za-z]+ "",""""))"),"Villas Prisme")</f>
        <v xml:space="preserve">Villas Prisme</v>
      </c>
      <c r="G12658" s="18" t="s">
        <v>57563</v>
      </c>
      <c r="H12658" s="18">
        <v>55</v>
      </c>
      <c r="I12658" s="18" t="s">
        <v>9239</v>
      </c>
      <c r="J12658" s="18" t="str">
        <f>IFERROR(__XLUDF.DUMMYFUNCTION("VLOOKUP(H291,IMPORTRANGE(""https://docs.google.com/spreadsheets/d/1opm6ZNvGZ7KditA9TuJwrZ25eFLfTNIkrNnY6mhV5Eg"",""list!A1:C115""),3,TRUE)"),"le secteur de la construction")</f>
        <v xml:space="preserve">le secteur de la construction</v>
      </c>
      <c r="K12658" s="5" t="s">
        <v>57564</v>
      </c>
      <c r="L12658" s="5" t="s">
        <v>57565</v>
      </c>
      <c r="M12658" s="18" t="s">
        <v>11033</v>
      </c>
      <c r="N12658" s="18" t="s">
        <v>29</v>
      </c>
      <c r="O12658" s="18" t="s">
        <v>57566</v>
      </c>
      <c r="P12658" s="18" t="s">
        <v>29</v>
      </c>
      <c r="Q12658" s="18" t="s">
        <v>57567</v>
      </c>
      <c r="R12658" s="18">
        <v>0.45788480570000001</v>
      </c>
    </row>
    <row r="12659" ht="14.25">
      <c r="B12659" s="18" t="s">
        <v>2409</v>
      </c>
      <c r="C12659" s="18" t="s">
        <v>57568</v>
      </c>
      <c r="D12659" s="18" t="s">
        <v>172</v>
      </c>
      <c r="E12659" s="18" t="s">
        <v>57569</v>
      </c>
      <c r="F12659" s="18" t="str">
        <f>IFERROR(__XLUDF.DUMMYFUNCTION("PROPER(REGEXREPLACE(D292,""[^A-Za-z]+ "",""""))"),"Altrad Arnholdt Echafaudage")</f>
        <v xml:space="preserve">Altrad Arnholdt Echafaudage</v>
      </c>
      <c r="G12659" s="18" t="s">
        <v>57570</v>
      </c>
      <c r="H12659" s="18">
        <v>86</v>
      </c>
      <c r="I12659" s="18" t="s">
        <v>9239</v>
      </c>
      <c r="J12659" s="18" t="str">
        <f>IFERROR(__XLUDF.DUMMYFUNCTION("VLOOKUP(H292,IMPORTRANGE(""https://docs.google.com/spreadsheets/d/1opm6ZNvGZ7KditA9TuJwrZ25eFLfTNIkrNnY6mhV5Eg"",""list!A1:C115""),3,TRUE)"),"le secteur de la construction")</f>
        <v xml:space="preserve">le secteur de la construction</v>
      </c>
      <c r="K12659" s="5" t="s">
        <v>57571</v>
      </c>
      <c r="L12659" s="5" t="s">
        <v>57572</v>
      </c>
      <c r="M12659" s="6"/>
      <c r="N12659" s="18" t="s">
        <v>29</v>
      </c>
      <c r="O12659" s="18" t="s">
        <v>57573</v>
      </c>
      <c r="P12659" s="18" t="s">
        <v>29</v>
      </c>
      <c r="Q12659" s="18" t="s">
        <v>57574</v>
      </c>
      <c r="R12659" s="18">
        <v>0.7499929837</v>
      </c>
    </row>
    <row r="12660" ht="14.25">
      <c r="B12660" s="18" t="s">
        <v>2419</v>
      </c>
      <c r="C12660" s="18" t="s">
        <v>57575</v>
      </c>
      <c r="D12660" s="18" t="s">
        <v>1130</v>
      </c>
      <c r="E12660" s="18" t="s">
        <v>57576</v>
      </c>
      <c r="F12660" s="18" t="str">
        <f>IFERROR(__XLUDF.DUMMYFUNCTION("PROPER(REGEXREPLACE(D293,""[^A-Za-z]+ "",""""))"),"Macoretz Scop")</f>
        <v xml:space="preserve">Macoretz Scop</v>
      </c>
      <c r="G12660" s="18" t="s">
        <v>57577</v>
      </c>
      <c r="H12660" s="18">
        <v>110</v>
      </c>
      <c r="I12660" s="18" t="s">
        <v>9239</v>
      </c>
      <c r="J12660" s="18" t="str">
        <f>IFERROR(__XLUDF.DUMMYFUNCTION("VLOOKUP(H293,IMPORTRANGE(""https://docs.google.com/spreadsheets/d/1opm6ZNvGZ7KditA9TuJwrZ25eFLfTNIkrNnY6mhV5Eg"",""list!A1:C115""),3,TRUE)"),"le secteur de la construction")</f>
        <v xml:space="preserve">le secteur de la construction</v>
      </c>
      <c r="K12660" s="5" t="s">
        <v>57578</v>
      </c>
      <c r="L12660" s="5" t="s">
        <v>57579</v>
      </c>
      <c r="M12660" s="18" t="s">
        <v>1711</v>
      </c>
      <c r="N12660" s="18" t="s">
        <v>29</v>
      </c>
      <c r="O12660" s="18" t="s">
        <v>57580</v>
      </c>
      <c r="P12660" s="18" t="s">
        <v>29</v>
      </c>
      <c r="Q12660" s="18" t="s">
        <v>57581</v>
      </c>
      <c r="R12660" s="18">
        <v>0.96214181850000002</v>
      </c>
    </row>
    <row r="12661" ht="14.25">
      <c r="B12661" s="18" t="s">
        <v>2419</v>
      </c>
      <c r="C12661" s="18" t="s">
        <v>57582</v>
      </c>
      <c r="D12661" s="18" t="s">
        <v>6391</v>
      </c>
      <c r="E12661" s="18" t="s">
        <v>57583</v>
      </c>
      <c r="F12661" s="18" t="str">
        <f>IFERROR(__XLUDF.DUMMYFUNCTION("PROPER(REGEXREPLACE(D294,""[^A-Za-z]+ "",""""))"),"Sas Maisons Bmc")</f>
        <v xml:space="preserve">Sas Maisons Bmc</v>
      </c>
      <c r="G12661" s="18" t="s">
        <v>57584</v>
      </c>
      <c r="H12661" s="18">
        <v>26</v>
      </c>
      <c r="I12661" s="18" t="s">
        <v>9239</v>
      </c>
      <c r="J12661" s="18" t="str">
        <f>IFERROR(__XLUDF.DUMMYFUNCTION("VLOOKUP(H294,IMPORTRANGE(""https://docs.google.com/spreadsheets/d/1opm6ZNvGZ7KditA9TuJwrZ25eFLfTNIkrNnY6mhV5Eg"",""list!A1:C115""),3,TRUE)"),"le secteur de la construction")</f>
        <v xml:space="preserve">le secteur de la construction</v>
      </c>
      <c r="K12661" s="5" t="s">
        <v>57585</v>
      </c>
      <c r="L12661" s="5" t="s">
        <v>57586</v>
      </c>
      <c r="M12661" s="18" t="s">
        <v>243</v>
      </c>
      <c r="N12661" s="18" t="s">
        <v>29</v>
      </c>
      <c r="O12661" s="18" t="s">
        <v>57587</v>
      </c>
      <c r="P12661" s="18" t="s">
        <v>29</v>
      </c>
      <c r="Q12661" s="6"/>
      <c r="R12661" s="18">
        <v>0.1459752949</v>
      </c>
    </row>
    <row r="12662" ht="14.25">
      <c r="B12662" s="18" t="s">
        <v>2419</v>
      </c>
      <c r="C12662" s="18" t="s">
        <v>31170</v>
      </c>
      <c r="D12662" s="18" t="s">
        <v>172</v>
      </c>
      <c r="E12662" s="18" t="s">
        <v>57588</v>
      </c>
      <c r="F12662" s="18" t="str">
        <f>IFERROR(__XLUDF.DUMMYFUNCTION("PROPER(REGEXREPLACE(D295,""[^A-Za-z]+ "",""""))"),"Cotec")</f>
        <v>Cotec</v>
      </c>
      <c r="G12662" s="18" t="s">
        <v>57589</v>
      </c>
      <c r="H12662" s="18">
        <v>120</v>
      </c>
      <c r="I12662" s="18" t="s">
        <v>9239</v>
      </c>
      <c r="J12662" s="18" t="str">
        <f>IFERROR(__XLUDF.DUMMYFUNCTION("VLOOKUP(H295,IMPORTRANGE(""https://docs.google.com/spreadsheets/d/1opm6ZNvGZ7KditA9TuJwrZ25eFLfTNIkrNnY6mhV5Eg"",""list!A1:C115""),3,TRUE)"),"le secteur de la construction")</f>
        <v xml:space="preserve">le secteur de la construction</v>
      </c>
      <c r="K12662" s="5" t="s">
        <v>57590</v>
      </c>
      <c r="L12662" s="5" t="s">
        <v>57591</v>
      </c>
      <c r="M12662" s="6"/>
      <c r="N12662" s="18" t="s">
        <v>29</v>
      </c>
      <c r="O12662" s="18" t="s">
        <v>57592</v>
      </c>
      <c r="P12662" s="18" t="s">
        <v>29</v>
      </c>
      <c r="Q12662" s="6"/>
      <c r="R12662" s="18">
        <v>0.55742300109999998</v>
      </c>
    </row>
    <row r="12663" ht="14.25">
      <c r="B12663" s="18" t="s">
        <v>2419</v>
      </c>
      <c r="C12663" s="18" t="s">
        <v>16584</v>
      </c>
      <c r="D12663" s="18" t="s">
        <v>87</v>
      </c>
      <c r="E12663" s="18" t="s">
        <v>57396</v>
      </c>
      <c r="F12663" s="18" t="str">
        <f>IFERROR(__XLUDF.DUMMYFUNCTION("PROPER(REGEXREPLACE(D296,""[^A-Za-z]+ "",""""))"),"Jarnias")</f>
        <v>Jarnias</v>
      </c>
      <c r="G12663" s="18" t="s">
        <v>57593</v>
      </c>
      <c r="H12663" s="18">
        <v>93</v>
      </c>
      <c r="I12663" s="18" t="s">
        <v>9239</v>
      </c>
      <c r="J12663" s="18" t="str">
        <f>IFERROR(__XLUDF.DUMMYFUNCTION("VLOOKUP(H296,IMPORTRANGE(""https://docs.google.com/spreadsheets/d/1opm6ZNvGZ7KditA9TuJwrZ25eFLfTNIkrNnY6mhV5Eg"",""list!A1:C115""),3,TRUE)"),"le secteur de la construction")</f>
        <v xml:space="preserve">le secteur de la construction</v>
      </c>
      <c r="K12663" s="5" t="s">
        <v>57594</v>
      </c>
      <c r="L12663" s="5" t="s">
        <v>57399</v>
      </c>
      <c r="M12663" s="18" t="s">
        <v>39</v>
      </c>
      <c r="N12663" s="18" t="s">
        <v>29</v>
      </c>
      <c r="O12663" s="18" t="s">
        <v>57400</v>
      </c>
      <c r="P12663" s="18" t="s">
        <v>29</v>
      </c>
      <c r="Q12663" s="18" t="s">
        <v>57401</v>
      </c>
      <c r="R12663" s="18">
        <v>0.84969649670000003</v>
      </c>
    </row>
    <row r="12664" ht="14.25">
      <c r="B12664" s="18" t="s">
        <v>7323</v>
      </c>
      <c r="C12664" s="18" t="s">
        <v>57595</v>
      </c>
      <c r="D12664" s="18" t="s">
        <v>7339</v>
      </c>
      <c r="E12664" s="18" t="s">
        <v>57596</v>
      </c>
      <c r="F12664" s="18" t="str">
        <f>IFERROR(__XLUDF.DUMMYFUNCTION("PROPER(REGEXREPLACE(D297,""[^A-Za-z]+ "",""""))"),"Coop&amp;Bat")</f>
        <v>Coop&amp;Bat</v>
      </c>
      <c r="G12664" s="18" t="s">
        <v>57597</v>
      </c>
      <c r="H12664" s="18">
        <v>34</v>
      </c>
      <c r="I12664" s="18" t="s">
        <v>9239</v>
      </c>
      <c r="J12664" s="18" t="str">
        <f>IFERROR(__XLUDF.DUMMYFUNCTION("VLOOKUP(H297,IMPORTRANGE(""https://docs.google.com/spreadsheets/d/1opm6ZNvGZ7KditA9TuJwrZ25eFLfTNIkrNnY6mhV5Eg"",""list!A1:C115""),3,TRUE)"),"le secteur de la construction")</f>
        <v xml:space="preserve">le secteur de la construction</v>
      </c>
      <c r="K12664" s="5" t="s">
        <v>57598</v>
      </c>
      <c r="L12664" s="5" t="s">
        <v>57599</v>
      </c>
      <c r="M12664" s="18" t="s">
        <v>57600</v>
      </c>
      <c r="N12664" s="18" t="s">
        <v>29</v>
      </c>
      <c r="O12664" s="18" t="s">
        <v>57601</v>
      </c>
      <c r="P12664" s="18" t="s">
        <v>29</v>
      </c>
      <c r="Q12664" s="18" t="s">
        <v>57602</v>
      </c>
      <c r="R12664" s="18">
        <v>0.31579773100000003</v>
      </c>
    </row>
    <row r="12665" ht="14.25">
      <c r="B12665" s="18" t="s">
        <v>7323</v>
      </c>
      <c r="C12665" s="18" t="s">
        <v>57603</v>
      </c>
      <c r="D12665" s="18" t="s">
        <v>112</v>
      </c>
      <c r="E12665" s="18" t="s">
        <v>57604</v>
      </c>
      <c r="F12665" s="18" t="str">
        <f>IFERROR(__XLUDF.DUMMYFUNCTION("PROPER(REGEXREPLACE(D298,""[^A-Za-z]+ "",""""))"),"Socafl")</f>
        <v>Socafl</v>
      </c>
      <c r="G12665" s="18" t="s">
        <v>57605</v>
      </c>
      <c r="H12665" s="18">
        <v>34</v>
      </c>
      <c r="I12665" s="18" t="s">
        <v>9239</v>
      </c>
      <c r="J12665" s="18" t="str">
        <f>IFERROR(__XLUDF.DUMMYFUNCTION("VLOOKUP(H298,IMPORTRANGE(""https://docs.google.com/spreadsheets/d/1opm6ZNvGZ7KditA9TuJwrZ25eFLfTNIkrNnY6mhV5Eg"",""list!A1:C115""),3,TRUE)"),"le secteur de la construction")</f>
        <v xml:space="preserve">le secteur de la construction</v>
      </c>
      <c r="K12665" s="5" t="s">
        <v>57606</v>
      </c>
      <c r="L12665" s="5" t="s">
        <v>57607</v>
      </c>
      <c r="M12665" s="18" t="s">
        <v>185</v>
      </c>
      <c r="N12665" s="18" t="s">
        <v>29</v>
      </c>
      <c r="O12665" s="18" t="s">
        <v>57608</v>
      </c>
      <c r="P12665" s="18" t="s">
        <v>29</v>
      </c>
      <c r="Q12665" s="18" t="s">
        <v>57609</v>
      </c>
      <c r="R12665" s="18">
        <v>0.8552088659</v>
      </c>
    </row>
    <row r="12666" ht="14.25">
      <c r="B12666" s="18" t="s">
        <v>7323</v>
      </c>
      <c r="C12666" s="18" t="s">
        <v>57610</v>
      </c>
      <c r="D12666" s="18" t="s">
        <v>112</v>
      </c>
      <c r="E12666" s="18" t="s">
        <v>57611</v>
      </c>
      <c r="F12666" s="18" t="str">
        <f>IFERROR(__XLUDF.DUMMYFUNCTION("PROPER(REGEXREPLACE(D299,""[^A-Za-z]+ "",""""))"),"Softica Activateur D'Accès")</f>
        <v xml:space="preserve">Softica Activateur D'Accès</v>
      </c>
      <c r="G12666" s="18" t="s">
        <v>57612</v>
      </c>
      <c r="H12666" s="18">
        <v>59</v>
      </c>
      <c r="I12666" s="18" t="s">
        <v>9239</v>
      </c>
      <c r="J12666" s="18" t="str">
        <f>IFERROR(__XLUDF.DUMMYFUNCTION("VLOOKUP(H299,IMPORTRANGE(""https://docs.google.com/spreadsheets/d/1opm6ZNvGZ7KditA9TuJwrZ25eFLfTNIkrNnY6mhV5Eg"",""list!A1:C115""),3,TRUE)"),"le secteur de la construction")</f>
        <v xml:space="preserve">le secteur de la construction</v>
      </c>
      <c r="K12666" s="5" t="s">
        <v>57613</v>
      </c>
      <c r="L12666" s="5" t="s">
        <v>57614</v>
      </c>
      <c r="M12666" s="18" t="s">
        <v>774</v>
      </c>
      <c r="N12666" s="18" t="s">
        <v>29</v>
      </c>
      <c r="O12666" s="18" t="s">
        <v>57615</v>
      </c>
      <c r="P12666" s="18" t="s">
        <v>29</v>
      </c>
      <c r="Q12666" s="18" t="s">
        <v>57616</v>
      </c>
      <c r="R12666" s="18">
        <v>0.281225</v>
      </c>
    </row>
    <row r="12667" ht="14.25">
      <c r="B12667" s="18" t="s">
        <v>17524</v>
      </c>
      <c r="C12667" s="18" t="s">
        <v>57617</v>
      </c>
      <c r="D12667" s="18" t="s">
        <v>3982</v>
      </c>
      <c r="E12667" s="18" t="s">
        <v>57618</v>
      </c>
      <c r="F12667" s="18" t="str">
        <f>IFERROR(__XLUDF.DUMMYFUNCTION("PROPER(REGEXREPLACE(D300,""[^A-Za-z]+ "",""""))"),"Snpr")</f>
        <v>Snpr</v>
      </c>
      <c r="G12667" s="18" t="s">
        <v>57619</v>
      </c>
      <c r="H12667" s="18">
        <v>96</v>
      </c>
      <c r="I12667" s="18" t="s">
        <v>9239</v>
      </c>
      <c r="J12667" s="18" t="str">
        <f>IFERROR(__XLUDF.DUMMYFUNCTION("VLOOKUP(H300,IMPORTRANGE(""https://docs.google.com/spreadsheets/d/1opm6ZNvGZ7KditA9TuJwrZ25eFLfTNIkrNnY6mhV5Eg"",""list!A1:C115""),3,TRUE)"),"le secteur de la construction")</f>
        <v xml:space="preserve">le secteur de la construction</v>
      </c>
      <c r="K12667" s="5" t="s">
        <v>57620</v>
      </c>
      <c r="L12667" s="5" t="s">
        <v>57621</v>
      </c>
      <c r="M12667" s="18" t="s">
        <v>492</v>
      </c>
      <c r="N12667" s="18" t="s">
        <v>29</v>
      </c>
      <c r="O12667" s="18" t="s">
        <v>57622</v>
      </c>
      <c r="P12667" s="18" t="s">
        <v>29</v>
      </c>
      <c r="Q12667" s="6"/>
      <c r="R12667" s="18">
        <v>0.41169718700000002</v>
      </c>
    </row>
    <row r="12668" ht="14.25">
      <c r="B12668" s="18" t="s">
        <v>57623</v>
      </c>
      <c r="C12668" s="18" t="s">
        <v>57624</v>
      </c>
      <c r="D12668" s="18" t="s">
        <v>15197</v>
      </c>
      <c r="E12668" s="18" t="s">
        <v>57625</v>
      </c>
      <c r="F12668" s="18" t="str">
        <f>IFERROR(__XLUDF.DUMMYFUNCTION("PROPER(REGEXREPLACE(D301,""[^A-Za-z]+ "",""""))"),"Vertical Sea")</f>
        <v xml:space="preserve">Vertical Sea</v>
      </c>
      <c r="G12668" s="18" t="s">
        <v>57626</v>
      </c>
      <c r="H12668" s="18">
        <v>530</v>
      </c>
      <c r="I12668" s="18" t="s">
        <v>57627</v>
      </c>
      <c r="J12668" s="18" t="str">
        <f>IFERROR(__XLUDF.DUMMYFUNCTION("VLOOKUP(H301,IMPORTRANGE(""https://docs.google.com/spreadsheets/d/1opm6ZNvGZ7KditA9TuJwrZ25eFLfTNIkrNnY6mhV5Eg"",""list!A1:C115""),3,TRUE)"),"le secteur de l'environnement")</f>
        <v xml:space="preserve">le secteur de l'environnement</v>
      </c>
      <c r="K12668" s="5" t="s">
        <v>57628</v>
      </c>
      <c r="L12668" s="5" t="s">
        <v>57629</v>
      </c>
      <c r="M12668" s="6"/>
      <c r="N12668" s="18" t="s">
        <v>29</v>
      </c>
      <c r="O12668" s="18" t="s">
        <v>57630</v>
      </c>
      <c r="P12668" s="18" t="s">
        <v>29</v>
      </c>
      <c r="Q12668" s="18" t="s">
        <v>57631</v>
      </c>
      <c r="R12668" s="18">
        <v>0.39940912909999998</v>
      </c>
    </row>
    <row r="12669" ht="14.25">
      <c r="B12669" s="18" t="s">
        <v>19682</v>
      </c>
      <c r="C12669" s="18" t="s">
        <v>7735</v>
      </c>
      <c r="D12669" s="18" t="s">
        <v>230</v>
      </c>
      <c r="E12669" s="18" t="s">
        <v>57632</v>
      </c>
      <c r="F12669" s="18" t="str">
        <f>IFERROR(__XLUDF.DUMMYFUNCTION("PROPER(REGEXREPLACE(D302,""[^A-Za-z]+ "",""""))"),"Blue Group")</f>
        <v xml:space="preserve">Blue Group</v>
      </c>
      <c r="G12669" s="18" t="s">
        <v>57633</v>
      </c>
      <c r="H12669" s="18">
        <v>64</v>
      </c>
      <c r="I12669" s="18" t="s">
        <v>14347</v>
      </c>
      <c r="J12669" s="18" t="str">
        <f>IFERROR(__XLUDF.DUMMYFUNCTION("VLOOKUP(H302,IMPORTRANGE(""https://docs.google.com/spreadsheets/d/1opm6ZNvGZ7KditA9TuJwrZ25eFLfTNIkrNnY6mhV5Eg"",""list!A1:C115""),3,TRUE)"),"le secteur de la machinerie")</f>
        <v xml:space="preserve">le secteur de la machinerie</v>
      </c>
      <c r="K12669" s="5" t="s">
        <v>57634</v>
      </c>
      <c r="L12669" s="5" t="s">
        <v>57635</v>
      </c>
      <c r="M12669" s="18" t="s">
        <v>39</v>
      </c>
      <c r="N12669" s="18" t="s">
        <v>29</v>
      </c>
      <c r="O12669" s="18" t="s">
        <v>57636</v>
      </c>
      <c r="P12669" s="18" t="s">
        <v>1548</v>
      </c>
      <c r="Q12669" s="6"/>
      <c r="R12669" s="18">
        <v>0.77801438889999996</v>
      </c>
    </row>
    <row r="12670" ht="14.25">
      <c r="B12670" s="18" t="s">
        <v>15990</v>
      </c>
      <c r="C12670" s="18" t="s">
        <v>21692</v>
      </c>
      <c r="D12670" s="18" t="s">
        <v>1950</v>
      </c>
      <c r="E12670" s="18" t="s">
        <v>57637</v>
      </c>
      <c r="F12670" s="18" t="str">
        <f>IFERROR(__XLUDF.DUMMYFUNCTION("PROPER(REGEXREPLACE(D303,""[^A-Za-z]+ "",""""))"),"Inveho")</f>
        <v>Inveho</v>
      </c>
      <c r="G12670" s="18" t="s">
        <v>57638</v>
      </c>
      <c r="H12670" s="18">
        <v>120</v>
      </c>
      <c r="I12670" s="18" t="s">
        <v>57639</v>
      </c>
      <c r="J12670" s="18" t="str">
        <f>IFERROR(__XLUDF.DUMMYFUNCTION("VLOOKUP(H303,IMPORTRANGE(""https://docs.google.com/spreadsheets/d/1opm6ZNvGZ7KditA9TuJwrZ25eFLfTNIkrNnY6mhV5Eg"",""list!A1:C115""),3,TRUE)"),"le secteur de la fabrication ferroviaire")</f>
        <v xml:space="preserve">le secteur de la fabrication ferroviaire</v>
      </c>
      <c r="K12670" s="5" t="s">
        <v>57640</v>
      </c>
      <c r="L12670" s="5" t="s">
        <v>57641</v>
      </c>
      <c r="M12670" s="6"/>
      <c r="N12670" s="18" t="s">
        <v>29</v>
      </c>
      <c r="O12670" s="18" t="s">
        <v>57642</v>
      </c>
      <c r="P12670" s="18" t="s">
        <v>29</v>
      </c>
      <c r="Q12670" s="18" t="s">
        <v>57643</v>
      </c>
      <c r="R12670" s="18">
        <v>0.74538865119999997</v>
      </c>
    </row>
    <row r="12671" ht="14.25">
      <c r="B12671" s="18" t="s">
        <v>49000</v>
      </c>
      <c r="C12671" s="18" t="s">
        <v>57644</v>
      </c>
      <c r="D12671" s="18" t="s">
        <v>57645</v>
      </c>
      <c r="E12671" s="18" t="s">
        <v>57646</v>
      </c>
      <c r="F12671" s="18" t="str">
        <f>IFERROR(__XLUDF.DUMMYFUNCTION("PROPER(REGEXREPLACE(D304,""[^A-Za-z]+ "",""""))"),"Luxury By Blue")</f>
        <v xml:space="preserve">Luxury By Blue</v>
      </c>
      <c r="G12671" s="18" t="s">
        <v>57647</v>
      </c>
      <c r="H12671" s="18">
        <v>61</v>
      </c>
      <c r="I12671" s="18" t="s">
        <v>4293</v>
      </c>
      <c r="J12671" s="18" t="str">
        <f>IFERROR(__XLUDF.DUMMYFUNCTION("VLOOKUP(H304,IMPORTRANGE(""https://docs.google.com/spreadsheets/d/1opm6ZNvGZ7KditA9TuJwrZ25eFLfTNIkrNnY6mhV5Eg"",""list!A1:C115""),3,TRUE)"),"le secteur de l'immobilier")</f>
        <v xml:space="preserve">le secteur de l'immobilier</v>
      </c>
      <c r="K12671" s="5" t="s">
        <v>57648</v>
      </c>
      <c r="L12671" s="5" t="s">
        <v>57649</v>
      </c>
      <c r="M12671" s="18" t="s">
        <v>5456</v>
      </c>
      <c r="N12671" s="18" t="s">
        <v>29</v>
      </c>
      <c r="O12671" s="18" t="s">
        <v>57650</v>
      </c>
      <c r="P12671" s="18" t="s">
        <v>29</v>
      </c>
      <c r="Q12671" s="18" t="s">
        <v>57651</v>
      </c>
      <c r="R12671" s="18">
        <v>0.068410795740000002</v>
      </c>
    </row>
    <row r="12672" ht="14.25">
      <c r="B12672" s="18" t="s">
        <v>6080</v>
      </c>
      <c r="C12672" s="18" t="s">
        <v>57652</v>
      </c>
      <c r="D12672" s="18" t="s">
        <v>198</v>
      </c>
      <c r="E12672" s="18" t="s">
        <v>57653</v>
      </c>
      <c r="F12672" s="18" t="str">
        <f>IFERROR(__XLUDF.DUMMYFUNCTION("PROPER(REGEXREPLACE(D305,""[^A-Za-z]+ "",""""))"),"Pariseine")</f>
        <v>Pariseine</v>
      </c>
      <c r="G12672" s="18" t="s">
        <v>57654</v>
      </c>
      <c r="H12672" s="18">
        <v>48</v>
      </c>
      <c r="I12672" s="18" t="s">
        <v>4293</v>
      </c>
      <c r="J12672" s="18" t="str">
        <f>IFERROR(__XLUDF.DUMMYFUNCTION("VLOOKUP(H305,IMPORTRANGE(""https://docs.google.com/spreadsheets/d/1opm6ZNvGZ7KditA9TuJwrZ25eFLfTNIkrNnY6mhV5Eg"",""list!A1:C115""),3,TRUE)"),"le secteur de l'immobilier")</f>
        <v xml:space="preserve">le secteur de l'immobilier</v>
      </c>
      <c r="K12672" s="5" t="s">
        <v>57655</v>
      </c>
      <c r="L12672" s="5" t="s">
        <v>57656</v>
      </c>
      <c r="M12672" s="18" t="s">
        <v>39</v>
      </c>
      <c r="N12672" s="18" t="s">
        <v>29</v>
      </c>
      <c r="O12672" s="18" t="s">
        <v>57657</v>
      </c>
      <c r="P12672" s="18" t="s">
        <v>29</v>
      </c>
      <c r="Q12672" s="18" t="s">
        <v>57658</v>
      </c>
      <c r="R12672" s="18">
        <v>0.68161567030000003</v>
      </c>
    </row>
    <row r="12673" ht="14.25">
      <c r="B12673" s="18" t="s">
        <v>3834</v>
      </c>
      <c r="C12673" s="18" t="s">
        <v>16823</v>
      </c>
      <c r="D12673" s="18" t="s">
        <v>30716</v>
      </c>
      <c r="E12673" s="18" t="s">
        <v>57659</v>
      </c>
      <c r="F12673" s="18" t="str">
        <f>IFERROR(__XLUDF.DUMMYFUNCTION("PROPER(REGEXREPLACE(D306,""[^A-Za-z]+ "",""""))"),"Office Public De L'Habitat De L'Agglomération De La Rochelle")</f>
        <v xml:space="preserve">Office Public De L'Habitat De L'Agglomération De La Rochelle</v>
      </c>
      <c r="G12673" s="18" t="s">
        <v>57660</v>
      </c>
      <c r="H12673" s="18">
        <v>65</v>
      </c>
      <c r="I12673" s="18" t="s">
        <v>4293</v>
      </c>
      <c r="J12673" s="18" t="str">
        <f>IFERROR(__XLUDF.DUMMYFUNCTION("VLOOKUP(H306,IMPORTRANGE(""https://docs.google.com/spreadsheets/d/1opm6ZNvGZ7KditA9TuJwrZ25eFLfTNIkrNnY6mhV5Eg"",""list!A1:C115""),3,TRUE)"),"le secteur de l'immobilier")</f>
        <v xml:space="preserve">le secteur de l'immobilier</v>
      </c>
      <c r="K12673" s="5" t="s">
        <v>57661</v>
      </c>
      <c r="L12673" s="5" t="s">
        <v>57662</v>
      </c>
      <c r="M12673" s="18" t="s">
        <v>2186</v>
      </c>
      <c r="N12673" s="18" t="s">
        <v>29</v>
      </c>
      <c r="O12673" s="18" t="s">
        <v>57663</v>
      </c>
      <c r="P12673" s="18" t="s">
        <v>29</v>
      </c>
      <c r="Q12673" s="18" t="s">
        <v>57664</v>
      </c>
      <c r="R12673" s="18">
        <v>0.45891338399999998</v>
      </c>
    </row>
    <row r="12674" ht="14.25">
      <c r="B12674" s="18" t="s">
        <v>630</v>
      </c>
      <c r="C12674" s="18" t="s">
        <v>57665</v>
      </c>
      <c r="D12674" s="18" t="s">
        <v>172</v>
      </c>
      <c r="E12674" s="18" t="s">
        <v>57666</v>
      </c>
      <c r="F12674" s="18" t="str">
        <f>IFERROR(__XLUDF.DUMMYFUNCTION("PROPER(REGEXREPLACE(D307,""[^A-Za-z]+ "",""""))"),"Groupe Patriarca Développement")</f>
        <v xml:space="preserve">Groupe Patriarca Développement</v>
      </c>
      <c r="G12674" s="18" t="s">
        <v>57667</v>
      </c>
      <c r="H12674" s="18">
        <v>86</v>
      </c>
      <c r="I12674" s="18" t="s">
        <v>4293</v>
      </c>
      <c r="J12674" s="18" t="str">
        <f>IFERROR(__XLUDF.DUMMYFUNCTION("VLOOKUP(H307,IMPORTRANGE(""https://docs.google.com/spreadsheets/d/1opm6ZNvGZ7KditA9TuJwrZ25eFLfTNIkrNnY6mhV5Eg"",""list!A1:C115""),3,TRUE)"),"le secteur de l'immobilier")</f>
        <v xml:space="preserve">le secteur de l'immobilier</v>
      </c>
      <c r="K12674" s="5" t="s">
        <v>57668</v>
      </c>
      <c r="L12674" s="5" t="s">
        <v>57669</v>
      </c>
      <c r="M12674" s="18" t="s">
        <v>185</v>
      </c>
      <c r="N12674" s="18" t="s">
        <v>29</v>
      </c>
      <c r="O12674" s="18" t="s">
        <v>57670</v>
      </c>
      <c r="P12674" s="18" t="s">
        <v>29</v>
      </c>
      <c r="Q12674" s="18" t="s">
        <v>57671</v>
      </c>
      <c r="R12674" s="18">
        <v>0.53004047769999996</v>
      </c>
    </row>
    <row r="12675" ht="14.25">
      <c r="B12675" s="18" t="s">
        <v>57672</v>
      </c>
      <c r="C12675" s="18" t="s">
        <v>57673</v>
      </c>
      <c r="D12675" s="18" t="s">
        <v>164</v>
      </c>
      <c r="E12675" s="18" t="s">
        <v>57674</v>
      </c>
      <c r="F12675" s="18" t="str">
        <f>IFERROR(__XLUDF.DUMMYFUNCTION("PROPER(REGEXREPLACE(D308,""[^A-Za-z]+ "",""""))"),"Seminor")</f>
        <v>Seminor</v>
      </c>
      <c r="G12675" s="18" t="s">
        <v>57675</v>
      </c>
      <c r="H12675" s="18">
        <v>53</v>
      </c>
      <c r="I12675" s="18" t="s">
        <v>4293</v>
      </c>
      <c r="J12675" s="18" t="str">
        <f>IFERROR(__XLUDF.DUMMYFUNCTION("VLOOKUP(H308,IMPORTRANGE(""https://docs.google.com/spreadsheets/d/1opm6ZNvGZ7KditA9TuJwrZ25eFLfTNIkrNnY6mhV5Eg"",""list!A1:C115""),3,TRUE)"),"le secteur de l'immobilier")</f>
        <v xml:space="preserve">le secteur de l'immobilier</v>
      </c>
      <c r="K12675" s="5" t="s">
        <v>57676</v>
      </c>
      <c r="L12675" s="5" t="s">
        <v>57677</v>
      </c>
      <c r="M12675" s="18" t="s">
        <v>20332</v>
      </c>
      <c r="N12675" s="18" t="s">
        <v>29</v>
      </c>
      <c r="O12675" s="18" t="s">
        <v>57678</v>
      </c>
      <c r="P12675" s="18" t="s">
        <v>29</v>
      </c>
      <c r="Q12675" s="6"/>
      <c r="R12675" s="18">
        <v>0.86933409959999997</v>
      </c>
    </row>
    <row r="12676" ht="14.25">
      <c r="B12676" s="18" t="s">
        <v>222</v>
      </c>
      <c r="C12676" s="18" t="s">
        <v>57679</v>
      </c>
      <c r="D12676" s="18" t="s">
        <v>172</v>
      </c>
      <c r="E12676" s="18" t="s">
        <v>57680</v>
      </c>
      <c r="F12676" s="18" t="str">
        <f>IFERROR(__XLUDF.DUMMYFUNCTION("PROPER(REGEXREPLACE(D309,""[^A-Za-z]+ "",""""))"),"Orne Habitat")</f>
        <v xml:space="preserve">Orne Habitat</v>
      </c>
      <c r="G12676" s="18" t="s">
        <v>57681</v>
      </c>
      <c r="H12676" s="18">
        <v>68</v>
      </c>
      <c r="I12676" s="18" t="s">
        <v>4293</v>
      </c>
      <c r="J12676" s="18" t="str">
        <f>IFERROR(__XLUDF.DUMMYFUNCTION("VLOOKUP(H309,IMPORTRANGE(""https://docs.google.com/spreadsheets/d/1opm6ZNvGZ7KditA9TuJwrZ25eFLfTNIkrNnY6mhV5Eg"",""list!A1:C115""),3,TRUE)"),"le secteur de l'immobilier")</f>
        <v xml:space="preserve">le secteur de l'immobilier</v>
      </c>
      <c r="K12676" s="5" t="s">
        <v>57682</v>
      </c>
      <c r="L12676" s="5" t="s">
        <v>57683</v>
      </c>
      <c r="M12676" s="18" t="s">
        <v>11157</v>
      </c>
      <c r="N12676" s="18" t="s">
        <v>29</v>
      </c>
      <c r="O12676" s="18" t="s">
        <v>32101</v>
      </c>
      <c r="P12676" s="18" t="s">
        <v>29</v>
      </c>
      <c r="Q12676" s="18" t="s">
        <v>57684</v>
      </c>
      <c r="R12676" s="18">
        <v>0.65670737320000006</v>
      </c>
    </row>
    <row r="12677" ht="14.25">
      <c r="B12677" s="18" t="s">
        <v>2303</v>
      </c>
      <c r="C12677" s="18" t="s">
        <v>6179</v>
      </c>
      <c r="D12677" s="18" t="s">
        <v>57685</v>
      </c>
      <c r="E12677" s="18" t="s">
        <v>57686</v>
      </c>
      <c r="F12677" s="18" t="str">
        <f>IFERROR(__XLUDF.DUMMYFUNCTION("PROPER(REGEXREPLACE(D310,""[^A-Za-z]+ "",""""))"),"Limoges Habitat")</f>
        <v xml:space="preserve">Limoges Habitat</v>
      </c>
      <c r="G12677" s="18" t="s">
        <v>57687</v>
      </c>
      <c r="H12677" s="18">
        <v>96</v>
      </c>
      <c r="I12677" s="18" t="s">
        <v>4293</v>
      </c>
      <c r="J12677" s="18" t="str">
        <f>IFERROR(__XLUDF.DUMMYFUNCTION("VLOOKUP(H310,IMPORTRANGE(""https://docs.google.com/spreadsheets/d/1opm6ZNvGZ7KditA9TuJwrZ25eFLfTNIkrNnY6mhV5Eg"",""list!A1:C115""),3,TRUE)"),"le secteur de l'immobilier")</f>
        <v xml:space="preserve">le secteur de l'immobilier</v>
      </c>
      <c r="K12677" s="5" t="s">
        <v>57688</v>
      </c>
      <c r="L12677" s="5" t="s">
        <v>57689</v>
      </c>
      <c r="M12677" s="18" t="s">
        <v>6412</v>
      </c>
      <c r="N12677" s="18" t="s">
        <v>29</v>
      </c>
      <c r="O12677" s="18" t="s">
        <v>57690</v>
      </c>
      <c r="P12677" s="18" t="s">
        <v>29</v>
      </c>
      <c r="Q12677" s="18" t="s">
        <v>57691</v>
      </c>
      <c r="R12677" s="18">
        <v>0.80821784070000002</v>
      </c>
    </row>
    <row r="12678" ht="14.25">
      <c r="B12678" s="18" t="s">
        <v>5001</v>
      </c>
      <c r="C12678" s="18" t="s">
        <v>57692</v>
      </c>
      <c r="D12678" s="18" t="s">
        <v>468</v>
      </c>
      <c r="E12678" s="18" t="s">
        <v>57693</v>
      </c>
      <c r="F12678" s="18" t="str">
        <f>IFERROR(__XLUDF.DUMMYFUNCTION("PROPER(REGEXREPLACE(D311,""[^A-Za-z]+ "",""""))"),"Mancelle D'Habitation")</f>
        <v xml:space="preserve">Mancelle D'Habitation</v>
      </c>
      <c r="G12678" s="18" t="s">
        <v>57694</v>
      </c>
      <c r="H12678" s="18">
        <v>63</v>
      </c>
      <c r="I12678" s="18" t="s">
        <v>4293</v>
      </c>
      <c r="J12678" s="18" t="str">
        <f>IFERROR(__XLUDF.DUMMYFUNCTION("VLOOKUP(H311,IMPORTRANGE(""https://docs.google.com/spreadsheets/d/1opm6ZNvGZ7KditA9TuJwrZ25eFLfTNIkrNnY6mhV5Eg"",""list!A1:C115""),3,TRUE)"),"le secteur de l'immobilier")</f>
        <v xml:space="preserve">le secteur de l'immobilier</v>
      </c>
      <c r="K12678" s="5" t="s">
        <v>57695</v>
      </c>
      <c r="L12678" s="5" t="s">
        <v>57696</v>
      </c>
      <c r="M12678" s="18" t="s">
        <v>2650</v>
      </c>
      <c r="N12678" s="18" t="s">
        <v>29</v>
      </c>
      <c r="O12678" s="18" t="s">
        <v>57697</v>
      </c>
      <c r="P12678" s="18" t="s">
        <v>29</v>
      </c>
      <c r="Q12678" s="18" t="s">
        <v>57698</v>
      </c>
      <c r="R12678" s="18">
        <v>0.90491371679999999</v>
      </c>
    </row>
    <row r="12679" ht="14.25">
      <c r="B12679" s="18" t="s">
        <v>57699</v>
      </c>
      <c r="C12679" s="18" t="s">
        <v>57700</v>
      </c>
      <c r="D12679" s="18" t="s">
        <v>57701</v>
      </c>
      <c r="E12679" s="18" t="s">
        <v>57702</v>
      </c>
      <c r="F12679" s="18" t="str">
        <f>IFERROR(__XLUDF.DUMMYFUNCTION("PROPER(REGEXREPLACE(D312,""[^A-Za-z]+ "",""""))"),"Aprc Group")</f>
        <v xml:space="preserve">Aprc Group</v>
      </c>
      <c r="G12679" s="18" t="s">
        <v>57703</v>
      </c>
      <c r="H12679" s="18">
        <v>110</v>
      </c>
      <c r="I12679" s="18" t="s">
        <v>4293</v>
      </c>
      <c r="J12679" s="18" t="str">
        <f>IFERROR(__XLUDF.DUMMYFUNCTION("VLOOKUP(H312,IMPORTRANGE(""https://docs.google.com/spreadsheets/d/1opm6ZNvGZ7KditA9TuJwrZ25eFLfTNIkrNnY6mhV5Eg"",""list!A1:C115""),3,TRUE)"),"le secteur de l'immobilier")</f>
        <v xml:space="preserve">le secteur de l'immobilier</v>
      </c>
      <c r="K12679" s="5" t="s">
        <v>57704</v>
      </c>
      <c r="L12679" s="5" t="s">
        <v>57705</v>
      </c>
      <c r="M12679" s="6"/>
      <c r="N12679" s="18" t="s">
        <v>29</v>
      </c>
      <c r="O12679" s="18" t="s">
        <v>57706</v>
      </c>
      <c r="P12679" s="18" t="s">
        <v>29</v>
      </c>
      <c r="Q12679" s="18" t="s">
        <v>57707</v>
      </c>
      <c r="R12679" s="18">
        <v>0.66511894370000002</v>
      </c>
    </row>
    <row r="12680" ht="14.25">
      <c r="B12680" s="18" t="s">
        <v>1198</v>
      </c>
      <c r="C12680" s="18" t="s">
        <v>19098</v>
      </c>
      <c r="D12680" s="18" t="s">
        <v>172</v>
      </c>
      <c r="E12680" s="18" t="s">
        <v>57659</v>
      </c>
      <c r="F12680" s="18" t="str">
        <f>IFERROR(__XLUDF.DUMMYFUNCTION("PROPER(REGEXREPLACE(D313,""[^A-Za-z]+ "",""""))"),"Office Public De L'Habitat De L'Agglomération De La Rochelle")</f>
        <v xml:space="preserve">Office Public De L'Habitat De L'Agglomération De La Rochelle</v>
      </c>
      <c r="G12680" s="18" t="s">
        <v>57708</v>
      </c>
      <c r="H12680" s="18">
        <v>65</v>
      </c>
      <c r="I12680" s="18" t="s">
        <v>4293</v>
      </c>
      <c r="J12680" s="18" t="str">
        <f>IFERROR(__XLUDF.DUMMYFUNCTION("VLOOKUP(H313,IMPORTRANGE(""https://docs.google.com/spreadsheets/d/1opm6ZNvGZ7KditA9TuJwrZ25eFLfTNIkrNnY6mhV5Eg"",""list!A1:C115""),3,TRUE)"),"le secteur de l'immobilier")</f>
        <v xml:space="preserve">le secteur de l'immobilier</v>
      </c>
      <c r="K12680" s="5" t="s">
        <v>57709</v>
      </c>
      <c r="L12680" s="5" t="s">
        <v>57662</v>
      </c>
      <c r="M12680" s="18" t="s">
        <v>2186</v>
      </c>
      <c r="N12680" s="18" t="s">
        <v>29</v>
      </c>
      <c r="O12680" s="18" t="s">
        <v>57663</v>
      </c>
      <c r="P12680" s="18" t="s">
        <v>29</v>
      </c>
      <c r="Q12680" s="18" t="s">
        <v>57664</v>
      </c>
      <c r="R12680" s="18">
        <v>0.2135613422</v>
      </c>
    </row>
    <row r="12681" ht="14.25">
      <c r="B12681" s="18" t="s">
        <v>355</v>
      </c>
      <c r="C12681" s="18" t="s">
        <v>57710</v>
      </c>
      <c r="D12681" s="18" t="s">
        <v>57711</v>
      </c>
      <c r="E12681" s="18" t="s">
        <v>57693</v>
      </c>
      <c r="F12681" s="18" t="str">
        <f>IFERROR(__XLUDF.DUMMYFUNCTION("PROPER(REGEXREPLACE(D314,""[^A-Za-z]+ "",""""))"),"Mancelle D'Habitation")</f>
        <v xml:space="preserve">Mancelle D'Habitation</v>
      </c>
      <c r="G12681" s="18" t="s">
        <v>57712</v>
      </c>
      <c r="H12681" s="18">
        <v>63</v>
      </c>
      <c r="I12681" s="18" t="s">
        <v>4293</v>
      </c>
      <c r="J12681" s="18" t="str">
        <f>IFERROR(__XLUDF.DUMMYFUNCTION("VLOOKUP(H314,IMPORTRANGE(""https://docs.google.com/spreadsheets/d/1opm6ZNvGZ7KditA9TuJwrZ25eFLfTNIkrNnY6mhV5Eg"",""list!A1:C115""),3,TRUE)"),"le secteur de l'immobilier")</f>
        <v xml:space="preserve">le secteur de l'immobilier</v>
      </c>
      <c r="K12681" s="5" t="s">
        <v>57713</v>
      </c>
      <c r="L12681" s="5" t="s">
        <v>57696</v>
      </c>
      <c r="M12681" s="18" t="s">
        <v>2650</v>
      </c>
      <c r="N12681" s="18" t="s">
        <v>29</v>
      </c>
      <c r="O12681" s="18" t="s">
        <v>57697</v>
      </c>
      <c r="P12681" s="18" t="s">
        <v>29</v>
      </c>
      <c r="Q12681" s="18" t="s">
        <v>57698</v>
      </c>
      <c r="R12681" s="18">
        <v>0.3711804085</v>
      </c>
    </row>
    <row r="12682" ht="14.25">
      <c r="B12682" s="18" t="s">
        <v>355</v>
      </c>
      <c r="C12682" s="18" t="s">
        <v>57714</v>
      </c>
      <c r="D12682" s="18" t="s">
        <v>426</v>
      </c>
      <c r="E12682" s="18" t="s">
        <v>57715</v>
      </c>
      <c r="F12682" s="18" t="str">
        <f>IFERROR(__XLUDF.DUMMYFUNCTION("PROPER(REGEXREPLACE(D315,""[^A-Za-z]+ "",""""))"),"Habitats De Haute-Alsace")</f>
        <v xml:space="preserve">Habitats De Haute-Alsace</v>
      </c>
      <c r="G12682" s="18" t="s">
        <v>57716</v>
      </c>
      <c r="H12682" s="18">
        <v>84</v>
      </c>
      <c r="I12682" s="18" t="s">
        <v>4293</v>
      </c>
      <c r="J12682" s="18" t="str">
        <f>IFERROR(__XLUDF.DUMMYFUNCTION("VLOOKUP(H315,IMPORTRANGE(""https://docs.google.com/spreadsheets/d/1opm6ZNvGZ7KditA9TuJwrZ25eFLfTNIkrNnY6mhV5Eg"",""list!A1:C115""),3,TRUE)"),"le secteur de l'immobilier")</f>
        <v xml:space="preserve">le secteur de l'immobilier</v>
      </c>
      <c r="K12682" s="5" t="s">
        <v>57717</v>
      </c>
      <c r="L12682" s="5" t="s">
        <v>57718</v>
      </c>
      <c r="M12682" s="18" t="s">
        <v>16312</v>
      </c>
      <c r="N12682" s="18" t="s">
        <v>29</v>
      </c>
      <c r="O12682" s="18" t="s">
        <v>57719</v>
      </c>
      <c r="P12682" s="18" t="s">
        <v>29</v>
      </c>
      <c r="Q12682" s="18" t="s">
        <v>57720</v>
      </c>
      <c r="R12682" s="18">
        <v>0.55994445179999996</v>
      </c>
    </row>
    <row r="12683" ht="14.25">
      <c r="B12683" s="18" t="s">
        <v>1454</v>
      </c>
      <c r="C12683" s="18" t="s">
        <v>57721</v>
      </c>
      <c r="D12683" s="18" t="s">
        <v>112</v>
      </c>
      <c r="E12683" s="18" t="s">
        <v>57722</v>
      </c>
      <c r="F12683" s="18" t="str">
        <f>IFERROR(__XLUDF.DUMMYFUNCTION("PROPER(REGEXREPLACE(D316,""[^A-Za-z]+ "",""""))"),"Habitat Du Nord")</f>
        <v xml:space="preserve">Habitat Du Nord</v>
      </c>
      <c r="G12683" s="18" t="s">
        <v>57723</v>
      </c>
      <c r="H12683" s="18">
        <v>110</v>
      </c>
      <c r="I12683" s="18" t="s">
        <v>4293</v>
      </c>
      <c r="J12683" s="18" t="str">
        <f>IFERROR(__XLUDF.DUMMYFUNCTION("VLOOKUP(H316,IMPORTRANGE(""https://docs.google.com/spreadsheets/d/1opm6ZNvGZ7KditA9TuJwrZ25eFLfTNIkrNnY6mhV5Eg"",""list!A1:C115""),3,TRUE)"),"le secteur de l'immobilier")</f>
        <v xml:space="preserve">le secteur de l'immobilier</v>
      </c>
      <c r="K12683" s="5" t="s">
        <v>57724</v>
      </c>
      <c r="L12683" s="5" t="s">
        <v>57725</v>
      </c>
      <c r="M12683" s="18" t="s">
        <v>12731</v>
      </c>
      <c r="N12683" s="18" t="s">
        <v>29</v>
      </c>
      <c r="O12683" s="18" t="s">
        <v>57726</v>
      </c>
      <c r="P12683" s="18" t="s">
        <v>29</v>
      </c>
      <c r="Q12683" s="18" t="s">
        <v>57727</v>
      </c>
      <c r="R12683" s="18">
        <v>0.14647075940000001</v>
      </c>
    </row>
    <row r="12684" ht="14.25">
      <c r="B12684" s="18" t="s">
        <v>785</v>
      </c>
      <c r="C12684" s="18" t="s">
        <v>57728</v>
      </c>
      <c r="D12684" s="18" t="s">
        <v>172</v>
      </c>
      <c r="E12684" s="18" t="s">
        <v>57729</v>
      </c>
      <c r="F12684" s="18" t="str">
        <f>IFERROR(__XLUDF.DUMMYFUNCTION("PROPER(REGEXREPLACE(D317,""[^A-Za-z]+ "",""""))"),"Groupe Verrecchia")</f>
        <v xml:space="preserve">Groupe Verrecchia</v>
      </c>
      <c r="G12684" s="18" t="s">
        <v>57730</v>
      </c>
      <c r="H12684" s="18">
        <v>70</v>
      </c>
      <c r="I12684" s="18" t="s">
        <v>4293</v>
      </c>
      <c r="J12684" s="18" t="str">
        <f>IFERROR(__XLUDF.DUMMYFUNCTION("VLOOKUP(H317,IMPORTRANGE(""https://docs.google.com/spreadsheets/d/1opm6ZNvGZ7KditA9TuJwrZ25eFLfTNIkrNnY6mhV5Eg"",""list!A1:C115""),3,TRUE)"),"le secteur de l'immobilier")</f>
        <v xml:space="preserve">le secteur de l'immobilier</v>
      </c>
      <c r="K12684" s="5" t="s">
        <v>57731</v>
      </c>
      <c r="L12684" s="5" t="s">
        <v>57732</v>
      </c>
      <c r="M12684" s="6"/>
      <c r="N12684" s="18" t="s">
        <v>29</v>
      </c>
      <c r="O12684" s="18" t="s">
        <v>57733</v>
      </c>
      <c r="P12684" s="18" t="s">
        <v>29</v>
      </c>
      <c r="Q12684" s="6"/>
      <c r="R12684" s="18">
        <v>0.76435677499999999</v>
      </c>
    </row>
    <row r="12685" ht="14.25">
      <c r="B12685" s="18" t="s">
        <v>1009</v>
      </c>
      <c r="C12685" s="18" t="s">
        <v>57734</v>
      </c>
      <c r="D12685" s="18" t="s">
        <v>87</v>
      </c>
      <c r="E12685" s="18" t="s">
        <v>57735</v>
      </c>
      <c r="F12685" s="18" t="str">
        <f>IFERROR(__XLUDF.DUMMYFUNCTION("PROPER(REGEXREPLACE(D318,""[^A-Za-z]+ "",""""))"),"Sinteo")</f>
        <v>Sinteo</v>
      </c>
      <c r="G12685" s="18" t="s">
        <v>57736</v>
      </c>
      <c r="H12685" s="18">
        <v>88</v>
      </c>
      <c r="I12685" s="18" t="s">
        <v>4293</v>
      </c>
      <c r="J12685" s="18" t="str">
        <f>IFERROR(__XLUDF.DUMMYFUNCTION("VLOOKUP(H318,IMPORTRANGE(""https://docs.google.com/spreadsheets/d/1opm6ZNvGZ7KditA9TuJwrZ25eFLfTNIkrNnY6mhV5Eg"",""list!A1:C115""),3,TRUE)"),"le secteur de l'immobilier")</f>
        <v xml:space="preserve">le secteur de l'immobilier</v>
      </c>
      <c r="K12685" s="5" t="s">
        <v>57737</v>
      </c>
      <c r="L12685" s="5" t="s">
        <v>57738</v>
      </c>
      <c r="M12685" s="18" t="s">
        <v>39</v>
      </c>
      <c r="N12685" s="18" t="s">
        <v>29</v>
      </c>
      <c r="O12685" s="18" t="s">
        <v>57739</v>
      </c>
      <c r="P12685" s="18" t="s">
        <v>29</v>
      </c>
      <c r="Q12685" s="18" t="s">
        <v>57740</v>
      </c>
      <c r="R12685" s="18">
        <v>0.8790798313</v>
      </c>
    </row>
    <row r="12686" ht="14.25">
      <c r="B12686" s="18" t="s">
        <v>57741</v>
      </c>
      <c r="C12686" s="18" t="s">
        <v>57742</v>
      </c>
      <c r="D12686" s="18" t="s">
        <v>57743</v>
      </c>
      <c r="E12686" s="18" t="s">
        <v>57744</v>
      </c>
      <c r="F12686" s="18" t="str">
        <f>IFERROR(__XLUDF.DUMMYFUNCTION("PROPER(REGEXREPLACE(D319,""[^A-Za-z]+ "",""""))"),"Vallat")</f>
        <v>Vallat</v>
      </c>
      <c r="G12686" s="18" t="s">
        <v>57745</v>
      </c>
      <c r="H12686" s="18">
        <v>91</v>
      </c>
      <c r="I12686" s="18" t="s">
        <v>4293</v>
      </c>
      <c r="J12686" s="18" t="str">
        <f>IFERROR(__XLUDF.DUMMYFUNCTION("VLOOKUP(H319,IMPORTRANGE(""https://docs.google.com/spreadsheets/d/1opm6ZNvGZ7KditA9TuJwrZ25eFLfTNIkrNnY6mhV5Eg"",""list!A1:C115""),3,TRUE)"),"le secteur de l'immobilier")</f>
        <v xml:space="preserve">le secteur de l'immobilier</v>
      </c>
      <c r="K12686" s="5" t="s">
        <v>57746</v>
      </c>
      <c r="L12686" s="5" t="s">
        <v>57747</v>
      </c>
      <c r="M12686" s="6"/>
      <c r="N12686" s="18" t="s">
        <v>29</v>
      </c>
      <c r="O12686" s="18" t="s">
        <v>57748</v>
      </c>
      <c r="P12686" s="18" t="s">
        <v>29</v>
      </c>
      <c r="Q12686" s="18" t="s">
        <v>57749</v>
      </c>
      <c r="R12686" s="18">
        <v>0.13416185829999999</v>
      </c>
    </row>
    <row r="12687" ht="14.25">
      <c r="B12687" s="18" t="s">
        <v>4048</v>
      </c>
      <c r="C12687" s="18" t="s">
        <v>57750</v>
      </c>
      <c r="D12687" s="18" t="s">
        <v>57751</v>
      </c>
      <c r="E12687" s="18" t="s">
        <v>57744</v>
      </c>
      <c r="F12687" s="18" t="str">
        <f>IFERROR(__XLUDF.DUMMYFUNCTION("PROPER(REGEXREPLACE(D320,""[^A-Za-z]+ "",""""))"),"Vallat")</f>
        <v>Vallat</v>
      </c>
      <c r="G12687" s="18" t="s">
        <v>57752</v>
      </c>
      <c r="H12687" s="18">
        <v>91</v>
      </c>
      <c r="I12687" s="18" t="s">
        <v>4293</v>
      </c>
      <c r="J12687" s="18" t="str">
        <f>IFERROR(__XLUDF.DUMMYFUNCTION("VLOOKUP(H320,IMPORTRANGE(""https://docs.google.com/spreadsheets/d/1opm6ZNvGZ7KditA9TuJwrZ25eFLfTNIkrNnY6mhV5Eg"",""list!A1:C115""),3,TRUE)"),"le secteur de l'immobilier")</f>
        <v xml:space="preserve">le secteur de l'immobilier</v>
      </c>
      <c r="K12687" s="5" t="s">
        <v>57753</v>
      </c>
      <c r="L12687" s="5" t="s">
        <v>57747</v>
      </c>
      <c r="M12687" s="18" t="s">
        <v>774</v>
      </c>
      <c r="N12687" s="18" t="s">
        <v>29</v>
      </c>
      <c r="O12687" s="18" t="s">
        <v>57748</v>
      </c>
      <c r="P12687" s="18" t="s">
        <v>29</v>
      </c>
      <c r="Q12687" s="18" t="s">
        <v>57749</v>
      </c>
      <c r="R12687" s="18">
        <v>0.062832791380000003</v>
      </c>
    </row>
    <row r="12688" ht="14.25">
      <c r="B12688" s="18" t="s">
        <v>33184</v>
      </c>
      <c r="C12688" s="18" t="s">
        <v>57754</v>
      </c>
      <c r="D12688" s="18" t="s">
        <v>198</v>
      </c>
      <c r="E12688" s="18" t="s">
        <v>57755</v>
      </c>
      <c r="F12688" s="18" t="str">
        <f>IFERROR(__XLUDF.DUMMYFUNCTION("PROPER(REGEXREPLACE(D321,""[^A-Za-z]+ "",""""))"),"Shema")</f>
        <v>Shema</v>
      </c>
      <c r="G12688" s="18" t="s">
        <v>57756</v>
      </c>
      <c r="H12688" s="18">
        <v>82</v>
      </c>
      <c r="I12688" s="18" t="s">
        <v>4293</v>
      </c>
      <c r="J12688" s="18" t="str">
        <f>IFERROR(__XLUDF.DUMMYFUNCTION("VLOOKUP(H321,IMPORTRANGE(""https://docs.google.com/spreadsheets/d/1opm6ZNvGZ7KditA9TuJwrZ25eFLfTNIkrNnY6mhV5Eg"",""list!A1:C115""),3,TRUE)"),"le secteur de l'immobilier")</f>
        <v xml:space="preserve">le secteur de l'immobilier</v>
      </c>
      <c r="K12688" s="5" t="s">
        <v>57757</v>
      </c>
      <c r="L12688" s="5" t="s">
        <v>57758</v>
      </c>
      <c r="M12688" s="18" t="s">
        <v>6954</v>
      </c>
      <c r="N12688" s="18" t="s">
        <v>29</v>
      </c>
      <c r="O12688" s="18" t="s">
        <v>49955</v>
      </c>
      <c r="P12688" s="18" t="s">
        <v>29</v>
      </c>
      <c r="Q12688" s="18" t="s">
        <v>57759</v>
      </c>
      <c r="R12688" s="18">
        <v>0.16607676260000001</v>
      </c>
    </row>
    <row r="12689" ht="14.25">
      <c r="B12689" s="18" t="s">
        <v>57760</v>
      </c>
      <c r="C12689" s="18" t="s">
        <v>57761</v>
      </c>
      <c r="D12689" s="18" t="s">
        <v>198</v>
      </c>
      <c r="E12689" s="18" t="s">
        <v>57762</v>
      </c>
      <c r="F12689" s="18" t="str">
        <f>IFERROR(__XLUDF.DUMMYFUNCTION("PROPER(REGEXREPLACE(D322,""[^A-Za-z]+ "",""""))"),"Oph Emeraude Habitation")</f>
        <v xml:space="preserve">Oph Emeraude Habitation</v>
      </c>
      <c r="G12689" s="18" t="s">
        <v>57763</v>
      </c>
      <c r="H12689" s="18">
        <v>45</v>
      </c>
      <c r="I12689" s="18" t="s">
        <v>4293</v>
      </c>
      <c r="J12689" s="18" t="str">
        <f>IFERROR(__XLUDF.DUMMYFUNCTION("VLOOKUP(H322,IMPORTRANGE(""https://docs.google.com/spreadsheets/d/1opm6ZNvGZ7KditA9TuJwrZ25eFLfTNIkrNnY6mhV5Eg"",""list!A1:C115""),3,TRUE)"),"le secteur de l'immobilier")</f>
        <v xml:space="preserve">le secteur de l'immobilier</v>
      </c>
      <c r="K12689" s="5" t="s">
        <v>57764</v>
      </c>
      <c r="L12689" s="5" t="s">
        <v>57765</v>
      </c>
      <c r="M12689" s="18" t="s">
        <v>1826</v>
      </c>
      <c r="N12689" s="18" t="s">
        <v>29</v>
      </c>
      <c r="O12689" s="18" t="s">
        <v>57766</v>
      </c>
      <c r="P12689" s="18" t="s">
        <v>29</v>
      </c>
      <c r="Q12689" s="18" t="s">
        <v>57767</v>
      </c>
      <c r="R12689" s="18">
        <v>0.63938110280000005</v>
      </c>
    </row>
    <row r="12690" ht="14.25">
      <c r="B12690" s="18" t="s">
        <v>2119</v>
      </c>
      <c r="C12690" s="18" t="s">
        <v>4143</v>
      </c>
      <c r="D12690" s="18" t="s">
        <v>172</v>
      </c>
      <c r="E12690" s="18" t="s">
        <v>57768</v>
      </c>
      <c r="F12690" s="18" t="str">
        <f>IFERROR(__XLUDF.DUMMYFUNCTION("PROPER(REGEXREPLACE(D323,""[^A-Za-z]+ "",""""))"),"Bsb")</f>
        <v>Bsb</v>
      </c>
      <c r="G12690" s="18" t="s">
        <v>57769</v>
      </c>
      <c r="H12690" s="18">
        <v>71</v>
      </c>
      <c r="I12690" s="18" t="s">
        <v>4293</v>
      </c>
      <c r="J12690" s="18" t="str">
        <f>IFERROR(__XLUDF.DUMMYFUNCTION("VLOOKUP(H323,IMPORTRANGE(""https://docs.google.com/spreadsheets/d/1opm6ZNvGZ7KditA9TuJwrZ25eFLfTNIkrNnY6mhV5Eg"",""list!A1:C115""),3,TRUE)"),"le secteur de l'immobilier")</f>
        <v xml:space="preserve">le secteur de l'immobilier</v>
      </c>
      <c r="K12690" s="5" t="s">
        <v>57770</v>
      </c>
      <c r="L12690" s="5" t="s">
        <v>57771</v>
      </c>
      <c r="M12690" s="18" t="s">
        <v>39</v>
      </c>
      <c r="N12690" s="18" t="s">
        <v>29</v>
      </c>
      <c r="O12690" s="18" t="s">
        <v>57772</v>
      </c>
      <c r="P12690" s="18" t="s">
        <v>29</v>
      </c>
      <c r="Q12690" s="18" t="s">
        <v>57773</v>
      </c>
      <c r="R12690" s="18">
        <v>0.88661668240000002</v>
      </c>
    </row>
    <row r="12691" ht="14.25">
      <c r="B12691" s="18" t="s">
        <v>2119</v>
      </c>
      <c r="C12691" s="18" t="s">
        <v>57774</v>
      </c>
      <c r="D12691" s="18" t="s">
        <v>112</v>
      </c>
      <c r="E12691" s="18" t="s">
        <v>57729</v>
      </c>
      <c r="F12691" s="18" t="str">
        <f>IFERROR(__XLUDF.DUMMYFUNCTION("PROPER(REGEXREPLACE(D324,""[^A-Za-z]+ "",""""))"),"Groupe Verrecchia")</f>
        <v xml:space="preserve">Groupe Verrecchia</v>
      </c>
      <c r="G12691" s="18" t="s">
        <v>57775</v>
      </c>
      <c r="H12691" s="18">
        <v>70</v>
      </c>
      <c r="I12691" s="18" t="s">
        <v>4293</v>
      </c>
      <c r="J12691" s="18" t="str">
        <f>IFERROR(__XLUDF.DUMMYFUNCTION("VLOOKUP(H324,IMPORTRANGE(""https://docs.google.com/spreadsheets/d/1opm6ZNvGZ7KditA9TuJwrZ25eFLfTNIkrNnY6mhV5Eg"",""list!A1:C115""),3,TRUE)"),"le secteur de l'immobilier")</f>
        <v xml:space="preserve">le secteur de l'immobilier</v>
      </c>
      <c r="K12691" s="5" t="s">
        <v>57776</v>
      </c>
      <c r="L12691" s="5" t="s">
        <v>57732</v>
      </c>
      <c r="M12691" s="6"/>
      <c r="N12691" s="18" t="s">
        <v>29</v>
      </c>
      <c r="O12691" s="18" t="s">
        <v>57733</v>
      </c>
      <c r="P12691" s="18" t="s">
        <v>29</v>
      </c>
      <c r="Q12691" s="6"/>
      <c r="R12691" s="18">
        <v>0.40075190919999998</v>
      </c>
    </row>
    <row r="12692" ht="14.25">
      <c r="B12692" s="18" t="s">
        <v>110</v>
      </c>
      <c r="C12692" s="18" t="s">
        <v>57777</v>
      </c>
      <c r="D12692" s="18" t="s">
        <v>57778</v>
      </c>
      <c r="E12692" s="18" t="s">
        <v>57729</v>
      </c>
      <c r="F12692" s="18" t="str">
        <f>IFERROR(__XLUDF.DUMMYFUNCTION("PROPER(REGEXREPLACE(D325,""[^A-Za-z]+ "",""""))"),"Groupe Verrecchia")</f>
        <v xml:space="preserve">Groupe Verrecchia</v>
      </c>
      <c r="G12692" s="18" t="s">
        <v>57779</v>
      </c>
      <c r="H12692" s="18">
        <v>70</v>
      </c>
      <c r="I12692" s="18" t="s">
        <v>4293</v>
      </c>
      <c r="J12692" s="18" t="str">
        <f>IFERROR(__XLUDF.DUMMYFUNCTION("VLOOKUP(H325,IMPORTRANGE(""https://docs.google.com/spreadsheets/d/1opm6ZNvGZ7KditA9TuJwrZ25eFLfTNIkrNnY6mhV5Eg"",""list!A1:C115""),3,TRUE)"),"le secteur de l'immobilier")</f>
        <v xml:space="preserve">le secteur de l'immobilier</v>
      </c>
      <c r="K12692" s="5" t="s">
        <v>57780</v>
      </c>
      <c r="L12692" s="5" t="s">
        <v>57732</v>
      </c>
      <c r="M12692" s="18" t="s">
        <v>1419</v>
      </c>
      <c r="N12692" s="18" t="s">
        <v>29</v>
      </c>
      <c r="O12692" s="18" t="s">
        <v>57733</v>
      </c>
      <c r="P12692" s="18" t="s">
        <v>29</v>
      </c>
      <c r="Q12692" s="6"/>
      <c r="R12692" s="18">
        <v>0.55085978700000005</v>
      </c>
    </row>
    <row r="12693" ht="14.25">
      <c r="B12693" s="18" t="s">
        <v>330</v>
      </c>
      <c r="C12693" s="18" t="s">
        <v>57781</v>
      </c>
      <c r="D12693" s="18" t="s">
        <v>57782</v>
      </c>
      <c r="E12693" s="18" t="s">
        <v>57666</v>
      </c>
      <c r="F12693" s="18" t="str">
        <f>IFERROR(__XLUDF.DUMMYFUNCTION("PROPER(REGEXREPLACE(D326,""[^A-Za-z]+ "",""""))"),"Groupe Patriarca Développement")</f>
        <v xml:space="preserve">Groupe Patriarca Développement</v>
      </c>
      <c r="G12693" s="18" t="s">
        <v>57783</v>
      </c>
      <c r="H12693" s="18">
        <v>86</v>
      </c>
      <c r="I12693" s="18" t="s">
        <v>4293</v>
      </c>
      <c r="J12693" s="18" t="str">
        <f>IFERROR(__XLUDF.DUMMYFUNCTION("VLOOKUP(H326,IMPORTRANGE(""https://docs.google.com/spreadsheets/d/1opm6ZNvGZ7KditA9TuJwrZ25eFLfTNIkrNnY6mhV5Eg"",""list!A1:C115""),3,TRUE)"),"le secteur de l'immobilier")</f>
        <v xml:space="preserve">le secteur de l'immobilier</v>
      </c>
      <c r="K12693" s="5" t="s">
        <v>57784</v>
      </c>
      <c r="L12693" s="5" t="s">
        <v>57669</v>
      </c>
      <c r="M12693" s="6"/>
      <c r="N12693" s="18" t="s">
        <v>29</v>
      </c>
      <c r="O12693" s="18" t="s">
        <v>57670</v>
      </c>
      <c r="P12693" s="18" t="s">
        <v>29</v>
      </c>
      <c r="Q12693" s="18" t="s">
        <v>57671</v>
      </c>
      <c r="R12693" s="18">
        <v>0.57127217799999996</v>
      </c>
    </row>
    <row r="12694" ht="14.25">
      <c r="B12694" s="18" t="s">
        <v>1596</v>
      </c>
      <c r="C12694" s="18" t="s">
        <v>11407</v>
      </c>
      <c r="D12694" s="18" t="s">
        <v>172</v>
      </c>
      <c r="E12694" s="18" t="s">
        <v>57785</v>
      </c>
      <c r="F12694" s="18" t="str">
        <f>IFERROR(__XLUDF.DUMMYFUNCTION("PROPER(REGEXREPLACE(D327,""[^A-Za-z]+ "",""""))"),"Mayenne Habitat")</f>
        <v xml:space="preserve">Mayenne Habitat</v>
      </c>
      <c r="G12694" s="18" t="s">
        <v>57786</v>
      </c>
      <c r="H12694" s="18">
        <v>86</v>
      </c>
      <c r="I12694" s="18" t="s">
        <v>4293</v>
      </c>
      <c r="J12694" s="18" t="str">
        <f>IFERROR(__XLUDF.DUMMYFUNCTION("VLOOKUP(H327,IMPORTRANGE(""https://docs.google.com/spreadsheets/d/1opm6ZNvGZ7KditA9TuJwrZ25eFLfTNIkrNnY6mhV5Eg"",""list!A1:C115""),3,TRUE)"),"le secteur de l'immobilier")</f>
        <v xml:space="preserve">le secteur de l'immobilier</v>
      </c>
      <c r="K12694" s="5" t="s">
        <v>57787</v>
      </c>
      <c r="L12694" s="5" t="s">
        <v>57788</v>
      </c>
      <c r="M12694" s="18" t="s">
        <v>1312</v>
      </c>
      <c r="N12694" s="18" t="s">
        <v>29</v>
      </c>
      <c r="O12694" s="18" t="s">
        <v>57789</v>
      </c>
      <c r="P12694" s="18" t="s">
        <v>29</v>
      </c>
      <c r="Q12694" s="18" t="s">
        <v>57790</v>
      </c>
      <c r="R12694" s="18">
        <v>0.50910544349999998</v>
      </c>
    </row>
    <row r="12695" ht="14.25">
      <c r="B12695" s="18" t="s">
        <v>622</v>
      </c>
      <c r="C12695" s="18" t="s">
        <v>57791</v>
      </c>
      <c r="D12695" s="18" t="s">
        <v>172</v>
      </c>
      <c r="E12695" s="18" t="s">
        <v>55008</v>
      </c>
      <c r="F12695" s="18" t="str">
        <f>IFERROR(__XLUDF.DUMMYFUNCTION("PROPER(REGEXREPLACE(D328,""[^A-Za-z]+ "",""""))"),"Logissia")</f>
        <v>Logissia</v>
      </c>
      <c r="G12695" s="18" t="s">
        <v>57792</v>
      </c>
      <c r="H12695" s="18">
        <v>57</v>
      </c>
      <c r="I12695" s="18" t="s">
        <v>4293</v>
      </c>
      <c r="J12695" s="18" t="str">
        <f>IFERROR(__XLUDF.DUMMYFUNCTION("VLOOKUP(H328,IMPORTRANGE(""https://docs.google.com/spreadsheets/d/1opm6ZNvGZ7KditA9TuJwrZ25eFLfTNIkrNnY6mhV5Eg"",""list!A1:C115""),3,TRUE)"),"le secteur de l'immobilier")</f>
        <v xml:space="preserve">le secteur de l'immobilier</v>
      </c>
      <c r="K12695" s="5" t="s">
        <v>57793</v>
      </c>
      <c r="L12695" s="5" t="s">
        <v>57794</v>
      </c>
      <c r="M12695" s="18" t="s">
        <v>2650</v>
      </c>
      <c r="N12695" s="18" t="s">
        <v>29</v>
      </c>
      <c r="O12695" s="18" t="s">
        <v>55013</v>
      </c>
      <c r="P12695" s="18" t="s">
        <v>29</v>
      </c>
      <c r="Q12695" s="18" t="s">
        <v>55014</v>
      </c>
      <c r="R12695" s="18">
        <v>0.75482892020000003</v>
      </c>
    </row>
    <row r="12696" ht="14.25">
      <c r="B12696" s="18" t="s">
        <v>85</v>
      </c>
      <c r="C12696" s="18" t="s">
        <v>11018</v>
      </c>
      <c r="D12696" s="18" t="s">
        <v>57795</v>
      </c>
      <c r="E12696" s="18" t="s">
        <v>57729</v>
      </c>
      <c r="F12696" s="18" t="str">
        <f>IFERROR(__XLUDF.DUMMYFUNCTION("PROPER(REGEXREPLACE(D329,""[^A-Za-z]+ "",""""))"),"Groupe Verrecchia")</f>
        <v xml:space="preserve">Groupe Verrecchia</v>
      </c>
      <c r="G12696" s="18" t="s">
        <v>57796</v>
      </c>
      <c r="H12696" s="18">
        <v>70</v>
      </c>
      <c r="I12696" s="18" t="s">
        <v>4293</v>
      </c>
      <c r="J12696" s="18" t="str">
        <f>IFERROR(__XLUDF.DUMMYFUNCTION("VLOOKUP(H329,IMPORTRANGE(""https://docs.google.com/spreadsheets/d/1opm6ZNvGZ7KditA9TuJwrZ25eFLfTNIkrNnY6mhV5Eg"",""list!A1:C115""),3,TRUE)"),"le secteur de l'immobilier")</f>
        <v xml:space="preserve">le secteur de l'immobilier</v>
      </c>
      <c r="K12696" s="5" t="s">
        <v>57797</v>
      </c>
      <c r="L12696" s="5" t="s">
        <v>57732</v>
      </c>
      <c r="M12696" s="6"/>
      <c r="N12696" s="18" t="s">
        <v>29</v>
      </c>
      <c r="O12696" s="18" t="s">
        <v>57733</v>
      </c>
      <c r="P12696" s="18" t="s">
        <v>29</v>
      </c>
      <c r="Q12696" s="6"/>
      <c r="R12696" s="18">
        <v>0.31156025469999998</v>
      </c>
    </row>
    <row r="12697" ht="14.25">
      <c r="B12697" s="18" t="s">
        <v>622</v>
      </c>
      <c r="C12697" s="18" t="s">
        <v>57798</v>
      </c>
      <c r="D12697" s="18" t="s">
        <v>51467</v>
      </c>
      <c r="E12697" s="18" t="s">
        <v>57799</v>
      </c>
      <c r="F12697" s="18" t="str">
        <f>IFERROR(__XLUDF.DUMMYFUNCTION("PROPER(REGEXREPLACE(D330,""[^A-Za-z]+ "",""""))"),"1894-L'Immobilier")</f>
        <v>1894-L'Immobilier</v>
      </c>
      <c r="G12697" s="18" t="s">
        <v>57800</v>
      </c>
      <c r="H12697" s="18">
        <v>78</v>
      </c>
      <c r="I12697" s="18" t="s">
        <v>4293</v>
      </c>
      <c r="J12697" s="18" t="str">
        <f>IFERROR(__XLUDF.DUMMYFUNCTION("VLOOKUP(H330,IMPORTRANGE(""https://docs.google.com/spreadsheets/d/1opm6ZNvGZ7KditA9TuJwrZ25eFLfTNIkrNnY6mhV5Eg"",""list!A1:C115""),3,TRUE)"),"le secteur de l'immobilier")</f>
        <v xml:space="preserve">le secteur de l'immobilier</v>
      </c>
      <c r="K12697" s="5" t="s">
        <v>57801</v>
      </c>
      <c r="L12697" s="5" t="s">
        <v>57802</v>
      </c>
      <c r="M12697" s="18" t="s">
        <v>295</v>
      </c>
      <c r="N12697" s="18" t="s">
        <v>29</v>
      </c>
      <c r="O12697" s="18" t="s">
        <v>57803</v>
      </c>
      <c r="P12697" s="18" t="s">
        <v>29</v>
      </c>
      <c r="Q12697" s="18" t="s">
        <v>57804</v>
      </c>
      <c r="R12697" s="18">
        <v>0.6047941389</v>
      </c>
    </row>
    <row r="12698" ht="14.25">
      <c r="B12698" s="18" t="s">
        <v>1583</v>
      </c>
      <c r="C12698" s="18" t="s">
        <v>57805</v>
      </c>
      <c r="D12698" s="18" t="s">
        <v>57806</v>
      </c>
      <c r="E12698" s="18" t="s">
        <v>57807</v>
      </c>
      <c r="F12698" s="18" t="str">
        <f>IFERROR(__XLUDF.DUMMYFUNCTION("PROPER(REGEXREPLACE(D331,""[^A-Za-z]+ "",""""))"),"Grand Bourg Habitat")</f>
        <v xml:space="preserve">Grand Bourg Habitat</v>
      </c>
      <c r="G12698" s="18" t="s">
        <v>57808</v>
      </c>
      <c r="H12698" s="18">
        <v>59</v>
      </c>
      <c r="I12698" s="18" t="s">
        <v>4293</v>
      </c>
      <c r="J12698" s="18" t="str">
        <f>IFERROR(__XLUDF.DUMMYFUNCTION("VLOOKUP(H331,IMPORTRANGE(""https://docs.google.com/spreadsheets/d/1opm6ZNvGZ7KditA9TuJwrZ25eFLfTNIkrNnY6mhV5Eg"",""list!A1:C115""),3,TRUE)"),"le secteur de l'immobilier")</f>
        <v xml:space="preserve">le secteur de l'immobilier</v>
      </c>
      <c r="K12698" s="5" t="s">
        <v>57809</v>
      </c>
      <c r="L12698" s="5" t="s">
        <v>57810</v>
      </c>
      <c r="M12698" s="18" t="s">
        <v>11201</v>
      </c>
      <c r="N12698" s="18" t="s">
        <v>29</v>
      </c>
      <c r="O12698" s="18" t="s">
        <v>57811</v>
      </c>
      <c r="P12698" s="18" t="s">
        <v>29</v>
      </c>
      <c r="Q12698" s="18" t="s">
        <v>57812</v>
      </c>
      <c r="R12698" s="18">
        <v>0.62991066839999998</v>
      </c>
    </row>
    <row r="12699" ht="14.25">
      <c r="B12699" s="18" t="s">
        <v>3752</v>
      </c>
      <c r="C12699" s="18" t="s">
        <v>57813</v>
      </c>
      <c r="D12699" s="18" t="s">
        <v>57814</v>
      </c>
      <c r="E12699" s="18" t="s">
        <v>57815</v>
      </c>
      <c r="F12699" s="18" t="str">
        <f>IFERROR(__XLUDF.DUMMYFUNCTION("PROPER(REGEXREPLACE(D332,""[^A-Za-z]+ "",""""))"),"Rouen Habitat")</f>
        <v xml:space="preserve">Rouen Habitat</v>
      </c>
      <c r="G12699" s="18" t="s">
        <v>57816</v>
      </c>
      <c r="H12699" s="18">
        <v>96</v>
      </c>
      <c r="I12699" s="18" t="s">
        <v>4293</v>
      </c>
      <c r="J12699" s="18" t="str">
        <f>IFERROR(__XLUDF.DUMMYFUNCTION("VLOOKUP(H332,IMPORTRANGE(""https://docs.google.com/spreadsheets/d/1opm6ZNvGZ7KditA9TuJwrZ25eFLfTNIkrNnY6mhV5Eg"",""list!A1:C115""),3,TRUE)"),"le secteur de l'immobilier")</f>
        <v xml:space="preserve">le secteur de l'immobilier</v>
      </c>
      <c r="K12699" s="5" t="s">
        <v>57817</v>
      </c>
      <c r="L12699" s="5" t="s">
        <v>57818</v>
      </c>
      <c r="M12699" s="18" t="s">
        <v>492</v>
      </c>
      <c r="N12699" s="18" t="s">
        <v>29</v>
      </c>
      <c r="O12699" s="18" t="s">
        <v>57819</v>
      </c>
      <c r="P12699" s="18" t="s">
        <v>29</v>
      </c>
      <c r="Q12699" s="18" t="s">
        <v>57820</v>
      </c>
      <c r="R12699" s="18">
        <v>0.2510887732</v>
      </c>
    </row>
    <row r="12700" ht="14.25">
      <c r="B12700" s="18" t="s">
        <v>31</v>
      </c>
      <c r="C12700" s="18" t="s">
        <v>57821</v>
      </c>
      <c r="D12700" s="18" t="s">
        <v>57822</v>
      </c>
      <c r="E12700" s="18" t="s">
        <v>52403</v>
      </c>
      <c r="F12700" s="18" t="str">
        <f>IFERROR(__XLUDF.DUMMYFUNCTION("PROPER(REGEXREPLACE(D333,""[^A-Za-z]+ "",""""))"),"Groupe Verlaine")</f>
        <v xml:space="preserve">Groupe Verlaine</v>
      </c>
      <c r="G12700" s="18" t="s">
        <v>57823</v>
      </c>
      <c r="H12700" s="18">
        <v>93</v>
      </c>
      <c r="I12700" s="18" t="s">
        <v>18721</v>
      </c>
      <c r="J12700" s="18" t="str">
        <f>IFERROR(__XLUDF.DUMMYFUNCTION("VLOOKUP(H333,IMPORTRANGE(""https://docs.google.com/spreadsheets/d/1opm6ZNvGZ7KditA9TuJwrZ25eFLfTNIkrNnY6mhV5Eg"",""list!A1:C115""),3,TRUE)"),"le secteur des énergies renouvelables")</f>
        <v xml:space="preserve">le secteur des énergies renouvelables</v>
      </c>
      <c r="K12700" s="5" t="s">
        <v>57824</v>
      </c>
      <c r="L12700" s="5" t="s">
        <v>57825</v>
      </c>
      <c r="M12700" s="6"/>
      <c r="N12700" s="18" t="s">
        <v>29</v>
      </c>
      <c r="O12700" s="18" t="s">
        <v>52407</v>
      </c>
      <c r="P12700" s="18" t="s">
        <v>29</v>
      </c>
      <c r="Q12700" s="18" t="s">
        <v>57826</v>
      </c>
      <c r="R12700" s="18">
        <v>0.91805758969999995</v>
      </c>
    </row>
    <row r="12701" ht="14.25">
      <c r="B12701" s="18" t="s">
        <v>2372</v>
      </c>
      <c r="C12701" s="18" t="s">
        <v>57827</v>
      </c>
      <c r="D12701" s="18" t="s">
        <v>198</v>
      </c>
      <c r="E12701" s="18" t="s">
        <v>57828</v>
      </c>
      <c r="F12701" s="18" t="str">
        <f>IFERROR(__XLUDF.DUMMYFUNCTION("PROPER(REGEXREPLACE(D334,""[^A-Za-z]+ "",""""))"),"Promotelec Services")</f>
        <v xml:space="preserve">Promotelec Services</v>
      </c>
      <c r="G12701" s="18" t="s">
        <v>57829</v>
      </c>
      <c r="H12701" s="6"/>
      <c r="I12701" s="6"/>
      <c r="J12701" s="18" t="s">
        <v>42267</v>
      </c>
      <c r="K12701" s="5" t="s">
        <v>57830</v>
      </c>
      <c r="L12701" s="5" t="s">
        <v>57831</v>
      </c>
      <c r="M12701" s="18" t="s">
        <v>39</v>
      </c>
      <c r="N12701" s="18" t="s">
        <v>29</v>
      </c>
      <c r="O12701" s="18" t="s">
        <v>57832</v>
      </c>
      <c r="P12701" s="18" t="s">
        <v>29</v>
      </c>
      <c r="Q12701" s="6"/>
      <c r="R12701" s="18">
        <v>0.52825282929999995</v>
      </c>
    </row>
    <row r="12702" ht="14.25">
      <c r="B12702" s="18" t="s">
        <v>2138</v>
      </c>
      <c r="C12702" s="18" t="s">
        <v>57833</v>
      </c>
      <c r="D12702" s="18" t="s">
        <v>172</v>
      </c>
      <c r="E12702" s="18" t="s">
        <v>57834</v>
      </c>
      <c r="F12702" s="18" t="str">
        <f>IFERROR(__XLUDF.DUMMYFUNCTION("PROPER(REGEXREPLACE(D335,""[^A-Za-z]+ "",""""))"),"Izi Solutions Renov")</f>
        <v xml:space="preserve">Izi Solutions Renov</v>
      </c>
      <c r="G12702" s="18" t="s">
        <v>57835</v>
      </c>
      <c r="H12702" s="6"/>
      <c r="I12702" s="6"/>
      <c r="J12702" s="18" t="s">
        <v>42267</v>
      </c>
      <c r="K12702" s="5" t="s">
        <v>57836</v>
      </c>
      <c r="L12702" s="5" t="s">
        <v>57837</v>
      </c>
      <c r="M12702" s="18" t="s">
        <v>20332</v>
      </c>
      <c r="N12702" s="18" t="s">
        <v>29</v>
      </c>
      <c r="O12702" s="18" t="s">
        <v>57838</v>
      </c>
      <c r="P12702" s="18" t="s">
        <v>29</v>
      </c>
      <c r="Q12702" s="6"/>
      <c r="R12702" s="18">
        <v>0.88823381749999997</v>
      </c>
    </row>
  </sheetData>
  <hyperlinks>
    <hyperlink r:id="rId1" ref="J2"/>
    <hyperlink r:id="rId2" ref="K2"/>
    <hyperlink r:id="rId3" ref="J3"/>
    <hyperlink r:id="rId4" ref="K3"/>
    <hyperlink r:id="rId5" ref="J4"/>
    <hyperlink r:id="rId6" ref="K4"/>
    <hyperlink r:id="rId7" ref="J5"/>
    <hyperlink r:id="rId8" ref="K5"/>
    <hyperlink r:id="rId9" ref="J6"/>
    <hyperlink r:id="rId10" ref="K6"/>
    <hyperlink r:id="rId11" ref="J7"/>
    <hyperlink r:id="rId12" ref="K7"/>
    <hyperlink r:id="rId13" ref="J8"/>
    <hyperlink r:id="rId14" ref="K8"/>
    <hyperlink r:id="rId15" ref="J9"/>
    <hyperlink r:id="rId16" ref="K9"/>
    <hyperlink r:id="rId17" ref="J10"/>
    <hyperlink r:id="rId18" ref="K10"/>
    <hyperlink r:id="rId19" ref="J11"/>
    <hyperlink r:id="rId20" ref="K11"/>
    <hyperlink r:id="rId21" ref="J12"/>
    <hyperlink r:id="rId22" ref="K12"/>
    <hyperlink r:id="rId23" ref="J13"/>
    <hyperlink r:id="rId24" ref="K13"/>
    <hyperlink r:id="rId25" ref="J14"/>
    <hyperlink r:id="rId26" ref="K14"/>
    <hyperlink r:id="rId27" ref="J15"/>
    <hyperlink r:id="rId28" ref="K15"/>
    <hyperlink r:id="rId29" ref="J16"/>
    <hyperlink r:id="rId30" ref="K16"/>
    <hyperlink r:id="rId31" ref="J17"/>
    <hyperlink r:id="rId32" ref="K17"/>
    <hyperlink r:id="rId33" ref="J18"/>
    <hyperlink r:id="rId34" ref="K18"/>
    <hyperlink r:id="rId35" ref="J19"/>
    <hyperlink r:id="rId36" ref="K19"/>
    <hyperlink r:id="rId37" ref="J20"/>
    <hyperlink r:id="rId38" ref="K20"/>
    <hyperlink r:id="rId39" ref="J21"/>
    <hyperlink r:id="rId40" ref="K21"/>
    <hyperlink r:id="rId41" ref="J22"/>
    <hyperlink r:id="rId42" ref="K22"/>
    <hyperlink r:id="rId43" ref="J23"/>
    <hyperlink r:id="rId44" ref="K23"/>
    <hyperlink r:id="rId45" ref="J24"/>
    <hyperlink r:id="rId46" ref="K24"/>
    <hyperlink r:id="rId47" ref="J25"/>
    <hyperlink r:id="rId48" ref="K25"/>
    <hyperlink r:id="rId49" ref="J26"/>
    <hyperlink r:id="rId50" ref="K26"/>
    <hyperlink r:id="rId51" ref="J27"/>
    <hyperlink r:id="rId52" ref="K27"/>
    <hyperlink r:id="rId53" ref="J28"/>
    <hyperlink r:id="rId54" ref="K28"/>
    <hyperlink r:id="rId55" ref="E29"/>
    <hyperlink r:id="rId56" ref="J29"/>
    <hyperlink r:id="rId57" ref="K29"/>
    <hyperlink r:id="rId58" ref="J30"/>
    <hyperlink r:id="rId59" ref="K30"/>
    <hyperlink r:id="rId60" ref="J31"/>
    <hyperlink r:id="rId61" ref="K31"/>
    <hyperlink r:id="rId62" ref="J32"/>
    <hyperlink r:id="rId63" ref="K32"/>
    <hyperlink r:id="rId64" ref="J33"/>
    <hyperlink r:id="rId65" ref="K33"/>
    <hyperlink r:id="rId66" ref="J34"/>
    <hyperlink r:id="rId67" ref="K34"/>
    <hyperlink r:id="rId68" ref="J35"/>
    <hyperlink r:id="rId69" ref="K35"/>
    <hyperlink r:id="rId70" ref="J36"/>
    <hyperlink r:id="rId71" ref="K36"/>
    <hyperlink r:id="rId72" ref="J37"/>
    <hyperlink r:id="rId73" ref="K37"/>
    <hyperlink r:id="rId74" ref="J38"/>
    <hyperlink r:id="rId75" ref="K38"/>
    <hyperlink r:id="rId76" ref="J39"/>
    <hyperlink r:id="rId77" ref="K39"/>
    <hyperlink r:id="rId78" ref="J40"/>
    <hyperlink r:id="rId79" ref="K40"/>
    <hyperlink r:id="rId80" ref="J41"/>
    <hyperlink r:id="rId81" ref="K41"/>
    <hyperlink r:id="rId82" ref="J42"/>
    <hyperlink r:id="rId83" ref="K42"/>
    <hyperlink r:id="rId84" ref="J43"/>
    <hyperlink r:id="rId85" ref="K43"/>
    <hyperlink r:id="rId86" ref="J44"/>
    <hyperlink r:id="rId87" ref="K44"/>
    <hyperlink r:id="rId88" ref="J45"/>
    <hyperlink r:id="rId89" ref="K45"/>
    <hyperlink r:id="rId90" ref="J46"/>
    <hyperlink r:id="rId91" ref="K46"/>
    <hyperlink r:id="rId92" ref="J47"/>
    <hyperlink r:id="rId93" ref="K47"/>
    <hyperlink r:id="rId94" ref="J48"/>
    <hyperlink r:id="rId95" ref="K48"/>
    <hyperlink r:id="rId96" ref="J49"/>
    <hyperlink r:id="rId97" ref="K49"/>
    <hyperlink r:id="rId98" ref="J50"/>
    <hyperlink r:id="rId99" ref="K50"/>
    <hyperlink r:id="rId100" ref="J51"/>
    <hyperlink r:id="rId101" ref="K51"/>
    <hyperlink r:id="rId102" ref="J52"/>
    <hyperlink r:id="rId103" ref="K52"/>
    <hyperlink r:id="rId104" ref="J53"/>
    <hyperlink r:id="rId105" ref="K53"/>
    <hyperlink r:id="rId106" ref="J54"/>
    <hyperlink r:id="rId107" ref="K54"/>
    <hyperlink r:id="rId108" ref="J55"/>
    <hyperlink r:id="rId109" ref="K55"/>
    <hyperlink r:id="rId110" ref="J56"/>
    <hyperlink r:id="rId111" ref="K56"/>
    <hyperlink r:id="rId112" ref="J57"/>
    <hyperlink r:id="rId113" ref="K57"/>
    <hyperlink r:id="rId114" ref="J58"/>
    <hyperlink r:id="rId115" ref="K58"/>
    <hyperlink r:id="rId116" ref="J59"/>
    <hyperlink r:id="rId117" ref="K59"/>
    <hyperlink r:id="rId118" ref="J60"/>
    <hyperlink r:id="rId119" ref="K60"/>
    <hyperlink r:id="rId120" ref="J61"/>
    <hyperlink r:id="rId121" ref="K61"/>
    <hyperlink r:id="rId122" ref="J62"/>
    <hyperlink r:id="rId123" ref="K62"/>
    <hyperlink r:id="rId124" ref="J63"/>
    <hyperlink r:id="rId125" ref="K63"/>
    <hyperlink r:id="rId126" ref="J64"/>
    <hyperlink r:id="rId127" ref="K64"/>
    <hyperlink r:id="rId128" ref="J65"/>
    <hyperlink r:id="rId129" ref="K65"/>
    <hyperlink r:id="rId130" ref="J66"/>
    <hyperlink r:id="rId131" ref="K66"/>
    <hyperlink r:id="rId132" ref="J67"/>
    <hyperlink r:id="rId133" ref="K67"/>
    <hyperlink r:id="rId134" ref="J68"/>
    <hyperlink r:id="rId135" ref="K68"/>
    <hyperlink r:id="rId136" ref="J69"/>
    <hyperlink r:id="rId137" ref="K69"/>
    <hyperlink r:id="rId138" ref="J70"/>
    <hyperlink r:id="rId139" ref="K70"/>
    <hyperlink r:id="rId140" ref="J71"/>
    <hyperlink r:id="rId141" ref="K71"/>
    <hyperlink r:id="rId142" ref="J72"/>
    <hyperlink r:id="rId143" ref="K72"/>
    <hyperlink r:id="rId144" ref="J73"/>
    <hyperlink r:id="rId145" ref="K73"/>
    <hyperlink r:id="rId146" ref="J74"/>
    <hyperlink r:id="rId147" ref="K74"/>
    <hyperlink r:id="rId148" ref="J75"/>
    <hyperlink r:id="rId149" ref="K75"/>
    <hyperlink r:id="rId150" ref="J76"/>
    <hyperlink r:id="rId151" ref="K76"/>
    <hyperlink r:id="rId152" ref="J77"/>
    <hyperlink r:id="rId153" ref="K77"/>
    <hyperlink r:id="rId154" ref="J78"/>
    <hyperlink r:id="rId155" ref="K78"/>
    <hyperlink r:id="rId156" ref="J79"/>
    <hyperlink r:id="rId157" ref="K79"/>
    <hyperlink r:id="rId158" ref="J80"/>
    <hyperlink r:id="rId159" ref="K80"/>
    <hyperlink r:id="rId160" ref="J81"/>
    <hyperlink r:id="rId161" ref="K81"/>
    <hyperlink r:id="rId162" ref="J82"/>
    <hyperlink r:id="rId163" ref="K82"/>
    <hyperlink r:id="rId164" ref="J83"/>
    <hyperlink r:id="rId165" ref="K83"/>
    <hyperlink r:id="rId166" ref="J84"/>
    <hyperlink r:id="rId167" ref="K84"/>
    <hyperlink r:id="rId168" ref="J85"/>
    <hyperlink r:id="rId169" ref="K85"/>
    <hyperlink r:id="rId170" ref="J86"/>
    <hyperlink r:id="rId171" ref="K86"/>
    <hyperlink r:id="rId172" ref="J87"/>
    <hyperlink r:id="rId173" ref="K87"/>
    <hyperlink r:id="rId174" ref="J88"/>
    <hyperlink r:id="rId175" ref="K88"/>
    <hyperlink r:id="rId176" ref="J89"/>
    <hyperlink r:id="rId177" ref="K89"/>
    <hyperlink r:id="rId178" ref="J90"/>
    <hyperlink r:id="rId179" ref="K90"/>
    <hyperlink r:id="rId180" ref="J91"/>
    <hyperlink r:id="rId181" ref="K91"/>
    <hyperlink r:id="rId182" ref="J92"/>
    <hyperlink r:id="rId183" ref="K92"/>
    <hyperlink r:id="rId184" ref="J93"/>
    <hyperlink r:id="rId185" ref="K93"/>
    <hyperlink r:id="rId186" ref="J94"/>
    <hyperlink r:id="rId187" ref="K94"/>
    <hyperlink r:id="rId188" ref="J95"/>
    <hyperlink r:id="rId189" ref="K95"/>
    <hyperlink r:id="rId190" ref="J96"/>
    <hyperlink r:id="rId191" ref="K96"/>
    <hyperlink r:id="rId192" ref="J97"/>
    <hyperlink r:id="rId193" ref="K97"/>
    <hyperlink r:id="rId194" ref="J98"/>
    <hyperlink r:id="rId195" ref="K98"/>
    <hyperlink r:id="rId196" ref="J99"/>
    <hyperlink r:id="rId30" ref="K99"/>
    <hyperlink r:id="rId197" ref="J100"/>
    <hyperlink r:id="rId193" ref="K100"/>
    <hyperlink r:id="rId198" ref="J101"/>
    <hyperlink r:id="rId199" ref="K101"/>
    <hyperlink r:id="rId200" ref="J102"/>
    <hyperlink r:id="rId201" ref="K102"/>
    <hyperlink r:id="rId202" ref="J103"/>
    <hyperlink r:id="rId203" ref="K103"/>
    <hyperlink r:id="rId204" ref="J104"/>
    <hyperlink r:id="rId205" ref="K104"/>
    <hyperlink r:id="rId206" ref="J105"/>
    <hyperlink r:id="rId207" ref="K105"/>
    <hyperlink r:id="rId208" ref="J106"/>
    <hyperlink r:id="rId155" ref="K106"/>
    <hyperlink r:id="rId209" ref="J107"/>
    <hyperlink r:id="rId210" ref="K107"/>
    <hyperlink r:id="rId211" ref="J108"/>
    <hyperlink r:id="rId212" ref="K108"/>
    <hyperlink r:id="rId213" ref="J109"/>
    <hyperlink r:id="rId214" ref="K109"/>
    <hyperlink r:id="rId215" ref="J110"/>
    <hyperlink r:id="rId216" ref="K110"/>
    <hyperlink r:id="rId217" ref="J111"/>
    <hyperlink r:id="rId218" ref="K111"/>
    <hyperlink r:id="rId219" ref="J112"/>
    <hyperlink r:id="rId220" ref="K112"/>
    <hyperlink r:id="rId221" ref="J113"/>
    <hyperlink r:id="rId222" ref="K113"/>
    <hyperlink r:id="rId223" ref="J114"/>
    <hyperlink r:id="rId224" ref="K114"/>
    <hyperlink r:id="rId225" ref="J115"/>
    <hyperlink r:id="rId226" ref="K115"/>
    <hyperlink r:id="rId227" ref="J116"/>
    <hyperlink r:id="rId228" ref="K116"/>
    <hyperlink r:id="rId229" ref="J117"/>
    <hyperlink r:id="rId230" ref="K117"/>
    <hyperlink r:id="rId231" ref="J118"/>
    <hyperlink r:id="rId232" ref="K118"/>
    <hyperlink r:id="rId233" ref="J119"/>
    <hyperlink r:id="rId234" ref="K119"/>
    <hyperlink r:id="rId235" ref="J120"/>
    <hyperlink r:id="rId236" ref="K120"/>
    <hyperlink r:id="rId237" ref="J121"/>
    <hyperlink r:id="rId238" ref="K121"/>
    <hyperlink r:id="rId239" ref="J122"/>
    <hyperlink r:id="rId240" ref="K122"/>
    <hyperlink r:id="rId241" ref="J123"/>
    <hyperlink r:id="rId242" ref="K123"/>
    <hyperlink r:id="rId243" ref="J124"/>
    <hyperlink r:id="rId244" ref="K124"/>
    <hyperlink r:id="rId245" ref="J125"/>
    <hyperlink r:id="rId246" ref="K125"/>
    <hyperlink r:id="rId247" ref="J126"/>
    <hyperlink r:id="rId248" ref="K126"/>
    <hyperlink r:id="rId249" ref="J127"/>
    <hyperlink r:id="rId250" ref="K127"/>
    <hyperlink r:id="rId251" ref="J128"/>
    <hyperlink r:id="rId252" ref="K128"/>
    <hyperlink r:id="rId253" ref="J129"/>
    <hyperlink r:id="rId254" ref="K129"/>
    <hyperlink r:id="rId255" ref="J130"/>
    <hyperlink r:id="rId256" ref="K130"/>
    <hyperlink r:id="rId257" ref="J131"/>
    <hyperlink r:id="rId258" ref="K131"/>
    <hyperlink r:id="rId259" ref="J132"/>
    <hyperlink r:id="rId260" ref="K132"/>
    <hyperlink r:id="rId261" ref="J133"/>
    <hyperlink r:id="rId262" ref="K133"/>
    <hyperlink r:id="rId263" ref="J134"/>
    <hyperlink r:id="rId264" ref="K134"/>
    <hyperlink r:id="rId265" ref="J135"/>
    <hyperlink r:id="rId266" ref="K135"/>
    <hyperlink r:id="rId267" ref="J136"/>
    <hyperlink r:id="rId268" ref="K136"/>
    <hyperlink r:id="rId269" ref="J137"/>
    <hyperlink r:id="rId270" ref="K137"/>
    <hyperlink r:id="rId271" ref="J138"/>
    <hyperlink r:id="rId272" ref="K138"/>
    <hyperlink r:id="rId273" ref="J139"/>
    <hyperlink r:id="rId274" ref="K139"/>
    <hyperlink r:id="rId275" ref="J140"/>
    <hyperlink r:id="rId276" ref="K140"/>
    <hyperlink r:id="rId277" ref="J141"/>
    <hyperlink r:id="rId278" ref="K141"/>
    <hyperlink r:id="rId279" ref="J142"/>
    <hyperlink r:id="rId280" ref="K142"/>
    <hyperlink r:id="rId281" ref="J143"/>
    <hyperlink r:id="rId282" ref="K143"/>
    <hyperlink r:id="rId283" ref="J144"/>
    <hyperlink r:id="rId284" ref="K144"/>
    <hyperlink r:id="rId285" ref="J145"/>
    <hyperlink r:id="rId286" ref="K145"/>
    <hyperlink r:id="rId287" ref="J146"/>
    <hyperlink r:id="rId288" ref="K146"/>
    <hyperlink r:id="rId289" ref="J147"/>
    <hyperlink r:id="rId290" ref="K147"/>
    <hyperlink r:id="rId291" ref="J148"/>
    <hyperlink r:id="rId292" ref="K148"/>
    <hyperlink r:id="rId293" ref="J149"/>
    <hyperlink r:id="rId294" ref="K149"/>
    <hyperlink r:id="rId295" ref="J150"/>
    <hyperlink r:id="rId296" ref="K150"/>
    <hyperlink r:id="rId297" ref="J151"/>
    <hyperlink r:id="rId298" ref="K151"/>
    <hyperlink r:id="rId299" ref="J152"/>
    <hyperlink r:id="rId300" ref="K152"/>
    <hyperlink r:id="rId301" ref="J153"/>
    <hyperlink r:id="rId302" ref="K153"/>
    <hyperlink r:id="rId303" ref="J154"/>
    <hyperlink r:id="rId304" ref="K154"/>
    <hyperlink r:id="rId305" ref="J155"/>
    <hyperlink r:id="rId306" ref="K155"/>
    <hyperlink r:id="rId307" ref="J156"/>
    <hyperlink r:id="rId308" ref="K156"/>
    <hyperlink r:id="rId309" ref="J157"/>
    <hyperlink r:id="rId310" ref="K157"/>
    <hyperlink r:id="rId311" ref="J158"/>
    <hyperlink r:id="rId312" ref="K158"/>
    <hyperlink r:id="rId313" ref="J159"/>
    <hyperlink r:id="rId314" ref="K159"/>
    <hyperlink r:id="rId315" ref="J160"/>
    <hyperlink r:id="rId316" ref="K160"/>
    <hyperlink r:id="rId317" ref="J161"/>
    <hyperlink r:id="rId318" ref="K161"/>
    <hyperlink r:id="rId319" ref="J162"/>
    <hyperlink r:id="rId320" ref="K162"/>
    <hyperlink r:id="rId321" ref="J163"/>
    <hyperlink r:id="rId137" ref="K163"/>
    <hyperlink r:id="rId322" ref="J164"/>
    <hyperlink r:id="rId323" ref="K164"/>
    <hyperlink r:id="rId324" ref="J165"/>
    <hyperlink r:id="rId325" ref="K165"/>
    <hyperlink r:id="rId326" ref="J166"/>
    <hyperlink r:id="rId327" ref="K166"/>
    <hyperlink r:id="rId328" ref="J167"/>
    <hyperlink r:id="rId329" ref="K167"/>
    <hyperlink r:id="rId330" ref="J168"/>
    <hyperlink r:id="rId331" ref="K168"/>
    <hyperlink r:id="rId332" ref="J169"/>
    <hyperlink r:id="rId333" ref="K169"/>
    <hyperlink r:id="rId334" ref="J170"/>
    <hyperlink r:id="rId335" ref="K170"/>
    <hyperlink r:id="rId336" ref="J171"/>
    <hyperlink r:id="rId337" ref="K171"/>
    <hyperlink r:id="rId338" ref="J172"/>
    <hyperlink r:id="rId339" ref="K172"/>
    <hyperlink r:id="rId340" ref="J173"/>
    <hyperlink r:id="rId341" ref="K173"/>
    <hyperlink r:id="rId342" ref="J174"/>
    <hyperlink r:id="rId343" ref="K174"/>
    <hyperlink r:id="rId344" ref="J175"/>
    <hyperlink r:id="rId345" ref="K175"/>
    <hyperlink r:id="rId346" ref="J176"/>
    <hyperlink r:id="rId347" ref="K176"/>
    <hyperlink r:id="rId348" ref="J177"/>
    <hyperlink r:id="rId349" ref="K177"/>
    <hyperlink r:id="rId350" ref="J178"/>
    <hyperlink r:id="rId351" ref="J179"/>
    <hyperlink r:id="rId352" ref="K179"/>
    <hyperlink r:id="rId353" ref="J180"/>
    <hyperlink r:id="rId127" ref="K180"/>
    <hyperlink r:id="rId354" ref="J181"/>
    <hyperlink r:id="rId355" ref="K181"/>
    <hyperlink r:id="rId356" ref="E182"/>
    <hyperlink r:id="rId357" ref="J182"/>
    <hyperlink r:id="rId358" ref="K182"/>
    <hyperlink r:id="rId359" ref="J183"/>
    <hyperlink r:id="rId360" ref="K183"/>
    <hyperlink r:id="rId361" ref="J184"/>
    <hyperlink r:id="rId362" ref="K184"/>
    <hyperlink r:id="rId363" ref="J185"/>
    <hyperlink r:id="rId364" ref="K185"/>
    <hyperlink r:id="rId365" ref="J186"/>
    <hyperlink r:id="rId366" ref="K186"/>
    <hyperlink r:id="rId367" ref="J187"/>
    <hyperlink r:id="rId368" ref="K187"/>
    <hyperlink r:id="rId369" ref="J188"/>
    <hyperlink r:id="rId370" ref="K188"/>
    <hyperlink r:id="rId371" ref="J189"/>
    <hyperlink r:id="rId24" ref="K189"/>
    <hyperlink r:id="rId372" ref="J190"/>
    <hyperlink r:id="rId373" ref="K190"/>
    <hyperlink r:id="rId374" ref="J191"/>
    <hyperlink r:id="rId375" ref="K191"/>
    <hyperlink r:id="rId376" ref="J192"/>
    <hyperlink r:id="rId377" ref="K192"/>
    <hyperlink r:id="rId378" ref="J193"/>
    <hyperlink r:id="rId379" ref="K193"/>
    <hyperlink r:id="rId380" ref="J194"/>
    <hyperlink r:id="rId381" ref="K194"/>
    <hyperlink r:id="rId382" ref="J195"/>
    <hyperlink r:id="rId383" ref="K195"/>
    <hyperlink r:id="rId384" ref="J196"/>
    <hyperlink r:id="rId385" ref="K196"/>
    <hyperlink r:id="rId386" ref="J197"/>
    <hyperlink r:id="rId387" ref="K197"/>
    <hyperlink r:id="rId388" ref="J198"/>
    <hyperlink r:id="rId389" ref="K198"/>
    <hyperlink r:id="rId390" ref="J199"/>
    <hyperlink r:id="rId205" ref="K199"/>
    <hyperlink r:id="rId391" ref="J200"/>
    <hyperlink r:id="rId392" ref="K200"/>
    <hyperlink r:id="rId393" ref="J201"/>
    <hyperlink r:id="rId355" ref="K201"/>
    <hyperlink r:id="rId394" ref="J202"/>
    <hyperlink r:id="rId395" ref="K202"/>
    <hyperlink r:id="rId396" ref="J203"/>
    <hyperlink r:id="rId397" ref="K203"/>
    <hyperlink r:id="rId398" ref="J204"/>
    <hyperlink r:id="rId399" ref="K204"/>
    <hyperlink r:id="rId400" ref="J205"/>
    <hyperlink r:id="rId401" ref="K205"/>
    <hyperlink r:id="rId402" ref="J206"/>
    <hyperlink r:id="rId403" ref="K206"/>
    <hyperlink r:id="rId404" ref="J207"/>
    <hyperlink r:id="rId405" ref="K207"/>
    <hyperlink r:id="rId406" ref="J208"/>
    <hyperlink r:id="rId407" ref="K208"/>
    <hyperlink r:id="rId408" ref="J209"/>
    <hyperlink r:id="rId409" ref="K209"/>
    <hyperlink r:id="rId410" ref="J210"/>
    <hyperlink r:id="rId290" ref="K210"/>
    <hyperlink r:id="rId411" ref="J211"/>
    <hyperlink r:id="rId412" ref="K211"/>
    <hyperlink r:id="rId413" ref="J212"/>
    <hyperlink r:id="rId414" ref="K212"/>
    <hyperlink r:id="rId415" ref="J213"/>
    <hyperlink r:id="rId416" ref="K213"/>
    <hyperlink r:id="rId417" ref="J214"/>
    <hyperlink r:id="rId418" ref="K214"/>
    <hyperlink r:id="rId419" ref="J215"/>
    <hyperlink r:id="rId149" ref="K215"/>
    <hyperlink r:id="rId420" ref="J216"/>
    <hyperlink r:id="rId421" ref="K216"/>
    <hyperlink r:id="rId422" ref="J217"/>
    <hyperlink r:id="rId423" ref="K217"/>
    <hyperlink r:id="rId424" ref="J218"/>
    <hyperlink r:id="rId425" ref="K218"/>
    <hyperlink r:id="rId426" ref="J219"/>
    <hyperlink r:id="rId427" ref="K219"/>
    <hyperlink r:id="rId428" ref="J220"/>
    <hyperlink r:id="rId429" ref="K220"/>
    <hyperlink r:id="rId430" ref="J221"/>
    <hyperlink r:id="rId431" ref="K221"/>
    <hyperlink r:id="rId432" ref="J222"/>
    <hyperlink r:id="rId433" ref="K222"/>
    <hyperlink r:id="rId434" ref="J223"/>
    <hyperlink r:id="rId435" ref="K223"/>
    <hyperlink r:id="rId436" ref="J224"/>
    <hyperlink r:id="rId437" ref="K224"/>
    <hyperlink r:id="rId438" ref="J225"/>
    <hyperlink r:id="rId439" ref="K225"/>
    <hyperlink r:id="rId440" ref="J226"/>
    <hyperlink r:id="rId441" ref="K226"/>
    <hyperlink r:id="rId442" ref="J227"/>
    <hyperlink r:id="rId443" ref="K227"/>
    <hyperlink r:id="rId444" ref="J228"/>
    <hyperlink r:id="rId445" ref="K228"/>
    <hyperlink r:id="rId446" ref="J229"/>
    <hyperlink r:id="rId447" ref="K229"/>
    <hyperlink r:id="rId448" ref="J230"/>
    <hyperlink r:id="rId449" ref="K230"/>
    <hyperlink r:id="rId450" ref="J231"/>
    <hyperlink r:id="rId451" ref="K231"/>
    <hyperlink r:id="rId452" ref="J232"/>
    <hyperlink r:id="rId364" ref="K232"/>
    <hyperlink r:id="rId453" ref="J233"/>
    <hyperlink r:id="rId425" ref="K233"/>
    <hyperlink r:id="rId454" ref="J234"/>
    <hyperlink r:id="rId455" ref="K234"/>
    <hyperlink r:id="rId456" ref="J235"/>
    <hyperlink r:id="rId81" ref="K235"/>
    <hyperlink r:id="rId457" ref="J236"/>
    <hyperlink r:id="rId458" ref="K236"/>
    <hyperlink r:id="rId459" ref="J237"/>
    <hyperlink r:id="rId26" ref="K237"/>
    <hyperlink r:id="rId460" ref="J238"/>
    <hyperlink r:id="rId461" ref="K238"/>
    <hyperlink r:id="rId462" ref="J239"/>
    <hyperlink r:id="rId463" ref="K239"/>
    <hyperlink r:id="rId464" ref="J240"/>
    <hyperlink r:id="rId157" ref="K240"/>
    <hyperlink r:id="rId465" ref="J241"/>
    <hyperlink r:id="rId466" ref="K241"/>
    <hyperlink r:id="rId467" ref="J242"/>
    <hyperlink r:id="rId468" ref="K242"/>
    <hyperlink r:id="rId469" ref="J243"/>
    <hyperlink r:id="rId470" ref="K243"/>
    <hyperlink r:id="rId471" ref="J244"/>
    <hyperlink r:id="rId472" ref="K244"/>
    <hyperlink r:id="rId473" ref="J245"/>
    <hyperlink r:id="rId18" ref="K245"/>
    <hyperlink r:id="rId474" ref="J246"/>
    <hyperlink r:id="rId475" ref="K246"/>
    <hyperlink r:id="rId476" ref="J247"/>
    <hyperlink r:id="rId477" ref="K247"/>
    <hyperlink r:id="rId478" ref="J248"/>
    <hyperlink r:id="rId479" ref="K248"/>
    <hyperlink r:id="rId480" ref="J249"/>
    <hyperlink r:id="rId481" ref="K249"/>
    <hyperlink r:id="rId482" ref="J250"/>
    <hyperlink r:id="rId483" ref="K250"/>
    <hyperlink r:id="rId484" ref="J251"/>
    <hyperlink r:id="rId485" ref="K251"/>
    <hyperlink r:id="rId486" ref="J252"/>
    <hyperlink r:id="rId487" ref="K252"/>
    <hyperlink r:id="rId488" ref="J253"/>
    <hyperlink r:id="rId489" ref="K253"/>
    <hyperlink r:id="rId490" ref="J254"/>
    <hyperlink r:id="rId491" ref="K254"/>
    <hyperlink r:id="rId492" ref="J255"/>
    <hyperlink r:id="rId493" ref="K255"/>
    <hyperlink r:id="rId494" ref="J256"/>
    <hyperlink r:id="rId495" ref="K256"/>
    <hyperlink r:id="rId496" ref="J257"/>
    <hyperlink r:id="rId497" ref="K257"/>
    <hyperlink r:id="rId498" ref="J258"/>
    <hyperlink r:id="rId499" ref="K258"/>
    <hyperlink r:id="rId500" ref="J259"/>
    <hyperlink r:id="rId501" ref="K259"/>
    <hyperlink r:id="rId502" ref="J260"/>
    <hyperlink r:id="rId503" ref="K260"/>
    <hyperlink r:id="rId504" ref="J261"/>
    <hyperlink r:id="rId505" ref="K261"/>
    <hyperlink r:id="rId506" ref="J262"/>
    <hyperlink r:id="rId507" ref="K262"/>
    <hyperlink r:id="rId508" ref="J263"/>
    <hyperlink r:id="rId509" ref="K263"/>
    <hyperlink r:id="rId510" ref="J264"/>
    <hyperlink r:id="rId511" ref="K264"/>
    <hyperlink r:id="rId512" ref="J265"/>
    <hyperlink r:id="rId513" ref="K265"/>
    <hyperlink r:id="rId514" ref="J266"/>
    <hyperlink r:id="rId515" ref="K266"/>
    <hyperlink r:id="rId516" ref="J267"/>
    <hyperlink r:id="rId517" ref="K267"/>
    <hyperlink r:id="rId518" ref="J268"/>
    <hyperlink r:id="rId519" ref="K268"/>
    <hyperlink r:id="rId520" ref="J269"/>
    <hyperlink r:id="rId521" ref="K269"/>
    <hyperlink r:id="rId522" ref="J270"/>
    <hyperlink r:id="rId210" ref="K270"/>
    <hyperlink r:id="rId523" ref="J271"/>
    <hyperlink r:id="rId524" ref="K271"/>
    <hyperlink r:id="rId525" ref="J272"/>
    <hyperlink r:id="rId526" ref="K272"/>
    <hyperlink r:id="rId527" ref="J273"/>
    <hyperlink r:id="rId133" ref="K273"/>
    <hyperlink r:id="rId528" ref="J274"/>
    <hyperlink r:id="rId529" ref="K274"/>
    <hyperlink r:id="rId530" ref="J275"/>
    <hyperlink r:id="rId531" ref="K275"/>
    <hyperlink r:id="rId532" ref="J276"/>
    <hyperlink r:id="rId533" ref="K276"/>
    <hyperlink r:id="rId534" ref="J277"/>
    <hyperlink r:id="rId535" ref="K277"/>
    <hyperlink r:id="rId536" ref="J278"/>
    <hyperlink r:id="rId537" ref="K278"/>
    <hyperlink r:id="rId538" ref="J279"/>
    <hyperlink r:id="rId539" ref="K279"/>
    <hyperlink r:id="rId540" ref="J280"/>
    <hyperlink r:id="rId32" ref="K280"/>
    <hyperlink r:id="rId541" ref="J281"/>
    <hyperlink r:id="rId542" ref="K281"/>
    <hyperlink r:id="rId543" ref="J282"/>
    <hyperlink r:id="rId544" ref="K282"/>
    <hyperlink r:id="rId545" ref="J283"/>
    <hyperlink r:id="rId288" ref="K283"/>
    <hyperlink r:id="rId546" ref="J284"/>
    <hyperlink r:id="rId547" ref="K284"/>
    <hyperlink r:id="rId548" ref="J285"/>
    <hyperlink r:id="rId507" ref="K285"/>
    <hyperlink r:id="rId549" ref="J286"/>
    <hyperlink r:id="rId550" ref="K286"/>
    <hyperlink r:id="rId551" ref="J287"/>
    <hyperlink r:id="rId141" ref="K287"/>
    <hyperlink r:id="rId552" ref="J288"/>
    <hyperlink r:id="rId553" ref="K288"/>
    <hyperlink r:id="rId554" ref="J289"/>
    <hyperlink r:id="rId555" ref="K289"/>
    <hyperlink r:id="rId556" ref="J290"/>
    <hyperlink r:id="rId557" ref="K290"/>
    <hyperlink r:id="rId558" ref="J291"/>
    <hyperlink r:id="rId559" ref="K291"/>
    <hyperlink r:id="rId560" ref="J292"/>
    <hyperlink r:id="rId228" ref="K292"/>
    <hyperlink r:id="rId561" ref="J293"/>
    <hyperlink r:id="rId203" ref="K293"/>
    <hyperlink r:id="rId562" ref="J294"/>
    <hyperlink r:id="rId563" ref="K294"/>
    <hyperlink r:id="rId564" ref="J295"/>
    <hyperlink r:id="rId565" ref="K295"/>
    <hyperlink r:id="rId566" ref="J296"/>
    <hyperlink r:id="rId567" ref="K296"/>
    <hyperlink r:id="rId568" ref="J297"/>
    <hyperlink r:id="rId569" ref="K297"/>
    <hyperlink r:id="rId570" ref="J298"/>
    <hyperlink r:id="rId571" ref="K298"/>
    <hyperlink r:id="rId572" ref="J299"/>
    <hyperlink r:id="rId573" ref="K299"/>
    <hyperlink r:id="rId574" ref="J300"/>
    <hyperlink r:id="rId575" ref="K300"/>
    <hyperlink r:id="rId576" ref="J301"/>
    <hyperlink r:id="rId577" ref="K301"/>
    <hyperlink r:id="rId578" ref="J302"/>
    <hyperlink r:id="rId435" ref="K302"/>
    <hyperlink r:id="rId579" ref="J303"/>
    <hyperlink r:id="rId580" ref="K303"/>
    <hyperlink r:id="rId581" ref="J304"/>
    <hyperlink r:id="rId214" ref="K304"/>
    <hyperlink r:id="rId582" ref="J305"/>
    <hyperlink r:id="rId583" ref="K305"/>
    <hyperlink r:id="rId584" ref="J306"/>
    <hyperlink r:id="rId585" ref="K306"/>
    <hyperlink r:id="rId586" ref="J307"/>
    <hyperlink r:id="rId587" ref="K307"/>
    <hyperlink r:id="rId588" ref="J308"/>
    <hyperlink r:id="rId589" ref="K308"/>
    <hyperlink r:id="rId590" ref="J309"/>
    <hyperlink r:id="rId591" ref="K309"/>
    <hyperlink r:id="rId592" ref="J310"/>
    <hyperlink r:id="rId593" ref="K310"/>
    <hyperlink r:id="rId594" ref="J311"/>
    <hyperlink r:id="rId595" ref="K311"/>
    <hyperlink r:id="rId596" ref="J312"/>
    <hyperlink r:id="rId597" ref="K312"/>
    <hyperlink r:id="rId598" ref="J313"/>
    <hyperlink r:id="rId599" ref="K313"/>
    <hyperlink r:id="rId600" ref="J314"/>
    <hyperlink r:id="rId601" ref="K314"/>
    <hyperlink r:id="rId602" ref="E315"/>
    <hyperlink r:id="rId603" ref="J315"/>
    <hyperlink r:id="rId604" ref="K315"/>
    <hyperlink r:id="rId605" ref="J316"/>
    <hyperlink r:id="rId606" ref="K316"/>
    <hyperlink r:id="rId607" ref="J317"/>
    <hyperlink r:id="rId608" ref="K317"/>
    <hyperlink r:id="rId609" ref="J318"/>
    <hyperlink r:id="rId91" ref="K318"/>
    <hyperlink r:id="rId610" ref="J319"/>
    <hyperlink r:id="rId611" ref="K319"/>
    <hyperlink r:id="rId612" ref="J320"/>
    <hyperlink r:id="rId435" ref="K320"/>
    <hyperlink r:id="rId613" ref="J321"/>
    <hyperlink r:id="rId614" ref="K321"/>
    <hyperlink r:id="rId615" ref="J322"/>
    <hyperlink r:id="rId493" ref="K322"/>
    <hyperlink r:id="rId616" ref="J323"/>
    <hyperlink r:id="rId617" ref="K323"/>
    <hyperlink r:id="rId618" ref="J324"/>
    <hyperlink r:id="rId619" ref="K324"/>
    <hyperlink r:id="rId620" ref="J325"/>
    <hyperlink r:id="rId79" ref="K325"/>
    <hyperlink r:id="rId621" ref="J326"/>
    <hyperlink r:id="rId622" ref="K326"/>
    <hyperlink r:id="rId623" ref="J327"/>
    <hyperlink r:id="rId624" ref="K327"/>
    <hyperlink r:id="rId625" ref="J328"/>
    <hyperlink r:id="rId626" ref="K328"/>
    <hyperlink r:id="rId627" ref="J329"/>
    <hyperlink r:id="rId377" ref="K329"/>
    <hyperlink r:id="rId628" ref="J330"/>
    <hyperlink r:id="rId441" ref="K330"/>
    <hyperlink r:id="rId629" ref="J331"/>
    <hyperlink r:id="rId630" ref="K331"/>
    <hyperlink r:id="rId631" ref="J332"/>
    <hyperlink r:id="rId632" ref="K332"/>
    <hyperlink r:id="rId633" ref="J333"/>
    <hyperlink r:id="rId634" ref="K333"/>
    <hyperlink r:id="rId635" ref="J334"/>
    <hyperlink r:id="rId636" ref="K334"/>
    <hyperlink r:id="rId637" ref="J335"/>
    <hyperlink r:id="rId638" ref="K335"/>
    <hyperlink r:id="rId639" ref="J336"/>
    <hyperlink r:id="rId640" ref="K336"/>
    <hyperlink r:id="rId641" ref="J337"/>
    <hyperlink r:id="rId642" ref="K337"/>
    <hyperlink r:id="rId643" ref="J338"/>
    <hyperlink r:id="rId644" ref="K338"/>
    <hyperlink r:id="rId645" ref="J339"/>
    <hyperlink r:id="rId646" ref="K339"/>
    <hyperlink r:id="rId647" ref="J340"/>
    <hyperlink r:id="rId362" ref="K340"/>
    <hyperlink r:id="rId648" ref="J341"/>
    <hyperlink r:id="rId649" ref="K341"/>
    <hyperlink r:id="rId650" ref="J342"/>
    <hyperlink r:id="rId133" ref="K342"/>
    <hyperlink r:id="rId651" ref="J343"/>
    <hyperlink r:id="rId447" ref="K343"/>
    <hyperlink r:id="rId652" ref="J344"/>
    <hyperlink r:id="rId653" ref="K344"/>
    <hyperlink r:id="rId654" ref="J345"/>
    <hyperlink r:id="rId655" ref="K345"/>
    <hyperlink r:id="rId656" ref="J346"/>
    <hyperlink r:id="rId657" ref="K346"/>
    <hyperlink r:id="rId658" ref="J347"/>
    <hyperlink r:id="rId659" ref="K347"/>
    <hyperlink r:id="rId660" ref="J348"/>
    <hyperlink r:id="rId661" ref="K348"/>
    <hyperlink r:id="rId662" ref="J349"/>
    <hyperlink r:id="rId663" ref="K349"/>
    <hyperlink r:id="rId664" ref="J350"/>
    <hyperlink r:id="rId665" ref="K350"/>
    <hyperlink r:id="rId666" ref="J351"/>
    <hyperlink r:id="rId667" ref="K351"/>
    <hyperlink r:id="rId668" ref="J352"/>
    <hyperlink r:id="rId669" ref="K352"/>
    <hyperlink r:id="rId670" ref="J353"/>
    <hyperlink r:id="rId671" ref="K353"/>
    <hyperlink r:id="rId672" ref="J354"/>
    <hyperlink r:id="rId673" ref="K354"/>
    <hyperlink r:id="rId674" ref="J355"/>
    <hyperlink r:id="rId675" ref="K355"/>
    <hyperlink r:id="rId676" ref="J356"/>
    <hyperlink r:id="rId677" ref="K356"/>
    <hyperlink r:id="rId678" ref="J357"/>
    <hyperlink r:id="rId679" ref="K357"/>
    <hyperlink r:id="rId680" ref="J358"/>
    <hyperlink r:id="rId681" ref="K358"/>
    <hyperlink r:id="rId682" ref="J359"/>
    <hyperlink r:id="rId683" ref="K359"/>
    <hyperlink r:id="rId684" ref="J360"/>
    <hyperlink r:id="rId685" ref="K360"/>
    <hyperlink r:id="rId686" ref="J361"/>
    <hyperlink r:id="rId687" ref="K361"/>
    <hyperlink r:id="rId688" ref="J362"/>
    <hyperlink r:id="rId689" ref="K362"/>
    <hyperlink r:id="rId690" ref="J363"/>
    <hyperlink r:id="rId691" ref="K363"/>
    <hyperlink r:id="rId692" ref="J364"/>
    <hyperlink r:id="rId121" ref="K364"/>
    <hyperlink r:id="rId693" ref="J365"/>
    <hyperlink r:id="rId147" ref="K365"/>
    <hyperlink r:id="rId694" ref="J366"/>
    <hyperlink r:id="rId695" ref="K366"/>
    <hyperlink r:id="rId696" ref="J367"/>
    <hyperlink r:id="rId697" ref="K367"/>
    <hyperlink r:id="rId698" ref="J368"/>
    <hyperlink r:id="rId699" ref="K368"/>
    <hyperlink r:id="rId700" ref="J369"/>
    <hyperlink r:id="rId701" ref="K369"/>
    <hyperlink r:id="rId702" ref="J370"/>
    <hyperlink r:id="rId703" ref="K370"/>
    <hyperlink r:id="rId704" ref="J371"/>
    <hyperlink r:id="rId705" ref="K371"/>
    <hyperlink r:id="rId706" ref="J372"/>
    <hyperlink r:id="rId707" ref="K372"/>
    <hyperlink r:id="rId708" ref="J373"/>
    <hyperlink r:id="rId709" ref="K373"/>
    <hyperlink r:id="rId710" ref="J374"/>
    <hyperlink r:id="rId711" ref="K374"/>
    <hyperlink r:id="rId712" ref="J375"/>
    <hyperlink r:id="rId713" ref="K375"/>
    <hyperlink r:id="rId714" ref="J376"/>
    <hyperlink r:id="rId715" ref="K376"/>
    <hyperlink r:id="rId716" ref="J377"/>
    <hyperlink r:id="rId717" ref="K377"/>
    <hyperlink r:id="rId718" ref="J378"/>
    <hyperlink r:id="rId719" ref="K378"/>
    <hyperlink r:id="rId720" ref="J379"/>
    <hyperlink r:id="rId721" ref="K379"/>
    <hyperlink r:id="rId722" ref="J380"/>
    <hyperlink r:id="rId723" ref="K380"/>
    <hyperlink r:id="rId724" ref="J381"/>
    <hyperlink r:id="rId725" ref="K381"/>
    <hyperlink r:id="rId726" ref="J382"/>
    <hyperlink r:id="rId727" ref="K382"/>
    <hyperlink r:id="rId728" ref="J383"/>
    <hyperlink r:id="rId729" ref="K383"/>
    <hyperlink r:id="rId730" ref="J384"/>
    <hyperlink r:id="rId731" ref="K384"/>
    <hyperlink r:id="rId732" ref="J385"/>
    <hyperlink r:id="rId733" ref="K385"/>
    <hyperlink r:id="rId734" ref="J386"/>
    <hyperlink r:id="rId735" ref="K386"/>
    <hyperlink r:id="rId736" ref="J387"/>
    <hyperlink r:id="rId737" ref="K387"/>
    <hyperlink r:id="rId738" ref="J388"/>
    <hyperlink r:id="rId739" ref="K388"/>
    <hyperlink r:id="rId740" ref="J389"/>
    <hyperlink r:id="rId741" ref="K389"/>
    <hyperlink r:id="rId742" ref="J390"/>
    <hyperlink r:id="rId181" ref="K390"/>
    <hyperlink r:id="rId743" ref="J391"/>
    <hyperlink r:id="rId744" ref="K391"/>
    <hyperlink r:id="rId745" ref="J392"/>
    <hyperlink r:id="rId746" ref="K392"/>
    <hyperlink r:id="rId747" ref="J393"/>
    <hyperlink r:id="rId748" ref="K393"/>
    <hyperlink r:id="rId749" ref="J394"/>
    <hyperlink r:id="rId750" ref="K394"/>
    <hyperlink r:id="rId751" ref="J395"/>
    <hyperlink r:id="rId752" ref="K395"/>
    <hyperlink r:id="rId753" ref="J396"/>
    <hyperlink r:id="rId754" ref="K396"/>
    <hyperlink r:id="rId755" ref="J397"/>
    <hyperlink r:id="rId756" ref="K397"/>
    <hyperlink r:id="rId757" ref="J398"/>
    <hyperlink r:id="rId370" ref="K398"/>
    <hyperlink r:id="rId758" ref="J399"/>
    <hyperlink r:id="rId759" ref="K399"/>
    <hyperlink r:id="rId760" ref="J400"/>
    <hyperlink r:id="rId761" ref="K400"/>
    <hyperlink r:id="rId762" ref="J401"/>
    <hyperlink r:id="rId763" ref="K401"/>
    <hyperlink r:id="rId764" ref="J402"/>
    <hyperlink r:id="rId765" ref="K402"/>
    <hyperlink r:id="rId766" ref="J403"/>
    <hyperlink r:id="rId767" ref="K403"/>
    <hyperlink r:id="rId768" ref="J404"/>
    <hyperlink r:id="rId769" ref="K404"/>
    <hyperlink r:id="rId770" ref="J405"/>
    <hyperlink r:id="rId771" ref="K405"/>
    <hyperlink r:id="rId772" ref="J406"/>
    <hyperlink r:id="rId773" ref="K406"/>
    <hyperlink r:id="rId774" ref="J407"/>
    <hyperlink r:id="rId117" ref="K407"/>
    <hyperlink r:id="rId775" ref="J408"/>
    <hyperlink r:id="rId776" ref="K408"/>
    <hyperlink r:id="rId777" ref="J409"/>
    <hyperlink r:id="rId778" ref="K409"/>
    <hyperlink r:id="rId779" ref="J410"/>
    <hyperlink r:id="rId780" ref="K410"/>
    <hyperlink r:id="rId781" ref="J411"/>
    <hyperlink r:id="rId782" ref="K411"/>
    <hyperlink r:id="rId783" ref="J412"/>
    <hyperlink r:id="rId784" ref="K412"/>
    <hyperlink r:id="rId785" ref="J413"/>
    <hyperlink r:id="rId786" ref="K413"/>
    <hyperlink r:id="rId787" ref="J414"/>
    <hyperlink r:id="rId788" ref="K414"/>
    <hyperlink r:id="rId789" ref="J415"/>
    <hyperlink r:id="rId790" ref="K415"/>
    <hyperlink r:id="rId791" ref="J416"/>
    <hyperlink r:id="rId491" ref="K416"/>
    <hyperlink r:id="rId792" ref="J417"/>
    <hyperlink r:id="rId793" ref="K417"/>
    <hyperlink r:id="rId794" ref="J418"/>
    <hyperlink r:id="rId795" ref="K418"/>
    <hyperlink r:id="rId796" ref="J419"/>
    <hyperlink r:id="rId260" ref="K419"/>
    <hyperlink r:id="rId797" ref="J420"/>
    <hyperlink r:id="rId798" ref="K420"/>
    <hyperlink r:id="rId799" ref="J421"/>
    <hyperlink r:id="rId800" ref="K421"/>
    <hyperlink r:id="rId801" ref="J422"/>
    <hyperlink r:id="rId802" ref="K422"/>
    <hyperlink r:id="rId803" ref="J423"/>
    <hyperlink r:id="rId804" ref="K423"/>
    <hyperlink r:id="rId805" ref="J424"/>
    <hyperlink r:id="rId806" ref="K424"/>
    <hyperlink r:id="rId807" ref="J425"/>
    <hyperlink r:id="rId443" ref="K425"/>
    <hyperlink r:id="rId808" ref="J426"/>
    <hyperlink r:id="rId809" ref="K426"/>
    <hyperlink r:id="rId810" ref="J427"/>
    <hyperlink r:id="rId811" ref="K427"/>
    <hyperlink r:id="rId812" ref="J428"/>
    <hyperlink r:id="rId813" ref="K428"/>
    <hyperlink r:id="rId814" ref="J429"/>
    <hyperlink r:id="rId815" ref="K429"/>
    <hyperlink r:id="rId816" ref="J430"/>
    <hyperlink r:id="rId817" ref="K430"/>
    <hyperlink r:id="rId818" ref="J431"/>
    <hyperlink r:id="rId739" ref="K431"/>
    <hyperlink r:id="rId819" ref="J432"/>
    <hyperlink r:id="rId820" ref="K432"/>
    <hyperlink r:id="rId821" ref="J433"/>
    <hyperlink r:id="rId822" ref="K433"/>
    <hyperlink r:id="rId823" ref="J434"/>
    <hyperlink r:id="rId824" ref="K434"/>
    <hyperlink r:id="rId825" ref="J435"/>
    <hyperlink r:id="rId782" ref="K435"/>
    <hyperlink r:id="rId826" ref="J436"/>
    <hyperlink r:id="rId827" ref="K436"/>
    <hyperlink r:id="rId828" ref="J437"/>
    <hyperlink r:id="rId30" ref="K437"/>
    <hyperlink r:id="rId829" ref="J438"/>
    <hyperlink r:id="rId830" ref="K438"/>
    <hyperlink r:id="rId831" ref="J439"/>
    <hyperlink r:id="rId832" ref="K439"/>
    <hyperlink r:id="rId833" ref="J440"/>
    <hyperlink r:id="rId834" ref="K440"/>
    <hyperlink r:id="rId835" ref="J441"/>
    <hyperlink r:id="rId836" ref="K441"/>
    <hyperlink r:id="rId837" ref="J442"/>
    <hyperlink r:id="rId75" ref="K442"/>
    <hyperlink r:id="rId838" ref="J443"/>
    <hyperlink r:id="rId839" ref="K443"/>
    <hyperlink r:id="rId840" ref="J444"/>
    <hyperlink r:id="rId841" ref="K444"/>
    <hyperlink r:id="rId842" ref="J445"/>
    <hyperlink r:id="rId843" ref="K445"/>
    <hyperlink r:id="rId844" ref="J446"/>
    <hyperlink r:id="rId845" ref="K446"/>
    <hyperlink r:id="rId846" ref="J447"/>
    <hyperlink r:id="rId671" ref="K447"/>
    <hyperlink r:id="rId847" ref="J448"/>
    <hyperlink r:id="rId848" ref="K448"/>
    <hyperlink r:id="rId849" ref="J449"/>
    <hyperlink r:id="rId850" ref="K449"/>
    <hyperlink r:id="rId851" ref="J450"/>
    <hyperlink r:id="rId852" ref="K450"/>
    <hyperlink r:id="rId853" ref="J451"/>
    <hyperlink r:id="rId854" ref="K451"/>
    <hyperlink r:id="rId855" ref="J452"/>
    <hyperlink r:id="rId856" ref="K452"/>
    <hyperlink r:id="rId857" ref="J453"/>
    <hyperlink r:id="rId858" ref="K453"/>
    <hyperlink r:id="rId859" ref="J454"/>
    <hyperlink r:id="rId860" ref="K454"/>
    <hyperlink r:id="rId861" ref="J455"/>
    <hyperlink r:id="rId133" ref="K455"/>
    <hyperlink r:id="rId862" ref="J456"/>
    <hyperlink r:id="rId863" ref="K456"/>
    <hyperlink r:id="rId864" ref="J457"/>
    <hyperlink r:id="rId865" ref="K457"/>
    <hyperlink r:id="rId866" ref="J458"/>
    <hyperlink r:id="rId10" ref="K458"/>
    <hyperlink r:id="rId867" ref="J459"/>
    <hyperlink r:id="rId868" ref="K459"/>
    <hyperlink r:id="rId869" ref="J460"/>
    <hyperlink r:id="rId870" ref="K460"/>
    <hyperlink r:id="rId871" ref="J461"/>
    <hyperlink r:id="rId872" ref="K461"/>
    <hyperlink r:id="rId873" ref="J462"/>
    <hyperlink r:id="rId874" ref="K462"/>
    <hyperlink r:id="rId875" ref="J463"/>
    <hyperlink r:id="rId876" ref="K463"/>
    <hyperlink r:id="rId877" ref="J464"/>
    <hyperlink r:id="rId91" ref="K464"/>
    <hyperlink r:id="rId878" ref="J465"/>
    <hyperlink r:id="rId879" ref="K465"/>
    <hyperlink r:id="rId880" ref="J466"/>
    <hyperlink r:id="rId881" ref="K466"/>
    <hyperlink r:id="rId882" ref="J467"/>
    <hyperlink r:id="rId883" ref="K467"/>
    <hyperlink r:id="rId884" ref="J468"/>
    <hyperlink r:id="rId885" ref="K468"/>
    <hyperlink r:id="rId886" ref="J469"/>
    <hyperlink r:id="rId887" ref="K469"/>
    <hyperlink r:id="rId888" ref="J470"/>
    <hyperlink r:id="rId889" ref="K470"/>
    <hyperlink r:id="rId890" ref="J471"/>
    <hyperlink r:id="rId891" ref="K471"/>
    <hyperlink r:id="rId892" ref="J472"/>
    <hyperlink r:id="rId193" ref="K472"/>
    <hyperlink r:id="rId893" ref="J473"/>
    <hyperlink r:id="rId107" ref="K473"/>
    <hyperlink r:id="rId894" ref="J474"/>
    <hyperlink r:id="rId895" ref="K474"/>
    <hyperlink r:id="rId896" ref="J475"/>
    <hyperlink r:id="rId897" ref="K475"/>
    <hyperlink r:id="rId898" ref="J476"/>
    <hyperlink r:id="rId899" ref="K476"/>
    <hyperlink r:id="rId900" ref="J477"/>
    <hyperlink r:id="rId901" ref="K477"/>
    <hyperlink r:id="rId902" ref="J478"/>
    <hyperlink r:id="rId903" ref="K478"/>
    <hyperlink r:id="rId904" ref="J479"/>
    <hyperlink r:id="rId905" ref="K479"/>
    <hyperlink r:id="rId906" ref="J480"/>
    <hyperlink r:id="rId907" ref="K480"/>
    <hyperlink r:id="rId908" ref="J481"/>
    <hyperlink r:id="rId909" ref="K481"/>
    <hyperlink r:id="rId910" ref="J482"/>
    <hyperlink r:id="rId911" ref="K482"/>
    <hyperlink r:id="rId912" ref="J483"/>
    <hyperlink r:id="rId913" ref="K483"/>
    <hyperlink r:id="rId914" ref="J484"/>
    <hyperlink r:id="rId915" ref="K484"/>
    <hyperlink r:id="rId916" ref="J485"/>
    <hyperlink r:id="rId59" ref="K485"/>
    <hyperlink r:id="rId917" ref="J486"/>
    <hyperlink r:id="rId918" ref="K486"/>
    <hyperlink r:id="rId919" ref="J487"/>
    <hyperlink r:id="rId511" ref="K487"/>
    <hyperlink r:id="rId920" ref="J488"/>
    <hyperlink r:id="rId921" ref="K488"/>
    <hyperlink r:id="rId922" ref="J489"/>
    <hyperlink r:id="rId923" ref="K489"/>
    <hyperlink r:id="rId924" ref="J490"/>
    <hyperlink r:id="rId925" ref="K490"/>
    <hyperlink r:id="rId926" ref="J491"/>
    <hyperlink r:id="rId927" ref="K491"/>
    <hyperlink r:id="rId928" ref="J492"/>
    <hyperlink r:id="rId137" ref="K492"/>
    <hyperlink r:id="rId929" ref="J493"/>
    <hyperlink r:id="rId930" ref="K493"/>
    <hyperlink r:id="rId931" ref="J494"/>
    <hyperlink r:id="rId689" ref="K494"/>
    <hyperlink r:id="rId932" ref="J495"/>
    <hyperlink r:id="rId933" ref="K495"/>
    <hyperlink r:id="rId934" ref="J496"/>
    <hyperlink r:id="rId445" ref="K496"/>
    <hyperlink r:id="rId935" ref="J497"/>
    <hyperlink r:id="rId936" ref="K497"/>
    <hyperlink r:id="rId937" ref="J498"/>
    <hyperlink r:id="rId938" ref="K498"/>
    <hyperlink r:id="rId939" ref="J499"/>
    <hyperlink r:id="rId181" ref="K499"/>
    <hyperlink r:id="rId940" ref="J500"/>
    <hyperlink r:id="rId941" ref="K500"/>
    <hyperlink r:id="rId942" ref="J501"/>
    <hyperlink r:id="rId943" ref="K501"/>
    <hyperlink r:id="rId944" ref="J502"/>
    <hyperlink r:id="rId945" ref="K502"/>
    <hyperlink r:id="rId946" ref="J503"/>
    <hyperlink r:id="rId947" ref="K503"/>
    <hyperlink r:id="rId948" ref="J504"/>
    <hyperlink r:id="rId949" ref="K504"/>
    <hyperlink r:id="rId950" ref="J505"/>
    <hyperlink r:id="rId951" ref="K505"/>
    <hyperlink r:id="rId952" ref="J506"/>
    <hyperlink r:id="rId953" ref="K506"/>
    <hyperlink r:id="rId954" ref="J507"/>
    <hyperlink r:id="rId955" ref="K507"/>
    <hyperlink r:id="rId956" ref="J508"/>
    <hyperlink r:id="rId957" ref="K508"/>
    <hyperlink r:id="rId958" ref="J509"/>
    <hyperlink r:id="rId959" ref="K509"/>
    <hyperlink r:id="rId960" ref="J510"/>
    <hyperlink r:id="rId961" ref="K510"/>
    <hyperlink r:id="rId962" ref="J511"/>
    <hyperlink r:id="rId963" ref="K511"/>
    <hyperlink r:id="rId964" ref="J512"/>
    <hyperlink r:id="rId965" ref="K512"/>
    <hyperlink r:id="rId966" ref="J513"/>
    <hyperlink r:id="rId967" ref="K513"/>
    <hyperlink r:id="rId968" ref="J514"/>
    <hyperlink r:id="rId234" ref="K514"/>
    <hyperlink r:id="rId969" ref="J515"/>
    <hyperlink r:id="rId970" ref="K515"/>
    <hyperlink r:id="rId971" ref="J516"/>
    <hyperlink r:id="rId972" ref="K516"/>
    <hyperlink r:id="rId973" ref="J517"/>
    <hyperlink r:id="rId974" ref="K517"/>
    <hyperlink r:id="rId975" ref="J518"/>
    <hyperlink r:id="rId976" ref="K518"/>
    <hyperlink r:id="rId977" ref="J519"/>
    <hyperlink r:id="rId811" ref="K519"/>
    <hyperlink r:id="rId978" ref="J520"/>
    <hyperlink r:id="rId979" ref="K520"/>
    <hyperlink r:id="rId980" ref="J521"/>
    <hyperlink r:id="rId571" ref="K521"/>
    <hyperlink r:id="rId981" ref="J522"/>
    <hyperlink r:id="rId879" ref="K522"/>
    <hyperlink r:id="rId982" ref="J523"/>
    <hyperlink r:id="rId983" ref="K523"/>
    <hyperlink r:id="rId984" ref="J524"/>
    <hyperlink r:id="rId985" ref="K524"/>
    <hyperlink r:id="rId986" ref="J525"/>
    <hyperlink r:id="rId987" ref="K525"/>
    <hyperlink r:id="rId988" ref="J526"/>
    <hyperlink r:id="rId989" ref="K526"/>
    <hyperlink r:id="rId990" ref="J527"/>
    <hyperlink r:id="rId991" ref="K527"/>
    <hyperlink r:id="rId992" ref="J528"/>
    <hyperlink r:id="rId993" ref="K528"/>
    <hyperlink r:id="rId994" ref="J529"/>
    <hyperlink r:id="rId995" ref="K529"/>
    <hyperlink r:id="rId996" ref="J530"/>
    <hyperlink r:id="rId997" ref="K530"/>
    <hyperlink r:id="rId998" ref="J531"/>
    <hyperlink r:id="rId999" ref="K531"/>
    <hyperlink r:id="rId1000" ref="J532"/>
    <hyperlink r:id="rId1001" ref="K532"/>
    <hyperlink r:id="rId1002" ref="J533"/>
    <hyperlink r:id="rId1003" ref="K533"/>
    <hyperlink r:id="rId1004" ref="J534"/>
    <hyperlink r:id="rId1005" ref="K534"/>
    <hyperlink r:id="rId1006" ref="J535"/>
    <hyperlink r:id="rId1007" ref="K535"/>
    <hyperlink r:id="rId1008" ref="J536"/>
    <hyperlink r:id="rId1009" ref="K536"/>
    <hyperlink r:id="rId1010" ref="J537"/>
    <hyperlink r:id="rId1011" ref="K537"/>
    <hyperlink r:id="rId1012" ref="J538"/>
    <hyperlink r:id="rId1013" ref="K538"/>
    <hyperlink r:id="rId1014" ref="J539"/>
    <hyperlink r:id="rId1015" ref="K539"/>
    <hyperlink r:id="rId1016" ref="J540"/>
    <hyperlink r:id="rId800" ref="K540"/>
    <hyperlink r:id="rId1017" ref="J541"/>
    <hyperlink r:id="rId1018" ref="K541"/>
    <hyperlink r:id="rId1019" ref="J542"/>
    <hyperlink r:id="rId1020" ref="K542"/>
    <hyperlink r:id="rId1021" ref="J543"/>
    <hyperlink r:id="rId1022" ref="K543"/>
    <hyperlink r:id="rId1023" ref="J544"/>
    <hyperlink r:id="rId1024" ref="K544"/>
    <hyperlink r:id="rId1025" ref="J545"/>
    <hyperlink r:id="rId1026" ref="K545"/>
    <hyperlink r:id="rId1027" ref="J546"/>
    <hyperlink r:id="rId1028" ref="K546"/>
    <hyperlink r:id="rId1029" ref="J547"/>
    <hyperlink r:id="rId1030" ref="K547"/>
    <hyperlink r:id="rId1031" ref="J548"/>
    <hyperlink r:id="rId501" ref="K548"/>
    <hyperlink r:id="rId1032" ref="J549"/>
    <hyperlink r:id="rId1033" ref="K549"/>
    <hyperlink r:id="rId1034" ref="J550"/>
    <hyperlink r:id="rId644" ref="K550"/>
    <hyperlink r:id="rId1035" ref="J551"/>
    <hyperlink r:id="rId20" ref="K551"/>
    <hyperlink r:id="rId1036" ref="J552"/>
    <hyperlink r:id="rId1037" ref="K552"/>
    <hyperlink r:id="rId1038" ref="J553"/>
    <hyperlink r:id="rId24" ref="K553"/>
    <hyperlink r:id="rId1039" ref="J554"/>
    <hyperlink r:id="rId1040" ref="K554"/>
    <hyperlink r:id="rId1041" ref="J555"/>
    <hyperlink r:id="rId1042" ref="K555"/>
    <hyperlink r:id="rId1043" ref="J556"/>
    <hyperlink r:id="rId1044" ref="K556"/>
    <hyperlink r:id="rId1045" ref="J557"/>
    <hyperlink r:id="rId1046" ref="K557"/>
    <hyperlink r:id="rId1047" ref="J558"/>
    <hyperlink r:id="rId1048" ref="K558"/>
    <hyperlink r:id="rId1049" ref="J559"/>
    <hyperlink r:id="rId1050" ref="K559"/>
    <hyperlink r:id="rId1051" ref="J560"/>
    <hyperlink r:id="rId1052" ref="K560"/>
    <hyperlink r:id="rId1053" ref="J561"/>
    <hyperlink r:id="rId1054" ref="K561"/>
    <hyperlink r:id="rId1055" ref="J562"/>
    <hyperlink r:id="rId1056" ref="K562"/>
    <hyperlink r:id="rId1057" ref="J563"/>
    <hyperlink r:id="rId1058" ref="K563"/>
    <hyperlink r:id="rId1059" ref="J564"/>
    <hyperlink r:id="rId1060" ref="K564"/>
    <hyperlink r:id="rId1061" ref="J565"/>
    <hyperlink r:id="rId1062" ref="K565"/>
    <hyperlink r:id="rId1063" ref="J566"/>
    <hyperlink r:id="rId1064" ref="K566"/>
    <hyperlink r:id="rId1065" ref="J567"/>
    <hyperlink r:id="rId1066" ref="K567"/>
    <hyperlink r:id="rId1067" ref="J568"/>
    <hyperlink r:id="rId1068" ref="K568"/>
    <hyperlink r:id="rId1069" ref="J569"/>
    <hyperlink r:id="rId1070" ref="K569"/>
    <hyperlink r:id="rId1071" ref="J570"/>
    <hyperlink r:id="rId1072" ref="K570"/>
    <hyperlink r:id="rId1073" ref="J571"/>
    <hyperlink r:id="rId1074" ref="K571"/>
    <hyperlink r:id="rId1075" ref="J572"/>
    <hyperlink r:id="rId1076" ref="K572"/>
    <hyperlink r:id="rId1077" ref="J573"/>
    <hyperlink r:id="rId337" ref="K573"/>
    <hyperlink r:id="rId1078" ref="J574"/>
    <hyperlink r:id="rId790" ref="K574"/>
    <hyperlink r:id="rId1079" ref="J575"/>
    <hyperlink r:id="rId1080" ref="K575"/>
    <hyperlink r:id="rId1081" ref="J576"/>
    <hyperlink r:id="rId1082" ref="K576"/>
    <hyperlink r:id="rId1083" ref="J577"/>
    <hyperlink r:id="rId1084" ref="K577"/>
    <hyperlink r:id="rId1085" ref="J578"/>
    <hyperlink r:id="rId1086" ref="K578"/>
    <hyperlink r:id="rId1087" ref="J579"/>
    <hyperlink r:id="rId1088" ref="K579"/>
    <hyperlink r:id="rId1089" ref="J580"/>
    <hyperlink r:id="rId683" ref="K580"/>
    <hyperlink r:id="rId1090" ref="J581"/>
    <hyperlink r:id="rId1091" ref="K581"/>
    <hyperlink r:id="rId1092" ref="J582"/>
    <hyperlink r:id="rId1093" ref="K582"/>
    <hyperlink r:id="rId1094" ref="J583"/>
    <hyperlink r:id="rId1095" ref="K583"/>
    <hyperlink r:id="rId1096" ref="J584"/>
    <hyperlink r:id="rId589" ref="K584"/>
    <hyperlink r:id="rId1097" ref="J585"/>
    <hyperlink r:id="rId1098" ref="K585"/>
    <hyperlink r:id="rId1099" ref="J586"/>
    <hyperlink r:id="rId1100" ref="K586"/>
    <hyperlink r:id="rId1101" ref="J587"/>
    <hyperlink r:id="rId1102" ref="K587"/>
    <hyperlink r:id="rId1103" ref="J588"/>
    <hyperlink r:id="rId713" ref="K588"/>
    <hyperlink r:id="rId1104" ref="J589"/>
    <hyperlink r:id="rId567" ref="K589"/>
    <hyperlink r:id="rId1105" ref="J590"/>
    <hyperlink r:id="rId555" ref="K590"/>
    <hyperlink r:id="rId1106" ref="J591"/>
    <hyperlink r:id="rId1107" ref="K591"/>
    <hyperlink r:id="rId1108" ref="J592"/>
    <hyperlink r:id="rId195" ref="K592"/>
    <hyperlink r:id="rId1109" ref="J593"/>
    <hyperlink r:id="rId1110" ref="K593"/>
    <hyperlink r:id="rId1111" ref="E594"/>
    <hyperlink r:id="rId1112" ref="J594"/>
    <hyperlink r:id="rId1113" ref="K594"/>
    <hyperlink r:id="rId1114" ref="J595"/>
    <hyperlink r:id="rId1115" ref="K595"/>
    <hyperlink r:id="rId1116" ref="J596"/>
    <hyperlink r:id="rId470" ref="K596"/>
    <hyperlink r:id="rId1117" ref="J597"/>
    <hyperlink r:id="rId1118" ref="K597"/>
    <hyperlink r:id="rId1119" ref="J598"/>
    <hyperlink r:id="rId1120" ref="K598"/>
    <hyperlink r:id="rId1121" ref="J599"/>
    <hyperlink r:id="rId1122" ref="K599"/>
    <hyperlink r:id="rId1123" ref="J600"/>
    <hyperlink r:id="rId1124" ref="K600"/>
    <hyperlink r:id="rId1125" ref="J601"/>
    <hyperlink r:id="rId1126" ref="K601"/>
    <hyperlink r:id="rId1127" ref="J602"/>
    <hyperlink r:id="rId583" ref="K602"/>
    <hyperlink r:id="rId1128" ref="J603"/>
    <hyperlink r:id="rId1129" ref="K603"/>
    <hyperlink r:id="rId1130" ref="J604"/>
    <hyperlink r:id="rId1131" ref="K604"/>
    <hyperlink r:id="rId1132" ref="J605"/>
    <hyperlink r:id="rId1133" ref="K605"/>
    <hyperlink r:id="rId1134" ref="J606"/>
    <hyperlink r:id="rId187" ref="K606"/>
    <hyperlink r:id="rId1135" ref="J607"/>
    <hyperlink r:id="rId1095" ref="K607"/>
    <hyperlink r:id="rId1136" ref="J608"/>
    <hyperlink r:id="rId1137" ref="K608"/>
    <hyperlink r:id="rId1138" ref="J609"/>
    <hyperlink r:id="rId1139" ref="K609"/>
    <hyperlink r:id="rId1140" ref="J610"/>
    <hyperlink r:id="rId276" ref="K610"/>
    <hyperlink r:id="rId1141" ref="J611"/>
    <hyperlink r:id="rId1142" ref="K611"/>
    <hyperlink r:id="rId1143" ref="J612"/>
    <hyperlink r:id="rId1144" ref="K612"/>
    <hyperlink r:id="rId1145" ref="J613"/>
    <hyperlink r:id="rId1146" ref="K613"/>
    <hyperlink r:id="rId1147" ref="J614"/>
    <hyperlink r:id="rId1148" ref="K614"/>
    <hyperlink r:id="rId1149" ref="J615"/>
    <hyperlink r:id="rId1150" ref="K615"/>
    <hyperlink r:id="rId1151" ref="J616"/>
    <hyperlink r:id="rId1152" ref="K616"/>
    <hyperlink r:id="rId1153" ref="J617"/>
    <hyperlink r:id="rId1154" ref="K617"/>
    <hyperlink r:id="rId1155" ref="J618"/>
    <hyperlink r:id="rId1156" ref="K618"/>
    <hyperlink r:id="rId1157" ref="J619"/>
    <hyperlink r:id="rId1158" ref="K619"/>
    <hyperlink r:id="rId1159" ref="J620"/>
    <hyperlink r:id="rId1160" ref="K620"/>
    <hyperlink r:id="rId1161" ref="J621"/>
    <hyperlink r:id="rId1162" ref="K621"/>
    <hyperlink r:id="rId1163" ref="J622"/>
    <hyperlink r:id="rId1164" ref="K622"/>
    <hyperlink r:id="rId1165" ref="J623"/>
    <hyperlink r:id="rId1166" ref="K623"/>
    <hyperlink r:id="rId1167" ref="J624"/>
    <hyperlink r:id="rId1168" ref="K624"/>
    <hyperlink r:id="rId1169" ref="J625"/>
    <hyperlink r:id="rId1170" ref="K625"/>
    <hyperlink r:id="rId1171" ref="J626"/>
    <hyperlink r:id="rId577" ref="K626"/>
    <hyperlink r:id="rId1172" ref="J627"/>
    <hyperlink r:id="rId1173" ref="K627"/>
    <hyperlink r:id="rId1174" ref="J628"/>
    <hyperlink r:id="rId501" ref="K628"/>
    <hyperlink r:id="rId1175" ref="J629"/>
    <hyperlink r:id="rId1176" ref="K629"/>
    <hyperlink r:id="rId1177" ref="J630"/>
    <hyperlink r:id="rId1178" ref="K630"/>
    <hyperlink r:id="rId1179" ref="J631"/>
    <hyperlink r:id="rId1180" ref="K631"/>
    <hyperlink r:id="rId1181" ref="J632"/>
    <hyperlink r:id="rId1182" ref="K632"/>
    <hyperlink r:id="rId1183" ref="J633"/>
    <hyperlink r:id="rId1184" ref="K633"/>
    <hyperlink r:id="rId1185" ref="J634"/>
    <hyperlink r:id="rId489" ref="K634"/>
    <hyperlink r:id="rId1186" ref="J635"/>
    <hyperlink r:id="rId1187" ref="K635"/>
    <hyperlink r:id="rId1188" ref="J636"/>
    <hyperlink r:id="rId1189" ref="K636"/>
    <hyperlink r:id="rId1190" ref="J637"/>
    <hyperlink r:id="rId1191" ref="K637"/>
    <hyperlink r:id="rId1192" ref="J638"/>
    <hyperlink r:id="rId1193" ref="K638"/>
    <hyperlink r:id="rId1194" ref="J639"/>
    <hyperlink r:id="rId1195" ref="K639"/>
    <hyperlink r:id="rId1196" ref="J640"/>
    <hyperlink r:id="rId1197" ref="K640"/>
    <hyperlink r:id="rId1198" ref="J641"/>
    <hyperlink r:id="rId1199" ref="K641"/>
    <hyperlink r:id="rId1200" ref="J642"/>
    <hyperlink r:id="rId1201" ref="K642"/>
    <hyperlink r:id="rId356" ref="E643"/>
    <hyperlink r:id="rId1202" ref="J643"/>
    <hyperlink r:id="rId358" ref="K643"/>
    <hyperlink r:id="rId1203" ref="J644"/>
    <hyperlink r:id="rId1204" ref="K644"/>
    <hyperlink r:id="rId1205" ref="J645"/>
    <hyperlink r:id="rId1206" ref="K645"/>
    <hyperlink r:id="rId1207" ref="J646"/>
    <hyperlink r:id="rId1208" ref="K646"/>
    <hyperlink r:id="rId1209" ref="J647"/>
    <hyperlink r:id="rId1210" ref="K647"/>
    <hyperlink r:id="rId1211" ref="J648"/>
    <hyperlink r:id="rId1212" ref="K648"/>
    <hyperlink r:id="rId492" ref="J649"/>
    <hyperlink r:id="rId493" ref="K649"/>
    <hyperlink r:id="rId1213" ref="J650"/>
    <hyperlink r:id="rId1214" ref="K650"/>
    <hyperlink r:id="rId1215" ref="J651"/>
    <hyperlink r:id="rId310" ref="K651"/>
    <hyperlink r:id="rId1216" ref="J652"/>
    <hyperlink r:id="rId930" ref="K652"/>
    <hyperlink r:id="rId1217" ref="J653"/>
    <hyperlink r:id="rId1218" ref="K653"/>
    <hyperlink r:id="rId1219" ref="J654"/>
    <hyperlink r:id="rId1220" ref="K654"/>
    <hyperlink r:id="rId1221" ref="J655"/>
    <hyperlink r:id="rId1222" ref="K655"/>
    <hyperlink r:id="rId1223" ref="J656"/>
    <hyperlink r:id="rId1224" ref="K656"/>
    <hyperlink r:id="rId1225" ref="J657"/>
    <hyperlink r:id="rId1226" ref="K657"/>
    <hyperlink r:id="rId1227" ref="J658"/>
    <hyperlink r:id="rId1228" ref="K658"/>
    <hyperlink r:id="rId1229" ref="J659"/>
    <hyperlink r:id="rId606" ref="K659"/>
    <hyperlink r:id="rId1230" ref="J660"/>
    <hyperlink r:id="rId1084" ref="K660"/>
    <hyperlink r:id="rId1231" ref="J661"/>
    <hyperlink r:id="rId1232" ref="K661"/>
    <hyperlink r:id="rId1233" ref="J662"/>
    <hyperlink r:id="rId1234" ref="K662"/>
    <hyperlink r:id="rId1235" ref="J663"/>
    <hyperlink r:id="rId1236" ref="K663"/>
    <hyperlink r:id="rId1237" ref="J664"/>
    <hyperlink r:id="rId1238" ref="K664"/>
    <hyperlink r:id="rId1239" ref="J665"/>
    <hyperlink r:id="rId1240" ref="K665"/>
    <hyperlink r:id="rId1241" ref="J666"/>
    <hyperlink r:id="rId583" ref="K666"/>
    <hyperlink r:id="rId1242" ref="J667"/>
    <hyperlink r:id="rId1243" ref="K667"/>
    <hyperlink r:id="rId1244" ref="J668"/>
    <hyperlink r:id="rId1245" ref="K668"/>
    <hyperlink r:id="rId1246" ref="J669"/>
    <hyperlink r:id="rId1247" ref="K669"/>
    <hyperlink r:id="rId1248" ref="J670"/>
    <hyperlink r:id="rId1249" ref="K670"/>
    <hyperlink r:id="rId1250" ref="J671"/>
    <hyperlink r:id="rId1251" ref="K671"/>
    <hyperlink r:id="rId1252" ref="J672"/>
    <hyperlink r:id="rId1253" ref="K672"/>
    <hyperlink r:id="rId1254" ref="J673"/>
    <hyperlink r:id="rId1255" ref="K673"/>
    <hyperlink r:id="rId1256" ref="J674"/>
    <hyperlink r:id="rId565" ref="K674"/>
    <hyperlink r:id="rId1257" ref="J675"/>
    <hyperlink r:id="rId1258" ref="K675"/>
    <hyperlink r:id="rId1259" ref="J676"/>
    <hyperlink r:id="rId695" ref="K676"/>
    <hyperlink r:id="rId1260" ref="J677"/>
    <hyperlink r:id="rId1261" ref="K677"/>
    <hyperlink r:id="rId1262" ref="J678"/>
    <hyperlink r:id="rId280" ref="K678"/>
    <hyperlink r:id="rId1263" ref="J679"/>
    <hyperlink r:id="rId1264" ref="K679"/>
    <hyperlink r:id="rId1265" ref="J680"/>
    <hyperlink r:id="rId784" ref="K680"/>
    <hyperlink r:id="rId1266" ref="E681"/>
    <hyperlink r:id="rId1267" ref="J681"/>
    <hyperlink r:id="rId1268" ref="K681"/>
    <hyperlink r:id="rId1269" ref="J682"/>
    <hyperlink r:id="rId1270" ref="K682"/>
    <hyperlink r:id="rId1271" ref="J683"/>
    <hyperlink r:id="rId1272" ref="K683"/>
    <hyperlink r:id="rId1273" ref="J684"/>
    <hyperlink r:id="rId1274" ref="K684"/>
    <hyperlink r:id="rId1275" ref="J685"/>
    <hyperlink r:id="rId1276" ref="K685"/>
    <hyperlink r:id="rId1277" ref="J686"/>
    <hyperlink r:id="rId1278" ref="K686"/>
    <hyperlink r:id="rId1279" ref="J687"/>
    <hyperlink r:id="rId1280" ref="K687"/>
    <hyperlink r:id="rId1281" ref="J688"/>
    <hyperlink r:id="rId619" ref="K688"/>
    <hyperlink r:id="rId1282" ref="J689"/>
    <hyperlink r:id="rId1283" ref="K689"/>
    <hyperlink r:id="rId1284" ref="J690"/>
    <hyperlink r:id="rId1285" ref="K690"/>
    <hyperlink r:id="rId1286" ref="J691"/>
    <hyperlink r:id="rId1287" ref="K691"/>
    <hyperlink r:id="rId1288" ref="J692"/>
    <hyperlink r:id="rId1289" ref="K692"/>
    <hyperlink r:id="rId1290" ref="J693"/>
    <hyperlink r:id="rId1291" ref="K693"/>
    <hyperlink r:id="rId1292" ref="J694"/>
    <hyperlink r:id="rId1293" ref="K694"/>
    <hyperlink r:id="rId1294" ref="J695"/>
    <hyperlink r:id="rId1295" ref="K695"/>
    <hyperlink r:id="rId1296" ref="J696"/>
    <hyperlink r:id="rId1024" ref="K696"/>
    <hyperlink r:id="rId1297" ref="J697"/>
    <hyperlink r:id="rId262" ref="K697"/>
    <hyperlink r:id="rId1298" ref="J698"/>
    <hyperlink r:id="rId127" ref="K698"/>
    <hyperlink r:id="rId1299" ref="J699"/>
    <hyperlink r:id="rId1300" ref="K699"/>
    <hyperlink r:id="rId1301" ref="J700"/>
    <hyperlink r:id="rId1302" ref="K700"/>
    <hyperlink r:id="rId1303" ref="J701"/>
    <hyperlink r:id="rId1304" ref="K701"/>
    <hyperlink r:id="rId1305" ref="J702"/>
    <hyperlink r:id="rId1306" ref="K702"/>
    <hyperlink r:id="rId1307" ref="J703"/>
    <hyperlink r:id="rId1308" ref="K703"/>
    <hyperlink r:id="rId1309" ref="J704"/>
    <hyperlink r:id="rId1310" ref="K704"/>
    <hyperlink r:id="rId1311" ref="J705"/>
    <hyperlink r:id="rId1312" ref="K705"/>
    <hyperlink r:id="rId1313" ref="J706"/>
    <hyperlink r:id="rId1314" ref="K706"/>
    <hyperlink r:id="rId1315" ref="J707"/>
    <hyperlink r:id="rId1316" ref="K707"/>
    <hyperlink r:id="rId1317" ref="J708"/>
    <hyperlink r:id="rId1318" ref="K708"/>
    <hyperlink r:id="rId1319" ref="J709"/>
    <hyperlink r:id="rId1320" ref="K709"/>
    <hyperlink r:id="rId1321" ref="J710"/>
    <hyperlink r:id="rId479" ref="K710"/>
    <hyperlink r:id="rId1322" ref="J711"/>
    <hyperlink r:id="rId1228" ref="K711"/>
    <hyperlink r:id="rId1323" ref="J712"/>
    <hyperlink r:id="rId1324" ref="K712"/>
    <hyperlink r:id="rId1325" ref="J713"/>
    <hyperlink r:id="rId1326" ref="K713"/>
    <hyperlink r:id="rId1327" ref="J714"/>
    <hyperlink r:id="rId1328" ref="K714"/>
    <hyperlink r:id="rId1329" ref="J715"/>
    <hyperlink r:id="rId1330" ref="K715"/>
    <hyperlink r:id="rId1331" ref="J716"/>
    <hyperlink r:id="rId366" ref="K716"/>
    <hyperlink r:id="rId1332" ref="J717"/>
    <hyperlink r:id="rId1333" ref="K717"/>
    <hyperlink r:id="rId1334" ref="J718"/>
    <hyperlink r:id="rId1335" ref="K718"/>
    <hyperlink r:id="rId1336" ref="J719"/>
    <hyperlink r:id="rId2" ref="K719"/>
    <hyperlink r:id="rId1337" ref="J720"/>
    <hyperlink r:id="rId1193" ref="K720"/>
    <hyperlink r:id="rId1338" ref="J721"/>
    <hyperlink r:id="rId1293" ref="K721"/>
    <hyperlink r:id="rId1339" ref="J722"/>
    <hyperlink r:id="rId936" ref="K722"/>
    <hyperlink r:id="rId1340" ref="J723"/>
    <hyperlink r:id="rId1341" ref="K723"/>
    <hyperlink r:id="rId1342" ref="J724"/>
    <hyperlink r:id="rId1343" ref="K724"/>
    <hyperlink r:id="rId1344" ref="J725"/>
    <hyperlink r:id="rId1345" ref="K725"/>
    <hyperlink r:id="rId1346" ref="J726"/>
    <hyperlink r:id="rId1347" ref="K726"/>
    <hyperlink r:id="rId1348" ref="J727"/>
    <hyperlink r:id="rId850" ref="K727"/>
    <hyperlink r:id="rId1349" ref="J728"/>
    <hyperlink r:id="rId1350" ref="K728"/>
    <hyperlink r:id="rId1351" ref="J729"/>
    <hyperlink r:id="rId1352" ref="K729"/>
    <hyperlink r:id="rId1353" ref="J730"/>
    <hyperlink r:id="rId1354" ref="K730"/>
    <hyperlink r:id="rId1355" ref="J731"/>
    <hyperlink r:id="rId1356" ref="K731"/>
    <hyperlink r:id="rId1357" ref="J732"/>
    <hyperlink r:id="rId1358" ref="K732"/>
    <hyperlink r:id="rId1359" ref="J733"/>
    <hyperlink r:id="rId1360" ref="K733"/>
    <hyperlink r:id="rId1361" ref="J734"/>
    <hyperlink r:id="rId1362" ref="K734"/>
    <hyperlink r:id="rId1363" ref="J735"/>
    <hyperlink r:id="rId1364" ref="K735"/>
    <hyperlink r:id="rId1365" ref="J736"/>
    <hyperlink r:id="rId1366" ref="K736"/>
    <hyperlink r:id="rId1367" ref="J737"/>
    <hyperlink r:id="rId1368" ref="K737"/>
    <hyperlink r:id="rId1369" ref="J738"/>
    <hyperlink r:id="rId1011" ref="K738"/>
    <hyperlink r:id="rId1370" ref="J739"/>
    <hyperlink r:id="rId1371" ref="K739"/>
    <hyperlink r:id="rId1372" ref="J740"/>
    <hyperlink r:id="rId1373" ref="K740"/>
    <hyperlink r:id="rId1374" ref="J741"/>
    <hyperlink r:id="rId222" ref="K741"/>
    <hyperlink r:id="rId1375" ref="J742"/>
    <hyperlink r:id="rId1376" ref="K742"/>
    <hyperlink r:id="rId1377" ref="J743"/>
    <hyperlink r:id="rId983" ref="K743"/>
    <hyperlink r:id="rId1378" ref="J744"/>
    <hyperlink r:id="rId1379" ref="K744"/>
    <hyperlink r:id="rId1380" ref="J745"/>
    <hyperlink r:id="rId1381" ref="K745"/>
    <hyperlink r:id="rId1382" ref="J746"/>
    <hyperlink r:id="rId1383" ref="K746"/>
    <hyperlink r:id="rId1384" ref="J747"/>
    <hyperlink r:id="rId1385" ref="K747"/>
    <hyperlink r:id="rId1386" ref="J748"/>
    <hyperlink r:id="rId1387" ref="K748"/>
    <hyperlink r:id="rId1388" ref="J749"/>
    <hyperlink r:id="rId989" ref="K749"/>
    <hyperlink r:id="rId1389" ref="J750"/>
    <hyperlink r:id="rId294" ref="K750"/>
    <hyperlink r:id="rId1390" ref="J751"/>
    <hyperlink r:id="rId1391" ref="K751"/>
    <hyperlink r:id="rId1392" ref="J752"/>
    <hyperlink r:id="rId1393" ref="K752"/>
    <hyperlink r:id="rId1394" ref="J753"/>
    <hyperlink r:id="rId1395" ref="K753"/>
    <hyperlink r:id="rId1396" ref="J754"/>
    <hyperlink r:id="rId1397" ref="K754"/>
    <hyperlink r:id="rId1398" ref="J755"/>
    <hyperlink r:id="rId1399" ref="K755"/>
    <hyperlink r:id="rId1400" ref="J756"/>
    <hyperlink r:id="rId1401" ref="K756"/>
    <hyperlink r:id="rId1402" ref="J757"/>
    <hyperlink r:id="rId93" ref="K757"/>
    <hyperlink r:id="rId1403" ref="J758"/>
    <hyperlink r:id="rId1404" ref="K758"/>
    <hyperlink r:id="rId1405" ref="J759"/>
    <hyperlink r:id="rId1406" ref="K759"/>
    <hyperlink r:id="rId1407" ref="J760"/>
    <hyperlink r:id="rId1408" ref="K760"/>
    <hyperlink r:id="rId1409" ref="J761"/>
    <hyperlink r:id="rId1410" ref="K761"/>
    <hyperlink r:id="rId1411" ref="J762"/>
    <hyperlink r:id="rId1412" ref="K762"/>
    <hyperlink r:id="rId1413" ref="J763"/>
    <hyperlink r:id="rId1414" ref="K763"/>
    <hyperlink r:id="rId1415" ref="J764"/>
    <hyperlink r:id="rId1416" ref="K764"/>
    <hyperlink r:id="rId1417" ref="J765"/>
    <hyperlink r:id="rId1418" ref="K765"/>
    <hyperlink r:id="rId1419" ref="J766"/>
    <hyperlink r:id="rId1420" ref="K766"/>
    <hyperlink r:id="rId1421" ref="J767"/>
    <hyperlink r:id="rId1422" ref="K767"/>
    <hyperlink r:id="rId1423" ref="J768"/>
    <hyperlink r:id="rId1424" ref="K768"/>
    <hyperlink r:id="rId1425" ref="J769"/>
    <hyperlink r:id="rId1426" ref="K769"/>
    <hyperlink r:id="rId1427" ref="J770"/>
    <hyperlink r:id="rId1428" ref="K770"/>
    <hyperlink r:id="rId1429" ref="J771"/>
    <hyperlink r:id="rId1430" ref="K771"/>
    <hyperlink r:id="rId1431" ref="J772"/>
    <hyperlink r:id="rId1432" ref="K772"/>
    <hyperlink r:id="rId1433" ref="J773"/>
    <hyperlink r:id="rId1434" ref="K773"/>
    <hyperlink r:id="rId1435" ref="J774"/>
    <hyperlink r:id="rId1436" ref="K774"/>
    <hyperlink r:id="rId1437" ref="J775"/>
    <hyperlink r:id="rId1438" ref="K775"/>
    <hyperlink r:id="rId1439" ref="J776"/>
    <hyperlink r:id="rId1440" ref="K776"/>
    <hyperlink r:id="rId1441" ref="J777"/>
    <hyperlink r:id="rId1442" ref="K777"/>
    <hyperlink r:id="rId1443" ref="J778"/>
    <hyperlink r:id="rId1444" ref="K778"/>
    <hyperlink r:id="rId1445" ref="J779"/>
    <hyperlink r:id="rId1446" ref="K779"/>
    <hyperlink r:id="rId1447" ref="J780"/>
    <hyperlink r:id="rId1448" ref="K780"/>
    <hyperlink r:id="rId1449" ref="J781"/>
    <hyperlink r:id="rId1450" ref="K781"/>
    <hyperlink r:id="rId1451" ref="J782"/>
    <hyperlink r:id="rId1452" ref="K782"/>
    <hyperlink r:id="rId1453" ref="J783"/>
    <hyperlink r:id="rId1454" ref="K783"/>
    <hyperlink r:id="rId1455" ref="J784"/>
    <hyperlink r:id="rId1456" ref="K784"/>
    <hyperlink r:id="rId1457" ref="J785"/>
    <hyperlink r:id="rId1458" ref="K785"/>
    <hyperlink r:id="rId1459" ref="J786"/>
    <hyperlink r:id="rId1460" ref="K786"/>
    <hyperlink r:id="rId1461" ref="J787"/>
    <hyperlink r:id="rId1462" ref="K787"/>
    <hyperlink r:id="rId1463" ref="J788"/>
    <hyperlink r:id="rId1464" ref="K788"/>
    <hyperlink r:id="rId1465" ref="J789"/>
    <hyperlink r:id="rId1466" ref="K789"/>
    <hyperlink r:id="rId1467" ref="J790"/>
    <hyperlink r:id="rId1468" ref="K790"/>
    <hyperlink r:id="rId1469" ref="J791"/>
    <hyperlink r:id="rId1470" ref="K791"/>
    <hyperlink r:id="rId1471" ref="J792"/>
    <hyperlink r:id="rId1472" ref="K792"/>
    <hyperlink r:id="rId1473" ref="J793"/>
    <hyperlink r:id="rId1474" ref="K793"/>
    <hyperlink r:id="rId1475" ref="J794"/>
    <hyperlink r:id="rId1476" ref="K794"/>
    <hyperlink r:id="rId1477" ref="J795"/>
    <hyperlink r:id="rId1478" ref="K795"/>
    <hyperlink r:id="rId1479" ref="J796"/>
    <hyperlink r:id="rId1462" ref="K796"/>
    <hyperlink r:id="rId1480" ref="J797"/>
    <hyperlink r:id="rId1481" ref="K797"/>
    <hyperlink r:id="rId1482" ref="J798"/>
    <hyperlink r:id="rId1420" ref="K798"/>
    <hyperlink r:id="rId1483" ref="J799"/>
    <hyperlink r:id="rId1426" ref="K799"/>
    <hyperlink r:id="rId1484" ref="J800"/>
    <hyperlink r:id="rId1485" ref="K800"/>
    <hyperlink r:id="rId1486" ref="J801"/>
    <hyperlink r:id="rId1487" ref="K801"/>
    <hyperlink r:id="rId1488" ref="J802"/>
    <hyperlink r:id="rId1489" ref="K802"/>
    <hyperlink r:id="rId1490" ref="J803"/>
    <hyperlink r:id="rId1491" ref="K803"/>
    <hyperlink r:id="rId1492" ref="J804"/>
    <hyperlink r:id="rId1493" ref="K804"/>
    <hyperlink r:id="rId1494" ref="J805"/>
    <hyperlink r:id="rId1495" ref="K805"/>
    <hyperlink r:id="rId1496" ref="J806"/>
    <hyperlink r:id="rId1497" ref="K806"/>
    <hyperlink r:id="rId1498" ref="J807"/>
    <hyperlink r:id="rId1499" ref="K807"/>
    <hyperlink r:id="rId1500" ref="J808"/>
    <hyperlink r:id="rId1481" ref="K808"/>
    <hyperlink r:id="rId1501" ref="J809"/>
    <hyperlink r:id="rId1502" ref="K809"/>
    <hyperlink r:id="rId1503" ref="J810"/>
    <hyperlink r:id="rId1504" ref="K810"/>
    <hyperlink r:id="rId1505" ref="J811"/>
    <hyperlink r:id="rId1506" ref="K811"/>
    <hyperlink r:id="rId1507" ref="J812"/>
    <hyperlink r:id="rId1508" ref="K812"/>
    <hyperlink r:id="rId1509" ref="J813"/>
    <hyperlink r:id="rId1510" ref="K813"/>
    <hyperlink r:id="rId1511" ref="J814"/>
    <hyperlink r:id="rId1512" ref="K814"/>
    <hyperlink r:id="rId1513" ref="J815"/>
    <hyperlink r:id="rId1514" ref="K815"/>
    <hyperlink r:id="rId1515" ref="J816"/>
    <hyperlink r:id="rId1516" ref="K816"/>
    <hyperlink r:id="rId1517" ref="J817"/>
    <hyperlink r:id="rId1518" ref="K817"/>
    <hyperlink r:id="rId1519" ref="J818"/>
    <hyperlink r:id="rId1520" ref="K818"/>
    <hyperlink r:id="rId1521" ref="J819"/>
    <hyperlink r:id="rId1522" ref="K819"/>
    <hyperlink r:id="rId1523" ref="J820"/>
    <hyperlink r:id="rId1524" ref="K820"/>
    <hyperlink r:id="rId1525" ref="J821"/>
    <hyperlink r:id="rId1526" ref="K821"/>
    <hyperlink r:id="rId1527" ref="J822"/>
    <hyperlink r:id="rId1528" ref="K822"/>
    <hyperlink r:id="rId1529" ref="J823"/>
    <hyperlink r:id="rId1530" ref="K823"/>
    <hyperlink r:id="rId1531" ref="J824"/>
    <hyperlink r:id="rId1532" ref="K824"/>
    <hyperlink r:id="rId1533" ref="J825"/>
    <hyperlink r:id="rId1534" ref="K825"/>
    <hyperlink r:id="rId1535" ref="J826"/>
    <hyperlink r:id="rId1536" ref="K826"/>
    <hyperlink r:id="rId1537" ref="J827"/>
    <hyperlink r:id="rId1538" ref="K827"/>
    <hyperlink r:id="rId1539" ref="J828"/>
    <hyperlink r:id="rId1540" ref="K828"/>
    <hyperlink r:id="rId1541" ref="J829"/>
    <hyperlink r:id="rId1542" ref="K829"/>
    <hyperlink r:id="rId1543" ref="J830"/>
    <hyperlink r:id="rId1460" ref="K830"/>
    <hyperlink r:id="rId1544" ref="J831"/>
    <hyperlink r:id="rId1545" ref="K831"/>
    <hyperlink r:id="rId1546" ref="J832"/>
    <hyperlink r:id="rId1547" ref="K832"/>
    <hyperlink r:id="rId1548" ref="J833"/>
    <hyperlink r:id="rId1549" ref="K833"/>
    <hyperlink r:id="rId1550" ref="J834"/>
    <hyperlink r:id="rId1551" ref="K834"/>
    <hyperlink r:id="rId1552" ref="J835"/>
    <hyperlink r:id="rId1553" ref="K835"/>
    <hyperlink r:id="rId1554" ref="J836"/>
    <hyperlink r:id="rId1555" ref="K836"/>
    <hyperlink r:id="rId1556" ref="J837"/>
    <hyperlink r:id="rId1549" ref="K837"/>
    <hyperlink r:id="rId1557" ref="J838"/>
    <hyperlink r:id="rId1558" ref="K838"/>
    <hyperlink r:id="rId1559" ref="J839"/>
    <hyperlink r:id="rId1430" ref="K839"/>
    <hyperlink r:id="rId1560" ref="J840"/>
    <hyperlink r:id="rId1561" ref="K840"/>
    <hyperlink r:id="rId1562" ref="J841"/>
    <hyperlink r:id="rId1563" ref="K841"/>
    <hyperlink r:id="rId1564" ref="J842"/>
    <hyperlink r:id="rId1414" ref="K842"/>
    <hyperlink r:id="rId1565" ref="J843"/>
    <hyperlink r:id="rId1497" ref="K843"/>
    <hyperlink r:id="rId1566" ref="J844"/>
    <hyperlink r:id="rId1567" ref="K844"/>
    <hyperlink r:id="rId1568" ref="J845"/>
    <hyperlink r:id="rId1561" ref="K845"/>
    <hyperlink r:id="rId1569" ref="J846"/>
    <hyperlink r:id="rId1570" ref="K846"/>
    <hyperlink r:id="rId1571" ref="J847"/>
    <hyperlink r:id="rId1572" ref="K847"/>
    <hyperlink r:id="rId1573" ref="J848"/>
    <hyperlink r:id="rId1574" ref="K848"/>
    <hyperlink r:id="rId1575" ref="J849"/>
    <hyperlink r:id="rId1576" ref="K849"/>
    <hyperlink r:id="rId1577" ref="J850"/>
    <hyperlink r:id="rId1578" ref="K850"/>
    <hyperlink r:id="rId1579" ref="J851"/>
    <hyperlink r:id="rId1580" ref="K851"/>
    <hyperlink r:id="rId1581" ref="J852"/>
    <hyperlink r:id="rId1582" ref="K852"/>
    <hyperlink r:id="rId1583" ref="J853"/>
    <hyperlink r:id="rId1584" ref="K853"/>
    <hyperlink r:id="rId1585" ref="J854"/>
    <hyperlink r:id="rId1586" ref="K854"/>
    <hyperlink r:id="rId1587" ref="J855"/>
    <hyperlink r:id="rId1588" ref="K855"/>
    <hyperlink r:id="rId1589" ref="J856"/>
    <hyperlink r:id="rId1590" ref="K856"/>
    <hyperlink r:id="rId1591" ref="J857"/>
    <hyperlink r:id="rId1592" ref="K857"/>
    <hyperlink r:id="rId1593" ref="J858"/>
    <hyperlink r:id="rId1594" ref="K858"/>
    <hyperlink r:id="rId1595" ref="J859"/>
    <hyperlink r:id="rId1596" ref="K859"/>
    <hyperlink r:id="rId1597" ref="J860"/>
    <hyperlink r:id="rId1598" ref="K860"/>
    <hyperlink r:id="rId1599" ref="J861"/>
    <hyperlink r:id="rId1481" ref="K861"/>
    <hyperlink r:id="rId1600" ref="J862"/>
    <hyperlink r:id="rId1601" ref="K862"/>
    <hyperlink r:id="rId1602" ref="J863"/>
    <hyperlink r:id="rId1603" ref="K863"/>
    <hyperlink r:id="rId1604" ref="J864"/>
    <hyperlink r:id="rId1605" ref="K864"/>
    <hyperlink r:id="rId1606" ref="J865"/>
    <hyperlink r:id="rId1526" ref="K865"/>
    <hyperlink r:id="rId1607" ref="J866"/>
    <hyperlink r:id="rId1588" ref="K866"/>
    <hyperlink r:id="rId1608" ref="J867"/>
    <hyperlink r:id="rId1609" ref="K867"/>
    <hyperlink r:id="rId1610" ref="J868"/>
    <hyperlink r:id="rId1611" ref="K868"/>
    <hyperlink r:id="rId1612" ref="J869"/>
    <hyperlink r:id="rId1613" ref="K869"/>
    <hyperlink r:id="rId1614" ref="J870"/>
    <hyperlink r:id="rId1615" ref="K870"/>
    <hyperlink r:id="rId1616" ref="J871"/>
    <hyperlink r:id="rId1617" ref="K871"/>
    <hyperlink r:id="rId1618" ref="J872"/>
    <hyperlink r:id="rId1619" ref="K872"/>
    <hyperlink r:id="rId1620" ref="J873"/>
    <hyperlink r:id="rId1497" ref="K873"/>
    <hyperlink r:id="rId1621" ref="J874"/>
    <hyperlink r:id="rId1504" ref="K874"/>
    <hyperlink r:id="rId1622" ref="J875"/>
    <hyperlink r:id="rId1623" ref="K875"/>
    <hyperlink r:id="rId1624" ref="J876"/>
    <hyperlink r:id="rId1625" ref="K876"/>
    <hyperlink r:id="rId1626" ref="J877"/>
    <hyperlink r:id="rId1627" ref="K877"/>
    <hyperlink r:id="rId1628" ref="J878"/>
    <hyperlink r:id="rId1629" ref="K878"/>
    <hyperlink r:id="rId1630" ref="J879"/>
    <hyperlink r:id="rId1631" ref="K879"/>
    <hyperlink r:id="rId1632" ref="J880"/>
    <hyperlink r:id="rId1633" ref="K880"/>
    <hyperlink r:id="rId1634" ref="J881"/>
    <hyperlink r:id="rId1635" ref="K881"/>
    <hyperlink r:id="rId1636" ref="J882"/>
    <hyperlink r:id="rId1637" ref="K882"/>
    <hyperlink r:id="rId1638" ref="J883"/>
    <hyperlink r:id="rId1639" ref="K883"/>
    <hyperlink r:id="rId1640" ref="J884"/>
    <hyperlink r:id="rId1641" ref="K884"/>
    <hyperlink r:id="rId1642" ref="J885"/>
    <hyperlink r:id="rId1434" ref="K885"/>
    <hyperlink r:id="rId1643" ref="J886"/>
    <hyperlink r:id="rId1644" ref="K886"/>
    <hyperlink r:id="rId1645" ref="J887"/>
    <hyperlink r:id="rId1545" ref="K887"/>
    <hyperlink r:id="rId1646" ref="J888"/>
    <hyperlink r:id="rId1647" ref="K888"/>
    <hyperlink r:id="rId1648" ref="J889"/>
    <hyperlink r:id="rId1649" ref="K889"/>
    <hyperlink r:id="rId1650" ref="J890"/>
    <hyperlink r:id="rId1651" ref="K890"/>
    <hyperlink r:id="rId1652" ref="E891"/>
    <hyperlink r:id="rId1653" ref="J891"/>
    <hyperlink r:id="rId1654" ref="K891"/>
    <hyperlink r:id="rId1655" ref="J892"/>
    <hyperlink r:id="rId1656" ref="K892"/>
    <hyperlink r:id="rId1657" ref="J893"/>
    <hyperlink r:id="rId1476" ref="K893"/>
    <hyperlink r:id="rId1658" ref="J894"/>
    <hyperlink r:id="rId1659" ref="K894"/>
    <hyperlink r:id="rId1660" ref="J895"/>
    <hyperlink r:id="rId1661" ref="K895"/>
    <hyperlink r:id="rId1662" ref="J896"/>
    <hyperlink r:id="rId1663" ref="K896"/>
    <hyperlink r:id="rId1664" ref="J897"/>
    <hyperlink r:id="rId1665" ref="K897"/>
    <hyperlink r:id="rId1666" ref="J898"/>
    <hyperlink r:id="rId1667" ref="K898"/>
    <hyperlink r:id="rId1668" ref="J899"/>
    <hyperlink r:id="rId1669" ref="K899"/>
    <hyperlink r:id="rId1670" ref="J900"/>
    <hyperlink r:id="rId1671" ref="K900"/>
    <hyperlink r:id="rId1672" ref="J901"/>
    <hyperlink r:id="rId1673" ref="K901"/>
    <hyperlink r:id="rId1674" ref="J902"/>
    <hyperlink r:id="rId1462" ref="K902"/>
    <hyperlink r:id="rId1675" ref="J903"/>
    <hyperlink r:id="rId1676" ref="K903"/>
    <hyperlink r:id="rId1677" ref="J904"/>
    <hyperlink r:id="rId1418" ref="K904"/>
    <hyperlink r:id="rId1678" ref="J905"/>
    <hyperlink r:id="rId1679" ref="K905"/>
    <hyperlink r:id="rId1680" ref="J906"/>
    <hyperlink r:id="rId1681" ref="K906"/>
    <hyperlink r:id="rId1682" ref="J907"/>
    <hyperlink r:id="rId1683" ref="K907"/>
    <hyperlink r:id="rId1684" ref="J908"/>
    <hyperlink r:id="rId1685" ref="K908"/>
    <hyperlink r:id="rId1686" ref="J909"/>
    <hyperlink r:id="rId1687" ref="K909"/>
    <hyperlink r:id="rId1688" ref="J910"/>
    <hyperlink r:id="rId1689" ref="K910"/>
    <hyperlink r:id="rId1690" ref="J911"/>
    <hyperlink r:id="rId1691" ref="K911"/>
    <hyperlink r:id="rId1692" ref="J912"/>
    <hyperlink r:id="rId1693" ref="K912"/>
    <hyperlink r:id="rId1694" ref="J913"/>
    <hyperlink r:id="rId1693" ref="K913"/>
    <hyperlink r:id="rId1695" ref="J914"/>
    <hyperlink r:id="rId1696" ref="K914"/>
    <hyperlink r:id="rId1697" ref="J915"/>
    <hyperlink r:id="rId1698" ref="K915"/>
    <hyperlink r:id="rId1699" ref="J916"/>
    <hyperlink r:id="rId1700" ref="K916"/>
    <hyperlink r:id="rId1701" ref="J917"/>
    <hyperlink r:id="rId1702" ref="K917"/>
    <hyperlink r:id="rId1703" ref="J918"/>
    <hyperlink r:id="rId1704" ref="K918"/>
    <hyperlink r:id="rId1705" ref="J919"/>
    <hyperlink r:id="rId1706" ref="K919"/>
    <hyperlink r:id="rId1707" ref="J920"/>
    <hyperlink r:id="rId1708" ref="K920"/>
    <hyperlink r:id="rId1709" ref="J921"/>
    <hyperlink r:id="rId1710" ref="K921"/>
    <hyperlink r:id="rId1711" ref="J922"/>
    <hyperlink r:id="rId1712" ref="K922"/>
    <hyperlink r:id="rId1713" ref="J923"/>
    <hyperlink r:id="rId1714" ref="K923"/>
    <hyperlink r:id="rId1715" ref="J924"/>
    <hyperlink r:id="rId1716" ref="K924"/>
    <hyperlink r:id="rId1717" ref="J925"/>
    <hyperlink r:id="rId1718" ref="K925"/>
    <hyperlink r:id="rId1719" ref="J926"/>
    <hyperlink r:id="rId1720" ref="K926"/>
    <hyperlink r:id="rId1721" ref="J927"/>
    <hyperlink r:id="rId1696" ref="K927"/>
    <hyperlink r:id="rId1722" ref="J928"/>
    <hyperlink r:id="rId1723" ref="K928"/>
    <hyperlink r:id="rId1724" ref="J929"/>
    <hyperlink r:id="rId1725" ref="K929"/>
    <hyperlink r:id="rId1726" ref="J930"/>
    <hyperlink r:id="rId1727" ref="K930"/>
    <hyperlink r:id="rId1728" ref="J931"/>
    <hyperlink r:id="rId1729" ref="K931"/>
    <hyperlink r:id="rId1730" ref="J932"/>
    <hyperlink r:id="rId1731" ref="K932"/>
    <hyperlink r:id="rId1732" ref="J933"/>
    <hyperlink r:id="rId1733" ref="K933"/>
    <hyperlink r:id="rId1734" ref="J934"/>
    <hyperlink r:id="rId1735" ref="K934"/>
    <hyperlink r:id="rId1736" ref="J935"/>
    <hyperlink r:id="rId1737" ref="K935"/>
    <hyperlink r:id="rId1738" ref="J936"/>
    <hyperlink r:id="rId1739" ref="K936"/>
    <hyperlink r:id="rId1740" ref="J937"/>
    <hyperlink r:id="rId1741" ref="K937"/>
    <hyperlink r:id="rId1742" ref="J938"/>
    <hyperlink r:id="rId1743" ref="K938"/>
    <hyperlink r:id="rId1744" ref="J939"/>
    <hyperlink r:id="rId1745" ref="K939"/>
    <hyperlink r:id="rId1746" ref="J940"/>
    <hyperlink r:id="rId1747" ref="K940"/>
    <hyperlink r:id="rId700" ref="J941"/>
    <hyperlink r:id="rId1748" ref="K941"/>
    <hyperlink r:id="rId1749" ref="J942"/>
    <hyperlink r:id="rId1750" ref="K942"/>
    <hyperlink r:id="rId1751" ref="J943"/>
    <hyperlink r:id="rId1752" ref="K943"/>
    <hyperlink r:id="rId1753" ref="J944"/>
    <hyperlink r:id="rId1754" ref="K944"/>
    <hyperlink r:id="rId1755" ref="J945"/>
    <hyperlink r:id="rId1756" ref="K945"/>
    <hyperlink r:id="rId1757" ref="J946"/>
    <hyperlink r:id="rId1758" ref="K946"/>
    <hyperlink r:id="rId1759" ref="J947"/>
    <hyperlink r:id="rId1760" ref="K947"/>
    <hyperlink r:id="rId1761" ref="J948"/>
    <hyperlink r:id="rId1762" ref="K948"/>
    <hyperlink r:id="rId1763" ref="J949"/>
    <hyperlink r:id="rId1764" ref="K949"/>
    <hyperlink r:id="rId1765" ref="J950"/>
    <hyperlink r:id="rId1766" ref="K950"/>
    <hyperlink r:id="rId1767" ref="J951"/>
    <hyperlink r:id="rId1768" ref="K951"/>
    <hyperlink r:id="rId1769" ref="J952"/>
    <hyperlink r:id="rId1770" ref="K952"/>
    <hyperlink r:id="rId1771" ref="J953"/>
    <hyperlink r:id="rId1772" ref="K953"/>
    <hyperlink r:id="rId1773" ref="J954"/>
    <hyperlink r:id="rId1774" ref="K954"/>
    <hyperlink r:id="rId1775" ref="J955"/>
    <hyperlink r:id="rId1776" ref="K955"/>
    <hyperlink r:id="rId1777" ref="J956"/>
    <hyperlink r:id="rId1778" ref="K956"/>
    <hyperlink r:id="rId1779" ref="J957"/>
    <hyperlink r:id="rId1780" ref="K957"/>
    <hyperlink r:id="rId1781" ref="J958"/>
    <hyperlink r:id="rId1782" ref="K958"/>
    <hyperlink r:id="rId1209" ref="J959"/>
    <hyperlink r:id="rId1783" ref="K959"/>
    <hyperlink r:id="rId1784" ref="J960"/>
    <hyperlink r:id="rId1785" ref="K960"/>
    <hyperlink r:id="rId1786" ref="J961"/>
    <hyperlink r:id="rId1787" ref="K961"/>
    <hyperlink r:id="rId1788" ref="J962"/>
    <hyperlink r:id="rId1789" ref="K962"/>
    <hyperlink r:id="rId1790" ref="J963"/>
    <hyperlink r:id="rId1791" ref="K963"/>
    <hyperlink r:id="rId1792" ref="J964"/>
    <hyperlink r:id="rId1793" ref="K964"/>
    <hyperlink r:id="rId1794" ref="J965"/>
    <hyperlink r:id="rId1787" ref="K965"/>
    <hyperlink r:id="rId1795" ref="E966"/>
    <hyperlink r:id="rId1796" ref="J966"/>
    <hyperlink r:id="rId1797" ref="K966"/>
    <hyperlink r:id="rId1798" ref="J967"/>
    <hyperlink r:id="rId1799" ref="K967"/>
    <hyperlink r:id="rId1800" ref="J968"/>
    <hyperlink r:id="rId1801" ref="K968"/>
    <hyperlink r:id="rId1802" ref="J969"/>
    <hyperlink r:id="rId1803" ref="K969"/>
    <hyperlink r:id="rId1804" ref="J970"/>
    <hyperlink r:id="rId1805" ref="K970"/>
    <hyperlink r:id="rId1806" ref="J971"/>
    <hyperlink r:id="rId1807" ref="K971"/>
    <hyperlink r:id="rId1808" ref="J972"/>
    <hyperlink r:id="rId1809" ref="K972"/>
    <hyperlink r:id="rId1810" ref="J973"/>
    <hyperlink r:id="rId1782" ref="K973"/>
    <hyperlink r:id="rId1811" ref="J974"/>
    <hyperlink r:id="rId1812" ref="K974"/>
    <hyperlink r:id="rId464" ref="J975"/>
    <hyperlink r:id="rId1813" ref="K975"/>
    <hyperlink r:id="rId1814" ref="J976"/>
    <hyperlink r:id="rId1815" ref="K976"/>
    <hyperlink r:id="rId1816" ref="J977"/>
    <hyperlink r:id="rId1817" ref="K977"/>
    <hyperlink r:id="rId1818" ref="J978"/>
    <hyperlink r:id="rId1819" ref="K978"/>
    <hyperlink r:id="rId1820" ref="J979"/>
    <hyperlink r:id="rId1754" ref="K979"/>
    <hyperlink r:id="rId1821" ref="J980"/>
    <hyperlink r:id="rId1822" ref="K980"/>
    <hyperlink r:id="rId1823" ref="J981"/>
    <hyperlink r:id="rId1824" ref="K981"/>
    <hyperlink r:id="rId1825" ref="J982"/>
    <hyperlink r:id="rId1826" ref="K982"/>
    <hyperlink r:id="rId1827" ref="J983"/>
    <hyperlink r:id="rId1828" ref="K983"/>
    <hyperlink r:id="rId1829" ref="J984"/>
    <hyperlink r:id="rId1772" ref="K984"/>
    <hyperlink r:id="rId1830" ref="J985"/>
    <hyperlink r:id="rId1831" ref="K985"/>
    <hyperlink r:id="rId1832" ref="J986"/>
    <hyperlink r:id="rId1833" ref="K986"/>
    <hyperlink r:id="rId1834" ref="J987"/>
    <hyperlink r:id="rId1815" ref="K987"/>
    <hyperlink r:id="rId1263" ref="J988"/>
    <hyperlink r:id="rId1835" ref="K988"/>
    <hyperlink r:id="rId1836" ref="J989"/>
    <hyperlink r:id="rId1837" ref="K989"/>
    <hyperlink r:id="rId1838" ref="J990"/>
    <hyperlink r:id="rId1839" ref="K990"/>
    <hyperlink r:id="rId1840" ref="J991"/>
    <hyperlink r:id="rId1841" ref="K991"/>
    <hyperlink r:id="rId1842" ref="J992"/>
    <hyperlink r:id="rId1843" ref="K992"/>
    <hyperlink r:id="rId1844" ref="J993"/>
    <hyperlink r:id="rId1845" ref="K993"/>
    <hyperlink r:id="rId1846" ref="J994"/>
    <hyperlink r:id="rId1847" ref="K994"/>
    <hyperlink r:id="rId1848" ref="J995"/>
    <hyperlink r:id="rId1809" ref="K995"/>
    <hyperlink r:id="rId156" ref="J996"/>
    <hyperlink r:id="rId1813" ref="K996"/>
    <hyperlink r:id="rId1849" ref="J997"/>
    <hyperlink r:id="rId1850" ref="K997"/>
    <hyperlink r:id="rId1851" ref="J998"/>
    <hyperlink r:id="rId1852" ref="K998"/>
    <hyperlink r:id="rId1853" ref="J999"/>
    <hyperlink r:id="rId1854" ref="K999"/>
    <hyperlink r:id="rId1855" ref="J1000"/>
    <hyperlink r:id="rId1856" ref="K1000"/>
    <hyperlink r:id="rId1857" ref="J1001"/>
    <hyperlink r:id="rId1852" ref="K1001"/>
    <hyperlink r:id="rId1858" ref="J1002"/>
    <hyperlink r:id="rId1859" ref="K1002"/>
    <hyperlink r:id="rId1860" ref="J1003"/>
    <hyperlink r:id="rId1861" ref="K1003"/>
    <hyperlink r:id="rId1862" ref="J1004"/>
    <hyperlink r:id="rId1863" ref="K1004"/>
    <hyperlink r:id="rId1864" ref="J1005"/>
    <hyperlink r:id="rId1865" ref="K1005"/>
    <hyperlink r:id="rId1866" ref="J1006"/>
    <hyperlink r:id="rId1824" ref="K1006"/>
    <hyperlink r:id="rId1867" ref="J1007"/>
    <hyperlink r:id="rId1868" ref="K1007"/>
    <hyperlink r:id="rId1869" ref="J1008"/>
    <hyperlink r:id="rId1870" ref="K1008"/>
    <hyperlink r:id="rId1871" ref="J1009"/>
    <hyperlink r:id="rId1868" ref="K1009"/>
    <hyperlink r:id="rId1079" ref="J1010"/>
    <hyperlink r:id="rId1872" ref="K1010"/>
    <hyperlink r:id="rId1873" ref="J1011"/>
    <hyperlink r:id="rId1817" ref="K1011"/>
    <hyperlink r:id="rId1874" ref="J1012"/>
    <hyperlink r:id="rId1812" ref="K1012"/>
    <hyperlink r:id="rId1875" ref="J1013"/>
    <hyperlink r:id="rId1876" ref="K1013"/>
    <hyperlink r:id="rId1877" ref="J1014"/>
    <hyperlink r:id="rId1835" ref="K1014"/>
    <hyperlink r:id="rId1090" ref="J1015"/>
    <hyperlink r:id="rId1878" ref="K1015"/>
    <hyperlink r:id="rId1879" ref="J1016"/>
    <hyperlink r:id="rId1822" ref="K1016"/>
    <hyperlink r:id="rId1880" ref="J1017"/>
    <hyperlink r:id="rId1881" ref="K1017"/>
    <hyperlink r:id="rId1882" ref="J1018"/>
    <hyperlink r:id="rId1883" ref="K1018"/>
    <hyperlink r:id="rId1884" ref="J1019"/>
    <hyperlink r:id="rId1885" ref="K1019"/>
    <hyperlink r:id="rId1886" ref="J1020"/>
    <hyperlink r:id="rId1887" ref="K1020"/>
    <hyperlink r:id="rId753" ref="J1021"/>
    <hyperlink r:id="rId1888" ref="K1021"/>
    <hyperlink r:id="rId958" ref="J1022"/>
    <hyperlink r:id="rId1889" ref="K1022"/>
    <hyperlink r:id="rId1890" ref="J1023"/>
    <hyperlink r:id="rId1819" ref="K1023"/>
    <hyperlink r:id="rId1891" ref="J1024"/>
    <hyperlink r:id="rId1892" ref="K1024"/>
    <hyperlink r:id="rId1893" ref="J1025"/>
    <hyperlink r:id="rId1754" ref="K1025"/>
    <hyperlink r:id="rId1894" ref="J1026"/>
    <hyperlink r:id="rId1895" ref="K1026"/>
    <hyperlink r:id="rId1896" ref="J1027"/>
    <hyperlink r:id="rId1897" ref="K1027"/>
    <hyperlink r:id="rId1898" ref="J1028"/>
    <hyperlink r:id="rId1899" ref="K1028"/>
    <hyperlink r:id="rId1900" ref="J1029"/>
    <hyperlink r:id="rId1776" ref="K1029"/>
    <hyperlink r:id="rId1901" ref="J1030"/>
    <hyperlink r:id="rId1902" ref="K1030"/>
    <hyperlink r:id="rId1903" ref="J1031"/>
    <hyperlink r:id="rId1758" ref="K1031"/>
    <hyperlink r:id="rId1904" ref="J1032"/>
    <hyperlink r:id="rId1905" ref="K1032"/>
    <hyperlink r:id="rId1906" ref="J1033"/>
    <hyperlink r:id="rId1907" ref="K1033"/>
    <hyperlink r:id="rId682" ref="J1034"/>
    <hyperlink r:id="rId1908" ref="K1034"/>
    <hyperlink r:id="rId1909" ref="J1035"/>
    <hyperlink r:id="rId1764" ref="K1035"/>
    <hyperlink r:id="rId1910" ref="J1036"/>
    <hyperlink r:id="rId1911" ref="K1036"/>
    <hyperlink r:id="rId1912" ref="J1037"/>
    <hyperlink r:id="rId1913" ref="K1037"/>
    <hyperlink r:id="rId1914" ref="J1038"/>
    <hyperlink r:id="rId1915" ref="K1038"/>
    <hyperlink r:id="rId1089" ref="J1039"/>
    <hyperlink r:id="rId1908" ref="K1039"/>
    <hyperlink r:id="rId1916" ref="J1040"/>
    <hyperlink r:id="rId1780" ref="K1040"/>
    <hyperlink r:id="rId1917" ref="J1041"/>
    <hyperlink r:id="rId1918" ref="K1041"/>
    <hyperlink r:id="rId1919" ref="J1042"/>
    <hyperlink r:id="rId1809" ref="K1042"/>
    <hyperlink r:id="rId1920" ref="J1043"/>
    <hyperlink r:id="rId1921" ref="K1043"/>
    <hyperlink r:id="rId1922" ref="J1044"/>
    <hyperlink r:id="rId1923" ref="K1044"/>
    <hyperlink r:id="rId1924" ref="J1045"/>
    <hyperlink r:id="rId1925" ref="K1045"/>
    <hyperlink r:id="rId1926" ref="J1046"/>
    <hyperlink r:id="rId1927" ref="K1046"/>
    <hyperlink r:id="rId1928" ref="J1047"/>
    <hyperlink r:id="rId1780" ref="K1047"/>
    <hyperlink r:id="rId1929" ref="J1048"/>
    <hyperlink r:id="rId1837" ref="K1048"/>
    <hyperlink r:id="rId1930" ref="J1049"/>
    <hyperlink r:id="rId1931" ref="K1049"/>
    <hyperlink r:id="rId1932" ref="J1050"/>
    <hyperlink r:id="rId1933" ref="K1050"/>
    <hyperlink r:id="rId1934" ref="J1051"/>
    <hyperlink r:id="rId1935" ref="K1051"/>
    <hyperlink r:id="rId1936" ref="J1052"/>
    <hyperlink r:id="rId1937" ref="K1052"/>
    <hyperlink r:id="rId1938" ref="J1053"/>
    <hyperlink r:id="rId1747" ref="K1053"/>
    <hyperlink r:id="rId1939" ref="J1054"/>
    <hyperlink r:id="rId1940" ref="K1054"/>
    <hyperlink r:id="rId1941" ref="J1055"/>
    <hyperlink r:id="rId1942" ref="K1055"/>
    <hyperlink r:id="rId1943" ref="J1056"/>
    <hyperlink r:id="rId1841" ref="K1056"/>
    <hyperlink r:id="rId1944" ref="J1057"/>
    <hyperlink r:id="rId1839" ref="K1057"/>
    <hyperlink r:id="rId1945" ref="J1058"/>
    <hyperlink r:id="rId1946" ref="K1058"/>
    <hyperlink r:id="rId1947" ref="J1059"/>
    <hyperlink r:id="rId1925" ref="K1059"/>
    <hyperlink r:id="rId1948" ref="J1060"/>
    <hyperlink r:id="rId1949" ref="K1060"/>
    <hyperlink r:id="rId1950" ref="J1061"/>
    <hyperlink r:id="rId1951" ref="K1061"/>
    <hyperlink r:id="rId1952" ref="J1062"/>
    <hyperlink r:id="rId1913" ref="K1062"/>
    <hyperlink r:id="rId1953" ref="J1063"/>
    <hyperlink r:id="rId1954" ref="K1063"/>
    <hyperlink r:id="rId1955" ref="J1064"/>
    <hyperlink r:id="rId1956" ref="K1064"/>
    <hyperlink r:id="rId1957" ref="J1065"/>
    <hyperlink r:id="rId1780" ref="K1065"/>
    <hyperlink r:id="rId1958" ref="J1066"/>
    <hyperlink r:id="rId1758" ref="K1066"/>
    <hyperlink r:id="rId1959" ref="J1067"/>
    <hyperlink r:id="rId1960" ref="K1067"/>
    <hyperlink r:id="rId1961" ref="J1068"/>
    <hyperlink r:id="rId1835" ref="K1068"/>
    <hyperlink r:id="rId1962" ref="J1069"/>
    <hyperlink r:id="rId1963" ref="K1069"/>
    <hyperlink r:id="rId1964" ref="J1070"/>
    <hyperlink r:id="rId1965" ref="K1070"/>
    <hyperlink r:id="rId1966" ref="J1071"/>
    <hyperlink r:id="rId1931" ref="K1071"/>
    <hyperlink r:id="rId1967" ref="J1072"/>
    <hyperlink r:id="rId1968" ref="K1072"/>
    <hyperlink r:id="rId1969" ref="J1073"/>
    <hyperlink r:id="rId1837" ref="K1073"/>
    <hyperlink r:id="rId1970" ref="J1074"/>
    <hyperlink r:id="rId1971" ref="K1074"/>
    <hyperlink r:id="rId1972" ref="J1075"/>
    <hyperlink r:id="rId1973" ref="K1075"/>
    <hyperlink r:id="rId1974" ref="J1076"/>
    <hyperlink r:id="rId1975" ref="K1076"/>
    <hyperlink r:id="rId1976" ref="J1077"/>
    <hyperlink r:id="rId1977" ref="K1077"/>
    <hyperlink r:id="rId1978" ref="J1078"/>
    <hyperlink r:id="rId1979" ref="K1078"/>
    <hyperlink r:id="rId1980" ref="J1079"/>
    <hyperlink r:id="rId1981" ref="K1079"/>
    <hyperlink r:id="rId1982" ref="J1080"/>
    <hyperlink r:id="rId1983" ref="K1080"/>
    <hyperlink r:id="rId1984" ref="J1081"/>
    <hyperlink r:id="rId1985" ref="K1081"/>
    <hyperlink r:id="rId1986" ref="J1082"/>
    <hyperlink r:id="rId1987" ref="K1082"/>
    <hyperlink r:id="rId1988" ref="J1083"/>
    <hyperlink r:id="rId1989" ref="K1083"/>
    <hyperlink r:id="rId1990" ref="J1084"/>
    <hyperlink r:id="rId1991" ref="K1084"/>
    <hyperlink r:id="rId1992" ref="J1085"/>
    <hyperlink r:id="rId1993" ref="K1085"/>
    <hyperlink r:id="rId1994" ref="J1086"/>
    <hyperlink r:id="rId1995" ref="K1086"/>
    <hyperlink r:id="rId937" ref="J1087"/>
    <hyperlink r:id="rId1996" ref="K1087"/>
    <hyperlink r:id="rId581" ref="J1088"/>
    <hyperlink r:id="rId1997" ref="K1088"/>
    <hyperlink r:id="rId180" ref="J1089"/>
    <hyperlink r:id="rId1998" ref="K1089"/>
    <hyperlink r:id="rId1999" ref="J1090"/>
    <hyperlink r:id="rId2000" ref="K1090"/>
    <hyperlink r:id="rId2001" ref="J1091"/>
    <hyperlink r:id="rId2002" ref="K1091"/>
    <hyperlink r:id="rId2003" ref="J1092"/>
    <hyperlink r:id="rId2004" ref="K1092"/>
    <hyperlink r:id="rId2005" ref="J1093"/>
    <hyperlink r:id="rId2006" ref="K1093"/>
    <hyperlink r:id="rId2007" ref="J1094"/>
    <hyperlink r:id="rId2008" ref="K1094"/>
    <hyperlink r:id="rId2009" ref="J1095"/>
    <hyperlink r:id="rId2010" ref="K1095"/>
    <hyperlink r:id="rId2011" ref="J1096"/>
    <hyperlink r:id="rId2012" ref="K1096"/>
    <hyperlink r:id="rId2013" ref="J1097"/>
    <hyperlink r:id="rId2014" ref="K1097"/>
    <hyperlink r:id="rId2015" ref="J1098"/>
    <hyperlink r:id="rId2016" ref="K1098"/>
    <hyperlink r:id="rId2017" ref="J1099"/>
    <hyperlink r:id="rId2018" ref="K1099"/>
    <hyperlink r:id="rId2019" ref="J1100"/>
    <hyperlink r:id="rId2020" ref="K1100"/>
    <hyperlink r:id="rId2021" ref="J1101"/>
    <hyperlink r:id="rId2022" ref="K1101"/>
    <hyperlink r:id="rId2023" ref="J1102"/>
    <hyperlink r:id="rId2024" ref="K1102"/>
    <hyperlink r:id="rId2025" ref="J1103"/>
    <hyperlink r:id="rId2026" ref="K1103"/>
    <hyperlink r:id="rId2027" ref="J1104"/>
    <hyperlink r:id="rId2028" ref="K1104"/>
    <hyperlink r:id="rId2029" ref="J1105"/>
    <hyperlink r:id="rId2030" ref="K1105"/>
    <hyperlink r:id="rId2031" ref="J1106"/>
    <hyperlink r:id="rId2032" ref="K1106"/>
    <hyperlink r:id="rId2033" ref="J1107"/>
    <hyperlink r:id="rId2034" ref="K1107"/>
    <hyperlink r:id="rId2035" ref="J1108"/>
    <hyperlink r:id="rId2020" ref="K1108"/>
    <hyperlink r:id="rId2036" ref="J1109"/>
    <hyperlink r:id="rId2037" ref="K1109"/>
    <hyperlink r:id="rId2038" ref="J1110"/>
    <hyperlink r:id="rId2039" ref="K1110"/>
    <hyperlink r:id="rId2040" ref="J1111"/>
    <hyperlink r:id="rId2041" ref="K1111"/>
    <hyperlink r:id="rId2042" ref="J1112"/>
    <hyperlink r:id="rId2020" ref="K1112"/>
    <hyperlink r:id="rId791" ref="J1113"/>
    <hyperlink r:id="rId2043" ref="K1113"/>
    <hyperlink r:id="rId2044" ref="J1114"/>
    <hyperlink r:id="rId2045" ref="K1114"/>
    <hyperlink r:id="rId2046" ref="J1115"/>
    <hyperlink r:id="rId2047" ref="K1115"/>
    <hyperlink r:id="rId2048" ref="J1116"/>
    <hyperlink r:id="rId2049" ref="K1116"/>
    <hyperlink r:id="rId2050" ref="J1117"/>
    <hyperlink r:id="rId2051" ref="K1117"/>
    <hyperlink r:id="rId2052" ref="J1118"/>
    <hyperlink r:id="rId2053" ref="K1118"/>
    <hyperlink r:id="rId2054" ref="J1119"/>
    <hyperlink r:id="rId2006" ref="K1119"/>
    <hyperlink r:id="rId2055" ref="J1120"/>
    <hyperlink r:id="rId2056" ref="K1120"/>
    <hyperlink r:id="rId2057" ref="J1121"/>
    <hyperlink r:id="rId2058" ref="K1121"/>
    <hyperlink r:id="rId2059" ref="J1122"/>
    <hyperlink r:id="rId2060" ref="K1122"/>
    <hyperlink r:id="rId2061" ref="J1123"/>
    <hyperlink r:id="rId2062" ref="K1123"/>
    <hyperlink r:id="rId2063" ref="J1124"/>
    <hyperlink r:id="rId2028" ref="K1124"/>
    <hyperlink r:id="rId2064" ref="J1125"/>
    <hyperlink r:id="rId2065" ref="K1125"/>
    <hyperlink r:id="rId402" ref="J1126"/>
    <hyperlink r:id="rId2066" ref="K1126"/>
    <hyperlink r:id="rId2067" ref="J1127"/>
    <hyperlink r:id="rId2037" ref="K1127"/>
    <hyperlink r:id="rId2068" ref="J1128"/>
    <hyperlink r:id="rId2069" ref="K1128"/>
    <hyperlink r:id="rId2070" ref="J1129"/>
    <hyperlink r:id="rId2071" ref="K1129"/>
    <hyperlink r:id="rId2072" ref="J1130"/>
    <hyperlink r:id="rId2073" ref="K1130"/>
    <hyperlink r:id="rId2074" ref="J1131"/>
    <hyperlink r:id="rId2075" ref="K1131"/>
    <hyperlink r:id="rId2076" ref="J1132"/>
    <hyperlink r:id="rId2077" ref="K1132"/>
    <hyperlink r:id="rId2078" ref="J1133"/>
    <hyperlink r:id="rId2079" ref="K1133"/>
    <hyperlink r:id="rId2080" ref="J1134"/>
    <hyperlink r:id="rId2034" ref="K1134"/>
    <hyperlink r:id="rId1384" ref="J1135"/>
    <hyperlink r:id="rId2008" ref="K1135"/>
    <hyperlink r:id="rId2081" ref="J1136"/>
    <hyperlink r:id="rId2082" ref="K1136"/>
    <hyperlink r:id="rId2083" ref="J1137"/>
    <hyperlink r:id="rId2058" ref="K1137"/>
    <hyperlink r:id="rId2084" ref="J1138"/>
    <hyperlink r:id="rId2004" ref="K1138"/>
    <hyperlink r:id="rId2085" ref="J1139"/>
    <hyperlink r:id="rId2006" ref="K1139"/>
    <hyperlink r:id="rId2086" ref="J1140"/>
    <hyperlink r:id="rId2087" ref="K1140"/>
    <hyperlink r:id="rId2088" ref="J1141"/>
    <hyperlink r:id="rId2016" ref="K1141"/>
    <hyperlink r:id="rId2089" ref="J1142"/>
    <hyperlink r:id="rId2014" ref="K1142"/>
    <hyperlink r:id="rId2090" ref="J1143"/>
    <hyperlink r:id="rId2091" ref="K1143"/>
    <hyperlink r:id="rId213" ref="J1144"/>
    <hyperlink r:id="rId1997" ref="K1144"/>
    <hyperlink r:id="rId2092" ref="J1145"/>
    <hyperlink r:id="rId2093" ref="K1145"/>
    <hyperlink r:id="rId2094" ref="J1146"/>
    <hyperlink r:id="rId2028" ref="K1146"/>
    <hyperlink r:id="rId2095" ref="J1147"/>
    <hyperlink r:id="rId2006" ref="K1147"/>
    <hyperlink r:id="rId2096" ref="J1148"/>
    <hyperlink r:id="rId2097" ref="K1148"/>
    <hyperlink r:id="rId2098" ref="J1149"/>
    <hyperlink r:id="rId2099" ref="K1149"/>
    <hyperlink r:id="rId1348" ref="J1150"/>
    <hyperlink r:id="rId2100" ref="K1150"/>
    <hyperlink r:id="rId2101" ref="J1151"/>
    <hyperlink r:id="rId2006" ref="K1151"/>
    <hyperlink r:id="rId2102" ref="J1152"/>
    <hyperlink r:id="rId2000" ref="K1152"/>
    <hyperlink r:id="rId2103" ref="J1153"/>
    <hyperlink r:id="rId2104" ref="K1153"/>
    <hyperlink r:id="rId116" ref="J1154"/>
    <hyperlink r:id="rId2105" ref="K1154"/>
    <hyperlink r:id="rId2106" ref="J1155"/>
    <hyperlink r:id="rId2049" ref="K1155"/>
    <hyperlink r:id="rId2107" ref="J1156"/>
    <hyperlink r:id="rId2108" ref="K1156"/>
    <hyperlink r:id="rId2109" ref="J1157"/>
    <hyperlink r:id="rId2110" ref="K1157"/>
    <hyperlink r:id="rId2111" ref="J1158"/>
    <hyperlink r:id="rId2112" ref="K1158"/>
    <hyperlink r:id="rId706" ref="J1159"/>
    <hyperlink r:id="rId2113" ref="K1159"/>
    <hyperlink r:id="rId2114" ref="J1160"/>
    <hyperlink r:id="rId2115" ref="K1160"/>
    <hyperlink r:id="rId2116" ref="J1161"/>
    <hyperlink r:id="rId2075" ref="K1161"/>
    <hyperlink r:id="rId742" ref="J1162"/>
    <hyperlink r:id="rId1998" ref="K1162"/>
    <hyperlink r:id="rId2117" ref="J1163"/>
    <hyperlink r:id="rId2118" ref="K1163"/>
    <hyperlink r:id="rId2119" ref="J1164"/>
    <hyperlink r:id="rId2034" ref="K1164"/>
    <hyperlink r:id="rId2120" ref="J1165"/>
    <hyperlink r:id="rId2121" ref="K1165"/>
    <hyperlink r:id="rId2122" ref="J1166"/>
    <hyperlink r:id="rId2047" ref="K1166"/>
    <hyperlink r:id="rId849" ref="J1167"/>
    <hyperlink r:id="rId2100" ref="K1167"/>
    <hyperlink r:id="rId2123" ref="J1168"/>
    <hyperlink r:id="rId2124" ref="K1168"/>
    <hyperlink r:id="rId2125" ref="J1169"/>
    <hyperlink r:id="rId2060" ref="K1169"/>
    <hyperlink r:id="rId2126" ref="J1170"/>
    <hyperlink r:id="rId2127" ref="K1170"/>
    <hyperlink r:id="rId2128" ref="J1171"/>
    <hyperlink r:id="rId2129" ref="K1171"/>
    <hyperlink r:id="rId2130" ref="J1172"/>
    <hyperlink r:id="rId2131" ref="K1172"/>
    <hyperlink r:id="rId2132" ref="J1173"/>
    <hyperlink r:id="rId2133" ref="K1173"/>
    <hyperlink r:id="rId253" ref="J1174"/>
    <hyperlink r:id="rId2134" ref="K1174"/>
    <hyperlink r:id="rId2135" ref="J1175"/>
    <hyperlink r:id="rId2108" ref="K1175"/>
    <hyperlink r:id="rId2136" ref="J1176"/>
    <hyperlink r:id="rId2062" ref="K1176"/>
    <hyperlink r:id="rId2137" ref="J1177"/>
    <hyperlink r:id="rId2091" ref="K1177"/>
    <hyperlink r:id="rId2138" ref="J1178"/>
    <hyperlink r:id="rId2108" ref="K1178"/>
    <hyperlink r:id="rId774" ref="J1179"/>
    <hyperlink r:id="rId2105" ref="K1179"/>
    <hyperlink r:id="rId2139" ref="J1180"/>
    <hyperlink r:id="rId2091" ref="K1180"/>
    <hyperlink r:id="rId2140" ref="J1181"/>
    <hyperlink r:id="rId2141" ref="K1181"/>
    <hyperlink r:id="rId2142" ref="J1182"/>
    <hyperlink r:id="rId2053" ref="K1182"/>
    <hyperlink r:id="rId2143" ref="J1183"/>
    <hyperlink r:id="rId2144" ref="K1183"/>
    <hyperlink r:id="rId2145" ref="J1184"/>
    <hyperlink r:id="rId2146" ref="K1184"/>
    <hyperlink r:id="rId2147" ref="J1185"/>
    <hyperlink r:id="rId2127" ref="K1185"/>
    <hyperlink r:id="rId2148" ref="J1186"/>
    <hyperlink r:id="rId2149" ref="K1186"/>
    <hyperlink r:id="rId2150" ref="J1187"/>
    <hyperlink r:id="rId2151" ref="K1187"/>
    <hyperlink r:id="rId2152" ref="J1188"/>
    <hyperlink r:id="rId2034" ref="K1188"/>
    <hyperlink r:id="rId2153" ref="J1189"/>
    <hyperlink r:id="rId2154" ref="K1189"/>
    <hyperlink r:id="rId2155" ref="J1190"/>
    <hyperlink r:id="rId2156" ref="K1190"/>
    <hyperlink r:id="rId2157" ref="J1191"/>
    <hyperlink r:id="rId2108" ref="K1191"/>
    <hyperlink r:id="rId2158" ref="J1192"/>
    <hyperlink r:id="rId2108" ref="K1192"/>
    <hyperlink r:id="rId2159" ref="J1193"/>
    <hyperlink r:id="rId2160" ref="K1193"/>
    <hyperlink r:id="rId2161" ref="J1194"/>
    <hyperlink r:id="rId2069" ref="K1194"/>
    <hyperlink r:id="rId2162" ref="J1195"/>
    <hyperlink r:id="rId2163" ref="K1195"/>
    <hyperlink r:id="rId2164" ref="J1196"/>
    <hyperlink r:id="rId2165" ref="K1196"/>
    <hyperlink r:id="rId2166" ref="J1197"/>
    <hyperlink r:id="rId2000" ref="K1197"/>
    <hyperlink r:id="rId2167" ref="J1198"/>
    <hyperlink r:id="rId2168" ref="K1198"/>
    <hyperlink r:id="rId2169" ref="J1199"/>
    <hyperlink r:id="rId2073" ref="K1199"/>
    <hyperlink r:id="rId2170" ref="J1200"/>
    <hyperlink r:id="rId2171" ref="K1200"/>
    <hyperlink r:id="rId2172" ref="J1201"/>
    <hyperlink r:id="rId2024" ref="K1201"/>
    <hyperlink r:id="rId2173" ref="J1202"/>
    <hyperlink r:id="rId2053" ref="K1202"/>
    <hyperlink r:id="rId2174" ref="J1203"/>
    <hyperlink r:id="rId2175" ref="K1203"/>
    <hyperlink r:id="rId2176" ref="J1204"/>
    <hyperlink r:id="rId2177" ref="K1204"/>
    <hyperlink r:id="rId2178" ref="J1205"/>
    <hyperlink r:id="rId2108" ref="K1205"/>
    <hyperlink r:id="rId939" ref="J1206"/>
    <hyperlink r:id="rId1998" ref="K1206"/>
    <hyperlink r:id="rId2179" ref="J1207"/>
    <hyperlink r:id="rId2034" ref="K1207"/>
    <hyperlink r:id="rId2180" ref="J1208"/>
    <hyperlink r:id="rId2181" ref="K1208"/>
    <hyperlink r:id="rId2182" ref="J1209"/>
    <hyperlink r:id="rId2183" ref="K1209"/>
    <hyperlink r:id="rId2184" ref="J1210"/>
    <hyperlink r:id="rId2185" ref="K1210"/>
    <hyperlink r:id="rId2186" ref="J1211"/>
    <hyperlink r:id="rId2187" ref="K1211"/>
    <hyperlink r:id="rId1761" ref="J1212"/>
    <hyperlink r:id="rId2188" ref="K1212"/>
    <hyperlink r:id="rId1795" ref="E1213"/>
    <hyperlink r:id="rId2189" ref="J1213"/>
    <hyperlink r:id="rId2190" ref="K1213"/>
    <hyperlink r:id="rId2191" ref="J1214"/>
    <hyperlink r:id="rId2192" ref="K1214"/>
    <hyperlink r:id="rId1757" ref="J1215"/>
    <hyperlink r:id="rId2193" ref="K1215"/>
    <hyperlink r:id="rId2194" ref="J1216"/>
    <hyperlink r:id="rId2195" ref="K1216"/>
    <hyperlink r:id="rId2196" ref="J1217"/>
    <hyperlink r:id="rId2197" ref="K1217"/>
    <hyperlink r:id="rId2198" ref="J1218"/>
    <hyperlink r:id="rId2199" ref="K1218"/>
    <hyperlink r:id="rId2200" ref="J1219"/>
    <hyperlink r:id="rId2201" ref="K1219"/>
    <hyperlink r:id="rId2202" ref="J1220"/>
    <hyperlink r:id="rId2203" ref="K1220"/>
    <hyperlink r:id="rId2204" ref="J1221"/>
    <hyperlink r:id="rId2205" ref="K1221"/>
    <hyperlink r:id="rId2206" ref="J1222"/>
    <hyperlink r:id="rId2203" ref="K1222"/>
    <hyperlink r:id="rId1788" ref="J1223"/>
    <hyperlink r:id="rId2207" ref="K1223"/>
    <hyperlink r:id="rId2208" ref="J1224"/>
    <hyperlink r:id="rId2209" ref="K1224"/>
    <hyperlink r:id="rId2210" ref="J1225"/>
    <hyperlink r:id="rId2211" ref="K1225"/>
    <hyperlink r:id="rId2212" ref="J1226"/>
    <hyperlink r:id="rId2213" ref="K1226"/>
    <hyperlink r:id="rId1810" ref="J1227"/>
    <hyperlink r:id="rId2214" ref="K1227"/>
    <hyperlink r:id="rId2215" ref="J1228"/>
    <hyperlink r:id="rId2216" ref="K1228"/>
    <hyperlink r:id="rId2217" ref="J1229"/>
    <hyperlink r:id="rId2218" ref="K1229"/>
    <hyperlink r:id="rId2219" ref="J1230"/>
    <hyperlink r:id="rId2220" ref="K1230"/>
    <hyperlink r:id="rId2221" ref="J1231"/>
    <hyperlink r:id="rId2222" ref="K1231"/>
    <hyperlink r:id="rId2223" ref="J1232"/>
    <hyperlink r:id="rId2224" ref="K1232"/>
    <hyperlink r:id="rId2225" ref="J1233"/>
    <hyperlink r:id="rId2226" ref="K1233"/>
    <hyperlink r:id="rId2227" ref="J1234"/>
    <hyperlink r:id="rId2228" ref="K1234"/>
    <hyperlink r:id="rId2229" ref="J1235"/>
    <hyperlink r:id="rId2230" ref="K1235"/>
    <hyperlink r:id="rId1795" ref="E1236"/>
    <hyperlink r:id="rId1796" ref="J1236"/>
    <hyperlink r:id="rId2190" ref="K1236"/>
    <hyperlink r:id="rId2231" ref="J1237"/>
    <hyperlink r:id="rId2232" ref="K1237"/>
    <hyperlink r:id="rId2233" ref="J1238"/>
    <hyperlink r:id="rId2234" ref="K1238"/>
    <hyperlink r:id="rId2235" ref="J1239"/>
    <hyperlink r:id="rId2214" ref="K1239"/>
    <hyperlink r:id="rId2236" ref="J1240"/>
    <hyperlink r:id="rId2237" ref="K1240"/>
    <hyperlink r:id="rId2238" ref="J1241"/>
    <hyperlink r:id="rId2195" ref="K1241"/>
    <hyperlink r:id="rId2239" ref="J1242"/>
    <hyperlink r:id="rId2240" ref="K1242"/>
    <hyperlink r:id="rId2241" ref="J1243"/>
    <hyperlink r:id="rId2242" ref="K1243"/>
    <hyperlink r:id="rId1795" ref="E1244"/>
    <hyperlink r:id="rId2243" ref="J1244"/>
    <hyperlink r:id="rId2190" ref="K1244"/>
    <hyperlink r:id="rId1967" ref="J1245"/>
    <hyperlink r:id="rId2244" ref="K1245"/>
    <hyperlink r:id="rId2245" ref="J1246"/>
    <hyperlink r:id="rId2242" ref="K1246"/>
    <hyperlink r:id="rId2246" ref="J1247"/>
    <hyperlink r:id="rId2247" ref="K1247"/>
    <hyperlink r:id="rId2248" ref="J1248"/>
    <hyperlink r:id="rId2249" ref="K1248"/>
    <hyperlink r:id="rId1851" ref="J1249"/>
    <hyperlink r:id="rId2250" ref="K1249"/>
    <hyperlink r:id="rId1891" ref="J1250"/>
    <hyperlink r:id="rId2251" ref="K1250"/>
    <hyperlink r:id="rId2252" ref="J1251"/>
    <hyperlink r:id="rId870" ref="K1251"/>
    <hyperlink r:id="rId2253" ref="J1252"/>
    <hyperlink r:id="rId2254" ref="K1252"/>
    <hyperlink r:id="rId2255" ref="J1253"/>
    <hyperlink r:id="rId2240" ref="K1253"/>
    <hyperlink r:id="rId1903" ref="J1254"/>
    <hyperlink r:id="rId2193" ref="K1254"/>
    <hyperlink r:id="rId2256" ref="J1255"/>
    <hyperlink r:id="rId1458" ref="K1255"/>
    <hyperlink r:id="rId2257" ref="J1256"/>
    <hyperlink r:id="rId2258" ref="K1256"/>
    <hyperlink r:id="rId2259" ref="J1257"/>
    <hyperlink r:id="rId2260" ref="K1257"/>
    <hyperlink r:id="rId2261" ref="J1258"/>
    <hyperlink r:id="rId2262" ref="K1258"/>
    <hyperlink r:id="rId2263" ref="J1259"/>
    <hyperlink r:id="rId2199" ref="K1259"/>
    <hyperlink r:id="rId1930" ref="J1260"/>
    <hyperlink r:id="rId2264" ref="K1260"/>
    <hyperlink r:id="rId2265" ref="J1261"/>
    <hyperlink r:id="rId2266" ref="K1261"/>
    <hyperlink r:id="rId2267" ref="J1262"/>
    <hyperlink r:id="rId2268" ref="K1262"/>
    <hyperlink r:id="rId2269" ref="J1263"/>
    <hyperlink r:id="rId2270" ref="K1263"/>
    <hyperlink r:id="rId2271" ref="J1264"/>
    <hyperlink r:id="rId147" ref="K1264"/>
    <hyperlink r:id="rId2272" ref="J1265"/>
    <hyperlink r:id="rId2273" ref="K1265"/>
    <hyperlink r:id="rId2274" ref="J1266"/>
    <hyperlink r:id="rId2275" ref="K1266"/>
    <hyperlink r:id="rId2276" ref="J1267"/>
    <hyperlink r:id="rId2277" ref="K1267"/>
    <hyperlink r:id="rId1879" ref="J1268"/>
    <hyperlink r:id="rId2278" ref="K1268"/>
    <hyperlink r:id="rId1880" ref="J1269"/>
    <hyperlink r:id="rId2279" ref="K1269"/>
    <hyperlink r:id="rId2280" ref="J1270"/>
    <hyperlink r:id="rId2281" ref="K1270"/>
    <hyperlink r:id="rId2282" ref="J1271"/>
    <hyperlink r:id="rId2283" ref="K1271"/>
    <hyperlink r:id="rId2284" ref="J1272"/>
    <hyperlink r:id="rId2285" ref="K1272"/>
    <hyperlink r:id="rId2286" ref="J1273"/>
    <hyperlink r:id="rId2287" ref="K1273"/>
    <hyperlink r:id="rId2288" ref="J1274"/>
    <hyperlink r:id="rId2289" ref="K1274"/>
    <hyperlink r:id="rId2290" ref="J1275"/>
    <hyperlink r:id="rId2291" ref="K1275"/>
    <hyperlink r:id="rId2292" ref="J1276"/>
    <hyperlink r:id="rId2293" ref="K1276"/>
    <hyperlink r:id="rId1744" ref="J1277"/>
    <hyperlink r:id="rId2294" ref="K1277"/>
    <hyperlink r:id="rId2295" ref="J1278"/>
    <hyperlink r:id="rId2296" ref="K1278"/>
    <hyperlink r:id="rId2297" ref="J1279"/>
    <hyperlink r:id="rId2216" ref="K1279"/>
    <hyperlink r:id="rId2298" ref="J1280"/>
    <hyperlink r:id="rId2299" ref="K1280"/>
    <hyperlink r:id="rId2300" ref="J1281"/>
    <hyperlink r:id="rId2301" ref="K1281"/>
    <hyperlink r:id="rId2302" ref="J1282"/>
    <hyperlink r:id="rId2303" ref="K1282"/>
    <hyperlink r:id="rId2304" ref="J1283"/>
    <hyperlink r:id="rId2305" ref="K1283"/>
    <hyperlink r:id="rId2306" ref="J1284"/>
    <hyperlink r:id="rId2307" ref="K1284"/>
    <hyperlink r:id="rId2308" ref="J1285"/>
    <hyperlink r:id="rId2309" ref="K1285"/>
    <hyperlink r:id="rId2310" ref="J1286"/>
    <hyperlink r:id="rId2311" ref="K1286"/>
    <hyperlink r:id="rId2312" ref="J1287"/>
    <hyperlink r:id="rId2313" ref="K1287"/>
    <hyperlink r:id="rId2314" ref="J1288"/>
    <hyperlink r:id="rId2247" ref="K1288"/>
    <hyperlink r:id="rId2315" ref="J1289"/>
    <hyperlink r:id="rId2316" ref="K1289"/>
    <hyperlink r:id="rId2317" ref="J1290"/>
    <hyperlink r:id="rId2318" ref="K1290"/>
    <hyperlink r:id="rId1886" ref="J1291"/>
    <hyperlink r:id="rId2319" ref="K1291"/>
    <hyperlink r:id="rId1717" ref="J1292"/>
    <hyperlink r:id="rId2320" ref="K1292"/>
    <hyperlink r:id="rId2321" ref="J1293"/>
    <hyperlink r:id="rId2251" ref="K1293"/>
    <hyperlink r:id="rId2322" ref="J1294"/>
    <hyperlink r:id="rId2323" ref="K1294"/>
    <hyperlink r:id="rId2324" ref="J1295"/>
    <hyperlink r:id="rId2325" ref="K1295"/>
    <hyperlink r:id="rId2326" ref="J1296"/>
    <hyperlink r:id="rId2327" ref="K1296"/>
    <hyperlink r:id="rId2328" ref="J1297"/>
    <hyperlink r:id="rId2258" ref="K1297"/>
    <hyperlink r:id="rId2329" ref="J1298"/>
    <hyperlink r:id="rId2273" ref="K1298"/>
    <hyperlink r:id="rId2330" ref="J1299"/>
    <hyperlink r:id="rId699" ref="K1299"/>
    <hyperlink r:id="rId2331" ref="J1300"/>
    <hyperlink r:id="rId2240" ref="K1300"/>
    <hyperlink r:id="rId1818" ref="J1301"/>
    <hyperlink r:id="rId2247" ref="K1301"/>
    <hyperlink r:id="rId2332" ref="J1302"/>
    <hyperlink r:id="rId2264" ref="K1302"/>
    <hyperlink r:id="rId2333" ref="J1303"/>
    <hyperlink r:id="rId2313" ref="K1303"/>
    <hyperlink r:id="rId2334" ref="J1304"/>
    <hyperlink r:id="rId2335" ref="K1304"/>
    <hyperlink r:id="rId2336" ref="J1305"/>
    <hyperlink r:id="rId2337" ref="K1305"/>
    <hyperlink r:id="rId2338" ref="J1306"/>
    <hyperlink r:id="rId1434" ref="K1306"/>
    <hyperlink r:id="rId2339" ref="J1307"/>
    <hyperlink r:id="rId2294" ref="K1307"/>
    <hyperlink r:id="rId2340" ref="J1308"/>
    <hyperlink r:id="rId2341" ref="K1308"/>
    <hyperlink r:id="rId2342" ref="J1309"/>
    <hyperlink r:id="rId2183" ref="K1309"/>
    <hyperlink r:id="rId2343" ref="J1310"/>
    <hyperlink r:id="rId2205" ref="K1310"/>
    <hyperlink r:id="rId1864" ref="J1311"/>
    <hyperlink r:id="rId2344" ref="K1311"/>
    <hyperlink r:id="rId1958" ref="J1312"/>
    <hyperlink r:id="rId2193" ref="K1312"/>
    <hyperlink r:id="rId2345" ref="J1313"/>
    <hyperlink r:id="rId2346" ref="K1313"/>
    <hyperlink r:id="rId2347" ref="J1314"/>
    <hyperlink r:id="rId2348" ref="K1314"/>
    <hyperlink r:id="rId2349" ref="J1315"/>
    <hyperlink r:id="rId2283" ref="K1315"/>
    <hyperlink r:id="rId1910" ref="J1316"/>
    <hyperlink r:id="rId2350" ref="K1316"/>
    <hyperlink r:id="rId1806" ref="J1317"/>
    <hyperlink r:id="rId2351" ref="K1317"/>
    <hyperlink r:id="rId2352" ref="J1318"/>
    <hyperlink r:id="rId923" ref="K1318"/>
    <hyperlink r:id="rId2353" ref="J1319"/>
    <hyperlink r:id="rId2354" ref="K1319"/>
    <hyperlink r:id="rId2355" ref="J1320"/>
    <hyperlink r:id="rId2356" ref="K1320"/>
    <hyperlink r:id="rId2357" ref="J1321"/>
    <hyperlink r:id="rId2251" ref="K1321"/>
    <hyperlink r:id="rId2358" ref="J1322"/>
    <hyperlink r:id="rId2226" ref="K1322"/>
    <hyperlink r:id="rId1836" ref="J1323"/>
    <hyperlink r:id="rId2359" ref="K1323"/>
    <hyperlink r:id="rId2360" ref="J1324"/>
    <hyperlink r:id="rId2361" ref="K1324"/>
    <hyperlink r:id="rId2362" ref="J1325"/>
    <hyperlink r:id="rId2203" ref="K1325"/>
    <hyperlink r:id="rId2363" ref="J1326"/>
    <hyperlink r:id="rId2364" ref="K1326"/>
    <hyperlink r:id="rId1914" ref="J1327"/>
    <hyperlink r:id="rId2365" ref="K1327"/>
    <hyperlink r:id="rId1866" ref="J1328"/>
    <hyperlink r:id="rId2366" ref="K1328"/>
    <hyperlink r:id="rId1869" ref="J1329"/>
    <hyperlink r:id="rId2367" ref="K1329"/>
    <hyperlink r:id="rId2368" ref="J1330"/>
    <hyperlink r:id="rId2369" ref="K1330"/>
    <hyperlink r:id="rId2370" ref="J1331"/>
    <hyperlink r:id="rId2371" ref="K1331"/>
    <hyperlink r:id="rId2372" ref="J1332"/>
    <hyperlink r:id="rId2373" ref="K1332"/>
    <hyperlink r:id="rId2374" ref="J1333"/>
    <hyperlink r:id="rId2375" ref="K1333"/>
    <hyperlink r:id="rId2376" ref="J1334"/>
    <hyperlink r:id="rId2377" ref="K1334"/>
    <hyperlink r:id="rId2378" ref="J1335"/>
    <hyperlink r:id="rId2379" ref="K1335"/>
    <hyperlink r:id="rId2380" ref="J1336"/>
    <hyperlink r:id="rId2381" ref="K1336"/>
    <hyperlink r:id="rId1709" ref="J1337"/>
    <hyperlink r:id="rId131" ref="K1337"/>
    <hyperlink r:id="rId2382" ref="J1338"/>
    <hyperlink r:id="rId2383" ref="K1338"/>
    <hyperlink r:id="rId2384" ref="J1339"/>
    <hyperlink r:id="rId2385" ref="K1339"/>
    <hyperlink r:id="rId2386" ref="J1340"/>
    <hyperlink r:id="rId2234" ref="K1340"/>
    <hyperlink r:id="rId2387" ref="J1341"/>
    <hyperlink r:id="rId2388" ref="K1341"/>
    <hyperlink r:id="rId2389" ref="J1342"/>
    <hyperlink r:id="rId2201" ref="K1342"/>
    <hyperlink r:id="rId2390" ref="J1343"/>
    <hyperlink r:id="rId2391" ref="K1343"/>
    <hyperlink r:id="rId1890" ref="J1344"/>
    <hyperlink r:id="rId2247" ref="K1344"/>
    <hyperlink r:id="rId2392" ref="J1345"/>
    <hyperlink r:id="rId2393" ref="K1345"/>
    <hyperlink r:id="rId2394" ref="J1346"/>
    <hyperlink r:id="rId2395" ref="K1346"/>
    <hyperlink r:id="rId1795" ref="E1347"/>
    <hyperlink r:id="rId2396" ref="J1347"/>
    <hyperlink r:id="rId2190" ref="K1347"/>
    <hyperlink r:id="rId2397" ref="J1348"/>
    <hyperlink r:id="rId2323" ref="K1348"/>
    <hyperlink r:id="rId2009" ref="J1349"/>
    <hyperlink r:id="rId2398" ref="K1349"/>
    <hyperlink r:id="rId2399" ref="J1350"/>
    <hyperlink r:id="rId2400" ref="K1350"/>
    <hyperlink r:id="rId2401" ref="J1351"/>
    <hyperlink r:id="rId2402" ref="K1351"/>
    <hyperlink r:id="rId2403" ref="J1352"/>
    <hyperlink r:id="rId915" ref="K1352"/>
    <hyperlink r:id="rId2027" ref="J1353"/>
    <hyperlink r:id="rId2404" ref="K1353"/>
    <hyperlink r:id="rId2405" ref="J1354"/>
    <hyperlink r:id="rId2406" ref="K1354"/>
    <hyperlink r:id="rId2407" ref="J1355"/>
    <hyperlink r:id="rId2408" ref="K1355"/>
    <hyperlink r:id="rId2409" ref="J1356"/>
    <hyperlink r:id="rId2410" ref="K1356"/>
    <hyperlink r:id="rId2106" ref="J1357"/>
    <hyperlink r:id="rId2411" ref="K1357"/>
    <hyperlink r:id="rId2120" ref="J1358"/>
    <hyperlink r:id="rId2412" ref="K1358"/>
    <hyperlink r:id="rId2122" ref="J1359"/>
    <hyperlink r:id="rId2413" ref="K1359"/>
    <hyperlink r:id="rId2414" ref="J1360"/>
    <hyperlink r:id="rId2415" ref="K1360"/>
    <hyperlink r:id="rId2416" ref="J1361"/>
    <hyperlink r:id="rId2417" ref="K1361"/>
    <hyperlink r:id="rId2418" ref="J1362"/>
    <hyperlink r:id="rId493" ref="K1362"/>
    <hyperlink r:id="rId2086" ref="J1363"/>
    <hyperlink r:id="rId2419" ref="K1363"/>
    <hyperlink r:id="rId2420" ref="J1364"/>
    <hyperlink r:id="rId2421" ref="K1364"/>
    <hyperlink r:id="rId2422" ref="J1365"/>
    <hyperlink r:id="rId214" ref="K1365"/>
    <hyperlink r:id="rId2423" ref="J1366"/>
    <hyperlink r:id="rId2424" ref="K1366"/>
    <hyperlink r:id="rId2425" ref="J1367"/>
    <hyperlink r:id="rId2426" ref="K1367"/>
    <hyperlink r:id="rId2427" ref="J1368"/>
    <hyperlink r:id="rId2428" ref="K1368"/>
    <hyperlink r:id="rId2429" ref="J1369"/>
    <hyperlink r:id="rId2430" ref="K1369"/>
    <hyperlink r:id="rId2431" ref="J1370"/>
    <hyperlink r:id="rId1385" ref="K1370"/>
    <hyperlink r:id="rId2432" ref="J1371"/>
    <hyperlink r:id="rId2433" ref="K1371"/>
    <hyperlink r:id="rId2434" ref="J1372"/>
    <hyperlink r:id="rId2435" ref="K1372"/>
    <hyperlink r:id="rId2436" ref="J1373"/>
    <hyperlink r:id="rId2437" ref="K1373"/>
    <hyperlink r:id="rId2438" ref="J1374"/>
    <hyperlink r:id="rId2439" ref="K1374"/>
    <hyperlink r:id="rId2440" ref="J1375"/>
    <hyperlink r:id="rId2417" ref="K1375"/>
    <hyperlink r:id="rId2441" ref="J1376"/>
    <hyperlink r:id="rId2442" ref="K1376"/>
    <hyperlink r:id="rId2443" ref="J1377"/>
    <hyperlink r:id="rId2444" ref="K1377"/>
    <hyperlink r:id="rId2445" ref="J1378"/>
    <hyperlink r:id="rId2446" ref="K1378"/>
    <hyperlink r:id="rId2447" ref="J1379"/>
    <hyperlink r:id="rId827" ref="K1379"/>
    <hyperlink r:id="rId2448" ref="J1380"/>
    <hyperlink r:id="rId2417" ref="K1380"/>
    <hyperlink r:id="rId2449" ref="J1381"/>
    <hyperlink r:id="rId2450" ref="K1381"/>
    <hyperlink r:id="rId2019" ref="J1382"/>
    <hyperlink r:id="rId2400" ref="K1382"/>
    <hyperlink r:id="rId2451" ref="J1383"/>
    <hyperlink r:id="rId2452" ref="K1383"/>
    <hyperlink r:id="rId2453" ref="J1384"/>
    <hyperlink r:id="rId2454" ref="K1384"/>
    <hyperlink r:id="rId2070" ref="J1385"/>
    <hyperlink r:id="rId2455" ref="K1385"/>
    <hyperlink r:id="rId2456" ref="J1386"/>
    <hyperlink r:id="rId2457" ref="K1386"/>
    <hyperlink r:id="rId2458" ref="J1387"/>
    <hyperlink r:id="rId127" ref="K1387"/>
    <hyperlink r:id="rId2057" ref="J1388"/>
    <hyperlink r:id="rId2428" ref="K1388"/>
    <hyperlink r:id="rId2042" ref="J1389"/>
    <hyperlink r:id="rId2400" ref="K1389"/>
    <hyperlink r:id="rId2140" ref="J1390"/>
    <hyperlink r:id="rId2459" ref="K1390"/>
    <hyperlink r:id="rId2017" ref="J1391"/>
    <hyperlink r:id="rId2460" ref="K1391"/>
    <hyperlink r:id="rId2461" ref="J1392"/>
    <hyperlink r:id="rId2462" ref="K1392"/>
    <hyperlink r:id="rId2463" ref="J1393"/>
    <hyperlink r:id="rId2464" ref="K1393"/>
    <hyperlink r:id="rId2465" ref="J1394"/>
    <hyperlink r:id="rId1667" ref="K1394"/>
    <hyperlink r:id="rId2111" ref="J1395"/>
    <hyperlink r:id="rId2466" ref="K1395"/>
    <hyperlink r:id="rId2467" ref="J1396"/>
    <hyperlink r:id="rId181" ref="K1396"/>
    <hyperlink r:id="rId2468" ref="J1397"/>
    <hyperlink r:id="rId2469" ref="K1397"/>
    <hyperlink r:id="rId2470" ref="J1398"/>
    <hyperlink r:id="rId2471" ref="K1398"/>
    <hyperlink r:id="rId2472" ref="J1399"/>
    <hyperlink r:id="rId2457" ref="K1399"/>
    <hyperlink r:id="rId2081" ref="J1400"/>
    <hyperlink r:id="rId2473" ref="K1400"/>
    <hyperlink r:id="rId2474" ref="J1401"/>
    <hyperlink r:id="rId930" ref="K1401"/>
    <hyperlink r:id="rId2475" ref="J1402"/>
    <hyperlink r:id="rId2476" ref="K1402"/>
    <hyperlink r:id="rId2089" ref="J1403"/>
    <hyperlink r:id="rId2477" ref="K1403"/>
    <hyperlink r:id="rId2155" ref="J1404"/>
    <hyperlink r:id="rId2478" ref="K1404"/>
    <hyperlink r:id="rId2161" ref="J1405"/>
    <hyperlink r:id="rId2479" ref="K1405"/>
    <hyperlink r:id="rId2162" ref="J1406"/>
    <hyperlink r:id="rId2480" ref="K1406"/>
    <hyperlink r:id="rId2164" ref="J1407"/>
    <hyperlink r:id="rId2481" ref="K1407"/>
    <hyperlink r:id="rId2482" ref="J1408"/>
    <hyperlink r:id="rId268" ref="K1408"/>
    <hyperlink r:id="rId2483" ref="J1409"/>
    <hyperlink r:id="rId2411" ref="K1409"/>
    <hyperlink r:id="rId1982" ref="J1410"/>
    <hyperlink r:id="rId2484" ref="K1410"/>
    <hyperlink r:id="rId2485" ref="J1411"/>
    <hyperlink r:id="rId2486" ref="K1411"/>
    <hyperlink r:id="rId2084" ref="J1412"/>
    <hyperlink r:id="rId2487" ref="K1412"/>
    <hyperlink r:id="rId2048" ref="J1413"/>
    <hyperlink r:id="rId2411" ref="K1413"/>
    <hyperlink r:id="rId2488" ref="J1414"/>
    <hyperlink r:id="rId2489" ref="K1414"/>
    <hyperlink r:id="rId2128" ref="J1415"/>
    <hyperlink r:id="rId2476" ref="K1415"/>
    <hyperlink r:id="rId2490" ref="J1416"/>
    <hyperlink r:id="rId2491" ref="K1416"/>
    <hyperlink r:id="rId2492" ref="J1417"/>
    <hyperlink r:id="rId2493" ref="K1417"/>
    <hyperlink r:id="rId2003" ref="J1418"/>
    <hyperlink r:id="rId2487" ref="K1418"/>
    <hyperlink r:id="rId2494" ref="J1419"/>
    <hyperlink r:id="rId2495" ref="K1419"/>
    <hyperlink r:id="rId2496" ref="J1420"/>
    <hyperlink r:id="rId2495" ref="K1420"/>
    <hyperlink r:id="rId2497" ref="I1425"/>
    <hyperlink r:id="rId2498" ref="T1425"/>
    <hyperlink r:id="rId2499" ref="U1425"/>
    <hyperlink r:id="rId2500" ref="AA1425"/>
    <hyperlink r:id="rId2501" ref="I1426"/>
    <hyperlink r:id="rId2502" ref="T1426"/>
    <hyperlink r:id="rId2503" ref="AA1426"/>
    <hyperlink r:id="rId2504" ref="I1427"/>
    <hyperlink r:id="rId2505" ref="T1427"/>
    <hyperlink r:id="rId2506" ref="AA1427"/>
    <hyperlink r:id="rId2507" ref="I1428"/>
    <hyperlink r:id="rId2508" ref="T1428"/>
    <hyperlink r:id="rId2509" ref="AA1428"/>
    <hyperlink r:id="rId2510" ref="I1429"/>
    <hyperlink r:id="rId2511" ref="T1429"/>
    <hyperlink r:id="rId2512" ref="AA1429"/>
    <hyperlink r:id="rId2513" ref="I1430"/>
    <hyperlink r:id="rId2514" ref="T1430"/>
    <hyperlink r:id="rId2515" ref="V1430"/>
    <hyperlink r:id="rId2516" ref="AA1430"/>
    <hyperlink r:id="rId2517" ref="I1431"/>
    <hyperlink r:id="rId2518" ref="T1431"/>
    <hyperlink r:id="rId2519" ref="AA1431"/>
    <hyperlink r:id="rId2520" ref="I1432"/>
    <hyperlink r:id="rId2521" ref="T1432"/>
    <hyperlink r:id="rId2522" ref="AA1432"/>
    <hyperlink r:id="rId2523" ref="I1433"/>
    <hyperlink r:id="rId2524" ref="T1433"/>
    <hyperlink r:id="rId2525" ref="U1433"/>
    <hyperlink r:id="rId2526" ref="AA1433"/>
    <hyperlink r:id="rId2527" ref="I1434"/>
    <hyperlink r:id="rId2528" ref="T1434"/>
    <hyperlink r:id="rId2529" ref="AA1434"/>
    <hyperlink r:id="rId2530" ref="I1435"/>
    <hyperlink r:id="rId2531" ref="T1435"/>
    <hyperlink r:id="rId2532" ref="U1435"/>
    <hyperlink r:id="rId2533" ref="V1435"/>
    <hyperlink r:id="rId2534" ref="AA1435"/>
    <hyperlink r:id="rId2535" ref="I1436"/>
    <hyperlink r:id="rId2536" ref="T1436"/>
    <hyperlink r:id="rId2537" ref="U1436"/>
    <hyperlink r:id="rId2538" ref="V1436"/>
    <hyperlink r:id="rId2539" ref="AA1436"/>
    <hyperlink r:id="rId2540" ref="I1437"/>
    <hyperlink r:id="rId2541" ref="T1437"/>
    <hyperlink r:id="rId2542" ref="AA1437"/>
    <hyperlink r:id="rId2543" ref="I1438"/>
    <hyperlink r:id="rId2544" ref="T1438"/>
    <hyperlink r:id="rId2545" ref="V1438"/>
    <hyperlink r:id="rId2546" ref="AA1438"/>
    <hyperlink r:id="rId2547" ref="I1439"/>
    <hyperlink r:id="rId2548" ref="T1439"/>
    <hyperlink r:id="rId2549" ref="AA1439"/>
    <hyperlink r:id="rId2550" ref="I1440"/>
    <hyperlink r:id="rId2551" ref="T1440"/>
    <hyperlink r:id="rId2552" ref="AA1440"/>
    <hyperlink r:id="rId2553" ref="T1441"/>
    <hyperlink r:id="rId2554" ref="AA1441"/>
    <hyperlink r:id="rId2555" ref="I1442"/>
    <hyperlink r:id="rId2556" ref="T1442"/>
    <hyperlink r:id="rId2557" ref="U1442"/>
    <hyperlink r:id="rId2558" ref="V1442"/>
    <hyperlink r:id="rId2559" ref="AA1442"/>
    <hyperlink r:id="rId2560" ref="I1443"/>
    <hyperlink r:id="rId2561" ref="T1443"/>
    <hyperlink r:id="rId2562" ref="AA1443"/>
    <hyperlink r:id="rId2563" ref="I1444"/>
    <hyperlink r:id="rId2564" ref="T1444"/>
    <hyperlink r:id="rId2565" ref="AA1444"/>
    <hyperlink r:id="rId2566" ref="I1445"/>
    <hyperlink r:id="rId2567" ref="T1445"/>
    <hyperlink r:id="rId2568" ref="V1445"/>
    <hyperlink r:id="rId2569" ref="AA1445"/>
    <hyperlink r:id="rId2570" ref="I1446"/>
    <hyperlink r:id="rId2571" ref="T1446"/>
    <hyperlink r:id="rId2572" ref="AA1446"/>
    <hyperlink r:id="rId2573" ref="I1447"/>
    <hyperlink r:id="rId2574" ref="T1447"/>
    <hyperlink r:id="rId2575" ref="AA1447"/>
    <hyperlink r:id="rId2576" ref="I1448"/>
    <hyperlink r:id="rId2577" ref="T1448"/>
    <hyperlink r:id="rId2578" ref="V1448"/>
    <hyperlink r:id="rId2579" ref="AA1448"/>
    <hyperlink r:id="rId2580" ref="T1449"/>
    <hyperlink r:id="rId2581" ref="AA1449"/>
    <hyperlink r:id="rId2582" ref="I1450"/>
    <hyperlink r:id="rId2583" ref="T1450"/>
    <hyperlink r:id="rId2584" ref="AA1450"/>
    <hyperlink r:id="rId2585" ref="I1451"/>
    <hyperlink r:id="rId2586" ref="T1451"/>
    <hyperlink r:id="rId2587" ref="AA1451"/>
    <hyperlink r:id="rId2588" ref="I1452"/>
    <hyperlink r:id="rId2589" ref="T1452"/>
    <hyperlink r:id="rId2590" ref="V1452"/>
    <hyperlink r:id="rId2591" ref="AA1452"/>
    <hyperlink r:id="rId2592" ref="T1453"/>
    <hyperlink r:id="rId2593" ref="AA1453"/>
    <hyperlink r:id="rId2594" ref="I1454"/>
    <hyperlink r:id="rId2595" ref="T1454"/>
    <hyperlink r:id="rId2596" ref="U1454"/>
    <hyperlink r:id="rId2597" ref="V1454"/>
    <hyperlink r:id="rId2598" ref="AA1454"/>
    <hyperlink r:id="rId2599" ref="I1455"/>
    <hyperlink r:id="rId2600" ref="T1455"/>
    <hyperlink r:id="rId2601" ref="AA1455"/>
    <hyperlink r:id="rId2602" ref="I1456"/>
    <hyperlink r:id="rId2603" ref="T1456"/>
    <hyperlink r:id="rId2604" ref="U1456"/>
    <hyperlink r:id="rId2605" ref="AA1456"/>
    <hyperlink r:id="rId2606" ref="I1457"/>
    <hyperlink r:id="rId2607" ref="T1457"/>
    <hyperlink r:id="rId2608" ref="U1457"/>
    <hyperlink r:id="rId2609" ref="AA1457"/>
    <hyperlink r:id="rId2610" ref="I1458"/>
    <hyperlink r:id="rId2611" ref="T1458"/>
    <hyperlink r:id="rId2612" ref="AA1458"/>
    <hyperlink r:id="rId2613" ref="I1459"/>
    <hyperlink r:id="rId2614" ref="T1459"/>
    <hyperlink r:id="rId2615" ref="AA1459"/>
    <hyperlink r:id="rId2616" ref="I1460"/>
    <hyperlink r:id="rId2617" ref="T1460"/>
    <hyperlink r:id="rId2618" ref="AA1460"/>
    <hyperlink r:id="rId2619" ref="I1461"/>
    <hyperlink r:id="rId2620" ref="T1461"/>
    <hyperlink r:id="rId2621" ref="AA1461"/>
    <hyperlink r:id="rId2622" ref="I1462"/>
    <hyperlink r:id="rId2623" ref="T1462"/>
    <hyperlink r:id="rId2624" ref="U1462"/>
    <hyperlink r:id="rId2625" ref="V1462"/>
    <hyperlink r:id="rId2626" ref="AA1462"/>
    <hyperlink r:id="rId2627" ref="I1463"/>
    <hyperlink r:id="rId2628" ref="T1463"/>
    <hyperlink r:id="rId2629" ref="AA1463"/>
    <hyperlink r:id="rId2630" ref="I1464"/>
    <hyperlink r:id="rId2631" ref="T1464"/>
    <hyperlink r:id="rId2632" ref="V1464"/>
    <hyperlink r:id="rId2633" ref="AA1464"/>
    <hyperlink r:id="rId2634" ref="I1465"/>
    <hyperlink r:id="rId2635" ref="T1465"/>
    <hyperlink r:id="rId2636" ref="U1465"/>
    <hyperlink r:id="rId2637" ref="V1465"/>
    <hyperlink r:id="rId2638" ref="AA1465"/>
    <hyperlink r:id="rId2639" ref="I1466"/>
    <hyperlink r:id="rId2640" ref="T1466"/>
    <hyperlink r:id="rId2641" ref="U1466"/>
    <hyperlink r:id="rId2642" ref="V1466"/>
    <hyperlink r:id="rId2643" ref="AA1466"/>
    <hyperlink r:id="rId2644" ref="I1467"/>
    <hyperlink r:id="rId2645" ref="T1467"/>
    <hyperlink r:id="rId2646" ref="AA1467"/>
    <hyperlink r:id="rId2647" ref="I1468"/>
    <hyperlink r:id="rId2648" ref="T1468"/>
    <hyperlink r:id="rId2649" ref="AA1468"/>
    <hyperlink r:id="rId2650" ref="I1469"/>
    <hyperlink r:id="rId2651" ref="T1469"/>
    <hyperlink r:id="rId2652" ref="AA1469"/>
    <hyperlink r:id="rId2653" ref="I1470"/>
    <hyperlink r:id="rId2654" ref="T1470"/>
    <hyperlink r:id="rId2655" ref="AA1470"/>
    <hyperlink r:id="rId2656" ref="I1471"/>
    <hyperlink r:id="rId2657" ref="T1471"/>
    <hyperlink r:id="rId2658" ref="AA1471"/>
    <hyperlink r:id="rId2659" ref="I1472"/>
    <hyperlink r:id="rId2660" ref="T1472"/>
    <hyperlink r:id="rId2661" ref="AA1472"/>
    <hyperlink r:id="rId2662" ref="I1473"/>
    <hyperlink r:id="rId2663" ref="T1473"/>
    <hyperlink r:id="rId2664" ref="AA1473"/>
    <hyperlink r:id="rId2665" ref="I1474"/>
    <hyperlink r:id="rId2666" ref="T1474"/>
    <hyperlink r:id="rId2667" ref="AA1474"/>
    <hyperlink r:id="rId2668" ref="I1475"/>
    <hyperlink r:id="rId2669" ref="T1475"/>
    <hyperlink r:id="rId2670" ref="AA1475"/>
    <hyperlink r:id="rId2671" ref="I1476"/>
    <hyperlink r:id="rId2672" ref="T1476"/>
    <hyperlink r:id="rId2673" ref="AA1476"/>
    <hyperlink r:id="rId2674" ref="I1477"/>
    <hyperlink r:id="rId2675" ref="T1477"/>
    <hyperlink r:id="rId2676" ref="AA1477"/>
    <hyperlink r:id="rId2677" ref="I1478"/>
    <hyperlink r:id="rId2678" ref="T1478"/>
    <hyperlink r:id="rId2679" ref="U1478"/>
    <hyperlink r:id="rId2680" ref="V1478"/>
    <hyperlink r:id="rId2681" ref="AA1478"/>
    <hyperlink r:id="rId2682" ref="I1479"/>
    <hyperlink r:id="rId2683" ref="T1479"/>
    <hyperlink r:id="rId2684" ref="AA1479"/>
    <hyperlink r:id="rId2685" ref="I1480"/>
    <hyperlink r:id="rId2686" ref="T1480"/>
    <hyperlink r:id="rId2687" ref="AA1480"/>
    <hyperlink r:id="rId2688" ref="I1481"/>
    <hyperlink r:id="rId2689" ref="T1481"/>
    <hyperlink r:id="rId2690" ref="AA1481"/>
    <hyperlink r:id="rId2691" ref="I1482"/>
    <hyperlink r:id="rId2692" ref="T1482"/>
    <hyperlink r:id="rId2693" ref="AA1482"/>
    <hyperlink r:id="rId2694" ref="I1483"/>
    <hyperlink r:id="rId2695" ref="T1483"/>
    <hyperlink r:id="rId2696" ref="U1483"/>
    <hyperlink r:id="rId2697" ref="AA1483"/>
    <hyperlink r:id="rId2698" ref="I1484"/>
    <hyperlink r:id="rId2699" ref="T1484"/>
    <hyperlink r:id="rId2700" ref="AA1484"/>
    <hyperlink r:id="rId2701" ref="I1485"/>
    <hyperlink r:id="rId2702" ref="T1485"/>
    <hyperlink r:id="rId2703" ref="AA1485"/>
    <hyperlink r:id="rId2704" ref="I1486"/>
    <hyperlink r:id="rId2705" ref="T1486"/>
    <hyperlink r:id="rId2706" ref="AA1486"/>
    <hyperlink r:id="rId2707" ref="I1487"/>
    <hyperlink r:id="rId2708" ref="T1487"/>
    <hyperlink r:id="rId2709" ref="V1487"/>
    <hyperlink r:id="rId2710" ref="AA1487"/>
    <hyperlink r:id="rId2711" ref="I1488"/>
    <hyperlink r:id="rId2712" ref="T1488"/>
    <hyperlink r:id="rId2713" ref="AA1488"/>
    <hyperlink r:id="rId2714" ref="I1489"/>
    <hyperlink r:id="rId2715" ref="T1489"/>
    <hyperlink r:id="rId2716" ref="W1489"/>
    <hyperlink r:id="rId2717" ref="AA1489"/>
    <hyperlink r:id="rId2718" ref="I1490"/>
    <hyperlink r:id="rId2719" ref="T1490"/>
    <hyperlink r:id="rId2720" ref="U1490"/>
    <hyperlink r:id="rId2721" ref="V1490"/>
    <hyperlink r:id="rId2722" ref="AA1490"/>
    <hyperlink r:id="rId2723" ref="T1491"/>
    <hyperlink r:id="rId2724" ref="AA1491"/>
    <hyperlink r:id="rId2725" ref="I1492"/>
    <hyperlink r:id="rId2726" ref="T1492"/>
    <hyperlink r:id="rId2727" ref="AA1492"/>
    <hyperlink r:id="rId2728" ref="I1493"/>
    <hyperlink r:id="rId2729" ref="T1493"/>
    <hyperlink r:id="rId2730" ref="AA1493"/>
    <hyperlink r:id="rId2731" ref="T1494"/>
    <hyperlink r:id="rId2732" ref="U1494"/>
    <hyperlink r:id="rId2733" ref="V1494"/>
    <hyperlink r:id="rId2734" ref="AA1494"/>
    <hyperlink r:id="rId2735" ref="I1495"/>
    <hyperlink r:id="rId2736" ref="T1495"/>
    <hyperlink r:id="rId2737" ref="AA1495"/>
    <hyperlink r:id="rId2738" ref="I1496"/>
    <hyperlink r:id="rId2739" ref="T1496"/>
    <hyperlink r:id="rId2740" ref="AA1496"/>
    <hyperlink r:id="rId2741" ref="I1497"/>
    <hyperlink r:id="rId2742" ref="T1497"/>
    <hyperlink r:id="rId2743" ref="AA1497"/>
    <hyperlink r:id="rId2744" ref="T1498"/>
    <hyperlink r:id="rId2745" ref="AA1498"/>
    <hyperlink r:id="rId2746" ref="I1499"/>
    <hyperlink r:id="rId2747" ref="T1499"/>
    <hyperlink r:id="rId2748" ref="AA1499"/>
    <hyperlink r:id="rId2749" ref="I1500"/>
    <hyperlink r:id="rId2750" ref="T1500"/>
    <hyperlink r:id="rId2751" ref="AA1500"/>
    <hyperlink r:id="rId2752" ref="I1501"/>
    <hyperlink r:id="rId2753" ref="T1501"/>
    <hyperlink r:id="rId2754" ref="U1501"/>
    <hyperlink r:id="rId2755" ref="AA1501"/>
    <hyperlink r:id="rId2756" ref="I1502"/>
    <hyperlink r:id="rId2757" ref="T1502"/>
    <hyperlink r:id="rId2758" ref="V1502"/>
    <hyperlink r:id="rId2759" ref="AA1502"/>
    <hyperlink r:id="rId2760" ref="I1503"/>
    <hyperlink r:id="rId2761" ref="T1503"/>
    <hyperlink r:id="rId2762" ref="U1503"/>
    <hyperlink r:id="rId2763" ref="AA1503"/>
    <hyperlink r:id="rId2764" ref="I1504"/>
    <hyperlink r:id="rId2765" ref="T1504"/>
    <hyperlink r:id="rId2766" ref="AA1504"/>
    <hyperlink r:id="rId2767" ref="I1505"/>
    <hyperlink r:id="rId2768" ref="T1505"/>
    <hyperlink r:id="rId2769" ref="AA1505"/>
    <hyperlink r:id="rId2770" ref="I1506"/>
    <hyperlink r:id="rId2771" ref="T1506"/>
    <hyperlink r:id="rId2772" ref="W1506"/>
    <hyperlink r:id="rId2773" ref="AA1506"/>
    <hyperlink r:id="rId2774" ref="I1507"/>
    <hyperlink r:id="rId2775" ref="T1507"/>
    <hyperlink r:id="rId2776" ref="AA1507"/>
    <hyperlink r:id="rId2777" ref="I1508"/>
    <hyperlink r:id="rId2778" ref="T1508"/>
    <hyperlink r:id="rId2779" ref="AA1508"/>
    <hyperlink r:id="rId2780" ref="I1509"/>
    <hyperlink r:id="rId2781" ref="T1509"/>
    <hyperlink r:id="rId2782" ref="AA1509"/>
    <hyperlink r:id="rId2783" ref="T1510"/>
    <hyperlink r:id="rId2784" ref="AA1510"/>
    <hyperlink r:id="rId2785" ref="I1511"/>
    <hyperlink r:id="rId2786" ref="T1511"/>
    <hyperlink r:id="rId2787" ref="AA1511"/>
    <hyperlink r:id="rId2788" ref="I1512"/>
    <hyperlink r:id="rId2789" ref="T1512"/>
    <hyperlink r:id="rId2790" ref="AA1512"/>
    <hyperlink r:id="rId2791" ref="I1513"/>
    <hyperlink r:id="rId2792" ref="T1513"/>
    <hyperlink r:id="rId2793" ref="AA1513"/>
    <hyperlink r:id="rId2794" ref="I1514"/>
    <hyperlink r:id="rId2795" ref="T1514"/>
    <hyperlink r:id="rId2796" ref="AA1514"/>
    <hyperlink r:id="rId2797" ref="I1515"/>
    <hyperlink r:id="rId2798" ref="T1515"/>
    <hyperlink r:id="rId2799" ref="AA1515"/>
    <hyperlink r:id="rId2800" ref="I1516"/>
    <hyperlink r:id="rId2801" ref="T1516"/>
    <hyperlink r:id="rId2802" ref="U1516"/>
    <hyperlink r:id="rId2803" ref="V1516"/>
    <hyperlink r:id="rId2804" ref="AA1516"/>
    <hyperlink r:id="rId2805" ref="I1517"/>
    <hyperlink r:id="rId2806" ref="T1517"/>
    <hyperlink r:id="rId2807" ref="V1517"/>
    <hyperlink r:id="rId2808" ref="AA1517"/>
    <hyperlink r:id="rId2809" ref="I1518"/>
    <hyperlink r:id="rId2810" ref="T1518"/>
    <hyperlink r:id="rId2811" ref="AA1518"/>
    <hyperlink r:id="rId2812" ref="I1519"/>
    <hyperlink r:id="rId2813" ref="T1519"/>
    <hyperlink r:id="rId2814" ref="AA1519"/>
    <hyperlink r:id="rId2815" ref="I1520"/>
    <hyperlink r:id="rId2816" ref="T1520"/>
    <hyperlink r:id="rId2817" ref="AA1520"/>
    <hyperlink r:id="rId2818" ref="I1521"/>
    <hyperlink r:id="rId2819" ref="T1521"/>
    <hyperlink r:id="rId2820" ref="AA1521"/>
    <hyperlink r:id="rId2821" ref="I1522"/>
    <hyperlink r:id="rId2822" ref="T1522"/>
    <hyperlink r:id="rId2823" ref="U1522"/>
    <hyperlink r:id="rId2824" ref="V1522"/>
    <hyperlink r:id="rId2825" ref="AA1522"/>
    <hyperlink r:id="rId2826" ref="I1523"/>
    <hyperlink r:id="rId2827" ref="T1523"/>
    <hyperlink r:id="rId2828" ref="U1523"/>
    <hyperlink r:id="rId2829" ref="V1523"/>
    <hyperlink r:id="rId2830" ref="AA1523"/>
    <hyperlink r:id="rId2831" ref="I1524"/>
    <hyperlink r:id="rId2832" ref="T1524"/>
    <hyperlink r:id="rId2833" ref="AA1524"/>
    <hyperlink r:id="rId2834" ref="I1525"/>
    <hyperlink r:id="rId2835" ref="T1525"/>
    <hyperlink r:id="rId2836" ref="U1525"/>
    <hyperlink r:id="rId2837" ref="AA1525"/>
    <hyperlink r:id="rId2838" ref="I1526"/>
    <hyperlink r:id="rId2839" ref="T1526"/>
    <hyperlink r:id="rId2840" ref="AA1526"/>
    <hyperlink r:id="rId2841" ref="I1527"/>
    <hyperlink r:id="rId2842" ref="T1527"/>
    <hyperlink r:id="rId2843" ref="AA1527"/>
    <hyperlink r:id="rId2844" ref="T1528"/>
    <hyperlink r:id="rId2845" ref="AA1528"/>
    <hyperlink r:id="rId2846" ref="I1529"/>
    <hyperlink r:id="rId2847" ref="T1529"/>
    <hyperlink r:id="rId2848" ref="AA1529"/>
    <hyperlink r:id="rId2849" ref="I1530"/>
    <hyperlink r:id="rId2850" ref="T1530"/>
    <hyperlink r:id="rId2851" ref="AA1530"/>
    <hyperlink r:id="rId2852" ref="I1531"/>
    <hyperlink r:id="rId2853" ref="T1531"/>
    <hyperlink r:id="rId2854" ref="V1531"/>
    <hyperlink r:id="rId2855" ref="AA1531"/>
    <hyperlink r:id="rId2856" ref="I1532"/>
    <hyperlink r:id="rId2857" ref="T1532"/>
    <hyperlink r:id="rId2858" ref="U1532"/>
    <hyperlink r:id="rId2859" ref="AA1532"/>
    <hyperlink r:id="rId2860" ref="I1533"/>
    <hyperlink r:id="rId2861" ref="T1533"/>
    <hyperlink r:id="rId2862" ref="AA1533"/>
    <hyperlink r:id="rId2863" ref="I1534"/>
    <hyperlink r:id="rId2864" ref="T1534"/>
    <hyperlink r:id="rId2865" ref="AA1534"/>
    <hyperlink r:id="rId2866" ref="I1535"/>
    <hyperlink r:id="rId2867" ref="T1535"/>
    <hyperlink r:id="rId2868" ref="AA1535"/>
    <hyperlink r:id="rId2869" ref="I1536"/>
    <hyperlink r:id="rId2870" ref="T1536"/>
    <hyperlink r:id="rId2871" ref="AA1536"/>
    <hyperlink r:id="rId2872" ref="I1537"/>
    <hyperlink r:id="rId2873" ref="T1537"/>
    <hyperlink r:id="rId2874" ref="V1537"/>
    <hyperlink r:id="rId2875" ref="AA1537"/>
    <hyperlink r:id="rId2876" ref="I1538"/>
    <hyperlink r:id="rId2877" ref="T1538"/>
    <hyperlink r:id="rId2878" ref="AA1538"/>
    <hyperlink r:id="rId2879" ref="I1539"/>
    <hyperlink r:id="rId2880" ref="T1539"/>
    <hyperlink r:id="rId2881" ref="AA1539"/>
    <hyperlink r:id="rId2882" ref="I1540"/>
    <hyperlink r:id="rId2883" ref="T1540"/>
    <hyperlink r:id="rId2884" ref="V1540"/>
    <hyperlink r:id="rId2885" ref="AA1540"/>
    <hyperlink r:id="rId2886" ref="I1541"/>
    <hyperlink r:id="rId2887" ref="T1541"/>
    <hyperlink r:id="rId2888" ref="AA1541"/>
    <hyperlink r:id="rId2889" ref="I1542"/>
    <hyperlink r:id="rId2890" ref="T1542"/>
    <hyperlink r:id="rId2891" ref="V1542"/>
    <hyperlink r:id="rId2892" ref="AA1542"/>
    <hyperlink r:id="rId2893" ref="I1543"/>
    <hyperlink r:id="rId2894" ref="T1543"/>
    <hyperlink r:id="rId2895" ref="AA1543"/>
    <hyperlink r:id="rId2896" ref="T1544"/>
    <hyperlink r:id="rId2897" ref="AA1544"/>
    <hyperlink r:id="rId2898" ref="I1545"/>
    <hyperlink r:id="rId2899" ref="T1545"/>
    <hyperlink r:id="rId2900" ref="AA1545"/>
    <hyperlink r:id="rId2901" ref="T1546"/>
    <hyperlink r:id="rId2902" ref="AA1546"/>
    <hyperlink r:id="rId2903" ref="I1547"/>
    <hyperlink r:id="rId2904" ref="T1547"/>
    <hyperlink r:id="rId2905" ref="U1547"/>
    <hyperlink r:id="rId2906" ref="V1547"/>
    <hyperlink r:id="rId2907" ref="AA1547"/>
    <hyperlink r:id="rId2908" ref="I1548"/>
    <hyperlink r:id="rId2909" ref="T1548"/>
    <hyperlink r:id="rId2910" ref="AA1548"/>
    <hyperlink r:id="rId2911" ref="I1549"/>
    <hyperlink r:id="rId2912" ref="T1549"/>
    <hyperlink r:id="rId2913" ref="AA1549"/>
    <hyperlink r:id="rId2914" ref="I1550"/>
    <hyperlink r:id="rId2915" ref="T1550"/>
    <hyperlink r:id="rId2916" ref="AA1550"/>
    <hyperlink r:id="rId2917" ref="I1551"/>
    <hyperlink r:id="rId2918" ref="T1551"/>
    <hyperlink r:id="rId2919" ref="AA1551"/>
    <hyperlink r:id="rId2920" ref="I1552"/>
    <hyperlink r:id="rId2921" ref="T1552"/>
    <hyperlink r:id="rId2922" ref="AA1552"/>
    <hyperlink r:id="rId2923" ref="I1553"/>
    <hyperlink r:id="rId2924" ref="T1553"/>
    <hyperlink r:id="rId2925" ref="V1553"/>
    <hyperlink r:id="rId2926" ref="AA1553"/>
    <hyperlink r:id="rId2927" ref="I1554"/>
    <hyperlink r:id="rId2928" ref="T1554"/>
    <hyperlink r:id="rId2758" ref="V1554"/>
    <hyperlink r:id="rId2929" ref="AA1554"/>
    <hyperlink r:id="rId2930" ref="I1555"/>
    <hyperlink r:id="rId2931" ref="T1555"/>
    <hyperlink r:id="rId2932" ref="V1555"/>
    <hyperlink r:id="rId2933" ref="AA1555"/>
    <hyperlink r:id="rId2934" ref="I1556"/>
    <hyperlink r:id="rId2935" ref="T1556"/>
    <hyperlink r:id="rId2936" ref="AA1556"/>
    <hyperlink r:id="rId2937" ref="I1557"/>
    <hyperlink r:id="rId2938" ref="T1557"/>
    <hyperlink r:id="rId2939" ref="U1557"/>
    <hyperlink r:id="rId2940" ref="V1557"/>
    <hyperlink r:id="rId2941" ref="AA1557"/>
    <hyperlink r:id="rId2942" ref="I1558"/>
    <hyperlink r:id="rId2943" ref="T1558"/>
    <hyperlink r:id="rId2944" ref="AA1558"/>
    <hyperlink r:id="rId2945" ref="I1559"/>
    <hyperlink r:id="rId2946" ref="T1559"/>
    <hyperlink r:id="rId2947" ref="U1559"/>
    <hyperlink r:id="rId2948" ref="AA1559"/>
    <hyperlink r:id="rId2949" ref="I1560"/>
    <hyperlink r:id="rId2950" ref="T1560"/>
    <hyperlink r:id="rId2951" ref="AA1560"/>
    <hyperlink r:id="rId2952" ref="I1561"/>
    <hyperlink r:id="rId2953" ref="T1561"/>
    <hyperlink r:id="rId2954" ref="V1561"/>
    <hyperlink r:id="rId2955" ref="AA1561"/>
    <hyperlink r:id="rId2956" ref="I1562"/>
    <hyperlink r:id="rId2957" ref="T1562"/>
    <hyperlink r:id="rId2958" ref="AA1562"/>
    <hyperlink r:id="rId2959" ref="I1563"/>
    <hyperlink r:id="rId2960" ref="T1563"/>
    <hyperlink r:id="rId2961" ref="AA1563"/>
    <hyperlink r:id="rId2962" ref="I1564"/>
    <hyperlink r:id="rId2963" ref="T1564"/>
    <hyperlink r:id="rId2964" ref="V1564"/>
    <hyperlink r:id="rId2965" ref="AA1564"/>
    <hyperlink r:id="rId2966" ref="I1565"/>
    <hyperlink r:id="rId2967" ref="T1565"/>
    <hyperlink r:id="rId2968" ref="AA1565"/>
    <hyperlink r:id="rId2969" ref="I1566"/>
    <hyperlink r:id="rId2970" ref="T1566"/>
    <hyperlink r:id="rId2971" ref="V1566"/>
    <hyperlink r:id="rId2972" ref="AA1566"/>
    <hyperlink r:id="rId2973" ref="I1567"/>
    <hyperlink r:id="rId2974" ref="T1567"/>
    <hyperlink r:id="rId2758" ref="V1567"/>
    <hyperlink r:id="rId2975" ref="AA1567"/>
    <hyperlink r:id="rId2976" ref="I1568"/>
    <hyperlink r:id="rId2977" ref="T1568"/>
    <hyperlink r:id="rId2978" ref="U1568"/>
    <hyperlink r:id="rId2979" ref="V1568"/>
    <hyperlink r:id="rId2980" ref="AA1568"/>
    <hyperlink r:id="rId2981" ref="I1569"/>
    <hyperlink r:id="rId2982" ref="T1569"/>
    <hyperlink r:id="rId2983" ref="V1569"/>
    <hyperlink r:id="rId2984" ref="AA1569"/>
    <hyperlink r:id="rId2985" ref="I1570"/>
    <hyperlink r:id="rId2986" ref="T1570"/>
    <hyperlink r:id="rId2758" ref="V1570"/>
    <hyperlink r:id="rId2987" ref="AA1570"/>
    <hyperlink r:id="rId2988" ref="I1571"/>
    <hyperlink r:id="rId2989" ref="T1571"/>
    <hyperlink r:id="rId2990" ref="AA1571"/>
    <hyperlink r:id="rId2991" ref="I1572"/>
    <hyperlink r:id="rId2992" ref="T1572"/>
    <hyperlink r:id="rId2993" ref="AA1572"/>
    <hyperlink r:id="rId2994" ref="I1573"/>
    <hyperlink r:id="rId2995" ref="T1573"/>
    <hyperlink r:id="rId2996" ref="AA1573"/>
    <hyperlink r:id="rId2997" ref="I1574"/>
    <hyperlink r:id="rId2998" ref="T1574"/>
    <hyperlink r:id="rId2999" ref="AA1574"/>
    <hyperlink r:id="rId3000" ref="I1575"/>
    <hyperlink r:id="rId3001" ref="T1575"/>
    <hyperlink r:id="rId3002" ref="V1575"/>
    <hyperlink r:id="rId3003" ref="AA1575"/>
    <hyperlink r:id="rId3004" ref="I1576"/>
    <hyperlink r:id="rId3005" ref="T1576"/>
    <hyperlink r:id="rId3006" ref="AA1576"/>
    <hyperlink r:id="rId3007" ref="I1577"/>
    <hyperlink r:id="rId3008" ref="T1577"/>
    <hyperlink r:id="rId3009" ref="AA1577"/>
    <hyperlink r:id="rId3010" ref="I1578"/>
    <hyperlink r:id="rId3011" ref="T1578"/>
    <hyperlink r:id="rId3012" ref="AA1578"/>
    <hyperlink r:id="rId3013" ref="I1579"/>
    <hyperlink r:id="rId3014" ref="T1579"/>
    <hyperlink r:id="rId3015" ref="AA1579"/>
    <hyperlink r:id="rId3016" ref="I1580"/>
    <hyperlink r:id="rId3017" ref="T1580"/>
    <hyperlink r:id="rId3018" ref="AA1580"/>
    <hyperlink r:id="rId3019" ref="I1581"/>
    <hyperlink r:id="rId3020" ref="T1581"/>
    <hyperlink r:id="rId3021" ref="AA1581"/>
    <hyperlink r:id="rId3022" ref="I1582"/>
    <hyperlink r:id="rId3023" ref="T1582"/>
    <hyperlink r:id="rId3024" ref="AA1582"/>
    <hyperlink r:id="rId3025" ref="I1583"/>
    <hyperlink r:id="rId3026" ref="T1583"/>
    <hyperlink r:id="rId3027" ref="AA1583"/>
    <hyperlink r:id="rId3028" ref="I1584"/>
    <hyperlink r:id="rId3029" ref="T1584"/>
    <hyperlink r:id="rId3030" ref="AA1584"/>
    <hyperlink r:id="rId3031" ref="I1585"/>
    <hyperlink r:id="rId3032" ref="T1585"/>
    <hyperlink r:id="rId3033" ref="AA1585"/>
    <hyperlink r:id="rId3034" ref="T1586"/>
    <hyperlink r:id="rId3035" ref="AA1586"/>
    <hyperlink r:id="rId3036" ref="I1587"/>
    <hyperlink r:id="rId3037" ref="T1587"/>
    <hyperlink r:id="rId3038" ref="AA1587"/>
    <hyperlink r:id="rId3039" ref="I1588"/>
    <hyperlink r:id="rId3040" ref="T1588"/>
    <hyperlink r:id="rId3041" ref="U1588"/>
    <hyperlink r:id="rId3042" ref="V1588"/>
    <hyperlink r:id="rId3043" ref="AA1588"/>
    <hyperlink r:id="rId3044" ref="I1589"/>
    <hyperlink r:id="rId3045" ref="T1589"/>
    <hyperlink r:id="rId3046" ref="V1589"/>
    <hyperlink r:id="rId3047" ref="AA1589"/>
    <hyperlink r:id="rId3048" ref="I1590"/>
    <hyperlink r:id="rId3049" ref="T1590"/>
    <hyperlink r:id="rId3050" ref="AA1590"/>
    <hyperlink r:id="rId3051" ref="I1591"/>
    <hyperlink r:id="rId3052" ref="T1591"/>
    <hyperlink r:id="rId3053" ref="AA1591"/>
    <hyperlink r:id="rId3054" ref="I1592"/>
    <hyperlink r:id="rId3055" ref="T1592"/>
    <hyperlink r:id="rId3056" ref="AA1592"/>
    <hyperlink r:id="rId3057" ref="I1593"/>
    <hyperlink r:id="rId3058" ref="T1593"/>
    <hyperlink r:id="rId3059" ref="AA1593"/>
    <hyperlink r:id="rId3060" ref="I1594"/>
    <hyperlink r:id="rId3061" ref="T1594"/>
    <hyperlink r:id="rId3062" ref="AA1594"/>
    <hyperlink r:id="rId3063" ref="I1595"/>
    <hyperlink r:id="rId3064" ref="T1595"/>
    <hyperlink r:id="rId3065" ref="AA1595"/>
    <hyperlink r:id="rId3066" ref="I1596"/>
    <hyperlink r:id="rId3067" ref="T1596"/>
    <hyperlink r:id="rId3068" ref="AA1596"/>
    <hyperlink r:id="rId3069" ref="I1597"/>
    <hyperlink r:id="rId3070" ref="T1597"/>
    <hyperlink r:id="rId3071" ref="AA1597"/>
    <hyperlink r:id="rId3072" ref="G1598"/>
    <hyperlink r:id="rId3072" ref="I1598"/>
    <hyperlink r:id="rId3073" ref="T1598"/>
    <hyperlink r:id="rId3074" ref="U1598"/>
    <hyperlink r:id="rId3075" ref="AA1598"/>
    <hyperlink r:id="rId3076" ref="I1599"/>
    <hyperlink r:id="rId3077" ref="T1599"/>
    <hyperlink r:id="rId3078" ref="AA1599"/>
    <hyperlink r:id="rId3079" ref="I1600"/>
    <hyperlink r:id="rId3080" ref="T1600"/>
    <hyperlink r:id="rId3081" ref="AA1600"/>
    <hyperlink r:id="rId3082" ref="I1601"/>
    <hyperlink r:id="rId3083" ref="T1601"/>
    <hyperlink r:id="rId3084" ref="AA1601"/>
    <hyperlink r:id="rId3085" ref="I1602"/>
    <hyperlink r:id="rId3086" ref="T1602"/>
    <hyperlink r:id="rId3087" ref="U1602"/>
    <hyperlink r:id="rId3088" ref="AA1602"/>
    <hyperlink r:id="rId3089" ref="T1603"/>
    <hyperlink r:id="rId2758" ref="V1603"/>
    <hyperlink r:id="rId3090" ref="W1603"/>
    <hyperlink r:id="rId3091" ref="AA1603"/>
    <hyperlink r:id="rId3092" ref="I1604"/>
    <hyperlink r:id="rId3093" ref="T1604"/>
    <hyperlink r:id="rId3094" ref="AA1604"/>
    <hyperlink r:id="rId3095" ref="I1605"/>
    <hyperlink r:id="rId3096" ref="T1605"/>
    <hyperlink r:id="rId3097" ref="AA1605"/>
    <hyperlink r:id="rId3098" ref="I1606"/>
    <hyperlink r:id="rId3099" ref="T1606"/>
    <hyperlink r:id="rId3100" ref="V1606"/>
    <hyperlink r:id="rId3101" ref="AA1606"/>
    <hyperlink r:id="rId3102" ref="I1607"/>
    <hyperlink r:id="rId3103" ref="T1607"/>
    <hyperlink r:id="rId3104" ref="AA1607"/>
    <hyperlink r:id="rId3105" ref="I1608"/>
    <hyperlink r:id="rId3106" ref="T1608"/>
    <hyperlink r:id="rId3107" ref="AA1608"/>
    <hyperlink r:id="rId3108" ref="I1609"/>
    <hyperlink r:id="rId3109" ref="T1609"/>
    <hyperlink r:id="rId3110" ref="U1609"/>
    <hyperlink r:id="rId3111" ref="V1609"/>
    <hyperlink r:id="rId3112" ref="AA1609"/>
    <hyperlink r:id="rId3113" ref="I1610"/>
    <hyperlink r:id="rId3114" ref="T1610"/>
    <hyperlink r:id="rId3115" ref="V1610"/>
    <hyperlink r:id="rId3116" ref="AA1610"/>
    <hyperlink r:id="rId3117" ref="I1611"/>
    <hyperlink r:id="rId3118" ref="T1611"/>
    <hyperlink r:id="rId3119" ref="AA1611"/>
    <hyperlink r:id="rId3120" ref="I1612"/>
    <hyperlink r:id="rId3121" ref="T1612"/>
    <hyperlink r:id="rId3122" ref="AA1612"/>
    <hyperlink r:id="rId3123" ref="I1613"/>
    <hyperlink r:id="rId3124" ref="T1613"/>
    <hyperlink r:id="rId3125" ref="V1613"/>
    <hyperlink r:id="rId3126" ref="AA1613"/>
    <hyperlink r:id="rId3127" ref="I1614"/>
    <hyperlink r:id="rId3128" ref="T1614"/>
    <hyperlink r:id="rId3129" ref="AA1614"/>
    <hyperlink r:id="rId3130" ref="I1615"/>
    <hyperlink r:id="rId3131" ref="T1615"/>
    <hyperlink r:id="rId3132" ref="AA1615"/>
    <hyperlink r:id="rId3133" ref="I1616"/>
    <hyperlink r:id="rId3134" ref="T1616"/>
    <hyperlink r:id="rId3135" ref="V1616"/>
    <hyperlink r:id="rId3136" ref="AA1616"/>
    <hyperlink r:id="rId3137" ref="I1617"/>
    <hyperlink r:id="rId3138" ref="T1617"/>
    <hyperlink r:id="rId3139" ref="U1617"/>
    <hyperlink r:id="rId3140" ref="V1617"/>
    <hyperlink r:id="rId3141" ref="AA1617"/>
    <hyperlink r:id="rId3142" ref="I1618"/>
    <hyperlink r:id="rId3143" ref="T1618"/>
    <hyperlink r:id="rId3144" ref="AA1618"/>
    <hyperlink r:id="rId2981" ref="I1619"/>
    <hyperlink r:id="rId2982" ref="T1619"/>
    <hyperlink r:id="rId2983" ref="V1619"/>
    <hyperlink r:id="rId3145" ref="AA1619"/>
    <hyperlink r:id="rId3146" ref="I1620"/>
    <hyperlink r:id="rId3147" ref="T1620"/>
    <hyperlink r:id="rId3148" ref="AA1620"/>
    <hyperlink r:id="rId3149" ref="I1621"/>
    <hyperlink r:id="rId3150" ref="T1621"/>
    <hyperlink r:id="rId3151" ref="AA1621"/>
    <hyperlink r:id="rId3152" ref="I1622"/>
    <hyperlink r:id="rId3153" ref="T1622"/>
    <hyperlink r:id="rId3154" ref="AA1622"/>
    <hyperlink r:id="rId3155" ref="T1623"/>
    <hyperlink r:id="rId3156" ref="AA1623"/>
    <hyperlink r:id="rId3157" ref="I1624"/>
    <hyperlink r:id="rId3158" ref="T1624"/>
    <hyperlink r:id="rId3159" ref="AA1624"/>
    <hyperlink r:id="rId3160" ref="I1625"/>
    <hyperlink r:id="rId3161" ref="T1625"/>
    <hyperlink r:id="rId3162" ref="AA1625"/>
    <hyperlink r:id="rId2585" ref="I1626"/>
    <hyperlink r:id="rId2586" ref="T1626"/>
    <hyperlink r:id="rId3163" ref="AA1626"/>
    <hyperlink r:id="rId3164" ref="I1627"/>
    <hyperlink r:id="rId3165" ref="T1627"/>
    <hyperlink r:id="rId3166" ref="V1627"/>
    <hyperlink r:id="rId3167" ref="AA1627"/>
    <hyperlink r:id="rId3168" ref="I1628"/>
    <hyperlink r:id="rId3169" ref="T1628"/>
    <hyperlink r:id="rId3170" ref="AA1628"/>
    <hyperlink r:id="rId3171" ref="T1629"/>
    <hyperlink r:id="rId3172" ref="AA1629"/>
    <hyperlink r:id="rId3173" ref="I1630"/>
    <hyperlink r:id="rId3174" ref="T1630"/>
    <hyperlink r:id="rId3175" ref="V1630"/>
    <hyperlink r:id="rId3176" ref="AA1630"/>
    <hyperlink r:id="rId3177" ref="I1631"/>
    <hyperlink r:id="rId3178" ref="T1631"/>
    <hyperlink r:id="rId3179" ref="V1631"/>
    <hyperlink r:id="rId3180" ref="AA1631"/>
    <hyperlink r:id="rId3181" ref="I1632"/>
    <hyperlink r:id="rId3182" ref="T1632"/>
    <hyperlink r:id="rId3183" ref="AA1632"/>
    <hyperlink r:id="rId3184" ref="I1633"/>
    <hyperlink r:id="rId3185" ref="T1633"/>
    <hyperlink r:id="rId3186" ref="U1633"/>
    <hyperlink r:id="rId3187" ref="V1633"/>
    <hyperlink r:id="rId3188" ref="AA1633"/>
    <hyperlink r:id="rId3189" ref="I1634"/>
    <hyperlink r:id="rId3190" ref="T1634"/>
    <hyperlink r:id="rId3191" ref="U1634"/>
    <hyperlink r:id="rId3192" ref="V1634"/>
    <hyperlink r:id="rId3193" ref="AA1634"/>
    <hyperlink r:id="rId3194" ref="I1635"/>
    <hyperlink r:id="rId3195" ref="T1635"/>
    <hyperlink r:id="rId3196" ref="U1635"/>
    <hyperlink r:id="rId3197" ref="V1635"/>
    <hyperlink r:id="rId3198" ref="AA1635"/>
    <hyperlink r:id="rId3199" ref="I1636"/>
    <hyperlink r:id="rId3200" ref="T1636"/>
    <hyperlink r:id="rId3201" ref="U1636"/>
    <hyperlink r:id="rId3202" ref="V1636"/>
    <hyperlink r:id="rId3203" ref="AA1636"/>
    <hyperlink r:id="rId3204" ref="I1637"/>
    <hyperlink r:id="rId3205" ref="T1637"/>
    <hyperlink r:id="rId3206" ref="AA1637"/>
    <hyperlink r:id="rId3207" ref="I1638"/>
    <hyperlink r:id="rId3208" ref="T1638"/>
    <hyperlink r:id="rId3209" ref="V1638"/>
    <hyperlink r:id="rId3210" ref="AA1638"/>
    <hyperlink r:id="rId3211" ref="I1639"/>
    <hyperlink r:id="rId3212" ref="T1639"/>
    <hyperlink r:id="rId3213" ref="AA1639"/>
    <hyperlink r:id="rId3214" ref="I1640"/>
    <hyperlink r:id="rId3215" ref="T1640"/>
    <hyperlink r:id="rId3216" ref="AA1640"/>
    <hyperlink r:id="rId3217" ref="I1641"/>
    <hyperlink r:id="rId3218" ref="T1641"/>
    <hyperlink r:id="rId3219" ref="AA1641"/>
    <hyperlink r:id="rId3220" ref="I1642"/>
    <hyperlink r:id="rId3221" ref="T1642"/>
    <hyperlink r:id="rId3222" ref="AA1642"/>
    <hyperlink r:id="rId3223" ref="I1643"/>
    <hyperlink r:id="rId3224" ref="T1643"/>
    <hyperlink r:id="rId3225" ref="AA1643"/>
    <hyperlink r:id="rId3226" ref="I1644"/>
    <hyperlink r:id="rId3227" ref="T1644"/>
    <hyperlink r:id="rId3228" ref="AA1644"/>
    <hyperlink r:id="rId3229" ref="I1645"/>
    <hyperlink r:id="rId3230" ref="T1645"/>
    <hyperlink r:id="rId3231" ref="AA1645"/>
    <hyperlink r:id="rId3232" ref="I1646"/>
    <hyperlink r:id="rId3233" ref="T1646"/>
    <hyperlink r:id="rId3234" ref="V1646"/>
    <hyperlink r:id="rId3235" ref="AA1646"/>
    <hyperlink r:id="rId3236" ref="I1647"/>
    <hyperlink r:id="rId3237" ref="T1647"/>
    <hyperlink r:id="rId3238" ref="AA1647"/>
    <hyperlink r:id="rId3239" ref="I1648"/>
    <hyperlink r:id="rId3240" ref="T1648"/>
    <hyperlink r:id="rId3241" ref="U1648"/>
    <hyperlink r:id="rId3242" ref="AA1648"/>
    <hyperlink r:id="rId3243" ref="I1649"/>
    <hyperlink r:id="rId3244" ref="T1649"/>
    <hyperlink r:id="rId3245" ref="V1649"/>
    <hyperlink r:id="rId3246" ref="AA1649"/>
    <hyperlink r:id="rId3247" ref="I1650"/>
    <hyperlink r:id="rId3248" ref="T1650"/>
    <hyperlink r:id="rId3249" ref="AA1650"/>
    <hyperlink r:id="rId3250" ref="I1651"/>
    <hyperlink r:id="rId3251" ref="T1651"/>
    <hyperlink r:id="rId3252" ref="U1651"/>
    <hyperlink r:id="rId3253" ref="V1651"/>
    <hyperlink r:id="rId3254" ref="AA1651"/>
    <hyperlink r:id="rId3255" ref="T1652"/>
    <hyperlink r:id="rId3256" ref="AA1652"/>
    <hyperlink r:id="rId3257" ref="I1653"/>
    <hyperlink r:id="rId3258" ref="T1653"/>
    <hyperlink r:id="rId3259" ref="AA1653"/>
    <hyperlink r:id="rId3260" ref="T1654"/>
    <hyperlink r:id="rId3261" ref="AA1654"/>
    <hyperlink r:id="rId3262" ref="I1655"/>
    <hyperlink r:id="rId3263" ref="T1655"/>
    <hyperlink r:id="rId3264" ref="U1655"/>
    <hyperlink r:id="rId3265" ref="AA1655"/>
    <hyperlink r:id="rId3266" ref="I1656"/>
    <hyperlink r:id="rId3267" ref="T1656"/>
    <hyperlink r:id="rId3268" ref="AA1656"/>
    <hyperlink r:id="rId3269" ref="G1657"/>
    <hyperlink r:id="rId3269" ref="I1657"/>
    <hyperlink r:id="rId3270" ref="T1657"/>
    <hyperlink r:id="rId3271" ref="AA1657"/>
    <hyperlink r:id="rId3272" ref="I1658"/>
    <hyperlink r:id="rId3273" ref="T1658"/>
    <hyperlink r:id="rId3274" ref="AA1658"/>
    <hyperlink r:id="rId3275" ref="I1659"/>
    <hyperlink r:id="rId3276" ref="T1659"/>
    <hyperlink r:id="rId3277" ref="AA1659"/>
    <hyperlink r:id="rId3278" ref="I1660"/>
    <hyperlink r:id="rId3279" ref="T1660"/>
    <hyperlink r:id="rId3280" ref="V1660"/>
    <hyperlink r:id="rId3281" ref="AA1660"/>
    <hyperlink r:id="rId3282" ref="I1661"/>
    <hyperlink r:id="rId3283" ref="T1661"/>
    <hyperlink r:id="rId3284" ref="AA1661"/>
    <hyperlink r:id="rId3285" ref="I1662"/>
    <hyperlink r:id="rId3286" ref="T1662"/>
    <hyperlink r:id="rId3287" ref="AA1662"/>
    <hyperlink r:id="rId3288" ref="I1663"/>
    <hyperlink r:id="rId3289" ref="T1663"/>
    <hyperlink r:id="rId3290" ref="AA1663"/>
    <hyperlink r:id="rId3291" ref="T1664"/>
    <hyperlink r:id="rId3292" ref="W1664"/>
    <hyperlink r:id="rId3293" ref="AA1664"/>
    <hyperlink r:id="rId3294" ref="T1665"/>
    <hyperlink r:id="rId3295" ref="AA1665"/>
    <hyperlink r:id="rId3296" ref="I1666"/>
    <hyperlink r:id="rId3297" ref="T1666"/>
    <hyperlink r:id="rId3298" ref="AA1666"/>
    <hyperlink r:id="rId3299" ref="I1667"/>
    <hyperlink r:id="rId3300" ref="T1667"/>
    <hyperlink r:id="rId3301" ref="AA1667"/>
    <hyperlink r:id="rId3302" ref="I1668"/>
    <hyperlink r:id="rId3303" ref="T1668"/>
    <hyperlink r:id="rId3304" ref="AA1668"/>
    <hyperlink r:id="rId2821" ref="I1669"/>
    <hyperlink r:id="rId2822" ref="T1669"/>
    <hyperlink r:id="rId2823" ref="U1669"/>
    <hyperlink r:id="rId2824" ref="V1669"/>
    <hyperlink r:id="rId3305" ref="AA1669"/>
    <hyperlink r:id="rId3306" ref="I1670"/>
    <hyperlink r:id="rId3307" ref="T1670"/>
    <hyperlink r:id="rId3308" ref="V1670"/>
    <hyperlink r:id="rId3309" ref="AA1670"/>
    <hyperlink r:id="rId3310" ref="I1671"/>
    <hyperlink r:id="rId3311" ref="T1671"/>
    <hyperlink r:id="rId3312" ref="AA1671"/>
    <hyperlink r:id="rId3313" ref="I1672"/>
    <hyperlink r:id="rId3314" ref="T1672"/>
    <hyperlink r:id="rId3315" ref="AA1672"/>
    <hyperlink r:id="rId3316" ref="I1673"/>
    <hyperlink r:id="rId3317" ref="T1673"/>
    <hyperlink r:id="rId3318" ref="AA1673"/>
    <hyperlink r:id="rId3319" ref="I1674"/>
    <hyperlink r:id="rId3320" ref="T1674"/>
    <hyperlink r:id="rId3321" ref="AA1674"/>
    <hyperlink r:id="rId3322" ref="I1675"/>
    <hyperlink r:id="rId3323" ref="T1675"/>
    <hyperlink r:id="rId3324" ref="AA1675"/>
    <hyperlink r:id="rId3325" ref="I1676"/>
    <hyperlink r:id="rId3326" ref="T1676"/>
    <hyperlink r:id="rId3327" ref="AA1676"/>
    <hyperlink r:id="rId3328" ref="I1677"/>
    <hyperlink r:id="rId3329" ref="T1677"/>
    <hyperlink r:id="rId3330" ref="V1677"/>
    <hyperlink r:id="rId3331" ref="AA1677"/>
    <hyperlink r:id="rId3328" ref="I1678"/>
    <hyperlink r:id="rId3329" ref="T1678"/>
    <hyperlink r:id="rId3330" ref="V1678"/>
    <hyperlink r:id="rId3332" ref="AA1678"/>
    <hyperlink r:id="rId3333" ref="T1679"/>
    <hyperlink r:id="rId3334" ref="U1679"/>
    <hyperlink r:id="rId3335" ref="V1679"/>
    <hyperlink r:id="rId3336" ref="AA1679"/>
    <hyperlink r:id="rId3337" ref="I1680"/>
    <hyperlink r:id="rId3338" ref="T1680"/>
    <hyperlink r:id="rId3339" ref="V1680"/>
    <hyperlink r:id="rId3340" ref="AA1680"/>
    <hyperlink r:id="rId3341" ref="I1681"/>
    <hyperlink r:id="rId3342" ref="T1681"/>
    <hyperlink r:id="rId3343" ref="AA1681"/>
    <hyperlink r:id="rId3344" ref="I1682"/>
    <hyperlink r:id="rId3345" ref="T1682"/>
    <hyperlink r:id="rId3346" ref="V1682"/>
    <hyperlink r:id="rId3347" ref="AA1682"/>
    <hyperlink r:id="rId3348" ref="I1683"/>
    <hyperlink r:id="rId3349" ref="T1683"/>
    <hyperlink r:id="rId3350" ref="V1683"/>
    <hyperlink r:id="rId3351" ref="AA1683"/>
    <hyperlink r:id="rId3352" ref="I1684"/>
    <hyperlink r:id="rId3353" ref="T1684"/>
    <hyperlink r:id="rId3354" ref="AA1684"/>
    <hyperlink r:id="rId3355" ref="I1685"/>
    <hyperlink r:id="rId3356" ref="T1685"/>
    <hyperlink r:id="rId3357" ref="AA1685"/>
    <hyperlink r:id="rId3358" ref="T1686"/>
    <hyperlink r:id="rId3359" ref="AA1686"/>
    <hyperlink r:id="rId3360" ref="T1687"/>
    <hyperlink r:id="rId3361" ref="AA1687"/>
    <hyperlink r:id="rId3362" ref="I1688"/>
    <hyperlink r:id="rId3363" ref="T1688"/>
    <hyperlink r:id="rId3364" ref="AA1688"/>
    <hyperlink r:id="rId3365" ref="I1689"/>
    <hyperlink r:id="rId3366" ref="T1689"/>
    <hyperlink r:id="rId3367" ref="AA1689"/>
    <hyperlink r:id="rId3368" ref="I1690"/>
    <hyperlink r:id="rId3369" ref="T1690"/>
    <hyperlink r:id="rId3370" ref="AA1690"/>
    <hyperlink r:id="rId3371" ref="I1691"/>
    <hyperlink r:id="rId3372" ref="T1691"/>
    <hyperlink r:id="rId3373" ref="AA1691"/>
    <hyperlink r:id="rId3374" ref="I1692"/>
    <hyperlink r:id="rId3375" ref="T1692"/>
    <hyperlink r:id="rId3376" ref="AA1692"/>
    <hyperlink r:id="rId3377" ref="I1693"/>
    <hyperlink r:id="rId3378" ref="T1693"/>
    <hyperlink r:id="rId3379" ref="AA1693"/>
    <hyperlink r:id="rId3380" ref="I1694"/>
    <hyperlink r:id="rId3381" ref="T1694"/>
    <hyperlink r:id="rId3382" ref="AA1694"/>
    <hyperlink r:id="rId3383" ref="I1695"/>
    <hyperlink r:id="rId3384" ref="T1695"/>
    <hyperlink r:id="rId3385" ref="V1695"/>
    <hyperlink r:id="rId3386" ref="AA1695"/>
    <hyperlink r:id="rId3387" ref="T1696"/>
    <hyperlink r:id="rId3388" ref="AA1696"/>
    <hyperlink r:id="rId3389" ref="I1697"/>
    <hyperlink r:id="rId3390" ref="T1697"/>
    <hyperlink r:id="rId3391" ref="AA1697"/>
    <hyperlink r:id="rId3392" ref="I1698"/>
    <hyperlink r:id="rId3393" ref="T1698"/>
    <hyperlink r:id="rId3394" ref="AA1698"/>
    <hyperlink r:id="rId3395" ref="I1699"/>
    <hyperlink r:id="rId3396" ref="T1699"/>
    <hyperlink r:id="rId3397" ref="U1699"/>
    <hyperlink r:id="rId3398" ref="V1699"/>
    <hyperlink r:id="rId3399" ref="AA1699"/>
    <hyperlink r:id="rId3400" ref="T1700"/>
    <hyperlink r:id="rId3401" ref="AA1700"/>
    <hyperlink r:id="rId3402" ref="I1701"/>
    <hyperlink r:id="rId3403" ref="T1701"/>
    <hyperlink r:id="rId3404" ref="AA1701"/>
    <hyperlink r:id="rId3405" ref="I1702"/>
    <hyperlink r:id="rId3406" ref="T1702"/>
    <hyperlink r:id="rId3407" ref="U1702"/>
    <hyperlink r:id="rId3408" ref="AA1702"/>
    <hyperlink r:id="rId3409" ref="I1703"/>
    <hyperlink r:id="rId3410" ref="T1703"/>
    <hyperlink r:id="rId3411" ref="U1703"/>
    <hyperlink r:id="rId3412" ref="V1703"/>
    <hyperlink r:id="rId3413" ref="AA1703"/>
    <hyperlink r:id="rId3414" ref="T1704"/>
    <hyperlink r:id="rId3415" ref="U1704"/>
    <hyperlink r:id="rId3416" ref="V1704"/>
    <hyperlink r:id="rId3417" ref="AA1704"/>
    <hyperlink r:id="rId3418" ref="I1705"/>
    <hyperlink r:id="rId3419" ref="T1705"/>
    <hyperlink r:id="rId3420" ref="AA1705"/>
    <hyperlink r:id="rId3421" ref="I1706"/>
    <hyperlink r:id="rId3422" ref="T1706"/>
    <hyperlink r:id="rId3423" ref="AA1706"/>
    <hyperlink r:id="rId3424" ref="I1707"/>
    <hyperlink r:id="rId3425" ref="T1707"/>
    <hyperlink r:id="rId3426" ref="V1707"/>
    <hyperlink r:id="rId3427" ref="AA1707"/>
    <hyperlink r:id="rId3428" ref="I1708"/>
    <hyperlink r:id="rId3429" ref="T1708"/>
    <hyperlink r:id="rId3430" ref="AA1708"/>
    <hyperlink r:id="rId3431" ref="I1709"/>
    <hyperlink r:id="rId3432" ref="T1709"/>
    <hyperlink r:id="rId3433" ref="U1709"/>
    <hyperlink r:id="rId3434" ref="V1709"/>
    <hyperlink r:id="rId3435" ref="AA1709"/>
    <hyperlink r:id="rId3436" ref="I1710"/>
    <hyperlink r:id="rId3437" ref="T1710"/>
    <hyperlink r:id="rId3438" ref="V1710"/>
    <hyperlink r:id="rId3439" ref="AA1710"/>
    <hyperlink r:id="rId3440" ref="I1711"/>
    <hyperlink r:id="rId3441" ref="T1711"/>
    <hyperlink r:id="rId3442" ref="AA1711"/>
    <hyperlink r:id="rId3443" ref="I1712"/>
    <hyperlink r:id="rId3444" ref="T1712"/>
    <hyperlink r:id="rId3445" ref="AA1712"/>
    <hyperlink r:id="rId3446" ref="I1713"/>
    <hyperlink r:id="rId3447" ref="T1713"/>
    <hyperlink r:id="rId3448" ref="AA1713"/>
    <hyperlink r:id="rId3449" ref="I1714"/>
    <hyperlink r:id="rId3450" ref="T1714"/>
    <hyperlink r:id="rId3451" ref="V1714"/>
    <hyperlink r:id="rId3452" ref="AA1714"/>
    <hyperlink r:id="rId3453" ref="I1715"/>
    <hyperlink r:id="rId3454" ref="T1715"/>
    <hyperlink r:id="rId3455" ref="U1715"/>
    <hyperlink r:id="rId3456" ref="AA1715"/>
    <hyperlink r:id="rId3457" ref="I1716"/>
    <hyperlink r:id="rId3458" ref="T1716"/>
    <hyperlink r:id="rId3459" ref="AA1716"/>
    <hyperlink r:id="rId3460" ref="I1717"/>
    <hyperlink r:id="rId3461" ref="T1717"/>
    <hyperlink r:id="rId3462" ref="AA1717"/>
    <hyperlink r:id="rId3463" ref="I1718"/>
    <hyperlink r:id="rId3464" ref="T1718"/>
    <hyperlink r:id="rId3465" ref="V1718"/>
    <hyperlink r:id="rId3466" ref="AA1718"/>
    <hyperlink r:id="rId3467" ref="I1719"/>
    <hyperlink r:id="rId3468" ref="T1719"/>
    <hyperlink r:id="rId3469" ref="AA1719"/>
    <hyperlink r:id="rId3470" ref="I1720"/>
    <hyperlink r:id="rId3471" ref="T1720"/>
    <hyperlink r:id="rId3472" ref="U1720"/>
    <hyperlink r:id="rId3473" ref="V1720"/>
    <hyperlink r:id="rId3474" ref="AA1720"/>
    <hyperlink r:id="rId3475" ref="I1721"/>
    <hyperlink r:id="rId3476" ref="T1721"/>
    <hyperlink r:id="rId3477" ref="U1721"/>
    <hyperlink r:id="rId3478" ref="V1721"/>
    <hyperlink r:id="rId3479" ref="AA1721"/>
    <hyperlink r:id="rId3480" ref="I1722"/>
    <hyperlink r:id="rId3481" ref="T1722"/>
    <hyperlink r:id="rId3482" ref="AA1722"/>
    <hyperlink r:id="rId3483" ref="I1723"/>
    <hyperlink r:id="rId3484" ref="T1723"/>
    <hyperlink r:id="rId3485" ref="AA1723"/>
    <hyperlink r:id="rId3486" ref="I1724"/>
    <hyperlink r:id="rId3487" ref="T1724"/>
    <hyperlink r:id="rId3488" ref="AA1724"/>
    <hyperlink r:id="rId3489" ref="I1725"/>
    <hyperlink r:id="rId3490" ref="T1725"/>
    <hyperlink r:id="rId3491" ref="AA1725"/>
    <hyperlink r:id="rId3492" ref="I1726"/>
    <hyperlink r:id="rId3493" ref="T1726"/>
    <hyperlink r:id="rId3494" ref="AA1726"/>
    <hyperlink r:id="rId3495" ref="I1727"/>
    <hyperlink r:id="rId3496" ref="T1727"/>
    <hyperlink r:id="rId3497" ref="V1727"/>
    <hyperlink r:id="rId3498" ref="AA1727"/>
    <hyperlink r:id="rId3499" ref="I1728"/>
    <hyperlink r:id="rId3500" ref="T1728"/>
    <hyperlink r:id="rId3501" ref="AA1728"/>
    <hyperlink r:id="rId3502" ref="I1729"/>
    <hyperlink r:id="rId3503" ref="T1729"/>
    <hyperlink r:id="rId3504" ref="AA1729"/>
    <hyperlink r:id="rId3505" ref="I1730"/>
    <hyperlink r:id="rId3506" ref="T1730"/>
    <hyperlink r:id="rId3507" ref="AA1730"/>
    <hyperlink r:id="rId3508" ref="I1731"/>
    <hyperlink r:id="rId3509" ref="T1731"/>
    <hyperlink r:id="rId3510" ref="U1731"/>
    <hyperlink r:id="rId3511" ref="AA1731"/>
    <hyperlink r:id="rId3512" ref="I1732"/>
    <hyperlink r:id="rId3513" ref="T1732"/>
    <hyperlink r:id="rId3514" ref="U1732"/>
    <hyperlink r:id="rId3515" ref="V1732"/>
    <hyperlink r:id="rId3516" ref="AA1732"/>
    <hyperlink r:id="rId3517" ref="I1733"/>
    <hyperlink r:id="rId3518" ref="T1733"/>
    <hyperlink r:id="rId3519" ref="AA1733"/>
    <hyperlink r:id="rId3520" ref="I1734"/>
    <hyperlink r:id="rId3521" ref="T1734"/>
    <hyperlink r:id="rId3522" ref="AA1734"/>
    <hyperlink r:id="rId3523" ref="I1735"/>
    <hyperlink r:id="rId3524" ref="T1735"/>
    <hyperlink r:id="rId3525" ref="V1735"/>
    <hyperlink r:id="rId3526" ref="AA1735"/>
    <hyperlink r:id="rId3527" ref="I1736"/>
    <hyperlink r:id="rId3528" ref="T1736"/>
    <hyperlink r:id="rId3529" ref="AA1736"/>
    <hyperlink r:id="rId3530" ref="I1737"/>
    <hyperlink r:id="rId3531" ref="T1737"/>
    <hyperlink r:id="rId3532" ref="AA1737"/>
    <hyperlink r:id="rId3533" ref="I1738"/>
    <hyperlink r:id="rId3534" ref="T1738"/>
    <hyperlink r:id="rId3535" ref="AA1738"/>
    <hyperlink r:id="rId3536" ref="I1739"/>
    <hyperlink r:id="rId3537" ref="T1739"/>
    <hyperlink r:id="rId3538" ref="V1739"/>
    <hyperlink r:id="rId3539" ref="AA1739"/>
    <hyperlink r:id="rId3540" ref="I1740"/>
    <hyperlink r:id="rId3541" ref="T1740"/>
    <hyperlink r:id="rId3542" ref="AA1740"/>
    <hyperlink r:id="rId3543" ref="I1741"/>
    <hyperlink r:id="rId3544" ref="T1741"/>
    <hyperlink r:id="rId3545" ref="AA1741"/>
    <hyperlink r:id="rId3546" ref="I1742"/>
    <hyperlink r:id="rId3547" ref="T1742"/>
    <hyperlink r:id="rId3548" ref="U1742"/>
    <hyperlink r:id="rId3549" ref="V1742"/>
    <hyperlink r:id="rId3550" ref="AA1742"/>
    <hyperlink r:id="rId3551" ref="I1743"/>
    <hyperlink r:id="rId3552" ref="T1743"/>
    <hyperlink r:id="rId3553" ref="U1743"/>
    <hyperlink r:id="rId3554" ref="V1743"/>
    <hyperlink r:id="rId3555" ref="AA1743"/>
    <hyperlink r:id="rId3556" ref="I1744"/>
    <hyperlink r:id="rId3557" ref="T1744"/>
    <hyperlink r:id="rId3558" ref="AA1744"/>
    <hyperlink r:id="rId3559" ref="I1745"/>
    <hyperlink r:id="rId3560" ref="T1745"/>
    <hyperlink r:id="rId3561" ref="AA1745"/>
    <hyperlink r:id="rId3562" ref="I1746"/>
    <hyperlink r:id="rId3563" ref="T1746"/>
    <hyperlink r:id="rId3564" ref="AA1746"/>
    <hyperlink r:id="rId3565" ref="I1747"/>
    <hyperlink r:id="rId3566" ref="T1747"/>
    <hyperlink r:id="rId3567" ref="AA1747"/>
    <hyperlink r:id="rId3568" ref="I1748"/>
    <hyperlink r:id="rId3569" ref="T1748"/>
    <hyperlink r:id="rId3570" ref="AA1748"/>
    <hyperlink r:id="rId3571" ref="I1749"/>
    <hyperlink r:id="rId3572" ref="T1749"/>
    <hyperlink r:id="rId3573" ref="AA1749"/>
    <hyperlink r:id="rId3574" ref="I1750"/>
    <hyperlink r:id="rId3575" ref="T1750"/>
    <hyperlink r:id="rId3576" ref="V1750"/>
    <hyperlink r:id="rId3577" ref="AA1750"/>
    <hyperlink r:id="rId3578" ref="I1751"/>
    <hyperlink r:id="rId3579" ref="T1751"/>
    <hyperlink r:id="rId3580" ref="AA1751"/>
    <hyperlink r:id="rId3581" ref="I1752"/>
    <hyperlink r:id="rId3582" ref="T1752"/>
    <hyperlink r:id="rId3583" ref="V1752"/>
    <hyperlink r:id="rId3584" ref="AA1752"/>
    <hyperlink r:id="rId3585" ref="G1753"/>
    <hyperlink r:id="rId3585" ref="I1753"/>
    <hyperlink r:id="rId3586" ref="T1753"/>
    <hyperlink r:id="rId3587" ref="V1753"/>
    <hyperlink r:id="rId3588" ref="AA1753"/>
    <hyperlink r:id="rId3589" ref="I1754"/>
    <hyperlink r:id="rId3590" ref="T1754"/>
    <hyperlink r:id="rId3591" ref="AA1754"/>
    <hyperlink r:id="rId3592" ref="I1755"/>
    <hyperlink r:id="rId3593" ref="T1755"/>
    <hyperlink r:id="rId3594" ref="V1755"/>
    <hyperlink r:id="rId3595" ref="AA1755"/>
    <hyperlink r:id="rId3596" ref="I1756"/>
    <hyperlink r:id="rId3597" ref="T1756"/>
    <hyperlink r:id="rId3598" ref="AA1756"/>
    <hyperlink r:id="rId3599" ref="I1757"/>
    <hyperlink r:id="rId3600" ref="T1757"/>
    <hyperlink r:id="rId3601" ref="AA1757"/>
    <hyperlink r:id="rId3602" ref="I1758"/>
    <hyperlink r:id="rId3603" ref="T1758"/>
    <hyperlink r:id="rId3604" ref="V1758"/>
    <hyperlink r:id="rId3605" ref="AA1758"/>
    <hyperlink r:id="rId3606" ref="I1759"/>
    <hyperlink r:id="rId3607" ref="T1759"/>
    <hyperlink r:id="rId3608" ref="U1759"/>
    <hyperlink r:id="rId3609" ref="V1759"/>
    <hyperlink r:id="rId3610" ref="AA1759"/>
    <hyperlink r:id="rId3611" ref="I1760"/>
    <hyperlink r:id="rId3612" ref="T1760"/>
    <hyperlink r:id="rId3613" ref="AA1760"/>
    <hyperlink r:id="rId3614" ref="I1761"/>
    <hyperlink r:id="rId3615" ref="T1761"/>
    <hyperlink r:id="rId3616" ref="V1761"/>
    <hyperlink r:id="rId3617" ref="AA1761"/>
    <hyperlink r:id="rId3618" ref="I1762"/>
    <hyperlink r:id="rId3619" ref="T1762"/>
    <hyperlink r:id="rId3620" ref="AA1762"/>
    <hyperlink r:id="rId3621" ref="I1763"/>
    <hyperlink r:id="rId3622" ref="T1763"/>
    <hyperlink r:id="rId3623" ref="AA1763"/>
    <hyperlink r:id="rId3624" ref="I1764"/>
    <hyperlink r:id="rId3625" ref="T1764"/>
    <hyperlink r:id="rId3626" ref="V1764"/>
    <hyperlink r:id="rId3627" ref="AA1764"/>
    <hyperlink r:id="rId3628" ref="I1765"/>
    <hyperlink r:id="rId3629" ref="T1765"/>
    <hyperlink r:id="rId3630" ref="U1765"/>
    <hyperlink r:id="rId3631" ref="V1765"/>
    <hyperlink r:id="rId3632" ref="AA1765"/>
    <hyperlink r:id="rId3633" ref="I1766"/>
    <hyperlink r:id="rId3634" ref="T1766"/>
    <hyperlink r:id="rId3635" ref="AA1766"/>
    <hyperlink r:id="rId3636" ref="I1767"/>
    <hyperlink r:id="rId3637" ref="T1767"/>
    <hyperlink r:id="rId3638" ref="AA1767"/>
    <hyperlink r:id="rId3639" ref="I1768"/>
    <hyperlink r:id="rId3640" ref="T1768"/>
    <hyperlink r:id="rId3641" ref="AA1768"/>
    <hyperlink r:id="rId3642" ref="I1769"/>
    <hyperlink r:id="rId3643" ref="T1769"/>
    <hyperlink r:id="rId3644" ref="AA1769"/>
    <hyperlink r:id="rId3645" ref="I1770"/>
    <hyperlink r:id="rId3646" ref="T1770"/>
    <hyperlink r:id="rId3647" ref="AA1770"/>
    <hyperlink r:id="rId3648" ref="I1771"/>
    <hyperlink r:id="rId3649" ref="T1771"/>
    <hyperlink r:id="rId3650" ref="AA1771"/>
    <hyperlink r:id="rId2901" ref="T1772"/>
    <hyperlink r:id="rId3651" ref="AA1772"/>
    <hyperlink r:id="rId3652" ref="I1773"/>
    <hyperlink r:id="rId3653" ref="T1773"/>
    <hyperlink r:id="rId3654" ref="AA1773"/>
    <hyperlink r:id="rId3655" ref="I1774"/>
    <hyperlink r:id="rId3656" ref="T1774"/>
    <hyperlink r:id="rId3657" ref="AA1774"/>
    <hyperlink r:id="rId2821" ref="I1775"/>
    <hyperlink r:id="rId2822" ref="T1775"/>
    <hyperlink r:id="rId2823" ref="U1775"/>
    <hyperlink r:id="rId2824" ref="V1775"/>
    <hyperlink r:id="rId3658" ref="AA1775"/>
    <hyperlink r:id="rId3659" ref="I1776"/>
    <hyperlink r:id="rId3660" ref="T1776"/>
    <hyperlink r:id="rId3661" ref="AA1776"/>
    <hyperlink r:id="rId3662" ref="T1777"/>
    <hyperlink r:id="rId3663" ref="U1777"/>
    <hyperlink r:id="rId3664" ref="AA1777"/>
    <hyperlink r:id="rId3665" ref="I1778"/>
    <hyperlink r:id="rId3666" ref="T1778"/>
    <hyperlink r:id="rId3667" ref="V1778"/>
    <hyperlink r:id="rId3668" ref="AA1778"/>
    <hyperlink r:id="rId3669" ref="I1779"/>
    <hyperlink r:id="rId3670" ref="T1779"/>
    <hyperlink r:id="rId3671" ref="AA1779"/>
    <hyperlink r:id="rId3672" ref="I1780"/>
    <hyperlink r:id="rId3673" ref="T1780"/>
    <hyperlink r:id="rId3674" ref="U1780"/>
    <hyperlink r:id="rId3675" ref="V1780"/>
    <hyperlink r:id="rId3676" ref="AA1780"/>
    <hyperlink r:id="rId3677" ref="I1781"/>
    <hyperlink r:id="rId3678" ref="T1781"/>
    <hyperlink r:id="rId3679" ref="U1781"/>
    <hyperlink r:id="rId3680" ref="W1781"/>
    <hyperlink r:id="rId3681" ref="AA1781"/>
    <hyperlink r:id="rId3682" ref="T1782"/>
    <hyperlink r:id="rId3683" ref="AA1782"/>
    <hyperlink r:id="rId3684" ref="I1783"/>
    <hyperlink r:id="rId3685" ref="T1783"/>
    <hyperlink r:id="rId3686" ref="AA1783"/>
    <hyperlink r:id="rId3328" ref="I1784"/>
    <hyperlink r:id="rId3329" ref="T1784"/>
    <hyperlink r:id="rId3330" ref="V1784"/>
    <hyperlink r:id="rId3687" ref="AA1784"/>
    <hyperlink r:id="rId3688" ref="I1785"/>
    <hyperlink r:id="rId3689" ref="T1785"/>
    <hyperlink r:id="rId3690" ref="U1785"/>
    <hyperlink r:id="rId3691" ref="V1785"/>
    <hyperlink r:id="rId3692" ref="AA1785"/>
    <hyperlink r:id="rId3693" ref="I1786"/>
    <hyperlink r:id="rId3694" ref="T1786"/>
    <hyperlink r:id="rId3695" ref="AA1786"/>
    <hyperlink r:id="rId3696" ref="I1787"/>
    <hyperlink r:id="rId3697" ref="T1787"/>
    <hyperlink r:id="rId3698" ref="AA1787"/>
    <hyperlink r:id="rId3699" ref="I1788"/>
    <hyperlink r:id="rId3700" ref="T1788"/>
    <hyperlink r:id="rId3701" ref="AA1788"/>
    <hyperlink r:id="rId3702" ref="I1789"/>
    <hyperlink r:id="rId3703" ref="T1789"/>
    <hyperlink r:id="rId3704" ref="AA1789"/>
    <hyperlink r:id="rId3705" ref="I1790"/>
    <hyperlink r:id="rId3706" ref="T1790"/>
    <hyperlink r:id="rId3707" ref="AA1790"/>
    <hyperlink r:id="rId3708" ref="I1791"/>
    <hyperlink r:id="rId3709" ref="T1791"/>
    <hyperlink r:id="rId3710" ref="AA1791"/>
    <hyperlink r:id="rId3711" ref="I1792"/>
    <hyperlink r:id="rId3712" ref="T1792"/>
    <hyperlink r:id="rId3713" ref="AA1792"/>
    <hyperlink r:id="rId3714" ref="I1793"/>
    <hyperlink r:id="rId3715" ref="T1793"/>
    <hyperlink r:id="rId3716" ref="AA1793"/>
    <hyperlink r:id="rId3717" ref="T1794"/>
    <hyperlink r:id="rId3718" ref="AA1794"/>
    <hyperlink r:id="rId2981" ref="I1795"/>
    <hyperlink r:id="rId2982" ref="T1795"/>
    <hyperlink r:id="rId2983" ref="V1795"/>
    <hyperlink r:id="rId3719" ref="AA1795"/>
    <hyperlink r:id="rId3720" ref="I1796"/>
    <hyperlink r:id="rId3721" ref="T1796"/>
    <hyperlink r:id="rId3722" ref="AA1796"/>
    <hyperlink r:id="rId3723" ref="I1797"/>
    <hyperlink r:id="rId3724" ref="T1797"/>
    <hyperlink r:id="rId3725" ref="AA1797"/>
    <hyperlink r:id="rId3726" ref="I1798"/>
    <hyperlink r:id="rId3727" ref="T1798"/>
    <hyperlink r:id="rId3728" ref="AA1798"/>
    <hyperlink r:id="rId3729" ref="I1799"/>
    <hyperlink r:id="rId3730" ref="T1799"/>
    <hyperlink r:id="rId3731" ref="AA1799"/>
    <hyperlink r:id="rId3732" ref="I1800"/>
    <hyperlink r:id="rId3733" ref="T1800"/>
    <hyperlink r:id="rId3734" ref="AA1800"/>
    <hyperlink r:id="rId3735" ref="I1801"/>
    <hyperlink r:id="rId3736" ref="T1801"/>
    <hyperlink r:id="rId3737" ref="AA1801"/>
    <hyperlink r:id="rId3738" ref="I1802"/>
    <hyperlink r:id="rId3739" ref="T1802"/>
    <hyperlink r:id="rId3740" ref="V1802"/>
    <hyperlink r:id="rId3741" ref="W1802"/>
    <hyperlink r:id="rId3742" ref="AA1802"/>
    <hyperlink r:id="rId3743" ref="I1803"/>
    <hyperlink r:id="rId3744" ref="T1803"/>
    <hyperlink r:id="rId2758" ref="V1803"/>
    <hyperlink r:id="rId3745" ref="AA1803"/>
    <hyperlink r:id="rId3746" ref="I1804"/>
    <hyperlink r:id="rId3747" ref="T1804"/>
    <hyperlink r:id="rId3748" ref="U1804"/>
    <hyperlink r:id="rId3749" ref="AA1804"/>
    <hyperlink r:id="rId3750" ref="T1805"/>
    <hyperlink r:id="rId3751" ref="AA1805"/>
    <hyperlink r:id="rId3752" ref="I1806"/>
    <hyperlink r:id="rId3753" ref="T1806"/>
    <hyperlink r:id="rId3754" ref="AA1806"/>
    <hyperlink r:id="rId3755" ref="I1807"/>
    <hyperlink r:id="rId3756" ref="T1807"/>
    <hyperlink r:id="rId3757" ref="AA1807"/>
    <hyperlink r:id="rId3618" ref="I1808"/>
    <hyperlink r:id="rId3619" ref="T1808"/>
    <hyperlink r:id="rId3758" ref="AA1808"/>
    <hyperlink r:id="rId3759" ref="I1809"/>
    <hyperlink r:id="rId3760" ref="T1809"/>
    <hyperlink r:id="rId3761" ref="U1809"/>
    <hyperlink r:id="rId3762" ref="V1809"/>
    <hyperlink r:id="rId3763" ref="AA1809"/>
    <hyperlink r:id="rId3764" ref="I1810"/>
    <hyperlink r:id="rId3765" ref="T1810"/>
    <hyperlink r:id="rId3766" ref="U1810"/>
    <hyperlink r:id="rId3767" ref="V1810"/>
    <hyperlink r:id="rId3768" ref="AA1810"/>
    <hyperlink r:id="rId3769" ref="I1811"/>
    <hyperlink r:id="rId3770" ref="T1811"/>
    <hyperlink r:id="rId3771" ref="V1811"/>
    <hyperlink r:id="rId3772" ref="AA1811"/>
    <hyperlink r:id="rId3773" ref="I1812"/>
    <hyperlink r:id="rId3774" ref="T1812"/>
    <hyperlink r:id="rId3775" ref="U1812"/>
    <hyperlink r:id="rId3776" ref="V1812"/>
    <hyperlink r:id="rId3777" ref="AA1812"/>
    <hyperlink r:id="rId3778" ref="I1813"/>
    <hyperlink r:id="rId3779" ref="T1813"/>
    <hyperlink r:id="rId3780" ref="AA1813"/>
    <hyperlink r:id="rId3781" ref="T1814"/>
    <hyperlink r:id="rId3782" ref="V1814"/>
    <hyperlink r:id="rId3783" ref="AA1814"/>
    <hyperlink r:id="rId3784" ref="I1815"/>
    <hyperlink r:id="rId3785" ref="T1815"/>
    <hyperlink r:id="rId3786" ref="AA1815"/>
    <hyperlink r:id="rId3787" ref="I1816"/>
    <hyperlink r:id="rId3788" ref="T1816"/>
    <hyperlink r:id="rId3789" ref="AA1816"/>
    <hyperlink r:id="rId3790" ref="I1817"/>
    <hyperlink r:id="rId3791" ref="T1817"/>
    <hyperlink r:id="rId3792" ref="V1817"/>
    <hyperlink r:id="rId3793" ref="AA1817"/>
    <hyperlink r:id="rId3794" ref="T1818"/>
    <hyperlink r:id="rId3795" ref="U1818"/>
    <hyperlink r:id="rId3796" ref="V1818"/>
    <hyperlink r:id="rId3797" ref="AA1818"/>
    <hyperlink r:id="rId3798" ref="I1819"/>
    <hyperlink r:id="rId3799" ref="T1819"/>
    <hyperlink r:id="rId3800" ref="AA1819"/>
    <hyperlink r:id="rId3801" ref="I1820"/>
    <hyperlink r:id="rId3802" ref="T1820"/>
    <hyperlink r:id="rId3803" ref="AA1820"/>
    <hyperlink r:id="rId3804" ref="I1821"/>
    <hyperlink r:id="rId3805" ref="T1821"/>
    <hyperlink r:id="rId3806" ref="U1821"/>
    <hyperlink r:id="rId3807" ref="V1821"/>
    <hyperlink r:id="rId3808" ref="AA1821"/>
    <hyperlink r:id="rId3809" ref="I1822"/>
    <hyperlink r:id="rId3810" ref="T1822"/>
    <hyperlink r:id="rId3811" ref="U1822"/>
    <hyperlink r:id="rId3812" ref="AA1822"/>
    <hyperlink r:id="rId3813" ref="I1823"/>
    <hyperlink r:id="rId3814" ref="T1823"/>
    <hyperlink r:id="rId3815" ref="AA1823"/>
    <hyperlink r:id="rId3816" ref="I1824"/>
    <hyperlink r:id="rId3817" ref="T1824"/>
    <hyperlink r:id="rId3818" ref="U1824"/>
    <hyperlink r:id="rId3819" ref="V1824"/>
    <hyperlink r:id="rId3820" ref="AA1824"/>
    <hyperlink r:id="rId3821" ref="I1825"/>
    <hyperlink r:id="rId3822" ref="T1825"/>
    <hyperlink r:id="rId3823" ref="V1825"/>
    <hyperlink r:id="rId3824" ref="AA1825"/>
    <hyperlink r:id="rId3825" ref="I1826"/>
    <hyperlink r:id="rId3826" ref="T1826"/>
    <hyperlink r:id="rId3827" ref="AA1826"/>
    <hyperlink r:id="rId3828" ref="I1827"/>
    <hyperlink r:id="rId3829" ref="T1827"/>
    <hyperlink r:id="rId3830" ref="AA1827"/>
    <hyperlink r:id="rId3831" ref="I1828"/>
    <hyperlink r:id="rId3832" ref="T1828"/>
    <hyperlink r:id="rId3833" ref="AA1828"/>
    <hyperlink r:id="rId3834" ref="I1829"/>
    <hyperlink r:id="rId3835" ref="T1829"/>
    <hyperlink r:id="rId3836" ref="AA1829"/>
    <hyperlink r:id="rId3837" ref="I1830"/>
    <hyperlink r:id="rId3838" ref="T1830"/>
    <hyperlink r:id="rId3839" ref="AA1830"/>
    <hyperlink r:id="rId3840" ref="I1831"/>
    <hyperlink r:id="rId3841" ref="T1831"/>
    <hyperlink r:id="rId3842" ref="AA1831"/>
    <hyperlink r:id="rId3843" ref="I1832"/>
    <hyperlink r:id="rId3844" ref="T1832"/>
    <hyperlink r:id="rId3845" ref="AA1832"/>
    <hyperlink r:id="rId3846" ref="I1833"/>
    <hyperlink r:id="rId3847" ref="T1833"/>
    <hyperlink r:id="rId3848" ref="AA1833"/>
    <hyperlink r:id="rId3849" ref="I1834"/>
    <hyperlink r:id="rId3850" ref="T1834"/>
    <hyperlink r:id="rId3851" ref="AA1834"/>
    <hyperlink r:id="rId3852" ref="I1835"/>
    <hyperlink r:id="rId3853" ref="T1835"/>
    <hyperlink r:id="rId3854" ref="AA1835"/>
    <hyperlink r:id="rId3855" ref="I1836"/>
    <hyperlink r:id="rId3856" ref="T1836"/>
    <hyperlink r:id="rId3857" ref="AA1836"/>
    <hyperlink r:id="rId3858" ref="I1837"/>
    <hyperlink r:id="rId3859" ref="T1837"/>
    <hyperlink r:id="rId3860" ref="AA1837"/>
    <hyperlink r:id="rId3861" ref="T1838"/>
    <hyperlink r:id="rId3862" ref="AA1838"/>
    <hyperlink r:id="rId3863" ref="I1839"/>
    <hyperlink r:id="rId3864" ref="T1839"/>
    <hyperlink r:id="rId3865" ref="AA1839"/>
    <hyperlink r:id="rId3866" ref="I1840"/>
    <hyperlink r:id="rId3867" ref="T1840"/>
    <hyperlink r:id="rId3868" ref="AA1840"/>
    <hyperlink r:id="rId3869" ref="I1841"/>
    <hyperlink r:id="rId3870" ref="T1841"/>
    <hyperlink r:id="rId3871" ref="AA1841"/>
    <hyperlink r:id="rId3872" ref="I1842"/>
    <hyperlink r:id="rId3873" ref="T1842"/>
    <hyperlink r:id="rId3874" ref="V1842"/>
    <hyperlink r:id="rId3875" ref="AA1842"/>
    <hyperlink r:id="rId3876" ref="I1843"/>
    <hyperlink r:id="rId3877" ref="T1843"/>
    <hyperlink r:id="rId3878" ref="AA1843"/>
    <hyperlink r:id="rId3879" ref="I1844"/>
    <hyperlink r:id="rId3880" ref="T1844"/>
    <hyperlink r:id="rId3881" ref="AA1844"/>
    <hyperlink r:id="rId3882" ref="I1845"/>
    <hyperlink r:id="rId3883" ref="T1845"/>
    <hyperlink r:id="rId3884" ref="AA1845"/>
    <hyperlink r:id="rId3885" ref="I1846"/>
    <hyperlink r:id="rId3886" ref="T1846"/>
    <hyperlink r:id="rId3887" ref="AA1846"/>
    <hyperlink r:id="rId3888" ref="I1847"/>
    <hyperlink r:id="rId3889" ref="T1847"/>
    <hyperlink r:id="rId3890" ref="AA1847"/>
    <hyperlink r:id="rId3891" ref="I1848"/>
    <hyperlink r:id="rId3892" ref="T1848"/>
    <hyperlink r:id="rId3893" ref="AA1848"/>
    <hyperlink r:id="rId3894" ref="I1849"/>
    <hyperlink r:id="rId3895" ref="T1849"/>
    <hyperlink r:id="rId3896" ref="U1849"/>
    <hyperlink r:id="rId3897" ref="V1849"/>
    <hyperlink r:id="rId3898" ref="AA1849"/>
    <hyperlink r:id="rId3899" ref="I1850"/>
    <hyperlink r:id="rId3900" ref="T1850"/>
    <hyperlink r:id="rId3901" ref="V1850"/>
    <hyperlink r:id="rId3902" ref="AA1850"/>
    <hyperlink r:id="rId3903" ref="I1851"/>
    <hyperlink r:id="rId3904" ref="T1851"/>
    <hyperlink r:id="rId3905" ref="AA1851"/>
    <hyperlink r:id="rId3906" ref="I1852"/>
    <hyperlink r:id="rId3907" ref="T1852"/>
    <hyperlink r:id="rId3908" ref="AA1852"/>
    <hyperlink r:id="rId3909" ref="I1853"/>
    <hyperlink r:id="rId3910" ref="T1853"/>
    <hyperlink r:id="rId3911" ref="U1853"/>
    <hyperlink r:id="rId3912" ref="AA1853"/>
    <hyperlink r:id="rId3913" ref="I1854"/>
    <hyperlink r:id="rId3914" ref="T1854"/>
    <hyperlink r:id="rId3915" ref="AA1854"/>
    <hyperlink r:id="rId3916" ref="I1855"/>
    <hyperlink r:id="rId3917" ref="T1855"/>
    <hyperlink r:id="rId3918" ref="V1855"/>
    <hyperlink r:id="rId3919" ref="AA1855"/>
    <hyperlink r:id="rId3920" ref="I1856"/>
    <hyperlink r:id="rId3921" ref="T1856"/>
    <hyperlink r:id="rId3922" ref="U1856"/>
    <hyperlink r:id="rId3923" ref="AA1856"/>
    <hyperlink r:id="rId3924" ref="I1857"/>
    <hyperlink r:id="rId3925" ref="T1857"/>
    <hyperlink r:id="rId3926" ref="V1857"/>
    <hyperlink r:id="rId3927" ref="AA1857"/>
    <hyperlink r:id="rId3928" ref="I1858"/>
    <hyperlink r:id="rId3929" ref="T1858"/>
    <hyperlink r:id="rId3930" ref="AA1858"/>
    <hyperlink r:id="rId3931" ref="I1859"/>
    <hyperlink r:id="rId3932" ref="T1859"/>
    <hyperlink r:id="rId3933" ref="V1859"/>
    <hyperlink r:id="rId3934" ref="AA1859"/>
    <hyperlink r:id="rId3935" ref="I1860"/>
    <hyperlink r:id="rId3936" ref="T1860"/>
    <hyperlink r:id="rId3937" ref="AA1860"/>
    <hyperlink r:id="rId3938" ref="I1861"/>
    <hyperlink r:id="rId3939" ref="T1861"/>
    <hyperlink r:id="rId3940" ref="AA1861"/>
    <hyperlink r:id="rId3941" ref="I1862"/>
    <hyperlink r:id="rId3942" ref="T1862"/>
    <hyperlink r:id="rId3943" ref="AA1862"/>
    <hyperlink r:id="rId3944" ref="I1863"/>
    <hyperlink r:id="rId3945" ref="T1863"/>
    <hyperlink r:id="rId3946" ref="AA1863"/>
    <hyperlink r:id="rId3947" ref="I1864"/>
    <hyperlink r:id="rId3948" ref="T1864"/>
    <hyperlink r:id="rId3949" ref="AA1864"/>
    <hyperlink r:id="rId3950" ref="I1865"/>
    <hyperlink r:id="rId3951" ref="T1865"/>
    <hyperlink r:id="rId3952" ref="U1865"/>
    <hyperlink r:id="rId2758" ref="V1865"/>
    <hyperlink r:id="rId3953" ref="AA1865"/>
    <hyperlink r:id="rId3954" ref="T1866"/>
    <hyperlink r:id="rId3955" ref="AA1866"/>
    <hyperlink r:id="rId3956" ref="I1867"/>
    <hyperlink r:id="rId3957" ref="T1867"/>
    <hyperlink r:id="rId3958" ref="AA1867"/>
    <hyperlink r:id="rId3959" ref="I1868"/>
    <hyperlink r:id="rId3960" ref="T1868"/>
    <hyperlink r:id="rId3961" ref="V1868"/>
    <hyperlink r:id="rId3962" ref="AA1868"/>
    <hyperlink r:id="rId3963" ref="G1869"/>
    <hyperlink r:id="rId3963" ref="I1869"/>
    <hyperlink r:id="rId3964" ref="T1869"/>
    <hyperlink r:id="rId3965" ref="U1869"/>
    <hyperlink r:id="rId3966" ref="V1869"/>
    <hyperlink r:id="rId3967" ref="AA1869"/>
    <hyperlink r:id="rId3968" ref="I1870"/>
    <hyperlink r:id="rId3969" ref="T1870"/>
    <hyperlink r:id="rId3970" ref="U1870"/>
    <hyperlink r:id="rId3971" ref="AA1870"/>
    <hyperlink r:id="rId3972" ref="I1871"/>
    <hyperlink r:id="rId3973" ref="T1871"/>
    <hyperlink r:id="rId3974" ref="AA1871"/>
    <hyperlink r:id="rId3975" ref="I1872"/>
    <hyperlink r:id="rId3976" ref="T1872"/>
    <hyperlink r:id="rId3977" ref="AA1872"/>
    <hyperlink r:id="rId3978" ref="I1873"/>
    <hyperlink r:id="rId3979" ref="T1873"/>
    <hyperlink r:id="rId3980" ref="AA1873"/>
    <hyperlink r:id="rId3981" ref="I1874"/>
    <hyperlink r:id="rId3982" ref="T1874"/>
    <hyperlink r:id="rId3983" ref="AA1874"/>
    <hyperlink r:id="rId3984" ref="I1875"/>
    <hyperlink r:id="rId3985" ref="T1875"/>
    <hyperlink r:id="rId3986" ref="AA1875"/>
    <hyperlink r:id="rId3987" ref="I1876"/>
    <hyperlink r:id="rId3988" ref="T1876"/>
    <hyperlink r:id="rId3989" ref="AA1876"/>
    <hyperlink r:id="rId3990" ref="I1877"/>
    <hyperlink r:id="rId3991" ref="T1877"/>
    <hyperlink r:id="rId3992" ref="AA1877"/>
    <hyperlink r:id="rId3993" ref="I1878"/>
    <hyperlink r:id="rId3994" ref="T1878"/>
    <hyperlink r:id="rId3995" ref="AA1878"/>
    <hyperlink r:id="rId3996" ref="I1879"/>
    <hyperlink r:id="rId3997" ref="T1879"/>
    <hyperlink r:id="rId3998" ref="AA1879"/>
    <hyperlink r:id="rId3999" ref="I1880"/>
    <hyperlink r:id="rId4000" ref="T1880"/>
    <hyperlink r:id="rId4001" ref="V1880"/>
    <hyperlink r:id="rId4002" ref="AA1880"/>
    <hyperlink r:id="rId4003" ref="I1881"/>
    <hyperlink r:id="rId4004" ref="T1881"/>
    <hyperlink r:id="rId4005" ref="AA1881"/>
    <hyperlink r:id="rId4006" ref="T1882"/>
    <hyperlink r:id="rId4007" ref="AA1882"/>
    <hyperlink r:id="rId4008" ref="I1883"/>
    <hyperlink r:id="rId4009" ref="T1883"/>
    <hyperlink r:id="rId4010" ref="U1883"/>
    <hyperlink r:id="rId4011" ref="V1883"/>
    <hyperlink r:id="rId4012" ref="W1883"/>
    <hyperlink r:id="rId4013" ref="AA1883"/>
    <hyperlink r:id="rId4014" ref="I1884"/>
    <hyperlink r:id="rId4015" ref="T1884"/>
    <hyperlink r:id="rId4016" ref="AA1884"/>
    <hyperlink r:id="rId4017" ref="T1885"/>
    <hyperlink r:id="rId4018" ref="AA1885"/>
    <hyperlink r:id="rId4019" ref="I1886"/>
    <hyperlink r:id="rId4020" ref="T1886"/>
    <hyperlink r:id="rId4021" ref="V1886"/>
    <hyperlink r:id="rId4022" ref="AA1886"/>
    <hyperlink r:id="rId4023" ref="T1887"/>
    <hyperlink r:id="rId4024" ref="V1887"/>
    <hyperlink r:id="rId4025" ref="AA1887"/>
    <hyperlink r:id="rId4026" ref="I1888"/>
    <hyperlink r:id="rId4027" ref="T1888"/>
    <hyperlink r:id="rId4028" ref="AA1888"/>
    <hyperlink r:id="rId4029" ref="I1889"/>
    <hyperlink r:id="rId4030" ref="T1889"/>
    <hyperlink r:id="rId4031" ref="AA1889"/>
    <hyperlink r:id="rId4032" ref="I1890"/>
    <hyperlink r:id="rId4033" ref="T1890"/>
    <hyperlink r:id="rId4034" ref="V1890"/>
    <hyperlink r:id="rId4035" ref="AA1890"/>
    <hyperlink r:id="rId4036" ref="I1891"/>
    <hyperlink r:id="rId4037" ref="T1891"/>
    <hyperlink r:id="rId4038" ref="U1891"/>
    <hyperlink r:id="rId4039" ref="V1891"/>
    <hyperlink r:id="rId4040" ref="AA1891"/>
    <hyperlink r:id="rId4041" ref="T1892"/>
    <hyperlink r:id="rId4042" ref="AA1892"/>
    <hyperlink r:id="rId4043" ref="I1893"/>
    <hyperlink r:id="rId4044" ref="T1893"/>
    <hyperlink r:id="rId4045" ref="V1893"/>
    <hyperlink r:id="rId4046" ref="AA1893"/>
    <hyperlink r:id="rId4047" ref="I1894"/>
    <hyperlink r:id="rId4048" ref="T1894"/>
    <hyperlink r:id="rId4049" ref="AA1894"/>
    <hyperlink r:id="rId4050" ref="I1895"/>
    <hyperlink r:id="rId4051" ref="T1895"/>
    <hyperlink r:id="rId4052" ref="U1895"/>
    <hyperlink r:id="rId4053" ref="V1895"/>
    <hyperlink r:id="rId4054" ref="AA1895"/>
    <hyperlink r:id="rId4055" ref="I1896"/>
    <hyperlink r:id="rId4056" ref="T1896"/>
    <hyperlink r:id="rId4057" ref="V1896"/>
    <hyperlink r:id="rId4058" ref="AA1896"/>
    <hyperlink r:id="rId4059" ref="I1897"/>
    <hyperlink r:id="rId4060" ref="T1897"/>
    <hyperlink r:id="rId4061" ref="U1897"/>
    <hyperlink r:id="rId4062" ref="V1897"/>
    <hyperlink r:id="rId4063" ref="AA1897"/>
    <hyperlink r:id="rId4064" ref="I1898"/>
    <hyperlink r:id="rId4065" ref="T1898"/>
    <hyperlink r:id="rId4066" ref="AA1898"/>
    <hyperlink r:id="rId4067" ref="I1899"/>
    <hyperlink r:id="rId4068" ref="T1899"/>
    <hyperlink r:id="rId4069" ref="AA1899"/>
    <hyperlink r:id="rId4070" ref="I1900"/>
    <hyperlink r:id="rId4071" ref="T1900"/>
    <hyperlink r:id="rId4072" ref="AA1900"/>
    <hyperlink r:id="rId4073" ref="I1901"/>
    <hyperlink r:id="rId4074" ref="T1901"/>
    <hyperlink r:id="rId4075" ref="AA1901"/>
    <hyperlink r:id="rId4076" ref="I1902"/>
    <hyperlink r:id="rId4077" ref="T1902"/>
    <hyperlink r:id="rId4078" ref="AA1902"/>
    <hyperlink r:id="rId4079" ref="I1903"/>
    <hyperlink r:id="rId4080" ref="T1903"/>
    <hyperlink r:id="rId4081" ref="AA1903"/>
    <hyperlink r:id="rId4082" ref="I1904"/>
    <hyperlink r:id="rId4083" ref="T1904"/>
    <hyperlink r:id="rId4084" ref="AA1904"/>
    <hyperlink r:id="rId4085" ref="I1905"/>
    <hyperlink r:id="rId4086" ref="T1905"/>
    <hyperlink r:id="rId4087" ref="U1905"/>
    <hyperlink r:id="rId4088" ref="AA1905"/>
    <hyperlink r:id="rId4089" ref="I1906"/>
    <hyperlink r:id="rId4090" ref="T1906"/>
    <hyperlink r:id="rId4091" ref="AA1906"/>
    <hyperlink r:id="rId4092" ref="I1907"/>
    <hyperlink r:id="rId4093" ref="T1907"/>
    <hyperlink r:id="rId4094" ref="U1907"/>
    <hyperlink r:id="rId4095" ref="V1907"/>
    <hyperlink r:id="rId4096" ref="AA1907"/>
    <hyperlink r:id="rId4097" ref="I1908"/>
    <hyperlink r:id="rId4098" ref="T1908"/>
    <hyperlink r:id="rId4099" ref="V1908"/>
    <hyperlink r:id="rId4100" ref="AA1908"/>
    <hyperlink r:id="rId4101" ref="I1909"/>
    <hyperlink r:id="rId4102" ref="T1909"/>
    <hyperlink r:id="rId4103" ref="AA1909"/>
    <hyperlink r:id="rId4104" ref="I1910"/>
    <hyperlink r:id="rId4105" ref="T1910"/>
    <hyperlink r:id="rId4106" ref="AA1910"/>
    <hyperlink r:id="rId4107" ref="I1911"/>
    <hyperlink r:id="rId4108" ref="T1911"/>
    <hyperlink r:id="rId4109" ref="AA1911"/>
    <hyperlink r:id="rId4110" ref="I1912"/>
    <hyperlink r:id="rId4111" ref="T1912"/>
    <hyperlink r:id="rId4112" ref="AA1912"/>
    <hyperlink r:id="rId4113" ref="I1913"/>
    <hyperlink r:id="rId4114" ref="T1913"/>
    <hyperlink r:id="rId4115" ref="AA1913"/>
    <hyperlink r:id="rId4116" ref="I1914"/>
    <hyperlink r:id="rId4117" ref="T1914"/>
    <hyperlink r:id="rId4118" ref="AA1914"/>
    <hyperlink r:id="rId4119" ref="I1915"/>
    <hyperlink r:id="rId4120" ref="T1915"/>
    <hyperlink r:id="rId4121" ref="AA1915"/>
    <hyperlink r:id="rId4122" ref="T1916"/>
    <hyperlink r:id="rId4123" ref="U1916"/>
    <hyperlink r:id="rId4124" ref="V1916"/>
    <hyperlink r:id="rId4125" ref="AA1916"/>
    <hyperlink r:id="rId4126" ref="I1917"/>
    <hyperlink r:id="rId4127" ref="T1917"/>
    <hyperlink r:id="rId4128" ref="AA1917"/>
    <hyperlink r:id="rId4129" ref="T1918"/>
    <hyperlink r:id="rId4130" ref="AA1918"/>
    <hyperlink r:id="rId4131" ref="I1919"/>
    <hyperlink r:id="rId4132" ref="T1919"/>
    <hyperlink r:id="rId4133" ref="AA1919"/>
    <hyperlink r:id="rId4134" ref="I1920"/>
    <hyperlink r:id="rId4135" ref="T1920"/>
    <hyperlink r:id="rId2758" ref="V1920"/>
    <hyperlink r:id="rId4136" ref="AA1920"/>
    <hyperlink r:id="rId4137" ref="I1921"/>
    <hyperlink r:id="rId4138" ref="T1921"/>
    <hyperlink r:id="rId4139" ref="V1921"/>
    <hyperlink r:id="rId4140" ref="AA1921"/>
    <hyperlink r:id="rId3938" ref="I1922"/>
    <hyperlink r:id="rId3939" ref="T1922"/>
    <hyperlink r:id="rId4141" ref="AA1922"/>
    <hyperlink r:id="rId4142" ref="I1923"/>
    <hyperlink r:id="rId4143" ref="T1923"/>
    <hyperlink r:id="rId4144" ref="U1923"/>
    <hyperlink r:id="rId4145" ref="V1923"/>
    <hyperlink r:id="rId4146" ref="AA1923"/>
    <hyperlink r:id="rId4147" ref="I1924"/>
    <hyperlink r:id="rId4148" ref="T1924"/>
    <hyperlink r:id="rId4149" ref="AA1924"/>
    <hyperlink r:id="rId4150" ref="I1925"/>
    <hyperlink r:id="rId4151" ref="T1925"/>
    <hyperlink r:id="rId4152" ref="AA1925"/>
    <hyperlink r:id="rId4153" ref="I1926"/>
    <hyperlink r:id="rId4154" ref="T1926"/>
    <hyperlink r:id="rId4155" ref="V1926"/>
    <hyperlink r:id="rId4156" ref="AA1926"/>
    <hyperlink r:id="rId4157" ref="I1927"/>
    <hyperlink r:id="rId4158" ref="T1927"/>
    <hyperlink r:id="rId4159" ref="V1927"/>
    <hyperlink r:id="rId4160" ref="AA1927"/>
    <hyperlink r:id="rId4161" ref="I1928"/>
    <hyperlink r:id="rId4162" ref="T1928"/>
    <hyperlink r:id="rId4163" ref="AA1928"/>
    <hyperlink r:id="rId4164" ref="I1929"/>
    <hyperlink r:id="rId4165" ref="T1929"/>
    <hyperlink r:id="rId4166" ref="U1929"/>
    <hyperlink r:id="rId4167" ref="AA1929"/>
    <hyperlink r:id="rId4168" ref="I1930"/>
    <hyperlink r:id="rId4169" ref="T1930"/>
    <hyperlink r:id="rId4170" ref="V1930"/>
    <hyperlink r:id="rId4171" ref="AA1930"/>
    <hyperlink r:id="rId4172" ref="I1931"/>
    <hyperlink r:id="rId4173" ref="T1931"/>
    <hyperlink r:id="rId4174" ref="AA1931"/>
    <hyperlink r:id="rId4175" ref="T1932"/>
    <hyperlink r:id="rId4176" ref="AA1932"/>
    <hyperlink r:id="rId4177" ref="I1933"/>
    <hyperlink r:id="rId4178" ref="T1933"/>
    <hyperlink r:id="rId4179" ref="V1933"/>
    <hyperlink r:id="rId4180" ref="AA1933"/>
    <hyperlink r:id="rId4181" ref="I1934"/>
    <hyperlink r:id="rId4182" ref="T1934"/>
    <hyperlink r:id="rId4183" ref="U1934"/>
    <hyperlink r:id="rId4184" ref="AA1934"/>
    <hyperlink r:id="rId4185" ref="I1935"/>
    <hyperlink r:id="rId4186" ref="T1935"/>
    <hyperlink r:id="rId4187" ref="AA1935"/>
    <hyperlink r:id="rId4188" ref="I1936"/>
    <hyperlink r:id="rId4189" ref="T1936"/>
    <hyperlink r:id="rId4190" ref="U1936"/>
    <hyperlink r:id="rId4191" ref="V1936"/>
    <hyperlink r:id="rId4192" ref="AA1936"/>
    <hyperlink r:id="rId4193" ref="I1937"/>
    <hyperlink r:id="rId4194" ref="T1937"/>
    <hyperlink r:id="rId4195" ref="V1937"/>
    <hyperlink r:id="rId4196" ref="AA1937"/>
    <hyperlink r:id="rId4197" ref="I1938"/>
    <hyperlink r:id="rId4198" ref="T1938"/>
    <hyperlink r:id="rId4199" ref="AA1938"/>
    <hyperlink r:id="rId4200" ref="I1939"/>
    <hyperlink r:id="rId4201" ref="T1939"/>
    <hyperlink r:id="rId4202" ref="U1939"/>
    <hyperlink r:id="rId4203" ref="V1939"/>
    <hyperlink r:id="rId4204" ref="AA1939"/>
    <hyperlink r:id="rId4205" ref="I1940"/>
    <hyperlink r:id="rId4206" ref="T1940"/>
    <hyperlink r:id="rId4207" ref="V1940"/>
    <hyperlink r:id="rId4208" ref="AA1940"/>
    <hyperlink r:id="rId4209" ref="I1941"/>
    <hyperlink r:id="rId4210" ref="T1941"/>
    <hyperlink r:id="rId4211" ref="V1941"/>
    <hyperlink r:id="rId4212" ref="AA1941"/>
    <hyperlink r:id="rId4213" ref="I1942"/>
    <hyperlink r:id="rId4214" ref="T1942"/>
    <hyperlink r:id="rId4215" ref="AA1942"/>
    <hyperlink r:id="rId4216" ref="I1943"/>
    <hyperlink r:id="rId4217" ref="T1943"/>
    <hyperlink r:id="rId4218" ref="AA1943"/>
    <hyperlink r:id="rId4219" ref="I1944"/>
    <hyperlink r:id="rId4220" ref="T1944"/>
    <hyperlink r:id="rId4221" ref="AA1944"/>
    <hyperlink r:id="rId4222" ref="I1945"/>
    <hyperlink r:id="rId4223" ref="T1945"/>
    <hyperlink r:id="rId4224" ref="AA1945"/>
    <hyperlink r:id="rId4225" ref="I1946"/>
    <hyperlink r:id="rId4226" ref="T1946"/>
    <hyperlink r:id="rId4227" ref="AA1946"/>
    <hyperlink r:id="rId4228" ref="I1947"/>
    <hyperlink r:id="rId4229" ref="T1947"/>
    <hyperlink r:id="rId4230" ref="AA1947"/>
    <hyperlink r:id="rId4231" ref="I1948"/>
    <hyperlink r:id="rId4232" ref="T1948"/>
    <hyperlink r:id="rId4233" ref="U1948"/>
    <hyperlink r:id="rId4234" ref="V1948"/>
    <hyperlink r:id="rId4235" ref="AA1948"/>
    <hyperlink r:id="rId4236" ref="I1949"/>
    <hyperlink r:id="rId4237" ref="T1949"/>
    <hyperlink r:id="rId4238" ref="AA1949"/>
    <hyperlink r:id="rId4239" ref="I1950"/>
    <hyperlink r:id="rId4240" ref="T1950"/>
    <hyperlink r:id="rId4241" ref="AA1950"/>
    <hyperlink r:id="rId4242" ref="I1951"/>
    <hyperlink r:id="rId4243" ref="T1951"/>
    <hyperlink r:id="rId4244" ref="AA1951"/>
    <hyperlink r:id="rId4245" ref="I1952"/>
    <hyperlink r:id="rId4246" ref="T1952"/>
    <hyperlink r:id="rId4247" ref="AA1952"/>
    <hyperlink r:id="rId4248" ref="I1953"/>
    <hyperlink r:id="rId4249" ref="T1953"/>
    <hyperlink r:id="rId4250" ref="AA1953"/>
    <hyperlink r:id="rId4251" ref="I1954"/>
    <hyperlink r:id="rId4252" ref="T1954"/>
    <hyperlink r:id="rId4253" ref="AA1954"/>
    <hyperlink r:id="rId4254" ref="I1955"/>
    <hyperlink r:id="rId4255" ref="T1955"/>
    <hyperlink r:id="rId4256" ref="AA1955"/>
    <hyperlink r:id="rId4257" ref="I1956"/>
    <hyperlink r:id="rId4258" ref="T1956"/>
    <hyperlink r:id="rId4259" ref="AA1956"/>
    <hyperlink r:id="rId4260" ref="I1957"/>
    <hyperlink r:id="rId4261" ref="T1957"/>
    <hyperlink r:id="rId4262" ref="U1957"/>
    <hyperlink r:id="rId4263" ref="V1957"/>
    <hyperlink r:id="rId4264" ref="AA1957"/>
    <hyperlink r:id="rId4265" ref="I1958"/>
    <hyperlink r:id="rId4266" ref="T1958"/>
    <hyperlink r:id="rId4267" ref="U1958"/>
    <hyperlink r:id="rId4268" ref="AA1958"/>
    <hyperlink r:id="rId4269" ref="I1959"/>
    <hyperlink r:id="rId4270" ref="T1959"/>
    <hyperlink r:id="rId4271" ref="V1959"/>
    <hyperlink r:id="rId4272" ref="AA1959"/>
    <hyperlink r:id="rId4273" ref="I1960"/>
    <hyperlink r:id="rId4274" ref="T1960"/>
    <hyperlink r:id="rId4275" ref="AA1960"/>
    <hyperlink r:id="rId4276" ref="I1961"/>
    <hyperlink r:id="rId4277" ref="T1961"/>
    <hyperlink r:id="rId4278" ref="AA1961"/>
    <hyperlink r:id="rId4279" ref="I1962"/>
    <hyperlink r:id="rId4280" ref="T1962"/>
    <hyperlink r:id="rId4281" ref="AA1962"/>
    <hyperlink r:id="rId4282" ref="I1963"/>
    <hyperlink r:id="rId4283" ref="T1963"/>
    <hyperlink r:id="rId4284" ref="AA1963"/>
    <hyperlink r:id="rId4285" ref="I1964"/>
    <hyperlink r:id="rId4286" ref="T1964"/>
    <hyperlink r:id="rId4287" ref="AA1964"/>
    <hyperlink r:id="rId4288" ref="I1965"/>
    <hyperlink r:id="rId4289" ref="T1965"/>
    <hyperlink r:id="rId4290" ref="AA1965"/>
    <hyperlink r:id="rId4291" ref="I1966"/>
    <hyperlink r:id="rId4292" ref="T1966"/>
    <hyperlink r:id="rId4293" ref="U1966"/>
    <hyperlink r:id="rId4294" ref="V1966"/>
    <hyperlink r:id="rId4295" ref="AA1966"/>
    <hyperlink r:id="rId4296" ref="I1967"/>
    <hyperlink r:id="rId4297" ref="T1967"/>
    <hyperlink r:id="rId4298" ref="V1967"/>
    <hyperlink r:id="rId4299" ref="AA1967"/>
    <hyperlink r:id="rId4300" ref="I1968"/>
    <hyperlink r:id="rId4301" ref="T1968"/>
    <hyperlink r:id="rId4302" ref="V1968"/>
    <hyperlink r:id="rId4303" ref="AA1968"/>
    <hyperlink r:id="rId4304" ref="I1969"/>
    <hyperlink r:id="rId4305" ref="T1969"/>
    <hyperlink r:id="rId4306" ref="AA1969"/>
    <hyperlink r:id="rId4307" ref="T1970"/>
    <hyperlink r:id="rId4308" ref="AA1970"/>
    <hyperlink r:id="rId4309" ref="I1971"/>
    <hyperlink r:id="rId4310" ref="T1971"/>
    <hyperlink r:id="rId4311" ref="U1971"/>
    <hyperlink r:id="rId4312" ref="V1971"/>
    <hyperlink r:id="rId4313" ref="AA1971"/>
    <hyperlink r:id="rId4314" ref="I1972"/>
    <hyperlink r:id="rId4315" ref="T1972"/>
    <hyperlink r:id="rId4316" ref="V1972"/>
    <hyperlink r:id="rId4317" ref="AA1972"/>
    <hyperlink r:id="rId4318" ref="I1973"/>
    <hyperlink r:id="rId4319" ref="T1973"/>
    <hyperlink r:id="rId4320" ref="U1973"/>
    <hyperlink r:id="rId4321" ref="V1973"/>
    <hyperlink r:id="rId4322" ref="AA1973"/>
    <hyperlink r:id="rId4323" ref="I1974"/>
    <hyperlink r:id="rId4324" ref="T1974"/>
    <hyperlink r:id="rId4325" ref="V1974"/>
    <hyperlink r:id="rId4326" ref="AA1974"/>
    <hyperlink r:id="rId4327" ref="I1975"/>
    <hyperlink r:id="rId4328" ref="T1975"/>
    <hyperlink r:id="rId4329" ref="AA1975"/>
    <hyperlink r:id="rId4330" ref="I1976"/>
    <hyperlink r:id="rId4331" ref="T1976"/>
    <hyperlink r:id="rId4332" ref="V1976"/>
    <hyperlink r:id="rId4333" ref="AA1976"/>
    <hyperlink r:id="rId4334" ref="I1977"/>
    <hyperlink r:id="rId4335" ref="T1977"/>
    <hyperlink r:id="rId4336" ref="AA1977"/>
    <hyperlink r:id="rId3543" ref="I1978"/>
    <hyperlink r:id="rId3544" ref="T1978"/>
    <hyperlink r:id="rId4337" ref="AA1978"/>
    <hyperlink r:id="rId4338" ref="I1979"/>
    <hyperlink r:id="rId4339" ref="T1979"/>
    <hyperlink r:id="rId4340" ref="AA1979"/>
    <hyperlink r:id="rId3387" ref="T1980"/>
    <hyperlink r:id="rId4341" ref="AA1980"/>
    <hyperlink r:id="rId4342" ref="I1981"/>
    <hyperlink r:id="rId4343" ref="T1981"/>
    <hyperlink r:id="rId4344" ref="V1981"/>
    <hyperlink r:id="rId4345" ref="AA1981"/>
    <hyperlink r:id="rId4346" ref="I1982"/>
    <hyperlink r:id="rId4347" ref="T1982"/>
    <hyperlink r:id="rId4348" ref="AA1982"/>
    <hyperlink r:id="rId4349" ref="I1983"/>
    <hyperlink r:id="rId4350" ref="T1983"/>
    <hyperlink r:id="rId4351" ref="AA1983"/>
    <hyperlink r:id="rId4352" ref="I1984"/>
    <hyperlink r:id="rId4353" ref="T1984"/>
    <hyperlink r:id="rId4354" ref="AA1984"/>
    <hyperlink r:id="rId4355" ref="I1985"/>
    <hyperlink r:id="rId4356" ref="T1985"/>
    <hyperlink r:id="rId4357" ref="U1985"/>
    <hyperlink r:id="rId4358" ref="V1985"/>
    <hyperlink r:id="rId4359" ref="AA1985"/>
    <hyperlink r:id="rId4360" ref="I1986"/>
    <hyperlink r:id="rId4361" ref="T1986"/>
    <hyperlink r:id="rId4362" ref="U1986"/>
    <hyperlink r:id="rId4363" ref="V1986"/>
    <hyperlink r:id="rId4364" ref="AA1986"/>
    <hyperlink r:id="rId4365" ref="I1987"/>
    <hyperlink r:id="rId4366" ref="T1987"/>
    <hyperlink r:id="rId4367" ref="AA1987"/>
    <hyperlink r:id="rId4368" ref="I1988"/>
    <hyperlink r:id="rId4369" ref="T1988"/>
    <hyperlink r:id="rId4370" ref="AA1988"/>
    <hyperlink r:id="rId4371" ref="I1989"/>
    <hyperlink r:id="rId4372" ref="T1989"/>
    <hyperlink r:id="rId4373" ref="AA1989"/>
    <hyperlink r:id="rId4374" ref="I1990"/>
    <hyperlink r:id="rId4375" ref="T1990"/>
    <hyperlink r:id="rId4376" ref="V1990"/>
    <hyperlink r:id="rId4377" ref="AA1990"/>
    <hyperlink r:id="rId4378" ref="I1991"/>
    <hyperlink r:id="rId4379" ref="T1991"/>
    <hyperlink r:id="rId4380" ref="AA1991"/>
    <hyperlink r:id="rId4381" ref="I1992"/>
    <hyperlink r:id="rId4382" ref="T1992"/>
    <hyperlink r:id="rId4383" ref="V1992"/>
    <hyperlink r:id="rId4384" ref="AA1992"/>
    <hyperlink r:id="rId4385" ref="I1993"/>
    <hyperlink r:id="rId4386" ref="T1993"/>
    <hyperlink r:id="rId4387" ref="AA1993"/>
    <hyperlink r:id="rId4388" ref="I1994"/>
    <hyperlink r:id="rId4389" ref="T1994"/>
    <hyperlink r:id="rId4390" ref="U1994"/>
    <hyperlink r:id="rId4391" ref="AA1994"/>
    <hyperlink r:id="rId4392" ref="I1995"/>
    <hyperlink r:id="rId4393" ref="T1995"/>
    <hyperlink r:id="rId4394" ref="AA1995"/>
    <hyperlink r:id="rId4395" ref="I1996"/>
    <hyperlink r:id="rId4396" ref="T1996"/>
    <hyperlink r:id="rId4397" ref="V1996"/>
    <hyperlink r:id="rId4398" ref="AA1996"/>
    <hyperlink r:id="rId4399" ref="I1997"/>
    <hyperlink r:id="rId4400" ref="T1997"/>
    <hyperlink r:id="rId4401" ref="U1997"/>
    <hyperlink r:id="rId4402" ref="V1997"/>
    <hyperlink r:id="rId4403" ref="AA1997"/>
    <hyperlink r:id="rId4404" ref="I1998"/>
    <hyperlink r:id="rId4405" ref="T1998"/>
    <hyperlink r:id="rId4406" ref="AA1998"/>
    <hyperlink r:id="rId4407" ref="I1999"/>
    <hyperlink r:id="rId4408" ref="T1999"/>
    <hyperlink r:id="rId4409" ref="AA1999"/>
    <hyperlink r:id="rId4410" ref="I2000"/>
    <hyperlink r:id="rId4411" ref="T2000"/>
    <hyperlink r:id="rId4412" ref="U2000"/>
    <hyperlink r:id="rId4413" ref="AA2000"/>
    <hyperlink r:id="rId4414" ref="I2001"/>
    <hyperlink r:id="rId4415" ref="T2001"/>
    <hyperlink r:id="rId4416" ref="V2001"/>
    <hyperlink r:id="rId4417" ref="AA2001"/>
    <hyperlink r:id="rId4418" ref="I2002"/>
    <hyperlink r:id="rId4419" ref="T2002"/>
    <hyperlink r:id="rId4420" ref="AA2002"/>
    <hyperlink r:id="rId4421" ref="I2003"/>
    <hyperlink r:id="rId4422" ref="T2003"/>
    <hyperlink r:id="rId4423" ref="AA2003"/>
    <hyperlink r:id="rId4424" ref="T2004"/>
    <hyperlink r:id="rId4425" ref="AA2004"/>
    <hyperlink r:id="rId4426" ref="I2005"/>
    <hyperlink r:id="rId4427" ref="T2005"/>
    <hyperlink r:id="rId4428" ref="AA2005"/>
    <hyperlink r:id="rId4429" ref="I2006"/>
    <hyperlink r:id="rId4430" ref="T2006"/>
    <hyperlink r:id="rId4431" ref="AA2006"/>
    <hyperlink r:id="rId4432" ref="I2007"/>
    <hyperlink r:id="rId4433" ref="T2007"/>
    <hyperlink r:id="rId4434" ref="V2007"/>
    <hyperlink r:id="rId4435" ref="AA2007"/>
    <hyperlink r:id="rId4436" ref="I2008"/>
    <hyperlink r:id="rId4437" ref="T2008"/>
    <hyperlink r:id="rId4438" ref="U2008"/>
    <hyperlink r:id="rId4439" ref="V2008"/>
    <hyperlink r:id="rId4440" ref="AA2008"/>
    <hyperlink r:id="rId4441" ref="I2009"/>
    <hyperlink r:id="rId4442" ref="T2009"/>
    <hyperlink r:id="rId4443" ref="AA2009"/>
    <hyperlink r:id="rId4444" ref="I2010"/>
    <hyperlink r:id="rId4445" ref="T2010"/>
    <hyperlink r:id="rId4446" ref="V2010"/>
    <hyperlink r:id="rId4447" ref="AA2010"/>
    <hyperlink r:id="rId4448" ref="I2011"/>
    <hyperlink r:id="rId4449" ref="T2011"/>
    <hyperlink r:id="rId4450" ref="V2011"/>
    <hyperlink r:id="rId4451" ref="AA2011"/>
    <hyperlink r:id="rId4452" ref="I2012"/>
    <hyperlink r:id="rId4453" ref="T2012"/>
    <hyperlink r:id="rId4454" ref="AA2012"/>
    <hyperlink r:id="rId4455" ref="I2013"/>
    <hyperlink r:id="rId4456" ref="T2013"/>
    <hyperlink r:id="rId4457" ref="U2013"/>
    <hyperlink r:id="rId4458" ref="AA2013"/>
    <hyperlink r:id="rId4459" ref="I2014"/>
    <hyperlink r:id="rId4460" ref="T2014"/>
    <hyperlink r:id="rId4461" ref="U2014"/>
    <hyperlink r:id="rId4462" ref="V2014"/>
    <hyperlink r:id="rId4463" ref="AA2014"/>
    <hyperlink r:id="rId4464" ref="I2015"/>
    <hyperlink r:id="rId4465" ref="T2015"/>
    <hyperlink r:id="rId4466" ref="AA2015"/>
    <hyperlink r:id="rId4467" ref="I2016"/>
    <hyperlink r:id="rId4468" ref="T2016"/>
    <hyperlink r:id="rId4469" ref="AA2016"/>
    <hyperlink r:id="rId4470" ref="I2017"/>
    <hyperlink r:id="rId4471" ref="T2017"/>
    <hyperlink r:id="rId4472" ref="AA2017"/>
    <hyperlink r:id="rId4473" ref="I2018"/>
    <hyperlink r:id="rId4474" ref="T2018"/>
    <hyperlink r:id="rId4475" ref="V2018"/>
    <hyperlink r:id="rId4476" ref="AA2018"/>
    <hyperlink r:id="rId4477" ref="I2019"/>
    <hyperlink r:id="rId4478" ref="T2019"/>
    <hyperlink r:id="rId4479" ref="AA2019"/>
    <hyperlink r:id="rId4480" ref="I2020"/>
    <hyperlink r:id="rId4481" ref="T2020"/>
    <hyperlink r:id="rId4482" ref="AA2020"/>
    <hyperlink r:id="rId3421" ref="I2021"/>
    <hyperlink r:id="rId3422" ref="T2021"/>
    <hyperlink r:id="rId4483" ref="AA2021"/>
    <hyperlink r:id="rId4484" ref="I2022"/>
    <hyperlink r:id="rId4485" ref="T2022"/>
    <hyperlink r:id="rId4486" ref="AA2022"/>
    <hyperlink r:id="rId4487" ref="I2023"/>
    <hyperlink r:id="rId4488" ref="T2023"/>
    <hyperlink r:id="rId4489" ref="U2023"/>
    <hyperlink r:id="rId4490" ref="V2023"/>
    <hyperlink r:id="rId4491" ref="AA2023"/>
    <hyperlink r:id="rId4492" ref="I2024"/>
    <hyperlink r:id="rId4493" ref="T2024"/>
    <hyperlink r:id="rId4494" ref="AA2024"/>
    <hyperlink r:id="rId4495" ref="T2025"/>
    <hyperlink r:id="rId4496" ref="AA2025"/>
    <hyperlink r:id="rId3804" ref="I2026"/>
    <hyperlink r:id="rId3805" ref="T2026"/>
    <hyperlink r:id="rId3806" ref="U2026"/>
    <hyperlink r:id="rId3807" ref="V2026"/>
    <hyperlink r:id="rId4497" ref="AA2026"/>
    <hyperlink r:id="rId4498" ref="I2027"/>
    <hyperlink r:id="rId4499" ref="T2027"/>
    <hyperlink r:id="rId4500" ref="U2027"/>
    <hyperlink r:id="rId4501" ref="V2027"/>
    <hyperlink r:id="rId4502" ref="AA2027"/>
    <hyperlink r:id="rId4503" ref="I2028"/>
    <hyperlink r:id="rId4504" ref="T2028"/>
    <hyperlink r:id="rId4505" ref="AA2028"/>
    <hyperlink r:id="rId4506" ref="I2029"/>
    <hyperlink r:id="rId4507" ref="T2029"/>
    <hyperlink r:id="rId4508" ref="U2029"/>
    <hyperlink r:id="rId4509" ref="V2029"/>
    <hyperlink r:id="rId4510" ref="AA2029"/>
    <hyperlink r:id="rId4511" ref="I2030"/>
    <hyperlink r:id="rId4512" ref="T2030"/>
    <hyperlink r:id="rId4513" ref="V2030"/>
    <hyperlink r:id="rId4514" ref="AA2030"/>
    <hyperlink r:id="rId4515" ref="I2031"/>
    <hyperlink r:id="rId4516" ref="T2031"/>
    <hyperlink r:id="rId4517" ref="V2031"/>
    <hyperlink r:id="rId4518" ref="AA2031"/>
    <hyperlink r:id="rId4519" ref="I2032"/>
    <hyperlink r:id="rId4520" ref="T2032"/>
    <hyperlink r:id="rId4521" ref="U2032"/>
    <hyperlink r:id="rId4522" ref="V2032"/>
    <hyperlink r:id="rId4523" ref="AA2032"/>
    <hyperlink r:id="rId4524" ref="I2033"/>
    <hyperlink r:id="rId4525" ref="T2033"/>
    <hyperlink r:id="rId4526" ref="AA2033"/>
    <hyperlink r:id="rId4527" ref="I2034"/>
    <hyperlink r:id="rId4528" ref="T2034"/>
    <hyperlink r:id="rId4529" ref="AA2034"/>
    <hyperlink r:id="rId4530" ref="T2035"/>
    <hyperlink r:id="rId4531" ref="V2035"/>
    <hyperlink r:id="rId4532" ref="AA2035"/>
    <hyperlink r:id="rId4533" ref="I2036"/>
    <hyperlink r:id="rId4534" ref="T2036"/>
    <hyperlink r:id="rId4535" ref="U2036"/>
    <hyperlink r:id="rId4536" ref="V2036"/>
    <hyperlink r:id="rId4537" ref="AA2036"/>
    <hyperlink r:id="rId3755" ref="I2037"/>
    <hyperlink r:id="rId3756" ref="T2037"/>
    <hyperlink r:id="rId4538" ref="AA2037"/>
    <hyperlink r:id="rId4539" ref="I2038"/>
    <hyperlink r:id="rId4540" ref="T2038"/>
    <hyperlink r:id="rId4541" ref="V2038"/>
    <hyperlink r:id="rId4542" ref="AA2038"/>
    <hyperlink r:id="rId4543" ref="I2039"/>
    <hyperlink r:id="rId4544" ref="T2039"/>
    <hyperlink r:id="rId4545" ref="AA2039"/>
    <hyperlink r:id="rId4546" ref="T2040"/>
    <hyperlink r:id="rId4547" ref="AA2040"/>
    <hyperlink r:id="rId4548" ref="T2041"/>
    <hyperlink r:id="rId4549" ref="AA2041"/>
    <hyperlink r:id="rId4550" ref="I2042"/>
    <hyperlink r:id="rId4551" ref="T2042"/>
    <hyperlink r:id="rId4552" ref="AA2042"/>
    <hyperlink r:id="rId2981" ref="I2043"/>
    <hyperlink r:id="rId2982" ref="T2043"/>
    <hyperlink r:id="rId2983" ref="V2043"/>
    <hyperlink r:id="rId4553" ref="AA2043"/>
    <hyperlink r:id="rId4554" ref="T2044"/>
    <hyperlink r:id="rId4555" ref="AA2044"/>
    <hyperlink r:id="rId4556" ref="I2045"/>
    <hyperlink r:id="rId4557" ref="T2045"/>
    <hyperlink r:id="rId4558" ref="U2045"/>
    <hyperlink r:id="rId4559" ref="AA2045"/>
    <hyperlink r:id="rId4560" ref="I2046"/>
    <hyperlink r:id="rId4561" ref="T2046"/>
    <hyperlink r:id="rId4562" ref="AA2046"/>
    <hyperlink r:id="rId4563" ref="G2047"/>
    <hyperlink r:id="rId4563" ref="I2047"/>
    <hyperlink r:id="rId4564" ref="T2047"/>
    <hyperlink r:id="rId4565" ref="AA2047"/>
    <hyperlink r:id="rId4566" ref="I2048"/>
    <hyperlink r:id="rId4567" ref="T2048"/>
    <hyperlink r:id="rId4568" ref="AA2048"/>
    <hyperlink r:id="rId4569" ref="I2049"/>
    <hyperlink r:id="rId4570" ref="T2049"/>
    <hyperlink r:id="rId4571" ref="V2049"/>
    <hyperlink r:id="rId4572" ref="AA2049"/>
    <hyperlink r:id="rId4573" ref="I2050"/>
    <hyperlink r:id="rId4574" ref="T2050"/>
    <hyperlink r:id="rId4575" ref="AA2050"/>
    <hyperlink r:id="rId4576" ref="I2051"/>
    <hyperlink r:id="rId4577" ref="T2051"/>
    <hyperlink r:id="rId4578" ref="AA2051"/>
    <hyperlink r:id="rId4579" ref="I2052"/>
    <hyperlink r:id="rId4580" ref="T2052"/>
    <hyperlink r:id="rId4581" ref="AA2052"/>
    <hyperlink r:id="rId4582" ref="I2053"/>
    <hyperlink r:id="rId4583" ref="T2053"/>
    <hyperlink r:id="rId4584" ref="AA2053"/>
    <hyperlink r:id="rId4585" ref="I2054"/>
    <hyperlink r:id="rId4586" ref="T2054"/>
    <hyperlink r:id="rId4587" ref="U2054"/>
    <hyperlink r:id="rId4588" ref="V2054"/>
    <hyperlink r:id="rId4589" ref="AA2054"/>
    <hyperlink r:id="rId4590" ref="I2055"/>
    <hyperlink r:id="rId4591" ref="T2055"/>
    <hyperlink r:id="rId4592" ref="AA2055"/>
    <hyperlink r:id="rId4593" ref="I2056"/>
    <hyperlink r:id="rId4594" ref="T2056"/>
    <hyperlink r:id="rId4595" ref="AA2056"/>
    <hyperlink r:id="rId4596" ref="I2057"/>
    <hyperlink r:id="rId4597" ref="T2057"/>
    <hyperlink r:id="rId4598" ref="AA2057"/>
    <hyperlink r:id="rId4599" ref="I2058"/>
    <hyperlink r:id="rId4600" ref="T2058"/>
    <hyperlink r:id="rId4601" ref="AA2058"/>
    <hyperlink r:id="rId4602" ref="I2059"/>
    <hyperlink r:id="rId4603" ref="T2059"/>
    <hyperlink r:id="rId4604" ref="AA2059"/>
    <hyperlink r:id="rId4605" ref="I2060"/>
    <hyperlink r:id="rId4606" ref="T2060"/>
    <hyperlink r:id="rId4607" ref="U2060"/>
    <hyperlink r:id="rId4608" ref="AA2060"/>
    <hyperlink r:id="rId4609" ref="I2061"/>
    <hyperlink r:id="rId4610" ref="T2061"/>
    <hyperlink r:id="rId4611" ref="AA2061"/>
    <hyperlink r:id="rId4612" ref="I2062"/>
    <hyperlink r:id="rId4613" ref="T2062"/>
    <hyperlink r:id="rId4614" ref="U2062"/>
    <hyperlink r:id="rId4615" ref="AA2062"/>
    <hyperlink r:id="rId4616" ref="I2063"/>
    <hyperlink r:id="rId4617" ref="T2063"/>
    <hyperlink r:id="rId4618" ref="U2063"/>
    <hyperlink r:id="rId4619" ref="AA2063"/>
    <hyperlink r:id="rId4620" ref="I2064"/>
    <hyperlink r:id="rId4621" ref="T2064"/>
    <hyperlink r:id="rId4622" ref="V2064"/>
    <hyperlink r:id="rId4623" ref="AA2064"/>
    <hyperlink r:id="rId4624" ref="I2065"/>
    <hyperlink r:id="rId4625" ref="T2065"/>
    <hyperlink r:id="rId4626" ref="U2065"/>
    <hyperlink r:id="rId2758" ref="V2065"/>
    <hyperlink r:id="rId4627" ref="AA2065"/>
    <hyperlink r:id="rId4628" ref="I2066"/>
    <hyperlink r:id="rId4629" ref="T2066"/>
    <hyperlink r:id="rId4630" ref="AA2066"/>
    <hyperlink r:id="rId4631" ref="I2067"/>
    <hyperlink r:id="rId4632" ref="T2067"/>
    <hyperlink r:id="rId4633" ref="U2067"/>
    <hyperlink r:id="rId4634" ref="V2067"/>
    <hyperlink r:id="rId4635" ref="AA2067"/>
    <hyperlink r:id="rId4636" ref="I2068"/>
    <hyperlink r:id="rId4637" ref="T2068"/>
    <hyperlink r:id="rId4638" ref="AA2068"/>
    <hyperlink r:id="rId4639" ref="I2069"/>
    <hyperlink r:id="rId4640" ref="T2069"/>
    <hyperlink r:id="rId4641" ref="AA2069"/>
    <hyperlink r:id="rId4642" ref="I2070"/>
    <hyperlink r:id="rId4643" ref="T2070"/>
    <hyperlink r:id="rId4644" ref="AA2070"/>
    <hyperlink r:id="rId4645" ref="I2071"/>
    <hyperlink r:id="rId4646" ref="T2071"/>
    <hyperlink r:id="rId4647" ref="AA2071"/>
    <hyperlink r:id="rId4648" ref="I2072"/>
    <hyperlink r:id="rId4649" ref="T2072"/>
    <hyperlink r:id="rId4650" ref="U2072"/>
    <hyperlink r:id="rId4651" ref="AA2072"/>
    <hyperlink r:id="rId4652" ref="I2073"/>
    <hyperlink r:id="rId4653" ref="T2073"/>
    <hyperlink r:id="rId4654" ref="AA2073"/>
    <hyperlink r:id="rId4655" ref="I2074"/>
    <hyperlink r:id="rId4656" ref="T2074"/>
    <hyperlink r:id="rId4657" ref="AA2074"/>
    <hyperlink r:id="rId4658" ref="I2075"/>
    <hyperlink r:id="rId4659" ref="T2075"/>
    <hyperlink r:id="rId4660" ref="AA2075"/>
    <hyperlink r:id="rId3702" ref="I2076"/>
    <hyperlink r:id="rId3703" ref="T2076"/>
    <hyperlink r:id="rId4661" ref="AA2076"/>
    <hyperlink r:id="rId4662" ref="I2077"/>
    <hyperlink r:id="rId4663" ref="T2077"/>
    <hyperlink r:id="rId4664" ref="U2077"/>
    <hyperlink r:id="rId4665" ref="AA2077"/>
    <hyperlink r:id="rId4666" ref="I2078"/>
    <hyperlink r:id="rId4667" ref="T2078"/>
    <hyperlink r:id="rId4668" ref="AA2078"/>
    <hyperlink r:id="rId4669" ref="I2079"/>
    <hyperlink r:id="rId4670" ref="T2079"/>
    <hyperlink r:id="rId4671" ref="V2079"/>
    <hyperlink r:id="rId4672" ref="AA2079"/>
    <hyperlink r:id="rId2764" ref="I2080"/>
    <hyperlink r:id="rId2765" ref="T2080"/>
    <hyperlink r:id="rId4673" ref="AA2080"/>
    <hyperlink r:id="rId4674" ref="I2081"/>
    <hyperlink r:id="rId4675" ref="T2081"/>
    <hyperlink r:id="rId4676" ref="AA2081"/>
    <hyperlink r:id="rId4677" ref="I2082"/>
    <hyperlink r:id="rId4678" ref="T2082"/>
    <hyperlink r:id="rId4679" ref="U2082"/>
    <hyperlink r:id="rId4680" ref="V2082"/>
    <hyperlink r:id="rId4681" ref="AA2082"/>
    <hyperlink r:id="rId4682" ref="T2083"/>
    <hyperlink r:id="rId4683" ref="AA2083"/>
    <hyperlink r:id="rId4684" ref="T2084"/>
    <hyperlink r:id="rId4685" ref="AA2084"/>
    <hyperlink r:id="rId4686" ref="I2085"/>
    <hyperlink r:id="rId4687" ref="T2085"/>
    <hyperlink r:id="rId4688" ref="V2085"/>
    <hyperlink r:id="rId4689" ref="AA2085"/>
    <hyperlink r:id="rId4690" ref="I2086"/>
    <hyperlink r:id="rId4691" ref="T2086"/>
    <hyperlink r:id="rId4692" ref="AA2086"/>
    <hyperlink r:id="rId3665" ref="I2087"/>
    <hyperlink r:id="rId3666" ref="T2087"/>
    <hyperlink r:id="rId3667" ref="V2087"/>
    <hyperlink r:id="rId4693" ref="AA2087"/>
    <hyperlink r:id="rId4694" ref="I2088"/>
    <hyperlink r:id="rId4695" ref="T2088"/>
    <hyperlink r:id="rId4696" ref="AA2088"/>
    <hyperlink r:id="rId4697" ref="I2089"/>
    <hyperlink r:id="rId4698" ref="T2089"/>
    <hyperlink r:id="rId4699" ref="U2089"/>
    <hyperlink r:id="rId4700" ref="AA2089"/>
    <hyperlink r:id="rId4701" ref="I2090"/>
    <hyperlink r:id="rId4702" ref="T2090"/>
    <hyperlink r:id="rId4703" ref="AA2090"/>
    <hyperlink r:id="rId4563" ref="G2091"/>
    <hyperlink r:id="rId4563" ref="I2091"/>
    <hyperlink r:id="rId4564" ref="T2091"/>
    <hyperlink r:id="rId4704" ref="AA2091"/>
    <hyperlink r:id="rId3861" ref="T2092"/>
    <hyperlink r:id="rId4705" ref="AA2092"/>
    <hyperlink r:id="rId4706" ref="I2093"/>
    <hyperlink r:id="rId4707" ref="T2093"/>
    <hyperlink r:id="rId4708" ref="V2093"/>
    <hyperlink r:id="rId4709" ref="AA2093"/>
    <hyperlink r:id="rId4710" ref="I2094"/>
    <hyperlink r:id="rId4711" ref="T2094"/>
    <hyperlink r:id="rId4712" ref="U2094"/>
    <hyperlink r:id="rId4713" ref="V2094"/>
    <hyperlink r:id="rId4714" ref="AA2094"/>
    <hyperlink r:id="rId4715" ref="I2095"/>
    <hyperlink r:id="rId4716" ref="T2095"/>
    <hyperlink r:id="rId4717" ref="AA2095"/>
    <hyperlink r:id="rId4718" ref="I2096"/>
    <hyperlink r:id="rId4719" ref="T2096"/>
    <hyperlink r:id="rId4720" ref="AA2096"/>
    <hyperlink r:id="rId4721" ref="I2097"/>
    <hyperlink r:id="rId4722" ref="T2097"/>
    <hyperlink r:id="rId4723" ref="AA2097"/>
    <hyperlink r:id="rId3291" ref="T2098"/>
    <hyperlink r:id="rId4724" ref="AA2098"/>
    <hyperlink r:id="rId4725" ref="I2099"/>
    <hyperlink r:id="rId4726" ref="T2099"/>
    <hyperlink r:id="rId4727" ref="AA2099"/>
    <hyperlink r:id="rId4728" ref="I2100"/>
    <hyperlink r:id="rId4729" ref="T2100"/>
    <hyperlink r:id="rId4730" ref="AA2100"/>
    <hyperlink r:id="rId4731" ref="I2101"/>
    <hyperlink r:id="rId4732" ref="T2101"/>
    <hyperlink r:id="rId4733" ref="V2101"/>
    <hyperlink r:id="rId4734" ref="AA2101"/>
    <hyperlink r:id="rId4735" ref="I2102"/>
    <hyperlink r:id="rId4736" ref="T2102"/>
    <hyperlink r:id="rId4737" ref="U2102"/>
    <hyperlink r:id="rId2758" ref="V2102"/>
    <hyperlink r:id="rId4738" ref="AA2102"/>
    <hyperlink r:id="rId4739" ref="I2103"/>
    <hyperlink r:id="rId4740" ref="T2103"/>
    <hyperlink r:id="rId4741" ref="U2103"/>
    <hyperlink r:id="rId4742" ref="V2103"/>
    <hyperlink r:id="rId4743" ref="AA2103"/>
    <hyperlink r:id="rId4744" ref="I2104"/>
    <hyperlink r:id="rId4745" ref="T2104"/>
    <hyperlink r:id="rId4746" ref="U2104"/>
    <hyperlink r:id="rId4747" ref="V2104"/>
    <hyperlink r:id="rId4748" ref="AA2104"/>
    <hyperlink r:id="rId4749" ref="I2105"/>
    <hyperlink r:id="rId4750" ref="T2105"/>
    <hyperlink r:id="rId4751" ref="AA2105"/>
    <hyperlink r:id="rId4752" ref="I2106"/>
    <hyperlink r:id="rId4753" ref="T2106"/>
    <hyperlink r:id="rId4754" ref="AA2106"/>
    <hyperlink r:id="rId4755" ref="I2107"/>
    <hyperlink r:id="rId4756" ref="T2107"/>
    <hyperlink r:id="rId4757" ref="AA2107"/>
    <hyperlink r:id="rId4758" ref="I2108"/>
    <hyperlink r:id="rId4759" ref="T2108"/>
    <hyperlink r:id="rId4760" ref="U2108"/>
    <hyperlink r:id="rId4761" ref="V2108"/>
    <hyperlink r:id="rId4762" ref="AA2108"/>
    <hyperlink r:id="rId4763" ref="I2109"/>
    <hyperlink r:id="rId4764" ref="T2109"/>
    <hyperlink r:id="rId4765" ref="AA2109"/>
    <hyperlink r:id="rId4766" ref="I2110"/>
    <hyperlink r:id="rId4767" ref="T2110"/>
    <hyperlink r:id="rId4768" ref="U2110"/>
    <hyperlink r:id="rId4769" ref="V2110"/>
    <hyperlink r:id="rId4770" ref="AA2110"/>
    <hyperlink r:id="rId4771" ref="I2111"/>
    <hyperlink r:id="rId4772" ref="T2111"/>
    <hyperlink r:id="rId4773" ref="AA2111"/>
    <hyperlink r:id="rId4774" ref="I2112"/>
    <hyperlink r:id="rId4775" ref="T2112"/>
    <hyperlink r:id="rId4776" ref="AA2112"/>
    <hyperlink r:id="rId4777" ref="I2113"/>
    <hyperlink r:id="rId4778" ref="T2113"/>
    <hyperlink r:id="rId4779" ref="AA2113"/>
    <hyperlink r:id="rId4780" ref="I2114"/>
    <hyperlink r:id="rId4781" ref="T2114"/>
    <hyperlink r:id="rId4782" ref="AA2114"/>
    <hyperlink r:id="rId4783" ref="I2115"/>
    <hyperlink r:id="rId4784" ref="T2115"/>
    <hyperlink r:id="rId4785" ref="U2115"/>
    <hyperlink r:id="rId4786" ref="V2115"/>
    <hyperlink r:id="rId4787" ref="AA2115"/>
    <hyperlink r:id="rId4788" ref="I2116"/>
    <hyperlink r:id="rId4789" ref="T2116"/>
    <hyperlink r:id="rId4790" ref="V2116"/>
    <hyperlink r:id="rId4791" ref="AA2116"/>
    <hyperlink r:id="rId4792" ref="I2117"/>
    <hyperlink r:id="rId4793" ref="T2117"/>
    <hyperlink r:id="rId4794" ref="U2117"/>
    <hyperlink r:id="rId4795" ref="V2117"/>
    <hyperlink r:id="rId4796" ref="AA2117"/>
    <hyperlink r:id="rId4797" ref="I2118"/>
    <hyperlink r:id="rId4798" ref="T2118"/>
    <hyperlink r:id="rId4799" ref="AA2118"/>
    <hyperlink r:id="rId4800" ref="I2119"/>
    <hyperlink r:id="rId4801" ref="T2119"/>
    <hyperlink r:id="rId4802" ref="AA2119"/>
    <hyperlink r:id="rId4803" ref="I2120"/>
    <hyperlink r:id="rId4804" ref="T2120"/>
    <hyperlink r:id="rId4805" ref="AA2120"/>
    <hyperlink r:id="rId4806" ref="T2121"/>
    <hyperlink r:id="rId4807" ref="AA2121"/>
    <hyperlink r:id="rId4808" ref="I2122"/>
    <hyperlink r:id="rId4809" ref="T2122"/>
    <hyperlink r:id="rId4810" ref="AA2122"/>
    <hyperlink r:id="rId4811" ref="I2123"/>
    <hyperlink r:id="rId4812" ref="T2123"/>
    <hyperlink r:id="rId4813" ref="AA2123"/>
    <hyperlink r:id="rId4814" ref="I2124"/>
    <hyperlink r:id="rId4815" ref="T2124"/>
    <hyperlink r:id="rId4816" ref="V2124"/>
    <hyperlink r:id="rId4817" ref="AA2124"/>
    <hyperlink r:id="rId4818" ref="I2125"/>
    <hyperlink r:id="rId4819" ref="T2125"/>
    <hyperlink r:id="rId4820" ref="AA2125"/>
    <hyperlink r:id="rId4821" ref="I2126"/>
    <hyperlink r:id="rId4822" ref="T2126"/>
    <hyperlink r:id="rId4823" ref="U2126"/>
    <hyperlink r:id="rId4824" ref="V2126"/>
    <hyperlink r:id="rId4825" ref="AA2126"/>
    <hyperlink r:id="rId4826" ref="I2127"/>
    <hyperlink r:id="rId4827" ref="T2127"/>
    <hyperlink r:id="rId4828" ref="AA2127"/>
    <hyperlink r:id="rId4829" ref="I2128"/>
    <hyperlink r:id="rId4830" ref="T2128"/>
    <hyperlink r:id="rId4831" ref="AA2128"/>
    <hyperlink r:id="rId4832" ref="I2129"/>
    <hyperlink r:id="rId4833" ref="T2129"/>
    <hyperlink r:id="rId4834" ref="AA2129"/>
    <hyperlink r:id="rId4835" ref="I2130"/>
    <hyperlink r:id="rId4836" ref="T2130"/>
    <hyperlink r:id="rId4837" ref="AA2130"/>
    <hyperlink r:id="rId4838" ref="I2131"/>
    <hyperlink r:id="rId4839" ref="T2131"/>
    <hyperlink r:id="rId4840" ref="AA2131"/>
    <hyperlink r:id="rId4841" ref="I2132"/>
    <hyperlink r:id="rId4842" ref="T2132"/>
    <hyperlink r:id="rId4843" ref="U2132"/>
    <hyperlink r:id="rId4844" ref="AA2132"/>
    <hyperlink r:id="rId4845" ref="I2133"/>
    <hyperlink r:id="rId4846" ref="T2133"/>
    <hyperlink r:id="rId4847" ref="AA2133"/>
    <hyperlink r:id="rId4848" ref="I2134"/>
    <hyperlink r:id="rId4849" ref="T2134"/>
    <hyperlink r:id="rId4850" ref="V2134"/>
    <hyperlink r:id="rId4851" ref="AA2134"/>
    <hyperlink r:id="rId4852" ref="I2135"/>
    <hyperlink r:id="rId4853" ref="T2135"/>
    <hyperlink r:id="rId4854" ref="AA2135"/>
    <hyperlink r:id="rId3319" ref="I2136"/>
    <hyperlink r:id="rId3320" ref="T2136"/>
    <hyperlink r:id="rId4855" ref="AA2136"/>
    <hyperlink r:id="rId2547" ref="I2137"/>
    <hyperlink r:id="rId2548" ref="T2137"/>
    <hyperlink r:id="rId4856" ref="AA2137"/>
    <hyperlink r:id="rId4857" ref="I2138"/>
    <hyperlink r:id="rId4858" ref="T2138"/>
    <hyperlink r:id="rId4859" ref="U2138"/>
    <hyperlink r:id="rId4860" ref="V2138"/>
    <hyperlink r:id="rId4861" ref="AA2138"/>
    <hyperlink r:id="rId4862" ref="I2139"/>
    <hyperlink r:id="rId4863" ref="T2139"/>
    <hyperlink r:id="rId4864" ref="AA2139"/>
    <hyperlink r:id="rId4865" ref="I2140"/>
    <hyperlink r:id="rId4866" ref="T2140"/>
    <hyperlink r:id="rId2758" ref="V2140"/>
    <hyperlink r:id="rId4867" ref="AA2140"/>
    <hyperlink r:id="rId4868" ref="I2141"/>
    <hyperlink r:id="rId4869" ref="T2141"/>
    <hyperlink r:id="rId4870" ref="AA2141"/>
    <hyperlink r:id="rId4871" ref="I2142"/>
    <hyperlink r:id="rId4872" ref="T2142"/>
    <hyperlink r:id="rId4873" ref="AA2142"/>
    <hyperlink r:id="rId4874" ref="I2143"/>
    <hyperlink r:id="rId4875" ref="T2143"/>
    <hyperlink r:id="rId4876" ref="AA2143"/>
    <hyperlink r:id="rId4877" ref="I2144"/>
    <hyperlink r:id="rId4878" ref="T2144"/>
    <hyperlink r:id="rId4879" ref="AA2144"/>
    <hyperlink r:id="rId4880" ref="I2145"/>
    <hyperlink r:id="rId4881" ref="T2145"/>
    <hyperlink r:id="rId4882" ref="V2145"/>
    <hyperlink r:id="rId4883" ref="AA2145"/>
    <hyperlink r:id="rId4884" ref="I2146"/>
    <hyperlink r:id="rId4885" ref="T2146"/>
    <hyperlink r:id="rId4886" ref="U2146"/>
    <hyperlink r:id="rId4887" ref="V2146"/>
    <hyperlink r:id="rId4888" ref="AA2146"/>
    <hyperlink r:id="rId4889" ref="I2147"/>
    <hyperlink r:id="rId4890" ref="T2147"/>
    <hyperlink r:id="rId4891" ref="U2147"/>
    <hyperlink r:id="rId4892" ref="V2147"/>
    <hyperlink r:id="rId4893" ref="AA2147"/>
    <hyperlink r:id="rId4894" ref="I2148"/>
    <hyperlink r:id="rId4895" ref="T2148"/>
    <hyperlink r:id="rId4896" ref="U2148"/>
    <hyperlink r:id="rId4897" ref="AA2148"/>
    <hyperlink r:id="rId3804" ref="I2149"/>
    <hyperlink r:id="rId3805" ref="T2149"/>
    <hyperlink r:id="rId3806" ref="U2149"/>
    <hyperlink r:id="rId3807" ref="V2149"/>
    <hyperlink r:id="rId4898" ref="AA2149"/>
    <hyperlink r:id="rId2914" ref="I2150"/>
    <hyperlink r:id="rId2915" ref="T2150"/>
    <hyperlink r:id="rId4899" ref="AA2150"/>
    <hyperlink r:id="rId4900" ref="I2151"/>
    <hyperlink r:id="rId4901" ref="T2151"/>
    <hyperlink r:id="rId4902" ref="AA2151"/>
    <hyperlink r:id="rId4903" ref="I2152"/>
    <hyperlink r:id="rId4904" ref="T2152"/>
    <hyperlink r:id="rId4905" ref="AA2152"/>
    <hyperlink r:id="rId2981" ref="I2153"/>
    <hyperlink r:id="rId2982" ref="T2153"/>
    <hyperlink r:id="rId2983" ref="V2153"/>
    <hyperlink r:id="rId4906" ref="AA2153"/>
    <hyperlink r:id="rId4907" ref="I2154"/>
    <hyperlink r:id="rId4908" ref="T2154"/>
    <hyperlink r:id="rId4909" ref="AA2154"/>
    <hyperlink r:id="rId2981" ref="I2155"/>
    <hyperlink r:id="rId2982" ref="T2155"/>
    <hyperlink r:id="rId2983" ref="V2155"/>
    <hyperlink r:id="rId4910" ref="AA2155"/>
    <hyperlink r:id="rId4911" ref="I2156"/>
    <hyperlink r:id="rId4912" ref="T2156"/>
    <hyperlink r:id="rId4913" ref="U2156"/>
    <hyperlink r:id="rId4914" ref="V2156"/>
    <hyperlink r:id="rId4915" ref="AA2156"/>
    <hyperlink r:id="rId4916" ref="I2157"/>
    <hyperlink r:id="rId4917" ref="T2157"/>
    <hyperlink r:id="rId4918" ref="AA2157"/>
    <hyperlink r:id="rId4919" ref="I2158"/>
    <hyperlink r:id="rId4920" ref="T2158"/>
    <hyperlink r:id="rId4921" ref="AA2158"/>
    <hyperlink r:id="rId4922" ref="I2159"/>
    <hyperlink r:id="rId4923" ref="T2159"/>
    <hyperlink r:id="rId4924" ref="U2159"/>
    <hyperlink r:id="rId4925" ref="AA2159"/>
    <hyperlink r:id="rId4926" ref="T2160"/>
    <hyperlink r:id="rId4927" ref="V2160"/>
    <hyperlink r:id="rId4928" ref="AA2160"/>
    <hyperlink r:id="rId4929" ref="I2161"/>
    <hyperlink r:id="rId4930" ref="T2161"/>
    <hyperlink r:id="rId4931" ref="AA2161"/>
    <hyperlink r:id="rId4932" ref="I2162"/>
    <hyperlink r:id="rId4933" ref="T2162"/>
    <hyperlink r:id="rId4934" ref="AA2162"/>
    <hyperlink r:id="rId4935" ref="I2163"/>
    <hyperlink r:id="rId4936" ref="T2163"/>
    <hyperlink r:id="rId4937" ref="U2163"/>
    <hyperlink r:id="rId4938" ref="V2163"/>
    <hyperlink r:id="rId4939" ref="AA2163"/>
    <hyperlink r:id="rId4940" ref="I2164"/>
    <hyperlink r:id="rId4941" ref="T2164"/>
    <hyperlink r:id="rId4942" ref="V2164"/>
    <hyperlink r:id="rId4943" ref="AA2164"/>
    <hyperlink r:id="rId4944" ref="I2165"/>
    <hyperlink r:id="rId4945" ref="T2165"/>
    <hyperlink r:id="rId4946" ref="U2165"/>
    <hyperlink r:id="rId2758" ref="V2165"/>
    <hyperlink r:id="rId4947" ref="AA2165"/>
    <hyperlink r:id="rId4948" ref="I2166"/>
    <hyperlink r:id="rId4949" ref="T2166"/>
    <hyperlink r:id="rId4950" ref="AA2166"/>
    <hyperlink r:id="rId4951" ref="I2167"/>
    <hyperlink r:id="rId4952" ref="T2167"/>
    <hyperlink r:id="rId4953" ref="AA2167"/>
    <hyperlink r:id="rId4954" ref="I2168"/>
    <hyperlink r:id="rId4955" ref="T2168"/>
    <hyperlink r:id="rId4956" ref="V2168"/>
    <hyperlink r:id="rId4957" ref="AA2168"/>
    <hyperlink r:id="rId4958" ref="I2169"/>
    <hyperlink r:id="rId4959" ref="T2169"/>
    <hyperlink r:id="rId4960" ref="AA2169"/>
    <hyperlink r:id="rId4961" ref="I2170"/>
    <hyperlink r:id="rId4962" ref="T2170"/>
    <hyperlink r:id="rId4963" ref="AA2170"/>
    <hyperlink r:id="rId2920" ref="I2171"/>
    <hyperlink r:id="rId2921" ref="T2171"/>
    <hyperlink r:id="rId4964" ref="AA2171"/>
    <hyperlink r:id="rId4965" ref="I2172"/>
    <hyperlink r:id="rId4966" ref="T2172"/>
    <hyperlink r:id="rId4967" ref="AA2172"/>
    <hyperlink r:id="rId4968" ref="I2173"/>
    <hyperlink r:id="rId4969" ref="T2173"/>
    <hyperlink r:id="rId4970" ref="AA2173"/>
    <hyperlink r:id="rId4971" ref="I2174"/>
    <hyperlink r:id="rId4972" ref="T2174"/>
    <hyperlink r:id="rId4973" ref="U2174"/>
    <hyperlink r:id="rId4974" ref="V2174"/>
    <hyperlink r:id="rId4975" ref="AA2174"/>
    <hyperlink r:id="rId2949" ref="I2175"/>
    <hyperlink r:id="rId2950" ref="T2175"/>
    <hyperlink r:id="rId4976" ref="AA2175"/>
    <hyperlink r:id="rId4977" ref="I2176"/>
    <hyperlink r:id="rId4978" ref="T2176"/>
    <hyperlink r:id="rId4979" ref="AA2176"/>
    <hyperlink r:id="rId4980" ref="T2177"/>
    <hyperlink r:id="rId4981" ref="AA2177"/>
    <hyperlink r:id="rId4982" ref="I2178"/>
    <hyperlink r:id="rId4983" ref="T2178"/>
    <hyperlink r:id="rId4984" ref="U2178"/>
    <hyperlink r:id="rId4985" ref="AA2178"/>
    <hyperlink r:id="rId4986" ref="I2179"/>
    <hyperlink r:id="rId4987" ref="T2179"/>
    <hyperlink r:id="rId4988" ref="AA2179"/>
    <hyperlink r:id="rId4989" ref="I2180"/>
    <hyperlink r:id="rId4990" ref="T2180"/>
    <hyperlink r:id="rId4991" ref="AA2180"/>
    <hyperlink r:id="rId4992" ref="I2181"/>
    <hyperlink r:id="rId4993" ref="T2181"/>
    <hyperlink r:id="rId4994" ref="AA2181"/>
    <hyperlink r:id="rId4995" ref="I2182"/>
    <hyperlink r:id="rId4996" ref="T2182"/>
    <hyperlink r:id="rId4997" ref="AA2182"/>
    <hyperlink r:id="rId4998" ref="I2183"/>
    <hyperlink r:id="rId4999" ref="T2183"/>
    <hyperlink r:id="rId5000" ref="AA2183"/>
    <hyperlink r:id="rId5001" ref="I2184"/>
    <hyperlink r:id="rId5002" ref="T2184"/>
    <hyperlink r:id="rId5003" ref="U2184"/>
    <hyperlink r:id="rId5004" ref="V2184"/>
    <hyperlink r:id="rId5005" ref="AA2184"/>
    <hyperlink r:id="rId5006" ref="I2185"/>
    <hyperlink r:id="rId5007" ref="T2185"/>
    <hyperlink r:id="rId5008" ref="U2185"/>
    <hyperlink r:id="rId5009" ref="V2185"/>
    <hyperlink r:id="rId5010" ref="AA2185"/>
    <hyperlink r:id="rId5011" ref="I2186"/>
    <hyperlink r:id="rId5012" ref="T2186"/>
    <hyperlink r:id="rId5013" ref="U2186"/>
    <hyperlink r:id="rId5014" ref="V2186"/>
    <hyperlink r:id="rId5015" ref="AA2186"/>
    <hyperlink r:id="rId2914" ref="I2187"/>
    <hyperlink r:id="rId2915" ref="T2187"/>
    <hyperlink r:id="rId5016" ref="AA2187"/>
    <hyperlink r:id="rId5017" ref="I2188"/>
    <hyperlink r:id="rId5018" ref="T2188"/>
    <hyperlink r:id="rId5019" ref="U2188"/>
    <hyperlink r:id="rId5020" ref="AA2188"/>
    <hyperlink r:id="rId5021" ref="I2189"/>
    <hyperlink r:id="rId5022" ref="T2189"/>
    <hyperlink r:id="rId5023" ref="U2189"/>
    <hyperlink r:id="rId5024" ref="V2189"/>
    <hyperlink r:id="rId5025" ref="AA2189"/>
    <hyperlink r:id="rId5026" ref="I2190"/>
    <hyperlink r:id="rId5027" ref="T2190"/>
    <hyperlink r:id="rId5028" ref="V2190"/>
    <hyperlink r:id="rId5029" ref="AA2190"/>
    <hyperlink r:id="rId5030" ref="I2191"/>
    <hyperlink r:id="rId5031" ref="T2191"/>
    <hyperlink r:id="rId5032" ref="AA2191"/>
    <hyperlink r:id="rId5033" ref="I2192"/>
    <hyperlink r:id="rId5034" ref="T2192"/>
    <hyperlink r:id="rId5035" ref="AA2192"/>
    <hyperlink r:id="rId5036" ref="I2193"/>
    <hyperlink r:id="rId5037" ref="T2193"/>
    <hyperlink r:id="rId5038" ref="AA2193"/>
    <hyperlink r:id="rId5039" ref="I2194"/>
    <hyperlink r:id="rId5040" ref="T2194"/>
    <hyperlink r:id="rId5041" ref="V2194"/>
    <hyperlink r:id="rId5042" ref="AA2194"/>
    <hyperlink r:id="rId5043" ref="I2195"/>
    <hyperlink r:id="rId5044" ref="T2195"/>
    <hyperlink r:id="rId5045" ref="AA2195"/>
    <hyperlink r:id="rId5046" ref="I2196"/>
    <hyperlink r:id="rId5047" ref="T2196"/>
    <hyperlink r:id="rId5048" ref="AA2196"/>
    <hyperlink r:id="rId5049" ref="T2197"/>
    <hyperlink r:id="rId5050" ref="AA2197"/>
    <hyperlink r:id="rId5051" ref="I2198"/>
    <hyperlink r:id="rId5052" ref="T2198"/>
    <hyperlink r:id="rId5053" ref="V2198"/>
    <hyperlink r:id="rId5054" ref="AA2198"/>
    <hyperlink r:id="rId5055" ref="I2199"/>
    <hyperlink r:id="rId5056" ref="T2199"/>
    <hyperlink r:id="rId5057" ref="V2199"/>
    <hyperlink r:id="rId5058" ref="AA2199"/>
    <hyperlink r:id="rId5059" ref="I2200"/>
    <hyperlink r:id="rId5060" ref="T2200"/>
    <hyperlink r:id="rId5061" ref="AA2200"/>
    <hyperlink r:id="rId5062" ref="T2201"/>
    <hyperlink r:id="rId5063" ref="AA2201"/>
    <hyperlink r:id="rId5064" ref="I2202"/>
    <hyperlink r:id="rId5065" ref="T2202"/>
    <hyperlink r:id="rId5066" ref="V2202"/>
    <hyperlink r:id="rId5067" ref="AA2202"/>
    <hyperlink r:id="rId5068" ref="I2203"/>
    <hyperlink r:id="rId5069" ref="T2203"/>
    <hyperlink r:id="rId5070" ref="AA2203"/>
    <hyperlink r:id="rId5071" ref="I2204"/>
    <hyperlink r:id="rId5072" ref="T2204"/>
    <hyperlink r:id="rId5073" ref="V2204"/>
    <hyperlink r:id="rId5074" ref="AA2204"/>
    <hyperlink r:id="rId5075" ref="I2205"/>
    <hyperlink r:id="rId5076" ref="T2205"/>
    <hyperlink r:id="rId5077" ref="AA2205"/>
    <hyperlink r:id="rId5078" ref="I2206"/>
    <hyperlink r:id="rId5079" ref="T2206"/>
    <hyperlink r:id="rId5080" ref="U2206"/>
    <hyperlink r:id="rId5081" ref="V2206"/>
    <hyperlink r:id="rId5082" ref="AA2206"/>
    <hyperlink r:id="rId5083" ref="I2207"/>
    <hyperlink r:id="rId5084" ref="T2207"/>
    <hyperlink r:id="rId5085" ref="AA2207"/>
    <hyperlink r:id="rId5086" ref="I2208"/>
    <hyperlink r:id="rId5087" ref="T2208"/>
    <hyperlink r:id="rId5088" ref="U2208"/>
    <hyperlink r:id="rId5089" ref="V2208"/>
    <hyperlink r:id="rId5090" ref="AA2208"/>
    <hyperlink r:id="rId5091" ref="I2209"/>
    <hyperlink r:id="rId5092" ref="T2209"/>
    <hyperlink r:id="rId5093" ref="AA2209"/>
    <hyperlink r:id="rId5094" ref="I2210"/>
    <hyperlink r:id="rId5095" ref="T2210"/>
    <hyperlink r:id="rId5096" ref="AA2210"/>
    <hyperlink r:id="rId5097" ref="I2211"/>
    <hyperlink r:id="rId5098" ref="T2211"/>
    <hyperlink r:id="rId5099" ref="AA2211"/>
    <hyperlink r:id="rId3947" ref="I2212"/>
    <hyperlink r:id="rId3948" ref="T2212"/>
    <hyperlink r:id="rId5100" ref="AA2212"/>
    <hyperlink r:id="rId5101" ref="I2213"/>
    <hyperlink r:id="rId5102" ref="T2213"/>
    <hyperlink r:id="rId5103" ref="U2213"/>
    <hyperlink r:id="rId5104" ref="V2213"/>
    <hyperlink r:id="rId5105" ref="AA2213"/>
    <hyperlink r:id="rId2580" ref="T2214"/>
    <hyperlink r:id="rId5106" ref="AA2214"/>
    <hyperlink r:id="rId5107" ref="I2215"/>
    <hyperlink r:id="rId5108" ref="T2215"/>
    <hyperlink r:id="rId5109" ref="AA2215"/>
    <hyperlink r:id="rId5110" ref="I2216"/>
    <hyperlink r:id="rId5111" ref="T2216"/>
    <hyperlink r:id="rId5112" ref="V2216"/>
    <hyperlink r:id="rId5113" ref="AA2216"/>
    <hyperlink r:id="rId5114" ref="I2217"/>
    <hyperlink r:id="rId5115" ref="T2217"/>
    <hyperlink r:id="rId5116" ref="AA2217"/>
    <hyperlink r:id="rId5117" ref="I2218"/>
    <hyperlink r:id="rId5118" ref="T2218"/>
    <hyperlink r:id="rId5119" ref="U2218"/>
    <hyperlink r:id="rId5120" ref="AA2218"/>
    <hyperlink r:id="rId4279" ref="I2219"/>
    <hyperlink r:id="rId4280" ref="T2219"/>
    <hyperlink r:id="rId5121" ref="AA2219"/>
    <hyperlink r:id="rId5122" ref="I2220"/>
    <hyperlink r:id="rId5123" ref="T2220"/>
    <hyperlink r:id="rId5124" ref="AA2220"/>
    <hyperlink r:id="rId5125" ref="I2221"/>
    <hyperlink r:id="rId5126" ref="T2221"/>
    <hyperlink r:id="rId5127" ref="V2221"/>
    <hyperlink r:id="rId5128" ref="AA2221"/>
    <hyperlink r:id="rId5129" ref="I2222"/>
    <hyperlink r:id="rId5130" ref="T2222"/>
    <hyperlink r:id="rId2758" ref="V2222"/>
    <hyperlink r:id="rId5131" ref="AA2222"/>
    <hyperlink r:id="rId5132" ref="I2223"/>
    <hyperlink r:id="rId5133" ref="T2223"/>
    <hyperlink r:id="rId5134" ref="U2223"/>
    <hyperlink r:id="rId5135" ref="V2223"/>
    <hyperlink r:id="rId5136" ref="AA2223"/>
    <hyperlink r:id="rId5137" ref="I2224"/>
    <hyperlink r:id="rId5138" ref="T2224"/>
    <hyperlink r:id="rId5139" ref="AA2224"/>
    <hyperlink r:id="rId5140" ref="I2225"/>
    <hyperlink r:id="rId5141" ref="T2225"/>
    <hyperlink r:id="rId5142" ref="AA2225"/>
    <hyperlink r:id="rId5143" ref="I2226"/>
    <hyperlink r:id="rId5144" ref="T2226"/>
    <hyperlink r:id="rId5145" ref="AA2226"/>
    <hyperlink r:id="rId5146" ref="I2227"/>
    <hyperlink r:id="rId5147" ref="T2227"/>
    <hyperlink r:id="rId5148" ref="U2227"/>
    <hyperlink r:id="rId5149" ref="V2227"/>
    <hyperlink r:id="rId5150" ref="AA2227"/>
    <hyperlink r:id="rId5151" ref="I2228"/>
    <hyperlink r:id="rId5152" ref="T2228"/>
    <hyperlink r:id="rId5153" ref="AA2228"/>
    <hyperlink r:id="rId5154" ref="I2229"/>
    <hyperlink r:id="rId5155" ref="T2229"/>
    <hyperlink r:id="rId5156" ref="U2229"/>
    <hyperlink r:id="rId5157" ref="V2229"/>
    <hyperlink r:id="rId5158" ref="AA2229"/>
    <hyperlink r:id="rId5159" ref="I2230"/>
    <hyperlink r:id="rId5160" ref="T2230"/>
    <hyperlink r:id="rId5161" ref="AA2230"/>
    <hyperlink r:id="rId5162" ref="I2231"/>
    <hyperlink r:id="rId5163" ref="T2231"/>
    <hyperlink r:id="rId5164" ref="AA2231"/>
    <hyperlink r:id="rId5165" ref="I2232"/>
    <hyperlink r:id="rId5166" ref="T2232"/>
    <hyperlink r:id="rId5167" ref="AA2232"/>
    <hyperlink r:id="rId2718" ref="I2233"/>
    <hyperlink r:id="rId2719" ref="T2233"/>
    <hyperlink r:id="rId2720" ref="U2233"/>
    <hyperlink r:id="rId2721" ref="V2233"/>
    <hyperlink r:id="rId5168" ref="AA2233"/>
    <hyperlink r:id="rId5169" ref="I2234"/>
    <hyperlink r:id="rId5170" ref="T2234"/>
    <hyperlink r:id="rId5171" ref="AA2234"/>
    <hyperlink r:id="rId5172" ref="I2235"/>
    <hyperlink r:id="rId5173" ref="T2235"/>
    <hyperlink r:id="rId5174" ref="U2235"/>
    <hyperlink r:id="rId5175" ref="V2235"/>
    <hyperlink r:id="rId5176" ref="AA2235"/>
    <hyperlink r:id="rId5177" ref="I2236"/>
    <hyperlink r:id="rId5178" ref="T2236"/>
    <hyperlink r:id="rId5179" ref="AA2236"/>
    <hyperlink r:id="rId5180" ref="I2237"/>
    <hyperlink r:id="rId5181" ref="T2237"/>
    <hyperlink r:id="rId5182" ref="AA2237"/>
    <hyperlink r:id="rId5183" ref="I2238"/>
    <hyperlink r:id="rId5184" ref="T2238"/>
    <hyperlink r:id="rId5185" ref="V2238"/>
    <hyperlink r:id="rId5186" ref="AA2238"/>
    <hyperlink r:id="rId5187" ref="I2239"/>
    <hyperlink r:id="rId5188" ref="T2239"/>
    <hyperlink r:id="rId5189" ref="AA2239"/>
    <hyperlink r:id="rId5190" ref="T2240"/>
    <hyperlink r:id="rId5191" ref="AA2240"/>
    <hyperlink r:id="rId5192" ref="I2241"/>
    <hyperlink r:id="rId5193" ref="T2241"/>
    <hyperlink r:id="rId5194" ref="V2241"/>
    <hyperlink r:id="rId5195" ref="AA2241"/>
    <hyperlink r:id="rId5196" ref="I2242"/>
    <hyperlink r:id="rId5197" ref="T2242"/>
    <hyperlink r:id="rId5198" ref="AA2242"/>
    <hyperlink r:id="rId5199" ref="I2243"/>
    <hyperlink r:id="rId5200" ref="T2243"/>
    <hyperlink r:id="rId5201" ref="AA2243"/>
    <hyperlink r:id="rId5202" ref="I2244"/>
    <hyperlink r:id="rId5203" ref="T2244"/>
    <hyperlink r:id="rId5204" ref="V2244"/>
    <hyperlink r:id="rId5205" ref="AA2244"/>
    <hyperlink r:id="rId4980" ref="T2245"/>
    <hyperlink r:id="rId5206" ref="AA2245"/>
    <hyperlink r:id="rId5207" ref="I2246"/>
    <hyperlink r:id="rId5208" ref="T2246"/>
    <hyperlink r:id="rId5209" ref="AA2246"/>
    <hyperlink r:id="rId5210" ref="I2247"/>
    <hyperlink r:id="rId5211" ref="T2247"/>
    <hyperlink r:id="rId5212" ref="AA2247"/>
    <hyperlink r:id="rId5213" ref="I2248"/>
    <hyperlink r:id="rId5214" ref="T2248"/>
    <hyperlink r:id="rId5215" ref="U2248"/>
    <hyperlink r:id="rId5216" ref="V2248"/>
    <hyperlink r:id="rId5217" ref="AA2248"/>
    <hyperlink r:id="rId5218" ref="I2249"/>
    <hyperlink r:id="rId5219" ref="T2249"/>
    <hyperlink r:id="rId5220" ref="V2249"/>
    <hyperlink r:id="rId5221" ref="AA2249"/>
    <hyperlink r:id="rId2714" ref="I2250"/>
    <hyperlink r:id="rId2715" ref="T2250"/>
    <hyperlink r:id="rId5222" ref="AA2250"/>
    <hyperlink r:id="rId5223" ref="I2251"/>
    <hyperlink r:id="rId5224" ref="T2251"/>
    <hyperlink r:id="rId5225" ref="AA2251"/>
    <hyperlink r:id="rId5226" ref="I2252"/>
    <hyperlink r:id="rId5227" ref="T2252"/>
    <hyperlink r:id="rId5228" ref="V2252"/>
    <hyperlink r:id="rId5229" ref="AA2252"/>
    <hyperlink r:id="rId5230" ref="T2253"/>
    <hyperlink r:id="rId5231" ref="AA2253"/>
    <hyperlink r:id="rId5232" ref="I2254"/>
    <hyperlink r:id="rId5233" ref="T2254"/>
    <hyperlink r:id="rId5234" ref="AA2254"/>
    <hyperlink r:id="rId5235" ref="I2255"/>
    <hyperlink r:id="rId5236" ref="T2255"/>
    <hyperlink r:id="rId5237" ref="V2255"/>
    <hyperlink r:id="rId5238" ref="AA2255"/>
    <hyperlink r:id="rId5239" ref="I2256"/>
    <hyperlink r:id="rId5240" ref="T2256"/>
    <hyperlink r:id="rId5241" ref="AA2256"/>
    <hyperlink r:id="rId5242" ref="I2257"/>
    <hyperlink r:id="rId5243" ref="T2257"/>
    <hyperlink r:id="rId5244" ref="AA2257"/>
    <hyperlink r:id="rId5245" ref="I2258"/>
    <hyperlink r:id="rId5246" ref="T2258"/>
    <hyperlink r:id="rId5247" ref="U2258"/>
    <hyperlink r:id="rId5248" ref="V2258"/>
    <hyperlink r:id="rId5249" ref="AA2258"/>
    <hyperlink r:id="rId5250" ref="I2259"/>
    <hyperlink r:id="rId5251" ref="T2259"/>
    <hyperlink r:id="rId5252" ref="AA2259"/>
    <hyperlink r:id="rId5253" ref="I2260"/>
    <hyperlink r:id="rId5254" ref="T2260"/>
    <hyperlink r:id="rId5255" ref="U2260"/>
    <hyperlink r:id="rId5256" ref="V2260"/>
    <hyperlink r:id="rId5257" ref="AA2260"/>
    <hyperlink r:id="rId5258" ref="I2261"/>
    <hyperlink r:id="rId5259" ref="T2261"/>
    <hyperlink r:id="rId5260" ref="AA2261"/>
    <hyperlink r:id="rId5261" ref="I2262"/>
    <hyperlink r:id="rId5262" ref="T2262"/>
    <hyperlink r:id="rId5263" ref="AA2262"/>
    <hyperlink r:id="rId5264" ref="I2263"/>
    <hyperlink r:id="rId5265" ref="T2263"/>
    <hyperlink r:id="rId5266" ref="AA2263"/>
    <hyperlink r:id="rId5267" ref="I2264"/>
    <hyperlink r:id="rId5268" ref="T2264"/>
    <hyperlink r:id="rId5269" ref="AA2264"/>
    <hyperlink r:id="rId5270" ref="I2265"/>
    <hyperlink r:id="rId5271" ref="T2265"/>
    <hyperlink r:id="rId5272" ref="AA2265"/>
    <hyperlink r:id="rId5273" ref="I2266"/>
    <hyperlink r:id="rId5274" ref="T2266"/>
    <hyperlink r:id="rId5275" ref="AA2266"/>
    <hyperlink r:id="rId5276" ref="I2267"/>
    <hyperlink r:id="rId5277" ref="T2267"/>
    <hyperlink r:id="rId5278" ref="AA2267"/>
    <hyperlink r:id="rId5279" ref="I2268"/>
    <hyperlink r:id="rId5280" ref="T2268"/>
    <hyperlink r:id="rId5281" ref="AA2268"/>
    <hyperlink r:id="rId5282" ref="I2269"/>
    <hyperlink r:id="rId5283" ref="T2269"/>
    <hyperlink r:id="rId5284" ref="AA2269"/>
    <hyperlink r:id="rId4079" ref="I2270"/>
    <hyperlink r:id="rId4080" ref="T2270"/>
    <hyperlink r:id="rId5285" ref="AA2270"/>
    <hyperlink r:id="rId5286" ref="I2271"/>
    <hyperlink r:id="rId5287" ref="T2271"/>
    <hyperlink r:id="rId5288" ref="AA2271"/>
    <hyperlink r:id="rId5289" ref="I2272"/>
    <hyperlink r:id="rId5290" ref="T2272"/>
    <hyperlink r:id="rId5291" ref="AA2272"/>
    <hyperlink r:id="rId5292" ref="I2273"/>
    <hyperlink r:id="rId5293" ref="T2273"/>
    <hyperlink r:id="rId5294" ref="V2273"/>
    <hyperlink r:id="rId5295" ref="AA2273"/>
    <hyperlink r:id="rId5296" ref="I2274"/>
    <hyperlink r:id="rId5297" ref="T2274"/>
    <hyperlink r:id="rId5298" ref="AA2274"/>
    <hyperlink r:id="rId5299" ref="I2275"/>
    <hyperlink r:id="rId5300" ref="T2275"/>
    <hyperlink r:id="rId5301" ref="U2275"/>
    <hyperlink r:id="rId5302" ref="AA2275"/>
    <hyperlink r:id="rId5303" ref="I2276"/>
    <hyperlink r:id="rId5304" ref="T2276"/>
    <hyperlink r:id="rId5305" ref="AA2276"/>
    <hyperlink r:id="rId5306" ref="G2277"/>
    <hyperlink r:id="rId5306" ref="I2277"/>
    <hyperlink r:id="rId5307" ref="T2277"/>
    <hyperlink r:id="rId5308" ref="AA2277"/>
    <hyperlink r:id="rId2981" ref="I2278"/>
    <hyperlink r:id="rId2982" ref="T2278"/>
    <hyperlink r:id="rId2983" ref="V2278"/>
    <hyperlink r:id="rId5309" ref="AA2278"/>
    <hyperlink r:id="rId5310" ref="I2279"/>
    <hyperlink r:id="rId5311" ref="T2279"/>
    <hyperlink r:id="rId5312" ref="V2279"/>
    <hyperlink r:id="rId5313" ref="AA2279"/>
    <hyperlink r:id="rId5314" ref="I2280"/>
    <hyperlink r:id="rId5315" ref="T2280"/>
    <hyperlink r:id="rId5316" ref="V2280"/>
    <hyperlink r:id="rId5317" ref="AA2280"/>
    <hyperlink r:id="rId5318" ref="K2286"/>
    <hyperlink r:id="rId5319" ref="L2286"/>
    <hyperlink r:id="rId5320" ref="K2287"/>
    <hyperlink r:id="rId5321" ref="L2287"/>
    <hyperlink r:id="rId5322" ref="K2288"/>
    <hyperlink r:id="rId5323" ref="L2288"/>
    <hyperlink r:id="rId5324" ref="K2289"/>
    <hyperlink r:id="rId5325" ref="L2289"/>
    <hyperlink r:id="rId5326" ref="K2290"/>
    <hyperlink r:id="rId5327" ref="L2290"/>
    <hyperlink r:id="rId5328" ref="K2291"/>
    <hyperlink r:id="rId5329" ref="L2291"/>
    <hyperlink r:id="rId5330" ref="K2292"/>
    <hyperlink r:id="rId5331" ref="L2292"/>
    <hyperlink r:id="rId5332" ref="K2293"/>
    <hyperlink r:id="rId5333" ref="L2293"/>
    <hyperlink r:id="rId5334" ref="K2294"/>
    <hyperlink r:id="rId5335" ref="L2294"/>
    <hyperlink r:id="rId5336" ref="K2295"/>
    <hyperlink r:id="rId5337" ref="L2295"/>
    <hyperlink r:id="rId5338" ref="K2296"/>
    <hyperlink r:id="rId5339" ref="L2296"/>
    <hyperlink r:id="rId5340" ref="K2297"/>
    <hyperlink r:id="rId5341" ref="L2297"/>
    <hyperlink r:id="rId5342" ref="K2298"/>
    <hyperlink r:id="rId5343" ref="L2298"/>
    <hyperlink r:id="rId5344" ref="K2299"/>
    <hyperlink r:id="rId5345" ref="L2299"/>
    <hyperlink r:id="rId5346" ref="K2300"/>
    <hyperlink r:id="rId5347" ref="L2300"/>
    <hyperlink r:id="rId5348" ref="K2301"/>
    <hyperlink r:id="rId5349" ref="L2301"/>
    <hyperlink r:id="rId5350" ref="K2302"/>
    <hyperlink r:id="rId5351" ref="L2302"/>
    <hyperlink r:id="rId5352" ref="K2303"/>
    <hyperlink r:id="rId5353" ref="L2303"/>
    <hyperlink r:id="rId5354" ref="K2304"/>
    <hyperlink r:id="rId5355" ref="L2304"/>
    <hyperlink r:id="rId5356" ref="K2305"/>
    <hyperlink r:id="rId5357" ref="L2305"/>
    <hyperlink r:id="rId5358" ref="K2306"/>
    <hyperlink r:id="rId5359" ref="L2306"/>
    <hyperlink r:id="rId5360" ref="K2307"/>
    <hyperlink r:id="rId5361" ref="L2307"/>
    <hyperlink r:id="rId5362" ref="K2308"/>
    <hyperlink r:id="rId5363" ref="L2308"/>
    <hyperlink r:id="rId5364" ref="K2309"/>
    <hyperlink r:id="rId5365" ref="L2309"/>
    <hyperlink r:id="rId5366" ref="K2310"/>
    <hyperlink r:id="rId5367" ref="L2310"/>
    <hyperlink r:id="rId5368" ref="K2311"/>
    <hyperlink r:id="rId5369" ref="L2311"/>
    <hyperlink r:id="rId5370" ref="K2312"/>
    <hyperlink r:id="rId5371" ref="L2312"/>
    <hyperlink r:id="rId5372" ref="K2313"/>
    <hyperlink r:id="rId5373" ref="L2313"/>
    <hyperlink r:id="rId5374" ref="K2314"/>
    <hyperlink r:id="rId5375" ref="L2314"/>
    <hyperlink r:id="rId5376" ref="K2315"/>
    <hyperlink r:id="rId5377" ref="L2315"/>
    <hyperlink r:id="rId5378" ref="K2316"/>
    <hyperlink r:id="rId5379" ref="L2316"/>
    <hyperlink r:id="rId5380" ref="K2317"/>
    <hyperlink r:id="rId5381" ref="L2317"/>
    <hyperlink r:id="rId5382" ref="K2318"/>
    <hyperlink r:id="rId5383" ref="L2318"/>
    <hyperlink r:id="rId5384" ref="K2319"/>
    <hyperlink r:id="rId5385" ref="L2319"/>
    <hyperlink r:id="rId5386" ref="K2320"/>
    <hyperlink r:id="rId5387" ref="L2320"/>
    <hyperlink r:id="rId5388" ref="K2321"/>
    <hyperlink r:id="rId5389" ref="L2321"/>
    <hyperlink r:id="rId5390" ref="K2322"/>
    <hyperlink r:id="rId5391" ref="L2322"/>
    <hyperlink r:id="rId5392" ref="K2323"/>
    <hyperlink r:id="rId5393" ref="L2323"/>
    <hyperlink r:id="rId5394" ref="K2324"/>
    <hyperlink r:id="rId5395" ref="L2324"/>
    <hyperlink r:id="rId5396" ref="K2325"/>
    <hyperlink r:id="rId5397" ref="L2325"/>
    <hyperlink r:id="rId5398" ref="K2326"/>
    <hyperlink r:id="rId5399" ref="L2326"/>
    <hyperlink r:id="rId5400" ref="K2327"/>
    <hyperlink r:id="rId5401" ref="L2327"/>
    <hyperlink r:id="rId5402" ref="K2328"/>
    <hyperlink r:id="rId5403" ref="L2328"/>
    <hyperlink r:id="rId5404" ref="K2329"/>
    <hyperlink r:id="rId5405" ref="L2329"/>
    <hyperlink r:id="rId5406" ref="K2330"/>
    <hyperlink r:id="rId5407" ref="L2330"/>
    <hyperlink r:id="rId5408" ref="K2331"/>
    <hyperlink r:id="rId5409" ref="L2331"/>
    <hyperlink r:id="rId5410" ref="K2332"/>
    <hyperlink r:id="rId5411" ref="L2332"/>
    <hyperlink r:id="rId5412" ref="K2333"/>
    <hyperlink r:id="rId5413" ref="L2333"/>
    <hyperlink r:id="rId5414" ref="K2334"/>
    <hyperlink r:id="rId5415" ref="L2334"/>
    <hyperlink r:id="rId5416" ref="K2335"/>
    <hyperlink r:id="rId5417" ref="L2335"/>
    <hyperlink r:id="rId5418" ref="K2336"/>
    <hyperlink r:id="rId5419" ref="L2336"/>
    <hyperlink r:id="rId5420" ref="K2337"/>
    <hyperlink r:id="rId5421" ref="L2337"/>
    <hyperlink r:id="rId5422" ref="K2338"/>
    <hyperlink r:id="rId5423" ref="L2338"/>
    <hyperlink r:id="rId5424" ref="K2339"/>
    <hyperlink r:id="rId5425" ref="L2339"/>
    <hyperlink r:id="rId5426" ref="E2340"/>
    <hyperlink r:id="rId5427" ref="K2340"/>
    <hyperlink r:id="rId5428" ref="L2340"/>
    <hyperlink r:id="rId5429" ref="K2341"/>
    <hyperlink r:id="rId5430" ref="L2341"/>
    <hyperlink r:id="rId5431" ref="K2342"/>
    <hyperlink r:id="rId5432" ref="L2342"/>
    <hyperlink r:id="rId5433" ref="K2343"/>
    <hyperlink r:id="rId5434" ref="L2343"/>
    <hyperlink r:id="rId5435" ref="K2344"/>
    <hyperlink r:id="rId5436" ref="L2344"/>
    <hyperlink r:id="rId5437" ref="K2345"/>
    <hyperlink r:id="rId5438" ref="L2345"/>
    <hyperlink r:id="rId5439" ref="K2346"/>
    <hyperlink r:id="rId5440" ref="L2346"/>
    <hyperlink r:id="rId5441" ref="K2347"/>
    <hyperlink r:id="rId5442" ref="L2347"/>
    <hyperlink r:id="rId5443" ref="K2348"/>
    <hyperlink r:id="rId5444" ref="L2348"/>
    <hyperlink r:id="rId5445" ref="K2349"/>
    <hyperlink r:id="rId5446" ref="L2349"/>
    <hyperlink r:id="rId5447" ref="K2350"/>
    <hyperlink r:id="rId5448" ref="L2350"/>
    <hyperlink r:id="rId5449" ref="K2351"/>
    <hyperlink r:id="rId5450" ref="L2351"/>
    <hyperlink r:id="rId5451" ref="K2352"/>
    <hyperlink r:id="rId5452" ref="L2352"/>
    <hyperlink r:id="rId5453" ref="K2353"/>
    <hyperlink r:id="rId5454" ref="L2353"/>
    <hyperlink r:id="rId5455" ref="K2354"/>
    <hyperlink r:id="rId5456" ref="L2354"/>
    <hyperlink r:id="rId5457" ref="K2355"/>
    <hyperlink r:id="rId5458" ref="L2355"/>
    <hyperlink r:id="rId5459" ref="K2356"/>
    <hyperlink r:id="rId5460" ref="L2356"/>
    <hyperlink r:id="rId5461" ref="K2357"/>
    <hyperlink r:id="rId5462" ref="L2357"/>
    <hyperlink r:id="rId5463" ref="K2358"/>
    <hyperlink r:id="rId5464" ref="L2358"/>
    <hyperlink r:id="rId5465" ref="K2359"/>
    <hyperlink r:id="rId5466" ref="L2359"/>
    <hyperlink r:id="rId5467" ref="K2360"/>
    <hyperlink r:id="rId5468" ref="L2360"/>
    <hyperlink r:id="rId5469" ref="K2361"/>
    <hyperlink r:id="rId5470" ref="L2361"/>
    <hyperlink r:id="rId5471" ref="K2362"/>
    <hyperlink r:id="rId5472" ref="L2362"/>
    <hyperlink r:id="rId5473" ref="K2363"/>
    <hyperlink r:id="rId5474" ref="L2363"/>
    <hyperlink r:id="rId5475" ref="K2364"/>
    <hyperlink r:id="rId5476" ref="L2364"/>
    <hyperlink r:id="rId5477" ref="K2365"/>
    <hyperlink r:id="rId5478" ref="L2365"/>
    <hyperlink r:id="rId5479" ref="K2366"/>
    <hyperlink r:id="rId5480" ref="L2366"/>
    <hyperlink r:id="rId5481" ref="K2367"/>
    <hyperlink r:id="rId5482" ref="L2367"/>
    <hyperlink r:id="rId5483" ref="K2368"/>
    <hyperlink r:id="rId5484" ref="L2368"/>
    <hyperlink r:id="rId5485" ref="K2369"/>
    <hyperlink r:id="rId5486" ref="L2369"/>
    <hyperlink r:id="rId5487" ref="K2370"/>
    <hyperlink r:id="rId5488" ref="L2370"/>
    <hyperlink r:id="rId5489" ref="K2371"/>
    <hyperlink r:id="rId5490" ref="L2371"/>
    <hyperlink r:id="rId5491" ref="K2372"/>
    <hyperlink r:id="rId5492" ref="L2372"/>
    <hyperlink r:id="rId5493" ref="K2373"/>
    <hyperlink r:id="rId5494" ref="L2373"/>
    <hyperlink r:id="rId5495" ref="K2374"/>
    <hyperlink r:id="rId5496" ref="L2374"/>
    <hyperlink r:id="rId5497" ref="K2375"/>
    <hyperlink r:id="rId5498" ref="L2375"/>
    <hyperlink r:id="rId5499" ref="K2376"/>
    <hyperlink r:id="rId5500" ref="L2376"/>
    <hyperlink r:id="rId5501" ref="K2377"/>
    <hyperlink r:id="rId5502" ref="L2377"/>
    <hyperlink r:id="rId5503" ref="K2378"/>
    <hyperlink r:id="rId5504" ref="L2378"/>
    <hyperlink r:id="rId5505" ref="K2379"/>
    <hyperlink r:id="rId5506" ref="L2379"/>
    <hyperlink r:id="rId5507" ref="K2380"/>
    <hyperlink r:id="rId5508" ref="L2380"/>
    <hyperlink r:id="rId5509" ref="K2381"/>
    <hyperlink r:id="rId5510" ref="L2381"/>
    <hyperlink r:id="rId5511" ref="K2382"/>
    <hyperlink r:id="rId5512" ref="L2382"/>
    <hyperlink r:id="rId5513" ref="K2383"/>
    <hyperlink r:id="rId5514" ref="L2383"/>
    <hyperlink r:id="rId5515" ref="K2384"/>
    <hyperlink r:id="rId5516" ref="L2384"/>
    <hyperlink r:id="rId5517" ref="K2385"/>
    <hyperlink r:id="rId5518" ref="L2385"/>
    <hyperlink r:id="rId5519" ref="K2386"/>
    <hyperlink r:id="rId5520" ref="L2386"/>
    <hyperlink r:id="rId5521" ref="K2387"/>
    <hyperlink r:id="rId5522" ref="L2387"/>
    <hyperlink r:id="rId5523" ref="K2388"/>
    <hyperlink r:id="rId5524" ref="L2388"/>
    <hyperlink r:id="rId5525" ref="K2389"/>
    <hyperlink r:id="rId5526" ref="L2389"/>
    <hyperlink r:id="rId5527" ref="K2390"/>
    <hyperlink r:id="rId5528" ref="L2390"/>
    <hyperlink r:id="rId5529" ref="K2391"/>
    <hyperlink r:id="rId5530" ref="L2391"/>
    <hyperlink r:id="rId5531" ref="K2392"/>
    <hyperlink r:id="rId5532" ref="L2392"/>
    <hyperlink r:id="rId5533" ref="K2393"/>
    <hyperlink r:id="rId5534" ref="L2393"/>
    <hyperlink r:id="rId5535" ref="K2394"/>
    <hyperlink r:id="rId5536" ref="L2394"/>
    <hyperlink r:id="rId5537" ref="K2395"/>
    <hyperlink r:id="rId5538" ref="L2395"/>
    <hyperlink r:id="rId5539" ref="K2396"/>
    <hyperlink r:id="rId5540" ref="L2396"/>
    <hyperlink r:id="rId5541" ref="K2397"/>
    <hyperlink r:id="rId5542" ref="L2397"/>
    <hyperlink r:id="rId5543" ref="K2398"/>
    <hyperlink r:id="rId5544" ref="L2398"/>
    <hyperlink r:id="rId5545" ref="K2399"/>
    <hyperlink r:id="rId5546" ref="L2399"/>
    <hyperlink r:id="rId5547" ref="K2400"/>
    <hyperlink r:id="rId5548" ref="L2400"/>
    <hyperlink r:id="rId5549" ref="K2401"/>
    <hyperlink r:id="rId5550" ref="L2401"/>
    <hyperlink r:id="rId5551" ref="K2402"/>
    <hyperlink r:id="rId5552" ref="L2402"/>
    <hyperlink r:id="rId5553" ref="K2403"/>
    <hyperlink r:id="rId5554" ref="L2403"/>
    <hyperlink r:id="rId5555" ref="K2404"/>
    <hyperlink r:id="rId5556" ref="L2404"/>
    <hyperlink r:id="rId5557" ref="K2405"/>
    <hyperlink r:id="rId5558" ref="L2405"/>
    <hyperlink r:id="rId5559" ref="K2406"/>
    <hyperlink r:id="rId5560" ref="L2406"/>
    <hyperlink r:id="rId5561" ref="K2407"/>
    <hyperlink r:id="rId5562" ref="L2407"/>
    <hyperlink r:id="rId5563" ref="K2408"/>
    <hyperlink r:id="rId5564" ref="L2408"/>
    <hyperlink r:id="rId5565" ref="K2409"/>
    <hyperlink r:id="rId5566" ref="L2409"/>
    <hyperlink r:id="rId5567" ref="K2410"/>
    <hyperlink r:id="rId5568" ref="L2410"/>
    <hyperlink r:id="rId5569" ref="K2411"/>
    <hyperlink r:id="rId5570" ref="L2411"/>
    <hyperlink r:id="rId5571" ref="K2412"/>
    <hyperlink r:id="rId5572" ref="L2412"/>
    <hyperlink r:id="rId5573" ref="K2413"/>
    <hyperlink r:id="rId5574" ref="L2413"/>
    <hyperlink r:id="rId5575" ref="K2414"/>
    <hyperlink r:id="rId5576" ref="L2414"/>
    <hyperlink r:id="rId5577" ref="K2415"/>
    <hyperlink r:id="rId5578" ref="L2415"/>
    <hyperlink r:id="rId5579" ref="K2416"/>
    <hyperlink r:id="rId5580" ref="L2416"/>
    <hyperlink r:id="rId5581" ref="K2417"/>
    <hyperlink r:id="rId5582" ref="L2417"/>
    <hyperlink r:id="rId5583" ref="K2418"/>
    <hyperlink r:id="rId5584" ref="L2418"/>
    <hyperlink r:id="rId5585" ref="K2419"/>
    <hyperlink r:id="rId5586" ref="L2419"/>
    <hyperlink r:id="rId5587" ref="K2420"/>
    <hyperlink r:id="rId5588" ref="L2420"/>
    <hyperlink r:id="rId5589" ref="K2421"/>
    <hyperlink r:id="rId5590" ref="L2421"/>
    <hyperlink r:id="rId5591" ref="K2422"/>
    <hyperlink r:id="rId5592" ref="L2422"/>
    <hyperlink r:id="rId5593" ref="K2423"/>
    <hyperlink r:id="rId5594" ref="L2423"/>
    <hyperlink r:id="rId5595" ref="K2424"/>
    <hyperlink r:id="rId5596" ref="L2424"/>
    <hyperlink r:id="rId5597" ref="K2425"/>
    <hyperlink r:id="rId5598" ref="L2425"/>
    <hyperlink r:id="rId5599" ref="K2426"/>
    <hyperlink r:id="rId5600" ref="L2426"/>
    <hyperlink r:id="rId5601" ref="K2427"/>
    <hyperlink r:id="rId5602" ref="L2427"/>
    <hyperlink r:id="rId5603" ref="K2428"/>
    <hyperlink r:id="rId5604" ref="L2428"/>
    <hyperlink r:id="rId5605" ref="K2429"/>
    <hyperlink r:id="rId5606" ref="L2429"/>
    <hyperlink r:id="rId5607" ref="K2430"/>
    <hyperlink r:id="rId5608" ref="L2430"/>
    <hyperlink r:id="rId5609" ref="K2431"/>
    <hyperlink r:id="rId5610" ref="L2431"/>
    <hyperlink r:id="rId5611" ref="K2432"/>
    <hyperlink r:id="rId5612" ref="L2432"/>
    <hyperlink r:id="rId5613" ref="K2433"/>
    <hyperlink r:id="rId5614" ref="L2433"/>
    <hyperlink r:id="rId5615" ref="K2434"/>
    <hyperlink r:id="rId5616" ref="L2434"/>
    <hyperlink r:id="rId5617" ref="K2435"/>
    <hyperlink r:id="rId5618" ref="L2435"/>
    <hyperlink r:id="rId5619" ref="K2436"/>
    <hyperlink r:id="rId5620" ref="L2436"/>
    <hyperlink r:id="rId5621" ref="K2437"/>
    <hyperlink r:id="rId5622" ref="L2437"/>
    <hyperlink r:id="rId5623" ref="K2438"/>
    <hyperlink r:id="rId5624" ref="L2438"/>
    <hyperlink r:id="rId5625" ref="K2439"/>
    <hyperlink r:id="rId5626" ref="L2439"/>
    <hyperlink r:id="rId5627" ref="K2440"/>
    <hyperlink r:id="rId5628" ref="L2440"/>
    <hyperlink r:id="rId5629" ref="K2441"/>
    <hyperlink r:id="rId5630" ref="L2441"/>
    <hyperlink r:id="rId5631" ref="K2442"/>
    <hyperlink r:id="rId5632" ref="L2442"/>
    <hyperlink r:id="rId5633" ref="K2443"/>
    <hyperlink r:id="rId5634" ref="L2443"/>
    <hyperlink r:id="rId5635" ref="K2444"/>
    <hyperlink r:id="rId5636" ref="L2444"/>
    <hyperlink r:id="rId5637" ref="K2445"/>
    <hyperlink r:id="rId5638" ref="L2445"/>
    <hyperlink r:id="rId5639" ref="K2446"/>
    <hyperlink r:id="rId5640" ref="L2446"/>
    <hyperlink r:id="rId5641" ref="K2447"/>
    <hyperlink r:id="rId5642" ref="L2447"/>
    <hyperlink r:id="rId5643" ref="K2448"/>
    <hyperlink r:id="rId5644" ref="L2448"/>
    <hyperlink r:id="rId5645" ref="K2449"/>
    <hyperlink r:id="rId5646" ref="L2449"/>
    <hyperlink r:id="rId5647" ref="K2450"/>
    <hyperlink r:id="rId5648" ref="L2450"/>
    <hyperlink r:id="rId5649" ref="K2451"/>
    <hyperlink r:id="rId5650" ref="L2451"/>
    <hyperlink r:id="rId5651" ref="K2452"/>
    <hyperlink r:id="rId5652" ref="L2452"/>
    <hyperlink r:id="rId5653" ref="K2453"/>
    <hyperlink r:id="rId5654" ref="L2453"/>
    <hyperlink r:id="rId5655" ref="K2454"/>
    <hyperlink r:id="rId5656" ref="L2454"/>
    <hyperlink r:id="rId5657" ref="K2455"/>
    <hyperlink r:id="rId5658" ref="L2455"/>
    <hyperlink r:id="rId5659" ref="K2456"/>
    <hyperlink r:id="rId5660" ref="L2456"/>
    <hyperlink r:id="rId5661" ref="K2457"/>
    <hyperlink r:id="rId5662" ref="L2457"/>
    <hyperlink r:id="rId5663" ref="K2458"/>
    <hyperlink r:id="rId5664" ref="L2458"/>
    <hyperlink r:id="rId5665" ref="K2459"/>
    <hyperlink r:id="rId5666" ref="L2459"/>
    <hyperlink r:id="rId5667" ref="K2460"/>
    <hyperlink r:id="rId5668" ref="L2460"/>
    <hyperlink r:id="rId5669" ref="K2461"/>
    <hyperlink r:id="rId5670" ref="L2461"/>
    <hyperlink r:id="rId5671" ref="K2462"/>
    <hyperlink r:id="rId5672" ref="L2462"/>
    <hyperlink r:id="rId5673" ref="K2463"/>
    <hyperlink r:id="rId5674" ref="L2463"/>
    <hyperlink r:id="rId5675" ref="E2464"/>
    <hyperlink r:id="rId5676" ref="K2464"/>
    <hyperlink r:id="rId5677" ref="L2464"/>
    <hyperlink r:id="rId5678" ref="K2465"/>
    <hyperlink r:id="rId5679" ref="L2465"/>
    <hyperlink r:id="rId5680" ref="K2466"/>
    <hyperlink r:id="rId5681" ref="L2466"/>
    <hyperlink r:id="rId5682" ref="K2467"/>
    <hyperlink r:id="rId5683" ref="L2467"/>
    <hyperlink r:id="rId5684" ref="K2468"/>
    <hyperlink r:id="rId5685" ref="L2468"/>
    <hyperlink r:id="rId5686" ref="K2469"/>
    <hyperlink r:id="rId5687" ref="L2469"/>
    <hyperlink r:id="rId5688" ref="K2470"/>
    <hyperlink r:id="rId5689" ref="L2470"/>
    <hyperlink r:id="rId5690" ref="K2471"/>
    <hyperlink r:id="rId5691" ref="L2471"/>
    <hyperlink r:id="rId5692" ref="K2472"/>
    <hyperlink r:id="rId5693" ref="L2472"/>
    <hyperlink r:id="rId5694" ref="K2473"/>
    <hyperlink r:id="rId5695" ref="L2473"/>
    <hyperlink r:id="rId5696" ref="K2474"/>
    <hyperlink r:id="rId5697" ref="L2474"/>
    <hyperlink r:id="rId5698" ref="K2475"/>
    <hyperlink r:id="rId5699" ref="L2475"/>
    <hyperlink r:id="rId5700" ref="K2476"/>
    <hyperlink r:id="rId5701" ref="L2476"/>
    <hyperlink r:id="rId5702" ref="K2477"/>
    <hyperlink r:id="rId5703" ref="L2477"/>
    <hyperlink r:id="rId5704" ref="K2478"/>
    <hyperlink r:id="rId5705" ref="L2478"/>
    <hyperlink r:id="rId5706" ref="K2479"/>
    <hyperlink r:id="rId5707" ref="L2479"/>
    <hyperlink r:id="rId5708" ref="K2480"/>
    <hyperlink r:id="rId5709" ref="L2480"/>
    <hyperlink r:id="rId5710" ref="K2481"/>
    <hyperlink r:id="rId5711" ref="L2481"/>
    <hyperlink r:id="rId5712" ref="K2482"/>
    <hyperlink r:id="rId5713" ref="L2482"/>
    <hyperlink r:id="rId5714" ref="K2483"/>
    <hyperlink r:id="rId5715" ref="L2483"/>
    <hyperlink r:id="rId5716" ref="K2484"/>
    <hyperlink r:id="rId5717" ref="L2484"/>
    <hyperlink r:id="rId5718" ref="K2485"/>
    <hyperlink r:id="rId5719" ref="L2485"/>
    <hyperlink r:id="rId5720" ref="K2486"/>
    <hyperlink r:id="rId5721" ref="L2486"/>
    <hyperlink r:id="rId5722" ref="K2487"/>
    <hyperlink r:id="rId5723" ref="L2487"/>
    <hyperlink r:id="rId5724" ref="K2488"/>
    <hyperlink r:id="rId5725" ref="L2488"/>
    <hyperlink r:id="rId5726" ref="K2489"/>
    <hyperlink r:id="rId5727" ref="L2489"/>
    <hyperlink r:id="rId5728" ref="K2490"/>
    <hyperlink r:id="rId5729" ref="L2490"/>
    <hyperlink r:id="rId5730" ref="K2491"/>
    <hyperlink r:id="rId5731" ref="L2491"/>
    <hyperlink r:id="rId5732" ref="K2492"/>
    <hyperlink r:id="rId5733" ref="L2492"/>
    <hyperlink r:id="rId5734" ref="K2493"/>
    <hyperlink r:id="rId5735" ref="L2493"/>
    <hyperlink r:id="rId5736" ref="K2494"/>
    <hyperlink r:id="rId5737" ref="L2494"/>
    <hyperlink r:id="rId5738" ref="K2495"/>
    <hyperlink r:id="rId5739" ref="L2495"/>
    <hyperlink r:id="rId5740" ref="K2496"/>
    <hyperlink r:id="rId5741" ref="L2496"/>
    <hyperlink r:id="rId5742" ref="K2497"/>
    <hyperlink r:id="rId5743" ref="L2497"/>
    <hyperlink r:id="rId5744" ref="K2498"/>
    <hyperlink r:id="rId5745" ref="L2498"/>
    <hyperlink r:id="rId5746" ref="K2499"/>
    <hyperlink r:id="rId5747" ref="L2499"/>
    <hyperlink r:id="rId5748" ref="K2500"/>
    <hyperlink r:id="rId5749" ref="L2500"/>
    <hyperlink r:id="rId5750" ref="K2501"/>
    <hyperlink r:id="rId5751" ref="L2501"/>
    <hyperlink r:id="rId5752" ref="K2502"/>
    <hyperlink r:id="rId5753" ref="L2502"/>
    <hyperlink r:id="rId5754" ref="K2503"/>
    <hyperlink r:id="rId5755" ref="L2503"/>
    <hyperlink r:id="rId5756" ref="K2504"/>
    <hyperlink r:id="rId5757" ref="L2504"/>
    <hyperlink r:id="rId5758" ref="K2505"/>
    <hyperlink r:id="rId5759" ref="L2505"/>
    <hyperlink r:id="rId5760" ref="K2506"/>
    <hyperlink r:id="rId5761" ref="L2506"/>
    <hyperlink r:id="rId5762" ref="K2507"/>
    <hyperlink r:id="rId5763" ref="L2507"/>
    <hyperlink r:id="rId5764" ref="K2508"/>
    <hyperlink r:id="rId5765" ref="L2508"/>
    <hyperlink r:id="rId5766" ref="K2509"/>
    <hyperlink r:id="rId5767" ref="L2509"/>
    <hyperlink r:id="rId5768" ref="K2510"/>
    <hyperlink r:id="rId5769" ref="L2510"/>
    <hyperlink r:id="rId5770" ref="K2511"/>
    <hyperlink r:id="rId5771" ref="L2511"/>
    <hyperlink r:id="rId5772" ref="K2512"/>
    <hyperlink r:id="rId5773" ref="L2512"/>
    <hyperlink r:id="rId5774" ref="K2513"/>
    <hyperlink r:id="rId5775" ref="L2513"/>
    <hyperlink r:id="rId5776" ref="K2514"/>
    <hyperlink r:id="rId5777" ref="L2514"/>
    <hyperlink r:id="rId5778" ref="K2515"/>
    <hyperlink r:id="rId5779" ref="L2515"/>
    <hyperlink r:id="rId5780" ref="K2516"/>
    <hyperlink r:id="rId5781" ref="L2516"/>
    <hyperlink r:id="rId5782" ref="K2517"/>
    <hyperlink r:id="rId5783" ref="L2517"/>
    <hyperlink r:id="rId5784" ref="K2518"/>
    <hyperlink r:id="rId5785" ref="L2518"/>
    <hyperlink r:id="rId5786" ref="K2519"/>
    <hyperlink r:id="rId5787" ref="L2519"/>
    <hyperlink r:id="rId5788" ref="K2520"/>
    <hyperlink r:id="rId5789" ref="L2520"/>
    <hyperlink r:id="rId5790" ref="K2521"/>
    <hyperlink r:id="rId5791" ref="L2521"/>
    <hyperlink r:id="rId5792" ref="K2522"/>
    <hyperlink r:id="rId5793" ref="L2522"/>
    <hyperlink r:id="rId5794" ref="K2523"/>
    <hyperlink r:id="rId5795" ref="L2523"/>
    <hyperlink r:id="rId5796" ref="K2524"/>
    <hyperlink r:id="rId5797" ref="L2524"/>
    <hyperlink r:id="rId5798" ref="K2525"/>
    <hyperlink r:id="rId5799" ref="L2525"/>
    <hyperlink r:id="rId5800" ref="K2526"/>
    <hyperlink r:id="rId5801" ref="L2526"/>
    <hyperlink r:id="rId5802" ref="K2527"/>
    <hyperlink r:id="rId5803" ref="L2527"/>
    <hyperlink r:id="rId5804" ref="K2528"/>
    <hyperlink r:id="rId5805" ref="L2528"/>
    <hyperlink r:id="rId5806" ref="K2529"/>
    <hyperlink r:id="rId5634" ref="L2529"/>
    <hyperlink r:id="rId5807" ref="E2530"/>
    <hyperlink r:id="rId5808" ref="K2530"/>
    <hyperlink r:id="rId5809" ref="L2530"/>
    <hyperlink r:id="rId5810" ref="K2531"/>
    <hyperlink r:id="rId5811" ref="L2531"/>
    <hyperlink r:id="rId5812" ref="K2532"/>
    <hyperlink r:id="rId5813" ref="L2532"/>
    <hyperlink r:id="rId5814" ref="K2533"/>
    <hyperlink r:id="rId5815" ref="L2533"/>
    <hyperlink r:id="rId5816" ref="K2534"/>
    <hyperlink r:id="rId5817" ref="L2534"/>
    <hyperlink r:id="rId5818" ref="K2535"/>
    <hyperlink r:id="rId5819" ref="L2535"/>
    <hyperlink r:id="rId5820" ref="K2536"/>
    <hyperlink r:id="rId5821" ref="L2536"/>
    <hyperlink r:id="rId5822" ref="K2537"/>
    <hyperlink r:id="rId5823" ref="L2537"/>
    <hyperlink r:id="rId5824" ref="K2538"/>
    <hyperlink r:id="rId5825" ref="L2538"/>
    <hyperlink r:id="rId5826" ref="K2539"/>
    <hyperlink r:id="rId5827" ref="L2539"/>
    <hyperlink r:id="rId5828" ref="K2540"/>
    <hyperlink r:id="rId5829" ref="L2540"/>
    <hyperlink r:id="rId5830" ref="K2541"/>
    <hyperlink r:id="rId5831" ref="L2541"/>
    <hyperlink r:id="rId5832" ref="K2542"/>
    <hyperlink r:id="rId5833" ref="L2542"/>
    <hyperlink r:id="rId5834" ref="K2543"/>
    <hyperlink r:id="rId5835" ref="L2543"/>
    <hyperlink r:id="rId5836" ref="K2544"/>
    <hyperlink r:id="rId5837" ref="L2544"/>
    <hyperlink r:id="rId5838" ref="K2545"/>
    <hyperlink r:id="rId5839" ref="L2545"/>
    <hyperlink r:id="rId5840" ref="K2546"/>
    <hyperlink r:id="rId5841" ref="L2546"/>
    <hyperlink r:id="rId5842" ref="K2547"/>
    <hyperlink r:id="rId5843" ref="L2547"/>
    <hyperlink r:id="rId5844" ref="K2548"/>
    <hyperlink r:id="rId5845" ref="L2548"/>
    <hyperlink r:id="rId5846" ref="K2549"/>
    <hyperlink r:id="rId5847" ref="L2549"/>
    <hyperlink r:id="rId5848" ref="K2550"/>
    <hyperlink r:id="rId5849" ref="L2550"/>
    <hyperlink r:id="rId5850" ref="K2551"/>
    <hyperlink r:id="rId5851" ref="L2551"/>
    <hyperlink r:id="rId5852" ref="K2552"/>
    <hyperlink r:id="rId5853" ref="L2552"/>
    <hyperlink r:id="rId5854" ref="K2553"/>
    <hyperlink r:id="rId5855" ref="L2553"/>
    <hyperlink r:id="rId5856" ref="K2554"/>
    <hyperlink r:id="rId5494" ref="L2554"/>
    <hyperlink r:id="rId5857" ref="K2555"/>
    <hyperlink r:id="rId5858" ref="L2555"/>
    <hyperlink r:id="rId5859" ref="K2556"/>
    <hyperlink r:id="rId5860" ref="L2556"/>
    <hyperlink r:id="rId5861" ref="K2557"/>
    <hyperlink r:id="rId5862" ref="L2557"/>
    <hyperlink r:id="rId5863" ref="K2558"/>
    <hyperlink r:id="rId5864" ref="L2558"/>
    <hyperlink r:id="rId5865" ref="K2559"/>
    <hyperlink r:id="rId5866" ref="L2559"/>
    <hyperlink r:id="rId5867" ref="K2560"/>
    <hyperlink r:id="rId5868" ref="L2560"/>
    <hyperlink r:id="rId5869" ref="K2561"/>
    <hyperlink r:id="rId5870" ref="L2561"/>
    <hyperlink r:id="rId5871" ref="K2562"/>
    <hyperlink r:id="rId5872" ref="L2562"/>
    <hyperlink r:id="rId5873" ref="K2563"/>
    <hyperlink r:id="rId5598" ref="L2563"/>
    <hyperlink r:id="rId5874" ref="K2564"/>
    <hyperlink r:id="rId5875" ref="L2564"/>
    <hyperlink r:id="rId5876" ref="K2565"/>
    <hyperlink r:id="rId5877" ref="L2565"/>
    <hyperlink r:id="rId5878" ref="K2566"/>
    <hyperlink r:id="rId5879" ref="L2566"/>
    <hyperlink r:id="rId5880" ref="K2567"/>
    <hyperlink r:id="rId5881" ref="L2567"/>
    <hyperlink r:id="rId5882" ref="K2568"/>
    <hyperlink r:id="rId5883" ref="L2568"/>
    <hyperlink r:id="rId5884" ref="K2569"/>
    <hyperlink r:id="rId5885" ref="L2569"/>
    <hyperlink r:id="rId5886" ref="K2570"/>
    <hyperlink r:id="rId5887" ref="L2570"/>
    <hyperlink r:id="rId5888" ref="K2571"/>
    <hyperlink r:id="rId5889" ref="L2571"/>
    <hyperlink r:id="rId5890" ref="K2572"/>
    <hyperlink r:id="rId5891" ref="L2572"/>
    <hyperlink r:id="rId5892" ref="K2573"/>
    <hyperlink r:id="rId5893" ref="L2573"/>
    <hyperlink r:id="rId5894" ref="K2574"/>
    <hyperlink r:id="rId5895" ref="L2574"/>
    <hyperlink r:id="rId5896" ref="K2575"/>
    <hyperlink r:id="rId5897" ref="L2575"/>
    <hyperlink r:id="rId5898" ref="K2576"/>
    <hyperlink r:id="rId5899" ref="L2576"/>
    <hyperlink r:id="rId5900" ref="K2577"/>
    <hyperlink r:id="rId5901" ref="L2577"/>
    <hyperlink r:id="rId5902" ref="K2578"/>
    <hyperlink r:id="rId5903" ref="L2578"/>
    <hyperlink r:id="rId5904" ref="K2579"/>
    <hyperlink r:id="rId5905" ref="L2579"/>
    <hyperlink r:id="rId5906" ref="K2580"/>
    <hyperlink r:id="rId5907" ref="L2580"/>
    <hyperlink r:id="rId5908" ref="K2581"/>
    <hyperlink r:id="rId5909" ref="L2581"/>
    <hyperlink r:id="rId5910" ref="K2582"/>
    <hyperlink r:id="rId5911" ref="L2582"/>
    <hyperlink r:id="rId5912" ref="K2583"/>
    <hyperlink r:id="rId5913" ref="L2583"/>
    <hyperlink r:id="rId5914" ref="K2584"/>
    <hyperlink r:id="rId5915" ref="L2584"/>
    <hyperlink r:id="rId5916" ref="K2585"/>
    <hyperlink r:id="rId5917" ref="L2585"/>
    <hyperlink r:id="rId5918" ref="K2586"/>
    <hyperlink r:id="rId5919" ref="L2586"/>
    <hyperlink r:id="rId5920" ref="K2587"/>
    <hyperlink r:id="rId5921" ref="L2587"/>
    <hyperlink r:id="rId5922" ref="K2588"/>
    <hyperlink r:id="rId5923" ref="L2588"/>
    <hyperlink r:id="rId5924" ref="K2589"/>
    <hyperlink r:id="rId5925" ref="L2589"/>
    <hyperlink r:id="rId5926" ref="K2590"/>
    <hyperlink r:id="rId5927" ref="L2590"/>
    <hyperlink r:id="rId5928" ref="K2591"/>
    <hyperlink r:id="rId5929" ref="L2591"/>
    <hyperlink r:id="rId5930" ref="K2592"/>
    <hyperlink r:id="rId5931" ref="L2592"/>
    <hyperlink r:id="rId5932" ref="K2593"/>
    <hyperlink r:id="rId5933" ref="L2593"/>
    <hyperlink r:id="rId5934" ref="K2594"/>
    <hyperlink r:id="rId5935" ref="L2594"/>
    <hyperlink r:id="rId5936" ref="K2595"/>
    <hyperlink r:id="rId5937" ref="L2595"/>
    <hyperlink r:id="rId5938" ref="K2596"/>
    <hyperlink r:id="rId5939" ref="L2596"/>
    <hyperlink r:id="rId5940" ref="K2597"/>
    <hyperlink r:id="rId5941" ref="L2597"/>
    <hyperlink r:id="rId5942" ref="K2598"/>
    <hyperlink r:id="rId5943" ref="L2598"/>
    <hyperlink r:id="rId5944" ref="K2599"/>
    <hyperlink r:id="rId5945" ref="L2599"/>
    <hyperlink r:id="rId5946" ref="K2600"/>
    <hyperlink r:id="rId5947" ref="L2600"/>
    <hyperlink r:id="rId5948" ref="K2601"/>
    <hyperlink r:id="rId5949" ref="L2601"/>
    <hyperlink r:id="rId5950" ref="K2602"/>
    <hyperlink r:id="rId5951" ref="L2602"/>
    <hyperlink r:id="rId5952" ref="K2603"/>
    <hyperlink r:id="rId5953" ref="L2603"/>
    <hyperlink r:id="rId5954" ref="K2604"/>
    <hyperlink r:id="rId5955" ref="L2604"/>
    <hyperlink r:id="rId5956" ref="K2605"/>
    <hyperlink r:id="rId5957" ref="L2605"/>
    <hyperlink r:id="rId5958" ref="K2606"/>
    <hyperlink r:id="rId5959" ref="L2606"/>
    <hyperlink r:id="rId5960" ref="K2607"/>
    <hyperlink r:id="rId5961" ref="L2607"/>
    <hyperlink r:id="rId5962" ref="K2608"/>
    <hyperlink r:id="rId5963" ref="L2608"/>
    <hyperlink r:id="rId5964" ref="K2609"/>
    <hyperlink r:id="rId5965" ref="L2609"/>
    <hyperlink r:id="rId5966" ref="K2610"/>
    <hyperlink r:id="rId5967" ref="L2610"/>
    <hyperlink r:id="rId5968" ref="K2611"/>
    <hyperlink r:id="rId5969" ref="L2611"/>
    <hyperlink r:id="rId5970" ref="K2612"/>
    <hyperlink r:id="rId5971" ref="L2612"/>
    <hyperlink r:id="rId5972" ref="K2613"/>
    <hyperlink r:id="rId5973" ref="L2613"/>
    <hyperlink r:id="rId5974" ref="K2614"/>
    <hyperlink r:id="rId5975" ref="L2614"/>
    <hyperlink r:id="rId5976" ref="K2615"/>
    <hyperlink r:id="rId5977" ref="L2615"/>
    <hyperlink r:id="rId5978" ref="K2616"/>
    <hyperlink r:id="rId5979" ref="L2616"/>
    <hyperlink r:id="rId5980" ref="K2617"/>
    <hyperlink r:id="rId5981" ref="L2617"/>
    <hyperlink r:id="rId5982" ref="K2618"/>
    <hyperlink r:id="rId5983" ref="L2618"/>
    <hyperlink r:id="rId5984" ref="K2619"/>
    <hyperlink r:id="rId5985" ref="L2619"/>
    <hyperlink r:id="rId5986" ref="K2620"/>
    <hyperlink r:id="rId5987" ref="L2620"/>
    <hyperlink r:id="rId5988" ref="K2621"/>
    <hyperlink r:id="rId5989" ref="L2621"/>
    <hyperlink r:id="rId5990" ref="K2622"/>
    <hyperlink r:id="rId5991" ref="L2622"/>
    <hyperlink r:id="rId5992" ref="K2623"/>
    <hyperlink r:id="rId5993" ref="L2623"/>
    <hyperlink r:id="rId5994" ref="K2624"/>
    <hyperlink r:id="rId5995" ref="L2624"/>
    <hyperlink r:id="rId5996" ref="K2625"/>
    <hyperlink r:id="rId5997" ref="L2625"/>
    <hyperlink r:id="rId5998" ref="K2626"/>
    <hyperlink r:id="rId5999" ref="L2626"/>
    <hyperlink r:id="rId6000" ref="K2627"/>
    <hyperlink r:id="rId6001" ref="L2627"/>
    <hyperlink r:id="rId6002" ref="K2628"/>
    <hyperlink r:id="rId6003" ref="L2628"/>
    <hyperlink r:id="rId6004" ref="K2629"/>
    <hyperlink r:id="rId6005" ref="L2629"/>
    <hyperlink r:id="rId6006" ref="K2630"/>
    <hyperlink r:id="rId6007" ref="L2630"/>
    <hyperlink r:id="rId6008" ref="K2631"/>
    <hyperlink r:id="rId6009" ref="L2631"/>
    <hyperlink r:id="rId6010" ref="K2632"/>
    <hyperlink r:id="rId6011" ref="L2632"/>
    <hyperlink r:id="rId6012" ref="K2633"/>
    <hyperlink r:id="rId6013" ref="L2633"/>
    <hyperlink r:id="rId6014" ref="K2634"/>
    <hyperlink r:id="rId6015" ref="L2634"/>
    <hyperlink r:id="rId6016" ref="K2635"/>
    <hyperlink r:id="rId6017" ref="L2635"/>
    <hyperlink r:id="rId6018" ref="K2636"/>
    <hyperlink r:id="rId6019" ref="L2636"/>
    <hyperlink r:id="rId6020" ref="K2637"/>
    <hyperlink r:id="rId6021" ref="L2637"/>
    <hyperlink r:id="rId6022" ref="K2638"/>
    <hyperlink r:id="rId6023" ref="L2638"/>
    <hyperlink r:id="rId6024" ref="K2639"/>
    <hyperlink r:id="rId6025" ref="L2639"/>
    <hyperlink r:id="rId6026" ref="K2640"/>
    <hyperlink r:id="rId6027" ref="L2640"/>
    <hyperlink r:id="rId6028" ref="K2641"/>
    <hyperlink r:id="rId6029" ref="L2641"/>
    <hyperlink r:id="rId6030" ref="K2642"/>
    <hyperlink r:id="rId6031" ref="L2642"/>
    <hyperlink r:id="rId6032" ref="K2643"/>
    <hyperlink r:id="rId6033" ref="L2643"/>
    <hyperlink r:id="rId6034" ref="K2644"/>
    <hyperlink r:id="rId6035" ref="L2644"/>
    <hyperlink r:id="rId6036" ref="K2645"/>
    <hyperlink r:id="rId6037" ref="L2645"/>
    <hyperlink r:id="rId6038" ref="K2646"/>
    <hyperlink r:id="rId6039" ref="L2646"/>
    <hyperlink r:id="rId6040" ref="K2647"/>
    <hyperlink r:id="rId6041" ref="L2647"/>
    <hyperlink r:id="rId6042" ref="K2648"/>
    <hyperlink r:id="rId5558" ref="L2648"/>
    <hyperlink r:id="rId6043" ref="K2649"/>
    <hyperlink r:id="rId6044" ref="L2649"/>
    <hyperlink r:id="rId6045" ref="K2650"/>
    <hyperlink r:id="rId6046" ref="L2650"/>
    <hyperlink r:id="rId6047" ref="K2651"/>
    <hyperlink r:id="rId6048" ref="L2651"/>
    <hyperlink r:id="rId6049" ref="K2652"/>
    <hyperlink r:id="rId6050" ref="L2652"/>
    <hyperlink r:id="rId6051" ref="K2653"/>
    <hyperlink r:id="rId6052" ref="L2653"/>
    <hyperlink r:id="rId6053" ref="K2654"/>
    <hyperlink r:id="rId6054" ref="L2654"/>
    <hyperlink r:id="rId6055" ref="K2655"/>
    <hyperlink r:id="rId6056" ref="L2655"/>
    <hyperlink r:id="rId6057" ref="K2656"/>
    <hyperlink r:id="rId6058" ref="L2656"/>
    <hyperlink r:id="rId6059" ref="K2657"/>
    <hyperlink r:id="rId6060" ref="L2657"/>
    <hyperlink r:id="rId6061" ref="K2658"/>
    <hyperlink r:id="rId6062" ref="L2658"/>
    <hyperlink r:id="rId6063" ref="K2659"/>
    <hyperlink r:id="rId6064" ref="L2659"/>
    <hyperlink r:id="rId6065" ref="K2660"/>
    <hyperlink r:id="rId6066" ref="L2660"/>
    <hyperlink r:id="rId6067" ref="K2661"/>
    <hyperlink r:id="rId6068" ref="L2661"/>
    <hyperlink r:id="rId6069" ref="K2662"/>
    <hyperlink r:id="rId6070" ref="L2662"/>
    <hyperlink r:id="rId6071" ref="K2663"/>
    <hyperlink r:id="rId5823" ref="L2663"/>
    <hyperlink r:id="rId6072" ref="K2664"/>
    <hyperlink r:id="rId6073" ref="L2664"/>
    <hyperlink r:id="rId6074" ref="K2665"/>
    <hyperlink r:id="rId6075" ref="L2665"/>
    <hyperlink r:id="rId6076" ref="K2666"/>
    <hyperlink r:id="rId6077" ref="L2666"/>
    <hyperlink r:id="rId6078" ref="K2667"/>
    <hyperlink r:id="rId6079" ref="L2667"/>
    <hyperlink r:id="rId6080" ref="K2668"/>
    <hyperlink r:id="rId6081" ref="L2668"/>
    <hyperlink r:id="rId6082" ref="K2669"/>
    <hyperlink r:id="rId1491" ref="L2669"/>
    <hyperlink r:id="rId6083" ref="K2670"/>
    <hyperlink r:id="rId6084" ref="L2670"/>
    <hyperlink r:id="rId6085" ref="K2671"/>
    <hyperlink r:id="rId6086" ref="L2671"/>
    <hyperlink r:id="rId6087" ref="K2672"/>
    <hyperlink r:id="rId6088" ref="L2672"/>
    <hyperlink r:id="rId6089" ref="K2673"/>
    <hyperlink r:id="rId6090" ref="L2673"/>
    <hyperlink r:id="rId6091" ref="K2674"/>
    <hyperlink r:id="rId6092" ref="L2674"/>
    <hyperlink r:id="rId6093" ref="K2675"/>
    <hyperlink r:id="rId6094" ref="L2675"/>
    <hyperlink r:id="rId6095" ref="K2676"/>
    <hyperlink r:id="rId6096" ref="L2676"/>
    <hyperlink r:id="rId6097" ref="K2677"/>
    <hyperlink r:id="rId6098" ref="L2677"/>
    <hyperlink r:id="rId6099" ref="K2678"/>
    <hyperlink r:id="rId6100" ref="L2678"/>
    <hyperlink r:id="rId6101" ref="K2679"/>
    <hyperlink r:id="rId6102" ref="L2679"/>
    <hyperlink r:id="rId6103" ref="K2680"/>
    <hyperlink r:id="rId6104" ref="L2680"/>
    <hyperlink r:id="rId6105" ref="K2681"/>
    <hyperlink r:id="rId6106" ref="L2681"/>
    <hyperlink r:id="rId6107" ref="K2682"/>
    <hyperlink r:id="rId6108" ref="L2682"/>
    <hyperlink r:id="rId6109" ref="K2683"/>
    <hyperlink r:id="rId6110" ref="L2683"/>
    <hyperlink r:id="rId6111" ref="K2684"/>
    <hyperlink r:id="rId6112" ref="L2684"/>
    <hyperlink r:id="rId6113" ref="K2685"/>
    <hyperlink r:id="rId6114" ref="L2685"/>
    <hyperlink r:id="rId6115" ref="K2686"/>
    <hyperlink r:id="rId6116" ref="L2686"/>
    <hyperlink r:id="rId6117" ref="K2687"/>
    <hyperlink r:id="rId6118" ref="L2687"/>
    <hyperlink r:id="rId6119" ref="K2688"/>
    <hyperlink r:id="rId6120" ref="L2688"/>
    <hyperlink r:id="rId6121" ref="K2689"/>
    <hyperlink r:id="rId6122" ref="L2689"/>
    <hyperlink r:id="rId6123" ref="K2690"/>
    <hyperlink r:id="rId6124" ref="L2690"/>
    <hyperlink r:id="rId6125" ref="K2691"/>
    <hyperlink r:id="rId6126" ref="L2691"/>
    <hyperlink r:id="rId6127" ref="K2692"/>
    <hyperlink r:id="rId6128" ref="L2692"/>
    <hyperlink r:id="rId6129" ref="K2693"/>
    <hyperlink r:id="rId6130" ref="L2693"/>
    <hyperlink r:id="rId6131" ref="K2694"/>
    <hyperlink r:id="rId6132" ref="L2694"/>
    <hyperlink r:id="rId6133" ref="K2695"/>
    <hyperlink r:id="rId6134" ref="L2695"/>
    <hyperlink r:id="rId6135" ref="K2696"/>
    <hyperlink r:id="rId6136" ref="L2696"/>
    <hyperlink r:id="rId6137" ref="K2697"/>
    <hyperlink r:id="rId6138" ref="L2697"/>
    <hyperlink r:id="rId6139" ref="K2698"/>
    <hyperlink r:id="rId6140" ref="L2698"/>
    <hyperlink r:id="rId6141" ref="K2699"/>
    <hyperlink r:id="rId6142" ref="L2699"/>
    <hyperlink r:id="rId6143" ref="K2700"/>
    <hyperlink r:id="rId6144" ref="L2700"/>
    <hyperlink r:id="rId6145" ref="K2701"/>
    <hyperlink r:id="rId6146" ref="L2701"/>
    <hyperlink r:id="rId6147" ref="K2702"/>
    <hyperlink r:id="rId6148" ref="L2702"/>
    <hyperlink r:id="rId6149" ref="K2703"/>
    <hyperlink r:id="rId6150" ref="L2703"/>
    <hyperlink r:id="rId6151" ref="K2704"/>
    <hyperlink r:id="rId6152" ref="L2704"/>
    <hyperlink r:id="rId6153" ref="K2705"/>
    <hyperlink r:id="rId6154" ref="L2705"/>
    <hyperlink r:id="rId6155" ref="K2706"/>
    <hyperlink r:id="rId6156" ref="L2706"/>
    <hyperlink r:id="rId6157" ref="K2707"/>
    <hyperlink r:id="rId6158" ref="L2707"/>
    <hyperlink r:id="rId6159" ref="K2708"/>
    <hyperlink r:id="rId6160" ref="L2708"/>
    <hyperlink r:id="rId6161" ref="K2709"/>
    <hyperlink r:id="rId6162" ref="L2709"/>
    <hyperlink r:id="rId6163" ref="K2710"/>
    <hyperlink r:id="rId6164" ref="L2710"/>
    <hyperlink r:id="rId6165" ref="K2711"/>
    <hyperlink r:id="rId6166" ref="L2711"/>
    <hyperlink r:id="rId6167" ref="K2712"/>
    <hyperlink r:id="rId6168" ref="L2712"/>
    <hyperlink r:id="rId6169" ref="K2713"/>
    <hyperlink r:id="rId6170" ref="L2713"/>
    <hyperlink r:id="rId6171" ref="K2714"/>
    <hyperlink r:id="rId6172" ref="L2714"/>
    <hyperlink r:id="rId6173" ref="K2715"/>
    <hyperlink r:id="rId6174" ref="L2715"/>
    <hyperlink r:id="rId6175" ref="K2716"/>
    <hyperlink r:id="rId6176" ref="L2716"/>
    <hyperlink r:id="rId6177" ref="K2717"/>
    <hyperlink r:id="rId6178" ref="L2717"/>
    <hyperlink r:id="rId6179" ref="K2718"/>
    <hyperlink r:id="rId6180" ref="L2718"/>
    <hyperlink r:id="rId6181" ref="K2719"/>
    <hyperlink r:id="rId6182" ref="L2719"/>
    <hyperlink r:id="rId6183" ref="K2720"/>
    <hyperlink r:id="rId6184" ref="L2720"/>
    <hyperlink r:id="rId6185" ref="K2721"/>
    <hyperlink r:id="rId6186" ref="L2721"/>
    <hyperlink r:id="rId6187" ref="K2722"/>
    <hyperlink r:id="rId6188" ref="L2722"/>
    <hyperlink r:id="rId6189" ref="K2723"/>
    <hyperlink r:id="rId6190" ref="L2723"/>
    <hyperlink r:id="rId6191" ref="K2724"/>
    <hyperlink r:id="rId6192" ref="L2724"/>
    <hyperlink r:id="rId6193" ref="K2725"/>
    <hyperlink r:id="rId6194" ref="L2725"/>
    <hyperlink r:id="rId6195" ref="K2726"/>
    <hyperlink r:id="rId6196" ref="L2726"/>
    <hyperlink r:id="rId6197" ref="K2727"/>
    <hyperlink r:id="rId6198" ref="L2727"/>
    <hyperlink r:id="rId6199" ref="K2728"/>
    <hyperlink r:id="rId6200" ref="L2728"/>
    <hyperlink r:id="rId6201" ref="K2729"/>
    <hyperlink r:id="rId6202" ref="L2729"/>
    <hyperlink r:id="rId6203" ref="K2730"/>
    <hyperlink r:id="rId6204" ref="L2730"/>
    <hyperlink r:id="rId6205" ref="K2731"/>
    <hyperlink r:id="rId6206" ref="L2731"/>
    <hyperlink r:id="rId6207" ref="K2732"/>
    <hyperlink r:id="rId6208" ref="L2732"/>
    <hyperlink r:id="rId6209" ref="K2733"/>
    <hyperlink r:id="rId6204" ref="L2733"/>
    <hyperlink r:id="rId6210" ref="K2734"/>
    <hyperlink r:id="rId6211" ref="L2734"/>
    <hyperlink r:id="rId6212" ref="K2735"/>
    <hyperlink r:id="rId6213" ref="L2735"/>
    <hyperlink r:id="rId6214" ref="K2736"/>
    <hyperlink r:id="rId6215" ref="L2736"/>
    <hyperlink r:id="rId6216" ref="K2737"/>
    <hyperlink r:id="rId6217" ref="L2737"/>
    <hyperlink r:id="rId6218" ref="K2738"/>
    <hyperlink r:id="rId6219" ref="L2738"/>
    <hyperlink r:id="rId6220" ref="K2739"/>
    <hyperlink r:id="rId6221" ref="L2739"/>
    <hyperlink r:id="rId6222" ref="K2740"/>
    <hyperlink r:id="rId6223" ref="L2740"/>
    <hyperlink r:id="rId6224" ref="K2741"/>
    <hyperlink r:id="rId6225" ref="L2741"/>
    <hyperlink r:id="rId6226" ref="K2742"/>
    <hyperlink r:id="rId6227" ref="L2742"/>
    <hyperlink r:id="rId6228" ref="K2743"/>
    <hyperlink r:id="rId6229" ref="L2743"/>
    <hyperlink r:id="rId6230" ref="K2744"/>
    <hyperlink r:id="rId6231" ref="L2744"/>
    <hyperlink r:id="rId6232" ref="K2745"/>
    <hyperlink r:id="rId6233" ref="L2745"/>
    <hyperlink r:id="rId6234" ref="K2746"/>
    <hyperlink r:id="rId5490" ref="L2746"/>
    <hyperlink r:id="rId6235" ref="K2747"/>
    <hyperlink r:id="rId6236" ref="L2747"/>
    <hyperlink r:id="rId6237" ref="E2748"/>
    <hyperlink r:id="rId6238" ref="K2748"/>
    <hyperlink r:id="rId6239" ref="L2748"/>
    <hyperlink r:id="rId6240" ref="K2749"/>
    <hyperlink r:id="rId6241" ref="L2749"/>
    <hyperlink r:id="rId6242" ref="K2750"/>
    <hyperlink r:id="rId6243" ref="L2750"/>
    <hyperlink r:id="rId6244" ref="K2751"/>
    <hyperlink r:id="rId6245" ref="L2751"/>
    <hyperlink r:id="rId6246" ref="K2752"/>
    <hyperlink r:id="rId5763" ref="L2752"/>
    <hyperlink r:id="rId6247" ref="K2753"/>
    <hyperlink r:id="rId6248" ref="L2753"/>
    <hyperlink r:id="rId6249" ref="K2754"/>
    <hyperlink r:id="rId6250" ref="L2754"/>
    <hyperlink r:id="rId6251" ref="K2755"/>
    <hyperlink r:id="rId6252" ref="L2755"/>
    <hyperlink r:id="rId6253" ref="K2756"/>
    <hyperlink r:id="rId6254" ref="L2756"/>
    <hyperlink r:id="rId6255" ref="K2757"/>
    <hyperlink r:id="rId5939" ref="L2757"/>
    <hyperlink r:id="rId6256" ref="K2758"/>
    <hyperlink r:id="rId6257" ref="L2758"/>
    <hyperlink r:id="rId6258" ref="K2759"/>
    <hyperlink r:id="rId6259" ref="L2759"/>
    <hyperlink r:id="rId6260" ref="K2760"/>
    <hyperlink r:id="rId6261" ref="L2760"/>
    <hyperlink r:id="rId6262" ref="K2761"/>
    <hyperlink r:id="rId6263" ref="L2761"/>
    <hyperlink r:id="rId6264" ref="E2762"/>
    <hyperlink r:id="rId6265" ref="K2762"/>
    <hyperlink r:id="rId6266" ref="L2762"/>
    <hyperlink r:id="rId6267" ref="K2763"/>
    <hyperlink r:id="rId6268" ref="L2763"/>
    <hyperlink r:id="rId6269" ref="K2764"/>
    <hyperlink r:id="rId6270" ref="L2764"/>
    <hyperlink r:id="rId6271" ref="K2765"/>
    <hyperlink r:id="rId6272" ref="L2765"/>
    <hyperlink r:id="rId6273" ref="K2766"/>
    <hyperlink r:id="rId6274" ref="L2766"/>
    <hyperlink r:id="rId6275" ref="K2767"/>
    <hyperlink r:id="rId6276" ref="L2767"/>
    <hyperlink r:id="rId6277" ref="K2768"/>
    <hyperlink r:id="rId6278" ref="L2768"/>
    <hyperlink r:id="rId6279" ref="K2769"/>
    <hyperlink r:id="rId6280" ref="L2769"/>
    <hyperlink r:id="rId6281" ref="K2770"/>
    <hyperlink r:id="rId6282" ref="L2770"/>
    <hyperlink r:id="rId6283" ref="K2771"/>
    <hyperlink r:id="rId6284" ref="L2771"/>
    <hyperlink r:id="rId6285" ref="K2772"/>
    <hyperlink r:id="rId6286" ref="L2772"/>
    <hyperlink r:id="rId6287" ref="K2773"/>
    <hyperlink r:id="rId6288" ref="L2773"/>
    <hyperlink r:id="rId6289" ref="K2774"/>
    <hyperlink r:id="rId6290" ref="L2774"/>
    <hyperlink r:id="rId6291" ref="K2775"/>
    <hyperlink r:id="rId6292" ref="L2775"/>
    <hyperlink r:id="rId6293" ref="K2776"/>
    <hyperlink r:id="rId6294" ref="L2776"/>
    <hyperlink r:id="rId6295" ref="K2777"/>
    <hyperlink r:id="rId6296" ref="L2777"/>
    <hyperlink r:id="rId6297" ref="K2778"/>
    <hyperlink r:id="rId6298" ref="L2778"/>
    <hyperlink r:id="rId6299" ref="K2779"/>
    <hyperlink r:id="rId6300" ref="L2779"/>
    <hyperlink r:id="rId6301" ref="K2780"/>
    <hyperlink r:id="rId6302" ref="L2780"/>
    <hyperlink r:id="rId6303" ref="K2781"/>
    <hyperlink r:id="rId6304" ref="L2781"/>
    <hyperlink r:id="rId6305" ref="K2782"/>
    <hyperlink r:id="rId6306" ref="L2782"/>
    <hyperlink r:id="rId6307" ref="K2783"/>
    <hyperlink r:id="rId6308" ref="L2783"/>
    <hyperlink r:id="rId6309" ref="K2784"/>
    <hyperlink r:id="rId6310" ref="L2784"/>
    <hyperlink r:id="rId6311" ref="K2785"/>
    <hyperlink r:id="rId6312" ref="K2786"/>
    <hyperlink r:id="rId6313" ref="L2786"/>
    <hyperlink r:id="rId6314" ref="K2787"/>
    <hyperlink r:id="rId6315" ref="L2787"/>
    <hyperlink r:id="rId6316" ref="E2788"/>
    <hyperlink r:id="rId6317" ref="K2788"/>
    <hyperlink r:id="rId6318" ref="L2788"/>
    <hyperlink r:id="rId6319" ref="K2789"/>
    <hyperlink r:id="rId6320" ref="L2789"/>
    <hyperlink r:id="rId6321" ref="K2790"/>
    <hyperlink r:id="rId6322" ref="L2790"/>
    <hyperlink r:id="rId6323" ref="K2791"/>
    <hyperlink r:id="rId6324" ref="L2791"/>
    <hyperlink r:id="rId6325" ref="K2792"/>
    <hyperlink r:id="rId6326" ref="L2792"/>
    <hyperlink r:id="rId6327" ref="K2793"/>
    <hyperlink r:id="rId6328" ref="L2793"/>
    <hyperlink r:id="rId6329" ref="K2794"/>
    <hyperlink r:id="rId5478" ref="L2794"/>
    <hyperlink r:id="rId6330" ref="K2795"/>
    <hyperlink r:id="rId6331" ref="L2795"/>
    <hyperlink r:id="rId6332" ref="K2796"/>
    <hyperlink r:id="rId6333" ref="L2796"/>
    <hyperlink r:id="rId6334" ref="K2797"/>
    <hyperlink r:id="rId6335" ref="L2797"/>
    <hyperlink r:id="rId6336" ref="K2798"/>
    <hyperlink r:id="rId6337" ref="L2798"/>
    <hyperlink r:id="rId6338" ref="K2799"/>
    <hyperlink r:id="rId6339" ref="L2799"/>
    <hyperlink r:id="rId6340" ref="K2800"/>
    <hyperlink r:id="rId6341" ref="L2800"/>
    <hyperlink r:id="rId6342" ref="K2801"/>
    <hyperlink r:id="rId6343" ref="L2801"/>
    <hyperlink r:id="rId6344" ref="K2802"/>
    <hyperlink r:id="rId6345" ref="L2802"/>
    <hyperlink r:id="rId6346" ref="K2803"/>
    <hyperlink r:id="rId6347" ref="L2803"/>
    <hyperlink r:id="rId6348" ref="K2804"/>
    <hyperlink r:id="rId6349" ref="L2804"/>
    <hyperlink r:id="rId6350" ref="K2805"/>
    <hyperlink r:id="rId6351" ref="L2805"/>
    <hyperlink r:id="rId6352" ref="K2806"/>
    <hyperlink r:id="rId6353" ref="L2806"/>
    <hyperlink r:id="rId6354" ref="K2807"/>
    <hyperlink r:id="rId6355" ref="L2807"/>
    <hyperlink r:id="rId6356" ref="K2808"/>
    <hyperlink r:id="rId6357" ref="L2808"/>
    <hyperlink r:id="rId6358" ref="K2809"/>
    <hyperlink r:id="rId6359" ref="L2809"/>
    <hyperlink r:id="rId6360" ref="K2810"/>
    <hyperlink r:id="rId6361" ref="L2810"/>
    <hyperlink r:id="rId6362" ref="K2811"/>
    <hyperlink r:id="rId6363" ref="L2811"/>
    <hyperlink r:id="rId6364" ref="K2812"/>
    <hyperlink r:id="rId6365" ref="L2812"/>
    <hyperlink r:id="rId6366" ref="K2813"/>
    <hyperlink r:id="rId6367" ref="L2813"/>
    <hyperlink r:id="rId6368" ref="K2814"/>
    <hyperlink r:id="rId6369" ref="L2814"/>
    <hyperlink r:id="rId6370" ref="K2815"/>
    <hyperlink r:id="rId6371" ref="L2815"/>
    <hyperlink r:id="rId6372" ref="K2816"/>
    <hyperlink r:id="rId6373" ref="L2816"/>
    <hyperlink r:id="rId6374" ref="K2817"/>
    <hyperlink r:id="rId6375" ref="L2817"/>
    <hyperlink r:id="rId6376" ref="K2818"/>
    <hyperlink r:id="rId6377" ref="L2818"/>
    <hyperlink r:id="rId6378" ref="K2819"/>
    <hyperlink r:id="rId6379" ref="L2819"/>
    <hyperlink r:id="rId6380" ref="K2820"/>
    <hyperlink r:id="rId6381" ref="L2820"/>
    <hyperlink r:id="rId6382" ref="K2821"/>
    <hyperlink r:id="rId6383" ref="L2821"/>
    <hyperlink r:id="rId6384" ref="K2822"/>
    <hyperlink r:id="rId6385" ref="L2822"/>
    <hyperlink r:id="rId6386" ref="K2823"/>
    <hyperlink r:id="rId6387" ref="L2823"/>
    <hyperlink r:id="rId6388" ref="K2824"/>
    <hyperlink r:id="rId6389" ref="L2824"/>
    <hyperlink r:id="rId6390" ref="K2825"/>
    <hyperlink r:id="rId6391" ref="L2825"/>
    <hyperlink r:id="rId6392" ref="K2826"/>
    <hyperlink r:id="rId6393" ref="L2826"/>
    <hyperlink r:id="rId6394" ref="K2827"/>
    <hyperlink r:id="rId6395" ref="L2827"/>
    <hyperlink r:id="rId6396" ref="K2828"/>
    <hyperlink r:id="rId6397" ref="L2828"/>
    <hyperlink r:id="rId6398" ref="K2829"/>
    <hyperlink r:id="rId6399" ref="L2829"/>
    <hyperlink r:id="rId6400" ref="E2830"/>
    <hyperlink r:id="rId6401" ref="K2830"/>
    <hyperlink r:id="rId6402" ref="L2830"/>
    <hyperlink r:id="rId6403" ref="K2831"/>
    <hyperlink r:id="rId6404" ref="L2831"/>
    <hyperlink r:id="rId6405" ref="K2832"/>
    <hyperlink r:id="rId6406" ref="L2832"/>
    <hyperlink r:id="rId6407" ref="K2833"/>
    <hyperlink r:id="rId6408" ref="L2833"/>
    <hyperlink r:id="rId6409" ref="K2834"/>
    <hyperlink r:id="rId6410" ref="L2834"/>
    <hyperlink r:id="rId6411" ref="K2835"/>
    <hyperlink r:id="rId6412" ref="L2835"/>
    <hyperlink r:id="rId6413" ref="K2836"/>
    <hyperlink r:id="rId6414" ref="L2836"/>
    <hyperlink r:id="rId6415" ref="K2837"/>
    <hyperlink r:id="rId6416" ref="L2837"/>
    <hyperlink r:id="rId6417" ref="K2838"/>
    <hyperlink r:id="rId6418" ref="L2838"/>
    <hyperlink r:id="rId6419" ref="K2839"/>
    <hyperlink r:id="rId6420" ref="L2839"/>
    <hyperlink r:id="rId6421" ref="K2840"/>
    <hyperlink r:id="rId6422" ref="L2840"/>
    <hyperlink r:id="rId6423" ref="K2841"/>
    <hyperlink r:id="rId6424" ref="L2841"/>
    <hyperlink r:id="rId6425" ref="K2842"/>
    <hyperlink r:id="rId6426" ref="L2842"/>
    <hyperlink r:id="rId6427" ref="K2843"/>
    <hyperlink r:id="rId6428" ref="L2843"/>
    <hyperlink r:id="rId6429" ref="K2844"/>
    <hyperlink r:id="rId6430" ref="L2844"/>
    <hyperlink r:id="rId6431" ref="K2845"/>
    <hyperlink r:id="rId6432" ref="L2845"/>
    <hyperlink r:id="rId6433" ref="K2846"/>
    <hyperlink r:id="rId6434" ref="L2846"/>
    <hyperlink r:id="rId6435" ref="K2847"/>
    <hyperlink r:id="rId6436" ref="L2847"/>
    <hyperlink r:id="rId6437" ref="K2848"/>
    <hyperlink r:id="rId6438" ref="L2848"/>
    <hyperlink r:id="rId6439" ref="K2849"/>
    <hyperlink r:id="rId6440" ref="L2849"/>
    <hyperlink r:id="rId6441" ref="K2850"/>
    <hyperlink r:id="rId6442" ref="L2850"/>
    <hyperlink r:id="rId6443" ref="K2851"/>
    <hyperlink r:id="rId6444" ref="L2851"/>
    <hyperlink r:id="rId6445" ref="K2852"/>
    <hyperlink r:id="rId5460" ref="L2852"/>
    <hyperlink r:id="rId6446" ref="K2853"/>
    <hyperlink r:id="rId6447" ref="L2853"/>
    <hyperlink r:id="rId6448" ref="K2854"/>
    <hyperlink r:id="rId6449" ref="L2854"/>
    <hyperlink r:id="rId6450" ref="K2855"/>
    <hyperlink r:id="rId6451" ref="L2855"/>
    <hyperlink r:id="rId6452" ref="K2856"/>
    <hyperlink r:id="rId6453" ref="L2856"/>
    <hyperlink r:id="rId6454" ref="K2857"/>
    <hyperlink r:id="rId6455" ref="L2857"/>
    <hyperlink r:id="rId6456" ref="K2858"/>
    <hyperlink r:id="rId6457" ref="L2858"/>
    <hyperlink r:id="rId6458" ref="K2859"/>
    <hyperlink r:id="rId6459" ref="L2859"/>
    <hyperlink r:id="rId6460" ref="K2860"/>
    <hyperlink r:id="rId6461" ref="L2860"/>
    <hyperlink r:id="rId6462" ref="K2861"/>
    <hyperlink r:id="rId6463" ref="L2861"/>
    <hyperlink r:id="rId6464" ref="K2862"/>
    <hyperlink r:id="rId6465" ref="L2862"/>
    <hyperlink r:id="rId6466" ref="K2863"/>
    <hyperlink r:id="rId6467" ref="L2863"/>
    <hyperlink r:id="rId6468" ref="K2864"/>
    <hyperlink r:id="rId6469" ref="L2864"/>
    <hyperlink r:id="rId6470" ref="K2865"/>
    <hyperlink r:id="rId6471" ref="L2865"/>
    <hyperlink r:id="rId6472" ref="K2866"/>
    <hyperlink r:id="rId6473" ref="L2866"/>
    <hyperlink r:id="rId6474" ref="K2867"/>
    <hyperlink r:id="rId6475" ref="L2867"/>
    <hyperlink r:id="rId6476" ref="K2868"/>
    <hyperlink r:id="rId6477" ref="L2868"/>
    <hyperlink r:id="rId6478" ref="K2869"/>
    <hyperlink r:id="rId6479" ref="L2869"/>
    <hyperlink r:id="rId6480" ref="K2870"/>
    <hyperlink r:id="rId6481" ref="L2870"/>
    <hyperlink r:id="rId6482" ref="E2871"/>
    <hyperlink r:id="rId6483" ref="K2871"/>
    <hyperlink r:id="rId6484" ref="L2871"/>
    <hyperlink r:id="rId6485" ref="K2872"/>
    <hyperlink r:id="rId6486" ref="L2872"/>
    <hyperlink r:id="rId6487" ref="K2873"/>
    <hyperlink r:id="rId6488" ref="L2873"/>
    <hyperlink r:id="rId6489" ref="K2874"/>
    <hyperlink r:id="rId6490" ref="L2874"/>
    <hyperlink r:id="rId6491" ref="K2875"/>
    <hyperlink r:id="rId6492" ref="L2875"/>
    <hyperlink r:id="rId6493" ref="K2876"/>
    <hyperlink r:id="rId6494" ref="L2876"/>
    <hyperlink r:id="rId6495" ref="K2877"/>
    <hyperlink r:id="rId6496" ref="L2877"/>
    <hyperlink r:id="rId6497" ref="K2878"/>
    <hyperlink r:id="rId6498" ref="L2878"/>
    <hyperlink r:id="rId6499" ref="K2879"/>
    <hyperlink r:id="rId6500" ref="L2879"/>
    <hyperlink r:id="rId6501" ref="K2880"/>
    <hyperlink r:id="rId6502" ref="L2880"/>
    <hyperlink r:id="rId6503" ref="K2881"/>
    <hyperlink r:id="rId6504" ref="L2881"/>
    <hyperlink r:id="rId6505" ref="K2882"/>
    <hyperlink r:id="rId6506" ref="L2882"/>
    <hyperlink r:id="rId6507" ref="K2883"/>
    <hyperlink r:id="rId6288" ref="L2883"/>
    <hyperlink r:id="rId6508" ref="K2884"/>
    <hyperlink r:id="rId6509" ref="L2884"/>
    <hyperlink r:id="rId6510" ref="K2885"/>
    <hyperlink r:id="rId6511" ref="L2885"/>
    <hyperlink r:id="rId6512" ref="K2886"/>
    <hyperlink r:id="rId6513" ref="L2886"/>
    <hyperlink r:id="rId6514" ref="K2887"/>
    <hyperlink r:id="rId6515" ref="L2887"/>
    <hyperlink r:id="rId6516" ref="K2888"/>
    <hyperlink r:id="rId6517" ref="L2888"/>
    <hyperlink r:id="rId6518" ref="K2889"/>
    <hyperlink r:id="rId6519" ref="L2889"/>
    <hyperlink r:id="rId6520" ref="K2890"/>
    <hyperlink r:id="rId6521" ref="L2890"/>
    <hyperlink r:id="rId6522" ref="K2891"/>
    <hyperlink r:id="rId6523" ref="L2891"/>
    <hyperlink r:id="rId6524" ref="K2892"/>
    <hyperlink r:id="rId6525" ref="L2892"/>
    <hyperlink r:id="rId6526" ref="K2893"/>
    <hyperlink r:id="rId6527" ref="L2893"/>
    <hyperlink r:id="rId6528" ref="K2894"/>
    <hyperlink r:id="rId6529" ref="L2894"/>
    <hyperlink r:id="rId6530" ref="K2895"/>
    <hyperlink r:id="rId6531" ref="L2895"/>
    <hyperlink r:id="rId6532" ref="K2896"/>
    <hyperlink r:id="rId6533" ref="L2896"/>
    <hyperlink r:id="rId6534" ref="K2897"/>
    <hyperlink r:id="rId6535" ref="L2897"/>
    <hyperlink r:id="rId6536" ref="K2898"/>
    <hyperlink r:id="rId6537" ref="L2898"/>
    <hyperlink r:id="rId6538" ref="K2899"/>
    <hyperlink r:id="rId6539" ref="L2899"/>
    <hyperlink r:id="rId6540" ref="K2900"/>
    <hyperlink r:id="rId6541" ref="L2900"/>
    <hyperlink r:id="rId6542" ref="K2901"/>
    <hyperlink r:id="rId6543" ref="L2901"/>
    <hyperlink r:id="rId6544" ref="K2902"/>
    <hyperlink r:id="rId6545" ref="L2902"/>
    <hyperlink r:id="rId6546" ref="K2903"/>
    <hyperlink r:id="rId6547" ref="L2903"/>
    <hyperlink r:id="rId6548" ref="K2904"/>
    <hyperlink r:id="rId6549" ref="L2904"/>
    <hyperlink r:id="rId6550" ref="K2905"/>
    <hyperlink r:id="rId6551" ref="L2905"/>
    <hyperlink r:id="rId6552" ref="K2906"/>
    <hyperlink r:id="rId6553" ref="L2906"/>
    <hyperlink r:id="rId6554" ref="K2907"/>
    <hyperlink r:id="rId6555" ref="L2907"/>
    <hyperlink r:id="rId6556" ref="K2908"/>
    <hyperlink r:id="rId6557" ref="L2908"/>
    <hyperlink r:id="rId6558" ref="K2909"/>
    <hyperlink r:id="rId6559" ref="L2909"/>
    <hyperlink r:id="rId6560" ref="K2910"/>
    <hyperlink r:id="rId6561" ref="L2910"/>
    <hyperlink r:id="rId6562" ref="K2911"/>
    <hyperlink r:id="rId6563" ref="L2911"/>
    <hyperlink r:id="rId6564" ref="K2912"/>
    <hyperlink r:id="rId6565" ref="L2912"/>
    <hyperlink r:id="rId6566" ref="K2913"/>
    <hyperlink r:id="rId5729" ref="L2913"/>
    <hyperlink r:id="rId6567" ref="K2914"/>
    <hyperlink r:id="rId6568" ref="L2914"/>
    <hyperlink r:id="rId6569" ref="K2915"/>
    <hyperlink r:id="rId5971" ref="L2915"/>
    <hyperlink r:id="rId6570" ref="E2916"/>
    <hyperlink r:id="rId6571" ref="K2916"/>
    <hyperlink r:id="rId6572" ref="L2916"/>
    <hyperlink r:id="rId6573" ref="K2917"/>
    <hyperlink r:id="rId6574" ref="L2917"/>
    <hyperlink r:id="rId5736" ref="K2918"/>
    <hyperlink r:id="rId5737" ref="L2918"/>
    <hyperlink r:id="rId6575" ref="K2919"/>
    <hyperlink r:id="rId6576" ref="L2919"/>
    <hyperlink r:id="rId6577" ref="K2920"/>
    <hyperlink r:id="rId6578" ref="L2920"/>
    <hyperlink r:id="rId6579" ref="K2921"/>
    <hyperlink r:id="rId6580" ref="L2921"/>
    <hyperlink r:id="rId6581" ref="K2922"/>
    <hyperlink r:id="rId6582" ref="L2922"/>
    <hyperlink r:id="rId6583" ref="K2923"/>
    <hyperlink r:id="rId6584" ref="L2923"/>
    <hyperlink r:id="rId6585" ref="K2924"/>
    <hyperlink r:id="rId6586" ref="L2924"/>
    <hyperlink r:id="rId6587" ref="K2925"/>
    <hyperlink r:id="rId6588" ref="L2925"/>
    <hyperlink r:id="rId6589" ref="K2926"/>
    <hyperlink r:id="rId6590" ref="L2926"/>
    <hyperlink r:id="rId6591" ref="K2927"/>
    <hyperlink r:id="rId6592" ref="L2927"/>
    <hyperlink r:id="rId6593" ref="K2928"/>
    <hyperlink r:id="rId6594" ref="L2928"/>
    <hyperlink r:id="rId6595" ref="K2929"/>
    <hyperlink r:id="rId6596" ref="L2929"/>
    <hyperlink r:id="rId6597" ref="K2930"/>
    <hyperlink r:id="rId6598" ref="L2930"/>
    <hyperlink r:id="rId6599" ref="K2931"/>
    <hyperlink r:id="rId6600" ref="L2931"/>
    <hyperlink r:id="rId6601" ref="K2932"/>
    <hyperlink r:id="rId6602" ref="L2932"/>
    <hyperlink r:id="rId6603" ref="K2933"/>
    <hyperlink r:id="rId6604" ref="L2933"/>
    <hyperlink r:id="rId6605" ref="K2934"/>
    <hyperlink r:id="rId6606" ref="L2934"/>
    <hyperlink r:id="rId6607" ref="K2935"/>
    <hyperlink r:id="rId6608" ref="L2935"/>
    <hyperlink r:id="rId6609" ref="K2936"/>
    <hyperlink r:id="rId6610" ref="L2936"/>
    <hyperlink r:id="rId6611" ref="K2937"/>
    <hyperlink r:id="rId6612" ref="L2937"/>
    <hyperlink r:id="rId6613" ref="K2938"/>
    <hyperlink r:id="rId6614" ref="L2938"/>
    <hyperlink r:id="rId6615" ref="K2939"/>
    <hyperlink r:id="rId6616" ref="L2939"/>
    <hyperlink r:id="rId6617" ref="K2940"/>
    <hyperlink r:id="rId6618" ref="L2940"/>
    <hyperlink r:id="rId6619" ref="K2941"/>
    <hyperlink r:id="rId6620" ref="L2941"/>
    <hyperlink r:id="rId6621" ref="K2942"/>
    <hyperlink r:id="rId6622" ref="L2942"/>
    <hyperlink r:id="rId6623" ref="K2943"/>
    <hyperlink r:id="rId6624" ref="L2943"/>
    <hyperlink r:id="rId6625" ref="K2944"/>
    <hyperlink r:id="rId6626" ref="L2944"/>
    <hyperlink r:id="rId6627" ref="K2945"/>
    <hyperlink r:id="rId6628" ref="L2945"/>
    <hyperlink r:id="rId6629" ref="K2946"/>
    <hyperlink r:id="rId6630" ref="L2946"/>
    <hyperlink r:id="rId6631" ref="K2947"/>
    <hyperlink r:id="rId6632" ref="L2947"/>
    <hyperlink r:id="rId6633" ref="K2948"/>
    <hyperlink r:id="rId5387" ref="L2948"/>
    <hyperlink r:id="rId6634" ref="K2949"/>
    <hyperlink r:id="rId6635" ref="L2949"/>
    <hyperlink r:id="rId6636" ref="K2950"/>
    <hyperlink r:id="rId6294" ref="L2950"/>
    <hyperlink r:id="rId6637" ref="K2951"/>
    <hyperlink r:id="rId6638" ref="L2951"/>
    <hyperlink r:id="rId6639" ref="K2952"/>
    <hyperlink r:id="rId6640" ref="L2952"/>
    <hyperlink r:id="rId6641" ref="K2953"/>
    <hyperlink r:id="rId6642" ref="L2953"/>
    <hyperlink r:id="rId6643" ref="K2954"/>
    <hyperlink r:id="rId6644" ref="L2954"/>
    <hyperlink r:id="rId6645" ref="K2955"/>
    <hyperlink r:id="rId6646" ref="L2955"/>
    <hyperlink r:id="rId6647" ref="K2956"/>
    <hyperlink r:id="rId6648" ref="L2956"/>
    <hyperlink r:id="rId6649" ref="K2957"/>
    <hyperlink r:id="rId6650" ref="L2957"/>
    <hyperlink r:id="rId6651" ref="K2958"/>
    <hyperlink r:id="rId6652" ref="L2958"/>
    <hyperlink r:id="rId6653" ref="K2959"/>
    <hyperlink r:id="rId6654" ref="L2959"/>
    <hyperlink r:id="rId6655" ref="K2960"/>
    <hyperlink r:id="rId6656" ref="L2960"/>
    <hyperlink r:id="rId6657" ref="K2961"/>
    <hyperlink r:id="rId6658" ref="L2961"/>
    <hyperlink r:id="rId6659" ref="K2962"/>
    <hyperlink r:id="rId6660" ref="L2962"/>
    <hyperlink r:id="rId6661" ref="K2963"/>
    <hyperlink r:id="rId6662" ref="L2963"/>
    <hyperlink r:id="rId6663" ref="K2964"/>
    <hyperlink r:id="rId6664" ref="L2964"/>
    <hyperlink r:id="rId6665" ref="K2965"/>
    <hyperlink r:id="rId6666" ref="L2965"/>
    <hyperlink r:id="rId6667" ref="K2966"/>
    <hyperlink r:id="rId6668" ref="L2966"/>
    <hyperlink r:id="rId6669" ref="K2967"/>
    <hyperlink r:id="rId6670" ref="L2967"/>
    <hyperlink r:id="rId6671" ref="K2968"/>
    <hyperlink r:id="rId6672" ref="L2968"/>
    <hyperlink r:id="rId6673" ref="K2969"/>
    <hyperlink r:id="rId6054" ref="L2969"/>
    <hyperlink r:id="rId6674" ref="K2970"/>
    <hyperlink r:id="rId6675" ref="L2970"/>
    <hyperlink r:id="rId6676" ref="K2971"/>
    <hyperlink r:id="rId6677" ref="L2971"/>
    <hyperlink r:id="rId6678" ref="K2972"/>
    <hyperlink r:id="rId6679" ref="L2972"/>
    <hyperlink r:id="rId6680" ref="K2973"/>
    <hyperlink r:id="rId6681" ref="L2973"/>
    <hyperlink r:id="rId6682" ref="K2974"/>
    <hyperlink r:id="rId6683" ref="L2974"/>
    <hyperlink r:id="rId6684" ref="K2975"/>
    <hyperlink r:id="rId6685" ref="L2975"/>
    <hyperlink r:id="rId6686" ref="K2976"/>
    <hyperlink r:id="rId6687" ref="L2976"/>
    <hyperlink r:id="rId6688" ref="K2977"/>
    <hyperlink r:id="rId6438" ref="L2977"/>
    <hyperlink r:id="rId6689" ref="K2978"/>
    <hyperlink r:id="rId6690" ref="L2978"/>
    <hyperlink r:id="rId6691" ref="K2979"/>
    <hyperlink r:id="rId6692" ref="L2979"/>
    <hyperlink r:id="rId6693" ref="K2980"/>
    <hyperlink r:id="rId6694" ref="L2980"/>
    <hyperlink r:id="rId6695" ref="K2981"/>
    <hyperlink r:id="rId6696" ref="L2981"/>
    <hyperlink r:id="rId6697" ref="K2982"/>
    <hyperlink r:id="rId5703" ref="L2982"/>
    <hyperlink r:id="rId6698" ref="K2983"/>
    <hyperlink r:id="rId6699" ref="L2983"/>
    <hyperlink r:id="rId6700" ref="K2984"/>
    <hyperlink r:id="rId6701" ref="L2984"/>
    <hyperlink r:id="rId6702" ref="K2985"/>
    <hyperlink r:id="rId6703" ref="L2985"/>
    <hyperlink r:id="rId6704" ref="E2986"/>
    <hyperlink r:id="rId6705" ref="K2986"/>
    <hyperlink r:id="rId6706" ref="L2986"/>
    <hyperlink r:id="rId6707" ref="K2987"/>
    <hyperlink r:id="rId6708" ref="L2987"/>
    <hyperlink r:id="rId6709" ref="K2988"/>
    <hyperlink r:id="rId6477" ref="L2988"/>
    <hyperlink r:id="rId6710" ref="K2989"/>
    <hyperlink r:id="rId6711" ref="L2989"/>
    <hyperlink r:id="rId6712" ref="K2990"/>
    <hyperlink r:id="rId6713" ref="L2990"/>
    <hyperlink r:id="rId6714" ref="K2991"/>
    <hyperlink r:id="rId6715" ref="L2991"/>
    <hyperlink r:id="rId6716" ref="K2992"/>
    <hyperlink r:id="rId5787" ref="L2992"/>
    <hyperlink r:id="rId6717" ref="K2993"/>
    <hyperlink r:id="rId6718" ref="L2993"/>
    <hyperlink r:id="rId6719" ref="K2994"/>
    <hyperlink r:id="rId6720" ref="L2994"/>
    <hyperlink r:id="rId6721" ref="K2995"/>
    <hyperlink r:id="rId6722" ref="L2995"/>
    <hyperlink r:id="rId6723" ref="K2996"/>
    <hyperlink r:id="rId6724" ref="L2996"/>
    <hyperlink r:id="rId6725" ref="K2997"/>
    <hyperlink r:id="rId6726" ref="L2997"/>
    <hyperlink r:id="rId6727" ref="K2998"/>
    <hyperlink r:id="rId6728" ref="L2998"/>
    <hyperlink r:id="rId6729" ref="K2999"/>
    <hyperlink r:id="rId6328" ref="L2999"/>
    <hyperlink r:id="rId6730" ref="K3000"/>
    <hyperlink r:id="rId6731" ref="L3000"/>
    <hyperlink r:id="rId6732" ref="K3001"/>
    <hyperlink r:id="rId6733" ref="L3001"/>
    <hyperlink r:id="rId6734" ref="K3002"/>
    <hyperlink r:id="rId6735" ref="L3002"/>
    <hyperlink r:id="rId6736" ref="K3003"/>
    <hyperlink r:id="rId6737" ref="L3003"/>
    <hyperlink r:id="rId6738" ref="K3004"/>
    <hyperlink r:id="rId6739" ref="L3004"/>
    <hyperlink r:id="rId6740" ref="K3005"/>
    <hyperlink r:id="rId6741" ref="L3005"/>
    <hyperlink r:id="rId6742" ref="K3006"/>
    <hyperlink r:id="rId6743" ref="L3006"/>
    <hyperlink r:id="rId6744" ref="K3007"/>
    <hyperlink r:id="rId6745" ref="L3007"/>
    <hyperlink r:id="rId6746" ref="K3008"/>
    <hyperlink r:id="rId6747" ref="L3008"/>
    <hyperlink r:id="rId6748" ref="K3009"/>
    <hyperlink r:id="rId6749" ref="L3009"/>
    <hyperlink r:id="rId6750" ref="K3010"/>
    <hyperlink r:id="rId6751" ref="L3010"/>
    <hyperlink r:id="rId6752" ref="K3011"/>
    <hyperlink r:id="rId6753" ref="L3011"/>
    <hyperlink r:id="rId6754" ref="K3012"/>
    <hyperlink r:id="rId6755" ref="L3012"/>
    <hyperlink r:id="rId6756" ref="K3013"/>
    <hyperlink r:id="rId6757" ref="L3013"/>
    <hyperlink r:id="rId6758" ref="K3014"/>
    <hyperlink r:id="rId6759" ref="L3014"/>
    <hyperlink r:id="rId6760" ref="K3015"/>
    <hyperlink r:id="rId6761" ref="L3015"/>
    <hyperlink r:id="rId6762" ref="K3016"/>
    <hyperlink r:id="rId6763" ref="L3016"/>
    <hyperlink r:id="rId6764" ref="K3017"/>
    <hyperlink r:id="rId6765" ref="L3017"/>
    <hyperlink r:id="rId6766" ref="K3018"/>
    <hyperlink r:id="rId6767" ref="L3018"/>
    <hyperlink r:id="rId6768" ref="K3019"/>
    <hyperlink r:id="rId6769" ref="L3019"/>
    <hyperlink r:id="rId6770" ref="K3020"/>
    <hyperlink r:id="rId6771" ref="L3020"/>
    <hyperlink r:id="rId6772" ref="K3021"/>
    <hyperlink r:id="rId6773" ref="L3021"/>
    <hyperlink r:id="rId6774" ref="K3022"/>
    <hyperlink r:id="rId6775" ref="L3022"/>
    <hyperlink r:id="rId6776" ref="K3023"/>
    <hyperlink r:id="rId6777" ref="L3023"/>
    <hyperlink r:id="rId6778" ref="K3024"/>
    <hyperlink r:id="rId6779" ref="L3024"/>
    <hyperlink r:id="rId6780" ref="K3025"/>
    <hyperlink r:id="rId6781" ref="L3025"/>
    <hyperlink r:id="rId6782" ref="K3026"/>
    <hyperlink r:id="rId6783" ref="L3026"/>
    <hyperlink r:id="rId6784" ref="K3027"/>
    <hyperlink r:id="rId6785" ref="L3027"/>
    <hyperlink r:id="rId6786" ref="K3028"/>
    <hyperlink r:id="rId6787" ref="L3028"/>
    <hyperlink r:id="rId6788" ref="K3029"/>
    <hyperlink r:id="rId6789" ref="L3029"/>
    <hyperlink r:id="rId6790" ref="K3030"/>
    <hyperlink r:id="rId6791" ref="L3030"/>
    <hyperlink r:id="rId6792" ref="K3031"/>
    <hyperlink r:id="rId6793" ref="L3031"/>
    <hyperlink r:id="rId6794" ref="K3032"/>
    <hyperlink r:id="rId6795" ref="L3032"/>
    <hyperlink r:id="rId6796" ref="K3033"/>
    <hyperlink r:id="rId6797" ref="L3033"/>
    <hyperlink r:id="rId6798" ref="K3034"/>
    <hyperlink r:id="rId6799" ref="L3034"/>
    <hyperlink r:id="rId6800" ref="K3035"/>
    <hyperlink r:id="rId6801" ref="L3035"/>
    <hyperlink r:id="rId6802" ref="K3036"/>
    <hyperlink r:id="rId6803" ref="L3036"/>
    <hyperlink r:id="rId6804" ref="K3037"/>
    <hyperlink r:id="rId6805" ref="L3037"/>
    <hyperlink r:id="rId6806" ref="K3038"/>
    <hyperlink r:id="rId6807" ref="L3038"/>
    <hyperlink r:id="rId6808" ref="K3039"/>
    <hyperlink r:id="rId5951" ref="L3039"/>
    <hyperlink r:id="rId6809" ref="K3040"/>
    <hyperlink r:id="rId6810" ref="L3040"/>
    <hyperlink r:id="rId6811" ref="K3041"/>
    <hyperlink r:id="rId6632" ref="L3041"/>
    <hyperlink r:id="rId6812" ref="K3042"/>
    <hyperlink r:id="rId6813" ref="L3042"/>
    <hyperlink r:id="rId6814" ref="K3043"/>
    <hyperlink r:id="rId6815" ref="L3043"/>
    <hyperlink r:id="rId6816" ref="K3044"/>
    <hyperlink r:id="rId6817" ref="L3044"/>
    <hyperlink r:id="rId6818" ref="K3045"/>
    <hyperlink r:id="rId6819" ref="L3045"/>
    <hyperlink r:id="rId6820" ref="K3046"/>
    <hyperlink r:id="rId6821" ref="L3046"/>
    <hyperlink r:id="rId6822" ref="K3047"/>
    <hyperlink r:id="rId6823" ref="L3047"/>
    <hyperlink r:id="rId6824" ref="K3048"/>
    <hyperlink r:id="rId6825" ref="L3048"/>
    <hyperlink r:id="rId6826" ref="K3049"/>
    <hyperlink r:id="rId6827" ref="L3049"/>
    <hyperlink r:id="rId6828" ref="K3050"/>
    <hyperlink r:id="rId6829" ref="L3050"/>
    <hyperlink r:id="rId6830" ref="K3051"/>
    <hyperlink r:id="rId6831" ref="L3051"/>
    <hyperlink r:id="rId6832" ref="K3052"/>
    <hyperlink r:id="rId5858" ref="L3052"/>
    <hyperlink r:id="rId6833" ref="K3053"/>
    <hyperlink r:id="rId6834" ref="L3053"/>
    <hyperlink r:id="rId6835" ref="K3054"/>
    <hyperlink r:id="rId6836" ref="L3054"/>
    <hyperlink r:id="rId6837" ref="K3055"/>
    <hyperlink r:id="rId6838" ref="L3055"/>
    <hyperlink r:id="rId6839" ref="K3056"/>
    <hyperlink r:id="rId6840" ref="L3056"/>
    <hyperlink r:id="rId6841" ref="K3057"/>
    <hyperlink r:id="rId6842" ref="L3057"/>
    <hyperlink r:id="rId6843" ref="K3058"/>
    <hyperlink r:id="rId6844" ref="L3058"/>
    <hyperlink r:id="rId6845" ref="K3059"/>
    <hyperlink r:id="rId6846" ref="L3059"/>
    <hyperlink r:id="rId6847" ref="K3060"/>
    <hyperlink r:id="rId6848" ref="L3060"/>
    <hyperlink r:id="rId6849" ref="K3061"/>
    <hyperlink r:id="rId6850" ref="L3061"/>
    <hyperlink r:id="rId6851" ref="K3062"/>
    <hyperlink r:id="rId6852" ref="L3062"/>
    <hyperlink r:id="rId6853" ref="K3063"/>
    <hyperlink r:id="rId6854" ref="L3063"/>
    <hyperlink r:id="rId6855" ref="K3064"/>
    <hyperlink r:id="rId6856" ref="L3064"/>
    <hyperlink r:id="rId6857" ref="K3065"/>
    <hyperlink r:id="rId6858" ref="L3065"/>
    <hyperlink r:id="rId6859" ref="K3066"/>
    <hyperlink r:id="rId6860" ref="L3066"/>
    <hyperlink r:id="rId6861" ref="K3067"/>
    <hyperlink r:id="rId6862" ref="L3067"/>
    <hyperlink r:id="rId6863" ref="K3068"/>
    <hyperlink r:id="rId6864" ref="L3068"/>
    <hyperlink r:id="rId6865" ref="K3069"/>
    <hyperlink r:id="rId5963" ref="L3069"/>
    <hyperlink r:id="rId6866" ref="K3070"/>
    <hyperlink r:id="rId6184" ref="L3070"/>
    <hyperlink r:id="rId6867" ref="K3071"/>
    <hyperlink r:id="rId6868" ref="L3071"/>
    <hyperlink r:id="rId6869" ref="K3072"/>
    <hyperlink r:id="rId6870" ref="L3072"/>
    <hyperlink r:id="rId6871" ref="K3073"/>
    <hyperlink r:id="rId6457" ref="L3073"/>
    <hyperlink r:id="rId6872" ref="K3074"/>
    <hyperlink r:id="rId6873" ref="L3074"/>
    <hyperlink r:id="rId6874" ref="K3075"/>
    <hyperlink r:id="rId6875" ref="L3075"/>
    <hyperlink r:id="rId6876" ref="K3076"/>
    <hyperlink r:id="rId6877" ref="L3076"/>
    <hyperlink r:id="rId6878" ref="K3077"/>
    <hyperlink r:id="rId6331" ref="L3077"/>
    <hyperlink r:id="rId6879" ref="K3078"/>
    <hyperlink r:id="rId6880" ref="L3078"/>
    <hyperlink r:id="rId6881" ref="K3079"/>
    <hyperlink r:id="rId6882" ref="L3079"/>
    <hyperlink r:id="rId6883" ref="K3080"/>
    <hyperlink r:id="rId6884" ref="L3080"/>
    <hyperlink r:id="rId6885" ref="K3081"/>
    <hyperlink r:id="rId6886" ref="L3081"/>
    <hyperlink r:id="rId6887" ref="K3082"/>
    <hyperlink r:id="rId6888" ref="L3082"/>
    <hyperlink r:id="rId6889" ref="K3083"/>
    <hyperlink r:id="rId6890" ref="L3083"/>
    <hyperlink r:id="rId6891" ref="K3084"/>
    <hyperlink r:id="rId6892" ref="L3084"/>
    <hyperlink r:id="rId6893" ref="K3085"/>
    <hyperlink r:id="rId5945" ref="L3085"/>
    <hyperlink r:id="rId6894" ref="K3086"/>
    <hyperlink r:id="rId6895" ref="L3086"/>
    <hyperlink r:id="rId6896" ref="K3087"/>
    <hyperlink r:id="rId6897" ref="L3087"/>
    <hyperlink r:id="rId6898" ref="K3088"/>
    <hyperlink r:id="rId6899" ref="L3088"/>
    <hyperlink r:id="rId6900" ref="K3089"/>
    <hyperlink r:id="rId6901" ref="L3089"/>
    <hyperlink r:id="rId6902" ref="K3090"/>
    <hyperlink r:id="rId6903" ref="L3090"/>
    <hyperlink r:id="rId6904" ref="K3091"/>
    <hyperlink r:id="rId6905" ref="L3091"/>
    <hyperlink r:id="rId6906" ref="K3092"/>
    <hyperlink r:id="rId6907" ref="L3092"/>
    <hyperlink r:id="rId6908" ref="K3093"/>
    <hyperlink r:id="rId6909" ref="L3093"/>
    <hyperlink r:id="rId6910" ref="K3094"/>
    <hyperlink r:id="rId6911" ref="L3094"/>
    <hyperlink r:id="rId6912" ref="K3095"/>
    <hyperlink r:id="rId6913" ref="L3095"/>
    <hyperlink r:id="rId6914" ref="K3096"/>
    <hyperlink r:id="rId6915" ref="L3096"/>
    <hyperlink r:id="rId6916" ref="K3097"/>
    <hyperlink r:id="rId6917" ref="L3097"/>
    <hyperlink r:id="rId6918" ref="K3098"/>
    <hyperlink r:id="rId6919" ref="L3098"/>
    <hyperlink r:id="rId6920" ref="K3099"/>
    <hyperlink r:id="rId6921" ref="L3099"/>
    <hyperlink r:id="rId6922" ref="K3100"/>
    <hyperlink r:id="rId6923" ref="L3100"/>
    <hyperlink r:id="rId6924" ref="K3101"/>
    <hyperlink r:id="rId6925" ref="L3101"/>
    <hyperlink r:id="rId6926" ref="K3102"/>
    <hyperlink r:id="rId6927" ref="L3102"/>
    <hyperlink r:id="rId6928" ref="K3103"/>
    <hyperlink r:id="rId6929" ref="L3103"/>
    <hyperlink r:id="rId6930" ref="K3104"/>
    <hyperlink r:id="rId6931" ref="L3104"/>
    <hyperlink r:id="rId6932" ref="K3105"/>
    <hyperlink r:id="rId6933" ref="L3105"/>
    <hyperlink r:id="rId6934" ref="K3106"/>
    <hyperlink r:id="rId6935" ref="L3106"/>
    <hyperlink r:id="rId6936" ref="K3107"/>
    <hyperlink r:id="rId6937" ref="L3107"/>
    <hyperlink r:id="rId6938" ref="K3108"/>
    <hyperlink r:id="rId6939" ref="L3108"/>
    <hyperlink r:id="rId6940" ref="K3109"/>
    <hyperlink r:id="rId6941" ref="L3109"/>
    <hyperlink r:id="rId6942" ref="K3110"/>
    <hyperlink r:id="rId6943" ref="L3110"/>
    <hyperlink r:id="rId6944" ref="K3111"/>
    <hyperlink r:id="rId5458" ref="L3111"/>
    <hyperlink r:id="rId6945" ref="K3112"/>
    <hyperlink r:id="rId6946" ref="L3112"/>
    <hyperlink r:id="rId6947" ref="K3113"/>
    <hyperlink r:id="rId6948" ref="L3113"/>
    <hyperlink r:id="rId6949" ref="K3114"/>
    <hyperlink r:id="rId6950" ref="L3114"/>
    <hyperlink r:id="rId6951" ref="K3115"/>
    <hyperlink r:id="rId6952" ref="L3115"/>
    <hyperlink r:id="rId6953" ref="K3116"/>
    <hyperlink r:id="rId6954" ref="L3116"/>
    <hyperlink r:id="rId6955" ref="K3117"/>
    <hyperlink r:id="rId6956" ref="L3117"/>
    <hyperlink r:id="rId6957" ref="K3118"/>
    <hyperlink r:id="rId6958" ref="L3118"/>
    <hyperlink r:id="rId6959" ref="K3119"/>
    <hyperlink r:id="rId6960" ref="L3119"/>
    <hyperlink r:id="rId6961" ref="K3120"/>
    <hyperlink r:id="rId6962" ref="L3120"/>
    <hyperlink r:id="rId6963" ref="K3121"/>
    <hyperlink r:id="rId6964" ref="L3121"/>
    <hyperlink r:id="rId6965" ref="K3122"/>
    <hyperlink r:id="rId6966" ref="L3122"/>
    <hyperlink r:id="rId6967" ref="K3123"/>
    <hyperlink r:id="rId6031" ref="L3123"/>
    <hyperlink r:id="rId6968" ref="K3124"/>
    <hyperlink r:id="rId6969" ref="L3124"/>
    <hyperlink r:id="rId6970" ref="K3125"/>
    <hyperlink r:id="rId6971" ref="L3125"/>
    <hyperlink r:id="rId6972" ref="K3126"/>
    <hyperlink r:id="rId6973" ref="L3126"/>
    <hyperlink r:id="rId6974" ref="K3127"/>
    <hyperlink r:id="rId5849" ref="L3127"/>
    <hyperlink r:id="rId6975" ref="K3128"/>
    <hyperlink r:id="rId6976" ref="L3128"/>
    <hyperlink r:id="rId6977" ref="K3129"/>
    <hyperlink r:id="rId6978" ref="L3129"/>
    <hyperlink r:id="rId6979" ref="K3130"/>
    <hyperlink r:id="rId6980" ref="L3130"/>
    <hyperlink r:id="rId6981" ref="K3131"/>
    <hyperlink r:id="rId6982" ref="L3131"/>
    <hyperlink r:id="rId6983" ref="K3132"/>
    <hyperlink r:id="rId6984" ref="L3132"/>
    <hyperlink r:id="rId6985" ref="K3133"/>
    <hyperlink r:id="rId6986" ref="L3133"/>
    <hyperlink r:id="rId6987" ref="K3134"/>
    <hyperlink r:id="rId6988" ref="L3134"/>
    <hyperlink r:id="rId6989" ref="K3135"/>
    <hyperlink r:id="rId6990" ref="K3136"/>
    <hyperlink r:id="rId6991" ref="L3136"/>
    <hyperlink r:id="rId6992" ref="K3137"/>
    <hyperlink r:id="rId6993" ref="L3137"/>
    <hyperlink r:id="rId6994" ref="K3138"/>
    <hyperlink r:id="rId6986" ref="L3138"/>
    <hyperlink r:id="rId6995" ref="K3139"/>
    <hyperlink r:id="rId6996" ref="L3139"/>
    <hyperlink r:id="rId6997" ref="K3140"/>
    <hyperlink r:id="rId6998" ref="L3140"/>
    <hyperlink r:id="rId6999" ref="K3141"/>
    <hyperlink r:id="rId7000" ref="L3141"/>
    <hyperlink r:id="rId7001" ref="K3142"/>
    <hyperlink r:id="rId7002" ref="L3142"/>
    <hyperlink r:id="rId7003" ref="K3143"/>
    <hyperlink r:id="rId7004" ref="L3143"/>
    <hyperlink r:id="rId7005" ref="E3144"/>
    <hyperlink r:id="rId7006" ref="K3144"/>
    <hyperlink r:id="rId7007" ref="L3144"/>
    <hyperlink r:id="rId7008" ref="K3145"/>
    <hyperlink r:id="rId7009" ref="L3145"/>
    <hyperlink r:id="rId7010" ref="K3146"/>
    <hyperlink r:id="rId7011" ref="L3146"/>
    <hyperlink r:id="rId7012" ref="K3147"/>
    <hyperlink r:id="rId7013" ref="L3147"/>
    <hyperlink r:id="rId7014" ref="K3148"/>
    <hyperlink r:id="rId7015" ref="L3148"/>
    <hyperlink r:id="rId7016" ref="K3149"/>
    <hyperlink r:id="rId7017" ref="L3149"/>
    <hyperlink r:id="rId7018" ref="K3150"/>
    <hyperlink r:id="rId7019" ref="L3150"/>
    <hyperlink r:id="rId7020" ref="K3151"/>
    <hyperlink r:id="rId7021" ref="L3151"/>
    <hyperlink r:id="rId7022" ref="K3152"/>
    <hyperlink r:id="rId7023" ref="L3152"/>
    <hyperlink r:id="rId7024" ref="K3153"/>
    <hyperlink r:id="rId7025" ref="L3153"/>
    <hyperlink r:id="rId7026" ref="K3154"/>
    <hyperlink r:id="rId6500" ref="L3154"/>
    <hyperlink r:id="rId7027" ref="K3155"/>
    <hyperlink r:id="rId5472" ref="L3155"/>
    <hyperlink r:id="rId7028" ref="K3156"/>
    <hyperlink r:id="rId7029" ref="L3156"/>
    <hyperlink r:id="rId7030" ref="K3157"/>
    <hyperlink r:id="rId7031" ref="L3157"/>
    <hyperlink r:id="rId7032" ref="K3158"/>
    <hyperlink r:id="rId7033" ref="L3158"/>
    <hyperlink r:id="rId7034" ref="K3159"/>
    <hyperlink r:id="rId7035" ref="L3159"/>
    <hyperlink r:id="rId7036" ref="K3160"/>
    <hyperlink r:id="rId7037" ref="L3160"/>
    <hyperlink r:id="rId7038" ref="K3161"/>
    <hyperlink r:id="rId7039" ref="L3161"/>
    <hyperlink r:id="rId7040" ref="K3162"/>
    <hyperlink r:id="rId7041" ref="L3162"/>
    <hyperlink r:id="rId7042" ref="K3163"/>
    <hyperlink r:id="rId7043" ref="L3163"/>
    <hyperlink r:id="rId7044" ref="K3164"/>
    <hyperlink r:id="rId5831" ref="L3164"/>
    <hyperlink r:id="rId7045" ref="K3165"/>
    <hyperlink r:id="rId5630" ref="L3165"/>
    <hyperlink r:id="rId7046" ref="K3166"/>
    <hyperlink r:id="rId7047" ref="L3166"/>
    <hyperlink r:id="rId7048" ref="K3167"/>
    <hyperlink r:id="rId7049" ref="L3167"/>
    <hyperlink r:id="rId7050" ref="K3168"/>
    <hyperlink r:id="rId7051" ref="L3168"/>
    <hyperlink r:id="rId7052" ref="K3169"/>
    <hyperlink r:id="rId7053" ref="L3169"/>
    <hyperlink r:id="rId7054" ref="K3170"/>
    <hyperlink r:id="rId7055" ref="L3170"/>
    <hyperlink r:id="rId7056" ref="K3171"/>
    <hyperlink r:id="rId7057" ref="L3171"/>
    <hyperlink r:id="rId7058" ref="K3172"/>
    <hyperlink r:id="rId7059" ref="L3172"/>
    <hyperlink r:id="rId7060" ref="K3173"/>
    <hyperlink r:id="rId7061" ref="L3173"/>
    <hyperlink r:id="rId7062" ref="K3174"/>
    <hyperlink r:id="rId7063" ref="L3174"/>
    <hyperlink r:id="rId7064" ref="K3175"/>
    <hyperlink r:id="rId6003" ref="L3175"/>
    <hyperlink r:id="rId7065" ref="K3176"/>
    <hyperlink r:id="rId7066" ref="L3176"/>
    <hyperlink r:id="rId7067" ref="K3177"/>
    <hyperlink r:id="rId7068" ref="L3177"/>
    <hyperlink r:id="rId7069" ref="K3178"/>
    <hyperlink r:id="rId7070" ref="L3178"/>
    <hyperlink r:id="rId7071" ref="K3179"/>
    <hyperlink r:id="rId6618" ref="L3179"/>
    <hyperlink r:id="rId7072" ref="K3180"/>
    <hyperlink r:id="rId7073" ref="L3180"/>
    <hyperlink r:id="rId7074" ref="K3181"/>
    <hyperlink r:id="rId7075" ref="L3181"/>
    <hyperlink r:id="rId7076" ref="K3182"/>
    <hyperlink r:id="rId5799" ref="L3182"/>
    <hyperlink r:id="rId7077" ref="K3183"/>
    <hyperlink r:id="rId7078" ref="L3183"/>
    <hyperlink r:id="rId7079" ref="K3184"/>
    <hyperlink r:id="rId7080" ref="L3184"/>
    <hyperlink r:id="rId7081" ref="K3185"/>
    <hyperlink r:id="rId7082" ref="L3185"/>
    <hyperlink r:id="rId7083" ref="K3186"/>
    <hyperlink r:id="rId7084" ref="L3186"/>
    <hyperlink r:id="rId7085" ref="K3187"/>
    <hyperlink r:id="rId7086" ref="L3187"/>
    <hyperlink r:id="rId7087" ref="K3188"/>
    <hyperlink r:id="rId7088" ref="L3188"/>
    <hyperlink r:id="rId7089" ref="K3189"/>
    <hyperlink r:id="rId7090" ref="L3189"/>
    <hyperlink r:id="rId7091" ref="K3190"/>
    <hyperlink r:id="rId7092" ref="L3190"/>
    <hyperlink r:id="rId7093" ref="K3191"/>
    <hyperlink r:id="rId7094" ref="L3191"/>
    <hyperlink r:id="rId7095" ref="K3192"/>
    <hyperlink r:id="rId7096" ref="L3192"/>
    <hyperlink r:id="rId7097" ref="K3193"/>
    <hyperlink r:id="rId7098" ref="L3193"/>
    <hyperlink r:id="rId7099" ref="K3194"/>
    <hyperlink r:id="rId7100" ref="L3194"/>
    <hyperlink r:id="rId7101" ref="K3195"/>
    <hyperlink r:id="rId7102" ref="L3195"/>
    <hyperlink r:id="rId7103" ref="K3196"/>
    <hyperlink r:id="rId7104" ref="L3196"/>
    <hyperlink r:id="rId7105" ref="K3197"/>
    <hyperlink r:id="rId5693" ref="L3197"/>
    <hyperlink r:id="rId7106" ref="K3198"/>
    <hyperlink r:id="rId7107" ref="L3198"/>
    <hyperlink r:id="rId7108" ref="K3199"/>
    <hyperlink r:id="rId7109" ref="L3199"/>
    <hyperlink r:id="rId7110" ref="K3200"/>
    <hyperlink r:id="rId7111" ref="L3200"/>
    <hyperlink r:id="rId7112" ref="K3201"/>
    <hyperlink r:id="rId7113" ref="L3201"/>
    <hyperlink r:id="rId7114" ref="K3202"/>
    <hyperlink r:id="rId7115" ref="L3202"/>
    <hyperlink r:id="rId7116" ref="K3203"/>
    <hyperlink r:id="rId7117" ref="L3203"/>
    <hyperlink r:id="rId7118" ref="K3204"/>
    <hyperlink r:id="rId7119" ref="L3204"/>
    <hyperlink r:id="rId7120" ref="K3205"/>
    <hyperlink r:id="rId7121" ref="L3205"/>
    <hyperlink r:id="rId7122" ref="K3206"/>
    <hyperlink r:id="rId7123" ref="L3206"/>
    <hyperlink r:id="rId7124" ref="K3207"/>
    <hyperlink r:id="rId7125" ref="L3207"/>
    <hyperlink r:id="rId7126" ref="K3208"/>
    <hyperlink r:id="rId7127" ref="L3208"/>
    <hyperlink r:id="rId7128" ref="K3209"/>
    <hyperlink r:id="rId6052" ref="L3209"/>
    <hyperlink r:id="rId7129" ref="K3210"/>
    <hyperlink r:id="rId7130" ref="L3210"/>
    <hyperlink r:id="rId7131" ref="K3211"/>
    <hyperlink r:id="rId7132" ref="L3211"/>
    <hyperlink r:id="rId7133" ref="K3212"/>
    <hyperlink r:id="rId7134" ref="L3212"/>
    <hyperlink r:id="rId7135" ref="K3213"/>
    <hyperlink r:id="rId7136" ref="L3213"/>
    <hyperlink r:id="rId7137" ref="K3214"/>
    <hyperlink r:id="rId5885" ref="L3214"/>
    <hyperlink r:id="rId7138" ref="K3215"/>
    <hyperlink r:id="rId7139" ref="L3215"/>
    <hyperlink r:id="rId7140" ref="K3216"/>
    <hyperlink r:id="rId7141" ref="L3216"/>
    <hyperlink r:id="rId7142" ref="K3217"/>
    <hyperlink r:id="rId7143" ref="L3217"/>
    <hyperlink r:id="rId7144" ref="K3218"/>
    <hyperlink r:id="rId5837" ref="L3218"/>
    <hyperlink r:id="rId7145" ref="K3219"/>
    <hyperlink r:id="rId7146" ref="L3219"/>
    <hyperlink r:id="rId7147" ref="K3220"/>
    <hyperlink r:id="rId7148" ref="L3220"/>
    <hyperlink r:id="rId7149" ref="K3221"/>
    <hyperlink r:id="rId7150" ref="L3221"/>
    <hyperlink r:id="rId7151" ref="K3222"/>
    <hyperlink r:id="rId7152" ref="L3222"/>
    <hyperlink r:id="rId7153" ref="K3223"/>
    <hyperlink r:id="rId7154" ref="L3223"/>
    <hyperlink r:id="rId7155" ref="K3224"/>
    <hyperlink r:id="rId7156" ref="L3224"/>
    <hyperlink r:id="rId7157" ref="K3225"/>
    <hyperlink r:id="rId7158" ref="L3225"/>
    <hyperlink r:id="rId7159" ref="K3226"/>
    <hyperlink r:id="rId7160" ref="L3226"/>
    <hyperlink r:id="rId7161" ref="K3227"/>
    <hyperlink r:id="rId7162" ref="L3227"/>
    <hyperlink r:id="rId7163" ref="E3228"/>
    <hyperlink r:id="rId7164" ref="K3228"/>
    <hyperlink r:id="rId5809" ref="L3228"/>
    <hyperlink r:id="rId7165" ref="K3229"/>
    <hyperlink r:id="rId7166" ref="L3229"/>
    <hyperlink r:id="rId7167" ref="K3230"/>
    <hyperlink r:id="rId7168" ref="L3230"/>
    <hyperlink r:id="rId7169" ref="K3231"/>
    <hyperlink r:id="rId7170" ref="L3231"/>
    <hyperlink r:id="rId7171" ref="K3232"/>
    <hyperlink r:id="rId7172" ref="L3232"/>
    <hyperlink r:id="rId7173" ref="K3233"/>
    <hyperlink r:id="rId5389" ref="L3233"/>
    <hyperlink r:id="rId7174" ref="K3234"/>
    <hyperlink r:id="rId7175" ref="L3234"/>
    <hyperlink r:id="rId7176" ref="K3235"/>
    <hyperlink r:id="rId7177" ref="L3235"/>
    <hyperlink r:id="rId7178" ref="K3236"/>
    <hyperlink r:id="rId7179" ref="L3236"/>
    <hyperlink r:id="rId7180" ref="K3237"/>
    <hyperlink r:id="rId7181" ref="L3237"/>
    <hyperlink r:id="rId7182" ref="K3238"/>
    <hyperlink r:id="rId6882" ref="L3238"/>
    <hyperlink r:id="rId7183" ref="K3239"/>
    <hyperlink r:id="rId7184" ref="L3239"/>
    <hyperlink r:id="rId7185" ref="K3240"/>
    <hyperlink r:id="rId7186" ref="L3240"/>
    <hyperlink r:id="rId5364" ref="K3241"/>
    <hyperlink r:id="rId5365" ref="L3241"/>
    <hyperlink r:id="rId7187" ref="K3242"/>
    <hyperlink r:id="rId7188" ref="L3242"/>
    <hyperlink r:id="rId7189" ref="K3243"/>
    <hyperlink r:id="rId7190" ref="L3243"/>
    <hyperlink r:id="rId7191" ref="K3244"/>
    <hyperlink r:id="rId7192" ref="L3244"/>
    <hyperlink r:id="rId7193" ref="K3245"/>
    <hyperlink r:id="rId7194" ref="L3245"/>
    <hyperlink r:id="rId7195" ref="K3246"/>
    <hyperlink r:id="rId6757" ref="L3246"/>
    <hyperlink r:id="rId7196" ref="K3247"/>
    <hyperlink r:id="rId7197" ref="L3247"/>
    <hyperlink r:id="rId7198" ref="K3248"/>
    <hyperlink r:id="rId7199" ref="L3248"/>
    <hyperlink r:id="rId7200" ref="K3249"/>
    <hyperlink r:id="rId7201" ref="L3249"/>
    <hyperlink r:id="rId7202" ref="K3250"/>
    <hyperlink r:id="rId7203" ref="L3250"/>
    <hyperlink r:id="rId7204" ref="K3251"/>
    <hyperlink r:id="rId7205" ref="L3251"/>
    <hyperlink r:id="rId7206" ref="K3252"/>
    <hyperlink r:id="rId7207" ref="L3252"/>
    <hyperlink r:id="rId7208" ref="K3253"/>
    <hyperlink r:id="rId7209" ref="L3253"/>
    <hyperlink r:id="rId7210" ref="K3254"/>
    <hyperlink r:id="rId7211" ref="L3254"/>
    <hyperlink r:id="rId7212" ref="K3255"/>
    <hyperlink r:id="rId7213" ref="L3255"/>
    <hyperlink r:id="rId7214" ref="K3256"/>
    <hyperlink r:id="rId7215" ref="L3256"/>
    <hyperlink r:id="rId7216" ref="K3257"/>
    <hyperlink r:id="rId7217" ref="L3257"/>
    <hyperlink r:id="rId7218" ref="K3258"/>
    <hyperlink r:id="rId7219" ref="L3258"/>
    <hyperlink r:id="rId7220" ref="K3259"/>
    <hyperlink r:id="rId7221" ref="L3259"/>
    <hyperlink r:id="rId7222" ref="K3260"/>
    <hyperlink r:id="rId7223" ref="L3260"/>
    <hyperlink r:id="rId7224" ref="K3261"/>
    <hyperlink r:id="rId7225" ref="L3261"/>
    <hyperlink r:id="rId7226" ref="K3262"/>
    <hyperlink r:id="rId7227" ref="L3262"/>
    <hyperlink r:id="rId7228" ref="K3263"/>
    <hyperlink r:id="rId7229" ref="L3263"/>
    <hyperlink r:id="rId7230" ref="K3264"/>
    <hyperlink r:id="rId6068" ref="L3264"/>
    <hyperlink r:id="rId7231" ref="K3265"/>
    <hyperlink r:id="rId7232" ref="L3265"/>
    <hyperlink r:id="rId7233" ref="K3266"/>
    <hyperlink r:id="rId7234" ref="L3266"/>
    <hyperlink r:id="rId7235" ref="K3267"/>
    <hyperlink r:id="rId7236" ref="L3267"/>
    <hyperlink r:id="rId7237" ref="K3268"/>
    <hyperlink r:id="rId7238" ref="L3268"/>
    <hyperlink r:id="rId7239" ref="K3269"/>
    <hyperlink r:id="rId7240" ref="L3269"/>
    <hyperlink r:id="rId7241" ref="K3270"/>
    <hyperlink r:id="rId7242" ref="L3270"/>
    <hyperlink r:id="rId7243" ref="K3271"/>
    <hyperlink r:id="rId7244" ref="L3271"/>
    <hyperlink r:id="rId7245" ref="K3272"/>
    <hyperlink r:id="rId5417" ref="L3272"/>
    <hyperlink r:id="rId7246" ref="E3273"/>
    <hyperlink r:id="rId7247" ref="K3273"/>
    <hyperlink r:id="rId7248" ref="L3273"/>
    <hyperlink r:id="rId7249" ref="K3274"/>
    <hyperlink r:id="rId7250" ref="L3274"/>
    <hyperlink r:id="rId7251" ref="K3275"/>
    <hyperlink r:id="rId7252" ref="L3275"/>
    <hyperlink r:id="rId7253" ref="K3276"/>
    <hyperlink r:id="rId7011" ref="L3276"/>
    <hyperlink r:id="rId7254" ref="K3277"/>
    <hyperlink r:id="rId7255" ref="L3277"/>
    <hyperlink r:id="rId7256" ref="K3278"/>
    <hyperlink r:id="rId7257" ref="L3278"/>
    <hyperlink r:id="rId7258" ref="K3279"/>
    <hyperlink r:id="rId7259" ref="L3279"/>
    <hyperlink r:id="rId7260" ref="K3280"/>
    <hyperlink r:id="rId7261" ref="L3280"/>
    <hyperlink r:id="rId7262" ref="K3281"/>
    <hyperlink r:id="rId7263" ref="L3281"/>
    <hyperlink r:id="rId7264" ref="K3282"/>
    <hyperlink r:id="rId7265" ref="L3282"/>
    <hyperlink r:id="rId7266" ref="K3283"/>
    <hyperlink r:id="rId7267" ref="L3283"/>
    <hyperlink r:id="rId7268" ref="K3284"/>
    <hyperlink r:id="rId7269" ref="L3284"/>
    <hyperlink r:id="rId7270" ref="K3285"/>
    <hyperlink r:id="rId7271" ref="L3285"/>
    <hyperlink r:id="rId7272" ref="K3286"/>
    <hyperlink r:id="rId6393" ref="L3286"/>
    <hyperlink r:id="rId7273" ref="K3287"/>
    <hyperlink r:id="rId7274" ref="L3287"/>
    <hyperlink r:id="rId7275" ref="K3288"/>
    <hyperlink r:id="rId7276" ref="L3288"/>
    <hyperlink r:id="rId7277" ref="K3289"/>
    <hyperlink r:id="rId7278" ref="L3289"/>
    <hyperlink r:id="rId7279" ref="K3290"/>
    <hyperlink r:id="rId7280" ref="L3290"/>
    <hyperlink r:id="rId7281" ref="K3291"/>
    <hyperlink r:id="rId7282" ref="L3291"/>
    <hyperlink r:id="rId7283" ref="K3292"/>
    <hyperlink r:id="rId7284" ref="L3292"/>
    <hyperlink r:id="rId7285" ref="K3293"/>
    <hyperlink r:id="rId7286" ref="L3293"/>
    <hyperlink r:id="rId7287" ref="K3294"/>
    <hyperlink r:id="rId7288" ref="L3294"/>
    <hyperlink r:id="rId7289" ref="K3295"/>
    <hyperlink r:id="rId7290" ref="L3295"/>
    <hyperlink r:id="rId7291" ref="K3296"/>
    <hyperlink r:id="rId7292" ref="L3296"/>
    <hyperlink r:id="rId7293" ref="K3297"/>
    <hyperlink r:id="rId7294" ref="L3297"/>
    <hyperlink r:id="rId7295" ref="K3298"/>
    <hyperlink r:id="rId7296" ref="L3298"/>
    <hyperlink r:id="rId7297" ref="K3299"/>
    <hyperlink r:id="rId7298" ref="L3299"/>
    <hyperlink r:id="rId7299" ref="K3300"/>
    <hyperlink r:id="rId7300" ref="L3300"/>
    <hyperlink r:id="rId7301" ref="K3301"/>
    <hyperlink r:id="rId7302" ref="L3301"/>
    <hyperlink r:id="rId7303" ref="K3302"/>
    <hyperlink r:id="rId7304" ref="L3302"/>
    <hyperlink r:id="rId7305" ref="K3303"/>
    <hyperlink r:id="rId7306" ref="L3303"/>
    <hyperlink r:id="rId7307" ref="K3304"/>
    <hyperlink r:id="rId5442" ref="L3304"/>
    <hyperlink r:id="rId7308" ref="K3305"/>
    <hyperlink r:id="rId7309" ref="L3305"/>
    <hyperlink r:id="rId7310" ref="K3306"/>
    <hyperlink r:id="rId7311" ref="L3306"/>
    <hyperlink r:id="rId7312" ref="K3307"/>
    <hyperlink r:id="rId7313" ref="L3307"/>
    <hyperlink r:id="rId7314" ref="K3308"/>
    <hyperlink r:id="rId7315" ref="L3308"/>
    <hyperlink r:id="rId7316" ref="K3309"/>
    <hyperlink r:id="rId7317" ref="L3309"/>
    <hyperlink r:id="rId7318" ref="K3310"/>
    <hyperlink r:id="rId7319" ref="L3310"/>
    <hyperlink r:id="rId7320" ref="K3311"/>
    <hyperlink r:id="rId7321" ref="L3311"/>
    <hyperlink r:id="rId7322" ref="K3312"/>
    <hyperlink r:id="rId7323" ref="L3312"/>
    <hyperlink r:id="rId7324" ref="K3313"/>
    <hyperlink r:id="rId7325" ref="L3313"/>
    <hyperlink r:id="rId7326" ref="K3314"/>
    <hyperlink r:id="rId7327" ref="L3314"/>
    <hyperlink r:id="rId7328" ref="K3315"/>
    <hyperlink r:id="rId7329" ref="L3315"/>
    <hyperlink r:id="rId7330" ref="K3316"/>
    <hyperlink r:id="rId7331" ref="L3316"/>
    <hyperlink r:id="rId7332" ref="K3317"/>
    <hyperlink r:id="rId7333" ref="L3317"/>
    <hyperlink r:id="rId7334" ref="K3318"/>
    <hyperlink r:id="rId7335" ref="L3318"/>
    <hyperlink r:id="rId7336" ref="K3319"/>
    <hyperlink r:id="rId7337" ref="L3319"/>
    <hyperlink r:id="rId7338" ref="K3320"/>
    <hyperlink r:id="rId7339" ref="L3320"/>
    <hyperlink r:id="rId7340" ref="K3321"/>
    <hyperlink r:id="rId7341" ref="L3321"/>
    <hyperlink r:id="rId7342" ref="K3322"/>
    <hyperlink r:id="rId7343" ref="L3322"/>
    <hyperlink r:id="rId7344" ref="K3323"/>
    <hyperlink r:id="rId7345" ref="L3323"/>
    <hyperlink r:id="rId7346" ref="K3324"/>
    <hyperlink r:id="rId7347" ref="L3324"/>
    <hyperlink r:id="rId7348" ref="K3325"/>
    <hyperlink r:id="rId7349" ref="L3325"/>
    <hyperlink r:id="rId7350" ref="K3326"/>
    <hyperlink r:id="rId5858" ref="L3326"/>
    <hyperlink r:id="rId7351" ref="K3327"/>
    <hyperlink r:id="rId7352" ref="L3327"/>
    <hyperlink r:id="rId7353" ref="K3328"/>
    <hyperlink r:id="rId7354" ref="L3328"/>
    <hyperlink r:id="rId7355" ref="K3329"/>
    <hyperlink r:id="rId6864" ref="L3329"/>
    <hyperlink r:id="rId7356" ref="K3330"/>
    <hyperlink r:id="rId7357" ref="L3330"/>
    <hyperlink r:id="rId7358" ref="K3331"/>
    <hyperlink r:id="rId7359" ref="L3331"/>
    <hyperlink r:id="rId7360" ref="K3332"/>
    <hyperlink r:id="rId7361" ref="L3332"/>
    <hyperlink r:id="rId7362" ref="K3333"/>
    <hyperlink r:id="rId7363" ref="L3333"/>
    <hyperlink r:id="rId7364" ref="K3334"/>
    <hyperlink r:id="rId7365" ref="L3334"/>
    <hyperlink r:id="rId7366" ref="K3335"/>
    <hyperlink r:id="rId7367" ref="L3335"/>
    <hyperlink r:id="rId7368" ref="K3336"/>
    <hyperlink r:id="rId7369" ref="L3336"/>
    <hyperlink r:id="rId7370" ref="K3337"/>
    <hyperlink r:id="rId7371" ref="L3337"/>
    <hyperlink r:id="rId7372" ref="K3338"/>
    <hyperlink r:id="rId7373" ref="L3338"/>
    <hyperlink r:id="rId7374" ref="K3339"/>
    <hyperlink r:id="rId7375" ref="L3339"/>
    <hyperlink r:id="rId7376" ref="K3340"/>
    <hyperlink r:id="rId7377" ref="L3340"/>
    <hyperlink r:id="rId7378" ref="K3341"/>
    <hyperlink r:id="rId7379" ref="L3341"/>
    <hyperlink r:id="rId7380" ref="K3342"/>
    <hyperlink r:id="rId7381" ref="L3342"/>
    <hyperlink r:id="rId7382" ref="K3343"/>
    <hyperlink r:id="rId7383" ref="L3343"/>
    <hyperlink r:id="rId7384" ref="K3344"/>
    <hyperlink r:id="rId6919" ref="L3344"/>
    <hyperlink r:id="rId7385" ref="K3345"/>
    <hyperlink r:id="rId7386" ref="L3345"/>
    <hyperlink r:id="rId7387" ref="K3346"/>
    <hyperlink r:id="rId7388" ref="L3346"/>
    <hyperlink r:id="rId7389" ref="K3347"/>
    <hyperlink r:id="rId7390" ref="L3347"/>
    <hyperlink r:id="rId7391" ref="E3348"/>
    <hyperlink r:id="rId7392" ref="K3348"/>
    <hyperlink r:id="rId7393" ref="L3348"/>
    <hyperlink r:id="rId7394" ref="K3349"/>
    <hyperlink r:id="rId7395" ref="L3349"/>
    <hyperlink r:id="rId7396" ref="K3350"/>
    <hyperlink r:id="rId7397" ref="L3350"/>
    <hyperlink r:id="rId7398" ref="K3351"/>
    <hyperlink r:id="rId7399" ref="L3351"/>
    <hyperlink r:id="rId7400" ref="K3352"/>
    <hyperlink r:id="rId7401" ref="L3352"/>
    <hyperlink r:id="rId7402" ref="K3353"/>
    <hyperlink r:id="rId7403" ref="L3353"/>
    <hyperlink r:id="rId7404" ref="K3354"/>
    <hyperlink r:id="rId7405" ref="L3354"/>
    <hyperlink r:id="rId7406" ref="K3355"/>
    <hyperlink r:id="rId7407" ref="L3355"/>
    <hyperlink r:id="rId7408" ref="K3356"/>
    <hyperlink r:id="rId7409" ref="L3356"/>
    <hyperlink r:id="rId7410" ref="K3357"/>
    <hyperlink r:id="rId7411" ref="L3357"/>
    <hyperlink r:id="rId7412" ref="K3358"/>
    <hyperlink r:id="rId7413" ref="L3358"/>
    <hyperlink r:id="rId7414" ref="K3359"/>
    <hyperlink r:id="rId7415" ref="L3359"/>
    <hyperlink r:id="rId7416" ref="K3360"/>
    <hyperlink r:id="rId5397" ref="L3360"/>
    <hyperlink r:id="rId7417" ref="K3361"/>
    <hyperlink r:id="rId7418" ref="L3361"/>
    <hyperlink r:id="rId7419" ref="K3362"/>
    <hyperlink r:id="rId7420" ref="L3362"/>
    <hyperlink r:id="rId7421" ref="K3363"/>
    <hyperlink r:id="rId7422" ref="L3363"/>
    <hyperlink r:id="rId7423" ref="K3364"/>
    <hyperlink r:id="rId7424" ref="L3364"/>
    <hyperlink r:id="rId7425" ref="K3365"/>
    <hyperlink r:id="rId7426" ref="L3365"/>
    <hyperlink r:id="rId7427" ref="K3366"/>
    <hyperlink r:id="rId7428" ref="L3366"/>
    <hyperlink r:id="rId7429" ref="K3367"/>
    <hyperlink r:id="rId7430" ref="L3367"/>
    <hyperlink r:id="rId7431" ref="K3368"/>
    <hyperlink r:id="rId7432" ref="L3368"/>
    <hyperlink r:id="rId7433" ref="K3369"/>
    <hyperlink r:id="rId5558" ref="L3369"/>
    <hyperlink r:id="rId7434" ref="K3370"/>
    <hyperlink r:id="rId7435" ref="L3370"/>
    <hyperlink r:id="rId7436" ref="K3371"/>
    <hyperlink r:id="rId5524" ref="L3371"/>
    <hyperlink r:id="rId7437" ref="K3372"/>
    <hyperlink r:id="rId7438" ref="L3372"/>
    <hyperlink r:id="rId7439" ref="E3373"/>
    <hyperlink r:id="rId7440" ref="K3373"/>
    <hyperlink r:id="rId7441" ref="L3373"/>
    <hyperlink r:id="rId7442" ref="K3374"/>
    <hyperlink r:id="rId7443" ref="L3374"/>
    <hyperlink r:id="rId7444" ref="K3375"/>
    <hyperlink r:id="rId7445" ref="L3375"/>
    <hyperlink r:id="rId7446" ref="K3376"/>
    <hyperlink r:id="rId7447" ref="L3376"/>
    <hyperlink r:id="rId7448" ref="K3377"/>
    <hyperlink r:id="rId7449" ref="L3377"/>
    <hyperlink r:id="rId7450" ref="K3378"/>
    <hyperlink r:id="rId7451" ref="L3378"/>
    <hyperlink r:id="rId7452" ref="K3379"/>
    <hyperlink r:id="rId7453" ref="L3379"/>
    <hyperlink r:id="rId7454" ref="K3380"/>
    <hyperlink r:id="rId7455" ref="L3380"/>
    <hyperlink r:id="rId7456" ref="K3381"/>
    <hyperlink r:id="rId7457" ref="L3381"/>
    <hyperlink r:id="rId7458" ref="K3382"/>
    <hyperlink r:id="rId7459" ref="L3382"/>
    <hyperlink r:id="rId7460" ref="K3383"/>
    <hyperlink r:id="rId7461" ref="L3383"/>
    <hyperlink r:id="rId7462" ref="K3384"/>
    <hyperlink r:id="rId7463" ref="L3384"/>
    <hyperlink r:id="rId7464" ref="K3385"/>
    <hyperlink r:id="rId7465" ref="L3385"/>
    <hyperlink r:id="rId7466" ref="K3386"/>
    <hyperlink r:id="rId7467" ref="L3386"/>
    <hyperlink r:id="rId7468" ref="K3387"/>
    <hyperlink r:id="rId7469" ref="L3387"/>
    <hyperlink r:id="rId7470" ref="K3388"/>
    <hyperlink r:id="rId7471" ref="L3388"/>
    <hyperlink r:id="rId7472" ref="K3389"/>
    <hyperlink r:id="rId7473" ref="L3389"/>
    <hyperlink r:id="rId7474" ref="K3390"/>
    <hyperlink r:id="rId7475" ref="L3390"/>
    <hyperlink r:id="rId7476" ref="K3391"/>
    <hyperlink r:id="rId5588" ref="L3391"/>
    <hyperlink r:id="rId7477" ref="K3392"/>
    <hyperlink r:id="rId7478" ref="L3392"/>
    <hyperlink r:id="rId7479" ref="K3393"/>
    <hyperlink r:id="rId7480" ref="L3393"/>
    <hyperlink r:id="rId7481" ref="K3394"/>
    <hyperlink r:id="rId7482" ref="L3394"/>
    <hyperlink r:id="rId7483" ref="K3395"/>
    <hyperlink r:id="rId7484" ref="L3395"/>
    <hyperlink r:id="rId7485" ref="K3396"/>
    <hyperlink r:id="rId7486" ref="L3396"/>
    <hyperlink r:id="rId7487" ref="K3397"/>
    <hyperlink r:id="rId7488" ref="L3397"/>
    <hyperlink r:id="rId7489" ref="K3398"/>
    <hyperlink r:id="rId7490" ref="L3398"/>
    <hyperlink r:id="rId7491" ref="K3399"/>
    <hyperlink r:id="rId7492" ref="L3399"/>
    <hyperlink r:id="rId7493" ref="K3400"/>
    <hyperlink r:id="rId7494" ref="L3400"/>
    <hyperlink r:id="rId7495" ref="K3401"/>
    <hyperlink r:id="rId7496" ref="L3401"/>
    <hyperlink r:id="rId7497" ref="K3402"/>
    <hyperlink r:id="rId7498" ref="L3402"/>
    <hyperlink r:id="rId7499" ref="K3403"/>
    <hyperlink r:id="rId7500" ref="L3403"/>
    <hyperlink r:id="rId7501" ref="K3404"/>
    <hyperlink r:id="rId7502" ref="L3404"/>
    <hyperlink r:id="rId7503" ref="K3405"/>
    <hyperlink r:id="rId7504" ref="L3405"/>
    <hyperlink r:id="rId7505" ref="K3406"/>
    <hyperlink r:id="rId7506" ref="L3406"/>
    <hyperlink r:id="rId7507" ref="K3407"/>
    <hyperlink r:id="rId7508" ref="L3407"/>
    <hyperlink r:id="rId7509" ref="K3408"/>
    <hyperlink r:id="rId7510" ref="L3408"/>
    <hyperlink r:id="rId7511" ref="K3409"/>
    <hyperlink r:id="rId7512" ref="L3409"/>
    <hyperlink r:id="rId7513" ref="K3410"/>
    <hyperlink r:id="rId7514" ref="L3410"/>
    <hyperlink r:id="rId7515" ref="K3411"/>
    <hyperlink r:id="rId7516" ref="L3411"/>
    <hyperlink r:id="rId7517" ref="K3412"/>
    <hyperlink r:id="rId7518" ref="L3412"/>
    <hyperlink r:id="rId7519" ref="K3413"/>
    <hyperlink r:id="rId7520" ref="L3413"/>
    <hyperlink r:id="rId7521" ref="K3414"/>
    <hyperlink r:id="rId7522" ref="L3414"/>
    <hyperlink r:id="rId7523" ref="K3415"/>
    <hyperlink r:id="rId7524" ref="L3415"/>
    <hyperlink r:id="rId7525" ref="K3416"/>
    <hyperlink r:id="rId7526" ref="L3416"/>
    <hyperlink r:id="rId7527" ref="K3417"/>
    <hyperlink r:id="rId7528" ref="L3417"/>
    <hyperlink r:id="rId7529" ref="K3418"/>
    <hyperlink r:id="rId7530" ref="L3418"/>
    <hyperlink r:id="rId7531" ref="K3419"/>
    <hyperlink r:id="rId7532" ref="K3420"/>
    <hyperlink r:id="rId7533" ref="L3420"/>
    <hyperlink r:id="rId7534" ref="K3421"/>
    <hyperlink r:id="rId7535" ref="L3421"/>
    <hyperlink r:id="rId7536" ref="K3422"/>
    <hyperlink r:id="rId7537" ref="L3422"/>
    <hyperlink r:id="rId7538" ref="K3423"/>
    <hyperlink r:id="rId7282" ref="L3423"/>
    <hyperlink r:id="rId7539" ref="K3424"/>
    <hyperlink r:id="rId5343" ref="L3424"/>
    <hyperlink r:id="rId7540" ref="K3425"/>
    <hyperlink r:id="rId7541" ref="L3425"/>
    <hyperlink r:id="rId7542" ref="K3426"/>
    <hyperlink r:id="rId7543" ref="L3426"/>
    <hyperlink r:id="rId7544" ref="K3427"/>
    <hyperlink r:id="rId7545" ref="L3427"/>
    <hyperlink r:id="rId7546" ref="K3428"/>
    <hyperlink r:id="rId7547" ref="L3428"/>
    <hyperlink r:id="rId7548" ref="K3429"/>
    <hyperlink r:id="rId7549" ref="L3429"/>
    <hyperlink r:id="rId7550" ref="K3430"/>
    <hyperlink r:id="rId6025" ref="L3430"/>
    <hyperlink r:id="rId7551" ref="K3431"/>
    <hyperlink r:id="rId7552" ref="L3431"/>
    <hyperlink r:id="rId7553" ref="K3432"/>
    <hyperlink r:id="rId7554" ref="L3432"/>
    <hyperlink r:id="rId7555" ref="K3433"/>
    <hyperlink r:id="rId7556" ref="L3433"/>
    <hyperlink r:id="rId7557" ref="K3434"/>
    <hyperlink r:id="rId7558" ref="L3434"/>
    <hyperlink r:id="rId7559" ref="K3435"/>
    <hyperlink r:id="rId7560" ref="L3435"/>
    <hyperlink r:id="rId7561" ref="K3436"/>
    <hyperlink r:id="rId7562" ref="L3436"/>
    <hyperlink r:id="rId7563" ref="K3437"/>
    <hyperlink r:id="rId7564" ref="L3437"/>
    <hyperlink r:id="rId7565" ref="K3438"/>
    <hyperlink r:id="rId7063" ref="L3438"/>
    <hyperlink r:id="rId7566" ref="K3439"/>
    <hyperlink r:id="rId7567" ref="L3439"/>
    <hyperlink r:id="rId7568" ref="K3440"/>
    <hyperlink r:id="rId7569" ref="L3440"/>
    <hyperlink r:id="rId7570" ref="K3441"/>
    <hyperlink r:id="rId7571" ref="L3441"/>
    <hyperlink r:id="rId7572" ref="K3442"/>
    <hyperlink r:id="rId7573" ref="L3442"/>
    <hyperlink r:id="rId7574" ref="K3443"/>
    <hyperlink r:id="rId7575" ref="L3443"/>
    <hyperlink r:id="rId7576" ref="K3444"/>
    <hyperlink r:id="rId7577" ref="L3444"/>
    <hyperlink r:id="rId7578" ref="K3445"/>
    <hyperlink r:id="rId7579" ref="L3445"/>
    <hyperlink r:id="rId7580" ref="K3446"/>
    <hyperlink r:id="rId7581" ref="L3446"/>
    <hyperlink r:id="rId7582" ref="K3447"/>
    <hyperlink r:id="rId7583" ref="L3447"/>
    <hyperlink r:id="rId7584" ref="K3448"/>
    <hyperlink r:id="rId5411" ref="L3448"/>
    <hyperlink r:id="rId7585" ref="K3449"/>
    <hyperlink r:id="rId7586" ref="L3449"/>
    <hyperlink r:id="rId7587" ref="K3450"/>
    <hyperlink r:id="rId6498" ref="L3450"/>
    <hyperlink r:id="rId7588" ref="K3451"/>
    <hyperlink r:id="rId7589" ref="L3451"/>
    <hyperlink r:id="rId7590" ref="K3452"/>
    <hyperlink r:id="rId7591" ref="L3452"/>
    <hyperlink r:id="rId7592" ref="K3453"/>
    <hyperlink r:id="rId5504" ref="L3453"/>
    <hyperlink r:id="rId7593" ref="K3454"/>
    <hyperlink r:id="rId7594" ref="L3454"/>
    <hyperlink r:id="rId7595" ref="K3455"/>
    <hyperlink r:id="rId7596" ref="L3455"/>
    <hyperlink r:id="rId7597" ref="K3456"/>
    <hyperlink r:id="rId7598" ref="L3456"/>
    <hyperlink r:id="rId7599" ref="K3457"/>
    <hyperlink r:id="rId7600" ref="L3457"/>
    <hyperlink r:id="rId7601" ref="K3458"/>
    <hyperlink r:id="rId7602" ref="L3458"/>
    <hyperlink r:id="rId7603" ref="K3459"/>
    <hyperlink r:id="rId7604" ref="K3460"/>
    <hyperlink r:id="rId7605" ref="L3460"/>
    <hyperlink r:id="rId7606" ref="K3461"/>
    <hyperlink r:id="rId7602" ref="L3461"/>
    <hyperlink r:id="rId7607" ref="K3462"/>
    <hyperlink r:id="rId5387" ref="L3462"/>
    <hyperlink r:id="rId7608" ref="K3463"/>
    <hyperlink r:id="rId7609" ref="L3463"/>
    <hyperlink r:id="rId7610" ref="K3464"/>
    <hyperlink r:id="rId7611" ref="L3464"/>
    <hyperlink r:id="rId7612" ref="K3465"/>
    <hyperlink r:id="rId7613" ref="L3465"/>
    <hyperlink r:id="rId7614" ref="K3466"/>
    <hyperlink r:id="rId7615" ref="L3466"/>
    <hyperlink r:id="rId7616" ref="K3467"/>
    <hyperlink r:id="rId7617" ref="L3467"/>
    <hyperlink r:id="rId7618" ref="K3468"/>
    <hyperlink r:id="rId7619" ref="L3468"/>
    <hyperlink r:id="rId7620" ref="K3469"/>
    <hyperlink r:id="rId7621" ref="L3469"/>
    <hyperlink r:id="rId7622" ref="K3470"/>
    <hyperlink r:id="rId7407" ref="L3470"/>
    <hyperlink r:id="rId7623" ref="K3471"/>
    <hyperlink r:id="rId7624" ref="L3471"/>
    <hyperlink r:id="rId7625" ref="K3472"/>
    <hyperlink r:id="rId7626" ref="L3472"/>
    <hyperlink r:id="rId7627" ref="K3473"/>
    <hyperlink r:id="rId7628" ref="L3473"/>
    <hyperlink r:id="rId7629" ref="K3474"/>
    <hyperlink r:id="rId7630" ref="L3474"/>
    <hyperlink r:id="rId7631" ref="K3475"/>
    <hyperlink r:id="rId7632" ref="L3475"/>
    <hyperlink r:id="rId7633" ref="K3476"/>
    <hyperlink r:id="rId7634" ref="L3476"/>
    <hyperlink r:id="rId7635" ref="K3477"/>
    <hyperlink r:id="rId7636" ref="L3477"/>
    <hyperlink r:id="rId7637" ref="E3478"/>
    <hyperlink r:id="rId7638" ref="K3478"/>
    <hyperlink r:id="rId7639" ref="L3478"/>
    <hyperlink r:id="rId7640" ref="K3479"/>
    <hyperlink r:id="rId7641" ref="L3479"/>
    <hyperlink r:id="rId7642" ref="K3480"/>
    <hyperlink r:id="rId7643" ref="L3480"/>
    <hyperlink r:id="rId7644" ref="K3481"/>
    <hyperlink r:id="rId7645" ref="L3481"/>
    <hyperlink r:id="rId7646" ref="K3482"/>
    <hyperlink r:id="rId7647" ref="L3482"/>
    <hyperlink r:id="rId7648" ref="K3483"/>
    <hyperlink r:id="rId7649" ref="L3483"/>
    <hyperlink r:id="rId7650" ref="K3484"/>
    <hyperlink r:id="rId7651" ref="L3484"/>
    <hyperlink r:id="rId7652" ref="K3485"/>
    <hyperlink r:id="rId5815" ref="L3485"/>
    <hyperlink r:id="rId7653" ref="K3486"/>
    <hyperlink r:id="rId7654" ref="L3486"/>
    <hyperlink r:id="rId7655" ref="K3487"/>
    <hyperlink r:id="rId7656" ref="L3487"/>
    <hyperlink r:id="rId7657" ref="K3488"/>
    <hyperlink r:id="rId7658" ref="L3488"/>
    <hyperlink r:id="rId7659" ref="K3489"/>
    <hyperlink r:id="rId6142" ref="L3489"/>
    <hyperlink r:id="rId7660" ref="K3490"/>
    <hyperlink r:id="rId7661" ref="L3490"/>
    <hyperlink r:id="rId7662" ref="K3491"/>
    <hyperlink r:id="rId7663" ref="L3491"/>
    <hyperlink r:id="rId7664" ref="K3492"/>
    <hyperlink r:id="rId7665" ref="L3492"/>
    <hyperlink r:id="rId7666" ref="K3493"/>
    <hyperlink r:id="rId7667" ref="L3493"/>
    <hyperlink r:id="rId7668" ref="K3494"/>
    <hyperlink r:id="rId7669" ref="L3494"/>
    <hyperlink r:id="rId7670" ref="K3495"/>
    <hyperlink r:id="rId6455" ref="L3495"/>
    <hyperlink r:id="rId7671" ref="K3496"/>
    <hyperlink r:id="rId7672" ref="L3496"/>
    <hyperlink r:id="rId7673" ref="K3497"/>
    <hyperlink r:id="rId7674" ref="L3497"/>
    <hyperlink r:id="rId7675" ref="K3498"/>
    <hyperlink r:id="rId7676" ref="L3498"/>
    <hyperlink r:id="rId7677" ref="K3499"/>
    <hyperlink r:id="rId7678" ref="L3499"/>
    <hyperlink r:id="rId7679" ref="K3500"/>
    <hyperlink r:id="rId7680" ref="L3500"/>
    <hyperlink r:id="rId7681" ref="K3501"/>
    <hyperlink r:id="rId7682" ref="L3501"/>
    <hyperlink r:id="rId7683" ref="K3502"/>
    <hyperlink r:id="rId7684" ref="L3502"/>
    <hyperlink r:id="rId7685" ref="K3503"/>
    <hyperlink r:id="rId7686" ref="L3503"/>
    <hyperlink r:id="rId7687" ref="K3504"/>
    <hyperlink r:id="rId7688" ref="L3504"/>
    <hyperlink r:id="rId7689" ref="K3505"/>
    <hyperlink r:id="rId7690" ref="L3505"/>
    <hyperlink r:id="rId7691" ref="K3506"/>
    <hyperlink r:id="rId7692" ref="L3506"/>
    <hyperlink r:id="rId7693" ref="K3507"/>
    <hyperlink r:id="rId7694" ref="L3507"/>
    <hyperlink r:id="rId7695" ref="K3508"/>
    <hyperlink r:id="rId7696" ref="L3508"/>
    <hyperlink r:id="rId7697" ref="K3509"/>
    <hyperlink r:id="rId7698" ref="L3509"/>
    <hyperlink r:id="rId7699" ref="K3510"/>
    <hyperlink r:id="rId7700" ref="L3510"/>
    <hyperlink r:id="rId7701" ref="K3511"/>
    <hyperlink r:id="rId7702" ref="L3511"/>
    <hyperlink r:id="rId7703" ref="K3512"/>
    <hyperlink r:id="rId6937" ref="L3512"/>
    <hyperlink r:id="rId7704" ref="K3513"/>
    <hyperlink r:id="rId7705" ref="L3513"/>
    <hyperlink r:id="rId7706" ref="K3514"/>
    <hyperlink r:id="rId7707" ref="L3514"/>
    <hyperlink r:id="rId7708" ref="K3515"/>
    <hyperlink r:id="rId7709" ref="L3515"/>
    <hyperlink r:id="rId7710" ref="K3516"/>
    <hyperlink r:id="rId7711" ref="L3516"/>
    <hyperlink r:id="rId7712" ref="K3517"/>
    <hyperlink r:id="rId7713" ref="L3517"/>
    <hyperlink r:id="rId7714" ref="K3518"/>
    <hyperlink r:id="rId7715" ref="L3518"/>
    <hyperlink r:id="rId7716" ref="K3519"/>
    <hyperlink r:id="rId7717" ref="L3519"/>
    <hyperlink r:id="rId7718" ref="E3520"/>
    <hyperlink r:id="rId7719" ref="K3520"/>
    <hyperlink r:id="rId7720" ref="L3520"/>
    <hyperlink r:id="rId7721" ref="K3521"/>
    <hyperlink r:id="rId7722" ref="L3521"/>
    <hyperlink r:id="rId7723" ref="K3522"/>
    <hyperlink r:id="rId7724" ref="L3522"/>
    <hyperlink r:id="rId7725" ref="K3523"/>
    <hyperlink r:id="rId7726" ref="L3523"/>
    <hyperlink r:id="rId7727" ref="K3524"/>
    <hyperlink r:id="rId7728" ref="L3524"/>
    <hyperlink r:id="rId7729" ref="K3525"/>
    <hyperlink r:id="rId7730" ref="L3525"/>
    <hyperlink r:id="rId7731" ref="K3526"/>
    <hyperlink r:id="rId7732" ref="L3526"/>
    <hyperlink r:id="rId7733" ref="K3527"/>
    <hyperlink r:id="rId7734" ref="L3527"/>
    <hyperlink r:id="rId7735" ref="K3528"/>
    <hyperlink r:id="rId6519" ref="L3528"/>
    <hyperlink r:id="rId7736" ref="K3529"/>
    <hyperlink r:id="rId7737" ref="L3529"/>
    <hyperlink r:id="rId7738" ref="K3530"/>
    <hyperlink r:id="rId7739" ref="L3530"/>
    <hyperlink r:id="rId7740" ref="K3531"/>
    <hyperlink r:id="rId7741" ref="L3531"/>
    <hyperlink r:id="rId7742" ref="K3532"/>
    <hyperlink r:id="rId7743" ref="L3532"/>
    <hyperlink r:id="rId7744" ref="K3533"/>
    <hyperlink r:id="rId7745" ref="L3533"/>
    <hyperlink r:id="rId7746" ref="K3534"/>
    <hyperlink r:id="rId7747" ref="L3534"/>
    <hyperlink r:id="rId7748" ref="K3535"/>
    <hyperlink r:id="rId7749" ref="L3535"/>
    <hyperlink r:id="rId7750" ref="K3536"/>
    <hyperlink r:id="rId7751" ref="L3536"/>
    <hyperlink r:id="rId7752" ref="K3537"/>
    <hyperlink r:id="rId7753" ref="L3537"/>
    <hyperlink r:id="rId7754" ref="K3538"/>
    <hyperlink r:id="rId7755" ref="L3538"/>
    <hyperlink r:id="rId7756" ref="K3539"/>
    <hyperlink r:id="rId7757" ref="L3539"/>
    <hyperlink r:id="rId7758" ref="K3540"/>
    <hyperlink r:id="rId7759" ref="L3540"/>
    <hyperlink r:id="rId7760" ref="K3541"/>
    <hyperlink r:id="rId7761" ref="L3541"/>
    <hyperlink r:id="rId7762" ref="K3542"/>
    <hyperlink r:id="rId7763" ref="L3542"/>
    <hyperlink r:id="rId7764" ref="K3543"/>
    <hyperlink r:id="rId7765" ref="L3543"/>
    <hyperlink r:id="rId7766" ref="K3544"/>
    <hyperlink r:id="rId7767" ref="L3544"/>
    <hyperlink r:id="rId7768" ref="K3545"/>
    <hyperlink r:id="rId7769" ref="L3545"/>
    <hyperlink r:id="rId7770" ref="K3546"/>
    <hyperlink r:id="rId7771" ref="L3546"/>
    <hyperlink r:id="rId7772" ref="K3547"/>
    <hyperlink r:id="rId7773" ref="L3547"/>
    <hyperlink r:id="rId7774" ref="K3548"/>
    <hyperlink r:id="rId7775" ref="L3548"/>
    <hyperlink r:id="rId7776" ref="K3549"/>
    <hyperlink r:id="rId7777" ref="L3549"/>
    <hyperlink r:id="rId7778" ref="K3550"/>
    <hyperlink r:id="rId7779" ref="L3550"/>
    <hyperlink r:id="rId7780" ref="K3551"/>
    <hyperlink r:id="rId7781" ref="L3551"/>
    <hyperlink r:id="rId7782" ref="K3552"/>
    <hyperlink r:id="rId7783" ref="L3552"/>
    <hyperlink r:id="rId7784" ref="K3553"/>
    <hyperlink r:id="rId7785" ref="L3553"/>
    <hyperlink r:id="rId7786" ref="K3554"/>
    <hyperlink r:id="rId7192" ref="L3554"/>
    <hyperlink r:id="rId7787" ref="K3555"/>
    <hyperlink r:id="rId6954" ref="L3555"/>
    <hyperlink r:id="rId7788" ref="K3556"/>
    <hyperlink r:id="rId7789" ref="L3556"/>
    <hyperlink r:id="rId7790" ref="K3557"/>
    <hyperlink r:id="rId7791" ref="L3557"/>
    <hyperlink r:id="rId7792" ref="K3558"/>
    <hyperlink r:id="rId7793" ref="L3558"/>
    <hyperlink r:id="rId7794" ref="K3559"/>
    <hyperlink r:id="rId7795" ref="L3559"/>
    <hyperlink r:id="rId7796" ref="K3560"/>
    <hyperlink r:id="rId7797" ref="L3560"/>
    <hyperlink r:id="rId7798" ref="K3561"/>
    <hyperlink r:id="rId7799" ref="L3561"/>
    <hyperlink r:id="rId7800" ref="K3562"/>
    <hyperlink r:id="rId7801" ref="L3562"/>
    <hyperlink r:id="rId7802" ref="K3563"/>
    <hyperlink r:id="rId7803" ref="L3563"/>
    <hyperlink r:id="rId7804" ref="K3564"/>
    <hyperlink r:id="rId7805" ref="L3564"/>
    <hyperlink r:id="rId7806" ref="K3565"/>
    <hyperlink r:id="rId7807" ref="L3565"/>
    <hyperlink r:id="rId7808" ref="K3566"/>
    <hyperlink r:id="rId7809" ref="L3566"/>
    <hyperlink r:id="rId7810" ref="E3567"/>
    <hyperlink r:id="rId7811" ref="K3567"/>
    <hyperlink r:id="rId7812" ref="L3567"/>
    <hyperlink r:id="rId7813" ref="K3568"/>
    <hyperlink r:id="rId7814" ref="L3568"/>
    <hyperlink r:id="rId7815" ref="K3569"/>
    <hyperlink r:id="rId7816" ref="L3569"/>
    <hyperlink r:id="rId7817" ref="K3570"/>
    <hyperlink r:id="rId7818" ref="L3570"/>
    <hyperlink r:id="rId7819" ref="K3571"/>
    <hyperlink r:id="rId7820" ref="L3571"/>
    <hyperlink r:id="rId7821" ref="K3572"/>
    <hyperlink r:id="rId7822" ref="L3572"/>
    <hyperlink r:id="rId7823" ref="K3573"/>
    <hyperlink r:id="rId7824" ref="L3573"/>
    <hyperlink r:id="rId7825" ref="K3574"/>
    <hyperlink r:id="rId7826" ref="L3574"/>
    <hyperlink r:id="rId7827" ref="K3575"/>
    <hyperlink r:id="rId7828" ref="L3575"/>
    <hyperlink r:id="rId7829" ref="K3576"/>
    <hyperlink r:id="rId7830" ref="L3576"/>
    <hyperlink r:id="rId7831" ref="K3577"/>
    <hyperlink r:id="rId7832" ref="L3577"/>
    <hyperlink r:id="rId7833" ref="K3578"/>
    <hyperlink r:id="rId7834" ref="L3578"/>
    <hyperlink r:id="rId7835" ref="K3579"/>
    <hyperlink r:id="rId7836" ref="L3579"/>
    <hyperlink r:id="rId7837" ref="K3580"/>
    <hyperlink r:id="rId7838" ref="L3580"/>
    <hyperlink r:id="rId7839" ref="K3581"/>
    <hyperlink r:id="rId7840" ref="L3581"/>
    <hyperlink r:id="rId7841" ref="K3582"/>
    <hyperlink r:id="rId7842" ref="L3582"/>
    <hyperlink r:id="rId7843" ref="K3583"/>
    <hyperlink r:id="rId7844" ref="L3583"/>
    <hyperlink r:id="rId7845" ref="K3584"/>
    <hyperlink r:id="rId7846" ref="L3584"/>
    <hyperlink r:id="rId7847" ref="K3585"/>
    <hyperlink r:id="rId7848" ref="L3585"/>
    <hyperlink r:id="rId7849" ref="K3586"/>
    <hyperlink r:id="rId7850" ref="L3586"/>
    <hyperlink r:id="rId7851" ref="K3587"/>
    <hyperlink r:id="rId7852" ref="L3587"/>
    <hyperlink r:id="rId7853" ref="K3588"/>
    <hyperlink r:id="rId7854" ref="L3588"/>
    <hyperlink r:id="rId7855" ref="K3589"/>
    <hyperlink r:id="rId7469" ref="L3589"/>
    <hyperlink r:id="rId7856" ref="K3590"/>
    <hyperlink r:id="rId7857" ref="L3590"/>
    <hyperlink r:id="rId7858" ref="K3591"/>
    <hyperlink r:id="rId7859" ref="L3591"/>
    <hyperlink r:id="rId7860" ref="K3597"/>
    <hyperlink r:id="rId7861" ref="L3597"/>
    <hyperlink r:id="rId7862" ref="K3598"/>
    <hyperlink r:id="rId7863" ref="L3598"/>
    <hyperlink r:id="rId7864" ref="K3599"/>
    <hyperlink r:id="rId7865" ref="L3599"/>
    <hyperlink r:id="rId7866" ref="K3600"/>
    <hyperlink r:id="rId7867" ref="L3600"/>
    <hyperlink r:id="rId7868" ref="K3601"/>
    <hyperlink r:id="rId7869" ref="L3601"/>
    <hyperlink r:id="rId7870" ref="K3602"/>
    <hyperlink r:id="rId7871" ref="L3602"/>
    <hyperlink r:id="rId7872" ref="K3603"/>
    <hyperlink r:id="rId7873" ref="L3603"/>
    <hyperlink r:id="rId7874" ref="K3604"/>
    <hyperlink r:id="rId7861" ref="L3604"/>
    <hyperlink r:id="rId7875" ref="K3605"/>
    <hyperlink r:id="rId6414" ref="L3605"/>
    <hyperlink r:id="rId7876" ref="K3606"/>
    <hyperlink r:id="rId7877" ref="L3606"/>
    <hyperlink r:id="rId7878" ref="K3607"/>
    <hyperlink r:id="rId7879" ref="L3607"/>
    <hyperlink r:id="rId7880" ref="K3608"/>
    <hyperlink r:id="rId7107" ref="L3608"/>
    <hyperlink r:id="rId7881" ref="K3609"/>
    <hyperlink r:id="rId7882" ref="L3609"/>
    <hyperlink r:id="rId7883" ref="K3610"/>
    <hyperlink r:id="rId7884" ref="L3610"/>
    <hyperlink r:id="rId7885" ref="K3611"/>
    <hyperlink r:id="rId7886" ref="L3611"/>
    <hyperlink r:id="rId7887" ref="K3612"/>
    <hyperlink r:id="rId7888" ref="L3612"/>
    <hyperlink r:id="rId7889" ref="K3613"/>
    <hyperlink r:id="rId7890" ref="L3613"/>
    <hyperlink r:id="rId7891" ref="K3614"/>
    <hyperlink r:id="rId7892" ref="L3614"/>
    <hyperlink r:id="rId7893" ref="K3615"/>
    <hyperlink r:id="rId7894" ref="L3615"/>
    <hyperlink r:id="rId7895" ref="K3616"/>
    <hyperlink r:id="rId7896" ref="L3616"/>
    <hyperlink r:id="rId7897" ref="K3617"/>
    <hyperlink r:id="rId7898" ref="L3617"/>
    <hyperlink r:id="rId7899" ref="K3618"/>
    <hyperlink r:id="rId7900" ref="L3618"/>
    <hyperlink r:id="rId7901" ref="K3619"/>
    <hyperlink r:id="rId7902" ref="L3619"/>
    <hyperlink r:id="rId7903" ref="K3620"/>
    <hyperlink r:id="rId5858" ref="L3620"/>
    <hyperlink r:id="rId7904" ref="K3621"/>
    <hyperlink r:id="rId7905" ref="L3621"/>
    <hyperlink r:id="rId7906" ref="K3622"/>
    <hyperlink r:id="rId7907" ref="L3622"/>
    <hyperlink r:id="rId7908" ref="K3623"/>
    <hyperlink r:id="rId7909" ref="L3623"/>
    <hyperlink r:id="rId7910" ref="K3624"/>
    <hyperlink r:id="rId5858" ref="L3624"/>
    <hyperlink r:id="rId7911" ref="K3625"/>
    <hyperlink r:id="rId6563" ref="L3625"/>
    <hyperlink r:id="rId7912" ref="K3626"/>
    <hyperlink r:id="rId7913" ref="L3626"/>
    <hyperlink r:id="rId7914" ref="K3627"/>
    <hyperlink r:id="rId7915" ref="L3627"/>
    <hyperlink r:id="rId7916" ref="K3628"/>
    <hyperlink r:id="rId7917" ref="L3628"/>
    <hyperlink r:id="rId7918" ref="K3629"/>
    <hyperlink r:id="rId7919" ref="L3629"/>
    <hyperlink r:id="rId7920" ref="K3630"/>
    <hyperlink r:id="rId7921" ref="L3630"/>
    <hyperlink r:id="rId7922" ref="K3631"/>
    <hyperlink r:id="rId7921" ref="L3631"/>
    <hyperlink r:id="rId7923" ref="K3632"/>
    <hyperlink r:id="rId7924" ref="L3632"/>
    <hyperlink r:id="rId7925" ref="K3633"/>
    <hyperlink r:id="rId7926" ref="L3633"/>
    <hyperlink r:id="rId7927" ref="K3634"/>
    <hyperlink r:id="rId7928" ref="L3634"/>
    <hyperlink r:id="rId7929" ref="K3635"/>
    <hyperlink r:id="rId7930" ref="L3635"/>
    <hyperlink r:id="rId7931" ref="K3636"/>
    <hyperlink r:id="rId7932" ref="L3636"/>
    <hyperlink r:id="rId7933" ref="K3637"/>
    <hyperlink r:id="rId7934" ref="L3637"/>
    <hyperlink r:id="rId7935" ref="K3638"/>
    <hyperlink r:id="rId7936" ref="L3638"/>
    <hyperlink r:id="rId7937" ref="K3639"/>
    <hyperlink r:id="rId7938" ref="L3639"/>
    <hyperlink r:id="rId7939" ref="K3640"/>
    <hyperlink r:id="rId5711" ref="L3640"/>
    <hyperlink r:id="rId7940" ref="K3641"/>
    <hyperlink r:id="rId7941" ref="L3641"/>
    <hyperlink r:id="rId7942" ref="K3642"/>
    <hyperlink r:id="rId7943" ref="L3642"/>
    <hyperlink r:id="rId7944" ref="K3643"/>
    <hyperlink r:id="rId6341" ref="L3643"/>
    <hyperlink r:id="rId7945" ref="K3644"/>
    <hyperlink r:id="rId7946" ref="L3644"/>
    <hyperlink r:id="rId7947" ref="K3645"/>
    <hyperlink r:id="rId7948" ref="L3645"/>
    <hyperlink r:id="rId7949" ref="K3646"/>
    <hyperlink r:id="rId7950" ref="L3646"/>
    <hyperlink r:id="rId7951" ref="K3647"/>
    <hyperlink r:id="rId7952" ref="L3647"/>
    <hyperlink r:id="rId7953" ref="K3648"/>
    <hyperlink r:id="rId7954" ref="L3648"/>
    <hyperlink r:id="rId7955" ref="K3649"/>
    <hyperlink r:id="rId7956" ref="L3649"/>
    <hyperlink r:id="rId7957" ref="K3650"/>
    <hyperlink r:id="rId7958" ref="L3650"/>
    <hyperlink r:id="rId7959" ref="K3651"/>
    <hyperlink r:id="rId7960" ref="L3651"/>
    <hyperlink r:id="rId7961" ref="K3652"/>
    <hyperlink r:id="rId7962" ref="L3652"/>
    <hyperlink r:id="rId7963" ref="K3653"/>
    <hyperlink r:id="rId7964" ref="L3653"/>
    <hyperlink r:id="rId7965" ref="K3654"/>
    <hyperlink r:id="rId7966" ref="L3654"/>
    <hyperlink r:id="rId7967" ref="K3655"/>
    <hyperlink r:id="rId7968" ref="L3655"/>
    <hyperlink r:id="rId7969" ref="K3656"/>
    <hyperlink r:id="rId7205" ref="L3656"/>
    <hyperlink r:id="rId7970" ref="K3657"/>
    <hyperlink r:id="rId6282" ref="L3657"/>
    <hyperlink r:id="rId7971" ref="K3658"/>
    <hyperlink r:id="rId7972" ref="L3658"/>
    <hyperlink r:id="rId7973" ref="K3659"/>
    <hyperlink r:id="rId7974" ref="L3659"/>
    <hyperlink r:id="rId7975" ref="K3660"/>
    <hyperlink r:id="rId7976" ref="L3660"/>
    <hyperlink r:id="rId7977" ref="K3661"/>
    <hyperlink r:id="rId7978" ref="L3661"/>
    <hyperlink r:id="rId7979" ref="K3662"/>
    <hyperlink r:id="rId7980" ref="L3662"/>
    <hyperlink r:id="rId7981" ref="K3663"/>
    <hyperlink r:id="rId7982" ref="L3663"/>
    <hyperlink r:id="rId7983" ref="K3664"/>
    <hyperlink r:id="rId7984" ref="L3664"/>
    <hyperlink r:id="rId7985" ref="K3665"/>
    <hyperlink r:id="rId7948" ref="L3665"/>
    <hyperlink r:id="rId7986" ref="K3666"/>
    <hyperlink r:id="rId7987" ref="L3666"/>
    <hyperlink r:id="rId7988" ref="K3667"/>
    <hyperlink r:id="rId5761" ref="L3667"/>
    <hyperlink r:id="rId7989" ref="K3668"/>
    <hyperlink r:id="rId7990" ref="K3669"/>
    <hyperlink r:id="rId7991" ref="L3669"/>
    <hyperlink r:id="rId7992" ref="K3670"/>
    <hyperlink r:id="rId7993" ref="L3670"/>
    <hyperlink r:id="rId7994" ref="K3671"/>
    <hyperlink r:id="rId7995" ref="L3671"/>
    <hyperlink r:id="rId7996" ref="K3672"/>
    <hyperlink r:id="rId7997" ref="L3672"/>
    <hyperlink r:id="rId7998" ref="K3673"/>
    <hyperlink r:id="rId7999" ref="L3673"/>
    <hyperlink r:id="rId8000" ref="K3674"/>
    <hyperlink r:id="rId8001" ref="L3674"/>
    <hyperlink r:id="rId8002" ref="K3675"/>
    <hyperlink r:id="rId6282" ref="L3675"/>
    <hyperlink r:id="rId8003" ref="K3676"/>
    <hyperlink r:id="rId8004" ref="L3676"/>
    <hyperlink r:id="rId8005" ref="K3677"/>
    <hyperlink r:id="rId8006" ref="L3677"/>
    <hyperlink r:id="rId8007" ref="K3678"/>
    <hyperlink r:id="rId8008" ref="L3678"/>
    <hyperlink r:id="rId8009" ref="K3679"/>
    <hyperlink r:id="rId8001" ref="L3679"/>
    <hyperlink r:id="rId8010" ref="K3680"/>
    <hyperlink r:id="rId7960" ref="L3680"/>
    <hyperlink r:id="rId8011" ref="K3681"/>
    <hyperlink r:id="rId8012" ref="L3681"/>
    <hyperlink r:id="rId8013" ref="K3682"/>
    <hyperlink r:id="rId8014" ref="L3682"/>
    <hyperlink r:id="rId8015" ref="K3683"/>
    <hyperlink r:id="rId8012" ref="L3683"/>
    <hyperlink r:id="rId8016" ref="K3684"/>
    <hyperlink r:id="rId5584" ref="L3684"/>
    <hyperlink r:id="rId8017" ref="K3685"/>
    <hyperlink r:id="rId8018" ref="L3685"/>
    <hyperlink r:id="rId8019" ref="K3686"/>
    <hyperlink r:id="rId8020" ref="L3686"/>
    <hyperlink r:id="rId8021" ref="K3687"/>
    <hyperlink r:id="rId6341" ref="L3687"/>
    <hyperlink r:id="rId8022" ref="K3688"/>
    <hyperlink r:id="rId8023" ref="L3688"/>
    <hyperlink r:id="rId8024" ref="K3689"/>
    <hyperlink r:id="rId7152" ref="L3689"/>
    <hyperlink r:id="rId8025" ref="K3690"/>
    <hyperlink r:id="rId8026" ref="L3690"/>
    <hyperlink r:id="rId8027" ref="K3691"/>
    <hyperlink r:id="rId8028" ref="L3691"/>
    <hyperlink r:id="rId8029" ref="K3692"/>
    <hyperlink r:id="rId8030" ref="L3692"/>
    <hyperlink r:id="rId8031" ref="K3693"/>
    <hyperlink r:id="rId8032" ref="L3693"/>
    <hyperlink r:id="rId8033" ref="K3694"/>
    <hyperlink r:id="rId6086" ref="L3694"/>
    <hyperlink r:id="rId8034" ref="K3695"/>
    <hyperlink r:id="rId8035" ref="L3695"/>
    <hyperlink r:id="rId8036" ref="K3696"/>
    <hyperlink r:id="rId8035" ref="L3696"/>
    <hyperlink r:id="rId8037" ref="K3697"/>
    <hyperlink r:id="rId8035" ref="L3697"/>
    <hyperlink r:id="rId8038" ref="K3698"/>
    <hyperlink r:id="rId8039" ref="L3698"/>
    <hyperlink r:id="rId8040" ref="K3699"/>
    <hyperlink r:id="rId8041" ref="L3699"/>
    <hyperlink r:id="rId8042" ref="E3700"/>
    <hyperlink r:id="rId8043" ref="K3700"/>
    <hyperlink r:id="rId8044" ref="L3700"/>
    <hyperlink r:id="rId8045" ref="K3701"/>
    <hyperlink r:id="rId8046" ref="L3701"/>
    <hyperlink r:id="rId8047" ref="K3702"/>
    <hyperlink r:id="rId8048" ref="L3702"/>
    <hyperlink r:id="rId8049" ref="K3703"/>
    <hyperlink r:id="rId8050" ref="L3703"/>
    <hyperlink r:id="rId8051" ref="K3704"/>
    <hyperlink r:id="rId8052" ref="L3704"/>
    <hyperlink r:id="rId8053" ref="K3705"/>
    <hyperlink r:id="rId8054" ref="L3705"/>
    <hyperlink r:id="rId8055" ref="K3706"/>
    <hyperlink r:id="rId8056" ref="L3706"/>
    <hyperlink r:id="rId8057" ref="K3707"/>
    <hyperlink r:id="rId8058" ref="L3707"/>
    <hyperlink r:id="rId8059" ref="K3708"/>
    <hyperlink r:id="rId8060" ref="L3708"/>
    <hyperlink r:id="rId8061" ref="K3709"/>
    <hyperlink r:id="rId8062" ref="L3709"/>
    <hyperlink r:id="rId8063" ref="K3710"/>
    <hyperlink r:id="rId8064" ref="L3710"/>
    <hyperlink r:id="rId8065" ref="K3711"/>
    <hyperlink r:id="rId8066" ref="L3711"/>
    <hyperlink r:id="rId8067" ref="K3712"/>
    <hyperlink r:id="rId5550" ref="L3712"/>
    <hyperlink r:id="rId8068" ref="K3713"/>
    <hyperlink r:id="rId8069" ref="L3713"/>
    <hyperlink r:id="rId8070" ref="K3714"/>
    <hyperlink r:id="rId8071" ref="L3714"/>
    <hyperlink r:id="rId8072" ref="K3715"/>
    <hyperlink r:id="rId8073" ref="L3715"/>
    <hyperlink r:id="rId8074" ref="K3716"/>
    <hyperlink r:id="rId6438" ref="L3716"/>
    <hyperlink r:id="rId8075" ref="K3717"/>
    <hyperlink r:id="rId7498" ref="L3717"/>
    <hyperlink r:id="rId8076" ref="K3718"/>
    <hyperlink r:id="rId8077" ref="L3718"/>
    <hyperlink r:id="rId5910" ref="K3719"/>
    <hyperlink r:id="rId5911" ref="L3719"/>
    <hyperlink r:id="rId8078" ref="K3720"/>
    <hyperlink r:id="rId8079" ref="L3720"/>
    <hyperlink r:id="rId8080" ref="K3721"/>
    <hyperlink r:id="rId5763" ref="L3721"/>
    <hyperlink r:id="rId8081" ref="K3722"/>
    <hyperlink r:id="rId8082" ref="L3722"/>
    <hyperlink r:id="rId8083" ref="K3723"/>
    <hyperlink r:id="rId8084" ref="L3723"/>
    <hyperlink r:id="rId8085" ref="K3724"/>
    <hyperlink r:id="rId8086" ref="L3724"/>
    <hyperlink r:id="rId8087" ref="K3725"/>
    <hyperlink r:id="rId8088" ref="L3725"/>
    <hyperlink r:id="rId8089" ref="K3726"/>
    <hyperlink r:id="rId8090" ref="L3726"/>
    <hyperlink r:id="rId8091" ref="K3727"/>
    <hyperlink r:id="rId8092" ref="L3727"/>
    <hyperlink r:id="rId8093" ref="K3728"/>
    <hyperlink r:id="rId8094" ref="L3728"/>
    <hyperlink r:id="rId8095" ref="K3729"/>
    <hyperlink r:id="rId7359" ref="L3729"/>
    <hyperlink r:id="rId8096" ref="K3730"/>
    <hyperlink r:id="rId8097" ref="L3730"/>
    <hyperlink r:id="rId8098" ref="K3731"/>
    <hyperlink r:id="rId8099" ref="L3731"/>
    <hyperlink r:id="rId8100" ref="K3732"/>
    <hyperlink r:id="rId8101" ref="L3732"/>
    <hyperlink r:id="rId8102" ref="K3733"/>
    <hyperlink r:id="rId8103" ref="L3733"/>
    <hyperlink r:id="rId8104" ref="K3734"/>
    <hyperlink r:id="rId8105" ref="L3734"/>
    <hyperlink r:id="rId8106" ref="K3735"/>
    <hyperlink r:id="rId8107" ref="L3735"/>
    <hyperlink r:id="rId8108" ref="K3736"/>
    <hyperlink r:id="rId8109" ref="L3736"/>
    <hyperlink r:id="rId8110" ref="K3737"/>
    <hyperlink r:id="rId8111" ref="L3737"/>
    <hyperlink r:id="rId8112" ref="K3738"/>
    <hyperlink r:id="rId5879" ref="L3738"/>
    <hyperlink r:id="rId8113" ref="K3739"/>
    <hyperlink r:id="rId8114" ref="L3739"/>
    <hyperlink r:id="rId8115" ref="K3740"/>
    <hyperlink r:id="rId8116" ref="L3740"/>
    <hyperlink r:id="rId8117" ref="K3741"/>
    <hyperlink r:id="rId8118" ref="L3741"/>
    <hyperlink r:id="rId8119" ref="K3742"/>
    <hyperlink r:id="rId8120" ref="L3742"/>
    <hyperlink r:id="rId8121" ref="K3743"/>
    <hyperlink r:id="rId8122" ref="L3743"/>
    <hyperlink r:id="rId8123" ref="K3744"/>
    <hyperlink r:id="rId8124" ref="L3744"/>
    <hyperlink r:id="rId8125" ref="K3745"/>
    <hyperlink r:id="rId8126" ref="L3745"/>
    <hyperlink r:id="rId8127" ref="K3746"/>
    <hyperlink r:id="rId8128" ref="L3746"/>
    <hyperlink r:id="rId8129" ref="K3747"/>
    <hyperlink r:id="rId8130" ref="L3747"/>
    <hyperlink r:id="rId8131" ref="K3748"/>
    <hyperlink r:id="rId8132" ref="L3748"/>
    <hyperlink r:id="rId8133" ref="K3749"/>
    <hyperlink r:id="rId8134" ref="L3749"/>
    <hyperlink r:id="rId8135" ref="K3750"/>
    <hyperlink r:id="rId8136" ref="L3750"/>
    <hyperlink r:id="rId8137" ref="K3751"/>
    <hyperlink r:id="rId8138" ref="L3751"/>
    <hyperlink r:id="rId8139" ref="K3752"/>
    <hyperlink r:id="rId8140" ref="L3752"/>
    <hyperlink r:id="rId8141" ref="K3753"/>
    <hyperlink r:id="rId8142" ref="L3753"/>
    <hyperlink r:id="rId8143" ref="K3754"/>
    <hyperlink r:id="rId8144" ref="L3754"/>
    <hyperlink r:id="rId8145" ref="K3755"/>
    <hyperlink r:id="rId8146" ref="L3755"/>
    <hyperlink r:id="rId8147" ref="K3756"/>
    <hyperlink r:id="rId8148" ref="L3756"/>
    <hyperlink r:id="rId8149" ref="E3757"/>
    <hyperlink r:id="rId8150" ref="K3757"/>
    <hyperlink r:id="rId8151" ref="L3757"/>
    <hyperlink r:id="rId8152" ref="K3758"/>
    <hyperlink r:id="rId8153" ref="L3758"/>
    <hyperlink r:id="rId8154" ref="K3759"/>
    <hyperlink r:id="rId8155" ref="L3759"/>
    <hyperlink r:id="rId8156" ref="K3760"/>
    <hyperlink r:id="rId8157" ref="L3760"/>
    <hyperlink r:id="rId8158" ref="K3761"/>
    <hyperlink r:id="rId8159" ref="L3761"/>
    <hyperlink r:id="rId8160" ref="K3762"/>
    <hyperlink r:id="rId8161" ref="L3762"/>
    <hyperlink r:id="rId8162" ref="K3763"/>
    <hyperlink r:id="rId8163" ref="L3763"/>
    <hyperlink r:id="rId8164" ref="K3764"/>
    <hyperlink r:id="rId8165" ref="L3764"/>
    <hyperlink r:id="rId8166" ref="K3765"/>
    <hyperlink r:id="rId8167" ref="L3765"/>
    <hyperlink r:id="rId8168" ref="K3766"/>
    <hyperlink r:id="rId8169" ref="L3766"/>
    <hyperlink r:id="rId7689" ref="K3767"/>
    <hyperlink r:id="rId7690" ref="L3767"/>
    <hyperlink r:id="rId8170" ref="K3768"/>
    <hyperlink r:id="rId8171" ref="L3768"/>
    <hyperlink r:id="rId8172" ref="K3769"/>
    <hyperlink r:id="rId8173" ref="L3769"/>
    <hyperlink r:id="rId8174" ref="K3770"/>
    <hyperlink r:id="rId5530" ref="L3770"/>
    <hyperlink r:id="rId8175" ref="K3771"/>
    <hyperlink r:id="rId6054" ref="L3771"/>
    <hyperlink r:id="rId8176" ref="K3772"/>
    <hyperlink r:id="rId8177" ref="L3772"/>
    <hyperlink r:id="rId8178" ref="K3773"/>
    <hyperlink r:id="rId7265" ref="L3773"/>
    <hyperlink r:id="rId8179" ref="K3774"/>
    <hyperlink r:id="rId8180" ref="L3774"/>
    <hyperlink r:id="rId8181" ref="K3775"/>
    <hyperlink r:id="rId8182" ref="L3775"/>
    <hyperlink r:id="rId8183" ref="K3776"/>
    <hyperlink r:id="rId8184" ref="L3776"/>
    <hyperlink r:id="rId8185" ref="K3777"/>
    <hyperlink r:id="rId6907" ref="L3777"/>
    <hyperlink r:id="rId8186" ref="K3778"/>
    <hyperlink r:id="rId5490" ref="L3778"/>
    <hyperlink r:id="rId8187" ref="K3779"/>
    <hyperlink r:id="rId7455" ref="L3779"/>
    <hyperlink r:id="rId8188" ref="K3780"/>
    <hyperlink r:id="rId8189" ref="L3780"/>
    <hyperlink r:id="rId8190" ref="K3781"/>
    <hyperlink r:id="rId8191" ref="L3781"/>
    <hyperlink r:id="rId8192" ref="K3782"/>
    <hyperlink r:id="rId7773" ref="L3782"/>
    <hyperlink r:id="rId8193" ref="K3783"/>
    <hyperlink r:id="rId8194" ref="L3783"/>
    <hyperlink r:id="rId8195" ref="K3784"/>
    <hyperlink r:id="rId8196" ref="L3784"/>
    <hyperlink r:id="rId8197" ref="K3785"/>
    <hyperlink r:id="rId8198" ref="L3785"/>
    <hyperlink r:id="rId8199" ref="K3786"/>
    <hyperlink r:id="rId8200" ref="L3786"/>
    <hyperlink r:id="rId8201" ref="K3787"/>
    <hyperlink r:id="rId8202" ref="L3787"/>
    <hyperlink r:id="rId8203" ref="K3788"/>
    <hyperlink r:id="rId8204" ref="L3788"/>
    <hyperlink r:id="rId8205" ref="K3789"/>
    <hyperlink r:id="rId8206" ref="L3789"/>
    <hyperlink r:id="rId8207" ref="K3790"/>
    <hyperlink r:id="rId8208" ref="L3790"/>
    <hyperlink r:id="rId8209" ref="K3791"/>
    <hyperlink r:id="rId8210" ref="L3791"/>
    <hyperlink r:id="rId8211" ref="K3792"/>
    <hyperlink r:id="rId6039" ref="L3792"/>
    <hyperlink r:id="rId8212" ref="K3793"/>
    <hyperlink r:id="rId8213" ref="L3793"/>
    <hyperlink r:id="rId8214" ref="K3794"/>
    <hyperlink r:id="rId8215" ref="L3794"/>
    <hyperlink r:id="rId8216" ref="K3795"/>
    <hyperlink r:id="rId8217" ref="L3795"/>
    <hyperlink r:id="rId8218" ref="K3796"/>
    <hyperlink r:id="rId8219" ref="L3796"/>
    <hyperlink r:id="rId8220" ref="K3797"/>
    <hyperlink r:id="rId8221" ref="L3797"/>
    <hyperlink r:id="rId8222" ref="K3798"/>
    <hyperlink r:id="rId8223" ref="L3798"/>
    <hyperlink r:id="rId8224" ref="K3799"/>
    <hyperlink r:id="rId8225" ref="L3799"/>
    <hyperlink r:id="rId8226" ref="K3800"/>
    <hyperlink r:id="rId8227" ref="L3800"/>
    <hyperlink r:id="rId8228" ref="K3801"/>
    <hyperlink r:id="rId8229" ref="L3801"/>
    <hyperlink r:id="rId8230" ref="K3802"/>
    <hyperlink r:id="rId6363" ref="L3802"/>
    <hyperlink r:id="rId8231" ref="K3803"/>
    <hyperlink r:id="rId8232" ref="L3803"/>
    <hyperlink r:id="rId8233" ref="K3804"/>
    <hyperlink r:id="rId8234" ref="L3804"/>
    <hyperlink r:id="rId8235" ref="K3805"/>
    <hyperlink r:id="rId8236" ref="L3805"/>
    <hyperlink r:id="rId8237" ref="K3806"/>
    <hyperlink r:id="rId8238" ref="L3806"/>
    <hyperlink r:id="rId8239" ref="K3807"/>
    <hyperlink r:id="rId8240" ref="L3807"/>
    <hyperlink r:id="rId8241" ref="K3808"/>
    <hyperlink r:id="rId6954" ref="L3808"/>
    <hyperlink r:id="rId8242" ref="K3809"/>
    <hyperlink r:id="rId8243" ref="L3809"/>
    <hyperlink r:id="rId8244" ref="K3810"/>
    <hyperlink r:id="rId8245" ref="L3810"/>
    <hyperlink r:id="rId8246" ref="K3811"/>
    <hyperlink r:id="rId8247" ref="L3811"/>
    <hyperlink r:id="rId8248" ref="K3812"/>
    <hyperlink r:id="rId8249" ref="L3812"/>
    <hyperlink r:id="rId8250" ref="K3813"/>
    <hyperlink r:id="rId6412" ref="L3813"/>
    <hyperlink r:id="rId8251" ref="K3814"/>
    <hyperlink r:id="rId8252" ref="L3814"/>
    <hyperlink r:id="rId8253" ref="K3815"/>
    <hyperlink r:id="rId8254" ref="L3815"/>
    <hyperlink r:id="rId8255" ref="K3816"/>
    <hyperlink r:id="rId8256" ref="L3816"/>
    <hyperlink r:id="rId8257" ref="K3817"/>
    <hyperlink r:id="rId8258" ref="L3817"/>
    <hyperlink r:id="rId8259" ref="K3818"/>
    <hyperlink r:id="rId8260" ref="L3818"/>
    <hyperlink r:id="rId8261" ref="K3819"/>
    <hyperlink r:id="rId5480" ref="L3819"/>
    <hyperlink r:id="rId8262" ref="K3820"/>
    <hyperlink r:id="rId5530" ref="L3820"/>
    <hyperlink r:id="rId8263" ref="K3821"/>
    <hyperlink r:id="rId8264" ref="L3821"/>
    <hyperlink r:id="rId8265" ref="K3822"/>
    <hyperlink r:id="rId8266" ref="L3822"/>
    <hyperlink r:id="rId8267" ref="K3823"/>
    <hyperlink r:id="rId8268" ref="L3823"/>
    <hyperlink r:id="rId8269" ref="K3824"/>
    <hyperlink r:id="rId8270" ref="L3824"/>
    <hyperlink r:id="rId8271" ref="K3825"/>
    <hyperlink r:id="rId8272" ref="L3825"/>
    <hyperlink r:id="rId8273" ref="K3826"/>
    <hyperlink r:id="rId8274" ref="L3826"/>
    <hyperlink r:id="rId8275" ref="K3827"/>
    <hyperlink r:id="rId8276" ref="L3827"/>
    <hyperlink r:id="rId8277" ref="K3828"/>
    <hyperlink r:id="rId8221" ref="L3828"/>
    <hyperlink r:id="rId8278" ref="K3829"/>
    <hyperlink r:id="rId8279" ref="L3829"/>
    <hyperlink r:id="rId8280" ref="K3830"/>
    <hyperlink r:id="rId6594" ref="L3830"/>
    <hyperlink r:id="rId8281" ref="K3831"/>
    <hyperlink r:id="rId8282" ref="L3831"/>
    <hyperlink r:id="rId8283" ref="K3832"/>
    <hyperlink r:id="rId8284" ref="L3832"/>
    <hyperlink r:id="rId8285" ref="K3833"/>
    <hyperlink r:id="rId8286" ref="L3833"/>
    <hyperlink r:id="rId8287" ref="K3834"/>
    <hyperlink r:id="rId8171" ref="L3834"/>
    <hyperlink r:id="rId8288" ref="K3835"/>
    <hyperlink r:id="rId8289" ref="L3835"/>
    <hyperlink r:id="rId8290" ref="K3836"/>
    <hyperlink r:id="rId6023" ref="L3836"/>
    <hyperlink r:id="rId8291" ref="K3837"/>
    <hyperlink r:id="rId8292" ref="L3837"/>
    <hyperlink r:id="rId8293" ref="K3838"/>
    <hyperlink r:id="rId8294" ref="L3838"/>
    <hyperlink r:id="rId8295" ref="K3839"/>
    <hyperlink r:id="rId8296" ref="L3839"/>
    <hyperlink r:id="rId8297" ref="E3840"/>
    <hyperlink r:id="rId8298" ref="K3840"/>
    <hyperlink r:id="rId8299" ref="L3840"/>
    <hyperlink r:id="rId8300" ref="K3841"/>
    <hyperlink r:id="rId8301" ref="L3841"/>
    <hyperlink r:id="rId8302" ref="K3842"/>
    <hyperlink r:id="rId8303" ref="L3842"/>
    <hyperlink r:id="rId8304" ref="K3843"/>
    <hyperlink r:id="rId8305" ref="L3843"/>
    <hyperlink r:id="rId8306" ref="K3844"/>
    <hyperlink r:id="rId8307" ref="L3844"/>
    <hyperlink r:id="rId8308" ref="K3845"/>
    <hyperlink r:id="rId8309" ref="L3845"/>
    <hyperlink r:id="rId8310" ref="K3846"/>
    <hyperlink r:id="rId8311" ref="L3846"/>
    <hyperlink r:id="rId8312" ref="K3847"/>
    <hyperlink r:id="rId8313" ref="L3847"/>
    <hyperlink r:id="rId8314" ref="K3848"/>
    <hyperlink r:id="rId8315" ref="L3848"/>
    <hyperlink r:id="rId6212" ref="K3849"/>
    <hyperlink r:id="rId6213" ref="L3849"/>
    <hyperlink r:id="rId8316" ref="K3850"/>
    <hyperlink r:id="rId8317" ref="L3850"/>
    <hyperlink r:id="rId8318" ref="K3851"/>
    <hyperlink r:id="rId8319" ref="L3851"/>
    <hyperlink r:id="rId8320" ref="K3852"/>
    <hyperlink r:id="rId8321" ref="L3852"/>
    <hyperlink r:id="rId8322" ref="K3853"/>
    <hyperlink r:id="rId8323" ref="L3853"/>
    <hyperlink r:id="rId8324" ref="K3854"/>
    <hyperlink r:id="rId8325" ref="L3854"/>
    <hyperlink r:id="rId8326" ref="K3855"/>
    <hyperlink r:id="rId8327" ref="L3855"/>
    <hyperlink r:id="rId8328" ref="K3856"/>
    <hyperlink r:id="rId8329" ref="L3856"/>
    <hyperlink r:id="rId8330" ref="K3857"/>
    <hyperlink r:id="rId8331" ref="L3857"/>
    <hyperlink r:id="rId8332" ref="K3858"/>
    <hyperlink r:id="rId8333" ref="L3858"/>
    <hyperlink r:id="rId8334" ref="K3859"/>
    <hyperlink r:id="rId8335" ref="L3859"/>
    <hyperlink r:id="rId8336" ref="K3860"/>
    <hyperlink r:id="rId6993" ref="L3860"/>
    <hyperlink r:id="rId8337" ref="K3861"/>
    <hyperlink r:id="rId8338" ref="L3861"/>
    <hyperlink r:id="rId8339" ref="K3862"/>
    <hyperlink r:id="rId8340" ref="L3862"/>
    <hyperlink r:id="rId8341" ref="K3863"/>
    <hyperlink r:id="rId8342" ref="L3863"/>
    <hyperlink r:id="rId8343" ref="K3864"/>
    <hyperlink r:id="rId8344" ref="L3864"/>
    <hyperlink r:id="rId8345" ref="K3865"/>
    <hyperlink r:id="rId8346" ref="L3865"/>
    <hyperlink r:id="rId8347" ref="K3866"/>
    <hyperlink r:id="rId8348" ref="L3866"/>
    <hyperlink r:id="rId8349" ref="K3867"/>
    <hyperlink r:id="rId8350" ref="L3867"/>
    <hyperlink r:id="rId8351" ref="K3868"/>
    <hyperlink r:id="rId7117" ref="L3868"/>
    <hyperlink r:id="rId8352" ref="K3869"/>
    <hyperlink r:id="rId8353" ref="L3869"/>
    <hyperlink r:id="rId8354" ref="K3870"/>
    <hyperlink r:id="rId8355" ref="L3870"/>
    <hyperlink r:id="rId8356" ref="K3871"/>
    <hyperlink r:id="rId8357" ref="L3871"/>
    <hyperlink r:id="rId8358" ref="K3872"/>
    <hyperlink r:id="rId8359" ref="L3872"/>
    <hyperlink r:id="rId8360" ref="K3873"/>
    <hyperlink r:id="rId8361" ref="L3873"/>
    <hyperlink r:id="rId8362" ref="K3874"/>
    <hyperlink r:id="rId8363" ref="L3874"/>
    <hyperlink r:id="rId8364" ref="K3875"/>
    <hyperlink r:id="rId8365" ref="L3875"/>
    <hyperlink r:id="rId8366" ref="K3876"/>
    <hyperlink r:id="rId8367" ref="L3876"/>
    <hyperlink r:id="rId8368" ref="K3877"/>
    <hyperlink r:id="rId8171" ref="L3877"/>
    <hyperlink r:id="rId8369" ref="K3878"/>
    <hyperlink r:id="rId8370" ref="L3878"/>
    <hyperlink r:id="rId8371" ref="K3879"/>
    <hyperlink r:id="rId5582" ref="L3879"/>
    <hyperlink r:id="rId8372" ref="K3880"/>
    <hyperlink r:id="rId8348" ref="L3880"/>
    <hyperlink r:id="rId8373" ref="K3881"/>
    <hyperlink r:id="rId8374" ref="L3881"/>
    <hyperlink r:id="rId8375" ref="K3882"/>
    <hyperlink r:id="rId8376" ref="L3882"/>
    <hyperlink r:id="rId8377" ref="K3883"/>
    <hyperlink r:id="rId8378" ref="L3883"/>
    <hyperlink r:id="rId8379" ref="K3884"/>
    <hyperlink r:id="rId8380" ref="L3884"/>
    <hyperlink r:id="rId8381" ref="K3885"/>
    <hyperlink r:id="rId8382" ref="L3885"/>
    <hyperlink r:id="rId8383" ref="K3886"/>
    <hyperlink r:id="rId8384" ref="L3886"/>
    <hyperlink r:id="rId8385" ref="K3887"/>
    <hyperlink r:id="rId8165" ref="L3887"/>
    <hyperlink r:id="rId8386" ref="K3888"/>
    <hyperlink r:id="rId8236" ref="L3888"/>
    <hyperlink r:id="rId8387" ref="K3889"/>
    <hyperlink r:id="rId8388" ref="L3889"/>
    <hyperlink r:id="rId8389" ref="K3890"/>
    <hyperlink r:id="rId8390" ref="L3890"/>
    <hyperlink r:id="rId8391" ref="K3891"/>
    <hyperlink r:id="rId8392" ref="L3891"/>
    <hyperlink r:id="rId8393" ref="K3892"/>
    <hyperlink r:id="rId8394" ref="L3892"/>
    <hyperlink r:id="rId8395" ref="K3893"/>
    <hyperlink r:id="rId8396" ref="L3893"/>
    <hyperlink r:id="rId8397" ref="K3894"/>
    <hyperlink r:id="rId8398" ref="L3894"/>
    <hyperlink r:id="rId8399" ref="K3895"/>
    <hyperlink r:id="rId8400" ref="L3895"/>
    <hyperlink r:id="rId8401" ref="K3896"/>
    <hyperlink r:id="rId8402" ref="L3896"/>
    <hyperlink r:id="rId8403" ref="K3897"/>
    <hyperlink r:id="rId8404" ref="L3897"/>
    <hyperlink r:id="rId8405" ref="K3898"/>
    <hyperlink r:id="rId8406" ref="L3898"/>
    <hyperlink r:id="rId8407" ref="K3899"/>
    <hyperlink r:id="rId8408" ref="L3899"/>
    <hyperlink r:id="rId8409" ref="K3900"/>
    <hyperlink r:id="rId8410" ref="L3900"/>
    <hyperlink r:id="rId8411" ref="K3901"/>
    <hyperlink r:id="rId8412" ref="L3901"/>
    <hyperlink r:id="rId8413" ref="K3902"/>
    <hyperlink r:id="rId8414" ref="L3902"/>
    <hyperlink r:id="rId8415" ref="K3903"/>
    <hyperlink r:id="rId8416" ref="L3903"/>
    <hyperlink r:id="rId8417" ref="K3904"/>
    <hyperlink r:id="rId8418" ref="L3904"/>
    <hyperlink r:id="rId8419" ref="K3905"/>
    <hyperlink r:id="rId8420" ref="L3905"/>
    <hyperlink r:id="rId8421" ref="K3906"/>
    <hyperlink r:id="rId8422" ref="L3906"/>
    <hyperlink r:id="rId8423" ref="K3907"/>
    <hyperlink r:id="rId8424" ref="L3907"/>
    <hyperlink r:id="rId8425" ref="K3908"/>
    <hyperlink r:id="rId8426" ref="L3908"/>
    <hyperlink r:id="rId8427" ref="K3909"/>
    <hyperlink r:id="rId8428" ref="L3909"/>
    <hyperlink r:id="rId8429" ref="K3910"/>
    <hyperlink r:id="rId8430" ref="L3910"/>
    <hyperlink r:id="rId8431" ref="K3911"/>
    <hyperlink r:id="rId8432" ref="L3911"/>
    <hyperlink r:id="rId8433" ref="K3912"/>
    <hyperlink r:id="rId8097" ref="L3912"/>
    <hyperlink r:id="rId8434" ref="K3913"/>
    <hyperlink r:id="rId5452" ref="L3913"/>
    <hyperlink r:id="rId8435" ref="K3914"/>
    <hyperlink r:id="rId8436" ref="L3914"/>
    <hyperlink r:id="rId8437" ref="K3915"/>
    <hyperlink r:id="rId8438" ref="L3915"/>
    <hyperlink r:id="rId8439" ref="K3916"/>
    <hyperlink r:id="rId8440" ref="L3916"/>
    <hyperlink r:id="rId8441" ref="K3917"/>
    <hyperlink r:id="rId8442" ref="L3917"/>
    <hyperlink r:id="rId8443" ref="K3918"/>
    <hyperlink r:id="rId8444" ref="L3918"/>
    <hyperlink r:id="rId8445" ref="K3919"/>
    <hyperlink r:id="rId8446" ref="L3919"/>
    <hyperlink r:id="rId8447" ref="K3920"/>
    <hyperlink r:id="rId8448" ref="L3920"/>
    <hyperlink r:id="rId8449" ref="K3921"/>
    <hyperlink r:id="rId8450" ref="L3921"/>
    <hyperlink r:id="rId8451" ref="K3922"/>
    <hyperlink r:id="rId8452" ref="L3922"/>
    <hyperlink r:id="rId8453" ref="K3923"/>
    <hyperlink r:id="rId8454" ref="L3923"/>
    <hyperlink r:id="rId8455" ref="K3924"/>
    <hyperlink r:id="rId5777" ref="L3924"/>
    <hyperlink r:id="rId8456" ref="K3925"/>
    <hyperlink r:id="rId8457" ref="L3925"/>
    <hyperlink r:id="rId8458" ref="K3926"/>
    <hyperlink r:id="rId8404" ref="L3926"/>
    <hyperlink r:id="rId8459" ref="K3927"/>
    <hyperlink r:id="rId8460" ref="L3927"/>
    <hyperlink r:id="rId8461" ref="K3928"/>
    <hyperlink r:id="rId8462" ref="L3928"/>
    <hyperlink r:id="rId8463" ref="K3929"/>
    <hyperlink r:id="rId8464" ref="L3929"/>
    <hyperlink r:id="rId8465" ref="K3930"/>
    <hyperlink r:id="rId8466" ref="L3930"/>
    <hyperlink r:id="rId8467" ref="K3931"/>
    <hyperlink r:id="rId8468" ref="L3931"/>
    <hyperlink r:id="rId8469" ref="K3932"/>
    <hyperlink r:id="rId8470" ref="L3932"/>
    <hyperlink r:id="rId8471" ref="K3933"/>
    <hyperlink r:id="rId8472" ref="L3933"/>
    <hyperlink r:id="rId8473" ref="K3934"/>
    <hyperlink r:id="rId8474" ref="L3934"/>
    <hyperlink r:id="rId8475" ref="K3935"/>
    <hyperlink r:id="rId8476" ref="L3935"/>
    <hyperlink r:id="rId8477" ref="K3936"/>
    <hyperlink r:id="rId8478" ref="L3936"/>
    <hyperlink r:id="rId8479" ref="K3937"/>
    <hyperlink r:id="rId8480" ref="L3937"/>
    <hyperlink r:id="rId8481" ref="K3938"/>
    <hyperlink r:id="rId8482" ref="L3938"/>
    <hyperlink r:id="rId8483" ref="K3939"/>
    <hyperlink r:id="rId8484" ref="L3939"/>
    <hyperlink r:id="rId8485" ref="K3940"/>
    <hyperlink r:id="rId8486" ref="L3940"/>
    <hyperlink r:id="rId8487" ref="E3941"/>
    <hyperlink r:id="rId8488" ref="K3941"/>
    <hyperlink r:id="rId8489" ref="L3941"/>
    <hyperlink r:id="rId8490" ref="K3942"/>
    <hyperlink r:id="rId8491" ref="L3942"/>
    <hyperlink r:id="rId8492" ref="K3943"/>
    <hyperlink r:id="rId8493" ref="L3943"/>
    <hyperlink r:id="rId8494" ref="E3944"/>
    <hyperlink r:id="rId8495" ref="K3944"/>
    <hyperlink r:id="rId8496" ref="L3944"/>
    <hyperlink r:id="rId8497" ref="K3945"/>
    <hyperlink r:id="rId8498" ref="L3945"/>
    <hyperlink r:id="rId8499" ref="E3946"/>
    <hyperlink r:id="rId8500" ref="K3946"/>
    <hyperlink r:id="rId8501" ref="L3946"/>
    <hyperlink r:id="rId8502" ref="K3947"/>
    <hyperlink r:id="rId8198" ref="L3947"/>
    <hyperlink r:id="rId8503" ref="K3948"/>
    <hyperlink r:id="rId8504" ref="L3948"/>
    <hyperlink r:id="rId8505" ref="K3949"/>
    <hyperlink r:id="rId8213" ref="L3949"/>
    <hyperlink r:id="rId8506" ref="K3950"/>
    <hyperlink r:id="rId8507" ref="L3950"/>
    <hyperlink r:id="rId8508" ref="K3951"/>
    <hyperlink r:id="rId8509" ref="L3951"/>
    <hyperlink r:id="rId8510" ref="K3952"/>
    <hyperlink r:id="rId8511" ref="L3952"/>
    <hyperlink r:id="rId8512" ref="K3953"/>
    <hyperlink r:id="rId8513" ref="L3953"/>
    <hyperlink r:id="rId8514" ref="K3954"/>
    <hyperlink r:id="rId8515" ref="L3954"/>
    <hyperlink r:id="rId8516" ref="K3955"/>
    <hyperlink r:id="rId8517" ref="L3955"/>
    <hyperlink r:id="rId8518" ref="K3956"/>
    <hyperlink r:id="rId8519" ref="L3956"/>
    <hyperlink r:id="rId8520" ref="K3957"/>
    <hyperlink r:id="rId7418" ref="L3957"/>
    <hyperlink r:id="rId8521" ref="K3958"/>
    <hyperlink r:id="rId8522" ref="L3958"/>
    <hyperlink r:id="rId8523" ref="K3959"/>
    <hyperlink r:id="rId8524" ref="L3959"/>
    <hyperlink r:id="rId8525" ref="K3960"/>
    <hyperlink r:id="rId8526" ref="L3960"/>
    <hyperlink r:id="rId8527" ref="K3961"/>
    <hyperlink r:id="rId8528" ref="L3961"/>
    <hyperlink r:id="rId8529" ref="K3962"/>
    <hyperlink r:id="rId8530" ref="L3962"/>
    <hyperlink r:id="rId8531" ref="K3963"/>
    <hyperlink r:id="rId8532" ref="L3963"/>
    <hyperlink r:id="rId8533" ref="K3964"/>
    <hyperlink r:id="rId8534" ref="L3964"/>
    <hyperlink r:id="rId8535" ref="K3965"/>
    <hyperlink r:id="rId5377" ref="L3965"/>
    <hyperlink r:id="rId8536" ref="K3966"/>
    <hyperlink r:id="rId8537" ref="L3966"/>
    <hyperlink r:id="rId8538" ref="K3967"/>
    <hyperlink r:id="rId8539" ref="L3967"/>
    <hyperlink r:id="rId8540" ref="K3968"/>
    <hyperlink r:id="rId8541" ref="L3968"/>
    <hyperlink r:id="rId8542" ref="K3969"/>
    <hyperlink r:id="rId8543" ref="L3969"/>
    <hyperlink r:id="rId8544" ref="K3970"/>
    <hyperlink r:id="rId8348" ref="L3970"/>
    <hyperlink r:id="rId8545" ref="K3971"/>
    <hyperlink r:id="rId8546" ref="L3971"/>
    <hyperlink r:id="rId8547" ref="K3972"/>
    <hyperlink r:id="rId6054" ref="L3972"/>
    <hyperlink r:id="rId8548" ref="K3973"/>
    <hyperlink r:id="rId8549" ref="L3973"/>
    <hyperlink r:id="rId8550" ref="K3974"/>
    <hyperlink r:id="rId8551" ref="L3974"/>
    <hyperlink r:id="rId8552" ref="K3975"/>
    <hyperlink r:id="rId8553" ref="L3975"/>
    <hyperlink r:id="rId8554" ref="K3976"/>
    <hyperlink r:id="rId6351" ref="L3976"/>
    <hyperlink r:id="rId8555" ref="K3977"/>
    <hyperlink r:id="rId8556" ref="L3977"/>
    <hyperlink r:id="rId8557" ref="E3978"/>
    <hyperlink r:id="rId8558" ref="K3978"/>
    <hyperlink r:id="rId8559" ref="L3978"/>
    <hyperlink r:id="rId8487" ref="E3979"/>
    <hyperlink r:id="rId8560" ref="K3979"/>
    <hyperlink r:id="rId8489" ref="L3979"/>
    <hyperlink r:id="rId8561" ref="E3980"/>
    <hyperlink r:id="rId8562" ref="K3980"/>
    <hyperlink r:id="rId8563" ref="L3980"/>
    <hyperlink r:id="rId8564" ref="K3981"/>
    <hyperlink r:id="rId8565" ref="L3981"/>
    <hyperlink r:id="rId8566" ref="K3982"/>
    <hyperlink r:id="rId8567" ref="L3982"/>
    <hyperlink r:id="rId8568" ref="K3983"/>
    <hyperlink r:id="rId8569" ref="L3983"/>
    <hyperlink r:id="rId8570" ref="K3984"/>
    <hyperlink r:id="rId8245" ref="L3984"/>
    <hyperlink r:id="rId8571" ref="K3985"/>
    <hyperlink r:id="rId8572" ref="L3985"/>
    <hyperlink r:id="rId8573" ref="K3986"/>
    <hyperlink r:id="rId5989" ref="L3986"/>
    <hyperlink r:id="rId8574" ref="K3987"/>
    <hyperlink r:id="rId8575" ref="L3987"/>
    <hyperlink r:id="rId8576" ref="K3988"/>
    <hyperlink r:id="rId5895" ref="L3988"/>
    <hyperlink r:id="rId8577" ref="K3989"/>
    <hyperlink r:id="rId8578" ref="L3989"/>
    <hyperlink r:id="rId8579" ref="K3990"/>
    <hyperlink r:id="rId8580" ref="L3990"/>
    <hyperlink r:id="rId8581" ref="K3991"/>
    <hyperlink r:id="rId8582" ref="L3991"/>
    <hyperlink r:id="rId8583" ref="K3992"/>
    <hyperlink r:id="rId8584" ref="L3992"/>
    <hyperlink r:id="rId8585" ref="K3993"/>
    <hyperlink r:id="rId8586" ref="L3993"/>
    <hyperlink r:id="rId8587" ref="K3994"/>
    <hyperlink r:id="rId8588" ref="L3994"/>
    <hyperlink r:id="rId8589" ref="K3995"/>
    <hyperlink r:id="rId8590" ref="L3995"/>
    <hyperlink r:id="rId8591" ref="K3996"/>
    <hyperlink r:id="rId8592" ref="L3996"/>
    <hyperlink r:id="rId8593" ref="K3997"/>
    <hyperlink r:id="rId8594" ref="L3997"/>
    <hyperlink r:id="rId8595" ref="K3998"/>
    <hyperlink r:id="rId8596" ref="L3998"/>
    <hyperlink r:id="rId8597" ref="K3999"/>
    <hyperlink r:id="rId8598" ref="L3999"/>
    <hyperlink r:id="rId8599" ref="E4000"/>
    <hyperlink r:id="rId8600" ref="K4000"/>
    <hyperlink r:id="rId8601" ref="L4000"/>
    <hyperlink r:id="rId8602" ref="K4001"/>
    <hyperlink r:id="rId8603" ref="L4001"/>
    <hyperlink r:id="rId8604" ref="K4002"/>
    <hyperlink r:id="rId8605" ref="L4002"/>
    <hyperlink r:id="rId8606" ref="K4003"/>
    <hyperlink r:id="rId8607" ref="L4003"/>
    <hyperlink r:id="rId8608" ref="K4004"/>
    <hyperlink r:id="rId8609" ref="L4004"/>
    <hyperlink r:id="rId8610" ref="E4005"/>
    <hyperlink r:id="rId8611" ref="K4005"/>
    <hyperlink r:id="rId8612" ref="L4005"/>
    <hyperlink r:id="rId7149" ref="K4006"/>
    <hyperlink r:id="rId7150" ref="L4006"/>
    <hyperlink r:id="rId8613" ref="K4007"/>
    <hyperlink r:id="rId6186" ref="L4007"/>
    <hyperlink r:id="rId8614" ref="K4008"/>
    <hyperlink r:id="rId8615" ref="L4008"/>
    <hyperlink r:id="rId8616" ref="K4009"/>
    <hyperlink r:id="rId7267" ref="L4009"/>
    <hyperlink r:id="rId8617" ref="K4010"/>
    <hyperlink r:id="rId8111" ref="L4010"/>
    <hyperlink r:id="rId8618" ref="E4011"/>
    <hyperlink r:id="rId8619" ref="K4011"/>
    <hyperlink r:id="rId8620" ref="L4011"/>
    <hyperlink r:id="rId8621" ref="K4012"/>
    <hyperlink r:id="rId8622" ref="L4012"/>
    <hyperlink r:id="rId8623" ref="K4013"/>
    <hyperlink r:id="rId8624" ref="L4013"/>
    <hyperlink r:id="rId8625" ref="K4014"/>
    <hyperlink r:id="rId8626" ref="L4014"/>
    <hyperlink r:id="rId8627" ref="K4015"/>
    <hyperlink r:id="rId8138" ref="L4015"/>
    <hyperlink r:id="rId8628" ref="K4016"/>
    <hyperlink r:id="rId8629" ref="L4016"/>
    <hyperlink r:id="rId8630" ref="K4017"/>
    <hyperlink r:id="rId8631" ref="L4017"/>
    <hyperlink r:id="rId8632" ref="K4018"/>
    <hyperlink r:id="rId8633" ref="L4018"/>
    <hyperlink r:id="rId8634" ref="K4019"/>
    <hyperlink r:id="rId8635" ref="L4019"/>
    <hyperlink r:id="rId8636" ref="K4020"/>
    <hyperlink r:id="rId8637" ref="L4020"/>
    <hyperlink r:id="rId8638" ref="K4021"/>
    <hyperlink r:id="rId8639" ref="L4021"/>
    <hyperlink r:id="rId8640" ref="K4022"/>
    <hyperlink r:id="rId8641" ref="L4022"/>
    <hyperlink r:id="rId8642" ref="K4023"/>
    <hyperlink r:id="rId8643" ref="L4023"/>
    <hyperlink r:id="rId8644" ref="K4024"/>
    <hyperlink r:id="rId8645" ref="L4024"/>
    <hyperlink r:id="rId8646" ref="K4025"/>
    <hyperlink r:id="rId5417" ref="L4025"/>
    <hyperlink r:id="rId8647" ref="K4026"/>
    <hyperlink r:id="rId8132" ref="L4026"/>
    <hyperlink r:id="rId8648" ref="K4027"/>
    <hyperlink r:id="rId8649" ref="L4027"/>
    <hyperlink r:id="rId8650" ref="K4028"/>
    <hyperlink r:id="rId8651" ref="L4028"/>
    <hyperlink r:id="rId8652" ref="K4029"/>
    <hyperlink r:id="rId8607" ref="L4029"/>
    <hyperlink r:id="rId8653" ref="K4030"/>
    <hyperlink r:id="rId8654" ref="L4030"/>
    <hyperlink r:id="rId8655" ref="K4031"/>
    <hyperlink r:id="rId8656" ref="L4031"/>
    <hyperlink r:id="rId8657" ref="K4032"/>
    <hyperlink r:id="rId8658" ref="L4032"/>
    <hyperlink r:id="rId8659" ref="K4033"/>
    <hyperlink r:id="rId8660" ref="L4033"/>
    <hyperlink r:id="rId8661" ref="K4034"/>
    <hyperlink r:id="rId8662" ref="L4034"/>
    <hyperlink r:id="rId8663" ref="K4035"/>
    <hyperlink r:id="rId6142" ref="L4035"/>
    <hyperlink r:id="rId8664" ref="K4036"/>
    <hyperlink r:id="rId8665" ref="L4036"/>
    <hyperlink r:id="rId8666" ref="K4037"/>
    <hyperlink r:id="rId8667" ref="L4037"/>
    <hyperlink r:id="rId8668" ref="K4038"/>
    <hyperlink r:id="rId7280" ref="L4038"/>
    <hyperlink r:id="rId8669" ref="K4039"/>
    <hyperlink r:id="rId8670" ref="L4039"/>
    <hyperlink r:id="rId8671" ref="K4040"/>
    <hyperlink r:id="rId8672" ref="L4040"/>
    <hyperlink r:id="rId8673" ref="K4041"/>
    <hyperlink r:id="rId8171" ref="L4041"/>
    <hyperlink r:id="rId8674" ref="K4042"/>
    <hyperlink r:id="rId8675" ref="L4042"/>
    <hyperlink r:id="rId8676" ref="K4043"/>
    <hyperlink r:id="rId8148" ref="L4043"/>
    <hyperlink r:id="rId8677" ref="K4044"/>
    <hyperlink r:id="rId8678" ref="L4044"/>
    <hyperlink r:id="rId8679" ref="K4045"/>
    <hyperlink r:id="rId8680" ref="L4045"/>
    <hyperlink r:id="rId8681" ref="K4046"/>
    <hyperlink r:id="rId8682" ref="L4046"/>
    <hyperlink r:id="rId8683" ref="K4047"/>
    <hyperlink r:id="rId8684" ref="L4047"/>
    <hyperlink r:id="rId8685" ref="K4048"/>
    <hyperlink r:id="rId8432" ref="L4048"/>
    <hyperlink r:id="rId8686" ref="K4049"/>
    <hyperlink r:id="rId8687" ref="L4049"/>
    <hyperlink r:id="rId8688" ref="K4050"/>
    <hyperlink r:id="rId8689" ref="L4050"/>
    <hyperlink r:id="rId8690" ref="K4051"/>
    <hyperlink r:id="rId8691" ref="L4051"/>
    <hyperlink r:id="rId8692" ref="K4052"/>
    <hyperlink r:id="rId8048" ref="L4052"/>
    <hyperlink r:id="rId8693" ref="K4053"/>
    <hyperlink r:id="rId8694" ref="L4053"/>
    <hyperlink r:id="rId8695" ref="K4054"/>
    <hyperlink r:id="rId8696" ref="L4054"/>
    <hyperlink r:id="rId8697" ref="K4055"/>
    <hyperlink r:id="rId8698" ref="L4055"/>
    <hyperlink r:id="rId8699" ref="K4056"/>
    <hyperlink r:id="rId8700" ref="L4056"/>
    <hyperlink r:id="rId8701" ref="K4057"/>
    <hyperlink r:id="rId8702" ref="L4057"/>
    <hyperlink r:id="rId8703" ref="K4058"/>
    <hyperlink r:id="rId8704" ref="L4058"/>
    <hyperlink r:id="rId8705" ref="K4059"/>
    <hyperlink r:id="rId8706" ref="L4059"/>
    <hyperlink r:id="rId8707" ref="K4060"/>
    <hyperlink r:id="rId8708" ref="L4060"/>
    <hyperlink r:id="rId8709" ref="K4061"/>
    <hyperlink r:id="rId6243" ref="L4061"/>
    <hyperlink r:id="rId8710" ref="K4062"/>
    <hyperlink r:id="rId8711" ref="L4062"/>
    <hyperlink r:id="rId8712" ref="K4063"/>
    <hyperlink r:id="rId8713" ref="L4063"/>
    <hyperlink r:id="rId8714" ref="K4064"/>
    <hyperlink r:id="rId8715" ref="L4064"/>
    <hyperlink r:id="rId8716" ref="K4065"/>
    <hyperlink r:id="rId8717" ref="L4065"/>
    <hyperlink r:id="rId8718" ref="K4066"/>
    <hyperlink r:id="rId8719" ref="L4066"/>
    <hyperlink r:id="rId8720" ref="K4067"/>
    <hyperlink r:id="rId8721" ref="L4067"/>
    <hyperlink r:id="rId8722" ref="K4068"/>
    <hyperlink r:id="rId8723" ref="L4068"/>
    <hyperlink r:id="rId8724" ref="K4069"/>
    <hyperlink r:id="rId5827" ref="L4069"/>
    <hyperlink r:id="rId8725" ref="K4070"/>
    <hyperlink r:id="rId6202" ref="L4070"/>
    <hyperlink r:id="rId8726" ref="K4071"/>
    <hyperlink r:id="rId8727" ref="L4071"/>
    <hyperlink r:id="rId8728" ref="K4072"/>
    <hyperlink r:id="rId8729" ref="L4072"/>
    <hyperlink r:id="rId8730" ref="K4073"/>
    <hyperlink r:id="rId8731" ref="L4073"/>
    <hyperlink r:id="rId8732" ref="K4074"/>
    <hyperlink r:id="rId8541" ref="L4074"/>
    <hyperlink r:id="rId8733" ref="K4075"/>
    <hyperlink r:id="rId8734" ref="L4075"/>
    <hyperlink r:id="rId8735" ref="K4076"/>
    <hyperlink r:id="rId8736" ref="L4076"/>
    <hyperlink r:id="rId8737" ref="K4077"/>
    <hyperlink r:id="rId8363" ref="L4077"/>
    <hyperlink r:id="rId8738" ref="K4078"/>
    <hyperlink r:id="rId8739" ref="L4078"/>
    <hyperlink r:id="rId8740" ref="K4079"/>
    <hyperlink r:id="rId6523" ref="L4079"/>
    <hyperlink r:id="rId8741" ref="K4080"/>
    <hyperlink r:id="rId7388" ref="L4080"/>
    <hyperlink r:id="rId8742" ref="K4081"/>
    <hyperlink r:id="rId8743" ref="L4081"/>
    <hyperlink r:id="rId8744" ref="K4082"/>
    <hyperlink r:id="rId8745" ref="L4082"/>
    <hyperlink r:id="rId8746" ref="K4083"/>
    <hyperlink r:id="rId6278" ref="L4083"/>
    <hyperlink r:id="rId8747" ref="K4084"/>
    <hyperlink r:id="rId8748" ref="L4084"/>
    <hyperlink r:id="rId8749" ref="K4085"/>
    <hyperlink r:id="rId8750" ref="L4085"/>
    <hyperlink r:id="rId8751" ref="K4086"/>
    <hyperlink r:id="rId8752" ref="L4086"/>
    <hyperlink r:id="rId8753" ref="K4087"/>
    <hyperlink r:id="rId8754" ref="L4087"/>
    <hyperlink r:id="rId8755" ref="K4088"/>
    <hyperlink r:id="rId7609" ref="L4088"/>
    <hyperlink r:id="rId8756" ref="K4089"/>
    <hyperlink r:id="rId8757" ref="L4089"/>
    <hyperlink r:id="rId8758" ref="K4090"/>
    <hyperlink r:id="rId8759" ref="L4090"/>
    <hyperlink r:id="rId8760" ref="K4091"/>
    <hyperlink r:id="rId7824" ref="L4091"/>
    <hyperlink r:id="rId8761" ref="K4092"/>
    <hyperlink r:id="rId6966" ref="L4092"/>
    <hyperlink r:id="rId8762" ref="K4093"/>
    <hyperlink r:id="rId8763" ref="L4093"/>
    <hyperlink r:id="rId8764" ref="K4094"/>
    <hyperlink r:id="rId6620" ref="L4094"/>
    <hyperlink r:id="rId8765" ref="K4095"/>
    <hyperlink r:id="rId8766" ref="L4095"/>
    <hyperlink r:id="rId8767" ref="K4096"/>
    <hyperlink r:id="rId8768" ref="L4096"/>
    <hyperlink r:id="rId8769" ref="K4097"/>
    <hyperlink r:id="rId8770" ref="L4097"/>
    <hyperlink r:id="rId8771" ref="K4098"/>
    <hyperlink r:id="rId6029" ref="L4098"/>
    <hyperlink r:id="rId8772" ref="K4099"/>
    <hyperlink r:id="rId8773" ref="L4099"/>
    <hyperlink r:id="rId8774" ref="K4100"/>
    <hyperlink r:id="rId8775" ref="L4100"/>
    <hyperlink r:id="rId8776" ref="K4101"/>
    <hyperlink r:id="rId8777" ref="L4101"/>
    <hyperlink r:id="rId8778" ref="K4102"/>
    <hyperlink r:id="rId8779" ref="L4102"/>
    <hyperlink r:id="rId8780" ref="K4103"/>
    <hyperlink r:id="rId8781" ref="L4103"/>
    <hyperlink r:id="rId8782" ref="K4104"/>
    <hyperlink r:id="rId8783" ref="L4104"/>
    <hyperlink r:id="rId8784" ref="K4105"/>
    <hyperlink r:id="rId8785" ref="L4105"/>
    <hyperlink r:id="rId8786" ref="K4106"/>
    <hyperlink r:id="rId7854" ref="L4106"/>
    <hyperlink r:id="rId8787" ref="K4107"/>
    <hyperlink r:id="rId8274" ref="L4107"/>
    <hyperlink r:id="rId8788" ref="K4108"/>
    <hyperlink r:id="rId8789" ref="L4108"/>
    <hyperlink r:id="rId8790" ref="K4109"/>
    <hyperlink r:id="rId6620" ref="L4109"/>
    <hyperlink r:id="rId8791" ref="K4110"/>
    <hyperlink r:id="rId8792" ref="L4110"/>
    <hyperlink r:id="rId8793" ref="K4111"/>
    <hyperlink r:id="rId8794" ref="L4111"/>
    <hyperlink r:id="rId8795" ref="K4112"/>
    <hyperlink r:id="rId8796" ref="L4112"/>
    <hyperlink r:id="rId8797" ref="K4113"/>
    <hyperlink r:id="rId8798" ref="L4113"/>
    <hyperlink r:id="rId8799" ref="K4114"/>
    <hyperlink r:id="rId8800" ref="L4114"/>
    <hyperlink r:id="rId8801" ref="K4115"/>
    <hyperlink r:id="rId8802" ref="L4115"/>
    <hyperlink r:id="rId8803" ref="E4116"/>
    <hyperlink r:id="rId8804" ref="K4116"/>
    <hyperlink r:id="rId8805" ref="L4116"/>
    <hyperlink r:id="rId8806" ref="E4117"/>
    <hyperlink r:id="rId8807" ref="K4117"/>
    <hyperlink r:id="rId8808" ref="L4117"/>
    <hyperlink r:id="rId8809" ref="K4118"/>
    <hyperlink r:id="rId8810" ref="L4118"/>
    <hyperlink r:id="rId8811" ref="K4119"/>
    <hyperlink r:id="rId8812" ref="L4119"/>
    <hyperlink r:id="rId8813" ref="K4120"/>
    <hyperlink r:id="rId7383" ref="L4120"/>
    <hyperlink r:id="rId8814" ref="K4121"/>
    <hyperlink r:id="rId5490" ref="L4121"/>
    <hyperlink r:id="rId8815" ref="K4122"/>
    <hyperlink r:id="rId8816" ref="L4122"/>
    <hyperlink r:id="rId8817" ref="K4123"/>
    <hyperlink r:id="rId8818" ref="L4123"/>
    <hyperlink r:id="rId8819" ref="K4124"/>
    <hyperlink r:id="rId8820" ref="L4124"/>
    <hyperlink r:id="rId8821" ref="K4125"/>
    <hyperlink r:id="rId8822" ref="L4125"/>
    <hyperlink r:id="rId8823" ref="K4126"/>
    <hyperlink r:id="rId8824" ref="L4126"/>
    <hyperlink r:id="rId8825" ref="K4127"/>
    <hyperlink r:id="rId8826" ref="L4127"/>
    <hyperlink r:id="rId8827" ref="K4128"/>
    <hyperlink r:id="rId8828" ref="L4128"/>
    <hyperlink r:id="rId8829" ref="K4129"/>
    <hyperlink r:id="rId8830" ref="L4129"/>
    <hyperlink r:id="rId8831" ref="K4130"/>
    <hyperlink r:id="rId8832" ref="L4130"/>
    <hyperlink r:id="rId8833" ref="K4131"/>
    <hyperlink r:id="rId5524" ref="L4131"/>
    <hyperlink r:id="rId8834" ref="K4132"/>
    <hyperlink r:id="rId8835" ref="L4132"/>
    <hyperlink r:id="rId8836" ref="K4133"/>
    <hyperlink r:id="rId8837" ref="L4133"/>
    <hyperlink r:id="rId8838" ref="K4134"/>
    <hyperlink r:id="rId8839" ref="L4134"/>
    <hyperlink r:id="rId8840" ref="K4135"/>
    <hyperlink r:id="rId8841" ref="L4135"/>
    <hyperlink r:id="rId8842" ref="K4136"/>
    <hyperlink r:id="rId8843" ref="L4136"/>
    <hyperlink r:id="rId8844" ref="K4137"/>
    <hyperlink r:id="rId8845" ref="L4137"/>
    <hyperlink r:id="rId8846" ref="K4138"/>
    <hyperlink r:id="rId8847" ref="L4138"/>
    <hyperlink r:id="rId8848" ref="K4139"/>
    <hyperlink r:id="rId8849" ref="L4139"/>
    <hyperlink r:id="rId8850" ref="K4140"/>
    <hyperlink r:id="rId8851" ref="L4140"/>
    <hyperlink r:id="rId8852" ref="K4141"/>
    <hyperlink r:id="rId8853" ref="L4141"/>
    <hyperlink r:id="rId8854" ref="K4142"/>
    <hyperlink r:id="rId8855" ref="L4142"/>
    <hyperlink r:id="rId8856" ref="K4143"/>
    <hyperlink r:id="rId8857" ref="L4143"/>
    <hyperlink r:id="rId8858" ref="K4144"/>
    <hyperlink r:id="rId8859" ref="L4144"/>
    <hyperlink r:id="rId8860" ref="K4145"/>
    <hyperlink r:id="rId8861" ref="L4145"/>
    <hyperlink r:id="rId8862" ref="K4146"/>
    <hyperlink r:id="rId8863" ref="L4146"/>
    <hyperlink r:id="rId8864" ref="K4147"/>
    <hyperlink r:id="rId8221" ref="L4147"/>
    <hyperlink r:id="rId8865" ref="K4148"/>
    <hyperlink r:id="rId8866" ref="L4148"/>
    <hyperlink r:id="rId8867" ref="K4149"/>
    <hyperlink r:id="rId8868" ref="L4149"/>
    <hyperlink r:id="rId8869" ref="K4150"/>
    <hyperlink r:id="rId6681" ref="L4150"/>
    <hyperlink r:id="rId8870" ref="K4151"/>
    <hyperlink r:id="rId8871" ref="L4151"/>
    <hyperlink r:id="rId8872" ref="K4152"/>
    <hyperlink r:id="rId7490" ref="L4152"/>
    <hyperlink r:id="rId8873" ref="E4153"/>
    <hyperlink r:id="rId8874" ref="K4153"/>
    <hyperlink r:id="rId8875" ref="L4153"/>
    <hyperlink r:id="rId8876" ref="K4154"/>
    <hyperlink r:id="rId8877" ref="L4154"/>
    <hyperlink r:id="rId8878" ref="K4155"/>
    <hyperlink r:id="rId8879" ref="L4155"/>
    <hyperlink r:id="rId8880" ref="K4156"/>
    <hyperlink r:id="rId8881" ref="L4156"/>
    <hyperlink r:id="rId8882" ref="K4157"/>
    <hyperlink r:id="rId8883" ref="L4157"/>
    <hyperlink r:id="rId8884" ref="K4158"/>
    <hyperlink r:id="rId8885" ref="L4158"/>
    <hyperlink r:id="rId8886" ref="K4159"/>
    <hyperlink r:id="rId8887" ref="L4159"/>
    <hyperlink r:id="rId8888" ref="K4160"/>
    <hyperlink r:id="rId8889" ref="L4160"/>
    <hyperlink r:id="rId8890" ref="K4161"/>
    <hyperlink r:id="rId8891" ref="L4161"/>
    <hyperlink r:id="rId8892" ref="K4162"/>
    <hyperlink r:id="rId8893" ref="L4162"/>
    <hyperlink r:id="rId8806" ref="E4163"/>
    <hyperlink r:id="rId8894" ref="K4163"/>
    <hyperlink r:id="rId8808" ref="L4163"/>
    <hyperlink r:id="rId8895" ref="K4164"/>
    <hyperlink r:id="rId8849" ref="L4164"/>
    <hyperlink r:id="rId8896" ref="K4165"/>
    <hyperlink r:id="rId5490" ref="L4165"/>
    <hyperlink r:id="rId8897" ref="K4166"/>
    <hyperlink r:id="rId8898" ref="L4166"/>
    <hyperlink r:id="rId8899" ref="E4167"/>
    <hyperlink r:id="rId8900" ref="K4167"/>
    <hyperlink r:id="rId8901" ref="L4167"/>
    <hyperlink r:id="rId8902" ref="K4168"/>
    <hyperlink r:id="rId8903" ref="L4168"/>
    <hyperlink r:id="rId8904" ref="K4169"/>
    <hyperlink r:id="rId8905" ref="L4169"/>
    <hyperlink r:id="rId8906" ref="K4170"/>
    <hyperlink r:id="rId8907" ref="L4170"/>
    <hyperlink r:id="rId8908" ref="K4171"/>
    <hyperlink r:id="rId6670" ref="L4171"/>
    <hyperlink r:id="rId8909" ref="K4172"/>
    <hyperlink r:id="rId8866" ref="L4172"/>
    <hyperlink r:id="rId8910" ref="K4173"/>
    <hyperlink r:id="rId8911" ref="L4173"/>
    <hyperlink r:id="rId8912" ref="K4174"/>
    <hyperlink r:id="rId8913" ref="L4174"/>
    <hyperlink r:id="rId8914" ref="K4175"/>
    <hyperlink r:id="rId8915" ref="L4175"/>
    <hyperlink r:id="rId8916" ref="K4176"/>
    <hyperlink r:id="rId8917" ref="L4176"/>
    <hyperlink r:id="rId8918" ref="K4177"/>
    <hyperlink r:id="rId8919" ref="L4177"/>
    <hyperlink r:id="rId8920" ref="K4178"/>
    <hyperlink r:id="rId8921" ref="L4178"/>
    <hyperlink r:id="rId8873" ref="E4179"/>
    <hyperlink r:id="rId8922" ref="K4179"/>
    <hyperlink r:id="rId8875" ref="L4179"/>
    <hyperlink r:id="rId8923" ref="K4180"/>
    <hyperlink r:id="rId8586" ref="L4180"/>
    <hyperlink r:id="rId8924" ref="K4181"/>
    <hyperlink r:id="rId8925" ref="L4181"/>
    <hyperlink r:id="rId8926" ref="K4182"/>
    <hyperlink r:id="rId6537" ref="L4182"/>
    <hyperlink r:id="rId8927" ref="K4183"/>
    <hyperlink r:id="rId8928" ref="L4183"/>
    <hyperlink r:id="rId8929" ref="K4184"/>
    <hyperlink r:id="rId8930" ref="L4184"/>
    <hyperlink r:id="rId8931" ref="K4185"/>
    <hyperlink r:id="rId8932" ref="L4185"/>
    <hyperlink r:id="rId8933" ref="K4186"/>
    <hyperlink r:id="rId8934" ref="L4186"/>
    <hyperlink r:id="rId8935" ref="K4187"/>
    <hyperlink r:id="rId6142" ref="L4187"/>
    <hyperlink r:id="rId8936" ref="K4188"/>
    <hyperlink r:id="rId8937" ref="L4188"/>
    <hyperlink r:id="rId8938" ref="K4189"/>
    <hyperlink r:id="rId8939" ref="L4189"/>
    <hyperlink r:id="rId8940" ref="K4190"/>
    <hyperlink r:id="rId8941" ref="L4190"/>
    <hyperlink r:id="rId8942" ref="K4191"/>
    <hyperlink r:id="rId8943" ref="L4191"/>
    <hyperlink r:id="rId8944" ref="K4192"/>
    <hyperlink r:id="rId7577" ref="L4192"/>
    <hyperlink r:id="rId8945" ref="K4193"/>
    <hyperlink r:id="rId8946" ref="L4193"/>
    <hyperlink r:id="rId8947" ref="K4194"/>
    <hyperlink r:id="rId6054" ref="L4194"/>
    <hyperlink r:id="rId8948" ref="K4195"/>
    <hyperlink r:id="rId8949" ref="L4195"/>
    <hyperlink r:id="rId8950" ref="K4196"/>
    <hyperlink r:id="rId8951" ref="L4196"/>
    <hyperlink r:id="rId5451" ref="K4197"/>
    <hyperlink r:id="rId5452" ref="L4197"/>
    <hyperlink r:id="rId8952" ref="K4198"/>
    <hyperlink r:id="rId8953" ref="L4198"/>
    <hyperlink r:id="rId8954" ref="K4199"/>
    <hyperlink r:id="rId8637" ref="L4199"/>
    <hyperlink r:id="rId8955" ref="K4200"/>
    <hyperlink r:id="rId5379" ref="L4200"/>
    <hyperlink r:id="rId8956" ref="K4201"/>
    <hyperlink r:id="rId8957" ref="L4201"/>
    <hyperlink r:id="rId8958" ref="K4202"/>
    <hyperlink r:id="rId8959" ref="L4202"/>
    <hyperlink r:id="rId8960" ref="K4203"/>
    <hyperlink r:id="rId8961" ref="L4203"/>
    <hyperlink r:id="rId8962" ref="K4204"/>
    <hyperlink r:id="rId8963" ref="L4204"/>
    <hyperlink r:id="rId8964" ref="K4205"/>
    <hyperlink r:id="rId8965" ref="L4205"/>
    <hyperlink r:id="rId8966" ref="K4206"/>
    <hyperlink r:id="rId8426" ref="L4206"/>
    <hyperlink r:id="rId8967" ref="K4207"/>
    <hyperlink r:id="rId8968" ref="L4207"/>
    <hyperlink r:id="rId8969" ref="K4208"/>
    <hyperlink r:id="rId8970" ref="L4208"/>
    <hyperlink r:id="rId8971" ref="K4209"/>
    <hyperlink r:id="rId8972" ref="L4209"/>
    <hyperlink r:id="rId8973" ref="K4210"/>
    <hyperlink r:id="rId8974" ref="L4210"/>
    <hyperlink r:id="rId8975" ref="K4211"/>
    <hyperlink r:id="rId8976" ref="L4211"/>
    <hyperlink r:id="rId8977" ref="K4212"/>
    <hyperlink r:id="rId8978" ref="L4212"/>
    <hyperlink r:id="rId8979" ref="K4213"/>
    <hyperlink r:id="rId7771" ref="L4213"/>
    <hyperlink r:id="rId8980" ref="K4214"/>
    <hyperlink r:id="rId8981" ref="L4214"/>
    <hyperlink r:id="rId8982" ref="K4215"/>
    <hyperlink r:id="rId8983" ref="L4215"/>
    <hyperlink r:id="rId8984" ref="K4216"/>
    <hyperlink r:id="rId8985" ref="L4216"/>
    <hyperlink r:id="rId8986" ref="K4217"/>
    <hyperlink r:id="rId8987" ref="L4217"/>
    <hyperlink r:id="rId8988" ref="K4218"/>
    <hyperlink r:id="rId8989" ref="L4218"/>
    <hyperlink r:id="rId8990" ref="K4219"/>
    <hyperlink r:id="rId8991" ref="L4219"/>
    <hyperlink r:id="rId8992" ref="K4220"/>
    <hyperlink r:id="rId8993" ref="L4220"/>
    <hyperlink r:id="rId8994" ref="K4221"/>
    <hyperlink r:id="rId8995" ref="L4221"/>
    <hyperlink r:id="rId8996" ref="K4222"/>
    <hyperlink r:id="rId8997" ref="L4222"/>
    <hyperlink r:id="rId8998" ref="K4223"/>
    <hyperlink r:id="rId8999" ref="L4223"/>
    <hyperlink r:id="rId9000" ref="K4224"/>
    <hyperlink r:id="rId9001" ref="L4224"/>
    <hyperlink r:id="rId9002" ref="K4225"/>
    <hyperlink r:id="rId9003" ref="L4225"/>
    <hyperlink r:id="rId9004" ref="K4226"/>
    <hyperlink r:id="rId9005" ref="L4226"/>
    <hyperlink r:id="rId9006" ref="K4227"/>
    <hyperlink r:id="rId9007" ref="L4227"/>
    <hyperlink r:id="rId9008" ref="K4228"/>
    <hyperlink r:id="rId9009" ref="L4228"/>
    <hyperlink r:id="rId9010" ref="K4229"/>
    <hyperlink r:id="rId6236" ref="L4229"/>
    <hyperlink r:id="rId9011" ref="K4230"/>
    <hyperlink r:id="rId9012" ref="L4230"/>
    <hyperlink r:id="rId9013" ref="K4231"/>
    <hyperlink r:id="rId9014" ref="L4231"/>
    <hyperlink r:id="rId9015" ref="K4232"/>
    <hyperlink r:id="rId9016" ref="L4232"/>
    <hyperlink r:id="rId9017" ref="K4233"/>
    <hyperlink r:id="rId9018" ref="L4233"/>
    <hyperlink r:id="rId9019" ref="K4234"/>
    <hyperlink r:id="rId9020" ref="L4234"/>
    <hyperlink r:id="rId9021" ref="K4235"/>
    <hyperlink r:id="rId9022" ref="L4235"/>
    <hyperlink r:id="rId9023" ref="K4236"/>
    <hyperlink r:id="rId9024" ref="L4236"/>
    <hyperlink r:id="rId9025" ref="K4237"/>
    <hyperlink r:id="rId9026" ref="L4237"/>
    <hyperlink r:id="rId9027" ref="K4238"/>
    <hyperlink r:id="rId9028" ref="L4238"/>
    <hyperlink r:id="rId9029" ref="K4239"/>
    <hyperlink r:id="rId9030" ref="L4239"/>
    <hyperlink r:id="rId9031" ref="K4240"/>
    <hyperlink r:id="rId9032" ref="L4240"/>
    <hyperlink r:id="rId9033" ref="K4241"/>
    <hyperlink r:id="rId9034" ref="L4241"/>
    <hyperlink r:id="rId9035" ref="K4242"/>
    <hyperlink r:id="rId9036" ref="L4242"/>
    <hyperlink r:id="rId9037" ref="K4243"/>
    <hyperlink r:id="rId9038" ref="L4243"/>
    <hyperlink r:id="rId9039" ref="K4244"/>
    <hyperlink r:id="rId9040" ref="L4244"/>
    <hyperlink r:id="rId9041" ref="K4245"/>
    <hyperlink r:id="rId9042" ref="L4245"/>
    <hyperlink r:id="rId9043" ref="K4246"/>
    <hyperlink r:id="rId9044" ref="L4246"/>
    <hyperlink r:id="rId9045" ref="K4247"/>
    <hyperlink r:id="rId6290" ref="L4247"/>
    <hyperlink r:id="rId9046" ref="K4248"/>
    <hyperlink r:id="rId9047" ref="L4248"/>
    <hyperlink r:id="rId9048" ref="K4249"/>
    <hyperlink r:id="rId9049" ref="L4249"/>
    <hyperlink r:id="rId9050" ref="K4250"/>
    <hyperlink r:id="rId9051" ref="L4250"/>
    <hyperlink r:id="rId9052" ref="K4251"/>
    <hyperlink r:id="rId9053" ref="L4251"/>
    <hyperlink r:id="rId9054" ref="K4252"/>
    <hyperlink r:id="rId9055" ref="L4252"/>
    <hyperlink r:id="rId9056" ref="K4253"/>
    <hyperlink r:id="rId9057" ref="L4253"/>
    <hyperlink r:id="rId9058" ref="K4254"/>
    <hyperlink r:id="rId6453" ref="L4254"/>
    <hyperlink r:id="rId9059" ref="K4255"/>
    <hyperlink r:id="rId7621" ref="L4255"/>
    <hyperlink r:id="rId9060" ref="K4256"/>
    <hyperlink r:id="rId5494" ref="L4256"/>
    <hyperlink r:id="rId9061" ref="K4257"/>
    <hyperlink r:id="rId9062" ref="L4257"/>
    <hyperlink r:id="rId9063" ref="K4258"/>
    <hyperlink r:id="rId9064" ref="L4258"/>
    <hyperlink r:id="rId9065" ref="K4259"/>
    <hyperlink r:id="rId9066" ref="L4259"/>
    <hyperlink r:id="rId9067" ref="K4260"/>
    <hyperlink r:id="rId9068" ref="L4260"/>
    <hyperlink r:id="rId9069" ref="K4261"/>
    <hyperlink r:id="rId9070" ref="L4261"/>
    <hyperlink r:id="rId9071" ref="K4262"/>
    <hyperlink r:id="rId9072" ref="L4262"/>
    <hyperlink r:id="rId9073" ref="K4263"/>
    <hyperlink r:id="rId9074" ref="L4263"/>
    <hyperlink r:id="rId9075" ref="K4264"/>
    <hyperlink r:id="rId9076" ref="L4264"/>
    <hyperlink r:id="rId9077" ref="K4265"/>
    <hyperlink r:id="rId6481" ref="L4265"/>
    <hyperlink r:id="rId9078" ref="K4266"/>
    <hyperlink r:id="rId9079" ref="L4266"/>
    <hyperlink r:id="rId9080" ref="K4267"/>
    <hyperlink r:id="rId9081" ref="L4267"/>
    <hyperlink r:id="rId9082" ref="K4268"/>
    <hyperlink r:id="rId9083" ref="L4268"/>
    <hyperlink r:id="rId9084" ref="K4269"/>
    <hyperlink r:id="rId9085" ref="L4269"/>
    <hyperlink r:id="rId9086" ref="K4270"/>
    <hyperlink r:id="rId9087" ref="L4270"/>
    <hyperlink r:id="rId9088" ref="K4271"/>
    <hyperlink r:id="rId9089" ref="L4271"/>
    <hyperlink r:id="rId9090" ref="K4272"/>
    <hyperlink r:id="rId9091" ref="L4272"/>
    <hyperlink r:id="rId9092" ref="K4273"/>
    <hyperlink r:id="rId9093" ref="L4273"/>
    <hyperlink r:id="rId9094" ref="K4274"/>
    <hyperlink r:id="rId9095" ref="L4274"/>
    <hyperlink r:id="rId9096" ref="K4275"/>
    <hyperlink r:id="rId9097" ref="L4275"/>
    <hyperlink r:id="rId9098" ref="K4276"/>
    <hyperlink r:id="rId9099" ref="L4276"/>
    <hyperlink r:id="rId9100" ref="K4277"/>
    <hyperlink r:id="rId9101" ref="L4277"/>
    <hyperlink r:id="rId9102" ref="K4278"/>
    <hyperlink r:id="rId9103" ref="L4278"/>
    <hyperlink r:id="rId9104" ref="K4279"/>
    <hyperlink r:id="rId9105" ref="L4279"/>
    <hyperlink r:id="rId9106" ref="K4280"/>
    <hyperlink r:id="rId9107" ref="L4280"/>
    <hyperlink r:id="rId9108" ref="K4281"/>
    <hyperlink r:id="rId9109" ref="L4281"/>
    <hyperlink r:id="rId9110" ref="K4282"/>
    <hyperlink r:id="rId9111" ref="L4282"/>
    <hyperlink r:id="rId9112" ref="K4283"/>
    <hyperlink r:id="rId9113" ref="L4283"/>
    <hyperlink r:id="rId9114" ref="K4284"/>
    <hyperlink r:id="rId9115" ref="L4284"/>
    <hyperlink r:id="rId9116" ref="K4285"/>
    <hyperlink r:id="rId9117" ref="L4285"/>
    <hyperlink r:id="rId9118" ref="K4286"/>
    <hyperlink r:id="rId9119" ref="L4286"/>
    <hyperlink r:id="rId9120" ref="K4287"/>
    <hyperlink r:id="rId9121" ref="L4287"/>
    <hyperlink r:id="rId9122" ref="K4288"/>
    <hyperlink r:id="rId9014" ref="L4288"/>
    <hyperlink r:id="rId9123" ref="K4289"/>
    <hyperlink r:id="rId9124" ref="L4289"/>
    <hyperlink r:id="rId9125" ref="K4290"/>
    <hyperlink r:id="rId9126" ref="L4290"/>
    <hyperlink r:id="rId9127" ref="K4291"/>
    <hyperlink r:id="rId9128" ref="L4291"/>
    <hyperlink r:id="rId9129" ref="K4292"/>
    <hyperlink r:id="rId9130" ref="L4292"/>
    <hyperlink r:id="rId9131" ref="K4293"/>
    <hyperlink r:id="rId9132" ref="L4293"/>
    <hyperlink r:id="rId9133" ref="K4294"/>
    <hyperlink r:id="rId9134" ref="L4294"/>
    <hyperlink r:id="rId9135" ref="K4295"/>
    <hyperlink r:id="rId9136" ref="L4295"/>
    <hyperlink r:id="rId9137" ref="K4296"/>
    <hyperlink r:id="rId9138" ref="L4296"/>
    <hyperlink r:id="rId9139" ref="K4297"/>
    <hyperlink r:id="rId6322" ref="L4297"/>
    <hyperlink r:id="rId9140" ref="K4298"/>
    <hyperlink r:id="rId9141" ref="L4298"/>
    <hyperlink r:id="rId9142" ref="K4299"/>
    <hyperlink r:id="rId9143" ref="L4299"/>
    <hyperlink r:id="rId9144" ref="K4300"/>
    <hyperlink r:id="rId9145" ref="L4300"/>
    <hyperlink r:id="rId9146" ref="K4301"/>
    <hyperlink r:id="rId9147" ref="L4301"/>
    <hyperlink r:id="rId9148" ref="K4302"/>
    <hyperlink r:id="rId7154" ref="L4302"/>
    <hyperlink r:id="rId9149" ref="K4303"/>
    <hyperlink r:id="rId9150" ref="L4303"/>
    <hyperlink r:id="rId9151" ref="K4304"/>
    <hyperlink r:id="rId9152" ref="L4304"/>
    <hyperlink r:id="rId9153" ref="K4305"/>
    <hyperlink r:id="rId6850" ref="L4305"/>
    <hyperlink r:id="rId9154" ref="K4306"/>
    <hyperlink r:id="rId9155" ref="L4306"/>
    <hyperlink r:id="rId9156" ref="K4307"/>
    <hyperlink r:id="rId5532" ref="L4307"/>
    <hyperlink r:id="rId9157" ref="K4308"/>
    <hyperlink r:id="rId9158" ref="L4308"/>
    <hyperlink r:id="rId9159" ref="K4309"/>
    <hyperlink r:id="rId9160" ref="L4309"/>
    <hyperlink r:id="rId9161" ref="K4310"/>
    <hyperlink r:id="rId9162" ref="L4310"/>
    <hyperlink r:id="rId9163" ref="K4311"/>
    <hyperlink r:id="rId9164" ref="L4311"/>
    <hyperlink r:id="rId9165" ref="K4312"/>
    <hyperlink r:id="rId9166" ref="L4312"/>
    <hyperlink r:id="rId9167" ref="K4313"/>
    <hyperlink r:id="rId9168" ref="L4313"/>
    <hyperlink r:id="rId9169" ref="K4314"/>
    <hyperlink r:id="rId9170" ref="L4314"/>
    <hyperlink r:id="rId9171" ref="K4315"/>
    <hyperlink r:id="rId9172" ref="L4315"/>
    <hyperlink r:id="rId9173" ref="K4316"/>
    <hyperlink r:id="rId9174" ref="L4316"/>
    <hyperlink r:id="rId9175" ref="K4317"/>
    <hyperlink r:id="rId9176" ref="L4317"/>
    <hyperlink r:id="rId9177" ref="K4318"/>
    <hyperlink r:id="rId9178" ref="L4318"/>
    <hyperlink r:id="rId9179" ref="K4319"/>
    <hyperlink r:id="rId9180" ref="L4319"/>
    <hyperlink r:id="rId9181" ref="K4320"/>
    <hyperlink r:id="rId9182" ref="L4320"/>
    <hyperlink r:id="rId9183" ref="K4321"/>
    <hyperlink r:id="rId9184" ref="L4321"/>
    <hyperlink r:id="rId7582" ref="K4322"/>
    <hyperlink r:id="rId7583" ref="L4322"/>
    <hyperlink r:id="rId9185" ref="K4323"/>
    <hyperlink r:id="rId9186" ref="L4323"/>
    <hyperlink r:id="rId9187" ref="K4324"/>
    <hyperlink r:id="rId9188" ref="L4324"/>
    <hyperlink r:id="rId9189" ref="K4325"/>
    <hyperlink r:id="rId9190" ref="L4325"/>
    <hyperlink r:id="rId9191" ref="K4326"/>
    <hyperlink r:id="rId9192" ref="L4326"/>
    <hyperlink r:id="rId9193" ref="K4327"/>
    <hyperlink r:id="rId9194" ref="L4327"/>
    <hyperlink r:id="rId9195" ref="K4328"/>
    <hyperlink r:id="rId9196" ref="L4328"/>
    <hyperlink r:id="rId9197" ref="K4329"/>
    <hyperlink r:id="rId9198" ref="L4329"/>
    <hyperlink r:id="rId9199" ref="K4330"/>
    <hyperlink r:id="rId9200" ref="L4330"/>
    <hyperlink r:id="rId9201" ref="K4331"/>
    <hyperlink r:id="rId9202" ref="L4331"/>
    <hyperlink r:id="rId9203" ref="K4332"/>
    <hyperlink r:id="rId9204" ref="L4332"/>
    <hyperlink r:id="rId9205" ref="K4333"/>
    <hyperlink r:id="rId9206" ref="L4333"/>
    <hyperlink r:id="rId9207" ref="K4334"/>
    <hyperlink r:id="rId9208" ref="L4334"/>
    <hyperlink r:id="rId9209" ref="K4335"/>
    <hyperlink r:id="rId6154" ref="L4335"/>
    <hyperlink r:id="rId9210" ref="K4336"/>
    <hyperlink r:id="rId9211" ref="L4336"/>
    <hyperlink r:id="rId9212" ref="K4337"/>
    <hyperlink r:id="rId9213" ref="L4337"/>
    <hyperlink r:id="rId9214" ref="K4338"/>
    <hyperlink r:id="rId9215" ref="L4338"/>
    <hyperlink r:id="rId9216" ref="K4339"/>
    <hyperlink r:id="rId7530" ref="L4339"/>
    <hyperlink r:id="rId9217" ref="K4340"/>
    <hyperlink r:id="rId9218" ref="L4340"/>
    <hyperlink r:id="rId9219" ref="K4341"/>
    <hyperlink r:id="rId9220" ref="L4341"/>
    <hyperlink r:id="rId9221" ref="K4342"/>
    <hyperlink r:id="rId9222" ref="L4342"/>
    <hyperlink r:id="rId9223" ref="K4343"/>
    <hyperlink r:id="rId9224" ref="L4343"/>
    <hyperlink r:id="rId9225" ref="K4344"/>
    <hyperlink r:id="rId9226" ref="L4344"/>
    <hyperlink r:id="rId9227" ref="K4345"/>
    <hyperlink r:id="rId9228" ref="L4345"/>
    <hyperlink r:id="rId9229" ref="K4346"/>
    <hyperlink r:id="rId5534" ref="L4346"/>
    <hyperlink r:id="rId9230" ref="K4347"/>
    <hyperlink r:id="rId9231" ref="L4347"/>
    <hyperlink r:id="rId9232" ref="K4348"/>
    <hyperlink r:id="rId9068" ref="L4348"/>
    <hyperlink r:id="rId9233" ref="K4349"/>
    <hyperlink r:id="rId7451" ref="L4349"/>
    <hyperlink r:id="rId9234" ref="K4350"/>
    <hyperlink r:id="rId9235" ref="L4350"/>
    <hyperlink r:id="rId9236" ref="K4351"/>
    <hyperlink r:id="rId9237" ref="L4351"/>
    <hyperlink r:id="rId9238" ref="K4352"/>
    <hyperlink r:id="rId9239" ref="L4352"/>
    <hyperlink r:id="rId9240" ref="K4353"/>
    <hyperlink r:id="rId9241" ref="L4353"/>
    <hyperlink r:id="rId9242" ref="K4354"/>
    <hyperlink r:id="rId7192" ref="L4354"/>
    <hyperlink r:id="rId9243" ref="K4355"/>
    <hyperlink r:id="rId9244" ref="L4355"/>
    <hyperlink r:id="rId9245" ref="K4356"/>
    <hyperlink r:id="rId9246" ref="L4356"/>
    <hyperlink r:id="rId9247" ref="K4357"/>
    <hyperlink r:id="rId9248" ref="L4357"/>
    <hyperlink r:id="rId9249" ref="K4358"/>
    <hyperlink r:id="rId9250" ref="L4358"/>
    <hyperlink r:id="rId9251" ref="K4359"/>
    <hyperlink r:id="rId9252" ref="L4359"/>
    <hyperlink r:id="rId9253" ref="K4360"/>
    <hyperlink r:id="rId9254" ref="L4360"/>
    <hyperlink r:id="rId9255" ref="K4361"/>
    <hyperlink r:id="rId9256" ref="L4361"/>
    <hyperlink r:id="rId9257" ref="K4362"/>
    <hyperlink r:id="rId5395" ref="L4362"/>
    <hyperlink r:id="rId9258" ref="K4363"/>
    <hyperlink r:id="rId9259" ref="L4363"/>
    <hyperlink r:id="rId9260" ref="K4364"/>
    <hyperlink r:id="rId9261" ref="L4364"/>
    <hyperlink r:id="rId9262" ref="K4365"/>
    <hyperlink r:id="rId7284" ref="L4365"/>
    <hyperlink r:id="rId9263" ref="K4366"/>
    <hyperlink r:id="rId9264" ref="L4366"/>
    <hyperlink r:id="rId9265" ref="K4367"/>
    <hyperlink r:id="rId6081" ref="L4367"/>
    <hyperlink r:id="rId9266" ref="K4368"/>
    <hyperlink r:id="rId9267" ref="L4368"/>
    <hyperlink r:id="rId9268" ref="K4369"/>
    <hyperlink r:id="rId9072" ref="L4369"/>
    <hyperlink r:id="rId9269" ref="K4370"/>
    <hyperlink r:id="rId8995" ref="L4370"/>
    <hyperlink r:id="rId9270" ref="K4371"/>
    <hyperlink r:id="rId9271" ref="L4371"/>
    <hyperlink r:id="rId9272" ref="K4372"/>
    <hyperlink r:id="rId6215" ref="L4372"/>
    <hyperlink r:id="rId9273" ref="K4373"/>
    <hyperlink r:id="rId9274" ref="L4373"/>
    <hyperlink r:id="rId9275" ref="K4374"/>
    <hyperlink r:id="rId9147" ref="L4374"/>
    <hyperlink r:id="rId9276" ref="K4375"/>
    <hyperlink r:id="rId9277" ref="L4375"/>
    <hyperlink r:id="rId9278" ref="K4376"/>
    <hyperlink r:id="rId9279" ref="L4376"/>
    <hyperlink r:id="rId9280" ref="K4377"/>
    <hyperlink r:id="rId9281" ref="L4377"/>
    <hyperlink r:id="rId9282" ref="K4378"/>
    <hyperlink r:id="rId9283" ref="L4378"/>
    <hyperlink r:id="rId9284" ref="K4379"/>
    <hyperlink r:id="rId9285" ref="L4379"/>
    <hyperlink r:id="rId9286" ref="K4380"/>
    <hyperlink r:id="rId9287" ref="L4380"/>
    <hyperlink r:id="rId9288" ref="K4381"/>
    <hyperlink r:id="rId9289" ref="L4381"/>
    <hyperlink r:id="rId9290" ref="K4382"/>
    <hyperlink r:id="rId5847" ref="L4382"/>
    <hyperlink r:id="rId9291" ref="K4383"/>
    <hyperlink r:id="rId9292" ref="L4383"/>
    <hyperlink r:id="rId9293" ref="K4384"/>
    <hyperlink r:id="rId9294" ref="L4384"/>
    <hyperlink r:id="rId9295" ref="K4385"/>
    <hyperlink r:id="rId9296" ref="L4385"/>
    <hyperlink r:id="rId9297" ref="K4386"/>
    <hyperlink r:id="rId9298" ref="L4386"/>
    <hyperlink r:id="rId9299" ref="K4387"/>
    <hyperlink r:id="rId9300" ref="L4387"/>
    <hyperlink r:id="rId9301" ref="K4388"/>
    <hyperlink r:id="rId9302" ref="L4388"/>
    <hyperlink r:id="rId9303" ref="K4389"/>
    <hyperlink r:id="rId9304" ref="L4389"/>
    <hyperlink r:id="rId9305" ref="K4390"/>
    <hyperlink r:id="rId9306" ref="L4390"/>
    <hyperlink r:id="rId9307" ref="K4391"/>
    <hyperlink r:id="rId9308" ref="L4391"/>
    <hyperlink r:id="rId9309" ref="K4392"/>
    <hyperlink r:id="rId9310" ref="L4392"/>
    <hyperlink r:id="rId9311" ref="K4393"/>
    <hyperlink r:id="rId7759" ref="L4393"/>
    <hyperlink r:id="rId9312" ref="K4394"/>
    <hyperlink r:id="rId9313" ref="L4394"/>
    <hyperlink r:id="rId9314" ref="K4395"/>
    <hyperlink r:id="rId9315" ref="L4395"/>
    <hyperlink r:id="rId9316" ref="K4396"/>
    <hyperlink r:id="rId9317" ref="L4396"/>
    <hyperlink r:id="rId9318" ref="K4397"/>
    <hyperlink r:id="rId9319" ref="L4397"/>
    <hyperlink r:id="rId9320" ref="K4398"/>
    <hyperlink r:id="rId9321" ref="L4398"/>
    <hyperlink r:id="rId9322" ref="K4399"/>
    <hyperlink r:id="rId9323" ref="L4399"/>
    <hyperlink r:id="rId9324" ref="K4400"/>
    <hyperlink r:id="rId9325" ref="L4400"/>
    <hyperlink r:id="rId9326" ref="K4401"/>
    <hyperlink r:id="rId9327" ref="L4401"/>
    <hyperlink r:id="rId9328" ref="K4402"/>
    <hyperlink r:id="rId9329" ref="L4402"/>
    <hyperlink r:id="rId9330" ref="K4403"/>
    <hyperlink r:id="rId9331" ref="L4403"/>
    <hyperlink r:id="rId9332" ref="K4404"/>
    <hyperlink r:id="rId9333" ref="L4404"/>
    <hyperlink r:id="rId9334" ref="K4405"/>
    <hyperlink r:id="rId9335" ref="L4405"/>
    <hyperlink r:id="rId9336" ref="K4406"/>
    <hyperlink r:id="rId9337" ref="L4406"/>
    <hyperlink r:id="rId6792" ref="K4407"/>
    <hyperlink r:id="rId6793" ref="L4407"/>
    <hyperlink r:id="rId9338" ref="K4408"/>
    <hyperlink r:id="rId9339" ref="L4408"/>
    <hyperlink r:id="rId9340" ref="K4409"/>
    <hyperlink r:id="rId9341" ref="L4409"/>
    <hyperlink r:id="rId9342" ref="K4410"/>
    <hyperlink r:id="rId9343" ref="L4410"/>
    <hyperlink r:id="rId9344" ref="K4411"/>
    <hyperlink r:id="rId9345" ref="L4411"/>
    <hyperlink r:id="rId9346" ref="K4412"/>
    <hyperlink r:id="rId9347" ref="L4412"/>
    <hyperlink r:id="rId9348" ref="K4413"/>
    <hyperlink r:id="rId9349" ref="L4413"/>
    <hyperlink r:id="rId9350" ref="K4414"/>
    <hyperlink r:id="rId9351" ref="L4414"/>
    <hyperlink r:id="rId9352" ref="K4415"/>
    <hyperlink r:id="rId9353" ref="L4415"/>
    <hyperlink r:id="rId9354" ref="K4416"/>
    <hyperlink r:id="rId9355" ref="L4416"/>
    <hyperlink r:id="rId9356" ref="K4417"/>
    <hyperlink r:id="rId9357" ref="L4417"/>
    <hyperlink r:id="rId9358" ref="K4418"/>
    <hyperlink r:id="rId9359" ref="L4418"/>
    <hyperlink r:id="rId9360" ref="K4419"/>
    <hyperlink r:id="rId9361" ref="L4419"/>
    <hyperlink r:id="rId9362" ref="K4420"/>
    <hyperlink r:id="rId9363" ref="L4420"/>
    <hyperlink r:id="rId9364" ref="K4421"/>
    <hyperlink r:id="rId6331" ref="L4421"/>
    <hyperlink r:id="rId9365" ref="K4422"/>
    <hyperlink r:id="rId9366" ref="L4422"/>
    <hyperlink r:id="rId9367" ref="K4423"/>
    <hyperlink r:id="rId9368" ref="L4423"/>
    <hyperlink r:id="rId9369" ref="K4424"/>
    <hyperlink r:id="rId9370" ref="L4424"/>
    <hyperlink r:id="rId9371" ref="K4425"/>
    <hyperlink r:id="rId9372" ref="L4425"/>
    <hyperlink r:id="rId9373" ref="K4426"/>
    <hyperlink r:id="rId9374" ref="L4426"/>
    <hyperlink r:id="rId9375" ref="K4427"/>
    <hyperlink r:id="rId9376" ref="L4427"/>
    <hyperlink r:id="rId9377" ref="K4428"/>
    <hyperlink r:id="rId9378" ref="L4428"/>
    <hyperlink r:id="rId9379" ref="K4429"/>
    <hyperlink r:id="rId9380" ref="L4429"/>
    <hyperlink r:id="rId9381" ref="K4430"/>
    <hyperlink r:id="rId9382" ref="L4430"/>
    <hyperlink r:id="rId9383" ref="K4431"/>
    <hyperlink r:id="rId9384" ref="L4431"/>
    <hyperlink r:id="rId9385" ref="K4432"/>
    <hyperlink r:id="rId9386" ref="L4432"/>
    <hyperlink r:id="rId9387" ref="K4433"/>
    <hyperlink r:id="rId9388" ref="L4433"/>
    <hyperlink r:id="rId9389" ref="K4434"/>
    <hyperlink r:id="rId9390" ref="L4434"/>
    <hyperlink r:id="rId9391" ref="K4435"/>
    <hyperlink r:id="rId9392" ref="L4435"/>
    <hyperlink r:id="rId9393" ref="K4436"/>
    <hyperlink r:id="rId7791" ref="L4436"/>
    <hyperlink r:id="rId9394" ref="K4437"/>
    <hyperlink r:id="rId9395" ref="L4437"/>
    <hyperlink r:id="rId9396" ref="K4438"/>
    <hyperlink r:id="rId7656" ref="L4438"/>
    <hyperlink r:id="rId9397" ref="K4439"/>
    <hyperlink r:id="rId9398" ref="L4439"/>
    <hyperlink r:id="rId9399" ref="K4440"/>
    <hyperlink r:id="rId9400" ref="L4440"/>
    <hyperlink r:id="rId9401" ref="K4441"/>
    <hyperlink r:id="rId9402" ref="L4441"/>
    <hyperlink r:id="rId9403" ref="K4442"/>
    <hyperlink r:id="rId9404" ref="L4442"/>
    <hyperlink r:id="rId9405" ref="K4443"/>
    <hyperlink r:id="rId9406" ref="L4443"/>
    <hyperlink r:id="rId9407" ref="K4444"/>
    <hyperlink r:id="rId9408" ref="L4444"/>
    <hyperlink r:id="rId9409" ref="K4445"/>
    <hyperlink r:id="rId9410" ref="L4445"/>
    <hyperlink r:id="rId9411" ref="K4446"/>
    <hyperlink r:id="rId9412" ref="L4446"/>
    <hyperlink r:id="rId9413" ref="K4447"/>
    <hyperlink r:id="rId9414" ref="L4447"/>
    <hyperlink r:id="rId9415" ref="K4448"/>
    <hyperlink r:id="rId9416" ref="L4448"/>
    <hyperlink r:id="rId9417" ref="K4449"/>
    <hyperlink r:id="rId9418" ref="L4449"/>
    <hyperlink r:id="rId9419" ref="K4450"/>
    <hyperlink r:id="rId9420" ref="L4450"/>
    <hyperlink r:id="rId9421" ref="K4451"/>
    <hyperlink r:id="rId9422" ref="L4451"/>
    <hyperlink r:id="rId9423" ref="K4452"/>
    <hyperlink r:id="rId9424" ref="L4452"/>
    <hyperlink r:id="rId9425" ref="E4453"/>
    <hyperlink r:id="rId9426" ref="K4453"/>
    <hyperlink r:id="rId9427" ref="L4453"/>
    <hyperlink r:id="rId9428" ref="K4454"/>
    <hyperlink r:id="rId9429" ref="L4454"/>
    <hyperlink r:id="rId9430" ref="K4455"/>
    <hyperlink r:id="rId9431" ref="L4455"/>
    <hyperlink r:id="rId9432" ref="K4456"/>
    <hyperlink r:id="rId9433" ref="L4456"/>
    <hyperlink r:id="rId9434" ref="K4457"/>
    <hyperlink r:id="rId9435" ref="L4457"/>
    <hyperlink r:id="rId9436" ref="K4458"/>
    <hyperlink r:id="rId9437" ref="L4458"/>
    <hyperlink r:id="rId9438" ref="K4459"/>
    <hyperlink r:id="rId9439" ref="L4459"/>
    <hyperlink r:id="rId9440" ref="K4460"/>
    <hyperlink r:id="rId9441" ref="L4460"/>
    <hyperlink r:id="rId9442" ref="K4461"/>
    <hyperlink r:id="rId9443" ref="L4461"/>
    <hyperlink r:id="rId9444" ref="K4462"/>
    <hyperlink r:id="rId9445" ref="L4462"/>
    <hyperlink r:id="rId9446" ref="K4463"/>
    <hyperlink r:id="rId9447" ref="L4463"/>
    <hyperlink r:id="rId9448" ref="K4464"/>
    <hyperlink r:id="rId9449" ref="L4464"/>
    <hyperlink r:id="rId9450" ref="K4465"/>
    <hyperlink r:id="rId9451" ref="L4465"/>
    <hyperlink r:id="rId9452" ref="K4466"/>
    <hyperlink r:id="rId9453" ref="L4466"/>
    <hyperlink r:id="rId9454" ref="K4467"/>
    <hyperlink r:id="rId9455" ref="L4467"/>
    <hyperlink r:id="rId9456" ref="K4468"/>
    <hyperlink r:id="rId9457" ref="L4468"/>
    <hyperlink r:id="rId9458" ref="K4469"/>
    <hyperlink r:id="rId9459" ref="L4469"/>
    <hyperlink r:id="rId9460" ref="K4470"/>
    <hyperlink r:id="rId9461" ref="L4470"/>
    <hyperlink r:id="rId9462" ref="K4471"/>
    <hyperlink r:id="rId9463" ref="L4471"/>
    <hyperlink r:id="rId9464" ref="K4472"/>
    <hyperlink r:id="rId9465" ref="L4472"/>
    <hyperlink r:id="rId9466" ref="K4473"/>
    <hyperlink r:id="rId9467" ref="L4473"/>
    <hyperlink r:id="rId9468" ref="K4474"/>
    <hyperlink r:id="rId9469" ref="L4474"/>
    <hyperlink r:id="rId9470" ref="K4475"/>
    <hyperlink r:id="rId9471" ref="L4475"/>
    <hyperlink r:id="rId9472" ref="K4476"/>
    <hyperlink r:id="rId9473" ref="L4476"/>
    <hyperlink r:id="rId9474" ref="K4477"/>
    <hyperlink r:id="rId9475" ref="L4477"/>
    <hyperlink r:id="rId9476" ref="K4478"/>
    <hyperlink r:id="rId9477" ref="L4478"/>
    <hyperlink r:id="rId9478" ref="K4479"/>
    <hyperlink r:id="rId9479" ref="L4479"/>
    <hyperlink r:id="rId9480" ref="K4480"/>
    <hyperlink r:id="rId9481" ref="L4480"/>
    <hyperlink r:id="rId9482" ref="K4481"/>
    <hyperlink r:id="rId9483" ref="L4481"/>
    <hyperlink r:id="rId9484" ref="K4482"/>
    <hyperlink r:id="rId9485" ref="L4482"/>
    <hyperlink r:id="rId9486" ref="K4483"/>
    <hyperlink r:id="rId9487" ref="L4483"/>
    <hyperlink r:id="rId9488" ref="K4484"/>
    <hyperlink r:id="rId9489" ref="L4484"/>
    <hyperlink r:id="rId9490" ref="K4485"/>
    <hyperlink r:id="rId9491" ref="L4485"/>
    <hyperlink r:id="rId9492" ref="K4486"/>
    <hyperlink r:id="rId9493" ref="L4486"/>
    <hyperlink r:id="rId9494" ref="K4487"/>
    <hyperlink r:id="rId9495" ref="L4487"/>
    <hyperlink r:id="rId9496" ref="K4488"/>
    <hyperlink r:id="rId9497" ref="L4488"/>
    <hyperlink r:id="rId9498" ref="K4489"/>
    <hyperlink r:id="rId9499" ref="L4489"/>
    <hyperlink r:id="rId9500" ref="K4490"/>
    <hyperlink r:id="rId9501" ref="L4490"/>
    <hyperlink r:id="rId9502" ref="K4491"/>
    <hyperlink r:id="rId7405" ref="L4491"/>
    <hyperlink r:id="rId9503" ref="K4492"/>
    <hyperlink r:id="rId9504" ref="L4492"/>
    <hyperlink r:id="rId9505" ref="K4493"/>
    <hyperlink r:id="rId9506" ref="L4493"/>
    <hyperlink r:id="rId9507" ref="K4494"/>
    <hyperlink r:id="rId9508" ref="L4494"/>
    <hyperlink r:id="rId9509" ref="K4495"/>
    <hyperlink r:id="rId9510" ref="L4495"/>
    <hyperlink r:id="rId9511" ref="K4496"/>
    <hyperlink r:id="rId9512" ref="L4496"/>
    <hyperlink r:id="rId9513" ref="K4497"/>
    <hyperlink r:id="rId9514" ref="L4497"/>
    <hyperlink r:id="rId9515" ref="K4498"/>
    <hyperlink r:id="rId9516" ref="L4498"/>
    <hyperlink r:id="rId9517" ref="K4499"/>
    <hyperlink r:id="rId9518" ref="L4499"/>
    <hyperlink r:id="rId9519" ref="K4500"/>
    <hyperlink r:id="rId9520" ref="L4500"/>
    <hyperlink r:id="rId9521" ref="K4501"/>
    <hyperlink r:id="rId9522" ref="L4501"/>
    <hyperlink r:id="rId9523" ref="K4502"/>
    <hyperlink r:id="rId9524" ref="L4502"/>
    <hyperlink r:id="rId9525" ref="K4503"/>
    <hyperlink r:id="rId9526" ref="L4503"/>
    <hyperlink r:id="rId9527" ref="K4504"/>
    <hyperlink r:id="rId9528" ref="L4504"/>
    <hyperlink r:id="rId9529" ref="K4505"/>
    <hyperlink r:id="rId9530" ref="L4505"/>
    <hyperlink r:id="rId9531" ref="K4506"/>
    <hyperlink r:id="rId9532" ref="L4506"/>
    <hyperlink r:id="rId9533" ref="K4507"/>
    <hyperlink r:id="rId9534" ref="L4507"/>
    <hyperlink r:id="rId9535" ref="K4508"/>
    <hyperlink r:id="rId9536" ref="L4508"/>
    <hyperlink r:id="rId9537" ref="K4509"/>
    <hyperlink r:id="rId9538" ref="L4509"/>
    <hyperlink r:id="rId9539" ref="K4510"/>
    <hyperlink r:id="rId9540" ref="L4510"/>
    <hyperlink r:id="rId9541" ref="K4511"/>
    <hyperlink r:id="rId9542" ref="L4511"/>
    <hyperlink r:id="rId9543" ref="K4512"/>
    <hyperlink r:id="rId5488" ref="L4512"/>
    <hyperlink r:id="rId9544" ref="K4513"/>
    <hyperlink r:id="rId9545" ref="L4513"/>
    <hyperlink r:id="rId9546" ref="K4514"/>
    <hyperlink r:id="rId9510" ref="L4514"/>
    <hyperlink r:id="rId9547" ref="K4515"/>
    <hyperlink r:id="rId9548" ref="L4515"/>
    <hyperlink r:id="rId9549" ref="K4516"/>
    <hyperlink r:id="rId9550" ref="L4516"/>
    <hyperlink r:id="rId9551" ref="K4517"/>
    <hyperlink r:id="rId9552" ref="L4517"/>
    <hyperlink r:id="rId9553" ref="K4518"/>
    <hyperlink r:id="rId9554" ref="L4518"/>
    <hyperlink r:id="rId9555" ref="K4519"/>
    <hyperlink r:id="rId9556" ref="L4519"/>
    <hyperlink r:id="rId9557" ref="K4520"/>
    <hyperlink r:id="rId9558" ref="L4520"/>
    <hyperlink r:id="rId9559" ref="K4521"/>
    <hyperlink r:id="rId9560" ref="L4521"/>
    <hyperlink r:id="rId9561" ref="K4522"/>
    <hyperlink r:id="rId9562" ref="L4522"/>
    <hyperlink r:id="rId9563" ref="K4523"/>
    <hyperlink r:id="rId9564" ref="L4523"/>
    <hyperlink r:id="rId9565" ref="K4524"/>
    <hyperlink r:id="rId9566" ref="L4524"/>
    <hyperlink r:id="rId9567" ref="K4525"/>
    <hyperlink r:id="rId9568" ref="L4525"/>
    <hyperlink r:id="rId9569" ref="K4526"/>
    <hyperlink r:id="rId9570" ref="L4526"/>
    <hyperlink r:id="rId9571" ref="K4527"/>
    <hyperlink r:id="rId9572" ref="L4527"/>
    <hyperlink r:id="rId9573" ref="K4528"/>
    <hyperlink r:id="rId9574" ref="L4528"/>
    <hyperlink r:id="rId9575" ref="K4529"/>
    <hyperlink r:id="rId9576" ref="L4529"/>
    <hyperlink r:id="rId9577" ref="K4530"/>
    <hyperlink r:id="rId9578" ref="L4530"/>
    <hyperlink r:id="rId9579" ref="K4531"/>
    <hyperlink r:id="rId9580" ref="L4531"/>
    <hyperlink r:id="rId9581" ref="K4532"/>
    <hyperlink r:id="rId9582" ref="L4532"/>
    <hyperlink r:id="rId9583" ref="K4533"/>
    <hyperlink r:id="rId9584" ref="L4533"/>
    <hyperlink r:id="rId9585" ref="K4534"/>
    <hyperlink r:id="rId9586" ref="L4534"/>
    <hyperlink r:id="rId9587" ref="K4535"/>
    <hyperlink r:id="rId9588" ref="L4535"/>
    <hyperlink r:id="rId9589" ref="K4536"/>
    <hyperlink r:id="rId9590" ref="L4536"/>
    <hyperlink r:id="rId9591" ref="K4537"/>
    <hyperlink r:id="rId9592" ref="L4537"/>
    <hyperlink r:id="rId9593" ref="K4538"/>
    <hyperlink r:id="rId9594" ref="L4538"/>
    <hyperlink r:id="rId9595" ref="K4539"/>
    <hyperlink r:id="rId9596" ref="L4539"/>
    <hyperlink r:id="rId9597" ref="K4540"/>
    <hyperlink r:id="rId9598" ref="L4540"/>
    <hyperlink r:id="rId9599" ref="K4541"/>
    <hyperlink r:id="rId9600" ref="L4541"/>
    <hyperlink r:id="rId9601" ref="K4542"/>
    <hyperlink r:id="rId9602" ref="L4542"/>
    <hyperlink r:id="rId9603" ref="K4543"/>
    <hyperlink r:id="rId5486" ref="L4543"/>
    <hyperlink r:id="rId9604" ref="K4544"/>
    <hyperlink r:id="rId9605" ref="L4544"/>
    <hyperlink r:id="rId9606" ref="K4545"/>
    <hyperlink r:id="rId9607" ref="L4545"/>
    <hyperlink r:id="rId9608" ref="K4546"/>
    <hyperlink r:id="rId9609" ref="L4546"/>
    <hyperlink r:id="rId9610" ref="K4547"/>
    <hyperlink r:id="rId9611" ref="L4547"/>
    <hyperlink r:id="rId9612" ref="K4548"/>
    <hyperlink r:id="rId9613" ref="L4548"/>
    <hyperlink r:id="rId9614" ref="K4549"/>
    <hyperlink r:id="rId6933" ref="L4549"/>
    <hyperlink r:id="rId9615" ref="K4550"/>
    <hyperlink r:id="rId9616" ref="L4550"/>
    <hyperlink r:id="rId9617" ref="K4551"/>
    <hyperlink r:id="rId9618" ref="L4551"/>
    <hyperlink r:id="rId9619" ref="K4552"/>
    <hyperlink r:id="rId9620" ref="L4552"/>
    <hyperlink r:id="rId9621" ref="K4553"/>
    <hyperlink r:id="rId9622" ref="L4553"/>
    <hyperlink r:id="rId9623" ref="K4554"/>
    <hyperlink r:id="rId9624" ref="L4554"/>
    <hyperlink r:id="rId9625" ref="K4555"/>
    <hyperlink r:id="rId9626" ref="L4555"/>
    <hyperlink r:id="rId9627" ref="K4556"/>
    <hyperlink r:id="rId9628" ref="L4556"/>
    <hyperlink r:id="rId9629" ref="K4557"/>
    <hyperlink r:id="rId9630" ref="L4557"/>
    <hyperlink r:id="rId9631" ref="K4558"/>
    <hyperlink r:id="rId6823" ref="L4558"/>
    <hyperlink r:id="rId9632" ref="K4559"/>
    <hyperlink r:id="rId9633" ref="L4559"/>
    <hyperlink r:id="rId9634" ref="K4560"/>
    <hyperlink r:id="rId6823" ref="L4560"/>
    <hyperlink r:id="rId9635" ref="K4561"/>
    <hyperlink r:id="rId9636" ref="L4561"/>
    <hyperlink r:id="rId9637" ref="K4562"/>
    <hyperlink r:id="rId9638" ref="L4562"/>
    <hyperlink r:id="rId9639" ref="K4563"/>
    <hyperlink r:id="rId9640" ref="L4563"/>
    <hyperlink r:id="rId9641" ref="K4564"/>
    <hyperlink r:id="rId9642" ref="L4564"/>
    <hyperlink r:id="rId9643" ref="K4565"/>
    <hyperlink r:id="rId9644" ref="L4565"/>
    <hyperlink r:id="rId9645" ref="K4566"/>
    <hyperlink r:id="rId9646" ref="L4566"/>
    <hyperlink r:id="rId9647" ref="K4567"/>
    <hyperlink r:id="rId9648" ref="L4567"/>
    <hyperlink r:id="rId9649" ref="K4568"/>
    <hyperlink r:id="rId9650" ref="L4568"/>
    <hyperlink r:id="rId9651" ref="K4569"/>
    <hyperlink r:id="rId9652" ref="L4569"/>
    <hyperlink r:id="rId9653" ref="E4570"/>
    <hyperlink r:id="rId9654" ref="K4570"/>
    <hyperlink r:id="rId9655" ref="L4570"/>
    <hyperlink r:id="rId9656" ref="K4571"/>
    <hyperlink r:id="rId9657" ref="L4571"/>
    <hyperlink r:id="rId9658" ref="K4572"/>
    <hyperlink r:id="rId9659" ref="L4572"/>
    <hyperlink r:id="rId9660" ref="K4573"/>
    <hyperlink r:id="rId9613" ref="L4573"/>
    <hyperlink r:id="rId9661" ref="K4574"/>
    <hyperlink r:id="rId9662" ref="L4574"/>
    <hyperlink r:id="rId9663" ref="K4575"/>
    <hyperlink r:id="rId9664" ref="L4575"/>
    <hyperlink r:id="rId9665" ref="K4576"/>
    <hyperlink r:id="rId9666" ref="L4576"/>
    <hyperlink r:id="rId9667" ref="K4577"/>
    <hyperlink r:id="rId9668" ref="L4577"/>
    <hyperlink r:id="rId9669" ref="K4578"/>
    <hyperlink r:id="rId9670" ref="L4578"/>
    <hyperlink r:id="rId9671" ref="K4579"/>
    <hyperlink r:id="rId9670" ref="L4579"/>
    <hyperlink r:id="rId9672" ref="K4580"/>
    <hyperlink r:id="rId9673" ref="L4580"/>
    <hyperlink r:id="rId9674" ref="K4581"/>
    <hyperlink r:id="rId9675" ref="L4581"/>
    <hyperlink r:id="rId9676" ref="K4582"/>
    <hyperlink r:id="rId9677" ref="L4582"/>
    <hyperlink r:id="rId9678" ref="K4583"/>
    <hyperlink r:id="rId9679" ref="L4583"/>
    <hyperlink r:id="rId9680" ref="K4584"/>
    <hyperlink r:id="rId9681" ref="L4584"/>
    <hyperlink r:id="rId9682" ref="K4585"/>
    <hyperlink r:id="rId9683" ref="L4585"/>
    <hyperlink r:id="rId9684" ref="K4586"/>
    <hyperlink r:id="rId9685" ref="L4586"/>
    <hyperlink r:id="rId9686" ref="K4587"/>
    <hyperlink r:id="rId9687" ref="L4587"/>
    <hyperlink r:id="rId9688" ref="K4588"/>
    <hyperlink r:id="rId9689" ref="L4588"/>
    <hyperlink r:id="rId9690" ref="K4589"/>
    <hyperlink r:id="rId9691" ref="L4589"/>
    <hyperlink r:id="rId9692" ref="K4590"/>
    <hyperlink r:id="rId9693" ref="L4590"/>
    <hyperlink r:id="rId9694" ref="K4591"/>
    <hyperlink r:id="rId9695" ref="L4591"/>
    <hyperlink r:id="rId9696" ref="K4592"/>
    <hyperlink r:id="rId5891" ref="L4592"/>
    <hyperlink r:id="rId9697" ref="K4593"/>
    <hyperlink r:id="rId9698" ref="L4593"/>
    <hyperlink r:id="rId9699" ref="K4594"/>
    <hyperlink r:id="rId9700" ref="L4594"/>
    <hyperlink r:id="rId9701" ref="K4595"/>
    <hyperlink r:id="rId9702" ref="L4595"/>
    <hyperlink r:id="rId9703" ref="K4596"/>
    <hyperlink r:id="rId9704" ref="L4596"/>
    <hyperlink r:id="rId9705" ref="K4597"/>
    <hyperlink r:id="rId9706" ref="L4597"/>
    <hyperlink r:id="rId9707" ref="K4598"/>
    <hyperlink r:id="rId9708" ref="L4598"/>
    <hyperlink r:id="rId9709" ref="K4599"/>
    <hyperlink r:id="rId9710" ref="L4599"/>
    <hyperlink r:id="rId9711" ref="K4600"/>
    <hyperlink r:id="rId9712" ref="L4600"/>
    <hyperlink r:id="rId9713" ref="K4601"/>
    <hyperlink r:id="rId9714" ref="L4601"/>
    <hyperlink r:id="rId9715" ref="K4602"/>
    <hyperlink r:id="rId9716" ref="L4602"/>
    <hyperlink r:id="rId9717" ref="K4603"/>
    <hyperlink r:id="rId6687" ref="L4603"/>
    <hyperlink r:id="rId9718" ref="K4604"/>
    <hyperlink r:id="rId9719" ref="L4604"/>
    <hyperlink r:id="rId9720" ref="K4605"/>
    <hyperlink r:id="rId9721" ref="L4605"/>
    <hyperlink r:id="rId9722" ref="K4606"/>
    <hyperlink r:id="rId9723" ref="L4606"/>
    <hyperlink r:id="rId9724" ref="K4607"/>
    <hyperlink r:id="rId9725" ref="L4607"/>
    <hyperlink r:id="rId9726" ref="K4608"/>
    <hyperlink r:id="rId9727" ref="L4608"/>
    <hyperlink r:id="rId9728" ref="K4609"/>
    <hyperlink r:id="rId9683" ref="L4609"/>
    <hyperlink r:id="rId9729" ref="K4610"/>
    <hyperlink r:id="rId9695" ref="L4610"/>
    <hyperlink r:id="rId9730" ref="K4611"/>
    <hyperlink r:id="rId9731" ref="L4611"/>
    <hyperlink r:id="rId9732" ref="K4612"/>
    <hyperlink r:id="rId5891" ref="L4612"/>
    <hyperlink r:id="rId9733" ref="K4613"/>
    <hyperlink r:id="rId9734" ref="L4613"/>
    <hyperlink r:id="rId9735" ref="K4614"/>
    <hyperlink r:id="rId9736" ref="L4614"/>
    <hyperlink r:id="rId9737" ref="K4615"/>
    <hyperlink r:id="rId9738" ref="L4615"/>
    <hyperlink r:id="rId9739" ref="J9185"/>
    <hyperlink r:id="rId9740" ref="K9185"/>
    <hyperlink r:id="rId9741" ref="J9186"/>
    <hyperlink r:id="rId9742" ref="K9186"/>
    <hyperlink r:id="rId9743" ref="J9187"/>
    <hyperlink r:id="rId9744" ref="K9187"/>
    <hyperlink r:id="rId9745" ref="J9188"/>
    <hyperlink r:id="rId9746" ref="K9188"/>
    <hyperlink r:id="rId9747" ref="J9189"/>
    <hyperlink r:id="rId9748" ref="K9189"/>
    <hyperlink r:id="rId9749" ref="J9190"/>
    <hyperlink r:id="rId9750" ref="K9190"/>
    <hyperlink r:id="rId9751" ref="J9191"/>
    <hyperlink r:id="rId9752" ref="K9191"/>
    <hyperlink r:id="rId9753" ref="J9192"/>
    <hyperlink r:id="rId9754" ref="K9192"/>
    <hyperlink r:id="rId9755" ref="J9193"/>
    <hyperlink r:id="rId9756" ref="K9193"/>
    <hyperlink r:id="rId9757" ref="J9194"/>
    <hyperlink r:id="rId9758" ref="K9194"/>
    <hyperlink r:id="rId9759" ref="J9195"/>
    <hyperlink r:id="rId9760" ref="K9195"/>
    <hyperlink r:id="rId9761" ref="J9196"/>
    <hyperlink r:id="rId9762" ref="K9196"/>
    <hyperlink r:id="rId9763" ref="J9197"/>
    <hyperlink r:id="rId9764" ref="K9197"/>
    <hyperlink r:id="rId9765" ref="J9198"/>
    <hyperlink r:id="rId9766" ref="K9198"/>
    <hyperlink r:id="rId9767" ref="J9199"/>
    <hyperlink r:id="rId9768" ref="K9199"/>
    <hyperlink r:id="rId9769" ref="J9200"/>
    <hyperlink r:id="rId9754" ref="K9200"/>
    <hyperlink r:id="rId9770" ref="J9201"/>
    <hyperlink r:id="rId9771" ref="K9201"/>
    <hyperlink r:id="rId9772" ref="J9202"/>
    <hyperlink r:id="rId9773" ref="K9202"/>
    <hyperlink r:id="rId9774" ref="J9203"/>
    <hyperlink r:id="rId9775" ref="K9203"/>
    <hyperlink r:id="rId9776" ref="J9204"/>
    <hyperlink r:id="rId9777" ref="K9204"/>
    <hyperlink r:id="rId9778" ref="J9205"/>
    <hyperlink r:id="rId9779" ref="K9205"/>
    <hyperlink r:id="rId9780" ref="J9206"/>
    <hyperlink r:id="rId9781" ref="K9206"/>
    <hyperlink r:id="rId9782" ref="J9207"/>
    <hyperlink r:id="rId9783" ref="K9207"/>
    <hyperlink r:id="rId9784" ref="J9208"/>
    <hyperlink r:id="rId9785" ref="K9208"/>
    <hyperlink r:id="rId9786" ref="J9209"/>
    <hyperlink r:id="rId9787" ref="K9209"/>
    <hyperlink r:id="rId9788" ref="J9210"/>
    <hyperlink r:id="rId9789" ref="K9210"/>
    <hyperlink r:id="rId9790" ref="J9211"/>
    <hyperlink r:id="rId9791" ref="K9211"/>
    <hyperlink r:id="rId9792" ref="J9212"/>
    <hyperlink r:id="rId9793" ref="K9212"/>
    <hyperlink r:id="rId9794" ref="J9213"/>
    <hyperlink r:id="rId9795" ref="K9213"/>
    <hyperlink r:id="rId9796" ref="J9214"/>
    <hyperlink r:id="rId9797" ref="K9214"/>
    <hyperlink r:id="rId9798" ref="J9215"/>
    <hyperlink r:id="rId9799" ref="K9215"/>
    <hyperlink r:id="rId9800" ref="J9216"/>
    <hyperlink r:id="rId9801" ref="K9216"/>
    <hyperlink r:id="rId9802" ref="J9217"/>
    <hyperlink r:id="rId9803" ref="K9217"/>
    <hyperlink r:id="rId9804" ref="J9218"/>
    <hyperlink r:id="rId9805" ref="K9218"/>
    <hyperlink r:id="rId9806" ref="J9219"/>
    <hyperlink r:id="rId9807" ref="K9219"/>
    <hyperlink r:id="rId9808" ref="J9220"/>
    <hyperlink r:id="rId9809" ref="K9220"/>
    <hyperlink r:id="rId9810" ref="J9221"/>
    <hyperlink r:id="rId9811" ref="K9221"/>
    <hyperlink r:id="rId9812" ref="J9222"/>
    <hyperlink r:id="rId9813" ref="K9222"/>
    <hyperlink r:id="rId9814" ref="J9223"/>
    <hyperlink r:id="rId9815" ref="K9223"/>
    <hyperlink r:id="rId9816" ref="J9224"/>
    <hyperlink r:id="rId9817" ref="K9224"/>
    <hyperlink r:id="rId9818" ref="J9225"/>
    <hyperlink r:id="rId9819" ref="K9225"/>
    <hyperlink r:id="rId9820" ref="J9226"/>
    <hyperlink r:id="rId9821" ref="K9226"/>
    <hyperlink r:id="rId9822" ref="J9227"/>
    <hyperlink r:id="rId9823" ref="K9227"/>
    <hyperlink r:id="rId9824" ref="J9228"/>
    <hyperlink r:id="rId9825" ref="K9228"/>
    <hyperlink r:id="rId9826" ref="J9229"/>
    <hyperlink r:id="rId9827" ref="K9229"/>
    <hyperlink r:id="rId9828" ref="J9230"/>
    <hyperlink r:id="rId9829" ref="K9230"/>
    <hyperlink r:id="rId9830" ref="J9231"/>
    <hyperlink r:id="rId9831" ref="K9231"/>
    <hyperlink r:id="rId9832" ref="J9232"/>
    <hyperlink r:id="rId9833" ref="K9232"/>
    <hyperlink r:id="rId9834" ref="J9233"/>
    <hyperlink r:id="rId9835" ref="K9233"/>
    <hyperlink r:id="rId9836" ref="J9234"/>
    <hyperlink r:id="rId9837" ref="K9234"/>
    <hyperlink r:id="rId9838" ref="J9235"/>
    <hyperlink r:id="rId9803" ref="K9235"/>
    <hyperlink r:id="rId9839" ref="J9236"/>
    <hyperlink r:id="rId9840" ref="K9236"/>
    <hyperlink r:id="rId9841" ref="J9237"/>
    <hyperlink r:id="rId9842" ref="K9237"/>
    <hyperlink r:id="rId9843" ref="J9238"/>
    <hyperlink r:id="rId9844" ref="K9238"/>
    <hyperlink r:id="rId9845" ref="J9239"/>
    <hyperlink r:id="rId9846" ref="K9239"/>
    <hyperlink r:id="rId9847" ref="J9240"/>
    <hyperlink r:id="rId9848" ref="K9240"/>
    <hyperlink r:id="rId9849" ref="J9241"/>
    <hyperlink r:id="rId9850" ref="K9241"/>
    <hyperlink r:id="rId9851" ref="J9242"/>
    <hyperlink r:id="rId9852" ref="K9242"/>
    <hyperlink r:id="rId9853" ref="J9243"/>
    <hyperlink r:id="rId9854" ref="K9243"/>
    <hyperlink r:id="rId9855" ref="J9244"/>
    <hyperlink r:id="rId9856" ref="K9244"/>
    <hyperlink r:id="rId9857" ref="J9245"/>
    <hyperlink r:id="rId9858" ref="K9245"/>
    <hyperlink r:id="rId9859" ref="J9246"/>
    <hyperlink r:id="rId9860" ref="K9246"/>
    <hyperlink r:id="rId9861" ref="J9247"/>
    <hyperlink r:id="rId9862" ref="K9247"/>
    <hyperlink r:id="rId9863" ref="J9248"/>
    <hyperlink r:id="rId9864" ref="K9248"/>
    <hyperlink r:id="rId9865" ref="J9249"/>
    <hyperlink r:id="rId9866" ref="K9249"/>
    <hyperlink r:id="rId9867" ref="J9250"/>
    <hyperlink r:id="rId9868" ref="K9250"/>
    <hyperlink r:id="rId9869" ref="J9251"/>
    <hyperlink r:id="rId9870" ref="K9251"/>
    <hyperlink r:id="rId9871" ref="J9252"/>
    <hyperlink r:id="rId9872" ref="K9252"/>
    <hyperlink r:id="rId9873" ref="J9253"/>
    <hyperlink r:id="rId9874" ref="K9253"/>
    <hyperlink r:id="rId9875" ref="J9254"/>
    <hyperlink r:id="rId9876" ref="K9254"/>
    <hyperlink r:id="rId9877" ref="J9255"/>
    <hyperlink r:id="rId9787" ref="K9255"/>
    <hyperlink r:id="rId9878" ref="J9256"/>
    <hyperlink r:id="rId9879" ref="K9256"/>
    <hyperlink r:id="rId9880" ref="J9257"/>
    <hyperlink r:id="rId9881" ref="K9257"/>
    <hyperlink r:id="rId9882" ref="J9258"/>
    <hyperlink r:id="rId9883" ref="K9258"/>
    <hyperlink r:id="rId9884" ref="J9259"/>
    <hyperlink r:id="rId9885" ref="K9259"/>
    <hyperlink r:id="rId9886" ref="J9260"/>
    <hyperlink r:id="rId9887" ref="K9260"/>
    <hyperlink r:id="rId9888" ref="J9261"/>
    <hyperlink r:id="rId9889" ref="K9261"/>
    <hyperlink r:id="rId9890" ref="J9262"/>
    <hyperlink r:id="rId9891" ref="K9262"/>
    <hyperlink r:id="rId9892" ref="J9263"/>
    <hyperlink r:id="rId9893" ref="K9263"/>
    <hyperlink r:id="rId9894" ref="J9264"/>
    <hyperlink r:id="rId9895" ref="K9264"/>
    <hyperlink r:id="rId9896" ref="J9265"/>
    <hyperlink r:id="rId9862" ref="K9265"/>
    <hyperlink r:id="rId9897" ref="J9266"/>
    <hyperlink r:id="rId9898" ref="K9266"/>
    <hyperlink r:id="rId9899" ref="E9267"/>
    <hyperlink r:id="rId9900" ref="J9267"/>
    <hyperlink r:id="rId9901" ref="K9267"/>
    <hyperlink r:id="rId9902" ref="J9268"/>
    <hyperlink r:id="rId9903" ref="K9268"/>
    <hyperlink r:id="rId9904" ref="J9269"/>
    <hyperlink r:id="rId9905" ref="K9269"/>
    <hyperlink r:id="rId9906" ref="J9270"/>
    <hyperlink r:id="rId9895" ref="K9270"/>
    <hyperlink r:id="rId9907" ref="J9271"/>
    <hyperlink r:id="rId9750" ref="K9271"/>
    <hyperlink r:id="rId9908" ref="J9272"/>
    <hyperlink r:id="rId9909" ref="K9272"/>
    <hyperlink r:id="rId9910" ref="J9273"/>
    <hyperlink r:id="rId9911" ref="K9273"/>
    <hyperlink r:id="rId9912" ref="J9274"/>
    <hyperlink r:id="rId9913" ref="K9274"/>
    <hyperlink r:id="rId9914" ref="J9275"/>
    <hyperlink r:id="rId9915" ref="K9275"/>
    <hyperlink r:id="rId9916" ref="J9276"/>
    <hyperlink r:id="rId9917" ref="K9276"/>
    <hyperlink r:id="rId9918" ref="J9277"/>
    <hyperlink r:id="rId9919" ref="K9277"/>
    <hyperlink r:id="rId9920" ref="J9278"/>
    <hyperlink r:id="rId9921" ref="K9278"/>
    <hyperlink r:id="rId9922" ref="J9279"/>
    <hyperlink r:id="rId9923" ref="K9279"/>
    <hyperlink r:id="rId9924" ref="J9280"/>
    <hyperlink r:id="rId9925" ref="K9280"/>
    <hyperlink r:id="rId9926" ref="J9281"/>
    <hyperlink r:id="rId9815" ref="K9281"/>
    <hyperlink r:id="rId9927" ref="J9282"/>
    <hyperlink r:id="rId9928" ref="K9282"/>
    <hyperlink r:id="rId9929" ref="J9283"/>
    <hyperlink r:id="rId9930" ref="K9283"/>
    <hyperlink r:id="rId9931" ref="J9284"/>
    <hyperlink r:id="rId9932" ref="K9284"/>
    <hyperlink r:id="rId9933" ref="J9285"/>
    <hyperlink r:id="rId9934" ref="K9285"/>
    <hyperlink r:id="rId9935" ref="J9286"/>
    <hyperlink r:id="rId9936" ref="K9286"/>
    <hyperlink r:id="rId9937" ref="J9287"/>
    <hyperlink r:id="rId9938" ref="K9287"/>
    <hyperlink r:id="rId9939" ref="J9288"/>
    <hyperlink r:id="rId9940" ref="K9288"/>
    <hyperlink r:id="rId9941" ref="J9289"/>
    <hyperlink r:id="rId9942" ref="K9289"/>
    <hyperlink r:id="rId9943" ref="J9290"/>
    <hyperlink r:id="rId9944" ref="K9290"/>
    <hyperlink r:id="rId9945" ref="J9291"/>
    <hyperlink r:id="rId9946" ref="K9291"/>
    <hyperlink r:id="rId9947" ref="J9292"/>
    <hyperlink r:id="rId9948" ref="K9292"/>
    <hyperlink r:id="rId9949" ref="J9293"/>
    <hyperlink r:id="rId9750" ref="K9293"/>
    <hyperlink r:id="rId9950" ref="J9294"/>
    <hyperlink r:id="rId9951" ref="K9294"/>
    <hyperlink r:id="rId9952" ref="J9295"/>
    <hyperlink r:id="rId9915" ref="K9295"/>
    <hyperlink r:id="rId9953" ref="J9296"/>
    <hyperlink r:id="rId9775" ref="K9296"/>
    <hyperlink r:id="rId9954" ref="J9297"/>
    <hyperlink r:id="rId9955" ref="K9297"/>
    <hyperlink r:id="rId9956" ref="J9298"/>
    <hyperlink r:id="rId9948" ref="K9298"/>
    <hyperlink r:id="rId9957" ref="J9299"/>
    <hyperlink r:id="rId9958" ref="K9299"/>
    <hyperlink r:id="rId9959" ref="J9300"/>
    <hyperlink r:id="rId9960" ref="K9300"/>
    <hyperlink r:id="rId9961" ref="J9301"/>
    <hyperlink r:id="rId9962" ref="K9301"/>
    <hyperlink r:id="rId9963" ref="J9302"/>
    <hyperlink r:id="rId9964" ref="K9302"/>
    <hyperlink r:id="rId9965" ref="J9303"/>
    <hyperlink r:id="rId9966" ref="K9303"/>
    <hyperlink r:id="rId9967" ref="J9304"/>
    <hyperlink r:id="rId9968" ref="K9304"/>
    <hyperlink r:id="rId9969" ref="J9305"/>
    <hyperlink r:id="rId9970" ref="K9305"/>
    <hyperlink r:id="rId9971" ref="J9306"/>
    <hyperlink r:id="rId9972" ref="K9306"/>
    <hyperlink r:id="rId9973" ref="J9307"/>
    <hyperlink r:id="rId9974" ref="K9307"/>
    <hyperlink r:id="rId9975" ref="J9308"/>
    <hyperlink r:id="rId9815" ref="K9308"/>
    <hyperlink r:id="rId9976" ref="J9309"/>
    <hyperlink r:id="rId9977" ref="K9309"/>
    <hyperlink r:id="rId9978" ref="J9310"/>
    <hyperlink r:id="rId9979" ref="K9310"/>
    <hyperlink r:id="rId9980" ref="J9311"/>
    <hyperlink r:id="rId9981" ref="K9311"/>
    <hyperlink r:id="rId9982" ref="J9312"/>
    <hyperlink r:id="rId9983" ref="K9312"/>
    <hyperlink r:id="rId9984" ref="J9313"/>
    <hyperlink r:id="rId9985" ref="K9313"/>
    <hyperlink r:id="rId9986" ref="J9314"/>
    <hyperlink r:id="rId9987" ref="K9314"/>
    <hyperlink r:id="rId9988" ref="J9315"/>
    <hyperlink r:id="rId9989" ref="K9315"/>
    <hyperlink r:id="rId9990" ref="J9316"/>
    <hyperlink r:id="rId9991" ref="K9316"/>
    <hyperlink r:id="rId9992" ref="J9317"/>
    <hyperlink r:id="rId9993" ref="K9317"/>
    <hyperlink r:id="rId9994" ref="J9318"/>
    <hyperlink r:id="rId9995" ref="K9318"/>
    <hyperlink r:id="rId9996" ref="J9319"/>
    <hyperlink r:id="rId9997" ref="K9319"/>
    <hyperlink r:id="rId9998" ref="J9320"/>
    <hyperlink r:id="rId9999" ref="K9320"/>
    <hyperlink r:id="rId10000" ref="J9321"/>
    <hyperlink r:id="rId10001" ref="K9321"/>
    <hyperlink r:id="rId10002" ref="J9322"/>
    <hyperlink r:id="rId9936" ref="K9322"/>
    <hyperlink r:id="rId10003" ref="J9323"/>
    <hyperlink r:id="rId10004" ref="K9323"/>
    <hyperlink r:id="rId10005" ref="J9324"/>
    <hyperlink r:id="rId10006" ref="K9324"/>
    <hyperlink r:id="rId10007" ref="J9325"/>
    <hyperlink r:id="rId10008" ref="K9325"/>
    <hyperlink r:id="rId10009" ref="J9326"/>
    <hyperlink r:id="rId9905" ref="K9326"/>
    <hyperlink r:id="rId10010" ref="E9327"/>
    <hyperlink r:id="rId7638" ref="J9327"/>
    <hyperlink r:id="rId7639" ref="K9327"/>
    <hyperlink r:id="rId10011" ref="J9328"/>
    <hyperlink r:id="rId10012" ref="K9328"/>
    <hyperlink r:id="rId10013" ref="J9329"/>
    <hyperlink r:id="rId10014" ref="K9329"/>
    <hyperlink r:id="rId10015" ref="J9330"/>
    <hyperlink r:id="rId10016" ref="K9330"/>
    <hyperlink r:id="rId10017" ref="J9331"/>
    <hyperlink r:id="rId10018" ref="K9331"/>
    <hyperlink r:id="rId10019" ref="J9332"/>
    <hyperlink r:id="rId10020" ref="K9332"/>
    <hyperlink r:id="rId10021" ref="J9333"/>
    <hyperlink r:id="rId10022" ref="K9333"/>
    <hyperlink r:id="rId10023" ref="J9334"/>
    <hyperlink r:id="rId9885" ref="K9334"/>
    <hyperlink r:id="rId10024" ref="J9335"/>
    <hyperlink r:id="rId10025" ref="K9335"/>
    <hyperlink r:id="rId10026" ref="J9336"/>
    <hyperlink r:id="rId9958" ref="K9336"/>
    <hyperlink r:id="rId10027" ref="J9337"/>
    <hyperlink r:id="rId9775" ref="K9337"/>
    <hyperlink r:id="rId10028" ref="J9338"/>
    <hyperlink r:id="rId9928" ref="K9338"/>
    <hyperlink r:id="rId10029" ref="J9339"/>
    <hyperlink r:id="rId10030" ref="K9339"/>
    <hyperlink r:id="rId10031" ref="J9340"/>
    <hyperlink r:id="rId10032" ref="K9340"/>
    <hyperlink r:id="rId10033" ref="J9341"/>
    <hyperlink r:id="rId9862" ref="K9341"/>
    <hyperlink r:id="rId10034" ref="J9342"/>
    <hyperlink r:id="rId10035" ref="K9342"/>
    <hyperlink r:id="rId10036" ref="J9343"/>
    <hyperlink r:id="rId10037" ref="K9343"/>
    <hyperlink r:id="rId10038" ref="J9344"/>
    <hyperlink r:id="rId10039" ref="K9344"/>
    <hyperlink r:id="rId10040" ref="J9345"/>
    <hyperlink r:id="rId10041" ref="K9345"/>
    <hyperlink r:id="rId10042" ref="J9346"/>
    <hyperlink r:id="rId10037" ref="K9346"/>
    <hyperlink r:id="rId10043" ref="J9347"/>
    <hyperlink r:id="rId10044" ref="K9347"/>
    <hyperlink r:id="rId10045" ref="J9348"/>
    <hyperlink r:id="rId10004" ref="K9348"/>
    <hyperlink r:id="rId10046" ref="J9349"/>
    <hyperlink r:id="rId10047" ref="K9349"/>
    <hyperlink r:id="rId10048" ref="J9350"/>
    <hyperlink r:id="rId10049" ref="K9350"/>
    <hyperlink r:id="rId10050" ref="J9351"/>
    <hyperlink r:id="rId10039" ref="K9351"/>
    <hyperlink r:id="rId10051" ref="J9352"/>
    <hyperlink r:id="rId10052" ref="K9352"/>
    <hyperlink r:id="rId10053" ref="J9353"/>
    <hyperlink r:id="rId10054" ref="K9353"/>
    <hyperlink r:id="rId10055" ref="J9354"/>
    <hyperlink r:id="rId10056" ref="K9354"/>
    <hyperlink r:id="rId10057" ref="J9355"/>
    <hyperlink r:id="rId10058" ref="K9355"/>
    <hyperlink r:id="rId10059" ref="J9356"/>
    <hyperlink r:id="rId10060" ref="K9356"/>
    <hyperlink r:id="rId10061" ref="J9357"/>
    <hyperlink r:id="rId9977" ref="K9357"/>
    <hyperlink r:id="rId10062" ref="J9358"/>
    <hyperlink r:id="rId10063" ref="K9358"/>
    <hyperlink r:id="rId10064" ref="J9359"/>
    <hyperlink r:id="rId10063" ref="K9359"/>
    <hyperlink r:id="rId10065" ref="J9360"/>
    <hyperlink r:id="rId9868" ref="K9360"/>
    <hyperlink r:id="rId10066" ref="J9361"/>
    <hyperlink r:id="rId10067" ref="K9361"/>
    <hyperlink r:id="rId10068" ref="J9362"/>
    <hyperlink r:id="rId10069" ref="K9362"/>
    <hyperlink r:id="rId10070" ref="J9363"/>
    <hyperlink r:id="rId10071" ref="K9363"/>
    <hyperlink r:id="rId10072" ref="J9364"/>
    <hyperlink r:id="rId10073" ref="K9364"/>
    <hyperlink r:id="rId10074" ref="J9365"/>
    <hyperlink r:id="rId10075" ref="K9365"/>
    <hyperlink r:id="rId10076" ref="J9366"/>
    <hyperlink r:id="rId10077" ref="K9366"/>
    <hyperlink r:id="rId10078" ref="J9367"/>
    <hyperlink r:id="rId10079" ref="K9367"/>
    <hyperlink r:id="rId10080" ref="J9368"/>
    <hyperlink r:id="rId10081" ref="K9368"/>
    <hyperlink r:id="rId10082" ref="J9369"/>
    <hyperlink r:id="rId10083" ref="K9369"/>
    <hyperlink r:id="rId10084" ref="J9370"/>
    <hyperlink r:id="rId9768" ref="K9370"/>
    <hyperlink r:id="rId10085" ref="J9371"/>
    <hyperlink r:id="rId9983" ref="K9371"/>
    <hyperlink r:id="rId10086" ref="J9372"/>
    <hyperlink r:id="rId10087" ref="K9372"/>
    <hyperlink r:id="rId10088" ref="J9373"/>
    <hyperlink r:id="rId10089" ref="K9373"/>
    <hyperlink r:id="rId10090" ref="J9374"/>
    <hyperlink r:id="rId10091" ref="K9374"/>
    <hyperlink r:id="rId10092" ref="E9375"/>
    <hyperlink r:id="rId10093" ref="J9375"/>
    <hyperlink r:id="rId10094" ref="K9375"/>
    <hyperlink r:id="rId10095" ref="J9376"/>
    <hyperlink r:id="rId9821" ref="K9376"/>
    <hyperlink r:id="rId10096" ref="J9377"/>
    <hyperlink r:id="rId10097" ref="K9377"/>
    <hyperlink r:id="rId10098" ref="J9378"/>
    <hyperlink r:id="rId10099" ref="K9378"/>
    <hyperlink r:id="rId10100" ref="J9379"/>
    <hyperlink r:id="rId10101" ref="K9379"/>
    <hyperlink r:id="rId10102" ref="J9380"/>
    <hyperlink r:id="rId10103" ref="K9380"/>
    <hyperlink r:id="rId10104" ref="E9381"/>
    <hyperlink r:id="rId10105" ref="J9381"/>
    <hyperlink r:id="rId10106" ref="K9381"/>
    <hyperlink r:id="rId10107" ref="J9382"/>
    <hyperlink r:id="rId10004" ref="K9382"/>
    <hyperlink r:id="rId10104" ref="E9383"/>
    <hyperlink r:id="rId10108" ref="J9383"/>
    <hyperlink r:id="rId10106" ref="K9383"/>
    <hyperlink r:id="rId10109" ref="J9384"/>
    <hyperlink r:id="rId10110" ref="K9384"/>
    <hyperlink r:id="rId10111" ref="J9385"/>
    <hyperlink r:id="rId10112" ref="K9385"/>
    <hyperlink r:id="rId10113" ref="J9386"/>
    <hyperlink r:id="rId9833" ref="K9386"/>
    <hyperlink r:id="rId10114" ref="J9387"/>
    <hyperlink r:id="rId9911" ref="K9387"/>
    <hyperlink r:id="rId10115" ref="J9388"/>
    <hyperlink r:id="rId10116" ref="K9388"/>
    <hyperlink r:id="rId10117" ref="J9389"/>
    <hyperlink r:id="rId10118" ref="K9389"/>
    <hyperlink r:id="rId10119" ref="J9390"/>
    <hyperlink r:id="rId10120" ref="K9390"/>
    <hyperlink r:id="rId10121" ref="J9391"/>
    <hyperlink r:id="rId10122" ref="K9391"/>
    <hyperlink r:id="rId10123" ref="J9392"/>
    <hyperlink r:id="rId10124" ref="K9392"/>
    <hyperlink r:id="rId10125" ref="J9393"/>
    <hyperlink r:id="rId10126" ref="K9393"/>
    <hyperlink r:id="rId10127" ref="J9394"/>
    <hyperlink r:id="rId10128" ref="K9394"/>
    <hyperlink r:id="rId10129" ref="J9395"/>
    <hyperlink r:id="rId10130" ref="K9395"/>
    <hyperlink r:id="rId10131" ref="J9396"/>
    <hyperlink r:id="rId10132" ref="K9396"/>
    <hyperlink r:id="rId10133" ref="J9397"/>
    <hyperlink r:id="rId9815" ref="K9397"/>
    <hyperlink r:id="rId10134" ref="J9398"/>
    <hyperlink r:id="rId10135" ref="K9398"/>
    <hyperlink r:id="rId10136" ref="J9399"/>
    <hyperlink r:id="rId10137" ref="K9399"/>
    <hyperlink r:id="rId10138" ref="E9400"/>
    <hyperlink r:id="rId10139" ref="J9400"/>
    <hyperlink r:id="rId10140" ref="K9400"/>
    <hyperlink r:id="rId10141" ref="J9401"/>
    <hyperlink r:id="rId10142" ref="K9401"/>
    <hyperlink r:id="rId10143" ref="J9402"/>
    <hyperlink r:id="rId10144" ref="K9402"/>
    <hyperlink r:id="rId10145" ref="J9403"/>
    <hyperlink r:id="rId10146" ref="K9403"/>
    <hyperlink r:id="rId10147" ref="J9404"/>
    <hyperlink r:id="rId10148" ref="K9404"/>
    <hyperlink r:id="rId10149" ref="J9405"/>
    <hyperlink r:id="rId10150" ref="K9405"/>
    <hyperlink r:id="rId10151" ref="J9406"/>
    <hyperlink r:id="rId10152" ref="K9406"/>
    <hyperlink r:id="rId10153" ref="J9407"/>
    <hyperlink r:id="rId10154" ref="K9407"/>
    <hyperlink r:id="rId10155" ref="J9408"/>
    <hyperlink r:id="rId10156" ref="K9408"/>
    <hyperlink r:id="rId10157" ref="J9409"/>
    <hyperlink r:id="rId10158" ref="K9409"/>
    <hyperlink r:id="rId10159" ref="J9410"/>
    <hyperlink r:id="rId10160" ref="K9410"/>
    <hyperlink r:id="rId10161" ref="E9411"/>
    <hyperlink r:id="rId10162" ref="J9411"/>
    <hyperlink r:id="rId10163" ref="K9411"/>
    <hyperlink r:id="rId10164" ref="J9412"/>
    <hyperlink r:id="rId10165" ref="K9412"/>
    <hyperlink r:id="rId10166" ref="J9413"/>
    <hyperlink r:id="rId9948" ref="K9413"/>
    <hyperlink r:id="rId10167" ref="J9414"/>
    <hyperlink r:id="rId10168" ref="K9414"/>
    <hyperlink r:id="rId10169" ref="J9415"/>
    <hyperlink r:id="rId10170" ref="K9415"/>
    <hyperlink r:id="rId10171" ref="J9416"/>
    <hyperlink r:id="rId10172" ref="K9416"/>
    <hyperlink r:id="rId10173" ref="E9417"/>
    <hyperlink r:id="rId10174" ref="J9417"/>
    <hyperlink r:id="rId10175" ref="K9417"/>
    <hyperlink r:id="rId10176" ref="J9418"/>
    <hyperlink r:id="rId10177" ref="K9418"/>
    <hyperlink r:id="rId10178" ref="J9419"/>
    <hyperlink r:id="rId10179" ref="K9419"/>
    <hyperlink r:id="rId10180" ref="J9420"/>
    <hyperlink r:id="rId10181" ref="K9420"/>
    <hyperlink r:id="rId10182" ref="J9421"/>
    <hyperlink r:id="rId10183" ref="K9421"/>
    <hyperlink r:id="rId10184" ref="J9422"/>
    <hyperlink r:id="rId10185" ref="K9422"/>
    <hyperlink r:id="rId10186" ref="J9423"/>
    <hyperlink r:id="rId9864" ref="K9423"/>
    <hyperlink r:id="rId10187" ref="J9424"/>
    <hyperlink r:id="rId10122" ref="K9424"/>
    <hyperlink r:id="rId10188" ref="J9425"/>
    <hyperlink r:id="rId10189" ref="K9425"/>
    <hyperlink r:id="rId10190" ref="J9426"/>
    <hyperlink r:id="rId10020" ref="K9426"/>
    <hyperlink r:id="rId10191" ref="J9427"/>
    <hyperlink r:id="rId10192" ref="K9427"/>
    <hyperlink r:id="rId10193" ref="J9428"/>
    <hyperlink r:id="rId10194" ref="K9428"/>
    <hyperlink r:id="rId10195" ref="J9429"/>
    <hyperlink r:id="rId10196" ref="K9429"/>
    <hyperlink r:id="rId10197" ref="J9430"/>
    <hyperlink r:id="rId10198" ref="K9430"/>
    <hyperlink r:id="rId10199" ref="J9431"/>
    <hyperlink r:id="rId9887" ref="K9431"/>
    <hyperlink r:id="rId10200" ref="J9432"/>
    <hyperlink r:id="rId10201" ref="K9432"/>
    <hyperlink r:id="rId10202" ref="J9433"/>
    <hyperlink r:id="rId10203" ref="K9433"/>
    <hyperlink r:id="rId10204" ref="J9434"/>
    <hyperlink r:id="rId10205" ref="K9434"/>
    <hyperlink r:id="rId10206" ref="J9435"/>
    <hyperlink r:id="rId9833" ref="K9435"/>
    <hyperlink r:id="rId10207" ref="J9436"/>
    <hyperlink r:id="rId9881" ref="K9436"/>
    <hyperlink r:id="rId10208" ref="J9437"/>
    <hyperlink r:id="rId9977" ref="K9437"/>
    <hyperlink r:id="rId10209" ref="J9438"/>
    <hyperlink r:id="rId10210" ref="K9438"/>
    <hyperlink r:id="rId10211" ref="J9439"/>
    <hyperlink r:id="rId10212" ref="K9439"/>
    <hyperlink r:id="rId10213" ref="J9440"/>
    <hyperlink r:id="rId10210" ref="K9440"/>
    <hyperlink r:id="rId10214" ref="J9441"/>
    <hyperlink r:id="rId10137" ref="K9441"/>
    <hyperlink r:id="rId10215" ref="J9442"/>
    <hyperlink r:id="rId10216" ref="K9442"/>
    <hyperlink r:id="rId10217" ref="J9443"/>
    <hyperlink r:id="rId10218" ref="K9443"/>
    <hyperlink r:id="rId10219" ref="J9444"/>
    <hyperlink r:id="rId10220" ref="K9444"/>
    <hyperlink r:id="rId10221" ref="J9445"/>
    <hyperlink r:id="rId10222" ref="K9445"/>
    <hyperlink r:id="rId10223" ref="J9446"/>
    <hyperlink r:id="rId10224" ref="K9446"/>
    <hyperlink r:id="rId10225" ref="J9447"/>
    <hyperlink r:id="rId10226" ref="K9447"/>
    <hyperlink r:id="rId10227" ref="J9448"/>
    <hyperlink r:id="rId10135" ref="K9448"/>
    <hyperlink r:id="rId10228" ref="J9449"/>
    <hyperlink r:id="rId10229" ref="K9449"/>
    <hyperlink r:id="rId10230" ref="J9450"/>
    <hyperlink r:id="rId10231" ref="K9450"/>
    <hyperlink r:id="rId10232" ref="J9451"/>
    <hyperlink r:id="rId10233" ref="K9451"/>
    <hyperlink r:id="rId10234" ref="J9452"/>
    <hyperlink r:id="rId10235" ref="K9452"/>
    <hyperlink r:id="rId10236" ref="J9453"/>
    <hyperlink r:id="rId9981" ref="K9453"/>
    <hyperlink r:id="rId10237" ref="J9454"/>
    <hyperlink r:id="rId10238" ref="K9454"/>
    <hyperlink r:id="rId10239" ref="J9455"/>
    <hyperlink r:id="rId9923" ref="K9455"/>
    <hyperlink r:id="rId10240" ref="J9456"/>
    <hyperlink r:id="rId10241" ref="K9456"/>
    <hyperlink r:id="rId10242" ref="J9457"/>
    <hyperlink r:id="rId10243" ref="K9457"/>
    <hyperlink r:id="rId10244" ref="J9458"/>
    <hyperlink r:id="rId9879" ref="K9458"/>
    <hyperlink r:id="rId10245" ref="J9459"/>
    <hyperlink r:id="rId10246" ref="K9459"/>
    <hyperlink r:id="rId10247" ref="J9460"/>
    <hyperlink r:id="rId10248" ref="K9460"/>
    <hyperlink r:id="rId10249" ref="J9461"/>
    <hyperlink r:id="rId10250" ref="K9461"/>
    <hyperlink r:id="rId10251" ref="J9462"/>
    <hyperlink r:id="rId10252" ref="K9462"/>
    <hyperlink r:id="rId10253" ref="J9463"/>
    <hyperlink r:id="rId10254" ref="K9463"/>
    <hyperlink r:id="rId10255" ref="J9464"/>
    <hyperlink r:id="rId9891" ref="K9464"/>
    <hyperlink r:id="rId10256" ref="J9465"/>
    <hyperlink r:id="rId9756" ref="K9465"/>
    <hyperlink r:id="rId10257" ref="J9466"/>
    <hyperlink r:id="rId10258" ref="K9466"/>
    <hyperlink r:id="rId10259" ref="J9467"/>
    <hyperlink r:id="rId10260" ref="K9467"/>
    <hyperlink r:id="rId10261" ref="J9468"/>
    <hyperlink r:id="rId10099" ref="K9468"/>
    <hyperlink r:id="rId10262" ref="J9469"/>
    <hyperlink r:id="rId10263" ref="K9469"/>
    <hyperlink r:id="rId10264" ref="J9470"/>
    <hyperlink r:id="rId10265" ref="K9470"/>
    <hyperlink r:id="rId10266" ref="J9471"/>
    <hyperlink r:id="rId10267" ref="K9471"/>
    <hyperlink r:id="rId10268" ref="J9472"/>
    <hyperlink r:id="rId9789" ref="K9472"/>
    <hyperlink r:id="rId10269" ref="J9473"/>
    <hyperlink r:id="rId10270" ref="K9473"/>
    <hyperlink r:id="rId10271" ref="J9474"/>
    <hyperlink r:id="rId10272" ref="K9474"/>
    <hyperlink r:id="rId10273" ref="J9475"/>
    <hyperlink r:id="rId10142" ref="K9475"/>
    <hyperlink r:id="rId10274" ref="J9476"/>
    <hyperlink r:id="rId9946" ref="K9476"/>
    <hyperlink r:id="rId10275" ref="J9477"/>
    <hyperlink r:id="rId10276" ref="K9477"/>
    <hyperlink r:id="rId10277" ref="J9478"/>
    <hyperlink r:id="rId10212" ref="K9478"/>
    <hyperlink r:id="rId10278" ref="J9479"/>
    <hyperlink r:id="rId10049" ref="K9479"/>
    <hyperlink r:id="rId10279" ref="J9480"/>
    <hyperlink r:id="rId9766" ref="K9480"/>
    <hyperlink r:id="rId10280" ref="J9481"/>
    <hyperlink r:id="rId10281" ref="K9481"/>
    <hyperlink r:id="rId10282" ref="J9482"/>
    <hyperlink r:id="rId10283" ref="K9482"/>
    <hyperlink r:id="rId10284" ref="J9483"/>
    <hyperlink r:id="rId10285" ref="K9483"/>
    <hyperlink r:id="rId10286" ref="J9484"/>
    <hyperlink r:id="rId9835" ref="K9484"/>
    <hyperlink r:id="rId10287" ref="J9485"/>
    <hyperlink r:id="rId10288" ref="K9485"/>
    <hyperlink r:id="rId10289" ref="J9486"/>
    <hyperlink r:id="rId10052" ref="K9486"/>
    <hyperlink r:id="rId10290" ref="J9487"/>
    <hyperlink r:id="rId10291" ref="K9487"/>
    <hyperlink r:id="rId10292" ref="J9488"/>
    <hyperlink r:id="rId10293" ref="K9488"/>
    <hyperlink r:id="rId10294" ref="J9489"/>
    <hyperlink r:id="rId9876" ref="K9489"/>
    <hyperlink r:id="rId10295" ref="J9490"/>
    <hyperlink r:id="rId10296" ref="K9490"/>
    <hyperlink r:id="rId10297" ref="J9491"/>
    <hyperlink r:id="rId9881" ref="K9491"/>
    <hyperlink r:id="rId10298" ref="J9492"/>
    <hyperlink r:id="rId10299" ref="K9492"/>
    <hyperlink r:id="rId10300" ref="J9493"/>
    <hyperlink r:id="rId10301" ref="K9493"/>
    <hyperlink r:id="rId10302" ref="J9494"/>
    <hyperlink r:id="rId9819" ref="K9494"/>
    <hyperlink r:id="rId10092" ref="E9495"/>
    <hyperlink r:id="rId10303" ref="J9495"/>
    <hyperlink r:id="rId10094" ref="K9495"/>
    <hyperlink r:id="rId10304" ref="J9496"/>
    <hyperlink r:id="rId10305" ref="K9496"/>
    <hyperlink r:id="rId10306" ref="J9497"/>
    <hyperlink r:id="rId10307" ref="K9497"/>
    <hyperlink r:id="rId10308" ref="J9498"/>
    <hyperlink r:id="rId9940" ref="K9498"/>
    <hyperlink r:id="rId10309" ref="J9499"/>
    <hyperlink r:id="rId10310" ref="K9499"/>
    <hyperlink r:id="rId10311" ref="J9500"/>
    <hyperlink r:id="rId9946" ref="K9500"/>
    <hyperlink r:id="rId10312" ref="J9501"/>
    <hyperlink r:id="rId10270" ref="K9501"/>
    <hyperlink r:id="rId10313" ref="J9502"/>
    <hyperlink r:id="rId10314" ref="K9502"/>
    <hyperlink r:id="rId10315" ref="J9503"/>
    <hyperlink r:id="rId10316" ref="K9503"/>
    <hyperlink r:id="rId10317" ref="J9504"/>
    <hyperlink r:id="rId10318" ref="K9504"/>
    <hyperlink r:id="rId10319" ref="J9505"/>
    <hyperlink r:id="rId10320" ref="K9505"/>
    <hyperlink r:id="rId10321" ref="J9506"/>
    <hyperlink r:id="rId10322" ref="K9506"/>
    <hyperlink r:id="rId10323" ref="J9507"/>
    <hyperlink r:id="rId10324" ref="K9507"/>
    <hyperlink r:id="rId10325" ref="J9508"/>
    <hyperlink r:id="rId10326" ref="K9508"/>
    <hyperlink r:id="rId10327" ref="J9509"/>
    <hyperlink r:id="rId10328" ref="K9509"/>
    <hyperlink r:id="rId10329" ref="J9510"/>
    <hyperlink r:id="rId10330" ref="K9510"/>
    <hyperlink r:id="rId10331" ref="J9511"/>
    <hyperlink r:id="rId10332" ref="K9511"/>
    <hyperlink r:id="rId10333" ref="J9512"/>
    <hyperlink r:id="rId10334" ref="K9512"/>
    <hyperlink r:id="rId10335" ref="J9513"/>
    <hyperlink r:id="rId10039" ref="K9513"/>
    <hyperlink r:id="rId10336" ref="J9514"/>
    <hyperlink r:id="rId10337" ref="K9514"/>
    <hyperlink r:id="rId10338" ref="J9515"/>
    <hyperlink r:id="rId10339" ref="K9515"/>
    <hyperlink r:id="rId10340" ref="J9516"/>
    <hyperlink r:id="rId10341" ref="K9516"/>
    <hyperlink r:id="rId10342" ref="J9517"/>
    <hyperlink r:id="rId10343" ref="K9517"/>
    <hyperlink r:id="rId10344" ref="J9518"/>
    <hyperlink r:id="rId9837" ref="K9518"/>
    <hyperlink r:id="rId10345" ref="J9519"/>
    <hyperlink r:id="rId10346" ref="K9519"/>
    <hyperlink r:id="rId10347" ref="J9520"/>
    <hyperlink r:id="rId10348" ref="K9520"/>
    <hyperlink r:id="rId10349" ref="J9521"/>
    <hyperlink r:id="rId10350" ref="K9521"/>
    <hyperlink r:id="rId10351" ref="J9522"/>
    <hyperlink r:id="rId10352" ref="K9522"/>
    <hyperlink r:id="rId10353" ref="J9523"/>
    <hyperlink r:id="rId10354" ref="K9523"/>
    <hyperlink r:id="rId10355" ref="J9524"/>
    <hyperlink r:id="rId9917" ref="K9524"/>
    <hyperlink r:id="rId10356" ref="J9525"/>
    <hyperlink r:id="rId10357" ref="K9525"/>
    <hyperlink r:id="rId10358" ref="J9526"/>
    <hyperlink r:id="rId10359" ref="K9526"/>
    <hyperlink r:id="rId10360" ref="J9527"/>
    <hyperlink r:id="rId10361" ref="K9527"/>
    <hyperlink r:id="rId10362" ref="J9528"/>
    <hyperlink r:id="rId10363" ref="K9528"/>
    <hyperlink r:id="rId10364" ref="J9529"/>
    <hyperlink r:id="rId10365" ref="K9529"/>
    <hyperlink r:id="rId10366" ref="J9530"/>
    <hyperlink r:id="rId10367" ref="K9530"/>
    <hyperlink r:id="rId10368" ref="J9531"/>
    <hyperlink r:id="rId9870" ref="K9531"/>
    <hyperlink r:id="rId10369" ref="J9532"/>
    <hyperlink r:id="rId10370" ref="K9532"/>
    <hyperlink r:id="rId10371" ref="J9533"/>
    <hyperlink r:id="rId10372" ref="K9533"/>
    <hyperlink r:id="rId10373" ref="E9534"/>
    <hyperlink r:id="rId10374" ref="J9534"/>
    <hyperlink r:id="rId10375" ref="K9534"/>
    <hyperlink r:id="rId10376" ref="J9535"/>
    <hyperlink r:id="rId10377" ref="K9535"/>
    <hyperlink r:id="rId10378" ref="J9536"/>
    <hyperlink r:id="rId10379" ref="K9536"/>
    <hyperlink r:id="rId10380" ref="J9537"/>
    <hyperlink r:id="rId10381" ref="K9537"/>
    <hyperlink r:id="rId10382" ref="J9538"/>
    <hyperlink r:id="rId10383" ref="K9538"/>
    <hyperlink r:id="rId10384" ref="J9539"/>
    <hyperlink r:id="rId10385" ref="K9539"/>
    <hyperlink r:id="rId10386" ref="J9540"/>
    <hyperlink r:id="rId10387" ref="K9540"/>
    <hyperlink r:id="rId10388" ref="J9541"/>
    <hyperlink r:id="rId10389" ref="K9541"/>
    <hyperlink r:id="rId10390" ref="J9542"/>
    <hyperlink r:id="rId10391" ref="K9542"/>
    <hyperlink r:id="rId10392" ref="J9543"/>
    <hyperlink r:id="rId10393" ref="K9543"/>
    <hyperlink r:id="rId10394" ref="J9544"/>
    <hyperlink r:id="rId10395" ref="K9544"/>
    <hyperlink r:id="rId10396" ref="J9545"/>
    <hyperlink r:id="rId10397" ref="K9545"/>
    <hyperlink r:id="rId10398" ref="J9546"/>
    <hyperlink r:id="rId10399" ref="K9546"/>
    <hyperlink r:id="rId10400" ref="J9547"/>
    <hyperlink r:id="rId10401" ref="K9547"/>
    <hyperlink r:id="rId10402" ref="J9548"/>
    <hyperlink r:id="rId10403" ref="K9548"/>
    <hyperlink r:id="rId10404" ref="J9549"/>
    <hyperlink r:id="rId10405" ref="K9549"/>
    <hyperlink r:id="rId10406" ref="J9550"/>
    <hyperlink r:id="rId10407" ref="K9550"/>
    <hyperlink r:id="rId10408" ref="J9551"/>
    <hyperlink r:id="rId10399" ref="K9551"/>
    <hyperlink r:id="rId10409" ref="J9552"/>
    <hyperlink r:id="rId10410" ref="K9552"/>
    <hyperlink r:id="rId10411" ref="J9553"/>
    <hyperlink r:id="rId10412" ref="K9553"/>
    <hyperlink r:id="rId10413" ref="J9554"/>
    <hyperlink r:id="rId10414" ref="K9554"/>
    <hyperlink r:id="rId10415" ref="J9555"/>
    <hyperlink r:id="rId10416" ref="K9555"/>
    <hyperlink r:id="rId10417" ref="J9556"/>
    <hyperlink r:id="rId10418" ref="K9556"/>
    <hyperlink r:id="rId10419" ref="E9557"/>
    <hyperlink r:id="rId10420" ref="J9557"/>
    <hyperlink r:id="rId10421" ref="K9557"/>
    <hyperlink r:id="rId10422" ref="J9558"/>
    <hyperlink r:id="rId10423" ref="K9558"/>
    <hyperlink r:id="rId10424" ref="J9559"/>
    <hyperlink r:id="rId10425" ref="K9559"/>
    <hyperlink r:id="rId10426" ref="J9560"/>
    <hyperlink r:id="rId10427" ref="K9560"/>
    <hyperlink r:id="rId10428" ref="J9561"/>
    <hyperlink r:id="rId10389" ref="K9561"/>
    <hyperlink r:id="rId10429" ref="J9562"/>
    <hyperlink r:id="rId10430" ref="K9562"/>
    <hyperlink r:id="rId10431" ref="J9563"/>
    <hyperlink r:id="rId10432" ref="K9563"/>
    <hyperlink r:id="rId10433" ref="J9564"/>
    <hyperlink r:id="rId10434" ref="K9564"/>
    <hyperlink r:id="rId10435" ref="J9565"/>
    <hyperlink r:id="rId10425" ref="K9565"/>
    <hyperlink r:id="rId10436" ref="J9566"/>
    <hyperlink r:id="rId10437" ref="K9566"/>
    <hyperlink r:id="rId10438" ref="J9567"/>
    <hyperlink r:id="rId10439" ref="K9567"/>
    <hyperlink r:id="rId10440" ref="J9568"/>
    <hyperlink r:id="rId10441" ref="K9568"/>
    <hyperlink r:id="rId10442" ref="J9569"/>
    <hyperlink r:id="rId10443" ref="K9569"/>
    <hyperlink r:id="rId10444" ref="J9570"/>
    <hyperlink r:id="rId10445" ref="K9570"/>
    <hyperlink r:id="rId10446" ref="J9571"/>
    <hyperlink r:id="rId10447" ref="K9571"/>
    <hyperlink r:id="rId10448" ref="J9572"/>
    <hyperlink r:id="rId10395" ref="K9572"/>
    <hyperlink r:id="rId10449" ref="J9573"/>
    <hyperlink r:id="rId10450" ref="K9573"/>
    <hyperlink r:id="rId10451" ref="J9574"/>
    <hyperlink r:id="rId10452" ref="K9574"/>
    <hyperlink r:id="rId10453" ref="J9575"/>
    <hyperlink r:id="rId10454" ref="K9575"/>
    <hyperlink r:id="rId10455" ref="J9576"/>
    <hyperlink r:id="rId10456" ref="K9576"/>
    <hyperlink r:id="rId10457" ref="J9577"/>
    <hyperlink r:id="rId10458" ref="K9577"/>
    <hyperlink r:id="rId10459" ref="J9578"/>
    <hyperlink r:id="rId10460" ref="K9578"/>
    <hyperlink r:id="rId10461" ref="J9579"/>
    <hyperlink r:id="rId10462" ref="K9579"/>
    <hyperlink r:id="rId10463" ref="J9580"/>
    <hyperlink r:id="rId10464" ref="K9580"/>
    <hyperlink r:id="rId10465" ref="J9581"/>
    <hyperlink r:id="rId10466" ref="K9581"/>
    <hyperlink r:id="rId10467" ref="J9582"/>
    <hyperlink r:id="rId10399" ref="K9582"/>
    <hyperlink r:id="rId10419" ref="E9583"/>
    <hyperlink r:id="rId10468" ref="J9583"/>
    <hyperlink r:id="rId10421" ref="K9583"/>
    <hyperlink r:id="rId10469" ref="J9584"/>
    <hyperlink r:id="rId10389" ref="K9584"/>
    <hyperlink r:id="rId10470" ref="J9585"/>
    <hyperlink r:id="rId10471" ref="K9585"/>
    <hyperlink r:id="rId10472" ref="J9586"/>
    <hyperlink r:id="rId10473" ref="K9586"/>
    <hyperlink r:id="rId10474" ref="J9587"/>
    <hyperlink r:id="rId10475" ref="K9587"/>
    <hyperlink r:id="rId10476" ref="J9588"/>
    <hyperlink r:id="rId10477" ref="K9588"/>
    <hyperlink r:id="rId10478" ref="J9589"/>
    <hyperlink r:id="rId10479" ref="K9589"/>
    <hyperlink r:id="rId10480" ref="J9590"/>
    <hyperlink r:id="rId10481" ref="K9590"/>
    <hyperlink r:id="rId10482" ref="J9591"/>
    <hyperlink r:id="rId10483" ref="K9591"/>
    <hyperlink r:id="rId10484" ref="J9592"/>
    <hyperlink r:id="rId10485" ref="K9592"/>
    <hyperlink r:id="rId10486" ref="J9593"/>
    <hyperlink r:id="rId10432" ref="K9593"/>
    <hyperlink r:id="rId10487" ref="J9594"/>
    <hyperlink r:id="rId10488" ref="K9594"/>
    <hyperlink r:id="rId10489" ref="J9595"/>
    <hyperlink r:id="rId10490" ref="K9595"/>
    <hyperlink r:id="rId10491" ref="J9596"/>
    <hyperlink r:id="rId10492" ref="K9596"/>
    <hyperlink r:id="rId10493" ref="J9597"/>
    <hyperlink r:id="rId10494" ref="K9597"/>
    <hyperlink r:id="rId10495" ref="J9598"/>
    <hyperlink r:id="rId10496" ref="K9598"/>
    <hyperlink r:id="rId10497" ref="J9599"/>
    <hyperlink r:id="rId10498" ref="K9599"/>
    <hyperlink r:id="rId10499" ref="J9600"/>
    <hyperlink r:id="rId10500" ref="K9600"/>
    <hyperlink r:id="rId10501" ref="J9601"/>
    <hyperlink r:id="rId10502" ref="K9601"/>
    <hyperlink r:id="rId10503" ref="J9602"/>
    <hyperlink r:id="rId10504" ref="K9602"/>
    <hyperlink r:id="rId10505" ref="J9603"/>
    <hyperlink r:id="rId10506" ref="K9603"/>
    <hyperlink r:id="rId10507" ref="J9604"/>
    <hyperlink r:id="rId10508" ref="K9604"/>
    <hyperlink r:id="rId10509" ref="J9605"/>
    <hyperlink r:id="rId10510" ref="K9605"/>
    <hyperlink r:id="rId10511" ref="J9606"/>
    <hyperlink r:id="rId10439" ref="K9606"/>
    <hyperlink r:id="rId10512" ref="J9607"/>
    <hyperlink r:id="rId10513" ref="K9607"/>
    <hyperlink r:id="rId10514" ref="J9608"/>
    <hyperlink r:id="rId10458" ref="K9608"/>
    <hyperlink r:id="rId10515" ref="J9609"/>
    <hyperlink r:id="rId10516" ref="K9609"/>
    <hyperlink r:id="rId10517" ref="J9610"/>
    <hyperlink r:id="rId10412" ref="K9610"/>
    <hyperlink r:id="rId10518" ref="J9611"/>
    <hyperlink r:id="rId10519" ref="K9611"/>
    <hyperlink r:id="rId10520" ref="J9612"/>
    <hyperlink r:id="rId10521" ref="K9612"/>
    <hyperlink r:id="rId10522" ref="J9613"/>
    <hyperlink r:id="rId10523" ref="K9613"/>
    <hyperlink r:id="rId10524" ref="K9617"/>
    <hyperlink r:id="rId10525" ref="L9617"/>
    <hyperlink r:id="rId10526" ref="K9618"/>
    <hyperlink r:id="rId10527" ref="L9618"/>
    <hyperlink r:id="rId10528" ref="K9619"/>
    <hyperlink r:id="rId10529" ref="L9619"/>
    <hyperlink r:id="rId10530" ref="K9620"/>
    <hyperlink r:id="rId10531" ref="L9620"/>
    <hyperlink r:id="rId10532" ref="K9621"/>
    <hyperlink r:id="rId10533" ref="L9621"/>
    <hyperlink r:id="rId10534" ref="K9622"/>
    <hyperlink r:id="rId10535" ref="L9622"/>
    <hyperlink r:id="rId10536" ref="K9623"/>
    <hyperlink r:id="rId10537" ref="L9623"/>
    <hyperlink r:id="rId10538" ref="K9624"/>
    <hyperlink r:id="rId10539" ref="L9624"/>
    <hyperlink r:id="rId10540" ref="K9625"/>
    <hyperlink r:id="rId10541" ref="L9625"/>
    <hyperlink r:id="rId10542" ref="K9626"/>
    <hyperlink r:id="rId10543" ref="L9626"/>
    <hyperlink r:id="rId10544" ref="K9627"/>
    <hyperlink r:id="rId10545" ref="L9627"/>
    <hyperlink r:id="rId10546" ref="K9628"/>
    <hyperlink r:id="rId10547" ref="L9628"/>
    <hyperlink r:id="rId10548" ref="K9629"/>
    <hyperlink r:id="rId10549" ref="L9629"/>
    <hyperlink r:id="rId10550" ref="K9630"/>
    <hyperlink r:id="rId10551" ref="L9630"/>
    <hyperlink r:id="rId10552" ref="K9631"/>
    <hyperlink r:id="rId10553" ref="L9631"/>
    <hyperlink r:id="rId10554" ref="K9632"/>
    <hyperlink r:id="rId10555" ref="L9632"/>
    <hyperlink r:id="rId10556" ref="K9633"/>
    <hyperlink r:id="rId10557" ref="L9633"/>
    <hyperlink r:id="rId10558" ref="K9634"/>
    <hyperlink r:id="rId10559" ref="L9634"/>
    <hyperlink r:id="rId10560" ref="K9635"/>
    <hyperlink r:id="rId10561" ref="K9636"/>
    <hyperlink r:id="rId10562" ref="L9636"/>
    <hyperlink r:id="rId10563" ref="K9637"/>
    <hyperlink r:id="rId10564" ref="L9637"/>
    <hyperlink r:id="rId10565" ref="K9638"/>
    <hyperlink r:id="rId10566" ref="L9638"/>
    <hyperlink r:id="rId10567" ref="K9639"/>
    <hyperlink r:id="rId10568" ref="L9639"/>
    <hyperlink r:id="rId10569" ref="K9640"/>
    <hyperlink r:id="rId10570" ref="L9640"/>
    <hyperlink r:id="rId10571" ref="K9641"/>
    <hyperlink r:id="rId10572" ref="L9641"/>
    <hyperlink r:id="rId10573" ref="K9642"/>
    <hyperlink r:id="rId10574" ref="L9642"/>
    <hyperlink r:id="rId10575" ref="K9643"/>
    <hyperlink r:id="rId10576" ref="L9643"/>
    <hyperlink r:id="rId10577" ref="K9644"/>
    <hyperlink r:id="rId10578" ref="L9644"/>
    <hyperlink r:id="rId10579" ref="K9645"/>
    <hyperlink r:id="rId10580" ref="L9645"/>
    <hyperlink r:id="rId10581" ref="K9646"/>
    <hyperlink r:id="rId10582" ref="L9646"/>
    <hyperlink r:id="rId10583" ref="K9647"/>
    <hyperlink r:id="rId10584" ref="L9647"/>
    <hyperlink r:id="rId10585" ref="K9648"/>
    <hyperlink r:id="rId10586" ref="L9648"/>
    <hyperlink r:id="rId10587" ref="K9649"/>
    <hyperlink r:id="rId10588" ref="L9649"/>
    <hyperlink r:id="rId10589" ref="K9650"/>
    <hyperlink r:id="rId10590" ref="L9650"/>
    <hyperlink r:id="rId10591" ref="K9651"/>
    <hyperlink r:id="rId10592" ref="L9651"/>
    <hyperlink r:id="rId10593" ref="K9652"/>
    <hyperlink r:id="rId10594" ref="K9653"/>
    <hyperlink r:id="rId10595" ref="L9653"/>
    <hyperlink r:id="rId10596" ref="K9654"/>
    <hyperlink r:id="rId10597" ref="L9654"/>
    <hyperlink r:id="rId10598" ref="K9655"/>
    <hyperlink r:id="rId10599" ref="K9656"/>
    <hyperlink r:id="rId10600" ref="L9656"/>
    <hyperlink r:id="rId10601" ref="K9657"/>
    <hyperlink r:id="rId10539" ref="L9657"/>
    <hyperlink r:id="rId10602" ref="K9658"/>
    <hyperlink r:id="rId10112" ref="L9658"/>
    <hyperlink r:id="rId10603" ref="K9659"/>
    <hyperlink r:id="rId10604" ref="L9659"/>
    <hyperlink r:id="rId10605" ref="K9660"/>
    <hyperlink r:id="rId10606" ref="L9660"/>
    <hyperlink r:id="rId10607" ref="K9661"/>
    <hyperlink r:id="rId10608" ref="L9661"/>
    <hyperlink r:id="rId10609" ref="K9662"/>
    <hyperlink r:id="rId10610" ref="L9662"/>
    <hyperlink r:id="rId10611" ref="K9663"/>
    <hyperlink r:id="rId10612" ref="L9663"/>
    <hyperlink r:id="rId10613" ref="K9664"/>
    <hyperlink r:id="rId10614" ref="L9664"/>
    <hyperlink r:id="rId10615" ref="K9665"/>
    <hyperlink r:id="rId10616" ref="L9665"/>
    <hyperlink r:id="rId10617" ref="K9666"/>
    <hyperlink r:id="rId10618" ref="L9666"/>
    <hyperlink r:id="rId10619" ref="K9667"/>
    <hyperlink r:id="rId10620" ref="L9667"/>
    <hyperlink r:id="rId10621" ref="K9668"/>
    <hyperlink r:id="rId10622" ref="L9668"/>
    <hyperlink r:id="rId10623" ref="K9669"/>
    <hyperlink r:id="rId10624" ref="L9669"/>
    <hyperlink r:id="rId10625" ref="K9670"/>
    <hyperlink r:id="rId10626" ref="L9670"/>
    <hyperlink r:id="rId10627" ref="K9671"/>
    <hyperlink r:id="rId10628" ref="L9671"/>
    <hyperlink r:id="rId10629" ref="K9672"/>
    <hyperlink r:id="rId10630" ref="L9672"/>
    <hyperlink r:id="rId10631" ref="K9673"/>
    <hyperlink r:id="rId10632" ref="L9673"/>
    <hyperlink r:id="rId10633" ref="K9674"/>
    <hyperlink r:id="rId10634" ref="L9674"/>
    <hyperlink r:id="rId10635" ref="K9675"/>
    <hyperlink r:id="rId10636" ref="K9676"/>
    <hyperlink r:id="rId10637" ref="L9676"/>
    <hyperlink r:id="rId10638" ref="K9677"/>
    <hyperlink r:id="rId10639" ref="L9677"/>
    <hyperlink r:id="rId10640" ref="K9678"/>
    <hyperlink r:id="rId10641" ref="L9678"/>
    <hyperlink r:id="rId10642" ref="K9679"/>
    <hyperlink r:id="rId10643" ref="L9679"/>
    <hyperlink r:id="rId10644" ref="K9680"/>
    <hyperlink r:id="rId10645" ref="L9680"/>
    <hyperlink r:id="rId10646" ref="K9681"/>
    <hyperlink r:id="rId10647" ref="L9681"/>
    <hyperlink r:id="rId10648" ref="K9682"/>
    <hyperlink r:id="rId10649" ref="L9682"/>
    <hyperlink r:id="rId10650" ref="K9683"/>
    <hyperlink r:id="rId10651" ref="L9683"/>
    <hyperlink r:id="rId10652" ref="K9684"/>
    <hyperlink r:id="rId10653" ref="L9684"/>
    <hyperlink r:id="rId10654" ref="K9685"/>
    <hyperlink r:id="rId10655" ref="L9685"/>
    <hyperlink r:id="rId10656" ref="K9686"/>
    <hyperlink r:id="rId10657" ref="L9686"/>
    <hyperlink r:id="rId10658" ref="K9687"/>
    <hyperlink r:id="rId10659" ref="L9687"/>
    <hyperlink r:id="rId10660" ref="K9688"/>
    <hyperlink r:id="rId10661" ref="L9688"/>
    <hyperlink r:id="rId10662" ref="K9689"/>
    <hyperlink r:id="rId10663" ref="L9689"/>
    <hyperlink r:id="rId10664" ref="K9690"/>
    <hyperlink r:id="rId10665" ref="L9690"/>
    <hyperlink r:id="rId10666" ref="K9691"/>
    <hyperlink r:id="rId10667" ref="L9691"/>
    <hyperlink r:id="rId10668" ref="K9692"/>
    <hyperlink r:id="rId10669" ref="K9693"/>
    <hyperlink r:id="rId10670" ref="L9693"/>
    <hyperlink r:id="rId10671" ref="K9694"/>
    <hyperlink r:id="rId10672" ref="L9694"/>
    <hyperlink r:id="rId10673" ref="K9695"/>
    <hyperlink r:id="rId10674" ref="L9695"/>
    <hyperlink r:id="rId10675" ref="K9696"/>
    <hyperlink r:id="rId10676" ref="L9696"/>
    <hyperlink r:id="rId10677" ref="K9697"/>
    <hyperlink r:id="rId10678" ref="L9697"/>
    <hyperlink r:id="rId10679" ref="K9698"/>
    <hyperlink r:id="rId10680" ref="L9698"/>
    <hyperlink r:id="rId10681" ref="K9699"/>
    <hyperlink r:id="rId10682" ref="L9699"/>
    <hyperlink r:id="rId10683" ref="K9700"/>
    <hyperlink r:id="rId10684" ref="L9700"/>
    <hyperlink r:id="rId10685" ref="K9701"/>
    <hyperlink r:id="rId10626" ref="L9701"/>
    <hyperlink r:id="rId10686" ref="K9702"/>
    <hyperlink r:id="rId10687" ref="L9702"/>
    <hyperlink r:id="rId10688" ref="K9703"/>
    <hyperlink r:id="rId10649" ref="L9703"/>
    <hyperlink r:id="rId10689" ref="K9704"/>
    <hyperlink r:id="rId10690" ref="L9704"/>
    <hyperlink r:id="rId10691" ref="K9705"/>
    <hyperlink r:id="rId10692" ref="K9706"/>
    <hyperlink r:id="rId10693" ref="L9706"/>
    <hyperlink r:id="rId10694" ref="K9707"/>
    <hyperlink r:id="rId10695" ref="L9707"/>
    <hyperlink r:id="rId10696" ref="K9708"/>
    <hyperlink r:id="rId10697" ref="L9708"/>
    <hyperlink r:id="rId10698" ref="K9709"/>
    <hyperlink r:id="rId10699" ref="L9709"/>
    <hyperlink r:id="rId10700" ref="K9710"/>
    <hyperlink r:id="rId10701" ref="L9710"/>
    <hyperlink r:id="rId10702" ref="K9711"/>
    <hyperlink r:id="rId10703" ref="L9711"/>
    <hyperlink r:id="rId10704" ref="K9712"/>
    <hyperlink r:id="rId10705" ref="L9712"/>
    <hyperlink r:id="rId10706" ref="K9713"/>
    <hyperlink r:id="rId10707" ref="L9713"/>
    <hyperlink r:id="rId10708" ref="K9714"/>
    <hyperlink r:id="rId10600" ref="L9714"/>
    <hyperlink r:id="rId10709" ref="K9715"/>
    <hyperlink r:id="rId10710" ref="L9715"/>
    <hyperlink r:id="rId10711" ref="K9716"/>
    <hyperlink r:id="rId10712" ref="L9716"/>
    <hyperlink r:id="rId10713" ref="K9717"/>
    <hyperlink r:id="rId10714" ref="L9717"/>
    <hyperlink r:id="rId10715" ref="K9718"/>
    <hyperlink r:id="rId10716" ref="L9718"/>
    <hyperlink r:id="rId10717" ref="K9719"/>
    <hyperlink r:id="rId10718" ref="L9719"/>
    <hyperlink r:id="rId10719" ref="K9720"/>
    <hyperlink r:id="rId10720" ref="L9720"/>
    <hyperlink r:id="rId10721" ref="K9721"/>
    <hyperlink r:id="rId10722" ref="L9721"/>
    <hyperlink r:id="rId10723" ref="K9722"/>
    <hyperlink r:id="rId10724" ref="L9722"/>
    <hyperlink r:id="rId10725" ref="K9723"/>
    <hyperlink r:id="rId10726" ref="L9723"/>
    <hyperlink r:id="rId10727" ref="K9724"/>
    <hyperlink r:id="rId10728" ref="L9724"/>
    <hyperlink r:id="rId10729" ref="K9725"/>
    <hyperlink r:id="rId10730" ref="L9725"/>
    <hyperlink r:id="rId10731" ref="K9726"/>
    <hyperlink r:id="rId10732" ref="K9727"/>
    <hyperlink r:id="rId10733" ref="L9727"/>
    <hyperlink r:id="rId10734" ref="K9728"/>
    <hyperlink r:id="rId10735" ref="L9728"/>
    <hyperlink r:id="rId10736" ref="K9729"/>
    <hyperlink r:id="rId10737" ref="L9729"/>
    <hyperlink r:id="rId10738" ref="K9730"/>
    <hyperlink r:id="rId10739" ref="L9730"/>
    <hyperlink r:id="rId10740" ref="K9731"/>
    <hyperlink r:id="rId10741" ref="L9731"/>
    <hyperlink r:id="rId10742" ref="K9732"/>
    <hyperlink r:id="rId10743" ref="L9732"/>
    <hyperlink r:id="rId10744" ref="K9733"/>
    <hyperlink r:id="rId10745" ref="L9733"/>
    <hyperlink r:id="rId10746" ref="K9734"/>
    <hyperlink r:id="rId10747" ref="L9734"/>
    <hyperlink r:id="rId10748" ref="K9735"/>
    <hyperlink r:id="rId10749" ref="L9735"/>
    <hyperlink r:id="rId10750" ref="K9736"/>
    <hyperlink r:id="rId10751" ref="L9736"/>
    <hyperlink r:id="rId10752" ref="K9737"/>
    <hyperlink r:id="rId10753" ref="L9737"/>
    <hyperlink r:id="rId10754" ref="K9738"/>
    <hyperlink r:id="rId10755" ref="L9738"/>
    <hyperlink r:id="rId10756" ref="K9739"/>
    <hyperlink r:id="rId10757" ref="L9739"/>
    <hyperlink r:id="rId10758" ref="K9740"/>
    <hyperlink r:id="rId10759" ref="L9740"/>
    <hyperlink r:id="rId10760" ref="K9741"/>
    <hyperlink r:id="rId10761" ref="L9741"/>
    <hyperlink r:id="rId10762" ref="K9742"/>
    <hyperlink r:id="rId10763" ref="L9742"/>
    <hyperlink r:id="rId10764" ref="K9743"/>
    <hyperlink r:id="rId10765" ref="L9743"/>
    <hyperlink r:id="rId10766" ref="K9744"/>
    <hyperlink r:id="rId10767" ref="L9744"/>
    <hyperlink r:id="rId10768" ref="K9745"/>
    <hyperlink r:id="rId10769" ref="L9745"/>
    <hyperlink r:id="rId10770" ref="K9746"/>
    <hyperlink r:id="rId10771" ref="L9746"/>
    <hyperlink r:id="rId10772" ref="K9747"/>
    <hyperlink r:id="rId10773" ref="L9747"/>
    <hyperlink r:id="rId10774" ref="K9748"/>
    <hyperlink r:id="rId10775" ref="L9748"/>
    <hyperlink r:id="rId10776" ref="K9749"/>
    <hyperlink r:id="rId10777" ref="L9749"/>
    <hyperlink r:id="rId10778" ref="K9750"/>
    <hyperlink r:id="rId10779" ref="L9750"/>
    <hyperlink r:id="rId10780" ref="K9751"/>
    <hyperlink r:id="rId10781" ref="L9751"/>
    <hyperlink r:id="rId10782" ref="K9752"/>
    <hyperlink r:id="rId10610" ref="L9752"/>
    <hyperlink r:id="rId10783" ref="K9753"/>
    <hyperlink r:id="rId10637" ref="L9753"/>
    <hyperlink r:id="rId10784" ref="K9754"/>
    <hyperlink r:id="rId10785" ref="L9754"/>
    <hyperlink r:id="rId10786" ref="K9755"/>
    <hyperlink r:id="rId10787" ref="K9756"/>
    <hyperlink r:id="rId10788" ref="K9757"/>
    <hyperlink r:id="rId10789" ref="L9757"/>
    <hyperlink r:id="rId10790" ref="K9758"/>
    <hyperlink r:id="rId10791" ref="L9758"/>
    <hyperlink r:id="rId10792" ref="K9759"/>
    <hyperlink r:id="rId10793" ref="L9759"/>
    <hyperlink r:id="rId10794" ref="K9760"/>
    <hyperlink r:id="rId10795" ref="L9760"/>
    <hyperlink r:id="rId10796" ref="K9761"/>
    <hyperlink r:id="rId10797" ref="L9761"/>
    <hyperlink r:id="rId10798" ref="K9762"/>
    <hyperlink r:id="rId10608" ref="L9762"/>
    <hyperlink r:id="rId10799" ref="K9763"/>
    <hyperlink r:id="rId10800" ref="L9763"/>
    <hyperlink r:id="rId10801" ref="K9764"/>
    <hyperlink r:id="rId10802" ref="L9764"/>
    <hyperlink r:id="rId10803" ref="K9765"/>
    <hyperlink r:id="rId10804" ref="L9765"/>
    <hyperlink r:id="rId10805" ref="K9766"/>
    <hyperlink r:id="rId9921" ref="L9766"/>
    <hyperlink r:id="rId10806" ref="K9767"/>
    <hyperlink r:id="rId10807" ref="L9767"/>
    <hyperlink r:id="rId10808" ref="K9768"/>
    <hyperlink r:id="rId10809" ref="L9768"/>
    <hyperlink r:id="rId10810" ref="K9769"/>
    <hyperlink r:id="rId10811" ref="L9769"/>
    <hyperlink r:id="rId10812" ref="K9770"/>
    <hyperlink r:id="rId10813" ref="L9770"/>
    <hyperlink r:id="rId10814" ref="K9771"/>
    <hyperlink r:id="rId10815" ref="L9771"/>
    <hyperlink r:id="rId10816" ref="K9772"/>
    <hyperlink r:id="rId10817" ref="L9772"/>
    <hyperlink r:id="rId10818" ref="K9773"/>
    <hyperlink r:id="rId10614" ref="L9773"/>
    <hyperlink r:id="rId10819" ref="K9774"/>
    <hyperlink r:id="rId10820" ref="L9774"/>
    <hyperlink r:id="rId10821" ref="K9775"/>
    <hyperlink r:id="rId10822" ref="L9775"/>
    <hyperlink r:id="rId10823" ref="K9776"/>
    <hyperlink r:id="rId10824" ref="L9776"/>
    <hyperlink r:id="rId10825" ref="K9777"/>
    <hyperlink r:id="rId10826" ref="L9777"/>
    <hyperlink r:id="rId10827" ref="K9778"/>
    <hyperlink r:id="rId10828" ref="L9778"/>
    <hyperlink r:id="rId10829" ref="E9779"/>
    <hyperlink r:id="rId10830" ref="K9779"/>
    <hyperlink r:id="rId10829" ref="L9779"/>
    <hyperlink r:id="rId10831" ref="K9780"/>
    <hyperlink r:id="rId10832" ref="L9780"/>
    <hyperlink r:id="rId10833" ref="K9781"/>
    <hyperlink r:id="rId10834" ref="L9781"/>
    <hyperlink r:id="rId10835" ref="K9782"/>
    <hyperlink r:id="rId10836" ref="L9782"/>
    <hyperlink r:id="rId10837" ref="K9783"/>
    <hyperlink r:id="rId10838" ref="L9783"/>
    <hyperlink r:id="rId10839" ref="K9784"/>
    <hyperlink r:id="rId10606" ref="L9784"/>
    <hyperlink r:id="rId10840" ref="K9785"/>
    <hyperlink r:id="rId10841" ref="L9785"/>
    <hyperlink r:id="rId10842" ref="K9786"/>
    <hyperlink r:id="rId10843" ref="L9786"/>
    <hyperlink r:id="rId10844" ref="K9787"/>
    <hyperlink r:id="rId10845" ref="L9787"/>
    <hyperlink r:id="rId10846" ref="K9788"/>
    <hyperlink r:id="rId10847" ref="L9788"/>
    <hyperlink r:id="rId10848" ref="K9789"/>
    <hyperlink r:id="rId10849" ref="K9790"/>
    <hyperlink r:id="rId10850" ref="L9790"/>
    <hyperlink r:id="rId10851" ref="K9791"/>
    <hyperlink r:id="rId10852" ref="L9791"/>
    <hyperlink r:id="rId10853" ref="K9792"/>
    <hyperlink r:id="rId10854" ref="L9792"/>
    <hyperlink r:id="rId10855" ref="K9793"/>
    <hyperlink r:id="rId10856" ref="L9793"/>
    <hyperlink r:id="rId10857" ref="K9794"/>
    <hyperlink r:id="rId10858" ref="L9794"/>
    <hyperlink r:id="rId10859" ref="K9795"/>
    <hyperlink r:id="rId10860" ref="L9795"/>
    <hyperlink r:id="rId10861" ref="K9796"/>
    <hyperlink r:id="rId10862" ref="L9796"/>
    <hyperlink r:id="rId10863" ref="K9797"/>
    <hyperlink r:id="rId10864" ref="L9797"/>
    <hyperlink r:id="rId10865" ref="K9798"/>
    <hyperlink r:id="rId10866" ref="K9799"/>
    <hyperlink r:id="rId10867" ref="L9799"/>
    <hyperlink r:id="rId10868" ref="K9800"/>
    <hyperlink r:id="rId10869" ref="L9800"/>
    <hyperlink r:id="rId10870" ref="K9801"/>
    <hyperlink r:id="rId10871" ref="L9801"/>
    <hyperlink r:id="rId10872" ref="K9802"/>
    <hyperlink r:id="rId10873" ref="L9802"/>
    <hyperlink r:id="rId10874" ref="K9803"/>
    <hyperlink r:id="rId10875" ref="L9803"/>
    <hyperlink r:id="rId10876" ref="K9804"/>
    <hyperlink r:id="rId10877" ref="L9804"/>
    <hyperlink r:id="rId10878" ref="K9805"/>
    <hyperlink r:id="rId10879" ref="L9805"/>
    <hyperlink r:id="rId10880" ref="K9806"/>
    <hyperlink r:id="rId10881" ref="L9806"/>
    <hyperlink r:id="rId10882" ref="K9807"/>
    <hyperlink r:id="rId10883" ref="L9807"/>
    <hyperlink r:id="rId10884" ref="K9808"/>
    <hyperlink r:id="rId10885" ref="L9808"/>
    <hyperlink r:id="rId10886" ref="K9809"/>
    <hyperlink r:id="rId10887" ref="L9809"/>
    <hyperlink r:id="rId10888" ref="K9810"/>
    <hyperlink r:id="rId10889" ref="L9810"/>
    <hyperlink r:id="rId10890" ref="K9811"/>
    <hyperlink r:id="rId10891" ref="L9811"/>
    <hyperlink r:id="rId10892" ref="K9812"/>
    <hyperlink r:id="rId10893" ref="L9812"/>
    <hyperlink r:id="rId10894" ref="K9813"/>
    <hyperlink r:id="rId10895" ref="L9813"/>
    <hyperlink r:id="rId10896" ref="K9814"/>
    <hyperlink r:id="rId10897" ref="L9814"/>
    <hyperlink r:id="rId10898" ref="K9815"/>
    <hyperlink r:id="rId10899" ref="L9815"/>
    <hyperlink r:id="rId10900" ref="K9816"/>
    <hyperlink r:id="rId10578" ref="L9816"/>
    <hyperlink r:id="rId10901" ref="K9817"/>
    <hyperlink r:id="rId10902" ref="L9817"/>
    <hyperlink r:id="rId10903" ref="K9818"/>
    <hyperlink r:id="rId10904" ref="K9819"/>
    <hyperlink r:id="rId10905" ref="L9819"/>
    <hyperlink r:id="rId10906" ref="K9820"/>
    <hyperlink r:id="rId10907" ref="L9820"/>
    <hyperlink r:id="rId10908" ref="K9821"/>
    <hyperlink r:id="rId10909" ref="L9821"/>
    <hyperlink r:id="rId10910" ref="K9822"/>
    <hyperlink r:id="rId10911" ref="L9822"/>
    <hyperlink r:id="rId10912" ref="K9823"/>
    <hyperlink r:id="rId10913" ref="L9823"/>
    <hyperlink r:id="rId10914" ref="K9824"/>
    <hyperlink r:id="rId10915" ref="L9824"/>
    <hyperlink r:id="rId10916" ref="K9825"/>
    <hyperlink r:id="rId10917" ref="L9825"/>
    <hyperlink r:id="rId10918" ref="K9826"/>
    <hyperlink r:id="rId10919" ref="L9826"/>
    <hyperlink r:id="rId10920" ref="K9827"/>
    <hyperlink r:id="rId10921" ref="L9827"/>
    <hyperlink r:id="rId10922" ref="K9828"/>
    <hyperlink r:id="rId10923" ref="L9828"/>
    <hyperlink r:id="rId10924" ref="K9829"/>
    <hyperlink r:id="rId10925" ref="L9829"/>
    <hyperlink r:id="rId10926" ref="K9830"/>
    <hyperlink r:id="rId10927" ref="L9830"/>
    <hyperlink r:id="rId10928" ref="K9831"/>
    <hyperlink r:id="rId10929" ref="L9831"/>
    <hyperlink r:id="rId10930" ref="K9832"/>
    <hyperlink r:id="rId10931" ref="K9833"/>
    <hyperlink r:id="rId10932" ref="L9833"/>
    <hyperlink r:id="rId10933" ref="K9834"/>
    <hyperlink r:id="rId10934" ref="L9834"/>
    <hyperlink r:id="rId10935" ref="K9835"/>
    <hyperlink r:id="rId10936" ref="K9836"/>
    <hyperlink r:id="rId10937" ref="L9836"/>
    <hyperlink r:id="rId10938" ref="K9837"/>
    <hyperlink r:id="rId10939" ref="L9837"/>
    <hyperlink r:id="rId10940" ref="K9838"/>
    <hyperlink r:id="rId10941" ref="L9838"/>
    <hyperlink r:id="rId10942" ref="K9839"/>
    <hyperlink r:id="rId10707" ref="L9839"/>
    <hyperlink r:id="rId10943" ref="K9840"/>
    <hyperlink r:id="rId10944" ref="L9840"/>
    <hyperlink r:id="rId10945" ref="K9841"/>
    <hyperlink r:id="rId10946" ref="L9841"/>
    <hyperlink r:id="rId10947" ref="K9842"/>
    <hyperlink r:id="rId10948" ref="L9842"/>
    <hyperlink r:id="rId10949" ref="K9843"/>
    <hyperlink r:id="rId10950" ref="L9843"/>
    <hyperlink r:id="rId10951" ref="K9844"/>
    <hyperlink r:id="rId10952" ref="L9844"/>
    <hyperlink r:id="rId10953" ref="K9845"/>
    <hyperlink r:id="rId10954" ref="L9845"/>
    <hyperlink r:id="rId10955" ref="K9846"/>
    <hyperlink r:id="rId10956" ref="L9846"/>
    <hyperlink r:id="rId10957" ref="K9847"/>
    <hyperlink r:id="rId10958" ref="L9847"/>
    <hyperlink r:id="rId10959" ref="K9848"/>
    <hyperlink r:id="rId10960" ref="L9848"/>
    <hyperlink r:id="rId10961" ref="K9849"/>
    <hyperlink r:id="rId10962" ref="K9850"/>
    <hyperlink r:id="rId10963" ref="L9850"/>
    <hyperlink r:id="rId10964" ref="K9851"/>
    <hyperlink r:id="rId10965" ref="L9851"/>
    <hyperlink r:id="rId10966" ref="K9852"/>
    <hyperlink r:id="rId10967" ref="L9852"/>
    <hyperlink r:id="rId10968" ref="K9853"/>
    <hyperlink r:id="rId10969" ref="K9854"/>
    <hyperlink r:id="rId10970" ref="L9854"/>
    <hyperlink r:id="rId10971" ref="K9855"/>
    <hyperlink r:id="rId10972" ref="L9855"/>
    <hyperlink r:id="rId10973" ref="K9856"/>
    <hyperlink r:id="rId10974" ref="L9856"/>
    <hyperlink r:id="rId10975" ref="K9857"/>
    <hyperlink r:id="rId10976" ref="L9857"/>
    <hyperlink r:id="rId10977" ref="K9858"/>
    <hyperlink r:id="rId10978" ref="L9858"/>
    <hyperlink r:id="rId10979" ref="K9859"/>
    <hyperlink r:id="rId10980" ref="L9859"/>
    <hyperlink r:id="rId10981" ref="K9860"/>
    <hyperlink r:id="rId10982" ref="L9860"/>
    <hyperlink r:id="rId10983" ref="K9861"/>
    <hyperlink r:id="rId10984" ref="K9862"/>
    <hyperlink r:id="rId10985" ref="L9862"/>
    <hyperlink r:id="rId10986" ref="K9863"/>
    <hyperlink r:id="rId10590" ref="L9863"/>
    <hyperlink r:id="rId10987" ref="K9864"/>
    <hyperlink r:id="rId10988" ref="K9865"/>
    <hyperlink r:id="rId10989" ref="L9865"/>
    <hyperlink r:id="rId10990" ref="K9866"/>
    <hyperlink r:id="rId10991" ref="L9866"/>
    <hyperlink r:id="rId10992" ref="K9867"/>
    <hyperlink r:id="rId10993" ref="L9867"/>
    <hyperlink r:id="rId10994" ref="K9868"/>
    <hyperlink r:id="rId10995" ref="L9868"/>
    <hyperlink r:id="rId10996" ref="K9869"/>
    <hyperlink r:id="rId10997" ref="L9869"/>
    <hyperlink r:id="rId10998" ref="K9870"/>
    <hyperlink r:id="rId10999" ref="L9870"/>
    <hyperlink r:id="rId11000" ref="K9871"/>
    <hyperlink r:id="rId11001" ref="L9871"/>
    <hyperlink r:id="rId11002" ref="K9872"/>
    <hyperlink r:id="rId11003" ref="L9872"/>
    <hyperlink r:id="rId11004" ref="K9873"/>
    <hyperlink r:id="rId11005" ref="K9874"/>
    <hyperlink r:id="rId11006" ref="L9874"/>
    <hyperlink r:id="rId11007" ref="K9875"/>
    <hyperlink r:id="rId11008" ref="L9875"/>
    <hyperlink r:id="rId11009" ref="K9876"/>
    <hyperlink r:id="rId11010" ref="L9876"/>
    <hyperlink r:id="rId11011" ref="K9877"/>
    <hyperlink r:id="rId11012" ref="L9877"/>
    <hyperlink r:id="rId11013" ref="K9878"/>
    <hyperlink r:id="rId11014" ref="L9878"/>
    <hyperlink r:id="rId11015" ref="K9879"/>
    <hyperlink r:id="rId11016" ref="L9879"/>
    <hyperlink r:id="rId11017" ref="K9880"/>
    <hyperlink r:id="rId11018" ref="L9880"/>
    <hyperlink r:id="rId11019" ref="K9881"/>
    <hyperlink r:id="rId11020" ref="L9881"/>
    <hyperlink r:id="rId11021" ref="K9882"/>
    <hyperlink r:id="rId11022" ref="L9882"/>
    <hyperlink r:id="rId11023" ref="K9883"/>
    <hyperlink r:id="rId11024" ref="K9884"/>
    <hyperlink r:id="rId10310" ref="L9884"/>
    <hyperlink r:id="rId11025" ref="K9885"/>
    <hyperlink r:id="rId11026" ref="L9885"/>
    <hyperlink r:id="rId11027" ref="K9886"/>
    <hyperlink r:id="rId11028" ref="L9886"/>
    <hyperlink r:id="rId11029" ref="K9887"/>
    <hyperlink r:id="rId11030" ref="L9887"/>
    <hyperlink r:id="rId11031" ref="K9888"/>
    <hyperlink r:id="rId10755" ref="L9888"/>
    <hyperlink r:id="rId11032" ref="K9889"/>
    <hyperlink r:id="rId11033" ref="L9889"/>
    <hyperlink r:id="rId11034" ref="K9890"/>
    <hyperlink r:id="rId11035" ref="L9890"/>
    <hyperlink r:id="rId11036" ref="K9891"/>
    <hyperlink r:id="rId11037" ref="L9891"/>
    <hyperlink r:id="rId11038" ref="K9892"/>
    <hyperlink r:id="rId11039" ref="L9892"/>
    <hyperlink r:id="rId11040" ref="K9893"/>
    <hyperlink r:id="rId11041" ref="L9893"/>
    <hyperlink r:id="rId11042" ref="K9894"/>
    <hyperlink r:id="rId11043" ref="L9894"/>
    <hyperlink r:id="rId11044" ref="K9895"/>
    <hyperlink r:id="rId11045" ref="L9895"/>
    <hyperlink r:id="rId11046" ref="K9896"/>
    <hyperlink r:id="rId11047" ref="L9896"/>
    <hyperlink r:id="rId11048" ref="K9897"/>
    <hyperlink r:id="rId11049" ref="L9897"/>
    <hyperlink r:id="rId11050" ref="K9898"/>
    <hyperlink r:id="rId11051" ref="L9898"/>
    <hyperlink r:id="rId11052" ref="K9899"/>
    <hyperlink r:id="rId11053" ref="L9899"/>
    <hyperlink r:id="rId11054" ref="K9900"/>
    <hyperlink r:id="rId11055" ref="K9901"/>
    <hyperlink r:id="rId11056" ref="L9901"/>
    <hyperlink r:id="rId11057" ref="K9902"/>
    <hyperlink r:id="rId11058" ref="L9902"/>
    <hyperlink r:id="rId11059" ref="K9903"/>
    <hyperlink r:id="rId11060" ref="L9903"/>
    <hyperlink r:id="rId11061" ref="K9904"/>
    <hyperlink r:id="rId11062" ref="L9904"/>
    <hyperlink r:id="rId11063" ref="K9905"/>
    <hyperlink r:id="rId11064" ref="L9905"/>
    <hyperlink r:id="rId11065" ref="K9906"/>
    <hyperlink r:id="rId11066" ref="L9906"/>
    <hyperlink r:id="rId11067" ref="K9907"/>
    <hyperlink r:id="rId11068" ref="L9907"/>
    <hyperlink r:id="rId11069" ref="K9908"/>
    <hyperlink r:id="rId11070" ref="K9909"/>
    <hyperlink r:id="rId11071" ref="L9909"/>
    <hyperlink r:id="rId11072" ref="K9910"/>
    <hyperlink r:id="rId11073" ref="L9910"/>
    <hyperlink r:id="rId11074" ref="K9911"/>
    <hyperlink r:id="rId10864" ref="L9911"/>
    <hyperlink r:id="rId11075" ref="K9912"/>
    <hyperlink r:id="rId11076" ref="L9912"/>
    <hyperlink r:id="rId11077" ref="K9913"/>
    <hyperlink r:id="rId11078" ref="K9914"/>
    <hyperlink r:id="rId11079" ref="K9915"/>
    <hyperlink r:id="rId11080" ref="L9915"/>
    <hyperlink r:id="rId11081" ref="K9916"/>
    <hyperlink r:id="rId11082" ref="L9916"/>
    <hyperlink r:id="rId11083" ref="K9917"/>
    <hyperlink r:id="rId11084" ref="L9917"/>
    <hyperlink r:id="rId11085" ref="K9918"/>
    <hyperlink r:id="rId11086" ref="L9918"/>
    <hyperlink r:id="rId11087" ref="K9919"/>
    <hyperlink r:id="rId11088" ref="L9919"/>
    <hyperlink r:id="rId11089" ref="K9920"/>
    <hyperlink r:id="rId11090" ref="L9920"/>
    <hyperlink r:id="rId11091" ref="K9921"/>
    <hyperlink r:id="rId11092" ref="L9921"/>
    <hyperlink r:id="rId11093" ref="K9922"/>
    <hyperlink r:id="rId11094" ref="L9922"/>
    <hyperlink r:id="rId11095" ref="K9923"/>
    <hyperlink r:id="rId11037" ref="L9923"/>
    <hyperlink r:id="rId11096" ref="K9924"/>
    <hyperlink r:id="rId11097" ref="L9924"/>
    <hyperlink r:id="rId11098" ref="K9925"/>
    <hyperlink r:id="rId11099" ref="L9925"/>
    <hyperlink r:id="rId11100" ref="K9926"/>
    <hyperlink r:id="rId11101" ref="L9926"/>
    <hyperlink r:id="rId11102" ref="K9927"/>
    <hyperlink r:id="rId11103" ref="L9927"/>
    <hyperlink r:id="rId11104" ref="K9928"/>
    <hyperlink r:id="rId11105" ref="L9928"/>
    <hyperlink r:id="rId11106" ref="K9929"/>
    <hyperlink r:id="rId10726" ref="L9929"/>
    <hyperlink r:id="rId11107" ref="K9930"/>
    <hyperlink r:id="rId11108" ref="L9930"/>
    <hyperlink r:id="rId11109" ref="K9931"/>
    <hyperlink r:id="rId11110" ref="L9931"/>
    <hyperlink r:id="rId11111" ref="K9932"/>
    <hyperlink r:id="rId11112" ref="L9932"/>
    <hyperlink r:id="rId11113" ref="K9933"/>
    <hyperlink r:id="rId11114" ref="K9934"/>
    <hyperlink r:id="rId11115" ref="L9934"/>
    <hyperlink r:id="rId11116" ref="K9935"/>
    <hyperlink r:id="rId11117" ref="L9935"/>
    <hyperlink r:id="rId11118" ref="K9936"/>
    <hyperlink r:id="rId11119" ref="L9936"/>
    <hyperlink r:id="rId11120" ref="K9937"/>
    <hyperlink r:id="rId11121" ref="L9937"/>
    <hyperlink r:id="rId11122" ref="K9938"/>
    <hyperlink r:id="rId11123" ref="L9938"/>
    <hyperlink r:id="rId11124" ref="E9939"/>
    <hyperlink r:id="rId11125" ref="K9939"/>
    <hyperlink r:id="rId11124" ref="L9939"/>
    <hyperlink r:id="rId11126" ref="K9940"/>
    <hyperlink r:id="rId11127" ref="L9940"/>
    <hyperlink r:id="rId11128" ref="K9941"/>
    <hyperlink r:id="rId11129" ref="L9941"/>
    <hyperlink r:id="rId11130" ref="K9942"/>
    <hyperlink r:id="rId11131" ref="L9942"/>
    <hyperlink r:id="rId11132" ref="K9943"/>
    <hyperlink r:id="rId11133" ref="L9943"/>
    <hyperlink r:id="rId11134" ref="K9944"/>
    <hyperlink r:id="rId11135" ref="L9944"/>
    <hyperlink r:id="rId11136" ref="K9945"/>
    <hyperlink r:id="rId11137" ref="L9945"/>
    <hyperlink r:id="rId11138" ref="K9946"/>
    <hyperlink r:id="rId11139" ref="L9946"/>
    <hyperlink r:id="rId11140" ref="K9947"/>
    <hyperlink r:id="rId10716" ref="L9947"/>
    <hyperlink r:id="rId11141" ref="K9948"/>
    <hyperlink r:id="rId11142" ref="L9948"/>
    <hyperlink r:id="rId11143" ref="K9949"/>
    <hyperlink r:id="rId11144" ref="L9949"/>
    <hyperlink r:id="rId11145" ref="K9950"/>
    <hyperlink r:id="rId11146" ref="L9950"/>
    <hyperlink r:id="rId11147" ref="K9951"/>
    <hyperlink r:id="rId11148" ref="L9951"/>
    <hyperlink r:id="rId11149" ref="K9952"/>
    <hyperlink r:id="rId11150" ref="L9952"/>
    <hyperlink r:id="rId11151" ref="K9953"/>
    <hyperlink r:id="rId11152" ref="L9953"/>
    <hyperlink r:id="rId11153" ref="K9954"/>
    <hyperlink r:id="rId11060" ref="L9954"/>
    <hyperlink r:id="rId11154" ref="K9955"/>
    <hyperlink r:id="rId11155" ref="L9955"/>
    <hyperlink r:id="rId11156" ref="K9956"/>
    <hyperlink r:id="rId10649" ref="L9956"/>
    <hyperlink r:id="rId11157" ref="K9957"/>
    <hyperlink r:id="rId11158" ref="L9957"/>
    <hyperlink r:id="rId11159" ref="K9958"/>
    <hyperlink r:id="rId11160" ref="L9958"/>
    <hyperlink r:id="rId11161" ref="K9959"/>
    <hyperlink r:id="rId11162" ref="L9959"/>
    <hyperlink r:id="rId11163" ref="K9960"/>
    <hyperlink r:id="rId11164" ref="L9960"/>
    <hyperlink r:id="rId11165" ref="K9961"/>
    <hyperlink r:id="rId11166" ref="L9961"/>
    <hyperlink r:id="rId11167" ref="K9962"/>
    <hyperlink r:id="rId11168" ref="L9962"/>
    <hyperlink r:id="rId11169" ref="K9963"/>
    <hyperlink r:id="rId10965" ref="L9963"/>
    <hyperlink r:id="rId11170" ref="K9964"/>
    <hyperlink r:id="rId11171" ref="L9964"/>
    <hyperlink r:id="rId11172" ref="K9965"/>
    <hyperlink r:id="rId11173" ref="L9965"/>
    <hyperlink r:id="rId11174" ref="K9966"/>
    <hyperlink r:id="rId11117" ref="L9966"/>
    <hyperlink r:id="rId11175" ref="K9967"/>
    <hyperlink r:id="rId11176" ref="L9967"/>
    <hyperlink r:id="rId11177" ref="K9968"/>
    <hyperlink r:id="rId11178" ref="L9968"/>
    <hyperlink r:id="rId11179" ref="K9969"/>
    <hyperlink r:id="rId11180" ref="L9969"/>
    <hyperlink r:id="rId11181" ref="K9970"/>
    <hyperlink r:id="rId11182" ref="L9970"/>
    <hyperlink r:id="rId11183" ref="K9971"/>
    <hyperlink r:id="rId10541" ref="L9971"/>
    <hyperlink r:id="rId11184" ref="K9972"/>
    <hyperlink r:id="rId11185" ref="L9972"/>
    <hyperlink r:id="rId11186" ref="K9973"/>
    <hyperlink r:id="rId11103" ref="L9973"/>
    <hyperlink r:id="rId11187" ref="K9974"/>
    <hyperlink r:id="rId10657" ref="L9974"/>
    <hyperlink r:id="rId11188" ref="K9975"/>
    <hyperlink r:id="rId11189" ref="L9975"/>
    <hyperlink r:id="rId11190" ref="K9976"/>
    <hyperlink r:id="rId11191" ref="L9976"/>
    <hyperlink r:id="rId11192" ref="K9977"/>
    <hyperlink r:id="rId11193" ref="L9977"/>
    <hyperlink r:id="rId11194" ref="K9978"/>
    <hyperlink r:id="rId11195" ref="L9978"/>
    <hyperlink r:id="rId11196" ref="K9979"/>
    <hyperlink r:id="rId10802" ref="L9979"/>
    <hyperlink r:id="rId11197" ref="K9980"/>
    <hyperlink r:id="rId11198" ref="L9980"/>
    <hyperlink r:id="rId11199" ref="K9981"/>
    <hyperlink r:id="rId11200" ref="L9981"/>
    <hyperlink r:id="rId11201" ref="K9982"/>
    <hyperlink r:id="rId11202" ref="L9982"/>
    <hyperlink r:id="rId11203" ref="K9983"/>
    <hyperlink r:id="rId10665" ref="L9983"/>
    <hyperlink r:id="rId11204" ref="K9984"/>
    <hyperlink r:id="rId11205" ref="L9984"/>
    <hyperlink r:id="rId11206" ref="K9985"/>
    <hyperlink r:id="rId11207" ref="L9985"/>
    <hyperlink r:id="rId11208" ref="K9986"/>
    <hyperlink r:id="rId11209" ref="L9986"/>
    <hyperlink r:id="rId11210" ref="K9987"/>
    <hyperlink r:id="rId11211" ref="L9987"/>
    <hyperlink r:id="rId11212" ref="K9988"/>
    <hyperlink r:id="rId11213" ref="L9988"/>
    <hyperlink r:id="rId11214" ref="K9989"/>
    <hyperlink r:id="rId11215" ref="L9989"/>
    <hyperlink r:id="rId11216" ref="K9990"/>
    <hyperlink r:id="rId10826" ref="L9990"/>
    <hyperlink r:id="rId11217" ref="K9991"/>
    <hyperlink r:id="rId11218" ref="L9991"/>
    <hyperlink r:id="rId11219" ref="K9992"/>
    <hyperlink r:id="rId11220" ref="L9992"/>
    <hyperlink r:id="rId11221" ref="K9993"/>
    <hyperlink r:id="rId11222" ref="L9993"/>
    <hyperlink r:id="rId11223" ref="K9994"/>
    <hyperlink r:id="rId11224" ref="L9994"/>
    <hyperlink r:id="rId11225" ref="K9995"/>
    <hyperlink r:id="rId11226" ref="L9995"/>
    <hyperlink r:id="rId11227" ref="K9996"/>
    <hyperlink r:id="rId11228" ref="L9996"/>
    <hyperlink r:id="rId11229" ref="K9997"/>
    <hyperlink r:id="rId11230" ref="L9997"/>
    <hyperlink r:id="rId11231" ref="K9998"/>
    <hyperlink r:id="rId11232" ref="K9999"/>
    <hyperlink r:id="rId11233" ref="L9999"/>
    <hyperlink r:id="rId11234" ref="K10000"/>
    <hyperlink r:id="rId11235" ref="K10001"/>
    <hyperlink r:id="rId11236" ref="L10001"/>
    <hyperlink r:id="rId11237" ref="K10002"/>
    <hyperlink r:id="rId11238" ref="K10003"/>
    <hyperlink r:id="rId11239" ref="L10003"/>
    <hyperlink r:id="rId11240" ref="K10004"/>
    <hyperlink r:id="rId11241" ref="L10004"/>
    <hyperlink r:id="rId11242" ref="K10005"/>
    <hyperlink r:id="rId11243" ref="L10005"/>
    <hyperlink r:id="rId11244" ref="K10006"/>
    <hyperlink r:id="rId11245" ref="L10006"/>
    <hyperlink r:id="rId11246" ref="K10007"/>
    <hyperlink r:id="rId11247" ref="L10007"/>
    <hyperlink r:id="rId11248" ref="K10008"/>
    <hyperlink r:id="rId11249" ref="L10008"/>
    <hyperlink r:id="rId11250" ref="K10009"/>
    <hyperlink r:id="rId11251" ref="L10009"/>
    <hyperlink r:id="rId11252" ref="K10010"/>
    <hyperlink r:id="rId11253" ref="L10010"/>
    <hyperlink r:id="rId11254" ref="K10011"/>
    <hyperlink r:id="rId11255" ref="L10011"/>
    <hyperlink r:id="rId11256" ref="K10012"/>
    <hyperlink r:id="rId11257" ref="L10012"/>
    <hyperlink r:id="rId11258" ref="K10013"/>
    <hyperlink r:id="rId11259" ref="L10013"/>
    <hyperlink r:id="rId11260" ref="K10014"/>
    <hyperlink r:id="rId10531" ref="L10014"/>
    <hyperlink r:id="rId11261" ref="K10015"/>
    <hyperlink r:id="rId11262" ref="L10015"/>
    <hyperlink r:id="rId11263" ref="K10016"/>
    <hyperlink r:id="rId11264" ref="L10016"/>
    <hyperlink r:id="rId11265" ref="K10017"/>
    <hyperlink r:id="rId11266" ref="L10017"/>
    <hyperlink r:id="rId11267" ref="K10018"/>
    <hyperlink r:id="rId11268" ref="L10018"/>
    <hyperlink r:id="rId11269" ref="K10019"/>
    <hyperlink r:id="rId11270" ref="L10019"/>
    <hyperlink r:id="rId11271" ref="K10020"/>
    <hyperlink r:id="rId11272" ref="L10020"/>
    <hyperlink r:id="rId11273" ref="K10021"/>
    <hyperlink r:id="rId10832" ref="L10021"/>
    <hyperlink r:id="rId11274" ref="K10022"/>
    <hyperlink r:id="rId11275" ref="L10022"/>
    <hyperlink r:id="rId11276" ref="K10023"/>
    <hyperlink r:id="rId11277" ref="L10023"/>
    <hyperlink r:id="rId11278" ref="K10024"/>
    <hyperlink r:id="rId11279" ref="L10024"/>
    <hyperlink r:id="rId11280" ref="K10025"/>
    <hyperlink r:id="rId11281" ref="L10025"/>
    <hyperlink r:id="rId11282" ref="K10026"/>
    <hyperlink r:id="rId11283" ref="L10026"/>
    <hyperlink r:id="rId10161" ref="E10027"/>
    <hyperlink r:id="rId11284" ref="K10027"/>
    <hyperlink r:id="rId10161" ref="L10027"/>
    <hyperlink r:id="rId11285" ref="K10028"/>
    <hyperlink r:id="rId11286" ref="L10028"/>
    <hyperlink r:id="rId11287" ref="K10029"/>
    <hyperlink r:id="rId11288" ref="L10029"/>
    <hyperlink r:id="rId11289" ref="K10030"/>
    <hyperlink r:id="rId11290" ref="L10030"/>
    <hyperlink r:id="rId11291" ref="K10031"/>
    <hyperlink r:id="rId11292" ref="L10031"/>
    <hyperlink r:id="rId11293" ref="K10032"/>
    <hyperlink r:id="rId11294" ref="L10032"/>
    <hyperlink r:id="rId11295" ref="K10033"/>
    <hyperlink r:id="rId11296" ref="L10033"/>
    <hyperlink r:id="rId11297" ref="K10034"/>
    <hyperlink r:id="rId10850" ref="L10034"/>
    <hyperlink r:id="rId11298" ref="K10035"/>
    <hyperlink r:id="rId11299" ref="L10035"/>
    <hyperlink r:id="rId11300" ref="K10036"/>
    <hyperlink r:id="rId10281" ref="L10036"/>
    <hyperlink r:id="rId11301" ref="K10037"/>
    <hyperlink r:id="rId10826" ref="L10037"/>
    <hyperlink r:id="rId11302" ref="K10038"/>
    <hyperlink r:id="rId11303" ref="L10038"/>
    <hyperlink r:id="rId11304" ref="K10039"/>
    <hyperlink r:id="rId11305" ref="L10039"/>
    <hyperlink r:id="rId11306" ref="K10040"/>
    <hyperlink r:id="rId11307" ref="L10040"/>
    <hyperlink r:id="rId11308" ref="K10041"/>
    <hyperlink r:id="rId11309" ref="L10041"/>
    <hyperlink r:id="rId11310" ref="K10042"/>
    <hyperlink r:id="rId11311" ref="L10042"/>
    <hyperlink r:id="rId11312" ref="K10043"/>
    <hyperlink r:id="rId11313" ref="L10043"/>
    <hyperlink r:id="rId11314" ref="K10044"/>
    <hyperlink r:id="rId11315" ref="L10044"/>
    <hyperlink r:id="rId11316" ref="K10045"/>
    <hyperlink r:id="rId11317" ref="L10045"/>
    <hyperlink r:id="rId11318" ref="K10046"/>
    <hyperlink r:id="rId11319" ref="K10047"/>
    <hyperlink r:id="rId11320" ref="L10047"/>
    <hyperlink r:id="rId11321" ref="K10048"/>
    <hyperlink r:id="rId11322" ref="L10048"/>
    <hyperlink r:id="rId11323" ref="K10049"/>
    <hyperlink r:id="rId11324" ref="L10049"/>
    <hyperlink r:id="rId11325" ref="K10050"/>
    <hyperlink r:id="rId11326" ref="L10050"/>
    <hyperlink r:id="rId11327" ref="K10051"/>
    <hyperlink r:id="rId10893" ref="L10051"/>
    <hyperlink r:id="rId11328" ref="K10052"/>
    <hyperlink r:id="rId11329" ref="K10053"/>
    <hyperlink r:id="rId11330" ref="L10053"/>
    <hyperlink r:id="rId11331" ref="K10054"/>
    <hyperlink r:id="rId11332" ref="L10054"/>
    <hyperlink r:id="rId11333" ref="K10055"/>
    <hyperlink r:id="rId11334" ref="L10055"/>
    <hyperlink r:id="rId11335" ref="K10056"/>
    <hyperlink r:id="rId11336" ref="K10057"/>
    <hyperlink r:id="rId10946" ref="L10057"/>
    <hyperlink r:id="rId11337" ref="K10058"/>
    <hyperlink r:id="rId11338" ref="L10058"/>
    <hyperlink r:id="rId11339" ref="K10059"/>
    <hyperlink r:id="rId11340" ref="L10059"/>
    <hyperlink r:id="rId11341" ref="K10060"/>
    <hyperlink r:id="rId11342" ref="K10061"/>
    <hyperlink r:id="rId11343" ref="L10061"/>
    <hyperlink r:id="rId11344" ref="K10062"/>
    <hyperlink r:id="rId11345" ref="L10062"/>
    <hyperlink r:id="rId11346" ref="K10063"/>
    <hyperlink r:id="rId10649" ref="L10063"/>
    <hyperlink r:id="rId11347" ref="K10064"/>
    <hyperlink r:id="rId11348" ref="L10064"/>
    <hyperlink r:id="rId11349" ref="K10065"/>
    <hyperlink r:id="rId11350" ref="L10065"/>
    <hyperlink r:id="rId11351" ref="K10066"/>
    <hyperlink r:id="rId11352" ref="L10066"/>
    <hyperlink r:id="rId11353" ref="K10067"/>
    <hyperlink r:id="rId11354" ref="L10067"/>
    <hyperlink r:id="rId11355" ref="K10068"/>
    <hyperlink r:id="rId11356" ref="L10068"/>
    <hyperlink r:id="rId11357" ref="K10069"/>
    <hyperlink r:id="rId11358" ref="L10069"/>
    <hyperlink r:id="rId11359" ref="K10070"/>
    <hyperlink r:id="rId11360" ref="L10070"/>
    <hyperlink r:id="rId11361" ref="K10071"/>
    <hyperlink r:id="rId11362" ref="L10071"/>
    <hyperlink r:id="rId11363" ref="K10072"/>
    <hyperlink r:id="rId11127" ref="L10072"/>
    <hyperlink r:id="rId11364" ref="K10073"/>
    <hyperlink r:id="rId11365" ref="L10073"/>
    <hyperlink r:id="rId11366" ref="K10074"/>
    <hyperlink r:id="rId11367" ref="L10074"/>
    <hyperlink r:id="rId11368" ref="K10075"/>
    <hyperlink r:id="rId11369" ref="K10076"/>
    <hyperlink r:id="rId11370" ref="L10076"/>
    <hyperlink r:id="rId11371" ref="K10077"/>
    <hyperlink r:id="rId11372" ref="L10077"/>
    <hyperlink r:id="rId11373" ref="K10078"/>
    <hyperlink r:id="rId10976" ref="L10078"/>
    <hyperlink r:id="rId11374" ref="K10079"/>
    <hyperlink r:id="rId10781" ref="L10079"/>
    <hyperlink r:id="rId11375" ref="K10080"/>
    <hyperlink r:id="rId11376" ref="K10081"/>
    <hyperlink r:id="rId11377" ref="L10081"/>
    <hyperlink r:id="rId11378" ref="K10082"/>
    <hyperlink r:id="rId11379" ref="L10082"/>
    <hyperlink r:id="rId11380" ref="K10083"/>
    <hyperlink r:id="rId10775" ref="L10083"/>
    <hyperlink r:id="rId11381" ref="K10084"/>
    <hyperlink r:id="rId11382" ref="L10084"/>
    <hyperlink r:id="rId11383" ref="E10085"/>
    <hyperlink r:id="rId11384" ref="K10085"/>
    <hyperlink r:id="rId11385" ref="L10085"/>
    <hyperlink r:id="rId11386" ref="K10086"/>
    <hyperlink r:id="rId11119" ref="L10086"/>
    <hyperlink r:id="rId11387" ref="J10090"/>
    <hyperlink r:id="rId11388" ref="K10090"/>
    <hyperlink r:id="rId11389" ref="J10091"/>
    <hyperlink r:id="rId11390" ref="K10091"/>
    <hyperlink r:id="rId11391" ref="J10092"/>
    <hyperlink r:id="rId11392" ref="K10092"/>
    <hyperlink r:id="rId11393" ref="J10093"/>
    <hyperlink r:id="rId11394" ref="K10093"/>
    <hyperlink r:id="rId11395" ref="J10094"/>
    <hyperlink r:id="rId11396" ref="K10094"/>
    <hyperlink r:id="rId11397" ref="J10095"/>
    <hyperlink r:id="rId11398" ref="K10095"/>
    <hyperlink r:id="rId11399" ref="J10096"/>
    <hyperlink r:id="rId11400" ref="K10096"/>
    <hyperlink r:id="rId11401" ref="J10097"/>
    <hyperlink r:id="rId11402" ref="K10097"/>
    <hyperlink r:id="rId11403" ref="J10098"/>
    <hyperlink r:id="rId11404" ref="K10098"/>
    <hyperlink r:id="rId11405" ref="J10099"/>
    <hyperlink r:id="rId11406" ref="K10099"/>
    <hyperlink r:id="rId11407" ref="J10100"/>
    <hyperlink r:id="rId11408" ref="K10100"/>
    <hyperlink r:id="rId11409" ref="J10101"/>
    <hyperlink r:id="rId11410" ref="K10101"/>
    <hyperlink r:id="rId11411" ref="J10102"/>
    <hyperlink r:id="rId11412" ref="K10102"/>
    <hyperlink r:id="rId11413" ref="J10103"/>
    <hyperlink r:id="rId11414" ref="K10103"/>
    <hyperlink r:id="rId11415" ref="J10104"/>
    <hyperlink r:id="rId11416" ref="K10104"/>
    <hyperlink r:id="rId11417" ref="J10105"/>
    <hyperlink r:id="rId11418" ref="K10105"/>
    <hyperlink r:id="rId11419" ref="J10106"/>
    <hyperlink r:id="rId11420" ref="K10106"/>
    <hyperlink r:id="rId11421" ref="J10107"/>
    <hyperlink r:id="rId11422" ref="K10107"/>
    <hyperlink r:id="rId11423" ref="P10107"/>
    <hyperlink r:id="rId11424" ref="J10108"/>
    <hyperlink r:id="rId11425" ref="K10108"/>
    <hyperlink r:id="rId11426" ref="J10109"/>
    <hyperlink r:id="rId11427" ref="K10109"/>
    <hyperlink r:id="rId11428" ref="J10110"/>
    <hyperlink r:id="rId11429" ref="K10110"/>
    <hyperlink r:id="rId7616" ref="J10111"/>
    <hyperlink r:id="rId7617" ref="K10111"/>
    <hyperlink r:id="rId11430" ref="J10112"/>
    <hyperlink r:id="rId11431" ref="K10112"/>
    <hyperlink r:id="rId11432" ref="J10113"/>
    <hyperlink r:id="rId11433" ref="K10113"/>
    <hyperlink r:id="rId11434" ref="J10114"/>
    <hyperlink r:id="rId11435" ref="K10114"/>
    <hyperlink r:id="rId6360" ref="J10115"/>
    <hyperlink r:id="rId6361" ref="K10115"/>
    <hyperlink r:id="rId11436" ref="J10116"/>
    <hyperlink r:id="rId11437" ref="K10116"/>
    <hyperlink r:id="rId11438" ref="J10117"/>
    <hyperlink r:id="rId11439" ref="K10117"/>
    <hyperlink r:id="rId11440" ref="J10118"/>
    <hyperlink r:id="rId11441" ref="K10118"/>
    <hyperlink r:id="rId11442" ref="J10119"/>
    <hyperlink r:id="rId11443" ref="K10119"/>
    <hyperlink r:id="rId11444" ref="J10120"/>
    <hyperlink r:id="rId11445" ref="K10120"/>
    <hyperlink r:id="rId11446" ref="J10121"/>
    <hyperlink r:id="rId11447" ref="K10121"/>
    <hyperlink r:id="rId11448" ref="J10122"/>
    <hyperlink r:id="rId11449" ref="K10122"/>
    <hyperlink r:id="rId11450" ref="J10123"/>
    <hyperlink r:id="rId11451" ref="K10123"/>
    <hyperlink r:id="rId11452" ref="J10124"/>
    <hyperlink r:id="rId11453" ref="K10124"/>
    <hyperlink r:id="rId11454" ref="J10125"/>
    <hyperlink r:id="rId11455" ref="K10125"/>
    <hyperlink r:id="rId11456" ref="J10126"/>
    <hyperlink r:id="rId11457" ref="K10126"/>
    <hyperlink r:id="rId11458" ref="J10127"/>
    <hyperlink r:id="rId11459" ref="K10127"/>
    <hyperlink r:id="rId11460" ref="J10128"/>
    <hyperlink r:id="rId11461" ref="K10128"/>
    <hyperlink r:id="rId11462" ref="J10129"/>
    <hyperlink r:id="rId11463" ref="K10129"/>
    <hyperlink r:id="rId11464" ref="J10130"/>
    <hyperlink r:id="rId11465" ref="K10130"/>
    <hyperlink r:id="rId11466" ref="J10131"/>
    <hyperlink r:id="rId11467" ref="K10131"/>
    <hyperlink r:id="rId11468" ref="J10132"/>
    <hyperlink r:id="rId11469" ref="K10132"/>
    <hyperlink r:id="rId11470" ref="J10133"/>
    <hyperlink r:id="rId11471" ref="K10133"/>
    <hyperlink r:id="rId11472" ref="J10134"/>
    <hyperlink r:id="rId11473" ref="K10134"/>
    <hyperlink r:id="rId11474" ref="J10135"/>
    <hyperlink r:id="rId11475" ref="K10135"/>
    <hyperlink r:id="rId11476" ref="J10136"/>
    <hyperlink r:id="rId11477" ref="K10136"/>
    <hyperlink r:id="rId11478" ref="J10137"/>
    <hyperlink r:id="rId11479" ref="K10137"/>
    <hyperlink r:id="rId11480" ref="J10138"/>
    <hyperlink r:id="rId11477" ref="K10138"/>
    <hyperlink r:id="rId11481" ref="J10139"/>
    <hyperlink r:id="rId11482" ref="K10139"/>
    <hyperlink r:id="rId11483" ref="J10140"/>
    <hyperlink r:id="rId11484" ref="K10140"/>
    <hyperlink r:id="rId11485" ref="J10141"/>
    <hyperlink r:id="rId11486" ref="K10141"/>
    <hyperlink r:id="rId11487" ref="J10142"/>
    <hyperlink r:id="rId11488" ref="K10142"/>
    <hyperlink r:id="rId11489" ref="J10143"/>
    <hyperlink r:id="rId11490" ref="K10143"/>
    <hyperlink r:id="rId11491" ref="J10144"/>
    <hyperlink r:id="rId11492" ref="K10144"/>
    <hyperlink r:id="rId11493" ref="J10145"/>
    <hyperlink r:id="rId11494" ref="K10145"/>
    <hyperlink r:id="rId11495" ref="J10146"/>
    <hyperlink r:id="rId11496" ref="K10146"/>
    <hyperlink r:id="rId11497" ref="J10147"/>
    <hyperlink r:id="rId11498" ref="K10147"/>
    <hyperlink r:id="rId11499" ref="J10148"/>
    <hyperlink r:id="rId11500" ref="K10148"/>
    <hyperlink r:id="rId11501" ref="J10149"/>
    <hyperlink r:id="rId11502" ref="K10149"/>
    <hyperlink r:id="rId11503" ref="J10150"/>
    <hyperlink r:id="rId11504" ref="K10150"/>
    <hyperlink r:id="rId11505" ref="J10151"/>
    <hyperlink r:id="rId11506" ref="K10151"/>
    <hyperlink r:id="rId11507" ref="J10152"/>
    <hyperlink r:id="rId11508" ref="K10152"/>
    <hyperlink r:id="rId11509" ref="J10153"/>
    <hyperlink r:id="rId11510" ref="K10153"/>
    <hyperlink r:id="rId11511" ref="J10154"/>
    <hyperlink r:id="rId11512" ref="K10154"/>
    <hyperlink r:id="rId11513" ref="J10155"/>
    <hyperlink r:id="rId11514" ref="K10155"/>
    <hyperlink r:id="rId11515" ref="J10156"/>
    <hyperlink r:id="rId11516" ref="K10156"/>
    <hyperlink r:id="rId11517" ref="J10157"/>
    <hyperlink r:id="rId11518" ref="K10157"/>
    <hyperlink r:id="rId11519" ref="J10158"/>
    <hyperlink r:id="rId11520" ref="K10158"/>
    <hyperlink r:id="rId11521" ref="J10159"/>
    <hyperlink r:id="rId11522" ref="K10159"/>
    <hyperlink r:id="rId11523" ref="J10160"/>
    <hyperlink r:id="rId11524" ref="K10160"/>
    <hyperlink r:id="rId11525" ref="J10161"/>
    <hyperlink r:id="rId11526" ref="K10161"/>
    <hyperlink r:id="rId11527" ref="J10162"/>
    <hyperlink r:id="rId11528" ref="K10162"/>
    <hyperlink r:id="rId11529" ref="J10163"/>
    <hyperlink r:id="rId11530" ref="K10163"/>
    <hyperlink r:id="rId11531" ref="J10164"/>
    <hyperlink r:id="rId11532" ref="K10164"/>
    <hyperlink r:id="rId11533" ref="J10165"/>
    <hyperlink r:id="rId9560" ref="K10165"/>
    <hyperlink r:id="rId11534" ref="J10166"/>
    <hyperlink r:id="rId11535" ref="K10166"/>
    <hyperlink r:id="rId11536" ref="J10167"/>
    <hyperlink r:id="rId11537" ref="K10167"/>
    <hyperlink r:id="rId11538" ref="J10168"/>
    <hyperlink r:id="rId11539" ref="K10168"/>
    <hyperlink r:id="rId11540" ref="J10169"/>
    <hyperlink r:id="rId11541" ref="K10169"/>
    <hyperlink r:id="rId11542" ref="J10170"/>
    <hyperlink r:id="rId11543" ref="K10170"/>
    <hyperlink r:id="rId11544" ref="J10171"/>
    <hyperlink r:id="rId11545" ref="K10171"/>
    <hyperlink r:id="rId11546" ref="J10172"/>
    <hyperlink r:id="rId11547" ref="K10172"/>
    <hyperlink r:id="rId11548" ref="J10173"/>
    <hyperlink r:id="rId11549" ref="K10173"/>
    <hyperlink r:id="rId11550" ref="J10174"/>
    <hyperlink r:id="rId11551" ref="K10174"/>
    <hyperlink r:id="rId11552" ref="J10175"/>
    <hyperlink r:id="rId11553" ref="K10175"/>
    <hyperlink r:id="rId11554" ref="J10176"/>
    <hyperlink r:id="rId11555" ref="K10176"/>
    <hyperlink r:id="rId11556" ref="J10177"/>
    <hyperlink r:id="rId11557" ref="K10177"/>
    <hyperlink r:id="rId11558" ref="J10178"/>
    <hyperlink r:id="rId11559" ref="K10178"/>
    <hyperlink r:id="rId11560" ref="J10179"/>
    <hyperlink r:id="rId11561" ref="K10179"/>
    <hyperlink r:id="rId11562" ref="J10180"/>
    <hyperlink r:id="rId11563" ref="K10180"/>
    <hyperlink r:id="rId11564" ref="J10181"/>
    <hyperlink r:id="rId11565" ref="K10181"/>
    <hyperlink r:id="rId11566" ref="J10182"/>
    <hyperlink r:id="rId11567" ref="K10182"/>
    <hyperlink r:id="rId11568" ref="J10183"/>
    <hyperlink r:id="rId11569" ref="K10183"/>
    <hyperlink r:id="rId11570" ref="J10184"/>
    <hyperlink r:id="rId11571" ref="K10184"/>
    <hyperlink r:id="rId11572" ref="J10185"/>
    <hyperlink r:id="rId11573" ref="K10185"/>
    <hyperlink r:id="rId11574" ref="J10186"/>
    <hyperlink r:id="rId11575" ref="K10186"/>
    <hyperlink r:id="rId11576" ref="J10187"/>
    <hyperlink r:id="rId11577" ref="K10187"/>
    <hyperlink r:id="rId11578" ref="J10188"/>
    <hyperlink r:id="rId11579" ref="K10188"/>
    <hyperlink r:id="rId11580" ref="J10189"/>
    <hyperlink r:id="rId11581" ref="K10189"/>
    <hyperlink r:id="rId11582" ref="J10190"/>
    <hyperlink r:id="rId11583" ref="K10190"/>
    <hyperlink r:id="rId11584" ref="J10191"/>
    <hyperlink r:id="rId11585" ref="K10191"/>
    <hyperlink r:id="rId11586" ref="J10192"/>
    <hyperlink r:id="rId11587" ref="K10192"/>
    <hyperlink r:id="rId11588" ref="J10193"/>
    <hyperlink r:id="rId11589" ref="K10193"/>
    <hyperlink r:id="rId11590" ref="J10194"/>
    <hyperlink r:id="rId11591" ref="K10194"/>
    <hyperlink r:id="rId6867" ref="J10195"/>
    <hyperlink r:id="rId6868" ref="K10195"/>
    <hyperlink r:id="rId11592" ref="J10196"/>
    <hyperlink r:id="rId11593" ref="K10196"/>
    <hyperlink r:id="rId11594" ref="J10197"/>
    <hyperlink r:id="rId11595" ref="K10197"/>
    <hyperlink r:id="rId11596" ref="J10198"/>
    <hyperlink r:id="rId11597" ref="K10198"/>
    <hyperlink r:id="rId11598" ref="J10199"/>
    <hyperlink r:id="rId11599" ref="K10199"/>
    <hyperlink r:id="rId11600" ref="J10200"/>
    <hyperlink r:id="rId11601" ref="K10200"/>
    <hyperlink r:id="rId11602" ref="J10201"/>
    <hyperlink r:id="rId11603" ref="K10201"/>
    <hyperlink r:id="rId11604" ref="J10202"/>
    <hyperlink r:id="rId11605" ref="K10202"/>
    <hyperlink r:id="rId11606" ref="J10203"/>
    <hyperlink r:id="rId11607" ref="K10203"/>
    <hyperlink r:id="rId11608" ref="J10204"/>
    <hyperlink r:id="rId11609" ref="K10204"/>
    <hyperlink r:id="rId11610" ref="J10205"/>
    <hyperlink r:id="rId11611" ref="K10205"/>
    <hyperlink r:id="rId11612" ref="J10206"/>
    <hyperlink r:id="rId11613" ref="K10206"/>
    <hyperlink r:id="rId11614" ref="J10207"/>
    <hyperlink r:id="rId11615" ref="K10207"/>
    <hyperlink r:id="rId11616" ref="J10208"/>
    <hyperlink r:id="rId11617" ref="K10208"/>
    <hyperlink r:id="rId11618" ref="J10209"/>
    <hyperlink r:id="rId11619" ref="K10209"/>
    <hyperlink r:id="rId11620" ref="J10210"/>
    <hyperlink r:id="rId11621" ref="K10210"/>
    <hyperlink r:id="rId11622" ref="J10211"/>
    <hyperlink r:id="rId11623" ref="K10211"/>
    <hyperlink r:id="rId11624" ref="J10212"/>
    <hyperlink r:id="rId11625" ref="K10212"/>
    <hyperlink r:id="rId11626" ref="J10213"/>
    <hyperlink r:id="rId11627" ref="K10213"/>
    <hyperlink r:id="rId11628" ref="J10214"/>
    <hyperlink r:id="rId11629" ref="K10214"/>
    <hyperlink r:id="rId11630" ref="J10215"/>
    <hyperlink r:id="rId11631" ref="K10215"/>
    <hyperlink r:id="rId11632" ref="J10216"/>
    <hyperlink r:id="rId11633" ref="K10216"/>
    <hyperlink r:id="rId11634" ref="J10217"/>
    <hyperlink r:id="rId11635" ref="K10217"/>
    <hyperlink r:id="rId11636" ref="J10218"/>
    <hyperlink r:id="rId11637" ref="K10218"/>
    <hyperlink r:id="rId11638" ref="J10219"/>
    <hyperlink r:id="rId11639" ref="K10219"/>
    <hyperlink r:id="rId11640" ref="E10220"/>
    <hyperlink r:id="rId11641" ref="J10220"/>
    <hyperlink r:id="rId11642" ref="K10220"/>
    <hyperlink r:id="rId11643" ref="J10221"/>
    <hyperlink r:id="rId11644" ref="K10221"/>
    <hyperlink r:id="rId11645" ref="J10222"/>
    <hyperlink r:id="rId11646" ref="K10222"/>
    <hyperlink r:id="rId11647" ref="J10223"/>
    <hyperlink r:id="rId11648" ref="K10223"/>
    <hyperlink r:id="rId11649" ref="J10224"/>
    <hyperlink r:id="rId11650" ref="K10224"/>
    <hyperlink r:id="rId11651" ref="J10225"/>
    <hyperlink r:id="rId11652" ref="K10225"/>
    <hyperlink r:id="rId11653" ref="J10226"/>
    <hyperlink r:id="rId11654" ref="K10226"/>
    <hyperlink r:id="rId11655" ref="J10227"/>
    <hyperlink r:id="rId11656" ref="K10227"/>
    <hyperlink r:id="rId11657" ref="J10228"/>
    <hyperlink r:id="rId11658" ref="K10228"/>
    <hyperlink r:id="rId11659" ref="J10229"/>
    <hyperlink r:id="rId11660" ref="K10229"/>
    <hyperlink r:id="rId11661" ref="J10230"/>
    <hyperlink r:id="rId11662" ref="K10230"/>
    <hyperlink r:id="rId11663" ref="J10231"/>
    <hyperlink r:id="rId11664" ref="K10231"/>
    <hyperlink r:id="rId11665" ref="J10232"/>
    <hyperlink r:id="rId11666" ref="K10232"/>
    <hyperlink r:id="rId11667" ref="J10233"/>
    <hyperlink r:id="rId11668" ref="K10233"/>
    <hyperlink r:id="rId11669" ref="J10234"/>
    <hyperlink r:id="rId11670" ref="K10234"/>
    <hyperlink r:id="rId11671" ref="J10235"/>
    <hyperlink r:id="rId11672" ref="K10235"/>
    <hyperlink r:id="rId11673" ref="J10236"/>
    <hyperlink r:id="rId11674" ref="K10236"/>
    <hyperlink r:id="rId11675" ref="J10237"/>
    <hyperlink r:id="rId11676" ref="K10237"/>
    <hyperlink r:id="rId11677" ref="J10238"/>
    <hyperlink r:id="rId11678" ref="K10238"/>
    <hyperlink r:id="rId11679" ref="J10239"/>
    <hyperlink r:id="rId11680" ref="K10239"/>
    <hyperlink r:id="rId11681" ref="J10240"/>
    <hyperlink r:id="rId11682" ref="K10240"/>
    <hyperlink r:id="rId11683" ref="J10241"/>
    <hyperlink r:id="rId11684" ref="K10241"/>
    <hyperlink r:id="rId11685" ref="J10242"/>
    <hyperlink r:id="rId11686" ref="K10242"/>
    <hyperlink r:id="rId11687" ref="J10243"/>
    <hyperlink r:id="rId11688" ref="K10243"/>
    <hyperlink r:id="rId11689" ref="J10244"/>
    <hyperlink r:id="rId11690" ref="K10244"/>
    <hyperlink r:id="rId11691" ref="J10245"/>
    <hyperlink r:id="rId11692" ref="K10245"/>
    <hyperlink r:id="rId11693" ref="J10246"/>
    <hyperlink r:id="rId11694" ref="K10246"/>
    <hyperlink r:id="rId11695" ref="J10247"/>
    <hyperlink r:id="rId11696" ref="K10247"/>
    <hyperlink r:id="rId11697" ref="J10248"/>
    <hyperlink r:id="rId11698" ref="K10248"/>
    <hyperlink r:id="rId11699" ref="J10249"/>
    <hyperlink r:id="rId11700" ref="K10249"/>
    <hyperlink r:id="rId11701" ref="J10250"/>
    <hyperlink r:id="rId11702" ref="K10250"/>
    <hyperlink r:id="rId11703" ref="J10251"/>
    <hyperlink r:id="rId11704" ref="K10251"/>
    <hyperlink r:id="rId9553" ref="J10252"/>
    <hyperlink r:id="rId9554" ref="K10252"/>
    <hyperlink r:id="rId11705" ref="J10253"/>
    <hyperlink r:id="rId11706" ref="K10253"/>
    <hyperlink r:id="rId11707" ref="J10254"/>
    <hyperlink r:id="rId11708" ref="K10254"/>
    <hyperlink r:id="rId11709" ref="J10255"/>
    <hyperlink r:id="rId11710" ref="K10255"/>
    <hyperlink r:id="rId11711" ref="J10256"/>
    <hyperlink r:id="rId11441" ref="K10256"/>
    <hyperlink r:id="rId11712" ref="J10257"/>
    <hyperlink r:id="rId11713" ref="K10257"/>
    <hyperlink r:id="rId11714" ref="J10258"/>
    <hyperlink r:id="rId11715" ref="K10258"/>
    <hyperlink r:id="rId11716" ref="J10259"/>
    <hyperlink r:id="rId11717" ref="K10259"/>
    <hyperlink r:id="rId11718" ref="J10260"/>
    <hyperlink r:id="rId11719" ref="K10260"/>
    <hyperlink r:id="rId11720" ref="J10261"/>
    <hyperlink r:id="rId11721" ref="K10261"/>
    <hyperlink r:id="rId11722" ref="J10262"/>
    <hyperlink r:id="rId11723" ref="K10262"/>
    <hyperlink r:id="rId11724" ref="J10263"/>
    <hyperlink r:id="rId11725" ref="K10263"/>
    <hyperlink r:id="rId11726" ref="J10264"/>
    <hyperlink r:id="rId11727" ref="K10264"/>
    <hyperlink r:id="rId11728" ref="J10265"/>
    <hyperlink r:id="rId11729" ref="K10265"/>
    <hyperlink r:id="rId11730" ref="J10266"/>
    <hyperlink r:id="rId11731" ref="K10266"/>
    <hyperlink r:id="rId11732" ref="J10267"/>
    <hyperlink r:id="rId11733" ref="K10267"/>
    <hyperlink r:id="rId11734" ref="J10268"/>
    <hyperlink r:id="rId11735" ref="K10268"/>
    <hyperlink r:id="rId11736" ref="J10269"/>
    <hyperlink r:id="rId11737" ref="K10269"/>
    <hyperlink r:id="rId11738" ref="J10270"/>
    <hyperlink r:id="rId11739" ref="K10270"/>
    <hyperlink r:id="rId11740" ref="J10271"/>
    <hyperlink r:id="rId11741" ref="K10271"/>
    <hyperlink r:id="rId11742" ref="J10272"/>
    <hyperlink r:id="rId11743" ref="K10272"/>
    <hyperlink r:id="rId11744" ref="J10273"/>
    <hyperlink r:id="rId11745" ref="K10273"/>
    <hyperlink r:id="rId11746" ref="J10274"/>
    <hyperlink r:id="rId11747" ref="K10274"/>
    <hyperlink r:id="rId11748" ref="J10275"/>
    <hyperlink r:id="rId11749" ref="K10275"/>
    <hyperlink r:id="rId11750" ref="J10276"/>
    <hyperlink r:id="rId11751" ref="K10276"/>
    <hyperlink r:id="rId11752" ref="J10277"/>
    <hyperlink r:id="rId11753" ref="J10278"/>
    <hyperlink r:id="rId11754" ref="K10278"/>
    <hyperlink r:id="rId11755" ref="J10279"/>
    <hyperlink r:id="rId11756" ref="K10279"/>
    <hyperlink r:id="rId11757" ref="J10280"/>
    <hyperlink r:id="rId11758" ref="K10280"/>
    <hyperlink r:id="rId11759" ref="J10281"/>
    <hyperlink r:id="rId11760" ref="K10281"/>
    <hyperlink r:id="rId11761" ref="J10282"/>
    <hyperlink r:id="rId11762" ref="K10282"/>
    <hyperlink r:id="rId11763" ref="J10283"/>
    <hyperlink r:id="rId11764" ref="K10283"/>
    <hyperlink r:id="rId11765" ref="J10284"/>
    <hyperlink r:id="rId11766" ref="K10284"/>
    <hyperlink r:id="rId11767" ref="J10285"/>
    <hyperlink r:id="rId11768" ref="K10285"/>
    <hyperlink r:id="rId11769" ref="J10286"/>
    <hyperlink r:id="rId11770" ref="K10286"/>
    <hyperlink r:id="rId11771" ref="J10287"/>
    <hyperlink r:id="rId11772" ref="K10287"/>
    <hyperlink r:id="rId11773" ref="J10288"/>
    <hyperlink r:id="rId11774" ref="K10288"/>
    <hyperlink r:id="rId11775" ref="J10289"/>
    <hyperlink r:id="rId11776" ref="K10289"/>
    <hyperlink r:id="rId11777" ref="J10290"/>
    <hyperlink r:id="rId11778" ref="K10290"/>
    <hyperlink r:id="rId11779" ref="J10291"/>
    <hyperlink r:id="rId11780" ref="K10291"/>
    <hyperlink r:id="rId7578" ref="J10292"/>
    <hyperlink r:id="rId7579" ref="K10292"/>
    <hyperlink r:id="rId11781" ref="J10293"/>
    <hyperlink r:id="rId11782" ref="K10293"/>
    <hyperlink r:id="rId11783" ref="J10294"/>
    <hyperlink r:id="rId11784" ref="K10294"/>
    <hyperlink r:id="rId11785" ref="J10295"/>
    <hyperlink r:id="rId11786" ref="K10295"/>
    <hyperlink r:id="rId11787" ref="J10296"/>
    <hyperlink r:id="rId11788" ref="K10296"/>
    <hyperlink r:id="rId11789" ref="J10297"/>
    <hyperlink r:id="rId11790" ref="K10297"/>
    <hyperlink r:id="rId11791" ref="J10298"/>
    <hyperlink r:id="rId11792" ref="K10298"/>
    <hyperlink r:id="rId11793" ref="J10299"/>
    <hyperlink r:id="rId11794" ref="K10299"/>
    <hyperlink r:id="rId11795" ref="J10300"/>
    <hyperlink r:id="rId11796" ref="K10300"/>
    <hyperlink r:id="rId11797" ref="J10301"/>
    <hyperlink r:id="rId11798" ref="K10301"/>
    <hyperlink r:id="rId11799" ref="J10302"/>
    <hyperlink r:id="rId11800" ref="K10302"/>
    <hyperlink r:id="rId11801" ref="J10303"/>
    <hyperlink r:id="rId11802" ref="K10303"/>
    <hyperlink r:id="rId11803" ref="J10304"/>
    <hyperlink r:id="rId11804" ref="K10304"/>
    <hyperlink r:id="rId11805" ref="J10305"/>
    <hyperlink r:id="rId11806" ref="K10305"/>
    <hyperlink r:id="rId11807" ref="J10306"/>
    <hyperlink r:id="rId11808" ref="K10306"/>
    <hyperlink r:id="rId11809" ref="J10307"/>
    <hyperlink r:id="rId11810" ref="K10307"/>
    <hyperlink r:id="rId11811" ref="J10308"/>
    <hyperlink r:id="rId11812" ref="K10308"/>
    <hyperlink r:id="rId11813" ref="J10309"/>
    <hyperlink r:id="rId11814" ref="K10309"/>
    <hyperlink r:id="rId11815" ref="J10310"/>
    <hyperlink r:id="rId11816" ref="K10310"/>
    <hyperlink r:id="rId11817" ref="J10311"/>
    <hyperlink r:id="rId11818" ref="K10311"/>
    <hyperlink r:id="rId11819" ref="J10312"/>
    <hyperlink r:id="rId11820" ref="K10312"/>
    <hyperlink r:id="rId11821" ref="J10313"/>
    <hyperlink r:id="rId11822" ref="K10313"/>
    <hyperlink r:id="rId11823" ref="J10314"/>
    <hyperlink r:id="rId11824" ref="K10314"/>
    <hyperlink r:id="rId11825" ref="J10315"/>
    <hyperlink r:id="rId11826" ref="K10315"/>
    <hyperlink r:id="rId11827" ref="J10316"/>
    <hyperlink r:id="rId11828" ref="K10316"/>
    <hyperlink r:id="rId11829" ref="J10317"/>
    <hyperlink r:id="rId11830" ref="K10317"/>
    <hyperlink r:id="rId11831" ref="J10318"/>
    <hyperlink r:id="rId11832" ref="K10318"/>
    <hyperlink r:id="rId11833" ref="J10319"/>
    <hyperlink r:id="rId11834" ref="K10319"/>
    <hyperlink r:id="rId11835" ref="J10320"/>
    <hyperlink r:id="rId11836" ref="K10320"/>
    <hyperlink r:id="rId11837" ref="J10321"/>
    <hyperlink r:id="rId11838" ref="K10321"/>
    <hyperlink r:id="rId11839" ref="J10322"/>
    <hyperlink r:id="rId11840" ref="K10322"/>
    <hyperlink r:id="rId11841" ref="J10323"/>
    <hyperlink r:id="rId11842" ref="K10323"/>
    <hyperlink r:id="rId11843" ref="J10324"/>
    <hyperlink r:id="rId11844" ref="K10324"/>
    <hyperlink r:id="rId11845" ref="J10325"/>
    <hyperlink r:id="rId11846" ref="K10325"/>
    <hyperlink r:id="rId11847" ref="J10326"/>
    <hyperlink r:id="rId11848" ref="K10326"/>
    <hyperlink r:id="rId11849" ref="J10327"/>
    <hyperlink r:id="rId11850" ref="K10327"/>
    <hyperlink r:id="rId11851" ref="J10328"/>
    <hyperlink r:id="rId11852" ref="K10328"/>
    <hyperlink r:id="rId11853" ref="J10329"/>
    <hyperlink r:id="rId11854" ref="K10329"/>
    <hyperlink r:id="rId11855" ref="J10330"/>
    <hyperlink r:id="rId11856" ref="K10330"/>
    <hyperlink r:id="rId11857" ref="J10331"/>
    <hyperlink r:id="rId11858" ref="K10331"/>
    <hyperlink r:id="rId11859" ref="J10332"/>
    <hyperlink r:id="rId11860" ref="K10332"/>
    <hyperlink r:id="rId11861" ref="J10333"/>
    <hyperlink r:id="rId11862" ref="K10333"/>
    <hyperlink r:id="rId11863" ref="J10334"/>
    <hyperlink r:id="rId11864" ref="K10334"/>
    <hyperlink r:id="rId11865" ref="J10335"/>
    <hyperlink r:id="rId11866" ref="K10335"/>
    <hyperlink r:id="rId11867" ref="J10336"/>
    <hyperlink r:id="rId11868" ref="K10336"/>
    <hyperlink r:id="rId11869" ref="J10337"/>
    <hyperlink r:id="rId11870" ref="K10337"/>
    <hyperlink r:id="rId11871" ref="J10338"/>
    <hyperlink r:id="rId11872" ref="K10338"/>
    <hyperlink r:id="rId11873" ref="J10339"/>
    <hyperlink r:id="rId11874" ref="K10339"/>
    <hyperlink r:id="rId11875" ref="J10340"/>
    <hyperlink r:id="rId11876" ref="K10340"/>
    <hyperlink r:id="rId11877" ref="J10341"/>
    <hyperlink r:id="rId11878" ref="K10341"/>
    <hyperlink r:id="rId11879" ref="J10342"/>
    <hyperlink r:id="rId11880" ref="K10342"/>
    <hyperlink r:id="rId11881" ref="J10343"/>
    <hyperlink r:id="rId11882" ref="K10343"/>
    <hyperlink r:id="rId11883" ref="J10344"/>
    <hyperlink r:id="rId11884" ref="K10344"/>
    <hyperlink r:id="rId11885" ref="J10345"/>
    <hyperlink r:id="rId11886" ref="K10345"/>
    <hyperlink r:id="rId11887" ref="J10346"/>
    <hyperlink r:id="rId11888" ref="K10346"/>
    <hyperlink r:id="rId11889" ref="J10347"/>
    <hyperlink r:id="rId11890" ref="K10347"/>
    <hyperlink r:id="rId11891" ref="J10348"/>
    <hyperlink r:id="rId11892" ref="K10348"/>
    <hyperlink r:id="rId11893" ref="J10349"/>
    <hyperlink r:id="rId11756" ref="K10349"/>
    <hyperlink r:id="rId11894" ref="J10350"/>
    <hyperlink r:id="rId11895" ref="K10350"/>
    <hyperlink r:id="rId11896" ref="J10351"/>
    <hyperlink r:id="rId11897" ref="K10351"/>
    <hyperlink r:id="rId11898" ref="J10352"/>
    <hyperlink r:id="rId11899" ref="K10352"/>
    <hyperlink r:id="rId11900" ref="J10353"/>
    <hyperlink r:id="rId11901" ref="K10353"/>
    <hyperlink r:id="rId11902" ref="J10354"/>
    <hyperlink r:id="rId11555" ref="K10354"/>
    <hyperlink r:id="rId11903" ref="J10355"/>
    <hyperlink r:id="rId11904" ref="K10355"/>
    <hyperlink r:id="rId11905" ref="J10356"/>
    <hyperlink r:id="rId11906" ref="K10356"/>
    <hyperlink r:id="rId11907" ref="J10357"/>
    <hyperlink r:id="rId11908" ref="K10357"/>
    <hyperlink r:id="rId11909" ref="J10358"/>
    <hyperlink r:id="rId11910" ref="K10358"/>
    <hyperlink r:id="rId11911" ref="J10359"/>
    <hyperlink r:id="rId11912" ref="K10359"/>
    <hyperlink r:id="rId11913" ref="J10360"/>
    <hyperlink r:id="rId11914" ref="K10360"/>
    <hyperlink r:id="rId11915" ref="J10361"/>
    <hyperlink r:id="rId11916" ref="K10361"/>
    <hyperlink r:id="rId11917" ref="J10362"/>
    <hyperlink r:id="rId11918" ref="K10362"/>
    <hyperlink r:id="rId11919" ref="J10363"/>
    <hyperlink r:id="rId11920" ref="K10363"/>
    <hyperlink r:id="rId11921" ref="J10364"/>
    <hyperlink r:id="rId11922" ref="K10364"/>
    <hyperlink r:id="rId11923" ref="J10365"/>
    <hyperlink r:id="rId11924" ref="K10365"/>
    <hyperlink r:id="rId11925" ref="J10366"/>
    <hyperlink r:id="rId11926" ref="K10366"/>
    <hyperlink r:id="rId11927" ref="J10367"/>
    <hyperlink r:id="rId11928" ref="K10367"/>
    <hyperlink r:id="rId11929" ref="J10368"/>
    <hyperlink r:id="rId11930" ref="K10368"/>
    <hyperlink r:id="rId11931" ref="J10369"/>
    <hyperlink r:id="rId11932" ref="K10369"/>
    <hyperlink r:id="rId11933" ref="J10370"/>
    <hyperlink r:id="rId11934" ref="K10370"/>
    <hyperlink r:id="rId11935" ref="J10371"/>
    <hyperlink r:id="rId11936" ref="K10371"/>
    <hyperlink r:id="rId11937" ref="J10372"/>
    <hyperlink r:id="rId11938" ref="K10372"/>
    <hyperlink r:id="rId11939" ref="J10373"/>
    <hyperlink r:id="rId11940" ref="K10373"/>
    <hyperlink r:id="rId11941" ref="J10374"/>
    <hyperlink r:id="rId11942" ref="K10374"/>
    <hyperlink r:id="rId11943" ref="J10375"/>
    <hyperlink r:id="rId11944" ref="K10375"/>
    <hyperlink r:id="rId11945" ref="J10376"/>
    <hyperlink r:id="rId11946" ref="K10376"/>
    <hyperlink r:id="rId11947" ref="J10377"/>
    <hyperlink r:id="rId11948" ref="K10377"/>
    <hyperlink r:id="rId11949" ref="J10378"/>
    <hyperlink r:id="rId11950" ref="K10378"/>
    <hyperlink r:id="rId11951" ref="J10379"/>
    <hyperlink r:id="rId11952" ref="K10379"/>
    <hyperlink r:id="rId11953" ref="J10380"/>
    <hyperlink r:id="rId11954" ref="K10380"/>
    <hyperlink r:id="rId11955" ref="J10381"/>
    <hyperlink r:id="rId11956" ref="K10381"/>
    <hyperlink r:id="rId11957" ref="J10382"/>
    <hyperlink r:id="rId11958" ref="K10382"/>
    <hyperlink r:id="rId11959" ref="J10383"/>
    <hyperlink r:id="rId11960" ref="K10383"/>
    <hyperlink r:id="rId11961" ref="J10384"/>
    <hyperlink r:id="rId11960" ref="K10384"/>
    <hyperlink r:id="rId11962" ref="J10385"/>
    <hyperlink r:id="rId11963" ref="K10385"/>
    <hyperlink r:id="rId11964" ref="J10386"/>
    <hyperlink r:id="rId11965" ref="K10386"/>
    <hyperlink r:id="rId11966" ref="J10387"/>
    <hyperlink r:id="rId11967" ref="K10387"/>
    <hyperlink r:id="rId11968" ref="J10388"/>
    <hyperlink r:id="rId11969" ref="K10388"/>
    <hyperlink r:id="rId11970" ref="J10389"/>
    <hyperlink r:id="rId11971" ref="K10389"/>
    <hyperlink r:id="rId11972" ref="J10390"/>
    <hyperlink r:id="rId11973" ref="K10390"/>
    <hyperlink r:id="rId11974" ref="J10391"/>
    <hyperlink r:id="rId11975" ref="K10391"/>
    <hyperlink r:id="rId11976" ref="J10392"/>
    <hyperlink r:id="rId11977" ref="K10392"/>
    <hyperlink r:id="rId11978" ref="J10393"/>
    <hyperlink r:id="rId11979" ref="K10393"/>
    <hyperlink r:id="rId11980" ref="J10394"/>
    <hyperlink r:id="rId11981" ref="K10394"/>
    <hyperlink r:id="rId11982" ref="J10395"/>
    <hyperlink r:id="rId11983" ref="K10395"/>
    <hyperlink r:id="rId11984" ref="J10396"/>
    <hyperlink r:id="rId11985" ref="K10396"/>
    <hyperlink r:id="rId11986" ref="J10397"/>
    <hyperlink r:id="rId11987" ref="K10397"/>
    <hyperlink r:id="rId11988" ref="J10398"/>
    <hyperlink r:id="rId11989" ref="K10398"/>
    <hyperlink r:id="rId11990" ref="J10399"/>
    <hyperlink r:id="rId11991" ref="K10399"/>
    <hyperlink r:id="rId11992" ref="J10400"/>
    <hyperlink r:id="rId11993" ref="K10400"/>
    <hyperlink r:id="rId11994" ref="J10401"/>
    <hyperlink r:id="rId11995" ref="K10401"/>
    <hyperlink r:id="rId11996" ref="J10402"/>
    <hyperlink r:id="rId11997" ref="K10402"/>
    <hyperlink r:id="rId11998" ref="J10403"/>
    <hyperlink r:id="rId11999" ref="K10403"/>
    <hyperlink r:id="rId12000" ref="J10404"/>
    <hyperlink r:id="rId12001" ref="K10404"/>
    <hyperlink r:id="rId12002" ref="J10405"/>
    <hyperlink r:id="rId12003" ref="K10405"/>
    <hyperlink r:id="rId12004" ref="J10406"/>
    <hyperlink r:id="rId12005" ref="K10406"/>
    <hyperlink r:id="rId12006" ref="J10407"/>
    <hyperlink r:id="rId12007" ref="K10407"/>
    <hyperlink r:id="rId12008" ref="J10408"/>
    <hyperlink r:id="rId12009" ref="K10408"/>
    <hyperlink r:id="rId12010" ref="J10409"/>
    <hyperlink r:id="rId12011" ref="K10409"/>
    <hyperlink r:id="rId12012" ref="J10410"/>
    <hyperlink r:id="rId12013" ref="K10410"/>
    <hyperlink r:id="rId12014" ref="J10411"/>
    <hyperlink r:id="rId12015" ref="K10411"/>
    <hyperlink r:id="rId12016" ref="J10412"/>
    <hyperlink r:id="rId12017" ref="K10412"/>
    <hyperlink r:id="rId12018" ref="J10413"/>
    <hyperlink r:id="rId12019" ref="K10413"/>
    <hyperlink r:id="rId12020" ref="J10414"/>
    <hyperlink r:id="rId12021" ref="K10414"/>
    <hyperlink r:id="rId12022" ref="J10415"/>
    <hyperlink r:id="rId11938" ref="K10415"/>
    <hyperlink r:id="rId12023" ref="J10416"/>
    <hyperlink r:id="rId11429" ref="K10416"/>
    <hyperlink r:id="rId12024" ref="J10417"/>
    <hyperlink r:id="rId12025" ref="K10417"/>
    <hyperlink r:id="rId12026" ref="E10418"/>
    <hyperlink r:id="rId12027" ref="J10418"/>
    <hyperlink r:id="rId12028" ref="K10418"/>
    <hyperlink r:id="rId12029" ref="J10419"/>
    <hyperlink r:id="rId12030" ref="K10419"/>
    <hyperlink r:id="rId12031" ref="J10420"/>
    <hyperlink r:id="rId12032" ref="K10420"/>
    <hyperlink r:id="rId12033" ref="J10421"/>
    <hyperlink r:id="rId12034" ref="K10421"/>
    <hyperlink r:id="rId12035" ref="J10422"/>
    <hyperlink r:id="rId12036" ref="K10422"/>
    <hyperlink r:id="rId12037" ref="J10423"/>
    <hyperlink r:id="rId12038" ref="K10423"/>
    <hyperlink r:id="rId12039" ref="J10424"/>
    <hyperlink r:id="rId12040" ref="K10424"/>
    <hyperlink r:id="rId12041" ref="J10425"/>
    <hyperlink r:id="rId12042" ref="K10425"/>
    <hyperlink r:id="rId12043" ref="J10426"/>
    <hyperlink r:id="rId12044" ref="K10426"/>
    <hyperlink r:id="rId12045" ref="J10427"/>
    <hyperlink r:id="rId12046" ref="K10427"/>
    <hyperlink r:id="rId12047" ref="J10428"/>
    <hyperlink r:id="rId12048" ref="K10428"/>
    <hyperlink r:id="rId12049" ref="J10429"/>
    <hyperlink r:id="rId12050" ref="K10429"/>
    <hyperlink r:id="rId12051" ref="J10430"/>
    <hyperlink r:id="rId11502" ref="K10430"/>
    <hyperlink r:id="rId12052" ref="J10431"/>
    <hyperlink r:id="rId12053" ref="K10431"/>
    <hyperlink r:id="rId12054" ref="J10432"/>
    <hyperlink r:id="rId12055" ref="K10432"/>
    <hyperlink r:id="rId12056" ref="J10433"/>
    <hyperlink r:id="rId12057" ref="K10433"/>
    <hyperlink r:id="rId12058" ref="J10434"/>
    <hyperlink r:id="rId12059" ref="K10434"/>
    <hyperlink r:id="rId12060" ref="J10435"/>
    <hyperlink r:id="rId12061" ref="K10435"/>
    <hyperlink r:id="rId12062" ref="J10436"/>
    <hyperlink r:id="rId12063" ref="K10436"/>
    <hyperlink r:id="rId12064" ref="J10437"/>
    <hyperlink r:id="rId12065" ref="K10437"/>
    <hyperlink r:id="rId12066" ref="J10438"/>
    <hyperlink r:id="rId12067" ref="K10438"/>
    <hyperlink r:id="rId12068" ref="J10439"/>
    <hyperlink r:id="rId12069" ref="K10439"/>
    <hyperlink r:id="rId12070" ref="J10440"/>
    <hyperlink r:id="rId12071" ref="K10440"/>
    <hyperlink r:id="rId12072" ref="J10441"/>
    <hyperlink r:id="rId12073" ref="K10441"/>
    <hyperlink r:id="rId12074" ref="J10442"/>
    <hyperlink r:id="rId12001" ref="K10442"/>
    <hyperlink r:id="rId12075" ref="J10443"/>
    <hyperlink r:id="rId12076" ref="K10443"/>
    <hyperlink r:id="rId12077" ref="J10444"/>
    <hyperlink r:id="rId12078" ref="K10444"/>
    <hyperlink r:id="rId12079" ref="J10445"/>
    <hyperlink r:id="rId12080" ref="K10445"/>
    <hyperlink r:id="rId12081" ref="J10446"/>
    <hyperlink r:id="rId12082" ref="K10446"/>
    <hyperlink r:id="rId12083" ref="J10447"/>
    <hyperlink r:id="rId12084" ref="K10447"/>
    <hyperlink r:id="rId12085" ref="J10448"/>
    <hyperlink r:id="rId12086" ref="K10448"/>
    <hyperlink r:id="rId12087" ref="J10449"/>
    <hyperlink r:id="rId12088" ref="K10449"/>
    <hyperlink r:id="rId12089" ref="J10450"/>
    <hyperlink r:id="rId12073" ref="K10450"/>
    <hyperlink r:id="rId12090" ref="J10451"/>
    <hyperlink r:id="rId11619" ref="K10451"/>
    <hyperlink r:id="rId12091" ref="J10452"/>
    <hyperlink r:id="rId12092" ref="K10452"/>
    <hyperlink r:id="rId12093" ref="J10453"/>
    <hyperlink r:id="rId12094" ref="K10453"/>
    <hyperlink r:id="rId12095" ref="J10454"/>
    <hyperlink r:id="rId12096" ref="K10454"/>
    <hyperlink r:id="rId12097" ref="J10455"/>
    <hyperlink r:id="rId12098" ref="K10455"/>
    <hyperlink r:id="rId12099" ref="J10456"/>
    <hyperlink r:id="rId12100" ref="K10456"/>
    <hyperlink r:id="rId12101" ref="J10457"/>
    <hyperlink r:id="rId12102" ref="K10457"/>
    <hyperlink r:id="rId12103" ref="J10458"/>
    <hyperlink r:id="rId12104" ref="K10458"/>
    <hyperlink r:id="rId6601" ref="J10459"/>
    <hyperlink r:id="rId6602" ref="K10459"/>
    <hyperlink r:id="rId12105" ref="J10460"/>
    <hyperlink r:id="rId12106" ref="K10460"/>
    <hyperlink r:id="rId12107" ref="J10461"/>
    <hyperlink r:id="rId12108" ref="K10461"/>
    <hyperlink r:id="rId12109" ref="J10462"/>
    <hyperlink r:id="rId12110" ref="K10462"/>
    <hyperlink r:id="rId12111" ref="J10463"/>
    <hyperlink r:id="rId12112" ref="K10463"/>
    <hyperlink r:id="rId12113" ref="J10464"/>
    <hyperlink r:id="rId12114" ref="K10464"/>
    <hyperlink r:id="rId12115" ref="J10465"/>
    <hyperlink r:id="rId12116" ref="K10465"/>
    <hyperlink r:id="rId12117" ref="J10466"/>
    <hyperlink r:id="rId12118" ref="K10466"/>
    <hyperlink r:id="rId12119" ref="J10467"/>
    <hyperlink r:id="rId12120" ref="K10467"/>
    <hyperlink r:id="rId12121" ref="J10468"/>
    <hyperlink r:id="rId11524" ref="K10468"/>
    <hyperlink r:id="rId12122" ref="J10469"/>
    <hyperlink r:id="rId12123" ref="K10469"/>
    <hyperlink r:id="rId12124" ref="J10470"/>
    <hyperlink r:id="rId12125" ref="K10470"/>
    <hyperlink r:id="rId12126" ref="J10471"/>
    <hyperlink r:id="rId12127" ref="K10471"/>
    <hyperlink r:id="rId12128" ref="J10472"/>
    <hyperlink r:id="rId11433" ref="K10472"/>
    <hyperlink r:id="rId12129" ref="J10473"/>
    <hyperlink r:id="rId12130" ref="K10473"/>
    <hyperlink r:id="rId12131" ref="J10474"/>
    <hyperlink r:id="rId11983" ref="K10474"/>
    <hyperlink r:id="rId12132" ref="J10475"/>
    <hyperlink r:id="rId12133" ref="K10475"/>
    <hyperlink r:id="rId12134" ref="J10476"/>
    <hyperlink r:id="rId11950" ref="K10476"/>
    <hyperlink r:id="rId12135" ref="J10477"/>
    <hyperlink r:id="rId12136" ref="K10477"/>
    <hyperlink r:id="rId12137" ref="J10478"/>
    <hyperlink r:id="rId11388" ref="K10478"/>
    <hyperlink r:id="rId12138" ref="J10479"/>
    <hyperlink r:id="rId12139" ref="K10479"/>
    <hyperlink r:id="rId12140" ref="J10480"/>
    <hyperlink r:id="rId11806" ref="K10480"/>
    <hyperlink r:id="rId12141" ref="J10481"/>
    <hyperlink r:id="rId12142" ref="K10481"/>
    <hyperlink r:id="rId12143" ref="J10482"/>
    <hyperlink r:id="rId12144" ref="K10482"/>
    <hyperlink r:id="rId12145" ref="J10483"/>
    <hyperlink r:id="rId12146" ref="K10483"/>
    <hyperlink r:id="rId12147" ref="J10484"/>
    <hyperlink r:id="rId12148" ref="K10484"/>
    <hyperlink r:id="rId12149" ref="J10485"/>
    <hyperlink r:id="rId12150" ref="K10485"/>
    <hyperlink r:id="rId12151" ref="J10486"/>
    <hyperlink r:id="rId12152" ref="K10486"/>
    <hyperlink r:id="rId12153" ref="J10487"/>
    <hyperlink r:id="rId12154" ref="J10488"/>
    <hyperlink r:id="rId12155" ref="K10488"/>
    <hyperlink r:id="rId12156" ref="J10489"/>
    <hyperlink r:id="rId11629" ref="K10489"/>
    <hyperlink r:id="rId12157" ref="J10490"/>
    <hyperlink r:id="rId12158" ref="K10490"/>
    <hyperlink r:id="rId12159" ref="J10491"/>
    <hyperlink r:id="rId12160" ref="K10491"/>
    <hyperlink r:id="rId12161" ref="J10492"/>
    <hyperlink r:id="rId12162" ref="K10492"/>
    <hyperlink r:id="rId12163" ref="J10493"/>
    <hyperlink r:id="rId12164" ref="K10493"/>
    <hyperlink r:id="rId12165" ref="J10494"/>
    <hyperlink r:id="rId12166" ref="K10494"/>
    <hyperlink r:id="rId12167" ref="J10495"/>
    <hyperlink r:id="rId12168" ref="K10495"/>
    <hyperlink r:id="rId12169" ref="J10496"/>
    <hyperlink r:id="rId12170" ref="K10496"/>
    <hyperlink r:id="rId12171" ref="J10497"/>
    <hyperlink r:id="rId12172" ref="K10497"/>
    <hyperlink r:id="rId12173" ref="J10498"/>
    <hyperlink r:id="rId12174" ref="K10498"/>
    <hyperlink r:id="rId12175" ref="J10499"/>
    <hyperlink r:id="rId12176" ref="K10499"/>
    <hyperlink r:id="rId12177" ref="J10500"/>
    <hyperlink r:id="rId12178" ref="K10500"/>
    <hyperlink r:id="rId12179" ref="J10501"/>
    <hyperlink r:id="rId12180" ref="K10501"/>
    <hyperlink r:id="rId12181" ref="J10502"/>
    <hyperlink r:id="rId12182" ref="K10502"/>
    <hyperlink r:id="rId12183" ref="J10503"/>
    <hyperlink r:id="rId12116" ref="K10503"/>
    <hyperlink r:id="rId12184" ref="J10504"/>
    <hyperlink r:id="rId12185" ref="K10504"/>
    <hyperlink r:id="rId12186" ref="J10505"/>
    <hyperlink r:id="rId12187" ref="K10505"/>
    <hyperlink r:id="rId12188" ref="J10506"/>
    <hyperlink r:id="rId12189" ref="K10506"/>
    <hyperlink r:id="rId12190" ref="J10507"/>
    <hyperlink r:id="rId12191" ref="K10507"/>
    <hyperlink r:id="rId12192" ref="J10508"/>
    <hyperlink r:id="rId12193" ref="K10508"/>
    <hyperlink r:id="rId12194" ref="J10509"/>
    <hyperlink r:id="rId12195" ref="K10509"/>
    <hyperlink r:id="rId12196" ref="J10510"/>
    <hyperlink r:id="rId12197" ref="K10510"/>
    <hyperlink r:id="rId12198" ref="J10511"/>
    <hyperlink r:id="rId12199" ref="K10511"/>
    <hyperlink r:id="rId12200" ref="J10512"/>
    <hyperlink r:id="rId12201" ref="K10512"/>
    <hyperlink r:id="rId12202" ref="J10513"/>
    <hyperlink r:id="rId12203" ref="K10513"/>
    <hyperlink r:id="rId12204" ref="J10514"/>
    <hyperlink r:id="rId12205" ref="K10514"/>
    <hyperlink r:id="rId12206" ref="J10515"/>
    <hyperlink r:id="rId12207" ref="K10515"/>
    <hyperlink r:id="rId12208" ref="J10516"/>
    <hyperlink r:id="rId12209" ref="K10516"/>
    <hyperlink r:id="rId12210" ref="J10517"/>
    <hyperlink r:id="rId12211" ref="K10517"/>
    <hyperlink r:id="rId12212" ref="J10518"/>
    <hyperlink r:id="rId12213" ref="K10518"/>
    <hyperlink r:id="rId12214" ref="J10519"/>
    <hyperlink r:id="rId12215" ref="K10519"/>
    <hyperlink r:id="rId12216" ref="J10520"/>
    <hyperlink r:id="rId11888" ref="K10520"/>
    <hyperlink r:id="rId12217" ref="J10521"/>
    <hyperlink r:id="rId12218" ref="K10521"/>
    <hyperlink r:id="rId12219" ref="J10522"/>
    <hyperlink r:id="rId12220" ref="K10522"/>
    <hyperlink r:id="rId12221" ref="J10523"/>
    <hyperlink r:id="rId12222" ref="K10523"/>
    <hyperlink r:id="rId12223" ref="J10524"/>
    <hyperlink r:id="rId12224" ref="K10524"/>
    <hyperlink r:id="rId12225" ref="J10525"/>
    <hyperlink r:id="rId12226" ref="K10525"/>
    <hyperlink r:id="rId12227" ref="J10526"/>
    <hyperlink r:id="rId12228" ref="K10526"/>
    <hyperlink r:id="rId12229" ref="J10527"/>
    <hyperlink r:id="rId12230" ref="K10527"/>
    <hyperlink r:id="rId12231" ref="J10528"/>
    <hyperlink r:id="rId12232" ref="K10528"/>
    <hyperlink r:id="rId12233" ref="J10529"/>
    <hyperlink r:id="rId12234" ref="K10529"/>
    <hyperlink r:id="rId9555" ref="J10530"/>
    <hyperlink r:id="rId9556" ref="K10530"/>
    <hyperlink r:id="rId12235" ref="J10531"/>
    <hyperlink r:id="rId12236" ref="K10531"/>
    <hyperlink r:id="rId12237" ref="J10532"/>
    <hyperlink r:id="rId9558" ref="K10532"/>
    <hyperlink r:id="rId12238" ref="J10533"/>
    <hyperlink r:id="rId12239" ref="K10533"/>
    <hyperlink r:id="rId12240" ref="J10534"/>
    <hyperlink r:id="rId11770" ref="K10534"/>
    <hyperlink r:id="rId12241" ref="J10535"/>
    <hyperlink r:id="rId12242" ref="K10535"/>
    <hyperlink r:id="rId12243" ref="J10536"/>
    <hyperlink r:id="rId12244" ref="K10536"/>
    <hyperlink r:id="rId12245" ref="J10537"/>
    <hyperlink r:id="rId12246" ref="K10537"/>
    <hyperlink r:id="rId12247" ref="J10538"/>
    <hyperlink r:id="rId12248" ref="K10538"/>
    <hyperlink r:id="rId12249" ref="J10539"/>
    <hyperlink r:id="rId12250" ref="K10539"/>
    <hyperlink r:id="rId12251" ref="J10540"/>
    <hyperlink r:id="rId12252" ref="K10540"/>
    <hyperlink r:id="rId12253" ref="J10541"/>
    <hyperlink r:id="rId12254" ref="K10541"/>
    <hyperlink r:id="rId12255" ref="J10542"/>
    <hyperlink r:id="rId11605" ref="K10542"/>
    <hyperlink r:id="rId12256" ref="J10543"/>
    <hyperlink r:id="rId12257" ref="K10543"/>
    <hyperlink r:id="rId12258" ref="J10544"/>
    <hyperlink r:id="rId12259" ref="K10544"/>
    <hyperlink r:id="rId12260" ref="J10545"/>
    <hyperlink r:id="rId11506" ref="K10545"/>
    <hyperlink r:id="rId12261" ref="J10546"/>
    <hyperlink r:id="rId12262" ref="K10546"/>
    <hyperlink r:id="rId12263" ref="J10547"/>
    <hyperlink r:id="rId12264" ref="K10547"/>
    <hyperlink r:id="rId12265" ref="J10548"/>
    <hyperlink r:id="rId12266" ref="K10548"/>
    <hyperlink r:id="rId12267" ref="J10549"/>
    <hyperlink r:id="rId12268" ref="K10549"/>
    <hyperlink r:id="rId12269" ref="J10550"/>
    <hyperlink r:id="rId12270" ref="K10550"/>
    <hyperlink r:id="rId12271" ref="J10551"/>
    <hyperlink r:id="rId12272" ref="K10551"/>
    <hyperlink r:id="rId12273" ref="J10552"/>
    <hyperlink r:id="rId12274" ref="K10552"/>
    <hyperlink r:id="rId12275" ref="J10553"/>
    <hyperlink r:id="rId12276" ref="K10553"/>
    <hyperlink r:id="rId12277" ref="J10554"/>
    <hyperlink r:id="rId12278" ref="K10554"/>
    <hyperlink r:id="rId12279" ref="J10555"/>
    <hyperlink r:id="rId12280" ref="K10555"/>
    <hyperlink r:id="rId12281" ref="J10556"/>
    <hyperlink r:id="rId12282" ref="K10556"/>
    <hyperlink r:id="rId12283" ref="J10557"/>
    <hyperlink r:id="rId12284" ref="K10557"/>
    <hyperlink r:id="rId12285" ref="J10558"/>
    <hyperlink r:id="rId12286" ref="K10558"/>
    <hyperlink r:id="rId12287" ref="J10559"/>
    <hyperlink r:id="rId12288" ref="K10559"/>
    <hyperlink r:id="rId12289" ref="J10560"/>
    <hyperlink r:id="rId12290" ref="K10560"/>
    <hyperlink r:id="rId12291" ref="J10561"/>
    <hyperlink r:id="rId12292" ref="K10561"/>
    <hyperlink r:id="rId12293" ref="J10562"/>
    <hyperlink r:id="rId12294" ref="K10562"/>
    <hyperlink r:id="rId12295" ref="J10563"/>
    <hyperlink r:id="rId12296" ref="K10563"/>
    <hyperlink r:id="rId12297" ref="J10564"/>
    <hyperlink r:id="rId12298" ref="K10564"/>
    <hyperlink r:id="rId12299" ref="J10565"/>
    <hyperlink r:id="rId12300" ref="K10565"/>
    <hyperlink r:id="rId12301" ref="J10566"/>
    <hyperlink r:id="rId12302" ref="K10566"/>
    <hyperlink r:id="rId12303" ref="J10567"/>
    <hyperlink r:id="rId12304" ref="K10567"/>
    <hyperlink r:id="rId12305" ref="J10568"/>
    <hyperlink r:id="rId12306" ref="K10568"/>
    <hyperlink r:id="rId12307" ref="J10569"/>
    <hyperlink r:id="rId12123" ref="K10569"/>
    <hyperlink r:id="rId12308" ref="J10570"/>
    <hyperlink r:id="rId12309" ref="K10570"/>
    <hyperlink r:id="rId12310" ref="J10571"/>
    <hyperlink r:id="rId12311" ref="K10571"/>
    <hyperlink r:id="rId12312" ref="J10572"/>
    <hyperlink r:id="rId12313" ref="K10572"/>
    <hyperlink r:id="rId12314" ref="J10573"/>
    <hyperlink r:id="rId12315" ref="K10573"/>
    <hyperlink r:id="rId12316" ref="J10574"/>
    <hyperlink r:id="rId12317" ref="K10574"/>
    <hyperlink r:id="rId12318" ref="J10575"/>
    <hyperlink r:id="rId12319" ref="K10575"/>
    <hyperlink r:id="rId12320" ref="J10576"/>
    <hyperlink r:id="rId12321" ref="K10576"/>
    <hyperlink r:id="rId12322" ref="J10577"/>
    <hyperlink r:id="rId12323" ref="K10577"/>
    <hyperlink r:id="rId12324" ref="E10578"/>
    <hyperlink r:id="rId12325" ref="J10578"/>
    <hyperlink r:id="rId12326" ref="K10578"/>
    <hyperlink r:id="rId12327" ref="J10579"/>
    <hyperlink r:id="rId12328" ref="K10579"/>
    <hyperlink r:id="rId12329" ref="J10580"/>
    <hyperlink r:id="rId12330" ref="K10580"/>
    <hyperlink r:id="rId12331" ref="J10581"/>
    <hyperlink r:id="rId12332" ref="K10581"/>
    <hyperlink r:id="rId12333" ref="J10582"/>
    <hyperlink r:id="rId12334" ref="K10582"/>
    <hyperlink r:id="rId12335" ref="J10583"/>
    <hyperlink r:id="rId12336" ref="K10583"/>
    <hyperlink r:id="rId12337" ref="J10584"/>
    <hyperlink r:id="rId12338" ref="K10584"/>
    <hyperlink r:id="rId12339" ref="J10585"/>
    <hyperlink r:id="rId12340" ref="K10585"/>
    <hyperlink r:id="rId12341" ref="J10586"/>
    <hyperlink r:id="rId12342" ref="K10586"/>
    <hyperlink r:id="rId12343" ref="J10587"/>
    <hyperlink r:id="rId12344" ref="K10587"/>
    <hyperlink r:id="rId12345" ref="J10588"/>
    <hyperlink r:id="rId12346" ref="K10588"/>
    <hyperlink r:id="rId12347" ref="J10589"/>
    <hyperlink r:id="rId12348" ref="K10589"/>
    <hyperlink r:id="rId12349" ref="J10590"/>
    <hyperlink r:id="rId12350" ref="K10590"/>
    <hyperlink r:id="rId12351" ref="J10591"/>
    <hyperlink r:id="rId12352" ref="K10591"/>
    <hyperlink r:id="rId12353" ref="J10592"/>
    <hyperlink r:id="rId12354" ref="K10592"/>
    <hyperlink r:id="rId12355" ref="J10593"/>
    <hyperlink r:id="rId12356" ref="K10593"/>
    <hyperlink r:id="rId12357" ref="J10594"/>
    <hyperlink r:id="rId12358" ref="K10594"/>
    <hyperlink r:id="rId12359" ref="J10595"/>
    <hyperlink r:id="rId12360" ref="K10595"/>
    <hyperlink r:id="rId12361" ref="J10596"/>
    <hyperlink r:id="rId12362" ref="K10596"/>
    <hyperlink r:id="rId12363" ref="J10597"/>
    <hyperlink r:id="rId12364" ref="K10597"/>
    <hyperlink r:id="rId12365" ref="J10598"/>
    <hyperlink r:id="rId11652" ref="K10598"/>
    <hyperlink r:id="rId12366" ref="J10599"/>
    <hyperlink r:id="rId12367" ref="K10599"/>
    <hyperlink r:id="rId12368" ref="J10600"/>
    <hyperlink r:id="rId12369" ref="K10600"/>
    <hyperlink r:id="rId12370" ref="J10601"/>
    <hyperlink r:id="rId12371" ref="K10601"/>
    <hyperlink r:id="rId12372" ref="J10602"/>
    <hyperlink r:id="rId12373" ref="K10602"/>
    <hyperlink r:id="rId12374" ref="J10603"/>
    <hyperlink r:id="rId12375" ref="K10603"/>
    <hyperlink r:id="rId12376" ref="J10604"/>
    <hyperlink r:id="rId12377" ref="K10604"/>
    <hyperlink r:id="rId12378" ref="J10605"/>
    <hyperlink r:id="rId12379" ref="K10605"/>
    <hyperlink r:id="rId12380" ref="J10606"/>
    <hyperlink r:id="rId12381" ref="K10606"/>
    <hyperlink r:id="rId12382" ref="J10607"/>
    <hyperlink r:id="rId12383" ref="K10607"/>
    <hyperlink r:id="rId12384" ref="J10608"/>
    <hyperlink r:id="rId12385" ref="K10608"/>
    <hyperlink r:id="rId12386" ref="J10609"/>
    <hyperlink r:id="rId12387" ref="K10609"/>
    <hyperlink r:id="rId12388" ref="J10610"/>
    <hyperlink r:id="rId11967" ref="K10610"/>
    <hyperlink r:id="rId12389" ref="J10611"/>
    <hyperlink r:id="rId12390" ref="K10611"/>
    <hyperlink r:id="rId12391" ref="J10612"/>
    <hyperlink r:id="rId12392" ref="K10612"/>
    <hyperlink r:id="rId12393" ref="J10613"/>
    <hyperlink r:id="rId12394" ref="K10613"/>
    <hyperlink r:id="rId12395" ref="J10614"/>
    <hyperlink r:id="rId11932" ref="K10614"/>
    <hyperlink r:id="rId12396" ref="J10615"/>
    <hyperlink r:id="rId12397" ref="K10615"/>
    <hyperlink r:id="rId12398" ref="J10616"/>
    <hyperlink r:id="rId12399" ref="K10616"/>
    <hyperlink r:id="rId12400" ref="J10617"/>
    <hyperlink r:id="rId12401" ref="K10617"/>
    <hyperlink r:id="rId12402" ref="J10618"/>
    <hyperlink r:id="rId12403" ref="K10618"/>
    <hyperlink r:id="rId9559" ref="J10619"/>
    <hyperlink r:id="rId9560" ref="K10619"/>
    <hyperlink r:id="rId12404" ref="J10620"/>
    <hyperlink r:id="rId12050" ref="K10620"/>
    <hyperlink r:id="rId12405" ref="J10621"/>
    <hyperlink r:id="rId12406" ref="K10621"/>
    <hyperlink r:id="rId12407" ref="J10622"/>
    <hyperlink r:id="rId12408" ref="K10622"/>
    <hyperlink r:id="rId12409" ref="J10623"/>
    <hyperlink r:id="rId12410" ref="K10623"/>
    <hyperlink r:id="rId12411" ref="J10624"/>
    <hyperlink r:id="rId12412" ref="K10624"/>
    <hyperlink r:id="rId12413" ref="J10625"/>
    <hyperlink r:id="rId12414" ref="K10625"/>
    <hyperlink r:id="rId12415" ref="J10626"/>
    <hyperlink r:id="rId7263" ref="K10626"/>
    <hyperlink r:id="rId12416" ref="J10627"/>
    <hyperlink r:id="rId12417" ref="K10627"/>
    <hyperlink r:id="rId12418" ref="J10628"/>
    <hyperlink r:id="rId12419" ref="K10628"/>
    <hyperlink r:id="rId12420" ref="J10629"/>
    <hyperlink r:id="rId12421" ref="K10629"/>
    <hyperlink r:id="rId12422" ref="J10630"/>
    <hyperlink r:id="rId12423" ref="K10630"/>
    <hyperlink r:id="rId12424" ref="J10631"/>
    <hyperlink r:id="rId12425" ref="K10631"/>
    <hyperlink r:id="rId12426" ref="J10632"/>
    <hyperlink r:id="rId12427" ref="K10632"/>
    <hyperlink r:id="rId12428" ref="J10633"/>
    <hyperlink r:id="rId12429" ref="K10633"/>
    <hyperlink r:id="rId12430" ref="J10634"/>
    <hyperlink r:id="rId12431" ref="K10634"/>
    <hyperlink r:id="rId12432" ref="J10635"/>
    <hyperlink r:id="rId12433" ref="K10635"/>
    <hyperlink r:id="rId12434" ref="J10636"/>
    <hyperlink r:id="rId12435" ref="K10636"/>
    <hyperlink r:id="rId12436" ref="J10637"/>
    <hyperlink r:id="rId12437" ref="K10637"/>
    <hyperlink r:id="rId12438" ref="J10638"/>
    <hyperlink r:id="rId12439" ref="K10638"/>
    <hyperlink r:id="rId12440" ref="J10639"/>
    <hyperlink r:id="rId12441" ref="K10639"/>
    <hyperlink r:id="rId12442" ref="J10640"/>
    <hyperlink r:id="rId11545" ref="K10640"/>
    <hyperlink r:id="rId12443" ref="J10641"/>
    <hyperlink r:id="rId12444" ref="K10641"/>
    <hyperlink r:id="rId12445" ref="J10642"/>
    <hyperlink r:id="rId12446" ref="K10642"/>
    <hyperlink r:id="rId12447" ref="J10643"/>
    <hyperlink r:id="rId12448" ref="K10643"/>
    <hyperlink r:id="rId12449" ref="J10644"/>
    <hyperlink r:id="rId12450" ref="K10644"/>
    <hyperlink r:id="rId12451" ref="J10645"/>
    <hyperlink r:id="rId12452" ref="K10645"/>
    <hyperlink r:id="rId12453" ref="J10646"/>
    <hyperlink r:id="rId12454" ref="K10646"/>
    <hyperlink r:id="rId12455" ref="J10647"/>
    <hyperlink r:id="rId12456" ref="K10647"/>
    <hyperlink r:id="rId12457" ref="J10648"/>
    <hyperlink r:id="rId12458" ref="K10648"/>
    <hyperlink r:id="rId12459" ref="J10649"/>
    <hyperlink r:id="rId12460" ref="K10649"/>
    <hyperlink r:id="rId12461" ref="J10650"/>
    <hyperlink r:id="rId11551" ref="K10650"/>
    <hyperlink r:id="rId12462" ref="J10651"/>
    <hyperlink r:id="rId12463" ref="K10651"/>
    <hyperlink r:id="rId12464" ref="J10652"/>
    <hyperlink r:id="rId12465" ref="K10652"/>
    <hyperlink r:id="rId12466" ref="J10653"/>
    <hyperlink r:id="rId12467" ref="K10653"/>
    <hyperlink r:id="rId12468" ref="J10654"/>
    <hyperlink r:id="rId12469" ref="K10654"/>
    <hyperlink r:id="rId12470" ref="J10655"/>
    <hyperlink r:id="rId12471" ref="K10655"/>
    <hyperlink r:id="rId12472" ref="J10656"/>
    <hyperlink r:id="rId12473" ref="K10656"/>
    <hyperlink r:id="rId12474" ref="J10657"/>
    <hyperlink r:id="rId12475" ref="K10657"/>
    <hyperlink r:id="rId12476" ref="J10658"/>
    <hyperlink r:id="rId12477" ref="K10658"/>
    <hyperlink r:id="rId12478" ref="J10659"/>
    <hyperlink r:id="rId12479" ref="K10659"/>
    <hyperlink r:id="rId12480" ref="J10660"/>
    <hyperlink r:id="rId11696" ref="K10660"/>
    <hyperlink r:id="rId12481" ref="J10661"/>
    <hyperlink r:id="rId12482" ref="K10661"/>
    <hyperlink r:id="rId12483" ref="J10662"/>
    <hyperlink r:id="rId12484" ref="K10662"/>
    <hyperlink r:id="rId12485" ref="J10663"/>
    <hyperlink r:id="rId11733" ref="K10663"/>
    <hyperlink r:id="rId12486" ref="J10664"/>
    <hyperlink r:id="rId11995" ref="K10664"/>
    <hyperlink r:id="rId12487" ref="J10665"/>
    <hyperlink r:id="rId12488" ref="K10665"/>
    <hyperlink r:id="rId12489" ref="J10666"/>
    <hyperlink r:id="rId11713" ref="K10666"/>
    <hyperlink r:id="rId12490" ref="J10667"/>
    <hyperlink r:id="rId12491" ref="K10667"/>
    <hyperlink r:id="rId12492" ref="J10668"/>
    <hyperlink r:id="rId12048" ref="K10668"/>
    <hyperlink r:id="rId12493" ref="J10669"/>
    <hyperlink r:id="rId12414" ref="K10669"/>
    <hyperlink r:id="rId12494" ref="J10670"/>
    <hyperlink r:id="rId12495" ref="K10670"/>
    <hyperlink r:id="rId12496" ref="J10671"/>
    <hyperlink r:id="rId11842" ref="K10671"/>
    <hyperlink r:id="rId12497" ref="J10672"/>
    <hyperlink r:id="rId12498" ref="K10672"/>
    <hyperlink r:id="rId12499" ref="J10673"/>
    <hyperlink r:id="rId12500" ref="K10673"/>
    <hyperlink r:id="rId12501" ref="J10674"/>
    <hyperlink r:id="rId11762" ref="K10674"/>
    <hyperlink r:id="rId12502" ref="J10675"/>
    <hyperlink r:id="rId12503" ref="K10675"/>
    <hyperlink r:id="rId12504" ref="J10676"/>
    <hyperlink r:id="rId12505" ref="K10676"/>
    <hyperlink r:id="rId12506" ref="J10677"/>
    <hyperlink r:id="rId12507" ref="K10677"/>
    <hyperlink r:id="rId12508" ref="J10678"/>
    <hyperlink r:id="rId12509" ref="K10678"/>
    <hyperlink r:id="rId12510" ref="J10679"/>
    <hyperlink r:id="rId12511" ref="K10679"/>
    <hyperlink r:id="rId12512" ref="J10680"/>
    <hyperlink r:id="rId12513" ref="K10680"/>
    <hyperlink r:id="rId12514" ref="J10681"/>
    <hyperlink r:id="rId11623" ref="K10681"/>
    <hyperlink r:id="rId12515" ref="J10682"/>
    <hyperlink r:id="rId12516" ref="K10682"/>
    <hyperlink r:id="rId12517" ref="J10683"/>
    <hyperlink r:id="rId12518" ref="K10683"/>
    <hyperlink r:id="rId12519" ref="J10684"/>
    <hyperlink r:id="rId12520" ref="K10684"/>
    <hyperlink r:id="rId12521" ref="J10685"/>
    <hyperlink r:id="rId12522" ref="K10685"/>
    <hyperlink r:id="rId12523" ref="J10686"/>
    <hyperlink r:id="rId12524" ref="K10686"/>
    <hyperlink r:id="rId12525" ref="J10687"/>
    <hyperlink r:id="rId12526" ref="K10687"/>
    <hyperlink r:id="rId12527" ref="J10688"/>
    <hyperlink r:id="rId12528" ref="K10688"/>
    <hyperlink r:id="rId12529" ref="J10689"/>
    <hyperlink r:id="rId12530" ref="K10689"/>
    <hyperlink r:id="rId12531" ref="J10690"/>
    <hyperlink r:id="rId12532" ref="K10690"/>
    <hyperlink r:id="rId12533" ref="J10691"/>
    <hyperlink r:id="rId12534" ref="K10691"/>
    <hyperlink r:id="rId12535" ref="J10692"/>
    <hyperlink r:id="rId12536" ref="K10692"/>
    <hyperlink r:id="rId12537" ref="J10693"/>
    <hyperlink r:id="rId12538" ref="K10693"/>
    <hyperlink r:id="rId12539" ref="J10694"/>
    <hyperlink r:id="rId12540" ref="K10694"/>
    <hyperlink r:id="rId12541" ref="J10695"/>
    <hyperlink r:id="rId12542" ref="K10695"/>
    <hyperlink r:id="rId12543" ref="J10696"/>
    <hyperlink r:id="rId12544" ref="K10696"/>
    <hyperlink r:id="rId12545" ref="J10697"/>
    <hyperlink r:id="rId12546" ref="K10697"/>
    <hyperlink r:id="rId12547" ref="J10698"/>
    <hyperlink r:id="rId12548" ref="K10698"/>
    <hyperlink r:id="rId12549" ref="J10699"/>
    <hyperlink r:id="rId12550" ref="K10699"/>
    <hyperlink r:id="rId12551" ref="J10700"/>
    <hyperlink r:id="rId11644" ref="K10700"/>
    <hyperlink r:id="rId12552" ref="J10701"/>
    <hyperlink r:id="rId12553" ref="K10701"/>
    <hyperlink r:id="rId12554" ref="J10702"/>
    <hyperlink r:id="rId12555" ref="K10702"/>
    <hyperlink r:id="rId12556" ref="J10703"/>
    <hyperlink r:id="rId12557" ref="K10703"/>
    <hyperlink r:id="rId12558" ref="J10704"/>
    <hyperlink r:id="rId12559" ref="K10704"/>
    <hyperlink r:id="rId12560" ref="J10705"/>
    <hyperlink r:id="rId12561" ref="K10705"/>
    <hyperlink r:id="rId12562" ref="J10706"/>
    <hyperlink r:id="rId12563" ref="K10706"/>
    <hyperlink r:id="rId12564" ref="J10707"/>
    <hyperlink r:id="rId12565" ref="K10707"/>
    <hyperlink r:id="rId12566" ref="J10708"/>
    <hyperlink r:id="rId12567" ref="K10708"/>
    <hyperlink r:id="rId12568" ref="J10709"/>
    <hyperlink r:id="rId12569" ref="K10709"/>
    <hyperlink r:id="rId12570" ref="J10710"/>
    <hyperlink r:id="rId11648" ref="K10710"/>
    <hyperlink r:id="rId12571" ref="J10711"/>
    <hyperlink r:id="rId12358" ref="K10711"/>
    <hyperlink r:id="rId12572" ref="J10712"/>
    <hyperlink r:id="rId12573" ref="K10712"/>
    <hyperlink r:id="rId12574" ref="J10713"/>
    <hyperlink r:id="rId12575" ref="K10713"/>
    <hyperlink r:id="rId12576" ref="J10714"/>
    <hyperlink r:id="rId12234" ref="K10714"/>
    <hyperlink r:id="rId12577" ref="J10715"/>
    <hyperlink r:id="rId12578" ref="K10715"/>
    <hyperlink r:id="rId12579" ref="J10716"/>
    <hyperlink r:id="rId12580" ref="K10716"/>
    <hyperlink r:id="rId12581" ref="J10717"/>
    <hyperlink r:id="rId12582" ref="K10717"/>
    <hyperlink r:id="rId12583" ref="J10718"/>
    <hyperlink r:id="rId7263" ref="K10718"/>
    <hyperlink r:id="rId12584" ref="J10719"/>
    <hyperlink r:id="rId12585" ref="K10719"/>
    <hyperlink r:id="rId12586" ref="J10720"/>
    <hyperlink r:id="rId12587" ref="K10720"/>
    <hyperlink r:id="rId12588" ref="J10721"/>
    <hyperlink r:id="rId12589" ref="K10721"/>
    <hyperlink r:id="rId12590" ref="J10722"/>
    <hyperlink r:id="rId12591" ref="K10722"/>
    <hyperlink r:id="rId12592" ref="J10723"/>
    <hyperlink r:id="rId12593" ref="K10723"/>
    <hyperlink r:id="rId12594" ref="J10724"/>
    <hyperlink r:id="rId12595" ref="K10724"/>
    <hyperlink r:id="rId12596" ref="J10725"/>
    <hyperlink r:id="rId12597" ref="K10725"/>
    <hyperlink r:id="rId12598" ref="J10726"/>
    <hyperlink r:id="rId12599" ref="K10726"/>
    <hyperlink r:id="rId12600" ref="J10727"/>
    <hyperlink r:id="rId12601" ref="K10727"/>
    <hyperlink r:id="rId12602" ref="J10728"/>
    <hyperlink r:id="rId12603" ref="K10728"/>
    <hyperlink r:id="rId12604" ref="J10729"/>
    <hyperlink r:id="rId12605" ref="K10729"/>
    <hyperlink r:id="rId12606" ref="J10730"/>
    <hyperlink r:id="rId12607" ref="K10730"/>
    <hyperlink r:id="rId12608" ref="J10731"/>
    <hyperlink r:id="rId12306" ref="K10731"/>
    <hyperlink r:id="rId12609" ref="J10732"/>
    <hyperlink r:id="rId12610" ref="K10732"/>
    <hyperlink r:id="rId12611" ref="J10733"/>
    <hyperlink r:id="rId12612" ref="K10733"/>
    <hyperlink r:id="rId12613" ref="J10734"/>
    <hyperlink r:id="rId12614" ref="K10734"/>
    <hyperlink r:id="rId12615" ref="J10735"/>
    <hyperlink r:id="rId12616" ref="K10735"/>
    <hyperlink r:id="rId12617" ref="J10736"/>
    <hyperlink r:id="rId12618" ref="K10736"/>
    <hyperlink r:id="rId12619" ref="J10737"/>
    <hyperlink r:id="rId12620" ref="K10737"/>
    <hyperlink r:id="rId12621" ref="J10738"/>
    <hyperlink r:id="rId12622" ref="K10738"/>
    <hyperlink r:id="rId12623" ref="J10739"/>
    <hyperlink r:id="rId12624" ref="K10739"/>
    <hyperlink r:id="rId12625" ref="J10740"/>
    <hyperlink r:id="rId12626" ref="K10740"/>
    <hyperlink r:id="rId12627" ref="J10741"/>
    <hyperlink r:id="rId12628" ref="K10741"/>
    <hyperlink r:id="rId12629" ref="J10742"/>
    <hyperlink r:id="rId12630" ref="K10742"/>
    <hyperlink r:id="rId12631" ref="J10743"/>
    <hyperlink r:id="rId12632" ref="K10743"/>
    <hyperlink r:id="rId12633" ref="J10744"/>
    <hyperlink r:id="rId12634" ref="K10744"/>
    <hyperlink r:id="rId12635" ref="J10745"/>
    <hyperlink r:id="rId12636" ref="K10745"/>
    <hyperlink r:id="rId12637" ref="J10746"/>
    <hyperlink r:id="rId12575" ref="K10746"/>
    <hyperlink r:id="rId12638" ref="J10747"/>
    <hyperlink r:id="rId12639" ref="K10747"/>
    <hyperlink r:id="rId12640" ref="J10748"/>
    <hyperlink r:id="rId12641" ref="K10748"/>
    <hyperlink r:id="rId12642" ref="J10749"/>
    <hyperlink r:id="rId12213" ref="K10749"/>
    <hyperlink r:id="rId12643" ref="J10750"/>
    <hyperlink r:id="rId12211" ref="K10750"/>
    <hyperlink r:id="rId12644" ref="J10751"/>
    <hyperlink r:id="rId12645" ref="K10751"/>
    <hyperlink r:id="rId12646" ref="J10752"/>
    <hyperlink r:id="rId12647" ref="K10752"/>
    <hyperlink r:id="rId12648" ref="J10753"/>
    <hyperlink r:id="rId12649" ref="K10753"/>
    <hyperlink r:id="rId12650" ref="J10754"/>
    <hyperlink r:id="rId12651" ref="K10754"/>
    <hyperlink r:id="rId12652" ref="J10755"/>
    <hyperlink r:id="rId12653" ref="K10755"/>
    <hyperlink r:id="rId12654" ref="J10756"/>
    <hyperlink r:id="rId12655" ref="K10756"/>
    <hyperlink r:id="rId12656" ref="J10757"/>
    <hyperlink r:id="rId12657" ref="K10757"/>
    <hyperlink r:id="rId12658" ref="J10758"/>
    <hyperlink r:id="rId12659" ref="K10758"/>
    <hyperlink r:id="rId12660" ref="J10759"/>
    <hyperlink r:id="rId12661" ref="K10759"/>
    <hyperlink r:id="rId12662" ref="J10760"/>
    <hyperlink r:id="rId12663" ref="K10760"/>
    <hyperlink r:id="rId12664" ref="J10761"/>
    <hyperlink r:id="rId12071" ref="K10761"/>
    <hyperlink r:id="rId12665" ref="J10762"/>
    <hyperlink r:id="rId12666" ref="K10762"/>
    <hyperlink r:id="rId12667" ref="J10763"/>
    <hyperlink r:id="rId12668" ref="K10763"/>
    <hyperlink r:id="rId12669" ref="J10764"/>
    <hyperlink r:id="rId12670" ref="K10764"/>
    <hyperlink r:id="rId12671" ref="J10765"/>
    <hyperlink r:id="rId12672" ref="K10765"/>
    <hyperlink r:id="rId12673" ref="J10766"/>
    <hyperlink r:id="rId12674" ref="K10766"/>
    <hyperlink r:id="rId12675" ref="J10767"/>
    <hyperlink r:id="rId12676" ref="K10767"/>
    <hyperlink r:id="rId12677" ref="J10768"/>
    <hyperlink r:id="rId12678" ref="K10768"/>
    <hyperlink r:id="rId12679" ref="J10769"/>
    <hyperlink r:id="rId12680" ref="K10769"/>
    <hyperlink r:id="rId12681" ref="J10770"/>
    <hyperlink r:id="rId12682" ref="K10770"/>
    <hyperlink r:id="rId8459" ref="J10771"/>
    <hyperlink r:id="rId8460" ref="K10771"/>
    <hyperlink r:id="rId12683" ref="J10772"/>
    <hyperlink r:id="rId12684" ref="K10772"/>
    <hyperlink r:id="rId12685" ref="J10773"/>
    <hyperlink r:id="rId12686" ref="K10773"/>
    <hyperlink r:id="rId12687" ref="J10774"/>
    <hyperlink r:id="rId12688" ref="K10774"/>
    <hyperlink r:id="rId12689" ref="J10775"/>
    <hyperlink r:id="rId12690" ref="K10775"/>
    <hyperlink r:id="rId12691" ref="J10776"/>
    <hyperlink r:id="rId12692" ref="K10776"/>
    <hyperlink r:id="rId12693" ref="J10777"/>
    <hyperlink r:id="rId12694" ref="K10777"/>
    <hyperlink r:id="rId12695" ref="J10778"/>
    <hyperlink r:id="rId12696" ref="K10778"/>
    <hyperlink r:id="rId12697" ref="J10779"/>
    <hyperlink r:id="rId12201" ref="K10779"/>
    <hyperlink r:id="rId12698" ref="J10780"/>
    <hyperlink r:id="rId12699" ref="K10780"/>
    <hyperlink r:id="rId12700" ref="J10781"/>
    <hyperlink r:id="rId12701" ref="K10781"/>
    <hyperlink r:id="rId12702" ref="J10782"/>
    <hyperlink r:id="rId12703" ref="K10782"/>
    <hyperlink r:id="rId12704" ref="J10783"/>
    <hyperlink r:id="rId12705" ref="K10783"/>
    <hyperlink r:id="rId12706" ref="J10784"/>
    <hyperlink r:id="rId12707" ref="K10784"/>
    <hyperlink r:id="rId12708" ref="J10785"/>
    <hyperlink r:id="rId12709" ref="K10785"/>
    <hyperlink r:id="rId12710" ref="J10786"/>
    <hyperlink r:id="rId11723" ref="K10786"/>
    <hyperlink r:id="rId12711" ref="J10787"/>
    <hyperlink r:id="rId12712" ref="K10787"/>
    <hyperlink r:id="rId12713" ref="J10788"/>
    <hyperlink r:id="rId12714" ref="K10788"/>
    <hyperlink r:id="rId12715" ref="J10789"/>
    <hyperlink r:id="rId12716" ref="K10789"/>
    <hyperlink r:id="rId12717" ref="J10790"/>
    <hyperlink r:id="rId12718" ref="K10790"/>
    <hyperlink r:id="rId12719" ref="J10791"/>
    <hyperlink r:id="rId12720" ref="K10791"/>
    <hyperlink r:id="rId12721" ref="J10792"/>
    <hyperlink r:id="rId12722" ref="K10792"/>
    <hyperlink r:id="rId12723" ref="J10793"/>
    <hyperlink r:id="rId12724" ref="K10793"/>
    <hyperlink r:id="rId12725" ref="J10794"/>
    <hyperlink r:id="rId12726" ref="K10794"/>
    <hyperlink r:id="rId12727" ref="J10795"/>
    <hyperlink r:id="rId12728" ref="K10795"/>
    <hyperlink r:id="rId12729" ref="J10796"/>
    <hyperlink r:id="rId12730" ref="K10796"/>
    <hyperlink r:id="rId12731" ref="J10797"/>
    <hyperlink r:id="rId12732" ref="K10797"/>
    <hyperlink r:id="rId12733" ref="J10798"/>
    <hyperlink r:id="rId12734" ref="K10798"/>
    <hyperlink r:id="rId12735" ref="J10799"/>
    <hyperlink r:id="rId12736" ref="K10799"/>
    <hyperlink r:id="rId12737" ref="J10800"/>
    <hyperlink r:id="rId12738" ref="K10800"/>
    <hyperlink r:id="rId12739" ref="J10801"/>
    <hyperlink r:id="rId12740" ref="K10801"/>
    <hyperlink r:id="rId12741" ref="J10802"/>
    <hyperlink r:id="rId12742" ref="K10802"/>
    <hyperlink r:id="rId12743" ref="J10803"/>
    <hyperlink r:id="rId12744" ref="K10803"/>
    <hyperlink r:id="rId12745" ref="J10804"/>
    <hyperlink r:id="rId12746" ref="K10804"/>
    <hyperlink r:id="rId12747" ref="J10805"/>
    <hyperlink r:id="rId12748" ref="K10805"/>
    <hyperlink r:id="rId12749" ref="J10806"/>
    <hyperlink r:id="rId12750" ref="K10806"/>
    <hyperlink r:id="rId12751" ref="J10807"/>
    <hyperlink r:id="rId12752" ref="K10807"/>
    <hyperlink r:id="rId12753" ref="J10808"/>
    <hyperlink r:id="rId12754" ref="K10808"/>
    <hyperlink r:id="rId12755" ref="J10809"/>
    <hyperlink r:id="rId12756" ref="K10809"/>
    <hyperlink r:id="rId12757" ref="J10810"/>
    <hyperlink r:id="rId12758" ref="K10810"/>
    <hyperlink r:id="rId12759" ref="J10811"/>
    <hyperlink r:id="rId12760" ref="K10811"/>
    <hyperlink r:id="rId12761" ref="J10812"/>
    <hyperlink r:id="rId11874" ref="K10812"/>
    <hyperlink r:id="rId12762" ref="J10813"/>
    <hyperlink r:id="rId12763" ref="K10813"/>
    <hyperlink r:id="rId12764" ref="J10814"/>
    <hyperlink r:id="rId12765" ref="K10814"/>
    <hyperlink r:id="rId12766" ref="J10815"/>
    <hyperlink r:id="rId12767" ref="K10815"/>
    <hyperlink r:id="rId12768" ref="J10816"/>
    <hyperlink r:id="rId12769" ref="K10816"/>
    <hyperlink r:id="rId12770" ref="J10817"/>
    <hyperlink r:id="rId12771" ref="K10817"/>
    <hyperlink r:id="rId12772" ref="J10818"/>
    <hyperlink r:id="rId12773" ref="K10818"/>
    <hyperlink r:id="rId12774" ref="J10819"/>
    <hyperlink r:id="rId12775" ref="K10819"/>
    <hyperlink r:id="rId12776" ref="J10820"/>
    <hyperlink r:id="rId12777" ref="K10820"/>
    <hyperlink r:id="rId12778" ref="J10821"/>
    <hyperlink r:id="rId12779" ref="K10821"/>
    <hyperlink r:id="rId12780" ref="J10822"/>
    <hyperlink r:id="rId12781" ref="K10822"/>
    <hyperlink r:id="rId12782" ref="J10823"/>
    <hyperlink r:id="rId12783" ref="K10823"/>
    <hyperlink r:id="rId12784" ref="J10824"/>
    <hyperlink r:id="rId12756" ref="K10824"/>
    <hyperlink r:id="rId12785" ref="J10825"/>
    <hyperlink r:id="rId12591" ref="K10825"/>
    <hyperlink r:id="rId12786" ref="J10826"/>
    <hyperlink r:id="rId12787" ref="K10826"/>
    <hyperlink r:id="rId12788" ref="J10827"/>
    <hyperlink r:id="rId12789" ref="K10827"/>
    <hyperlink r:id="rId12790" ref="J10828"/>
    <hyperlink r:id="rId12791" ref="K10828"/>
    <hyperlink r:id="rId12792" ref="J10829"/>
    <hyperlink r:id="rId12793" ref="K10829"/>
    <hyperlink r:id="rId12794" ref="J10830"/>
    <hyperlink r:id="rId12795" ref="K10830"/>
    <hyperlink r:id="rId12796" ref="J10831"/>
    <hyperlink r:id="rId12797" ref="K10831"/>
    <hyperlink r:id="rId12798" ref="J10832"/>
    <hyperlink r:id="rId9562" ref="K10832"/>
    <hyperlink r:id="rId12799" ref="J10833"/>
    <hyperlink r:id="rId12800" ref="K10833"/>
    <hyperlink r:id="rId12801" ref="J10834"/>
    <hyperlink r:id="rId12802" ref="K10834"/>
    <hyperlink r:id="rId12803" ref="J10835"/>
    <hyperlink r:id="rId12804" ref="K10835"/>
    <hyperlink r:id="rId12805" ref="J10836"/>
    <hyperlink r:id="rId12806" ref="K10836"/>
    <hyperlink r:id="rId12807" ref="J10837"/>
    <hyperlink r:id="rId12808" ref="K10837"/>
    <hyperlink r:id="rId12809" ref="J10838"/>
    <hyperlink r:id="rId12810" ref="K10838"/>
    <hyperlink r:id="rId12811" ref="J10839"/>
    <hyperlink r:id="rId12193" ref="K10839"/>
    <hyperlink r:id="rId12812" ref="J10840"/>
    <hyperlink r:id="rId12813" ref="K10840"/>
    <hyperlink r:id="rId12814" ref="J10841"/>
    <hyperlink r:id="rId12815" ref="K10841"/>
    <hyperlink r:id="rId12816" ref="J10842"/>
    <hyperlink r:id="rId12817" ref="K10842"/>
    <hyperlink r:id="rId12818" ref="J10843"/>
    <hyperlink r:id="rId11631" ref="K10843"/>
    <hyperlink r:id="rId12819" ref="J10844"/>
    <hyperlink r:id="rId12820" ref="K10844"/>
    <hyperlink r:id="rId12821" ref="J10845"/>
    <hyperlink r:id="rId12587" ref="K10845"/>
    <hyperlink r:id="rId12822" ref="J10846"/>
    <hyperlink r:id="rId12823" ref="K10846"/>
    <hyperlink r:id="rId12824" ref="J10847"/>
    <hyperlink r:id="rId12825" ref="K10847"/>
    <hyperlink r:id="rId12826" ref="J10848"/>
    <hyperlink r:id="rId12827" ref="K10848"/>
    <hyperlink r:id="rId12828" ref="J10849"/>
    <hyperlink r:id="rId12829" ref="K10849"/>
    <hyperlink r:id="rId5613" ref="J10850"/>
    <hyperlink r:id="rId5614" ref="K10850"/>
    <hyperlink r:id="rId12830" ref="J10851"/>
    <hyperlink r:id="rId12831" ref="K10851"/>
    <hyperlink r:id="rId12832" ref="J10852"/>
    <hyperlink r:id="rId12833" ref="K10852"/>
    <hyperlink r:id="rId12834" ref="J10853"/>
    <hyperlink r:id="rId12835" ref="K10853"/>
    <hyperlink r:id="rId12836" ref="J10854"/>
    <hyperlink r:id="rId12837" ref="K10854"/>
    <hyperlink r:id="rId12838" ref="J10855"/>
    <hyperlink r:id="rId12839" ref="K10855"/>
    <hyperlink r:id="rId12840" ref="J10856"/>
    <hyperlink r:id="rId12841" ref="K10856"/>
    <hyperlink r:id="rId12842" ref="J10857"/>
    <hyperlink r:id="rId12843" ref="K10857"/>
    <hyperlink r:id="rId12844" ref="J10858"/>
    <hyperlink r:id="rId11545" ref="K10858"/>
    <hyperlink r:id="rId12845" ref="J10859"/>
    <hyperlink r:id="rId12846" ref="K10859"/>
    <hyperlink r:id="rId12847" ref="J10860"/>
    <hyperlink r:id="rId12848" ref="K10860"/>
    <hyperlink r:id="rId12849" ref="J10861"/>
    <hyperlink r:id="rId12850" ref="K10861"/>
    <hyperlink r:id="rId12851" ref="J10862"/>
    <hyperlink r:id="rId12852" ref="K10862"/>
    <hyperlink r:id="rId12853" ref="J10863"/>
    <hyperlink r:id="rId12854" ref="K10863"/>
    <hyperlink r:id="rId12855" ref="J10864"/>
    <hyperlink r:id="rId12856" ref="K10864"/>
    <hyperlink r:id="rId12857" ref="J10865"/>
    <hyperlink r:id="rId12858" ref="K10865"/>
    <hyperlink r:id="rId12859" ref="J10866"/>
    <hyperlink r:id="rId12860" ref="K10866"/>
    <hyperlink r:id="rId12861" ref="J10867"/>
    <hyperlink r:id="rId12862" ref="K10867"/>
    <hyperlink r:id="rId12863" ref="J10868"/>
    <hyperlink r:id="rId12864" ref="K10868"/>
    <hyperlink r:id="rId12865" ref="J10869"/>
    <hyperlink r:id="rId12866" ref="K10869"/>
    <hyperlink r:id="rId12867" ref="J10870"/>
    <hyperlink r:id="rId12868" ref="K10870"/>
    <hyperlink r:id="rId12869" ref="J10871"/>
    <hyperlink r:id="rId12870" ref="K10871"/>
    <hyperlink r:id="rId12871" ref="J10872"/>
    <hyperlink r:id="rId11918" ref="K10872"/>
    <hyperlink r:id="rId12872" ref="J10873"/>
    <hyperlink r:id="rId12873" ref="K10873"/>
    <hyperlink r:id="rId12874" ref="J10874"/>
    <hyperlink r:id="rId12875" ref="K10874"/>
    <hyperlink r:id="rId12876" ref="J10875"/>
    <hyperlink r:id="rId12877" ref="K10875"/>
    <hyperlink r:id="rId12878" ref="J10876"/>
    <hyperlink r:id="rId12211" ref="K10876"/>
    <hyperlink r:id="rId12879" ref="J10877"/>
    <hyperlink r:id="rId12880" ref="K10877"/>
    <hyperlink r:id="rId12881" ref="J10878"/>
    <hyperlink r:id="rId12882" ref="K10878"/>
    <hyperlink r:id="rId12883" ref="J10879"/>
    <hyperlink r:id="rId12884" ref="K10879"/>
    <hyperlink r:id="rId12885" ref="J10880"/>
    <hyperlink r:id="rId12886" ref="K10880"/>
    <hyperlink r:id="rId12887" ref="J10881"/>
    <hyperlink r:id="rId12888" ref="K10881"/>
    <hyperlink r:id="rId12889" ref="J10882"/>
    <hyperlink r:id="rId12890" ref="K10882"/>
    <hyperlink r:id="rId12891" ref="J10883"/>
    <hyperlink r:id="rId12892" ref="K10883"/>
    <hyperlink r:id="rId12893" ref="J10884"/>
    <hyperlink r:id="rId12894" ref="K10884"/>
    <hyperlink r:id="rId12895" ref="J10885"/>
    <hyperlink r:id="rId12262" ref="K10885"/>
    <hyperlink r:id="rId12896" ref="J10886"/>
    <hyperlink r:id="rId12897" ref="K10886"/>
    <hyperlink r:id="rId12898" ref="J10887"/>
    <hyperlink r:id="rId12899" ref="K10887"/>
    <hyperlink r:id="rId12900" ref="J10888"/>
    <hyperlink r:id="rId12901" ref="K10888"/>
    <hyperlink r:id="rId12902" ref="J10889"/>
    <hyperlink r:id="rId12903" ref="K10889"/>
    <hyperlink r:id="rId12904" ref="J10890"/>
    <hyperlink r:id="rId12905" ref="K10890"/>
    <hyperlink r:id="rId12906" ref="J10891"/>
    <hyperlink r:id="rId11808" ref="K10891"/>
    <hyperlink r:id="rId12907" ref="J10892"/>
    <hyperlink r:id="rId12908" ref="K10892"/>
    <hyperlink r:id="rId12909" ref="J10893"/>
    <hyperlink r:id="rId12910" ref="K10893"/>
    <hyperlink r:id="rId12911" ref="J10894"/>
    <hyperlink r:id="rId12912" ref="K10894"/>
    <hyperlink r:id="rId12913" ref="J10895"/>
    <hyperlink r:id="rId12914" ref="K10895"/>
    <hyperlink r:id="rId12915" ref="J10896"/>
    <hyperlink r:id="rId12916" ref="K10896"/>
    <hyperlink r:id="rId12917" ref="J10897"/>
    <hyperlink r:id="rId12423" ref="K10897"/>
    <hyperlink r:id="rId12918" ref="J10898"/>
    <hyperlink r:id="rId12919" ref="K10898"/>
    <hyperlink r:id="rId12920" ref="J10899"/>
    <hyperlink r:id="rId12921" ref="K10899"/>
    <hyperlink r:id="rId12922" ref="J10900"/>
    <hyperlink r:id="rId12923" ref="K10900"/>
    <hyperlink r:id="rId12924" ref="J10901"/>
    <hyperlink r:id="rId12925" ref="K10901"/>
    <hyperlink r:id="rId12926" ref="J10902"/>
    <hyperlink r:id="rId12927" ref="K10902"/>
    <hyperlink r:id="rId12928" ref="J10903"/>
    <hyperlink r:id="rId12929" ref="K10903"/>
    <hyperlink r:id="rId12930" ref="J10904"/>
    <hyperlink r:id="rId12931" ref="K10904"/>
    <hyperlink r:id="rId12932" ref="J10905"/>
    <hyperlink r:id="rId12933" ref="K10905"/>
    <hyperlink r:id="rId12934" ref="J10906"/>
    <hyperlink r:id="rId12935" ref="K10906"/>
    <hyperlink r:id="rId12936" ref="J10907"/>
    <hyperlink r:id="rId11637" ref="K10907"/>
    <hyperlink r:id="rId12937" ref="J10908"/>
    <hyperlink r:id="rId12938" ref="K10908"/>
    <hyperlink r:id="rId12939" ref="J10909"/>
    <hyperlink r:id="rId12769" ref="K10909"/>
    <hyperlink r:id="rId12940" ref="J10910"/>
    <hyperlink r:id="rId12941" ref="K10910"/>
    <hyperlink r:id="rId12942" ref="J10911"/>
    <hyperlink r:id="rId12943" ref="K10911"/>
    <hyperlink r:id="rId12944" ref="J10912"/>
    <hyperlink r:id="rId12945" ref="K10912"/>
    <hyperlink r:id="rId12946" ref="J10913"/>
    <hyperlink r:id="rId12947" ref="K10913"/>
    <hyperlink r:id="rId12948" ref="J10914"/>
    <hyperlink r:id="rId12949" ref="K10914"/>
    <hyperlink r:id="rId12950" ref="J10915"/>
    <hyperlink r:id="rId12951" ref="K10915"/>
    <hyperlink r:id="rId12952" ref="J10916"/>
    <hyperlink r:id="rId12953" ref="K10916"/>
    <hyperlink r:id="rId12954" ref="J10917"/>
    <hyperlink r:id="rId12955" ref="K10917"/>
    <hyperlink r:id="rId12956" ref="J10918"/>
    <hyperlink r:id="rId12957" ref="K10918"/>
    <hyperlink r:id="rId12958" ref="J10919"/>
    <hyperlink r:id="rId12959" ref="K10919"/>
    <hyperlink r:id="rId12960" ref="J10920"/>
    <hyperlink r:id="rId12775" ref="K10920"/>
    <hyperlink r:id="rId12961" ref="J10921"/>
    <hyperlink r:id="rId12962" ref="J10922"/>
    <hyperlink r:id="rId12963" ref="K10922"/>
    <hyperlink r:id="rId12964" ref="J10923"/>
    <hyperlink r:id="rId12965" ref="K10923"/>
    <hyperlink r:id="rId12966" ref="J10924"/>
    <hyperlink r:id="rId12967" ref="K10924"/>
    <hyperlink r:id="rId12968" ref="J10925"/>
    <hyperlink r:id="rId12969" ref="K10925"/>
    <hyperlink r:id="rId12970" ref="J10926"/>
    <hyperlink r:id="rId12971" ref="K10926"/>
    <hyperlink r:id="rId12972" ref="J10927"/>
    <hyperlink r:id="rId12973" ref="K10927"/>
    <hyperlink r:id="rId12974" ref="J10928"/>
    <hyperlink r:id="rId12670" ref="K10928"/>
    <hyperlink r:id="rId12975" ref="J10929"/>
    <hyperlink r:id="rId12976" ref="K10929"/>
    <hyperlink r:id="rId12977" ref="J10930"/>
    <hyperlink r:id="rId12978" ref="K10930"/>
    <hyperlink r:id="rId12979" ref="J10931"/>
    <hyperlink r:id="rId12980" ref="K10931"/>
    <hyperlink r:id="rId12981" ref="J10932"/>
    <hyperlink r:id="rId12982" ref="K10932"/>
    <hyperlink r:id="rId12983" ref="J10933"/>
    <hyperlink r:id="rId12888" ref="K10933"/>
    <hyperlink r:id="rId12984" ref="J10934"/>
    <hyperlink r:id="rId12450" ref="K10934"/>
    <hyperlink r:id="rId12985" ref="J10935"/>
    <hyperlink r:id="rId12986" ref="K10935"/>
    <hyperlink r:id="rId12987" ref="J10936"/>
    <hyperlink r:id="rId12988" ref="K10936"/>
    <hyperlink r:id="rId12989" ref="J10937"/>
    <hyperlink r:id="rId12990" ref="K10937"/>
    <hyperlink r:id="rId12991" ref="J10938"/>
    <hyperlink r:id="rId12992" ref="K10938"/>
    <hyperlink r:id="rId12993" ref="J10939"/>
    <hyperlink r:id="rId12994" ref="K10939"/>
    <hyperlink r:id="rId9561" ref="J10940"/>
    <hyperlink r:id="rId9562" ref="K10940"/>
    <hyperlink r:id="rId12995" ref="J10941"/>
    <hyperlink r:id="rId12996" ref="K10941"/>
    <hyperlink r:id="rId12997" ref="J10942"/>
    <hyperlink r:id="rId12998" ref="K10942"/>
    <hyperlink r:id="rId12999" ref="J10943"/>
    <hyperlink r:id="rId12973" ref="K10943"/>
    <hyperlink r:id="rId13000" ref="J10944"/>
    <hyperlink r:id="rId13001" ref="K10944"/>
    <hyperlink r:id="rId13002" ref="J10945"/>
    <hyperlink r:id="rId12168" ref="K10945"/>
    <hyperlink r:id="rId13003" ref="J10946"/>
    <hyperlink r:id="rId13004" ref="K10946"/>
    <hyperlink r:id="rId13005" ref="J10947"/>
    <hyperlink r:id="rId13006" ref="K10947"/>
    <hyperlink r:id="rId13007" ref="J10948"/>
    <hyperlink r:id="rId13008" ref="K10948"/>
    <hyperlink r:id="rId13009" ref="J10949"/>
    <hyperlink r:id="rId13010" ref="K10949"/>
    <hyperlink r:id="rId13011" ref="J10950"/>
    <hyperlink r:id="rId13012" ref="K10950"/>
    <hyperlink r:id="rId13013" ref="J10951"/>
    <hyperlink r:id="rId13014" ref="K10951"/>
    <hyperlink r:id="rId13015" ref="J10952"/>
    <hyperlink r:id="rId13016" ref="K10952"/>
    <hyperlink r:id="rId13017" ref="J10953"/>
    <hyperlink r:id="rId13018" ref="K10953"/>
    <hyperlink r:id="rId13019" ref="J10954"/>
    <hyperlink r:id="rId13020" ref="K10954"/>
    <hyperlink r:id="rId13021" ref="J10955"/>
    <hyperlink r:id="rId13022" ref="K10955"/>
    <hyperlink r:id="rId13023" ref="J10956"/>
    <hyperlink r:id="rId13024" ref="K10956"/>
    <hyperlink r:id="rId13025" ref="J10957"/>
    <hyperlink r:id="rId12286" ref="K10957"/>
    <hyperlink r:id="rId13026" ref="J10958"/>
    <hyperlink r:id="rId13027" ref="K10958"/>
    <hyperlink r:id="rId13028" ref="J10959"/>
    <hyperlink r:id="rId13029" ref="K10959"/>
    <hyperlink r:id="rId13030" ref="J10960"/>
    <hyperlink r:id="rId13031" ref="K10960"/>
    <hyperlink r:id="rId13032" ref="J10961"/>
    <hyperlink r:id="rId13033" ref="K10961"/>
    <hyperlink r:id="rId13034" ref="J10962"/>
    <hyperlink r:id="rId12587" ref="K10962"/>
    <hyperlink r:id="rId13035" ref="J10963"/>
    <hyperlink r:id="rId13036" ref="K10963"/>
    <hyperlink r:id="rId13037" ref="J10964"/>
    <hyperlink r:id="rId12294" ref="K10964"/>
    <hyperlink r:id="rId13038" ref="J10965"/>
    <hyperlink r:id="rId13039" ref="K10965"/>
    <hyperlink r:id="rId13040" ref="J10966"/>
    <hyperlink r:id="rId13041" ref="K10966"/>
    <hyperlink r:id="rId13042" ref="J10967"/>
    <hyperlink r:id="rId13043" ref="K10967"/>
    <hyperlink r:id="rId13044" ref="J10968"/>
    <hyperlink r:id="rId13045" ref="K10968"/>
    <hyperlink r:id="rId13046" ref="J10969"/>
    <hyperlink r:id="rId13047" ref="K10969"/>
    <hyperlink r:id="rId13048" ref="J10970"/>
    <hyperlink r:id="rId13049" ref="K10970"/>
    <hyperlink r:id="rId13050" ref="J10971"/>
    <hyperlink r:id="rId13051" ref="K10971"/>
    <hyperlink r:id="rId13052" ref="J10972"/>
    <hyperlink r:id="rId13053" ref="K10972"/>
    <hyperlink r:id="rId13054" ref="J10973"/>
    <hyperlink r:id="rId13055" ref="K10973"/>
    <hyperlink r:id="rId13056" ref="J10974"/>
    <hyperlink r:id="rId13057" ref="K10974"/>
    <hyperlink r:id="rId13058" ref="J10975"/>
    <hyperlink r:id="rId13059" ref="K10975"/>
    <hyperlink r:id="rId13060" ref="J10976"/>
    <hyperlink r:id="rId13061" ref="K10976"/>
    <hyperlink r:id="rId13062" ref="J10977"/>
    <hyperlink r:id="rId13063" ref="K10977"/>
    <hyperlink r:id="rId13064" ref="J10978"/>
    <hyperlink r:id="rId13065" ref="K10978"/>
    <hyperlink r:id="rId13066" ref="J10979"/>
    <hyperlink r:id="rId11721" ref="K10979"/>
    <hyperlink r:id="rId13067" ref="J10980"/>
    <hyperlink r:id="rId13068" ref="K10980"/>
    <hyperlink r:id="rId13069" ref="J10981"/>
    <hyperlink r:id="rId13070" ref="K10981"/>
    <hyperlink r:id="rId13071" ref="J10982"/>
    <hyperlink r:id="rId12793" ref="K10982"/>
    <hyperlink r:id="rId13072" ref="J10983"/>
    <hyperlink r:id="rId13073" ref="K10983"/>
    <hyperlink r:id="rId13074" ref="J10984"/>
    <hyperlink r:id="rId12546" ref="K10984"/>
    <hyperlink r:id="rId13075" ref="J10985"/>
    <hyperlink r:id="rId13076" ref="K10985"/>
    <hyperlink r:id="rId13077" ref="J10986"/>
    <hyperlink r:id="rId11666" ref="K10986"/>
    <hyperlink r:id="rId13078" ref="J10987"/>
    <hyperlink r:id="rId13079" ref="K10987"/>
    <hyperlink r:id="rId13080" ref="J10988"/>
    <hyperlink r:id="rId13081" ref="K10988"/>
    <hyperlink r:id="rId13082" ref="J10989"/>
    <hyperlink r:id="rId13083" ref="K10989"/>
    <hyperlink r:id="rId13084" ref="J10990"/>
    <hyperlink r:id="rId13085" ref="K10990"/>
    <hyperlink r:id="rId13086" ref="J10991"/>
    <hyperlink r:id="rId13087" ref="K10991"/>
    <hyperlink r:id="rId13088" ref="J10992"/>
    <hyperlink r:id="rId13089" ref="K10992"/>
    <hyperlink r:id="rId13090" ref="J10993"/>
    <hyperlink r:id="rId12610" ref="K10993"/>
    <hyperlink r:id="rId13091" ref="J10994"/>
    <hyperlink r:id="rId13092" ref="K10994"/>
    <hyperlink r:id="rId13093" ref="J10995"/>
    <hyperlink r:id="rId13094" ref="K10995"/>
    <hyperlink r:id="rId13095" ref="J10996"/>
    <hyperlink r:id="rId13096" ref="K10996"/>
    <hyperlink r:id="rId13097" ref="J10997"/>
    <hyperlink r:id="rId13098" ref="K10997"/>
    <hyperlink r:id="rId13099" ref="J10998"/>
    <hyperlink r:id="rId13100" ref="K10998"/>
    <hyperlink r:id="rId13101" ref="J10999"/>
    <hyperlink r:id="rId13102" ref="K10999"/>
    <hyperlink r:id="rId13103" ref="J11000"/>
    <hyperlink r:id="rId13104" ref="K11000"/>
    <hyperlink r:id="rId13105" ref="J11001"/>
    <hyperlink r:id="rId13106" ref="K11001"/>
    <hyperlink r:id="rId13107" ref="J11002"/>
    <hyperlink r:id="rId13108" ref="K11002"/>
    <hyperlink r:id="rId13109" ref="J11003"/>
    <hyperlink r:id="rId13110" ref="K11003"/>
    <hyperlink r:id="rId13111" ref="J11004"/>
    <hyperlink r:id="rId13112" ref="K11004"/>
    <hyperlink r:id="rId13113" ref="J11005"/>
    <hyperlink r:id="rId13114" ref="K11005"/>
    <hyperlink r:id="rId13115" ref="J11006"/>
    <hyperlink r:id="rId13116" ref="K11006"/>
    <hyperlink r:id="rId13117" ref="J11007"/>
    <hyperlink r:id="rId13118" ref="K11007"/>
    <hyperlink r:id="rId13119" ref="J11008"/>
    <hyperlink r:id="rId11751" ref="K11008"/>
    <hyperlink r:id="rId13120" ref="J11009"/>
    <hyperlink r:id="rId12385" ref="K11009"/>
    <hyperlink r:id="rId13121" ref="J11010"/>
    <hyperlink r:id="rId13122" ref="K11010"/>
    <hyperlink r:id="rId13123" ref="J11011"/>
    <hyperlink r:id="rId13124" ref="K11011"/>
    <hyperlink r:id="rId13125" ref="J11012"/>
    <hyperlink r:id="rId11433" ref="K11012"/>
    <hyperlink r:id="rId13126" ref="J11013"/>
    <hyperlink r:id="rId13127" ref="K11013"/>
    <hyperlink r:id="rId13128" ref="J11014"/>
    <hyperlink r:id="rId13129" ref="K11014"/>
    <hyperlink r:id="rId13130" ref="J11015"/>
    <hyperlink r:id="rId13131" ref="K11015"/>
    <hyperlink r:id="rId13132" ref="J11016"/>
    <hyperlink r:id="rId13133" ref="K11016"/>
    <hyperlink r:id="rId13134" ref="J11017"/>
    <hyperlink r:id="rId13010" ref="K11017"/>
    <hyperlink r:id="rId13135" ref="J11018"/>
    <hyperlink r:id="rId13136" ref="K11018"/>
    <hyperlink r:id="rId13137" ref="J11019"/>
    <hyperlink r:id="rId13138" ref="K11019"/>
    <hyperlink r:id="rId13139" ref="J11020"/>
    <hyperlink r:id="rId13140" ref="K11020"/>
    <hyperlink r:id="rId13141" ref="J11021"/>
    <hyperlink r:id="rId13142" ref="K11021"/>
    <hyperlink r:id="rId13143" ref="J11022"/>
    <hyperlink r:id="rId13144" ref="K11022"/>
    <hyperlink r:id="rId13145" ref="J11023"/>
    <hyperlink r:id="rId13146" ref="K11023"/>
    <hyperlink r:id="rId13147" ref="J11024"/>
    <hyperlink r:id="rId13148" ref="K11024"/>
    <hyperlink r:id="rId13149" ref="J11025"/>
    <hyperlink r:id="rId13150" ref="K11025"/>
    <hyperlink r:id="rId13151" ref="J11026"/>
    <hyperlink r:id="rId13152" ref="K11026"/>
    <hyperlink r:id="rId13153" ref="J11027"/>
    <hyperlink r:id="rId13154" ref="K11027"/>
    <hyperlink r:id="rId13155" ref="J11028"/>
    <hyperlink r:id="rId13156" ref="K11028"/>
    <hyperlink r:id="rId13157" ref="J11029"/>
    <hyperlink r:id="rId13158" ref="K11029"/>
    <hyperlink r:id="rId13159" ref="J11030"/>
    <hyperlink r:id="rId13160" ref="K11030"/>
    <hyperlink r:id="rId13161" ref="J11031"/>
    <hyperlink r:id="rId13162" ref="K11031"/>
    <hyperlink r:id="rId13163" ref="J11032"/>
    <hyperlink r:id="rId13164" ref="K11032"/>
    <hyperlink r:id="rId13165" ref="J11033"/>
    <hyperlink r:id="rId11940" ref="K11033"/>
    <hyperlink r:id="rId13166" ref="J11034"/>
    <hyperlink r:id="rId13167" ref="K11034"/>
    <hyperlink r:id="rId13168" ref="J11035"/>
    <hyperlink r:id="rId13169" ref="K11035"/>
    <hyperlink r:id="rId13170" ref="J11036"/>
    <hyperlink r:id="rId13171" ref="K11036"/>
    <hyperlink r:id="rId13172" ref="J11037"/>
    <hyperlink r:id="rId12168" ref="K11037"/>
    <hyperlink r:id="rId13173" ref="J11038"/>
    <hyperlink r:id="rId13174" ref="K11038"/>
    <hyperlink r:id="rId13175" ref="J11039"/>
    <hyperlink r:id="rId13176" ref="K11039"/>
    <hyperlink r:id="rId13177" ref="J11040"/>
    <hyperlink r:id="rId13178" ref="K11040"/>
    <hyperlink r:id="rId13179" ref="J11041"/>
    <hyperlink r:id="rId12722" ref="K11041"/>
    <hyperlink r:id="rId13180" ref="J11042"/>
    <hyperlink r:id="rId12067" ref="K11042"/>
    <hyperlink r:id="rId13181" ref="J11043"/>
    <hyperlink r:id="rId13182" ref="K11043"/>
    <hyperlink r:id="rId13183" ref="J11044"/>
    <hyperlink r:id="rId13184" ref="K11044"/>
    <hyperlink r:id="rId13185" ref="J11045"/>
    <hyperlink r:id="rId13186" ref="K11045"/>
    <hyperlink r:id="rId13187" ref="J11046"/>
    <hyperlink r:id="rId13188" ref="K11046"/>
    <hyperlink r:id="rId13189" ref="J11047"/>
    <hyperlink r:id="rId13190" ref="K11047"/>
    <hyperlink r:id="rId13191" ref="J11048"/>
    <hyperlink r:id="rId13192" ref="K11048"/>
    <hyperlink r:id="rId13193" ref="J11049"/>
    <hyperlink r:id="rId13194" ref="K11049"/>
    <hyperlink r:id="rId13195" ref="J11050"/>
    <hyperlink r:id="rId13196" ref="K11050"/>
    <hyperlink r:id="rId13197" ref="J11051"/>
    <hyperlink r:id="rId13198" ref="K11051"/>
    <hyperlink r:id="rId13199" ref="J11052"/>
    <hyperlink r:id="rId13200" ref="K11052"/>
    <hyperlink r:id="rId13201" ref="J11053"/>
    <hyperlink r:id="rId13202" ref="K11053"/>
    <hyperlink r:id="rId13203" ref="J11054"/>
    <hyperlink r:id="rId13204" ref="K11054"/>
    <hyperlink r:id="rId13205" ref="J11055"/>
    <hyperlink r:id="rId13206" ref="K11055"/>
    <hyperlink r:id="rId13207" ref="J11056"/>
    <hyperlink r:id="rId13208" ref="K11056"/>
    <hyperlink r:id="rId13209" ref="J11057"/>
    <hyperlink r:id="rId13210" ref="K11057"/>
    <hyperlink r:id="rId13211" ref="J11058"/>
    <hyperlink r:id="rId13212" ref="K11058"/>
    <hyperlink r:id="rId13213" ref="J11059"/>
    <hyperlink r:id="rId13214" ref="K11059"/>
    <hyperlink r:id="rId13215" ref="J11060"/>
    <hyperlink r:id="rId13216" ref="K11060"/>
    <hyperlink r:id="rId13217" ref="J11061"/>
    <hyperlink r:id="rId13218" ref="K11061"/>
    <hyperlink r:id="rId13219" ref="J11062"/>
    <hyperlink r:id="rId13220" ref="K11062"/>
    <hyperlink r:id="rId13221" ref="J11063"/>
    <hyperlink r:id="rId13222" ref="K11063"/>
    <hyperlink r:id="rId13223" ref="J11064"/>
    <hyperlink r:id="rId12406" ref="K11064"/>
    <hyperlink r:id="rId13224" ref="J11065"/>
    <hyperlink r:id="rId13225" ref="K11065"/>
    <hyperlink r:id="rId13226" ref="J11066"/>
    <hyperlink r:id="rId13227" ref="K11066"/>
    <hyperlink r:id="rId13228" ref="J11067"/>
    <hyperlink r:id="rId13229" ref="K11067"/>
    <hyperlink r:id="rId13230" ref="J11068"/>
    <hyperlink r:id="rId13231" ref="K11068"/>
    <hyperlink r:id="rId13232" ref="J11069"/>
    <hyperlink r:id="rId13233" ref="K11069"/>
    <hyperlink r:id="rId13234" ref="J11070"/>
    <hyperlink r:id="rId13235" ref="K11070"/>
    <hyperlink r:id="rId13236" ref="J11071"/>
    <hyperlink r:id="rId12294" ref="K11071"/>
    <hyperlink r:id="rId13237" ref="J11072"/>
    <hyperlink r:id="rId13238" ref="K11072"/>
    <hyperlink r:id="rId13239" ref="J11073"/>
    <hyperlink r:id="rId13240" ref="K11073"/>
    <hyperlink r:id="rId13241" ref="J11074"/>
    <hyperlink r:id="rId13242" ref="K11074"/>
    <hyperlink r:id="rId13243" ref="J11075"/>
    <hyperlink r:id="rId13244" ref="K11075"/>
    <hyperlink r:id="rId13245" ref="J11076"/>
    <hyperlink r:id="rId13246" ref="K11076"/>
    <hyperlink r:id="rId13247" ref="J11077"/>
    <hyperlink r:id="rId13248" ref="K11077"/>
    <hyperlink r:id="rId13249" ref="J11078"/>
    <hyperlink r:id="rId13250" ref="K11078"/>
    <hyperlink r:id="rId13251" ref="E11079"/>
    <hyperlink r:id="rId13252" ref="J11079"/>
    <hyperlink r:id="rId13253" ref="K11079"/>
    <hyperlink r:id="rId13254" ref="J11080"/>
    <hyperlink r:id="rId13039" ref="K11080"/>
    <hyperlink r:id="rId13255" ref="J11081"/>
    <hyperlink r:id="rId13256" ref="K11081"/>
    <hyperlink r:id="rId13257" ref="J11082"/>
    <hyperlink r:id="rId13258" ref="K11082"/>
    <hyperlink r:id="rId13259" ref="J11083"/>
    <hyperlink r:id="rId13260" ref="K11083"/>
    <hyperlink r:id="rId13261" ref="J11084"/>
    <hyperlink r:id="rId13262" ref="K11084"/>
    <hyperlink r:id="rId13263" ref="J11085"/>
    <hyperlink r:id="rId13264" ref="K11085"/>
    <hyperlink r:id="rId13265" ref="J11086"/>
    <hyperlink r:id="rId13266" ref="K11086"/>
    <hyperlink r:id="rId13267" ref="J11087"/>
    <hyperlink r:id="rId13268" ref="K11087"/>
    <hyperlink r:id="rId13269" ref="J11088"/>
    <hyperlink r:id="rId13270" ref="K11088"/>
    <hyperlink r:id="rId13271" ref="J11089"/>
    <hyperlink r:id="rId13272" ref="K11089"/>
    <hyperlink r:id="rId13273" ref="J11090"/>
    <hyperlink r:id="rId13274" ref="K11090"/>
    <hyperlink r:id="rId13275" ref="J11091"/>
    <hyperlink r:id="rId13276" ref="K11091"/>
    <hyperlink r:id="rId13277" ref="J11092"/>
    <hyperlink r:id="rId12959" ref="K11092"/>
    <hyperlink r:id="rId13278" ref="J11093"/>
    <hyperlink r:id="rId13279" ref="K11093"/>
    <hyperlink r:id="rId13280" ref="J11094"/>
    <hyperlink r:id="rId13281" ref="K11094"/>
    <hyperlink r:id="rId13282" ref="J11095"/>
    <hyperlink r:id="rId13283" ref="K11095"/>
    <hyperlink r:id="rId13284" ref="J11096"/>
    <hyperlink r:id="rId13285" ref="K11096"/>
    <hyperlink r:id="rId13286" ref="J11097"/>
    <hyperlink r:id="rId13287" ref="K11097"/>
    <hyperlink r:id="rId13288" ref="J11098"/>
    <hyperlink r:id="rId13289" ref="K11098"/>
    <hyperlink r:id="rId13290" ref="J11099"/>
    <hyperlink r:id="rId13291" ref="K11099"/>
    <hyperlink r:id="rId13292" ref="J11100"/>
    <hyperlink r:id="rId13293" ref="K11100"/>
    <hyperlink r:id="rId13294" ref="J11101"/>
    <hyperlink r:id="rId13295" ref="K11101"/>
    <hyperlink r:id="rId13296" ref="J11102"/>
    <hyperlink r:id="rId13297" ref="K11102"/>
    <hyperlink r:id="rId13298" ref="J11103"/>
    <hyperlink r:id="rId13299" ref="K11103"/>
    <hyperlink r:id="rId13300" ref="J11104"/>
    <hyperlink r:id="rId11392" ref="K11104"/>
    <hyperlink r:id="rId13301" ref="J11105"/>
    <hyperlink r:id="rId13302" ref="K11105"/>
    <hyperlink r:id="rId13303" ref="J11106"/>
    <hyperlink r:id="rId11666" ref="K11106"/>
    <hyperlink r:id="rId13304" ref="J11107"/>
    <hyperlink r:id="rId13305" ref="K11107"/>
    <hyperlink r:id="rId13306" ref="J11108"/>
    <hyperlink r:id="rId13307" ref="K11108"/>
    <hyperlink r:id="rId13308" ref="J11109"/>
    <hyperlink r:id="rId13309" ref="K11109"/>
    <hyperlink r:id="rId13310" ref="J11110"/>
    <hyperlink r:id="rId13311" ref="K11110"/>
    <hyperlink r:id="rId13312" ref="J11111"/>
    <hyperlink r:id="rId13313" ref="K11111"/>
    <hyperlink r:id="rId13314" ref="J11112"/>
    <hyperlink r:id="rId13315" ref="K11112"/>
    <hyperlink r:id="rId13316" ref="J11113"/>
    <hyperlink r:id="rId11987" ref="K11113"/>
    <hyperlink r:id="rId13317" ref="J11114"/>
    <hyperlink r:id="rId13318" ref="K11114"/>
    <hyperlink r:id="rId13319" ref="J11115"/>
    <hyperlink r:id="rId12294" ref="K11115"/>
    <hyperlink r:id="rId13320" ref="J11116"/>
    <hyperlink r:id="rId13321" ref="K11116"/>
    <hyperlink r:id="rId13322" ref="J11117"/>
    <hyperlink r:id="rId13323" ref="K11117"/>
    <hyperlink r:id="rId13324" ref="J11118"/>
    <hyperlink r:id="rId13325" ref="K11118"/>
    <hyperlink r:id="rId13326" ref="J11119"/>
    <hyperlink r:id="rId13327" ref="K11119"/>
    <hyperlink r:id="rId13328" ref="J11120"/>
    <hyperlink r:id="rId13329" ref="K11120"/>
    <hyperlink r:id="rId13330" ref="J11121"/>
    <hyperlink r:id="rId13331" ref="K11121"/>
    <hyperlink r:id="rId13332" ref="J11122"/>
    <hyperlink r:id="rId13333" ref="K11122"/>
    <hyperlink r:id="rId13334" ref="J11123"/>
    <hyperlink r:id="rId6361" ref="K11123"/>
    <hyperlink r:id="rId13335" ref="J11124"/>
    <hyperlink r:id="rId13336" ref="K11124"/>
    <hyperlink r:id="rId7588" ref="J11125"/>
    <hyperlink r:id="rId7589" ref="K11125"/>
    <hyperlink r:id="rId8973" ref="J11126"/>
    <hyperlink r:id="rId8974" ref="K11126"/>
    <hyperlink r:id="rId13337" ref="J11127"/>
    <hyperlink r:id="rId13338" ref="K11127"/>
    <hyperlink r:id="rId13339" ref="J11128"/>
    <hyperlink r:id="rId13340" ref="K11128"/>
    <hyperlink r:id="rId13341" ref="J11129"/>
    <hyperlink r:id="rId13342" ref="K11129"/>
    <hyperlink r:id="rId5742" ref="J11130"/>
    <hyperlink r:id="rId5743" ref="K11130"/>
    <hyperlink r:id="rId13343" ref="J11131"/>
    <hyperlink r:id="rId13344" ref="K11131"/>
    <hyperlink r:id="rId13345" ref="J11132"/>
    <hyperlink r:id="rId13346" ref="K11132"/>
    <hyperlink r:id="rId13347" ref="J11133"/>
    <hyperlink r:id="rId12910" ref="K11133"/>
    <hyperlink r:id="rId13348" ref="J11134"/>
    <hyperlink r:id="rId13053" ref="K11134"/>
    <hyperlink r:id="rId13349" ref="J11135"/>
    <hyperlink r:id="rId13350" ref="K11135"/>
    <hyperlink r:id="rId13351" ref="J11136"/>
    <hyperlink r:id="rId13352" ref="K11136"/>
    <hyperlink r:id="rId13353" ref="J11137"/>
    <hyperlink r:id="rId13354" ref="K11137"/>
    <hyperlink r:id="rId13355" ref="J11138"/>
    <hyperlink r:id="rId12142" ref="K11138"/>
    <hyperlink r:id="rId13356" ref="J11139"/>
    <hyperlink r:id="rId13357" ref="K11139"/>
    <hyperlink r:id="rId13358" ref="J11140"/>
    <hyperlink r:id="rId13192" ref="K11140"/>
    <hyperlink r:id="rId13359" ref="J11141"/>
    <hyperlink r:id="rId13360" ref="K11141"/>
    <hyperlink r:id="rId13361" ref="J11142"/>
    <hyperlink r:id="rId13362" ref="K11142"/>
    <hyperlink r:id="rId13363" ref="J11143"/>
    <hyperlink r:id="rId13364" ref="K11143"/>
    <hyperlink r:id="rId13365" ref="J11144"/>
    <hyperlink r:id="rId13366" ref="K11144"/>
    <hyperlink r:id="rId13367" ref="J11145"/>
    <hyperlink r:id="rId13368" ref="K11145"/>
    <hyperlink r:id="rId13369" ref="J11146"/>
    <hyperlink r:id="rId13370" ref="K11146"/>
    <hyperlink r:id="rId13371" ref="J11147"/>
    <hyperlink r:id="rId13372" ref="K11147"/>
    <hyperlink r:id="rId13373" ref="J11148"/>
    <hyperlink r:id="rId13374" ref="K11148"/>
    <hyperlink r:id="rId13375" ref="J11149"/>
    <hyperlink r:id="rId13376" ref="K11149"/>
    <hyperlink r:id="rId13377" ref="J11150"/>
    <hyperlink r:id="rId13378" ref="K11150"/>
    <hyperlink r:id="rId13379" ref="J11151"/>
    <hyperlink r:id="rId13380" ref="K11151"/>
    <hyperlink r:id="rId13381" ref="J11152"/>
    <hyperlink r:id="rId12518" ref="K11152"/>
    <hyperlink r:id="rId13382" ref="J11153"/>
    <hyperlink r:id="rId12901" ref="K11153"/>
    <hyperlink r:id="rId13383" ref="J11154"/>
    <hyperlink r:id="rId11488" ref="K11154"/>
    <hyperlink r:id="rId13384" ref="J11155"/>
    <hyperlink r:id="rId13385" ref="K11155"/>
    <hyperlink r:id="rId13386" ref="J11156"/>
    <hyperlink r:id="rId13387" ref="K11156"/>
    <hyperlink r:id="rId13388" ref="J11157"/>
    <hyperlink r:id="rId11963" ref="K11157"/>
    <hyperlink r:id="rId13389" ref="J11158"/>
    <hyperlink r:id="rId1491" ref="K11158"/>
    <hyperlink r:id="rId13390" ref="J11159"/>
    <hyperlink r:id="rId13391" ref="K11159"/>
    <hyperlink r:id="rId13392" ref="J11160"/>
    <hyperlink r:id="rId13393" ref="K11160"/>
    <hyperlink r:id="rId13394" ref="J11161"/>
    <hyperlink r:id="rId13395" ref="K11161"/>
    <hyperlink r:id="rId13396" ref="J11162"/>
    <hyperlink r:id="rId13397" ref="K11162"/>
    <hyperlink r:id="rId13398" ref="J11163"/>
    <hyperlink r:id="rId13399" ref="K11163"/>
    <hyperlink r:id="rId13400" ref="J11164"/>
    <hyperlink r:id="rId13401" ref="K11164"/>
    <hyperlink r:id="rId13402" ref="J11165"/>
    <hyperlink r:id="rId13403" ref="K11165"/>
    <hyperlink r:id="rId13404" ref="J11166"/>
    <hyperlink r:id="rId13405" ref="K11166"/>
    <hyperlink r:id="rId13406" ref="J11167"/>
    <hyperlink r:id="rId13407" ref="K11167"/>
    <hyperlink r:id="rId13408" ref="J11168"/>
    <hyperlink r:id="rId12707" ref="K11168"/>
    <hyperlink r:id="rId13409" ref="J11169"/>
    <hyperlink r:id="rId12835" ref="K11169"/>
    <hyperlink r:id="rId13410" ref="J11170"/>
    <hyperlink r:id="rId13411" ref="K11170"/>
    <hyperlink r:id="rId13412" ref="J11171"/>
    <hyperlink r:id="rId13413" ref="K11171"/>
    <hyperlink r:id="rId13414" ref="J11172"/>
    <hyperlink r:id="rId13415" ref="K11172"/>
    <hyperlink r:id="rId13416" ref="J11173"/>
    <hyperlink r:id="rId13417" ref="K11173"/>
    <hyperlink r:id="rId13418" ref="J11174"/>
    <hyperlink r:id="rId13419" ref="K11174"/>
    <hyperlink r:id="rId13420" ref="J11175"/>
    <hyperlink r:id="rId13421" ref="K11175"/>
    <hyperlink r:id="rId13422" ref="J11176"/>
    <hyperlink r:id="rId11492" ref="K11176"/>
    <hyperlink r:id="rId13423" ref="J11177"/>
    <hyperlink r:id="rId13424" ref="K11177"/>
    <hyperlink r:id="rId13425" ref="J11178"/>
    <hyperlink r:id="rId13426" ref="K11178"/>
    <hyperlink r:id="rId13427" ref="J11179"/>
    <hyperlink r:id="rId13428" ref="K11179"/>
    <hyperlink r:id="rId13429" ref="J11180"/>
    <hyperlink r:id="rId13430" ref="K11180"/>
    <hyperlink r:id="rId13431" ref="J11181"/>
    <hyperlink r:id="rId13432" ref="K11181"/>
    <hyperlink r:id="rId13433" ref="J11182"/>
    <hyperlink r:id="rId13434" ref="K11182"/>
    <hyperlink r:id="rId13435" ref="J11183"/>
    <hyperlink r:id="rId13436" ref="K11183"/>
    <hyperlink r:id="rId13437" ref="J11184"/>
    <hyperlink r:id="rId13438" ref="K11184"/>
    <hyperlink r:id="rId13439" ref="J11185"/>
    <hyperlink r:id="rId13440" ref="K11185"/>
    <hyperlink r:id="rId13441" ref="J11186"/>
    <hyperlink r:id="rId13442" ref="K11186"/>
    <hyperlink r:id="rId13443" ref="J11187"/>
    <hyperlink r:id="rId13444" ref="K11187"/>
    <hyperlink r:id="rId13445" ref="J11188"/>
    <hyperlink r:id="rId13446" ref="K11188"/>
    <hyperlink r:id="rId13447" ref="J11189"/>
    <hyperlink r:id="rId13448" ref="K11189"/>
    <hyperlink r:id="rId13449" ref="J11190"/>
    <hyperlink r:id="rId13450" ref="K11190"/>
    <hyperlink r:id="rId13451" ref="J11191"/>
    <hyperlink r:id="rId13452" ref="K11191"/>
    <hyperlink r:id="rId13453" ref="J11192"/>
    <hyperlink r:id="rId13454" ref="K11192"/>
    <hyperlink r:id="rId13455" ref="J11193"/>
    <hyperlink r:id="rId13393" ref="K11193"/>
    <hyperlink r:id="rId13456" ref="J11194"/>
    <hyperlink r:id="rId13457" ref="K11194"/>
    <hyperlink r:id="rId13458" ref="J11195"/>
    <hyperlink r:id="rId13459" ref="K11195"/>
    <hyperlink r:id="rId13460" ref="J11196"/>
    <hyperlink r:id="rId12703" ref="K11196"/>
    <hyperlink r:id="rId13461" ref="J11197"/>
    <hyperlink r:id="rId13462" ref="K11197"/>
    <hyperlink r:id="rId13463" ref="J11198"/>
    <hyperlink r:id="rId13464" ref="K11198"/>
    <hyperlink r:id="rId13465" ref="J11199"/>
    <hyperlink r:id="rId13466" ref="K11199"/>
    <hyperlink r:id="rId13467" ref="J11200"/>
    <hyperlink r:id="rId12298" ref="K11200"/>
    <hyperlink r:id="rId13468" ref="J11201"/>
    <hyperlink r:id="rId13469" ref="K11201"/>
    <hyperlink r:id="rId13470" ref="J11202"/>
    <hyperlink r:id="rId13471" ref="K11202"/>
    <hyperlink r:id="rId13472" ref="J11203"/>
    <hyperlink r:id="rId13473" ref="K11203"/>
    <hyperlink r:id="rId13474" ref="J11204"/>
    <hyperlink r:id="rId13475" ref="K11204"/>
    <hyperlink r:id="rId13476" ref="J11205"/>
    <hyperlink r:id="rId13340" ref="K11205"/>
    <hyperlink r:id="rId13477" ref="J11206"/>
    <hyperlink r:id="rId13372" ref="K11206"/>
    <hyperlink r:id="rId13478" ref="J11207"/>
    <hyperlink r:id="rId13479" ref="K11207"/>
    <hyperlink r:id="rId13480" ref="J11208"/>
    <hyperlink r:id="rId7617" ref="K11208"/>
    <hyperlink r:id="rId13481" ref="J11209"/>
    <hyperlink r:id="rId13092" ref="K11209"/>
    <hyperlink r:id="rId13482" ref="J11210"/>
    <hyperlink r:id="rId13483" ref="K11210"/>
    <hyperlink r:id="rId13484" ref="J11211"/>
    <hyperlink r:id="rId12338" ref="K11211"/>
    <hyperlink r:id="rId13485" ref="J11212"/>
    <hyperlink r:id="rId13486" ref="K11212"/>
    <hyperlink r:id="rId13487" ref="J11213"/>
    <hyperlink r:id="rId13020" ref="K11213"/>
    <hyperlink r:id="rId13488" ref="J11214"/>
    <hyperlink r:id="rId13489" ref="K11214"/>
    <hyperlink r:id="rId13490" ref="J11215"/>
    <hyperlink r:id="rId13491" ref="K11215"/>
    <hyperlink r:id="rId13492" ref="J11216"/>
    <hyperlink r:id="rId13493" ref="K11216"/>
    <hyperlink r:id="rId13494" ref="J11217"/>
    <hyperlink r:id="rId13495" ref="K11217"/>
    <hyperlink r:id="rId13496" ref="J11218"/>
    <hyperlink r:id="rId13497" ref="K11218"/>
    <hyperlink r:id="rId13498" ref="J11219"/>
    <hyperlink r:id="rId13499" ref="K11219"/>
    <hyperlink r:id="rId13500" ref="J11220"/>
    <hyperlink r:id="rId13501" ref="K11220"/>
    <hyperlink r:id="rId13502" ref="J11221"/>
    <hyperlink r:id="rId13503" ref="K11221"/>
    <hyperlink r:id="rId13504" ref="J11222"/>
    <hyperlink r:id="rId12473" ref="K11222"/>
    <hyperlink r:id="rId13505" ref="J11223"/>
    <hyperlink r:id="rId12383" ref="K11223"/>
    <hyperlink r:id="rId13506" ref="J11224"/>
    <hyperlink r:id="rId13507" ref="K11224"/>
    <hyperlink r:id="rId13508" ref="J11225"/>
    <hyperlink r:id="rId13509" ref="K11225"/>
    <hyperlink r:id="rId13510" ref="J11226"/>
    <hyperlink r:id="rId13511" ref="K11226"/>
    <hyperlink r:id="rId13512" ref="J11227"/>
    <hyperlink r:id="rId12201" ref="K11227"/>
    <hyperlink r:id="rId13513" ref="J11228"/>
    <hyperlink r:id="rId13514" ref="K11228"/>
    <hyperlink r:id="rId13515" ref="J11229"/>
    <hyperlink r:id="rId13516" ref="K11229"/>
    <hyperlink r:id="rId13517" ref="J11230"/>
    <hyperlink r:id="rId13518" ref="K11230"/>
    <hyperlink r:id="rId13519" ref="J11231"/>
    <hyperlink r:id="rId13169" ref="K11231"/>
    <hyperlink r:id="rId13520" ref="J11232"/>
    <hyperlink r:id="rId13521" ref="K11232"/>
    <hyperlink r:id="rId13522" ref="J11233"/>
    <hyperlink r:id="rId13523" ref="K11233"/>
    <hyperlink r:id="rId13524" ref="J11234"/>
    <hyperlink r:id="rId12854" ref="K11234"/>
    <hyperlink r:id="rId13525" ref="J11235"/>
    <hyperlink r:id="rId13526" ref="K11235"/>
    <hyperlink r:id="rId13527" ref="J11236"/>
    <hyperlink r:id="rId13528" ref="K11236"/>
    <hyperlink r:id="rId13529" ref="J11237"/>
    <hyperlink r:id="rId13530" ref="K11237"/>
    <hyperlink r:id="rId13531" ref="J11238"/>
    <hyperlink r:id="rId11402" ref="K11238"/>
    <hyperlink r:id="rId13532" ref="J11239"/>
    <hyperlink r:id="rId13533" ref="K11239"/>
    <hyperlink r:id="rId13534" ref="J11240"/>
    <hyperlink r:id="rId13535" ref="K11240"/>
    <hyperlink r:id="rId13536" ref="J11241"/>
    <hyperlink r:id="rId12578" ref="K11241"/>
    <hyperlink r:id="rId13537" ref="J11242"/>
    <hyperlink r:id="rId13538" ref="K11242"/>
    <hyperlink r:id="rId13539" ref="J11243"/>
    <hyperlink r:id="rId13540" ref="K11243"/>
    <hyperlink r:id="rId13541" ref="J11244"/>
    <hyperlink r:id="rId13542" ref="K11244"/>
    <hyperlink r:id="rId13543" ref="J11245"/>
    <hyperlink r:id="rId13544" ref="K11245"/>
    <hyperlink r:id="rId13545" ref="J11246"/>
    <hyperlink r:id="rId13546" ref="K11246"/>
    <hyperlink r:id="rId13547" ref="J11247"/>
    <hyperlink r:id="rId13548" ref="K11247"/>
    <hyperlink r:id="rId13549" ref="J11248"/>
    <hyperlink r:id="rId13550" ref="K11248"/>
    <hyperlink r:id="rId13551" ref="J11249"/>
    <hyperlink r:id="rId13552" ref="K11249"/>
    <hyperlink r:id="rId13553" ref="J11250"/>
    <hyperlink r:id="rId13554" ref="K11250"/>
    <hyperlink r:id="rId13555" ref="J11251"/>
    <hyperlink r:id="rId13556" ref="K11251"/>
    <hyperlink r:id="rId13557" ref="J11252"/>
    <hyperlink r:id="rId13558" ref="K11252"/>
    <hyperlink r:id="rId13559" ref="J11253"/>
    <hyperlink r:id="rId13560" ref="K11253"/>
    <hyperlink r:id="rId6707" ref="J11254"/>
    <hyperlink r:id="rId6708" ref="K11254"/>
    <hyperlink r:id="rId13561" ref="J11255"/>
    <hyperlink r:id="rId11637" ref="K11255"/>
    <hyperlink r:id="rId13562" ref="J11256"/>
    <hyperlink r:id="rId13401" ref="K11256"/>
    <hyperlink r:id="rId13563" ref="J11257"/>
    <hyperlink r:id="rId13564" ref="K11257"/>
    <hyperlink r:id="rId13565" ref="J11258"/>
    <hyperlink r:id="rId13566" ref="K11258"/>
    <hyperlink r:id="rId13567" ref="J11259"/>
    <hyperlink r:id="rId13295" ref="K11259"/>
    <hyperlink r:id="rId13568" ref="J11260"/>
    <hyperlink r:id="rId13569" ref="K11260"/>
    <hyperlink r:id="rId13570" ref="J11261"/>
    <hyperlink r:id="rId13571" ref="K11261"/>
    <hyperlink r:id="rId13572" ref="J11262"/>
    <hyperlink r:id="rId12829" ref="K11262"/>
    <hyperlink r:id="rId8686" ref="J11263"/>
    <hyperlink r:id="rId8687" ref="K11263"/>
    <hyperlink r:id="rId13573" ref="J11264"/>
    <hyperlink r:id="rId12748" ref="K11264"/>
    <hyperlink r:id="rId13574" ref="J11265"/>
    <hyperlink r:id="rId13575" ref="K11265"/>
    <hyperlink r:id="rId13576" ref="J11266"/>
    <hyperlink r:id="rId11512" ref="K11266"/>
    <hyperlink r:id="rId13577" ref="J11267"/>
    <hyperlink r:id="rId13446" ref="K11267"/>
    <hyperlink r:id="rId13578" ref="J11268"/>
    <hyperlink r:id="rId13579" ref="K11268"/>
    <hyperlink r:id="rId13580" ref="J11269"/>
    <hyperlink r:id="rId13581" ref="K11269"/>
    <hyperlink r:id="rId13582" ref="J11270"/>
    <hyperlink r:id="rId13583" ref="K11270"/>
    <hyperlink r:id="rId13584" ref="J11271"/>
    <hyperlink r:id="rId12294" ref="K11271"/>
    <hyperlink r:id="rId13585" ref="J11272"/>
    <hyperlink r:id="rId13586" ref="K11272"/>
    <hyperlink r:id="rId13587" ref="J11273"/>
    <hyperlink r:id="rId9562" ref="K11273"/>
    <hyperlink r:id="rId13588" ref="J11274"/>
    <hyperlink r:id="rId6708" ref="K11274"/>
    <hyperlink r:id="rId13589" ref="J11275"/>
    <hyperlink r:id="rId13590" ref="K11275"/>
    <hyperlink r:id="rId13591" ref="J11276"/>
    <hyperlink r:id="rId13592" ref="K11276"/>
    <hyperlink r:id="rId13593" ref="J11277"/>
    <hyperlink r:id="rId13594" ref="K11277"/>
    <hyperlink r:id="rId13595" ref="J11278"/>
    <hyperlink r:id="rId13596" ref="K11278"/>
    <hyperlink r:id="rId13597" ref="J11279"/>
    <hyperlink r:id="rId13598" ref="K11279"/>
    <hyperlink r:id="rId13599" ref="J11280"/>
    <hyperlink r:id="rId13600" ref="K11280"/>
    <hyperlink r:id="rId13601" ref="J11281"/>
    <hyperlink r:id="rId13602" ref="K11281"/>
    <hyperlink r:id="rId13603" ref="J11282"/>
    <hyperlink r:id="rId13604" ref="K11282"/>
    <hyperlink r:id="rId13605" ref="J11283"/>
    <hyperlink r:id="rId13606" ref="K11283"/>
    <hyperlink r:id="rId13607" ref="J11284"/>
    <hyperlink r:id="rId13608" ref="K11284"/>
    <hyperlink r:id="rId13609" ref="J11285"/>
    <hyperlink r:id="rId13610" ref="K11285"/>
    <hyperlink r:id="rId13611" ref="J11286"/>
    <hyperlink r:id="rId13612" ref="K11286"/>
    <hyperlink r:id="rId13613" ref="J11287"/>
    <hyperlink r:id="rId13614" ref="K11287"/>
    <hyperlink r:id="rId13615" ref="J11288"/>
    <hyperlink r:id="rId13616" ref="K11288"/>
    <hyperlink r:id="rId13617" ref="J11289"/>
    <hyperlink r:id="rId13618" ref="K11289"/>
    <hyperlink r:id="rId13619" ref="J11290"/>
    <hyperlink r:id="rId13620" ref="K11290"/>
    <hyperlink r:id="rId13621" ref="J11291"/>
    <hyperlink r:id="rId13622" ref="K11291"/>
    <hyperlink r:id="rId13623" ref="J11292"/>
    <hyperlink r:id="rId11719" ref="K11292"/>
    <hyperlink r:id="rId13624" ref="J11293"/>
    <hyperlink r:id="rId13560" ref="K11293"/>
    <hyperlink r:id="rId13625" ref="J11294"/>
    <hyperlink r:id="rId13626" ref="K11294"/>
    <hyperlink r:id="rId13627" ref="J11295"/>
    <hyperlink r:id="rId12123" ref="K11295"/>
    <hyperlink r:id="rId13628" ref="J11296"/>
    <hyperlink r:id="rId13629" ref="K11296"/>
    <hyperlink r:id="rId13630" ref="J11297"/>
    <hyperlink r:id="rId13631" ref="K11297"/>
    <hyperlink r:id="rId13632" ref="J11298"/>
    <hyperlink r:id="rId13633" ref="K11298"/>
    <hyperlink r:id="rId13634" ref="J11299"/>
    <hyperlink r:id="rId13635" ref="K11299"/>
    <hyperlink r:id="rId13636" ref="J11300"/>
    <hyperlink r:id="rId13637" ref="K11300"/>
    <hyperlink r:id="rId13638" ref="J11301"/>
    <hyperlink r:id="rId13639" ref="K11301"/>
    <hyperlink r:id="rId13640" ref="J11302"/>
    <hyperlink r:id="rId13641" ref="K11302"/>
    <hyperlink r:id="rId13642" ref="J11303"/>
    <hyperlink r:id="rId13643" ref="K11303"/>
    <hyperlink r:id="rId13644" ref="J11304"/>
    <hyperlink r:id="rId13645" ref="K11304"/>
    <hyperlink r:id="rId13646" ref="J11305"/>
    <hyperlink r:id="rId13647" ref="K11305"/>
    <hyperlink r:id="rId13648" ref="J11306"/>
    <hyperlink r:id="rId13649" ref="K11306"/>
    <hyperlink r:id="rId13650" ref="J11307"/>
    <hyperlink r:id="rId13651" ref="K11307"/>
    <hyperlink r:id="rId13652" ref="J11308"/>
    <hyperlink r:id="rId13653" ref="K11308"/>
    <hyperlink r:id="rId13654" ref="J11309"/>
    <hyperlink r:id="rId13655" ref="K11309"/>
    <hyperlink r:id="rId13656" ref="J11310"/>
    <hyperlink r:id="rId13432" ref="K11310"/>
    <hyperlink r:id="rId13657" ref="J11311"/>
    <hyperlink r:id="rId13658" ref="K11311"/>
    <hyperlink r:id="rId13659" ref="J11312"/>
    <hyperlink r:id="rId13660" ref="K11312"/>
    <hyperlink r:id="rId13661" ref="J11313"/>
    <hyperlink r:id="rId12544" ref="K11313"/>
    <hyperlink r:id="rId13662" ref="J11314"/>
    <hyperlink r:id="rId13663" ref="K11314"/>
    <hyperlink r:id="rId13664" ref="J11315"/>
    <hyperlink r:id="rId13665" ref="K11315"/>
    <hyperlink r:id="rId13666" ref="J11316"/>
    <hyperlink r:id="rId13667" ref="K11316"/>
    <hyperlink r:id="rId13668" ref="J11317"/>
    <hyperlink r:id="rId13669" ref="K11317"/>
    <hyperlink r:id="rId13670" ref="J11318"/>
    <hyperlink r:id="rId13671" ref="K11318"/>
    <hyperlink r:id="rId13672" ref="J11319"/>
    <hyperlink r:id="rId13673" ref="K11319"/>
    <hyperlink r:id="rId13674" ref="J11320"/>
    <hyperlink r:id="rId13675" ref="K11320"/>
    <hyperlink r:id="rId13676" ref="J11321"/>
    <hyperlink r:id="rId13677" ref="K11321"/>
    <hyperlink r:id="rId13678" ref="J11322"/>
    <hyperlink r:id="rId13679" ref="K11322"/>
    <hyperlink r:id="rId13680" ref="J11323"/>
    <hyperlink r:id="rId13681" ref="K11323"/>
    <hyperlink r:id="rId13682" ref="J11324"/>
    <hyperlink r:id="rId13683" ref="K11324"/>
    <hyperlink r:id="rId13684" ref="J11325"/>
    <hyperlink r:id="rId13685" ref="K11325"/>
    <hyperlink r:id="rId13686" ref="J11326"/>
    <hyperlink r:id="rId13687" ref="K11326"/>
    <hyperlink r:id="rId13688" ref="J11327"/>
    <hyperlink r:id="rId13689" ref="K11327"/>
    <hyperlink r:id="rId13690" ref="J11328"/>
    <hyperlink r:id="rId13452" ref="K11328"/>
    <hyperlink r:id="rId13691" ref="J11329"/>
    <hyperlink r:id="rId13692" ref="K11329"/>
    <hyperlink r:id="rId13693" ref="J11330"/>
    <hyperlink r:id="rId13694" ref="K11330"/>
    <hyperlink r:id="rId13695" ref="J11331"/>
    <hyperlink r:id="rId13521" ref="K11331"/>
    <hyperlink r:id="rId13696" ref="J11332"/>
    <hyperlink r:id="rId11603" ref="K11332"/>
    <hyperlink r:id="rId13697" ref="J11333"/>
    <hyperlink r:id="rId11749" ref="K11333"/>
    <hyperlink r:id="rId13698" ref="J11334"/>
    <hyperlink r:id="rId12919" ref="K11334"/>
    <hyperlink r:id="rId13699" ref="J11335"/>
    <hyperlink r:id="rId13700" ref="K11335"/>
    <hyperlink r:id="rId13701" ref="J11336"/>
    <hyperlink r:id="rId11969" ref="K11336"/>
    <hyperlink r:id="rId13702" ref="J11337"/>
    <hyperlink r:id="rId13703" ref="K11337"/>
    <hyperlink r:id="rId13704" ref="J11338"/>
    <hyperlink r:id="rId11583" ref="K11338"/>
    <hyperlink r:id="rId13705" ref="J11339"/>
    <hyperlink r:id="rId13706" ref="K11339"/>
    <hyperlink r:id="rId13707" ref="J11340"/>
    <hyperlink r:id="rId13708" ref="K11340"/>
    <hyperlink r:id="rId13709" ref="J11341"/>
    <hyperlink r:id="rId13710" ref="K11341"/>
    <hyperlink r:id="rId13711" ref="J11342"/>
    <hyperlink r:id="rId11686" ref="K11342"/>
    <hyperlink r:id="rId13712" ref="J11343"/>
    <hyperlink r:id="rId13713" ref="K11343"/>
    <hyperlink r:id="rId13714" ref="J11344"/>
    <hyperlink r:id="rId13715" ref="K11344"/>
    <hyperlink r:id="rId7262" ref="J11345"/>
    <hyperlink r:id="rId7263" ref="K11345"/>
    <hyperlink r:id="rId13716" ref="J11346"/>
    <hyperlink r:id="rId13717" ref="K11346"/>
    <hyperlink r:id="rId13718" ref="J11347"/>
    <hyperlink r:id="rId11451" ref="K11347"/>
    <hyperlink r:id="rId13719" ref="J11348"/>
    <hyperlink r:id="rId12767" ref="K11348"/>
    <hyperlink r:id="rId13720" ref="J11349"/>
    <hyperlink r:id="rId13721" ref="K11349"/>
    <hyperlink r:id="rId13722" ref="J11350"/>
    <hyperlink r:id="rId13723" ref="K11350"/>
    <hyperlink r:id="rId13724" ref="J11351"/>
    <hyperlink r:id="rId13725" ref="K11351"/>
    <hyperlink r:id="rId13726" ref="J11352"/>
    <hyperlink r:id="rId11840" ref="K11352"/>
    <hyperlink r:id="rId13727" ref="J11353"/>
    <hyperlink r:id="rId13728" ref="K11353"/>
    <hyperlink r:id="rId13729" ref="J11354"/>
    <hyperlink r:id="rId13730" ref="K11354"/>
    <hyperlink r:id="rId13731" ref="J11355"/>
    <hyperlink r:id="rId13732" ref="K11355"/>
    <hyperlink r:id="rId13733" ref="J11356"/>
    <hyperlink r:id="rId13734" ref="K11356"/>
    <hyperlink r:id="rId13735" ref="J11357"/>
    <hyperlink r:id="rId13736" ref="K11357"/>
    <hyperlink r:id="rId13737" ref="J11358"/>
    <hyperlink r:id="rId13738" ref="K11358"/>
    <hyperlink r:id="rId13739" ref="J11359"/>
    <hyperlink r:id="rId13740" ref="K11359"/>
    <hyperlink r:id="rId13741" ref="J11360"/>
    <hyperlink r:id="rId13742" ref="K11360"/>
    <hyperlink r:id="rId13743" ref="J11361"/>
    <hyperlink r:id="rId13464" ref="K11361"/>
    <hyperlink r:id="rId13744" ref="J11362"/>
    <hyperlink r:id="rId13043" ref="K11362"/>
    <hyperlink r:id="rId13745" ref="J11363"/>
    <hyperlink r:id="rId13746" ref="K11363"/>
    <hyperlink r:id="rId13747" ref="J11364"/>
    <hyperlink r:id="rId13748" ref="K11364"/>
    <hyperlink r:id="rId13749" ref="J11365"/>
    <hyperlink r:id="rId13750" ref="K11365"/>
    <hyperlink r:id="rId13751" ref="J11366"/>
    <hyperlink r:id="rId13752" ref="K11366"/>
    <hyperlink r:id="rId13753" ref="J11367"/>
    <hyperlink r:id="rId13754" ref="K11367"/>
    <hyperlink r:id="rId13755" ref="J11368"/>
    <hyperlink r:id="rId13756" ref="K11368"/>
    <hyperlink r:id="rId13757" ref="J11369"/>
    <hyperlink r:id="rId13758" ref="K11369"/>
    <hyperlink r:id="rId13759" ref="J11370"/>
    <hyperlink r:id="rId13760" ref="K11370"/>
    <hyperlink r:id="rId13761" ref="J11371"/>
    <hyperlink r:id="rId13762" ref="K11371"/>
    <hyperlink r:id="rId13763" ref="J11372"/>
    <hyperlink r:id="rId13764" ref="K11372"/>
    <hyperlink r:id="rId13765" ref="J11373"/>
    <hyperlink r:id="rId13766" ref="K11373"/>
    <hyperlink r:id="rId13767" ref="J11374"/>
    <hyperlink r:id="rId13768" ref="K11374"/>
    <hyperlink r:id="rId13769" ref="J11375"/>
    <hyperlink r:id="rId13770" ref="K11375"/>
    <hyperlink r:id="rId13771" ref="J11376"/>
    <hyperlink r:id="rId13772" ref="K11376"/>
    <hyperlink r:id="rId13773" ref="J11377"/>
    <hyperlink r:id="rId13774" ref="K11377"/>
    <hyperlink r:id="rId13775" ref="J11378"/>
    <hyperlink r:id="rId13776" ref="J11379"/>
    <hyperlink r:id="rId13777" ref="K11379"/>
    <hyperlink r:id="rId13778" ref="J11380"/>
    <hyperlink r:id="rId7432" ref="K11380"/>
    <hyperlink r:id="rId13779" ref="J11381"/>
    <hyperlink r:id="rId13780" ref="K11381"/>
    <hyperlink r:id="rId13781" ref="J11382"/>
    <hyperlink r:id="rId13782" ref="K11382"/>
    <hyperlink r:id="rId13783" ref="J11383"/>
    <hyperlink r:id="rId12001" ref="K11383"/>
    <hyperlink r:id="rId13784" ref="J11384"/>
    <hyperlink r:id="rId12511" ref="K11384"/>
    <hyperlink r:id="rId13785" ref="J11385"/>
    <hyperlink r:id="rId13786" ref="K11385"/>
    <hyperlink r:id="rId13787" ref="J11386"/>
    <hyperlink r:id="rId13788" ref="K11386"/>
    <hyperlink r:id="rId13789" ref="J11387"/>
    <hyperlink r:id="rId13790" ref="K11387"/>
    <hyperlink r:id="rId13791" ref="J11388"/>
    <hyperlink r:id="rId13792" ref="K11388"/>
    <hyperlink r:id="rId13793" ref="J11389"/>
    <hyperlink r:id="rId13794" ref="K11389"/>
    <hyperlink r:id="rId13795" ref="J11390"/>
    <hyperlink r:id="rId13796" ref="K11390"/>
    <hyperlink r:id="rId13797" ref="J11391"/>
    <hyperlink r:id="rId13798" ref="K11391"/>
    <hyperlink r:id="rId13799" ref="J11392"/>
    <hyperlink r:id="rId13800" ref="K11392"/>
    <hyperlink r:id="rId13801" ref="J11393"/>
    <hyperlink r:id="rId13802" ref="K11393"/>
    <hyperlink r:id="rId13803" ref="J11394"/>
    <hyperlink r:id="rId13804" ref="K11394"/>
    <hyperlink r:id="rId13805" ref="J11395"/>
    <hyperlink r:id="rId13473" ref="K11395"/>
    <hyperlink r:id="rId13806" ref="J11396"/>
    <hyperlink r:id="rId13807" ref="K11396"/>
    <hyperlink r:id="rId13808" ref="J11397"/>
    <hyperlink r:id="rId13760" ref="K11397"/>
    <hyperlink r:id="rId13809" ref="J11398"/>
    <hyperlink r:id="rId13810" ref="K11398"/>
    <hyperlink r:id="rId13811" ref="J11399"/>
    <hyperlink r:id="rId13812" ref="K11399"/>
    <hyperlink r:id="rId13813" ref="J11400"/>
    <hyperlink r:id="rId13814" ref="K11400"/>
    <hyperlink r:id="rId13815" ref="J11401"/>
    <hyperlink r:id="rId13816" ref="K11401"/>
    <hyperlink r:id="rId13817" ref="J11402"/>
    <hyperlink r:id="rId13818" ref="K11402"/>
    <hyperlink r:id="rId13819" ref="J11403"/>
    <hyperlink r:id="rId13820" ref="K11403"/>
    <hyperlink r:id="rId13821" ref="J11404"/>
    <hyperlink r:id="rId13822" ref="K11404"/>
    <hyperlink r:id="rId13823" ref="J11405"/>
    <hyperlink r:id="rId13824" ref="K11405"/>
    <hyperlink r:id="rId13825" ref="J11406"/>
    <hyperlink r:id="rId13826" ref="K11406"/>
    <hyperlink r:id="rId13827" ref="J11407"/>
    <hyperlink r:id="rId13828" ref="K11407"/>
    <hyperlink r:id="rId13829" ref="J11408"/>
    <hyperlink r:id="rId13830" ref="K11408"/>
    <hyperlink r:id="rId13831" ref="J11409"/>
    <hyperlink r:id="rId13832" ref="K11409"/>
    <hyperlink r:id="rId13833" ref="J11410"/>
    <hyperlink r:id="rId13834" ref="K11410"/>
    <hyperlink r:id="rId13835" ref="J11411"/>
    <hyperlink r:id="rId13836" ref="K11411"/>
    <hyperlink r:id="rId13837" ref="J11412"/>
    <hyperlink r:id="rId13838" ref="K11412"/>
    <hyperlink r:id="rId13839" ref="J11413"/>
    <hyperlink r:id="rId13700" ref="K11413"/>
    <hyperlink r:id="rId13840" ref="J11414"/>
    <hyperlink r:id="rId13841" ref="K11414"/>
    <hyperlink r:id="rId13842" ref="J11415"/>
    <hyperlink r:id="rId13843" ref="K11415"/>
    <hyperlink r:id="rId13844" ref="J11416"/>
    <hyperlink r:id="rId13845" ref="K11416"/>
    <hyperlink r:id="rId13846" ref="J11417"/>
    <hyperlink r:id="rId13847" ref="K11417"/>
    <hyperlink r:id="rId13848" ref="J11418"/>
    <hyperlink r:id="rId13849" ref="K11418"/>
    <hyperlink r:id="rId12026" ref="E11419"/>
    <hyperlink r:id="rId13850" ref="J11419"/>
    <hyperlink r:id="rId12028" ref="K11419"/>
    <hyperlink r:id="rId13851" ref="J11420"/>
    <hyperlink r:id="rId13852" ref="K11420"/>
    <hyperlink r:id="rId13853" ref="J11421"/>
    <hyperlink r:id="rId13854" ref="K11421"/>
    <hyperlink r:id="rId13855" ref="J11422"/>
    <hyperlink r:id="rId11392" ref="K11422"/>
    <hyperlink r:id="rId13856" ref="J11423"/>
    <hyperlink r:id="rId13857" ref="K11423"/>
    <hyperlink r:id="rId13858" ref="J11424"/>
    <hyperlink r:id="rId13859" ref="K11424"/>
    <hyperlink r:id="rId13860" ref="J11425"/>
    <hyperlink r:id="rId13861" ref="K11425"/>
    <hyperlink r:id="rId13862" ref="J11426"/>
    <hyperlink r:id="rId13863" ref="K11426"/>
    <hyperlink r:id="rId13864" ref="J11427"/>
    <hyperlink r:id="rId12218" ref="K11427"/>
    <hyperlink r:id="rId13865" ref="J11428"/>
    <hyperlink r:id="rId13866" ref="K11428"/>
    <hyperlink r:id="rId13867" ref="J11429"/>
    <hyperlink r:id="rId13868" ref="K11429"/>
    <hyperlink r:id="rId13869" ref="J11430"/>
    <hyperlink r:id="rId13870" ref="K11430"/>
    <hyperlink r:id="rId13871" ref="J11431"/>
    <hyperlink r:id="rId13872" ref="K11431"/>
    <hyperlink r:id="rId13873" ref="J11432"/>
    <hyperlink r:id="rId12040" ref="K11432"/>
    <hyperlink r:id="rId13874" ref="J11433"/>
    <hyperlink r:id="rId13875" ref="K11433"/>
    <hyperlink r:id="rId13876" ref="J11434"/>
    <hyperlink r:id="rId13877" ref="K11434"/>
    <hyperlink r:id="rId13878" ref="J11435"/>
    <hyperlink r:id="rId13832" ref="K11435"/>
    <hyperlink r:id="rId13879" ref="J11436"/>
    <hyperlink r:id="rId13880" ref="K11436"/>
    <hyperlink r:id="rId13881" ref="J11437"/>
    <hyperlink r:id="rId13882" ref="K11437"/>
    <hyperlink r:id="rId13883" ref="J11438"/>
    <hyperlink r:id="rId13884" ref="K11438"/>
    <hyperlink r:id="rId13885" ref="J11439"/>
    <hyperlink r:id="rId13886" ref="K11439"/>
    <hyperlink r:id="rId13887" ref="J11440"/>
    <hyperlink r:id="rId13888" ref="K11440"/>
    <hyperlink r:id="rId13889" ref="J11441"/>
    <hyperlink r:id="rId13890" ref="K11441"/>
    <hyperlink r:id="rId13891" ref="J11442"/>
    <hyperlink r:id="rId13892" ref="K11442"/>
    <hyperlink r:id="rId13893" ref="J11443"/>
    <hyperlink r:id="rId13894" ref="K11443"/>
    <hyperlink r:id="rId13895" ref="J11444"/>
    <hyperlink r:id="rId13896" ref="K11444"/>
    <hyperlink r:id="rId13897" ref="J11445"/>
    <hyperlink r:id="rId12248" ref="K11445"/>
    <hyperlink r:id="rId13898" ref="J11446"/>
    <hyperlink r:id="rId13899" ref="K11446"/>
    <hyperlink r:id="rId13900" ref="J11447"/>
    <hyperlink r:id="rId13901" ref="K11447"/>
    <hyperlink r:id="rId13902" ref="J11448"/>
    <hyperlink r:id="rId13903" ref="K11448"/>
    <hyperlink r:id="rId6082" ref="J11449"/>
    <hyperlink r:id="rId1491" ref="K11449"/>
    <hyperlink r:id="rId13904" ref="J11450"/>
    <hyperlink r:id="rId13905" ref="K11450"/>
    <hyperlink r:id="rId13906" ref="J11451"/>
    <hyperlink r:id="rId13907" ref="K11451"/>
    <hyperlink r:id="rId13908" ref="J11452"/>
    <hyperlink r:id="rId13909" ref="K11452"/>
    <hyperlink r:id="rId13910" ref="J11453"/>
    <hyperlink r:id="rId13911" ref="K11453"/>
    <hyperlink r:id="rId13912" ref="J11454"/>
    <hyperlink r:id="rId13913" ref="K11454"/>
    <hyperlink r:id="rId13914" ref="J11455"/>
    <hyperlink r:id="rId13915" ref="K11455"/>
    <hyperlink r:id="rId13916" ref="J11456"/>
    <hyperlink r:id="rId13917" ref="K11456"/>
    <hyperlink r:id="rId13918" ref="J11457"/>
    <hyperlink r:id="rId13919" ref="K11457"/>
    <hyperlink r:id="rId13920" ref="J11458"/>
    <hyperlink r:id="rId13921" ref="K11458"/>
    <hyperlink r:id="rId13922" ref="J11459"/>
    <hyperlink r:id="rId13033" ref="K11459"/>
    <hyperlink r:id="rId13923" ref="J11460"/>
    <hyperlink r:id="rId13924" ref="K11460"/>
    <hyperlink r:id="rId13925" ref="J11461"/>
    <hyperlink r:id="rId12084" ref="K11461"/>
    <hyperlink r:id="rId13926" ref="J11462"/>
    <hyperlink r:id="rId13927" ref="K11462"/>
    <hyperlink r:id="rId13928" ref="J11463"/>
    <hyperlink r:id="rId13929" ref="K11463"/>
    <hyperlink r:id="rId13930" ref="J11464"/>
    <hyperlink r:id="rId13931" ref="K11464"/>
    <hyperlink r:id="rId13932" ref="J11465"/>
    <hyperlink r:id="rId13933" ref="K11465"/>
    <hyperlink r:id="rId13934" ref="J11466"/>
    <hyperlink r:id="rId13935" ref="K11466"/>
    <hyperlink r:id="rId13936" ref="J11467"/>
    <hyperlink r:id="rId13937" ref="K11467"/>
    <hyperlink r:id="rId13938" ref="J11468"/>
    <hyperlink r:id="rId13939" ref="K11468"/>
    <hyperlink r:id="rId13940" ref="J11469"/>
    <hyperlink r:id="rId13847" ref="K11469"/>
    <hyperlink r:id="rId13941" ref="J11470"/>
    <hyperlink r:id="rId13942" ref="K11470"/>
    <hyperlink r:id="rId13943" ref="J11471"/>
    <hyperlink r:id="rId13944" ref="K11471"/>
    <hyperlink r:id="rId13945" ref="J11472"/>
    <hyperlink r:id="rId13946" ref="K11472"/>
    <hyperlink r:id="rId13947" ref="J11473"/>
    <hyperlink r:id="rId13948" ref="K11473"/>
    <hyperlink r:id="rId13949" ref="J11474"/>
    <hyperlink r:id="rId13950" ref="K11474"/>
    <hyperlink r:id="rId13951" ref="J11475"/>
    <hyperlink r:id="rId13952" ref="K11475"/>
    <hyperlink r:id="rId13953" ref="J11476"/>
    <hyperlink r:id="rId13954" ref="K11476"/>
    <hyperlink r:id="rId13955" ref="J11477"/>
    <hyperlink r:id="rId13956" ref="K11477"/>
    <hyperlink r:id="rId13957" ref="J11478"/>
    <hyperlink r:id="rId13958" ref="K11478"/>
    <hyperlink r:id="rId13959" ref="J11479"/>
    <hyperlink r:id="rId13960" ref="K11479"/>
    <hyperlink r:id="rId13961" ref="J11480"/>
    <hyperlink r:id="rId13962" ref="K11480"/>
    <hyperlink r:id="rId13963" ref="J11481"/>
    <hyperlink r:id="rId13964" ref="K11481"/>
    <hyperlink r:id="rId13965" ref="J11482"/>
    <hyperlink r:id="rId13966" ref="K11482"/>
    <hyperlink r:id="rId13967" ref="J11483"/>
    <hyperlink r:id="rId13968" ref="K11483"/>
    <hyperlink r:id="rId13969" ref="J11484"/>
    <hyperlink r:id="rId13970" ref="K11484"/>
    <hyperlink r:id="rId13971" ref="J11485"/>
    <hyperlink r:id="rId11874" ref="K11485"/>
    <hyperlink r:id="rId13972" ref="J11486"/>
    <hyperlink r:id="rId13973" ref="K11486"/>
    <hyperlink r:id="rId13974" ref="J11487"/>
    <hyperlink r:id="rId12726" ref="K11487"/>
    <hyperlink r:id="rId13975" ref="J11488"/>
    <hyperlink r:id="rId13976" ref="K11488"/>
    <hyperlink r:id="rId13977" ref="J11489"/>
    <hyperlink r:id="rId13978" ref="K11489"/>
    <hyperlink r:id="rId13979" ref="J11490"/>
    <hyperlink r:id="rId13980" ref="K11490"/>
    <hyperlink r:id="rId13981" ref="J11491"/>
    <hyperlink r:id="rId13982" ref="K11491"/>
    <hyperlink r:id="rId13983" ref="J11492"/>
    <hyperlink r:id="rId13984" ref="K11492"/>
    <hyperlink r:id="rId13985" ref="J11493"/>
    <hyperlink r:id="rId13986" ref="K11493"/>
    <hyperlink r:id="rId13987" ref="J11494"/>
    <hyperlink r:id="rId13988" ref="K11494"/>
    <hyperlink r:id="rId13989" ref="J11495"/>
    <hyperlink r:id="rId13990" ref="K11495"/>
    <hyperlink r:id="rId13991" ref="J11496"/>
    <hyperlink r:id="rId13992" ref="K11496"/>
    <hyperlink r:id="rId13993" ref="J11497"/>
    <hyperlink r:id="rId13994" ref="K11497"/>
    <hyperlink r:id="rId13995" ref="J11498"/>
    <hyperlink r:id="rId13996" ref="K11498"/>
    <hyperlink r:id="rId13997" ref="J11499"/>
    <hyperlink r:id="rId13998" ref="K11499"/>
    <hyperlink r:id="rId13999" ref="J11500"/>
    <hyperlink r:id="rId14000" ref="K11500"/>
    <hyperlink r:id="rId14001" ref="J11501"/>
    <hyperlink r:id="rId14002" ref="K11501"/>
    <hyperlink r:id="rId14003" ref="J11502"/>
    <hyperlink r:id="rId14004" ref="K11502"/>
    <hyperlink r:id="rId14005" ref="J11503"/>
    <hyperlink r:id="rId14006" ref="K11503"/>
    <hyperlink r:id="rId14007" ref="J11504"/>
    <hyperlink r:id="rId14008" ref="K11504"/>
    <hyperlink r:id="rId14009" ref="J11505"/>
    <hyperlink r:id="rId14010" ref="K11505"/>
    <hyperlink r:id="rId14011" ref="J11506"/>
    <hyperlink r:id="rId14012" ref="K11506"/>
    <hyperlink r:id="rId14013" ref="J11507"/>
    <hyperlink r:id="rId14014" ref="K11507"/>
    <hyperlink r:id="rId14015" ref="J11508"/>
    <hyperlink r:id="rId14016" ref="K11508"/>
    <hyperlink r:id="rId14017" ref="J11509"/>
    <hyperlink r:id="rId14018" ref="K11509"/>
    <hyperlink r:id="rId14019" ref="J11510"/>
    <hyperlink r:id="rId14020" ref="K11510"/>
    <hyperlink r:id="rId14021" ref="J11511"/>
    <hyperlink r:id="rId14022" ref="K11511"/>
    <hyperlink r:id="rId14023" ref="J11512"/>
    <hyperlink r:id="rId14024" ref="K11512"/>
    <hyperlink r:id="rId14025" ref="J11513"/>
    <hyperlink r:id="rId14026" ref="K11513"/>
    <hyperlink r:id="rId14027" ref="J11514"/>
    <hyperlink r:id="rId14028" ref="K11514"/>
    <hyperlink r:id="rId14029" ref="J11515"/>
    <hyperlink r:id="rId14030" ref="K11515"/>
    <hyperlink r:id="rId14031" ref="J11516"/>
    <hyperlink r:id="rId14032" ref="K11516"/>
    <hyperlink r:id="rId14033" ref="J11517"/>
    <hyperlink r:id="rId14034" ref="K11517"/>
    <hyperlink r:id="rId14035" ref="J11518"/>
    <hyperlink r:id="rId6511" ref="K11518"/>
    <hyperlink r:id="rId14036" ref="J11519"/>
    <hyperlink r:id="rId14037" ref="K11519"/>
    <hyperlink r:id="rId14038" ref="J11520"/>
    <hyperlink r:id="rId14039" ref="K11520"/>
    <hyperlink r:id="rId14040" ref="J11521"/>
    <hyperlink r:id="rId14041" ref="K11521"/>
    <hyperlink r:id="rId14042" ref="J11522"/>
    <hyperlink r:id="rId14043" ref="K11522"/>
    <hyperlink r:id="rId14044" ref="J11523"/>
    <hyperlink r:id="rId14045" ref="K11523"/>
    <hyperlink r:id="rId14046" ref="J11524"/>
    <hyperlink r:id="rId14047" ref="K11524"/>
    <hyperlink r:id="rId14048" ref="J11525"/>
    <hyperlink r:id="rId14049" ref="K11525"/>
    <hyperlink r:id="rId14050" ref="J11526"/>
    <hyperlink r:id="rId14051" ref="K11526"/>
    <hyperlink r:id="rId14052" ref="J11527"/>
    <hyperlink r:id="rId14053" ref="K11527"/>
    <hyperlink r:id="rId14054" ref="J11528"/>
    <hyperlink r:id="rId14055" ref="K11528"/>
    <hyperlink r:id="rId14056" ref="J11529"/>
    <hyperlink r:id="rId14057" ref="K11529"/>
    <hyperlink r:id="rId14058" ref="J11530"/>
    <hyperlink r:id="rId14059" ref="K11530"/>
    <hyperlink r:id="rId14060" ref="J11531"/>
    <hyperlink r:id="rId14061" ref="K11531"/>
    <hyperlink r:id="rId14062" ref="J11532"/>
    <hyperlink r:id="rId14063" ref="K11532"/>
    <hyperlink r:id="rId14064" ref="J11533"/>
    <hyperlink r:id="rId14000" ref="K11533"/>
    <hyperlink r:id="rId14065" ref="J11534"/>
    <hyperlink r:id="rId14066" ref="K11534"/>
    <hyperlink r:id="rId14067" ref="J11535"/>
    <hyperlink r:id="rId14068" ref="K11535"/>
    <hyperlink r:id="rId14069" ref="J11536"/>
    <hyperlink r:id="rId14070" ref="K11536"/>
    <hyperlink r:id="rId14071" ref="J11537"/>
    <hyperlink r:id="rId14072" ref="K11537"/>
    <hyperlink r:id="rId14073" ref="J11538"/>
    <hyperlink r:id="rId14074" ref="K11538"/>
    <hyperlink r:id="rId14075" ref="J11539"/>
    <hyperlink r:id="rId14076" ref="K11539"/>
    <hyperlink r:id="rId14077" ref="J11540"/>
    <hyperlink r:id="rId14078" ref="K11540"/>
    <hyperlink r:id="rId14079" ref="J11541"/>
    <hyperlink r:id="rId14080" ref="K11541"/>
    <hyperlink r:id="rId14081" ref="J11542"/>
    <hyperlink r:id="rId14082" ref="K11542"/>
    <hyperlink r:id="rId14083" ref="J11543"/>
    <hyperlink r:id="rId14084" ref="K11543"/>
    <hyperlink r:id="rId14085" ref="J11544"/>
    <hyperlink r:id="rId14086" ref="K11544"/>
    <hyperlink r:id="rId14087" ref="J11545"/>
    <hyperlink r:id="rId14088" ref="K11545"/>
    <hyperlink r:id="rId14089" ref="J11546"/>
    <hyperlink r:id="rId14080" ref="K11546"/>
    <hyperlink r:id="rId14090" ref="J11547"/>
    <hyperlink r:id="rId14091" ref="K11547"/>
    <hyperlink r:id="rId14092" ref="J11548"/>
    <hyperlink r:id="rId14093" ref="K11548"/>
    <hyperlink r:id="rId14094" ref="J11549"/>
    <hyperlink r:id="rId14095" ref="K11549"/>
    <hyperlink r:id="rId14096" ref="J11550"/>
    <hyperlink r:id="rId14097" ref="K11550"/>
    <hyperlink r:id="rId14098" ref="J11551"/>
    <hyperlink r:id="rId14099" ref="K11551"/>
    <hyperlink r:id="rId14100" ref="J11552"/>
    <hyperlink r:id="rId14101" ref="K11552"/>
    <hyperlink r:id="rId14102" ref="J11553"/>
    <hyperlink r:id="rId14103" ref="K11553"/>
    <hyperlink r:id="rId14104" ref="J11554"/>
    <hyperlink r:id="rId14105" ref="K11554"/>
    <hyperlink r:id="rId14106" ref="J11555"/>
    <hyperlink r:id="rId14107" ref="K11555"/>
    <hyperlink r:id="rId14108" ref="J11556"/>
    <hyperlink r:id="rId14109" ref="K11556"/>
    <hyperlink r:id="rId14110" ref="J11557"/>
    <hyperlink r:id="rId14111" ref="K11557"/>
    <hyperlink r:id="rId14112" ref="J11558"/>
    <hyperlink r:id="rId14113" ref="K11558"/>
    <hyperlink r:id="rId14114" ref="J11559"/>
    <hyperlink r:id="rId14115" ref="K11559"/>
    <hyperlink r:id="rId14116" ref="J11560"/>
    <hyperlink r:id="rId14117" ref="K11560"/>
    <hyperlink r:id="rId14118" ref="J11561"/>
    <hyperlink r:id="rId14119" ref="K11561"/>
    <hyperlink r:id="rId14120" ref="J11562"/>
    <hyperlink r:id="rId14121" ref="K11562"/>
    <hyperlink r:id="rId14122" ref="J11563"/>
    <hyperlink r:id="rId14123" ref="K11563"/>
    <hyperlink r:id="rId14124" ref="J11564"/>
    <hyperlink r:id="rId14125" ref="K11564"/>
    <hyperlink r:id="rId14126" ref="J11565"/>
    <hyperlink r:id="rId14127" ref="K11565"/>
    <hyperlink r:id="rId14128" ref="J11566"/>
    <hyperlink r:id="rId14129" ref="K11566"/>
    <hyperlink r:id="rId14130" ref="J11567"/>
    <hyperlink r:id="rId14131" ref="K11567"/>
    <hyperlink r:id="rId14132" ref="J11568"/>
    <hyperlink r:id="rId14133" ref="K11568"/>
    <hyperlink r:id="rId14134" ref="J11569"/>
    <hyperlink r:id="rId14135" ref="K11569"/>
    <hyperlink r:id="rId14136" ref="J11570"/>
    <hyperlink r:id="rId14137" ref="K11570"/>
    <hyperlink r:id="rId14138" ref="J11571"/>
    <hyperlink r:id="rId14139" ref="K11571"/>
    <hyperlink r:id="rId14140" ref="J11572"/>
    <hyperlink r:id="rId14141" ref="K11572"/>
    <hyperlink r:id="rId14142" ref="J11573"/>
    <hyperlink r:id="rId14143" ref="K11573"/>
    <hyperlink r:id="rId14144" ref="J11574"/>
    <hyperlink r:id="rId14145" ref="K11574"/>
    <hyperlink r:id="rId14146" ref="J11575"/>
    <hyperlink r:id="rId14147" ref="K11575"/>
    <hyperlink r:id="rId14148" ref="J11576"/>
    <hyperlink r:id="rId14149" ref="K11576"/>
    <hyperlink r:id="rId14150" ref="J11577"/>
    <hyperlink r:id="rId14151" ref="K11577"/>
    <hyperlink r:id="rId14152" ref="J11578"/>
    <hyperlink r:id="rId14153" ref="K11578"/>
    <hyperlink r:id="rId14154" ref="J11579"/>
    <hyperlink r:id="rId14155" ref="K11579"/>
    <hyperlink r:id="rId14156" ref="J11580"/>
    <hyperlink r:id="rId14157" ref="K11580"/>
    <hyperlink r:id="rId14158" ref="J11581"/>
    <hyperlink r:id="rId14159" ref="K11581"/>
    <hyperlink r:id="rId14160" ref="J11582"/>
    <hyperlink r:id="rId14161" ref="K11582"/>
    <hyperlink r:id="rId14162" ref="J11583"/>
    <hyperlink r:id="rId14163" ref="K11583"/>
    <hyperlink r:id="rId14164" ref="J11584"/>
    <hyperlink r:id="rId14165" ref="K11584"/>
    <hyperlink r:id="rId14166" ref="J11585"/>
    <hyperlink r:id="rId14167" ref="K11585"/>
    <hyperlink r:id="rId14168" ref="J11586"/>
    <hyperlink r:id="rId14169" ref="K11586"/>
    <hyperlink r:id="rId14170" ref="J11587"/>
    <hyperlink r:id="rId14171" ref="K11587"/>
    <hyperlink r:id="rId14172" ref="J11588"/>
    <hyperlink r:id="rId14173" ref="K11588"/>
    <hyperlink r:id="rId14174" ref="J11589"/>
    <hyperlink r:id="rId14175" ref="K11589"/>
    <hyperlink r:id="rId14176" ref="J11590"/>
    <hyperlink r:id="rId14177" ref="K11590"/>
    <hyperlink r:id="rId14178" ref="J11591"/>
    <hyperlink r:id="rId14179" ref="K11591"/>
    <hyperlink r:id="rId14180" ref="J11592"/>
    <hyperlink r:id="rId14181" ref="K11592"/>
    <hyperlink r:id="rId14182" ref="J11593"/>
    <hyperlink r:id="rId14183" ref="K11593"/>
    <hyperlink r:id="rId14184" ref="J11594"/>
    <hyperlink r:id="rId14185" ref="K11594"/>
    <hyperlink r:id="rId14186" ref="J11595"/>
    <hyperlink r:id="rId14187" ref="K11595"/>
    <hyperlink r:id="rId14188" ref="J11596"/>
    <hyperlink r:id="rId14189" ref="K11596"/>
    <hyperlink r:id="rId14190" ref="J11597"/>
    <hyperlink r:id="rId14191" ref="K11597"/>
    <hyperlink r:id="rId14192" ref="J11598"/>
    <hyperlink r:id="rId14193" ref="K11598"/>
    <hyperlink r:id="rId14194" ref="J11599"/>
    <hyperlink r:id="rId14195" ref="K11599"/>
    <hyperlink r:id="rId14196" ref="J11600"/>
    <hyperlink r:id="rId14197" ref="K11600"/>
    <hyperlink r:id="rId14198" ref="J11601"/>
    <hyperlink r:id="rId14199" ref="K11601"/>
    <hyperlink r:id="rId14200" ref="J11602"/>
    <hyperlink r:id="rId14201" ref="K11602"/>
    <hyperlink r:id="rId14202" ref="J11603"/>
    <hyperlink r:id="rId14203" ref="K11603"/>
    <hyperlink r:id="rId14204" ref="J11604"/>
    <hyperlink r:id="rId14205" ref="K11604"/>
    <hyperlink r:id="rId14206" ref="J11605"/>
    <hyperlink r:id="rId14207" ref="K11605"/>
    <hyperlink r:id="rId14208" ref="J11606"/>
    <hyperlink r:id="rId14209" ref="K11606"/>
    <hyperlink r:id="rId14210" ref="J11607"/>
    <hyperlink r:id="rId14211" ref="K11607"/>
    <hyperlink r:id="rId14212" ref="J11608"/>
    <hyperlink r:id="rId14213" ref="K11608"/>
    <hyperlink r:id="rId14214" ref="J11609"/>
    <hyperlink r:id="rId14215" ref="K11609"/>
    <hyperlink r:id="rId14216" ref="J11610"/>
    <hyperlink r:id="rId14217" ref="K11610"/>
    <hyperlink r:id="rId14218" ref="J11611"/>
    <hyperlink r:id="rId14219" ref="K11611"/>
    <hyperlink r:id="rId14220" ref="J11612"/>
    <hyperlink r:id="rId14221" ref="K11612"/>
    <hyperlink r:id="rId14222" ref="J11613"/>
    <hyperlink r:id="rId14223" ref="K11613"/>
    <hyperlink r:id="rId14224" ref="J11614"/>
    <hyperlink r:id="rId14225" ref="K11614"/>
    <hyperlink r:id="rId14226" ref="J11615"/>
    <hyperlink r:id="rId14227" ref="K11615"/>
    <hyperlink r:id="rId14228" ref="J11616"/>
    <hyperlink r:id="rId14229" ref="K11616"/>
    <hyperlink r:id="rId14230" ref="J11617"/>
    <hyperlink r:id="rId14231" ref="K11617"/>
    <hyperlink r:id="rId14232" ref="J11618"/>
    <hyperlink r:id="rId14233" ref="K11618"/>
    <hyperlink r:id="rId14234" ref="J11619"/>
    <hyperlink r:id="rId14235" ref="K11619"/>
    <hyperlink r:id="rId14236" ref="J11620"/>
    <hyperlink r:id="rId14237" ref="K11620"/>
    <hyperlink r:id="rId14238" ref="J11621"/>
    <hyperlink r:id="rId14239" ref="K11621"/>
    <hyperlink r:id="rId14240" ref="J11622"/>
    <hyperlink r:id="rId14241" ref="K11622"/>
    <hyperlink r:id="rId14242" ref="J11623"/>
    <hyperlink r:id="rId14243" ref="K11623"/>
    <hyperlink r:id="rId14244" ref="J11624"/>
    <hyperlink r:id="rId14245" ref="K11624"/>
    <hyperlink r:id="rId14246" ref="J11625"/>
    <hyperlink r:id="rId14247" ref="K11625"/>
    <hyperlink r:id="rId14248" ref="J11626"/>
    <hyperlink r:id="rId14249" ref="K11626"/>
    <hyperlink r:id="rId14250" ref="J11627"/>
    <hyperlink r:id="rId14251" ref="K11627"/>
    <hyperlink r:id="rId14252" ref="J11628"/>
    <hyperlink r:id="rId14253" ref="K11628"/>
    <hyperlink r:id="rId14254" ref="J11629"/>
    <hyperlink r:id="rId14255" ref="K11629"/>
    <hyperlink r:id="rId14256" ref="J11630"/>
    <hyperlink r:id="rId14257" ref="K11630"/>
    <hyperlink r:id="rId14258" ref="J11631"/>
    <hyperlink r:id="rId14259" ref="K11631"/>
    <hyperlink r:id="rId14260" ref="J11632"/>
    <hyperlink r:id="rId14261" ref="K11632"/>
    <hyperlink r:id="rId14262" ref="J11633"/>
    <hyperlink r:id="rId14263" ref="K11633"/>
    <hyperlink r:id="rId14264" ref="J11634"/>
    <hyperlink r:id="rId14265" ref="K11634"/>
    <hyperlink r:id="rId14266" ref="J11635"/>
    <hyperlink r:id="rId14267" ref="K11635"/>
    <hyperlink r:id="rId14268" ref="J11636"/>
    <hyperlink r:id="rId14063" ref="K11636"/>
    <hyperlink r:id="rId14269" ref="J11637"/>
    <hyperlink r:id="rId14270" ref="K11637"/>
    <hyperlink r:id="rId14271" ref="J11638"/>
    <hyperlink r:id="rId14061" ref="K11638"/>
    <hyperlink r:id="rId14272" ref="J11639"/>
    <hyperlink r:id="rId14273" ref="K11639"/>
    <hyperlink r:id="rId14274" ref="J11640"/>
    <hyperlink r:id="rId14084" ref="K11640"/>
    <hyperlink r:id="rId14275" ref="J11641"/>
    <hyperlink r:id="rId14276" ref="K11641"/>
    <hyperlink r:id="rId14277" ref="J11642"/>
    <hyperlink r:id="rId14278" ref="K11642"/>
    <hyperlink r:id="rId14279" ref="J11643"/>
    <hyperlink r:id="rId14280" ref="K11643"/>
    <hyperlink r:id="rId14281" ref="J11644"/>
    <hyperlink r:id="rId14282" ref="K11644"/>
    <hyperlink r:id="rId14283" ref="J11645"/>
    <hyperlink r:id="rId14284" ref="K11645"/>
    <hyperlink r:id="rId14285" ref="J11646"/>
    <hyperlink r:id="rId14286" ref="K11646"/>
    <hyperlink r:id="rId14287" ref="J11647"/>
    <hyperlink r:id="rId14288" ref="K11647"/>
    <hyperlink r:id="rId14289" ref="J11648"/>
    <hyperlink r:id="rId14290" ref="K11648"/>
    <hyperlink r:id="rId14291" ref="J11649"/>
    <hyperlink r:id="rId14292" ref="K11649"/>
    <hyperlink r:id="rId14293" ref="J11650"/>
    <hyperlink r:id="rId14294" ref="K11650"/>
    <hyperlink r:id="rId14295" ref="J11651"/>
    <hyperlink r:id="rId14296" ref="K11651"/>
    <hyperlink r:id="rId14297" ref="J11652"/>
    <hyperlink r:id="rId14298" ref="K11652"/>
    <hyperlink r:id="rId14299" ref="J11653"/>
    <hyperlink r:id="rId14300" ref="K11653"/>
    <hyperlink r:id="rId14301" ref="J11654"/>
    <hyperlink r:id="rId14302" ref="K11654"/>
    <hyperlink r:id="rId14303" ref="J11655"/>
    <hyperlink r:id="rId14304" ref="K11655"/>
    <hyperlink r:id="rId14305" ref="J11656"/>
    <hyperlink r:id="rId14306" ref="K11656"/>
    <hyperlink r:id="rId14307" ref="J11657"/>
    <hyperlink r:id="rId14308" ref="K11657"/>
    <hyperlink r:id="rId14309" ref="J11658"/>
    <hyperlink r:id="rId14310" ref="K11658"/>
    <hyperlink r:id="rId14311" ref="J11659"/>
    <hyperlink r:id="rId14312" ref="K11659"/>
    <hyperlink r:id="rId14313" ref="J11660"/>
    <hyperlink r:id="rId14314" ref="K11660"/>
    <hyperlink r:id="rId14315" ref="J11661"/>
    <hyperlink r:id="rId14316" ref="K11661"/>
    <hyperlink r:id="rId14317" ref="J11662"/>
    <hyperlink r:id="rId14318" ref="K11662"/>
    <hyperlink r:id="rId14319" ref="J11663"/>
    <hyperlink r:id="rId14320" ref="K11663"/>
    <hyperlink r:id="rId14321" ref="J11664"/>
    <hyperlink r:id="rId14322" ref="K11664"/>
    <hyperlink r:id="rId14323" ref="E11665"/>
    <hyperlink r:id="rId14324" ref="J11665"/>
    <hyperlink r:id="rId14325" ref="K11665"/>
    <hyperlink r:id="rId14326" ref="J11666"/>
    <hyperlink r:id="rId6208" ref="K11666"/>
    <hyperlink r:id="rId14327" ref="J11667"/>
    <hyperlink r:id="rId14328" ref="K11667"/>
    <hyperlink r:id="rId14329" ref="J11668"/>
    <hyperlink r:id="rId14330" ref="K11668"/>
    <hyperlink r:id="rId14331" ref="J11669"/>
    <hyperlink r:id="rId14332" ref="K11669"/>
    <hyperlink r:id="rId14333" ref="J11670"/>
    <hyperlink r:id="rId14284" ref="K11670"/>
    <hyperlink r:id="rId14334" ref="J11671"/>
    <hyperlink r:id="rId14335" ref="K11671"/>
    <hyperlink r:id="rId14336" ref="J11672"/>
    <hyperlink r:id="rId14337" ref="K11672"/>
    <hyperlink r:id="rId14338" ref="J11673"/>
    <hyperlink r:id="rId14339" ref="K11673"/>
    <hyperlink r:id="rId14340" ref="J11674"/>
    <hyperlink r:id="rId14341" ref="K11674"/>
    <hyperlink r:id="rId14342" ref="J11675"/>
    <hyperlink r:id="rId14343" ref="K11675"/>
    <hyperlink r:id="rId14344" ref="J11676"/>
    <hyperlink r:id="rId14345" ref="K11676"/>
    <hyperlink r:id="rId14346" ref="J11677"/>
    <hyperlink r:id="rId14080" ref="K11677"/>
    <hyperlink r:id="rId14347" ref="J11678"/>
    <hyperlink r:id="rId14348" ref="K11678"/>
    <hyperlink r:id="rId14349" ref="J11679"/>
    <hyperlink r:id="rId14350" ref="K11679"/>
    <hyperlink r:id="rId14351" ref="J11680"/>
    <hyperlink r:id="rId14352" ref="K11680"/>
    <hyperlink r:id="rId14353" ref="J11681"/>
    <hyperlink r:id="rId14354" ref="K11681"/>
    <hyperlink r:id="rId14355" ref="J11682"/>
    <hyperlink r:id="rId14356" ref="K11682"/>
    <hyperlink r:id="rId14357" ref="J11683"/>
    <hyperlink r:id="rId14358" ref="K11683"/>
    <hyperlink r:id="rId14359" ref="J11684"/>
    <hyperlink r:id="rId14360" ref="K11684"/>
    <hyperlink r:id="rId14361" ref="J11685"/>
    <hyperlink r:id="rId14362" ref="K11685"/>
    <hyperlink r:id="rId14363" ref="J11686"/>
    <hyperlink r:id="rId14364" ref="K11686"/>
    <hyperlink r:id="rId14365" ref="J11687"/>
    <hyperlink r:id="rId14366" ref="K11687"/>
    <hyperlink r:id="rId14367" ref="J11688"/>
    <hyperlink r:id="rId14368" ref="K11688"/>
    <hyperlink r:id="rId7470" ref="J11689"/>
    <hyperlink r:id="rId7471" ref="K11689"/>
    <hyperlink r:id="rId14369" ref="J11690"/>
    <hyperlink r:id="rId14370" ref="K11690"/>
    <hyperlink r:id="rId14371" ref="J11691"/>
    <hyperlink r:id="rId14372" ref="K11691"/>
    <hyperlink r:id="rId14373" ref="J11692"/>
    <hyperlink r:id="rId14374" ref="K11692"/>
    <hyperlink r:id="rId14375" ref="J11693"/>
    <hyperlink r:id="rId14376" ref="K11693"/>
    <hyperlink r:id="rId14377" ref="J11694"/>
    <hyperlink r:id="rId14082" ref="K11694"/>
    <hyperlink r:id="rId14378" ref="J11695"/>
    <hyperlink r:id="rId14379" ref="K11695"/>
    <hyperlink r:id="rId14380" ref="J11696"/>
    <hyperlink r:id="rId14381" ref="K11696"/>
    <hyperlink r:id="rId14382" ref="J11697"/>
    <hyperlink r:id="rId14383" ref="K11697"/>
    <hyperlink r:id="rId14384" ref="J11698"/>
    <hyperlink r:id="rId14385" ref="K11698"/>
    <hyperlink r:id="rId14386" ref="J11699"/>
    <hyperlink r:id="rId14387" ref="K11699"/>
    <hyperlink r:id="rId14388" ref="J11700"/>
    <hyperlink r:id="rId14389" ref="K11700"/>
    <hyperlink r:id="rId14390" ref="J11701"/>
    <hyperlink r:id="rId14391" ref="K11701"/>
    <hyperlink r:id="rId14392" ref="J11702"/>
    <hyperlink r:id="rId14393" ref="K11702"/>
    <hyperlink r:id="rId14394" ref="J11703"/>
    <hyperlink r:id="rId14185" ref="K11703"/>
    <hyperlink r:id="rId14395" ref="J11704"/>
    <hyperlink r:id="rId14396" ref="K11704"/>
    <hyperlink r:id="rId14397" ref="J11705"/>
    <hyperlink r:id="rId14398" ref="K11705"/>
    <hyperlink r:id="rId14399" ref="J11706"/>
    <hyperlink r:id="rId14400" ref="K11706"/>
    <hyperlink r:id="rId14401" ref="J11707"/>
    <hyperlink r:id="rId14402" ref="K11707"/>
    <hyperlink r:id="rId14403" ref="J11708"/>
    <hyperlink r:id="rId14404" ref="K11708"/>
    <hyperlink r:id="rId14405" ref="J11709"/>
    <hyperlink r:id="rId14406" ref="K11709"/>
    <hyperlink r:id="rId14407" ref="J11710"/>
    <hyperlink r:id="rId14408" ref="K11710"/>
    <hyperlink r:id="rId14409" ref="J11711"/>
    <hyperlink r:id="rId14410" ref="K11711"/>
    <hyperlink r:id="rId14411" ref="J11712"/>
    <hyperlink r:id="rId14412" ref="K11712"/>
    <hyperlink r:id="rId14413" ref="J11713"/>
    <hyperlink r:id="rId14414" ref="K11713"/>
    <hyperlink r:id="rId14415" ref="J11714"/>
    <hyperlink r:id="rId14416" ref="K11714"/>
    <hyperlink r:id="rId14417" ref="J11715"/>
    <hyperlink r:id="rId14418" ref="K11715"/>
    <hyperlink r:id="rId14419" ref="J11716"/>
    <hyperlink r:id="rId14420" ref="K11716"/>
    <hyperlink r:id="rId14421" ref="J11717"/>
    <hyperlink r:id="rId14422" ref="K11717"/>
    <hyperlink r:id="rId14423" ref="J11718"/>
    <hyperlink r:id="rId14424" ref="K11718"/>
    <hyperlink r:id="rId14425" ref="J11719"/>
    <hyperlink r:id="rId14426" ref="K11719"/>
    <hyperlink r:id="rId14427" ref="J11720"/>
    <hyperlink r:id="rId14428" ref="K11720"/>
    <hyperlink r:id="rId14429" ref="J11721"/>
    <hyperlink r:id="rId14294" ref="K11721"/>
    <hyperlink r:id="rId14430" ref="J11722"/>
    <hyperlink r:id="rId14337" ref="K11722"/>
    <hyperlink r:id="rId14431" ref="J11723"/>
    <hyperlink r:id="rId14432" ref="K11723"/>
    <hyperlink r:id="rId14433" ref="J11724"/>
    <hyperlink r:id="rId14434" ref="K11724"/>
    <hyperlink r:id="rId14435" ref="J11725"/>
    <hyperlink r:id="rId14436" ref="K11725"/>
    <hyperlink r:id="rId14437" ref="J11726"/>
    <hyperlink r:id="rId11427" ref="K11726"/>
    <hyperlink r:id="rId14438" ref="J11727"/>
    <hyperlink r:id="rId14439" ref="K11727"/>
    <hyperlink r:id="rId14440" ref="J11728"/>
    <hyperlink r:id="rId14441" ref="K11728"/>
    <hyperlink r:id="rId14442" ref="J11729"/>
    <hyperlink r:id="rId14443" ref="K11729"/>
    <hyperlink r:id="rId14444" ref="J11730"/>
    <hyperlink r:id="rId14445" ref="K11730"/>
    <hyperlink r:id="rId14446" ref="J11731"/>
    <hyperlink r:id="rId14447" ref="K11731"/>
    <hyperlink r:id="rId14448" ref="J11732"/>
    <hyperlink r:id="rId14449" ref="K11732"/>
    <hyperlink r:id="rId14450" ref="J11733"/>
    <hyperlink r:id="rId14451" ref="K11733"/>
    <hyperlink r:id="rId14452" ref="J11734"/>
    <hyperlink r:id="rId14453" ref="K11734"/>
    <hyperlink r:id="rId14454" ref="J11735"/>
    <hyperlink r:id="rId14455" ref="K11735"/>
    <hyperlink r:id="rId14456" ref="J11736"/>
    <hyperlink r:id="rId12482" ref="K11736"/>
    <hyperlink r:id="rId14457" ref="J11737"/>
    <hyperlink r:id="rId14458" ref="K11737"/>
    <hyperlink r:id="rId14459" ref="J11738"/>
    <hyperlink r:id="rId14460" ref="K11738"/>
    <hyperlink r:id="rId14461" ref="J11739"/>
    <hyperlink r:id="rId14462" ref="K11739"/>
    <hyperlink r:id="rId14463" ref="J11740"/>
    <hyperlink r:id="rId14464" ref="K11740"/>
    <hyperlink r:id="rId14465" ref="J11741"/>
    <hyperlink r:id="rId14466" ref="K11741"/>
    <hyperlink r:id="rId14467" ref="J11742"/>
    <hyperlink r:id="rId14468" ref="K11742"/>
    <hyperlink r:id="rId14469" ref="J11743"/>
    <hyperlink r:id="rId14470" ref="K11743"/>
    <hyperlink r:id="rId14471" ref="J11744"/>
    <hyperlink r:id="rId14472" ref="K11744"/>
    <hyperlink r:id="rId14473" ref="J11745"/>
    <hyperlink r:id="rId14354" ref="K11745"/>
    <hyperlink r:id="rId14474" ref="J11746"/>
    <hyperlink r:id="rId14475" ref="K11746"/>
    <hyperlink r:id="rId14476" ref="J11747"/>
    <hyperlink r:id="rId14477" ref="K11747"/>
    <hyperlink r:id="rId14478" ref="J11748"/>
    <hyperlink r:id="rId14479" ref="K11748"/>
    <hyperlink r:id="rId14480" ref="J11749"/>
    <hyperlink r:id="rId14481" ref="K11749"/>
    <hyperlink r:id="rId14482" ref="J11750"/>
    <hyperlink r:id="rId14483" ref="K11750"/>
    <hyperlink r:id="rId14484" ref="J11751"/>
    <hyperlink r:id="rId14485" ref="K11751"/>
    <hyperlink r:id="rId14486" ref="J11752"/>
    <hyperlink r:id="rId14487" ref="K11752"/>
    <hyperlink r:id="rId14488" ref="J11753"/>
    <hyperlink r:id="rId14489" ref="K11753"/>
    <hyperlink r:id="rId14490" ref="J11754"/>
    <hyperlink r:id="rId14491" ref="K11754"/>
    <hyperlink r:id="rId14492" ref="J11755"/>
    <hyperlink r:id="rId14493" ref="K11755"/>
    <hyperlink r:id="rId14494" ref="J11756"/>
    <hyperlink r:id="rId14495" ref="K11756"/>
    <hyperlink r:id="rId14496" ref="J11757"/>
    <hyperlink r:id="rId14497" ref="K11757"/>
    <hyperlink r:id="rId14498" ref="J11758"/>
    <hyperlink r:id="rId14241" ref="K11758"/>
    <hyperlink r:id="rId14499" ref="J11759"/>
    <hyperlink r:id="rId14500" ref="K11759"/>
    <hyperlink r:id="rId14501" ref="J11760"/>
    <hyperlink r:id="rId14502" ref="K11760"/>
    <hyperlink r:id="rId14503" ref="J11761"/>
    <hyperlink r:id="rId14504" ref="K11761"/>
    <hyperlink r:id="rId14505" ref="J11762"/>
    <hyperlink r:id="rId14276" ref="K11762"/>
    <hyperlink r:id="rId14506" ref="J11763"/>
    <hyperlink r:id="rId14507" ref="K11763"/>
    <hyperlink r:id="rId14508" ref="J11764"/>
    <hyperlink r:id="rId14296" ref="K11764"/>
    <hyperlink r:id="rId14509" ref="J11765"/>
    <hyperlink r:id="rId14510" ref="K11765"/>
    <hyperlink r:id="rId14511" ref="J11766"/>
    <hyperlink r:id="rId14512" ref="K11766"/>
    <hyperlink r:id="rId14513" ref="J11767"/>
    <hyperlink r:id="rId14514" ref="K11767"/>
    <hyperlink r:id="rId14515" ref="J11768"/>
    <hyperlink r:id="rId14516" ref="K11768"/>
    <hyperlink r:id="rId14517" ref="J11769"/>
    <hyperlink r:id="rId14039" ref="K11769"/>
    <hyperlink r:id="rId14518" ref="J11770"/>
    <hyperlink r:id="rId6511" ref="K11770"/>
    <hyperlink r:id="rId14519" ref="J11771"/>
    <hyperlink r:id="rId14520" ref="K11771"/>
    <hyperlink r:id="rId14521" ref="J11772"/>
    <hyperlink r:id="rId14522" ref="K11772"/>
    <hyperlink r:id="rId14523" ref="J11773"/>
    <hyperlink r:id="rId14524" ref="K11773"/>
    <hyperlink r:id="rId14525" ref="J11774"/>
    <hyperlink r:id="rId14526" ref="K11774"/>
    <hyperlink r:id="rId14527" ref="J11775"/>
    <hyperlink r:id="rId14528" ref="K11775"/>
    <hyperlink r:id="rId14529" ref="J11776"/>
    <hyperlink r:id="rId14530" ref="K11776"/>
    <hyperlink r:id="rId14531" ref="J11777"/>
    <hyperlink r:id="rId14532" ref="K11777"/>
    <hyperlink r:id="rId14533" ref="J11778"/>
    <hyperlink r:id="rId14534" ref="K11778"/>
    <hyperlink r:id="rId14535" ref="J11779"/>
    <hyperlink r:id="rId14536" ref="K11779"/>
    <hyperlink r:id="rId14537" ref="J11780"/>
    <hyperlink r:id="rId14538" ref="K11780"/>
    <hyperlink r:id="rId6207" ref="J11781"/>
    <hyperlink r:id="rId6208" ref="K11781"/>
    <hyperlink r:id="rId14539" ref="J11782"/>
    <hyperlink r:id="rId14540" ref="K11782"/>
    <hyperlink r:id="rId14541" ref="J11783"/>
    <hyperlink r:id="rId14542" ref="K11783"/>
    <hyperlink r:id="rId14543" ref="J11784"/>
    <hyperlink r:id="rId14544" ref="K11784"/>
    <hyperlink r:id="rId14545" ref="J11785"/>
    <hyperlink r:id="rId14546" ref="K11785"/>
    <hyperlink r:id="rId14547" ref="J11786"/>
    <hyperlink r:id="rId14548" ref="K11786"/>
    <hyperlink r:id="rId14549" ref="J11787"/>
    <hyperlink r:id="rId14550" ref="K11787"/>
    <hyperlink r:id="rId14551" ref="J11788"/>
    <hyperlink r:id="rId14552" ref="K11788"/>
    <hyperlink r:id="rId14553" ref="J11789"/>
    <hyperlink r:id="rId14406" ref="K11789"/>
    <hyperlink r:id="rId14554" ref="J11790"/>
    <hyperlink r:id="rId14555" ref="K11790"/>
    <hyperlink r:id="rId14556" ref="J11791"/>
    <hyperlink r:id="rId14557" ref="K11791"/>
    <hyperlink r:id="rId14558" ref="J11792"/>
    <hyperlink r:id="rId14559" ref="K11792"/>
    <hyperlink r:id="rId14560" ref="J11793"/>
    <hyperlink r:id="rId14561" ref="K11793"/>
    <hyperlink r:id="rId14562" ref="J11794"/>
    <hyperlink r:id="rId14213" ref="K11794"/>
    <hyperlink r:id="rId14563" ref="J11795"/>
    <hyperlink r:id="rId14564" ref="K11795"/>
    <hyperlink r:id="rId14565" ref="J11796"/>
    <hyperlink r:id="rId14566" ref="K11796"/>
    <hyperlink r:id="rId14567" ref="J11797"/>
    <hyperlink r:id="rId14568" ref="K11797"/>
    <hyperlink r:id="rId14569" ref="J11798"/>
    <hyperlink r:id="rId14570" ref="K11798"/>
    <hyperlink r:id="rId14571" ref="J11799"/>
    <hyperlink r:id="rId14572" ref="K11799"/>
    <hyperlink r:id="rId14573" ref="J11800"/>
    <hyperlink r:id="rId14574" ref="K11800"/>
    <hyperlink r:id="rId14575" ref="J11801"/>
    <hyperlink r:id="rId14576" ref="K11801"/>
    <hyperlink r:id="rId14577" ref="J11802"/>
    <hyperlink r:id="rId14578" ref="K11802"/>
    <hyperlink r:id="rId14579" ref="J11803"/>
    <hyperlink r:id="rId14580" ref="K11803"/>
    <hyperlink r:id="rId14581" ref="J11804"/>
    <hyperlink r:id="rId14582" ref="K11804"/>
    <hyperlink r:id="rId14583" ref="J11805"/>
    <hyperlink r:id="rId14584" ref="K11805"/>
    <hyperlink r:id="rId14585" ref="J11806"/>
    <hyperlink r:id="rId14586" ref="K11806"/>
    <hyperlink r:id="rId14587" ref="J11807"/>
    <hyperlink r:id="rId14588" ref="K11807"/>
    <hyperlink r:id="rId14589" ref="J11808"/>
    <hyperlink r:id="rId14590" ref="K11808"/>
    <hyperlink r:id="rId14591" ref="J11809"/>
    <hyperlink r:id="rId14592" ref="K11809"/>
    <hyperlink r:id="rId14593" ref="J11810"/>
    <hyperlink r:id="rId14594" ref="K11810"/>
    <hyperlink r:id="rId14595" ref="J11811"/>
    <hyperlink r:id="rId14596" ref="K11811"/>
    <hyperlink r:id="rId14597" ref="J11812"/>
    <hyperlink r:id="rId14598" ref="K11812"/>
    <hyperlink r:id="rId14599" ref="J11813"/>
    <hyperlink r:id="rId14600" ref="K11813"/>
    <hyperlink r:id="rId14601" ref="J11814"/>
    <hyperlink r:id="rId14602" ref="K11814"/>
    <hyperlink r:id="rId14603" ref="J11815"/>
    <hyperlink r:id="rId14604" ref="K11815"/>
    <hyperlink r:id="rId14605" ref="J11816"/>
    <hyperlink r:id="rId14606" ref="K11816"/>
    <hyperlink r:id="rId14607" ref="J11817"/>
    <hyperlink r:id="rId14608" ref="K11817"/>
    <hyperlink r:id="rId14609" ref="J11818"/>
    <hyperlink r:id="rId14610" ref="K11818"/>
    <hyperlink r:id="rId14611" ref="J11819"/>
    <hyperlink r:id="rId14612" ref="K11819"/>
    <hyperlink r:id="rId14613" ref="J11820"/>
    <hyperlink r:id="rId14614" ref="K11820"/>
    <hyperlink r:id="rId14615" ref="J11821"/>
    <hyperlink r:id="rId14616" ref="K11821"/>
    <hyperlink r:id="rId14617" ref="J11822"/>
    <hyperlink r:id="rId14618" ref="K11822"/>
    <hyperlink r:id="rId14619" ref="J11823"/>
    <hyperlink r:id="rId14620" ref="K11823"/>
    <hyperlink r:id="rId14621" ref="J11824"/>
    <hyperlink r:id="rId14622" ref="K11824"/>
    <hyperlink r:id="rId14623" ref="J11825"/>
    <hyperlink r:id="rId14624" ref="K11825"/>
    <hyperlink r:id="rId14625" ref="J11826"/>
    <hyperlink r:id="rId14626" ref="K11826"/>
    <hyperlink r:id="rId14627" ref="J11827"/>
    <hyperlink r:id="rId14628" ref="K11827"/>
    <hyperlink r:id="rId14629" ref="J11828"/>
    <hyperlink r:id="rId14630" ref="K11828"/>
    <hyperlink r:id="rId14631" ref="J11829"/>
    <hyperlink r:id="rId14439" ref="K11829"/>
    <hyperlink r:id="rId14632" ref="J11830"/>
    <hyperlink r:id="rId14633" ref="K11830"/>
    <hyperlink r:id="rId14634" ref="J11831"/>
    <hyperlink r:id="rId14635" ref="K11831"/>
    <hyperlink r:id="rId14636" ref="J11832"/>
    <hyperlink r:id="rId14512" ref="K11832"/>
    <hyperlink r:id="rId14637" ref="J11833"/>
    <hyperlink r:id="rId14638" ref="K11833"/>
    <hyperlink r:id="rId14639" ref="J11834"/>
    <hyperlink r:id="rId14640" ref="K11834"/>
    <hyperlink r:id="rId14641" ref="J11835"/>
    <hyperlink r:id="rId14097" ref="K11835"/>
    <hyperlink r:id="rId14642" ref="J11836"/>
    <hyperlink r:id="rId14643" ref="K11836"/>
    <hyperlink r:id="rId14644" ref="J11837"/>
    <hyperlink r:id="rId14131" ref="K11837"/>
    <hyperlink r:id="rId14645" ref="J11838"/>
    <hyperlink r:id="rId14612" ref="K11838"/>
    <hyperlink r:id="rId14646" ref="J11839"/>
    <hyperlink r:id="rId14647" ref="K11839"/>
    <hyperlink r:id="rId14648" ref="J11840"/>
    <hyperlink r:id="rId14649" ref="K11840"/>
    <hyperlink r:id="rId14650" ref="J11841"/>
    <hyperlink r:id="rId14651" ref="K11841"/>
    <hyperlink r:id="rId14652" ref="J11842"/>
    <hyperlink r:id="rId14653" ref="K11842"/>
    <hyperlink r:id="rId14654" ref="J11843"/>
    <hyperlink r:id="rId14655" ref="K11843"/>
    <hyperlink r:id="rId14656" ref="J11844"/>
    <hyperlink r:id="rId14657" ref="K11844"/>
    <hyperlink r:id="rId14658" ref="J11845"/>
    <hyperlink r:id="rId14213" ref="K11845"/>
    <hyperlink r:id="rId14659" ref="J11846"/>
    <hyperlink r:id="rId14660" ref="K11846"/>
    <hyperlink r:id="rId14661" ref="J11847"/>
    <hyperlink r:id="rId14662" ref="K11847"/>
    <hyperlink r:id="rId14663" ref="J11848"/>
    <hyperlink r:id="rId14664" ref="K11848"/>
    <hyperlink r:id="rId14665" ref="J11849"/>
    <hyperlink r:id="rId14666" ref="K11849"/>
    <hyperlink r:id="rId14667" ref="J11850"/>
    <hyperlink r:id="rId14668" ref="K11850"/>
    <hyperlink r:id="rId14669" ref="J11851"/>
    <hyperlink r:id="rId14670" ref="K11851"/>
    <hyperlink r:id="rId14671" ref="J11852"/>
    <hyperlink r:id="rId14672" ref="K11852"/>
    <hyperlink r:id="rId14673" ref="J11853"/>
    <hyperlink r:id="rId14674" ref="K11853"/>
    <hyperlink r:id="rId14675" ref="J11854"/>
    <hyperlink r:id="rId14676" ref="K11854"/>
    <hyperlink r:id="rId14677" ref="J11855"/>
    <hyperlink r:id="rId14678" ref="K11855"/>
    <hyperlink r:id="rId14679" ref="J11856"/>
    <hyperlink r:id="rId14680" ref="K11856"/>
    <hyperlink r:id="rId14681" ref="J11857"/>
    <hyperlink r:id="rId14682" ref="K11857"/>
    <hyperlink r:id="rId14683" ref="J11858"/>
    <hyperlink r:id="rId14512" ref="K11858"/>
    <hyperlink r:id="rId14684" ref="J11859"/>
    <hyperlink r:id="rId14685" ref="K11859"/>
    <hyperlink r:id="rId14686" ref="J11860"/>
    <hyperlink r:id="rId14687" ref="K11860"/>
    <hyperlink r:id="rId14688" ref="J11861"/>
    <hyperlink r:id="rId14689" ref="K11861"/>
    <hyperlink r:id="rId14690" ref="J11862"/>
    <hyperlink r:id="rId14691" ref="K11862"/>
    <hyperlink r:id="rId14692" ref="J11863"/>
    <hyperlink r:id="rId14020" ref="K11863"/>
    <hyperlink r:id="rId14693" ref="J11864"/>
    <hyperlink r:id="rId14694" ref="K11864"/>
    <hyperlink r:id="rId14695" ref="J11865"/>
    <hyperlink r:id="rId14696" ref="K11865"/>
    <hyperlink r:id="rId14697" ref="J11866"/>
    <hyperlink r:id="rId14698" ref="K11866"/>
    <hyperlink r:id="rId14699" ref="J11867"/>
    <hyperlink r:id="rId14700" ref="K11867"/>
    <hyperlink r:id="rId14701" ref="J11868"/>
    <hyperlink r:id="rId14702" ref="K11868"/>
    <hyperlink r:id="rId14703" ref="J11869"/>
    <hyperlink r:id="rId14300" ref="K11869"/>
    <hyperlink r:id="rId14704" ref="J11870"/>
    <hyperlink r:id="rId14705" ref="K11870"/>
    <hyperlink r:id="rId14706" ref="J11871"/>
    <hyperlink r:id="rId14707" ref="K11871"/>
    <hyperlink r:id="rId14708" ref="J11872"/>
    <hyperlink r:id="rId14709" ref="K11872"/>
    <hyperlink r:id="rId14710" ref="J11873"/>
    <hyperlink r:id="rId14330" ref="K11873"/>
    <hyperlink r:id="rId14711" ref="J11874"/>
    <hyperlink r:id="rId14712" ref="K11874"/>
    <hyperlink r:id="rId14713" ref="J11875"/>
    <hyperlink r:id="rId14714" ref="K11875"/>
    <hyperlink r:id="rId14715" ref="J11876"/>
    <hyperlink r:id="rId14716" ref="K11876"/>
    <hyperlink r:id="rId14717" ref="J11877"/>
    <hyperlink r:id="rId14718" ref="K11877"/>
    <hyperlink r:id="rId14719" ref="J11878"/>
    <hyperlink r:id="rId14720" ref="K11878"/>
    <hyperlink r:id="rId14721" ref="J11879"/>
    <hyperlink r:id="rId14722" ref="K11879"/>
    <hyperlink r:id="rId14723" ref="J11880"/>
    <hyperlink r:id="rId14724" ref="K11880"/>
    <hyperlink r:id="rId14725" ref="J11881"/>
    <hyperlink r:id="rId14726" ref="K11881"/>
    <hyperlink r:id="rId14727" ref="J11882"/>
    <hyperlink r:id="rId14728" ref="K11882"/>
    <hyperlink r:id="rId14729" ref="E11883"/>
    <hyperlink r:id="rId14730" ref="J11883"/>
    <hyperlink r:id="rId14731" ref="K11883"/>
    <hyperlink r:id="rId14732" ref="J11884"/>
    <hyperlink r:id="rId14733" ref="K11884"/>
    <hyperlink r:id="rId14734" ref="J11885"/>
    <hyperlink r:id="rId14735" ref="K11885"/>
    <hyperlink r:id="rId14736" ref="J11886"/>
    <hyperlink r:id="rId14737" ref="K11886"/>
    <hyperlink r:id="rId14738" ref="J11887"/>
    <hyperlink r:id="rId14739" ref="K11887"/>
    <hyperlink r:id="rId14740" ref="J11888"/>
    <hyperlink r:id="rId14741" ref="K11888"/>
    <hyperlink r:id="rId14742" ref="J11889"/>
    <hyperlink r:id="rId14743" ref="K11889"/>
    <hyperlink r:id="rId14744" ref="J11890"/>
    <hyperlink r:id="rId14105" ref="K11890"/>
    <hyperlink r:id="rId14745" ref="J11891"/>
    <hyperlink r:id="rId14746" ref="K11891"/>
    <hyperlink r:id="rId14747" ref="J11892"/>
    <hyperlink r:id="rId14748" ref="K11892"/>
    <hyperlink r:id="rId14749" ref="J11893"/>
    <hyperlink r:id="rId14750" ref="K11893"/>
    <hyperlink r:id="rId14751" ref="J11894"/>
    <hyperlink r:id="rId14752" ref="K11894"/>
    <hyperlink r:id="rId14753" ref="J11895"/>
    <hyperlink r:id="rId6208" ref="K11895"/>
    <hyperlink r:id="rId14754" ref="J11896"/>
    <hyperlink r:id="rId14755" ref="K11896"/>
    <hyperlink r:id="rId14756" ref="J11897"/>
    <hyperlink r:id="rId14757" ref="K11897"/>
    <hyperlink r:id="rId14758" ref="J11898"/>
    <hyperlink r:id="rId14759" ref="K11898"/>
    <hyperlink r:id="rId14760" ref="J11899"/>
    <hyperlink r:id="rId14761" ref="K11899"/>
    <hyperlink r:id="rId14762" ref="J11900"/>
    <hyperlink r:id="rId14763" ref="K11900"/>
    <hyperlink r:id="rId14764" ref="J11901"/>
    <hyperlink r:id="rId14765" ref="K11901"/>
    <hyperlink r:id="rId14766" ref="J11902"/>
    <hyperlink r:id="rId14767" ref="K11902"/>
    <hyperlink r:id="rId14768" ref="J11903"/>
    <hyperlink r:id="rId14716" ref="K11903"/>
    <hyperlink r:id="rId14769" ref="J11904"/>
    <hyperlink r:id="rId14770" ref="K11904"/>
    <hyperlink r:id="rId14771" ref="J11905"/>
    <hyperlink r:id="rId14772" ref="K11905"/>
    <hyperlink r:id="rId14773" ref="J11906"/>
    <hyperlink r:id="rId14774" ref="K11906"/>
    <hyperlink r:id="rId14775" ref="J11907"/>
    <hyperlink r:id="rId14776" ref="K11907"/>
    <hyperlink r:id="rId14777" ref="J11908"/>
    <hyperlink r:id="rId14778" ref="K11908"/>
    <hyperlink r:id="rId14779" ref="J11909"/>
    <hyperlink r:id="rId14095" ref="K11909"/>
    <hyperlink r:id="rId14780" ref="J11910"/>
    <hyperlink r:id="rId14781" ref="K11910"/>
    <hyperlink r:id="rId14782" ref="J11911"/>
    <hyperlink r:id="rId14783" ref="J11912"/>
    <hyperlink r:id="rId14784" ref="J11913"/>
    <hyperlink r:id="rId14612" ref="K11913"/>
    <hyperlink r:id="rId14785" ref="J11914"/>
    <hyperlink r:id="rId14786" ref="K11914"/>
    <hyperlink r:id="rId14787" ref="J11915"/>
    <hyperlink r:id="rId14068" ref="K11915"/>
    <hyperlink r:id="rId14788" ref="J11916"/>
    <hyperlink r:id="rId14574" ref="K11916"/>
    <hyperlink r:id="rId14789" ref="J11917"/>
    <hyperlink r:id="rId14790" ref="K11917"/>
    <hyperlink r:id="rId14791" ref="J11918"/>
    <hyperlink r:id="rId14792" ref="K11918"/>
    <hyperlink r:id="rId14793" ref="J11919"/>
    <hyperlink r:id="rId14794" ref="K11919"/>
    <hyperlink r:id="rId14795" ref="J11920"/>
    <hyperlink r:id="rId14796" ref="K11920"/>
    <hyperlink r:id="rId14797" ref="J11921"/>
    <hyperlink r:id="rId14798" ref="K11921"/>
    <hyperlink r:id="rId14799" ref="J11922"/>
    <hyperlink r:id="rId14800" ref="K11922"/>
    <hyperlink r:id="rId14801" ref="J11923"/>
    <hyperlink r:id="rId14802" ref="K11923"/>
    <hyperlink r:id="rId14803" ref="J11924"/>
    <hyperlink r:id="rId14804" ref="K11924"/>
    <hyperlink r:id="rId14805" ref="J11925"/>
    <hyperlink r:id="rId14806" ref="K11925"/>
    <hyperlink r:id="rId14807" ref="J11926"/>
    <hyperlink r:id="rId14808" ref="K11926"/>
    <hyperlink r:id="rId14809" ref="J11927"/>
    <hyperlink r:id="rId14810" ref="K11927"/>
    <hyperlink r:id="rId14811" ref="J11928"/>
    <hyperlink r:id="rId14812" ref="K11928"/>
    <hyperlink r:id="rId13900" ref="K11934"/>
    <hyperlink r:id="rId13901" ref="L11934"/>
    <hyperlink r:id="rId11428" ref="K11935"/>
    <hyperlink r:id="rId11429" ref="L11935"/>
    <hyperlink r:id="rId12023" ref="K11936"/>
    <hyperlink r:id="rId11429" ref="L11936"/>
    <hyperlink r:id="rId12449" ref="K11937"/>
    <hyperlink r:id="rId12450" ref="L11937"/>
    <hyperlink r:id="rId12008" ref="K11938"/>
    <hyperlink r:id="rId12009" ref="L11938"/>
    <hyperlink r:id="rId13938" ref="K11939"/>
    <hyperlink r:id="rId13939" ref="L11939"/>
    <hyperlink r:id="rId12984" ref="K11940"/>
    <hyperlink r:id="rId12450" ref="L11940"/>
    <hyperlink r:id="rId12693" ref="K11941"/>
    <hyperlink r:id="rId12694" ref="L11941"/>
    <hyperlink r:id="rId13349" ref="K11942"/>
    <hyperlink r:id="rId13350" ref="L11942"/>
    <hyperlink r:id="rId13943" ref="K11943"/>
    <hyperlink r:id="rId13944" ref="L11943"/>
    <hyperlink r:id="rId12333" ref="K11944"/>
    <hyperlink r:id="rId12334" ref="L11944"/>
    <hyperlink r:id="rId13343" ref="K11945"/>
    <hyperlink r:id="rId13344" ref="L11945"/>
    <hyperlink r:id="rId13273" ref="K11946"/>
    <hyperlink r:id="rId13274" ref="L11946"/>
    <hyperlink r:id="rId13779" ref="K11947"/>
    <hyperlink r:id="rId13780" ref="L11947"/>
    <hyperlink r:id="rId11570" ref="K11948"/>
    <hyperlink r:id="rId11571" ref="L11948"/>
    <hyperlink r:id="rId13125" ref="K11949"/>
    <hyperlink r:id="rId11433" ref="L11949"/>
    <hyperlink r:id="rId11598" ref="K11950"/>
    <hyperlink r:id="rId11599" ref="L11950"/>
    <hyperlink r:id="rId12457" ref="K11951"/>
    <hyperlink r:id="rId12458" ref="L11951"/>
    <hyperlink r:id="rId11877" ref="K11952"/>
    <hyperlink r:id="rId11878" ref="L11952"/>
    <hyperlink r:id="rId11986" ref="K11953"/>
    <hyperlink r:id="rId11987" ref="L11953"/>
    <hyperlink r:id="rId12907" ref="K11954"/>
    <hyperlink r:id="rId12908" ref="L11954"/>
    <hyperlink r:id="rId13771" ref="K11955"/>
    <hyperlink r:id="rId13772" ref="L11955"/>
    <hyperlink r:id="rId11485" ref="K11956"/>
    <hyperlink r:id="rId11486" ref="L11956"/>
    <hyperlink r:id="rId11602" ref="K11957"/>
    <hyperlink r:id="rId11603" ref="L11957"/>
    <hyperlink r:id="rId12485" ref="K11958"/>
    <hyperlink r:id="rId11733" ref="L11958"/>
    <hyperlink r:id="rId14813" ref="K11959"/>
    <hyperlink r:id="rId12484" ref="L11959"/>
    <hyperlink r:id="rId12757" ref="K11960"/>
    <hyperlink r:id="rId12758" ref="L11960"/>
    <hyperlink r:id="rId12012" ref="K11961"/>
    <hyperlink r:id="rId12013" ref="L11961"/>
    <hyperlink r:id="rId13926" ref="K11962"/>
    <hyperlink r:id="rId13927" ref="L11962"/>
    <hyperlink r:id="rId12461" ref="K11963"/>
    <hyperlink r:id="rId11551" ref="L11963"/>
    <hyperlink r:id="rId12124" ref="K11964"/>
    <hyperlink r:id="rId12125" ref="L11964"/>
    <hyperlink r:id="rId13972" ref="K11965"/>
    <hyperlink r:id="rId13973" ref="L11965"/>
    <hyperlink r:id="rId12755" ref="K11966"/>
    <hyperlink r:id="rId12756" ref="L11966"/>
    <hyperlink r:id="rId13409" ref="K11967"/>
    <hyperlink r:id="rId12835" ref="L11967"/>
    <hyperlink r:id="rId11793" ref="K11968"/>
    <hyperlink r:id="rId11794" ref="L11968"/>
    <hyperlink r:id="rId13226" ref="K11969"/>
    <hyperlink r:id="rId13227" ref="L11969"/>
    <hyperlink r:id="rId13895" ref="K11970"/>
    <hyperlink r:id="rId13896" ref="L11970"/>
    <hyperlink r:id="rId13215" ref="K11971"/>
    <hyperlink r:id="rId13216" ref="L11971"/>
    <hyperlink r:id="rId11493" ref="K11972"/>
    <hyperlink r:id="rId11494" ref="L11972"/>
    <hyperlink r:id="rId12993" ref="K11973"/>
    <hyperlink r:id="rId12994" ref="L11973"/>
    <hyperlink r:id="rId12512" ref="K11974"/>
    <hyperlink r:id="rId12513" ref="L11974"/>
    <hyperlink r:id="rId11424" ref="K11975"/>
    <hyperlink r:id="rId11425" ref="L11975"/>
    <hyperlink r:id="rId12615" ref="K11976"/>
    <hyperlink r:id="rId12616" ref="L11976"/>
    <hyperlink r:id="rId11681" ref="K11977"/>
    <hyperlink r:id="rId11682" ref="L11977"/>
    <hyperlink r:id="rId12602" ref="K11978"/>
    <hyperlink r:id="rId12603" ref="L11978"/>
    <hyperlink r:id="rId13143" ref="K11979"/>
    <hyperlink r:id="rId13144" ref="L11979"/>
    <hyperlink r:id="rId13825" ref="K11980"/>
    <hyperlink r:id="rId13826" ref="L11980"/>
    <hyperlink r:id="rId12842" ref="K11981"/>
    <hyperlink r:id="rId12843" ref="L11981"/>
    <hyperlink r:id="rId13365" ref="K11982"/>
    <hyperlink r:id="rId13366" ref="L11982"/>
    <hyperlink r:id="rId13159" ref="K11983"/>
    <hyperlink r:id="rId13160" ref="L11983"/>
    <hyperlink r:id="rId11789" ref="K11984"/>
    <hyperlink r:id="rId11790" ref="L11984"/>
    <hyperlink r:id="rId12600" ref="K11985"/>
    <hyperlink r:id="rId12601" ref="L11985"/>
    <hyperlink r:id="rId13650" ref="K11986"/>
    <hyperlink r:id="rId13651" ref="L11986"/>
    <hyperlink r:id="rId11841" ref="K11987"/>
    <hyperlink r:id="rId11842" ref="L11987"/>
    <hyperlink r:id="rId12552" ref="K11988"/>
    <hyperlink r:id="rId12553" ref="L11988"/>
    <hyperlink r:id="rId12898" ref="K11989"/>
    <hyperlink r:id="rId12899" ref="L11989"/>
    <hyperlink r:id="rId13955" ref="K11990"/>
    <hyperlink r:id="rId13956" ref="L11990"/>
    <hyperlink r:id="rId13284" ref="K11991"/>
    <hyperlink r:id="rId13285" ref="L11991"/>
    <hyperlink r:id="rId13367" ref="K11992"/>
    <hyperlink r:id="rId13368" ref="L11992"/>
    <hyperlink r:id="rId11925" ref="K11993"/>
    <hyperlink r:id="rId11926" ref="L11993"/>
    <hyperlink r:id="rId12543" ref="K11994"/>
    <hyperlink r:id="rId12544" ref="L11994"/>
    <hyperlink r:id="rId12759" ref="K11995"/>
    <hyperlink r:id="rId12760" ref="L11995"/>
    <hyperlink r:id="rId12312" ref="K11996"/>
    <hyperlink r:id="rId12313" ref="L11996"/>
    <hyperlink r:id="rId11992" ref="K11997"/>
    <hyperlink r:id="rId11993" ref="L11997"/>
    <hyperlink r:id="rId14814" ref="K11998"/>
    <hyperlink r:id="rId12338" ref="L11998"/>
    <hyperlink r:id="rId13839" ref="K11999"/>
    <hyperlink r:id="rId13700" ref="L11999"/>
    <hyperlink r:id="rId13987" ref="K12000"/>
    <hyperlink r:id="rId13988" ref="L12000"/>
    <hyperlink r:id="rId2862" ref="K12001"/>
    <hyperlink r:id="rId12518" ref="L12001"/>
    <hyperlink r:id="rId12900" ref="K12002"/>
    <hyperlink r:id="rId12901" ref="L12002"/>
    <hyperlink r:id="rId11879" ref="K12003"/>
    <hyperlink r:id="rId11880" ref="L12003"/>
    <hyperlink r:id="rId12608" ref="K12004"/>
    <hyperlink r:id="rId12306" ref="L12004"/>
    <hyperlink r:id="rId13555" ref="K12005"/>
    <hyperlink r:id="rId13556" ref="L12005"/>
    <hyperlink r:id="rId11572" ref="K12006"/>
    <hyperlink r:id="rId11573" ref="L12006"/>
    <hyperlink r:id="rId12128" ref="K12007"/>
    <hyperlink r:id="rId11433" ref="L12007"/>
    <hyperlink r:id="rId12514" ref="K12008"/>
    <hyperlink r:id="rId11623" ref="L12008"/>
    <hyperlink r:id="rId12190" ref="K12009"/>
    <hyperlink r:id="rId12191" ref="L12009"/>
    <hyperlink r:id="rId13957" ref="K12010"/>
    <hyperlink r:id="rId13958" ref="L12010"/>
    <hyperlink r:id="rId13991" ref="K12011"/>
    <hyperlink r:id="rId13992" ref="L12011"/>
    <hyperlink r:id="rId11867" ref="K12012"/>
    <hyperlink r:id="rId11868" ref="L12012"/>
    <hyperlink r:id="rId13883" ref="K12013"/>
    <hyperlink r:id="rId13884" ref="L12013"/>
    <hyperlink r:id="rId12942" ref="K12014"/>
    <hyperlink r:id="rId12943" ref="L12014"/>
    <hyperlink r:id="rId14815" ref="K12015"/>
    <hyperlink r:id="rId12873" ref="L12015"/>
    <hyperlink r:id="rId11432" ref="K12016"/>
    <hyperlink r:id="rId11433" ref="L12016"/>
    <hyperlink r:id="rId11426" ref="K12017"/>
    <hyperlink r:id="rId11427" ref="L12017"/>
    <hyperlink r:id="rId14816" ref="K12018"/>
    <hyperlink r:id="rId13849" ref="L12018"/>
    <hyperlink r:id="rId13280" ref="K12019"/>
    <hyperlink r:id="rId13281" ref="L12019"/>
    <hyperlink r:id="rId14817" ref="K12020"/>
    <hyperlink r:id="rId12672" ref="L12020"/>
    <hyperlink r:id="rId12924" ref="K12021"/>
    <hyperlink r:id="rId12925" ref="L12021"/>
    <hyperlink r:id="rId12844" ref="K12022"/>
    <hyperlink r:id="rId11545" ref="L12022"/>
    <hyperlink r:id="rId13951" ref="K12023"/>
    <hyperlink r:id="rId13952" ref="L12023"/>
    <hyperlink r:id="rId12922" ref="K12024"/>
    <hyperlink r:id="rId12923" ref="L12024"/>
    <hyperlink r:id="rId11845" ref="K12025"/>
    <hyperlink r:id="rId11846" ref="L12025"/>
    <hyperlink r:id="rId13482" ref="K12026"/>
    <hyperlink r:id="rId13483" ref="L12026"/>
    <hyperlink r:id="rId13007" ref="K12027"/>
    <hyperlink r:id="rId13008" ref="L12027"/>
    <hyperlink r:id="rId13878" ref="K12028"/>
    <hyperlink r:id="rId13832" ref="L12028"/>
    <hyperlink r:id="rId3038" ref="K12029"/>
    <hyperlink r:id="rId14818" ref="L12029"/>
    <hyperlink r:id="rId12669" ref="K12030"/>
    <hyperlink r:id="rId12670" ref="L12030"/>
    <hyperlink r:id="rId13916" ref="K12031"/>
    <hyperlink r:id="rId13917" ref="L12031"/>
    <hyperlink r:id="rId14819" ref="K12032"/>
    <hyperlink r:id="rId12166" ref="L12032"/>
    <hyperlink r:id="rId12673" ref="K12033"/>
    <hyperlink r:id="rId12674" ref="L12033"/>
    <hyperlink r:id="rId12192" ref="K12034"/>
    <hyperlink r:id="rId12193" ref="L12034"/>
    <hyperlink r:id="rId13887" ref="K12035"/>
    <hyperlink r:id="rId13888" ref="L12035"/>
    <hyperlink r:id="rId12462" ref="K12036"/>
    <hyperlink r:id="rId12463" ref="L12036"/>
    <hyperlink r:id="rId12937" ref="K12037"/>
    <hyperlink r:id="rId12938" ref="L12037"/>
    <hyperlink r:id="rId12329" ref="K12038"/>
    <hyperlink r:id="rId12330" ref="L12038"/>
    <hyperlink r:id="rId13698" ref="K12039"/>
    <hyperlink r:id="rId12919" ref="L12039"/>
    <hyperlink r:id="rId12255" ref="K12040"/>
    <hyperlink r:id="rId11605" ref="L12040"/>
    <hyperlink r:id="rId13000" ref="K12041"/>
    <hyperlink r:id="rId13001" ref="L12041"/>
    <hyperlink r:id="rId12184" ref="K12042"/>
    <hyperlink r:id="rId12185" ref="L12042"/>
    <hyperlink r:id="rId13064" ref="K12043"/>
    <hyperlink r:id="rId13065" ref="L12043"/>
    <hyperlink r:id="rId12474" ref="K12044"/>
    <hyperlink r:id="rId12475" ref="L12044"/>
    <hyperlink r:id="rId11495" ref="K12045"/>
    <hyperlink r:id="rId11496" ref="L12045"/>
    <hyperlink r:id="rId13719" ref="K12046"/>
    <hyperlink r:id="rId12767" ref="L12046"/>
    <hyperlink r:id="rId12156" ref="K12047"/>
    <hyperlink r:id="rId11629" ref="L12047"/>
    <hyperlink r:id="rId11769" ref="K12048"/>
    <hyperlink r:id="rId11770" ref="L12048"/>
    <hyperlink r:id="rId13855" ref="K12049"/>
    <hyperlink r:id="rId11392" ref="L12049"/>
    <hyperlink r:id="rId13292" ref="K12050"/>
    <hyperlink r:id="rId13293" ref="L12050"/>
    <hyperlink r:id="rId12515" ref="K12051"/>
    <hyperlink r:id="rId12516" ref="L12051"/>
    <hyperlink r:id="rId11875" ref="K12052"/>
    <hyperlink r:id="rId11876" ref="L12052"/>
    <hyperlink r:id="rId13696" ref="K12053"/>
    <hyperlink r:id="rId11603" ref="L12053"/>
    <hyperlink r:id="rId12267" ref="K12054"/>
    <hyperlink r:id="rId12268" ref="L12054"/>
    <hyperlink r:id="rId12247" ref="K12055"/>
    <hyperlink r:id="rId12248" ref="L12055"/>
    <hyperlink r:id="rId13077" ref="K12056"/>
    <hyperlink r:id="rId11666" ref="L12056"/>
    <hyperlink r:id="rId12609" ref="K12057"/>
    <hyperlink r:id="rId12610" ref="L12057"/>
    <hyperlink r:id="rId13724" ref="K12058"/>
    <hyperlink r:id="rId13725" ref="L12058"/>
    <hyperlink r:id="rId13965" ref="K12059"/>
    <hyperlink r:id="rId13966" ref="L12059"/>
    <hyperlink r:id="rId13974" ref="K12060"/>
    <hyperlink r:id="rId12726" ref="L12060"/>
    <hyperlink r:id="rId13080" ref="K12061"/>
    <hyperlink r:id="rId13081" ref="L12061"/>
    <hyperlink r:id="rId13876" ref="K12062"/>
    <hyperlink r:id="rId13877" ref="L12062"/>
    <hyperlink r:id="rId12154" ref="K12063"/>
    <hyperlink r:id="rId12155" ref="L12063"/>
    <hyperlink r:id="rId13642" ref="K12064"/>
    <hyperlink r:id="rId13643" ref="L12064"/>
    <hyperlink r:id="rId13837" ref="K12065"/>
    <hyperlink r:id="rId13838" ref="L12065"/>
    <hyperlink r:id="rId12233" ref="K12066"/>
    <hyperlink r:id="rId12234" ref="L12066"/>
    <hyperlink r:id="rId11998" ref="K12067"/>
    <hyperlink r:id="rId11999" ref="L12067"/>
    <hyperlink r:id="rId11699" ref="K12068"/>
    <hyperlink r:id="rId11700" ref="L12068"/>
    <hyperlink r:id="rId11417" ref="K12069"/>
    <hyperlink r:id="rId11418" ref="L12069"/>
    <hyperlink r:id="rId11665" ref="K12070"/>
    <hyperlink r:id="rId11666" ref="L12070"/>
    <hyperlink r:id="rId13959" ref="K12071"/>
    <hyperlink r:id="rId13960" ref="L12071"/>
    <hyperlink r:id="rId14820" ref="K12072"/>
    <hyperlink r:id="rId13200" ref="L12072"/>
    <hyperlink r:id="rId13891" ref="K12073"/>
    <hyperlink r:id="rId13892" ref="L12073"/>
    <hyperlink r:id="rId13705" ref="K12074"/>
    <hyperlink r:id="rId13706" ref="L12074"/>
    <hyperlink r:id="rId13155" ref="K12075"/>
    <hyperlink r:id="rId13156" ref="L12075"/>
    <hyperlink r:id="rId13811" ref="K12076"/>
    <hyperlink r:id="rId13812" ref="L12076"/>
    <hyperlink r:id="rId13223" ref="K12077"/>
    <hyperlink r:id="rId12406" ref="L12077"/>
    <hyperlink r:id="rId12681" ref="K12078"/>
    <hyperlink r:id="rId12682" ref="L12078"/>
    <hyperlink r:id="rId13846" ref="K12079"/>
    <hyperlink r:id="rId13847" ref="L12079"/>
    <hyperlink r:id="rId11677" ref="K12080"/>
    <hyperlink r:id="rId11678" ref="L12080"/>
    <hyperlink r:id="rId12024" ref="K12081"/>
    <hyperlink r:id="rId12025" ref="L12081"/>
    <hyperlink r:id="rId12382" ref="K12082"/>
    <hyperlink r:id="rId12383" ref="L12082"/>
    <hyperlink r:id="rId12836" ref="K12083"/>
    <hyperlink r:id="rId12837" ref="L12083"/>
    <hyperlink r:id="rId13348" ref="K12084"/>
    <hyperlink r:id="rId13053" ref="L12084"/>
    <hyperlink r:id="rId12043" ref="K12085"/>
    <hyperlink r:id="rId12044" ref="L12085"/>
    <hyperlink r:id="rId13873" ref="K12086"/>
    <hyperlink r:id="rId12040" ref="L12086"/>
    <hyperlink r:id="rId13414" ref="K12087"/>
    <hyperlink r:id="rId13415" ref="L12087"/>
    <hyperlink r:id="rId12476" ref="K12088"/>
    <hyperlink r:id="rId12477" ref="L12088"/>
    <hyperlink r:id="rId13867" ref="K12089"/>
    <hyperlink r:id="rId13868" ref="L12089"/>
    <hyperlink r:id="rId12455" ref="K12090"/>
    <hyperlink r:id="rId12456" ref="L12090"/>
    <hyperlink r:id="rId11503" ref="K12091"/>
    <hyperlink r:id="rId11504" ref="L12091"/>
    <hyperlink r:id="rId12113" ref="K12092"/>
    <hyperlink r:id="rId12114" ref="L12092"/>
    <hyperlink r:id="rId12918" ref="K12093"/>
    <hyperlink r:id="rId12919" ref="L12093"/>
    <hyperlink r:id="rId12103" ref="K12094"/>
    <hyperlink r:id="rId12104" ref="L12094"/>
    <hyperlink r:id="rId12739" ref="K12095"/>
    <hyperlink r:id="rId12740" ref="L12095"/>
    <hyperlink r:id="rId12411" ref="K12096"/>
    <hyperlink r:id="rId12412" ref="L12096"/>
    <hyperlink r:id="rId12547" ref="K12097"/>
    <hyperlink r:id="rId12548" ref="L12097"/>
    <hyperlink r:id="rId11857" ref="K12098"/>
    <hyperlink r:id="rId11858" ref="L12098"/>
    <hyperlink r:id="rId13925" ref="K12099"/>
    <hyperlink r:id="rId12084" ref="L12099"/>
    <hyperlink r:id="rId13963" ref="K12100"/>
    <hyperlink r:id="rId13964" ref="L12100"/>
    <hyperlink r:id="rId13071" ref="K12101"/>
    <hyperlink r:id="rId12793" ref="L12101"/>
    <hyperlink r:id="rId13134" ref="K12102"/>
    <hyperlink r:id="rId13010" ref="L12102"/>
    <hyperlink r:id="rId12318" ref="K12103"/>
    <hyperlink r:id="rId12319" ref="L12103"/>
    <hyperlink r:id="rId12105" ref="K12104"/>
    <hyperlink r:id="rId12106" ref="L12104"/>
    <hyperlink r:id="rId11927" ref="K12105"/>
    <hyperlink r:id="rId11928" ref="L12105"/>
    <hyperlink r:id="rId13699" ref="K12106"/>
    <hyperlink r:id="rId13700" ref="L12106"/>
    <hyperlink r:id="rId11785" ref="K12107"/>
    <hyperlink r:id="rId11786" ref="L12107"/>
    <hyperlink r:id="rId12480" ref="K12108"/>
    <hyperlink r:id="rId11696" ref="L12108"/>
    <hyperlink r:id="rId12853" ref="K12109"/>
    <hyperlink r:id="rId12854" ref="L12109"/>
    <hyperlink r:id="rId12753" ref="K12110"/>
    <hyperlink r:id="rId12754" ref="L12110"/>
    <hyperlink r:id="rId13488" ref="K12111"/>
    <hyperlink r:id="rId13489" ref="L12111"/>
    <hyperlink r:id="rId11663" ref="K12112"/>
    <hyperlink r:id="rId11664" ref="L12112"/>
    <hyperlink r:id="rId13858" ref="K12113"/>
    <hyperlink r:id="rId13859" ref="L12113"/>
    <hyperlink r:id="rId13485" ref="K12114"/>
    <hyperlink r:id="rId13486" ref="L12114"/>
    <hyperlink r:id="rId12327" ref="K12115"/>
    <hyperlink r:id="rId12328" ref="L12115"/>
    <hyperlink r:id="rId12316" ref="K12116"/>
    <hyperlink r:id="rId12317" ref="L12116"/>
    <hyperlink r:id="rId11791" ref="K12117"/>
    <hyperlink r:id="rId11792" ref="L12117"/>
    <hyperlink r:id="rId11525" ref="K12118"/>
    <hyperlink r:id="rId11526" ref="L12118"/>
    <hyperlink r:id="rId13228" ref="K12119"/>
    <hyperlink r:id="rId13229" ref="L12119"/>
    <hyperlink r:id="rId11847" ref="K12120"/>
    <hyperlink r:id="rId11848" ref="L12120"/>
    <hyperlink r:id="rId12519" ref="K12121"/>
    <hyperlink r:id="rId12520" ref="L12121"/>
    <hyperlink r:id="rId11436" ref="K12122"/>
    <hyperlink r:id="rId11437" ref="L12122"/>
    <hyperlink r:id="rId14821" ref="K12123"/>
    <hyperlink r:id="rId13158" ref="L12123"/>
    <hyperlink r:id="rId14822" ref="K12124"/>
    <hyperlink r:id="rId13283" ref="L12124"/>
    <hyperlink r:id="rId12167" ref="K12125"/>
    <hyperlink r:id="rId12168" ref="L12125"/>
    <hyperlink r:id="rId13625" ref="K12126"/>
    <hyperlink r:id="rId13626" ref="L12126"/>
    <hyperlink r:id="rId12625" ref="K12127"/>
    <hyperlink r:id="rId12626" ref="L12127"/>
    <hyperlink r:id="rId12525" ref="K12128"/>
    <hyperlink r:id="rId12526" ref="L12128"/>
    <hyperlink r:id="rId12101" ref="K12129"/>
    <hyperlink r:id="rId12102" ref="L12129"/>
    <hyperlink r:id="rId12478" ref="K12130"/>
    <hyperlink r:id="rId12479" ref="L12130"/>
    <hyperlink r:id="rId13860" ref="K12131"/>
    <hyperlink r:id="rId13861" ref="L12131"/>
    <hyperlink r:id="rId11996" ref="K12132"/>
    <hyperlink r:id="rId14823" ref="L12132"/>
    <hyperlink r:id="rId13922" ref="K12133"/>
    <hyperlink r:id="rId13033" ref="L12133"/>
    <hyperlink r:id="rId11501" ref="K12134"/>
    <hyperlink r:id="rId11502" ref="L12134"/>
    <hyperlink r:id="rId11671" ref="K12135"/>
    <hyperlink r:id="rId11672" ref="L12135"/>
    <hyperlink r:id="rId12551" ref="K12136"/>
    <hyperlink r:id="rId11644" ref="L12136"/>
    <hyperlink r:id="rId13949" ref="K12137"/>
    <hyperlink r:id="rId13950" ref="L12137"/>
    <hyperlink r:id="rId13701" ref="K12138"/>
    <hyperlink r:id="rId11969" ref="L12138"/>
    <hyperlink r:id="rId13371" ref="K12139"/>
    <hyperlink r:id="rId13372" ref="L12139"/>
    <hyperlink r:id="rId11703" ref="K12140"/>
    <hyperlink r:id="rId11704" ref="L12140"/>
    <hyperlink r:id="rId13813" ref="K12141"/>
    <hyperlink r:id="rId13814" ref="L12141"/>
    <hyperlink r:id="rId12320" ref="K12142"/>
    <hyperlink r:id="rId12321" ref="L12142"/>
    <hyperlink r:id="rId13277" ref="K12143"/>
    <hyperlink r:id="rId12959" ref="L12143"/>
    <hyperlink r:id="rId14824" ref="K12144"/>
    <hyperlink r:id="rId14825" ref="L12144"/>
    <hyperlink r:id="rId13420" ref="K12145"/>
    <hyperlink r:id="rId13421" ref="L12145"/>
    <hyperlink r:id="rId11673" ref="K12146"/>
    <hyperlink r:id="rId11674" ref="L12146"/>
    <hyperlink r:id="rId13781" ref="K12147"/>
    <hyperlink r:id="rId13782" ref="L12147"/>
    <hyperlink r:id="rId11982" ref="K12148"/>
    <hyperlink r:id="rId11983" ref="L12148"/>
    <hyperlink r:id="rId11990" ref="K12149"/>
    <hyperlink r:id="rId11991" ref="L12149"/>
    <hyperlink r:id="rId11984" ref="K12150"/>
    <hyperlink r:id="rId11985" ref="L12150"/>
    <hyperlink r:id="rId14826" ref="K12151"/>
    <hyperlink r:id="rId14827" ref="L12151"/>
    <hyperlink r:id="rId11574" ref="K12152"/>
    <hyperlink r:id="rId11575" ref="L12152"/>
    <hyperlink r:id="rId11781" ref="K12153"/>
    <hyperlink r:id="rId11782" ref="L12153"/>
    <hyperlink r:id="rId13851" ref="K12154"/>
    <hyperlink r:id="rId13852" ref="L12154"/>
    <hyperlink r:id="rId13889" ref="K12155"/>
    <hyperlink r:id="rId13890" ref="L12155"/>
    <hyperlink r:id="rId12194" ref="K12156"/>
    <hyperlink r:id="rId12195" ref="L12156"/>
    <hyperlink r:id="rId13979" ref="K12157"/>
    <hyperlink r:id="rId13980" ref="L12157"/>
    <hyperlink r:id="rId11839" ref="K12158"/>
    <hyperlink r:id="rId11840" ref="L12158"/>
    <hyperlink r:id="rId11691" ref="K12159"/>
    <hyperlink r:id="rId11692" ref="L12159"/>
    <hyperlink r:id="rId12451" ref="K12160"/>
    <hyperlink r:id="rId12452" ref="L12160"/>
    <hyperlink r:id="rId14828" ref="K12161"/>
    <hyperlink r:id="rId14829" ref="L12161"/>
    <hyperlink r:id="rId12179" ref="K12162"/>
    <hyperlink r:id="rId12180" ref="L12162"/>
    <hyperlink r:id="rId11513" ref="K12163"/>
    <hyperlink r:id="rId11514" ref="L12163"/>
    <hyperlink r:id="rId12735" ref="K12164"/>
    <hyperlink r:id="rId12736" ref="L12164"/>
    <hyperlink r:id="rId13416" ref="K12165"/>
    <hyperlink r:id="rId13417" ref="L12165"/>
    <hyperlink r:id="rId13015" ref="K12166"/>
    <hyperlink r:id="rId13016" ref="L12166"/>
    <hyperlink r:id="rId13115" ref="K12167"/>
    <hyperlink r:id="rId13116" ref="L12167"/>
    <hyperlink r:id="rId13510" ref="K12168"/>
    <hyperlink r:id="rId13511" ref="L12168"/>
    <hyperlink r:id="rId11415" ref="K12169"/>
    <hyperlink r:id="rId11416" ref="L12169"/>
    <hyperlink r:id="rId11931" ref="K12170"/>
    <hyperlink r:id="rId11932" ref="L12170"/>
    <hyperlink r:id="rId13431" ref="K12171"/>
    <hyperlink r:id="rId13432" ref="L12171"/>
    <hyperlink r:id="rId13885" ref="K12172"/>
    <hyperlink r:id="rId13886" ref="L12172"/>
    <hyperlink r:id="rId12761" ref="K12173"/>
    <hyperlink r:id="rId11874" ref="L12173"/>
    <hyperlink r:id="rId12095" ref="K12174"/>
    <hyperlink r:id="rId12096" ref="L12174"/>
    <hyperlink r:id="rId12093" ref="K12175"/>
    <hyperlink r:id="rId12094" ref="L12175"/>
    <hyperlink r:id="rId12026" ref="E12176"/>
    <hyperlink r:id="rId12027" ref="K12176"/>
    <hyperlink r:id="rId12028" ref="L12176"/>
    <hyperlink r:id="rId13481" ref="K12177"/>
    <hyperlink r:id="rId13092" ref="L12177"/>
    <hyperlink r:id="rId13893" ref="K12178"/>
    <hyperlink r:id="rId13894" ref="L12178"/>
    <hyperlink r:id="rId13623" ref="K12179"/>
    <hyperlink r:id="rId11719" ref="L12179"/>
    <hyperlink r:id="rId13113" ref="K12180"/>
    <hyperlink r:id="rId13114" ref="L12180"/>
    <hyperlink r:id="rId12939" ref="K12181"/>
    <hyperlink r:id="rId12769" ref="L12181"/>
    <hyperlink r:id="rId11941" ref="K12182"/>
    <hyperlink r:id="rId11942" ref="L12182"/>
    <hyperlink r:id="rId13869" ref="K12183"/>
    <hyperlink r:id="rId13870" ref="L12183"/>
    <hyperlink r:id="rId13902" ref="K12184"/>
    <hyperlink r:id="rId13903" ref="L12184"/>
    <hyperlink r:id="rId13835" ref="K12185"/>
    <hyperlink r:id="rId13836" ref="L12185"/>
    <hyperlink r:id="rId13975" ref="K12186"/>
    <hyperlink r:id="rId13976" ref="L12186"/>
    <hyperlink r:id="rId12834" ref="K12187"/>
    <hyperlink r:id="rId12835" ref="L12187"/>
    <hyperlink r:id="rId13361" ref="K12188"/>
    <hyperlink r:id="rId13362" ref="L12188"/>
    <hyperlink r:id="rId13619" ref="K12189"/>
    <hyperlink r:id="rId13620" ref="L12189"/>
    <hyperlink r:id="rId11923" ref="K12190"/>
    <hyperlink r:id="rId11924" ref="L12190"/>
    <hyperlink r:id="rId13435" ref="K12191"/>
    <hyperlink r:id="rId13436" ref="L12191"/>
    <hyperlink r:id="rId13940" ref="K12192"/>
    <hyperlink r:id="rId13847" ref="L12192"/>
    <hyperlink r:id="rId12442" ref="K12193"/>
    <hyperlink r:id="rId11545" ref="L12193"/>
    <hyperlink r:id="rId13709" ref="K12194"/>
    <hyperlink r:id="rId13710" ref="L12194"/>
    <hyperlink r:id="rId13288" ref="K12195"/>
    <hyperlink r:id="rId13289" ref="L12195"/>
    <hyperlink r:id="rId13908" ref="K12196"/>
    <hyperlink r:id="rId13909" ref="L12196"/>
    <hyperlink r:id="rId12545" ref="K12197"/>
    <hyperlink r:id="rId12546" ref="L12197"/>
    <hyperlink r:id="rId11873" ref="K12198"/>
    <hyperlink r:id="rId11874" ref="L12198"/>
    <hyperlink r:id="rId13418" ref="K12199"/>
    <hyperlink r:id="rId13419" ref="L12199"/>
    <hyperlink r:id="rId13153" ref="K12200"/>
    <hyperlink r:id="rId13154" ref="L12200"/>
    <hyperlink r:id="rId13695" ref="K12201"/>
    <hyperlink r:id="rId13521" ref="L12201"/>
    <hyperlink r:id="rId13120" ref="K12202"/>
    <hyperlink r:id="rId12385" ref="L12202"/>
    <hyperlink r:id="rId12405" ref="K12203"/>
    <hyperlink r:id="rId12406" ref="L12203"/>
    <hyperlink r:id="rId13879" ref="K12204"/>
    <hyperlink r:id="rId13880" ref="L12204"/>
    <hyperlink r:id="rId12331" ref="K12205"/>
    <hyperlink r:id="rId12332" ref="L12205"/>
    <hyperlink r:id="rId11592" ref="K12206"/>
    <hyperlink r:id="rId11593" ref="L12206"/>
    <hyperlink r:id="rId12261" ref="K12207"/>
    <hyperlink r:id="rId12262" ref="L12207"/>
    <hyperlink r:id="rId11507" ref="K12208"/>
    <hyperlink r:id="rId11508" ref="L12208"/>
    <hyperlink r:id="rId13983" ref="K12209"/>
    <hyperlink r:id="rId13984" ref="L12209"/>
    <hyperlink r:id="rId14830" ref="K12210"/>
    <hyperlink r:id="rId14831" ref="L12210"/>
    <hyperlink r:id="rId13345" ref="K12211"/>
    <hyperlink r:id="rId13346" ref="L12211"/>
    <hyperlink r:id="rId12335" ref="K12212"/>
    <hyperlink r:id="rId12336" ref="L12212"/>
    <hyperlink r:id="rId12378" ref="K12213"/>
    <hyperlink r:id="rId12379" ref="L12213"/>
    <hyperlink r:id="rId14832" ref="K12214"/>
    <hyperlink r:id="rId14833" ref="L12214"/>
    <hyperlink r:id="rId11755" ref="K12215"/>
    <hyperlink r:id="rId11756" ref="L12215"/>
    <hyperlink r:id="rId12675" ref="K12216"/>
    <hyperlink r:id="rId12676" ref="L12216"/>
    <hyperlink r:id="rId12683" ref="K12217"/>
    <hyperlink r:id="rId12684" ref="L12217"/>
    <hyperlink r:id="rId12830" ref="K12218"/>
    <hyperlink r:id="rId12831" ref="L12218"/>
    <hyperlink r:id="rId13906" ref="K12219"/>
    <hyperlink r:id="rId13907" ref="L12219"/>
    <hyperlink r:id="rId11421" ref="K12220"/>
    <hyperlink r:id="rId11422" ref="L12220"/>
    <hyperlink r:id="rId11423" ref="Q12220"/>
    <hyperlink r:id="rId13487" ref="K12221"/>
    <hyperlink r:id="rId13020" ref="L12221"/>
    <hyperlink r:id="rId11568" ref="K12222"/>
    <hyperlink r:id="rId11569" ref="L12222"/>
    <hyperlink r:id="rId12917" ref="K12223"/>
    <hyperlink r:id="rId12423" ref="L12223"/>
    <hyperlink r:id="rId11859" ref="K12224"/>
    <hyperlink r:id="rId11860" ref="L12224"/>
    <hyperlink r:id="rId12517" ref="K12225"/>
    <hyperlink r:id="rId12518" ref="L12225"/>
    <hyperlink r:id="rId12097" ref="K12226"/>
    <hyperlink r:id="rId12098" ref="L12226"/>
    <hyperlink r:id="rId11675" ref="K12227"/>
    <hyperlink r:id="rId11676" ref="L12227"/>
    <hyperlink r:id="rId12322" ref="K12228"/>
    <hyperlink r:id="rId12323" ref="L12228"/>
    <hyperlink r:id="rId12936" ref="K12229"/>
    <hyperlink r:id="rId11637" ref="L12229"/>
    <hyperlink r:id="rId11487" ref="K12230"/>
    <hyperlink r:id="rId11488" ref="L12230"/>
    <hyperlink r:id="rId13864" ref="K12231"/>
    <hyperlink r:id="rId12218" ref="L12231"/>
    <hyperlink r:id="rId11576" ref="K12232"/>
    <hyperlink r:id="rId11577" ref="L12232"/>
    <hyperlink r:id="rId13627" ref="K12233"/>
    <hyperlink r:id="rId12123" ref="L12233"/>
    <hyperlink r:id="rId13002" ref="K12234"/>
    <hyperlink r:id="rId12168" ref="L12234"/>
    <hyperlink r:id="rId13209" ref="K12235"/>
    <hyperlink r:id="rId13210" ref="L12235"/>
    <hyperlink r:id="rId12163" ref="K12236"/>
    <hyperlink r:id="rId12164" ref="L12236"/>
    <hyperlink r:id="rId12109" ref="K12237"/>
    <hyperlink r:id="rId12110" ref="L12237"/>
    <hyperlink r:id="rId12386" ref="K12238"/>
    <hyperlink r:id="rId12387" ref="L12238"/>
    <hyperlink r:id="rId13561" ref="K12239"/>
    <hyperlink r:id="rId11637" ref="L12239"/>
    <hyperlink r:id="rId13823" ref="K12240"/>
    <hyperlink r:id="rId13824" ref="L12240"/>
    <hyperlink r:id="rId13636" ref="K12241"/>
    <hyperlink r:id="rId13637" ref="L12241"/>
    <hyperlink r:id="rId12122" ref="K12242"/>
    <hyperlink r:id="rId12123" ref="L12242"/>
    <hyperlink r:id="rId12161" ref="K12243"/>
    <hyperlink r:id="rId12162" ref="L12243"/>
    <hyperlink r:id="rId12529" ref="K12244"/>
    <hyperlink r:id="rId12530" ref="L12244"/>
    <hyperlink r:id="rId13971" ref="K12245"/>
    <hyperlink r:id="rId11874" ref="L12245"/>
    <hyperlink r:id="rId12851" ref="K12246"/>
    <hyperlink r:id="rId12852" ref="L12246"/>
    <hyperlink r:id="rId14067" ref="K12247"/>
    <hyperlink r:id="rId14068" ref="L12247"/>
    <hyperlink r:id="rId12539" ref="K12248"/>
    <hyperlink r:id="rId12540" ref="L12248"/>
    <hyperlink r:id="rId13862" ref="K12249"/>
    <hyperlink r:id="rId13863" ref="L12249"/>
    <hyperlink r:id="rId13161" ref="K12250"/>
    <hyperlink r:id="rId13162" ref="L12250"/>
    <hyperlink r:id="rId11795" ref="K12251"/>
    <hyperlink r:id="rId11796" ref="L12251"/>
    <hyperlink r:id="rId11761" ref="K12252"/>
    <hyperlink r:id="rId11762" ref="L12252"/>
    <hyperlink r:id="rId13078" ref="K12253"/>
    <hyperlink r:id="rId13079" ref="L12253"/>
    <hyperlink r:id="rId13508" ref="K12254"/>
    <hyperlink r:id="rId13509" ref="L12254"/>
    <hyperlink r:id="rId13934" ref="K12255"/>
    <hyperlink r:id="rId13935" ref="L12255"/>
    <hyperlink r:id="rId12395" ref="K12256"/>
    <hyperlink r:id="rId11932" ref="L12256"/>
    <hyperlink r:id="rId12235" ref="K12257"/>
    <hyperlink r:id="rId12236" ref="L12257"/>
    <hyperlink r:id="rId12472" ref="K12258"/>
    <hyperlink r:id="rId12473" ref="L12258"/>
    <hyperlink r:id="rId13930" ref="K12259"/>
    <hyperlink r:id="rId13931" ref="L12259"/>
    <hyperlink r:id="rId14834" ref="K12260"/>
    <hyperlink r:id="rId13946" ref="L12260"/>
    <hyperlink r:id="rId12940" ref="K12261"/>
    <hyperlink r:id="rId12941" ref="L12261"/>
    <hyperlink r:id="rId12107" ref="K12262"/>
    <hyperlink r:id="rId12108" ref="L12262"/>
    <hyperlink r:id="rId13119" ref="K12263"/>
    <hyperlink r:id="rId11751" ref="L12263"/>
    <hyperlink r:id="rId12026" ref="E12264"/>
    <hyperlink r:id="rId13850" ref="K12264"/>
    <hyperlink r:id="rId12028" ref="L12264"/>
    <hyperlink r:id="rId14835" ref="K12265"/>
    <hyperlink r:id="rId11581" ref="L12265"/>
    <hyperlink r:id="rId13500" ref="K12266"/>
    <hyperlink r:id="rId13501" ref="L12266"/>
    <hyperlink r:id="rId11434" ref="K12267"/>
    <hyperlink r:id="rId11435" ref="L12267"/>
    <hyperlink r:id="rId11679" ref="K12268"/>
    <hyperlink r:id="rId11680" ref="L12268"/>
    <hyperlink r:id="rId13856" ref="K12269"/>
    <hyperlink r:id="rId13857" ref="L12269"/>
    <hyperlink r:id="rId13163" ref="K12270"/>
    <hyperlink r:id="rId13164" ref="L12270"/>
    <hyperlink r:id="rId12470" ref="K12271"/>
    <hyperlink r:id="rId12471" ref="L12271"/>
    <hyperlink r:id="rId13005" ref="K12272"/>
    <hyperlink r:id="rId13006" ref="L12272"/>
    <hyperlink r:id="rId13505" ref="K12273"/>
    <hyperlink r:id="rId12383" ref="L12273"/>
    <hyperlink r:id="rId13355" ref="K12274"/>
    <hyperlink r:id="rId12142" ref="L12274"/>
    <hyperlink r:id="rId13072" ref="K12275"/>
    <hyperlink r:id="rId13073" ref="L12275"/>
    <hyperlink r:id="rId12596" ref="K12276"/>
    <hyperlink r:id="rId12597" ref="L12276"/>
    <hyperlink r:id="rId11695" ref="K12277"/>
    <hyperlink r:id="rId11696" ref="L12277"/>
    <hyperlink r:id="rId13074" ref="K12278"/>
    <hyperlink r:id="rId12546" ref="L12278"/>
    <hyperlink r:id="rId11757" ref="K12279"/>
    <hyperlink r:id="rId11758" ref="L12279"/>
    <hyperlink r:id="rId13356" ref="K12280"/>
    <hyperlink r:id="rId13357" ref="L12280"/>
    <hyperlink r:id="rId13358" ref="K12281"/>
    <hyperlink r:id="rId13192" ref="L12281"/>
    <hyperlink r:id="rId14836" ref="K12282"/>
    <hyperlink r:id="rId13942" ref="L12282"/>
    <hyperlink r:id="rId13831" ref="K12283"/>
    <hyperlink r:id="rId13832" ref="L12283"/>
    <hyperlink r:id="rId12022" ref="K12284"/>
    <hyperlink r:id="rId11938" ref="L12284"/>
    <hyperlink r:id="rId12404" ref="K12285"/>
    <hyperlink r:id="rId12050" ref="L12285"/>
    <hyperlink r:id="rId12376" ref="K12286"/>
    <hyperlink r:id="rId12377" ref="L12286"/>
    <hyperlink r:id="rId14837" ref="K12287"/>
    <hyperlink r:id="rId11541" ref="L12287"/>
    <hyperlink r:id="rId12691" ref="K12288"/>
    <hyperlink r:id="rId12692" ref="L12288"/>
    <hyperlink r:id="rId12380" ref="K12289"/>
    <hyperlink r:id="rId12381" ref="L12289"/>
    <hyperlink r:id="rId12832" ref="K12290"/>
    <hyperlink r:id="rId12833" ref="L12290"/>
    <hyperlink r:id="rId13912" ref="K12291"/>
    <hyperlink r:id="rId13913" ref="L12291"/>
    <hyperlink r:id="rId12549" ref="K12292"/>
    <hyperlink r:id="rId12550" ref="L12292"/>
    <hyperlink r:id="rId12388" ref="K12293"/>
    <hyperlink r:id="rId11967" ref="L12293"/>
    <hyperlink r:id="rId13981" ref="K12294"/>
    <hyperlink r:id="rId13982" ref="L12294"/>
    <hyperlink r:id="rId13221" ref="K12295"/>
    <hyperlink r:id="rId13222" ref="L12295"/>
    <hyperlink r:id="rId5048" ref="K12296"/>
    <hyperlink r:id="rId14838" ref="L12296"/>
    <hyperlink r:id="rId13437" ref="K12297"/>
    <hyperlink r:id="rId13438" ref="L12297"/>
    <hyperlink r:id="rId13439" ref="K12298"/>
    <hyperlink r:id="rId13440" ref="L12298"/>
    <hyperlink r:id="rId11489" ref="K12299"/>
    <hyperlink r:id="rId11490" ref="L12299"/>
    <hyperlink r:id="rId12838" ref="K12300"/>
    <hyperlink r:id="rId12839" ref="L12300"/>
    <hyperlink r:id="rId13549" ref="K12301"/>
    <hyperlink r:id="rId13550" ref="L12301"/>
    <hyperlink r:id="rId13874" ref="K12302"/>
    <hyperlink r:id="rId13875" ref="L12302"/>
    <hyperlink r:id="rId13773" ref="K12303"/>
    <hyperlink r:id="rId13774" ref="L12303"/>
    <hyperlink r:id="rId13697" ref="K12304"/>
    <hyperlink r:id="rId11749" ref="L12304"/>
    <hyperlink r:id="rId13369" ref="K12305"/>
    <hyperlink r:id="rId13370" ref="L12305"/>
    <hyperlink r:id="rId13363" ref="K12306"/>
    <hyperlink r:id="rId13364" ref="L12306"/>
    <hyperlink r:id="rId13353" ref="K12307"/>
    <hyperlink r:id="rId13354" ref="L12307"/>
    <hyperlink r:id="rId12443" ref="K12308"/>
    <hyperlink r:id="rId12444" ref="L12308"/>
    <hyperlink r:id="rId13967" ref="K12309"/>
    <hyperlink r:id="rId13968" ref="L12309"/>
    <hyperlink r:id="rId11596" ref="K12310"/>
    <hyperlink r:id="rId11597" ref="L12310"/>
    <hyperlink r:id="rId11748" ref="K12311"/>
    <hyperlink r:id="rId11749" ref="L12311"/>
    <hyperlink r:id="rId11865" ref="K12312"/>
    <hyperlink r:id="rId11866" ref="L12312"/>
    <hyperlink r:id="rId11604" ref="K12313"/>
    <hyperlink r:id="rId11605" ref="L12313"/>
    <hyperlink r:id="rId13808" ref="K12314"/>
    <hyperlink r:id="rId13760" ref="L12314"/>
    <hyperlink r:id="rId11869" ref="K12315"/>
    <hyperlink r:id="rId11870" ref="L12315"/>
    <hyperlink r:id="rId11783" ref="K12316"/>
    <hyperlink r:id="rId11784" ref="L12316"/>
    <hyperlink r:id="rId13551" ref="K12317"/>
    <hyperlink r:id="rId13552" ref="L12317"/>
    <hyperlink r:id="rId11767" ref="K12318"/>
    <hyperlink r:id="rId11768" ref="L12318"/>
    <hyperlink r:id="rId13821" ref="K12319"/>
    <hyperlink r:id="rId13822" ref="L12319"/>
    <hyperlink r:id="rId12407" ref="K12320"/>
    <hyperlink r:id="rId12408" ref="L12320"/>
    <hyperlink r:id="rId12445" ref="K12321"/>
    <hyperlink r:id="rId12446" ref="L12321"/>
    <hyperlink r:id="rId13969" ref="K12322"/>
    <hyperlink r:id="rId14839" ref="L12322"/>
    <hyperlink r:id="rId12039" ref="K12323"/>
    <hyperlink r:id="rId12040" ref="L12323"/>
    <hyperlink r:id="rId13638" ref="K12324"/>
    <hyperlink r:id="rId13639" ref="L12324"/>
    <hyperlink r:id="rId11669" ref="K12325"/>
    <hyperlink r:id="rId11670" ref="L12325"/>
    <hyperlink r:id="rId13805" ref="K12326"/>
    <hyperlink r:id="rId13473" ref="L12326"/>
    <hyperlink r:id="rId13904" ref="K12327"/>
    <hyperlink r:id="rId13905" ref="L12327"/>
    <hyperlink r:id="rId11511" ref="K12328"/>
    <hyperlink r:id="rId11512" ref="L12328"/>
    <hyperlink r:id="rId13914" ref="K12329"/>
    <hyperlink r:id="rId13915" ref="L12329"/>
    <hyperlink r:id="rId13286" ref="K12330"/>
    <hyperlink r:id="rId13287" ref="L12330"/>
    <hyperlink r:id="rId14840" ref="K12331"/>
    <hyperlink r:id="rId14068" ref="L12331"/>
    <hyperlink r:id="rId12041" ref="K12332"/>
    <hyperlink r:id="rId12042" ref="L12332"/>
    <hyperlink r:id="rId11667" ref="K12333"/>
    <hyperlink r:id="rId11668" ref="L12333"/>
    <hyperlink r:id="rId12481" ref="K12334"/>
    <hyperlink r:id="rId12482" ref="L12334"/>
    <hyperlink r:id="rId11584" ref="K12335"/>
    <hyperlink r:id="rId11585" ref="L12335"/>
    <hyperlink r:id="rId12037" ref="K12336"/>
    <hyperlink r:id="rId12038" ref="L12336"/>
    <hyperlink r:id="rId12906" ref="K12337"/>
    <hyperlink r:id="rId11808" ref="L12337"/>
    <hyperlink r:id="rId13351" ref="K12338"/>
    <hyperlink r:id="rId13352" ref="L12338"/>
    <hyperlink r:id="rId11953" ref="K12339"/>
    <hyperlink r:id="rId11954" ref="L12339"/>
    <hyperlink r:id="rId12384" ref="K12340"/>
    <hyperlink r:id="rId12385" ref="L12340"/>
    <hyperlink r:id="rId11750" ref="K12341"/>
    <hyperlink r:id="rId11751" ref="L12341"/>
    <hyperlink r:id="rId12263" ref="K12342"/>
    <hyperlink r:id="rId12264" ref="L12342"/>
    <hyperlink r:id="rId12604" ref="K12343"/>
    <hyperlink r:id="rId12605" ref="L12343"/>
    <hyperlink r:id="rId12177" ref="K12344"/>
    <hyperlink r:id="rId12178" ref="L12344"/>
    <hyperlink r:id="rId13275" ref="K12345"/>
    <hyperlink r:id="rId13276" ref="L12345"/>
    <hyperlink r:id="rId13009" ref="K12346"/>
    <hyperlink r:id="rId13010" ref="L12346"/>
    <hyperlink r:id="rId11994" ref="K12347"/>
    <hyperlink r:id="rId11995" ref="L12347"/>
    <hyperlink r:id="rId13897" ref="K12348"/>
    <hyperlink r:id="rId12248" ref="L12348"/>
    <hyperlink r:id="rId13141" ref="K12349"/>
    <hyperlink r:id="rId13142" ref="L12349"/>
    <hyperlink r:id="rId13504" ref="K12350"/>
    <hyperlink r:id="rId12473" ref="L12350"/>
    <hyperlink r:id="rId13953" ref="K12351"/>
    <hyperlink r:id="rId13954" ref="L12351"/>
    <hyperlink r:id="rId13013" ref="K12352"/>
    <hyperlink r:id="rId13014" ref="L12352"/>
    <hyperlink r:id="rId12995" ref="K12353"/>
    <hyperlink r:id="rId12996" ref="L12353"/>
    <hyperlink r:id="rId13819" ref="K12354"/>
    <hyperlink r:id="rId13820" ref="L12354"/>
    <hyperlink r:id="rId13067" ref="K12355"/>
    <hyperlink r:id="rId13068" ref="L12355"/>
    <hyperlink r:id="rId14841" ref="K12356"/>
    <hyperlink r:id="rId14842" ref="L12356"/>
    <hyperlink r:id="rId11951" ref="K12357"/>
    <hyperlink r:id="rId11952" ref="L12357"/>
    <hyperlink r:id="rId11863" ref="K12358"/>
    <hyperlink r:id="rId11864" ref="L12358"/>
    <hyperlink r:id="rId13829" ref="K12359"/>
    <hyperlink r:id="rId13830" ref="L12359"/>
    <hyperlink r:id="rId13853" ref="K12360"/>
    <hyperlink r:id="rId13854" ref="L12360"/>
    <hyperlink r:id="rId11939" ref="K12361"/>
    <hyperlink r:id="rId14843" ref="L12361"/>
    <hyperlink r:id="rId12486" ref="K12362"/>
    <hyperlink r:id="rId11995" ref="L12362"/>
    <hyperlink r:id="rId13017" ref="K12363"/>
    <hyperlink r:id="rId13018" ref="L12363"/>
    <hyperlink r:id="rId12240" ref="K12364"/>
    <hyperlink r:id="rId11770" ref="L12364"/>
    <hyperlink r:id="rId14844" ref="K12369"/>
    <hyperlink r:id="rId14845" ref="L12369"/>
    <hyperlink r:id="rId14846" ref="K12370"/>
    <hyperlink r:id="rId14847" ref="L12370"/>
    <hyperlink r:id="rId14848" ref="K12371"/>
    <hyperlink r:id="rId14849" ref="L12371"/>
    <hyperlink r:id="rId14850" ref="K12372"/>
    <hyperlink r:id="rId14851" ref="L12372"/>
    <hyperlink r:id="rId14852" ref="K12373"/>
    <hyperlink r:id="rId14853" ref="L12373"/>
    <hyperlink r:id="rId14854" ref="K12374"/>
    <hyperlink r:id="rId14855" ref="L12374"/>
    <hyperlink r:id="rId14856" ref="K12375"/>
    <hyperlink r:id="rId14857" ref="L12375"/>
    <hyperlink r:id="rId14858" ref="K12376"/>
    <hyperlink r:id="rId14857" ref="L12376"/>
    <hyperlink r:id="rId14859" ref="K12377"/>
    <hyperlink r:id="rId14860" ref="L12377"/>
    <hyperlink r:id="rId14861" ref="K12378"/>
    <hyperlink r:id="rId14857" ref="L12378"/>
    <hyperlink r:id="rId14862" ref="K12379"/>
    <hyperlink r:id="rId14863" ref="L12379"/>
    <hyperlink r:id="rId14864" ref="K12380"/>
    <hyperlink r:id="rId14865" ref="L12380"/>
    <hyperlink r:id="rId14866" ref="K12381"/>
    <hyperlink r:id="rId14867" ref="L12381"/>
    <hyperlink r:id="rId14868" ref="K12382"/>
    <hyperlink r:id="rId14869" ref="L12382"/>
    <hyperlink r:id="rId14870" ref="K12383"/>
    <hyperlink r:id="rId14871" ref="L12383"/>
    <hyperlink r:id="rId14872" ref="K12384"/>
    <hyperlink r:id="rId14873" ref="L12384"/>
    <hyperlink r:id="rId14874" ref="K12385"/>
    <hyperlink r:id="rId14875" ref="L12385"/>
    <hyperlink r:id="rId14876" ref="K12386"/>
    <hyperlink r:id="rId14877" ref="L12386"/>
    <hyperlink r:id="rId14878" ref="K12387"/>
    <hyperlink r:id="rId14879" ref="L12387"/>
    <hyperlink r:id="rId14880" ref="K12388"/>
    <hyperlink r:id="rId14881" ref="L12388"/>
    <hyperlink r:id="rId14882" ref="K12389"/>
    <hyperlink r:id="rId14883" ref="L12389"/>
    <hyperlink r:id="rId14884" ref="K12390"/>
    <hyperlink r:id="rId14885" ref="L12390"/>
    <hyperlink r:id="rId14886" ref="K12391"/>
    <hyperlink r:id="rId14887" ref="L12391"/>
    <hyperlink r:id="rId14888" ref="K12392"/>
    <hyperlink r:id="rId14889" ref="L12392"/>
    <hyperlink r:id="rId14890" ref="K12393"/>
    <hyperlink r:id="rId14891" ref="L12393"/>
    <hyperlink r:id="rId14892" ref="K12394"/>
    <hyperlink r:id="rId14893" ref="L12394"/>
    <hyperlink r:id="rId14894" ref="K12395"/>
    <hyperlink r:id="rId14895" ref="L12395"/>
    <hyperlink r:id="rId14896" ref="K12396"/>
    <hyperlink r:id="rId14897" ref="L12396"/>
    <hyperlink r:id="rId14898" ref="K12397"/>
    <hyperlink r:id="rId14899" ref="L12397"/>
    <hyperlink r:id="rId14900" ref="K12398"/>
    <hyperlink r:id="rId14901" ref="L12398"/>
    <hyperlink r:id="rId14902" ref="K12399"/>
    <hyperlink r:id="rId14903" ref="L12399"/>
    <hyperlink r:id="rId14904" ref="K12400"/>
    <hyperlink r:id="rId14905" ref="L12400"/>
    <hyperlink r:id="rId14906" ref="K12401"/>
    <hyperlink r:id="rId14907" ref="L12401"/>
    <hyperlink r:id="rId14908" ref="K12402"/>
    <hyperlink r:id="rId14909" ref="L12402"/>
    <hyperlink r:id="rId14910" ref="K12403"/>
    <hyperlink r:id="rId14911" ref="L12403"/>
    <hyperlink r:id="rId14912" ref="K12404"/>
    <hyperlink r:id="rId14913" ref="L12404"/>
    <hyperlink r:id="rId14914" ref="K12405"/>
    <hyperlink r:id="rId14915" ref="L12405"/>
    <hyperlink r:id="rId14916" ref="K12406"/>
    <hyperlink r:id="rId14917" ref="L12406"/>
    <hyperlink r:id="rId14918" ref="K12407"/>
    <hyperlink r:id="rId14919" ref="L12407"/>
    <hyperlink r:id="rId14920" ref="K12408"/>
    <hyperlink r:id="rId14921" ref="L12408"/>
    <hyperlink r:id="rId14922" ref="K12409"/>
    <hyperlink r:id="rId14923" ref="L12409"/>
    <hyperlink r:id="rId14924" ref="K12410"/>
    <hyperlink r:id="rId14925" ref="L12410"/>
    <hyperlink r:id="rId14926" ref="K12411"/>
    <hyperlink r:id="rId14927" ref="L12411"/>
    <hyperlink r:id="rId14928" ref="K12412"/>
    <hyperlink r:id="rId14929" ref="L12412"/>
    <hyperlink r:id="rId14930" ref="K12413"/>
    <hyperlink r:id="rId14905" ref="L12413"/>
    <hyperlink r:id="rId14931" ref="K12414"/>
    <hyperlink r:id="rId14932" ref="L12414"/>
    <hyperlink r:id="rId14933" ref="K12415"/>
    <hyperlink r:id="rId14934" ref="L12415"/>
    <hyperlink r:id="rId14935" ref="K12416"/>
    <hyperlink r:id="rId14936" ref="L12416"/>
    <hyperlink r:id="rId14937" ref="K12417"/>
    <hyperlink r:id="rId14938" ref="L12417"/>
    <hyperlink r:id="rId14939" ref="K12418"/>
    <hyperlink r:id="rId14940" ref="L12418"/>
    <hyperlink r:id="rId14941" ref="K12419"/>
    <hyperlink r:id="rId14942" ref="K12420"/>
    <hyperlink r:id="rId14943" ref="L12420"/>
    <hyperlink r:id="rId14944" ref="K12421"/>
    <hyperlink r:id="rId14945" ref="L12421"/>
    <hyperlink r:id="rId14946" ref="K12422"/>
    <hyperlink r:id="rId14947" ref="L12422"/>
    <hyperlink r:id="rId14948" ref="K12423"/>
    <hyperlink r:id="rId14949" ref="L12423"/>
    <hyperlink r:id="rId14950" ref="K12424"/>
    <hyperlink r:id="rId14951" ref="L12424"/>
    <hyperlink r:id="rId14952" ref="K12425"/>
    <hyperlink r:id="rId14951" ref="L12425"/>
    <hyperlink r:id="rId14953" ref="K12426"/>
    <hyperlink r:id="rId14938" ref="L12426"/>
    <hyperlink r:id="rId14954" ref="K12427"/>
    <hyperlink r:id="rId14955" ref="L12427"/>
    <hyperlink r:id="rId14956" ref="K12428"/>
    <hyperlink r:id="rId14957" ref="L12428"/>
    <hyperlink r:id="rId14958" ref="K12429"/>
    <hyperlink r:id="rId14959" ref="L12429"/>
    <hyperlink r:id="rId14960" ref="K12430"/>
    <hyperlink r:id="rId14961" ref="L12430"/>
    <hyperlink r:id="rId14962" ref="K12431"/>
    <hyperlink r:id="rId14887" ref="L12431"/>
    <hyperlink r:id="rId14963" ref="K12432"/>
    <hyperlink r:id="rId14964" ref="L12432"/>
    <hyperlink r:id="rId14965" ref="K12433"/>
    <hyperlink r:id="rId14966" ref="L12433"/>
    <hyperlink r:id="rId14967" ref="K12434"/>
    <hyperlink r:id="rId14968" ref="L12434"/>
    <hyperlink r:id="rId14969" ref="K12435"/>
    <hyperlink r:id="rId14970" ref="L12435"/>
    <hyperlink r:id="rId14971" ref="K12436"/>
    <hyperlink r:id="rId14972" ref="L12436"/>
    <hyperlink r:id="rId14973" ref="K12437"/>
    <hyperlink r:id="rId14974" ref="L12437"/>
    <hyperlink r:id="rId14975" ref="K12438"/>
    <hyperlink r:id="rId14976" ref="L12438"/>
    <hyperlink r:id="rId14977" ref="K12439"/>
    <hyperlink r:id="rId14978" ref="L12439"/>
    <hyperlink r:id="rId14979" ref="K12440"/>
    <hyperlink r:id="rId14980" ref="L12440"/>
    <hyperlink r:id="rId14981" ref="K12441"/>
    <hyperlink r:id="rId14982" ref="L12441"/>
    <hyperlink r:id="rId14983" ref="K12442"/>
    <hyperlink r:id="rId14984" ref="L12442"/>
    <hyperlink r:id="rId14985" ref="K12443"/>
    <hyperlink r:id="rId14986" ref="L12443"/>
    <hyperlink r:id="rId14987" ref="K12444"/>
    <hyperlink r:id="rId14988" ref="L12444"/>
    <hyperlink r:id="rId14989" ref="K12445"/>
    <hyperlink r:id="rId14990" ref="L12445"/>
    <hyperlink r:id="rId14991" ref="K12446"/>
    <hyperlink r:id="rId14992" ref="L12446"/>
    <hyperlink r:id="rId14993" ref="K12447"/>
    <hyperlink r:id="rId14994" ref="L12447"/>
    <hyperlink r:id="rId14995" ref="K12448"/>
    <hyperlink r:id="rId14996" ref="L12448"/>
    <hyperlink r:id="rId14997" ref="K12449"/>
    <hyperlink r:id="rId14883" ref="L12449"/>
    <hyperlink r:id="rId14998" ref="K12450"/>
    <hyperlink r:id="rId14999" ref="L12450"/>
    <hyperlink r:id="rId15000" ref="K12451"/>
    <hyperlink r:id="rId15001" ref="L12451"/>
    <hyperlink r:id="rId15002" ref="K12452"/>
    <hyperlink r:id="rId15003" ref="L12452"/>
    <hyperlink r:id="rId15004" ref="K12453"/>
    <hyperlink r:id="rId15005" ref="L12453"/>
    <hyperlink r:id="rId15006" ref="K12454"/>
    <hyperlink r:id="rId15007" ref="L12454"/>
    <hyperlink r:id="rId15008" ref="K12455"/>
    <hyperlink r:id="rId15009" ref="L12455"/>
    <hyperlink r:id="rId15010" ref="K12456"/>
    <hyperlink r:id="rId14940" ref="L12456"/>
    <hyperlink r:id="rId15011" ref="K12457"/>
    <hyperlink r:id="rId15012" ref="L12457"/>
    <hyperlink r:id="rId15013" ref="K12458"/>
    <hyperlink r:id="rId15014" ref="L12458"/>
    <hyperlink r:id="rId15015" ref="K12459"/>
    <hyperlink r:id="rId15016" ref="L12459"/>
    <hyperlink r:id="rId15017" ref="K12460"/>
    <hyperlink r:id="rId15018" ref="L12460"/>
    <hyperlink r:id="rId15019" ref="K12461"/>
    <hyperlink r:id="rId15020" ref="L12461"/>
    <hyperlink r:id="rId15021" ref="K12462"/>
    <hyperlink r:id="rId15022" ref="L12462"/>
    <hyperlink r:id="rId15023" ref="K12463"/>
    <hyperlink r:id="rId15024" ref="L12463"/>
    <hyperlink r:id="rId15025" ref="K12464"/>
    <hyperlink r:id="rId15020" ref="L12464"/>
    <hyperlink r:id="rId15026" ref="K12465"/>
    <hyperlink r:id="rId15027" ref="L12465"/>
    <hyperlink r:id="rId15028" ref="K12466"/>
    <hyperlink r:id="rId15029" ref="L12466"/>
    <hyperlink r:id="rId15030" ref="K12467"/>
    <hyperlink r:id="rId15031" ref="L12467"/>
    <hyperlink r:id="rId15032" ref="K12468"/>
    <hyperlink r:id="rId15033" ref="L12468"/>
    <hyperlink r:id="rId15034" ref="K12469"/>
    <hyperlink r:id="rId15035" ref="L12469"/>
    <hyperlink r:id="rId15036" ref="K12470"/>
    <hyperlink r:id="rId15037" ref="L12470"/>
    <hyperlink r:id="rId15038" ref="K12471"/>
    <hyperlink r:id="rId15035" ref="L12471"/>
    <hyperlink r:id="rId15039" ref="K12472"/>
    <hyperlink r:id="rId15040" ref="L12472"/>
    <hyperlink r:id="rId15041" ref="K12473"/>
    <hyperlink r:id="rId15042" ref="L12473"/>
    <hyperlink r:id="rId15043" ref="K12474"/>
    <hyperlink r:id="rId15044" ref="L12474"/>
    <hyperlink r:id="rId15045" ref="K12475"/>
    <hyperlink r:id="rId15046" ref="L12475"/>
    <hyperlink r:id="rId15047" ref="K12476"/>
    <hyperlink r:id="rId15048" ref="L12476"/>
    <hyperlink r:id="rId15049" ref="K12477"/>
    <hyperlink r:id="rId15050" ref="L12477"/>
    <hyperlink r:id="rId15051" ref="K12478"/>
    <hyperlink r:id="rId15052" ref="L12478"/>
    <hyperlink r:id="rId15053" ref="K12479"/>
    <hyperlink r:id="rId14951" ref="L12479"/>
    <hyperlink r:id="rId15054" ref="K12480"/>
    <hyperlink r:id="rId15055" ref="L12480"/>
    <hyperlink r:id="rId15056" ref="K12481"/>
    <hyperlink r:id="rId15057" ref="L12481"/>
    <hyperlink r:id="rId15058" ref="K12482"/>
    <hyperlink r:id="rId14964" ref="L12482"/>
    <hyperlink r:id="rId15059" ref="K12483"/>
    <hyperlink r:id="rId15060" ref="L12483"/>
    <hyperlink r:id="rId15061" ref="K12484"/>
    <hyperlink r:id="rId15062" ref="L12484"/>
    <hyperlink r:id="rId15063" ref="K12485"/>
    <hyperlink r:id="rId15064" ref="L12485"/>
    <hyperlink r:id="rId15065" ref="K12486"/>
    <hyperlink r:id="rId15066" ref="L12486"/>
    <hyperlink r:id="rId15067" ref="K12487"/>
    <hyperlink r:id="rId15068" ref="L12487"/>
    <hyperlink r:id="rId15069" ref="K12488"/>
    <hyperlink r:id="rId15070" ref="L12488"/>
    <hyperlink r:id="rId15071" ref="K12489"/>
    <hyperlink r:id="rId14919" ref="L12489"/>
    <hyperlink r:id="rId15072" ref="K12490"/>
    <hyperlink r:id="rId15073" ref="L12490"/>
    <hyperlink r:id="rId15074" ref="K12491"/>
    <hyperlink r:id="rId15075" ref="L12491"/>
    <hyperlink r:id="rId15076" ref="K12492"/>
    <hyperlink r:id="rId15077" ref="L12492"/>
    <hyperlink r:id="rId15078" ref="K12493"/>
    <hyperlink r:id="rId15079" ref="L12493"/>
    <hyperlink r:id="rId15080" ref="K12494"/>
    <hyperlink r:id="rId15081" ref="L12494"/>
    <hyperlink r:id="rId15082" ref="K12495"/>
    <hyperlink r:id="rId15083" ref="L12495"/>
    <hyperlink r:id="rId15084" ref="K12496"/>
    <hyperlink r:id="rId14957" ref="L12496"/>
    <hyperlink r:id="rId15085" ref="K12497"/>
    <hyperlink r:id="rId14951" ref="L12497"/>
    <hyperlink r:id="rId15086" ref="K12498"/>
    <hyperlink r:id="rId15087" ref="L12498"/>
    <hyperlink r:id="rId15088" ref="K12499"/>
    <hyperlink r:id="rId15089" ref="L12499"/>
    <hyperlink r:id="rId15090" ref="K12500"/>
    <hyperlink r:id="rId15091" ref="L12500"/>
    <hyperlink r:id="rId15092" ref="K12501"/>
    <hyperlink r:id="rId15093" ref="L12501"/>
    <hyperlink r:id="rId15094" ref="K12502"/>
    <hyperlink r:id="rId15095" ref="L12502"/>
    <hyperlink r:id="rId15096" ref="K12503"/>
    <hyperlink r:id="rId15091" ref="L12503"/>
    <hyperlink r:id="rId15097" ref="K12504"/>
    <hyperlink r:id="rId15098" ref="L12504"/>
    <hyperlink r:id="rId15099" ref="K12505"/>
    <hyperlink r:id="rId15100" ref="L12505"/>
    <hyperlink r:id="rId15101" ref="K12506"/>
    <hyperlink r:id="rId15102" ref="L12506"/>
    <hyperlink r:id="rId15103" ref="K12507"/>
    <hyperlink r:id="rId15104" ref="L12507"/>
    <hyperlink r:id="rId15105" ref="K12508"/>
    <hyperlink r:id="rId14951" ref="L12508"/>
    <hyperlink r:id="rId15106" ref="K12509"/>
    <hyperlink r:id="rId14955" ref="L12509"/>
    <hyperlink r:id="rId15107" ref="K12510"/>
    <hyperlink r:id="rId15091" ref="L12510"/>
    <hyperlink r:id="rId15108" ref="K12511"/>
    <hyperlink r:id="rId15109" ref="L12511"/>
    <hyperlink r:id="rId15110" ref="K12512"/>
    <hyperlink r:id="rId15111" ref="L12512"/>
    <hyperlink r:id="rId15112" ref="K12513"/>
    <hyperlink r:id="rId15113" ref="L12513"/>
    <hyperlink r:id="rId15114" ref="K12514"/>
    <hyperlink r:id="rId15115" ref="L12514"/>
    <hyperlink r:id="rId15116" ref="K12515"/>
    <hyperlink r:id="rId15117" ref="L12515"/>
    <hyperlink r:id="rId15118" ref="K12516"/>
    <hyperlink r:id="rId15119" ref="L12516"/>
    <hyperlink r:id="rId15120" ref="K12517"/>
    <hyperlink r:id="rId15121" ref="L12517"/>
    <hyperlink r:id="rId15122" ref="K12518"/>
    <hyperlink r:id="rId15123" ref="L12518"/>
    <hyperlink r:id="rId15124" ref="K12519"/>
    <hyperlink r:id="rId15125" ref="L12519"/>
    <hyperlink r:id="rId15126" ref="K12520"/>
    <hyperlink r:id="rId14919" ref="L12520"/>
    <hyperlink r:id="rId15127" ref="K12521"/>
    <hyperlink r:id="rId15128" ref="L12521"/>
    <hyperlink r:id="rId15129" ref="K12522"/>
    <hyperlink r:id="rId15117" ref="L12522"/>
    <hyperlink r:id="rId15130" ref="K12523"/>
    <hyperlink r:id="rId15131" ref="L12523"/>
    <hyperlink r:id="rId15132" ref="K12524"/>
    <hyperlink r:id="rId15091" ref="L12524"/>
    <hyperlink r:id="rId15133" ref="K12525"/>
    <hyperlink r:id="rId15134" ref="L12525"/>
    <hyperlink r:id="rId15135" ref="K12526"/>
    <hyperlink r:id="rId15136" ref="L12526"/>
    <hyperlink r:id="rId15137" ref="K12527"/>
    <hyperlink r:id="rId15138" ref="L12527"/>
    <hyperlink r:id="rId15139" ref="K12528"/>
    <hyperlink r:id="rId15140" ref="L12528"/>
    <hyperlink r:id="rId15141" ref="K12529"/>
    <hyperlink r:id="rId15142" ref="L12529"/>
    <hyperlink r:id="rId15143" ref="K12530"/>
    <hyperlink r:id="rId15144" ref="L12530"/>
    <hyperlink r:id="rId15145" ref="K12531"/>
    <hyperlink r:id="rId15146" ref="L12531"/>
    <hyperlink r:id="rId15147" ref="K12532"/>
    <hyperlink r:id="rId15148" ref="L12532"/>
    <hyperlink r:id="rId15149" ref="K12533"/>
    <hyperlink r:id="rId15146" ref="L12533"/>
    <hyperlink r:id="rId15150" ref="K12534"/>
    <hyperlink r:id="rId14911" ref="L12534"/>
    <hyperlink r:id="rId15151" ref="K12535"/>
    <hyperlink r:id="rId15152" ref="L12535"/>
    <hyperlink r:id="rId15153" ref="K12536"/>
    <hyperlink r:id="rId15154" ref="L12536"/>
    <hyperlink r:id="rId15155" ref="K12537"/>
    <hyperlink r:id="rId15156" ref="L12537"/>
    <hyperlink r:id="rId15157" ref="K12538"/>
    <hyperlink r:id="rId14980" ref="L12538"/>
    <hyperlink r:id="rId15158" ref="K12539"/>
    <hyperlink r:id="rId15159" ref="L12539"/>
    <hyperlink r:id="rId15160" ref="K12540"/>
    <hyperlink r:id="rId15161" ref="L12540"/>
    <hyperlink r:id="rId15162" ref="K12541"/>
    <hyperlink r:id="rId15163" ref="L12541"/>
    <hyperlink r:id="rId15164" ref="K12542"/>
    <hyperlink r:id="rId15091" ref="L12542"/>
    <hyperlink r:id="rId15165" ref="K12543"/>
    <hyperlink r:id="rId14919" ref="L12543"/>
    <hyperlink r:id="rId15166" ref="K12544"/>
    <hyperlink r:id="rId15167" ref="L12544"/>
    <hyperlink r:id="rId15168" ref="K12545"/>
    <hyperlink r:id="rId14932" ref="L12545"/>
    <hyperlink r:id="rId15169" ref="K12546"/>
    <hyperlink r:id="rId15170" ref="L12546"/>
    <hyperlink r:id="rId15171" ref="K12547"/>
    <hyperlink r:id="rId15172" ref="L12547"/>
    <hyperlink r:id="rId15173" ref="K12548"/>
    <hyperlink r:id="rId15174" ref="L12548"/>
    <hyperlink r:id="rId15175" ref="K12549"/>
    <hyperlink r:id="rId15176" ref="L12549"/>
    <hyperlink r:id="rId15177" ref="K12550"/>
    <hyperlink r:id="rId15178" ref="L12550"/>
    <hyperlink r:id="rId15179" ref="K12551"/>
    <hyperlink r:id="rId15180" ref="L12551"/>
    <hyperlink r:id="rId15181" ref="K12552"/>
    <hyperlink r:id="rId15182" ref="L12552"/>
    <hyperlink r:id="rId15183" ref="K12553"/>
    <hyperlink r:id="rId15184" ref="L12553"/>
    <hyperlink r:id="rId15185" ref="K12554"/>
    <hyperlink r:id="rId15186" ref="L12554"/>
    <hyperlink r:id="rId15187" ref="K12555"/>
    <hyperlink r:id="rId15188" ref="L12555"/>
    <hyperlink r:id="rId15189" ref="K12556"/>
    <hyperlink r:id="rId15190" ref="L12556"/>
    <hyperlink r:id="rId15191" ref="K12557"/>
    <hyperlink r:id="rId15192" ref="L12557"/>
    <hyperlink r:id="rId15193" ref="K12558"/>
    <hyperlink r:id="rId15194" ref="L12558"/>
    <hyperlink r:id="rId15195" ref="K12559"/>
    <hyperlink r:id="rId15196" ref="L12559"/>
    <hyperlink r:id="rId15197" ref="K12560"/>
    <hyperlink r:id="rId15144" ref="L12560"/>
    <hyperlink r:id="rId15198" ref="K12561"/>
    <hyperlink r:id="rId15199" ref="L12561"/>
    <hyperlink r:id="rId15200" ref="K12562"/>
    <hyperlink r:id="rId15201" ref="L12562"/>
    <hyperlink r:id="rId15202" ref="K12563"/>
    <hyperlink r:id="rId15203" ref="L12563"/>
    <hyperlink r:id="rId15204" ref="K12564"/>
    <hyperlink r:id="rId14903" ref="L12564"/>
    <hyperlink r:id="rId15205" ref="K12565"/>
    <hyperlink r:id="rId15206" ref="L12565"/>
    <hyperlink r:id="rId15207" ref="K12566"/>
    <hyperlink r:id="rId15208" ref="L12566"/>
    <hyperlink r:id="rId15209" ref="K12567"/>
    <hyperlink r:id="rId15210" ref="L12567"/>
    <hyperlink r:id="rId15211" ref="K12568"/>
    <hyperlink r:id="rId15212" ref="L12568"/>
    <hyperlink r:id="rId15213" ref="K12569"/>
    <hyperlink r:id="rId15214" ref="L12569"/>
    <hyperlink r:id="rId15215" ref="K12570"/>
    <hyperlink r:id="rId15048" ref="L12570"/>
    <hyperlink r:id="rId15216" ref="K12571"/>
    <hyperlink r:id="rId15091" ref="L12571"/>
    <hyperlink r:id="rId15217" ref="K12572"/>
    <hyperlink r:id="rId15091" ref="L12572"/>
    <hyperlink r:id="rId15218" ref="K12573"/>
    <hyperlink r:id="rId15219" ref="L12573"/>
    <hyperlink r:id="rId15220" ref="K12574"/>
    <hyperlink r:id="rId15221" ref="L12574"/>
    <hyperlink r:id="rId15222" ref="K12575"/>
    <hyperlink r:id="rId15223" ref="L12575"/>
    <hyperlink r:id="rId15224" ref="K12576"/>
    <hyperlink r:id="rId15225" ref="L12576"/>
    <hyperlink r:id="rId15226" ref="K12577"/>
    <hyperlink r:id="rId15227" ref="L12577"/>
    <hyperlink r:id="rId15228" ref="K12578"/>
    <hyperlink r:id="rId15229" ref="L12578"/>
    <hyperlink r:id="rId15230" ref="K12579"/>
    <hyperlink r:id="rId15146" ref="L12579"/>
    <hyperlink r:id="rId15231" ref="K12580"/>
    <hyperlink r:id="rId15232" ref="L12580"/>
    <hyperlink r:id="rId15233" ref="K12581"/>
    <hyperlink r:id="rId15234" ref="L12581"/>
    <hyperlink r:id="rId15235" ref="K12582"/>
    <hyperlink r:id="rId14957" ref="L12582"/>
    <hyperlink r:id="rId15236" ref="K12583"/>
    <hyperlink r:id="rId14911" ref="L12583"/>
    <hyperlink r:id="rId15237" ref="K12584"/>
    <hyperlink r:id="rId15238" ref="L12584"/>
    <hyperlink r:id="rId15239" ref="K12585"/>
    <hyperlink r:id="rId15240" ref="L12585"/>
    <hyperlink r:id="rId15241" ref="K12586"/>
    <hyperlink r:id="rId15242" ref="L12586"/>
    <hyperlink r:id="rId15243" ref="K12587"/>
    <hyperlink r:id="rId15244" ref="L12587"/>
    <hyperlink r:id="rId15245" ref="K12588"/>
    <hyperlink r:id="rId15246" ref="L12588"/>
    <hyperlink r:id="rId15247" ref="K12589"/>
    <hyperlink r:id="rId15232" ref="L12589"/>
    <hyperlink r:id="rId15248" ref="K12590"/>
    <hyperlink r:id="rId15249" ref="L12590"/>
    <hyperlink r:id="rId15250" ref="K12591"/>
    <hyperlink r:id="rId15091" ref="L12591"/>
    <hyperlink r:id="rId15251" ref="K12592"/>
    <hyperlink r:id="rId15252" ref="L12592"/>
    <hyperlink r:id="rId15253" ref="K12593"/>
    <hyperlink r:id="rId15254" ref="L12593"/>
    <hyperlink r:id="rId15255" ref="K12594"/>
    <hyperlink r:id="rId15256" ref="L12594"/>
    <hyperlink r:id="rId15257" ref="K12595"/>
    <hyperlink r:id="rId15134" ref="L12595"/>
    <hyperlink r:id="rId15258" ref="K12596"/>
    <hyperlink r:id="rId15259" ref="L12596"/>
    <hyperlink r:id="rId15260" ref="K12597"/>
    <hyperlink r:id="rId15261" ref="L12597"/>
    <hyperlink r:id="rId15262" ref="K12598"/>
    <hyperlink r:id="rId15123" ref="L12598"/>
    <hyperlink r:id="rId15263" ref="K12599"/>
    <hyperlink r:id="rId15264" ref="L12599"/>
    <hyperlink r:id="rId15265" ref="K12600"/>
    <hyperlink r:id="rId15131" ref="L12600"/>
    <hyperlink r:id="rId15266" ref="K12601"/>
    <hyperlink r:id="rId15267" ref="L12601"/>
    <hyperlink r:id="rId15268" ref="K12602"/>
    <hyperlink r:id="rId15210" ref="L12602"/>
    <hyperlink r:id="rId15269" ref="K12603"/>
    <hyperlink r:id="rId14978" ref="L12603"/>
    <hyperlink r:id="rId15270" ref="K12604"/>
    <hyperlink r:id="rId15271" ref="L12604"/>
    <hyperlink r:id="rId15272" ref="K12605"/>
    <hyperlink r:id="rId15273" ref="L12605"/>
    <hyperlink r:id="rId15274" ref="K12606"/>
    <hyperlink r:id="rId15275" ref="L12606"/>
    <hyperlink r:id="rId15276" ref="K12607"/>
    <hyperlink r:id="rId15277" ref="L12607"/>
    <hyperlink r:id="rId15278" ref="K12608"/>
    <hyperlink r:id="rId14919" ref="L12608"/>
    <hyperlink r:id="rId15279" ref="K12609"/>
    <hyperlink r:id="rId15280" ref="L12609"/>
    <hyperlink r:id="rId15281" ref="K12610"/>
    <hyperlink r:id="rId15282" ref="L12610"/>
    <hyperlink r:id="rId15283" ref="K12611"/>
    <hyperlink r:id="rId15284" ref="L12611"/>
    <hyperlink r:id="rId15285" ref="K12612"/>
    <hyperlink r:id="rId15091" ref="L12612"/>
    <hyperlink r:id="rId15286" ref="K12613"/>
    <hyperlink r:id="rId15287" ref="L12613"/>
    <hyperlink r:id="rId15288" ref="K12614"/>
    <hyperlink r:id="rId15048" ref="L12614"/>
    <hyperlink r:id="rId15289" ref="K12615"/>
    <hyperlink r:id="rId15290" ref="L12615"/>
    <hyperlink r:id="rId15291" ref="K12616"/>
    <hyperlink r:id="rId15095" ref="L12616"/>
    <hyperlink r:id="rId15292" ref="K12617"/>
    <hyperlink r:id="rId15290" ref="L12617"/>
    <hyperlink r:id="rId15293" ref="K12618"/>
    <hyperlink r:id="rId14959" ref="L12618"/>
    <hyperlink r:id="rId15294" ref="K12619"/>
    <hyperlink r:id="rId15295" ref="L12619"/>
    <hyperlink r:id="rId15296" ref="K12620"/>
    <hyperlink r:id="rId15297" ref="L12620"/>
    <hyperlink r:id="rId15298" ref="K12621"/>
    <hyperlink r:id="rId15299" ref="L12621"/>
    <hyperlink r:id="rId15300" ref="K12622"/>
    <hyperlink r:id="rId15301" ref="L12622"/>
    <hyperlink r:id="rId15302" ref="K12623"/>
    <hyperlink r:id="rId15128" ref="L12623"/>
    <hyperlink r:id="rId15303" ref="K12624"/>
    <hyperlink r:id="rId15304" ref="L12624"/>
    <hyperlink r:id="rId15305" ref="K12625"/>
    <hyperlink r:id="rId14889" ref="L12625"/>
    <hyperlink r:id="rId15306" ref="K12626"/>
    <hyperlink r:id="rId15307" ref="L12626"/>
    <hyperlink r:id="rId15308" ref="K12627"/>
    <hyperlink r:id="rId15309" ref="L12627"/>
    <hyperlink r:id="rId15310" ref="K12628"/>
    <hyperlink r:id="rId15311" ref="L12628"/>
    <hyperlink r:id="rId15312" ref="K12629"/>
    <hyperlink r:id="rId15123" ref="L12629"/>
    <hyperlink r:id="rId15313" ref="K12630"/>
    <hyperlink r:id="rId15091" ref="L12630"/>
    <hyperlink r:id="rId15314" ref="K12631"/>
    <hyperlink r:id="rId15315" ref="L12631"/>
    <hyperlink r:id="rId15316" ref="K12632"/>
    <hyperlink r:id="rId15317" ref="L12632"/>
    <hyperlink r:id="rId15318" ref="K12633"/>
    <hyperlink r:id="rId15319" ref="L12633"/>
    <hyperlink r:id="rId15320" ref="K12634"/>
    <hyperlink r:id="rId15321" ref="L12634"/>
    <hyperlink r:id="rId15322" ref="K12635"/>
    <hyperlink r:id="rId15323" ref="L12635"/>
    <hyperlink r:id="rId15324" ref="K12636"/>
    <hyperlink r:id="rId15325" ref="L12636"/>
    <hyperlink r:id="rId15326" ref="K12637"/>
    <hyperlink r:id="rId15327" ref="L12637"/>
    <hyperlink r:id="rId15328" ref="K12638"/>
    <hyperlink r:id="rId15016" ref="L12638"/>
    <hyperlink r:id="rId15329" ref="K12639"/>
    <hyperlink r:id="rId14982" ref="L12639"/>
    <hyperlink r:id="rId15330" ref="K12640"/>
    <hyperlink r:id="rId15089" ref="L12640"/>
    <hyperlink r:id="rId15331" ref="K12641"/>
    <hyperlink r:id="rId15332" ref="L12641"/>
    <hyperlink r:id="rId15333" ref="K12642"/>
    <hyperlink r:id="rId15208" ref="L12642"/>
    <hyperlink r:id="rId15334" ref="K12643"/>
    <hyperlink r:id="rId15335" ref="L12643"/>
    <hyperlink r:id="rId15336" ref="K12644"/>
    <hyperlink r:id="rId15337" ref="L12644"/>
    <hyperlink r:id="rId15338" ref="K12645"/>
    <hyperlink r:id="rId15339" ref="L12645"/>
    <hyperlink r:id="rId15340" ref="K12646"/>
    <hyperlink r:id="rId14887" ref="L12646"/>
    <hyperlink r:id="rId15341" ref="K12647"/>
    <hyperlink r:id="rId15342" ref="L12647"/>
    <hyperlink r:id="rId15343" ref="K12648"/>
    <hyperlink r:id="rId15344" ref="L12648"/>
    <hyperlink r:id="rId15345" ref="K12649"/>
    <hyperlink r:id="rId15315" ref="L12649"/>
    <hyperlink r:id="rId15346" ref="K12650"/>
    <hyperlink r:id="rId14869" ref="L12650"/>
    <hyperlink r:id="rId15347" ref="K12651"/>
    <hyperlink r:id="rId15348" ref="L12651"/>
    <hyperlink r:id="rId15349" ref="K12652"/>
    <hyperlink r:id="rId15350" ref="L12652"/>
    <hyperlink r:id="rId15351" ref="K12653"/>
    <hyperlink r:id="rId14978" ref="L12653"/>
    <hyperlink r:id="rId15352" ref="K12654"/>
    <hyperlink r:id="rId15353" ref="L12654"/>
    <hyperlink r:id="rId15354" ref="K12655"/>
    <hyperlink r:id="rId15355" ref="L12655"/>
    <hyperlink r:id="rId15356" ref="K12656"/>
    <hyperlink r:id="rId15357" ref="L12656"/>
    <hyperlink r:id="rId15358" ref="K12657"/>
    <hyperlink r:id="rId15123" ref="L12657"/>
    <hyperlink r:id="rId15359" ref="K12658"/>
    <hyperlink r:id="rId15360" ref="L12658"/>
    <hyperlink r:id="rId15361" ref="K12659"/>
    <hyperlink r:id="rId15362" ref="L12659"/>
    <hyperlink r:id="rId15363" ref="K12660"/>
    <hyperlink r:id="rId15364" ref="L12660"/>
    <hyperlink r:id="rId15365" ref="K12661"/>
    <hyperlink r:id="rId15366" ref="L12661"/>
    <hyperlink r:id="rId15367" ref="K12662"/>
    <hyperlink r:id="rId15368" ref="L12662"/>
    <hyperlink r:id="rId15369" ref="K12663"/>
    <hyperlink r:id="rId15307" ref="L12663"/>
    <hyperlink r:id="rId15370" ref="K12664"/>
    <hyperlink r:id="rId15371" ref="L12664"/>
    <hyperlink r:id="rId15372" ref="K12665"/>
    <hyperlink r:id="rId15373" ref="L12665"/>
    <hyperlink r:id="rId15374" ref="K12666"/>
    <hyperlink r:id="rId15375" ref="L12666"/>
    <hyperlink r:id="rId15376" ref="K12667"/>
    <hyperlink r:id="rId15377" ref="L12667"/>
    <hyperlink r:id="rId15378" ref="K12668"/>
    <hyperlink r:id="rId15379" ref="L12668"/>
    <hyperlink r:id="rId15380" ref="K12669"/>
    <hyperlink r:id="rId15381" ref="L12669"/>
    <hyperlink r:id="rId15382" ref="K12670"/>
    <hyperlink r:id="rId15383" ref="L12670"/>
    <hyperlink r:id="rId15384" ref="K12671"/>
    <hyperlink r:id="rId15385" ref="L12671"/>
    <hyperlink r:id="rId15386" ref="K12672"/>
    <hyperlink r:id="rId15387" ref="L12672"/>
    <hyperlink r:id="rId15388" ref="K12673"/>
    <hyperlink r:id="rId15389" ref="L12673"/>
    <hyperlink r:id="rId15390" ref="K12674"/>
    <hyperlink r:id="rId15391" ref="L12674"/>
    <hyperlink r:id="rId15392" ref="K12675"/>
    <hyperlink r:id="rId15393" ref="L12675"/>
    <hyperlink r:id="rId15394" ref="K12676"/>
    <hyperlink r:id="rId15395" ref="L12676"/>
    <hyperlink r:id="rId15396" ref="K12677"/>
    <hyperlink r:id="rId15397" ref="L12677"/>
    <hyperlink r:id="rId15398" ref="K12678"/>
    <hyperlink r:id="rId15399" ref="L12678"/>
    <hyperlink r:id="rId15400" ref="K12679"/>
    <hyperlink r:id="rId15401" ref="L12679"/>
    <hyperlink r:id="rId15402" ref="K12680"/>
    <hyperlink r:id="rId15389" ref="L12680"/>
    <hyperlink r:id="rId15403" ref="K12681"/>
    <hyperlink r:id="rId15399" ref="L12681"/>
    <hyperlink r:id="rId15404" ref="K12682"/>
    <hyperlink r:id="rId15405" ref="L12682"/>
    <hyperlink r:id="rId15406" ref="K12683"/>
    <hyperlink r:id="rId15407" ref="L12683"/>
    <hyperlink r:id="rId15408" ref="K12684"/>
    <hyperlink r:id="rId15409" ref="L12684"/>
    <hyperlink r:id="rId15410" ref="K12685"/>
    <hyperlink r:id="rId15411" ref="L12685"/>
    <hyperlink r:id="rId15412" ref="K12686"/>
    <hyperlink r:id="rId15413" ref="L12686"/>
    <hyperlink r:id="rId15414" ref="K12687"/>
    <hyperlink r:id="rId15413" ref="L12687"/>
    <hyperlink r:id="rId15415" ref="K12688"/>
    <hyperlink r:id="rId15416" ref="L12688"/>
    <hyperlink r:id="rId15417" ref="K12689"/>
    <hyperlink r:id="rId15418" ref="L12689"/>
    <hyperlink r:id="rId15419" ref="K12690"/>
    <hyperlink r:id="rId15420" ref="L12690"/>
    <hyperlink r:id="rId15421" ref="K12691"/>
    <hyperlink r:id="rId15409" ref="L12691"/>
    <hyperlink r:id="rId15422" ref="K12692"/>
    <hyperlink r:id="rId15409" ref="L12692"/>
    <hyperlink r:id="rId15423" ref="K12693"/>
    <hyperlink r:id="rId15391" ref="L12693"/>
    <hyperlink r:id="rId15424" ref="K12694"/>
    <hyperlink r:id="rId15425" ref="L12694"/>
    <hyperlink r:id="rId15426" ref="K12695"/>
    <hyperlink r:id="rId15427" ref="L12695"/>
    <hyperlink r:id="rId15428" ref="K12696"/>
    <hyperlink r:id="rId15409" ref="L12696"/>
    <hyperlink r:id="rId15429" ref="K12697"/>
    <hyperlink r:id="rId15430" ref="L12697"/>
    <hyperlink r:id="rId15431" ref="K12698"/>
    <hyperlink r:id="rId15432" ref="L12698"/>
    <hyperlink r:id="rId15433" ref="K12699"/>
    <hyperlink r:id="rId15434" ref="L12699"/>
    <hyperlink r:id="rId15435" ref="K12700"/>
    <hyperlink r:id="rId15436" ref="L12700"/>
    <hyperlink r:id="rId15437" ref="K12701"/>
    <hyperlink r:id="rId15438" ref="L12701"/>
    <hyperlink r:id="rId15439" ref="K12702"/>
    <hyperlink r:id="rId15440" ref="L12702"/>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customWidth="1" min="6" max="7" width="29.421875"/>
  </cols>
  <sheetData>
    <row r="1" ht="14.25">
      <c r="A1" s="2" t="s">
        <v>1</v>
      </c>
      <c r="B1" s="2" t="s">
        <v>2</v>
      </c>
      <c r="C1" s="2" t="s">
        <v>3</v>
      </c>
      <c r="D1" s="2" t="s">
        <v>4</v>
      </c>
      <c r="E1" s="2"/>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V1" s="3"/>
      <c r="W1" s="3"/>
      <c r="X1" s="3"/>
      <c r="Y1" s="3"/>
      <c r="Z1" s="3"/>
    </row>
    <row r="2" ht="14.25">
      <c r="A2" s="4" t="s">
        <v>20</v>
      </c>
      <c r="B2" s="4" t="s">
        <v>21</v>
      </c>
      <c r="C2" s="4" t="s">
        <v>22</v>
      </c>
      <c r="D2" s="4" t="s">
        <v>23</v>
      </c>
      <c r="E2" s="4"/>
      <c r="F2" s="4" t="s">
        <v>24</v>
      </c>
      <c r="G2" s="4">
        <v>29</v>
      </c>
      <c r="H2" s="4" t="s">
        <v>25</v>
      </c>
      <c r="I2" s="5" t="s">
        <v>26</v>
      </c>
      <c r="J2" s="5" t="s">
        <v>27</v>
      </c>
      <c r="K2" s="4" t="s">
        <v>28</v>
      </c>
      <c r="L2" s="4" t="s">
        <v>29</v>
      </c>
      <c r="M2" s="4" t="s">
        <v>30</v>
      </c>
      <c r="N2" s="4" t="s">
        <v>29</v>
      </c>
      <c r="O2" s="6"/>
      <c r="P2" s="6"/>
      <c r="Q2" s="6"/>
      <c r="R2" s="6"/>
      <c r="S2" s="6"/>
      <c r="T2" s="6"/>
      <c r="V2" s="6"/>
      <c r="W2" s="6"/>
      <c r="X2" s="6"/>
      <c r="Y2" s="6"/>
    </row>
    <row r="3" ht="14.25"/>
    <row r="4" ht="14.25">
      <c r="A4" s="4" t="s">
        <v>9156</v>
      </c>
      <c r="B4" s="4" t="s">
        <v>4605</v>
      </c>
      <c r="C4" s="4" t="s">
        <v>172</v>
      </c>
      <c r="F4" s="4" t="s">
        <v>9157</v>
      </c>
      <c r="G4" s="4">
        <v>12</v>
      </c>
      <c r="H4" s="4" t="s">
        <v>9158</v>
      </c>
      <c r="I4" s="4" t="str">
        <f>IFERROR(__XLUDF.DUMMYFUNCTION("PROPER(REGEXREPLACE(G2,""[^A-Za-z]+ "",""""))"),"Agence Jaam")</f>
        <v xml:space="preserve">Agence Jaam</v>
      </c>
      <c r="J4" s="5" t="s">
        <v>9159</v>
      </c>
      <c r="K4" s="4" t="s">
        <v>39</v>
      </c>
      <c r="L4" s="4" t="s">
        <v>9160</v>
      </c>
      <c r="M4" s="4" t="s">
        <v>29</v>
      </c>
      <c r="N4" s="4" t="s">
        <v>9161</v>
      </c>
      <c r="O4" s="4" t="str">
        <f>IFERROR(__XLUDF.DUMMYFUNCTION("VLOOKUP(M2,IMPORTRANGE(""https://docs.google.com/spreadsheets/d/1opm6ZNvGZ7KditA9TuJwrZ25eFLfTNIkrNnY6mhV5Eg"",""list!A1:C115""),3,TRUE)"),"le secteur du marketing")</f>
        <v xml:space="preserve">le secteur du marketing</v>
      </c>
      <c r="P4" s="4" t="s">
        <v>9162</v>
      </c>
      <c r="R4" s="4" t="s">
        <v>39</v>
      </c>
      <c r="S4" s="4" t="s">
        <v>9160</v>
      </c>
      <c r="T4" s="4" t="s">
        <v>29</v>
      </c>
      <c r="U4" s="5" t="s">
        <v>9163</v>
      </c>
      <c r="V4" s="5" t="s">
        <v>9164</v>
      </c>
      <c r="W4" s="6"/>
      <c r="X4" s="6"/>
      <c r="Y4" s="6"/>
      <c r="Z4" s="4" t="s">
        <v>9165</v>
      </c>
      <c r="AA4" s="6"/>
      <c r="AB4" s="5" t="s">
        <v>9166</v>
      </c>
    </row>
    <row r="5" ht="14.25">
      <c r="A5" s="4" t="s">
        <v>9168</v>
      </c>
      <c r="B5" s="4" t="s">
        <v>874</v>
      </c>
      <c r="C5" s="4" t="s">
        <v>172</v>
      </c>
      <c r="F5" s="4" t="s">
        <v>9169</v>
      </c>
      <c r="G5" s="4">
        <v>25</v>
      </c>
      <c r="H5" s="4" t="s">
        <v>9170</v>
      </c>
      <c r="I5" s="4" t="str">
        <f>IFERROR(__XLUDF.DUMMYFUNCTION("PROPER(REGEXREPLACE(G3,""[^A-Za-z]+ "",""""))"),"Technic Bureau Sa")</f>
        <v xml:space="preserve">Technic Bureau Sa</v>
      </c>
      <c r="J5" s="5" t="s">
        <v>9171</v>
      </c>
      <c r="K5" s="4" t="s">
        <v>423</v>
      </c>
      <c r="L5" s="4" t="s">
        <v>9172</v>
      </c>
      <c r="M5" s="4" t="s">
        <v>29</v>
      </c>
      <c r="N5" s="4" t="s">
        <v>2602</v>
      </c>
      <c r="O5" s="4" t="str">
        <f>IFERROR(__XLUDF.DUMMYFUNCTION("VLOOKUP(M3,IMPORTRANGE(""https://docs.google.com/spreadsheets/d/1opm6ZNvGZ7KditA9TuJwrZ25eFLfTNIkrNnY6mhV5Eg"",""list!A1:C115""),3,TRUE)"),"le secteur de la tech")</f>
        <v xml:space="preserve">le secteur de la tech</v>
      </c>
      <c r="P5" s="4" t="s">
        <v>9173</v>
      </c>
      <c r="R5" s="4" t="s">
        <v>9174</v>
      </c>
      <c r="S5" s="4" t="s">
        <v>9172</v>
      </c>
      <c r="T5" s="4" t="s">
        <v>29</v>
      </c>
      <c r="U5" s="5" t="s">
        <v>9175</v>
      </c>
      <c r="V5" s="6"/>
      <c r="W5" s="6"/>
      <c r="X5" s="6"/>
      <c r="Y5" s="6"/>
      <c r="Z5" s="4" t="s">
        <v>9176</v>
      </c>
      <c r="AA5" s="6"/>
      <c r="AB5" s="5" t="s">
        <v>9177</v>
      </c>
    </row>
    <row r="6" ht="14.25">
      <c r="A6" s="4" t="s">
        <v>9180</v>
      </c>
      <c r="B6" s="4" t="s">
        <v>9179</v>
      </c>
      <c r="C6" s="4" t="s">
        <v>112</v>
      </c>
      <c r="F6" s="4" t="s">
        <v>9181</v>
      </c>
      <c r="G6" s="4">
        <v>16</v>
      </c>
      <c r="H6" s="4" t="s">
        <v>9182</v>
      </c>
      <c r="I6" s="4" t="str">
        <f>IFERROR(__XLUDF.DUMMYFUNCTION("PROPER(REGEXREPLACE(G4,""[^A-Za-z]+ "",""""))"),"Open6")</f>
        <v>Open6</v>
      </c>
      <c r="J6" s="5" t="s">
        <v>9183</v>
      </c>
      <c r="K6" s="4" t="s">
        <v>585</v>
      </c>
      <c r="L6" s="4" t="s">
        <v>9160</v>
      </c>
      <c r="M6" s="4" t="s">
        <v>29</v>
      </c>
      <c r="N6" s="4" t="s">
        <v>9184</v>
      </c>
      <c r="O6" s="4" t="str">
        <f>IFERROR(__XLUDF.DUMMYFUNCTION("VLOOKUP(M4,IMPORTRANGE(""https://docs.google.com/spreadsheets/d/1opm6ZNvGZ7KditA9TuJwrZ25eFLfTNIkrNnY6mhV5Eg"",""list!A1:C115""),3,TRUE)"),"le secteur des télécommunications")</f>
        <v xml:space="preserve">le secteur des télécommunications</v>
      </c>
      <c r="P6" s="4" t="s">
        <v>9185</v>
      </c>
      <c r="R6" s="4" t="s">
        <v>585</v>
      </c>
      <c r="S6" s="4" t="s">
        <v>9160</v>
      </c>
      <c r="T6" s="4" t="s">
        <v>29</v>
      </c>
      <c r="U6" s="5" t="s">
        <v>9186</v>
      </c>
      <c r="V6" s="6"/>
      <c r="W6" s="6"/>
      <c r="X6" s="6"/>
      <c r="Y6" s="6"/>
      <c r="Z6" s="4" t="s">
        <v>9187</v>
      </c>
      <c r="AA6" s="6"/>
      <c r="AB6" s="5" t="s">
        <v>9188</v>
      </c>
    </row>
    <row r="7" ht="14.25">
      <c r="A7" s="4" t="s">
        <v>1775</v>
      </c>
      <c r="B7" s="4" t="s">
        <v>2258</v>
      </c>
      <c r="C7" s="4" t="s">
        <v>172</v>
      </c>
      <c r="F7" s="4" t="s">
        <v>9190</v>
      </c>
      <c r="G7" s="4">
        <v>18</v>
      </c>
      <c r="H7" s="4" t="s">
        <v>9191</v>
      </c>
      <c r="I7" s="4" t="str">
        <f>IFERROR(__XLUDF.DUMMYFUNCTION("PROPER(REGEXREPLACE(G5,""[^A-Za-z]+ "",""""))"),"Infinity Automation")</f>
        <v xml:space="preserve">Infinity Automation</v>
      </c>
      <c r="J7" s="5" t="s">
        <v>9192</v>
      </c>
      <c r="K7" s="4" t="s">
        <v>185</v>
      </c>
      <c r="L7" s="4" t="s">
        <v>9193</v>
      </c>
      <c r="M7" s="4" t="s">
        <v>29</v>
      </c>
      <c r="N7" s="4" t="s">
        <v>2602</v>
      </c>
      <c r="O7" s="4" t="str">
        <f>IFERROR(__XLUDF.DUMMYFUNCTION("VLOOKUP(M5,IMPORTRANGE(""https://docs.google.com/spreadsheets/d/1opm6ZNvGZ7KditA9TuJwrZ25eFLfTNIkrNnY6mhV5Eg"",""list!A1:C115""),3,TRUE)"),"le secteur de la tech")</f>
        <v xml:space="preserve">le secteur de la tech</v>
      </c>
      <c r="P7" s="4" t="s">
        <v>9194</v>
      </c>
      <c r="R7" s="4" t="s">
        <v>9195</v>
      </c>
      <c r="S7" s="4" t="s">
        <v>9160</v>
      </c>
      <c r="T7" s="4" t="s">
        <v>29</v>
      </c>
      <c r="U7" s="5" t="s">
        <v>9196</v>
      </c>
      <c r="V7" s="6"/>
      <c r="W7" s="6"/>
      <c r="X7" s="6"/>
      <c r="Y7" s="6"/>
      <c r="Z7" s="4" t="s">
        <v>9197</v>
      </c>
      <c r="AA7" s="6"/>
      <c r="AB7" s="5" t="s">
        <v>9198</v>
      </c>
    </row>
    <row r="8" ht="14.25">
      <c r="A8" s="4" t="s">
        <v>9201</v>
      </c>
      <c r="B8" s="4" t="s">
        <v>9200</v>
      </c>
      <c r="C8" s="4" t="s">
        <v>2636</v>
      </c>
      <c r="F8" s="4" t="s">
        <v>9202</v>
      </c>
      <c r="G8" s="4">
        <v>12</v>
      </c>
      <c r="H8" s="4" t="s">
        <v>9203</v>
      </c>
      <c r="I8" s="4" t="str">
        <f>IFERROR(__XLUDF.DUMMYFUNCTION("PROPER(REGEXREPLACE(G6,""[^A-Za-z]+ "",""""))"),"Umann")</f>
        <v>Umann</v>
      </c>
      <c r="J8" s="5" t="s">
        <v>9204</v>
      </c>
      <c r="K8" s="4" t="s">
        <v>39</v>
      </c>
      <c r="L8" s="4" t="s">
        <v>9160</v>
      </c>
      <c r="M8" s="4" t="s">
        <v>29</v>
      </c>
      <c r="N8" s="4" t="s">
        <v>2602</v>
      </c>
      <c r="O8" s="4" t="str">
        <f>IFERROR(__XLUDF.DUMMYFUNCTION("VLOOKUP(M6,IMPORTRANGE(""https://docs.google.com/spreadsheets/d/1opm6ZNvGZ7KditA9TuJwrZ25eFLfTNIkrNnY6mhV5Eg"",""list!A1:C115""),3,TRUE)"),"le secteur de la tech")</f>
        <v xml:space="preserve">le secteur de la tech</v>
      </c>
      <c r="P8" s="4" t="s">
        <v>9205</v>
      </c>
      <c r="R8" s="4" t="s">
        <v>39</v>
      </c>
      <c r="S8" s="4" t="s">
        <v>9160</v>
      </c>
      <c r="T8" s="4" t="s">
        <v>29</v>
      </c>
      <c r="U8" s="5" t="s">
        <v>9206</v>
      </c>
      <c r="V8" s="6"/>
      <c r="W8" s="6"/>
      <c r="X8" s="6"/>
      <c r="Y8" s="6"/>
      <c r="Z8" s="4" t="s">
        <v>9207</v>
      </c>
      <c r="AA8" s="6"/>
      <c r="AB8" s="5" t="s">
        <v>9208</v>
      </c>
    </row>
    <row r="9" ht="14.25">
      <c r="A9" s="4" t="s">
        <v>9211</v>
      </c>
      <c r="B9" s="4" t="s">
        <v>9210</v>
      </c>
      <c r="C9" s="4" t="s">
        <v>2636</v>
      </c>
      <c r="F9" s="4" t="s">
        <v>9212</v>
      </c>
      <c r="G9" s="4">
        <v>11</v>
      </c>
      <c r="H9" s="4" t="s">
        <v>9213</v>
      </c>
      <c r="I9" s="4" t="str">
        <f>IFERROR(__XLUDF.DUMMYFUNCTION("PROPER(REGEXREPLACE(G7,""[^A-Za-z]+ "",""""))"),"Place To B")</f>
        <v xml:space="preserve">Place To B</v>
      </c>
      <c r="J9" s="5" t="s">
        <v>9214</v>
      </c>
      <c r="K9" s="4" t="s">
        <v>1780</v>
      </c>
      <c r="L9" s="4" t="s">
        <v>9215</v>
      </c>
      <c r="M9" s="4" t="s">
        <v>29</v>
      </c>
      <c r="N9" s="4" t="s">
        <v>4067</v>
      </c>
      <c r="O9" s="4" t="str">
        <f>IFERROR(__XLUDF.DUMMYFUNCTION("VLOOKUP(M7,IMPORTRANGE(""https://docs.google.com/spreadsheets/d/1opm6ZNvGZ7KditA9TuJwrZ25eFLfTNIkrNnY6mhV5Eg"",""list!A1:C115""),3,TRUE)"),"le secteur du conseil en management")</f>
        <v xml:space="preserve">le secteur du conseil en management</v>
      </c>
      <c r="P9" s="6"/>
      <c r="R9" s="4" t="s">
        <v>39</v>
      </c>
      <c r="S9" s="4" t="s">
        <v>9160</v>
      </c>
      <c r="T9" s="4" t="s">
        <v>29</v>
      </c>
      <c r="U9" s="5" t="s">
        <v>9216</v>
      </c>
      <c r="V9" s="6"/>
      <c r="W9" s="5" t="s">
        <v>9217</v>
      </c>
      <c r="X9" s="6"/>
      <c r="Y9" s="6"/>
      <c r="Z9" s="4" t="s">
        <v>9218</v>
      </c>
      <c r="AA9" s="6"/>
      <c r="AB9" s="5" t="s">
        <v>9219</v>
      </c>
    </row>
    <row r="10" ht="14.25">
      <c r="A10" s="4" t="s">
        <v>9082</v>
      </c>
      <c r="B10" s="4" t="s">
        <v>7451</v>
      </c>
      <c r="C10" s="4" t="s">
        <v>9222</v>
      </c>
      <c r="F10" s="4" t="s">
        <v>9221</v>
      </c>
      <c r="G10" s="4">
        <v>38</v>
      </c>
      <c r="H10" s="4" t="s">
        <v>9223</v>
      </c>
      <c r="I10" s="4" t="str">
        <f>IFERROR(__XLUDF.DUMMYFUNCTION("PROPER(REGEXREPLACE(G8,""[^A-Za-z]+ "",""""))"),"Julien Corporate")</f>
        <v xml:space="preserve">Julien Corporate</v>
      </c>
      <c r="J10" s="5" t="s">
        <v>9224</v>
      </c>
      <c r="K10" s="4" t="s">
        <v>9225</v>
      </c>
      <c r="L10" s="4" t="s">
        <v>9226</v>
      </c>
      <c r="M10" s="4" t="s">
        <v>29</v>
      </c>
      <c r="N10" s="4" t="s">
        <v>4525</v>
      </c>
      <c r="O10" s="4" t="str">
        <f>IFERROR(__XLUDF.DUMMYFUNCTION("VLOOKUP(M8,IMPORTRANGE(""https://docs.google.com/spreadsheets/d/1opm6ZNvGZ7KditA9TuJwrZ25eFLfTNIkrNnY6mhV5Eg"",""list!A1:C115""),3,TRUE)"),"le secteur du retail")</f>
        <v xml:space="preserve">le secteur du retail</v>
      </c>
      <c r="P10" s="6"/>
      <c r="R10" s="6"/>
      <c r="S10" s="4" t="s">
        <v>9227</v>
      </c>
      <c r="T10" s="4" t="s">
        <v>29</v>
      </c>
      <c r="U10" s="5" t="s">
        <v>9228</v>
      </c>
      <c r="V10" s="6"/>
      <c r="W10" s="6"/>
      <c r="X10" s="6"/>
      <c r="Y10" s="6"/>
      <c r="Z10" s="4" t="s">
        <v>9229</v>
      </c>
      <c r="AA10" s="6"/>
      <c r="AB10" s="5" t="s">
        <v>9230</v>
      </c>
    </row>
    <row r="11" ht="14.25">
      <c r="A11" s="4" t="s">
        <v>9232</v>
      </c>
      <c r="B11" s="4" t="s">
        <v>948</v>
      </c>
      <c r="C11" s="4" t="s">
        <v>9234</v>
      </c>
      <c r="F11" s="4" t="s">
        <v>9233</v>
      </c>
      <c r="G11" s="4">
        <v>25</v>
      </c>
      <c r="H11" s="4" t="s">
        <v>9235</v>
      </c>
      <c r="I11" s="4" t="str">
        <f>IFERROR(__XLUDF.DUMMYFUNCTION("PROPER(REGEXREPLACE(G9,""[^A-Za-z]+ "",""""))"),"Bcm")</f>
        <v>Bcm</v>
      </c>
      <c r="J11" s="5" t="s">
        <v>9236</v>
      </c>
      <c r="K11" s="4" t="s">
        <v>9237</v>
      </c>
      <c r="L11" s="4" t="s">
        <v>9238</v>
      </c>
      <c r="M11" s="4" t="s">
        <v>29</v>
      </c>
      <c r="N11" s="4" t="s">
        <v>9239</v>
      </c>
      <c r="O11" s="4" t="str">
        <f>IFERROR(__XLUDF.DUMMYFUNCTION("VLOOKUP(M9,IMPORTRANGE(""https://docs.google.com/spreadsheets/d/1opm6ZNvGZ7KditA9TuJwrZ25eFLfTNIkrNnY6mhV5Eg"",""list!A1:C115""),3,TRUE)"),"le secteur de la construction")</f>
        <v xml:space="preserve">le secteur de la construction</v>
      </c>
      <c r="P11" s="4" t="s">
        <v>9240</v>
      </c>
      <c r="R11" s="4" t="s">
        <v>9241</v>
      </c>
      <c r="S11" s="4" t="s">
        <v>9238</v>
      </c>
      <c r="T11" s="4" t="s">
        <v>29</v>
      </c>
      <c r="U11" s="5" t="s">
        <v>9242</v>
      </c>
      <c r="V11" s="6"/>
      <c r="W11" s="6"/>
      <c r="X11" s="6"/>
      <c r="Y11" s="6"/>
      <c r="Z11" s="4" t="s">
        <v>9243</v>
      </c>
      <c r="AA11" s="6"/>
      <c r="AB11" s="5" t="s">
        <v>9244</v>
      </c>
    </row>
    <row r="12" ht="14.25">
      <c r="A12" s="4" t="s">
        <v>9246</v>
      </c>
      <c r="B12" s="4" t="s">
        <v>948</v>
      </c>
      <c r="C12" s="4" t="s">
        <v>9248</v>
      </c>
      <c r="F12" s="4" t="s">
        <v>9247</v>
      </c>
      <c r="G12" s="4">
        <v>20</v>
      </c>
      <c r="H12" s="4" t="s">
        <v>9249</v>
      </c>
      <c r="I12" s="4" t="str">
        <f>IFERROR(__XLUDF.DUMMYFUNCTION("PROPER(REGEXREPLACE(G10,""[^A-Za-z]+ "",""""))"),"Asystom")</f>
        <v>Asystom</v>
      </c>
      <c r="J12" s="5" t="s">
        <v>9250</v>
      </c>
      <c r="K12" s="4" t="s">
        <v>49</v>
      </c>
      <c r="L12" s="4" t="s">
        <v>9251</v>
      </c>
      <c r="M12" s="4" t="s">
        <v>29</v>
      </c>
      <c r="N12" s="4" t="s">
        <v>2602</v>
      </c>
      <c r="O12" s="4" t="str">
        <f>IFERROR(__XLUDF.DUMMYFUNCTION("VLOOKUP(M10,IMPORTRANGE(""https://docs.google.com/spreadsheets/d/1opm6ZNvGZ7KditA9TuJwrZ25eFLfTNIkrNnY6mhV5Eg"",""list!A1:C115""),3,TRUE)"),"le secteur de la tech")</f>
        <v xml:space="preserve">le secteur de la tech</v>
      </c>
      <c r="P12" s="4" t="s">
        <v>9252</v>
      </c>
      <c r="R12" s="4" t="s">
        <v>9253</v>
      </c>
      <c r="S12" s="4" t="s">
        <v>9254</v>
      </c>
      <c r="T12" s="4" t="s">
        <v>29</v>
      </c>
      <c r="U12" s="5" t="s">
        <v>9255</v>
      </c>
      <c r="V12" s="5" t="s">
        <v>9256</v>
      </c>
      <c r="W12" s="6"/>
      <c r="X12" s="6"/>
      <c r="Y12" s="6"/>
      <c r="Z12" s="4" t="s">
        <v>9257</v>
      </c>
      <c r="AA12" s="6"/>
      <c r="AB12" s="5" t="s">
        <v>9258</v>
      </c>
    </row>
    <row r="13" ht="14.25">
      <c r="A13" s="4" t="s">
        <v>9260</v>
      </c>
      <c r="B13" s="4" t="s">
        <v>95</v>
      </c>
      <c r="C13" s="4" t="s">
        <v>468</v>
      </c>
      <c r="F13" s="4" t="s">
        <v>9261</v>
      </c>
      <c r="G13" s="4">
        <v>19</v>
      </c>
      <c r="H13" s="4" t="s">
        <v>9262</v>
      </c>
      <c r="I13" s="4" t="str">
        <f>IFERROR(__XLUDF.DUMMYFUNCTION("PROPER(REGEXREPLACE(G11,""[^A-Za-z]+ "",""""))"),"Goron-Assi")</f>
        <v>Goron-Assi</v>
      </c>
      <c r="J13" s="5" t="s">
        <v>9263</v>
      </c>
      <c r="K13" s="4" t="s">
        <v>39</v>
      </c>
      <c r="L13" s="4" t="s">
        <v>9160</v>
      </c>
      <c r="M13" s="4" t="s">
        <v>29</v>
      </c>
      <c r="N13" s="4" t="s">
        <v>9264</v>
      </c>
      <c r="O13" s="4" t="str">
        <f>IFERROR(__XLUDF.DUMMYFUNCTION("VLOOKUP(M11,IMPORTRANGE(""https://docs.google.com/spreadsheets/d/1opm6ZNvGZ7KditA9TuJwrZ25eFLfTNIkrNnY6mhV5Eg"",""list!A1:C115""),3,TRUE)"),"le secteur de la sécurité informatique")</f>
        <v xml:space="preserve">le secteur de la sécurité informatique</v>
      </c>
      <c r="P13" s="4" t="s">
        <v>9265</v>
      </c>
      <c r="R13" s="4" t="s">
        <v>9266</v>
      </c>
      <c r="S13" s="4" t="s">
        <v>9267</v>
      </c>
      <c r="T13" s="4" t="s">
        <v>29</v>
      </c>
      <c r="U13" s="5" t="s">
        <v>9268</v>
      </c>
      <c r="V13" s="6"/>
      <c r="W13" s="6"/>
      <c r="X13" s="6"/>
      <c r="Y13" s="6"/>
      <c r="Z13" s="4" t="s">
        <v>9269</v>
      </c>
      <c r="AA13" s="6"/>
      <c r="AB13" s="5" t="s">
        <v>9270</v>
      </c>
    </row>
    <row r="14" ht="14.25">
      <c r="A14" s="4" t="s">
        <v>9273</v>
      </c>
      <c r="B14" s="4" t="s">
        <v>9272</v>
      </c>
      <c r="C14" s="4" t="s">
        <v>9275</v>
      </c>
      <c r="F14" s="4" t="s">
        <v>9274</v>
      </c>
      <c r="G14" s="4">
        <v>15</v>
      </c>
      <c r="H14" s="4" t="s">
        <v>9276</v>
      </c>
      <c r="I14" s="4" t="str">
        <f>IFERROR(__XLUDF.DUMMYFUNCTION("PROPER(REGEXREPLACE(G12,""[^A-Za-z]+ "",""""))"),"Ubik Ingénierie")</f>
        <v xml:space="preserve">Ubik Ingénierie</v>
      </c>
      <c r="J14" s="5" t="s">
        <v>9277</v>
      </c>
      <c r="K14" s="4" t="s">
        <v>846</v>
      </c>
      <c r="L14" s="4" t="s">
        <v>9278</v>
      </c>
      <c r="M14" s="4" t="s">
        <v>29</v>
      </c>
      <c r="N14" s="4" t="s">
        <v>2602</v>
      </c>
      <c r="O14" s="4" t="str">
        <f>IFERROR(__XLUDF.DUMMYFUNCTION("VLOOKUP(M12,IMPORTRANGE(""https://docs.google.com/spreadsheets/d/1opm6ZNvGZ7KditA9TuJwrZ25eFLfTNIkrNnY6mhV5Eg"",""list!A1:C115""),3,TRUE)"),"le secteur de la tech")</f>
        <v xml:space="preserve">le secteur de la tech</v>
      </c>
      <c r="P14" s="4" t="s">
        <v>9279</v>
      </c>
      <c r="R14" s="4" t="s">
        <v>9280</v>
      </c>
      <c r="S14" s="4" t="s">
        <v>9281</v>
      </c>
      <c r="T14" s="4" t="s">
        <v>29</v>
      </c>
      <c r="U14" s="5" t="s">
        <v>9282</v>
      </c>
      <c r="V14" s="5" t="s">
        <v>9283</v>
      </c>
      <c r="W14" s="5" t="s">
        <v>9284</v>
      </c>
      <c r="X14" s="6"/>
      <c r="Y14" s="6"/>
      <c r="Z14" s="4" t="s">
        <v>9285</v>
      </c>
      <c r="AA14" s="6"/>
      <c r="AB14" s="5" t="s">
        <v>9286</v>
      </c>
    </row>
    <row r="15" ht="14.25">
      <c r="A15" s="4" t="s">
        <v>9289</v>
      </c>
      <c r="B15" s="4" t="s">
        <v>9288</v>
      </c>
      <c r="C15" s="4" t="s">
        <v>9291</v>
      </c>
      <c r="F15" s="4" t="s">
        <v>9290</v>
      </c>
      <c r="G15" s="4">
        <v>28</v>
      </c>
      <c r="H15" s="4" t="s">
        <v>9292</v>
      </c>
      <c r="I15" s="4" t="str">
        <f>IFERROR(__XLUDF.DUMMYFUNCTION("PROPER(REGEXREPLACE(G13,""[^A-Za-z]+ "",""""))"),"Cynoia")</f>
        <v>Cynoia</v>
      </c>
      <c r="J15" s="5" t="s">
        <v>9293</v>
      </c>
      <c r="K15" s="4" t="s">
        <v>295</v>
      </c>
      <c r="L15" s="4" t="s">
        <v>9251</v>
      </c>
      <c r="M15" s="4" t="s">
        <v>29</v>
      </c>
      <c r="N15" s="4" t="s">
        <v>2602</v>
      </c>
      <c r="O15" s="4" t="str">
        <f>IFERROR(__XLUDF.DUMMYFUNCTION("VLOOKUP(M13,IMPORTRANGE(""https://docs.google.com/spreadsheets/d/1opm6ZNvGZ7KditA9TuJwrZ25eFLfTNIkrNnY6mhV5Eg"",""list!A1:C115""),3,TRUE)"),"le secteur de la tech")</f>
        <v xml:space="preserve">le secteur de la tech</v>
      </c>
      <c r="P15" s="4" t="s">
        <v>9294</v>
      </c>
      <c r="R15" s="4" t="s">
        <v>295</v>
      </c>
      <c r="S15" s="4" t="s">
        <v>9251</v>
      </c>
      <c r="T15" s="4" t="s">
        <v>29</v>
      </c>
      <c r="U15" s="5" t="s">
        <v>9295</v>
      </c>
      <c r="V15" s="5" t="s">
        <v>9296</v>
      </c>
      <c r="W15" s="5" t="s">
        <v>9297</v>
      </c>
      <c r="X15" s="6"/>
      <c r="Y15" s="6"/>
      <c r="Z15" s="4" t="s">
        <v>9298</v>
      </c>
      <c r="AA15" s="6"/>
      <c r="AB15" s="5" t="s">
        <v>9299</v>
      </c>
    </row>
    <row r="16" ht="14.25">
      <c r="A16" s="4" t="s">
        <v>9302</v>
      </c>
      <c r="B16" s="4" t="s">
        <v>9301</v>
      </c>
      <c r="C16" s="4" t="s">
        <v>9304</v>
      </c>
      <c r="F16" s="4" t="s">
        <v>9303</v>
      </c>
      <c r="G16" s="4">
        <v>13</v>
      </c>
      <c r="H16" s="4" t="s">
        <v>9305</v>
      </c>
      <c r="I16" s="4" t="str">
        <f>IFERROR(__XLUDF.DUMMYFUNCTION("PROPER(REGEXREPLACE(G14,""[^A-Za-z]+ "",""""))"),"Digimium")</f>
        <v>Digimium</v>
      </c>
      <c r="J16" s="5" t="s">
        <v>9306</v>
      </c>
      <c r="K16" s="4" t="s">
        <v>140</v>
      </c>
      <c r="L16" s="4" t="s">
        <v>9160</v>
      </c>
      <c r="M16" s="4" t="s">
        <v>29</v>
      </c>
      <c r="N16" s="4" t="s">
        <v>2602</v>
      </c>
      <c r="O16" s="4" t="str">
        <f>IFERROR(__XLUDF.DUMMYFUNCTION("VLOOKUP(M14,IMPORTRANGE(""https://docs.google.com/spreadsheets/d/1opm6ZNvGZ7KditA9TuJwrZ25eFLfTNIkrNnY6mhV5Eg"",""list!A1:C115""),3,TRUE)"),"le secteur de la tech")</f>
        <v xml:space="preserve">le secteur de la tech</v>
      </c>
      <c r="P16" s="4" t="s">
        <v>9307</v>
      </c>
      <c r="R16" s="4" t="s">
        <v>140</v>
      </c>
      <c r="S16" s="4" t="s">
        <v>9160</v>
      </c>
      <c r="T16" s="4" t="s">
        <v>29</v>
      </c>
      <c r="U16" s="5" t="s">
        <v>9308</v>
      </c>
      <c r="V16" s="6"/>
      <c r="W16" s="6"/>
      <c r="X16" s="6"/>
      <c r="Y16" s="6"/>
      <c r="Z16" s="4" t="s">
        <v>9309</v>
      </c>
      <c r="AA16" s="6"/>
      <c r="AB16" s="5" t="s">
        <v>9310</v>
      </c>
    </row>
    <row r="17" ht="14.25">
      <c r="A17" s="4" t="s">
        <v>9312</v>
      </c>
      <c r="B17" s="4" t="s">
        <v>95</v>
      </c>
      <c r="C17" s="4" t="s">
        <v>172</v>
      </c>
      <c r="F17" s="4" t="s">
        <v>9313</v>
      </c>
      <c r="G17" s="4">
        <v>11</v>
      </c>
      <c r="H17" s="4" t="s">
        <v>9314</v>
      </c>
      <c r="I17" s="4" t="str">
        <f>IFERROR(__XLUDF.DUMMYFUNCTION("PROPER(REGEXREPLACE(G15,""[^A-Za-z]+ "",""""))"),"Power Iti")</f>
        <v xml:space="preserve">Power Iti</v>
      </c>
      <c r="J17" s="5" t="s">
        <v>9315</v>
      </c>
      <c r="K17" s="4" t="s">
        <v>3848</v>
      </c>
      <c r="L17" s="4" t="s">
        <v>9251</v>
      </c>
      <c r="M17" s="4" t="s">
        <v>29</v>
      </c>
      <c r="N17" s="4" t="s">
        <v>2602</v>
      </c>
      <c r="O17" s="4" t="str">
        <f>IFERROR(__XLUDF.DUMMYFUNCTION("VLOOKUP(M15,IMPORTRANGE(""https://docs.google.com/spreadsheets/d/1opm6ZNvGZ7KditA9TuJwrZ25eFLfTNIkrNnY6mhV5Eg"",""list!A1:C115""),3,TRUE)"),"le secteur de la tech")</f>
        <v xml:space="preserve">le secteur de la tech</v>
      </c>
      <c r="P17" s="4" t="s">
        <v>9316</v>
      </c>
      <c r="R17" s="4" t="s">
        <v>9317</v>
      </c>
      <c r="S17" s="4" t="s">
        <v>9251</v>
      </c>
      <c r="T17" s="4" t="s">
        <v>29</v>
      </c>
      <c r="U17" s="5" t="s">
        <v>9318</v>
      </c>
      <c r="V17" s="6"/>
      <c r="W17" s="5" t="s">
        <v>9319</v>
      </c>
      <c r="X17" s="6"/>
      <c r="Y17" s="6"/>
      <c r="Z17" s="4" t="s">
        <v>9320</v>
      </c>
      <c r="AA17" s="6"/>
      <c r="AB17" s="5" t="s">
        <v>9321</v>
      </c>
    </row>
    <row r="18" ht="14.25">
      <c r="A18" s="4" t="s">
        <v>9324</v>
      </c>
      <c r="B18" s="4" t="s">
        <v>9323</v>
      </c>
      <c r="C18" s="4" t="s">
        <v>9326</v>
      </c>
      <c r="F18" s="4" t="s">
        <v>9325</v>
      </c>
      <c r="G18" s="4">
        <v>14</v>
      </c>
      <c r="H18" s="4" t="s">
        <v>9327</v>
      </c>
      <c r="I18" s="4" t="str">
        <f>IFERROR(__XLUDF.DUMMYFUNCTION("PROPER(REGEXREPLACE(G16,""[^A-Za-z]+ "",""""))"),"Healabs")</f>
        <v>Healabs</v>
      </c>
      <c r="J18" s="5" t="s">
        <v>9328</v>
      </c>
      <c r="K18" s="4" t="s">
        <v>185</v>
      </c>
      <c r="L18" s="4" t="s">
        <v>9193</v>
      </c>
      <c r="M18" s="4" t="s">
        <v>29</v>
      </c>
      <c r="N18" s="4" t="s">
        <v>2602</v>
      </c>
      <c r="O18" s="4" t="str">
        <f>IFERROR(__XLUDF.DUMMYFUNCTION("VLOOKUP(M16,IMPORTRANGE(""https://docs.google.com/spreadsheets/d/1opm6ZNvGZ7KditA9TuJwrZ25eFLfTNIkrNnY6mhV5Eg"",""list!A1:C115""),3,TRUE)"),"le secteur de la tech")</f>
        <v xml:space="preserve">le secteur de la tech</v>
      </c>
      <c r="P18" s="4" t="s">
        <v>9329</v>
      </c>
      <c r="R18" s="4" t="s">
        <v>9330</v>
      </c>
      <c r="S18" s="4" t="s">
        <v>9193</v>
      </c>
      <c r="T18" s="4" t="s">
        <v>29</v>
      </c>
      <c r="U18" s="5" t="s">
        <v>9331</v>
      </c>
      <c r="V18" s="6"/>
      <c r="W18" s="6"/>
      <c r="X18" s="6"/>
      <c r="Y18" s="6"/>
      <c r="Z18" s="4" t="s">
        <v>9332</v>
      </c>
      <c r="AA18" s="6"/>
      <c r="AB18" s="5" t="s">
        <v>9333</v>
      </c>
    </row>
    <row r="19" ht="14.25">
      <c r="A19" s="4" t="s">
        <v>9335</v>
      </c>
      <c r="B19" s="4" t="s">
        <v>874</v>
      </c>
      <c r="C19" s="4" t="s">
        <v>9337</v>
      </c>
      <c r="F19" s="4" t="s">
        <v>9336</v>
      </c>
      <c r="G19" s="4">
        <v>11</v>
      </c>
      <c r="H19" s="4" t="s">
        <v>9338</v>
      </c>
      <c r="I19" s="4" t="str">
        <f>IFERROR(__XLUDF.DUMMYFUNCTION("PROPER(REGEXREPLACE(G17,""[^A-Za-z]+ "",""""))"),"Pharmasoft")</f>
        <v>Pharmasoft</v>
      </c>
      <c r="J19" s="5" t="s">
        <v>9339</v>
      </c>
      <c r="K19" s="4" t="s">
        <v>4922</v>
      </c>
      <c r="L19" s="4" t="s">
        <v>9340</v>
      </c>
      <c r="M19" s="4" t="s">
        <v>29</v>
      </c>
      <c r="N19" s="4" t="s">
        <v>2602</v>
      </c>
      <c r="O19" s="4" t="str">
        <f>IFERROR(__XLUDF.DUMMYFUNCTION("VLOOKUP(M17,IMPORTRANGE(""https://docs.google.com/spreadsheets/d/1opm6ZNvGZ7KditA9TuJwrZ25eFLfTNIkrNnY6mhV5Eg"",""list!A1:C115""),3,TRUE)"),"le secteur de la tech")</f>
        <v xml:space="preserve">le secteur de la tech</v>
      </c>
      <c r="P19" s="4" t="s">
        <v>9341</v>
      </c>
      <c r="R19" s="4" t="s">
        <v>4922</v>
      </c>
      <c r="S19" s="4" t="s">
        <v>9215</v>
      </c>
      <c r="T19" s="4" t="s">
        <v>29</v>
      </c>
      <c r="U19" s="5" t="s">
        <v>9342</v>
      </c>
      <c r="V19" s="6"/>
      <c r="W19" s="6"/>
      <c r="X19" s="6"/>
      <c r="Y19" s="6"/>
      <c r="Z19" s="4" t="s">
        <v>9343</v>
      </c>
      <c r="AA19" s="6"/>
      <c r="AB19" s="5" t="s">
        <v>9344</v>
      </c>
    </row>
    <row r="20" ht="14.25">
      <c r="A20" s="4" t="s">
        <v>9346</v>
      </c>
      <c r="B20" s="4" t="s">
        <v>670</v>
      </c>
      <c r="C20" s="4" t="s">
        <v>7759</v>
      </c>
      <c r="F20" s="4" t="s">
        <v>9347</v>
      </c>
      <c r="G20" s="4">
        <v>10</v>
      </c>
      <c r="H20" s="4" t="s">
        <v>9348</v>
      </c>
      <c r="I20" s="4" t="str">
        <f>IFERROR(__XLUDF.DUMMYFUNCTION("PROPER(REGEXREPLACE(G18,""[^A-Za-z]+ "",""""))"),"Polypus")</f>
        <v>Polypus</v>
      </c>
      <c r="J20" s="4" t="s">
        <v>9349</v>
      </c>
      <c r="K20" s="4" t="s">
        <v>1711</v>
      </c>
      <c r="L20" s="4" t="s">
        <v>9350</v>
      </c>
      <c r="M20" s="4" t="s">
        <v>29</v>
      </c>
      <c r="N20" s="4" t="s">
        <v>4067</v>
      </c>
      <c r="O20" s="4" t="str">
        <f>IFERROR(__XLUDF.DUMMYFUNCTION("VLOOKUP(M18,IMPORTRANGE(""https://docs.google.com/spreadsheets/d/1opm6ZNvGZ7KditA9TuJwrZ25eFLfTNIkrNnY6mhV5Eg"",""list!A1:C115""),3,TRUE)"),"le secteur du conseil en management")</f>
        <v xml:space="preserve">le secteur du conseil en management</v>
      </c>
      <c r="P20" s="4" t="s">
        <v>9351</v>
      </c>
      <c r="R20" s="4" t="s">
        <v>185</v>
      </c>
      <c r="S20" s="4" t="s">
        <v>9193</v>
      </c>
      <c r="T20" s="4" t="s">
        <v>29</v>
      </c>
      <c r="U20" s="5" t="s">
        <v>9352</v>
      </c>
      <c r="V20" s="6"/>
      <c r="W20" s="6"/>
      <c r="X20" s="6"/>
      <c r="Y20" s="6"/>
      <c r="Z20" s="4" t="s">
        <v>9353</v>
      </c>
      <c r="AA20" s="6"/>
      <c r="AB20" s="5" t="s">
        <v>9354</v>
      </c>
    </row>
    <row r="21" ht="14.25">
      <c r="A21" s="4" t="s">
        <v>9356</v>
      </c>
      <c r="B21" s="4" t="s">
        <v>4425</v>
      </c>
      <c r="C21" s="4" t="s">
        <v>9358</v>
      </c>
      <c r="F21" s="4" t="s">
        <v>9357</v>
      </c>
      <c r="G21" s="4">
        <v>11</v>
      </c>
      <c r="H21" s="4" t="s">
        <v>9359</v>
      </c>
      <c r="I21" s="4" t="str">
        <f>IFERROR(__XLUDF.DUMMYFUNCTION("PROPER(REGEXREPLACE(G19,""[^A-Za-z]+ "",""""))"),"Nova")</f>
        <v>Nova</v>
      </c>
      <c r="J21" s="5" t="s">
        <v>9360</v>
      </c>
      <c r="K21" s="4" t="s">
        <v>9195</v>
      </c>
      <c r="L21" s="4" t="s">
        <v>9160</v>
      </c>
      <c r="M21" s="4" t="s">
        <v>29</v>
      </c>
      <c r="N21" s="4" t="s">
        <v>4067</v>
      </c>
      <c r="O21" s="4" t="str">
        <f>IFERROR(__XLUDF.DUMMYFUNCTION("VLOOKUP(M19,IMPORTRANGE(""https://docs.google.com/spreadsheets/d/1opm6ZNvGZ7KditA9TuJwrZ25eFLfTNIkrNnY6mhV5Eg"",""list!A1:C115""),3,TRUE)"),"le secteur du conseil en management")</f>
        <v xml:space="preserve">le secteur du conseil en management</v>
      </c>
      <c r="P21" s="4" t="s">
        <v>9361</v>
      </c>
      <c r="R21" s="4" t="s">
        <v>9195</v>
      </c>
      <c r="S21" s="4" t="s">
        <v>9160</v>
      </c>
      <c r="T21" s="4" t="s">
        <v>29</v>
      </c>
      <c r="U21" s="5" t="s">
        <v>9362</v>
      </c>
      <c r="V21" s="5" t="s">
        <v>9363</v>
      </c>
      <c r="W21" s="5" t="s">
        <v>9364</v>
      </c>
      <c r="X21" s="6"/>
      <c r="Y21" s="6"/>
      <c r="Z21" s="4" t="s">
        <v>9365</v>
      </c>
      <c r="AA21" s="6"/>
      <c r="AB21" s="5" t="s">
        <v>9366</v>
      </c>
    </row>
    <row r="22" ht="14.25">
      <c r="A22" s="4" t="s">
        <v>9368</v>
      </c>
      <c r="B22" s="4" t="s">
        <v>1654</v>
      </c>
      <c r="C22" s="4" t="s">
        <v>7759</v>
      </c>
      <c r="F22" s="4" t="s">
        <v>9369</v>
      </c>
      <c r="G22" s="4">
        <v>31</v>
      </c>
      <c r="H22" s="4" t="s">
        <v>9370</v>
      </c>
      <c r="I22" s="4" t="str">
        <f>IFERROR(__XLUDF.DUMMYFUNCTION("PROPER(REGEXREPLACE(G20,""[^A-Za-z]+ "",""""))"),"Ampc")</f>
        <v>Ampc</v>
      </c>
      <c r="J22" s="5" t="s">
        <v>9371</v>
      </c>
      <c r="K22" s="4" t="s">
        <v>9372</v>
      </c>
      <c r="L22" s="4" t="s">
        <v>9193</v>
      </c>
      <c r="M22" s="4" t="s">
        <v>29</v>
      </c>
      <c r="N22" s="4" t="s">
        <v>9239</v>
      </c>
      <c r="O22" s="4" t="str">
        <f>IFERROR(__XLUDF.DUMMYFUNCTION("VLOOKUP(M20,IMPORTRANGE(""https://docs.google.com/spreadsheets/d/1opm6ZNvGZ7KditA9TuJwrZ25eFLfTNIkrNnY6mhV5Eg"",""list!A1:C115""),3,TRUE)"),"le secteur de la construction")</f>
        <v xml:space="preserve">le secteur de la construction</v>
      </c>
      <c r="P22" s="6"/>
      <c r="R22" s="4" t="s">
        <v>9372</v>
      </c>
      <c r="S22" s="4" t="s">
        <v>9172</v>
      </c>
      <c r="T22" s="4" t="s">
        <v>29</v>
      </c>
      <c r="U22" s="5" t="s">
        <v>9373</v>
      </c>
      <c r="V22" s="6"/>
      <c r="W22" s="6"/>
      <c r="X22" s="6"/>
      <c r="Y22" s="6"/>
      <c r="Z22" s="4" t="s">
        <v>9374</v>
      </c>
      <c r="AA22" s="6"/>
      <c r="AB22" s="5" t="s">
        <v>9375</v>
      </c>
    </row>
    <row r="23" ht="14.25">
      <c r="A23" s="4" t="s">
        <v>9378</v>
      </c>
      <c r="B23" s="4" t="s">
        <v>9377</v>
      </c>
      <c r="C23" s="4" t="s">
        <v>112</v>
      </c>
      <c r="F23" s="4" t="s">
        <v>9379</v>
      </c>
      <c r="G23" s="4">
        <v>10</v>
      </c>
      <c r="H23" s="4" t="s">
        <v>9380</v>
      </c>
      <c r="I23" s="4" t="str">
        <f>IFERROR(__XLUDF.DUMMYFUNCTION("PROPER(REGEXREPLACE(G21,""[^A-Za-z]+ "",""""))"),"Idea Environnement")</f>
        <v xml:space="preserve">Idea Environnement</v>
      </c>
      <c r="J23" s="5" t="s">
        <v>9381</v>
      </c>
      <c r="K23" s="4" t="s">
        <v>9382</v>
      </c>
      <c r="L23" s="4" t="s">
        <v>9160</v>
      </c>
      <c r="M23" s="4" t="s">
        <v>29</v>
      </c>
      <c r="N23" s="4" t="s">
        <v>9239</v>
      </c>
      <c r="O23" s="4" t="str">
        <f>IFERROR(__XLUDF.DUMMYFUNCTION("VLOOKUP(M21,IMPORTRANGE(""https://docs.google.com/spreadsheets/d/1opm6ZNvGZ7KditA9TuJwrZ25eFLfTNIkrNnY6mhV5Eg"",""list!A1:C115""),3,TRUE)"),"le secteur de la construction")</f>
        <v xml:space="preserve">le secteur de la construction</v>
      </c>
      <c r="P23" s="6"/>
      <c r="R23" s="6"/>
      <c r="S23" s="6"/>
      <c r="T23" s="6"/>
      <c r="U23" s="5" t="s">
        <v>9383</v>
      </c>
      <c r="V23" s="6"/>
      <c r="W23" s="6"/>
      <c r="X23" s="6"/>
      <c r="Y23" s="6"/>
      <c r="Z23" s="4" t="s">
        <v>9384</v>
      </c>
      <c r="AA23" s="6"/>
      <c r="AB23" s="5" t="s">
        <v>9385</v>
      </c>
    </row>
    <row r="24" ht="14.25">
      <c r="A24" s="4" t="s">
        <v>9387</v>
      </c>
      <c r="B24" s="4" t="s">
        <v>95</v>
      </c>
      <c r="C24" s="4" t="s">
        <v>9389</v>
      </c>
      <c r="F24" s="4" t="s">
        <v>9388</v>
      </c>
      <c r="G24" s="4">
        <v>31</v>
      </c>
      <c r="H24" s="4" t="s">
        <v>9390</v>
      </c>
      <c r="I24" s="4" t="str">
        <f>IFERROR(__XLUDF.DUMMYFUNCTION("PROPER(REGEXREPLACE(G22,""[^A-Za-z]+ "",""""))"),"Custup")</f>
        <v>Custup</v>
      </c>
      <c r="J24" s="5" t="s">
        <v>9391</v>
      </c>
      <c r="K24" s="4" t="s">
        <v>39</v>
      </c>
      <c r="L24" s="4" t="s">
        <v>9160</v>
      </c>
      <c r="M24" s="4" t="s">
        <v>29</v>
      </c>
      <c r="N24" s="4" t="s">
        <v>4067</v>
      </c>
      <c r="O24" s="4" t="str">
        <f>IFERROR(__XLUDF.DUMMYFUNCTION("VLOOKUP(M22,IMPORTRANGE(""https://docs.google.com/spreadsheets/d/1opm6ZNvGZ7KditA9TuJwrZ25eFLfTNIkrNnY6mhV5Eg"",""list!A1:C115""),3,TRUE)"),"le secteur du conseil en management")</f>
        <v xml:space="preserve">le secteur du conseil en management</v>
      </c>
      <c r="P24" s="4" t="s">
        <v>9392</v>
      </c>
      <c r="R24" s="4" t="s">
        <v>4767</v>
      </c>
      <c r="S24" s="4" t="s">
        <v>9160</v>
      </c>
      <c r="T24" s="4" t="s">
        <v>29</v>
      </c>
      <c r="U24" s="5" t="s">
        <v>9393</v>
      </c>
      <c r="V24" s="6"/>
      <c r="W24" s="5" t="s">
        <v>9394</v>
      </c>
      <c r="X24" s="6"/>
      <c r="Y24" s="6"/>
      <c r="Z24" s="4" t="s">
        <v>9395</v>
      </c>
      <c r="AA24" s="6"/>
      <c r="AB24" s="5" t="s">
        <v>9396</v>
      </c>
    </row>
    <row r="25" ht="14.25">
      <c r="A25" s="4" t="s">
        <v>9398</v>
      </c>
      <c r="B25" s="4" t="s">
        <v>9179</v>
      </c>
      <c r="C25" s="4" t="s">
        <v>341</v>
      </c>
      <c r="F25" s="4" t="s">
        <v>9399</v>
      </c>
      <c r="G25" s="4">
        <v>15</v>
      </c>
      <c r="H25" s="4" t="s">
        <v>9400</v>
      </c>
      <c r="I25" s="4" t="str">
        <f>IFERROR(__XLUDF.DUMMYFUNCTION("PROPER(REGEXREPLACE(G23,""[^A-Za-z]+ "",""""))"),"Dhm Tech")</f>
        <v xml:space="preserve">Dhm Tech</v>
      </c>
      <c r="J25" s="5" t="s">
        <v>9401</v>
      </c>
      <c r="K25" s="4" t="s">
        <v>9402</v>
      </c>
      <c r="L25" s="4" t="s">
        <v>9160</v>
      </c>
      <c r="M25" s="4" t="s">
        <v>29</v>
      </c>
      <c r="N25" s="4" t="s">
        <v>2602</v>
      </c>
      <c r="O25" s="4" t="str">
        <f>IFERROR(__XLUDF.DUMMYFUNCTION("VLOOKUP(M23,IMPORTRANGE(""https://docs.google.com/spreadsheets/d/1opm6ZNvGZ7KditA9TuJwrZ25eFLfTNIkrNnY6mhV5Eg"",""list!A1:C115""),3,TRUE)"),"le secteur de la tech")</f>
        <v xml:space="preserve">le secteur de la tech</v>
      </c>
      <c r="P25" s="6"/>
      <c r="R25" s="4" t="s">
        <v>9403</v>
      </c>
      <c r="S25" s="4" t="s">
        <v>9160</v>
      </c>
      <c r="T25" s="4" t="s">
        <v>29</v>
      </c>
      <c r="U25" s="5" t="s">
        <v>9404</v>
      </c>
      <c r="V25" s="6"/>
      <c r="W25" s="6"/>
      <c r="X25" s="6"/>
      <c r="Y25" s="6"/>
      <c r="Z25" s="4" t="s">
        <v>9405</v>
      </c>
      <c r="AA25" s="6"/>
      <c r="AB25" s="5" t="s">
        <v>9406</v>
      </c>
    </row>
    <row r="26" ht="14.25">
      <c r="A26" s="4" t="s">
        <v>9408</v>
      </c>
      <c r="B26" s="4" t="s">
        <v>95</v>
      </c>
      <c r="C26" s="4" t="s">
        <v>9410</v>
      </c>
      <c r="F26" s="4" t="s">
        <v>9409</v>
      </c>
      <c r="G26" s="4">
        <v>19</v>
      </c>
      <c r="H26" s="4" t="s">
        <v>9411</v>
      </c>
      <c r="I26" s="4" t="str">
        <f>IFERROR(__XLUDF.DUMMYFUNCTION("PROPER(REGEXREPLACE(G24,""[^A-Za-z]+ "",""""))"),"Bredhill Consulting")</f>
        <v xml:space="preserve">Bredhill Consulting</v>
      </c>
      <c r="J26" s="5" t="s">
        <v>9412</v>
      </c>
      <c r="K26" s="4" t="s">
        <v>39</v>
      </c>
      <c r="L26" s="4" t="s">
        <v>9160</v>
      </c>
      <c r="M26" s="4" t="s">
        <v>29</v>
      </c>
      <c r="N26" s="4" t="s">
        <v>4067</v>
      </c>
      <c r="O26" s="4" t="str">
        <f>IFERROR(__XLUDF.DUMMYFUNCTION("VLOOKUP(M24,IMPORTRANGE(""https://docs.google.com/spreadsheets/d/1opm6ZNvGZ7KditA9TuJwrZ25eFLfTNIkrNnY6mhV5Eg"",""list!A1:C115""),3,TRUE)"),"le secteur du conseil en management")</f>
        <v xml:space="preserve">le secteur du conseil en management</v>
      </c>
      <c r="P26" s="4" t="s">
        <v>9413</v>
      </c>
      <c r="R26" s="4" t="s">
        <v>39</v>
      </c>
      <c r="S26" s="4" t="s">
        <v>9160</v>
      </c>
      <c r="T26" s="4" t="s">
        <v>29</v>
      </c>
      <c r="U26" s="5" t="s">
        <v>9414</v>
      </c>
      <c r="V26" s="6"/>
      <c r="W26" s="6"/>
      <c r="X26" s="6"/>
      <c r="Y26" s="6"/>
      <c r="Z26" s="4" t="s">
        <v>9415</v>
      </c>
      <c r="AA26" s="6"/>
      <c r="AB26" s="5" t="s">
        <v>9416</v>
      </c>
    </row>
    <row r="27" ht="14.25">
      <c r="A27" s="4" t="s">
        <v>9418</v>
      </c>
      <c r="B27" s="4" t="s">
        <v>653</v>
      </c>
      <c r="C27" s="4" t="s">
        <v>1162</v>
      </c>
      <c r="F27" s="4" t="s">
        <v>9419</v>
      </c>
      <c r="G27" s="4">
        <v>32</v>
      </c>
      <c r="H27" s="4" t="s">
        <v>9420</v>
      </c>
      <c r="I27" s="4" t="str">
        <f>IFERROR(__XLUDF.DUMMYFUNCTION("PROPER(REGEXREPLACE(G25,""[^A-Za-z]+ "",""""))"),"Sas Rihet")</f>
        <v xml:space="preserve">Sas Rihet</v>
      </c>
      <c r="J27" s="5" t="s">
        <v>9421</v>
      </c>
      <c r="K27" s="4" t="s">
        <v>1826</v>
      </c>
      <c r="L27" s="4" t="s">
        <v>9227</v>
      </c>
      <c r="M27" s="4" t="s">
        <v>29</v>
      </c>
      <c r="N27" s="4" t="s">
        <v>9239</v>
      </c>
      <c r="O27" s="4" t="str">
        <f>IFERROR(__XLUDF.DUMMYFUNCTION("VLOOKUP(M25,IMPORTRANGE(""https://docs.google.com/spreadsheets/d/1opm6ZNvGZ7KditA9TuJwrZ25eFLfTNIkrNnY6mhV5Eg"",""list!A1:C115""),3,TRUE)"),"le secteur de la construction")</f>
        <v xml:space="preserve">le secteur de la construction</v>
      </c>
      <c r="P27" s="4" t="s">
        <v>9422</v>
      </c>
      <c r="R27" s="4" t="s">
        <v>9423</v>
      </c>
      <c r="S27" s="4" t="s">
        <v>9227</v>
      </c>
      <c r="T27" s="4" t="s">
        <v>29</v>
      </c>
      <c r="U27" s="5" t="s">
        <v>9424</v>
      </c>
      <c r="V27" s="6"/>
      <c r="W27" s="5" t="s">
        <v>9425</v>
      </c>
      <c r="X27" s="6"/>
      <c r="Y27" s="6"/>
      <c r="Z27" s="4" t="s">
        <v>9426</v>
      </c>
      <c r="AA27" s="6"/>
      <c r="AB27" s="5" t="s">
        <v>9427</v>
      </c>
    </row>
    <row r="28" ht="14.25">
      <c r="A28" s="4" t="s">
        <v>9429</v>
      </c>
      <c r="B28" s="4" t="s">
        <v>653</v>
      </c>
      <c r="C28" s="4" t="s">
        <v>9431</v>
      </c>
      <c r="F28" s="4" t="s">
        <v>9430</v>
      </c>
      <c r="G28" s="4">
        <v>21</v>
      </c>
      <c r="H28" s="4" t="s">
        <v>9432</v>
      </c>
      <c r="I28" s="4" t="str">
        <f>IFERROR(__XLUDF.DUMMYFUNCTION("PROPER(REGEXREPLACE(G26,""[^A-Za-z]+ "",""""))"),"Shodo Nantes")</f>
        <v xml:space="preserve">Shodo Nantes</v>
      </c>
      <c r="J28" s="6"/>
      <c r="K28" s="4" t="s">
        <v>1711</v>
      </c>
      <c r="L28" s="4" t="s">
        <v>9350</v>
      </c>
      <c r="M28" s="4" t="s">
        <v>29</v>
      </c>
      <c r="N28" s="4" t="s">
        <v>2602</v>
      </c>
      <c r="O28" s="4" t="str">
        <f>IFERROR(__XLUDF.DUMMYFUNCTION("VLOOKUP(M26,IMPORTRANGE(""https://docs.google.com/spreadsheets/d/1opm6ZNvGZ7KditA9TuJwrZ25eFLfTNIkrNnY6mhV5Eg"",""list!A1:C115""),3,TRUE)"),"le secteur de la tech")</f>
        <v xml:space="preserve">le secteur de la tech</v>
      </c>
      <c r="P28" s="6"/>
      <c r="R28" s="4" t="s">
        <v>1711</v>
      </c>
      <c r="S28" s="4" t="s">
        <v>9350</v>
      </c>
      <c r="T28" s="4" t="s">
        <v>29</v>
      </c>
      <c r="U28" s="5" t="s">
        <v>9433</v>
      </c>
      <c r="V28" s="6"/>
      <c r="W28" s="6"/>
      <c r="X28" s="6"/>
      <c r="Y28" s="6"/>
      <c r="Z28" s="4" t="s">
        <v>9434</v>
      </c>
      <c r="AA28" s="6"/>
      <c r="AB28" s="5" t="s">
        <v>9435</v>
      </c>
    </row>
    <row r="29" ht="14.25">
      <c r="A29" s="4" t="s">
        <v>9437</v>
      </c>
      <c r="B29" s="4" t="s">
        <v>653</v>
      </c>
      <c r="C29" s="4" t="s">
        <v>7759</v>
      </c>
      <c r="F29" s="4" t="s">
        <v>9438</v>
      </c>
      <c r="G29" s="4">
        <v>20</v>
      </c>
      <c r="H29" s="4" t="s">
        <v>9439</v>
      </c>
      <c r="I29" s="4" t="str">
        <f>IFERROR(__XLUDF.DUMMYFUNCTION("PROPER(REGEXREPLACE(G27,""[^A-Za-z]+ "",""""))"),"Carrettabâtimentgénie Civil")</f>
        <v xml:space="preserve">Carrettabâtimentgénie Civil</v>
      </c>
      <c r="J29" s="5" t="s">
        <v>9440</v>
      </c>
      <c r="K29" s="4" t="s">
        <v>9441</v>
      </c>
      <c r="L29" s="4" t="s">
        <v>9193</v>
      </c>
      <c r="M29" s="4" t="s">
        <v>29</v>
      </c>
      <c r="N29" s="4" t="s">
        <v>9239</v>
      </c>
      <c r="O29" s="4" t="str">
        <f>IFERROR(__XLUDF.DUMMYFUNCTION("VLOOKUP(M27,IMPORTRANGE(""https://docs.google.com/spreadsheets/d/1opm6ZNvGZ7KditA9TuJwrZ25eFLfTNIkrNnY6mhV5Eg"",""list!A1:C115""),3,TRUE)"),"le secteur de la construction")</f>
        <v xml:space="preserve">le secteur de la construction</v>
      </c>
      <c r="P29" s="6"/>
      <c r="R29" s="4" t="s">
        <v>9441</v>
      </c>
      <c r="S29" s="4" t="s">
        <v>9193</v>
      </c>
      <c r="T29" s="4" t="s">
        <v>29</v>
      </c>
      <c r="U29" s="5" t="s">
        <v>9442</v>
      </c>
      <c r="V29" s="6"/>
      <c r="W29" s="6"/>
      <c r="X29" s="6"/>
      <c r="Y29" s="6"/>
      <c r="Z29" s="4" t="s">
        <v>9443</v>
      </c>
      <c r="AA29" s="6"/>
      <c r="AB29" s="5" t="s">
        <v>9444</v>
      </c>
    </row>
    <row r="30" ht="14.25">
      <c r="A30" s="4" t="s">
        <v>3257</v>
      </c>
      <c r="B30" s="4" t="s">
        <v>670</v>
      </c>
      <c r="C30" s="4" t="s">
        <v>1231</v>
      </c>
      <c r="F30" s="4" t="s">
        <v>9446</v>
      </c>
      <c r="G30" s="4">
        <v>22</v>
      </c>
      <c r="H30" s="4" t="s">
        <v>9447</v>
      </c>
      <c r="I30" s="4" t="str">
        <f>IFERROR(__XLUDF.DUMMYFUNCTION("PROPER(REGEXREPLACE(G28,""[^A-Za-z]+ "",""""))"),"Opstim")</f>
        <v>Opstim</v>
      </c>
      <c r="J30" s="5" t="s">
        <v>9448</v>
      </c>
      <c r="K30" s="4" t="s">
        <v>39</v>
      </c>
      <c r="L30" s="4" t="s">
        <v>9160</v>
      </c>
      <c r="M30" s="4" t="s">
        <v>29</v>
      </c>
      <c r="N30" s="4" t="s">
        <v>2602</v>
      </c>
      <c r="O30" s="4" t="str">
        <f>IFERROR(__XLUDF.DUMMYFUNCTION("VLOOKUP(M28,IMPORTRANGE(""https://docs.google.com/spreadsheets/d/1opm6ZNvGZ7KditA9TuJwrZ25eFLfTNIkrNnY6mhV5Eg"",""list!A1:C115""),3,TRUE)"),"le secteur de la tech")</f>
        <v xml:space="preserve">le secteur de la tech</v>
      </c>
      <c r="P30" s="4" t="s">
        <v>9449</v>
      </c>
      <c r="R30" s="4" t="s">
        <v>39</v>
      </c>
      <c r="S30" s="4" t="s">
        <v>9160</v>
      </c>
      <c r="T30" s="4" t="s">
        <v>29</v>
      </c>
      <c r="U30" s="5" t="s">
        <v>9450</v>
      </c>
      <c r="V30" s="6"/>
      <c r="W30" s="6"/>
      <c r="X30" s="6"/>
      <c r="Y30" s="6"/>
      <c r="Z30" s="4" t="s">
        <v>9451</v>
      </c>
      <c r="AA30" s="6"/>
      <c r="AB30" s="5" t="s">
        <v>9452</v>
      </c>
    </row>
    <row r="31" ht="14.25">
      <c r="A31" s="4" t="s">
        <v>9454</v>
      </c>
      <c r="B31" s="4" t="s">
        <v>874</v>
      </c>
      <c r="C31" s="4" t="s">
        <v>9456</v>
      </c>
      <c r="F31" s="4" t="s">
        <v>9455</v>
      </c>
      <c r="G31" s="4">
        <v>10</v>
      </c>
      <c r="H31" s="4" t="s">
        <v>9457</v>
      </c>
      <c r="I31" s="4" t="str">
        <f>IFERROR(__XLUDF.DUMMYFUNCTION("PROPER(REGEXREPLACE(G29,""[^A-Za-z]+ "",""""))"),"Attitude Si")</f>
        <v xml:space="preserve">Attitude Si</v>
      </c>
      <c r="J31" s="5" t="s">
        <v>9458</v>
      </c>
      <c r="K31" s="4" t="s">
        <v>9459</v>
      </c>
      <c r="L31" s="4" t="s">
        <v>9460</v>
      </c>
      <c r="M31" s="4" t="s">
        <v>29</v>
      </c>
      <c r="N31" s="4" t="s">
        <v>9461</v>
      </c>
      <c r="O31" s="4" t="str">
        <f>IFERROR(__XLUDF.DUMMYFUNCTION("VLOOKUP(M29,IMPORTRANGE(""https://docs.google.com/spreadsheets/d/1opm6ZNvGZ7KditA9TuJwrZ25eFLfTNIkrNnY6mhV5Eg"",""list!A1:C115""),3,TRUE)"),"le secteur des services d'information")</f>
        <v xml:space="preserve">le secteur des services d'information</v>
      </c>
      <c r="P31" s="4" t="s">
        <v>9462</v>
      </c>
      <c r="R31" s="4" t="s">
        <v>9459</v>
      </c>
      <c r="S31" s="4" t="s">
        <v>9463</v>
      </c>
      <c r="T31" s="4" t="s">
        <v>29</v>
      </c>
      <c r="U31" s="5" t="s">
        <v>9464</v>
      </c>
      <c r="V31" s="6"/>
      <c r="W31" s="5" t="s">
        <v>9465</v>
      </c>
      <c r="X31" s="6"/>
      <c r="Y31" s="6"/>
      <c r="Z31" s="4" t="s">
        <v>9466</v>
      </c>
      <c r="AA31" s="6"/>
      <c r="AB31" s="5" t="s">
        <v>9467</v>
      </c>
    </row>
    <row r="32" ht="14.25">
      <c r="A32" s="4" t="s">
        <v>9469</v>
      </c>
      <c r="B32" s="4" t="s">
        <v>2299</v>
      </c>
      <c r="C32" s="4" t="s">
        <v>112</v>
      </c>
      <c r="F32" s="4" t="s">
        <v>9470</v>
      </c>
      <c r="G32" s="4">
        <v>14</v>
      </c>
      <c r="H32" s="4" t="s">
        <v>9471</v>
      </c>
      <c r="I32" s="4" t="str">
        <f>IFERROR(__XLUDF.DUMMYFUNCTION("PROPER(REGEXREPLACE(G30,""[^A-Za-z]+ "",""""))"),"Pierre Bergassociés")</f>
        <v xml:space="preserve">Pierre Bergassociés</v>
      </c>
      <c r="J32" s="6"/>
      <c r="K32" s="4" t="s">
        <v>9472</v>
      </c>
      <c r="L32" s="4" t="s">
        <v>9473</v>
      </c>
      <c r="M32" s="4" t="s">
        <v>29</v>
      </c>
      <c r="N32" s="4" t="s">
        <v>4525</v>
      </c>
      <c r="O32" s="4" t="str">
        <f>IFERROR(__XLUDF.DUMMYFUNCTION("VLOOKUP(M30,IMPORTRANGE(""https://docs.google.com/spreadsheets/d/1opm6ZNvGZ7KditA9TuJwrZ25eFLfTNIkrNnY6mhV5Eg"",""list!A1:C115""),3,TRUE)"),"le secteur du retail")</f>
        <v xml:space="preserve">le secteur du retail</v>
      </c>
      <c r="P32" s="4" t="s">
        <v>9474</v>
      </c>
      <c r="R32" s="4" t="s">
        <v>39</v>
      </c>
      <c r="S32" s="4" t="s">
        <v>9160</v>
      </c>
      <c r="T32" s="4" t="s">
        <v>29</v>
      </c>
      <c r="U32" s="5" t="s">
        <v>9475</v>
      </c>
      <c r="V32" s="6"/>
      <c r="W32" s="6"/>
      <c r="X32" s="6"/>
      <c r="Y32" s="6"/>
      <c r="Z32" s="4" t="s">
        <v>9476</v>
      </c>
      <c r="AA32" s="6"/>
      <c r="AB32" s="5" t="s">
        <v>9477</v>
      </c>
    </row>
    <row r="33" ht="14.25">
      <c r="A33" s="4" t="s">
        <v>1667</v>
      </c>
      <c r="B33" s="4" t="s">
        <v>9479</v>
      </c>
      <c r="C33" s="4" t="s">
        <v>9481</v>
      </c>
      <c r="F33" s="4" t="s">
        <v>9480</v>
      </c>
      <c r="G33" s="4">
        <v>12</v>
      </c>
      <c r="H33" s="4" t="s">
        <v>9482</v>
      </c>
      <c r="I33" s="4" t="str">
        <f>IFERROR(__XLUDF.DUMMYFUNCTION("PROPER(REGEXREPLACE(G31,""[^A-Za-z]+ "",""""))"),"Tradibat")</f>
        <v>Tradibat</v>
      </c>
      <c r="J33" s="5" t="s">
        <v>9483</v>
      </c>
      <c r="K33" s="6"/>
      <c r="L33" s="6"/>
      <c r="M33" s="4" t="s">
        <v>29</v>
      </c>
      <c r="N33" s="4" t="s">
        <v>9239</v>
      </c>
      <c r="O33" s="4" t="str">
        <f>IFERROR(__XLUDF.DUMMYFUNCTION("VLOOKUP(M31,IMPORTRANGE(""https://docs.google.com/spreadsheets/d/1opm6ZNvGZ7KditA9TuJwrZ25eFLfTNIkrNnY6mhV5Eg"",""list!A1:C115""),3,TRUE)"),"le secteur de la construction")</f>
        <v xml:space="preserve">le secteur de la construction</v>
      </c>
      <c r="P33" s="6"/>
      <c r="R33" s="4" t="s">
        <v>6954</v>
      </c>
      <c r="S33" s="4" t="s">
        <v>9484</v>
      </c>
      <c r="T33" s="4" t="s">
        <v>29</v>
      </c>
      <c r="U33" s="5" t="s">
        <v>9485</v>
      </c>
      <c r="V33" s="5" t="s">
        <v>9486</v>
      </c>
      <c r="W33" s="5" t="s">
        <v>9487</v>
      </c>
      <c r="X33" s="6"/>
      <c r="Y33" s="6"/>
      <c r="Z33" s="4" t="s">
        <v>9488</v>
      </c>
      <c r="AA33" s="6"/>
      <c r="AB33" s="5" t="s">
        <v>9489</v>
      </c>
    </row>
    <row r="34" ht="14.25">
      <c r="A34" s="4" t="s">
        <v>5351</v>
      </c>
      <c r="B34" s="4" t="s">
        <v>9479</v>
      </c>
      <c r="C34" s="4" t="s">
        <v>9410</v>
      </c>
      <c r="F34" s="4" t="s">
        <v>9491</v>
      </c>
      <c r="G34" s="4">
        <v>13</v>
      </c>
      <c r="H34" s="4" t="s">
        <v>9492</v>
      </c>
      <c r="I34" s="4" t="str">
        <f>IFERROR(__XLUDF.DUMMYFUNCTION("PROPER(REGEXREPLACE(G32,""[^A-Za-z]+ "",""""))"),"Gembaware")</f>
        <v>Gembaware</v>
      </c>
      <c r="J34" s="5" t="s">
        <v>9493</v>
      </c>
      <c r="K34" s="4" t="s">
        <v>83</v>
      </c>
      <c r="L34" s="4" t="s">
        <v>9460</v>
      </c>
      <c r="M34" s="4" t="s">
        <v>29</v>
      </c>
      <c r="N34" s="4" t="s">
        <v>2602</v>
      </c>
      <c r="O34" s="4" t="str">
        <f>IFERROR(__XLUDF.DUMMYFUNCTION("VLOOKUP(M32,IMPORTRANGE(""https://docs.google.com/spreadsheets/d/1opm6ZNvGZ7KditA9TuJwrZ25eFLfTNIkrNnY6mhV5Eg"",""list!A1:C115""),3,TRUE)"),"le secteur de la tech")</f>
        <v xml:space="preserve">le secteur de la tech</v>
      </c>
      <c r="P34" s="4" t="s">
        <v>9494</v>
      </c>
      <c r="R34" s="6"/>
      <c r="S34" s="6"/>
      <c r="T34" s="6"/>
      <c r="U34" s="5" t="s">
        <v>9495</v>
      </c>
      <c r="V34" s="6"/>
      <c r="W34" s="6"/>
      <c r="X34" s="6"/>
      <c r="Y34" s="6"/>
      <c r="Z34" s="4" t="s">
        <v>9496</v>
      </c>
      <c r="AA34" s="6"/>
      <c r="AB34" s="5" t="s">
        <v>9497</v>
      </c>
    </row>
    <row r="35" ht="14.25">
      <c r="A35" s="4" t="s">
        <v>9500</v>
      </c>
      <c r="B35" s="4" t="s">
        <v>9499</v>
      </c>
      <c r="C35" s="4" t="s">
        <v>172</v>
      </c>
      <c r="F35" s="4" t="s">
        <v>9501</v>
      </c>
      <c r="G35" s="4">
        <v>17</v>
      </c>
      <c r="H35" s="4" t="s">
        <v>9502</v>
      </c>
      <c r="I35" s="4" t="str">
        <f>IFERROR(__XLUDF.DUMMYFUNCTION("PROPER(REGEXREPLACE(G33,""[^A-Za-z]+ "",""""))"),"Acsantis")</f>
        <v>Acsantis</v>
      </c>
      <c r="J35" s="5" t="s">
        <v>9503</v>
      </c>
      <c r="K35" s="4" t="s">
        <v>39</v>
      </c>
      <c r="L35" s="4" t="s">
        <v>9160</v>
      </c>
      <c r="M35" s="4" t="s">
        <v>29</v>
      </c>
      <c r="N35" s="4" t="s">
        <v>4067</v>
      </c>
      <c r="O35" s="4" t="str">
        <f>IFERROR(__XLUDF.DUMMYFUNCTION("VLOOKUP(M33,IMPORTRANGE(""https://docs.google.com/spreadsheets/d/1opm6ZNvGZ7KditA9TuJwrZ25eFLfTNIkrNnY6mhV5Eg"",""list!A1:C115""),3,TRUE)"),"le secteur du conseil en management")</f>
        <v xml:space="preserve">le secteur du conseil en management</v>
      </c>
      <c r="P35" s="4" t="s">
        <v>9504</v>
      </c>
      <c r="R35" s="4" t="s">
        <v>39</v>
      </c>
      <c r="S35" s="4" t="s">
        <v>9160</v>
      </c>
      <c r="T35" s="4" t="s">
        <v>29</v>
      </c>
      <c r="U35" s="5" t="s">
        <v>9505</v>
      </c>
      <c r="V35" s="5" t="s">
        <v>9506</v>
      </c>
      <c r="W35" s="6"/>
      <c r="X35" s="6"/>
      <c r="Y35" s="6"/>
      <c r="Z35" s="4" t="s">
        <v>9507</v>
      </c>
      <c r="AA35" s="6"/>
      <c r="AB35" s="5" t="s">
        <v>9508</v>
      </c>
    </row>
    <row r="36" ht="14.25">
      <c r="A36" s="4" t="s">
        <v>9510</v>
      </c>
      <c r="B36" s="4" t="s">
        <v>95</v>
      </c>
      <c r="C36" s="4" t="s">
        <v>9512</v>
      </c>
      <c r="F36" s="4" t="s">
        <v>9511</v>
      </c>
      <c r="G36" s="4">
        <v>23</v>
      </c>
      <c r="H36" s="4" t="s">
        <v>9513</v>
      </c>
      <c r="I36" s="4" t="str">
        <f>IFERROR(__XLUDF.DUMMYFUNCTION("PROPER(REGEXREPLACE(G34,""[^A-Za-z]+ "",""""))"),"Bewizyu")</f>
        <v>Bewizyu</v>
      </c>
      <c r="J36" s="5" t="s">
        <v>9514</v>
      </c>
      <c r="K36" s="4" t="s">
        <v>1711</v>
      </c>
      <c r="L36" s="4" t="s">
        <v>9350</v>
      </c>
      <c r="M36" s="4" t="s">
        <v>29</v>
      </c>
      <c r="N36" s="4" t="s">
        <v>2602</v>
      </c>
      <c r="O36" s="4" t="str">
        <f>IFERROR(__XLUDF.DUMMYFUNCTION("VLOOKUP(M34,IMPORTRANGE(""https://docs.google.com/spreadsheets/d/1opm6ZNvGZ7KditA9TuJwrZ25eFLfTNIkrNnY6mhV5Eg"",""list!A1:C115""),3,TRUE)"),"le secteur de la tech")</f>
        <v xml:space="preserve">le secteur de la tech</v>
      </c>
      <c r="P36" s="4" t="s">
        <v>9515</v>
      </c>
      <c r="R36" s="4" t="s">
        <v>1711</v>
      </c>
      <c r="S36" s="4" t="s">
        <v>9350</v>
      </c>
      <c r="T36" s="4" t="s">
        <v>29</v>
      </c>
      <c r="U36" s="5" t="s">
        <v>9516</v>
      </c>
      <c r="V36" s="5" t="s">
        <v>9517</v>
      </c>
      <c r="W36" s="6"/>
      <c r="X36" s="6"/>
      <c r="Y36" s="6"/>
      <c r="Z36" s="4" t="s">
        <v>9518</v>
      </c>
      <c r="AA36" s="6"/>
      <c r="AB36" s="5" t="s">
        <v>9519</v>
      </c>
    </row>
    <row r="37" ht="14.25">
      <c r="A37" s="4" t="s">
        <v>9521</v>
      </c>
      <c r="B37" s="4" t="s">
        <v>670</v>
      </c>
      <c r="C37" s="4" t="s">
        <v>7759</v>
      </c>
      <c r="F37" s="4" t="s">
        <v>9522</v>
      </c>
      <c r="G37" s="4">
        <v>31</v>
      </c>
      <c r="H37" s="4" t="s">
        <v>9523</v>
      </c>
      <c r="I37" s="4" t="str">
        <f>IFERROR(__XLUDF.DUMMYFUNCTION("PROPER(REGEXREPLACE(G35,""[^A-Za-z]+ "",""""))"),"Kp2I")</f>
        <v>Kp2I</v>
      </c>
      <c r="J37" s="5" t="s">
        <v>9524</v>
      </c>
      <c r="K37" s="6"/>
      <c r="L37" s="4" t="s">
        <v>9160</v>
      </c>
      <c r="M37" s="4" t="s">
        <v>29</v>
      </c>
      <c r="N37" s="4" t="s">
        <v>4067</v>
      </c>
      <c r="O37" s="4" t="str">
        <f>IFERROR(__XLUDF.DUMMYFUNCTION("VLOOKUP(M35,IMPORTRANGE(""https://docs.google.com/spreadsheets/d/1opm6ZNvGZ7KditA9TuJwrZ25eFLfTNIkrNnY6mhV5Eg"",""list!A1:C115""),3,TRUE)"),"le secteur du conseil en management")</f>
        <v xml:space="preserve">le secteur du conseil en management</v>
      </c>
      <c r="P37" s="4" t="s">
        <v>9525</v>
      </c>
      <c r="R37" s="4" t="s">
        <v>7827</v>
      </c>
      <c r="S37" s="4" t="s">
        <v>9160</v>
      </c>
      <c r="T37" s="4" t="s">
        <v>29</v>
      </c>
      <c r="U37" s="5" t="s">
        <v>9526</v>
      </c>
      <c r="V37" s="6"/>
      <c r="W37" s="6"/>
      <c r="X37" s="6"/>
      <c r="Y37" s="6"/>
      <c r="Z37" s="4" t="s">
        <v>9527</v>
      </c>
      <c r="AA37" s="6"/>
      <c r="AB37" s="5" t="s">
        <v>9528</v>
      </c>
    </row>
    <row r="38" ht="14.25">
      <c r="A38" s="4" t="s">
        <v>9530</v>
      </c>
      <c r="B38" s="4" t="s">
        <v>2299</v>
      </c>
      <c r="C38" s="4" t="s">
        <v>9532</v>
      </c>
      <c r="F38" s="4" t="s">
        <v>9531</v>
      </c>
      <c r="G38" s="4">
        <v>22</v>
      </c>
      <c r="H38" s="4" t="s">
        <v>9533</v>
      </c>
      <c r="I38" s="4" t="str">
        <f>IFERROR(__XLUDF.DUMMYFUNCTION("PROPER(REGEXREPLACE(G36,""[^A-Za-z]+ "",""""))"),"Alsatis Entreprises")</f>
        <v xml:space="preserve">Alsatis Entreprises</v>
      </c>
      <c r="J38" s="5" t="s">
        <v>9534</v>
      </c>
      <c r="K38" s="4" t="s">
        <v>83</v>
      </c>
      <c r="L38" s="4" t="s">
        <v>9460</v>
      </c>
      <c r="M38" s="4" t="s">
        <v>29</v>
      </c>
      <c r="N38" s="4" t="s">
        <v>2602</v>
      </c>
      <c r="O38" s="4" t="str">
        <f>IFERROR(__XLUDF.DUMMYFUNCTION("VLOOKUP(M36,IMPORTRANGE(""https://docs.google.com/spreadsheets/d/1opm6ZNvGZ7KditA9TuJwrZ25eFLfTNIkrNnY6mhV5Eg"",""list!A1:C115""),3,TRUE)"),"le secteur de la tech")</f>
        <v xml:space="preserve">le secteur de la tech</v>
      </c>
      <c r="P38" s="4" t="s">
        <v>9535</v>
      </c>
      <c r="R38" s="4" t="s">
        <v>83</v>
      </c>
      <c r="S38" s="4" t="s">
        <v>9460</v>
      </c>
      <c r="T38" s="4" t="s">
        <v>29</v>
      </c>
      <c r="U38" s="5" t="s">
        <v>9536</v>
      </c>
      <c r="V38" s="6"/>
      <c r="W38" s="6"/>
      <c r="X38" s="6"/>
      <c r="Y38" s="6"/>
      <c r="Z38" s="4" t="s">
        <v>9537</v>
      </c>
      <c r="AA38" s="6"/>
      <c r="AB38" s="5" t="s">
        <v>9538</v>
      </c>
    </row>
    <row r="39" ht="14.25">
      <c r="A39" s="4" t="s">
        <v>355</v>
      </c>
      <c r="B39" s="4" t="s">
        <v>2299</v>
      </c>
      <c r="C39" s="4" t="s">
        <v>120</v>
      </c>
      <c r="F39" s="4" t="s">
        <v>9540</v>
      </c>
      <c r="G39" s="4">
        <v>10</v>
      </c>
      <c r="H39" s="4" t="s">
        <v>9541</v>
      </c>
      <c r="I39" s="4" t="str">
        <f>IFERROR(__XLUDF.DUMMYFUNCTION("PROPER(REGEXREPLACE(G37,""[^A-Za-z]+ "",""""))"),"Proplace")</f>
        <v>Proplace</v>
      </c>
      <c r="J39" s="5" t="s">
        <v>9542</v>
      </c>
      <c r="K39" s="4" t="s">
        <v>39</v>
      </c>
      <c r="L39" s="4" t="s">
        <v>9160</v>
      </c>
      <c r="M39" s="4" t="s">
        <v>29</v>
      </c>
      <c r="N39" s="4" t="s">
        <v>2602</v>
      </c>
      <c r="O39" s="4" t="str">
        <f>IFERROR(__XLUDF.DUMMYFUNCTION("VLOOKUP(M37,IMPORTRANGE(""https://docs.google.com/spreadsheets/d/1opm6ZNvGZ7KditA9TuJwrZ25eFLfTNIkrNnY6mhV5Eg"",""list!A1:C115""),3,TRUE)"),"le secteur de la tech")</f>
        <v xml:space="preserve">le secteur de la tech</v>
      </c>
      <c r="P39" s="4" t="s">
        <v>9543</v>
      </c>
      <c r="R39" s="4" t="s">
        <v>39</v>
      </c>
      <c r="S39" s="4" t="s">
        <v>9160</v>
      </c>
      <c r="T39" s="4" t="s">
        <v>29</v>
      </c>
      <c r="U39" s="5" t="s">
        <v>9544</v>
      </c>
      <c r="V39" s="6"/>
      <c r="W39" s="6"/>
      <c r="X39" s="6"/>
      <c r="Y39" s="6"/>
      <c r="Z39" s="4" t="s">
        <v>9545</v>
      </c>
      <c r="AA39" s="6"/>
      <c r="AB39" s="5" t="s">
        <v>9546</v>
      </c>
    </row>
    <row r="40" ht="14.25">
      <c r="A40" s="4" t="s">
        <v>9548</v>
      </c>
      <c r="B40" s="4" t="s">
        <v>743</v>
      </c>
      <c r="C40" s="4" t="s">
        <v>9550</v>
      </c>
      <c r="F40" s="4" t="s">
        <v>9549</v>
      </c>
      <c r="G40" s="4">
        <v>22</v>
      </c>
      <c r="H40" s="4" t="s">
        <v>9551</v>
      </c>
      <c r="I40" s="4" t="str">
        <f>IFERROR(__XLUDF.DUMMYFUNCTION("PROPER(REGEXREPLACE(G38,""[^A-Za-z]+ "",""""))"),"Pharow")</f>
        <v>Pharow</v>
      </c>
      <c r="J40" s="5" t="s">
        <v>9552</v>
      </c>
      <c r="K40" s="4" t="s">
        <v>39</v>
      </c>
      <c r="L40" s="4" t="s">
        <v>9160</v>
      </c>
      <c r="M40" s="4" t="s">
        <v>29</v>
      </c>
      <c r="N40" s="4" t="s">
        <v>2602</v>
      </c>
      <c r="O40" s="4" t="str">
        <f>IFERROR(__XLUDF.DUMMYFUNCTION("VLOOKUP(M38,IMPORTRANGE(""https://docs.google.com/spreadsheets/d/1opm6ZNvGZ7KditA9TuJwrZ25eFLfTNIkrNnY6mhV5Eg"",""list!A1:C115""),3,TRUE)"),"le secteur de la tech")</f>
        <v xml:space="preserve">le secteur de la tech</v>
      </c>
      <c r="P40" s="4" t="s">
        <v>9553</v>
      </c>
      <c r="R40" s="4" t="s">
        <v>585</v>
      </c>
      <c r="S40" s="4" t="s">
        <v>9160</v>
      </c>
      <c r="T40" s="4" t="s">
        <v>29</v>
      </c>
      <c r="U40" s="5" t="s">
        <v>9554</v>
      </c>
      <c r="V40" s="6"/>
      <c r="W40" s="6"/>
      <c r="X40" s="6"/>
      <c r="Y40" s="6"/>
      <c r="Z40" s="4" t="s">
        <v>9555</v>
      </c>
      <c r="AA40" s="6"/>
      <c r="AB40" s="5" t="s">
        <v>9556</v>
      </c>
    </row>
    <row r="41" ht="14.25">
      <c r="A41" s="4" t="s">
        <v>9558</v>
      </c>
      <c r="B41" s="4" t="s">
        <v>290</v>
      </c>
      <c r="C41" s="4" t="s">
        <v>7185</v>
      </c>
      <c r="F41" s="4" t="s">
        <v>9559</v>
      </c>
      <c r="G41" s="4">
        <v>47</v>
      </c>
      <c r="H41" s="4" t="s">
        <v>9560</v>
      </c>
      <c r="I41" s="4" t="str">
        <f>IFERROR(__XLUDF.DUMMYFUNCTION("PROPER(REGEXREPLACE(G39,""[^A-Za-z]+ "",""""))"),"Trust It Générateur De Confiance")</f>
        <v xml:space="preserve">Trust It Générateur De Confiance</v>
      </c>
      <c r="J41" s="5" t="s">
        <v>9561</v>
      </c>
      <c r="K41" s="6"/>
      <c r="L41" s="4" t="s">
        <v>9160</v>
      </c>
      <c r="M41" s="4" t="s">
        <v>29</v>
      </c>
      <c r="N41" s="4" t="s">
        <v>2602</v>
      </c>
      <c r="O41" s="4" t="str">
        <f>IFERROR(__XLUDF.DUMMYFUNCTION("VLOOKUP(M39,IMPORTRANGE(""https://docs.google.com/spreadsheets/d/1opm6ZNvGZ7KditA9TuJwrZ25eFLfTNIkrNnY6mhV5Eg"",""list!A1:C115""),3,TRUE)"),"le secteur de la tech")</f>
        <v xml:space="preserve">le secteur de la tech</v>
      </c>
      <c r="P41" s="4" t="s">
        <v>9562</v>
      </c>
      <c r="R41" s="4" t="s">
        <v>39</v>
      </c>
      <c r="S41" s="4" t="s">
        <v>9160</v>
      </c>
      <c r="T41" s="4" t="s">
        <v>29</v>
      </c>
      <c r="U41" s="5" t="s">
        <v>9563</v>
      </c>
      <c r="V41" s="5" t="s">
        <v>9564</v>
      </c>
      <c r="W41" s="5" t="s">
        <v>9565</v>
      </c>
      <c r="X41" s="6"/>
      <c r="Y41" s="6"/>
      <c r="Z41" s="4" t="s">
        <v>9566</v>
      </c>
      <c r="AA41" s="6"/>
      <c r="AB41" s="5" t="s">
        <v>9567</v>
      </c>
    </row>
    <row r="42" ht="14.25">
      <c r="A42" s="4" t="s">
        <v>9569</v>
      </c>
      <c r="B42" s="4" t="s">
        <v>3781</v>
      </c>
      <c r="C42" s="4" t="s">
        <v>9571</v>
      </c>
      <c r="F42" s="4" t="s">
        <v>9570</v>
      </c>
      <c r="G42" s="4">
        <v>14</v>
      </c>
      <c r="H42" s="4" t="s">
        <v>9572</v>
      </c>
      <c r="I42" s="4" t="str">
        <f>IFERROR(__XLUDF.DUMMYFUNCTION("PROPER(REGEXREPLACE(G40,""[^A-Za-z]+ "",""""))"),"Vertical Expense")</f>
        <v xml:space="preserve">Vertical Expense</v>
      </c>
      <c r="J42" s="5" t="s">
        <v>9573</v>
      </c>
      <c r="K42" s="4" t="s">
        <v>1015</v>
      </c>
      <c r="L42" s="4" t="s">
        <v>9251</v>
      </c>
      <c r="M42" s="4" t="s">
        <v>29</v>
      </c>
      <c r="N42" s="4" t="s">
        <v>2602</v>
      </c>
      <c r="O42" s="4" t="str">
        <f>IFERROR(__XLUDF.DUMMYFUNCTION("VLOOKUP(M40,IMPORTRANGE(""https://docs.google.com/spreadsheets/d/1opm6ZNvGZ7KditA9TuJwrZ25eFLfTNIkrNnY6mhV5Eg"",""list!A1:C115""),3,TRUE)"),"le secteur de la tech")</f>
        <v xml:space="preserve">le secteur de la tech</v>
      </c>
      <c r="P42" s="4" t="s">
        <v>9574</v>
      </c>
      <c r="R42" s="4" t="s">
        <v>1015</v>
      </c>
      <c r="S42" s="4" t="s">
        <v>9251</v>
      </c>
      <c r="T42" s="4" t="s">
        <v>29</v>
      </c>
      <c r="U42" s="5" t="s">
        <v>9575</v>
      </c>
      <c r="V42" s="6"/>
      <c r="W42" s="6"/>
      <c r="X42" s="6"/>
      <c r="Y42" s="6"/>
      <c r="Z42" s="4" t="s">
        <v>9576</v>
      </c>
      <c r="AA42" s="6"/>
      <c r="AB42" s="5" t="s">
        <v>9577</v>
      </c>
    </row>
    <row r="43" ht="14.25">
      <c r="A43" s="4" t="s">
        <v>9580</v>
      </c>
      <c r="B43" s="4" t="s">
        <v>9579</v>
      </c>
      <c r="C43" s="4" t="s">
        <v>9582</v>
      </c>
      <c r="F43" s="4" t="s">
        <v>9581</v>
      </c>
      <c r="G43" s="4">
        <v>19</v>
      </c>
      <c r="H43" s="4" t="s">
        <v>9583</v>
      </c>
      <c r="I43" s="4" t="str">
        <f>IFERROR(__XLUDF.DUMMYFUNCTION("PROPER(REGEXREPLACE(G41,""[^A-Za-z]+ "",""""))"),"Omydoo")</f>
        <v>Omydoo</v>
      </c>
      <c r="J43" s="5" t="s">
        <v>9584</v>
      </c>
      <c r="K43" s="4" t="s">
        <v>9585</v>
      </c>
      <c r="L43" s="4" t="s">
        <v>9193</v>
      </c>
      <c r="M43" s="4" t="s">
        <v>29</v>
      </c>
      <c r="N43" s="4" t="s">
        <v>2602</v>
      </c>
      <c r="O43" s="4" t="str">
        <f>IFERROR(__XLUDF.DUMMYFUNCTION("VLOOKUP(M41,IMPORTRANGE(""https://docs.google.com/spreadsheets/d/1opm6ZNvGZ7KditA9TuJwrZ25eFLfTNIkrNnY6mhV5Eg"",""list!A1:C115""),3,TRUE)"),"le secteur de la tech")</f>
        <v xml:space="preserve">le secteur de la tech</v>
      </c>
      <c r="P43" s="4" t="s">
        <v>9586</v>
      </c>
      <c r="R43" s="4" t="s">
        <v>9237</v>
      </c>
      <c r="S43" s="4" t="s">
        <v>9193</v>
      </c>
      <c r="T43" s="4" t="s">
        <v>29</v>
      </c>
      <c r="U43" s="5" t="s">
        <v>9587</v>
      </c>
      <c r="V43" s="6"/>
      <c r="W43" s="5" t="s">
        <v>9588</v>
      </c>
      <c r="X43" s="6"/>
      <c r="Y43" s="6"/>
      <c r="Z43" s="4" t="s">
        <v>9589</v>
      </c>
      <c r="AA43" s="6"/>
      <c r="AB43" s="5" t="s">
        <v>9590</v>
      </c>
    </row>
    <row r="44" ht="14.25">
      <c r="A44" s="4" t="s">
        <v>9593</v>
      </c>
      <c r="B44" s="4" t="s">
        <v>9592</v>
      </c>
      <c r="C44" s="4" t="s">
        <v>9595</v>
      </c>
      <c r="F44" s="4" t="s">
        <v>9594</v>
      </c>
      <c r="G44" s="4">
        <v>19</v>
      </c>
      <c r="H44" s="4" t="s">
        <v>9596</v>
      </c>
      <c r="I44" s="4" t="str">
        <f>IFERROR(__XLUDF.DUMMYFUNCTION("PROPER(REGEXREPLACE(G42,""[^A-Za-z]+ "",""""))"),"Univr Studio")</f>
        <v xml:space="preserve">Univr Studio</v>
      </c>
      <c r="J44" s="5" t="s">
        <v>9597</v>
      </c>
      <c r="K44" s="4" t="s">
        <v>185</v>
      </c>
      <c r="L44" s="4" t="s">
        <v>9193</v>
      </c>
      <c r="M44" s="4" t="s">
        <v>29</v>
      </c>
      <c r="N44" s="4" t="s">
        <v>2602</v>
      </c>
      <c r="O44" s="4" t="str">
        <f>IFERROR(__XLUDF.DUMMYFUNCTION("VLOOKUP(M42,IMPORTRANGE(""https://docs.google.com/spreadsheets/d/1opm6ZNvGZ7KditA9TuJwrZ25eFLfTNIkrNnY6mhV5Eg"",""list!A1:C115""),3,TRUE)"),"le secteur de la tech")</f>
        <v xml:space="preserve">le secteur de la tech</v>
      </c>
      <c r="P44" s="4" t="s">
        <v>9598</v>
      </c>
      <c r="R44" s="4" t="s">
        <v>2174</v>
      </c>
      <c r="S44" s="4" t="s">
        <v>9193</v>
      </c>
      <c r="T44" s="4" t="s">
        <v>29</v>
      </c>
      <c r="U44" s="5" t="s">
        <v>9599</v>
      </c>
      <c r="V44" s="5" t="s">
        <v>9600</v>
      </c>
      <c r="W44" s="5" t="s">
        <v>9601</v>
      </c>
      <c r="X44" s="6"/>
      <c r="Y44" s="6"/>
      <c r="Z44" s="4" t="s">
        <v>9602</v>
      </c>
      <c r="AA44" s="6"/>
      <c r="AB44" s="5" t="s">
        <v>9603</v>
      </c>
    </row>
    <row r="45" ht="14.25">
      <c r="A45" s="4" t="s">
        <v>9605</v>
      </c>
      <c r="B45" s="4" t="s">
        <v>7422</v>
      </c>
      <c r="C45" s="4" t="s">
        <v>9607</v>
      </c>
      <c r="F45" s="4" t="s">
        <v>9606</v>
      </c>
      <c r="G45" s="4">
        <v>11</v>
      </c>
      <c r="H45" s="4" t="s">
        <v>9608</v>
      </c>
      <c r="I45" s="4" t="str">
        <f>IFERROR(__XLUDF.DUMMYFUNCTION("PROPER(REGEXREPLACE(G43,""[^A-Za-z]+ "",""""))"),"Randomcoffee")</f>
        <v>Randomcoffee</v>
      </c>
      <c r="J45" s="5" t="s">
        <v>9609</v>
      </c>
      <c r="K45" s="4" t="s">
        <v>39</v>
      </c>
      <c r="L45" s="4" t="s">
        <v>9160</v>
      </c>
      <c r="M45" s="4" t="s">
        <v>29</v>
      </c>
      <c r="N45" s="4" t="s">
        <v>2602</v>
      </c>
      <c r="O45" s="4" t="str">
        <f>IFERROR(__XLUDF.DUMMYFUNCTION("VLOOKUP(M43,IMPORTRANGE(""https://docs.google.com/spreadsheets/d/1opm6ZNvGZ7KditA9TuJwrZ25eFLfTNIkrNnY6mhV5Eg"",""list!A1:C115""),3,TRUE)"),"le secteur de la tech")</f>
        <v xml:space="preserve">le secteur de la tech</v>
      </c>
      <c r="P45" s="4" t="s">
        <v>9610</v>
      </c>
      <c r="R45" s="4" t="s">
        <v>39</v>
      </c>
      <c r="S45" s="4" t="s">
        <v>9160</v>
      </c>
      <c r="T45" s="4" t="s">
        <v>29</v>
      </c>
      <c r="U45" s="5" t="s">
        <v>9611</v>
      </c>
      <c r="V45" s="5" t="s">
        <v>9612</v>
      </c>
      <c r="W45" s="5" t="s">
        <v>9613</v>
      </c>
      <c r="X45" s="6"/>
      <c r="Y45" s="6"/>
      <c r="Z45" s="4" t="s">
        <v>9614</v>
      </c>
      <c r="AA45" s="6"/>
      <c r="AB45" s="5" t="s">
        <v>9615</v>
      </c>
    </row>
    <row r="46" ht="14.25">
      <c r="A46" s="4" t="s">
        <v>9618</v>
      </c>
      <c r="B46" s="4" t="s">
        <v>9617</v>
      </c>
      <c r="C46" s="4" t="s">
        <v>315</v>
      </c>
      <c r="F46" s="4" t="s">
        <v>9619</v>
      </c>
      <c r="G46" s="4">
        <v>10</v>
      </c>
      <c r="H46" s="4" t="s">
        <v>9620</v>
      </c>
      <c r="I46" s="4" t="str">
        <f>IFERROR(__XLUDF.DUMMYFUNCTION("PROPER(REGEXREPLACE(G44,""[^A-Za-z]+ "",""""))"),"Metal Gear")</f>
        <v xml:space="preserve">Metal Gear</v>
      </c>
      <c r="J46" s="5" t="s">
        <v>9621</v>
      </c>
      <c r="K46" s="4" t="s">
        <v>39</v>
      </c>
      <c r="L46" s="4" t="s">
        <v>9160</v>
      </c>
      <c r="M46" s="4" t="s">
        <v>29</v>
      </c>
      <c r="N46" s="4" t="s">
        <v>2602</v>
      </c>
      <c r="O46" s="4" t="str">
        <f>IFERROR(__XLUDF.DUMMYFUNCTION("VLOOKUP(M44,IMPORTRANGE(""https://docs.google.com/spreadsheets/d/1opm6ZNvGZ7KditA9TuJwrZ25eFLfTNIkrNnY6mhV5Eg"",""list!A1:C115""),3,TRUE)"),"le secteur de la tech")</f>
        <v xml:space="preserve">le secteur de la tech</v>
      </c>
      <c r="P46" s="6"/>
      <c r="R46" s="4" t="s">
        <v>39</v>
      </c>
      <c r="S46" s="4" t="s">
        <v>9160</v>
      </c>
      <c r="T46" s="4" t="s">
        <v>29</v>
      </c>
      <c r="U46" s="5" t="s">
        <v>9622</v>
      </c>
      <c r="V46" s="6"/>
      <c r="W46" s="6"/>
      <c r="X46" s="6"/>
      <c r="Y46" s="6"/>
      <c r="Z46" s="4" t="s">
        <v>9623</v>
      </c>
      <c r="AA46" s="6"/>
      <c r="AB46" s="5" t="s">
        <v>9624</v>
      </c>
    </row>
    <row r="47" ht="14.25">
      <c r="A47" s="4" t="s">
        <v>9627</v>
      </c>
      <c r="B47" s="4" t="s">
        <v>9626</v>
      </c>
      <c r="C47" s="4" t="s">
        <v>503</v>
      </c>
      <c r="F47" s="4" t="s">
        <v>9628</v>
      </c>
      <c r="G47" s="4">
        <v>16</v>
      </c>
      <c r="H47" s="4" t="s">
        <v>9629</v>
      </c>
      <c r="I47" s="4" t="str">
        <f>IFERROR(__XLUDF.DUMMYFUNCTION("PROPER(REGEXREPLACE(G45,""[^A-Za-z]+ "",""""))"),"Otherwayaround")</f>
        <v>Otherwayaround</v>
      </c>
      <c r="J47" s="5" t="s">
        <v>9630</v>
      </c>
      <c r="K47" s="6"/>
      <c r="L47" s="6"/>
      <c r="M47" s="4" t="s">
        <v>29</v>
      </c>
      <c r="N47" s="4" t="s">
        <v>2602</v>
      </c>
      <c r="O47" s="4" t="str">
        <f>IFERROR(__XLUDF.DUMMYFUNCTION("VLOOKUP(M45,IMPORTRANGE(""https://docs.google.com/spreadsheets/d/1opm6ZNvGZ7KditA9TuJwrZ25eFLfTNIkrNnY6mhV5Eg"",""list!A1:C115""),3,TRUE)"),"le secteur de la tech")</f>
        <v xml:space="preserve">le secteur de la tech</v>
      </c>
      <c r="P47" s="6"/>
      <c r="R47" s="4" t="s">
        <v>9631</v>
      </c>
      <c r="S47" s="4" t="s">
        <v>9632</v>
      </c>
      <c r="T47" s="4" t="s">
        <v>1261</v>
      </c>
      <c r="U47" s="5" t="s">
        <v>9633</v>
      </c>
      <c r="V47" s="6"/>
      <c r="W47" s="6"/>
      <c r="X47" s="6"/>
      <c r="Y47" s="6"/>
      <c r="Z47" s="4" t="s">
        <v>9634</v>
      </c>
      <c r="AA47" s="6"/>
      <c r="AB47" s="5" t="s">
        <v>9635</v>
      </c>
    </row>
    <row r="48" ht="14.25">
      <c r="A48" s="4" t="s">
        <v>9637</v>
      </c>
      <c r="B48" s="4" t="s">
        <v>5029</v>
      </c>
      <c r="C48" s="4" t="s">
        <v>112</v>
      </c>
      <c r="F48" s="4" t="s">
        <v>9638</v>
      </c>
      <c r="G48" s="4">
        <v>13</v>
      </c>
      <c r="H48" s="4" t="s">
        <v>9639</v>
      </c>
      <c r="I48" s="4" t="str">
        <f>IFERROR(__XLUDF.DUMMYFUNCTION("PROPER(REGEXREPLACE(G46,""[^A-Za-z]+ "",""""))"),"Astorm Group")</f>
        <v xml:space="preserve">Astorm Group</v>
      </c>
      <c r="J48" s="5" t="s">
        <v>9640</v>
      </c>
      <c r="K48" s="4" t="s">
        <v>39</v>
      </c>
      <c r="L48" s="4" t="s">
        <v>9160</v>
      </c>
      <c r="M48" s="4" t="s">
        <v>29</v>
      </c>
      <c r="N48" s="4" t="s">
        <v>2602</v>
      </c>
      <c r="O48" s="4" t="str">
        <f>IFERROR(__XLUDF.DUMMYFUNCTION("VLOOKUP(M46,IMPORTRANGE(""https://docs.google.com/spreadsheets/d/1opm6ZNvGZ7KditA9TuJwrZ25eFLfTNIkrNnY6mhV5Eg"",""list!A1:C115""),3,TRUE)"),"le secteur de la tech")</f>
        <v xml:space="preserve">le secteur de la tech</v>
      </c>
      <c r="P48" s="6"/>
      <c r="R48" s="6"/>
      <c r="S48" s="6"/>
      <c r="T48" s="6"/>
      <c r="U48" s="5" t="s">
        <v>9641</v>
      </c>
      <c r="V48" s="6"/>
      <c r="W48" s="6"/>
      <c r="X48" s="6"/>
      <c r="Y48" s="6"/>
      <c r="Z48" s="4" t="s">
        <v>9642</v>
      </c>
      <c r="AA48" s="6"/>
      <c r="AB48" s="5" t="s">
        <v>9643</v>
      </c>
    </row>
    <row r="49" ht="14.25">
      <c r="A49" s="4" t="s">
        <v>9646</v>
      </c>
      <c r="B49" s="4" t="s">
        <v>9645</v>
      </c>
      <c r="C49" s="4" t="s">
        <v>9648</v>
      </c>
      <c r="F49" s="4" t="s">
        <v>9647</v>
      </c>
      <c r="G49" s="4">
        <v>19</v>
      </c>
      <c r="H49" s="4" t="s">
        <v>9649</v>
      </c>
      <c r="I49" s="4" t="str">
        <f>IFERROR(__XLUDF.DUMMYFUNCTION("PROPER(REGEXREPLACE(G47,""[^A-Za-z]+ "",""""))"),"Les Langues Du Monde")</f>
        <v xml:space="preserve">Les Langues Du Monde</v>
      </c>
      <c r="J49" s="5" t="s">
        <v>9650</v>
      </c>
      <c r="K49" s="4" t="s">
        <v>39</v>
      </c>
      <c r="L49" s="4" t="s">
        <v>9160</v>
      </c>
      <c r="M49" s="4" t="s">
        <v>29</v>
      </c>
      <c r="N49" s="4" t="s">
        <v>5048</v>
      </c>
      <c r="O49" s="4" t="str">
        <f>IFERROR(__XLUDF.DUMMYFUNCTION("VLOOKUP(M47,IMPORTRANGE(""https://docs.google.com/spreadsheets/d/1opm6ZNvGZ7KditA9TuJwrZ25eFLfTNIkrNnY6mhV5Eg"",""list!A1:C115""),3,TRUE)"),"le secteur de la formation pro et du coaching")</f>
        <v xml:space="preserve">le secteur de la formation pro et du coaching</v>
      </c>
      <c r="P49" s="4" t="s">
        <v>9651</v>
      </c>
      <c r="R49" s="4" t="s">
        <v>39</v>
      </c>
      <c r="S49" s="4" t="s">
        <v>9160</v>
      </c>
      <c r="T49" s="4" t="s">
        <v>29</v>
      </c>
      <c r="U49" s="5" t="s">
        <v>9652</v>
      </c>
      <c r="V49" s="6"/>
      <c r="W49" s="6"/>
      <c r="X49" s="6"/>
      <c r="Y49" s="6"/>
      <c r="Z49" s="4" t="s">
        <v>9653</v>
      </c>
      <c r="AA49" s="6"/>
      <c r="AB49" s="5" t="s">
        <v>9654</v>
      </c>
    </row>
    <row r="50" ht="14.25">
      <c r="A50" s="4" t="s">
        <v>9657</v>
      </c>
      <c r="B50" s="4" t="s">
        <v>9656</v>
      </c>
      <c r="C50" s="4" t="s">
        <v>9659</v>
      </c>
      <c r="F50" s="4" t="s">
        <v>9658</v>
      </c>
      <c r="G50" s="4">
        <v>24</v>
      </c>
      <c r="H50" s="4" t="s">
        <v>9660</v>
      </c>
      <c r="I50" s="4" t="str">
        <f>IFERROR(__XLUDF.DUMMYFUNCTION("PROPER(REGEXREPLACE(G48,""[^A-Za-z]+ "",""""))"),"Hands")</f>
        <v>Hands</v>
      </c>
      <c r="J50" s="5" t="s">
        <v>9661</v>
      </c>
      <c r="K50" s="6"/>
      <c r="L50" s="6"/>
      <c r="M50" s="4" t="s">
        <v>29</v>
      </c>
      <c r="N50" s="4" t="s">
        <v>9161</v>
      </c>
      <c r="O50" s="4" t="str">
        <f>IFERROR(__XLUDF.DUMMYFUNCTION("VLOOKUP(M48,IMPORTRANGE(""https://docs.google.com/spreadsheets/d/1opm6ZNvGZ7KditA9TuJwrZ25eFLfTNIkrNnY6mhV5Eg"",""list!A1:C115""),3,TRUE)"),"le secteur du marketing")</f>
        <v xml:space="preserve">le secteur du marketing</v>
      </c>
      <c r="P50" s="4" t="s">
        <v>9662</v>
      </c>
      <c r="R50" s="4" t="s">
        <v>39</v>
      </c>
      <c r="S50" s="4" t="s">
        <v>9160</v>
      </c>
      <c r="T50" s="4" t="s">
        <v>29</v>
      </c>
      <c r="U50" s="5" t="s">
        <v>9663</v>
      </c>
      <c r="V50" s="6"/>
      <c r="W50" s="6"/>
      <c r="X50" s="6"/>
      <c r="Y50" s="6"/>
      <c r="Z50" s="4" t="s">
        <v>9664</v>
      </c>
      <c r="AA50" s="6"/>
      <c r="AB50" s="5" t="s">
        <v>9665</v>
      </c>
    </row>
    <row r="51" ht="14.25">
      <c r="A51" s="4" t="s">
        <v>9667</v>
      </c>
      <c r="B51" s="4" t="s">
        <v>9210</v>
      </c>
      <c r="C51" s="4" t="s">
        <v>2645</v>
      </c>
      <c r="F51" s="4" t="s">
        <v>9668</v>
      </c>
      <c r="G51" s="4">
        <v>26</v>
      </c>
      <c r="H51" s="4" t="s">
        <v>9669</v>
      </c>
      <c r="I51" s="4" t="str">
        <f>IFERROR(__XLUDF.DUMMYFUNCTION("PROPER(REGEXREPLACE(G49,""[^A-Za-z]+ "",""""))"),"Midgard")</f>
        <v>Midgard</v>
      </c>
      <c r="J51" s="5" t="s">
        <v>9670</v>
      </c>
      <c r="K51" s="4" t="s">
        <v>1665</v>
      </c>
      <c r="L51" s="4" t="s">
        <v>9671</v>
      </c>
      <c r="M51" s="4" t="s">
        <v>29</v>
      </c>
      <c r="N51" s="4" t="s">
        <v>2602</v>
      </c>
      <c r="O51" s="4" t="str">
        <f>IFERROR(__XLUDF.DUMMYFUNCTION("VLOOKUP(M49,IMPORTRANGE(""https://docs.google.com/spreadsheets/d/1opm6ZNvGZ7KditA9TuJwrZ25eFLfTNIkrNnY6mhV5Eg"",""list!A1:C115""),3,TRUE)"),"le secteur de la tech")</f>
        <v xml:space="preserve">le secteur de la tech</v>
      </c>
      <c r="P51" s="4" t="s">
        <v>9672</v>
      </c>
      <c r="R51" s="4" t="s">
        <v>1665</v>
      </c>
      <c r="S51" s="4" t="s">
        <v>9673</v>
      </c>
      <c r="T51" s="4" t="s">
        <v>29</v>
      </c>
      <c r="U51" s="5" t="s">
        <v>9674</v>
      </c>
      <c r="V51" s="6"/>
      <c r="W51" s="6"/>
      <c r="X51" s="6"/>
      <c r="Y51" s="6"/>
      <c r="Z51" s="4" t="s">
        <v>9675</v>
      </c>
      <c r="AA51" s="6"/>
      <c r="AB51" s="5" t="s">
        <v>9676</v>
      </c>
    </row>
    <row r="52" ht="14.25">
      <c r="A52" s="4" t="s">
        <v>9678</v>
      </c>
      <c r="B52" s="4" t="s">
        <v>1571</v>
      </c>
      <c r="C52" s="4" t="s">
        <v>2636</v>
      </c>
      <c r="F52" s="4" t="s">
        <v>9679</v>
      </c>
      <c r="G52" s="4">
        <v>15</v>
      </c>
      <c r="H52" s="4" t="s">
        <v>9680</v>
      </c>
      <c r="I52" s="4" t="str">
        <f>IFERROR(__XLUDF.DUMMYFUNCTION("PROPER(REGEXREPLACE(G50,""[^A-Za-z]+ "",""""))"),"Enaxion")</f>
        <v>Enaxion</v>
      </c>
      <c r="J52" s="5" t="s">
        <v>9681</v>
      </c>
      <c r="K52" s="6"/>
      <c r="L52" s="6"/>
      <c r="M52" s="4" t="s">
        <v>29</v>
      </c>
      <c r="N52" s="4" t="s">
        <v>4067</v>
      </c>
      <c r="O52" s="4" t="str">
        <f>IFERROR(__XLUDF.DUMMYFUNCTION("VLOOKUP(M50,IMPORTRANGE(""https://docs.google.com/spreadsheets/d/1opm6ZNvGZ7KditA9TuJwrZ25eFLfTNIkrNnY6mhV5Eg"",""list!A1:C115""),3,TRUE)"),"le secteur du conseil en management")</f>
        <v xml:space="preserve">le secteur du conseil en management</v>
      </c>
      <c r="P52" s="4" t="s">
        <v>9682</v>
      </c>
      <c r="R52" s="4" t="s">
        <v>185</v>
      </c>
      <c r="S52" s="4" t="s">
        <v>9193</v>
      </c>
      <c r="T52" s="4" t="s">
        <v>29</v>
      </c>
      <c r="U52" s="5" t="s">
        <v>9683</v>
      </c>
      <c r="V52" s="6"/>
      <c r="W52" s="6"/>
      <c r="X52" s="6"/>
      <c r="Y52" s="6"/>
      <c r="Z52" s="4" t="s">
        <v>9684</v>
      </c>
      <c r="AA52" s="6"/>
      <c r="AB52" s="5" t="s">
        <v>9685</v>
      </c>
    </row>
    <row r="53" ht="14.25">
      <c r="A53" s="4" t="s">
        <v>9687</v>
      </c>
      <c r="B53" s="4" t="s">
        <v>1571</v>
      </c>
      <c r="C53" s="4" t="s">
        <v>9689</v>
      </c>
      <c r="F53" s="4" t="s">
        <v>9688</v>
      </c>
      <c r="G53" s="4">
        <v>8</v>
      </c>
      <c r="H53" s="4" t="s">
        <v>9690</v>
      </c>
      <c r="I53" s="4" t="str">
        <f>IFERROR(__XLUDF.DUMMYFUNCTION("PROPER(REGEXREPLACE(G51,""[^A-Za-z]+ "",""""))"),"A.L.P.")</f>
        <v>A.L.P.</v>
      </c>
      <c r="J53" s="5" t="s">
        <v>9691</v>
      </c>
      <c r="K53" s="4" t="s">
        <v>39</v>
      </c>
      <c r="L53" s="4" t="s">
        <v>9160</v>
      </c>
      <c r="M53" s="4" t="s">
        <v>29</v>
      </c>
      <c r="N53" s="4" t="s">
        <v>4067</v>
      </c>
      <c r="O53" s="4" t="str">
        <f>IFERROR(__XLUDF.DUMMYFUNCTION("VLOOKUP(M51,IMPORTRANGE(""https://docs.google.com/spreadsheets/d/1opm6ZNvGZ7KditA9TuJwrZ25eFLfTNIkrNnY6mhV5Eg"",""list!A1:C115""),3,TRUE)"),"le secteur du conseil en management")</f>
        <v xml:space="preserve">le secteur du conseil en management</v>
      </c>
      <c r="P53" s="4" t="s">
        <v>9692</v>
      </c>
      <c r="R53" s="4" t="s">
        <v>39</v>
      </c>
      <c r="S53" s="4" t="s">
        <v>9160</v>
      </c>
      <c r="T53" s="4" t="s">
        <v>29</v>
      </c>
      <c r="U53" s="5" t="s">
        <v>9693</v>
      </c>
      <c r="V53" s="6"/>
      <c r="W53" s="6"/>
      <c r="X53" s="6"/>
      <c r="Y53" s="6"/>
      <c r="Z53" s="4" t="s">
        <v>9694</v>
      </c>
      <c r="AA53" s="6"/>
      <c r="AB53" s="5" t="s">
        <v>9695</v>
      </c>
    </row>
    <row r="54" ht="14.25">
      <c r="A54" s="4" t="s">
        <v>9697</v>
      </c>
      <c r="B54" s="4" t="s">
        <v>3164</v>
      </c>
      <c r="C54" s="4" t="s">
        <v>9699</v>
      </c>
      <c r="F54" s="4" t="s">
        <v>9698</v>
      </c>
      <c r="G54" s="4">
        <v>16</v>
      </c>
      <c r="H54" s="4" t="s">
        <v>9700</v>
      </c>
      <c r="I54" s="4" t="str">
        <f>IFERROR(__XLUDF.DUMMYFUNCTION("PROPER(REGEXREPLACE(G52,""[^A-Za-z]+ "",""""))"),"Testify")</f>
        <v>Testify</v>
      </c>
      <c r="J54" s="5" t="s">
        <v>9701</v>
      </c>
      <c r="K54" s="4" t="s">
        <v>9702</v>
      </c>
      <c r="L54" s="4" t="s">
        <v>9193</v>
      </c>
      <c r="M54" s="4" t="s">
        <v>29</v>
      </c>
      <c r="N54" s="4" t="s">
        <v>2602</v>
      </c>
      <c r="O54" s="4" t="str">
        <f>IFERROR(__XLUDF.DUMMYFUNCTION("VLOOKUP(M52,IMPORTRANGE(""https://docs.google.com/spreadsheets/d/1opm6ZNvGZ7KditA9TuJwrZ25eFLfTNIkrNnY6mhV5Eg"",""list!A1:C115""),3,TRUE)"),"le secteur de la tech")</f>
        <v xml:space="preserve">le secteur de la tech</v>
      </c>
      <c r="P54" s="4" t="s">
        <v>9703</v>
      </c>
      <c r="R54" s="4" t="s">
        <v>185</v>
      </c>
      <c r="S54" s="4" t="s">
        <v>9172</v>
      </c>
      <c r="T54" s="4" t="s">
        <v>29</v>
      </c>
      <c r="U54" s="5" t="s">
        <v>9704</v>
      </c>
      <c r="V54" s="6"/>
      <c r="W54" s="6"/>
      <c r="X54" s="6"/>
      <c r="Y54" s="6"/>
      <c r="Z54" s="4" t="s">
        <v>9705</v>
      </c>
      <c r="AA54" s="6"/>
      <c r="AB54" s="5" t="s">
        <v>9706</v>
      </c>
    </row>
    <row r="55" ht="14.25">
      <c r="A55" s="4" t="s">
        <v>9708</v>
      </c>
      <c r="B55" s="4" t="s">
        <v>3164</v>
      </c>
      <c r="C55" s="4" t="s">
        <v>9710</v>
      </c>
      <c r="F55" s="4" t="s">
        <v>9709</v>
      </c>
      <c r="G55" s="4">
        <v>36</v>
      </c>
      <c r="H55" s="4" t="s">
        <v>9711</v>
      </c>
      <c r="I55" s="4" t="str">
        <f>IFERROR(__XLUDF.DUMMYFUNCTION("PROPER(REGEXREPLACE(G53,""[^A-Za-z]+ "",""""))"),"X-Gil")</f>
        <v>X-Gil</v>
      </c>
      <c r="J55" s="5" t="s">
        <v>9712</v>
      </c>
      <c r="K55" s="4" t="s">
        <v>1507</v>
      </c>
      <c r="L55" s="4" t="s">
        <v>9193</v>
      </c>
      <c r="M55" s="4" t="s">
        <v>29</v>
      </c>
      <c r="N55" s="4" t="s">
        <v>2602</v>
      </c>
      <c r="O55" s="4" t="str">
        <f>IFERROR(__XLUDF.DUMMYFUNCTION("VLOOKUP(M53,IMPORTRANGE(""https://docs.google.com/spreadsheets/d/1opm6ZNvGZ7KditA9TuJwrZ25eFLfTNIkrNnY6mhV5Eg"",""list!A1:C115""),3,TRUE)"),"le secteur de la tech")</f>
        <v xml:space="preserve">le secteur de la tech</v>
      </c>
      <c r="P55" s="4" t="s">
        <v>9713</v>
      </c>
      <c r="R55" s="4" t="s">
        <v>1745</v>
      </c>
      <c r="S55" s="4" t="s">
        <v>9460</v>
      </c>
      <c r="T55" s="4" t="s">
        <v>29</v>
      </c>
      <c r="U55" s="5" t="s">
        <v>9714</v>
      </c>
      <c r="V55" s="6"/>
      <c r="W55" s="6"/>
      <c r="X55" s="6"/>
      <c r="Y55" s="6"/>
      <c r="Z55" s="4" t="s">
        <v>9715</v>
      </c>
      <c r="AA55" s="6"/>
      <c r="AB55" s="5" t="s">
        <v>9716</v>
      </c>
    </row>
    <row r="56" ht="14.25">
      <c r="A56" s="4" t="s">
        <v>9718</v>
      </c>
      <c r="B56" s="4" t="s">
        <v>3164</v>
      </c>
      <c r="C56" s="4" t="s">
        <v>1130</v>
      </c>
      <c r="F56" s="4" t="s">
        <v>9719</v>
      </c>
      <c r="G56" s="4">
        <v>14</v>
      </c>
      <c r="H56" s="4" t="s">
        <v>9720</v>
      </c>
      <c r="I56" s="4" t="str">
        <f>IFERROR(__XLUDF.DUMMYFUNCTION("PROPER(REGEXREPLACE(G54,""[^A-Za-z]+ "",""""))"),"Ibea France")</f>
        <v xml:space="preserve">Ibea France</v>
      </c>
      <c r="J56" s="5" t="s">
        <v>9721</v>
      </c>
      <c r="K56" s="4" t="s">
        <v>423</v>
      </c>
      <c r="L56" s="4" t="s">
        <v>9193</v>
      </c>
      <c r="M56" s="4" t="s">
        <v>29</v>
      </c>
      <c r="N56" s="4" t="s">
        <v>4525</v>
      </c>
      <c r="O56" s="4" t="str">
        <f>IFERROR(__XLUDF.DUMMYFUNCTION("VLOOKUP(M54,IMPORTRANGE(""https://docs.google.com/spreadsheets/d/1opm6ZNvGZ7KditA9TuJwrZ25eFLfTNIkrNnY6mhV5Eg"",""list!A1:C115""),3,TRUE)"),"le secteur du retail")</f>
        <v xml:space="preserve">le secteur du retail</v>
      </c>
      <c r="P56" s="6"/>
      <c r="R56" s="4" t="s">
        <v>423</v>
      </c>
      <c r="S56" s="4" t="s">
        <v>9193</v>
      </c>
      <c r="T56" s="4" t="s">
        <v>29</v>
      </c>
      <c r="U56" s="5" t="s">
        <v>9722</v>
      </c>
      <c r="V56" s="6"/>
      <c r="W56" s="6"/>
      <c r="X56" s="6"/>
      <c r="Y56" s="6"/>
      <c r="Z56" s="4" t="s">
        <v>9723</v>
      </c>
      <c r="AA56" s="6"/>
      <c r="AB56" s="5" t="s">
        <v>9724</v>
      </c>
    </row>
    <row r="57" ht="14.25">
      <c r="A57" s="4" t="s">
        <v>9726</v>
      </c>
      <c r="B57" s="4" t="s">
        <v>95</v>
      </c>
      <c r="C57" s="4" t="s">
        <v>112</v>
      </c>
      <c r="F57" s="4" t="s">
        <v>9727</v>
      </c>
      <c r="G57" s="4">
        <v>12</v>
      </c>
      <c r="H57" s="4" t="s">
        <v>9728</v>
      </c>
      <c r="I57" s="4" t="str">
        <f>IFERROR(__XLUDF.DUMMYFUNCTION("PROPER(REGEXREPLACE(G55,""[^A-Za-z]+ "",""""))"),"Ab Experience")</f>
        <v xml:space="preserve">Ab Experience</v>
      </c>
      <c r="J57" s="5" t="s">
        <v>9729</v>
      </c>
      <c r="K57" s="4" t="s">
        <v>6480</v>
      </c>
      <c r="L57" s="4" t="s">
        <v>9281</v>
      </c>
      <c r="M57" s="4" t="s">
        <v>29</v>
      </c>
      <c r="N57" s="4" t="s">
        <v>2602</v>
      </c>
      <c r="O57" s="4" t="str">
        <f>IFERROR(__XLUDF.DUMMYFUNCTION("VLOOKUP(M55,IMPORTRANGE(""https://docs.google.com/spreadsheets/d/1opm6ZNvGZ7KditA9TuJwrZ25eFLfTNIkrNnY6mhV5Eg"",""list!A1:C115""),3,TRUE)"),"le secteur de la tech")</f>
        <v xml:space="preserve">le secteur de la tech</v>
      </c>
      <c r="P57" s="4" t="s">
        <v>9730</v>
      </c>
      <c r="R57" s="4" t="s">
        <v>6480</v>
      </c>
      <c r="S57" s="4" t="s">
        <v>9731</v>
      </c>
      <c r="T57" s="4" t="s">
        <v>29</v>
      </c>
      <c r="U57" s="5" t="s">
        <v>9732</v>
      </c>
      <c r="V57" s="5" t="s">
        <v>9733</v>
      </c>
      <c r="W57" s="5" t="s">
        <v>9734</v>
      </c>
      <c r="X57" s="6"/>
      <c r="Y57" s="6"/>
      <c r="Z57" s="4" t="s">
        <v>9735</v>
      </c>
      <c r="AA57" s="6"/>
      <c r="AB57" s="5" t="s">
        <v>9736</v>
      </c>
    </row>
    <row r="58" ht="14.25">
      <c r="A58" s="4" t="s">
        <v>9738</v>
      </c>
      <c r="B58" s="4" t="s">
        <v>95</v>
      </c>
      <c r="C58" s="4" t="s">
        <v>468</v>
      </c>
      <c r="F58" s="4" t="s">
        <v>9739</v>
      </c>
      <c r="G58" s="4">
        <v>40</v>
      </c>
      <c r="H58" s="4" t="s">
        <v>9740</v>
      </c>
      <c r="I58" s="4" t="str">
        <f>IFERROR(__XLUDF.DUMMYFUNCTION("PROPER(REGEXREPLACE(G56,""[^A-Za-z]+ "",""""))"),"Ponant Technologies")</f>
        <v xml:space="preserve">Ponant Technologies</v>
      </c>
      <c r="J58" s="5" t="s">
        <v>9741</v>
      </c>
      <c r="K58" s="4" t="s">
        <v>1150</v>
      </c>
      <c r="L58" s="4" t="s">
        <v>9193</v>
      </c>
      <c r="M58" s="4" t="s">
        <v>29</v>
      </c>
      <c r="N58" s="4" t="s">
        <v>2602</v>
      </c>
      <c r="O58" s="4" t="str">
        <f>IFERROR(__XLUDF.DUMMYFUNCTION("VLOOKUP(M56,IMPORTRANGE(""https://docs.google.com/spreadsheets/d/1opm6ZNvGZ7KditA9TuJwrZ25eFLfTNIkrNnY6mhV5Eg"",""list!A1:C115""),3,TRUE)"),"le secteur de la tech")</f>
        <v xml:space="preserve">le secteur de la tech</v>
      </c>
      <c r="P58" s="4" t="s">
        <v>9742</v>
      </c>
      <c r="R58" s="4" t="s">
        <v>1150</v>
      </c>
      <c r="S58" s="4" t="s">
        <v>9193</v>
      </c>
      <c r="T58" s="4" t="s">
        <v>29</v>
      </c>
      <c r="U58" s="5" t="s">
        <v>9743</v>
      </c>
      <c r="V58" s="6"/>
      <c r="W58" s="6"/>
      <c r="X58" s="6"/>
      <c r="Y58" s="6"/>
      <c r="Z58" s="4" t="s">
        <v>9744</v>
      </c>
      <c r="AA58" s="6"/>
      <c r="AB58" s="5" t="s">
        <v>9745</v>
      </c>
    </row>
    <row r="59" ht="14.25">
      <c r="A59" s="4" t="s">
        <v>9747</v>
      </c>
      <c r="B59" s="4" t="s">
        <v>95</v>
      </c>
      <c r="C59" s="4" t="s">
        <v>9749</v>
      </c>
      <c r="F59" s="4" t="s">
        <v>9748</v>
      </c>
      <c r="G59" s="4">
        <v>11</v>
      </c>
      <c r="H59" s="4" t="s">
        <v>9750</v>
      </c>
      <c r="I59" s="4" t="str">
        <f>IFERROR(__XLUDF.DUMMYFUNCTION("PROPER(REGEXREPLACE(G57,""[^A-Za-z]+ "",""""))"),"Quintet")</f>
        <v>Quintet</v>
      </c>
      <c r="J59" s="5" t="s">
        <v>9751</v>
      </c>
      <c r="K59" s="4" t="s">
        <v>39</v>
      </c>
      <c r="L59" s="4" t="s">
        <v>9160</v>
      </c>
      <c r="M59" s="4" t="s">
        <v>29</v>
      </c>
      <c r="N59" s="4" t="s">
        <v>4067</v>
      </c>
      <c r="O59" s="4" t="str">
        <f>IFERROR(__XLUDF.DUMMYFUNCTION("VLOOKUP(M57,IMPORTRANGE(""https://docs.google.com/spreadsheets/d/1opm6ZNvGZ7KditA9TuJwrZ25eFLfTNIkrNnY6mhV5Eg"",""list!A1:C115""),3,TRUE)"),"le secteur du conseil en management")</f>
        <v xml:space="preserve">le secteur du conseil en management</v>
      </c>
      <c r="P59" s="6"/>
      <c r="R59" s="6"/>
      <c r="S59" s="6"/>
      <c r="T59" s="6"/>
      <c r="U59" s="5" t="s">
        <v>9752</v>
      </c>
      <c r="V59" s="6"/>
      <c r="W59" s="6"/>
      <c r="X59" s="6"/>
      <c r="Y59" s="6"/>
      <c r="Z59" s="4" t="s">
        <v>9753</v>
      </c>
      <c r="AA59" s="6"/>
      <c r="AB59" s="5" t="s">
        <v>9754</v>
      </c>
    </row>
    <row r="60" ht="14.25">
      <c r="A60" s="4" t="s">
        <v>4132</v>
      </c>
      <c r="B60" s="4" t="s">
        <v>95</v>
      </c>
      <c r="C60" s="4" t="s">
        <v>247</v>
      </c>
      <c r="F60" s="4" t="s">
        <v>9756</v>
      </c>
      <c r="G60" s="4">
        <v>42</v>
      </c>
      <c r="H60" s="4" t="s">
        <v>9757</v>
      </c>
      <c r="I60" s="4" t="str">
        <f>IFERROR(__XLUDF.DUMMYFUNCTION("PROPER(REGEXREPLACE(G58,""[^A-Za-z]+ "",""""))"),"Copernic")</f>
        <v>Copernic</v>
      </c>
      <c r="J60" s="5" t="s">
        <v>9758</v>
      </c>
      <c r="K60" s="4" t="s">
        <v>1780</v>
      </c>
      <c r="L60" s="4" t="s">
        <v>9215</v>
      </c>
      <c r="M60" s="4" t="s">
        <v>29</v>
      </c>
      <c r="N60" s="4" t="s">
        <v>9161</v>
      </c>
      <c r="O60" s="4" t="str">
        <f>IFERROR(__XLUDF.DUMMYFUNCTION("VLOOKUP(M58,IMPORTRANGE(""https://docs.google.com/spreadsheets/d/1opm6ZNvGZ7KditA9TuJwrZ25eFLfTNIkrNnY6mhV5Eg"",""list!A1:C115""),3,TRUE)"),"le secteur du marketing")</f>
        <v xml:space="preserve">le secteur du marketing</v>
      </c>
      <c r="P60" s="4" t="s">
        <v>9759</v>
      </c>
      <c r="R60" s="4" t="s">
        <v>1780</v>
      </c>
      <c r="S60" s="4" t="s">
        <v>9215</v>
      </c>
      <c r="T60" s="4" t="s">
        <v>29</v>
      </c>
      <c r="U60" s="5" t="s">
        <v>9760</v>
      </c>
      <c r="V60" s="6"/>
      <c r="W60" s="6"/>
      <c r="X60" s="6"/>
      <c r="Y60" s="6"/>
      <c r="Z60" s="4" t="s">
        <v>9761</v>
      </c>
      <c r="AA60" s="6"/>
      <c r="AB60" s="5" t="s">
        <v>9762</v>
      </c>
    </row>
    <row r="61" ht="14.25">
      <c r="A61" s="4" t="s">
        <v>9764</v>
      </c>
      <c r="B61" s="4" t="s">
        <v>95</v>
      </c>
      <c r="C61" s="4" t="s">
        <v>172</v>
      </c>
      <c r="F61" s="4" t="s">
        <v>9765</v>
      </c>
      <c r="G61" s="4">
        <v>26</v>
      </c>
      <c r="H61" s="4" t="s">
        <v>9766</v>
      </c>
      <c r="I61" s="4" t="str">
        <f>IFERROR(__XLUDF.DUMMYFUNCTION("PROPER(REGEXREPLACE(G59,""[^A-Za-z]+ "",""""))"),"Costa Maconnerie")</f>
        <v xml:space="preserve">Costa Maconnerie</v>
      </c>
      <c r="J61" s="5" t="s">
        <v>9767</v>
      </c>
      <c r="K61" s="4" t="s">
        <v>439</v>
      </c>
      <c r="L61" s="4" t="s">
        <v>9227</v>
      </c>
      <c r="M61" s="4" t="s">
        <v>29</v>
      </c>
      <c r="N61" s="4" t="s">
        <v>9239</v>
      </c>
      <c r="O61" s="4" t="str">
        <f>IFERROR(__XLUDF.DUMMYFUNCTION("VLOOKUP(M59,IMPORTRANGE(""https://docs.google.com/spreadsheets/d/1opm6ZNvGZ7KditA9TuJwrZ25eFLfTNIkrNnY6mhV5Eg"",""list!A1:C115""),3,TRUE)"),"le secteur de la construction")</f>
        <v xml:space="preserve">le secteur de la construction</v>
      </c>
      <c r="P61" s="6"/>
      <c r="R61" s="4" t="s">
        <v>9768</v>
      </c>
      <c r="S61" s="4" t="s">
        <v>9227</v>
      </c>
      <c r="T61" s="4" t="s">
        <v>29</v>
      </c>
      <c r="U61" s="5" t="s">
        <v>9769</v>
      </c>
      <c r="V61" s="6"/>
      <c r="W61" s="6"/>
      <c r="X61" s="6"/>
      <c r="Y61" s="6"/>
      <c r="Z61" s="4" t="s">
        <v>9770</v>
      </c>
      <c r="AA61" s="6"/>
      <c r="AB61" s="5" t="s">
        <v>9771</v>
      </c>
    </row>
    <row r="62" ht="14.25">
      <c r="A62" s="4" t="s">
        <v>9774</v>
      </c>
      <c r="B62" s="4" t="s">
        <v>9773</v>
      </c>
      <c r="C62" s="4" t="s">
        <v>9776</v>
      </c>
      <c r="F62" s="4" t="s">
        <v>9775</v>
      </c>
      <c r="G62" s="4">
        <v>13</v>
      </c>
      <c r="H62" s="4" t="s">
        <v>9777</v>
      </c>
      <c r="I62" s="4" t="str">
        <f>IFERROR(__XLUDF.DUMMYFUNCTION("PROPER(REGEXREPLACE(G60,""[^A-Za-z]+ "",""""))"),"Koena")</f>
        <v>Koena</v>
      </c>
      <c r="J62" s="5" t="s">
        <v>9778</v>
      </c>
      <c r="K62" s="4" t="s">
        <v>83</v>
      </c>
      <c r="L62" s="4" t="s">
        <v>9460</v>
      </c>
      <c r="M62" s="4" t="s">
        <v>29</v>
      </c>
      <c r="N62" s="4" t="s">
        <v>2602</v>
      </c>
      <c r="O62" s="4" t="str">
        <f>IFERROR(__XLUDF.DUMMYFUNCTION("VLOOKUP(M60,IMPORTRANGE(""https://docs.google.com/spreadsheets/d/1opm6ZNvGZ7KditA9TuJwrZ25eFLfTNIkrNnY6mhV5Eg"",""list!A1:C115""),3,TRUE)"),"le secteur de la tech")</f>
        <v xml:space="preserve">le secteur de la tech</v>
      </c>
      <c r="P62" s="4" t="s">
        <v>9779</v>
      </c>
      <c r="R62" s="4" t="s">
        <v>39</v>
      </c>
      <c r="S62" s="4" t="s">
        <v>9160</v>
      </c>
      <c r="T62" s="4" t="s">
        <v>29</v>
      </c>
      <c r="U62" s="5" t="s">
        <v>9780</v>
      </c>
      <c r="V62" s="5" t="s">
        <v>9781</v>
      </c>
      <c r="W62" s="6"/>
      <c r="X62" s="6"/>
      <c r="Y62" s="6"/>
      <c r="Z62" s="4" t="s">
        <v>9782</v>
      </c>
      <c r="AA62" s="6"/>
      <c r="AB62" s="5" t="s">
        <v>9783</v>
      </c>
    </row>
    <row r="63" ht="14.25">
      <c r="A63" s="4" t="s">
        <v>9785</v>
      </c>
      <c r="B63" s="4" t="s">
        <v>670</v>
      </c>
      <c r="C63" s="4" t="s">
        <v>9787</v>
      </c>
      <c r="F63" s="4" t="s">
        <v>9786</v>
      </c>
      <c r="G63" s="4">
        <v>34</v>
      </c>
      <c r="H63" s="4" t="s">
        <v>9788</v>
      </c>
      <c r="I63" s="4" t="str">
        <f>IFERROR(__XLUDF.DUMMYFUNCTION("PROPER(REGEXREPLACE(G61,""[^A-Za-z]+ "",""""))"),"Pôle D'Excellence Cyber")</f>
        <v xml:space="preserve">Pôle D'Excellence Cyber</v>
      </c>
      <c r="J63" s="5" t="s">
        <v>9789</v>
      </c>
      <c r="K63" s="4" t="s">
        <v>39</v>
      </c>
      <c r="L63" s="4" t="s">
        <v>9160</v>
      </c>
      <c r="M63" s="4" t="s">
        <v>29</v>
      </c>
      <c r="N63" s="4" t="s">
        <v>9264</v>
      </c>
      <c r="O63" s="4" t="str">
        <f>IFERROR(__XLUDF.DUMMYFUNCTION("VLOOKUP(M61,IMPORTRANGE(""https://docs.google.com/spreadsheets/d/1opm6ZNvGZ7KditA9TuJwrZ25eFLfTNIkrNnY6mhV5Eg"",""list!A1:C115""),3,TRUE)"),"le secteur de la sécurité informatique")</f>
        <v xml:space="preserve">le secteur de la sécurité informatique</v>
      </c>
      <c r="P63" s="6"/>
      <c r="R63" s="4" t="s">
        <v>1826</v>
      </c>
      <c r="S63" s="4" t="s">
        <v>9227</v>
      </c>
      <c r="T63" s="4" t="s">
        <v>29</v>
      </c>
      <c r="U63" s="5" t="s">
        <v>9790</v>
      </c>
      <c r="V63" s="6"/>
      <c r="W63" s="6"/>
      <c r="X63" s="6"/>
      <c r="Y63" s="6"/>
      <c r="Z63" s="4" t="s">
        <v>9791</v>
      </c>
      <c r="AA63" s="6"/>
      <c r="AB63" s="5" t="s">
        <v>9792</v>
      </c>
    </row>
    <row r="64" ht="14.25">
      <c r="A64" s="4" t="s">
        <v>9794</v>
      </c>
      <c r="B64" s="4" t="s">
        <v>670</v>
      </c>
      <c r="C64" s="4" t="s">
        <v>7759</v>
      </c>
      <c r="F64" s="4" t="s">
        <v>9795</v>
      </c>
      <c r="G64" s="4">
        <v>20</v>
      </c>
      <c r="H64" s="4" t="s">
        <v>9796</v>
      </c>
      <c r="I64" s="4" t="str">
        <f>IFERROR(__XLUDF.DUMMYFUNCTION("PROPER(REGEXREPLACE(G62,""[^A-Za-z]+ "",""""))"),"Reseaulution")</f>
        <v>Reseaulution</v>
      </c>
      <c r="J64" s="5" t="s">
        <v>9797</v>
      </c>
      <c r="K64" s="4" t="s">
        <v>5565</v>
      </c>
      <c r="L64" s="4" t="s">
        <v>9798</v>
      </c>
      <c r="M64" s="4" t="s">
        <v>29</v>
      </c>
      <c r="N64" s="4" t="s">
        <v>4067</v>
      </c>
      <c r="O64" s="4" t="str">
        <f>IFERROR(__XLUDF.DUMMYFUNCTION("VLOOKUP(M62,IMPORTRANGE(""https://docs.google.com/spreadsheets/d/1opm6ZNvGZ7KditA9TuJwrZ25eFLfTNIkrNnY6mhV5Eg"",""list!A1:C115""),3,TRUE)"),"le secteur du conseil en management")</f>
        <v xml:space="preserve">le secteur du conseil en management</v>
      </c>
      <c r="P64" s="4" t="s">
        <v>9799</v>
      </c>
      <c r="R64" s="4" t="s">
        <v>9800</v>
      </c>
      <c r="S64" s="4" t="s">
        <v>9798</v>
      </c>
      <c r="T64" s="4" t="s">
        <v>29</v>
      </c>
      <c r="U64" s="5" t="s">
        <v>9801</v>
      </c>
      <c r="V64" s="6"/>
      <c r="W64" s="6"/>
      <c r="X64" s="6"/>
      <c r="Y64" s="6"/>
      <c r="Z64" s="4" t="s">
        <v>9802</v>
      </c>
      <c r="AA64" s="6"/>
      <c r="AB64" s="5" t="s">
        <v>9803</v>
      </c>
    </row>
    <row r="65" ht="14.25">
      <c r="A65" s="4" t="s">
        <v>7676</v>
      </c>
      <c r="B65" s="4" t="s">
        <v>670</v>
      </c>
      <c r="C65" s="4" t="s">
        <v>9806</v>
      </c>
      <c r="F65" s="4" t="s">
        <v>9805</v>
      </c>
      <c r="G65" s="4">
        <v>14</v>
      </c>
      <c r="H65" s="4" t="s">
        <v>9807</v>
      </c>
      <c r="I65" s="4" t="str">
        <f>IFERROR(__XLUDF.DUMMYFUNCTION("PROPER(REGEXREPLACE(G63,""[^A-Za-z]+ "",""""))"),"Jubea")</f>
        <v>Jubea</v>
      </c>
      <c r="J65" s="5" t="s">
        <v>9808</v>
      </c>
      <c r="K65" s="4" t="s">
        <v>9809</v>
      </c>
      <c r="L65" s="4" t="s">
        <v>9460</v>
      </c>
      <c r="M65" s="4" t="s">
        <v>29</v>
      </c>
      <c r="N65" s="4" t="s">
        <v>4067</v>
      </c>
      <c r="O65" s="4" t="str">
        <f>IFERROR(__XLUDF.DUMMYFUNCTION("VLOOKUP(M63,IMPORTRANGE(""https://docs.google.com/spreadsheets/d/1opm6ZNvGZ7KditA9TuJwrZ25eFLfTNIkrNnY6mhV5Eg"",""list!A1:C115""),3,TRUE)"),"le secteur du conseil en management")</f>
        <v xml:space="preserve">le secteur du conseil en management</v>
      </c>
      <c r="P65" s="6"/>
      <c r="R65" s="4" t="s">
        <v>9810</v>
      </c>
      <c r="S65" s="4" t="s">
        <v>9460</v>
      </c>
      <c r="T65" s="4" t="s">
        <v>29</v>
      </c>
      <c r="U65" s="5" t="s">
        <v>9811</v>
      </c>
      <c r="V65" s="6"/>
      <c r="W65" s="6"/>
      <c r="X65" s="6"/>
      <c r="Y65" s="6"/>
      <c r="Z65" s="4" t="s">
        <v>9812</v>
      </c>
      <c r="AA65" s="6"/>
      <c r="AB65" s="5" t="s">
        <v>9813</v>
      </c>
    </row>
    <row r="66" ht="14.25">
      <c r="A66" s="4" t="s">
        <v>9815</v>
      </c>
      <c r="B66" s="4" t="s">
        <v>670</v>
      </c>
      <c r="C66" s="4" t="s">
        <v>9817</v>
      </c>
      <c r="F66" s="4" t="s">
        <v>9816</v>
      </c>
      <c r="G66" s="4">
        <v>19</v>
      </c>
      <c r="H66" s="4" t="s">
        <v>9818</v>
      </c>
      <c r="I66" s="4" t="str">
        <f>IFERROR(__XLUDF.DUMMYFUNCTION("PROPER(REGEXREPLACE(G64,""[^A-Za-z]+ "",""""))"),"Waigéo")</f>
        <v>Waigéo</v>
      </c>
      <c r="J66" s="5" t="s">
        <v>9819</v>
      </c>
      <c r="K66" s="4" t="s">
        <v>9820</v>
      </c>
      <c r="L66" s="4" t="s">
        <v>9281</v>
      </c>
      <c r="M66" s="4" t="s">
        <v>29</v>
      </c>
      <c r="N66" s="4" t="s">
        <v>2602</v>
      </c>
      <c r="O66" s="4" t="str">
        <f>IFERROR(__XLUDF.DUMMYFUNCTION("VLOOKUP(M64,IMPORTRANGE(""https://docs.google.com/spreadsheets/d/1opm6ZNvGZ7KditA9TuJwrZ25eFLfTNIkrNnY6mhV5Eg"",""list!A1:C115""),3,TRUE)"),"le secteur de la tech")</f>
        <v xml:space="preserve">le secteur de la tech</v>
      </c>
      <c r="P66" s="4" t="s">
        <v>9821</v>
      </c>
      <c r="R66" s="4" t="s">
        <v>9820</v>
      </c>
      <c r="S66" s="4" t="s">
        <v>9281</v>
      </c>
      <c r="T66" s="4" t="s">
        <v>29</v>
      </c>
      <c r="U66" s="5" t="s">
        <v>9822</v>
      </c>
      <c r="V66" s="6"/>
      <c r="W66" s="5" t="s">
        <v>9823</v>
      </c>
      <c r="X66" s="6"/>
      <c r="Y66" s="6"/>
      <c r="Z66" s="4" t="s">
        <v>9824</v>
      </c>
      <c r="AA66" s="6"/>
      <c r="AB66" s="5" t="s">
        <v>9825</v>
      </c>
    </row>
    <row r="67" ht="14.25">
      <c r="A67" s="4" t="s">
        <v>9827</v>
      </c>
      <c r="B67" s="4" t="s">
        <v>31</v>
      </c>
      <c r="C67" s="4" t="s">
        <v>9829</v>
      </c>
      <c r="F67" s="4" t="s">
        <v>9828</v>
      </c>
      <c r="G67" s="4">
        <v>10</v>
      </c>
      <c r="H67" s="4" t="s">
        <v>9830</v>
      </c>
      <c r="I67" s="4" t="str">
        <f>IFERROR(__XLUDF.DUMMYFUNCTION("PROPER(REGEXREPLACE(G65,""[^A-Za-z]+ "",""""))"),"Taroko")</f>
        <v>Taroko</v>
      </c>
      <c r="J67" s="5" t="s">
        <v>9831</v>
      </c>
      <c r="K67" s="4" t="s">
        <v>39</v>
      </c>
      <c r="L67" s="4" t="s">
        <v>9160</v>
      </c>
      <c r="M67" s="4" t="s">
        <v>29</v>
      </c>
      <c r="N67" s="4" t="s">
        <v>4067</v>
      </c>
      <c r="O67" s="4" t="str">
        <f>IFERROR(__XLUDF.DUMMYFUNCTION("VLOOKUP(M65,IMPORTRANGE(""https://docs.google.com/spreadsheets/d/1opm6ZNvGZ7KditA9TuJwrZ25eFLfTNIkrNnY6mhV5Eg"",""list!A1:C115""),3,TRUE)"),"le secteur du conseil en management")</f>
        <v xml:space="preserve">le secteur du conseil en management</v>
      </c>
      <c r="P67" s="4" t="s">
        <v>9832</v>
      </c>
      <c r="R67" s="4" t="s">
        <v>39</v>
      </c>
      <c r="S67" s="4" t="s">
        <v>9160</v>
      </c>
      <c r="T67" s="4" t="s">
        <v>29</v>
      </c>
      <c r="U67" s="5" t="s">
        <v>9833</v>
      </c>
      <c r="V67" s="6"/>
      <c r="W67" s="6"/>
      <c r="X67" s="6"/>
      <c r="Y67" s="6"/>
      <c r="Z67" s="4" t="s">
        <v>9834</v>
      </c>
      <c r="AA67" s="6"/>
      <c r="AB67" s="5" t="s">
        <v>9835</v>
      </c>
    </row>
    <row r="68" ht="14.25">
      <c r="A68" s="4" t="s">
        <v>9837</v>
      </c>
      <c r="B68" s="4" t="s">
        <v>31</v>
      </c>
      <c r="C68" s="4" t="s">
        <v>62</v>
      </c>
      <c r="F68" s="4" t="s">
        <v>9838</v>
      </c>
      <c r="G68" s="4">
        <v>12</v>
      </c>
      <c r="H68" s="4" t="s">
        <v>9839</v>
      </c>
      <c r="I68" s="4" t="str">
        <f>IFERROR(__XLUDF.DUMMYFUNCTION("PROPER(REGEXREPLACE(G66,""[^A-Za-z]+ "",""""))"),"Sidekicks")</f>
        <v>Sidekicks</v>
      </c>
      <c r="J68" s="5" t="s">
        <v>9840</v>
      </c>
      <c r="K68" s="4" t="s">
        <v>295</v>
      </c>
      <c r="L68" s="4" t="s">
        <v>9251</v>
      </c>
      <c r="M68" s="4" t="s">
        <v>29</v>
      </c>
      <c r="N68" s="4" t="s">
        <v>4067</v>
      </c>
      <c r="O68" s="4" t="str">
        <f>IFERROR(__XLUDF.DUMMYFUNCTION("VLOOKUP(M66,IMPORTRANGE(""https://docs.google.com/spreadsheets/d/1opm6ZNvGZ7KditA9TuJwrZ25eFLfTNIkrNnY6mhV5Eg"",""list!A1:C115""),3,TRUE)"),"le secteur du conseil en management")</f>
        <v xml:space="preserve">le secteur du conseil en management</v>
      </c>
      <c r="P68" s="4" t="s">
        <v>9841</v>
      </c>
      <c r="R68" s="4" t="s">
        <v>39</v>
      </c>
      <c r="S68" s="4" t="s">
        <v>9160</v>
      </c>
      <c r="T68" s="4" t="s">
        <v>29</v>
      </c>
      <c r="U68" s="5" t="s">
        <v>9842</v>
      </c>
      <c r="V68" s="6"/>
      <c r="W68" s="6"/>
      <c r="X68" s="5" t="s">
        <v>9843</v>
      </c>
      <c r="Y68" s="6"/>
      <c r="Z68" s="4" t="s">
        <v>9844</v>
      </c>
      <c r="AA68" s="6"/>
      <c r="AB68" s="5" t="s">
        <v>9845</v>
      </c>
    </row>
    <row r="69" ht="14.25">
      <c r="A69" s="4" t="s">
        <v>9847</v>
      </c>
      <c r="B69" s="4" t="s">
        <v>874</v>
      </c>
      <c r="C69" s="4" t="s">
        <v>9849</v>
      </c>
      <c r="F69" s="4" t="s">
        <v>9848</v>
      </c>
      <c r="G69" s="4">
        <v>17</v>
      </c>
      <c r="H69" s="4" t="s">
        <v>9850</v>
      </c>
      <c r="I69" s="4" t="str">
        <f>IFERROR(__XLUDF.DUMMYFUNCTION("PROPER(REGEXREPLACE(G67,""[^A-Za-z]+ "",""""))"),"Tetra Up")</f>
        <v xml:space="preserve">Tetra Up</v>
      </c>
      <c r="J69" s="5" t="s">
        <v>9851</v>
      </c>
      <c r="K69" s="4" t="s">
        <v>9852</v>
      </c>
      <c r="L69" s="4" t="s">
        <v>9278</v>
      </c>
      <c r="M69" s="4" t="s">
        <v>29</v>
      </c>
      <c r="N69" s="4" t="s">
        <v>2602</v>
      </c>
      <c r="O69" s="4" t="str">
        <f>IFERROR(__XLUDF.DUMMYFUNCTION("VLOOKUP(M67,IMPORTRANGE(""https://docs.google.com/spreadsheets/d/1opm6ZNvGZ7KditA9TuJwrZ25eFLfTNIkrNnY6mhV5Eg"",""list!A1:C115""),3,TRUE)"),"le secteur de la tech")</f>
        <v xml:space="preserve">le secteur de la tech</v>
      </c>
      <c r="P69" s="4" t="s">
        <v>9853</v>
      </c>
      <c r="R69" s="4" t="s">
        <v>9852</v>
      </c>
      <c r="S69" s="4" t="s">
        <v>9278</v>
      </c>
      <c r="T69" s="4" t="s">
        <v>29</v>
      </c>
      <c r="U69" s="5" t="s">
        <v>9854</v>
      </c>
      <c r="V69" s="5" t="s">
        <v>9855</v>
      </c>
      <c r="W69" s="5" t="s">
        <v>9856</v>
      </c>
      <c r="X69" s="6"/>
      <c r="Y69" s="6"/>
      <c r="Z69" s="4" t="s">
        <v>9857</v>
      </c>
      <c r="AA69" s="6"/>
      <c r="AB69" s="5" t="s">
        <v>9858</v>
      </c>
    </row>
    <row r="70" ht="14.25">
      <c r="A70" s="4" t="s">
        <v>6138</v>
      </c>
      <c r="B70" s="4" t="s">
        <v>6634</v>
      </c>
      <c r="C70" s="4" t="s">
        <v>7185</v>
      </c>
      <c r="F70" s="4" t="s">
        <v>9860</v>
      </c>
      <c r="G70" s="4">
        <v>14</v>
      </c>
      <c r="H70" s="4" t="s">
        <v>9861</v>
      </c>
      <c r="I70" s="4" t="str">
        <f>IFERROR(__XLUDF.DUMMYFUNCTION("PROPER(REGEXREPLACE(G68,""[^A-Za-z]+ "",""""))"),"Enov Construction")</f>
        <v xml:space="preserve">Enov Construction</v>
      </c>
      <c r="J70" s="4" t="s">
        <v>9862</v>
      </c>
      <c r="K70" s="4" t="s">
        <v>9863</v>
      </c>
      <c r="L70" s="4" t="s">
        <v>9864</v>
      </c>
      <c r="M70" s="4" t="s">
        <v>29</v>
      </c>
      <c r="N70" s="4" t="s">
        <v>9239</v>
      </c>
      <c r="O70" s="4" t="str">
        <f>IFERROR(__XLUDF.DUMMYFUNCTION("VLOOKUP(M68,IMPORTRANGE(""https://docs.google.com/spreadsheets/d/1opm6ZNvGZ7KditA9TuJwrZ25eFLfTNIkrNnY6mhV5Eg"",""list!A1:C115""),3,TRUE)"),"le secteur de la construction")</f>
        <v xml:space="preserve">le secteur de la construction</v>
      </c>
      <c r="P70" s="4" t="s">
        <v>9865</v>
      </c>
      <c r="R70" s="4" t="s">
        <v>9863</v>
      </c>
      <c r="S70" s="4" t="s">
        <v>9864</v>
      </c>
      <c r="T70" s="4" t="s">
        <v>29</v>
      </c>
      <c r="U70" s="5" t="s">
        <v>9866</v>
      </c>
      <c r="V70" s="6"/>
      <c r="W70" s="6"/>
      <c r="X70" s="6"/>
      <c r="Y70" s="6"/>
      <c r="Z70" s="4" t="s">
        <v>9867</v>
      </c>
      <c r="AA70" s="6"/>
      <c r="AB70" s="5" t="s">
        <v>9868</v>
      </c>
    </row>
    <row r="71" ht="14.25">
      <c r="A71" s="4" t="s">
        <v>9870</v>
      </c>
      <c r="B71" s="4" t="s">
        <v>7451</v>
      </c>
      <c r="C71" s="4" t="s">
        <v>2645</v>
      </c>
      <c r="F71" s="4" t="s">
        <v>9871</v>
      </c>
      <c r="G71" s="4">
        <v>10</v>
      </c>
      <c r="H71" s="4" t="s">
        <v>9872</v>
      </c>
      <c r="I71" s="4" t="str">
        <f>IFERROR(__XLUDF.DUMMYFUNCTION("PROPER(REGEXREPLACE(G69,""[^A-Za-z]+ "",""""))"),"Powerflow")</f>
        <v>Powerflow</v>
      </c>
      <c r="J71" s="5" t="s">
        <v>9873</v>
      </c>
      <c r="K71" s="4" t="s">
        <v>39</v>
      </c>
      <c r="L71" s="4" t="s">
        <v>9160</v>
      </c>
      <c r="M71" s="4" t="s">
        <v>29</v>
      </c>
      <c r="N71" s="4" t="s">
        <v>4067</v>
      </c>
      <c r="O71" s="4" t="str">
        <f>IFERROR(__XLUDF.DUMMYFUNCTION("VLOOKUP(M69,IMPORTRANGE(""https://docs.google.com/spreadsheets/d/1opm6ZNvGZ7KditA9TuJwrZ25eFLfTNIkrNnY6mhV5Eg"",""list!A1:C115""),3,TRUE)"),"le secteur du conseil en management")</f>
        <v xml:space="preserve">le secteur du conseil en management</v>
      </c>
      <c r="P71" s="6"/>
      <c r="R71" s="4" t="s">
        <v>39</v>
      </c>
      <c r="S71" s="4" t="s">
        <v>9160</v>
      </c>
      <c r="T71" s="4" t="s">
        <v>29</v>
      </c>
      <c r="U71" s="5" t="s">
        <v>9874</v>
      </c>
      <c r="V71" s="6"/>
      <c r="W71" s="6"/>
      <c r="X71" s="6"/>
      <c r="Y71" s="6"/>
      <c r="Z71" s="4" t="s">
        <v>9875</v>
      </c>
      <c r="AA71" s="6"/>
      <c r="AB71" s="5" t="s">
        <v>9876</v>
      </c>
    </row>
    <row r="72" ht="14.25">
      <c r="A72" s="4" t="s">
        <v>9878</v>
      </c>
      <c r="B72" s="4" t="s">
        <v>4169</v>
      </c>
      <c r="C72" s="4" t="s">
        <v>9880</v>
      </c>
      <c r="F72" s="4" t="s">
        <v>9879</v>
      </c>
      <c r="G72" s="4">
        <v>12</v>
      </c>
      <c r="H72" s="4" t="s">
        <v>9881</v>
      </c>
      <c r="I72" s="4" t="str">
        <f>IFERROR(__XLUDF.DUMMYFUNCTION("PROPER(REGEXREPLACE(G70,""[^A-Za-z]+ "",""""))"),"Ultra Laborans")</f>
        <v xml:space="preserve">Ultra Laborans</v>
      </c>
      <c r="J72" s="5" t="s">
        <v>9882</v>
      </c>
      <c r="K72" s="4" t="s">
        <v>39</v>
      </c>
      <c r="L72" s="4" t="s">
        <v>9160</v>
      </c>
      <c r="M72" s="4" t="s">
        <v>29</v>
      </c>
      <c r="N72" s="4" t="s">
        <v>4067</v>
      </c>
      <c r="O72" s="4" t="str">
        <f>IFERROR(__XLUDF.DUMMYFUNCTION("VLOOKUP(M70,IMPORTRANGE(""https://docs.google.com/spreadsheets/d/1opm6ZNvGZ7KditA9TuJwrZ25eFLfTNIkrNnY6mhV5Eg"",""list!A1:C115""),3,TRUE)"),"le secteur du conseil en management")</f>
        <v xml:space="preserve">le secteur du conseil en management</v>
      </c>
      <c r="P72" s="4" t="s">
        <v>9883</v>
      </c>
      <c r="R72" s="4" t="s">
        <v>39</v>
      </c>
      <c r="S72" s="4" t="s">
        <v>9160</v>
      </c>
      <c r="T72" s="4" t="s">
        <v>29</v>
      </c>
      <c r="U72" s="5" t="s">
        <v>9884</v>
      </c>
      <c r="V72" s="6"/>
      <c r="W72" s="6"/>
      <c r="X72" s="6"/>
      <c r="Y72" s="6"/>
      <c r="Z72" s="4" t="s">
        <v>9885</v>
      </c>
      <c r="AA72" s="6"/>
      <c r="AB72" s="5" t="s">
        <v>9886</v>
      </c>
    </row>
    <row r="73" ht="14.25">
      <c r="A73" s="4" t="s">
        <v>9888</v>
      </c>
      <c r="B73" s="4" t="s">
        <v>3834</v>
      </c>
      <c r="C73" s="4" t="s">
        <v>9890</v>
      </c>
      <c r="F73" s="4" t="s">
        <v>9889</v>
      </c>
      <c r="G73" s="4">
        <v>36</v>
      </c>
      <c r="H73" s="4" t="s">
        <v>9891</v>
      </c>
      <c r="I73" s="4" t="str">
        <f>IFERROR(__XLUDF.DUMMYFUNCTION("PROPER(REGEXREPLACE(G71,""[^A-Za-z]+ "",""""))"),"Chutmagazine")</f>
        <v>Chutmagazine</v>
      </c>
      <c r="J73" s="4" t="s">
        <v>9892</v>
      </c>
      <c r="K73" s="4" t="s">
        <v>39</v>
      </c>
      <c r="L73" s="4" t="s">
        <v>9160</v>
      </c>
      <c r="M73" s="4" t="s">
        <v>29</v>
      </c>
      <c r="N73" s="4" t="s">
        <v>9184</v>
      </c>
      <c r="O73" s="4" t="str">
        <f>IFERROR(__XLUDF.DUMMYFUNCTION("VLOOKUP(M71,IMPORTRANGE(""https://docs.google.com/spreadsheets/d/1opm6ZNvGZ7KditA9TuJwrZ25eFLfTNIkrNnY6mhV5Eg"",""list!A1:C115""),3,TRUE)"),"le secteur des télécommunications")</f>
        <v xml:space="preserve">le secteur des télécommunications</v>
      </c>
      <c r="P73" s="4" t="s">
        <v>9893</v>
      </c>
      <c r="R73" s="4" t="s">
        <v>39</v>
      </c>
      <c r="S73" s="4" t="s">
        <v>9160</v>
      </c>
      <c r="T73" s="4" t="s">
        <v>29</v>
      </c>
      <c r="U73" s="5" t="s">
        <v>9894</v>
      </c>
      <c r="V73" s="5" t="s">
        <v>9895</v>
      </c>
      <c r="W73" s="5" t="s">
        <v>9896</v>
      </c>
      <c r="X73" s="6"/>
      <c r="Y73" s="6"/>
      <c r="Z73" s="4" t="s">
        <v>9897</v>
      </c>
      <c r="AA73" s="6"/>
      <c r="AB73" s="5" t="s">
        <v>9898</v>
      </c>
    </row>
    <row r="74" ht="14.25">
      <c r="A74" s="4" t="s">
        <v>9901</v>
      </c>
      <c r="B74" s="4" t="s">
        <v>9900</v>
      </c>
      <c r="C74" s="4" t="s">
        <v>9903</v>
      </c>
      <c r="F74" s="4" t="s">
        <v>9902</v>
      </c>
      <c r="G74" s="4">
        <v>16</v>
      </c>
      <c r="H74" s="4" t="s">
        <v>9904</v>
      </c>
      <c r="I74" s="4" t="str">
        <f>IFERROR(__XLUDF.DUMMYFUNCTION("PROPER(REGEXREPLACE(G72,""[^A-Za-z]+ "",""""))"),"Promessens")</f>
        <v>Promessens</v>
      </c>
      <c r="J74" s="5" t="s">
        <v>9905</v>
      </c>
      <c r="K74" s="6"/>
      <c r="L74" s="6"/>
      <c r="M74" s="4" t="s">
        <v>29</v>
      </c>
      <c r="N74" s="4" t="s">
        <v>4293</v>
      </c>
      <c r="O74" s="4" t="str">
        <f>IFERROR(__XLUDF.DUMMYFUNCTION("VLOOKUP(M72,IMPORTRANGE(""https://docs.google.com/spreadsheets/d/1opm6ZNvGZ7KditA9TuJwrZ25eFLfTNIkrNnY6mhV5Eg"",""list!A1:C115""),3,TRUE)"),"le secteur de l'immobilier")</f>
        <v xml:space="preserve">le secteur de l'immobilier</v>
      </c>
      <c r="P74" s="4" t="s">
        <v>9906</v>
      </c>
      <c r="R74" s="4" t="s">
        <v>185</v>
      </c>
      <c r="S74" s="4" t="s">
        <v>9193</v>
      </c>
      <c r="T74" s="4" t="s">
        <v>29</v>
      </c>
      <c r="U74" s="5" t="s">
        <v>9907</v>
      </c>
      <c r="V74" s="6"/>
      <c r="W74" s="6"/>
      <c r="X74" s="6"/>
      <c r="Y74" s="6"/>
      <c r="Z74" s="4" t="s">
        <v>9908</v>
      </c>
      <c r="AA74" s="6"/>
      <c r="AB74" s="5" t="s">
        <v>9909</v>
      </c>
    </row>
    <row r="75" ht="14.25">
      <c r="A75" s="4" t="s">
        <v>9912</v>
      </c>
      <c r="B75" s="4" t="s">
        <v>9911</v>
      </c>
      <c r="C75" s="4" t="s">
        <v>112</v>
      </c>
      <c r="F75" s="4" t="s">
        <v>9913</v>
      </c>
      <c r="G75" s="4">
        <v>10</v>
      </c>
      <c r="H75" s="4" t="s">
        <v>9914</v>
      </c>
      <c r="I75" s="4" t="str">
        <f>IFERROR(__XLUDF.DUMMYFUNCTION("PROPER(REGEXREPLACE(G73,""[^A-Za-z]+ "",""""))"),"Tech Advising")</f>
        <v xml:space="preserve">Tech Advising</v>
      </c>
      <c r="J75" s="5" t="s">
        <v>9915</v>
      </c>
      <c r="K75" s="4" t="s">
        <v>9916</v>
      </c>
      <c r="L75" s="4" t="s">
        <v>9160</v>
      </c>
      <c r="M75" s="4" t="s">
        <v>29</v>
      </c>
      <c r="N75" s="4" t="s">
        <v>2602</v>
      </c>
      <c r="O75" s="4" t="str">
        <f>IFERROR(__XLUDF.DUMMYFUNCTION("VLOOKUP(M73,IMPORTRANGE(""https://docs.google.com/spreadsheets/d/1opm6ZNvGZ7KditA9TuJwrZ25eFLfTNIkrNnY6mhV5Eg"",""list!A1:C115""),3,TRUE)"),"le secteur de la tech")</f>
        <v xml:space="preserve">le secteur de la tech</v>
      </c>
      <c r="P75" s="4" t="s">
        <v>9917</v>
      </c>
      <c r="R75" s="4" t="s">
        <v>9916</v>
      </c>
      <c r="S75" s="4" t="s">
        <v>9160</v>
      </c>
      <c r="T75" s="4" t="s">
        <v>29</v>
      </c>
      <c r="U75" s="5" t="s">
        <v>9918</v>
      </c>
      <c r="V75" s="6"/>
      <c r="W75" s="6"/>
      <c r="X75" s="6"/>
      <c r="Y75" s="6"/>
      <c r="Z75" s="4" t="s">
        <v>9919</v>
      </c>
      <c r="AA75" s="6"/>
      <c r="AB75" s="5" t="s">
        <v>9920</v>
      </c>
    </row>
    <row r="76" ht="14.25">
      <c r="A76" s="4" t="s">
        <v>9923</v>
      </c>
      <c r="B76" s="4" t="s">
        <v>9922</v>
      </c>
      <c r="C76" s="4" t="s">
        <v>172</v>
      </c>
      <c r="F76" s="4" t="s">
        <v>9924</v>
      </c>
      <c r="G76" s="4">
        <v>18</v>
      </c>
      <c r="H76" s="4" t="s">
        <v>9925</v>
      </c>
      <c r="I76" s="4" t="str">
        <f>IFERROR(__XLUDF.DUMMYFUNCTION("PROPER(REGEXREPLACE(G74,""[^A-Za-z]+ "",""""))"),"Girold Constructions Bois")</f>
        <v xml:space="preserve">Girold Constructions Bois</v>
      </c>
      <c r="J76" s="5" t="s">
        <v>9926</v>
      </c>
      <c r="K76" s="4" t="s">
        <v>9927</v>
      </c>
      <c r="L76" s="4" t="s">
        <v>9215</v>
      </c>
      <c r="M76" s="4" t="s">
        <v>29</v>
      </c>
      <c r="N76" s="4" t="s">
        <v>9239</v>
      </c>
      <c r="O76" s="4" t="str">
        <f>IFERROR(__XLUDF.DUMMYFUNCTION("VLOOKUP(M74,IMPORTRANGE(""https://docs.google.com/spreadsheets/d/1opm6ZNvGZ7KditA9TuJwrZ25eFLfTNIkrNnY6mhV5Eg"",""list!A1:C115""),3,TRUE)"),"le secteur de la construction")</f>
        <v xml:space="preserve">le secteur de la construction</v>
      </c>
      <c r="P76" s="6"/>
      <c r="R76" s="4" t="s">
        <v>9927</v>
      </c>
      <c r="S76" s="4" t="s">
        <v>9928</v>
      </c>
      <c r="T76" s="4" t="s">
        <v>29</v>
      </c>
      <c r="U76" s="5" t="s">
        <v>9929</v>
      </c>
      <c r="V76" s="6"/>
      <c r="W76" s="6"/>
      <c r="X76" s="6"/>
      <c r="Y76" s="6"/>
      <c r="Z76" s="4" t="s">
        <v>9930</v>
      </c>
      <c r="AA76" s="6"/>
      <c r="AB76" s="5" t="s">
        <v>9931</v>
      </c>
    </row>
    <row r="77" ht="14.25">
      <c r="A77" s="4" t="s">
        <v>9933</v>
      </c>
      <c r="B77" s="4" t="s">
        <v>630</v>
      </c>
      <c r="C77" s="4" t="s">
        <v>112</v>
      </c>
      <c r="F77" s="4" t="s">
        <v>9934</v>
      </c>
      <c r="G77" s="4">
        <v>11</v>
      </c>
      <c r="H77" s="4" t="s">
        <v>9935</v>
      </c>
      <c r="I77" s="4" t="str">
        <f>IFERROR(__XLUDF.DUMMYFUNCTION("PROPER(REGEXREPLACE(G75,""[^A-Za-z]+ "",""""))"),"Bessat Electricité")</f>
        <v xml:space="preserve">Bessat Electricité</v>
      </c>
      <c r="J77" s="6"/>
      <c r="K77" s="4" t="s">
        <v>1507</v>
      </c>
      <c r="L77" s="4" t="s">
        <v>9193</v>
      </c>
      <c r="M77" s="4" t="s">
        <v>29</v>
      </c>
      <c r="N77" s="4" t="s">
        <v>9239</v>
      </c>
      <c r="O77" s="4" t="str">
        <f>IFERROR(__XLUDF.DUMMYFUNCTION("VLOOKUP(M75,IMPORTRANGE(""https://docs.google.com/spreadsheets/d/1opm6ZNvGZ7KditA9TuJwrZ25eFLfTNIkrNnY6mhV5Eg"",""list!A1:C115""),3,TRUE)"),"le secteur de la construction")</f>
        <v xml:space="preserve">le secteur de la construction</v>
      </c>
      <c r="P77" s="4" t="s">
        <v>9936</v>
      </c>
      <c r="R77" s="4" t="s">
        <v>9937</v>
      </c>
      <c r="S77" s="4" t="s">
        <v>9238</v>
      </c>
      <c r="T77" s="4" t="s">
        <v>29</v>
      </c>
      <c r="U77" s="5" t="s">
        <v>9938</v>
      </c>
      <c r="V77" s="6"/>
      <c r="W77" s="6"/>
      <c r="X77" s="6"/>
      <c r="Y77" s="6"/>
      <c r="Z77" s="4" t="s">
        <v>9939</v>
      </c>
      <c r="AA77" s="6"/>
      <c r="AB77" s="5" t="s">
        <v>9940</v>
      </c>
    </row>
    <row r="78" ht="14.25">
      <c r="A78" s="4" t="s">
        <v>9942</v>
      </c>
      <c r="B78" s="4" t="s">
        <v>768</v>
      </c>
      <c r="C78" s="4" t="s">
        <v>7759</v>
      </c>
      <c r="F78" s="4" t="s">
        <v>9943</v>
      </c>
      <c r="G78" s="4">
        <v>14</v>
      </c>
      <c r="H78" s="4" t="s">
        <v>9944</v>
      </c>
      <c r="I78" s="4" t="str">
        <f>IFERROR(__XLUDF.DUMMYFUNCTION("PROPER(REGEXREPLACE(G76,""[^A-Za-z]+ "",""""))"),"Delample Vrd")</f>
        <v xml:space="preserve">Delample Vrd</v>
      </c>
      <c r="J78" s="5" t="s">
        <v>9945</v>
      </c>
      <c r="K78" s="4" t="s">
        <v>9946</v>
      </c>
      <c r="L78" s="4" t="s">
        <v>9460</v>
      </c>
      <c r="M78" s="4" t="s">
        <v>29</v>
      </c>
      <c r="N78" s="4" t="s">
        <v>9239</v>
      </c>
      <c r="O78" s="4" t="str">
        <f>IFERROR(__XLUDF.DUMMYFUNCTION("VLOOKUP(M76,IMPORTRANGE(""https://docs.google.com/spreadsheets/d/1opm6ZNvGZ7KditA9TuJwrZ25eFLfTNIkrNnY6mhV5Eg"",""list!A1:C115""),3,TRUE)"),"le secteur de la construction")</f>
        <v xml:space="preserve">le secteur de la construction</v>
      </c>
      <c r="P78" s="4" t="s">
        <v>9947</v>
      </c>
      <c r="R78" s="4" t="s">
        <v>9946</v>
      </c>
      <c r="S78" s="4" t="s">
        <v>9254</v>
      </c>
      <c r="T78" s="4" t="s">
        <v>29</v>
      </c>
      <c r="U78" s="5" t="s">
        <v>9948</v>
      </c>
      <c r="V78" s="6"/>
      <c r="W78" s="6"/>
      <c r="X78" s="6"/>
      <c r="Y78" s="6"/>
      <c r="Z78" s="4" t="s">
        <v>9949</v>
      </c>
      <c r="AA78" s="6"/>
      <c r="AB78" s="5" t="s">
        <v>9950</v>
      </c>
    </row>
    <row r="79" ht="14.25">
      <c r="A79" s="4" t="s">
        <v>9953</v>
      </c>
      <c r="B79" s="4" t="s">
        <v>9952</v>
      </c>
      <c r="C79" s="4" t="s">
        <v>887</v>
      </c>
      <c r="F79" s="4" t="s">
        <v>9954</v>
      </c>
      <c r="G79" s="4">
        <v>12</v>
      </c>
      <c r="H79" s="4" t="s">
        <v>9955</v>
      </c>
      <c r="I79" s="4" t="str">
        <f>IFERROR(__XLUDF.DUMMYFUNCTION("PROPER(REGEXREPLACE(G77,""[^A-Za-z]+ "",""""))"),"Sooit")</f>
        <v>Sooit</v>
      </c>
      <c r="J79" s="5" t="s">
        <v>9956</v>
      </c>
      <c r="K79" s="4" t="s">
        <v>39</v>
      </c>
      <c r="L79" s="4" t="s">
        <v>9160</v>
      </c>
      <c r="M79" s="4" t="s">
        <v>29</v>
      </c>
      <c r="N79" s="4" t="s">
        <v>2602</v>
      </c>
      <c r="O79" s="4" t="str">
        <f>IFERROR(__XLUDF.DUMMYFUNCTION("VLOOKUP(M77,IMPORTRANGE(""https://docs.google.com/spreadsheets/d/1opm6ZNvGZ7KditA9TuJwrZ25eFLfTNIkrNnY6mhV5Eg"",""list!A1:C115""),3,TRUE)"),"le secteur de la tech")</f>
        <v xml:space="preserve">le secteur de la tech</v>
      </c>
      <c r="P79" s="6"/>
      <c r="R79" s="4" t="s">
        <v>1446</v>
      </c>
      <c r="S79" s="4" t="s">
        <v>9160</v>
      </c>
      <c r="T79" s="4" t="s">
        <v>29</v>
      </c>
      <c r="U79" s="5" t="s">
        <v>9957</v>
      </c>
      <c r="V79" s="6"/>
      <c r="W79" s="6"/>
      <c r="X79" s="6"/>
      <c r="Y79" s="6"/>
      <c r="Z79" s="4" t="s">
        <v>9958</v>
      </c>
      <c r="AA79" s="6"/>
      <c r="AB79" s="5" t="s">
        <v>9959</v>
      </c>
    </row>
    <row r="80" ht="14.25">
      <c r="A80" s="4" t="s">
        <v>9962</v>
      </c>
      <c r="B80" s="4" t="s">
        <v>9961</v>
      </c>
      <c r="C80" s="4" t="s">
        <v>9964</v>
      </c>
      <c r="F80" s="4" t="s">
        <v>9963</v>
      </c>
      <c r="G80" s="4">
        <v>29</v>
      </c>
      <c r="H80" s="4" t="s">
        <v>9965</v>
      </c>
      <c r="I80" s="4" t="str">
        <f>IFERROR(__XLUDF.DUMMYFUNCTION("PROPER(REGEXREPLACE(G78,""[^A-Za-z]+ "",""""))"),"Tunisian Cloud")</f>
        <v xml:space="preserve">Tunisian Cloud</v>
      </c>
      <c r="J80" s="5" t="s">
        <v>9966</v>
      </c>
      <c r="K80" s="4" t="s">
        <v>9967</v>
      </c>
      <c r="L80" s="4" t="s">
        <v>9160</v>
      </c>
      <c r="M80" s="4" t="s">
        <v>29</v>
      </c>
      <c r="N80" s="4" t="s">
        <v>2602</v>
      </c>
      <c r="O80" s="4" t="str">
        <f>IFERROR(__XLUDF.DUMMYFUNCTION("VLOOKUP(M78,IMPORTRANGE(""https://docs.google.com/spreadsheets/d/1opm6ZNvGZ7KditA9TuJwrZ25eFLfTNIkrNnY6mhV5Eg"",""list!A1:C115""),3,TRUE)"),"le secteur de la tech")</f>
        <v xml:space="preserve">le secteur de la tech</v>
      </c>
      <c r="P80" s="4" t="s">
        <v>9968</v>
      </c>
      <c r="R80" s="6"/>
      <c r="S80" s="6"/>
      <c r="T80" s="4" t="s">
        <v>9969</v>
      </c>
      <c r="U80" s="5" t="s">
        <v>9970</v>
      </c>
      <c r="V80" s="5" t="s">
        <v>9971</v>
      </c>
      <c r="W80" s="6"/>
      <c r="X80" s="6"/>
      <c r="Y80" s="6"/>
      <c r="Z80" s="4" t="s">
        <v>9972</v>
      </c>
      <c r="AA80" s="6"/>
      <c r="AB80" s="5" t="s">
        <v>9973</v>
      </c>
    </row>
    <row r="81" ht="14.25">
      <c r="A81" s="4" t="s">
        <v>9975</v>
      </c>
      <c r="B81" s="4" t="s">
        <v>630</v>
      </c>
      <c r="C81" s="4" t="s">
        <v>7759</v>
      </c>
      <c r="F81" s="4" t="s">
        <v>9976</v>
      </c>
      <c r="G81" s="4">
        <v>32</v>
      </c>
      <c r="H81" s="4" t="s">
        <v>9977</v>
      </c>
      <c r="I81" s="4" t="str">
        <f>IFERROR(__XLUDF.DUMMYFUNCTION("PROPER(REGEXREPLACE(G79,""[^A-Za-z]+ "",""""))"),"Cisepz")</f>
        <v>Cisepz</v>
      </c>
      <c r="J81" s="5" t="s">
        <v>9978</v>
      </c>
      <c r="K81" s="4" t="s">
        <v>1507</v>
      </c>
      <c r="L81" s="4" t="s">
        <v>9193</v>
      </c>
      <c r="M81" s="4" t="s">
        <v>29</v>
      </c>
      <c r="N81" s="4" t="s">
        <v>9239</v>
      </c>
      <c r="O81" s="4" t="str">
        <f>IFERROR(__XLUDF.DUMMYFUNCTION("VLOOKUP(M79,IMPORTRANGE(""https://docs.google.com/spreadsheets/d/1opm6ZNvGZ7KditA9TuJwrZ25eFLfTNIkrNnY6mhV5Eg"",""list!A1:C115""),3,TRUE)"),"le secteur de la construction")</f>
        <v xml:space="preserve">le secteur de la construction</v>
      </c>
      <c r="P81" s="4" t="s">
        <v>9979</v>
      </c>
      <c r="R81" s="4" t="s">
        <v>1507</v>
      </c>
      <c r="S81" s="4" t="s">
        <v>9193</v>
      </c>
      <c r="T81" s="4" t="s">
        <v>29</v>
      </c>
      <c r="U81" s="5" t="s">
        <v>9980</v>
      </c>
      <c r="V81" s="6"/>
      <c r="W81" s="5" t="s">
        <v>9981</v>
      </c>
      <c r="X81" s="6"/>
      <c r="Y81" s="6"/>
      <c r="Z81" s="4" t="s">
        <v>9982</v>
      </c>
      <c r="AA81" s="6"/>
      <c r="AB81" s="5" t="s">
        <v>9983</v>
      </c>
    </row>
    <row r="82" ht="14.25">
      <c r="A82" s="4" t="s">
        <v>9985</v>
      </c>
      <c r="B82" s="4" t="s">
        <v>1948</v>
      </c>
      <c r="C82" s="4" t="s">
        <v>9987</v>
      </c>
      <c r="F82" s="4" t="s">
        <v>9986</v>
      </c>
      <c r="G82" s="4">
        <v>28</v>
      </c>
      <c r="H82" s="4" t="s">
        <v>9988</v>
      </c>
      <c r="I82" s="4" t="str">
        <f>IFERROR(__XLUDF.DUMMYFUNCTION("PROPER(REGEXREPLACE(G80,""[^A-Za-z]+ "",""""))"),"Explorys")</f>
        <v>Explorys</v>
      </c>
      <c r="J82" s="5" t="s">
        <v>9989</v>
      </c>
      <c r="K82" s="4" t="s">
        <v>1507</v>
      </c>
      <c r="L82" s="4" t="s">
        <v>9193</v>
      </c>
      <c r="M82" s="4" t="s">
        <v>29</v>
      </c>
      <c r="N82" s="4" t="s">
        <v>4067</v>
      </c>
      <c r="O82" s="4" t="str">
        <f>IFERROR(__XLUDF.DUMMYFUNCTION("VLOOKUP(M80,IMPORTRANGE(""https://docs.google.com/spreadsheets/d/1opm6ZNvGZ7KditA9TuJwrZ25eFLfTNIkrNnY6mhV5Eg"",""list!A1:C115""),3,TRUE)"),"le secteur du conseil en management")</f>
        <v xml:space="preserve">le secteur du conseil en management</v>
      </c>
      <c r="P82" s="4" t="s">
        <v>9990</v>
      </c>
      <c r="R82" s="4" t="s">
        <v>185</v>
      </c>
      <c r="S82" s="4" t="s">
        <v>9193</v>
      </c>
      <c r="T82" s="4" t="s">
        <v>29</v>
      </c>
      <c r="U82" s="5" t="s">
        <v>9991</v>
      </c>
      <c r="V82" s="5" t="s">
        <v>9992</v>
      </c>
      <c r="W82" s="6"/>
      <c r="X82" s="6"/>
      <c r="Y82" s="6"/>
      <c r="Z82" s="4" t="s">
        <v>9993</v>
      </c>
      <c r="AA82" s="6"/>
      <c r="AB82" s="5" t="s">
        <v>9994</v>
      </c>
    </row>
    <row r="83" ht="14.25">
      <c r="A83" s="4" t="s">
        <v>9996</v>
      </c>
      <c r="B83" s="4" t="s">
        <v>556</v>
      </c>
      <c r="C83" s="4" t="s">
        <v>9998</v>
      </c>
      <c r="F83" s="4" t="s">
        <v>9997</v>
      </c>
      <c r="G83" s="4">
        <v>11</v>
      </c>
      <c r="H83" s="4" t="s">
        <v>9999</v>
      </c>
      <c r="I83" s="4" t="str">
        <f>IFERROR(__XLUDF.DUMMYFUNCTION("PROPER(REGEXREPLACE(G81,""[^A-Za-z]+ "",""""))"),"Hpdia")</f>
        <v>Hpdia</v>
      </c>
      <c r="J83" s="5" t="s">
        <v>10000</v>
      </c>
      <c r="K83" s="4" t="s">
        <v>39</v>
      </c>
      <c r="L83" s="4" t="s">
        <v>9160</v>
      </c>
      <c r="M83" s="4" t="s">
        <v>29</v>
      </c>
      <c r="N83" s="4" t="s">
        <v>2602</v>
      </c>
      <c r="O83" s="4" t="str">
        <f>IFERROR(__XLUDF.DUMMYFUNCTION("VLOOKUP(M81,IMPORTRANGE(""https://docs.google.com/spreadsheets/d/1opm6ZNvGZ7KditA9TuJwrZ25eFLfTNIkrNnY6mhV5Eg"",""list!A1:C115""),3,TRUE)"),"le secteur de la tech")</f>
        <v xml:space="preserve">le secteur de la tech</v>
      </c>
      <c r="P83" s="6"/>
      <c r="R83" s="4" t="s">
        <v>1015</v>
      </c>
      <c r="S83" s="4" t="s">
        <v>9251</v>
      </c>
      <c r="T83" s="4" t="s">
        <v>29</v>
      </c>
      <c r="U83" s="5" t="s">
        <v>10001</v>
      </c>
      <c r="V83" s="6"/>
      <c r="W83" s="6"/>
      <c r="X83" s="6"/>
      <c r="Y83" s="6"/>
      <c r="Z83" s="4" t="s">
        <v>10002</v>
      </c>
      <c r="AA83" s="6"/>
      <c r="AB83" s="5" t="s">
        <v>10003</v>
      </c>
    </row>
    <row r="84" ht="14.25">
      <c r="A84" s="4" t="s">
        <v>10005</v>
      </c>
      <c r="B84" s="4" t="s">
        <v>556</v>
      </c>
      <c r="C84" s="4" t="s">
        <v>87</v>
      </c>
      <c r="F84" s="4" t="s">
        <v>10006</v>
      </c>
      <c r="G84" s="4">
        <v>50</v>
      </c>
      <c r="H84" s="4" t="s">
        <v>10007</v>
      </c>
      <c r="I84" s="4" t="str">
        <f>IFERROR(__XLUDF.DUMMYFUNCTION("PROPER(REGEXREPLACE(G82,""[^A-Za-z]+ "",""""))"),"Junior Mines Provence")</f>
        <v xml:space="preserve">Junior Mines Provence</v>
      </c>
      <c r="J84" s="5" t="s">
        <v>10008</v>
      </c>
      <c r="K84" s="4" t="s">
        <v>10009</v>
      </c>
      <c r="L84" s="4" t="s">
        <v>9251</v>
      </c>
      <c r="M84" s="4" t="s">
        <v>29</v>
      </c>
      <c r="N84" s="4" t="s">
        <v>2602</v>
      </c>
      <c r="O84" s="4" t="str">
        <f>IFERROR(__XLUDF.DUMMYFUNCTION("VLOOKUP(M82,IMPORTRANGE(""https://docs.google.com/spreadsheets/d/1opm6ZNvGZ7KditA9TuJwrZ25eFLfTNIkrNnY6mhV5Eg"",""list!A1:C115""),3,TRUE)"),"le secteur de la tech")</f>
        <v xml:space="preserve">le secteur de la tech</v>
      </c>
      <c r="P84" s="4" t="s">
        <v>10010</v>
      </c>
      <c r="R84" s="4" t="s">
        <v>10009</v>
      </c>
      <c r="S84" s="4" t="s">
        <v>9251</v>
      </c>
      <c r="T84" s="4" t="s">
        <v>29</v>
      </c>
      <c r="U84" s="5" t="s">
        <v>10011</v>
      </c>
      <c r="V84" s="6"/>
      <c r="W84" s="6"/>
      <c r="X84" s="6"/>
      <c r="Y84" s="6"/>
      <c r="Z84" s="4" t="s">
        <v>10012</v>
      </c>
      <c r="AA84" s="6"/>
      <c r="AB84" s="5" t="s">
        <v>10013</v>
      </c>
    </row>
    <row r="85" ht="14.25">
      <c r="A85" s="4" t="s">
        <v>10015</v>
      </c>
      <c r="B85" s="4" t="s">
        <v>556</v>
      </c>
      <c r="C85" s="4" t="s">
        <v>10017</v>
      </c>
      <c r="F85" s="4" t="s">
        <v>10016</v>
      </c>
      <c r="G85" s="4">
        <v>47</v>
      </c>
      <c r="H85" s="4" t="s">
        <v>10018</v>
      </c>
      <c r="I85" s="4" t="str">
        <f>IFERROR(__XLUDF.DUMMYFUNCTION("PROPER(REGEXREPLACE(G83,""[^A-Za-z]+ "",""""))"),"Worklib")</f>
        <v>Worklib</v>
      </c>
      <c r="J85" s="5" t="s">
        <v>10019</v>
      </c>
      <c r="K85" s="4" t="s">
        <v>39</v>
      </c>
      <c r="L85" s="4" t="s">
        <v>9160</v>
      </c>
      <c r="M85" s="4" t="s">
        <v>29</v>
      </c>
      <c r="N85" s="4" t="s">
        <v>2602</v>
      </c>
      <c r="O85" s="4" t="str">
        <f>IFERROR(__XLUDF.DUMMYFUNCTION("VLOOKUP(M83,IMPORTRANGE(""https://docs.google.com/spreadsheets/d/1opm6ZNvGZ7KditA9TuJwrZ25eFLfTNIkrNnY6mhV5Eg"",""list!A1:C115""),3,TRUE)"),"le secteur de la tech")</f>
        <v xml:space="preserve">le secteur de la tech</v>
      </c>
      <c r="P85" s="4" t="s">
        <v>10020</v>
      </c>
      <c r="R85" s="4" t="s">
        <v>39</v>
      </c>
      <c r="S85" s="4" t="s">
        <v>9160</v>
      </c>
      <c r="T85" s="4" t="s">
        <v>29</v>
      </c>
      <c r="U85" s="5" t="s">
        <v>10021</v>
      </c>
      <c r="V85" s="6"/>
      <c r="W85" s="6"/>
      <c r="X85" s="5" t="s">
        <v>10022</v>
      </c>
      <c r="Y85" s="6"/>
      <c r="Z85" s="4" t="s">
        <v>10023</v>
      </c>
      <c r="AA85" s="6"/>
      <c r="AB85" s="5" t="s">
        <v>10024</v>
      </c>
    </row>
    <row r="86" ht="14.25">
      <c r="A86" s="4" t="s">
        <v>10026</v>
      </c>
      <c r="B86" s="4" t="s">
        <v>768</v>
      </c>
      <c r="C86" s="4" t="s">
        <v>7185</v>
      </c>
      <c r="F86" s="4" t="s">
        <v>10027</v>
      </c>
      <c r="G86" s="4">
        <v>12</v>
      </c>
      <c r="H86" s="4" t="s">
        <v>10028</v>
      </c>
      <c r="I86" s="4" t="str">
        <f>IFERROR(__XLUDF.DUMMYFUNCTION("PROPER(REGEXREPLACE(G84,""[^A-Za-z]+ "",""""))"),"Serynis")</f>
        <v>Serynis</v>
      </c>
      <c r="J86" s="5" t="s">
        <v>10029</v>
      </c>
      <c r="K86" s="6"/>
      <c r="L86" s="6"/>
      <c r="M86" s="4" t="s">
        <v>29</v>
      </c>
      <c r="N86" s="4" t="s">
        <v>4525</v>
      </c>
      <c r="O86" s="4" t="str">
        <f>IFERROR(__XLUDF.DUMMYFUNCTION("VLOOKUP(M84,IMPORTRANGE(""https://docs.google.com/spreadsheets/d/1opm6ZNvGZ7KditA9TuJwrZ25eFLfTNIkrNnY6mhV5Eg"",""list!A1:C115""),3,TRUE)"),"le secteur du retail")</f>
        <v xml:space="preserve">le secteur du retail</v>
      </c>
      <c r="P86" s="4" t="s">
        <v>10030</v>
      </c>
      <c r="R86" s="4" t="s">
        <v>7896</v>
      </c>
      <c r="S86" s="4" t="s">
        <v>9193</v>
      </c>
      <c r="T86" s="4" t="s">
        <v>29</v>
      </c>
      <c r="U86" s="5" t="s">
        <v>10031</v>
      </c>
      <c r="V86" s="6"/>
      <c r="W86" s="6"/>
      <c r="X86" s="6"/>
      <c r="Y86" s="6"/>
      <c r="Z86" s="4" t="s">
        <v>10032</v>
      </c>
      <c r="AA86" s="6"/>
      <c r="AB86" s="5" t="s">
        <v>10033</v>
      </c>
    </row>
    <row r="87" ht="14.25">
      <c r="A87" s="4" t="s">
        <v>10035</v>
      </c>
      <c r="B87" s="4" t="s">
        <v>817</v>
      </c>
      <c r="C87" s="4" t="s">
        <v>10037</v>
      </c>
      <c r="F87" s="4" t="s">
        <v>10036</v>
      </c>
      <c r="G87" s="4">
        <v>45</v>
      </c>
      <c r="H87" s="4" t="s">
        <v>10038</v>
      </c>
      <c r="I87" s="4" t="str">
        <f>IFERROR(__XLUDF.DUMMYFUNCTION("PROPER(REGEXREPLACE(G85,""[^A-Za-z]+ "",""""))"),"Bd Consulting")</f>
        <v xml:space="preserve">Bd Consulting</v>
      </c>
      <c r="J87" s="5" t="s">
        <v>10039</v>
      </c>
      <c r="K87" s="6"/>
      <c r="L87" s="6"/>
      <c r="M87" s="4" t="s">
        <v>29</v>
      </c>
      <c r="N87" s="4" t="s">
        <v>4067</v>
      </c>
      <c r="O87" s="4" t="str">
        <f>IFERROR(__XLUDF.DUMMYFUNCTION("VLOOKUP(M85,IMPORTRANGE(""https://docs.google.com/spreadsheets/d/1opm6ZNvGZ7KditA9TuJwrZ25eFLfTNIkrNnY6mhV5Eg"",""list!A1:C115""),3,TRUE)"),"le secteur du conseil en management")</f>
        <v xml:space="preserve">le secteur du conseil en management</v>
      </c>
      <c r="P87" s="4" t="s">
        <v>10040</v>
      </c>
      <c r="R87" s="6"/>
      <c r="S87" s="6"/>
      <c r="T87" s="4" t="s">
        <v>29</v>
      </c>
      <c r="U87" s="5" t="s">
        <v>10041</v>
      </c>
      <c r="V87" s="6"/>
      <c r="W87" s="6"/>
      <c r="X87" s="6"/>
      <c r="Y87" s="6"/>
      <c r="Z87" s="4" t="s">
        <v>10042</v>
      </c>
      <c r="AA87" s="6"/>
      <c r="AB87" s="5" t="s">
        <v>10043</v>
      </c>
    </row>
    <row r="88" ht="14.25">
      <c r="A88" s="4" t="s">
        <v>10045</v>
      </c>
      <c r="B88" s="4" t="s">
        <v>76</v>
      </c>
      <c r="C88" s="4" t="s">
        <v>7759</v>
      </c>
      <c r="F88" s="4" t="s">
        <v>10046</v>
      </c>
      <c r="G88" s="4">
        <v>49</v>
      </c>
      <c r="H88" s="4" t="s">
        <v>10047</v>
      </c>
      <c r="I88" s="4" t="str">
        <f>IFERROR(__XLUDF.DUMMYFUNCTION("PROPER(REGEXREPLACE(G86,""[^A-Za-z]+ "",""""))"),"Auphys Technologie")</f>
        <v xml:space="preserve">Auphys Technologie</v>
      </c>
      <c r="J88" s="5" t="s">
        <v>10048</v>
      </c>
      <c r="K88" s="6"/>
      <c r="L88" s="6"/>
      <c r="M88" s="4" t="s">
        <v>29</v>
      </c>
      <c r="N88" s="4" t="s">
        <v>9239</v>
      </c>
      <c r="O88" s="4" t="str">
        <f>IFERROR(__XLUDF.DUMMYFUNCTION("VLOOKUP(M86,IMPORTRANGE(""https://docs.google.com/spreadsheets/d/1opm6ZNvGZ7KditA9TuJwrZ25eFLfTNIkrNnY6mhV5Eg"",""list!A1:C115""),3,TRUE)"),"le secteur de la construction")</f>
        <v xml:space="preserve">le secteur de la construction</v>
      </c>
      <c r="P88" s="4" t="s">
        <v>10049</v>
      </c>
      <c r="R88" s="4" t="s">
        <v>10050</v>
      </c>
      <c r="S88" s="4" t="s">
        <v>9172</v>
      </c>
      <c r="T88" s="4" t="s">
        <v>29</v>
      </c>
      <c r="U88" s="5" t="s">
        <v>10051</v>
      </c>
      <c r="V88" s="6"/>
      <c r="W88" s="6"/>
      <c r="X88" s="6"/>
      <c r="Y88" s="6"/>
      <c r="Z88" s="4" t="s">
        <v>10052</v>
      </c>
      <c r="AA88" s="6"/>
      <c r="AB88" s="5" t="s">
        <v>10053</v>
      </c>
    </row>
    <row r="89" ht="14.25">
      <c r="A89" s="4" t="s">
        <v>10055</v>
      </c>
      <c r="B89" s="4" t="s">
        <v>768</v>
      </c>
      <c r="C89" s="4" t="s">
        <v>7759</v>
      </c>
      <c r="F89" s="4" t="s">
        <v>10056</v>
      </c>
      <c r="G89" s="4">
        <v>18</v>
      </c>
      <c r="H89" s="4" t="s">
        <v>10057</v>
      </c>
      <c r="I89" s="4" t="str">
        <f>IFERROR(__XLUDF.DUMMYFUNCTION("PROPER(REGEXREPLACE(G87,""[^A-Za-z]+ "",""""))"),"Cgbi")</f>
        <v>Cgbi</v>
      </c>
      <c r="J89" s="6"/>
      <c r="K89" s="4" t="s">
        <v>1507</v>
      </c>
      <c r="L89" s="4" t="s">
        <v>9193</v>
      </c>
      <c r="M89" s="4" t="s">
        <v>29</v>
      </c>
      <c r="N89" s="4" t="s">
        <v>2602</v>
      </c>
      <c r="O89" s="4" t="str">
        <f>IFERROR(__XLUDF.DUMMYFUNCTION("VLOOKUP(M87,IMPORTRANGE(""https://docs.google.com/spreadsheets/d/1opm6ZNvGZ7KditA9TuJwrZ25eFLfTNIkrNnY6mhV5Eg"",""list!A1:C115""),3,TRUE)"),"le secteur de la tech")</f>
        <v xml:space="preserve">le secteur de la tech</v>
      </c>
      <c r="P89" s="6"/>
      <c r="R89" s="6"/>
      <c r="S89" s="6"/>
      <c r="T89" s="4" t="s">
        <v>29</v>
      </c>
      <c r="U89" s="5" t="s">
        <v>10058</v>
      </c>
      <c r="V89" s="6"/>
      <c r="W89" s="6"/>
      <c r="X89" s="6"/>
      <c r="Y89" s="6"/>
      <c r="Z89" s="6"/>
      <c r="AA89" s="6"/>
      <c r="AB89" s="5" t="s">
        <v>10059</v>
      </c>
    </row>
    <row r="90" ht="14.25">
      <c r="A90" s="4" t="s">
        <v>10061</v>
      </c>
      <c r="B90" s="4" t="s">
        <v>768</v>
      </c>
      <c r="C90" s="4" t="s">
        <v>10063</v>
      </c>
      <c r="F90" s="4" t="s">
        <v>10062</v>
      </c>
      <c r="G90" s="4">
        <v>20</v>
      </c>
      <c r="H90" s="4" t="s">
        <v>10064</v>
      </c>
      <c r="I90" s="4" t="str">
        <f>IFERROR(__XLUDF.DUMMYFUNCTION("PROPER(REGEXREPLACE(G88,""[^A-Za-z]+ "",""""))"),"Eoris")</f>
        <v>Eoris</v>
      </c>
      <c r="J90" s="5" t="s">
        <v>10065</v>
      </c>
      <c r="K90" s="4" t="s">
        <v>2174</v>
      </c>
      <c r="L90" s="4" t="s">
        <v>9193</v>
      </c>
      <c r="M90" s="4" t="s">
        <v>29</v>
      </c>
      <c r="N90" s="4" t="s">
        <v>10066</v>
      </c>
      <c r="O90" s="4" t="str">
        <f>IFERROR(__XLUDF.DUMMYFUNCTION("VLOOKUP(M88,IMPORTRANGE(""https://docs.google.com/spreadsheets/d/1opm6ZNvGZ7KditA9TuJwrZ25eFLfTNIkrNnY6mhV5Eg"",""list!A1:C115""),3,TRUE)"),"le secteur de la tech")</f>
        <v xml:space="preserve">le secteur de la tech</v>
      </c>
      <c r="P90" s="4" t="s">
        <v>10067</v>
      </c>
      <c r="R90" s="4" t="s">
        <v>185</v>
      </c>
      <c r="S90" s="4" t="s">
        <v>9172</v>
      </c>
      <c r="T90" s="4" t="s">
        <v>29</v>
      </c>
      <c r="U90" s="5" t="s">
        <v>10068</v>
      </c>
      <c r="V90" s="6"/>
      <c r="W90" s="6"/>
      <c r="X90" s="6"/>
      <c r="Y90" s="6"/>
      <c r="Z90" s="4" t="s">
        <v>10069</v>
      </c>
      <c r="AA90" s="6"/>
      <c r="AB90" s="5" t="s">
        <v>10070</v>
      </c>
    </row>
    <row r="91" ht="14.25">
      <c r="A91" s="4" t="s">
        <v>10072</v>
      </c>
      <c r="B91" s="4" t="s">
        <v>768</v>
      </c>
      <c r="C91" s="4" t="s">
        <v>10074</v>
      </c>
      <c r="F91" s="4" t="s">
        <v>10073</v>
      </c>
      <c r="G91" s="4">
        <v>28</v>
      </c>
      <c r="H91" s="4" t="s">
        <v>10075</v>
      </c>
      <c r="I91" s="4" t="str">
        <f>IFERROR(__XLUDF.DUMMYFUNCTION("PROPER(REGEXREPLACE(G89,""[^A-Za-z]+ "",""""))"),"Sporeo")</f>
        <v>Sporeo</v>
      </c>
      <c r="J91" s="5" t="s">
        <v>10076</v>
      </c>
      <c r="K91" s="6"/>
      <c r="L91" s="6"/>
      <c r="M91" s="4" t="s">
        <v>29</v>
      </c>
      <c r="N91" s="4" t="s">
        <v>4525</v>
      </c>
      <c r="O91" s="4" t="str">
        <f>IFERROR(__XLUDF.DUMMYFUNCTION("VLOOKUP(M89,IMPORTRANGE(""https://docs.google.com/spreadsheets/d/1opm6ZNvGZ7KditA9TuJwrZ25eFLfTNIkrNnY6mhV5Eg"",""list!A1:C115""),3,TRUE)"),"le secteur du retail")</f>
        <v xml:space="preserve">le secteur du retail</v>
      </c>
      <c r="P91" s="4" t="s">
        <v>10077</v>
      </c>
      <c r="R91" s="4" t="s">
        <v>185</v>
      </c>
      <c r="S91" s="4" t="s">
        <v>9193</v>
      </c>
      <c r="T91" s="4" t="s">
        <v>29</v>
      </c>
      <c r="U91" s="5" t="s">
        <v>10078</v>
      </c>
      <c r="V91" s="6"/>
      <c r="W91" s="6"/>
      <c r="X91" s="6"/>
      <c r="Y91" s="6"/>
      <c r="Z91" s="4" t="s">
        <v>10079</v>
      </c>
      <c r="AA91" s="6"/>
      <c r="AB91" s="5" t="s">
        <v>10080</v>
      </c>
    </row>
    <row r="92" ht="14.25">
      <c r="A92" s="4" t="s">
        <v>10082</v>
      </c>
      <c r="B92" s="4" t="s">
        <v>768</v>
      </c>
      <c r="C92" s="4" t="s">
        <v>10084</v>
      </c>
      <c r="F92" s="4" t="s">
        <v>10083</v>
      </c>
      <c r="G92" s="4">
        <v>14</v>
      </c>
      <c r="H92" s="4" t="s">
        <v>10085</v>
      </c>
      <c r="I92" s="4" t="str">
        <f>IFERROR(__XLUDF.DUMMYFUNCTION("PROPER(REGEXREPLACE(G90,""[^A-Za-z]+ "",""""))"),"Gcube Conseil")</f>
        <v xml:space="preserve">Gcube Conseil</v>
      </c>
      <c r="J92" s="5" t="s">
        <v>10086</v>
      </c>
      <c r="K92" s="4" t="s">
        <v>2499</v>
      </c>
      <c r="L92" s="4" t="s">
        <v>9251</v>
      </c>
      <c r="M92" s="4" t="s">
        <v>29</v>
      </c>
      <c r="N92" s="4" t="s">
        <v>4067</v>
      </c>
      <c r="O92" s="4" t="str">
        <f>IFERROR(__XLUDF.DUMMYFUNCTION("VLOOKUP(M90,IMPORTRANGE(""https://docs.google.com/spreadsheets/d/1opm6ZNvGZ7KditA9TuJwrZ25eFLfTNIkrNnY6mhV5Eg"",""list!A1:C115""),3,TRUE)"),"le secteur du conseil en management")</f>
        <v xml:space="preserve">le secteur du conseil en management</v>
      </c>
      <c r="P92" s="4" t="s">
        <v>10087</v>
      </c>
      <c r="R92" s="4" t="s">
        <v>10088</v>
      </c>
      <c r="S92" s="4" t="s">
        <v>9251</v>
      </c>
      <c r="T92" s="4" t="s">
        <v>29</v>
      </c>
      <c r="U92" s="5" t="s">
        <v>10089</v>
      </c>
      <c r="V92" s="6"/>
      <c r="W92" s="6"/>
      <c r="X92" s="6"/>
      <c r="Y92" s="6"/>
      <c r="Z92" s="4" t="s">
        <v>10090</v>
      </c>
      <c r="AA92" s="6"/>
      <c r="AB92" s="5" t="s">
        <v>10091</v>
      </c>
    </row>
    <row r="93" ht="14.25">
      <c r="A93" s="4" t="s">
        <v>10093</v>
      </c>
      <c r="B93" s="4" t="s">
        <v>768</v>
      </c>
      <c r="C93" s="4" t="s">
        <v>172</v>
      </c>
      <c r="F93" s="4" t="s">
        <v>10094</v>
      </c>
      <c r="G93" s="4">
        <v>18</v>
      </c>
      <c r="H93" s="4" t="s">
        <v>10095</v>
      </c>
      <c r="I93" s="4" t="str">
        <f>IFERROR(__XLUDF.DUMMYFUNCTION("PROPER(REGEXREPLACE(G91,""[^A-Za-z]+ "",""""))"),"Sas Breuil Batiment")</f>
        <v xml:space="preserve">Sas Breuil Batiment</v>
      </c>
      <c r="J93" s="5" t="s">
        <v>10096</v>
      </c>
      <c r="K93" s="4" t="s">
        <v>6777</v>
      </c>
      <c r="L93" s="4" t="s">
        <v>9864</v>
      </c>
      <c r="M93" s="4" t="s">
        <v>29</v>
      </c>
      <c r="N93" s="4" t="s">
        <v>9239</v>
      </c>
      <c r="O93" s="4" t="str">
        <f>IFERROR(__XLUDF.DUMMYFUNCTION("VLOOKUP(M91,IMPORTRANGE(""https://docs.google.com/spreadsheets/d/1opm6ZNvGZ7KditA9TuJwrZ25eFLfTNIkrNnY6mhV5Eg"",""list!A1:C115""),3,TRUE)"),"le secteur de la construction")</f>
        <v xml:space="preserve">le secteur de la construction</v>
      </c>
      <c r="P93" s="6"/>
      <c r="R93" s="4" t="s">
        <v>10097</v>
      </c>
      <c r="S93" s="4" t="s">
        <v>10098</v>
      </c>
      <c r="T93" s="4" t="s">
        <v>29</v>
      </c>
      <c r="U93" s="5" t="s">
        <v>10099</v>
      </c>
      <c r="V93" s="6"/>
      <c r="W93" s="6"/>
      <c r="X93" s="6"/>
      <c r="Y93" s="6"/>
      <c r="Z93" s="4" t="s">
        <v>10100</v>
      </c>
      <c r="AA93" s="6"/>
      <c r="AB93" s="5" t="s">
        <v>10101</v>
      </c>
    </row>
    <row r="94" ht="14.25">
      <c r="A94" s="4" t="s">
        <v>10103</v>
      </c>
      <c r="B94" s="4" t="s">
        <v>768</v>
      </c>
      <c r="C94" s="4" t="s">
        <v>7185</v>
      </c>
      <c r="F94" s="4" t="s">
        <v>10104</v>
      </c>
      <c r="G94" s="4">
        <v>14</v>
      </c>
      <c r="H94" s="4" t="s">
        <v>10105</v>
      </c>
      <c r="I94" s="4" t="str">
        <f>IFERROR(__XLUDF.DUMMYFUNCTION("PROPER(REGEXREPLACE(G92,""[^A-Za-z]+ "",""""))"),"Kwantic")</f>
        <v>Kwantic</v>
      </c>
      <c r="J94" s="5" t="s">
        <v>10106</v>
      </c>
      <c r="K94" s="4" t="s">
        <v>243</v>
      </c>
      <c r="L94" s="4" t="s">
        <v>9864</v>
      </c>
      <c r="M94" s="4" t="s">
        <v>29</v>
      </c>
      <c r="N94" s="4" t="s">
        <v>2602</v>
      </c>
      <c r="O94" s="4" t="str">
        <f>IFERROR(__XLUDF.DUMMYFUNCTION("VLOOKUP(M92,IMPORTRANGE(""https://docs.google.com/spreadsheets/d/1opm6ZNvGZ7KditA9TuJwrZ25eFLfTNIkrNnY6mhV5Eg"",""list!A1:C115""),3,TRUE)"),"le secteur de la tech")</f>
        <v xml:space="preserve">le secteur de la tech</v>
      </c>
      <c r="P94" s="4" t="s">
        <v>10107</v>
      </c>
      <c r="R94" s="4" t="s">
        <v>482</v>
      </c>
      <c r="S94" s="4" t="s">
        <v>9460</v>
      </c>
      <c r="T94" s="4" t="s">
        <v>29</v>
      </c>
      <c r="U94" s="5" t="s">
        <v>10108</v>
      </c>
      <c r="V94" s="6"/>
      <c r="W94" s="6"/>
      <c r="X94" s="6"/>
      <c r="Y94" s="6"/>
      <c r="Z94" s="4" t="s">
        <v>10109</v>
      </c>
      <c r="AA94" s="6"/>
      <c r="AB94" s="5" t="s">
        <v>10110</v>
      </c>
    </row>
    <row r="95" ht="14.25">
      <c r="A95" s="4" t="s">
        <v>6815</v>
      </c>
      <c r="B95" s="4" t="s">
        <v>630</v>
      </c>
      <c r="C95" s="4" t="s">
        <v>10113</v>
      </c>
      <c r="F95" s="4" t="s">
        <v>10112</v>
      </c>
      <c r="G95" s="4">
        <v>31</v>
      </c>
      <c r="H95" s="4" t="s">
        <v>10114</v>
      </c>
      <c r="I95" s="4" t="str">
        <f>IFERROR(__XLUDF.DUMMYFUNCTION("PROPER(REGEXREPLACE(G93,""[^A-Za-z]+ "",""""))"),"Bomzai")</f>
        <v>Bomzai</v>
      </c>
      <c r="J95" s="5" t="s">
        <v>10115</v>
      </c>
      <c r="K95" s="6"/>
      <c r="L95" s="6"/>
      <c r="M95" s="4" t="s">
        <v>29</v>
      </c>
      <c r="N95" s="4" t="s">
        <v>2602</v>
      </c>
      <c r="O95" s="4" t="str">
        <f>IFERROR(__XLUDF.DUMMYFUNCTION("VLOOKUP(M93,IMPORTRANGE(""https://docs.google.com/spreadsheets/d/1opm6ZNvGZ7KditA9TuJwrZ25eFLfTNIkrNnY6mhV5Eg"",""list!A1:C115""),3,TRUE)"),"le secteur de la tech")</f>
        <v xml:space="preserve">le secteur de la tech</v>
      </c>
      <c r="P95" s="4" t="s">
        <v>10116</v>
      </c>
      <c r="R95" s="4" t="s">
        <v>39</v>
      </c>
      <c r="S95" s="4" t="s">
        <v>9160</v>
      </c>
      <c r="T95" s="4" t="s">
        <v>29</v>
      </c>
      <c r="U95" s="5" t="s">
        <v>10117</v>
      </c>
      <c r="V95" s="5" t="s">
        <v>10118</v>
      </c>
      <c r="W95" s="5" t="s">
        <v>10119</v>
      </c>
      <c r="X95" s="6"/>
      <c r="Y95" s="6"/>
      <c r="Z95" s="4" t="s">
        <v>10120</v>
      </c>
      <c r="AA95" s="6"/>
      <c r="AB95" s="5" t="s">
        <v>10121</v>
      </c>
    </row>
    <row r="96" ht="14.25">
      <c r="A96" s="4" t="s">
        <v>10124</v>
      </c>
      <c r="B96" s="4" t="s">
        <v>10123</v>
      </c>
      <c r="C96" s="4" t="s">
        <v>10126</v>
      </c>
      <c r="F96" s="4" t="s">
        <v>10125</v>
      </c>
      <c r="G96" s="4">
        <v>31</v>
      </c>
      <c r="H96" s="4" t="s">
        <v>10127</v>
      </c>
      <c r="I96" s="4" t="str">
        <f>IFERROR(__XLUDF.DUMMYFUNCTION("PROPER(REGEXREPLACE(G94,""[^A-Za-z]+ "",""""))"),"Uni5")</f>
        <v>Uni5</v>
      </c>
      <c r="J96" s="5" t="s">
        <v>10128</v>
      </c>
      <c r="K96" s="4" t="s">
        <v>39</v>
      </c>
      <c r="L96" s="4" t="s">
        <v>9160</v>
      </c>
      <c r="M96" s="4" t="s">
        <v>29</v>
      </c>
      <c r="N96" s="4" t="s">
        <v>2602</v>
      </c>
      <c r="O96" s="4" t="str">
        <f>IFERROR(__XLUDF.DUMMYFUNCTION("VLOOKUP(M94,IMPORTRANGE(""https://docs.google.com/spreadsheets/d/1opm6ZNvGZ7KditA9TuJwrZ25eFLfTNIkrNnY6mhV5Eg"",""list!A1:C115""),3,TRUE)"),"le secteur de la tech")</f>
        <v xml:space="preserve">le secteur de la tech</v>
      </c>
      <c r="P96" s="4" t="s">
        <v>10129</v>
      </c>
      <c r="R96" s="4" t="s">
        <v>1446</v>
      </c>
      <c r="S96" s="4" t="s">
        <v>9160</v>
      </c>
      <c r="T96" s="4" t="s">
        <v>29</v>
      </c>
      <c r="U96" s="5" t="s">
        <v>10130</v>
      </c>
      <c r="V96" s="6"/>
      <c r="W96" s="5" t="s">
        <v>10131</v>
      </c>
      <c r="X96" s="6"/>
      <c r="Y96" s="6"/>
      <c r="Z96" s="4" t="s">
        <v>10132</v>
      </c>
      <c r="AA96" s="6"/>
      <c r="AB96" s="5" t="s">
        <v>10133</v>
      </c>
    </row>
    <row r="97" ht="14.25">
      <c r="A97" s="4" t="s">
        <v>10135</v>
      </c>
      <c r="B97" s="4" t="s">
        <v>5060</v>
      </c>
      <c r="C97" s="4" t="s">
        <v>468</v>
      </c>
      <c r="F97" s="4" t="s">
        <v>10136</v>
      </c>
      <c r="G97" s="4">
        <v>33</v>
      </c>
      <c r="H97" s="4" t="s">
        <v>10137</v>
      </c>
      <c r="I97" s="4" t="str">
        <f>IFERROR(__XLUDF.DUMMYFUNCTION("PROPER(REGEXREPLACE(G95,""[^A-Za-z]+ "",""""))"),"Abis")</f>
        <v>Abis</v>
      </c>
      <c r="J97" s="5" t="s">
        <v>10138</v>
      </c>
      <c r="K97" s="4" t="s">
        <v>10139</v>
      </c>
      <c r="L97" s="4" t="s">
        <v>9160</v>
      </c>
      <c r="M97" s="4" t="s">
        <v>29</v>
      </c>
      <c r="N97" s="4" t="s">
        <v>9239</v>
      </c>
      <c r="O97" s="4" t="str">
        <f>IFERROR(__XLUDF.DUMMYFUNCTION("VLOOKUP(M95,IMPORTRANGE(""https://docs.google.com/spreadsheets/d/1opm6ZNvGZ7KditA9TuJwrZ25eFLfTNIkrNnY6mhV5Eg"",""list!A1:C115""),3,TRUE)"),"le secteur de la construction")</f>
        <v xml:space="preserve">le secteur de la construction</v>
      </c>
      <c r="P97" s="4" t="s">
        <v>10140</v>
      </c>
      <c r="R97" s="4" t="s">
        <v>10141</v>
      </c>
      <c r="S97" s="4" t="s">
        <v>9160</v>
      </c>
      <c r="T97" s="4" t="s">
        <v>29</v>
      </c>
      <c r="U97" s="5" t="s">
        <v>10142</v>
      </c>
      <c r="V97" s="6"/>
      <c r="W97" s="6"/>
      <c r="X97" s="6"/>
      <c r="Y97" s="6"/>
      <c r="Z97" s="4" t="s">
        <v>10143</v>
      </c>
      <c r="AA97" s="6"/>
      <c r="AB97" s="5" t="s">
        <v>10144</v>
      </c>
    </row>
    <row r="98" ht="14.25">
      <c r="A98" s="4" t="s">
        <v>10146</v>
      </c>
      <c r="B98" s="4" t="s">
        <v>817</v>
      </c>
      <c r="C98" s="4" t="s">
        <v>7759</v>
      </c>
      <c r="F98" s="4" t="s">
        <v>10147</v>
      </c>
      <c r="G98" s="4">
        <v>16</v>
      </c>
      <c r="H98" s="4" t="s">
        <v>10146</v>
      </c>
      <c r="I98" s="4" t="str">
        <f>IFERROR(__XLUDF.DUMMYFUNCTION("PROPER(REGEXREPLACE(G96,""[^A-Za-z]+ "",""""))"),"Briero")</f>
        <v>Briero</v>
      </c>
      <c r="J98" s="5" t="s">
        <v>10148</v>
      </c>
      <c r="K98" s="4" t="s">
        <v>1826</v>
      </c>
      <c r="L98" s="4" t="s">
        <v>9227</v>
      </c>
      <c r="M98" s="4" t="s">
        <v>29</v>
      </c>
      <c r="N98" s="4" t="s">
        <v>9239</v>
      </c>
      <c r="O98" s="4" t="str">
        <f>IFERROR(__XLUDF.DUMMYFUNCTION("VLOOKUP(M96,IMPORTRANGE(""https://docs.google.com/spreadsheets/d/1opm6ZNvGZ7KditA9TuJwrZ25eFLfTNIkrNnY6mhV5Eg"",""list!A1:C115""),3,TRUE)"),"le secteur de la construction")</f>
        <v xml:space="preserve">le secteur de la construction</v>
      </c>
      <c r="P98" s="6"/>
      <c r="R98" s="4" t="s">
        <v>10149</v>
      </c>
      <c r="S98" s="4" t="s">
        <v>9227</v>
      </c>
      <c r="T98" s="4" t="s">
        <v>29</v>
      </c>
      <c r="U98" s="5" t="s">
        <v>10150</v>
      </c>
      <c r="V98" s="6"/>
      <c r="W98" s="6"/>
      <c r="X98" s="6"/>
      <c r="Y98" s="6"/>
      <c r="Z98" s="4" t="s">
        <v>10151</v>
      </c>
      <c r="AA98" s="6"/>
      <c r="AB98" s="5" t="s">
        <v>10152</v>
      </c>
    </row>
    <row r="99" ht="14.25">
      <c r="A99" s="4" t="s">
        <v>10154</v>
      </c>
      <c r="B99" s="4" t="s">
        <v>817</v>
      </c>
      <c r="C99" s="4" t="s">
        <v>10156</v>
      </c>
      <c r="F99" s="4" t="s">
        <v>10155</v>
      </c>
      <c r="G99" s="4">
        <v>35</v>
      </c>
      <c r="H99" s="4" t="s">
        <v>10157</v>
      </c>
      <c r="I99" s="4" t="str">
        <f>IFERROR(__XLUDF.DUMMYFUNCTION("PROPER(REGEXREPLACE(G97,""[^A-Za-z]+ "",""""))"),"Circle Strategy")</f>
        <v xml:space="preserve">Circle Strategy</v>
      </c>
      <c r="J99" s="5" t="s">
        <v>10158</v>
      </c>
      <c r="K99" s="4" t="s">
        <v>39</v>
      </c>
      <c r="L99" s="4" t="s">
        <v>9160</v>
      </c>
      <c r="M99" s="4" t="s">
        <v>29</v>
      </c>
      <c r="N99" s="4" t="s">
        <v>4067</v>
      </c>
      <c r="O99" s="4" t="str">
        <f>IFERROR(__XLUDF.DUMMYFUNCTION("VLOOKUP(M97,IMPORTRANGE(""https://docs.google.com/spreadsheets/d/1opm6ZNvGZ7KditA9TuJwrZ25eFLfTNIkrNnY6mhV5Eg"",""list!A1:C115""),3,TRUE)"),"le secteur du conseil en management")</f>
        <v xml:space="preserve">le secteur du conseil en management</v>
      </c>
      <c r="P99" s="6"/>
      <c r="R99" s="4" t="s">
        <v>1419</v>
      </c>
      <c r="S99" s="4" t="s">
        <v>9160</v>
      </c>
      <c r="T99" s="4" t="s">
        <v>29</v>
      </c>
      <c r="U99" s="5" t="s">
        <v>10159</v>
      </c>
      <c r="V99" s="6"/>
      <c r="W99" s="6"/>
      <c r="X99" s="6"/>
      <c r="Y99" s="6"/>
      <c r="Z99" s="4" t="s">
        <v>10160</v>
      </c>
      <c r="AA99" s="6"/>
      <c r="AB99" s="5" t="s">
        <v>10161</v>
      </c>
    </row>
    <row r="100" ht="14.25">
      <c r="A100" s="4" t="s">
        <v>10163</v>
      </c>
      <c r="B100" s="4" t="s">
        <v>817</v>
      </c>
      <c r="C100" s="4" t="s">
        <v>172</v>
      </c>
      <c r="F100" s="4" t="s">
        <v>10164</v>
      </c>
      <c r="G100" s="4">
        <v>32</v>
      </c>
      <c r="H100" s="4" t="s">
        <v>10165</v>
      </c>
      <c r="I100" s="4" t="str">
        <f>IFERROR(__XLUDF.DUMMYFUNCTION("PROPER(REGEXREPLACE(G98,""[^A-Za-z]+ "",""""))"),"Spl Agate")</f>
        <v xml:space="preserve">Spl Agate</v>
      </c>
      <c r="J100" s="5" t="s">
        <v>10166</v>
      </c>
      <c r="K100" s="4" t="s">
        <v>1745</v>
      </c>
      <c r="L100" s="4" t="s">
        <v>9460</v>
      </c>
      <c r="M100" s="4" t="s">
        <v>29</v>
      </c>
      <c r="N100" s="4" t="s">
        <v>10167</v>
      </c>
      <c r="O100" s="4" t="str">
        <f>IFERROR(__XLUDF.DUMMYFUNCTION("VLOOKUP(M98,IMPORTRANGE(""https://docs.google.com/spreadsheets/d/1opm6ZNvGZ7KditA9TuJwrZ25eFLfTNIkrNnY6mhV5Eg"",""list!A1:C115""),3,TRUE)"),"le secteur de l'architecture et de l'urbanisme")</f>
        <v xml:space="preserve">le secteur de l'architecture et de l'urbanisme</v>
      </c>
      <c r="P100" s="4" t="s">
        <v>10168</v>
      </c>
      <c r="R100" s="4" t="s">
        <v>1745</v>
      </c>
      <c r="S100" s="4" t="s">
        <v>9254</v>
      </c>
      <c r="T100" s="4" t="s">
        <v>29</v>
      </c>
      <c r="U100" s="5" t="s">
        <v>10169</v>
      </c>
      <c r="V100" s="6"/>
      <c r="W100" s="6"/>
      <c r="X100" s="6"/>
      <c r="Y100" s="6"/>
      <c r="Z100" s="4" t="s">
        <v>10170</v>
      </c>
      <c r="AA100" s="6"/>
      <c r="AB100" s="5" t="s">
        <v>10171</v>
      </c>
    </row>
    <row r="101" ht="14.25">
      <c r="A101" s="4" t="s">
        <v>10173</v>
      </c>
      <c r="B101" s="4" t="s">
        <v>817</v>
      </c>
      <c r="C101" s="4" t="s">
        <v>10175</v>
      </c>
      <c r="F101" s="4" t="s">
        <v>10174</v>
      </c>
      <c r="G101" s="4">
        <v>21</v>
      </c>
      <c r="H101" s="4" t="s">
        <v>10176</v>
      </c>
      <c r="I101" s="4" t="str">
        <f>IFERROR(__XLUDF.DUMMYFUNCTION("PROPER(REGEXREPLACE(G99,""[^A-Za-z]+ "",""""))"),"Dc Pilot France")</f>
        <v xml:space="preserve">Dc Pilot France</v>
      </c>
      <c r="J101" s="5" t="s">
        <v>10177</v>
      </c>
      <c r="K101" s="4" t="s">
        <v>10178</v>
      </c>
      <c r="L101" s="4" t="s">
        <v>9193</v>
      </c>
      <c r="M101" s="4" t="s">
        <v>29</v>
      </c>
      <c r="N101" s="4" t="s">
        <v>4067</v>
      </c>
      <c r="O101" s="4" t="str">
        <f>IFERROR(__XLUDF.DUMMYFUNCTION("VLOOKUP(M99,IMPORTRANGE(""https://docs.google.com/spreadsheets/d/1opm6ZNvGZ7KditA9TuJwrZ25eFLfTNIkrNnY6mhV5Eg"",""list!A1:C115""),3,TRUE)"),"le secteur du conseil en management")</f>
        <v xml:space="preserve">le secteur du conseil en management</v>
      </c>
      <c r="P101" s="4" t="s">
        <v>10179</v>
      </c>
      <c r="R101" s="4" t="s">
        <v>651</v>
      </c>
      <c r="S101" s="4" t="s">
        <v>9215</v>
      </c>
      <c r="T101" s="4" t="s">
        <v>29</v>
      </c>
      <c r="U101" s="5" t="s">
        <v>10180</v>
      </c>
      <c r="V101" s="5" t="s">
        <v>10181</v>
      </c>
      <c r="W101" s="5" t="s">
        <v>10182</v>
      </c>
      <c r="X101" s="6"/>
      <c r="Y101" s="6"/>
      <c r="Z101" s="4" t="s">
        <v>10183</v>
      </c>
      <c r="AA101" s="6"/>
      <c r="AB101" s="5" t="s">
        <v>10184</v>
      </c>
    </row>
    <row r="102" ht="14.25">
      <c r="A102" s="4" t="s">
        <v>10187</v>
      </c>
      <c r="B102" s="4" t="s">
        <v>10186</v>
      </c>
      <c r="C102" s="4" t="s">
        <v>10189</v>
      </c>
      <c r="F102" s="4" t="s">
        <v>10188</v>
      </c>
      <c r="G102" s="4">
        <v>13</v>
      </c>
      <c r="H102" s="4" t="s">
        <v>10190</v>
      </c>
      <c r="I102" s="4" t="str">
        <f>IFERROR(__XLUDF.DUMMYFUNCTION("PROPER(REGEXREPLACE(G100,""[^A-Za-z]+ "",""""))"),"Mountain Path")</f>
        <v xml:space="preserve">Mountain Path</v>
      </c>
      <c r="J102" s="5" t="s">
        <v>10191</v>
      </c>
      <c r="K102" s="4" t="s">
        <v>10192</v>
      </c>
      <c r="L102" s="4" t="s">
        <v>9193</v>
      </c>
      <c r="M102" s="4" t="s">
        <v>29</v>
      </c>
      <c r="N102" s="4" t="s">
        <v>4067</v>
      </c>
      <c r="O102" s="4" t="str">
        <f>IFERROR(__XLUDF.DUMMYFUNCTION("VLOOKUP(M100,IMPORTRANGE(""https://docs.google.com/spreadsheets/d/1opm6ZNvGZ7KditA9TuJwrZ25eFLfTNIkrNnY6mhV5Eg"",""list!A1:C115""),3,TRUE)"),"le secteur du conseil en management")</f>
        <v xml:space="preserve">le secteur du conseil en management</v>
      </c>
      <c r="P102" s="4" t="s">
        <v>10193</v>
      </c>
      <c r="R102" s="4" t="s">
        <v>203</v>
      </c>
      <c r="S102" s="4" t="s">
        <v>9193</v>
      </c>
      <c r="T102" s="4" t="s">
        <v>29</v>
      </c>
      <c r="U102" s="5" t="s">
        <v>10194</v>
      </c>
      <c r="V102" s="5" t="s">
        <v>10195</v>
      </c>
      <c r="W102" s="5" t="s">
        <v>10196</v>
      </c>
      <c r="X102" s="6"/>
      <c r="Y102" s="6"/>
      <c r="Z102" s="4" t="s">
        <v>10197</v>
      </c>
      <c r="AA102" s="6"/>
      <c r="AB102" s="5" t="s">
        <v>10198</v>
      </c>
    </row>
    <row r="103" ht="14.25">
      <c r="A103" s="4" t="s">
        <v>10200</v>
      </c>
      <c r="B103" s="4" t="s">
        <v>817</v>
      </c>
      <c r="C103" s="4" t="s">
        <v>10202</v>
      </c>
      <c r="F103" s="4" t="s">
        <v>10201</v>
      </c>
      <c r="G103" s="4">
        <v>10</v>
      </c>
      <c r="H103" s="4" t="s">
        <v>10203</v>
      </c>
      <c r="I103" s="4" t="str">
        <f>IFERROR(__XLUDF.DUMMYFUNCTION("PROPER(REGEXREPLACE(G101,""[^A-Za-z]+ "",""""))"),"Conseil")</f>
        <v>Conseil</v>
      </c>
      <c r="J103" s="5" t="s">
        <v>10204</v>
      </c>
      <c r="K103" s="4" t="s">
        <v>39</v>
      </c>
      <c r="L103" s="4" t="s">
        <v>9160</v>
      </c>
      <c r="M103" s="4" t="s">
        <v>29</v>
      </c>
      <c r="N103" s="4" t="s">
        <v>4067</v>
      </c>
      <c r="O103" s="4" t="str">
        <f>IFERROR(__XLUDF.DUMMYFUNCTION("VLOOKUP(M101,IMPORTRANGE(""https://docs.google.com/spreadsheets/d/1opm6ZNvGZ7KditA9TuJwrZ25eFLfTNIkrNnY6mhV5Eg"",""list!A1:C115""),3,TRUE)"),"le secteur du conseil en management")</f>
        <v xml:space="preserve">le secteur du conseil en management</v>
      </c>
      <c r="P103" s="6"/>
      <c r="R103" s="4" t="s">
        <v>39</v>
      </c>
      <c r="S103" s="4" t="s">
        <v>9160</v>
      </c>
      <c r="T103" s="4" t="s">
        <v>29</v>
      </c>
      <c r="U103" s="5" t="s">
        <v>10205</v>
      </c>
      <c r="V103" s="6"/>
      <c r="W103" s="6"/>
      <c r="X103" s="6"/>
      <c r="Y103" s="6"/>
      <c r="Z103" s="4" t="s">
        <v>10206</v>
      </c>
      <c r="AA103" s="6"/>
      <c r="AB103" s="5" t="s">
        <v>10207</v>
      </c>
    </row>
    <row r="104" ht="14.25">
      <c r="A104" s="4" t="s">
        <v>10209</v>
      </c>
      <c r="B104" s="4" t="s">
        <v>3271</v>
      </c>
      <c r="C104" s="4" t="s">
        <v>10211</v>
      </c>
      <c r="F104" s="4" t="s">
        <v>10210</v>
      </c>
      <c r="G104" s="4">
        <v>18</v>
      </c>
      <c r="H104" s="4" t="s">
        <v>10212</v>
      </c>
      <c r="I104" s="4" t="str">
        <f>IFERROR(__XLUDF.DUMMYFUNCTION("PROPER(REGEXREPLACE(G102,""[^A-Za-z]+ "",""""))"),"Primo1D")</f>
        <v>Primo1D</v>
      </c>
      <c r="J104" s="5" t="s">
        <v>10213</v>
      </c>
      <c r="K104" s="4" t="s">
        <v>10214</v>
      </c>
      <c r="L104" s="4" t="s">
        <v>9193</v>
      </c>
      <c r="M104" s="4" t="s">
        <v>29</v>
      </c>
      <c r="N104" s="4" t="s">
        <v>10215</v>
      </c>
      <c r="O104" s="4" t="str">
        <f>IFERROR(__XLUDF.DUMMYFUNCTION("VLOOKUP(M102,IMPORTRANGE(""https://docs.google.com/spreadsheets/d/1opm6ZNvGZ7KditA9TuJwrZ25eFLfTNIkrNnY6mhV5Eg"",""list!A1:C115""),3,TRUE)"),"le secteur de l'électrique et électronique")</f>
        <v xml:space="preserve">le secteur de l'électrique et électronique</v>
      </c>
      <c r="P104" s="4" t="s">
        <v>10216</v>
      </c>
      <c r="R104" s="4" t="s">
        <v>1507</v>
      </c>
      <c r="S104" s="4" t="s">
        <v>9193</v>
      </c>
      <c r="T104" s="4" t="s">
        <v>29</v>
      </c>
      <c r="U104" s="5" t="s">
        <v>10217</v>
      </c>
      <c r="V104" s="5" t="s">
        <v>10218</v>
      </c>
      <c r="W104" s="6"/>
      <c r="X104" s="6"/>
      <c r="Y104" s="6"/>
      <c r="Z104" s="4" t="s">
        <v>10219</v>
      </c>
      <c r="AA104" s="6"/>
      <c r="AB104" s="5" t="s">
        <v>10220</v>
      </c>
    </row>
    <row r="105" ht="14.25">
      <c r="A105" s="4" t="s">
        <v>10222</v>
      </c>
      <c r="B105" s="4" t="s">
        <v>1948</v>
      </c>
      <c r="C105" s="4" t="s">
        <v>7185</v>
      </c>
      <c r="F105" s="4" t="s">
        <v>10223</v>
      </c>
      <c r="G105" s="4">
        <v>38</v>
      </c>
      <c r="H105" s="4" t="s">
        <v>10224</v>
      </c>
      <c r="I105" s="4" t="str">
        <f>IFERROR(__XLUDF.DUMMYFUNCTION("PROPER(REGEXREPLACE(G103,""[^A-Za-z]+ "",""""))"),"Ace Software")</f>
        <v xml:space="preserve">Ace Software</v>
      </c>
      <c r="J105" s="5" t="s">
        <v>10225</v>
      </c>
      <c r="K105" s="4" t="s">
        <v>5456</v>
      </c>
      <c r="L105" s="4" t="s">
        <v>9251</v>
      </c>
      <c r="M105" s="4" t="s">
        <v>29</v>
      </c>
      <c r="N105" s="4" t="s">
        <v>2602</v>
      </c>
      <c r="O105" s="4" t="str">
        <f>IFERROR(__XLUDF.DUMMYFUNCTION("VLOOKUP(M103,IMPORTRANGE(""https://docs.google.com/spreadsheets/d/1opm6ZNvGZ7KditA9TuJwrZ25eFLfTNIkrNnY6mhV5Eg"",""list!A1:C115""),3,TRUE)"),"le secteur de la tech")</f>
        <v xml:space="preserve">le secteur de la tech</v>
      </c>
      <c r="P105" s="4" t="s">
        <v>10226</v>
      </c>
      <c r="R105" s="4" t="s">
        <v>10227</v>
      </c>
      <c r="S105" s="4" t="s">
        <v>9251</v>
      </c>
      <c r="T105" s="4" t="s">
        <v>29</v>
      </c>
      <c r="U105" s="5" t="s">
        <v>10228</v>
      </c>
      <c r="V105" s="6"/>
      <c r="W105" s="6"/>
      <c r="X105" s="6"/>
      <c r="Y105" s="6"/>
      <c r="Z105" s="4" t="s">
        <v>10229</v>
      </c>
      <c r="AA105" s="6"/>
      <c r="AB105" s="5" t="s">
        <v>10230</v>
      </c>
    </row>
    <row r="106" ht="14.25">
      <c r="A106" s="4" t="s">
        <v>10232</v>
      </c>
      <c r="B106" s="4" t="s">
        <v>817</v>
      </c>
      <c r="C106" s="4" t="s">
        <v>172</v>
      </c>
      <c r="F106" s="4" t="s">
        <v>10233</v>
      </c>
      <c r="G106" s="4">
        <v>18</v>
      </c>
      <c r="H106" s="4" t="s">
        <v>10234</v>
      </c>
      <c r="I106" s="4" t="str">
        <f>IFERROR(__XLUDF.DUMMYFUNCTION("PROPER(REGEXREPLACE(G104,""[^A-Za-z]+ "",""""))"),"Sas Brodu")</f>
        <v xml:space="preserve">Sas Brodu</v>
      </c>
      <c r="J106" s="5" t="s">
        <v>10235</v>
      </c>
      <c r="K106" s="4" t="s">
        <v>10236</v>
      </c>
      <c r="L106" s="4" t="s">
        <v>9350</v>
      </c>
      <c r="M106" s="4" t="s">
        <v>29</v>
      </c>
      <c r="N106" s="4" t="s">
        <v>9239</v>
      </c>
      <c r="O106" s="4" t="str">
        <f>IFERROR(__XLUDF.DUMMYFUNCTION("VLOOKUP(M104,IMPORTRANGE(""https://docs.google.com/spreadsheets/d/1opm6ZNvGZ7KditA9TuJwrZ25eFLfTNIkrNnY6mhV5Eg"",""list!A1:C115""),3,TRUE)"),"le secteur de la construction")</f>
        <v xml:space="preserve">le secteur de la construction</v>
      </c>
      <c r="P106" s="4" t="s">
        <v>10237</v>
      </c>
      <c r="R106" s="4" t="s">
        <v>10236</v>
      </c>
      <c r="S106" s="4" t="s">
        <v>9350</v>
      </c>
      <c r="T106" s="4" t="s">
        <v>29</v>
      </c>
      <c r="U106" s="5" t="s">
        <v>10238</v>
      </c>
      <c r="V106" s="6"/>
      <c r="W106" s="6"/>
      <c r="X106" s="6"/>
      <c r="Y106" s="6"/>
      <c r="Z106" s="4" t="s">
        <v>10239</v>
      </c>
      <c r="AA106" s="6"/>
      <c r="AB106" s="5" t="s">
        <v>10240</v>
      </c>
    </row>
    <row r="107" ht="14.25">
      <c r="A107" s="4" t="s">
        <v>10242</v>
      </c>
      <c r="B107" s="4" t="s">
        <v>6634</v>
      </c>
      <c r="C107" s="4" t="s">
        <v>10244</v>
      </c>
      <c r="F107" s="4" t="s">
        <v>10243</v>
      </c>
      <c r="G107" s="4">
        <v>48</v>
      </c>
      <c r="H107" s="4" t="s">
        <v>10245</v>
      </c>
      <c r="I107" s="4" t="str">
        <f>IFERROR(__XLUDF.DUMMYFUNCTION("PROPER(REGEXREPLACE(G105,""[^A-Za-z]+ "",""""))"),"Persistent Systems France")</f>
        <v xml:space="preserve">Persistent Systems France</v>
      </c>
      <c r="J107" s="6"/>
      <c r="K107" s="4" t="s">
        <v>1507</v>
      </c>
      <c r="L107" s="4" t="s">
        <v>9193</v>
      </c>
      <c r="M107" s="4" t="s">
        <v>29</v>
      </c>
      <c r="N107" s="4" t="s">
        <v>2602</v>
      </c>
      <c r="O107" s="4" t="str">
        <f>IFERROR(__XLUDF.DUMMYFUNCTION("VLOOKUP(M105,IMPORTRANGE(""https://docs.google.com/spreadsheets/d/1opm6ZNvGZ7KditA9TuJwrZ25eFLfTNIkrNnY6mhV5Eg"",""list!A1:C115""),3,TRUE)"),"le secteur de la tech")</f>
        <v xml:space="preserve">le secteur de la tech</v>
      </c>
      <c r="P107" s="4" t="s">
        <v>10246</v>
      </c>
      <c r="R107" s="4" t="s">
        <v>5265</v>
      </c>
      <c r="S107" s="4" t="s">
        <v>9193</v>
      </c>
      <c r="T107" s="4" t="s">
        <v>29</v>
      </c>
      <c r="U107" s="5" t="s">
        <v>10247</v>
      </c>
      <c r="V107" s="6"/>
      <c r="W107" s="6"/>
      <c r="X107" s="6"/>
      <c r="Y107" s="6"/>
      <c r="Z107" s="4" t="s">
        <v>10248</v>
      </c>
      <c r="AA107" s="6"/>
      <c r="AB107" s="5" t="s">
        <v>10249</v>
      </c>
    </row>
    <row r="108" ht="14.25">
      <c r="A108" s="4" t="s">
        <v>10251</v>
      </c>
      <c r="B108" s="4" t="s">
        <v>6634</v>
      </c>
      <c r="C108" s="4" t="s">
        <v>879</v>
      </c>
      <c r="F108" s="4" t="s">
        <v>10252</v>
      </c>
      <c r="G108" s="4">
        <v>10</v>
      </c>
      <c r="H108" s="4" t="s">
        <v>10253</v>
      </c>
      <c r="I108" s="4" t="str">
        <f>IFERROR(__XLUDF.DUMMYFUNCTION("PROPER(REGEXREPLACE(G106,""[^A-Za-z]+ "",""""))"),"Bilp")</f>
        <v>Bilp</v>
      </c>
      <c r="J108" s="5" t="s">
        <v>10254</v>
      </c>
      <c r="K108" s="4" t="s">
        <v>83</v>
      </c>
      <c r="L108" s="4" t="s">
        <v>9460</v>
      </c>
      <c r="M108" s="4" t="s">
        <v>29</v>
      </c>
      <c r="N108" s="4" t="s">
        <v>4525</v>
      </c>
      <c r="O108" s="4" t="str">
        <f>IFERROR(__XLUDF.DUMMYFUNCTION("VLOOKUP(M106,IMPORTRANGE(""https://docs.google.com/spreadsheets/d/1opm6ZNvGZ7KditA9TuJwrZ25eFLfTNIkrNnY6mhV5Eg"",""list!A1:C115""),3,TRUE)"),"le secteur du retail")</f>
        <v xml:space="preserve">le secteur du retail</v>
      </c>
      <c r="P108" s="4" t="s">
        <v>10255</v>
      </c>
      <c r="R108" s="4" t="s">
        <v>10256</v>
      </c>
      <c r="S108" s="4" t="s">
        <v>9254</v>
      </c>
      <c r="T108" s="4" t="s">
        <v>29</v>
      </c>
      <c r="U108" s="5" t="s">
        <v>10257</v>
      </c>
      <c r="V108" s="6"/>
      <c r="W108" s="6"/>
      <c r="X108" s="6"/>
      <c r="Y108" s="6"/>
      <c r="Z108" s="4" t="s">
        <v>10258</v>
      </c>
      <c r="AA108" s="6"/>
      <c r="AB108" s="5" t="s">
        <v>10259</v>
      </c>
    </row>
    <row r="109" ht="14.25">
      <c r="A109" s="4" t="s">
        <v>4480</v>
      </c>
      <c r="B109" s="4" t="s">
        <v>630</v>
      </c>
      <c r="C109" s="4" t="s">
        <v>10262</v>
      </c>
      <c r="F109" s="4" t="s">
        <v>10261</v>
      </c>
      <c r="G109" s="4">
        <v>28</v>
      </c>
      <c r="H109" s="4" t="s">
        <v>10263</v>
      </c>
      <c r="I109" s="4" t="str">
        <f>IFERROR(__XLUDF.DUMMYFUNCTION("PROPER(REGEXREPLACE(G107,""[^A-Za-z]+ "",""""))"),"Js Automation")</f>
        <v xml:space="preserve">Js Automation</v>
      </c>
      <c r="J109" s="5" t="s">
        <v>10264</v>
      </c>
      <c r="K109" s="4" t="s">
        <v>10265</v>
      </c>
      <c r="L109" s="4" t="s">
        <v>9193</v>
      </c>
      <c r="M109" s="4" t="s">
        <v>29</v>
      </c>
      <c r="N109" s="4" t="s">
        <v>2602</v>
      </c>
      <c r="O109" s="4" t="str">
        <f>IFERROR(__XLUDF.DUMMYFUNCTION("VLOOKUP(M107,IMPORTRANGE(""https://docs.google.com/spreadsheets/d/1opm6ZNvGZ7KditA9TuJwrZ25eFLfTNIkrNnY6mhV5Eg"",""list!A1:C115""),3,TRUE)"),"le secteur de la tech")</f>
        <v xml:space="preserve">le secteur de la tech</v>
      </c>
      <c r="P109" s="4" t="s">
        <v>10266</v>
      </c>
      <c r="R109" s="4" t="s">
        <v>10267</v>
      </c>
      <c r="S109" s="4" t="s">
        <v>9193</v>
      </c>
      <c r="T109" s="4" t="s">
        <v>29</v>
      </c>
      <c r="U109" s="5" t="s">
        <v>10268</v>
      </c>
      <c r="V109" s="6"/>
      <c r="W109" s="6"/>
      <c r="X109" s="6"/>
      <c r="Y109" s="6"/>
      <c r="Z109" s="4" t="s">
        <v>10269</v>
      </c>
      <c r="AA109" s="6"/>
      <c r="AB109" s="5" t="s">
        <v>10270</v>
      </c>
    </row>
    <row r="110" ht="14.25">
      <c r="A110" s="4" t="s">
        <v>10272</v>
      </c>
      <c r="B110" s="4" t="s">
        <v>768</v>
      </c>
      <c r="C110" s="4" t="s">
        <v>7759</v>
      </c>
      <c r="F110" s="4" t="s">
        <v>10273</v>
      </c>
      <c r="G110" s="4">
        <v>11</v>
      </c>
      <c r="H110" s="4" t="s">
        <v>10274</v>
      </c>
      <c r="I110" s="4" t="str">
        <f>IFERROR(__XLUDF.DUMMYFUNCTION("PROPER(REGEXREPLACE(G108,""[^A-Za-z]+ "",""""))"),"Créagift")</f>
        <v>Créagift</v>
      </c>
      <c r="J110" s="5" t="s">
        <v>10275</v>
      </c>
      <c r="K110" s="4" t="s">
        <v>10276</v>
      </c>
      <c r="L110" s="4" t="s">
        <v>9350</v>
      </c>
      <c r="M110" s="4" t="s">
        <v>29</v>
      </c>
      <c r="N110" s="4" t="s">
        <v>4525</v>
      </c>
      <c r="O110" s="4" t="str">
        <f>IFERROR(__XLUDF.DUMMYFUNCTION("VLOOKUP(M108,IMPORTRANGE(""https://docs.google.com/spreadsheets/d/1opm6ZNvGZ7KditA9TuJwrZ25eFLfTNIkrNnY6mhV5Eg"",""list!A1:C115""),3,TRUE)"),"le secteur du retail")</f>
        <v xml:space="preserve">le secteur du retail</v>
      </c>
      <c r="P110" s="6"/>
      <c r="R110" s="4" t="s">
        <v>10277</v>
      </c>
      <c r="S110" s="4" t="s">
        <v>9350</v>
      </c>
      <c r="T110" s="4" t="s">
        <v>29</v>
      </c>
      <c r="U110" s="5" t="s">
        <v>10278</v>
      </c>
      <c r="V110" s="6"/>
      <c r="W110" s="5" t="s">
        <v>10279</v>
      </c>
      <c r="X110" s="6"/>
      <c r="Y110" s="6"/>
      <c r="Z110" s="4" t="s">
        <v>10280</v>
      </c>
      <c r="AA110" s="6"/>
      <c r="AB110" s="5" t="s">
        <v>10281</v>
      </c>
    </row>
    <row r="111" ht="14.25">
      <c r="A111" s="4" t="s">
        <v>10283</v>
      </c>
      <c r="B111" s="4" t="s">
        <v>556</v>
      </c>
      <c r="C111" s="4" t="s">
        <v>10285</v>
      </c>
      <c r="F111" s="4" t="s">
        <v>10284</v>
      </c>
      <c r="G111" s="4">
        <v>41</v>
      </c>
      <c r="H111" s="4" t="s">
        <v>10286</v>
      </c>
      <c r="I111" s="4" t="str">
        <f>IFERROR(__XLUDF.DUMMYFUNCTION("PROPER(REGEXREPLACE(G109,""[^A-Za-z]+ "",""""))"),"Neoedge")</f>
        <v>Neoedge</v>
      </c>
      <c r="J111" s="5" t="s">
        <v>10287</v>
      </c>
      <c r="K111" s="4" t="s">
        <v>6480</v>
      </c>
      <c r="L111" s="4" t="s">
        <v>9281</v>
      </c>
      <c r="M111" s="4" t="s">
        <v>29</v>
      </c>
      <c r="N111" s="4" t="s">
        <v>2602</v>
      </c>
      <c r="O111" s="4" t="str">
        <f>IFERROR(__XLUDF.DUMMYFUNCTION("VLOOKUP(M109,IMPORTRANGE(""https://docs.google.com/spreadsheets/d/1opm6ZNvGZ7KditA9TuJwrZ25eFLfTNIkrNnY6mhV5Eg"",""list!A1:C115""),3,TRUE)"),"le secteur de la tech")</f>
        <v xml:space="preserve">le secteur de la tech</v>
      </c>
      <c r="P111" s="4" t="s">
        <v>10288</v>
      </c>
      <c r="R111" s="4" t="s">
        <v>295</v>
      </c>
      <c r="S111" s="4" t="s">
        <v>9251</v>
      </c>
      <c r="T111" s="4" t="s">
        <v>29</v>
      </c>
      <c r="U111" s="5" t="s">
        <v>10289</v>
      </c>
      <c r="V111" s="5" t="s">
        <v>10290</v>
      </c>
      <c r="W111" s="6"/>
      <c r="X111" s="6"/>
      <c r="Y111" s="6"/>
      <c r="Z111" s="4" t="s">
        <v>10291</v>
      </c>
      <c r="AA111" s="6"/>
      <c r="AB111" s="5" t="s">
        <v>10292</v>
      </c>
    </row>
    <row r="112" ht="14.25">
      <c r="A112" s="4" t="s">
        <v>10294</v>
      </c>
      <c r="B112" s="4" t="s">
        <v>4196</v>
      </c>
      <c r="C112" s="4" t="s">
        <v>2636</v>
      </c>
      <c r="F112" s="4" t="s">
        <v>10295</v>
      </c>
      <c r="G112" s="4">
        <v>31</v>
      </c>
      <c r="H112" s="4" t="s">
        <v>10296</v>
      </c>
      <c r="I112" s="4" t="str">
        <f>IFERROR(__XLUDF.DUMMYFUNCTION("PROPER(REGEXREPLACE(G110,""[^A-Za-z]+ "",""""))"),"Axys Etudes Techniques Fluides")</f>
        <v xml:space="preserve">Axys Etudes Techniques Fluides</v>
      </c>
      <c r="J112" s="5" t="s">
        <v>10297</v>
      </c>
      <c r="K112" s="4" t="s">
        <v>39</v>
      </c>
      <c r="L112" s="4" t="s">
        <v>9160</v>
      </c>
      <c r="M112" s="4" t="s">
        <v>29</v>
      </c>
      <c r="N112" s="4" t="s">
        <v>9239</v>
      </c>
      <c r="O112" s="4" t="str">
        <f>IFERROR(__XLUDF.DUMMYFUNCTION("VLOOKUP(M110,IMPORTRANGE(""https://docs.google.com/spreadsheets/d/1opm6ZNvGZ7KditA9TuJwrZ25eFLfTNIkrNnY6mhV5Eg"",""list!A1:C115""),3,TRUE)"),"le secteur de la construction")</f>
        <v xml:space="preserve">le secteur de la construction</v>
      </c>
      <c r="P112" s="4" t="s">
        <v>10298</v>
      </c>
      <c r="R112" s="4" t="s">
        <v>10299</v>
      </c>
      <c r="S112" s="4" t="s">
        <v>9160</v>
      </c>
      <c r="T112" s="4" t="s">
        <v>29</v>
      </c>
      <c r="U112" s="5" t="s">
        <v>10300</v>
      </c>
      <c r="V112" s="6"/>
      <c r="W112" s="6"/>
      <c r="X112" s="6"/>
      <c r="Y112" s="6"/>
      <c r="Z112" s="4" t="s">
        <v>10301</v>
      </c>
      <c r="AA112" s="6"/>
      <c r="AB112" s="5" t="s">
        <v>10302</v>
      </c>
    </row>
    <row r="113" ht="14.25">
      <c r="A113" s="4" t="s">
        <v>10304</v>
      </c>
      <c r="B113" s="4" t="s">
        <v>245</v>
      </c>
      <c r="C113" s="4" t="s">
        <v>172</v>
      </c>
      <c r="F113" s="4" t="s">
        <v>10305</v>
      </c>
      <c r="G113" s="4">
        <v>22</v>
      </c>
      <c r="H113" s="4" t="s">
        <v>10306</v>
      </c>
      <c r="I113" s="4" t="str">
        <f>IFERROR(__XLUDF.DUMMYFUNCTION("PROPER(REGEXREPLACE(G111,""[^A-Za-z]+ "",""""))"),"Delta Préfabrication")</f>
        <v xml:space="preserve">Delta Préfabrication</v>
      </c>
      <c r="J113" s="5" t="s">
        <v>10307</v>
      </c>
      <c r="K113" s="4" t="s">
        <v>10308</v>
      </c>
      <c r="L113" s="4" t="s">
        <v>9193</v>
      </c>
      <c r="M113" s="4" t="s">
        <v>29</v>
      </c>
      <c r="N113" s="4" t="s">
        <v>9239</v>
      </c>
      <c r="O113" s="4" t="str">
        <f>IFERROR(__XLUDF.DUMMYFUNCTION("VLOOKUP(M111,IMPORTRANGE(""https://docs.google.com/spreadsheets/d/1opm6ZNvGZ7KditA9TuJwrZ25eFLfTNIkrNnY6mhV5Eg"",""list!A1:C115""),3,TRUE)"),"le secteur de la construction")</f>
        <v xml:space="preserve">le secteur de la construction</v>
      </c>
      <c r="P113" s="4" t="s">
        <v>10309</v>
      </c>
      <c r="R113" s="4" t="s">
        <v>10308</v>
      </c>
      <c r="S113" s="4" t="s">
        <v>9172</v>
      </c>
      <c r="T113" s="4" t="s">
        <v>29</v>
      </c>
      <c r="U113" s="5" t="s">
        <v>10310</v>
      </c>
      <c r="V113" s="6"/>
      <c r="W113" s="6"/>
      <c r="X113" s="6"/>
      <c r="Y113" s="6"/>
      <c r="Z113" s="4" t="s">
        <v>10311</v>
      </c>
      <c r="AA113" s="6"/>
      <c r="AB113" s="5" t="s">
        <v>10312</v>
      </c>
    </row>
    <row r="114" ht="14.25">
      <c r="A114" s="4" t="s">
        <v>10314</v>
      </c>
      <c r="B114" s="4" t="s">
        <v>2303</v>
      </c>
      <c r="C114" s="4" t="s">
        <v>2636</v>
      </c>
      <c r="F114" s="4" t="s">
        <v>10315</v>
      </c>
      <c r="G114" s="4">
        <v>12</v>
      </c>
      <c r="H114" s="4" t="s">
        <v>10316</v>
      </c>
      <c r="I114" s="4" t="str">
        <f>IFERROR(__XLUDF.DUMMYFUNCTION("PROPER(REGEXREPLACE(G112,""[^A-Za-z]+ "",""""))"),"Bsrv Groupe")</f>
        <v xml:space="preserve">Bsrv Groupe</v>
      </c>
      <c r="J114" s="5" t="s">
        <v>10317</v>
      </c>
      <c r="K114" s="6"/>
      <c r="L114" s="6"/>
      <c r="M114" s="4" t="s">
        <v>29</v>
      </c>
      <c r="N114" s="4" t="s">
        <v>9239</v>
      </c>
      <c r="O114" s="4" t="str">
        <f>IFERROR(__XLUDF.DUMMYFUNCTION("VLOOKUP(M112,IMPORTRANGE(""https://docs.google.com/spreadsheets/d/1opm6ZNvGZ7KditA9TuJwrZ25eFLfTNIkrNnY6mhV5Eg"",""list!A1:C115""),3,TRUE)"),"le secteur de la construction")</f>
        <v xml:space="preserve">le secteur de la construction</v>
      </c>
      <c r="P114" s="4" t="s">
        <v>10318</v>
      </c>
      <c r="R114" s="6"/>
      <c r="S114" s="6"/>
      <c r="T114" s="4" t="s">
        <v>29</v>
      </c>
      <c r="U114" s="5" t="s">
        <v>10319</v>
      </c>
      <c r="V114" s="6"/>
      <c r="W114" s="6"/>
      <c r="X114" s="6"/>
      <c r="Y114" s="6"/>
      <c r="Z114" s="4" t="s">
        <v>10320</v>
      </c>
      <c r="AA114" s="6"/>
      <c r="AB114" s="5" t="s">
        <v>10321</v>
      </c>
    </row>
    <row r="115" ht="14.25">
      <c r="A115" s="4" t="s">
        <v>10323</v>
      </c>
      <c r="B115" s="4" t="s">
        <v>222</v>
      </c>
      <c r="C115" s="4" t="s">
        <v>112</v>
      </c>
      <c r="F115" s="4" t="s">
        <v>10324</v>
      </c>
      <c r="G115" s="4">
        <v>28</v>
      </c>
      <c r="H115" s="4" t="s">
        <v>10325</v>
      </c>
      <c r="I115" s="4" t="str">
        <f>IFERROR(__XLUDF.DUMMYFUNCTION("PROPER(REGEXREPLACE(G113,""[^A-Za-z]+ "",""""))"),"Sepale")</f>
        <v>Sepale</v>
      </c>
      <c r="J115" s="5" t="s">
        <v>10326</v>
      </c>
      <c r="K115" s="4" t="s">
        <v>10327</v>
      </c>
      <c r="L115" s="4" t="s">
        <v>9460</v>
      </c>
      <c r="M115" s="4" t="s">
        <v>29</v>
      </c>
      <c r="N115" s="4" t="s">
        <v>4067</v>
      </c>
      <c r="O115" s="4" t="str">
        <f>IFERROR(__XLUDF.DUMMYFUNCTION("VLOOKUP(M113,IMPORTRANGE(""https://docs.google.com/spreadsheets/d/1opm6ZNvGZ7KditA9TuJwrZ25eFLfTNIkrNnY6mhV5Eg"",""list!A1:C115""),3,TRUE)"),"le secteur du conseil en management")</f>
        <v xml:space="preserve">le secteur du conseil en management</v>
      </c>
      <c r="P115" s="4" t="s">
        <v>10328</v>
      </c>
      <c r="R115" s="6"/>
      <c r="S115" s="6"/>
      <c r="T115" s="6"/>
      <c r="U115" s="5" t="s">
        <v>10329</v>
      </c>
      <c r="V115" s="6"/>
      <c r="W115" s="6"/>
      <c r="X115" s="6"/>
      <c r="Y115" s="6"/>
      <c r="Z115" s="4" t="s">
        <v>10330</v>
      </c>
      <c r="AA115" s="6"/>
      <c r="AB115" s="5" t="s">
        <v>10331</v>
      </c>
    </row>
    <row r="116" ht="14.25">
      <c r="A116" s="4" t="s">
        <v>10333</v>
      </c>
      <c r="B116" s="4" t="s">
        <v>1667</v>
      </c>
      <c r="C116" s="4" t="s">
        <v>112</v>
      </c>
      <c r="F116" s="4" t="s">
        <v>10334</v>
      </c>
      <c r="G116" s="4">
        <v>11</v>
      </c>
      <c r="H116" s="4" t="s">
        <v>10335</v>
      </c>
      <c r="I116" s="4" t="str">
        <f>IFERROR(__XLUDF.DUMMYFUNCTION("PROPER(REGEXREPLACE(G114,""[^A-Za-z]+ "",""""))"),"Promatec Group")</f>
        <v xml:space="preserve">Promatec Group</v>
      </c>
      <c r="J116" s="5" t="s">
        <v>10336</v>
      </c>
      <c r="K116" s="4" t="s">
        <v>846</v>
      </c>
      <c r="L116" s="4" t="s">
        <v>9278</v>
      </c>
      <c r="M116" s="4" t="s">
        <v>29</v>
      </c>
      <c r="N116" s="4" t="s">
        <v>9239</v>
      </c>
      <c r="O116" s="4" t="str">
        <f>IFERROR(__XLUDF.DUMMYFUNCTION("VLOOKUP(M114,IMPORTRANGE(""https://docs.google.com/spreadsheets/d/1opm6ZNvGZ7KditA9TuJwrZ25eFLfTNIkrNnY6mhV5Eg"",""list!A1:C115""),3,TRUE)"),"le secteur de la construction")</f>
        <v xml:space="preserve">le secteur de la construction</v>
      </c>
      <c r="P116" s="4" t="s">
        <v>10337</v>
      </c>
      <c r="R116" s="4" t="s">
        <v>10338</v>
      </c>
      <c r="S116" s="4" t="s">
        <v>10339</v>
      </c>
      <c r="T116" s="4" t="s">
        <v>29</v>
      </c>
      <c r="U116" s="5" t="s">
        <v>10340</v>
      </c>
      <c r="V116" s="6"/>
      <c r="W116" s="5" t="s">
        <v>10341</v>
      </c>
      <c r="X116" s="6"/>
      <c r="Y116" s="6"/>
      <c r="Z116" s="4" t="s">
        <v>10342</v>
      </c>
      <c r="AA116" s="6"/>
      <c r="AB116" s="5" t="s">
        <v>10343</v>
      </c>
    </row>
    <row r="117" ht="14.25">
      <c r="A117" s="4" t="s">
        <v>10345</v>
      </c>
      <c r="B117" s="4" t="s">
        <v>222</v>
      </c>
      <c r="C117" s="4" t="s">
        <v>112</v>
      </c>
      <c r="F117" s="4" t="s">
        <v>10346</v>
      </c>
      <c r="G117" s="4">
        <v>10</v>
      </c>
      <c r="H117" s="4" t="s">
        <v>10347</v>
      </c>
      <c r="I117" s="4" t="str">
        <f>IFERROR(__XLUDF.DUMMYFUNCTION("PROPER(REGEXREPLACE(G115,""[^A-Za-z]+ "",""""))"),"Réseaux Services Pro")</f>
        <v xml:space="preserve">Réseaux Services Pro</v>
      </c>
      <c r="J117" s="5" t="s">
        <v>10348</v>
      </c>
      <c r="K117" s="4" t="s">
        <v>6848</v>
      </c>
      <c r="L117" s="4" t="s">
        <v>9160</v>
      </c>
      <c r="M117" s="4" t="s">
        <v>29</v>
      </c>
      <c r="N117" s="4" t="s">
        <v>9239</v>
      </c>
      <c r="O117" s="4" t="str">
        <f>IFERROR(__XLUDF.DUMMYFUNCTION("VLOOKUP(M115,IMPORTRANGE(""https://docs.google.com/spreadsheets/d/1opm6ZNvGZ7KditA9TuJwrZ25eFLfTNIkrNnY6mhV5Eg"",""list!A1:C115""),3,TRUE)"),"le secteur de la construction")</f>
        <v xml:space="preserve">le secteur de la construction</v>
      </c>
      <c r="P117" s="6"/>
      <c r="R117" s="4" t="s">
        <v>6848</v>
      </c>
      <c r="S117" s="4" t="s">
        <v>9160</v>
      </c>
      <c r="T117" s="4" t="s">
        <v>29</v>
      </c>
      <c r="U117" s="5" t="s">
        <v>10349</v>
      </c>
      <c r="V117" s="6"/>
      <c r="W117" s="6"/>
      <c r="X117" s="6"/>
      <c r="Y117" s="6"/>
      <c r="Z117" s="4" t="s">
        <v>10350</v>
      </c>
      <c r="AA117" s="6"/>
      <c r="AB117" s="5" t="s">
        <v>10351</v>
      </c>
    </row>
    <row r="118" ht="14.25">
      <c r="A118" s="4" t="s">
        <v>10353</v>
      </c>
      <c r="B118" s="4" t="s">
        <v>4196</v>
      </c>
      <c r="C118" s="4" t="s">
        <v>9582</v>
      </c>
      <c r="F118" s="4" t="s">
        <v>10354</v>
      </c>
      <c r="G118" s="4">
        <v>27</v>
      </c>
      <c r="H118" s="4" t="s">
        <v>10355</v>
      </c>
      <c r="I118" s="4" t="str">
        <f>IFERROR(__XLUDF.DUMMYFUNCTION("PROPER(REGEXREPLACE(G116,""[^A-Za-z]+ "",""""))"),"Mégaraberceau Magique")</f>
        <v xml:space="preserve">Mégaraberceau Magique</v>
      </c>
      <c r="J118" s="5" t="s">
        <v>10356</v>
      </c>
      <c r="K118" s="4" t="s">
        <v>2499</v>
      </c>
      <c r="L118" s="4" t="s">
        <v>9251</v>
      </c>
      <c r="M118" s="4" t="s">
        <v>29</v>
      </c>
      <c r="N118" s="4" t="s">
        <v>4525</v>
      </c>
      <c r="O118" s="4" t="str">
        <f>IFERROR(__XLUDF.DUMMYFUNCTION("VLOOKUP(M116,IMPORTRANGE(""https://docs.google.com/spreadsheets/d/1opm6ZNvGZ7KditA9TuJwrZ25eFLfTNIkrNnY6mhV5Eg"",""list!A1:C115""),3,TRUE)"),"le secteur du retail")</f>
        <v xml:space="preserve">le secteur du retail</v>
      </c>
      <c r="P118" s="4" t="s">
        <v>10357</v>
      </c>
      <c r="R118" s="4" t="s">
        <v>10358</v>
      </c>
      <c r="S118" s="4" t="s">
        <v>9251</v>
      </c>
      <c r="T118" s="4" t="s">
        <v>29</v>
      </c>
      <c r="U118" s="5" t="s">
        <v>10359</v>
      </c>
      <c r="V118" s="6"/>
      <c r="W118" s="6"/>
      <c r="X118" s="6"/>
      <c r="Y118" s="6"/>
      <c r="Z118" s="4" t="s">
        <v>10360</v>
      </c>
      <c r="AA118" s="6"/>
      <c r="AB118" s="5" t="s">
        <v>10361</v>
      </c>
    </row>
    <row r="119" ht="14.25">
      <c r="A119" s="4" t="s">
        <v>10363</v>
      </c>
      <c r="B119" s="4" t="s">
        <v>734</v>
      </c>
      <c r="C119" s="4" t="s">
        <v>7759</v>
      </c>
      <c r="F119" s="4" t="s">
        <v>10364</v>
      </c>
      <c r="G119" s="4">
        <v>32</v>
      </c>
      <c r="H119" s="4" t="s">
        <v>10365</v>
      </c>
      <c r="I119" s="4" t="str">
        <f>IFERROR(__XLUDF.DUMMYFUNCTION("PROPER(REGEXREPLACE(G117,""[^A-Za-z]+ "",""""))"),"Groupe Sebi")</f>
        <v xml:space="preserve">Groupe Sebi</v>
      </c>
      <c r="J119" s="5" t="s">
        <v>10366</v>
      </c>
      <c r="K119" s="4" t="s">
        <v>10367</v>
      </c>
      <c r="L119" s="4" t="s">
        <v>9267</v>
      </c>
      <c r="M119" s="4" t="s">
        <v>29</v>
      </c>
      <c r="N119" s="4" t="s">
        <v>4525</v>
      </c>
      <c r="O119" s="4" t="str">
        <f>IFERROR(__XLUDF.DUMMYFUNCTION("VLOOKUP(M117,IMPORTRANGE(""https://docs.google.com/spreadsheets/d/1opm6ZNvGZ7KditA9TuJwrZ25eFLfTNIkrNnY6mhV5Eg"",""list!A1:C115""),3,TRUE)"),"le secteur du retail")</f>
        <v xml:space="preserve">le secteur du retail</v>
      </c>
      <c r="P119" s="4" t="s">
        <v>10368</v>
      </c>
      <c r="R119" s="4" t="s">
        <v>10369</v>
      </c>
      <c r="S119" s="4" t="s">
        <v>10370</v>
      </c>
      <c r="T119" s="4" t="s">
        <v>29</v>
      </c>
      <c r="U119" s="5" t="s">
        <v>10371</v>
      </c>
      <c r="V119" s="6"/>
      <c r="W119" s="5" t="s">
        <v>10372</v>
      </c>
      <c r="X119" s="6"/>
      <c r="Y119" s="6"/>
      <c r="Z119" s="4" t="s">
        <v>10373</v>
      </c>
      <c r="AA119" s="6"/>
      <c r="AB119" s="5" t="s">
        <v>10374</v>
      </c>
    </row>
    <row r="120" ht="14.25">
      <c r="A120" s="4" t="s">
        <v>9232</v>
      </c>
      <c r="B120" s="4" t="s">
        <v>734</v>
      </c>
      <c r="C120" s="4" t="s">
        <v>112</v>
      </c>
      <c r="F120" s="4" t="s">
        <v>10376</v>
      </c>
      <c r="G120" s="4">
        <v>35</v>
      </c>
      <c r="H120" s="4" t="s">
        <v>10377</v>
      </c>
      <c r="I120" s="4" t="str">
        <f>IFERROR(__XLUDF.DUMMYFUNCTION("PROPER(REGEXREPLACE(G118,""[^A-Za-z]+ "",""""))"),"Vêpres")</f>
        <v>Vêpres</v>
      </c>
      <c r="J120" s="5" t="s">
        <v>10378</v>
      </c>
      <c r="K120" s="4" t="s">
        <v>1507</v>
      </c>
      <c r="L120" s="4" t="s">
        <v>9193</v>
      </c>
      <c r="M120" s="4" t="s">
        <v>29</v>
      </c>
      <c r="N120" s="4" t="s">
        <v>9239</v>
      </c>
      <c r="O120" s="4" t="str">
        <f>IFERROR(__XLUDF.DUMMYFUNCTION("VLOOKUP(M118,IMPORTRANGE(""https://docs.google.com/spreadsheets/d/1opm6ZNvGZ7KditA9TuJwrZ25eFLfTNIkrNnY6mhV5Eg"",""list!A1:C115""),3,TRUE)"),"le secteur de la construction")</f>
        <v xml:space="preserve">le secteur de la construction</v>
      </c>
      <c r="P120" s="6"/>
      <c r="R120" s="4" t="s">
        <v>10379</v>
      </c>
      <c r="S120" s="4" t="s">
        <v>9172</v>
      </c>
      <c r="T120" s="4" t="s">
        <v>29</v>
      </c>
      <c r="U120" s="5" t="s">
        <v>10380</v>
      </c>
      <c r="V120" s="6"/>
      <c r="W120" s="6"/>
      <c r="X120" s="6"/>
      <c r="Y120" s="6"/>
      <c r="Z120" s="4" t="s">
        <v>10381</v>
      </c>
      <c r="AA120" s="6"/>
      <c r="AB120" s="5" t="s">
        <v>10382</v>
      </c>
    </row>
    <row r="121" ht="14.25">
      <c r="A121" s="4" t="s">
        <v>10384</v>
      </c>
      <c r="B121" s="4" t="s">
        <v>734</v>
      </c>
      <c r="C121" s="4" t="s">
        <v>7759</v>
      </c>
      <c r="F121" s="4" t="s">
        <v>10385</v>
      </c>
      <c r="G121" s="4">
        <v>28</v>
      </c>
      <c r="H121" s="4" t="s">
        <v>10386</v>
      </c>
      <c r="I121" s="4" t="str">
        <f>IFERROR(__XLUDF.DUMMYFUNCTION("PROPER(REGEXREPLACE(G119,""[^A-Za-z]+ "",""""))"),"Groupe Cap Info")</f>
        <v xml:space="preserve">Groupe Cap Info</v>
      </c>
      <c r="J121" s="5" t="s">
        <v>10387</v>
      </c>
      <c r="K121" s="4" t="s">
        <v>243</v>
      </c>
      <c r="L121" s="4" t="s">
        <v>9864</v>
      </c>
      <c r="M121" s="4" t="s">
        <v>29</v>
      </c>
      <c r="N121" s="4" t="s">
        <v>2602</v>
      </c>
      <c r="O121" s="4" t="str">
        <f>IFERROR(__XLUDF.DUMMYFUNCTION("VLOOKUP(M119,IMPORTRANGE(""https://docs.google.com/spreadsheets/d/1opm6ZNvGZ7KditA9TuJwrZ25eFLfTNIkrNnY6mhV5Eg"",""list!A1:C115""),3,TRUE)"),"le secteur de la tech")</f>
        <v xml:space="preserve">le secteur de la tech</v>
      </c>
      <c r="P121" s="4" t="s">
        <v>10388</v>
      </c>
      <c r="R121" s="4" t="s">
        <v>10389</v>
      </c>
      <c r="S121" s="4" t="s">
        <v>10390</v>
      </c>
      <c r="T121" s="4" t="s">
        <v>29</v>
      </c>
      <c r="U121" s="5" t="s">
        <v>10391</v>
      </c>
      <c r="V121" s="6"/>
      <c r="W121" s="5" t="s">
        <v>10392</v>
      </c>
      <c r="X121" s="6"/>
      <c r="Y121" s="6"/>
      <c r="Z121" s="4" t="s">
        <v>10393</v>
      </c>
      <c r="AA121" s="6"/>
      <c r="AB121" s="5" t="s">
        <v>10394</v>
      </c>
    </row>
    <row r="122" ht="14.25">
      <c r="A122" s="4" t="s">
        <v>10396</v>
      </c>
      <c r="B122" s="4" t="s">
        <v>222</v>
      </c>
      <c r="C122" s="4" t="s">
        <v>10398</v>
      </c>
      <c r="F122" s="4" t="s">
        <v>10397</v>
      </c>
      <c r="G122" s="4">
        <v>16</v>
      </c>
      <c r="H122" s="4" t="s">
        <v>10399</v>
      </c>
      <c r="I122" s="4" t="str">
        <f>IFERROR(__XLUDF.DUMMYFUNCTION("PROPER(REGEXREPLACE(G120,""[^A-Za-z]+ "",""""))"),"Isocrate")</f>
        <v>Isocrate</v>
      </c>
      <c r="J122" s="5" t="s">
        <v>10400</v>
      </c>
      <c r="K122" s="4" t="s">
        <v>1711</v>
      </c>
      <c r="L122" s="4" t="s">
        <v>9350</v>
      </c>
      <c r="M122" s="4" t="s">
        <v>29</v>
      </c>
      <c r="N122" s="4" t="s">
        <v>9239</v>
      </c>
      <c r="O122" s="4" t="str">
        <f>IFERROR(__XLUDF.DUMMYFUNCTION("VLOOKUP(M120,IMPORTRANGE(""https://docs.google.com/spreadsheets/d/1opm6ZNvGZ7KditA9TuJwrZ25eFLfTNIkrNnY6mhV5Eg"",""list!A1:C115""),3,TRUE)"),"le secteur de la construction")</f>
        <v xml:space="preserve">le secteur de la construction</v>
      </c>
      <c r="P122" s="6"/>
      <c r="R122" s="4" t="s">
        <v>1711</v>
      </c>
      <c r="S122" s="4" t="s">
        <v>9350</v>
      </c>
      <c r="T122" s="4" t="s">
        <v>29</v>
      </c>
      <c r="U122" s="5" t="s">
        <v>10401</v>
      </c>
      <c r="V122" s="6"/>
      <c r="W122" s="6"/>
      <c r="X122" s="6"/>
      <c r="Y122" s="6"/>
      <c r="Z122" s="4" t="s">
        <v>10402</v>
      </c>
      <c r="AA122" s="6"/>
      <c r="AB122" s="5" t="s">
        <v>10403</v>
      </c>
    </row>
    <row r="123" ht="14.25">
      <c r="A123" s="4" t="s">
        <v>10405</v>
      </c>
      <c r="B123" s="4" t="s">
        <v>222</v>
      </c>
      <c r="C123" s="4" t="s">
        <v>10407</v>
      </c>
      <c r="F123" s="4" t="s">
        <v>10406</v>
      </c>
      <c r="G123" s="4">
        <v>10</v>
      </c>
      <c r="H123" s="4" t="s">
        <v>10408</v>
      </c>
      <c r="I123" s="4" t="str">
        <f>IFERROR(__XLUDF.DUMMYFUNCTION("PROPER(REGEXREPLACE(G121,""[^A-Za-z]+ "",""""))"),"Nord De France Expertise Automobile")</f>
        <v xml:space="preserve">Nord De France Expertise Automobile</v>
      </c>
      <c r="J123" s="6"/>
      <c r="K123" s="4" t="s">
        <v>562</v>
      </c>
      <c r="L123" s="4" t="s">
        <v>9215</v>
      </c>
      <c r="M123" s="4" t="s">
        <v>29</v>
      </c>
      <c r="N123" s="4" t="s">
        <v>4067</v>
      </c>
      <c r="O123" s="4" t="str">
        <f>IFERROR(__XLUDF.DUMMYFUNCTION("VLOOKUP(M121,IMPORTRANGE(""https://docs.google.com/spreadsheets/d/1opm6ZNvGZ7KditA9TuJwrZ25eFLfTNIkrNnY6mhV5Eg"",""list!A1:C115""),3,TRUE)"),"le secteur du conseil en management")</f>
        <v xml:space="preserve">le secteur du conseil en management</v>
      </c>
      <c r="P123" s="6"/>
      <c r="R123" s="4" t="s">
        <v>6339</v>
      </c>
      <c r="S123" s="4" t="s">
        <v>9281</v>
      </c>
      <c r="T123" s="4" t="s">
        <v>29</v>
      </c>
      <c r="U123" s="5" t="s">
        <v>10409</v>
      </c>
      <c r="V123" s="6"/>
      <c r="W123" s="6"/>
      <c r="X123" s="6"/>
      <c r="Y123" s="6"/>
      <c r="Z123" s="4" t="s">
        <v>10408</v>
      </c>
      <c r="AA123" s="6"/>
      <c r="AB123" s="5" t="s">
        <v>10410</v>
      </c>
    </row>
    <row r="124" ht="14.25">
      <c r="A124" s="4" t="s">
        <v>10412</v>
      </c>
      <c r="B124" s="4" t="s">
        <v>222</v>
      </c>
      <c r="C124" s="4" t="s">
        <v>1130</v>
      </c>
      <c r="F124" s="4" t="s">
        <v>10413</v>
      </c>
      <c r="G124" s="4">
        <v>14</v>
      </c>
      <c r="H124" s="4" t="s">
        <v>10414</v>
      </c>
      <c r="I124" s="4" t="str">
        <f>IFERROR(__XLUDF.DUMMYFUNCTION("PROPER(REGEXREPLACE(G122,""[^A-Za-z]+ "",""""))"),"Atdr Ingénierie")</f>
        <v xml:space="preserve">Atdr Ingénierie</v>
      </c>
      <c r="J124" s="5" t="s">
        <v>10415</v>
      </c>
      <c r="K124" s="4" t="s">
        <v>2903</v>
      </c>
      <c r="L124" s="4" t="s">
        <v>9193</v>
      </c>
      <c r="M124" s="4" t="s">
        <v>29</v>
      </c>
      <c r="N124" s="4" t="s">
        <v>9239</v>
      </c>
      <c r="O124" s="4" t="str">
        <f>IFERROR(__XLUDF.DUMMYFUNCTION("VLOOKUP(M122,IMPORTRANGE(""https://docs.google.com/spreadsheets/d/1opm6ZNvGZ7KditA9TuJwrZ25eFLfTNIkrNnY6mhV5Eg"",""list!A1:C115""),3,TRUE)"),"le secteur de la construction")</f>
        <v xml:space="preserve">le secteur de la construction</v>
      </c>
      <c r="P124" s="4" t="s">
        <v>10416</v>
      </c>
      <c r="R124" s="4" t="s">
        <v>185</v>
      </c>
      <c r="S124" s="4" t="s">
        <v>9193</v>
      </c>
      <c r="T124" s="4" t="s">
        <v>29</v>
      </c>
      <c r="U124" s="5" t="s">
        <v>10417</v>
      </c>
      <c r="V124" s="6"/>
      <c r="W124" s="6"/>
      <c r="X124" s="6"/>
      <c r="Y124" s="6"/>
      <c r="Z124" s="4" t="s">
        <v>10418</v>
      </c>
      <c r="AA124" s="6"/>
      <c r="AB124" s="5" t="s">
        <v>10419</v>
      </c>
    </row>
    <row r="125" ht="14.25">
      <c r="A125" s="4" t="s">
        <v>10421</v>
      </c>
      <c r="B125" s="4" t="s">
        <v>596</v>
      </c>
      <c r="C125" s="4" t="s">
        <v>10423</v>
      </c>
      <c r="F125" s="4" t="s">
        <v>10422</v>
      </c>
      <c r="G125" s="4">
        <v>10</v>
      </c>
      <c r="H125" s="4" t="s">
        <v>10424</v>
      </c>
      <c r="I125" s="4" t="str">
        <f>IFERROR(__XLUDF.DUMMYFUNCTION("PROPER(REGEXREPLACE(G123,""[^A-Za-z]+ "",""""))"),"Groupe Bardec")</f>
        <v xml:space="preserve">Groupe Bardec</v>
      </c>
      <c r="J125" s="6"/>
      <c r="K125" s="4" t="s">
        <v>7531</v>
      </c>
      <c r="L125" s="4" t="s">
        <v>9798</v>
      </c>
      <c r="M125" s="4" t="s">
        <v>29</v>
      </c>
      <c r="N125" s="4" t="s">
        <v>9239</v>
      </c>
      <c r="O125" s="4" t="str">
        <f>IFERROR(__XLUDF.DUMMYFUNCTION("VLOOKUP(M123,IMPORTRANGE(""https://docs.google.com/spreadsheets/d/1opm6ZNvGZ7KditA9TuJwrZ25eFLfTNIkrNnY6mhV5Eg"",""list!A1:C115""),3,TRUE)"),"le secteur de la construction")</f>
        <v xml:space="preserve">le secteur de la construction</v>
      </c>
      <c r="P125" s="4" t="s">
        <v>10425</v>
      </c>
      <c r="R125" s="4" t="s">
        <v>7531</v>
      </c>
      <c r="S125" s="4" t="s">
        <v>9798</v>
      </c>
      <c r="T125" s="4" t="s">
        <v>29</v>
      </c>
      <c r="U125" s="5" t="s">
        <v>10426</v>
      </c>
      <c r="V125" s="6"/>
      <c r="W125" s="6"/>
      <c r="X125" s="6"/>
      <c r="Y125" s="6"/>
      <c r="Z125" s="4" t="s">
        <v>10427</v>
      </c>
      <c r="AA125" s="6"/>
      <c r="AB125" s="5" t="s">
        <v>10428</v>
      </c>
    </row>
    <row r="126" ht="14.25">
      <c r="A126" s="4" t="s">
        <v>10430</v>
      </c>
      <c r="B126" s="4" t="s">
        <v>596</v>
      </c>
      <c r="C126" s="4" t="s">
        <v>10432</v>
      </c>
      <c r="F126" s="4" t="s">
        <v>10431</v>
      </c>
      <c r="G126" s="4">
        <v>22</v>
      </c>
      <c r="H126" s="4" t="s">
        <v>10433</v>
      </c>
      <c r="I126" s="4" t="str">
        <f>IFERROR(__XLUDF.DUMMYFUNCTION("PROPER(REGEXREPLACE(G124,""[^A-Za-z]+ "",""""))"),"Nile")</f>
        <v>Nile</v>
      </c>
      <c r="J126" s="5" t="s">
        <v>10434</v>
      </c>
      <c r="K126" s="6"/>
      <c r="L126" s="4" t="s">
        <v>9193</v>
      </c>
      <c r="M126" s="4" t="s">
        <v>29</v>
      </c>
      <c r="N126" s="4" t="s">
        <v>4067</v>
      </c>
      <c r="O126" s="4" t="str">
        <f>IFERROR(__XLUDF.DUMMYFUNCTION("VLOOKUP(M124,IMPORTRANGE(""https://docs.google.com/spreadsheets/d/1opm6ZNvGZ7KditA9TuJwrZ25eFLfTNIkrNnY6mhV5Eg"",""list!A1:C115""),3,TRUE)"),"le secteur du conseil en management")</f>
        <v xml:space="preserve">le secteur du conseil en management</v>
      </c>
      <c r="P126" s="4" t="s">
        <v>10435</v>
      </c>
      <c r="R126" s="4" t="s">
        <v>1150</v>
      </c>
      <c r="S126" s="4" t="s">
        <v>9193</v>
      </c>
      <c r="T126" s="4" t="s">
        <v>29</v>
      </c>
      <c r="U126" s="5" t="s">
        <v>10436</v>
      </c>
      <c r="V126" s="5" t="s">
        <v>10437</v>
      </c>
      <c r="W126" s="5" t="s">
        <v>10438</v>
      </c>
      <c r="X126" s="6"/>
      <c r="Y126" s="6"/>
      <c r="Z126" s="4" t="s">
        <v>10439</v>
      </c>
      <c r="AA126" s="6"/>
      <c r="AB126" s="5" t="s">
        <v>10440</v>
      </c>
    </row>
    <row r="127" ht="14.25">
      <c r="A127" s="4" t="s">
        <v>10442</v>
      </c>
      <c r="B127" s="4" t="s">
        <v>596</v>
      </c>
      <c r="C127" s="4" t="s">
        <v>10444</v>
      </c>
      <c r="F127" s="4" t="s">
        <v>10443</v>
      </c>
      <c r="G127" s="4">
        <v>10</v>
      </c>
      <c r="H127" s="4" t="s">
        <v>10445</v>
      </c>
      <c r="I127" s="4" t="str">
        <f>IFERROR(__XLUDF.DUMMYFUNCTION("PROPER(REGEXREPLACE(G125,""[^A-Za-z]+ "",""""))"),"Dero")</f>
        <v>Dero</v>
      </c>
      <c r="J127" s="5" t="s">
        <v>10446</v>
      </c>
      <c r="K127" s="4" t="s">
        <v>39</v>
      </c>
      <c r="L127" s="4" t="s">
        <v>9160</v>
      </c>
      <c r="M127" s="4" t="s">
        <v>29</v>
      </c>
      <c r="N127" s="4" t="s">
        <v>2602</v>
      </c>
      <c r="O127" s="4" t="str">
        <f>IFERROR(__XLUDF.DUMMYFUNCTION("VLOOKUP(M125,IMPORTRANGE(""https://docs.google.com/spreadsheets/d/1opm6ZNvGZ7KditA9TuJwrZ25eFLfTNIkrNnY6mhV5Eg"",""list!A1:C115""),3,TRUE)"),"le secteur de la tech")</f>
        <v xml:space="preserve">le secteur de la tech</v>
      </c>
      <c r="P127" s="6"/>
      <c r="R127" s="4" t="s">
        <v>39</v>
      </c>
      <c r="S127" s="4" t="s">
        <v>9160</v>
      </c>
      <c r="T127" s="4" t="s">
        <v>29</v>
      </c>
      <c r="U127" s="5" t="s">
        <v>10447</v>
      </c>
      <c r="V127" s="6"/>
      <c r="W127" s="6"/>
      <c r="X127" s="6"/>
      <c r="Y127" s="6"/>
      <c r="Z127" s="4" t="s">
        <v>10448</v>
      </c>
      <c r="AA127" s="6"/>
      <c r="AB127" s="5" t="s">
        <v>10449</v>
      </c>
    </row>
    <row r="128" ht="14.25">
      <c r="A128" s="4" t="s">
        <v>10451</v>
      </c>
      <c r="B128" s="4" t="s">
        <v>596</v>
      </c>
      <c r="C128" s="4" t="s">
        <v>10453</v>
      </c>
      <c r="F128" s="4" t="s">
        <v>10452</v>
      </c>
      <c r="G128" s="4">
        <v>29</v>
      </c>
      <c r="H128" s="4" t="s">
        <v>10454</v>
      </c>
      <c r="I128" s="4" t="str">
        <f>IFERROR(__XLUDF.DUMMYFUNCTION("PROPER(REGEXREPLACE(G126,""[^A-Za-z]+ "",""""))"),"Little Wing")</f>
        <v xml:space="preserve">Little Wing</v>
      </c>
      <c r="J128" s="5" t="s">
        <v>10455</v>
      </c>
      <c r="K128" s="4" t="s">
        <v>39</v>
      </c>
      <c r="L128" s="4" t="s">
        <v>9160</v>
      </c>
      <c r="M128" s="4" t="s">
        <v>29</v>
      </c>
      <c r="N128" s="4" t="s">
        <v>4067</v>
      </c>
      <c r="O128" s="4" t="str">
        <f>IFERROR(__XLUDF.DUMMYFUNCTION("VLOOKUP(M126,IMPORTRANGE(""https://docs.google.com/spreadsheets/d/1opm6ZNvGZ7KditA9TuJwrZ25eFLfTNIkrNnY6mhV5Eg"",""list!A1:C115""),3,TRUE)"),"le secteur du conseil en management")</f>
        <v xml:space="preserve">le secteur du conseil en management</v>
      </c>
      <c r="P128" s="4" t="s">
        <v>10456</v>
      </c>
      <c r="R128" s="4" t="s">
        <v>39</v>
      </c>
      <c r="S128" s="4" t="s">
        <v>9160</v>
      </c>
      <c r="T128" s="4" t="s">
        <v>29</v>
      </c>
      <c r="U128" s="5" t="s">
        <v>10457</v>
      </c>
      <c r="V128" s="6"/>
      <c r="W128" s="6"/>
      <c r="X128" s="6"/>
      <c r="Y128" s="6"/>
      <c r="Z128" s="4" t="s">
        <v>10458</v>
      </c>
      <c r="AA128" s="6"/>
      <c r="AB128" s="5" t="s">
        <v>10459</v>
      </c>
    </row>
    <row r="129" ht="14.25">
      <c r="A129" s="4" t="s">
        <v>10461</v>
      </c>
      <c r="B129" s="4" t="s">
        <v>4584</v>
      </c>
      <c r="C129" s="4" t="s">
        <v>10463</v>
      </c>
      <c r="F129" s="4" t="s">
        <v>10462</v>
      </c>
      <c r="G129" s="4">
        <v>21</v>
      </c>
      <c r="H129" s="4" t="s">
        <v>10464</v>
      </c>
      <c r="I129" s="4" t="str">
        <f>IFERROR(__XLUDF.DUMMYFUNCTION("PROPER(REGEXREPLACE(G127,""[^A-Za-z]+ "",""""))"),"Metamorphose Groupe")</f>
        <v xml:space="preserve">Metamorphose Groupe</v>
      </c>
      <c r="J129" s="5" t="s">
        <v>10465</v>
      </c>
      <c r="K129" s="4" t="s">
        <v>4303</v>
      </c>
      <c r="L129" s="4" t="s">
        <v>9350</v>
      </c>
      <c r="M129" s="4" t="s">
        <v>29</v>
      </c>
      <c r="N129" s="4" t="s">
        <v>4067</v>
      </c>
      <c r="O129" s="4" t="str">
        <f>IFERROR(__XLUDF.DUMMYFUNCTION("VLOOKUP(M127,IMPORTRANGE(""https://docs.google.com/spreadsheets/d/1opm6ZNvGZ7KditA9TuJwrZ25eFLfTNIkrNnY6mhV5Eg"",""list!A1:C115""),3,TRUE)"),"le secteur du conseil en management")</f>
        <v xml:space="preserve">le secteur du conseil en management</v>
      </c>
      <c r="P129" s="4" t="s">
        <v>10466</v>
      </c>
      <c r="R129" s="4" t="s">
        <v>39</v>
      </c>
      <c r="S129" s="4" t="s">
        <v>9160</v>
      </c>
      <c r="T129" s="4" t="s">
        <v>29</v>
      </c>
      <c r="U129" s="5" t="s">
        <v>10467</v>
      </c>
      <c r="V129" s="6"/>
      <c r="W129" s="6"/>
      <c r="X129" s="6"/>
      <c r="Y129" s="6"/>
      <c r="Z129" s="4" t="s">
        <v>5069</v>
      </c>
      <c r="AA129" s="6"/>
      <c r="AB129" s="5" t="s">
        <v>10468</v>
      </c>
    </row>
    <row r="130" ht="14.25">
      <c r="A130" s="4" t="s">
        <v>10470</v>
      </c>
      <c r="B130" s="4" t="s">
        <v>4584</v>
      </c>
      <c r="C130" s="4" t="s">
        <v>10472</v>
      </c>
      <c r="F130" s="4" t="s">
        <v>10471</v>
      </c>
      <c r="G130" s="4">
        <v>29</v>
      </c>
      <c r="H130" s="4" t="s">
        <v>10473</v>
      </c>
      <c r="I130" s="4" t="str">
        <f>IFERROR(__XLUDF.DUMMYFUNCTION("PROPER(REGEXREPLACE(G128,""[^A-Za-z]+ "",""""))"),"Atlays")</f>
        <v>Atlays</v>
      </c>
      <c r="J130" s="5" t="s">
        <v>10474</v>
      </c>
      <c r="K130" s="4" t="s">
        <v>39</v>
      </c>
      <c r="L130" s="4" t="s">
        <v>9160</v>
      </c>
      <c r="M130" s="4" t="s">
        <v>29</v>
      </c>
      <c r="N130" s="4" t="s">
        <v>4067</v>
      </c>
      <c r="O130" s="4" t="str">
        <f>IFERROR(__XLUDF.DUMMYFUNCTION("VLOOKUP(M128,IMPORTRANGE(""https://docs.google.com/spreadsheets/d/1opm6ZNvGZ7KditA9TuJwrZ25eFLfTNIkrNnY6mhV5Eg"",""list!A1:C115""),3,TRUE)"),"le secteur du conseil en management")</f>
        <v xml:space="preserve">le secteur du conseil en management</v>
      </c>
      <c r="P130" s="4" t="s">
        <v>10475</v>
      </c>
      <c r="R130" s="4" t="s">
        <v>39</v>
      </c>
      <c r="S130" s="4" t="s">
        <v>9160</v>
      </c>
      <c r="T130" s="4" t="s">
        <v>29</v>
      </c>
      <c r="U130" s="5" t="s">
        <v>10476</v>
      </c>
      <c r="V130" s="6"/>
      <c r="W130" s="6"/>
      <c r="X130" s="6"/>
      <c r="Y130" s="6"/>
      <c r="Z130" s="4" t="s">
        <v>10477</v>
      </c>
      <c r="AA130" s="6"/>
      <c r="AB130" s="5" t="s">
        <v>10478</v>
      </c>
    </row>
    <row r="131" ht="14.25">
      <c r="A131" s="4" t="s">
        <v>10480</v>
      </c>
      <c r="B131" s="4" t="s">
        <v>69</v>
      </c>
      <c r="C131" s="4" t="s">
        <v>10482</v>
      </c>
      <c r="F131" s="4" t="s">
        <v>10481</v>
      </c>
      <c r="G131" s="4">
        <v>10</v>
      </c>
      <c r="H131" s="4" t="s">
        <v>10483</v>
      </c>
      <c r="I131" s="4" t="str">
        <f>IFERROR(__XLUDF.DUMMYFUNCTION("PROPER(REGEXREPLACE(G129,""[^A-Za-z]+ "",""""))"),"Agence-S")</f>
        <v>Agence-S</v>
      </c>
      <c r="J131" s="5" t="s">
        <v>10484</v>
      </c>
      <c r="K131" s="4" t="s">
        <v>3848</v>
      </c>
      <c r="L131" s="4" t="s">
        <v>9251</v>
      </c>
      <c r="M131" s="4" t="s">
        <v>29</v>
      </c>
      <c r="N131" s="4" t="s">
        <v>4067</v>
      </c>
      <c r="O131" s="4" t="str">
        <f>IFERROR(__XLUDF.DUMMYFUNCTION("VLOOKUP(M129,IMPORTRANGE(""https://docs.google.com/spreadsheets/d/1opm6ZNvGZ7KditA9TuJwrZ25eFLfTNIkrNnY6mhV5Eg"",""list!A1:C115""),3,TRUE)"),"le secteur du conseil en management")</f>
        <v xml:space="preserve">le secteur du conseil en management</v>
      </c>
      <c r="P131" s="4" t="s">
        <v>10485</v>
      </c>
      <c r="R131" s="4" t="s">
        <v>3848</v>
      </c>
      <c r="S131" s="4" t="s">
        <v>9251</v>
      </c>
      <c r="T131" s="4" t="s">
        <v>29</v>
      </c>
      <c r="U131" s="5" t="s">
        <v>10486</v>
      </c>
      <c r="V131" s="6"/>
      <c r="W131" s="6"/>
      <c r="X131" s="6"/>
      <c r="Y131" s="6"/>
      <c r="Z131" s="4" t="s">
        <v>10487</v>
      </c>
      <c r="AA131" s="6"/>
      <c r="AB131" s="5" t="s">
        <v>10488</v>
      </c>
    </row>
    <row r="132" ht="14.25">
      <c r="A132" s="4" t="s">
        <v>10490</v>
      </c>
      <c r="B132" s="4" t="s">
        <v>69</v>
      </c>
      <c r="C132" s="4" t="s">
        <v>2645</v>
      </c>
      <c r="F132" s="4" t="s">
        <v>10491</v>
      </c>
      <c r="G132" s="4">
        <v>24</v>
      </c>
      <c r="H132" s="4" t="s">
        <v>10492</v>
      </c>
      <c r="I132" s="4" t="str">
        <f>IFERROR(__XLUDF.DUMMYFUNCTION("PROPER(REGEXREPLACE(G130,""[^A-Za-z]+ "",""""))"),"Je Suisvélo")</f>
        <v xml:space="preserve">Je Suisvélo</v>
      </c>
      <c r="J132" s="5" t="s">
        <v>10493</v>
      </c>
      <c r="K132" s="4" t="s">
        <v>39</v>
      </c>
      <c r="L132" s="4" t="s">
        <v>9160</v>
      </c>
      <c r="M132" s="4" t="s">
        <v>29</v>
      </c>
      <c r="N132" s="4" t="s">
        <v>4525</v>
      </c>
      <c r="O132" s="4" t="str">
        <f>IFERROR(__XLUDF.DUMMYFUNCTION("VLOOKUP(M130,IMPORTRANGE(""https://docs.google.com/spreadsheets/d/1opm6ZNvGZ7KditA9TuJwrZ25eFLfTNIkrNnY6mhV5Eg"",""list!A1:C115""),3,TRUE)"),"le secteur du retail")</f>
        <v xml:space="preserve">le secteur du retail</v>
      </c>
      <c r="P132" s="4" t="s">
        <v>10494</v>
      </c>
      <c r="R132" s="4" t="s">
        <v>39</v>
      </c>
      <c r="S132" s="4" t="s">
        <v>9160</v>
      </c>
      <c r="T132" s="4" t="s">
        <v>29</v>
      </c>
      <c r="U132" s="5" t="s">
        <v>10495</v>
      </c>
      <c r="V132" s="6"/>
      <c r="W132" s="5" t="s">
        <v>10496</v>
      </c>
      <c r="X132" s="6"/>
      <c r="Y132" s="6"/>
      <c r="Z132" s="4" t="s">
        <v>10497</v>
      </c>
      <c r="AA132" s="6"/>
      <c r="AB132" s="5" t="s">
        <v>10498</v>
      </c>
    </row>
    <row r="133" ht="14.25">
      <c r="A133" s="4" t="s">
        <v>10500</v>
      </c>
      <c r="B133" s="4" t="s">
        <v>6243</v>
      </c>
      <c r="C133" s="4" t="s">
        <v>10502</v>
      </c>
      <c r="F133" s="4" t="s">
        <v>10501</v>
      </c>
      <c r="G133" s="4">
        <v>40</v>
      </c>
      <c r="H133" s="4" t="s">
        <v>10503</v>
      </c>
      <c r="I133" s="4" t="str">
        <f>IFERROR(__XLUDF.DUMMYFUNCTION("PROPER(REGEXREPLACE(G131,""[^A-Za-z]+ "",""""))"),"La Set")</f>
        <v xml:space="preserve">La Set</v>
      </c>
      <c r="J133" s="5" t="s">
        <v>10504</v>
      </c>
      <c r="K133" s="4" t="s">
        <v>39</v>
      </c>
      <c r="L133" s="4" t="s">
        <v>9160</v>
      </c>
      <c r="M133" s="4" t="s">
        <v>29</v>
      </c>
      <c r="N133" s="4" t="s">
        <v>9239</v>
      </c>
      <c r="O133" s="4" t="str">
        <f>IFERROR(__XLUDF.DUMMYFUNCTION("VLOOKUP(M131,IMPORTRANGE(""https://docs.google.com/spreadsheets/d/1opm6ZNvGZ7KditA9TuJwrZ25eFLfTNIkrNnY6mhV5Eg"",""list!A1:C115""),3,TRUE)"),"le secteur de la construction")</f>
        <v xml:space="preserve">le secteur de la construction</v>
      </c>
      <c r="P133" s="4" t="s">
        <v>10505</v>
      </c>
      <c r="R133" s="4" t="s">
        <v>3898</v>
      </c>
      <c r="S133" s="4" t="s">
        <v>9798</v>
      </c>
      <c r="T133" s="4" t="s">
        <v>29</v>
      </c>
      <c r="U133" s="5" t="s">
        <v>10506</v>
      </c>
      <c r="V133" s="6"/>
      <c r="W133" s="5" t="s">
        <v>9981</v>
      </c>
      <c r="X133" s="6"/>
      <c r="Y133" s="6"/>
      <c r="Z133" s="4" t="s">
        <v>10507</v>
      </c>
      <c r="AA133" s="6"/>
      <c r="AB133" s="5" t="s">
        <v>10508</v>
      </c>
    </row>
    <row r="134" ht="14.25">
      <c r="A134" s="4" t="s">
        <v>10510</v>
      </c>
      <c r="B134" s="4" t="s">
        <v>866</v>
      </c>
      <c r="C134" s="4" t="s">
        <v>172</v>
      </c>
      <c r="F134" s="4" t="s">
        <v>10511</v>
      </c>
      <c r="G134" s="4">
        <v>14</v>
      </c>
      <c r="H134" s="4" t="s">
        <v>10512</v>
      </c>
      <c r="I134" s="4" t="str">
        <f>IFERROR(__XLUDF.DUMMYFUNCTION("PROPER(REGEXREPLACE(G132,""[^A-Za-z]+ "",""""))"),"Homesec")</f>
        <v>Homesec</v>
      </c>
      <c r="J134" s="5" t="s">
        <v>10513</v>
      </c>
      <c r="K134" s="4" t="s">
        <v>10358</v>
      </c>
      <c r="L134" s="4" t="s">
        <v>9251</v>
      </c>
      <c r="M134" s="4" t="s">
        <v>29</v>
      </c>
      <c r="N134" s="4" t="s">
        <v>9239</v>
      </c>
      <c r="O134" s="4" t="str">
        <f>IFERROR(__XLUDF.DUMMYFUNCTION("VLOOKUP(M132,IMPORTRANGE(""https://docs.google.com/spreadsheets/d/1opm6ZNvGZ7KditA9TuJwrZ25eFLfTNIkrNnY6mhV5Eg"",""list!A1:C115""),3,TRUE)"),"le secteur de la construction")</f>
        <v xml:space="preserve">le secteur de la construction</v>
      </c>
      <c r="P134" s="4" t="s">
        <v>10514</v>
      </c>
      <c r="R134" s="4" t="s">
        <v>10515</v>
      </c>
      <c r="S134" s="4" t="s">
        <v>9251</v>
      </c>
      <c r="T134" s="4" t="s">
        <v>29</v>
      </c>
      <c r="U134" s="5" t="s">
        <v>10516</v>
      </c>
      <c r="V134" s="6"/>
      <c r="W134" s="5" t="s">
        <v>10517</v>
      </c>
      <c r="X134" s="6"/>
      <c r="Y134" s="6"/>
      <c r="Z134" s="4" t="s">
        <v>10518</v>
      </c>
      <c r="AA134" s="6"/>
      <c r="AB134" s="5" t="s">
        <v>10519</v>
      </c>
    </row>
    <row r="135" ht="14.25">
      <c r="A135" s="4" t="s">
        <v>10521</v>
      </c>
      <c r="B135" s="4" t="s">
        <v>5111</v>
      </c>
      <c r="C135" s="4" t="s">
        <v>10523</v>
      </c>
      <c r="F135" s="4" t="s">
        <v>10522</v>
      </c>
      <c r="G135" s="4">
        <v>21</v>
      </c>
      <c r="H135" s="4" t="s">
        <v>10524</v>
      </c>
      <c r="I135" s="4" t="str">
        <f>IFERROR(__XLUDF.DUMMYFUNCTION("PROPER(REGEXREPLACE(G133,""[^A-Za-z]+ "",""""))"),"Epistème")</f>
        <v>Epistème</v>
      </c>
      <c r="J135" s="5" t="s">
        <v>10525</v>
      </c>
      <c r="K135" s="4" t="s">
        <v>846</v>
      </c>
      <c r="L135" s="4" t="s">
        <v>9278</v>
      </c>
      <c r="M135" s="4" t="s">
        <v>29</v>
      </c>
      <c r="N135" s="4" t="s">
        <v>4067</v>
      </c>
      <c r="O135" s="4" t="str">
        <f>IFERROR(__XLUDF.DUMMYFUNCTION("VLOOKUP(M133,IMPORTRANGE(""https://docs.google.com/spreadsheets/d/1opm6ZNvGZ7KditA9TuJwrZ25eFLfTNIkrNnY6mhV5Eg"",""list!A1:C115""),3,TRUE)"),"le secteur du conseil en management")</f>
        <v xml:space="preserve">le secteur du conseil en management</v>
      </c>
      <c r="P135" s="4" t="s">
        <v>10526</v>
      </c>
      <c r="R135" s="4" t="s">
        <v>10527</v>
      </c>
      <c r="S135" s="4" t="s">
        <v>9281</v>
      </c>
      <c r="T135" s="4" t="s">
        <v>29</v>
      </c>
      <c r="U135" s="5" t="s">
        <v>10528</v>
      </c>
      <c r="V135" s="6"/>
      <c r="W135" s="6"/>
      <c r="X135" s="6"/>
      <c r="Y135" s="6"/>
      <c r="Z135" s="4" t="s">
        <v>10529</v>
      </c>
      <c r="AA135" s="6"/>
      <c r="AB135" s="5" t="s">
        <v>10530</v>
      </c>
    </row>
    <row r="136" ht="14.25">
      <c r="A136" s="4" t="s">
        <v>10532</v>
      </c>
      <c r="B136" s="4" t="s">
        <v>5111</v>
      </c>
      <c r="C136" s="4" t="s">
        <v>164</v>
      </c>
      <c r="F136" s="4" t="s">
        <v>10533</v>
      </c>
      <c r="G136" s="4">
        <v>35</v>
      </c>
      <c r="H136" s="4" t="s">
        <v>10534</v>
      </c>
      <c r="I136" s="4" t="str">
        <f>IFERROR(__XLUDF.DUMMYFUNCTION("PROPER(REGEXREPLACE(G134,""[^A-Za-z]+ "",""""))"),"Inaubi")</f>
        <v>Inaubi</v>
      </c>
      <c r="J136" s="5" t="s">
        <v>10535</v>
      </c>
      <c r="K136" s="4" t="s">
        <v>846</v>
      </c>
      <c r="L136" s="4" t="s">
        <v>9278</v>
      </c>
      <c r="M136" s="4" t="s">
        <v>29</v>
      </c>
      <c r="N136" s="4" t="s">
        <v>2602</v>
      </c>
      <c r="O136" s="4" t="str">
        <f>IFERROR(__XLUDF.DUMMYFUNCTION("VLOOKUP(M134,IMPORTRANGE(""https://docs.google.com/spreadsheets/d/1opm6ZNvGZ7KditA9TuJwrZ25eFLfTNIkrNnY6mhV5Eg"",""list!A1:C115""),3,TRUE)"),"le secteur de la tech")</f>
        <v xml:space="preserve">le secteur de la tech</v>
      </c>
      <c r="P136" s="4" t="s">
        <v>10536</v>
      </c>
      <c r="R136" s="4" t="s">
        <v>10537</v>
      </c>
      <c r="S136" s="4" t="s">
        <v>9281</v>
      </c>
      <c r="T136" s="4" t="s">
        <v>29</v>
      </c>
      <c r="U136" s="5" t="s">
        <v>10538</v>
      </c>
      <c r="V136" s="5" t="s">
        <v>10539</v>
      </c>
      <c r="W136" s="5" t="s">
        <v>10540</v>
      </c>
      <c r="X136" s="6"/>
      <c r="Y136" s="6"/>
      <c r="Z136" s="4" t="s">
        <v>10541</v>
      </c>
      <c r="AA136" s="6"/>
      <c r="AB136" s="5" t="s">
        <v>10542</v>
      </c>
    </row>
    <row r="137" ht="14.25">
      <c r="A137" s="4" t="s">
        <v>10544</v>
      </c>
      <c r="B137" s="4" t="s">
        <v>1454</v>
      </c>
      <c r="C137" s="4" t="s">
        <v>7185</v>
      </c>
      <c r="F137" s="4" t="s">
        <v>10545</v>
      </c>
      <c r="G137" s="4">
        <v>19</v>
      </c>
      <c r="H137" s="4" t="s">
        <v>10546</v>
      </c>
      <c r="I137" s="4" t="str">
        <f>IFERROR(__XLUDF.DUMMYFUNCTION("PROPER(REGEXREPLACE(G135,""[^A-Za-z]+ "",""""))"),"Backplan")</f>
        <v>Backplan</v>
      </c>
      <c r="J137" s="5" t="s">
        <v>10547</v>
      </c>
      <c r="K137" s="4" t="s">
        <v>243</v>
      </c>
      <c r="L137" s="4" t="s">
        <v>10390</v>
      </c>
      <c r="M137" s="4" t="s">
        <v>29</v>
      </c>
      <c r="N137" s="4" t="s">
        <v>4067</v>
      </c>
      <c r="O137" s="4" t="str">
        <f>IFERROR(__XLUDF.DUMMYFUNCTION("VLOOKUP(M135,IMPORTRANGE(""https://docs.google.com/spreadsheets/d/1opm6ZNvGZ7KditA9TuJwrZ25eFLfTNIkrNnY6mhV5Eg"",""list!A1:C115""),3,TRUE)"),"le secteur du conseil en management")</f>
        <v xml:space="preserve">le secteur du conseil en management</v>
      </c>
      <c r="P137" s="4" t="s">
        <v>10548</v>
      </c>
      <c r="R137" s="4" t="s">
        <v>6489</v>
      </c>
      <c r="S137" s="4" t="s">
        <v>9864</v>
      </c>
      <c r="T137" s="4" t="s">
        <v>29</v>
      </c>
      <c r="U137" s="5" t="s">
        <v>10549</v>
      </c>
      <c r="V137" s="6"/>
      <c r="W137" s="6"/>
      <c r="X137" s="6"/>
      <c r="Y137" s="6"/>
      <c r="Z137" s="4" t="s">
        <v>10550</v>
      </c>
      <c r="AA137" s="6"/>
      <c r="AB137" s="5" t="s">
        <v>10551</v>
      </c>
    </row>
    <row r="138" ht="14.25">
      <c r="A138" s="4" t="s">
        <v>10553</v>
      </c>
      <c r="B138" s="4" t="s">
        <v>2303</v>
      </c>
      <c r="C138" s="4" t="s">
        <v>10555</v>
      </c>
      <c r="F138" s="4" t="s">
        <v>10554</v>
      </c>
      <c r="G138" s="4">
        <v>35</v>
      </c>
      <c r="H138" s="4" t="s">
        <v>10556</v>
      </c>
      <c r="I138" s="4" t="str">
        <f>IFERROR(__XLUDF.DUMMYFUNCTION("PROPER(REGEXREPLACE(G136,""[^A-Za-z]+ "",""""))"),"Atlante")</f>
        <v>Atlante</v>
      </c>
      <c r="J138" s="5" t="s">
        <v>10557</v>
      </c>
      <c r="K138" s="4" t="s">
        <v>39</v>
      </c>
      <c r="L138" s="4" t="s">
        <v>9160</v>
      </c>
      <c r="M138" s="4" t="s">
        <v>29</v>
      </c>
      <c r="N138" s="4" t="s">
        <v>4067</v>
      </c>
      <c r="O138" s="4" t="str">
        <f>IFERROR(__XLUDF.DUMMYFUNCTION("VLOOKUP(M136,IMPORTRANGE(""https://docs.google.com/spreadsheets/d/1opm6ZNvGZ7KditA9TuJwrZ25eFLfTNIkrNnY6mhV5Eg"",""list!A1:C115""),3,TRUE)"),"le secteur du conseil en management")</f>
        <v xml:space="preserve">le secteur du conseil en management</v>
      </c>
      <c r="P138" s="4" t="s">
        <v>10558</v>
      </c>
      <c r="R138" s="4" t="s">
        <v>39</v>
      </c>
      <c r="S138" s="4" t="s">
        <v>9160</v>
      </c>
      <c r="T138" s="4" t="s">
        <v>29</v>
      </c>
      <c r="U138" s="5" t="s">
        <v>10559</v>
      </c>
      <c r="V138" s="5" t="s">
        <v>10560</v>
      </c>
      <c r="W138" s="6"/>
      <c r="X138" s="6"/>
      <c r="Y138" s="6"/>
      <c r="Z138" s="4" t="s">
        <v>10561</v>
      </c>
      <c r="AA138" s="6"/>
      <c r="AB138" s="5" t="s">
        <v>10562</v>
      </c>
    </row>
    <row r="139" ht="14.25">
      <c r="A139" s="4" t="s">
        <v>10564</v>
      </c>
      <c r="B139" s="4" t="s">
        <v>734</v>
      </c>
      <c r="C139" s="4" t="s">
        <v>10566</v>
      </c>
      <c r="F139" s="4" t="s">
        <v>10565</v>
      </c>
      <c r="G139" s="4">
        <v>44</v>
      </c>
      <c r="H139" s="4" t="s">
        <v>10567</v>
      </c>
      <c r="I139" s="4" t="str">
        <f>IFERROR(__XLUDF.DUMMYFUNCTION("PROPER(REGEXREPLACE(G137,""[^A-Za-z]+ "",""""))"),"Coreoz")</f>
        <v>Coreoz</v>
      </c>
      <c r="J139" s="5" t="s">
        <v>10568</v>
      </c>
      <c r="K139" s="4" t="s">
        <v>39</v>
      </c>
      <c r="L139" s="4" t="s">
        <v>9160</v>
      </c>
      <c r="M139" s="4" t="s">
        <v>29</v>
      </c>
      <c r="N139" s="4" t="s">
        <v>2602</v>
      </c>
      <c r="O139" s="4" t="str">
        <f>IFERROR(__XLUDF.DUMMYFUNCTION("VLOOKUP(M137,IMPORTRANGE(""https://docs.google.com/spreadsheets/d/1opm6ZNvGZ7KditA9TuJwrZ25eFLfTNIkrNnY6mhV5Eg"",""list!A1:C115""),3,TRUE)"),"le secteur de la tech")</f>
        <v xml:space="preserve">le secteur de la tech</v>
      </c>
      <c r="P139" s="4" t="s">
        <v>10569</v>
      </c>
      <c r="R139" s="4" t="s">
        <v>39</v>
      </c>
      <c r="S139" s="4" t="s">
        <v>9160</v>
      </c>
      <c r="T139" s="4" t="s">
        <v>29</v>
      </c>
      <c r="U139" s="5" t="s">
        <v>10570</v>
      </c>
      <c r="V139" s="6"/>
      <c r="W139" s="6"/>
      <c r="X139" s="6"/>
      <c r="Y139" s="6"/>
      <c r="Z139" s="4" t="s">
        <v>10571</v>
      </c>
      <c r="AA139" s="6"/>
      <c r="AB139" s="5" t="s">
        <v>10572</v>
      </c>
    </row>
    <row r="140" ht="14.25">
      <c r="A140" s="4" t="s">
        <v>10574</v>
      </c>
      <c r="B140" s="4" t="s">
        <v>4012</v>
      </c>
      <c r="C140" s="4" t="s">
        <v>10576</v>
      </c>
      <c r="F140" s="4" t="s">
        <v>10575</v>
      </c>
      <c r="G140" s="4">
        <v>30</v>
      </c>
      <c r="H140" s="4" t="s">
        <v>10577</v>
      </c>
      <c r="I140" s="4" t="str">
        <f>IFERROR(__XLUDF.DUMMYFUNCTION("PROPER(REGEXREPLACE(G138,""[^A-Za-z]+ "",""""))"),"Shoukâ")</f>
        <v>Shoukâ</v>
      </c>
      <c r="J140" s="5" t="s">
        <v>10578</v>
      </c>
      <c r="K140" s="4" t="s">
        <v>203</v>
      </c>
      <c r="L140" s="4" t="s">
        <v>9193</v>
      </c>
      <c r="M140" s="4" t="s">
        <v>29</v>
      </c>
      <c r="N140" s="4" t="s">
        <v>4525</v>
      </c>
      <c r="O140" s="4" t="str">
        <f>IFERROR(__XLUDF.DUMMYFUNCTION("VLOOKUP(M138,IMPORTRANGE(""https://docs.google.com/spreadsheets/d/1opm6ZNvGZ7KditA9TuJwrZ25eFLfTNIkrNnY6mhV5Eg"",""list!A1:C115""),3,TRUE)"),"le secteur du retail")</f>
        <v xml:space="preserve">le secteur du retail</v>
      </c>
      <c r="P140" s="4" t="s">
        <v>10579</v>
      </c>
      <c r="R140" s="4" t="s">
        <v>203</v>
      </c>
      <c r="S140" s="4" t="s">
        <v>9172</v>
      </c>
      <c r="T140" s="4" t="s">
        <v>29</v>
      </c>
      <c r="U140" s="5" t="s">
        <v>10580</v>
      </c>
      <c r="V140" s="6"/>
      <c r="W140" s="5" t="s">
        <v>10581</v>
      </c>
      <c r="X140" s="6"/>
      <c r="Y140" s="6"/>
      <c r="Z140" s="4" t="s">
        <v>10582</v>
      </c>
      <c r="AA140" s="6"/>
      <c r="AB140" s="5" t="s">
        <v>10583</v>
      </c>
    </row>
    <row r="141" ht="14.25">
      <c r="A141" s="4" t="s">
        <v>10585</v>
      </c>
      <c r="B141" s="4" t="s">
        <v>734</v>
      </c>
      <c r="C141" s="4" t="s">
        <v>9456</v>
      </c>
      <c r="F141" s="4" t="s">
        <v>10586</v>
      </c>
      <c r="G141" s="4">
        <v>17</v>
      </c>
      <c r="H141" s="4" t="s">
        <v>10587</v>
      </c>
      <c r="I141" s="4" t="str">
        <f>IFERROR(__XLUDF.DUMMYFUNCTION("PROPER(REGEXREPLACE(G139,""[^A-Za-z]+ "",""""))"),"Energitec")</f>
        <v>Energitec</v>
      </c>
      <c r="J141" s="5" t="s">
        <v>10588</v>
      </c>
      <c r="K141" s="4" t="s">
        <v>10589</v>
      </c>
      <c r="L141" s="4" t="s">
        <v>9251</v>
      </c>
      <c r="M141" s="4" t="s">
        <v>29</v>
      </c>
      <c r="N141" s="4" t="s">
        <v>9239</v>
      </c>
      <c r="O141" s="4" t="str">
        <f>IFERROR(__XLUDF.DUMMYFUNCTION("VLOOKUP(M139,IMPORTRANGE(""https://docs.google.com/spreadsheets/d/1opm6ZNvGZ7KditA9TuJwrZ25eFLfTNIkrNnY6mhV5Eg"",""list!A1:C115""),3,TRUE)"),"le secteur de la construction")</f>
        <v xml:space="preserve">le secteur de la construction</v>
      </c>
      <c r="P141" s="6"/>
      <c r="R141" s="4" t="s">
        <v>2499</v>
      </c>
      <c r="S141" s="4" t="s">
        <v>9251</v>
      </c>
      <c r="T141" s="4" t="s">
        <v>29</v>
      </c>
      <c r="U141" s="5" t="s">
        <v>10590</v>
      </c>
      <c r="V141" s="6"/>
      <c r="W141" s="6"/>
      <c r="X141" s="6"/>
      <c r="Y141" s="6"/>
      <c r="Z141" s="4" t="s">
        <v>10591</v>
      </c>
      <c r="AA141" s="6"/>
      <c r="AB141" s="5" t="s">
        <v>10592</v>
      </c>
    </row>
    <row r="142" ht="14.25">
      <c r="A142" s="4" t="s">
        <v>5579</v>
      </c>
      <c r="B142" s="4" t="s">
        <v>734</v>
      </c>
      <c r="C142" s="4" t="s">
        <v>10595</v>
      </c>
      <c r="F142" s="4" t="s">
        <v>10594</v>
      </c>
      <c r="G142" s="4">
        <v>25</v>
      </c>
      <c r="H142" s="4" t="s">
        <v>718</v>
      </c>
      <c r="I142" s="4" t="str">
        <f>IFERROR(__XLUDF.DUMMYFUNCTION("PROPER(REGEXREPLACE(G140,""[^A-Za-z]+ "",""""))"),"Line")</f>
        <v>Line</v>
      </c>
      <c r="J142" s="5" t="s">
        <v>10596</v>
      </c>
      <c r="K142" s="4" t="s">
        <v>10597</v>
      </c>
      <c r="L142" s="4" t="s">
        <v>9193</v>
      </c>
      <c r="M142" s="4" t="s">
        <v>29</v>
      </c>
      <c r="N142" s="4" t="s">
        <v>4067</v>
      </c>
      <c r="O142" s="4" t="str">
        <f>IFERROR(__XLUDF.DUMMYFUNCTION("VLOOKUP(M140,IMPORTRANGE(""https://docs.google.com/spreadsheets/d/1opm6ZNvGZ7KditA9TuJwrZ25eFLfTNIkrNnY6mhV5Eg"",""list!A1:C115""),3,TRUE)"),"le secteur du conseil en management")</f>
        <v xml:space="preserve">le secteur du conseil en management</v>
      </c>
      <c r="P142" s="4" t="s">
        <v>10598</v>
      </c>
      <c r="R142" s="6"/>
      <c r="S142" s="6"/>
      <c r="T142" s="6"/>
      <c r="U142" s="5" t="s">
        <v>10599</v>
      </c>
      <c r="V142" s="6"/>
      <c r="W142" s="6"/>
      <c r="X142" s="6"/>
      <c r="Y142" s="6"/>
      <c r="Z142" s="4" t="s">
        <v>10600</v>
      </c>
      <c r="AA142" s="6"/>
      <c r="AB142" s="5" t="s">
        <v>10601</v>
      </c>
    </row>
    <row r="143" ht="14.25">
      <c r="A143" s="4" t="s">
        <v>10603</v>
      </c>
      <c r="B143" s="4" t="s">
        <v>734</v>
      </c>
      <c r="C143" s="4" t="s">
        <v>10605</v>
      </c>
      <c r="F143" s="4" t="s">
        <v>10604</v>
      </c>
      <c r="G143" s="4">
        <v>21</v>
      </c>
      <c r="H143" s="4" t="s">
        <v>10606</v>
      </c>
      <c r="I143" s="4" t="str">
        <f>IFERROR(__XLUDF.DUMMYFUNCTION("PROPER(REGEXREPLACE(G141,""[^A-Za-z]+ "",""""))"),"Acses")</f>
        <v>Acses</v>
      </c>
      <c r="J143" s="5" t="s">
        <v>10607</v>
      </c>
      <c r="K143" s="6"/>
      <c r="L143" s="6"/>
      <c r="M143" s="4" t="s">
        <v>29</v>
      </c>
      <c r="N143" s="4" t="s">
        <v>2602</v>
      </c>
      <c r="O143" s="4" t="str">
        <f>IFERROR(__XLUDF.DUMMYFUNCTION("VLOOKUP(M141,IMPORTRANGE(""https://docs.google.com/spreadsheets/d/1opm6ZNvGZ7KditA9TuJwrZ25eFLfTNIkrNnY6mhV5Eg"",""list!A1:C115""),3,TRUE)"),"le secteur de la tech")</f>
        <v xml:space="preserve">le secteur de la tech</v>
      </c>
      <c r="P143" s="6"/>
      <c r="R143" s="4" t="s">
        <v>39</v>
      </c>
      <c r="S143" s="4" t="s">
        <v>9160</v>
      </c>
      <c r="T143" s="4" t="s">
        <v>29</v>
      </c>
      <c r="U143" s="5" t="s">
        <v>10608</v>
      </c>
      <c r="V143" s="6"/>
      <c r="W143" s="5" t="s">
        <v>10609</v>
      </c>
      <c r="X143" s="6"/>
      <c r="Y143" s="6"/>
      <c r="Z143" s="4" t="s">
        <v>10610</v>
      </c>
      <c r="AA143" s="6"/>
      <c r="AB143" s="5" t="s">
        <v>10611</v>
      </c>
    </row>
    <row r="144" ht="14.25">
      <c r="A144" s="4" t="s">
        <v>10613</v>
      </c>
      <c r="B144" s="4" t="s">
        <v>734</v>
      </c>
      <c r="C144" s="4" t="s">
        <v>10615</v>
      </c>
      <c r="F144" s="4" t="s">
        <v>10614</v>
      </c>
      <c r="G144" s="4">
        <v>23</v>
      </c>
      <c r="H144" s="4" t="s">
        <v>10616</v>
      </c>
      <c r="I144" s="4" t="str">
        <f>IFERROR(__XLUDF.DUMMYFUNCTION("PROPER(REGEXREPLACE(G142,""[^A-Za-z]+ "",""""))"),"Gemstar Brands")</f>
        <v xml:space="preserve">Gemstar Brands</v>
      </c>
      <c r="J144" s="5" t="s">
        <v>10617</v>
      </c>
      <c r="K144" s="4" t="s">
        <v>585</v>
      </c>
      <c r="L144" s="4" t="s">
        <v>9160</v>
      </c>
      <c r="M144" s="4" t="s">
        <v>29</v>
      </c>
      <c r="N144" s="4" t="s">
        <v>4525</v>
      </c>
      <c r="O144" s="4" t="str">
        <f>IFERROR(__XLUDF.DUMMYFUNCTION("VLOOKUP(M142,IMPORTRANGE(""https://docs.google.com/spreadsheets/d/1opm6ZNvGZ7KditA9TuJwrZ25eFLfTNIkrNnY6mhV5Eg"",""list!A1:C115""),3,TRUE)"),"le secteur du retail")</f>
        <v xml:space="preserve">le secteur du retail</v>
      </c>
      <c r="P144" s="4" t="s">
        <v>10618</v>
      </c>
      <c r="R144" s="4" t="s">
        <v>10619</v>
      </c>
      <c r="S144" s="4" t="s">
        <v>9160</v>
      </c>
      <c r="T144" s="4" t="s">
        <v>29</v>
      </c>
      <c r="U144" s="5" t="s">
        <v>10620</v>
      </c>
      <c r="V144" s="6"/>
      <c r="W144" s="6"/>
      <c r="X144" s="6"/>
      <c r="Y144" s="6"/>
      <c r="Z144" s="4" t="s">
        <v>10621</v>
      </c>
      <c r="AA144" s="6"/>
      <c r="AB144" s="5" t="s">
        <v>10622</v>
      </c>
    </row>
    <row r="145" ht="14.25">
      <c r="A145" s="4" t="s">
        <v>10624</v>
      </c>
      <c r="B145" s="4" t="s">
        <v>734</v>
      </c>
      <c r="C145" s="4" t="s">
        <v>7185</v>
      </c>
      <c r="F145" s="4" t="s">
        <v>10625</v>
      </c>
      <c r="G145" s="4">
        <v>14</v>
      </c>
      <c r="H145" s="4" t="s">
        <v>10626</v>
      </c>
      <c r="I145" s="4" t="str">
        <f>IFERROR(__XLUDF.DUMMYFUNCTION("PROPER(REGEXREPLACE(G143,""[^A-Za-z]+ "",""""))"),"Gestuel’Santé")</f>
        <v>Gestuel’Santé</v>
      </c>
      <c r="J145" s="5" t="s">
        <v>10627</v>
      </c>
      <c r="K145" s="4" t="s">
        <v>10628</v>
      </c>
      <c r="L145" s="4" t="s">
        <v>9864</v>
      </c>
      <c r="M145" s="4" t="s">
        <v>29</v>
      </c>
      <c r="N145" s="4" t="s">
        <v>4067</v>
      </c>
      <c r="O145" s="4" t="str">
        <f>IFERROR(__XLUDF.DUMMYFUNCTION("VLOOKUP(M143,IMPORTRANGE(""https://docs.google.com/spreadsheets/d/1opm6ZNvGZ7KditA9TuJwrZ25eFLfTNIkrNnY6mhV5Eg"",""list!A1:C115""),3,TRUE)"),"le secteur du conseil en management")</f>
        <v xml:space="preserve">le secteur du conseil en management</v>
      </c>
      <c r="P145" s="4" t="s">
        <v>10629</v>
      </c>
      <c r="R145" s="4" t="s">
        <v>10628</v>
      </c>
      <c r="S145" s="4" t="s">
        <v>10630</v>
      </c>
      <c r="T145" s="4" t="s">
        <v>29</v>
      </c>
      <c r="U145" s="5" t="s">
        <v>10631</v>
      </c>
      <c r="V145" s="6"/>
      <c r="W145" s="5" t="s">
        <v>10632</v>
      </c>
      <c r="X145" s="6"/>
      <c r="Y145" s="6"/>
      <c r="Z145" s="4" t="s">
        <v>10633</v>
      </c>
      <c r="AA145" s="6"/>
      <c r="AB145" s="5" t="s">
        <v>10634</v>
      </c>
    </row>
    <row r="146" ht="14.25">
      <c r="A146" s="4" t="s">
        <v>1619</v>
      </c>
      <c r="B146" s="4" t="s">
        <v>2303</v>
      </c>
      <c r="C146" s="4" t="s">
        <v>4586</v>
      </c>
      <c r="F146" s="4" t="s">
        <v>10636</v>
      </c>
      <c r="G146" s="4">
        <v>33</v>
      </c>
      <c r="H146" s="4" t="s">
        <v>10637</v>
      </c>
      <c r="I146" s="4" t="str">
        <f>IFERROR(__XLUDF.DUMMYFUNCTION("PROPER(REGEXREPLACE(G144,""[^A-Za-z]+ "",""""))"),"Agence We&amp;")</f>
        <v xml:space="preserve">Agence We&amp;</v>
      </c>
      <c r="J146" s="5" t="s">
        <v>10638</v>
      </c>
      <c r="K146" s="4" t="s">
        <v>846</v>
      </c>
      <c r="L146" s="4" t="s">
        <v>9278</v>
      </c>
      <c r="M146" s="4" t="s">
        <v>29</v>
      </c>
      <c r="N146" s="4" t="s">
        <v>10639</v>
      </c>
      <c r="O146" s="4" t="str">
        <f>IFERROR(__XLUDF.DUMMYFUNCTION("VLOOKUP(M144,IMPORTRANGE(""https://docs.google.com/spreadsheets/d/1opm6ZNvGZ7KditA9TuJwrZ25eFLfTNIkrNnY6mhV5Eg"",""list!A1:C115""),3,TRUE)"),"le secteur de la communication")</f>
        <v xml:space="preserve">le secteur de la communication</v>
      </c>
      <c r="P146" s="4" t="s">
        <v>10640</v>
      </c>
      <c r="R146" s="4" t="s">
        <v>243</v>
      </c>
      <c r="S146" s="4" t="s">
        <v>9864</v>
      </c>
      <c r="T146" s="4" t="s">
        <v>29</v>
      </c>
      <c r="U146" s="5" t="s">
        <v>10641</v>
      </c>
      <c r="V146" s="6"/>
      <c r="W146" s="5" t="s">
        <v>9981</v>
      </c>
      <c r="X146" s="6"/>
      <c r="Y146" s="6"/>
      <c r="Z146" s="4" t="s">
        <v>10642</v>
      </c>
      <c r="AA146" s="6"/>
      <c r="AB146" s="5" t="s">
        <v>10643</v>
      </c>
    </row>
    <row r="147" ht="14.25">
      <c r="A147" s="4" t="s">
        <v>10645</v>
      </c>
      <c r="B147" s="4" t="s">
        <v>2303</v>
      </c>
      <c r="C147" s="4" t="s">
        <v>2645</v>
      </c>
      <c r="F147" s="4" t="s">
        <v>10646</v>
      </c>
      <c r="G147" s="4">
        <v>11</v>
      </c>
      <c r="H147" s="4" t="s">
        <v>10647</v>
      </c>
      <c r="I147" s="4" t="str">
        <f>IFERROR(__XLUDF.DUMMYFUNCTION("PROPER(REGEXREPLACE(G145,""[^A-Za-z]+ "",""""))"),"Nostalgift")</f>
        <v>Nostalgift</v>
      </c>
      <c r="J147" s="5" t="s">
        <v>10648</v>
      </c>
      <c r="K147" s="6"/>
      <c r="L147" s="4" t="s">
        <v>9160</v>
      </c>
      <c r="M147" s="4" t="s">
        <v>29</v>
      </c>
      <c r="N147" s="4" t="s">
        <v>4525</v>
      </c>
      <c r="O147" s="4" t="str">
        <f>IFERROR(__XLUDF.DUMMYFUNCTION("VLOOKUP(M145,IMPORTRANGE(""https://docs.google.com/spreadsheets/d/1opm6ZNvGZ7KditA9TuJwrZ25eFLfTNIkrNnY6mhV5Eg"",""list!A1:C115""),3,TRUE)"),"le secteur du retail")</f>
        <v xml:space="preserve">le secteur du retail</v>
      </c>
      <c r="P147" s="6"/>
      <c r="R147" s="4" t="s">
        <v>10649</v>
      </c>
      <c r="S147" s="4" t="s">
        <v>9160</v>
      </c>
      <c r="T147" s="4" t="s">
        <v>29</v>
      </c>
      <c r="U147" s="5" t="s">
        <v>10650</v>
      </c>
      <c r="V147" s="5" t="s">
        <v>10651</v>
      </c>
      <c r="W147" s="5" t="s">
        <v>10652</v>
      </c>
      <c r="X147" s="6"/>
      <c r="Y147" s="6"/>
      <c r="Z147" s="4" t="s">
        <v>10653</v>
      </c>
      <c r="AA147" s="6"/>
      <c r="AB147" s="5" t="s">
        <v>10654</v>
      </c>
    </row>
    <row r="148" ht="14.25">
      <c r="A148" s="4" t="s">
        <v>10656</v>
      </c>
      <c r="B148" s="4" t="s">
        <v>3673</v>
      </c>
      <c r="C148" s="4" t="s">
        <v>10658</v>
      </c>
      <c r="F148" s="4" t="s">
        <v>10657</v>
      </c>
      <c r="G148" s="4">
        <v>49</v>
      </c>
      <c r="H148" s="4" t="s">
        <v>10659</v>
      </c>
      <c r="I148" s="4" t="str">
        <f>IFERROR(__XLUDF.DUMMYFUNCTION("PROPER(REGEXREPLACE(G146,""[^A-Za-z]+ "",""""))"),"Vakom Le Sens De L'Humain")</f>
        <v xml:space="preserve">Vakom Le Sens De L'Humain</v>
      </c>
      <c r="J148" s="5" t="s">
        <v>10660</v>
      </c>
      <c r="K148" s="4" t="s">
        <v>10661</v>
      </c>
      <c r="L148" s="4" t="s">
        <v>9460</v>
      </c>
      <c r="M148" s="4" t="s">
        <v>29</v>
      </c>
      <c r="N148" s="4" t="s">
        <v>4067</v>
      </c>
      <c r="O148" s="4" t="str">
        <f>IFERROR(__XLUDF.DUMMYFUNCTION("VLOOKUP(M146,IMPORTRANGE(""https://docs.google.com/spreadsheets/d/1opm6ZNvGZ7KditA9TuJwrZ25eFLfTNIkrNnY6mhV5Eg"",""list!A1:C115""),3,TRUE)"),"le secteur du conseil en management")</f>
        <v xml:space="preserve">le secteur du conseil en management</v>
      </c>
      <c r="P148" s="4" t="s">
        <v>10662</v>
      </c>
      <c r="R148" s="4" t="s">
        <v>492</v>
      </c>
      <c r="S148" s="4" t="s">
        <v>9267</v>
      </c>
      <c r="T148" s="4" t="s">
        <v>29</v>
      </c>
      <c r="U148" s="5" t="s">
        <v>10663</v>
      </c>
      <c r="V148" s="6"/>
      <c r="W148" s="5" t="s">
        <v>10664</v>
      </c>
      <c r="X148" s="6"/>
      <c r="Y148" s="6"/>
      <c r="Z148" s="4" t="s">
        <v>10665</v>
      </c>
      <c r="AA148" s="6"/>
      <c r="AB148" s="5" t="s">
        <v>10666</v>
      </c>
    </row>
    <row r="149" ht="14.25">
      <c r="A149" s="4" t="s">
        <v>10668</v>
      </c>
      <c r="B149" s="4" t="s">
        <v>222</v>
      </c>
      <c r="C149" s="4" t="s">
        <v>7759</v>
      </c>
      <c r="F149" s="4" t="s">
        <v>10669</v>
      </c>
      <c r="G149" s="4">
        <v>11</v>
      </c>
      <c r="H149" s="4" t="s">
        <v>10670</v>
      </c>
      <c r="I149" s="4" t="str">
        <f>IFERROR(__XLUDF.DUMMYFUNCTION("PROPER(REGEXREPLACE(G147,""[^A-Za-z]+ "",""""))"),"Daucalis")</f>
        <v>Daucalis</v>
      </c>
      <c r="J149" s="5" t="s">
        <v>10671</v>
      </c>
      <c r="K149" s="4" t="s">
        <v>1711</v>
      </c>
      <c r="L149" s="4" t="s">
        <v>9350</v>
      </c>
      <c r="M149" s="4" t="s">
        <v>29</v>
      </c>
      <c r="N149" s="4" t="s">
        <v>9239</v>
      </c>
      <c r="O149" s="4" t="str">
        <f>IFERROR(__XLUDF.DUMMYFUNCTION("VLOOKUP(M147,IMPORTRANGE(""https://docs.google.com/spreadsheets/d/1opm6ZNvGZ7KditA9TuJwrZ25eFLfTNIkrNnY6mhV5Eg"",""list!A1:C115""),3,TRUE)"),"le secteur de la construction")</f>
        <v xml:space="preserve">le secteur de la construction</v>
      </c>
      <c r="P149" s="6"/>
      <c r="R149" s="4" t="s">
        <v>10672</v>
      </c>
      <c r="S149" s="4" t="s">
        <v>9350</v>
      </c>
      <c r="T149" s="4" t="s">
        <v>29</v>
      </c>
      <c r="U149" s="5" t="s">
        <v>10673</v>
      </c>
      <c r="V149" s="6"/>
      <c r="W149" s="5" t="s">
        <v>9981</v>
      </c>
      <c r="X149" s="6"/>
      <c r="Y149" s="6"/>
      <c r="Z149" s="4" t="s">
        <v>10674</v>
      </c>
      <c r="AA149" s="6"/>
      <c r="AB149" s="5" t="s">
        <v>10675</v>
      </c>
    </row>
    <row r="150" ht="14.25">
      <c r="A150" s="4" t="s">
        <v>10677</v>
      </c>
      <c r="B150" s="4" t="s">
        <v>222</v>
      </c>
      <c r="C150" s="4" t="s">
        <v>112</v>
      </c>
      <c r="F150" s="4" t="s">
        <v>10678</v>
      </c>
      <c r="G150" s="4">
        <v>13</v>
      </c>
      <c r="H150" s="4" t="s">
        <v>10679</v>
      </c>
      <c r="I150" s="4" t="str">
        <f>IFERROR(__XLUDF.DUMMYFUNCTION("PROPER(REGEXREPLACE(G148,""[^A-Za-z]+ "",""""))"),"Correlium")</f>
        <v>Correlium</v>
      </c>
      <c r="J150" s="5" t="s">
        <v>10680</v>
      </c>
      <c r="K150" s="4" t="s">
        <v>39</v>
      </c>
      <c r="L150" s="4" t="s">
        <v>9160</v>
      </c>
      <c r="M150" s="4" t="s">
        <v>29</v>
      </c>
      <c r="N150" s="4" t="s">
        <v>4067</v>
      </c>
      <c r="O150" s="4" t="str">
        <f>IFERROR(__XLUDF.DUMMYFUNCTION("VLOOKUP(M148,IMPORTRANGE(""https://docs.google.com/spreadsheets/d/1opm6ZNvGZ7KditA9TuJwrZ25eFLfTNIkrNnY6mhV5Eg"",""list!A1:C115""),3,TRUE)"),"le secteur du conseil en management")</f>
        <v xml:space="preserve">le secteur du conseil en management</v>
      </c>
      <c r="P150" s="4" t="s">
        <v>10681</v>
      </c>
      <c r="R150" s="4" t="s">
        <v>39</v>
      </c>
      <c r="S150" s="4" t="s">
        <v>9160</v>
      </c>
      <c r="T150" s="4" t="s">
        <v>29</v>
      </c>
      <c r="U150" s="5" t="s">
        <v>10682</v>
      </c>
      <c r="V150" s="6"/>
      <c r="W150" s="6"/>
      <c r="X150" s="6"/>
      <c r="Y150" s="6"/>
      <c r="Z150" s="4" t="s">
        <v>10683</v>
      </c>
      <c r="AA150" s="6"/>
      <c r="AB150" s="5" t="s">
        <v>10684</v>
      </c>
    </row>
    <row r="151" ht="14.25">
      <c r="A151" s="4" t="s">
        <v>10686</v>
      </c>
      <c r="B151" s="4" t="s">
        <v>4012</v>
      </c>
      <c r="C151" s="4" t="s">
        <v>112</v>
      </c>
      <c r="F151" s="4" t="s">
        <v>10687</v>
      </c>
      <c r="G151" s="4">
        <v>12</v>
      </c>
      <c r="H151" s="4" t="s">
        <v>10688</v>
      </c>
      <c r="I151" s="4" t="str">
        <f>IFERROR(__XLUDF.DUMMYFUNCTION("PROPER(REGEXREPLACE(G149,""[^A-Za-z]+ "",""""))"),"Safebear")</f>
        <v>Safebear</v>
      </c>
      <c r="J151" s="5" t="s">
        <v>10689</v>
      </c>
      <c r="K151" s="4" t="s">
        <v>39</v>
      </c>
      <c r="L151" s="4" t="s">
        <v>9160</v>
      </c>
      <c r="M151" s="4" t="s">
        <v>29</v>
      </c>
      <c r="N151" s="4" t="s">
        <v>2602</v>
      </c>
      <c r="O151" s="4" t="str">
        <f>IFERROR(__XLUDF.DUMMYFUNCTION("VLOOKUP(M149,IMPORTRANGE(""https://docs.google.com/spreadsheets/d/1opm6ZNvGZ7KditA9TuJwrZ25eFLfTNIkrNnY6mhV5Eg"",""list!A1:C115""),3,TRUE)"),"le secteur de la tech")</f>
        <v xml:space="preserve">le secteur de la tech</v>
      </c>
      <c r="P151" s="6"/>
      <c r="R151" s="4" t="s">
        <v>39</v>
      </c>
      <c r="S151" s="4" t="s">
        <v>9160</v>
      </c>
      <c r="T151" s="4" t="s">
        <v>29</v>
      </c>
      <c r="U151" s="5" t="s">
        <v>10690</v>
      </c>
      <c r="V151" s="6"/>
      <c r="W151" s="6"/>
      <c r="X151" s="6"/>
      <c r="Y151" s="6"/>
      <c r="Z151" s="4" t="s">
        <v>10691</v>
      </c>
      <c r="AA151" s="6"/>
      <c r="AB151" s="5" t="s">
        <v>10692</v>
      </c>
    </row>
    <row r="152" ht="14.25">
      <c r="A152" s="4" t="s">
        <v>10695</v>
      </c>
      <c r="B152" s="4" t="s">
        <v>10694</v>
      </c>
      <c r="C152" s="4" t="s">
        <v>44</v>
      </c>
      <c r="F152" s="4" t="s">
        <v>10696</v>
      </c>
      <c r="G152" s="4">
        <v>11</v>
      </c>
      <c r="H152" s="4" t="s">
        <v>10697</v>
      </c>
      <c r="I152" s="4" t="str">
        <f>IFERROR(__XLUDF.DUMMYFUNCTION("PROPER(REGEXREPLACE(G150,""[^A-Za-z]+ "",""""))"),"The Seed Crew")</f>
        <v xml:space="preserve">The Seed Crew</v>
      </c>
      <c r="J152" s="5" t="s">
        <v>10698</v>
      </c>
      <c r="K152" s="4" t="s">
        <v>10699</v>
      </c>
      <c r="L152" s="4" t="s">
        <v>9460</v>
      </c>
      <c r="M152" s="4" t="s">
        <v>29</v>
      </c>
      <c r="N152" s="4" t="s">
        <v>4067</v>
      </c>
      <c r="O152" s="4" t="str">
        <f>IFERROR(__XLUDF.DUMMYFUNCTION("VLOOKUP(M150,IMPORTRANGE(""https://docs.google.com/spreadsheets/d/1opm6ZNvGZ7KditA9TuJwrZ25eFLfTNIkrNnY6mhV5Eg"",""list!A1:C115""),3,TRUE)"),"le secteur du conseil en management")</f>
        <v xml:space="preserve">le secteur du conseil en management</v>
      </c>
      <c r="P152" s="4" t="s">
        <v>10700</v>
      </c>
      <c r="R152" s="4" t="s">
        <v>83</v>
      </c>
      <c r="S152" s="4" t="s">
        <v>9463</v>
      </c>
      <c r="T152" s="4" t="s">
        <v>29</v>
      </c>
      <c r="U152" s="5" t="s">
        <v>10701</v>
      </c>
      <c r="V152" s="6"/>
      <c r="W152" s="6"/>
      <c r="X152" s="6"/>
      <c r="Y152" s="6"/>
      <c r="Z152" s="4" t="s">
        <v>10702</v>
      </c>
      <c r="AA152" s="6"/>
      <c r="AB152" s="5" t="s">
        <v>10703</v>
      </c>
    </row>
    <row r="153" ht="14.25">
      <c r="A153" s="4" t="s">
        <v>10706</v>
      </c>
      <c r="B153" s="4" t="s">
        <v>10705</v>
      </c>
      <c r="C153" s="4" t="s">
        <v>112</v>
      </c>
      <c r="F153" s="4" t="s">
        <v>10707</v>
      </c>
      <c r="G153" s="4">
        <v>10</v>
      </c>
      <c r="H153" s="4" t="s">
        <v>10708</v>
      </c>
      <c r="I153" s="4" t="str">
        <f>IFERROR(__XLUDF.DUMMYFUNCTION("PROPER(REGEXREPLACE(G151,""[^A-Za-z]+ "",""""))"),"Alsad")</f>
        <v>Alsad</v>
      </c>
      <c r="J153" s="5" t="s">
        <v>10709</v>
      </c>
      <c r="K153" s="6"/>
      <c r="L153" s="6"/>
      <c r="M153" s="4" t="s">
        <v>29</v>
      </c>
      <c r="N153" s="4" t="s">
        <v>9239</v>
      </c>
      <c r="O153" s="4" t="str">
        <f>IFERROR(__XLUDF.DUMMYFUNCTION("VLOOKUP(M151,IMPORTRANGE(""https://docs.google.com/spreadsheets/d/1opm6ZNvGZ7KditA9TuJwrZ25eFLfTNIkrNnY6mhV5Eg"",""list!A1:C115""),3,TRUE)"),"le secteur de la construction")</f>
        <v xml:space="preserve">le secteur de la construction</v>
      </c>
      <c r="P153" s="6"/>
      <c r="R153" s="4" t="s">
        <v>39</v>
      </c>
      <c r="S153" s="4" t="s">
        <v>9160</v>
      </c>
      <c r="T153" s="4" t="s">
        <v>29</v>
      </c>
      <c r="U153" s="5" t="s">
        <v>10710</v>
      </c>
      <c r="V153" s="6"/>
      <c r="W153" s="6"/>
      <c r="X153" s="6"/>
      <c r="Y153" s="6"/>
      <c r="Z153" s="6"/>
      <c r="AA153" s="6"/>
      <c r="AB153" s="5" t="s">
        <v>10711</v>
      </c>
    </row>
    <row r="154" ht="14.25">
      <c r="A154" s="4" t="s">
        <v>10713</v>
      </c>
      <c r="B154" s="4" t="s">
        <v>1667</v>
      </c>
      <c r="C154" s="4" t="s">
        <v>7759</v>
      </c>
      <c r="F154" s="4" t="s">
        <v>10714</v>
      </c>
      <c r="G154" s="4">
        <v>10</v>
      </c>
      <c r="H154" s="4" t="s">
        <v>10715</v>
      </c>
      <c r="I154" s="4" t="str">
        <f>IFERROR(__XLUDF.DUMMYFUNCTION("PROPER(REGEXREPLACE(G152,""[^A-Za-z]+ "",""""))"),"Perform Industrie")</f>
        <v xml:space="preserve">Perform Industrie</v>
      </c>
      <c r="J154" s="5" t="s">
        <v>10716</v>
      </c>
      <c r="K154" s="4" t="s">
        <v>10717</v>
      </c>
      <c r="L154" s="4" t="s">
        <v>9864</v>
      </c>
      <c r="M154" s="4" t="s">
        <v>29</v>
      </c>
      <c r="N154" s="4" t="s">
        <v>4525</v>
      </c>
      <c r="O154" s="4" t="str">
        <f>IFERROR(__XLUDF.DUMMYFUNCTION("VLOOKUP(M152,IMPORTRANGE(""https://docs.google.com/spreadsheets/d/1opm6ZNvGZ7KditA9TuJwrZ25eFLfTNIkrNnY6mhV5Eg"",""list!A1:C115""),3,TRUE)"),"le secteur du retail")</f>
        <v xml:space="preserve">le secteur du retail</v>
      </c>
      <c r="P154" s="4" t="s">
        <v>10718</v>
      </c>
      <c r="R154" s="4" t="s">
        <v>10717</v>
      </c>
      <c r="S154" s="4" t="s">
        <v>10098</v>
      </c>
      <c r="T154" s="4" t="s">
        <v>29</v>
      </c>
      <c r="U154" s="5" t="s">
        <v>10719</v>
      </c>
      <c r="V154" s="6"/>
      <c r="W154" s="5" t="s">
        <v>10720</v>
      </c>
      <c r="X154" s="6"/>
      <c r="Y154" s="6"/>
      <c r="Z154" s="4" t="s">
        <v>10721</v>
      </c>
      <c r="AA154" s="6"/>
      <c r="AB154" s="5" t="s">
        <v>10722</v>
      </c>
    </row>
    <row r="155" ht="14.25">
      <c r="A155" s="4" t="s">
        <v>10724</v>
      </c>
      <c r="B155" s="4" t="s">
        <v>1667</v>
      </c>
      <c r="C155" s="4" t="s">
        <v>172</v>
      </c>
      <c r="F155" s="4" t="s">
        <v>10725</v>
      </c>
      <c r="G155" s="4">
        <v>24</v>
      </c>
      <c r="H155" s="4" t="s">
        <v>10726</v>
      </c>
      <c r="I155" s="4" t="str">
        <f>IFERROR(__XLUDF.DUMMYFUNCTION("PROPER(REGEXREPLACE(G153,""[^A-Za-z]+ "",""""))"),"Harribey Constructions")</f>
        <v xml:space="preserve">Harribey Constructions</v>
      </c>
      <c r="J155" s="5" t="s">
        <v>10727</v>
      </c>
      <c r="K155" s="6"/>
      <c r="L155" s="4" t="s">
        <v>9864</v>
      </c>
      <c r="M155" s="4" t="s">
        <v>29</v>
      </c>
      <c r="N155" s="4" t="s">
        <v>9239</v>
      </c>
      <c r="O155" s="4" t="str">
        <f>IFERROR(__XLUDF.DUMMYFUNCTION("VLOOKUP(M153,IMPORTRANGE(""https://docs.google.com/spreadsheets/d/1opm6ZNvGZ7KditA9TuJwrZ25eFLfTNIkrNnY6mhV5Eg"",""list!A1:C115""),3,TRUE)"),"le secteur de la construction")</f>
        <v xml:space="preserve">le secteur de la construction</v>
      </c>
      <c r="P155" s="6"/>
      <c r="R155" s="4" t="s">
        <v>1723</v>
      </c>
      <c r="S155" s="4" t="s">
        <v>9864</v>
      </c>
      <c r="T155" s="4" t="s">
        <v>29</v>
      </c>
      <c r="U155" s="5" t="s">
        <v>10728</v>
      </c>
      <c r="V155" s="6"/>
      <c r="W155" s="6"/>
      <c r="X155" s="6"/>
      <c r="Y155" s="6"/>
      <c r="Z155" s="4" t="s">
        <v>10729</v>
      </c>
      <c r="AA155" s="6"/>
      <c r="AB155" s="5" t="s">
        <v>10730</v>
      </c>
    </row>
    <row r="156" ht="14.25">
      <c r="A156" s="4" t="s">
        <v>10732</v>
      </c>
      <c r="B156" s="4" t="s">
        <v>4012</v>
      </c>
      <c r="C156" s="4" t="s">
        <v>7759</v>
      </c>
      <c r="F156" s="4" t="s">
        <v>10733</v>
      </c>
      <c r="G156" s="4">
        <v>13</v>
      </c>
      <c r="H156" s="4" t="s">
        <v>10734</v>
      </c>
      <c r="I156" s="4" t="str">
        <f>IFERROR(__XLUDF.DUMMYFUNCTION("PROPER(REGEXREPLACE(G154,""[^A-Za-z]+ "",""""))"),"C2Tmi")</f>
        <v>C2Tmi</v>
      </c>
      <c r="J156" s="5" t="s">
        <v>10735</v>
      </c>
      <c r="K156" s="4" t="s">
        <v>3898</v>
      </c>
      <c r="L156" s="4" t="s">
        <v>10736</v>
      </c>
      <c r="M156" s="4" t="s">
        <v>29</v>
      </c>
      <c r="N156" s="4" t="s">
        <v>9239</v>
      </c>
      <c r="O156" s="4" t="str">
        <f>IFERROR(__XLUDF.DUMMYFUNCTION("VLOOKUP(M154,IMPORTRANGE(""https://docs.google.com/spreadsheets/d/1opm6ZNvGZ7KditA9TuJwrZ25eFLfTNIkrNnY6mhV5Eg"",""list!A1:C115""),3,TRUE)"),"le secteur de la construction")</f>
        <v xml:space="preserve">le secteur de la construction</v>
      </c>
      <c r="P156" s="4" t="s">
        <v>10737</v>
      </c>
      <c r="R156" s="4" t="s">
        <v>10738</v>
      </c>
      <c r="S156" s="4" t="s">
        <v>9798</v>
      </c>
      <c r="T156" s="4" t="s">
        <v>29</v>
      </c>
      <c r="U156" s="5" t="s">
        <v>10739</v>
      </c>
      <c r="V156" s="6"/>
      <c r="W156" s="6"/>
      <c r="X156" s="6"/>
      <c r="Y156" s="6"/>
      <c r="Z156" s="4" t="s">
        <v>10740</v>
      </c>
      <c r="AA156" s="6"/>
      <c r="AB156" s="5" t="s">
        <v>10741</v>
      </c>
    </row>
    <row r="157" ht="14.25">
      <c r="A157" s="4" t="s">
        <v>10743</v>
      </c>
      <c r="B157" s="4" t="s">
        <v>222</v>
      </c>
      <c r="C157" s="4" t="s">
        <v>10745</v>
      </c>
      <c r="F157" s="4" t="s">
        <v>10744</v>
      </c>
      <c r="G157" s="4">
        <v>13</v>
      </c>
      <c r="H157" s="4" t="s">
        <v>10746</v>
      </c>
      <c r="I157" s="4" t="str">
        <f>IFERROR(__XLUDF.DUMMYFUNCTION("PROPER(REGEXREPLACE(G155,""[^A-Za-z]+ "",""""))"),"Isis")</f>
        <v>Isis</v>
      </c>
      <c r="J157" s="5" t="s">
        <v>10747</v>
      </c>
      <c r="K157" s="4" t="s">
        <v>39</v>
      </c>
      <c r="L157" s="4" t="s">
        <v>9160</v>
      </c>
      <c r="M157" s="4" t="s">
        <v>29</v>
      </c>
      <c r="N157" s="4" t="s">
        <v>2602</v>
      </c>
      <c r="O157" s="4" t="str">
        <f>IFERROR(__XLUDF.DUMMYFUNCTION("VLOOKUP(M155,IMPORTRANGE(""https://docs.google.com/spreadsheets/d/1opm6ZNvGZ7KditA9TuJwrZ25eFLfTNIkrNnY6mhV5Eg"",""list!A1:C115""),3,TRUE)"),"le secteur de la tech")</f>
        <v xml:space="preserve">le secteur de la tech</v>
      </c>
      <c r="P157" s="4" t="s">
        <v>10748</v>
      </c>
      <c r="R157" s="4" t="s">
        <v>10749</v>
      </c>
      <c r="S157" s="4" t="s">
        <v>9460</v>
      </c>
      <c r="T157" s="4" t="s">
        <v>29</v>
      </c>
      <c r="U157" s="5" t="s">
        <v>10750</v>
      </c>
      <c r="V157" s="6"/>
      <c r="W157" s="6"/>
      <c r="X157" s="6"/>
      <c r="Y157" s="6"/>
      <c r="Z157" s="4" t="s">
        <v>10751</v>
      </c>
      <c r="AA157" s="6"/>
      <c r="AB157" s="5" t="s">
        <v>10752</v>
      </c>
    </row>
    <row r="158" ht="14.25">
      <c r="A158" s="4" t="s">
        <v>10754</v>
      </c>
      <c r="B158" s="4" t="s">
        <v>222</v>
      </c>
      <c r="C158" s="4" t="s">
        <v>10756</v>
      </c>
      <c r="F158" s="4" t="s">
        <v>10755</v>
      </c>
      <c r="G158" s="4">
        <v>17</v>
      </c>
      <c r="H158" s="4" t="s">
        <v>10757</v>
      </c>
      <c r="I158" s="4" t="str">
        <f>IFERROR(__XLUDF.DUMMYFUNCTION("PROPER(REGEXREPLACE(G156,""[^A-Za-z]+ "",""""))"),"Phenisys")</f>
        <v>Phenisys</v>
      </c>
      <c r="J158" s="5" t="s">
        <v>10758</v>
      </c>
      <c r="K158" s="4" t="s">
        <v>185</v>
      </c>
      <c r="L158" s="4" t="s">
        <v>9193</v>
      </c>
      <c r="M158" s="4" t="s">
        <v>29</v>
      </c>
      <c r="N158" s="4" t="s">
        <v>2602</v>
      </c>
      <c r="O158" s="4" t="str">
        <f>IFERROR(__XLUDF.DUMMYFUNCTION("VLOOKUP(M156,IMPORTRANGE(""https://docs.google.com/spreadsheets/d/1opm6ZNvGZ7KditA9TuJwrZ25eFLfTNIkrNnY6mhV5Eg"",""list!A1:C115""),3,TRUE)"),"le secteur de la tech")</f>
        <v xml:space="preserve">le secteur de la tech</v>
      </c>
      <c r="P158" s="4" t="s">
        <v>10759</v>
      </c>
      <c r="R158" s="4" t="s">
        <v>185</v>
      </c>
      <c r="S158" s="4" t="s">
        <v>9193</v>
      </c>
      <c r="T158" s="4" t="s">
        <v>29</v>
      </c>
      <c r="U158" s="5" t="s">
        <v>10760</v>
      </c>
      <c r="V158" s="6"/>
      <c r="W158" s="6"/>
      <c r="X158" s="6"/>
      <c r="Y158" s="6"/>
      <c r="Z158" s="4" t="s">
        <v>10761</v>
      </c>
      <c r="AA158" s="6"/>
      <c r="AB158" s="5" t="s">
        <v>10762</v>
      </c>
    </row>
    <row r="159" ht="14.25">
      <c r="A159" s="4" t="s">
        <v>10764</v>
      </c>
      <c r="B159" s="4" t="s">
        <v>222</v>
      </c>
      <c r="C159" s="4" t="s">
        <v>7716</v>
      </c>
      <c r="F159" s="4" t="s">
        <v>10765</v>
      </c>
      <c r="G159" s="4">
        <v>22</v>
      </c>
      <c r="H159" s="4" t="s">
        <v>10766</v>
      </c>
      <c r="I159" s="4" t="str">
        <f>IFERROR(__XLUDF.DUMMYFUNCTION("PROPER(REGEXREPLACE(G157,""[^A-Za-z]+ "",""""))"),"Alfa-Safety")</f>
        <v>Alfa-Safety</v>
      </c>
      <c r="J159" s="5" t="s">
        <v>10767</v>
      </c>
      <c r="K159" s="4" t="s">
        <v>39</v>
      </c>
      <c r="L159" s="4" t="s">
        <v>9160</v>
      </c>
      <c r="M159" s="4" t="s">
        <v>29</v>
      </c>
      <c r="N159" s="4" t="s">
        <v>2602</v>
      </c>
      <c r="O159" s="4" t="str">
        <f>IFERROR(__XLUDF.DUMMYFUNCTION("VLOOKUP(M157,IMPORTRANGE(""https://docs.google.com/spreadsheets/d/1opm6ZNvGZ7KditA9TuJwrZ25eFLfTNIkrNnY6mhV5Eg"",""list!A1:C115""),3,TRUE)"),"le secteur de la tech")</f>
        <v xml:space="preserve">le secteur de la tech</v>
      </c>
      <c r="P159" s="4" t="s">
        <v>10768</v>
      </c>
      <c r="R159" s="4" t="s">
        <v>1711</v>
      </c>
      <c r="S159" s="4" t="s">
        <v>9350</v>
      </c>
      <c r="T159" s="4" t="s">
        <v>29</v>
      </c>
      <c r="U159" s="5" t="s">
        <v>10769</v>
      </c>
      <c r="V159" s="6"/>
      <c r="W159" s="6"/>
      <c r="X159" s="6"/>
      <c r="Y159" s="6"/>
      <c r="Z159" s="4" t="s">
        <v>10770</v>
      </c>
      <c r="AA159" s="6"/>
      <c r="AB159" s="5" t="s">
        <v>10771</v>
      </c>
    </row>
    <row r="160" ht="14.25">
      <c r="A160" s="4" t="s">
        <v>10773</v>
      </c>
      <c r="B160" s="4" t="s">
        <v>3516</v>
      </c>
      <c r="C160" s="4" t="s">
        <v>10775</v>
      </c>
      <c r="F160" s="4" t="s">
        <v>10774</v>
      </c>
      <c r="G160" s="4">
        <v>10</v>
      </c>
      <c r="H160" s="4" t="s">
        <v>10776</v>
      </c>
      <c r="I160" s="4" t="str">
        <f>IFERROR(__XLUDF.DUMMYFUNCTION("PROPER(REGEXREPLACE(G158,""[^A-Za-z]+ "",""""))"),"Olacommunication")</f>
        <v>Olacommunication</v>
      </c>
      <c r="J160" s="5" t="s">
        <v>10777</v>
      </c>
      <c r="K160" s="4" t="s">
        <v>39</v>
      </c>
      <c r="L160" s="4" t="s">
        <v>9160</v>
      </c>
      <c r="M160" s="4" t="s">
        <v>29</v>
      </c>
      <c r="N160" s="4" t="s">
        <v>2602</v>
      </c>
      <c r="O160" s="4" t="str">
        <f>IFERROR(__XLUDF.DUMMYFUNCTION("VLOOKUP(M158,IMPORTRANGE(""https://docs.google.com/spreadsheets/d/1opm6ZNvGZ7KditA9TuJwrZ25eFLfTNIkrNnY6mhV5Eg"",""list!A1:C115""),3,TRUE)"),"le secteur de la tech")</f>
        <v xml:space="preserve">le secteur de la tech</v>
      </c>
      <c r="P160" s="4" t="s">
        <v>10778</v>
      </c>
      <c r="R160" s="4" t="s">
        <v>39</v>
      </c>
      <c r="S160" s="4" t="s">
        <v>9160</v>
      </c>
      <c r="T160" s="4" t="s">
        <v>29</v>
      </c>
      <c r="U160" s="5" t="s">
        <v>10779</v>
      </c>
      <c r="V160" s="6"/>
      <c r="W160" s="6"/>
      <c r="X160" s="6"/>
      <c r="Y160" s="6"/>
      <c r="Z160" s="4" t="s">
        <v>10780</v>
      </c>
      <c r="AA160" s="6"/>
      <c r="AB160" s="5" t="s">
        <v>10781</v>
      </c>
    </row>
    <row r="161" ht="14.25">
      <c r="A161" s="4" t="s">
        <v>10783</v>
      </c>
      <c r="B161" s="4" t="s">
        <v>1725</v>
      </c>
      <c r="C161" s="4" t="s">
        <v>7185</v>
      </c>
      <c r="F161" s="4" t="s">
        <v>10784</v>
      </c>
      <c r="G161" s="4">
        <v>14</v>
      </c>
      <c r="H161" s="4" t="s">
        <v>10785</v>
      </c>
      <c r="I161" s="4" t="str">
        <f>IFERROR(__XLUDF.DUMMYFUNCTION("PROPER(REGEXREPLACE(G159,""[^A-Za-z]+ "",""""))"),"Inter'Face")</f>
        <v>Inter'Face</v>
      </c>
      <c r="J161" s="5" t="s">
        <v>10786</v>
      </c>
      <c r="K161" s="4" t="s">
        <v>423</v>
      </c>
      <c r="L161" s="4" t="s">
        <v>9193</v>
      </c>
      <c r="M161" s="4" t="s">
        <v>29</v>
      </c>
      <c r="N161" s="4" t="s">
        <v>4067</v>
      </c>
      <c r="O161" s="4" t="str">
        <f>IFERROR(__XLUDF.DUMMYFUNCTION("VLOOKUP(M159,IMPORTRANGE(""https://docs.google.com/spreadsheets/d/1opm6ZNvGZ7KditA9TuJwrZ25eFLfTNIkrNnY6mhV5Eg"",""list!A1:C115""),3,TRUE)"),"le secteur du conseil en management")</f>
        <v xml:space="preserve">le secteur du conseil en management</v>
      </c>
      <c r="P161" s="6"/>
      <c r="R161" s="4" t="s">
        <v>10787</v>
      </c>
      <c r="S161" s="4" t="s">
        <v>9193</v>
      </c>
      <c r="T161" s="4" t="s">
        <v>29</v>
      </c>
      <c r="U161" s="5" t="s">
        <v>10788</v>
      </c>
      <c r="V161" s="6"/>
      <c r="W161" s="6"/>
      <c r="X161" s="6"/>
      <c r="Y161" s="6"/>
      <c r="Z161" s="4" t="s">
        <v>10789</v>
      </c>
      <c r="AA161" s="6"/>
      <c r="AB161" s="5" t="s">
        <v>10790</v>
      </c>
    </row>
    <row r="162" ht="14.25">
      <c r="A162" s="4" t="s">
        <v>10792</v>
      </c>
      <c r="B162" s="4" t="s">
        <v>245</v>
      </c>
      <c r="C162" s="4" t="s">
        <v>10794</v>
      </c>
      <c r="F162" s="4" t="s">
        <v>10793</v>
      </c>
      <c r="G162" s="4">
        <v>18</v>
      </c>
      <c r="H162" s="4" t="s">
        <v>10795</v>
      </c>
      <c r="I162" s="4" t="str">
        <f>IFERROR(__XLUDF.DUMMYFUNCTION("PROPER(REGEXREPLACE(G160,""[^A-Za-z]+ "",""""))"),"Lyde Conseil")</f>
        <v xml:space="preserve">Lyde Conseil</v>
      </c>
      <c r="J162" s="5" t="s">
        <v>10796</v>
      </c>
      <c r="K162" s="4" t="s">
        <v>39</v>
      </c>
      <c r="L162" s="4" t="s">
        <v>9160</v>
      </c>
      <c r="M162" s="4" t="s">
        <v>29</v>
      </c>
      <c r="N162" s="4" t="s">
        <v>4067</v>
      </c>
      <c r="O162" s="4" t="str">
        <f>IFERROR(__XLUDF.DUMMYFUNCTION("VLOOKUP(M160,IMPORTRANGE(""https://docs.google.com/spreadsheets/d/1opm6ZNvGZ7KditA9TuJwrZ25eFLfTNIkrNnY6mhV5Eg"",""list!A1:C115""),3,TRUE)"),"le secteur du conseil en management")</f>
        <v xml:space="preserve">le secteur du conseil en management</v>
      </c>
      <c r="P162" s="4" t="s">
        <v>10797</v>
      </c>
      <c r="R162" s="4" t="s">
        <v>10798</v>
      </c>
      <c r="S162" s="4" t="s">
        <v>9160</v>
      </c>
      <c r="T162" s="4" t="s">
        <v>29</v>
      </c>
      <c r="U162" s="5" t="s">
        <v>10799</v>
      </c>
      <c r="V162" s="6"/>
      <c r="W162" s="6"/>
      <c r="X162" s="6"/>
      <c r="Y162" s="6"/>
      <c r="Z162" s="4" t="s">
        <v>10800</v>
      </c>
      <c r="AA162" s="6"/>
      <c r="AB162" s="5" t="s">
        <v>10801</v>
      </c>
    </row>
    <row r="163" ht="14.25">
      <c r="A163" s="4" t="s">
        <v>10803</v>
      </c>
      <c r="B163" s="4" t="s">
        <v>245</v>
      </c>
      <c r="C163" s="4" t="s">
        <v>7759</v>
      </c>
      <c r="F163" s="4" t="s">
        <v>10804</v>
      </c>
      <c r="G163" s="4">
        <v>14</v>
      </c>
      <c r="H163" s="4" t="s">
        <v>10805</v>
      </c>
      <c r="I163" s="4" t="str">
        <f>IFERROR(__XLUDF.DUMMYFUNCTION("PROPER(REGEXREPLACE(G161,""[^A-Za-z]+ "",""""))"),"Sofida")</f>
        <v>Sofida</v>
      </c>
      <c r="J163" s="5" t="s">
        <v>10806</v>
      </c>
      <c r="K163" s="4" t="s">
        <v>10807</v>
      </c>
      <c r="L163" s="4" t="s">
        <v>9281</v>
      </c>
      <c r="M163" s="4" t="s">
        <v>29</v>
      </c>
      <c r="N163" s="4" t="s">
        <v>9239</v>
      </c>
      <c r="O163" s="4" t="str">
        <f>IFERROR(__XLUDF.DUMMYFUNCTION("VLOOKUP(M161,IMPORTRANGE(""https://docs.google.com/spreadsheets/d/1opm6ZNvGZ7KditA9TuJwrZ25eFLfTNIkrNnY6mhV5Eg"",""list!A1:C115""),3,TRUE)"),"le secteur de la construction")</f>
        <v xml:space="preserve">le secteur de la construction</v>
      </c>
      <c r="P163" s="4" t="s">
        <v>10808</v>
      </c>
      <c r="R163" s="4" t="s">
        <v>10809</v>
      </c>
      <c r="S163" s="4" t="s">
        <v>9281</v>
      </c>
      <c r="T163" s="4" t="s">
        <v>29</v>
      </c>
      <c r="U163" s="5" t="s">
        <v>10810</v>
      </c>
      <c r="V163" s="6"/>
      <c r="W163" s="6"/>
      <c r="X163" s="6"/>
      <c r="Y163" s="6"/>
      <c r="Z163" s="4" t="s">
        <v>10811</v>
      </c>
      <c r="AA163" s="6"/>
      <c r="AB163" s="5" t="s">
        <v>10812</v>
      </c>
    </row>
    <row r="164" ht="14.25">
      <c r="A164" s="4" t="s">
        <v>10814</v>
      </c>
      <c r="B164" s="4" t="s">
        <v>2483</v>
      </c>
      <c r="C164" s="4" t="s">
        <v>10816</v>
      </c>
      <c r="F164" s="4" t="s">
        <v>10815</v>
      </c>
      <c r="G164" s="4">
        <v>10</v>
      </c>
      <c r="H164" s="4" t="s">
        <v>10817</v>
      </c>
      <c r="I164" s="4" t="str">
        <f>IFERROR(__XLUDF.DUMMYFUNCTION("PROPER(REGEXREPLACE(G162,""[^A-Za-z]+ "",""""))"),"Iasagora")</f>
        <v>Iasagora</v>
      </c>
      <c r="J164" s="5" t="s">
        <v>10818</v>
      </c>
      <c r="K164" s="4" t="s">
        <v>39</v>
      </c>
      <c r="L164" s="4" t="s">
        <v>9160</v>
      </c>
      <c r="M164" s="4" t="s">
        <v>29</v>
      </c>
      <c r="N164" s="4" t="s">
        <v>4067</v>
      </c>
      <c r="O164" s="4" t="str">
        <f>IFERROR(__XLUDF.DUMMYFUNCTION("VLOOKUP(M162,IMPORTRANGE(""https://docs.google.com/spreadsheets/d/1opm6ZNvGZ7KditA9TuJwrZ25eFLfTNIkrNnY6mhV5Eg"",""list!A1:C115""),3,TRUE)"),"le secteur du conseil en management")</f>
        <v xml:space="preserve">le secteur du conseil en management</v>
      </c>
      <c r="P164" s="4" t="s">
        <v>10819</v>
      </c>
      <c r="R164" s="4" t="s">
        <v>39</v>
      </c>
      <c r="S164" s="4" t="s">
        <v>9160</v>
      </c>
      <c r="T164" s="4" t="s">
        <v>29</v>
      </c>
      <c r="U164" s="5" t="s">
        <v>10820</v>
      </c>
      <c r="V164" s="6"/>
      <c r="W164" s="6"/>
      <c r="X164" s="6"/>
      <c r="Y164" s="6"/>
      <c r="Z164" s="4" t="s">
        <v>10821</v>
      </c>
      <c r="AA164" s="6"/>
      <c r="AB164" s="5" t="s">
        <v>10822</v>
      </c>
    </row>
    <row r="165" ht="14.25">
      <c r="A165" s="4" t="s">
        <v>10824</v>
      </c>
      <c r="B165" s="4" t="s">
        <v>2483</v>
      </c>
      <c r="C165" s="4" t="s">
        <v>2636</v>
      </c>
      <c r="F165" s="4" t="s">
        <v>10825</v>
      </c>
      <c r="G165" s="4">
        <v>14</v>
      </c>
      <c r="H165" s="4" t="s">
        <v>10826</v>
      </c>
      <c r="I165" s="4" t="str">
        <f>IFERROR(__XLUDF.DUMMYFUNCTION("PROPER(REGEXREPLACE(G163,""[^A-Za-z]+ "",""""))"),"Mazette !")</f>
        <v xml:space="preserve">Mazette !</v>
      </c>
      <c r="J165" s="4" t="s">
        <v>10827</v>
      </c>
      <c r="K165" s="4" t="s">
        <v>1745</v>
      </c>
      <c r="L165" s="4" t="s">
        <v>9460</v>
      </c>
      <c r="M165" s="4" t="s">
        <v>29</v>
      </c>
      <c r="N165" s="4" t="s">
        <v>4067</v>
      </c>
      <c r="O165" s="4" t="str">
        <f>IFERROR(__XLUDF.DUMMYFUNCTION("VLOOKUP(M163,IMPORTRANGE(""https://docs.google.com/spreadsheets/d/1opm6ZNvGZ7KditA9TuJwrZ25eFLfTNIkrNnY6mhV5Eg"",""list!A1:C115""),3,TRUE)"),"le secteur du conseil en management")</f>
        <v xml:space="preserve">le secteur du conseil en management</v>
      </c>
      <c r="P165" s="4" t="s">
        <v>10828</v>
      </c>
      <c r="R165" s="4" t="s">
        <v>1745</v>
      </c>
      <c r="S165" s="4" t="s">
        <v>10829</v>
      </c>
      <c r="T165" s="4" t="s">
        <v>29</v>
      </c>
      <c r="U165" s="5" t="s">
        <v>10830</v>
      </c>
      <c r="V165" s="6"/>
      <c r="W165" s="6"/>
      <c r="X165" s="6"/>
      <c r="Y165" s="6"/>
      <c r="Z165" s="4" t="s">
        <v>10831</v>
      </c>
      <c r="AA165" s="6"/>
      <c r="AB165" s="5" t="s">
        <v>10832</v>
      </c>
    </row>
    <row r="166" ht="14.25">
      <c r="A166" s="4" t="s">
        <v>10834</v>
      </c>
      <c r="B166" s="4" t="s">
        <v>222</v>
      </c>
      <c r="C166" s="4" t="s">
        <v>7759</v>
      </c>
      <c r="F166" s="4" t="s">
        <v>10835</v>
      </c>
      <c r="G166" s="4">
        <v>34</v>
      </c>
      <c r="H166" s="4" t="s">
        <v>10836</v>
      </c>
      <c r="I166" s="4" t="str">
        <f>IFERROR(__XLUDF.DUMMYFUNCTION("PROPER(REGEXREPLACE(G164,""[^A-Za-z]+ "",""""))"),"Tec2E")</f>
        <v>Tec2E</v>
      </c>
      <c r="J166" s="5" t="s">
        <v>10837</v>
      </c>
      <c r="K166" s="4" t="s">
        <v>9330</v>
      </c>
      <c r="L166" s="4" t="s">
        <v>9193</v>
      </c>
      <c r="M166" s="4" t="s">
        <v>29</v>
      </c>
      <c r="N166" s="4" t="s">
        <v>9239</v>
      </c>
      <c r="O166" s="4" t="str">
        <f>IFERROR(__XLUDF.DUMMYFUNCTION("VLOOKUP(M164,IMPORTRANGE(""https://docs.google.com/spreadsheets/d/1opm6ZNvGZ7KditA9TuJwrZ25eFLfTNIkrNnY6mhV5Eg"",""list!A1:C115""),3,TRUE)"),"le secteur de la construction")</f>
        <v xml:space="preserve">le secteur de la construction</v>
      </c>
      <c r="P166" s="4" t="s">
        <v>10838</v>
      </c>
      <c r="R166" s="4" t="s">
        <v>9330</v>
      </c>
      <c r="S166" s="4" t="s">
        <v>9193</v>
      </c>
      <c r="T166" s="4" t="s">
        <v>29</v>
      </c>
      <c r="U166" s="5" t="s">
        <v>10839</v>
      </c>
      <c r="V166" s="6"/>
      <c r="W166" s="6"/>
      <c r="X166" s="6"/>
      <c r="Y166" s="6"/>
      <c r="Z166" s="4" t="s">
        <v>10840</v>
      </c>
      <c r="AA166" s="6"/>
      <c r="AB166" s="5" t="s">
        <v>10841</v>
      </c>
    </row>
    <row r="167" ht="14.25">
      <c r="A167" s="4" t="s">
        <v>10844</v>
      </c>
      <c r="B167" s="4" t="s">
        <v>10843</v>
      </c>
      <c r="C167" s="4" t="s">
        <v>9582</v>
      </c>
      <c r="F167" s="4" t="s">
        <v>10845</v>
      </c>
      <c r="G167" s="4">
        <v>11</v>
      </c>
      <c r="H167" s="4" t="s">
        <v>10846</v>
      </c>
      <c r="I167" s="4" t="str">
        <f>IFERROR(__XLUDF.DUMMYFUNCTION("PROPER(REGEXREPLACE(G165,""[^A-Za-z]+ "",""""))"),"Altheo")</f>
        <v>Altheo</v>
      </c>
      <c r="J167" s="5" t="s">
        <v>10847</v>
      </c>
      <c r="K167" s="4" t="s">
        <v>39</v>
      </c>
      <c r="L167" s="4" t="s">
        <v>9160</v>
      </c>
      <c r="M167" s="4" t="s">
        <v>29</v>
      </c>
      <c r="N167" s="4" t="s">
        <v>4067</v>
      </c>
      <c r="O167" s="4" t="str">
        <f>IFERROR(__XLUDF.DUMMYFUNCTION("VLOOKUP(M165,IMPORTRANGE(""https://docs.google.com/spreadsheets/d/1opm6ZNvGZ7KditA9TuJwrZ25eFLfTNIkrNnY6mhV5Eg"",""list!A1:C115""),3,TRUE)"),"le secteur du conseil en management")</f>
        <v xml:space="preserve">le secteur du conseil en management</v>
      </c>
      <c r="P167" s="4" t="s">
        <v>10848</v>
      </c>
      <c r="R167" s="4" t="s">
        <v>39</v>
      </c>
      <c r="S167" s="4" t="s">
        <v>9160</v>
      </c>
      <c r="T167" s="4" t="s">
        <v>29</v>
      </c>
      <c r="U167" s="5" t="s">
        <v>10849</v>
      </c>
      <c r="V167" s="5" t="s">
        <v>10850</v>
      </c>
      <c r="W167" s="5" t="s">
        <v>10851</v>
      </c>
      <c r="X167" s="6"/>
      <c r="Y167" s="6"/>
      <c r="Z167" s="4" t="s">
        <v>10852</v>
      </c>
      <c r="AA167" s="6"/>
      <c r="AB167" s="5" t="s">
        <v>10853</v>
      </c>
    </row>
    <row r="168" ht="14.25">
      <c r="A168" s="4" t="s">
        <v>10855</v>
      </c>
      <c r="B168" s="4" t="s">
        <v>222</v>
      </c>
      <c r="C168" s="4" t="s">
        <v>172</v>
      </c>
      <c r="F168" s="4" t="s">
        <v>10856</v>
      </c>
      <c r="G168" s="4">
        <v>10</v>
      </c>
      <c r="H168" s="4" t="s">
        <v>10857</v>
      </c>
      <c r="I168" s="4" t="str">
        <f>IFERROR(__XLUDF.DUMMYFUNCTION("PROPER(REGEXREPLACE(G166,""[^A-Za-z]+ "",""""))"),"Idkom")</f>
        <v>Idkom</v>
      </c>
      <c r="J168" s="5" t="s">
        <v>10858</v>
      </c>
      <c r="K168" s="6"/>
      <c r="L168" s="6"/>
      <c r="M168" s="4" t="s">
        <v>29</v>
      </c>
      <c r="N168" s="4" t="s">
        <v>10639</v>
      </c>
      <c r="O168" s="4" t="str">
        <f>IFERROR(__XLUDF.DUMMYFUNCTION("VLOOKUP(M166,IMPORTRANGE(""https://docs.google.com/spreadsheets/d/1opm6ZNvGZ7KditA9TuJwrZ25eFLfTNIkrNnY6mhV5Eg"",""list!A1:C115""),3,TRUE)"),"le secteur de la communication")</f>
        <v xml:space="preserve">le secteur de la communication</v>
      </c>
      <c r="P168" s="6"/>
      <c r="R168" s="4" t="s">
        <v>10859</v>
      </c>
      <c r="S168" s="4" t="s">
        <v>9473</v>
      </c>
      <c r="T168" s="4" t="s">
        <v>29</v>
      </c>
      <c r="U168" s="5" t="s">
        <v>10860</v>
      </c>
      <c r="V168" s="6"/>
      <c r="W168" s="5" t="s">
        <v>10861</v>
      </c>
      <c r="X168" s="6"/>
      <c r="Y168" s="6"/>
      <c r="Z168" s="6"/>
      <c r="AA168" s="6"/>
      <c r="AB168" s="5" t="s">
        <v>10862</v>
      </c>
    </row>
    <row r="169" ht="14.25">
      <c r="A169" s="4" t="s">
        <v>10865</v>
      </c>
      <c r="B169" s="4" t="s">
        <v>10864</v>
      </c>
      <c r="C169" s="4" t="s">
        <v>2636</v>
      </c>
      <c r="F169" s="4" t="s">
        <v>10866</v>
      </c>
      <c r="G169" s="4">
        <v>36</v>
      </c>
      <c r="H169" s="4" t="s">
        <v>10867</v>
      </c>
      <c r="I169" s="4" t="str">
        <f>IFERROR(__XLUDF.DUMMYFUNCTION("PROPER(REGEXREPLACE(G167,""[^A-Za-z]+ "",""""))"),"La Coop Conseil")</f>
        <v xml:space="preserve">La Coop Conseil</v>
      </c>
      <c r="J169" s="5" t="s">
        <v>10868</v>
      </c>
      <c r="K169" s="4" t="s">
        <v>39</v>
      </c>
      <c r="L169" s="4" t="s">
        <v>9160</v>
      </c>
      <c r="M169" s="4" t="s">
        <v>29</v>
      </c>
      <c r="N169" s="4" t="s">
        <v>4067</v>
      </c>
      <c r="O169" s="4" t="str">
        <f>IFERROR(__XLUDF.DUMMYFUNCTION("VLOOKUP(M167,IMPORTRANGE(""https://docs.google.com/spreadsheets/d/1opm6ZNvGZ7KditA9TuJwrZ25eFLfTNIkrNnY6mhV5Eg"",""list!A1:C115""),3,TRUE)"),"le secteur du conseil en management")</f>
        <v xml:space="preserve">le secteur du conseil en management</v>
      </c>
      <c r="P169" s="4" t="s">
        <v>10869</v>
      </c>
      <c r="R169" s="4" t="s">
        <v>39</v>
      </c>
      <c r="S169" s="4" t="s">
        <v>9160</v>
      </c>
      <c r="T169" s="4" t="s">
        <v>29</v>
      </c>
      <c r="U169" s="5" t="s">
        <v>10870</v>
      </c>
      <c r="V169" s="6"/>
      <c r="W169" s="6"/>
      <c r="X169" s="6"/>
      <c r="Y169" s="6"/>
      <c r="Z169" s="4" t="s">
        <v>10871</v>
      </c>
      <c r="AA169" s="6"/>
      <c r="AB169" s="5" t="s">
        <v>10872</v>
      </c>
    </row>
    <row r="170" ht="14.25">
      <c r="A170" s="4" t="s">
        <v>10874</v>
      </c>
      <c r="B170" s="4" t="s">
        <v>10864</v>
      </c>
      <c r="C170" s="4" t="s">
        <v>10876</v>
      </c>
      <c r="F170" s="4" t="s">
        <v>10875</v>
      </c>
      <c r="G170" s="4">
        <v>11</v>
      </c>
      <c r="H170" s="4" t="s">
        <v>10877</v>
      </c>
      <c r="I170" s="4" t="str">
        <f>IFERROR(__XLUDF.DUMMYFUNCTION("PROPER(REGEXREPLACE(G168,""[^A-Za-z]+ "",""""))"),"Packitoo")</f>
        <v>Packitoo</v>
      </c>
      <c r="J170" s="5" t="s">
        <v>10878</v>
      </c>
      <c r="K170" s="4" t="s">
        <v>6489</v>
      </c>
      <c r="L170" s="4" t="s">
        <v>10390</v>
      </c>
      <c r="M170" s="4" t="s">
        <v>29</v>
      </c>
      <c r="N170" s="4" t="s">
        <v>2602</v>
      </c>
      <c r="O170" s="4" t="str">
        <f>IFERROR(__XLUDF.DUMMYFUNCTION("VLOOKUP(M168,IMPORTRANGE(""https://docs.google.com/spreadsheets/d/1opm6ZNvGZ7KditA9TuJwrZ25eFLfTNIkrNnY6mhV5Eg"",""list!A1:C115""),3,TRUE)"),"le secteur de la tech")</f>
        <v xml:space="preserve">le secteur de la tech</v>
      </c>
      <c r="P170" s="4" t="s">
        <v>10879</v>
      </c>
      <c r="R170" s="4" t="s">
        <v>6489</v>
      </c>
      <c r="S170" s="4" t="s">
        <v>10390</v>
      </c>
      <c r="T170" s="4" t="s">
        <v>29</v>
      </c>
      <c r="U170" s="5" t="s">
        <v>10880</v>
      </c>
      <c r="V170" s="6"/>
      <c r="W170" s="6"/>
      <c r="X170" s="6"/>
      <c r="Y170" s="6"/>
      <c r="Z170" s="4" t="s">
        <v>10881</v>
      </c>
      <c r="AA170" s="6"/>
      <c r="AB170" s="5" t="s">
        <v>10882</v>
      </c>
    </row>
    <row r="171" ht="14.25">
      <c r="A171" s="4" t="s">
        <v>10884</v>
      </c>
      <c r="B171" s="4" t="s">
        <v>769</v>
      </c>
      <c r="C171" s="4" t="s">
        <v>10886</v>
      </c>
      <c r="F171" s="4" t="s">
        <v>10885</v>
      </c>
      <c r="G171" s="4">
        <v>18</v>
      </c>
      <c r="H171" s="4" t="s">
        <v>10887</v>
      </c>
      <c r="I171" s="4" t="str">
        <f>IFERROR(__XLUDF.DUMMYFUNCTION("PROPER(REGEXREPLACE(G169,""[^A-Za-z]+ "",""""))"),"Code Lutin")</f>
        <v xml:space="preserve">Code Lutin</v>
      </c>
      <c r="J171" s="5" t="s">
        <v>10888</v>
      </c>
      <c r="K171" s="4" t="s">
        <v>1711</v>
      </c>
      <c r="L171" s="4" t="s">
        <v>9350</v>
      </c>
      <c r="M171" s="4" t="s">
        <v>29</v>
      </c>
      <c r="N171" s="4" t="s">
        <v>2602</v>
      </c>
      <c r="O171" s="4" t="str">
        <f>IFERROR(__XLUDF.DUMMYFUNCTION("VLOOKUP(M169,IMPORTRANGE(""https://docs.google.com/spreadsheets/d/1opm6ZNvGZ7KditA9TuJwrZ25eFLfTNIkrNnY6mhV5Eg"",""list!A1:C115""),3,TRUE)"),"le secteur de la tech")</f>
        <v xml:space="preserve">le secteur de la tech</v>
      </c>
      <c r="P171" s="4" t="s">
        <v>10889</v>
      </c>
      <c r="R171" s="4" t="s">
        <v>10890</v>
      </c>
      <c r="S171" s="4" t="s">
        <v>9350</v>
      </c>
      <c r="T171" s="4" t="s">
        <v>29</v>
      </c>
      <c r="U171" s="5" t="s">
        <v>10891</v>
      </c>
      <c r="V171" s="6"/>
      <c r="W171" s="6"/>
      <c r="X171" s="6"/>
      <c r="Y171" s="6"/>
      <c r="Z171" s="4" t="s">
        <v>10892</v>
      </c>
      <c r="AA171" s="6"/>
      <c r="AB171" s="5" t="s">
        <v>10893</v>
      </c>
    </row>
    <row r="172" ht="14.25">
      <c r="A172" s="4" t="s">
        <v>10895</v>
      </c>
      <c r="B172" s="4" t="s">
        <v>1667</v>
      </c>
      <c r="C172" s="4" t="s">
        <v>10897</v>
      </c>
      <c r="F172" s="4" t="s">
        <v>10896</v>
      </c>
      <c r="G172" s="4">
        <v>19</v>
      </c>
      <c r="H172" s="4" t="s">
        <v>10898</v>
      </c>
      <c r="I172" s="4" t="str">
        <f>IFERROR(__XLUDF.DUMMYFUNCTION("PROPER(REGEXREPLACE(G170,""[^A-Za-z]+ "",""""))"),"Electronie")</f>
        <v>Electronie</v>
      </c>
      <c r="J172" s="5" t="s">
        <v>10899</v>
      </c>
      <c r="K172" s="4" t="s">
        <v>49</v>
      </c>
      <c r="L172" s="4" t="s">
        <v>9251</v>
      </c>
      <c r="M172" s="4" t="s">
        <v>29</v>
      </c>
      <c r="N172" s="4" t="s">
        <v>10215</v>
      </c>
      <c r="O172" s="4" t="str">
        <f>IFERROR(__XLUDF.DUMMYFUNCTION("VLOOKUP(M170,IMPORTRANGE(""https://docs.google.com/spreadsheets/d/1opm6ZNvGZ7KditA9TuJwrZ25eFLfTNIkrNnY6mhV5Eg"",""list!A1:C115""),3,TRUE)"),"le secteur de l'électrique et électronique")</f>
        <v xml:space="preserve">le secteur de l'électrique et électronique</v>
      </c>
      <c r="P172" s="4" t="s">
        <v>10900</v>
      </c>
      <c r="R172" s="4" t="s">
        <v>10227</v>
      </c>
      <c r="S172" s="4" t="s">
        <v>9251</v>
      </c>
      <c r="T172" s="4" t="s">
        <v>29</v>
      </c>
      <c r="U172" s="5" t="s">
        <v>10901</v>
      </c>
      <c r="V172" s="6"/>
      <c r="W172" s="6"/>
      <c r="X172" s="6"/>
      <c r="Y172" s="6"/>
      <c r="Z172" s="4" t="s">
        <v>10902</v>
      </c>
      <c r="AA172" s="6"/>
      <c r="AB172" s="5" t="s">
        <v>10903</v>
      </c>
    </row>
    <row r="173" ht="14.25">
      <c r="A173" s="4" t="s">
        <v>10906</v>
      </c>
      <c r="B173" s="4" t="s">
        <v>10905</v>
      </c>
      <c r="C173" s="4" t="s">
        <v>10908</v>
      </c>
      <c r="F173" s="4" t="s">
        <v>10907</v>
      </c>
      <c r="G173" s="4">
        <v>11</v>
      </c>
      <c r="H173" s="4" t="s">
        <v>10909</v>
      </c>
      <c r="I173" s="4" t="str">
        <f>IFERROR(__XLUDF.DUMMYFUNCTION("PROPER(REGEXREPLACE(G171,""[^A-Za-z]+ "",""""))"),"Darwin")</f>
        <v>Darwin</v>
      </c>
      <c r="J173" s="5" t="s">
        <v>10910</v>
      </c>
      <c r="K173" s="4" t="s">
        <v>39</v>
      </c>
      <c r="L173" s="4" t="s">
        <v>9160</v>
      </c>
      <c r="M173" s="4" t="s">
        <v>29</v>
      </c>
      <c r="N173" s="4" t="s">
        <v>2602</v>
      </c>
      <c r="O173" s="4" t="str">
        <f>IFERROR(__XLUDF.DUMMYFUNCTION("VLOOKUP(M171,IMPORTRANGE(""https://docs.google.com/spreadsheets/d/1opm6ZNvGZ7KditA9TuJwrZ25eFLfTNIkrNnY6mhV5Eg"",""list!A1:C115""),3,TRUE)"),"le secteur de la tech")</f>
        <v xml:space="preserve">le secteur de la tech</v>
      </c>
      <c r="P173" s="4" t="s">
        <v>10911</v>
      </c>
      <c r="R173" s="4" t="s">
        <v>39</v>
      </c>
      <c r="S173" s="4" t="s">
        <v>9160</v>
      </c>
      <c r="T173" s="4" t="s">
        <v>29</v>
      </c>
      <c r="U173" s="5" t="s">
        <v>10912</v>
      </c>
      <c r="V173" s="6"/>
      <c r="W173" s="6"/>
      <c r="X173" s="6"/>
      <c r="Y173" s="6"/>
      <c r="Z173" s="4" t="s">
        <v>10913</v>
      </c>
      <c r="AA173" s="6"/>
      <c r="AB173" s="5" t="s">
        <v>10914</v>
      </c>
    </row>
    <row r="174" ht="14.25">
      <c r="A174" s="4" t="s">
        <v>10916</v>
      </c>
      <c r="B174" s="4" t="s">
        <v>5001</v>
      </c>
      <c r="C174" s="4" t="s">
        <v>172</v>
      </c>
      <c r="F174" s="4" t="s">
        <v>10917</v>
      </c>
      <c r="G174" s="4">
        <v>45</v>
      </c>
      <c r="H174" s="4" t="s">
        <v>10918</v>
      </c>
      <c r="I174" s="4" t="str">
        <f>IFERROR(__XLUDF.DUMMYFUNCTION("PROPER(REGEXREPLACE(G172,""[^A-Za-z]+ "",""""))"),"Clarisys")</f>
        <v>Clarisys</v>
      </c>
      <c r="J174" s="5" t="s">
        <v>10919</v>
      </c>
      <c r="K174" s="4" t="s">
        <v>83</v>
      </c>
      <c r="L174" s="4" t="s">
        <v>9460</v>
      </c>
      <c r="M174" s="4" t="s">
        <v>29</v>
      </c>
      <c r="N174" s="4" t="s">
        <v>2602</v>
      </c>
      <c r="O174" s="4" t="str">
        <f>IFERROR(__XLUDF.DUMMYFUNCTION("VLOOKUP(M172,IMPORTRANGE(""https://docs.google.com/spreadsheets/d/1opm6ZNvGZ7KditA9TuJwrZ25eFLfTNIkrNnY6mhV5Eg"",""list!A1:C115""),3,TRUE)"),"le secteur de la tech")</f>
        <v xml:space="preserve">le secteur de la tech</v>
      </c>
      <c r="P174" s="4" t="s">
        <v>10920</v>
      </c>
      <c r="R174" s="4" t="s">
        <v>83</v>
      </c>
      <c r="S174" s="4" t="s">
        <v>9460</v>
      </c>
      <c r="T174" s="4" t="s">
        <v>29</v>
      </c>
      <c r="U174" s="5" t="s">
        <v>10921</v>
      </c>
      <c r="V174" s="6"/>
      <c r="W174" s="6"/>
      <c r="X174" s="6"/>
      <c r="Y174" s="6"/>
      <c r="Z174" s="4" t="s">
        <v>10922</v>
      </c>
      <c r="AA174" s="6"/>
      <c r="AB174" s="5" t="s">
        <v>10923</v>
      </c>
    </row>
    <row r="175" ht="14.25">
      <c r="A175" s="4" t="s">
        <v>10925</v>
      </c>
      <c r="B175" s="4" t="s">
        <v>5001</v>
      </c>
      <c r="C175" s="4" t="s">
        <v>10927</v>
      </c>
      <c r="F175" s="4" t="s">
        <v>10926</v>
      </c>
      <c r="G175" s="4">
        <v>17</v>
      </c>
      <c r="H175" s="4">
        <v>1843</v>
      </c>
      <c r="I175" s="4" t="s">
        <v>10928</v>
      </c>
      <c r="J175" s="5" t="s">
        <v>10929</v>
      </c>
      <c r="K175" s="6"/>
      <c r="L175" s="6"/>
      <c r="M175" s="4" t="s">
        <v>29</v>
      </c>
      <c r="N175" s="4" t="s">
        <v>2602</v>
      </c>
      <c r="O175" s="4" t="str">
        <f>IFERROR(__XLUDF.DUMMYFUNCTION("VLOOKUP(M173,IMPORTRANGE(""https://docs.google.com/spreadsheets/d/1opm6ZNvGZ7KditA9TuJwrZ25eFLfTNIkrNnY6mhV5Eg"",""list!A1:C115""),3,TRUE)"),"le secteur de la tech")</f>
        <v xml:space="preserve">le secteur de la tech</v>
      </c>
      <c r="P175" s="4" t="s">
        <v>10930</v>
      </c>
      <c r="R175" s="4" t="s">
        <v>39</v>
      </c>
      <c r="S175" s="4" t="s">
        <v>9160</v>
      </c>
      <c r="T175" s="4" t="s">
        <v>29</v>
      </c>
      <c r="U175" s="5" t="s">
        <v>10931</v>
      </c>
      <c r="V175" s="6"/>
      <c r="W175" s="6"/>
      <c r="X175" s="6"/>
      <c r="Y175" s="6"/>
      <c r="Z175" s="4" t="s">
        <v>10932</v>
      </c>
      <c r="AA175" s="6"/>
      <c r="AB175" s="5" t="s">
        <v>10933</v>
      </c>
    </row>
    <row r="176" ht="14.25">
      <c r="A176" s="4" t="s">
        <v>10935</v>
      </c>
      <c r="B176" s="4" t="s">
        <v>5001</v>
      </c>
      <c r="C176" s="4" t="s">
        <v>10937</v>
      </c>
      <c r="F176" s="4" t="s">
        <v>10936</v>
      </c>
      <c r="G176" s="4">
        <v>23</v>
      </c>
      <c r="H176" s="4" t="s">
        <v>10938</v>
      </c>
      <c r="I176" s="4" t="str">
        <f>IFERROR(__XLUDF.DUMMYFUNCTION("PROPER(REGEXREPLACE(G174,""[^A-Za-z]+ "",""""))"),"Stellar //")</f>
        <v xml:space="preserve">Stellar //</v>
      </c>
      <c r="J176" s="5" t="s">
        <v>10939</v>
      </c>
      <c r="K176" s="4" t="s">
        <v>39</v>
      </c>
      <c r="L176" s="4" t="s">
        <v>9160</v>
      </c>
      <c r="M176" s="4" t="s">
        <v>29</v>
      </c>
      <c r="N176" s="4" t="s">
        <v>9184</v>
      </c>
      <c r="O176" s="4" t="str">
        <f>IFERROR(__XLUDF.DUMMYFUNCTION("VLOOKUP(M174,IMPORTRANGE(""https://docs.google.com/spreadsheets/d/1opm6ZNvGZ7KditA9TuJwrZ25eFLfTNIkrNnY6mhV5Eg"",""list!A1:C115""),3,TRUE)"),"le secteur des télécommunications")</f>
        <v xml:space="preserve">le secteur des télécommunications</v>
      </c>
      <c r="P176" s="4" t="s">
        <v>10940</v>
      </c>
      <c r="R176" s="4" t="s">
        <v>243</v>
      </c>
      <c r="S176" s="4" t="s">
        <v>9864</v>
      </c>
      <c r="T176" s="4" t="s">
        <v>29</v>
      </c>
      <c r="U176" s="5" t="s">
        <v>10941</v>
      </c>
      <c r="V176" s="6"/>
      <c r="W176" s="6"/>
      <c r="X176" s="6"/>
      <c r="Y176" s="6"/>
      <c r="Z176" s="4" t="s">
        <v>10942</v>
      </c>
      <c r="AA176" s="6"/>
      <c r="AB176" s="5" t="s">
        <v>10943</v>
      </c>
    </row>
    <row r="177" ht="14.25">
      <c r="A177" s="4" t="s">
        <v>10946</v>
      </c>
      <c r="B177" s="4" t="s">
        <v>10945</v>
      </c>
      <c r="C177" s="4" t="s">
        <v>1231</v>
      </c>
      <c r="F177" s="4" t="s">
        <v>10947</v>
      </c>
      <c r="G177" s="4">
        <v>11</v>
      </c>
      <c r="H177" s="5" t="s">
        <v>10948</v>
      </c>
      <c r="I177" s="5" t="str">
        <f>IFERROR(__XLUDF.DUMMYFUNCTION("PROPER(REGEXREPLACE(G175,""[^A-Za-z]+ "",""""))"),"Komin.Io")</f>
        <v>Komin.Io</v>
      </c>
      <c r="J177" s="5" t="s">
        <v>10949</v>
      </c>
      <c r="K177" s="4" t="s">
        <v>39</v>
      </c>
      <c r="L177" s="4" t="s">
        <v>9160</v>
      </c>
      <c r="M177" s="4" t="s">
        <v>29</v>
      </c>
      <c r="N177" s="4" t="s">
        <v>10950</v>
      </c>
      <c r="O177" s="4" t="str">
        <f>IFERROR(__XLUDF.DUMMYFUNCTION("VLOOKUP(M175,IMPORTRANGE(""https://docs.google.com/spreadsheets/d/1opm6ZNvGZ7KditA9TuJwrZ25eFLfTNIkrNnY6mhV5Eg"",""list!A1:C115""),3,TRUE)"),"le secteur de la tech")</f>
        <v xml:space="preserve">le secteur de la tech</v>
      </c>
      <c r="P177" s="4" t="s">
        <v>10951</v>
      </c>
      <c r="R177" s="4" t="s">
        <v>39</v>
      </c>
      <c r="S177" s="4" t="s">
        <v>9160</v>
      </c>
      <c r="T177" s="4" t="s">
        <v>29</v>
      </c>
      <c r="U177" s="5" t="s">
        <v>10952</v>
      </c>
      <c r="V177" s="5" t="s">
        <v>10953</v>
      </c>
      <c r="W177" s="6"/>
      <c r="X177" s="6"/>
      <c r="Y177" s="6"/>
      <c r="Z177" s="4" t="s">
        <v>10954</v>
      </c>
      <c r="AA177" s="6"/>
      <c r="AB177" s="5" t="s">
        <v>10955</v>
      </c>
    </row>
    <row r="178" ht="14.25">
      <c r="A178" s="4" t="s">
        <v>10957</v>
      </c>
      <c r="B178" s="4" t="s">
        <v>7559</v>
      </c>
      <c r="C178" s="4" t="s">
        <v>10959</v>
      </c>
      <c r="F178" s="4" t="s">
        <v>10958</v>
      </c>
      <c r="G178" s="4">
        <v>34</v>
      </c>
      <c r="H178" s="4" t="s">
        <v>10960</v>
      </c>
      <c r="I178" s="4" t="str">
        <f>IFERROR(__XLUDF.DUMMYFUNCTION("PROPER(REGEXREPLACE(G176,""[^A-Za-z]+ "",""""))"),"Cacv")</f>
        <v>Cacv</v>
      </c>
      <c r="J178" s="5" t="s">
        <v>10961</v>
      </c>
      <c r="K178" s="4" t="s">
        <v>39</v>
      </c>
      <c r="L178" s="4" t="s">
        <v>9160</v>
      </c>
      <c r="M178" s="4" t="s">
        <v>29</v>
      </c>
      <c r="N178" s="4" t="s">
        <v>4525</v>
      </c>
      <c r="O178" s="4" t="str">
        <f>IFERROR(__XLUDF.DUMMYFUNCTION("VLOOKUP(M176,IMPORTRANGE(""https://docs.google.com/spreadsheets/d/1opm6ZNvGZ7KditA9TuJwrZ25eFLfTNIkrNnY6mhV5Eg"",""list!A1:C115""),3,TRUE)"),"le secteur du retail")</f>
        <v xml:space="preserve">le secteur du retail</v>
      </c>
      <c r="P178" s="4" t="s">
        <v>10962</v>
      </c>
      <c r="R178" s="4" t="s">
        <v>10963</v>
      </c>
      <c r="S178" s="4" t="s">
        <v>9160</v>
      </c>
      <c r="T178" s="4" t="s">
        <v>29</v>
      </c>
      <c r="U178" s="5" t="s">
        <v>10964</v>
      </c>
      <c r="V178" s="6"/>
      <c r="W178" s="6"/>
      <c r="X178" s="6"/>
      <c r="Y178" s="6"/>
      <c r="Z178" s="4" t="s">
        <v>10965</v>
      </c>
      <c r="AA178" s="6"/>
      <c r="AB178" s="5" t="s">
        <v>10966</v>
      </c>
    </row>
    <row r="179" ht="14.25">
      <c r="A179" s="4" t="s">
        <v>5265</v>
      </c>
      <c r="B179" s="4" t="s">
        <v>571</v>
      </c>
      <c r="C179" s="4" t="s">
        <v>7759</v>
      </c>
      <c r="F179" s="4" t="s">
        <v>10968</v>
      </c>
      <c r="G179" s="4">
        <v>37</v>
      </c>
      <c r="H179" s="4" t="s">
        <v>10969</v>
      </c>
      <c r="I179" s="4" t="str">
        <f>IFERROR(__XLUDF.DUMMYFUNCTION("PROPER(REGEXREPLACE(G177,""[^A-Za-z]+ "",""""))"),"Cybel Extension")</f>
        <v xml:space="preserve">Cybel Extension</v>
      </c>
      <c r="J179" s="5" t="s">
        <v>10970</v>
      </c>
      <c r="K179" s="4" t="s">
        <v>1826</v>
      </c>
      <c r="L179" s="4" t="s">
        <v>9227</v>
      </c>
      <c r="M179" s="4" t="s">
        <v>29</v>
      </c>
      <c r="N179" s="4" t="s">
        <v>9239</v>
      </c>
      <c r="O179" s="4" t="str">
        <f>IFERROR(__XLUDF.DUMMYFUNCTION("VLOOKUP(M177,IMPORTRANGE(""https://docs.google.com/spreadsheets/d/1opm6ZNvGZ7KditA9TuJwrZ25eFLfTNIkrNnY6mhV5Eg"",""list!A1:C115""),3,TRUE)"),"le secteur de la construction")</f>
        <v xml:space="preserve">le secteur de la construction</v>
      </c>
      <c r="P179" s="4" t="s">
        <v>10971</v>
      </c>
      <c r="R179" s="4" t="s">
        <v>10972</v>
      </c>
      <c r="S179" s="4" t="s">
        <v>10973</v>
      </c>
      <c r="T179" s="4" t="s">
        <v>29</v>
      </c>
      <c r="U179" s="5" t="s">
        <v>10974</v>
      </c>
      <c r="V179" s="6"/>
      <c r="W179" s="6"/>
      <c r="X179" s="6"/>
      <c r="Y179" s="6"/>
      <c r="Z179" s="4" t="s">
        <v>10975</v>
      </c>
      <c r="AA179" s="6"/>
      <c r="AB179" s="5" t="s">
        <v>10976</v>
      </c>
    </row>
    <row r="180" ht="14.25">
      <c r="A180" s="4" t="s">
        <v>10978</v>
      </c>
      <c r="B180" s="4" t="s">
        <v>1153</v>
      </c>
      <c r="C180" s="4" t="s">
        <v>10980</v>
      </c>
      <c r="F180" s="4" t="s">
        <v>10979</v>
      </c>
      <c r="G180" s="4">
        <v>12</v>
      </c>
      <c r="H180" s="4" t="s">
        <v>10981</v>
      </c>
      <c r="I180" s="4" t="str">
        <f>IFERROR(__XLUDF.DUMMYFUNCTION("PROPER(REGEXREPLACE(G178,""[^A-Za-z]+ "",""""))"),"Aliatem Consulting")</f>
        <v xml:space="preserve">Aliatem Consulting</v>
      </c>
      <c r="J180" s="5" t="s">
        <v>10982</v>
      </c>
      <c r="K180" s="4" t="s">
        <v>185</v>
      </c>
      <c r="L180" s="4" t="s">
        <v>9193</v>
      </c>
      <c r="M180" s="4" t="s">
        <v>29</v>
      </c>
      <c r="N180" s="4" t="s">
        <v>4067</v>
      </c>
      <c r="O180" s="4" t="str">
        <f>IFERROR(__XLUDF.DUMMYFUNCTION("VLOOKUP(M178,IMPORTRANGE(""https://docs.google.com/spreadsheets/d/1opm6ZNvGZ7KditA9TuJwrZ25eFLfTNIkrNnY6mhV5Eg"",""list!A1:C115""),3,TRUE)"),"le secteur du conseil en management")</f>
        <v xml:space="preserve">le secteur du conseil en management</v>
      </c>
      <c r="P180" s="6"/>
      <c r="R180" s="4" t="s">
        <v>10983</v>
      </c>
      <c r="S180" s="4" t="s">
        <v>9172</v>
      </c>
      <c r="T180" s="4" t="s">
        <v>29</v>
      </c>
      <c r="U180" s="5" t="s">
        <v>10984</v>
      </c>
      <c r="V180" s="6"/>
      <c r="W180" s="6"/>
      <c r="X180" s="6"/>
      <c r="Y180" s="6"/>
      <c r="Z180" s="4" t="s">
        <v>10985</v>
      </c>
      <c r="AA180" s="6"/>
      <c r="AB180" s="5" t="s">
        <v>10986</v>
      </c>
    </row>
    <row r="181" ht="14.25">
      <c r="A181" s="4" t="s">
        <v>10988</v>
      </c>
      <c r="B181" s="4" t="s">
        <v>571</v>
      </c>
      <c r="C181" s="4" t="s">
        <v>10990</v>
      </c>
      <c r="F181" s="4" t="s">
        <v>10989</v>
      </c>
      <c r="G181" s="4">
        <v>10</v>
      </c>
      <c r="H181" s="4" t="s">
        <v>10991</v>
      </c>
      <c r="I181" s="4" t="str">
        <f>IFERROR(__XLUDF.DUMMYFUNCTION("PROPER(REGEXREPLACE(G179,""[^A-Za-z]+ "",""""))"),"Idcapt")</f>
        <v>Idcapt</v>
      </c>
      <c r="J181" s="5" t="s">
        <v>10992</v>
      </c>
      <c r="K181" s="4" t="s">
        <v>3848</v>
      </c>
      <c r="L181" s="4" t="s">
        <v>9251</v>
      </c>
      <c r="M181" s="4" t="s">
        <v>29</v>
      </c>
      <c r="N181" s="4" t="s">
        <v>2602</v>
      </c>
      <c r="O181" s="4" t="str">
        <f>IFERROR(__XLUDF.DUMMYFUNCTION("VLOOKUP(M179,IMPORTRANGE(""https://docs.google.com/spreadsheets/d/1opm6ZNvGZ7KditA9TuJwrZ25eFLfTNIkrNnY6mhV5Eg"",""list!A1:C115""),3,TRUE)"),"le secteur de la tech")</f>
        <v xml:space="preserve">le secteur de la tech</v>
      </c>
      <c r="P181" s="4" t="s">
        <v>10993</v>
      </c>
      <c r="R181" s="4" t="s">
        <v>3848</v>
      </c>
      <c r="S181" s="4" t="s">
        <v>9251</v>
      </c>
      <c r="T181" s="4" t="s">
        <v>29</v>
      </c>
      <c r="U181" s="5" t="s">
        <v>10994</v>
      </c>
      <c r="V181" s="5" t="s">
        <v>10995</v>
      </c>
      <c r="W181" s="6"/>
      <c r="X181" s="6"/>
      <c r="Y181" s="6"/>
      <c r="Z181" s="4" t="s">
        <v>10996</v>
      </c>
      <c r="AA181" s="6"/>
      <c r="AB181" s="5" t="s">
        <v>10997</v>
      </c>
    </row>
    <row r="182" ht="14.25">
      <c r="A182" s="4" t="s">
        <v>10999</v>
      </c>
      <c r="B182" s="4" t="s">
        <v>604</v>
      </c>
      <c r="C182" s="4" t="s">
        <v>3775</v>
      </c>
      <c r="F182" s="4" t="s">
        <v>11000</v>
      </c>
      <c r="G182" s="4">
        <v>11</v>
      </c>
      <c r="H182" s="4" t="s">
        <v>11001</v>
      </c>
      <c r="I182" s="4" t="str">
        <f>IFERROR(__XLUDF.DUMMYFUNCTION("PROPER(REGEXREPLACE(G180,""[^A-Za-z]+ "",""""))"),"Siana")</f>
        <v>Siana</v>
      </c>
      <c r="J182" s="4" t="s">
        <v>11002</v>
      </c>
      <c r="K182" s="4" t="s">
        <v>243</v>
      </c>
      <c r="L182" s="4" t="s">
        <v>9864</v>
      </c>
      <c r="M182" s="4" t="s">
        <v>29</v>
      </c>
      <c r="N182" s="4" t="s">
        <v>2602</v>
      </c>
      <c r="O182" s="4" t="str">
        <f>IFERROR(__XLUDF.DUMMYFUNCTION("VLOOKUP(M180,IMPORTRANGE(""https://docs.google.com/spreadsheets/d/1opm6ZNvGZ7KditA9TuJwrZ25eFLfTNIkrNnY6mhV5Eg"",""list!A1:C115""),3,TRUE)"),"le secteur de la tech")</f>
        <v xml:space="preserve">le secteur de la tech</v>
      </c>
      <c r="P182" s="6"/>
      <c r="R182" s="4" t="s">
        <v>39</v>
      </c>
      <c r="S182" s="4" t="s">
        <v>9160</v>
      </c>
      <c r="T182" s="4" t="s">
        <v>29</v>
      </c>
      <c r="U182" s="5" t="s">
        <v>11003</v>
      </c>
      <c r="V182" s="6"/>
      <c r="W182" s="5" t="s">
        <v>9981</v>
      </c>
      <c r="X182" s="5" t="s">
        <v>11004</v>
      </c>
      <c r="Y182" s="6"/>
      <c r="Z182" s="4" t="s">
        <v>11005</v>
      </c>
      <c r="AA182" s="6"/>
      <c r="AB182" s="5" t="s">
        <v>11006</v>
      </c>
    </row>
    <row r="183" ht="14.25">
      <c r="A183" s="4" t="s">
        <v>11008</v>
      </c>
      <c r="B183" s="4" t="s">
        <v>4245</v>
      </c>
      <c r="C183" s="4" t="s">
        <v>87</v>
      </c>
      <c r="F183" s="4" t="s">
        <v>11009</v>
      </c>
      <c r="G183" s="4">
        <v>33</v>
      </c>
      <c r="H183" s="4" t="s">
        <v>11010</v>
      </c>
      <c r="I183" s="4" t="str">
        <f>IFERROR(__XLUDF.DUMMYFUNCTION("PROPER(REGEXREPLACE(G181,""[^A-Za-z]+ "",""""))"),"Reconomia")</f>
        <v>Reconomia</v>
      </c>
      <c r="J183" s="5" t="s">
        <v>11011</v>
      </c>
      <c r="K183" s="4" t="s">
        <v>11012</v>
      </c>
      <c r="L183" s="4" t="s">
        <v>9281</v>
      </c>
      <c r="M183" s="4" t="s">
        <v>29</v>
      </c>
      <c r="N183" s="4" t="s">
        <v>4525</v>
      </c>
      <c r="O183" s="4" t="str">
        <f>IFERROR(__XLUDF.DUMMYFUNCTION("VLOOKUP(M181,IMPORTRANGE(""https://docs.google.com/spreadsheets/d/1opm6ZNvGZ7KditA9TuJwrZ25eFLfTNIkrNnY6mhV5Eg"",""list!A1:C115""),3,TRUE)"),"le secteur du retail")</f>
        <v xml:space="preserve">le secteur du retail</v>
      </c>
      <c r="P183" s="4" t="s">
        <v>11013</v>
      </c>
      <c r="R183" s="4" t="s">
        <v>11012</v>
      </c>
      <c r="S183" s="4" t="s">
        <v>9281</v>
      </c>
      <c r="T183" s="4" t="s">
        <v>29</v>
      </c>
      <c r="U183" s="5" t="s">
        <v>11014</v>
      </c>
      <c r="V183" s="6"/>
      <c r="W183" s="6"/>
      <c r="X183" s="6"/>
      <c r="Y183" s="6"/>
      <c r="Z183" s="4" t="s">
        <v>11015</v>
      </c>
      <c r="AA183" s="6"/>
      <c r="AB183" s="5" t="s">
        <v>11016</v>
      </c>
    </row>
    <row r="184" ht="14.25">
      <c r="A184" s="4" t="s">
        <v>11018</v>
      </c>
      <c r="B184" s="4" t="s">
        <v>4245</v>
      </c>
      <c r="C184" s="4" t="s">
        <v>9456</v>
      </c>
      <c r="F184" s="4" t="s">
        <v>11019</v>
      </c>
      <c r="G184" s="4">
        <v>25</v>
      </c>
      <c r="H184" s="4" t="s">
        <v>11020</v>
      </c>
      <c r="I184" s="4" t="str">
        <f>IFERROR(__XLUDF.DUMMYFUNCTION("PROPER(REGEXREPLACE(G182,""[^A-Za-z]+ "",""""))"),"Prospactive")</f>
        <v>Prospactive</v>
      </c>
      <c r="J184" s="5" t="s">
        <v>11021</v>
      </c>
      <c r="K184" s="4" t="s">
        <v>562</v>
      </c>
      <c r="L184" s="4" t="s">
        <v>11022</v>
      </c>
      <c r="M184" s="4" t="s">
        <v>29</v>
      </c>
      <c r="N184" s="4" t="s">
        <v>4067</v>
      </c>
      <c r="O184" s="4" t="str">
        <f>IFERROR(__XLUDF.DUMMYFUNCTION("VLOOKUP(M182,IMPORTRANGE(""https://docs.google.com/spreadsheets/d/1opm6ZNvGZ7KditA9TuJwrZ25eFLfTNIkrNnY6mhV5Eg"",""list!A1:C115""),3,TRUE)"),"le secteur du conseil en management")</f>
        <v xml:space="preserve">le secteur du conseil en management</v>
      </c>
      <c r="P184" s="4" t="s">
        <v>11023</v>
      </c>
      <c r="R184" s="4" t="s">
        <v>149</v>
      </c>
      <c r="S184" s="4" t="s">
        <v>9473</v>
      </c>
      <c r="T184" s="4" t="s">
        <v>29</v>
      </c>
      <c r="U184" s="5" t="s">
        <v>11024</v>
      </c>
      <c r="V184" s="6"/>
      <c r="W184" s="6"/>
      <c r="X184" s="6"/>
      <c r="Y184" s="6"/>
      <c r="Z184" s="4" t="s">
        <v>11025</v>
      </c>
      <c r="AA184" s="6"/>
      <c r="AB184" s="5" t="s">
        <v>11026</v>
      </c>
    </row>
    <row r="185" ht="14.25">
      <c r="A185" s="4" t="s">
        <v>11028</v>
      </c>
      <c r="B185" s="4" t="s">
        <v>4245</v>
      </c>
      <c r="C185" s="4" t="s">
        <v>1130</v>
      </c>
      <c r="F185" s="4" t="s">
        <v>11029</v>
      </c>
      <c r="G185" s="4">
        <v>11</v>
      </c>
      <c r="H185" s="4" t="s">
        <v>11030</v>
      </c>
      <c r="I185" s="4" t="str">
        <f>IFERROR(__XLUDF.DUMMYFUNCTION("PROPER(REGEXREPLACE(G183,""[^A-Za-z]+ "",""""))"),"Action Beton Coupe")</f>
        <v xml:space="preserve">Action Beton Coupe</v>
      </c>
      <c r="J185" s="5" t="s">
        <v>11031</v>
      </c>
      <c r="K185" s="4" t="s">
        <v>11032</v>
      </c>
      <c r="L185" s="4" t="s">
        <v>9251</v>
      </c>
      <c r="M185" s="4" t="s">
        <v>29</v>
      </c>
      <c r="N185" s="4" t="s">
        <v>9239</v>
      </c>
      <c r="O185" s="4" t="str">
        <f>IFERROR(__XLUDF.DUMMYFUNCTION("VLOOKUP(M183,IMPORTRANGE(""https://docs.google.com/spreadsheets/d/1opm6ZNvGZ7KditA9TuJwrZ25eFLfTNIkrNnY6mhV5Eg"",""list!A1:C115""),3,TRUE)"),"le secteur de la construction")</f>
        <v xml:space="preserve">le secteur de la construction</v>
      </c>
      <c r="P185" s="6"/>
      <c r="R185" s="4" t="s">
        <v>11033</v>
      </c>
      <c r="S185" s="4" t="s">
        <v>9251</v>
      </c>
      <c r="T185" s="4" t="s">
        <v>29</v>
      </c>
      <c r="U185" s="5" t="s">
        <v>11034</v>
      </c>
      <c r="V185" s="6"/>
      <c r="W185" s="5" t="s">
        <v>11035</v>
      </c>
      <c r="X185" s="6"/>
      <c r="Y185" s="6"/>
      <c r="Z185" s="4" t="s">
        <v>11036</v>
      </c>
      <c r="AA185" s="6"/>
      <c r="AB185" s="5" t="s">
        <v>11037</v>
      </c>
    </row>
    <row r="186" ht="14.25">
      <c r="A186" s="4" t="s">
        <v>11039</v>
      </c>
      <c r="B186" s="4" t="s">
        <v>1153</v>
      </c>
      <c r="C186" s="4" t="s">
        <v>7759</v>
      </c>
      <c r="F186" s="4" t="s">
        <v>11040</v>
      </c>
      <c r="G186" s="4">
        <v>10</v>
      </c>
      <c r="H186" s="4" t="s">
        <v>11041</v>
      </c>
      <c r="I186" s="4" t="str">
        <f>IFERROR(__XLUDF.DUMMYFUNCTION("PROPER(REGEXREPLACE(G184,""[^A-Za-z]+ "",""""))"),"Atlantic Environnement")</f>
        <v xml:space="preserve">Atlantic Environnement</v>
      </c>
      <c r="J186" s="5" t="s">
        <v>11042</v>
      </c>
      <c r="K186" s="4" t="s">
        <v>1711</v>
      </c>
      <c r="L186" s="4" t="s">
        <v>9350</v>
      </c>
      <c r="M186" s="4" t="s">
        <v>29</v>
      </c>
      <c r="N186" s="4" t="s">
        <v>9239</v>
      </c>
      <c r="O186" s="4" t="str">
        <f>IFERROR(__XLUDF.DUMMYFUNCTION("VLOOKUP(M184,IMPORTRANGE(""https://docs.google.com/spreadsheets/d/1opm6ZNvGZ7KditA9TuJwrZ25eFLfTNIkrNnY6mhV5Eg"",""list!A1:C115""),3,TRUE)"),"le secteur de la construction")</f>
        <v xml:space="preserve">le secteur de la construction</v>
      </c>
      <c r="P186" s="4" t="s">
        <v>11043</v>
      </c>
      <c r="R186" s="4" t="s">
        <v>11044</v>
      </c>
      <c r="S186" s="4" t="s">
        <v>9350</v>
      </c>
      <c r="T186" s="4" t="s">
        <v>29</v>
      </c>
      <c r="U186" s="5" t="s">
        <v>11045</v>
      </c>
      <c r="V186" s="6"/>
      <c r="W186" s="6"/>
      <c r="X186" s="6"/>
      <c r="Y186" s="6"/>
      <c r="Z186" s="4" t="s">
        <v>11046</v>
      </c>
      <c r="AA186" s="6"/>
      <c r="AB186" s="5" t="s">
        <v>11047</v>
      </c>
    </row>
    <row r="187" ht="14.25">
      <c r="A187" s="4" t="s">
        <v>11049</v>
      </c>
      <c r="B187" s="4" t="s">
        <v>1153</v>
      </c>
      <c r="C187" s="4" t="s">
        <v>87</v>
      </c>
      <c r="F187" s="4" t="s">
        <v>11050</v>
      </c>
      <c r="G187" s="4">
        <v>16</v>
      </c>
      <c r="H187" s="4" t="s">
        <v>11051</v>
      </c>
      <c r="I187" s="4" t="str">
        <f>IFERROR(__XLUDF.DUMMYFUNCTION("PROPER(REGEXREPLACE(G185,""[^A-Za-z]+ "",""""))"),"Climate Innov")</f>
        <v xml:space="preserve">Climate Innov</v>
      </c>
      <c r="J187" s="5" t="s">
        <v>11052</v>
      </c>
      <c r="K187" s="4" t="s">
        <v>49</v>
      </c>
      <c r="L187" s="4" t="s">
        <v>9251</v>
      </c>
      <c r="M187" s="4" t="s">
        <v>29</v>
      </c>
      <c r="N187" s="4" t="s">
        <v>2602</v>
      </c>
      <c r="O187" s="4" t="str">
        <f>IFERROR(__XLUDF.DUMMYFUNCTION("VLOOKUP(M185,IMPORTRANGE(""https://docs.google.com/spreadsheets/d/1opm6ZNvGZ7KditA9TuJwrZ25eFLfTNIkrNnY6mhV5Eg"",""list!A1:C115""),3,TRUE)"),"le secteur de la tech")</f>
        <v xml:space="preserve">le secteur de la tech</v>
      </c>
      <c r="P187" s="6"/>
      <c r="R187" s="4" t="s">
        <v>49</v>
      </c>
      <c r="S187" s="4" t="s">
        <v>9251</v>
      </c>
      <c r="T187" s="4" t="s">
        <v>29</v>
      </c>
      <c r="U187" s="5" t="s">
        <v>11053</v>
      </c>
      <c r="V187" s="6"/>
      <c r="W187" s="6"/>
      <c r="X187" s="6"/>
      <c r="Y187" s="6"/>
      <c r="Z187" s="4" t="s">
        <v>11054</v>
      </c>
      <c r="AA187" s="6"/>
      <c r="AB187" s="5" t="s">
        <v>11055</v>
      </c>
    </row>
    <row r="188" ht="14.25">
      <c r="A188" s="4" t="s">
        <v>11057</v>
      </c>
      <c r="B188" s="4" t="s">
        <v>1153</v>
      </c>
      <c r="C188" s="4" t="s">
        <v>11059</v>
      </c>
      <c r="F188" s="4" t="s">
        <v>11058</v>
      </c>
      <c r="G188" s="4">
        <v>41</v>
      </c>
      <c r="H188" s="4" t="s">
        <v>11060</v>
      </c>
      <c r="I188" s="4" t="str">
        <f>IFERROR(__XLUDF.DUMMYFUNCTION("PROPER(REGEXREPLACE(G186,""[^A-Za-z]+ "",""""))"),"Lex Persona")</f>
        <v xml:space="preserve">Lex Persona</v>
      </c>
      <c r="J188" s="5" t="s">
        <v>11061</v>
      </c>
      <c r="K188" s="4" t="s">
        <v>11062</v>
      </c>
      <c r="L188" s="4" t="s">
        <v>9215</v>
      </c>
      <c r="M188" s="4" t="s">
        <v>29</v>
      </c>
      <c r="N188" s="4" t="s">
        <v>2602</v>
      </c>
      <c r="O188" s="4" t="str">
        <f>IFERROR(__XLUDF.DUMMYFUNCTION("VLOOKUP(M186,IMPORTRANGE(""https://docs.google.com/spreadsheets/d/1opm6ZNvGZ7KditA9TuJwrZ25eFLfTNIkrNnY6mhV5Eg"",""list!A1:C115""),3,TRUE)"),"le secteur de la tech")</f>
        <v xml:space="preserve">le secteur de la tech</v>
      </c>
      <c r="P188" s="4" t="s">
        <v>11063</v>
      </c>
      <c r="R188" s="4" t="s">
        <v>11062</v>
      </c>
      <c r="S188" s="4" t="s">
        <v>9215</v>
      </c>
      <c r="T188" s="4" t="s">
        <v>29</v>
      </c>
      <c r="U188" s="5" t="s">
        <v>11064</v>
      </c>
      <c r="V188" s="5" t="s">
        <v>11065</v>
      </c>
      <c r="W188" s="5" t="s">
        <v>11066</v>
      </c>
      <c r="X188" s="6"/>
      <c r="Y188" s="6"/>
      <c r="Z188" s="4" t="s">
        <v>11067</v>
      </c>
      <c r="AA188" s="6"/>
      <c r="AB188" s="5" t="s">
        <v>11068</v>
      </c>
    </row>
    <row r="189" ht="14.25">
      <c r="A189" s="4" t="s">
        <v>11070</v>
      </c>
      <c r="B189" s="4" t="s">
        <v>1153</v>
      </c>
      <c r="C189" s="4" t="s">
        <v>11072</v>
      </c>
      <c r="F189" s="4" t="s">
        <v>11071</v>
      </c>
      <c r="G189" s="4">
        <v>10</v>
      </c>
      <c r="H189" s="4" t="s">
        <v>11073</v>
      </c>
      <c r="I189" s="4" t="str">
        <f>IFERROR(__XLUDF.DUMMYFUNCTION("PROPER(REGEXREPLACE(G187,""[^A-Za-z]+ "",""""))"),"Evo Métrologie")</f>
        <v xml:space="preserve">Evo Métrologie</v>
      </c>
      <c r="J189" s="5" t="s">
        <v>11074</v>
      </c>
      <c r="K189" s="4" t="s">
        <v>1204</v>
      </c>
      <c r="L189" s="4" t="s">
        <v>9460</v>
      </c>
      <c r="M189" s="4" t="s">
        <v>29</v>
      </c>
      <c r="N189" s="4" t="s">
        <v>4525</v>
      </c>
      <c r="O189" s="4" t="str">
        <f>IFERROR(__XLUDF.DUMMYFUNCTION("VLOOKUP(M187,IMPORTRANGE(""https://docs.google.com/spreadsheets/d/1opm6ZNvGZ7KditA9TuJwrZ25eFLfTNIkrNnY6mhV5Eg"",""list!A1:C115""),3,TRUE)"),"le secteur du retail")</f>
        <v xml:space="preserve">le secteur du retail</v>
      </c>
      <c r="P189" s="6"/>
      <c r="R189" s="4" t="s">
        <v>11075</v>
      </c>
      <c r="S189" s="4" t="s">
        <v>9460</v>
      </c>
      <c r="T189" s="4" t="s">
        <v>29</v>
      </c>
      <c r="U189" s="5" t="s">
        <v>11076</v>
      </c>
      <c r="V189" s="6"/>
      <c r="W189" s="5" t="s">
        <v>11077</v>
      </c>
      <c r="X189" s="6"/>
      <c r="Y189" s="6"/>
      <c r="Z189" s="4" t="s">
        <v>11078</v>
      </c>
      <c r="AA189" s="6"/>
      <c r="AB189" s="5" t="s">
        <v>11079</v>
      </c>
    </row>
    <row r="190" ht="14.25">
      <c r="A190" s="4" t="s">
        <v>5745</v>
      </c>
      <c r="B190" s="4" t="s">
        <v>1153</v>
      </c>
      <c r="C190" s="4" t="s">
        <v>172</v>
      </c>
      <c r="F190" s="4" t="s">
        <v>11081</v>
      </c>
      <c r="G190" s="4">
        <v>34</v>
      </c>
      <c r="H190" s="4" t="s">
        <v>11082</v>
      </c>
      <c r="I190" s="4" t="str">
        <f>IFERROR(__XLUDF.DUMMYFUNCTION("PROPER(REGEXREPLACE(G188,""[^A-Za-z]+ "",""""))"),"Armtek")</f>
        <v>Armtek</v>
      </c>
      <c r="J190" s="5" t="s">
        <v>11083</v>
      </c>
      <c r="K190" s="4" t="s">
        <v>11084</v>
      </c>
      <c r="L190" s="4" t="s">
        <v>9226</v>
      </c>
      <c r="M190" s="4" t="s">
        <v>29</v>
      </c>
      <c r="N190" s="4" t="s">
        <v>2602</v>
      </c>
      <c r="O190" s="4" t="str">
        <f>IFERROR(__XLUDF.DUMMYFUNCTION("VLOOKUP(M188,IMPORTRANGE(""https://docs.google.com/spreadsheets/d/1opm6ZNvGZ7KditA9TuJwrZ25eFLfTNIkrNnY6mhV5Eg"",""list!A1:C115""),3,TRUE)"),"le secteur de la tech")</f>
        <v xml:space="preserve">le secteur de la tech</v>
      </c>
      <c r="P190" s="4" t="s">
        <v>11085</v>
      </c>
      <c r="R190" s="4" t="s">
        <v>651</v>
      </c>
      <c r="S190" s="4" t="s">
        <v>9215</v>
      </c>
      <c r="T190" s="4" t="s">
        <v>29</v>
      </c>
      <c r="U190" s="5" t="s">
        <v>11086</v>
      </c>
      <c r="V190" s="6"/>
      <c r="W190" s="6"/>
      <c r="X190" s="6"/>
      <c r="Y190" s="6"/>
      <c r="Z190" s="4" t="s">
        <v>11087</v>
      </c>
      <c r="AA190" s="6"/>
      <c r="AB190" s="5" t="s">
        <v>11088</v>
      </c>
    </row>
    <row r="191" ht="14.25">
      <c r="A191" s="4" t="s">
        <v>11090</v>
      </c>
      <c r="B191" s="4" t="s">
        <v>1153</v>
      </c>
      <c r="C191" s="4" t="s">
        <v>172</v>
      </c>
      <c r="F191" s="4" t="s">
        <v>11091</v>
      </c>
      <c r="G191" s="4">
        <v>21</v>
      </c>
      <c r="H191" s="4" t="s">
        <v>11092</v>
      </c>
      <c r="I191" s="4" t="str">
        <f>IFERROR(__XLUDF.DUMMYFUNCTION("PROPER(REGEXREPLACE(G189,""[^A-Za-z]+ "",""""))"),"Proactif Call Center")</f>
        <v xml:space="preserve">Proactif Call Center</v>
      </c>
      <c r="J191" s="5" t="s">
        <v>11093</v>
      </c>
      <c r="K191" s="4" t="s">
        <v>185</v>
      </c>
      <c r="L191" s="4" t="s">
        <v>9193</v>
      </c>
      <c r="M191" s="4" t="s">
        <v>29</v>
      </c>
      <c r="N191" s="4" t="s">
        <v>9161</v>
      </c>
      <c r="O191" s="4" t="str">
        <f>IFERROR(__XLUDF.DUMMYFUNCTION("VLOOKUP(M189,IMPORTRANGE(""https://docs.google.com/spreadsheets/d/1opm6ZNvGZ7KditA9TuJwrZ25eFLfTNIkrNnY6mhV5Eg"",""list!A1:C115""),3,TRUE)"),"le secteur du marketing")</f>
        <v xml:space="preserve">le secteur du marketing</v>
      </c>
      <c r="P191" s="4" t="s">
        <v>11094</v>
      </c>
      <c r="R191" s="6"/>
      <c r="S191" s="6"/>
      <c r="T191" s="4" t="s">
        <v>9969</v>
      </c>
      <c r="U191" s="5" t="s">
        <v>11095</v>
      </c>
      <c r="V191" s="6"/>
      <c r="W191" s="6"/>
      <c r="X191" s="6"/>
      <c r="Y191" s="6"/>
      <c r="Z191" s="4" t="s">
        <v>11096</v>
      </c>
      <c r="AA191" s="6"/>
      <c r="AB191" s="5" t="s">
        <v>11097</v>
      </c>
    </row>
    <row r="192" ht="14.25">
      <c r="A192" s="4" t="s">
        <v>11099</v>
      </c>
      <c r="B192" s="4" t="s">
        <v>1153</v>
      </c>
      <c r="C192" s="4" t="s">
        <v>112</v>
      </c>
      <c r="F192" s="4" t="s">
        <v>11100</v>
      </c>
      <c r="G192" s="4">
        <v>10</v>
      </c>
      <c r="H192" s="4" t="s">
        <v>11101</v>
      </c>
      <c r="I192" s="4" t="str">
        <f>IFERROR(__XLUDF.DUMMYFUNCTION("PROPER(REGEXREPLACE(G190,""[^A-Za-z]+ "",""""))"),"Styléo")</f>
        <v>Styléo</v>
      </c>
      <c r="J192" s="5" t="s">
        <v>11102</v>
      </c>
      <c r="K192" s="4" t="s">
        <v>11103</v>
      </c>
      <c r="L192" s="4" t="s">
        <v>9251</v>
      </c>
      <c r="M192" s="4" t="s">
        <v>29</v>
      </c>
      <c r="N192" s="4" t="s">
        <v>2602</v>
      </c>
      <c r="O192" s="4" t="str">
        <f>IFERROR(__XLUDF.DUMMYFUNCTION("VLOOKUP(M190,IMPORTRANGE(""https://docs.google.com/spreadsheets/d/1opm6ZNvGZ7KditA9TuJwrZ25eFLfTNIkrNnY6mhV5Eg"",""list!A1:C115""),3,TRUE)"),"le secteur de la tech")</f>
        <v xml:space="preserve">le secteur de la tech</v>
      </c>
      <c r="P192" s="4" t="s">
        <v>11104</v>
      </c>
      <c r="R192" s="4" t="s">
        <v>11103</v>
      </c>
      <c r="S192" s="4" t="s">
        <v>9251</v>
      </c>
      <c r="T192" s="4" t="s">
        <v>29</v>
      </c>
      <c r="U192" s="5" t="s">
        <v>11105</v>
      </c>
      <c r="V192" s="6"/>
      <c r="W192" s="5" t="s">
        <v>11106</v>
      </c>
      <c r="X192" s="6"/>
      <c r="Y192" s="6"/>
      <c r="Z192" s="4" t="s">
        <v>11107</v>
      </c>
      <c r="AA192" s="6"/>
      <c r="AB192" s="5" t="s">
        <v>11108</v>
      </c>
    </row>
    <row r="193" ht="14.25">
      <c r="A193" s="4" t="s">
        <v>11110</v>
      </c>
      <c r="B193" s="4" t="s">
        <v>1153</v>
      </c>
      <c r="C193" s="4" t="s">
        <v>7185</v>
      </c>
      <c r="F193" s="4" t="s">
        <v>11111</v>
      </c>
      <c r="G193" s="4">
        <v>11</v>
      </c>
      <c r="H193" s="4" t="s">
        <v>11112</v>
      </c>
      <c r="I193" s="4" t="str">
        <f>IFERROR(__XLUDF.DUMMYFUNCTION("PROPER(REGEXREPLACE(G191,""[^A-Za-z]+ "",""""))"),"Mti")</f>
        <v>Mti</v>
      </c>
      <c r="J193" s="5" t="s">
        <v>11113</v>
      </c>
      <c r="K193" s="4" t="s">
        <v>6777</v>
      </c>
      <c r="L193" s="4" t="s">
        <v>11114</v>
      </c>
      <c r="M193" s="4" t="s">
        <v>29</v>
      </c>
      <c r="N193" s="4" t="s">
        <v>10066</v>
      </c>
      <c r="O193" s="4" t="str">
        <f>IFERROR(__XLUDF.DUMMYFUNCTION("VLOOKUP(M191,IMPORTRANGE(""https://docs.google.com/spreadsheets/d/1opm6ZNvGZ7KditA9TuJwrZ25eFLfTNIkrNnY6mhV5Eg"",""list!A1:C115""),3,TRUE)"),"le secteur de la tech")</f>
        <v xml:space="preserve">le secteur de la tech</v>
      </c>
      <c r="P193" s="4" t="s">
        <v>11115</v>
      </c>
      <c r="R193" s="4" t="s">
        <v>6777</v>
      </c>
      <c r="S193" s="4" t="s">
        <v>9864</v>
      </c>
      <c r="T193" s="4" t="s">
        <v>29</v>
      </c>
      <c r="U193" s="5" t="s">
        <v>11116</v>
      </c>
      <c r="V193" s="6"/>
      <c r="W193" s="6"/>
      <c r="X193" s="6"/>
      <c r="Y193" s="6"/>
      <c r="Z193" s="4" t="s">
        <v>11117</v>
      </c>
      <c r="AA193" s="6"/>
      <c r="AB193" s="5" t="s">
        <v>11118</v>
      </c>
    </row>
    <row r="194" ht="14.25">
      <c r="A194" s="4" t="s">
        <v>11120</v>
      </c>
      <c r="B194" s="4" t="s">
        <v>1153</v>
      </c>
      <c r="C194" s="4" t="s">
        <v>11122</v>
      </c>
      <c r="F194" s="4" t="s">
        <v>11121</v>
      </c>
      <c r="G194" s="4">
        <v>16</v>
      </c>
      <c r="H194" s="4" t="s">
        <v>11123</v>
      </c>
      <c r="I194" s="4" t="str">
        <f>IFERROR(__XLUDF.DUMMYFUNCTION("PROPER(REGEXREPLACE(G192,""[^A-Za-z]+ "",""""))"),"Smile Wanted Group")</f>
        <v xml:space="preserve">Smile Wanted Group</v>
      </c>
      <c r="J194" s="5" t="s">
        <v>11124</v>
      </c>
      <c r="K194" s="4" t="s">
        <v>39</v>
      </c>
      <c r="L194" s="4" t="s">
        <v>9160</v>
      </c>
      <c r="M194" s="4" t="s">
        <v>29</v>
      </c>
      <c r="N194" s="4" t="s">
        <v>2602</v>
      </c>
      <c r="O194" s="4" t="str">
        <f>IFERROR(__XLUDF.DUMMYFUNCTION("VLOOKUP(M192,IMPORTRANGE(""https://docs.google.com/spreadsheets/d/1opm6ZNvGZ7KditA9TuJwrZ25eFLfTNIkrNnY6mhV5Eg"",""list!A1:C115""),3,TRUE)"),"le secteur de la tech")</f>
        <v xml:space="preserve">le secteur de la tech</v>
      </c>
      <c r="P194" s="4" t="s">
        <v>11125</v>
      </c>
      <c r="R194" s="4" t="s">
        <v>39</v>
      </c>
      <c r="S194" s="4" t="s">
        <v>9160</v>
      </c>
      <c r="T194" s="4" t="s">
        <v>29</v>
      </c>
      <c r="U194" s="5" t="s">
        <v>11126</v>
      </c>
      <c r="V194" s="6"/>
      <c r="W194" s="6"/>
      <c r="X194" s="6"/>
      <c r="Y194" s="6"/>
      <c r="Z194" s="4" t="s">
        <v>11127</v>
      </c>
      <c r="AA194" s="6"/>
      <c r="AB194" s="5" t="s">
        <v>11128</v>
      </c>
    </row>
    <row r="195" ht="14.25">
      <c r="A195" s="4" t="s">
        <v>11130</v>
      </c>
      <c r="B195" s="4" t="s">
        <v>1153</v>
      </c>
      <c r="C195" s="4" t="s">
        <v>172</v>
      </c>
      <c r="F195" s="4" t="s">
        <v>11131</v>
      </c>
      <c r="G195" s="4">
        <v>18</v>
      </c>
      <c r="H195" s="4" t="s">
        <v>11132</v>
      </c>
      <c r="I195" s="4" t="str">
        <f>IFERROR(__XLUDF.DUMMYFUNCTION("PROPER(REGEXREPLACE(G193,""[^A-Za-z]+ "",""""))"),"Sas Merlot")</f>
        <v xml:space="preserve">Sas Merlot</v>
      </c>
      <c r="J195" s="5" t="s">
        <v>11133</v>
      </c>
      <c r="K195" s="4" t="s">
        <v>10717</v>
      </c>
      <c r="L195" s="4" t="s">
        <v>9864</v>
      </c>
      <c r="M195" s="4" t="s">
        <v>29</v>
      </c>
      <c r="N195" s="4" t="s">
        <v>9239</v>
      </c>
      <c r="O195" s="4" t="str">
        <f>IFERROR(__XLUDF.DUMMYFUNCTION("VLOOKUP(M193,IMPORTRANGE(""https://docs.google.com/spreadsheets/d/1opm6ZNvGZ7KditA9TuJwrZ25eFLfTNIkrNnY6mhV5Eg"",""list!A1:C115""),3,TRUE)"),"le secteur de la construction")</f>
        <v xml:space="preserve">le secteur de la construction</v>
      </c>
      <c r="P195" s="6"/>
      <c r="R195" s="4" t="s">
        <v>10717</v>
      </c>
      <c r="S195" s="4" t="s">
        <v>9864</v>
      </c>
      <c r="T195" s="4" t="s">
        <v>29</v>
      </c>
      <c r="U195" s="5" t="s">
        <v>11134</v>
      </c>
      <c r="V195" s="6"/>
      <c r="W195" s="5" t="s">
        <v>11135</v>
      </c>
      <c r="X195" s="6"/>
      <c r="Y195" s="6"/>
      <c r="Z195" s="4" t="s">
        <v>11136</v>
      </c>
      <c r="AA195" s="6"/>
      <c r="AB195" s="5" t="s">
        <v>11137</v>
      </c>
    </row>
    <row r="196" ht="14.25">
      <c r="A196" s="4" t="s">
        <v>11139</v>
      </c>
      <c r="B196" s="4" t="s">
        <v>7525</v>
      </c>
      <c r="C196" s="4" t="s">
        <v>11141</v>
      </c>
      <c r="F196" s="4" t="s">
        <v>11140</v>
      </c>
      <c r="G196" s="4">
        <v>10</v>
      </c>
      <c r="H196" s="4" t="s">
        <v>11142</v>
      </c>
      <c r="I196" s="4" t="str">
        <f>IFERROR(__XLUDF.DUMMYFUNCTION("PROPER(REGEXREPLACE(G194,""[^A-Za-z]+ "",""""))"),"Avenir Dirigeant")</f>
        <v xml:space="preserve">Avenir Dirigeant</v>
      </c>
      <c r="J196" s="5" t="s">
        <v>11143</v>
      </c>
      <c r="K196" s="4" t="s">
        <v>39</v>
      </c>
      <c r="L196" s="4" t="s">
        <v>9160</v>
      </c>
      <c r="M196" s="4" t="s">
        <v>29</v>
      </c>
      <c r="N196" s="4" t="s">
        <v>4067</v>
      </c>
      <c r="O196" s="4" t="str">
        <f>IFERROR(__XLUDF.DUMMYFUNCTION("VLOOKUP(M194,IMPORTRANGE(""https://docs.google.com/spreadsheets/d/1opm6ZNvGZ7KditA9TuJwrZ25eFLfTNIkrNnY6mhV5Eg"",""list!A1:C115""),3,TRUE)"),"le secteur du conseil en management")</f>
        <v xml:space="preserve">le secteur du conseil en management</v>
      </c>
      <c r="P196" s="4" t="s">
        <v>11144</v>
      </c>
      <c r="R196" s="4" t="s">
        <v>39</v>
      </c>
      <c r="S196" s="4" t="s">
        <v>9160</v>
      </c>
      <c r="T196" s="4" t="s">
        <v>29</v>
      </c>
      <c r="U196" s="5" t="s">
        <v>11145</v>
      </c>
      <c r="V196" s="5" t="s">
        <v>11146</v>
      </c>
      <c r="W196" s="5" t="s">
        <v>11147</v>
      </c>
      <c r="X196" s="6"/>
      <c r="Y196" s="6"/>
      <c r="Z196" s="4" t="s">
        <v>11148</v>
      </c>
      <c r="AA196" s="6"/>
      <c r="AB196" s="5" t="s">
        <v>11149</v>
      </c>
    </row>
    <row r="197" ht="14.25">
      <c r="A197" s="4" t="s">
        <v>11151</v>
      </c>
      <c r="B197" s="4" t="s">
        <v>1153</v>
      </c>
      <c r="C197" s="4" t="s">
        <v>11153</v>
      </c>
      <c r="F197" s="4" t="s">
        <v>11152</v>
      </c>
      <c r="G197" s="4">
        <v>20</v>
      </c>
      <c r="H197" s="4" t="s">
        <v>11154</v>
      </c>
      <c r="I197" s="4" t="str">
        <f>IFERROR(__XLUDF.DUMMYFUNCTION("PROPER(REGEXREPLACE(G195,""[^A-Za-z]+ "",""""))"),"Baron Sas")</f>
        <v xml:space="preserve">Baron Sas</v>
      </c>
      <c r="J197" s="5" t="s">
        <v>11155</v>
      </c>
      <c r="K197" s="4" t="s">
        <v>6480</v>
      </c>
      <c r="L197" s="4" t="s">
        <v>9281</v>
      </c>
      <c r="M197" s="4" t="s">
        <v>29</v>
      </c>
      <c r="N197" s="4" t="s">
        <v>10215</v>
      </c>
      <c r="O197" s="4" t="str">
        <f>IFERROR(__XLUDF.DUMMYFUNCTION("VLOOKUP(M195,IMPORTRANGE(""https://docs.google.com/spreadsheets/d/1opm6ZNvGZ7KditA9TuJwrZ25eFLfTNIkrNnY6mhV5Eg"",""list!A1:C115""),3,TRUE)"),"le secteur de l'électrique et électronique")</f>
        <v xml:space="preserve">le secteur de l'électrique et électronique</v>
      </c>
      <c r="P197" s="4" t="s">
        <v>11156</v>
      </c>
      <c r="R197" s="4" t="s">
        <v>11157</v>
      </c>
      <c r="S197" s="4" t="s">
        <v>9484</v>
      </c>
      <c r="T197" s="4" t="s">
        <v>29</v>
      </c>
      <c r="U197" s="5" t="s">
        <v>11158</v>
      </c>
      <c r="V197" s="6"/>
      <c r="W197" s="6"/>
      <c r="X197" s="6"/>
      <c r="Y197" s="6"/>
      <c r="Z197" s="4" t="s">
        <v>11159</v>
      </c>
      <c r="AA197" s="6"/>
      <c r="AB197" s="5" t="s">
        <v>11160</v>
      </c>
    </row>
    <row r="198" ht="14.25">
      <c r="A198" s="4" t="s">
        <v>11162</v>
      </c>
      <c r="B198" s="4" t="s">
        <v>4986</v>
      </c>
      <c r="C198" s="4" t="s">
        <v>11164</v>
      </c>
      <c r="F198" s="4" t="s">
        <v>11163</v>
      </c>
      <c r="G198" s="4">
        <v>49</v>
      </c>
      <c r="H198" s="4" t="s">
        <v>10659</v>
      </c>
      <c r="I198" s="4" t="str">
        <f>IFERROR(__XLUDF.DUMMYFUNCTION("PROPER(REGEXREPLACE(G196,""[^A-Za-z]+ "",""""))"),"Vakom Le Sens De L'Humain")</f>
        <v xml:space="preserve">Vakom Le Sens De L'Humain</v>
      </c>
      <c r="J198" s="5" t="s">
        <v>10660</v>
      </c>
      <c r="K198" s="4" t="s">
        <v>83</v>
      </c>
      <c r="L198" s="4" t="s">
        <v>9460</v>
      </c>
      <c r="M198" s="4" t="s">
        <v>29</v>
      </c>
      <c r="N198" s="4" t="s">
        <v>4067</v>
      </c>
      <c r="O198" s="4" t="str">
        <f>IFERROR(__XLUDF.DUMMYFUNCTION("VLOOKUP(M196,IMPORTRANGE(""https://docs.google.com/spreadsheets/d/1opm6ZNvGZ7KditA9TuJwrZ25eFLfTNIkrNnY6mhV5Eg"",""list!A1:C115""),3,TRUE)"),"le secteur du conseil en management")</f>
        <v xml:space="preserve">le secteur du conseil en management</v>
      </c>
      <c r="P198" s="4" t="s">
        <v>10662</v>
      </c>
      <c r="R198" s="4" t="s">
        <v>492</v>
      </c>
      <c r="S198" s="4" t="s">
        <v>9267</v>
      </c>
      <c r="T198" s="4" t="s">
        <v>29</v>
      </c>
      <c r="U198" s="5" t="s">
        <v>10663</v>
      </c>
      <c r="V198" s="6"/>
      <c r="W198" s="5" t="s">
        <v>10664</v>
      </c>
      <c r="X198" s="6"/>
      <c r="Y198" s="6"/>
      <c r="Z198" s="4" t="s">
        <v>10665</v>
      </c>
      <c r="AA198" s="6"/>
      <c r="AB198" s="5" t="s">
        <v>11165</v>
      </c>
    </row>
    <row r="199" ht="14.25">
      <c r="A199" s="4" t="s">
        <v>11167</v>
      </c>
      <c r="B199" s="4" t="s">
        <v>4986</v>
      </c>
      <c r="C199" s="4" t="s">
        <v>198</v>
      </c>
      <c r="F199" s="4" t="s">
        <v>11168</v>
      </c>
      <c r="G199" s="4">
        <v>16</v>
      </c>
      <c r="H199" s="4" t="s">
        <v>11169</v>
      </c>
      <c r="I199" s="4" t="str">
        <f>IFERROR(__XLUDF.DUMMYFUNCTION("PROPER(REGEXREPLACE(G197,""[^A-Za-z]+ "",""""))"),"Wondercrushact4U Group")</f>
        <v xml:space="preserve">Wondercrushact4U Group</v>
      </c>
      <c r="J199" s="5" t="s">
        <v>11170</v>
      </c>
      <c r="K199" s="4" t="s">
        <v>1711</v>
      </c>
      <c r="L199" s="4" t="s">
        <v>9350</v>
      </c>
      <c r="M199" s="4" t="s">
        <v>29</v>
      </c>
      <c r="N199" s="4" t="s">
        <v>9161</v>
      </c>
      <c r="O199" s="4" t="str">
        <f>IFERROR(__XLUDF.DUMMYFUNCTION("VLOOKUP(M197,IMPORTRANGE(""https://docs.google.com/spreadsheets/d/1opm6ZNvGZ7KditA9TuJwrZ25eFLfTNIkrNnY6mhV5Eg"",""list!A1:C115""),3,TRUE)"),"le secteur du marketing")</f>
        <v xml:space="preserve">le secteur du marketing</v>
      </c>
      <c r="P199" s="6"/>
      <c r="R199" s="4" t="s">
        <v>11171</v>
      </c>
      <c r="S199" s="4" t="s">
        <v>9350</v>
      </c>
      <c r="T199" s="4" t="s">
        <v>29</v>
      </c>
      <c r="U199" s="5" t="s">
        <v>11172</v>
      </c>
      <c r="V199" s="6"/>
      <c r="W199" s="6"/>
      <c r="X199" s="6"/>
      <c r="Y199" s="6"/>
      <c r="Z199" s="4" t="s">
        <v>11173</v>
      </c>
      <c r="AA199" s="6"/>
      <c r="AB199" s="5" t="s">
        <v>11174</v>
      </c>
    </row>
    <row r="200" ht="14.25">
      <c r="A200" s="4" t="s">
        <v>11176</v>
      </c>
      <c r="B200" s="4" t="s">
        <v>4986</v>
      </c>
      <c r="C200" s="4" t="s">
        <v>11178</v>
      </c>
      <c r="F200" s="4" t="s">
        <v>11177</v>
      </c>
      <c r="G200" s="4">
        <v>28</v>
      </c>
      <c r="H200" s="4" t="s">
        <v>11179</v>
      </c>
      <c r="I200" s="4" t="str">
        <f>IFERROR(__XLUDF.DUMMYFUNCTION("PROPER(REGEXREPLACE(G198,""[^A-Za-z]+ "",""""))"),"La Maison Plisson")</f>
        <v xml:space="preserve">La Maison Plisson</v>
      </c>
      <c r="J200" s="5" t="s">
        <v>11180</v>
      </c>
      <c r="K200" s="4" t="s">
        <v>39</v>
      </c>
      <c r="L200" s="4" t="s">
        <v>9160</v>
      </c>
      <c r="M200" s="4" t="s">
        <v>29</v>
      </c>
      <c r="N200" s="4" t="s">
        <v>4525</v>
      </c>
      <c r="O200" s="4" t="str">
        <f>IFERROR(__XLUDF.DUMMYFUNCTION("VLOOKUP(M198,IMPORTRANGE(""https://docs.google.com/spreadsheets/d/1opm6ZNvGZ7KditA9TuJwrZ25eFLfTNIkrNnY6mhV5Eg"",""list!A1:C115""),3,TRUE)"),"le secteur du retail")</f>
        <v xml:space="preserve">le secteur du retail</v>
      </c>
      <c r="P200" s="4" t="s">
        <v>11181</v>
      </c>
      <c r="R200" s="4" t="s">
        <v>39</v>
      </c>
      <c r="S200" s="4" t="s">
        <v>9160</v>
      </c>
      <c r="T200" s="4" t="s">
        <v>29</v>
      </c>
      <c r="U200" s="5" t="s">
        <v>11182</v>
      </c>
      <c r="V200" s="6"/>
      <c r="W200" s="6"/>
      <c r="X200" s="6"/>
      <c r="Y200" s="6"/>
      <c r="Z200" s="4" t="s">
        <v>11183</v>
      </c>
      <c r="AA200" s="6"/>
      <c r="AB200" s="5" t="s">
        <v>11184</v>
      </c>
    </row>
    <row r="201" ht="14.25">
      <c r="A201" s="4" t="s">
        <v>11186</v>
      </c>
      <c r="B201" s="4" t="s">
        <v>4986</v>
      </c>
      <c r="C201" s="4" t="s">
        <v>11188</v>
      </c>
      <c r="F201" s="4" t="s">
        <v>11187</v>
      </c>
      <c r="G201" s="4">
        <v>32</v>
      </c>
      <c r="H201" s="4" t="s">
        <v>11189</v>
      </c>
      <c r="I201" s="4" t="str">
        <f>IFERROR(__XLUDF.DUMMYFUNCTION("PROPER(REGEXREPLACE(G199,""[^A-Za-z]+ "",""""))"),"Tempeos")</f>
        <v>Tempeos</v>
      </c>
      <c r="J201" s="5" t="s">
        <v>11190</v>
      </c>
      <c r="K201" s="4" t="s">
        <v>11191</v>
      </c>
      <c r="L201" s="4" t="s">
        <v>9460</v>
      </c>
      <c r="M201" s="4" t="s">
        <v>29</v>
      </c>
      <c r="N201" s="4" t="s">
        <v>4067</v>
      </c>
      <c r="O201" s="4" t="str">
        <f>IFERROR(__XLUDF.DUMMYFUNCTION("VLOOKUP(M199,IMPORTRANGE(""https://docs.google.com/spreadsheets/d/1opm6ZNvGZ7KditA9TuJwrZ25eFLfTNIkrNnY6mhV5Eg"",""list!A1:C115""),3,TRUE)"),"le secteur du conseil en management")</f>
        <v xml:space="preserve">le secteur du conseil en management</v>
      </c>
      <c r="P201" s="4" t="s">
        <v>11192</v>
      </c>
      <c r="R201" s="4" t="s">
        <v>731</v>
      </c>
      <c r="S201" s="4" t="s">
        <v>9227</v>
      </c>
      <c r="T201" s="4" t="s">
        <v>29</v>
      </c>
      <c r="U201" s="5" t="s">
        <v>11193</v>
      </c>
      <c r="V201" s="6"/>
      <c r="W201" s="6"/>
      <c r="X201" s="6"/>
      <c r="Y201" s="6"/>
      <c r="Z201" s="4" t="s">
        <v>11194</v>
      </c>
      <c r="AA201" s="6"/>
      <c r="AB201" s="5" t="s">
        <v>11195</v>
      </c>
    </row>
    <row r="202" ht="14.25">
      <c r="A202" s="4" t="s">
        <v>11197</v>
      </c>
      <c r="B202" s="4" t="s">
        <v>7525</v>
      </c>
      <c r="C202" s="4" t="s">
        <v>11199</v>
      </c>
      <c r="F202" s="4" t="s">
        <v>11198</v>
      </c>
      <c r="G202" s="4">
        <v>49</v>
      </c>
      <c r="H202" s="4" t="s">
        <v>11200</v>
      </c>
      <c r="I202" s="4" t="str">
        <f>IFERROR(__XLUDF.DUMMYFUNCTION("PROPER(REGEXREPLACE(G200,""[^A-Za-z]+ "",""""))"),"Agro Alimentaire Conseil")</f>
        <v xml:space="preserve">Agro Alimentaire Conseil</v>
      </c>
      <c r="J202" s="6"/>
      <c r="K202" s="4" t="s">
        <v>11201</v>
      </c>
      <c r="L202" s="4" t="s">
        <v>9193</v>
      </c>
      <c r="M202" s="4" t="s">
        <v>29</v>
      </c>
      <c r="N202" s="4" t="s">
        <v>4067</v>
      </c>
      <c r="O202" s="4" t="str">
        <f>IFERROR(__XLUDF.DUMMYFUNCTION("VLOOKUP(M200,IMPORTRANGE(""https://docs.google.com/spreadsheets/d/1opm6ZNvGZ7KditA9TuJwrZ25eFLfTNIkrNnY6mhV5Eg"",""list!A1:C115""),3,TRUE)"),"le secteur du conseil en management")</f>
        <v xml:space="preserve">le secteur du conseil en management</v>
      </c>
      <c r="P202" s="6"/>
      <c r="R202" s="4" t="s">
        <v>11201</v>
      </c>
      <c r="S202" s="4" t="s">
        <v>9193</v>
      </c>
      <c r="T202" s="4" t="s">
        <v>29</v>
      </c>
      <c r="U202" s="5" t="s">
        <v>11202</v>
      </c>
      <c r="V202" s="6"/>
      <c r="W202" s="6"/>
      <c r="X202" s="6"/>
      <c r="Y202" s="6"/>
      <c r="Z202" s="4" t="s">
        <v>11203</v>
      </c>
      <c r="AA202" s="6"/>
      <c r="AB202" s="5" t="s">
        <v>11204</v>
      </c>
    </row>
    <row r="203" ht="14.25">
      <c r="A203" s="4" t="s">
        <v>11206</v>
      </c>
      <c r="B203" s="4" t="s">
        <v>7525</v>
      </c>
      <c r="C203" s="4" t="s">
        <v>426</v>
      </c>
      <c r="F203" s="4" t="s">
        <v>11207</v>
      </c>
      <c r="G203" s="4">
        <v>17</v>
      </c>
      <c r="H203" s="4" t="s">
        <v>11208</v>
      </c>
      <c r="I203" s="4" t="str">
        <f>IFERROR(__XLUDF.DUMMYFUNCTION("PROPER(REGEXREPLACE(G201,""[^A-Za-z]+ "",""""))"),"Elips Solution")</f>
        <v xml:space="preserve">Elips Solution</v>
      </c>
      <c r="J203" s="5" t="s">
        <v>11209</v>
      </c>
      <c r="K203" s="6"/>
      <c r="L203" s="6"/>
      <c r="M203" s="4" t="s">
        <v>29</v>
      </c>
      <c r="N203" s="4" t="s">
        <v>2602</v>
      </c>
      <c r="O203" s="4" t="str">
        <f>IFERROR(__XLUDF.DUMMYFUNCTION("VLOOKUP(M201,IMPORTRANGE(""https://docs.google.com/spreadsheets/d/1opm6ZNvGZ7KditA9TuJwrZ25eFLfTNIkrNnY6mhV5Eg"",""list!A1:C115""),3,TRUE)"),"le secteur de la tech")</f>
        <v xml:space="preserve">le secteur de la tech</v>
      </c>
      <c r="P203" s="6"/>
      <c r="R203" s="4" t="s">
        <v>6954</v>
      </c>
      <c r="S203" s="4" t="s">
        <v>10370</v>
      </c>
      <c r="T203" s="4" t="s">
        <v>29</v>
      </c>
      <c r="U203" s="5" t="s">
        <v>11210</v>
      </c>
      <c r="V203" s="6"/>
      <c r="W203" s="6"/>
      <c r="X203" s="6"/>
      <c r="Y203" s="6"/>
      <c r="Z203" s="4" t="s">
        <v>11211</v>
      </c>
      <c r="AA203" s="6"/>
      <c r="AB203" s="5" t="s">
        <v>11212</v>
      </c>
    </row>
    <row r="204" ht="14.25">
      <c r="A204" s="4" t="s">
        <v>11214</v>
      </c>
      <c r="B204" s="4" t="s">
        <v>604</v>
      </c>
      <c r="C204" s="4" t="s">
        <v>341</v>
      </c>
      <c r="F204" s="4" t="s">
        <v>11215</v>
      </c>
      <c r="G204" s="4">
        <v>13</v>
      </c>
      <c r="H204" s="4" t="s">
        <v>11216</v>
      </c>
      <c r="I204" s="4" t="str">
        <f>IFERROR(__XLUDF.DUMMYFUNCTION("PROPER(REGEXREPLACE(G202,""[^A-Za-z]+ "",""""))"),"Os-Consultech")</f>
        <v>Os-Consultech</v>
      </c>
      <c r="J204" s="5" t="s">
        <v>11217</v>
      </c>
      <c r="K204" s="4" t="s">
        <v>11218</v>
      </c>
      <c r="L204" s="4" t="s">
        <v>9278</v>
      </c>
      <c r="M204" s="4" t="s">
        <v>29</v>
      </c>
      <c r="N204" s="4" t="s">
        <v>2602</v>
      </c>
      <c r="O204" s="4" t="str">
        <f>IFERROR(__XLUDF.DUMMYFUNCTION("VLOOKUP(M202,IMPORTRANGE(""https://docs.google.com/spreadsheets/d/1opm6ZNvGZ7KditA9TuJwrZ25eFLfTNIkrNnY6mhV5Eg"",""list!A1:C115""),3,TRUE)"),"le secteur de la tech")</f>
        <v xml:space="preserve">le secteur de la tech</v>
      </c>
      <c r="P204" s="4" t="s">
        <v>11219</v>
      </c>
      <c r="R204" s="4" t="s">
        <v>10537</v>
      </c>
      <c r="S204" s="4" t="s">
        <v>9281</v>
      </c>
      <c r="T204" s="4" t="s">
        <v>29</v>
      </c>
      <c r="U204" s="5" t="s">
        <v>11220</v>
      </c>
      <c r="V204" s="6"/>
      <c r="W204" s="6"/>
      <c r="X204" s="6"/>
      <c r="Y204" s="6"/>
      <c r="Z204" s="4" t="s">
        <v>11221</v>
      </c>
      <c r="AA204" s="6"/>
      <c r="AB204" s="5" t="s">
        <v>11222</v>
      </c>
    </row>
    <row r="205" ht="14.25">
      <c r="A205" s="4" t="s">
        <v>11224</v>
      </c>
      <c r="B205" s="4" t="s">
        <v>1153</v>
      </c>
      <c r="C205" s="4" t="s">
        <v>1231</v>
      </c>
      <c r="F205" s="4" t="s">
        <v>11225</v>
      </c>
      <c r="G205" s="4">
        <v>22</v>
      </c>
      <c r="H205" s="4" t="s">
        <v>9447</v>
      </c>
      <c r="I205" s="4" t="str">
        <f>IFERROR(__XLUDF.DUMMYFUNCTION("PROPER(REGEXREPLACE(G203,""[^A-Za-z]+ "",""""))"),"Opstim")</f>
        <v>Opstim</v>
      </c>
      <c r="J205" s="5" t="s">
        <v>9448</v>
      </c>
      <c r="K205" s="4" t="s">
        <v>39</v>
      </c>
      <c r="L205" s="4" t="s">
        <v>9160</v>
      </c>
      <c r="M205" s="4" t="s">
        <v>29</v>
      </c>
      <c r="N205" s="4" t="s">
        <v>2602</v>
      </c>
      <c r="O205" s="4" t="str">
        <f>IFERROR(__XLUDF.DUMMYFUNCTION("VLOOKUP(M203,IMPORTRANGE(""https://docs.google.com/spreadsheets/d/1opm6ZNvGZ7KditA9TuJwrZ25eFLfTNIkrNnY6mhV5Eg"",""list!A1:C115""),3,TRUE)"),"le secteur de la tech")</f>
        <v xml:space="preserve">le secteur de la tech</v>
      </c>
      <c r="P205" s="4" t="s">
        <v>9449</v>
      </c>
      <c r="R205" s="4" t="s">
        <v>39</v>
      </c>
      <c r="S205" s="4" t="s">
        <v>9160</v>
      </c>
      <c r="T205" s="4" t="s">
        <v>29</v>
      </c>
      <c r="U205" s="5" t="s">
        <v>9450</v>
      </c>
      <c r="V205" s="6"/>
      <c r="W205" s="6"/>
      <c r="X205" s="6"/>
      <c r="Y205" s="6"/>
      <c r="Z205" s="4" t="s">
        <v>9451</v>
      </c>
      <c r="AA205" s="6"/>
      <c r="AB205" s="5" t="s">
        <v>11226</v>
      </c>
    </row>
    <row r="206" ht="14.25">
      <c r="A206" s="4" t="s">
        <v>8599</v>
      </c>
      <c r="B206" s="4" t="s">
        <v>571</v>
      </c>
      <c r="C206" s="4" t="s">
        <v>11229</v>
      </c>
      <c r="F206" s="4" t="s">
        <v>11228</v>
      </c>
      <c r="G206" s="4">
        <v>36</v>
      </c>
      <c r="H206" s="4" t="s">
        <v>11230</v>
      </c>
      <c r="I206" s="4" t="str">
        <f>IFERROR(__XLUDF.DUMMYFUNCTION("PROPER(REGEXREPLACE(G204,""[^A-Za-z]+ "",""""))"),"Prime Analytics")</f>
        <v xml:space="preserve">Prime Analytics</v>
      </c>
      <c r="J206" s="5" t="s">
        <v>11231</v>
      </c>
      <c r="K206" s="4" t="s">
        <v>39</v>
      </c>
      <c r="L206" s="4" t="s">
        <v>9160</v>
      </c>
      <c r="M206" s="4" t="s">
        <v>29</v>
      </c>
      <c r="N206" s="4" t="s">
        <v>2602</v>
      </c>
      <c r="O206" s="4" t="str">
        <f>IFERROR(__XLUDF.DUMMYFUNCTION("VLOOKUP(M204,IMPORTRANGE(""https://docs.google.com/spreadsheets/d/1opm6ZNvGZ7KditA9TuJwrZ25eFLfTNIkrNnY6mhV5Eg"",""list!A1:C115""),3,TRUE)"),"le secteur de la tech")</f>
        <v xml:space="preserve">le secteur de la tech</v>
      </c>
      <c r="P206" s="4" t="s">
        <v>11232</v>
      </c>
      <c r="R206" s="4" t="s">
        <v>1419</v>
      </c>
      <c r="S206" s="4" t="s">
        <v>9160</v>
      </c>
      <c r="T206" s="4" t="s">
        <v>29</v>
      </c>
      <c r="U206" s="5" t="s">
        <v>11233</v>
      </c>
      <c r="V206" s="6"/>
      <c r="W206" s="5" t="s">
        <v>11234</v>
      </c>
      <c r="X206" s="6"/>
      <c r="Y206" s="6"/>
      <c r="Z206" s="4" t="s">
        <v>11235</v>
      </c>
      <c r="AA206" s="6"/>
      <c r="AB206" s="5" t="s">
        <v>11236</v>
      </c>
    </row>
    <row r="207" ht="14.25">
      <c r="A207" s="4" t="s">
        <v>2165</v>
      </c>
      <c r="B207" s="4" t="s">
        <v>571</v>
      </c>
      <c r="C207" s="4" t="s">
        <v>11239</v>
      </c>
      <c r="F207" s="4" t="s">
        <v>11238</v>
      </c>
      <c r="G207" s="4">
        <v>24</v>
      </c>
      <c r="H207" s="4" t="s">
        <v>11240</v>
      </c>
      <c r="I207" s="4" t="str">
        <f>IFERROR(__XLUDF.DUMMYFUNCTION("PROPER(REGEXREPLACE(G205,""[^A-Za-z]+ "",""""))"),"Pierrenoël")</f>
        <v>Pierrenoël</v>
      </c>
      <c r="J207" s="5" t="s">
        <v>11241</v>
      </c>
      <c r="K207" s="4" t="s">
        <v>39</v>
      </c>
      <c r="L207" s="4" t="s">
        <v>9160</v>
      </c>
      <c r="M207" s="4" t="s">
        <v>29</v>
      </c>
      <c r="N207" s="4" t="s">
        <v>9239</v>
      </c>
      <c r="O207" s="4" t="str">
        <f>IFERROR(__XLUDF.DUMMYFUNCTION("VLOOKUP(M205,IMPORTRANGE(""https://docs.google.com/spreadsheets/d/1opm6ZNvGZ7KditA9TuJwrZ25eFLfTNIkrNnY6mhV5Eg"",""list!A1:C115""),3,TRUE)"),"le secteur de la construction")</f>
        <v xml:space="preserve">le secteur de la construction</v>
      </c>
      <c r="P207" s="4" t="s">
        <v>11242</v>
      </c>
      <c r="R207" s="4" t="s">
        <v>4009</v>
      </c>
      <c r="S207" s="4" t="s">
        <v>9160</v>
      </c>
      <c r="T207" s="4" t="s">
        <v>29</v>
      </c>
      <c r="U207" s="5" t="s">
        <v>11243</v>
      </c>
      <c r="V207" s="6"/>
      <c r="W207" s="6"/>
      <c r="X207" s="6"/>
      <c r="Y207" s="6"/>
      <c r="Z207" s="4" t="s">
        <v>11244</v>
      </c>
      <c r="AA207" s="6"/>
      <c r="AB207" s="5" t="s">
        <v>11245</v>
      </c>
    </row>
    <row r="208" ht="14.25">
      <c r="A208" s="4" t="s">
        <v>6037</v>
      </c>
      <c r="B208" s="4" t="s">
        <v>571</v>
      </c>
      <c r="C208" s="4" t="s">
        <v>1950</v>
      </c>
      <c r="F208" s="4" t="s">
        <v>11247</v>
      </c>
      <c r="G208" s="4">
        <v>30</v>
      </c>
      <c r="H208" s="4" t="s">
        <v>11248</v>
      </c>
      <c r="I208" s="4" t="str">
        <f>IFERROR(__XLUDF.DUMMYFUNCTION("PROPER(REGEXREPLACE(G206,""[^A-Za-z]+ "",""""))"),"Groupemen")</f>
        <v>Groupemen</v>
      </c>
      <c r="J208" s="6"/>
      <c r="K208" s="4" t="s">
        <v>482</v>
      </c>
      <c r="L208" s="4" t="s">
        <v>9460</v>
      </c>
      <c r="M208" s="4" t="s">
        <v>29</v>
      </c>
      <c r="N208" s="4" t="s">
        <v>4525</v>
      </c>
      <c r="O208" s="4" t="str">
        <f>IFERROR(__XLUDF.DUMMYFUNCTION("VLOOKUP(M206,IMPORTRANGE(""https://docs.google.com/spreadsheets/d/1opm6ZNvGZ7KditA9TuJwrZ25eFLfTNIkrNnY6mhV5Eg"",""list!A1:C115""),3,TRUE)"),"le secteur du retail")</f>
        <v xml:space="preserve">le secteur du retail</v>
      </c>
      <c r="P208" s="6"/>
      <c r="R208" s="4" t="s">
        <v>1204</v>
      </c>
      <c r="S208" s="4" t="s">
        <v>10829</v>
      </c>
      <c r="T208" s="4" t="s">
        <v>29</v>
      </c>
      <c r="U208" s="5" t="s">
        <v>11249</v>
      </c>
      <c r="V208" s="6"/>
      <c r="W208" s="6"/>
      <c r="X208" s="6"/>
      <c r="Y208" s="6"/>
      <c r="Z208" s="4" t="s">
        <v>11250</v>
      </c>
      <c r="AA208" s="6"/>
      <c r="AB208" s="5" t="s">
        <v>11251</v>
      </c>
    </row>
    <row r="209" ht="14.25">
      <c r="A209" s="4" t="s">
        <v>11253</v>
      </c>
      <c r="B209" s="4" t="s">
        <v>571</v>
      </c>
      <c r="C209" s="4" t="s">
        <v>9410</v>
      </c>
      <c r="F209" s="4" t="s">
        <v>11254</v>
      </c>
      <c r="G209" s="4">
        <v>12</v>
      </c>
      <c r="H209" s="4" t="s">
        <v>11255</v>
      </c>
      <c r="I209" s="4" t="str">
        <f>IFERROR(__XLUDF.DUMMYFUNCTION("PROPER(REGEXREPLACE(G207,""[^A-Za-z]+ "",""""))"),"Chrymelie")</f>
        <v>Chrymelie</v>
      </c>
      <c r="J209" s="5" t="s">
        <v>11256</v>
      </c>
      <c r="K209" s="4" t="s">
        <v>39</v>
      </c>
      <c r="L209" s="4" t="s">
        <v>9160</v>
      </c>
      <c r="M209" s="4" t="s">
        <v>29</v>
      </c>
      <c r="N209" s="4" t="s">
        <v>4067</v>
      </c>
      <c r="O209" s="4" t="str">
        <f>IFERROR(__XLUDF.DUMMYFUNCTION("VLOOKUP(M207,IMPORTRANGE(""https://docs.google.com/spreadsheets/d/1opm6ZNvGZ7KditA9TuJwrZ25eFLfTNIkrNnY6mhV5Eg"",""list!A1:C115""),3,TRUE)"),"le secteur du conseil en management")</f>
        <v xml:space="preserve">le secteur du conseil en management</v>
      </c>
      <c r="P209" s="4" t="s">
        <v>11257</v>
      </c>
      <c r="R209" s="4" t="s">
        <v>39</v>
      </c>
      <c r="S209" s="4" t="s">
        <v>9160</v>
      </c>
      <c r="T209" s="4" t="s">
        <v>29</v>
      </c>
      <c r="U209" s="5" t="s">
        <v>11258</v>
      </c>
      <c r="V209" s="6"/>
      <c r="W209" s="5" t="s">
        <v>11259</v>
      </c>
      <c r="X209" s="6"/>
      <c r="Y209" s="6"/>
      <c r="Z209" s="4" t="s">
        <v>11260</v>
      </c>
      <c r="AA209" s="6"/>
      <c r="AB209" s="5" t="s">
        <v>11261</v>
      </c>
    </row>
    <row r="210" ht="14.25">
      <c r="A210" s="4" t="s">
        <v>3319</v>
      </c>
      <c r="B210" s="4" t="s">
        <v>11263</v>
      </c>
      <c r="C210" s="4" t="s">
        <v>2636</v>
      </c>
      <c r="F210" s="4" t="s">
        <v>11264</v>
      </c>
      <c r="G210" s="4">
        <v>50</v>
      </c>
      <c r="H210" s="4" t="s">
        <v>11265</v>
      </c>
      <c r="I210" s="4" t="str">
        <f>IFERROR(__XLUDF.DUMMYFUNCTION("PROPER(REGEXREPLACE(G208,""[^A-Za-z]+ "",""""))"),"Junior Imt Nord Europe")</f>
        <v xml:space="preserve">Junior Imt Nord Europe</v>
      </c>
      <c r="J210" s="5" t="s">
        <v>11266</v>
      </c>
      <c r="K210" s="4" t="s">
        <v>11267</v>
      </c>
      <c r="L210" s="4" t="s">
        <v>9160</v>
      </c>
      <c r="M210" s="4" t="s">
        <v>29</v>
      </c>
      <c r="N210" s="4" t="s">
        <v>4067</v>
      </c>
      <c r="O210" s="4" t="str">
        <f>IFERROR(__XLUDF.DUMMYFUNCTION("VLOOKUP(M208,IMPORTRANGE(""https://docs.google.com/spreadsheets/d/1opm6ZNvGZ7KditA9TuJwrZ25eFLfTNIkrNnY6mhV5Eg"",""list!A1:C115""),3,TRUE)"),"le secteur du conseil en management")</f>
        <v xml:space="preserve">le secteur du conseil en management</v>
      </c>
      <c r="P210" s="6"/>
      <c r="R210" s="4" t="s">
        <v>9852</v>
      </c>
      <c r="S210" s="4" t="s">
        <v>9281</v>
      </c>
      <c r="T210" s="4" t="s">
        <v>29</v>
      </c>
      <c r="U210" s="5" t="s">
        <v>11268</v>
      </c>
      <c r="V210" s="6"/>
      <c r="W210" s="5" t="s">
        <v>11269</v>
      </c>
      <c r="X210" s="6"/>
      <c r="Y210" s="6"/>
      <c r="Z210" s="4" t="s">
        <v>11270</v>
      </c>
      <c r="AA210" s="6"/>
      <c r="AB210" s="5" t="s">
        <v>11271</v>
      </c>
    </row>
    <row r="211" ht="14.25">
      <c r="A211" s="4" t="s">
        <v>11273</v>
      </c>
      <c r="B211" s="4" t="s">
        <v>3909</v>
      </c>
      <c r="C211" s="4" t="s">
        <v>7759</v>
      </c>
      <c r="F211" s="4" t="s">
        <v>11274</v>
      </c>
      <c r="G211" s="4">
        <v>23</v>
      </c>
      <c r="H211" s="4" t="s">
        <v>11275</v>
      </c>
      <c r="I211" s="4" t="str">
        <f>IFERROR(__XLUDF.DUMMYFUNCTION("PROPER(REGEXREPLACE(G209,""[^A-Za-z]+ "",""""))"),"Zanier")</f>
        <v>Zanier</v>
      </c>
      <c r="J211" s="5" t="s">
        <v>11276</v>
      </c>
      <c r="K211" s="4" t="s">
        <v>39</v>
      </c>
      <c r="L211" s="4" t="s">
        <v>9160</v>
      </c>
      <c r="M211" s="4" t="s">
        <v>29</v>
      </c>
      <c r="N211" s="4" t="s">
        <v>9239</v>
      </c>
      <c r="O211" s="4" t="str">
        <f>IFERROR(__XLUDF.DUMMYFUNCTION("VLOOKUP(M209,IMPORTRANGE(""https://docs.google.com/spreadsheets/d/1opm6ZNvGZ7KditA9TuJwrZ25eFLfTNIkrNnY6mhV5Eg"",""list!A1:C115""),3,TRUE)"),"le secteur de la construction")</f>
        <v xml:space="preserve">le secteur de la construction</v>
      </c>
      <c r="P211" s="4" t="s">
        <v>11277</v>
      </c>
      <c r="R211" s="4" t="s">
        <v>11278</v>
      </c>
      <c r="S211" s="4" t="s">
        <v>9160</v>
      </c>
      <c r="T211" s="4" t="s">
        <v>29</v>
      </c>
      <c r="U211" s="5" t="s">
        <v>11279</v>
      </c>
      <c r="V211" s="6"/>
      <c r="W211" s="6"/>
      <c r="X211" s="6"/>
      <c r="Y211" s="6"/>
      <c r="Z211" s="4" t="s">
        <v>11280</v>
      </c>
      <c r="AA211" s="6"/>
      <c r="AB211" s="5" t="s">
        <v>11281</v>
      </c>
    </row>
    <row r="212" ht="14.25">
      <c r="A212" s="4" t="s">
        <v>11283</v>
      </c>
      <c r="B212" s="4" t="s">
        <v>8057</v>
      </c>
      <c r="C212" s="4" t="s">
        <v>62</v>
      </c>
      <c r="F212" s="4" t="s">
        <v>11284</v>
      </c>
      <c r="G212" s="4">
        <v>49</v>
      </c>
      <c r="H212" s="4" t="s">
        <v>11285</v>
      </c>
      <c r="I212" s="4" t="str">
        <f>IFERROR(__XLUDF.DUMMYFUNCTION("PROPER(REGEXREPLACE(G210,""[^A-Za-z]+ "",""""))"),"Wemoms")</f>
        <v>Wemoms</v>
      </c>
      <c r="J212" s="5" t="s">
        <v>11286</v>
      </c>
      <c r="K212" s="4" t="s">
        <v>39</v>
      </c>
      <c r="L212" s="4" t="s">
        <v>9160</v>
      </c>
      <c r="M212" s="4" t="s">
        <v>29</v>
      </c>
      <c r="N212" s="4" t="s">
        <v>2602</v>
      </c>
      <c r="O212" s="4" t="str">
        <f>IFERROR(__XLUDF.DUMMYFUNCTION("VLOOKUP(M210,IMPORTRANGE(""https://docs.google.com/spreadsheets/d/1opm6ZNvGZ7KditA9TuJwrZ25eFLfTNIkrNnY6mhV5Eg"",""list!A1:C115""),3,TRUE)"),"le secteur de la tech")</f>
        <v xml:space="preserve">le secteur de la tech</v>
      </c>
      <c r="P212" s="4" t="s">
        <v>11287</v>
      </c>
      <c r="R212" s="4" t="s">
        <v>39</v>
      </c>
      <c r="S212" s="4" t="s">
        <v>9160</v>
      </c>
      <c r="T212" s="4" t="s">
        <v>29</v>
      </c>
      <c r="U212" s="5" t="s">
        <v>11288</v>
      </c>
      <c r="V212" s="5" t="s">
        <v>11289</v>
      </c>
      <c r="W212" s="5" t="s">
        <v>11290</v>
      </c>
      <c r="X212" s="6"/>
      <c r="Y212" s="6"/>
      <c r="Z212" s="4" t="s">
        <v>11291</v>
      </c>
      <c r="AA212" s="6"/>
      <c r="AB212" s="5" t="s">
        <v>11292</v>
      </c>
    </row>
    <row r="213" ht="14.25">
      <c r="A213" s="4" t="s">
        <v>11294</v>
      </c>
      <c r="B213" s="4" t="s">
        <v>7559</v>
      </c>
      <c r="C213" s="4" t="s">
        <v>11296</v>
      </c>
      <c r="F213" s="4" t="s">
        <v>11295</v>
      </c>
      <c r="G213" s="4">
        <v>18</v>
      </c>
      <c r="H213" s="4" t="s">
        <v>11297</v>
      </c>
      <c r="I213" s="4" t="str">
        <f>IFERROR(__XLUDF.DUMMYFUNCTION("PROPER(REGEXREPLACE(G211,""[^A-Za-z]+ "",""""))"),"Trf Retail")</f>
        <v xml:space="preserve">Trf Retail</v>
      </c>
      <c r="J213" s="5" t="s">
        <v>11298</v>
      </c>
      <c r="K213" s="4" t="s">
        <v>39</v>
      </c>
      <c r="L213" s="4" t="s">
        <v>9160</v>
      </c>
      <c r="M213" s="4" t="s">
        <v>29</v>
      </c>
      <c r="N213" s="4" t="s">
        <v>2602</v>
      </c>
      <c r="O213" s="4" t="str">
        <f>IFERROR(__XLUDF.DUMMYFUNCTION("VLOOKUP(M211,IMPORTRANGE(""https://docs.google.com/spreadsheets/d/1opm6ZNvGZ7KditA9TuJwrZ25eFLfTNIkrNnY6mhV5Eg"",""list!A1:C115""),3,TRUE)"),"le secteur de la tech")</f>
        <v xml:space="preserve">le secteur de la tech</v>
      </c>
      <c r="P213" s="4" t="s">
        <v>11299</v>
      </c>
      <c r="R213" s="4" t="s">
        <v>482</v>
      </c>
      <c r="S213" s="4" t="s">
        <v>9460</v>
      </c>
      <c r="T213" s="4" t="s">
        <v>29</v>
      </c>
      <c r="U213" s="5" t="s">
        <v>11300</v>
      </c>
      <c r="V213" s="5" t="s">
        <v>11301</v>
      </c>
      <c r="W213" s="5" t="s">
        <v>11302</v>
      </c>
      <c r="X213" s="6"/>
      <c r="Y213" s="6"/>
      <c r="Z213" s="4" t="s">
        <v>11303</v>
      </c>
      <c r="AA213" s="6"/>
      <c r="AB213" s="5" t="s">
        <v>11304</v>
      </c>
    </row>
    <row r="214" ht="14.25">
      <c r="A214" s="4" t="s">
        <v>11306</v>
      </c>
      <c r="B214" s="4" t="s">
        <v>7559</v>
      </c>
      <c r="C214" s="4" t="s">
        <v>9890</v>
      </c>
      <c r="F214" s="4" t="s">
        <v>11307</v>
      </c>
      <c r="G214" s="4">
        <v>17</v>
      </c>
      <c r="H214" s="4" t="s">
        <v>11308</v>
      </c>
      <c r="I214" s="4" t="str">
        <f>IFERROR(__XLUDF.DUMMYFUNCTION("PROPER(REGEXREPLACE(G212,""[^A-Za-z]+ "",""""))"),"Mixity")</f>
        <v>Mixity</v>
      </c>
      <c r="J214" s="5" t="s">
        <v>11309</v>
      </c>
      <c r="K214" s="4" t="s">
        <v>39</v>
      </c>
      <c r="L214" s="4" t="s">
        <v>9160</v>
      </c>
      <c r="M214" s="4" t="s">
        <v>29</v>
      </c>
      <c r="N214" s="4" t="s">
        <v>4067</v>
      </c>
      <c r="O214" s="4" t="str">
        <f>IFERROR(__XLUDF.DUMMYFUNCTION("VLOOKUP(M212,IMPORTRANGE(""https://docs.google.com/spreadsheets/d/1opm6ZNvGZ7KditA9TuJwrZ25eFLfTNIkrNnY6mhV5Eg"",""list!A1:C115""),3,TRUE)"),"le secteur du conseil en management")</f>
        <v xml:space="preserve">le secteur du conseil en management</v>
      </c>
      <c r="P214" s="4" t="s">
        <v>11310</v>
      </c>
      <c r="R214" s="4" t="s">
        <v>1711</v>
      </c>
      <c r="S214" s="4" t="s">
        <v>9350</v>
      </c>
      <c r="T214" s="4" t="s">
        <v>29</v>
      </c>
      <c r="U214" s="5" t="s">
        <v>11311</v>
      </c>
      <c r="V214" s="5" t="s">
        <v>11312</v>
      </c>
      <c r="W214" s="5" t="s">
        <v>11313</v>
      </c>
      <c r="X214" s="6"/>
      <c r="Y214" s="6"/>
      <c r="Z214" s="4" t="s">
        <v>11314</v>
      </c>
      <c r="AA214" s="6"/>
      <c r="AB214" s="5" t="s">
        <v>11315</v>
      </c>
    </row>
    <row r="215" ht="14.25">
      <c r="A215" s="4" t="s">
        <v>7559</v>
      </c>
      <c r="B215" s="4" t="s">
        <v>11317</v>
      </c>
      <c r="C215" s="4" t="s">
        <v>5500</v>
      </c>
      <c r="F215" s="4" t="s">
        <v>11318</v>
      </c>
      <c r="G215" s="4">
        <v>29</v>
      </c>
      <c r="H215" s="4" t="s">
        <v>11319</v>
      </c>
      <c r="I215" s="4" t="str">
        <f>IFERROR(__XLUDF.DUMMYFUNCTION("PROPER(REGEXREPLACE(G213,""[^A-Za-z]+ "",""""))"),"Aquasys")</f>
        <v>Aquasys</v>
      </c>
      <c r="J215" s="5" t="s">
        <v>11320</v>
      </c>
      <c r="K215" s="4" t="s">
        <v>11321</v>
      </c>
      <c r="L215" s="4" t="s">
        <v>9160</v>
      </c>
      <c r="M215" s="4" t="s">
        <v>29</v>
      </c>
      <c r="N215" s="4" t="s">
        <v>2602</v>
      </c>
      <c r="O215" s="4" t="str">
        <f>IFERROR(__XLUDF.DUMMYFUNCTION("VLOOKUP(M213,IMPORTRANGE(""https://docs.google.com/spreadsheets/d/1opm6ZNvGZ7KditA9TuJwrZ25eFLfTNIkrNnY6mhV5Eg"",""list!A1:C115""),3,TRUE)"),"le secteur de la tech")</f>
        <v xml:space="preserve">le secteur de la tech</v>
      </c>
      <c r="P215" s="4" t="s">
        <v>11322</v>
      </c>
      <c r="R215" s="4" t="s">
        <v>11323</v>
      </c>
      <c r="S215" s="4" t="s">
        <v>9350</v>
      </c>
      <c r="T215" s="4" t="s">
        <v>29</v>
      </c>
      <c r="U215" s="5" t="s">
        <v>11324</v>
      </c>
      <c r="V215" s="5" t="s">
        <v>11325</v>
      </c>
      <c r="W215" s="5" t="s">
        <v>11326</v>
      </c>
      <c r="X215" s="6"/>
      <c r="Y215" s="6"/>
      <c r="Z215" s="4" t="s">
        <v>11327</v>
      </c>
      <c r="AA215" s="6"/>
      <c r="AB215" s="5" t="s">
        <v>11328</v>
      </c>
    </row>
    <row r="216" ht="14.25">
      <c r="A216" s="4" t="s">
        <v>11330</v>
      </c>
      <c r="B216" s="4" t="s">
        <v>4932</v>
      </c>
      <c r="C216" s="4" t="s">
        <v>2068</v>
      </c>
      <c r="F216" s="4" t="s">
        <v>11331</v>
      </c>
      <c r="G216" s="4">
        <v>10</v>
      </c>
      <c r="H216" s="4" t="s">
        <v>11332</v>
      </c>
      <c r="I216" s="4" t="str">
        <f>IFERROR(__XLUDF.DUMMYFUNCTION("PROPER(REGEXREPLACE(G214,""[^A-Za-z]+ "",""""))"),"Farinez'Vous")</f>
        <v>Farinez'Vous</v>
      </c>
      <c r="J216" s="5" t="s">
        <v>11333</v>
      </c>
      <c r="K216" s="4" t="s">
        <v>39</v>
      </c>
      <c r="L216" s="4" t="s">
        <v>9160</v>
      </c>
      <c r="M216" s="4" t="s">
        <v>29</v>
      </c>
      <c r="N216" s="4" t="s">
        <v>4525</v>
      </c>
      <c r="O216" s="4" t="str">
        <f>IFERROR(__XLUDF.DUMMYFUNCTION("VLOOKUP(M214,IMPORTRANGE(""https://docs.google.com/spreadsheets/d/1opm6ZNvGZ7KditA9TuJwrZ25eFLfTNIkrNnY6mhV5Eg"",""list!A1:C115""),3,TRUE)"),"le secteur du retail")</f>
        <v xml:space="preserve">le secteur du retail</v>
      </c>
      <c r="P216" s="6"/>
      <c r="R216" s="4" t="s">
        <v>39</v>
      </c>
      <c r="S216" s="4" t="s">
        <v>9160</v>
      </c>
      <c r="T216" s="4" t="s">
        <v>29</v>
      </c>
      <c r="U216" s="5" t="s">
        <v>11334</v>
      </c>
      <c r="V216" s="6"/>
      <c r="W216" s="6"/>
      <c r="X216" s="6"/>
      <c r="Y216" s="6"/>
      <c r="Z216" s="4" t="s">
        <v>11335</v>
      </c>
      <c r="AA216" s="6"/>
      <c r="AB216" s="5" t="s">
        <v>11336</v>
      </c>
    </row>
    <row r="217" ht="14.25">
      <c r="A217" s="4" t="s">
        <v>11339</v>
      </c>
      <c r="B217" s="4" t="s">
        <v>11338</v>
      </c>
      <c r="C217" s="4" t="s">
        <v>4586</v>
      </c>
      <c r="F217" s="4" t="s">
        <v>11340</v>
      </c>
      <c r="G217" s="4">
        <v>18</v>
      </c>
      <c r="H217" s="4" t="s">
        <v>11341</v>
      </c>
      <c r="I217" s="4" t="str">
        <f>IFERROR(__XLUDF.DUMMYFUNCTION("PROPER(REGEXREPLACE(G215,""[^A-Za-z]+ "",""""))"),"Good Buy Media")</f>
        <v xml:space="preserve">Good Buy Media</v>
      </c>
      <c r="J217" s="5" t="s">
        <v>11342</v>
      </c>
      <c r="K217" s="4" t="s">
        <v>1826</v>
      </c>
      <c r="L217" s="4" t="s">
        <v>9227</v>
      </c>
      <c r="M217" s="4" t="s">
        <v>29</v>
      </c>
      <c r="N217" s="4" t="s">
        <v>9161</v>
      </c>
      <c r="O217" s="4" t="str">
        <f>IFERROR(__XLUDF.DUMMYFUNCTION("VLOOKUP(M215,IMPORTRANGE(""https://docs.google.com/spreadsheets/d/1opm6ZNvGZ7KditA9TuJwrZ25eFLfTNIkrNnY6mhV5Eg"",""list!A1:C115""),3,TRUE)"),"le secteur du marketing")</f>
        <v xml:space="preserve">le secteur du marketing</v>
      </c>
      <c r="P217" s="4" t="s">
        <v>11343</v>
      </c>
      <c r="R217" s="4" t="s">
        <v>11344</v>
      </c>
      <c r="S217" s="4" t="s">
        <v>9227</v>
      </c>
      <c r="T217" s="4" t="s">
        <v>29</v>
      </c>
      <c r="U217" s="5" t="s">
        <v>11345</v>
      </c>
      <c r="V217" s="6"/>
      <c r="W217" s="5" t="s">
        <v>11346</v>
      </c>
      <c r="X217" s="6"/>
      <c r="Y217" s="6"/>
      <c r="Z217" s="4" t="s">
        <v>11347</v>
      </c>
      <c r="AA217" s="6"/>
      <c r="AB217" s="5" t="s">
        <v>11348</v>
      </c>
    </row>
    <row r="218" ht="14.25">
      <c r="A218" s="4" t="s">
        <v>11350</v>
      </c>
      <c r="B218" s="4" t="s">
        <v>4986</v>
      </c>
      <c r="C218" s="4" t="s">
        <v>164</v>
      </c>
      <c r="F218" s="4" t="s">
        <v>11351</v>
      </c>
      <c r="G218" s="4">
        <v>49</v>
      </c>
      <c r="H218" s="4" t="s">
        <v>11352</v>
      </c>
      <c r="I218" s="4" t="str">
        <f>IFERROR(__XLUDF.DUMMYFUNCTION("PROPER(REGEXREPLACE(G216,""[^A-Za-z]+ "",""""))"),"Cdr Construction")</f>
        <v xml:space="preserve">Cdr Construction</v>
      </c>
      <c r="J218" s="5" t="s">
        <v>11353</v>
      </c>
      <c r="K218" s="4" t="s">
        <v>9237</v>
      </c>
      <c r="L218" s="4" t="s">
        <v>9238</v>
      </c>
      <c r="M218" s="4" t="s">
        <v>29</v>
      </c>
      <c r="N218" s="4" t="s">
        <v>9239</v>
      </c>
      <c r="O218" s="4" t="str">
        <f>IFERROR(__XLUDF.DUMMYFUNCTION("VLOOKUP(M216,IMPORTRANGE(""https://docs.google.com/spreadsheets/d/1opm6ZNvGZ7KditA9TuJwrZ25eFLfTNIkrNnY6mhV5Eg"",""list!A1:C115""),3,TRUE)"),"le secteur de la construction")</f>
        <v xml:space="preserve">le secteur de la construction</v>
      </c>
      <c r="P218" s="4" t="s">
        <v>11354</v>
      </c>
      <c r="R218" s="4" t="s">
        <v>11355</v>
      </c>
      <c r="S218" s="4" t="s">
        <v>9193</v>
      </c>
      <c r="T218" s="4" t="s">
        <v>29</v>
      </c>
      <c r="U218" s="5" t="s">
        <v>11356</v>
      </c>
      <c r="V218" s="6"/>
      <c r="W218" s="6"/>
      <c r="X218" s="6"/>
      <c r="Y218" s="6"/>
      <c r="Z218" s="4" t="s">
        <v>11357</v>
      </c>
      <c r="AA218" s="6"/>
      <c r="AB218" s="5" t="s">
        <v>11358</v>
      </c>
    </row>
    <row r="219" ht="14.25">
      <c r="A219" s="4" t="s">
        <v>11360</v>
      </c>
      <c r="B219" s="4" t="s">
        <v>1861</v>
      </c>
      <c r="C219" s="4" t="s">
        <v>11362</v>
      </c>
      <c r="F219" s="4" t="s">
        <v>11361</v>
      </c>
      <c r="G219" s="4">
        <v>12</v>
      </c>
      <c r="H219" s="4" t="s">
        <v>11363</v>
      </c>
      <c r="I219" s="4" t="str">
        <f>IFERROR(__XLUDF.DUMMYFUNCTION("PROPER(REGEXREPLACE(G217,""[^A-Za-z]+ "",""""))"),"La Mediosphère")</f>
        <v xml:space="preserve">La Mediosphère</v>
      </c>
      <c r="J219" s="5" t="s">
        <v>11364</v>
      </c>
      <c r="K219" s="4" t="s">
        <v>185</v>
      </c>
      <c r="L219" s="4" t="s">
        <v>9193</v>
      </c>
      <c r="M219" s="4" t="s">
        <v>29</v>
      </c>
      <c r="N219" s="4" t="s">
        <v>9239</v>
      </c>
      <c r="O219" s="4" t="str">
        <f>IFERROR(__XLUDF.DUMMYFUNCTION("VLOOKUP(M217,IMPORTRANGE(""https://docs.google.com/spreadsheets/d/1opm6ZNvGZ7KditA9TuJwrZ25eFLfTNIkrNnY6mhV5Eg"",""list!A1:C115""),3,TRUE)"),"le secteur de la construction")</f>
        <v xml:space="preserve">le secteur de la construction</v>
      </c>
      <c r="P219" s="4" t="s">
        <v>11365</v>
      </c>
      <c r="R219" s="4" t="s">
        <v>185</v>
      </c>
      <c r="S219" s="4" t="s">
        <v>9193</v>
      </c>
      <c r="T219" s="4" t="s">
        <v>29</v>
      </c>
      <c r="U219" s="5" t="s">
        <v>11366</v>
      </c>
      <c r="V219" s="6"/>
      <c r="W219" s="6"/>
      <c r="X219" s="6"/>
      <c r="Y219" s="6"/>
      <c r="Z219" s="4" t="s">
        <v>11367</v>
      </c>
      <c r="AA219" s="6"/>
      <c r="AB219" s="5" t="s">
        <v>11368</v>
      </c>
    </row>
    <row r="220" ht="14.25">
      <c r="A220" s="4" t="s">
        <v>11370</v>
      </c>
      <c r="B220" s="4" t="s">
        <v>808</v>
      </c>
      <c r="C220" s="4" t="s">
        <v>112</v>
      </c>
      <c r="F220" s="4" t="s">
        <v>11371</v>
      </c>
      <c r="G220" s="4">
        <v>10</v>
      </c>
      <c r="H220" s="4" t="s">
        <v>11372</v>
      </c>
      <c r="I220" s="4" t="str">
        <f>IFERROR(__XLUDF.DUMMYFUNCTION("PROPER(REGEXREPLACE(G218,""[^A-Za-z]+ "",""""))"),"Globalp Contractant Général")</f>
        <v xml:space="preserve">Globalp Contractant Général</v>
      </c>
      <c r="J220" s="5" t="s">
        <v>11373</v>
      </c>
      <c r="K220" s="6"/>
      <c r="L220" s="6"/>
      <c r="M220" s="4" t="s">
        <v>29</v>
      </c>
      <c r="N220" s="4" t="s">
        <v>9239</v>
      </c>
      <c r="O220" s="4" t="str">
        <f>IFERROR(__XLUDF.DUMMYFUNCTION("VLOOKUP(M218,IMPORTRANGE(""https://docs.google.com/spreadsheets/d/1opm6ZNvGZ7KditA9TuJwrZ25eFLfTNIkrNnY6mhV5Eg"",""list!A1:C115""),3,TRUE)"),"le secteur de la construction")</f>
        <v xml:space="preserve">le secteur de la construction</v>
      </c>
      <c r="P220" s="4" t="s">
        <v>11374</v>
      </c>
      <c r="R220" s="4" t="s">
        <v>11375</v>
      </c>
      <c r="S220" s="4" t="s">
        <v>9193</v>
      </c>
      <c r="T220" s="4" t="s">
        <v>29</v>
      </c>
      <c r="U220" s="5" t="s">
        <v>11376</v>
      </c>
      <c r="V220" s="6"/>
      <c r="W220" s="6"/>
      <c r="X220" s="6"/>
      <c r="Y220" s="6"/>
      <c r="Z220" s="4" t="s">
        <v>11377</v>
      </c>
      <c r="AA220" s="6"/>
      <c r="AB220" s="5" t="s">
        <v>11378</v>
      </c>
    </row>
    <row r="221" ht="14.25">
      <c r="A221" s="4" t="s">
        <v>11380</v>
      </c>
      <c r="B221" s="4" t="s">
        <v>1562</v>
      </c>
      <c r="C221" s="4" t="s">
        <v>112</v>
      </c>
      <c r="F221" s="4" t="s">
        <v>11381</v>
      </c>
      <c r="G221" s="4">
        <v>17</v>
      </c>
      <c r="H221" s="4" t="s">
        <v>11382</v>
      </c>
      <c r="I221" s="4" t="str">
        <f>IFERROR(__XLUDF.DUMMYFUNCTION("PROPER(REGEXREPLACE(G219,""[^A-Za-z]+ "",""""))"),"Eixa")</f>
        <v>Eixa</v>
      </c>
      <c r="J221" s="5" t="s">
        <v>11383</v>
      </c>
      <c r="K221" s="4" t="s">
        <v>39</v>
      </c>
      <c r="L221" s="4" t="s">
        <v>9160</v>
      </c>
      <c r="M221" s="4" t="s">
        <v>29</v>
      </c>
      <c r="N221" s="4" t="s">
        <v>9239</v>
      </c>
      <c r="O221" s="4" t="str">
        <f>IFERROR(__XLUDF.DUMMYFUNCTION("VLOOKUP(M219,IMPORTRANGE(""https://docs.google.com/spreadsheets/d/1opm6ZNvGZ7KditA9TuJwrZ25eFLfTNIkrNnY6mhV5Eg"",""list!A1:C115""),3,TRUE)"),"le secteur de la construction")</f>
        <v xml:space="preserve">le secteur de la construction</v>
      </c>
      <c r="P221" s="4" t="s">
        <v>11384</v>
      </c>
      <c r="R221" s="4" t="s">
        <v>39</v>
      </c>
      <c r="S221" s="4" t="s">
        <v>9160</v>
      </c>
      <c r="T221" s="4" t="s">
        <v>29</v>
      </c>
      <c r="U221" s="5" t="s">
        <v>11385</v>
      </c>
      <c r="V221" s="6"/>
      <c r="W221" s="6"/>
      <c r="X221" s="6"/>
      <c r="Y221" s="6"/>
      <c r="Z221" s="4" t="s">
        <v>11386</v>
      </c>
      <c r="AA221" s="6"/>
      <c r="AB221" s="5" t="s">
        <v>11387</v>
      </c>
    </row>
    <row r="222" ht="14.25">
      <c r="A222" s="4" t="s">
        <v>6037</v>
      </c>
      <c r="B222" s="4" t="s">
        <v>1562</v>
      </c>
      <c r="C222" s="4" t="s">
        <v>112</v>
      </c>
      <c r="F222" s="4" t="s">
        <v>11389</v>
      </c>
      <c r="G222" s="4">
        <v>13</v>
      </c>
      <c r="H222" s="4" t="s">
        <v>11390</v>
      </c>
      <c r="I222" s="4" t="str">
        <f>IFERROR(__XLUDF.DUMMYFUNCTION("PROPER(REGEXREPLACE(G220,""[^A-Za-z]+ "",""""))"),"Logikap Editor Of The Solution Anikit")</f>
        <v xml:space="preserve">Logikap Editor Of The Solution Anikit</v>
      </c>
      <c r="J222" s="5" t="s">
        <v>11391</v>
      </c>
      <c r="K222" s="4" t="s">
        <v>83</v>
      </c>
      <c r="L222" s="4" t="s">
        <v>9460</v>
      </c>
      <c r="M222" s="4" t="s">
        <v>29</v>
      </c>
      <c r="N222" s="4" t="s">
        <v>2602</v>
      </c>
      <c r="O222" s="4" t="str">
        <f>IFERROR(__XLUDF.DUMMYFUNCTION("VLOOKUP(M220,IMPORTRANGE(""https://docs.google.com/spreadsheets/d/1opm6ZNvGZ7KditA9TuJwrZ25eFLfTNIkrNnY6mhV5Eg"",""list!A1:C115""),3,TRUE)"),"le secteur de la tech")</f>
        <v xml:space="preserve">le secteur de la tech</v>
      </c>
      <c r="P222" s="4" t="s">
        <v>11392</v>
      </c>
      <c r="R222" s="4" t="s">
        <v>83</v>
      </c>
      <c r="S222" s="4" t="s">
        <v>9460</v>
      </c>
      <c r="T222" s="4" t="s">
        <v>29</v>
      </c>
      <c r="U222" s="5" t="s">
        <v>11393</v>
      </c>
      <c r="V222" s="6"/>
      <c r="W222" s="6"/>
      <c r="X222" s="6"/>
      <c r="Y222" s="6"/>
      <c r="Z222" s="4" t="s">
        <v>11394</v>
      </c>
      <c r="AA222" s="6"/>
      <c r="AB222" s="5" t="s">
        <v>11395</v>
      </c>
    </row>
    <row r="223" ht="14.25">
      <c r="A223" s="4" t="s">
        <v>11397</v>
      </c>
      <c r="B223" s="4" t="s">
        <v>4177</v>
      </c>
      <c r="C223" s="4" t="s">
        <v>164</v>
      </c>
      <c r="F223" s="4" t="s">
        <v>11398</v>
      </c>
      <c r="G223" s="4">
        <v>19</v>
      </c>
      <c r="H223" s="4" t="s">
        <v>11399</v>
      </c>
      <c r="I223" s="4" t="str">
        <f>IFERROR(__XLUDF.DUMMYFUNCTION("PROPER(REGEXREPLACE(G221,""[^A-Za-z]+ "",""""))"),"Kadys")</f>
        <v>Kadys</v>
      </c>
      <c r="J223" s="5" t="s">
        <v>11400</v>
      </c>
      <c r="K223" s="4" t="s">
        <v>11401</v>
      </c>
      <c r="L223" s="4" t="s">
        <v>9460</v>
      </c>
      <c r="M223" s="4" t="s">
        <v>29</v>
      </c>
      <c r="N223" s="4" t="s">
        <v>2602</v>
      </c>
      <c r="O223" s="4" t="str">
        <f>IFERROR(__XLUDF.DUMMYFUNCTION("VLOOKUP(M221,IMPORTRANGE(""https://docs.google.com/spreadsheets/d/1opm6ZNvGZ7KditA9TuJwrZ25eFLfTNIkrNnY6mhV5Eg"",""list!A1:C115""),3,TRUE)"),"le secteur de la tech")</f>
        <v xml:space="preserve">le secteur de la tech</v>
      </c>
      <c r="P223" s="4" t="s">
        <v>11402</v>
      </c>
      <c r="R223" s="4" t="s">
        <v>11401</v>
      </c>
      <c r="S223" s="4" t="s">
        <v>9463</v>
      </c>
      <c r="T223" s="4" t="s">
        <v>29</v>
      </c>
      <c r="U223" s="5" t="s">
        <v>11403</v>
      </c>
      <c r="V223" s="6"/>
      <c r="W223" s="6"/>
      <c r="X223" s="6"/>
      <c r="Y223" s="6"/>
      <c r="Z223" s="4" t="s">
        <v>11404</v>
      </c>
      <c r="AA223" s="6"/>
      <c r="AB223" s="5" t="s">
        <v>11405</v>
      </c>
    </row>
    <row r="224" ht="14.25">
      <c r="A224" s="4" t="s">
        <v>11407</v>
      </c>
      <c r="B224" s="4" t="s">
        <v>808</v>
      </c>
      <c r="C224" s="4" t="s">
        <v>7759</v>
      </c>
      <c r="F224" s="4" t="s">
        <v>11408</v>
      </c>
      <c r="G224" s="4">
        <v>10</v>
      </c>
      <c r="H224" s="4" t="s">
        <v>11409</v>
      </c>
      <c r="I224" s="4" t="str">
        <f>IFERROR(__XLUDF.DUMMYFUNCTION("PROPER(REGEXREPLACE(G222,""[^A-Za-z]+ "",""""))"),"Moncelec")</f>
        <v>Moncelec</v>
      </c>
      <c r="J224" s="5" t="s">
        <v>11410</v>
      </c>
      <c r="K224" s="6"/>
      <c r="L224" s="4" t="s">
        <v>9160</v>
      </c>
      <c r="M224" s="4" t="s">
        <v>29</v>
      </c>
      <c r="N224" s="4" t="s">
        <v>10215</v>
      </c>
      <c r="O224" s="4" t="str">
        <f>IFERROR(__XLUDF.DUMMYFUNCTION("VLOOKUP(M222,IMPORTRANGE(""https://docs.google.com/spreadsheets/d/1opm6ZNvGZ7KditA9TuJwrZ25eFLfTNIkrNnY6mhV5Eg"",""list!A1:C115""),3,TRUE)"),"le secteur de l'électrique et électronique")</f>
        <v xml:space="preserve">le secteur de l'électrique et électronique</v>
      </c>
      <c r="P224" s="4" t="s">
        <v>11411</v>
      </c>
      <c r="R224" s="4" t="s">
        <v>11412</v>
      </c>
      <c r="S224" s="4" t="s">
        <v>9160</v>
      </c>
      <c r="T224" s="4" t="s">
        <v>29</v>
      </c>
      <c r="U224" s="5" t="s">
        <v>11413</v>
      </c>
      <c r="V224" s="6"/>
      <c r="W224" s="6"/>
      <c r="X224" s="6"/>
      <c r="Y224" s="6"/>
      <c r="Z224" s="4" t="s">
        <v>11414</v>
      </c>
      <c r="AA224" s="6"/>
      <c r="AB224" s="5" t="s">
        <v>11415</v>
      </c>
    </row>
    <row r="225" ht="14.25">
      <c r="A225" s="4" t="s">
        <v>11418</v>
      </c>
      <c r="B225" s="4" t="s">
        <v>11417</v>
      </c>
      <c r="C225" s="4" t="s">
        <v>11420</v>
      </c>
      <c r="F225" s="4" t="s">
        <v>11419</v>
      </c>
      <c r="G225" s="4">
        <v>21</v>
      </c>
      <c r="H225" s="4" t="s">
        <v>11421</v>
      </c>
      <c r="I225" s="4" t="str">
        <f>IFERROR(__XLUDF.DUMMYFUNCTION("PROPER(REGEXREPLACE(G223,""[^A-Za-z]+ "",""""))"),"Moderlab")</f>
        <v>Moderlab</v>
      </c>
      <c r="J225" s="5" t="s">
        <v>11422</v>
      </c>
      <c r="K225" s="4" t="s">
        <v>39</v>
      </c>
      <c r="L225" s="4" t="s">
        <v>9160</v>
      </c>
      <c r="M225" s="4" t="s">
        <v>29</v>
      </c>
      <c r="N225" s="4" t="s">
        <v>2602</v>
      </c>
      <c r="O225" s="4" t="str">
        <f>IFERROR(__XLUDF.DUMMYFUNCTION("VLOOKUP(M223,IMPORTRANGE(""https://docs.google.com/spreadsheets/d/1opm6ZNvGZ7KditA9TuJwrZ25eFLfTNIkrNnY6mhV5Eg"",""list!A1:C115""),3,TRUE)"),"le secteur de la tech")</f>
        <v xml:space="preserve">le secteur de la tech</v>
      </c>
      <c r="P225" s="4" t="s">
        <v>11423</v>
      </c>
      <c r="R225" s="4" t="s">
        <v>39</v>
      </c>
      <c r="S225" s="4" t="s">
        <v>9160</v>
      </c>
      <c r="T225" s="4" t="s">
        <v>29</v>
      </c>
      <c r="U225" s="5" t="s">
        <v>11424</v>
      </c>
      <c r="V225" s="6"/>
      <c r="W225" s="5" t="s">
        <v>11425</v>
      </c>
      <c r="X225" s="6"/>
      <c r="Y225" s="6"/>
      <c r="Z225" s="4" t="s">
        <v>11426</v>
      </c>
      <c r="AA225" s="6"/>
      <c r="AB225" s="5" t="s">
        <v>11427</v>
      </c>
    </row>
    <row r="226" ht="14.25">
      <c r="A226" s="4" t="s">
        <v>11429</v>
      </c>
      <c r="B226" s="4" t="s">
        <v>808</v>
      </c>
      <c r="C226" s="4" t="s">
        <v>7759</v>
      </c>
      <c r="F226" s="4" t="s">
        <v>11430</v>
      </c>
      <c r="G226" s="4">
        <v>17</v>
      </c>
      <c r="H226" s="4" t="s">
        <v>11431</v>
      </c>
      <c r="I226" s="4" t="str">
        <f>IFERROR(__XLUDF.DUMMYFUNCTION("PROPER(REGEXREPLACE(G224,""[^A-Za-z]+ "",""""))"),"Saspo Nova Construction")</f>
        <v xml:space="preserve">Saspo Nova Construction</v>
      </c>
      <c r="J226" s="5" t="s">
        <v>11432</v>
      </c>
      <c r="K226" s="4" t="s">
        <v>6489</v>
      </c>
      <c r="L226" s="4" t="s">
        <v>10390</v>
      </c>
      <c r="M226" s="4" t="s">
        <v>29</v>
      </c>
      <c r="N226" s="4" t="s">
        <v>9239</v>
      </c>
      <c r="O226" s="4" t="str">
        <f>IFERROR(__XLUDF.DUMMYFUNCTION("VLOOKUP(M224,IMPORTRANGE(""https://docs.google.com/spreadsheets/d/1opm6ZNvGZ7KditA9TuJwrZ25eFLfTNIkrNnY6mhV5Eg"",""list!A1:C115""),3,TRUE)"),"le secteur de la construction")</f>
        <v xml:space="preserve">le secteur de la construction</v>
      </c>
      <c r="P226" s="4" t="s">
        <v>11433</v>
      </c>
      <c r="R226" s="4" t="s">
        <v>11434</v>
      </c>
      <c r="S226" s="4" t="s">
        <v>9864</v>
      </c>
      <c r="T226" s="4" t="s">
        <v>29</v>
      </c>
      <c r="U226" s="5" t="s">
        <v>11435</v>
      </c>
      <c r="V226" s="6"/>
      <c r="W226" s="6"/>
      <c r="X226" s="6"/>
      <c r="Y226" s="6"/>
      <c r="Z226" s="4" t="s">
        <v>11436</v>
      </c>
      <c r="AA226" s="6"/>
      <c r="AB226" s="5" t="s">
        <v>11437</v>
      </c>
    </row>
    <row r="227" ht="14.25">
      <c r="A227" s="4" t="s">
        <v>11439</v>
      </c>
      <c r="B227" s="4" t="s">
        <v>1562</v>
      </c>
      <c r="C227" s="4" t="s">
        <v>11441</v>
      </c>
      <c r="F227" s="4" t="s">
        <v>11440</v>
      </c>
      <c r="G227" s="4">
        <v>18</v>
      </c>
      <c r="H227" s="4" t="s">
        <v>11442</v>
      </c>
      <c r="I227" s="4" t="str">
        <f>IFERROR(__XLUDF.DUMMYFUNCTION("PROPER(REGEXREPLACE(G225,""[^A-Za-z]+ "",""""))"),"Apsys Business Partner")</f>
        <v xml:space="preserve">Apsys Business Partner</v>
      </c>
      <c r="J227" s="5" t="s">
        <v>11443</v>
      </c>
      <c r="K227" s="4" t="s">
        <v>39</v>
      </c>
      <c r="L227" s="4" t="s">
        <v>9160</v>
      </c>
      <c r="M227" s="4" t="s">
        <v>29</v>
      </c>
      <c r="N227" s="4" t="s">
        <v>2602</v>
      </c>
      <c r="O227" s="4" t="str">
        <f>IFERROR(__XLUDF.DUMMYFUNCTION("VLOOKUP(M225,IMPORTRANGE(""https://docs.google.com/spreadsheets/d/1opm6ZNvGZ7KditA9TuJwrZ25eFLfTNIkrNnY6mhV5Eg"",""list!A1:C115""),3,TRUE)"),"le secteur de la tech")</f>
        <v xml:space="preserve">le secteur de la tech</v>
      </c>
      <c r="P227" s="4" t="s">
        <v>11444</v>
      </c>
      <c r="R227" s="4" t="s">
        <v>11445</v>
      </c>
      <c r="S227" s="4" t="s">
        <v>9160</v>
      </c>
      <c r="T227" s="4" t="s">
        <v>29</v>
      </c>
      <c r="U227" s="5" t="s">
        <v>11446</v>
      </c>
      <c r="V227" s="5" t="s">
        <v>11447</v>
      </c>
      <c r="W227" s="6"/>
      <c r="X227" s="6"/>
      <c r="Y227" s="6"/>
      <c r="Z227" s="4" t="s">
        <v>11448</v>
      </c>
      <c r="AA227" s="6"/>
      <c r="AB227" s="5" t="s">
        <v>11449</v>
      </c>
    </row>
    <row r="228" ht="14.25">
      <c r="A228" s="4" t="s">
        <v>11452</v>
      </c>
      <c r="B228" s="4" t="s">
        <v>11451</v>
      </c>
      <c r="C228" s="4" t="s">
        <v>11454</v>
      </c>
      <c r="F228" s="4" t="s">
        <v>11453</v>
      </c>
      <c r="G228" s="4">
        <v>15</v>
      </c>
      <c r="H228" s="4" t="s">
        <v>11455</v>
      </c>
      <c r="I228" s="4" t="str">
        <f>IFERROR(__XLUDF.DUMMYFUNCTION("PROPER(REGEXREPLACE(G226,""[^A-Za-z]+ "",""""))"),"Assetsman")</f>
        <v>Assetsman</v>
      </c>
      <c r="J228" s="5" t="s">
        <v>11456</v>
      </c>
      <c r="K228" s="4" t="s">
        <v>39</v>
      </c>
      <c r="L228" s="4" t="s">
        <v>9160</v>
      </c>
      <c r="M228" s="4" t="s">
        <v>29</v>
      </c>
      <c r="N228" s="4" t="s">
        <v>4067</v>
      </c>
      <c r="O228" s="4" t="str">
        <f>IFERROR(__XLUDF.DUMMYFUNCTION("VLOOKUP(M226,IMPORTRANGE(""https://docs.google.com/spreadsheets/d/1opm6ZNvGZ7KditA9TuJwrZ25eFLfTNIkrNnY6mhV5Eg"",""list!A1:C115""),3,TRUE)"),"le secteur du conseil en management")</f>
        <v xml:space="preserve">le secteur du conseil en management</v>
      </c>
      <c r="P228" s="4" t="s">
        <v>11457</v>
      </c>
      <c r="R228" s="4" t="s">
        <v>2734</v>
      </c>
      <c r="S228" s="4" t="s">
        <v>9160</v>
      </c>
      <c r="T228" s="4" t="s">
        <v>29</v>
      </c>
      <c r="U228" s="5" t="s">
        <v>11458</v>
      </c>
      <c r="V228" s="6"/>
      <c r="W228" s="5" t="s">
        <v>11459</v>
      </c>
      <c r="X228" s="6"/>
      <c r="Y228" s="6"/>
      <c r="Z228" s="4" t="s">
        <v>11460</v>
      </c>
      <c r="AA228" s="6"/>
      <c r="AB228" s="5" t="s">
        <v>11461</v>
      </c>
    </row>
    <row r="229" ht="14.25">
      <c r="A229" s="4" t="s">
        <v>11464</v>
      </c>
      <c r="B229" s="4" t="s">
        <v>11463</v>
      </c>
      <c r="C229" s="4" t="s">
        <v>11466</v>
      </c>
      <c r="F229" s="4" t="s">
        <v>11465</v>
      </c>
      <c r="G229" s="4">
        <v>10</v>
      </c>
      <c r="H229" s="4" t="s">
        <v>11467</v>
      </c>
      <c r="I229" s="4" t="str">
        <f>IFERROR(__XLUDF.DUMMYFUNCTION("PROPER(REGEXREPLACE(G227,""[^A-Za-z]+ "",""""))"),"Black Oak")</f>
        <v xml:space="preserve">Black Oak</v>
      </c>
      <c r="J229" s="5" t="s">
        <v>11468</v>
      </c>
      <c r="K229" s="6"/>
      <c r="L229" s="6"/>
      <c r="M229" s="4" t="s">
        <v>29</v>
      </c>
      <c r="N229" s="4" t="s">
        <v>2602</v>
      </c>
      <c r="O229" s="4" t="str">
        <f>IFERROR(__XLUDF.DUMMYFUNCTION("VLOOKUP(M227,IMPORTRANGE(""https://docs.google.com/spreadsheets/d/1opm6ZNvGZ7KditA9TuJwrZ25eFLfTNIkrNnY6mhV5Eg"",""list!A1:C115""),3,TRUE)"),"le secteur de la tech")</f>
        <v xml:space="preserve">le secteur de la tech</v>
      </c>
      <c r="P229" s="4" t="s">
        <v>11469</v>
      </c>
      <c r="R229" s="4" t="s">
        <v>185</v>
      </c>
      <c r="S229" s="4" t="s">
        <v>9193</v>
      </c>
      <c r="T229" s="4" t="s">
        <v>29</v>
      </c>
      <c r="U229" s="5" t="s">
        <v>11470</v>
      </c>
      <c r="V229" s="6"/>
      <c r="W229" s="6"/>
      <c r="X229" s="6"/>
      <c r="Y229" s="6"/>
      <c r="Z229" s="4" t="s">
        <v>11471</v>
      </c>
      <c r="AA229" s="6"/>
      <c r="AB229" s="5" t="s">
        <v>11472</v>
      </c>
    </row>
    <row r="230" ht="14.25">
      <c r="A230" s="4" t="s">
        <v>11474</v>
      </c>
      <c r="B230" s="4" t="s">
        <v>1562</v>
      </c>
      <c r="C230" s="4" t="s">
        <v>11476</v>
      </c>
      <c r="F230" s="4" t="s">
        <v>11475</v>
      </c>
      <c r="G230" s="4">
        <v>48</v>
      </c>
      <c r="H230" s="4" t="s">
        <v>11477</v>
      </c>
      <c r="I230" s="4" t="str">
        <f>IFERROR(__XLUDF.DUMMYFUNCTION("PROPER(REGEXREPLACE(G228,""[^A-Za-z]+ "",""""))"),"Cristelfrance")</f>
        <v>Cristelfrance</v>
      </c>
      <c r="J230" s="5" t="s">
        <v>11478</v>
      </c>
      <c r="K230" s="4" t="s">
        <v>11479</v>
      </c>
      <c r="L230" s="4" t="s">
        <v>9473</v>
      </c>
      <c r="M230" s="4" t="s">
        <v>29</v>
      </c>
      <c r="N230" s="4" t="s">
        <v>4525</v>
      </c>
      <c r="O230" s="4" t="str">
        <f>IFERROR(__XLUDF.DUMMYFUNCTION("VLOOKUP(M228,IMPORTRANGE(""https://docs.google.com/spreadsheets/d/1opm6ZNvGZ7KditA9TuJwrZ25eFLfTNIkrNnY6mhV5Eg"",""list!A1:C115""),3,TRUE)"),"le secteur du retail")</f>
        <v xml:space="preserve">le secteur du retail</v>
      </c>
      <c r="P230" s="6"/>
      <c r="R230" s="4" t="s">
        <v>11479</v>
      </c>
      <c r="S230" s="4" t="s">
        <v>9473</v>
      </c>
      <c r="T230" s="4" t="s">
        <v>29</v>
      </c>
      <c r="U230" s="5" t="s">
        <v>11480</v>
      </c>
      <c r="V230" s="5" t="s">
        <v>11481</v>
      </c>
      <c r="W230" s="5" t="s">
        <v>11482</v>
      </c>
      <c r="X230" s="6"/>
      <c r="Y230" s="6"/>
      <c r="Z230" s="4" t="s">
        <v>11483</v>
      </c>
      <c r="AA230" s="6"/>
      <c r="AB230" s="5" t="s">
        <v>11484</v>
      </c>
    </row>
    <row r="231" ht="14.25">
      <c r="A231" s="4" t="s">
        <v>1485</v>
      </c>
      <c r="B231" s="4" t="s">
        <v>4177</v>
      </c>
      <c r="C231" s="4" t="s">
        <v>11487</v>
      </c>
      <c r="F231" s="4" t="s">
        <v>11486</v>
      </c>
      <c r="G231" s="4">
        <v>37</v>
      </c>
      <c r="H231" s="4" t="s">
        <v>11488</v>
      </c>
      <c r="I231" s="4" t="str">
        <f>IFERROR(__XLUDF.DUMMYFUNCTION("PROPER(REGEXREPLACE(G229,""[^A-Za-z]+ "",""""))"),"Rossel Advertising France")</f>
        <v xml:space="preserve">Rossel Advertising France</v>
      </c>
      <c r="J231" s="6"/>
      <c r="K231" s="4" t="s">
        <v>39</v>
      </c>
      <c r="L231" s="4" t="s">
        <v>9160</v>
      </c>
      <c r="M231" s="4" t="s">
        <v>29</v>
      </c>
      <c r="N231" s="4" t="s">
        <v>9161</v>
      </c>
      <c r="O231" s="4" t="str">
        <f>IFERROR(__XLUDF.DUMMYFUNCTION("VLOOKUP(M229,IMPORTRANGE(""https://docs.google.com/spreadsheets/d/1opm6ZNvGZ7KditA9TuJwrZ25eFLfTNIkrNnY6mhV5Eg"",""list!A1:C115""),3,TRUE)"),"le secteur du marketing")</f>
        <v xml:space="preserve">le secteur du marketing</v>
      </c>
      <c r="P231" s="4" t="s">
        <v>11489</v>
      </c>
      <c r="R231" s="4" t="s">
        <v>846</v>
      </c>
      <c r="S231" s="4" t="s">
        <v>9281</v>
      </c>
      <c r="T231" s="4" t="s">
        <v>29</v>
      </c>
      <c r="U231" s="5" t="s">
        <v>11490</v>
      </c>
      <c r="V231" s="6"/>
      <c r="W231" s="6"/>
      <c r="X231" s="6"/>
      <c r="Y231" s="6"/>
      <c r="Z231" s="4" t="s">
        <v>11491</v>
      </c>
      <c r="AA231" s="6"/>
      <c r="AB231" s="5" t="s">
        <v>11492</v>
      </c>
    </row>
    <row r="232" ht="14.25">
      <c r="A232" s="4" t="s">
        <v>10353</v>
      </c>
      <c r="B232" s="4" t="s">
        <v>808</v>
      </c>
      <c r="C232" s="4" t="s">
        <v>9849</v>
      </c>
      <c r="F232" s="4" t="s">
        <v>11494</v>
      </c>
      <c r="G232" s="4">
        <v>35</v>
      </c>
      <c r="H232" s="4" t="s">
        <v>11495</v>
      </c>
      <c r="I232" s="4" t="str">
        <f>IFERROR(__XLUDF.DUMMYFUNCTION("PROPER(REGEXREPLACE(G230,""[^A-Za-z]+ "",""""))"),"Ccl Construction Sas")</f>
        <v xml:space="preserve">Ccl Construction Sas</v>
      </c>
      <c r="J232" s="5" t="s">
        <v>11496</v>
      </c>
      <c r="K232" s="4" t="s">
        <v>1826</v>
      </c>
      <c r="L232" s="4" t="s">
        <v>9227</v>
      </c>
      <c r="M232" s="4" t="s">
        <v>29</v>
      </c>
      <c r="N232" s="4" t="s">
        <v>9239</v>
      </c>
      <c r="O232" s="4" t="str">
        <f>IFERROR(__XLUDF.DUMMYFUNCTION("VLOOKUP(M230,IMPORTRANGE(""https://docs.google.com/spreadsheets/d/1opm6ZNvGZ7KditA9TuJwrZ25eFLfTNIkrNnY6mhV5Eg"",""list!A1:C115""),3,TRUE)"),"le secteur de la construction")</f>
        <v xml:space="preserve">le secteur de la construction</v>
      </c>
      <c r="P232" s="4" t="s">
        <v>11497</v>
      </c>
      <c r="R232" s="6"/>
      <c r="S232" s="6"/>
      <c r="T232" s="4" t="s">
        <v>29</v>
      </c>
      <c r="U232" s="5" t="s">
        <v>11498</v>
      </c>
      <c r="V232" s="6"/>
      <c r="W232" s="6"/>
      <c r="X232" s="6"/>
      <c r="Y232" s="6"/>
      <c r="Z232" s="4" t="s">
        <v>11499</v>
      </c>
      <c r="AA232" s="6"/>
      <c r="AB232" s="5" t="s">
        <v>11500</v>
      </c>
    </row>
    <row r="233" ht="14.25">
      <c r="A233" s="4" t="s">
        <v>785</v>
      </c>
      <c r="B233" s="4" t="s">
        <v>1207</v>
      </c>
      <c r="C233" s="4" t="s">
        <v>11503</v>
      </c>
      <c r="F233" s="4" t="s">
        <v>11502</v>
      </c>
      <c r="G233" s="4">
        <v>11</v>
      </c>
      <c r="H233" s="4" t="s">
        <v>11504</v>
      </c>
      <c r="I233" s="4" t="str">
        <f>IFERROR(__XLUDF.DUMMYFUNCTION("PROPER(REGEXREPLACE(G231,""[^A-Za-z]+ "",""""))"),"Ikimo")</f>
        <v>Ikimo</v>
      </c>
      <c r="J233" s="4" t="s">
        <v>11505</v>
      </c>
      <c r="K233" s="4" t="s">
        <v>10088</v>
      </c>
      <c r="L233" s="4" t="s">
        <v>9251</v>
      </c>
      <c r="M233" s="4" t="s">
        <v>29</v>
      </c>
      <c r="N233" s="4" t="s">
        <v>2602</v>
      </c>
      <c r="O233" s="4" t="str">
        <f>IFERROR(__XLUDF.DUMMYFUNCTION("VLOOKUP(M231,IMPORTRANGE(""https://docs.google.com/spreadsheets/d/1opm6ZNvGZ7KditA9TuJwrZ25eFLfTNIkrNnY6mhV5Eg"",""list!A1:C115""),3,TRUE)"),"le secteur de la tech")</f>
        <v xml:space="preserve">le secteur de la tech</v>
      </c>
      <c r="P233" s="4" t="s">
        <v>11506</v>
      </c>
      <c r="R233" s="4" t="s">
        <v>10088</v>
      </c>
      <c r="S233" s="4" t="s">
        <v>9251</v>
      </c>
      <c r="T233" s="4" t="s">
        <v>29</v>
      </c>
      <c r="U233" s="5" t="s">
        <v>11507</v>
      </c>
      <c r="V233" s="6"/>
      <c r="W233" s="6"/>
      <c r="X233" s="6"/>
      <c r="Y233" s="6"/>
      <c r="Z233" s="4" t="s">
        <v>11508</v>
      </c>
      <c r="AA233" s="6"/>
      <c r="AB233" s="5" t="s">
        <v>11509</v>
      </c>
    </row>
    <row r="234" ht="14.25">
      <c r="A234" s="4" t="s">
        <v>9827</v>
      </c>
      <c r="B234" s="4" t="s">
        <v>808</v>
      </c>
      <c r="C234" s="4" t="s">
        <v>11476</v>
      </c>
      <c r="F234" s="4" t="s">
        <v>11511</v>
      </c>
      <c r="G234" s="4">
        <v>13</v>
      </c>
      <c r="H234" s="4" t="s">
        <v>11512</v>
      </c>
      <c r="I234" s="4" t="str">
        <f>IFERROR(__XLUDF.DUMMYFUNCTION("PROPER(REGEXREPLACE(G232,""[^A-Za-z]+ "",""""))"),"Gstag")</f>
        <v>Gstag</v>
      </c>
      <c r="J234" s="5" t="s">
        <v>11513</v>
      </c>
      <c r="K234" s="6"/>
      <c r="L234" s="6"/>
      <c r="M234" s="4" t="s">
        <v>29</v>
      </c>
      <c r="N234" s="4" t="s">
        <v>10215</v>
      </c>
      <c r="O234" s="4" t="str">
        <f>IFERROR(__XLUDF.DUMMYFUNCTION("VLOOKUP(M232,IMPORTRANGE(""https://docs.google.com/spreadsheets/d/1opm6ZNvGZ7KditA9TuJwrZ25eFLfTNIkrNnY6mhV5Eg"",""list!A1:C115""),3,TRUE)"),"le secteur de l'électrique et électronique")</f>
        <v xml:space="preserve">le secteur de l'électrique et électronique</v>
      </c>
      <c r="P234" s="4" t="s">
        <v>11514</v>
      </c>
      <c r="R234" s="4" t="s">
        <v>11515</v>
      </c>
      <c r="S234" s="4" t="s">
        <v>9251</v>
      </c>
      <c r="T234" s="4" t="s">
        <v>29</v>
      </c>
      <c r="U234" s="5" t="s">
        <v>11516</v>
      </c>
      <c r="V234" s="5" t="s">
        <v>11517</v>
      </c>
      <c r="W234" s="6"/>
      <c r="X234" s="6"/>
      <c r="Y234" s="6"/>
      <c r="Z234" s="4" t="s">
        <v>11518</v>
      </c>
      <c r="AA234" s="6"/>
      <c r="AB234" s="5" t="s">
        <v>11519</v>
      </c>
    </row>
    <row r="235" ht="14.25">
      <c r="A235" s="4" t="s">
        <v>11521</v>
      </c>
      <c r="B235" s="4" t="s">
        <v>1579</v>
      </c>
      <c r="C235" s="4" t="s">
        <v>7759</v>
      </c>
      <c r="F235" s="4" t="s">
        <v>11522</v>
      </c>
      <c r="G235" s="4">
        <v>44</v>
      </c>
      <c r="H235" s="4" t="s">
        <v>11523</v>
      </c>
      <c r="I235" s="4" t="str">
        <f>IFERROR(__XLUDF.DUMMYFUNCTION("PROPER(REGEXREPLACE(G233,""[^A-Za-z]+ "",""""))"),"Ynov'It Groupe")</f>
        <v xml:space="preserve">Ynov'It Groupe</v>
      </c>
      <c r="J235" s="5" t="s">
        <v>11524</v>
      </c>
      <c r="K235" s="4" t="s">
        <v>11525</v>
      </c>
      <c r="L235" s="4" t="s">
        <v>9193</v>
      </c>
      <c r="M235" s="4" t="s">
        <v>29</v>
      </c>
      <c r="N235" s="4" t="s">
        <v>2602</v>
      </c>
      <c r="O235" s="4" t="str">
        <f>IFERROR(__XLUDF.DUMMYFUNCTION("VLOOKUP(M233,IMPORTRANGE(""https://docs.google.com/spreadsheets/d/1opm6ZNvGZ7KditA9TuJwrZ25eFLfTNIkrNnY6mhV5Eg"",""list!A1:C115""),3,TRUE)"),"le secteur de la tech")</f>
        <v xml:space="preserve">le secteur de la tech</v>
      </c>
      <c r="P235" s="4" t="s">
        <v>11526</v>
      </c>
      <c r="R235" s="4" t="s">
        <v>831</v>
      </c>
      <c r="S235" s="4" t="s">
        <v>9193</v>
      </c>
      <c r="T235" s="4" t="s">
        <v>29</v>
      </c>
      <c r="U235" s="5" t="s">
        <v>11527</v>
      </c>
      <c r="V235" s="6"/>
      <c r="W235" s="6"/>
      <c r="X235" s="6"/>
      <c r="Y235" s="6"/>
      <c r="Z235" s="4" t="s">
        <v>11528</v>
      </c>
      <c r="AA235" s="6"/>
      <c r="AB235" s="5" t="s">
        <v>11529</v>
      </c>
    </row>
    <row r="236" ht="14.25">
      <c r="A236" s="4" t="s">
        <v>11532</v>
      </c>
      <c r="B236" s="4" t="s">
        <v>11531</v>
      </c>
      <c r="C236" s="4" t="s">
        <v>11534</v>
      </c>
      <c r="F236" s="4" t="s">
        <v>11533</v>
      </c>
      <c r="G236" s="4">
        <v>28</v>
      </c>
      <c r="H236" s="5" t="s">
        <v>11535</v>
      </c>
      <c r="I236" s="5" t="str">
        <f>IFERROR(__XLUDF.DUMMYFUNCTION("PROPER(REGEXREPLACE(G234,""[^A-Za-z]+ "",""""))"),"Peregrine.Ai")</f>
        <v>Peregrine.Ai</v>
      </c>
      <c r="J236" s="5" t="s">
        <v>11536</v>
      </c>
      <c r="K236" s="4" t="s">
        <v>11537</v>
      </c>
      <c r="L236" s="4" t="s">
        <v>9160</v>
      </c>
      <c r="M236" s="4" t="s">
        <v>29</v>
      </c>
      <c r="N236" s="4" t="s">
        <v>2602</v>
      </c>
      <c r="O236" s="4" t="str">
        <f>IFERROR(__XLUDF.DUMMYFUNCTION("VLOOKUP(M234,IMPORTRANGE(""https://docs.google.com/spreadsheets/d/1opm6ZNvGZ7KditA9TuJwrZ25eFLfTNIkrNnY6mhV5Eg"",""list!A1:C115""),3,TRUE)"),"le secteur de la tech")</f>
        <v xml:space="preserve">le secteur de la tech</v>
      </c>
      <c r="P236" s="6"/>
      <c r="R236" s="4" t="s">
        <v>11538</v>
      </c>
      <c r="S236" s="4" t="s">
        <v>11538</v>
      </c>
      <c r="T236" s="4" t="s">
        <v>595</v>
      </c>
      <c r="U236" s="5" t="s">
        <v>11539</v>
      </c>
      <c r="V236" s="6"/>
      <c r="W236" s="6"/>
      <c r="X236" s="6"/>
      <c r="Y236" s="6"/>
      <c r="Z236" s="4" t="s">
        <v>11540</v>
      </c>
      <c r="AA236" s="6"/>
      <c r="AB236" s="5" t="s">
        <v>11541</v>
      </c>
    </row>
    <row r="237" ht="14.25">
      <c r="A237" s="4" t="s">
        <v>11543</v>
      </c>
      <c r="B237" s="4" t="s">
        <v>2311</v>
      </c>
      <c r="C237" s="4" t="s">
        <v>11545</v>
      </c>
      <c r="F237" s="4" t="s">
        <v>11544</v>
      </c>
      <c r="G237" s="4">
        <v>30</v>
      </c>
      <c r="H237" s="4" t="s">
        <v>11546</v>
      </c>
      <c r="I237" s="4" t="str">
        <f>IFERROR(__XLUDF.DUMMYFUNCTION("PROPER(REGEXREPLACE(G235,""[^A-Za-z]+ "",""""))"),"Theraxel")</f>
        <v>Theraxel</v>
      </c>
      <c r="J237" s="5" t="s">
        <v>11547</v>
      </c>
      <c r="K237" s="4" t="s">
        <v>9472</v>
      </c>
      <c r="L237" s="4" t="s">
        <v>9473</v>
      </c>
      <c r="M237" s="4" t="s">
        <v>29</v>
      </c>
      <c r="N237" s="4" t="s">
        <v>4067</v>
      </c>
      <c r="O237" s="4" t="str">
        <f>IFERROR(__XLUDF.DUMMYFUNCTION("VLOOKUP(M235,IMPORTRANGE(""https://docs.google.com/spreadsheets/d/1opm6ZNvGZ7KditA9TuJwrZ25eFLfTNIkrNnY6mhV5Eg"",""list!A1:C115""),3,TRUE)"),"le secteur du conseil en management")</f>
        <v xml:space="preserve">le secteur du conseil en management</v>
      </c>
      <c r="P237" s="6"/>
      <c r="R237" s="4" t="s">
        <v>9472</v>
      </c>
      <c r="S237" s="4" t="s">
        <v>11548</v>
      </c>
      <c r="T237" s="4" t="s">
        <v>29</v>
      </c>
      <c r="U237" s="5" t="s">
        <v>11549</v>
      </c>
      <c r="V237" s="6"/>
      <c r="W237" s="6"/>
      <c r="X237" s="6"/>
      <c r="Y237" s="6"/>
      <c r="Z237" s="4" t="s">
        <v>11550</v>
      </c>
      <c r="AA237" s="6"/>
      <c r="AB237" s="5" t="s">
        <v>11551</v>
      </c>
    </row>
    <row r="238" ht="14.25">
      <c r="A238" s="4" t="s">
        <v>11553</v>
      </c>
      <c r="B238" s="4" t="s">
        <v>2311</v>
      </c>
      <c r="C238" s="4" t="s">
        <v>11555</v>
      </c>
      <c r="F238" s="4" t="s">
        <v>11554</v>
      </c>
      <c r="G238" s="4">
        <v>21</v>
      </c>
      <c r="H238" s="4" t="s">
        <v>11556</v>
      </c>
      <c r="I238" s="4" t="str">
        <f>IFERROR(__XLUDF.DUMMYFUNCTION("PROPER(REGEXREPLACE(G236,""[^A-Za-z]+ "",""""))"),"Spirit Advisors")</f>
        <v xml:space="preserve">Spirit Advisors</v>
      </c>
      <c r="J238" s="5" t="s">
        <v>11557</v>
      </c>
      <c r="K238" s="4" t="s">
        <v>39</v>
      </c>
      <c r="L238" s="4" t="s">
        <v>9160</v>
      </c>
      <c r="M238" s="4" t="s">
        <v>29</v>
      </c>
      <c r="N238" s="4" t="s">
        <v>4067</v>
      </c>
      <c r="O238" s="4" t="str">
        <f>IFERROR(__XLUDF.DUMMYFUNCTION("VLOOKUP(M236,IMPORTRANGE(""https://docs.google.com/spreadsheets/d/1opm6ZNvGZ7KditA9TuJwrZ25eFLfTNIkrNnY6mhV5Eg"",""list!A1:C115""),3,TRUE)"),"le secteur du conseil en management")</f>
        <v xml:space="preserve">le secteur du conseil en management</v>
      </c>
      <c r="P238" s="4" t="s">
        <v>11558</v>
      </c>
      <c r="R238" s="4" t="s">
        <v>39</v>
      </c>
      <c r="S238" s="4" t="s">
        <v>9160</v>
      </c>
      <c r="T238" s="4" t="s">
        <v>29</v>
      </c>
      <c r="U238" s="5" t="s">
        <v>11559</v>
      </c>
      <c r="V238" s="6"/>
      <c r="W238" s="6"/>
      <c r="X238" s="6"/>
      <c r="Y238" s="6"/>
      <c r="Z238" s="4" t="s">
        <v>11560</v>
      </c>
      <c r="AA238" s="6"/>
      <c r="AB238" s="5" t="s">
        <v>11561</v>
      </c>
    </row>
    <row r="239" ht="14.25">
      <c r="A239" s="4" t="s">
        <v>7032</v>
      </c>
      <c r="B239" s="4" t="s">
        <v>1562</v>
      </c>
      <c r="C239" s="4" t="s">
        <v>7759</v>
      </c>
      <c r="F239" s="4" t="s">
        <v>11563</v>
      </c>
      <c r="G239" s="4">
        <v>17</v>
      </c>
      <c r="H239" s="4" t="s">
        <v>11564</v>
      </c>
      <c r="I239" s="4" t="str">
        <f>IFERROR(__XLUDF.DUMMYFUNCTION("PROPER(REGEXREPLACE(G237,""[^A-Za-z]+ "",""""))"),"Groupe Fivo")</f>
        <v xml:space="preserve">Groupe Fivo</v>
      </c>
      <c r="J239" s="5" t="s">
        <v>11565</v>
      </c>
      <c r="K239" s="4" t="s">
        <v>492</v>
      </c>
      <c r="L239" s="4" t="s">
        <v>9226</v>
      </c>
      <c r="M239" s="4" t="s">
        <v>29</v>
      </c>
      <c r="N239" s="4" t="s">
        <v>4525</v>
      </c>
      <c r="O239" s="4" t="str">
        <f>IFERROR(__XLUDF.DUMMYFUNCTION("VLOOKUP(M237,IMPORTRANGE(""https://docs.google.com/spreadsheets/d/1opm6ZNvGZ7KditA9TuJwrZ25eFLfTNIkrNnY6mhV5Eg"",""list!A1:C115""),3,TRUE)"),"le secteur du retail")</f>
        <v xml:space="preserve">le secteur du retail</v>
      </c>
      <c r="P239" s="4" t="s">
        <v>11566</v>
      </c>
      <c r="R239" s="4" t="s">
        <v>11567</v>
      </c>
      <c r="S239" s="4" t="s">
        <v>9160</v>
      </c>
      <c r="T239" s="4" t="s">
        <v>29</v>
      </c>
      <c r="U239" s="5" t="s">
        <v>11568</v>
      </c>
      <c r="V239" s="6"/>
      <c r="W239" s="5" t="s">
        <v>11569</v>
      </c>
      <c r="X239" s="6"/>
      <c r="Y239" s="6"/>
      <c r="Z239" s="4" t="s">
        <v>11570</v>
      </c>
      <c r="AA239" s="6"/>
      <c r="AB239" s="5" t="s">
        <v>11571</v>
      </c>
    </row>
    <row r="240" ht="14.25">
      <c r="A240" s="4" t="s">
        <v>11573</v>
      </c>
      <c r="B240" s="4" t="s">
        <v>1579</v>
      </c>
      <c r="C240" s="4" t="s">
        <v>3090</v>
      </c>
      <c r="F240" s="4" t="s">
        <v>11574</v>
      </c>
      <c r="G240" s="4">
        <v>11</v>
      </c>
      <c r="H240" s="4" t="s">
        <v>11575</v>
      </c>
      <c r="I240" s="4" t="str">
        <f>IFERROR(__XLUDF.DUMMYFUNCTION("PROPER(REGEXREPLACE(G238,""[^A-Za-z]+ "",""""))"),"Datapilot")</f>
        <v>Datapilot</v>
      </c>
      <c r="J240" s="5" t="s">
        <v>11576</v>
      </c>
      <c r="K240" s="6"/>
      <c r="L240" s="6"/>
      <c r="M240" s="4" t="s">
        <v>29</v>
      </c>
      <c r="N240" s="4" t="s">
        <v>2602</v>
      </c>
      <c r="O240" s="4" t="str">
        <f>IFERROR(__XLUDF.DUMMYFUNCTION("VLOOKUP(M238,IMPORTRANGE(""https://docs.google.com/spreadsheets/d/1opm6ZNvGZ7KditA9TuJwrZ25eFLfTNIkrNnY6mhV5Eg"",""list!A1:C115""),3,TRUE)"),"le secteur de la tech")</f>
        <v xml:space="preserve">le secteur de la tech</v>
      </c>
      <c r="P240" s="4" t="s">
        <v>11577</v>
      </c>
      <c r="R240" s="4" t="s">
        <v>11578</v>
      </c>
      <c r="S240" s="4" t="s">
        <v>11579</v>
      </c>
      <c r="T240" s="4" t="s">
        <v>11580</v>
      </c>
      <c r="U240" s="5" t="s">
        <v>11581</v>
      </c>
      <c r="V240" s="6"/>
      <c r="W240" s="6"/>
      <c r="X240" s="6"/>
      <c r="Y240" s="6"/>
      <c r="Z240" s="4" t="s">
        <v>11582</v>
      </c>
      <c r="AA240" s="6"/>
      <c r="AB240" s="5" t="s">
        <v>11583</v>
      </c>
    </row>
    <row r="241" ht="14.25">
      <c r="A241" s="4" t="s">
        <v>11585</v>
      </c>
      <c r="B241" s="4" t="s">
        <v>1562</v>
      </c>
      <c r="C241" s="4" t="s">
        <v>1130</v>
      </c>
      <c r="F241" s="4" t="s">
        <v>11586</v>
      </c>
      <c r="G241" s="4">
        <v>10</v>
      </c>
      <c r="H241" s="4" t="s">
        <v>11587</v>
      </c>
      <c r="I241" s="4" t="str">
        <f>IFERROR(__XLUDF.DUMMYFUNCTION("PROPER(REGEXREPLACE(G239,""[^A-Za-z]+ "",""""))"),"Atpr")</f>
        <v>Atpr</v>
      </c>
      <c r="J241" s="5" t="s">
        <v>11588</v>
      </c>
      <c r="K241" s="4" t="s">
        <v>11589</v>
      </c>
      <c r="L241" s="4" t="s">
        <v>9864</v>
      </c>
      <c r="M241" s="4" t="s">
        <v>29</v>
      </c>
      <c r="N241" s="4" t="s">
        <v>4067</v>
      </c>
      <c r="O241" s="4" t="str">
        <f>IFERROR(__XLUDF.DUMMYFUNCTION("VLOOKUP(M239,IMPORTRANGE(""https://docs.google.com/spreadsheets/d/1opm6ZNvGZ7KditA9TuJwrZ25eFLfTNIkrNnY6mhV5Eg"",""list!A1:C115""),3,TRUE)"),"le secteur du conseil en management")</f>
        <v xml:space="preserve">le secteur du conseil en management</v>
      </c>
      <c r="P241" s="4" t="s">
        <v>11590</v>
      </c>
      <c r="R241" s="4" t="s">
        <v>11589</v>
      </c>
      <c r="S241" s="4" t="s">
        <v>9864</v>
      </c>
      <c r="T241" s="4" t="s">
        <v>29</v>
      </c>
      <c r="U241" s="5" t="s">
        <v>11591</v>
      </c>
      <c r="V241" s="6"/>
      <c r="W241" s="6"/>
      <c r="X241" s="6"/>
      <c r="Y241" s="6"/>
      <c r="Z241" s="4" t="s">
        <v>11592</v>
      </c>
      <c r="AA241" s="6"/>
      <c r="AB241" s="5" t="s">
        <v>11593</v>
      </c>
    </row>
    <row r="242" ht="14.25">
      <c r="A242" s="4" t="s">
        <v>279</v>
      </c>
      <c r="B242" s="4" t="s">
        <v>1562</v>
      </c>
      <c r="C242" s="4" t="s">
        <v>7759</v>
      </c>
      <c r="F242" s="4" t="s">
        <v>11595</v>
      </c>
      <c r="G242" s="4">
        <v>27</v>
      </c>
      <c r="H242" s="4" t="s">
        <v>11596</v>
      </c>
      <c r="I242" s="4" t="str">
        <f>IFERROR(__XLUDF.DUMMYFUNCTION("PROPER(REGEXREPLACE(G240,""[^A-Za-z]+ "",""""))"),"Technopoint")</f>
        <v>Technopoint</v>
      </c>
      <c r="J242" s="5" t="s">
        <v>11597</v>
      </c>
      <c r="K242" s="4" t="s">
        <v>11598</v>
      </c>
      <c r="L242" s="4" t="s">
        <v>9160</v>
      </c>
      <c r="M242" s="4" t="s">
        <v>29</v>
      </c>
      <c r="N242" s="4" t="s">
        <v>10215</v>
      </c>
      <c r="O242" s="4" t="str">
        <f>IFERROR(__XLUDF.DUMMYFUNCTION("VLOOKUP(M240,IMPORTRANGE(""https://docs.google.com/spreadsheets/d/1opm6ZNvGZ7KditA9TuJwrZ25eFLfTNIkrNnY6mhV5Eg"",""list!A1:C115""),3,TRUE)"),"le secteur de l'électrique et électronique")</f>
        <v xml:space="preserve">le secteur de l'électrique et électronique</v>
      </c>
      <c r="P242" s="4" t="s">
        <v>11599</v>
      </c>
      <c r="R242" s="4" t="s">
        <v>11600</v>
      </c>
      <c r="S242" s="4" t="s">
        <v>9340</v>
      </c>
      <c r="T242" s="4" t="s">
        <v>29</v>
      </c>
      <c r="U242" s="5" t="s">
        <v>11601</v>
      </c>
      <c r="V242" s="6"/>
      <c r="W242" s="6"/>
      <c r="X242" s="6"/>
      <c r="Y242" s="6"/>
      <c r="Z242" s="4" t="s">
        <v>11602</v>
      </c>
      <c r="AA242" s="6"/>
      <c r="AB242" s="5" t="s">
        <v>11603</v>
      </c>
    </row>
    <row r="243" ht="14.25">
      <c r="A243" s="4" t="s">
        <v>11605</v>
      </c>
      <c r="B243" s="4" t="s">
        <v>1562</v>
      </c>
      <c r="C243" s="4" t="s">
        <v>11607</v>
      </c>
      <c r="F243" s="4" t="s">
        <v>11606</v>
      </c>
      <c r="G243" s="4">
        <v>13</v>
      </c>
      <c r="H243" s="4" t="s">
        <v>11608</v>
      </c>
      <c r="I243" s="4" t="str">
        <f>IFERROR(__XLUDF.DUMMYFUNCTION("PROPER(REGEXREPLACE(G241,""[^A-Za-z]+ "",""""))"),"La Maison D'Alfred")</f>
        <v xml:space="preserve">La Maison D'Alfred</v>
      </c>
      <c r="J243" s="6"/>
      <c r="K243" s="4" t="s">
        <v>846</v>
      </c>
      <c r="L243" s="4" t="s">
        <v>9281</v>
      </c>
      <c r="M243" s="4" t="s">
        <v>29</v>
      </c>
      <c r="N243" s="4" t="s">
        <v>4067</v>
      </c>
      <c r="O243" s="4" t="str">
        <f>IFERROR(__XLUDF.DUMMYFUNCTION("VLOOKUP(M241,IMPORTRANGE(""https://docs.google.com/spreadsheets/d/1opm6ZNvGZ7KditA9TuJwrZ25eFLfTNIkrNnY6mhV5Eg"",""list!A1:C115""),3,TRUE)"),"le secteur du conseil en management")</f>
        <v xml:space="preserve">le secteur du conseil en management</v>
      </c>
      <c r="P243" s="4" t="s">
        <v>11609</v>
      </c>
      <c r="R243" s="4" t="s">
        <v>9280</v>
      </c>
      <c r="S243" s="4" t="s">
        <v>9281</v>
      </c>
      <c r="T243" s="4" t="s">
        <v>29</v>
      </c>
      <c r="U243" s="5" t="s">
        <v>11610</v>
      </c>
      <c r="V243" s="6"/>
      <c r="W243" s="6"/>
      <c r="X243" s="5" t="s">
        <v>11611</v>
      </c>
      <c r="Y243" s="6"/>
      <c r="Z243" s="4" t="s">
        <v>11612</v>
      </c>
      <c r="AA243" s="6"/>
      <c r="AB243" s="5" t="s">
        <v>11613</v>
      </c>
    </row>
    <row r="244" ht="14.25">
      <c r="A244" s="4" t="s">
        <v>11615</v>
      </c>
      <c r="B244" s="4" t="s">
        <v>3744</v>
      </c>
      <c r="C244" s="4" t="s">
        <v>10555</v>
      </c>
      <c r="F244" s="4" t="s">
        <v>11616</v>
      </c>
      <c r="G244" s="4">
        <v>12</v>
      </c>
      <c r="H244" s="4" t="s">
        <v>11617</v>
      </c>
      <c r="I244" s="4" t="str">
        <f>IFERROR(__XLUDF.DUMMYFUNCTION("PROPER(REGEXREPLACE(G242,""[^A-Za-z]+ "",""""))"),"Pléiades")</f>
        <v>Pléiades</v>
      </c>
      <c r="J244" s="4" t="s">
        <v>11618</v>
      </c>
      <c r="K244" s="4" t="s">
        <v>39</v>
      </c>
      <c r="L244" s="4" t="s">
        <v>9160</v>
      </c>
      <c r="M244" s="4" t="s">
        <v>29</v>
      </c>
      <c r="N244" s="4" t="s">
        <v>4067</v>
      </c>
      <c r="O244" s="4" t="str">
        <f>IFERROR(__XLUDF.DUMMYFUNCTION("VLOOKUP(M242,IMPORTRANGE(""https://docs.google.com/spreadsheets/d/1opm6ZNvGZ7KditA9TuJwrZ25eFLfTNIkrNnY6mhV5Eg"",""list!A1:C115""),3,TRUE)"),"le secteur du conseil en management")</f>
        <v xml:space="preserve">le secteur du conseil en management</v>
      </c>
      <c r="P244" s="4" t="s">
        <v>11619</v>
      </c>
      <c r="R244" s="4" t="s">
        <v>39</v>
      </c>
      <c r="S244" s="4" t="s">
        <v>9160</v>
      </c>
      <c r="T244" s="4" t="s">
        <v>29</v>
      </c>
      <c r="U244" s="5" t="s">
        <v>11620</v>
      </c>
      <c r="V244" s="6"/>
      <c r="W244" s="6"/>
      <c r="X244" s="6"/>
      <c r="Y244" s="6"/>
      <c r="Z244" s="4" t="s">
        <v>11621</v>
      </c>
      <c r="AA244" s="6"/>
      <c r="AB244" s="5" t="s">
        <v>11622</v>
      </c>
    </row>
    <row r="245" ht="14.25">
      <c r="A245" s="4" t="s">
        <v>11624</v>
      </c>
      <c r="B245" s="4" t="s">
        <v>808</v>
      </c>
      <c r="C245" s="4" t="s">
        <v>112</v>
      </c>
      <c r="F245" s="4" t="s">
        <v>11625</v>
      </c>
      <c r="G245" s="4">
        <v>20</v>
      </c>
      <c r="H245" s="4" t="s">
        <v>11626</v>
      </c>
      <c r="I245" s="4" t="str">
        <f>IFERROR(__XLUDF.DUMMYFUNCTION("PROPER(REGEXREPLACE(G243,""[^A-Za-z]+ "",""""))"),"Inentech")</f>
        <v>Inentech</v>
      </c>
      <c r="J245" s="5" t="s">
        <v>11627</v>
      </c>
      <c r="K245" s="4" t="s">
        <v>11628</v>
      </c>
      <c r="L245" s="4" t="s">
        <v>9281</v>
      </c>
      <c r="M245" s="4" t="s">
        <v>29</v>
      </c>
      <c r="N245" s="4" t="s">
        <v>2602</v>
      </c>
      <c r="O245" s="4" t="str">
        <f>IFERROR(__XLUDF.DUMMYFUNCTION("VLOOKUP(M243,IMPORTRANGE(""https://docs.google.com/spreadsheets/d/1opm6ZNvGZ7KditA9TuJwrZ25eFLfTNIkrNnY6mhV5Eg"",""list!A1:C115""),3,TRUE)"),"le secteur de la tech")</f>
        <v xml:space="preserve">le secteur de la tech</v>
      </c>
      <c r="P245" s="4" t="s">
        <v>11629</v>
      </c>
      <c r="R245" s="4" t="s">
        <v>10963</v>
      </c>
      <c r="S245" s="4" t="s">
        <v>9160</v>
      </c>
      <c r="T245" s="4" t="s">
        <v>29</v>
      </c>
      <c r="U245" s="5" t="s">
        <v>11630</v>
      </c>
      <c r="V245" s="6"/>
      <c r="W245" s="6"/>
      <c r="X245" s="6"/>
      <c r="Y245" s="6"/>
      <c r="Z245" s="4" t="s">
        <v>11631</v>
      </c>
      <c r="AA245" s="6"/>
      <c r="AB245" s="5" t="s">
        <v>11632</v>
      </c>
    </row>
    <row r="246" ht="14.25">
      <c r="A246" s="4" t="s">
        <v>11634</v>
      </c>
      <c r="B246" s="4" t="s">
        <v>808</v>
      </c>
      <c r="C246" s="4" t="s">
        <v>341</v>
      </c>
      <c r="F246" s="4" t="s">
        <v>11635</v>
      </c>
      <c r="G246" s="4">
        <v>11</v>
      </c>
      <c r="H246" s="4" t="s">
        <v>11636</v>
      </c>
      <c r="I246" s="4" t="str">
        <f>IFERROR(__XLUDF.DUMMYFUNCTION("PROPER(REGEXREPLACE(G244,""[^A-Za-z]+ "",""""))"),"Nuabee")</f>
        <v>Nuabee</v>
      </c>
      <c r="J246" s="5" t="s">
        <v>11637</v>
      </c>
      <c r="K246" s="4" t="s">
        <v>185</v>
      </c>
      <c r="L246" s="4" t="s">
        <v>9172</v>
      </c>
      <c r="M246" s="4" t="s">
        <v>29</v>
      </c>
      <c r="N246" s="4" t="s">
        <v>2602</v>
      </c>
      <c r="O246" s="4" t="str">
        <f>IFERROR(__XLUDF.DUMMYFUNCTION("VLOOKUP(M244,IMPORTRANGE(""https://docs.google.com/spreadsheets/d/1opm6ZNvGZ7KditA9TuJwrZ25eFLfTNIkrNnY6mhV5Eg"",""list!A1:C115""),3,TRUE)"),"le secteur de la tech")</f>
        <v xml:space="preserve">le secteur de la tech</v>
      </c>
      <c r="P246" s="4" t="s">
        <v>11638</v>
      </c>
      <c r="R246" s="4" t="s">
        <v>185</v>
      </c>
      <c r="S246" s="4" t="s">
        <v>9193</v>
      </c>
      <c r="T246" s="4" t="s">
        <v>29</v>
      </c>
      <c r="U246" s="5" t="s">
        <v>11639</v>
      </c>
      <c r="V246" s="6"/>
      <c r="W246" s="6"/>
      <c r="X246" s="6"/>
      <c r="Y246" s="6"/>
      <c r="Z246" s="4" t="s">
        <v>11640</v>
      </c>
      <c r="AA246" s="6"/>
      <c r="AB246" s="5" t="s">
        <v>11641</v>
      </c>
    </row>
    <row r="247" ht="14.25">
      <c r="A247" s="4" t="s">
        <v>11643</v>
      </c>
      <c r="B247" s="4" t="s">
        <v>808</v>
      </c>
      <c r="C247" s="4" t="s">
        <v>120</v>
      </c>
      <c r="F247" s="4" t="s">
        <v>11644</v>
      </c>
      <c r="G247" s="4">
        <v>18</v>
      </c>
      <c r="H247" s="4" t="s">
        <v>11645</v>
      </c>
      <c r="I247" s="4" t="str">
        <f>IFERROR(__XLUDF.DUMMYFUNCTION("PROPER(REGEXREPLACE(G245,""[^A-Za-z]+ "",""""))"),"Mobileo Telecom")</f>
        <v xml:space="preserve">Mobileo Telecom</v>
      </c>
      <c r="J247" s="5" t="s">
        <v>11646</v>
      </c>
      <c r="K247" s="4" t="s">
        <v>39</v>
      </c>
      <c r="L247" s="4" t="s">
        <v>9160</v>
      </c>
      <c r="M247" s="4" t="s">
        <v>29</v>
      </c>
      <c r="N247" s="4" t="s">
        <v>9184</v>
      </c>
      <c r="O247" s="4" t="str">
        <f>IFERROR(__XLUDF.DUMMYFUNCTION("VLOOKUP(M245,IMPORTRANGE(""https://docs.google.com/spreadsheets/d/1opm6ZNvGZ7KditA9TuJwrZ25eFLfTNIkrNnY6mhV5Eg"",""list!A1:C115""),3,TRUE)"),"le secteur des télécommunications")</f>
        <v xml:space="preserve">le secteur des télécommunications</v>
      </c>
      <c r="P247" s="4" t="s">
        <v>11647</v>
      </c>
      <c r="R247" s="6"/>
      <c r="S247" s="6"/>
      <c r="T247" s="6"/>
      <c r="U247" s="5" t="s">
        <v>11648</v>
      </c>
      <c r="V247" s="6"/>
      <c r="W247" s="6"/>
      <c r="X247" s="6"/>
      <c r="Y247" s="6"/>
      <c r="Z247" s="4" t="s">
        <v>11649</v>
      </c>
      <c r="AA247" s="6"/>
      <c r="AB247" s="5" t="s">
        <v>11650</v>
      </c>
    </row>
    <row r="248" ht="14.25">
      <c r="A248" s="4" t="s">
        <v>4132</v>
      </c>
      <c r="B248" s="4" t="s">
        <v>808</v>
      </c>
      <c r="C248" s="4" t="s">
        <v>11653</v>
      </c>
      <c r="F248" s="4" t="s">
        <v>11652</v>
      </c>
      <c r="G248" s="4">
        <v>21</v>
      </c>
      <c r="H248" s="4" t="s">
        <v>10176</v>
      </c>
      <c r="I248" s="4" t="str">
        <f>IFERROR(__XLUDF.DUMMYFUNCTION("PROPER(REGEXREPLACE(G246,""[^A-Za-z]+ "",""""))"),"Dc Pilot France")</f>
        <v xml:space="preserve">Dc Pilot France</v>
      </c>
      <c r="J248" s="5" t="s">
        <v>10177</v>
      </c>
      <c r="K248" s="4" t="s">
        <v>11654</v>
      </c>
      <c r="L248" s="4" t="s">
        <v>9160</v>
      </c>
      <c r="M248" s="4" t="s">
        <v>29</v>
      </c>
      <c r="N248" s="4" t="s">
        <v>4067</v>
      </c>
      <c r="O248" s="4" t="str">
        <f>IFERROR(__XLUDF.DUMMYFUNCTION("VLOOKUP(M246,IMPORTRANGE(""https://docs.google.com/spreadsheets/d/1opm6ZNvGZ7KditA9TuJwrZ25eFLfTNIkrNnY6mhV5Eg"",""list!A1:C115""),3,TRUE)"),"le secteur du conseil en management")</f>
        <v xml:space="preserve">le secteur du conseil en management</v>
      </c>
      <c r="P248" s="4" t="s">
        <v>10179</v>
      </c>
      <c r="R248" s="4" t="s">
        <v>651</v>
      </c>
      <c r="S248" s="4" t="s">
        <v>9215</v>
      </c>
      <c r="T248" s="4" t="s">
        <v>29</v>
      </c>
      <c r="U248" s="5" t="s">
        <v>10180</v>
      </c>
      <c r="V248" s="5" t="s">
        <v>10181</v>
      </c>
      <c r="W248" s="5" t="s">
        <v>10182</v>
      </c>
      <c r="X248" s="6"/>
      <c r="Y248" s="6"/>
      <c r="Z248" s="4" t="s">
        <v>10183</v>
      </c>
      <c r="AA248" s="6"/>
      <c r="AB248" s="5" t="s">
        <v>11655</v>
      </c>
    </row>
    <row r="249" ht="14.25">
      <c r="A249" s="4" t="s">
        <v>7725</v>
      </c>
      <c r="B249" s="4" t="s">
        <v>808</v>
      </c>
      <c r="C249" s="4" t="s">
        <v>7185</v>
      </c>
      <c r="F249" s="4" t="s">
        <v>11657</v>
      </c>
      <c r="G249" s="4">
        <v>40</v>
      </c>
      <c r="H249" s="4" t="s">
        <v>11658</v>
      </c>
      <c r="I249" s="4" t="str">
        <f>IFERROR(__XLUDF.DUMMYFUNCTION("PROPER(REGEXREPLACE(G247,""[^A-Za-z]+ "",""""))"),"Leclere Sas")</f>
        <v xml:space="preserve">Leclere Sas</v>
      </c>
      <c r="J249" s="5" t="s">
        <v>11659</v>
      </c>
      <c r="K249" s="6"/>
      <c r="L249" s="4" t="s">
        <v>9193</v>
      </c>
      <c r="M249" s="4" t="s">
        <v>29</v>
      </c>
      <c r="N249" s="4" t="s">
        <v>4525</v>
      </c>
      <c r="O249" s="4" t="str">
        <f>IFERROR(__XLUDF.DUMMYFUNCTION("VLOOKUP(M247,IMPORTRANGE(""https://docs.google.com/spreadsheets/d/1opm6ZNvGZ7KditA9TuJwrZ25eFLfTNIkrNnY6mhV5Eg"",""list!A1:C115""),3,TRUE)"),"le secteur du retail")</f>
        <v xml:space="preserve">le secteur du retail</v>
      </c>
      <c r="P249" s="4" t="s">
        <v>11660</v>
      </c>
      <c r="R249" s="4" t="s">
        <v>1150</v>
      </c>
      <c r="S249" s="4" t="s">
        <v>9193</v>
      </c>
      <c r="T249" s="4" t="s">
        <v>29</v>
      </c>
      <c r="U249" s="5" t="s">
        <v>11661</v>
      </c>
      <c r="V249" s="6"/>
      <c r="W249" s="5" t="s">
        <v>11662</v>
      </c>
      <c r="X249" s="6"/>
      <c r="Y249" s="6"/>
      <c r="Z249" s="4" t="s">
        <v>11663</v>
      </c>
      <c r="AA249" s="6"/>
      <c r="AB249" s="5" t="s">
        <v>11664</v>
      </c>
    </row>
    <row r="250" ht="14.25">
      <c r="A250" s="4" t="s">
        <v>11666</v>
      </c>
      <c r="B250" s="4" t="s">
        <v>808</v>
      </c>
      <c r="C250" s="4" t="s">
        <v>172</v>
      </c>
      <c r="F250" s="4" t="s">
        <v>11667</v>
      </c>
      <c r="G250" s="4">
        <v>10</v>
      </c>
      <c r="H250" s="4" t="s">
        <v>11668</v>
      </c>
      <c r="I250" s="4" t="str">
        <f>IFERROR(__XLUDF.DUMMYFUNCTION("PROPER(REGEXREPLACE(G248,""[^A-Za-z]+ "",""""))"),"Drdata")</f>
        <v>Drdata</v>
      </c>
      <c r="J250" s="5" t="s">
        <v>11669</v>
      </c>
      <c r="K250" s="4" t="s">
        <v>39</v>
      </c>
      <c r="L250" s="4" t="s">
        <v>9160</v>
      </c>
      <c r="M250" s="4" t="s">
        <v>29</v>
      </c>
      <c r="N250" s="4" t="s">
        <v>2602</v>
      </c>
      <c r="O250" s="4" t="str">
        <f>IFERROR(__XLUDF.DUMMYFUNCTION("VLOOKUP(M248,IMPORTRANGE(""https://docs.google.com/spreadsheets/d/1opm6ZNvGZ7KditA9TuJwrZ25eFLfTNIkrNnY6mhV5Eg"",""list!A1:C115""),3,TRUE)"),"le secteur de la tech")</f>
        <v xml:space="preserve">le secteur de la tech</v>
      </c>
      <c r="P250" s="4" t="s">
        <v>11670</v>
      </c>
      <c r="R250" s="4" t="s">
        <v>39</v>
      </c>
      <c r="S250" s="4" t="s">
        <v>9160</v>
      </c>
      <c r="T250" s="4" t="s">
        <v>29</v>
      </c>
      <c r="U250" s="5" t="s">
        <v>11671</v>
      </c>
      <c r="V250" s="6"/>
      <c r="W250" s="6"/>
      <c r="X250" s="6"/>
      <c r="Y250" s="6"/>
      <c r="Z250" s="4" t="s">
        <v>11672</v>
      </c>
      <c r="AA250" s="6"/>
      <c r="AB250" s="5" t="s">
        <v>11673</v>
      </c>
    </row>
    <row r="251" ht="14.25">
      <c r="A251" s="4" t="s">
        <v>11675</v>
      </c>
      <c r="B251" s="4" t="s">
        <v>808</v>
      </c>
      <c r="C251" s="4" t="s">
        <v>7185</v>
      </c>
      <c r="F251" s="4" t="s">
        <v>11676</v>
      </c>
      <c r="G251" s="4">
        <v>17</v>
      </c>
      <c r="H251" s="4" t="s">
        <v>11677</v>
      </c>
      <c r="I251" s="4" t="str">
        <f>IFERROR(__XLUDF.DUMMYFUNCTION("PROPER(REGEXREPLACE(G249,""[^A-Za-z]+ "",""""))"),"Bimer Services")</f>
        <v xml:space="preserve">Bimer Services</v>
      </c>
      <c r="J251" s="5" t="s">
        <v>11678</v>
      </c>
      <c r="K251" s="4" t="s">
        <v>482</v>
      </c>
      <c r="L251" s="4" t="s">
        <v>9460</v>
      </c>
      <c r="M251" s="4" t="s">
        <v>29</v>
      </c>
      <c r="N251" s="4" t="s">
        <v>2602</v>
      </c>
      <c r="O251" s="4" t="str">
        <f>IFERROR(__XLUDF.DUMMYFUNCTION("VLOOKUP(M249,IMPORTRANGE(""https://docs.google.com/spreadsheets/d/1opm6ZNvGZ7KditA9TuJwrZ25eFLfTNIkrNnY6mhV5Eg"",""list!A1:C115""),3,TRUE)"),"le secteur de la tech")</f>
        <v xml:space="preserve">le secteur de la tech</v>
      </c>
      <c r="P251" s="4" t="s">
        <v>11679</v>
      </c>
      <c r="R251" s="4" t="s">
        <v>482</v>
      </c>
      <c r="S251" s="4" t="s">
        <v>9460</v>
      </c>
      <c r="T251" s="4" t="s">
        <v>29</v>
      </c>
      <c r="U251" s="5" t="s">
        <v>11680</v>
      </c>
      <c r="V251" s="6"/>
      <c r="W251" s="6"/>
      <c r="X251" s="6"/>
      <c r="Y251" s="6"/>
      <c r="Z251" s="4" t="s">
        <v>11681</v>
      </c>
      <c r="AA251" s="6"/>
      <c r="AB251" s="5" t="s">
        <v>11682</v>
      </c>
    </row>
    <row r="252" ht="14.25">
      <c r="A252" s="4" t="s">
        <v>808</v>
      </c>
      <c r="B252" s="4" t="s">
        <v>6229</v>
      </c>
      <c r="C252" s="4" t="s">
        <v>7759</v>
      </c>
      <c r="F252" s="4" t="s">
        <v>11684</v>
      </c>
      <c r="G252" s="4">
        <v>15</v>
      </c>
      <c r="H252" s="4" t="s">
        <v>11685</v>
      </c>
      <c r="I252" s="4" t="str">
        <f>IFERROR(__XLUDF.DUMMYFUNCTION("PROPER(REGEXREPLACE(G250,""[^A-Za-z]+ "",""""))"),"Digitizme")</f>
        <v>Digitizme</v>
      </c>
      <c r="J252" s="5" t="s">
        <v>11686</v>
      </c>
      <c r="K252" s="4" t="s">
        <v>185</v>
      </c>
      <c r="L252" s="4" t="s">
        <v>9193</v>
      </c>
      <c r="M252" s="4" t="s">
        <v>29</v>
      </c>
      <c r="N252" s="4" t="s">
        <v>2602</v>
      </c>
      <c r="O252" s="4" t="str">
        <f>IFERROR(__XLUDF.DUMMYFUNCTION("VLOOKUP(M250,IMPORTRANGE(""https://docs.google.com/spreadsheets/d/1opm6ZNvGZ7KditA9TuJwrZ25eFLfTNIkrNnY6mhV5Eg"",""list!A1:C115""),3,TRUE)"),"le secteur de la tech")</f>
        <v xml:space="preserve">le secteur de la tech</v>
      </c>
      <c r="P252" s="6"/>
      <c r="R252" s="4" t="s">
        <v>185</v>
      </c>
      <c r="S252" s="4" t="s">
        <v>9193</v>
      </c>
      <c r="T252" s="4" t="s">
        <v>29</v>
      </c>
      <c r="U252" s="5" t="s">
        <v>11687</v>
      </c>
      <c r="V252" s="6"/>
      <c r="W252" s="6"/>
      <c r="X252" s="6"/>
      <c r="Y252" s="6"/>
      <c r="Z252" s="4" t="s">
        <v>11688</v>
      </c>
      <c r="AA252" s="6"/>
      <c r="AB252" s="5" t="s">
        <v>11689</v>
      </c>
    </row>
    <row r="253" ht="14.25">
      <c r="A253" s="4" t="s">
        <v>11691</v>
      </c>
      <c r="B253" s="4" t="s">
        <v>808</v>
      </c>
      <c r="C253" s="4" t="s">
        <v>11693</v>
      </c>
      <c r="F253" s="4" t="s">
        <v>11692</v>
      </c>
      <c r="G253" s="4">
        <v>15</v>
      </c>
      <c r="H253" s="4" t="s">
        <v>11694</v>
      </c>
      <c r="I253" s="4" t="str">
        <f>IFERROR(__XLUDF.DUMMYFUNCTION("PROPER(REGEXREPLACE(G251,""[^A-Za-z]+ "",""""))"),"Tab France")</f>
        <v xml:space="preserve">Tab France</v>
      </c>
      <c r="J253" s="5" t="s">
        <v>11695</v>
      </c>
      <c r="K253" s="4" t="s">
        <v>243</v>
      </c>
      <c r="L253" s="4" t="s">
        <v>9864</v>
      </c>
      <c r="M253" s="4" t="s">
        <v>29</v>
      </c>
      <c r="N253" s="4" t="s">
        <v>4067</v>
      </c>
      <c r="O253" s="4" t="str">
        <f>IFERROR(__XLUDF.DUMMYFUNCTION("VLOOKUP(M251,IMPORTRANGE(""https://docs.google.com/spreadsheets/d/1opm6ZNvGZ7KditA9TuJwrZ25eFLfTNIkrNnY6mhV5Eg"",""list!A1:C115""),3,TRUE)"),"le secteur du conseil en management")</f>
        <v xml:space="preserve">le secteur du conseil en management</v>
      </c>
      <c r="P253" s="4" t="s">
        <v>11696</v>
      </c>
      <c r="R253" s="4" t="s">
        <v>39</v>
      </c>
      <c r="S253" s="4" t="s">
        <v>9160</v>
      </c>
      <c r="T253" s="4" t="s">
        <v>29</v>
      </c>
      <c r="U253" s="5" t="s">
        <v>11697</v>
      </c>
      <c r="V253" s="6"/>
      <c r="W253" s="6"/>
      <c r="X253" s="6"/>
      <c r="Y253" s="6"/>
      <c r="Z253" s="4" t="s">
        <v>11698</v>
      </c>
      <c r="AA253" s="6"/>
      <c r="AB253" s="5" t="s">
        <v>11699</v>
      </c>
    </row>
    <row r="254" ht="14.25">
      <c r="A254" s="4" t="s">
        <v>11702</v>
      </c>
      <c r="B254" s="4" t="s">
        <v>11701</v>
      </c>
      <c r="C254" s="4" t="s">
        <v>112</v>
      </c>
      <c r="F254" s="4" t="s">
        <v>11703</v>
      </c>
      <c r="G254" s="4">
        <v>21</v>
      </c>
      <c r="H254" s="4" t="s">
        <v>11704</v>
      </c>
      <c r="I254" s="4" t="str">
        <f>IFERROR(__XLUDF.DUMMYFUNCTION("PROPER(REGEXREPLACE(G252,""[^A-Za-z]+ "",""""))"),"Groupe Innov")</f>
        <v xml:space="preserve">Groupe Innov</v>
      </c>
      <c r="J254" s="5" t="s">
        <v>11705</v>
      </c>
      <c r="K254" s="6"/>
      <c r="L254" s="4" t="s">
        <v>9160</v>
      </c>
      <c r="M254" s="4" t="s">
        <v>29</v>
      </c>
      <c r="N254" s="4" t="s">
        <v>4525</v>
      </c>
      <c r="O254" s="4" t="str">
        <f>IFERROR(__XLUDF.DUMMYFUNCTION("VLOOKUP(M252,IMPORTRANGE(""https://docs.google.com/spreadsheets/d/1opm6ZNvGZ7KditA9TuJwrZ25eFLfTNIkrNnY6mhV5Eg"",""list!A1:C115""),3,TRUE)"),"le secteur du retail")</f>
        <v xml:space="preserve">le secteur du retail</v>
      </c>
      <c r="P254" s="6"/>
      <c r="R254" s="4" t="s">
        <v>5668</v>
      </c>
      <c r="S254" s="4" t="s">
        <v>9160</v>
      </c>
      <c r="T254" s="4" t="s">
        <v>29</v>
      </c>
      <c r="U254" s="5" t="s">
        <v>11706</v>
      </c>
      <c r="V254" s="6"/>
      <c r="W254" s="6"/>
      <c r="X254" s="6"/>
      <c r="Y254" s="6"/>
      <c r="Z254" s="4" t="s">
        <v>11707</v>
      </c>
      <c r="AA254" s="6"/>
      <c r="AB254" s="5" t="s">
        <v>11708</v>
      </c>
    </row>
    <row r="255" ht="14.25">
      <c r="A255" s="4" t="s">
        <v>11711</v>
      </c>
      <c r="B255" s="4" t="s">
        <v>11710</v>
      </c>
      <c r="C255" s="4" t="s">
        <v>11713</v>
      </c>
      <c r="F255" s="4" t="s">
        <v>11712</v>
      </c>
      <c r="G255" s="4">
        <v>17</v>
      </c>
      <c r="H255" s="4" t="s">
        <v>11714</v>
      </c>
      <c r="I255" s="4" t="str">
        <f>IFERROR(__XLUDF.DUMMYFUNCTION("PROPER(REGEXREPLACE(G253,""[^A-Za-z]+ "",""""))"),"Eutech")</f>
        <v>Eutech</v>
      </c>
      <c r="J255" s="5" t="s">
        <v>11715</v>
      </c>
      <c r="K255" s="4" t="s">
        <v>11716</v>
      </c>
      <c r="L255" s="4" t="s">
        <v>11022</v>
      </c>
      <c r="M255" s="4" t="s">
        <v>29</v>
      </c>
      <c r="N255" s="4" t="s">
        <v>2602</v>
      </c>
      <c r="O255" s="4" t="str">
        <f>IFERROR(__XLUDF.DUMMYFUNCTION("VLOOKUP(M253,IMPORTRANGE(""https://docs.google.com/spreadsheets/d/1opm6ZNvGZ7KditA9TuJwrZ25eFLfTNIkrNnY6mhV5Eg"",""list!A1:C115""),3,TRUE)"),"le secteur de la tech")</f>
        <v xml:space="preserve">le secteur de la tech</v>
      </c>
      <c r="P255" s="6"/>
      <c r="R255" s="4" t="s">
        <v>11716</v>
      </c>
      <c r="S255" s="4" t="s">
        <v>9215</v>
      </c>
      <c r="T255" s="4" t="s">
        <v>29</v>
      </c>
      <c r="U255" s="5" t="s">
        <v>11717</v>
      </c>
      <c r="V255" s="6"/>
      <c r="W255" s="6"/>
      <c r="X255" s="6"/>
      <c r="Y255" s="6"/>
      <c r="Z255" s="4" t="s">
        <v>11718</v>
      </c>
      <c r="AA255" s="6"/>
      <c r="AB255" s="5" t="s">
        <v>11719</v>
      </c>
    </row>
    <row r="256" ht="14.25">
      <c r="A256" s="4" t="s">
        <v>11721</v>
      </c>
      <c r="B256" s="4" t="s">
        <v>1861</v>
      </c>
      <c r="C256" s="4" t="s">
        <v>1231</v>
      </c>
      <c r="F256" s="4" t="s">
        <v>11722</v>
      </c>
      <c r="G256" s="4">
        <v>18</v>
      </c>
      <c r="H256" s="4" t="s">
        <v>11723</v>
      </c>
      <c r="I256" s="4" t="str">
        <f>IFERROR(__XLUDF.DUMMYFUNCTION("PROPER(REGEXREPLACE(G254,""[^A-Za-z]+ "",""""))"),"Regata")</f>
        <v>Regata</v>
      </c>
      <c r="J256" s="5" t="s">
        <v>11724</v>
      </c>
      <c r="K256" s="6"/>
      <c r="L256" s="6"/>
      <c r="M256" s="4" t="s">
        <v>29</v>
      </c>
      <c r="N256" s="4" t="s">
        <v>2602</v>
      </c>
      <c r="O256" s="4" t="str">
        <f>IFERROR(__XLUDF.DUMMYFUNCTION("VLOOKUP(M254,IMPORTRANGE(""https://docs.google.com/spreadsheets/d/1opm6ZNvGZ7KditA9TuJwrZ25eFLfTNIkrNnY6mhV5Eg"",""list!A1:C115""),3,TRUE)"),"le secteur de la tech")</f>
        <v xml:space="preserve">le secteur de la tech</v>
      </c>
      <c r="P256" s="4" t="s">
        <v>11725</v>
      </c>
      <c r="R256" s="4" t="s">
        <v>1711</v>
      </c>
      <c r="S256" s="4" t="s">
        <v>9350</v>
      </c>
      <c r="T256" s="4" t="s">
        <v>29</v>
      </c>
      <c r="U256" s="5" t="s">
        <v>11726</v>
      </c>
      <c r="V256" s="6"/>
      <c r="W256" s="5" t="s">
        <v>11727</v>
      </c>
      <c r="X256" s="6"/>
      <c r="Y256" s="6"/>
      <c r="Z256" s="4" t="s">
        <v>11728</v>
      </c>
      <c r="AA256" s="6"/>
      <c r="AB256" s="5" t="s">
        <v>11729</v>
      </c>
    </row>
    <row r="257" ht="14.25">
      <c r="A257" s="4" t="s">
        <v>867</v>
      </c>
      <c r="B257" s="4" t="s">
        <v>1861</v>
      </c>
      <c r="C257" s="4" t="s">
        <v>1231</v>
      </c>
      <c r="F257" s="4" t="s">
        <v>11722</v>
      </c>
      <c r="G257" s="4">
        <v>18</v>
      </c>
      <c r="H257" s="4" t="s">
        <v>11723</v>
      </c>
      <c r="I257" s="4" t="str">
        <f>IFERROR(__XLUDF.DUMMYFUNCTION("PROPER(REGEXREPLACE(G255,""[^A-Za-z]+ "",""""))"),"Regata")</f>
        <v>Regata</v>
      </c>
      <c r="J257" s="5" t="s">
        <v>11724</v>
      </c>
      <c r="K257" s="4" t="s">
        <v>1711</v>
      </c>
      <c r="L257" s="4" t="s">
        <v>9350</v>
      </c>
      <c r="M257" s="4" t="s">
        <v>29</v>
      </c>
      <c r="N257" s="4" t="s">
        <v>2602</v>
      </c>
      <c r="O257" s="4" t="str">
        <f>IFERROR(__XLUDF.DUMMYFUNCTION("VLOOKUP(M255,IMPORTRANGE(""https://docs.google.com/spreadsheets/d/1opm6ZNvGZ7KditA9TuJwrZ25eFLfTNIkrNnY6mhV5Eg"",""list!A1:C115""),3,TRUE)"),"le secteur de la tech")</f>
        <v xml:space="preserve">le secteur de la tech</v>
      </c>
      <c r="P257" s="4" t="s">
        <v>11725</v>
      </c>
      <c r="R257" s="4" t="s">
        <v>1711</v>
      </c>
      <c r="S257" s="4" t="s">
        <v>9350</v>
      </c>
      <c r="T257" s="4" t="s">
        <v>29</v>
      </c>
      <c r="U257" s="5" t="s">
        <v>11726</v>
      </c>
      <c r="V257" s="6"/>
      <c r="W257" s="5" t="s">
        <v>11727</v>
      </c>
      <c r="X257" s="6"/>
      <c r="Y257" s="6"/>
      <c r="Z257" s="4" t="s">
        <v>11728</v>
      </c>
      <c r="AA257" s="6"/>
      <c r="AB257" s="5" t="s">
        <v>11731</v>
      </c>
    </row>
    <row r="258" ht="14.25">
      <c r="A258" s="4" t="s">
        <v>3257</v>
      </c>
      <c r="B258" s="4" t="s">
        <v>1861</v>
      </c>
      <c r="C258" s="4" t="s">
        <v>341</v>
      </c>
      <c r="F258" s="4" t="s">
        <v>11733</v>
      </c>
      <c r="G258" s="4">
        <v>10</v>
      </c>
      <c r="H258" s="4" t="s">
        <v>11734</v>
      </c>
      <c r="I258" s="4" t="str">
        <f>IFERROR(__XLUDF.DUMMYFUNCTION("PROPER(REGEXREPLACE(G256,""[^A-Za-z]+ "",""""))"),"Supercolor")</f>
        <v>Supercolor</v>
      </c>
      <c r="J258" s="4" t="s">
        <v>11735</v>
      </c>
      <c r="K258" s="4" t="s">
        <v>83</v>
      </c>
      <c r="L258" s="4" t="s">
        <v>9460</v>
      </c>
      <c r="M258" s="4" t="s">
        <v>29</v>
      </c>
      <c r="N258" s="4" t="s">
        <v>11736</v>
      </c>
      <c r="O258" s="4" t="str">
        <f>IFERROR(__XLUDF.DUMMYFUNCTION("VLOOKUP(M256,IMPORTRANGE(""https://docs.google.com/spreadsheets/d/1opm6ZNvGZ7KditA9TuJwrZ25eFLfTNIkrNnY6mhV5Eg"",""list!A1:C115""),3,TRUE)"),"le secteur de la tech")</f>
        <v xml:space="preserve">le secteur de la tech</v>
      </c>
      <c r="P258" s="4" t="s">
        <v>11737</v>
      </c>
      <c r="R258" s="4" t="s">
        <v>83</v>
      </c>
      <c r="S258" s="4" t="s">
        <v>9460</v>
      </c>
      <c r="T258" s="4" t="s">
        <v>29</v>
      </c>
      <c r="U258" s="5" t="s">
        <v>11738</v>
      </c>
      <c r="V258" s="5" t="s">
        <v>11739</v>
      </c>
      <c r="W258" s="5" t="s">
        <v>11740</v>
      </c>
      <c r="X258" s="6"/>
      <c r="Y258" s="6"/>
      <c r="Z258" s="4" t="s">
        <v>11741</v>
      </c>
      <c r="AA258" s="6"/>
      <c r="AB258" s="5" t="s">
        <v>11742</v>
      </c>
    </row>
    <row r="259" ht="14.25">
      <c r="A259" s="4" t="s">
        <v>11744</v>
      </c>
      <c r="B259" s="4" t="s">
        <v>2932</v>
      </c>
      <c r="C259" s="4" t="s">
        <v>7759</v>
      </c>
      <c r="F259" s="4" t="s">
        <v>11745</v>
      </c>
      <c r="G259" s="4">
        <v>40</v>
      </c>
      <c r="H259" s="4" t="s">
        <v>11746</v>
      </c>
      <c r="I259" s="4" t="str">
        <f>IFERROR(__XLUDF.DUMMYFUNCTION("PROPER(REGEXREPLACE(G257,""[^A-Za-z]+ "",""""))"),"Groupe Freecom")</f>
        <v xml:space="preserve">Groupe Freecom</v>
      </c>
      <c r="J259" s="5" t="s">
        <v>11747</v>
      </c>
      <c r="K259" s="4" t="s">
        <v>11716</v>
      </c>
      <c r="L259" s="4" t="s">
        <v>11022</v>
      </c>
      <c r="M259" s="4" t="s">
        <v>29</v>
      </c>
      <c r="N259" s="4" t="s">
        <v>9184</v>
      </c>
      <c r="O259" s="4" t="str">
        <f>IFERROR(__XLUDF.DUMMYFUNCTION("VLOOKUP(M257,IMPORTRANGE(""https://docs.google.com/spreadsheets/d/1opm6ZNvGZ7KditA9TuJwrZ25eFLfTNIkrNnY6mhV5Eg"",""list!A1:C115""),3,TRUE)"),"le secteur des télécommunications")</f>
        <v xml:space="preserve">le secteur des télécommunications</v>
      </c>
      <c r="P259" s="4" t="s">
        <v>11748</v>
      </c>
      <c r="R259" s="4" t="s">
        <v>11749</v>
      </c>
      <c r="S259" s="4" t="s">
        <v>11022</v>
      </c>
      <c r="T259" s="4" t="s">
        <v>29</v>
      </c>
      <c r="U259" s="5" t="s">
        <v>11750</v>
      </c>
      <c r="V259" s="6"/>
      <c r="W259" s="5" t="s">
        <v>11751</v>
      </c>
      <c r="X259" s="6"/>
      <c r="Y259" s="6"/>
      <c r="Z259" s="4" t="s">
        <v>11752</v>
      </c>
      <c r="AA259" s="6"/>
      <c r="AB259" s="5" t="s">
        <v>11753</v>
      </c>
    </row>
    <row r="260" ht="14.25">
      <c r="A260" s="4" t="s">
        <v>11756</v>
      </c>
      <c r="B260" s="4" t="s">
        <v>11755</v>
      </c>
      <c r="C260" s="4" t="s">
        <v>2636</v>
      </c>
      <c r="F260" s="4" t="s">
        <v>11757</v>
      </c>
      <c r="G260" s="4">
        <v>40</v>
      </c>
      <c r="H260" s="4" t="s">
        <v>11758</v>
      </c>
      <c r="I260" s="4" t="str">
        <f>IFERROR(__XLUDF.DUMMYFUNCTION("PROPER(REGEXREPLACE(G258,""[^A-Za-z]+ "",""""))"),"Alpha-Cim")</f>
        <v>Alpha-Cim</v>
      </c>
      <c r="J260" s="5" t="s">
        <v>11759</v>
      </c>
      <c r="K260" s="6"/>
      <c r="L260" s="4" t="s">
        <v>9160</v>
      </c>
      <c r="M260" s="4" t="s">
        <v>29</v>
      </c>
      <c r="N260" s="4" t="s">
        <v>2602</v>
      </c>
      <c r="O260" s="4" t="str">
        <f>IFERROR(__XLUDF.DUMMYFUNCTION("VLOOKUP(M258,IMPORTRANGE(""https://docs.google.com/spreadsheets/d/1opm6ZNvGZ7KditA9TuJwrZ25eFLfTNIkrNnY6mhV5Eg"",""list!A1:C115""),3,TRUE)"),"le secteur de la tech")</f>
        <v xml:space="preserve">le secteur de la tech</v>
      </c>
      <c r="P260" s="4" t="s">
        <v>11760</v>
      </c>
      <c r="R260" s="4" t="s">
        <v>11761</v>
      </c>
      <c r="S260" s="4" t="s">
        <v>9160</v>
      </c>
      <c r="T260" s="4" t="s">
        <v>29</v>
      </c>
      <c r="U260" s="5" t="s">
        <v>11762</v>
      </c>
      <c r="V260" s="6"/>
      <c r="W260" s="6"/>
      <c r="X260" s="6"/>
      <c r="Y260" s="6"/>
      <c r="Z260" s="4" t="s">
        <v>11763</v>
      </c>
      <c r="AA260" s="6"/>
      <c r="AB260" s="5" t="s">
        <v>11764</v>
      </c>
    </row>
    <row r="261" ht="14.25">
      <c r="A261" s="4" t="s">
        <v>11767</v>
      </c>
      <c r="B261" s="4" t="s">
        <v>11766</v>
      </c>
      <c r="C261" s="4" t="s">
        <v>11769</v>
      </c>
      <c r="F261" s="4" t="s">
        <v>11768</v>
      </c>
      <c r="G261" s="4">
        <v>18</v>
      </c>
      <c r="H261" s="4" t="s">
        <v>11770</v>
      </c>
      <c r="I261" s="4" t="str">
        <f>IFERROR(__XLUDF.DUMMYFUNCTION("PROPER(REGEXREPLACE(G259,""[^A-Za-z]+ "",""""))"),"Nivalis Conseil")</f>
        <v xml:space="preserve">Nivalis Conseil</v>
      </c>
      <c r="J261" s="5" t="s">
        <v>11771</v>
      </c>
      <c r="K261" s="4" t="s">
        <v>39</v>
      </c>
      <c r="L261" s="4" t="s">
        <v>9160</v>
      </c>
      <c r="M261" s="4" t="s">
        <v>29</v>
      </c>
      <c r="N261" s="4" t="s">
        <v>4067</v>
      </c>
      <c r="O261" s="4" t="str">
        <f>IFERROR(__XLUDF.DUMMYFUNCTION("VLOOKUP(M259,IMPORTRANGE(""https://docs.google.com/spreadsheets/d/1opm6ZNvGZ7KditA9TuJwrZ25eFLfTNIkrNnY6mhV5Eg"",""list!A1:C115""),3,TRUE)"),"le secteur du conseil en management")</f>
        <v xml:space="preserve">le secteur du conseil en management</v>
      </c>
      <c r="P261" s="4" t="s">
        <v>11772</v>
      </c>
      <c r="R261" s="4" t="s">
        <v>39</v>
      </c>
      <c r="S261" s="4" t="s">
        <v>9160</v>
      </c>
      <c r="T261" s="4" t="s">
        <v>29</v>
      </c>
      <c r="U261" s="5" t="s">
        <v>11773</v>
      </c>
      <c r="V261" s="6"/>
      <c r="W261" s="5" t="s">
        <v>11774</v>
      </c>
      <c r="X261" s="6"/>
      <c r="Y261" s="6"/>
      <c r="Z261" s="4" t="s">
        <v>11775</v>
      </c>
      <c r="AA261" s="6"/>
      <c r="AB261" s="5" t="s">
        <v>11776</v>
      </c>
    </row>
    <row r="262" ht="14.25">
      <c r="A262" s="4" t="s">
        <v>11778</v>
      </c>
      <c r="B262" s="4" t="s">
        <v>5716</v>
      </c>
      <c r="C262" s="4" t="s">
        <v>112</v>
      </c>
      <c r="F262" s="4" t="s">
        <v>11779</v>
      </c>
      <c r="G262" s="4">
        <v>24</v>
      </c>
      <c r="H262" s="4" t="s">
        <v>11780</v>
      </c>
      <c r="I262" s="4" t="str">
        <f>IFERROR(__XLUDF.DUMMYFUNCTION("PROPER(REGEXREPLACE(G260,""[^A-Za-z]+ "",""""))"),"Itelia Télécom")</f>
        <v xml:space="preserve">Itelia Télécom</v>
      </c>
      <c r="J262" s="5" t="s">
        <v>11781</v>
      </c>
      <c r="K262" s="4" t="s">
        <v>1745</v>
      </c>
      <c r="L262" s="4" t="s">
        <v>10829</v>
      </c>
      <c r="M262" s="4" t="s">
        <v>29</v>
      </c>
      <c r="N262" s="4" t="s">
        <v>9184</v>
      </c>
      <c r="O262" s="4" t="str">
        <f>IFERROR(__XLUDF.DUMMYFUNCTION("VLOOKUP(M260,IMPORTRANGE(""https://docs.google.com/spreadsheets/d/1opm6ZNvGZ7KditA9TuJwrZ25eFLfTNIkrNnY6mhV5Eg"",""list!A1:C115""),3,TRUE)"),"le secteur des télécommunications")</f>
        <v xml:space="preserve">le secteur des télécommunications</v>
      </c>
      <c r="P262" s="4" t="s">
        <v>11782</v>
      </c>
      <c r="R262" s="6"/>
      <c r="S262" s="6"/>
      <c r="T262" s="4" t="s">
        <v>29</v>
      </c>
      <c r="U262" s="5" t="s">
        <v>11783</v>
      </c>
      <c r="V262" s="6"/>
      <c r="W262" s="5" t="s">
        <v>11784</v>
      </c>
      <c r="X262" s="6"/>
      <c r="Y262" s="6"/>
      <c r="Z262" s="4" t="s">
        <v>11785</v>
      </c>
      <c r="AA262" s="6"/>
      <c r="AB262" s="5" t="s">
        <v>11786</v>
      </c>
    </row>
    <row r="263" ht="14.25">
      <c r="A263" s="4" t="s">
        <v>11788</v>
      </c>
      <c r="B263" s="4" t="s">
        <v>1198</v>
      </c>
      <c r="C263" s="4" t="s">
        <v>11790</v>
      </c>
      <c r="F263" s="4" t="s">
        <v>11789</v>
      </c>
      <c r="G263" s="4">
        <v>12</v>
      </c>
      <c r="H263" s="4" t="s">
        <v>11791</v>
      </c>
      <c r="I263" s="4" t="str">
        <f>IFERROR(__XLUDF.DUMMYFUNCTION("PROPER(REGEXREPLACE(G261,""[^A-Za-z]+ "",""""))"),"Btr")</f>
        <v>Btr</v>
      </c>
      <c r="J263" s="5" t="s">
        <v>11792</v>
      </c>
      <c r="K263" s="4" t="s">
        <v>295</v>
      </c>
      <c r="L263" s="4" t="s">
        <v>9251</v>
      </c>
      <c r="M263" s="4" t="s">
        <v>29</v>
      </c>
      <c r="N263" s="4" t="s">
        <v>9184</v>
      </c>
      <c r="O263" s="4" t="str">
        <f>IFERROR(__XLUDF.DUMMYFUNCTION("VLOOKUP(M261,IMPORTRANGE(""https://docs.google.com/spreadsheets/d/1opm6ZNvGZ7KditA9TuJwrZ25eFLfTNIkrNnY6mhV5Eg"",""list!A1:C115""),3,TRUE)"),"le secteur des télécommunications")</f>
        <v xml:space="preserve">le secteur des télécommunications</v>
      </c>
      <c r="P263" s="4" t="s">
        <v>11793</v>
      </c>
      <c r="R263" s="4" t="s">
        <v>7965</v>
      </c>
      <c r="S263" s="4" t="s">
        <v>9251</v>
      </c>
      <c r="T263" s="4" t="s">
        <v>29</v>
      </c>
      <c r="U263" s="5" t="s">
        <v>11794</v>
      </c>
      <c r="V263" s="6"/>
      <c r="W263" s="6"/>
      <c r="X263" s="6"/>
      <c r="Y263" s="6"/>
      <c r="Z263" s="4" t="s">
        <v>11795</v>
      </c>
      <c r="AA263" s="6"/>
      <c r="AB263" s="5" t="s">
        <v>11796</v>
      </c>
    </row>
    <row r="264" ht="14.25">
      <c r="A264" s="4" t="s">
        <v>1853</v>
      </c>
      <c r="B264" s="4" t="s">
        <v>1027</v>
      </c>
      <c r="C264" s="4" t="s">
        <v>11799</v>
      </c>
      <c r="F264" s="4" t="s">
        <v>11798</v>
      </c>
      <c r="G264" s="4">
        <v>15</v>
      </c>
      <c r="H264" s="4" t="s">
        <v>11800</v>
      </c>
      <c r="I264" s="4" t="str">
        <f>IFERROR(__XLUDF.DUMMYFUNCTION("PROPER(REGEXREPLACE(G262,""[^A-Za-z]+ "",""""))"),"Ge3D")</f>
        <v>Ge3D</v>
      </c>
      <c r="J264" s="5" t="s">
        <v>11801</v>
      </c>
      <c r="K264" s="4" t="s">
        <v>39</v>
      </c>
      <c r="L264" s="4" t="s">
        <v>9160</v>
      </c>
      <c r="M264" s="4" t="s">
        <v>29</v>
      </c>
      <c r="N264" s="4" t="s">
        <v>9239</v>
      </c>
      <c r="O264" s="4" t="str">
        <f>IFERROR(__XLUDF.DUMMYFUNCTION("VLOOKUP(M262,IMPORTRANGE(""https://docs.google.com/spreadsheets/d/1opm6ZNvGZ7KditA9TuJwrZ25eFLfTNIkrNnY6mhV5Eg"",""list!A1:C115""),3,TRUE)"),"le secteur de la construction")</f>
        <v xml:space="preserve">le secteur de la construction</v>
      </c>
      <c r="P264" s="4" t="s">
        <v>11802</v>
      </c>
      <c r="R264" s="4" t="s">
        <v>39</v>
      </c>
      <c r="S264" s="4" t="s">
        <v>9160</v>
      </c>
      <c r="T264" s="4" t="s">
        <v>29</v>
      </c>
      <c r="U264" s="5" t="s">
        <v>11803</v>
      </c>
      <c r="V264" s="6"/>
      <c r="W264" s="6"/>
      <c r="X264" s="6"/>
      <c r="Y264" s="6"/>
      <c r="Z264" s="4" t="s">
        <v>11804</v>
      </c>
      <c r="AA264" s="6"/>
      <c r="AB264" s="5" t="s">
        <v>11805</v>
      </c>
    </row>
    <row r="265" ht="14.25">
      <c r="A265" s="4" t="s">
        <v>11807</v>
      </c>
      <c r="B265" s="4" t="s">
        <v>3797</v>
      </c>
      <c r="C265" s="4" t="s">
        <v>5158</v>
      </c>
      <c r="F265" s="4" t="s">
        <v>11808</v>
      </c>
      <c r="G265" s="4">
        <v>37</v>
      </c>
      <c r="H265" s="4" t="s">
        <v>11809</v>
      </c>
      <c r="I265" s="4" t="str">
        <f>IFERROR(__XLUDF.DUMMYFUNCTION("PROPER(REGEXREPLACE(G263,""[^A-Za-z]+ "",""""))"),"Stellagroup")</f>
        <v>Stellagroup</v>
      </c>
      <c r="J265" s="4" t="s">
        <v>11810</v>
      </c>
      <c r="K265" s="4" t="s">
        <v>11811</v>
      </c>
      <c r="L265" s="4" t="s">
        <v>9193</v>
      </c>
      <c r="M265" s="4" t="s">
        <v>29</v>
      </c>
      <c r="N265" s="4" t="s">
        <v>9239</v>
      </c>
      <c r="O265" s="4" t="str">
        <f>IFERROR(__XLUDF.DUMMYFUNCTION("VLOOKUP(M263,IMPORTRANGE(""https://docs.google.com/spreadsheets/d/1opm6ZNvGZ7KditA9TuJwrZ25eFLfTNIkrNnY6mhV5Eg"",""list!A1:C115""),3,TRUE)"),"le secteur de la construction")</f>
        <v xml:space="preserve">le secteur de la construction</v>
      </c>
      <c r="P265" s="4" t="s">
        <v>11812</v>
      </c>
      <c r="R265" s="4" t="s">
        <v>423</v>
      </c>
      <c r="S265" s="4" t="s">
        <v>9172</v>
      </c>
      <c r="T265" s="4" t="s">
        <v>29</v>
      </c>
      <c r="U265" s="5" t="s">
        <v>11813</v>
      </c>
      <c r="V265" s="6"/>
      <c r="W265" s="6"/>
      <c r="X265" s="6"/>
      <c r="Y265" s="6"/>
      <c r="Z265" s="4" t="s">
        <v>11814</v>
      </c>
      <c r="AA265" s="6"/>
      <c r="AB265" s="5" t="s">
        <v>11815</v>
      </c>
    </row>
    <row r="266" ht="14.25">
      <c r="A266" s="4" t="s">
        <v>11817</v>
      </c>
      <c r="B266" s="4" t="s">
        <v>955</v>
      </c>
      <c r="C266" s="4" t="s">
        <v>7759</v>
      </c>
      <c r="F266" s="4" t="s">
        <v>11818</v>
      </c>
      <c r="G266" s="4">
        <v>14</v>
      </c>
      <c r="H266" s="4" t="s">
        <v>11819</v>
      </c>
      <c r="I266" s="4" t="str">
        <f>IFERROR(__XLUDF.DUMMYFUNCTION("PROPER(REGEXREPLACE(G264,""[^A-Za-z]+ "",""""))"),"Isitecc")</f>
        <v>Isitecc</v>
      </c>
      <c r="J266" s="6"/>
      <c r="K266" s="4" t="s">
        <v>11820</v>
      </c>
      <c r="L266" s="4" t="s">
        <v>9193</v>
      </c>
      <c r="M266" s="4" t="s">
        <v>29</v>
      </c>
      <c r="N266" s="4" t="s">
        <v>2602</v>
      </c>
      <c r="O266" s="4" t="str">
        <f>IFERROR(__XLUDF.DUMMYFUNCTION("VLOOKUP(M264,IMPORTRANGE(""https://docs.google.com/spreadsheets/d/1opm6ZNvGZ7KditA9TuJwrZ25eFLfTNIkrNnY6mhV5Eg"",""list!A1:C115""),3,TRUE)"),"le secteur de la tech")</f>
        <v xml:space="preserve">le secteur de la tech</v>
      </c>
      <c r="P266" s="4" t="s">
        <v>11821</v>
      </c>
      <c r="R266" s="4" t="s">
        <v>11820</v>
      </c>
      <c r="S266" s="4" t="s">
        <v>9193</v>
      </c>
      <c r="T266" s="4" t="s">
        <v>29</v>
      </c>
      <c r="U266" s="5" t="s">
        <v>11822</v>
      </c>
      <c r="V266" s="6"/>
      <c r="W266" s="6"/>
      <c r="X266" s="6"/>
      <c r="Y266" s="6"/>
      <c r="Z266" s="4" t="s">
        <v>11823</v>
      </c>
      <c r="AA266" s="6"/>
      <c r="AB266" s="5" t="s">
        <v>11824</v>
      </c>
    </row>
    <row r="267" ht="14.25">
      <c r="A267" s="4" t="s">
        <v>11826</v>
      </c>
      <c r="B267" s="4" t="s">
        <v>5716</v>
      </c>
      <c r="C267" s="4" t="s">
        <v>10202</v>
      </c>
      <c r="F267" s="4" t="s">
        <v>11827</v>
      </c>
      <c r="G267" s="4">
        <v>10</v>
      </c>
      <c r="H267" s="4" t="s">
        <v>11828</v>
      </c>
      <c r="I267" s="4" t="str">
        <f>IFERROR(__XLUDF.DUMMYFUNCTION("PROPER(REGEXREPLACE(G265,""[^A-Za-z]+ "",""""))"),"We Are Hanabi")</f>
        <v xml:space="preserve">We Are Hanabi</v>
      </c>
      <c r="J267" s="5" t="s">
        <v>11829</v>
      </c>
      <c r="K267" s="4" t="s">
        <v>39</v>
      </c>
      <c r="L267" s="4" t="s">
        <v>9160</v>
      </c>
      <c r="M267" s="4" t="s">
        <v>29</v>
      </c>
      <c r="N267" s="4" t="s">
        <v>2602</v>
      </c>
      <c r="O267" s="4" t="str">
        <f>IFERROR(__XLUDF.DUMMYFUNCTION("VLOOKUP(M265,IMPORTRANGE(""https://docs.google.com/spreadsheets/d/1opm6ZNvGZ7KditA9TuJwrZ25eFLfTNIkrNnY6mhV5Eg"",""list!A1:C115""),3,TRUE)"),"le secteur de la tech")</f>
        <v xml:space="preserve">le secteur de la tech</v>
      </c>
      <c r="P267" s="4" t="s">
        <v>11830</v>
      </c>
      <c r="R267" s="4" t="s">
        <v>39</v>
      </c>
      <c r="S267" s="4" t="s">
        <v>9160</v>
      </c>
      <c r="T267" s="4" t="s">
        <v>29</v>
      </c>
      <c r="U267" s="5" t="s">
        <v>11831</v>
      </c>
      <c r="V267" s="6"/>
      <c r="W267" s="6"/>
      <c r="X267" s="6"/>
      <c r="Y267" s="6"/>
      <c r="Z267" s="4" t="s">
        <v>11832</v>
      </c>
      <c r="AA267" s="6"/>
      <c r="AB267" s="5" t="s">
        <v>11833</v>
      </c>
    </row>
    <row r="268" ht="14.25">
      <c r="A268" s="4" t="s">
        <v>11835</v>
      </c>
      <c r="B268" s="4" t="s">
        <v>5716</v>
      </c>
      <c r="C268" s="4" t="s">
        <v>112</v>
      </c>
      <c r="F268" s="4" t="s">
        <v>11836</v>
      </c>
      <c r="G268" s="4">
        <v>22</v>
      </c>
      <c r="H268" s="4" t="s">
        <v>11837</v>
      </c>
      <c r="I268" s="4" t="str">
        <f>IFERROR(__XLUDF.DUMMYFUNCTION("PROPER(REGEXREPLACE(G266,""[^A-Za-z]+ "",""""))"),"Phoenix Fleet Expert")</f>
        <v xml:space="preserve">Phoenix Fleet Expert</v>
      </c>
      <c r="J268" s="5" t="s">
        <v>11838</v>
      </c>
      <c r="K268" s="4" t="s">
        <v>39</v>
      </c>
      <c r="L268" s="4" t="s">
        <v>9160</v>
      </c>
      <c r="M268" s="4" t="s">
        <v>29</v>
      </c>
      <c r="N268" s="4" t="s">
        <v>2602</v>
      </c>
      <c r="O268" s="4" t="str">
        <f>IFERROR(__XLUDF.DUMMYFUNCTION("VLOOKUP(M266,IMPORTRANGE(""https://docs.google.com/spreadsheets/d/1opm6ZNvGZ7KditA9TuJwrZ25eFLfTNIkrNnY6mhV5Eg"",""list!A1:C115""),3,TRUE)"),"le secteur de la tech")</f>
        <v xml:space="preserve">le secteur de la tech</v>
      </c>
      <c r="P268" s="4" t="s">
        <v>11839</v>
      </c>
      <c r="R268" s="4" t="s">
        <v>11840</v>
      </c>
      <c r="S268" s="4" t="s">
        <v>9160</v>
      </c>
      <c r="T268" s="4" t="s">
        <v>29</v>
      </c>
      <c r="U268" s="5" t="s">
        <v>11841</v>
      </c>
      <c r="V268" s="6"/>
      <c r="W268" s="6"/>
      <c r="X268" s="6"/>
      <c r="Y268" s="6"/>
      <c r="Z268" s="4" t="s">
        <v>11842</v>
      </c>
      <c r="AA268" s="6"/>
      <c r="AB268" s="5" t="s">
        <v>11843</v>
      </c>
    </row>
    <row r="269" ht="14.25">
      <c r="A269" s="4" t="s">
        <v>11845</v>
      </c>
      <c r="B269" s="4" t="s">
        <v>5716</v>
      </c>
      <c r="C269" s="4" t="s">
        <v>7759</v>
      </c>
      <c r="F269" s="4" t="s">
        <v>11846</v>
      </c>
      <c r="G269" s="4">
        <v>32</v>
      </c>
      <c r="H269" s="4" t="s">
        <v>11847</v>
      </c>
      <c r="I269" s="4" t="str">
        <f>IFERROR(__XLUDF.DUMMYFUNCTION("PROPER(REGEXREPLACE(G267,""[^A-Za-z]+ "",""""))"),"Qonex")</f>
        <v>Qonex</v>
      </c>
      <c r="J269" s="5" t="s">
        <v>11848</v>
      </c>
      <c r="K269" s="4" t="s">
        <v>1711</v>
      </c>
      <c r="L269" s="4" t="s">
        <v>9350</v>
      </c>
      <c r="M269" s="4" t="s">
        <v>29</v>
      </c>
      <c r="N269" s="4" t="s">
        <v>2602</v>
      </c>
      <c r="O269" s="4" t="str">
        <f>IFERROR(__XLUDF.DUMMYFUNCTION("VLOOKUP(M267,IMPORTRANGE(""https://docs.google.com/spreadsheets/d/1opm6ZNvGZ7KditA9TuJwrZ25eFLfTNIkrNnY6mhV5Eg"",""list!A1:C115""),3,TRUE)"),"le secteur de la tech")</f>
        <v xml:space="preserve">le secteur de la tech</v>
      </c>
      <c r="P269" s="4" t="s">
        <v>11849</v>
      </c>
      <c r="R269" s="4" t="s">
        <v>1711</v>
      </c>
      <c r="S269" s="4" t="s">
        <v>9350</v>
      </c>
      <c r="T269" s="4" t="s">
        <v>29</v>
      </c>
      <c r="U269" s="5" t="s">
        <v>11850</v>
      </c>
      <c r="V269" s="6"/>
      <c r="W269" s="6"/>
      <c r="X269" s="6"/>
      <c r="Y269" s="6"/>
      <c r="Z269" s="4" t="s">
        <v>11851</v>
      </c>
      <c r="AA269" s="6"/>
      <c r="AB269" s="5" t="s">
        <v>11852</v>
      </c>
    </row>
    <row r="270" ht="14.25">
      <c r="A270" s="4" t="s">
        <v>11854</v>
      </c>
      <c r="B270" s="4" t="s">
        <v>5716</v>
      </c>
      <c r="C270" s="4" t="s">
        <v>7759</v>
      </c>
      <c r="F270" s="4" t="s">
        <v>11855</v>
      </c>
      <c r="G270" s="4">
        <v>11</v>
      </c>
      <c r="H270" s="4" t="s">
        <v>11856</v>
      </c>
      <c r="I270" s="4" t="str">
        <f>IFERROR(__XLUDF.DUMMYFUNCTION("PROPER(REGEXREPLACE(G268,""[^A-Za-z]+ "",""""))"),"Visionsi")</f>
        <v>Visionsi</v>
      </c>
      <c r="J270" s="5" t="s">
        <v>11857</v>
      </c>
      <c r="K270" s="4" t="s">
        <v>149</v>
      </c>
      <c r="L270" s="4" t="s">
        <v>9473</v>
      </c>
      <c r="M270" s="4" t="s">
        <v>29</v>
      </c>
      <c r="N270" s="4" t="s">
        <v>2602</v>
      </c>
      <c r="O270" s="4" t="str">
        <f>IFERROR(__XLUDF.DUMMYFUNCTION("VLOOKUP(M268,IMPORTRANGE(""https://docs.google.com/spreadsheets/d/1opm6ZNvGZ7KditA9TuJwrZ25eFLfTNIkrNnY6mhV5Eg"",""list!A1:C115""),3,TRUE)"),"le secteur de la tech")</f>
        <v xml:space="preserve">le secteur de la tech</v>
      </c>
      <c r="P270" s="6"/>
      <c r="R270" s="4" t="s">
        <v>149</v>
      </c>
      <c r="S270" s="4" t="s">
        <v>11858</v>
      </c>
      <c r="T270" s="4" t="s">
        <v>29</v>
      </c>
      <c r="U270" s="5" t="s">
        <v>11859</v>
      </c>
      <c r="V270" s="6"/>
      <c r="W270" s="6"/>
      <c r="X270" s="6"/>
      <c r="Y270" s="6"/>
      <c r="Z270" s="4" t="s">
        <v>11860</v>
      </c>
      <c r="AA270" s="6"/>
      <c r="AB270" s="5" t="s">
        <v>11861</v>
      </c>
    </row>
    <row r="271" ht="14.25">
      <c r="A271" s="4" t="s">
        <v>11863</v>
      </c>
      <c r="B271" s="4" t="s">
        <v>6788</v>
      </c>
      <c r="C271" s="4" t="s">
        <v>11865</v>
      </c>
      <c r="F271" s="4" t="s">
        <v>11864</v>
      </c>
      <c r="G271" s="4">
        <v>39</v>
      </c>
      <c r="H271" s="4" t="s">
        <v>11866</v>
      </c>
      <c r="I271" s="4" t="str">
        <f>IFERROR(__XLUDF.DUMMYFUNCTION("PROPER(REGEXREPLACE(G269,""[^A-Za-z]+ "",""""))"),"Ecom Cs")</f>
        <v xml:space="preserve">Ecom Cs</v>
      </c>
      <c r="J271" s="5" t="s">
        <v>11867</v>
      </c>
      <c r="K271" s="6"/>
      <c r="L271" s="6"/>
      <c r="M271" s="4" t="s">
        <v>29</v>
      </c>
      <c r="N271" s="4" t="s">
        <v>2602</v>
      </c>
      <c r="O271" s="4" t="str">
        <f>IFERROR(__XLUDF.DUMMYFUNCTION("VLOOKUP(M269,IMPORTRANGE(""https://docs.google.com/spreadsheets/d/1opm6ZNvGZ7KditA9TuJwrZ25eFLfTNIkrNnY6mhV5Eg"",""list!A1:C115""),3,TRUE)"),"le secteur de la tech")</f>
        <v xml:space="preserve">le secteur de la tech</v>
      </c>
      <c r="P271" s="4" t="s">
        <v>11868</v>
      </c>
      <c r="R271" s="4" t="s">
        <v>39</v>
      </c>
      <c r="S271" s="4" t="s">
        <v>9160</v>
      </c>
      <c r="T271" s="4" t="s">
        <v>29</v>
      </c>
      <c r="U271" s="5" t="s">
        <v>11869</v>
      </c>
      <c r="V271" s="6"/>
      <c r="W271" s="6"/>
      <c r="X271" s="6"/>
      <c r="Y271" s="6"/>
      <c r="Z271" s="4" t="s">
        <v>11870</v>
      </c>
      <c r="AA271" s="6"/>
      <c r="AB271" s="5" t="s">
        <v>11871</v>
      </c>
    </row>
    <row r="272" ht="14.25">
      <c r="A272" s="4" t="s">
        <v>11874</v>
      </c>
      <c r="B272" s="4" t="s">
        <v>11873</v>
      </c>
      <c r="C272" s="4" t="s">
        <v>460</v>
      </c>
      <c r="F272" s="4" t="s">
        <v>11875</v>
      </c>
      <c r="G272" s="4">
        <v>45</v>
      </c>
      <c r="H272" s="4" t="s">
        <v>11876</v>
      </c>
      <c r="I272" s="4" t="str">
        <f>IFERROR(__XLUDF.DUMMYFUNCTION("PROPER(REGEXREPLACE(G270,""[^A-Za-z]+ "",""""))"),"Valocîme")</f>
        <v>Valocîme</v>
      </c>
      <c r="J272" s="5" t="s">
        <v>11877</v>
      </c>
      <c r="K272" s="4" t="s">
        <v>39</v>
      </c>
      <c r="L272" s="4" t="s">
        <v>9160</v>
      </c>
      <c r="M272" s="4" t="s">
        <v>29</v>
      </c>
      <c r="N272" s="4" t="s">
        <v>9184</v>
      </c>
      <c r="O272" s="4" t="str">
        <f>IFERROR(__XLUDF.DUMMYFUNCTION("VLOOKUP(M270,IMPORTRANGE(""https://docs.google.com/spreadsheets/d/1opm6ZNvGZ7KditA9TuJwrZ25eFLfTNIkrNnY6mhV5Eg"",""list!A1:C115""),3,TRUE)"),"le secteur des télécommunications")</f>
        <v xml:space="preserve">le secteur des télécommunications</v>
      </c>
      <c r="P272" s="6"/>
      <c r="R272" s="4" t="s">
        <v>11878</v>
      </c>
      <c r="S272" s="4" t="s">
        <v>9160</v>
      </c>
      <c r="T272" s="4" t="s">
        <v>29</v>
      </c>
      <c r="U272" s="5" t="s">
        <v>11879</v>
      </c>
      <c r="V272" s="6"/>
      <c r="W272" s="6"/>
      <c r="X272" s="6"/>
      <c r="Y272" s="6"/>
      <c r="Z272" s="4" t="s">
        <v>11880</v>
      </c>
      <c r="AA272" s="6"/>
      <c r="AB272" s="5" t="s">
        <v>11881</v>
      </c>
    </row>
    <row r="273" ht="14.25">
      <c r="A273" s="4" t="s">
        <v>11883</v>
      </c>
      <c r="B273" s="4" t="s">
        <v>1198</v>
      </c>
      <c r="C273" s="4" t="s">
        <v>487</v>
      </c>
      <c r="F273" s="4" t="s">
        <v>11884</v>
      </c>
      <c r="G273" s="4">
        <v>15</v>
      </c>
      <c r="H273" s="4" t="s">
        <v>11885</v>
      </c>
      <c r="I273" s="4" t="str">
        <f>IFERROR(__XLUDF.DUMMYFUNCTION("PROPER(REGEXREPLACE(G271,""[^A-Za-z]+ "",""""))"),"Sprid Peinture")</f>
        <v xml:space="preserve">Sprid Peinture</v>
      </c>
      <c r="J273" s="5" t="s">
        <v>11886</v>
      </c>
      <c r="K273" s="4" t="s">
        <v>11887</v>
      </c>
      <c r="L273" s="4" t="s">
        <v>9281</v>
      </c>
      <c r="M273" s="4" t="s">
        <v>29</v>
      </c>
      <c r="N273" s="4" t="s">
        <v>9239</v>
      </c>
      <c r="O273" s="4" t="str">
        <f>IFERROR(__XLUDF.DUMMYFUNCTION("VLOOKUP(M271,IMPORTRANGE(""https://docs.google.com/spreadsheets/d/1opm6ZNvGZ7KditA9TuJwrZ25eFLfTNIkrNnY6mhV5Eg"",""list!A1:C115""),3,TRUE)"),"le secteur de la construction")</f>
        <v xml:space="preserve">le secteur de la construction</v>
      </c>
      <c r="P273" s="6"/>
      <c r="R273" s="4" t="s">
        <v>11888</v>
      </c>
      <c r="S273" s="4" t="s">
        <v>9731</v>
      </c>
      <c r="T273" s="4" t="s">
        <v>29</v>
      </c>
      <c r="U273" s="5" t="s">
        <v>11889</v>
      </c>
      <c r="V273" s="6"/>
      <c r="W273" s="6"/>
      <c r="X273" s="6"/>
      <c r="Y273" s="6"/>
      <c r="Z273" s="6"/>
      <c r="AA273" s="6"/>
      <c r="AB273" s="5" t="s">
        <v>11890</v>
      </c>
    </row>
    <row r="274" ht="14.25">
      <c r="A274" s="4" t="s">
        <v>11893</v>
      </c>
      <c r="B274" s="4" t="s">
        <v>11892</v>
      </c>
      <c r="C274" s="4" t="s">
        <v>11895</v>
      </c>
      <c r="F274" s="4" t="s">
        <v>11894</v>
      </c>
      <c r="G274" s="4">
        <v>26</v>
      </c>
      <c r="H274" s="4" t="s">
        <v>11896</v>
      </c>
      <c r="I274" s="4" t="str">
        <f>IFERROR(__XLUDF.DUMMYFUNCTION("PROPER(REGEXREPLACE(G272,""[^A-Za-z]+ "",""""))"),"Régate")</f>
        <v>Régate</v>
      </c>
      <c r="J274" s="5" t="s">
        <v>11897</v>
      </c>
      <c r="K274" s="4" t="s">
        <v>11898</v>
      </c>
      <c r="L274" s="4" t="s">
        <v>9460</v>
      </c>
      <c r="M274" s="4" t="s">
        <v>29</v>
      </c>
      <c r="N274" s="4" t="s">
        <v>4067</v>
      </c>
      <c r="O274" s="4" t="str">
        <f>IFERROR(__XLUDF.DUMMYFUNCTION("VLOOKUP(M272,IMPORTRANGE(""https://docs.google.com/spreadsheets/d/1opm6ZNvGZ7KditA9TuJwrZ25eFLfTNIkrNnY6mhV5Eg"",""list!A1:C115""),3,TRUE)"),"le secteur du conseil en management")</f>
        <v xml:space="preserve">le secteur du conseil en management</v>
      </c>
      <c r="P274" s="4" t="s">
        <v>11899</v>
      </c>
      <c r="R274" s="4" t="s">
        <v>10661</v>
      </c>
      <c r="S274" s="4" t="s">
        <v>9254</v>
      </c>
      <c r="T274" s="4" t="s">
        <v>29</v>
      </c>
      <c r="U274" s="5" t="s">
        <v>11900</v>
      </c>
      <c r="V274" s="6"/>
      <c r="W274" s="5" t="s">
        <v>11901</v>
      </c>
      <c r="X274" s="6"/>
      <c r="Y274" s="6"/>
      <c r="Z274" s="4" t="s">
        <v>11902</v>
      </c>
      <c r="AA274" s="6"/>
      <c r="AB274" s="5" t="s">
        <v>11903</v>
      </c>
    </row>
    <row r="275" ht="14.25">
      <c r="A275" s="4" t="s">
        <v>11905</v>
      </c>
      <c r="B275" s="4" t="s">
        <v>11766</v>
      </c>
      <c r="C275" s="4" t="s">
        <v>198</v>
      </c>
      <c r="F275" s="4" t="s">
        <v>11906</v>
      </c>
      <c r="G275" s="4">
        <v>21</v>
      </c>
      <c r="H275" s="4" t="s">
        <v>11907</v>
      </c>
      <c r="I275" s="4" t="str">
        <f>IFERROR(__XLUDF.DUMMYFUNCTION("PROPER(REGEXREPLACE(G273,""[^A-Za-z]+ "",""""))"),"Pod")</f>
        <v>Pod</v>
      </c>
      <c r="J275" s="4" t="s">
        <v>11908</v>
      </c>
      <c r="K275" s="4" t="s">
        <v>39</v>
      </c>
      <c r="L275" s="4" t="s">
        <v>9160</v>
      </c>
      <c r="M275" s="4" t="s">
        <v>29</v>
      </c>
      <c r="N275" s="4" t="s">
        <v>4067</v>
      </c>
      <c r="O275" s="4" t="str">
        <f>IFERROR(__XLUDF.DUMMYFUNCTION("VLOOKUP(M273,IMPORTRANGE(""https://docs.google.com/spreadsheets/d/1opm6ZNvGZ7KditA9TuJwrZ25eFLfTNIkrNnY6mhV5Eg"",""list!A1:C115""),3,TRUE)"),"le secteur du conseil en management")</f>
        <v xml:space="preserve">le secteur du conseil en management</v>
      </c>
      <c r="P275" s="4" t="s">
        <v>11909</v>
      </c>
      <c r="R275" s="4" t="s">
        <v>39</v>
      </c>
      <c r="S275" s="4" t="s">
        <v>9160</v>
      </c>
      <c r="T275" s="4" t="s">
        <v>29</v>
      </c>
      <c r="U275" s="5" t="s">
        <v>11910</v>
      </c>
      <c r="V275" s="6"/>
      <c r="W275" s="6"/>
      <c r="X275" s="6"/>
      <c r="Y275" s="6"/>
      <c r="Z275" s="4" t="s">
        <v>11911</v>
      </c>
      <c r="AA275" s="6"/>
      <c r="AB275" s="5" t="s">
        <v>11912</v>
      </c>
    </row>
    <row r="276" ht="14.25">
      <c r="A276" s="4" t="s">
        <v>2932</v>
      </c>
      <c r="B276" s="4" t="s">
        <v>1198</v>
      </c>
      <c r="C276" s="4" t="s">
        <v>11915</v>
      </c>
      <c r="F276" s="4" t="s">
        <v>11914</v>
      </c>
      <c r="G276" s="4">
        <v>9</v>
      </c>
      <c r="H276" s="4" t="s">
        <v>11916</v>
      </c>
      <c r="I276" s="4" t="str">
        <f>IFERROR(__XLUDF.DUMMYFUNCTION("PROPER(REGEXREPLACE(G274,""[^A-Za-z]+ "",""""))"),"Concorde Associes")</f>
        <v xml:space="preserve">Concorde Associes</v>
      </c>
      <c r="J276" s="5" t="s">
        <v>11917</v>
      </c>
      <c r="K276" s="4" t="s">
        <v>39</v>
      </c>
      <c r="L276" s="4" t="s">
        <v>9160</v>
      </c>
      <c r="M276" s="4" t="s">
        <v>29</v>
      </c>
      <c r="N276" s="4" t="s">
        <v>4067</v>
      </c>
      <c r="O276" s="4" t="str">
        <f>IFERROR(__XLUDF.DUMMYFUNCTION("VLOOKUP(M274,IMPORTRANGE(""https://docs.google.com/spreadsheets/d/1opm6ZNvGZ7KditA9TuJwrZ25eFLfTNIkrNnY6mhV5Eg"",""list!A1:C115""),3,TRUE)"),"le secteur du conseil en management")</f>
        <v xml:space="preserve">le secteur du conseil en management</v>
      </c>
      <c r="P276" s="6"/>
      <c r="R276" s="4" t="s">
        <v>39</v>
      </c>
      <c r="S276" s="4" t="s">
        <v>9160</v>
      </c>
      <c r="T276" s="4" t="s">
        <v>29</v>
      </c>
      <c r="U276" s="5" t="s">
        <v>11918</v>
      </c>
      <c r="V276" s="6"/>
      <c r="W276" s="6"/>
      <c r="X276" s="6"/>
      <c r="Y276" s="6"/>
      <c r="Z276" s="4" t="s">
        <v>11919</v>
      </c>
      <c r="AA276" s="6"/>
      <c r="AB276" s="5" t="s">
        <v>11920</v>
      </c>
    </row>
    <row r="277" ht="14.25">
      <c r="A277" s="4" t="s">
        <v>11922</v>
      </c>
      <c r="B277" s="4" t="s">
        <v>2932</v>
      </c>
      <c r="C277" s="4" t="s">
        <v>172</v>
      </c>
      <c r="F277" s="4" t="s">
        <v>11923</v>
      </c>
      <c r="G277" s="4">
        <v>29</v>
      </c>
      <c r="H277" s="4" t="s">
        <v>11924</v>
      </c>
      <c r="I277" s="4" t="str">
        <f>IFERROR(__XLUDF.DUMMYFUNCTION("PROPER(REGEXREPLACE(G275,""[^A-Za-z]+ "",""""))"),"Digitaliance")</f>
        <v>Digitaliance</v>
      </c>
      <c r="J277" s="5" t="s">
        <v>11925</v>
      </c>
      <c r="K277" s="4" t="s">
        <v>562</v>
      </c>
      <c r="L277" s="4" t="s">
        <v>9215</v>
      </c>
      <c r="M277" s="4" t="s">
        <v>29</v>
      </c>
      <c r="N277" s="4" t="s">
        <v>2602</v>
      </c>
      <c r="O277" s="4" t="str">
        <f>IFERROR(__XLUDF.DUMMYFUNCTION("VLOOKUP(M275,IMPORTRANGE(""https://docs.google.com/spreadsheets/d/1opm6ZNvGZ7KditA9TuJwrZ25eFLfTNIkrNnY6mhV5Eg"",""list!A1:C115""),3,TRUE)"),"le secteur de la tech")</f>
        <v xml:space="preserve">le secteur de la tech</v>
      </c>
      <c r="P277" s="4" t="s">
        <v>11926</v>
      </c>
      <c r="R277" s="4" t="s">
        <v>11927</v>
      </c>
      <c r="S277" s="4" t="s">
        <v>9215</v>
      </c>
      <c r="T277" s="4" t="s">
        <v>29</v>
      </c>
      <c r="U277" s="5" t="s">
        <v>11928</v>
      </c>
      <c r="V277" s="6"/>
      <c r="W277" s="6"/>
      <c r="X277" s="6"/>
      <c r="Y277" s="6"/>
      <c r="Z277" s="4" t="s">
        <v>11929</v>
      </c>
      <c r="AA277" s="6"/>
      <c r="AB277" s="5" t="s">
        <v>11930</v>
      </c>
    </row>
    <row r="278" ht="14.25">
      <c r="A278" s="4" t="s">
        <v>11932</v>
      </c>
      <c r="B278" s="4" t="s">
        <v>679</v>
      </c>
      <c r="C278" s="4" t="s">
        <v>112</v>
      </c>
      <c r="F278" s="4" t="s">
        <v>11933</v>
      </c>
      <c r="G278" s="4">
        <v>14</v>
      </c>
      <c r="H278" s="4" t="s">
        <v>11934</v>
      </c>
      <c r="I278" s="4" t="str">
        <f>IFERROR(__XLUDF.DUMMYFUNCTION("PROPER(REGEXREPLACE(G276,""[^A-Za-z]+ "",""""))"),"Neotess")</f>
        <v>Neotess</v>
      </c>
      <c r="J278" s="5" t="s">
        <v>11935</v>
      </c>
      <c r="K278" s="4" t="s">
        <v>831</v>
      </c>
      <c r="L278" s="4" t="s">
        <v>9193</v>
      </c>
      <c r="M278" s="4" t="s">
        <v>29</v>
      </c>
      <c r="N278" s="4" t="s">
        <v>2602</v>
      </c>
      <c r="O278" s="4" t="str">
        <f>IFERROR(__XLUDF.DUMMYFUNCTION("VLOOKUP(M276,IMPORTRANGE(""https://docs.google.com/spreadsheets/d/1opm6ZNvGZ7KditA9TuJwrZ25eFLfTNIkrNnY6mhV5Eg"",""list!A1:C115""),3,TRUE)"),"le secteur de la tech")</f>
        <v xml:space="preserve">le secteur de la tech</v>
      </c>
      <c r="P278" s="4" t="s">
        <v>11936</v>
      </c>
      <c r="R278" s="4" t="s">
        <v>831</v>
      </c>
      <c r="S278" s="4" t="s">
        <v>9193</v>
      </c>
      <c r="T278" s="4" t="s">
        <v>29</v>
      </c>
      <c r="U278" s="5" t="s">
        <v>11937</v>
      </c>
      <c r="V278" s="5" t="s">
        <v>11938</v>
      </c>
      <c r="W278" s="5" t="s">
        <v>11939</v>
      </c>
      <c r="X278" s="6"/>
      <c r="Y278" s="6"/>
      <c r="Z278" s="4" t="s">
        <v>11940</v>
      </c>
      <c r="AA278" s="6"/>
      <c r="AB278" s="5" t="s">
        <v>11941</v>
      </c>
    </row>
    <row r="279" ht="14.25">
      <c r="A279" s="4" t="s">
        <v>11943</v>
      </c>
      <c r="B279" s="4" t="s">
        <v>679</v>
      </c>
      <c r="C279" s="4" t="s">
        <v>112</v>
      </c>
      <c r="F279" s="4" t="s">
        <v>11944</v>
      </c>
      <c r="G279" s="4">
        <v>15</v>
      </c>
      <c r="H279" s="4" t="s">
        <v>11945</v>
      </c>
      <c r="I279" s="4" t="str">
        <f>IFERROR(__XLUDF.DUMMYFUNCTION("PROPER(REGEXREPLACE(G277,""[^A-Za-z]+ "",""""))"),"Telesure")</f>
        <v>Telesure</v>
      </c>
      <c r="J279" s="6"/>
      <c r="K279" s="4" t="s">
        <v>11946</v>
      </c>
      <c r="L279" s="4" t="s">
        <v>9251</v>
      </c>
      <c r="M279" s="4" t="s">
        <v>29</v>
      </c>
      <c r="N279" s="4" t="s">
        <v>9184</v>
      </c>
      <c r="O279" s="4" t="str">
        <f>IFERROR(__XLUDF.DUMMYFUNCTION("VLOOKUP(M277,IMPORTRANGE(""https://docs.google.com/spreadsheets/d/1opm6ZNvGZ7KditA9TuJwrZ25eFLfTNIkrNnY6mhV5Eg"",""list!A1:C115""),3,TRUE)"),"le secteur des télécommunications")</f>
        <v xml:space="preserve">le secteur des télécommunications</v>
      </c>
      <c r="P279" s="6"/>
      <c r="R279" s="4" t="s">
        <v>11946</v>
      </c>
      <c r="S279" s="4" t="s">
        <v>9251</v>
      </c>
      <c r="T279" s="4" t="s">
        <v>29</v>
      </c>
      <c r="U279" s="5" t="s">
        <v>11947</v>
      </c>
      <c r="V279" s="6"/>
      <c r="W279" s="6"/>
      <c r="X279" s="6"/>
      <c r="Y279" s="6"/>
      <c r="Z279" s="4" t="s">
        <v>11945</v>
      </c>
      <c r="AA279" s="6"/>
      <c r="AB279" s="5" t="s">
        <v>11948</v>
      </c>
    </row>
    <row r="280" ht="14.25">
      <c r="A280" s="4" t="s">
        <v>11950</v>
      </c>
      <c r="B280" s="4" t="s">
        <v>2372</v>
      </c>
      <c r="C280" s="4" t="s">
        <v>10432</v>
      </c>
      <c r="F280" s="4" t="s">
        <v>11951</v>
      </c>
      <c r="G280" s="4">
        <v>40</v>
      </c>
      <c r="H280" s="4" t="s">
        <v>11952</v>
      </c>
      <c r="I280" s="4" t="str">
        <f>IFERROR(__XLUDF.DUMMYFUNCTION("PROPER(REGEXREPLACE(G278,""[^A-Za-z]+ "",""""))"),"Icd International")</f>
        <v xml:space="preserve">Icd International</v>
      </c>
      <c r="J280" s="5" t="s">
        <v>11953</v>
      </c>
      <c r="K280" s="4" t="s">
        <v>39</v>
      </c>
      <c r="L280" s="4" t="s">
        <v>9160</v>
      </c>
      <c r="M280" s="4" t="s">
        <v>29</v>
      </c>
      <c r="N280" s="4" t="s">
        <v>2602</v>
      </c>
      <c r="O280" s="4" t="str">
        <f>IFERROR(__XLUDF.DUMMYFUNCTION("VLOOKUP(M278,IMPORTRANGE(""https://docs.google.com/spreadsheets/d/1opm6ZNvGZ7KditA9TuJwrZ25eFLfTNIkrNnY6mhV5Eg"",""list!A1:C115""),3,TRUE)"),"le secteur de la tech")</f>
        <v xml:space="preserve">le secteur de la tech</v>
      </c>
      <c r="P280" s="4" t="s">
        <v>11954</v>
      </c>
      <c r="R280" s="4" t="s">
        <v>10139</v>
      </c>
      <c r="S280" s="4" t="s">
        <v>9160</v>
      </c>
      <c r="T280" s="4" t="s">
        <v>29</v>
      </c>
      <c r="U280" s="5" t="s">
        <v>11955</v>
      </c>
      <c r="V280" s="6"/>
      <c r="W280" s="6"/>
      <c r="X280" s="6"/>
      <c r="Y280" s="6"/>
      <c r="Z280" s="4" t="s">
        <v>11956</v>
      </c>
      <c r="AA280" s="6"/>
      <c r="AB280" s="5" t="s">
        <v>11957</v>
      </c>
    </row>
    <row r="281" ht="14.25">
      <c r="A281" s="4" t="s">
        <v>11959</v>
      </c>
      <c r="B281" s="4" t="s">
        <v>2372</v>
      </c>
      <c r="C281" s="4" t="s">
        <v>2636</v>
      </c>
      <c r="F281" s="4" t="s">
        <v>11960</v>
      </c>
      <c r="G281" s="4">
        <v>34</v>
      </c>
      <c r="H281" s="4" t="s">
        <v>11961</v>
      </c>
      <c r="I281" s="4" t="str">
        <f>IFERROR(__XLUDF.DUMMYFUNCTION("PROPER(REGEXREPLACE(G279,""[^A-Za-z]+ "",""""))"),"Enence")</f>
        <v>Enence</v>
      </c>
      <c r="J281" s="5" t="s">
        <v>11962</v>
      </c>
      <c r="K281" s="4" t="s">
        <v>295</v>
      </c>
      <c r="L281" s="4" t="s">
        <v>9251</v>
      </c>
      <c r="M281" s="4" t="s">
        <v>29</v>
      </c>
      <c r="N281" s="4" t="s">
        <v>4067</v>
      </c>
      <c r="O281" s="4" t="str">
        <f>IFERROR(__XLUDF.DUMMYFUNCTION("VLOOKUP(M279,IMPORTRANGE(""https://docs.google.com/spreadsheets/d/1opm6ZNvGZ7KditA9TuJwrZ25eFLfTNIkrNnY6mhV5Eg"",""list!A1:C115""),3,TRUE)"),"le secteur du conseil en management")</f>
        <v xml:space="preserve">le secteur du conseil en management</v>
      </c>
      <c r="P281" s="4" t="s">
        <v>11963</v>
      </c>
      <c r="R281" s="4" t="s">
        <v>11033</v>
      </c>
      <c r="S281" s="4" t="s">
        <v>9251</v>
      </c>
      <c r="T281" s="4" t="s">
        <v>29</v>
      </c>
      <c r="U281" s="5" t="s">
        <v>11964</v>
      </c>
      <c r="V281" s="5" t="s">
        <v>11965</v>
      </c>
      <c r="W281" s="6"/>
      <c r="X281" s="6"/>
      <c r="Y281" s="6"/>
      <c r="Z281" s="4" t="s">
        <v>11966</v>
      </c>
      <c r="AA281" s="6"/>
      <c r="AB281" s="5" t="s">
        <v>11967</v>
      </c>
    </row>
    <row r="282" ht="14.25">
      <c r="A282" s="4" t="s">
        <v>11969</v>
      </c>
      <c r="B282" s="4" t="s">
        <v>2372</v>
      </c>
      <c r="C282" s="4" t="s">
        <v>164</v>
      </c>
      <c r="F282" s="4" t="s">
        <v>11970</v>
      </c>
      <c r="G282" s="4">
        <v>42</v>
      </c>
      <c r="H282" s="4" t="s">
        <v>11971</v>
      </c>
      <c r="I282" s="4" t="str">
        <f>IFERROR(__XLUDF.DUMMYFUNCTION("PROPER(REGEXREPLACE(G280,""[^A-Za-z]+ "",""""))"),"Izhak Interact Agency")</f>
        <v xml:space="preserve">Izhak Interact Agency</v>
      </c>
      <c r="J282" s="5" t="s">
        <v>11972</v>
      </c>
      <c r="K282" s="4" t="s">
        <v>651</v>
      </c>
      <c r="L282" s="4" t="s">
        <v>9215</v>
      </c>
      <c r="M282" s="4" t="s">
        <v>29</v>
      </c>
      <c r="N282" s="4" t="s">
        <v>9161</v>
      </c>
      <c r="O282" s="4" t="str">
        <f>IFERROR(__XLUDF.DUMMYFUNCTION("VLOOKUP(M280,IMPORTRANGE(""https://docs.google.com/spreadsheets/d/1opm6ZNvGZ7KditA9TuJwrZ25eFLfTNIkrNnY6mhV5Eg"",""list!A1:C115""),3,TRUE)"),"le secteur du marketing")</f>
        <v xml:space="preserve">le secteur du marketing</v>
      </c>
      <c r="P282" s="4" t="s">
        <v>11973</v>
      </c>
      <c r="R282" s="4" t="s">
        <v>651</v>
      </c>
      <c r="S282" s="4" t="s">
        <v>9215</v>
      </c>
      <c r="T282" s="4" t="s">
        <v>29</v>
      </c>
      <c r="U282" s="5" t="s">
        <v>11974</v>
      </c>
      <c r="V282" s="5" t="s">
        <v>11975</v>
      </c>
      <c r="W282" s="5" t="s">
        <v>11976</v>
      </c>
      <c r="X282" s="6"/>
      <c r="Y282" s="6"/>
      <c r="Z282" s="4" t="s">
        <v>11977</v>
      </c>
      <c r="AA282" s="6"/>
      <c r="AB282" s="5" t="s">
        <v>11978</v>
      </c>
    </row>
    <row r="283" ht="14.25">
      <c r="A283" s="4" t="s">
        <v>11980</v>
      </c>
      <c r="B283" s="4" t="s">
        <v>1027</v>
      </c>
      <c r="C283" s="4" t="s">
        <v>341</v>
      </c>
      <c r="F283" s="4" t="s">
        <v>11981</v>
      </c>
      <c r="G283" s="4">
        <v>21</v>
      </c>
      <c r="H283" s="4" t="s">
        <v>11982</v>
      </c>
      <c r="I283" s="4" t="str">
        <f>IFERROR(__XLUDF.DUMMYFUNCTION("PROPER(REGEXREPLACE(G281,""[^A-Za-z]+ "",""""))"),"Lunabee Studio")</f>
        <v xml:space="preserve">Lunabee Studio</v>
      </c>
      <c r="J283" s="4" t="s">
        <v>11983</v>
      </c>
      <c r="K283" s="4" t="s">
        <v>774</v>
      </c>
      <c r="L283" s="4" t="s">
        <v>9193</v>
      </c>
      <c r="M283" s="4" t="s">
        <v>29</v>
      </c>
      <c r="N283" s="4" t="s">
        <v>2602</v>
      </c>
      <c r="O283" s="4" t="str">
        <f>IFERROR(__XLUDF.DUMMYFUNCTION("VLOOKUP(M281,IMPORTRANGE(""https://docs.google.com/spreadsheets/d/1opm6ZNvGZ7KditA9TuJwrZ25eFLfTNIkrNnY6mhV5Eg"",""list!A1:C115""),3,TRUE)"),"le secteur de la tech")</f>
        <v xml:space="preserve">le secteur de la tech</v>
      </c>
      <c r="P283" s="4" t="s">
        <v>11984</v>
      </c>
      <c r="R283" s="4" t="s">
        <v>774</v>
      </c>
      <c r="S283" s="4" t="s">
        <v>9193</v>
      </c>
      <c r="T283" s="4" t="s">
        <v>29</v>
      </c>
      <c r="U283" s="5" t="s">
        <v>11985</v>
      </c>
      <c r="V283" s="5" t="s">
        <v>11986</v>
      </c>
      <c r="W283" s="5" t="s">
        <v>11987</v>
      </c>
      <c r="X283" s="6"/>
      <c r="Y283" s="6"/>
      <c r="Z283" s="4" t="s">
        <v>11988</v>
      </c>
      <c r="AA283" s="6"/>
      <c r="AB283" s="5" t="s">
        <v>11989</v>
      </c>
    </row>
    <row r="284" ht="14.25">
      <c r="A284" s="4" t="s">
        <v>11991</v>
      </c>
      <c r="B284" s="4" t="s">
        <v>1027</v>
      </c>
      <c r="C284" s="4" t="s">
        <v>112</v>
      </c>
      <c r="F284" s="4" t="s">
        <v>11992</v>
      </c>
      <c r="G284" s="4">
        <v>15</v>
      </c>
      <c r="H284" s="4" t="s">
        <v>11993</v>
      </c>
      <c r="I284" s="4" t="str">
        <f>IFERROR(__XLUDF.DUMMYFUNCTION("PROPER(REGEXREPLACE(G282,""[^A-Za-z]+ "",""""))"),"Hozzeo Group")</f>
        <v xml:space="preserve">Hozzeo Group</v>
      </c>
      <c r="J284" s="5" t="s">
        <v>11994</v>
      </c>
      <c r="K284" s="4" t="s">
        <v>185</v>
      </c>
      <c r="L284" s="4" t="s">
        <v>9193</v>
      </c>
      <c r="M284" s="4" t="s">
        <v>29</v>
      </c>
      <c r="N284" s="4" t="s">
        <v>2602</v>
      </c>
      <c r="O284" s="4" t="str">
        <f>IFERROR(__XLUDF.DUMMYFUNCTION("VLOOKUP(M282,IMPORTRANGE(""https://docs.google.com/spreadsheets/d/1opm6ZNvGZ7KditA9TuJwrZ25eFLfTNIkrNnY6mhV5Eg"",""list!A1:C115""),3,TRUE)"),"le secteur de la tech")</f>
        <v xml:space="preserve">le secteur de la tech</v>
      </c>
      <c r="P284" s="4" t="s">
        <v>11995</v>
      </c>
      <c r="R284" s="4" t="s">
        <v>185</v>
      </c>
      <c r="S284" s="4" t="s">
        <v>9193</v>
      </c>
      <c r="T284" s="4" t="s">
        <v>29</v>
      </c>
      <c r="U284" s="5" t="s">
        <v>11996</v>
      </c>
      <c r="V284" s="6"/>
      <c r="W284" s="6"/>
      <c r="X284" s="6"/>
      <c r="Y284" s="6"/>
      <c r="Z284" s="4" t="s">
        <v>11997</v>
      </c>
      <c r="AA284" s="6"/>
      <c r="AB284" s="5" t="s">
        <v>11998</v>
      </c>
    </row>
    <row r="285" ht="14.25">
      <c r="A285" s="4" t="s">
        <v>12000</v>
      </c>
      <c r="B285" s="4" t="s">
        <v>1027</v>
      </c>
      <c r="C285" s="4" t="s">
        <v>12002</v>
      </c>
      <c r="F285" s="4" t="s">
        <v>12001</v>
      </c>
      <c r="G285" s="4">
        <v>12</v>
      </c>
      <c r="H285" s="4" t="s">
        <v>12003</v>
      </c>
      <c r="I285" s="4" t="str">
        <f>IFERROR(__XLUDF.DUMMYFUNCTION("PROPER(REGEXREPLACE(G283,""[^A-Za-z]+ "",""""))"),"Astridsen")</f>
        <v>Astridsen</v>
      </c>
      <c r="J285" s="5" t="s">
        <v>12004</v>
      </c>
      <c r="K285" s="4" t="s">
        <v>6603</v>
      </c>
      <c r="L285" s="4" t="s">
        <v>9160</v>
      </c>
      <c r="M285" s="4" t="s">
        <v>29</v>
      </c>
      <c r="N285" s="4" t="s">
        <v>4067</v>
      </c>
      <c r="O285" s="4" t="str">
        <f>IFERROR(__XLUDF.DUMMYFUNCTION("VLOOKUP(M283,IMPORTRANGE(""https://docs.google.com/spreadsheets/d/1opm6ZNvGZ7KditA9TuJwrZ25eFLfTNIkrNnY6mhV5Eg"",""list!A1:C115""),3,TRUE)"),"le secteur du conseil en management")</f>
        <v xml:space="preserve">le secteur du conseil en management</v>
      </c>
      <c r="P285" s="6"/>
      <c r="R285" s="4" t="s">
        <v>39</v>
      </c>
      <c r="S285" s="4" t="s">
        <v>9160</v>
      </c>
      <c r="T285" s="4" t="s">
        <v>29</v>
      </c>
      <c r="U285" s="5" t="s">
        <v>12005</v>
      </c>
      <c r="V285" s="6"/>
      <c r="W285" s="6"/>
      <c r="X285" s="6"/>
      <c r="Y285" s="6"/>
      <c r="Z285" s="4" t="s">
        <v>12006</v>
      </c>
      <c r="AA285" s="6"/>
      <c r="AB285" s="5" t="s">
        <v>12007</v>
      </c>
    </row>
    <row r="286" ht="14.25">
      <c r="A286" s="4" t="s">
        <v>12009</v>
      </c>
      <c r="B286" s="4" t="s">
        <v>11766</v>
      </c>
      <c r="C286" s="4" t="s">
        <v>2636</v>
      </c>
      <c r="F286" s="4" t="s">
        <v>12010</v>
      </c>
      <c r="G286" s="4">
        <v>27</v>
      </c>
      <c r="H286" s="4" t="s">
        <v>12011</v>
      </c>
      <c r="I286" s="4" t="str">
        <f>IFERROR(__XLUDF.DUMMYFUNCTION("PROPER(REGEXREPLACE(G284,""[^A-Za-z]+ "",""""))"),"Cti")</f>
        <v>Cti</v>
      </c>
      <c r="J286" s="5" t="s">
        <v>12012</v>
      </c>
      <c r="K286" s="4" t="s">
        <v>140</v>
      </c>
      <c r="L286" s="4" t="s">
        <v>9160</v>
      </c>
      <c r="M286" s="4" t="s">
        <v>29</v>
      </c>
      <c r="N286" s="4" t="s">
        <v>12013</v>
      </c>
      <c r="O286" s="4" t="str">
        <f>IFERROR(__XLUDF.DUMMYFUNCTION("VLOOKUP(M284,IMPORTRANGE(""https://docs.google.com/spreadsheets/d/1opm6ZNvGZ7KditA9TuJwrZ25eFLfTNIkrNnY6mhV5Eg"",""list!A1:C115""),3,TRUE)"),"le secteur de l'industrie textile")</f>
        <v xml:space="preserve">le secteur de l'industrie textile</v>
      </c>
      <c r="P286" s="4" t="s">
        <v>12014</v>
      </c>
      <c r="R286" s="4" t="s">
        <v>1419</v>
      </c>
      <c r="S286" s="4" t="s">
        <v>9160</v>
      </c>
      <c r="T286" s="4" t="s">
        <v>29</v>
      </c>
      <c r="U286" s="5" t="s">
        <v>12015</v>
      </c>
      <c r="V286" s="6"/>
      <c r="W286" s="5" t="s">
        <v>12016</v>
      </c>
      <c r="X286" s="6"/>
      <c r="Y286" s="6"/>
      <c r="Z286" s="4" t="s">
        <v>12017</v>
      </c>
      <c r="AA286" s="6"/>
      <c r="AB286" s="5" t="s">
        <v>12018</v>
      </c>
    </row>
    <row r="287" ht="14.25">
      <c r="A287" s="4" t="s">
        <v>12021</v>
      </c>
      <c r="B287" s="4" t="s">
        <v>12020</v>
      </c>
      <c r="C287" s="4" t="s">
        <v>112</v>
      </c>
      <c r="F287" s="4" t="s">
        <v>12022</v>
      </c>
      <c r="G287" s="4">
        <v>19</v>
      </c>
      <c r="H287" s="4" t="s">
        <v>12023</v>
      </c>
      <c r="I287" s="4" t="str">
        <f>IFERROR(__XLUDF.DUMMYFUNCTION("PROPER(REGEXREPLACE(G285,""[^A-Za-z]+ "",""""))"),"Tecodata")</f>
        <v>Tecodata</v>
      </c>
      <c r="J287" s="5" t="s">
        <v>12024</v>
      </c>
      <c r="K287" s="4" t="s">
        <v>2186</v>
      </c>
      <c r="L287" s="4" t="s">
        <v>9864</v>
      </c>
      <c r="M287" s="4" t="s">
        <v>29</v>
      </c>
      <c r="N287" s="4" t="s">
        <v>2602</v>
      </c>
      <c r="O287" s="4" t="str">
        <f>IFERROR(__XLUDF.DUMMYFUNCTION("VLOOKUP(M285,IMPORTRANGE(""https://docs.google.com/spreadsheets/d/1opm6ZNvGZ7KditA9TuJwrZ25eFLfTNIkrNnY6mhV5Eg"",""list!A1:C115""),3,TRUE)"),"le secteur de la tech")</f>
        <v xml:space="preserve">le secteur de la tech</v>
      </c>
      <c r="P287" s="4" t="s">
        <v>12025</v>
      </c>
      <c r="R287" s="4" t="s">
        <v>12026</v>
      </c>
      <c r="S287" s="4" t="s">
        <v>9864</v>
      </c>
      <c r="T287" s="4" t="s">
        <v>29</v>
      </c>
      <c r="U287" s="5" t="s">
        <v>12027</v>
      </c>
      <c r="V287" s="6"/>
      <c r="W287" s="6"/>
      <c r="X287" s="6"/>
      <c r="Y287" s="6"/>
      <c r="Z287" s="4" t="s">
        <v>12028</v>
      </c>
      <c r="AA287" s="6"/>
      <c r="AB287" s="5" t="s">
        <v>12029</v>
      </c>
    </row>
    <row r="288" ht="14.25">
      <c r="A288" s="4" t="s">
        <v>12031</v>
      </c>
      <c r="B288" s="4" t="s">
        <v>679</v>
      </c>
      <c r="C288" s="4" t="s">
        <v>87</v>
      </c>
      <c r="F288" s="4" t="s">
        <v>12032</v>
      </c>
      <c r="G288" s="4">
        <v>23</v>
      </c>
      <c r="H288" s="4" t="s">
        <v>12033</v>
      </c>
      <c r="I288" s="4" t="str">
        <f>IFERROR(__XLUDF.DUMMYFUNCTION("PROPER(REGEXREPLACE(G286,""[^A-Za-z]+ "",""""))"),"Ygl Consulting")</f>
        <v xml:space="preserve">Ygl Consulting</v>
      </c>
      <c r="J288" s="5" t="s">
        <v>12034</v>
      </c>
      <c r="K288" s="4" t="s">
        <v>4009</v>
      </c>
      <c r="L288" s="4" t="s">
        <v>9160</v>
      </c>
      <c r="M288" s="4" t="s">
        <v>29</v>
      </c>
      <c r="N288" s="4" t="s">
        <v>2602</v>
      </c>
      <c r="O288" s="4" t="str">
        <f>IFERROR(__XLUDF.DUMMYFUNCTION("VLOOKUP(M286,IMPORTRANGE(""https://docs.google.com/spreadsheets/d/1opm6ZNvGZ7KditA9TuJwrZ25eFLfTNIkrNnY6mhV5Eg"",""list!A1:C115""),3,TRUE)"),"le secteur de la tech")</f>
        <v xml:space="preserve">le secteur de la tech</v>
      </c>
      <c r="P288" s="4" t="s">
        <v>12035</v>
      </c>
      <c r="R288" s="4" t="s">
        <v>4009</v>
      </c>
      <c r="S288" s="4" t="s">
        <v>9160</v>
      </c>
      <c r="T288" s="4" t="s">
        <v>29</v>
      </c>
      <c r="U288" s="5" t="s">
        <v>12036</v>
      </c>
      <c r="V288" s="5" t="s">
        <v>12037</v>
      </c>
      <c r="W288" s="5" t="s">
        <v>12038</v>
      </c>
      <c r="X288" s="6"/>
      <c r="Y288" s="6"/>
      <c r="Z288" s="4" t="s">
        <v>12039</v>
      </c>
      <c r="AA288" s="6"/>
      <c r="AB288" s="5" t="s">
        <v>12040</v>
      </c>
    </row>
    <row r="289" ht="14.25">
      <c r="A289" s="4" t="s">
        <v>12042</v>
      </c>
      <c r="B289" s="4" t="s">
        <v>679</v>
      </c>
      <c r="C289" s="4" t="s">
        <v>112</v>
      </c>
      <c r="F289" s="4" t="s">
        <v>12043</v>
      </c>
      <c r="G289" s="4">
        <v>12</v>
      </c>
      <c r="H289" s="4" t="s">
        <v>12044</v>
      </c>
      <c r="I289" s="4" t="str">
        <f>IFERROR(__XLUDF.DUMMYFUNCTION("PROPER(REGEXREPLACE(G287,""[^A-Za-z]+ "",""""))"),"Market Office")</f>
        <v xml:space="preserve">Market Office</v>
      </c>
      <c r="J289" s="5" t="s">
        <v>12045</v>
      </c>
      <c r="K289" s="4" t="s">
        <v>39</v>
      </c>
      <c r="L289" s="4" t="s">
        <v>9160</v>
      </c>
      <c r="M289" s="4" t="s">
        <v>29</v>
      </c>
      <c r="N289" s="4" t="s">
        <v>4525</v>
      </c>
      <c r="O289" s="4" t="str">
        <f>IFERROR(__XLUDF.DUMMYFUNCTION("VLOOKUP(M287,IMPORTRANGE(""https://docs.google.com/spreadsheets/d/1opm6ZNvGZ7KditA9TuJwrZ25eFLfTNIkrNnY6mhV5Eg"",""list!A1:C115""),3,TRUE)"),"le secteur du retail")</f>
        <v xml:space="preserve">le secteur du retail</v>
      </c>
      <c r="P289" s="4" t="s">
        <v>12046</v>
      </c>
      <c r="R289" s="4" t="s">
        <v>39</v>
      </c>
      <c r="S289" s="4" t="s">
        <v>9160</v>
      </c>
      <c r="T289" s="4" t="s">
        <v>29</v>
      </c>
      <c r="U289" s="5" t="s">
        <v>12047</v>
      </c>
      <c r="V289" s="6"/>
      <c r="W289" s="5" t="s">
        <v>12048</v>
      </c>
      <c r="X289" s="6"/>
      <c r="Y289" s="6"/>
      <c r="Z289" s="4" t="s">
        <v>12049</v>
      </c>
      <c r="AA289" s="6"/>
      <c r="AB289" s="5" t="s">
        <v>12050</v>
      </c>
    </row>
    <row r="290" ht="14.25">
      <c r="A290" s="4" t="s">
        <v>12052</v>
      </c>
      <c r="B290" s="4" t="s">
        <v>679</v>
      </c>
      <c r="C290" s="4" t="s">
        <v>12054</v>
      </c>
      <c r="F290" s="4" t="s">
        <v>12053</v>
      </c>
      <c r="G290" s="4">
        <v>19</v>
      </c>
      <c r="H290" s="4" t="s">
        <v>12055</v>
      </c>
      <c r="I290" s="4" t="str">
        <f>IFERROR(__XLUDF.DUMMYFUNCTION("PROPER(REGEXREPLACE(G288,""[^A-Za-z]+ "",""""))"),"Moove-Si")</f>
        <v>Moove-Si</v>
      </c>
      <c r="J290" s="5" t="s">
        <v>12056</v>
      </c>
      <c r="K290" s="4" t="s">
        <v>651</v>
      </c>
      <c r="L290" s="4" t="s">
        <v>9215</v>
      </c>
      <c r="M290" s="4" t="s">
        <v>29</v>
      </c>
      <c r="N290" s="4" t="s">
        <v>2602</v>
      </c>
      <c r="O290" s="4" t="str">
        <f>IFERROR(__XLUDF.DUMMYFUNCTION("VLOOKUP(M288,IMPORTRANGE(""https://docs.google.com/spreadsheets/d/1opm6ZNvGZ7KditA9TuJwrZ25eFLfTNIkrNnY6mhV5Eg"",""list!A1:C115""),3,TRUE)"),"le secteur de la tech")</f>
        <v xml:space="preserve">le secteur de la tech</v>
      </c>
      <c r="P290" s="4" t="s">
        <v>12057</v>
      </c>
      <c r="R290" s="4" t="s">
        <v>12058</v>
      </c>
      <c r="S290" s="4" t="s">
        <v>9215</v>
      </c>
      <c r="T290" s="4" t="s">
        <v>29</v>
      </c>
      <c r="U290" s="5" t="s">
        <v>12059</v>
      </c>
      <c r="V290" s="6"/>
      <c r="W290" s="6"/>
      <c r="X290" s="6"/>
      <c r="Y290" s="6"/>
      <c r="Z290" s="4" t="s">
        <v>12060</v>
      </c>
      <c r="AA290" s="6"/>
      <c r="AB290" s="5" t="s">
        <v>12061</v>
      </c>
    </row>
    <row r="291" ht="14.25">
      <c r="A291" s="4" t="s">
        <v>12063</v>
      </c>
      <c r="B291" s="4" t="s">
        <v>679</v>
      </c>
      <c r="C291" s="4" t="s">
        <v>7759</v>
      </c>
      <c r="F291" s="4" t="s">
        <v>12064</v>
      </c>
      <c r="G291" s="4">
        <v>18</v>
      </c>
      <c r="H291" s="4" t="s">
        <v>12065</v>
      </c>
      <c r="I291" s="4" t="str">
        <f>IFERROR(__XLUDF.DUMMYFUNCTION("PROPER(REGEXREPLACE(G289,""[^A-Za-z]+ "",""""))"),"Cira Technologie")</f>
        <v xml:space="preserve">Cira Technologie</v>
      </c>
      <c r="J291" s="5" t="s">
        <v>12066</v>
      </c>
      <c r="K291" s="6"/>
      <c r="L291" s="6"/>
      <c r="M291" s="4" t="s">
        <v>29</v>
      </c>
      <c r="N291" s="4" t="s">
        <v>10215</v>
      </c>
      <c r="O291" s="4" t="str">
        <f>IFERROR(__XLUDF.DUMMYFUNCTION("VLOOKUP(M289,IMPORTRANGE(""https://docs.google.com/spreadsheets/d/1opm6ZNvGZ7KditA9TuJwrZ25eFLfTNIkrNnY6mhV5Eg"",""list!A1:C115""),3,TRUE)"),"le secteur de l'électrique et électronique")</f>
        <v xml:space="preserve">le secteur de l'électrique et électronique</v>
      </c>
      <c r="P291" s="4" t="s">
        <v>12067</v>
      </c>
      <c r="R291" s="4" t="s">
        <v>12068</v>
      </c>
      <c r="S291" s="4" t="s">
        <v>9193</v>
      </c>
      <c r="T291" s="4" t="s">
        <v>29</v>
      </c>
      <c r="U291" s="5" t="s">
        <v>12069</v>
      </c>
      <c r="V291" s="6"/>
      <c r="W291" s="6"/>
      <c r="X291" s="6"/>
      <c r="Y291" s="6"/>
      <c r="Z291" s="4" t="s">
        <v>12070</v>
      </c>
      <c r="AA291" s="6"/>
      <c r="AB291" s="5" t="s">
        <v>12071</v>
      </c>
    </row>
    <row r="292" ht="14.25">
      <c r="A292" s="4" t="s">
        <v>12074</v>
      </c>
      <c r="B292" s="4" t="s">
        <v>12073</v>
      </c>
      <c r="C292" s="4" t="s">
        <v>12076</v>
      </c>
      <c r="F292" s="4" t="s">
        <v>12075</v>
      </c>
      <c r="G292" s="4">
        <v>14</v>
      </c>
      <c r="H292" s="4" t="s">
        <v>12077</v>
      </c>
      <c r="I292" s="4" t="str">
        <f>IFERROR(__XLUDF.DUMMYFUNCTION("PROPER(REGEXREPLACE(G290,""[^A-Za-z]+ "",""""))"),"The Overlap Factory")</f>
        <v xml:space="preserve">The Overlap Factory</v>
      </c>
      <c r="J292" s="5" t="s">
        <v>12078</v>
      </c>
      <c r="K292" s="4" t="s">
        <v>39</v>
      </c>
      <c r="L292" s="4" t="s">
        <v>9160</v>
      </c>
      <c r="M292" s="4" t="s">
        <v>29</v>
      </c>
      <c r="N292" s="4" t="s">
        <v>2602</v>
      </c>
      <c r="O292" s="4" t="str">
        <f>IFERROR(__XLUDF.DUMMYFUNCTION("VLOOKUP(M290,IMPORTRANGE(""https://docs.google.com/spreadsheets/d/1opm6ZNvGZ7KditA9TuJwrZ25eFLfTNIkrNnY6mhV5Eg"",""list!A1:C115""),3,TRUE)"),"le secteur de la tech")</f>
        <v xml:space="preserve">le secteur de la tech</v>
      </c>
      <c r="P292" s="4" t="s">
        <v>12079</v>
      </c>
      <c r="R292" s="4" t="s">
        <v>39</v>
      </c>
      <c r="S292" s="4" t="s">
        <v>9160</v>
      </c>
      <c r="T292" s="4" t="s">
        <v>29</v>
      </c>
      <c r="U292" s="5" t="s">
        <v>12080</v>
      </c>
      <c r="V292" s="6"/>
      <c r="W292" s="6"/>
      <c r="X292" s="6"/>
      <c r="Y292" s="6"/>
      <c r="Z292" s="4" t="s">
        <v>12081</v>
      </c>
      <c r="AA292" s="6"/>
      <c r="AB292" s="5" t="s">
        <v>12082</v>
      </c>
    </row>
    <row r="293" ht="14.25">
      <c r="A293" s="4" t="s">
        <v>12084</v>
      </c>
      <c r="B293" s="4" t="s">
        <v>2932</v>
      </c>
      <c r="C293" s="4" t="s">
        <v>87</v>
      </c>
      <c r="F293" s="4" t="s">
        <v>12085</v>
      </c>
      <c r="G293" s="4">
        <v>47</v>
      </c>
      <c r="H293" s="4" t="s">
        <v>12086</v>
      </c>
      <c r="I293" s="4" t="str">
        <f>IFERROR(__XLUDF.DUMMYFUNCTION("PROPER(REGEXREPLACE(G291,""[^A-Za-z]+ "",""""))"),"Ducatillon")</f>
        <v>Ducatillon</v>
      </c>
      <c r="J293" s="5" t="s">
        <v>12087</v>
      </c>
      <c r="K293" s="4" t="s">
        <v>846</v>
      </c>
      <c r="L293" s="4" t="s">
        <v>9281</v>
      </c>
      <c r="M293" s="4" t="s">
        <v>29</v>
      </c>
      <c r="N293" s="4" t="s">
        <v>4525</v>
      </c>
      <c r="O293" s="4" t="str">
        <f>IFERROR(__XLUDF.DUMMYFUNCTION("VLOOKUP(M291,IMPORTRANGE(""https://docs.google.com/spreadsheets/d/1opm6ZNvGZ7KditA9TuJwrZ25eFLfTNIkrNnY6mhV5Eg"",""list!A1:C115""),3,TRUE)"),"le secteur du retail")</f>
        <v xml:space="preserve">le secteur du retail</v>
      </c>
      <c r="P293" s="6"/>
      <c r="R293" s="4" t="s">
        <v>10537</v>
      </c>
      <c r="S293" s="4" t="s">
        <v>9281</v>
      </c>
      <c r="T293" s="4" t="s">
        <v>29</v>
      </c>
      <c r="U293" s="5" t="s">
        <v>12088</v>
      </c>
      <c r="V293" s="6"/>
      <c r="W293" s="5" t="s">
        <v>12089</v>
      </c>
      <c r="X293" s="6"/>
      <c r="Y293" s="6"/>
      <c r="Z293" s="4" t="s">
        <v>12090</v>
      </c>
      <c r="AA293" s="6"/>
      <c r="AB293" s="5" t="s">
        <v>12091</v>
      </c>
    </row>
    <row r="294" ht="14.25">
      <c r="A294" s="4" t="s">
        <v>5579</v>
      </c>
      <c r="B294" s="4" t="s">
        <v>2932</v>
      </c>
      <c r="C294" s="4" t="s">
        <v>7759</v>
      </c>
      <c r="F294" s="4" t="s">
        <v>12093</v>
      </c>
      <c r="G294" s="4">
        <v>12</v>
      </c>
      <c r="H294" s="4" t="s">
        <v>12094</v>
      </c>
      <c r="I294" s="4" t="str">
        <f>IFERROR(__XLUDF.DUMMYFUNCTION("PROPER(REGEXREPLACE(G292,""[^A-Za-z]+ "",""""))"),"Modalb")</f>
        <v>Modalb</v>
      </c>
      <c r="J294" s="5" t="s">
        <v>12095</v>
      </c>
      <c r="K294" s="4" t="s">
        <v>1711</v>
      </c>
      <c r="L294" s="4" t="s">
        <v>9350</v>
      </c>
      <c r="M294" s="4" t="s">
        <v>29</v>
      </c>
      <c r="N294" s="4" t="s">
        <v>2602</v>
      </c>
      <c r="O294" s="4" t="str">
        <f>IFERROR(__XLUDF.DUMMYFUNCTION("VLOOKUP(M292,IMPORTRANGE(""https://docs.google.com/spreadsheets/d/1opm6ZNvGZ7KditA9TuJwrZ25eFLfTNIkrNnY6mhV5Eg"",""list!A1:C115""),3,TRUE)"),"le secteur de la tech")</f>
        <v xml:space="preserve">le secteur de la tech</v>
      </c>
      <c r="P294" s="6"/>
      <c r="R294" s="4" t="s">
        <v>1711</v>
      </c>
      <c r="S294" s="4" t="s">
        <v>9350</v>
      </c>
      <c r="T294" s="4" t="s">
        <v>29</v>
      </c>
      <c r="U294" s="5" t="s">
        <v>12096</v>
      </c>
      <c r="V294" s="5" t="s">
        <v>12097</v>
      </c>
      <c r="W294" s="6"/>
      <c r="X294" s="6"/>
      <c r="Y294" s="6"/>
      <c r="Z294" s="4" t="s">
        <v>12098</v>
      </c>
      <c r="AA294" s="6"/>
      <c r="AB294" s="5" t="s">
        <v>12099</v>
      </c>
    </row>
    <row r="295" ht="14.25">
      <c r="A295" s="4" t="s">
        <v>12101</v>
      </c>
      <c r="B295" s="4" t="s">
        <v>2932</v>
      </c>
      <c r="C295" s="4" t="s">
        <v>120</v>
      </c>
      <c r="F295" s="4" t="s">
        <v>12102</v>
      </c>
      <c r="G295" s="4">
        <v>11</v>
      </c>
      <c r="H295" s="4" t="s">
        <v>12103</v>
      </c>
      <c r="I295" s="4" t="str">
        <f>IFERROR(__XLUDF.DUMMYFUNCTION("PROPER(REGEXREPLACE(G293,""[^A-Za-z]+ "",""""))"),"Getalead")</f>
        <v>Getalead</v>
      </c>
      <c r="J295" s="5" t="s">
        <v>12104</v>
      </c>
      <c r="K295" s="4" t="s">
        <v>11878</v>
      </c>
      <c r="L295" s="4" t="s">
        <v>9160</v>
      </c>
      <c r="M295" s="4" t="s">
        <v>29</v>
      </c>
      <c r="N295" s="4" t="s">
        <v>4067</v>
      </c>
      <c r="O295" s="4" t="str">
        <f>IFERROR(__XLUDF.DUMMYFUNCTION("VLOOKUP(M293,IMPORTRANGE(""https://docs.google.com/spreadsheets/d/1opm6ZNvGZ7KditA9TuJwrZ25eFLfTNIkrNnY6mhV5Eg"",""list!A1:C115""),3,TRUE)"),"le secteur du conseil en management")</f>
        <v xml:space="preserve">le secteur du conseil en management</v>
      </c>
      <c r="P295" s="4" t="s">
        <v>12105</v>
      </c>
      <c r="R295" s="4" t="s">
        <v>39</v>
      </c>
      <c r="S295" s="4" t="s">
        <v>9160</v>
      </c>
      <c r="T295" s="4" t="s">
        <v>29</v>
      </c>
      <c r="U295" s="5" t="s">
        <v>12106</v>
      </c>
      <c r="V295" s="6"/>
      <c r="W295" s="6"/>
      <c r="X295" s="6"/>
      <c r="Y295" s="6"/>
      <c r="Z295" s="4" t="s">
        <v>12107</v>
      </c>
      <c r="AA295" s="6"/>
      <c r="AB295" s="5" t="s">
        <v>12108</v>
      </c>
    </row>
    <row r="296" ht="14.25">
      <c r="A296" s="4" t="s">
        <v>12110</v>
      </c>
      <c r="B296" s="4" t="s">
        <v>2932</v>
      </c>
      <c r="C296" s="4" t="s">
        <v>2911</v>
      </c>
      <c r="F296" s="4" t="s">
        <v>12111</v>
      </c>
      <c r="G296" s="4">
        <v>16</v>
      </c>
      <c r="H296" s="4" t="s">
        <v>12112</v>
      </c>
      <c r="I296" s="4" t="str">
        <f>IFERROR(__XLUDF.DUMMYFUNCTION("PROPER(REGEXREPLACE(G294,""[^A-Za-z]+ "",""""))"),"Tamtam")</f>
        <v>Tamtam</v>
      </c>
      <c r="J296" s="5" t="s">
        <v>12113</v>
      </c>
      <c r="K296" s="4" t="s">
        <v>39</v>
      </c>
      <c r="L296" s="4" t="s">
        <v>9160</v>
      </c>
      <c r="M296" s="4" t="s">
        <v>29</v>
      </c>
      <c r="N296" s="4" t="s">
        <v>2602</v>
      </c>
      <c r="O296" s="4" t="str">
        <f>IFERROR(__XLUDF.DUMMYFUNCTION("VLOOKUP(M294,IMPORTRANGE(""https://docs.google.com/spreadsheets/d/1opm6ZNvGZ7KditA9TuJwrZ25eFLfTNIkrNnY6mhV5Eg"",""list!A1:C115""),3,TRUE)"),"le secteur de la tech")</f>
        <v xml:space="preserve">le secteur de la tech</v>
      </c>
      <c r="P296" s="4" t="s">
        <v>12114</v>
      </c>
      <c r="R296" s="6"/>
      <c r="S296" s="6"/>
      <c r="T296" s="6"/>
      <c r="U296" s="5" t="s">
        <v>12115</v>
      </c>
      <c r="V296" s="6"/>
      <c r="W296" s="6"/>
      <c r="X296" s="6"/>
      <c r="Y296" s="6"/>
      <c r="Z296" s="4" t="s">
        <v>12116</v>
      </c>
      <c r="AA296" s="6"/>
      <c r="AB296" s="5" t="s">
        <v>12117</v>
      </c>
    </row>
    <row r="297" ht="14.25">
      <c r="A297" s="4" t="s">
        <v>12120</v>
      </c>
      <c r="B297" s="4" t="s">
        <v>12119</v>
      </c>
      <c r="C297" s="4" t="s">
        <v>12122</v>
      </c>
      <c r="F297" s="4" t="s">
        <v>12121</v>
      </c>
      <c r="G297" s="4">
        <v>12</v>
      </c>
      <c r="H297" s="4" t="s">
        <v>12123</v>
      </c>
      <c r="I297" s="4" t="str">
        <f>IFERROR(__XLUDF.DUMMYFUNCTION("PROPER(REGEXREPLACE(G295,""[^A-Za-z]+ "",""""))"),"Vp France")</f>
        <v xml:space="preserve">Vp France</v>
      </c>
      <c r="J297" s="5" t="s">
        <v>12124</v>
      </c>
      <c r="K297" s="4" t="s">
        <v>482</v>
      </c>
      <c r="L297" s="4" t="s">
        <v>9460</v>
      </c>
      <c r="M297" s="4" t="s">
        <v>29</v>
      </c>
      <c r="N297" s="4" t="s">
        <v>4525</v>
      </c>
      <c r="O297" s="4" t="str">
        <f>IFERROR(__XLUDF.DUMMYFUNCTION("VLOOKUP(M295,IMPORTRANGE(""https://docs.google.com/spreadsheets/d/1opm6ZNvGZ7KditA9TuJwrZ25eFLfTNIkrNnY6mhV5Eg"",""list!A1:C115""),3,TRUE)"),"le secteur du retail")</f>
        <v xml:space="preserve">le secteur du retail</v>
      </c>
      <c r="P297" s="4" t="s">
        <v>12125</v>
      </c>
      <c r="R297" s="4" t="s">
        <v>12126</v>
      </c>
      <c r="S297" s="4" t="s">
        <v>10829</v>
      </c>
      <c r="T297" s="4" t="s">
        <v>29</v>
      </c>
      <c r="U297" s="5" t="s">
        <v>12127</v>
      </c>
      <c r="V297" s="6"/>
      <c r="W297" s="5" t="s">
        <v>12128</v>
      </c>
      <c r="X297" s="6"/>
      <c r="Y297" s="6"/>
      <c r="Z297" s="4" t="s">
        <v>12129</v>
      </c>
      <c r="AA297" s="6"/>
      <c r="AB297" s="5" t="s">
        <v>12130</v>
      </c>
    </row>
    <row r="298" ht="14.25">
      <c r="A298" s="4" t="s">
        <v>12132</v>
      </c>
      <c r="B298" s="4" t="s">
        <v>1198</v>
      </c>
      <c r="C298" s="4" t="s">
        <v>12134</v>
      </c>
      <c r="F298" s="4" t="s">
        <v>12133</v>
      </c>
      <c r="G298" s="4">
        <v>50</v>
      </c>
      <c r="H298" s="4" t="s">
        <v>12135</v>
      </c>
      <c r="I298" s="4" t="str">
        <f>IFERROR(__XLUDF.DUMMYFUNCTION("PROPER(REGEXREPLACE(G296,""[^A-Za-z]+ "",""""))"),"Enovea")</f>
        <v>Enovea</v>
      </c>
      <c r="J298" s="5" t="s">
        <v>12136</v>
      </c>
      <c r="K298" s="4" t="s">
        <v>716</v>
      </c>
      <c r="L298" s="4" t="s">
        <v>9251</v>
      </c>
      <c r="M298" s="4" t="s">
        <v>29</v>
      </c>
      <c r="N298" s="4" t="s">
        <v>2602</v>
      </c>
      <c r="O298" s="4" t="str">
        <f>IFERROR(__XLUDF.DUMMYFUNCTION("VLOOKUP(M296,IMPORTRANGE(""https://docs.google.com/spreadsheets/d/1opm6ZNvGZ7KditA9TuJwrZ25eFLfTNIkrNnY6mhV5Eg"",""list!A1:C115""),3,TRUE)"),"le secteur de la tech")</f>
        <v xml:space="preserve">le secteur de la tech</v>
      </c>
      <c r="P298" s="4" t="s">
        <v>12137</v>
      </c>
      <c r="R298" s="4" t="s">
        <v>12138</v>
      </c>
      <c r="S298" s="4" t="s">
        <v>9267</v>
      </c>
      <c r="T298" s="4" t="s">
        <v>29</v>
      </c>
      <c r="U298" s="5" t="s">
        <v>12139</v>
      </c>
      <c r="V298" s="6"/>
      <c r="W298" s="6"/>
      <c r="X298" s="6"/>
      <c r="Y298" s="6"/>
      <c r="Z298" s="4" t="s">
        <v>12140</v>
      </c>
      <c r="AA298" s="6"/>
      <c r="AB298" s="5" t="s">
        <v>12141</v>
      </c>
    </row>
    <row r="299" ht="14.25">
      <c r="A299" s="4" t="s">
        <v>12143</v>
      </c>
      <c r="B299" s="4" t="s">
        <v>1198</v>
      </c>
      <c r="C299" s="4" t="s">
        <v>12145</v>
      </c>
      <c r="F299" s="4" t="s">
        <v>12144</v>
      </c>
      <c r="G299" s="4">
        <v>17</v>
      </c>
      <c r="H299" s="4" t="s">
        <v>12146</v>
      </c>
      <c r="I299" s="4" t="str">
        <f>IFERROR(__XLUDF.DUMMYFUNCTION("PROPER(REGEXREPLACE(G297,""[^A-Za-z]+ "",""""))"),"Origalys Electrochem")</f>
        <v xml:space="preserve">Origalys Electrochem</v>
      </c>
      <c r="J299" s="5" t="s">
        <v>12147</v>
      </c>
      <c r="K299" s="4" t="s">
        <v>185</v>
      </c>
      <c r="L299" s="4" t="s">
        <v>9193</v>
      </c>
      <c r="M299" s="4" t="s">
        <v>29</v>
      </c>
      <c r="N299" s="4" t="s">
        <v>10215</v>
      </c>
      <c r="O299" s="4" t="str">
        <f>IFERROR(__XLUDF.DUMMYFUNCTION("VLOOKUP(M297,IMPORTRANGE(""https://docs.google.com/spreadsheets/d/1opm6ZNvGZ7KditA9TuJwrZ25eFLfTNIkrNnY6mhV5Eg"",""list!A1:C115""),3,TRUE)"),"le secteur de l'électrique et électronique")</f>
        <v xml:space="preserve">le secteur de l'électrique et électronique</v>
      </c>
      <c r="P299" s="4" t="s">
        <v>12148</v>
      </c>
      <c r="R299" s="4" t="s">
        <v>12149</v>
      </c>
      <c r="S299" s="4" t="s">
        <v>9172</v>
      </c>
      <c r="T299" s="4" t="s">
        <v>29</v>
      </c>
      <c r="U299" s="5" t="s">
        <v>12150</v>
      </c>
      <c r="V299" s="5" t="s">
        <v>12151</v>
      </c>
      <c r="W299" s="5" t="s">
        <v>12152</v>
      </c>
      <c r="X299" s="6"/>
      <c r="Y299" s="6"/>
      <c r="Z299" s="4" t="s">
        <v>12153</v>
      </c>
      <c r="AA299" s="6"/>
      <c r="AB299" s="5" t="s">
        <v>12154</v>
      </c>
    </row>
    <row r="300" ht="14.25">
      <c r="A300" s="4" t="s">
        <v>12156</v>
      </c>
      <c r="B300" s="4" t="s">
        <v>1198</v>
      </c>
      <c r="C300" s="4" t="s">
        <v>7759</v>
      </c>
      <c r="F300" s="4" t="s">
        <v>12157</v>
      </c>
      <c r="G300" s="4">
        <v>47</v>
      </c>
      <c r="H300" s="4" t="s">
        <v>12158</v>
      </c>
      <c r="I300" s="4" t="str">
        <f>IFERROR(__XLUDF.DUMMYFUNCTION("PROPER(REGEXREPLACE(G298,""[^A-Za-z]+ "",""""))"),"Virage Group")</f>
        <v xml:space="preserve">Virage Group</v>
      </c>
      <c r="J300" s="5" t="s">
        <v>12159</v>
      </c>
      <c r="K300" s="4" t="s">
        <v>1711</v>
      </c>
      <c r="L300" s="4" t="s">
        <v>9350</v>
      </c>
      <c r="M300" s="4" t="s">
        <v>29</v>
      </c>
      <c r="N300" s="4" t="s">
        <v>2602</v>
      </c>
      <c r="O300" s="4" t="str">
        <f>IFERROR(__XLUDF.DUMMYFUNCTION("VLOOKUP(M298,IMPORTRANGE(""https://docs.google.com/spreadsheets/d/1opm6ZNvGZ7KditA9TuJwrZ25eFLfTNIkrNnY6mhV5Eg"",""list!A1:C115""),3,TRUE)"),"le secteur de la tech")</f>
        <v xml:space="preserve">le secteur de la tech</v>
      </c>
      <c r="P300" s="4" t="s">
        <v>12160</v>
      </c>
      <c r="R300" s="4" t="s">
        <v>1711</v>
      </c>
      <c r="S300" s="4" t="s">
        <v>9350</v>
      </c>
      <c r="T300" s="4" t="s">
        <v>29</v>
      </c>
      <c r="U300" s="5" t="s">
        <v>12161</v>
      </c>
      <c r="V300" s="5" t="s">
        <v>12162</v>
      </c>
      <c r="W300" s="5" t="s">
        <v>12163</v>
      </c>
      <c r="X300" s="6"/>
      <c r="Y300" s="6"/>
      <c r="Z300" s="4" t="s">
        <v>12164</v>
      </c>
      <c r="AA300" s="6"/>
      <c r="AB300" s="5" t="s">
        <v>12165</v>
      </c>
    </row>
    <row r="301" ht="14.25">
      <c r="A301" s="4" t="s">
        <v>12167</v>
      </c>
      <c r="B301" s="4" t="s">
        <v>1198</v>
      </c>
      <c r="C301" s="4" t="s">
        <v>12169</v>
      </c>
      <c r="F301" s="4" t="s">
        <v>12168</v>
      </c>
      <c r="G301" s="4">
        <v>33</v>
      </c>
      <c r="H301" s="4" t="s">
        <v>12170</v>
      </c>
      <c r="I301" s="4" t="str">
        <f>IFERROR(__XLUDF.DUMMYFUNCTION("PROPER(REGEXREPLACE(G299,""[^A-Za-z]+ "",""""))"),"Aoc")</f>
        <v>Aoc</v>
      </c>
      <c r="J301" s="5" t="s">
        <v>12171</v>
      </c>
      <c r="K301" s="4" t="s">
        <v>846</v>
      </c>
      <c r="L301" s="4" t="s">
        <v>9281</v>
      </c>
      <c r="M301" s="4" t="s">
        <v>29</v>
      </c>
      <c r="N301" s="4" t="s">
        <v>2602</v>
      </c>
      <c r="O301" s="4" t="str">
        <f>IFERROR(__XLUDF.DUMMYFUNCTION("VLOOKUP(M299,IMPORTRANGE(""https://docs.google.com/spreadsheets/d/1opm6ZNvGZ7KditA9TuJwrZ25eFLfTNIkrNnY6mhV5Eg"",""list!A1:C115""),3,TRUE)"),"le secteur de la tech")</f>
        <v xml:space="preserve">le secteur de la tech</v>
      </c>
      <c r="P301" s="6"/>
      <c r="R301" s="4" t="s">
        <v>6339</v>
      </c>
      <c r="S301" s="4" t="s">
        <v>9281</v>
      </c>
      <c r="T301" s="4" t="s">
        <v>29</v>
      </c>
      <c r="U301" s="5" t="s">
        <v>12172</v>
      </c>
      <c r="V301" s="6"/>
      <c r="W301" s="6"/>
      <c r="X301" s="6"/>
      <c r="Y301" s="6"/>
      <c r="Z301" s="4" t="s">
        <v>12173</v>
      </c>
      <c r="AA301" s="6"/>
      <c r="AB301" s="5" t="s">
        <v>12174</v>
      </c>
    </row>
    <row r="302" ht="14.25">
      <c r="A302" s="4" t="s">
        <v>12176</v>
      </c>
      <c r="B302" s="4" t="s">
        <v>1198</v>
      </c>
      <c r="C302" s="4" t="s">
        <v>7759</v>
      </c>
      <c r="F302" s="4" t="s">
        <v>12177</v>
      </c>
      <c r="G302" s="4">
        <v>12</v>
      </c>
      <c r="H302" s="4" t="s">
        <v>12178</v>
      </c>
      <c r="I302" s="4" t="str">
        <f>IFERROR(__XLUDF.DUMMYFUNCTION("PROPER(REGEXREPLACE(G300,""[^A-Za-z]+ "",""""))"),"Quadrinov Agencement")</f>
        <v xml:space="preserve">Quadrinov Agencement</v>
      </c>
      <c r="J302" s="5" t="s">
        <v>12179</v>
      </c>
      <c r="K302" s="4" t="s">
        <v>1711</v>
      </c>
      <c r="L302" s="4" t="s">
        <v>9350</v>
      </c>
      <c r="M302" s="4" t="s">
        <v>29</v>
      </c>
      <c r="N302" s="4" t="s">
        <v>9239</v>
      </c>
      <c r="O302" s="4" t="str">
        <f>IFERROR(__XLUDF.DUMMYFUNCTION("VLOOKUP(M300,IMPORTRANGE(""https://docs.google.com/spreadsheets/d/1opm6ZNvGZ7KditA9TuJwrZ25eFLfTNIkrNnY6mhV5Eg"",""list!A1:C115""),3,TRUE)"),"le secteur de la construction")</f>
        <v xml:space="preserve">le secteur de la construction</v>
      </c>
      <c r="P302" s="4" t="s">
        <v>12180</v>
      </c>
      <c r="R302" s="4" t="s">
        <v>1711</v>
      </c>
      <c r="S302" s="4" t="s">
        <v>9350</v>
      </c>
      <c r="T302" s="4" t="s">
        <v>29</v>
      </c>
      <c r="U302" s="5" t="s">
        <v>12181</v>
      </c>
      <c r="V302" s="6"/>
      <c r="W302" s="6"/>
      <c r="X302" s="6"/>
      <c r="Y302" s="6"/>
      <c r="Z302" s="4" t="s">
        <v>12182</v>
      </c>
      <c r="AA302" s="6"/>
      <c r="AB302" s="5" t="s">
        <v>12183</v>
      </c>
    </row>
    <row r="303" ht="14.25">
      <c r="A303" s="4" t="s">
        <v>12185</v>
      </c>
      <c r="B303" s="4" t="s">
        <v>1198</v>
      </c>
      <c r="C303" s="4" t="s">
        <v>7759</v>
      </c>
      <c r="F303" s="4" t="s">
        <v>12186</v>
      </c>
      <c r="G303" s="4">
        <v>33</v>
      </c>
      <c r="H303" s="4" t="s">
        <v>12187</v>
      </c>
      <c r="I303" s="4" t="str">
        <f>IFERROR(__XLUDF.DUMMYFUNCTION("PROPER(REGEXREPLACE(G301,""[^A-Za-z]+ "",""""))"),"Prodigyus")</f>
        <v>Prodigyus</v>
      </c>
      <c r="J303" s="5" t="s">
        <v>12188</v>
      </c>
      <c r="K303" s="4" t="s">
        <v>846</v>
      </c>
      <c r="L303" s="4" t="s">
        <v>9281</v>
      </c>
      <c r="M303" s="4" t="s">
        <v>29</v>
      </c>
      <c r="N303" s="4" t="s">
        <v>2602</v>
      </c>
      <c r="O303" s="4" t="str">
        <f>IFERROR(__XLUDF.DUMMYFUNCTION("VLOOKUP(M301,IMPORTRANGE(""https://docs.google.com/spreadsheets/d/1opm6ZNvGZ7KditA9TuJwrZ25eFLfTNIkrNnY6mhV5Eg"",""list!A1:C115""),3,TRUE)"),"le secteur de la tech")</f>
        <v xml:space="preserve">le secteur de la tech</v>
      </c>
      <c r="P303" s="6"/>
      <c r="R303" s="4" t="s">
        <v>12189</v>
      </c>
      <c r="S303" s="4" t="s">
        <v>9281</v>
      </c>
      <c r="T303" s="4" t="s">
        <v>29</v>
      </c>
      <c r="U303" s="5" t="s">
        <v>12190</v>
      </c>
      <c r="V303" s="6"/>
      <c r="W303" s="6"/>
      <c r="X303" s="6"/>
      <c r="Y303" s="6"/>
      <c r="Z303" s="4" t="s">
        <v>12191</v>
      </c>
      <c r="AA303" s="6"/>
      <c r="AB303" s="5" t="s">
        <v>12192</v>
      </c>
    </row>
    <row r="304" ht="14.25">
      <c r="A304" s="4" t="s">
        <v>12194</v>
      </c>
      <c r="B304" s="4" t="s">
        <v>1198</v>
      </c>
      <c r="C304" s="4" t="s">
        <v>112</v>
      </c>
      <c r="F304" s="4" t="s">
        <v>12195</v>
      </c>
      <c r="G304" s="4">
        <v>17</v>
      </c>
      <c r="H304" s="4" t="s">
        <v>12196</v>
      </c>
      <c r="I304" s="4" t="str">
        <f>IFERROR(__XLUDF.DUMMYFUNCTION("PROPER(REGEXREPLACE(G302,""[^A-Za-z]+ "",""""))"),"Lumens-Box")</f>
        <v>Lumens-Box</v>
      </c>
      <c r="J304" s="5" t="s">
        <v>12197</v>
      </c>
      <c r="K304" s="4" t="s">
        <v>12198</v>
      </c>
      <c r="L304" s="4" t="s">
        <v>9160</v>
      </c>
      <c r="M304" s="4" t="s">
        <v>29</v>
      </c>
      <c r="N304" s="4" t="s">
        <v>2602</v>
      </c>
      <c r="O304" s="4" t="str">
        <f>IFERROR(__XLUDF.DUMMYFUNCTION("VLOOKUP(M302,IMPORTRANGE(""https://docs.google.com/spreadsheets/d/1opm6ZNvGZ7KditA9TuJwrZ25eFLfTNIkrNnY6mhV5Eg"",""list!A1:C115""),3,TRUE)"),"le secteur de la tech")</f>
        <v xml:space="preserve">le secteur de la tech</v>
      </c>
      <c r="P304" s="4" t="s">
        <v>12199</v>
      </c>
      <c r="R304" s="4" t="s">
        <v>12198</v>
      </c>
      <c r="S304" s="4" t="s">
        <v>9160</v>
      </c>
      <c r="T304" s="4" t="s">
        <v>29</v>
      </c>
      <c r="U304" s="5" t="s">
        <v>12200</v>
      </c>
      <c r="V304" s="6"/>
      <c r="W304" s="6"/>
      <c r="X304" s="6"/>
      <c r="Y304" s="6"/>
      <c r="Z304" s="4" t="s">
        <v>12201</v>
      </c>
      <c r="AA304" s="6"/>
      <c r="AB304" s="5" t="s">
        <v>12202</v>
      </c>
    </row>
    <row r="305" ht="14.25">
      <c r="A305" s="4" t="s">
        <v>12204</v>
      </c>
      <c r="B305" s="4" t="s">
        <v>1198</v>
      </c>
      <c r="C305" s="4" t="s">
        <v>12206</v>
      </c>
      <c r="F305" s="4" t="s">
        <v>12205</v>
      </c>
      <c r="G305" s="4">
        <v>20</v>
      </c>
      <c r="H305" s="4" t="s">
        <v>12207</v>
      </c>
      <c r="I305" s="4" t="str">
        <f>IFERROR(__XLUDF.DUMMYFUNCTION("PROPER(REGEXREPLACE(G303,""[^A-Za-z]+ "",""""))"),"Impulsion Consulting")</f>
        <v xml:space="preserve">Impulsion Consulting</v>
      </c>
      <c r="J305" s="5" t="s">
        <v>12208</v>
      </c>
      <c r="K305" s="4" t="s">
        <v>12209</v>
      </c>
      <c r="L305" s="4" t="s">
        <v>12210</v>
      </c>
      <c r="M305" s="4" t="s">
        <v>29</v>
      </c>
      <c r="N305" s="4" t="s">
        <v>4067</v>
      </c>
      <c r="O305" s="4" t="str">
        <f>IFERROR(__XLUDF.DUMMYFUNCTION("VLOOKUP(M303,IMPORTRANGE(""https://docs.google.com/spreadsheets/d/1opm6ZNvGZ7KditA9TuJwrZ25eFLfTNIkrNnY6mhV5Eg"",""list!A1:C115""),3,TRUE)"),"le secteur du conseil en management")</f>
        <v xml:space="preserve">le secteur du conseil en management</v>
      </c>
      <c r="P305" s="4" t="s">
        <v>12211</v>
      </c>
      <c r="R305" s="4" t="s">
        <v>12209</v>
      </c>
      <c r="S305" s="4" t="s">
        <v>9473</v>
      </c>
      <c r="T305" s="4" t="s">
        <v>29</v>
      </c>
      <c r="U305" s="5" t="s">
        <v>12212</v>
      </c>
      <c r="V305" s="6"/>
      <c r="W305" s="6"/>
      <c r="X305" s="6"/>
      <c r="Y305" s="6"/>
      <c r="Z305" s="4" t="s">
        <v>12213</v>
      </c>
      <c r="AA305" s="6"/>
      <c r="AB305" s="5" t="s">
        <v>12214</v>
      </c>
    </row>
    <row r="306" ht="14.25">
      <c r="A306" s="4" t="s">
        <v>12216</v>
      </c>
      <c r="B306" s="4" t="s">
        <v>1198</v>
      </c>
      <c r="C306" s="4" t="s">
        <v>12218</v>
      </c>
      <c r="F306" s="4" t="s">
        <v>12217</v>
      </c>
      <c r="G306" s="4">
        <v>15</v>
      </c>
      <c r="H306" s="4" t="s">
        <v>12219</v>
      </c>
      <c r="I306" s="4" t="str">
        <f>IFERROR(__XLUDF.DUMMYFUNCTION("PROPER(REGEXREPLACE(G304,""[^A-Za-z]+ "",""""))"),"Bothier")</f>
        <v>Bothier</v>
      </c>
      <c r="J306" s="5" t="s">
        <v>12220</v>
      </c>
      <c r="K306" s="4" t="s">
        <v>12221</v>
      </c>
      <c r="L306" s="4" t="s">
        <v>9251</v>
      </c>
      <c r="M306" s="4" t="s">
        <v>29</v>
      </c>
      <c r="N306" s="4" t="s">
        <v>9239</v>
      </c>
      <c r="O306" s="4" t="str">
        <f>IFERROR(__XLUDF.DUMMYFUNCTION("VLOOKUP(M304,IMPORTRANGE(""https://docs.google.com/spreadsheets/d/1opm6ZNvGZ7KditA9TuJwrZ25eFLfTNIkrNnY6mhV5Eg"",""list!A1:C115""),3,TRUE)"),"le secteur de la construction")</f>
        <v xml:space="preserve">le secteur de la construction</v>
      </c>
      <c r="P306" s="4" t="s">
        <v>12222</v>
      </c>
      <c r="R306" s="4" t="s">
        <v>12221</v>
      </c>
      <c r="S306" s="4" t="s">
        <v>9251</v>
      </c>
      <c r="T306" s="4" t="s">
        <v>29</v>
      </c>
      <c r="U306" s="5" t="s">
        <v>12223</v>
      </c>
      <c r="V306" s="6"/>
      <c r="W306" s="5" t="s">
        <v>12224</v>
      </c>
      <c r="X306" s="6"/>
      <c r="Y306" s="6"/>
      <c r="Z306" s="4" t="s">
        <v>12225</v>
      </c>
      <c r="AA306" s="6"/>
      <c r="AB306" s="5" t="s">
        <v>12226</v>
      </c>
    </row>
    <row r="307" ht="14.25">
      <c r="A307" s="4" t="s">
        <v>12228</v>
      </c>
      <c r="B307" s="4" t="s">
        <v>1198</v>
      </c>
      <c r="C307" s="4" t="s">
        <v>172</v>
      </c>
      <c r="F307" s="4" t="s">
        <v>12229</v>
      </c>
      <c r="G307" s="4">
        <v>25</v>
      </c>
      <c r="H307" s="4" t="s">
        <v>12230</v>
      </c>
      <c r="I307" s="4" t="str">
        <f>IFERROR(__XLUDF.DUMMYFUNCTION("PROPER(REGEXREPLACE(G305,""[^A-Za-z]+ "",""""))"),"Hedimag")</f>
        <v>Hedimag</v>
      </c>
      <c r="J307" s="5" t="s">
        <v>12231</v>
      </c>
      <c r="K307" s="4" t="s">
        <v>12232</v>
      </c>
      <c r="L307" s="4" t="s">
        <v>9281</v>
      </c>
      <c r="M307" s="4" t="s">
        <v>29</v>
      </c>
      <c r="N307" s="4" t="s">
        <v>4525</v>
      </c>
      <c r="O307" s="4" t="str">
        <f>IFERROR(__XLUDF.DUMMYFUNCTION("VLOOKUP(M305,IMPORTRANGE(""https://docs.google.com/spreadsheets/d/1opm6ZNvGZ7KditA9TuJwrZ25eFLfTNIkrNnY6mhV5Eg"",""list!A1:C115""),3,TRUE)"),"le secteur du retail")</f>
        <v xml:space="preserve">le secteur du retail</v>
      </c>
      <c r="P307" s="4" t="s">
        <v>12233</v>
      </c>
      <c r="R307" s="4" t="s">
        <v>12232</v>
      </c>
      <c r="S307" s="4" t="s">
        <v>9281</v>
      </c>
      <c r="T307" s="4" t="s">
        <v>29</v>
      </c>
      <c r="U307" s="5" t="s">
        <v>12234</v>
      </c>
      <c r="V307" s="6"/>
      <c r="W307" s="6"/>
      <c r="X307" s="6"/>
      <c r="Y307" s="6"/>
      <c r="Z307" s="4" t="s">
        <v>12235</v>
      </c>
      <c r="AA307" s="6"/>
      <c r="AB307" s="5" t="s">
        <v>12236</v>
      </c>
    </row>
    <row r="308" ht="14.25">
      <c r="A308" s="4" t="s">
        <v>12238</v>
      </c>
      <c r="B308" s="4" t="s">
        <v>1198</v>
      </c>
      <c r="C308" s="4" t="s">
        <v>12240</v>
      </c>
      <c r="F308" s="4" t="s">
        <v>12239</v>
      </c>
      <c r="G308" s="4">
        <v>15</v>
      </c>
      <c r="H308" s="4" t="s">
        <v>12241</v>
      </c>
      <c r="I308" s="4" t="str">
        <f>IFERROR(__XLUDF.DUMMYFUNCTION("PROPER(REGEXREPLACE(G306,""[^A-Za-z]+ "",""""))"),"Jumbo Mana")</f>
        <v xml:space="preserve">Jumbo Mana</v>
      </c>
      <c r="J308" s="5" t="s">
        <v>12242</v>
      </c>
      <c r="K308" s="6"/>
      <c r="L308" s="6"/>
      <c r="M308" s="4" t="s">
        <v>29</v>
      </c>
      <c r="N308" s="4" t="s">
        <v>2602</v>
      </c>
      <c r="O308" s="4" t="str">
        <f>IFERROR(__XLUDF.DUMMYFUNCTION("VLOOKUP(M306,IMPORTRANGE(""https://docs.google.com/spreadsheets/d/1opm6ZNvGZ7KditA9TuJwrZ25eFLfTNIkrNnY6mhV5Eg"",""list!A1:C115""),3,TRUE)"),"le secteur de la tech")</f>
        <v xml:space="preserve">le secteur de la tech</v>
      </c>
      <c r="P308" s="4" t="s">
        <v>12243</v>
      </c>
      <c r="R308" s="4" t="s">
        <v>12058</v>
      </c>
      <c r="S308" s="4" t="s">
        <v>9215</v>
      </c>
      <c r="T308" s="4" t="s">
        <v>29</v>
      </c>
      <c r="U308" s="5" t="s">
        <v>12244</v>
      </c>
      <c r="V308" s="6"/>
      <c r="W308" s="6"/>
      <c r="X308" s="6"/>
      <c r="Y308" s="6"/>
      <c r="Z308" s="4" t="s">
        <v>12245</v>
      </c>
      <c r="AA308" s="6"/>
      <c r="AB308" s="5" t="s">
        <v>12246</v>
      </c>
    </row>
    <row r="309" ht="14.25">
      <c r="A309" s="4" t="s">
        <v>9900</v>
      </c>
      <c r="B309" s="4" t="s">
        <v>2877</v>
      </c>
      <c r="C309" s="4" t="s">
        <v>2636</v>
      </c>
      <c r="F309" s="4" t="s">
        <v>12248</v>
      </c>
      <c r="G309" s="4">
        <v>15</v>
      </c>
      <c r="H309" s="4" t="s">
        <v>12249</v>
      </c>
      <c r="I309" s="4" t="str">
        <f>IFERROR(__XLUDF.DUMMYFUNCTION("PROPER(REGEXREPLACE(G307,""[^A-Za-z]+ "",""""))"),"D-Codes")</f>
        <v>D-Codes</v>
      </c>
      <c r="J309" s="5" t="s">
        <v>12250</v>
      </c>
      <c r="K309" s="4" t="s">
        <v>1419</v>
      </c>
      <c r="L309" s="4" t="s">
        <v>9160</v>
      </c>
      <c r="M309" s="4" t="s">
        <v>29</v>
      </c>
      <c r="N309" s="4" t="s">
        <v>4067</v>
      </c>
      <c r="O309" s="4" t="str">
        <f>IFERROR(__XLUDF.DUMMYFUNCTION("VLOOKUP(M307,IMPORTRANGE(""https://docs.google.com/spreadsheets/d/1opm6ZNvGZ7KditA9TuJwrZ25eFLfTNIkrNnY6mhV5Eg"",""list!A1:C115""),3,TRUE)"),"le secteur du conseil en management")</f>
        <v xml:space="preserve">le secteur du conseil en management</v>
      </c>
      <c r="P309" s="6"/>
      <c r="R309" s="4" t="s">
        <v>1419</v>
      </c>
      <c r="S309" s="4" t="s">
        <v>9160</v>
      </c>
      <c r="T309" s="4" t="s">
        <v>29</v>
      </c>
      <c r="U309" s="5" t="s">
        <v>12251</v>
      </c>
      <c r="V309" s="6"/>
      <c r="W309" s="6"/>
      <c r="X309" s="6"/>
      <c r="Y309" s="6"/>
      <c r="Z309" s="4" t="s">
        <v>12252</v>
      </c>
      <c r="AA309" s="6"/>
      <c r="AB309" s="5" t="s">
        <v>12253</v>
      </c>
    </row>
    <row r="310" ht="14.25">
      <c r="A310" s="4" t="s">
        <v>12255</v>
      </c>
      <c r="B310" s="4" t="s">
        <v>12119</v>
      </c>
      <c r="C310" s="4" t="s">
        <v>12257</v>
      </c>
      <c r="F310" s="4" t="s">
        <v>12256</v>
      </c>
      <c r="G310" s="4">
        <v>19</v>
      </c>
      <c r="H310" s="4" t="s">
        <v>12258</v>
      </c>
      <c r="I310" s="4" t="str">
        <f>IFERROR(__XLUDF.DUMMYFUNCTION("PROPER(REGEXREPLACE(G308,""[^A-Za-z]+ "",""""))"),"Planisphère Info")</f>
        <v xml:space="preserve">Planisphère Info</v>
      </c>
      <c r="J310" s="5" t="s">
        <v>12259</v>
      </c>
      <c r="K310" s="4" t="s">
        <v>11103</v>
      </c>
      <c r="L310" s="4" t="s">
        <v>9251</v>
      </c>
      <c r="M310" s="4" t="s">
        <v>29</v>
      </c>
      <c r="N310" s="4" t="s">
        <v>2602</v>
      </c>
      <c r="O310" s="4" t="str">
        <f>IFERROR(__XLUDF.DUMMYFUNCTION("VLOOKUP(M308,IMPORTRANGE(""https://docs.google.com/spreadsheets/d/1opm6ZNvGZ7KditA9TuJwrZ25eFLfTNIkrNnY6mhV5Eg"",""list!A1:C115""),3,TRUE)"),"le secteur de la tech")</f>
        <v xml:space="preserve">le secteur de la tech</v>
      </c>
      <c r="P310" s="4" t="s">
        <v>12260</v>
      </c>
      <c r="R310" s="4" t="s">
        <v>11103</v>
      </c>
      <c r="S310" s="4" t="s">
        <v>9251</v>
      </c>
      <c r="T310" s="4" t="s">
        <v>29</v>
      </c>
      <c r="U310" s="5" t="s">
        <v>12261</v>
      </c>
      <c r="V310" s="5" t="s">
        <v>12262</v>
      </c>
      <c r="W310" s="6"/>
      <c r="X310" s="6"/>
      <c r="Y310" s="6"/>
      <c r="Z310" s="4" t="s">
        <v>12263</v>
      </c>
      <c r="AA310" s="6"/>
      <c r="AB310" s="5" t="s">
        <v>12264</v>
      </c>
    </row>
    <row r="311" ht="14.25">
      <c r="A311" s="4" t="s">
        <v>12266</v>
      </c>
      <c r="B311" s="4" t="s">
        <v>679</v>
      </c>
      <c r="C311" s="4" t="s">
        <v>7759</v>
      </c>
      <c r="F311" s="4" t="s">
        <v>12267</v>
      </c>
      <c r="G311" s="4">
        <v>25</v>
      </c>
      <c r="H311" s="4" t="s">
        <v>12268</v>
      </c>
      <c r="I311" s="4" t="str">
        <f>IFERROR(__XLUDF.DUMMYFUNCTION("PROPER(REGEXREPLACE(G309,""[^A-Za-z]+ "",""""))"),"Alobees")</f>
        <v>Alobees</v>
      </c>
      <c r="J311" s="5" t="s">
        <v>12269</v>
      </c>
      <c r="K311" s="4" t="s">
        <v>39</v>
      </c>
      <c r="L311" s="4" t="s">
        <v>9160</v>
      </c>
      <c r="M311" s="4" t="s">
        <v>29</v>
      </c>
      <c r="N311" s="4" t="s">
        <v>2602</v>
      </c>
      <c r="O311" s="4" t="str">
        <f>IFERROR(__XLUDF.DUMMYFUNCTION("VLOOKUP(M309,IMPORTRANGE(""https://docs.google.com/spreadsheets/d/1opm6ZNvGZ7KditA9TuJwrZ25eFLfTNIkrNnY6mhV5Eg"",""list!A1:C115""),3,TRUE)"),"le secteur de la tech")</f>
        <v xml:space="preserve">le secteur de la tech</v>
      </c>
      <c r="P311" s="4" t="s">
        <v>12270</v>
      </c>
      <c r="R311" s="4" t="s">
        <v>39</v>
      </c>
      <c r="S311" s="4" t="s">
        <v>9160</v>
      </c>
      <c r="T311" s="4" t="s">
        <v>29</v>
      </c>
      <c r="U311" s="5" t="s">
        <v>12271</v>
      </c>
      <c r="V311" s="5" t="s">
        <v>12272</v>
      </c>
      <c r="W311" s="5" t="s">
        <v>12273</v>
      </c>
      <c r="X311" s="6"/>
      <c r="Y311" s="6"/>
      <c r="Z311" s="4" t="s">
        <v>12274</v>
      </c>
      <c r="AA311" s="6"/>
      <c r="AB311" s="5" t="s">
        <v>12275</v>
      </c>
    </row>
    <row r="312" ht="14.25">
      <c r="A312" s="4" t="s">
        <v>20</v>
      </c>
      <c r="B312" s="4" t="s">
        <v>1198</v>
      </c>
      <c r="C312" s="4" t="s">
        <v>7759</v>
      </c>
      <c r="F312" s="4" t="s">
        <v>12277</v>
      </c>
      <c r="G312" s="4">
        <v>14</v>
      </c>
      <c r="H312" s="4" t="s">
        <v>12278</v>
      </c>
      <c r="I312" s="4" t="str">
        <f>IFERROR(__XLUDF.DUMMYFUNCTION("PROPER(REGEXREPLACE(G310,""[^A-Za-z]+ "",""""))"),"Eb16")</f>
        <v>Eb16</v>
      </c>
      <c r="J312" s="5" t="s">
        <v>12279</v>
      </c>
      <c r="K312" s="6"/>
      <c r="L312" s="4" t="s">
        <v>9864</v>
      </c>
      <c r="M312" s="4" t="s">
        <v>29</v>
      </c>
      <c r="N312" s="4" t="s">
        <v>4525</v>
      </c>
      <c r="O312" s="4" t="str">
        <f>IFERROR(__XLUDF.DUMMYFUNCTION("VLOOKUP(M310,IMPORTRANGE(""https://docs.google.com/spreadsheets/d/1opm6ZNvGZ7KditA9TuJwrZ25eFLfTNIkrNnY6mhV5Eg"",""list!A1:C115""),3,TRUE)"),"le secteur du retail")</f>
        <v xml:space="preserve">le secteur du retail</v>
      </c>
      <c r="P312" s="4" t="s">
        <v>12280</v>
      </c>
      <c r="R312" s="4" t="s">
        <v>12281</v>
      </c>
      <c r="S312" s="4" t="s">
        <v>9864</v>
      </c>
      <c r="T312" s="4" t="s">
        <v>29</v>
      </c>
      <c r="U312" s="5" t="s">
        <v>12282</v>
      </c>
      <c r="V312" s="6"/>
      <c r="W312" s="6"/>
      <c r="X312" s="6"/>
      <c r="Y312" s="6"/>
      <c r="Z312" s="4" t="s">
        <v>12283</v>
      </c>
      <c r="AA312" s="6"/>
      <c r="AB312" s="5" t="s">
        <v>12284</v>
      </c>
    </row>
    <row r="313" ht="14.25">
      <c r="A313" s="4" t="s">
        <v>12286</v>
      </c>
      <c r="B313" s="4" t="s">
        <v>2932</v>
      </c>
      <c r="C313" s="4" t="s">
        <v>112</v>
      </c>
      <c r="F313" s="4" t="s">
        <v>12287</v>
      </c>
      <c r="G313" s="4">
        <v>15</v>
      </c>
      <c r="H313" s="4" t="s">
        <v>12288</v>
      </c>
      <c r="I313" s="4" t="str">
        <f>IFERROR(__XLUDF.DUMMYFUNCTION("PROPER(REGEXREPLACE(G311,""[^A-Za-z]+ "",""""))"),"Vld")</f>
        <v>Vld</v>
      </c>
      <c r="J313" s="5" t="s">
        <v>12289</v>
      </c>
      <c r="K313" s="4" t="s">
        <v>39</v>
      </c>
      <c r="L313" s="4" t="s">
        <v>9160</v>
      </c>
      <c r="M313" s="4" t="s">
        <v>29</v>
      </c>
      <c r="N313" s="4" t="s">
        <v>4525</v>
      </c>
      <c r="O313" s="4" t="str">
        <f>IFERROR(__XLUDF.DUMMYFUNCTION("VLOOKUP(M311,IMPORTRANGE(""https://docs.google.com/spreadsheets/d/1opm6ZNvGZ7KditA9TuJwrZ25eFLfTNIkrNnY6mhV5Eg"",""list!A1:C115""),3,TRUE)"),"le secteur du retail")</f>
        <v xml:space="preserve">le secteur du retail</v>
      </c>
      <c r="P313" s="4" t="s">
        <v>12290</v>
      </c>
      <c r="R313" s="4" t="s">
        <v>12291</v>
      </c>
      <c r="S313" s="4" t="s">
        <v>9160</v>
      </c>
      <c r="T313" s="4" t="s">
        <v>29</v>
      </c>
      <c r="U313" s="5" t="s">
        <v>12292</v>
      </c>
      <c r="V313" s="6"/>
      <c r="W313" s="6"/>
      <c r="X313" s="6"/>
      <c r="Y313" s="6"/>
      <c r="Z313" s="4" t="s">
        <v>12293</v>
      </c>
      <c r="AA313" s="6"/>
      <c r="AB313" s="5" t="s">
        <v>12294</v>
      </c>
    </row>
    <row r="314" ht="14.25">
      <c r="A314" s="4" t="s">
        <v>12296</v>
      </c>
      <c r="B314" s="4" t="s">
        <v>355</v>
      </c>
      <c r="C314" s="4" t="s">
        <v>7759</v>
      </c>
      <c r="F314" s="4" t="s">
        <v>12297</v>
      </c>
      <c r="G314" s="4">
        <v>26</v>
      </c>
      <c r="H314" s="4" t="s">
        <v>12298</v>
      </c>
      <c r="I314" s="4" t="str">
        <f>IFERROR(__XLUDF.DUMMYFUNCTION("PROPER(REGEXREPLACE(G312,""[^A-Za-z]+ "",""""))"),"Arcade")</f>
        <v>Arcade</v>
      </c>
      <c r="J314" s="5" t="s">
        <v>12299</v>
      </c>
      <c r="K314" s="4" t="s">
        <v>12300</v>
      </c>
      <c r="L314" s="4" t="s">
        <v>9460</v>
      </c>
      <c r="M314" s="4" t="s">
        <v>29</v>
      </c>
      <c r="N314" s="4" t="s">
        <v>2602</v>
      </c>
      <c r="O314" s="4" t="str">
        <f>IFERROR(__XLUDF.DUMMYFUNCTION("VLOOKUP(M312,IMPORTRANGE(""https://docs.google.com/spreadsheets/d/1opm6ZNvGZ7KditA9TuJwrZ25eFLfTNIkrNnY6mhV5Eg"",""list!A1:C115""),3,TRUE)"),"le secteur de la tech")</f>
        <v xml:space="preserve">le secteur de la tech</v>
      </c>
      <c r="P314" s="4" t="s">
        <v>12301</v>
      </c>
      <c r="R314" s="4" t="s">
        <v>12300</v>
      </c>
      <c r="S314" s="4" t="s">
        <v>9460</v>
      </c>
      <c r="T314" s="4" t="s">
        <v>29</v>
      </c>
      <c r="U314" s="5" t="s">
        <v>12302</v>
      </c>
      <c r="V314" s="6"/>
      <c r="W314" s="5" t="s">
        <v>12303</v>
      </c>
      <c r="X314" s="6"/>
      <c r="Y314" s="6"/>
      <c r="Z314" s="4" t="s">
        <v>12304</v>
      </c>
      <c r="AA314" s="6"/>
      <c r="AB314" s="5" t="s">
        <v>12305</v>
      </c>
    </row>
    <row r="315" ht="14.25">
      <c r="A315" s="4" t="s">
        <v>12308</v>
      </c>
      <c r="B315" s="4" t="s">
        <v>12307</v>
      </c>
      <c r="C315" s="4" t="s">
        <v>2636</v>
      </c>
      <c r="F315" s="4" t="s">
        <v>12309</v>
      </c>
      <c r="G315" s="4">
        <v>14</v>
      </c>
      <c r="H315" s="4" t="s">
        <v>12310</v>
      </c>
      <c r="I315" s="4" t="str">
        <f>IFERROR(__XLUDF.DUMMYFUNCTION("PROPER(REGEXREPLACE(G313,""[^A-Za-z]+ "",""""))"),"Sgame")</f>
        <v>Sgame</v>
      </c>
      <c r="J315" s="5" t="s">
        <v>12311</v>
      </c>
      <c r="K315" s="4" t="s">
        <v>12312</v>
      </c>
      <c r="L315" s="4" t="s">
        <v>9193</v>
      </c>
      <c r="M315" s="4" t="s">
        <v>29</v>
      </c>
      <c r="N315" s="4" t="s">
        <v>10215</v>
      </c>
      <c r="O315" s="4" t="str">
        <f>IFERROR(__XLUDF.DUMMYFUNCTION("VLOOKUP(M313,IMPORTRANGE(""https://docs.google.com/spreadsheets/d/1opm6ZNvGZ7KditA9TuJwrZ25eFLfTNIkrNnY6mhV5Eg"",""list!A1:C115""),3,TRUE)"),"le secteur de l'électrique et électronique")</f>
        <v xml:space="preserve">le secteur de l'électrique et électronique</v>
      </c>
      <c r="P315" s="4" t="s">
        <v>12313</v>
      </c>
      <c r="R315" s="4" t="s">
        <v>12312</v>
      </c>
      <c r="S315" s="4" t="s">
        <v>9172</v>
      </c>
      <c r="T315" s="4" t="s">
        <v>29</v>
      </c>
      <c r="U315" s="5" t="s">
        <v>12314</v>
      </c>
      <c r="V315" s="6"/>
      <c r="W315" s="6"/>
      <c r="X315" s="6"/>
      <c r="Y315" s="6"/>
      <c r="Z315" s="4" t="s">
        <v>12315</v>
      </c>
      <c r="AA315" s="6"/>
      <c r="AB315" s="5" t="s">
        <v>12316</v>
      </c>
    </row>
    <row r="316" ht="14.25">
      <c r="A316" s="4" t="s">
        <v>12318</v>
      </c>
      <c r="B316" s="4" t="s">
        <v>355</v>
      </c>
      <c r="C316" s="4" t="s">
        <v>172</v>
      </c>
      <c r="F316" s="4" t="s">
        <v>12319</v>
      </c>
      <c r="G316" s="4">
        <v>48</v>
      </c>
      <c r="H316" s="4" t="s">
        <v>12320</v>
      </c>
      <c r="I316" s="4" t="str">
        <f>IFERROR(__XLUDF.DUMMYFUNCTION("PROPER(REGEXREPLACE(G314,""[^A-Za-z]+ "",""""))"),"Entreprise Septentrionale De Construction")</f>
        <v xml:space="preserve">Entreprise Septentrionale De Construction</v>
      </c>
      <c r="J316" s="5" t="s">
        <v>12321</v>
      </c>
      <c r="K316" s="4" t="s">
        <v>846</v>
      </c>
      <c r="L316" s="4" t="s">
        <v>9278</v>
      </c>
      <c r="M316" s="4" t="s">
        <v>29</v>
      </c>
      <c r="N316" s="4" t="s">
        <v>9239</v>
      </c>
      <c r="O316" s="4" t="str">
        <f>IFERROR(__XLUDF.DUMMYFUNCTION("VLOOKUP(M314,IMPORTRANGE(""https://docs.google.com/spreadsheets/d/1opm6ZNvGZ7KditA9TuJwrZ25eFLfTNIkrNnY6mhV5Eg"",""list!A1:C115""),3,TRUE)"),"le secteur de la construction")</f>
        <v xml:space="preserve">le secteur de la construction</v>
      </c>
      <c r="P316" s="6"/>
      <c r="R316" s="4" t="s">
        <v>12322</v>
      </c>
      <c r="S316" s="4" t="s">
        <v>9278</v>
      </c>
      <c r="T316" s="4" t="s">
        <v>29</v>
      </c>
      <c r="U316" s="5" t="s">
        <v>12323</v>
      </c>
      <c r="V316" s="6"/>
      <c r="W316" s="6"/>
      <c r="X316" s="6"/>
      <c r="Y316" s="6"/>
      <c r="Z316" s="4" t="s">
        <v>12324</v>
      </c>
      <c r="AA316" s="6"/>
      <c r="AB316" s="5" t="s">
        <v>12325</v>
      </c>
    </row>
    <row r="317" ht="14.25">
      <c r="A317" s="4" t="s">
        <v>12328</v>
      </c>
      <c r="B317" s="4" t="s">
        <v>12327</v>
      </c>
      <c r="C317" s="4" t="s">
        <v>12330</v>
      </c>
      <c r="F317" s="4" t="s">
        <v>12329</v>
      </c>
      <c r="G317" s="4">
        <v>40</v>
      </c>
      <c r="H317" s="4" t="s">
        <v>12331</v>
      </c>
      <c r="I317" s="4" t="str">
        <f>IFERROR(__XLUDF.DUMMYFUNCTION("PROPER(REGEXREPLACE(G315,""[^A-Za-z]+ "",""""))"),"Groupe Koncept Komet")</f>
        <v xml:space="preserve">Groupe Koncept Komet</v>
      </c>
      <c r="J317" s="5" t="s">
        <v>12332</v>
      </c>
      <c r="K317" s="4" t="s">
        <v>83</v>
      </c>
      <c r="L317" s="4" t="s">
        <v>9460</v>
      </c>
      <c r="M317" s="4" t="s">
        <v>29</v>
      </c>
      <c r="N317" s="4" t="s">
        <v>2602</v>
      </c>
      <c r="O317" s="4" t="str">
        <f>IFERROR(__XLUDF.DUMMYFUNCTION("VLOOKUP(M315,IMPORTRANGE(""https://docs.google.com/spreadsheets/d/1opm6ZNvGZ7KditA9TuJwrZ25eFLfTNIkrNnY6mhV5Eg"",""list!A1:C115""),3,TRUE)"),"le secteur de la tech")</f>
        <v xml:space="preserve">le secteur de la tech</v>
      </c>
      <c r="P317" s="4" t="s">
        <v>12333</v>
      </c>
      <c r="R317" s="4" t="s">
        <v>83</v>
      </c>
      <c r="S317" s="4" t="s">
        <v>9460</v>
      </c>
      <c r="T317" s="4" t="s">
        <v>29</v>
      </c>
      <c r="U317" s="5" t="s">
        <v>12334</v>
      </c>
      <c r="V317" s="6"/>
      <c r="W317" s="6"/>
      <c r="X317" s="6"/>
      <c r="Y317" s="6"/>
      <c r="Z317" s="4" t="s">
        <v>12335</v>
      </c>
      <c r="AA317" s="6"/>
      <c r="AB317" s="5" t="s">
        <v>12336</v>
      </c>
    </row>
    <row r="318" ht="14.25">
      <c r="A318" s="4" t="s">
        <v>12338</v>
      </c>
      <c r="B318" s="4" t="s">
        <v>2201</v>
      </c>
      <c r="C318" s="4" t="s">
        <v>12340</v>
      </c>
      <c r="F318" s="4" t="s">
        <v>12339</v>
      </c>
      <c r="G318" s="4">
        <v>24</v>
      </c>
      <c r="H318" s="4" t="s">
        <v>12341</v>
      </c>
      <c r="I318" s="4" t="str">
        <f>IFERROR(__XLUDF.DUMMYFUNCTION("PROPER(REGEXREPLACE(G316,""[^A-Za-z]+ "",""""))"),"Agence 4Août")</f>
        <v xml:space="preserve">Agence 4Août</v>
      </c>
      <c r="J318" s="5" t="s">
        <v>12342</v>
      </c>
      <c r="K318" s="4" t="s">
        <v>39</v>
      </c>
      <c r="L318" s="4" t="s">
        <v>9160</v>
      </c>
      <c r="M318" s="4" t="s">
        <v>29</v>
      </c>
      <c r="N318" s="4" t="s">
        <v>9161</v>
      </c>
      <c r="O318" s="4" t="str">
        <f>IFERROR(__XLUDF.DUMMYFUNCTION("VLOOKUP(M316,IMPORTRANGE(""https://docs.google.com/spreadsheets/d/1opm6ZNvGZ7KditA9TuJwrZ25eFLfTNIkrNnY6mhV5Eg"",""list!A1:C115""),3,TRUE)"),"le secteur du marketing")</f>
        <v xml:space="preserve">le secteur du marketing</v>
      </c>
      <c r="P318" s="4" t="s">
        <v>12343</v>
      </c>
      <c r="R318" s="4" t="s">
        <v>39</v>
      </c>
      <c r="S318" s="4" t="s">
        <v>9160</v>
      </c>
      <c r="T318" s="4" t="s">
        <v>29</v>
      </c>
      <c r="U318" s="5" t="s">
        <v>12344</v>
      </c>
      <c r="V318" s="6"/>
      <c r="W318" s="5" t="s">
        <v>12345</v>
      </c>
      <c r="X318" s="6"/>
      <c r="Y318" s="6"/>
      <c r="Z318" s="4" t="s">
        <v>12346</v>
      </c>
      <c r="AA318" s="6"/>
      <c r="AB318" s="5" t="s">
        <v>12347</v>
      </c>
    </row>
    <row r="319" ht="14.25">
      <c r="A319" s="4" t="s">
        <v>12350</v>
      </c>
      <c r="B319" s="4" t="s">
        <v>12349</v>
      </c>
      <c r="C319" s="4" t="s">
        <v>426</v>
      </c>
      <c r="F319" s="4" t="s">
        <v>12351</v>
      </c>
      <c r="G319" s="4">
        <v>15</v>
      </c>
      <c r="H319" s="4" t="s">
        <v>12352</v>
      </c>
      <c r="I319" s="4" t="str">
        <f>IFERROR(__XLUDF.DUMMYFUNCTION("PROPER(REGEXREPLACE(G317,""[^A-Za-z]+ "",""""))"),"Smart Group")</f>
        <v xml:space="preserve">Smart Group</v>
      </c>
      <c r="J319" s="5" t="s">
        <v>12353</v>
      </c>
      <c r="K319" s="6"/>
      <c r="L319" s="6"/>
      <c r="M319" s="4" t="s">
        <v>29</v>
      </c>
      <c r="N319" s="4" t="s">
        <v>4067</v>
      </c>
      <c r="O319" s="4" t="str">
        <f>IFERROR(__XLUDF.DUMMYFUNCTION("VLOOKUP(M317,IMPORTRANGE(""https://docs.google.com/spreadsheets/d/1opm6ZNvGZ7KditA9TuJwrZ25eFLfTNIkrNnY6mhV5Eg"",""list!A1:C115""),3,TRUE)"),"le secteur du conseil en management")</f>
        <v xml:space="preserve">le secteur du conseil en management</v>
      </c>
      <c r="P319" s="4" t="s">
        <v>12354</v>
      </c>
      <c r="R319" s="4" t="s">
        <v>39</v>
      </c>
      <c r="S319" s="4" t="s">
        <v>9160</v>
      </c>
      <c r="T319" s="4" t="s">
        <v>29</v>
      </c>
      <c r="U319" s="5" t="s">
        <v>12355</v>
      </c>
      <c r="V319" s="6"/>
      <c r="W319" s="6"/>
      <c r="X319" s="6"/>
      <c r="Y319" s="6"/>
      <c r="Z319" s="4" t="s">
        <v>12356</v>
      </c>
      <c r="AA319" s="6"/>
      <c r="AB319" s="5" t="s">
        <v>12357</v>
      </c>
    </row>
    <row r="320" ht="14.25">
      <c r="A320" s="4" t="s">
        <v>1485</v>
      </c>
      <c r="B320" s="4" t="s">
        <v>1442</v>
      </c>
      <c r="C320" s="4" t="s">
        <v>10908</v>
      </c>
      <c r="F320" s="4" t="s">
        <v>12359</v>
      </c>
      <c r="G320" s="4">
        <v>13</v>
      </c>
      <c r="H320" s="4" t="s">
        <v>12360</v>
      </c>
      <c r="I320" s="4" t="str">
        <f>IFERROR(__XLUDF.DUMMYFUNCTION("PROPER(REGEXREPLACE(G318,""[^A-Za-z]+ "",""""))"),"Sairen")</f>
        <v>Sairen</v>
      </c>
      <c r="J320" s="5" t="s">
        <v>12361</v>
      </c>
      <c r="K320" s="4" t="s">
        <v>1419</v>
      </c>
      <c r="L320" s="4" t="s">
        <v>9160</v>
      </c>
      <c r="M320" s="4" t="s">
        <v>29</v>
      </c>
      <c r="N320" s="4" t="s">
        <v>2602</v>
      </c>
      <c r="O320" s="4" t="str">
        <f>IFERROR(__XLUDF.DUMMYFUNCTION("VLOOKUP(M318,IMPORTRANGE(""https://docs.google.com/spreadsheets/d/1opm6ZNvGZ7KditA9TuJwrZ25eFLfTNIkrNnY6mhV5Eg"",""list!A1:C115""),3,TRUE)"),"le secteur de la tech")</f>
        <v xml:space="preserve">le secteur de la tech</v>
      </c>
      <c r="P320" s="6"/>
      <c r="R320" s="4" t="s">
        <v>39</v>
      </c>
      <c r="S320" s="4" t="s">
        <v>9160</v>
      </c>
      <c r="T320" s="4" t="s">
        <v>29</v>
      </c>
      <c r="U320" s="5" t="s">
        <v>12362</v>
      </c>
      <c r="V320" s="6"/>
      <c r="W320" s="6"/>
      <c r="X320" s="6"/>
      <c r="Y320" s="6"/>
      <c r="Z320" s="4" t="s">
        <v>12363</v>
      </c>
      <c r="AA320" s="6"/>
      <c r="AB320" s="5" t="s">
        <v>12364</v>
      </c>
    </row>
    <row r="321" ht="14.25">
      <c r="A321" s="4" t="s">
        <v>12367</v>
      </c>
      <c r="B321" s="4" t="s">
        <v>12366</v>
      </c>
      <c r="C321" s="4" t="s">
        <v>9582</v>
      </c>
      <c r="F321" s="4" t="s">
        <v>12368</v>
      </c>
      <c r="G321" s="4">
        <v>11</v>
      </c>
      <c r="H321" s="4" t="s">
        <v>12369</v>
      </c>
      <c r="I321" s="4" t="str">
        <f>IFERROR(__XLUDF.DUMMYFUNCTION("PROPER(REGEXREPLACE(G319,""[^A-Za-z]+ "",""""))"),"Margueritecie")</f>
        <v>Margueritecie</v>
      </c>
      <c r="J321" s="5" t="s">
        <v>12370</v>
      </c>
      <c r="K321" s="4" t="s">
        <v>1589</v>
      </c>
      <c r="L321" s="4" t="s">
        <v>9227</v>
      </c>
      <c r="M321" s="4" t="s">
        <v>29</v>
      </c>
      <c r="N321" s="4" t="s">
        <v>4525</v>
      </c>
      <c r="O321" s="4" t="str">
        <f>IFERROR(__XLUDF.DUMMYFUNCTION("VLOOKUP(M319,IMPORTRANGE(""https://docs.google.com/spreadsheets/d/1opm6ZNvGZ7KditA9TuJwrZ25eFLfTNIkrNnY6mhV5Eg"",""list!A1:C115""),3,TRUE)"),"le secteur du retail")</f>
        <v xml:space="preserve">le secteur du retail</v>
      </c>
      <c r="P321" s="6"/>
      <c r="R321" s="4" t="s">
        <v>1589</v>
      </c>
      <c r="S321" s="4" t="s">
        <v>9227</v>
      </c>
      <c r="T321" s="4" t="s">
        <v>29</v>
      </c>
      <c r="U321" s="5" t="s">
        <v>12371</v>
      </c>
      <c r="V321" s="5" t="s">
        <v>12372</v>
      </c>
      <c r="W321" s="5" t="s">
        <v>12373</v>
      </c>
      <c r="X321" s="6"/>
      <c r="Y321" s="6"/>
      <c r="Z321" s="4" t="s">
        <v>12374</v>
      </c>
      <c r="AA321" s="6"/>
      <c r="AB321" s="5" t="s">
        <v>12375</v>
      </c>
    </row>
    <row r="322" ht="14.25">
      <c r="A322" s="4" t="s">
        <v>5265</v>
      </c>
      <c r="B322" s="4" t="s">
        <v>2201</v>
      </c>
      <c r="C322" s="4" t="s">
        <v>164</v>
      </c>
      <c r="F322" s="4" t="s">
        <v>12377</v>
      </c>
      <c r="G322" s="4">
        <v>35</v>
      </c>
      <c r="H322" s="4" t="s">
        <v>12378</v>
      </c>
      <c r="I322" s="4" t="str">
        <f>IFERROR(__XLUDF.DUMMYFUNCTION("PROPER(REGEXREPLACE(G320,""[^A-Za-z]+ "",""""))"),"Adeliom")</f>
        <v>Adeliom</v>
      </c>
      <c r="J322" s="5" t="s">
        <v>12379</v>
      </c>
      <c r="K322" s="4" t="s">
        <v>10088</v>
      </c>
      <c r="L322" s="4" t="s">
        <v>9251</v>
      </c>
      <c r="M322" s="4" t="s">
        <v>29</v>
      </c>
      <c r="N322" s="4" t="s">
        <v>2602</v>
      </c>
      <c r="O322" s="4" t="str">
        <f>IFERROR(__XLUDF.DUMMYFUNCTION("VLOOKUP(M320,IMPORTRANGE(""https://docs.google.com/spreadsheets/d/1opm6ZNvGZ7KditA9TuJwrZ25eFLfTNIkrNnY6mhV5Eg"",""list!A1:C115""),3,TRUE)"),"le secteur de la tech")</f>
        <v xml:space="preserve">le secteur de la tech</v>
      </c>
      <c r="P322" s="4" t="s">
        <v>12380</v>
      </c>
      <c r="R322" s="4" t="s">
        <v>651</v>
      </c>
      <c r="S322" s="4" t="s">
        <v>9215</v>
      </c>
      <c r="T322" s="4" t="s">
        <v>29</v>
      </c>
      <c r="U322" s="5" t="s">
        <v>12381</v>
      </c>
      <c r="V322" s="5" t="s">
        <v>12382</v>
      </c>
      <c r="W322" s="5" t="s">
        <v>12383</v>
      </c>
      <c r="X322" s="6"/>
      <c r="Y322" s="6"/>
      <c r="Z322" s="4" t="s">
        <v>12384</v>
      </c>
      <c r="AA322" s="6"/>
      <c r="AB322" s="5" t="s">
        <v>12385</v>
      </c>
    </row>
    <row r="323" ht="14.25">
      <c r="A323" s="4" t="s">
        <v>12388</v>
      </c>
      <c r="B323" s="4" t="s">
        <v>12387</v>
      </c>
      <c r="C323" s="4" t="s">
        <v>9456</v>
      </c>
      <c r="F323" s="4" t="s">
        <v>12389</v>
      </c>
      <c r="G323" s="4">
        <v>32</v>
      </c>
      <c r="H323" s="4" t="s">
        <v>12390</v>
      </c>
      <c r="I323" s="4" t="str">
        <f>IFERROR(__XLUDF.DUMMYFUNCTION("PROPER(REGEXREPLACE(G321,""[^A-Za-z]+ "",""""))"),"Oriolchauffage Climatisationplomberie [Saint-Étiennefrance]")</f>
        <v xml:space="preserve">Oriolchauffage Climatisationplomberie [Saint-Étiennefrance]</v>
      </c>
      <c r="J323" s="5" t="s">
        <v>12391</v>
      </c>
      <c r="K323" s="4" t="s">
        <v>831</v>
      </c>
      <c r="L323" s="4" t="s">
        <v>9193</v>
      </c>
      <c r="M323" s="4" t="s">
        <v>29</v>
      </c>
      <c r="N323" s="4" t="s">
        <v>9239</v>
      </c>
      <c r="O323" s="4" t="str">
        <f>IFERROR(__XLUDF.DUMMYFUNCTION("VLOOKUP(M321,IMPORTRANGE(""https://docs.google.com/spreadsheets/d/1opm6ZNvGZ7KditA9TuJwrZ25eFLfTNIkrNnY6mhV5Eg"",""list!A1:C115""),3,TRUE)"),"le secteur de la construction")</f>
        <v xml:space="preserve">le secteur de la construction</v>
      </c>
      <c r="P323" s="6"/>
      <c r="R323" s="4" t="s">
        <v>831</v>
      </c>
      <c r="S323" s="4" t="s">
        <v>9172</v>
      </c>
      <c r="T323" s="4" t="s">
        <v>29</v>
      </c>
      <c r="U323" s="5" t="s">
        <v>12392</v>
      </c>
      <c r="V323" s="6"/>
      <c r="W323" s="6"/>
      <c r="X323" s="6"/>
      <c r="Y323" s="6"/>
      <c r="Z323" s="4" t="s">
        <v>12393</v>
      </c>
      <c r="AA323" s="6"/>
      <c r="AB323" s="5" t="s">
        <v>12394</v>
      </c>
    </row>
    <row r="324" ht="14.25">
      <c r="A324" s="4" t="s">
        <v>12397</v>
      </c>
      <c r="B324" s="4" t="s">
        <v>12396</v>
      </c>
      <c r="C324" s="4" t="s">
        <v>112</v>
      </c>
      <c r="F324" s="4" t="s">
        <v>12398</v>
      </c>
      <c r="G324" s="4">
        <v>11</v>
      </c>
      <c r="H324" s="4" t="s">
        <v>12399</v>
      </c>
      <c r="I324" s="4" t="str">
        <f>IFERROR(__XLUDF.DUMMYFUNCTION("PROPER(REGEXREPLACE(G322,""[^A-Za-z]+ "",""""))"),"Groupe Energies")</f>
        <v xml:space="preserve">Groupe Energies</v>
      </c>
      <c r="J324" s="5" t="s">
        <v>12400</v>
      </c>
      <c r="K324" s="4" t="s">
        <v>1015</v>
      </c>
      <c r="L324" s="4" t="s">
        <v>9251</v>
      </c>
      <c r="M324" s="4" t="s">
        <v>29</v>
      </c>
      <c r="N324" s="4" t="s">
        <v>9239</v>
      </c>
      <c r="O324" s="4" t="str">
        <f>IFERROR(__XLUDF.DUMMYFUNCTION("VLOOKUP(M322,IMPORTRANGE(""https://docs.google.com/spreadsheets/d/1opm6ZNvGZ7KditA9TuJwrZ25eFLfTNIkrNnY6mhV5Eg"",""list!A1:C115""),3,TRUE)"),"le secteur de la construction")</f>
        <v xml:space="preserve">le secteur de la construction</v>
      </c>
      <c r="P324" s="4" t="s">
        <v>12401</v>
      </c>
      <c r="R324" s="4" t="s">
        <v>1015</v>
      </c>
      <c r="S324" s="4" t="s">
        <v>9251</v>
      </c>
      <c r="T324" s="4" t="s">
        <v>29</v>
      </c>
      <c r="U324" s="5" t="s">
        <v>12402</v>
      </c>
      <c r="V324" s="6"/>
      <c r="W324" s="6"/>
      <c r="X324" s="6"/>
      <c r="Y324" s="6"/>
      <c r="Z324" s="4" t="s">
        <v>12403</v>
      </c>
      <c r="AA324" s="6"/>
      <c r="AB324" s="5" t="s">
        <v>12404</v>
      </c>
    </row>
    <row r="325" ht="14.25">
      <c r="A325" s="4" t="s">
        <v>12406</v>
      </c>
      <c r="B325" s="4" t="s">
        <v>1740</v>
      </c>
      <c r="C325" s="4" t="s">
        <v>3326</v>
      </c>
      <c r="F325" s="4" t="s">
        <v>12407</v>
      </c>
      <c r="G325" s="4">
        <v>15</v>
      </c>
      <c r="H325" s="4" t="s">
        <v>12408</v>
      </c>
      <c r="I325" s="4" t="str">
        <f>IFERROR(__XLUDF.DUMMYFUNCTION("PROPER(REGEXREPLACE(G323,""[^A-Za-z]+ "",""""))"),"Lianeo")</f>
        <v>Lianeo</v>
      </c>
      <c r="J325" s="5" t="s">
        <v>12409</v>
      </c>
      <c r="K325" s="4" t="s">
        <v>39</v>
      </c>
      <c r="L325" s="4" t="s">
        <v>9160</v>
      </c>
      <c r="M325" s="4" t="s">
        <v>29</v>
      </c>
      <c r="N325" s="4" t="s">
        <v>2602</v>
      </c>
      <c r="O325" s="4" t="str">
        <f>IFERROR(__XLUDF.DUMMYFUNCTION("VLOOKUP(M323,IMPORTRANGE(""https://docs.google.com/spreadsheets/d/1opm6ZNvGZ7KditA9TuJwrZ25eFLfTNIkrNnY6mhV5Eg"",""list!A1:C115""),3,TRUE)"),"le secteur de la tech")</f>
        <v xml:space="preserve">le secteur de la tech</v>
      </c>
      <c r="P325" s="4" t="s">
        <v>12410</v>
      </c>
      <c r="R325" s="4" t="s">
        <v>39</v>
      </c>
      <c r="S325" s="4" t="s">
        <v>9160</v>
      </c>
      <c r="T325" s="4" t="s">
        <v>29</v>
      </c>
      <c r="U325" s="5" t="s">
        <v>12411</v>
      </c>
      <c r="V325" s="6"/>
      <c r="W325" s="6"/>
      <c r="X325" s="6"/>
      <c r="Y325" s="6"/>
      <c r="Z325" s="4" t="s">
        <v>12412</v>
      </c>
      <c r="AA325" s="6"/>
      <c r="AB325" s="5" t="s">
        <v>12413</v>
      </c>
    </row>
    <row r="326" ht="14.25">
      <c r="A326" s="4" t="s">
        <v>12415</v>
      </c>
      <c r="B326" s="4" t="s">
        <v>1740</v>
      </c>
      <c r="C326" s="4" t="s">
        <v>1231</v>
      </c>
      <c r="F326" s="4" t="s">
        <v>12416</v>
      </c>
      <c r="G326" s="4">
        <v>23</v>
      </c>
      <c r="H326" s="4" t="s">
        <v>12417</v>
      </c>
      <c r="I326" s="4" t="str">
        <f>IFERROR(__XLUDF.DUMMYFUNCTION("PROPER(REGEXREPLACE(G324,""[^A-Za-z]+ "",""""))"),"Aletiq")</f>
        <v>Aletiq</v>
      </c>
      <c r="J326" s="5" t="s">
        <v>12418</v>
      </c>
      <c r="K326" s="4" t="s">
        <v>39</v>
      </c>
      <c r="L326" s="4" t="s">
        <v>9160</v>
      </c>
      <c r="M326" s="4" t="s">
        <v>29</v>
      </c>
      <c r="N326" s="4" t="s">
        <v>2602</v>
      </c>
      <c r="O326" s="4" t="str">
        <f>IFERROR(__XLUDF.DUMMYFUNCTION("VLOOKUP(M324,IMPORTRANGE(""https://docs.google.com/spreadsheets/d/1opm6ZNvGZ7KditA9TuJwrZ25eFLfTNIkrNnY6mhV5Eg"",""list!A1:C115""),3,TRUE)"),"le secteur de la tech")</f>
        <v xml:space="preserve">le secteur de la tech</v>
      </c>
      <c r="P326" s="6"/>
      <c r="R326" s="4" t="s">
        <v>39</v>
      </c>
      <c r="S326" s="4" t="s">
        <v>9160</v>
      </c>
      <c r="T326" s="4" t="s">
        <v>29</v>
      </c>
      <c r="U326" s="5" t="s">
        <v>12419</v>
      </c>
      <c r="V326" s="6"/>
      <c r="W326" s="6"/>
      <c r="X326" s="6"/>
      <c r="Y326" s="6"/>
      <c r="Z326" s="4" t="s">
        <v>12420</v>
      </c>
      <c r="AA326" s="6"/>
      <c r="AB326" s="5" t="s">
        <v>12421</v>
      </c>
    </row>
    <row r="327" ht="14.25">
      <c r="A327" s="4" t="s">
        <v>12423</v>
      </c>
      <c r="B327" s="4" t="s">
        <v>6844</v>
      </c>
      <c r="C327" s="4" t="s">
        <v>5500</v>
      </c>
      <c r="F327" s="4" t="s">
        <v>12424</v>
      </c>
      <c r="G327" s="4">
        <v>36</v>
      </c>
      <c r="H327" s="4" t="s">
        <v>12425</v>
      </c>
      <c r="I327" s="4" t="str">
        <f>IFERROR(__XLUDF.DUMMYFUNCTION("PROPER(REGEXREPLACE(G325,""[^A-Za-z]+ "",""""))"),"Arjuna")</f>
        <v>Arjuna</v>
      </c>
      <c r="J327" s="5" t="s">
        <v>12426</v>
      </c>
      <c r="K327" s="4" t="s">
        <v>39</v>
      </c>
      <c r="L327" s="4" t="s">
        <v>9160</v>
      </c>
      <c r="M327" s="4" t="s">
        <v>29</v>
      </c>
      <c r="N327" s="4" t="s">
        <v>4067</v>
      </c>
      <c r="O327" s="4" t="str">
        <f>IFERROR(__XLUDF.DUMMYFUNCTION("VLOOKUP(M325,IMPORTRANGE(""https://docs.google.com/spreadsheets/d/1opm6ZNvGZ7KditA9TuJwrZ25eFLfTNIkrNnY6mhV5Eg"",""list!A1:C115""),3,TRUE)"),"le secteur du conseil en management")</f>
        <v xml:space="preserve">le secteur du conseil en management</v>
      </c>
      <c r="P327" s="4" t="s">
        <v>12427</v>
      </c>
      <c r="R327" s="4" t="s">
        <v>10798</v>
      </c>
      <c r="S327" s="4" t="s">
        <v>9160</v>
      </c>
      <c r="T327" s="4" t="s">
        <v>29</v>
      </c>
      <c r="U327" s="5" t="s">
        <v>12428</v>
      </c>
      <c r="V327" s="6"/>
      <c r="W327" s="6"/>
      <c r="X327" s="6"/>
      <c r="Y327" s="6"/>
      <c r="Z327" s="4" t="s">
        <v>12429</v>
      </c>
      <c r="AA327" s="6"/>
      <c r="AB327" s="5" t="s">
        <v>12430</v>
      </c>
    </row>
    <row r="328" ht="14.25">
      <c r="A328" s="4" t="s">
        <v>12432</v>
      </c>
      <c r="B328" s="4" t="s">
        <v>4993</v>
      </c>
      <c r="C328" s="4" t="s">
        <v>341</v>
      </c>
      <c r="F328" s="4" t="s">
        <v>12433</v>
      </c>
      <c r="G328" s="4">
        <v>11</v>
      </c>
      <c r="H328" s="4" t="s">
        <v>12434</v>
      </c>
      <c r="I328" s="4" t="str">
        <f>IFERROR(__XLUDF.DUMMYFUNCTION("PROPER(REGEXREPLACE(G326,""[^A-Za-z]+ "",""""))"),"Ubikap")</f>
        <v>Ubikap</v>
      </c>
      <c r="J328" s="5" t="s">
        <v>12435</v>
      </c>
      <c r="K328" s="4" t="s">
        <v>185</v>
      </c>
      <c r="L328" s="4" t="s">
        <v>9193</v>
      </c>
      <c r="M328" s="4" t="s">
        <v>29</v>
      </c>
      <c r="N328" s="4" t="s">
        <v>2602</v>
      </c>
      <c r="O328" s="4" t="str">
        <f>IFERROR(__XLUDF.DUMMYFUNCTION("VLOOKUP(M326,IMPORTRANGE(""https://docs.google.com/spreadsheets/d/1opm6ZNvGZ7KditA9TuJwrZ25eFLfTNIkrNnY6mhV5Eg"",""list!A1:C115""),3,TRUE)"),"le secteur de la tech")</f>
        <v xml:space="preserve">le secteur de la tech</v>
      </c>
      <c r="P328" s="4" t="s">
        <v>12436</v>
      </c>
      <c r="R328" s="4" t="s">
        <v>185</v>
      </c>
      <c r="S328" s="4" t="s">
        <v>9193</v>
      </c>
      <c r="T328" s="4" t="s">
        <v>29</v>
      </c>
      <c r="U328" s="5" t="s">
        <v>12437</v>
      </c>
      <c r="V328" s="6"/>
      <c r="W328" s="6"/>
      <c r="X328" s="6"/>
      <c r="Y328" s="6"/>
      <c r="Z328" s="4" t="s">
        <v>12438</v>
      </c>
      <c r="AA328" s="6"/>
      <c r="AB328" s="5" t="s">
        <v>12439</v>
      </c>
    </row>
    <row r="329" ht="14.25">
      <c r="A329" s="4" t="s">
        <v>12441</v>
      </c>
      <c r="B329" s="4" t="s">
        <v>12327</v>
      </c>
      <c r="C329" s="4" t="s">
        <v>9456</v>
      </c>
      <c r="F329" s="4" t="s">
        <v>12442</v>
      </c>
      <c r="G329" s="4">
        <v>10</v>
      </c>
      <c r="H329" s="4" t="s">
        <v>12443</v>
      </c>
      <c r="I329" s="4" t="str">
        <f>IFERROR(__XLUDF.DUMMYFUNCTION("PROPER(REGEXREPLACE(G327,""[^A-Za-z]+ "",""""))"),"Cap Manager")</f>
        <v xml:space="preserve">Cap Manager</v>
      </c>
      <c r="J329" s="5" t="s">
        <v>12444</v>
      </c>
      <c r="K329" s="4" t="s">
        <v>12445</v>
      </c>
      <c r="L329" s="4" t="s">
        <v>9460</v>
      </c>
      <c r="M329" s="4" t="s">
        <v>29</v>
      </c>
      <c r="N329" s="4" t="s">
        <v>4067</v>
      </c>
      <c r="O329" s="4" t="str">
        <f>IFERROR(__XLUDF.DUMMYFUNCTION("VLOOKUP(M327,IMPORTRANGE(""https://docs.google.com/spreadsheets/d/1opm6ZNvGZ7KditA9TuJwrZ25eFLfTNIkrNnY6mhV5Eg"",""list!A1:C115""),3,TRUE)"),"le secteur du conseil en management")</f>
        <v xml:space="preserve">le secteur du conseil en management</v>
      </c>
      <c r="P329" s="4" t="s">
        <v>12446</v>
      </c>
      <c r="R329" s="4" t="s">
        <v>12445</v>
      </c>
      <c r="S329" s="4" t="s">
        <v>9254</v>
      </c>
      <c r="T329" s="4" t="s">
        <v>29</v>
      </c>
      <c r="U329" s="5" t="s">
        <v>12447</v>
      </c>
      <c r="V329" s="6"/>
      <c r="W329" s="5" t="s">
        <v>12448</v>
      </c>
      <c r="X329" s="6"/>
      <c r="Y329" s="6"/>
      <c r="Z329" s="4" t="s">
        <v>12449</v>
      </c>
      <c r="AA329" s="6"/>
      <c r="AB329" s="5" t="s">
        <v>12450</v>
      </c>
    </row>
    <row r="330" ht="14.25">
      <c r="A330" s="4" t="s">
        <v>963</v>
      </c>
      <c r="B330" s="4" t="s">
        <v>12452</v>
      </c>
      <c r="C330" s="4" t="s">
        <v>265</v>
      </c>
      <c r="F330" s="4" t="s">
        <v>12453</v>
      </c>
      <c r="G330" s="4">
        <v>19</v>
      </c>
      <c r="H330" s="4" t="s">
        <v>12454</v>
      </c>
      <c r="I330" s="4" t="str">
        <f>IFERROR(__XLUDF.DUMMYFUNCTION("PROPER(REGEXREPLACE(G328,""[^A-Za-z]+ "",""""))"),"Tabsters")</f>
        <v>Tabsters</v>
      </c>
      <c r="J330" s="5" t="s">
        <v>12455</v>
      </c>
      <c r="K330" s="4" t="s">
        <v>39</v>
      </c>
      <c r="L330" s="4" t="s">
        <v>9160</v>
      </c>
      <c r="M330" s="4" t="s">
        <v>29</v>
      </c>
      <c r="N330" s="4" t="s">
        <v>2602</v>
      </c>
      <c r="O330" s="4" t="str">
        <f>IFERROR(__XLUDF.DUMMYFUNCTION("VLOOKUP(M328,IMPORTRANGE(""https://docs.google.com/spreadsheets/d/1opm6ZNvGZ7KditA9TuJwrZ25eFLfTNIkrNnY6mhV5Eg"",""list!A1:C115""),3,TRUE)"),"le secteur de la tech")</f>
        <v xml:space="preserve">le secteur de la tech</v>
      </c>
      <c r="P330" s="6"/>
      <c r="R330" s="4" t="s">
        <v>39</v>
      </c>
      <c r="S330" s="4" t="s">
        <v>9160</v>
      </c>
      <c r="T330" s="4" t="s">
        <v>29</v>
      </c>
      <c r="U330" s="5" t="s">
        <v>12456</v>
      </c>
      <c r="V330" s="6"/>
      <c r="W330" s="6"/>
      <c r="X330" s="6"/>
      <c r="Y330" s="6"/>
      <c r="Z330" s="4" t="s">
        <v>12457</v>
      </c>
      <c r="AA330" s="6"/>
      <c r="AB330" s="5" t="s">
        <v>12458</v>
      </c>
    </row>
    <row r="331" ht="14.25">
      <c r="A331" s="4" t="s">
        <v>12461</v>
      </c>
      <c r="B331" s="4" t="s">
        <v>12460</v>
      </c>
      <c r="C331" s="4" t="s">
        <v>112</v>
      </c>
      <c r="F331" s="4" t="s">
        <v>12462</v>
      </c>
      <c r="G331" s="4">
        <v>44</v>
      </c>
      <c r="H331" s="4" t="s">
        <v>12463</v>
      </c>
      <c r="I331" s="4" t="str">
        <f>IFERROR(__XLUDF.DUMMYFUNCTION("PROPER(REGEXREPLACE(G329,""[^A-Za-z]+ "",""""))"),"Sprint Je")</f>
        <v xml:space="preserve">Sprint Je</v>
      </c>
      <c r="J331" s="5" t="s">
        <v>12464</v>
      </c>
      <c r="K331" s="4" t="s">
        <v>39</v>
      </c>
      <c r="L331" s="4" t="s">
        <v>9160</v>
      </c>
      <c r="M331" s="4" t="s">
        <v>29</v>
      </c>
      <c r="N331" s="4" t="s">
        <v>2602</v>
      </c>
      <c r="O331" s="4" t="str">
        <f>IFERROR(__XLUDF.DUMMYFUNCTION("VLOOKUP(M329,IMPORTRANGE(""https://docs.google.com/spreadsheets/d/1opm6ZNvGZ7KditA9TuJwrZ25eFLfTNIkrNnY6mhV5Eg"",""list!A1:C115""),3,TRUE)"),"le secteur de la tech")</f>
        <v xml:space="preserve">le secteur de la tech</v>
      </c>
      <c r="P331" s="4" t="s">
        <v>12465</v>
      </c>
      <c r="R331" s="4" t="s">
        <v>12466</v>
      </c>
      <c r="S331" s="4" t="s">
        <v>9160</v>
      </c>
      <c r="T331" s="4" t="s">
        <v>29</v>
      </c>
      <c r="U331" s="5" t="s">
        <v>12467</v>
      </c>
      <c r="V331" s="6"/>
      <c r="W331" s="5" t="s">
        <v>12468</v>
      </c>
      <c r="X331" s="6"/>
      <c r="Y331" s="6"/>
      <c r="Z331" s="4" t="s">
        <v>12469</v>
      </c>
      <c r="AA331" s="6"/>
      <c r="AB331" s="5" t="s">
        <v>12470</v>
      </c>
    </row>
    <row r="332" ht="14.25">
      <c r="A332" s="4" t="s">
        <v>12472</v>
      </c>
      <c r="B332" s="4" t="s">
        <v>355</v>
      </c>
      <c r="C332" s="4" t="s">
        <v>9456</v>
      </c>
      <c r="F332" s="4" t="s">
        <v>12473</v>
      </c>
      <c r="G332" s="4">
        <v>11</v>
      </c>
      <c r="H332" s="5" t="s">
        <v>12474</v>
      </c>
      <c r="I332" s="5" t="str">
        <f>IFERROR(__XLUDF.DUMMYFUNCTION("PROPER(REGEXREPLACE(G330,""[^A-Za-z]+ "",""""))"),"Lacentrale-Eco.Com")</f>
        <v>Lacentrale-Eco.Com</v>
      </c>
      <c r="J332" s="5" t="s">
        <v>12475</v>
      </c>
      <c r="K332" s="4" t="s">
        <v>12149</v>
      </c>
      <c r="L332" s="4" t="s">
        <v>9193</v>
      </c>
      <c r="M332" s="4" t="s">
        <v>29</v>
      </c>
      <c r="N332" s="4" t="s">
        <v>9239</v>
      </c>
      <c r="O332" s="4" t="str">
        <f>IFERROR(__XLUDF.DUMMYFUNCTION("VLOOKUP(M330,IMPORTRANGE(""https://docs.google.com/spreadsheets/d/1opm6ZNvGZ7KditA9TuJwrZ25eFLfTNIkrNnY6mhV5Eg"",""list!A1:C115""),3,TRUE)"),"le secteur de la construction")</f>
        <v xml:space="preserve">le secteur de la construction</v>
      </c>
      <c r="P332" s="4" t="s">
        <v>12476</v>
      </c>
      <c r="R332" s="4" t="s">
        <v>12149</v>
      </c>
      <c r="S332" s="4" t="s">
        <v>9193</v>
      </c>
      <c r="T332" s="4" t="s">
        <v>29</v>
      </c>
      <c r="U332" s="5" t="s">
        <v>12477</v>
      </c>
      <c r="V332" s="6"/>
      <c r="W332" s="5" t="s">
        <v>12478</v>
      </c>
      <c r="X332" s="6"/>
      <c r="Y332" s="6"/>
      <c r="Z332" s="4" t="s">
        <v>12479</v>
      </c>
      <c r="AA332" s="6"/>
      <c r="AB332" s="5" t="s">
        <v>12480</v>
      </c>
    </row>
    <row r="333" ht="14.25">
      <c r="A333" s="4" t="s">
        <v>12482</v>
      </c>
      <c r="B333" s="4" t="s">
        <v>4800</v>
      </c>
      <c r="C333" s="4" t="s">
        <v>12484</v>
      </c>
      <c r="F333" s="4" t="s">
        <v>12483</v>
      </c>
      <c r="G333" s="4">
        <v>16</v>
      </c>
      <c r="H333" s="4" t="s">
        <v>12485</v>
      </c>
      <c r="I333" s="4" t="str">
        <f>IFERROR(__XLUDF.DUMMYFUNCTION("PROPER(REGEXREPLACE(G331,""[^A-Za-z]+ "",""""))"),"Groupe Maestra")</f>
        <v xml:space="preserve">Groupe Maestra</v>
      </c>
      <c r="J333" s="5" t="s">
        <v>12486</v>
      </c>
      <c r="K333" s="4" t="s">
        <v>12487</v>
      </c>
      <c r="L333" s="4" t="s">
        <v>9251</v>
      </c>
      <c r="M333" s="4" t="s">
        <v>29</v>
      </c>
      <c r="N333" s="4" t="s">
        <v>2602</v>
      </c>
      <c r="O333" s="4" t="str">
        <f>IFERROR(__XLUDF.DUMMYFUNCTION("VLOOKUP(M331,IMPORTRANGE(""https://docs.google.com/spreadsheets/d/1opm6ZNvGZ7KditA9TuJwrZ25eFLfTNIkrNnY6mhV5Eg"",""list!A1:C115""),3,TRUE)"),"le secteur de la tech")</f>
        <v xml:space="preserve">le secteur de la tech</v>
      </c>
      <c r="P333" s="4" t="s">
        <v>12488</v>
      </c>
      <c r="R333" s="4" t="s">
        <v>12487</v>
      </c>
      <c r="S333" s="4" t="s">
        <v>9251</v>
      </c>
      <c r="T333" s="4" t="s">
        <v>29</v>
      </c>
      <c r="U333" s="5" t="s">
        <v>12489</v>
      </c>
      <c r="V333" s="6"/>
      <c r="W333" s="6"/>
      <c r="X333" s="6"/>
      <c r="Y333" s="6"/>
      <c r="Z333" s="4" t="s">
        <v>12490</v>
      </c>
      <c r="AA333" s="6"/>
      <c r="AB333" s="5" t="s">
        <v>12491</v>
      </c>
    </row>
    <row r="334" ht="14.25">
      <c r="A334" s="4" t="s">
        <v>12493</v>
      </c>
      <c r="B334" s="4" t="s">
        <v>4800</v>
      </c>
      <c r="C334" s="4" t="s">
        <v>7759</v>
      </c>
      <c r="F334" s="4" t="s">
        <v>12494</v>
      </c>
      <c r="G334" s="4">
        <v>45</v>
      </c>
      <c r="H334" s="4" t="s">
        <v>12495</v>
      </c>
      <c r="I334" s="4" t="str">
        <f>IFERROR(__XLUDF.DUMMYFUNCTION("PROPER(REGEXREPLACE(G332,""[^A-Za-z]+ "",""""))"),"Retour De Plage")</f>
        <v xml:space="preserve">Retour De Plage</v>
      </c>
      <c r="J334" s="5" t="s">
        <v>12496</v>
      </c>
      <c r="K334" s="4" t="s">
        <v>12497</v>
      </c>
      <c r="L334" s="4" t="s">
        <v>9864</v>
      </c>
      <c r="M334" s="4" t="s">
        <v>29</v>
      </c>
      <c r="N334" s="4" t="s">
        <v>4525</v>
      </c>
      <c r="O334" s="4" t="str">
        <f>IFERROR(__XLUDF.DUMMYFUNCTION("VLOOKUP(M332,IMPORTRANGE(""https://docs.google.com/spreadsheets/d/1opm6ZNvGZ7KditA9TuJwrZ25eFLfTNIkrNnY6mhV5Eg"",""list!A1:C115""),3,TRUE)"),"le secteur du retail")</f>
        <v xml:space="preserve">le secteur du retail</v>
      </c>
      <c r="P334" s="4" t="s">
        <v>12498</v>
      </c>
      <c r="R334" s="4" t="s">
        <v>12497</v>
      </c>
      <c r="S334" s="4" t="s">
        <v>9864</v>
      </c>
      <c r="T334" s="4" t="s">
        <v>29</v>
      </c>
      <c r="U334" s="5" t="s">
        <v>12499</v>
      </c>
      <c r="V334" s="6"/>
      <c r="W334" s="5" t="s">
        <v>12500</v>
      </c>
      <c r="X334" s="6"/>
      <c r="Y334" s="6"/>
      <c r="Z334" s="4" t="s">
        <v>12501</v>
      </c>
      <c r="AA334" s="6"/>
      <c r="AB334" s="5" t="s">
        <v>12502</v>
      </c>
    </row>
    <row r="335" ht="14.25">
      <c r="A335" s="4" t="s">
        <v>2208</v>
      </c>
      <c r="B335" s="4" t="s">
        <v>4800</v>
      </c>
      <c r="C335" s="4" t="s">
        <v>426</v>
      </c>
      <c r="F335" s="4" t="s">
        <v>12504</v>
      </c>
      <c r="G335" s="4">
        <v>11</v>
      </c>
      <c r="H335" s="4" t="s">
        <v>12505</v>
      </c>
      <c r="I335" s="4" t="str">
        <f>IFERROR(__XLUDF.DUMMYFUNCTION("PROPER(REGEXREPLACE(G333,""[^A-Za-z]+ "",""""))"),"La Boutique Du Feu")</f>
        <v xml:space="preserve">La Boutique Du Feu</v>
      </c>
      <c r="J335" s="5" t="s">
        <v>12506</v>
      </c>
      <c r="K335" s="4" t="s">
        <v>243</v>
      </c>
      <c r="L335" s="4" t="s">
        <v>9864</v>
      </c>
      <c r="M335" s="4" t="s">
        <v>29</v>
      </c>
      <c r="N335" s="4" t="s">
        <v>9239</v>
      </c>
      <c r="O335" s="4" t="str">
        <f>IFERROR(__XLUDF.DUMMYFUNCTION("VLOOKUP(M333,IMPORTRANGE(""https://docs.google.com/spreadsheets/d/1opm6ZNvGZ7KditA9TuJwrZ25eFLfTNIkrNnY6mhV5Eg"",""list!A1:C115""),3,TRUE)"),"le secteur de la construction")</f>
        <v xml:space="preserve">le secteur de la construction</v>
      </c>
      <c r="P335" s="6"/>
      <c r="R335" s="4" t="s">
        <v>12507</v>
      </c>
      <c r="S335" s="4" t="s">
        <v>9864</v>
      </c>
      <c r="T335" s="4" t="s">
        <v>29</v>
      </c>
      <c r="U335" s="5" t="s">
        <v>12508</v>
      </c>
      <c r="V335" s="6"/>
      <c r="W335" s="6"/>
      <c r="X335" s="6"/>
      <c r="Y335" s="6"/>
      <c r="Z335" s="4" t="s">
        <v>12509</v>
      </c>
      <c r="AA335" s="6"/>
      <c r="AB335" s="5" t="s">
        <v>12510</v>
      </c>
    </row>
    <row r="336" ht="14.25">
      <c r="A336" s="4" t="s">
        <v>12512</v>
      </c>
      <c r="B336" s="4" t="s">
        <v>840</v>
      </c>
      <c r="C336" s="4" t="s">
        <v>62</v>
      </c>
      <c r="F336" s="4" t="s">
        <v>12513</v>
      </c>
      <c r="G336" s="4">
        <v>10</v>
      </c>
      <c r="H336" s="4" t="s">
        <v>12514</v>
      </c>
      <c r="I336" s="4" t="str">
        <f>IFERROR(__XLUDF.DUMMYFUNCTION("PROPER(REGEXREPLACE(G334,""[^A-Za-z]+ "",""""))"),"Grk")</f>
        <v>Grk</v>
      </c>
      <c r="J336" s="5" t="s">
        <v>12515</v>
      </c>
      <c r="K336" s="6"/>
      <c r="L336" s="6"/>
      <c r="M336" s="4" t="s">
        <v>29</v>
      </c>
      <c r="N336" s="4" t="s">
        <v>4067</v>
      </c>
      <c r="O336" s="4" t="str">
        <f>IFERROR(__XLUDF.DUMMYFUNCTION("VLOOKUP(M334,IMPORTRANGE(""https://docs.google.com/spreadsheets/d/1opm6ZNvGZ7KditA9TuJwrZ25eFLfTNIkrNnY6mhV5Eg"",""list!A1:C115""),3,TRUE)"),"le secteur du conseil en management")</f>
        <v xml:space="preserve">le secteur du conseil en management</v>
      </c>
      <c r="P336" s="4" t="s">
        <v>12516</v>
      </c>
      <c r="R336" s="4" t="s">
        <v>295</v>
      </c>
      <c r="S336" s="4" t="s">
        <v>9251</v>
      </c>
      <c r="T336" s="4" t="s">
        <v>29</v>
      </c>
      <c r="U336" s="5" t="s">
        <v>12517</v>
      </c>
      <c r="V336" s="6"/>
      <c r="W336" s="6"/>
      <c r="X336" s="6"/>
      <c r="Y336" s="6"/>
      <c r="Z336" s="4" t="s">
        <v>12518</v>
      </c>
      <c r="AA336" s="6"/>
      <c r="AB336" s="5" t="s">
        <v>12519</v>
      </c>
    </row>
    <row r="337" ht="14.25">
      <c r="A337" s="4" t="s">
        <v>12521</v>
      </c>
      <c r="B337" s="4" t="s">
        <v>355</v>
      </c>
      <c r="C337" s="4" t="s">
        <v>7185</v>
      </c>
      <c r="F337" s="4" t="s">
        <v>12522</v>
      </c>
      <c r="G337" s="4">
        <v>19</v>
      </c>
      <c r="H337" s="4" t="s">
        <v>12523</v>
      </c>
      <c r="I337" s="4" t="str">
        <f>IFERROR(__XLUDF.DUMMYFUNCTION("PROPER(REGEXREPLACE(G335,""[^A-Za-z]+ "",""""))"),"Tecb")</f>
        <v>Tecb</v>
      </c>
      <c r="J337" s="5" t="s">
        <v>12524</v>
      </c>
      <c r="K337" s="4" t="s">
        <v>846</v>
      </c>
      <c r="L337" s="4" t="s">
        <v>9281</v>
      </c>
      <c r="M337" s="4" t="s">
        <v>29</v>
      </c>
      <c r="N337" s="4" t="s">
        <v>2602</v>
      </c>
      <c r="O337" s="4" t="str">
        <f>IFERROR(__XLUDF.DUMMYFUNCTION("VLOOKUP(M335,IMPORTRANGE(""https://docs.google.com/spreadsheets/d/1opm6ZNvGZ7KditA9TuJwrZ25eFLfTNIkrNnY6mhV5Eg"",""list!A1:C115""),3,TRUE)"),"le secteur de la tech")</f>
        <v xml:space="preserve">le secteur de la tech</v>
      </c>
      <c r="P337" s="6"/>
      <c r="R337" s="4" t="s">
        <v>846</v>
      </c>
      <c r="S337" s="4" t="s">
        <v>9281</v>
      </c>
      <c r="T337" s="4" t="s">
        <v>29</v>
      </c>
      <c r="U337" s="5" t="s">
        <v>12525</v>
      </c>
      <c r="V337" s="6"/>
      <c r="W337" s="5" t="s">
        <v>12526</v>
      </c>
      <c r="X337" s="6"/>
      <c r="Y337" s="6"/>
      <c r="Z337" s="4" t="s">
        <v>12527</v>
      </c>
      <c r="AA337" s="6"/>
      <c r="AB337" s="5" t="s">
        <v>12528</v>
      </c>
    </row>
    <row r="338" ht="14.25">
      <c r="A338" s="4" t="s">
        <v>12530</v>
      </c>
      <c r="B338" s="4" t="s">
        <v>840</v>
      </c>
      <c r="C338" s="4" t="s">
        <v>281</v>
      </c>
      <c r="F338" s="4" t="s">
        <v>12531</v>
      </c>
      <c r="G338" s="4">
        <v>15</v>
      </c>
      <c r="H338" s="4" t="s">
        <v>12532</v>
      </c>
      <c r="I338" s="4" t="str">
        <f>IFERROR(__XLUDF.DUMMYFUNCTION("PROPER(REGEXREPLACE(G336,""[^A-Za-z]+ "",""""))"),"Melis Technology")</f>
        <v xml:space="preserve">Melis Technology</v>
      </c>
      <c r="J338" s="5" t="s">
        <v>12533</v>
      </c>
      <c r="K338" s="6"/>
      <c r="L338" s="6"/>
      <c r="M338" s="4" t="s">
        <v>29</v>
      </c>
      <c r="N338" s="4" t="s">
        <v>2602</v>
      </c>
      <c r="O338" s="4" t="str">
        <f>IFERROR(__XLUDF.DUMMYFUNCTION("VLOOKUP(M336,IMPORTRANGE(""https://docs.google.com/spreadsheets/d/1opm6ZNvGZ7KditA9TuJwrZ25eFLfTNIkrNnY6mhV5Eg"",""list!A1:C115""),3,TRUE)"),"le secteur de la tech")</f>
        <v xml:space="preserve">le secteur de la tech</v>
      </c>
      <c r="P338" s="4" t="s">
        <v>12534</v>
      </c>
      <c r="R338" s="4" t="s">
        <v>39</v>
      </c>
      <c r="S338" s="4" t="s">
        <v>9160</v>
      </c>
      <c r="T338" s="4" t="s">
        <v>29</v>
      </c>
      <c r="U338" s="5" t="s">
        <v>12535</v>
      </c>
      <c r="V338" s="5" t="s">
        <v>12536</v>
      </c>
      <c r="W338" s="5" t="s">
        <v>12537</v>
      </c>
      <c r="X338" s="6"/>
      <c r="Y338" s="6"/>
      <c r="Z338" s="4" t="s">
        <v>12538</v>
      </c>
      <c r="AA338" s="6"/>
      <c r="AB338" s="5" t="s">
        <v>12539</v>
      </c>
    </row>
    <row r="339" ht="14.25">
      <c r="A339" s="4" t="s">
        <v>12541</v>
      </c>
      <c r="B339" s="4" t="s">
        <v>1853</v>
      </c>
      <c r="C339" s="4" t="s">
        <v>7759</v>
      </c>
      <c r="F339" s="4" t="s">
        <v>12542</v>
      </c>
      <c r="G339" s="4">
        <v>40</v>
      </c>
      <c r="H339" s="4" t="s">
        <v>12543</v>
      </c>
      <c r="I339" s="4" t="str">
        <f>IFERROR(__XLUDF.DUMMYFUNCTION("PROPER(REGEXREPLACE(G337,""[^A-Za-z]+ "",""""))"),"Glinche Automobiles")</f>
        <v xml:space="preserve">Glinche Automobiles</v>
      </c>
      <c r="J339" s="5" t="s">
        <v>12544</v>
      </c>
      <c r="K339" s="4" t="s">
        <v>2650</v>
      </c>
      <c r="L339" s="4" t="s">
        <v>9350</v>
      </c>
      <c r="M339" s="4" t="s">
        <v>29</v>
      </c>
      <c r="N339" s="4" t="s">
        <v>4525</v>
      </c>
      <c r="O339" s="4" t="str">
        <f>IFERROR(__XLUDF.DUMMYFUNCTION("VLOOKUP(M337,IMPORTRANGE(""https://docs.google.com/spreadsheets/d/1opm6ZNvGZ7KditA9TuJwrZ25eFLfTNIkrNnY6mhV5Eg"",""list!A1:C115""),3,TRUE)"),"le secteur du retail")</f>
        <v xml:space="preserve">le secteur du retail</v>
      </c>
      <c r="P339" s="4" t="s">
        <v>12545</v>
      </c>
      <c r="R339" s="4" t="s">
        <v>12546</v>
      </c>
      <c r="S339" s="4" t="s">
        <v>9350</v>
      </c>
      <c r="T339" s="4" t="s">
        <v>29</v>
      </c>
      <c r="U339" s="5" t="s">
        <v>12547</v>
      </c>
      <c r="V339" s="6"/>
      <c r="W339" s="6"/>
      <c r="X339" s="6"/>
      <c r="Y339" s="6"/>
      <c r="Z339" s="4" t="s">
        <v>12548</v>
      </c>
      <c r="AA339" s="6"/>
      <c r="AB339" s="5" t="s">
        <v>12549</v>
      </c>
    </row>
    <row r="340" ht="14.25">
      <c r="A340" s="4" t="s">
        <v>12551</v>
      </c>
      <c r="B340" s="4" t="s">
        <v>4800</v>
      </c>
      <c r="C340" s="4" t="s">
        <v>12553</v>
      </c>
      <c r="F340" s="4" t="s">
        <v>12552</v>
      </c>
      <c r="G340" s="4">
        <v>12</v>
      </c>
      <c r="H340" s="4" t="s">
        <v>12554</v>
      </c>
      <c r="I340" s="4" t="str">
        <f>IFERROR(__XLUDF.DUMMYFUNCTION("PROPER(REGEXREPLACE(G338,""[^A-Za-z]+ "",""""))"),"Adquat")</f>
        <v>Adquat</v>
      </c>
      <c r="J340" s="5" t="s">
        <v>12555</v>
      </c>
      <c r="K340" s="4" t="s">
        <v>12556</v>
      </c>
      <c r="L340" s="4" t="s">
        <v>9193</v>
      </c>
      <c r="M340" s="4" t="s">
        <v>29</v>
      </c>
      <c r="N340" s="4" t="s">
        <v>2602</v>
      </c>
      <c r="O340" s="4" t="str">
        <f>IFERROR(__XLUDF.DUMMYFUNCTION("VLOOKUP(M338,IMPORTRANGE(""https://docs.google.com/spreadsheets/d/1opm6ZNvGZ7KditA9TuJwrZ25eFLfTNIkrNnY6mhV5Eg"",""list!A1:C115""),3,TRUE)"),"le secteur de la tech")</f>
        <v xml:space="preserve">le secteur de la tech</v>
      </c>
      <c r="P340" s="4" t="s">
        <v>12557</v>
      </c>
      <c r="R340" s="4" t="s">
        <v>12556</v>
      </c>
      <c r="S340" s="4" t="s">
        <v>9172</v>
      </c>
      <c r="T340" s="4" t="s">
        <v>29</v>
      </c>
      <c r="U340" s="5" t="s">
        <v>12558</v>
      </c>
      <c r="V340" s="6"/>
      <c r="W340" s="5" t="s">
        <v>12559</v>
      </c>
      <c r="X340" s="6"/>
      <c r="Y340" s="6"/>
      <c r="Z340" s="4" t="s">
        <v>12560</v>
      </c>
      <c r="AA340" s="6"/>
      <c r="AB340" s="5" t="s">
        <v>12561</v>
      </c>
    </row>
    <row r="341" ht="14.25">
      <c r="A341" s="4" t="s">
        <v>12563</v>
      </c>
      <c r="B341" s="4" t="s">
        <v>2503</v>
      </c>
      <c r="C341" s="4" t="s">
        <v>12565</v>
      </c>
      <c r="F341" s="4" t="s">
        <v>12564</v>
      </c>
      <c r="G341" s="4">
        <v>18</v>
      </c>
      <c r="H341" s="4" t="s">
        <v>12566</v>
      </c>
      <c r="I341" s="4" t="str">
        <f>IFERROR(__XLUDF.DUMMYFUNCTION("PROPER(REGEXREPLACE(G339,""[^A-Za-z]+ "",""""))"),"Karma Partners")</f>
        <v xml:space="preserve">Karma Partners</v>
      </c>
      <c r="J341" s="5" t="s">
        <v>12567</v>
      </c>
      <c r="K341" s="4" t="s">
        <v>39</v>
      </c>
      <c r="L341" s="4" t="s">
        <v>9160</v>
      </c>
      <c r="M341" s="4" t="s">
        <v>29</v>
      </c>
      <c r="N341" s="4" t="s">
        <v>2602</v>
      </c>
      <c r="O341" s="4" t="str">
        <f>IFERROR(__XLUDF.DUMMYFUNCTION("VLOOKUP(M339,IMPORTRANGE(""https://docs.google.com/spreadsheets/d/1opm6ZNvGZ7KditA9TuJwrZ25eFLfTNIkrNnY6mhV5Eg"",""list!A1:C115""),3,TRUE)"),"le secteur de la tech")</f>
        <v xml:space="preserve">le secteur de la tech</v>
      </c>
      <c r="P341" s="4" t="s">
        <v>12568</v>
      </c>
      <c r="R341" s="4" t="s">
        <v>39</v>
      </c>
      <c r="S341" s="4" t="s">
        <v>9160</v>
      </c>
      <c r="T341" s="4" t="s">
        <v>29</v>
      </c>
      <c r="U341" s="5" t="s">
        <v>12569</v>
      </c>
      <c r="V341" s="6"/>
      <c r="W341" s="6"/>
      <c r="X341" s="6"/>
      <c r="Y341" s="6"/>
      <c r="Z341" s="4" t="s">
        <v>12570</v>
      </c>
      <c r="AA341" s="6"/>
      <c r="AB341" s="5" t="s">
        <v>12571</v>
      </c>
    </row>
    <row r="342" ht="14.25">
      <c r="A342" s="4" t="s">
        <v>12574</v>
      </c>
      <c r="B342" s="4" t="s">
        <v>12573</v>
      </c>
      <c r="C342" s="4" t="s">
        <v>12576</v>
      </c>
      <c r="F342" s="4" t="s">
        <v>12575</v>
      </c>
      <c r="G342" s="4">
        <v>23</v>
      </c>
      <c r="H342" s="4" t="s">
        <v>12577</v>
      </c>
      <c r="I342" s="4" t="str">
        <f>IFERROR(__XLUDF.DUMMYFUNCTION("PROPER(REGEXREPLACE(G340,""[^A-Za-z]+ "",""""))"),"Air Cloud")</f>
        <v xml:space="preserve">Air Cloud</v>
      </c>
      <c r="J342" s="5" t="s">
        <v>12578</v>
      </c>
      <c r="K342" s="4" t="s">
        <v>651</v>
      </c>
      <c r="L342" s="4" t="s">
        <v>9215</v>
      </c>
      <c r="M342" s="4" t="s">
        <v>29</v>
      </c>
      <c r="N342" s="4" t="s">
        <v>9461</v>
      </c>
      <c r="O342" s="4" t="str">
        <f>IFERROR(__XLUDF.DUMMYFUNCTION("VLOOKUP(M340,IMPORTRANGE(""https://docs.google.com/spreadsheets/d/1opm6ZNvGZ7KditA9TuJwrZ25eFLfTNIkrNnY6mhV5Eg"",""list!A1:C115""),3,TRUE)"),"le secteur des services d'information")</f>
        <v xml:space="preserve">le secteur des services d'information</v>
      </c>
      <c r="P342" s="4" t="s">
        <v>12579</v>
      </c>
      <c r="R342" s="4" t="s">
        <v>12580</v>
      </c>
      <c r="S342" s="4" t="s">
        <v>12581</v>
      </c>
      <c r="T342" s="4" t="s">
        <v>29</v>
      </c>
      <c r="U342" s="5" t="s">
        <v>12582</v>
      </c>
      <c r="V342" s="6"/>
      <c r="W342" s="6"/>
      <c r="X342" s="6"/>
      <c r="Y342" s="6"/>
      <c r="Z342" s="4" t="s">
        <v>12583</v>
      </c>
      <c r="AA342" s="6"/>
      <c r="AB342" s="5" t="s">
        <v>12584</v>
      </c>
    </row>
    <row r="343" ht="14.25">
      <c r="A343" s="4" t="s">
        <v>7121</v>
      </c>
      <c r="B343" s="4" t="s">
        <v>4800</v>
      </c>
      <c r="C343" s="4" t="s">
        <v>12587</v>
      </c>
      <c r="F343" s="4" t="s">
        <v>12586</v>
      </c>
      <c r="G343" s="4">
        <v>12</v>
      </c>
      <c r="H343" s="4" t="s">
        <v>12588</v>
      </c>
      <c r="I343" s="4" t="str">
        <f>IFERROR(__XLUDF.DUMMYFUNCTION("PROPER(REGEXREPLACE(G341,""[^A-Za-z]+ "",""""))"),"Cap Consulting")</f>
        <v xml:space="preserve">Cap Consulting</v>
      </c>
      <c r="J343" s="5" t="s">
        <v>12589</v>
      </c>
      <c r="K343" s="4" t="s">
        <v>185</v>
      </c>
      <c r="L343" s="4" t="s">
        <v>9193</v>
      </c>
      <c r="M343" s="4" t="s">
        <v>29</v>
      </c>
      <c r="N343" s="4" t="s">
        <v>2602</v>
      </c>
      <c r="O343" s="4" t="str">
        <f>IFERROR(__XLUDF.DUMMYFUNCTION("VLOOKUP(M341,IMPORTRANGE(""https://docs.google.com/spreadsheets/d/1opm6ZNvGZ7KditA9TuJwrZ25eFLfTNIkrNnY6mhV5Eg"",""list!A1:C115""),3,TRUE)"),"le secteur de la tech")</f>
        <v xml:space="preserve">le secteur de la tech</v>
      </c>
      <c r="P343" s="4" t="s">
        <v>12590</v>
      </c>
      <c r="R343" s="4" t="s">
        <v>185</v>
      </c>
      <c r="S343" s="4" t="s">
        <v>9193</v>
      </c>
      <c r="T343" s="4" t="s">
        <v>29</v>
      </c>
      <c r="U343" s="5" t="s">
        <v>12591</v>
      </c>
      <c r="V343" s="6"/>
      <c r="W343" s="5" t="s">
        <v>12592</v>
      </c>
      <c r="X343" s="6"/>
      <c r="Y343" s="6"/>
      <c r="Z343" s="4" t="s">
        <v>12593</v>
      </c>
      <c r="AA343" s="6"/>
      <c r="AB343" s="5" t="s">
        <v>12594</v>
      </c>
    </row>
    <row r="344" ht="14.25">
      <c r="A344" s="4" t="s">
        <v>12596</v>
      </c>
      <c r="B344" s="4" t="s">
        <v>355</v>
      </c>
      <c r="C344" s="4" t="s">
        <v>12598</v>
      </c>
      <c r="F344" s="4" t="s">
        <v>12597</v>
      </c>
      <c r="G344" s="4">
        <v>24</v>
      </c>
      <c r="H344" s="4" t="s">
        <v>12599</v>
      </c>
      <c r="I344" s="4" t="str">
        <f>IFERROR(__XLUDF.DUMMYFUNCTION("PROPER(REGEXREPLACE(G342,""[^A-Za-z]+ "",""""))"),"Sns Solutions")</f>
        <v xml:space="preserve">Sns Solutions</v>
      </c>
      <c r="J344" s="5" t="s">
        <v>12600</v>
      </c>
      <c r="K344" s="4" t="s">
        <v>12601</v>
      </c>
      <c r="L344" s="4" t="s">
        <v>10390</v>
      </c>
      <c r="M344" s="4" t="s">
        <v>29</v>
      </c>
      <c r="N344" s="4" t="s">
        <v>2602</v>
      </c>
      <c r="O344" s="4" t="str">
        <f>IFERROR(__XLUDF.DUMMYFUNCTION("VLOOKUP(M342,IMPORTRANGE(""https://docs.google.com/spreadsheets/d/1opm6ZNvGZ7KditA9TuJwrZ25eFLfTNIkrNnY6mhV5Eg"",""list!A1:C115""),3,TRUE)"),"le secteur de la tech")</f>
        <v xml:space="preserve">le secteur de la tech</v>
      </c>
      <c r="P344" s="4" t="s">
        <v>12602</v>
      </c>
      <c r="R344" s="4" t="s">
        <v>295</v>
      </c>
      <c r="S344" s="4" t="s">
        <v>9251</v>
      </c>
      <c r="T344" s="4" t="s">
        <v>29</v>
      </c>
      <c r="U344" s="5" t="s">
        <v>12603</v>
      </c>
      <c r="V344" s="5" t="s">
        <v>12604</v>
      </c>
      <c r="W344" s="5" t="s">
        <v>12605</v>
      </c>
      <c r="X344" s="6"/>
      <c r="Y344" s="6"/>
      <c r="Z344" s="4" t="s">
        <v>12606</v>
      </c>
      <c r="AA344" s="6"/>
      <c r="AB344" s="5" t="s">
        <v>12607</v>
      </c>
    </row>
    <row r="345" ht="14.25">
      <c r="A345" s="4" t="s">
        <v>12609</v>
      </c>
      <c r="B345" s="4" t="s">
        <v>525</v>
      </c>
      <c r="C345" s="4" t="s">
        <v>12611</v>
      </c>
      <c r="F345" s="4" t="s">
        <v>12610</v>
      </c>
      <c r="G345" s="4">
        <v>34</v>
      </c>
      <c r="H345" s="4" t="s">
        <v>12612</v>
      </c>
      <c r="I345" s="4" t="str">
        <f>IFERROR(__XLUDF.DUMMYFUNCTION("PROPER(REGEXREPLACE(G343,""[^A-Za-z]+ "",""""))"),"The Big Whale")</f>
        <v xml:space="preserve">The Big Whale</v>
      </c>
      <c r="J345" s="5" t="s">
        <v>12613</v>
      </c>
      <c r="K345" s="4" t="s">
        <v>39</v>
      </c>
      <c r="L345" s="4" t="s">
        <v>9160</v>
      </c>
      <c r="M345" s="4" t="s">
        <v>29</v>
      </c>
      <c r="N345" s="4" t="s">
        <v>9184</v>
      </c>
      <c r="O345" s="4" t="str">
        <f>IFERROR(__XLUDF.DUMMYFUNCTION("VLOOKUP(M343,IMPORTRANGE(""https://docs.google.com/spreadsheets/d/1opm6ZNvGZ7KditA9TuJwrZ25eFLfTNIkrNnY6mhV5Eg"",""list!A1:C115""),3,TRUE)"),"le secteur des télécommunications")</f>
        <v xml:space="preserve">le secteur des télécommunications</v>
      </c>
      <c r="P345" s="6"/>
      <c r="R345" s="4" t="s">
        <v>39</v>
      </c>
      <c r="S345" s="4" t="s">
        <v>9160</v>
      </c>
      <c r="T345" s="4" t="s">
        <v>29</v>
      </c>
      <c r="U345" s="5" t="s">
        <v>12614</v>
      </c>
      <c r="V345" s="6"/>
      <c r="W345" s="6"/>
      <c r="X345" s="6"/>
      <c r="Y345" s="6"/>
      <c r="Z345" s="4" t="s">
        <v>12615</v>
      </c>
      <c r="AA345" s="6"/>
      <c r="AB345" s="5" t="s">
        <v>12616</v>
      </c>
    </row>
    <row r="346" ht="14.25">
      <c r="A346" s="4" t="s">
        <v>12618</v>
      </c>
      <c r="B346" s="4" t="s">
        <v>525</v>
      </c>
      <c r="C346" s="4" t="s">
        <v>12620</v>
      </c>
      <c r="F346" s="4" t="s">
        <v>12619</v>
      </c>
      <c r="G346" s="4">
        <v>28</v>
      </c>
      <c r="H346" s="4" t="s">
        <v>12621</v>
      </c>
      <c r="I346" s="4" t="str">
        <f>IFERROR(__XLUDF.DUMMYFUNCTION("PROPER(REGEXREPLACE(G344,""[^A-Za-z]+ "",""""))"),"Express Luck Europe Electric.")</f>
        <v xml:space="preserve">Express Luck Europe Electric.</v>
      </c>
      <c r="J346" s="5" t="s">
        <v>12622</v>
      </c>
      <c r="K346" s="4" t="s">
        <v>83</v>
      </c>
      <c r="L346" s="4" t="s">
        <v>9460</v>
      </c>
      <c r="M346" s="4" t="s">
        <v>29</v>
      </c>
      <c r="N346" s="4" t="s">
        <v>10215</v>
      </c>
      <c r="O346" s="4" t="str">
        <f>IFERROR(__XLUDF.DUMMYFUNCTION("VLOOKUP(M344,IMPORTRANGE(""https://docs.google.com/spreadsheets/d/1opm6ZNvGZ7KditA9TuJwrZ25eFLfTNIkrNnY6mhV5Eg"",""list!A1:C115""),3,TRUE)"),"le secteur de l'électrique et électronique")</f>
        <v xml:space="preserve">le secteur de l'électrique et électronique</v>
      </c>
      <c r="P346" s="4" t="s">
        <v>12623</v>
      </c>
      <c r="R346" s="4" t="s">
        <v>12624</v>
      </c>
      <c r="S346" s="6"/>
      <c r="T346" s="4" t="s">
        <v>12625</v>
      </c>
      <c r="U346" s="5" t="s">
        <v>12626</v>
      </c>
      <c r="V346" s="6"/>
      <c r="W346" s="6"/>
      <c r="X346" s="6"/>
      <c r="Y346" s="6"/>
      <c r="Z346" s="4" t="s">
        <v>12627</v>
      </c>
      <c r="AA346" s="6"/>
      <c r="AB346" s="5" t="s">
        <v>12628</v>
      </c>
    </row>
    <row r="347" ht="14.25">
      <c r="A347" s="4" t="s">
        <v>12630</v>
      </c>
      <c r="B347" s="4" t="s">
        <v>525</v>
      </c>
      <c r="C347" s="4" t="s">
        <v>12632</v>
      </c>
      <c r="F347" s="4" t="s">
        <v>12631</v>
      </c>
      <c r="G347" s="4">
        <v>17</v>
      </c>
      <c r="H347" s="4" t="s">
        <v>12633</v>
      </c>
      <c r="I347" s="4" t="str">
        <f>IFERROR(__XLUDF.DUMMYFUNCTION("PROPER(REGEXREPLACE(G345,""[^A-Za-z]+ "",""""))"),"Rich-Id")</f>
        <v>Rich-Id</v>
      </c>
      <c r="J347" s="5" t="s">
        <v>12634</v>
      </c>
      <c r="K347" s="4" t="s">
        <v>39</v>
      </c>
      <c r="L347" s="4" t="s">
        <v>9160</v>
      </c>
      <c r="M347" s="4" t="s">
        <v>29</v>
      </c>
      <c r="N347" s="4" t="s">
        <v>2602</v>
      </c>
      <c r="O347" s="4" t="str">
        <f>IFERROR(__XLUDF.DUMMYFUNCTION("VLOOKUP(M345,IMPORTRANGE(""https://docs.google.com/spreadsheets/d/1opm6ZNvGZ7KditA9TuJwrZ25eFLfTNIkrNnY6mhV5Eg"",""list!A1:C115""),3,TRUE)"),"le secteur de la tech")</f>
        <v xml:space="preserve">le secteur de la tech</v>
      </c>
      <c r="P347" s="6"/>
      <c r="R347" s="4" t="s">
        <v>39</v>
      </c>
      <c r="S347" s="4" t="s">
        <v>9160</v>
      </c>
      <c r="T347" s="4" t="s">
        <v>29</v>
      </c>
      <c r="U347" s="5" t="s">
        <v>12635</v>
      </c>
      <c r="V347" s="6"/>
      <c r="W347" s="6"/>
      <c r="X347" s="6"/>
      <c r="Y347" s="6"/>
      <c r="Z347" s="4" t="s">
        <v>12636</v>
      </c>
      <c r="AA347" s="6"/>
      <c r="AB347" s="5" t="s">
        <v>12637</v>
      </c>
    </row>
    <row r="348" ht="14.25">
      <c r="A348" s="4" t="s">
        <v>12639</v>
      </c>
      <c r="B348" s="4" t="s">
        <v>2201</v>
      </c>
      <c r="C348" s="4" t="s">
        <v>2636</v>
      </c>
      <c r="F348" s="4" t="s">
        <v>12640</v>
      </c>
      <c r="G348" s="4">
        <v>13</v>
      </c>
      <c r="H348" s="4" t="s">
        <v>12641</v>
      </c>
      <c r="I348" s="4" t="str">
        <f>IFERROR(__XLUDF.DUMMYFUNCTION("PROPER(REGEXREPLACE(G346,""[^A-Za-z]+ "",""""))"),"Solone Engineering Solutions")</f>
        <v xml:space="preserve">Solone Engineering Solutions</v>
      </c>
      <c r="J348" s="5" t="s">
        <v>12642</v>
      </c>
      <c r="K348" s="4" t="s">
        <v>39</v>
      </c>
      <c r="L348" s="4" t="s">
        <v>9160</v>
      </c>
      <c r="M348" s="4" t="s">
        <v>29</v>
      </c>
      <c r="N348" s="4" t="s">
        <v>4067</v>
      </c>
      <c r="O348" s="4" t="str">
        <f>IFERROR(__XLUDF.DUMMYFUNCTION("VLOOKUP(M346,IMPORTRANGE(""https://docs.google.com/spreadsheets/d/1opm6ZNvGZ7KditA9TuJwrZ25eFLfTNIkrNnY6mhV5Eg"",""list!A1:C115""),3,TRUE)"),"le secteur du conseil en management")</f>
        <v xml:space="preserve">le secteur du conseil en management</v>
      </c>
      <c r="P348" s="4" t="s">
        <v>12643</v>
      </c>
      <c r="R348" s="4" t="s">
        <v>39</v>
      </c>
      <c r="S348" s="4" t="s">
        <v>9160</v>
      </c>
      <c r="T348" s="4" t="s">
        <v>29</v>
      </c>
      <c r="U348" s="5" t="s">
        <v>12644</v>
      </c>
      <c r="V348" s="6"/>
      <c r="W348" s="6"/>
      <c r="X348" s="6"/>
      <c r="Y348" s="6"/>
      <c r="Z348" s="4" t="s">
        <v>12645</v>
      </c>
      <c r="AA348" s="6"/>
      <c r="AB348" s="5" t="s">
        <v>12646</v>
      </c>
    </row>
    <row r="349" ht="14.25">
      <c r="A349" s="4" t="s">
        <v>12649</v>
      </c>
      <c r="B349" s="4" t="s">
        <v>12648</v>
      </c>
      <c r="C349" s="4" t="s">
        <v>112</v>
      </c>
      <c r="F349" s="4" t="s">
        <v>12650</v>
      </c>
      <c r="G349" s="4">
        <v>35</v>
      </c>
      <c r="H349" s="4" t="s">
        <v>12651</v>
      </c>
      <c r="I349" s="4" t="str">
        <f>IFERROR(__XLUDF.DUMMYFUNCTION("PROPER(REGEXREPLACE(G347,""[^A-Za-z]+ "",""""))"),"Aei")</f>
        <v>Aei</v>
      </c>
      <c r="J349" s="5" t="s">
        <v>12652</v>
      </c>
      <c r="K349" s="4" t="s">
        <v>243</v>
      </c>
      <c r="L349" s="4" t="s">
        <v>9864</v>
      </c>
      <c r="M349" s="4" t="s">
        <v>29</v>
      </c>
      <c r="N349" s="4" t="s">
        <v>2602</v>
      </c>
      <c r="O349" s="4" t="str">
        <f>IFERROR(__XLUDF.DUMMYFUNCTION("VLOOKUP(M347,IMPORTRANGE(""https://docs.google.com/spreadsheets/d/1opm6ZNvGZ7KditA9TuJwrZ25eFLfTNIkrNnY6mhV5Eg"",""list!A1:C115""),3,TRUE)"),"le secteur de la tech")</f>
        <v xml:space="preserve">le secteur de la tech</v>
      </c>
      <c r="P349" s="4" t="s">
        <v>12653</v>
      </c>
      <c r="R349" s="4" t="s">
        <v>12601</v>
      </c>
      <c r="S349" s="4" t="s">
        <v>9864</v>
      </c>
      <c r="T349" s="4" t="s">
        <v>29</v>
      </c>
      <c r="U349" s="5" t="s">
        <v>12654</v>
      </c>
      <c r="V349" s="6"/>
      <c r="W349" s="6"/>
      <c r="X349" s="6"/>
      <c r="Y349" s="6"/>
      <c r="Z349" s="4" t="s">
        <v>12655</v>
      </c>
      <c r="AA349" s="6"/>
      <c r="AB349" s="5" t="s">
        <v>12656</v>
      </c>
    </row>
    <row r="350" ht="14.25">
      <c r="A350" s="4" t="s">
        <v>12658</v>
      </c>
      <c r="B350" s="4" t="s">
        <v>355</v>
      </c>
      <c r="C350" s="4" t="s">
        <v>112</v>
      </c>
      <c r="F350" s="4" t="s">
        <v>12659</v>
      </c>
      <c r="G350" s="4">
        <v>13</v>
      </c>
      <c r="H350" s="4" t="s">
        <v>12660</v>
      </c>
      <c r="I350" s="4" t="str">
        <f>IFERROR(__XLUDF.DUMMYFUNCTION("PROPER(REGEXREPLACE(G348,""[^A-Za-z]+ "",""""))"),"Eurisol Constructions Frigorifiques")</f>
        <v xml:space="preserve">Eurisol Constructions Frigorifiques</v>
      </c>
      <c r="J350" s="5" t="s">
        <v>12661</v>
      </c>
      <c r="K350" s="4" t="s">
        <v>3666</v>
      </c>
      <c r="L350" s="4" t="s">
        <v>9281</v>
      </c>
      <c r="M350" s="4" t="s">
        <v>29</v>
      </c>
      <c r="N350" s="4" t="s">
        <v>9239</v>
      </c>
      <c r="O350" s="4" t="str">
        <f>IFERROR(__XLUDF.DUMMYFUNCTION("VLOOKUP(M348,IMPORTRANGE(""https://docs.google.com/spreadsheets/d/1opm6ZNvGZ7KditA9TuJwrZ25eFLfTNIkrNnY6mhV5Eg"",""list!A1:C115""),3,TRUE)"),"le secteur de la construction")</f>
        <v xml:space="preserve">le secteur de la construction</v>
      </c>
      <c r="P350" s="4" t="s">
        <v>12662</v>
      </c>
      <c r="R350" s="4" t="s">
        <v>3666</v>
      </c>
      <c r="S350" s="4" t="s">
        <v>9281</v>
      </c>
      <c r="T350" s="4" t="s">
        <v>29</v>
      </c>
      <c r="U350" s="5" t="s">
        <v>12663</v>
      </c>
      <c r="V350" s="6"/>
      <c r="W350" s="6"/>
      <c r="X350" s="6"/>
      <c r="Y350" s="6"/>
      <c r="Z350" s="4" t="s">
        <v>12664</v>
      </c>
      <c r="AA350" s="6"/>
      <c r="AB350" s="5" t="s">
        <v>12665</v>
      </c>
    </row>
    <row r="351" ht="14.25">
      <c r="A351" s="4" t="s">
        <v>10421</v>
      </c>
      <c r="B351" s="4" t="s">
        <v>355</v>
      </c>
      <c r="C351" s="4" t="s">
        <v>12668</v>
      </c>
      <c r="F351" s="4" t="s">
        <v>12667</v>
      </c>
      <c r="G351" s="4">
        <v>10</v>
      </c>
      <c r="H351" s="4" t="s">
        <v>10424</v>
      </c>
      <c r="I351" s="4" t="str">
        <f>IFERROR(__XLUDF.DUMMYFUNCTION("PROPER(REGEXREPLACE(G349,""[^A-Za-z]+ "",""""))"),"Groupe Bardec")</f>
        <v xml:space="preserve">Groupe Bardec</v>
      </c>
      <c r="J351" s="6"/>
      <c r="K351" s="4" t="s">
        <v>12669</v>
      </c>
      <c r="L351" s="4" t="s">
        <v>10736</v>
      </c>
      <c r="M351" s="4" t="s">
        <v>29</v>
      </c>
      <c r="N351" s="4" t="s">
        <v>9239</v>
      </c>
      <c r="O351" s="4" t="str">
        <f>IFERROR(__XLUDF.DUMMYFUNCTION("VLOOKUP(M349,IMPORTRANGE(""https://docs.google.com/spreadsheets/d/1opm6ZNvGZ7KditA9TuJwrZ25eFLfTNIkrNnY6mhV5Eg"",""list!A1:C115""),3,TRUE)"),"le secteur de la construction")</f>
        <v xml:space="preserve">le secteur de la construction</v>
      </c>
      <c r="P351" s="4" t="s">
        <v>10425</v>
      </c>
      <c r="R351" s="4" t="s">
        <v>7531</v>
      </c>
      <c r="S351" s="4" t="s">
        <v>9798</v>
      </c>
      <c r="T351" s="4" t="s">
        <v>29</v>
      </c>
      <c r="U351" s="5" t="s">
        <v>10426</v>
      </c>
      <c r="V351" s="6"/>
      <c r="W351" s="6"/>
      <c r="X351" s="6"/>
      <c r="Y351" s="6"/>
      <c r="Z351" s="4" t="s">
        <v>10427</v>
      </c>
      <c r="AA351" s="6"/>
      <c r="AB351" s="5" t="s">
        <v>12670</v>
      </c>
    </row>
    <row r="352" ht="14.25">
      <c r="A352" s="4" t="s">
        <v>12672</v>
      </c>
      <c r="B352" s="4" t="s">
        <v>355</v>
      </c>
      <c r="C352" s="4" t="s">
        <v>112</v>
      </c>
      <c r="F352" s="4" t="s">
        <v>12673</v>
      </c>
      <c r="G352" s="4">
        <v>12</v>
      </c>
      <c r="H352" s="4" t="s">
        <v>12674</v>
      </c>
      <c r="I352" s="4" t="str">
        <f>IFERROR(__XLUDF.DUMMYFUNCTION("PROPER(REGEXREPLACE(G350,""[^A-Za-z]+ "",""""))"),"Bpr Security")</f>
        <v xml:space="preserve">Bpr Security</v>
      </c>
      <c r="J352" s="5" t="s">
        <v>12675</v>
      </c>
      <c r="K352" s="4" t="s">
        <v>185</v>
      </c>
      <c r="L352" s="4" t="s">
        <v>9193</v>
      </c>
      <c r="M352" s="4" t="s">
        <v>29</v>
      </c>
      <c r="N352" s="4" t="s">
        <v>4067</v>
      </c>
      <c r="O352" s="4" t="str">
        <f>IFERROR(__XLUDF.DUMMYFUNCTION("VLOOKUP(M350,IMPORTRANGE(""https://docs.google.com/spreadsheets/d/1opm6ZNvGZ7KditA9TuJwrZ25eFLfTNIkrNnY6mhV5Eg"",""list!A1:C115""),3,TRUE)"),"le secteur du conseil en management")</f>
        <v xml:space="preserve">le secteur du conseil en management</v>
      </c>
      <c r="P352" s="4" t="s">
        <v>12676</v>
      </c>
      <c r="R352" s="4" t="s">
        <v>185</v>
      </c>
      <c r="S352" s="4" t="s">
        <v>9172</v>
      </c>
      <c r="T352" s="4" t="s">
        <v>29</v>
      </c>
      <c r="U352" s="5" t="s">
        <v>12677</v>
      </c>
      <c r="V352" s="6"/>
      <c r="W352" s="6"/>
      <c r="X352" s="6"/>
      <c r="Y352" s="6"/>
      <c r="Z352" s="4" t="s">
        <v>12678</v>
      </c>
      <c r="AA352" s="6"/>
      <c r="AB352" s="5" t="s">
        <v>12679</v>
      </c>
    </row>
    <row r="353" ht="14.25">
      <c r="A353" s="4" t="s">
        <v>12681</v>
      </c>
      <c r="B353" s="4" t="s">
        <v>355</v>
      </c>
      <c r="C353" s="4" t="s">
        <v>12683</v>
      </c>
      <c r="F353" s="4" t="s">
        <v>12682</v>
      </c>
      <c r="G353" s="4">
        <v>42</v>
      </c>
      <c r="H353" s="4" t="s">
        <v>12684</v>
      </c>
      <c r="I353" s="4" t="str">
        <f>IFERROR(__XLUDF.DUMMYFUNCTION("PROPER(REGEXREPLACE(G351,""[^A-Za-z]+ "",""""))"),"Inov Team")</f>
        <v xml:space="preserve">Inov Team</v>
      </c>
      <c r="J353" s="5" t="s">
        <v>12685</v>
      </c>
      <c r="K353" s="4" t="s">
        <v>49</v>
      </c>
      <c r="L353" s="4" t="s">
        <v>9251</v>
      </c>
      <c r="M353" s="4" t="s">
        <v>29</v>
      </c>
      <c r="N353" s="4" t="s">
        <v>2602</v>
      </c>
      <c r="O353" s="4" t="str">
        <f>IFERROR(__XLUDF.DUMMYFUNCTION("VLOOKUP(M351,IMPORTRANGE(""https://docs.google.com/spreadsheets/d/1opm6ZNvGZ7KditA9TuJwrZ25eFLfTNIkrNnY6mhV5Eg"",""list!A1:C115""),3,TRUE)"),"le secteur de la tech")</f>
        <v xml:space="preserve">le secteur de la tech</v>
      </c>
      <c r="P353" s="4" t="s">
        <v>12686</v>
      </c>
      <c r="R353" s="4" t="s">
        <v>12687</v>
      </c>
      <c r="S353" s="4" t="s">
        <v>9251</v>
      </c>
      <c r="T353" s="4" t="s">
        <v>29</v>
      </c>
      <c r="U353" s="5" t="s">
        <v>12688</v>
      </c>
      <c r="V353" s="6"/>
      <c r="W353" s="6"/>
      <c r="X353" s="6"/>
      <c r="Y353" s="6"/>
      <c r="Z353" s="4" t="s">
        <v>12689</v>
      </c>
      <c r="AA353" s="6"/>
      <c r="AB353" s="5" t="s">
        <v>12690</v>
      </c>
    </row>
    <row r="354" ht="14.25">
      <c r="A354" s="4" t="s">
        <v>12692</v>
      </c>
      <c r="B354" s="4" t="s">
        <v>355</v>
      </c>
      <c r="C354" s="4" t="s">
        <v>9849</v>
      </c>
      <c r="F354" s="4" t="s">
        <v>12693</v>
      </c>
      <c r="G354" s="4">
        <v>21</v>
      </c>
      <c r="H354" s="4" t="s">
        <v>10176</v>
      </c>
      <c r="I354" s="4" t="str">
        <f>IFERROR(__XLUDF.DUMMYFUNCTION("PROPER(REGEXREPLACE(G352,""[^A-Za-z]+ "",""""))"),"Dc Pilot France")</f>
        <v xml:space="preserve">Dc Pilot France</v>
      </c>
      <c r="J354" s="5" t="s">
        <v>10177</v>
      </c>
      <c r="K354" s="4" t="s">
        <v>2499</v>
      </c>
      <c r="L354" s="4" t="s">
        <v>9251</v>
      </c>
      <c r="M354" s="4" t="s">
        <v>29</v>
      </c>
      <c r="N354" s="4" t="s">
        <v>4067</v>
      </c>
      <c r="O354" s="4" t="str">
        <f>IFERROR(__XLUDF.DUMMYFUNCTION("VLOOKUP(M352,IMPORTRANGE(""https://docs.google.com/spreadsheets/d/1opm6ZNvGZ7KditA9TuJwrZ25eFLfTNIkrNnY6mhV5Eg"",""list!A1:C115""),3,TRUE)"),"le secteur du conseil en management")</f>
        <v xml:space="preserve">le secteur du conseil en management</v>
      </c>
      <c r="P354" s="4" t="s">
        <v>10179</v>
      </c>
      <c r="R354" s="4" t="s">
        <v>651</v>
      </c>
      <c r="S354" s="4" t="s">
        <v>9215</v>
      </c>
      <c r="T354" s="4" t="s">
        <v>29</v>
      </c>
      <c r="U354" s="5" t="s">
        <v>10180</v>
      </c>
      <c r="V354" s="5" t="s">
        <v>10181</v>
      </c>
      <c r="W354" s="5" t="s">
        <v>10182</v>
      </c>
      <c r="X354" s="6"/>
      <c r="Y354" s="6"/>
      <c r="Z354" s="4" t="s">
        <v>10183</v>
      </c>
      <c r="AA354" s="6"/>
      <c r="AB354" s="5" t="s">
        <v>12694</v>
      </c>
    </row>
    <row r="355" ht="14.25">
      <c r="A355" s="4" t="s">
        <v>12696</v>
      </c>
      <c r="B355" s="4" t="s">
        <v>355</v>
      </c>
      <c r="C355" s="4" t="s">
        <v>87</v>
      </c>
      <c r="F355" s="4" t="s">
        <v>12697</v>
      </c>
      <c r="G355" s="4">
        <v>12</v>
      </c>
      <c r="H355" s="4" t="s">
        <v>12698</v>
      </c>
      <c r="I355" s="4" t="str">
        <f>IFERROR(__XLUDF.DUMMYFUNCTION("PROPER(REGEXREPLACE(G353,""[^A-Za-z]+ "",""""))"),"Communication Qualité")</f>
        <v xml:space="preserve">Communication Qualité</v>
      </c>
      <c r="J355" s="5" t="s">
        <v>12699</v>
      </c>
      <c r="K355" s="6"/>
      <c r="L355" s="6"/>
      <c r="M355" s="4" t="s">
        <v>29</v>
      </c>
      <c r="N355" s="4" t="s">
        <v>5048</v>
      </c>
      <c r="O355" s="4" t="str">
        <f>IFERROR(__XLUDF.DUMMYFUNCTION("VLOOKUP(M353,IMPORTRANGE(""https://docs.google.com/spreadsheets/d/1opm6ZNvGZ7KditA9TuJwrZ25eFLfTNIkrNnY6mhV5Eg"",""list!A1:C115""),3,TRUE)"),"le secteur de la formation pro et du coaching")</f>
        <v xml:space="preserve">le secteur de la formation pro et du coaching</v>
      </c>
      <c r="P355" s="4" t="s">
        <v>12700</v>
      </c>
      <c r="R355" s="4" t="s">
        <v>39</v>
      </c>
      <c r="S355" s="4" t="s">
        <v>9160</v>
      </c>
      <c r="T355" s="4" t="s">
        <v>29</v>
      </c>
      <c r="U355" s="5" t="s">
        <v>12701</v>
      </c>
      <c r="V355" s="6"/>
      <c r="W355" s="6"/>
      <c r="X355" s="6"/>
      <c r="Y355" s="6"/>
      <c r="Z355" s="4" t="s">
        <v>12702</v>
      </c>
      <c r="AA355" s="6"/>
      <c r="AB355" s="5" t="s">
        <v>12703</v>
      </c>
    </row>
    <row r="356" ht="14.25">
      <c r="A356" s="4" t="s">
        <v>12705</v>
      </c>
      <c r="B356" s="4" t="s">
        <v>355</v>
      </c>
      <c r="C356" s="4" t="s">
        <v>1231</v>
      </c>
      <c r="F356" s="4" t="s">
        <v>12706</v>
      </c>
      <c r="G356" s="4">
        <v>15</v>
      </c>
      <c r="H356" s="4" t="s">
        <v>12707</v>
      </c>
      <c r="I356" s="4" t="str">
        <f>IFERROR(__XLUDF.DUMMYFUNCTION("PROPER(REGEXREPLACE(G354,""[^A-Za-z]+ "",""""))"),"Babbar.Tech")</f>
        <v>Babbar.Tech</v>
      </c>
      <c r="J356" s="4" t="s">
        <v>12708</v>
      </c>
      <c r="K356" s="4" t="s">
        <v>12709</v>
      </c>
      <c r="L356" s="4" t="s">
        <v>9160</v>
      </c>
      <c r="M356" s="4" t="s">
        <v>29</v>
      </c>
      <c r="N356" s="4" t="s">
        <v>2602</v>
      </c>
      <c r="O356" s="4" t="str">
        <f>IFERROR(__XLUDF.DUMMYFUNCTION("VLOOKUP(M354,IMPORTRANGE(""https://docs.google.com/spreadsheets/d/1opm6ZNvGZ7KditA9TuJwrZ25eFLfTNIkrNnY6mhV5Eg"",""list!A1:C115""),3,TRUE)"),"le secteur de la tech")</f>
        <v xml:space="preserve">le secteur de la tech</v>
      </c>
      <c r="P356" s="6"/>
      <c r="R356" s="4" t="s">
        <v>12710</v>
      </c>
      <c r="S356" s="4" t="s">
        <v>9226</v>
      </c>
      <c r="T356" s="4" t="s">
        <v>29</v>
      </c>
      <c r="U356" s="5" t="s">
        <v>12711</v>
      </c>
      <c r="V356" s="5" t="s">
        <v>12712</v>
      </c>
      <c r="W356" s="6"/>
      <c r="X356" s="6"/>
      <c r="Y356" s="6"/>
      <c r="Z356" s="4" t="s">
        <v>12713</v>
      </c>
      <c r="AA356" s="6"/>
      <c r="AB356" s="5" t="s">
        <v>12714</v>
      </c>
    </row>
    <row r="357" ht="14.25">
      <c r="A357" s="4" t="s">
        <v>12716</v>
      </c>
      <c r="B357" s="4" t="s">
        <v>355</v>
      </c>
      <c r="C357" s="4" t="s">
        <v>7759</v>
      </c>
      <c r="F357" s="4" t="s">
        <v>12717</v>
      </c>
      <c r="G357" s="4">
        <v>22</v>
      </c>
      <c r="H357" s="4" t="s">
        <v>12718</v>
      </c>
      <c r="I357" s="4" t="str">
        <f>IFERROR(__XLUDF.DUMMYFUNCTION("PROPER(REGEXREPLACE(G355,""[^A-Za-z]+ "",""""))"),"Amhappy")</f>
        <v>Amhappy</v>
      </c>
      <c r="J357" s="5" t="s">
        <v>12719</v>
      </c>
      <c r="K357" s="4" t="s">
        <v>9237</v>
      </c>
      <c r="L357" s="4" t="s">
        <v>9193</v>
      </c>
      <c r="M357" s="4" t="s">
        <v>29</v>
      </c>
      <c r="N357" s="4" t="s">
        <v>2602</v>
      </c>
      <c r="O357" s="4" t="str">
        <f>IFERROR(__XLUDF.DUMMYFUNCTION("VLOOKUP(M355,IMPORTRANGE(""https://docs.google.com/spreadsheets/d/1opm6ZNvGZ7KditA9TuJwrZ25eFLfTNIkrNnY6mhV5Eg"",""list!A1:C115""),3,TRUE)"),"le secteur de la tech")</f>
        <v xml:space="preserve">le secteur de la tech</v>
      </c>
      <c r="P357" s="4" t="s">
        <v>12720</v>
      </c>
      <c r="R357" s="4" t="s">
        <v>12721</v>
      </c>
      <c r="S357" s="4" t="s">
        <v>9226</v>
      </c>
      <c r="T357" s="4" t="s">
        <v>29</v>
      </c>
      <c r="U357" s="5" t="s">
        <v>12722</v>
      </c>
      <c r="V357" s="6"/>
      <c r="W357" s="5" t="s">
        <v>12723</v>
      </c>
      <c r="X357" s="6"/>
      <c r="Y357" s="6"/>
      <c r="Z357" s="4" t="s">
        <v>12724</v>
      </c>
      <c r="AA357" s="6"/>
      <c r="AB357" s="5" t="s">
        <v>12725</v>
      </c>
    </row>
    <row r="358" ht="14.25">
      <c r="A358" s="4" t="s">
        <v>12727</v>
      </c>
      <c r="B358" s="4" t="s">
        <v>355</v>
      </c>
      <c r="C358" s="4" t="s">
        <v>112</v>
      </c>
      <c r="F358" s="4" t="s">
        <v>12728</v>
      </c>
      <c r="G358" s="4">
        <v>11</v>
      </c>
      <c r="H358" s="4" t="s">
        <v>12729</v>
      </c>
      <c r="I358" s="4" t="str">
        <f>IFERROR(__XLUDF.DUMMYFUNCTION("PROPER(REGEXREPLACE(G356,""[^A-Za-z]+ "",""""))"),"Capeoni")</f>
        <v>Capeoni</v>
      </c>
      <c r="J358" s="5" t="s">
        <v>12730</v>
      </c>
      <c r="K358" s="4" t="s">
        <v>12731</v>
      </c>
      <c r="L358" s="4" t="s">
        <v>9281</v>
      </c>
      <c r="M358" s="4" t="s">
        <v>29</v>
      </c>
      <c r="N358" s="4" t="s">
        <v>2602</v>
      </c>
      <c r="O358" s="4" t="str">
        <f>IFERROR(__XLUDF.DUMMYFUNCTION("VLOOKUP(M356,IMPORTRANGE(""https://docs.google.com/spreadsheets/d/1opm6ZNvGZ7KditA9TuJwrZ25eFLfTNIkrNnY6mhV5Eg"",""list!A1:C115""),3,TRUE)"),"le secteur de la tech")</f>
        <v xml:space="preserve">le secteur de la tech</v>
      </c>
      <c r="P358" s="4" t="s">
        <v>12732</v>
      </c>
      <c r="R358" s="4" t="s">
        <v>12733</v>
      </c>
      <c r="S358" s="4" t="s">
        <v>9281</v>
      </c>
      <c r="T358" s="4" t="s">
        <v>29</v>
      </c>
      <c r="U358" s="5" t="s">
        <v>12734</v>
      </c>
      <c r="V358" s="6"/>
      <c r="W358" s="6"/>
      <c r="X358" s="6"/>
      <c r="Y358" s="6"/>
      <c r="Z358" s="4" t="s">
        <v>12735</v>
      </c>
      <c r="AA358" s="6"/>
      <c r="AB358" s="5" t="s">
        <v>12736</v>
      </c>
    </row>
    <row r="359" ht="14.25">
      <c r="A359" s="4" t="s">
        <v>12738</v>
      </c>
      <c r="B359" s="4" t="s">
        <v>355</v>
      </c>
      <c r="C359" s="4" t="s">
        <v>12740</v>
      </c>
      <c r="F359" s="4" t="s">
        <v>12739</v>
      </c>
      <c r="G359" s="4">
        <v>26</v>
      </c>
      <c r="H359" s="4" t="s">
        <v>12741</v>
      </c>
      <c r="I359" s="4" t="str">
        <f>IFERROR(__XLUDF.DUMMYFUNCTION("PROPER(REGEXREPLACE(G357,""[^A-Za-z]+ "",""""))"),"Fcinq")</f>
        <v>Fcinq</v>
      </c>
      <c r="J359" s="5" t="s">
        <v>12742</v>
      </c>
      <c r="K359" s="4" t="s">
        <v>39</v>
      </c>
      <c r="L359" s="4" t="s">
        <v>9160</v>
      </c>
      <c r="M359" s="4" t="s">
        <v>29</v>
      </c>
      <c r="N359" s="4" t="s">
        <v>9161</v>
      </c>
      <c r="O359" s="4" t="str">
        <f>IFERROR(__XLUDF.DUMMYFUNCTION("VLOOKUP(M357,IMPORTRANGE(""https://docs.google.com/spreadsheets/d/1opm6ZNvGZ7KditA9TuJwrZ25eFLfTNIkrNnY6mhV5Eg"",""list!A1:C115""),3,TRUE)"),"le secteur du marketing")</f>
        <v xml:space="preserve">le secteur du marketing</v>
      </c>
      <c r="P359" s="4" t="s">
        <v>12743</v>
      </c>
      <c r="R359" s="4" t="s">
        <v>39</v>
      </c>
      <c r="S359" s="4" t="s">
        <v>9160</v>
      </c>
      <c r="T359" s="4" t="s">
        <v>29</v>
      </c>
      <c r="U359" s="5" t="s">
        <v>12744</v>
      </c>
      <c r="V359" s="5" t="s">
        <v>12745</v>
      </c>
      <c r="W359" s="5" t="s">
        <v>12746</v>
      </c>
      <c r="X359" s="6"/>
      <c r="Y359" s="6"/>
      <c r="Z359" s="4" t="s">
        <v>12747</v>
      </c>
      <c r="AA359" s="6"/>
      <c r="AB359" s="5" t="s">
        <v>12748</v>
      </c>
    </row>
    <row r="360" ht="14.25">
      <c r="A360" s="4" t="s">
        <v>12750</v>
      </c>
      <c r="B360" s="4" t="s">
        <v>355</v>
      </c>
      <c r="C360" s="4" t="s">
        <v>12752</v>
      </c>
      <c r="F360" s="4" t="s">
        <v>12751</v>
      </c>
      <c r="G360" s="4">
        <v>25</v>
      </c>
      <c r="H360" s="4" t="s">
        <v>12753</v>
      </c>
      <c r="I360" s="4" t="str">
        <f>IFERROR(__XLUDF.DUMMYFUNCTION("PROPER(REGEXREPLACE(G358,""[^A-Za-z]+ "",""""))"),"Hypergrowth Partners")</f>
        <v xml:space="preserve">Hypergrowth Partners</v>
      </c>
      <c r="J360" s="5" t="s">
        <v>12754</v>
      </c>
      <c r="K360" s="6"/>
      <c r="L360" s="6"/>
      <c r="M360" s="4" t="s">
        <v>29</v>
      </c>
      <c r="N360" s="4" t="s">
        <v>9161</v>
      </c>
      <c r="O360" s="4" t="str">
        <f>IFERROR(__XLUDF.DUMMYFUNCTION("VLOOKUP(M358,IMPORTRANGE(""https://docs.google.com/spreadsheets/d/1opm6ZNvGZ7KditA9TuJwrZ25eFLfTNIkrNnY6mhV5Eg"",""list!A1:C115""),3,TRUE)"),"le secteur du marketing")</f>
        <v xml:space="preserve">le secteur du marketing</v>
      </c>
      <c r="P360" s="4" t="s">
        <v>12755</v>
      </c>
      <c r="R360" s="4" t="s">
        <v>12756</v>
      </c>
      <c r="S360" s="4" t="s">
        <v>12757</v>
      </c>
      <c r="T360" s="4" t="s">
        <v>1261</v>
      </c>
      <c r="U360" s="5" t="s">
        <v>12758</v>
      </c>
      <c r="V360" s="5" t="s">
        <v>12759</v>
      </c>
      <c r="W360" s="6"/>
      <c r="X360" s="5" t="s">
        <v>12760</v>
      </c>
      <c r="Y360" s="6"/>
      <c r="Z360" s="4" t="s">
        <v>12761</v>
      </c>
      <c r="AA360" s="6"/>
      <c r="AB360" s="5" t="s">
        <v>12762</v>
      </c>
    </row>
    <row r="361" ht="14.25">
      <c r="A361" s="4" t="s">
        <v>12764</v>
      </c>
      <c r="B361" s="4" t="s">
        <v>355</v>
      </c>
      <c r="C361" s="4" t="s">
        <v>7759</v>
      </c>
      <c r="F361" s="4" t="s">
        <v>12765</v>
      </c>
      <c r="G361" s="4">
        <v>13</v>
      </c>
      <c r="H361" s="4" t="s">
        <v>12766</v>
      </c>
      <c r="I361" s="4" t="str">
        <f>IFERROR(__XLUDF.DUMMYFUNCTION("PROPER(REGEXREPLACE(G359,""[^A-Za-z]+ "",""""))"),"Koban")</f>
        <v>Koban</v>
      </c>
      <c r="J361" s="4" t="s">
        <v>12767</v>
      </c>
      <c r="K361" s="4" t="s">
        <v>185</v>
      </c>
      <c r="L361" s="4" t="s">
        <v>9193</v>
      </c>
      <c r="M361" s="4" t="s">
        <v>29</v>
      </c>
      <c r="N361" s="4" t="s">
        <v>2602</v>
      </c>
      <c r="O361" s="4" t="str">
        <f>IFERROR(__XLUDF.DUMMYFUNCTION("VLOOKUP(M359,IMPORTRANGE(""https://docs.google.com/spreadsheets/d/1opm6ZNvGZ7KditA9TuJwrZ25eFLfTNIkrNnY6mhV5Eg"",""list!A1:C115""),3,TRUE)"),"le secteur de la tech")</f>
        <v xml:space="preserve">le secteur de la tech</v>
      </c>
      <c r="P361" s="4" t="s">
        <v>12768</v>
      </c>
      <c r="R361" s="4" t="s">
        <v>12769</v>
      </c>
      <c r="S361" s="4" t="s">
        <v>9193</v>
      </c>
      <c r="T361" s="4" t="s">
        <v>29</v>
      </c>
      <c r="U361" s="5" t="s">
        <v>12770</v>
      </c>
      <c r="V361" s="6"/>
      <c r="W361" s="6"/>
      <c r="X361" s="6"/>
      <c r="Y361" s="6"/>
      <c r="Z361" s="4" t="s">
        <v>12771</v>
      </c>
      <c r="AA361" s="6"/>
      <c r="AB361" s="5" t="s">
        <v>12772</v>
      </c>
    </row>
    <row r="362" ht="14.25">
      <c r="A362" s="4" t="s">
        <v>12774</v>
      </c>
      <c r="B362" s="4" t="s">
        <v>355</v>
      </c>
      <c r="C362" s="4" t="s">
        <v>172</v>
      </c>
      <c r="F362" s="4" t="s">
        <v>12775</v>
      </c>
      <c r="G362" s="4">
        <v>12</v>
      </c>
      <c r="H362" s="4" t="s">
        <v>12776</v>
      </c>
      <c r="I362" s="4" t="str">
        <f>IFERROR(__XLUDF.DUMMYFUNCTION("PROPER(REGEXREPLACE(G360,""[^A-Za-z]+ "",""""))"),"Nuances")</f>
        <v>Nuances</v>
      </c>
      <c r="J362" s="5" t="s">
        <v>12777</v>
      </c>
      <c r="K362" s="4" t="s">
        <v>39</v>
      </c>
      <c r="L362" s="4" t="s">
        <v>9160</v>
      </c>
      <c r="M362" s="4" t="s">
        <v>29</v>
      </c>
      <c r="N362" s="4" t="s">
        <v>9161</v>
      </c>
      <c r="O362" s="4" t="str">
        <f>IFERROR(__XLUDF.DUMMYFUNCTION("VLOOKUP(M360,IMPORTRANGE(""https://docs.google.com/spreadsheets/d/1opm6ZNvGZ7KditA9TuJwrZ25eFLfTNIkrNnY6mhV5Eg"",""list!A1:C115""),3,TRUE)"),"le secteur du marketing")</f>
        <v xml:space="preserve">le secteur du marketing</v>
      </c>
      <c r="P362" s="4" t="s">
        <v>12778</v>
      </c>
      <c r="R362" s="4" t="s">
        <v>12779</v>
      </c>
      <c r="S362" s="4" t="s">
        <v>9160</v>
      </c>
      <c r="T362" s="4" t="s">
        <v>29</v>
      </c>
      <c r="U362" s="5" t="s">
        <v>12780</v>
      </c>
      <c r="V362" s="6"/>
      <c r="W362" s="6"/>
      <c r="X362" s="6"/>
      <c r="Y362" s="6"/>
      <c r="Z362" s="4" t="s">
        <v>12781</v>
      </c>
      <c r="AA362" s="6"/>
      <c r="AB362" s="5" t="s">
        <v>12782</v>
      </c>
    </row>
    <row r="363" ht="14.25">
      <c r="A363" s="4" t="s">
        <v>12784</v>
      </c>
      <c r="B363" s="4" t="s">
        <v>355</v>
      </c>
      <c r="C363" s="4" t="s">
        <v>1231</v>
      </c>
      <c r="F363" s="4" t="s">
        <v>12785</v>
      </c>
      <c r="G363" s="4">
        <v>18</v>
      </c>
      <c r="H363" s="4" t="s">
        <v>11723</v>
      </c>
      <c r="I363" s="4" t="str">
        <f>IFERROR(__XLUDF.DUMMYFUNCTION("PROPER(REGEXREPLACE(G361,""[^A-Za-z]+ "",""""))"),"Regata")</f>
        <v>Regata</v>
      </c>
      <c r="J363" s="5" t="s">
        <v>11724</v>
      </c>
      <c r="K363" s="4" t="s">
        <v>1711</v>
      </c>
      <c r="L363" s="4" t="s">
        <v>9350</v>
      </c>
      <c r="M363" s="4" t="s">
        <v>29</v>
      </c>
      <c r="N363" s="4" t="s">
        <v>2602</v>
      </c>
      <c r="O363" s="4" t="str">
        <f>IFERROR(__XLUDF.DUMMYFUNCTION("VLOOKUP(M361,IMPORTRANGE(""https://docs.google.com/spreadsheets/d/1opm6ZNvGZ7KditA9TuJwrZ25eFLfTNIkrNnY6mhV5Eg"",""list!A1:C115""),3,TRUE)"),"le secteur de la tech")</f>
        <v xml:space="preserve">le secteur de la tech</v>
      </c>
      <c r="P363" s="4" t="s">
        <v>11725</v>
      </c>
      <c r="R363" s="4" t="s">
        <v>1711</v>
      </c>
      <c r="S363" s="4" t="s">
        <v>9350</v>
      </c>
      <c r="T363" s="4" t="s">
        <v>29</v>
      </c>
      <c r="U363" s="5" t="s">
        <v>11726</v>
      </c>
      <c r="V363" s="6"/>
      <c r="W363" s="5" t="s">
        <v>11727</v>
      </c>
      <c r="X363" s="6"/>
      <c r="Y363" s="6"/>
      <c r="Z363" s="4" t="s">
        <v>11728</v>
      </c>
      <c r="AA363" s="6"/>
      <c r="AB363" s="5" t="s">
        <v>12786</v>
      </c>
    </row>
    <row r="364" ht="14.25">
      <c r="A364" s="4" t="s">
        <v>12788</v>
      </c>
      <c r="B364" s="4" t="s">
        <v>2503</v>
      </c>
      <c r="C364" s="4" t="s">
        <v>12790</v>
      </c>
      <c r="F364" s="4" t="s">
        <v>12789</v>
      </c>
      <c r="G364" s="4">
        <v>13</v>
      </c>
      <c r="H364" s="4" t="s">
        <v>12791</v>
      </c>
      <c r="I364" s="4" t="str">
        <f>IFERROR(__XLUDF.DUMMYFUNCTION("PROPER(REGEXREPLACE(G362,""[^A-Za-z]+ "",""""))"),"Altivec")</f>
        <v>Altivec</v>
      </c>
      <c r="J364" s="5" t="s">
        <v>12792</v>
      </c>
      <c r="K364" s="4" t="s">
        <v>2903</v>
      </c>
      <c r="L364" s="4" t="s">
        <v>9193</v>
      </c>
      <c r="M364" s="4" t="s">
        <v>29</v>
      </c>
      <c r="N364" s="4" t="s">
        <v>9239</v>
      </c>
      <c r="O364" s="4" t="str">
        <f>IFERROR(__XLUDF.DUMMYFUNCTION("VLOOKUP(M362,IMPORTRANGE(""https://docs.google.com/spreadsheets/d/1opm6ZNvGZ7KditA9TuJwrZ25eFLfTNIkrNnY6mhV5Eg"",""list!A1:C115""),3,TRUE)"),"le secteur de la construction")</f>
        <v xml:space="preserve">le secteur de la construction</v>
      </c>
      <c r="P364" s="4" t="s">
        <v>12793</v>
      </c>
      <c r="R364" s="4" t="s">
        <v>12794</v>
      </c>
      <c r="S364" s="4" t="s">
        <v>9172</v>
      </c>
      <c r="T364" s="4" t="s">
        <v>29</v>
      </c>
      <c r="U364" s="5" t="s">
        <v>12795</v>
      </c>
      <c r="V364" s="5" t="s">
        <v>12796</v>
      </c>
      <c r="W364" s="5" t="s">
        <v>12797</v>
      </c>
      <c r="X364" s="6"/>
      <c r="Y364" s="6"/>
      <c r="Z364" s="4" t="s">
        <v>12798</v>
      </c>
      <c r="AA364" s="6"/>
      <c r="AB364" s="5" t="s">
        <v>12799</v>
      </c>
    </row>
    <row r="365" ht="14.25">
      <c r="A365" s="4" t="s">
        <v>12801</v>
      </c>
      <c r="B365" s="4" t="s">
        <v>4500</v>
      </c>
      <c r="C365" s="4" t="s">
        <v>1231</v>
      </c>
      <c r="F365" s="4" t="s">
        <v>12802</v>
      </c>
      <c r="G365" s="4">
        <v>11</v>
      </c>
      <c r="H365" s="4" t="s">
        <v>12803</v>
      </c>
      <c r="I365" s="4" t="str">
        <f>IFERROR(__XLUDF.DUMMYFUNCTION("PROPER(REGEXREPLACE(G363,""[^A-Za-z]+ "",""""))"),"Getwelcom")</f>
        <v>Getwelcom</v>
      </c>
      <c r="J365" s="5" t="s">
        <v>12804</v>
      </c>
      <c r="K365" s="4" t="s">
        <v>39</v>
      </c>
      <c r="L365" s="4" t="s">
        <v>9160</v>
      </c>
      <c r="M365" s="4" t="s">
        <v>29</v>
      </c>
      <c r="N365" s="4" t="s">
        <v>2602</v>
      </c>
      <c r="O365" s="4" t="str">
        <f>IFERROR(__XLUDF.DUMMYFUNCTION("VLOOKUP(M363,IMPORTRANGE(""https://docs.google.com/spreadsheets/d/1opm6ZNvGZ7KditA9TuJwrZ25eFLfTNIkrNnY6mhV5Eg"",""list!A1:C115""),3,TRUE)"),"le secteur de la tech")</f>
        <v xml:space="preserve">le secteur de la tech</v>
      </c>
      <c r="P365" s="4" t="s">
        <v>12805</v>
      </c>
      <c r="R365" s="4" t="s">
        <v>39</v>
      </c>
      <c r="S365" s="4" t="s">
        <v>9160</v>
      </c>
      <c r="T365" s="4" t="s">
        <v>29</v>
      </c>
      <c r="U365" s="5" t="s">
        <v>12806</v>
      </c>
      <c r="V365" s="6"/>
      <c r="W365" s="6"/>
      <c r="X365" s="6"/>
      <c r="Y365" s="6"/>
      <c r="Z365" s="4" t="s">
        <v>12807</v>
      </c>
      <c r="AA365" s="6"/>
      <c r="AB365" s="5" t="s">
        <v>12808</v>
      </c>
    </row>
    <row r="366" ht="14.25">
      <c r="A366" s="4" t="s">
        <v>10668</v>
      </c>
      <c r="B366" s="4" t="s">
        <v>1853</v>
      </c>
      <c r="C366" s="4" t="s">
        <v>12811</v>
      </c>
      <c r="F366" s="4" t="s">
        <v>12810</v>
      </c>
      <c r="G366" s="4">
        <v>23</v>
      </c>
      <c r="H366" s="4" t="s">
        <v>12812</v>
      </c>
      <c r="I366" s="4" t="str">
        <f>IFERROR(__XLUDF.DUMMYFUNCTION("PROPER(REGEXREPLACE(G364,""[^A-Za-z]+ "",""""))"),"Pôle Aquanova")</f>
        <v xml:space="preserve">Pôle Aquanova</v>
      </c>
      <c r="J366" s="5" t="s">
        <v>12813</v>
      </c>
      <c r="K366" s="6"/>
      <c r="L366" s="4" t="s">
        <v>9350</v>
      </c>
      <c r="M366" s="4" t="s">
        <v>29</v>
      </c>
      <c r="N366" s="4" t="s">
        <v>4067</v>
      </c>
      <c r="O366" s="4" t="str">
        <f>IFERROR(__XLUDF.DUMMYFUNCTION("VLOOKUP(M364,IMPORTRANGE(""https://docs.google.com/spreadsheets/d/1opm6ZNvGZ7KditA9TuJwrZ25eFLfTNIkrNnY6mhV5Eg"",""list!A1:C115""),3,TRUE)"),"le secteur du conseil en management")</f>
        <v xml:space="preserve">le secteur du conseil en management</v>
      </c>
      <c r="P366" s="4" t="s">
        <v>12814</v>
      </c>
      <c r="R366" s="4" t="s">
        <v>12815</v>
      </c>
      <c r="S366" s="4" t="s">
        <v>9215</v>
      </c>
      <c r="T366" s="4" t="s">
        <v>29</v>
      </c>
      <c r="U366" s="5" t="s">
        <v>12816</v>
      </c>
      <c r="V366" s="6"/>
      <c r="W366" s="6"/>
      <c r="X366" s="6"/>
      <c r="Y366" s="6"/>
      <c r="Z366" s="4" t="s">
        <v>12817</v>
      </c>
      <c r="AA366" s="6"/>
      <c r="AB366" s="5" t="s">
        <v>12818</v>
      </c>
    </row>
    <row r="367" ht="14.25">
      <c r="A367" s="4" t="s">
        <v>12820</v>
      </c>
      <c r="B367" s="4" t="s">
        <v>1853</v>
      </c>
      <c r="C367" s="4" t="s">
        <v>12822</v>
      </c>
      <c r="F367" s="4" t="s">
        <v>12821</v>
      </c>
      <c r="G367" s="4">
        <v>11</v>
      </c>
      <c r="H367" s="4" t="s">
        <v>12823</v>
      </c>
      <c r="I367" s="4" t="str">
        <f>IFERROR(__XLUDF.DUMMYFUNCTION("PROPER(REGEXREPLACE(G365,""[^A-Za-z]+ "",""""))"),"Asco-Ascenseurs")</f>
        <v>Asco-Ascenseurs</v>
      </c>
      <c r="J367" s="5" t="s">
        <v>12824</v>
      </c>
      <c r="K367" s="4" t="s">
        <v>12825</v>
      </c>
      <c r="L367" s="4" t="s">
        <v>9160</v>
      </c>
      <c r="M367" s="4" t="s">
        <v>29</v>
      </c>
      <c r="N367" s="4" t="s">
        <v>9239</v>
      </c>
      <c r="O367" s="4" t="str">
        <f>IFERROR(__XLUDF.DUMMYFUNCTION("VLOOKUP(M365,IMPORTRANGE(""https://docs.google.com/spreadsheets/d/1opm6ZNvGZ7KditA9TuJwrZ25eFLfTNIkrNnY6mhV5Eg"",""list!A1:C115""),3,TRUE)"),"le secteur de la construction")</f>
        <v xml:space="preserve">le secteur de la construction</v>
      </c>
      <c r="P367" s="4" t="s">
        <v>12826</v>
      </c>
      <c r="R367" s="4" t="s">
        <v>12825</v>
      </c>
      <c r="S367" s="4" t="s">
        <v>9160</v>
      </c>
      <c r="T367" s="4" t="s">
        <v>29</v>
      </c>
      <c r="U367" s="5" t="s">
        <v>12827</v>
      </c>
      <c r="V367" s="6"/>
      <c r="W367" s="6"/>
      <c r="X367" s="6"/>
      <c r="Y367" s="6"/>
      <c r="Z367" s="4" t="s">
        <v>12828</v>
      </c>
      <c r="AA367" s="6"/>
      <c r="AB367" s="5" t="s">
        <v>12829</v>
      </c>
    </row>
    <row r="368" ht="14.25">
      <c r="A368" s="4" t="s">
        <v>12831</v>
      </c>
      <c r="B368" s="4" t="s">
        <v>7714</v>
      </c>
      <c r="C368" s="4" t="s">
        <v>7759</v>
      </c>
      <c r="F368" s="4" t="s">
        <v>12832</v>
      </c>
      <c r="G368" s="4">
        <v>12</v>
      </c>
      <c r="H368" s="4" t="s">
        <v>12833</v>
      </c>
      <c r="I368" s="4" t="str">
        <f>IFERROR(__XLUDF.DUMMYFUNCTION("PROPER(REGEXREPLACE(G366,""[^A-Za-z]+ "",""""))"),"Ambois")</f>
        <v>Ambois</v>
      </c>
      <c r="J368" s="5" t="s">
        <v>12834</v>
      </c>
      <c r="K368" s="4" t="s">
        <v>12835</v>
      </c>
      <c r="L368" s="4" t="s">
        <v>9281</v>
      </c>
      <c r="M368" s="4" t="s">
        <v>29</v>
      </c>
      <c r="N368" s="4" t="s">
        <v>9239</v>
      </c>
      <c r="O368" s="4" t="str">
        <f>IFERROR(__XLUDF.DUMMYFUNCTION("VLOOKUP(M366,IMPORTRANGE(""https://docs.google.com/spreadsheets/d/1opm6ZNvGZ7KditA9TuJwrZ25eFLfTNIkrNnY6mhV5Eg"",""list!A1:C115""),3,TRUE)"),"le secteur de la construction")</f>
        <v xml:space="preserve">le secteur de la construction</v>
      </c>
      <c r="P368" s="4" t="s">
        <v>12836</v>
      </c>
      <c r="R368" s="4" t="s">
        <v>12837</v>
      </c>
      <c r="S368" s="4" t="s">
        <v>9281</v>
      </c>
      <c r="T368" s="4" t="s">
        <v>29</v>
      </c>
      <c r="U368" s="5" t="s">
        <v>12838</v>
      </c>
      <c r="V368" s="6"/>
      <c r="W368" s="6"/>
      <c r="X368" s="6"/>
      <c r="Y368" s="6"/>
      <c r="Z368" s="4" t="s">
        <v>12839</v>
      </c>
      <c r="AA368" s="6"/>
      <c r="AB368" s="5" t="s">
        <v>12840</v>
      </c>
    </row>
    <row r="369" ht="14.25">
      <c r="A369" s="4" t="s">
        <v>12842</v>
      </c>
      <c r="B369" s="4" t="s">
        <v>7714</v>
      </c>
      <c r="C369" s="4" t="s">
        <v>12844</v>
      </c>
      <c r="F369" s="4" t="s">
        <v>12843</v>
      </c>
      <c r="G369" s="4">
        <v>10</v>
      </c>
      <c r="H369" s="4" t="s">
        <v>12845</v>
      </c>
      <c r="I369" s="4" t="str">
        <f>IFERROR(__XLUDF.DUMMYFUNCTION("PROPER(REGEXREPLACE(G367,""[^A-Za-z]+ "",""""))"),"Ksi Partners")</f>
        <v xml:space="preserve">Ksi Partners</v>
      </c>
      <c r="J369" s="5" t="s">
        <v>12846</v>
      </c>
      <c r="K369" s="4" t="s">
        <v>39</v>
      </c>
      <c r="L369" s="4" t="s">
        <v>9160</v>
      </c>
      <c r="M369" s="4" t="s">
        <v>29</v>
      </c>
      <c r="N369" s="4" t="s">
        <v>4067</v>
      </c>
      <c r="O369" s="4" t="str">
        <f>IFERROR(__XLUDF.DUMMYFUNCTION("VLOOKUP(M367,IMPORTRANGE(""https://docs.google.com/spreadsheets/d/1opm6ZNvGZ7KditA9TuJwrZ25eFLfTNIkrNnY6mhV5Eg"",""list!A1:C115""),3,TRUE)"),"le secteur du conseil en management")</f>
        <v xml:space="preserve">le secteur du conseil en management</v>
      </c>
      <c r="P369" s="4" t="s">
        <v>12847</v>
      </c>
      <c r="R369" s="4" t="s">
        <v>39</v>
      </c>
      <c r="S369" s="4" t="s">
        <v>9160</v>
      </c>
      <c r="T369" s="4" t="s">
        <v>29</v>
      </c>
      <c r="U369" s="5" t="s">
        <v>12848</v>
      </c>
      <c r="V369" s="6"/>
      <c r="W369" s="6"/>
      <c r="X369" s="6"/>
      <c r="Y369" s="6"/>
      <c r="Z369" s="4" t="s">
        <v>12849</v>
      </c>
      <c r="AA369" s="6"/>
      <c r="AB369" s="5" t="s">
        <v>12850</v>
      </c>
    </row>
    <row r="370" ht="14.25">
      <c r="A370" s="4" t="s">
        <v>12852</v>
      </c>
      <c r="B370" s="4" t="s">
        <v>2436</v>
      </c>
      <c r="C370" s="4" t="s">
        <v>12854</v>
      </c>
      <c r="F370" s="4" t="s">
        <v>12853</v>
      </c>
      <c r="G370" s="4">
        <v>15</v>
      </c>
      <c r="H370" s="4" t="s">
        <v>12855</v>
      </c>
      <c r="I370" s="4" t="str">
        <f>IFERROR(__XLUDF.DUMMYFUNCTION("PROPER(REGEXREPLACE(G368,""[^A-Za-z]+ "",""""))"),"Vipros")</f>
        <v>Vipros</v>
      </c>
      <c r="J370" s="5" t="s">
        <v>12856</v>
      </c>
      <c r="K370" s="6"/>
      <c r="L370" s="6"/>
      <c r="M370" s="4" t="s">
        <v>29</v>
      </c>
      <c r="N370" s="4" t="s">
        <v>4067</v>
      </c>
      <c r="O370" s="4" t="str">
        <f>IFERROR(__XLUDF.DUMMYFUNCTION("VLOOKUP(M368,IMPORTRANGE(""https://docs.google.com/spreadsheets/d/1opm6ZNvGZ7KditA9TuJwrZ25eFLfTNIkrNnY6mhV5Eg"",""list!A1:C115""),3,TRUE)"),"le secteur du conseil en management")</f>
        <v xml:space="preserve">le secteur du conseil en management</v>
      </c>
      <c r="P370" s="4" t="s">
        <v>12857</v>
      </c>
      <c r="R370" s="4" t="s">
        <v>12058</v>
      </c>
      <c r="S370" s="4" t="s">
        <v>9215</v>
      </c>
      <c r="T370" s="4" t="s">
        <v>29</v>
      </c>
      <c r="U370" s="5" t="s">
        <v>12858</v>
      </c>
      <c r="V370" s="6"/>
      <c r="W370" s="6"/>
      <c r="X370" s="6"/>
      <c r="Y370" s="6"/>
      <c r="Z370" s="4" t="s">
        <v>12859</v>
      </c>
      <c r="AA370" s="6"/>
      <c r="AB370" s="5" t="s">
        <v>12860</v>
      </c>
    </row>
    <row r="371" ht="14.25">
      <c r="A371" s="4" t="s">
        <v>12862</v>
      </c>
      <c r="B371" s="4" t="s">
        <v>2436</v>
      </c>
      <c r="C371" s="4" t="s">
        <v>341</v>
      </c>
      <c r="F371" s="4" t="s">
        <v>12863</v>
      </c>
      <c r="G371" s="4">
        <v>11</v>
      </c>
      <c r="H371" s="4" t="s">
        <v>12864</v>
      </c>
      <c r="I371" s="4" t="str">
        <f>IFERROR(__XLUDF.DUMMYFUNCTION("PROPER(REGEXREPLACE(G369,""[^A-Za-z]+ "",""""))"),"Sas Itguard")</f>
        <v xml:space="preserve">Sas Itguard</v>
      </c>
      <c r="J371" s="5" t="s">
        <v>12865</v>
      </c>
      <c r="K371" s="4" t="s">
        <v>10141</v>
      </c>
      <c r="L371" s="4" t="s">
        <v>9160</v>
      </c>
      <c r="M371" s="4" t="s">
        <v>29</v>
      </c>
      <c r="N371" s="4" t="s">
        <v>2602</v>
      </c>
      <c r="O371" s="4" t="str">
        <f>IFERROR(__XLUDF.DUMMYFUNCTION("VLOOKUP(M369,IMPORTRANGE(""https://docs.google.com/spreadsheets/d/1opm6ZNvGZ7KditA9TuJwrZ25eFLfTNIkrNnY6mhV5Eg"",""list!A1:C115""),3,TRUE)"),"le secteur de la tech")</f>
        <v xml:space="preserve">le secteur de la tech</v>
      </c>
      <c r="P371" s="6"/>
      <c r="R371" s="4" t="s">
        <v>10141</v>
      </c>
      <c r="S371" s="4" t="s">
        <v>9160</v>
      </c>
      <c r="T371" s="4" t="s">
        <v>29</v>
      </c>
      <c r="U371" s="5" t="s">
        <v>12866</v>
      </c>
      <c r="V371" s="6"/>
      <c r="W371" s="6"/>
      <c r="X371" s="6"/>
      <c r="Y371" s="6"/>
      <c r="Z371" s="4" t="s">
        <v>12867</v>
      </c>
      <c r="AA371" s="6"/>
      <c r="AB371" s="5" t="s">
        <v>12868</v>
      </c>
    </row>
    <row r="372" ht="14.25">
      <c r="A372" s="4" t="s">
        <v>12871</v>
      </c>
      <c r="B372" s="4" t="s">
        <v>12870</v>
      </c>
      <c r="C372" s="4" t="s">
        <v>12873</v>
      </c>
      <c r="F372" s="4" t="s">
        <v>12872</v>
      </c>
      <c r="G372" s="4">
        <v>12</v>
      </c>
      <c r="H372" s="4" t="s">
        <v>12874</v>
      </c>
      <c r="I372" s="4" t="str">
        <f>IFERROR(__XLUDF.DUMMYFUNCTION("PROPER(REGEXREPLACE(G370,""[^A-Za-z]+ "",""""))"),"Spellz")</f>
        <v>Spellz</v>
      </c>
      <c r="J372" s="5" t="s">
        <v>12875</v>
      </c>
      <c r="K372" s="4" t="s">
        <v>39</v>
      </c>
      <c r="L372" s="4" t="s">
        <v>9160</v>
      </c>
      <c r="M372" s="4" t="s">
        <v>29</v>
      </c>
      <c r="N372" s="4" t="s">
        <v>2602</v>
      </c>
      <c r="O372" s="4" t="str">
        <f>IFERROR(__XLUDF.DUMMYFUNCTION("VLOOKUP(M370,IMPORTRANGE(""https://docs.google.com/spreadsheets/d/1opm6ZNvGZ7KditA9TuJwrZ25eFLfTNIkrNnY6mhV5Eg"",""list!A1:C115""),3,TRUE)"),"le secteur de la tech")</f>
        <v xml:space="preserve">le secteur de la tech</v>
      </c>
      <c r="P372" s="6"/>
      <c r="R372" s="4" t="s">
        <v>39</v>
      </c>
      <c r="S372" s="4" t="s">
        <v>9160</v>
      </c>
      <c r="T372" s="4" t="s">
        <v>29</v>
      </c>
      <c r="U372" s="5" t="s">
        <v>12876</v>
      </c>
      <c r="V372" s="6"/>
      <c r="W372" s="6"/>
      <c r="X372" s="6"/>
      <c r="Y372" s="6"/>
      <c r="Z372" s="4" t="s">
        <v>12877</v>
      </c>
      <c r="AA372" s="6"/>
      <c r="AB372" s="5" t="s">
        <v>12878</v>
      </c>
    </row>
    <row r="373" ht="14.25">
      <c r="A373" s="4" t="s">
        <v>12881</v>
      </c>
      <c r="B373" s="4" t="s">
        <v>12880</v>
      </c>
      <c r="C373" s="4" t="s">
        <v>2645</v>
      </c>
      <c r="F373" s="4" t="s">
        <v>12882</v>
      </c>
      <c r="G373" s="4">
        <v>24</v>
      </c>
      <c r="H373" s="4" t="s">
        <v>12883</v>
      </c>
      <c r="I373" s="4" t="str">
        <f>IFERROR(__XLUDF.DUMMYFUNCTION("PROPER(REGEXREPLACE(G371,""[^A-Za-z]+ "",""""))"),"Rhis Solutions")</f>
        <v xml:space="preserve">Rhis Solutions</v>
      </c>
      <c r="J373" s="6"/>
      <c r="K373" s="4" t="s">
        <v>6603</v>
      </c>
      <c r="L373" s="4" t="s">
        <v>9160</v>
      </c>
      <c r="M373" s="4" t="s">
        <v>29</v>
      </c>
      <c r="N373" s="4" t="s">
        <v>2602</v>
      </c>
      <c r="O373" s="4" t="str">
        <f>IFERROR(__XLUDF.DUMMYFUNCTION("VLOOKUP(M371,IMPORTRANGE(""https://docs.google.com/spreadsheets/d/1opm6ZNvGZ7KditA9TuJwrZ25eFLfTNIkrNnY6mhV5Eg"",""list!A1:C115""),3,TRUE)"),"le secteur de la tech")</f>
        <v xml:space="preserve">le secteur de la tech</v>
      </c>
      <c r="P373" s="4" t="s">
        <v>12884</v>
      </c>
      <c r="R373" s="4" t="s">
        <v>6603</v>
      </c>
      <c r="S373" s="4" t="s">
        <v>9160</v>
      </c>
      <c r="T373" s="4" t="s">
        <v>29</v>
      </c>
      <c r="U373" s="5" t="s">
        <v>12885</v>
      </c>
      <c r="V373" s="6"/>
      <c r="W373" s="6"/>
      <c r="X373" s="6"/>
      <c r="Y373" s="6"/>
      <c r="Z373" s="4" t="s">
        <v>12886</v>
      </c>
      <c r="AA373" s="6"/>
      <c r="AB373" s="5" t="s">
        <v>12887</v>
      </c>
    </row>
    <row r="374" ht="14.25">
      <c r="A374" s="4" t="s">
        <v>12889</v>
      </c>
      <c r="B374" s="4" t="s">
        <v>4469</v>
      </c>
      <c r="C374" s="4" t="s">
        <v>12257</v>
      </c>
      <c r="F374" s="4" t="s">
        <v>12890</v>
      </c>
      <c r="G374" s="4">
        <v>49</v>
      </c>
      <c r="H374" s="4" t="s">
        <v>10659</v>
      </c>
      <c r="I374" s="4" t="str">
        <f>IFERROR(__XLUDF.DUMMYFUNCTION("PROPER(REGEXREPLACE(G372,""[^A-Za-z]+ "",""""))"),"Vakom Le Sens De L'Humain")</f>
        <v xml:space="preserve">Vakom Le Sens De L'Humain</v>
      </c>
      <c r="J374" s="5" t="s">
        <v>10660</v>
      </c>
      <c r="K374" s="4" t="s">
        <v>12891</v>
      </c>
      <c r="L374" s="4" t="s">
        <v>9281</v>
      </c>
      <c r="M374" s="4" t="s">
        <v>29</v>
      </c>
      <c r="N374" s="4" t="s">
        <v>4067</v>
      </c>
      <c r="O374" s="4" t="str">
        <f>IFERROR(__XLUDF.DUMMYFUNCTION("VLOOKUP(M372,IMPORTRANGE(""https://docs.google.com/spreadsheets/d/1opm6ZNvGZ7KditA9TuJwrZ25eFLfTNIkrNnY6mhV5Eg"",""list!A1:C115""),3,TRUE)"),"le secteur du conseil en management")</f>
        <v xml:space="preserve">le secteur du conseil en management</v>
      </c>
      <c r="P374" s="4" t="s">
        <v>10662</v>
      </c>
      <c r="R374" s="4" t="s">
        <v>492</v>
      </c>
      <c r="S374" s="4" t="s">
        <v>9267</v>
      </c>
      <c r="T374" s="4" t="s">
        <v>29</v>
      </c>
      <c r="U374" s="5" t="s">
        <v>10663</v>
      </c>
      <c r="V374" s="6"/>
      <c r="W374" s="5" t="s">
        <v>10664</v>
      </c>
      <c r="X374" s="6"/>
      <c r="Y374" s="6"/>
      <c r="Z374" s="4" t="s">
        <v>10665</v>
      </c>
      <c r="AA374" s="6"/>
      <c r="AB374" s="5" t="s">
        <v>12892</v>
      </c>
    </row>
    <row r="375" ht="14.25">
      <c r="A375" s="4" t="s">
        <v>12894</v>
      </c>
      <c r="B375" s="4" t="s">
        <v>785</v>
      </c>
      <c r="C375" s="4" t="s">
        <v>112</v>
      </c>
      <c r="F375" s="4" t="s">
        <v>12895</v>
      </c>
      <c r="G375" s="4">
        <v>13</v>
      </c>
      <c r="H375" s="4" t="s">
        <v>12896</v>
      </c>
      <c r="I375" s="4" t="str">
        <f>IFERROR(__XLUDF.DUMMYFUNCTION("PROPER(REGEXREPLACE(G373,""[^A-Za-z]+ "",""""))"),"Archery Dataanalytics")</f>
        <v xml:space="preserve">Archery Dataanalytics</v>
      </c>
      <c r="J375" s="5" t="s">
        <v>12897</v>
      </c>
      <c r="K375" s="4" t="s">
        <v>3898</v>
      </c>
      <c r="L375" s="4" t="s">
        <v>10736</v>
      </c>
      <c r="M375" s="4" t="s">
        <v>29</v>
      </c>
      <c r="N375" s="4" t="s">
        <v>2602</v>
      </c>
      <c r="O375" s="4" t="str">
        <f>IFERROR(__XLUDF.DUMMYFUNCTION("VLOOKUP(M373,IMPORTRANGE(""https://docs.google.com/spreadsheets/d/1opm6ZNvGZ7KditA9TuJwrZ25eFLfTNIkrNnY6mhV5Eg"",""list!A1:C115""),3,TRUE)"),"le secteur de la tech")</f>
        <v xml:space="preserve">le secteur de la tech</v>
      </c>
      <c r="P375" s="4" t="s">
        <v>12898</v>
      </c>
      <c r="R375" s="4" t="s">
        <v>3898</v>
      </c>
      <c r="S375" s="4" t="s">
        <v>10736</v>
      </c>
      <c r="T375" s="4" t="s">
        <v>29</v>
      </c>
      <c r="U375" s="5" t="s">
        <v>12899</v>
      </c>
      <c r="V375" s="6"/>
      <c r="W375" s="6"/>
      <c r="X375" s="6"/>
      <c r="Y375" s="6"/>
      <c r="Z375" s="4" t="s">
        <v>12900</v>
      </c>
      <c r="AA375" s="6"/>
      <c r="AB375" s="5" t="s">
        <v>12901</v>
      </c>
    </row>
    <row r="376" ht="14.25">
      <c r="A376" s="4" t="s">
        <v>12903</v>
      </c>
      <c r="B376" s="4" t="s">
        <v>661</v>
      </c>
      <c r="C376" s="4" t="s">
        <v>12905</v>
      </c>
      <c r="F376" s="4" t="s">
        <v>12904</v>
      </c>
      <c r="G376" s="4">
        <v>13</v>
      </c>
      <c r="H376" s="4" t="s">
        <v>12906</v>
      </c>
      <c r="I376" s="4" t="str">
        <f>IFERROR(__XLUDF.DUMMYFUNCTION("PROPER(REGEXREPLACE(G374,""[^A-Za-z]+ "",""""))"),"Établissements Lavrut")</f>
        <v xml:space="preserve">Établissements Lavrut</v>
      </c>
      <c r="J376" s="5" t="s">
        <v>12907</v>
      </c>
      <c r="K376" s="4" t="s">
        <v>39</v>
      </c>
      <c r="L376" s="4" t="s">
        <v>9160</v>
      </c>
      <c r="M376" s="4" t="s">
        <v>29</v>
      </c>
      <c r="N376" s="4" t="s">
        <v>4525</v>
      </c>
      <c r="O376" s="4" t="str">
        <f>IFERROR(__XLUDF.DUMMYFUNCTION("VLOOKUP(M374,IMPORTRANGE(""https://docs.google.com/spreadsheets/d/1opm6ZNvGZ7KditA9TuJwrZ25eFLfTNIkrNnY6mhV5Eg"",""list!A1:C115""),3,TRUE)"),"le secteur du retail")</f>
        <v xml:space="preserve">le secteur du retail</v>
      </c>
      <c r="P376" s="6"/>
      <c r="R376" s="4" t="s">
        <v>39</v>
      </c>
      <c r="S376" s="4" t="s">
        <v>9160</v>
      </c>
      <c r="T376" s="4" t="s">
        <v>29</v>
      </c>
      <c r="U376" s="5" t="s">
        <v>12908</v>
      </c>
      <c r="V376" s="6"/>
      <c r="W376" s="6"/>
      <c r="X376" s="6"/>
      <c r="Y376" s="6"/>
      <c r="Z376" s="4" t="s">
        <v>12909</v>
      </c>
      <c r="AA376" s="6"/>
      <c r="AB376" s="5" t="s">
        <v>12910</v>
      </c>
    </row>
    <row r="377" ht="14.25">
      <c r="A377" s="4" t="s">
        <v>12912</v>
      </c>
      <c r="B377" s="4" t="s">
        <v>6945</v>
      </c>
      <c r="C377" s="4" t="s">
        <v>12914</v>
      </c>
      <c r="F377" s="4" t="s">
        <v>12913</v>
      </c>
      <c r="G377" s="4">
        <v>11</v>
      </c>
      <c r="H377" s="4" t="s">
        <v>12915</v>
      </c>
      <c r="I377" s="4" t="str">
        <f>IFERROR(__XLUDF.DUMMYFUNCTION("PROPER(REGEXREPLACE(G375,""[^A-Za-z]+ "",""""))"),"Avantage Business Crm")</f>
        <v xml:space="preserve">Avantage Business Crm</v>
      </c>
      <c r="J377" s="5" t="s">
        <v>12916</v>
      </c>
      <c r="K377" s="4" t="s">
        <v>12917</v>
      </c>
      <c r="L377" s="4" t="s">
        <v>9193</v>
      </c>
      <c r="M377" s="4" t="s">
        <v>29</v>
      </c>
      <c r="N377" s="4" t="s">
        <v>2602</v>
      </c>
      <c r="O377" s="4" t="str">
        <f>IFERROR(__XLUDF.DUMMYFUNCTION("VLOOKUP(M375,IMPORTRANGE(""https://docs.google.com/spreadsheets/d/1opm6ZNvGZ7KditA9TuJwrZ25eFLfTNIkrNnY6mhV5Eg"",""list!A1:C115""),3,TRUE)"),"le secteur de la tech")</f>
        <v xml:space="preserve">le secteur de la tech</v>
      </c>
      <c r="P377" s="4" t="s">
        <v>12918</v>
      </c>
      <c r="R377" s="4" t="s">
        <v>12917</v>
      </c>
      <c r="S377" s="4" t="s">
        <v>9193</v>
      </c>
      <c r="T377" s="4" t="s">
        <v>29</v>
      </c>
      <c r="U377" s="5" t="s">
        <v>12919</v>
      </c>
      <c r="V377" s="6"/>
      <c r="W377" s="6"/>
      <c r="X377" s="6"/>
      <c r="Y377" s="6"/>
      <c r="Z377" s="4" t="s">
        <v>12920</v>
      </c>
      <c r="AA377" s="6"/>
      <c r="AB377" s="5" t="s">
        <v>12921</v>
      </c>
    </row>
    <row r="378" ht="14.25">
      <c r="A378" s="4" t="s">
        <v>12923</v>
      </c>
      <c r="B378" s="4" t="s">
        <v>785</v>
      </c>
      <c r="C378" s="4" t="s">
        <v>112</v>
      </c>
      <c r="F378" s="4" t="s">
        <v>12924</v>
      </c>
      <c r="G378" s="4">
        <v>27</v>
      </c>
      <c r="H378" s="4" t="s">
        <v>12925</v>
      </c>
      <c r="I378" s="4" t="str">
        <f>IFERROR(__XLUDF.DUMMYFUNCTION("PROPER(REGEXREPLACE(G376,""[^A-Za-z]+ "",""""))"),"Groupe Amourdedieu")</f>
        <v xml:space="preserve">Groupe Amourdedieu</v>
      </c>
      <c r="J378" s="5" t="s">
        <v>12926</v>
      </c>
      <c r="K378" s="4" t="s">
        <v>12927</v>
      </c>
      <c r="L378" s="4" t="s">
        <v>9251</v>
      </c>
      <c r="M378" s="4" t="s">
        <v>29</v>
      </c>
      <c r="N378" s="4" t="s">
        <v>9239</v>
      </c>
      <c r="O378" s="4" t="str">
        <f>IFERROR(__XLUDF.DUMMYFUNCTION("VLOOKUP(M376,IMPORTRANGE(""https://docs.google.com/spreadsheets/d/1opm6ZNvGZ7KditA9TuJwrZ25eFLfTNIkrNnY6mhV5Eg"",""list!A1:C115""),3,TRUE)"),"le secteur de la construction")</f>
        <v xml:space="preserve">le secteur de la construction</v>
      </c>
      <c r="P378" s="4" t="s">
        <v>12928</v>
      </c>
      <c r="R378" s="6"/>
      <c r="S378" s="6"/>
      <c r="T378" s="6"/>
      <c r="U378" s="5" t="s">
        <v>12929</v>
      </c>
      <c r="V378" s="6"/>
      <c r="W378" s="6"/>
      <c r="X378" s="6"/>
      <c r="Y378" s="6"/>
      <c r="Z378" s="4" t="s">
        <v>12930</v>
      </c>
      <c r="AA378" s="6"/>
      <c r="AB378" s="5" t="s">
        <v>12931</v>
      </c>
    </row>
    <row r="379" ht="14.25">
      <c r="A379" s="4" t="s">
        <v>12933</v>
      </c>
      <c r="B379" s="4" t="s">
        <v>402</v>
      </c>
      <c r="C379" s="4" t="s">
        <v>5829</v>
      </c>
      <c r="F379" s="4" t="s">
        <v>12934</v>
      </c>
      <c r="G379" s="4">
        <v>10</v>
      </c>
      <c r="H379" s="4" t="s">
        <v>12935</v>
      </c>
      <c r="I379" s="4" t="str">
        <f>IFERROR(__XLUDF.DUMMYFUNCTION("PROPER(REGEXREPLACE(G377,""[^A-Za-z]+ "",""""))"),"Skilz")</f>
        <v>Skilz</v>
      </c>
      <c r="J379" s="5" t="s">
        <v>12936</v>
      </c>
      <c r="K379" s="6"/>
      <c r="L379" s="6"/>
      <c r="M379" s="4" t="s">
        <v>29</v>
      </c>
      <c r="N379" s="4" t="s">
        <v>10639</v>
      </c>
      <c r="O379" s="4" t="str">
        <f>IFERROR(__XLUDF.DUMMYFUNCTION("VLOOKUP(M377,IMPORTRANGE(""https://docs.google.com/spreadsheets/d/1opm6ZNvGZ7KditA9TuJwrZ25eFLfTNIkrNnY6mhV5Eg"",""list!A1:C115""),3,TRUE)"),"le secteur de la communication")</f>
        <v xml:space="preserve">le secteur de la communication</v>
      </c>
      <c r="P379" s="6"/>
      <c r="R379" s="4" t="s">
        <v>39</v>
      </c>
      <c r="S379" s="4" t="s">
        <v>9160</v>
      </c>
      <c r="T379" s="4" t="s">
        <v>29</v>
      </c>
      <c r="U379" s="5" t="s">
        <v>12937</v>
      </c>
      <c r="V379" s="6"/>
      <c r="W379" s="6"/>
      <c r="X379" s="6"/>
      <c r="Y379" s="6"/>
      <c r="Z379" s="4" t="s">
        <v>12938</v>
      </c>
      <c r="AA379" s="6"/>
      <c r="AB379" s="5" t="s">
        <v>12939</v>
      </c>
    </row>
    <row r="380" ht="14.25">
      <c r="A380" s="4" t="s">
        <v>12941</v>
      </c>
      <c r="B380" s="4" t="s">
        <v>548</v>
      </c>
      <c r="C380" s="4" t="s">
        <v>12943</v>
      </c>
      <c r="F380" s="4" t="s">
        <v>12942</v>
      </c>
      <c r="G380" s="4">
        <v>14</v>
      </c>
      <c r="H380" s="4" t="s">
        <v>12944</v>
      </c>
      <c r="I380" s="4" t="str">
        <f>IFERROR(__XLUDF.DUMMYFUNCTION("PROPER(REGEXREPLACE(G378,""[^A-Za-z]+ "",""""))"),"Innovation Fluides")</f>
        <v xml:space="preserve">Innovation Fluides</v>
      </c>
      <c r="J380" s="5" t="s">
        <v>12945</v>
      </c>
      <c r="K380" s="6"/>
      <c r="L380" s="4" t="s">
        <v>9160</v>
      </c>
      <c r="M380" s="4" t="s">
        <v>29</v>
      </c>
      <c r="N380" s="4" t="s">
        <v>9239</v>
      </c>
      <c r="O380" s="4" t="str">
        <f>IFERROR(__XLUDF.DUMMYFUNCTION("VLOOKUP(M378,IMPORTRANGE(""https://docs.google.com/spreadsheets/d/1opm6ZNvGZ7KditA9TuJwrZ25eFLfTNIkrNnY6mhV5Eg"",""list!A1:C115""),3,TRUE)"),"le secteur de la construction")</f>
        <v xml:space="preserve">le secteur de la construction</v>
      </c>
      <c r="P380" s="6"/>
      <c r="R380" s="4" t="s">
        <v>12946</v>
      </c>
      <c r="S380" s="4" t="s">
        <v>9160</v>
      </c>
      <c r="T380" s="4" t="s">
        <v>29</v>
      </c>
      <c r="U380" s="5" t="s">
        <v>12947</v>
      </c>
      <c r="V380" s="6"/>
      <c r="W380" s="6"/>
      <c r="X380" s="6"/>
      <c r="Y380" s="6"/>
      <c r="Z380" s="4" t="s">
        <v>12948</v>
      </c>
      <c r="AA380" s="6"/>
      <c r="AB380" s="5" t="s">
        <v>12949</v>
      </c>
    </row>
    <row r="381" ht="14.25">
      <c r="A381" s="4" t="s">
        <v>12951</v>
      </c>
      <c r="B381" s="4" t="s">
        <v>313</v>
      </c>
      <c r="C381" s="4" t="s">
        <v>7759</v>
      </c>
      <c r="F381" s="4" t="s">
        <v>12952</v>
      </c>
      <c r="G381" s="4">
        <v>19</v>
      </c>
      <c r="H381" s="4" t="s">
        <v>12953</v>
      </c>
      <c r="I381" s="4" t="str">
        <f>IFERROR(__XLUDF.DUMMYFUNCTION("PROPER(REGEXREPLACE(G379,""[^A-Za-z]+ "",""""))"),"Koders")</f>
        <v>Koders</v>
      </c>
      <c r="J381" s="5" t="s">
        <v>12954</v>
      </c>
      <c r="K381" s="4" t="s">
        <v>1507</v>
      </c>
      <c r="L381" s="4" t="s">
        <v>9193</v>
      </c>
      <c r="M381" s="4" t="s">
        <v>29</v>
      </c>
      <c r="N381" s="4" t="s">
        <v>2602</v>
      </c>
      <c r="O381" s="4" t="str">
        <f>IFERROR(__XLUDF.DUMMYFUNCTION("VLOOKUP(M379,IMPORTRANGE(""https://docs.google.com/spreadsheets/d/1opm6ZNvGZ7KditA9TuJwrZ25eFLfTNIkrNnY6mhV5Eg"",""list!A1:C115""),3,TRUE)"),"le secteur de la tech")</f>
        <v xml:space="preserve">le secteur de la tech</v>
      </c>
      <c r="P381" s="4" t="s">
        <v>12955</v>
      </c>
      <c r="R381" s="4" t="s">
        <v>1507</v>
      </c>
      <c r="S381" s="4" t="s">
        <v>9193</v>
      </c>
      <c r="T381" s="4" t="s">
        <v>29</v>
      </c>
      <c r="U381" s="5" t="s">
        <v>12956</v>
      </c>
      <c r="V381" s="6"/>
      <c r="W381" s="5" t="s">
        <v>12957</v>
      </c>
      <c r="X381" s="5" t="s">
        <v>12958</v>
      </c>
      <c r="Y381" s="6"/>
      <c r="Z381" s="4" t="s">
        <v>12959</v>
      </c>
      <c r="AA381" s="6"/>
      <c r="AB381" s="5" t="s">
        <v>12960</v>
      </c>
    </row>
    <row r="382" ht="14.25">
      <c r="A382" s="4" t="s">
        <v>12962</v>
      </c>
      <c r="B382" s="4" t="s">
        <v>4115</v>
      </c>
      <c r="C382" s="4" t="s">
        <v>112</v>
      </c>
      <c r="F382" s="4" t="s">
        <v>12963</v>
      </c>
      <c r="G382" s="4">
        <v>10</v>
      </c>
      <c r="H382" s="4" t="s">
        <v>12964</v>
      </c>
      <c r="I382" s="4" t="str">
        <f>IFERROR(__XLUDF.DUMMYFUNCTION("PROPER(REGEXREPLACE(G380,""[^A-Za-z]+ "",""""))"),"Olysta")</f>
        <v>Olysta</v>
      </c>
      <c r="J382" s="5" t="s">
        <v>12965</v>
      </c>
      <c r="K382" s="4" t="s">
        <v>10265</v>
      </c>
      <c r="L382" s="4" t="s">
        <v>9193</v>
      </c>
      <c r="M382" s="4" t="s">
        <v>29</v>
      </c>
      <c r="N382" s="4" t="s">
        <v>2602</v>
      </c>
      <c r="O382" s="4" t="str">
        <f>IFERROR(__XLUDF.DUMMYFUNCTION("VLOOKUP(M380,IMPORTRANGE(""https://docs.google.com/spreadsheets/d/1opm6ZNvGZ7KditA9TuJwrZ25eFLfTNIkrNnY6mhV5Eg"",""list!A1:C115""),3,TRUE)"),"le secteur de la tech")</f>
        <v xml:space="preserve">le secteur de la tech</v>
      </c>
      <c r="P382" s="6"/>
      <c r="R382" s="4" t="s">
        <v>12966</v>
      </c>
      <c r="S382" s="4" t="s">
        <v>9193</v>
      </c>
      <c r="T382" s="4" t="s">
        <v>29</v>
      </c>
      <c r="U382" s="5" t="s">
        <v>12967</v>
      </c>
      <c r="V382" s="6"/>
      <c r="W382" s="5" t="s">
        <v>9981</v>
      </c>
      <c r="X382" s="6"/>
      <c r="Y382" s="6"/>
      <c r="Z382" s="4" t="s">
        <v>12968</v>
      </c>
      <c r="AA382" s="6"/>
      <c r="AB382" s="5" t="s">
        <v>12969</v>
      </c>
    </row>
    <row r="383" ht="14.25">
      <c r="A383" s="4" t="s">
        <v>12971</v>
      </c>
      <c r="B383" s="4" t="s">
        <v>661</v>
      </c>
      <c r="C383" s="4" t="s">
        <v>112</v>
      </c>
      <c r="F383" s="4" t="s">
        <v>12972</v>
      </c>
      <c r="G383" s="4">
        <v>24</v>
      </c>
      <c r="H383" s="4" t="s">
        <v>12973</v>
      </c>
      <c r="I383" s="4" t="str">
        <f>IFERROR(__XLUDF.DUMMYFUNCTION("PROPER(REGEXREPLACE(G381,""[^A-Za-z]+ "",""""))"),"Meta 2E")</f>
        <v xml:space="preserve">Meta 2E</v>
      </c>
      <c r="J383" s="5" t="s">
        <v>12974</v>
      </c>
      <c r="K383" s="4" t="s">
        <v>831</v>
      </c>
      <c r="L383" s="4" t="s">
        <v>9193</v>
      </c>
      <c r="M383" s="4" t="s">
        <v>29</v>
      </c>
      <c r="N383" s="4" t="s">
        <v>2602</v>
      </c>
      <c r="O383" s="4" t="str">
        <f>IFERROR(__XLUDF.DUMMYFUNCTION("VLOOKUP(M381,IMPORTRANGE(""https://docs.google.com/spreadsheets/d/1opm6ZNvGZ7KditA9TuJwrZ25eFLfTNIkrNnY6mhV5Eg"",""list!A1:C115""),3,TRUE)"),"le secteur de la tech")</f>
        <v xml:space="preserve">le secteur de la tech</v>
      </c>
      <c r="P383" s="4" t="s">
        <v>12975</v>
      </c>
      <c r="R383" s="4" t="s">
        <v>831</v>
      </c>
      <c r="S383" s="4" t="s">
        <v>9193</v>
      </c>
      <c r="T383" s="4" t="s">
        <v>29</v>
      </c>
      <c r="U383" s="5" t="s">
        <v>12976</v>
      </c>
      <c r="V383" s="5" t="s">
        <v>12977</v>
      </c>
      <c r="W383" s="6"/>
      <c r="X383" s="6"/>
      <c r="Y383" s="6"/>
      <c r="Z383" s="4" t="s">
        <v>12978</v>
      </c>
      <c r="AA383" s="6"/>
      <c r="AB383" s="5" t="s">
        <v>12979</v>
      </c>
    </row>
    <row r="384" ht="14.25">
      <c r="A384" s="4" t="s">
        <v>12981</v>
      </c>
      <c r="B384" s="4" t="s">
        <v>6945</v>
      </c>
      <c r="C384" s="4" t="s">
        <v>12983</v>
      </c>
      <c r="F384" s="4" t="s">
        <v>12982</v>
      </c>
      <c r="G384" s="4">
        <v>14</v>
      </c>
      <c r="H384" s="4" t="s">
        <v>12984</v>
      </c>
      <c r="I384" s="4" t="str">
        <f>IFERROR(__XLUDF.DUMMYFUNCTION("PROPER(REGEXREPLACE(G382,""[^A-Za-z]+ "",""""))"),"L'Atelier Maison")</f>
        <v xml:space="preserve">L'Atelier Maison</v>
      </c>
      <c r="J384" s="4" t="s">
        <v>12985</v>
      </c>
      <c r="K384" s="6"/>
      <c r="L384" s="6"/>
      <c r="M384" s="4" t="s">
        <v>29</v>
      </c>
      <c r="N384" s="4" t="s">
        <v>4525</v>
      </c>
      <c r="O384" s="4" t="str">
        <f>IFERROR(__XLUDF.DUMMYFUNCTION("VLOOKUP(M382,IMPORTRANGE(""https://docs.google.com/spreadsheets/d/1opm6ZNvGZ7KditA9TuJwrZ25eFLfTNIkrNnY6mhV5Eg"",""list!A1:C115""),3,TRUE)"),"le secteur du retail")</f>
        <v xml:space="preserve">le secteur du retail</v>
      </c>
      <c r="P384" s="6"/>
      <c r="R384" s="4" t="s">
        <v>12986</v>
      </c>
      <c r="S384" s="4" t="s">
        <v>9193</v>
      </c>
      <c r="T384" s="4" t="s">
        <v>29</v>
      </c>
      <c r="U384" s="5" t="s">
        <v>12987</v>
      </c>
      <c r="V384" s="6"/>
      <c r="W384" s="6"/>
      <c r="X384" s="6"/>
      <c r="Y384" s="6"/>
      <c r="Z384" s="4" t="s">
        <v>12988</v>
      </c>
      <c r="AA384" s="6"/>
      <c r="AB384" s="5" t="s">
        <v>12989</v>
      </c>
    </row>
    <row r="385" ht="14.25">
      <c r="A385" s="4" t="s">
        <v>12991</v>
      </c>
      <c r="B385" s="4" t="s">
        <v>931</v>
      </c>
      <c r="C385" s="4" t="s">
        <v>7759</v>
      </c>
      <c r="F385" s="4" t="s">
        <v>12992</v>
      </c>
      <c r="G385" s="4">
        <v>13</v>
      </c>
      <c r="H385" s="4" t="s">
        <v>12993</v>
      </c>
      <c r="I385" s="4" t="str">
        <f>IFERROR(__XLUDF.DUMMYFUNCTION("PROPER(REGEXREPLACE(G383,""[^A-Za-z]+ "",""""))"),"Procall-Telecom")</f>
        <v>Procall-Telecom</v>
      </c>
      <c r="J385" s="5" t="s">
        <v>12994</v>
      </c>
      <c r="K385" s="4" t="s">
        <v>716</v>
      </c>
      <c r="L385" s="4" t="s">
        <v>9251</v>
      </c>
      <c r="M385" s="4" t="s">
        <v>29</v>
      </c>
      <c r="N385" s="4" t="s">
        <v>9184</v>
      </c>
      <c r="O385" s="4" t="str">
        <f>IFERROR(__XLUDF.DUMMYFUNCTION("VLOOKUP(M383,IMPORTRANGE(""https://docs.google.com/spreadsheets/d/1opm6ZNvGZ7KditA9TuJwrZ25eFLfTNIkrNnY6mhV5Eg"",""list!A1:C115""),3,TRUE)"),"le secteur des télécommunications")</f>
        <v xml:space="preserve">le secteur des télécommunications</v>
      </c>
      <c r="P385" s="6"/>
      <c r="R385" s="4" t="s">
        <v>716</v>
      </c>
      <c r="S385" s="4" t="s">
        <v>9251</v>
      </c>
      <c r="T385" s="4" t="s">
        <v>29</v>
      </c>
      <c r="U385" s="5" t="s">
        <v>12995</v>
      </c>
      <c r="V385" s="6"/>
      <c r="W385" s="6"/>
      <c r="X385" s="6"/>
      <c r="Y385" s="6"/>
      <c r="Z385" s="4" t="s">
        <v>12996</v>
      </c>
      <c r="AA385" s="6"/>
      <c r="AB385" s="5" t="s">
        <v>12997</v>
      </c>
    </row>
    <row r="386" ht="14.25">
      <c r="A386" s="4" t="s">
        <v>12999</v>
      </c>
      <c r="B386" s="4" t="s">
        <v>548</v>
      </c>
      <c r="C386" s="4" t="s">
        <v>13001</v>
      </c>
      <c r="F386" s="4" t="s">
        <v>13000</v>
      </c>
      <c r="G386" s="4">
        <v>22</v>
      </c>
      <c r="H386" s="4" t="s">
        <v>13002</v>
      </c>
      <c r="I386" s="4" t="str">
        <f>IFERROR(__XLUDF.DUMMYFUNCTION("PROPER(REGEXREPLACE(G384,""[^A-Za-z]+ "",""""))"),"Nj Partners")</f>
        <v xml:space="preserve">Nj Partners</v>
      </c>
      <c r="J386" s="5" t="s">
        <v>13003</v>
      </c>
      <c r="K386" s="4" t="s">
        <v>9402</v>
      </c>
      <c r="L386" s="4" t="s">
        <v>9160</v>
      </c>
      <c r="M386" s="4" t="s">
        <v>29</v>
      </c>
      <c r="N386" s="4" t="s">
        <v>4525</v>
      </c>
      <c r="O386" s="4" t="str">
        <f>IFERROR(__XLUDF.DUMMYFUNCTION("VLOOKUP(M384,IMPORTRANGE(""https://docs.google.com/spreadsheets/d/1opm6ZNvGZ7KditA9TuJwrZ25eFLfTNIkrNnY6mhV5Eg"",""list!A1:C115""),3,TRUE)"),"le secteur du retail")</f>
        <v xml:space="preserve">le secteur du retail</v>
      </c>
      <c r="P386" s="4" t="s">
        <v>13004</v>
      </c>
      <c r="R386" s="4" t="s">
        <v>13005</v>
      </c>
      <c r="S386" s="4" t="s">
        <v>9160</v>
      </c>
      <c r="T386" s="4" t="s">
        <v>29</v>
      </c>
      <c r="U386" s="5" t="s">
        <v>13006</v>
      </c>
      <c r="V386" s="6"/>
      <c r="W386" s="6"/>
      <c r="X386" s="6"/>
      <c r="Y386" s="6"/>
      <c r="Z386" s="4" t="s">
        <v>13007</v>
      </c>
      <c r="AA386" s="6"/>
      <c r="AB386" s="5" t="s">
        <v>13008</v>
      </c>
    </row>
    <row r="387" ht="14.25">
      <c r="A387" s="4" t="s">
        <v>13011</v>
      </c>
      <c r="B387" s="4" t="s">
        <v>13010</v>
      </c>
      <c r="C387" s="4" t="s">
        <v>12565</v>
      </c>
      <c r="F387" s="4" t="s">
        <v>13012</v>
      </c>
      <c r="G387" s="4">
        <v>18</v>
      </c>
      <c r="H387" s="4" t="s">
        <v>12566</v>
      </c>
      <c r="I387" s="4" t="str">
        <f>IFERROR(__XLUDF.DUMMYFUNCTION("PROPER(REGEXREPLACE(G385,""[^A-Za-z]+ "",""""))"),"Karma Partners")</f>
        <v xml:space="preserve">Karma Partners</v>
      </c>
      <c r="J387" s="5" t="s">
        <v>12567</v>
      </c>
      <c r="K387" s="4" t="s">
        <v>39</v>
      </c>
      <c r="L387" s="4" t="s">
        <v>9160</v>
      </c>
      <c r="M387" s="4" t="s">
        <v>29</v>
      </c>
      <c r="N387" s="4" t="s">
        <v>2602</v>
      </c>
      <c r="O387" s="4" t="str">
        <f>IFERROR(__XLUDF.DUMMYFUNCTION("VLOOKUP(M385,IMPORTRANGE(""https://docs.google.com/spreadsheets/d/1opm6ZNvGZ7KditA9TuJwrZ25eFLfTNIkrNnY6mhV5Eg"",""list!A1:C115""),3,TRUE)"),"le secteur de la tech")</f>
        <v xml:space="preserve">le secteur de la tech</v>
      </c>
      <c r="P387" s="4" t="s">
        <v>12568</v>
      </c>
      <c r="R387" s="4" t="s">
        <v>39</v>
      </c>
      <c r="S387" s="4" t="s">
        <v>9160</v>
      </c>
      <c r="T387" s="4" t="s">
        <v>29</v>
      </c>
      <c r="U387" s="5" t="s">
        <v>12569</v>
      </c>
      <c r="V387" s="6"/>
      <c r="W387" s="6"/>
      <c r="X387" s="6"/>
      <c r="Y387" s="6"/>
      <c r="Z387" s="4" t="s">
        <v>12570</v>
      </c>
      <c r="AA387" s="6"/>
      <c r="AB387" s="5" t="s">
        <v>13013</v>
      </c>
    </row>
    <row r="388" ht="14.25">
      <c r="A388" s="4" t="s">
        <v>2326</v>
      </c>
      <c r="B388" s="4" t="s">
        <v>785</v>
      </c>
      <c r="C388" s="4" t="s">
        <v>112</v>
      </c>
      <c r="F388" s="4" t="s">
        <v>13015</v>
      </c>
      <c r="G388" s="4">
        <v>16</v>
      </c>
      <c r="H388" s="4" t="s">
        <v>13016</v>
      </c>
      <c r="I388" s="4" t="str">
        <f>IFERROR(__XLUDF.DUMMYFUNCTION("PROPER(REGEXREPLACE(G386,""[^A-Za-z]+ "",""""))"),"Xotis")</f>
        <v>Xotis</v>
      </c>
      <c r="J388" s="5" t="s">
        <v>13017</v>
      </c>
      <c r="K388" s="4" t="s">
        <v>13018</v>
      </c>
      <c r="L388" s="4" t="s">
        <v>9281</v>
      </c>
      <c r="M388" s="4" t="s">
        <v>29</v>
      </c>
      <c r="N388" s="4" t="s">
        <v>2602</v>
      </c>
      <c r="O388" s="4" t="str">
        <f>IFERROR(__XLUDF.DUMMYFUNCTION("VLOOKUP(M386,IMPORTRANGE(""https://docs.google.com/spreadsheets/d/1opm6ZNvGZ7KditA9TuJwrZ25eFLfTNIkrNnY6mhV5Eg"",""list!A1:C115""),3,TRUE)"),"le secteur de la tech")</f>
        <v xml:space="preserve">le secteur de la tech</v>
      </c>
      <c r="P388" s="4" t="s">
        <v>13019</v>
      </c>
      <c r="R388" s="4" t="s">
        <v>13018</v>
      </c>
      <c r="S388" s="4" t="s">
        <v>9281</v>
      </c>
      <c r="T388" s="4" t="s">
        <v>29</v>
      </c>
      <c r="U388" s="5" t="s">
        <v>13020</v>
      </c>
      <c r="V388" s="5" t="s">
        <v>13021</v>
      </c>
      <c r="W388" s="5" t="s">
        <v>13022</v>
      </c>
      <c r="X388" s="6"/>
      <c r="Y388" s="6"/>
      <c r="Z388" s="4" t="s">
        <v>13023</v>
      </c>
      <c r="AA388" s="6"/>
      <c r="AB388" s="5" t="s">
        <v>13024</v>
      </c>
    </row>
    <row r="389" ht="14.25">
      <c r="A389" s="4" t="s">
        <v>13026</v>
      </c>
      <c r="B389" s="4" t="s">
        <v>2138</v>
      </c>
      <c r="C389" s="4" t="s">
        <v>13028</v>
      </c>
      <c r="F389" s="4" t="s">
        <v>13027</v>
      </c>
      <c r="G389" s="4">
        <v>650</v>
      </c>
      <c r="H389" s="4" t="s">
        <v>13029</v>
      </c>
      <c r="I389" s="4" t="str">
        <f>IFERROR(__XLUDF.DUMMYFUNCTION("PROPER(REGEXREPLACE(G387,""[^A-Za-z]+ "",""""))"),"Jems Group")</f>
        <v xml:space="preserve">Jems Group</v>
      </c>
      <c r="J389" s="5" t="s">
        <v>13030</v>
      </c>
      <c r="K389" s="4" t="s">
        <v>243</v>
      </c>
      <c r="L389" s="4" t="s">
        <v>9864</v>
      </c>
      <c r="M389" s="4" t="s">
        <v>29</v>
      </c>
      <c r="N389" s="4" t="s">
        <v>2602</v>
      </c>
      <c r="O389" s="4" t="str">
        <f>IFERROR(__XLUDF.DUMMYFUNCTION("VLOOKUP(M387,IMPORTRANGE(""https://docs.google.com/spreadsheets/d/1opm6ZNvGZ7KditA9TuJwrZ25eFLfTNIkrNnY6mhV5Eg"",""list!A1:C115""),3,TRUE)"),"le secteur de la tech")</f>
        <v xml:space="preserve">le secteur de la tech</v>
      </c>
      <c r="P389" s="4" t="s">
        <v>13031</v>
      </c>
      <c r="R389" s="4" t="s">
        <v>140</v>
      </c>
      <c r="S389" s="4" t="s">
        <v>9160</v>
      </c>
      <c r="T389" s="4" t="s">
        <v>29</v>
      </c>
      <c r="U389" s="5" t="s">
        <v>13032</v>
      </c>
      <c r="V389" s="5" t="s">
        <v>13033</v>
      </c>
      <c r="W389" s="5" t="s">
        <v>13034</v>
      </c>
      <c r="X389" s="6"/>
      <c r="Y389" s="6"/>
      <c r="Z389" s="4" t="s">
        <v>13035</v>
      </c>
      <c r="AA389" s="6"/>
      <c r="AB389" s="5" t="s">
        <v>13036</v>
      </c>
    </row>
    <row r="390" ht="14.25">
      <c r="A390" s="4" t="s">
        <v>13038</v>
      </c>
      <c r="B390" s="4" t="s">
        <v>548</v>
      </c>
      <c r="C390" s="4" t="s">
        <v>13040</v>
      </c>
      <c r="F390" s="4" t="s">
        <v>13039</v>
      </c>
      <c r="G390" s="4">
        <v>33</v>
      </c>
      <c r="H390" s="4" t="s">
        <v>13041</v>
      </c>
      <c r="I390" s="4" t="str">
        <f>IFERROR(__XLUDF.DUMMYFUNCTION("PROPER(REGEXREPLACE(G388,""[^A-Za-z]+ "",""""))"),"Sinfi")</f>
        <v>Sinfi</v>
      </c>
      <c r="J390" s="5" t="s">
        <v>13042</v>
      </c>
      <c r="K390" s="4" t="s">
        <v>11716</v>
      </c>
      <c r="L390" s="4" t="s">
        <v>9215</v>
      </c>
      <c r="M390" s="4" t="s">
        <v>29</v>
      </c>
      <c r="N390" s="4" t="s">
        <v>2602</v>
      </c>
      <c r="O390" s="4" t="str">
        <f>IFERROR(__XLUDF.DUMMYFUNCTION("VLOOKUP(M388,IMPORTRANGE(""https://docs.google.com/spreadsheets/d/1opm6ZNvGZ7KditA9TuJwrZ25eFLfTNIkrNnY6mhV5Eg"",""list!A1:C115""),3,TRUE)"),"le secteur de la tech")</f>
        <v xml:space="preserve">le secteur de la tech</v>
      </c>
      <c r="P390" s="4" t="s">
        <v>13043</v>
      </c>
      <c r="R390" s="4" t="s">
        <v>11749</v>
      </c>
      <c r="S390" s="4" t="s">
        <v>9215</v>
      </c>
      <c r="T390" s="4" t="s">
        <v>29</v>
      </c>
      <c r="U390" s="5" t="s">
        <v>13044</v>
      </c>
      <c r="V390" s="6"/>
      <c r="W390" s="5" t="s">
        <v>13045</v>
      </c>
      <c r="X390" s="6"/>
      <c r="Y390" s="6"/>
      <c r="Z390" s="4" t="s">
        <v>13046</v>
      </c>
      <c r="AA390" s="6"/>
      <c r="AB390" s="5" t="s">
        <v>13047</v>
      </c>
    </row>
    <row r="391" ht="14.25">
      <c r="A391" s="4" t="s">
        <v>13050</v>
      </c>
      <c r="B391" s="4" t="s">
        <v>13049</v>
      </c>
      <c r="C391" s="4" t="s">
        <v>13052</v>
      </c>
      <c r="F391" s="4" t="s">
        <v>13051</v>
      </c>
      <c r="G391" s="4">
        <v>26</v>
      </c>
      <c r="H391" s="4" t="s">
        <v>13053</v>
      </c>
      <c r="I391" s="4" t="str">
        <f>IFERROR(__XLUDF.DUMMYFUNCTION("PROPER(REGEXREPLACE(G389,""[^A-Za-z]+ "",""""))"),"Businessharmonist")</f>
        <v>Businessharmonist</v>
      </c>
      <c r="J391" s="5" t="s">
        <v>13054</v>
      </c>
      <c r="K391" s="4" t="s">
        <v>39</v>
      </c>
      <c r="L391" s="4" t="s">
        <v>9160</v>
      </c>
      <c r="M391" s="4" t="s">
        <v>29</v>
      </c>
      <c r="N391" s="4" t="s">
        <v>4067</v>
      </c>
      <c r="O391" s="4" t="str">
        <f>IFERROR(__XLUDF.DUMMYFUNCTION("VLOOKUP(M389,IMPORTRANGE(""https://docs.google.com/spreadsheets/d/1opm6ZNvGZ7KditA9TuJwrZ25eFLfTNIkrNnY6mhV5Eg"",""list!A1:C115""),3,TRUE)"),"le secteur du conseil en management")</f>
        <v xml:space="preserve">le secteur du conseil en management</v>
      </c>
      <c r="P391" s="4" t="s">
        <v>13055</v>
      </c>
      <c r="R391" s="4" t="s">
        <v>39</v>
      </c>
      <c r="S391" s="4" t="s">
        <v>9160</v>
      </c>
      <c r="T391" s="4" t="s">
        <v>29</v>
      </c>
      <c r="U391" s="5" t="s">
        <v>13056</v>
      </c>
      <c r="V391" s="5" t="s">
        <v>13057</v>
      </c>
      <c r="W391" s="5" t="s">
        <v>13058</v>
      </c>
      <c r="X391" s="6"/>
      <c r="Y391" s="6"/>
      <c r="Z391" s="4" t="s">
        <v>13059</v>
      </c>
      <c r="AA391" s="6"/>
      <c r="AB391" s="5" t="s">
        <v>13060</v>
      </c>
    </row>
    <row r="392" ht="14.25">
      <c r="A392" s="4" t="s">
        <v>13062</v>
      </c>
      <c r="B392" s="4" t="s">
        <v>1454</v>
      </c>
      <c r="C392" s="4" t="s">
        <v>172</v>
      </c>
      <c r="F392" s="4" t="s">
        <v>13063</v>
      </c>
      <c r="G392" s="4">
        <v>17</v>
      </c>
      <c r="H392" s="4" t="s">
        <v>13064</v>
      </c>
      <c r="I392" s="4" t="str">
        <f>IFERROR(__XLUDF.DUMMYFUNCTION("PROPER(REGEXREPLACE(G390,""[^A-Za-z]+ "",""""))"),"Adriver")</f>
        <v>Adriver</v>
      </c>
      <c r="J392" s="5" t="s">
        <v>13065</v>
      </c>
      <c r="K392" s="6"/>
      <c r="L392" s="6"/>
      <c r="M392" s="4" t="s">
        <v>29</v>
      </c>
      <c r="N392" s="4" t="s">
        <v>9161</v>
      </c>
      <c r="O392" s="4" t="str">
        <f>IFERROR(__XLUDF.DUMMYFUNCTION("VLOOKUP(M390,IMPORTRANGE(""https://docs.google.com/spreadsheets/d/1opm6ZNvGZ7KditA9TuJwrZ25eFLfTNIkrNnY6mhV5Eg"",""list!A1:C115""),3,TRUE)"),"le secteur du marketing")</f>
        <v xml:space="preserve">le secteur du marketing</v>
      </c>
      <c r="P392" s="6"/>
      <c r="R392" s="4" t="s">
        <v>39</v>
      </c>
      <c r="S392" s="4" t="s">
        <v>9160</v>
      </c>
      <c r="T392" s="4" t="s">
        <v>29</v>
      </c>
      <c r="U392" s="5" t="s">
        <v>13066</v>
      </c>
      <c r="V392" s="6"/>
      <c r="W392" s="6"/>
      <c r="X392" s="6"/>
      <c r="Y392" s="6"/>
      <c r="Z392" s="4" t="s">
        <v>13067</v>
      </c>
      <c r="AA392" s="6"/>
      <c r="AB392" s="5" t="s">
        <v>13068</v>
      </c>
    </row>
    <row r="393" ht="14.25">
      <c r="A393" s="4" t="s">
        <v>13070</v>
      </c>
      <c r="B393" s="4" t="s">
        <v>1454</v>
      </c>
      <c r="C393" s="4" t="s">
        <v>13072</v>
      </c>
      <c r="F393" s="4" t="s">
        <v>13071</v>
      </c>
      <c r="G393" s="4">
        <v>19</v>
      </c>
      <c r="H393" s="4" t="s">
        <v>13073</v>
      </c>
      <c r="I393" s="4" t="str">
        <f>IFERROR(__XLUDF.DUMMYFUNCTION("PROPER(REGEXREPLACE(G391,""[^A-Za-z]+ "",""""))"),"Ob Consulting")</f>
        <v xml:space="preserve">Ob Consulting</v>
      </c>
      <c r="J393" s="4" t="s">
        <v>13074</v>
      </c>
      <c r="K393" s="4" t="s">
        <v>13075</v>
      </c>
      <c r="L393" s="4" t="s">
        <v>9193</v>
      </c>
      <c r="M393" s="4" t="s">
        <v>29</v>
      </c>
      <c r="N393" s="4" t="s">
        <v>4067</v>
      </c>
      <c r="O393" s="4" t="str">
        <f>IFERROR(__XLUDF.DUMMYFUNCTION("VLOOKUP(M391,IMPORTRANGE(""https://docs.google.com/spreadsheets/d/1opm6ZNvGZ7KditA9TuJwrZ25eFLfTNIkrNnY6mhV5Eg"",""list!A1:C115""),3,TRUE)"),"le secteur du conseil en management")</f>
        <v xml:space="preserve">le secteur du conseil en management</v>
      </c>
      <c r="P393" s="4" t="s">
        <v>13076</v>
      </c>
      <c r="R393" s="4" t="s">
        <v>1419</v>
      </c>
      <c r="S393" s="4" t="s">
        <v>9160</v>
      </c>
      <c r="T393" s="4" t="s">
        <v>29</v>
      </c>
      <c r="U393" s="5" t="s">
        <v>13077</v>
      </c>
      <c r="V393" s="6"/>
      <c r="W393" s="5" t="s">
        <v>13078</v>
      </c>
      <c r="X393" s="6"/>
      <c r="Y393" s="6"/>
      <c r="Z393" s="4" t="s">
        <v>13079</v>
      </c>
      <c r="AA393" s="6"/>
      <c r="AB393" s="5" t="s">
        <v>13080</v>
      </c>
    </row>
    <row r="394" ht="14.25">
      <c r="A394" s="4" t="s">
        <v>13082</v>
      </c>
      <c r="B394" s="4" t="s">
        <v>4969</v>
      </c>
      <c r="C394" s="4" t="s">
        <v>120</v>
      </c>
      <c r="F394" s="4" t="s">
        <v>13083</v>
      </c>
      <c r="G394" s="4">
        <v>14</v>
      </c>
      <c r="H394" s="4" t="s">
        <v>13084</v>
      </c>
      <c r="I394" s="4" t="str">
        <f>IFERROR(__XLUDF.DUMMYFUNCTION("PROPER(REGEXREPLACE(G392,""[^A-Za-z]+ "",""""))"),"Fullenrich")</f>
        <v>Fullenrich</v>
      </c>
      <c r="J394" s="5" t="s">
        <v>13085</v>
      </c>
      <c r="K394" s="4" t="s">
        <v>39</v>
      </c>
      <c r="L394" s="4" t="s">
        <v>9160</v>
      </c>
      <c r="M394" s="4" t="s">
        <v>29</v>
      </c>
      <c r="N394" s="4" t="s">
        <v>2602</v>
      </c>
      <c r="O394" s="4" t="str">
        <f>IFERROR(__XLUDF.DUMMYFUNCTION("VLOOKUP(M392,IMPORTRANGE(""https://docs.google.com/spreadsheets/d/1opm6ZNvGZ7KditA9TuJwrZ25eFLfTNIkrNnY6mhV5Eg"",""list!A1:C115""),3,TRUE)"),"le secteur de la tech")</f>
        <v xml:space="preserve">le secteur de la tech</v>
      </c>
      <c r="P394" s="4" t="s">
        <v>13086</v>
      </c>
      <c r="R394" s="4" t="s">
        <v>12756</v>
      </c>
      <c r="S394" s="4" t="s">
        <v>12757</v>
      </c>
      <c r="T394" s="4" t="s">
        <v>1261</v>
      </c>
      <c r="U394" s="5" t="s">
        <v>13087</v>
      </c>
      <c r="V394" s="6"/>
      <c r="W394" s="6"/>
      <c r="X394" s="6"/>
      <c r="Y394" s="6"/>
      <c r="Z394" s="4" t="s">
        <v>13088</v>
      </c>
      <c r="AA394" s="6"/>
      <c r="AB394" s="5" t="s">
        <v>13089</v>
      </c>
    </row>
    <row r="395" ht="14.25">
      <c r="A395" s="4" t="s">
        <v>13092</v>
      </c>
      <c r="B395" s="4" t="s">
        <v>13091</v>
      </c>
      <c r="C395" s="4" t="s">
        <v>7759</v>
      </c>
      <c r="F395" s="4" t="s">
        <v>13093</v>
      </c>
      <c r="G395" s="4">
        <v>12</v>
      </c>
      <c r="H395" s="4" t="s">
        <v>13094</v>
      </c>
      <c r="I395" s="4" t="str">
        <f>IFERROR(__XLUDF.DUMMYFUNCTION("PROPER(REGEXREPLACE(G393,""[^A-Za-z]+ "",""""))"),"Axis Électronique")</f>
        <v xml:space="preserve">Axis Électronique</v>
      </c>
      <c r="J395" s="5" t="s">
        <v>13095</v>
      </c>
      <c r="K395" s="4" t="s">
        <v>13096</v>
      </c>
      <c r="L395" s="4" t="s">
        <v>9226</v>
      </c>
      <c r="M395" s="4" t="s">
        <v>29</v>
      </c>
      <c r="N395" s="4" t="s">
        <v>10215</v>
      </c>
      <c r="O395" s="4" t="str">
        <f>IFERROR(__XLUDF.DUMMYFUNCTION("VLOOKUP(M393,IMPORTRANGE(""https://docs.google.com/spreadsheets/d/1opm6ZNvGZ7KditA9TuJwrZ25eFLfTNIkrNnY6mhV5Eg"",""list!A1:C115""),3,TRUE)"),"le secteur de l'électrique et électronique")</f>
        <v xml:space="preserve">le secteur de l'électrique et électronique</v>
      </c>
      <c r="P395" s="4" t="s">
        <v>13097</v>
      </c>
      <c r="R395" s="4" t="s">
        <v>13098</v>
      </c>
      <c r="S395" s="4" t="s">
        <v>9350</v>
      </c>
      <c r="T395" s="4" t="s">
        <v>29</v>
      </c>
      <c r="U395" s="5" t="s">
        <v>13099</v>
      </c>
      <c r="V395" s="6"/>
      <c r="W395" s="6"/>
      <c r="X395" s="6"/>
      <c r="Y395" s="6"/>
      <c r="Z395" s="4" t="s">
        <v>13100</v>
      </c>
      <c r="AA395" s="6"/>
      <c r="AB395" s="5" t="s">
        <v>13101</v>
      </c>
    </row>
    <row r="396" ht="14.25">
      <c r="A396" s="4" t="s">
        <v>13103</v>
      </c>
      <c r="B396" s="4" t="s">
        <v>769</v>
      </c>
      <c r="C396" s="4" t="s">
        <v>87</v>
      </c>
      <c r="F396" s="4" t="s">
        <v>13104</v>
      </c>
      <c r="G396" s="4">
        <v>37</v>
      </c>
      <c r="H396" s="4" t="s">
        <v>13105</v>
      </c>
      <c r="I396" s="4" t="str">
        <f>IFERROR(__XLUDF.DUMMYFUNCTION("PROPER(REGEXREPLACE(G394,""[^A-Za-z]+ "",""""))"),"Coperbee")</f>
        <v>Coperbee</v>
      </c>
      <c r="J396" s="5" t="s">
        <v>13106</v>
      </c>
      <c r="K396" s="4" t="s">
        <v>13107</v>
      </c>
      <c r="L396" s="4" t="s">
        <v>9460</v>
      </c>
      <c r="M396" s="4" t="s">
        <v>29</v>
      </c>
      <c r="N396" s="4" t="s">
        <v>2602</v>
      </c>
      <c r="O396" s="4" t="str">
        <f>IFERROR(__XLUDF.DUMMYFUNCTION("VLOOKUP(M394,IMPORTRANGE(""https://docs.google.com/spreadsheets/d/1opm6ZNvGZ7KditA9TuJwrZ25eFLfTNIkrNnY6mhV5Eg"",""list!A1:C115""),3,TRUE)"),"le secteur de la tech")</f>
        <v xml:space="preserve">le secteur de la tech</v>
      </c>
      <c r="P396" s="4" t="s">
        <v>13108</v>
      </c>
      <c r="R396" s="4" t="s">
        <v>13109</v>
      </c>
      <c r="S396" s="4" t="s">
        <v>9460</v>
      </c>
      <c r="T396" s="4" t="s">
        <v>29</v>
      </c>
      <c r="U396" s="5" t="s">
        <v>13110</v>
      </c>
      <c r="V396" s="6"/>
      <c r="W396" s="5" t="s">
        <v>13111</v>
      </c>
      <c r="X396" s="6"/>
      <c r="Y396" s="6"/>
      <c r="Z396" s="4" t="s">
        <v>13112</v>
      </c>
      <c r="AA396" s="6"/>
      <c r="AB396" s="5" t="s">
        <v>13113</v>
      </c>
    </row>
    <row r="397" ht="14.25">
      <c r="A397" s="4" t="s">
        <v>7198</v>
      </c>
      <c r="B397" s="4" t="s">
        <v>2242</v>
      </c>
      <c r="C397" s="4" t="s">
        <v>13116</v>
      </c>
      <c r="F397" s="4" t="s">
        <v>13115</v>
      </c>
      <c r="G397" s="4">
        <v>14</v>
      </c>
      <c r="H397" s="4" t="s">
        <v>13117</v>
      </c>
      <c r="I397" s="4" t="str">
        <f>IFERROR(__XLUDF.DUMMYFUNCTION("PROPER(REGEXREPLACE(G395,""[^A-Za-z]+ "",""""))"),"Adaptiv Systems")</f>
        <v xml:space="preserve">Adaptiv Systems</v>
      </c>
      <c r="J397" s="4" t="s">
        <v>13118</v>
      </c>
      <c r="K397" s="4" t="s">
        <v>39</v>
      </c>
      <c r="L397" s="4" t="s">
        <v>9160</v>
      </c>
      <c r="M397" s="4" t="s">
        <v>29</v>
      </c>
      <c r="N397" s="4" t="s">
        <v>10215</v>
      </c>
      <c r="O397" s="4" t="str">
        <f>IFERROR(__XLUDF.DUMMYFUNCTION("VLOOKUP(M395,IMPORTRANGE(""https://docs.google.com/spreadsheets/d/1opm6ZNvGZ7KditA9TuJwrZ25eFLfTNIkrNnY6mhV5Eg"",""list!A1:C115""),3,TRUE)"),"le secteur de l'électrique et électronique")</f>
        <v xml:space="preserve">le secteur de l'électrique et électronique</v>
      </c>
      <c r="P397" s="4" t="s">
        <v>13119</v>
      </c>
      <c r="R397" s="4" t="s">
        <v>13120</v>
      </c>
      <c r="S397" s="4" t="s">
        <v>13121</v>
      </c>
      <c r="T397" s="4" t="s">
        <v>4318</v>
      </c>
      <c r="U397" s="5" t="s">
        <v>13122</v>
      </c>
      <c r="V397" s="5" t="s">
        <v>13123</v>
      </c>
      <c r="W397" s="5" t="s">
        <v>13124</v>
      </c>
      <c r="X397" s="6"/>
      <c r="Y397" s="6"/>
      <c r="Z397" s="4" t="s">
        <v>13125</v>
      </c>
      <c r="AA397" s="6"/>
      <c r="AB397" s="5" t="s">
        <v>13126</v>
      </c>
    </row>
    <row r="398" ht="14.25">
      <c r="A398" s="4" t="s">
        <v>13128</v>
      </c>
      <c r="B398" s="4" t="s">
        <v>548</v>
      </c>
      <c r="C398" s="4" t="s">
        <v>120</v>
      </c>
      <c r="F398" s="4" t="s">
        <v>13129</v>
      </c>
      <c r="G398" s="4">
        <v>10</v>
      </c>
      <c r="H398" s="4" t="s">
        <v>13130</v>
      </c>
      <c r="I398" s="4" t="str">
        <f>IFERROR(__XLUDF.DUMMYFUNCTION("PROPER(REGEXREPLACE(G396,""[^A-Za-z]+ "",""""))"),"D&amp;A Trust")</f>
        <v xml:space="preserve">D&amp;A Trust</v>
      </c>
      <c r="J398" s="5" t="s">
        <v>13131</v>
      </c>
      <c r="K398" s="6"/>
      <c r="L398" s="6"/>
      <c r="M398" s="4" t="s">
        <v>29</v>
      </c>
      <c r="N398" s="4" t="s">
        <v>2602</v>
      </c>
      <c r="O398" s="4" t="str">
        <f>IFERROR(__XLUDF.DUMMYFUNCTION("VLOOKUP(M396,IMPORTRANGE(""https://docs.google.com/spreadsheets/d/1opm6ZNvGZ7KditA9TuJwrZ25eFLfTNIkrNnY6mhV5Eg"",""list!A1:C115""),3,TRUE)"),"le secteur de la tech")</f>
        <v xml:space="preserve">le secteur de la tech</v>
      </c>
      <c r="P398" s="6"/>
      <c r="R398" s="4" t="s">
        <v>13132</v>
      </c>
      <c r="S398" s="4" t="s">
        <v>13133</v>
      </c>
      <c r="T398" s="4" t="s">
        <v>848</v>
      </c>
      <c r="U398" s="5" t="s">
        <v>13134</v>
      </c>
      <c r="V398" s="6"/>
      <c r="W398" s="6"/>
      <c r="X398" s="6"/>
      <c r="Y398" s="6"/>
      <c r="Z398" s="4" t="s">
        <v>13135</v>
      </c>
      <c r="AA398" s="6"/>
      <c r="AB398" s="5" t="s">
        <v>13136</v>
      </c>
    </row>
    <row r="399" ht="14.25">
      <c r="A399" s="4" t="s">
        <v>13138</v>
      </c>
      <c r="B399" s="4" t="s">
        <v>548</v>
      </c>
      <c r="C399" s="4" t="s">
        <v>13140</v>
      </c>
      <c r="F399" s="4" t="s">
        <v>13139</v>
      </c>
      <c r="G399" s="4">
        <v>14</v>
      </c>
      <c r="H399" s="4" t="s">
        <v>13141</v>
      </c>
      <c r="I399" s="4" t="str">
        <f>IFERROR(__XLUDF.DUMMYFUNCTION("PROPER(REGEXREPLACE(G397,""[^A-Za-z]+ "",""""))"),"R4Innov")</f>
        <v>R4Innov</v>
      </c>
      <c r="J399" s="5" t="s">
        <v>13142</v>
      </c>
      <c r="K399" s="6"/>
      <c r="L399" s="4" t="s">
        <v>9160</v>
      </c>
      <c r="M399" s="4" t="s">
        <v>29</v>
      </c>
      <c r="N399" s="4" t="s">
        <v>4067</v>
      </c>
      <c r="O399" s="4" t="str">
        <f>IFERROR(__XLUDF.DUMMYFUNCTION("VLOOKUP(M397,IMPORTRANGE(""https://docs.google.com/spreadsheets/d/1opm6ZNvGZ7KditA9TuJwrZ25eFLfTNIkrNnY6mhV5Eg"",""list!A1:C115""),3,TRUE)"),"le secteur du conseil en management")</f>
        <v xml:space="preserve">le secteur du conseil en management</v>
      </c>
      <c r="P399" s="6"/>
      <c r="R399" s="4" t="s">
        <v>39</v>
      </c>
      <c r="S399" s="4" t="s">
        <v>9160</v>
      </c>
      <c r="T399" s="4" t="s">
        <v>29</v>
      </c>
      <c r="U399" s="5" t="s">
        <v>13143</v>
      </c>
      <c r="V399" s="6"/>
      <c r="W399" s="6"/>
      <c r="X399" s="6"/>
      <c r="Y399" s="6"/>
      <c r="Z399" s="4" t="s">
        <v>13144</v>
      </c>
      <c r="AA399" s="6"/>
      <c r="AB399" s="5" t="s">
        <v>13145</v>
      </c>
    </row>
    <row r="400" ht="14.25">
      <c r="A400" s="4" t="s">
        <v>13147</v>
      </c>
      <c r="B400" s="4" t="s">
        <v>661</v>
      </c>
      <c r="C400" s="4" t="s">
        <v>13149</v>
      </c>
      <c r="F400" s="4" t="s">
        <v>13148</v>
      </c>
      <c r="G400" s="4">
        <v>27</v>
      </c>
      <c r="H400" s="4" t="s">
        <v>13150</v>
      </c>
      <c r="I400" s="4" t="str">
        <f>IFERROR(__XLUDF.DUMMYFUNCTION("PROPER(REGEXREPLACE(G398,""[^A-Za-z]+ "",""""))"),"Expert Activ Spécialiste En Développement Commercial")</f>
        <v xml:space="preserve">Expert Activ Spécialiste En Développement Commercial</v>
      </c>
      <c r="J400" s="5" t="s">
        <v>13151</v>
      </c>
      <c r="K400" s="4" t="s">
        <v>39</v>
      </c>
      <c r="L400" s="4" t="s">
        <v>9160</v>
      </c>
      <c r="M400" s="4" t="s">
        <v>29</v>
      </c>
      <c r="N400" s="4" t="s">
        <v>4067</v>
      </c>
      <c r="O400" s="4" t="str">
        <f>IFERROR(__XLUDF.DUMMYFUNCTION("VLOOKUP(M398,IMPORTRANGE(""https://docs.google.com/spreadsheets/d/1opm6ZNvGZ7KditA9TuJwrZ25eFLfTNIkrNnY6mhV5Eg"",""list!A1:C115""),3,TRUE)"),"le secteur du conseil en management")</f>
        <v xml:space="preserve">le secteur du conseil en management</v>
      </c>
      <c r="P400" s="4" t="s">
        <v>13152</v>
      </c>
      <c r="R400" s="4" t="s">
        <v>39</v>
      </c>
      <c r="S400" s="4" t="s">
        <v>9160</v>
      </c>
      <c r="T400" s="4" t="s">
        <v>29</v>
      </c>
      <c r="U400" s="5" t="s">
        <v>13153</v>
      </c>
      <c r="V400" s="5" t="s">
        <v>13154</v>
      </c>
      <c r="W400" s="5" t="s">
        <v>13155</v>
      </c>
      <c r="X400" s="6"/>
      <c r="Y400" s="6"/>
      <c r="Z400" s="4" t="s">
        <v>13156</v>
      </c>
      <c r="AA400" s="6"/>
      <c r="AB400" s="5" t="s">
        <v>13157</v>
      </c>
    </row>
    <row r="401" ht="14.25">
      <c r="A401" s="4" t="s">
        <v>13159</v>
      </c>
      <c r="B401" s="4" t="s">
        <v>661</v>
      </c>
      <c r="C401" s="4" t="s">
        <v>112</v>
      </c>
      <c r="F401" s="4" t="s">
        <v>13160</v>
      </c>
      <c r="G401" s="4">
        <v>11</v>
      </c>
      <c r="H401" s="4" t="s">
        <v>13161</v>
      </c>
      <c r="I401" s="4" t="str">
        <f>IFERROR(__XLUDF.DUMMYFUNCTION("PROPER(REGEXREPLACE(G399,""[^A-Za-z]+ "",""""))"),"Kapito Consulting")</f>
        <v xml:space="preserve">Kapito Consulting</v>
      </c>
      <c r="J401" s="5" t="s">
        <v>13162</v>
      </c>
      <c r="K401" s="4" t="s">
        <v>39</v>
      </c>
      <c r="L401" s="4" t="s">
        <v>9160</v>
      </c>
      <c r="M401" s="4" t="s">
        <v>29</v>
      </c>
      <c r="N401" s="4" t="s">
        <v>2602</v>
      </c>
      <c r="O401" s="4" t="str">
        <f>IFERROR(__XLUDF.DUMMYFUNCTION("VLOOKUP(M399,IMPORTRANGE(""https://docs.google.com/spreadsheets/d/1opm6ZNvGZ7KditA9TuJwrZ25eFLfTNIkrNnY6mhV5Eg"",""list!A1:C115""),3,TRUE)"),"le secteur de la tech")</f>
        <v xml:space="preserve">le secteur de la tech</v>
      </c>
      <c r="P401" s="6"/>
      <c r="R401" s="4" t="s">
        <v>39</v>
      </c>
      <c r="S401" s="4" t="s">
        <v>9160</v>
      </c>
      <c r="T401" s="4" t="s">
        <v>29</v>
      </c>
      <c r="U401" s="5" t="s">
        <v>13163</v>
      </c>
      <c r="V401" s="5" t="s">
        <v>13164</v>
      </c>
      <c r="W401" s="6"/>
      <c r="X401" s="6"/>
      <c r="Y401" s="6"/>
      <c r="Z401" s="4" t="s">
        <v>13165</v>
      </c>
      <c r="AA401" s="6"/>
      <c r="AB401" s="5" t="s">
        <v>13166</v>
      </c>
    </row>
    <row r="402" ht="14.25">
      <c r="A402" s="4" t="s">
        <v>13168</v>
      </c>
      <c r="B402" s="4" t="s">
        <v>661</v>
      </c>
      <c r="C402" s="4" t="s">
        <v>112</v>
      </c>
      <c r="F402" s="4" t="s">
        <v>13169</v>
      </c>
      <c r="G402" s="4">
        <v>11</v>
      </c>
      <c r="H402" s="4" t="s">
        <v>13170</v>
      </c>
      <c r="I402" s="4" t="str">
        <f>IFERROR(__XLUDF.DUMMYFUNCTION("PROPER(REGEXREPLACE(G400,""[^A-Za-z]+ "",""""))"),"Maison Banquiz")</f>
        <v xml:space="preserve">Maison Banquiz</v>
      </c>
      <c r="J402" s="5" t="s">
        <v>13171</v>
      </c>
      <c r="K402" s="4" t="s">
        <v>83</v>
      </c>
      <c r="L402" s="4" t="s">
        <v>9460</v>
      </c>
      <c r="M402" s="4" t="s">
        <v>29</v>
      </c>
      <c r="N402" s="4" t="s">
        <v>4525</v>
      </c>
      <c r="O402" s="4" t="str">
        <f>IFERROR(__XLUDF.DUMMYFUNCTION("VLOOKUP(M400,IMPORTRANGE(""https://docs.google.com/spreadsheets/d/1opm6ZNvGZ7KditA9TuJwrZ25eFLfTNIkrNnY6mhV5Eg"",""list!A1:C115""),3,TRUE)"),"le secteur du retail")</f>
        <v xml:space="preserve">le secteur du retail</v>
      </c>
      <c r="P402" s="6"/>
      <c r="R402" s="4" t="s">
        <v>13172</v>
      </c>
      <c r="S402" s="4" t="s">
        <v>9460</v>
      </c>
      <c r="T402" s="4" t="s">
        <v>29</v>
      </c>
      <c r="U402" s="5" t="s">
        <v>13173</v>
      </c>
      <c r="V402" s="6"/>
      <c r="W402" s="6"/>
      <c r="X402" s="6"/>
      <c r="Y402" s="6"/>
      <c r="Z402" s="4" t="s">
        <v>13174</v>
      </c>
      <c r="AA402" s="6"/>
      <c r="AB402" s="5" t="s">
        <v>13175</v>
      </c>
    </row>
    <row r="403" ht="14.25">
      <c r="A403" s="4" t="s">
        <v>13177</v>
      </c>
      <c r="B403" s="4" t="s">
        <v>661</v>
      </c>
      <c r="C403" s="4" t="s">
        <v>112</v>
      </c>
      <c r="F403" s="4" t="s">
        <v>13178</v>
      </c>
      <c r="G403" s="4">
        <v>22</v>
      </c>
      <c r="H403" s="4" t="s">
        <v>13179</v>
      </c>
      <c r="I403" s="4" t="str">
        <f>IFERROR(__XLUDF.DUMMYFUNCTION("PROPER(REGEXREPLACE(G401,""[^A-Za-z]+ "",""""))"),"Fauconnet Ingenierie Sas")</f>
        <v xml:space="preserve">Fauconnet Ingenierie Sas</v>
      </c>
      <c r="J403" s="5" t="s">
        <v>13180</v>
      </c>
      <c r="K403" s="4" t="s">
        <v>11716</v>
      </c>
      <c r="L403" s="4" t="s">
        <v>9215</v>
      </c>
      <c r="M403" s="4" t="s">
        <v>29</v>
      </c>
      <c r="N403" s="4" t="s">
        <v>2602</v>
      </c>
      <c r="O403" s="4" t="str">
        <f>IFERROR(__XLUDF.DUMMYFUNCTION("VLOOKUP(M401,IMPORTRANGE(""https://docs.google.com/spreadsheets/d/1opm6ZNvGZ7KditA9TuJwrZ25eFLfTNIkrNnY6mhV5Eg"",""list!A1:C115""),3,TRUE)"),"le secteur de la tech")</f>
        <v xml:space="preserve">le secteur de la tech</v>
      </c>
      <c r="P403" s="4" t="s">
        <v>13181</v>
      </c>
      <c r="R403" s="4" t="s">
        <v>13182</v>
      </c>
      <c r="S403" s="4" t="s">
        <v>9215</v>
      </c>
      <c r="T403" s="4" t="s">
        <v>29</v>
      </c>
      <c r="U403" s="5" t="s">
        <v>13183</v>
      </c>
      <c r="V403" s="5" t="s">
        <v>13184</v>
      </c>
      <c r="W403" s="5" t="s">
        <v>13185</v>
      </c>
      <c r="X403" s="6"/>
      <c r="Y403" s="6"/>
      <c r="Z403" s="4" t="s">
        <v>13186</v>
      </c>
      <c r="AA403" s="6"/>
      <c r="AB403" s="5" t="s">
        <v>13187</v>
      </c>
    </row>
    <row r="404" ht="14.25">
      <c r="A404" s="4" t="s">
        <v>13190</v>
      </c>
      <c r="B404" s="4" t="s">
        <v>13189</v>
      </c>
      <c r="C404" s="4" t="s">
        <v>164</v>
      </c>
      <c r="F404" s="4" t="s">
        <v>13191</v>
      </c>
      <c r="G404" s="4">
        <v>27</v>
      </c>
      <c r="H404" s="4" t="s">
        <v>13192</v>
      </c>
      <c r="I404" s="4" t="str">
        <f>IFERROR(__XLUDF.DUMMYFUNCTION("PROPER(REGEXREPLACE(G402,""[^A-Za-z]+ "",""""))"),"Monti")</f>
        <v>Monti</v>
      </c>
      <c r="J404" s="5" t="s">
        <v>13193</v>
      </c>
      <c r="K404" s="4" t="s">
        <v>13194</v>
      </c>
      <c r="L404" s="4" t="s">
        <v>9160</v>
      </c>
      <c r="M404" s="4" t="s">
        <v>29</v>
      </c>
      <c r="N404" s="4" t="s">
        <v>9239</v>
      </c>
      <c r="O404" s="4" t="str">
        <f>IFERROR(__XLUDF.DUMMYFUNCTION("VLOOKUP(M402,IMPORTRANGE(""https://docs.google.com/spreadsheets/d/1opm6ZNvGZ7KditA9TuJwrZ25eFLfTNIkrNnY6mhV5Eg"",""list!A1:C115""),3,TRUE)"),"le secteur de la construction")</f>
        <v xml:space="preserve">le secteur de la construction</v>
      </c>
      <c r="P404" s="4" t="s">
        <v>13195</v>
      </c>
      <c r="R404" s="4" t="s">
        <v>13194</v>
      </c>
      <c r="S404" s="4" t="s">
        <v>9160</v>
      </c>
      <c r="T404" s="4" t="s">
        <v>29</v>
      </c>
      <c r="U404" s="5" t="s">
        <v>13196</v>
      </c>
      <c r="V404" s="6"/>
      <c r="W404" s="5" t="s">
        <v>13197</v>
      </c>
      <c r="X404" s="6"/>
      <c r="Y404" s="6"/>
      <c r="Z404" s="4" t="s">
        <v>13198</v>
      </c>
      <c r="AA404" s="6"/>
      <c r="AB404" s="5" t="s">
        <v>13199</v>
      </c>
    </row>
    <row r="405" ht="14.25">
      <c r="A405" s="4" t="s">
        <v>13201</v>
      </c>
      <c r="B405" s="4" t="s">
        <v>13189</v>
      </c>
      <c r="C405" s="4" t="s">
        <v>172</v>
      </c>
      <c r="F405" s="4" t="s">
        <v>13202</v>
      </c>
      <c r="G405" s="4">
        <v>11</v>
      </c>
      <c r="H405" s="4" t="s">
        <v>13203</v>
      </c>
      <c r="I405" s="4" t="str">
        <f>IFERROR(__XLUDF.DUMMYFUNCTION("PROPER(REGEXREPLACE(G403,""[^A-Za-z]+ "",""""))"),"Projim")</f>
        <v>Projim</v>
      </c>
      <c r="J405" s="5" t="s">
        <v>13204</v>
      </c>
      <c r="K405" s="4" t="s">
        <v>39</v>
      </c>
      <c r="L405" s="4" t="s">
        <v>9160</v>
      </c>
      <c r="M405" s="4" t="s">
        <v>29</v>
      </c>
      <c r="N405" s="4" t="s">
        <v>4293</v>
      </c>
      <c r="O405" s="4" t="str">
        <f>IFERROR(__XLUDF.DUMMYFUNCTION("VLOOKUP(M403,IMPORTRANGE(""https://docs.google.com/spreadsheets/d/1opm6ZNvGZ7KditA9TuJwrZ25eFLfTNIkrNnY6mhV5Eg"",""list!A1:C115""),3,TRUE)"),"le secteur de l'immobilier")</f>
        <v xml:space="preserve">le secteur de l'immobilier</v>
      </c>
      <c r="P405" s="4" t="s">
        <v>13205</v>
      </c>
      <c r="R405" s="4" t="s">
        <v>13206</v>
      </c>
      <c r="S405" s="4" t="s">
        <v>9160</v>
      </c>
      <c r="T405" s="4" t="s">
        <v>29</v>
      </c>
      <c r="U405" s="5" t="s">
        <v>13207</v>
      </c>
      <c r="V405" s="6"/>
      <c r="W405" s="6"/>
      <c r="X405" s="6"/>
      <c r="Y405" s="6"/>
      <c r="Z405" s="4" t="s">
        <v>13208</v>
      </c>
      <c r="AA405" s="6"/>
      <c r="AB405" s="5" t="s">
        <v>13209</v>
      </c>
    </row>
    <row r="406" ht="14.25">
      <c r="A406" s="4" t="s">
        <v>13211</v>
      </c>
      <c r="B406" s="4" t="s">
        <v>3371</v>
      </c>
      <c r="C406" s="4" t="s">
        <v>7759</v>
      </c>
      <c r="F406" s="4" t="s">
        <v>13212</v>
      </c>
      <c r="G406" s="4">
        <v>27</v>
      </c>
      <c r="H406" s="4" t="s">
        <v>13213</v>
      </c>
      <c r="I406" s="4" t="str">
        <f>IFERROR(__XLUDF.DUMMYFUNCTION("PROPER(REGEXREPLACE(G404,""[^A-Za-z]+ "",""""))"),"Métal Performances")</f>
        <v xml:space="preserve">Métal Performances</v>
      </c>
      <c r="J406" s="5" t="s">
        <v>13214</v>
      </c>
      <c r="K406" s="4" t="s">
        <v>1826</v>
      </c>
      <c r="L406" s="4" t="s">
        <v>9227</v>
      </c>
      <c r="M406" s="4" t="s">
        <v>29</v>
      </c>
      <c r="N406" s="4" t="s">
        <v>4525</v>
      </c>
      <c r="O406" s="4" t="str">
        <f>IFERROR(__XLUDF.DUMMYFUNCTION("VLOOKUP(M404,IMPORTRANGE(""https://docs.google.com/spreadsheets/d/1opm6ZNvGZ7KditA9TuJwrZ25eFLfTNIkrNnY6mhV5Eg"",""list!A1:C115""),3,TRUE)"),"le secteur du retail")</f>
        <v xml:space="preserve">le secteur du retail</v>
      </c>
      <c r="P406" s="4" t="s">
        <v>13215</v>
      </c>
      <c r="R406" s="4" t="s">
        <v>13216</v>
      </c>
      <c r="S406" s="4" t="s">
        <v>9227</v>
      </c>
      <c r="T406" s="4" t="s">
        <v>29</v>
      </c>
      <c r="U406" s="5" t="s">
        <v>13217</v>
      </c>
      <c r="V406" s="6"/>
      <c r="W406" s="6"/>
      <c r="X406" s="6"/>
      <c r="Y406" s="6"/>
      <c r="Z406" s="4" t="s">
        <v>13218</v>
      </c>
      <c r="AA406" s="6"/>
      <c r="AB406" s="5" t="s">
        <v>13219</v>
      </c>
    </row>
    <row r="407" ht="14.25">
      <c r="A407" s="4" t="s">
        <v>13221</v>
      </c>
      <c r="B407" s="4" t="s">
        <v>1454</v>
      </c>
      <c r="C407" s="4" t="s">
        <v>1231</v>
      </c>
      <c r="F407" s="4" t="s">
        <v>13222</v>
      </c>
      <c r="G407" s="4">
        <v>26</v>
      </c>
      <c r="H407" s="4" t="s">
        <v>13223</v>
      </c>
      <c r="I407" s="4" t="str">
        <f>IFERROR(__XLUDF.DUMMYFUNCTION("PROPER(REGEXREPLACE(G405,""[^A-Za-z]+ "",""""))"),"Optimistik")</f>
        <v>Optimistik</v>
      </c>
      <c r="J407" s="5" t="s">
        <v>13224</v>
      </c>
      <c r="K407" s="4" t="s">
        <v>39</v>
      </c>
      <c r="L407" s="4" t="s">
        <v>9160</v>
      </c>
      <c r="M407" s="4" t="s">
        <v>29</v>
      </c>
      <c r="N407" s="4" t="s">
        <v>2602</v>
      </c>
      <c r="O407" s="4" t="str">
        <f>IFERROR(__XLUDF.DUMMYFUNCTION("VLOOKUP(M405,IMPORTRANGE(""https://docs.google.com/spreadsheets/d/1opm6ZNvGZ7KditA9TuJwrZ25eFLfTNIkrNnY6mhV5Eg"",""list!A1:C115""),3,TRUE)"),"le secteur de la tech")</f>
        <v xml:space="preserve">le secteur de la tech</v>
      </c>
      <c r="P407" s="4" t="s">
        <v>13225</v>
      </c>
      <c r="R407" s="4" t="s">
        <v>774</v>
      </c>
      <c r="S407" s="4" t="s">
        <v>9172</v>
      </c>
      <c r="T407" s="4" t="s">
        <v>29</v>
      </c>
      <c r="U407" s="5" t="s">
        <v>13226</v>
      </c>
      <c r="V407" s="6"/>
      <c r="W407" s="6"/>
      <c r="X407" s="6"/>
      <c r="Y407" s="6"/>
      <c r="Z407" s="4" t="s">
        <v>13227</v>
      </c>
      <c r="AA407" s="6"/>
      <c r="AB407" s="5" t="s">
        <v>13228</v>
      </c>
    </row>
    <row r="408" ht="14.25">
      <c r="A408" s="4" t="s">
        <v>13230</v>
      </c>
      <c r="B408" s="4" t="s">
        <v>661</v>
      </c>
      <c r="C408" s="4" t="s">
        <v>13232</v>
      </c>
      <c r="F408" s="4" t="s">
        <v>13231</v>
      </c>
      <c r="G408" s="4">
        <v>45</v>
      </c>
      <c r="H408" s="4" t="s">
        <v>13233</v>
      </c>
      <c r="I408" s="4" t="str">
        <f>IFERROR(__XLUDF.DUMMYFUNCTION("PROPER(REGEXREPLACE(G406,""[^A-Za-z]+ "",""""))"),"Viadirect")</f>
        <v>Viadirect</v>
      </c>
      <c r="J408" s="5" t="s">
        <v>13234</v>
      </c>
      <c r="K408" s="4" t="s">
        <v>39</v>
      </c>
      <c r="L408" s="4" t="s">
        <v>9160</v>
      </c>
      <c r="M408" s="4" t="s">
        <v>29</v>
      </c>
      <c r="N408" s="4" t="s">
        <v>2602</v>
      </c>
      <c r="O408" s="4" t="str">
        <f>IFERROR(__XLUDF.DUMMYFUNCTION("VLOOKUP(M406,IMPORTRANGE(""https://docs.google.com/spreadsheets/d/1opm6ZNvGZ7KditA9TuJwrZ25eFLfTNIkrNnY6mhV5Eg"",""list!A1:C115""),3,TRUE)"),"le secteur de la tech")</f>
        <v xml:space="preserve">le secteur de la tech</v>
      </c>
      <c r="P408" s="4" t="s">
        <v>13235</v>
      </c>
      <c r="R408" s="4" t="s">
        <v>39</v>
      </c>
      <c r="S408" s="4" t="s">
        <v>9160</v>
      </c>
      <c r="T408" s="4" t="s">
        <v>29</v>
      </c>
      <c r="U408" s="5" t="s">
        <v>13236</v>
      </c>
      <c r="V408" s="6"/>
      <c r="W408" s="6"/>
      <c r="X408" s="6"/>
      <c r="Y408" s="6"/>
      <c r="Z408" s="4" t="s">
        <v>13237</v>
      </c>
      <c r="AA408" s="6"/>
      <c r="AB408" s="5" t="s">
        <v>13238</v>
      </c>
    </row>
    <row r="409" ht="14.25">
      <c r="A409" s="4" t="s">
        <v>13241</v>
      </c>
      <c r="B409" s="4" t="s">
        <v>13240</v>
      </c>
      <c r="C409" s="4" t="s">
        <v>13243</v>
      </c>
      <c r="F409" s="4" t="s">
        <v>13242</v>
      </c>
      <c r="G409" s="4">
        <v>50</v>
      </c>
      <c r="H409" s="4" t="s">
        <v>13244</v>
      </c>
      <c r="I409" s="4" t="str">
        <f>IFERROR(__XLUDF.DUMMYFUNCTION("PROPER(REGEXREPLACE(G407,""[^A-Za-z]+ "",""""))"),"Alliance Économie")</f>
        <v xml:space="preserve">Alliance Économie</v>
      </c>
      <c r="J409" s="5" t="s">
        <v>13245</v>
      </c>
      <c r="K409" s="6"/>
      <c r="L409" s="6"/>
      <c r="M409" s="4" t="s">
        <v>29</v>
      </c>
      <c r="N409" s="4" t="s">
        <v>9239</v>
      </c>
      <c r="O409" s="4" t="str">
        <f>IFERROR(__XLUDF.DUMMYFUNCTION("VLOOKUP(M407,IMPORTRANGE(""https://docs.google.com/spreadsheets/d/1opm6ZNvGZ7KditA9TuJwrZ25eFLfTNIkrNnY6mhV5Eg"",""list!A1:C115""),3,TRUE)"),"le secteur de la construction")</f>
        <v xml:space="preserve">le secteur de la construction</v>
      </c>
      <c r="P409" s="4" t="s">
        <v>13246</v>
      </c>
      <c r="R409" s="4" t="s">
        <v>39</v>
      </c>
      <c r="S409" s="4" t="s">
        <v>9160</v>
      </c>
      <c r="T409" s="4" t="s">
        <v>29</v>
      </c>
      <c r="U409" s="5" t="s">
        <v>13247</v>
      </c>
      <c r="V409" s="6"/>
      <c r="W409" s="6"/>
      <c r="X409" s="6"/>
      <c r="Y409" s="6"/>
      <c r="Z409" s="4" t="s">
        <v>13248</v>
      </c>
      <c r="AA409" s="6"/>
      <c r="AB409" s="5" t="s">
        <v>13249</v>
      </c>
    </row>
    <row r="410" ht="14.25">
      <c r="A410" s="4" t="s">
        <v>4132</v>
      </c>
      <c r="B410" s="4" t="s">
        <v>3371</v>
      </c>
      <c r="C410" s="4" t="s">
        <v>13252</v>
      </c>
      <c r="F410" s="4" t="s">
        <v>13251</v>
      </c>
      <c r="G410" s="4">
        <v>38</v>
      </c>
      <c r="H410" s="4" t="s">
        <v>13253</v>
      </c>
      <c r="I410" s="4" t="str">
        <f>IFERROR(__XLUDF.DUMMYFUNCTION("PROPER(REGEXREPLACE(G408,""[^A-Za-z]+ "",""""))"),"Certifopaccertificateur Qualiopi")</f>
        <v xml:space="preserve">Certifopaccertificateur Qualiopi</v>
      </c>
      <c r="J410" s="5" t="s">
        <v>13254</v>
      </c>
      <c r="K410" s="4" t="s">
        <v>13255</v>
      </c>
      <c r="L410" s="4" t="s">
        <v>9193</v>
      </c>
      <c r="M410" s="4" t="s">
        <v>29</v>
      </c>
      <c r="N410" s="4" t="s">
        <v>4067</v>
      </c>
      <c r="O410" s="4" t="str">
        <f>IFERROR(__XLUDF.DUMMYFUNCTION("VLOOKUP(M408,IMPORTRANGE(""https://docs.google.com/spreadsheets/d/1opm6ZNvGZ7KditA9TuJwrZ25eFLfTNIkrNnY6mhV5Eg"",""list!A1:C115""),3,TRUE)"),"le secteur du conseil en management")</f>
        <v xml:space="preserve">le secteur du conseil en management</v>
      </c>
      <c r="P410" s="4" t="s">
        <v>13256</v>
      </c>
      <c r="R410" s="4" t="s">
        <v>13255</v>
      </c>
      <c r="S410" s="4" t="s">
        <v>9193</v>
      </c>
      <c r="T410" s="4" t="s">
        <v>29</v>
      </c>
      <c r="U410" s="5" t="s">
        <v>13257</v>
      </c>
      <c r="V410" s="6"/>
      <c r="W410" s="6"/>
      <c r="X410" s="6"/>
      <c r="Y410" s="6"/>
      <c r="Z410" s="4" t="s">
        <v>13258</v>
      </c>
      <c r="AA410" s="6"/>
      <c r="AB410" s="5" t="s">
        <v>13259</v>
      </c>
    </row>
    <row r="411" ht="14.25">
      <c r="A411" s="4" t="s">
        <v>13261</v>
      </c>
      <c r="B411" s="4" t="s">
        <v>931</v>
      </c>
      <c r="C411" s="4" t="s">
        <v>7759</v>
      </c>
      <c r="F411" s="4" t="s">
        <v>13262</v>
      </c>
      <c r="G411" s="4">
        <v>19</v>
      </c>
      <c r="H411" s="4" t="s">
        <v>13263</v>
      </c>
      <c r="I411" s="4" t="str">
        <f>IFERROR(__XLUDF.DUMMYFUNCTION("PROPER(REGEXREPLACE(G409,""[^A-Za-z]+ "",""""))"),"Iteka")</f>
        <v>Iteka</v>
      </c>
      <c r="J411" s="5" t="s">
        <v>13264</v>
      </c>
      <c r="K411" s="4" t="s">
        <v>13265</v>
      </c>
      <c r="L411" s="4" t="s">
        <v>9281</v>
      </c>
      <c r="M411" s="4" t="s">
        <v>29</v>
      </c>
      <c r="N411" s="4" t="s">
        <v>9264</v>
      </c>
      <c r="O411" s="4" t="str">
        <f>IFERROR(__XLUDF.DUMMYFUNCTION("VLOOKUP(M409,IMPORTRANGE(""https://docs.google.com/spreadsheets/d/1opm6ZNvGZ7KditA9TuJwrZ25eFLfTNIkrNnY6mhV5Eg"",""list!A1:C115""),3,TRUE)"),"le secteur de la sécurité informatique")</f>
        <v xml:space="preserve">le secteur de la sécurité informatique</v>
      </c>
      <c r="P411" s="6"/>
      <c r="R411" s="6"/>
      <c r="S411" s="6"/>
      <c r="T411" s="6"/>
      <c r="U411" s="5" t="s">
        <v>13266</v>
      </c>
      <c r="V411" s="6"/>
      <c r="W411" s="6"/>
      <c r="X411" s="6"/>
      <c r="Y411" s="6"/>
      <c r="Z411" s="4" t="s">
        <v>13267</v>
      </c>
      <c r="AA411" s="6"/>
      <c r="AB411" s="5" t="s">
        <v>13268</v>
      </c>
    </row>
    <row r="412" ht="14.25">
      <c r="A412" s="4" t="s">
        <v>13271</v>
      </c>
      <c r="B412" s="4" t="s">
        <v>13270</v>
      </c>
      <c r="C412" s="4" t="s">
        <v>778</v>
      </c>
      <c r="F412" s="4" t="s">
        <v>13272</v>
      </c>
      <c r="G412" s="4">
        <v>17</v>
      </c>
      <c r="H412" s="4" t="s">
        <v>13273</v>
      </c>
      <c r="I412" s="4" t="str">
        <f>IFERROR(__XLUDF.DUMMYFUNCTION("PROPER(REGEXREPLACE(G410,""[^A-Za-z]+ "",""""))"),"Twin")</f>
        <v>Twin</v>
      </c>
      <c r="J412" s="5" t="s">
        <v>13274</v>
      </c>
      <c r="K412" s="4" t="s">
        <v>39</v>
      </c>
      <c r="L412" s="4" t="s">
        <v>9160</v>
      </c>
      <c r="M412" s="4" t="s">
        <v>29</v>
      </c>
      <c r="N412" s="4" t="s">
        <v>2602</v>
      </c>
      <c r="O412" s="4" t="str">
        <f>IFERROR(__XLUDF.DUMMYFUNCTION("VLOOKUP(M410,IMPORTRANGE(""https://docs.google.com/spreadsheets/d/1opm6ZNvGZ7KditA9TuJwrZ25eFLfTNIkrNnY6mhV5Eg"",""list!A1:C115""),3,TRUE)"),"le secteur de la tech")</f>
        <v xml:space="preserve">le secteur de la tech</v>
      </c>
      <c r="P412" s="4" t="s">
        <v>13275</v>
      </c>
      <c r="R412" s="4" t="s">
        <v>39</v>
      </c>
      <c r="S412" s="4" t="s">
        <v>9160</v>
      </c>
      <c r="T412" s="4" t="s">
        <v>29</v>
      </c>
      <c r="U412" s="5" t="s">
        <v>13276</v>
      </c>
      <c r="V412" s="6"/>
      <c r="W412" s="6"/>
      <c r="X412" s="6"/>
      <c r="Y412" s="6"/>
      <c r="Z412" s="4" t="s">
        <v>13277</v>
      </c>
      <c r="AA412" s="6"/>
      <c r="AB412" s="5" t="s">
        <v>13278</v>
      </c>
    </row>
    <row r="413" ht="14.25">
      <c r="A413" s="4" t="s">
        <v>13280</v>
      </c>
      <c r="B413" s="4" t="s">
        <v>450</v>
      </c>
      <c r="C413" s="4" t="s">
        <v>9849</v>
      </c>
      <c r="F413" s="4" t="s">
        <v>13281</v>
      </c>
      <c r="G413" s="4">
        <v>13</v>
      </c>
      <c r="H413" s="4" t="s">
        <v>13282</v>
      </c>
      <c r="I413" s="4" t="str">
        <f>IFERROR(__XLUDF.DUMMYFUNCTION("PROPER(REGEXREPLACE(G411,""[^A-Za-z]+ "",""""))"),"Youday Crm")</f>
        <v xml:space="preserve">Youday Crm</v>
      </c>
      <c r="J413" s="5" t="s">
        <v>13283</v>
      </c>
      <c r="K413" s="4" t="s">
        <v>1711</v>
      </c>
      <c r="L413" s="4" t="s">
        <v>9350</v>
      </c>
      <c r="M413" s="4" t="s">
        <v>29</v>
      </c>
      <c r="N413" s="4" t="s">
        <v>2602</v>
      </c>
      <c r="O413" s="4" t="str">
        <f>IFERROR(__XLUDF.DUMMYFUNCTION("VLOOKUP(M411,IMPORTRANGE(""https://docs.google.com/spreadsheets/d/1opm6ZNvGZ7KditA9TuJwrZ25eFLfTNIkrNnY6mhV5Eg"",""list!A1:C115""),3,TRUE)"),"le secteur de la tech")</f>
        <v xml:space="preserve">le secteur de la tech</v>
      </c>
      <c r="P413" s="4" t="s">
        <v>13284</v>
      </c>
      <c r="R413" s="4" t="s">
        <v>1711</v>
      </c>
      <c r="S413" s="4" t="s">
        <v>9350</v>
      </c>
      <c r="T413" s="4" t="s">
        <v>29</v>
      </c>
      <c r="U413" s="5" t="s">
        <v>13285</v>
      </c>
      <c r="V413" s="6"/>
      <c r="W413" s="6"/>
      <c r="X413" s="6"/>
      <c r="Y413" s="6"/>
      <c r="Z413" s="4" t="s">
        <v>13286</v>
      </c>
      <c r="AA413" s="6"/>
      <c r="AB413" s="5" t="s">
        <v>13287</v>
      </c>
    </row>
    <row r="414" ht="14.25">
      <c r="A414" s="4" t="s">
        <v>13289</v>
      </c>
      <c r="B414" s="4" t="s">
        <v>4491</v>
      </c>
      <c r="C414" s="4" t="s">
        <v>13291</v>
      </c>
      <c r="F414" s="4" t="s">
        <v>13290</v>
      </c>
      <c r="G414" s="4">
        <v>17</v>
      </c>
      <c r="H414" s="4" t="s">
        <v>13292</v>
      </c>
      <c r="I414" s="4" t="str">
        <f>IFERROR(__XLUDF.DUMMYFUNCTION("PROPER(REGEXREPLACE(G412,""[^A-Za-z]+ "",""""))"),"Andrrénovation")</f>
        <v>Andrrénovation</v>
      </c>
      <c r="J414" s="5" t="s">
        <v>13293</v>
      </c>
      <c r="K414" s="4" t="s">
        <v>13294</v>
      </c>
      <c r="L414" s="4" t="s">
        <v>9281</v>
      </c>
      <c r="M414" s="4" t="s">
        <v>29</v>
      </c>
      <c r="N414" s="4" t="s">
        <v>9239</v>
      </c>
      <c r="O414" s="4" t="str">
        <f>IFERROR(__XLUDF.DUMMYFUNCTION("VLOOKUP(M412,IMPORTRANGE(""https://docs.google.com/spreadsheets/d/1opm6ZNvGZ7KditA9TuJwrZ25eFLfTNIkrNnY6mhV5Eg"",""list!A1:C115""),3,TRUE)"),"le secteur de la construction")</f>
        <v xml:space="preserve">le secteur de la construction</v>
      </c>
      <c r="P414" s="4" t="s">
        <v>13295</v>
      </c>
      <c r="R414" s="6"/>
      <c r="S414" s="4" t="s">
        <v>9281</v>
      </c>
      <c r="T414" s="4" t="s">
        <v>29</v>
      </c>
      <c r="U414" s="5" t="s">
        <v>13296</v>
      </c>
      <c r="V414" s="6"/>
      <c r="W414" s="6"/>
      <c r="X414" s="6"/>
      <c r="Y414" s="6"/>
      <c r="Z414" s="4" t="s">
        <v>13297</v>
      </c>
      <c r="AA414" s="6"/>
      <c r="AB414" s="5" t="s">
        <v>13298</v>
      </c>
    </row>
    <row r="415" ht="14.25">
      <c r="A415" s="4" t="s">
        <v>13301</v>
      </c>
      <c r="B415" s="4" t="s">
        <v>13300</v>
      </c>
      <c r="C415" s="4" t="s">
        <v>13303</v>
      </c>
      <c r="F415" s="4" t="s">
        <v>13302</v>
      </c>
      <c r="G415" s="4">
        <v>12</v>
      </c>
      <c r="H415" s="4" t="s">
        <v>13304</v>
      </c>
      <c r="I415" s="4" t="str">
        <f>IFERROR(__XLUDF.DUMMYFUNCTION("PROPER(REGEXREPLACE(G413,""[^A-Za-z]+ "",""""))"),"Cogifor")</f>
        <v>Cogifor</v>
      </c>
      <c r="J415" s="5" t="s">
        <v>13305</v>
      </c>
      <c r="K415" s="4" t="s">
        <v>39</v>
      </c>
      <c r="L415" s="4" t="s">
        <v>9160</v>
      </c>
      <c r="M415" s="4" t="s">
        <v>29</v>
      </c>
      <c r="N415" s="4" t="s">
        <v>2602</v>
      </c>
      <c r="O415" s="4" t="str">
        <f>IFERROR(__XLUDF.DUMMYFUNCTION("VLOOKUP(M413,IMPORTRANGE(""https://docs.google.com/spreadsheets/d/1opm6ZNvGZ7KditA9TuJwrZ25eFLfTNIkrNnY6mhV5Eg"",""list!A1:C115""),3,TRUE)"),"le secteur de la tech")</f>
        <v xml:space="preserve">le secteur de la tech</v>
      </c>
      <c r="P415" s="4" t="s">
        <v>13306</v>
      </c>
      <c r="R415" s="4" t="s">
        <v>39</v>
      </c>
      <c r="S415" s="4" t="s">
        <v>9160</v>
      </c>
      <c r="T415" s="4" t="s">
        <v>29</v>
      </c>
      <c r="U415" s="5" t="s">
        <v>13307</v>
      </c>
      <c r="V415" s="6"/>
      <c r="W415" s="6"/>
      <c r="X415" s="6"/>
      <c r="Y415" s="6"/>
      <c r="Z415" s="4" t="s">
        <v>13308</v>
      </c>
      <c r="AA415" s="6"/>
      <c r="AB415" s="5" t="s">
        <v>13309</v>
      </c>
    </row>
    <row r="416" ht="14.25">
      <c r="A416" s="4" t="s">
        <v>13311</v>
      </c>
      <c r="B416" s="4" t="s">
        <v>4115</v>
      </c>
      <c r="C416" s="4" t="s">
        <v>7759</v>
      </c>
      <c r="F416" s="4" t="s">
        <v>13312</v>
      </c>
      <c r="G416" s="4">
        <v>45</v>
      </c>
      <c r="H416" s="4" t="s">
        <v>13313</v>
      </c>
      <c r="I416" s="4" t="str">
        <f>IFERROR(__XLUDF.DUMMYFUNCTION("PROPER(REGEXREPLACE(G414,""[^A-Za-z]+ "",""""))"),"Jhh Applications")</f>
        <v xml:space="preserve">Jhh Applications</v>
      </c>
      <c r="J416" s="5" t="s">
        <v>13314</v>
      </c>
      <c r="K416" s="4" t="s">
        <v>243</v>
      </c>
      <c r="L416" s="4" t="s">
        <v>9864</v>
      </c>
      <c r="M416" s="4" t="s">
        <v>29</v>
      </c>
      <c r="N416" s="4" t="s">
        <v>2602</v>
      </c>
      <c r="O416" s="4" t="str">
        <f>IFERROR(__XLUDF.DUMMYFUNCTION("VLOOKUP(M414,IMPORTRANGE(""https://docs.google.com/spreadsheets/d/1opm6ZNvGZ7KditA9TuJwrZ25eFLfTNIkrNnY6mhV5Eg"",""list!A1:C115""),3,TRUE)"),"le secteur de la tech")</f>
        <v xml:space="preserve">le secteur de la tech</v>
      </c>
      <c r="P416" s="4" t="s">
        <v>13315</v>
      </c>
      <c r="R416" s="4" t="s">
        <v>243</v>
      </c>
      <c r="S416" s="4" t="s">
        <v>9864</v>
      </c>
      <c r="T416" s="4" t="s">
        <v>29</v>
      </c>
      <c r="U416" s="5" t="s">
        <v>13316</v>
      </c>
      <c r="V416" s="6"/>
      <c r="W416" s="6"/>
      <c r="X416" s="6"/>
      <c r="Y416" s="6"/>
      <c r="Z416" s="4" t="s">
        <v>13317</v>
      </c>
      <c r="AA416" s="6"/>
      <c r="AB416" s="5" t="s">
        <v>13318</v>
      </c>
    </row>
    <row r="417" ht="14.25">
      <c r="A417" s="4" t="s">
        <v>13320</v>
      </c>
      <c r="B417" s="4" t="s">
        <v>4115</v>
      </c>
      <c r="C417" s="4" t="s">
        <v>13322</v>
      </c>
      <c r="F417" s="4" t="s">
        <v>13321</v>
      </c>
      <c r="G417" s="4">
        <v>14</v>
      </c>
      <c r="H417" s="4" t="s">
        <v>13323</v>
      </c>
      <c r="I417" s="4" t="str">
        <f>IFERROR(__XLUDF.DUMMYFUNCTION("PROPER(REGEXREPLACE(G415,""[^A-Za-z]+ "",""""))"),"Temporis Loire Sud")</f>
        <v xml:space="preserve">Temporis Loire Sud</v>
      </c>
      <c r="J417" s="6"/>
      <c r="K417" s="4" t="s">
        <v>831</v>
      </c>
      <c r="L417" s="4" t="s">
        <v>9193</v>
      </c>
      <c r="M417" s="4" t="s">
        <v>29</v>
      </c>
      <c r="N417" s="4" t="s">
        <v>4067</v>
      </c>
      <c r="O417" s="4" t="str">
        <f>IFERROR(__XLUDF.DUMMYFUNCTION("VLOOKUP(M415,IMPORTRANGE(""https://docs.google.com/spreadsheets/d/1opm6ZNvGZ7KditA9TuJwrZ25eFLfTNIkrNnY6mhV5Eg"",""list!A1:C115""),3,TRUE)"),"le secteur du conseil en management")</f>
        <v xml:space="preserve">le secteur du conseil en management</v>
      </c>
      <c r="P417" s="4" t="s">
        <v>13324</v>
      </c>
      <c r="R417" s="4" t="s">
        <v>831</v>
      </c>
      <c r="S417" s="4" t="s">
        <v>9193</v>
      </c>
      <c r="T417" s="4" t="s">
        <v>29</v>
      </c>
      <c r="U417" s="5" t="s">
        <v>13325</v>
      </c>
      <c r="V417" s="6"/>
      <c r="W417" s="6"/>
      <c r="X417" s="6"/>
      <c r="Y417" s="6"/>
      <c r="Z417" s="4" t="s">
        <v>13326</v>
      </c>
      <c r="AA417" s="6"/>
      <c r="AB417" s="5" t="s">
        <v>13327</v>
      </c>
    </row>
    <row r="418" ht="14.25">
      <c r="A418" s="4" t="s">
        <v>13329</v>
      </c>
      <c r="B418" s="4" t="s">
        <v>4115</v>
      </c>
      <c r="C418" s="4" t="s">
        <v>13331</v>
      </c>
      <c r="F418" s="4" t="s">
        <v>13330</v>
      </c>
      <c r="G418" s="4">
        <v>12</v>
      </c>
      <c r="H418" s="4" t="s">
        <v>13332</v>
      </c>
      <c r="I418" s="4" t="str">
        <f>IFERROR(__XLUDF.DUMMYFUNCTION("PROPER(REGEXREPLACE(G416,""[^A-Za-z]+ "",""""))"),"Toutateam")</f>
        <v>Toutateam</v>
      </c>
      <c r="J418" s="5" t="s">
        <v>13333</v>
      </c>
      <c r="K418" s="4" t="s">
        <v>5376</v>
      </c>
      <c r="L418" s="4" t="s">
        <v>9227</v>
      </c>
      <c r="M418" s="4" t="s">
        <v>29</v>
      </c>
      <c r="N418" s="4" t="s">
        <v>4067</v>
      </c>
      <c r="O418" s="4" t="str">
        <f>IFERROR(__XLUDF.DUMMYFUNCTION("VLOOKUP(M416,IMPORTRANGE(""https://docs.google.com/spreadsheets/d/1opm6ZNvGZ7KditA9TuJwrZ25eFLfTNIkrNnY6mhV5Eg"",""list!A1:C115""),3,TRUE)"),"le secteur du conseil en management")</f>
        <v xml:space="preserve">le secteur du conseil en management</v>
      </c>
      <c r="P418" s="6"/>
      <c r="R418" s="4" t="s">
        <v>5376</v>
      </c>
      <c r="S418" s="4" t="s">
        <v>9227</v>
      </c>
      <c r="T418" s="4" t="s">
        <v>29</v>
      </c>
      <c r="U418" s="5" t="s">
        <v>13334</v>
      </c>
      <c r="V418" s="6"/>
      <c r="W418" s="6"/>
      <c r="X418" s="6"/>
      <c r="Y418" s="6"/>
      <c r="Z418" s="4" t="s">
        <v>13335</v>
      </c>
      <c r="AA418" s="6"/>
      <c r="AB418" s="5" t="s">
        <v>13336</v>
      </c>
    </row>
    <row r="419" ht="14.25">
      <c r="A419" s="4" t="s">
        <v>20</v>
      </c>
      <c r="B419" s="4" t="s">
        <v>2340</v>
      </c>
      <c r="C419" s="4" t="s">
        <v>12169</v>
      </c>
      <c r="F419" s="4" t="s">
        <v>13338</v>
      </c>
      <c r="G419" s="4">
        <v>21</v>
      </c>
      <c r="H419" s="4" t="s">
        <v>13339</v>
      </c>
      <c r="I419" s="4" t="str">
        <f>IFERROR(__XLUDF.DUMMYFUNCTION("PROPER(REGEXREPLACE(G417,""[^A-Za-z]+ "",""""))"),"Slash Consulting")</f>
        <v xml:space="preserve">Slash Consulting</v>
      </c>
      <c r="J419" s="5" t="s">
        <v>13340</v>
      </c>
      <c r="K419" s="4" t="s">
        <v>846</v>
      </c>
      <c r="L419" s="4" t="s">
        <v>9281</v>
      </c>
      <c r="M419" s="4" t="s">
        <v>29</v>
      </c>
      <c r="N419" s="4" t="s">
        <v>2602</v>
      </c>
      <c r="O419" s="4" t="str">
        <f>IFERROR(__XLUDF.DUMMYFUNCTION("VLOOKUP(M417,IMPORTRANGE(""https://docs.google.com/spreadsheets/d/1opm6ZNvGZ7KditA9TuJwrZ25eFLfTNIkrNnY6mhV5Eg"",""list!A1:C115""),3,TRUE)"),"le secteur de la tech")</f>
        <v xml:space="preserve">le secteur de la tech</v>
      </c>
      <c r="P419" s="4" t="s">
        <v>13341</v>
      </c>
      <c r="R419" s="4" t="s">
        <v>846</v>
      </c>
      <c r="S419" s="4" t="s">
        <v>9281</v>
      </c>
      <c r="T419" s="4" t="s">
        <v>29</v>
      </c>
      <c r="U419" s="5" t="s">
        <v>13342</v>
      </c>
      <c r="V419" s="6"/>
      <c r="W419" s="6"/>
      <c r="X419" s="6"/>
      <c r="Y419" s="6"/>
      <c r="Z419" s="4" t="s">
        <v>13343</v>
      </c>
      <c r="AA419" s="6"/>
      <c r="AB419" s="5" t="s">
        <v>13344</v>
      </c>
    </row>
    <row r="420" ht="14.25">
      <c r="A420" s="4" t="s">
        <v>13346</v>
      </c>
      <c r="B420" s="4" t="s">
        <v>2340</v>
      </c>
      <c r="C420" s="4" t="s">
        <v>13348</v>
      </c>
      <c r="F420" s="4" t="s">
        <v>13347</v>
      </c>
      <c r="G420" s="4">
        <v>10</v>
      </c>
      <c r="H420" s="4" t="s">
        <v>13349</v>
      </c>
      <c r="I420" s="4" t="str">
        <f>IFERROR(__XLUDF.DUMMYFUNCTION("PROPER(REGEXREPLACE(G418,""[^A-Za-z]+ "",""""))"),"Saalz")</f>
        <v>Saalz</v>
      </c>
      <c r="J420" s="5" t="s">
        <v>13350</v>
      </c>
      <c r="K420" s="4" t="s">
        <v>13351</v>
      </c>
      <c r="L420" s="4" t="s">
        <v>9193</v>
      </c>
      <c r="M420" s="4" t="s">
        <v>29</v>
      </c>
      <c r="N420" s="4" t="s">
        <v>2602</v>
      </c>
      <c r="O420" s="4" t="str">
        <f>IFERROR(__XLUDF.DUMMYFUNCTION("VLOOKUP(M418,IMPORTRANGE(""https://docs.google.com/spreadsheets/d/1opm6ZNvGZ7KditA9TuJwrZ25eFLfTNIkrNnY6mhV5Eg"",""list!A1:C115""),3,TRUE)"),"le secteur de la tech")</f>
        <v xml:space="preserve">le secteur de la tech</v>
      </c>
      <c r="P420" s="6"/>
      <c r="R420" s="6"/>
      <c r="S420" s="6"/>
      <c r="T420" s="6"/>
      <c r="U420" s="5" t="s">
        <v>13352</v>
      </c>
      <c r="V420" s="6"/>
      <c r="W420" s="6"/>
      <c r="X420" s="6"/>
      <c r="Y420" s="6"/>
      <c r="Z420" s="6"/>
      <c r="AA420" s="6"/>
      <c r="AB420" s="5" t="s">
        <v>13353</v>
      </c>
    </row>
    <row r="421" ht="14.25">
      <c r="A421" s="4" t="s">
        <v>13356</v>
      </c>
      <c r="B421" s="4" t="s">
        <v>13355</v>
      </c>
      <c r="C421" s="4" t="s">
        <v>9849</v>
      </c>
      <c r="F421" s="4" t="s">
        <v>13357</v>
      </c>
      <c r="G421" s="4">
        <v>22</v>
      </c>
      <c r="H421" s="4" t="s">
        <v>13358</v>
      </c>
      <c r="I421" s="4" t="str">
        <f>IFERROR(__XLUDF.DUMMYFUNCTION("PROPER(REGEXREPLACE(G419,""[^A-Za-z]+ "",""""))"),"Celia Creation")</f>
        <v xml:space="preserve">Celia Creation</v>
      </c>
      <c r="J421" s="5" t="s">
        <v>13359</v>
      </c>
      <c r="K421" s="4" t="s">
        <v>13360</v>
      </c>
      <c r="L421" s="4" t="s">
        <v>9460</v>
      </c>
      <c r="M421" s="4" t="s">
        <v>29</v>
      </c>
      <c r="N421" s="4" t="s">
        <v>9239</v>
      </c>
      <c r="O421" s="4" t="str">
        <f>IFERROR(__XLUDF.DUMMYFUNCTION("VLOOKUP(M419,IMPORTRANGE(""https://docs.google.com/spreadsheets/d/1opm6ZNvGZ7KditA9TuJwrZ25eFLfTNIkrNnY6mhV5Eg"",""list!A1:C115""),3,TRUE)"),"le secteur de la construction")</f>
        <v xml:space="preserve">le secteur de la construction</v>
      </c>
      <c r="P421" s="6"/>
      <c r="R421" s="4" t="s">
        <v>13360</v>
      </c>
      <c r="S421" s="4" t="s">
        <v>9463</v>
      </c>
      <c r="T421" s="4" t="s">
        <v>29</v>
      </c>
      <c r="U421" s="5" t="s">
        <v>13361</v>
      </c>
      <c r="V421" s="6"/>
      <c r="W421" s="5" t="s">
        <v>13362</v>
      </c>
      <c r="X421" s="6"/>
      <c r="Y421" s="6"/>
      <c r="Z421" s="4" t="s">
        <v>13363</v>
      </c>
      <c r="AA421" s="6"/>
      <c r="AB421" s="5" t="s">
        <v>13364</v>
      </c>
    </row>
    <row r="422" ht="14.25">
      <c r="A422" s="4" t="s">
        <v>13366</v>
      </c>
      <c r="B422" s="4" t="s">
        <v>2598</v>
      </c>
      <c r="C422" s="4" t="s">
        <v>62</v>
      </c>
      <c r="F422" s="4" t="s">
        <v>13367</v>
      </c>
      <c r="G422" s="4">
        <v>10</v>
      </c>
      <c r="H422" s="4" t="s">
        <v>13368</v>
      </c>
      <c r="I422" s="4" t="str">
        <f>IFERROR(__XLUDF.DUMMYFUNCTION("PROPER(REGEXREPLACE(G420,""[^A-Za-z]+ "",""""))"),"Quicktalk")</f>
        <v>Quicktalk</v>
      </c>
      <c r="J422" s="5" t="s">
        <v>13369</v>
      </c>
      <c r="K422" s="4" t="s">
        <v>185</v>
      </c>
      <c r="L422" s="4" t="s">
        <v>9193</v>
      </c>
      <c r="M422" s="4" t="s">
        <v>29</v>
      </c>
      <c r="N422" s="4" t="s">
        <v>9184</v>
      </c>
      <c r="O422" s="4" t="str">
        <f>IFERROR(__XLUDF.DUMMYFUNCTION("VLOOKUP(M420,IMPORTRANGE(""https://docs.google.com/spreadsheets/d/1opm6ZNvGZ7KditA9TuJwrZ25eFLfTNIkrNnY6mhV5Eg"",""list!A1:C115""),3,TRUE)"),"le secteur des télécommunications")</f>
        <v xml:space="preserve">le secteur des télécommunications</v>
      </c>
      <c r="P422" s="6"/>
      <c r="R422" s="4" t="s">
        <v>13370</v>
      </c>
      <c r="S422" s="4" t="s">
        <v>13371</v>
      </c>
      <c r="T422" s="4" t="s">
        <v>1261</v>
      </c>
      <c r="U422" s="5" t="s">
        <v>13372</v>
      </c>
      <c r="V422" s="6"/>
      <c r="W422" s="6"/>
      <c r="X422" s="6"/>
      <c r="Y422" s="6"/>
      <c r="Z422" s="4" t="s">
        <v>13373</v>
      </c>
      <c r="AA422" s="6"/>
      <c r="AB422" s="5" t="s">
        <v>13374</v>
      </c>
    </row>
    <row r="423" ht="14.25">
      <c r="A423" s="4" t="s">
        <v>13377</v>
      </c>
      <c r="B423" s="4" t="s">
        <v>13376</v>
      </c>
      <c r="C423" s="4" t="s">
        <v>13379</v>
      </c>
      <c r="F423" s="4" t="s">
        <v>13378</v>
      </c>
      <c r="G423" s="4">
        <v>37</v>
      </c>
      <c r="H423" s="4" t="s">
        <v>13380</v>
      </c>
      <c r="I423" s="4" t="str">
        <f>IFERROR(__XLUDF.DUMMYFUNCTION("PROPER(REGEXREPLACE(G421,""[^A-Za-z]+ "",""""))"),"Statera")</f>
        <v>Statera</v>
      </c>
      <c r="J423" s="5" t="s">
        <v>13381</v>
      </c>
      <c r="K423" s="4" t="s">
        <v>39</v>
      </c>
      <c r="L423" s="4" t="s">
        <v>9160</v>
      </c>
      <c r="M423" s="4" t="s">
        <v>29</v>
      </c>
      <c r="N423" s="4" t="s">
        <v>2602</v>
      </c>
      <c r="O423" s="4" t="str">
        <f>IFERROR(__XLUDF.DUMMYFUNCTION("VLOOKUP(M421,IMPORTRANGE(""https://docs.google.com/spreadsheets/d/1opm6ZNvGZ7KditA9TuJwrZ25eFLfTNIkrNnY6mhV5Eg"",""list!A1:C115""),3,TRUE)"),"le secteur de la tech")</f>
        <v xml:space="preserve">le secteur de la tech</v>
      </c>
      <c r="P423" s="4" t="s">
        <v>13382</v>
      </c>
      <c r="R423" s="4" t="s">
        <v>1419</v>
      </c>
      <c r="S423" s="4" t="s">
        <v>9160</v>
      </c>
      <c r="T423" s="4" t="s">
        <v>29</v>
      </c>
      <c r="U423" s="5" t="s">
        <v>13383</v>
      </c>
      <c r="V423" s="6"/>
      <c r="W423" s="6"/>
      <c r="X423" s="6"/>
      <c r="Y423" s="6"/>
      <c r="Z423" s="4" t="s">
        <v>13384</v>
      </c>
      <c r="AA423" s="6"/>
      <c r="AB423" s="5" t="s">
        <v>13385</v>
      </c>
    </row>
    <row r="424" ht="14.25">
      <c r="A424" s="4" t="s">
        <v>13387</v>
      </c>
      <c r="B424" s="4" t="s">
        <v>785</v>
      </c>
      <c r="C424" s="4" t="s">
        <v>13389</v>
      </c>
      <c r="F424" s="4" t="s">
        <v>13388</v>
      </c>
      <c r="G424" s="4">
        <v>11</v>
      </c>
      <c r="H424" s="4" t="s">
        <v>13390</v>
      </c>
      <c r="I424" s="4" t="str">
        <f>IFERROR(__XLUDF.DUMMYFUNCTION("PROPER(REGEXREPLACE(G422,""[^A-Za-z]+ "",""""))"),"Gotel")</f>
        <v>Gotel</v>
      </c>
      <c r="J424" s="5" t="s">
        <v>13391</v>
      </c>
      <c r="K424" s="4" t="s">
        <v>831</v>
      </c>
      <c r="L424" s="4" t="s">
        <v>9172</v>
      </c>
      <c r="M424" s="4" t="s">
        <v>29</v>
      </c>
      <c r="N424" s="4" t="s">
        <v>9184</v>
      </c>
      <c r="O424" s="4" t="str">
        <f>IFERROR(__XLUDF.DUMMYFUNCTION("VLOOKUP(M422,IMPORTRANGE(""https://docs.google.com/spreadsheets/d/1opm6ZNvGZ7KditA9TuJwrZ25eFLfTNIkrNnY6mhV5Eg"",""list!A1:C115""),3,TRUE)"),"le secteur des télécommunications")</f>
        <v xml:space="preserve">le secteur des télécommunications</v>
      </c>
      <c r="P424" s="4" t="s">
        <v>13392</v>
      </c>
      <c r="R424" s="4" t="s">
        <v>13393</v>
      </c>
      <c r="S424" s="4" t="s">
        <v>9238</v>
      </c>
      <c r="T424" s="4" t="s">
        <v>29</v>
      </c>
      <c r="U424" s="5" t="s">
        <v>13394</v>
      </c>
      <c r="V424" s="6"/>
      <c r="W424" s="6"/>
      <c r="X424" s="6"/>
      <c r="Y424" s="6"/>
      <c r="Z424" s="4" t="s">
        <v>13395</v>
      </c>
      <c r="AA424" s="6"/>
      <c r="AB424" s="5" t="s">
        <v>13396</v>
      </c>
    </row>
    <row r="425" ht="14.25">
      <c r="A425" s="4" t="s">
        <v>13398</v>
      </c>
      <c r="B425" s="4" t="s">
        <v>785</v>
      </c>
      <c r="C425" s="4" t="s">
        <v>112</v>
      </c>
      <c r="F425" s="4" t="s">
        <v>13399</v>
      </c>
      <c r="G425" s="4">
        <v>24</v>
      </c>
      <c r="H425" s="4" t="s">
        <v>13400</v>
      </c>
      <c r="I425" s="4" t="str">
        <f>IFERROR(__XLUDF.DUMMYFUNCTION("PROPER(REGEXREPLACE(G423,""[^A-Za-z]+ "",""""))"),"Maisons Terre D'Oc")</f>
        <v xml:space="preserve">Maisons Terre D'Oc</v>
      </c>
      <c r="J425" s="5" t="s">
        <v>13401</v>
      </c>
      <c r="K425" s="4" t="s">
        <v>13402</v>
      </c>
      <c r="L425" s="4" t="s">
        <v>9460</v>
      </c>
      <c r="M425" s="4" t="s">
        <v>29</v>
      </c>
      <c r="N425" s="4" t="s">
        <v>9239</v>
      </c>
      <c r="O425" s="4" t="str">
        <f>IFERROR(__XLUDF.DUMMYFUNCTION("VLOOKUP(M423,IMPORTRANGE(""https://docs.google.com/spreadsheets/d/1opm6ZNvGZ7KditA9TuJwrZ25eFLfTNIkrNnY6mhV5Eg"",""list!A1:C115""),3,TRUE)"),"le secteur de la construction")</f>
        <v xml:space="preserve">le secteur de la construction</v>
      </c>
      <c r="P425" s="6"/>
      <c r="R425" s="4" t="s">
        <v>10661</v>
      </c>
      <c r="S425" s="4" t="s">
        <v>9254</v>
      </c>
      <c r="T425" s="4" t="s">
        <v>29</v>
      </c>
      <c r="U425" s="5" t="s">
        <v>13403</v>
      </c>
      <c r="V425" s="6"/>
      <c r="W425" s="6"/>
      <c r="X425" s="6"/>
      <c r="Y425" s="6"/>
      <c r="Z425" s="4" t="s">
        <v>13404</v>
      </c>
      <c r="AA425" s="6"/>
      <c r="AB425" s="5" t="s">
        <v>13405</v>
      </c>
    </row>
    <row r="426" ht="14.25">
      <c r="A426" s="4" t="s">
        <v>13407</v>
      </c>
      <c r="B426" s="4" t="s">
        <v>402</v>
      </c>
      <c r="C426" s="4" t="s">
        <v>13409</v>
      </c>
      <c r="F426" s="4" t="s">
        <v>13408</v>
      </c>
      <c r="G426" s="4">
        <v>24</v>
      </c>
      <c r="H426" s="4" t="s">
        <v>13410</v>
      </c>
      <c r="I426" s="4" t="str">
        <f>IFERROR(__XLUDF.DUMMYFUNCTION("PROPER(REGEXREPLACE(G424,""[^A-Za-z]+ "",""""))"),"Frame")</f>
        <v>Frame</v>
      </c>
      <c r="J426" s="5" t="s">
        <v>13411</v>
      </c>
      <c r="K426" s="4" t="s">
        <v>39</v>
      </c>
      <c r="L426" s="4" t="s">
        <v>9160</v>
      </c>
      <c r="M426" s="4" t="s">
        <v>29</v>
      </c>
      <c r="N426" s="4" t="s">
        <v>4067</v>
      </c>
      <c r="O426" s="4" t="str">
        <f>IFERROR(__XLUDF.DUMMYFUNCTION("VLOOKUP(M424,IMPORTRANGE(""https://docs.google.com/spreadsheets/d/1opm6ZNvGZ7KditA9TuJwrZ25eFLfTNIkrNnY6mhV5Eg"",""list!A1:C115""),3,TRUE)"),"le secteur du conseil en management")</f>
        <v xml:space="preserve">le secteur du conseil en management</v>
      </c>
      <c r="P426" s="6"/>
      <c r="R426" s="4" t="s">
        <v>39</v>
      </c>
      <c r="S426" s="4" t="s">
        <v>9160</v>
      </c>
      <c r="T426" s="4" t="s">
        <v>29</v>
      </c>
      <c r="U426" s="5" t="s">
        <v>13412</v>
      </c>
      <c r="V426" s="6"/>
      <c r="W426" s="6"/>
      <c r="X426" s="6"/>
      <c r="Y426" s="6"/>
      <c r="Z426" s="4" t="s">
        <v>13413</v>
      </c>
      <c r="AA426" s="6"/>
      <c r="AB426" s="5" t="s">
        <v>13414</v>
      </c>
    </row>
    <row r="427" ht="14.25">
      <c r="A427" s="4" t="s">
        <v>13416</v>
      </c>
      <c r="B427" s="4" t="s">
        <v>1999</v>
      </c>
      <c r="C427" s="4" t="s">
        <v>341</v>
      </c>
      <c r="F427" s="4" t="s">
        <v>13417</v>
      </c>
      <c r="G427" s="4">
        <v>10</v>
      </c>
      <c r="H427" s="4" t="s">
        <v>13418</v>
      </c>
      <c r="I427" s="4" t="str">
        <f>IFERROR(__XLUDF.DUMMYFUNCTION("PROPER(REGEXREPLACE(G425,""[^A-Za-z]+ "",""""))"),"Epicerie L'Ideal")</f>
        <v xml:space="preserve">Epicerie L'Ideal</v>
      </c>
      <c r="J427" s="5" t="s">
        <v>13419</v>
      </c>
      <c r="K427" s="4" t="s">
        <v>295</v>
      </c>
      <c r="L427" s="4" t="s">
        <v>9251</v>
      </c>
      <c r="M427" s="4" t="s">
        <v>29</v>
      </c>
      <c r="N427" s="4" t="s">
        <v>4525</v>
      </c>
      <c r="O427" s="4" t="str">
        <f>IFERROR(__XLUDF.DUMMYFUNCTION("VLOOKUP(M425,IMPORTRANGE(""https://docs.google.com/spreadsheets/d/1opm6ZNvGZ7KditA9TuJwrZ25eFLfTNIkrNnY6mhV5Eg"",""list!A1:C115""),3,TRUE)"),"le secteur du retail")</f>
        <v xml:space="preserve">le secteur du retail</v>
      </c>
      <c r="P427" s="4" t="s">
        <v>13420</v>
      </c>
      <c r="R427" s="4" t="s">
        <v>295</v>
      </c>
      <c r="S427" s="4" t="s">
        <v>9251</v>
      </c>
      <c r="T427" s="4" t="s">
        <v>29</v>
      </c>
      <c r="U427" s="5" t="s">
        <v>13421</v>
      </c>
      <c r="V427" s="6"/>
      <c r="W427" s="6"/>
      <c r="X427" s="6"/>
      <c r="Y427" s="6"/>
      <c r="Z427" s="4" t="s">
        <v>13422</v>
      </c>
      <c r="AA427" s="6"/>
      <c r="AB427" s="5" t="s">
        <v>13423</v>
      </c>
    </row>
    <row r="428" ht="14.25">
      <c r="A428" s="4" t="s">
        <v>13425</v>
      </c>
      <c r="B428" s="4" t="s">
        <v>1009</v>
      </c>
      <c r="C428" s="4" t="s">
        <v>13427</v>
      </c>
      <c r="F428" s="4" t="s">
        <v>13426</v>
      </c>
      <c r="G428" s="4">
        <v>17</v>
      </c>
      <c r="H428" s="4" t="s">
        <v>13428</v>
      </c>
      <c r="I428" s="4" t="str">
        <f>IFERROR(__XLUDF.DUMMYFUNCTION("PROPER(REGEXREPLACE(G426,""[^A-Za-z]+ "",""""))"),"Coven")</f>
        <v>Coven</v>
      </c>
      <c r="J428" s="5" t="s">
        <v>13429</v>
      </c>
      <c r="K428" s="4" t="s">
        <v>243</v>
      </c>
      <c r="L428" s="4" t="s">
        <v>9864</v>
      </c>
      <c r="M428" s="4" t="s">
        <v>29</v>
      </c>
      <c r="N428" s="4" t="s">
        <v>4067</v>
      </c>
      <c r="O428" s="4" t="str">
        <f>IFERROR(__XLUDF.DUMMYFUNCTION("VLOOKUP(M426,IMPORTRANGE(""https://docs.google.com/spreadsheets/d/1opm6ZNvGZ7KditA9TuJwrZ25eFLfTNIkrNnY6mhV5Eg"",""list!A1:C115""),3,TRUE)"),"le secteur du conseil en management")</f>
        <v xml:space="preserve">le secteur du conseil en management</v>
      </c>
      <c r="P428" s="4" t="s">
        <v>13430</v>
      </c>
      <c r="R428" s="4" t="s">
        <v>243</v>
      </c>
      <c r="S428" s="4" t="s">
        <v>9864</v>
      </c>
      <c r="T428" s="4" t="s">
        <v>29</v>
      </c>
      <c r="U428" s="5" t="s">
        <v>13431</v>
      </c>
      <c r="V428" s="5" t="s">
        <v>13432</v>
      </c>
      <c r="W428" s="5" t="s">
        <v>13433</v>
      </c>
      <c r="X428" s="6"/>
      <c r="Y428" s="6"/>
      <c r="Z428" s="4" t="s">
        <v>13434</v>
      </c>
      <c r="AA428" s="6"/>
      <c r="AB428" s="5" t="s">
        <v>13435</v>
      </c>
    </row>
    <row r="429" ht="14.25">
      <c r="A429" s="4" t="s">
        <v>13437</v>
      </c>
      <c r="B429" s="4" t="s">
        <v>785</v>
      </c>
      <c r="C429" s="4" t="s">
        <v>7759</v>
      </c>
      <c r="F429" s="4" t="s">
        <v>13438</v>
      </c>
      <c r="G429" s="4">
        <v>10</v>
      </c>
      <c r="H429" s="4" t="s">
        <v>13439</v>
      </c>
      <c r="I429" s="4" t="str">
        <f>IFERROR(__XLUDF.DUMMYFUNCTION("PROPER(REGEXREPLACE(G427,""[^A-Za-z]+ "",""""))"),"Uni-Vision")</f>
        <v>Uni-Vision</v>
      </c>
      <c r="J429" s="5" t="s">
        <v>13440</v>
      </c>
      <c r="K429" s="4" t="s">
        <v>13441</v>
      </c>
      <c r="L429" s="4" t="s">
        <v>9350</v>
      </c>
      <c r="M429" s="4" t="s">
        <v>29</v>
      </c>
      <c r="N429" s="4" t="s">
        <v>2602</v>
      </c>
      <c r="O429" s="4" t="str">
        <f>IFERROR(__XLUDF.DUMMYFUNCTION("VLOOKUP(M427,IMPORTRANGE(""https://docs.google.com/spreadsheets/d/1opm6ZNvGZ7KditA9TuJwrZ25eFLfTNIkrNnY6mhV5Eg"",""list!A1:C115""),3,TRUE)"),"le secteur de la tech")</f>
        <v xml:space="preserve">le secteur de la tech</v>
      </c>
      <c r="P429" s="4" t="s">
        <v>13442</v>
      </c>
      <c r="R429" s="4" t="s">
        <v>13441</v>
      </c>
      <c r="S429" s="4" t="s">
        <v>9350</v>
      </c>
      <c r="T429" s="4" t="s">
        <v>29</v>
      </c>
      <c r="U429" s="5" t="s">
        <v>13443</v>
      </c>
      <c r="V429" s="6"/>
      <c r="W429" s="5" t="s">
        <v>13444</v>
      </c>
      <c r="X429" s="6"/>
      <c r="Y429" s="6"/>
      <c r="Z429" s="4" t="s">
        <v>13445</v>
      </c>
      <c r="AA429" s="6"/>
      <c r="AB429" s="5" t="s">
        <v>13446</v>
      </c>
    </row>
    <row r="430" ht="14.25">
      <c r="A430" s="4" t="s">
        <v>13448</v>
      </c>
      <c r="B430" s="4" t="s">
        <v>785</v>
      </c>
      <c r="C430" s="4" t="s">
        <v>13450</v>
      </c>
      <c r="F430" s="4" t="s">
        <v>13449</v>
      </c>
      <c r="G430" s="4">
        <v>11</v>
      </c>
      <c r="H430" s="4" t="s">
        <v>13451</v>
      </c>
      <c r="I430" s="4" t="str">
        <f>IFERROR(__XLUDF.DUMMYFUNCTION("PROPER(REGEXREPLACE(G428,""[^A-Za-z]+ "",""""))"),"Carmen Conseil")</f>
        <v xml:space="preserve">Carmen Conseil</v>
      </c>
      <c r="J430" s="5" t="s">
        <v>13452</v>
      </c>
      <c r="K430" s="4" t="s">
        <v>13453</v>
      </c>
      <c r="L430" s="4" t="s">
        <v>9864</v>
      </c>
      <c r="M430" s="4" t="s">
        <v>29</v>
      </c>
      <c r="N430" s="4" t="s">
        <v>4067</v>
      </c>
      <c r="O430" s="4" t="str">
        <f>IFERROR(__XLUDF.DUMMYFUNCTION("VLOOKUP(M428,IMPORTRANGE(""https://docs.google.com/spreadsheets/d/1opm6ZNvGZ7KditA9TuJwrZ25eFLfTNIkrNnY6mhV5Eg"",""list!A1:C115""),3,TRUE)"),"le secteur du conseil en management")</f>
        <v xml:space="preserve">le secteur du conseil en management</v>
      </c>
      <c r="P430" s="6"/>
      <c r="R430" s="4" t="s">
        <v>13454</v>
      </c>
      <c r="S430" s="4" t="s">
        <v>9864</v>
      </c>
      <c r="T430" s="4" t="s">
        <v>29</v>
      </c>
      <c r="U430" s="5" t="s">
        <v>13455</v>
      </c>
      <c r="V430" s="6"/>
      <c r="W430" s="6"/>
      <c r="X430" s="6"/>
      <c r="Y430" s="6"/>
      <c r="Z430" s="4" t="s">
        <v>13456</v>
      </c>
      <c r="AA430" s="6"/>
      <c r="AB430" s="5" t="s">
        <v>13457</v>
      </c>
    </row>
    <row r="431" ht="14.25">
      <c r="A431" s="4" t="s">
        <v>13459</v>
      </c>
      <c r="B431" s="4" t="s">
        <v>785</v>
      </c>
      <c r="C431" s="4" t="s">
        <v>112</v>
      </c>
      <c r="F431" s="4" t="s">
        <v>13460</v>
      </c>
      <c r="G431" s="4">
        <v>5</v>
      </c>
      <c r="H431" s="4" t="s">
        <v>13461</v>
      </c>
      <c r="I431" s="4" t="str">
        <f>IFERROR(__XLUDF.DUMMYFUNCTION("PROPER(REGEXREPLACE(G429,""[^A-Za-z]+ "",""""))"),"Beesap")</f>
        <v>Beesap</v>
      </c>
      <c r="J431" s="5" t="s">
        <v>13462</v>
      </c>
      <c r="K431" s="4" t="s">
        <v>846</v>
      </c>
      <c r="L431" s="4" t="s">
        <v>9278</v>
      </c>
      <c r="M431" s="4" t="s">
        <v>29</v>
      </c>
      <c r="N431" s="4" t="s">
        <v>2602</v>
      </c>
      <c r="O431" s="4" t="str">
        <f>IFERROR(__XLUDF.DUMMYFUNCTION("VLOOKUP(M429,IMPORTRANGE(""https://docs.google.com/spreadsheets/d/1opm6ZNvGZ7KditA9TuJwrZ25eFLfTNIkrNnY6mhV5Eg"",""list!A1:C115""),3,TRUE)"),"le secteur de la tech")</f>
        <v xml:space="preserve">le secteur de la tech</v>
      </c>
      <c r="P431" s="4" t="s">
        <v>13463</v>
      </c>
      <c r="R431" s="4" t="s">
        <v>846</v>
      </c>
      <c r="S431" s="4" t="s">
        <v>9278</v>
      </c>
      <c r="T431" s="4" t="s">
        <v>29</v>
      </c>
      <c r="U431" s="5" t="s">
        <v>13464</v>
      </c>
      <c r="V431" s="6"/>
      <c r="W431" s="6"/>
      <c r="X431" s="6"/>
      <c r="Y431" s="6"/>
      <c r="Z431" s="4" t="s">
        <v>13465</v>
      </c>
      <c r="AA431" s="6"/>
      <c r="AB431" s="5" t="s">
        <v>13466</v>
      </c>
    </row>
    <row r="432" ht="14.25">
      <c r="A432" s="4" t="s">
        <v>13468</v>
      </c>
      <c r="B432" s="4" t="s">
        <v>785</v>
      </c>
      <c r="C432" s="4" t="s">
        <v>247</v>
      </c>
      <c r="F432" s="4" t="s">
        <v>13469</v>
      </c>
      <c r="G432" s="4">
        <v>21</v>
      </c>
      <c r="H432" s="4" t="s">
        <v>13470</v>
      </c>
      <c r="I432" s="4" t="str">
        <f>IFERROR(__XLUDF.DUMMYFUNCTION("PROPER(REGEXREPLACE(G430,""[^A-Za-z]+ "",""""))"),"Lumiscaphe")</f>
        <v>Lumiscaphe</v>
      </c>
      <c r="J432" s="5" t="s">
        <v>13471</v>
      </c>
      <c r="K432" s="4" t="s">
        <v>13472</v>
      </c>
      <c r="L432" s="4" t="s">
        <v>9864</v>
      </c>
      <c r="M432" s="4" t="s">
        <v>29</v>
      </c>
      <c r="N432" s="4" t="s">
        <v>2602</v>
      </c>
      <c r="O432" s="4" t="str">
        <f>IFERROR(__XLUDF.DUMMYFUNCTION("VLOOKUP(M430,IMPORTRANGE(""https://docs.google.com/spreadsheets/d/1opm6ZNvGZ7KditA9TuJwrZ25eFLfTNIkrNnY6mhV5Eg"",""list!A1:C115""),3,TRUE)"),"le secteur de la tech")</f>
        <v xml:space="preserve">le secteur de la tech</v>
      </c>
      <c r="P432" s="4" t="s">
        <v>13473</v>
      </c>
      <c r="R432" s="4" t="s">
        <v>13472</v>
      </c>
      <c r="S432" s="4" t="s">
        <v>9864</v>
      </c>
      <c r="T432" s="4" t="s">
        <v>29</v>
      </c>
      <c r="U432" s="5" t="s">
        <v>13474</v>
      </c>
      <c r="V432" s="5" t="s">
        <v>13475</v>
      </c>
      <c r="W432" s="6"/>
      <c r="X432" s="6"/>
      <c r="Y432" s="6"/>
      <c r="Z432" s="4" t="s">
        <v>13476</v>
      </c>
      <c r="AA432" s="6"/>
      <c r="AB432" s="5" t="s">
        <v>13477</v>
      </c>
    </row>
    <row r="433" ht="14.25">
      <c r="A433" s="4" t="s">
        <v>13479</v>
      </c>
      <c r="B433" s="4" t="s">
        <v>785</v>
      </c>
      <c r="C433" s="4" t="s">
        <v>13481</v>
      </c>
      <c r="F433" s="4" t="s">
        <v>13480</v>
      </c>
      <c r="G433" s="4">
        <v>13</v>
      </c>
      <c r="H433" s="4" t="s">
        <v>13482</v>
      </c>
      <c r="I433" s="4" t="str">
        <f>IFERROR(__XLUDF.DUMMYFUNCTION("PROPER(REGEXREPLACE(G431,""[^A-Za-z]+ "",""""))"),"Mrit France")</f>
        <v xml:space="preserve">Mrit France</v>
      </c>
      <c r="J433" s="5" t="s">
        <v>13483</v>
      </c>
      <c r="K433" s="4" t="s">
        <v>1711</v>
      </c>
      <c r="L433" s="4" t="s">
        <v>9350</v>
      </c>
      <c r="M433" s="4" t="s">
        <v>29</v>
      </c>
      <c r="N433" s="4" t="s">
        <v>2602</v>
      </c>
      <c r="O433" s="4" t="str">
        <f>IFERROR(__XLUDF.DUMMYFUNCTION("VLOOKUP(M431,IMPORTRANGE(""https://docs.google.com/spreadsheets/d/1opm6ZNvGZ7KditA9TuJwrZ25eFLfTNIkrNnY6mhV5Eg"",""list!A1:C115""),3,TRUE)"),"le secteur de la tech")</f>
        <v xml:space="preserve">le secteur de la tech</v>
      </c>
      <c r="P433" s="6"/>
      <c r="R433" s="4" t="s">
        <v>11171</v>
      </c>
      <c r="S433" s="4" t="s">
        <v>9350</v>
      </c>
      <c r="T433" s="4" t="s">
        <v>29</v>
      </c>
      <c r="U433" s="5" t="s">
        <v>13484</v>
      </c>
      <c r="V433" s="6"/>
      <c r="W433" s="6"/>
      <c r="X433" s="6"/>
      <c r="Y433" s="6"/>
      <c r="Z433" s="4" t="s">
        <v>13485</v>
      </c>
      <c r="AA433" s="6"/>
      <c r="AB433" s="5" t="s">
        <v>13486</v>
      </c>
    </row>
    <row r="434" ht="14.25">
      <c r="A434" s="4" t="s">
        <v>8330</v>
      </c>
      <c r="B434" s="4" t="s">
        <v>785</v>
      </c>
      <c r="C434" s="4" t="s">
        <v>13489</v>
      </c>
      <c r="F434" s="4" t="s">
        <v>13488</v>
      </c>
      <c r="G434" s="4">
        <v>41</v>
      </c>
      <c r="H434" s="4" t="s">
        <v>13490</v>
      </c>
      <c r="I434" s="4" t="str">
        <f>IFERROR(__XLUDF.DUMMYFUNCTION("PROPER(REGEXREPLACE(G432,""[^A-Za-z]+ "",""""))"),"Calumino")</f>
        <v>Calumino</v>
      </c>
      <c r="J434" s="5" t="s">
        <v>13491</v>
      </c>
      <c r="K434" s="4" t="s">
        <v>13492</v>
      </c>
      <c r="L434" s="4" t="s">
        <v>9193</v>
      </c>
      <c r="M434" s="4" t="s">
        <v>29</v>
      </c>
      <c r="N434" s="4" t="s">
        <v>10215</v>
      </c>
      <c r="O434" s="4" t="str">
        <f>IFERROR(__XLUDF.DUMMYFUNCTION("VLOOKUP(M432,IMPORTRANGE(""https://docs.google.com/spreadsheets/d/1opm6ZNvGZ7KditA9TuJwrZ25eFLfTNIkrNnY6mhV5Eg"",""list!A1:C115""),3,TRUE)"),"le secteur de l'électrique et électronique")</f>
        <v xml:space="preserve">le secteur de l'électrique et électronique</v>
      </c>
      <c r="P434" s="4" t="s">
        <v>13493</v>
      </c>
      <c r="R434" s="4" t="s">
        <v>13494</v>
      </c>
      <c r="S434" s="4" t="s">
        <v>13495</v>
      </c>
      <c r="T434" s="4" t="s">
        <v>4340</v>
      </c>
      <c r="U434" s="5" t="s">
        <v>13496</v>
      </c>
      <c r="V434" s="6"/>
      <c r="W434" s="5" t="s">
        <v>13497</v>
      </c>
      <c r="X434" s="6"/>
      <c r="Y434" s="6"/>
      <c r="Z434" s="4" t="s">
        <v>13498</v>
      </c>
      <c r="AA434" s="6"/>
      <c r="AB434" s="5" t="s">
        <v>13499</v>
      </c>
    </row>
    <row r="435" ht="14.25">
      <c r="A435" s="4" t="s">
        <v>13501</v>
      </c>
      <c r="B435" s="4" t="s">
        <v>785</v>
      </c>
      <c r="C435" s="4" t="s">
        <v>247</v>
      </c>
      <c r="F435" s="4" t="s">
        <v>13502</v>
      </c>
      <c r="G435" s="4">
        <v>14</v>
      </c>
      <c r="H435" s="4" t="s">
        <v>13503</v>
      </c>
      <c r="I435" s="4" t="str">
        <f>IFERROR(__XLUDF.DUMMYFUNCTION("PROPER(REGEXREPLACE(G433,""[^A-Za-z]+ "",""""))"),"Fanprime")</f>
        <v>Fanprime</v>
      </c>
      <c r="J435" s="5" t="s">
        <v>13504</v>
      </c>
      <c r="K435" s="4" t="s">
        <v>39</v>
      </c>
      <c r="L435" s="4" t="s">
        <v>9160</v>
      </c>
      <c r="M435" s="4" t="s">
        <v>29</v>
      </c>
      <c r="N435" s="4" t="s">
        <v>2602</v>
      </c>
      <c r="O435" s="4" t="str">
        <f>IFERROR(__XLUDF.DUMMYFUNCTION("VLOOKUP(M433,IMPORTRANGE(""https://docs.google.com/spreadsheets/d/1opm6ZNvGZ7KditA9TuJwrZ25eFLfTNIkrNnY6mhV5Eg"",""list!A1:C115""),3,TRUE)"),"le secteur de la tech")</f>
        <v xml:space="preserve">le secteur de la tech</v>
      </c>
      <c r="P435" s="4" t="s">
        <v>13505</v>
      </c>
      <c r="R435" s="4" t="s">
        <v>39</v>
      </c>
      <c r="S435" s="4" t="s">
        <v>9160</v>
      </c>
      <c r="T435" s="4" t="s">
        <v>29</v>
      </c>
      <c r="U435" s="5" t="s">
        <v>13506</v>
      </c>
      <c r="V435" s="5" t="s">
        <v>13507</v>
      </c>
      <c r="W435" s="6"/>
      <c r="X435" s="6"/>
      <c r="Y435" s="6"/>
      <c r="Z435" s="4" t="s">
        <v>13508</v>
      </c>
      <c r="AA435" s="6"/>
      <c r="AB435" s="5" t="s">
        <v>13509</v>
      </c>
    </row>
    <row r="436" ht="14.25">
      <c r="A436" s="4" t="s">
        <v>13511</v>
      </c>
      <c r="B436" s="4" t="s">
        <v>785</v>
      </c>
      <c r="C436" s="4" t="s">
        <v>7185</v>
      </c>
      <c r="F436" s="4" t="s">
        <v>13512</v>
      </c>
      <c r="G436" s="4">
        <v>31</v>
      </c>
      <c r="H436" s="4" t="s">
        <v>13513</v>
      </c>
      <c r="I436" s="4" t="str">
        <f>IFERROR(__XLUDF.DUMMYFUNCTION("PROPER(REGEXREPLACE(G434,""[^A-Za-z]+ "",""""))"),"Guermonprez Storesfermetures")</f>
        <v xml:space="preserve">Guermonprez Storesfermetures</v>
      </c>
      <c r="J436" s="5" t="s">
        <v>13514</v>
      </c>
      <c r="K436" s="4" t="s">
        <v>846</v>
      </c>
      <c r="L436" s="4" t="s">
        <v>9278</v>
      </c>
      <c r="M436" s="4" t="s">
        <v>29</v>
      </c>
      <c r="N436" s="4" t="s">
        <v>9239</v>
      </c>
      <c r="O436" s="4" t="str">
        <f>IFERROR(__XLUDF.DUMMYFUNCTION("VLOOKUP(M434,IMPORTRANGE(""https://docs.google.com/spreadsheets/d/1opm6ZNvGZ7KditA9TuJwrZ25eFLfTNIkrNnY6mhV5Eg"",""list!A1:C115""),3,TRUE)"),"le secteur de la construction")</f>
        <v xml:space="preserve">le secteur de la construction</v>
      </c>
      <c r="P436" s="6"/>
      <c r="R436" s="4" t="s">
        <v>846</v>
      </c>
      <c r="S436" s="4" t="s">
        <v>9281</v>
      </c>
      <c r="T436" s="4" t="s">
        <v>29</v>
      </c>
      <c r="U436" s="5" t="s">
        <v>13515</v>
      </c>
      <c r="V436" s="6"/>
      <c r="W436" s="5" t="s">
        <v>13516</v>
      </c>
      <c r="X436" s="6"/>
      <c r="Y436" s="6"/>
      <c r="Z436" s="4" t="s">
        <v>13517</v>
      </c>
      <c r="AA436" s="6"/>
      <c r="AB436" s="5" t="s">
        <v>13518</v>
      </c>
    </row>
    <row r="437" ht="14.25">
      <c r="A437" s="4" t="s">
        <v>13520</v>
      </c>
      <c r="B437" s="4" t="s">
        <v>785</v>
      </c>
      <c r="C437" s="4" t="s">
        <v>7759</v>
      </c>
      <c r="F437" s="4" t="s">
        <v>13521</v>
      </c>
      <c r="G437" s="4">
        <v>21</v>
      </c>
      <c r="H437" s="4" t="s">
        <v>13522</v>
      </c>
      <c r="I437" s="4" t="str">
        <f>IFERROR(__XLUDF.DUMMYFUNCTION("PROPER(REGEXREPLACE(G435,""[^A-Za-z]+ "",""""))"),"Rénoouest")</f>
        <v>Rénoouest</v>
      </c>
      <c r="J437" s="5" t="s">
        <v>13523</v>
      </c>
      <c r="K437" s="4" t="s">
        <v>1711</v>
      </c>
      <c r="L437" s="4" t="s">
        <v>9350</v>
      </c>
      <c r="M437" s="4" t="s">
        <v>29</v>
      </c>
      <c r="N437" s="4" t="s">
        <v>9239</v>
      </c>
      <c r="O437" s="4" t="str">
        <f>IFERROR(__XLUDF.DUMMYFUNCTION("VLOOKUP(M435,IMPORTRANGE(""https://docs.google.com/spreadsheets/d/1opm6ZNvGZ7KditA9TuJwrZ25eFLfTNIkrNnY6mhV5Eg"",""list!A1:C115""),3,TRUE)"),"le secteur de la construction")</f>
        <v xml:space="preserve">le secteur de la construction</v>
      </c>
      <c r="P437" s="4" t="s">
        <v>13524</v>
      </c>
      <c r="R437" s="4" t="s">
        <v>13525</v>
      </c>
      <c r="S437" s="4" t="s">
        <v>9350</v>
      </c>
      <c r="T437" s="4" t="s">
        <v>29</v>
      </c>
      <c r="U437" s="5" t="s">
        <v>13526</v>
      </c>
      <c r="V437" s="6"/>
      <c r="W437" s="6"/>
      <c r="X437" s="6"/>
      <c r="Y437" s="6"/>
      <c r="Z437" s="4" t="s">
        <v>13527</v>
      </c>
      <c r="AA437" s="6"/>
      <c r="AB437" s="5" t="s">
        <v>13528</v>
      </c>
    </row>
    <row r="438" ht="14.25">
      <c r="A438" s="4" t="s">
        <v>13530</v>
      </c>
      <c r="B438" s="4" t="s">
        <v>785</v>
      </c>
      <c r="C438" s="4" t="s">
        <v>8042</v>
      </c>
      <c r="F438" s="4" t="s">
        <v>13531</v>
      </c>
      <c r="G438" s="4">
        <v>12</v>
      </c>
      <c r="H438" s="4" t="s">
        <v>13532</v>
      </c>
      <c r="I438" s="4" t="str">
        <f>IFERROR(__XLUDF.DUMMYFUNCTION("PROPER(REGEXREPLACE(G436,""[^A-Za-z]+ "",""""))"),"Sociacom")</f>
        <v>Sociacom</v>
      </c>
      <c r="J438" s="5" t="s">
        <v>13533</v>
      </c>
      <c r="K438" s="6"/>
      <c r="L438" s="4" t="s">
        <v>9160</v>
      </c>
      <c r="M438" s="4" t="s">
        <v>29</v>
      </c>
      <c r="N438" s="4" t="s">
        <v>4067</v>
      </c>
      <c r="O438" s="4" t="str">
        <f>IFERROR(__XLUDF.DUMMYFUNCTION("VLOOKUP(M436,IMPORTRANGE(""https://docs.google.com/spreadsheets/d/1opm6ZNvGZ7KditA9TuJwrZ25eFLfTNIkrNnY6mhV5Eg"",""list!A1:C115""),3,TRUE)"),"le secteur du conseil en management")</f>
        <v xml:space="preserve">le secteur du conseil en management</v>
      </c>
      <c r="P438" s="4" t="s">
        <v>13534</v>
      </c>
      <c r="R438" s="4" t="s">
        <v>13535</v>
      </c>
      <c r="S438" s="4" t="s">
        <v>9160</v>
      </c>
      <c r="T438" s="4" t="s">
        <v>29</v>
      </c>
      <c r="U438" s="5" t="s">
        <v>13536</v>
      </c>
      <c r="V438" s="6"/>
      <c r="W438" s="5" t="s">
        <v>13537</v>
      </c>
      <c r="X438" s="6"/>
      <c r="Y438" s="6"/>
      <c r="Z438" s="4" t="s">
        <v>13538</v>
      </c>
      <c r="AA438" s="6"/>
      <c r="AB438" s="5" t="s">
        <v>13539</v>
      </c>
    </row>
    <row r="439" ht="14.25">
      <c r="A439" s="4" t="s">
        <v>13541</v>
      </c>
      <c r="B439" s="4" t="s">
        <v>1815</v>
      </c>
      <c r="C439" s="4" t="s">
        <v>13543</v>
      </c>
      <c r="F439" s="4" t="s">
        <v>13542</v>
      </c>
      <c r="G439" s="4">
        <v>11</v>
      </c>
      <c r="H439" s="4" t="s">
        <v>13544</v>
      </c>
      <c r="I439" s="4" t="str">
        <f>IFERROR(__XLUDF.DUMMYFUNCTION("PROPER(REGEXREPLACE(G437,""[^A-Za-z]+ "",""""))"),"Sémawé")</f>
        <v>Sémawé</v>
      </c>
      <c r="J439" s="5" t="s">
        <v>13545</v>
      </c>
      <c r="K439" s="4" t="s">
        <v>1507</v>
      </c>
      <c r="L439" s="4" t="s">
        <v>9193</v>
      </c>
      <c r="M439" s="4" t="s">
        <v>29</v>
      </c>
      <c r="N439" s="4" t="s">
        <v>4067</v>
      </c>
      <c r="O439" s="4" t="str">
        <f>IFERROR(__XLUDF.DUMMYFUNCTION("VLOOKUP(M437,IMPORTRANGE(""https://docs.google.com/spreadsheets/d/1opm6ZNvGZ7KditA9TuJwrZ25eFLfTNIkrNnY6mhV5Eg"",""list!A1:C115""),3,TRUE)"),"le secteur du conseil en management")</f>
        <v xml:space="preserve">le secteur du conseil en management</v>
      </c>
      <c r="P439" s="4" t="s">
        <v>13546</v>
      </c>
      <c r="R439" s="4" t="s">
        <v>1507</v>
      </c>
      <c r="S439" s="4" t="s">
        <v>9193</v>
      </c>
      <c r="T439" s="4" t="s">
        <v>29</v>
      </c>
      <c r="U439" s="5" t="s">
        <v>13547</v>
      </c>
      <c r="V439" s="6"/>
      <c r="W439" s="6"/>
      <c r="X439" s="6"/>
      <c r="Y439" s="6"/>
      <c r="Z439" s="4" t="s">
        <v>13548</v>
      </c>
      <c r="AA439" s="6"/>
      <c r="AB439" s="5" t="s">
        <v>13549</v>
      </c>
    </row>
    <row r="440" ht="14.25">
      <c r="A440" s="4" t="s">
        <v>5071</v>
      </c>
      <c r="B440" s="4" t="s">
        <v>893</v>
      </c>
      <c r="C440" s="4" t="s">
        <v>13552</v>
      </c>
      <c r="F440" s="4" t="s">
        <v>13551</v>
      </c>
      <c r="G440" s="4">
        <v>15</v>
      </c>
      <c r="H440" s="4" t="s">
        <v>13553</v>
      </c>
      <c r="I440" s="4" t="str">
        <f>IFERROR(__XLUDF.DUMMYFUNCTION("PROPER(REGEXREPLACE(G438,""[^A-Za-z]+ "",""""))"),"Abelya Partners")</f>
        <v xml:space="preserve">Abelya Partners</v>
      </c>
      <c r="J440" s="5" t="s">
        <v>13554</v>
      </c>
      <c r="K440" s="4" t="s">
        <v>39</v>
      </c>
      <c r="L440" s="4" t="s">
        <v>9160</v>
      </c>
      <c r="M440" s="4" t="s">
        <v>29</v>
      </c>
      <c r="N440" s="4" t="s">
        <v>4067</v>
      </c>
      <c r="O440" s="4" t="str">
        <f>IFERROR(__XLUDF.DUMMYFUNCTION("VLOOKUP(M438,IMPORTRANGE(""https://docs.google.com/spreadsheets/d/1opm6ZNvGZ7KditA9TuJwrZ25eFLfTNIkrNnY6mhV5Eg"",""list!A1:C115""),3,TRUE)"),"le secteur du conseil en management")</f>
        <v xml:space="preserve">le secteur du conseil en management</v>
      </c>
      <c r="P440" s="4" t="s">
        <v>13555</v>
      </c>
      <c r="R440" s="4" t="s">
        <v>39</v>
      </c>
      <c r="S440" s="4" t="s">
        <v>9160</v>
      </c>
      <c r="T440" s="4" t="s">
        <v>29</v>
      </c>
      <c r="U440" s="5" t="s">
        <v>13556</v>
      </c>
      <c r="V440" s="6"/>
      <c r="W440" s="6"/>
      <c r="X440" s="6"/>
      <c r="Y440" s="6"/>
      <c r="Z440" s="4" t="s">
        <v>13557</v>
      </c>
      <c r="AA440" s="6"/>
      <c r="AB440" s="5" t="s">
        <v>13558</v>
      </c>
    </row>
    <row r="441" ht="14.25">
      <c r="A441" s="4" t="s">
        <v>13561</v>
      </c>
      <c r="B441" s="4" t="s">
        <v>13560</v>
      </c>
      <c r="C441" s="4" t="s">
        <v>365</v>
      </c>
      <c r="F441" s="4" t="s">
        <v>13562</v>
      </c>
      <c r="G441" s="4">
        <v>12</v>
      </c>
      <c r="H441" s="4" t="s">
        <v>13563</v>
      </c>
      <c r="I441" s="4" t="str">
        <f>IFERROR(__XLUDF.DUMMYFUNCTION("PROPER(REGEXREPLACE(G439,""[^A-Za-z]+ "",""""))"),"2Concert")</f>
        <v>2Concert</v>
      </c>
      <c r="J441" s="5" t="s">
        <v>13564</v>
      </c>
      <c r="K441" s="4" t="s">
        <v>243</v>
      </c>
      <c r="L441" s="4" t="s">
        <v>9864</v>
      </c>
      <c r="M441" s="4" t="s">
        <v>29</v>
      </c>
      <c r="N441" s="4" t="s">
        <v>10639</v>
      </c>
      <c r="O441" s="4" t="str">
        <f>IFERROR(__XLUDF.DUMMYFUNCTION("VLOOKUP(M439,IMPORTRANGE(""https://docs.google.com/spreadsheets/d/1opm6ZNvGZ7KditA9TuJwrZ25eFLfTNIkrNnY6mhV5Eg"",""list!A1:C115""),3,TRUE)"),"le secteur de la communication")</f>
        <v xml:space="preserve">le secteur de la communication</v>
      </c>
      <c r="P441" s="6"/>
      <c r="R441" s="4" t="s">
        <v>243</v>
      </c>
      <c r="S441" s="4" t="s">
        <v>10098</v>
      </c>
      <c r="T441" s="4" t="s">
        <v>29</v>
      </c>
      <c r="U441" s="5" t="s">
        <v>13565</v>
      </c>
      <c r="V441" s="6"/>
      <c r="W441" s="6"/>
      <c r="X441" s="6"/>
      <c r="Y441" s="6"/>
      <c r="Z441" s="4" t="s">
        <v>13566</v>
      </c>
      <c r="AA441" s="6"/>
      <c r="AB441" s="5" t="s">
        <v>13567</v>
      </c>
    </row>
    <row r="442" ht="14.25">
      <c r="A442" s="4" t="s">
        <v>13569</v>
      </c>
      <c r="B442" s="4" t="s">
        <v>6967</v>
      </c>
      <c r="C442" s="4" t="s">
        <v>172</v>
      </c>
      <c r="F442" s="4" t="s">
        <v>13570</v>
      </c>
      <c r="G442" s="4">
        <v>27</v>
      </c>
      <c r="H442" s="4" t="s">
        <v>13571</v>
      </c>
      <c r="I442" s="4" t="str">
        <f>IFERROR(__XLUDF.DUMMYFUNCTION("PROPER(REGEXREPLACE(G440,""[^A-Za-z]+ "",""""))"),"Profilculture")</f>
        <v>Profilculture</v>
      </c>
      <c r="J442" s="5" t="s">
        <v>13572</v>
      </c>
      <c r="K442" s="6"/>
      <c r="L442" s="4" t="s">
        <v>9160</v>
      </c>
      <c r="M442" s="4" t="s">
        <v>29</v>
      </c>
      <c r="N442" s="4" t="s">
        <v>4067</v>
      </c>
      <c r="O442" s="4" t="str">
        <f>IFERROR(__XLUDF.DUMMYFUNCTION("VLOOKUP(M440,IMPORTRANGE(""https://docs.google.com/spreadsheets/d/1opm6ZNvGZ7KditA9TuJwrZ25eFLfTNIkrNnY6mhV5Eg"",""list!A1:C115""),3,TRUE)"),"le secteur du conseil en management")</f>
        <v xml:space="preserve">le secteur du conseil en management</v>
      </c>
      <c r="P442" s="4" t="s">
        <v>13573</v>
      </c>
      <c r="R442" s="4" t="s">
        <v>39</v>
      </c>
      <c r="S442" s="4" t="s">
        <v>9160</v>
      </c>
      <c r="T442" s="4" t="s">
        <v>29</v>
      </c>
      <c r="U442" s="5" t="s">
        <v>13574</v>
      </c>
      <c r="V442" s="6"/>
      <c r="W442" s="6"/>
      <c r="X442" s="6"/>
      <c r="Y442" s="6"/>
      <c r="Z442" s="4" t="s">
        <v>13575</v>
      </c>
      <c r="AA442" s="6"/>
      <c r="AB442" s="5" t="s">
        <v>13576</v>
      </c>
    </row>
    <row r="443" ht="14.25">
      <c r="A443" s="4" t="s">
        <v>13578</v>
      </c>
      <c r="B443" s="4" t="s">
        <v>6967</v>
      </c>
      <c r="C443" s="4" t="s">
        <v>9849</v>
      </c>
      <c r="F443" s="4" t="s">
        <v>13579</v>
      </c>
      <c r="G443" s="4">
        <v>20</v>
      </c>
      <c r="H443" s="4" t="s">
        <v>13580</v>
      </c>
      <c r="I443" s="4" t="str">
        <f>IFERROR(__XLUDF.DUMMYFUNCTION("PROPER(REGEXREPLACE(G441,""[^A-Za-z]+ "",""""))"),"3S2I")</f>
        <v>3S2I</v>
      </c>
      <c r="J443" s="5" t="s">
        <v>13581</v>
      </c>
      <c r="K443" s="4" t="s">
        <v>49</v>
      </c>
      <c r="L443" s="4" t="s">
        <v>9251</v>
      </c>
      <c r="M443" s="4" t="s">
        <v>29</v>
      </c>
      <c r="N443" s="4" t="s">
        <v>2602</v>
      </c>
      <c r="O443" s="4" t="str">
        <f>IFERROR(__XLUDF.DUMMYFUNCTION("VLOOKUP(M441,IMPORTRANGE(""https://docs.google.com/spreadsheets/d/1opm6ZNvGZ7KditA9TuJwrZ25eFLfTNIkrNnY6mhV5Eg"",""list!A1:C115""),3,TRUE)"),"le secteur de la tech")</f>
        <v xml:space="preserve">le secteur de la tech</v>
      </c>
      <c r="P443" s="4" t="s">
        <v>13582</v>
      </c>
      <c r="R443" s="4" t="s">
        <v>49</v>
      </c>
      <c r="S443" s="4" t="s">
        <v>9251</v>
      </c>
      <c r="T443" s="4" t="s">
        <v>29</v>
      </c>
      <c r="U443" s="5" t="s">
        <v>13583</v>
      </c>
      <c r="V443" s="6"/>
      <c r="W443" s="6"/>
      <c r="X443" s="6"/>
      <c r="Y443" s="6"/>
      <c r="Z443" s="4" t="s">
        <v>13584</v>
      </c>
      <c r="AA443" s="6"/>
      <c r="AB443" s="5" t="s">
        <v>13585</v>
      </c>
    </row>
    <row r="444" ht="14.25">
      <c r="A444" s="4" t="s">
        <v>13587</v>
      </c>
      <c r="B444" s="4" t="s">
        <v>6967</v>
      </c>
      <c r="C444" s="4" t="s">
        <v>13589</v>
      </c>
      <c r="F444" s="4" t="s">
        <v>13588</v>
      </c>
      <c r="G444" s="4">
        <v>22</v>
      </c>
      <c r="H444" s="4" t="s">
        <v>13590</v>
      </c>
      <c r="I444" s="4" t="str">
        <f>IFERROR(__XLUDF.DUMMYFUNCTION("PROPER(REGEXREPLACE(G442,""[^A-Za-z]+ "",""""))"),"Flowlity")</f>
        <v>Flowlity</v>
      </c>
      <c r="J444" s="5" t="s">
        <v>13591</v>
      </c>
      <c r="K444" s="4" t="s">
        <v>39</v>
      </c>
      <c r="L444" s="4" t="s">
        <v>9160</v>
      </c>
      <c r="M444" s="4" t="s">
        <v>29</v>
      </c>
      <c r="N444" s="4" t="s">
        <v>2602</v>
      </c>
      <c r="O444" s="4" t="str">
        <f>IFERROR(__XLUDF.DUMMYFUNCTION("VLOOKUP(M442,IMPORTRANGE(""https://docs.google.com/spreadsheets/d/1opm6ZNvGZ7KditA9TuJwrZ25eFLfTNIkrNnY6mhV5Eg"",""list!A1:C115""),3,TRUE)"),"le secteur de la tech")</f>
        <v xml:space="preserve">le secteur de la tech</v>
      </c>
      <c r="P444" s="4" t="s">
        <v>13592</v>
      </c>
      <c r="R444" s="4" t="s">
        <v>39</v>
      </c>
      <c r="S444" s="4" t="s">
        <v>9160</v>
      </c>
      <c r="T444" s="4" t="s">
        <v>29</v>
      </c>
      <c r="U444" s="5" t="s">
        <v>13593</v>
      </c>
      <c r="V444" s="5" t="s">
        <v>13594</v>
      </c>
      <c r="W444" s="5" t="s">
        <v>9981</v>
      </c>
      <c r="X444" s="6"/>
      <c r="Y444" s="6"/>
      <c r="Z444" s="4" t="s">
        <v>13595</v>
      </c>
      <c r="AA444" s="6"/>
      <c r="AB444" s="5" t="s">
        <v>13596</v>
      </c>
    </row>
    <row r="445" ht="14.25">
      <c r="A445" s="4" t="s">
        <v>13598</v>
      </c>
      <c r="B445" s="4" t="s">
        <v>893</v>
      </c>
      <c r="C445" s="4" t="s">
        <v>1231</v>
      </c>
      <c r="F445" s="4" t="s">
        <v>13599</v>
      </c>
      <c r="G445" s="4">
        <v>48</v>
      </c>
      <c r="H445" s="4" t="s">
        <v>13600</v>
      </c>
      <c r="I445" s="4" t="str">
        <f>IFERROR(__XLUDF.DUMMYFUNCTION("PROPER(REGEXREPLACE(G443,""[^A-Za-z]+ "",""""))"),"Mercateam")</f>
        <v>Mercateam</v>
      </c>
      <c r="J445" s="4" t="s">
        <v>13601</v>
      </c>
      <c r="K445" s="4" t="s">
        <v>39</v>
      </c>
      <c r="L445" s="4" t="s">
        <v>9160</v>
      </c>
      <c r="M445" s="4" t="s">
        <v>29</v>
      </c>
      <c r="N445" s="4" t="s">
        <v>2602</v>
      </c>
      <c r="O445" s="4" t="str">
        <f>IFERROR(__XLUDF.DUMMYFUNCTION("VLOOKUP(M443,IMPORTRANGE(""https://docs.google.com/spreadsheets/d/1opm6ZNvGZ7KditA9TuJwrZ25eFLfTNIkrNnY6mhV5Eg"",""list!A1:C115""),3,TRUE)"),"le secteur de la tech")</f>
        <v xml:space="preserve">le secteur de la tech</v>
      </c>
      <c r="P445" s="4" t="s">
        <v>13602</v>
      </c>
      <c r="R445" s="4" t="s">
        <v>39</v>
      </c>
      <c r="S445" s="4" t="s">
        <v>9160</v>
      </c>
      <c r="T445" s="4" t="s">
        <v>29</v>
      </c>
      <c r="U445" s="5" t="s">
        <v>13603</v>
      </c>
      <c r="V445" s="6"/>
      <c r="W445" s="6"/>
      <c r="X445" s="6"/>
      <c r="Y445" s="6"/>
      <c r="Z445" s="4" t="s">
        <v>13604</v>
      </c>
      <c r="AA445" s="6"/>
      <c r="AB445" s="5" t="s">
        <v>13605</v>
      </c>
    </row>
    <row r="446" ht="14.25">
      <c r="A446" s="4" t="s">
        <v>13608</v>
      </c>
      <c r="B446" s="4" t="s">
        <v>13607</v>
      </c>
      <c r="C446" s="4" t="s">
        <v>315</v>
      </c>
      <c r="F446" s="4" t="s">
        <v>13609</v>
      </c>
      <c r="G446" s="4">
        <v>12</v>
      </c>
      <c r="H446" s="4" t="s">
        <v>13610</v>
      </c>
      <c r="I446" s="4" t="str">
        <f>IFERROR(__XLUDF.DUMMYFUNCTION("PROPER(REGEXREPLACE(G444,""[^A-Za-z]+ "",""""))"),"Qualibooth")</f>
        <v>Qualibooth</v>
      </c>
      <c r="J446" s="5" t="s">
        <v>13611</v>
      </c>
      <c r="K446" s="4" t="s">
        <v>39</v>
      </c>
      <c r="L446" s="4" t="s">
        <v>9160</v>
      </c>
      <c r="M446" s="4" t="s">
        <v>29</v>
      </c>
      <c r="N446" s="4" t="s">
        <v>2602</v>
      </c>
      <c r="O446" s="4" t="str">
        <f>IFERROR(__XLUDF.DUMMYFUNCTION("VLOOKUP(M444,IMPORTRANGE(""https://docs.google.com/spreadsheets/d/1opm6ZNvGZ7KditA9TuJwrZ25eFLfTNIkrNnY6mhV5Eg"",""list!A1:C115""),3,TRUE)"),"le secteur de la tech")</f>
        <v xml:space="preserve">le secteur de la tech</v>
      </c>
      <c r="P446" s="6"/>
      <c r="R446" s="4" t="s">
        <v>13612</v>
      </c>
      <c r="S446" s="4" t="s">
        <v>13613</v>
      </c>
      <c r="T446" s="4" t="s">
        <v>3495</v>
      </c>
      <c r="U446" s="5" t="s">
        <v>13614</v>
      </c>
      <c r="V446" s="6"/>
      <c r="W446" s="6"/>
      <c r="X446" s="6"/>
      <c r="Y446" s="6"/>
      <c r="Z446" s="4" t="s">
        <v>13615</v>
      </c>
      <c r="AA446" s="6"/>
      <c r="AB446" s="5" t="s">
        <v>13616</v>
      </c>
    </row>
    <row r="447" ht="14.25">
      <c r="A447" s="4" t="s">
        <v>13618</v>
      </c>
      <c r="B447" s="4" t="s">
        <v>7877</v>
      </c>
      <c r="C447" s="4" t="s">
        <v>112</v>
      </c>
      <c r="F447" s="4" t="s">
        <v>13619</v>
      </c>
      <c r="G447" s="4">
        <v>17</v>
      </c>
      <c r="H447" s="4" t="s">
        <v>13620</v>
      </c>
      <c r="I447" s="4" t="str">
        <f>IFERROR(__XLUDF.DUMMYFUNCTION("PROPER(REGEXREPLACE(G445,""[^A-Za-z]+ "",""""))"),"Ambiances Tp")</f>
        <v xml:space="preserve">Ambiances Tp</v>
      </c>
      <c r="J447" s="5" t="s">
        <v>13621</v>
      </c>
      <c r="K447" s="4" t="s">
        <v>846</v>
      </c>
      <c r="L447" s="4" t="s">
        <v>9278</v>
      </c>
      <c r="M447" s="4" t="s">
        <v>29</v>
      </c>
      <c r="N447" s="4" t="s">
        <v>9239</v>
      </c>
      <c r="O447" s="4" t="str">
        <f>IFERROR(__XLUDF.DUMMYFUNCTION("VLOOKUP(M445,IMPORTRANGE(""https://docs.google.com/spreadsheets/d/1opm6ZNvGZ7KditA9TuJwrZ25eFLfTNIkrNnY6mhV5Eg"",""list!A1:C115""),3,TRUE)"),"le secteur de la construction")</f>
        <v xml:space="preserve">le secteur de la construction</v>
      </c>
      <c r="P447" s="4" t="s">
        <v>13622</v>
      </c>
      <c r="R447" s="4" t="s">
        <v>13623</v>
      </c>
      <c r="S447" s="4" t="s">
        <v>9281</v>
      </c>
      <c r="T447" s="4" t="s">
        <v>29</v>
      </c>
      <c r="U447" s="5" t="s">
        <v>13624</v>
      </c>
      <c r="V447" s="6"/>
      <c r="W447" s="5" t="s">
        <v>13625</v>
      </c>
      <c r="X447" s="6"/>
      <c r="Y447" s="6"/>
      <c r="Z447" s="4" t="s">
        <v>13626</v>
      </c>
      <c r="AA447" s="6"/>
      <c r="AB447" s="5" t="s">
        <v>13627</v>
      </c>
    </row>
    <row r="448" ht="14.25">
      <c r="A448" s="4" t="s">
        <v>13630</v>
      </c>
      <c r="B448" s="4" t="s">
        <v>13629</v>
      </c>
      <c r="C448" s="4" t="s">
        <v>2911</v>
      </c>
      <c r="F448" s="4" t="s">
        <v>13631</v>
      </c>
      <c r="G448" s="4">
        <v>19</v>
      </c>
      <c r="H448" s="5" t="s">
        <v>13632</v>
      </c>
      <c r="I448" s="5" t="str">
        <f>IFERROR(__XLUDF.DUMMYFUNCTION("PROPER(REGEXREPLACE(G446,""[^A-Za-z]+ "",""""))"),"Moksa.Ai")</f>
        <v>Moksa.Ai</v>
      </c>
      <c r="J448" s="5" t="s">
        <v>13633</v>
      </c>
      <c r="K448" s="4" t="s">
        <v>39</v>
      </c>
      <c r="L448" s="4" t="s">
        <v>9160</v>
      </c>
      <c r="M448" s="4" t="s">
        <v>29</v>
      </c>
      <c r="N448" s="4" t="s">
        <v>2602</v>
      </c>
      <c r="O448" s="4" t="str">
        <f>IFERROR(__XLUDF.DUMMYFUNCTION("VLOOKUP(M446,IMPORTRANGE(""https://docs.google.com/spreadsheets/d/1opm6ZNvGZ7KditA9TuJwrZ25eFLfTNIkrNnY6mhV5Eg"",""list!A1:C115""),3,TRUE)"),"le secteur de la tech")</f>
        <v xml:space="preserve">le secteur de la tech</v>
      </c>
      <c r="P448" s="4" t="s">
        <v>13634</v>
      </c>
      <c r="R448" s="6"/>
      <c r="S448" s="4" t="s">
        <v>13635</v>
      </c>
      <c r="T448" s="4" t="s">
        <v>1261</v>
      </c>
      <c r="U448" s="5" t="s">
        <v>13636</v>
      </c>
      <c r="V448" s="5" t="s">
        <v>13637</v>
      </c>
      <c r="W448" s="5" t="s">
        <v>13638</v>
      </c>
      <c r="X448" s="6"/>
      <c r="Y448" s="6"/>
      <c r="Z448" s="4" t="s">
        <v>13639</v>
      </c>
      <c r="AA448" s="6"/>
      <c r="AB448" s="5" t="s">
        <v>13640</v>
      </c>
    </row>
    <row r="449" ht="14.25">
      <c r="A449" s="4" t="s">
        <v>13642</v>
      </c>
      <c r="B449" s="4" t="s">
        <v>1404</v>
      </c>
      <c r="C449" s="4" t="s">
        <v>13644</v>
      </c>
      <c r="F449" s="4" t="s">
        <v>13643</v>
      </c>
      <c r="G449" s="4">
        <v>14</v>
      </c>
      <c r="H449" s="4" t="s">
        <v>13645</v>
      </c>
      <c r="I449" s="4" t="str">
        <f>IFERROR(__XLUDF.DUMMYFUNCTION("PROPER(REGEXREPLACE(G447,""[^A-Za-z]+ "",""""))"),"Abarnou")</f>
        <v>Abarnou</v>
      </c>
      <c r="J449" s="5" t="s">
        <v>13646</v>
      </c>
      <c r="K449" s="4" t="s">
        <v>13647</v>
      </c>
      <c r="L449" s="4" t="s">
        <v>9226</v>
      </c>
      <c r="M449" s="4" t="s">
        <v>29</v>
      </c>
      <c r="N449" s="4" t="s">
        <v>10215</v>
      </c>
      <c r="O449" s="4" t="str">
        <f>IFERROR(__XLUDF.DUMMYFUNCTION("VLOOKUP(M447,IMPORTRANGE(""https://docs.google.com/spreadsheets/d/1opm6ZNvGZ7KditA9TuJwrZ25eFLfTNIkrNnY6mhV5Eg"",""list!A1:C115""),3,TRUE)"),"le secteur de l'électrique et électronique")</f>
        <v xml:space="preserve">le secteur de l'électrique et électronique</v>
      </c>
      <c r="P449" s="4" t="s">
        <v>13648</v>
      </c>
      <c r="R449" s="4" t="s">
        <v>13647</v>
      </c>
      <c r="S449" s="4" t="s">
        <v>9267</v>
      </c>
      <c r="T449" s="4" t="s">
        <v>29</v>
      </c>
      <c r="U449" s="5" t="s">
        <v>13649</v>
      </c>
      <c r="V449" s="5" t="s">
        <v>13650</v>
      </c>
      <c r="W449" s="6"/>
      <c r="X449" s="6"/>
      <c r="Y449" s="6"/>
      <c r="Z449" s="4" t="s">
        <v>13651</v>
      </c>
      <c r="AA449" s="6"/>
      <c r="AB449" s="5" t="s">
        <v>13652</v>
      </c>
    </row>
    <row r="450" ht="14.25">
      <c r="A450" s="4" t="s">
        <v>13655</v>
      </c>
      <c r="B450" s="4" t="s">
        <v>13654</v>
      </c>
      <c r="C450" s="4" t="s">
        <v>2645</v>
      </c>
      <c r="F450" s="4" t="s">
        <v>13656</v>
      </c>
      <c r="G450" s="4">
        <v>23</v>
      </c>
      <c r="H450" s="4" t="s">
        <v>13657</v>
      </c>
      <c r="I450" s="4" t="str">
        <f>IFERROR(__XLUDF.DUMMYFUNCTION("PROPER(REGEXREPLACE(G448,""[^A-Za-z]+ "",""""))"),"La Maison Française")</f>
        <v xml:space="preserve">La Maison Française</v>
      </c>
      <c r="J450" s="5" t="s">
        <v>13658</v>
      </c>
      <c r="K450" s="4" t="s">
        <v>295</v>
      </c>
      <c r="L450" s="4" t="s">
        <v>9251</v>
      </c>
      <c r="M450" s="4" t="s">
        <v>29</v>
      </c>
      <c r="N450" s="4" t="s">
        <v>4525</v>
      </c>
      <c r="O450" s="4" t="str">
        <f>IFERROR(__XLUDF.DUMMYFUNCTION("VLOOKUP(M448,IMPORTRANGE(""https://docs.google.com/spreadsheets/d/1opm6ZNvGZ7KditA9TuJwrZ25eFLfTNIkrNnY6mhV5Eg"",""list!A1:C115""),3,TRUE)"),"le secteur du retail")</f>
        <v xml:space="preserve">le secteur du retail</v>
      </c>
      <c r="P450" s="6"/>
      <c r="R450" s="4" t="s">
        <v>1015</v>
      </c>
      <c r="S450" s="4" t="s">
        <v>9251</v>
      </c>
      <c r="T450" s="4" t="s">
        <v>29</v>
      </c>
      <c r="U450" s="5" t="s">
        <v>13659</v>
      </c>
      <c r="V450" s="6"/>
      <c r="W450" s="6"/>
      <c r="X450" s="6"/>
      <c r="Y450" s="6"/>
      <c r="Z450" s="4" t="s">
        <v>2431</v>
      </c>
      <c r="AA450" s="6"/>
      <c r="AB450" s="5" t="s">
        <v>13660</v>
      </c>
    </row>
    <row r="451" ht="14.25">
      <c r="A451" s="4" t="s">
        <v>13662</v>
      </c>
      <c r="B451" s="4" t="s">
        <v>76</v>
      </c>
      <c r="C451" s="4" t="s">
        <v>112</v>
      </c>
      <c r="F451" s="4" t="s">
        <v>13663</v>
      </c>
      <c r="G451" s="4">
        <v>12</v>
      </c>
      <c r="H451" s="4" t="s">
        <v>13664</v>
      </c>
      <c r="I451" s="4" t="str">
        <f>IFERROR(__XLUDF.DUMMYFUNCTION("PROPER(REGEXREPLACE(G449,""[^A-Za-z]+ "",""""))"),"Kleva Facilities Management")</f>
        <v xml:space="preserve">Kleva Facilities Management</v>
      </c>
      <c r="J451" s="5" t="s">
        <v>13665</v>
      </c>
      <c r="K451" s="4" t="s">
        <v>12445</v>
      </c>
      <c r="L451" s="4" t="s">
        <v>9460</v>
      </c>
      <c r="M451" s="4" t="s">
        <v>29</v>
      </c>
      <c r="N451" s="4" t="s">
        <v>9239</v>
      </c>
      <c r="O451" s="4" t="str">
        <f>IFERROR(__XLUDF.DUMMYFUNCTION("VLOOKUP(M449,IMPORTRANGE(""https://docs.google.com/spreadsheets/d/1opm6ZNvGZ7KditA9TuJwrZ25eFLfTNIkrNnY6mhV5Eg"",""list!A1:C115""),3,TRUE)"),"le secteur de la construction")</f>
        <v xml:space="preserve">le secteur de la construction</v>
      </c>
      <c r="P451" s="4" t="s">
        <v>13666</v>
      </c>
      <c r="R451" s="4" t="s">
        <v>12445</v>
      </c>
      <c r="S451" s="4" t="s">
        <v>9463</v>
      </c>
      <c r="T451" s="4" t="s">
        <v>29</v>
      </c>
      <c r="U451" s="5" t="s">
        <v>13667</v>
      </c>
      <c r="V451" s="6"/>
      <c r="W451" s="6"/>
      <c r="X451" s="6"/>
      <c r="Y451" s="6"/>
      <c r="Z451" s="4" t="s">
        <v>13668</v>
      </c>
      <c r="AA451" s="6"/>
      <c r="AB451" s="5" t="s">
        <v>13669</v>
      </c>
    </row>
    <row r="452" ht="14.25">
      <c r="A452" s="4" t="s">
        <v>13671</v>
      </c>
      <c r="B452" s="4" t="s">
        <v>76</v>
      </c>
      <c r="C452" s="4" t="s">
        <v>112</v>
      </c>
      <c r="F452" s="4" t="s">
        <v>13672</v>
      </c>
      <c r="G452" s="4">
        <v>10</v>
      </c>
      <c r="H452" s="4" t="s">
        <v>13673</v>
      </c>
      <c r="I452" s="4" t="str">
        <f>IFERROR(__XLUDF.DUMMYFUNCTION("PROPER(REGEXREPLACE(G450,""[^A-Za-z]+ "",""""))"),"E For Ia")</f>
        <v xml:space="preserve">E For Ia</v>
      </c>
      <c r="J452" s="5" t="s">
        <v>13674</v>
      </c>
      <c r="K452" s="4" t="s">
        <v>83</v>
      </c>
      <c r="L452" s="4" t="s">
        <v>9460</v>
      </c>
      <c r="M452" s="4" t="s">
        <v>29</v>
      </c>
      <c r="N452" s="4" t="s">
        <v>2602</v>
      </c>
      <c r="O452" s="4" t="str">
        <f>IFERROR(__XLUDF.DUMMYFUNCTION("VLOOKUP(M450,IMPORTRANGE(""https://docs.google.com/spreadsheets/d/1opm6ZNvGZ7KditA9TuJwrZ25eFLfTNIkrNnY6mhV5Eg"",""list!A1:C115""),3,TRUE)"),"le secteur de la tech")</f>
        <v xml:space="preserve">le secteur de la tech</v>
      </c>
      <c r="P452" s="4" t="s">
        <v>13675</v>
      </c>
      <c r="R452" s="4" t="s">
        <v>13676</v>
      </c>
      <c r="S452" s="4" t="s">
        <v>9463</v>
      </c>
      <c r="T452" s="4" t="s">
        <v>29</v>
      </c>
      <c r="U452" s="5" t="s">
        <v>13677</v>
      </c>
      <c r="V452" s="6"/>
      <c r="W452" s="6"/>
      <c r="X452" s="6"/>
      <c r="Y452" s="6"/>
      <c r="Z452" s="4" t="s">
        <v>13678</v>
      </c>
      <c r="AA452" s="6"/>
      <c r="AB452" s="5" t="s">
        <v>13679</v>
      </c>
    </row>
    <row r="453" ht="14.25">
      <c r="A453" s="4" t="s">
        <v>13681</v>
      </c>
      <c r="B453" s="4" t="s">
        <v>5103</v>
      </c>
      <c r="C453" s="4" t="s">
        <v>13683</v>
      </c>
      <c r="F453" s="4" t="s">
        <v>13682</v>
      </c>
      <c r="G453" s="4">
        <v>24</v>
      </c>
      <c r="H453" s="4" t="s">
        <v>13684</v>
      </c>
      <c r="I453" s="4" t="str">
        <f>IFERROR(__XLUDF.DUMMYFUNCTION("PROPER(REGEXREPLACE(G451,""[^A-Za-z]+ "",""""))"),"Centres De Gestion Du Stress")</f>
        <v xml:space="preserve">Centres De Gestion Du Stress</v>
      </c>
      <c r="J453" s="5" t="s">
        <v>13685</v>
      </c>
      <c r="K453" s="4" t="s">
        <v>1142</v>
      </c>
      <c r="L453" s="4" t="s">
        <v>9193</v>
      </c>
      <c r="M453" s="4" t="s">
        <v>29</v>
      </c>
      <c r="N453" s="4" t="s">
        <v>4067</v>
      </c>
      <c r="O453" s="4" t="str">
        <f>IFERROR(__XLUDF.DUMMYFUNCTION("VLOOKUP(M451,IMPORTRANGE(""https://docs.google.com/spreadsheets/d/1opm6ZNvGZ7KditA9TuJwrZ25eFLfTNIkrNnY6mhV5Eg"",""list!A1:C115""),3,TRUE)"),"le secteur du conseil en management")</f>
        <v xml:space="preserve">le secteur du conseil en management</v>
      </c>
      <c r="P453" s="4" t="s">
        <v>13686</v>
      </c>
      <c r="R453" s="4" t="s">
        <v>1142</v>
      </c>
      <c r="S453" s="4" t="s">
        <v>9193</v>
      </c>
      <c r="T453" s="4" t="s">
        <v>29</v>
      </c>
      <c r="U453" s="5" t="s">
        <v>13687</v>
      </c>
      <c r="V453" s="6"/>
      <c r="W453" s="6"/>
      <c r="X453" s="6"/>
      <c r="Y453" s="6"/>
      <c r="Z453" s="4" t="s">
        <v>13688</v>
      </c>
      <c r="AA453" s="6"/>
      <c r="AB453" s="5" t="s">
        <v>13689</v>
      </c>
    </row>
    <row r="454" ht="14.25">
      <c r="A454" s="4" t="s">
        <v>13692</v>
      </c>
      <c r="B454" s="4" t="s">
        <v>13691</v>
      </c>
      <c r="C454" s="4" t="s">
        <v>7759</v>
      </c>
      <c r="F454" s="4" t="s">
        <v>13693</v>
      </c>
      <c r="G454" s="4">
        <v>12</v>
      </c>
      <c r="H454" s="4" t="s">
        <v>13694</v>
      </c>
      <c r="I454" s="4" t="str">
        <f>IFERROR(__XLUDF.DUMMYFUNCTION("PROPER(REGEXREPLACE(G452,""[^A-Za-z]+ "",""""))"),"Ls Work")</f>
        <v xml:space="preserve">Ls Work</v>
      </c>
      <c r="J454" s="5" t="s">
        <v>13695</v>
      </c>
      <c r="K454" s="4" t="s">
        <v>13696</v>
      </c>
      <c r="L454" s="4" t="s">
        <v>9160</v>
      </c>
      <c r="M454" s="4" t="s">
        <v>29</v>
      </c>
      <c r="N454" s="4" t="s">
        <v>9239</v>
      </c>
      <c r="O454" s="4" t="str">
        <f>IFERROR(__XLUDF.DUMMYFUNCTION("VLOOKUP(M452,IMPORTRANGE(""https://docs.google.com/spreadsheets/d/1opm6ZNvGZ7KditA9TuJwrZ25eFLfTNIkrNnY6mhV5Eg"",""list!A1:C115""),3,TRUE)"),"le secteur de la construction")</f>
        <v xml:space="preserve">le secteur de la construction</v>
      </c>
      <c r="P454" s="4" t="s">
        <v>13697</v>
      </c>
      <c r="R454" s="4" t="s">
        <v>13696</v>
      </c>
      <c r="S454" s="4" t="s">
        <v>9160</v>
      </c>
      <c r="T454" s="4" t="s">
        <v>29</v>
      </c>
      <c r="U454" s="5" t="s">
        <v>13698</v>
      </c>
      <c r="V454" s="6"/>
      <c r="W454" s="6"/>
      <c r="X454" s="6"/>
      <c r="Y454" s="6"/>
      <c r="Z454" s="4" t="s">
        <v>13699</v>
      </c>
      <c r="AA454" s="6"/>
      <c r="AB454" s="5" t="s">
        <v>13700</v>
      </c>
    </row>
    <row r="455" ht="14.25">
      <c r="A455" s="4" t="s">
        <v>13702</v>
      </c>
      <c r="B455" s="4" t="s">
        <v>971</v>
      </c>
      <c r="C455" s="4" t="s">
        <v>7759</v>
      </c>
      <c r="F455" s="4" t="s">
        <v>13703</v>
      </c>
      <c r="G455" s="4">
        <v>44</v>
      </c>
      <c r="H455" s="4" t="s">
        <v>13704</v>
      </c>
      <c r="I455" s="4" t="str">
        <f>IFERROR(__XLUDF.DUMMYFUNCTION("PROPER(REGEXREPLACE(G453,""[^A-Za-z]+ "",""""))"),"Kemtec Engineering")</f>
        <v xml:space="preserve">Kemtec Engineering</v>
      </c>
      <c r="J455" s="5" t="s">
        <v>13705</v>
      </c>
      <c r="K455" s="4" t="s">
        <v>185</v>
      </c>
      <c r="L455" s="4" t="s">
        <v>9193</v>
      </c>
      <c r="M455" s="4" t="s">
        <v>29</v>
      </c>
      <c r="N455" s="4" t="s">
        <v>4067</v>
      </c>
      <c r="O455" s="4" t="str">
        <f>IFERROR(__XLUDF.DUMMYFUNCTION("VLOOKUP(M453,IMPORTRANGE(""https://docs.google.com/spreadsheets/d/1opm6ZNvGZ7KditA9TuJwrZ25eFLfTNIkrNnY6mhV5Eg"",""list!A1:C115""),3,TRUE)"),"le secteur du conseil en management")</f>
        <v xml:space="preserve">le secteur du conseil en management</v>
      </c>
      <c r="P455" s="4" t="s">
        <v>13706</v>
      </c>
      <c r="R455" s="4" t="s">
        <v>2824</v>
      </c>
      <c r="S455" s="4" t="s">
        <v>9172</v>
      </c>
      <c r="T455" s="4" t="s">
        <v>29</v>
      </c>
      <c r="U455" s="5" t="s">
        <v>13707</v>
      </c>
      <c r="V455" s="6"/>
      <c r="W455" s="6"/>
      <c r="X455" s="6"/>
      <c r="Y455" s="6"/>
      <c r="Z455" s="4" t="s">
        <v>13708</v>
      </c>
      <c r="AA455" s="6"/>
      <c r="AB455" s="5" t="s">
        <v>13709</v>
      </c>
    </row>
    <row r="456" ht="14.25">
      <c r="A456" s="4" t="s">
        <v>13711</v>
      </c>
      <c r="B456" s="4" t="s">
        <v>2516</v>
      </c>
      <c r="C456" s="4" t="s">
        <v>7759</v>
      </c>
      <c r="F456" s="4" t="s">
        <v>13712</v>
      </c>
      <c r="G456" s="4">
        <v>21</v>
      </c>
      <c r="H456" s="4" t="s">
        <v>13713</v>
      </c>
      <c r="I456" s="4" t="str">
        <f>IFERROR(__XLUDF.DUMMYFUNCTION("PROPER(REGEXREPLACE(G454,""[^A-Za-z]+ "",""""))"),"Cbh")</f>
        <v>Cbh</v>
      </c>
      <c r="J456" s="5" t="s">
        <v>13714</v>
      </c>
      <c r="K456" s="4" t="s">
        <v>13715</v>
      </c>
      <c r="L456" s="4" t="s">
        <v>9227</v>
      </c>
      <c r="M456" s="4" t="s">
        <v>29</v>
      </c>
      <c r="N456" s="4" t="s">
        <v>9239</v>
      </c>
      <c r="O456" s="4" t="str">
        <f>IFERROR(__XLUDF.DUMMYFUNCTION("VLOOKUP(M454,IMPORTRANGE(""https://docs.google.com/spreadsheets/d/1opm6ZNvGZ7KditA9TuJwrZ25eFLfTNIkrNnY6mhV5Eg"",""list!A1:C115""),3,TRUE)"),"le secteur de la construction")</f>
        <v xml:space="preserve">le secteur de la construction</v>
      </c>
      <c r="P456" s="4" t="s">
        <v>13716</v>
      </c>
      <c r="R456" s="4" t="s">
        <v>13715</v>
      </c>
      <c r="S456" s="4" t="s">
        <v>9227</v>
      </c>
      <c r="T456" s="4" t="s">
        <v>29</v>
      </c>
      <c r="U456" s="5" t="s">
        <v>13717</v>
      </c>
      <c r="V456" s="6"/>
      <c r="W456" s="6"/>
      <c r="X456" s="6"/>
      <c r="Y456" s="6"/>
      <c r="Z456" s="4" t="s">
        <v>13718</v>
      </c>
      <c r="AA456" s="6"/>
      <c r="AB456" s="5" t="s">
        <v>13719</v>
      </c>
    </row>
    <row r="457" ht="14.25">
      <c r="A457" s="4" t="s">
        <v>13721</v>
      </c>
      <c r="B457" s="4" t="s">
        <v>971</v>
      </c>
      <c r="C457" s="4" t="s">
        <v>1950</v>
      </c>
      <c r="F457" s="4" t="s">
        <v>13722</v>
      </c>
      <c r="G457" s="4">
        <v>28</v>
      </c>
      <c r="H457" s="4" t="s">
        <v>13723</v>
      </c>
      <c r="I457" s="4" t="str">
        <f>IFERROR(__XLUDF.DUMMYFUNCTION("PROPER(REGEXREPLACE(G455,""[^A-Za-z]+ "",""""))"),"Radian")</f>
        <v>Radian</v>
      </c>
      <c r="J457" s="5" t="s">
        <v>13724</v>
      </c>
      <c r="K457" s="4" t="s">
        <v>13725</v>
      </c>
      <c r="L457" s="4" t="s">
        <v>9215</v>
      </c>
      <c r="M457" s="4" t="s">
        <v>29</v>
      </c>
      <c r="N457" s="4" t="s">
        <v>10215</v>
      </c>
      <c r="O457" s="4" t="str">
        <f>IFERROR(__XLUDF.DUMMYFUNCTION("VLOOKUP(M455,IMPORTRANGE(""https://docs.google.com/spreadsheets/d/1opm6ZNvGZ7KditA9TuJwrZ25eFLfTNIkrNnY6mhV5Eg"",""list!A1:C115""),3,TRUE)"),"le secteur de l'électrique et électronique")</f>
        <v xml:space="preserve">le secteur de l'électrique et électronique</v>
      </c>
      <c r="P457" s="4" t="s">
        <v>13726</v>
      </c>
      <c r="R457" s="4" t="s">
        <v>39</v>
      </c>
      <c r="S457" s="4" t="s">
        <v>9160</v>
      </c>
      <c r="T457" s="4" t="s">
        <v>29</v>
      </c>
      <c r="U457" s="5" t="s">
        <v>13727</v>
      </c>
      <c r="V457" s="6"/>
      <c r="W457" s="6"/>
      <c r="X457" s="6"/>
      <c r="Y457" s="6"/>
      <c r="Z457" s="4" t="s">
        <v>13728</v>
      </c>
      <c r="AA457" s="6"/>
      <c r="AB457" s="5" t="s">
        <v>13729</v>
      </c>
    </row>
    <row r="458" ht="14.25">
      <c r="A458" s="4" t="s">
        <v>13731</v>
      </c>
      <c r="B458" s="4" t="s">
        <v>2932</v>
      </c>
      <c r="C458" s="4" t="s">
        <v>341</v>
      </c>
      <c r="F458" s="4" t="s">
        <v>13732</v>
      </c>
      <c r="G458" s="4">
        <v>10</v>
      </c>
      <c r="H458" s="4" t="s">
        <v>13733</v>
      </c>
      <c r="I458" s="4" t="str">
        <f>IFERROR(__XLUDF.DUMMYFUNCTION("PROPER(REGEXREPLACE(G456,""[^A-Za-z]+ "",""""))"),"Galerie Downtown")</f>
        <v xml:space="preserve">Galerie Downtown</v>
      </c>
      <c r="J458" s="5" t="s">
        <v>13734</v>
      </c>
      <c r="K458" s="4" t="s">
        <v>39</v>
      </c>
      <c r="L458" s="4" t="s">
        <v>9160</v>
      </c>
      <c r="M458" s="4" t="s">
        <v>29</v>
      </c>
      <c r="N458" s="4" t="s">
        <v>4525</v>
      </c>
      <c r="O458" s="4" t="str">
        <f>IFERROR(__XLUDF.DUMMYFUNCTION("VLOOKUP(M456,IMPORTRANGE(""https://docs.google.com/spreadsheets/d/1opm6ZNvGZ7KditA9TuJwrZ25eFLfTNIkrNnY6mhV5Eg"",""list!A1:C115""),3,TRUE)"),"le secteur du retail")</f>
        <v xml:space="preserve">le secteur du retail</v>
      </c>
      <c r="P458" s="4" t="s">
        <v>13735</v>
      </c>
      <c r="R458" s="4" t="s">
        <v>39</v>
      </c>
      <c r="S458" s="4" t="s">
        <v>9160</v>
      </c>
      <c r="T458" s="4" t="s">
        <v>29</v>
      </c>
      <c r="U458" s="5" t="s">
        <v>13736</v>
      </c>
      <c r="V458" s="6"/>
      <c r="W458" s="6"/>
      <c r="X458" s="6"/>
      <c r="Y458" s="6"/>
      <c r="Z458" s="4" t="s">
        <v>13737</v>
      </c>
      <c r="AA458" s="6"/>
      <c r="AB458" s="5" t="s">
        <v>13738</v>
      </c>
    </row>
    <row r="459" ht="14.25">
      <c r="A459" s="4" t="s">
        <v>13740</v>
      </c>
      <c r="B459" s="4" t="s">
        <v>2119</v>
      </c>
      <c r="C459" s="4" t="s">
        <v>112</v>
      </c>
      <c r="F459" s="4" t="s">
        <v>13741</v>
      </c>
      <c r="G459" s="4">
        <v>18</v>
      </c>
      <c r="H459" s="4" t="s">
        <v>13742</v>
      </c>
      <c r="I459" s="4" t="str">
        <f>IFERROR(__XLUDF.DUMMYFUNCTION("PROPER(REGEXREPLACE(G457,""[^A-Za-z]+ "",""""))"),"Atelier Pras")</f>
        <v xml:space="preserve">Atelier Pras</v>
      </c>
      <c r="J459" s="5" t="s">
        <v>13743</v>
      </c>
      <c r="K459" s="4" t="s">
        <v>4009</v>
      </c>
      <c r="L459" s="4" t="s">
        <v>9160</v>
      </c>
      <c r="M459" s="4" t="s">
        <v>29</v>
      </c>
      <c r="N459" s="4" t="s">
        <v>4525</v>
      </c>
      <c r="O459" s="4" t="str">
        <f>IFERROR(__XLUDF.DUMMYFUNCTION("VLOOKUP(M457,IMPORTRANGE(""https://docs.google.com/spreadsheets/d/1opm6ZNvGZ7KditA9TuJwrZ25eFLfTNIkrNnY6mhV5Eg"",""list!A1:C115""),3,TRUE)"),"le secteur du retail")</f>
        <v xml:space="preserve">le secteur du retail</v>
      </c>
      <c r="P459" s="4" t="s">
        <v>13744</v>
      </c>
      <c r="R459" s="4" t="s">
        <v>4009</v>
      </c>
      <c r="S459" s="4" t="s">
        <v>9160</v>
      </c>
      <c r="T459" s="4" t="s">
        <v>29</v>
      </c>
      <c r="U459" s="5" t="s">
        <v>13745</v>
      </c>
      <c r="V459" s="6"/>
      <c r="W459" s="5" t="s">
        <v>13746</v>
      </c>
      <c r="X459" s="6"/>
      <c r="Y459" s="6"/>
      <c r="Z459" s="4" t="s">
        <v>13747</v>
      </c>
      <c r="AA459" s="6"/>
      <c r="AB459" s="5" t="s">
        <v>13748</v>
      </c>
    </row>
    <row r="460" ht="14.25">
      <c r="A460" s="4" t="s">
        <v>13750</v>
      </c>
      <c r="B460" s="4" t="s">
        <v>2589</v>
      </c>
      <c r="C460" s="4" t="s">
        <v>13752</v>
      </c>
      <c r="F460" s="4" t="s">
        <v>13751</v>
      </c>
      <c r="G460" s="4">
        <v>10</v>
      </c>
      <c r="H460" s="4" t="s">
        <v>13753</v>
      </c>
      <c r="I460" s="4" t="str">
        <f>IFERROR(__XLUDF.DUMMYFUNCTION("PROPER(REGEXREPLACE(G458,""[^A-Za-z]+ "",""""))"),"2Lp Consulting")</f>
        <v xml:space="preserve">2Lp Consulting</v>
      </c>
      <c r="J460" s="5" t="s">
        <v>13754</v>
      </c>
      <c r="K460" s="4" t="s">
        <v>39</v>
      </c>
      <c r="L460" s="4" t="s">
        <v>9160</v>
      </c>
      <c r="M460" s="4" t="s">
        <v>29</v>
      </c>
      <c r="N460" s="4" t="s">
        <v>4067</v>
      </c>
      <c r="O460" s="4" t="str">
        <f>IFERROR(__XLUDF.DUMMYFUNCTION("VLOOKUP(M458,IMPORTRANGE(""https://docs.google.com/spreadsheets/d/1opm6ZNvGZ7KditA9TuJwrZ25eFLfTNIkrNnY6mhV5Eg"",""list!A1:C115""),3,TRUE)"),"le secteur du conseil en management")</f>
        <v xml:space="preserve">le secteur du conseil en management</v>
      </c>
      <c r="P460" s="6"/>
      <c r="R460" s="4" t="s">
        <v>39</v>
      </c>
      <c r="S460" s="4" t="s">
        <v>9160</v>
      </c>
      <c r="T460" s="4" t="s">
        <v>29</v>
      </c>
      <c r="U460" s="5" t="s">
        <v>13755</v>
      </c>
      <c r="V460" s="6"/>
      <c r="W460" s="6"/>
      <c r="X460" s="6"/>
      <c r="Y460" s="6"/>
      <c r="Z460" s="4" t="s">
        <v>13756</v>
      </c>
      <c r="AA460" s="6"/>
      <c r="AB460" s="5" t="s">
        <v>13757</v>
      </c>
    </row>
    <row r="461" ht="14.25">
      <c r="A461" s="4" t="s">
        <v>1732</v>
      </c>
      <c r="B461" s="4" t="s">
        <v>1001</v>
      </c>
      <c r="C461" s="4" t="s">
        <v>13760</v>
      </c>
      <c r="F461" s="4" t="s">
        <v>13759</v>
      </c>
      <c r="G461" s="4">
        <v>12</v>
      </c>
      <c r="H461" s="4" t="s">
        <v>13761</v>
      </c>
      <c r="I461" s="4" t="str">
        <f>IFERROR(__XLUDF.DUMMYFUNCTION("PROPER(REGEXREPLACE(G459,""[^A-Za-z]+ "",""""))"),"Umeo")</f>
        <v>Umeo</v>
      </c>
      <c r="J461" s="4" t="s">
        <v>13762</v>
      </c>
      <c r="K461" s="6"/>
      <c r="L461" s="6"/>
      <c r="M461" s="4" t="s">
        <v>29</v>
      </c>
      <c r="N461" s="4" t="s">
        <v>4067</v>
      </c>
      <c r="O461" s="4" t="str">
        <f>IFERROR(__XLUDF.DUMMYFUNCTION("VLOOKUP(M459,IMPORTRANGE(""https://docs.google.com/spreadsheets/d/1opm6ZNvGZ7KditA9TuJwrZ25eFLfTNIkrNnY6mhV5Eg"",""list!A1:C115""),3,TRUE)"),"le secteur du conseil en management")</f>
        <v xml:space="preserve">le secteur du conseil en management</v>
      </c>
      <c r="P461" s="4" t="s">
        <v>13763</v>
      </c>
      <c r="R461" s="4" t="s">
        <v>185</v>
      </c>
      <c r="S461" s="4" t="s">
        <v>9193</v>
      </c>
      <c r="T461" s="4" t="s">
        <v>29</v>
      </c>
      <c r="U461" s="5" t="s">
        <v>13764</v>
      </c>
      <c r="V461" s="6"/>
      <c r="W461" s="6"/>
      <c r="X461" s="6"/>
      <c r="Y461" s="6"/>
      <c r="Z461" s="4" t="s">
        <v>13765</v>
      </c>
      <c r="AA461" s="6"/>
      <c r="AB461" s="5" t="s">
        <v>13766</v>
      </c>
    </row>
    <row r="462" ht="14.25">
      <c r="A462" s="4" t="s">
        <v>13768</v>
      </c>
      <c r="B462" s="4" t="s">
        <v>76</v>
      </c>
      <c r="C462" s="4" t="s">
        <v>13770</v>
      </c>
      <c r="F462" s="4" t="s">
        <v>13769</v>
      </c>
      <c r="G462" s="4">
        <v>39</v>
      </c>
      <c r="H462" s="4" t="s">
        <v>13771</v>
      </c>
      <c r="I462" s="4" t="str">
        <f>IFERROR(__XLUDF.DUMMYFUNCTION("PROPER(REGEXREPLACE(G460,""[^A-Za-z]+ "",""""))"),"Synergee")</f>
        <v>Synergee</v>
      </c>
      <c r="J462" s="5" t="s">
        <v>13772</v>
      </c>
      <c r="K462" s="4" t="s">
        <v>13773</v>
      </c>
      <c r="L462" s="4" t="s">
        <v>9160</v>
      </c>
      <c r="M462" s="4" t="s">
        <v>29</v>
      </c>
      <c r="N462" s="4" t="s">
        <v>2602</v>
      </c>
      <c r="O462" s="4" t="str">
        <f>IFERROR(__XLUDF.DUMMYFUNCTION("VLOOKUP(M460,IMPORTRANGE(""https://docs.google.com/spreadsheets/d/1opm6ZNvGZ7KditA9TuJwrZ25eFLfTNIkrNnY6mhV5Eg"",""list!A1:C115""),3,TRUE)"),"le secteur de la tech")</f>
        <v xml:space="preserve">le secteur de la tech</v>
      </c>
      <c r="P462" s="4" t="s">
        <v>13774</v>
      </c>
      <c r="R462" s="4" t="s">
        <v>1878</v>
      </c>
      <c r="S462" s="4" t="s">
        <v>9160</v>
      </c>
      <c r="T462" s="4" t="s">
        <v>29</v>
      </c>
      <c r="U462" s="5" t="s">
        <v>13775</v>
      </c>
      <c r="V462" s="5" t="s">
        <v>13776</v>
      </c>
      <c r="W462" s="5" t="s">
        <v>13777</v>
      </c>
      <c r="X462" s="5" t="s">
        <v>13778</v>
      </c>
      <c r="Y462" s="6"/>
      <c r="Z462" s="4" t="s">
        <v>13779</v>
      </c>
      <c r="AA462" s="6"/>
      <c r="AB462" s="5" t="s">
        <v>13780</v>
      </c>
    </row>
    <row r="463" ht="14.25">
      <c r="A463" s="4" t="s">
        <v>13782</v>
      </c>
      <c r="B463" s="4" t="s">
        <v>76</v>
      </c>
      <c r="C463" s="4" t="s">
        <v>112</v>
      </c>
      <c r="F463" s="4" t="s">
        <v>13783</v>
      </c>
      <c r="G463" s="4">
        <v>19</v>
      </c>
      <c r="H463" s="4" t="s">
        <v>13784</v>
      </c>
      <c r="I463" s="4" t="str">
        <f>IFERROR(__XLUDF.DUMMYFUNCTION("PROPER(REGEXREPLACE(G461,""[^A-Za-z]+ "",""""))"),"Ceribois")</f>
        <v>Ceribois</v>
      </c>
      <c r="J463" s="5" t="s">
        <v>13785</v>
      </c>
      <c r="K463" s="6"/>
      <c r="L463" s="4" t="s">
        <v>9193</v>
      </c>
      <c r="M463" s="4" t="s">
        <v>29</v>
      </c>
      <c r="N463" s="4" t="s">
        <v>4067</v>
      </c>
      <c r="O463" s="4" t="str">
        <f>IFERROR(__XLUDF.DUMMYFUNCTION("VLOOKUP(M461,IMPORTRANGE(""https://docs.google.com/spreadsheets/d/1opm6ZNvGZ7KditA9TuJwrZ25eFLfTNIkrNnY6mhV5Eg"",""list!A1:C115""),3,TRUE)"),"le secteur du conseil en management")</f>
        <v xml:space="preserve">le secteur du conseil en management</v>
      </c>
      <c r="P463" s="4" t="s">
        <v>13786</v>
      </c>
      <c r="R463" s="4" t="s">
        <v>1150</v>
      </c>
      <c r="S463" s="4" t="s">
        <v>9193</v>
      </c>
      <c r="T463" s="4" t="s">
        <v>29</v>
      </c>
      <c r="U463" s="5" t="s">
        <v>13787</v>
      </c>
      <c r="V463" s="6"/>
      <c r="W463" s="6"/>
      <c r="X463" s="6"/>
      <c r="Y463" s="6"/>
      <c r="Z463" s="4" t="s">
        <v>13788</v>
      </c>
      <c r="AA463" s="6"/>
      <c r="AB463" s="5" t="s">
        <v>13789</v>
      </c>
    </row>
    <row r="464" ht="14.25">
      <c r="A464" s="4" t="s">
        <v>13791</v>
      </c>
      <c r="B464" s="4" t="s">
        <v>76</v>
      </c>
      <c r="C464" s="4" t="s">
        <v>112</v>
      </c>
      <c r="F464" s="4" t="s">
        <v>13792</v>
      </c>
      <c r="G464" s="4">
        <v>21</v>
      </c>
      <c r="H464" s="4" t="s">
        <v>13793</v>
      </c>
      <c r="I464" s="4" t="str">
        <f>IFERROR(__XLUDF.DUMMYFUNCTION("PROPER(REGEXREPLACE(G462,""[^A-Za-z]+ "",""""))"),"Eco Valorisation")</f>
        <v xml:space="preserve">Eco Valorisation</v>
      </c>
      <c r="J464" s="6"/>
      <c r="K464" s="4" t="s">
        <v>5565</v>
      </c>
      <c r="L464" s="4" t="s">
        <v>9798</v>
      </c>
      <c r="M464" s="4" t="s">
        <v>29</v>
      </c>
      <c r="N464" s="4" t="s">
        <v>9239</v>
      </c>
      <c r="O464" s="4" t="str">
        <f>IFERROR(__XLUDF.DUMMYFUNCTION("VLOOKUP(M462,IMPORTRANGE(""https://docs.google.com/spreadsheets/d/1opm6ZNvGZ7KditA9TuJwrZ25eFLfTNIkrNnY6mhV5Eg"",""list!A1:C115""),3,TRUE)"),"le secteur de la construction")</f>
        <v xml:space="preserve">le secteur de la construction</v>
      </c>
      <c r="P464" s="6"/>
      <c r="R464" s="4" t="s">
        <v>13794</v>
      </c>
      <c r="S464" s="4" t="s">
        <v>10736</v>
      </c>
      <c r="T464" s="4" t="s">
        <v>29</v>
      </c>
      <c r="U464" s="5" t="s">
        <v>13795</v>
      </c>
      <c r="V464" s="6"/>
      <c r="W464" s="6"/>
      <c r="X464" s="6"/>
      <c r="Y464" s="6"/>
      <c r="Z464" s="6"/>
      <c r="AA464" s="6"/>
      <c r="AB464" s="5" t="s">
        <v>13796</v>
      </c>
    </row>
    <row r="465" ht="14.25">
      <c r="A465" s="4" t="s">
        <v>13798</v>
      </c>
      <c r="B465" s="4" t="s">
        <v>76</v>
      </c>
      <c r="C465" s="4" t="s">
        <v>13800</v>
      </c>
      <c r="F465" s="4" t="s">
        <v>13799</v>
      </c>
      <c r="G465" s="4">
        <v>12</v>
      </c>
      <c r="H465" s="4" t="s">
        <v>13801</v>
      </c>
      <c r="I465" s="4" t="str">
        <f>IFERROR(__XLUDF.DUMMYFUNCTION("PROPER(REGEXREPLACE(G463,""[^A-Za-z]+ "",""""))"),"Leuville Objects")</f>
        <v xml:space="preserve">Leuville Objects</v>
      </c>
      <c r="J465" s="5" t="s">
        <v>13802</v>
      </c>
      <c r="K465" s="4" t="s">
        <v>39</v>
      </c>
      <c r="L465" s="4" t="s">
        <v>9160</v>
      </c>
      <c r="M465" s="4" t="s">
        <v>29</v>
      </c>
      <c r="N465" s="4" t="s">
        <v>2602</v>
      </c>
      <c r="O465" s="4" t="str">
        <f>IFERROR(__XLUDF.DUMMYFUNCTION("VLOOKUP(M463,IMPORTRANGE(""https://docs.google.com/spreadsheets/d/1opm6ZNvGZ7KditA9TuJwrZ25eFLfTNIkrNnY6mhV5Eg"",""list!A1:C115""),3,TRUE)"),"le secteur de la tech")</f>
        <v xml:space="preserve">le secteur de la tech</v>
      </c>
      <c r="P465" s="6"/>
      <c r="R465" s="4" t="s">
        <v>2734</v>
      </c>
      <c r="S465" s="4" t="s">
        <v>9160</v>
      </c>
      <c r="T465" s="4" t="s">
        <v>29</v>
      </c>
      <c r="U465" s="5" t="s">
        <v>13803</v>
      </c>
      <c r="V465" s="6"/>
      <c r="W465" s="5" t="s">
        <v>13804</v>
      </c>
      <c r="X465" s="6"/>
      <c r="Y465" s="6"/>
      <c r="Z465" s="4" t="s">
        <v>13805</v>
      </c>
      <c r="AA465" s="6"/>
      <c r="AB465" s="5" t="s">
        <v>13806</v>
      </c>
    </row>
    <row r="466" ht="14.25">
      <c r="A466" s="4" t="s">
        <v>13808</v>
      </c>
      <c r="B466" s="4" t="s">
        <v>76</v>
      </c>
      <c r="C466" s="4" t="s">
        <v>7759</v>
      </c>
      <c r="F466" s="4" t="s">
        <v>13809</v>
      </c>
      <c r="G466" s="4">
        <v>21</v>
      </c>
      <c r="H466" s="4" t="s">
        <v>13810</v>
      </c>
      <c r="I466" s="4" t="str">
        <f>IFERROR(__XLUDF.DUMMYFUNCTION("PROPER(REGEXREPLACE(G464,""[^A-Za-z]+ "",""""))"),"Maelström Group")</f>
        <v xml:space="preserve">Maelström Group</v>
      </c>
      <c r="J466" s="4" t="s">
        <v>13811</v>
      </c>
      <c r="K466" s="4" t="s">
        <v>2186</v>
      </c>
      <c r="L466" s="4" t="s">
        <v>9864</v>
      </c>
      <c r="M466" s="4" t="s">
        <v>29</v>
      </c>
      <c r="N466" s="4" t="s">
        <v>9239</v>
      </c>
      <c r="O466" s="4" t="str">
        <f>IFERROR(__XLUDF.DUMMYFUNCTION("VLOOKUP(M464,IMPORTRANGE(""https://docs.google.com/spreadsheets/d/1opm6ZNvGZ7KditA9TuJwrZ25eFLfTNIkrNnY6mhV5Eg"",""list!A1:C115""),3,TRUE)"),"le secteur de la construction")</f>
        <v xml:space="preserve">le secteur de la construction</v>
      </c>
      <c r="P466" s="6"/>
      <c r="R466" s="4" t="s">
        <v>13812</v>
      </c>
      <c r="S466" s="4" t="s">
        <v>9864</v>
      </c>
      <c r="T466" s="4" t="s">
        <v>29</v>
      </c>
      <c r="U466" s="5" t="s">
        <v>13813</v>
      </c>
      <c r="V466" s="6"/>
      <c r="W466" s="5" t="s">
        <v>13814</v>
      </c>
      <c r="X466" s="6"/>
      <c r="Y466" s="6"/>
      <c r="Z466" s="4" t="s">
        <v>13815</v>
      </c>
      <c r="AA466" s="6"/>
      <c r="AB466" s="5" t="s">
        <v>13816</v>
      </c>
    </row>
    <row r="467" ht="14.25">
      <c r="A467" s="4" t="s">
        <v>13818</v>
      </c>
      <c r="B467" s="4" t="s">
        <v>76</v>
      </c>
      <c r="C467" s="4" t="s">
        <v>62</v>
      </c>
      <c r="F467" s="4" t="s">
        <v>13819</v>
      </c>
      <c r="G467" s="4">
        <v>20</v>
      </c>
      <c r="H467" s="4" t="s">
        <v>13820</v>
      </c>
      <c r="I467" s="4" t="str">
        <f>IFERROR(__XLUDF.DUMMYFUNCTION("PROPER(REGEXREPLACE(G465,""[^A-Za-z]+ "",""""))"),"Bloom Ppm")</f>
        <v xml:space="preserve">Bloom Ppm</v>
      </c>
      <c r="J467" s="5" t="s">
        <v>13821</v>
      </c>
      <c r="K467" s="4" t="s">
        <v>2174</v>
      </c>
      <c r="L467" s="4" t="s">
        <v>9193</v>
      </c>
      <c r="M467" s="4" t="s">
        <v>29</v>
      </c>
      <c r="N467" s="4" t="s">
        <v>4067</v>
      </c>
      <c r="O467" s="4" t="str">
        <f>IFERROR(__XLUDF.DUMMYFUNCTION("VLOOKUP(M465,IMPORTRANGE(""https://docs.google.com/spreadsheets/d/1opm6ZNvGZ7KditA9TuJwrZ25eFLfTNIkrNnY6mhV5Eg"",""list!A1:C115""),3,TRUE)"),"le secteur du conseil en management")</f>
        <v xml:space="preserve">le secteur du conseil en management</v>
      </c>
      <c r="P467" s="4" t="s">
        <v>13822</v>
      </c>
      <c r="R467" s="4" t="s">
        <v>185</v>
      </c>
      <c r="S467" s="4" t="s">
        <v>9193</v>
      </c>
      <c r="T467" s="4" t="s">
        <v>29</v>
      </c>
      <c r="U467" s="5" t="s">
        <v>13823</v>
      </c>
      <c r="V467" s="6"/>
      <c r="W467" s="6"/>
      <c r="X467" s="6"/>
      <c r="Y467" s="6"/>
      <c r="Z467" s="4" t="s">
        <v>13824</v>
      </c>
      <c r="AA467" s="6"/>
      <c r="AB467" s="5" t="s">
        <v>13825</v>
      </c>
    </row>
    <row r="468" ht="14.25">
      <c r="A468" s="4" t="s">
        <v>13827</v>
      </c>
      <c r="B468" s="4" t="s">
        <v>76</v>
      </c>
      <c r="C468" s="4" t="s">
        <v>172</v>
      </c>
      <c r="F468" s="4" t="s">
        <v>13828</v>
      </c>
      <c r="G468" s="4">
        <v>25</v>
      </c>
      <c r="H468" s="4" t="s">
        <v>13829</v>
      </c>
      <c r="I468" s="4" t="str">
        <f>IFERROR(__XLUDF.DUMMYFUNCTION("PROPER(REGEXREPLACE(G466,""[^A-Za-z]+ "",""""))"),"Concret")</f>
        <v>Concret</v>
      </c>
      <c r="J468" s="5" t="s">
        <v>13830</v>
      </c>
      <c r="K468" s="6"/>
      <c r="L468" s="4" t="s">
        <v>9864</v>
      </c>
      <c r="M468" s="4" t="s">
        <v>29</v>
      </c>
      <c r="N468" s="4" t="s">
        <v>4067</v>
      </c>
      <c r="O468" s="4" t="str">
        <f>IFERROR(__XLUDF.DUMMYFUNCTION("VLOOKUP(M466,IMPORTRANGE(""https://docs.google.com/spreadsheets/d/1opm6ZNvGZ7KditA9TuJwrZ25eFLfTNIkrNnY6mhV5Eg"",""list!A1:C115""),3,TRUE)"),"le secteur du conseil en management")</f>
        <v xml:space="preserve">le secteur du conseil en management</v>
      </c>
      <c r="P468" s="4" t="s">
        <v>13831</v>
      </c>
      <c r="R468" s="4" t="s">
        <v>1723</v>
      </c>
      <c r="S468" s="4" t="s">
        <v>9864</v>
      </c>
      <c r="T468" s="4" t="s">
        <v>29</v>
      </c>
      <c r="U468" s="5" t="s">
        <v>13832</v>
      </c>
      <c r="V468" s="6"/>
      <c r="W468" s="6"/>
      <c r="X468" s="6"/>
      <c r="Y468" s="6"/>
      <c r="Z468" s="4" t="s">
        <v>13833</v>
      </c>
      <c r="AA468" s="6"/>
      <c r="AB468" s="5" t="s">
        <v>13834</v>
      </c>
    </row>
    <row r="469" ht="14.25">
      <c r="A469" s="4" t="s">
        <v>13836</v>
      </c>
      <c r="B469" s="4" t="s">
        <v>76</v>
      </c>
      <c r="C469" s="4" t="s">
        <v>9456</v>
      </c>
      <c r="F469" s="4" t="s">
        <v>13837</v>
      </c>
      <c r="G469" s="4">
        <v>22</v>
      </c>
      <c r="H469" s="4" t="s">
        <v>13838</v>
      </c>
      <c r="I469" s="4" t="str">
        <f>IFERROR(__XLUDF.DUMMYFUNCTION("PROPER(REGEXREPLACE(G467,""[^A-Za-z]+ "",""""))"),"Capiconsult")</f>
        <v>Capiconsult</v>
      </c>
      <c r="J469" s="5" t="s">
        <v>13839</v>
      </c>
      <c r="K469" s="6"/>
      <c r="L469" s="6"/>
      <c r="M469" s="4" t="s">
        <v>29</v>
      </c>
      <c r="N469" s="4" t="s">
        <v>4067</v>
      </c>
      <c r="O469" s="4" t="str">
        <f>IFERROR(__XLUDF.DUMMYFUNCTION("VLOOKUP(M467,IMPORTRANGE(""https://docs.google.com/spreadsheets/d/1opm6ZNvGZ7KditA9TuJwrZ25eFLfTNIkrNnY6mhV5Eg"",""list!A1:C115""),3,TRUE)"),"le secteur du conseil en management")</f>
        <v xml:space="preserve">le secteur du conseil en management</v>
      </c>
      <c r="P469" s="4" t="s">
        <v>13840</v>
      </c>
      <c r="R469" s="4" t="s">
        <v>13841</v>
      </c>
      <c r="S469" s="4" t="s">
        <v>10390</v>
      </c>
      <c r="T469" s="4" t="s">
        <v>29</v>
      </c>
      <c r="U469" s="5" t="s">
        <v>13842</v>
      </c>
      <c r="V469" s="6"/>
      <c r="W469" s="5" t="s">
        <v>13843</v>
      </c>
      <c r="X469" s="6"/>
      <c r="Y469" s="6"/>
      <c r="Z469" s="4" t="s">
        <v>13844</v>
      </c>
      <c r="AA469" s="6"/>
      <c r="AB469" s="5" t="s">
        <v>13845</v>
      </c>
    </row>
    <row r="470" ht="14.25">
      <c r="A470" s="4" t="s">
        <v>13847</v>
      </c>
      <c r="B470" s="4" t="s">
        <v>76</v>
      </c>
      <c r="C470" s="4" t="s">
        <v>13849</v>
      </c>
      <c r="F470" s="4" t="s">
        <v>13848</v>
      </c>
      <c r="G470" s="4">
        <v>39</v>
      </c>
      <c r="H470" s="4" t="s">
        <v>13850</v>
      </c>
      <c r="I470" s="4" t="str">
        <f>IFERROR(__XLUDF.DUMMYFUNCTION("PROPER(REGEXREPLACE(G468,""[^A-Za-z]+ "",""""))"),"Air Formation")</f>
        <v xml:space="preserve">Air Formation</v>
      </c>
      <c r="J470" s="5" t="s">
        <v>13851</v>
      </c>
      <c r="K470" s="4" t="s">
        <v>13852</v>
      </c>
      <c r="L470" s="4" t="s">
        <v>9460</v>
      </c>
      <c r="M470" s="4" t="s">
        <v>29</v>
      </c>
      <c r="N470" s="4" t="s">
        <v>5048</v>
      </c>
      <c r="O470" s="4" t="str">
        <f>IFERROR(__XLUDF.DUMMYFUNCTION("VLOOKUP(M468,IMPORTRANGE(""https://docs.google.com/spreadsheets/d/1opm6ZNvGZ7KditA9TuJwrZ25eFLfTNIkrNnY6mhV5Eg"",""list!A1:C115""),3,TRUE)"),"le secteur de la formation pro et du coaching")</f>
        <v xml:space="preserve">le secteur de la formation pro et du coaching</v>
      </c>
      <c r="P470" s="4" t="s">
        <v>13853</v>
      </c>
      <c r="R470" s="4" t="s">
        <v>13852</v>
      </c>
      <c r="S470" s="4" t="s">
        <v>9463</v>
      </c>
      <c r="T470" s="4" t="s">
        <v>29</v>
      </c>
      <c r="U470" s="5" t="s">
        <v>13854</v>
      </c>
      <c r="V470" s="5" t="s">
        <v>13855</v>
      </c>
      <c r="W470" s="5" t="s">
        <v>13856</v>
      </c>
      <c r="X470" s="6"/>
      <c r="Y470" s="6"/>
      <c r="Z470" s="4" t="s">
        <v>13857</v>
      </c>
      <c r="AA470" s="6"/>
      <c r="AB470" s="5" t="s">
        <v>13858</v>
      </c>
    </row>
    <row r="471" ht="14.25">
      <c r="A471" s="4" t="s">
        <v>13860</v>
      </c>
      <c r="B471" s="4" t="s">
        <v>76</v>
      </c>
      <c r="C471" s="4" t="s">
        <v>13862</v>
      </c>
      <c r="F471" s="4" t="s">
        <v>13861</v>
      </c>
      <c r="G471" s="4">
        <v>23</v>
      </c>
      <c r="H471" s="4" t="s">
        <v>13863</v>
      </c>
      <c r="I471" s="4" t="str">
        <f>IFERROR(__XLUDF.DUMMYFUNCTION("PROPER(REGEXREPLACE(G469,""[^A-Za-z]+ "",""""))"),"Clarity")</f>
        <v>Clarity</v>
      </c>
      <c r="J471" s="4" t="s">
        <v>13864</v>
      </c>
      <c r="K471" s="4" t="s">
        <v>39</v>
      </c>
      <c r="L471" s="4" t="s">
        <v>9160</v>
      </c>
      <c r="M471" s="4" t="s">
        <v>29</v>
      </c>
      <c r="N471" s="4" t="s">
        <v>2602</v>
      </c>
      <c r="O471" s="4" t="str">
        <f>IFERROR(__XLUDF.DUMMYFUNCTION("VLOOKUP(M469,IMPORTRANGE(""https://docs.google.com/spreadsheets/d/1opm6ZNvGZ7KditA9TuJwrZ25eFLfTNIkrNnY6mhV5Eg"",""list!A1:C115""),3,TRUE)"),"le secteur de la tech")</f>
        <v xml:space="preserve">le secteur de la tech</v>
      </c>
      <c r="P471" s="4" t="s">
        <v>13865</v>
      </c>
      <c r="R471" s="4" t="s">
        <v>39</v>
      </c>
      <c r="S471" s="4" t="s">
        <v>9160</v>
      </c>
      <c r="T471" s="4" t="s">
        <v>29</v>
      </c>
      <c r="U471" s="5" t="s">
        <v>13866</v>
      </c>
      <c r="V471" s="6"/>
      <c r="W471" s="6"/>
      <c r="X471" s="6"/>
      <c r="Y471" s="6"/>
      <c r="Z471" s="4" t="s">
        <v>13867</v>
      </c>
      <c r="AA471" s="6"/>
      <c r="AB471" s="5" t="s">
        <v>13868</v>
      </c>
    </row>
    <row r="472" ht="14.25">
      <c r="A472" s="4" t="s">
        <v>13870</v>
      </c>
      <c r="B472" s="4" t="s">
        <v>76</v>
      </c>
      <c r="C472" s="4" t="s">
        <v>172</v>
      </c>
      <c r="F472" s="4" t="s">
        <v>13871</v>
      </c>
      <c r="G472" s="4">
        <v>15</v>
      </c>
      <c r="H472" s="4" t="s">
        <v>13872</v>
      </c>
      <c r="I472" s="4" t="str">
        <f>IFERROR(__XLUDF.DUMMYFUNCTION("PROPER(REGEXREPLACE(G470,""[^A-Za-z]+ "",""""))"),"Lizee Sas")</f>
        <v xml:space="preserve">Lizee Sas</v>
      </c>
      <c r="J472" s="5" t="s">
        <v>13873</v>
      </c>
      <c r="K472" s="4" t="s">
        <v>49</v>
      </c>
      <c r="L472" s="4" t="s">
        <v>9251</v>
      </c>
      <c r="M472" s="4" t="s">
        <v>29</v>
      </c>
      <c r="N472" s="4" t="s">
        <v>9239</v>
      </c>
      <c r="O472" s="4" t="str">
        <f>IFERROR(__XLUDF.DUMMYFUNCTION("VLOOKUP(M470,IMPORTRANGE(""https://docs.google.com/spreadsheets/d/1opm6ZNvGZ7KditA9TuJwrZ25eFLfTNIkrNnY6mhV5Eg"",""list!A1:C115""),3,TRUE)"),"le secteur de la construction")</f>
        <v xml:space="preserve">le secteur de la construction</v>
      </c>
      <c r="P472" s="4" t="s">
        <v>13874</v>
      </c>
      <c r="R472" s="4" t="s">
        <v>13875</v>
      </c>
      <c r="S472" s="4" t="s">
        <v>9251</v>
      </c>
      <c r="T472" s="4" t="s">
        <v>29</v>
      </c>
      <c r="U472" s="5" t="s">
        <v>13876</v>
      </c>
      <c r="V472" s="6"/>
      <c r="W472" s="5" t="s">
        <v>13877</v>
      </c>
      <c r="X472" s="6"/>
      <c r="Y472" s="6"/>
      <c r="Z472" s="4" t="s">
        <v>13878</v>
      </c>
      <c r="AA472" s="6"/>
      <c r="AB472" s="5" t="s">
        <v>13879</v>
      </c>
    </row>
    <row r="473" ht="14.25">
      <c r="A473" s="4" t="s">
        <v>13881</v>
      </c>
      <c r="B473" s="4" t="s">
        <v>76</v>
      </c>
      <c r="C473" s="4" t="s">
        <v>13883</v>
      </c>
      <c r="F473" s="4" t="s">
        <v>13882</v>
      </c>
      <c r="G473" s="4">
        <v>27</v>
      </c>
      <c r="H473" s="4" t="s">
        <v>13884</v>
      </c>
      <c r="I473" s="4" t="str">
        <f>IFERROR(__XLUDF.DUMMYFUNCTION("PROPER(REGEXREPLACE(G471,""[^A-Za-z]+ "",""""))"),"Ttc Testing")</f>
        <v xml:space="preserve">Ttc Testing</v>
      </c>
      <c r="J473" s="5" t="s">
        <v>13885</v>
      </c>
      <c r="K473" s="6"/>
      <c r="L473" s="4" t="s">
        <v>9160</v>
      </c>
      <c r="M473" s="4" t="s">
        <v>29</v>
      </c>
      <c r="N473" s="4" t="s">
        <v>2602</v>
      </c>
      <c r="O473" s="4" t="str">
        <f>IFERROR(__XLUDF.DUMMYFUNCTION("VLOOKUP(M471,IMPORTRANGE(""https://docs.google.com/spreadsheets/d/1opm6ZNvGZ7KditA9TuJwrZ25eFLfTNIkrNnY6mhV5Eg"",""list!A1:C115""),3,TRUE)"),"le secteur de la tech")</f>
        <v xml:space="preserve">le secteur de la tech</v>
      </c>
      <c r="P473" s="4" t="s">
        <v>13886</v>
      </c>
      <c r="R473" s="4" t="s">
        <v>1419</v>
      </c>
      <c r="S473" s="4" t="s">
        <v>9160</v>
      </c>
      <c r="T473" s="4" t="s">
        <v>29</v>
      </c>
      <c r="U473" s="5" t="s">
        <v>13887</v>
      </c>
      <c r="V473" s="6"/>
      <c r="W473" s="6"/>
      <c r="X473" s="6"/>
      <c r="Y473" s="6"/>
      <c r="Z473" s="4" t="s">
        <v>13888</v>
      </c>
      <c r="AA473" s="6"/>
      <c r="AB473" s="5" t="s">
        <v>13889</v>
      </c>
    </row>
    <row r="474" ht="14.25">
      <c r="A474" s="4" t="s">
        <v>13891</v>
      </c>
      <c r="B474" s="4" t="s">
        <v>76</v>
      </c>
      <c r="C474" s="4" t="s">
        <v>120</v>
      </c>
      <c r="F474" s="4" t="s">
        <v>13892</v>
      </c>
      <c r="G474" s="4">
        <v>15</v>
      </c>
      <c r="H474" s="4" t="s">
        <v>13893</v>
      </c>
      <c r="I474" s="4" t="str">
        <f>IFERROR(__XLUDF.DUMMYFUNCTION("PROPER(REGEXREPLACE(G472,""[^A-Za-z]+ "",""""))"),"Wake Me Up")</f>
        <v xml:space="preserve">Wake Me Up</v>
      </c>
      <c r="J474" s="5" t="s">
        <v>13894</v>
      </c>
      <c r="K474" s="4" t="s">
        <v>39</v>
      </c>
      <c r="L474" s="4" t="s">
        <v>9160</v>
      </c>
      <c r="M474" s="4" t="s">
        <v>29</v>
      </c>
      <c r="N474" s="4" t="s">
        <v>9161</v>
      </c>
      <c r="O474" s="4" t="str">
        <f>IFERROR(__XLUDF.DUMMYFUNCTION("VLOOKUP(M472,IMPORTRANGE(""https://docs.google.com/spreadsheets/d/1opm6ZNvGZ7KditA9TuJwrZ25eFLfTNIkrNnY6mhV5Eg"",""list!A1:C115""),3,TRUE)"),"le secteur du marketing")</f>
        <v xml:space="preserve">le secteur du marketing</v>
      </c>
      <c r="P474" s="4" t="s">
        <v>13895</v>
      </c>
      <c r="R474" s="4" t="s">
        <v>39</v>
      </c>
      <c r="S474" s="4" t="s">
        <v>9160</v>
      </c>
      <c r="T474" s="4" t="s">
        <v>29</v>
      </c>
      <c r="U474" s="5" t="s">
        <v>13896</v>
      </c>
      <c r="V474" s="5" t="s">
        <v>13897</v>
      </c>
      <c r="W474" s="5" t="s">
        <v>13898</v>
      </c>
      <c r="X474" s="6"/>
      <c r="Y474" s="6"/>
      <c r="Z474" s="4" t="s">
        <v>13899</v>
      </c>
      <c r="AA474" s="6"/>
      <c r="AB474" s="5" t="s">
        <v>13900</v>
      </c>
    </row>
    <row r="475" ht="14.25">
      <c r="A475" s="4" t="s">
        <v>13903</v>
      </c>
      <c r="B475" s="4" t="s">
        <v>13902</v>
      </c>
      <c r="C475" s="4" t="s">
        <v>13905</v>
      </c>
      <c r="F475" s="4" t="s">
        <v>13904</v>
      </c>
      <c r="G475" s="4">
        <v>20</v>
      </c>
      <c r="H475" s="4" t="s">
        <v>13906</v>
      </c>
      <c r="I475" s="4" t="str">
        <f>IFERROR(__XLUDF.DUMMYFUNCTION("PROPER(REGEXREPLACE(G473,""[^A-Za-z]+ "",""""))"),"Glaz")</f>
        <v>Glaz</v>
      </c>
      <c r="J475" s="5" t="s">
        <v>13907</v>
      </c>
      <c r="K475" s="4" t="s">
        <v>1589</v>
      </c>
      <c r="L475" s="4" t="s">
        <v>9227</v>
      </c>
      <c r="M475" s="4" t="s">
        <v>29</v>
      </c>
      <c r="N475" s="4" t="s">
        <v>4067</v>
      </c>
      <c r="O475" s="4" t="str">
        <f>IFERROR(__XLUDF.DUMMYFUNCTION("VLOOKUP(M473,IMPORTRANGE(""https://docs.google.com/spreadsheets/d/1opm6ZNvGZ7KditA9TuJwrZ25eFLfTNIkrNnY6mhV5Eg"",""list!A1:C115""),3,TRUE)"),"le secteur du conseil en management")</f>
        <v xml:space="preserve">le secteur du conseil en management</v>
      </c>
      <c r="P475" s="6"/>
      <c r="R475" s="4" t="s">
        <v>13908</v>
      </c>
      <c r="S475" s="4" t="s">
        <v>10973</v>
      </c>
      <c r="T475" s="4" t="s">
        <v>29</v>
      </c>
      <c r="U475" s="5" t="s">
        <v>13909</v>
      </c>
      <c r="V475" s="6"/>
      <c r="W475" s="5" t="s">
        <v>13910</v>
      </c>
      <c r="X475" s="6"/>
      <c r="Y475" s="6"/>
      <c r="Z475" s="4" t="s">
        <v>13911</v>
      </c>
      <c r="AA475" s="6"/>
      <c r="AB475" s="5" t="s">
        <v>13912</v>
      </c>
    </row>
    <row r="476" ht="14.25">
      <c r="A476" s="4" t="s">
        <v>13914</v>
      </c>
      <c r="B476" s="4" t="s">
        <v>76</v>
      </c>
      <c r="C476" s="4" t="s">
        <v>13916</v>
      </c>
      <c r="F476" s="4" t="s">
        <v>13915</v>
      </c>
      <c r="G476" s="4">
        <v>15</v>
      </c>
      <c r="H476" s="4" t="s">
        <v>13917</v>
      </c>
      <c r="I476" s="4" t="str">
        <f>IFERROR(__XLUDF.DUMMYFUNCTION("PROPER(REGEXREPLACE(G474,""[^A-Za-z]+ "",""""))"),"Benett Portage")</f>
        <v xml:space="preserve">Benett Portage</v>
      </c>
      <c r="J476" s="5" t="s">
        <v>13918</v>
      </c>
      <c r="K476" s="4" t="s">
        <v>651</v>
      </c>
      <c r="L476" s="4" t="s">
        <v>9215</v>
      </c>
      <c r="M476" s="4" t="s">
        <v>29</v>
      </c>
      <c r="N476" s="4" t="s">
        <v>4067</v>
      </c>
      <c r="O476" s="4" t="str">
        <f>IFERROR(__XLUDF.DUMMYFUNCTION("VLOOKUP(M474,IMPORTRANGE(""https://docs.google.com/spreadsheets/d/1opm6ZNvGZ7KditA9TuJwrZ25eFLfTNIkrNnY6mhV5Eg"",""list!A1:C115""),3,TRUE)"),"le secteur du conseil en management")</f>
        <v xml:space="preserve">le secteur du conseil en management</v>
      </c>
      <c r="P476" s="4" t="s">
        <v>13919</v>
      </c>
      <c r="R476" s="4" t="s">
        <v>651</v>
      </c>
      <c r="S476" s="4" t="s">
        <v>12581</v>
      </c>
      <c r="T476" s="4" t="s">
        <v>29</v>
      </c>
      <c r="U476" s="5" t="s">
        <v>13920</v>
      </c>
      <c r="V476" s="5" t="s">
        <v>13921</v>
      </c>
      <c r="W476" s="5" t="s">
        <v>13922</v>
      </c>
      <c r="X476" s="6"/>
      <c r="Y476" s="6"/>
      <c r="Z476" s="4" t="s">
        <v>13923</v>
      </c>
      <c r="AA476" s="6"/>
      <c r="AB476" s="5" t="s">
        <v>13924</v>
      </c>
    </row>
    <row r="477" ht="14.25">
      <c r="A477" s="4" t="s">
        <v>13926</v>
      </c>
      <c r="B477" s="4" t="s">
        <v>76</v>
      </c>
      <c r="C477" s="4" t="s">
        <v>112</v>
      </c>
      <c r="F477" s="4" t="s">
        <v>13927</v>
      </c>
      <c r="G477" s="4">
        <v>10</v>
      </c>
      <c r="H477" s="4" t="s">
        <v>13928</v>
      </c>
      <c r="I477" s="4" t="str">
        <f>IFERROR(__XLUDF.DUMMYFUNCTION("PROPER(REGEXREPLACE(G475,""[^A-Za-z]+ "",""""))"),"Bmpb France")</f>
        <v xml:space="preserve">Bmpb France</v>
      </c>
      <c r="J477" s="5" t="s">
        <v>13929</v>
      </c>
      <c r="K477" s="6"/>
      <c r="L477" s="6"/>
      <c r="M477" s="4" t="s">
        <v>29</v>
      </c>
      <c r="N477" s="4" t="s">
        <v>4067</v>
      </c>
      <c r="O477" s="4" t="str">
        <f>IFERROR(__XLUDF.DUMMYFUNCTION("VLOOKUP(M475,IMPORTRANGE(""https://docs.google.com/spreadsheets/d/1opm6ZNvGZ7KditA9TuJwrZ25eFLfTNIkrNnY6mhV5Eg"",""list!A1:C115""),3,TRUE)"),"le secteur du conseil en management")</f>
        <v xml:space="preserve">le secteur du conseil en management</v>
      </c>
      <c r="P477" s="4" t="s">
        <v>13930</v>
      </c>
      <c r="R477" s="4" t="s">
        <v>13931</v>
      </c>
      <c r="S477" s="4" t="s">
        <v>9172</v>
      </c>
      <c r="T477" s="4" t="s">
        <v>29</v>
      </c>
      <c r="U477" s="5" t="s">
        <v>13932</v>
      </c>
      <c r="V477" s="6"/>
      <c r="W477" s="6"/>
      <c r="X477" s="6"/>
      <c r="Y477" s="6"/>
      <c r="Z477" s="4" t="s">
        <v>13933</v>
      </c>
      <c r="AA477" s="6"/>
      <c r="AB477" s="5" t="s">
        <v>13934</v>
      </c>
    </row>
    <row r="478" ht="14.25">
      <c r="A478" s="4" t="s">
        <v>13937</v>
      </c>
      <c r="B478" s="4" t="s">
        <v>13936</v>
      </c>
      <c r="C478" s="4" t="s">
        <v>164</v>
      </c>
      <c r="F478" s="4" t="s">
        <v>13938</v>
      </c>
      <c r="G478" s="4">
        <v>18</v>
      </c>
      <c r="H478" s="4" t="s">
        <v>13939</v>
      </c>
      <c r="I478" s="4" t="str">
        <f>IFERROR(__XLUDF.DUMMYFUNCTION("PROPER(REGEXREPLACE(G476,""[^A-Za-z]+ "",""""))"),"Egalitla Page")</f>
        <v xml:space="preserve">Egalitla Page</v>
      </c>
      <c r="J478" s="5" t="s">
        <v>13940</v>
      </c>
      <c r="K478" s="4" t="s">
        <v>482</v>
      </c>
      <c r="L478" s="4" t="s">
        <v>9460</v>
      </c>
      <c r="M478" s="4" t="s">
        <v>29</v>
      </c>
      <c r="N478" s="4" t="s">
        <v>4067</v>
      </c>
      <c r="O478" s="4" t="str">
        <f>IFERROR(__XLUDF.DUMMYFUNCTION("VLOOKUP(M476,IMPORTRANGE(""https://docs.google.com/spreadsheets/d/1opm6ZNvGZ7KditA9TuJwrZ25eFLfTNIkrNnY6mhV5Eg"",""list!A1:C115""),3,TRUE)"),"le secteur du conseil en management")</f>
        <v xml:space="preserve">le secteur du conseil en management</v>
      </c>
      <c r="P478" s="4" t="s">
        <v>13941</v>
      </c>
      <c r="R478" s="4" t="s">
        <v>482</v>
      </c>
      <c r="S478" s="4" t="s">
        <v>9460</v>
      </c>
      <c r="T478" s="4" t="s">
        <v>29</v>
      </c>
      <c r="U478" s="5" t="s">
        <v>13942</v>
      </c>
      <c r="V478" s="6"/>
      <c r="W478" s="6"/>
      <c r="X478" s="6"/>
      <c r="Y478" s="6"/>
      <c r="Z478" s="4" t="s">
        <v>13943</v>
      </c>
      <c r="AA478" s="6"/>
      <c r="AB478" s="5" t="s">
        <v>13944</v>
      </c>
    </row>
    <row r="479" ht="14.25">
      <c r="A479" s="4" t="s">
        <v>13946</v>
      </c>
      <c r="B479" s="4" t="s">
        <v>13936</v>
      </c>
      <c r="C479" s="4" t="s">
        <v>13948</v>
      </c>
      <c r="F479" s="4" t="s">
        <v>13947</v>
      </c>
      <c r="G479" s="4">
        <v>12</v>
      </c>
      <c r="H479" s="4" t="s">
        <v>13949</v>
      </c>
      <c r="I479" s="4" t="str">
        <f>IFERROR(__XLUDF.DUMMYFUNCTION("PROPER(REGEXREPLACE(G477,""[^A-Za-z]+ "",""""))"),"Copleni")</f>
        <v>Copleni</v>
      </c>
      <c r="J479" s="5" t="s">
        <v>13950</v>
      </c>
      <c r="K479" s="4" t="s">
        <v>39</v>
      </c>
      <c r="L479" s="4" t="s">
        <v>9160</v>
      </c>
      <c r="M479" s="4" t="s">
        <v>29</v>
      </c>
      <c r="N479" s="4" t="s">
        <v>5048</v>
      </c>
      <c r="O479" s="4" t="str">
        <f>IFERROR(__XLUDF.DUMMYFUNCTION("VLOOKUP(M477,IMPORTRANGE(""https://docs.google.com/spreadsheets/d/1opm6ZNvGZ7KditA9TuJwrZ25eFLfTNIkrNnY6mhV5Eg"",""list!A1:C115""),3,TRUE)"),"le secteur de la formation pro et du coaching")</f>
        <v xml:space="preserve">le secteur de la formation pro et du coaching</v>
      </c>
      <c r="P479" s="4" t="s">
        <v>13951</v>
      </c>
      <c r="R479" s="4" t="s">
        <v>13952</v>
      </c>
      <c r="S479" s="4" t="s">
        <v>9160</v>
      </c>
      <c r="T479" s="4" t="s">
        <v>29</v>
      </c>
      <c r="U479" s="5" t="s">
        <v>13953</v>
      </c>
      <c r="V479" s="6"/>
      <c r="W479" s="6"/>
      <c r="X479" s="6"/>
      <c r="Y479" s="6"/>
      <c r="Z479" s="4" t="s">
        <v>13954</v>
      </c>
      <c r="AA479" s="6"/>
      <c r="AB479" s="5" t="s">
        <v>13955</v>
      </c>
    </row>
    <row r="480" ht="14.25">
      <c r="A480" s="4" t="s">
        <v>13957</v>
      </c>
      <c r="B480" s="4" t="s">
        <v>4188</v>
      </c>
      <c r="C480" s="4" t="s">
        <v>112</v>
      </c>
      <c r="F480" s="4" t="s">
        <v>13958</v>
      </c>
      <c r="G480" s="4">
        <v>11</v>
      </c>
      <c r="H480" s="4" t="s">
        <v>13959</v>
      </c>
      <c r="I480" s="4" t="str">
        <f>IFERROR(__XLUDF.DUMMYFUNCTION("PROPER(REGEXREPLACE(G478,""[^A-Za-z]+ "",""""))"),"Kairios")</f>
        <v>Kairios</v>
      </c>
      <c r="J480" s="5" t="s">
        <v>13960</v>
      </c>
      <c r="K480" s="4" t="s">
        <v>185</v>
      </c>
      <c r="L480" s="4" t="s">
        <v>9193</v>
      </c>
      <c r="M480" s="4" t="s">
        <v>29</v>
      </c>
      <c r="N480" s="4" t="s">
        <v>2602</v>
      </c>
      <c r="O480" s="4" t="str">
        <f>IFERROR(__XLUDF.DUMMYFUNCTION("VLOOKUP(M478,IMPORTRANGE(""https://docs.google.com/spreadsheets/d/1opm6ZNvGZ7KditA9TuJwrZ25eFLfTNIkrNnY6mhV5Eg"",""list!A1:C115""),3,TRUE)"),"le secteur de la tech")</f>
        <v xml:space="preserve">le secteur de la tech</v>
      </c>
      <c r="P480" s="4" t="s">
        <v>13961</v>
      </c>
      <c r="R480" s="4" t="s">
        <v>185</v>
      </c>
      <c r="S480" s="4" t="s">
        <v>9193</v>
      </c>
      <c r="T480" s="4" t="s">
        <v>29</v>
      </c>
      <c r="U480" s="5" t="s">
        <v>13962</v>
      </c>
      <c r="V480" s="6"/>
      <c r="W480" s="6"/>
      <c r="X480" s="6"/>
      <c r="Y480" s="6"/>
      <c r="Z480" s="4" t="s">
        <v>13963</v>
      </c>
      <c r="AA480" s="6"/>
      <c r="AB480" s="5" t="s">
        <v>13964</v>
      </c>
    </row>
    <row r="481" ht="14.25">
      <c r="A481" s="4" t="s">
        <v>886</v>
      </c>
      <c r="B481" s="4" t="s">
        <v>4188</v>
      </c>
      <c r="C481" s="4" t="s">
        <v>112</v>
      </c>
      <c r="F481" s="4" t="s">
        <v>13966</v>
      </c>
      <c r="G481" s="4">
        <v>12</v>
      </c>
      <c r="H481" s="4" t="s">
        <v>13967</v>
      </c>
      <c r="I481" s="4" t="str">
        <f>IFERROR(__XLUDF.DUMMYFUNCTION("PROPER(REGEXREPLACE(G479,""[^A-Za-z]+ "",""""))"),"Inotekk")</f>
        <v>Inotekk</v>
      </c>
      <c r="J481" s="5" t="s">
        <v>13968</v>
      </c>
      <c r="K481" s="4" t="s">
        <v>49</v>
      </c>
      <c r="L481" s="4" t="s">
        <v>9251</v>
      </c>
      <c r="M481" s="4" t="s">
        <v>29</v>
      </c>
      <c r="N481" s="4" t="s">
        <v>2602</v>
      </c>
      <c r="O481" s="4" t="str">
        <f>IFERROR(__XLUDF.DUMMYFUNCTION("VLOOKUP(M479,IMPORTRANGE(""https://docs.google.com/spreadsheets/d/1opm6ZNvGZ7KditA9TuJwrZ25eFLfTNIkrNnY6mhV5Eg"",""list!A1:C115""),3,TRUE)"),"le secteur de la tech")</f>
        <v xml:space="preserve">le secteur de la tech</v>
      </c>
      <c r="P481" s="4" t="s">
        <v>13969</v>
      </c>
      <c r="R481" s="4" t="s">
        <v>5456</v>
      </c>
      <c r="S481" s="4" t="s">
        <v>9251</v>
      </c>
      <c r="T481" s="4" t="s">
        <v>29</v>
      </c>
      <c r="U481" s="5" t="s">
        <v>13970</v>
      </c>
      <c r="V481" s="6"/>
      <c r="W481" s="6"/>
      <c r="X481" s="6"/>
      <c r="Y481" s="6"/>
      <c r="Z481" s="4" t="s">
        <v>13971</v>
      </c>
      <c r="AA481" s="6"/>
      <c r="AB481" s="5" t="s">
        <v>13972</v>
      </c>
    </row>
    <row r="482" ht="14.25">
      <c r="A482" s="4" t="s">
        <v>13974</v>
      </c>
      <c r="B482" s="4" t="s">
        <v>4188</v>
      </c>
      <c r="C482" s="4" t="s">
        <v>13976</v>
      </c>
      <c r="F482" s="4" t="s">
        <v>13975</v>
      </c>
      <c r="G482" s="4">
        <v>21</v>
      </c>
      <c r="H482" s="4" t="s">
        <v>13977</v>
      </c>
      <c r="I482" s="4" t="str">
        <f>IFERROR(__XLUDF.DUMMYFUNCTION("PROPER(REGEXREPLACE(G480,""[^A-Za-z]+ "",""""))"),"Nomiks")</f>
        <v>Nomiks</v>
      </c>
      <c r="J482" s="5" t="s">
        <v>13978</v>
      </c>
      <c r="K482" s="4" t="s">
        <v>2149</v>
      </c>
      <c r="L482" s="4" t="s">
        <v>9864</v>
      </c>
      <c r="M482" s="4" t="s">
        <v>29</v>
      </c>
      <c r="N482" s="4" t="s">
        <v>2602</v>
      </c>
      <c r="O482" s="4" t="str">
        <f>IFERROR(__XLUDF.DUMMYFUNCTION("VLOOKUP(M480,IMPORTRANGE(""https://docs.google.com/spreadsheets/d/1opm6ZNvGZ7KditA9TuJwrZ25eFLfTNIkrNnY6mhV5Eg"",""list!A1:C115""),3,TRUE)"),"le secteur de la tech")</f>
        <v xml:space="preserve">le secteur de la tech</v>
      </c>
      <c r="P482" s="4" t="s">
        <v>13979</v>
      </c>
      <c r="R482" s="4" t="s">
        <v>8086</v>
      </c>
      <c r="S482" s="4" t="s">
        <v>8086</v>
      </c>
      <c r="T482" s="4" t="s">
        <v>1938</v>
      </c>
      <c r="U482" s="5" t="s">
        <v>13980</v>
      </c>
      <c r="V482" s="6"/>
      <c r="W482" s="6"/>
      <c r="X482" s="6"/>
      <c r="Y482" s="6"/>
      <c r="Z482" s="4" t="s">
        <v>13981</v>
      </c>
      <c r="AA482" s="6"/>
      <c r="AB482" s="5" t="s">
        <v>13982</v>
      </c>
    </row>
    <row r="483" ht="14.25">
      <c r="A483" s="4" t="s">
        <v>13984</v>
      </c>
      <c r="B483" s="4" t="s">
        <v>7198</v>
      </c>
      <c r="C483" s="4" t="s">
        <v>112</v>
      </c>
      <c r="F483" s="4" t="s">
        <v>13985</v>
      </c>
      <c r="G483" s="4">
        <v>41</v>
      </c>
      <c r="H483" s="4" t="s">
        <v>13986</v>
      </c>
      <c r="I483" s="4" t="str">
        <f>IFERROR(__XLUDF.DUMMYFUNCTION("PROPER(REGEXREPLACE(G481,""[^A-Za-z]+ "",""""))"),"Roche Et Cie")</f>
        <v xml:space="preserve">Roche Et Cie</v>
      </c>
      <c r="J483" s="5" t="s">
        <v>13987</v>
      </c>
      <c r="K483" s="4" t="s">
        <v>7619</v>
      </c>
      <c r="L483" s="4" t="s">
        <v>9193</v>
      </c>
      <c r="M483" s="4" t="s">
        <v>29</v>
      </c>
      <c r="N483" s="4" t="s">
        <v>9239</v>
      </c>
      <c r="O483" s="4" t="str">
        <f>IFERROR(__XLUDF.DUMMYFUNCTION("VLOOKUP(M481,IMPORTRANGE(""https://docs.google.com/spreadsheets/d/1opm6ZNvGZ7KditA9TuJwrZ25eFLfTNIkrNnY6mhV5Eg"",""list!A1:C115""),3,TRUE)"),"le secteur de la construction")</f>
        <v xml:space="preserve">le secteur de la construction</v>
      </c>
      <c r="P483" s="6"/>
      <c r="R483" s="4" t="s">
        <v>7619</v>
      </c>
      <c r="S483" s="4" t="s">
        <v>9193</v>
      </c>
      <c r="T483" s="4" t="s">
        <v>29</v>
      </c>
      <c r="U483" s="5" t="s">
        <v>13988</v>
      </c>
      <c r="V483" s="6"/>
      <c r="W483" s="6"/>
      <c r="X483" s="6"/>
      <c r="Y483" s="6"/>
      <c r="Z483" s="4" t="s">
        <v>13989</v>
      </c>
      <c r="AA483" s="6"/>
      <c r="AB483" s="5" t="s">
        <v>13990</v>
      </c>
    </row>
    <row r="484" ht="14.25">
      <c r="A484" s="4" t="s">
        <v>13992</v>
      </c>
      <c r="B484" s="4" t="s">
        <v>971</v>
      </c>
      <c r="C484" s="4" t="s">
        <v>13994</v>
      </c>
      <c r="F484" s="4" t="s">
        <v>13993</v>
      </c>
      <c r="G484" s="4">
        <v>15</v>
      </c>
      <c r="H484" s="4" t="s">
        <v>13995</v>
      </c>
      <c r="I484" s="4" t="str">
        <f>IFERROR(__XLUDF.DUMMYFUNCTION("PROPER(REGEXREPLACE(G482,""[^A-Za-z]+ "",""""))"),"Diamart Consulting")</f>
        <v xml:space="preserve">Diamart Consulting</v>
      </c>
      <c r="J484" s="5" t="s">
        <v>13996</v>
      </c>
      <c r="K484" s="4" t="s">
        <v>39</v>
      </c>
      <c r="L484" s="4" t="s">
        <v>9160</v>
      </c>
      <c r="M484" s="4" t="s">
        <v>29</v>
      </c>
      <c r="N484" s="4" t="s">
        <v>4067</v>
      </c>
      <c r="O484" s="4" t="str">
        <f>IFERROR(__XLUDF.DUMMYFUNCTION("VLOOKUP(M482,IMPORTRANGE(""https://docs.google.com/spreadsheets/d/1opm6ZNvGZ7KditA9TuJwrZ25eFLfTNIkrNnY6mhV5Eg"",""list!A1:C115""),3,TRUE)"),"le secteur du conseil en management")</f>
        <v xml:space="preserve">le secteur du conseil en management</v>
      </c>
      <c r="P484" s="4" t="s">
        <v>13997</v>
      </c>
      <c r="R484" s="4" t="s">
        <v>39</v>
      </c>
      <c r="S484" s="4" t="s">
        <v>9160</v>
      </c>
      <c r="T484" s="4" t="s">
        <v>29</v>
      </c>
      <c r="U484" s="5" t="s">
        <v>13998</v>
      </c>
      <c r="V484" s="5" t="s">
        <v>13999</v>
      </c>
      <c r="W484" s="6"/>
      <c r="X484" s="6"/>
      <c r="Y484" s="6"/>
      <c r="Z484" s="4" t="s">
        <v>14000</v>
      </c>
      <c r="AA484" s="6"/>
      <c r="AB484" s="5" t="s">
        <v>14001</v>
      </c>
    </row>
    <row r="485" ht="14.25">
      <c r="A485" s="4" t="s">
        <v>14003</v>
      </c>
      <c r="B485" s="4" t="s">
        <v>4188</v>
      </c>
      <c r="C485" s="4" t="s">
        <v>1130</v>
      </c>
      <c r="F485" s="4" t="s">
        <v>14004</v>
      </c>
      <c r="G485" s="4">
        <v>11</v>
      </c>
      <c r="H485" s="4" t="s">
        <v>14005</v>
      </c>
      <c r="I485" s="4" t="str">
        <f>IFERROR(__XLUDF.DUMMYFUNCTION("PROPER(REGEXREPLACE(G483,""[^A-Za-z]+ "",""""))"),"Asba Drums")</f>
        <v xml:space="preserve">Asba Drums</v>
      </c>
      <c r="J485" s="5" t="s">
        <v>14006</v>
      </c>
      <c r="K485" s="4" t="s">
        <v>185</v>
      </c>
      <c r="L485" s="4" t="s">
        <v>9193</v>
      </c>
      <c r="M485" s="4" t="s">
        <v>29</v>
      </c>
      <c r="N485" s="4" t="s">
        <v>4525</v>
      </c>
      <c r="O485" s="4" t="str">
        <f>IFERROR(__XLUDF.DUMMYFUNCTION("VLOOKUP(M483,IMPORTRANGE(""https://docs.google.com/spreadsheets/d/1opm6ZNvGZ7KditA9TuJwrZ25eFLfTNIkrNnY6mhV5Eg"",""list!A1:C115""),3,TRUE)"),"le secteur du retail")</f>
        <v xml:space="preserve">le secteur du retail</v>
      </c>
      <c r="P485" s="6"/>
      <c r="R485" s="4" t="s">
        <v>185</v>
      </c>
      <c r="S485" s="4" t="s">
        <v>9193</v>
      </c>
      <c r="T485" s="4" t="s">
        <v>29</v>
      </c>
      <c r="U485" s="5" t="s">
        <v>14007</v>
      </c>
      <c r="V485" s="6"/>
      <c r="W485" s="6"/>
      <c r="X485" s="6"/>
      <c r="Y485" s="6"/>
      <c r="Z485" s="4" t="s">
        <v>14008</v>
      </c>
      <c r="AA485" s="6"/>
      <c r="AB485" s="5" t="s">
        <v>14009</v>
      </c>
    </row>
    <row r="486" ht="14.25">
      <c r="A486" s="4" t="s">
        <v>14011</v>
      </c>
      <c r="B486" s="4" t="s">
        <v>76</v>
      </c>
      <c r="C486" s="4" t="s">
        <v>14013</v>
      </c>
      <c r="F486" s="4" t="s">
        <v>14012</v>
      </c>
      <c r="G486" s="4">
        <v>14</v>
      </c>
      <c r="H486" s="4" t="s">
        <v>14014</v>
      </c>
      <c r="I486" s="4" t="str">
        <f>IFERROR(__XLUDF.DUMMYFUNCTION("PROPER(REGEXREPLACE(G484,""[^A-Za-z]+ "",""""))"),"Priism")</f>
        <v>Priism</v>
      </c>
      <c r="J486" s="5" t="s">
        <v>14015</v>
      </c>
      <c r="K486" s="4" t="s">
        <v>12917</v>
      </c>
      <c r="L486" s="4" t="s">
        <v>9193</v>
      </c>
      <c r="M486" s="4" t="s">
        <v>29</v>
      </c>
      <c r="N486" s="4" t="s">
        <v>2602</v>
      </c>
      <c r="O486" s="4" t="str">
        <f>IFERROR(__XLUDF.DUMMYFUNCTION("VLOOKUP(M484,IMPORTRANGE(""https://docs.google.com/spreadsheets/d/1opm6ZNvGZ7KditA9TuJwrZ25eFLfTNIkrNnY6mhV5Eg"",""list!A1:C115""),3,TRUE)"),"le secteur de la tech")</f>
        <v xml:space="preserve">le secteur de la tech</v>
      </c>
      <c r="P486" s="4" t="s">
        <v>14016</v>
      </c>
      <c r="R486" s="4" t="s">
        <v>12917</v>
      </c>
      <c r="S486" s="4" t="s">
        <v>9193</v>
      </c>
      <c r="T486" s="4" t="s">
        <v>29</v>
      </c>
      <c r="U486" s="5" t="s">
        <v>14017</v>
      </c>
      <c r="V486" s="5" t="s">
        <v>14018</v>
      </c>
      <c r="W486" s="5" t="s">
        <v>14019</v>
      </c>
      <c r="X486" s="6"/>
      <c r="Y486" s="6"/>
      <c r="Z486" s="4" t="s">
        <v>14020</v>
      </c>
      <c r="AA486" s="6"/>
      <c r="AB486" s="5" t="s">
        <v>14021</v>
      </c>
    </row>
    <row r="487" ht="14.25">
      <c r="A487" s="4" t="s">
        <v>14023</v>
      </c>
      <c r="B487" s="4" t="s">
        <v>2516</v>
      </c>
      <c r="C487" s="4" t="s">
        <v>7759</v>
      </c>
      <c r="F487" s="4" t="s">
        <v>14024</v>
      </c>
      <c r="G487" s="4">
        <v>10</v>
      </c>
      <c r="H487" s="4" t="s">
        <v>14025</v>
      </c>
      <c r="I487" s="4" t="str">
        <f>IFERROR(__XLUDF.DUMMYFUNCTION("PROPER(REGEXREPLACE(G485,""[^A-Za-z]+ "",""""))"),"Techcare")</f>
        <v>Techcare</v>
      </c>
      <c r="J487" s="5" t="s">
        <v>14026</v>
      </c>
      <c r="K487" s="4" t="s">
        <v>295</v>
      </c>
      <c r="L487" s="4" t="s">
        <v>9251</v>
      </c>
      <c r="M487" s="4" t="s">
        <v>29</v>
      </c>
      <c r="N487" s="4" t="s">
        <v>2602</v>
      </c>
      <c r="O487" s="4" t="str">
        <f>IFERROR(__XLUDF.DUMMYFUNCTION("VLOOKUP(M485,IMPORTRANGE(""https://docs.google.com/spreadsheets/d/1opm6ZNvGZ7KditA9TuJwrZ25eFLfTNIkrNnY6mhV5Eg"",""list!A1:C115""),3,TRUE)"),"le secteur de la tech")</f>
        <v xml:space="preserve">le secteur de la tech</v>
      </c>
      <c r="P487" s="6"/>
      <c r="R487" s="4" t="s">
        <v>295</v>
      </c>
      <c r="S487" s="4" t="s">
        <v>9251</v>
      </c>
      <c r="T487" s="4" t="s">
        <v>29</v>
      </c>
      <c r="U487" s="5" t="s">
        <v>14027</v>
      </c>
      <c r="V487" s="6"/>
      <c r="W487" s="5" t="s">
        <v>14028</v>
      </c>
      <c r="X487" s="6"/>
      <c r="Y487" s="6"/>
      <c r="Z487" s="4" t="s">
        <v>14029</v>
      </c>
      <c r="AA487" s="6"/>
      <c r="AB487" s="5" t="s">
        <v>14030</v>
      </c>
    </row>
    <row r="488" ht="14.25">
      <c r="A488" s="4" t="s">
        <v>14032</v>
      </c>
      <c r="B488" s="4" t="s">
        <v>2516</v>
      </c>
      <c r="C488" s="4" t="s">
        <v>112</v>
      </c>
      <c r="F488" s="4" t="s">
        <v>14033</v>
      </c>
      <c r="G488" s="4">
        <v>16</v>
      </c>
      <c r="H488" s="4" t="s">
        <v>14034</v>
      </c>
      <c r="I488" s="4" t="str">
        <f>IFERROR(__XLUDF.DUMMYFUNCTION("PROPER(REGEXREPLACE(G486,""[^A-Za-z]+ "",""""))"),"Ux-Key")</f>
        <v>Ux-Key</v>
      </c>
      <c r="J488" s="5" t="s">
        <v>14035</v>
      </c>
      <c r="K488" s="4" t="s">
        <v>4922</v>
      </c>
      <c r="L488" s="4" t="s">
        <v>9340</v>
      </c>
      <c r="M488" s="4" t="s">
        <v>29</v>
      </c>
      <c r="N488" s="4" t="s">
        <v>2602</v>
      </c>
      <c r="O488" s="4" t="str">
        <f>IFERROR(__XLUDF.DUMMYFUNCTION("VLOOKUP(M486,IMPORTRANGE(""https://docs.google.com/spreadsheets/d/1opm6ZNvGZ7KditA9TuJwrZ25eFLfTNIkrNnY6mhV5Eg"",""list!A1:C115""),3,TRUE)"),"le secteur de la tech")</f>
        <v xml:space="preserve">le secteur de la tech</v>
      </c>
      <c r="P488" s="6"/>
      <c r="R488" s="4" t="s">
        <v>4922</v>
      </c>
      <c r="S488" s="4" t="s">
        <v>9215</v>
      </c>
      <c r="T488" s="4" t="s">
        <v>29</v>
      </c>
      <c r="U488" s="5" t="s">
        <v>14036</v>
      </c>
      <c r="V488" s="6"/>
      <c r="W488" s="6"/>
      <c r="X488" s="6"/>
      <c r="Y488" s="6"/>
      <c r="Z488" s="4" t="s">
        <v>14037</v>
      </c>
      <c r="AA488" s="6"/>
      <c r="AB488" s="5" t="s">
        <v>14038</v>
      </c>
    </row>
    <row r="489" ht="14.25">
      <c r="A489" s="4" t="s">
        <v>14040</v>
      </c>
      <c r="B489" s="4" t="s">
        <v>2516</v>
      </c>
      <c r="C489" s="4" t="s">
        <v>62</v>
      </c>
      <c r="F489" s="4" t="s">
        <v>14041</v>
      </c>
      <c r="G489" s="4">
        <v>14</v>
      </c>
      <c r="H489" s="4" t="s">
        <v>14042</v>
      </c>
      <c r="I489" s="4" t="str">
        <f>IFERROR(__XLUDF.DUMMYFUNCTION("PROPER(REGEXREPLACE(G487,""[^A-Za-z]+ "",""""))"),"Bii Group")</f>
        <v xml:space="preserve">Bii Group</v>
      </c>
      <c r="J489" s="5" t="s">
        <v>14043</v>
      </c>
      <c r="K489" s="6"/>
      <c r="L489" s="6"/>
      <c r="M489" s="4" t="s">
        <v>29</v>
      </c>
      <c r="N489" s="4" t="s">
        <v>4067</v>
      </c>
      <c r="O489" s="4" t="str">
        <f>IFERROR(__XLUDF.DUMMYFUNCTION("VLOOKUP(M487,IMPORTRANGE(""https://docs.google.com/spreadsheets/d/1opm6ZNvGZ7KditA9TuJwrZ25eFLfTNIkrNnY6mhV5Eg"",""list!A1:C115""),3,TRUE)"),"le secteur du conseil en management")</f>
        <v xml:space="preserve">le secteur du conseil en management</v>
      </c>
      <c r="P489" s="6"/>
      <c r="R489" s="4" t="s">
        <v>14044</v>
      </c>
      <c r="S489" s="4" t="s">
        <v>14045</v>
      </c>
      <c r="T489" s="4" t="s">
        <v>14046</v>
      </c>
      <c r="U489" s="5" t="s">
        <v>14047</v>
      </c>
      <c r="V489" s="6"/>
      <c r="W489" s="6"/>
      <c r="X489" s="6"/>
      <c r="Y489" s="6"/>
      <c r="Z489" s="4" t="s">
        <v>14048</v>
      </c>
      <c r="AA489" s="6"/>
      <c r="AB489" s="5" t="s">
        <v>14049</v>
      </c>
    </row>
    <row r="490" ht="14.25">
      <c r="A490" s="4" t="s">
        <v>14051</v>
      </c>
      <c r="B490" s="4" t="s">
        <v>2516</v>
      </c>
      <c r="C490" s="4" t="s">
        <v>7759</v>
      </c>
      <c r="F490" s="4" t="s">
        <v>14052</v>
      </c>
      <c r="G490" s="4">
        <v>14</v>
      </c>
      <c r="H490" s="4" t="s">
        <v>14053</v>
      </c>
      <c r="I490" s="4" t="str">
        <f>IFERROR(__XLUDF.DUMMYFUNCTION("PROPER(REGEXREPLACE(G488,""[^A-Za-z]+ "",""""))"),"Ar2C")</f>
        <v>Ar2C</v>
      </c>
      <c r="J490" s="5" t="s">
        <v>14054</v>
      </c>
      <c r="K490" s="4" t="s">
        <v>9237</v>
      </c>
      <c r="L490" s="4" t="s">
        <v>9193</v>
      </c>
      <c r="M490" s="4" t="s">
        <v>29</v>
      </c>
      <c r="N490" s="4" t="s">
        <v>9239</v>
      </c>
      <c r="O490" s="4" t="str">
        <f>IFERROR(__XLUDF.DUMMYFUNCTION("VLOOKUP(M488,IMPORTRANGE(""https://docs.google.com/spreadsheets/d/1opm6ZNvGZ7KditA9TuJwrZ25eFLfTNIkrNnY6mhV5Eg"",""list!A1:C115""),3,TRUE)"),"le secteur de la construction")</f>
        <v xml:space="preserve">le secteur de la construction</v>
      </c>
      <c r="P490" s="6"/>
      <c r="R490" s="4" t="s">
        <v>14055</v>
      </c>
      <c r="S490" s="4" t="s">
        <v>9193</v>
      </c>
      <c r="T490" s="4" t="s">
        <v>29</v>
      </c>
      <c r="U490" s="5" t="s">
        <v>14056</v>
      </c>
      <c r="V490" s="6"/>
      <c r="W490" s="6"/>
      <c r="X490" s="6"/>
      <c r="Y490" s="6"/>
      <c r="Z490" s="4" t="s">
        <v>14057</v>
      </c>
      <c r="AA490" s="6"/>
      <c r="AB490" s="5" t="s">
        <v>14058</v>
      </c>
    </row>
    <row r="491" ht="14.25">
      <c r="A491" s="4" t="s">
        <v>14060</v>
      </c>
      <c r="B491" s="4" t="s">
        <v>2516</v>
      </c>
      <c r="C491" s="4" t="s">
        <v>112</v>
      </c>
      <c r="F491" s="4" t="s">
        <v>14061</v>
      </c>
      <c r="G491" s="4">
        <v>14</v>
      </c>
      <c r="H491" s="4" t="s">
        <v>14062</v>
      </c>
      <c r="I491" s="4" t="str">
        <f>IFERROR(__XLUDF.DUMMYFUNCTION("PROPER(REGEXREPLACE(G489,""[^A-Za-z]+ "",""""))"),"Omneo Solutions")</f>
        <v xml:space="preserve">Omneo Solutions</v>
      </c>
      <c r="J491" s="5" t="s">
        <v>14063</v>
      </c>
      <c r="K491" s="4" t="s">
        <v>846</v>
      </c>
      <c r="L491" s="4" t="s">
        <v>9278</v>
      </c>
      <c r="M491" s="4" t="s">
        <v>29</v>
      </c>
      <c r="N491" s="4" t="s">
        <v>2602</v>
      </c>
      <c r="O491" s="4" t="str">
        <f>IFERROR(__XLUDF.DUMMYFUNCTION("VLOOKUP(M489,IMPORTRANGE(""https://docs.google.com/spreadsheets/d/1opm6ZNvGZ7KditA9TuJwrZ25eFLfTNIkrNnY6mhV5Eg"",""list!A1:C115""),3,TRUE)"),"le secteur de la tech")</f>
        <v xml:space="preserve">le secteur de la tech</v>
      </c>
      <c r="P491" s="4" t="s">
        <v>14064</v>
      </c>
      <c r="R491" s="4" t="s">
        <v>846</v>
      </c>
      <c r="S491" s="4" t="s">
        <v>9281</v>
      </c>
      <c r="T491" s="4" t="s">
        <v>29</v>
      </c>
      <c r="U491" s="5" t="s">
        <v>14065</v>
      </c>
      <c r="V491" s="6"/>
      <c r="W491" s="6"/>
      <c r="X491" s="6"/>
      <c r="Y491" s="6"/>
      <c r="Z491" s="4" t="s">
        <v>14066</v>
      </c>
      <c r="AA491" s="6"/>
      <c r="AB491" s="5" t="s">
        <v>14067</v>
      </c>
    </row>
    <row r="492" ht="14.25">
      <c r="A492" s="4" t="s">
        <v>14070</v>
      </c>
      <c r="B492" s="4" t="s">
        <v>14069</v>
      </c>
      <c r="C492" s="4" t="s">
        <v>14072</v>
      </c>
      <c r="F492" s="4" t="s">
        <v>14071</v>
      </c>
      <c r="G492" s="4">
        <v>16</v>
      </c>
      <c r="H492" s="4" t="s">
        <v>14073</v>
      </c>
      <c r="I492" s="4" t="str">
        <f>IFERROR(__XLUDF.DUMMYFUNCTION("PROPER(REGEXREPLACE(G490,""[^A-Za-z]+ "",""""))"),"I Love Events")</f>
        <v xml:space="preserve">I Love Events</v>
      </c>
      <c r="J492" s="5" t="s">
        <v>14074</v>
      </c>
      <c r="K492" s="4" t="s">
        <v>39</v>
      </c>
      <c r="L492" s="4" t="s">
        <v>9160</v>
      </c>
      <c r="M492" s="4" t="s">
        <v>29</v>
      </c>
      <c r="N492" s="4" t="s">
        <v>10639</v>
      </c>
      <c r="O492" s="4" t="str">
        <f>IFERROR(__XLUDF.DUMMYFUNCTION("VLOOKUP(M490,IMPORTRANGE(""https://docs.google.com/spreadsheets/d/1opm6ZNvGZ7KditA9TuJwrZ25eFLfTNIkrNnY6mhV5Eg"",""list!A1:C115""),3,TRUE)"),"le secteur de la communication")</f>
        <v xml:space="preserve">le secteur de la communication</v>
      </c>
      <c r="P492" s="4" t="s">
        <v>14075</v>
      </c>
      <c r="R492" s="4" t="s">
        <v>39</v>
      </c>
      <c r="S492" s="4" t="s">
        <v>9160</v>
      </c>
      <c r="T492" s="4" t="s">
        <v>29</v>
      </c>
      <c r="U492" s="5" t="s">
        <v>14076</v>
      </c>
      <c r="V492" s="6"/>
      <c r="W492" s="6"/>
      <c r="X492" s="6"/>
      <c r="Y492" s="6"/>
      <c r="Z492" s="4" t="s">
        <v>14077</v>
      </c>
      <c r="AA492" s="6"/>
      <c r="AB492" s="5" t="s">
        <v>14078</v>
      </c>
    </row>
    <row r="493" ht="14.25">
      <c r="A493" s="4" t="s">
        <v>3850</v>
      </c>
      <c r="B493" s="4" t="s">
        <v>579</v>
      </c>
      <c r="C493" s="4" t="s">
        <v>14081</v>
      </c>
      <c r="F493" s="4" t="s">
        <v>14080</v>
      </c>
      <c r="G493" s="4">
        <v>21</v>
      </c>
      <c r="H493" s="4" t="s">
        <v>14082</v>
      </c>
      <c r="I493" s="4" t="str">
        <f>IFERROR(__XLUDF.DUMMYFUNCTION("PROPER(REGEXREPLACE(G491,""[^A-Za-z]+ "",""""))"),"Crisotech")</f>
        <v>Crisotech</v>
      </c>
      <c r="J493" s="5" t="s">
        <v>14083</v>
      </c>
      <c r="K493" s="4" t="s">
        <v>39</v>
      </c>
      <c r="L493" s="4" t="s">
        <v>9160</v>
      </c>
      <c r="M493" s="4" t="s">
        <v>29</v>
      </c>
      <c r="N493" s="4" t="s">
        <v>4067</v>
      </c>
      <c r="O493" s="4" t="str">
        <f>IFERROR(__XLUDF.DUMMYFUNCTION("VLOOKUP(M491,IMPORTRANGE(""https://docs.google.com/spreadsheets/d/1opm6ZNvGZ7KditA9TuJwrZ25eFLfTNIkrNnY6mhV5Eg"",""list!A1:C115""),3,TRUE)"),"le secteur du conseil en management")</f>
        <v xml:space="preserve">le secteur du conseil en management</v>
      </c>
      <c r="P493" s="4" t="s">
        <v>14084</v>
      </c>
      <c r="R493" s="4" t="s">
        <v>39</v>
      </c>
      <c r="S493" s="4" t="s">
        <v>9160</v>
      </c>
      <c r="T493" s="4" t="s">
        <v>29</v>
      </c>
      <c r="U493" s="5" t="s">
        <v>14085</v>
      </c>
      <c r="V493" s="6"/>
      <c r="W493" s="6"/>
      <c r="X493" s="6"/>
      <c r="Y493" s="6"/>
      <c r="Z493" s="4" t="s">
        <v>14086</v>
      </c>
      <c r="AA493" s="6"/>
      <c r="AB493" s="5" t="s">
        <v>14087</v>
      </c>
    </row>
    <row r="494" ht="14.25">
      <c r="A494" s="4" t="s">
        <v>14089</v>
      </c>
      <c r="B494" s="4" t="s">
        <v>76</v>
      </c>
      <c r="C494" s="4" t="s">
        <v>7759</v>
      </c>
      <c r="F494" s="4" t="s">
        <v>14090</v>
      </c>
      <c r="G494" s="4">
        <v>12</v>
      </c>
      <c r="H494" s="4" t="s">
        <v>14091</v>
      </c>
      <c r="I494" s="4" t="str">
        <f>IFERROR(__XLUDF.DUMMYFUNCTION("PROPER(REGEXREPLACE(G492,""[^A-Za-z]+ "",""""))"),"Dcom-Solutions")</f>
        <v>Dcom-Solutions</v>
      </c>
      <c r="J494" s="5" t="s">
        <v>14092</v>
      </c>
      <c r="K494" s="4" t="s">
        <v>6777</v>
      </c>
      <c r="L494" s="4" t="s">
        <v>9864</v>
      </c>
      <c r="M494" s="4" t="s">
        <v>29</v>
      </c>
      <c r="N494" s="4" t="s">
        <v>9184</v>
      </c>
      <c r="O494" s="4" t="str">
        <f>IFERROR(__XLUDF.DUMMYFUNCTION("VLOOKUP(M492,IMPORTRANGE(""https://docs.google.com/spreadsheets/d/1opm6ZNvGZ7KditA9TuJwrZ25eFLfTNIkrNnY6mhV5Eg"",""list!A1:C115""),3,TRUE)"),"le secteur des télécommunications")</f>
        <v xml:space="preserve">le secteur des télécommunications</v>
      </c>
      <c r="P494" s="4" t="s">
        <v>14093</v>
      </c>
      <c r="R494" s="4" t="s">
        <v>14094</v>
      </c>
      <c r="S494" s="4" t="s">
        <v>11114</v>
      </c>
      <c r="T494" s="4" t="s">
        <v>29</v>
      </c>
      <c r="U494" s="5" t="s">
        <v>14095</v>
      </c>
      <c r="V494" s="6"/>
      <c r="W494" s="6"/>
      <c r="X494" s="6"/>
      <c r="Y494" s="6"/>
      <c r="Z494" s="4" t="s">
        <v>14096</v>
      </c>
      <c r="AA494" s="6"/>
      <c r="AB494" s="5" t="s">
        <v>14097</v>
      </c>
    </row>
    <row r="495" ht="14.25">
      <c r="A495" s="4" t="s">
        <v>14099</v>
      </c>
      <c r="B495" s="4" t="s">
        <v>76</v>
      </c>
      <c r="C495" s="4" t="s">
        <v>7759</v>
      </c>
      <c r="F495" s="4" t="s">
        <v>14100</v>
      </c>
      <c r="G495" s="4">
        <v>38</v>
      </c>
      <c r="H495" s="4" t="s">
        <v>14101</v>
      </c>
      <c r="I495" s="4" t="str">
        <f>IFERROR(__XLUDF.DUMMYFUNCTION("PROPER(REGEXREPLACE(G493,""[^A-Za-z]+ "",""""))"),"Les Constructions Du Belon")</f>
        <v xml:space="preserve">Les Constructions Du Belon</v>
      </c>
      <c r="J495" s="6"/>
      <c r="K495" s="4" t="s">
        <v>14102</v>
      </c>
      <c r="L495" s="4" t="s">
        <v>9227</v>
      </c>
      <c r="M495" s="4" t="s">
        <v>29</v>
      </c>
      <c r="N495" s="4" t="s">
        <v>9239</v>
      </c>
      <c r="O495" s="4" t="str">
        <f>IFERROR(__XLUDF.DUMMYFUNCTION("VLOOKUP(M493,IMPORTRANGE(""https://docs.google.com/spreadsheets/d/1opm6ZNvGZ7KditA9TuJwrZ25eFLfTNIkrNnY6mhV5Eg"",""list!A1:C115""),3,TRUE)"),"le secteur de la construction")</f>
        <v xml:space="preserve">le secteur de la construction</v>
      </c>
      <c r="P495" s="4" t="s">
        <v>14103</v>
      </c>
      <c r="R495" s="4" t="s">
        <v>14102</v>
      </c>
      <c r="S495" s="4" t="s">
        <v>9227</v>
      </c>
      <c r="T495" s="4" t="s">
        <v>29</v>
      </c>
      <c r="U495" s="5" t="s">
        <v>14104</v>
      </c>
      <c r="V495" s="5" t="s">
        <v>14105</v>
      </c>
      <c r="W495" s="5" t="s">
        <v>14106</v>
      </c>
      <c r="X495" s="6"/>
      <c r="Y495" s="6"/>
      <c r="Z495" s="4" t="s">
        <v>14107</v>
      </c>
      <c r="AA495" s="6"/>
      <c r="AB495" s="5" t="s">
        <v>14108</v>
      </c>
    </row>
    <row r="496" ht="14.25">
      <c r="A496" s="4" t="s">
        <v>14110</v>
      </c>
      <c r="B496" s="4" t="s">
        <v>7188</v>
      </c>
      <c r="C496" s="4" t="s">
        <v>172</v>
      </c>
      <c r="F496" s="4" t="s">
        <v>14111</v>
      </c>
      <c r="G496" s="4">
        <v>10</v>
      </c>
      <c r="H496" s="4" t="s">
        <v>14112</v>
      </c>
      <c r="I496" s="4" t="str">
        <f>IFERROR(__XLUDF.DUMMYFUNCTION("PROPER(REGEXREPLACE(G494,""[^A-Za-z]+ "",""""))"),"Feedmax")</f>
        <v>Feedmax</v>
      </c>
      <c r="J496" s="5" t="s">
        <v>14113</v>
      </c>
      <c r="K496" s="4" t="s">
        <v>39</v>
      </c>
      <c r="L496" s="4" t="s">
        <v>9160</v>
      </c>
      <c r="M496" s="4" t="s">
        <v>29</v>
      </c>
      <c r="N496" s="4" t="s">
        <v>2602</v>
      </c>
      <c r="O496" s="4" t="str">
        <f>IFERROR(__XLUDF.DUMMYFUNCTION("VLOOKUP(M494,IMPORTRANGE(""https://docs.google.com/spreadsheets/d/1opm6ZNvGZ7KditA9TuJwrZ25eFLfTNIkrNnY6mhV5Eg"",""list!A1:C115""),3,TRUE)"),"le secteur de la tech")</f>
        <v xml:space="preserve">le secteur de la tech</v>
      </c>
      <c r="P496" s="6"/>
      <c r="R496" s="4" t="s">
        <v>39</v>
      </c>
      <c r="S496" s="4" t="s">
        <v>9160</v>
      </c>
      <c r="T496" s="4" t="s">
        <v>29</v>
      </c>
      <c r="U496" s="5" t="s">
        <v>14114</v>
      </c>
      <c r="V496" s="6"/>
      <c r="W496" s="6"/>
      <c r="X496" s="6"/>
      <c r="Y496" s="6"/>
      <c r="Z496" s="4" t="s">
        <v>14115</v>
      </c>
      <c r="AA496" s="6"/>
      <c r="AB496" s="5" t="s">
        <v>14116</v>
      </c>
    </row>
    <row r="497" ht="14.25">
      <c r="A497" s="4" t="s">
        <v>14118</v>
      </c>
      <c r="B497" s="4" t="s">
        <v>2119</v>
      </c>
      <c r="C497" s="4" t="s">
        <v>5953</v>
      </c>
      <c r="F497" s="4" t="s">
        <v>14119</v>
      </c>
      <c r="G497" s="4">
        <v>27</v>
      </c>
      <c r="H497" s="4" t="s">
        <v>14120</v>
      </c>
      <c r="I497" s="4" t="str">
        <f>IFERROR(__XLUDF.DUMMYFUNCTION("PROPER(REGEXREPLACE(G495,""[^A-Za-z]+ "",""""))"),"Tout Faire Côte D'Azur")</f>
        <v xml:space="preserve">Tout Faire Côte D'Azur</v>
      </c>
      <c r="J497" s="6"/>
      <c r="K497" s="4" t="s">
        <v>49</v>
      </c>
      <c r="L497" s="4" t="s">
        <v>9251</v>
      </c>
      <c r="M497" s="4" t="s">
        <v>29</v>
      </c>
      <c r="N497" s="4" t="s">
        <v>4525</v>
      </c>
      <c r="O497" s="4" t="str">
        <f>IFERROR(__XLUDF.DUMMYFUNCTION("VLOOKUP(M495,IMPORTRANGE(""https://docs.google.com/spreadsheets/d/1opm6ZNvGZ7KditA9TuJwrZ25eFLfTNIkrNnY6mhV5Eg"",""list!A1:C115""),3,TRUE)"),"le secteur du retail")</f>
        <v xml:space="preserve">le secteur du retail</v>
      </c>
      <c r="P497" s="4" t="s">
        <v>14121</v>
      </c>
      <c r="R497" s="4" t="s">
        <v>4485</v>
      </c>
      <c r="S497" s="4" t="s">
        <v>9251</v>
      </c>
      <c r="T497" s="4" t="s">
        <v>29</v>
      </c>
      <c r="U497" s="5" t="s">
        <v>14122</v>
      </c>
      <c r="V497" s="6"/>
      <c r="W497" s="6"/>
      <c r="X497" s="6"/>
      <c r="Y497" s="6"/>
      <c r="Z497" s="4" t="s">
        <v>14123</v>
      </c>
      <c r="AA497" s="6"/>
      <c r="AB497" s="5" t="s">
        <v>14124</v>
      </c>
    </row>
    <row r="498" ht="14.25">
      <c r="A498" s="4" t="s">
        <v>14126</v>
      </c>
      <c r="B498" s="4" t="s">
        <v>963</v>
      </c>
      <c r="C498" s="4" t="s">
        <v>7759</v>
      </c>
      <c r="F498" s="4" t="s">
        <v>14127</v>
      </c>
      <c r="G498" s="4">
        <v>12</v>
      </c>
      <c r="H498" s="4" t="s">
        <v>14128</v>
      </c>
      <c r="I498" s="4" t="str">
        <f>IFERROR(__XLUDF.DUMMYFUNCTION("PROPER(REGEXREPLACE(G496,""[^A-Za-z]+ "",""""))"),"Sngi")</f>
        <v>Sngi</v>
      </c>
      <c r="J498" s="5" t="s">
        <v>14129</v>
      </c>
      <c r="K498" s="4" t="s">
        <v>185</v>
      </c>
      <c r="L498" s="4" t="s">
        <v>9193</v>
      </c>
      <c r="M498" s="4" t="s">
        <v>29</v>
      </c>
      <c r="N498" s="4" t="s">
        <v>9239</v>
      </c>
      <c r="O498" s="4" t="str">
        <f>IFERROR(__XLUDF.DUMMYFUNCTION("VLOOKUP(M496,IMPORTRANGE(""https://docs.google.com/spreadsheets/d/1opm6ZNvGZ7KditA9TuJwrZ25eFLfTNIkrNnY6mhV5Eg"",""list!A1:C115""),3,TRUE)"),"le secteur de la construction")</f>
        <v xml:space="preserve">le secteur de la construction</v>
      </c>
      <c r="P498" s="6"/>
      <c r="R498" s="6"/>
      <c r="S498" s="6"/>
      <c r="T498" s="4" t="s">
        <v>29</v>
      </c>
      <c r="U498" s="5" t="s">
        <v>14130</v>
      </c>
      <c r="V498" s="6"/>
      <c r="W498" s="6"/>
      <c r="X498" s="6"/>
      <c r="Y498" s="6"/>
      <c r="Z498" s="4" t="s">
        <v>14131</v>
      </c>
      <c r="AA498" s="6"/>
      <c r="AB498" s="5" t="s">
        <v>14132</v>
      </c>
    </row>
    <row r="499" ht="14.25">
      <c r="A499" s="4" t="s">
        <v>14134</v>
      </c>
      <c r="B499" s="4" t="s">
        <v>170</v>
      </c>
      <c r="C499" s="4" t="s">
        <v>172</v>
      </c>
      <c r="F499" s="4" t="s">
        <v>14135</v>
      </c>
      <c r="G499" s="4">
        <v>12</v>
      </c>
      <c r="H499" s="4" t="s">
        <v>14136</v>
      </c>
      <c r="I499" s="4" t="str">
        <f>IFERROR(__XLUDF.DUMMYFUNCTION("PROPER(REGEXREPLACE(G497,""[^A-Za-z]+ "",""""))"),"Club Santpremium")</f>
        <v xml:space="preserve">Club Santpremium</v>
      </c>
      <c r="J499" s="5" t="s">
        <v>14137</v>
      </c>
      <c r="K499" s="4" t="s">
        <v>14138</v>
      </c>
      <c r="L499" s="4" t="s">
        <v>9281</v>
      </c>
      <c r="M499" s="4" t="s">
        <v>29</v>
      </c>
      <c r="N499" s="4" t="s">
        <v>4067</v>
      </c>
      <c r="O499" s="4" t="str">
        <f>IFERROR(__XLUDF.DUMMYFUNCTION("VLOOKUP(M497,IMPORTRANGE(""https://docs.google.com/spreadsheets/d/1opm6ZNvGZ7KditA9TuJwrZ25eFLfTNIkrNnY6mhV5Eg"",""list!A1:C115""),3,TRUE)"),"le secteur du conseil en management")</f>
        <v xml:space="preserve">le secteur du conseil en management</v>
      </c>
      <c r="P499" s="4" t="s">
        <v>14139</v>
      </c>
      <c r="R499" s="4" t="s">
        <v>10537</v>
      </c>
      <c r="S499" s="4" t="s">
        <v>9281</v>
      </c>
      <c r="T499" s="4" t="s">
        <v>29</v>
      </c>
      <c r="U499" s="5" t="s">
        <v>14140</v>
      </c>
      <c r="V499" s="6"/>
      <c r="W499" s="5" t="s">
        <v>9981</v>
      </c>
      <c r="X499" s="6"/>
      <c r="Y499" s="6"/>
      <c r="Z499" s="4" t="s">
        <v>14141</v>
      </c>
      <c r="AA499" s="6"/>
      <c r="AB499" s="5" t="s">
        <v>14142</v>
      </c>
    </row>
    <row r="500" ht="14.25">
      <c r="A500" s="4" t="s">
        <v>14144</v>
      </c>
      <c r="B500" s="4" t="s">
        <v>2119</v>
      </c>
      <c r="C500" s="4" t="s">
        <v>112</v>
      </c>
      <c r="F500" s="4" t="s">
        <v>14145</v>
      </c>
      <c r="G500" s="4">
        <v>21</v>
      </c>
      <c r="H500" s="4" t="s">
        <v>14146</v>
      </c>
      <c r="I500" s="4" t="str">
        <f>IFERROR(__XLUDF.DUMMYFUNCTION("PROPER(REGEXREPLACE(G498,""[^A-Za-z]+ "",""""))"),"Zeroptical Groupe")</f>
        <v xml:space="preserve">Zeroptical Groupe</v>
      </c>
      <c r="J500" s="5" t="s">
        <v>14147</v>
      </c>
      <c r="K500" s="4" t="s">
        <v>295</v>
      </c>
      <c r="L500" s="4" t="s">
        <v>9251</v>
      </c>
      <c r="M500" s="4" t="s">
        <v>29</v>
      </c>
      <c r="N500" s="4" t="s">
        <v>4525</v>
      </c>
      <c r="O500" s="4" t="str">
        <f>IFERROR(__XLUDF.DUMMYFUNCTION("VLOOKUP(M498,IMPORTRANGE(""https://docs.google.com/spreadsheets/d/1opm6ZNvGZ7KditA9TuJwrZ25eFLfTNIkrNnY6mhV5Eg"",""list!A1:C115""),3,TRUE)"),"le secteur du retail")</f>
        <v xml:space="preserve">le secteur du retail</v>
      </c>
      <c r="P500" s="6"/>
      <c r="R500" s="4" t="s">
        <v>39</v>
      </c>
      <c r="S500" s="4" t="s">
        <v>9160</v>
      </c>
      <c r="T500" s="4" t="s">
        <v>29</v>
      </c>
      <c r="U500" s="5" t="s">
        <v>14148</v>
      </c>
      <c r="V500" s="6"/>
      <c r="W500" s="5" t="s">
        <v>14149</v>
      </c>
      <c r="X500" s="6"/>
      <c r="Y500" s="6"/>
      <c r="Z500" s="4" t="s">
        <v>14150</v>
      </c>
      <c r="AA500" s="6"/>
      <c r="AB500" s="5" t="s">
        <v>14151</v>
      </c>
    </row>
    <row r="501" ht="14.25">
      <c r="A501" s="4" t="s">
        <v>14153</v>
      </c>
      <c r="B501" s="4" t="s">
        <v>3191</v>
      </c>
      <c r="C501" s="4" t="s">
        <v>14155</v>
      </c>
      <c r="F501" s="4" t="s">
        <v>14154</v>
      </c>
      <c r="G501" s="4">
        <v>15</v>
      </c>
      <c r="H501" s="4" t="s">
        <v>13553</v>
      </c>
      <c r="I501" s="4" t="str">
        <f>IFERROR(__XLUDF.DUMMYFUNCTION("PROPER(REGEXREPLACE(G499,""[^A-Za-z]+ "",""""))"),"Abelya Partners")</f>
        <v xml:space="preserve">Abelya Partners</v>
      </c>
      <c r="J501" s="5" t="s">
        <v>13554</v>
      </c>
      <c r="K501" s="6"/>
      <c r="L501" s="6"/>
      <c r="M501" s="4" t="s">
        <v>29</v>
      </c>
      <c r="N501" s="4" t="s">
        <v>4067</v>
      </c>
      <c r="O501" s="4" t="str">
        <f>IFERROR(__XLUDF.DUMMYFUNCTION("VLOOKUP(M499,IMPORTRANGE(""https://docs.google.com/spreadsheets/d/1opm6ZNvGZ7KditA9TuJwrZ25eFLfTNIkrNnY6mhV5Eg"",""list!A1:C115""),3,TRUE)"),"le secteur du conseil en management")</f>
        <v xml:space="preserve">le secteur du conseil en management</v>
      </c>
      <c r="P501" s="4" t="s">
        <v>13555</v>
      </c>
      <c r="R501" s="4" t="s">
        <v>39</v>
      </c>
      <c r="S501" s="4" t="s">
        <v>9160</v>
      </c>
      <c r="T501" s="4" t="s">
        <v>29</v>
      </c>
      <c r="U501" s="5" t="s">
        <v>13556</v>
      </c>
      <c r="V501" s="6"/>
      <c r="W501" s="6"/>
      <c r="X501" s="6"/>
      <c r="Y501" s="6"/>
      <c r="Z501" s="4" t="s">
        <v>13557</v>
      </c>
      <c r="AA501" s="6"/>
      <c r="AB501" s="5" t="s">
        <v>14156</v>
      </c>
    </row>
    <row r="502" ht="14.25">
      <c r="A502" s="4" t="s">
        <v>1183</v>
      </c>
      <c r="B502" s="4" t="s">
        <v>5579</v>
      </c>
      <c r="C502" s="4" t="s">
        <v>14159</v>
      </c>
      <c r="F502" s="4" t="s">
        <v>14158</v>
      </c>
      <c r="G502" s="4">
        <v>15</v>
      </c>
      <c r="H502" s="4" t="s">
        <v>14160</v>
      </c>
      <c r="I502" s="4" t="str">
        <f>IFERROR(__XLUDF.DUMMYFUNCTION("PROPER(REGEXREPLACE(G500,""[^A-Za-z]+ "",""""))"),"Janus France")</f>
        <v xml:space="preserve">Janus France</v>
      </c>
      <c r="J502" s="5" t="s">
        <v>14161</v>
      </c>
      <c r="K502" s="4" t="s">
        <v>14162</v>
      </c>
      <c r="L502" s="4" t="s">
        <v>9281</v>
      </c>
      <c r="M502" s="4" t="s">
        <v>29</v>
      </c>
      <c r="N502" s="4" t="s">
        <v>9239</v>
      </c>
      <c r="O502" s="4" t="str">
        <f>IFERROR(__XLUDF.DUMMYFUNCTION("VLOOKUP(M500,IMPORTRANGE(""https://docs.google.com/spreadsheets/d/1opm6ZNvGZ7KditA9TuJwrZ25eFLfTNIkrNnY6mhV5Eg"",""list!A1:C115""),3,TRUE)"),"le secteur de la construction")</f>
        <v xml:space="preserve">le secteur de la construction</v>
      </c>
      <c r="P502" s="4" t="s">
        <v>14163</v>
      </c>
      <c r="R502" s="4" t="s">
        <v>4857</v>
      </c>
      <c r="S502" s="4" t="s">
        <v>9281</v>
      </c>
      <c r="T502" s="4" t="s">
        <v>29</v>
      </c>
      <c r="U502" s="5" t="s">
        <v>14164</v>
      </c>
      <c r="V502" s="5" t="s">
        <v>14165</v>
      </c>
      <c r="W502" s="5" t="s">
        <v>14166</v>
      </c>
      <c r="X502" s="6"/>
      <c r="Y502" s="6"/>
      <c r="Z502" s="4" t="s">
        <v>14167</v>
      </c>
      <c r="AA502" s="6"/>
      <c r="AB502" s="5" t="s">
        <v>14168</v>
      </c>
    </row>
    <row r="503" ht="14.25">
      <c r="A503" s="4" t="s">
        <v>14170</v>
      </c>
      <c r="B503" s="4" t="s">
        <v>3411</v>
      </c>
      <c r="C503" s="4" t="s">
        <v>14172</v>
      </c>
      <c r="F503" s="4" t="s">
        <v>14171</v>
      </c>
      <c r="G503" s="4">
        <v>40</v>
      </c>
      <c r="H503" s="4" t="s">
        <v>14173</v>
      </c>
      <c r="I503" s="4" t="str">
        <f>IFERROR(__XLUDF.DUMMYFUNCTION("PROPER(REGEXREPLACE(G501,""[^A-Za-z]+ "",""""))"),"Cap Cession France")</f>
        <v xml:space="preserve">Cap Cession France</v>
      </c>
      <c r="J503" s="5" t="s">
        <v>14174</v>
      </c>
      <c r="K503" s="4" t="s">
        <v>49</v>
      </c>
      <c r="L503" s="4" t="s">
        <v>9251</v>
      </c>
      <c r="M503" s="4" t="s">
        <v>29</v>
      </c>
      <c r="N503" s="4" t="s">
        <v>4067</v>
      </c>
      <c r="O503" s="4" t="str">
        <f>IFERROR(__XLUDF.DUMMYFUNCTION("VLOOKUP(M501,IMPORTRANGE(""https://docs.google.com/spreadsheets/d/1opm6ZNvGZ7KditA9TuJwrZ25eFLfTNIkrNnY6mhV5Eg"",""list!A1:C115""),3,TRUE)"),"le secteur du conseil en management")</f>
        <v xml:space="preserve">le secteur du conseil en management</v>
      </c>
      <c r="P503" s="4" t="s">
        <v>14175</v>
      </c>
      <c r="R503" s="4" t="s">
        <v>49</v>
      </c>
      <c r="S503" s="4" t="s">
        <v>9251</v>
      </c>
      <c r="T503" s="4" t="s">
        <v>29</v>
      </c>
      <c r="U503" s="5" t="s">
        <v>14176</v>
      </c>
      <c r="V503" s="6"/>
      <c r="W503" s="6"/>
      <c r="X503" s="6"/>
      <c r="Y503" s="6"/>
      <c r="Z503" s="4" t="s">
        <v>5069</v>
      </c>
      <c r="AA503" s="6"/>
      <c r="AB503" s="5" t="s">
        <v>14177</v>
      </c>
    </row>
    <row r="504" ht="14.25">
      <c r="A504" s="4" t="s">
        <v>14179</v>
      </c>
      <c r="B504" s="4" t="s">
        <v>1605</v>
      </c>
      <c r="C504" s="4" t="s">
        <v>1130</v>
      </c>
      <c r="F504" s="4" t="s">
        <v>14180</v>
      </c>
      <c r="G504" s="4">
        <v>13</v>
      </c>
      <c r="H504" s="4" t="s">
        <v>14181</v>
      </c>
      <c r="I504" s="4" t="str">
        <f>IFERROR(__XLUDF.DUMMYFUNCTION("PROPER(REGEXREPLACE(G502,""[^A-Za-z]+ "",""""))"),"Axe-Ing")</f>
        <v>Axe-Ing</v>
      </c>
      <c r="J504" s="5" t="s">
        <v>14182</v>
      </c>
      <c r="K504" s="4" t="s">
        <v>39</v>
      </c>
      <c r="L504" s="4" t="s">
        <v>9160</v>
      </c>
      <c r="M504" s="4" t="s">
        <v>29</v>
      </c>
      <c r="N504" s="4" t="s">
        <v>9239</v>
      </c>
      <c r="O504" s="4" t="str">
        <f>IFERROR(__XLUDF.DUMMYFUNCTION("VLOOKUP(M502,IMPORTRANGE(""https://docs.google.com/spreadsheets/d/1opm6ZNvGZ7KditA9TuJwrZ25eFLfTNIkrNnY6mhV5Eg"",""list!A1:C115""),3,TRUE)"),"le secteur de la construction")</f>
        <v xml:space="preserve">le secteur de la construction</v>
      </c>
      <c r="P504" s="6"/>
      <c r="R504" s="4" t="s">
        <v>14183</v>
      </c>
      <c r="S504" s="4" t="s">
        <v>9160</v>
      </c>
      <c r="T504" s="4" t="s">
        <v>29</v>
      </c>
      <c r="U504" s="5" t="s">
        <v>14184</v>
      </c>
      <c r="V504" s="6"/>
      <c r="W504" s="6"/>
      <c r="X504" s="6"/>
      <c r="Y504" s="6"/>
      <c r="Z504" s="4" t="s">
        <v>14185</v>
      </c>
      <c r="AA504" s="6"/>
      <c r="AB504" s="5" t="s">
        <v>14186</v>
      </c>
    </row>
    <row r="505" ht="14.25">
      <c r="A505" s="4" t="s">
        <v>14188</v>
      </c>
      <c r="B505" s="4" t="s">
        <v>2119</v>
      </c>
      <c r="C505" s="4" t="s">
        <v>172</v>
      </c>
      <c r="F505" s="4" t="s">
        <v>14189</v>
      </c>
      <c r="G505" s="4">
        <v>38</v>
      </c>
      <c r="H505" s="4" t="s">
        <v>14190</v>
      </c>
      <c r="I505" s="4" t="str">
        <f>IFERROR(__XLUDF.DUMMYFUNCTION("PROPER(REGEXREPLACE(G503,""[^A-Za-z]+ "",""""))"),"Rosenberg Vendome")</f>
        <v xml:space="preserve">Rosenberg Vendome</v>
      </c>
      <c r="J505" s="5" t="s">
        <v>14191</v>
      </c>
      <c r="K505" s="4" t="s">
        <v>14192</v>
      </c>
      <c r="L505" s="4" t="s">
        <v>9798</v>
      </c>
      <c r="M505" s="4" t="s">
        <v>29</v>
      </c>
      <c r="N505" s="4" t="s">
        <v>10215</v>
      </c>
      <c r="O505" s="4" t="str">
        <f>IFERROR(__XLUDF.DUMMYFUNCTION("VLOOKUP(M503,IMPORTRANGE(""https://docs.google.com/spreadsheets/d/1opm6ZNvGZ7KditA9TuJwrZ25eFLfTNIkrNnY6mhV5Eg"",""list!A1:C115""),3,TRUE)"),"le secteur de l'électrique et électronique")</f>
        <v xml:space="preserve">le secteur de l'électrique et électronique</v>
      </c>
      <c r="P505" s="4" t="s">
        <v>14193</v>
      </c>
      <c r="R505" s="4" t="s">
        <v>14194</v>
      </c>
      <c r="S505" s="4" t="s">
        <v>9798</v>
      </c>
      <c r="T505" s="4" t="s">
        <v>29</v>
      </c>
      <c r="U505" s="5" t="s">
        <v>14195</v>
      </c>
      <c r="V505" s="6"/>
      <c r="W505" s="5" t="s">
        <v>14196</v>
      </c>
      <c r="X505" s="6"/>
      <c r="Y505" s="6"/>
      <c r="Z505" s="4" t="s">
        <v>14197</v>
      </c>
      <c r="AA505" s="6"/>
      <c r="AB505" s="5" t="s">
        <v>14198</v>
      </c>
    </row>
    <row r="506" ht="14.25">
      <c r="A506" s="4" t="s">
        <v>14200</v>
      </c>
      <c r="B506" s="4" t="s">
        <v>2119</v>
      </c>
      <c r="C506" s="4" t="s">
        <v>14202</v>
      </c>
      <c r="F506" s="4" t="s">
        <v>14201</v>
      </c>
      <c r="G506" s="4">
        <v>12</v>
      </c>
      <c r="H506" s="4" t="s">
        <v>14203</v>
      </c>
      <c r="I506" s="4" t="str">
        <f>IFERROR(__XLUDF.DUMMYFUNCTION("PROPER(REGEXREPLACE(G504,""[^A-Za-z]+ "",""""))"),"Axe International")</f>
        <v xml:space="preserve">Axe International</v>
      </c>
      <c r="J506" s="5" t="s">
        <v>14204</v>
      </c>
      <c r="K506" s="4" t="s">
        <v>39</v>
      </c>
      <c r="L506" s="4" t="s">
        <v>9160</v>
      </c>
      <c r="M506" s="4" t="s">
        <v>29</v>
      </c>
      <c r="N506" s="4" t="s">
        <v>9184</v>
      </c>
      <c r="O506" s="4" t="str">
        <f>IFERROR(__XLUDF.DUMMYFUNCTION("VLOOKUP(M504,IMPORTRANGE(""https://docs.google.com/spreadsheets/d/1opm6ZNvGZ7KditA9TuJwrZ25eFLfTNIkrNnY6mhV5Eg"",""list!A1:C115""),3,TRUE)"),"le secteur des télécommunications")</f>
        <v xml:space="preserve">le secteur des télécommunications</v>
      </c>
      <c r="P506" s="4" t="s">
        <v>14205</v>
      </c>
      <c r="R506" s="4" t="s">
        <v>14206</v>
      </c>
      <c r="S506" s="4" t="s">
        <v>9160</v>
      </c>
      <c r="T506" s="4" t="s">
        <v>29</v>
      </c>
      <c r="U506" s="5" t="s">
        <v>14207</v>
      </c>
      <c r="V506" s="6"/>
      <c r="W506" s="5" t="s">
        <v>14208</v>
      </c>
      <c r="X506" s="6"/>
      <c r="Y506" s="6"/>
      <c r="Z506" s="4" t="s">
        <v>14209</v>
      </c>
      <c r="AA506" s="6"/>
      <c r="AB506" s="5" t="s">
        <v>14210</v>
      </c>
    </row>
    <row r="507" ht="14.25">
      <c r="A507" s="4" t="s">
        <v>14212</v>
      </c>
      <c r="B507" s="4" t="s">
        <v>2771</v>
      </c>
      <c r="C507" s="4" t="s">
        <v>14214</v>
      </c>
      <c r="F507" s="4" t="s">
        <v>14213</v>
      </c>
      <c r="G507" s="4">
        <v>27</v>
      </c>
      <c r="H507" s="4" t="s">
        <v>14215</v>
      </c>
      <c r="I507" s="4" t="str">
        <f>IFERROR(__XLUDF.DUMMYFUNCTION("PROPER(REGEXREPLACE(G505,""[^A-Za-z]+ "",""""))"),"Idem Sas")</f>
        <v xml:space="preserve">Idem Sas</v>
      </c>
      <c r="J507" s="5" t="s">
        <v>14216</v>
      </c>
      <c r="K507" s="4" t="s">
        <v>13294</v>
      </c>
      <c r="L507" s="4" t="s">
        <v>9281</v>
      </c>
      <c r="M507" s="4" t="s">
        <v>29</v>
      </c>
      <c r="N507" s="4" t="s">
        <v>9239</v>
      </c>
      <c r="O507" s="4" t="str">
        <f>IFERROR(__XLUDF.DUMMYFUNCTION("VLOOKUP(M505,IMPORTRANGE(""https://docs.google.com/spreadsheets/d/1opm6ZNvGZ7KditA9TuJwrZ25eFLfTNIkrNnY6mhV5Eg"",""list!A1:C115""),3,TRUE)"),"le secteur de la construction")</f>
        <v xml:space="preserve">le secteur de la construction</v>
      </c>
      <c r="P507" s="6"/>
      <c r="R507" s="4" t="s">
        <v>13294</v>
      </c>
      <c r="S507" s="4" t="s">
        <v>9731</v>
      </c>
      <c r="T507" s="4" t="s">
        <v>29</v>
      </c>
      <c r="U507" s="5" t="s">
        <v>14217</v>
      </c>
      <c r="V507" s="6"/>
      <c r="W507" s="6"/>
      <c r="X507" s="6"/>
      <c r="Y507" s="6"/>
      <c r="Z507" s="4" t="s">
        <v>14218</v>
      </c>
      <c r="AA507" s="6"/>
      <c r="AB507" s="5" t="s">
        <v>14219</v>
      </c>
    </row>
    <row r="508" ht="14.25">
      <c r="A508" s="4" t="s">
        <v>14221</v>
      </c>
      <c r="B508" s="4" t="s">
        <v>3142</v>
      </c>
      <c r="C508" s="4" t="s">
        <v>14223</v>
      </c>
      <c r="F508" s="4" t="s">
        <v>14222</v>
      </c>
      <c r="G508" s="4">
        <v>23</v>
      </c>
      <c r="H508" s="4" t="s">
        <v>14224</v>
      </c>
      <c r="I508" s="4" t="str">
        <f>IFERROR(__XLUDF.DUMMYFUNCTION("PROPER(REGEXREPLACE(G506,""[^A-Za-z]+ "",""""))"),"Insepti")</f>
        <v>Insepti</v>
      </c>
      <c r="J508" s="5" t="s">
        <v>14225</v>
      </c>
      <c r="K508" s="4" t="s">
        <v>846</v>
      </c>
      <c r="L508" s="4" t="s">
        <v>9278</v>
      </c>
      <c r="M508" s="4" t="s">
        <v>29</v>
      </c>
      <c r="N508" s="4" t="s">
        <v>2602</v>
      </c>
      <c r="O508" s="4" t="str">
        <f>IFERROR(__XLUDF.DUMMYFUNCTION("VLOOKUP(M506,IMPORTRANGE(""https://docs.google.com/spreadsheets/d/1opm6ZNvGZ7KditA9TuJwrZ25eFLfTNIkrNnY6mhV5Eg"",""list!A1:C115""),3,TRUE)"),"le secteur de la tech")</f>
        <v xml:space="preserve">le secteur de la tech</v>
      </c>
      <c r="P508" s="4" t="s">
        <v>14226</v>
      </c>
      <c r="R508" s="4" t="s">
        <v>10537</v>
      </c>
      <c r="S508" s="4" t="s">
        <v>9281</v>
      </c>
      <c r="T508" s="4" t="s">
        <v>29</v>
      </c>
      <c r="U508" s="5" t="s">
        <v>14227</v>
      </c>
      <c r="V508" s="5" t="s">
        <v>14228</v>
      </c>
      <c r="W508" s="6"/>
      <c r="X508" s="6"/>
      <c r="Y508" s="6"/>
      <c r="Z508" s="4" t="s">
        <v>14229</v>
      </c>
      <c r="AA508" s="6"/>
      <c r="AB508" s="5" t="s">
        <v>14230</v>
      </c>
    </row>
    <row r="509" ht="14.25">
      <c r="A509" s="4" t="s">
        <v>14232</v>
      </c>
      <c r="B509" s="4" t="s">
        <v>4522</v>
      </c>
      <c r="C509" s="4" t="s">
        <v>1130</v>
      </c>
      <c r="F509" s="4" t="s">
        <v>14233</v>
      </c>
      <c r="G509" s="4">
        <v>25</v>
      </c>
      <c r="H509" s="4" t="s">
        <v>14234</v>
      </c>
      <c r="I509" s="4" t="str">
        <f>IFERROR(__XLUDF.DUMMYFUNCTION("PROPER(REGEXREPLACE(G507,""[^A-Za-z]+ "",""""))"),"Royal Service")</f>
        <v xml:space="preserve">Royal Service</v>
      </c>
      <c r="J509" s="5" t="s">
        <v>14235</v>
      </c>
      <c r="K509" s="4" t="s">
        <v>14236</v>
      </c>
      <c r="L509" s="4" t="s">
        <v>9160</v>
      </c>
      <c r="M509" s="4" t="s">
        <v>29</v>
      </c>
      <c r="N509" s="4" t="s">
        <v>4525</v>
      </c>
      <c r="O509" s="4" t="str">
        <f>IFERROR(__XLUDF.DUMMYFUNCTION("VLOOKUP(M507,IMPORTRANGE(""https://docs.google.com/spreadsheets/d/1opm6ZNvGZ7KditA9TuJwrZ25eFLfTNIkrNnY6mhV5Eg"",""list!A1:C115""),3,TRUE)"),"le secteur du retail")</f>
        <v xml:space="preserve">le secteur du retail</v>
      </c>
      <c r="P509" s="6"/>
      <c r="R509" s="4" t="s">
        <v>14237</v>
      </c>
      <c r="S509" s="4" t="s">
        <v>9160</v>
      </c>
      <c r="T509" s="4" t="s">
        <v>29</v>
      </c>
      <c r="U509" s="5" t="s">
        <v>14238</v>
      </c>
      <c r="V509" s="6"/>
      <c r="W509" s="5" t="s">
        <v>14239</v>
      </c>
      <c r="X509" s="6"/>
      <c r="Y509" s="6"/>
      <c r="Z509" s="4" t="s">
        <v>14240</v>
      </c>
      <c r="AA509" s="6"/>
      <c r="AB509" s="5" t="s">
        <v>14241</v>
      </c>
    </row>
    <row r="510" ht="14.25">
      <c r="A510" s="4" t="s">
        <v>14243</v>
      </c>
      <c r="B510" s="4" t="s">
        <v>425</v>
      </c>
      <c r="C510" s="4" t="s">
        <v>1130</v>
      </c>
      <c r="F510" s="4" t="s">
        <v>14244</v>
      </c>
      <c r="G510" s="4">
        <v>10</v>
      </c>
      <c r="H510" s="4" t="s">
        <v>14245</v>
      </c>
      <c r="I510" s="4" t="str">
        <f>IFERROR(__XLUDF.DUMMYFUNCTION("PROPER(REGEXREPLACE(G508,""[^A-Za-z]+ "",""""))"),"Creo France")</f>
        <v xml:space="preserve">Creo France</v>
      </c>
      <c r="J510" s="5" t="s">
        <v>14246</v>
      </c>
      <c r="K510" s="6"/>
      <c r="L510" s="6"/>
      <c r="M510" s="4" t="s">
        <v>29</v>
      </c>
      <c r="N510" s="4" t="s">
        <v>9239</v>
      </c>
      <c r="O510" s="4" t="str">
        <f>IFERROR(__XLUDF.DUMMYFUNCTION("VLOOKUP(M508,IMPORTRANGE(""https://docs.google.com/spreadsheets/d/1opm6ZNvGZ7KditA9TuJwrZ25eFLfTNIkrNnY6mhV5Eg"",""list!A1:C115""),3,TRUE)"),"le secteur de la construction")</f>
        <v xml:space="preserve">le secteur de la construction</v>
      </c>
      <c r="P510" s="6"/>
      <c r="R510" s="6"/>
      <c r="S510" s="6"/>
      <c r="T510" s="6"/>
      <c r="U510" s="5" t="s">
        <v>14247</v>
      </c>
      <c r="V510" s="6"/>
      <c r="W510" s="6"/>
      <c r="X510" s="6"/>
      <c r="Y510" s="6"/>
      <c r="Z510" s="4" t="s">
        <v>14248</v>
      </c>
      <c r="AA510" s="6"/>
      <c r="AB510" s="5" t="s">
        <v>14249</v>
      </c>
    </row>
    <row r="511" ht="14.25">
      <c r="A511" s="4" t="s">
        <v>14252</v>
      </c>
      <c r="B511" s="4" t="s">
        <v>14251</v>
      </c>
      <c r="C511" s="4" t="s">
        <v>14254</v>
      </c>
      <c r="F511" s="4" t="s">
        <v>14253</v>
      </c>
      <c r="G511" s="4">
        <v>22</v>
      </c>
      <c r="H511" s="4" t="s">
        <v>14255</v>
      </c>
      <c r="I511" s="4" t="str">
        <f>IFERROR(__XLUDF.DUMMYFUNCTION("PROPER(REGEXREPLACE(G509,""[^A-Za-z]+ "",""""))"),"Qpq International")</f>
        <v xml:space="preserve">Qpq International</v>
      </c>
      <c r="J511" s="4" t="s">
        <v>14256</v>
      </c>
      <c r="K511" s="6"/>
      <c r="L511" s="6"/>
      <c r="M511" s="4" t="s">
        <v>29</v>
      </c>
      <c r="N511" s="4" t="s">
        <v>14257</v>
      </c>
      <c r="O511" s="4" t="str">
        <f>IFERROR(__XLUDF.DUMMYFUNCTION("VLOOKUP(M509,IMPORTRANGE(""https://docs.google.com/spreadsheets/d/1opm6ZNvGZ7KditA9TuJwrZ25eFLfTNIkrNnY6mhV5Eg"",""list!A1:C115""),3,TRUE)"),"le secteur de l'investissement")</f>
        <v xml:space="preserve">le secteur de l'investissement</v>
      </c>
      <c r="P511" s="4" t="s">
        <v>14258</v>
      </c>
      <c r="R511" s="4" t="s">
        <v>14259</v>
      </c>
      <c r="S511" s="4" t="s">
        <v>14259</v>
      </c>
      <c r="T511" s="4" t="s">
        <v>6166</v>
      </c>
      <c r="U511" s="5" t="s">
        <v>14260</v>
      </c>
      <c r="V511" s="6"/>
      <c r="W511" s="6"/>
      <c r="X511" s="6"/>
      <c r="Y511" s="6"/>
      <c r="Z511" s="4" t="s">
        <v>14261</v>
      </c>
      <c r="AA511" s="6"/>
      <c r="AB511" s="5" t="s">
        <v>14262</v>
      </c>
    </row>
    <row r="512" ht="14.25">
      <c r="A512" s="4" t="s">
        <v>14265</v>
      </c>
      <c r="B512" s="4" t="s">
        <v>14264</v>
      </c>
      <c r="C512" s="4" t="s">
        <v>14267</v>
      </c>
      <c r="F512" s="4" t="s">
        <v>14266</v>
      </c>
      <c r="G512" s="4">
        <v>12</v>
      </c>
      <c r="H512" s="4" t="s">
        <v>14268</v>
      </c>
      <c r="I512" s="4" t="str">
        <f>IFERROR(__XLUDF.DUMMYFUNCTION("PROPER(REGEXREPLACE(G510,""[^A-Za-z]+ "",""""))"),"Guidap")</f>
        <v>Guidap</v>
      </c>
      <c r="J512" s="5" t="s">
        <v>14269</v>
      </c>
      <c r="K512" s="4" t="s">
        <v>83</v>
      </c>
      <c r="L512" s="4" t="s">
        <v>9460</v>
      </c>
      <c r="M512" s="4" t="s">
        <v>29</v>
      </c>
      <c r="N512" s="4" t="s">
        <v>2602</v>
      </c>
      <c r="O512" s="4" t="str">
        <f>IFERROR(__XLUDF.DUMMYFUNCTION("VLOOKUP(M510,IMPORTRANGE(""https://docs.google.com/spreadsheets/d/1opm6ZNvGZ7KditA9TuJwrZ25eFLfTNIkrNnY6mhV5Eg"",""list!A1:C115""),3,TRUE)"),"le secteur de la tech")</f>
        <v xml:space="preserve">le secteur de la tech</v>
      </c>
      <c r="P512" s="4" t="s">
        <v>14270</v>
      </c>
      <c r="R512" s="4" t="s">
        <v>83</v>
      </c>
      <c r="S512" s="4" t="s">
        <v>9460</v>
      </c>
      <c r="T512" s="4" t="s">
        <v>29</v>
      </c>
      <c r="U512" s="5" t="s">
        <v>14271</v>
      </c>
      <c r="V512" s="6"/>
      <c r="W512" s="5" t="s">
        <v>14272</v>
      </c>
      <c r="X512" s="6"/>
      <c r="Y512" s="6"/>
      <c r="Z512" s="4" t="s">
        <v>14273</v>
      </c>
      <c r="AA512" s="6"/>
      <c r="AB512" s="5" t="s">
        <v>14274</v>
      </c>
    </row>
    <row r="513" ht="14.25">
      <c r="A513" s="4" t="s">
        <v>14277</v>
      </c>
      <c r="B513" s="4" t="s">
        <v>14276</v>
      </c>
      <c r="C513" s="4" t="s">
        <v>13589</v>
      </c>
      <c r="F513" s="4" t="s">
        <v>14278</v>
      </c>
      <c r="G513" s="4">
        <v>19</v>
      </c>
      <c r="H513" s="4" t="s">
        <v>14279</v>
      </c>
      <c r="I513" s="4" t="str">
        <f>IFERROR(__XLUDF.DUMMYFUNCTION("PROPER(REGEXREPLACE(G511,""[^A-Za-z]+ "",""""))"),"Tuleap")</f>
        <v>Tuleap</v>
      </c>
      <c r="J513" s="5" t="s">
        <v>14280</v>
      </c>
      <c r="K513" s="4" t="s">
        <v>185</v>
      </c>
      <c r="L513" s="4" t="s">
        <v>9193</v>
      </c>
      <c r="M513" s="4" t="s">
        <v>29</v>
      </c>
      <c r="N513" s="4" t="s">
        <v>2602</v>
      </c>
      <c r="O513" s="4" t="str">
        <f>IFERROR(__XLUDF.DUMMYFUNCTION("VLOOKUP(M511,IMPORTRANGE(""https://docs.google.com/spreadsheets/d/1opm6ZNvGZ7KditA9TuJwrZ25eFLfTNIkrNnY6mhV5Eg"",""list!A1:C115""),3,TRUE)"),"le secteur de la tech")</f>
        <v xml:space="preserve">le secteur de la tech</v>
      </c>
      <c r="P513" s="4" t="s">
        <v>14281</v>
      </c>
      <c r="R513" s="4" t="s">
        <v>14282</v>
      </c>
      <c r="S513" s="4" t="s">
        <v>9193</v>
      </c>
      <c r="T513" s="4" t="s">
        <v>29</v>
      </c>
      <c r="U513" s="5" t="s">
        <v>14283</v>
      </c>
      <c r="V513" s="5" t="s">
        <v>14284</v>
      </c>
      <c r="W513" s="6"/>
      <c r="X513" s="6"/>
      <c r="Y513" s="6"/>
      <c r="Z513" s="4" t="s">
        <v>14285</v>
      </c>
      <c r="AA513" s="6"/>
      <c r="AB513" s="5" t="s">
        <v>14286</v>
      </c>
    </row>
    <row r="514" ht="14.25">
      <c r="A514" s="4" t="s">
        <v>14288</v>
      </c>
      <c r="B514" s="4" t="s">
        <v>2119</v>
      </c>
      <c r="C514" s="4" t="s">
        <v>112</v>
      </c>
      <c r="F514" s="4" t="s">
        <v>14289</v>
      </c>
      <c r="G514" s="4">
        <v>21</v>
      </c>
      <c r="H514" s="4" t="s">
        <v>14290</v>
      </c>
      <c r="I514" s="4" t="str">
        <f>IFERROR(__XLUDF.DUMMYFUNCTION("PROPER(REGEXREPLACE(G512,""[^A-Za-z]+ "",""""))"),"Veriqloud")</f>
        <v>Veriqloud</v>
      </c>
      <c r="J514" s="5" t="s">
        <v>14291</v>
      </c>
      <c r="K514" s="4" t="s">
        <v>9403</v>
      </c>
      <c r="L514" s="4" t="s">
        <v>9160</v>
      </c>
      <c r="M514" s="4" t="s">
        <v>29</v>
      </c>
      <c r="N514" s="4" t="s">
        <v>2602</v>
      </c>
      <c r="O514" s="4" t="str">
        <f>IFERROR(__XLUDF.DUMMYFUNCTION("VLOOKUP(M512,IMPORTRANGE(""https://docs.google.com/spreadsheets/d/1opm6ZNvGZ7KditA9TuJwrZ25eFLfTNIkrNnY6mhV5Eg"",""list!A1:C115""),3,TRUE)"),"le secteur de la tech")</f>
        <v xml:space="preserve">le secteur de la tech</v>
      </c>
      <c r="P514" s="4" t="s">
        <v>14292</v>
      </c>
      <c r="R514" s="4" t="s">
        <v>39</v>
      </c>
      <c r="S514" s="4" t="s">
        <v>9160</v>
      </c>
      <c r="T514" s="4" t="s">
        <v>29</v>
      </c>
      <c r="U514" s="5" t="s">
        <v>14293</v>
      </c>
      <c r="V514" s="6"/>
      <c r="W514" s="6"/>
      <c r="X514" s="6"/>
      <c r="Y514" s="6"/>
      <c r="Z514" s="4" t="s">
        <v>14294</v>
      </c>
      <c r="AA514" s="6"/>
      <c r="AB514" s="5" t="s">
        <v>14295</v>
      </c>
    </row>
    <row r="515" ht="14.25">
      <c r="A515" s="4" t="s">
        <v>14297</v>
      </c>
      <c r="B515" s="4" t="s">
        <v>2119</v>
      </c>
      <c r="C515" s="4" t="s">
        <v>14299</v>
      </c>
      <c r="F515" s="4" t="s">
        <v>14298</v>
      </c>
      <c r="G515" s="4">
        <v>10</v>
      </c>
      <c r="H515" s="4" t="s">
        <v>14300</v>
      </c>
      <c r="I515" s="4" t="str">
        <f>IFERROR(__XLUDF.DUMMYFUNCTION("PROPER(REGEXREPLACE(G513,""[^A-Za-z]+ "",""""))"),"Netensia")</f>
        <v>Netensia</v>
      </c>
      <c r="J515" s="5" t="s">
        <v>14301</v>
      </c>
      <c r="K515" s="4" t="s">
        <v>731</v>
      </c>
      <c r="L515" s="4" t="s">
        <v>9227</v>
      </c>
      <c r="M515" s="4" t="s">
        <v>29</v>
      </c>
      <c r="N515" s="4" t="s">
        <v>2602</v>
      </c>
      <c r="O515" s="4" t="str">
        <f>IFERROR(__XLUDF.DUMMYFUNCTION("VLOOKUP(M513,IMPORTRANGE(""https://docs.google.com/spreadsheets/d/1opm6ZNvGZ7KditA9TuJwrZ25eFLfTNIkrNnY6mhV5Eg"",""list!A1:C115""),3,TRUE)"),"le secteur de la tech")</f>
        <v xml:space="preserve">le secteur de la tech</v>
      </c>
      <c r="P515" s="4" t="s">
        <v>14302</v>
      </c>
      <c r="R515" s="4" t="s">
        <v>731</v>
      </c>
      <c r="S515" s="4" t="s">
        <v>10973</v>
      </c>
      <c r="T515" s="4" t="s">
        <v>29</v>
      </c>
      <c r="U515" s="5" t="s">
        <v>14303</v>
      </c>
      <c r="V515" s="5" t="s">
        <v>14304</v>
      </c>
      <c r="W515" s="5" t="s">
        <v>14305</v>
      </c>
      <c r="X515" s="6"/>
      <c r="Y515" s="6"/>
      <c r="Z515" s="4" t="s">
        <v>14306</v>
      </c>
      <c r="AA515" s="6"/>
      <c r="AB515" s="5" t="s">
        <v>14307</v>
      </c>
    </row>
    <row r="516" ht="14.25">
      <c r="A516" s="4" t="s">
        <v>14309</v>
      </c>
      <c r="B516" s="4" t="s">
        <v>2119</v>
      </c>
      <c r="C516" s="4" t="s">
        <v>14311</v>
      </c>
      <c r="F516" s="4" t="s">
        <v>14310</v>
      </c>
      <c r="G516" s="4">
        <v>13</v>
      </c>
      <c r="H516" s="4" t="s">
        <v>14312</v>
      </c>
      <c r="I516" s="4" t="str">
        <f>IFERROR(__XLUDF.DUMMYFUNCTION("PROPER(REGEXREPLACE(G514,""[^A-Za-z]+ "",""""))"),"Extend Business Consulting")</f>
        <v xml:space="preserve">Extend Business Consulting</v>
      </c>
      <c r="J516" s="5" t="s">
        <v>14313</v>
      </c>
      <c r="K516" s="4" t="s">
        <v>39</v>
      </c>
      <c r="L516" s="4" t="s">
        <v>9160</v>
      </c>
      <c r="M516" s="4" t="s">
        <v>29</v>
      </c>
      <c r="N516" s="4" t="s">
        <v>4067</v>
      </c>
      <c r="O516" s="4" t="str">
        <f>IFERROR(__XLUDF.DUMMYFUNCTION("VLOOKUP(M514,IMPORTRANGE(""https://docs.google.com/spreadsheets/d/1opm6ZNvGZ7KditA9TuJwrZ25eFLfTNIkrNnY6mhV5Eg"",""list!A1:C115""),3,TRUE)"),"le secteur du conseil en management")</f>
        <v xml:space="preserve">le secteur du conseil en management</v>
      </c>
      <c r="P516" s="4" t="s">
        <v>14314</v>
      </c>
      <c r="R516" s="4" t="s">
        <v>39</v>
      </c>
      <c r="S516" s="4" t="s">
        <v>9160</v>
      </c>
      <c r="T516" s="4" t="s">
        <v>29</v>
      </c>
      <c r="U516" s="5" t="s">
        <v>14315</v>
      </c>
      <c r="V516" s="6"/>
      <c r="W516" s="5" t="s">
        <v>14316</v>
      </c>
      <c r="X516" s="6"/>
      <c r="Y516" s="6"/>
      <c r="Z516" s="4" t="s">
        <v>14317</v>
      </c>
      <c r="AA516" s="6"/>
      <c r="AB516" s="5" t="s">
        <v>14318</v>
      </c>
    </row>
    <row r="517" ht="14.25">
      <c r="A517" s="4" t="s">
        <v>14320</v>
      </c>
      <c r="B517" s="4" t="s">
        <v>2119</v>
      </c>
      <c r="C517" s="4" t="s">
        <v>14322</v>
      </c>
      <c r="F517" s="4" t="s">
        <v>14321</v>
      </c>
      <c r="G517" s="4">
        <v>19</v>
      </c>
      <c r="H517" s="4" t="s">
        <v>14323</v>
      </c>
      <c r="I517" s="4" t="str">
        <f>IFERROR(__XLUDF.DUMMYFUNCTION("PROPER(REGEXREPLACE(G515,""[^A-Za-z]+ "",""""))"),"Abil-It")</f>
        <v>Abil-It</v>
      </c>
      <c r="J517" s="5" t="s">
        <v>14324</v>
      </c>
      <c r="K517" s="4" t="s">
        <v>39</v>
      </c>
      <c r="L517" s="4" t="s">
        <v>9160</v>
      </c>
      <c r="M517" s="4" t="s">
        <v>29</v>
      </c>
      <c r="N517" s="4" t="s">
        <v>2602</v>
      </c>
      <c r="O517" s="4" t="str">
        <f>IFERROR(__XLUDF.DUMMYFUNCTION("VLOOKUP(M515,IMPORTRANGE(""https://docs.google.com/spreadsheets/d/1opm6ZNvGZ7KditA9TuJwrZ25eFLfTNIkrNnY6mhV5Eg"",""list!A1:C115""),3,TRUE)"),"le secteur de la tech")</f>
        <v xml:space="preserve">le secteur de la tech</v>
      </c>
      <c r="P517" s="4" t="s">
        <v>14325</v>
      </c>
      <c r="R517" s="4" t="s">
        <v>1419</v>
      </c>
      <c r="S517" s="4" t="s">
        <v>9160</v>
      </c>
      <c r="T517" s="4" t="s">
        <v>29</v>
      </c>
      <c r="U517" s="5" t="s">
        <v>14326</v>
      </c>
      <c r="V517" s="6"/>
      <c r="W517" s="6"/>
      <c r="X517" s="6"/>
      <c r="Y517" s="6"/>
      <c r="Z517" s="4" t="s">
        <v>14327</v>
      </c>
      <c r="AA517" s="6"/>
      <c r="AB517" s="5" t="s">
        <v>14328</v>
      </c>
    </row>
    <row r="518" ht="14.25">
      <c r="A518" s="4" t="s">
        <v>14330</v>
      </c>
      <c r="B518" s="4" t="s">
        <v>2119</v>
      </c>
      <c r="C518" s="4" t="s">
        <v>468</v>
      </c>
      <c r="F518" s="4" t="s">
        <v>14331</v>
      </c>
      <c r="G518" s="4">
        <v>50</v>
      </c>
      <c r="H518" s="4" t="s">
        <v>14332</v>
      </c>
      <c r="I518" s="4" t="str">
        <f>IFERROR(__XLUDF.DUMMYFUNCTION("PROPER(REGEXREPLACE(G516,""[^A-Za-z]+ "",""""))"),"Sogilis Level Up Together !")</f>
        <v xml:space="preserve">Sogilis Level Up Together !</v>
      </c>
      <c r="J518" s="5" t="s">
        <v>14333</v>
      </c>
      <c r="K518" s="4" t="s">
        <v>1507</v>
      </c>
      <c r="L518" s="4" t="s">
        <v>9193</v>
      </c>
      <c r="M518" s="4" t="s">
        <v>29</v>
      </c>
      <c r="N518" s="4" t="s">
        <v>2602</v>
      </c>
      <c r="O518" s="4" t="str">
        <f>IFERROR(__XLUDF.DUMMYFUNCTION("VLOOKUP(M516,IMPORTRANGE(""https://docs.google.com/spreadsheets/d/1opm6ZNvGZ7KditA9TuJwrZ25eFLfTNIkrNnY6mhV5Eg"",""list!A1:C115""),3,TRUE)"),"le secteur de la tech")</f>
        <v xml:space="preserve">le secteur de la tech</v>
      </c>
      <c r="P518" s="4" t="s">
        <v>14334</v>
      </c>
      <c r="R518" s="4" t="s">
        <v>1507</v>
      </c>
      <c r="S518" s="4" t="s">
        <v>9172</v>
      </c>
      <c r="T518" s="4" t="s">
        <v>29</v>
      </c>
      <c r="U518" s="5" t="s">
        <v>14335</v>
      </c>
      <c r="V518" s="5" t="s">
        <v>14336</v>
      </c>
      <c r="W518" s="5" t="s">
        <v>14337</v>
      </c>
      <c r="X518" s="6"/>
      <c r="Y518" s="6"/>
      <c r="Z518" s="4" t="s">
        <v>14338</v>
      </c>
      <c r="AA518" s="6"/>
      <c r="AB518" s="5" t="s">
        <v>14339</v>
      </c>
    </row>
    <row r="519" ht="14.25">
      <c r="A519" s="4" t="s">
        <v>14341</v>
      </c>
      <c r="B519" s="4" t="s">
        <v>8428</v>
      </c>
      <c r="C519" s="4" t="s">
        <v>14343</v>
      </c>
      <c r="F519" s="4" t="s">
        <v>14342</v>
      </c>
      <c r="G519" s="4">
        <v>9</v>
      </c>
      <c r="H519" s="4" t="s">
        <v>14344</v>
      </c>
      <c r="I519" s="4" t="str">
        <f>IFERROR(__XLUDF.DUMMYFUNCTION("PROPER(REGEXREPLACE(G517,""[^A-Za-z]+ "",""""))"),"Gradius Remanufacturing")</f>
        <v xml:space="preserve">Gradius Remanufacturing</v>
      </c>
      <c r="J519" s="5" t="s">
        <v>14345</v>
      </c>
      <c r="K519" s="4" t="s">
        <v>14346</v>
      </c>
      <c r="L519" s="4" t="s">
        <v>9193</v>
      </c>
      <c r="M519" s="4" t="s">
        <v>29</v>
      </c>
      <c r="N519" s="4" t="s">
        <v>14347</v>
      </c>
      <c r="O519" s="4" t="str">
        <f>IFERROR(__XLUDF.DUMMYFUNCTION("VLOOKUP(M517,IMPORTRANGE(""https://docs.google.com/spreadsheets/d/1opm6ZNvGZ7KditA9TuJwrZ25eFLfTNIkrNnY6mhV5Eg"",""list!A1:C115""),3,TRUE)"),"le secteur de la machinerie")</f>
        <v xml:space="preserve">le secteur de la machinerie</v>
      </c>
      <c r="P519" s="4" t="s">
        <v>14348</v>
      </c>
      <c r="R519" s="4" t="s">
        <v>14349</v>
      </c>
      <c r="S519" s="4" t="s">
        <v>9193</v>
      </c>
      <c r="T519" s="4" t="s">
        <v>29</v>
      </c>
      <c r="U519" s="5" t="s">
        <v>14350</v>
      </c>
      <c r="V519" s="6"/>
      <c r="W519" s="5" t="s">
        <v>14351</v>
      </c>
      <c r="X519" s="6"/>
      <c r="Y519" s="6"/>
      <c r="Z519" s="4" t="s">
        <v>14352</v>
      </c>
      <c r="AA519" s="6"/>
      <c r="AB519" s="5" t="s">
        <v>14353</v>
      </c>
    </row>
    <row r="520" ht="14.25">
      <c r="A520" s="4" t="s">
        <v>14355</v>
      </c>
      <c r="B520" s="4" t="s">
        <v>1499</v>
      </c>
      <c r="C520" s="4" t="s">
        <v>1130</v>
      </c>
      <c r="F520" s="4" t="s">
        <v>14356</v>
      </c>
      <c r="G520" s="4">
        <v>13</v>
      </c>
      <c r="H520" s="4" t="s">
        <v>14357</v>
      </c>
      <c r="I520" s="4" t="str">
        <f>IFERROR(__XLUDF.DUMMYFUNCTION("PROPER(REGEXREPLACE(G518,""[^A-Za-z]+ "",""""))"),"Resocom")</f>
        <v>Resocom</v>
      </c>
      <c r="J520" s="5" t="s">
        <v>14358</v>
      </c>
      <c r="K520" s="4" t="s">
        <v>39</v>
      </c>
      <c r="L520" s="4" t="s">
        <v>9160</v>
      </c>
      <c r="M520" s="4" t="s">
        <v>29</v>
      </c>
      <c r="N520" s="4" t="s">
        <v>4067</v>
      </c>
      <c r="O520" s="4" t="str">
        <f>IFERROR(__XLUDF.DUMMYFUNCTION("VLOOKUP(M518,IMPORTRANGE(""https://docs.google.com/spreadsheets/d/1opm6ZNvGZ7KditA9TuJwrZ25eFLfTNIkrNnY6mhV5Eg"",""list!A1:C115""),3,TRUE)"),"le secteur du conseil en management")</f>
        <v xml:space="preserve">le secteur du conseil en management</v>
      </c>
      <c r="P520" s="4" t="s">
        <v>14359</v>
      </c>
      <c r="R520" s="4" t="s">
        <v>39</v>
      </c>
      <c r="S520" s="4" t="s">
        <v>9160</v>
      </c>
      <c r="T520" s="4" t="s">
        <v>29</v>
      </c>
      <c r="U520" s="5" t="s">
        <v>14360</v>
      </c>
      <c r="V520" s="6"/>
      <c r="W520" s="5" t="s">
        <v>14361</v>
      </c>
      <c r="X520" s="6"/>
      <c r="Y520" s="6"/>
      <c r="Z520" s="4" t="s">
        <v>14362</v>
      </c>
      <c r="AA520" s="6"/>
      <c r="AB520" s="5" t="s">
        <v>14363</v>
      </c>
    </row>
    <row r="521" ht="14.25">
      <c r="A521" s="4" t="s">
        <v>14365</v>
      </c>
      <c r="B521" s="4" t="s">
        <v>1499</v>
      </c>
      <c r="C521" s="4" t="s">
        <v>164</v>
      </c>
      <c r="F521" s="4" t="s">
        <v>14366</v>
      </c>
      <c r="G521" s="4">
        <v>14</v>
      </c>
      <c r="H521" s="4" t="s">
        <v>14367</v>
      </c>
      <c r="I521" s="4" t="str">
        <f>IFERROR(__XLUDF.DUMMYFUNCTION("PROPER(REGEXREPLACE(G519,""[^A-Za-z]+ "",""""))"),"Makeo")</f>
        <v>Makeo</v>
      </c>
      <c r="J521" s="5" t="s">
        <v>14368</v>
      </c>
      <c r="K521" s="4" t="s">
        <v>13441</v>
      </c>
      <c r="L521" s="4" t="s">
        <v>9350</v>
      </c>
      <c r="M521" s="4" t="s">
        <v>29</v>
      </c>
      <c r="N521" s="4" t="s">
        <v>2602</v>
      </c>
      <c r="O521" s="4" t="str">
        <f>IFERROR(__XLUDF.DUMMYFUNCTION("VLOOKUP(M519,IMPORTRANGE(""https://docs.google.com/spreadsheets/d/1opm6ZNvGZ7KditA9TuJwrZ25eFLfTNIkrNnY6mhV5Eg"",""list!A1:C115""),3,TRUE)"),"le secteur de la tech")</f>
        <v xml:space="preserve">le secteur de la tech</v>
      </c>
      <c r="P521" s="4" t="s">
        <v>14369</v>
      </c>
      <c r="R521" s="4" t="s">
        <v>13441</v>
      </c>
      <c r="S521" s="4" t="s">
        <v>9350</v>
      </c>
      <c r="T521" s="4" t="s">
        <v>29</v>
      </c>
      <c r="U521" s="5" t="s">
        <v>14370</v>
      </c>
      <c r="V521" s="6"/>
      <c r="W521" s="6"/>
      <c r="X521" s="6"/>
      <c r="Y521" s="6"/>
      <c r="Z521" s="4" t="s">
        <v>14371</v>
      </c>
      <c r="AA521" s="6"/>
      <c r="AB521" s="5" t="s">
        <v>14372</v>
      </c>
    </row>
    <row r="522" ht="14.25">
      <c r="A522" s="4" t="s">
        <v>14374</v>
      </c>
      <c r="B522" s="4" t="s">
        <v>1499</v>
      </c>
      <c r="C522" s="4" t="s">
        <v>14376</v>
      </c>
      <c r="F522" s="4" t="s">
        <v>14375</v>
      </c>
      <c r="G522" s="4">
        <v>17</v>
      </c>
      <c r="H522" s="4" t="s">
        <v>14377</v>
      </c>
      <c r="I522" s="4" t="str">
        <f>IFERROR(__XLUDF.DUMMYFUNCTION("PROPER(REGEXREPLACE(G520,""[^A-Za-z]+ "",""""))"),"Apya")</f>
        <v>Apya</v>
      </c>
      <c r="J522" s="5" t="s">
        <v>14378</v>
      </c>
      <c r="K522" s="4" t="s">
        <v>39</v>
      </c>
      <c r="L522" s="4" t="s">
        <v>9160</v>
      </c>
      <c r="M522" s="4" t="s">
        <v>29</v>
      </c>
      <c r="N522" s="4" t="s">
        <v>4067</v>
      </c>
      <c r="O522" s="4" t="str">
        <f>IFERROR(__XLUDF.DUMMYFUNCTION("VLOOKUP(M520,IMPORTRANGE(""https://docs.google.com/spreadsheets/d/1opm6ZNvGZ7KditA9TuJwrZ25eFLfTNIkrNnY6mhV5Eg"",""list!A1:C115""),3,TRUE)"),"le secteur du conseil en management")</f>
        <v xml:space="preserve">le secteur du conseil en management</v>
      </c>
      <c r="P522" s="4" t="s">
        <v>14379</v>
      </c>
      <c r="R522" s="4" t="s">
        <v>39</v>
      </c>
      <c r="S522" s="4" t="s">
        <v>9160</v>
      </c>
      <c r="T522" s="4" t="s">
        <v>29</v>
      </c>
      <c r="U522" s="5" t="s">
        <v>14380</v>
      </c>
      <c r="V522" s="6"/>
      <c r="W522" s="6"/>
      <c r="X522" s="6"/>
      <c r="Y522" s="6"/>
      <c r="Z522" s="4" t="s">
        <v>14381</v>
      </c>
      <c r="AA522" s="6"/>
      <c r="AB522" s="5" t="s">
        <v>14382</v>
      </c>
    </row>
    <row r="523" ht="14.25">
      <c r="A523" s="4" t="s">
        <v>14384</v>
      </c>
      <c r="B523" s="4" t="s">
        <v>1499</v>
      </c>
      <c r="C523" s="4" t="s">
        <v>14386</v>
      </c>
      <c r="F523" s="4" t="s">
        <v>14385</v>
      </c>
      <c r="G523" s="4">
        <v>10</v>
      </c>
      <c r="H523" s="4" t="s">
        <v>14387</v>
      </c>
      <c r="I523" s="4" t="str">
        <f>IFERROR(__XLUDF.DUMMYFUNCTION("PROPER(REGEXREPLACE(G521,""[^A-Za-z]+ "",""""))"),"Axess Développement")</f>
        <v xml:space="preserve">Axess Développement</v>
      </c>
      <c r="J523" s="5" t="s">
        <v>14388</v>
      </c>
      <c r="K523" s="4" t="s">
        <v>1015</v>
      </c>
      <c r="L523" s="4" t="s">
        <v>9251</v>
      </c>
      <c r="M523" s="4" t="s">
        <v>29</v>
      </c>
      <c r="N523" s="4" t="s">
        <v>4067</v>
      </c>
      <c r="O523" s="4" t="str">
        <f>IFERROR(__XLUDF.DUMMYFUNCTION("VLOOKUP(M521,IMPORTRANGE(""https://docs.google.com/spreadsheets/d/1opm6ZNvGZ7KditA9TuJwrZ25eFLfTNIkrNnY6mhV5Eg"",""list!A1:C115""),3,TRUE)"),"le secteur du conseil en management")</f>
        <v xml:space="preserve">le secteur du conseil en management</v>
      </c>
      <c r="P523" s="6"/>
      <c r="R523" s="4" t="s">
        <v>1015</v>
      </c>
      <c r="S523" s="4" t="s">
        <v>9251</v>
      </c>
      <c r="T523" s="4" t="s">
        <v>29</v>
      </c>
      <c r="U523" s="5" t="s">
        <v>14389</v>
      </c>
      <c r="V523" s="6"/>
      <c r="W523" s="6"/>
      <c r="X523" s="6"/>
      <c r="Y523" s="6"/>
      <c r="Z523" s="4" t="s">
        <v>14390</v>
      </c>
      <c r="AA523" s="6"/>
      <c r="AB523" s="5" t="s">
        <v>14391</v>
      </c>
    </row>
    <row r="524" ht="14.25">
      <c r="A524" s="4" t="s">
        <v>14393</v>
      </c>
      <c r="B524" s="4" t="s">
        <v>1499</v>
      </c>
      <c r="C524" s="4" t="s">
        <v>365</v>
      </c>
      <c r="F524" s="4" t="s">
        <v>14394</v>
      </c>
      <c r="G524" s="4">
        <v>11</v>
      </c>
      <c r="H524" s="4" t="s">
        <v>14395</v>
      </c>
      <c r="I524" s="4" t="str">
        <f>IFERROR(__XLUDF.DUMMYFUNCTION("PROPER(REGEXREPLACE(G522,""[^A-Za-z]+ "",""""))"),"Ezacae")</f>
        <v>Ezacae</v>
      </c>
      <c r="J524" s="5" t="s">
        <v>14396</v>
      </c>
      <c r="K524" s="4" t="s">
        <v>39</v>
      </c>
      <c r="L524" s="4" t="s">
        <v>9160</v>
      </c>
      <c r="M524" s="4" t="s">
        <v>29</v>
      </c>
      <c r="N524" s="4" t="s">
        <v>2602</v>
      </c>
      <c r="O524" s="4" t="str">
        <f>IFERROR(__XLUDF.DUMMYFUNCTION("VLOOKUP(M522,IMPORTRANGE(""https://docs.google.com/spreadsheets/d/1opm6ZNvGZ7KditA9TuJwrZ25eFLfTNIkrNnY6mhV5Eg"",""list!A1:C115""),3,TRUE)"),"le secteur de la tech")</f>
        <v xml:space="preserve">le secteur de la tech</v>
      </c>
      <c r="P524" s="4" t="s">
        <v>14397</v>
      </c>
      <c r="R524" s="4" t="s">
        <v>14398</v>
      </c>
      <c r="S524" s="4" t="s">
        <v>9267</v>
      </c>
      <c r="T524" s="4" t="s">
        <v>29</v>
      </c>
      <c r="U524" s="5" t="s">
        <v>14399</v>
      </c>
      <c r="V524" s="6"/>
      <c r="W524" s="6"/>
      <c r="X524" s="6"/>
      <c r="Y524" s="6"/>
      <c r="Z524" s="4" t="s">
        <v>14400</v>
      </c>
      <c r="AA524" s="6"/>
      <c r="AB524" s="5" t="s">
        <v>14401</v>
      </c>
    </row>
    <row r="525" ht="14.25">
      <c r="A525" s="4" t="s">
        <v>14404</v>
      </c>
      <c r="B525" s="4" t="s">
        <v>14403</v>
      </c>
      <c r="C525" s="4" t="s">
        <v>14406</v>
      </c>
      <c r="F525" s="4" t="s">
        <v>14405</v>
      </c>
      <c r="G525" s="4">
        <v>26</v>
      </c>
      <c r="H525" s="4" t="s">
        <v>14407</v>
      </c>
      <c r="I525" s="4" t="str">
        <f>IFERROR(__XLUDF.DUMMYFUNCTION("PROPER(REGEXREPLACE(G523,""[^A-Za-z]+ "",""""))"),"Agence Cube")</f>
        <v xml:space="preserve">Agence Cube</v>
      </c>
      <c r="J525" s="5" t="s">
        <v>14408</v>
      </c>
      <c r="K525" s="4" t="s">
        <v>585</v>
      </c>
      <c r="L525" s="4" t="s">
        <v>9160</v>
      </c>
      <c r="M525" s="4" t="s">
        <v>29</v>
      </c>
      <c r="N525" s="4" t="s">
        <v>2602</v>
      </c>
      <c r="O525" s="4" t="str">
        <f>IFERROR(__XLUDF.DUMMYFUNCTION("VLOOKUP(M523,IMPORTRANGE(""https://docs.google.com/spreadsheets/d/1opm6ZNvGZ7KditA9TuJwrZ25eFLfTNIkrNnY6mhV5Eg"",""list!A1:C115""),3,TRUE)"),"le secteur de la tech")</f>
        <v xml:space="preserve">le secteur de la tech</v>
      </c>
      <c r="P525" s="4" t="s">
        <v>14409</v>
      </c>
      <c r="R525" s="4" t="s">
        <v>39</v>
      </c>
      <c r="S525" s="4" t="s">
        <v>9160</v>
      </c>
      <c r="T525" s="4" t="s">
        <v>29</v>
      </c>
      <c r="U525" s="5" t="s">
        <v>14410</v>
      </c>
      <c r="V525" s="6"/>
      <c r="W525" s="6"/>
      <c r="X525" s="6"/>
      <c r="Y525" s="6"/>
      <c r="Z525" s="4" t="s">
        <v>14411</v>
      </c>
      <c r="AA525" s="6"/>
      <c r="AB525" s="5" t="s">
        <v>14412</v>
      </c>
    </row>
    <row r="526" ht="14.25">
      <c r="A526" s="4" t="s">
        <v>1888</v>
      </c>
      <c r="B526" s="4" t="s">
        <v>14414</v>
      </c>
      <c r="C526" s="4" t="s">
        <v>2636</v>
      </c>
      <c r="F526" s="4" t="s">
        <v>14415</v>
      </c>
      <c r="G526" s="4">
        <v>17</v>
      </c>
      <c r="H526" s="4" t="s">
        <v>14416</v>
      </c>
      <c r="I526" s="4" t="str">
        <f>IFERROR(__XLUDF.DUMMYFUNCTION("PROPER(REGEXREPLACE(G524,""[^A-Za-z]+ "",""""))"),"France Mentor")</f>
        <v xml:space="preserve">France Mentor</v>
      </c>
      <c r="J526" s="5" t="s">
        <v>14417</v>
      </c>
      <c r="K526" s="4" t="s">
        <v>39</v>
      </c>
      <c r="L526" s="4" t="s">
        <v>9160</v>
      </c>
      <c r="M526" s="4" t="s">
        <v>29</v>
      </c>
      <c r="N526" s="4" t="s">
        <v>4067</v>
      </c>
      <c r="O526" s="4" t="str">
        <f>IFERROR(__XLUDF.DUMMYFUNCTION("VLOOKUP(M524,IMPORTRANGE(""https://docs.google.com/spreadsheets/d/1opm6ZNvGZ7KditA9TuJwrZ25eFLfTNIkrNnY6mhV5Eg"",""list!A1:C115""),3,TRUE)"),"le secteur du conseil en management")</f>
        <v xml:space="preserve">le secteur du conseil en management</v>
      </c>
      <c r="P526" s="4" t="s">
        <v>14418</v>
      </c>
      <c r="R526" s="4" t="s">
        <v>39</v>
      </c>
      <c r="S526" s="4" t="s">
        <v>9160</v>
      </c>
      <c r="T526" s="4" t="s">
        <v>29</v>
      </c>
      <c r="U526" s="5" t="s">
        <v>14419</v>
      </c>
      <c r="V526" s="6"/>
      <c r="W526" s="6"/>
      <c r="X526" s="6"/>
      <c r="Y526" s="6"/>
      <c r="Z526" s="4" t="s">
        <v>14420</v>
      </c>
      <c r="AA526" s="6"/>
      <c r="AB526" s="5" t="s">
        <v>14421</v>
      </c>
    </row>
    <row r="527" ht="14.25">
      <c r="A527" s="4" t="s">
        <v>14424</v>
      </c>
      <c r="B527" s="4" t="s">
        <v>14423</v>
      </c>
      <c r="C527" s="4" t="s">
        <v>62</v>
      </c>
      <c r="F527" s="4" t="s">
        <v>14425</v>
      </c>
      <c r="G527" s="4">
        <v>19</v>
      </c>
      <c r="H527" s="4" t="s">
        <v>14426</v>
      </c>
      <c r="I527" s="4" t="str">
        <f>IFERROR(__XLUDF.DUMMYFUNCTION("PROPER(REGEXREPLACE(G525,""[^A-Za-z]+ "",""""))"),"Wiregate")</f>
        <v>Wiregate</v>
      </c>
      <c r="J527" s="5" t="s">
        <v>14427</v>
      </c>
      <c r="K527" s="4" t="s">
        <v>14428</v>
      </c>
      <c r="L527" s="4" t="s">
        <v>9193</v>
      </c>
      <c r="M527" s="4" t="s">
        <v>29</v>
      </c>
      <c r="N527" s="4" t="s">
        <v>2602</v>
      </c>
      <c r="O527" s="4" t="str">
        <f>IFERROR(__XLUDF.DUMMYFUNCTION("VLOOKUP(M525,IMPORTRANGE(""https://docs.google.com/spreadsheets/d/1opm6ZNvGZ7KditA9TuJwrZ25eFLfTNIkrNnY6mhV5Eg"",""list!A1:C115""),3,TRUE)"),"le secteur de la tech")</f>
        <v xml:space="preserve">le secteur de la tech</v>
      </c>
      <c r="P527" s="4" t="s">
        <v>14429</v>
      </c>
      <c r="R527" s="4" t="s">
        <v>14430</v>
      </c>
      <c r="S527" s="4" t="s">
        <v>14430</v>
      </c>
      <c r="T527" s="4" t="s">
        <v>14431</v>
      </c>
      <c r="U527" s="5" t="s">
        <v>14432</v>
      </c>
      <c r="V527" s="5" t="s">
        <v>14433</v>
      </c>
      <c r="W527" s="5" t="s">
        <v>14434</v>
      </c>
      <c r="X527" s="6"/>
      <c r="Y527" s="6"/>
      <c r="Z527" s="4" t="s">
        <v>14435</v>
      </c>
      <c r="AA527" s="6"/>
      <c r="AB527" s="5" t="s">
        <v>14436</v>
      </c>
    </row>
    <row r="528" ht="14.25">
      <c r="A528" s="4" t="s">
        <v>14438</v>
      </c>
      <c r="B528" s="4" t="s">
        <v>3540</v>
      </c>
      <c r="C528" s="4" t="s">
        <v>2645</v>
      </c>
      <c r="F528" s="4" t="s">
        <v>14439</v>
      </c>
      <c r="G528" s="4">
        <v>13</v>
      </c>
      <c r="H528" s="4" t="s">
        <v>14440</v>
      </c>
      <c r="I528" s="4" t="str">
        <f>IFERROR(__XLUDF.DUMMYFUNCTION("PROPER(REGEXREPLACE(G526,""[^A-Za-z]+ "",""""))"),"Box'N Services")</f>
        <v xml:space="preserve">Box'N Services</v>
      </c>
      <c r="J528" s="5" t="s">
        <v>14441</v>
      </c>
      <c r="K528" s="4" t="s">
        <v>1711</v>
      </c>
      <c r="L528" s="4" t="s">
        <v>9350</v>
      </c>
      <c r="M528" s="4" t="s">
        <v>29</v>
      </c>
      <c r="N528" s="4" t="s">
        <v>4067</v>
      </c>
      <c r="O528" s="4" t="str">
        <f>IFERROR(__XLUDF.DUMMYFUNCTION("VLOOKUP(M526,IMPORTRANGE(""https://docs.google.com/spreadsheets/d/1opm6ZNvGZ7KditA9TuJwrZ25eFLfTNIkrNnY6mhV5Eg"",""list!A1:C115""),3,TRUE)"),"le secteur du conseil en management")</f>
        <v xml:space="preserve">le secteur du conseil en management</v>
      </c>
      <c r="P528" s="4" t="s">
        <v>14442</v>
      </c>
      <c r="R528" s="4" t="s">
        <v>14443</v>
      </c>
      <c r="S528" s="4" t="s">
        <v>9350</v>
      </c>
      <c r="T528" s="4" t="s">
        <v>29</v>
      </c>
      <c r="U528" s="5" t="s">
        <v>14444</v>
      </c>
      <c r="V528" s="6"/>
      <c r="W528" s="6"/>
      <c r="X528" s="6"/>
      <c r="Y528" s="6"/>
      <c r="Z528" s="4" t="s">
        <v>14445</v>
      </c>
      <c r="AA528" s="6"/>
      <c r="AB528" s="5" t="s">
        <v>14446</v>
      </c>
    </row>
    <row r="529" ht="14.25">
      <c r="A529" s="4" t="s">
        <v>14449</v>
      </c>
      <c r="B529" s="4" t="s">
        <v>14448</v>
      </c>
      <c r="C529" s="4" t="s">
        <v>1130</v>
      </c>
      <c r="F529" s="4" t="s">
        <v>14450</v>
      </c>
      <c r="G529" s="4">
        <v>18</v>
      </c>
      <c r="H529" s="4" t="s">
        <v>14451</v>
      </c>
      <c r="I529" s="4" t="str">
        <f>IFERROR(__XLUDF.DUMMYFUNCTION("PROPER(REGEXREPLACE(G527,""[^A-Za-z]+ "",""""))"),"Aum Biosync")</f>
        <v xml:space="preserve">Aum Biosync</v>
      </c>
      <c r="J529" s="5" t="s">
        <v>14452</v>
      </c>
      <c r="K529" s="4" t="s">
        <v>14453</v>
      </c>
      <c r="L529" s="4" t="s">
        <v>9473</v>
      </c>
      <c r="M529" s="4" t="s">
        <v>29</v>
      </c>
      <c r="N529" s="4" t="s">
        <v>2602</v>
      </c>
      <c r="O529" s="4" t="str">
        <f>IFERROR(__XLUDF.DUMMYFUNCTION("VLOOKUP(M527,IMPORTRANGE(""https://docs.google.com/spreadsheets/d/1opm6ZNvGZ7KditA9TuJwrZ25eFLfTNIkrNnY6mhV5Eg"",""list!A1:C115""),3,TRUE)"),"le secteur de la tech")</f>
        <v xml:space="preserve">le secteur de la tech</v>
      </c>
      <c r="P529" s="4" t="s">
        <v>14454</v>
      </c>
      <c r="R529" s="4" t="s">
        <v>14453</v>
      </c>
      <c r="S529" s="4" t="s">
        <v>9473</v>
      </c>
      <c r="T529" s="4" t="s">
        <v>29</v>
      </c>
      <c r="U529" s="5" t="s">
        <v>14455</v>
      </c>
      <c r="V529" s="6"/>
      <c r="W529" s="6"/>
      <c r="X529" s="6"/>
      <c r="Y529" s="6"/>
      <c r="Z529" s="4" t="s">
        <v>14456</v>
      </c>
      <c r="AA529" s="6"/>
      <c r="AB529" s="5" t="s">
        <v>14457</v>
      </c>
    </row>
    <row r="530" ht="14.25">
      <c r="A530" s="4" t="s">
        <v>14459</v>
      </c>
      <c r="B530" s="4" t="s">
        <v>4132</v>
      </c>
      <c r="C530" s="4" t="s">
        <v>7759</v>
      </c>
      <c r="F530" s="4" t="s">
        <v>14460</v>
      </c>
      <c r="G530" s="4">
        <v>11</v>
      </c>
      <c r="H530" s="4" t="s">
        <v>14461</v>
      </c>
      <c r="I530" s="4" t="str">
        <f>IFERROR(__XLUDF.DUMMYFUNCTION("PROPER(REGEXREPLACE(G528,""[^A-Za-z]+ "",""""))"),"Eco In Pack")</f>
        <v xml:space="preserve">Eco In Pack</v>
      </c>
      <c r="J530" s="5" t="s">
        <v>14462</v>
      </c>
      <c r="K530" s="4" t="s">
        <v>3709</v>
      </c>
      <c r="L530" s="4" t="s">
        <v>9864</v>
      </c>
      <c r="M530" s="4" t="s">
        <v>29</v>
      </c>
      <c r="N530" s="4" t="s">
        <v>4067</v>
      </c>
      <c r="O530" s="4" t="str">
        <f>IFERROR(__XLUDF.DUMMYFUNCTION("VLOOKUP(M528,IMPORTRANGE(""https://docs.google.com/spreadsheets/d/1opm6ZNvGZ7KditA9TuJwrZ25eFLfTNIkrNnY6mhV5Eg"",""list!A1:C115""),3,TRUE)"),"le secteur du conseil en management")</f>
        <v xml:space="preserve">le secteur du conseil en management</v>
      </c>
      <c r="P530" s="4" t="s">
        <v>14463</v>
      </c>
      <c r="R530" s="4" t="s">
        <v>3709</v>
      </c>
      <c r="S530" s="4" t="s">
        <v>9864</v>
      </c>
      <c r="T530" s="4" t="s">
        <v>29</v>
      </c>
      <c r="U530" s="5" t="s">
        <v>14464</v>
      </c>
      <c r="V530" s="6"/>
      <c r="W530" s="6"/>
      <c r="X530" s="6"/>
      <c r="Y530" s="6"/>
      <c r="Z530" s="4" t="s">
        <v>14465</v>
      </c>
      <c r="AA530" s="6"/>
      <c r="AB530" s="5" t="s">
        <v>14466</v>
      </c>
    </row>
    <row r="531" ht="14.25">
      <c r="A531" s="4" t="s">
        <v>14468</v>
      </c>
      <c r="B531" s="4" t="s">
        <v>4132</v>
      </c>
      <c r="C531" s="4" t="s">
        <v>14470</v>
      </c>
      <c r="F531" s="4" t="s">
        <v>14469</v>
      </c>
      <c r="G531" s="4">
        <v>1</v>
      </c>
      <c r="H531" s="4" t="s">
        <v>14471</v>
      </c>
      <c r="I531" s="4" t="str">
        <f>IFERROR(__XLUDF.DUMMYFUNCTION("PROPER(REGEXREPLACE(G529,""[^A-Za-z]+ "",""""))"),"Cit&amp;Vive")</f>
        <v>Cit&amp;Vive</v>
      </c>
      <c r="J531" s="5" t="s">
        <v>14472</v>
      </c>
      <c r="K531" s="4" t="s">
        <v>39</v>
      </c>
      <c r="L531" s="4" t="s">
        <v>9160</v>
      </c>
      <c r="M531" s="4" t="s">
        <v>29</v>
      </c>
      <c r="N531" s="4" t="s">
        <v>4067</v>
      </c>
      <c r="O531" s="4" t="str">
        <f>IFERROR(__XLUDF.DUMMYFUNCTION("VLOOKUP(M529,IMPORTRANGE(""https://docs.google.com/spreadsheets/d/1opm6ZNvGZ7KditA9TuJwrZ25eFLfTNIkrNnY6mhV5Eg"",""list!A1:C115""),3,TRUE)"),"le secteur du conseil en management")</f>
        <v xml:space="preserve">le secteur du conseil en management</v>
      </c>
      <c r="P531" s="6"/>
      <c r="R531" s="4" t="s">
        <v>39</v>
      </c>
      <c r="S531" s="4" t="s">
        <v>9160</v>
      </c>
      <c r="T531" s="4" t="s">
        <v>29</v>
      </c>
      <c r="U531" s="5" t="s">
        <v>14473</v>
      </c>
      <c r="V531" s="6"/>
      <c r="W531" s="6"/>
      <c r="X531" s="6"/>
      <c r="Y531" s="6"/>
      <c r="Z531" s="4" t="s">
        <v>14474</v>
      </c>
      <c r="AA531" s="6"/>
      <c r="AB531" s="5" t="s">
        <v>14475</v>
      </c>
    </row>
    <row r="532" ht="14.25">
      <c r="A532" s="4" t="s">
        <v>14477</v>
      </c>
      <c r="B532" s="4" t="s">
        <v>4132</v>
      </c>
      <c r="C532" s="4" t="s">
        <v>14479</v>
      </c>
      <c r="F532" s="4" t="s">
        <v>14478</v>
      </c>
      <c r="G532" s="4">
        <v>25</v>
      </c>
      <c r="H532" s="4" t="s">
        <v>14480</v>
      </c>
      <c r="I532" s="4" t="str">
        <f>IFERROR(__XLUDF.DUMMYFUNCTION("PROPER(REGEXREPLACE(G530,""[^A-Za-z]+ "",""""))"),"Glanceable")</f>
        <v>Glanceable</v>
      </c>
      <c r="J532" s="5" t="s">
        <v>14481</v>
      </c>
      <c r="K532" s="4" t="s">
        <v>39</v>
      </c>
      <c r="L532" s="4" t="s">
        <v>9160</v>
      </c>
      <c r="M532" s="4" t="s">
        <v>29</v>
      </c>
      <c r="N532" s="4" t="s">
        <v>2602</v>
      </c>
      <c r="O532" s="4" t="str">
        <f>IFERROR(__XLUDF.DUMMYFUNCTION("VLOOKUP(M530,IMPORTRANGE(""https://docs.google.com/spreadsheets/d/1opm6ZNvGZ7KditA9TuJwrZ25eFLfTNIkrNnY6mhV5Eg"",""list!A1:C115""),3,TRUE)"),"le secteur de la tech")</f>
        <v xml:space="preserve">le secteur de la tech</v>
      </c>
      <c r="P532" s="6"/>
      <c r="R532" s="4" t="s">
        <v>39</v>
      </c>
      <c r="S532" s="4" t="s">
        <v>9160</v>
      </c>
      <c r="T532" s="4" t="s">
        <v>29</v>
      </c>
      <c r="U532" s="5" t="s">
        <v>14482</v>
      </c>
      <c r="V532" s="6"/>
      <c r="W532" s="6"/>
      <c r="X532" s="6"/>
      <c r="Y532" s="6"/>
      <c r="Z532" s="4" t="s">
        <v>14483</v>
      </c>
      <c r="AA532" s="6"/>
      <c r="AB532" s="5" t="s">
        <v>14484</v>
      </c>
    </row>
    <row r="533" ht="14.25">
      <c r="A533" s="4" t="s">
        <v>14486</v>
      </c>
      <c r="B533" s="4" t="s">
        <v>4132</v>
      </c>
      <c r="C533" s="4" t="s">
        <v>120</v>
      </c>
      <c r="F533" s="4" t="s">
        <v>14487</v>
      </c>
      <c r="G533" s="4">
        <v>16</v>
      </c>
      <c r="H533" s="4" t="s">
        <v>14488</v>
      </c>
      <c r="I533" s="4" t="str">
        <f>IFERROR(__XLUDF.DUMMYFUNCTION("PROPER(REGEXREPLACE(G531,""[^A-Za-z]+ "",""""))"),"Solpedinn")</f>
        <v>Solpedinn</v>
      </c>
      <c r="J533" s="5" t="s">
        <v>14489</v>
      </c>
      <c r="K533" s="4" t="s">
        <v>39</v>
      </c>
      <c r="L533" s="4" t="s">
        <v>9160</v>
      </c>
      <c r="M533" s="4" t="s">
        <v>29</v>
      </c>
      <c r="N533" s="4" t="s">
        <v>2602</v>
      </c>
      <c r="O533" s="4" t="str">
        <f>IFERROR(__XLUDF.DUMMYFUNCTION("VLOOKUP(M531,IMPORTRANGE(""https://docs.google.com/spreadsheets/d/1opm6ZNvGZ7KditA9TuJwrZ25eFLfTNIkrNnY6mhV5Eg"",""list!A1:C115""),3,TRUE)"),"le secteur de la tech")</f>
        <v xml:space="preserve">le secteur de la tech</v>
      </c>
      <c r="P533" s="4" t="s">
        <v>14490</v>
      </c>
      <c r="R533" s="4" t="s">
        <v>39</v>
      </c>
      <c r="S533" s="4" t="s">
        <v>9160</v>
      </c>
      <c r="T533" s="4" t="s">
        <v>29</v>
      </c>
      <c r="U533" s="5" t="s">
        <v>14491</v>
      </c>
      <c r="V533" s="6"/>
      <c r="W533" s="6"/>
      <c r="X533" s="6"/>
      <c r="Y533" s="6"/>
      <c r="Z533" s="4" t="s">
        <v>14492</v>
      </c>
      <c r="AA533" s="6"/>
      <c r="AB533" s="5" t="s">
        <v>14493</v>
      </c>
    </row>
    <row r="534" ht="14.25">
      <c r="A534" s="4" t="s">
        <v>1973</v>
      </c>
      <c r="B534" s="4" t="s">
        <v>963</v>
      </c>
      <c r="C534" s="4" t="s">
        <v>7759</v>
      </c>
      <c r="F534" s="4" t="s">
        <v>14495</v>
      </c>
      <c r="G534" s="4">
        <v>27</v>
      </c>
      <c r="H534" s="4" t="s">
        <v>14496</v>
      </c>
      <c r="I534" s="4" t="str">
        <f>IFERROR(__XLUDF.DUMMYFUNCTION("PROPER(REGEXREPLACE(G532,""[^A-Za-z]+ "",""""))"),"Bihannic")</f>
        <v>Bihannic</v>
      </c>
      <c r="J534" s="5" t="s">
        <v>14497</v>
      </c>
      <c r="K534" s="4" t="s">
        <v>14498</v>
      </c>
      <c r="L534" s="4" t="s">
        <v>9227</v>
      </c>
      <c r="M534" s="4" t="s">
        <v>29</v>
      </c>
      <c r="N534" s="4" t="s">
        <v>9239</v>
      </c>
      <c r="O534" s="4" t="str">
        <f>IFERROR(__XLUDF.DUMMYFUNCTION("VLOOKUP(M532,IMPORTRANGE(""https://docs.google.com/spreadsheets/d/1opm6ZNvGZ7KditA9TuJwrZ25eFLfTNIkrNnY6mhV5Eg"",""list!A1:C115""),3,TRUE)"),"le secteur de la construction")</f>
        <v xml:space="preserve">le secteur de la construction</v>
      </c>
      <c r="P534" s="4" t="s">
        <v>14499</v>
      </c>
      <c r="R534" s="4" t="s">
        <v>439</v>
      </c>
      <c r="S534" s="4" t="s">
        <v>10973</v>
      </c>
      <c r="T534" s="4" t="s">
        <v>29</v>
      </c>
      <c r="U534" s="5" t="s">
        <v>14500</v>
      </c>
      <c r="V534" s="6"/>
      <c r="W534" s="6"/>
      <c r="X534" s="6"/>
      <c r="Y534" s="6"/>
      <c r="Z534" s="4" t="s">
        <v>14501</v>
      </c>
      <c r="AA534" s="6"/>
      <c r="AB534" s="5" t="s">
        <v>14502</v>
      </c>
    </row>
    <row r="535" ht="14.25">
      <c r="A535" s="4" t="s">
        <v>14504</v>
      </c>
      <c r="B535" s="4" t="s">
        <v>963</v>
      </c>
      <c r="C535" s="4" t="s">
        <v>3969</v>
      </c>
      <c r="F535" s="4" t="s">
        <v>14505</v>
      </c>
      <c r="G535" s="4">
        <v>15</v>
      </c>
      <c r="H535" s="4" t="s">
        <v>14506</v>
      </c>
      <c r="I535" s="4" t="str">
        <f>IFERROR(__XLUDF.DUMMYFUNCTION("PROPER(REGEXREPLACE(G533,""[^A-Za-z]+ "",""""))"),"Ieva Partners")</f>
        <v xml:space="preserve">Ieva Partners</v>
      </c>
      <c r="J535" s="5" t="s">
        <v>14507</v>
      </c>
      <c r="K535" s="6"/>
      <c r="L535" s="6"/>
      <c r="M535" s="4" t="s">
        <v>29</v>
      </c>
      <c r="N535" s="4" t="s">
        <v>4067</v>
      </c>
      <c r="O535" s="4" t="str">
        <f>IFERROR(__XLUDF.DUMMYFUNCTION("VLOOKUP(M533,IMPORTRANGE(""https://docs.google.com/spreadsheets/d/1opm6ZNvGZ7KditA9TuJwrZ25eFLfTNIkrNnY6mhV5Eg"",""list!A1:C115""),3,TRUE)"),"le secteur du conseil en management")</f>
        <v xml:space="preserve">le secteur du conseil en management</v>
      </c>
      <c r="P535" s="4" t="s">
        <v>14508</v>
      </c>
      <c r="R535" s="4" t="s">
        <v>39</v>
      </c>
      <c r="S535" s="4" t="s">
        <v>9160</v>
      </c>
      <c r="T535" s="4" t="s">
        <v>29</v>
      </c>
      <c r="U535" s="5" t="s">
        <v>14509</v>
      </c>
      <c r="V535" s="6"/>
      <c r="W535" s="6"/>
      <c r="X535" s="6"/>
      <c r="Y535" s="6"/>
      <c r="Z535" s="4" t="s">
        <v>14510</v>
      </c>
      <c r="AA535" s="6"/>
      <c r="AB535" s="5" t="s">
        <v>14511</v>
      </c>
    </row>
    <row r="536" ht="14.25">
      <c r="A536" s="4" t="s">
        <v>14513</v>
      </c>
      <c r="B536" s="4" t="s">
        <v>963</v>
      </c>
      <c r="C536" s="4" t="s">
        <v>14515</v>
      </c>
      <c r="F536" s="4" t="s">
        <v>14514</v>
      </c>
      <c r="G536" s="4">
        <v>27</v>
      </c>
      <c r="H536" s="4" t="s">
        <v>14516</v>
      </c>
      <c r="I536" s="4" t="str">
        <f>IFERROR(__XLUDF.DUMMYFUNCTION("PROPER(REGEXREPLACE(G534,""[^A-Za-z]+ "",""""))"),"Lmgroup")</f>
        <v>Lmgroup</v>
      </c>
      <c r="J536" s="5" t="s">
        <v>14517</v>
      </c>
      <c r="K536" s="4" t="s">
        <v>243</v>
      </c>
      <c r="L536" s="4" t="s">
        <v>9864</v>
      </c>
      <c r="M536" s="4" t="s">
        <v>29</v>
      </c>
      <c r="N536" s="4" t="s">
        <v>4525</v>
      </c>
      <c r="O536" s="4" t="str">
        <f>IFERROR(__XLUDF.DUMMYFUNCTION("VLOOKUP(M534,IMPORTRANGE(""https://docs.google.com/spreadsheets/d/1opm6ZNvGZ7KditA9TuJwrZ25eFLfTNIkrNnY6mhV5Eg"",""list!A1:C115""),3,TRUE)"),"le secteur du retail")</f>
        <v xml:space="preserve">le secteur du retail</v>
      </c>
      <c r="P536" s="4" t="s">
        <v>14518</v>
      </c>
      <c r="R536" s="4" t="s">
        <v>243</v>
      </c>
      <c r="S536" s="4" t="s">
        <v>9864</v>
      </c>
      <c r="T536" s="4" t="s">
        <v>29</v>
      </c>
      <c r="U536" s="5" t="s">
        <v>14519</v>
      </c>
      <c r="V536" s="5" t="s">
        <v>14520</v>
      </c>
      <c r="W536" s="5" t="s">
        <v>14521</v>
      </c>
      <c r="X536" s="6"/>
      <c r="Y536" s="6"/>
      <c r="Z536" s="4" t="s">
        <v>14522</v>
      </c>
      <c r="AA536" s="6"/>
      <c r="AB536" s="5" t="s">
        <v>14523</v>
      </c>
    </row>
    <row r="537" ht="14.25">
      <c r="A537" s="4" t="s">
        <v>14525</v>
      </c>
      <c r="B537" s="4" t="s">
        <v>963</v>
      </c>
      <c r="C537" s="4" t="s">
        <v>1231</v>
      </c>
      <c r="F537" s="4" t="s">
        <v>14526</v>
      </c>
      <c r="G537" s="4">
        <v>14</v>
      </c>
      <c r="H537" s="4" t="s">
        <v>14527</v>
      </c>
      <c r="I537" s="4" t="str">
        <f>IFERROR(__XLUDF.DUMMYFUNCTION("PROPER(REGEXREPLACE(G535,""[^A-Za-z]+ "",""""))"),"Homeys")</f>
        <v>Homeys</v>
      </c>
      <c r="J537" s="5" t="s">
        <v>14528</v>
      </c>
      <c r="K537" s="4" t="s">
        <v>39</v>
      </c>
      <c r="L537" s="4" t="s">
        <v>9160</v>
      </c>
      <c r="M537" s="4" t="s">
        <v>29</v>
      </c>
      <c r="N537" s="4" t="s">
        <v>2602</v>
      </c>
      <c r="O537" s="4" t="str">
        <f>IFERROR(__XLUDF.DUMMYFUNCTION("VLOOKUP(M535,IMPORTRANGE(""https://docs.google.com/spreadsheets/d/1opm6ZNvGZ7KditA9TuJwrZ25eFLfTNIkrNnY6mhV5Eg"",""list!A1:C115""),3,TRUE)"),"le secteur de la tech")</f>
        <v xml:space="preserve">le secteur de la tech</v>
      </c>
      <c r="P537" s="4" t="s">
        <v>14529</v>
      </c>
      <c r="R537" s="4" t="s">
        <v>39</v>
      </c>
      <c r="S537" s="4" t="s">
        <v>9160</v>
      </c>
      <c r="T537" s="4" t="s">
        <v>29</v>
      </c>
      <c r="U537" s="5" t="s">
        <v>14530</v>
      </c>
      <c r="V537" s="5" t="s">
        <v>14531</v>
      </c>
      <c r="W537" s="6"/>
      <c r="X537" s="6"/>
      <c r="Y537" s="6"/>
      <c r="Z537" s="4" t="s">
        <v>14532</v>
      </c>
      <c r="AA537" s="6"/>
      <c r="AB537" s="5" t="s">
        <v>14533</v>
      </c>
    </row>
    <row r="538" ht="14.25">
      <c r="A538" s="4" t="s">
        <v>14535</v>
      </c>
      <c r="B538" s="4" t="s">
        <v>206</v>
      </c>
      <c r="C538" s="4" t="s">
        <v>172</v>
      </c>
      <c r="F538" s="4" t="s">
        <v>14536</v>
      </c>
      <c r="G538" s="4">
        <v>25</v>
      </c>
      <c r="H538" s="4" t="s">
        <v>14537</v>
      </c>
      <c r="I538" s="4" t="str">
        <f>IFERROR(__XLUDF.DUMMYFUNCTION("PROPER(REGEXREPLACE(G536,""[^A-Za-z]+ "",""""))"),"Logiciel Drsanté")</f>
        <v xml:space="preserve">Logiciel Drsanté</v>
      </c>
      <c r="J538" s="5" t="s">
        <v>14538</v>
      </c>
      <c r="K538" s="4" t="s">
        <v>243</v>
      </c>
      <c r="L538" s="4" t="s">
        <v>9864</v>
      </c>
      <c r="M538" s="4" t="s">
        <v>29</v>
      </c>
      <c r="N538" s="4" t="s">
        <v>2602</v>
      </c>
      <c r="O538" s="4" t="str">
        <f>IFERROR(__XLUDF.DUMMYFUNCTION("VLOOKUP(M536,IMPORTRANGE(""https://docs.google.com/spreadsheets/d/1opm6ZNvGZ7KditA9TuJwrZ25eFLfTNIkrNnY6mhV5Eg"",""list!A1:C115""),3,TRUE)"),"le secteur de la tech")</f>
        <v xml:space="preserve">le secteur de la tech</v>
      </c>
      <c r="P538" s="4" t="s">
        <v>14539</v>
      </c>
      <c r="R538" s="4" t="s">
        <v>243</v>
      </c>
      <c r="S538" s="4" t="s">
        <v>9864</v>
      </c>
      <c r="T538" s="4" t="s">
        <v>29</v>
      </c>
      <c r="U538" s="5" t="s">
        <v>14540</v>
      </c>
      <c r="V538" s="6"/>
      <c r="W538" s="5" t="s">
        <v>14541</v>
      </c>
      <c r="X538" s="6"/>
      <c r="Y538" s="6"/>
      <c r="Z538" s="4" t="s">
        <v>14542</v>
      </c>
      <c r="AA538" s="6"/>
      <c r="AB538" s="5" t="s">
        <v>14543</v>
      </c>
    </row>
    <row r="539" ht="14.25">
      <c r="A539" s="4" t="s">
        <v>14545</v>
      </c>
      <c r="B539" s="4" t="s">
        <v>206</v>
      </c>
      <c r="C539" s="4" t="s">
        <v>14547</v>
      </c>
      <c r="F539" s="4" t="s">
        <v>14546</v>
      </c>
      <c r="G539" s="4">
        <v>10</v>
      </c>
      <c r="H539" s="4" t="s">
        <v>14548</v>
      </c>
      <c r="I539" s="4" t="str">
        <f>IFERROR(__XLUDF.DUMMYFUNCTION("PROPER(REGEXREPLACE(G537,""[^A-Za-z]+ "",""""))"),"Mello Matelas")</f>
        <v xml:space="preserve">Mello Matelas</v>
      </c>
      <c r="J539" s="5" t="s">
        <v>14549</v>
      </c>
      <c r="K539" s="4" t="s">
        <v>651</v>
      </c>
      <c r="L539" s="4" t="s">
        <v>9215</v>
      </c>
      <c r="M539" s="4" t="s">
        <v>29</v>
      </c>
      <c r="N539" s="4" t="s">
        <v>4525</v>
      </c>
      <c r="O539" s="4" t="str">
        <f>IFERROR(__XLUDF.DUMMYFUNCTION("VLOOKUP(M537,IMPORTRANGE(""https://docs.google.com/spreadsheets/d/1opm6ZNvGZ7KditA9TuJwrZ25eFLfTNIkrNnY6mhV5Eg"",""list!A1:C115""),3,TRUE)"),"le secteur du retail")</f>
        <v xml:space="preserve">le secteur du retail</v>
      </c>
      <c r="P539" s="6"/>
      <c r="R539" s="4" t="s">
        <v>651</v>
      </c>
      <c r="S539" s="4" t="s">
        <v>9215</v>
      </c>
      <c r="T539" s="4" t="s">
        <v>29</v>
      </c>
      <c r="U539" s="5" t="s">
        <v>14550</v>
      </c>
      <c r="V539" s="6"/>
      <c r="W539" s="6"/>
      <c r="X539" s="6"/>
      <c r="Y539" s="6"/>
      <c r="Z539" s="4" t="s">
        <v>14551</v>
      </c>
      <c r="AA539" s="6"/>
      <c r="AB539" s="5" t="s">
        <v>14552</v>
      </c>
    </row>
    <row r="540" ht="14.25">
      <c r="A540" s="4" t="s">
        <v>14554</v>
      </c>
      <c r="B540" s="4" t="s">
        <v>206</v>
      </c>
      <c r="C540" s="4" t="s">
        <v>120</v>
      </c>
      <c r="F540" s="4" t="s">
        <v>14555</v>
      </c>
      <c r="G540" s="4">
        <v>31</v>
      </c>
      <c r="H540" s="4" t="s">
        <v>14556</v>
      </c>
      <c r="I540" s="4" t="str">
        <f>IFERROR(__XLUDF.DUMMYFUNCTION("PROPER(REGEXREPLACE(G538,""[^A-Za-z]+ "",""""))"),"Placeshaker")</f>
        <v>Placeshaker</v>
      </c>
      <c r="J540" s="5" t="s">
        <v>14557</v>
      </c>
      <c r="K540" s="4" t="s">
        <v>39</v>
      </c>
      <c r="L540" s="4" t="s">
        <v>9160</v>
      </c>
      <c r="M540" s="4" t="s">
        <v>29</v>
      </c>
      <c r="N540" s="4" t="s">
        <v>9239</v>
      </c>
      <c r="O540" s="4" t="str">
        <f>IFERROR(__XLUDF.DUMMYFUNCTION("VLOOKUP(M538,IMPORTRANGE(""https://docs.google.com/spreadsheets/d/1opm6ZNvGZ7KditA9TuJwrZ25eFLfTNIkrNnY6mhV5Eg"",""list!A1:C115""),3,TRUE)"),"le secteur de la construction")</f>
        <v xml:space="preserve">le secteur de la construction</v>
      </c>
      <c r="P540" s="4" t="s">
        <v>14558</v>
      </c>
      <c r="R540" s="4" t="s">
        <v>914</v>
      </c>
      <c r="S540" s="4" t="s">
        <v>9160</v>
      </c>
      <c r="T540" s="4" t="s">
        <v>29</v>
      </c>
      <c r="U540" s="5" t="s">
        <v>14559</v>
      </c>
      <c r="V540" s="6"/>
      <c r="W540" s="6"/>
      <c r="X540" s="6"/>
      <c r="Y540" s="6"/>
      <c r="Z540" s="4" t="s">
        <v>14560</v>
      </c>
      <c r="AA540" s="6"/>
      <c r="AB540" s="5" t="s">
        <v>14561</v>
      </c>
    </row>
    <row r="541" ht="14.25">
      <c r="A541" s="4" t="s">
        <v>14563</v>
      </c>
      <c r="B541" s="4" t="s">
        <v>1062</v>
      </c>
      <c r="C541" s="4" t="s">
        <v>7759</v>
      </c>
      <c r="F541" s="4" t="s">
        <v>14564</v>
      </c>
      <c r="G541" s="4">
        <v>18</v>
      </c>
      <c r="H541" s="4" t="s">
        <v>14565</v>
      </c>
      <c r="I541" s="4" t="str">
        <f>IFERROR(__XLUDF.DUMMYFUNCTION("PROPER(REGEXREPLACE(G539,""[^A-Za-z]+ "",""""))"),"E-Nova")</f>
        <v>E-Nova</v>
      </c>
      <c r="J541" s="5" t="s">
        <v>14566</v>
      </c>
      <c r="K541" s="4" t="s">
        <v>1419</v>
      </c>
      <c r="L541" s="4" t="s">
        <v>9160</v>
      </c>
      <c r="M541" s="4" t="s">
        <v>29</v>
      </c>
      <c r="N541" s="4" t="s">
        <v>4525</v>
      </c>
      <c r="O541" s="4" t="str">
        <f>IFERROR(__XLUDF.DUMMYFUNCTION("VLOOKUP(M539,IMPORTRANGE(""https://docs.google.com/spreadsheets/d/1opm6ZNvGZ7KditA9TuJwrZ25eFLfTNIkrNnY6mhV5Eg"",""list!A1:C115""),3,TRUE)"),"le secteur du retail")</f>
        <v xml:space="preserve">le secteur du retail</v>
      </c>
      <c r="P541" s="4" t="s">
        <v>14567</v>
      </c>
      <c r="R541" s="4" t="s">
        <v>1419</v>
      </c>
      <c r="S541" s="4" t="s">
        <v>9160</v>
      </c>
      <c r="T541" s="4" t="s">
        <v>29</v>
      </c>
      <c r="U541" s="5" t="s">
        <v>14568</v>
      </c>
      <c r="V541" s="6"/>
      <c r="W541" s="6"/>
      <c r="X541" s="6"/>
      <c r="Y541" s="6"/>
      <c r="Z541" s="4" t="s">
        <v>14569</v>
      </c>
      <c r="AA541" s="6"/>
      <c r="AB541" s="5" t="s">
        <v>14570</v>
      </c>
    </row>
    <row r="542" ht="14.25">
      <c r="A542" s="4" t="s">
        <v>14572</v>
      </c>
      <c r="B542" s="4" t="s">
        <v>170</v>
      </c>
      <c r="C542" s="4" t="s">
        <v>14574</v>
      </c>
      <c r="F542" s="4" t="s">
        <v>14573</v>
      </c>
      <c r="G542" s="4">
        <v>25</v>
      </c>
      <c r="H542" s="4" t="s">
        <v>14575</v>
      </c>
      <c r="I542" s="4" t="str">
        <f>IFERROR(__XLUDF.DUMMYFUNCTION("PROPER(REGEXREPLACE(G540,""[^A-Za-z]+ "",""""))"),"Atm Consulting")</f>
        <v xml:space="preserve">Atm Consulting</v>
      </c>
      <c r="J542" s="5" t="s">
        <v>14576</v>
      </c>
      <c r="K542" s="4" t="s">
        <v>1150</v>
      </c>
      <c r="L542" s="4" t="s">
        <v>9193</v>
      </c>
      <c r="M542" s="4" t="s">
        <v>29</v>
      </c>
      <c r="N542" s="4" t="s">
        <v>2602</v>
      </c>
      <c r="O542" s="4" t="str">
        <f>IFERROR(__XLUDF.DUMMYFUNCTION("VLOOKUP(M540,IMPORTRANGE(""https://docs.google.com/spreadsheets/d/1opm6ZNvGZ7KditA9TuJwrZ25eFLfTNIkrNnY6mhV5Eg"",""list!A1:C115""),3,TRUE)"),"le secteur de la tech")</f>
        <v xml:space="preserve">le secteur de la tech</v>
      </c>
      <c r="P542" s="4" t="s">
        <v>14577</v>
      </c>
      <c r="R542" s="4" t="s">
        <v>1150</v>
      </c>
      <c r="S542" s="4" t="s">
        <v>9193</v>
      </c>
      <c r="T542" s="4" t="s">
        <v>29</v>
      </c>
      <c r="U542" s="5" t="s">
        <v>14578</v>
      </c>
      <c r="V542" s="6"/>
      <c r="W542" s="6"/>
      <c r="X542" s="6"/>
      <c r="Y542" s="6"/>
      <c r="Z542" s="4" t="s">
        <v>14579</v>
      </c>
      <c r="AA542" s="6"/>
      <c r="AB542" s="5" t="s">
        <v>14580</v>
      </c>
    </row>
    <row r="543" ht="14.25">
      <c r="A543" s="4" t="s">
        <v>14582</v>
      </c>
      <c r="B543" s="4" t="s">
        <v>170</v>
      </c>
      <c r="C543" s="4" t="s">
        <v>14584</v>
      </c>
      <c r="F543" s="4" t="s">
        <v>14583</v>
      </c>
      <c r="G543" s="4">
        <v>22</v>
      </c>
      <c r="H543" s="4" t="s">
        <v>14585</v>
      </c>
      <c r="I543" s="4" t="str">
        <f>IFERROR(__XLUDF.DUMMYFUNCTION("PROPER(REGEXREPLACE(G541,""[^A-Za-z]+ "",""""))"),"Ibc Dialog")</f>
        <v xml:space="preserve">Ibc Dialog</v>
      </c>
      <c r="J543" s="5" t="s">
        <v>14586</v>
      </c>
      <c r="K543" s="4" t="s">
        <v>6954</v>
      </c>
      <c r="L543" s="4" t="s">
        <v>9484</v>
      </c>
      <c r="M543" s="4" t="s">
        <v>29</v>
      </c>
      <c r="N543" s="4" t="s">
        <v>9264</v>
      </c>
      <c r="O543" s="4" t="str">
        <f>IFERROR(__XLUDF.DUMMYFUNCTION("VLOOKUP(M541,IMPORTRANGE(""https://docs.google.com/spreadsheets/d/1opm6ZNvGZ7KditA9TuJwrZ25eFLfTNIkrNnY6mhV5Eg"",""list!A1:C115""),3,TRUE)"),"le secteur de la sécurité informatique")</f>
        <v xml:space="preserve">le secteur de la sécurité informatique</v>
      </c>
      <c r="P543" s="4" t="s">
        <v>14587</v>
      </c>
      <c r="R543" s="4" t="s">
        <v>14588</v>
      </c>
      <c r="S543" s="4" t="s">
        <v>9226</v>
      </c>
      <c r="T543" s="4" t="s">
        <v>29</v>
      </c>
      <c r="U543" s="5" t="s">
        <v>14589</v>
      </c>
      <c r="V543" s="6"/>
      <c r="W543" s="6"/>
      <c r="X543" s="6"/>
      <c r="Y543" s="6"/>
      <c r="Z543" s="4" t="s">
        <v>14590</v>
      </c>
      <c r="AA543" s="6"/>
      <c r="AB543" s="5" t="s">
        <v>14591</v>
      </c>
    </row>
    <row r="544" ht="14.25">
      <c r="A544" s="4" t="s">
        <v>7518</v>
      </c>
      <c r="B544" s="4" t="s">
        <v>170</v>
      </c>
      <c r="C544" s="4" t="s">
        <v>9849</v>
      </c>
      <c r="F544" s="4" t="s">
        <v>14593</v>
      </c>
      <c r="G544" s="4">
        <v>11</v>
      </c>
      <c r="H544" s="4" t="s">
        <v>14594</v>
      </c>
      <c r="I544" s="4" t="str">
        <f>IFERROR(__XLUDF.DUMMYFUNCTION("PROPER(REGEXREPLACE(G542,""[^A-Za-z]+ "",""""))"),"Forlabs")</f>
        <v>Forlabs</v>
      </c>
      <c r="J544" s="5" t="s">
        <v>14595</v>
      </c>
      <c r="K544" s="4" t="s">
        <v>6954</v>
      </c>
      <c r="L544" s="4" t="s">
        <v>9484</v>
      </c>
      <c r="M544" s="4" t="s">
        <v>29</v>
      </c>
      <c r="N544" s="4" t="s">
        <v>2602</v>
      </c>
      <c r="O544" s="4" t="str">
        <f>IFERROR(__XLUDF.DUMMYFUNCTION("VLOOKUP(M542,IMPORTRANGE(""https://docs.google.com/spreadsheets/d/1opm6ZNvGZ7KditA9TuJwrZ25eFLfTNIkrNnY6mhV5Eg"",""list!A1:C115""),3,TRUE)"),"le secteur de la tech")</f>
        <v xml:space="preserve">le secteur de la tech</v>
      </c>
      <c r="P544" s="4" t="s">
        <v>14596</v>
      </c>
      <c r="R544" s="4" t="s">
        <v>14597</v>
      </c>
      <c r="S544" s="4" t="s">
        <v>9484</v>
      </c>
      <c r="T544" s="4" t="s">
        <v>29</v>
      </c>
      <c r="U544" s="5" t="s">
        <v>14598</v>
      </c>
      <c r="V544" s="6"/>
      <c r="W544" s="6"/>
      <c r="X544" s="6"/>
      <c r="Y544" s="6"/>
      <c r="Z544" s="4" t="s">
        <v>14599</v>
      </c>
      <c r="AA544" s="6"/>
      <c r="AB544" s="5" t="s">
        <v>14600</v>
      </c>
    </row>
    <row r="545" ht="14.25">
      <c r="A545" s="4" t="s">
        <v>14602</v>
      </c>
      <c r="B545" s="4" t="s">
        <v>170</v>
      </c>
      <c r="C545" s="4" t="s">
        <v>1231</v>
      </c>
      <c r="F545" s="4" t="s">
        <v>14603</v>
      </c>
      <c r="G545" s="4">
        <v>10</v>
      </c>
      <c r="H545" s="4" t="s">
        <v>14604</v>
      </c>
      <c r="I545" s="4" t="str">
        <f>IFERROR(__XLUDF.DUMMYFUNCTION("PROPER(REGEXREPLACE(G543,""[^A-Za-z]+ "",""""))"),"Petitscommerces")</f>
        <v>Petitscommerces</v>
      </c>
      <c r="J545" s="5" t="s">
        <v>14605</v>
      </c>
      <c r="K545" s="4" t="s">
        <v>39</v>
      </c>
      <c r="L545" s="4" t="s">
        <v>9160</v>
      </c>
      <c r="M545" s="4" t="s">
        <v>29</v>
      </c>
      <c r="N545" s="4" t="s">
        <v>11736</v>
      </c>
      <c r="O545" s="4" t="str">
        <f>IFERROR(__XLUDF.DUMMYFUNCTION("VLOOKUP(M543,IMPORTRANGE(""https://docs.google.com/spreadsheets/d/1opm6ZNvGZ7KditA9TuJwrZ25eFLfTNIkrNnY6mhV5Eg"",""list!A1:C115""),3,TRUE)"),"le secteur de la tech")</f>
        <v xml:space="preserve">le secteur de la tech</v>
      </c>
      <c r="P545" s="4" t="s">
        <v>14606</v>
      </c>
      <c r="R545" s="4" t="s">
        <v>39</v>
      </c>
      <c r="S545" s="4" t="s">
        <v>9160</v>
      </c>
      <c r="T545" s="4" t="s">
        <v>29</v>
      </c>
      <c r="U545" s="5" t="s">
        <v>14607</v>
      </c>
      <c r="V545" s="5" t="s">
        <v>14608</v>
      </c>
      <c r="W545" s="5" t="s">
        <v>14609</v>
      </c>
      <c r="X545" s="6"/>
      <c r="Y545" s="6"/>
      <c r="Z545" s="4" t="s">
        <v>14610</v>
      </c>
      <c r="AA545" s="6"/>
      <c r="AB545" s="5" t="s">
        <v>14611</v>
      </c>
    </row>
    <row r="546" ht="14.25">
      <c r="A546" s="4" t="s">
        <v>14613</v>
      </c>
      <c r="B546" s="4" t="s">
        <v>170</v>
      </c>
      <c r="C546" s="4" t="s">
        <v>9849</v>
      </c>
      <c r="F546" s="4" t="s">
        <v>14614</v>
      </c>
      <c r="G546" s="4">
        <v>27</v>
      </c>
      <c r="H546" s="4" t="s">
        <v>14615</v>
      </c>
      <c r="I546" s="4" t="str">
        <f>IFERROR(__XLUDF.DUMMYFUNCTION("PROPER(REGEXREPLACE(G544,""[^A-Za-z]+ "",""""))"),"Protextyl")</f>
        <v>Protextyl</v>
      </c>
      <c r="J546" s="5" t="s">
        <v>14616</v>
      </c>
      <c r="K546" s="4" t="s">
        <v>14617</v>
      </c>
      <c r="L546" s="4" t="s">
        <v>9350</v>
      </c>
      <c r="M546" s="4" t="s">
        <v>29</v>
      </c>
      <c r="N546" s="4" t="s">
        <v>4525</v>
      </c>
      <c r="O546" s="4" t="str">
        <f>IFERROR(__XLUDF.DUMMYFUNCTION("VLOOKUP(M544,IMPORTRANGE(""https://docs.google.com/spreadsheets/d/1opm6ZNvGZ7KditA9TuJwrZ25eFLfTNIkrNnY6mhV5Eg"",""list!A1:C115""),3,TRUE)"),"le secteur du retail")</f>
        <v xml:space="preserve">le secteur du retail</v>
      </c>
      <c r="P546" s="4" t="s">
        <v>14618</v>
      </c>
      <c r="R546" s="4" t="s">
        <v>1711</v>
      </c>
      <c r="S546" s="4" t="s">
        <v>9350</v>
      </c>
      <c r="T546" s="4" t="s">
        <v>29</v>
      </c>
      <c r="U546" s="5" t="s">
        <v>14619</v>
      </c>
      <c r="V546" s="6"/>
      <c r="W546" s="5" t="s">
        <v>14620</v>
      </c>
      <c r="X546" s="6"/>
      <c r="Y546" s="6"/>
      <c r="Z546" s="4" t="s">
        <v>14621</v>
      </c>
      <c r="AA546" s="6"/>
      <c r="AB546" s="5" t="s">
        <v>14622</v>
      </c>
    </row>
    <row r="547" ht="14.25">
      <c r="A547" s="4" t="s">
        <v>14624</v>
      </c>
      <c r="B547" s="4" t="s">
        <v>2119</v>
      </c>
      <c r="C547" s="4" t="s">
        <v>172</v>
      </c>
      <c r="F547" s="4" t="s">
        <v>14625</v>
      </c>
      <c r="G547" s="4">
        <v>17</v>
      </c>
      <c r="H547" s="4" t="s">
        <v>14626</v>
      </c>
      <c r="I547" s="4" t="str">
        <f>IFERROR(__XLUDF.DUMMYFUNCTION("PROPER(REGEXREPLACE(G545,""[^A-Za-z]+ "",""""))"),"Mb Promotion")</f>
        <v xml:space="preserve">Mb Promotion</v>
      </c>
      <c r="J547" s="5" t="s">
        <v>14627</v>
      </c>
      <c r="K547" s="4" t="s">
        <v>14628</v>
      </c>
      <c r="L547" s="4" t="s">
        <v>9460</v>
      </c>
      <c r="M547" s="4" t="s">
        <v>29</v>
      </c>
      <c r="N547" s="4" t="s">
        <v>9161</v>
      </c>
      <c r="O547" s="4" t="str">
        <f>IFERROR(__XLUDF.DUMMYFUNCTION("VLOOKUP(M545,IMPORTRANGE(""https://docs.google.com/spreadsheets/d/1opm6ZNvGZ7KditA9TuJwrZ25eFLfTNIkrNnY6mhV5Eg"",""list!A1:C115""),3,TRUE)"),"le secteur du marketing")</f>
        <v xml:space="preserve">le secteur du marketing</v>
      </c>
      <c r="P547" s="4" t="s">
        <v>14629</v>
      </c>
      <c r="R547" s="4" t="s">
        <v>14630</v>
      </c>
      <c r="S547" s="4" t="s">
        <v>14631</v>
      </c>
      <c r="T547" s="4" t="s">
        <v>4318</v>
      </c>
      <c r="U547" s="5" t="s">
        <v>14632</v>
      </c>
      <c r="V547" s="6"/>
      <c r="W547" s="5" t="s">
        <v>14633</v>
      </c>
      <c r="X547" s="6"/>
      <c r="Y547" s="6"/>
      <c r="Z547" s="4" t="s">
        <v>14634</v>
      </c>
      <c r="AA547" s="6"/>
      <c r="AB547" s="5" t="s">
        <v>14635</v>
      </c>
    </row>
    <row r="548" ht="14.25">
      <c r="A548" s="4" t="s">
        <v>14637</v>
      </c>
      <c r="B548" s="4" t="s">
        <v>963</v>
      </c>
      <c r="C548" s="4" t="s">
        <v>112</v>
      </c>
      <c r="F548" s="4" t="s">
        <v>14638</v>
      </c>
      <c r="G548" s="4">
        <v>10</v>
      </c>
      <c r="H548" s="4" t="s">
        <v>14639</v>
      </c>
      <c r="I548" s="4" t="str">
        <f>IFERROR(__XLUDF.DUMMYFUNCTION("PROPER(REGEXREPLACE(G546,""[^A-Za-z]+ "",""""))"),"Mare Nostrum Advising Groupe")</f>
        <v xml:space="preserve">Mare Nostrum Advising Groupe</v>
      </c>
      <c r="J548" s="5" t="s">
        <v>14640</v>
      </c>
      <c r="K548" s="4" t="s">
        <v>39</v>
      </c>
      <c r="L548" s="4" t="s">
        <v>9160</v>
      </c>
      <c r="M548" s="4" t="s">
        <v>29</v>
      </c>
      <c r="N548" s="4" t="s">
        <v>2602</v>
      </c>
      <c r="O548" s="4" t="str">
        <f>IFERROR(__XLUDF.DUMMYFUNCTION("VLOOKUP(M546,IMPORTRANGE(""https://docs.google.com/spreadsheets/d/1opm6ZNvGZ7KditA9TuJwrZ25eFLfTNIkrNnY6mhV5Eg"",""list!A1:C115""),3,TRUE)"),"le secteur de la tech")</f>
        <v xml:space="preserve">le secteur de la tech</v>
      </c>
      <c r="P548" s="4" t="s">
        <v>14641</v>
      </c>
      <c r="R548" s="4" t="s">
        <v>295</v>
      </c>
      <c r="S548" s="4" t="s">
        <v>9251</v>
      </c>
      <c r="T548" s="4" t="s">
        <v>29</v>
      </c>
      <c r="U548" s="5" t="s">
        <v>14642</v>
      </c>
      <c r="V548" s="6"/>
      <c r="W548" s="6"/>
      <c r="X548" s="6"/>
      <c r="Y548" s="6"/>
      <c r="Z548" s="4" t="s">
        <v>14643</v>
      </c>
      <c r="AA548" s="6"/>
      <c r="AB548" s="5" t="s">
        <v>14644</v>
      </c>
    </row>
    <row r="549" ht="14.25">
      <c r="A549" s="4" t="s">
        <v>14646</v>
      </c>
      <c r="B549" s="4" t="s">
        <v>5579</v>
      </c>
      <c r="C549" s="4" t="s">
        <v>112</v>
      </c>
      <c r="F549" s="4" t="s">
        <v>14647</v>
      </c>
      <c r="G549" s="4">
        <v>10</v>
      </c>
      <c r="H549" s="4" t="s">
        <v>14648</v>
      </c>
      <c r="I549" s="4" t="str">
        <f>IFERROR(__XLUDF.DUMMYFUNCTION("PROPER(REGEXREPLACE(G547,""[^A-Za-z]+ "",""""))"),"Diginove Sas")</f>
        <v xml:space="preserve">Diginove Sas</v>
      </c>
      <c r="J549" s="6"/>
      <c r="K549" s="4" t="s">
        <v>14649</v>
      </c>
      <c r="L549" s="4" t="s">
        <v>9251</v>
      </c>
      <c r="M549" s="4" t="s">
        <v>29</v>
      </c>
      <c r="N549" s="4" t="s">
        <v>2602</v>
      </c>
      <c r="O549" s="4" t="str">
        <f>IFERROR(__XLUDF.DUMMYFUNCTION("VLOOKUP(M547,IMPORTRANGE(""https://docs.google.com/spreadsheets/d/1opm6ZNvGZ7KditA9TuJwrZ25eFLfTNIkrNnY6mhV5Eg"",""list!A1:C115""),3,TRUE)"),"le secteur de la tech")</f>
        <v xml:space="preserve">le secteur de la tech</v>
      </c>
      <c r="P549" s="6"/>
      <c r="R549" s="4" t="s">
        <v>1015</v>
      </c>
      <c r="S549" s="4" t="s">
        <v>9251</v>
      </c>
      <c r="T549" s="4" t="s">
        <v>29</v>
      </c>
      <c r="U549" s="5" t="s">
        <v>14650</v>
      </c>
      <c r="V549" s="6"/>
      <c r="W549" s="6"/>
      <c r="X549" s="6"/>
      <c r="Y549" s="6"/>
      <c r="Z549" s="4" t="s">
        <v>14651</v>
      </c>
      <c r="AA549" s="6"/>
      <c r="AB549" s="5" t="s">
        <v>14652</v>
      </c>
    </row>
    <row r="550" ht="14.25">
      <c r="A550" s="4" t="s">
        <v>14655</v>
      </c>
      <c r="B550" s="4" t="s">
        <v>14654</v>
      </c>
      <c r="C550" s="4" t="s">
        <v>2636</v>
      </c>
      <c r="F550" s="4" t="s">
        <v>14656</v>
      </c>
      <c r="G550" s="4">
        <v>23</v>
      </c>
      <c r="H550" s="4" t="s">
        <v>14657</v>
      </c>
      <c r="I550" s="4" t="str">
        <f>IFERROR(__XLUDF.DUMMYFUNCTION("PROPER(REGEXREPLACE(G548,""[^A-Za-z]+ "",""""))"),"Beemo Technologie")</f>
        <v xml:space="preserve">Beemo Technologie</v>
      </c>
      <c r="J550" s="5" t="s">
        <v>14658</v>
      </c>
      <c r="K550" s="4" t="s">
        <v>14659</v>
      </c>
      <c r="L550" s="4" t="s">
        <v>9460</v>
      </c>
      <c r="M550" s="4" t="s">
        <v>29</v>
      </c>
      <c r="N550" s="4" t="s">
        <v>2602</v>
      </c>
      <c r="O550" s="4" t="str">
        <f>IFERROR(__XLUDF.DUMMYFUNCTION("VLOOKUP(M548,IMPORTRANGE(""https://docs.google.com/spreadsheets/d/1opm6ZNvGZ7KditA9TuJwrZ25eFLfTNIkrNnY6mhV5Eg"",""list!A1:C115""),3,TRUE)"),"le secteur de la tech")</f>
        <v xml:space="preserve">le secteur de la tech</v>
      </c>
      <c r="P550" s="4" t="s">
        <v>14660</v>
      </c>
      <c r="R550" s="4" t="s">
        <v>14659</v>
      </c>
      <c r="S550" s="4" t="s">
        <v>10829</v>
      </c>
      <c r="T550" s="4" t="s">
        <v>29</v>
      </c>
      <c r="U550" s="5" t="s">
        <v>14661</v>
      </c>
      <c r="V550" s="5" t="s">
        <v>14662</v>
      </c>
      <c r="W550" s="5" t="s">
        <v>14663</v>
      </c>
      <c r="X550" s="6"/>
      <c r="Y550" s="6"/>
      <c r="Z550" s="4" t="s">
        <v>14664</v>
      </c>
      <c r="AA550" s="6"/>
      <c r="AB550" s="5" t="s">
        <v>14665</v>
      </c>
    </row>
    <row r="551" ht="14.25">
      <c r="A551" s="4" t="s">
        <v>14667</v>
      </c>
      <c r="B551" s="4" t="s">
        <v>5579</v>
      </c>
      <c r="C551" s="4" t="s">
        <v>112</v>
      </c>
      <c r="F551" s="4" t="s">
        <v>14668</v>
      </c>
      <c r="G551" s="4">
        <v>16</v>
      </c>
      <c r="H551" s="4" t="s">
        <v>14669</v>
      </c>
      <c r="I551" s="4" t="str">
        <f>IFERROR(__XLUDF.DUMMYFUNCTION("PROPER(REGEXREPLACE(G549,""[^A-Za-z]+ "",""""))"),"Docks Du Bureau")</f>
        <v xml:space="preserve">Docks Du Bureau</v>
      </c>
      <c r="J551" s="5" t="s">
        <v>14670</v>
      </c>
      <c r="K551" s="4" t="s">
        <v>83</v>
      </c>
      <c r="L551" s="4" t="s">
        <v>9460</v>
      </c>
      <c r="M551" s="4" t="s">
        <v>29</v>
      </c>
      <c r="N551" s="4" t="s">
        <v>4525</v>
      </c>
      <c r="O551" s="4" t="str">
        <f>IFERROR(__XLUDF.DUMMYFUNCTION("VLOOKUP(M549,IMPORTRANGE(""https://docs.google.com/spreadsheets/d/1opm6ZNvGZ7KditA9TuJwrZ25eFLfTNIkrNnY6mhV5Eg"",""list!A1:C115""),3,TRUE)"),"le secteur du retail")</f>
        <v xml:space="preserve">le secteur du retail</v>
      </c>
      <c r="P551" s="6"/>
      <c r="R551" s="4" t="s">
        <v>83</v>
      </c>
      <c r="S551" s="4" t="s">
        <v>9460</v>
      </c>
      <c r="T551" s="4" t="s">
        <v>29</v>
      </c>
      <c r="U551" s="5" t="s">
        <v>14671</v>
      </c>
      <c r="V551" s="6"/>
      <c r="W551" s="5" t="s">
        <v>14672</v>
      </c>
      <c r="X551" s="6"/>
      <c r="Y551" s="6"/>
      <c r="Z551" s="4" t="s">
        <v>14673</v>
      </c>
      <c r="AA551" s="6"/>
      <c r="AB551" s="5" t="s">
        <v>14674</v>
      </c>
    </row>
    <row r="552" ht="14.25">
      <c r="A552" s="4" t="s">
        <v>14676</v>
      </c>
      <c r="B552" s="4" t="s">
        <v>14276</v>
      </c>
      <c r="C552" s="4" t="s">
        <v>7759</v>
      </c>
      <c r="F552" s="4" t="s">
        <v>14677</v>
      </c>
      <c r="G552" s="4">
        <v>36</v>
      </c>
      <c r="H552" s="4" t="s">
        <v>14678</v>
      </c>
      <c r="I552" s="4" t="str">
        <f>IFERROR(__XLUDF.DUMMYFUNCTION("PROPER(REGEXREPLACE(G550,""[^A-Za-z]+ "",""""))"),"Finopsys")</f>
        <v>Finopsys</v>
      </c>
      <c r="J552" s="5" t="s">
        <v>14679</v>
      </c>
      <c r="K552" s="4" t="s">
        <v>295</v>
      </c>
      <c r="L552" s="4" t="s">
        <v>9251</v>
      </c>
      <c r="M552" s="4" t="s">
        <v>29</v>
      </c>
      <c r="N552" s="4" t="s">
        <v>2602</v>
      </c>
      <c r="O552" s="4" t="str">
        <f>IFERROR(__XLUDF.DUMMYFUNCTION("VLOOKUP(M550,IMPORTRANGE(""https://docs.google.com/spreadsheets/d/1opm6ZNvGZ7KditA9TuJwrZ25eFLfTNIkrNnY6mhV5Eg"",""list!A1:C115""),3,TRUE)"),"le secteur de la tech")</f>
        <v xml:space="preserve">le secteur de la tech</v>
      </c>
      <c r="P552" s="4" t="s">
        <v>14680</v>
      </c>
      <c r="R552" s="4" t="s">
        <v>14649</v>
      </c>
      <c r="S552" s="4" t="s">
        <v>9251</v>
      </c>
      <c r="T552" s="4" t="s">
        <v>29</v>
      </c>
      <c r="U552" s="5" t="s">
        <v>14681</v>
      </c>
      <c r="V552" s="5" t="s">
        <v>14682</v>
      </c>
      <c r="W552" s="5" t="s">
        <v>14683</v>
      </c>
      <c r="X552" s="6"/>
      <c r="Y552" s="6"/>
      <c r="Z552" s="4" t="s">
        <v>14684</v>
      </c>
      <c r="AA552" s="6"/>
      <c r="AB552" s="5" t="s">
        <v>14685</v>
      </c>
    </row>
    <row r="553" ht="14.25">
      <c r="A553" s="4" t="s">
        <v>14687</v>
      </c>
      <c r="B553" s="4" t="s">
        <v>3002</v>
      </c>
      <c r="C553" s="4" t="s">
        <v>14689</v>
      </c>
      <c r="F553" s="4" t="s">
        <v>14688</v>
      </c>
      <c r="G553" s="4">
        <v>20</v>
      </c>
      <c r="H553" s="4" t="s">
        <v>14690</v>
      </c>
      <c r="I553" s="4" t="str">
        <f>IFERROR(__XLUDF.DUMMYFUNCTION("PROPER(REGEXREPLACE(G551,""[^A-Za-z]+ "",""""))"),"Data Links")</f>
        <v xml:space="preserve">Data Links</v>
      </c>
      <c r="J553" s="5" t="s">
        <v>14691</v>
      </c>
      <c r="K553" s="4" t="s">
        <v>39</v>
      </c>
      <c r="L553" s="4" t="s">
        <v>9160</v>
      </c>
      <c r="M553" s="4" t="s">
        <v>29</v>
      </c>
      <c r="N553" s="4" t="s">
        <v>2602</v>
      </c>
      <c r="O553" s="4" t="str">
        <f>IFERROR(__XLUDF.DUMMYFUNCTION("VLOOKUP(M551,IMPORTRANGE(""https://docs.google.com/spreadsheets/d/1opm6ZNvGZ7KditA9TuJwrZ25eFLfTNIkrNnY6mhV5Eg"",""list!A1:C115""),3,TRUE)"),"le secteur de la tech")</f>
        <v xml:space="preserve">le secteur de la tech</v>
      </c>
      <c r="P553" s="4" t="s">
        <v>14692</v>
      </c>
      <c r="R553" s="4" t="s">
        <v>5668</v>
      </c>
      <c r="S553" s="4" t="s">
        <v>9160</v>
      </c>
      <c r="T553" s="4" t="s">
        <v>29</v>
      </c>
      <c r="U553" s="5" t="s">
        <v>14693</v>
      </c>
      <c r="V553" s="6"/>
      <c r="W553" s="5" t="s">
        <v>14694</v>
      </c>
      <c r="X553" s="6"/>
      <c r="Y553" s="6"/>
      <c r="Z553" s="4" t="s">
        <v>14695</v>
      </c>
      <c r="AA553" s="6"/>
      <c r="AB553" s="5" t="s">
        <v>14696</v>
      </c>
    </row>
    <row r="554" ht="14.25">
      <c r="A554" s="4" t="s">
        <v>14698</v>
      </c>
      <c r="B554" s="4" t="s">
        <v>2119</v>
      </c>
      <c r="C554" s="4" t="s">
        <v>14700</v>
      </c>
      <c r="F554" s="4" t="s">
        <v>14699</v>
      </c>
      <c r="G554" s="4">
        <v>13</v>
      </c>
      <c r="H554" s="4" t="s">
        <v>14701</v>
      </c>
      <c r="I554" s="4" t="str">
        <f>IFERROR(__XLUDF.DUMMYFUNCTION("PROPER(REGEXREPLACE(G552,""[^A-Za-z]+ "",""""))"),"Aufiges")</f>
        <v>Aufiges</v>
      </c>
      <c r="J554" s="5" t="s">
        <v>14702</v>
      </c>
      <c r="K554" s="6"/>
      <c r="L554" s="4" t="s">
        <v>9160</v>
      </c>
      <c r="M554" s="4" t="s">
        <v>29</v>
      </c>
      <c r="N554" s="4" t="s">
        <v>4067</v>
      </c>
      <c r="O554" s="4" t="str">
        <f>IFERROR(__XLUDF.DUMMYFUNCTION("VLOOKUP(M552,IMPORTRANGE(""https://docs.google.com/spreadsheets/d/1opm6ZNvGZ7KditA9TuJwrZ25eFLfTNIkrNnY6mhV5Eg"",""list!A1:C115""),3,TRUE)"),"le secteur du conseil en management")</f>
        <v xml:space="preserve">le secteur du conseil en management</v>
      </c>
      <c r="P554" s="4" t="s">
        <v>14703</v>
      </c>
      <c r="R554" s="4" t="s">
        <v>14704</v>
      </c>
      <c r="S554" s="4" t="s">
        <v>9160</v>
      </c>
      <c r="T554" s="4" t="s">
        <v>29</v>
      </c>
      <c r="U554" s="5" t="s">
        <v>14705</v>
      </c>
      <c r="V554" s="6"/>
      <c r="W554" s="6"/>
      <c r="X554" s="6"/>
      <c r="Y554" s="6"/>
      <c r="Z554" s="4" t="s">
        <v>14706</v>
      </c>
      <c r="AA554" s="6"/>
      <c r="AB554" s="5" t="s">
        <v>14707</v>
      </c>
    </row>
    <row r="555" ht="14.25">
      <c r="A555" s="4" t="s">
        <v>14709</v>
      </c>
      <c r="B555" s="4" t="s">
        <v>5873</v>
      </c>
      <c r="C555" s="4" t="s">
        <v>112</v>
      </c>
      <c r="F555" s="4" t="s">
        <v>14710</v>
      </c>
      <c r="G555" s="4">
        <v>15</v>
      </c>
      <c r="H555" s="4" t="s">
        <v>14711</v>
      </c>
      <c r="I555" s="4" t="str">
        <f>IFERROR(__XLUDF.DUMMYFUNCTION("PROPER(REGEXREPLACE(G553,""[^A-Za-z]+ "",""""))"),"Groupe Arj")</f>
        <v xml:space="preserve">Groupe Arj</v>
      </c>
      <c r="J555" s="5" t="s">
        <v>14712</v>
      </c>
      <c r="K555" s="6"/>
      <c r="L555" s="6"/>
      <c r="M555" s="4" t="s">
        <v>29</v>
      </c>
      <c r="N555" s="4" t="s">
        <v>2602</v>
      </c>
      <c r="O555" s="4" t="str">
        <f>IFERROR(__XLUDF.DUMMYFUNCTION("VLOOKUP(M553,IMPORTRANGE(""https://docs.google.com/spreadsheets/d/1opm6ZNvGZ7KditA9TuJwrZ25eFLfTNIkrNnY6mhV5Eg"",""list!A1:C115""),3,TRUE)"),"le secteur de la tech")</f>
        <v xml:space="preserve">le secteur de la tech</v>
      </c>
      <c r="P555" s="4" t="s">
        <v>14713</v>
      </c>
      <c r="R555" s="4" t="s">
        <v>4257</v>
      </c>
      <c r="S555" s="4" t="s">
        <v>9160</v>
      </c>
      <c r="T555" s="4" t="s">
        <v>29</v>
      </c>
      <c r="U555" s="5" t="s">
        <v>14714</v>
      </c>
      <c r="V555" s="6"/>
      <c r="W555" s="5" t="s">
        <v>14715</v>
      </c>
      <c r="X555" s="6"/>
      <c r="Y555" s="6"/>
      <c r="Z555" s="4" t="s">
        <v>14716</v>
      </c>
      <c r="AA555" s="6"/>
      <c r="AB555" s="5" t="s">
        <v>14717</v>
      </c>
    </row>
    <row r="556" ht="14.25">
      <c r="A556" s="4" t="s">
        <v>14719</v>
      </c>
      <c r="B556" s="4" t="s">
        <v>1605</v>
      </c>
      <c r="C556" s="4" t="s">
        <v>112</v>
      </c>
      <c r="F556" s="4" t="s">
        <v>14720</v>
      </c>
      <c r="G556" s="4">
        <v>33</v>
      </c>
      <c r="H556" s="4" t="s">
        <v>14721</v>
      </c>
      <c r="I556" s="4" t="str">
        <f>IFERROR(__XLUDF.DUMMYFUNCTION("PROPER(REGEXREPLACE(G554,""[^A-Za-z]+ "",""""))"),"Andex International")</f>
        <v xml:space="preserve">Andex International</v>
      </c>
      <c r="J556" s="5" t="s">
        <v>14722</v>
      </c>
      <c r="K556" s="4" t="s">
        <v>39</v>
      </c>
      <c r="L556" s="4" t="s">
        <v>9160</v>
      </c>
      <c r="M556" s="4" t="s">
        <v>29</v>
      </c>
      <c r="N556" s="4" t="s">
        <v>2602</v>
      </c>
      <c r="O556" s="4" t="str">
        <f>IFERROR(__XLUDF.DUMMYFUNCTION("VLOOKUP(M554,IMPORTRANGE(""https://docs.google.com/spreadsheets/d/1opm6ZNvGZ7KditA9TuJwrZ25eFLfTNIkrNnY6mhV5Eg"",""list!A1:C115""),3,TRUE)"),"le secteur de la tech")</f>
        <v xml:space="preserve">le secteur de la tech</v>
      </c>
      <c r="P556" s="4" t="s">
        <v>14723</v>
      </c>
      <c r="R556" s="4" t="s">
        <v>39</v>
      </c>
      <c r="S556" s="4" t="s">
        <v>9160</v>
      </c>
      <c r="T556" s="4" t="s">
        <v>29</v>
      </c>
      <c r="U556" s="5" t="s">
        <v>14724</v>
      </c>
      <c r="V556" s="6"/>
      <c r="W556" s="6"/>
      <c r="X556" s="6"/>
      <c r="Y556" s="6"/>
      <c r="Z556" s="4" t="s">
        <v>14725</v>
      </c>
      <c r="AA556" s="6"/>
      <c r="AB556" s="5" t="s">
        <v>14726</v>
      </c>
    </row>
    <row r="557" ht="14.25">
      <c r="A557" s="4" t="s">
        <v>14728</v>
      </c>
      <c r="B557" s="4" t="s">
        <v>7518</v>
      </c>
      <c r="C557" s="4" t="s">
        <v>503</v>
      </c>
      <c r="F557" s="4" t="s">
        <v>14729</v>
      </c>
      <c r="G557" s="4">
        <v>13</v>
      </c>
      <c r="H557" s="4" t="s">
        <v>12360</v>
      </c>
      <c r="I557" s="4" t="str">
        <f>IFERROR(__XLUDF.DUMMYFUNCTION("PROPER(REGEXREPLACE(G555,""[^A-Za-z]+ "",""""))"),"Sairen")</f>
        <v>Sairen</v>
      </c>
      <c r="J557" s="5" t="s">
        <v>12361</v>
      </c>
      <c r="K557" s="6"/>
      <c r="L557" s="6"/>
      <c r="M557" s="4" t="s">
        <v>29</v>
      </c>
      <c r="N557" s="4" t="s">
        <v>2602</v>
      </c>
      <c r="O557" s="4" t="str">
        <f>IFERROR(__XLUDF.DUMMYFUNCTION("VLOOKUP(M555,IMPORTRANGE(""https://docs.google.com/spreadsheets/d/1opm6ZNvGZ7KditA9TuJwrZ25eFLfTNIkrNnY6mhV5Eg"",""list!A1:C115""),3,TRUE)"),"le secteur de la tech")</f>
        <v xml:space="preserve">le secteur de la tech</v>
      </c>
      <c r="P557" s="6"/>
      <c r="R557" s="4" t="s">
        <v>39</v>
      </c>
      <c r="S557" s="4" t="s">
        <v>9160</v>
      </c>
      <c r="T557" s="4" t="s">
        <v>29</v>
      </c>
      <c r="U557" s="5" t="s">
        <v>12362</v>
      </c>
      <c r="V557" s="6"/>
      <c r="W557" s="6"/>
      <c r="X557" s="6"/>
      <c r="Y557" s="6"/>
      <c r="Z557" s="4" t="s">
        <v>12363</v>
      </c>
      <c r="AA557" s="6"/>
      <c r="AB557" s="5" t="s">
        <v>14730</v>
      </c>
    </row>
    <row r="558" ht="14.25">
      <c r="A558" s="4" t="s">
        <v>14732</v>
      </c>
      <c r="B558" s="4" t="s">
        <v>963</v>
      </c>
      <c r="C558" s="4" t="s">
        <v>5400</v>
      </c>
      <c r="F558" s="4" t="s">
        <v>14733</v>
      </c>
      <c r="G558" s="4">
        <v>25</v>
      </c>
      <c r="H558" s="4" t="s">
        <v>14734</v>
      </c>
      <c r="I558" s="4" t="str">
        <f>IFERROR(__XLUDF.DUMMYFUNCTION("PROPER(REGEXREPLACE(G556,""[^A-Za-z]+ "",""""))"),"Tryba Energy")</f>
        <v xml:space="preserve">Tryba Energy</v>
      </c>
      <c r="J558" s="5" t="s">
        <v>14735</v>
      </c>
      <c r="K558" s="4" t="s">
        <v>14736</v>
      </c>
      <c r="L558" s="4" t="s">
        <v>9215</v>
      </c>
      <c r="M558" s="4" t="s">
        <v>29</v>
      </c>
      <c r="N558" s="4" t="s">
        <v>4067</v>
      </c>
      <c r="O558" s="4" t="str">
        <f>IFERROR(__XLUDF.DUMMYFUNCTION("VLOOKUP(M556,IMPORTRANGE(""https://docs.google.com/spreadsheets/d/1opm6ZNvGZ7KditA9TuJwrZ25eFLfTNIkrNnY6mhV5Eg"",""list!A1:C115""),3,TRUE)"),"le secteur du conseil en management")</f>
        <v xml:space="preserve">le secteur du conseil en management</v>
      </c>
      <c r="P558" s="6"/>
      <c r="R558" s="4" t="s">
        <v>14736</v>
      </c>
      <c r="S558" s="4" t="s">
        <v>12581</v>
      </c>
      <c r="T558" s="4" t="s">
        <v>29</v>
      </c>
      <c r="U558" s="5" t="s">
        <v>14737</v>
      </c>
      <c r="V558" s="6"/>
      <c r="W558" s="6"/>
      <c r="X558" s="6"/>
      <c r="Y558" s="6"/>
      <c r="Z558" s="4" t="s">
        <v>14738</v>
      </c>
      <c r="AA558" s="6"/>
      <c r="AB558" s="5" t="s">
        <v>14739</v>
      </c>
    </row>
    <row r="559" ht="14.25">
      <c r="A559" s="4" t="s">
        <v>14742</v>
      </c>
      <c r="B559" s="4" t="s">
        <v>14741</v>
      </c>
      <c r="C559" s="4" t="s">
        <v>365</v>
      </c>
      <c r="F559" s="4" t="s">
        <v>14743</v>
      </c>
      <c r="G559" s="4">
        <v>21</v>
      </c>
      <c r="H559" s="4" t="s">
        <v>11907</v>
      </c>
      <c r="I559" s="4" t="str">
        <f>IFERROR(__XLUDF.DUMMYFUNCTION("PROPER(REGEXREPLACE(G557,""[^A-Za-z]+ "",""""))"),"Pod")</f>
        <v>Pod</v>
      </c>
      <c r="J559" s="4" t="s">
        <v>11908</v>
      </c>
      <c r="K559" s="4" t="s">
        <v>1711</v>
      </c>
      <c r="L559" s="4" t="s">
        <v>9350</v>
      </c>
      <c r="M559" s="4" t="s">
        <v>29</v>
      </c>
      <c r="N559" s="4" t="s">
        <v>4067</v>
      </c>
      <c r="O559" s="4" t="str">
        <f>IFERROR(__XLUDF.DUMMYFUNCTION("VLOOKUP(M557,IMPORTRANGE(""https://docs.google.com/spreadsheets/d/1opm6ZNvGZ7KditA9TuJwrZ25eFLfTNIkrNnY6mhV5Eg"",""list!A1:C115""),3,TRUE)"),"le secteur du conseil en management")</f>
        <v xml:space="preserve">le secteur du conseil en management</v>
      </c>
      <c r="P559" s="4" t="s">
        <v>11909</v>
      </c>
      <c r="R559" s="4" t="s">
        <v>39</v>
      </c>
      <c r="S559" s="4" t="s">
        <v>9160</v>
      </c>
      <c r="T559" s="4" t="s">
        <v>29</v>
      </c>
      <c r="U559" s="5" t="s">
        <v>11910</v>
      </c>
      <c r="V559" s="6"/>
      <c r="W559" s="6"/>
      <c r="X559" s="6"/>
      <c r="Y559" s="6"/>
      <c r="Z559" s="4" t="s">
        <v>11911</v>
      </c>
      <c r="AA559" s="6"/>
      <c r="AB559" s="5" t="s">
        <v>14744</v>
      </c>
    </row>
    <row r="560" ht="14.25">
      <c r="A560" s="4" t="s">
        <v>14746</v>
      </c>
      <c r="B560" s="4" t="s">
        <v>3002</v>
      </c>
      <c r="C560" s="4" t="s">
        <v>14748</v>
      </c>
      <c r="F560" s="4" t="s">
        <v>14747</v>
      </c>
      <c r="G560" s="4">
        <v>17</v>
      </c>
      <c r="H560" s="4" t="s">
        <v>14749</v>
      </c>
      <c r="I560" s="4" t="str">
        <f>IFERROR(__XLUDF.DUMMYFUNCTION("PROPER(REGEXREPLACE(G558,""[^A-Za-z]+ "",""""))"),"Quick-Off")</f>
        <v>Quick-Off</v>
      </c>
      <c r="J560" s="5" t="s">
        <v>14750</v>
      </c>
      <c r="K560" s="4" t="s">
        <v>14751</v>
      </c>
      <c r="L560" s="4" t="s">
        <v>9193</v>
      </c>
      <c r="M560" s="4" t="s">
        <v>29</v>
      </c>
      <c r="N560" s="4" t="s">
        <v>2602</v>
      </c>
      <c r="O560" s="4" t="str">
        <f>IFERROR(__XLUDF.DUMMYFUNCTION("VLOOKUP(M558,IMPORTRANGE(""https://docs.google.com/spreadsheets/d/1opm6ZNvGZ7KditA9TuJwrZ25eFLfTNIkrNnY6mhV5Eg"",""list!A1:C115""),3,TRUE)"),"le secteur de la tech")</f>
        <v xml:space="preserve">le secteur de la tech</v>
      </c>
      <c r="P560" s="4" t="s">
        <v>14752</v>
      </c>
      <c r="R560" s="4" t="s">
        <v>185</v>
      </c>
      <c r="S560" s="4" t="s">
        <v>9193</v>
      </c>
      <c r="T560" s="4" t="s">
        <v>29</v>
      </c>
      <c r="U560" s="5" t="s">
        <v>14753</v>
      </c>
      <c r="V560" s="6"/>
      <c r="W560" s="5" t="s">
        <v>14754</v>
      </c>
      <c r="X560" s="6"/>
      <c r="Y560" s="6"/>
      <c r="Z560" s="4" t="s">
        <v>14755</v>
      </c>
      <c r="AA560" s="6"/>
      <c r="AB560" s="5" t="s">
        <v>14756</v>
      </c>
    </row>
    <row r="561" ht="14.25">
      <c r="A561" s="4" t="s">
        <v>14758</v>
      </c>
      <c r="B561" s="4" t="s">
        <v>5579</v>
      </c>
      <c r="C561" s="4" t="s">
        <v>14760</v>
      </c>
      <c r="F561" s="4" t="s">
        <v>14759</v>
      </c>
      <c r="G561" s="4">
        <v>39</v>
      </c>
      <c r="H561" s="4" t="s">
        <v>14761</v>
      </c>
      <c r="I561" s="4" t="str">
        <f>IFERROR(__XLUDF.DUMMYFUNCTION("PROPER(REGEXREPLACE(G559,""[^A-Za-z]+ "",""""))"),"Wikane")</f>
        <v>Wikane</v>
      </c>
      <c r="J561" s="5" t="s">
        <v>14762</v>
      </c>
      <c r="K561" s="4" t="s">
        <v>83</v>
      </c>
      <c r="L561" s="4" t="s">
        <v>9460</v>
      </c>
      <c r="M561" s="4" t="s">
        <v>29</v>
      </c>
      <c r="N561" s="4" t="s">
        <v>4067</v>
      </c>
      <c r="O561" s="4" t="str">
        <f>IFERROR(__XLUDF.DUMMYFUNCTION("VLOOKUP(M559,IMPORTRANGE(""https://docs.google.com/spreadsheets/d/1opm6ZNvGZ7KditA9TuJwrZ25eFLfTNIkrNnY6mhV5Eg"",""list!A1:C115""),3,TRUE)"),"le secteur du conseil en management")</f>
        <v xml:space="preserve">le secteur du conseil en management</v>
      </c>
      <c r="P561" s="4" t="s">
        <v>14763</v>
      </c>
      <c r="R561" s="4" t="s">
        <v>39</v>
      </c>
      <c r="S561" s="4" t="s">
        <v>9160</v>
      </c>
      <c r="T561" s="4" t="s">
        <v>29</v>
      </c>
      <c r="U561" s="5" t="s">
        <v>14764</v>
      </c>
      <c r="V561" s="6"/>
      <c r="W561" s="6"/>
      <c r="X561" s="6"/>
      <c r="Y561" s="6"/>
      <c r="Z561" s="4" t="s">
        <v>14765</v>
      </c>
      <c r="AA561" s="6"/>
      <c r="AB561" s="5" t="s">
        <v>14766</v>
      </c>
    </row>
    <row r="562" ht="14.25">
      <c r="A562" s="4" t="s">
        <v>14768</v>
      </c>
      <c r="B562" s="4" t="s">
        <v>5891</v>
      </c>
      <c r="C562" s="4" t="s">
        <v>172</v>
      </c>
      <c r="F562" s="4" t="s">
        <v>14769</v>
      </c>
      <c r="G562" s="4">
        <v>42</v>
      </c>
      <c r="H562" s="4" t="s">
        <v>14770</v>
      </c>
      <c r="I562" s="4" t="str">
        <f>IFERROR(__XLUDF.DUMMYFUNCTION("PROPER(REGEXREPLACE(G560,""[^A-Za-z]+ "",""""))"),"Ose Engineering")</f>
        <v xml:space="preserve">Ose Engineering</v>
      </c>
      <c r="J562" s="5" t="s">
        <v>14771</v>
      </c>
      <c r="K562" s="4" t="s">
        <v>423</v>
      </c>
      <c r="L562" s="4" t="s">
        <v>9193</v>
      </c>
      <c r="M562" s="4" t="s">
        <v>29</v>
      </c>
      <c r="N562" s="4" t="s">
        <v>2602</v>
      </c>
      <c r="O562" s="4" t="str">
        <f>IFERROR(__XLUDF.DUMMYFUNCTION("VLOOKUP(M560,IMPORTRANGE(""https://docs.google.com/spreadsheets/d/1opm6ZNvGZ7KditA9TuJwrZ25eFLfTNIkrNnY6mhV5Eg"",""list!A1:C115""),3,TRUE)"),"le secteur de la tech")</f>
        <v xml:space="preserve">le secteur de la tech</v>
      </c>
      <c r="P562" s="4" t="s">
        <v>14772</v>
      </c>
      <c r="R562" s="6"/>
      <c r="S562" s="6"/>
      <c r="T562" s="6"/>
      <c r="U562" s="5" t="s">
        <v>14773</v>
      </c>
      <c r="V562" s="6"/>
      <c r="W562" s="6"/>
      <c r="X562" s="6"/>
      <c r="Y562" s="6"/>
      <c r="Z562" s="4" t="s">
        <v>14774</v>
      </c>
      <c r="AA562" s="6"/>
      <c r="AB562" s="5" t="s">
        <v>14775</v>
      </c>
    </row>
    <row r="563" ht="14.25">
      <c r="A563" s="4" t="s">
        <v>14778</v>
      </c>
      <c r="B563" s="4" t="s">
        <v>14777</v>
      </c>
      <c r="C563" s="4" t="s">
        <v>14780</v>
      </c>
      <c r="F563" s="4" t="s">
        <v>14779</v>
      </c>
      <c r="G563" s="4">
        <v>19</v>
      </c>
      <c r="H563" s="4" t="s">
        <v>14781</v>
      </c>
      <c r="I563" s="4" t="str">
        <f>IFERROR(__XLUDF.DUMMYFUNCTION("PROPER(REGEXREPLACE(G561,""[^A-Za-z]+ "",""""))"),"Meric Sas")</f>
        <v xml:space="preserve">Meric Sas</v>
      </c>
      <c r="J563" s="5" t="s">
        <v>14782</v>
      </c>
      <c r="K563" s="4" t="s">
        <v>2174</v>
      </c>
      <c r="L563" s="4" t="s">
        <v>9193</v>
      </c>
      <c r="M563" s="4" t="s">
        <v>29</v>
      </c>
      <c r="N563" s="4" t="s">
        <v>10167</v>
      </c>
      <c r="O563" s="4" t="str">
        <f>IFERROR(__XLUDF.DUMMYFUNCTION("VLOOKUP(M561,IMPORTRANGE(""https://docs.google.com/spreadsheets/d/1opm6ZNvGZ7KditA9TuJwrZ25eFLfTNIkrNnY6mhV5Eg"",""list!A1:C115""),3,TRUE)"),"le secteur de l'architecture et de l'urbanisme")</f>
        <v xml:space="preserve">le secteur de l'architecture et de l'urbanisme</v>
      </c>
      <c r="P563" s="4" t="s">
        <v>14783</v>
      </c>
      <c r="R563" s="4" t="s">
        <v>14784</v>
      </c>
      <c r="S563" s="4" t="s">
        <v>9193</v>
      </c>
      <c r="T563" s="4" t="s">
        <v>29</v>
      </c>
      <c r="U563" s="5" t="s">
        <v>14785</v>
      </c>
      <c r="V563" s="6"/>
      <c r="W563" s="6"/>
      <c r="X563" s="6"/>
      <c r="Y563" s="6"/>
      <c r="Z563" s="4" t="s">
        <v>14786</v>
      </c>
      <c r="AA563" s="6"/>
      <c r="AB563" s="5" t="s">
        <v>14787</v>
      </c>
    </row>
    <row r="564" ht="14.25">
      <c r="A564" s="4" t="s">
        <v>10764</v>
      </c>
      <c r="B564" s="4" t="s">
        <v>2119</v>
      </c>
      <c r="C564" s="4" t="s">
        <v>14790</v>
      </c>
      <c r="F564" s="4" t="s">
        <v>14789</v>
      </c>
      <c r="G564" s="4">
        <v>16</v>
      </c>
      <c r="H564" s="4" t="s">
        <v>14791</v>
      </c>
      <c r="I564" s="4" t="str">
        <f>IFERROR(__XLUDF.DUMMYFUNCTION("PROPER(REGEXREPLACE(G562,""[^A-Za-z]+ "",""""))"),"Tech'Innove")</f>
        <v>Tech'Innove</v>
      </c>
      <c r="J564" s="5" t="s">
        <v>14792</v>
      </c>
      <c r="K564" s="4" t="s">
        <v>185</v>
      </c>
      <c r="L564" s="4" t="s">
        <v>9193</v>
      </c>
      <c r="M564" s="4" t="s">
        <v>29</v>
      </c>
      <c r="N564" s="4" t="s">
        <v>4067</v>
      </c>
      <c r="O564" s="4" t="str">
        <f>IFERROR(__XLUDF.DUMMYFUNCTION("VLOOKUP(M562,IMPORTRANGE(""https://docs.google.com/spreadsheets/d/1opm6ZNvGZ7KditA9TuJwrZ25eFLfTNIkrNnY6mhV5Eg"",""list!A1:C115""),3,TRUE)"),"le secteur du conseil en management")</f>
        <v xml:space="preserve">le secteur du conseil en management</v>
      </c>
      <c r="P564" s="4" t="s">
        <v>14793</v>
      </c>
      <c r="R564" s="4" t="s">
        <v>185</v>
      </c>
      <c r="S564" s="4" t="s">
        <v>9172</v>
      </c>
      <c r="T564" s="4" t="s">
        <v>29</v>
      </c>
      <c r="U564" s="5" t="s">
        <v>14794</v>
      </c>
      <c r="V564" s="5" t="s">
        <v>14795</v>
      </c>
      <c r="W564" s="5" t="s">
        <v>14796</v>
      </c>
      <c r="X564" s="6"/>
      <c r="Y564" s="6"/>
      <c r="Z564" s="4" t="s">
        <v>14797</v>
      </c>
      <c r="AA564" s="6"/>
      <c r="AB564" s="5" t="s">
        <v>14798</v>
      </c>
    </row>
    <row r="565" ht="14.25">
      <c r="A565" s="4" t="s">
        <v>14800</v>
      </c>
      <c r="B565" s="4" t="s">
        <v>3540</v>
      </c>
      <c r="C565" s="4" t="s">
        <v>1162</v>
      </c>
      <c r="F565" s="4" t="s">
        <v>14801</v>
      </c>
      <c r="G565" s="4">
        <v>13</v>
      </c>
      <c r="H565" s="4" t="s">
        <v>14802</v>
      </c>
      <c r="I565" s="4" t="str">
        <f>IFERROR(__XLUDF.DUMMYFUNCTION("PROPER(REGEXREPLACE(G563,""[^A-Za-z]+ "",""""))"),"Antana")</f>
        <v>Antana</v>
      </c>
      <c r="J565" s="5" t="s">
        <v>14803</v>
      </c>
      <c r="K565" s="4" t="s">
        <v>39</v>
      </c>
      <c r="L565" s="4" t="s">
        <v>9160</v>
      </c>
      <c r="M565" s="4" t="s">
        <v>29</v>
      </c>
      <c r="N565" s="4" t="s">
        <v>9264</v>
      </c>
      <c r="O565" s="4" t="str">
        <f>IFERROR(__XLUDF.DUMMYFUNCTION("VLOOKUP(M563,IMPORTRANGE(""https://docs.google.com/spreadsheets/d/1opm6ZNvGZ7KditA9TuJwrZ25eFLfTNIkrNnY6mhV5Eg"",""list!A1:C115""),3,TRUE)"),"le secteur de la sécurité informatique")</f>
        <v xml:space="preserve">le secteur de la sécurité informatique</v>
      </c>
      <c r="P565" s="4" t="s">
        <v>14804</v>
      </c>
      <c r="R565" s="4" t="s">
        <v>14805</v>
      </c>
      <c r="S565" s="4" t="s">
        <v>9160</v>
      </c>
      <c r="T565" s="4" t="s">
        <v>29</v>
      </c>
      <c r="U565" s="5" t="s">
        <v>14806</v>
      </c>
      <c r="V565" s="5" t="s">
        <v>14807</v>
      </c>
      <c r="W565" s="5" t="s">
        <v>14808</v>
      </c>
      <c r="X565" s="6"/>
      <c r="Y565" s="6"/>
      <c r="Z565" s="4" t="s">
        <v>14809</v>
      </c>
      <c r="AA565" s="6"/>
      <c r="AB565" s="5" t="s">
        <v>14810</v>
      </c>
    </row>
    <row r="566" ht="14.25">
      <c r="A566" s="4" t="s">
        <v>14812</v>
      </c>
      <c r="B566" s="4" t="s">
        <v>5579</v>
      </c>
      <c r="C566" s="4" t="s">
        <v>14814</v>
      </c>
      <c r="F566" s="4" t="s">
        <v>14813</v>
      </c>
      <c r="G566" s="4">
        <v>12</v>
      </c>
      <c r="H566" s="4" t="s">
        <v>14815</v>
      </c>
      <c r="I566" s="4" t="str">
        <f>IFERROR(__XLUDF.DUMMYFUNCTION("PROPER(REGEXREPLACE(G564,""[^A-Za-z]+ "",""""))"),"Fastor Gie")</f>
        <v xml:space="preserve">Fastor Gie</v>
      </c>
      <c r="J566" s="5" t="s">
        <v>14816</v>
      </c>
      <c r="K566" s="4" t="s">
        <v>14817</v>
      </c>
      <c r="L566" s="4" t="s">
        <v>9226</v>
      </c>
      <c r="M566" s="4" t="s">
        <v>29</v>
      </c>
      <c r="N566" s="4" t="s">
        <v>2602</v>
      </c>
      <c r="O566" s="4" t="str">
        <f>IFERROR(__XLUDF.DUMMYFUNCTION("VLOOKUP(M564,IMPORTRANGE(""https://docs.google.com/spreadsheets/d/1opm6ZNvGZ7KditA9TuJwrZ25eFLfTNIkrNnY6mhV5Eg"",""list!A1:C115""),3,TRUE)"),"le secteur de la tech")</f>
        <v xml:space="preserve">le secteur de la tech</v>
      </c>
      <c r="P566" s="6"/>
      <c r="R566" s="4" t="s">
        <v>14817</v>
      </c>
      <c r="S566" s="4" t="s">
        <v>9226</v>
      </c>
      <c r="T566" s="4" t="s">
        <v>29</v>
      </c>
      <c r="U566" s="5" t="s">
        <v>14818</v>
      </c>
      <c r="V566" s="6"/>
      <c r="W566" s="6"/>
      <c r="X566" s="6"/>
      <c r="Y566" s="6"/>
      <c r="Z566" s="4" t="s">
        <v>14819</v>
      </c>
      <c r="AA566" s="6"/>
      <c r="AB566" s="5" t="s">
        <v>14820</v>
      </c>
    </row>
    <row r="567" ht="14.25">
      <c r="A567" s="4" t="s">
        <v>14822</v>
      </c>
      <c r="B567" s="4" t="s">
        <v>3142</v>
      </c>
      <c r="C567" s="4" t="s">
        <v>14824</v>
      </c>
      <c r="F567" s="4" t="s">
        <v>14823</v>
      </c>
      <c r="G567" s="4">
        <v>38</v>
      </c>
      <c r="H567" s="4" t="s">
        <v>14825</v>
      </c>
      <c r="I567" s="4" t="str">
        <f>IFERROR(__XLUDF.DUMMYFUNCTION("PROPER(REGEXREPLACE(G565,""[^A-Za-z]+ "",""""))"),"Tds Global Technologiescyber Networksecurity Talent Profiler")</f>
        <v xml:space="preserve">Tds Global Technologiescyber Networksecurity Talent Profiler</v>
      </c>
      <c r="J567" s="5" t="s">
        <v>14826</v>
      </c>
      <c r="K567" s="4" t="s">
        <v>39</v>
      </c>
      <c r="L567" s="4" t="s">
        <v>9160</v>
      </c>
      <c r="M567" s="4" t="s">
        <v>29</v>
      </c>
      <c r="N567" s="4" t="s">
        <v>2602</v>
      </c>
      <c r="O567" s="4" t="str">
        <f>IFERROR(__XLUDF.DUMMYFUNCTION("VLOOKUP(M565,IMPORTRANGE(""https://docs.google.com/spreadsheets/d/1opm6ZNvGZ7KditA9TuJwrZ25eFLfTNIkrNnY6mhV5Eg"",""list!A1:C115""),3,TRUE)"),"le secteur de la tech")</f>
        <v xml:space="preserve">le secteur de la tech</v>
      </c>
      <c r="P567" s="6"/>
      <c r="R567" s="4" t="s">
        <v>8537</v>
      </c>
      <c r="S567" s="4" t="s">
        <v>9160</v>
      </c>
      <c r="T567" s="4" t="s">
        <v>29</v>
      </c>
      <c r="U567" s="5" t="s">
        <v>14827</v>
      </c>
      <c r="V567" s="6"/>
      <c r="W567" s="6"/>
      <c r="X567" s="6"/>
      <c r="Y567" s="6"/>
      <c r="Z567" s="4" t="s">
        <v>14828</v>
      </c>
      <c r="AA567" s="6"/>
      <c r="AB567" s="5" t="s">
        <v>14829</v>
      </c>
    </row>
    <row r="568" ht="14.25">
      <c r="A568" s="4" t="s">
        <v>14831</v>
      </c>
      <c r="B568" s="4" t="s">
        <v>3142</v>
      </c>
      <c r="C568" s="4" t="s">
        <v>112</v>
      </c>
      <c r="F568" s="4" t="s">
        <v>14832</v>
      </c>
      <c r="G568" s="4">
        <v>10</v>
      </c>
      <c r="H568" s="4" t="s">
        <v>14833</v>
      </c>
      <c r="I568" s="4" t="str">
        <f>IFERROR(__XLUDF.DUMMYFUNCTION("PROPER(REGEXREPLACE(G566,""[^A-Za-z]+ "",""""))"),"Vialcom Retail Solution")</f>
        <v xml:space="preserve">Vialcom Retail Solution</v>
      </c>
      <c r="J568" s="5" t="s">
        <v>14834</v>
      </c>
      <c r="K568" s="4" t="s">
        <v>9967</v>
      </c>
      <c r="L568" s="4" t="s">
        <v>9160</v>
      </c>
      <c r="M568" s="4" t="s">
        <v>29</v>
      </c>
      <c r="N568" s="4" t="s">
        <v>9239</v>
      </c>
      <c r="O568" s="4" t="str">
        <f>IFERROR(__XLUDF.DUMMYFUNCTION("VLOOKUP(M566,IMPORTRANGE(""https://docs.google.com/spreadsheets/d/1opm6ZNvGZ7KditA9TuJwrZ25eFLfTNIkrNnY6mhV5Eg"",""list!A1:C115""),3,TRUE)"),"le secteur de la construction")</f>
        <v xml:space="preserve">le secteur de la construction</v>
      </c>
      <c r="P568" s="4" t="s">
        <v>14835</v>
      </c>
      <c r="R568" s="4" t="s">
        <v>2110</v>
      </c>
      <c r="S568" s="4" t="s">
        <v>9160</v>
      </c>
      <c r="T568" s="4" t="s">
        <v>29</v>
      </c>
      <c r="U568" s="5" t="s">
        <v>14836</v>
      </c>
      <c r="V568" s="6"/>
      <c r="W568" s="6"/>
      <c r="X568" s="6"/>
      <c r="Y568" s="6"/>
      <c r="Z568" s="4" t="s">
        <v>14837</v>
      </c>
      <c r="AA568" s="6"/>
      <c r="AB568" s="5" t="s">
        <v>14838</v>
      </c>
    </row>
    <row r="569" ht="14.25">
      <c r="A569" s="4" t="s">
        <v>10222</v>
      </c>
      <c r="B569" s="4" t="s">
        <v>5873</v>
      </c>
      <c r="C569" s="4" t="s">
        <v>14841</v>
      </c>
      <c r="F569" s="4" t="s">
        <v>14840</v>
      </c>
      <c r="G569" s="4">
        <v>12</v>
      </c>
      <c r="H569" s="4" t="s">
        <v>14842</v>
      </c>
      <c r="I569" s="4" t="str">
        <f>IFERROR(__XLUDF.DUMMYFUNCTION("PROPER(REGEXREPLACE(G567,""[^A-Za-z]+ "",""""))"),"Maisons Mag")</f>
        <v xml:space="preserve">Maisons Mag</v>
      </c>
      <c r="J569" s="5" t="s">
        <v>14843</v>
      </c>
      <c r="K569" s="4" t="s">
        <v>11355</v>
      </c>
      <c r="L569" s="4" t="s">
        <v>9193</v>
      </c>
      <c r="M569" s="4" t="s">
        <v>29</v>
      </c>
      <c r="N569" s="4" t="s">
        <v>9239</v>
      </c>
      <c r="O569" s="4" t="str">
        <f>IFERROR(__XLUDF.DUMMYFUNCTION("VLOOKUP(M567,IMPORTRANGE(""https://docs.google.com/spreadsheets/d/1opm6ZNvGZ7KditA9TuJwrZ25eFLfTNIkrNnY6mhV5Eg"",""list!A1:C115""),3,TRUE)"),"le secteur de la construction")</f>
        <v xml:space="preserve">le secteur de la construction</v>
      </c>
      <c r="P569" s="4" t="s">
        <v>14844</v>
      </c>
      <c r="R569" s="4" t="s">
        <v>14845</v>
      </c>
      <c r="S569" s="4" t="s">
        <v>9193</v>
      </c>
      <c r="T569" s="4" t="s">
        <v>29</v>
      </c>
      <c r="U569" s="5" t="s">
        <v>14846</v>
      </c>
      <c r="V569" s="6"/>
      <c r="W569" s="5" t="s">
        <v>14847</v>
      </c>
      <c r="X569" s="6"/>
      <c r="Y569" s="6"/>
      <c r="Z569" s="4" t="s">
        <v>14848</v>
      </c>
      <c r="AA569" s="6"/>
      <c r="AB569" s="5" t="s">
        <v>14849</v>
      </c>
    </row>
    <row r="570" ht="14.25">
      <c r="A570" s="4" t="s">
        <v>14852</v>
      </c>
      <c r="B570" s="4" t="s">
        <v>14851</v>
      </c>
      <c r="C570" s="4" t="s">
        <v>112</v>
      </c>
      <c r="F570" s="4" t="s">
        <v>14853</v>
      </c>
      <c r="G570" s="4">
        <v>11</v>
      </c>
      <c r="H570" s="4" t="s">
        <v>14854</v>
      </c>
      <c r="I570" s="4" t="str">
        <f>IFERROR(__XLUDF.DUMMYFUNCTION("PROPER(REGEXREPLACE(G568,""[^A-Za-z]+ "",""""))"),"Groupe D'Ingénierie")</f>
        <v xml:space="preserve">Groupe D'Ingénierie</v>
      </c>
      <c r="J570" s="5" t="s">
        <v>14855</v>
      </c>
      <c r="K570" s="4" t="s">
        <v>39</v>
      </c>
      <c r="L570" s="4" t="s">
        <v>9160</v>
      </c>
      <c r="M570" s="4" t="s">
        <v>29</v>
      </c>
      <c r="N570" s="4" t="s">
        <v>9239</v>
      </c>
      <c r="O570" s="4" t="str">
        <f>IFERROR(__XLUDF.DUMMYFUNCTION("VLOOKUP(M568,IMPORTRANGE(""https://docs.google.com/spreadsheets/d/1opm6ZNvGZ7KditA9TuJwrZ25eFLfTNIkrNnY6mhV5Eg"",""list!A1:C115""),3,TRUE)"),"le secteur de la construction")</f>
        <v xml:space="preserve">le secteur de la construction</v>
      </c>
      <c r="P570" s="4" t="s">
        <v>14856</v>
      </c>
      <c r="R570" s="4" t="s">
        <v>39</v>
      </c>
      <c r="S570" s="4" t="s">
        <v>9160</v>
      </c>
      <c r="T570" s="4" t="s">
        <v>29</v>
      </c>
      <c r="U570" s="5" t="s">
        <v>14857</v>
      </c>
      <c r="V570" s="6"/>
      <c r="W570" s="6"/>
      <c r="X570" s="6"/>
      <c r="Y570" s="6"/>
      <c r="Z570" s="4" t="s">
        <v>14858</v>
      </c>
      <c r="AA570" s="6"/>
      <c r="AB570" s="5" t="s">
        <v>14859</v>
      </c>
    </row>
    <row r="571" ht="14.25">
      <c r="A571" s="4" t="s">
        <v>14861</v>
      </c>
      <c r="B571" s="4" t="s">
        <v>2119</v>
      </c>
      <c r="C571" s="4" t="s">
        <v>7759</v>
      </c>
      <c r="F571" s="4" t="s">
        <v>14862</v>
      </c>
      <c r="G571" s="4">
        <v>25</v>
      </c>
      <c r="H571" s="4" t="s">
        <v>14863</v>
      </c>
      <c r="I571" s="4" t="str">
        <f>IFERROR(__XLUDF.DUMMYFUNCTION("PROPER(REGEXREPLACE(G569,""[^A-Za-z]+ "",""""))"),"Widip Sas")</f>
        <v xml:space="preserve">Widip Sas</v>
      </c>
      <c r="J571" s="5" t="s">
        <v>14864</v>
      </c>
      <c r="K571" s="4" t="s">
        <v>10050</v>
      </c>
      <c r="L571" s="4" t="s">
        <v>9193</v>
      </c>
      <c r="M571" s="4" t="s">
        <v>29</v>
      </c>
      <c r="N571" s="4" t="s">
        <v>2602</v>
      </c>
      <c r="O571" s="4" t="str">
        <f>IFERROR(__XLUDF.DUMMYFUNCTION("VLOOKUP(M569,IMPORTRANGE(""https://docs.google.com/spreadsheets/d/1opm6ZNvGZ7KditA9TuJwrZ25eFLfTNIkrNnY6mhV5Eg"",""list!A1:C115""),3,TRUE)"),"le secteur de la tech")</f>
        <v xml:space="preserve">le secteur de la tech</v>
      </c>
      <c r="P571" s="4" t="s">
        <v>14865</v>
      </c>
      <c r="R571" s="4" t="s">
        <v>14784</v>
      </c>
      <c r="S571" s="4" t="s">
        <v>9193</v>
      </c>
      <c r="T571" s="4" t="s">
        <v>29</v>
      </c>
      <c r="U571" s="5" t="s">
        <v>14866</v>
      </c>
      <c r="V571" s="6"/>
      <c r="W571" s="5" t="s">
        <v>14867</v>
      </c>
      <c r="X571" s="6"/>
      <c r="Y571" s="6"/>
      <c r="Z571" s="4" t="s">
        <v>14868</v>
      </c>
      <c r="AA571" s="6"/>
      <c r="AB571" s="5" t="s">
        <v>14869</v>
      </c>
    </row>
    <row r="572" ht="14.25">
      <c r="A572" s="4" t="s">
        <v>3165</v>
      </c>
      <c r="B572" s="4" t="s">
        <v>14871</v>
      </c>
      <c r="C572" s="4" t="s">
        <v>14873</v>
      </c>
      <c r="F572" s="4" t="s">
        <v>14872</v>
      </c>
      <c r="G572" s="4">
        <v>15</v>
      </c>
      <c r="H572" s="4" t="s">
        <v>14874</v>
      </c>
      <c r="I572" s="4" t="str">
        <f>IFERROR(__XLUDF.DUMMYFUNCTION("PROPER(REGEXREPLACE(G570,""[^A-Za-z]+ "",""""))"),"Cqs")</f>
        <v>Cqs</v>
      </c>
      <c r="J572" s="5" t="s">
        <v>14875</v>
      </c>
      <c r="K572" s="4" t="s">
        <v>49</v>
      </c>
      <c r="L572" s="4" t="s">
        <v>9251</v>
      </c>
      <c r="M572" s="4" t="s">
        <v>29</v>
      </c>
      <c r="N572" s="4" t="s">
        <v>4067</v>
      </c>
      <c r="O572" s="4" t="str">
        <f>IFERROR(__XLUDF.DUMMYFUNCTION("VLOOKUP(M570,IMPORTRANGE(""https://docs.google.com/spreadsheets/d/1opm6ZNvGZ7KditA9TuJwrZ25eFLfTNIkrNnY6mhV5Eg"",""list!A1:C115""),3,TRUE)"),"le secteur du conseil en management")</f>
        <v xml:space="preserve">le secteur du conseil en management</v>
      </c>
      <c r="P572" s="4" t="s">
        <v>14876</v>
      </c>
      <c r="R572" s="4" t="s">
        <v>49</v>
      </c>
      <c r="S572" s="4" t="s">
        <v>9251</v>
      </c>
      <c r="T572" s="4" t="s">
        <v>29</v>
      </c>
      <c r="U572" s="5" t="s">
        <v>14877</v>
      </c>
      <c r="V572" s="6"/>
      <c r="W572" s="6"/>
      <c r="X572" s="6"/>
      <c r="Y572" s="6"/>
      <c r="Z572" s="4" t="s">
        <v>14878</v>
      </c>
      <c r="AA572" s="6"/>
      <c r="AB572" s="5" t="s">
        <v>14879</v>
      </c>
    </row>
    <row r="573" ht="14.25">
      <c r="A573" s="4" t="s">
        <v>14881</v>
      </c>
      <c r="B573" s="4" t="s">
        <v>3002</v>
      </c>
      <c r="C573" s="4" t="s">
        <v>9849</v>
      </c>
      <c r="F573" s="4" t="s">
        <v>14882</v>
      </c>
      <c r="G573" s="4">
        <v>19</v>
      </c>
      <c r="H573" s="4" t="s">
        <v>14883</v>
      </c>
      <c r="I573" s="4" t="str">
        <f>IFERROR(__XLUDF.DUMMYFUNCTION("PROPER(REGEXREPLACE(G571,""[^A-Za-z]+ "",""""))"),"Novances It")</f>
        <v xml:space="preserve">Novances It</v>
      </c>
      <c r="J573" s="5" t="s">
        <v>14884</v>
      </c>
      <c r="K573" s="4" t="s">
        <v>185</v>
      </c>
      <c r="L573" s="4" t="s">
        <v>9172</v>
      </c>
      <c r="M573" s="4" t="s">
        <v>29</v>
      </c>
      <c r="N573" s="4" t="s">
        <v>9264</v>
      </c>
      <c r="O573" s="4" t="str">
        <f>IFERROR(__XLUDF.DUMMYFUNCTION("VLOOKUP(M571,IMPORTRANGE(""https://docs.google.com/spreadsheets/d/1opm6ZNvGZ7KditA9TuJwrZ25eFLfTNIkrNnY6mhV5Eg"",""list!A1:C115""),3,TRUE)"),"le secteur de la sécurité informatique")</f>
        <v xml:space="preserve">le secteur de la sécurité informatique</v>
      </c>
      <c r="P573" s="4" t="s">
        <v>14885</v>
      </c>
      <c r="R573" s="4" t="s">
        <v>14886</v>
      </c>
      <c r="S573" s="4" t="s">
        <v>9193</v>
      </c>
      <c r="T573" s="4" t="s">
        <v>29</v>
      </c>
      <c r="U573" s="5" t="s">
        <v>14887</v>
      </c>
      <c r="V573" s="5" t="s">
        <v>14888</v>
      </c>
      <c r="W573" s="6"/>
      <c r="X573" s="6"/>
      <c r="Y573" s="6"/>
      <c r="Z573" s="4" t="s">
        <v>14889</v>
      </c>
      <c r="AA573" s="6"/>
      <c r="AB573" s="5" t="s">
        <v>14890</v>
      </c>
    </row>
    <row r="574" ht="14.25">
      <c r="A574" s="4" t="s">
        <v>14892</v>
      </c>
      <c r="B574" s="4" t="s">
        <v>2119</v>
      </c>
      <c r="C574" s="4" t="s">
        <v>7759</v>
      </c>
      <c r="F574" s="4" t="s">
        <v>14893</v>
      </c>
      <c r="G574" s="4">
        <v>37</v>
      </c>
      <c r="H574" s="4" t="s">
        <v>14894</v>
      </c>
      <c r="I574" s="4" t="str">
        <f>IFERROR(__XLUDF.DUMMYFUNCTION("PROPER(REGEXREPLACE(G572,""[^A-Za-z]+ "",""""))"),"Groupe Schubel")</f>
        <v xml:space="preserve">Groupe Schubel</v>
      </c>
      <c r="J574" s="5" t="s">
        <v>14895</v>
      </c>
      <c r="K574" s="4" t="s">
        <v>39</v>
      </c>
      <c r="L574" s="4" t="s">
        <v>9160</v>
      </c>
      <c r="M574" s="4" t="s">
        <v>29</v>
      </c>
      <c r="N574" s="4" t="s">
        <v>9239</v>
      </c>
      <c r="O574" s="4" t="str">
        <f>IFERROR(__XLUDF.DUMMYFUNCTION("VLOOKUP(M572,IMPORTRANGE(""https://docs.google.com/spreadsheets/d/1opm6ZNvGZ7KditA9TuJwrZ25eFLfTNIkrNnY6mhV5Eg"",""list!A1:C115""),3,TRUE)"),"le secteur de la construction")</f>
        <v xml:space="preserve">le secteur de la construction</v>
      </c>
      <c r="P574" s="4" t="s">
        <v>14896</v>
      </c>
      <c r="R574" s="6"/>
      <c r="S574" s="4" t="s">
        <v>9160</v>
      </c>
      <c r="T574" s="4" t="s">
        <v>29</v>
      </c>
      <c r="U574" s="5" t="s">
        <v>14897</v>
      </c>
      <c r="V574" s="6"/>
      <c r="W574" s="6"/>
      <c r="X574" s="6"/>
      <c r="Y574" s="6"/>
      <c r="Z574" s="4" t="s">
        <v>14898</v>
      </c>
      <c r="AA574" s="6"/>
      <c r="AB574" s="5" t="s">
        <v>14899</v>
      </c>
    </row>
    <row r="575" ht="14.25">
      <c r="A575" s="4" t="s">
        <v>14901</v>
      </c>
      <c r="B575" s="4" t="s">
        <v>4012</v>
      </c>
      <c r="C575" s="4" t="s">
        <v>112</v>
      </c>
      <c r="F575" s="4" t="s">
        <v>14902</v>
      </c>
      <c r="G575" s="4">
        <v>17</v>
      </c>
      <c r="H575" s="4" t="s">
        <v>14903</v>
      </c>
      <c r="I575" s="4" t="str">
        <f>IFERROR(__XLUDF.DUMMYFUNCTION("PROPER(REGEXREPLACE(G573,""[^A-Za-z]+ "",""""))"),"Tnt")</f>
        <v>Tnt</v>
      </c>
      <c r="J575" s="5" t="s">
        <v>14904</v>
      </c>
      <c r="K575" s="4" t="s">
        <v>295</v>
      </c>
      <c r="L575" s="4" t="s">
        <v>9251</v>
      </c>
      <c r="M575" s="4" t="s">
        <v>29</v>
      </c>
      <c r="N575" s="4" t="s">
        <v>9184</v>
      </c>
      <c r="O575" s="4" t="str">
        <f>IFERROR(__XLUDF.DUMMYFUNCTION("VLOOKUP(M573,IMPORTRANGE(""https://docs.google.com/spreadsheets/d/1opm6ZNvGZ7KditA9TuJwrZ25eFLfTNIkrNnY6mhV5Eg"",""list!A1:C115""),3,TRUE)"),"le secteur des télécommunications")</f>
        <v xml:space="preserve">le secteur des télécommunications</v>
      </c>
      <c r="P575" s="4" t="s">
        <v>14905</v>
      </c>
      <c r="R575" s="4" t="s">
        <v>7965</v>
      </c>
      <c r="S575" s="4" t="s">
        <v>9251</v>
      </c>
      <c r="T575" s="4" t="s">
        <v>29</v>
      </c>
      <c r="U575" s="5" t="s">
        <v>14906</v>
      </c>
      <c r="V575" s="6"/>
      <c r="W575" s="5" t="s">
        <v>14907</v>
      </c>
      <c r="X575" s="6"/>
      <c r="Y575" s="6"/>
      <c r="Z575" s="4" t="s">
        <v>14908</v>
      </c>
      <c r="AA575" s="6"/>
      <c r="AB575" s="5" t="s">
        <v>14909</v>
      </c>
    </row>
    <row r="576" ht="14.25">
      <c r="A576" s="4" t="s">
        <v>14911</v>
      </c>
      <c r="B576" s="4" t="s">
        <v>5951</v>
      </c>
      <c r="C576" s="4" t="s">
        <v>112</v>
      </c>
      <c r="F576" s="4" t="s">
        <v>14912</v>
      </c>
      <c r="G576" s="4">
        <v>19</v>
      </c>
      <c r="H576" s="4" t="s">
        <v>14913</v>
      </c>
      <c r="I576" s="4" t="str">
        <f>IFERROR(__XLUDF.DUMMYFUNCTION("PROPER(REGEXREPLACE(G574,""[^A-Za-z]+ "",""""))"),"Ocamlpro")</f>
        <v>Ocamlpro</v>
      </c>
      <c r="J576" s="5" t="s">
        <v>14914</v>
      </c>
      <c r="K576" s="4" t="s">
        <v>39</v>
      </c>
      <c r="L576" s="4" t="s">
        <v>9160</v>
      </c>
      <c r="M576" s="4" t="s">
        <v>29</v>
      </c>
      <c r="N576" s="4" t="s">
        <v>2602</v>
      </c>
      <c r="O576" s="4" t="str">
        <f>IFERROR(__XLUDF.DUMMYFUNCTION("VLOOKUP(M574,IMPORTRANGE(""https://docs.google.com/spreadsheets/d/1opm6ZNvGZ7KditA9TuJwrZ25eFLfTNIkrNnY6mhV5Eg"",""list!A1:C115""),3,TRUE)"),"le secteur de la tech")</f>
        <v xml:space="preserve">le secteur de la tech</v>
      </c>
      <c r="P576" s="4" t="s">
        <v>14915</v>
      </c>
      <c r="R576" s="4" t="s">
        <v>39</v>
      </c>
      <c r="S576" s="4" t="s">
        <v>9160</v>
      </c>
      <c r="T576" s="4" t="s">
        <v>29</v>
      </c>
      <c r="U576" s="5" t="s">
        <v>14916</v>
      </c>
      <c r="V576" s="5" t="s">
        <v>14917</v>
      </c>
      <c r="W576" s="5" t="s">
        <v>14918</v>
      </c>
      <c r="X576" s="6"/>
      <c r="Y576" s="6"/>
      <c r="Z576" s="4" t="s">
        <v>14919</v>
      </c>
      <c r="AA576" s="6"/>
      <c r="AB576" s="5" t="s">
        <v>14920</v>
      </c>
    </row>
    <row r="577" ht="14.25">
      <c r="A577" s="4" t="s">
        <v>14922</v>
      </c>
      <c r="B577" s="4" t="s">
        <v>2119</v>
      </c>
      <c r="C577" s="4" t="s">
        <v>341</v>
      </c>
      <c r="F577" s="4" t="s">
        <v>14923</v>
      </c>
      <c r="G577" s="4">
        <v>10</v>
      </c>
      <c r="H577" s="4" t="s">
        <v>14924</v>
      </c>
      <c r="I577" s="4" t="str">
        <f>IFERROR(__XLUDF.DUMMYFUNCTION("PROPER(REGEXREPLACE(G575,""[^A-Za-z]+ "",""""))"),"Comin Desk Cybersécuritet Télécoms")</f>
        <v xml:space="preserve">Comin Desk Cybersécuritet Télécoms</v>
      </c>
      <c r="J577" s="5" t="s">
        <v>14925</v>
      </c>
      <c r="K577" s="4" t="s">
        <v>4296</v>
      </c>
      <c r="L577" s="4" t="s">
        <v>9160</v>
      </c>
      <c r="M577" s="4" t="s">
        <v>29</v>
      </c>
      <c r="N577" s="4" t="s">
        <v>2602</v>
      </c>
      <c r="O577" s="4" t="str">
        <f>IFERROR(__XLUDF.DUMMYFUNCTION("VLOOKUP(M575,IMPORTRANGE(""https://docs.google.com/spreadsheets/d/1opm6ZNvGZ7KditA9TuJwrZ25eFLfTNIkrNnY6mhV5Eg"",""list!A1:C115""),3,TRUE)"),"le secteur de la tech")</f>
        <v xml:space="preserve">le secteur de la tech</v>
      </c>
      <c r="P577" s="4" t="s">
        <v>14926</v>
      </c>
      <c r="R577" s="4" t="s">
        <v>14927</v>
      </c>
      <c r="S577" s="4" t="s">
        <v>9160</v>
      </c>
      <c r="T577" s="4" t="s">
        <v>29</v>
      </c>
      <c r="U577" s="5" t="s">
        <v>14928</v>
      </c>
      <c r="V577" s="6"/>
      <c r="W577" s="6"/>
      <c r="X577" s="6"/>
      <c r="Y577" s="6"/>
      <c r="Z577" s="4" t="s">
        <v>14929</v>
      </c>
      <c r="AA577" s="6"/>
      <c r="AB577" s="5" t="s">
        <v>14930</v>
      </c>
    </row>
    <row r="578" ht="14.25">
      <c r="A578" s="4" t="s">
        <v>14932</v>
      </c>
      <c r="B578" s="4" t="s">
        <v>110</v>
      </c>
      <c r="C578" s="4" t="s">
        <v>7759</v>
      </c>
      <c r="F578" s="4" t="s">
        <v>14933</v>
      </c>
      <c r="G578" s="4">
        <v>33</v>
      </c>
      <c r="H578" s="4" t="s">
        <v>14934</v>
      </c>
      <c r="I578" s="4" t="str">
        <f>IFERROR(__XLUDF.DUMMYFUNCTION("PROPER(REGEXREPLACE(G576,""[^A-Za-z]+ "",""""))"),"Georgeault")</f>
        <v>Georgeault</v>
      </c>
      <c r="J578" s="5" t="s">
        <v>14935</v>
      </c>
      <c r="K578" s="4" t="s">
        <v>14936</v>
      </c>
      <c r="L578" s="4" t="s">
        <v>9227</v>
      </c>
      <c r="M578" s="4" t="s">
        <v>29</v>
      </c>
      <c r="N578" s="4" t="s">
        <v>9239</v>
      </c>
      <c r="O578" s="4" t="str">
        <f>IFERROR(__XLUDF.DUMMYFUNCTION("VLOOKUP(M576,IMPORTRANGE(""https://docs.google.com/spreadsheets/d/1opm6ZNvGZ7KditA9TuJwrZ25eFLfTNIkrNnY6mhV5Eg"",""list!A1:C115""),3,TRUE)"),"le secteur de la construction")</f>
        <v xml:space="preserve">le secteur de la construction</v>
      </c>
      <c r="P578" s="4" t="s">
        <v>14937</v>
      </c>
      <c r="R578" s="4" t="s">
        <v>14936</v>
      </c>
      <c r="S578" s="4" t="s">
        <v>9227</v>
      </c>
      <c r="T578" s="4" t="s">
        <v>29</v>
      </c>
      <c r="U578" s="5" t="s">
        <v>14938</v>
      </c>
      <c r="V578" s="6"/>
      <c r="W578" s="6"/>
      <c r="X578" s="6"/>
      <c r="Y578" s="6"/>
      <c r="Z578" s="4" t="s">
        <v>14939</v>
      </c>
      <c r="AA578" s="6"/>
      <c r="AB578" s="5" t="s">
        <v>14940</v>
      </c>
    </row>
    <row r="579" ht="14.25">
      <c r="A579" s="4" t="s">
        <v>14943</v>
      </c>
      <c r="B579" s="4" t="s">
        <v>14942</v>
      </c>
      <c r="C579" s="4" t="s">
        <v>2636</v>
      </c>
      <c r="F579" s="4" t="s">
        <v>14944</v>
      </c>
      <c r="G579" s="4">
        <v>12</v>
      </c>
      <c r="H579" s="4" t="s">
        <v>14945</v>
      </c>
      <c r="I579" s="4" t="str">
        <f>IFERROR(__XLUDF.DUMMYFUNCTION("PROPER(REGEXREPLACE(G577,""[^A-Za-z]+ "",""""))"),"Trust Id")</f>
        <v xml:space="preserve">Trust Id</v>
      </c>
      <c r="J579" s="5" t="s">
        <v>14946</v>
      </c>
      <c r="K579" s="4" t="s">
        <v>14947</v>
      </c>
      <c r="L579" s="4" t="s">
        <v>9160</v>
      </c>
      <c r="M579" s="4" t="s">
        <v>29</v>
      </c>
      <c r="N579" s="4" t="s">
        <v>2602</v>
      </c>
      <c r="O579" s="4" t="str">
        <f>IFERROR(__XLUDF.DUMMYFUNCTION("VLOOKUP(M577,IMPORTRANGE(""https://docs.google.com/spreadsheets/d/1opm6ZNvGZ7KditA9TuJwrZ25eFLfTNIkrNnY6mhV5Eg"",""list!A1:C115""),3,TRUE)"),"le secteur de la tech")</f>
        <v xml:space="preserve">le secteur de la tech</v>
      </c>
      <c r="P579" s="6"/>
      <c r="R579" s="4" t="s">
        <v>14947</v>
      </c>
      <c r="S579" s="4" t="s">
        <v>9160</v>
      </c>
      <c r="T579" s="4" t="s">
        <v>29</v>
      </c>
      <c r="U579" s="5" t="s">
        <v>14948</v>
      </c>
      <c r="V579" s="5" t="s">
        <v>14949</v>
      </c>
      <c r="W579" s="6"/>
      <c r="X579" s="6"/>
      <c r="Y579" s="6"/>
      <c r="Z579" s="4" t="s">
        <v>14950</v>
      </c>
      <c r="AA579" s="6"/>
      <c r="AB579" s="5" t="s">
        <v>14951</v>
      </c>
    </row>
    <row r="580" ht="14.25">
      <c r="A580" s="4" t="s">
        <v>6037</v>
      </c>
      <c r="B580" s="4" t="s">
        <v>110</v>
      </c>
      <c r="C580" s="4" t="s">
        <v>14954</v>
      </c>
      <c r="F580" s="4" t="s">
        <v>14953</v>
      </c>
      <c r="G580" s="4">
        <v>10</v>
      </c>
      <c r="H580" s="4" t="s">
        <v>14955</v>
      </c>
      <c r="I580" s="4" t="str">
        <f>IFERROR(__XLUDF.DUMMYFUNCTION("PROPER(REGEXREPLACE(G578,""[^A-Za-z]+ "",""""))"),"Panicentre")</f>
        <v>Panicentre</v>
      </c>
      <c r="J580" s="5" t="s">
        <v>14956</v>
      </c>
      <c r="K580" s="4" t="s">
        <v>14957</v>
      </c>
      <c r="L580" s="4" t="s">
        <v>9798</v>
      </c>
      <c r="M580" s="4" t="s">
        <v>29</v>
      </c>
      <c r="N580" s="4" t="s">
        <v>4525</v>
      </c>
      <c r="O580" s="4" t="str">
        <f>IFERROR(__XLUDF.DUMMYFUNCTION("VLOOKUP(M578,IMPORTRANGE(""https://docs.google.com/spreadsheets/d/1opm6ZNvGZ7KditA9TuJwrZ25eFLfTNIkrNnY6mhV5Eg"",""list!A1:C115""),3,TRUE)"),"le secteur du retail")</f>
        <v xml:space="preserve">le secteur du retail</v>
      </c>
      <c r="P580" s="4" t="s">
        <v>14958</v>
      </c>
      <c r="R580" s="4" t="s">
        <v>14957</v>
      </c>
      <c r="S580" s="4" t="s">
        <v>10736</v>
      </c>
      <c r="T580" s="4" t="s">
        <v>29</v>
      </c>
      <c r="U580" s="5" t="s">
        <v>14959</v>
      </c>
      <c r="V580" s="6"/>
      <c r="W580" s="5" t="s">
        <v>14960</v>
      </c>
      <c r="X580" s="6"/>
      <c r="Y580" s="6"/>
      <c r="Z580" s="4" t="s">
        <v>14961</v>
      </c>
      <c r="AA580" s="6"/>
      <c r="AB580" s="5" t="s">
        <v>14962</v>
      </c>
    </row>
    <row r="581" ht="14.25">
      <c r="A581" s="4" t="s">
        <v>14965</v>
      </c>
      <c r="B581" s="4" t="s">
        <v>14964</v>
      </c>
      <c r="C581" s="4" t="s">
        <v>112</v>
      </c>
      <c r="F581" s="4" t="s">
        <v>14966</v>
      </c>
      <c r="G581" s="4">
        <v>10</v>
      </c>
      <c r="H581" s="4" t="s">
        <v>14967</v>
      </c>
      <c r="I581" s="4" t="str">
        <f>IFERROR(__XLUDF.DUMMYFUNCTION("PROPER(REGEXREPLACE(G579,""[^A-Za-z]+ "",""""))"),"Izaktech")</f>
        <v>Izaktech</v>
      </c>
      <c r="J581" s="5" t="s">
        <v>14968</v>
      </c>
      <c r="K581" s="4" t="s">
        <v>185</v>
      </c>
      <c r="L581" s="4" t="s">
        <v>9193</v>
      </c>
      <c r="M581" s="4" t="s">
        <v>29</v>
      </c>
      <c r="N581" s="4" t="s">
        <v>4525</v>
      </c>
      <c r="O581" s="4" t="str">
        <f>IFERROR(__XLUDF.DUMMYFUNCTION("VLOOKUP(M579,IMPORTRANGE(""https://docs.google.com/spreadsheets/d/1opm6ZNvGZ7KditA9TuJwrZ25eFLfTNIkrNnY6mhV5Eg"",""list!A1:C115""),3,TRUE)"),"le secteur du retail")</f>
        <v xml:space="preserve">le secteur du retail</v>
      </c>
      <c r="P581" s="6"/>
      <c r="R581" s="4" t="s">
        <v>14969</v>
      </c>
      <c r="S581" s="4" t="s">
        <v>9193</v>
      </c>
      <c r="T581" s="4" t="s">
        <v>29</v>
      </c>
      <c r="U581" s="5" t="s">
        <v>14970</v>
      </c>
      <c r="V581" s="6"/>
      <c r="W581" s="6"/>
      <c r="X581" s="6"/>
      <c r="Y581" s="6"/>
      <c r="Z581" s="4" t="s">
        <v>14971</v>
      </c>
      <c r="AA581" s="6"/>
      <c r="AB581" s="5" t="s">
        <v>14972</v>
      </c>
    </row>
    <row r="582" ht="14.25">
      <c r="A582" s="4" t="s">
        <v>14974</v>
      </c>
      <c r="B582" s="4" t="s">
        <v>110</v>
      </c>
      <c r="C582" s="4" t="s">
        <v>9849</v>
      </c>
      <c r="F582" s="4" t="s">
        <v>14975</v>
      </c>
      <c r="G582" s="4">
        <v>13</v>
      </c>
      <c r="H582" s="4" t="s">
        <v>14976</v>
      </c>
      <c r="I582" s="4" t="str">
        <f>IFERROR(__XLUDF.DUMMYFUNCTION("PROPER(REGEXREPLACE(G580,""[^A-Za-z]+ "",""""))"),"Tpb Flooring France")</f>
        <v xml:space="preserve">Tpb Flooring France</v>
      </c>
      <c r="J582" s="5" t="s">
        <v>14977</v>
      </c>
      <c r="K582" s="4" t="s">
        <v>14978</v>
      </c>
      <c r="L582" s="4" t="s">
        <v>9215</v>
      </c>
      <c r="M582" s="4" t="s">
        <v>29</v>
      </c>
      <c r="N582" s="4" t="s">
        <v>9239</v>
      </c>
      <c r="O582" s="4" t="str">
        <f>IFERROR(__XLUDF.DUMMYFUNCTION("VLOOKUP(M580,IMPORTRANGE(""https://docs.google.com/spreadsheets/d/1opm6ZNvGZ7KditA9TuJwrZ25eFLfTNIkrNnY6mhV5Eg"",""list!A1:C115""),3,TRUE)"),"le secteur de la construction")</f>
        <v xml:space="preserve">le secteur de la construction</v>
      </c>
      <c r="P582" s="6"/>
      <c r="R582" s="4" t="s">
        <v>14979</v>
      </c>
      <c r="S582" s="4" t="s">
        <v>9215</v>
      </c>
      <c r="T582" s="4" t="s">
        <v>29</v>
      </c>
      <c r="U582" s="5" t="s">
        <v>14980</v>
      </c>
      <c r="V582" s="6"/>
      <c r="W582" s="6"/>
      <c r="X582" s="6"/>
      <c r="Y582" s="6"/>
      <c r="Z582" s="4" t="s">
        <v>14981</v>
      </c>
      <c r="AA582" s="6"/>
      <c r="AB582" s="5" t="s">
        <v>14982</v>
      </c>
    </row>
    <row r="583" ht="14.25">
      <c r="A583" s="4" t="s">
        <v>14984</v>
      </c>
      <c r="B583" s="4" t="s">
        <v>14964</v>
      </c>
      <c r="C583" s="4" t="s">
        <v>7759</v>
      </c>
      <c r="F583" s="4" t="s">
        <v>14985</v>
      </c>
      <c r="G583" s="4">
        <v>42</v>
      </c>
      <c r="H583" s="4" t="s">
        <v>14986</v>
      </c>
      <c r="I583" s="4" t="str">
        <f>IFERROR(__XLUDF.DUMMYFUNCTION("PROPER(REGEXREPLACE(G581,""[^A-Za-z]+ "",""""))"),"Framboise Consulting")</f>
        <v xml:space="preserve">Framboise Consulting</v>
      </c>
      <c r="J583" s="4" t="s">
        <v>14987</v>
      </c>
      <c r="K583" s="4" t="s">
        <v>14988</v>
      </c>
      <c r="L583" s="4" t="s">
        <v>9193</v>
      </c>
      <c r="M583" s="4" t="s">
        <v>29</v>
      </c>
      <c r="N583" s="4" t="s">
        <v>4067</v>
      </c>
      <c r="O583" s="4" t="str">
        <f>IFERROR(__XLUDF.DUMMYFUNCTION("VLOOKUP(M581,IMPORTRANGE(""https://docs.google.com/spreadsheets/d/1opm6ZNvGZ7KditA9TuJwrZ25eFLfTNIkrNnY6mhV5Eg"",""list!A1:C115""),3,TRUE)"),"le secteur du conseil en management")</f>
        <v xml:space="preserve">le secteur du conseil en management</v>
      </c>
      <c r="P583" s="4" t="s">
        <v>14989</v>
      </c>
      <c r="R583" s="4" t="s">
        <v>9702</v>
      </c>
      <c r="S583" s="4" t="s">
        <v>9172</v>
      </c>
      <c r="T583" s="4" t="s">
        <v>29</v>
      </c>
      <c r="U583" s="5" t="s">
        <v>14990</v>
      </c>
      <c r="V583" s="6"/>
      <c r="W583" s="6"/>
      <c r="X583" s="6"/>
      <c r="Y583" s="6"/>
      <c r="Z583" s="4" t="s">
        <v>14991</v>
      </c>
      <c r="AA583" s="6"/>
      <c r="AB583" s="5" t="s">
        <v>14992</v>
      </c>
    </row>
    <row r="584" ht="14.25">
      <c r="A584" s="4" t="s">
        <v>14994</v>
      </c>
      <c r="B584" s="4" t="s">
        <v>8660</v>
      </c>
      <c r="C584" s="4" t="s">
        <v>14996</v>
      </c>
      <c r="F584" s="4" t="s">
        <v>14995</v>
      </c>
      <c r="G584" s="4">
        <v>21</v>
      </c>
      <c r="H584" s="4" t="s">
        <v>14997</v>
      </c>
      <c r="I584" s="4" t="str">
        <f>IFERROR(__XLUDF.DUMMYFUNCTION("PROPER(REGEXREPLACE(G582,""[^A-Za-z]+ "",""""))"),"Safari Technologies")</f>
        <v xml:space="preserve">Safari Technologies</v>
      </c>
      <c r="J584" s="5" t="s">
        <v>14998</v>
      </c>
      <c r="K584" s="6"/>
      <c r="L584" s="6"/>
      <c r="M584" s="4" t="s">
        <v>29</v>
      </c>
      <c r="N584" s="4" t="s">
        <v>2602</v>
      </c>
      <c r="O584" s="4" t="str">
        <f>IFERROR(__XLUDF.DUMMYFUNCTION("VLOOKUP(M582,IMPORTRANGE(""https://docs.google.com/spreadsheets/d/1opm6ZNvGZ7KditA9TuJwrZ25eFLfTNIkrNnY6mhV5Eg"",""list!A1:C115""),3,TRUE)"),"le secteur de la tech")</f>
        <v xml:space="preserve">le secteur de la tech</v>
      </c>
      <c r="P584" s="4" t="s">
        <v>14999</v>
      </c>
      <c r="R584" s="4" t="s">
        <v>4009</v>
      </c>
      <c r="S584" s="4" t="s">
        <v>9160</v>
      </c>
      <c r="T584" s="4" t="s">
        <v>29</v>
      </c>
      <c r="U584" s="5" t="s">
        <v>15000</v>
      </c>
      <c r="V584" s="6"/>
      <c r="W584" s="6"/>
      <c r="X584" s="6"/>
      <c r="Y584" s="6"/>
      <c r="Z584" s="4" t="s">
        <v>15001</v>
      </c>
      <c r="AA584" s="6"/>
      <c r="AB584" s="5" t="s">
        <v>15002</v>
      </c>
    </row>
    <row r="585" ht="14.25">
      <c r="A585" s="4" t="s">
        <v>15004</v>
      </c>
      <c r="B585" s="4" t="s">
        <v>5444</v>
      </c>
      <c r="C585" s="4" t="s">
        <v>7759</v>
      </c>
      <c r="F585" s="4" t="s">
        <v>15005</v>
      </c>
      <c r="G585" s="4">
        <v>46</v>
      </c>
      <c r="H585" s="4" t="s">
        <v>15006</v>
      </c>
      <c r="I585" s="4" t="str">
        <f>IFERROR(__XLUDF.DUMMYFUNCTION("PROPER(REGEXREPLACE(G583,""[^A-Za-z]+ "",""""))"),"Klc Construction")</f>
        <v xml:space="preserve">Klc Construction</v>
      </c>
      <c r="J585" s="5" t="s">
        <v>15007</v>
      </c>
      <c r="K585" s="4" t="s">
        <v>39</v>
      </c>
      <c r="L585" s="4" t="s">
        <v>9160</v>
      </c>
      <c r="M585" s="4" t="s">
        <v>29</v>
      </c>
      <c r="N585" s="4" t="s">
        <v>9239</v>
      </c>
      <c r="O585" s="4" t="str">
        <f>IFERROR(__XLUDF.DUMMYFUNCTION("VLOOKUP(M583,IMPORTRANGE(""https://docs.google.com/spreadsheets/d/1opm6ZNvGZ7KditA9TuJwrZ25eFLfTNIkrNnY6mhV5Eg"",""list!A1:C115""),3,TRUE)"),"le secteur de la construction")</f>
        <v xml:space="preserve">le secteur de la construction</v>
      </c>
      <c r="P585" s="4" t="s">
        <v>15008</v>
      </c>
      <c r="R585" s="4" t="s">
        <v>15009</v>
      </c>
      <c r="S585" s="4" t="s">
        <v>9160</v>
      </c>
      <c r="T585" s="4" t="s">
        <v>29</v>
      </c>
      <c r="U585" s="5" t="s">
        <v>15010</v>
      </c>
      <c r="V585" s="6"/>
      <c r="W585" s="6"/>
      <c r="X585" s="6"/>
      <c r="Y585" s="6"/>
      <c r="Z585" s="4" t="s">
        <v>15011</v>
      </c>
      <c r="AA585" s="6"/>
      <c r="AB585" s="5" t="s">
        <v>15012</v>
      </c>
    </row>
    <row r="586" ht="14.25">
      <c r="A586" s="4" t="s">
        <v>15014</v>
      </c>
      <c r="B586" s="4" t="s">
        <v>986</v>
      </c>
      <c r="C586" s="4" t="s">
        <v>7759</v>
      </c>
      <c r="F586" s="4" t="s">
        <v>15015</v>
      </c>
      <c r="G586" s="4">
        <v>15</v>
      </c>
      <c r="H586" s="4" t="s">
        <v>15016</v>
      </c>
      <c r="I586" s="4" t="str">
        <f>IFERROR(__XLUDF.DUMMYFUNCTION("PROPER(REGEXREPLACE(G584,""[^A-Za-z]+ "",""""))"),"Cepelec")</f>
        <v>Cepelec</v>
      </c>
      <c r="J586" s="5" t="s">
        <v>15017</v>
      </c>
      <c r="K586" s="4" t="s">
        <v>15018</v>
      </c>
      <c r="L586" s="4" t="s">
        <v>9193</v>
      </c>
      <c r="M586" s="4" t="s">
        <v>29</v>
      </c>
      <c r="N586" s="4" t="s">
        <v>10215</v>
      </c>
      <c r="O586" s="4" t="str">
        <f>IFERROR(__XLUDF.DUMMYFUNCTION("VLOOKUP(M584,IMPORTRANGE(""https://docs.google.com/spreadsheets/d/1opm6ZNvGZ7KditA9TuJwrZ25eFLfTNIkrNnY6mhV5Eg"",""list!A1:C115""),3,TRUE)"),"le secteur de l'électrique et électronique")</f>
        <v xml:space="preserve">le secteur de l'électrique et électronique</v>
      </c>
      <c r="P586" s="4" t="s">
        <v>15019</v>
      </c>
      <c r="R586" s="4" t="s">
        <v>15018</v>
      </c>
      <c r="S586" s="4" t="s">
        <v>9193</v>
      </c>
      <c r="T586" s="4" t="s">
        <v>29</v>
      </c>
      <c r="U586" s="5" t="s">
        <v>15020</v>
      </c>
      <c r="V586" s="6"/>
      <c r="W586" s="5" t="s">
        <v>15021</v>
      </c>
      <c r="X586" s="6"/>
      <c r="Y586" s="6"/>
      <c r="Z586" s="4" t="s">
        <v>15022</v>
      </c>
      <c r="AA586" s="6"/>
      <c r="AB586" s="5" t="s">
        <v>15023</v>
      </c>
    </row>
    <row r="587" ht="14.25">
      <c r="A587" s="4" t="s">
        <v>15025</v>
      </c>
      <c r="B587" s="4" t="s">
        <v>2909</v>
      </c>
      <c r="C587" s="4" t="s">
        <v>7759</v>
      </c>
      <c r="F587" s="4" t="s">
        <v>15026</v>
      </c>
      <c r="G587" s="4">
        <v>16</v>
      </c>
      <c r="H587" s="4" t="s">
        <v>15027</v>
      </c>
      <c r="I587" s="4" t="str">
        <f>IFERROR(__XLUDF.DUMMYFUNCTION("PROPER(REGEXREPLACE(G585,""[^A-Za-z]+ "",""""))"),"Ty Services")</f>
        <v xml:space="preserve">Ty Services</v>
      </c>
      <c r="J587" s="5" t="s">
        <v>15028</v>
      </c>
      <c r="K587" s="4" t="s">
        <v>15029</v>
      </c>
      <c r="L587" s="4" t="s">
        <v>9227</v>
      </c>
      <c r="M587" s="4" t="s">
        <v>29</v>
      </c>
      <c r="N587" s="4" t="s">
        <v>9239</v>
      </c>
      <c r="O587" s="4" t="str">
        <f>IFERROR(__XLUDF.DUMMYFUNCTION("VLOOKUP(M585,IMPORTRANGE(""https://docs.google.com/spreadsheets/d/1opm6ZNvGZ7KditA9TuJwrZ25eFLfTNIkrNnY6mhV5Eg"",""list!A1:C115""),3,TRUE)"),"le secteur de la construction")</f>
        <v xml:space="preserve">le secteur de la construction</v>
      </c>
      <c r="P587" s="4" t="s">
        <v>15030</v>
      </c>
      <c r="R587" s="4" t="s">
        <v>15029</v>
      </c>
      <c r="S587" s="4" t="s">
        <v>9227</v>
      </c>
      <c r="T587" s="4" t="s">
        <v>29</v>
      </c>
      <c r="U587" s="5" t="s">
        <v>15031</v>
      </c>
      <c r="V587" s="5" t="s">
        <v>15032</v>
      </c>
      <c r="W587" s="5" t="s">
        <v>15033</v>
      </c>
      <c r="X587" s="6"/>
      <c r="Y587" s="6"/>
      <c r="Z587" s="4" t="s">
        <v>15034</v>
      </c>
      <c r="AA587" s="6"/>
      <c r="AB587" s="5" t="s">
        <v>15035</v>
      </c>
    </row>
    <row r="588" ht="14.25">
      <c r="A588" s="4" t="s">
        <v>15037</v>
      </c>
      <c r="B588" s="4" t="s">
        <v>2909</v>
      </c>
      <c r="C588" s="4" t="s">
        <v>247</v>
      </c>
      <c r="F588" s="4" t="s">
        <v>15038</v>
      </c>
      <c r="G588" s="4">
        <v>14</v>
      </c>
      <c r="H588" s="4" t="s">
        <v>15039</v>
      </c>
      <c r="I588" s="4" t="str">
        <f>IFERROR(__XLUDF.DUMMYFUNCTION("PROPER(REGEXREPLACE(G586,""[^A-Za-z]+ "",""""))"),"Grof")</f>
        <v>Grof</v>
      </c>
      <c r="J588" s="5" t="s">
        <v>15040</v>
      </c>
      <c r="K588" s="6"/>
      <c r="L588" s="4" t="s">
        <v>9160</v>
      </c>
      <c r="M588" s="4" t="s">
        <v>29</v>
      </c>
      <c r="N588" s="4" t="s">
        <v>4067</v>
      </c>
      <c r="O588" s="4" t="str">
        <f>IFERROR(__XLUDF.DUMMYFUNCTION("VLOOKUP(M586,IMPORTRANGE(""https://docs.google.com/spreadsheets/d/1opm6ZNvGZ7KditA9TuJwrZ25eFLfTNIkrNnY6mhV5Eg"",""list!A1:C115""),3,TRUE)"),"le secteur du conseil en management")</f>
        <v xml:space="preserve">le secteur du conseil en management</v>
      </c>
      <c r="P588" s="4" t="s">
        <v>15041</v>
      </c>
      <c r="R588" s="4" t="s">
        <v>39</v>
      </c>
      <c r="S588" s="4" t="s">
        <v>9160</v>
      </c>
      <c r="T588" s="4" t="s">
        <v>29</v>
      </c>
      <c r="U588" s="5" t="s">
        <v>15042</v>
      </c>
      <c r="V588" s="6"/>
      <c r="W588" s="6"/>
      <c r="X588" s="6"/>
      <c r="Y588" s="6"/>
      <c r="Z588" s="4" t="s">
        <v>15043</v>
      </c>
      <c r="AA588" s="6"/>
      <c r="AB588" s="5" t="s">
        <v>15044</v>
      </c>
    </row>
    <row r="589" ht="14.25">
      <c r="A589" s="4" t="s">
        <v>15047</v>
      </c>
      <c r="B589" s="4" t="s">
        <v>15046</v>
      </c>
      <c r="C589" s="4" t="s">
        <v>15049</v>
      </c>
      <c r="F589" s="4" t="s">
        <v>15048</v>
      </c>
      <c r="G589" s="4">
        <v>13</v>
      </c>
      <c r="H589" s="4" t="s">
        <v>15050</v>
      </c>
      <c r="I589" s="4" t="str">
        <f>IFERROR(__XLUDF.DUMMYFUNCTION("PROPER(REGEXREPLACE(G587,""[^A-Za-z]+ "",""""))"),"Mobius Réemploi")</f>
        <v xml:space="preserve">Mobius Réemploi</v>
      </c>
      <c r="J589" s="5" t="s">
        <v>15051</v>
      </c>
      <c r="K589" s="4" t="s">
        <v>39</v>
      </c>
      <c r="L589" s="4" t="s">
        <v>9160</v>
      </c>
      <c r="M589" s="4" t="s">
        <v>29</v>
      </c>
      <c r="N589" s="4" t="s">
        <v>9239</v>
      </c>
      <c r="O589" s="4" t="str">
        <f>IFERROR(__XLUDF.DUMMYFUNCTION("VLOOKUP(M587,IMPORTRANGE(""https://docs.google.com/spreadsheets/d/1opm6ZNvGZ7KditA9TuJwrZ25eFLfTNIkrNnY6mhV5Eg"",""list!A1:C115""),3,TRUE)"),"le secteur de la construction")</f>
        <v xml:space="preserve">le secteur de la construction</v>
      </c>
      <c r="P589" s="4" t="s">
        <v>15052</v>
      </c>
      <c r="R589" s="4" t="s">
        <v>39</v>
      </c>
      <c r="S589" s="4" t="s">
        <v>9160</v>
      </c>
      <c r="T589" s="4" t="s">
        <v>29</v>
      </c>
      <c r="U589" s="5" t="s">
        <v>15053</v>
      </c>
      <c r="V589" s="6"/>
      <c r="W589" s="5" t="s">
        <v>15054</v>
      </c>
      <c r="X589" s="6"/>
      <c r="Y589" s="6"/>
      <c r="Z589" s="4" t="s">
        <v>15055</v>
      </c>
      <c r="AA589" s="6"/>
      <c r="AB589" s="5" t="s">
        <v>15056</v>
      </c>
    </row>
    <row r="590" ht="14.25">
      <c r="A590" s="4" t="s">
        <v>15059</v>
      </c>
      <c r="B590" s="4" t="s">
        <v>15058</v>
      </c>
      <c r="C590" s="4" t="s">
        <v>15061</v>
      </c>
      <c r="F590" s="4" t="s">
        <v>15060</v>
      </c>
      <c r="G590" s="4">
        <v>10</v>
      </c>
      <c r="H590" s="4" t="s">
        <v>15062</v>
      </c>
      <c r="I590" s="4" t="str">
        <f>IFERROR(__XLUDF.DUMMYFUNCTION("PROPER(REGEXREPLACE(G588,""[^A-Za-z]+ "",""""))"),"Phedon")</f>
        <v>Phedon</v>
      </c>
      <c r="J590" s="5" t="s">
        <v>15063</v>
      </c>
      <c r="K590" s="4" t="s">
        <v>651</v>
      </c>
      <c r="L590" s="4" t="s">
        <v>9215</v>
      </c>
      <c r="M590" s="4" t="s">
        <v>29</v>
      </c>
      <c r="N590" s="4" t="s">
        <v>4067</v>
      </c>
      <c r="O590" s="4" t="str">
        <f>IFERROR(__XLUDF.DUMMYFUNCTION("VLOOKUP(M588,IMPORTRANGE(""https://docs.google.com/spreadsheets/d/1opm6ZNvGZ7KditA9TuJwrZ25eFLfTNIkrNnY6mhV5Eg"",""list!A1:C115""),3,TRUE)"),"le secteur du conseil en management")</f>
        <v xml:space="preserve">le secteur du conseil en management</v>
      </c>
      <c r="P590" s="4" t="s">
        <v>15064</v>
      </c>
      <c r="R590" s="4" t="s">
        <v>651</v>
      </c>
      <c r="S590" s="4" t="s">
        <v>12581</v>
      </c>
      <c r="T590" s="4" t="s">
        <v>29</v>
      </c>
      <c r="U590" s="5" t="s">
        <v>15065</v>
      </c>
      <c r="V590" s="6"/>
      <c r="W590" s="5" t="s">
        <v>15066</v>
      </c>
      <c r="X590" s="6"/>
      <c r="Y590" s="6"/>
      <c r="Z590" s="4" t="s">
        <v>15067</v>
      </c>
      <c r="AA590" s="6"/>
      <c r="AB590" s="5" t="s">
        <v>15068</v>
      </c>
    </row>
    <row r="591" ht="14.25">
      <c r="A591" s="4" t="s">
        <v>15071</v>
      </c>
      <c r="B591" s="4" t="s">
        <v>15070</v>
      </c>
      <c r="C591" s="4" t="s">
        <v>7759</v>
      </c>
      <c r="F591" s="4" t="s">
        <v>15072</v>
      </c>
      <c r="G591" s="4">
        <v>32</v>
      </c>
      <c r="H591" s="4" t="s">
        <v>15073</v>
      </c>
      <c r="I591" s="4" t="str">
        <f>IFERROR(__XLUDF.DUMMYFUNCTION("PROPER(REGEXREPLACE(G589,""[^A-Za-z]+ "",""""))"),"Dnt Versailles")</f>
        <v xml:space="preserve">Dnt Versailles</v>
      </c>
      <c r="J591" s="5" t="s">
        <v>15074</v>
      </c>
      <c r="K591" s="4" t="s">
        <v>2734</v>
      </c>
      <c r="L591" s="4" t="s">
        <v>9160</v>
      </c>
      <c r="M591" s="4" t="s">
        <v>29</v>
      </c>
      <c r="N591" s="4" t="s">
        <v>9239</v>
      </c>
      <c r="O591" s="4" t="str">
        <f>IFERROR(__XLUDF.DUMMYFUNCTION("VLOOKUP(M589,IMPORTRANGE(""https://docs.google.com/spreadsheets/d/1opm6ZNvGZ7KditA9TuJwrZ25eFLfTNIkrNnY6mhV5Eg"",""list!A1:C115""),3,TRUE)"),"le secteur de la construction")</f>
        <v xml:space="preserve">le secteur de la construction</v>
      </c>
      <c r="P591" s="4" t="s">
        <v>15075</v>
      </c>
      <c r="R591" s="4" t="s">
        <v>2734</v>
      </c>
      <c r="S591" s="4" t="s">
        <v>9160</v>
      </c>
      <c r="T591" s="4" t="s">
        <v>29</v>
      </c>
      <c r="U591" s="5" t="s">
        <v>15076</v>
      </c>
      <c r="V591" s="6"/>
      <c r="W591" s="6"/>
      <c r="X591" s="6"/>
      <c r="Y591" s="6"/>
      <c r="Z591" s="4" t="s">
        <v>15077</v>
      </c>
      <c r="AA591" s="6"/>
      <c r="AB591" s="5" t="s">
        <v>15078</v>
      </c>
    </row>
    <row r="592" ht="14.25">
      <c r="A592" s="4" t="s">
        <v>15080</v>
      </c>
      <c r="B592" s="4" t="s">
        <v>15070</v>
      </c>
      <c r="C592" s="4" t="s">
        <v>15082</v>
      </c>
      <c r="F592" s="4" t="s">
        <v>15081</v>
      </c>
      <c r="G592" s="4">
        <v>29</v>
      </c>
      <c r="H592" s="4" t="s">
        <v>15083</v>
      </c>
      <c r="I592" s="4" t="str">
        <f>IFERROR(__XLUDF.DUMMYFUNCTION("PROPER(REGEXREPLACE(G590,""[^A-Za-z]+ "",""""))"),"Kokan")</f>
        <v>Kokan</v>
      </c>
      <c r="J592" s="5" t="s">
        <v>15084</v>
      </c>
      <c r="K592" s="4" t="s">
        <v>39</v>
      </c>
      <c r="L592" s="4" t="s">
        <v>9160</v>
      </c>
      <c r="M592" s="4" t="s">
        <v>29</v>
      </c>
      <c r="N592" s="4" t="s">
        <v>4067</v>
      </c>
      <c r="O592" s="4" t="str">
        <f>IFERROR(__XLUDF.DUMMYFUNCTION("VLOOKUP(M590,IMPORTRANGE(""https://docs.google.com/spreadsheets/d/1opm6ZNvGZ7KditA9TuJwrZ25eFLfTNIkrNnY6mhV5Eg"",""list!A1:C115""),3,TRUE)"),"le secteur du conseil en management")</f>
        <v xml:space="preserve">le secteur du conseil en management</v>
      </c>
      <c r="P592" s="4" t="s">
        <v>15085</v>
      </c>
      <c r="R592" s="4" t="s">
        <v>39</v>
      </c>
      <c r="S592" s="4" t="s">
        <v>9160</v>
      </c>
      <c r="T592" s="4" t="s">
        <v>29</v>
      </c>
      <c r="U592" s="5" t="s">
        <v>15086</v>
      </c>
      <c r="V592" s="5" t="s">
        <v>15087</v>
      </c>
      <c r="W592" s="6"/>
      <c r="X592" s="6"/>
      <c r="Y592" s="6"/>
      <c r="Z592" s="4" t="s">
        <v>15088</v>
      </c>
      <c r="AA592" s="6"/>
      <c r="AB592" s="5" t="s">
        <v>15089</v>
      </c>
    </row>
    <row r="593" ht="14.25">
      <c r="A593" s="4" t="s">
        <v>15091</v>
      </c>
      <c r="B593" s="4" t="s">
        <v>110</v>
      </c>
      <c r="C593" s="4" t="s">
        <v>15093</v>
      </c>
      <c r="F593" s="4" t="s">
        <v>15092</v>
      </c>
      <c r="G593" s="4">
        <v>15</v>
      </c>
      <c r="H593" s="4" t="s">
        <v>15094</v>
      </c>
      <c r="I593" s="4" t="str">
        <f>IFERROR(__XLUDF.DUMMYFUNCTION("PROPER(REGEXREPLACE(G591,""[^A-Za-z]+ "",""""))"),"Ags Cloud")</f>
        <v xml:space="preserve">Ags Cloud</v>
      </c>
      <c r="J593" s="5" t="s">
        <v>15095</v>
      </c>
      <c r="K593" s="4" t="s">
        <v>482</v>
      </c>
      <c r="L593" s="4" t="s">
        <v>9460</v>
      </c>
      <c r="M593" s="4" t="s">
        <v>29</v>
      </c>
      <c r="N593" s="4" t="s">
        <v>2602</v>
      </c>
      <c r="O593" s="4" t="str">
        <f>IFERROR(__XLUDF.DUMMYFUNCTION("VLOOKUP(M591,IMPORTRANGE(""https://docs.google.com/spreadsheets/d/1opm6ZNvGZ7KditA9TuJwrZ25eFLfTNIkrNnY6mhV5Eg"",""list!A1:C115""),3,TRUE)"),"le secteur de la tech")</f>
        <v xml:space="preserve">le secteur de la tech</v>
      </c>
      <c r="P593" s="4" t="s">
        <v>15096</v>
      </c>
      <c r="R593" s="4" t="s">
        <v>15097</v>
      </c>
      <c r="S593" s="4" t="s">
        <v>10829</v>
      </c>
      <c r="T593" s="4" t="s">
        <v>29</v>
      </c>
      <c r="U593" s="5" t="s">
        <v>15098</v>
      </c>
      <c r="V593" s="5" t="s">
        <v>15099</v>
      </c>
      <c r="W593" s="5" t="s">
        <v>15100</v>
      </c>
      <c r="X593" s="6"/>
      <c r="Y593" s="6"/>
      <c r="Z593" s="4" t="s">
        <v>15101</v>
      </c>
      <c r="AA593" s="6"/>
      <c r="AB593" s="5" t="s">
        <v>15102</v>
      </c>
    </row>
    <row r="594" ht="14.25">
      <c r="A594" s="4" t="s">
        <v>15104</v>
      </c>
      <c r="B594" s="4" t="s">
        <v>110</v>
      </c>
      <c r="C594" s="4" t="s">
        <v>15106</v>
      </c>
      <c r="F594" s="4" t="s">
        <v>15105</v>
      </c>
      <c r="G594" s="4">
        <v>14</v>
      </c>
      <c r="H594" s="4" t="s">
        <v>15107</v>
      </c>
      <c r="I594" s="4" t="str">
        <f>IFERROR(__XLUDF.DUMMYFUNCTION("PROPER(REGEXREPLACE(G592,""[^A-Za-z]+ "",""""))"),"Operametrix")</f>
        <v>Operametrix</v>
      </c>
      <c r="J594" s="5" t="s">
        <v>15108</v>
      </c>
      <c r="K594" s="4" t="s">
        <v>83</v>
      </c>
      <c r="L594" s="4" t="s">
        <v>9460</v>
      </c>
      <c r="M594" s="4" t="s">
        <v>29</v>
      </c>
      <c r="N594" s="4" t="s">
        <v>2602</v>
      </c>
      <c r="O594" s="4" t="str">
        <f>IFERROR(__XLUDF.DUMMYFUNCTION("VLOOKUP(M592,IMPORTRANGE(""https://docs.google.com/spreadsheets/d/1opm6ZNvGZ7KditA9TuJwrZ25eFLfTNIkrNnY6mhV5Eg"",""list!A1:C115""),3,TRUE)"),"le secteur de la tech")</f>
        <v xml:space="preserve">le secteur de la tech</v>
      </c>
      <c r="P594" s="4" t="s">
        <v>15109</v>
      </c>
      <c r="R594" s="4" t="s">
        <v>12445</v>
      </c>
      <c r="S594" s="4" t="s">
        <v>9463</v>
      </c>
      <c r="T594" s="4" t="s">
        <v>29</v>
      </c>
      <c r="U594" s="5" t="s">
        <v>15110</v>
      </c>
      <c r="V594" s="6"/>
      <c r="W594" s="6"/>
      <c r="X594" s="6"/>
      <c r="Y594" s="6"/>
      <c r="Z594" s="4" t="s">
        <v>15111</v>
      </c>
      <c r="AA594" s="6"/>
      <c r="AB594" s="5" t="s">
        <v>15112</v>
      </c>
    </row>
    <row r="595" ht="14.25">
      <c r="A595" s="4" t="s">
        <v>948</v>
      </c>
      <c r="B595" s="4" t="s">
        <v>110</v>
      </c>
      <c r="C595" s="4" t="s">
        <v>112</v>
      </c>
      <c r="F595" s="4" t="s">
        <v>15114</v>
      </c>
      <c r="G595" s="4">
        <v>13</v>
      </c>
      <c r="H595" s="4" t="s">
        <v>15115</v>
      </c>
      <c r="I595" s="4" t="str">
        <f>IFERROR(__XLUDF.DUMMYFUNCTION("PROPER(REGEXREPLACE(G593,""[^A-Za-z]+ "",""""))"),"Smart Painting")</f>
        <v xml:space="preserve">Smart Painting</v>
      </c>
      <c r="J595" s="5" t="s">
        <v>15116</v>
      </c>
      <c r="K595" s="4" t="s">
        <v>12794</v>
      </c>
      <c r="L595" s="4" t="s">
        <v>9193</v>
      </c>
      <c r="M595" s="4" t="s">
        <v>29</v>
      </c>
      <c r="N595" s="4" t="s">
        <v>9239</v>
      </c>
      <c r="O595" s="4" t="str">
        <f>IFERROR(__XLUDF.DUMMYFUNCTION("VLOOKUP(M593,IMPORTRANGE(""https://docs.google.com/spreadsheets/d/1opm6ZNvGZ7KditA9TuJwrZ25eFLfTNIkrNnY6mhV5Eg"",""list!A1:C115""),3,TRUE)"),"le secteur de la construction")</f>
        <v xml:space="preserve">le secteur de la construction</v>
      </c>
      <c r="P595" s="6"/>
      <c r="R595" s="4" t="s">
        <v>12794</v>
      </c>
      <c r="S595" s="4" t="s">
        <v>9172</v>
      </c>
      <c r="T595" s="4" t="s">
        <v>29</v>
      </c>
      <c r="U595" s="5" t="s">
        <v>15117</v>
      </c>
      <c r="V595" s="6"/>
      <c r="W595" s="6"/>
      <c r="X595" s="6"/>
      <c r="Y595" s="6"/>
      <c r="Z595" s="4" t="s">
        <v>15118</v>
      </c>
      <c r="AA595" s="6"/>
      <c r="AB595" s="5" t="s">
        <v>15119</v>
      </c>
    </row>
    <row r="596" ht="14.25">
      <c r="A596" s="4" t="s">
        <v>15121</v>
      </c>
      <c r="B596" s="4" t="s">
        <v>110</v>
      </c>
      <c r="C596" s="4" t="s">
        <v>172</v>
      </c>
      <c r="F596" s="4" t="s">
        <v>15122</v>
      </c>
      <c r="G596" s="4">
        <v>38</v>
      </c>
      <c r="H596" s="4" t="s">
        <v>15123</v>
      </c>
      <c r="I596" s="4" t="str">
        <f>IFERROR(__XLUDF.DUMMYFUNCTION("PROPER(REGEXREPLACE(G594,""[^A-Za-z]+ "",""""))"),"Sireos")</f>
        <v>Sireos</v>
      </c>
      <c r="J596" s="5" t="s">
        <v>15124</v>
      </c>
      <c r="K596" s="4" t="s">
        <v>9809</v>
      </c>
      <c r="L596" s="4" t="s">
        <v>9460</v>
      </c>
      <c r="M596" s="4" t="s">
        <v>29</v>
      </c>
      <c r="N596" s="4" t="s">
        <v>9239</v>
      </c>
      <c r="O596" s="4" t="str">
        <f>IFERROR(__XLUDF.DUMMYFUNCTION("VLOOKUP(M594,IMPORTRANGE(""https://docs.google.com/spreadsheets/d/1opm6ZNvGZ7KditA9TuJwrZ25eFLfTNIkrNnY6mhV5Eg"",""list!A1:C115""),3,TRUE)"),"le secteur de la construction")</f>
        <v xml:space="preserve">le secteur de la construction</v>
      </c>
      <c r="P596" s="4" t="s">
        <v>15125</v>
      </c>
      <c r="R596" s="4" t="s">
        <v>15126</v>
      </c>
      <c r="S596" s="4" t="s">
        <v>9460</v>
      </c>
      <c r="T596" s="4" t="s">
        <v>29</v>
      </c>
      <c r="U596" s="5" t="s">
        <v>15127</v>
      </c>
      <c r="V596" s="6"/>
      <c r="W596" s="6"/>
      <c r="X596" s="6"/>
      <c r="Y596" s="6"/>
      <c r="Z596" s="4" t="s">
        <v>15128</v>
      </c>
      <c r="AA596" s="6"/>
      <c r="AB596" s="5" t="s">
        <v>15129</v>
      </c>
    </row>
    <row r="597" ht="14.25">
      <c r="A597" s="4" t="s">
        <v>15131</v>
      </c>
      <c r="B597" s="4" t="s">
        <v>110</v>
      </c>
      <c r="C597" s="4" t="s">
        <v>13450</v>
      </c>
      <c r="F597" s="4" t="s">
        <v>15132</v>
      </c>
      <c r="G597" s="4">
        <v>12</v>
      </c>
      <c r="H597" s="4" t="s">
        <v>15133</v>
      </c>
      <c r="I597" s="4" t="str">
        <f>IFERROR(__XLUDF.DUMMYFUNCTION("PROPER(REGEXREPLACE(G595,""[^A-Za-z]+ "",""""))"),"Rue Du Store")</f>
        <v xml:space="preserve">Rue Du Store</v>
      </c>
      <c r="J597" s="5" t="s">
        <v>15134</v>
      </c>
      <c r="K597" s="4" t="s">
        <v>5565</v>
      </c>
      <c r="L597" s="4" t="s">
        <v>9798</v>
      </c>
      <c r="M597" s="4" t="s">
        <v>29</v>
      </c>
      <c r="N597" s="4" t="s">
        <v>4525</v>
      </c>
      <c r="O597" s="4" t="str">
        <f>IFERROR(__XLUDF.DUMMYFUNCTION("VLOOKUP(M595,IMPORTRANGE(""https://docs.google.com/spreadsheets/d/1opm6ZNvGZ7KditA9TuJwrZ25eFLfTNIkrNnY6mhV5Eg"",""list!A1:C115""),3,TRUE)"),"le secteur du retail")</f>
        <v xml:space="preserve">le secteur du retail</v>
      </c>
      <c r="P597" s="6"/>
      <c r="R597" s="4" t="s">
        <v>15135</v>
      </c>
      <c r="S597" s="4" t="s">
        <v>10736</v>
      </c>
      <c r="T597" s="4" t="s">
        <v>29</v>
      </c>
      <c r="U597" s="5" t="s">
        <v>15136</v>
      </c>
      <c r="V597" s="6"/>
      <c r="W597" s="5" t="s">
        <v>15137</v>
      </c>
      <c r="X597" s="6"/>
      <c r="Y597" s="6"/>
      <c r="Z597" s="4" t="s">
        <v>15138</v>
      </c>
      <c r="AA597" s="6"/>
      <c r="AB597" s="5" t="s">
        <v>15139</v>
      </c>
    </row>
    <row r="598" ht="14.25">
      <c r="A598" s="4" t="s">
        <v>15141</v>
      </c>
      <c r="B598" s="4" t="s">
        <v>110</v>
      </c>
      <c r="C598" s="4" t="s">
        <v>15143</v>
      </c>
      <c r="F598" s="4" t="s">
        <v>15142</v>
      </c>
      <c r="G598" s="4">
        <v>40</v>
      </c>
      <c r="H598" s="4" t="s">
        <v>15144</v>
      </c>
      <c r="I598" s="4" t="str">
        <f>IFERROR(__XLUDF.DUMMYFUNCTION("PROPER(REGEXREPLACE(G596,""[^A-Za-z]+ "",""""))"),"Qorum Secur'Num")</f>
        <v xml:space="preserve">Qorum Secur'Num</v>
      </c>
      <c r="J598" s="5" t="s">
        <v>15145</v>
      </c>
      <c r="K598" s="4" t="s">
        <v>39</v>
      </c>
      <c r="L598" s="4" t="s">
        <v>9160</v>
      </c>
      <c r="M598" s="4" t="s">
        <v>29</v>
      </c>
      <c r="N598" s="4" t="s">
        <v>2602</v>
      </c>
      <c r="O598" s="4" t="str">
        <f>IFERROR(__XLUDF.DUMMYFUNCTION("VLOOKUP(M596,IMPORTRANGE(""https://docs.google.com/spreadsheets/d/1opm6ZNvGZ7KditA9TuJwrZ25eFLfTNIkrNnY6mhV5Eg"",""list!A1:C115""),3,TRUE)"),"le secteur de la tech")</f>
        <v xml:space="preserve">le secteur de la tech</v>
      </c>
      <c r="P598" s="4" t="s">
        <v>15146</v>
      </c>
      <c r="R598" s="4" t="s">
        <v>15147</v>
      </c>
      <c r="S598" s="4" t="s">
        <v>9160</v>
      </c>
      <c r="T598" s="4" t="s">
        <v>29</v>
      </c>
      <c r="U598" s="5" t="s">
        <v>15148</v>
      </c>
      <c r="V598" s="6"/>
      <c r="W598" s="6"/>
      <c r="X598" s="6"/>
      <c r="Y598" s="6"/>
      <c r="Z598" s="4" t="s">
        <v>15149</v>
      </c>
      <c r="AA598" s="6"/>
      <c r="AB598" s="5" t="s">
        <v>15150</v>
      </c>
    </row>
    <row r="599" ht="14.25">
      <c r="A599" s="4" t="s">
        <v>15152</v>
      </c>
      <c r="B599" s="4" t="s">
        <v>110</v>
      </c>
      <c r="C599" s="4" t="s">
        <v>9456</v>
      </c>
      <c r="F599" s="4" t="s">
        <v>15153</v>
      </c>
      <c r="G599" s="4">
        <v>31</v>
      </c>
      <c r="H599" s="4" t="s">
        <v>15154</v>
      </c>
      <c r="I599" s="4" t="str">
        <f>IFERROR(__XLUDF.DUMMYFUNCTION("PROPER(REGEXREPLACE(G597,""[^A-Za-z]+ "",""""))"),"Essenc!El")</f>
        <v>Essenc!El</v>
      </c>
      <c r="J599" s="5" t="s">
        <v>15155</v>
      </c>
      <c r="K599" s="4" t="s">
        <v>185</v>
      </c>
      <c r="L599" s="4" t="s">
        <v>9172</v>
      </c>
      <c r="M599" s="4" t="s">
        <v>29</v>
      </c>
      <c r="N599" s="4" t="s">
        <v>4525</v>
      </c>
      <c r="O599" s="4" t="str">
        <f>IFERROR(__XLUDF.DUMMYFUNCTION("VLOOKUP(M597,IMPORTRANGE(""https://docs.google.com/spreadsheets/d/1opm6ZNvGZ7KditA9TuJwrZ25eFLfTNIkrNnY6mhV5Eg"",""list!A1:C115""),3,TRUE)"),"le secteur du retail")</f>
        <v xml:space="preserve">le secteur du retail</v>
      </c>
      <c r="P599" s="6"/>
      <c r="R599" s="4" t="s">
        <v>15156</v>
      </c>
      <c r="S599" s="4" t="s">
        <v>9193</v>
      </c>
      <c r="T599" s="4" t="s">
        <v>29</v>
      </c>
      <c r="U599" s="5" t="s">
        <v>15157</v>
      </c>
      <c r="V599" s="6"/>
      <c r="W599" s="6"/>
      <c r="X599" s="6"/>
      <c r="Y599" s="6"/>
      <c r="Z599" s="4" t="s">
        <v>15158</v>
      </c>
      <c r="AA599" s="6"/>
      <c r="AB599" s="5" t="s">
        <v>15159</v>
      </c>
    </row>
    <row r="600" ht="14.25">
      <c r="A600" s="4" t="s">
        <v>15161</v>
      </c>
      <c r="B600" s="4" t="s">
        <v>110</v>
      </c>
      <c r="C600" s="4" t="s">
        <v>120</v>
      </c>
      <c r="F600" s="4" t="s">
        <v>15162</v>
      </c>
      <c r="G600" s="4">
        <v>12</v>
      </c>
      <c r="H600" s="4" t="s">
        <v>12003</v>
      </c>
      <c r="I600" s="4" t="str">
        <f>IFERROR(__XLUDF.DUMMYFUNCTION("PROPER(REGEXREPLACE(G598,""[^A-Za-z]+ "",""""))"),"Astridsen")</f>
        <v>Astridsen</v>
      </c>
      <c r="J600" s="5" t="s">
        <v>12004</v>
      </c>
      <c r="K600" s="4" t="s">
        <v>6603</v>
      </c>
      <c r="L600" s="4" t="s">
        <v>9160</v>
      </c>
      <c r="M600" s="4" t="s">
        <v>29</v>
      </c>
      <c r="N600" s="4" t="s">
        <v>4067</v>
      </c>
      <c r="O600" s="4" t="str">
        <f>IFERROR(__XLUDF.DUMMYFUNCTION("VLOOKUP(M598,IMPORTRANGE(""https://docs.google.com/spreadsheets/d/1opm6ZNvGZ7KditA9TuJwrZ25eFLfTNIkrNnY6mhV5Eg"",""list!A1:C115""),3,TRUE)"),"le secteur du conseil en management")</f>
        <v xml:space="preserve">le secteur du conseil en management</v>
      </c>
      <c r="P600" s="6"/>
      <c r="R600" s="4" t="s">
        <v>39</v>
      </c>
      <c r="S600" s="4" t="s">
        <v>9160</v>
      </c>
      <c r="T600" s="4" t="s">
        <v>29</v>
      </c>
      <c r="U600" s="5" t="s">
        <v>12005</v>
      </c>
      <c r="V600" s="6"/>
      <c r="W600" s="6"/>
      <c r="X600" s="6"/>
      <c r="Y600" s="6"/>
      <c r="Z600" s="4" t="s">
        <v>12006</v>
      </c>
      <c r="AA600" s="6"/>
      <c r="AB600" s="5" t="s">
        <v>15163</v>
      </c>
    </row>
    <row r="601" ht="14.25">
      <c r="A601" s="4" t="s">
        <v>15165</v>
      </c>
      <c r="B601" s="4" t="s">
        <v>110</v>
      </c>
      <c r="C601" s="4" t="s">
        <v>15167</v>
      </c>
      <c r="F601" s="4" t="s">
        <v>15166</v>
      </c>
      <c r="G601" s="4">
        <v>13</v>
      </c>
      <c r="H601" s="4" t="s">
        <v>15168</v>
      </c>
      <c r="I601" s="4" t="str">
        <f>IFERROR(__XLUDF.DUMMYFUNCTION("PROPER(REGEXREPLACE(G599,""[^A-Za-z]+ "",""""))"),"Makin'Ov")</f>
        <v>Makin'Ov</v>
      </c>
      <c r="J601" s="5" t="s">
        <v>15169</v>
      </c>
      <c r="K601" s="6"/>
      <c r="L601" s="6"/>
      <c r="M601" s="4" t="s">
        <v>29</v>
      </c>
      <c r="N601" s="4" t="s">
        <v>4067</v>
      </c>
      <c r="O601" s="4" t="str">
        <f>IFERROR(__XLUDF.DUMMYFUNCTION("VLOOKUP(M599,IMPORTRANGE(""https://docs.google.com/spreadsheets/d/1opm6ZNvGZ7KditA9TuJwrZ25eFLfTNIkrNnY6mhV5Eg"",""list!A1:C115""),3,TRUE)"),"le secteur du conseil en management")</f>
        <v xml:space="preserve">le secteur du conseil en management</v>
      </c>
      <c r="P601" s="4" t="s">
        <v>15170</v>
      </c>
      <c r="R601" s="4" t="s">
        <v>39</v>
      </c>
      <c r="S601" s="4" t="s">
        <v>9160</v>
      </c>
      <c r="T601" s="4" t="s">
        <v>29</v>
      </c>
      <c r="U601" s="5" t="s">
        <v>15171</v>
      </c>
      <c r="V601" s="6"/>
      <c r="W601" s="6"/>
      <c r="X601" s="6"/>
      <c r="Y601" s="6"/>
      <c r="Z601" s="4" t="s">
        <v>15172</v>
      </c>
      <c r="AA601" s="6"/>
      <c r="AB601" s="5" t="s">
        <v>15173</v>
      </c>
    </row>
    <row r="602" ht="14.25">
      <c r="A602" s="4" t="s">
        <v>15175</v>
      </c>
      <c r="B602" s="4" t="s">
        <v>110</v>
      </c>
      <c r="C602" s="4" t="s">
        <v>87</v>
      </c>
      <c r="F602" s="4" t="s">
        <v>15176</v>
      </c>
      <c r="G602" s="4">
        <v>23</v>
      </c>
      <c r="H602" s="4" t="s">
        <v>15177</v>
      </c>
      <c r="I602" s="4" t="str">
        <f>IFERROR(__XLUDF.DUMMYFUNCTION("PROPER(REGEXREPLACE(G600,""[^A-Za-z]+ "",""""))"),"Streammind")</f>
        <v>Streammind</v>
      </c>
      <c r="J602" s="5" t="s">
        <v>15178</v>
      </c>
      <c r="K602" s="4" t="s">
        <v>39</v>
      </c>
      <c r="L602" s="4" t="s">
        <v>9160</v>
      </c>
      <c r="M602" s="4" t="s">
        <v>29</v>
      </c>
      <c r="N602" s="4" t="s">
        <v>2602</v>
      </c>
      <c r="O602" s="4" t="str">
        <f>IFERROR(__XLUDF.DUMMYFUNCTION("VLOOKUP(M600,IMPORTRANGE(""https://docs.google.com/spreadsheets/d/1opm6ZNvGZ7KditA9TuJwrZ25eFLfTNIkrNnY6mhV5Eg"",""list!A1:C115""),3,TRUE)"),"le secteur de la tech")</f>
        <v xml:space="preserve">le secteur de la tech</v>
      </c>
      <c r="P602" s="4" t="s">
        <v>15179</v>
      </c>
      <c r="R602" s="4" t="s">
        <v>39</v>
      </c>
      <c r="S602" s="4" t="s">
        <v>9160</v>
      </c>
      <c r="T602" s="4" t="s">
        <v>29</v>
      </c>
      <c r="U602" s="5" t="s">
        <v>15180</v>
      </c>
      <c r="V602" s="5" t="s">
        <v>15181</v>
      </c>
      <c r="W602" s="5" t="s">
        <v>15182</v>
      </c>
      <c r="X602" s="6"/>
      <c r="Y602" s="6"/>
      <c r="Z602" s="4" t="s">
        <v>15183</v>
      </c>
      <c r="AA602" s="6"/>
      <c r="AB602" s="5" t="s">
        <v>15184</v>
      </c>
    </row>
    <row r="603" ht="14.25">
      <c r="A603" s="4" t="s">
        <v>15186</v>
      </c>
      <c r="B603" s="4" t="s">
        <v>110</v>
      </c>
      <c r="C603" s="4" t="s">
        <v>172</v>
      </c>
      <c r="F603" s="4" t="s">
        <v>15187</v>
      </c>
      <c r="G603" s="4">
        <v>13</v>
      </c>
      <c r="H603" s="4" t="s">
        <v>15188</v>
      </c>
      <c r="I603" s="4" t="str">
        <f>IFERROR(__XLUDF.DUMMYFUNCTION("PROPER(REGEXREPLACE(G601,""[^A-Za-z]+ "",""""))"),"Keyboss Group")</f>
        <v xml:space="preserve">Keyboss Group</v>
      </c>
      <c r="J603" s="5" t="s">
        <v>15189</v>
      </c>
      <c r="K603" s="4" t="s">
        <v>39</v>
      </c>
      <c r="L603" s="4" t="s">
        <v>9160</v>
      </c>
      <c r="M603" s="4" t="s">
        <v>29</v>
      </c>
      <c r="N603" s="4" t="s">
        <v>4067</v>
      </c>
      <c r="O603" s="4" t="str">
        <f>IFERROR(__XLUDF.DUMMYFUNCTION("VLOOKUP(M601,IMPORTRANGE(""https://docs.google.com/spreadsheets/d/1opm6ZNvGZ7KditA9TuJwrZ25eFLfTNIkrNnY6mhV5Eg"",""list!A1:C115""),3,TRUE)"),"le secteur du conseil en management")</f>
        <v xml:space="preserve">le secteur du conseil en management</v>
      </c>
      <c r="P603" s="4" t="s">
        <v>15190</v>
      </c>
      <c r="R603" s="4" t="s">
        <v>39</v>
      </c>
      <c r="S603" s="4" t="s">
        <v>9160</v>
      </c>
      <c r="T603" s="4" t="s">
        <v>29</v>
      </c>
      <c r="U603" s="5" t="s">
        <v>15191</v>
      </c>
      <c r="V603" s="6"/>
      <c r="W603" s="6"/>
      <c r="X603" s="6"/>
      <c r="Y603" s="6"/>
      <c r="Z603" s="4" t="s">
        <v>15192</v>
      </c>
      <c r="AA603" s="6"/>
      <c r="AB603" s="5" t="s">
        <v>15193</v>
      </c>
    </row>
    <row r="604" ht="14.25">
      <c r="A604" s="4" t="s">
        <v>15195</v>
      </c>
      <c r="B604" s="4" t="s">
        <v>110</v>
      </c>
      <c r="C604" s="4" t="s">
        <v>15197</v>
      </c>
      <c r="F604" s="4" t="s">
        <v>15196</v>
      </c>
      <c r="G604" s="4">
        <v>10</v>
      </c>
      <c r="H604" s="4" t="s">
        <v>15198</v>
      </c>
      <c r="I604" s="4" t="str">
        <f>IFERROR(__XLUDF.DUMMYFUNCTION("PROPER(REGEXREPLACE(G602,""[^A-Za-z]+ "",""""))"),"Ceteam")</f>
        <v>Ceteam</v>
      </c>
      <c r="J604" s="4" t="s">
        <v>15199</v>
      </c>
      <c r="K604" s="6"/>
      <c r="L604" s="6"/>
      <c r="M604" s="4" t="s">
        <v>29</v>
      </c>
      <c r="N604" s="4" t="s">
        <v>9239</v>
      </c>
      <c r="O604" s="4" t="str">
        <f>IFERROR(__XLUDF.DUMMYFUNCTION("VLOOKUP(M602,IMPORTRANGE(""https://docs.google.com/spreadsheets/d/1opm6ZNvGZ7KditA9TuJwrZ25eFLfTNIkrNnY6mhV5Eg"",""list!A1:C115""),3,TRUE)"),"le secteur de la construction")</f>
        <v xml:space="preserve">le secteur de la construction</v>
      </c>
      <c r="P604" s="4" t="s">
        <v>15200</v>
      </c>
      <c r="R604" s="4" t="s">
        <v>7619</v>
      </c>
      <c r="S604" s="4" t="s">
        <v>9193</v>
      </c>
      <c r="T604" s="4" t="s">
        <v>29</v>
      </c>
      <c r="U604" s="5" t="s">
        <v>15201</v>
      </c>
      <c r="V604" s="6"/>
      <c r="W604" s="6"/>
      <c r="X604" s="6"/>
      <c r="Y604" s="6"/>
      <c r="Z604" s="4" t="s">
        <v>15202</v>
      </c>
      <c r="AA604" s="6"/>
      <c r="AB604" s="5" t="s">
        <v>15203</v>
      </c>
    </row>
    <row r="605" ht="14.25">
      <c r="A605" s="4" t="s">
        <v>10412</v>
      </c>
      <c r="B605" s="4" t="s">
        <v>110</v>
      </c>
      <c r="C605" s="4" t="s">
        <v>7759</v>
      </c>
      <c r="F605" s="4" t="s">
        <v>15205</v>
      </c>
      <c r="G605" s="4">
        <v>27</v>
      </c>
      <c r="H605" s="4" t="s">
        <v>13150</v>
      </c>
      <c r="I605" s="4" t="str">
        <f>IFERROR(__XLUDF.DUMMYFUNCTION("PROPER(REGEXREPLACE(G603,""[^A-Za-z]+ "",""""))"),"Expert Activ Spécialiste En Développement Commercial")</f>
        <v xml:space="preserve">Expert Activ Spécialiste En Développement Commercial</v>
      </c>
      <c r="J605" s="5" t="s">
        <v>13151</v>
      </c>
      <c r="K605" s="4" t="s">
        <v>7531</v>
      </c>
      <c r="L605" s="4" t="s">
        <v>9798</v>
      </c>
      <c r="M605" s="4" t="s">
        <v>29</v>
      </c>
      <c r="N605" s="4" t="s">
        <v>4067</v>
      </c>
      <c r="O605" s="4" t="str">
        <f>IFERROR(__XLUDF.DUMMYFUNCTION("VLOOKUP(M603,IMPORTRANGE(""https://docs.google.com/spreadsheets/d/1opm6ZNvGZ7KditA9TuJwrZ25eFLfTNIkrNnY6mhV5Eg"",""list!A1:C115""),3,TRUE)"),"le secteur du conseil en management")</f>
        <v xml:space="preserve">le secteur du conseil en management</v>
      </c>
      <c r="P605" s="4" t="s">
        <v>13152</v>
      </c>
      <c r="R605" s="4" t="s">
        <v>39</v>
      </c>
      <c r="S605" s="4" t="s">
        <v>9160</v>
      </c>
      <c r="T605" s="4" t="s">
        <v>29</v>
      </c>
      <c r="U605" s="5" t="s">
        <v>13153</v>
      </c>
      <c r="V605" s="5" t="s">
        <v>13154</v>
      </c>
      <c r="W605" s="5" t="s">
        <v>13155</v>
      </c>
      <c r="X605" s="6"/>
      <c r="Y605" s="6"/>
      <c r="Z605" s="4" t="s">
        <v>13156</v>
      </c>
      <c r="AA605" s="6"/>
      <c r="AB605" s="5" t="s">
        <v>15206</v>
      </c>
    </row>
    <row r="606" ht="14.25">
      <c r="A606" s="4" t="s">
        <v>15208</v>
      </c>
      <c r="B606" s="4" t="s">
        <v>110</v>
      </c>
      <c r="C606" s="4" t="s">
        <v>9456</v>
      </c>
      <c r="F606" s="4" t="s">
        <v>15209</v>
      </c>
      <c r="G606" s="4">
        <v>15</v>
      </c>
      <c r="H606" s="4" t="s">
        <v>15210</v>
      </c>
      <c r="I606" s="4" t="str">
        <f>IFERROR(__XLUDF.DUMMYFUNCTION("PROPER(REGEXREPLACE(G604,""[^A-Za-z]+ "",""""))"),"Eurostudio Infographie")</f>
        <v xml:space="preserve">Eurostudio Infographie</v>
      </c>
      <c r="J606" s="5" t="s">
        <v>15211</v>
      </c>
      <c r="K606" s="4" t="s">
        <v>39</v>
      </c>
      <c r="L606" s="4" t="s">
        <v>9160</v>
      </c>
      <c r="M606" s="4" t="s">
        <v>29</v>
      </c>
      <c r="N606" s="4" t="s">
        <v>2602</v>
      </c>
      <c r="O606" s="4" t="str">
        <f>IFERROR(__XLUDF.DUMMYFUNCTION("VLOOKUP(M604,IMPORTRANGE(""https://docs.google.com/spreadsheets/d/1opm6ZNvGZ7KditA9TuJwrZ25eFLfTNIkrNnY6mhV5Eg"",""list!A1:C115""),3,TRUE)"),"le secteur de la tech")</f>
        <v xml:space="preserve">le secteur de la tech</v>
      </c>
      <c r="P606" s="4" t="s">
        <v>15212</v>
      </c>
      <c r="R606" s="4" t="s">
        <v>39</v>
      </c>
      <c r="S606" s="4" t="s">
        <v>9160</v>
      </c>
      <c r="T606" s="4" t="s">
        <v>29</v>
      </c>
      <c r="U606" s="5" t="s">
        <v>15213</v>
      </c>
      <c r="V606" s="5" t="s">
        <v>15214</v>
      </c>
      <c r="W606" s="5" t="s">
        <v>15215</v>
      </c>
      <c r="X606" s="6"/>
      <c r="Y606" s="6"/>
      <c r="Z606" s="4" t="s">
        <v>15216</v>
      </c>
      <c r="AA606" s="6"/>
      <c r="AB606" s="5" t="s">
        <v>15217</v>
      </c>
    </row>
    <row r="607" ht="14.25">
      <c r="A607" s="4" t="s">
        <v>15219</v>
      </c>
      <c r="B607" s="4" t="s">
        <v>110</v>
      </c>
      <c r="C607" s="4" t="s">
        <v>112</v>
      </c>
      <c r="F607" s="4" t="s">
        <v>15220</v>
      </c>
      <c r="G607" s="4">
        <v>15</v>
      </c>
      <c r="H607" s="4" t="s">
        <v>15221</v>
      </c>
      <c r="I607" s="4" t="str">
        <f>IFERROR(__XLUDF.DUMMYFUNCTION("PROPER(REGEXREPLACE(G605,""[^A-Za-z]+ "",""""))"),"Pwa Assurance")</f>
        <v xml:space="preserve">Pwa Assurance</v>
      </c>
      <c r="J607" s="5" t="s">
        <v>15222</v>
      </c>
      <c r="K607" s="6"/>
      <c r="L607" s="6"/>
      <c r="M607" s="4" t="s">
        <v>29</v>
      </c>
      <c r="N607" s="4" t="s">
        <v>2602</v>
      </c>
      <c r="O607" s="4" t="str">
        <f>IFERROR(__XLUDF.DUMMYFUNCTION("VLOOKUP(M605,IMPORTRANGE(""https://docs.google.com/spreadsheets/d/1opm6ZNvGZ7KditA9TuJwrZ25eFLfTNIkrNnY6mhV5Eg"",""list!A1:C115""),3,TRUE)"),"le secteur de la tech")</f>
        <v xml:space="preserve">le secteur de la tech</v>
      </c>
      <c r="P607" s="4" t="s">
        <v>15223</v>
      </c>
      <c r="R607" s="4" t="s">
        <v>185</v>
      </c>
      <c r="S607" s="4" t="s">
        <v>9193</v>
      </c>
      <c r="T607" s="4" t="s">
        <v>29</v>
      </c>
      <c r="U607" s="5" t="s">
        <v>15224</v>
      </c>
      <c r="V607" s="6"/>
      <c r="W607" s="6"/>
      <c r="X607" s="6"/>
      <c r="Y607" s="6"/>
      <c r="Z607" s="4" t="s">
        <v>15225</v>
      </c>
      <c r="AA607" s="6"/>
      <c r="AB607" s="5" t="s">
        <v>15226</v>
      </c>
    </row>
    <row r="608" ht="14.25">
      <c r="A608" s="4" t="s">
        <v>15228</v>
      </c>
      <c r="B608" s="4" t="s">
        <v>110</v>
      </c>
      <c r="C608" s="4" t="s">
        <v>172</v>
      </c>
      <c r="F608" s="4" t="s">
        <v>15229</v>
      </c>
      <c r="G608" s="4">
        <v>23</v>
      </c>
      <c r="H608" s="4" t="s">
        <v>15230</v>
      </c>
      <c r="I608" s="4" t="str">
        <f>IFERROR(__XLUDF.DUMMYFUNCTION("PROPER(REGEXREPLACE(G606,""[^A-Za-z]+ "",""""))"),"Actusite")</f>
        <v>Actusite</v>
      </c>
      <c r="J608" s="5" t="s">
        <v>15231</v>
      </c>
      <c r="K608" s="4" t="s">
        <v>39</v>
      </c>
      <c r="L608" s="4" t="s">
        <v>9160</v>
      </c>
      <c r="M608" s="4" t="s">
        <v>29</v>
      </c>
      <c r="N608" s="4" t="s">
        <v>2602</v>
      </c>
      <c r="O608" s="4" t="str">
        <f>IFERROR(__XLUDF.DUMMYFUNCTION("VLOOKUP(M606,IMPORTRANGE(""https://docs.google.com/spreadsheets/d/1opm6ZNvGZ7KditA9TuJwrZ25eFLfTNIkrNnY6mhV5Eg"",""list!A1:C115""),3,TRUE)"),"le secteur de la tech")</f>
        <v xml:space="preserve">le secteur de la tech</v>
      </c>
      <c r="P608" s="4" t="s">
        <v>15232</v>
      </c>
      <c r="R608" s="4" t="s">
        <v>39</v>
      </c>
      <c r="S608" s="4" t="s">
        <v>9160</v>
      </c>
      <c r="T608" s="4" t="s">
        <v>29</v>
      </c>
      <c r="U608" s="5" t="s">
        <v>15233</v>
      </c>
      <c r="V608" s="5" t="s">
        <v>15234</v>
      </c>
      <c r="W608" s="5" t="s">
        <v>15235</v>
      </c>
      <c r="X608" s="6"/>
      <c r="Y608" s="6"/>
      <c r="Z608" s="4" t="s">
        <v>15236</v>
      </c>
      <c r="AA608" s="6"/>
      <c r="AB608" s="5" t="s">
        <v>15237</v>
      </c>
    </row>
    <row r="609" ht="14.25">
      <c r="A609" s="4" t="s">
        <v>15239</v>
      </c>
      <c r="B609" s="4" t="s">
        <v>110</v>
      </c>
      <c r="C609" s="4" t="s">
        <v>120</v>
      </c>
      <c r="F609" s="4" t="s">
        <v>15240</v>
      </c>
      <c r="G609" s="4">
        <v>14</v>
      </c>
      <c r="H609" s="4" t="s">
        <v>15241</v>
      </c>
      <c r="I609" s="4" t="str">
        <f>IFERROR(__XLUDF.DUMMYFUNCTION("PROPER(REGEXREPLACE(G607,""[^A-Za-z]+ "",""""))"),"Beau Comme Un Camion")</f>
        <v xml:space="preserve">Beau Comme Un Camion</v>
      </c>
      <c r="J609" s="5" t="s">
        <v>15242</v>
      </c>
      <c r="K609" s="4" t="s">
        <v>9253</v>
      </c>
      <c r="L609" s="4" t="s">
        <v>9460</v>
      </c>
      <c r="M609" s="4" t="s">
        <v>29</v>
      </c>
      <c r="N609" s="4" t="s">
        <v>4525</v>
      </c>
      <c r="O609" s="4" t="str">
        <f>IFERROR(__XLUDF.DUMMYFUNCTION("VLOOKUP(M607,IMPORTRANGE(""https://docs.google.com/spreadsheets/d/1opm6ZNvGZ7KditA9TuJwrZ25eFLfTNIkrNnY6mhV5Eg"",""list!A1:C115""),3,TRUE)"),"le secteur du retail")</f>
        <v xml:space="preserve">le secteur du retail</v>
      </c>
      <c r="P609" s="6"/>
      <c r="R609" s="4" t="s">
        <v>9253</v>
      </c>
      <c r="S609" s="4" t="s">
        <v>9460</v>
      </c>
      <c r="T609" s="4" t="s">
        <v>29</v>
      </c>
      <c r="U609" s="5" t="s">
        <v>15243</v>
      </c>
      <c r="V609" s="6"/>
      <c r="W609" s="5" t="s">
        <v>15244</v>
      </c>
      <c r="X609" s="6"/>
      <c r="Y609" s="6"/>
      <c r="Z609" s="4" t="s">
        <v>15245</v>
      </c>
      <c r="AA609" s="6"/>
      <c r="AB609" s="5" t="s">
        <v>15246</v>
      </c>
    </row>
    <row r="610" ht="14.25">
      <c r="A610" s="4" t="s">
        <v>15248</v>
      </c>
      <c r="B610" s="4" t="s">
        <v>110</v>
      </c>
      <c r="C610" s="4" t="s">
        <v>1130</v>
      </c>
      <c r="F610" s="4" t="s">
        <v>15249</v>
      </c>
      <c r="G610" s="4">
        <v>14</v>
      </c>
      <c r="H610" s="4" t="s">
        <v>15250</v>
      </c>
      <c r="I610" s="4" t="str">
        <f>IFERROR(__XLUDF.DUMMYFUNCTION("PROPER(REGEXREPLACE(G608,""[^A-Za-z]+ "",""""))"),"Logis Conseil")</f>
        <v xml:space="preserve">Logis Conseil</v>
      </c>
      <c r="J610" s="5" t="s">
        <v>15251</v>
      </c>
      <c r="K610" s="4" t="s">
        <v>13402</v>
      </c>
      <c r="L610" s="4" t="s">
        <v>9460</v>
      </c>
      <c r="M610" s="4" t="s">
        <v>29</v>
      </c>
      <c r="N610" s="4" t="s">
        <v>9239</v>
      </c>
      <c r="O610" s="4" t="str">
        <f>IFERROR(__XLUDF.DUMMYFUNCTION("VLOOKUP(M608,IMPORTRANGE(""https://docs.google.com/spreadsheets/d/1opm6ZNvGZ7KditA9TuJwrZ25eFLfTNIkrNnY6mhV5Eg"",""list!A1:C115""),3,TRUE)"),"le secteur de la construction")</f>
        <v xml:space="preserve">le secteur de la construction</v>
      </c>
      <c r="P610" s="6"/>
      <c r="R610" s="4" t="s">
        <v>15252</v>
      </c>
      <c r="S610" s="4" t="s">
        <v>9460</v>
      </c>
      <c r="T610" s="4" t="s">
        <v>29</v>
      </c>
      <c r="U610" s="5" t="s">
        <v>15253</v>
      </c>
      <c r="V610" s="6"/>
      <c r="W610" s="5" t="s">
        <v>15254</v>
      </c>
      <c r="X610" s="6"/>
      <c r="Y610" s="6"/>
      <c r="Z610" s="4" t="s">
        <v>15255</v>
      </c>
      <c r="AA610" s="6"/>
      <c r="AB610" s="5" t="s">
        <v>15256</v>
      </c>
    </row>
    <row r="611" ht="14.25">
      <c r="A611" s="4" t="s">
        <v>15258</v>
      </c>
      <c r="B611" s="4" t="s">
        <v>110</v>
      </c>
      <c r="C611" s="4" t="s">
        <v>15260</v>
      </c>
      <c r="F611" s="4" t="s">
        <v>15259</v>
      </c>
      <c r="G611" s="4">
        <v>18</v>
      </c>
      <c r="H611" s="4" t="s">
        <v>15261</v>
      </c>
      <c r="I611" s="4" t="str">
        <f>IFERROR(__XLUDF.DUMMYFUNCTION("PROPER(REGEXREPLACE(G609,""[^A-Za-z]+ "",""""))"),"Lws")</f>
        <v>Lws</v>
      </c>
      <c r="J611" s="5" t="s">
        <v>15262</v>
      </c>
      <c r="K611" s="4" t="s">
        <v>39</v>
      </c>
      <c r="L611" s="4" t="s">
        <v>9160</v>
      </c>
      <c r="M611" s="4" t="s">
        <v>29</v>
      </c>
      <c r="N611" s="4" t="s">
        <v>2602</v>
      </c>
      <c r="O611" s="4" t="str">
        <f>IFERROR(__XLUDF.DUMMYFUNCTION("VLOOKUP(M609,IMPORTRANGE(""https://docs.google.com/spreadsheets/d/1opm6ZNvGZ7KditA9TuJwrZ25eFLfTNIkrNnY6mhV5Eg"",""list!A1:C115""),3,TRUE)"),"le secteur de la tech")</f>
        <v xml:space="preserve">le secteur de la tech</v>
      </c>
      <c r="P611" s="4" t="s">
        <v>15263</v>
      </c>
      <c r="R611" s="4" t="s">
        <v>39</v>
      </c>
      <c r="S611" s="4" t="s">
        <v>9160</v>
      </c>
      <c r="T611" s="4" t="s">
        <v>29</v>
      </c>
      <c r="U611" s="5" t="s">
        <v>15264</v>
      </c>
      <c r="V611" s="5" t="s">
        <v>15265</v>
      </c>
      <c r="W611" s="5" t="s">
        <v>15266</v>
      </c>
      <c r="X611" s="6"/>
      <c r="Y611" s="6"/>
      <c r="Z611" s="4" t="s">
        <v>15267</v>
      </c>
      <c r="AA611" s="6"/>
      <c r="AB611" s="5" t="s">
        <v>15268</v>
      </c>
    </row>
    <row r="612" ht="14.25">
      <c r="A612" s="4" t="s">
        <v>15270</v>
      </c>
      <c r="B612" s="4" t="s">
        <v>110</v>
      </c>
      <c r="C612" s="4" t="s">
        <v>9849</v>
      </c>
      <c r="F612" s="4" t="s">
        <v>15271</v>
      </c>
      <c r="G612" s="4">
        <v>10</v>
      </c>
      <c r="H612" s="4" t="s">
        <v>15272</v>
      </c>
      <c r="I612" s="4" t="str">
        <f>IFERROR(__XLUDF.DUMMYFUNCTION("PROPER(REGEXREPLACE(G610,""[^A-Za-z]+ "",""""))"),"Toolapp")</f>
        <v>Toolapp</v>
      </c>
      <c r="J612" s="5" t="s">
        <v>15273</v>
      </c>
      <c r="K612" s="4" t="s">
        <v>1711</v>
      </c>
      <c r="L612" s="4" t="s">
        <v>9350</v>
      </c>
      <c r="M612" s="4" t="s">
        <v>29</v>
      </c>
      <c r="N612" s="4" t="s">
        <v>2602</v>
      </c>
      <c r="O612" s="4" t="str">
        <f>IFERROR(__XLUDF.DUMMYFUNCTION("VLOOKUP(M610,IMPORTRANGE(""https://docs.google.com/spreadsheets/d/1opm6ZNvGZ7KditA9TuJwrZ25eFLfTNIkrNnY6mhV5Eg"",""list!A1:C115""),3,TRUE)"),"le secteur de la tech")</f>
        <v xml:space="preserve">le secteur de la tech</v>
      </c>
      <c r="P612" s="4" t="s">
        <v>15274</v>
      </c>
      <c r="R612" s="4" t="s">
        <v>1711</v>
      </c>
      <c r="S612" s="4" t="s">
        <v>9350</v>
      </c>
      <c r="T612" s="4" t="s">
        <v>29</v>
      </c>
      <c r="U612" s="5" t="s">
        <v>15275</v>
      </c>
      <c r="V612" s="6"/>
      <c r="W612" s="6"/>
      <c r="X612" s="6"/>
      <c r="Y612" s="6"/>
      <c r="Z612" s="4" t="s">
        <v>15276</v>
      </c>
      <c r="AA612" s="6"/>
      <c r="AB612" s="5" t="s">
        <v>15277</v>
      </c>
    </row>
    <row r="613" ht="14.25">
      <c r="A613" s="4" t="s">
        <v>8970</v>
      </c>
      <c r="B613" s="4" t="s">
        <v>110</v>
      </c>
      <c r="C613" s="4" t="s">
        <v>15280</v>
      </c>
      <c r="F613" s="4" t="s">
        <v>15279</v>
      </c>
      <c r="G613" s="4">
        <v>12</v>
      </c>
      <c r="H613" s="4" t="s">
        <v>15281</v>
      </c>
      <c r="I613" s="4" t="str">
        <f>IFERROR(__XLUDF.DUMMYFUNCTION("PROPER(REGEXREPLACE(G611,""[^A-Za-z]+ "",""""))"),"Le Lit National")</f>
        <v xml:space="preserve">Le Lit National</v>
      </c>
      <c r="J613" s="5" t="s">
        <v>15282</v>
      </c>
      <c r="K613" s="4" t="s">
        <v>39</v>
      </c>
      <c r="L613" s="4" t="s">
        <v>9160</v>
      </c>
      <c r="M613" s="4" t="s">
        <v>29</v>
      </c>
      <c r="N613" s="4" t="s">
        <v>4525</v>
      </c>
      <c r="O613" s="4" t="str">
        <f>IFERROR(__XLUDF.DUMMYFUNCTION("VLOOKUP(M611,IMPORTRANGE(""https://docs.google.com/spreadsheets/d/1opm6ZNvGZ7KditA9TuJwrZ25eFLfTNIkrNnY6mhV5Eg"",""list!A1:C115""),3,TRUE)"),"le secteur du retail")</f>
        <v xml:space="preserve">le secteur du retail</v>
      </c>
      <c r="P613" s="4" t="s">
        <v>15283</v>
      </c>
      <c r="R613" s="4" t="s">
        <v>39</v>
      </c>
      <c r="S613" s="4" t="s">
        <v>9160</v>
      </c>
      <c r="T613" s="4" t="s">
        <v>29</v>
      </c>
      <c r="U613" s="5" t="s">
        <v>15284</v>
      </c>
      <c r="V613" s="6"/>
      <c r="W613" s="6"/>
      <c r="X613" s="6"/>
      <c r="Y613" s="6"/>
      <c r="Z613" s="4" t="s">
        <v>15285</v>
      </c>
      <c r="AA613" s="6"/>
      <c r="AB613" s="5" t="s">
        <v>15286</v>
      </c>
    </row>
    <row r="614" ht="14.25">
      <c r="A614" s="4" t="s">
        <v>2304</v>
      </c>
      <c r="B614" s="4" t="s">
        <v>110</v>
      </c>
      <c r="C614" s="4" t="s">
        <v>15289</v>
      </c>
      <c r="F614" s="4" t="s">
        <v>15288</v>
      </c>
      <c r="G614" s="4">
        <v>46</v>
      </c>
      <c r="H614" s="4" t="s">
        <v>15290</v>
      </c>
      <c r="I614" s="4" t="str">
        <f>IFERROR(__XLUDF.DUMMYFUNCTION("PROPER(REGEXREPLACE(G612,""[^A-Za-z]+ "",""""))"),"Apik")</f>
        <v>Apik</v>
      </c>
      <c r="J614" s="4" t="s">
        <v>15291</v>
      </c>
      <c r="K614" s="4" t="s">
        <v>15292</v>
      </c>
      <c r="L614" s="4" t="s">
        <v>10736</v>
      </c>
      <c r="M614" s="4" t="s">
        <v>29</v>
      </c>
      <c r="N614" s="4" t="s">
        <v>2602</v>
      </c>
      <c r="O614" s="4" t="str">
        <f>IFERROR(__XLUDF.DUMMYFUNCTION("VLOOKUP(M612,IMPORTRANGE(""https://docs.google.com/spreadsheets/d/1opm6ZNvGZ7KditA9TuJwrZ25eFLfTNIkrNnY6mhV5Eg"",""list!A1:C115""),3,TRUE)"),"le secteur de la tech")</f>
        <v xml:space="preserve">le secteur de la tech</v>
      </c>
      <c r="P614" s="4" t="s">
        <v>15293</v>
      </c>
      <c r="R614" s="4" t="s">
        <v>15294</v>
      </c>
      <c r="S614" s="4" t="s">
        <v>10973</v>
      </c>
      <c r="T614" s="4" t="s">
        <v>29</v>
      </c>
      <c r="U614" s="5" t="s">
        <v>15295</v>
      </c>
      <c r="V614" s="6"/>
      <c r="W614" s="5" t="s">
        <v>15296</v>
      </c>
      <c r="X614" s="6"/>
      <c r="Y614" s="6"/>
      <c r="Z614" s="4" t="s">
        <v>15297</v>
      </c>
      <c r="AA614" s="6"/>
      <c r="AB614" s="5" t="s">
        <v>15298</v>
      </c>
    </row>
    <row r="615" ht="14.25">
      <c r="A615" s="4" t="s">
        <v>15300</v>
      </c>
      <c r="B615" s="4" t="s">
        <v>1454</v>
      </c>
      <c r="C615" s="4" t="s">
        <v>15302</v>
      </c>
      <c r="F615" s="4" t="s">
        <v>15301</v>
      </c>
      <c r="G615" s="4">
        <v>18</v>
      </c>
      <c r="H615" s="4" t="s">
        <v>15303</v>
      </c>
      <c r="I615" s="4" t="str">
        <f>IFERROR(__XLUDF.DUMMYFUNCTION("PROPER(REGEXREPLACE(G613,""[^A-Za-z]+ "",""""))"),"Usabilis")</f>
        <v>Usabilis</v>
      </c>
      <c r="J615" s="5" t="s">
        <v>15304</v>
      </c>
      <c r="K615" s="4" t="s">
        <v>39</v>
      </c>
      <c r="L615" s="4" t="s">
        <v>9160</v>
      </c>
      <c r="M615" s="4" t="s">
        <v>29</v>
      </c>
      <c r="N615" s="4" t="s">
        <v>2602</v>
      </c>
      <c r="O615" s="4" t="str">
        <f>IFERROR(__XLUDF.DUMMYFUNCTION("VLOOKUP(M613,IMPORTRANGE(""https://docs.google.com/spreadsheets/d/1opm6ZNvGZ7KditA9TuJwrZ25eFLfTNIkrNnY6mhV5Eg"",""list!A1:C115""),3,TRUE)"),"le secteur de la tech")</f>
        <v xml:space="preserve">le secteur de la tech</v>
      </c>
      <c r="P615" s="4" t="s">
        <v>15305</v>
      </c>
      <c r="R615" s="4" t="s">
        <v>9403</v>
      </c>
      <c r="S615" s="4" t="s">
        <v>9160</v>
      </c>
      <c r="T615" s="4" t="s">
        <v>29</v>
      </c>
      <c r="U615" s="5" t="s">
        <v>15306</v>
      </c>
      <c r="V615" s="5" t="s">
        <v>15307</v>
      </c>
      <c r="W615" s="5" t="s">
        <v>15308</v>
      </c>
      <c r="X615" s="6"/>
      <c r="Y615" s="6"/>
      <c r="Z615" s="4" t="s">
        <v>15309</v>
      </c>
      <c r="AA615" s="6"/>
      <c r="AB615" s="5" t="s">
        <v>15310</v>
      </c>
    </row>
    <row r="616" ht="14.25">
      <c r="A616" s="4" t="s">
        <v>15313</v>
      </c>
      <c r="B616" s="4" t="s">
        <v>15312</v>
      </c>
      <c r="C616" s="4" t="s">
        <v>13001</v>
      </c>
      <c r="F616" s="4" t="s">
        <v>15314</v>
      </c>
      <c r="G616" s="4">
        <v>22</v>
      </c>
      <c r="H616" s="4" t="s">
        <v>13002</v>
      </c>
      <c r="I616" s="4" t="str">
        <f>IFERROR(__XLUDF.DUMMYFUNCTION("PROPER(REGEXREPLACE(G614,""[^A-Za-z]+ "",""""))"),"Nj Partners")</f>
        <v xml:space="preserve">Nj Partners</v>
      </c>
      <c r="J616" s="5" t="s">
        <v>13003</v>
      </c>
      <c r="K616" s="4" t="s">
        <v>39</v>
      </c>
      <c r="L616" s="4" t="s">
        <v>9160</v>
      </c>
      <c r="M616" s="4" t="s">
        <v>29</v>
      </c>
      <c r="N616" s="4" t="s">
        <v>4525</v>
      </c>
      <c r="O616" s="4" t="str">
        <f>IFERROR(__XLUDF.DUMMYFUNCTION("VLOOKUP(M614,IMPORTRANGE(""https://docs.google.com/spreadsheets/d/1opm6ZNvGZ7KditA9TuJwrZ25eFLfTNIkrNnY6mhV5Eg"",""list!A1:C115""),3,TRUE)"),"le secteur du retail")</f>
        <v xml:space="preserve">le secteur du retail</v>
      </c>
      <c r="P616" s="4" t="s">
        <v>13004</v>
      </c>
      <c r="R616" s="4" t="s">
        <v>13005</v>
      </c>
      <c r="S616" s="4" t="s">
        <v>9160</v>
      </c>
      <c r="T616" s="4" t="s">
        <v>29</v>
      </c>
      <c r="U616" s="5" t="s">
        <v>13006</v>
      </c>
      <c r="V616" s="6"/>
      <c r="W616" s="6"/>
      <c r="X616" s="6"/>
      <c r="Y616" s="6"/>
      <c r="Z616" s="4" t="s">
        <v>13007</v>
      </c>
      <c r="AA616" s="6"/>
      <c r="AB616" s="5" t="s">
        <v>15315</v>
      </c>
    </row>
    <row r="617" ht="14.25">
      <c r="A617" s="4" t="s">
        <v>15317</v>
      </c>
      <c r="B617" s="4" t="s">
        <v>110</v>
      </c>
      <c r="C617" s="4" t="s">
        <v>7759</v>
      </c>
      <c r="F617" s="4" t="s">
        <v>15318</v>
      </c>
      <c r="G617" s="4">
        <v>15</v>
      </c>
      <c r="H617" s="4" t="s">
        <v>15319</v>
      </c>
      <c r="I617" s="4" t="str">
        <f>IFERROR(__XLUDF.DUMMYFUNCTION("PROPER(REGEXREPLACE(G615,""[^A-Za-z]+ "",""""))"),"Piazza Coffrages")</f>
        <v xml:space="preserve">Piazza Coffrages</v>
      </c>
      <c r="J617" s="5" t="s">
        <v>15320</v>
      </c>
      <c r="K617" s="4" t="s">
        <v>846</v>
      </c>
      <c r="L617" s="4" t="s">
        <v>9278</v>
      </c>
      <c r="M617" s="4" t="s">
        <v>29</v>
      </c>
      <c r="N617" s="4" t="s">
        <v>9239</v>
      </c>
      <c r="O617" s="4" t="str">
        <f>IFERROR(__XLUDF.DUMMYFUNCTION("VLOOKUP(M615,IMPORTRANGE(""https://docs.google.com/spreadsheets/d/1opm6ZNvGZ7KditA9TuJwrZ25eFLfTNIkrNnY6mhV5Eg"",""list!A1:C115""),3,TRUE)"),"le secteur de la construction")</f>
        <v xml:space="preserve">le secteur de la construction</v>
      </c>
      <c r="P617" s="4" t="s">
        <v>15321</v>
      </c>
      <c r="R617" s="4" t="s">
        <v>15322</v>
      </c>
      <c r="S617" s="4" t="s">
        <v>9281</v>
      </c>
      <c r="T617" s="4" t="s">
        <v>29</v>
      </c>
      <c r="U617" s="5" t="s">
        <v>15323</v>
      </c>
      <c r="V617" s="6"/>
      <c r="W617" s="5" t="s">
        <v>15324</v>
      </c>
      <c r="X617" s="6"/>
      <c r="Y617" s="6"/>
      <c r="Z617" s="4" t="s">
        <v>15325</v>
      </c>
      <c r="AA617" s="6"/>
      <c r="AB617" s="5" t="s">
        <v>15326</v>
      </c>
    </row>
    <row r="618" ht="14.25">
      <c r="A618" s="4" t="s">
        <v>5587</v>
      </c>
      <c r="B618" s="4" t="s">
        <v>330</v>
      </c>
      <c r="C618" s="4" t="s">
        <v>15329</v>
      </c>
      <c r="F618" s="4" t="s">
        <v>15328</v>
      </c>
      <c r="G618" s="4">
        <v>22</v>
      </c>
      <c r="H618" s="4" t="s">
        <v>15330</v>
      </c>
      <c r="I618" s="4" t="str">
        <f>IFERROR(__XLUDF.DUMMYFUNCTION("PROPER(REGEXREPLACE(G616,""[^A-Za-z]+ "",""""))"),"Optalor")</f>
        <v>Optalor</v>
      </c>
      <c r="J618" s="5" t="s">
        <v>15331</v>
      </c>
      <c r="K618" s="4" t="s">
        <v>1780</v>
      </c>
      <c r="L618" s="4" t="s">
        <v>9215</v>
      </c>
      <c r="M618" s="4" t="s">
        <v>29</v>
      </c>
      <c r="N618" s="4" t="s">
        <v>4525</v>
      </c>
      <c r="O618" s="4" t="str">
        <f>IFERROR(__XLUDF.DUMMYFUNCTION("VLOOKUP(M616,IMPORTRANGE(""https://docs.google.com/spreadsheets/d/1opm6ZNvGZ7KditA9TuJwrZ25eFLfTNIkrNnY6mhV5Eg"",""list!A1:C115""),3,TRUE)"),"le secteur du retail")</f>
        <v xml:space="preserve">le secteur du retail</v>
      </c>
      <c r="P618" s="6"/>
      <c r="R618" s="4" t="s">
        <v>15332</v>
      </c>
      <c r="S618" s="4" t="s">
        <v>9215</v>
      </c>
      <c r="T618" s="4" t="s">
        <v>29</v>
      </c>
      <c r="U618" s="5" t="s">
        <v>15333</v>
      </c>
      <c r="V618" s="6"/>
      <c r="W618" s="6"/>
      <c r="X618" s="6"/>
      <c r="Y618" s="6"/>
      <c r="Z618" s="4" t="s">
        <v>15334</v>
      </c>
      <c r="AA618" s="6"/>
      <c r="AB618" s="5" t="s">
        <v>15335</v>
      </c>
    </row>
    <row r="619" ht="14.25">
      <c r="A619" s="4" t="s">
        <v>15337</v>
      </c>
      <c r="B619" s="4" t="s">
        <v>330</v>
      </c>
      <c r="C619" s="4" t="s">
        <v>172</v>
      </c>
      <c r="F619" s="4" t="s">
        <v>15338</v>
      </c>
      <c r="G619" s="4">
        <v>16</v>
      </c>
      <c r="H619" s="4" t="s">
        <v>15339</v>
      </c>
      <c r="I619" s="4" t="str">
        <f>IFERROR(__XLUDF.DUMMYFUNCTION("PROPER(REGEXREPLACE(G617,""[^A-Za-z]+ "",""""))"),"Eyes Up")</f>
        <v xml:space="preserve">Eyes Up</v>
      </c>
      <c r="J619" s="6"/>
      <c r="K619" s="6"/>
      <c r="L619" s="6"/>
      <c r="M619" s="4" t="s">
        <v>29</v>
      </c>
      <c r="N619" s="4" t="s">
        <v>9161</v>
      </c>
      <c r="O619" s="4" t="str">
        <f>IFERROR(__XLUDF.DUMMYFUNCTION("VLOOKUP(M617,IMPORTRANGE(""https://docs.google.com/spreadsheets/d/1opm6ZNvGZ7KditA9TuJwrZ25eFLfTNIkrNnY6mhV5Eg"",""list!A1:C115""),3,TRUE)"),"le secteur du marketing")</f>
        <v xml:space="preserve">le secteur du marketing</v>
      </c>
      <c r="P619" s="4" t="s">
        <v>15340</v>
      </c>
      <c r="R619" s="4" t="s">
        <v>482</v>
      </c>
      <c r="S619" s="4" t="s">
        <v>10829</v>
      </c>
      <c r="T619" s="4" t="s">
        <v>29</v>
      </c>
      <c r="U619" s="5" t="s">
        <v>15341</v>
      </c>
      <c r="V619" s="6"/>
      <c r="W619" s="6"/>
      <c r="X619" s="6"/>
      <c r="Y619" s="6"/>
      <c r="Z619" s="4" t="s">
        <v>15342</v>
      </c>
      <c r="AA619" s="6"/>
      <c r="AB619" s="5" t="s">
        <v>15343</v>
      </c>
    </row>
    <row r="620" ht="14.25">
      <c r="A620" s="4" t="s">
        <v>6717</v>
      </c>
      <c r="B620" s="4" t="s">
        <v>330</v>
      </c>
      <c r="C620" s="4" t="s">
        <v>9456</v>
      </c>
      <c r="F620" s="4" t="s">
        <v>15345</v>
      </c>
      <c r="G620" s="4">
        <v>41</v>
      </c>
      <c r="H620" s="4" t="s">
        <v>15346</v>
      </c>
      <c r="I620" s="4" t="str">
        <f>IFERROR(__XLUDF.DUMMYFUNCTION("PROPER(REGEXREPLACE(G618,""[^A-Za-z]+ "",""""))"),"Coordef Ingénierie")</f>
        <v xml:space="preserve">Coordef Ingénierie</v>
      </c>
      <c r="J620" s="6"/>
      <c r="K620" s="4" t="s">
        <v>39</v>
      </c>
      <c r="L620" s="4" t="s">
        <v>9160</v>
      </c>
      <c r="M620" s="4" t="s">
        <v>29</v>
      </c>
      <c r="N620" s="4" t="s">
        <v>9239</v>
      </c>
      <c r="O620" s="4" t="str">
        <f>IFERROR(__XLUDF.DUMMYFUNCTION("VLOOKUP(M618,IMPORTRANGE(""https://docs.google.com/spreadsheets/d/1opm6ZNvGZ7KditA9TuJwrZ25eFLfTNIkrNnY6mhV5Eg"",""list!A1:C115""),3,TRUE)"),"le secteur de la construction")</f>
        <v xml:space="preserve">le secteur de la construction</v>
      </c>
      <c r="P620" s="4" t="s">
        <v>15347</v>
      </c>
      <c r="R620" s="4" t="s">
        <v>15348</v>
      </c>
      <c r="S620" s="4" t="s">
        <v>9160</v>
      </c>
      <c r="T620" s="4" t="s">
        <v>29</v>
      </c>
      <c r="U620" s="5" t="s">
        <v>15349</v>
      </c>
      <c r="V620" s="6"/>
      <c r="W620" s="6"/>
      <c r="X620" s="6"/>
      <c r="Y620" s="6"/>
      <c r="Z620" s="4" t="s">
        <v>15350</v>
      </c>
      <c r="AA620" s="6"/>
      <c r="AB620" s="5" t="s">
        <v>15351</v>
      </c>
    </row>
    <row r="621" ht="14.25">
      <c r="A621" s="4" t="s">
        <v>15353</v>
      </c>
      <c r="B621" s="4" t="s">
        <v>330</v>
      </c>
      <c r="C621" s="4" t="s">
        <v>15355</v>
      </c>
      <c r="F621" s="4" t="s">
        <v>15354</v>
      </c>
      <c r="G621" s="4">
        <v>16</v>
      </c>
      <c r="H621" s="4" t="s">
        <v>15356</v>
      </c>
      <c r="I621" s="4" t="str">
        <f>IFERROR(__XLUDF.DUMMYFUNCTION("PROPER(REGEXREPLACE(G619,""[^A-Za-z]+ "",""""))"),"E-Nergy")</f>
        <v>E-Nergy</v>
      </c>
      <c r="J621" s="5" t="s">
        <v>15357</v>
      </c>
      <c r="K621" s="4" t="s">
        <v>185</v>
      </c>
      <c r="L621" s="4" t="s">
        <v>9193</v>
      </c>
      <c r="M621" s="4" t="s">
        <v>29</v>
      </c>
      <c r="N621" s="4" t="s">
        <v>4067</v>
      </c>
      <c r="O621" s="4" t="str">
        <f>IFERROR(__XLUDF.DUMMYFUNCTION("VLOOKUP(M619,IMPORTRANGE(""https://docs.google.com/spreadsheets/d/1opm6ZNvGZ7KditA9TuJwrZ25eFLfTNIkrNnY6mhV5Eg"",""list!A1:C115""),3,TRUE)"),"le secteur du conseil en management")</f>
        <v xml:space="preserve">le secteur du conseil en management</v>
      </c>
      <c r="P621" s="4" t="s">
        <v>15358</v>
      </c>
      <c r="R621" s="4" t="s">
        <v>6603</v>
      </c>
      <c r="S621" s="4" t="s">
        <v>9160</v>
      </c>
      <c r="T621" s="4" t="s">
        <v>29</v>
      </c>
      <c r="U621" s="5" t="s">
        <v>15359</v>
      </c>
      <c r="V621" s="6"/>
      <c r="W621" s="6"/>
      <c r="X621" s="6"/>
      <c r="Y621" s="6"/>
      <c r="Z621" s="4" t="s">
        <v>15360</v>
      </c>
      <c r="AA621" s="6"/>
      <c r="AB621" s="5" t="s">
        <v>15361</v>
      </c>
    </row>
    <row r="622" ht="14.25">
      <c r="A622" s="4" t="s">
        <v>76</v>
      </c>
      <c r="B622" s="4" t="s">
        <v>330</v>
      </c>
      <c r="C622" s="4" t="s">
        <v>7759</v>
      </c>
      <c r="F622" s="4" t="s">
        <v>15363</v>
      </c>
      <c r="G622" s="4">
        <v>49</v>
      </c>
      <c r="H622" s="4" t="s">
        <v>10659</v>
      </c>
      <c r="I622" s="4" t="str">
        <f>IFERROR(__XLUDF.DUMMYFUNCTION("PROPER(REGEXREPLACE(G620,""[^A-Za-z]+ "",""""))"),"Vakom Le Sens De L'Humain")</f>
        <v xml:space="preserve">Vakom Le Sens De L'Humain</v>
      </c>
      <c r="J622" s="5" t="s">
        <v>10660</v>
      </c>
      <c r="K622" s="4" t="s">
        <v>731</v>
      </c>
      <c r="L622" s="4" t="s">
        <v>9227</v>
      </c>
      <c r="M622" s="4" t="s">
        <v>29</v>
      </c>
      <c r="N622" s="4" t="s">
        <v>4067</v>
      </c>
      <c r="O622" s="4" t="str">
        <f>IFERROR(__XLUDF.DUMMYFUNCTION("VLOOKUP(M620,IMPORTRANGE(""https://docs.google.com/spreadsheets/d/1opm6ZNvGZ7KditA9TuJwrZ25eFLfTNIkrNnY6mhV5Eg"",""list!A1:C115""),3,TRUE)"),"le secteur du conseil en management")</f>
        <v xml:space="preserve">le secteur du conseil en management</v>
      </c>
      <c r="P622" s="4" t="s">
        <v>10662</v>
      </c>
      <c r="R622" s="4" t="s">
        <v>492</v>
      </c>
      <c r="S622" s="4" t="s">
        <v>9267</v>
      </c>
      <c r="T622" s="4" t="s">
        <v>29</v>
      </c>
      <c r="U622" s="5" t="s">
        <v>10663</v>
      </c>
      <c r="V622" s="6"/>
      <c r="W622" s="5" t="s">
        <v>10664</v>
      </c>
      <c r="X622" s="6"/>
      <c r="Y622" s="6"/>
      <c r="Z622" s="4" t="s">
        <v>10665</v>
      </c>
      <c r="AA622" s="6"/>
      <c r="AB622" s="5" t="s">
        <v>15364</v>
      </c>
    </row>
    <row r="623" ht="14.25">
      <c r="A623" s="4" t="s">
        <v>15366</v>
      </c>
      <c r="B623" s="4" t="s">
        <v>330</v>
      </c>
      <c r="C623" s="4" t="s">
        <v>12122</v>
      </c>
      <c r="F623" s="4" t="s">
        <v>15367</v>
      </c>
      <c r="G623" s="4">
        <v>12</v>
      </c>
      <c r="H623" s="4" t="s">
        <v>15368</v>
      </c>
      <c r="I623" s="4" t="str">
        <f>IFERROR(__XLUDF.DUMMYFUNCTION("PROPER(REGEXREPLACE(G621,""[^A-Za-z]+ "",""""))"),"Printsys")</f>
        <v>Printsys</v>
      </c>
      <c r="J623" s="6"/>
      <c r="K623" s="4" t="s">
        <v>13441</v>
      </c>
      <c r="L623" s="4" t="s">
        <v>9350</v>
      </c>
      <c r="M623" s="4" t="s">
        <v>29</v>
      </c>
      <c r="N623" s="4" t="s">
        <v>4525</v>
      </c>
      <c r="O623" s="4" t="str">
        <f>IFERROR(__XLUDF.DUMMYFUNCTION("VLOOKUP(M621,IMPORTRANGE(""https://docs.google.com/spreadsheets/d/1opm6ZNvGZ7KditA9TuJwrZ25eFLfTNIkrNnY6mhV5Eg"",""list!A1:C115""),3,TRUE)"),"le secteur du retail")</f>
        <v xml:space="preserve">le secteur du retail</v>
      </c>
      <c r="P623" s="4" t="s">
        <v>15369</v>
      </c>
      <c r="R623" s="4" t="s">
        <v>15370</v>
      </c>
      <c r="S623" s="4" t="s">
        <v>9350</v>
      </c>
      <c r="T623" s="4" t="s">
        <v>29</v>
      </c>
      <c r="U623" s="5" t="s">
        <v>15371</v>
      </c>
      <c r="V623" s="6"/>
      <c r="W623" s="6"/>
      <c r="X623" s="6"/>
      <c r="Y623" s="6"/>
      <c r="Z623" s="4" t="s">
        <v>15372</v>
      </c>
      <c r="AA623" s="6"/>
      <c r="AB623" s="5" t="s">
        <v>15373</v>
      </c>
    </row>
    <row r="624" ht="14.25">
      <c r="A624" s="4" t="s">
        <v>15375</v>
      </c>
      <c r="B624" s="4" t="s">
        <v>330</v>
      </c>
      <c r="C624" s="4" t="s">
        <v>112</v>
      </c>
      <c r="F624" s="4" t="s">
        <v>15376</v>
      </c>
      <c r="G624" s="4">
        <v>28</v>
      </c>
      <c r="H624" s="4" t="s">
        <v>15377</v>
      </c>
      <c r="I624" s="4" t="str">
        <f>IFERROR(__XLUDF.DUMMYFUNCTION("PROPER(REGEXREPLACE(G622,""[^A-Za-z]+ "",""""))"),"Fives Prosim")</f>
        <v xml:space="preserve">Fives Prosim</v>
      </c>
      <c r="J624" s="5" t="s">
        <v>15378</v>
      </c>
      <c r="K624" s="4" t="s">
        <v>10699</v>
      </c>
      <c r="L624" s="4" t="s">
        <v>9460</v>
      </c>
      <c r="M624" s="4" t="s">
        <v>29</v>
      </c>
      <c r="N624" s="4" t="s">
        <v>2602</v>
      </c>
      <c r="O624" s="4" t="str">
        <f>IFERROR(__XLUDF.DUMMYFUNCTION("VLOOKUP(M622,IMPORTRANGE(""https://docs.google.com/spreadsheets/d/1opm6ZNvGZ7KditA9TuJwrZ25eFLfTNIkrNnY6mhV5Eg"",""list!A1:C115""),3,TRUE)"),"le secteur de la tech")</f>
        <v xml:space="preserve">le secteur de la tech</v>
      </c>
      <c r="P624" s="4" t="s">
        <v>15379</v>
      </c>
      <c r="R624" s="4" t="s">
        <v>10699</v>
      </c>
      <c r="S624" s="4" t="s">
        <v>9460</v>
      </c>
      <c r="T624" s="4" t="s">
        <v>29</v>
      </c>
      <c r="U624" s="5" t="s">
        <v>15380</v>
      </c>
      <c r="V624" s="5" t="s">
        <v>15381</v>
      </c>
      <c r="W624" s="6"/>
      <c r="X624" s="6"/>
      <c r="Y624" s="6"/>
      <c r="Z624" s="4" t="s">
        <v>15382</v>
      </c>
      <c r="AA624" s="6"/>
      <c r="AB624" s="5" t="s">
        <v>15383</v>
      </c>
    </row>
    <row r="625" ht="14.25">
      <c r="A625" s="4" t="s">
        <v>15385</v>
      </c>
      <c r="B625" s="4" t="s">
        <v>330</v>
      </c>
      <c r="C625" s="4" t="s">
        <v>7759</v>
      </c>
      <c r="F625" s="4" t="s">
        <v>15386</v>
      </c>
      <c r="G625" s="4">
        <v>10</v>
      </c>
      <c r="H625" s="4" t="s">
        <v>15387</v>
      </c>
      <c r="I625" s="4" t="str">
        <f>IFERROR(__XLUDF.DUMMYFUNCTION("PROPER(REGEXREPLACE(G623,""[^A-Za-z]+ "",""""))"),"Accomplir")</f>
        <v>Accomplir</v>
      </c>
      <c r="J625" s="5" t="s">
        <v>15388</v>
      </c>
      <c r="K625" s="4" t="s">
        <v>1711</v>
      </c>
      <c r="L625" s="4" t="s">
        <v>9350</v>
      </c>
      <c r="M625" s="4" t="s">
        <v>29</v>
      </c>
      <c r="N625" s="4" t="s">
        <v>4067</v>
      </c>
      <c r="O625" s="4" t="str">
        <f>IFERROR(__XLUDF.DUMMYFUNCTION("VLOOKUP(M623,IMPORTRANGE(""https://docs.google.com/spreadsheets/d/1opm6ZNvGZ7KditA9TuJwrZ25eFLfTNIkrNnY6mhV5Eg"",""list!A1:C115""),3,TRUE)"),"le secteur du conseil en management")</f>
        <v xml:space="preserve">le secteur du conseil en management</v>
      </c>
      <c r="P625" s="4" t="s">
        <v>15389</v>
      </c>
      <c r="R625" s="4" t="s">
        <v>1711</v>
      </c>
      <c r="S625" s="4" t="s">
        <v>9350</v>
      </c>
      <c r="T625" s="4" t="s">
        <v>29</v>
      </c>
      <c r="U625" s="5" t="s">
        <v>15390</v>
      </c>
      <c r="V625" s="6"/>
      <c r="W625" s="6"/>
      <c r="X625" s="6"/>
      <c r="Y625" s="6"/>
      <c r="Z625" s="4" t="s">
        <v>15391</v>
      </c>
      <c r="AA625" s="6"/>
      <c r="AB625" s="5" t="s">
        <v>15392</v>
      </c>
    </row>
    <row r="626" ht="14.25">
      <c r="A626" s="4" t="s">
        <v>15394</v>
      </c>
      <c r="B626" s="4" t="s">
        <v>330</v>
      </c>
      <c r="C626" s="4" t="s">
        <v>15396</v>
      </c>
      <c r="F626" s="4" t="s">
        <v>15395</v>
      </c>
      <c r="G626" s="4">
        <v>35</v>
      </c>
      <c r="H626" s="5" t="s">
        <v>15397</v>
      </c>
      <c r="I626" s="5" t="str">
        <f>IFERROR(__XLUDF.DUMMYFUNCTION("PROPER(REGEXREPLACE(G624,""[^A-Za-z]+ "",""""))"),"Circularity.Fr")</f>
        <v>Circularity.Fr</v>
      </c>
      <c r="J626" s="5" t="s">
        <v>15398</v>
      </c>
      <c r="K626" s="4" t="s">
        <v>39</v>
      </c>
      <c r="L626" s="4" t="s">
        <v>9160</v>
      </c>
      <c r="M626" s="4" t="s">
        <v>29</v>
      </c>
      <c r="N626" s="4" t="s">
        <v>4067</v>
      </c>
      <c r="O626" s="4" t="str">
        <f>IFERROR(__XLUDF.DUMMYFUNCTION("VLOOKUP(M624,IMPORTRANGE(""https://docs.google.com/spreadsheets/d/1opm6ZNvGZ7KditA9TuJwrZ25eFLfTNIkrNnY6mhV5Eg"",""list!A1:C115""),3,TRUE)"),"le secteur du conseil en management")</f>
        <v xml:space="preserve">le secteur du conseil en management</v>
      </c>
      <c r="P626" s="4" t="s">
        <v>15399</v>
      </c>
      <c r="R626" s="4" t="s">
        <v>39</v>
      </c>
      <c r="S626" s="4" t="s">
        <v>9160</v>
      </c>
      <c r="T626" s="4" t="s">
        <v>29</v>
      </c>
      <c r="U626" s="5" t="s">
        <v>15400</v>
      </c>
      <c r="V626" s="6"/>
      <c r="W626" s="6"/>
      <c r="X626" s="6"/>
      <c r="Y626" s="6"/>
      <c r="Z626" s="4" t="s">
        <v>15401</v>
      </c>
      <c r="AA626" s="6"/>
      <c r="AB626" s="5" t="s">
        <v>15402</v>
      </c>
    </row>
    <row r="627" ht="14.25">
      <c r="A627" s="4" t="s">
        <v>15404</v>
      </c>
      <c r="B627" s="4" t="s">
        <v>330</v>
      </c>
      <c r="C627" s="4" t="s">
        <v>15406</v>
      </c>
      <c r="F627" s="4" t="s">
        <v>15405</v>
      </c>
      <c r="G627" s="4">
        <v>41</v>
      </c>
      <c r="H627" s="4" t="s">
        <v>15407</v>
      </c>
      <c r="I627" s="4" t="str">
        <f>IFERROR(__XLUDF.DUMMYFUNCTION("PROPER(REGEXREPLACE(G625,""[^A-Za-z]+ "",""""))"),"Fms Fermetures Menuiseries Schoch")</f>
        <v xml:space="preserve">Fms Fermetures Menuiseries Schoch</v>
      </c>
      <c r="J627" s="5" t="s">
        <v>15408</v>
      </c>
      <c r="K627" s="4" t="s">
        <v>651</v>
      </c>
      <c r="L627" s="4" t="s">
        <v>9215</v>
      </c>
      <c r="M627" s="4" t="s">
        <v>29</v>
      </c>
      <c r="N627" s="4" t="s">
        <v>9239</v>
      </c>
      <c r="O627" s="4" t="str">
        <f>IFERROR(__XLUDF.DUMMYFUNCTION("VLOOKUP(M625,IMPORTRANGE(""https://docs.google.com/spreadsheets/d/1opm6ZNvGZ7KditA9TuJwrZ25eFLfTNIkrNnY6mhV5Eg"",""list!A1:C115""),3,TRUE)"),"le secteur de la construction")</f>
        <v xml:space="preserve">le secteur de la construction</v>
      </c>
      <c r="P627" s="4" t="s">
        <v>15409</v>
      </c>
      <c r="R627" s="4" t="s">
        <v>5742</v>
      </c>
      <c r="S627" s="4" t="s">
        <v>9215</v>
      </c>
      <c r="T627" s="4" t="s">
        <v>29</v>
      </c>
      <c r="U627" s="5" t="s">
        <v>15410</v>
      </c>
      <c r="V627" s="6"/>
      <c r="W627" s="6"/>
      <c r="X627" s="6"/>
      <c r="Y627" s="6"/>
      <c r="Z627" s="4" t="s">
        <v>15411</v>
      </c>
      <c r="AA627" s="6"/>
      <c r="AB627" s="5" t="s">
        <v>15412</v>
      </c>
    </row>
    <row r="628" ht="14.25">
      <c r="A628" s="4" t="s">
        <v>15414</v>
      </c>
      <c r="B628" s="4" t="s">
        <v>330</v>
      </c>
      <c r="C628" s="4" t="s">
        <v>15416</v>
      </c>
      <c r="F628" s="4" t="s">
        <v>15415</v>
      </c>
      <c r="G628" s="4">
        <v>39</v>
      </c>
      <c r="H628" s="4" t="s">
        <v>15417</v>
      </c>
      <c r="I628" s="4" t="str">
        <f>IFERROR(__XLUDF.DUMMYFUNCTION("PROPER(REGEXREPLACE(G626,""[^A-Za-z]+ "",""""))"),"Groupe Boulle")</f>
        <v xml:space="preserve">Groupe Boulle</v>
      </c>
      <c r="J628" s="5" t="s">
        <v>15418</v>
      </c>
      <c r="K628" s="4" t="s">
        <v>651</v>
      </c>
      <c r="L628" s="4" t="s">
        <v>9215</v>
      </c>
      <c r="M628" s="4" t="s">
        <v>29</v>
      </c>
      <c r="N628" s="4" t="s">
        <v>4293</v>
      </c>
      <c r="O628" s="4" t="str">
        <f>IFERROR(__XLUDF.DUMMYFUNCTION("VLOOKUP(M626,IMPORTRANGE(""https://docs.google.com/spreadsheets/d/1opm6ZNvGZ7KditA9TuJwrZ25eFLfTNIkrNnY6mhV5Eg"",""list!A1:C115""),3,TRUE)"),"le secteur de l'immobilier")</f>
        <v xml:space="preserve">le secteur de l'immobilier</v>
      </c>
      <c r="P628" s="4" t="s">
        <v>15419</v>
      </c>
      <c r="R628" s="4" t="s">
        <v>15420</v>
      </c>
      <c r="S628" s="4" t="s">
        <v>12581</v>
      </c>
      <c r="T628" s="4" t="s">
        <v>29</v>
      </c>
      <c r="U628" s="5" t="s">
        <v>15421</v>
      </c>
      <c r="V628" s="6"/>
      <c r="W628" s="5" t="s">
        <v>15422</v>
      </c>
      <c r="X628" s="6"/>
      <c r="Y628" s="6"/>
      <c r="Z628" s="4" t="s">
        <v>15423</v>
      </c>
      <c r="AA628" s="6"/>
      <c r="AB628" s="5" t="s">
        <v>15424</v>
      </c>
    </row>
    <row r="629" ht="14.25">
      <c r="A629" s="4" t="s">
        <v>15426</v>
      </c>
      <c r="B629" s="4" t="s">
        <v>330</v>
      </c>
      <c r="C629" s="4" t="s">
        <v>112</v>
      </c>
      <c r="F629" s="4" t="s">
        <v>15427</v>
      </c>
      <c r="G629" s="4">
        <v>13</v>
      </c>
      <c r="H629" s="4" t="s">
        <v>15428</v>
      </c>
      <c r="I629" s="4" t="str">
        <f>IFERROR(__XLUDF.DUMMYFUNCTION("PROPER(REGEXREPLACE(G627,""[^A-Za-z]+ "",""""))"),"Dc2Scale")</f>
        <v>Dc2Scale</v>
      </c>
      <c r="J629" s="5" t="s">
        <v>15429</v>
      </c>
      <c r="K629" s="4" t="s">
        <v>15430</v>
      </c>
      <c r="L629" s="4" t="s">
        <v>9227</v>
      </c>
      <c r="M629" s="4" t="s">
        <v>29</v>
      </c>
      <c r="N629" s="4" t="s">
        <v>9184</v>
      </c>
      <c r="O629" s="4" t="str">
        <f>IFERROR(__XLUDF.DUMMYFUNCTION("VLOOKUP(M627,IMPORTRANGE(""https://docs.google.com/spreadsheets/d/1opm6ZNvGZ7KditA9TuJwrZ25eFLfTNIkrNnY6mhV5Eg"",""list!A1:C115""),3,TRUE)"),"le secteur des télécommunications")</f>
        <v xml:space="preserve">le secteur des télécommunications</v>
      </c>
      <c r="P629" s="4" t="s">
        <v>15431</v>
      </c>
      <c r="R629" s="4" t="s">
        <v>13696</v>
      </c>
      <c r="S629" s="4" t="s">
        <v>9160</v>
      </c>
      <c r="T629" s="4" t="s">
        <v>29</v>
      </c>
      <c r="U629" s="5" t="s">
        <v>15432</v>
      </c>
      <c r="V629" s="6"/>
      <c r="W629" s="6"/>
      <c r="X629" s="6"/>
      <c r="Y629" s="6"/>
      <c r="Z629" s="4" t="s">
        <v>15433</v>
      </c>
      <c r="AA629" s="6"/>
      <c r="AB629" s="5" t="s">
        <v>15434</v>
      </c>
    </row>
    <row r="630" ht="14.25">
      <c r="A630" s="4" t="s">
        <v>15437</v>
      </c>
      <c r="B630" s="4" t="s">
        <v>15436</v>
      </c>
      <c r="C630" s="4" t="s">
        <v>62</v>
      </c>
      <c r="F630" s="4" t="s">
        <v>15438</v>
      </c>
      <c r="G630" s="4">
        <v>26</v>
      </c>
      <c r="H630" s="4" t="s">
        <v>15439</v>
      </c>
      <c r="I630" s="4" t="str">
        <f>IFERROR(__XLUDF.DUMMYFUNCTION("PROPER(REGEXREPLACE(G628,""[^A-Za-z]+ "",""""))"),"Wizya")</f>
        <v>Wizya</v>
      </c>
      <c r="J630" s="5" t="s">
        <v>15440</v>
      </c>
      <c r="K630" s="4" t="s">
        <v>39</v>
      </c>
      <c r="L630" s="4" t="s">
        <v>9160</v>
      </c>
      <c r="M630" s="4" t="s">
        <v>29</v>
      </c>
      <c r="N630" s="4" t="s">
        <v>2602</v>
      </c>
      <c r="O630" s="4" t="str">
        <f>IFERROR(__XLUDF.DUMMYFUNCTION("VLOOKUP(M628,IMPORTRANGE(""https://docs.google.com/spreadsheets/d/1opm6ZNvGZ7KditA9TuJwrZ25eFLfTNIkrNnY6mhV5Eg"",""list!A1:C115""),3,TRUE)"),"le secteur de la tech")</f>
        <v xml:space="preserve">le secteur de la tech</v>
      </c>
      <c r="P630" s="4" t="s">
        <v>15441</v>
      </c>
      <c r="R630" s="4" t="s">
        <v>39</v>
      </c>
      <c r="S630" s="4" t="s">
        <v>9160</v>
      </c>
      <c r="T630" s="4" t="s">
        <v>29</v>
      </c>
      <c r="U630" s="5" t="s">
        <v>15442</v>
      </c>
      <c r="V630" s="6"/>
      <c r="W630" s="6"/>
      <c r="X630" s="6"/>
      <c r="Y630" s="6"/>
      <c r="Z630" s="4" t="s">
        <v>15443</v>
      </c>
      <c r="AA630" s="6"/>
      <c r="AB630" s="5" t="s">
        <v>15444</v>
      </c>
    </row>
    <row r="631" ht="14.25">
      <c r="A631" s="4" t="s">
        <v>15446</v>
      </c>
      <c r="B631" s="4" t="s">
        <v>330</v>
      </c>
      <c r="C631" s="4" t="s">
        <v>112</v>
      </c>
      <c r="F631" s="4" t="s">
        <v>15447</v>
      </c>
      <c r="G631" s="4">
        <v>33</v>
      </c>
      <c r="H631" s="4" t="s">
        <v>15448</v>
      </c>
      <c r="I631" s="4" t="str">
        <f>IFERROR(__XLUDF.DUMMYFUNCTION("PROPER(REGEXREPLACE(G629,""[^A-Za-z]+ "",""""))"),"Sequence Informatique")</f>
        <v xml:space="preserve">Sequence Informatique</v>
      </c>
      <c r="J631" s="5" t="s">
        <v>15449</v>
      </c>
      <c r="K631" s="4" t="s">
        <v>10327</v>
      </c>
      <c r="L631" s="4" t="s">
        <v>9460</v>
      </c>
      <c r="M631" s="4" t="s">
        <v>29</v>
      </c>
      <c r="N631" s="4" t="s">
        <v>2602</v>
      </c>
      <c r="O631" s="4" t="str">
        <f>IFERROR(__XLUDF.DUMMYFUNCTION("VLOOKUP(M629,IMPORTRANGE(""https://docs.google.com/spreadsheets/d/1opm6ZNvGZ7KditA9TuJwrZ25eFLfTNIkrNnY6mhV5Eg"",""list!A1:C115""),3,TRUE)"),"le secteur de la tech")</f>
        <v xml:space="preserve">le secteur de la tech</v>
      </c>
      <c r="P631" s="4" t="s">
        <v>15450</v>
      </c>
      <c r="R631" s="4" t="s">
        <v>9403</v>
      </c>
      <c r="S631" s="4" t="s">
        <v>9160</v>
      </c>
      <c r="T631" s="4" t="s">
        <v>29</v>
      </c>
      <c r="U631" s="5" t="s">
        <v>15451</v>
      </c>
      <c r="V631" s="6"/>
      <c r="W631" s="6"/>
      <c r="X631" s="6"/>
      <c r="Y631" s="6"/>
      <c r="Z631" s="4" t="s">
        <v>15452</v>
      </c>
      <c r="AA631" s="6"/>
      <c r="AB631" s="5" t="s">
        <v>15453</v>
      </c>
    </row>
    <row r="632" ht="14.25">
      <c r="A632" s="4" t="s">
        <v>15456</v>
      </c>
      <c r="B632" s="4" t="s">
        <v>15455</v>
      </c>
      <c r="C632" s="4" t="s">
        <v>15458</v>
      </c>
      <c r="F632" s="4" t="s">
        <v>15457</v>
      </c>
      <c r="G632" s="4">
        <v>36</v>
      </c>
      <c r="H632" s="4" t="s">
        <v>15459</v>
      </c>
      <c r="I632" s="4" t="str">
        <f>IFERROR(__XLUDF.DUMMYFUNCTION("PROPER(REGEXREPLACE(G630,""[^A-Za-z]+ "",""""))"),"Reboot Conseil")</f>
        <v xml:space="preserve">Reboot Conseil</v>
      </c>
      <c r="J632" s="5" t="s">
        <v>15460</v>
      </c>
      <c r="K632" s="4" t="s">
        <v>651</v>
      </c>
      <c r="L632" s="4" t="s">
        <v>9215</v>
      </c>
      <c r="M632" s="4" t="s">
        <v>29</v>
      </c>
      <c r="N632" s="4" t="s">
        <v>2602</v>
      </c>
      <c r="O632" s="4" t="str">
        <f>IFERROR(__XLUDF.DUMMYFUNCTION("VLOOKUP(M630,IMPORTRANGE(""https://docs.google.com/spreadsheets/d/1opm6ZNvGZ7KditA9TuJwrZ25eFLfTNIkrNnY6mhV5Eg"",""list!A1:C115""),3,TRUE)"),"le secteur de la tech")</f>
        <v xml:space="preserve">le secteur de la tech</v>
      </c>
      <c r="P632" s="4" t="s">
        <v>15461</v>
      </c>
      <c r="R632" s="4" t="s">
        <v>651</v>
      </c>
      <c r="S632" s="4" t="s">
        <v>12581</v>
      </c>
      <c r="T632" s="4" t="s">
        <v>29</v>
      </c>
      <c r="U632" s="5" t="s">
        <v>15462</v>
      </c>
      <c r="V632" s="6"/>
      <c r="W632" s="6"/>
      <c r="X632" s="6"/>
      <c r="Y632" s="6"/>
      <c r="Z632" s="4" t="s">
        <v>15463</v>
      </c>
      <c r="AA632" s="6"/>
      <c r="AB632" s="5" t="s">
        <v>15464</v>
      </c>
    </row>
    <row r="633" ht="14.25">
      <c r="A633" s="4" t="s">
        <v>15467</v>
      </c>
      <c r="B633" s="4" t="s">
        <v>15466</v>
      </c>
      <c r="C633" s="4" t="s">
        <v>15469</v>
      </c>
      <c r="F633" s="4" t="s">
        <v>15468</v>
      </c>
      <c r="G633" s="4">
        <v>20</v>
      </c>
      <c r="H633" s="4" t="s">
        <v>15470</v>
      </c>
      <c r="I633" s="4" t="str">
        <f>IFERROR(__XLUDF.DUMMYFUNCTION("PROPER(REGEXREPLACE(G631,""[^A-Za-z]+ "",""""))"),"Eurêka Agence D’Attractivitde L’Eure En Normandie")</f>
        <v xml:space="preserve">Eurêka Agence D’Attractivitde L’Eure En Normandie</v>
      </c>
      <c r="J633" s="5" t="s">
        <v>15471</v>
      </c>
      <c r="K633" s="4" t="s">
        <v>11084</v>
      </c>
      <c r="L633" s="4" t="s">
        <v>9226</v>
      </c>
      <c r="M633" s="4" t="s">
        <v>29</v>
      </c>
      <c r="N633" s="4" t="s">
        <v>10639</v>
      </c>
      <c r="O633" s="4" t="str">
        <f>IFERROR(__XLUDF.DUMMYFUNCTION("VLOOKUP(M631,IMPORTRANGE(""https://docs.google.com/spreadsheets/d/1opm6ZNvGZ7KditA9TuJwrZ25eFLfTNIkrNnY6mhV5Eg"",""list!A1:C115""),3,TRUE)"),"le secteur de la communication")</f>
        <v xml:space="preserve">le secteur de la communication</v>
      </c>
      <c r="P633" s="6"/>
      <c r="R633" s="4" t="s">
        <v>11084</v>
      </c>
      <c r="S633" s="4" t="s">
        <v>9226</v>
      </c>
      <c r="T633" s="4" t="s">
        <v>29</v>
      </c>
      <c r="U633" s="5" t="s">
        <v>15472</v>
      </c>
      <c r="V633" s="5" t="s">
        <v>15473</v>
      </c>
      <c r="W633" s="5" t="s">
        <v>15474</v>
      </c>
      <c r="X633" s="6"/>
      <c r="Y633" s="6"/>
      <c r="Z633" s="4" t="s">
        <v>15475</v>
      </c>
      <c r="AA633" s="6"/>
      <c r="AB633" s="5" t="s">
        <v>15476</v>
      </c>
    </row>
    <row r="634" ht="14.25">
      <c r="A634" s="4" t="s">
        <v>15479</v>
      </c>
      <c r="B634" s="4" t="s">
        <v>15478</v>
      </c>
      <c r="C634" s="4" t="s">
        <v>2911</v>
      </c>
      <c r="F634" s="4" t="s">
        <v>15480</v>
      </c>
      <c r="G634" s="4">
        <v>11</v>
      </c>
      <c r="H634" s="4" t="s">
        <v>15481</v>
      </c>
      <c r="I634" s="4" t="str">
        <f>IFERROR(__XLUDF.DUMMYFUNCTION("PROPER(REGEXREPLACE(G632,""[^A-Za-z]+ "",""""))"),"Steerlab")</f>
        <v>Steerlab</v>
      </c>
      <c r="J634" s="5" t="s">
        <v>15482</v>
      </c>
      <c r="K634" s="4" t="s">
        <v>39</v>
      </c>
      <c r="L634" s="4" t="s">
        <v>9160</v>
      </c>
      <c r="M634" s="4" t="s">
        <v>29</v>
      </c>
      <c r="N634" s="4" t="s">
        <v>2602</v>
      </c>
      <c r="O634" s="4" t="str">
        <f>IFERROR(__XLUDF.DUMMYFUNCTION("VLOOKUP(M632,IMPORTRANGE(""https://docs.google.com/spreadsheets/d/1opm6ZNvGZ7KditA9TuJwrZ25eFLfTNIkrNnY6mhV5Eg"",""list!A1:C115""),3,TRUE)"),"le secteur de la tech")</f>
        <v xml:space="preserve">le secteur de la tech</v>
      </c>
      <c r="P634" s="6"/>
      <c r="R634" s="6"/>
      <c r="S634" s="6"/>
      <c r="T634" s="6"/>
      <c r="U634" s="5" t="s">
        <v>15483</v>
      </c>
      <c r="V634" s="6"/>
      <c r="W634" s="6"/>
      <c r="X634" s="6"/>
      <c r="Y634" s="6"/>
      <c r="Z634" s="4" t="s">
        <v>15484</v>
      </c>
      <c r="AA634" s="6"/>
      <c r="AB634" s="5" t="s">
        <v>15485</v>
      </c>
    </row>
    <row r="635" ht="14.25">
      <c r="A635" s="4" t="s">
        <v>15487</v>
      </c>
      <c r="B635" s="4" t="s">
        <v>330</v>
      </c>
      <c r="C635" s="4" t="s">
        <v>7759</v>
      </c>
      <c r="F635" s="4" t="s">
        <v>15488</v>
      </c>
      <c r="G635" s="4">
        <v>50</v>
      </c>
      <c r="H635" s="4" t="s">
        <v>15489</v>
      </c>
      <c r="I635" s="4" t="str">
        <f>IFERROR(__XLUDF.DUMMYFUNCTION("PROPER(REGEXREPLACE(G633,""[^A-Za-z]+ "",""""))"),"Scob")</f>
        <v>Scob</v>
      </c>
      <c r="J635" s="5" t="s">
        <v>15490</v>
      </c>
      <c r="K635" s="4" t="s">
        <v>1826</v>
      </c>
      <c r="L635" s="4" t="s">
        <v>9227</v>
      </c>
      <c r="M635" s="4" t="s">
        <v>29</v>
      </c>
      <c r="N635" s="4" t="s">
        <v>9239</v>
      </c>
      <c r="O635" s="4" t="str">
        <f>IFERROR(__XLUDF.DUMMYFUNCTION("VLOOKUP(M633,IMPORTRANGE(""https://docs.google.com/spreadsheets/d/1opm6ZNvGZ7KditA9TuJwrZ25eFLfTNIkrNnY6mhV5Eg"",""list!A1:C115""),3,TRUE)"),"le secteur de la construction")</f>
        <v xml:space="preserve">le secteur de la construction</v>
      </c>
      <c r="P635" s="4" t="s">
        <v>15491</v>
      </c>
      <c r="R635" s="4" t="s">
        <v>15492</v>
      </c>
      <c r="S635" s="4" t="s">
        <v>9227</v>
      </c>
      <c r="T635" s="4" t="s">
        <v>29</v>
      </c>
      <c r="U635" s="5" t="s">
        <v>15493</v>
      </c>
      <c r="V635" s="6"/>
      <c r="W635" s="6"/>
      <c r="X635" s="6"/>
      <c r="Y635" s="6"/>
      <c r="Z635" s="4" t="s">
        <v>15494</v>
      </c>
      <c r="AA635" s="6"/>
      <c r="AB635" s="5" t="s">
        <v>15495</v>
      </c>
    </row>
    <row r="636" ht="14.25">
      <c r="A636" s="4" t="s">
        <v>15497</v>
      </c>
      <c r="B636" s="4" t="s">
        <v>1215</v>
      </c>
      <c r="C636" s="4" t="s">
        <v>1130</v>
      </c>
      <c r="F636" s="4" t="s">
        <v>15498</v>
      </c>
      <c r="G636" s="4">
        <v>23</v>
      </c>
      <c r="H636" s="4" t="s">
        <v>15499</v>
      </c>
      <c r="I636" s="4" t="str">
        <f>IFERROR(__XLUDF.DUMMYFUNCTION("PROPER(REGEXREPLACE(G634,""[^A-Za-z]+ "",""""))"),"Novapage")</f>
        <v>Novapage</v>
      </c>
      <c r="J636" s="5" t="s">
        <v>15500</v>
      </c>
      <c r="K636" s="4" t="s">
        <v>11401</v>
      </c>
      <c r="L636" s="4" t="s">
        <v>9460</v>
      </c>
      <c r="M636" s="4" t="s">
        <v>29</v>
      </c>
      <c r="N636" s="4" t="s">
        <v>4525</v>
      </c>
      <c r="O636" s="4" t="str">
        <f>IFERROR(__XLUDF.DUMMYFUNCTION("VLOOKUP(M634,IMPORTRANGE(""https://docs.google.com/spreadsheets/d/1opm6ZNvGZ7KditA9TuJwrZ25eFLfTNIkrNnY6mhV5Eg"",""list!A1:C115""),3,TRUE)"),"le secteur du retail")</f>
        <v xml:space="preserve">le secteur du retail</v>
      </c>
      <c r="P636" s="4" t="s">
        <v>15501</v>
      </c>
      <c r="R636" s="4" t="s">
        <v>11401</v>
      </c>
      <c r="S636" s="4" t="s">
        <v>9463</v>
      </c>
      <c r="T636" s="4" t="s">
        <v>29</v>
      </c>
      <c r="U636" s="5" t="s">
        <v>15502</v>
      </c>
      <c r="V636" s="6"/>
      <c r="W636" s="6"/>
      <c r="X636" s="6"/>
      <c r="Y636" s="6"/>
      <c r="Z636" s="4" t="s">
        <v>15503</v>
      </c>
      <c r="AA636" s="6"/>
      <c r="AB636" s="5" t="s">
        <v>15504</v>
      </c>
    </row>
    <row r="637" ht="14.25">
      <c r="A637" s="4" t="s">
        <v>15506</v>
      </c>
      <c r="B637" s="4" t="s">
        <v>866</v>
      </c>
      <c r="C637" s="4" t="s">
        <v>265</v>
      </c>
      <c r="F637" s="4" t="s">
        <v>15507</v>
      </c>
      <c r="G637" s="4">
        <v>19</v>
      </c>
      <c r="H637" s="4" t="s">
        <v>15508</v>
      </c>
      <c r="I637" s="4" t="str">
        <f>IFERROR(__XLUDF.DUMMYFUNCTION("PROPER(REGEXREPLACE(G635,""[^A-Za-z]+ "",""""))"),"Micr'Eau")</f>
        <v>Micr'Eau</v>
      </c>
      <c r="J637" s="5" t="s">
        <v>15509</v>
      </c>
      <c r="K637" s="4" t="s">
        <v>39</v>
      </c>
      <c r="L637" s="4" t="s">
        <v>9160</v>
      </c>
      <c r="M637" s="4" t="s">
        <v>29</v>
      </c>
      <c r="N637" s="4" t="s">
        <v>4067</v>
      </c>
      <c r="O637" s="4" t="str">
        <f>IFERROR(__XLUDF.DUMMYFUNCTION("VLOOKUP(M635,IMPORTRANGE(""https://docs.google.com/spreadsheets/d/1opm6ZNvGZ7KditA9TuJwrZ25eFLfTNIkrNnY6mhV5Eg"",""list!A1:C115""),3,TRUE)"),"le secteur du conseil en management")</f>
        <v xml:space="preserve">le secteur du conseil en management</v>
      </c>
      <c r="P637" s="4" t="s">
        <v>15510</v>
      </c>
      <c r="R637" s="4" t="s">
        <v>39</v>
      </c>
      <c r="S637" s="4" t="s">
        <v>9160</v>
      </c>
      <c r="T637" s="4" t="s">
        <v>29</v>
      </c>
      <c r="U637" s="5" t="s">
        <v>15511</v>
      </c>
      <c r="V637" s="6"/>
      <c r="W637" s="6"/>
      <c r="X637" s="6"/>
      <c r="Y637" s="6"/>
      <c r="Z637" s="4" t="s">
        <v>15512</v>
      </c>
      <c r="AA637" s="6"/>
      <c r="AB637" s="5" t="s">
        <v>15513</v>
      </c>
    </row>
    <row r="638" ht="14.25">
      <c r="A638" s="4" t="s">
        <v>15515</v>
      </c>
      <c r="B638" s="4" t="s">
        <v>866</v>
      </c>
      <c r="C638" s="4" t="s">
        <v>15517</v>
      </c>
      <c r="F638" s="4" t="s">
        <v>15516</v>
      </c>
      <c r="G638" s="4">
        <v>34</v>
      </c>
      <c r="H638" s="4" t="s">
        <v>15518</v>
      </c>
      <c r="I638" s="4" t="str">
        <f>IFERROR(__XLUDF.DUMMYFUNCTION("PROPER(REGEXREPLACE(G636,""[^A-Za-z]+ "",""""))"),"Ffie")</f>
        <v>Ffie</v>
      </c>
      <c r="J638" s="5" t="s">
        <v>15519</v>
      </c>
      <c r="K638" s="4" t="s">
        <v>39</v>
      </c>
      <c r="L638" s="4" t="s">
        <v>9160</v>
      </c>
      <c r="M638" s="4" t="s">
        <v>29</v>
      </c>
      <c r="N638" s="4" t="s">
        <v>9239</v>
      </c>
      <c r="O638" s="4" t="str">
        <f>IFERROR(__XLUDF.DUMMYFUNCTION("VLOOKUP(M636,IMPORTRANGE(""https://docs.google.com/spreadsheets/d/1opm6ZNvGZ7KditA9TuJwrZ25eFLfTNIkrNnY6mhV5Eg"",""list!A1:C115""),3,TRUE)"),"le secteur de la construction")</f>
        <v xml:space="preserve">le secteur de la construction</v>
      </c>
      <c r="P638" s="4" t="s">
        <v>15520</v>
      </c>
      <c r="R638" s="4" t="s">
        <v>39</v>
      </c>
      <c r="S638" s="4" t="s">
        <v>9160</v>
      </c>
      <c r="T638" s="4" t="s">
        <v>29</v>
      </c>
      <c r="U638" s="5" t="s">
        <v>15521</v>
      </c>
      <c r="V638" s="6"/>
      <c r="W638" s="6"/>
      <c r="X638" s="6"/>
      <c r="Y638" s="6"/>
      <c r="Z638" s="4" t="s">
        <v>15522</v>
      </c>
      <c r="AA638" s="6"/>
      <c r="AB638" s="5" t="s">
        <v>15523</v>
      </c>
    </row>
    <row r="639" ht="14.25">
      <c r="A639" s="4" t="s">
        <v>15525</v>
      </c>
      <c r="B639" s="4" t="s">
        <v>6634</v>
      </c>
      <c r="C639" s="4" t="s">
        <v>15527</v>
      </c>
      <c r="F639" s="4" t="s">
        <v>15526</v>
      </c>
      <c r="G639" s="4">
        <v>15</v>
      </c>
      <c r="H639" s="4" t="s">
        <v>15528</v>
      </c>
      <c r="I639" s="4" t="str">
        <f>IFERROR(__XLUDF.DUMMYFUNCTION("PROPER(REGEXREPLACE(G637,""[^A-Za-z]+ "",""""))"),"Adaliance")</f>
        <v>Adaliance</v>
      </c>
      <c r="J639" s="5" t="s">
        <v>15529</v>
      </c>
      <c r="K639" s="6"/>
      <c r="L639" s="4" t="s">
        <v>9160</v>
      </c>
      <c r="M639" s="4" t="s">
        <v>29</v>
      </c>
      <c r="N639" s="4" t="s">
        <v>4067</v>
      </c>
      <c r="O639" s="4" t="str">
        <f>IFERROR(__XLUDF.DUMMYFUNCTION("VLOOKUP(M637,IMPORTRANGE(""https://docs.google.com/spreadsheets/d/1opm6ZNvGZ7KditA9TuJwrZ25eFLfTNIkrNnY6mhV5Eg"",""list!A1:C115""),3,TRUE)"),"le secteur du conseil en management")</f>
        <v xml:space="preserve">le secteur du conseil en management</v>
      </c>
      <c r="P639" s="4" t="s">
        <v>15530</v>
      </c>
      <c r="R639" s="4" t="s">
        <v>6603</v>
      </c>
      <c r="S639" s="4" t="s">
        <v>9160</v>
      </c>
      <c r="T639" s="4" t="s">
        <v>29</v>
      </c>
      <c r="U639" s="5" t="s">
        <v>15531</v>
      </c>
      <c r="V639" s="5" t="s">
        <v>15532</v>
      </c>
      <c r="W639" s="6"/>
      <c r="X639" s="6"/>
      <c r="Y639" s="6"/>
      <c r="Z639" s="4" t="s">
        <v>15533</v>
      </c>
      <c r="AA639" s="6"/>
      <c r="AB639" s="5" t="s">
        <v>15534</v>
      </c>
    </row>
    <row r="640" ht="14.25">
      <c r="A640" s="4" t="s">
        <v>15536</v>
      </c>
      <c r="B640" s="4" t="s">
        <v>866</v>
      </c>
      <c r="C640" s="4" t="s">
        <v>7759</v>
      </c>
      <c r="F640" s="4" t="s">
        <v>15537</v>
      </c>
      <c r="G640" s="4">
        <v>15</v>
      </c>
      <c r="H640" s="4" t="s">
        <v>15538</v>
      </c>
      <c r="I640" s="4" t="str">
        <f>IFERROR(__XLUDF.DUMMYFUNCTION("PROPER(REGEXREPLACE(G638,""[^A-Za-z]+ "",""""))"),"Exens Ingénierie")</f>
        <v xml:space="preserve">Exens Ingénierie</v>
      </c>
      <c r="J640" s="5" t="s">
        <v>15539</v>
      </c>
      <c r="K640" s="4" t="s">
        <v>185</v>
      </c>
      <c r="L640" s="4" t="s">
        <v>9193</v>
      </c>
      <c r="M640" s="4" t="s">
        <v>29</v>
      </c>
      <c r="N640" s="4" t="s">
        <v>4067</v>
      </c>
      <c r="O640" s="4" t="str">
        <f>IFERROR(__XLUDF.DUMMYFUNCTION("VLOOKUP(M638,IMPORTRANGE(""https://docs.google.com/spreadsheets/d/1opm6ZNvGZ7KditA9TuJwrZ25eFLfTNIkrNnY6mhV5Eg"",""list!A1:C115""),3,TRUE)"),"le secteur du conseil en management")</f>
        <v xml:space="preserve">le secteur du conseil en management</v>
      </c>
      <c r="P640" s="4" t="s">
        <v>15540</v>
      </c>
      <c r="R640" s="4" t="s">
        <v>2174</v>
      </c>
      <c r="S640" s="4" t="s">
        <v>9193</v>
      </c>
      <c r="T640" s="4" t="s">
        <v>29</v>
      </c>
      <c r="U640" s="5" t="s">
        <v>15541</v>
      </c>
      <c r="V640" s="6"/>
      <c r="W640" s="6"/>
      <c r="X640" s="6"/>
      <c r="Y640" s="6"/>
      <c r="Z640" s="4" t="s">
        <v>15542</v>
      </c>
      <c r="AA640" s="6"/>
      <c r="AB640" s="5" t="s">
        <v>15543</v>
      </c>
    </row>
    <row r="641" ht="14.25">
      <c r="A641" s="4" t="s">
        <v>7505</v>
      </c>
      <c r="B641" s="4" t="s">
        <v>15545</v>
      </c>
      <c r="C641" s="4" t="s">
        <v>2636</v>
      </c>
      <c r="F641" s="4" t="s">
        <v>15546</v>
      </c>
      <c r="G641" s="4">
        <v>10</v>
      </c>
      <c r="H641" s="4" t="s">
        <v>15547</v>
      </c>
      <c r="I641" s="4" t="str">
        <f>IFERROR(__XLUDF.DUMMYFUNCTION("PROPER(REGEXREPLACE(G639,""[^A-Za-z]+ "",""""))"),"Aucae")</f>
        <v>Aucae</v>
      </c>
      <c r="J641" s="5" t="s">
        <v>15548</v>
      </c>
      <c r="K641" s="4" t="s">
        <v>83</v>
      </c>
      <c r="L641" s="4" t="s">
        <v>9460</v>
      </c>
      <c r="M641" s="4" t="s">
        <v>29</v>
      </c>
      <c r="N641" s="4" t="s">
        <v>2602</v>
      </c>
      <c r="O641" s="4" t="str">
        <f>IFERROR(__XLUDF.DUMMYFUNCTION("VLOOKUP(M639,IMPORTRANGE(""https://docs.google.com/spreadsheets/d/1opm6ZNvGZ7KditA9TuJwrZ25eFLfTNIkrNnY6mhV5Eg"",""list!A1:C115""),3,TRUE)"),"le secteur de la tech")</f>
        <v xml:space="preserve">le secteur de la tech</v>
      </c>
      <c r="P641" s="6"/>
      <c r="R641" s="4" t="s">
        <v>83</v>
      </c>
      <c r="S641" s="4" t="s">
        <v>9460</v>
      </c>
      <c r="T641" s="4" t="s">
        <v>29</v>
      </c>
      <c r="U641" s="5" t="s">
        <v>15549</v>
      </c>
      <c r="V641" s="5" t="s">
        <v>15550</v>
      </c>
      <c r="W641" s="6"/>
      <c r="X641" s="6"/>
      <c r="Y641" s="6"/>
      <c r="Z641" s="4" t="s">
        <v>15551</v>
      </c>
      <c r="AA641" s="6"/>
      <c r="AB641" s="5" t="s">
        <v>15552</v>
      </c>
    </row>
    <row r="642" ht="14.25">
      <c r="A642" s="4" t="s">
        <v>12852</v>
      </c>
      <c r="B642" s="4" t="s">
        <v>3019</v>
      </c>
      <c r="C642" s="4" t="s">
        <v>7759</v>
      </c>
      <c r="F642" s="4" t="s">
        <v>15554</v>
      </c>
      <c r="G642" s="4">
        <v>16</v>
      </c>
      <c r="H642" s="4" t="s">
        <v>15555</v>
      </c>
      <c r="I642" s="4" t="str">
        <f>IFERROR(__XLUDF.DUMMYFUNCTION("PROPER(REGEXREPLACE(G640,""[^A-Za-z]+ "",""""))"),"Horizons-Group")</f>
        <v>Horizons-Group</v>
      </c>
      <c r="J642" s="5" t="s">
        <v>15556</v>
      </c>
      <c r="K642" s="4" t="s">
        <v>185</v>
      </c>
      <c r="L642" s="4" t="s">
        <v>9193</v>
      </c>
      <c r="M642" s="4" t="s">
        <v>29</v>
      </c>
      <c r="N642" s="4" t="s">
        <v>2602</v>
      </c>
      <c r="O642" s="4" t="str">
        <f>IFERROR(__XLUDF.DUMMYFUNCTION("VLOOKUP(M640,IMPORTRANGE(""https://docs.google.com/spreadsheets/d/1opm6ZNvGZ7KditA9TuJwrZ25eFLfTNIkrNnY6mhV5Eg"",""list!A1:C115""),3,TRUE)"),"le secteur de la tech")</f>
        <v xml:space="preserve">le secteur de la tech</v>
      </c>
      <c r="P642" s="4" t="s">
        <v>15557</v>
      </c>
      <c r="R642" s="4" t="s">
        <v>15558</v>
      </c>
      <c r="S642" s="4" t="s">
        <v>9193</v>
      </c>
      <c r="T642" s="4" t="s">
        <v>29</v>
      </c>
      <c r="U642" s="5" t="s">
        <v>15559</v>
      </c>
      <c r="V642" s="5" t="s">
        <v>15560</v>
      </c>
      <c r="W642" s="6"/>
      <c r="X642" s="6"/>
      <c r="Y642" s="6"/>
      <c r="Z642" s="4" t="s">
        <v>15561</v>
      </c>
      <c r="AA642" s="6"/>
      <c r="AB642" s="5" t="s">
        <v>15562</v>
      </c>
    </row>
    <row r="643" ht="14.25">
      <c r="A643" s="4" t="s">
        <v>15565</v>
      </c>
      <c r="B643" s="4" t="s">
        <v>15564</v>
      </c>
      <c r="C643" s="4" t="s">
        <v>15567</v>
      </c>
      <c r="F643" s="4" t="s">
        <v>15566</v>
      </c>
      <c r="G643" s="4">
        <v>12</v>
      </c>
      <c r="H643" s="4" t="s">
        <v>15568</v>
      </c>
      <c r="I643" s="4" t="str">
        <f>IFERROR(__XLUDF.DUMMYFUNCTION("PROPER(REGEXREPLACE(G641,""[^A-Za-z]+ "",""""))"),"Tco")</f>
        <v>Tco</v>
      </c>
      <c r="J643" s="5" t="s">
        <v>15569</v>
      </c>
      <c r="K643" s="4" t="s">
        <v>185</v>
      </c>
      <c r="L643" s="4" t="s">
        <v>9193</v>
      </c>
      <c r="M643" s="4" t="s">
        <v>29</v>
      </c>
      <c r="N643" s="4" t="s">
        <v>4067</v>
      </c>
      <c r="O643" s="4" t="str">
        <f>IFERROR(__XLUDF.DUMMYFUNCTION("VLOOKUP(M641,IMPORTRANGE(""https://docs.google.com/spreadsheets/d/1opm6ZNvGZ7KditA9TuJwrZ25eFLfTNIkrNnY6mhV5Eg"",""list!A1:C115""),3,TRUE)"),"le secteur du conseil en management")</f>
        <v xml:space="preserve">le secteur du conseil en management</v>
      </c>
      <c r="P643" s="4" t="s">
        <v>15570</v>
      </c>
      <c r="R643" s="4" t="s">
        <v>185</v>
      </c>
      <c r="S643" s="4" t="s">
        <v>9193</v>
      </c>
      <c r="T643" s="4" t="s">
        <v>29</v>
      </c>
      <c r="U643" s="5" t="s">
        <v>15571</v>
      </c>
      <c r="V643" s="6"/>
      <c r="W643" s="5" t="s">
        <v>15572</v>
      </c>
      <c r="X643" s="6"/>
      <c r="Y643" s="6"/>
      <c r="Z643" s="4" t="s">
        <v>15573</v>
      </c>
      <c r="AA643" s="6"/>
      <c r="AB643" s="5" t="s">
        <v>15574</v>
      </c>
    </row>
    <row r="644" ht="14.25">
      <c r="A644" s="4" t="s">
        <v>15576</v>
      </c>
      <c r="B644" s="4" t="s">
        <v>1596</v>
      </c>
      <c r="C644" s="4" t="s">
        <v>15578</v>
      </c>
      <c r="F644" s="4" t="s">
        <v>15577</v>
      </c>
      <c r="G644" s="4">
        <v>11</v>
      </c>
      <c r="H644" s="4" t="s">
        <v>15579</v>
      </c>
      <c r="I644" s="4" t="str">
        <f>IFERROR(__XLUDF.DUMMYFUNCTION("PROPER(REGEXREPLACE(G642,""[^A-Za-z]+ "",""""))"),"Pertimm")</f>
        <v>Pertimm</v>
      </c>
      <c r="J644" s="5" t="s">
        <v>15580</v>
      </c>
      <c r="K644" s="4" t="s">
        <v>39</v>
      </c>
      <c r="L644" s="4" t="s">
        <v>9160</v>
      </c>
      <c r="M644" s="4" t="s">
        <v>29</v>
      </c>
      <c r="N644" s="4" t="s">
        <v>2602</v>
      </c>
      <c r="O644" s="4" t="str">
        <f>IFERROR(__XLUDF.DUMMYFUNCTION("VLOOKUP(M642,IMPORTRANGE(""https://docs.google.com/spreadsheets/d/1opm6ZNvGZ7KditA9TuJwrZ25eFLfTNIkrNnY6mhV5Eg"",""list!A1:C115""),3,TRUE)"),"le secteur de la tech")</f>
        <v xml:space="preserve">le secteur de la tech</v>
      </c>
      <c r="P644" s="4" t="s">
        <v>15581</v>
      </c>
      <c r="R644" s="4" t="s">
        <v>5668</v>
      </c>
      <c r="S644" s="4" t="s">
        <v>9160</v>
      </c>
      <c r="T644" s="4" t="s">
        <v>29</v>
      </c>
      <c r="U644" s="5" t="s">
        <v>15582</v>
      </c>
      <c r="V644" s="5" t="s">
        <v>15583</v>
      </c>
      <c r="W644" s="5" t="s">
        <v>9981</v>
      </c>
      <c r="X644" s="6"/>
      <c r="Y644" s="6"/>
      <c r="Z644" s="4" t="s">
        <v>15584</v>
      </c>
      <c r="AA644" s="6"/>
      <c r="AB644" s="5" t="s">
        <v>15585</v>
      </c>
    </row>
    <row r="645" ht="14.25">
      <c r="A645" s="4" t="s">
        <v>15587</v>
      </c>
      <c r="B645" s="4" t="s">
        <v>1596</v>
      </c>
      <c r="C645" s="4" t="s">
        <v>7759</v>
      </c>
      <c r="F645" s="4" t="s">
        <v>15588</v>
      </c>
      <c r="G645" s="4">
        <v>13</v>
      </c>
      <c r="H645" s="4" t="s">
        <v>15589</v>
      </c>
      <c r="I645" s="4" t="str">
        <f>IFERROR(__XLUDF.DUMMYFUNCTION("PROPER(REGEXREPLACE(G643,""[^A-Za-z]+ "",""""))"),"Robbe Menuiserie Domotique")</f>
        <v xml:space="preserve">Robbe Menuiserie Domotique</v>
      </c>
      <c r="J645" s="5" t="s">
        <v>15590</v>
      </c>
      <c r="K645" s="4" t="s">
        <v>15591</v>
      </c>
      <c r="L645" s="4" t="s">
        <v>9281</v>
      </c>
      <c r="M645" s="4" t="s">
        <v>29</v>
      </c>
      <c r="N645" s="4" t="s">
        <v>9239</v>
      </c>
      <c r="O645" s="4" t="str">
        <f>IFERROR(__XLUDF.DUMMYFUNCTION("VLOOKUP(M643,IMPORTRANGE(""https://docs.google.com/spreadsheets/d/1opm6ZNvGZ7KditA9TuJwrZ25eFLfTNIkrNnY6mhV5Eg"",""list!A1:C115""),3,TRUE)"),"le secteur de la construction")</f>
        <v xml:space="preserve">le secteur de la construction</v>
      </c>
      <c r="P645" s="4" t="s">
        <v>15592</v>
      </c>
      <c r="R645" s="4" t="s">
        <v>15593</v>
      </c>
      <c r="S645" s="4" t="s">
        <v>9281</v>
      </c>
      <c r="T645" s="4" t="s">
        <v>29</v>
      </c>
      <c r="U645" s="5" t="s">
        <v>15594</v>
      </c>
      <c r="V645" s="6"/>
      <c r="W645" s="6"/>
      <c r="X645" s="6"/>
      <c r="Y645" s="6"/>
      <c r="Z645" s="4" t="s">
        <v>15595</v>
      </c>
      <c r="AA645" s="6"/>
      <c r="AB645" s="5" t="s">
        <v>15596</v>
      </c>
    </row>
    <row r="646" ht="14.25">
      <c r="A646" s="4" t="s">
        <v>15598</v>
      </c>
      <c r="B646" s="4" t="s">
        <v>1596</v>
      </c>
      <c r="C646" s="4" t="s">
        <v>7759</v>
      </c>
      <c r="F646" s="4" t="s">
        <v>15599</v>
      </c>
      <c r="G646" s="4">
        <v>14</v>
      </c>
      <c r="H646" s="4" t="s">
        <v>15600</v>
      </c>
      <c r="I646" s="4" t="str">
        <f>IFERROR(__XLUDF.DUMMYFUNCTION("PROPER(REGEXREPLACE(G644,""[^A-Za-z]+ "",""""))"),"Afcb")</f>
        <v>Afcb</v>
      </c>
      <c r="J646" s="5" t="s">
        <v>15601</v>
      </c>
      <c r="K646" s="4" t="s">
        <v>39</v>
      </c>
      <c r="L646" s="4" t="s">
        <v>9160</v>
      </c>
      <c r="M646" s="4" t="s">
        <v>29</v>
      </c>
      <c r="N646" s="4" t="s">
        <v>4525</v>
      </c>
      <c r="O646" s="4" t="str">
        <f>IFERROR(__XLUDF.DUMMYFUNCTION("VLOOKUP(M644,IMPORTRANGE(""https://docs.google.com/spreadsheets/d/1opm6ZNvGZ7KditA9TuJwrZ25eFLfTNIkrNnY6mhV5Eg"",""list!A1:C115""),3,TRUE)"),"le secteur du retail")</f>
        <v xml:space="preserve">le secteur du retail</v>
      </c>
      <c r="P646" s="4" t="s">
        <v>15602</v>
      </c>
      <c r="R646" s="4" t="s">
        <v>8537</v>
      </c>
      <c r="S646" s="4" t="s">
        <v>9160</v>
      </c>
      <c r="T646" s="4" t="s">
        <v>29</v>
      </c>
      <c r="U646" s="5" t="s">
        <v>15603</v>
      </c>
      <c r="V646" s="5" t="s">
        <v>15604</v>
      </c>
      <c r="W646" s="5" t="s">
        <v>15605</v>
      </c>
      <c r="X646" s="6"/>
      <c r="Y646" s="6"/>
      <c r="Z646" s="4" t="s">
        <v>15606</v>
      </c>
      <c r="AA646" s="6"/>
      <c r="AB646" s="5" t="s">
        <v>15607</v>
      </c>
    </row>
    <row r="647" ht="14.25">
      <c r="A647" s="4" t="s">
        <v>15609</v>
      </c>
      <c r="B647" s="4" t="s">
        <v>1596</v>
      </c>
      <c r="C647" s="4" t="s">
        <v>1130</v>
      </c>
      <c r="F647" s="4" t="s">
        <v>15610</v>
      </c>
      <c r="G647" s="4">
        <v>10</v>
      </c>
      <c r="H647" s="4" t="s">
        <v>15611</v>
      </c>
      <c r="I647" s="4" t="str">
        <f>IFERROR(__XLUDF.DUMMYFUNCTION("PROPER(REGEXREPLACE(G645,""[^A-Za-z]+ "",""""))"),"Mcm")</f>
        <v>Mcm</v>
      </c>
      <c r="J647" s="5" t="s">
        <v>15612</v>
      </c>
      <c r="K647" s="4" t="s">
        <v>185</v>
      </c>
      <c r="L647" s="4" t="s">
        <v>9193</v>
      </c>
      <c r="M647" s="4" t="s">
        <v>29</v>
      </c>
      <c r="N647" s="4" t="s">
        <v>4525</v>
      </c>
      <c r="O647" s="4" t="str">
        <f>IFERROR(__XLUDF.DUMMYFUNCTION("VLOOKUP(M645,IMPORTRANGE(""https://docs.google.com/spreadsheets/d/1opm6ZNvGZ7KditA9TuJwrZ25eFLfTNIkrNnY6mhV5Eg"",""list!A1:C115""),3,TRUE)"),"le secteur du retail")</f>
        <v xml:space="preserve">le secteur du retail</v>
      </c>
      <c r="P647" s="6"/>
      <c r="R647" s="4" t="s">
        <v>15613</v>
      </c>
      <c r="S647" s="4" t="s">
        <v>9193</v>
      </c>
      <c r="T647" s="4" t="s">
        <v>29</v>
      </c>
      <c r="U647" s="5" t="s">
        <v>15614</v>
      </c>
      <c r="V647" s="6"/>
      <c r="W647" s="6"/>
      <c r="X647" s="6"/>
      <c r="Y647" s="6"/>
      <c r="Z647" s="4" t="s">
        <v>15615</v>
      </c>
      <c r="AA647" s="6"/>
      <c r="AB647" s="5" t="s">
        <v>15616</v>
      </c>
    </row>
    <row r="648" ht="14.25">
      <c r="A648" s="4" t="s">
        <v>15618</v>
      </c>
      <c r="B648" s="4" t="s">
        <v>1596</v>
      </c>
      <c r="C648" s="4" t="s">
        <v>15620</v>
      </c>
      <c r="F648" s="4" t="s">
        <v>15619</v>
      </c>
      <c r="G648" s="4">
        <v>24</v>
      </c>
      <c r="H648" s="4" t="s">
        <v>15621</v>
      </c>
      <c r="I648" s="4" t="str">
        <f>IFERROR(__XLUDF.DUMMYFUNCTION("PROPER(REGEXREPLACE(G646,""[^A-Za-z]+ "",""""))"),"Galaed")</f>
        <v>Galaed</v>
      </c>
      <c r="J648" s="5" t="s">
        <v>15622</v>
      </c>
      <c r="K648" s="6"/>
      <c r="L648" s="6"/>
      <c r="M648" s="4" t="s">
        <v>29</v>
      </c>
      <c r="N648" s="4" t="s">
        <v>10215</v>
      </c>
      <c r="O648" s="4" t="str">
        <f>IFERROR(__XLUDF.DUMMYFUNCTION("VLOOKUP(M646,IMPORTRANGE(""https://docs.google.com/spreadsheets/d/1opm6ZNvGZ7KditA9TuJwrZ25eFLfTNIkrNnY6mhV5Eg"",""list!A1:C115""),3,TRUE)"),"le secteur de l'électrique et électronique")</f>
        <v xml:space="preserve">le secteur de l'électrique et électronique</v>
      </c>
      <c r="P648" s="6"/>
      <c r="R648" s="4" t="s">
        <v>11191</v>
      </c>
      <c r="S648" s="4" t="s">
        <v>9460</v>
      </c>
      <c r="T648" s="4" t="s">
        <v>29</v>
      </c>
      <c r="U648" s="5" t="s">
        <v>15623</v>
      </c>
      <c r="V648" s="6"/>
      <c r="W648" s="6"/>
      <c r="X648" s="6"/>
      <c r="Y648" s="6"/>
      <c r="Z648" s="4" t="s">
        <v>15624</v>
      </c>
      <c r="AA648" s="6"/>
      <c r="AB648" s="5" t="s">
        <v>15625</v>
      </c>
    </row>
    <row r="649" ht="14.25">
      <c r="A649" s="4" t="s">
        <v>8999</v>
      </c>
      <c r="B649" s="4" t="s">
        <v>1387</v>
      </c>
      <c r="C649" s="4" t="s">
        <v>9849</v>
      </c>
      <c r="F649" s="4" t="s">
        <v>15627</v>
      </c>
      <c r="G649" s="4">
        <v>43</v>
      </c>
      <c r="H649" s="4" t="s">
        <v>15628</v>
      </c>
      <c r="I649" s="4" t="str">
        <f>IFERROR(__XLUDF.DUMMYFUNCTION("PROPER(REGEXREPLACE(G647,""[^A-Za-z]+ "",""""))"),"Begt")</f>
        <v>Begt</v>
      </c>
      <c r="J649" s="5" t="s">
        <v>15629</v>
      </c>
      <c r="K649" s="4" t="s">
        <v>10807</v>
      </c>
      <c r="L649" s="4" t="s">
        <v>9281</v>
      </c>
      <c r="M649" s="4" t="s">
        <v>29</v>
      </c>
      <c r="N649" s="4" t="s">
        <v>9239</v>
      </c>
      <c r="O649" s="4" t="str">
        <f>IFERROR(__XLUDF.DUMMYFUNCTION("VLOOKUP(M647,IMPORTRANGE(""https://docs.google.com/spreadsheets/d/1opm6ZNvGZ7KditA9TuJwrZ25eFLfTNIkrNnY6mhV5Eg"",""list!A1:C115""),3,TRUE)"),"le secteur de la construction")</f>
        <v xml:space="preserve">le secteur de la construction</v>
      </c>
      <c r="P649" s="4" t="s">
        <v>15630</v>
      </c>
      <c r="R649" s="4" t="s">
        <v>10807</v>
      </c>
      <c r="S649" s="4" t="s">
        <v>9731</v>
      </c>
      <c r="T649" s="4" t="s">
        <v>29</v>
      </c>
      <c r="U649" s="5" t="s">
        <v>15631</v>
      </c>
      <c r="V649" s="6"/>
      <c r="W649" s="6"/>
      <c r="X649" s="6"/>
      <c r="Y649" s="6"/>
      <c r="Z649" s="4" t="s">
        <v>15632</v>
      </c>
      <c r="AA649" s="6"/>
      <c r="AB649" s="5" t="s">
        <v>15633</v>
      </c>
    </row>
    <row r="650" ht="14.25">
      <c r="A650" s="4" t="s">
        <v>15635</v>
      </c>
      <c r="B650" s="4" t="s">
        <v>1387</v>
      </c>
      <c r="C650" s="4" t="s">
        <v>7185</v>
      </c>
      <c r="F650" s="4" t="s">
        <v>15636</v>
      </c>
      <c r="G650" s="4">
        <v>10</v>
      </c>
      <c r="H650" s="4" t="s">
        <v>15637</v>
      </c>
      <c r="I650" s="4" t="str">
        <f>IFERROR(__XLUDF.DUMMYFUNCTION("PROPER(REGEXREPLACE(G648,""[^A-Za-z]+ "",""""))"),"Sereem")</f>
        <v>Sereem</v>
      </c>
      <c r="J650" s="5" t="s">
        <v>15638</v>
      </c>
      <c r="K650" s="4" t="s">
        <v>39</v>
      </c>
      <c r="L650" s="4" t="s">
        <v>9160</v>
      </c>
      <c r="M650" s="4" t="s">
        <v>29</v>
      </c>
      <c r="N650" s="4" t="s">
        <v>10215</v>
      </c>
      <c r="O650" s="4" t="str">
        <f>IFERROR(__XLUDF.DUMMYFUNCTION("VLOOKUP(M648,IMPORTRANGE(""https://docs.google.com/spreadsheets/d/1opm6ZNvGZ7KditA9TuJwrZ25eFLfTNIkrNnY6mhV5Eg"",""list!A1:C115""),3,TRUE)"),"le secteur de l'électrique et électronique")</f>
        <v xml:space="preserve">le secteur de l'électrique et électronique</v>
      </c>
      <c r="P650" s="6"/>
      <c r="R650" s="4" t="s">
        <v>10141</v>
      </c>
      <c r="S650" s="4" t="s">
        <v>9160</v>
      </c>
      <c r="T650" s="4" t="s">
        <v>29</v>
      </c>
      <c r="U650" s="5" t="s">
        <v>15639</v>
      </c>
      <c r="V650" s="6"/>
      <c r="W650" s="6"/>
      <c r="X650" s="6"/>
      <c r="Y650" s="6"/>
      <c r="Z650" s="4" t="s">
        <v>15640</v>
      </c>
      <c r="AA650" s="6"/>
      <c r="AB650" s="5" t="s">
        <v>15641</v>
      </c>
    </row>
    <row r="651" ht="14.25">
      <c r="A651" s="4" t="s">
        <v>15643</v>
      </c>
      <c r="B651" s="4" t="s">
        <v>1387</v>
      </c>
      <c r="C651" s="4" t="s">
        <v>1231</v>
      </c>
      <c r="F651" s="4" t="s">
        <v>15644</v>
      </c>
      <c r="G651" s="4">
        <v>10</v>
      </c>
      <c r="H651" s="4" t="s">
        <v>15645</v>
      </c>
      <c r="I651" s="4" t="str">
        <f>IFERROR(__XLUDF.DUMMYFUNCTION("PROPER(REGEXREPLACE(G649,""[^A-Za-z]+ "",""""))"),"Lapala")</f>
        <v>Lapala</v>
      </c>
      <c r="J651" s="5" t="s">
        <v>15646</v>
      </c>
      <c r="K651" s="4" t="s">
        <v>39</v>
      </c>
      <c r="L651" s="4" t="s">
        <v>9160</v>
      </c>
      <c r="M651" s="4" t="s">
        <v>29</v>
      </c>
      <c r="N651" s="4" t="s">
        <v>2602</v>
      </c>
      <c r="O651" s="4" t="str">
        <f>IFERROR(__XLUDF.DUMMYFUNCTION("VLOOKUP(M649,IMPORTRANGE(""https://docs.google.com/spreadsheets/d/1opm6ZNvGZ7KditA9TuJwrZ25eFLfTNIkrNnY6mhV5Eg"",""list!A1:C115""),3,TRUE)"),"le secteur de la tech")</f>
        <v xml:space="preserve">le secteur de la tech</v>
      </c>
      <c r="P651" s="4" t="s">
        <v>15647</v>
      </c>
      <c r="R651" s="4" t="s">
        <v>1826</v>
      </c>
      <c r="S651" s="4" t="s">
        <v>9227</v>
      </c>
      <c r="T651" s="4" t="s">
        <v>29</v>
      </c>
      <c r="U651" s="5" t="s">
        <v>15648</v>
      </c>
      <c r="V651" s="5" t="s">
        <v>15649</v>
      </c>
      <c r="W651" s="6"/>
      <c r="X651" s="6"/>
      <c r="Y651" s="6"/>
      <c r="Z651" s="4" t="s">
        <v>15650</v>
      </c>
      <c r="AA651" s="6"/>
      <c r="AB651" s="5" t="s">
        <v>15651</v>
      </c>
    </row>
    <row r="652" ht="14.25">
      <c r="A652" s="4" t="s">
        <v>15653</v>
      </c>
      <c r="B652" s="4" t="s">
        <v>1387</v>
      </c>
      <c r="C652" s="4" t="s">
        <v>15655</v>
      </c>
      <c r="F652" s="4" t="s">
        <v>15654</v>
      </c>
      <c r="G652" s="4">
        <v>11</v>
      </c>
      <c r="H652" s="4" t="s">
        <v>15656</v>
      </c>
      <c r="I652" s="4" t="str">
        <f>IFERROR(__XLUDF.DUMMYFUNCTION("PROPER(REGEXREPLACE(G650,""[^A-Za-z]+ "",""""))"),"Volta Software")</f>
        <v xml:space="preserve">Volta Software</v>
      </c>
      <c r="J652" s="5" t="s">
        <v>15657</v>
      </c>
      <c r="K652" s="4" t="s">
        <v>39</v>
      </c>
      <c r="L652" s="4" t="s">
        <v>9160</v>
      </c>
      <c r="M652" s="4" t="s">
        <v>29</v>
      </c>
      <c r="N652" s="4" t="s">
        <v>2602</v>
      </c>
      <c r="O652" s="4" t="str">
        <f>IFERROR(__XLUDF.DUMMYFUNCTION("VLOOKUP(M650,IMPORTRANGE(""https://docs.google.com/spreadsheets/d/1opm6ZNvGZ7KditA9TuJwrZ25eFLfTNIkrNnY6mhV5Eg"",""list!A1:C115""),3,TRUE)"),"le secteur de la tech")</f>
        <v xml:space="preserve">le secteur de la tech</v>
      </c>
      <c r="P652" s="4" t="s">
        <v>15658</v>
      </c>
      <c r="R652" s="4" t="s">
        <v>12551</v>
      </c>
      <c r="S652" s="4" t="s">
        <v>15659</v>
      </c>
      <c r="T652" s="4" t="s">
        <v>2388</v>
      </c>
      <c r="U652" s="5" t="s">
        <v>15660</v>
      </c>
      <c r="V652" s="6"/>
      <c r="W652" s="6"/>
      <c r="X652" s="6"/>
      <c r="Y652" s="6"/>
      <c r="Z652" s="4" t="s">
        <v>15661</v>
      </c>
      <c r="AA652" s="6"/>
      <c r="AB652" s="5" t="s">
        <v>15662</v>
      </c>
    </row>
    <row r="653" ht="14.25">
      <c r="A653" s="4" t="s">
        <v>7714</v>
      </c>
      <c r="B653" s="4" t="s">
        <v>4236</v>
      </c>
      <c r="C653" s="4" t="s">
        <v>164</v>
      </c>
      <c r="F653" s="4" t="s">
        <v>15664</v>
      </c>
      <c r="G653" s="4">
        <v>35</v>
      </c>
      <c r="H653" s="4" t="s">
        <v>15665</v>
      </c>
      <c r="I653" s="4" t="str">
        <f>IFERROR(__XLUDF.DUMMYFUNCTION("PROPER(REGEXREPLACE(G651,""[^A-Za-z]+ "",""""))"),"Delaval")</f>
        <v>Delaval</v>
      </c>
      <c r="J653" s="5" t="s">
        <v>15666</v>
      </c>
      <c r="K653" s="4" t="s">
        <v>15667</v>
      </c>
      <c r="L653" s="4" t="s">
        <v>9160</v>
      </c>
      <c r="M653" s="4" t="s">
        <v>29</v>
      </c>
      <c r="N653" s="4" t="s">
        <v>9239</v>
      </c>
      <c r="O653" s="4" t="str">
        <f>IFERROR(__XLUDF.DUMMYFUNCTION("VLOOKUP(M651,IMPORTRANGE(""https://docs.google.com/spreadsheets/d/1opm6ZNvGZ7KditA9TuJwrZ25eFLfTNIkrNnY6mhV5Eg"",""list!A1:C115""),3,TRUE)"),"le secteur de la construction")</f>
        <v xml:space="preserve">le secteur de la construction</v>
      </c>
      <c r="P653" s="4" t="s">
        <v>15668</v>
      </c>
      <c r="R653" s="4" t="s">
        <v>7827</v>
      </c>
      <c r="S653" s="4" t="s">
        <v>9160</v>
      </c>
      <c r="T653" s="4" t="s">
        <v>29</v>
      </c>
      <c r="U653" s="5" t="s">
        <v>15669</v>
      </c>
      <c r="V653" s="6"/>
      <c r="W653" s="6"/>
      <c r="X653" s="6"/>
      <c r="Y653" s="6"/>
      <c r="Z653" s="4" t="s">
        <v>15670</v>
      </c>
      <c r="AA653" s="6"/>
      <c r="AB653" s="5" t="s">
        <v>15671</v>
      </c>
    </row>
    <row r="654" ht="14.25">
      <c r="A654" s="4" t="s">
        <v>15673</v>
      </c>
      <c r="B654" s="4" t="s">
        <v>1215</v>
      </c>
      <c r="C654" s="4" t="s">
        <v>7185</v>
      </c>
      <c r="F654" s="4" t="s">
        <v>15674</v>
      </c>
      <c r="G654" s="4">
        <v>14</v>
      </c>
      <c r="H654" s="4" t="s">
        <v>15675</v>
      </c>
      <c r="I654" s="4" t="str">
        <f>IFERROR(__XLUDF.DUMMYFUNCTION("PROPER(REGEXREPLACE(G652,""[^A-Za-z]+ "",""""))"),"Weodeo")</f>
        <v>Weodeo</v>
      </c>
      <c r="J654" s="5" t="s">
        <v>15676</v>
      </c>
      <c r="K654" s="4" t="s">
        <v>39</v>
      </c>
      <c r="L654" s="4" t="s">
        <v>9160</v>
      </c>
      <c r="M654" s="4" t="s">
        <v>29</v>
      </c>
      <c r="N654" s="4" t="s">
        <v>9264</v>
      </c>
      <c r="O654" s="4" t="str">
        <f>IFERROR(__XLUDF.DUMMYFUNCTION("VLOOKUP(M652,IMPORTRANGE(""https://docs.google.com/spreadsheets/d/1opm6ZNvGZ7KditA9TuJwrZ25eFLfTNIkrNnY6mhV5Eg"",""list!A1:C115""),3,TRUE)"),"le secteur de la sécurité informatique")</f>
        <v xml:space="preserve">le secteur de la sécurité informatique</v>
      </c>
      <c r="P654" s="4" t="s">
        <v>15677</v>
      </c>
      <c r="R654" s="4" t="s">
        <v>39</v>
      </c>
      <c r="S654" s="4" t="s">
        <v>9160</v>
      </c>
      <c r="T654" s="4" t="s">
        <v>29</v>
      </c>
      <c r="U654" s="5" t="s">
        <v>15678</v>
      </c>
      <c r="V654" s="6"/>
      <c r="W654" s="6"/>
      <c r="X654" s="6"/>
      <c r="Y654" s="6"/>
      <c r="Z654" s="4" t="s">
        <v>15679</v>
      </c>
      <c r="AA654" s="6"/>
      <c r="AB654" s="5" t="s">
        <v>15680</v>
      </c>
    </row>
    <row r="655" ht="14.25">
      <c r="A655" s="4" t="s">
        <v>15682</v>
      </c>
      <c r="B655" s="4" t="s">
        <v>485</v>
      </c>
      <c r="C655" s="4" t="s">
        <v>7759</v>
      </c>
      <c r="F655" s="4" t="s">
        <v>15683</v>
      </c>
      <c r="G655" s="4">
        <v>12</v>
      </c>
      <c r="H655" s="4" t="s">
        <v>12833</v>
      </c>
      <c r="I655" s="4" t="str">
        <f>IFERROR(__XLUDF.DUMMYFUNCTION("PROPER(REGEXREPLACE(G653,""[^A-Za-z]+ "",""""))"),"Ambois")</f>
        <v>Ambois</v>
      </c>
      <c r="J655" s="5" t="s">
        <v>12834</v>
      </c>
      <c r="K655" s="6"/>
      <c r="L655" s="6"/>
      <c r="M655" s="4" t="s">
        <v>29</v>
      </c>
      <c r="N655" s="4" t="s">
        <v>9239</v>
      </c>
      <c r="O655" s="4" t="str">
        <f>IFERROR(__XLUDF.DUMMYFUNCTION("VLOOKUP(M653,IMPORTRANGE(""https://docs.google.com/spreadsheets/d/1opm6ZNvGZ7KditA9TuJwrZ25eFLfTNIkrNnY6mhV5Eg"",""list!A1:C115""),3,TRUE)"),"le secteur de la construction")</f>
        <v xml:space="preserve">le secteur de la construction</v>
      </c>
      <c r="P655" s="4" t="s">
        <v>12836</v>
      </c>
      <c r="R655" s="4" t="s">
        <v>12837</v>
      </c>
      <c r="S655" s="4" t="s">
        <v>9281</v>
      </c>
      <c r="T655" s="4" t="s">
        <v>29</v>
      </c>
      <c r="U655" s="5" t="s">
        <v>12838</v>
      </c>
      <c r="V655" s="6"/>
      <c r="W655" s="6"/>
      <c r="X655" s="6"/>
      <c r="Y655" s="6"/>
      <c r="Z655" s="4" t="s">
        <v>12839</v>
      </c>
      <c r="AA655" s="6"/>
      <c r="AB655" s="5" t="s">
        <v>15684</v>
      </c>
    </row>
    <row r="656" ht="14.25">
      <c r="A656" s="4" t="s">
        <v>15686</v>
      </c>
      <c r="B656" s="4" t="s">
        <v>1596</v>
      </c>
      <c r="C656" s="4" t="s">
        <v>1130</v>
      </c>
      <c r="F656" s="4" t="s">
        <v>15687</v>
      </c>
      <c r="G656" s="4">
        <v>10</v>
      </c>
      <c r="H656" s="4" t="s">
        <v>15688</v>
      </c>
      <c r="I656" s="4" t="str">
        <f>IFERROR(__XLUDF.DUMMYFUNCTION("PROPER(REGEXREPLACE(G654,""[^A-Za-z]+ "",""""))"),"Partner Talent")</f>
        <v xml:space="preserve">Partner Talent</v>
      </c>
      <c r="J656" s="5" t="s">
        <v>15689</v>
      </c>
      <c r="K656" s="4" t="s">
        <v>846</v>
      </c>
      <c r="L656" s="4" t="s">
        <v>9278</v>
      </c>
      <c r="M656" s="4" t="s">
        <v>29</v>
      </c>
      <c r="N656" s="4" t="s">
        <v>2602</v>
      </c>
      <c r="O656" s="4" t="str">
        <f>IFERROR(__XLUDF.DUMMYFUNCTION("VLOOKUP(M654,IMPORTRANGE(""https://docs.google.com/spreadsheets/d/1opm6ZNvGZ7KditA9TuJwrZ25eFLfTNIkrNnY6mhV5Eg"",""list!A1:C115""),3,TRUE)"),"le secteur de la tech")</f>
        <v xml:space="preserve">le secteur de la tech</v>
      </c>
      <c r="P656" s="4" t="s">
        <v>15690</v>
      </c>
      <c r="R656" s="4" t="s">
        <v>846</v>
      </c>
      <c r="S656" s="4" t="s">
        <v>9278</v>
      </c>
      <c r="T656" s="4" t="s">
        <v>29</v>
      </c>
      <c r="U656" s="5" t="s">
        <v>15691</v>
      </c>
      <c r="V656" s="5" t="s">
        <v>15692</v>
      </c>
      <c r="W656" s="6"/>
      <c r="X656" s="6"/>
      <c r="Y656" s="6"/>
      <c r="Z656" s="4" t="s">
        <v>15693</v>
      </c>
      <c r="AA656" s="6"/>
      <c r="AB656" s="5" t="s">
        <v>15694</v>
      </c>
    </row>
    <row r="657" ht="14.25">
      <c r="A657" s="4" t="s">
        <v>15696</v>
      </c>
      <c r="B657" s="4" t="s">
        <v>222</v>
      </c>
      <c r="C657" s="4" t="s">
        <v>172</v>
      </c>
      <c r="F657" s="4" t="s">
        <v>15697</v>
      </c>
      <c r="G657" s="4">
        <v>18</v>
      </c>
      <c r="H657" s="4" t="s">
        <v>15698</v>
      </c>
      <c r="I657" s="4" t="str">
        <f>IFERROR(__XLUDF.DUMMYFUNCTION("PROPER(REGEXREPLACE(G655,""[^A-Za-z]+ "",""""))"),"Oz Alu")</f>
        <v xml:space="preserve">Oz Alu</v>
      </c>
      <c r="J657" s="5" t="s">
        <v>15699</v>
      </c>
      <c r="K657" s="4" t="s">
        <v>6480</v>
      </c>
      <c r="L657" s="4" t="s">
        <v>9281</v>
      </c>
      <c r="M657" s="4" t="s">
        <v>29</v>
      </c>
      <c r="N657" s="4" t="s">
        <v>4525</v>
      </c>
      <c r="O657" s="4" t="str">
        <f>IFERROR(__XLUDF.DUMMYFUNCTION("VLOOKUP(M655,IMPORTRANGE(""https://docs.google.com/spreadsheets/d/1opm6ZNvGZ7KditA9TuJwrZ25eFLfTNIkrNnY6mhV5Eg"",""list!A1:C115""),3,TRUE)"),"le secteur du retail")</f>
        <v xml:space="preserve">le secteur du retail</v>
      </c>
      <c r="P657" s="6"/>
      <c r="R657" s="4" t="s">
        <v>6480</v>
      </c>
      <c r="S657" s="4" t="s">
        <v>9281</v>
      </c>
      <c r="T657" s="4" t="s">
        <v>29</v>
      </c>
      <c r="U657" s="5" t="s">
        <v>15700</v>
      </c>
      <c r="V657" s="6"/>
      <c r="W657" s="6"/>
      <c r="X657" s="6"/>
      <c r="Y657" s="6"/>
      <c r="Z657" s="4" t="s">
        <v>15701</v>
      </c>
      <c r="AA657" s="6"/>
      <c r="AB657" s="5" t="s">
        <v>15702</v>
      </c>
    </row>
    <row r="658" ht="14.25">
      <c r="A658" s="4" t="s">
        <v>11439</v>
      </c>
      <c r="B658" s="4" t="s">
        <v>76</v>
      </c>
      <c r="C658" s="4" t="s">
        <v>112</v>
      </c>
      <c r="F658" s="4" t="s">
        <v>15704</v>
      </c>
      <c r="G658" s="4">
        <v>11</v>
      </c>
      <c r="H658" s="4" t="s">
        <v>15705</v>
      </c>
      <c r="I658" s="4" t="str">
        <f>IFERROR(__XLUDF.DUMMYFUNCTION("PROPER(REGEXREPLACE(G656,""[^A-Za-z]+ "",""""))"),"Sbi")</f>
        <v>Sbi</v>
      </c>
      <c r="J658" s="5" t="s">
        <v>15706</v>
      </c>
      <c r="K658" s="4" t="s">
        <v>39</v>
      </c>
      <c r="L658" s="4" t="s">
        <v>9160</v>
      </c>
      <c r="M658" s="4" t="s">
        <v>29</v>
      </c>
      <c r="N658" s="4" t="s">
        <v>10167</v>
      </c>
      <c r="O658" s="4" t="str">
        <f>IFERROR(__XLUDF.DUMMYFUNCTION("VLOOKUP(M656,IMPORTRANGE(""https://docs.google.com/spreadsheets/d/1opm6ZNvGZ7KditA9TuJwrZ25eFLfTNIkrNnY6mhV5Eg"",""list!A1:C115""),3,TRUE)"),"le secteur de l'architecture et de l'urbanisme")</f>
        <v xml:space="preserve">le secteur de l'architecture et de l'urbanisme</v>
      </c>
      <c r="P658" s="4" t="s">
        <v>15707</v>
      </c>
      <c r="R658" s="4" t="s">
        <v>15708</v>
      </c>
      <c r="S658" s="4" t="s">
        <v>9160</v>
      </c>
      <c r="T658" s="4" t="s">
        <v>29</v>
      </c>
      <c r="U658" s="5" t="s">
        <v>15709</v>
      </c>
      <c r="V658" s="6"/>
      <c r="W658" s="5" t="s">
        <v>15710</v>
      </c>
      <c r="X658" s="6"/>
      <c r="Y658" s="6"/>
      <c r="Z658" s="4" t="s">
        <v>15711</v>
      </c>
      <c r="AA658" s="6"/>
      <c r="AB658" s="5" t="s">
        <v>15712</v>
      </c>
    </row>
    <row r="659" ht="14.25">
      <c r="A659" s="4" t="s">
        <v>9996</v>
      </c>
      <c r="B659" s="4" t="s">
        <v>1215</v>
      </c>
      <c r="C659" s="4" t="s">
        <v>15715</v>
      </c>
      <c r="F659" s="4" t="s">
        <v>15714</v>
      </c>
      <c r="G659" s="4">
        <v>11</v>
      </c>
      <c r="H659" s="4" t="s">
        <v>9999</v>
      </c>
      <c r="I659" s="4" t="str">
        <f>IFERROR(__XLUDF.DUMMYFUNCTION("PROPER(REGEXREPLACE(G657,""[^A-Za-z]+ "",""""))"),"Hpdia")</f>
        <v>Hpdia</v>
      </c>
      <c r="J659" s="5" t="s">
        <v>10000</v>
      </c>
      <c r="K659" s="4" t="s">
        <v>1015</v>
      </c>
      <c r="L659" s="4" t="s">
        <v>9251</v>
      </c>
      <c r="M659" s="4" t="s">
        <v>29</v>
      </c>
      <c r="N659" s="4" t="s">
        <v>2602</v>
      </c>
      <c r="O659" s="4" t="str">
        <f>IFERROR(__XLUDF.DUMMYFUNCTION("VLOOKUP(M657,IMPORTRANGE(""https://docs.google.com/spreadsheets/d/1opm6ZNvGZ7KditA9TuJwrZ25eFLfTNIkrNnY6mhV5Eg"",""list!A1:C115""),3,TRUE)"),"le secteur de la tech")</f>
        <v xml:space="preserve">le secteur de la tech</v>
      </c>
      <c r="P659" s="6"/>
      <c r="R659" s="4" t="s">
        <v>1015</v>
      </c>
      <c r="S659" s="4" t="s">
        <v>9251</v>
      </c>
      <c r="T659" s="4" t="s">
        <v>29</v>
      </c>
      <c r="U659" s="5" t="s">
        <v>10001</v>
      </c>
      <c r="V659" s="6"/>
      <c r="W659" s="6"/>
      <c r="X659" s="6"/>
      <c r="Y659" s="6"/>
      <c r="Z659" s="4" t="s">
        <v>10002</v>
      </c>
      <c r="AA659" s="6"/>
      <c r="AB659" s="5" t="s">
        <v>15716</v>
      </c>
    </row>
    <row r="660" ht="14.25">
      <c r="A660" s="4" t="s">
        <v>15718</v>
      </c>
      <c r="B660" s="4" t="s">
        <v>1215</v>
      </c>
      <c r="C660" s="4" t="s">
        <v>7759</v>
      </c>
      <c r="F660" s="4" t="s">
        <v>15719</v>
      </c>
      <c r="G660" s="4">
        <v>12</v>
      </c>
      <c r="H660" s="4" t="s">
        <v>15720</v>
      </c>
      <c r="I660" s="4" t="str">
        <f>IFERROR(__XLUDF.DUMMYFUNCTION("PROPER(REGEXREPLACE(G658,""[^A-Za-z]+ "",""""))"),"Covateam")</f>
        <v>Covateam</v>
      </c>
      <c r="J660" s="5" t="s">
        <v>15721</v>
      </c>
      <c r="K660" s="4" t="s">
        <v>15722</v>
      </c>
      <c r="L660" s="4" t="s">
        <v>9193</v>
      </c>
      <c r="M660" s="4" t="s">
        <v>29</v>
      </c>
      <c r="N660" s="4" t="s">
        <v>2602</v>
      </c>
      <c r="O660" s="4" t="str">
        <f>IFERROR(__XLUDF.DUMMYFUNCTION("VLOOKUP(M658,IMPORTRANGE(""https://docs.google.com/spreadsheets/d/1opm6ZNvGZ7KditA9TuJwrZ25eFLfTNIkrNnY6mhV5Eg"",""list!A1:C115""),3,TRUE)"),"le secteur de la tech")</f>
        <v xml:space="preserve">le secteur de la tech</v>
      </c>
      <c r="P660" s="4" t="s">
        <v>15723</v>
      </c>
      <c r="R660" s="4" t="s">
        <v>15724</v>
      </c>
      <c r="S660" s="4" t="s">
        <v>9193</v>
      </c>
      <c r="T660" s="4" t="s">
        <v>29</v>
      </c>
      <c r="U660" s="5" t="s">
        <v>15725</v>
      </c>
      <c r="V660" s="6"/>
      <c r="W660" s="6"/>
      <c r="X660" s="6"/>
      <c r="Y660" s="6"/>
      <c r="Z660" s="4" t="s">
        <v>15726</v>
      </c>
      <c r="AA660" s="6"/>
      <c r="AB660" s="5" t="s">
        <v>15727</v>
      </c>
    </row>
    <row r="661" ht="14.25">
      <c r="A661" s="4" t="s">
        <v>15729</v>
      </c>
      <c r="B661" s="4" t="s">
        <v>1215</v>
      </c>
      <c r="C661" s="4" t="s">
        <v>15731</v>
      </c>
      <c r="F661" s="4" t="s">
        <v>15730</v>
      </c>
      <c r="G661" s="4">
        <v>33</v>
      </c>
      <c r="H661" s="4" t="s">
        <v>15732</v>
      </c>
      <c r="I661" s="4" t="str">
        <f>IFERROR(__XLUDF.DUMMYFUNCTION("PROPER(REGEXREPLACE(G659,""[^A-Za-z]+ "",""""))"),"Telemedicine Technologies")</f>
        <v xml:space="preserve">Telemedicine Technologies</v>
      </c>
      <c r="J661" s="5" t="s">
        <v>15733</v>
      </c>
      <c r="K661" s="4" t="s">
        <v>6603</v>
      </c>
      <c r="L661" s="4" t="s">
        <v>9160</v>
      </c>
      <c r="M661" s="4" t="s">
        <v>29</v>
      </c>
      <c r="N661" s="4" t="s">
        <v>2602</v>
      </c>
      <c r="O661" s="4" t="str">
        <f>IFERROR(__XLUDF.DUMMYFUNCTION("VLOOKUP(M659,IMPORTRANGE(""https://docs.google.com/spreadsheets/d/1opm6ZNvGZ7KditA9TuJwrZ25eFLfTNIkrNnY6mhV5Eg"",""list!A1:C115""),3,TRUE)"),"le secteur de la tech")</f>
        <v xml:space="preserve">le secteur de la tech</v>
      </c>
      <c r="P661" s="4" t="s">
        <v>15734</v>
      </c>
      <c r="R661" s="4" t="s">
        <v>6603</v>
      </c>
      <c r="S661" s="4" t="s">
        <v>9160</v>
      </c>
      <c r="T661" s="4" t="s">
        <v>29</v>
      </c>
      <c r="U661" s="5" t="s">
        <v>15735</v>
      </c>
      <c r="V661" s="5" t="s">
        <v>15736</v>
      </c>
      <c r="W661" s="5" t="s">
        <v>15737</v>
      </c>
      <c r="X661" s="6"/>
      <c r="Y661" s="6"/>
      <c r="Z661" s="4" t="s">
        <v>15738</v>
      </c>
      <c r="AA661" s="6"/>
      <c r="AB661" s="5" t="s">
        <v>15739</v>
      </c>
    </row>
    <row r="662" ht="14.25">
      <c r="A662" s="4" t="s">
        <v>15741</v>
      </c>
      <c r="B662" s="4" t="s">
        <v>1215</v>
      </c>
      <c r="C662" s="4" t="s">
        <v>7759</v>
      </c>
      <c r="F662" s="4" t="s">
        <v>15742</v>
      </c>
      <c r="G662" s="4">
        <v>40</v>
      </c>
      <c r="H662" s="4" t="s">
        <v>15743</v>
      </c>
      <c r="I662" s="4" t="str">
        <f>IFERROR(__XLUDF.DUMMYFUNCTION("PROPER(REGEXREPLACE(G660,""[^A-Za-z]+ "",""""))"),"Toptech France")</f>
        <v xml:space="preserve">Toptech France</v>
      </c>
      <c r="J662" s="4" t="s">
        <v>15744</v>
      </c>
      <c r="K662" s="6"/>
      <c r="L662" s="6"/>
      <c r="M662" s="4" t="s">
        <v>29</v>
      </c>
      <c r="N662" s="4" t="s">
        <v>4067</v>
      </c>
      <c r="O662" s="4" t="str">
        <f>IFERROR(__XLUDF.DUMMYFUNCTION("VLOOKUP(M660,IMPORTRANGE(""https://docs.google.com/spreadsheets/d/1opm6ZNvGZ7KditA9TuJwrZ25eFLfTNIkrNnY6mhV5Eg"",""list!A1:C115""),3,TRUE)"),"le secteur du conseil en management")</f>
        <v xml:space="preserve">le secteur du conseil en management</v>
      </c>
      <c r="P662" s="4" t="s">
        <v>15745</v>
      </c>
      <c r="R662" s="4" t="s">
        <v>15746</v>
      </c>
      <c r="S662" s="4" t="s">
        <v>9473</v>
      </c>
      <c r="T662" s="4" t="s">
        <v>29</v>
      </c>
      <c r="U662" s="5" t="s">
        <v>15747</v>
      </c>
      <c r="V662" s="6"/>
      <c r="W662" s="6"/>
      <c r="X662" s="6"/>
      <c r="Y662" s="6"/>
      <c r="Z662" s="4" t="s">
        <v>15748</v>
      </c>
      <c r="AA662" s="6"/>
      <c r="AB662" s="5" t="s">
        <v>15749</v>
      </c>
    </row>
    <row r="663" ht="14.25">
      <c r="A663" s="4" t="s">
        <v>7669</v>
      </c>
      <c r="B663" s="4" t="s">
        <v>1215</v>
      </c>
      <c r="C663" s="4" t="s">
        <v>7185</v>
      </c>
      <c r="F663" s="4" t="s">
        <v>15751</v>
      </c>
      <c r="G663" s="4">
        <v>2</v>
      </c>
      <c r="H663" s="4" t="s">
        <v>15752</v>
      </c>
      <c r="I663" s="4" t="str">
        <f>IFERROR(__XLUDF.DUMMYFUNCTION("PROPER(REGEXREPLACE(G661,""[^A-Za-z]+ "",""""))"),"E-Volve Academy")</f>
        <v xml:space="preserve">E-Volve Academy</v>
      </c>
      <c r="J663" s="6"/>
      <c r="K663" s="4" t="s">
        <v>846</v>
      </c>
      <c r="L663" s="4" t="s">
        <v>9278</v>
      </c>
      <c r="M663" s="4" t="s">
        <v>29</v>
      </c>
      <c r="N663" s="4" t="s">
        <v>5048</v>
      </c>
      <c r="O663" s="4" t="str">
        <f>IFERROR(__XLUDF.DUMMYFUNCTION("VLOOKUP(M661,IMPORTRANGE(""https://docs.google.com/spreadsheets/d/1opm6ZNvGZ7KditA9TuJwrZ25eFLfTNIkrNnY6mhV5Eg"",""list!A1:C115""),3,TRUE)"),"le secteur de la formation pro et du coaching")</f>
        <v xml:space="preserve">le secteur de la formation pro et du coaching</v>
      </c>
      <c r="P663" s="4" t="s">
        <v>15753</v>
      </c>
      <c r="R663" s="4" t="s">
        <v>9280</v>
      </c>
      <c r="S663" s="4" t="s">
        <v>9281</v>
      </c>
      <c r="T663" s="4" t="s">
        <v>29</v>
      </c>
      <c r="U663" s="5" t="s">
        <v>15754</v>
      </c>
      <c r="V663" s="6"/>
      <c r="W663" s="6"/>
      <c r="X663" s="6"/>
      <c r="Y663" s="6"/>
      <c r="Z663" s="4" t="s">
        <v>15755</v>
      </c>
      <c r="AA663" s="6"/>
      <c r="AB663" s="5" t="s">
        <v>15756</v>
      </c>
    </row>
    <row r="664" ht="14.25">
      <c r="A664" s="4" t="s">
        <v>15758</v>
      </c>
      <c r="B664" s="4" t="s">
        <v>1215</v>
      </c>
      <c r="C664" s="4" t="s">
        <v>172</v>
      </c>
      <c r="F664" s="4" t="s">
        <v>15759</v>
      </c>
      <c r="G664" s="4">
        <v>21</v>
      </c>
      <c r="H664" s="4" t="s">
        <v>15760</v>
      </c>
      <c r="I664" s="4" t="str">
        <f>IFERROR(__XLUDF.DUMMYFUNCTION("PROPER(REGEXREPLACE(G662,""[^A-Za-z]+ "",""""))"),"Everest Isolation")</f>
        <v xml:space="preserve">Everest Isolation</v>
      </c>
      <c r="J664" s="5" t="s">
        <v>15761</v>
      </c>
      <c r="K664" s="4" t="s">
        <v>15762</v>
      </c>
      <c r="L664" s="4" t="s">
        <v>9251</v>
      </c>
      <c r="M664" s="4" t="s">
        <v>29</v>
      </c>
      <c r="N664" s="4" t="s">
        <v>9239</v>
      </c>
      <c r="O664" s="4" t="str">
        <f>IFERROR(__XLUDF.DUMMYFUNCTION("VLOOKUP(M662,IMPORTRANGE(""https://docs.google.com/spreadsheets/d/1opm6ZNvGZ7KditA9TuJwrZ25eFLfTNIkrNnY6mhV5Eg"",""list!A1:C115""),3,TRUE)"),"le secteur de la construction")</f>
        <v xml:space="preserve">le secteur de la construction</v>
      </c>
      <c r="P664" s="4" t="s">
        <v>15763</v>
      </c>
      <c r="R664" s="4" t="s">
        <v>15762</v>
      </c>
      <c r="S664" s="4" t="s">
        <v>9251</v>
      </c>
      <c r="T664" s="4" t="s">
        <v>29</v>
      </c>
      <c r="U664" s="5" t="s">
        <v>15764</v>
      </c>
      <c r="V664" s="6"/>
      <c r="W664" s="5" t="s">
        <v>15765</v>
      </c>
      <c r="X664" s="6"/>
      <c r="Y664" s="6"/>
      <c r="Z664" s="4" t="s">
        <v>15766</v>
      </c>
      <c r="AA664" s="6"/>
      <c r="AB664" s="5" t="s">
        <v>15767</v>
      </c>
    </row>
    <row r="665" ht="14.25">
      <c r="A665" s="4" t="s">
        <v>15769</v>
      </c>
      <c r="B665" s="4" t="s">
        <v>808</v>
      </c>
      <c r="C665" s="4" t="s">
        <v>172</v>
      </c>
      <c r="F665" s="4" t="s">
        <v>15770</v>
      </c>
      <c r="G665" s="4">
        <v>18</v>
      </c>
      <c r="H665" s="4" t="s">
        <v>15771</v>
      </c>
      <c r="I665" s="4" t="str">
        <f>IFERROR(__XLUDF.DUMMYFUNCTION("PROPER(REGEXREPLACE(G663,""[^A-Za-z]+ "",""""))"),"Wattohm Air Solutions")</f>
        <v xml:space="preserve">Wattohm Air Solutions</v>
      </c>
      <c r="J665" s="5" t="s">
        <v>15772</v>
      </c>
      <c r="K665" s="4" t="s">
        <v>3016</v>
      </c>
      <c r="L665" s="4" t="s">
        <v>9473</v>
      </c>
      <c r="M665" s="4" t="s">
        <v>29</v>
      </c>
      <c r="N665" s="4" t="s">
        <v>4525</v>
      </c>
      <c r="O665" s="4" t="str">
        <f>IFERROR(__XLUDF.DUMMYFUNCTION("VLOOKUP(M663,IMPORTRANGE(""https://docs.google.com/spreadsheets/d/1opm6ZNvGZ7KditA9TuJwrZ25eFLfTNIkrNnY6mhV5Eg"",""list!A1:C115""),3,TRUE)"),"le secteur du retail")</f>
        <v xml:space="preserve">le secteur du retail</v>
      </c>
      <c r="P665" s="4" t="s">
        <v>15773</v>
      </c>
      <c r="R665" s="4" t="s">
        <v>3016</v>
      </c>
      <c r="S665" s="4" t="s">
        <v>9473</v>
      </c>
      <c r="T665" s="4" t="s">
        <v>29</v>
      </c>
      <c r="U665" s="5" t="s">
        <v>15774</v>
      </c>
      <c r="V665" s="6"/>
      <c r="W665" s="6"/>
      <c r="X665" s="6"/>
      <c r="Y665" s="6"/>
      <c r="Z665" s="4" t="s">
        <v>15775</v>
      </c>
      <c r="AA665" s="6"/>
      <c r="AB665" s="5" t="s">
        <v>15776</v>
      </c>
    </row>
    <row r="666" ht="14.25">
      <c r="A666" s="4" t="s">
        <v>10412</v>
      </c>
      <c r="B666" s="4" t="s">
        <v>15778</v>
      </c>
      <c r="C666" s="4" t="s">
        <v>15780</v>
      </c>
      <c r="F666" s="4" t="s">
        <v>15779</v>
      </c>
      <c r="G666" s="4">
        <v>22</v>
      </c>
      <c r="H666" s="4" t="s">
        <v>12718</v>
      </c>
      <c r="I666" s="4" t="str">
        <f>IFERROR(__XLUDF.DUMMYFUNCTION("PROPER(REGEXREPLACE(G664,""[^A-Za-z]+ "",""""))"),"Amhappy")</f>
        <v>Amhappy</v>
      </c>
      <c r="J666" s="5" t="s">
        <v>12719</v>
      </c>
      <c r="K666" s="4" t="s">
        <v>492</v>
      </c>
      <c r="L666" s="4" t="s">
        <v>9267</v>
      </c>
      <c r="M666" s="4" t="s">
        <v>29</v>
      </c>
      <c r="N666" s="4" t="s">
        <v>2602</v>
      </c>
      <c r="O666" s="4" t="str">
        <f>IFERROR(__XLUDF.DUMMYFUNCTION("VLOOKUP(M664,IMPORTRANGE(""https://docs.google.com/spreadsheets/d/1opm6ZNvGZ7KditA9TuJwrZ25eFLfTNIkrNnY6mhV5Eg"",""list!A1:C115""),3,TRUE)"),"le secteur de la tech")</f>
        <v xml:space="preserve">le secteur de la tech</v>
      </c>
      <c r="P666" s="4" t="s">
        <v>12720</v>
      </c>
      <c r="R666" s="4" t="s">
        <v>12721</v>
      </c>
      <c r="S666" s="4" t="s">
        <v>9226</v>
      </c>
      <c r="T666" s="4" t="s">
        <v>29</v>
      </c>
      <c r="U666" s="5" t="s">
        <v>12722</v>
      </c>
      <c r="V666" s="6"/>
      <c r="W666" s="5" t="s">
        <v>12723</v>
      </c>
      <c r="X666" s="6"/>
      <c r="Y666" s="6"/>
      <c r="Z666" s="4" t="s">
        <v>12724</v>
      </c>
      <c r="AA666" s="6"/>
      <c r="AB666" s="5" t="s">
        <v>15781</v>
      </c>
    </row>
    <row r="667" ht="14.25">
      <c r="A667" s="4" t="s">
        <v>15783</v>
      </c>
      <c r="B667" s="4" t="s">
        <v>485</v>
      </c>
      <c r="C667" s="4" t="s">
        <v>15785</v>
      </c>
      <c r="F667" s="4" t="s">
        <v>15784</v>
      </c>
      <c r="G667" s="4">
        <v>17</v>
      </c>
      <c r="H667" s="4" t="s">
        <v>15786</v>
      </c>
      <c r="I667" s="4" t="str">
        <f>IFERROR(__XLUDF.DUMMYFUNCTION("PROPER(REGEXREPLACE(G665,""[^A-Za-z]+ "",""""))"),"Agrisight")</f>
        <v>Agrisight</v>
      </c>
      <c r="J667" s="5" t="s">
        <v>15787</v>
      </c>
      <c r="K667" s="4" t="s">
        <v>39</v>
      </c>
      <c r="L667" s="4" t="s">
        <v>9160</v>
      </c>
      <c r="M667" s="4" t="s">
        <v>29</v>
      </c>
      <c r="N667" s="4" t="s">
        <v>2602</v>
      </c>
      <c r="O667" s="4" t="str">
        <f>IFERROR(__XLUDF.DUMMYFUNCTION("VLOOKUP(M665,IMPORTRANGE(""https://docs.google.com/spreadsheets/d/1opm6ZNvGZ7KditA9TuJwrZ25eFLfTNIkrNnY6mhV5Eg"",""list!A1:C115""),3,TRUE)"),"le secteur de la tech")</f>
        <v xml:space="preserve">le secteur de la tech</v>
      </c>
      <c r="P667" s="6"/>
      <c r="R667" s="4" t="s">
        <v>39</v>
      </c>
      <c r="S667" s="4" t="s">
        <v>9160</v>
      </c>
      <c r="T667" s="4" t="s">
        <v>29</v>
      </c>
      <c r="U667" s="5" t="s">
        <v>15788</v>
      </c>
      <c r="V667" s="6"/>
      <c r="W667" s="6"/>
      <c r="X667" s="6"/>
      <c r="Y667" s="6"/>
      <c r="Z667" s="4" t="s">
        <v>15789</v>
      </c>
      <c r="AA667" s="6"/>
      <c r="AB667" s="5" t="s">
        <v>15790</v>
      </c>
    </row>
    <row r="668" ht="14.25">
      <c r="A668" s="4" t="s">
        <v>10792</v>
      </c>
      <c r="B668" s="4" t="s">
        <v>485</v>
      </c>
      <c r="C668" s="4" t="s">
        <v>15793</v>
      </c>
      <c r="F668" s="4" t="s">
        <v>15792</v>
      </c>
      <c r="G668" s="4">
        <v>50</v>
      </c>
      <c r="H668" s="4" t="s">
        <v>15794</v>
      </c>
      <c r="I668" s="4" t="str">
        <f>IFERROR(__XLUDF.DUMMYFUNCTION("PROPER(REGEXREPLACE(G666,""[^A-Za-z]+ "",""""))"),"Génie Des Lieux By Watt")</f>
        <v xml:space="preserve">Génie Des Lieux By Watt</v>
      </c>
      <c r="J668" s="5" t="s">
        <v>15795</v>
      </c>
      <c r="K668" s="4" t="s">
        <v>39</v>
      </c>
      <c r="L668" s="4" t="s">
        <v>9160</v>
      </c>
      <c r="M668" s="4" t="s">
        <v>29</v>
      </c>
      <c r="N668" s="4" t="s">
        <v>4067</v>
      </c>
      <c r="O668" s="4" t="str">
        <f>IFERROR(__XLUDF.DUMMYFUNCTION("VLOOKUP(M666,IMPORTRANGE(""https://docs.google.com/spreadsheets/d/1opm6ZNvGZ7KditA9TuJwrZ25eFLfTNIkrNnY6mhV5Eg"",""list!A1:C115""),3,TRUE)"),"le secteur du conseil en management")</f>
        <v xml:space="preserve">le secteur du conseil en management</v>
      </c>
      <c r="P668" s="4" t="s">
        <v>15796</v>
      </c>
      <c r="R668" s="4" t="s">
        <v>39</v>
      </c>
      <c r="S668" s="4" t="s">
        <v>9160</v>
      </c>
      <c r="T668" s="4" t="s">
        <v>29</v>
      </c>
      <c r="U668" s="5" t="s">
        <v>15797</v>
      </c>
      <c r="V668" s="5" t="s">
        <v>15798</v>
      </c>
      <c r="W668" s="6"/>
      <c r="X668" s="6"/>
      <c r="Y668" s="6"/>
      <c r="Z668" s="4" t="s">
        <v>15799</v>
      </c>
      <c r="AA668" s="6"/>
      <c r="AB668" s="5" t="s">
        <v>15800</v>
      </c>
    </row>
    <row r="669" ht="14.25">
      <c r="A669" s="4" t="s">
        <v>15802</v>
      </c>
      <c r="B669" s="4" t="s">
        <v>485</v>
      </c>
      <c r="C669" s="4" t="s">
        <v>15804</v>
      </c>
      <c r="F669" s="4" t="s">
        <v>15803</v>
      </c>
      <c r="G669" s="4">
        <v>50</v>
      </c>
      <c r="H669" s="4" t="s">
        <v>15805</v>
      </c>
      <c r="I669" s="4" t="str">
        <f>IFERROR(__XLUDF.DUMMYFUNCTION("PROPER(REGEXREPLACE(G667,""[^A-Za-z]+ "",""""))"),"Ingenium Animalis")</f>
        <v xml:space="preserve">Ingenium Animalis</v>
      </c>
      <c r="J669" s="5" t="s">
        <v>15806</v>
      </c>
      <c r="K669" s="4" t="s">
        <v>15807</v>
      </c>
      <c r="L669" s="4" t="s">
        <v>9193</v>
      </c>
      <c r="M669" s="4" t="s">
        <v>29</v>
      </c>
      <c r="N669" s="4" t="s">
        <v>2602</v>
      </c>
      <c r="O669" s="4" t="str">
        <f>IFERROR(__XLUDF.DUMMYFUNCTION("VLOOKUP(M667,IMPORTRANGE(""https://docs.google.com/spreadsheets/d/1opm6ZNvGZ7KditA9TuJwrZ25eFLfTNIkrNnY6mhV5Eg"",""list!A1:C115""),3,TRUE)"),"le secteur de la tech")</f>
        <v xml:space="preserve">le secteur de la tech</v>
      </c>
      <c r="P669" s="4" t="s">
        <v>15808</v>
      </c>
      <c r="R669" s="4" t="s">
        <v>585</v>
      </c>
      <c r="S669" s="4" t="s">
        <v>9160</v>
      </c>
      <c r="T669" s="4" t="s">
        <v>29</v>
      </c>
      <c r="U669" s="5" t="s">
        <v>15809</v>
      </c>
      <c r="V669" s="6"/>
      <c r="W669" s="6"/>
      <c r="X669" s="6"/>
      <c r="Y669" s="6"/>
      <c r="Z669" s="4" t="s">
        <v>15810</v>
      </c>
      <c r="AA669" s="6"/>
      <c r="AB669" s="5" t="s">
        <v>15811</v>
      </c>
    </row>
    <row r="670" ht="14.25">
      <c r="A670" s="4" t="s">
        <v>15813</v>
      </c>
      <c r="B670" s="4" t="s">
        <v>485</v>
      </c>
      <c r="C670" s="4" t="s">
        <v>15815</v>
      </c>
      <c r="F670" s="4" t="s">
        <v>15814</v>
      </c>
      <c r="G670" s="4">
        <v>35</v>
      </c>
      <c r="H670" s="5" t="s">
        <v>15397</v>
      </c>
      <c r="I670" s="5" t="str">
        <f>IFERROR(__XLUDF.DUMMYFUNCTION("PROPER(REGEXREPLACE(G668,""[^A-Za-z]+ "",""""))"),"Circularity.Fr")</f>
        <v>Circularity.Fr</v>
      </c>
      <c r="J670" s="5" t="s">
        <v>15398</v>
      </c>
      <c r="K670" s="4" t="s">
        <v>39</v>
      </c>
      <c r="L670" s="4" t="s">
        <v>9160</v>
      </c>
      <c r="M670" s="4" t="s">
        <v>29</v>
      </c>
      <c r="N670" s="4" t="s">
        <v>4067</v>
      </c>
      <c r="O670" s="4" t="str">
        <f>IFERROR(__XLUDF.DUMMYFUNCTION("VLOOKUP(M668,IMPORTRANGE(""https://docs.google.com/spreadsheets/d/1opm6ZNvGZ7KditA9TuJwrZ25eFLfTNIkrNnY6mhV5Eg"",""list!A1:C115""),3,TRUE)"),"le secteur du conseil en management")</f>
        <v xml:space="preserve">le secteur du conseil en management</v>
      </c>
      <c r="P670" s="4" t="s">
        <v>15399</v>
      </c>
      <c r="R670" s="4" t="s">
        <v>39</v>
      </c>
      <c r="S670" s="4" t="s">
        <v>9160</v>
      </c>
      <c r="T670" s="4" t="s">
        <v>29</v>
      </c>
      <c r="U670" s="5" t="s">
        <v>15400</v>
      </c>
      <c r="V670" s="6"/>
      <c r="W670" s="6"/>
      <c r="X670" s="6"/>
      <c r="Y670" s="6"/>
      <c r="Z670" s="4" t="s">
        <v>15401</v>
      </c>
      <c r="AA670" s="6"/>
      <c r="AB670" s="5" t="s">
        <v>15816</v>
      </c>
    </row>
    <row r="671" ht="14.25">
      <c r="A671" s="4" t="s">
        <v>15818</v>
      </c>
      <c r="B671" s="4" t="s">
        <v>485</v>
      </c>
      <c r="C671" s="4" t="s">
        <v>9849</v>
      </c>
      <c r="F671" s="4" t="s">
        <v>15819</v>
      </c>
      <c r="G671" s="4">
        <v>14</v>
      </c>
      <c r="H671" s="4" t="s">
        <v>13323</v>
      </c>
      <c r="I671" s="4" t="str">
        <f>IFERROR(__XLUDF.DUMMYFUNCTION("PROPER(REGEXREPLACE(G669,""[^A-Za-z]+ "",""""))"),"Temporis Loire Sud")</f>
        <v xml:space="preserve">Temporis Loire Sud</v>
      </c>
      <c r="J671" s="6"/>
      <c r="K671" s="4" t="s">
        <v>15820</v>
      </c>
      <c r="L671" s="4" t="s">
        <v>9193</v>
      </c>
      <c r="M671" s="4" t="s">
        <v>29</v>
      </c>
      <c r="N671" s="4" t="s">
        <v>4067</v>
      </c>
      <c r="O671" s="4" t="str">
        <f>IFERROR(__XLUDF.DUMMYFUNCTION("VLOOKUP(M669,IMPORTRANGE(""https://docs.google.com/spreadsheets/d/1opm6ZNvGZ7KditA9TuJwrZ25eFLfTNIkrNnY6mhV5Eg"",""list!A1:C115""),3,TRUE)"),"le secteur du conseil en management")</f>
        <v xml:space="preserve">le secteur du conseil en management</v>
      </c>
      <c r="P671" s="4" t="s">
        <v>13324</v>
      </c>
      <c r="R671" s="4" t="s">
        <v>831</v>
      </c>
      <c r="S671" s="4" t="s">
        <v>9193</v>
      </c>
      <c r="T671" s="4" t="s">
        <v>29</v>
      </c>
      <c r="U671" s="5" t="s">
        <v>13325</v>
      </c>
      <c r="V671" s="6"/>
      <c r="W671" s="6"/>
      <c r="X671" s="6"/>
      <c r="Y671" s="6"/>
      <c r="Z671" s="4" t="s">
        <v>13326</v>
      </c>
      <c r="AA671" s="6"/>
      <c r="AB671" s="5" t="s">
        <v>15821</v>
      </c>
    </row>
    <row r="672" ht="14.25">
      <c r="A672" s="4" t="s">
        <v>15823</v>
      </c>
      <c r="B672" s="4" t="s">
        <v>485</v>
      </c>
      <c r="C672" s="4" t="s">
        <v>112</v>
      </c>
      <c r="F672" s="4" t="s">
        <v>15824</v>
      </c>
      <c r="G672" s="4">
        <v>27</v>
      </c>
      <c r="H672" s="4" t="s">
        <v>15825</v>
      </c>
      <c r="I672" s="4" t="str">
        <f>IFERROR(__XLUDF.DUMMYFUNCTION("PROPER(REGEXREPLACE(G670,""[^A-Za-z]+ "",""""))"),"Eglise Et Innovation Numérique")</f>
        <v xml:space="preserve">Eglise Et Innovation Numérique</v>
      </c>
      <c r="J672" s="5" t="s">
        <v>15826</v>
      </c>
      <c r="K672" s="4" t="s">
        <v>39</v>
      </c>
      <c r="L672" s="4" t="s">
        <v>9160</v>
      </c>
      <c r="M672" s="4" t="s">
        <v>29</v>
      </c>
      <c r="N672" s="4" t="s">
        <v>2602</v>
      </c>
      <c r="O672" s="4" t="str">
        <f>IFERROR(__XLUDF.DUMMYFUNCTION("VLOOKUP(M670,IMPORTRANGE(""https://docs.google.com/spreadsheets/d/1opm6ZNvGZ7KditA9TuJwrZ25eFLfTNIkrNnY6mhV5Eg"",""list!A1:C115""),3,TRUE)"),"le secteur de la tech")</f>
        <v xml:space="preserve">le secteur de la tech</v>
      </c>
      <c r="P672" s="4" t="s">
        <v>15827</v>
      </c>
      <c r="R672" s="4" t="s">
        <v>39</v>
      </c>
      <c r="S672" s="4" t="s">
        <v>9160</v>
      </c>
      <c r="T672" s="4" t="s">
        <v>29</v>
      </c>
      <c r="U672" s="5" t="s">
        <v>15828</v>
      </c>
      <c r="V672" s="6"/>
      <c r="W672" s="5" t="s">
        <v>15829</v>
      </c>
      <c r="X672" s="6"/>
      <c r="Y672" s="6"/>
      <c r="Z672" s="4" t="s">
        <v>15830</v>
      </c>
      <c r="AA672" s="6"/>
      <c r="AB672" s="5" t="s">
        <v>15831</v>
      </c>
    </row>
    <row r="673" ht="14.25">
      <c r="A673" s="4" t="s">
        <v>15833</v>
      </c>
      <c r="B673" s="4" t="s">
        <v>4236</v>
      </c>
      <c r="C673" s="4" t="s">
        <v>15835</v>
      </c>
      <c r="F673" s="4" t="s">
        <v>15834</v>
      </c>
      <c r="G673" s="4">
        <v>10</v>
      </c>
      <c r="H673" s="4" t="s">
        <v>15836</v>
      </c>
      <c r="I673" s="4" t="str">
        <f>IFERROR(__XLUDF.DUMMYFUNCTION("PROPER(REGEXREPLACE(G671,""[^A-Za-z]+ "",""""))"),"By Pauline")</f>
        <v xml:space="preserve">By Pauline</v>
      </c>
      <c r="J673" s="5" t="s">
        <v>15837</v>
      </c>
      <c r="K673" s="4" t="s">
        <v>39</v>
      </c>
      <c r="L673" s="4" t="s">
        <v>9160</v>
      </c>
      <c r="M673" s="4" t="s">
        <v>29</v>
      </c>
      <c r="N673" s="4" t="s">
        <v>4525</v>
      </c>
      <c r="O673" s="4" t="str">
        <f>IFERROR(__XLUDF.DUMMYFUNCTION("VLOOKUP(M671,IMPORTRANGE(""https://docs.google.com/spreadsheets/d/1opm6ZNvGZ7KditA9TuJwrZ25eFLfTNIkrNnY6mhV5Eg"",""list!A1:C115""),3,TRUE)"),"le secteur du retail")</f>
        <v xml:space="preserve">le secteur du retail</v>
      </c>
      <c r="P673" s="4" t="s">
        <v>15838</v>
      </c>
      <c r="R673" s="4" t="s">
        <v>140</v>
      </c>
      <c r="S673" s="4" t="s">
        <v>9160</v>
      </c>
      <c r="T673" s="4" t="s">
        <v>29</v>
      </c>
      <c r="U673" s="5" t="s">
        <v>15839</v>
      </c>
      <c r="V673" s="5" t="s">
        <v>15840</v>
      </c>
      <c r="W673" s="5" t="s">
        <v>15841</v>
      </c>
      <c r="X673" s="6"/>
      <c r="Y673" s="6"/>
      <c r="Z673" s="4" t="s">
        <v>15842</v>
      </c>
      <c r="AA673" s="6"/>
      <c r="AB673" s="5" t="s">
        <v>15843</v>
      </c>
    </row>
    <row r="674" ht="14.25">
      <c r="A674" s="4" t="s">
        <v>15845</v>
      </c>
      <c r="B674" s="4" t="s">
        <v>1215</v>
      </c>
      <c r="C674" s="4" t="s">
        <v>112</v>
      </c>
      <c r="F674" s="4" t="s">
        <v>15846</v>
      </c>
      <c r="G674" s="4">
        <v>20</v>
      </c>
      <c r="H674" s="4" t="s">
        <v>15847</v>
      </c>
      <c r="I674" s="4" t="str">
        <f>IFERROR(__XLUDF.DUMMYFUNCTION("PROPER(REGEXREPLACE(G672,""[^A-Za-z]+ "",""""))"),"Sms Management")</f>
        <v xml:space="preserve">Sms Management</v>
      </c>
      <c r="J674" s="5" t="s">
        <v>15848</v>
      </c>
      <c r="K674" s="4" t="s">
        <v>39</v>
      </c>
      <c r="L674" s="4" t="s">
        <v>9160</v>
      </c>
      <c r="M674" s="4" t="s">
        <v>29</v>
      </c>
      <c r="N674" s="4" t="s">
        <v>2602</v>
      </c>
      <c r="O674" s="4" t="str">
        <f>IFERROR(__XLUDF.DUMMYFUNCTION("VLOOKUP(M672,IMPORTRANGE(""https://docs.google.com/spreadsheets/d/1opm6ZNvGZ7KditA9TuJwrZ25eFLfTNIkrNnY6mhV5Eg"",""list!A1:C115""),3,TRUE)"),"le secteur de la tech")</f>
        <v xml:space="preserve">le secteur de la tech</v>
      </c>
      <c r="P674" s="4" t="s">
        <v>15849</v>
      </c>
      <c r="R674" s="4" t="s">
        <v>9195</v>
      </c>
      <c r="S674" s="4" t="s">
        <v>9160</v>
      </c>
      <c r="T674" s="4" t="s">
        <v>29</v>
      </c>
      <c r="U674" s="5" t="s">
        <v>15850</v>
      </c>
      <c r="V674" s="6"/>
      <c r="W674" s="6"/>
      <c r="X674" s="6"/>
      <c r="Y674" s="6"/>
      <c r="Z674" s="4" t="s">
        <v>15851</v>
      </c>
      <c r="AA674" s="6"/>
      <c r="AB674" s="5" t="s">
        <v>15852</v>
      </c>
    </row>
    <row r="675" ht="14.25">
      <c r="A675" s="4" t="s">
        <v>15854</v>
      </c>
      <c r="B675" s="4" t="s">
        <v>670</v>
      </c>
      <c r="C675" s="4" t="s">
        <v>7759</v>
      </c>
      <c r="F675" s="4" t="s">
        <v>15855</v>
      </c>
      <c r="G675" s="4">
        <v>10</v>
      </c>
      <c r="H675" s="4" t="s">
        <v>15856</v>
      </c>
      <c r="I675" s="4" t="str">
        <f>IFERROR(__XLUDF.DUMMYFUNCTION("PROPER(REGEXREPLACE(G673,""[^A-Za-z]+ "",""""))"),"Apsecurity")</f>
        <v>Apsecurity</v>
      </c>
      <c r="J675" s="5" t="s">
        <v>15857</v>
      </c>
      <c r="K675" s="4" t="s">
        <v>15858</v>
      </c>
      <c r="L675" s="4" t="s">
        <v>9215</v>
      </c>
      <c r="M675" s="4" t="s">
        <v>29</v>
      </c>
      <c r="N675" s="4" t="s">
        <v>9264</v>
      </c>
      <c r="O675" s="4" t="str">
        <f>IFERROR(__XLUDF.DUMMYFUNCTION("VLOOKUP(M673,IMPORTRANGE(""https://docs.google.com/spreadsheets/d/1opm6ZNvGZ7KditA9TuJwrZ25eFLfTNIkrNnY6mhV5Eg"",""list!A1:C115""),3,TRUE)"),"le secteur de la sécurité informatique")</f>
        <v xml:space="preserve">le secteur de la sécurité informatique</v>
      </c>
      <c r="P675" s="4" t="s">
        <v>15859</v>
      </c>
      <c r="R675" s="4" t="s">
        <v>15858</v>
      </c>
      <c r="S675" s="4" t="s">
        <v>9215</v>
      </c>
      <c r="T675" s="4" t="s">
        <v>29</v>
      </c>
      <c r="U675" s="5" t="s">
        <v>15860</v>
      </c>
      <c r="V675" s="6"/>
      <c r="W675" s="6"/>
      <c r="X675" s="6"/>
      <c r="Y675" s="6"/>
      <c r="Z675" s="4" t="s">
        <v>15861</v>
      </c>
      <c r="AA675" s="6"/>
      <c r="AB675" s="5" t="s">
        <v>15862</v>
      </c>
    </row>
    <row r="676" ht="14.25">
      <c r="A676" s="4" t="s">
        <v>8802</v>
      </c>
      <c r="B676" s="4" t="s">
        <v>866</v>
      </c>
      <c r="C676" s="4" t="s">
        <v>15865</v>
      </c>
      <c r="F676" s="4" t="s">
        <v>15864</v>
      </c>
      <c r="G676" s="4">
        <v>12</v>
      </c>
      <c r="H676" s="4" t="s">
        <v>15866</v>
      </c>
      <c r="I676" s="4" t="str">
        <f>IFERROR(__XLUDF.DUMMYFUNCTION("PROPER(REGEXREPLACE(G674,""[^A-Za-z]+ "",""""))"),"Data New Road")</f>
        <v xml:space="preserve">Data New Road</v>
      </c>
      <c r="J676" s="5" t="s">
        <v>15867</v>
      </c>
      <c r="K676" s="4" t="s">
        <v>185</v>
      </c>
      <c r="L676" s="4" t="s">
        <v>9193</v>
      </c>
      <c r="M676" s="4" t="s">
        <v>29</v>
      </c>
      <c r="N676" s="4" t="s">
        <v>2602</v>
      </c>
      <c r="O676" s="4" t="str">
        <f>IFERROR(__XLUDF.DUMMYFUNCTION("VLOOKUP(M674,IMPORTRANGE(""https://docs.google.com/spreadsheets/d/1opm6ZNvGZ7KditA9TuJwrZ25eFLfTNIkrNnY6mhV5Eg"",""list!A1:C115""),3,TRUE)"),"le secteur de la tech")</f>
        <v xml:space="preserve">le secteur de la tech</v>
      </c>
      <c r="P676" s="6"/>
      <c r="R676" s="4" t="s">
        <v>2174</v>
      </c>
      <c r="S676" s="4" t="s">
        <v>9193</v>
      </c>
      <c r="T676" s="4" t="s">
        <v>29</v>
      </c>
      <c r="U676" s="5" t="s">
        <v>15868</v>
      </c>
      <c r="V676" s="6"/>
      <c r="W676" s="6"/>
      <c r="X676" s="6"/>
      <c r="Y676" s="6"/>
      <c r="Z676" s="4" t="s">
        <v>15869</v>
      </c>
      <c r="AA676" s="6"/>
      <c r="AB676" s="5" t="s">
        <v>15870</v>
      </c>
    </row>
    <row r="677" ht="14.25">
      <c r="A677" s="4" t="s">
        <v>15873</v>
      </c>
      <c r="B677" s="4" t="s">
        <v>15872</v>
      </c>
      <c r="C677" s="4" t="s">
        <v>15875</v>
      </c>
      <c r="F677" s="4" t="s">
        <v>15874</v>
      </c>
      <c r="G677" s="4">
        <v>13</v>
      </c>
      <c r="H677" s="4" t="s">
        <v>11608</v>
      </c>
      <c r="I677" s="4" t="str">
        <f>IFERROR(__XLUDF.DUMMYFUNCTION("PROPER(REGEXREPLACE(G675,""[^A-Za-z]+ "",""""))"),"La Maison D'Alfred")</f>
        <v xml:space="preserve">La Maison D'Alfred</v>
      </c>
      <c r="J677" s="6"/>
      <c r="K677" s="6"/>
      <c r="L677" s="6"/>
      <c r="M677" s="4" t="s">
        <v>29</v>
      </c>
      <c r="N677" s="4" t="s">
        <v>4067</v>
      </c>
      <c r="O677" s="4" t="str">
        <f>IFERROR(__XLUDF.DUMMYFUNCTION("VLOOKUP(M675,IMPORTRANGE(""https://docs.google.com/spreadsheets/d/1opm6ZNvGZ7KditA9TuJwrZ25eFLfTNIkrNnY6mhV5Eg"",""list!A1:C115""),3,TRUE)"),"le secteur du conseil en management")</f>
        <v xml:space="preserve">le secteur du conseil en management</v>
      </c>
      <c r="P677" s="4" t="s">
        <v>11609</v>
      </c>
      <c r="R677" s="4" t="s">
        <v>9280</v>
      </c>
      <c r="S677" s="4" t="s">
        <v>9281</v>
      </c>
      <c r="T677" s="4" t="s">
        <v>29</v>
      </c>
      <c r="U677" s="5" t="s">
        <v>11610</v>
      </c>
      <c r="V677" s="6"/>
      <c r="W677" s="6"/>
      <c r="X677" s="6"/>
      <c r="Y677" s="6"/>
      <c r="Z677" s="4" t="s">
        <v>11612</v>
      </c>
      <c r="AA677" s="6"/>
      <c r="AB677" s="5" t="s">
        <v>15876</v>
      </c>
    </row>
    <row r="678" ht="14.25">
      <c r="A678" s="4" t="s">
        <v>15878</v>
      </c>
      <c r="B678" s="4" t="s">
        <v>1215</v>
      </c>
      <c r="C678" s="4" t="s">
        <v>5158</v>
      </c>
      <c r="F678" s="4" t="s">
        <v>15879</v>
      </c>
      <c r="G678" s="4">
        <v>10</v>
      </c>
      <c r="H678" s="4" t="s">
        <v>15880</v>
      </c>
      <c r="I678" s="4" t="str">
        <f>IFERROR(__XLUDF.DUMMYFUNCTION("PROPER(REGEXREPLACE(G676,""[^A-Za-z]+ "",""""))"),"Finopia")</f>
        <v>Finopia</v>
      </c>
      <c r="J678" s="5" t="s">
        <v>15881</v>
      </c>
      <c r="K678" s="6"/>
      <c r="L678" s="6"/>
      <c r="M678" s="4" t="s">
        <v>29</v>
      </c>
      <c r="N678" s="4" t="s">
        <v>4067</v>
      </c>
      <c r="O678" s="4" t="str">
        <f>IFERROR(__XLUDF.DUMMYFUNCTION("VLOOKUP(M676,IMPORTRANGE(""https://docs.google.com/spreadsheets/d/1opm6ZNvGZ7KditA9TuJwrZ25eFLfTNIkrNnY6mhV5Eg"",""list!A1:C115""),3,TRUE)"),"le secteur du conseil en management")</f>
        <v xml:space="preserve">le secteur du conseil en management</v>
      </c>
      <c r="P678" s="4" t="s">
        <v>15882</v>
      </c>
      <c r="R678" s="4" t="s">
        <v>4009</v>
      </c>
      <c r="S678" s="4" t="s">
        <v>15883</v>
      </c>
      <c r="T678" s="4" t="s">
        <v>15884</v>
      </c>
      <c r="U678" s="5" t="s">
        <v>15885</v>
      </c>
      <c r="V678" s="6"/>
      <c r="W678" s="6"/>
      <c r="X678" s="6"/>
      <c r="Y678" s="6"/>
      <c r="Z678" s="4" t="s">
        <v>15886</v>
      </c>
      <c r="AA678" s="6"/>
      <c r="AB678" s="5" t="s">
        <v>15887</v>
      </c>
    </row>
    <row r="679" ht="14.25">
      <c r="A679" s="4" t="s">
        <v>15889</v>
      </c>
      <c r="B679" s="4" t="s">
        <v>4236</v>
      </c>
      <c r="C679" s="4" t="s">
        <v>15891</v>
      </c>
      <c r="F679" s="4" t="s">
        <v>15890</v>
      </c>
      <c r="G679" s="4">
        <v>28</v>
      </c>
      <c r="H679" s="4" t="s">
        <v>15892</v>
      </c>
      <c r="I679" s="4" t="str">
        <f>IFERROR(__XLUDF.DUMMYFUNCTION("PROPER(REGEXREPLACE(G677,""[^A-Za-z]+ "",""""))"),"Autonomii")</f>
        <v>Autonomii</v>
      </c>
      <c r="J679" s="5" t="s">
        <v>15893</v>
      </c>
      <c r="K679" s="4" t="s">
        <v>39</v>
      </c>
      <c r="L679" s="4" t="s">
        <v>9160</v>
      </c>
      <c r="M679" s="4" t="s">
        <v>29</v>
      </c>
      <c r="N679" s="4" t="s">
        <v>4067</v>
      </c>
      <c r="O679" s="4" t="str">
        <f>IFERROR(__XLUDF.DUMMYFUNCTION("VLOOKUP(M677,IMPORTRANGE(""https://docs.google.com/spreadsheets/d/1opm6ZNvGZ7KditA9TuJwrZ25eFLfTNIkrNnY6mhV5Eg"",""list!A1:C115""),3,TRUE)"),"le secteur du conseil en management")</f>
        <v xml:space="preserve">le secteur du conseil en management</v>
      </c>
      <c r="P679" s="6"/>
      <c r="R679" s="4" t="s">
        <v>15894</v>
      </c>
      <c r="S679" s="4" t="s">
        <v>9160</v>
      </c>
      <c r="T679" s="4" t="s">
        <v>29</v>
      </c>
      <c r="U679" s="5" t="s">
        <v>15895</v>
      </c>
      <c r="V679" s="6"/>
      <c r="W679" s="6"/>
      <c r="X679" s="6"/>
      <c r="Y679" s="6"/>
      <c r="Z679" s="4" t="s">
        <v>15896</v>
      </c>
      <c r="AA679" s="6"/>
      <c r="AB679" s="5" t="s">
        <v>15897</v>
      </c>
    </row>
    <row r="680" ht="14.25">
      <c r="A680" s="4" t="s">
        <v>15899</v>
      </c>
      <c r="B680" s="4" t="s">
        <v>485</v>
      </c>
      <c r="C680" s="4" t="s">
        <v>172</v>
      </c>
      <c r="F680" s="4" t="s">
        <v>15900</v>
      </c>
      <c r="G680" s="4">
        <v>41</v>
      </c>
      <c r="H680" s="4" t="s">
        <v>15901</v>
      </c>
      <c r="I680" s="4" t="str">
        <f>IFERROR(__XLUDF.DUMMYFUNCTION("PROPER(REGEXREPLACE(G678,""[^A-Za-z]+ "",""""))"),"L'Opticien Qui Bouge France")</f>
        <v xml:space="preserve">L'Opticien Qui Bouge France</v>
      </c>
      <c r="J680" s="5" t="s">
        <v>15902</v>
      </c>
      <c r="K680" s="4" t="s">
        <v>15903</v>
      </c>
      <c r="L680" s="4" t="s">
        <v>9864</v>
      </c>
      <c r="M680" s="4" t="s">
        <v>29</v>
      </c>
      <c r="N680" s="4" t="s">
        <v>4525</v>
      </c>
      <c r="O680" s="4" t="str">
        <f>IFERROR(__XLUDF.DUMMYFUNCTION("VLOOKUP(M678,IMPORTRANGE(""https://docs.google.com/spreadsheets/d/1opm6ZNvGZ7KditA9TuJwrZ25eFLfTNIkrNnY6mhV5Eg"",""list!A1:C115""),3,TRUE)"),"le secteur du retail")</f>
        <v xml:space="preserve">le secteur du retail</v>
      </c>
      <c r="P680" s="4" t="s">
        <v>15904</v>
      </c>
      <c r="R680" s="4" t="s">
        <v>12445</v>
      </c>
      <c r="S680" s="4" t="s">
        <v>9460</v>
      </c>
      <c r="T680" s="4" t="s">
        <v>29</v>
      </c>
      <c r="U680" s="5" t="s">
        <v>15905</v>
      </c>
      <c r="V680" s="6"/>
      <c r="W680" s="5" t="s">
        <v>15906</v>
      </c>
      <c r="X680" s="6"/>
      <c r="Y680" s="6"/>
      <c r="Z680" s="4" t="s">
        <v>15907</v>
      </c>
      <c r="AA680" s="6"/>
      <c r="AB680" s="5" t="s">
        <v>15908</v>
      </c>
    </row>
    <row r="681" ht="14.25">
      <c r="A681" s="4" t="s">
        <v>15910</v>
      </c>
      <c r="B681" s="4" t="s">
        <v>710</v>
      </c>
      <c r="C681" s="4" t="s">
        <v>15912</v>
      </c>
      <c r="F681" s="4" t="s">
        <v>15911</v>
      </c>
      <c r="G681" s="4">
        <v>10</v>
      </c>
      <c r="H681" s="4" t="s">
        <v>15913</v>
      </c>
      <c r="I681" s="4" t="str">
        <f>IFERROR(__XLUDF.DUMMYFUNCTION("PROPER(REGEXREPLACE(G679,""[^A-Za-z]+ "",""""))"),"Oblige")</f>
        <v>Oblige</v>
      </c>
      <c r="J681" s="5" t="s">
        <v>15914</v>
      </c>
      <c r="K681" s="4" t="s">
        <v>39</v>
      </c>
      <c r="L681" s="4" t="s">
        <v>9160</v>
      </c>
      <c r="M681" s="4" t="s">
        <v>29</v>
      </c>
      <c r="N681" s="4" t="s">
        <v>2602</v>
      </c>
      <c r="O681" s="4" t="str">
        <f>IFERROR(__XLUDF.DUMMYFUNCTION("VLOOKUP(M679,IMPORTRANGE(""https://docs.google.com/spreadsheets/d/1opm6ZNvGZ7KditA9TuJwrZ25eFLfTNIkrNnY6mhV5Eg"",""list!A1:C115""),3,TRUE)"),"le secteur de la tech")</f>
        <v xml:space="preserve">le secteur de la tech</v>
      </c>
      <c r="P681" s="4" t="s">
        <v>15915</v>
      </c>
      <c r="R681" s="4" t="s">
        <v>4943</v>
      </c>
      <c r="S681" s="4" t="s">
        <v>9798</v>
      </c>
      <c r="T681" s="4" t="s">
        <v>29</v>
      </c>
      <c r="U681" s="5" t="s">
        <v>15916</v>
      </c>
      <c r="V681" s="5" t="s">
        <v>15917</v>
      </c>
      <c r="W681" s="5" t="s">
        <v>9981</v>
      </c>
      <c r="X681" s="6"/>
      <c r="Y681" s="6"/>
      <c r="Z681" s="4" t="s">
        <v>15918</v>
      </c>
      <c r="AA681" s="6"/>
      <c r="AB681" s="5" t="s">
        <v>15919</v>
      </c>
    </row>
    <row r="682" ht="14.25">
      <c r="A682" s="4" t="s">
        <v>15921</v>
      </c>
      <c r="B682" s="4" t="s">
        <v>710</v>
      </c>
      <c r="C682" s="4" t="s">
        <v>2745</v>
      </c>
      <c r="F682" s="4" t="s">
        <v>15922</v>
      </c>
      <c r="G682" s="4">
        <v>29</v>
      </c>
      <c r="H682" s="4" t="s">
        <v>15923</v>
      </c>
      <c r="I682" s="4" t="str">
        <f>IFERROR(__XLUDF.DUMMYFUNCTION("PROPER(REGEXREPLACE(G680,""[^A-Za-z]+ "",""""))"),"Ideel")</f>
        <v>Ideel</v>
      </c>
      <c r="J682" s="5" t="s">
        <v>15924</v>
      </c>
      <c r="K682" s="4" t="s">
        <v>39</v>
      </c>
      <c r="L682" s="4" t="s">
        <v>9160</v>
      </c>
      <c r="M682" s="4" t="s">
        <v>29</v>
      </c>
      <c r="N682" s="4" t="s">
        <v>4067</v>
      </c>
      <c r="O682" s="4" t="str">
        <f>IFERROR(__XLUDF.DUMMYFUNCTION("VLOOKUP(M680,IMPORTRANGE(""https://docs.google.com/spreadsheets/d/1opm6ZNvGZ7KditA9TuJwrZ25eFLfTNIkrNnY6mhV5Eg"",""list!A1:C115""),3,TRUE)"),"le secteur du conseil en management")</f>
        <v xml:space="preserve">le secteur du conseil en management</v>
      </c>
      <c r="P682" s="4" t="s">
        <v>15925</v>
      </c>
      <c r="R682" s="4" t="s">
        <v>39</v>
      </c>
      <c r="S682" s="4" t="s">
        <v>9160</v>
      </c>
      <c r="T682" s="4" t="s">
        <v>29</v>
      </c>
      <c r="U682" s="5" t="s">
        <v>15926</v>
      </c>
      <c r="V682" s="5" t="s">
        <v>15927</v>
      </c>
      <c r="W682" s="5" t="s">
        <v>15928</v>
      </c>
      <c r="X682" s="6"/>
      <c r="Y682" s="6"/>
      <c r="Z682" s="4" t="s">
        <v>15929</v>
      </c>
      <c r="AA682" s="6"/>
      <c r="AB682" s="5" t="s">
        <v>15930</v>
      </c>
    </row>
    <row r="683" ht="14.25">
      <c r="A683" s="4" t="s">
        <v>4132</v>
      </c>
      <c r="B683" s="4" t="s">
        <v>255</v>
      </c>
      <c r="C683" s="4" t="s">
        <v>112</v>
      </c>
      <c r="F683" s="4" t="s">
        <v>15932</v>
      </c>
      <c r="G683" s="4">
        <v>15</v>
      </c>
      <c r="H683" s="4" t="s">
        <v>15933</v>
      </c>
      <c r="I683" s="4" t="str">
        <f>IFERROR(__XLUDF.DUMMYFUNCTION("PROPER(REGEXREPLACE(G681,""[^A-Za-z]+ "",""""))"),"Digital Factory Telecom")</f>
        <v xml:space="preserve">Digital Factory Telecom</v>
      </c>
      <c r="J683" s="5" t="s">
        <v>15934</v>
      </c>
      <c r="K683" s="4" t="s">
        <v>9195</v>
      </c>
      <c r="L683" s="4" t="s">
        <v>9160</v>
      </c>
      <c r="M683" s="4" t="s">
        <v>29</v>
      </c>
      <c r="N683" s="4" t="s">
        <v>9184</v>
      </c>
      <c r="O683" s="4" t="str">
        <f>IFERROR(__XLUDF.DUMMYFUNCTION("VLOOKUP(M681,IMPORTRANGE(""https://docs.google.com/spreadsheets/d/1opm6ZNvGZ7KditA9TuJwrZ25eFLfTNIkrNnY6mhV5Eg"",""list!A1:C115""),3,TRUE)"),"le secteur des télécommunications")</f>
        <v xml:space="preserve">le secteur des télécommunications</v>
      </c>
      <c r="P683" s="6"/>
      <c r="R683" s="4" t="s">
        <v>1878</v>
      </c>
      <c r="S683" s="4" t="s">
        <v>9160</v>
      </c>
      <c r="T683" s="4" t="s">
        <v>29</v>
      </c>
      <c r="U683" s="5" t="s">
        <v>15935</v>
      </c>
      <c r="V683" s="5" t="s">
        <v>15936</v>
      </c>
      <c r="W683" s="5" t="s">
        <v>15937</v>
      </c>
      <c r="X683" s="6"/>
      <c r="Y683" s="6"/>
      <c r="Z683" s="4" t="s">
        <v>15938</v>
      </c>
      <c r="AA683" s="6"/>
      <c r="AB683" s="5" t="s">
        <v>15939</v>
      </c>
    </row>
    <row r="684" ht="14.25">
      <c r="A684" s="4" t="s">
        <v>6382</v>
      </c>
      <c r="B684" s="4" t="s">
        <v>118</v>
      </c>
      <c r="C684" s="4" t="s">
        <v>112</v>
      </c>
      <c r="F684" s="4" t="s">
        <v>15941</v>
      </c>
      <c r="G684" s="4">
        <v>10</v>
      </c>
      <c r="H684" s="4" t="s">
        <v>15942</v>
      </c>
      <c r="I684" s="4" t="str">
        <f>IFERROR(__XLUDF.DUMMYFUNCTION("PROPER(REGEXREPLACE(G682,""[^A-Za-z]+ "",""""))"),"22Eme Siecle")</f>
        <v xml:space="preserve">22Eme Siecle</v>
      </c>
      <c r="J684" s="5" t="s">
        <v>15943</v>
      </c>
      <c r="K684" s="6"/>
      <c r="L684" s="4" t="s">
        <v>9160</v>
      </c>
      <c r="M684" s="4" t="s">
        <v>29</v>
      </c>
      <c r="N684" s="4" t="s">
        <v>10639</v>
      </c>
      <c r="O684" s="4" t="str">
        <f>IFERROR(__XLUDF.DUMMYFUNCTION("VLOOKUP(M682,IMPORTRANGE(""https://docs.google.com/spreadsheets/d/1opm6ZNvGZ7KditA9TuJwrZ25eFLfTNIkrNnY6mhV5Eg"",""list!A1:C115""),3,TRUE)"),"le secteur de la communication")</f>
        <v xml:space="preserve">le secteur de la communication</v>
      </c>
      <c r="P684" s="4" t="s">
        <v>15944</v>
      </c>
      <c r="R684" s="4" t="s">
        <v>15945</v>
      </c>
      <c r="S684" s="4" t="s">
        <v>9160</v>
      </c>
      <c r="T684" s="4" t="s">
        <v>29</v>
      </c>
      <c r="U684" s="5" t="s">
        <v>15946</v>
      </c>
      <c r="V684" s="6"/>
      <c r="W684" s="6"/>
      <c r="X684" s="6"/>
      <c r="Y684" s="6"/>
      <c r="Z684" s="4" t="s">
        <v>15947</v>
      </c>
      <c r="AA684" s="6"/>
      <c r="AB684" s="5" t="s">
        <v>15948</v>
      </c>
    </row>
    <row r="685" ht="14.25">
      <c r="A685" s="4" t="s">
        <v>15950</v>
      </c>
      <c r="B685" s="4" t="s">
        <v>118</v>
      </c>
      <c r="C685" s="4" t="s">
        <v>1231</v>
      </c>
      <c r="F685" s="4" t="s">
        <v>15951</v>
      </c>
      <c r="G685" s="4">
        <v>10</v>
      </c>
      <c r="H685" s="4" t="s">
        <v>15952</v>
      </c>
      <c r="I685" s="4" t="str">
        <f>IFERROR(__XLUDF.DUMMYFUNCTION("PROPER(REGEXREPLACE(G683,""[^A-Za-z]+ "",""""))"),"Baback")</f>
        <v>Baback</v>
      </c>
      <c r="J685" s="5" t="s">
        <v>15953</v>
      </c>
      <c r="K685" s="4" t="s">
        <v>39</v>
      </c>
      <c r="L685" s="4" t="s">
        <v>9160</v>
      </c>
      <c r="M685" s="4" t="s">
        <v>29</v>
      </c>
      <c r="N685" s="4" t="s">
        <v>2602</v>
      </c>
      <c r="O685" s="4" t="str">
        <f>IFERROR(__XLUDF.DUMMYFUNCTION("VLOOKUP(M683,IMPORTRANGE(""https://docs.google.com/spreadsheets/d/1opm6ZNvGZ7KditA9TuJwrZ25eFLfTNIkrNnY6mhV5Eg"",""list!A1:C115""),3,TRUE)"),"le secteur de la tech")</f>
        <v xml:space="preserve">le secteur de la tech</v>
      </c>
      <c r="P685" s="6"/>
      <c r="R685" s="4" t="s">
        <v>39</v>
      </c>
      <c r="S685" s="4" t="s">
        <v>9160</v>
      </c>
      <c r="T685" s="4" t="s">
        <v>29</v>
      </c>
      <c r="U685" s="5" t="s">
        <v>15954</v>
      </c>
      <c r="V685" s="6"/>
      <c r="W685" s="6"/>
      <c r="X685" s="6"/>
      <c r="Y685" s="6"/>
      <c r="Z685" s="4" t="s">
        <v>15955</v>
      </c>
      <c r="AA685" s="6"/>
      <c r="AB685" s="5" t="s">
        <v>15956</v>
      </c>
    </row>
    <row r="686" ht="14.25">
      <c r="A686" s="4" t="s">
        <v>15958</v>
      </c>
      <c r="B686" s="4" t="s">
        <v>118</v>
      </c>
      <c r="C686" s="4" t="s">
        <v>15960</v>
      </c>
      <c r="F686" s="4" t="s">
        <v>15959</v>
      </c>
      <c r="G686" s="4">
        <v>10</v>
      </c>
      <c r="H686" s="4" t="s">
        <v>15961</v>
      </c>
      <c r="I686" s="4" t="str">
        <f>IFERROR(__XLUDF.DUMMYFUNCTION("PROPER(REGEXREPLACE(G684,""[^A-Za-z]+ "",""""))"),"Maison Raphaël")</f>
        <v xml:space="preserve">Maison Raphaël</v>
      </c>
      <c r="J686" s="5" t="s">
        <v>15962</v>
      </c>
      <c r="K686" s="4" t="s">
        <v>49</v>
      </c>
      <c r="L686" s="4" t="s">
        <v>9251</v>
      </c>
      <c r="M686" s="4" t="s">
        <v>29</v>
      </c>
      <c r="N686" s="4" t="s">
        <v>4525</v>
      </c>
      <c r="O686" s="4" t="str">
        <f>IFERROR(__XLUDF.DUMMYFUNCTION("VLOOKUP(M684,IMPORTRANGE(""https://docs.google.com/spreadsheets/d/1opm6ZNvGZ7KditA9TuJwrZ25eFLfTNIkrNnY6mhV5Eg"",""list!A1:C115""),3,TRUE)"),"le secteur du retail")</f>
        <v xml:space="preserve">le secteur du retail</v>
      </c>
      <c r="P686" s="4" t="s">
        <v>15963</v>
      </c>
      <c r="R686" s="4" t="s">
        <v>39</v>
      </c>
      <c r="S686" s="4" t="s">
        <v>9160</v>
      </c>
      <c r="T686" s="4" t="s">
        <v>29</v>
      </c>
      <c r="U686" s="5" t="s">
        <v>15964</v>
      </c>
      <c r="V686" s="6"/>
      <c r="W686" s="6"/>
      <c r="X686" s="6"/>
      <c r="Y686" s="6"/>
      <c r="Z686" s="4" t="s">
        <v>15965</v>
      </c>
      <c r="AA686" s="6"/>
      <c r="AB686" s="5" t="s">
        <v>15966</v>
      </c>
    </row>
    <row r="687" ht="14.25">
      <c r="A687" s="4" t="s">
        <v>15969</v>
      </c>
      <c r="B687" s="4" t="s">
        <v>15968</v>
      </c>
      <c r="C687" s="4" t="s">
        <v>112</v>
      </c>
      <c r="F687" s="4" t="s">
        <v>15970</v>
      </c>
      <c r="G687" s="4">
        <v>11</v>
      </c>
      <c r="H687" s="4" t="s">
        <v>15971</v>
      </c>
      <c r="I687" s="4" t="str">
        <f>IFERROR(__XLUDF.DUMMYFUNCTION("PROPER(REGEXREPLACE(G685,""[^A-Za-z]+ "",""""))"),"Cristal")</f>
        <v>Cristal</v>
      </c>
      <c r="J687" s="5" t="s">
        <v>15972</v>
      </c>
      <c r="K687" s="4" t="s">
        <v>39</v>
      </c>
      <c r="L687" s="4" t="s">
        <v>9160</v>
      </c>
      <c r="M687" s="4" t="s">
        <v>29</v>
      </c>
      <c r="N687" s="4" t="s">
        <v>2602</v>
      </c>
      <c r="O687" s="4" t="str">
        <f>IFERROR(__XLUDF.DUMMYFUNCTION("VLOOKUP(M685,IMPORTRANGE(""https://docs.google.com/spreadsheets/d/1opm6ZNvGZ7KditA9TuJwrZ25eFLfTNIkrNnY6mhV5Eg"",""list!A1:C115""),3,TRUE)"),"le secteur de la tech")</f>
        <v xml:space="preserve">le secteur de la tech</v>
      </c>
      <c r="P687" s="4" t="s">
        <v>15973</v>
      </c>
      <c r="R687" s="4" t="s">
        <v>15974</v>
      </c>
      <c r="S687" s="4" t="s">
        <v>9160</v>
      </c>
      <c r="T687" s="4" t="s">
        <v>29</v>
      </c>
      <c r="U687" s="5" t="s">
        <v>15975</v>
      </c>
      <c r="V687" s="5" t="s">
        <v>15976</v>
      </c>
      <c r="W687" s="5" t="s">
        <v>15977</v>
      </c>
      <c r="X687" s="6"/>
      <c r="Y687" s="6"/>
      <c r="Z687" s="4" t="s">
        <v>15978</v>
      </c>
      <c r="AA687" s="6"/>
      <c r="AB687" s="5" t="s">
        <v>15979</v>
      </c>
    </row>
    <row r="688" ht="14.25">
      <c r="A688" s="4" t="s">
        <v>15982</v>
      </c>
      <c r="B688" s="4" t="s">
        <v>15981</v>
      </c>
      <c r="C688" s="4" t="s">
        <v>112</v>
      </c>
      <c r="F688" s="4" t="s">
        <v>15983</v>
      </c>
      <c r="G688" s="4">
        <v>22</v>
      </c>
      <c r="H688" s="4" t="s">
        <v>15984</v>
      </c>
      <c r="I688" s="4" t="str">
        <f>IFERROR(__XLUDF.DUMMYFUNCTION("PROPER(REGEXREPLACE(G686,""[^A-Za-z]+ "",""""))"),"Fibre Alpha")</f>
        <v xml:space="preserve">Fibre Alpha</v>
      </c>
      <c r="J688" s="5" t="s">
        <v>15985</v>
      </c>
      <c r="K688" s="4" t="s">
        <v>10141</v>
      </c>
      <c r="L688" s="4" t="s">
        <v>9160</v>
      </c>
      <c r="M688" s="4" t="s">
        <v>29</v>
      </c>
      <c r="N688" s="4" t="s">
        <v>9184</v>
      </c>
      <c r="O688" s="4" t="str">
        <f>IFERROR(__XLUDF.DUMMYFUNCTION("VLOOKUP(M686,IMPORTRANGE(""https://docs.google.com/spreadsheets/d/1opm6ZNvGZ7KditA9TuJwrZ25eFLfTNIkrNnY6mhV5Eg"",""list!A1:C115""),3,TRUE)"),"le secteur des télécommunications")</f>
        <v xml:space="preserve">le secteur des télécommunications</v>
      </c>
      <c r="P688" s="6"/>
      <c r="R688" s="4" t="s">
        <v>10141</v>
      </c>
      <c r="S688" s="4" t="s">
        <v>9160</v>
      </c>
      <c r="T688" s="4" t="s">
        <v>29</v>
      </c>
      <c r="U688" s="5" t="s">
        <v>15986</v>
      </c>
      <c r="V688" s="6"/>
      <c r="W688" s="6"/>
      <c r="X688" s="6"/>
      <c r="Y688" s="6"/>
      <c r="Z688" s="4" t="s">
        <v>15987</v>
      </c>
      <c r="AA688" s="6"/>
      <c r="AB688" s="5" t="s">
        <v>15988</v>
      </c>
    </row>
    <row r="689" ht="14.25">
      <c r="A689" s="4" t="s">
        <v>15991</v>
      </c>
      <c r="B689" s="4" t="s">
        <v>15990</v>
      </c>
      <c r="C689" s="4" t="s">
        <v>9849</v>
      </c>
      <c r="F689" s="4" t="s">
        <v>15992</v>
      </c>
      <c r="G689" s="4">
        <v>17</v>
      </c>
      <c r="H689" s="4" t="s">
        <v>15993</v>
      </c>
      <c r="I689" s="4" t="str">
        <f>IFERROR(__XLUDF.DUMMYFUNCTION("PROPER(REGEXREPLACE(G687,""[^A-Za-z]+ "",""""))"),"Tec3H")</f>
        <v>Tec3H</v>
      </c>
      <c r="J689" s="5" t="s">
        <v>15994</v>
      </c>
      <c r="K689" s="4" t="s">
        <v>15995</v>
      </c>
      <c r="L689" s="4" t="s">
        <v>9227</v>
      </c>
      <c r="M689" s="4" t="s">
        <v>29</v>
      </c>
      <c r="N689" s="4" t="s">
        <v>2602</v>
      </c>
      <c r="O689" s="4" t="str">
        <f>IFERROR(__XLUDF.DUMMYFUNCTION("VLOOKUP(M687,IMPORTRANGE(""https://docs.google.com/spreadsheets/d/1opm6ZNvGZ7KditA9TuJwrZ25eFLfTNIkrNnY6mhV5Eg"",""list!A1:C115""),3,TRUE)"),"le secteur de la tech")</f>
        <v xml:space="preserve">le secteur de la tech</v>
      </c>
      <c r="P689" s="4" t="s">
        <v>15996</v>
      </c>
      <c r="R689" s="4" t="s">
        <v>15997</v>
      </c>
      <c r="S689" s="4" t="s">
        <v>10973</v>
      </c>
      <c r="T689" s="4" t="s">
        <v>29</v>
      </c>
      <c r="U689" s="5" t="s">
        <v>15998</v>
      </c>
      <c r="V689" s="5" t="s">
        <v>15999</v>
      </c>
      <c r="W689" s="5" t="s">
        <v>16000</v>
      </c>
      <c r="X689" s="6"/>
      <c r="Y689" s="6"/>
      <c r="Z689" s="4" t="s">
        <v>16001</v>
      </c>
      <c r="AA689" s="6"/>
      <c r="AB689" s="5" t="s">
        <v>16002</v>
      </c>
    </row>
    <row r="690" ht="14.25">
      <c r="A690" s="4" t="s">
        <v>1324</v>
      </c>
      <c r="B690" s="4" t="s">
        <v>5252</v>
      </c>
      <c r="C690" s="4" t="s">
        <v>16005</v>
      </c>
      <c r="F690" s="4" t="s">
        <v>16004</v>
      </c>
      <c r="G690" s="4">
        <v>47</v>
      </c>
      <c r="H690" s="4" t="s">
        <v>16006</v>
      </c>
      <c r="I690" s="4" t="str">
        <f>IFERROR(__XLUDF.DUMMYFUNCTION("PROPER(REGEXREPLACE(G688,""[^A-Za-z]+ "",""""))"),"Nextmove")</f>
        <v>Nextmove</v>
      </c>
      <c r="J690" s="5" t="s">
        <v>16007</v>
      </c>
      <c r="K690" s="4" t="s">
        <v>39</v>
      </c>
      <c r="L690" s="4" t="s">
        <v>9160</v>
      </c>
      <c r="M690" s="4" t="s">
        <v>29</v>
      </c>
      <c r="N690" s="4" t="s">
        <v>4067</v>
      </c>
      <c r="O690" s="4" t="str">
        <f>IFERROR(__XLUDF.DUMMYFUNCTION("VLOOKUP(M688,IMPORTRANGE(""https://docs.google.com/spreadsheets/d/1opm6ZNvGZ7KditA9TuJwrZ25eFLfTNIkrNnY6mhV5Eg"",""list!A1:C115""),3,TRUE)"),"le secteur du conseil en management")</f>
        <v xml:space="preserve">le secteur du conseil en management</v>
      </c>
      <c r="P690" s="4" t="s">
        <v>16008</v>
      </c>
      <c r="R690" s="4" t="s">
        <v>16009</v>
      </c>
      <c r="S690" s="4" t="s">
        <v>9226</v>
      </c>
      <c r="T690" s="4" t="s">
        <v>29</v>
      </c>
      <c r="U690" s="5" t="s">
        <v>16010</v>
      </c>
      <c r="V690" s="6"/>
      <c r="W690" s="6"/>
      <c r="X690" s="6"/>
      <c r="Y690" s="6"/>
      <c r="Z690" s="4" t="s">
        <v>16011</v>
      </c>
      <c r="AA690" s="6"/>
      <c r="AB690" s="5" t="s">
        <v>16012</v>
      </c>
    </row>
    <row r="691" ht="14.25">
      <c r="A691" s="4" t="s">
        <v>16014</v>
      </c>
      <c r="B691" s="4" t="s">
        <v>5252</v>
      </c>
      <c r="C691" s="4" t="s">
        <v>8042</v>
      </c>
      <c r="F691" s="4" t="s">
        <v>16015</v>
      </c>
      <c r="G691" s="4">
        <v>23</v>
      </c>
      <c r="H691" s="4" t="s">
        <v>16016</v>
      </c>
      <c r="I691" s="4" t="str">
        <f>IFERROR(__XLUDF.DUMMYFUNCTION("PROPER(REGEXREPLACE(G689,""[^A-Za-z]+ "",""""))"),"Turnk")</f>
        <v>Turnk</v>
      </c>
      <c r="J691" s="5" t="s">
        <v>16017</v>
      </c>
      <c r="K691" s="4" t="s">
        <v>39</v>
      </c>
      <c r="L691" s="4" t="s">
        <v>9160</v>
      </c>
      <c r="M691" s="4" t="s">
        <v>29</v>
      </c>
      <c r="N691" s="4" t="s">
        <v>2602</v>
      </c>
      <c r="O691" s="4" t="str">
        <f>IFERROR(__XLUDF.DUMMYFUNCTION("VLOOKUP(M689,IMPORTRANGE(""https://docs.google.com/spreadsheets/d/1opm6ZNvGZ7KditA9TuJwrZ25eFLfTNIkrNnY6mhV5Eg"",""list!A1:C115""),3,TRUE)"),"le secteur de la tech")</f>
        <v xml:space="preserve">le secteur de la tech</v>
      </c>
      <c r="P691" s="4" t="s">
        <v>16018</v>
      </c>
      <c r="R691" s="4" t="s">
        <v>243</v>
      </c>
      <c r="S691" s="4" t="s">
        <v>10390</v>
      </c>
      <c r="T691" s="4" t="s">
        <v>29</v>
      </c>
      <c r="U691" s="5" t="s">
        <v>16019</v>
      </c>
      <c r="V691" s="6"/>
      <c r="W691" s="6"/>
      <c r="X691" s="6"/>
      <c r="Y691" s="6"/>
      <c r="Z691" s="4" t="s">
        <v>16020</v>
      </c>
      <c r="AA691" s="6"/>
      <c r="AB691" s="5" t="s">
        <v>16021</v>
      </c>
    </row>
    <row r="692" ht="14.25">
      <c r="A692" s="4" t="s">
        <v>16023</v>
      </c>
      <c r="B692" s="4" t="s">
        <v>3165</v>
      </c>
      <c r="C692" s="4" t="s">
        <v>7759</v>
      </c>
      <c r="F692" s="4" t="s">
        <v>16024</v>
      </c>
      <c r="G692" s="4">
        <v>13</v>
      </c>
      <c r="H692" s="4" t="s">
        <v>16025</v>
      </c>
      <c r="I692" s="4" t="str">
        <f>IFERROR(__XLUDF.DUMMYFUNCTION("PROPER(REGEXREPLACE(G690,""[^A-Za-z]+ "",""""))"),"I3Konnect")</f>
        <v>I3Konnect</v>
      </c>
      <c r="J692" s="5" t="s">
        <v>16026</v>
      </c>
      <c r="K692" s="4" t="s">
        <v>1711</v>
      </c>
      <c r="L692" s="4" t="s">
        <v>9350</v>
      </c>
      <c r="M692" s="4" t="s">
        <v>29</v>
      </c>
      <c r="N692" s="4" t="s">
        <v>2602</v>
      </c>
      <c r="O692" s="4" t="str">
        <f>IFERROR(__XLUDF.DUMMYFUNCTION("VLOOKUP(M690,IMPORTRANGE(""https://docs.google.com/spreadsheets/d/1opm6ZNvGZ7KditA9TuJwrZ25eFLfTNIkrNnY6mhV5Eg"",""list!A1:C115""),3,TRUE)"),"le secteur de la tech")</f>
        <v xml:space="preserve">le secteur de la tech</v>
      </c>
      <c r="P692" s="4" t="s">
        <v>16027</v>
      </c>
      <c r="R692" s="4" t="s">
        <v>8318</v>
      </c>
      <c r="S692" s="4" t="s">
        <v>9350</v>
      </c>
      <c r="T692" s="4" t="s">
        <v>29</v>
      </c>
      <c r="U692" s="5" t="s">
        <v>16028</v>
      </c>
      <c r="V692" s="6"/>
      <c r="W692" s="6"/>
      <c r="X692" s="6"/>
      <c r="Y692" s="6"/>
      <c r="Z692" s="4" t="s">
        <v>16029</v>
      </c>
      <c r="AA692" s="6"/>
      <c r="AB692" s="5" t="s">
        <v>16030</v>
      </c>
    </row>
    <row r="693" ht="14.25">
      <c r="A693" s="4" t="s">
        <v>16032</v>
      </c>
      <c r="B693" s="4" t="s">
        <v>279</v>
      </c>
      <c r="C693" s="4" t="s">
        <v>16034</v>
      </c>
      <c r="F693" s="4" t="s">
        <v>16033</v>
      </c>
      <c r="G693" s="4">
        <v>16</v>
      </c>
      <c r="H693" s="4" t="s">
        <v>16035</v>
      </c>
      <c r="I693" s="4" t="str">
        <f>IFERROR(__XLUDF.DUMMYFUNCTION("PROPER(REGEXREPLACE(G691,""[^A-Za-z]+ "",""""))"),"Everdata")</f>
        <v>Everdata</v>
      </c>
      <c r="J693" s="5" t="s">
        <v>16036</v>
      </c>
      <c r="K693" s="4" t="s">
        <v>6848</v>
      </c>
      <c r="L693" s="4" t="s">
        <v>9160</v>
      </c>
      <c r="M693" s="4" t="s">
        <v>29</v>
      </c>
      <c r="N693" s="4" t="s">
        <v>2602</v>
      </c>
      <c r="O693" s="4" t="str">
        <f>IFERROR(__XLUDF.DUMMYFUNCTION("VLOOKUP(M691,IMPORTRANGE(""https://docs.google.com/spreadsheets/d/1opm6ZNvGZ7KditA9TuJwrZ25eFLfTNIkrNnY6mhV5Eg"",""list!A1:C115""),3,TRUE)"),"le secteur de la tech")</f>
        <v xml:space="preserve">le secteur de la tech</v>
      </c>
      <c r="P693" s="4" t="s">
        <v>16037</v>
      </c>
      <c r="R693" s="4" t="s">
        <v>6848</v>
      </c>
      <c r="S693" s="4" t="s">
        <v>9160</v>
      </c>
      <c r="T693" s="4" t="s">
        <v>29</v>
      </c>
      <c r="U693" s="5" t="s">
        <v>16038</v>
      </c>
      <c r="V693" s="6"/>
      <c r="W693" s="6"/>
      <c r="X693" s="6"/>
      <c r="Y693" s="6"/>
      <c r="Z693" s="4" t="s">
        <v>16039</v>
      </c>
      <c r="AA693" s="6"/>
      <c r="AB693" s="5" t="s">
        <v>16040</v>
      </c>
    </row>
    <row r="694" ht="14.25">
      <c r="A694" s="4" t="s">
        <v>16042</v>
      </c>
      <c r="B694" s="4" t="s">
        <v>118</v>
      </c>
      <c r="C694" s="4" t="s">
        <v>16044</v>
      </c>
      <c r="F694" s="4" t="s">
        <v>16043</v>
      </c>
      <c r="G694" s="4">
        <v>21</v>
      </c>
      <c r="H694" s="4" t="s">
        <v>16045</v>
      </c>
      <c r="I694" s="4" t="str">
        <f>IFERROR(__XLUDF.DUMMYFUNCTION("PROPER(REGEXREPLACE(G692,""[^A-Za-z]+ "",""""))"),"Talenco Formations")</f>
        <v xml:space="preserve">Talenco Formations</v>
      </c>
      <c r="J694" s="5" t="s">
        <v>16046</v>
      </c>
      <c r="K694" s="4" t="s">
        <v>39</v>
      </c>
      <c r="L694" s="4" t="s">
        <v>9160</v>
      </c>
      <c r="M694" s="4" t="s">
        <v>29</v>
      </c>
      <c r="N694" s="4" t="s">
        <v>4067</v>
      </c>
      <c r="O694" s="4" t="str">
        <f>IFERROR(__XLUDF.DUMMYFUNCTION("VLOOKUP(M692,IMPORTRANGE(""https://docs.google.com/spreadsheets/d/1opm6ZNvGZ7KditA9TuJwrZ25eFLfTNIkrNnY6mhV5Eg"",""list!A1:C115""),3,TRUE)"),"le secteur du conseil en management")</f>
        <v xml:space="preserve">le secteur du conseil en management</v>
      </c>
      <c r="P694" s="4" t="s">
        <v>16047</v>
      </c>
      <c r="R694" s="4" t="s">
        <v>39</v>
      </c>
      <c r="S694" s="4" t="s">
        <v>9160</v>
      </c>
      <c r="T694" s="4" t="s">
        <v>29</v>
      </c>
      <c r="U694" s="5" t="s">
        <v>16048</v>
      </c>
      <c r="V694" s="5" t="s">
        <v>16049</v>
      </c>
      <c r="W694" s="5" t="s">
        <v>16050</v>
      </c>
      <c r="X694" s="6"/>
      <c r="Y694" s="6"/>
      <c r="Z694" s="4" t="s">
        <v>16051</v>
      </c>
      <c r="AA694" s="6"/>
      <c r="AB694" s="5" t="s">
        <v>16052</v>
      </c>
    </row>
    <row r="695" ht="14.25">
      <c r="A695" s="4" t="s">
        <v>16054</v>
      </c>
      <c r="B695" s="4" t="s">
        <v>15990</v>
      </c>
      <c r="C695" s="4" t="s">
        <v>112</v>
      </c>
      <c r="F695" s="4" t="s">
        <v>16055</v>
      </c>
      <c r="G695" s="4">
        <v>19</v>
      </c>
      <c r="H695" s="4" t="s">
        <v>16056</v>
      </c>
      <c r="I695" s="4" t="str">
        <f>IFERROR(__XLUDF.DUMMYFUNCTION("PROPER(REGEXREPLACE(G693,""[^A-Za-z]+ "",""""))"),"Evogest Logest")</f>
        <v xml:space="preserve">Evogest Logest</v>
      </c>
      <c r="J695" s="5" t="s">
        <v>16057</v>
      </c>
      <c r="K695" s="6"/>
      <c r="L695" s="4" t="s">
        <v>9160</v>
      </c>
      <c r="M695" s="4" t="s">
        <v>29</v>
      </c>
      <c r="N695" s="4" t="s">
        <v>2602</v>
      </c>
      <c r="O695" s="4" t="str">
        <f>IFERROR(__XLUDF.DUMMYFUNCTION("VLOOKUP(M693,IMPORTRANGE(""https://docs.google.com/spreadsheets/d/1opm6ZNvGZ7KditA9TuJwrZ25eFLfTNIkrNnY6mhV5Eg"",""list!A1:C115""),3,TRUE)"),"le secteur de la tech")</f>
        <v xml:space="preserve">le secteur de la tech</v>
      </c>
      <c r="P695" s="4" t="s">
        <v>16058</v>
      </c>
      <c r="R695" s="4" t="s">
        <v>16059</v>
      </c>
      <c r="S695" s="4" t="s">
        <v>9160</v>
      </c>
      <c r="T695" s="4" t="s">
        <v>29</v>
      </c>
      <c r="U695" s="5" t="s">
        <v>16060</v>
      </c>
      <c r="V695" s="6"/>
      <c r="W695" s="5" t="s">
        <v>16061</v>
      </c>
      <c r="X695" s="6"/>
      <c r="Y695" s="6"/>
      <c r="Z695" s="4" t="s">
        <v>16062</v>
      </c>
      <c r="AA695" s="6"/>
      <c r="AB695" s="5" t="s">
        <v>16063</v>
      </c>
    </row>
    <row r="696" ht="14.25">
      <c r="A696" s="4" t="s">
        <v>16065</v>
      </c>
      <c r="B696" s="4" t="s">
        <v>6390</v>
      </c>
      <c r="C696" s="4" t="s">
        <v>16067</v>
      </c>
      <c r="F696" s="4" t="s">
        <v>16066</v>
      </c>
      <c r="G696" s="4">
        <v>14</v>
      </c>
      <c r="H696" s="4" t="s">
        <v>16068</v>
      </c>
      <c r="I696" s="4" t="str">
        <f>IFERROR(__XLUDF.DUMMYFUNCTION("PROPER(REGEXREPLACE(G694,""[^A-Za-z]+ "",""""))"),"Placeme")</f>
        <v>Placeme</v>
      </c>
      <c r="J696" s="5" t="s">
        <v>16069</v>
      </c>
      <c r="K696" s="4" t="s">
        <v>83</v>
      </c>
      <c r="L696" s="4" t="s">
        <v>9460</v>
      </c>
      <c r="M696" s="4" t="s">
        <v>29</v>
      </c>
      <c r="N696" s="4" t="s">
        <v>2602</v>
      </c>
      <c r="O696" s="4" t="str">
        <f>IFERROR(__XLUDF.DUMMYFUNCTION("VLOOKUP(M694,IMPORTRANGE(""https://docs.google.com/spreadsheets/d/1opm6ZNvGZ7KditA9TuJwrZ25eFLfTNIkrNnY6mhV5Eg"",""list!A1:C115""),3,TRUE)"),"le secteur de la tech")</f>
        <v xml:space="preserve">le secteur de la tech</v>
      </c>
      <c r="P696" s="4" t="s">
        <v>16070</v>
      </c>
      <c r="R696" s="4" t="s">
        <v>83</v>
      </c>
      <c r="S696" s="4" t="s">
        <v>9463</v>
      </c>
      <c r="T696" s="4" t="s">
        <v>29</v>
      </c>
      <c r="U696" s="5" t="s">
        <v>16071</v>
      </c>
      <c r="V696" s="5" t="s">
        <v>16072</v>
      </c>
      <c r="W696" s="5" t="s">
        <v>16073</v>
      </c>
      <c r="X696" s="6"/>
      <c r="Y696" s="6"/>
      <c r="Z696" s="4" t="s">
        <v>16074</v>
      </c>
      <c r="AA696" s="6"/>
      <c r="AB696" s="5" t="s">
        <v>16075</v>
      </c>
    </row>
    <row r="697" ht="14.25">
      <c r="A697" s="4" t="s">
        <v>16077</v>
      </c>
      <c r="B697" s="4" t="s">
        <v>255</v>
      </c>
      <c r="C697" s="4" t="s">
        <v>16079</v>
      </c>
      <c r="F697" s="4" t="s">
        <v>16078</v>
      </c>
      <c r="G697" s="4">
        <v>21</v>
      </c>
      <c r="H697" s="4" t="s">
        <v>16080</v>
      </c>
      <c r="I697" s="4" t="str">
        <f>IFERROR(__XLUDF.DUMMYFUNCTION("PROPER(REGEXREPLACE(G695,""[^A-Za-z]+ "",""""))"),"Aprex Solutions")</f>
        <v xml:space="preserve">Aprex Solutions</v>
      </c>
      <c r="J697" s="5" t="s">
        <v>16081</v>
      </c>
      <c r="K697" s="4" t="s">
        <v>1780</v>
      </c>
      <c r="L697" s="4" t="s">
        <v>9215</v>
      </c>
      <c r="M697" s="4" t="s">
        <v>29</v>
      </c>
      <c r="N697" s="4" t="s">
        <v>2602</v>
      </c>
      <c r="O697" s="4" t="str">
        <f>IFERROR(__XLUDF.DUMMYFUNCTION("VLOOKUP(M695,IMPORTRANGE(""https://docs.google.com/spreadsheets/d/1opm6ZNvGZ7KditA9TuJwrZ25eFLfTNIkrNnY6mhV5Eg"",""list!A1:C115""),3,TRUE)"),"le secteur de la tech")</f>
        <v xml:space="preserve">le secteur de la tech</v>
      </c>
      <c r="P697" s="4" t="s">
        <v>16082</v>
      </c>
      <c r="R697" s="4" t="s">
        <v>1780</v>
      </c>
      <c r="S697" s="4" t="s">
        <v>9215</v>
      </c>
      <c r="T697" s="4" t="s">
        <v>29</v>
      </c>
      <c r="U697" s="5" t="s">
        <v>16083</v>
      </c>
      <c r="V697" s="6"/>
      <c r="W697" s="6"/>
      <c r="X697" s="6"/>
      <c r="Y697" s="6"/>
      <c r="Z697" s="4" t="s">
        <v>16084</v>
      </c>
      <c r="AA697" s="6"/>
      <c r="AB697" s="5" t="s">
        <v>16085</v>
      </c>
    </row>
    <row r="698" ht="14.25">
      <c r="A698" s="4" t="s">
        <v>16087</v>
      </c>
      <c r="B698" s="4" t="s">
        <v>255</v>
      </c>
      <c r="C698" s="4" t="s">
        <v>9456</v>
      </c>
      <c r="F698" s="4" t="s">
        <v>16088</v>
      </c>
      <c r="G698" s="4">
        <v>19</v>
      </c>
      <c r="H698" s="4" t="s">
        <v>16089</v>
      </c>
      <c r="I698" s="4" t="str">
        <f>IFERROR(__XLUDF.DUMMYFUNCTION("PROPER(REGEXREPLACE(G696,""[^A-Za-z]+ "",""""))"),"Mpm My Project Manager")</f>
        <v xml:space="preserve">Mpm My Project Manager</v>
      </c>
      <c r="J698" s="5" t="s">
        <v>16090</v>
      </c>
      <c r="K698" s="4" t="s">
        <v>846</v>
      </c>
      <c r="L698" s="4" t="s">
        <v>9278</v>
      </c>
      <c r="M698" s="4" t="s">
        <v>29</v>
      </c>
      <c r="N698" s="4" t="s">
        <v>9239</v>
      </c>
      <c r="O698" s="4" t="str">
        <f>IFERROR(__XLUDF.DUMMYFUNCTION("VLOOKUP(M696,IMPORTRANGE(""https://docs.google.com/spreadsheets/d/1opm6ZNvGZ7KditA9TuJwrZ25eFLfTNIkrNnY6mhV5Eg"",""list!A1:C115""),3,TRUE)"),"le secteur de la construction")</f>
        <v xml:space="preserve">le secteur de la construction</v>
      </c>
      <c r="P698" s="4" t="s">
        <v>16091</v>
      </c>
      <c r="R698" s="4" t="s">
        <v>6339</v>
      </c>
      <c r="S698" s="4" t="s">
        <v>9281</v>
      </c>
      <c r="T698" s="4" t="s">
        <v>29</v>
      </c>
      <c r="U698" s="5" t="s">
        <v>16092</v>
      </c>
      <c r="V698" s="6"/>
      <c r="W698" s="6"/>
      <c r="X698" s="6"/>
      <c r="Y698" s="6"/>
      <c r="Z698" s="4" t="s">
        <v>16093</v>
      </c>
      <c r="AA698" s="6"/>
      <c r="AB698" s="5" t="s">
        <v>16094</v>
      </c>
    </row>
    <row r="699" ht="14.25">
      <c r="A699" s="4" t="s">
        <v>16096</v>
      </c>
      <c r="B699" s="4" t="s">
        <v>255</v>
      </c>
      <c r="C699" s="4" t="s">
        <v>341</v>
      </c>
      <c r="F699" s="4" t="s">
        <v>16097</v>
      </c>
      <c r="G699" s="4">
        <v>12</v>
      </c>
      <c r="H699" s="4" t="s">
        <v>16098</v>
      </c>
      <c r="I699" s="4" t="str">
        <f>IFERROR(__XLUDF.DUMMYFUNCTION("PROPER(REGEXREPLACE(G697,""[^A-Za-z]+ "",""""))"),"Kiviak Technologies")</f>
        <v xml:space="preserve">Kiviak Technologies</v>
      </c>
      <c r="J699" s="5" t="s">
        <v>16099</v>
      </c>
      <c r="K699" s="4" t="s">
        <v>3848</v>
      </c>
      <c r="L699" s="4" t="s">
        <v>9251</v>
      </c>
      <c r="M699" s="4" t="s">
        <v>29</v>
      </c>
      <c r="N699" s="4" t="s">
        <v>2602</v>
      </c>
      <c r="O699" s="4" t="str">
        <f>IFERROR(__XLUDF.DUMMYFUNCTION("VLOOKUP(M697,IMPORTRANGE(""https://docs.google.com/spreadsheets/d/1opm6ZNvGZ7KditA9TuJwrZ25eFLfTNIkrNnY6mhV5Eg"",""list!A1:C115""),3,TRUE)"),"le secteur de la tech")</f>
        <v xml:space="preserve">le secteur de la tech</v>
      </c>
      <c r="P699" s="6"/>
      <c r="R699" s="4" t="s">
        <v>3848</v>
      </c>
      <c r="S699" s="4" t="s">
        <v>9251</v>
      </c>
      <c r="T699" s="4" t="s">
        <v>29</v>
      </c>
      <c r="U699" s="5" t="s">
        <v>16100</v>
      </c>
      <c r="V699" s="6"/>
      <c r="W699" s="6"/>
      <c r="X699" s="6"/>
      <c r="Y699" s="6"/>
      <c r="Z699" s="4" t="s">
        <v>16101</v>
      </c>
      <c r="AA699" s="6"/>
      <c r="AB699" s="5" t="s">
        <v>16102</v>
      </c>
    </row>
    <row r="700" ht="14.25">
      <c r="A700" s="4" t="s">
        <v>16104</v>
      </c>
      <c r="B700" s="4" t="s">
        <v>255</v>
      </c>
      <c r="C700" s="4" t="s">
        <v>16106</v>
      </c>
      <c r="F700" s="4" t="s">
        <v>16105</v>
      </c>
      <c r="G700" s="4">
        <v>14</v>
      </c>
      <c r="H700" s="4" t="s">
        <v>16107</v>
      </c>
      <c r="I700" s="4" t="str">
        <f>IFERROR(__XLUDF.DUMMYFUNCTION("PROPER(REGEXREPLACE(G698,""[^A-Za-z]+ "",""""))"),"Izigroup")</f>
        <v>Izigroup</v>
      </c>
      <c r="J700" s="6"/>
      <c r="K700" s="4" t="s">
        <v>185</v>
      </c>
      <c r="L700" s="4" t="s">
        <v>9193</v>
      </c>
      <c r="M700" s="4" t="s">
        <v>29</v>
      </c>
      <c r="N700" s="4" t="s">
        <v>4067</v>
      </c>
      <c r="O700" s="4" t="str">
        <f>IFERROR(__XLUDF.DUMMYFUNCTION("VLOOKUP(M698,IMPORTRANGE(""https://docs.google.com/spreadsheets/d/1opm6ZNvGZ7KditA9TuJwrZ25eFLfTNIkrNnY6mhV5Eg"",""list!A1:C115""),3,TRUE)"),"le secteur du conseil en management")</f>
        <v xml:space="preserve">le secteur du conseil en management</v>
      </c>
      <c r="P700" s="6"/>
      <c r="R700" s="4" t="s">
        <v>185</v>
      </c>
      <c r="S700" s="4" t="s">
        <v>9193</v>
      </c>
      <c r="T700" s="4" t="s">
        <v>29</v>
      </c>
      <c r="U700" s="5" t="s">
        <v>16108</v>
      </c>
      <c r="V700" s="6"/>
      <c r="W700" s="6"/>
      <c r="X700" s="6"/>
      <c r="Y700" s="6"/>
      <c r="Z700" s="4" t="s">
        <v>16109</v>
      </c>
      <c r="AA700" s="6"/>
      <c r="AB700" s="5" t="s">
        <v>16110</v>
      </c>
    </row>
    <row r="701" ht="14.25">
      <c r="A701" s="4" t="s">
        <v>16112</v>
      </c>
      <c r="B701" s="4" t="s">
        <v>255</v>
      </c>
      <c r="C701" s="4" t="s">
        <v>1231</v>
      </c>
      <c r="F701" s="4" t="s">
        <v>16113</v>
      </c>
      <c r="G701" s="4">
        <v>12</v>
      </c>
      <c r="H701" s="4" t="s">
        <v>16114</v>
      </c>
      <c r="I701" s="4" t="str">
        <f>IFERROR(__XLUDF.DUMMYFUNCTION("PROPER(REGEXREPLACE(G699,""[^A-Za-z]+ "",""""))"),"Capture Solutions")</f>
        <v xml:space="preserve">Capture Solutions</v>
      </c>
      <c r="J701" s="5" t="s">
        <v>16115</v>
      </c>
      <c r="K701" s="4" t="s">
        <v>11278</v>
      </c>
      <c r="L701" s="4" t="s">
        <v>9160</v>
      </c>
      <c r="M701" s="4" t="s">
        <v>29</v>
      </c>
      <c r="N701" s="4" t="s">
        <v>4525</v>
      </c>
      <c r="O701" s="4" t="str">
        <f>IFERROR(__XLUDF.DUMMYFUNCTION("VLOOKUP(M699,IMPORTRANGE(""https://docs.google.com/spreadsheets/d/1opm6ZNvGZ7KditA9TuJwrZ25eFLfTNIkrNnY6mhV5Eg"",""list!A1:C115""),3,TRUE)"),"le secteur du retail")</f>
        <v xml:space="preserve">le secteur du retail</v>
      </c>
      <c r="P701" s="4" t="s">
        <v>16116</v>
      </c>
      <c r="R701" s="4" t="s">
        <v>11278</v>
      </c>
      <c r="S701" s="4" t="s">
        <v>9160</v>
      </c>
      <c r="T701" s="4" t="s">
        <v>29</v>
      </c>
      <c r="U701" s="5" t="s">
        <v>16117</v>
      </c>
      <c r="V701" s="6"/>
      <c r="W701" s="6"/>
      <c r="X701" s="6"/>
      <c r="Y701" s="6"/>
      <c r="Z701" s="4" t="s">
        <v>16118</v>
      </c>
      <c r="AA701" s="6"/>
      <c r="AB701" s="5" t="s">
        <v>16119</v>
      </c>
    </row>
    <row r="702" ht="14.25">
      <c r="A702" s="4" t="s">
        <v>16121</v>
      </c>
      <c r="B702" s="4" t="s">
        <v>255</v>
      </c>
      <c r="C702" s="4" t="s">
        <v>120</v>
      </c>
      <c r="F702" s="4" t="s">
        <v>16122</v>
      </c>
      <c r="G702" s="4">
        <v>10</v>
      </c>
      <c r="H702" s="4" t="s">
        <v>16123</v>
      </c>
      <c r="I702" s="4" t="str">
        <f>IFERROR(__XLUDF.DUMMYFUNCTION("PROPER(REGEXREPLACE(G700,""[^A-Za-z]+ "",""""))"),"Tremplin Numerique")</f>
        <v xml:space="preserve">Tremplin Numerique</v>
      </c>
      <c r="J702" s="5" t="s">
        <v>16124</v>
      </c>
      <c r="K702" s="4" t="s">
        <v>482</v>
      </c>
      <c r="L702" s="4" t="s">
        <v>9460</v>
      </c>
      <c r="M702" s="4" t="s">
        <v>29</v>
      </c>
      <c r="N702" s="4" t="s">
        <v>9161</v>
      </c>
      <c r="O702" s="4" t="str">
        <f>IFERROR(__XLUDF.DUMMYFUNCTION("VLOOKUP(M700,IMPORTRANGE(""https://docs.google.com/spreadsheets/d/1opm6ZNvGZ7KditA9TuJwrZ25eFLfTNIkrNnY6mhV5Eg"",""list!A1:C115""),3,TRUE)"),"le secteur du marketing")</f>
        <v xml:space="preserve">le secteur du marketing</v>
      </c>
      <c r="P702" s="4" t="s">
        <v>16125</v>
      </c>
      <c r="R702" s="4" t="s">
        <v>16126</v>
      </c>
      <c r="S702" s="4" t="s">
        <v>16127</v>
      </c>
      <c r="T702" s="4" t="s">
        <v>16128</v>
      </c>
      <c r="U702" s="5" t="s">
        <v>16129</v>
      </c>
      <c r="V702" s="6"/>
      <c r="W702" s="6"/>
      <c r="X702" s="6"/>
      <c r="Y702" s="6"/>
      <c r="Z702" s="4" t="s">
        <v>16130</v>
      </c>
      <c r="AA702" s="6"/>
      <c r="AB702" s="5" t="s">
        <v>16131</v>
      </c>
    </row>
    <row r="703" ht="14.25">
      <c r="A703" s="4" t="s">
        <v>16134</v>
      </c>
      <c r="B703" s="4" t="s">
        <v>16133</v>
      </c>
      <c r="C703" s="4" t="s">
        <v>120</v>
      </c>
      <c r="F703" s="4" t="s">
        <v>16135</v>
      </c>
      <c r="G703" s="4">
        <v>12</v>
      </c>
      <c r="H703" s="4" t="s">
        <v>16136</v>
      </c>
      <c r="I703" s="4" t="str">
        <f>IFERROR(__XLUDF.DUMMYFUNCTION("PROPER(REGEXREPLACE(G701,""[^A-Za-z]+ "",""""))"),"Timicmac")</f>
        <v>Timicmac</v>
      </c>
      <c r="J703" s="5" t="s">
        <v>16137</v>
      </c>
      <c r="K703" s="4" t="s">
        <v>439</v>
      </c>
      <c r="L703" s="4" t="s">
        <v>9227</v>
      </c>
      <c r="M703" s="4" t="s">
        <v>29</v>
      </c>
      <c r="N703" s="4" t="s">
        <v>4525</v>
      </c>
      <c r="O703" s="4" t="str">
        <f>IFERROR(__XLUDF.DUMMYFUNCTION("VLOOKUP(M701,IMPORTRANGE(""https://docs.google.com/spreadsheets/d/1opm6ZNvGZ7KditA9TuJwrZ25eFLfTNIkrNnY6mhV5Eg"",""list!A1:C115""),3,TRUE)"),"le secteur du retail")</f>
        <v xml:space="preserve">le secteur du retail</v>
      </c>
      <c r="P703" s="4" t="s">
        <v>16138</v>
      </c>
      <c r="R703" s="4" t="s">
        <v>16139</v>
      </c>
      <c r="S703" s="4" t="s">
        <v>10973</v>
      </c>
      <c r="T703" s="4" t="s">
        <v>29</v>
      </c>
      <c r="U703" s="5" t="s">
        <v>16140</v>
      </c>
      <c r="V703" s="6"/>
      <c r="W703" s="5" t="s">
        <v>16141</v>
      </c>
      <c r="X703" s="6"/>
      <c r="Y703" s="6"/>
      <c r="Z703" s="4" t="s">
        <v>16142</v>
      </c>
      <c r="AA703" s="6"/>
      <c r="AB703" s="5" t="s">
        <v>16143</v>
      </c>
    </row>
    <row r="704" ht="14.25">
      <c r="A704" s="4" t="s">
        <v>16146</v>
      </c>
      <c r="B704" s="4" t="s">
        <v>16145</v>
      </c>
      <c r="C704" s="4" t="s">
        <v>16148</v>
      </c>
      <c r="F704" s="4" t="s">
        <v>16147</v>
      </c>
      <c r="G704" s="4">
        <v>15</v>
      </c>
      <c r="H704" s="4" t="s">
        <v>16149</v>
      </c>
      <c r="I704" s="4" t="str">
        <f>IFERROR(__XLUDF.DUMMYFUNCTION("PROPER(REGEXREPLACE(G702,""[^A-Za-z]+ "",""""))"),"Deltacad")</f>
        <v>Deltacad</v>
      </c>
      <c r="J704" s="5" t="s">
        <v>16150</v>
      </c>
      <c r="K704" s="6"/>
      <c r="L704" s="6"/>
      <c r="M704" s="4" t="s">
        <v>29</v>
      </c>
      <c r="N704" s="4" t="s">
        <v>2602</v>
      </c>
      <c r="O704" s="4" t="str">
        <f>IFERROR(__XLUDF.DUMMYFUNCTION("VLOOKUP(M702,IMPORTRANGE(""https://docs.google.com/spreadsheets/d/1opm6ZNvGZ7KditA9TuJwrZ25eFLfTNIkrNnY6mhV5Eg"",""list!A1:C115""),3,TRUE)"),"le secteur de la tech")</f>
        <v xml:space="preserve">le secteur de la tech</v>
      </c>
      <c r="P704" s="4" t="s">
        <v>16151</v>
      </c>
      <c r="R704" s="4" t="s">
        <v>16152</v>
      </c>
      <c r="S704" s="4" t="s">
        <v>9281</v>
      </c>
      <c r="T704" s="4" t="s">
        <v>29</v>
      </c>
      <c r="U704" s="5" t="s">
        <v>16153</v>
      </c>
      <c r="V704" s="6"/>
      <c r="W704" s="6"/>
      <c r="X704" s="6"/>
      <c r="Y704" s="6"/>
      <c r="Z704" s="4" t="s">
        <v>16154</v>
      </c>
      <c r="AA704" s="6"/>
      <c r="AB704" s="5" t="s">
        <v>16155</v>
      </c>
    </row>
    <row r="705" ht="14.25">
      <c r="A705" s="4" t="s">
        <v>16157</v>
      </c>
      <c r="B705" s="4" t="s">
        <v>118</v>
      </c>
      <c r="C705" s="4" t="s">
        <v>7759</v>
      </c>
      <c r="F705" s="4" t="s">
        <v>16158</v>
      </c>
      <c r="G705" s="4">
        <v>34</v>
      </c>
      <c r="H705" s="4" t="s">
        <v>16159</v>
      </c>
      <c r="I705" s="4" t="str">
        <f>IFERROR(__XLUDF.DUMMYFUNCTION("PROPER(REGEXREPLACE(G703,""[^A-Za-z]+ "",""""))"),"Agence Web Lemon Interactive")</f>
        <v xml:space="preserve">Agence Web Lemon Interactive</v>
      </c>
      <c r="J705" s="5" t="s">
        <v>16160</v>
      </c>
      <c r="K705" s="4" t="s">
        <v>846</v>
      </c>
      <c r="L705" s="4" t="s">
        <v>9281</v>
      </c>
      <c r="M705" s="4" t="s">
        <v>29</v>
      </c>
      <c r="N705" s="4" t="s">
        <v>2602</v>
      </c>
      <c r="O705" s="4" t="str">
        <f>IFERROR(__XLUDF.DUMMYFUNCTION("VLOOKUP(M703,IMPORTRANGE(""https://docs.google.com/spreadsheets/d/1opm6ZNvGZ7KditA9TuJwrZ25eFLfTNIkrNnY6mhV5Eg"",""list!A1:C115""),3,TRUE)"),"le secteur de la tech")</f>
        <v xml:space="preserve">le secteur de la tech</v>
      </c>
      <c r="P705" s="4" t="s">
        <v>16161</v>
      </c>
      <c r="R705" s="4" t="s">
        <v>10537</v>
      </c>
      <c r="S705" s="4" t="s">
        <v>9281</v>
      </c>
      <c r="T705" s="4" t="s">
        <v>29</v>
      </c>
      <c r="U705" s="5" t="s">
        <v>16162</v>
      </c>
      <c r="V705" s="5" t="s">
        <v>16163</v>
      </c>
      <c r="W705" s="5" t="s">
        <v>16164</v>
      </c>
      <c r="X705" s="6"/>
      <c r="Y705" s="6"/>
      <c r="Z705" s="4" t="s">
        <v>16165</v>
      </c>
      <c r="AA705" s="6"/>
      <c r="AB705" s="5" t="s">
        <v>16166</v>
      </c>
    </row>
    <row r="706" ht="14.25">
      <c r="A706" s="4" t="s">
        <v>16168</v>
      </c>
      <c r="B706" s="4" t="s">
        <v>6744</v>
      </c>
      <c r="C706" s="4" t="s">
        <v>9582</v>
      </c>
      <c r="F706" s="4" t="s">
        <v>16169</v>
      </c>
      <c r="G706" s="4">
        <v>22</v>
      </c>
      <c r="H706" s="4" t="s">
        <v>16170</v>
      </c>
      <c r="I706" s="4" t="str">
        <f>IFERROR(__XLUDF.DUMMYFUNCTION("PROPER(REGEXREPLACE(G704,""[^A-Za-z]+ "",""""))"),"Scaning")</f>
        <v>Scaning</v>
      </c>
      <c r="J706" s="5" t="s">
        <v>16171</v>
      </c>
      <c r="K706" s="4" t="s">
        <v>1826</v>
      </c>
      <c r="L706" s="4" t="s">
        <v>9227</v>
      </c>
      <c r="M706" s="4" t="s">
        <v>29</v>
      </c>
      <c r="N706" s="4" t="s">
        <v>9161</v>
      </c>
      <c r="O706" s="4" t="str">
        <f>IFERROR(__XLUDF.DUMMYFUNCTION("VLOOKUP(M704,IMPORTRANGE(""https://docs.google.com/spreadsheets/d/1opm6ZNvGZ7KditA9TuJwrZ25eFLfTNIkrNnY6mhV5Eg"",""list!A1:C115""),3,TRUE)"),"le secteur du marketing")</f>
        <v xml:space="preserve">le secteur du marketing</v>
      </c>
      <c r="P706" s="6"/>
      <c r="R706" s="4" t="s">
        <v>1826</v>
      </c>
      <c r="S706" s="4" t="s">
        <v>9227</v>
      </c>
      <c r="T706" s="4" t="s">
        <v>29</v>
      </c>
      <c r="U706" s="5" t="s">
        <v>16172</v>
      </c>
      <c r="V706" s="6"/>
      <c r="W706" s="6"/>
      <c r="X706" s="6"/>
      <c r="Y706" s="6"/>
      <c r="Z706" s="4" t="s">
        <v>16173</v>
      </c>
      <c r="AA706" s="6"/>
      <c r="AB706" s="5" t="s">
        <v>16174</v>
      </c>
    </row>
    <row r="707" ht="14.25">
      <c r="A707" s="4" t="s">
        <v>16176</v>
      </c>
      <c r="B707" s="4" t="s">
        <v>622</v>
      </c>
      <c r="C707" s="4" t="s">
        <v>16178</v>
      </c>
      <c r="F707" s="4" t="s">
        <v>16177</v>
      </c>
      <c r="G707" s="4">
        <v>25</v>
      </c>
      <c r="H707" s="4" t="s">
        <v>16179</v>
      </c>
      <c r="I707" s="4" t="str">
        <f>IFERROR(__XLUDF.DUMMYFUNCTION("PROPER(REGEXREPLACE(G705,""[^A-Za-z]+ "",""""))"),"Hamel Géomètres-Experts")</f>
        <v xml:space="preserve">Hamel Géomètres-Experts</v>
      </c>
      <c r="J707" s="5" t="s">
        <v>16180</v>
      </c>
      <c r="K707" s="4" t="s">
        <v>1826</v>
      </c>
      <c r="L707" s="4" t="s">
        <v>9227</v>
      </c>
      <c r="M707" s="4" t="s">
        <v>29</v>
      </c>
      <c r="N707" s="4" t="s">
        <v>2602</v>
      </c>
      <c r="O707" s="4" t="str">
        <f>IFERROR(__XLUDF.DUMMYFUNCTION("VLOOKUP(M705,IMPORTRANGE(""https://docs.google.com/spreadsheets/d/1opm6ZNvGZ7KditA9TuJwrZ25eFLfTNIkrNnY6mhV5Eg"",""list!A1:C115""),3,TRUE)"),"le secteur de la tech")</f>
        <v xml:space="preserve">le secteur de la tech</v>
      </c>
      <c r="P707" s="4" t="s">
        <v>16181</v>
      </c>
      <c r="R707" s="4" t="s">
        <v>16182</v>
      </c>
      <c r="S707" s="4" t="s">
        <v>9227</v>
      </c>
      <c r="T707" s="4" t="s">
        <v>29</v>
      </c>
      <c r="U707" s="5" t="s">
        <v>16183</v>
      </c>
      <c r="V707" s="6"/>
      <c r="W707" s="6"/>
      <c r="X707" s="6"/>
      <c r="Y707" s="6"/>
      <c r="Z707" s="4" t="s">
        <v>16184</v>
      </c>
      <c r="AA707" s="6"/>
      <c r="AB707" s="5" t="s">
        <v>16185</v>
      </c>
    </row>
    <row r="708" ht="14.25">
      <c r="A708" s="4" t="s">
        <v>16188</v>
      </c>
      <c r="B708" s="4" t="s">
        <v>16187</v>
      </c>
      <c r="C708" s="4" t="s">
        <v>62</v>
      </c>
      <c r="F708" s="4" t="s">
        <v>16189</v>
      </c>
      <c r="G708" s="4">
        <v>10</v>
      </c>
      <c r="H708" s="4" t="s">
        <v>16190</v>
      </c>
      <c r="I708" s="4" t="str">
        <f>IFERROR(__XLUDF.DUMMYFUNCTION("PROPER(REGEXREPLACE(G706,""[^A-Za-z]+ "",""""))"),"Geobox Telematics")</f>
        <v xml:space="preserve">Geobox Telematics</v>
      </c>
      <c r="J708" s="5" t="s">
        <v>16191</v>
      </c>
      <c r="K708" s="4" t="s">
        <v>12291</v>
      </c>
      <c r="L708" s="4" t="s">
        <v>9160</v>
      </c>
      <c r="M708" s="4" t="s">
        <v>29</v>
      </c>
      <c r="N708" s="4" t="s">
        <v>9184</v>
      </c>
      <c r="O708" s="4" t="str">
        <f>IFERROR(__XLUDF.DUMMYFUNCTION("VLOOKUP(M706,IMPORTRANGE(""https://docs.google.com/spreadsheets/d/1opm6ZNvGZ7KditA9TuJwrZ25eFLfTNIkrNnY6mhV5Eg"",""list!A1:C115""),3,TRUE)"),"le secteur des télécommunications")</f>
        <v xml:space="preserve">le secteur des télécommunications</v>
      </c>
      <c r="P708" s="6"/>
      <c r="R708" s="4" t="s">
        <v>39</v>
      </c>
      <c r="S708" s="4" t="s">
        <v>9160</v>
      </c>
      <c r="T708" s="4" t="s">
        <v>29</v>
      </c>
      <c r="U708" s="5" t="s">
        <v>16192</v>
      </c>
      <c r="V708" s="6"/>
      <c r="W708" s="6"/>
      <c r="X708" s="6"/>
      <c r="Y708" s="6"/>
      <c r="Z708" s="4" t="s">
        <v>16193</v>
      </c>
      <c r="AA708" s="6"/>
      <c r="AB708" s="5" t="s">
        <v>16194</v>
      </c>
    </row>
    <row r="709" ht="14.25">
      <c r="A709" s="4" t="s">
        <v>16197</v>
      </c>
      <c r="B709" s="4" t="s">
        <v>16196</v>
      </c>
      <c r="C709" s="4" t="s">
        <v>112</v>
      </c>
      <c r="F709" s="4" t="s">
        <v>16198</v>
      </c>
      <c r="G709" s="4">
        <v>13</v>
      </c>
      <c r="H709" s="4" t="s">
        <v>16199</v>
      </c>
      <c r="I709" s="4" t="str">
        <f>IFERROR(__XLUDF.DUMMYFUNCTION("PROPER(REGEXREPLACE(G707,""[^A-Za-z]+ "",""""))"),"Phenix")</f>
        <v>Phenix</v>
      </c>
      <c r="J709" s="5" t="s">
        <v>16200</v>
      </c>
      <c r="K709" s="4" t="s">
        <v>39</v>
      </c>
      <c r="L709" s="4" t="s">
        <v>9160</v>
      </c>
      <c r="M709" s="4" t="s">
        <v>29</v>
      </c>
      <c r="N709" s="4" t="s">
        <v>9184</v>
      </c>
      <c r="O709" s="4" t="str">
        <f>IFERROR(__XLUDF.DUMMYFUNCTION("VLOOKUP(M707,IMPORTRANGE(""https://docs.google.com/spreadsheets/d/1opm6ZNvGZ7KditA9TuJwrZ25eFLfTNIkrNnY6mhV5Eg"",""list!A1:C115""),3,TRUE)"),"le secteur des télécommunications")</f>
        <v xml:space="preserve">le secteur des télécommunications</v>
      </c>
      <c r="P709" s="4" t="s">
        <v>16201</v>
      </c>
      <c r="R709" s="4" t="s">
        <v>16202</v>
      </c>
      <c r="S709" s="4" t="s">
        <v>9160</v>
      </c>
      <c r="T709" s="4" t="s">
        <v>29</v>
      </c>
      <c r="U709" s="5" t="s">
        <v>16203</v>
      </c>
      <c r="V709" s="6"/>
      <c r="W709" s="6"/>
      <c r="X709" s="6"/>
      <c r="Y709" s="6"/>
      <c r="Z709" s="4" t="s">
        <v>16204</v>
      </c>
      <c r="AA709" s="6"/>
      <c r="AB709" s="5" t="s">
        <v>16205</v>
      </c>
    </row>
    <row r="710" ht="14.25">
      <c r="A710" s="4" t="s">
        <v>16207</v>
      </c>
      <c r="B710" s="4" t="s">
        <v>1619</v>
      </c>
      <c r="C710" s="4" t="s">
        <v>16209</v>
      </c>
      <c r="F710" s="4" t="s">
        <v>16208</v>
      </c>
      <c r="G710" s="4">
        <v>12</v>
      </c>
      <c r="H710" s="4" t="s">
        <v>16210</v>
      </c>
      <c r="I710" s="4" t="str">
        <f>IFERROR(__XLUDF.DUMMYFUNCTION("PROPER(REGEXREPLACE(G708,""[^A-Za-z]+ "",""""))"),"Cohésens")</f>
        <v>Cohésens</v>
      </c>
      <c r="J710" s="5" t="s">
        <v>16211</v>
      </c>
      <c r="K710" s="4" t="s">
        <v>562</v>
      </c>
      <c r="L710" s="4" t="s">
        <v>9215</v>
      </c>
      <c r="M710" s="4" t="s">
        <v>29</v>
      </c>
      <c r="N710" s="4" t="s">
        <v>9239</v>
      </c>
      <c r="O710" s="4" t="str">
        <f>IFERROR(__XLUDF.DUMMYFUNCTION("VLOOKUP(M708,IMPORTRANGE(""https://docs.google.com/spreadsheets/d/1opm6ZNvGZ7KditA9TuJwrZ25eFLfTNIkrNnY6mhV5Eg"",""list!A1:C115""),3,TRUE)"),"le secteur de la construction")</f>
        <v xml:space="preserve">le secteur de la construction</v>
      </c>
      <c r="P710" s="6"/>
      <c r="R710" s="4" t="s">
        <v>16212</v>
      </c>
      <c r="S710" s="4" t="s">
        <v>9215</v>
      </c>
      <c r="T710" s="4" t="s">
        <v>29</v>
      </c>
      <c r="U710" s="5" t="s">
        <v>16213</v>
      </c>
      <c r="V710" s="6"/>
      <c r="W710" s="6"/>
      <c r="X710" s="6"/>
      <c r="Y710" s="6"/>
      <c r="Z710" s="4" t="s">
        <v>16214</v>
      </c>
      <c r="AA710" s="6"/>
      <c r="AB710" s="5" t="s">
        <v>16215</v>
      </c>
    </row>
    <row r="711" ht="14.25">
      <c r="A711" s="4" t="s">
        <v>16217</v>
      </c>
      <c r="B711" s="4" t="s">
        <v>322</v>
      </c>
      <c r="C711" s="4" t="s">
        <v>172</v>
      </c>
      <c r="F711" s="4" t="s">
        <v>16218</v>
      </c>
      <c r="G711" s="4">
        <v>17</v>
      </c>
      <c r="H711" s="4" t="s">
        <v>16219</v>
      </c>
      <c r="I711" s="4" t="str">
        <f>IFERROR(__XLUDF.DUMMYFUNCTION("PROPER(REGEXREPLACE(G709,""[^A-Za-z]+ "",""""))"),"Tci")</f>
        <v>Tci</v>
      </c>
      <c r="J711" s="5" t="s">
        <v>16220</v>
      </c>
      <c r="K711" s="4" t="s">
        <v>492</v>
      </c>
      <c r="L711" s="4" t="s">
        <v>9267</v>
      </c>
      <c r="M711" s="4" t="s">
        <v>29</v>
      </c>
      <c r="N711" s="4" t="s">
        <v>9239</v>
      </c>
      <c r="O711" s="4" t="str">
        <f>IFERROR(__XLUDF.DUMMYFUNCTION("VLOOKUP(M709,IMPORTRANGE(""https://docs.google.com/spreadsheets/d/1opm6ZNvGZ7KditA9TuJwrZ25eFLfTNIkrNnY6mhV5Eg"",""list!A1:C115""),3,TRUE)"),"le secteur de la construction")</f>
        <v xml:space="preserve">le secteur de la construction</v>
      </c>
      <c r="P711" s="4" t="s">
        <v>16221</v>
      </c>
      <c r="R711" s="4" t="s">
        <v>11084</v>
      </c>
      <c r="S711" s="4" t="s">
        <v>9226</v>
      </c>
      <c r="T711" s="4" t="s">
        <v>29</v>
      </c>
      <c r="U711" s="5" t="s">
        <v>16222</v>
      </c>
      <c r="V711" s="5" t="s">
        <v>16223</v>
      </c>
      <c r="W711" s="6"/>
      <c r="X711" s="6"/>
      <c r="Y711" s="6"/>
      <c r="Z711" s="4" t="s">
        <v>16224</v>
      </c>
      <c r="AA711" s="6"/>
      <c r="AB711" s="5" t="s">
        <v>16225</v>
      </c>
    </row>
    <row r="712" ht="14.25">
      <c r="A712" s="4" t="s">
        <v>16227</v>
      </c>
      <c r="B712" s="4" t="s">
        <v>322</v>
      </c>
      <c r="C712" s="4" t="s">
        <v>7759</v>
      </c>
      <c r="F712" s="4" t="s">
        <v>16228</v>
      </c>
      <c r="G712" s="4">
        <v>23</v>
      </c>
      <c r="H712" s="4" t="s">
        <v>16229</v>
      </c>
      <c r="I712" s="4" t="str">
        <f>IFERROR(__XLUDF.DUMMYFUNCTION("PROPER(REGEXREPLACE(G710,""[^A-Za-z]+ "",""""))"),"Spécinov")</f>
        <v>Spécinov</v>
      </c>
      <c r="J712" s="5" t="s">
        <v>16230</v>
      </c>
      <c r="K712" s="4" t="s">
        <v>1312</v>
      </c>
      <c r="L712" s="4" t="s">
        <v>9350</v>
      </c>
      <c r="M712" s="4" t="s">
        <v>29</v>
      </c>
      <c r="N712" s="4" t="s">
        <v>2602</v>
      </c>
      <c r="O712" s="4" t="str">
        <f>IFERROR(__XLUDF.DUMMYFUNCTION("VLOOKUP(M710,IMPORTRANGE(""https://docs.google.com/spreadsheets/d/1opm6ZNvGZ7KditA9TuJwrZ25eFLfTNIkrNnY6mhV5Eg"",""list!A1:C115""),3,TRUE)"),"le secteur de la tech")</f>
        <v xml:space="preserve">le secteur de la tech</v>
      </c>
      <c r="P712" s="4" t="s">
        <v>16231</v>
      </c>
      <c r="R712" s="4" t="s">
        <v>16232</v>
      </c>
      <c r="S712" s="4" t="s">
        <v>9350</v>
      </c>
      <c r="T712" s="4" t="s">
        <v>29</v>
      </c>
      <c r="U712" s="5" t="s">
        <v>16233</v>
      </c>
      <c r="V712" s="6"/>
      <c r="W712" s="6"/>
      <c r="X712" s="6"/>
      <c r="Y712" s="6"/>
      <c r="Z712" s="4" t="s">
        <v>16234</v>
      </c>
      <c r="AA712" s="6"/>
      <c r="AB712" s="5" t="s">
        <v>16235</v>
      </c>
    </row>
    <row r="713" ht="14.25">
      <c r="A713" s="4" t="s">
        <v>16237</v>
      </c>
      <c r="B713" s="4" t="s">
        <v>622</v>
      </c>
      <c r="C713" s="4" t="s">
        <v>16239</v>
      </c>
      <c r="F713" s="4" t="s">
        <v>16238</v>
      </c>
      <c r="G713" s="4">
        <v>28</v>
      </c>
      <c r="H713" s="4" t="s">
        <v>16240</v>
      </c>
      <c r="I713" s="4" t="str">
        <f>IFERROR(__XLUDF.DUMMYFUNCTION("PROPER(REGEXREPLACE(G711,""[^A-Za-z]+ "",""""))"),"Groupe Acb Concessionnaire Xerox")</f>
        <v xml:space="preserve">Groupe Acb Concessionnaire Xerox</v>
      </c>
      <c r="J713" s="5" t="s">
        <v>16241</v>
      </c>
      <c r="K713" s="4" t="s">
        <v>16242</v>
      </c>
      <c r="L713" s="4" t="s">
        <v>9172</v>
      </c>
      <c r="M713" s="4" t="s">
        <v>29</v>
      </c>
      <c r="N713" s="4" t="s">
        <v>4525</v>
      </c>
      <c r="O713" s="4" t="str">
        <f>IFERROR(__XLUDF.DUMMYFUNCTION("VLOOKUP(M711,IMPORTRANGE(""https://docs.google.com/spreadsheets/d/1opm6ZNvGZ7KditA9TuJwrZ25eFLfTNIkrNnY6mhV5Eg"",""list!A1:C115""),3,TRUE)"),"le secteur du retail")</f>
        <v xml:space="preserve">le secteur du retail</v>
      </c>
      <c r="P713" s="4" t="s">
        <v>16243</v>
      </c>
      <c r="R713" s="4" t="s">
        <v>423</v>
      </c>
      <c r="S713" s="4" t="s">
        <v>9193</v>
      </c>
      <c r="T713" s="4" t="s">
        <v>29</v>
      </c>
      <c r="U713" s="5" t="s">
        <v>16244</v>
      </c>
      <c r="V713" s="6"/>
      <c r="W713" s="5" t="s">
        <v>16245</v>
      </c>
      <c r="X713" s="6"/>
      <c r="Y713" s="6"/>
      <c r="Z713" s="4" t="s">
        <v>16246</v>
      </c>
      <c r="AA713" s="6"/>
      <c r="AB713" s="5" t="s">
        <v>16247</v>
      </c>
    </row>
    <row r="714" ht="14.25">
      <c r="A714" s="4" t="s">
        <v>16249</v>
      </c>
      <c r="B714" s="4" t="s">
        <v>322</v>
      </c>
      <c r="C714" s="4" t="s">
        <v>112</v>
      </c>
      <c r="F714" s="4" t="s">
        <v>16250</v>
      </c>
      <c r="G714" s="4">
        <v>10</v>
      </c>
      <c r="H714" s="4" t="s">
        <v>16251</v>
      </c>
      <c r="I714" s="4" t="str">
        <f>IFERROR(__XLUDF.DUMMYFUNCTION("PROPER(REGEXREPLACE(G712,""[^A-Za-z]+ "",""""))"),"Gindro S.A.S")</f>
        <v xml:space="preserve">Gindro S.A.S</v>
      </c>
      <c r="J714" s="5" t="s">
        <v>16252</v>
      </c>
      <c r="K714" s="4" t="s">
        <v>12209</v>
      </c>
      <c r="L714" s="4" t="s">
        <v>12210</v>
      </c>
      <c r="M714" s="4" t="s">
        <v>29</v>
      </c>
      <c r="N714" s="4" t="s">
        <v>4525</v>
      </c>
      <c r="O714" s="4" t="str">
        <f>IFERROR(__XLUDF.DUMMYFUNCTION("VLOOKUP(M712,IMPORTRANGE(""https://docs.google.com/spreadsheets/d/1opm6ZNvGZ7KditA9TuJwrZ25eFLfTNIkrNnY6mhV5Eg"",""list!A1:C115""),3,TRUE)"),"le secteur du retail")</f>
        <v xml:space="preserve">le secteur du retail</v>
      </c>
      <c r="P714" s="4" t="s">
        <v>16253</v>
      </c>
      <c r="R714" s="4" t="s">
        <v>16254</v>
      </c>
      <c r="S714" s="4" t="s">
        <v>9473</v>
      </c>
      <c r="T714" s="4" t="s">
        <v>29</v>
      </c>
      <c r="U714" s="5" t="s">
        <v>16255</v>
      </c>
      <c r="V714" s="6"/>
      <c r="W714" s="6"/>
      <c r="X714" s="6"/>
      <c r="Y714" s="6"/>
      <c r="Z714" s="4" t="s">
        <v>16256</v>
      </c>
      <c r="AA714" s="6"/>
      <c r="AB714" s="5" t="s">
        <v>16257</v>
      </c>
    </row>
    <row r="715" ht="14.25">
      <c r="A715" s="4" t="s">
        <v>16259</v>
      </c>
      <c r="B715" s="4" t="s">
        <v>622</v>
      </c>
      <c r="C715" s="4" t="s">
        <v>16261</v>
      </c>
      <c r="F715" s="4" t="s">
        <v>16260</v>
      </c>
      <c r="G715" s="4">
        <v>15</v>
      </c>
      <c r="H715" s="4" t="s">
        <v>11694</v>
      </c>
      <c r="I715" s="4" t="str">
        <f>IFERROR(__XLUDF.DUMMYFUNCTION("PROPER(REGEXREPLACE(G713,""[^A-Za-z]+ "",""""))"),"Tab France")</f>
        <v xml:space="preserve">Tab France</v>
      </c>
      <c r="J715" s="5" t="s">
        <v>11695</v>
      </c>
      <c r="K715" s="4" t="s">
        <v>83</v>
      </c>
      <c r="L715" s="4" t="s">
        <v>9460</v>
      </c>
      <c r="M715" s="4" t="s">
        <v>29</v>
      </c>
      <c r="N715" s="4" t="s">
        <v>4067</v>
      </c>
      <c r="O715" s="4" t="str">
        <f>IFERROR(__XLUDF.DUMMYFUNCTION("VLOOKUP(M713,IMPORTRANGE(""https://docs.google.com/spreadsheets/d/1opm6ZNvGZ7KditA9TuJwrZ25eFLfTNIkrNnY6mhV5Eg"",""list!A1:C115""),3,TRUE)"),"le secteur du conseil en management")</f>
        <v xml:space="preserve">le secteur du conseil en management</v>
      </c>
      <c r="P715" s="4" t="s">
        <v>11696</v>
      </c>
      <c r="R715" s="4" t="s">
        <v>39</v>
      </c>
      <c r="S715" s="4" t="s">
        <v>9160</v>
      </c>
      <c r="T715" s="4" t="s">
        <v>29</v>
      </c>
      <c r="U715" s="5" t="s">
        <v>11697</v>
      </c>
      <c r="V715" s="6"/>
      <c r="W715" s="6"/>
      <c r="X715" s="6"/>
      <c r="Y715" s="6"/>
      <c r="Z715" s="4" t="s">
        <v>11698</v>
      </c>
      <c r="AA715" s="6"/>
      <c r="AB715" s="5" t="s">
        <v>16262</v>
      </c>
    </row>
    <row r="716" ht="14.25">
      <c r="A716" s="4" t="s">
        <v>16264</v>
      </c>
      <c r="B716" s="4" t="s">
        <v>622</v>
      </c>
      <c r="C716" s="4" t="s">
        <v>9849</v>
      </c>
      <c r="F716" s="4" t="s">
        <v>16265</v>
      </c>
      <c r="G716" s="4">
        <v>14</v>
      </c>
      <c r="H716" s="4" t="s">
        <v>9327</v>
      </c>
      <c r="I716" s="4" t="str">
        <f>IFERROR(__XLUDF.DUMMYFUNCTION("PROPER(REGEXREPLACE(G714,""[^A-Za-z]+ "",""""))"),"Healabs")</f>
        <v>Healabs</v>
      </c>
      <c r="J716" s="5" t="s">
        <v>9328</v>
      </c>
      <c r="K716" s="4" t="s">
        <v>185</v>
      </c>
      <c r="L716" s="4" t="s">
        <v>9193</v>
      </c>
      <c r="M716" s="4" t="s">
        <v>29</v>
      </c>
      <c r="N716" s="4" t="s">
        <v>2602</v>
      </c>
      <c r="O716" s="4" t="str">
        <f>IFERROR(__XLUDF.DUMMYFUNCTION("VLOOKUP(M714,IMPORTRANGE(""https://docs.google.com/spreadsheets/d/1opm6ZNvGZ7KditA9TuJwrZ25eFLfTNIkrNnY6mhV5Eg"",""list!A1:C115""),3,TRUE)"),"le secteur de la tech")</f>
        <v xml:space="preserve">le secteur de la tech</v>
      </c>
      <c r="P716" s="4" t="s">
        <v>9329</v>
      </c>
      <c r="R716" s="4" t="s">
        <v>9330</v>
      </c>
      <c r="S716" s="4" t="s">
        <v>9193</v>
      </c>
      <c r="T716" s="4" t="s">
        <v>29</v>
      </c>
      <c r="U716" s="5" t="s">
        <v>9331</v>
      </c>
      <c r="V716" s="6"/>
      <c r="W716" s="6"/>
      <c r="X716" s="6"/>
      <c r="Y716" s="6"/>
      <c r="Z716" s="4" t="s">
        <v>9332</v>
      </c>
      <c r="AA716" s="6"/>
      <c r="AB716" s="5" t="s">
        <v>16266</v>
      </c>
    </row>
    <row r="717" ht="14.25">
      <c r="A717" s="4" t="s">
        <v>16268</v>
      </c>
      <c r="B717" s="4" t="s">
        <v>6744</v>
      </c>
      <c r="C717" s="4" t="s">
        <v>2645</v>
      </c>
      <c r="F717" s="4" t="s">
        <v>16269</v>
      </c>
      <c r="G717" s="4">
        <v>15</v>
      </c>
      <c r="H717" s="4" t="s">
        <v>16270</v>
      </c>
      <c r="I717" s="4" t="str">
        <f>IFERROR(__XLUDF.DUMMYFUNCTION("PROPER(REGEXREPLACE(G715,""[^A-Za-z]+ "",""""))"),"Ad And Cofrance")</f>
        <v xml:space="preserve">Ad And Cofrance</v>
      </c>
      <c r="J717" s="5" t="s">
        <v>16271</v>
      </c>
      <c r="K717" s="4" t="s">
        <v>83</v>
      </c>
      <c r="L717" s="4" t="s">
        <v>9460</v>
      </c>
      <c r="M717" s="4" t="s">
        <v>29</v>
      </c>
      <c r="N717" s="4" t="s">
        <v>4067</v>
      </c>
      <c r="O717" s="4" t="str">
        <f>IFERROR(__XLUDF.DUMMYFUNCTION("VLOOKUP(M715,IMPORTRANGE(""https://docs.google.com/spreadsheets/d/1opm6ZNvGZ7KditA9TuJwrZ25eFLfTNIkrNnY6mhV5Eg"",""list!A1:C115""),3,TRUE)"),"le secteur du conseil en management")</f>
        <v xml:space="preserve">le secteur du conseil en management</v>
      </c>
      <c r="P717" s="4" t="s">
        <v>16272</v>
      </c>
      <c r="R717" s="4" t="s">
        <v>12445</v>
      </c>
      <c r="S717" s="4" t="s">
        <v>9463</v>
      </c>
      <c r="T717" s="4" t="s">
        <v>29</v>
      </c>
      <c r="U717" s="5" t="s">
        <v>16273</v>
      </c>
      <c r="V717" s="5" t="s">
        <v>16274</v>
      </c>
      <c r="W717" s="5" t="s">
        <v>16275</v>
      </c>
      <c r="X717" s="6"/>
      <c r="Y717" s="6"/>
      <c r="Z717" s="4" t="s">
        <v>16276</v>
      </c>
      <c r="AA717" s="6"/>
      <c r="AB717" s="5" t="s">
        <v>16277</v>
      </c>
    </row>
    <row r="718" ht="14.25">
      <c r="A718" s="4" t="s">
        <v>279</v>
      </c>
      <c r="B718" s="4" t="s">
        <v>1704</v>
      </c>
      <c r="C718" s="4" t="s">
        <v>468</v>
      </c>
      <c r="F718" s="4" t="s">
        <v>16279</v>
      </c>
      <c r="G718" s="4">
        <v>26</v>
      </c>
      <c r="H718" s="4" t="s">
        <v>16280</v>
      </c>
      <c r="I718" s="4" t="str">
        <f>IFERROR(__XLUDF.DUMMYFUNCTION("PROPER(REGEXREPLACE(G716,""[^A-Za-z]+ "",""""))"),"Novéha")</f>
        <v>Novéha</v>
      </c>
      <c r="J718" s="5" t="s">
        <v>16281</v>
      </c>
      <c r="K718" s="4" t="s">
        <v>1711</v>
      </c>
      <c r="L718" s="4" t="s">
        <v>9350</v>
      </c>
      <c r="M718" s="4" t="s">
        <v>29</v>
      </c>
      <c r="N718" s="4" t="s">
        <v>4067</v>
      </c>
      <c r="O718" s="4" t="str">
        <f>IFERROR(__XLUDF.DUMMYFUNCTION("VLOOKUP(M716,IMPORTRANGE(""https://docs.google.com/spreadsheets/d/1opm6ZNvGZ7KditA9TuJwrZ25eFLfTNIkrNnY6mhV5Eg"",""list!A1:C115""),3,TRUE)"),"le secteur du conseil en management")</f>
        <v xml:space="preserve">le secteur du conseil en management</v>
      </c>
      <c r="P718" s="4" t="s">
        <v>16282</v>
      </c>
      <c r="R718" s="4" t="s">
        <v>16283</v>
      </c>
      <c r="S718" s="4" t="s">
        <v>9350</v>
      </c>
      <c r="T718" s="4" t="s">
        <v>29</v>
      </c>
      <c r="U718" s="5" t="s">
        <v>16284</v>
      </c>
      <c r="V718" s="6"/>
      <c r="W718" s="6"/>
      <c r="X718" s="6"/>
      <c r="Y718" s="6"/>
      <c r="Z718" s="4" t="s">
        <v>16285</v>
      </c>
      <c r="AA718" s="6"/>
      <c r="AB718" s="5" t="s">
        <v>16286</v>
      </c>
    </row>
    <row r="719" ht="14.25">
      <c r="A719" s="4" t="s">
        <v>16288</v>
      </c>
      <c r="B719" s="4" t="s">
        <v>322</v>
      </c>
      <c r="C719" s="4" t="s">
        <v>112</v>
      </c>
      <c r="F719" s="4" t="s">
        <v>16289</v>
      </c>
      <c r="G719" s="4">
        <v>22</v>
      </c>
      <c r="H719" s="4" t="s">
        <v>16290</v>
      </c>
      <c r="I719" s="4" t="str">
        <f>IFERROR(__XLUDF.DUMMYFUNCTION("PROPER(REGEXREPLACE(G717,""[^A-Za-z]+ "",""""))"),"Le Store Parisien")</f>
        <v xml:space="preserve">Le Store Parisien</v>
      </c>
      <c r="J719" s="5" t="s">
        <v>16291</v>
      </c>
      <c r="K719" s="4" t="s">
        <v>39</v>
      </c>
      <c r="L719" s="4" t="s">
        <v>9160</v>
      </c>
      <c r="M719" s="4" t="s">
        <v>29</v>
      </c>
      <c r="N719" s="4" t="s">
        <v>4525</v>
      </c>
      <c r="O719" s="4" t="str">
        <f>IFERROR(__XLUDF.DUMMYFUNCTION("VLOOKUP(M717,IMPORTRANGE(""https://docs.google.com/spreadsheets/d/1opm6ZNvGZ7KditA9TuJwrZ25eFLfTNIkrNnY6mhV5Eg"",""list!A1:C115""),3,TRUE)"),"le secteur du retail")</f>
        <v xml:space="preserve">le secteur du retail</v>
      </c>
      <c r="P719" s="4" t="s">
        <v>16292</v>
      </c>
      <c r="R719" s="4" t="s">
        <v>39</v>
      </c>
      <c r="S719" s="4" t="s">
        <v>9160</v>
      </c>
      <c r="T719" s="4" t="s">
        <v>29</v>
      </c>
      <c r="U719" s="5" t="s">
        <v>16293</v>
      </c>
      <c r="V719" s="6"/>
      <c r="W719" s="5" t="s">
        <v>9981</v>
      </c>
      <c r="X719" s="6"/>
      <c r="Y719" s="6"/>
      <c r="Z719" s="4" t="s">
        <v>16294</v>
      </c>
      <c r="AA719" s="6"/>
      <c r="AB719" s="5" t="s">
        <v>16295</v>
      </c>
    </row>
    <row r="720" ht="14.25">
      <c r="A720" s="4" t="s">
        <v>16298</v>
      </c>
      <c r="B720" s="4" t="s">
        <v>16297</v>
      </c>
      <c r="C720" s="4" t="s">
        <v>112</v>
      </c>
      <c r="F720" s="4" t="s">
        <v>16299</v>
      </c>
      <c r="G720" s="4">
        <v>10</v>
      </c>
      <c r="H720" s="4" t="s">
        <v>16300</v>
      </c>
      <c r="I720" s="4" t="str">
        <f>IFERROR(__XLUDF.DUMMYFUNCTION("PROPER(REGEXREPLACE(G718,""[^A-Za-z]+ "",""""))"),"Action Btp Travaux Publics")</f>
        <v xml:space="preserve">Action Btp Travaux Publics</v>
      </c>
      <c r="J720" s="5" t="s">
        <v>16301</v>
      </c>
      <c r="K720" s="4" t="s">
        <v>16302</v>
      </c>
      <c r="L720" s="4" t="s">
        <v>9160</v>
      </c>
      <c r="M720" s="4" t="s">
        <v>29</v>
      </c>
      <c r="N720" s="4" t="s">
        <v>9239</v>
      </c>
      <c r="O720" s="4" t="str">
        <f>IFERROR(__XLUDF.DUMMYFUNCTION("VLOOKUP(M718,IMPORTRANGE(""https://docs.google.com/spreadsheets/d/1opm6ZNvGZ7KditA9TuJwrZ25eFLfTNIkrNnY6mhV5Eg"",""list!A1:C115""),3,TRUE)"),"le secteur de la construction")</f>
        <v xml:space="preserve">le secteur de la construction</v>
      </c>
      <c r="P720" s="4" t="s">
        <v>16303</v>
      </c>
      <c r="R720" s="4" t="s">
        <v>16302</v>
      </c>
      <c r="S720" s="4" t="s">
        <v>9160</v>
      </c>
      <c r="T720" s="4" t="s">
        <v>29</v>
      </c>
      <c r="U720" s="5" t="s">
        <v>16304</v>
      </c>
      <c r="V720" s="6"/>
      <c r="W720" s="6"/>
      <c r="X720" s="6"/>
      <c r="Y720" s="6"/>
      <c r="Z720" s="4" t="s">
        <v>16305</v>
      </c>
      <c r="AA720" s="6"/>
      <c r="AB720" s="5" t="s">
        <v>16306</v>
      </c>
    </row>
    <row r="721" ht="14.25">
      <c r="A721" s="4" t="s">
        <v>16308</v>
      </c>
      <c r="B721" s="4" t="s">
        <v>8524</v>
      </c>
      <c r="C721" s="4" t="s">
        <v>7759</v>
      </c>
      <c r="F721" s="4" t="s">
        <v>16309</v>
      </c>
      <c r="G721" s="4">
        <v>29</v>
      </c>
      <c r="H721" s="4" t="s">
        <v>16310</v>
      </c>
      <c r="I721" s="4" t="str">
        <f>IFERROR(__XLUDF.DUMMYFUNCTION("PROPER(REGEXREPLACE(G719,""[^A-Za-z]+ "",""""))"),"Sti Bureautique")</f>
        <v xml:space="preserve">Sti Bureautique</v>
      </c>
      <c r="J721" s="5" t="s">
        <v>16311</v>
      </c>
      <c r="K721" s="4" t="s">
        <v>16312</v>
      </c>
      <c r="L721" s="4" t="s">
        <v>9215</v>
      </c>
      <c r="M721" s="4" t="s">
        <v>29</v>
      </c>
      <c r="N721" s="4" t="s">
        <v>2602</v>
      </c>
      <c r="O721" s="4" t="str">
        <f>IFERROR(__XLUDF.DUMMYFUNCTION("VLOOKUP(M719,IMPORTRANGE(""https://docs.google.com/spreadsheets/d/1opm6ZNvGZ7KditA9TuJwrZ25eFLfTNIkrNnY6mhV5Eg"",""list!A1:C115""),3,TRUE)"),"le secteur de la tech")</f>
        <v xml:space="preserve">le secteur de la tech</v>
      </c>
      <c r="P721" s="4" t="s">
        <v>16313</v>
      </c>
      <c r="R721" s="4" t="s">
        <v>16314</v>
      </c>
      <c r="S721" s="4" t="s">
        <v>9215</v>
      </c>
      <c r="T721" s="4" t="s">
        <v>29</v>
      </c>
      <c r="U721" s="5" t="s">
        <v>16315</v>
      </c>
      <c r="V721" s="6"/>
      <c r="W721" s="6"/>
      <c r="X721" s="6"/>
      <c r="Y721" s="6"/>
      <c r="Z721" s="4" t="s">
        <v>16316</v>
      </c>
      <c r="AA721" s="6"/>
      <c r="AB721" s="5" t="s">
        <v>16317</v>
      </c>
    </row>
    <row r="722" ht="14.25">
      <c r="A722" s="4" t="s">
        <v>16319</v>
      </c>
      <c r="B722" s="4" t="s">
        <v>16196</v>
      </c>
      <c r="C722" s="4" t="s">
        <v>1130</v>
      </c>
      <c r="F722" s="4" t="s">
        <v>16320</v>
      </c>
      <c r="G722" s="4">
        <v>23</v>
      </c>
      <c r="H722" s="4" t="s">
        <v>16321</v>
      </c>
      <c r="I722" s="4" t="str">
        <f>IFERROR(__XLUDF.DUMMYFUNCTION("PROPER(REGEXREPLACE(G720,""[^A-Za-z]+ "",""""))"),"Procal")</f>
        <v>Procal</v>
      </c>
      <c r="J722" s="5" t="s">
        <v>16322</v>
      </c>
      <c r="K722" s="4" t="s">
        <v>651</v>
      </c>
      <c r="L722" s="4" t="s">
        <v>9215</v>
      </c>
      <c r="M722" s="4" t="s">
        <v>29</v>
      </c>
      <c r="N722" s="4" t="s">
        <v>2602</v>
      </c>
      <c r="O722" s="4" t="str">
        <f>IFERROR(__XLUDF.DUMMYFUNCTION("VLOOKUP(M720,IMPORTRANGE(""https://docs.google.com/spreadsheets/d/1opm6ZNvGZ7KditA9TuJwrZ25eFLfTNIkrNnY6mhV5Eg"",""list!A1:C115""),3,TRUE)"),"le secteur de la tech")</f>
        <v xml:space="preserve">le secteur de la tech</v>
      </c>
      <c r="P722" s="4" t="s">
        <v>16323</v>
      </c>
      <c r="R722" s="4" t="s">
        <v>16324</v>
      </c>
      <c r="S722" s="4" t="s">
        <v>9215</v>
      </c>
      <c r="T722" s="4" t="s">
        <v>29</v>
      </c>
      <c r="U722" s="5" t="s">
        <v>16325</v>
      </c>
      <c r="V722" s="6"/>
      <c r="W722" s="6"/>
      <c r="X722" s="6"/>
      <c r="Y722" s="6"/>
      <c r="Z722" s="4" t="s">
        <v>16326</v>
      </c>
      <c r="AA722" s="6"/>
      <c r="AB722" s="5" t="s">
        <v>16327</v>
      </c>
    </row>
    <row r="723" ht="14.25">
      <c r="A723" s="4" t="s">
        <v>16330</v>
      </c>
      <c r="B723" s="4" t="s">
        <v>16329</v>
      </c>
      <c r="C723" s="4" t="s">
        <v>13589</v>
      </c>
      <c r="F723" s="4" t="s">
        <v>16331</v>
      </c>
      <c r="G723" s="4">
        <v>14</v>
      </c>
      <c r="H723" s="4" t="s">
        <v>16332</v>
      </c>
      <c r="I723" s="4" t="str">
        <f>IFERROR(__XLUDF.DUMMYFUNCTION("PROPER(REGEXREPLACE(G721,""[^A-Za-z]+ "",""""))"),"Rocapine")</f>
        <v>Rocapine</v>
      </c>
      <c r="J723" s="5" t="s">
        <v>16333</v>
      </c>
      <c r="K723" s="4" t="s">
        <v>39</v>
      </c>
      <c r="L723" s="4" t="s">
        <v>9160</v>
      </c>
      <c r="M723" s="4" t="s">
        <v>29</v>
      </c>
      <c r="N723" s="4" t="s">
        <v>2602</v>
      </c>
      <c r="O723" s="4" t="str">
        <f>IFERROR(__XLUDF.DUMMYFUNCTION("VLOOKUP(M721,IMPORTRANGE(""https://docs.google.com/spreadsheets/d/1opm6ZNvGZ7KditA9TuJwrZ25eFLfTNIkrNnY6mhV5Eg"",""list!A1:C115""),3,TRUE)"),"le secteur de la tech")</f>
        <v xml:space="preserve">le secteur de la tech</v>
      </c>
      <c r="P723" s="6"/>
      <c r="R723" s="6"/>
      <c r="S723" s="6"/>
      <c r="T723" s="6"/>
      <c r="U723" s="5" t="s">
        <v>16334</v>
      </c>
      <c r="V723" s="6"/>
      <c r="W723" s="6"/>
      <c r="X723" s="6"/>
      <c r="Y723" s="6"/>
      <c r="Z723" s="4" t="s">
        <v>16335</v>
      </c>
      <c r="AA723" s="6"/>
      <c r="AB723" s="5" t="s">
        <v>16336</v>
      </c>
    </row>
    <row r="724" ht="14.25">
      <c r="A724" s="4" t="s">
        <v>6318</v>
      </c>
      <c r="B724" s="4" t="s">
        <v>1704</v>
      </c>
      <c r="C724" s="4" t="s">
        <v>7759</v>
      </c>
      <c r="F724" s="4" t="s">
        <v>16338</v>
      </c>
      <c r="G724" s="4">
        <v>21</v>
      </c>
      <c r="H724" s="4" t="s">
        <v>16339</v>
      </c>
      <c r="I724" s="4" t="str">
        <f>IFERROR(__XLUDF.DUMMYFUNCTION("PROPER(REGEXREPLACE(G722,""[^A-Za-z]+ "",""""))"),"Concessions Mouton")</f>
        <v xml:space="preserve">Concessions Mouton</v>
      </c>
      <c r="J724" s="5" t="s">
        <v>16340</v>
      </c>
      <c r="K724" s="4" t="s">
        <v>16341</v>
      </c>
      <c r="L724" s="4" t="s">
        <v>9227</v>
      </c>
      <c r="M724" s="4" t="s">
        <v>29</v>
      </c>
      <c r="N724" s="4" t="s">
        <v>4525</v>
      </c>
      <c r="O724" s="4" t="str">
        <f>IFERROR(__XLUDF.DUMMYFUNCTION("VLOOKUP(M722,IMPORTRANGE(""https://docs.google.com/spreadsheets/d/1opm6ZNvGZ7KditA9TuJwrZ25eFLfTNIkrNnY6mhV5Eg"",""list!A1:C115""),3,TRUE)"),"le secteur du retail")</f>
        <v xml:space="preserve">le secteur du retail</v>
      </c>
      <c r="P724" s="4" t="s">
        <v>16342</v>
      </c>
      <c r="R724" s="4" t="s">
        <v>16341</v>
      </c>
      <c r="S724" s="4" t="s">
        <v>9227</v>
      </c>
      <c r="T724" s="4" t="s">
        <v>29</v>
      </c>
      <c r="U724" s="5" t="s">
        <v>16343</v>
      </c>
      <c r="V724" s="6"/>
      <c r="W724" s="5" t="s">
        <v>16344</v>
      </c>
      <c r="X724" s="6"/>
      <c r="Y724" s="6"/>
      <c r="Z724" s="4" t="s">
        <v>16345</v>
      </c>
      <c r="AA724" s="6"/>
      <c r="AB724" s="5" t="s">
        <v>16346</v>
      </c>
    </row>
    <row r="725" ht="14.25">
      <c r="A725" s="4" t="s">
        <v>16348</v>
      </c>
      <c r="B725" s="4" t="s">
        <v>1704</v>
      </c>
      <c r="C725" s="4" t="s">
        <v>9456</v>
      </c>
      <c r="F725" s="4" t="s">
        <v>16349</v>
      </c>
      <c r="G725" s="4">
        <v>28</v>
      </c>
      <c r="H725" s="4" t="s">
        <v>16350</v>
      </c>
      <c r="I725" s="4" t="str">
        <f>IFERROR(__XLUDF.DUMMYFUNCTION("PROPER(REGEXREPLACE(G723,""[^A-Za-z]+ "",""""))"),"French Custom-Made Staircases Manufacturer")</f>
        <v xml:space="preserve">French Custom-Made Staircases Manufacturer</v>
      </c>
      <c r="J725" s="5" t="s">
        <v>16351</v>
      </c>
      <c r="K725" s="4" t="s">
        <v>15292</v>
      </c>
      <c r="L725" s="4" t="s">
        <v>10736</v>
      </c>
      <c r="M725" s="4" t="s">
        <v>29</v>
      </c>
      <c r="N725" s="4" t="s">
        <v>4525</v>
      </c>
      <c r="O725" s="4" t="str">
        <f>IFERROR(__XLUDF.DUMMYFUNCTION("VLOOKUP(M723,IMPORTRANGE(""https://docs.google.com/spreadsheets/d/1opm6ZNvGZ7KditA9TuJwrZ25eFLfTNIkrNnY6mhV5Eg"",""list!A1:C115""),3,TRUE)"),"le secteur du retail")</f>
        <v xml:space="preserve">le secteur du retail</v>
      </c>
      <c r="P725" s="4" t="s">
        <v>16352</v>
      </c>
      <c r="R725" s="4" t="s">
        <v>16353</v>
      </c>
      <c r="S725" s="4" t="s">
        <v>9798</v>
      </c>
      <c r="T725" s="4" t="s">
        <v>29</v>
      </c>
      <c r="U725" s="5" t="s">
        <v>16354</v>
      </c>
      <c r="V725" s="5" t="s">
        <v>16355</v>
      </c>
      <c r="W725" s="5" t="s">
        <v>16356</v>
      </c>
      <c r="X725" s="6"/>
      <c r="Y725" s="6"/>
      <c r="Z725" s="4" t="s">
        <v>16357</v>
      </c>
      <c r="AA725" s="6"/>
      <c r="AB725" s="5" t="s">
        <v>16358</v>
      </c>
    </row>
    <row r="726" ht="14.25">
      <c r="A726" s="4" t="s">
        <v>16360</v>
      </c>
      <c r="B726" s="4" t="s">
        <v>1704</v>
      </c>
      <c r="C726" s="4" t="s">
        <v>16362</v>
      </c>
      <c r="F726" s="4" t="s">
        <v>16361</v>
      </c>
      <c r="G726" s="4">
        <v>17</v>
      </c>
      <c r="H726" s="4" t="s">
        <v>16363</v>
      </c>
      <c r="I726" s="4" t="str">
        <f>IFERROR(__XLUDF.DUMMYFUNCTION("PROPER(REGEXREPLACE(G724,""[^A-Za-z]+ "",""""))"),"Wemet")</f>
        <v>Wemet</v>
      </c>
      <c r="J726" s="5" t="s">
        <v>16364</v>
      </c>
      <c r="K726" s="4" t="s">
        <v>83</v>
      </c>
      <c r="L726" s="4" t="s">
        <v>9460</v>
      </c>
      <c r="M726" s="4" t="s">
        <v>29</v>
      </c>
      <c r="N726" s="4" t="s">
        <v>4525</v>
      </c>
      <c r="O726" s="4" t="str">
        <f>IFERROR(__XLUDF.DUMMYFUNCTION("VLOOKUP(M724,IMPORTRANGE(""https://docs.google.com/spreadsheets/d/1opm6ZNvGZ7KditA9TuJwrZ25eFLfTNIkrNnY6mhV5Eg"",""list!A1:C115""),3,TRUE)"),"le secteur du retail")</f>
        <v xml:space="preserve">le secteur du retail</v>
      </c>
      <c r="P726" s="4" t="s">
        <v>16365</v>
      </c>
      <c r="R726" s="4" t="s">
        <v>83</v>
      </c>
      <c r="S726" s="4" t="s">
        <v>9460</v>
      </c>
      <c r="T726" s="4" t="s">
        <v>29</v>
      </c>
      <c r="U726" s="5" t="s">
        <v>16366</v>
      </c>
      <c r="V726" s="5" t="s">
        <v>16367</v>
      </c>
      <c r="W726" s="5" t="s">
        <v>16368</v>
      </c>
      <c r="X726" s="6"/>
      <c r="Y726" s="6"/>
      <c r="Z726" s="4" t="s">
        <v>16369</v>
      </c>
      <c r="AA726" s="6"/>
      <c r="AB726" s="5" t="s">
        <v>16370</v>
      </c>
    </row>
    <row r="727" ht="14.25">
      <c r="A727" s="4" t="s">
        <v>963</v>
      </c>
      <c r="B727" s="4" t="s">
        <v>5907</v>
      </c>
      <c r="C727" s="4" t="s">
        <v>16373</v>
      </c>
      <c r="F727" s="4" t="s">
        <v>16372</v>
      </c>
      <c r="G727" s="4">
        <v>16</v>
      </c>
      <c r="H727" s="4" t="s">
        <v>16374</v>
      </c>
      <c r="I727" s="4" t="str">
        <f>IFERROR(__XLUDF.DUMMYFUNCTION("PROPER(REGEXREPLACE(G725,""[^A-Za-z]+ "",""""))"),"Datachainby Adobis Group")</f>
        <v xml:space="preserve">Datachainby Adobis Group</v>
      </c>
      <c r="J727" s="5" t="s">
        <v>16375</v>
      </c>
      <c r="K727" s="4" t="s">
        <v>1507</v>
      </c>
      <c r="L727" s="4" t="s">
        <v>9193</v>
      </c>
      <c r="M727" s="4" t="s">
        <v>29</v>
      </c>
      <c r="N727" s="4" t="s">
        <v>2602</v>
      </c>
      <c r="O727" s="4" t="str">
        <f>IFERROR(__XLUDF.DUMMYFUNCTION("VLOOKUP(M725,IMPORTRANGE(""https://docs.google.com/spreadsheets/d/1opm6ZNvGZ7KditA9TuJwrZ25eFLfTNIkrNnY6mhV5Eg"",""list!A1:C115""),3,TRUE)"),"le secteur de la tech")</f>
        <v xml:space="preserve">le secteur de la tech</v>
      </c>
      <c r="P727" s="4" t="s">
        <v>16376</v>
      </c>
      <c r="R727" s="4" t="s">
        <v>16377</v>
      </c>
      <c r="S727" s="4" t="s">
        <v>9193</v>
      </c>
      <c r="T727" s="4" t="s">
        <v>29</v>
      </c>
      <c r="U727" s="5" t="s">
        <v>16378</v>
      </c>
      <c r="V727" s="5" t="s">
        <v>16379</v>
      </c>
      <c r="W727" s="6"/>
      <c r="X727" s="6"/>
      <c r="Y727" s="6"/>
      <c r="Z727" s="4" t="s">
        <v>16380</v>
      </c>
      <c r="AA727" s="6"/>
      <c r="AB727" s="5" t="s">
        <v>16381</v>
      </c>
    </row>
    <row r="728" ht="14.25">
      <c r="A728" s="4" t="s">
        <v>16383</v>
      </c>
      <c r="B728" s="4" t="s">
        <v>7914</v>
      </c>
      <c r="C728" s="4" t="s">
        <v>16385</v>
      </c>
      <c r="F728" s="4" t="s">
        <v>16384</v>
      </c>
      <c r="G728" s="4">
        <v>27</v>
      </c>
      <c r="H728" s="4" t="s">
        <v>13150</v>
      </c>
      <c r="I728" s="4" t="str">
        <f>IFERROR(__XLUDF.DUMMYFUNCTION("PROPER(REGEXREPLACE(G726,""[^A-Za-z]+ "",""""))"),"Expert Activ Spécialiste En Développement Commercial")</f>
        <v xml:space="preserve">Expert Activ Spécialiste En Développement Commercial</v>
      </c>
      <c r="J728" s="5" t="s">
        <v>13151</v>
      </c>
      <c r="K728" s="4" t="s">
        <v>16386</v>
      </c>
      <c r="L728" s="4" t="s">
        <v>9864</v>
      </c>
      <c r="M728" s="4" t="s">
        <v>29</v>
      </c>
      <c r="N728" s="4" t="s">
        <v>4067</v>
      </c>
      <c r="O728" s="4" t="str">
        <f>IFERROR(__XLUDF.DUMMYFUNCTION("VLOOKUP(M726,IMPORTRANGE(""https://docs.google.com/spreadsheets/d/1opm6ZNvGZ7KditA9TuJwrZ25eFLfTNIkrNnY6mhV5Eg"",""list!A1:C115""),3,TRUE)"),"le secteur du conseil en management")</f>
        <v xml:space="preserve">le secteur du conseil en management</v>
      </c>
      <c r="P728" s="4" t="s">
        <v>13152</v>
      </c>
      <c r="R728" s="4" t="s">
        <v>39</v>
      </c>
      <c r="S728" s="4" t="s">
        <v>9160</v>
      </c>
      <c r="T728" s="4" t="s">
        <v>29</v>
      </c>
      <c r="U728" s="5" t="s">
        <v>13153</v>
      </c>
      <c r="V728" s="5" t="s">
        <v>13154</v>
      </c>
      <c r="W728" s="5" t="s">
        <v>13155</v>
      </c>
      <c r="X728" s="6"/>
      <c r="Y728" s="6"/>
      <c r="Z728" s="4" t="s">
        <v>13156</v>
      </c>
      <c r="AA728" s="6"/>
      <c r="AB728" s="5" t="s">
        <v>16387</v>
      </c>
    </row>
    <row r="729" ht="14.25">
      <c r="A729" s="4" t="s">
        <v>16389</v>
      </c>
      <c r="B729" s="4" t="s">
        <v>7914</v>
      </c>
      <c r="C729" s="4" t="s">
        <v>16391</v>
      </c>
      <c r="F729" s="4" t="s">
        <v>16390</v>
      </c>
      <c r="G729" s="4">
        <v>21</v>
      </c>
      <c r="H729" s="4" t="s">
        <v>10464</v>
      </c>
      <c r="I729" s="4" t="str">
        <f>IFERROR(__XLUDF.DUMMYFUNCTION("PROPER(REGEXREPLACE(G727,""[^A-Za-z]+ "",""""))"),"Metamorphose Groupe")</f>
        <v xml:space="preserve">Metamorphose Groupe</v>
      </c>
      <c r="J729" s="5" t="s">
        <v>10465</v>
      </c>
      <c r="K729" s="6"/>
      <c r="L729" s="6"/>
      <c r="M729" s="4" t="s">
        <v>29</v>
      </c>
      <c r="N729" s="4" t="s">
        <v>4067</v>
      </c>
      <c r="O729" s="4" t="str">
        <f>IFERROR(__XLUDF.DUMMYFUNCTION("VLOOKUP(M727,IMPORTRANGE(""https://docs.google.com/spreadsheets/d/1opm6ZNvGZ7KditA9TuJwrZ25eFLfTNIkrNnY6mhV5Eg"",""list!A1:C115""),3,TRUE)"),"le secteur du conseil en management")</f>
        <v xml:space="preserve">le secteur du conseil en management</v>
      </c>
      <c r="P729" s="4" t="s">
        <v>10466</v>
      </c>
      <c r="R729" s="4" t="s">
        <v>39</v>
      </c>
      <c r="S729" s="4" t="s">
        <v>9160</v>
      </c>
      <c r="T729" s="4" t="s">
        <v>29</v>
      </c>
      <c r="U729" s="5" t="s">
        <v>10467</v>
      </c>
      <c r="V729" s="6"/>
      <c r="W729" s="6"/>
      <c r="X729" s="6"/>
      <c r="Y729" s="6"/>
      <c r="Z729" s="4" t="s">
        <v>5069</v>
      </c>
      <c r="AA729" s="6"/>
      <c r="AB729" s="5" t="s">
        <v>16392</v>
      </c>
    </row>
    <row r="730" ht="14.25">
      <c r="A730" s="4" t="s">
        <v>16394</v>
      </c>
      <c r="B730" s="4" t="s">
        <v>7914</v>
      </c>
      <c r="C730" s="4" t="s">
        <v>9582</v>
      </c>
      <c r="F730" s="4" t="s">
        <v>16395</v>
      </c>
      <c r="G730" s="4">
        <v>32</v>
      </c>
      <c r="H730" s="4" t="s">
        <v>16396</v>
      </c>
      <c r="I730" s="4" t="str">
        <f>IFERROR(__XLUDF.DUMMYFUNCTION("PROPER(REGEXREPLACE(G728,""[^A-Za-z]+ "",""""))"),"Ipset")</f>
        <v>Ipset</v>
      </c>
      <c r="J730" s="5" t="s">
        <v>16397</v>
      </c>
      <c r="K730" s="4" t="s">
        <v>16398</v>
      </c>
      <c r="L730" s="4" t="s">
        <v>9193</v>
      </c>
      <c r="M730" s="4" t="s">
        <v>29</v>
      </c>
      <c r="N730" s="4" t="s">
        <v>9184</v>
      </c>
      <c r="O730" s="4" t="str">
        <f>IFERROR(__XLUDF.DUMMYFUNCTION("VLOOKUP(M728,IMPORTRANGE(""https://docs.google.com/spreadsheets/d/1opm6ZNvGZ7KditA9TuJwrZ25eFLfTNIkrNnY6mhV5Eg"",""list!A1:C115""),3,TRUE)"),"le secteur des télécommunications")</f>
        <v xml:space="preserve">le secteur des télécommunications</v>
      </c>
      <c r="P730" s="4" t="s">
        <v>16399</v>
      </c>
      <c r="R730" s="4" t="s">
        <v>16398</v>
      </c>
      <c r="S730" s="4" t="s">
        <v>9193</v>
      </c>
      <c r="T730" s="4" t="s">
        <v>29</v>
      </c>
      <c r="U730" s="5" t="s">
        <v>16400</v>
      </c>
      <c r="V730" s="6"/>
      <c r="W730" s="6"/>
      <c r="X730" s="6"/>
      <c r="Y730" s="6"/>
      <c r="Z730" s="4" t="s">
        <v>16401</v>
      </c>
      <c r="AA730" s="6"/>
      <c r="AB730" s="5" t="s">
        <v>16402</v>
      </c>
    </row>
    <row r="731" ht="14.25">
      <c r="A731" s="4" t="s">
        <v>16404</v>
      </c>
      <c r="B731" s="4" t="s">
        <v>5671</v>
      </c>
      <c r="C731" s="4" t="s">
        <v>16406</v>
      </c>
      <c r="F731" s="4" t="s">
        <v>16405</v>
      </c>
      <c r="G731" s="4">
        <v>17</v>
      </c>
      <c r="H731" s="4" t="s">
        <v>16407</v>
      </c>
      <c r="I731" s="4" t="str">
        <f>IFERROR(__XLUDF.DUMMYFUNCTION("PROPER(REGEXREPLACE(G729,""[^A-Za-z]+ "",""""))"),"Forwards Advisory")</f>
        <v xml:space="preserve">Forwards Advisory</v>
      </c>
      <c r="J731" s="5" t="s">
        <v>16408</v>
      </c>
      <c r="K731" s="4" t="s">
        <v>295</v>
      </c>
      <c r="L731" s="4" t="s">
        <v>9251</v>
      </c>
      <c r="M731" s="4" t="s">
        <v>29</v>
      </c>
      <c r="N731" s="4" t="s">
        <v>4067</v>
      </c>
      <c r="O731" s="4" t="str">
        <f>IFERROR(__XLUDF.DUMMYFUNCTION("VLOOKUP(M729,IMPORTRANGE(""https://docs.google.com/spreadsheets/d/1opm6ZNvGZ7KditA9TuJwrZ25eFLfTNIkrNnY6mhV5Eg"",""list!A1:C115""),3,TRUE)"),"le secteur du conseil en management")</f>
        <v xml:space="preserve">le secteur du conseil en management</v>
      </c>
      <c r="P731" s="4" t="s">
        <v>16409</v>
      </c>
      <c r="R731" s="4" t="s">
        <v>295</v>
      </c>
      <c r="S731" s="4" t="s">
        <v>9251</v>
      </c>
      <c r="T731" s="4" t="s">
        <v>29</v>
      </c>
      <c r="U731" s="5" t="s">
        <v>16410</v>
      </c>
      <c r="V731" s="6"/>
      <c r="W731" s="6"/>
      <c r="X731" s="6"/>
      <c r="Y731" s="6"/>
      <c r="Z731" s="4" t="s">
        <v>16411</v>
      </c>
      <c r="AA731" s="6"/>
      <c r="AB731" s="5" t="s">
        <v>16412</v>
      </c>
    </row>
    <row r="732" ht="14.25">
      <c r="A732" s="4" t="s">
        <v>16414</v>
      </c>
      <c r="B732" s="4" t="s">
        <v>6356</v>
      </c>
      <c r="C732" s="4" t="s">
        <v>16416</v>
      </c>
      <c r="F732" s="4" t="s">
        <v>16415</v>
      </c>
      <c r="G732" s="4">
        <v>49</v>
      </c>
      <c r="H732" s="4" t="s">
        <v>10659</v>
      </c>
      <c r="I732" s="4" t="str">
        <f>IFERROR(__XLUDF.DUMMYFUNCTION("PROPER(REGEXREPLACE(G730,""[^A-Za-z]+ "",""""))"),"Vakom Le Sens De L'Humain")</f>
        <v xml:space="preserve">Vakom Le Sens De L'Humain</v>
      </c>
      <c r="J732" s="5" t="s">
        <v>10660</v>
      </c>
      <c r="K732" s="4" t="s">
        <v>15292</v>
      </c>
      <c r="L732" s="4" t="s">
        <v>10736</v>
      </c>
      <c r="M732" s="4" t="s">
        <v>29</v>
      </c>
      <c r="N732" s="4" t="s">
        <v>4067</v>
      </c>
      <c r="O732" s="4" t="str">
        <f>IFERROR(__XLUDF.DUMMYFUNCTION("VLOOKUP(M730,IMPORTRANGE(""https://docs.google.com/spreadsheets/d/1opm6ZNvGZ7KditA9TuJwrZ25eFLfTNIkrNnY6mhV5Eg"",""list!A1:C115""),3,TRUE)"),"le secteur du conseil en management")</f>
        <v xml:space="preserve">le secteur du conseil en management</v>
      </c>
      <c r="P732" s="4" t="s">
        <v>10662</v>
      </c>
      <c r="R732" s="4" t="s">
        <v>492</v>
      </c>
      <c r="S732" s="4" t="s">
        <v>9267</v>
      </c>
      <c r="T732" s="4" t="s">
        <v>29</v>
      </c>
      <c r="U732" s="5" t="s">
        <v>10663</v>
      </c>
      <c r="V732" s="6"/>
      <c r="W732" s="5" t="s">
        <v>10664</v>
      </c>
      <c r="X732" s="6"/>
      <c r="Y732" s="6"/>
      <c r="Z732" s="4" t="s">
        <v>10665</v>
      </c>
      <c r="AA732" s="6"/>
      <c r="AB732" s="5" t="s">
        <v>16417</v>
      </c>
    </row>
    <row r="733" ht="14.25">
      <c r="A733" s="4" t="s">
        <v>16419</v>
      </c>
      <c r="B733" s="4" t="s">
        <v>622</v>
      </c>
      <c r="C733" s="4" t="s">
        <v>1130</v>
      </c>
      <c r="F733" s="4" t="s">
        <v>16420</v>
      </c>
      <c r="G733" s="4">
        <v>17</v>
      </c>
      <c r="H733" s="4" t="s">
        <v>16421</v>
      </c>
      <c r="I733" s="4" t="str">
        <f>IFERROR(__XLUDF.DUMMYFUNCTION("PROPER(REGEXREPLACE(G731,""[^A-Za-z]+ "",""""))"),"Ipercom")</f>
        <v>Ipercom</v>
      </c>
      <c r="J733" s="5" t="s">
        <v>16422</v>
      </c>
      <c r="K733" s="4" t="s">
        <v>243</v>
      </c>
      <c r="L733" s="4" t="s">
        <v>10390</v>
      </c>
      <c r="M733" s="4" t="s">
        <v>29</v>
      </c>
      <c r="N733" s="4" t="s">
        <v>2602</v>
      </c>
      <c r="O733" s="4" t="str">
        <f>IFERROR(__XLUDF.DUMMYFUNCTION("VLOOKUP(M731,IMPORTRANGE(""https://docs.google.com/spreadsheets/d/1opm6ZNvGZ7KditA9TuJwrZ25eFLfTNIkrNnY6mhV5Eg"",""list!A1:C115""),3,TRUE)"),"le secteur de la tech")</f>
        <v xml:space="preserve">le secteur de la tech</v>
      </c>
      <c r="P733" s="4" t="s">
        <v>16423</v>
      </c>
      <c r="R733" s="4" t="s">
        <v>16424</v>
      </c>
      <c r="S733" s="4" t="s">
        <v>9864</v>
      </c>
      <c r="T733" s="4" t="s">
        <v>29</v>
      </c>
      <c r="U733" s="5" t="s">
        <v>16425</v>
      </c>
      <c r="V733" s="6"/>
      <c r="W733" s="6"/>
      <c r="X733" s="6"/>
      <c r="Y733" s="6"/>
      <c r="Z733" s="4" t="s">
        <v>16426</v>
      </c>
      <c r="AA733" s="6"/>
      <c r="AB733" s="5" t="s">
        <v>16427</v>
      </c>
    </row>
    <row r="734" ht="14.25">
      <c r="A734" s="4" t="s">
        <v>16429</v>
      </c>
      <c r="B734" s="4" t="s">
        <v>298</v>
      </c>
      <c r="C734" s="4" t="s">
        <v>16431</v>
      </c>
      <c r="F734" s="4" t="s">
        <v>16430</v>
      </c>
      <c r="G734" s="4">
        <v>49</v>
      </c>
      <c r="H734" s="4" t="s">
        <v>10659</v>
      </c>
      <c r="I734" s="4" t="str">
        <f>IFERROR(__XLUDF.DUMMYFUNCTION("PROPER(REGEXREPLACE(G732,""[^A-Za-z]+ "",""""))"),"Vakom Le Sens De L'Humain")</f>
        <v xml:space="preserve">Vakom Le Sens De L'Humain</v>
      </c>
      <c r="J734" s="5" t="s">
        <v>10660</v>
      </c>
      <c r="K734" s="4" t="s">
        <v>846</v>
      </c>
      <c r="L734" s="4" t="s">
        <v>9278</v>
      </c>
      <c r="M734" s="4" t="s">
        <v>29</v>
      </c>
      <c r="N734" s="4" t="s">
        <v>4067</v>
      </c>
      <c r="O734" s="4" t="str">
        <f>IFERROR(__XLUDF.DUMMYFUNCTION("VLOOKUP(M732,IMPORTRANGE(""https://docs.google.com/spreadsheets/d/1opm6ZNvGZ7KditA9TuJwrZ25eFLfTNIkrNnY6mhV5Eg"",""list!A1:C115""),3,TRUE)"),"le secteur du conseil en management")</f>
        <v xml:space="preserve">le secteur du conseil en management</v>
      </c>
      <c r="P734" s="4" t="s">
        <v>10662</v>
      </c>
      <c r="R734" s="4" t="s">
        <v>492</v>
      </c>
      <c r="S734" s="4" t="s">
        <v>9267</v>
      </c>
      <c r="T734" s="4" t="s">
        <v>29</v>
      </c>
      <c r="U734" s="5" t="s">
        <v>10663</v>
      </c>
      <c r="V734" s="6"/>
      <c r="W734" s="5" t="s">
        <v>10664</v>
      </c>
      <c r="X734" s="6"/>
      <c r="Y734" s="6"/>
      <c r="Z734" s="4" t="s">
        <v>10665</v>
      </c>
      <c r="AA734" s="6"/>
      <c r="AB734" s="5" t="s">
        <v>16432</v>
      </c>
    </row>
    <row r="735" ht="14.25">
      <c r="A735" s="4" t="s">
        <v>866</v>
      </c>
      <c r="B735" s="4" t="s">
        <v>322</v>
      </c>
      <c r="C735" s="4" t="s">
        <v>7759</v>
      </c>
      <c r="F735" s="4" t="s">
        <v>16434</v>
      </c>
      <c r="G735" s="4">
        <v>28</v>
      </c>
      <c r="H735" s="4" t="s">
        <v>16435</v>
      </c>
      <c r="I735" s="4" t="str">
        <f>IFERROR(__XLUDF.DUMMYFUNCTION("PROPER(REGEXREPLACE(G733,""[^A-Za-z]+ "",""""))"),"2S Computing")</f>
        <v xml:space="preserve">2S Computing</v>
      </c>
      <c r="J735" s="5" t="s">
        <v>16436</v>
      </c>
      <c r="K735" s="4" t="s">
        <v>295</v>
      </c>
      <c r="L735" s="4" t="s">
        <v>9251</v>
      </c>
      <c r="M735" s="4" t="s">
        <v>29</v>
      </c>
      <c r="N735" s="4" t="s">
        <v>2602</v>
      </c>
      <c r="O735" s="4" t="str">
        <f>IFERROR(__XLUDF.DUMMYFUNCTION("VLOOKUP(M733,IMPORTRANGE(""https://docs.google.com/spreadsheets/d/1opm6ZNvGZ7KditA9TuJwrZ25eFLfTNIkrNnY6mhV5Eg"",""list!A1:C115""),3,TRUE)"),"le secteur de la tech")</f>
        <v xml:space="preserve">le secteur de la tech</v>
      </c>
      <c r="P735" s="4" t="s">
        <v>16437</v>
      </c>
      <c r="R735" s="4" t="s">
        <v>16438</v>
      </c>
      <c r="S735" s="4" t="s">
        <v>9251</v>
      </c>
      <c r="T735" s="4" t="s">
        <v>29</v>
      </c>
      <c r="U735" s="5" t="s">
        <v>16439</v>
      </c>
      <c r="V735" s="5" t="s">
        <v>16440</v>
      </c>
      <c r="W735" s="5" t="s">
        <v>16441</v>
      </c>
      <c r="X735" s="6"/>
      <c r="Y735" s="6"/>
      <c r="Z735" s="4" t="s">
        <v>16442</v>
      </c>
      <c r="AA735" s="6"/>
      <c r="AB735" s="5" t="s">
        <v>16443</v>
      </c>
    </row>
    <row r="736" ht="14.25">
      <c r="A736" s="4" t="s">
        <v>16445</v>
      </c>
      <c r="B736" s="4" t="s">
        <v>322</v>
      </c>
      <c r="C736" s="4" t="s">
        <v>12122</v>
      </c>
      <c r="F736" s="4" t="s">
        <v>16446</v>
      </c>
      <c r="G736" s="4">
        <v>15</v>
      </c>
      <c r="H736" s="4" t="s">
        <v>16447</v>
      </c>
      <c r="I736" s="4" t="str">
        <f>IFERROR(__XLUDF.DUMMYFUNCTION("PROPER(REGEXREPLACE(G734,""[^A-Za-z]+ "",""""))"),"Pbs Construction")</f>
        <v xml:space="preserve">Pbs Construction</v>
      </c>
      <c r="J736" s="5" t="s">
        <v>16448</v>
      </c>
      <c r="K736" s="4" t="s">
        <v>4922</v>
      </c>
      <c r="L736" s="4" t="s">
        <v>9340</v>
      </c>
      <c r="M736" s="4" t="s">
        <v>29</v>
      </c>
      <c r="N736" s="4" t="s">
        <v>9239</v>
      </c>
      <c r="O736" s="4" t="str">
        <f>IFERROR(__XLUDF.DUMMYFUNCTION("VLOOKUP(M734,IMPORTRANGE(""https://docs.google.com/spreadsheets/d/1opm6ZNvGZ7KditA9TuJwrZ25eFLfTNIkrNnY6mhV5Eg"",""list!A1:C115""),3,TRUE)"),"le secteur de la construction")</f>
        <v xml:space="preserve">le secteur de la construction</v>
      </c>
      <c r="P736" s="6"/>
      <c r="R736" s="4" t="s">
        <v>4922</v>
      </c>
      <c r="S736" s="4" t="s">
        <v>9215</v>
      </c>
      <c r="T736" s="4" t="s">
        <v>29</v>
      </c>
      <c r="U736" s="5" t="s">
        <v>16449</v>
      </c>
      <c r="V736" s="6"/>
      <c r="W736" s="6"/>
      <c r="X736" s="6"/>
      <c r="Y736" s="6"/>
      <c r="Z736" s="4" t="s">
        <v>16450</v>
      </c>
      <c r="AA736" s="6"/>
      <c r="AB736" s="5" t="s">
        <v>16451</v>
      </c>
    </row>
    <row r="737" ht="14.25">
      <c r="A737" s="4" t="s">
        <v>1726</v>
      </c>
      <c r="B737" s="4" t="s">
        <v>322</v>
      </c>
      <c r="C737" s="4" t="s">
        <v>62</v>
      </c>
      <c r="F737" s="4" t="s">
        <v>16453</v>
      </c>
      <c r="G737" s="4">
        <v>14</v>
      </c>
      <c r="H737" s="4" t="s">
        <v>16454</v>
      </c>
      <c r="I737" s="4" t="str">
        <f>IFERROR(__XLUDF.DUMMYFUNCTION("PROPER(REGEXREPLACE(G735,""[^A-Za-z]+ "",""""))"),"Optera")</f>
        <v>Optera</v>
      </c>
      <c r="J737" s="5" t="s">
        <v>16455</v>
      </c>
      <c r="K737" s="4" t="s">
        <v>16456</v>
      </c>
      <c r="L737" s="4" t="s">
        <v>9864</v>
      </c>
      <c r="M737" s="4" t="s">
        <v>29</v>
      </c>
      <c r="N737" s="4" t="s">
        <v>4067</v>
      </c>
      <c r="O737" s="4" t="str">
        <f>IFERROR(__XLUDF.DUMMYFUNCTION("VLOOKUP(M735,IMPORTRANGE(""https://docs.google.com/spreadsheets/d/1opm6ZNvGZ7KditA9TuJwrZ25eFLfTNIkrNnY6mhV5Eg"",""list!A1:C115""),3,TRUE)"),"le secteur du conseil en management")</f>
        <v xml:space="preserve">le secteur du conseil en management</v>
      </c>
      <c r="P737" s="4" t="s">
        <v>16457</v>
      </c>
      <c r="R737" s="4" t="s">
        <v>16458</v>
      </c>
      <c r="S737" s="4" t="s">
        <v>10390</v>
      </c>
      <c r="T737" s="4" t="s">
        <v>29</v>
      </c>
      <c r="U737" s="5" t="s">
        <v>16459</v>
      </c>
      <c r="V737" s="6"/>
      <c r="W737" s="6"/>
      <c r="X737" s="6"/>
      <c r="Y737" s="6"/>
      <c r="Z737" s="4" t="s">
        <v>16460</v>
      </c>
      <c r="AA737" s="6"/>
      <c r="AB737" s="5" t="s">
        <v>16461</v>
      </c>
    </row>
    <row r="738" ht="14.25">
      <c r="A738" s="4" t="s">
        <v>16463</v>
      </c>
      <c r="B738" s="4" t="s">
        <v>322</v>
      </c>
      <c r="C738" s="4" t="s">
        <v>16465</v>
      </c>
      <c r="F738" s="4" t="s">
        <v>16464</v>
      </c>
      <c r="G738" s="4">
        <v>11</v>
      </c>
      <c r="H738" s="4" t="s">
        <v>16466</v>
      </c>
      <c r="I738" s="4" t="str">
        <f>IFERROR(__XLUDF.DUMMYFUNCTION("PROPER(REGEXREPLACE(G736,""[^A-Za-z]+ "",""""))"),"Cloud-Iam")</f>
        <v>Cloud-Iam</v>
      </c>
      <c r="J738" s="5" t="s">
        <v>16467</v>
      </c>
      <c r="K738" s="4" t="s">
        <v>1826</v>
      </c>
      <c r="L738" s="4" t="s">
        <v>9227</v>
      </c>
      <c r="M738" s="4" t="s">
        <v>29</v>
      </c>
      <c r="N738" s="4" t="s">
        <v>9264</v>
      </c>
      <c r="O738" s="4" t="str">
        <f>IFERROR(__XLUDF.DUMMYFUNCTION("VLOOKUP(M736,IMPORTRANGE(""https://docs.google.com/spreadsheets/d/1opm6ZNvGZ7KditA9TuJwrZ25eFLfTNIkrNnY6mhV5Eg"",""list!A1:C115""),3,TRUE)"),"le secteur de la sécurité informatique")</f>
        <v xml:space="preserve">le secteur de la sécurité informatique</v>
      </c>
      <c r="P738" s="4" t="s">
        <v>16468</v>
      </c>
      <c r="R738" s="4" t="s">
        <v>1826</v>
      </c>
      <c r="S738" s="4" t="s">
        <v>9227</v>
      </c>
      <c r="T738" s="4" t="s">
        <v>29</v>
      </c>
      <c r="U738" s="5" t="s">
        <v>16469</v>
      </c>
      <c r="V738" s="5" t="s">
        <v>16470</v>
      </c>
      <c r="W738" s="6"/>
      <c r="X738" s="6"/>
      <c r="Y738" s="6"/>
      <c r="Z738" s="4" t="s">
        <v>16471</v>
      </c>
      <c r="AA738" s="6"/>
      <c r="AB738" s="5" t="s">
        <v>16472</v>
      </c>
    </row>
    <row r="739" ht="14.25">
      <c r="A739" s="4" t="s">
        <v>16474</v>
      </c>
      <c r="B739" s="4" t="s">
        <v>322</v>
      </c>
      <c r="C739" s="4" t="s">
        <v>7759</v>
      </c>
      <c r="F739" s="4" t="s">
        <v>16475</v>
      </c>
      <c r="G739" s="4">
        <v>11</v>
      </c>
      <c r="H739" s="4" t="s">
        <v>16476</v>
      </c>
      <c r="I739" s="4" t="str">
        <f>IFERROR(__XLUDF.DUMMYFUNCTION("PROPER(REGEXREPLACE(G737,""[^A-Za-z]+ "",""""))"),"Ezio Simplifie Les Dépenses Pour Les Aidants Professionnels")</f>
        <v xml:space="preserve">Ezio Simplifie Les Dépenses Pour Les Aidants Professionnels</v>
      </c>
      <c r="J739" s="4" t="s">
        <v>16477</v>
      </c>
      <c r="K739" s="4" t="s">
        <v>4303</v>
      </c>
      <c r="L739" s="4" t="s">
        <v>9350</v>
      </c>
      <c r="M739" s="4" t="s">
        <v>29</v>
      </c>
      <c r="N739" s="4" t="s">
        <v>2602</v>
      </c>
      <c r="O739" s="4" t="str">
        <f>IFERROR(__XLUDF.DUMMYFUNCTION("VLOOKUP(M737,IMPORTRANGE(""https://docs.google.com/spreadsheets/d/1opm6ZNvGZ7KditA9TuJwrZ25eFLfTNIkrNnY6mhV5Eg"",""list!A1:C115""),3,TRUE)"),"le secteur de la tech")</f>
        <v xml:space="preserve">le secteur de la tech</v>
      </c>
      <c r="P739" s="4" t="s">
        <v>16478</v>
      </c>
      <c r="R739" s="4" t="s">
        <v>16479</v>
      </c>
      <c r="S739" s="4" t="s">
        <v>9350</v>
      </c>
      <c r="T739" s="4" t="s">
        <v>29</v>
      </c>
      <c r="U739" s="5" t="s">
        <v>16480</v>
      </c>
      <c r="V739" s="6"/>
      <c r="W739" s="5" t="s">
        <v>16481</v>
      </c>
      <c r="X739" s="6"/>
      <c r="Y739" s="6"/>
      <c r="Z739" s="4" t="s">
        <v>16482</v>
      </c>
      <c r="AA739" s="6"/>
      <c r="AB739" s="5" t="s">
        <v>16483</v>
      </c>
    </row>
    <row r="740" ht="14.25">
      <c r="A740" s="4" t="s">
        <v>16485</v>
      </c>
      <c r="B740" s="4" t="s">
        <v>322</v>
      </c>
      <c r="C740" s="4" t="s">
        <v>172</v>
      </c>
      <c r="F740" s="4" t="s">
        <v>16486</v>
      </c>
      <c r="G740" s="4">
        <v>13</v>
      </c>
      <c r="H740" s="4" t="s">
        <v>16487</v>
      </c>
      <c r="I740" s="4" t="str">
        <f>IFERROR(__XLUDF.DUMMYFUNCTION("PROPER(REGEXREPLACE(G738,""[^A-Za-z]+ "",""""))"),"Harmony Home")</f>
        <v xml:space="preserve">Harmony Home</v>
      </c>
      <c r="J740" s="5" t="s">
        <v>16488</v>
      </c>
      <c r="K740" s="4" t="s">
        <v>482</v>
      </c>
      <c r="L740" s="4" t="s">
        <v>9460</v>
      </c>
      <c r="M740" s="4" t="s">
        <v>29</v>
      </c>
      <c r="N740" s="4" t="s">
        <v>9239</v>
      </c>
      <c r="O740" s="4" t="str">
        <f>IFERROR(__XLUDF.DUMMYFUNCTION("VLOOKUP(M738,IMPORTRANGE(""https://docs.google.com/spreadsheets/d/1opm6ZNvGZ7KditA9TuJwrZ25eFLfTNIkrNnY6mhV5Eg"",""list!A1:C115""),3,TRUE)"),"le secteur de la construction")</f>
        <v xml:space="preserve">le secteur de la construction</v>
      </c>
      <c r="P740" s="6"/>
      <c r="R740" s="4" t="s">
        <v>16489</v>
      </c>
      <c r="S740" s="4" t="s">
        <v>10829</v>
      </c>
      <c r="T740" s="4" t="s">
        <v>29</v>
      </c>
      <c r="U740" s="5" t="s">
        <v>16490</v>
      </c>
      <c r="V740" s="6"/>
      <c r="W740" s="6"/>
      <c r="X740" s="6"/>
      <c r="Y740" s="6"/>
      <c r="Z740" s="4" t="s">
        <v>16491</v>
      </c>
      <c r="AA740" s="6"/>
      <c r="AB740" s="5" t="s">
        <v>16492</v>
      </c>
    </row>
    <row r="741" ht="14.25">
      <c r="A741" s="4" t="s">
        <v>16494</v>
      </c>
      <c r="B741" s="4" t="s">
        <v>322</v>
      </c>
      <c r="C741" s="4" t="s">
        <v>7759</v>
      </c>
      <c r="F741" s="4" t="s">
        <v>16495</v>
      </c>
      <c r="G741" s="4">
        <v>11</v>
      </c>
      <c r="H741" s="4" t="s">
        <v>16496</v>
      </c>
      <c r="I741" s="4" t="str">
        <f>IFERROR(__XLUDF.DUMMYFUNCTION("PROPER(REGEXREPLACE(G739,""[^A-Za-z]+ "",""""))"),"Horezo")</f>
        <v>Horezo</v>
      </c>
      <c r="J741" s="5" t="s">
        <v>16497</v>
      </c>
      <c r="K741" s="4" t="s">
        <v>2499</v>
      </c>
      <c r="L741" s="4" t="s">
        <v>9251</v>
      </c>
      <c r="M741" s="4" t="s">
        <v>29</v>
      </c>
      <c r="N741" s="4" t="s">
        <v>2602</v>
      </c>
      <c r="O741" s="4" t="str">
        <f>IFERROR(__XLUDF.DUMMYFUNCTION("VLOOKUP(M739,IMPORTRANGE(""https://docs.google.com/spreadsheets/d/1opm6ZNvGZ7KditA9TuJwrZ25eFLfTNIkrNnY6mhV5Eg"",""list!A1:C115""),3,TRUE)"),"le secteur de la tech")</f>
        <v xml:space="preserve">le secteur de la tech</v>
      </c>
      <c r="P741" s="4" t="s">
        <v>16498</v>
      </c>
      <c r="R741" s="4" t="s">
        <v>10358</v>
      </c>
      <c r="S741" s="4" t="s">
        <v>9251</v>
      </c>
      <c r="T741" s="4" t="s">
        <v>29</v>
      </c>
      <c r="U741" s="5" t="s">
        <v>16499</v>
      </c>
      <c r="V741" s="6"/>
      <c r="W741" s="6"/>
      <c r="X741" s="6"/>
      <c r="Y741" s="6"/>
      <c r="Z741" s="4" t="s">
        <v>16500</v>
      </c>
      <c r="AA741" s="6"/>
      <c r="AB741" s="5" t="s">
        <v>16501</v>
      </c>
    </row>
    <row r="742" ht="14.25">
      <c r="A742" s="6"/>
      <c r="B742" s="4" t="s">
        <v>322</v>
      </c>
      <c r="C742" s="4" t="s">
        <v>172</v>
      </c>
      <c r="F742" s="4" t="s">
        <v>16503</v>
      </c>
      <c r="G742" s="4">
        <v>25</v>
      </c>
      <c r="H742" s="4" t="s">
        <v>16504</v>
      </c>
      <c r="I742" s="4" t="str">
        <f>IFERROR(__XLUDF.DUMMYFUNCTION("PROPER(REGEXREPLACE(G740,""[^A-Za-z]+ "",""""))"),"Vu Du Web")</f>
        <v xml:space="preserve">Vu Du Web</v>
      </c>
      <c r="J742" s="5" t="s">
        <v>16505</v>
      </c>
      <c r="K742" s="4" t="s">
        <v>482</v>
      </c>
      <c r="L742" s="4" t="s">
        <v>9460</v>
      </c>
      <c r="M742" s="4" t="s">
        <v>29</v>
      </c>
      <c r="N742" s="4" t="s">
        <v>2602</v>
      </c>
      <c r="O742" s="4" t="str">
        <f>IFERROR(__XLUDF.DUMMYFUNCTION("VLOOKUP(M740,IMPORTRANGE(""https://docs.google.com/spreadsheets/d/1opm6ZNvGZ7KditA9TuJwrZ25eFLfTNIkrNnY6mhV5Eg"",""list!A1:C115""),3,TRUE)"),"le secteur de la tech")</f>
        <v xml:space="preserve">le secteur de la tech</v>
      </c>
      <c r="P742" s="4" t="s">
        <v>16506</v>
      </c>
      <c r="R742" s="4" t="s">
        <v>482</v>
      </c>
      <c r="S742" s="4" t="s">
        <v>9460</v>
      </c>
      <c r="T742" s="4" t="s">
        <v>29</v>
      </c>
      <c r="U742" s="5" t="s">
        <v>16507</v>
      </c>
      <c r="V742" s="5" t="s">
        <v>16508</v>
      </c>
      <c r="W742" s="5" t="s">
        <v>16509</v>
      </c>
      <c r="X742" s="6"/>
      <c r="Y742" s="6"/>
      <c r="Z742" s="4" t="s">
        <v>16510</v>
      </c>
      <c r="AA742" s="6"/>
      <c r="AB742" s="5" t="s">
        <v>16511</v>
      </c>
    </row>
    <row r="743" ht="14.25">
      <c r="A743" s="4" t="s">
        <v>16513</v>
      </c>
      <c r="B743" s="4" t="s">
        <v>215</v>
      </c>
      <c r="C743" s="4" t="s">
        <v>16515</v>
      </c>
      <c r="F743" s="4" t="s">
        <v>16514</v>
      </c>
      <c r="G743" s="4">
        <v>21</v>
      </c>
      <c r="H743" s="4" t="s">
        <v>16516</v>
      </c>
      <c r="I743" s="4" t="str">
        <f>IFERROR(__XLUDF.DUMMYFUNCTION("PROPER(REGEXREPLACE(G741,""[^A-Za-z]+ "",""""))"),"Diadao")</f>
        <v>Diadao</v>
      </c>
      <c r="J743" s="5" t="s">
        <v>16517</v>
      </c>
      <c r="K743" s="6"/>
      <c r="L743" s="4" t="s">
        <v>9460</v>
      </c>
      <c r="M743" s="4" t="s">
        <v>29</v>
      </c>
      <c r="N743" s="4" t="s">
        <v>9161</v>
      </c>
      <c r="O743" s="4" t="str">
        <f>IFERROR(__XLUDF.DUMMYFUNCTION("VLOOKUP(M741,IMPORTRANGE(""https://docs.google.com/spreadsheets/d/1opm6ZNvGZ7KditA9TuJwrZ25eFLfTNIkrNnY6mhV5Eg"",""list!A1:C115""),3,TRUE)"),"le secteur du marketing")</f>
        <v xml:space="preserve">le secteur du marketing</v>
      </c>
      <c r="P743" s="4" t="s">
        <v>16518</v>
      </c>
      <c r="R743" s="4" t="s">
        <v>15097</v>
      </c>
      <c r="S743" s="4" t="s">
        <v>9460</v>
      </c>
      <c r="T743" s="4" t="s">
        <v>29</v>
      </c>
      <c r="U743" s="5" t="s">
        <v>16519</v>
      </c>
      <c r="V743" s="6"/>
      <c r="W743" s="5" t="s">
        <v>16520</v>
      </c>
      <c r="X743" s="6"/>
      <c r="Y743" s="6"/>
      <c r="Z743" s="4" t="s">
        <v>16521</v>
      </c>
      <c r="AA743" s="6"/>
      <c r="AB743" s="5" t="s">
        <v>16522</v>
      </c>
    </row>
    <row r="744" ht="14.25">
      <c r="A744" s="4" t="s">
        <v>16524</v>
      </c>
      <c r="B744" s="4" t="s">
        <v>215</v>
      </c>
      <c r="C744" s="4" t="s">
        <v>1162</v>
      </c>
      <c r="F744" s="4" t="s">
        <v>16525</v>
      </c>
      <c r="G744" s="4">
        <v>12</v>
      </c>
      <c r="H744" s="4" t="s">
        <v>16526</v>
      </c>
      <c r="I744" s="4" t="str">
        <f>IFERROR(__XLUDF.DUMMYFUNCTION("PROPER(REGEXREPLACE(G742,""[^A-Za-z]+ "",""""))"),"Jbs Ecole De Coaching")</f>
        <v xml:space="preserve">Jbs Ecole De Coaching</v>
      </c>
      <c r="J744" s="5" t="s">
        <v>16527</v>
      </c>
      <c r="K744" s="4" t="s">
        <v>185</v>
      </c>
      <c r="L744" s="4" t="s">
        <v>9193</v>
      </c>
      <c r="M744" s="4" t="s">
        <v>29</v>
      </c>
      <c r="N744" s="4" t="s">
        <v>4067</v>
      </c>
      <c r="O744" s="4" t="str">
        <f>IFERROR(__XLUDF.DUMMYFUNCTION("VLOOKUP(M742,IMPORTRANGE(""https://docs.google.com/spreadsheets/d/1opm6ZNvGZ7KditA9TuJwrZ25eFLfTNIkrNnY6mhV5Eg"",""list!A1:C115""),3,TRUE)"),"le secteur du conseil en management")</f>
        <v xml:space="preserve">le secteur du conseil en management</v>
      </c>
      <c r="P744" s="4" t="s">
        <v>16528</v>
      </c>
      <c r="R744" s="4" t="s">
        <v>185</v>
      </c>
      <c r="S744" s="4" t="s">
        <v>9193</v>
      </c>
      <c r="T744" s="4" t="s">
        <v>29</v>
      </c>
      <c r="U744" s="5" t="s">
        <v>16529</v>
      </c>
      <c r="V744" s="5" t="s">
        <v>16530</v>
      </c>
      <c r="W744" s="5" t="s">
        <v>9981</v>
      </c>
      <c r="X744" s="6"/>
      <c r="Y744" s="6"/>
      <c r="Z744" s="4" t="s">
        <v>16531</v>
      </c>
      <c r="AA744" s="6"/>
      <c r="AB744" s="5" t="s">
        <v>16532</v>
      </c>
    </row>
    <row r="745" ht="14.25">
      <c r="A745" s="4" t="s">
        <v>16534</v>
      </c>
      <c r="B745" s="4" t="s">
        <v>378</v>
      </c>
      <c r="C745" s="4" t="s">
        <v>16536</v>
      </c>
      <c r="F745" s="4" t="s">
        <v>16535</v>
      </c>
      <c r="G745" s="4">
        <v>12</v>
      </c>
      <c r="H745" s="4" t="s">
        <v>16537</v>
      </c>
      <c r="I745" s="4" t="str">
        <f>IFERROR(__XLUDF.DUMMYFUNCTION("PROPER(REGEXREPLACE(G743,""[^A-Za-z]+ "",""""))"),"Immaterra")</f>
        <v>Immaterra</v>
      </c>
      <c r="J745" s="5" t="s">
        <v>16538</v>
      </c>
      <c r="K745" s="4" t="s">
        <v>1568</v>
      </c>
      <c r="L745" s="4" t="s">
        <v>9251</v>
      </c>
      <c r="M745" s="4" t="s">
        <v>29</v>
      </c>
      <c r="N745" s="4" t="s">
        <v>4067</v>
      </c>
      <c r="O745" s="4" t="str">
        <f>IFERROR(__XLUDF.DUMMYFUNCTION("VLOOKUP(M743,IMPORTRANGE(""https://docs.google.com/spreadsheets/d/1opm6ZNvGZ7KditA9TuJwrZ25eFLfTNIkrNnY6mhV5Eg"",""list!A1:C115""),3,TRUE)"),"le secteur du conseil en management")</f>
        <v xml:space="preserve">le secteur du conseil en management</v>
      </c>
      <c r="P745" s="4" t="s">
        <v>16539</v>
      </c>
      <c r="R745" s="4" t="s">
        <v>5456</v>
      </c>
      <c r="S745" s="4" t="s">
        <v>9251</v>
      </c>
      <c r="T745" s="4" t="s">
        <v>29</v>
      </c>
      <c r="U745" s="5" t="s">
        <v>16540</v>
      </c>
      <c r="V745" s="6"/>
      <c r="W745" s="6"/>
      <c r="X745" s="6"/>
      <c r="Y745" s="6"/>
      <c r="Z745" s="4" t="s">
        <v>16541</v>
      </c>
      <c r="AA745" s="6"/>
      <c r="AB745" s="5" t="s">
        <v>16542</v>
      </c>
    </row>
    <row r="746" ht="14.25">
      <c r="A746" s="4" t="s">
        <v>16545</v>
      </c>
      <c r="B746" s="4" t="s">
        <v>16544</v>
      </c>
      <c r="C746" s="4" t="s">
        <v>87</v>
      </c>
      <c r="F746" s="4" t="s">
        <v>16546</v>
      </c>
      <c r="G746" s="4">
        <v>10</v>
      </c>
      <c r="H746" s="4" t="s">
        <v>16547</v>
      </c>
      <c r="I746" s="4" t="str">
        <f>IFERROR(__XLUDF.DUMMYFUNCTION("PROPER(REGEXREPLACE(G744,""[^A-Za-z]+ "",""""))"),"Hype Notice")</f>
        <v xml:space="preserve">Hype Notice</v>
      </c>
      <c r="J746" s="5" t="s">
        <v>16548</v>
      </c>
      <c r="K746" s="4" t="s">
        <v>39</v>
      </c>
      <c r="L746" s="4" t="s">
        <v>9160</v>
      </c>
      <c r="M746" s="4" t="s">
        <v>29</v>
      </c>
      <c r="N746" s="4" t="s">
        <v>9161</v>
      </c>
      <c r="O746" s="4" t="str">
        <f>IFERROR(__XLUDF.DUMMYFUNCTION("VLOOKUP(M744,IMPORTRANGE(""https://docs.google.com/spreadsheets/d/1opm6ZNvGZ7KditA9TuJwrZ25eFLfTNIkrNnY6mhV5Eg"",""list!A1:C115""),3,TRUE)"),"le secteur du marketing")</f>
        <v xml:space="preserve">le secteur du marketing</v>
      </c>
      <c r="P746" s="4" t="s">
        <v>16549</v>
      </c>
      <c r="R746" s="4" t="s">
        <v>39</v>
      </c>
      <c r="S746" s="4" t="s">
        <v>9160</v>
      </c>
      <c r="T746" s="4" t="s">
        <v>29</v>
      </c>
      <c r="U746" s="5" t="s">
        <v>16550</v>
      </c>
      <c r="V746" s="6"/>
      <c r="W746" s="6"/>
      <c r="X746" s="6"/>
      <c r="Y746" s="6"/>
      <c r="Z746" s="4" t="s">
        <v>16551</v>
      </c>
      <c r="AA746" s="6"/>
      <c r="AB746" s="5" t="s">
        <v>16552</v>
      </c>
    </row>
    <row r="747" ht="14.25">
      <c r="A747" s="4" t="s">
        <v>16554</v>
      </c>
      <c r="B747" s="4" t="s">
        <v>322</v>
      </c>
      <c r="C747" s="4" t="s">
        <v>9456</v>
      </c>
      <c r="F747" s="4" t="s">
        <v>16555</v>
      </c>
      <c r="G747" s="4">
        <v>17</v>
      </c>
      <c r="H747" s="4" t="s">
        <v>16556</v>
      </c>
      <c r="I747" s="4" t="str">
        <f>IFERROR(__XLUDF.DUMMYFUNCTION("PROPER(REGEXREPLACE(G745,""[^A-Za-z]+ "",""""))"),"Altitude Ts")</f>
        <v xml:space="preserve">Altitude Ts</v>
      </c>
      <c r="J747" s="5" t="s">
        <v>16557</v>
      </c>
      <c r="K747" s="4" t="s">
        <v>11525</v>
      </c>
      <c r="L747" s="4" t="s">
        <v>9193</v>
      </c>
      <c r="M747" s="4" t="s">
        <v>29</v>
      </c>
      <c r="N747" s="4" t="s">
        <v>9239</v>
      </c>
      <c r="O747" s="4" t="str">
        <f>IFERROR(__XLUDF.DUMMYFUNCTION("VLOOKUP(M745,IMPORTRANGE(""https://docs.google.com/spreadsheets/d/1opm6ZNvGZ7KditA9TuJwrZ25eFLfTNIkrNnY6mhV5Eg"",""list!A1:C115""),3,TRUE)"),"le secteur de la construction")</f>
        <v xml:space="preserve">le secteur de la construction</v>
      </c>
      <c r="P747" s="6"/>
      <c r="R747" s="4" t="s">
        <v>16558</v>
      </c>
      <c r="S747" s="4" t="s">
        <v>9193</v>
      </c>
      <c r="T747" s="4" t="s">
        <v>29</v>
      </c>
      <c r="U747" s="5" t="s">
        <v>16559</v>
      </c>
      <c r="V747" s="6"/>
      <c r="W747" s="5" t="s">
        <v>16560</v>
      </c>
      <c r="X747" s="6"/>
      <c r="Y747" s="6"/>
      <c r="Z747" s="4" t="s">
        <v>16561</v>
      </c>
      <c r="AA747" s="6"/>
      <c r="AB747" s="5" t="s">
        <v>16562</v>
      </c>
    </row>
    <row r="748" ht="14.25">
      <c r="A748" s="4" t="s">
        <v>16565</v>
      </c>
      <c r="B748" s="4" t="s">
        <v>16564</v>
      </c>
      <c r="C748" s="4" t="s">
        <v>120</v>
      </c>
      <c r="F748" s="4" t="s">
        <v>16566</v>
      </c>
      <c r="G748" s="4">
        <v>14</v>
      </c>
      <c r="H748" s="4" t="s">
        <v>16567</v>
      </c>
      <c r="I748" s="4" t="str">
        <f>IFERROR(__XLUDF.DUMMYFUNCTION("PROPER(REGEXREPLACE(G746,""[^A-Za-z]+ "",""""))"),"Henko Consulting")</f>
        <v xml:space="preserve">Henko Consulting</v>
      </c>
      <c r="J748" s="5" t="s">
        <v>16568</v>
      </c>
      <c r="K748" s="4" t="s">
        <v>39</v>
      </c>
      <c r="L748" s="4" t="s">
        <v>9160</v>
      </c>
      <c r="M748" s="4" t="s">
        <v>29</v>
      </c>
      <c r="N748" s="4" t="s">
        <v>4067</v>
      </c>
      <c r="O748" s="4" t="str">
        <f>IFERROR(__XLUDF.DUMMYFUNCTION("VLOOKUP(M746,IMPORTRANGE(""https://docs.google.com/spreadsheets/d/1opm6ZNvGZ7KditA9TuJwrZ25eFLfTNIkrNnY6mhV5Eg"",""list!A1:C115""),3,TRUE)"),"le secteur du conseil en management")</f>
        <v xml:space="preserve">le secteur du conseil en management</v>
      </c>
      <c r="P748" s="4" t="s">
        <v>16569</v>
      </c>
      <c r="R748" s="4" t="s">
        <v>1419</v>
      </c>
      <c r="S748" s="4" t="s">
        <v>9160</v>
      </c>
      <c r="T748" s="4" t="s">
        <v>29</v>
      </c>
      <c r="U748" s="5" t="s">
        <v>16570</v>
      </c>
      <c r="V748" s="6"/>
      <c r="W748" s="6"/>
      <c r="X748" s="6"/>
      <c r="Y748" s="6"/>
      <c r="Z748" s="4" t="s">
        <v>16571</v>
      </c>
      <c r="AA748" s="6"/>
      <c r="AB748" s="5" t="s">
        <v>16572</v>
      </c>
    </row>
    <row r="749" ht="14.25">
      <c r="A749" s="4" t="s">
        <v>16574</v>
      </c>
      <c r="B749" s="4" t="s">
        <v>1619</v>
      </c>
      <c r="C749" s="4" t="s">
        <v>16576</v>
      </c>
      <c r="F749" s="4" t="s">
        <v>16575</v>
      </c>
      <c r="G749" s="4">
        <v>15</v>
      </c>
      <c r="H749" s="4" t="s">
        <v>16577</v>
      </c>
      <c r="I749" s="4" t="str">
        <f>IFERROR(__XLUDF.DUMMYFUNCTION("PROPER(REGEXREPLACE(G747,""[^A-Za-z]+ "",""""))"),"Kleidi")</f>
        <v>Kleidi</v>
      </c>
      <c r="J749" s="5" t="s">
        <v>16578</v>
      </c>
      <c r="K749" s="4" t="s">
        <v>6954</v>
      </c>
      <c r="L749" s="4" t="s">
        <v>9484</v>
      </c>
      <c r="M749" s="4" t="s">
        <v>29</v>
      </c>
      <c r="N749" s="4" t="s">
        <v>4293</v>
      </c>
      <c r="O749" s="4" t="str">
        <f>IFERROR(__XLUDF.DUMMYFUNCTION("VLOOKUP(M747,IMPORTRANGE(""https://docs.google.com/spreadsheets/d/1opm6ZNvGZ7KditA9TuJwrZ25eFLfTNIkrNnY6mhV5Eg"",""list!A1:C115""),3,TRUE)"),"le secteur de l'immobilier")</f>
        <v xml:space="preserve">le secteur de l'immobilier</v>
      </c>
      <c r="P749" s="4" t="s">
        <v>16579</v>
      </c>
      <c r="R749" s="4" t="s">
        <v>492</v>
      </c>
      <c r="S749" s="4" t="s">
        <v>9267</v>
      </c>
      <c r="T749" s="4" t="s">
        <v>29</v>
      </c>
      <c r="U749" s="5" t="s">
        <v>16580</v>
      </c>
      <c r="V749" s="6"/>
      <c r="W749" s="6"/>
      <c r="X749" s="6"/>
      <c r="Y749" s="6"/>
      <c r="Z749" s="4" t="s">
        <v>16581</v>
      </c>
      <c r="AA749" s="6"/>
      <c r="AB749" s="5" t="s">
        <v>16582</v>
      </c>
    </row>
    <row r="750" ht="14.25">
      <c r="A750" s="4" t="s">
        <v>16584</v>
      </c>
      <c r="B750" s="4" t="s">
        <v>1619</v>
      </c>
      <c r="C750" s="4" t="s">
        <v>341</v>
      </c>
      <c r="F750" s="4" t="s">
        <v>16585</v>
      </c>
      <c r="G750" s="4">
        <v>10</v>
      </c>
      <c r="H750" s="4" t="s">
        <v>10483</v>
      </c>
      <c r="I750" s="4" t="str">
        <f>IFERROR(__XLUDF.DUMMYFUNCTION("PROPER(REGEXREPLACE(G748,""[^A-Za-z]+ "",""""))"),"Agence-S")</f>
        <v>Agence-S</v>
      </c>
      <c r="J750" s="5" t="s">
        <v>10484</v>
      </c>
      <c r="K750" s="4" t="s">
        <v>3848</v>
      </c>
      <c r="L750" s="4" t="s">
        <v>9251</v>
      </c>
      <c r="M750" s="4" t="s">
        <v>29</v>
      </c>
      <c r="N750" s="4" t="s">
        <v>4067</v>
      </c>
      <c r="O750" s="4" t="str">
        <f>IFERROR(__XLUDF.DUMMYFUNCTION("VLOOKUP(M748,IMPORTRANGE(""https://docs.google.com/spreadsheets/d/1opm6ZNvGZ7KditA9TuJwrZ25eFLfTNIkrNnY6mhV5Eg"",""list!A1:C115""),3,TRUE)"),"le secteur du conseil en management")</f>
        <v xml:space="preserve">le secteur du conseil en management</v>
      </c>
      <c r="P750" s="4" t="s">
        <v>10485</v>
      </c>
      <c r="R750" s="4" t="s">
        <v>3848</v>
      </c>
      <c r="S750" s="4" t="s">
        <v>9251</v>
      </c>
      <c r="T750" s="4" t="s">
        <v>29</v>
      </c>
      <c r="U750" s="5" t="s">
        <v>10486</v>
      </c>
      <c r="V750" s="6"/>
      <c r="W750" s="6"/>
      <c r="X750" s="6"/>
      <c r="Y750" s="6"/>
      <c r="Z750" s="4" t="s">
        <v>10487</v>
      </c>
      <c r="AA750" s="6"/>
      <c r="AB750" s="5" t="s">
        <v>16586</v>
      </c>
    </row>
    <row r="751" ht="14.25">
      <c r="A751" s="4" t="s">
        <v>16588</v>
      </c>
      <c r="B751" s="4" t="s">
        <v>1619</v>
      </c>
      <c r="C751" s="4" t="s">
        <v>172</v>
      </c>
      <c r="F751" s="4" t="s">
        <v>16589</v>
      </c>
      <c r="G751" s="4">
        <v>28</v>
      </c>
      <c r="H751" s="4" t="s">
        <v>16590</v>
      </c>
      <c r="I751" s="4" t="str">
        <f>IFERROR(__XLUDF.DUMMYFUNCTION("PROPER(REGEXREPLACE(G749,""[^A-Za-z]+ "",""""))"),"Digitalisim")</f>
        <v>Digitalisim</v>
      </c>
      <c r="J751" s="5" t="s">
        <v>16591</v>
      </c>
      <c r="K751" s="6"/>
      <c r="L751" s="6"/>
      <c r="M751" s="4" t="s">
        <v>29</v>
      </c>
      <c r="N751" s="4" t="s">
        <v>2602</v>
      </c>
      <c r="O751" s="4" t="str">
        <f>IFERROR(__XLUDF.DUMMYFUNCTION("VLOOKUP(M749,IMPORTRANGE(""https://docs.google.com/spreadsheets/d/1opm6ZNvGZ7KditA9TuJwrZ25eFLfTNIkrNnY6mhV5Eg"",""list!A1:C115""),3,TRUE)"),"le secteur de la tech")</f>
        <v xml:space="preserve">le secteur de la tech</v>
      </c>
      <c r="P751" s="4" t="s">
        <v>16592</v>
      </c>
      <c r="R751" s="4" t="s">
        <v>185</v>
      </c>
      <c r="S751" s="4" t="s">
        <v>9193</v>
      </c>
      <c r="T751" s="4" t="s">
        <v>29</v>
      </c>
      <c r="U751" s="5" t="s">
        <v>16593</v>
      </c>
      <c r="V751" s="6"/>
      <c r="W751" s="6"/>
      <c r="X751" s="6"/>
      <c r="Y751" s="6"/>
      <c r="Z751" s="4" t="s">
        <v>16594</v>
      </c>
      <c r="AA751" s="6"/>
      <c r="AB751" s="5" t="s">
        <v>16595</v>
      </c>
    </row>
    <row r="752" ht="14.25">
      <c r="A752" s="4" t="s">
        <v>16597</v>
      </c>
      <c r="B752" s="4" t="s">
        <v>1619</v>
      </c>
      <c r="C752" s="4" t="s">
        <v>5158</v>
      </c>
      <c r="F752" s="4" t="s">
        <v>16598</v>
      </c>
      <c r="G752" s="4">
        <v>20</v>
      </c>
      <c r="H752" s="4" t="s">
        <v>16599</v>
      </c>
      <c r="I752" s="4" t="str">
        <f>IFERROR(__XLUDF.DUMMYFUNCTION("PROPER(REGEXREPLACE(G750,""[^A-Za-z]+ "",""""))"),"Waybox")</f>
        <v>Waybox</v>
      </c>
      <c r="J752" s="5" t="s">
        <v>16600</v>
      </c>
      <c r="K752" s="4" t="s">
        <v>846</v>
      </c>
      <c r="L752" s="4" t="s">
        <v>9278</v>
      </c>
      <c r="M752" s="4" t="s">
        <v>29</v>
      </c>
      <c r="N752" s="4" t="s">
        <v>9264</v>
      </c>
      <c r="O752" s="4" t="str">
        <f>IFERROR(__XLUDF.DUMMYFUNCTION("VLOOKUP(M750,IMPORTRANGE(""https://docs.google.com/spreadsheets/d/1opm6ZNvGZ7KditA9TuJwrZ25eFLfTNIkrNnY6mhV5Eg"",""list!A1:C115""),3,TRUE)"),"le secteur de la sécurité informatique")</f>
        <v xml:space="preserve">le secteur de la sécurité informatique</v>
      </c>
      <c r="P752" s="4" t="s">
        <v>16601</v>
      </c>
      <c r="R752" s="4" t="s">
        <v>846</v>
      </c>
      <c r="S752" s="4" t="s">
        <v>9278</v>
      </c>
      <c r="T752" s="4" t="s">
        <v>29</v>
      </c>
      <c r="U752" s="5" t="s">
        <v>16602</v>
      </c>
      <c r="V752" s="6"/>
      <c r="W752" s="6"/>
      <c r="X752" s="6"/>
      <c r="Y752" s="6"/>
      <c r="Z752" s="4" t="s">
        <v>16603</v>
      </c>
      <c r="AA752" s="6"/>
      <c r="AB752" s="5" t="s">
        <v>16604</v>
      </c>
    </row>
    <row r="753" ht="14.25">
      <c r="A753" s="4" t="s">
        <v>16607</v>
      </c>
      <c r="B753" s="4" t="s">
        <v>16606</v>
      </c>
      <c r="C753" s="4" t="s">
        <v>16609</v>
      </c>
      <c r="F753" s="4" t="s">
        <v>16608</v>
      </c>
      <c r="G753" s="4">
        <v>15</v>
      </c>
      <c r="H753" s="4" t="s">
        <v>16610</v>
      </c>
      <c r="I753" s="4" t="str">
        <f>IFERROR(__XLUDF.DUMMYFUNCTION("PROPER(REGEXREPLACE(G751,""[^A-Za-z]+ "",""""))"),"Invicta Software")</f>
        <v xml:space="preserve">Invicta Software</v>
      </c>
      <c r="J753" s="5" t="s">
        <v>16611</v>
      </c>
      <c r="K753" s="4" t="s">
        <v>39</v>
      </c>
      <c r="L753" s="4" t="s">
        <v>9160</v>
      </c>
      <c r="M753" s="4" t="s">
        <v>29</v>
      </c>
      <c r="N753" s="4" t="s">
        <v>2602</v>
      </c>
      <c r="O753" s="4" t="str">
        <f>IFERROR(__XLUDF.DUMMYFUNCTION("VLOOKUP(M751,IMPORTRANGE(""https://docs.google.com/spreadsheets/d/1opm6ZNvGZ7KditA9TuJwrZ25eFLfTNIkrNnY6mhV5Eg"",""list!A1:C115""),3,TRUE)"),"le secteur de la tech")</f>
        <v xml:space="preserve">le secteur de la tech</v>
      </c>
      <c r="P753" s="4" t="s">
        <v>16612</v>
      </c>
      <c r="R753" s="4" t="s">
        <v>16613</v>
      </c>
      <c r="S753" s="4" t="s">
        <v>12757</v>
      </c>
      <c r="T753" s="4" t="s">
        <v>1261</v>
      </c>
      <c r="U753" s="5" t="s">
        <v>16614</v>
      </c>
      <c r="V753" s="5" t="s">
        <v>16615</v>
      </c>
      <c r="W753" s="5" t="s">
        <v>16616</v>
      </c>
      <c r="X753" s="6"/>
      <c r="Y753" s="6"/>
      <c r="Z753" s="4" t="s">
        <v>16617</v>
      </c>
      <c r="AA753" s="6"/>
      <c r="AB753" s="5" t="s">
        <v>16618</v>
      </c>
    </row>
    <row r="754" ht="14.25">
      <c r="A754" s="4" t="s">
        <v>16620</v>
      </c>
      <c r="B754" s="4" t="s">
        <v>6356</v>
      </c>
      <c r="C754" s="4" t="s">
        <v>10566</v>
      </c>
      <c r="F754" s="4" t="s">
        <v>16621</v>
      </c>
      <c r="G754" s="4">
        <v>44</v>
      </c>
      <c r="H754" s="4" t="s">
        <v>10567</v>
      </c>
      <c r="I754" s="4" t="str">
        <f>IFERROR(__XLUDF.DUMMYFUNCTION("PROPER(REGEXREPLACE(G752,""[^A-Za-z]+ "",""""))"),"Coreoz")</f>
        <v>Coreoz</v>
      </c>
      <c r="J754" s="5" t="s">
        <v>10568</v>
      </c>
      <c r="K754" s="6"/>
      <c r="L754" s="4" t="s">
        <v>9160</v>
      </c>
      <c r="M754" s="4" t="s">
        <v>29</v>
      </c>
      <c r="N754" s="4" t="s">
        <v>2602</v>
      </c>
      <c r="O754" s="4" t="str">
        <f>IFERROR(__XLUDF.DUMMYFUNCTION("VLOOKUP(M752,IMPORTRANGE(""https://docs.google.com/spreadsheets/d/1opm6ZNvGZ7KditA9TuJwrZ25eFLfTNIkrNnY6mhV5Eg"",""list!A1:C115""),3,TRUE)"),"le secteur de la tech")</f>
        <v xml:space="preserve">le secteur de la tech</v>
      </c>
      <c r="P754" s="4" t="s">
        <v>10569</v>
      </c>
      <c r="R754" s="4" t="s">
        <v>39</v>
      </c>
      <c r="S754" s="4" t="s">
        <v>9160</v>
      </c>
      <c r="T754" s="4" t="s">
        <v>29</v>
      </c>
      <c r="U754" s="5" t="s">
        <v>10570</v>
      </c>
      <c r="V754" s="6"/>
      <c r="W754" s="6"/>
      <c r="X754" s="6"/>
      <c r="Y754" s="6"/>
      <c r="Z754" s="4" t="s">
        <v>10571</v>
      </c>
      <c r="AA754" s="6"/>
      <c r="AB754" s="5" t="s">
        <v>16622</v>
      </c>
    </row>
    <row r="755" ht="14.25">
      <c r="A755" s="4" t="s">
        <v>16624</v>
      </c>
      <c r="B755" s="4" t="s">
        <v>1619</v>
      </c>
      <c r="C755" s="4" t="s">
        <v>112</v>
      </c>
      <c r="F755" s="4" t="s">
        <v>16625</v>
      </c>
      <c r="G755" s="4">
        <v>10</v>
      </c>
      <c r="H755" s="4" t="s">
        <v>16626</v>
      </c>
      <c r="I755" s="4" t="str">
        <f>IFERROR(__XLUDF.DUMMYFUNCTION("PROPER(REGEXREPLACE(G753,""[^A-Za-z]+ "",""""))"),"Hatmada Group")</f>
        <v xml:space="preserve">Hatmada Group</v>
      </c>
      <c r="J755" s="5" t="s">
        <v>16627</v>
      </c>
      <c r="K755" s="4" t="s">
        <v>140</v>
      </c>
      <c r="L755" s="4" t="s">
        <v>9160</v>
      </c>
      <c r="M755" s="4" t="s">
        <v>29</v>
      </c>
      <c r="N755" s="4" t="s">
        <v>4067</v>
      </c>
      <c r="O755" s="4" t="str">
        <f>IFERROR(__XLUDF.DUMMYFUNCTION("VLOOKUP(M753,IMPORTRANGE(""https://docs.google.com/spreadsheets/d/1opm6ZNvGZ7KditA9TuJwrZ25eFLfTNIkrNnY6mhV5Eg"",""list!A1:C115""),3,TRUE)"),"le secteur du conseil en management")</f>
        <v xml:space="preserve">le secteur du conseil en management</v>
      </c>
      <c r="P755" s="4" t="s">
        <v>16628</v>
      </c>
      <c r="R755" s="4" t="s">
        <v>39</v>
      </c>
      <c r="S755" s="4" t="s">
        <v>9160</v>
      </c>
      <c r="T755" s="4" t="s">
        <v>29</v>
      </c>
      <c r="U755" s="5" t="s">
        <v>16629</v>
      </c>
      <c r="V755" s="6"/>
      <c r="W755" s="6"/>
      <c r="X755" s="6"/>
      <c r="Y755" s="6"/>
      <c r="Z755" s="4" t="s">
        <v>16630</v>
      </c>
      <c r="AA755" s="6"/>
      <c r="AB755" s="5" t="s">
        <v>16631</v>
      </c>
    </row>
    <row r="756" ht="14.25">
      <c r="A756" s="4" t="s">
        <v>16634</v>
      </c>
      <c r="B756" s="4" t="s">
        <v>16633</v>
      </c>
      <c r="C756" s="4" t="s">
        <v>13389</v>
      </c>
      <c r="F756" s="4" t="s">
        <v>16635</v>
      </c>
      <c r="G756" s="4">
        <v>12</v>
      </c>
      <c r="H756" s="4" t="s">
        <v>16636</v>
      </c>
      <c r="I756" s="4" t="str">
        <f>IFERROR(__XLUDF.DUMMYFUNCTION("PROPER(REGEXREPLACE(G754,""[^A-Za-z]+ "",""""))"),"Endogène")</f>
        <v>Endogène</v>
      </c>
      <c r="J756" s="4" t="s">
        <v>16637</v>
      </c>
      <c r="K756" s="4" t="s">
        <v>295</v>
      </c>
      <c r="L756" s="4" t="s">
        <v>9251</v>
      </c>
      <c r="M756" s="4" t="s">
        <v>29</v>
      </c>
      <c r="N756" s="4" t="s">
        <v>4067</v>
      </c>
      <c r="O756" s="4" t="str">
        <f>IFERROR(__XLUDF.DUMMYFUNCTION("VLOOKUP(M754,IMPORTRANGE(""https://docs.google.com/spreadsheets/d/1opm6ZNvGZ7KditA9TuJwrZ25eFLfTNIkrNnY6mhV5Eg"",""list!A1:C115""),3,TRUE)"),"le secteur du conseil en management")</f>
        <v xml:space="preserve">le secteur du conseil en management</v>
      </c>
      <c r="P756" s="6"/>
      <c r="R756" s="4" t="s">
        <v>185</v>
      </c>
      <c r="S756" s="4" t="s">
        <v>9193</v>
      </c>
      <c r="T756" s="4" t="s">
        <v>29</v>
      </c>
      <c r="U756" s="5" t="s">
        <v>16638</v>
      </c>
      <c r="V756" s="6"/>
      <c r="W756" s="6"/>
      <c r="X756" s="6"/>
      <c r="Y756" s="6"/>
      <c r="Z756" s="4" t="s">
        <v>16639</v>
      </c>
      <c r="AA756" s="6"/>
      <c r="AB756" s="5" t="s">
        <v>16640</v>
      </c>
    </row>
    <row r="757" ht="14.25">
      <c r="A757" s="4" t="s">
        <v>16643</v>
      </c>
      <c r="B757" s="4" t="s">
        <v>16642</v>
      </c>
      <c r="C757" s="4" t="s">
        <v>16645</v>
      </c>
      <c r="F757" s="4" t="s">
        <v>16644</v>
      </c>
      <c r="G757" s="4">
        <v>22</v>
      </c>
      <c r="H757" s="4" t="s">
        <v>16646</v>
      </c>
      <c r="I757" s="4" t="str">
        <f>IFERROR(__XLUDF.DUMMYFUNCTION("PROPER(REGEXREPLACE(G755,""[^A-Za-z]+ "",""""))"),"Corma")</f>
        <v>Corma</v>
      </c>
      <c r="J757" s="5" t="s">
        <v>16647</v>
      </c>
      <c r="K757" s="4" t="s">
        <v>39</v>
      </c>
      <c r="L757" s="4" t="s">
        <v>9160</v>
      </c>
      <c r="M757" s="4" t="s">
        <v>29</v>
      </c>
      <c r="N757" s="4" t="s">
        <v>2602</v>
      </c>
      <c r="O757" s="4" t="str">
        <f>IFERROR(__XLUDF.DUMMYFUNCTION("VLOOKUP(M755,IMPORTRANGE(""https://docs.google.com/spreadsheets/d/1opm6ZNvGZ7KditA9TuJwrZ25eFLfTNIkrNnY6mhV5Eg"",""list!A1:C115""),3,TRUE)"),"le secteur de la tech")</f>
        <v xml:space="preserve">le secteur de la tech</v>
      </c>
      <c r="P757" s="4" t="s">
        <v>16648</v>
      </c>
      <c r="R757" s="4" t="s">
        <v>39</v>
      </c>
      <c r="S757" s="4" t="s">
        <v>9160</v>
      </c>
      <c r="T757" s="4" t="s">
        <v>29</v>
      </c>
      <c r="U757" s="5" t="s">
        <v>16649</v>
      </c>
      <c r="V757" s="5" t="s">
        <v>16650</v>
      </c>
      <c r="W757" s="6"/>
      <c r="X757" s="6"/>
      <c r="Y757" s="6"/>
      <c r="Z757" s="4" t="s">
        <v>16651</v>
      </c>
      <c r="AA757" s="6"/>
      <c r="AB757" s="5" t="s">
        <v>16652</v>
      </c>
    </row>
    <row r="758" ht="14.25">
      <c r="A758" s="4" t="s">
        <v>16654</v>
      </c>
      <c r="B758" s="4" t="s">
        <v>7246</v>
      </c>
      <c r="C758" s="4" t="s">
        <v>9456</v>
      </c>
      <c r="F758" s="4" t="s">
        <v>16655</v>
      </c>
      <c r="G758" s="4">
        <v>13</v>
      </c>
      <c r="H758" s="4" t="s">
        <v>16656</v>
      </c>
      <c r="I758" s="4" t="str">
        <f>IFERROR(__XLUDF.DUMMYFUNCTION("PROPER(REGEXREPLACE(G756,""[^A-Za-z]+ "",""""))"),"Dare Done")</f>
        <v xml:space="preserve">Dare Done</v>
      </c>
      <c r="J758" s="5" t="s">
        <v>16657</v>
      </c>
      <c r="K758" s="6"/>
      <c r="L758" s="6"/>
      <c r="M758" s="4" t="s">
        <v>29</v>
      </c>
      <c r="N758" s="4" t="s">
        <v>4067</v>
      </c>
      <c r="O758" s="4" t="str">
        <f>IFERROR(__XLUDF.DUMMYFUNCTION("VLOOKUP(M756,IMPORTRANGE(""https://docs.google.com/spreadsheets/d/1opm6ZNvGZ7KditA9TuJwrZ25eFLfTNIkrNnY6mhV5Eg"",""list!A1:C115""),3,TRUE)"),"le secteur du conseil en management")</f>
        <v xml:space="preserve">le secteur du conseil en management</v>
      </c>
      <c r="P758" s="6"/>
      <c r="R758" s="4" t="s">
        <v>15558</v>
      </c>
      <c r="S758" s="4" t="s">
        <v>9193</v>
      </c>
      <c r="T758" s="4" t="s">
        <v>29</v>
      </c>
      <c r="U758" s="5" t="s">
        <v>16658</v>
      </c>
      <c r="V758" s="6"/>
      <c r="W758" s="6"/>
      <c r="X758" s="6"/>
      <c r="Y758" s="6"/>
      <c r="Z758" s="4" t="s">
        <v>16659</v>
      </c>
      <c r="AA758" s="6"/>
      <c r="AB758" s="5" t="s">
        <v>16660</v>
      </c>
    </row>
    <row r="759" ht="14.25">
      <c r="A759" s="4" t="s">
        <v>16662</v>
      </c>
      <c r="B759" s="4" t="s">
        <v>298</v>
      </c>
      <c r="C759" s="4" t="s">
        <v>16664</v>
      </c>
      <c r="F759" s="4" t="s">
        <v>16663</v>
      </c>
      <c r="G759" s="4">
        <v>25</v>
      </c>
      <c r="H759" s="4" t="s">
        <v>16665</v>
      </c>
      <c r="I759" s="4" t="str">
        <f>IFERROR(__XLUDF.DUMMYFUNCTION("PROPER(REGEXREPLACE(G757,""[^A-Za-z]+ "",""""))"),"Ozeo Consulting")</f>
        <v xml:space="preserve">Ozeo Consulting</v>
      </c>
      <c r="J759" s="5" t="s">
        <v>16666</v>
      </c>
      <c r="K759" s="4" t="s">
        <v>846</v>
      </c>
      <c r="L759" s="4" t="s">
        <v>9278</v>
      </c>
      <c r="M759" s="4" t="s">
        <v>29</v>
      </c>
      <c r="N759" s="4" t="s">
        <v>2602</v>
      </c>
      <c r="O759" s="4" t="str">
        <f>IFERROR(__XLUDF.DUMMYFUNCTION("VLOOKUP(M757,IMPORTRANGE(""https://docs.google.com/spreadsheets/d/1opm6ZNvGZ7KditA9TuJwrZ25eFLfTNIkrNnY6mhV5Eg"",""list!A1:C115""),3,TRUE)"),"le secteur de la tech")</f>
        <v xml:space="preserve">le secteur de la tech</v>
      </c>
      <c r="P759" s="6"/>
      <c r="R759" s="4" t="s">
        <v>846</v>
      </c>
      <c r="S759" s="4" t="s">
        <v>9278</v>
      </c>
      <c r="T759" s="4" t="s">
        <v>29</v>
      </c>
      <c r="U759" s="5" t="s">
        <v>16667</v>
      </c>
      <c r="V759" s="6"/>
      <c r="W759" s="6"/>
      <c r="X759" s="6"/>
      <c r="Y759" s="6"/>
      <c r="Z759" s="4" t="s">
        <v>16668</v>
      </c>
      <c r="AA759" s="6"/>
      <c r="AB759" s="5" t="s">
        <v>16669</v>
      </c>
    </row>
    <row r="760" ht="14.25">
      <c r="A760" s="4" t="s">
        <v>298</v>
      </c>
      <c r="B760" s="4" t="s">
        <v>16671</v>
      </c>
      <c r="C760" s="4" t="s">
        <v>16673</v>
      </c>
      <c r="F760" s="4" t="s">
        <v>16672</v>
      </c>
      <c r="G760" s="4">
        <v>16</v>
      </c>
      <c r="H760" s="4" t="s">
        <v>16674</v>
      </c>
      <c r="I760" s="4" t="str">
        <f>IFERROR(__XLUDF.DUMMYFUNCTION("PROPER(REGEXREPLACE(G758,""[^A-Za-z]+ "",""""))"),"Tempoco")</f>
        <v>Tempoco</v>
      </c>
      <c r="J760" s="5" t="s">
        <v>16675</v>
      </c>
      <c r="K760" s="4" t="s">
        <v>39</v>
      </c>
      <c r="L760" s="4" t="s">
        <v>9160</v>
      </c>
      <c r="M760" s="4" t="s">
        <v>29</v>
      </c>
      <c r="N760" s="4" t="s">
        <v>4067</v>
      </c>
      <c r="O760" s="4" t="str">
        <f>IFERROR(__XLUDF.DUMMYFUNCTION("VLOOKUP(M758,IMPORTRANGE(""https://docs.google.com/spreadsheets/d/1opm6ZNvGZ7KditA9TuJwrZ25eFLfTNIkrNnY6mhV5Eg"",""list!A1:C115""),3,TRUE)"),"le secteur du conseil en management")</f>
        <v xml:space="preserve">le secteur du conseil en management</v>
      </c>
      <c r="P760" s="6"/>
      <c r="R760" s="4" t="s">
        <v>39</v>
      </c>
      <c r="S760" s="4" t="s">
        <v>9160</v>
      </c>
      <c r="T760" s="4" t="s">
        <v>29</v>
      </c>
      <c r="U760" s="5" t="s">
        <v>16676</v>
      </c>
      <c r="V760" s="6"/>
      <c r="W760" s="6"/>
      <c r="X760" s="6"/>
      <c r="Y760" s="6"/>
      <c r="Z760" s="4" t="s">
        <v>16677</v>
      </c>
      <c r="AA760" s="6"/>
      <c r="AB760" s="5" t="s">
        <v>16678</v>
      </c>
    </row>
    <row r="761" ht="14.25">
      <c r="A761" s="4" t="s">
        <v>16680</v>
      </c>
      <c r="B761" s="4" t="s">
        <v>622</v>
      </c>
      <c r="C761" s="4" t="s">
        <v>112</v>
      </c>
      <c r="F761" s="4" t="s">
        <v>16681</v>
      </c>
      <c r="G761" s="4">
        <v>15</v>
      </c>
      <c r="H761" s="4" t="s">
        <v>16682</v>
      </c>
      <c r="I761" s="4" t="str">
        <f>IFERROR(__XLUDF.DUMMYFUNCTION("PROPER(REGEXREPLACE(G759,""[^A-Za-z]+ "",""""))"),"Gematique")</f>
        <v>Gematique</v>
      </c>
      <c r="J761" s="5" t="s">
        <v>16683</v>
      </c>
      <c r="K761" s="4" t="s">
        <v>16684</v>
      </c>
      <c r="L761" s="4" t="s">
        <v>9864</v>
      </c>
      <c r="M761" s="4" t="s">
        <v>29</v>
      </c>
      <c r="N761" s="4" t="s">
        <v>2602</v>
      </c>
      <c r="O761" s="4" t="str">
        <f>IFERROR(__XLUDF.DUMMYFUNCTION("VLOOKUP(M759,IMPORTRANGE(""https://docs.google.com/spreadsheets/d/1opm6ZNvGZ7KditA9TuJwrZ25eFLfTNIkrNnY6mhV5Eg"",""list!A1:C115""),3,TRUE)"),"le secteur de la tech")</f>
        <v xml:space="preserve">le secteur de la tech</v>
      </c>
      <c r="P761" s="6"/>
      <c r="R761" s="4" t="s">
        <v>16684</v>
      </c>
      <c r="S761" s="4" t="s">
        <v>9864</v>
      </c>
      <c r="T761" s="4" t="s">
        <v>29</v>
      </c>
      <c r="U761" s="5" t="s">
        <v>16685</v>
      </c>
      <c r="V761" s="6"/>
      <c r="W761" s="6"/>
      <c r="X761" s="6"/>
      <c r="Y761" s="6"/>
      <c r="Z761" s="4" t="s">
        <v>16686</v>
      </c>
      <c r="AA761" s="6"/>
      <c r="AB761" s="5" t="s">
        <v>16687</v>
      </c>
    </row>
    <row r="762" ht="14.25">
      <c r="A762" s="4" t="s">
        <v>16689</v>
      </c>
      <c r="B762" s="4" t="s">
        <v>622</v>
      </c>
      <c r="C762" s="4" t="s">
        <v>112</v>
      </c>
      <c r="F762" s="4" t="s">
        <v>16690</v>
      </c>
      <c r="G762" s="4">
        <v>20</v>
      </c>
      <c r="H762" s="4" t="s">
        <v>16691</v>
      </c>
      <c r="I762" s="4" t="str">
        <f>IFERROR(__XLUDF.DUMMYFUNCTION("PROPER(REGEXREPLACE(G760,""[^A-Za-z]+ "",""""))"),"Avm Intégration")</f>
        <v xml:space="preserve">Avm Intégration</v>
      </c>
      <c r="J762" s="5" t="s">
        <v>16692</v>
      </c>
      <c r="K762" s="4" t="s">
        <v>39</v>
      </c>
      <c r="L762" s="4" t="s">
        <v>9160</v>
      </c>
      <c r="M762" s="4" t="s">
        <v>29</v>
      </c>
      <c r="N762" s="4" t="s">
        <v>2602</v>
      </c>
      <c r="O762" s="4" t="str">
        <f>IFERROR(__XLUDF.DUMMYFUNCTION("VLOOKUP(M760,IMPORTRANGE(""https://docs.google.com/spreadsheets/d/1opm6ZNvGZ7KditA9TuJwrZ25eFLfTNIkrNnY6mhV5Eg"",""list!A1:C115""),3,TRUE)"),"le secteur de la tech")</f>
        <v xml:space="preserve">le secteur de la tech</v>
      </c>
      <c r="P762" s="4" t="s">
        <v>16693</v>
      </c>
      <c r="R762" s="4" t="s">
        <v>16694</v>
      </c>
      <c r="S762" s="4" t="s">
        <v>9160</v>
      </c>
      <c r="T762" s="4" t="s">
        <v>29</v>
      </c>
      <c r="U762" s="5" t="s">
        <v>16695</v>
      </c>
      <c r="V762" s="6"/>
      <c r="W762" s="6"/>
      <c r="X762" s="6"/>
      <c r="Y762" s="6"/>
      <c r="Z762" s="4" t="s">
        <v>16696</v>
      </c>
      <c r="AA762" s="6"/>
      <c r="AB762" s="5" t="s">
        <v>16697</v>
      </c>
    </row>
    <row r="763" ht="14.25">
      <c r="A763" s="4" t="s">
        <v>12415</v>
      </c>
      <c r="B763" s="4" t="s">
        <v>7914</v>
      </c>
      <c r="C763" s="4" t="s">
        <v>11503</v>
      </c>
      <c r="F763" s="4" t="s">
        <v>16699</v>
      </c>
      <c r="G763" s="4">
        <v>11</v>
      </c>
      <c r="H763" s="4" t="s">
        <v>16700</v>
      </c>
      <c r="I763" s="4" t="str">
        <f>IFERROR(__XLUDF.DUMMYFUNCTION("PROPER(REGEXREPLACE(G761,""[^A-Za-z]+ "",""""))"),"Frisbee Profiling")</f>
        <v xml:space="preserve">Frisbee Profiling</v>
      </c>
      <c r="J763" s="5" t="s">
        <v>16701</v>
      </c>
      <c r="K763" s="6"/>
      <c r="L763" s="4" t="s">
        <v>9160</v>
      </c>
      <c r="M763" s="4" t="s">
        <v>29</v>
      </c>
      <c r="N763" s="4" t="s">
        <v>2602</v>
      </c>
      <c r="O763" s="4" t="str">
        <f>IFERROR(__XLUDF.DUMMYFUNCTION("VLOOKUP(M761,IMPORTRANGE(""https://docs.google.com/spreadsheets/d/1opm6ZNvGZ7KditA9TuJwrZ25eFLfTNIkrNnY6mhV5Eg"",""list!A1:C115""),3,TRUE)"),"le secteur de la tech")</f>
        <v xml:space="preserve">le secteur de la tech</v>
      </c>
      <c r="P763" s="4" t="s">
        <v>16702</v>
      </c>
      <c r="R763" s="4" t="s">
        <v>6603</v>
      </c>
      <c r="S763" s="4" t="s">
        <v>9160</v>
      </c>
      <c r="T763" s="4" t="s">
        <v>29</v>
      </c>
      <c r="U763" s="5" t="s">
        <v>16703</v>
      </c>
      <c r="V763" s="5" t="s">
        <v>16704</v>
      </c>
      <c r="W763" s="5" t="s">
        <v>16705</v>
      </c>
      <c r="X763" s="6"/>
      <c r="Y763" s="6"/>
      <c r="Z763" s="4" t="s">
        <v>16706</v>
      </c>
      <c r="AA763" s="6"/>
      <c r="AB763" s="5" t="s">
        <v>16707</v>
      </c>
    </row>
    <row r="764" ht="14.25">
      <c r="A764" s="4" t="s">
        <v>16709</v>
      </c>
      <c r="B764" s="4" t="s">
        <v>322</v>
      </c>
      <c r="C764" s="4" t="s">
        <v>16711</v>
      </c>
      <c r="F764" s="4" t="s">
        <v>16710</v>
      </c>
      <c r="G764" s="4">
        <v>45</v>
      </c>
      <c r="H764" s="4" t="s">
        <v>16712</v>
      </c>
      <c r="I764" s="4" t="str">
        <f>IFERROR(__XLUDF.DUMMYFUNCTION("PROPER(REGEXREPLACE(G762,""[^A-Za-z]+ "",""""))"),"Réseau National Hyg Up")</f>
        <v xml:space="preserve">Réseau National Hyg Up</v>
      </c>
      <c r="J764" s="5" t="s">
        <v>16713</v>
      </c>
      <c r="K764" s="4" t="s">
        <v>1711</v>
      </c>
      <c r="L764" s="4" t="s">
        <v>9350</v>
      </c>
      <c r="M764" s="4" t="s">
        <v>29</v>
      </c>
      <c r="N764" s="4" t="s">
        <v>2639</v>
      </c>
      <c r="O764" s="4" t="str">
        <f>IFERROR(__XLUDF.DUMMYFUNCTION("VLOOKUP(M762,IMPORTRANGE(""https://docs.google.com/spreadsheets/d/1opm6ZNvGZ7KditA9TuJwrZ25eFLfTNIkrNnY6mhV5Eg"",""list!A1:C115""),3,TRUE)"),"le secteur du commerce de gros")</f>
        <v xml:space="preserve">le secteur du commerce de gros</v>
      </c>
      <c r="P764" s="4" t="s">
        <v>16714</v>
      </c>
      <c r="R764" s="4" t="s">
        <v>1711</v>
      </c>
      <c r="S764" s="4" t="s">
        <v>9350</v>
      </c>
      <c r="T764" s="4" t="s">
        <v>29</v>
      </c>
      <c r="U764" s="5" t="s">
        <v>16715</v>
      </c>
      <c r="V764" s="5" t="s">
        <v>16716</v>
      </c>
      <c r="W764" s="5" t="s">
        <v>16717</v>
      </c>
      <c r="X764" s="6"/>
      <c r="Y764" s="6"/>
      <c r="Z764" s="4" t="s">
        <v>16718</v>
      </c>
      <c r="AA764" s="6"/>
      <c r="AB764" s="5" t="s">
        <v>16719</v>
      </c>
    </row>
    <row r="765" ht="14.25">
      <c r="A765" s="4" t="s">
        <v>16722</v>
      </c>
      <c r="B765" s="4" t="s">
        <v>16721</v>
      </c>
      <c r="C765" s="4" t="s">
        <v>16724</v>
      </c>
      <c r="F765" s="4" t="s">
        <v>16723</v>
      </c>
      <c r="G765" s="4">
        <v>17</v>
      </c>
      <c r="H765" s="4" t="s">
        <v>16725</v>
      </c>
      <c r="I765" s="4" t="str">
        <f>IFERROR(__XLUDF.DUMMYFUNCTION("PROPER(REGEXREPLACE(G763,""[^A-Za-z]+ "",""""))"),"Sphère Télécomopérateur Téléphonique Internettéléphonie Fixe Et Mobile3Cx Platinium")</f>
        <v xml:space="preserve">Sphère Télécomopérateur Téléphonique Internettéléphonie Fixe Et Mobile3Cx Platinium</v>
      </c>
      <c r="J765" s="5" t="s">
        <v>16726</v>
      </c>
      <c r="K765" s="6"/>
      <c r="L765" s="4" t="s">
        <v>9281</v>
      </c>
      <c r="M765" s="4" t="s">
        <v>29</v>
      </c>
      <c r="N765" s="4" t="s">
        <v>9184</v>
      </c>
      <c r="O765" s="4" t="str">
        <f>IFERROR(__XLUDF.DUMMYFUNCTION("VLOOKUP(M763,IMPORTRANGE(""https://docs.google.com/spreadsheets/d/1opm6ZNvGZ7KditA9TuJwrZ25eFLfTNIkrNnY6mhV5Eg"",""list!A1:C115""),3,TRUE)"),"le secteur des télécommunications")</f>
        <v xml:space="preserve">le secteur des télécommunications</v>
      </c>
      <c r="P765" s="4" t="s">
        <v>16727</v>
      </c>
      <c r="R765" s="4" t="s">
        <v>16728</v>
      </c>
      <c r="S765" s="4" t="s">
        <v>9278</v>
      </c>
      <c r="T765" s="4" t="s">
        <v>29</v>
      </c>
      <c r="U765" s="5" t="s">
        <v>16729</v>
      </c>
      <c r="V765" s="5" t="s">
        <v>16730</v>
      </c>
      <c r="W765" s="5" t="s">
        <v>16731</v>
      </c>
      <c r="X765" s="6"/>
      <c r="Y765" s="6"/>
      <c r="Z765" s="4" t="s">
        <v>16732</v>
      </c>
      <c r="AA765" s="6"/>
      <c r="AB765" s="5" t="s">
        <v>16733</v>
      </c>
    </row>
    <row r="766" ht="14.25">
      <c r="A766" s="4" t="s">
        <v>16735</v>
      </c>
      <c r="B766" s="4" t="s">
        <v>622</v>
      </c>
      <c r="C766" s="4" t="s">
        <v>16737</v>
      </c>
      <c r="F766" s="4" t="s">
        <v>16736</v>
      </c>
      <c r="G766" s="4">
        <v>21</v>
      </c>
      <c r="H766" s="4" t="s">
        <v>10464</v>
      </c>
      <c r="I766" s="4" t="str">
        <f>IFERROR(__XLUDF.DUMMYFUNCTION("PROPER(REGEXREPLACE(G764,""[^A-Za-z]+ "",""""))"),"Metamorphose Groupe")</f>
        <v xml:space="preserve">Metamorphose Groupe</v>
      </c>
      <c r="J766" s="5" t="s">
        <v>10465</v>
      </c>
      <c r="K766" s="6"/>
      <c r="L766" s="6"/>
      <c r="M766" s="4" t="s">
        <v>29</v>
      </c>
      <c r="N766" s="4" t="s">
        <v>4067</v>
      </c>
      <c r="O766" s="4" t="str">
        <f>IFERROR(__XLUDF.DUMMYFUNCTION("VLOOKUP(M764,IMPORTRANGE(""https://docs.google.com/spreadsheets/d/1opm6ZNvGZ7KditA9TuJwrZ25eFLfTNIkrNnY6mhV5Eg"",""list!A1:C115""),3,TRUE)"),"le secteur du conseil en management")</f>
        <v xml:space="preserve">le secteur du conseil en management</v>
      </c>
      <c r="P766" s="4" t="s">
        <v>10466</v>
      </c>
      <c r="R766" s="4" t="s">
        <v>39</v>
      </c>
      <c r="S766" s="4" t="s">
        <v>9160</v>
      </c>
      <c r="T766" s="4" t="s">
        <v>29</v>
      </c>
      <c r="U766" s="5" t="s">
        <v>10467</v>
      </c>
      <c r="V766" s="6"/>
      <c r="W766" s="6"/>
      <c r="X766" s="6"/>
      <c r="Y766" s="6"/>
      <c r="Z766" s="4" t="s">
        <v>5069</v>
      </c>
      <c r="AA766" s="6"/>
      <c r="AB766" s="5" t="s">
        <v>16738</v>
      </c>
    </row>
    <row r="767" ht="14.25">
      <c r="A767" s="4" t="s">
        <v>16740</v>
      </c>
      <c r="B767" s="4" t="s">
        <v>622</v>
      </c>
      <c r="C767" s="4" t="s">
        <v>112</v>
      </c>
      <c r="F767" s="4" t="s">
        <v>16741</v>
      </c>
      <c r="G767" s="4">
        <v>17</v>
      </c>
      <c r="H767" s="4" t="s">
        <v>16742</v>
      </c>
      <c r="I767" s="4" t="str">
        <f>IFERROR(__XLUDF.DUMMYFUNCTION("PROPER(REGEXREPLACE(G765,""[^A-Za-z]+ "",""""))"),"Smc Consulting It")</f>
        <v xml:space="preserve">Smc Consulting It</v>
      </c>
      <c r="J767" s="5" t="s">
        <v>16743</v>
      </c>
      <c r="K767" s="4" t="s">
        <v>39</v>
      </c>
      <c r="L767" s="4" t="s">
        <v>9160</v>
      </c>
      <c r="M767" s="4" t="s">
        <v>29</v>
      </c>
      <c r="N767" s="4" t="s">
        <v>2602</v>
      </c>
      <c r="O767" s="4" t="str">
        <f>IFERROR(__XLUDF.DUMMYFUNCTION("VLOOKUP(M765,IMPORTRANGE(""https://docs.google.com/spreadsheets/d/1opm6ZNvGZ7KditA9TuJwrZ25eFLfTNIkrNnY6mhV5Eg"",""list!A1:C115""),3,TRUE)"),"le secteur de la tech")</f>
        <v xml:space="preserve">le secteur de la tech</v>
      </c>
      <c r="P767" s="4" t="s">
        <v>16744</v>
      </c>
      <c r="R767" s="4" t="s">
        <v>1446</v>
      </c>
      <c r="S767" s="4" t="s">
        <v>9160</v>
      </c>
      <c r="T767" s="4" t="s">
        <v>29</v>
      </c>
      <c r="U767" s="5" t="s">
        <v>16745</v>
      </c>
      <c r="V767" s="5" t="s">
        <v>16746</v>
      </c>
      <c r="W767" s="6"/>
      <c r="X767" s="6"/>
      <c r="Y767" s="6"/>
      <c r="Z767" s="4" t="s">
        <v>16747</v>
      </c>
      <c r="AA767" s="6"/>
      <c r="AB767" s="5" t="s">
        <v>16748</v>
      </c>
    </row>
    <row r="768" ht="14.25">
      <c r="A768" s="4" t="s">
        <v>16750</v>
      </c>
      <c r="B768" s="4" t="s">
        <v>622</v>
      </c>
      <c r="C768" s="4" t="s">
        <v>16752</v>
      </c>
      <c r="F768" s="4" t="s">
        <v>16751</v>
      </c>
      <c r="G768" s="4">
        <v>29</v>
      </c>
      <c r="H768" s="4" t="s">
        <v>16753</v>
      </c>
      <c r="I768" s="4" t="str">
        <f>IFERROR(__XLUDF.DUMMYFUNCTION("PROPER(REGEXREPLACE(G766,""[^A-Za-z]+ "",""""))"),"Moneythor")</f>
        <v>Moneythor</v>
      </c>
      <c r="J768" s="5" t="s">
        <v>16754</v>
      </c>
      <c r="K768" s="6"/>
      <c r="L768" s="6"/>
      <c r="M768" s="4" t="s">
        <v>29</v>
      </c>
      <c r="N768" s="4" t="s">
        <v>2602</v>
      </c>
      <c r="O768" s="4" t="str">
        <f>IFERROR(__XLUDF.DUMMYFUNCTION("VLOOKUP(M766,IMPORTRANGE(""https://docs.google.com/spreadsheets/d/1opm6ZNvGZ7KditA9TuJwrZ25eFLfTNIkrNnY6mhV5Eg"",""list!A1:C115""),3,TRUE)"),"le secteur de la tech")</f>
        <v xml:space="preserve">le secteur de la tech</v>
      </c>
      <c r="P768" s="4" t="s">
        <v>16755</v>
      </c>
      <c r="R768" s="4" t="s">
        <v>8427</v>
      </c>
      <c r="S768" s="4" t="s">
        <v>8427</v>
      </c>
      <c r="T768" s="4" t="s">
        <v>8427</v>
      </c>
      <c r="U768" s="5" t="s">
        <v>16756</v>
      </c>
      <c r="V768" s="5" t="s">
        <v>16757</v>
      </c>
      <c r="W768" s="5" t="s">
        <v>16758</v>
      </c>
      <c r="X768" s="6"/>
      <c r="Y768" s="6"/>
      <c r="Z768" s="4" t="s">
        <v>16759</v>
      </c>
      <c r="AA768" s="6"/>
      <c r="AB768" s="5" t="s">
        <v>16760</v>
      </c>
    </row>
    <row r="769" ht="14.25">
      <c r="A769" s="4" t="s">
        <v>16762</v>
      </c>
      <c r="B769" s="4" t="s">
        <v>622</v>
      </c>
      <c r="C769" s="4" t="s">
        <v>112</v>
      </c>
      <c r="F769" s="4" t="s">
        <v>16763</v>
      </c>
      <c r="G769" s="4">
        <v>10</v>
      </c>
      <c r="H769" s="4" t="s">
        <v>16764</v>
      </c>
      <c r="I769" s="4" t="str">
        <f>IFERROR(__XLUDF.DUMMYFUNCTION("PROPER(REGEXREPLACE(G767,""[^A-Za-z]+ "",""""))"),"Maison Pernet")</f>
        <v xml:space="preserve">Maison Pernet</v>
      </c>
      <c r="J769" s="5" t="s">
        <v>16765</v>
      </c>
      <c r="K769" s="4" t="s">
        <v>16766</v>
      </c>
      <c r="L769" s="4" t="s">
        <v>9473</v>
      </c>
      <c r="M769" s="4" t="s">
        <v>29</v>
      </c>
      <c r="N769" s="4" t="s">
        <v>4525</v>
      </c>
      <c r="O769" s="4" t="str">
        <f>IFERROR(__XLUDF.DUMMYFUNCTION("VLOOKUP(M767,IMPORTRANGE(""https://docs.google.com/spreadsheets/d/1opm6ZNvGZ7KditA9TuJwrZ25eFLfTNIkrNnY6mhV5Eg"",""list!A1:C115""),3,TRUE)"),"le secteur du retail")</f>
        <v xml:space="preserve">le secteur du retail</v>
      </c>
      <c r="P769" s="6"/>
      <c r="R769" s="6"/>
      <c r="S769" s="6"/>
      <c r="T769" s="6"/>
      <c r="U769" s="5" t="s">
        <v>16767</v>
      </c>
      <c r="V769" s="6"/>
      <c r="W769" s="5" t="s">
        <v>16768</v>
      </c>
      <c r="X769" s="6"/>
      <c r="Y769" s="6"/>
      <c r="Z769" s="6"/>
      <c r="AA769" s="6"/>
      <c r="AB769" s="5" t="s">
        <v>16769</v>
      </c>
    </row>
    <row r="770" ht="14.25">
      <c r="A770" s="4" t="s">
        <v>16771</v>
      </c>
      <c r="B770" s="4" t="s">
        <v>622</v>
      </c>
      <c r="C770" s="4" t="s">
        <v>7759</v>
      </c>
      <c r="F770" s="4" t="s">
        <v>16772</v>
      </c>
      <c r="G770" s="4">
        <v>11</v>
      </c>
      <c r="H770" s="4" t="s">
        <v>16773</v>
      </c>
      <c r="I770" s="4" t="str">
        <f>IFERROR(__XLUDF.DUMMYFUNCTION("PROPER(REGEXREPLACE(G768,""[^A-Za-z]+ "",""""))"),"Optesys Conseil")</f>
        <v xml:space="preserve">Optesys Conseil</v>
      </c>
      <c r="J770" s="5" t="s">
        <v>16774</v>
      </c>
      <c r="K770" s="4" t="s">
        <v>10276</v>
      </c>
      <c r="L770" s="4" t="s">
        <v>9350</v>
      </c>
      <c r="M770" s="4" t="s">
        <v>29</v>
      </c>
      <c r="N770" s="4" t="s">
        <v>4067</v>
      </c>
      <c r="O770" s="4" t="str">
        <f>IFERROR(__XLUDF.DUMMYFUNCTION("VLOOKUP(M768,IMPORTRANGE(""https://docs.google.com/spreadsheets/d/1opm6ZNvGZ7KditA9TuJwrZ25eFLfTNIkrNnY6mhV5Eg"",""list!A1:C115""),3,TRUE)"),"le secteur du conseil en management")</f>
        <v xml:space="preserve">le secteur du conseil en management</v>
      </c>
      <c r="P770" s="4" t="s">
        <v>16775</v>
      </c>
      <c r="R770" s="4" t="s">
        <v>10276</v>
      </c>
      <c r="S770" s="4" t="s">
        <v>9350</v>
      </c>
      <c r="T770" s="4" t="s">
        <v>29</v>
      </c>
      <c r="U770" s="5" t="s">
        <v>16776</v>
      </c>
      <c r="V770" s="6"/>
      <c r="W770" s="6"/>
      <c r="X770" s="6"/>
      <c r="Y770" s="6"/>
      <c r="Z770" s="4" t="s">
        <v>16777</v>
      </c>
      <c r="AA770" s="6"/>
      <c r="AB770" s="5" t="s">
        <v>16778</v>
      </c>
    </row>
    <row r="771" ht="14.25">
      <c r="A771" s="4" t="s">
        <v>16780</v>
      </c>
      <c r="B771" s="4" t="s">
        <v>622</v>
      </c>
      <c r="C771" s="4" t="s">
        <v>112</v>
      </c>
      <c r="F771" s="4" t="s">
        <v>16781</v>
      </c>
      <c r="G771" s="4">
        <v>20</v>
      </c>
      <c r="H771" s="4" t="s">
        <v>16782</v>
      </c>
      <c r="I771" s="4" t="str">
        <f>IFERROR(__XLUDF.DUMMYFUNCTION("PROPER(REGEXREPLACE(G769,""[^A-Za-z]+ "",""""))"),"Cids France")</f>
        <v xml:space="preserve">Cids France</v>
      </c>
      <c r="J771" s="5" t="s">
        <v>16783</v>
      </c>
      <c r="K771" s="4" t="s">
        <v>16784</v>
      </c>
      <c r="L771" s="4" t="s">
        <v>9864</v>
      </c>
      <c r="M771" s="4" t="s">
        <v>29</v>
      </c>
      <c r="N771" s="4" t="s">
        <v>4525</v>
      </c>
      <c r="O771" s="4" t="str">
        <f>IFERROR(__XLUDF.DUMMYFUNCTION("VLOOKUP(M769,IMPORTRANGE(""https://docs.google.com/spreadsheets/d/1opm6ZNvGZ7KditA9TuJwrZ25eFLfTNIkrNnY6mhV5Eg"",""list!A1:C115""),3,TRUE)"),"le secteur du retail")</f>
        <v xml:space="preserve">le secteur du retail</v>
      </c>
      <c r="P771" s="6"/>
      <c r="R771" s="4" t="s">
        <v>16784</v>
      </c>
      <c r="S771" s="4" t="s">
        <v>10390</v>
      </c>
      <c r="T771" s="4" t="s">
        <v>29</v>
      </c>
      <c r="U771" s="5" t="s">
        <v>16785</v>
      </c>
      <c r="V771" s="6"/>
      <c r="W771" s="6"/>
      <c r="X771" s="6"/>
      <c r="Y771" s="6"/>
      <c r="Z771" s="4" t="s">
        <v>16786</v>
      </c>
      <c r="AA771" s="6"/>
      <c r="AB771" s="5" t="s">
        <v>16787</v>
      </c>
    </row>
    <row r="772" ht="14.25">
      <c r="A772" s="4" t="s">
        <v>16789</v>
      </c>
      <c r="B772" s="4" t="s">
        <v>622</v>
      </c>
      <c r="C772" s="4" t="s">
        <v>16791</v>
      </c>
      <c r="F772" s="4" t="s">
        <v>16790</v>
      </c>
      <c r="G772" s="4">
        <v>11</v>
      </c>
      <c r="H772" s="4" t="s">
        <v>16792</v>
      </c>
      <c r="I772" s="4" t="str">
        <f>IFERROR(__XLUDF.DUMMYFUNCTION("PROPER(REGEXREPLACE(G770,""[^A-Za-z]+ "",""""))"),"Hoji Ventures")</f>
        <v xml:space="preserve">Hoji Ventures</v>
      </c>
      <c r="J772" s="5" t="s">
        <v>16793</v>
      </c>
      <c r="K772" s="4" t="s">
        <v>774</v>
      </c>
      <c r="L772" s="4" t="s">
        <v>9193</v>
      </c>
      <c r="M772" s="4" t="s">
        <v>29</v>
      </c>
      <c r="N772" s="4" t="s">
        <v>2602</v>
      </c>
      <c r="O772" s="4" t="str">
        <f>IFERROR(__XLUDF.DUMMYFUNCTION("VLOOKUP(M770,IMPORTRANGE(""https://docs.google.com/spreadsheets/d/1opm6ZNvGZ7KditA9TuJwrZ25eFLfTNIkrNnY6mhV5Eg"",""list!A1:C115""),3,TRUE)"),"le secteur de la tech")</f>
        <v xml:space="preserve">le secteur de la tech</v>
      </c>
      <c r="P772" s="4" t="s">
        <v>16794</v>
      </c>
      <c r="R772" s="4" t="s">
        <v>185</v>
      </c>
      <c r="S772" s="4" t="s">
        <v>9193</v>
      </c>
      <c r="T772" s="4" t="s">
        <v>29</v>
      </c>
      <c r="U772" s="5" t="s">
        <v>16795</v>
      </c>
      <c r="V772" s="6"/>
      <c r="W772" s="6"/>
      <c r="X772" s="6"/>
      <c r="Y772" s="6"/>
      <c r="Z772" s="4" t="s">
        <v>16796</v>
      </c>
      <c r="AA772" s="6"/>
      <c r="AB772" s="5" t="s">
        <v>16797</v>
      </c>
    </row>
    <row r="773" ht="14.25">
      <c r="A773" s="4" t="s">
        <v>16799</v>
      </c>
      <c r="B773" s="4" t="s">
        <v>7273</v>
      </c>
      <c r="C773" s="4" t="s">
        <v>16801</v>
      </c>
      <c r="F773" s="4" t="s">
        <v>16800</v>
      </c>
      <c r="G773" s="4">
        <v>14</v>
      </c>
      <c r="H773" s="4" t="s">
        <v>16802</v>
      </c>
      <c r="I773" s="4" t="str">
        <f>IFERROR(__XLUDF.DUMMYFUNCTION("PROPER(REGEXREPLACE(G771,""[^A-Za-z]+ "",""""))"),"Sn2Osociétnumérique De L’Ouest")</f>
        <v xml:space="preserve">Sn2Osociétnumérique De L’Ouest</v>
      </c>
      <c r="J773" s="5" t="s">
        <v>16803</v>
      </c>
      <c r="K773" s="4" t="s">
        <v>16804</v>
      </c>
      <c r="L773" s="4" t="s">
        <v>9350</v>
      </c>
      <c r="M773" s="4" t="s">
        <v>29</v>
      </c>
      <c r="N773" s="4" t="s">
        <v>4525</v>
      </c>
      <c r="O773" s="4" t="str">
        <f>IFERROR(__XLUDF.DUMMYFUNCTION("VLOOKUP(M771,IMPORTRANGE(""https://docs.google.com/spreadsheets/d/1opm6ZNvGZ7KditA9TuJwrZ25eFLfTNIkrNnY6mhV5Eg"",""list!A1:C115""),3,TRUE)"),"le secteur du retail")</f>
        <v xml:space="preserve">le secteur du retail</v>
      </c>
      <c r="P773" s="4" t="s">
        <v>16805</v>
      </c>
      <c r="R773" s="4" t="s">
        <v>16806</v>
      </c>
      <c r="S773" s="4" t="s">
        <v>9350</v>
      </c>
      <c r="T773" s="4" t="s">
        <v>29</v>
      </c>
      <c r="U773" s="5" t="s">
        <v>16807</v>
      </c>
      <c r="V773" s="6"/>
      <c r="W773" s="5" t="s">
        <v>16808</v>
      </c>
      <c r="X773" s="6"/>
      <c r="Y773" s="6"/>
      <c r="Z773" s="4" t="s">
        <v>16809</v>
      </c>
      <c r="AA773" s="6"/>
      <c r="AB773" s="5" t="s">
        <v>16810</v>
      </c>
    </row>
    <row r="774" ht="14.25">
      <c r="A774" s="4" t="s">
        <v>16813</v>
      </c>
      <c r="B774" s="4" t="s">
        <v>16812</v>
      </c>
      <c r="C774" s="4" t="s">
        <v>1130</v>
      </c>
      <c r="F774" s="4" t="s">
        <v>16814</v>
      </c>
      <c r="G774" s="4">
        <v>14</v>
      </c>
      <c r="H774" s="4" t="s">
        <v>16815</v>
      </c>
      <c r="I774" s="4" t="str">
        <f>IFERROR(__XLUDF.DUMMYFUNCTION("PROPER(REGEXREPLACE(G772,""[^A-Za-z]+ "",""""))"),"Dryft By Tannous Transport")</f>
        <v xml:space="preserve">Dryft By Tannous Transport</v>
      </c>
      <c r="J774" s="5" t="s">
        <v>16816</v>
      </c>
      <c r="K774" s="4" t="s">
        <v>431</v>
      </c>
      <c r="L774" s="4" t="s">
        <v>9160</v>
      </c>
      <c r="M774" s="4" t="s">
        <v>29</v>
      </c>
      <c r="N774" s="4" t="s">
        <v>2602</v>
      </c>
      <c r="O774" s="4" t="str">
        <f>IFERROR(__XLUDF.DUMMYFUNCTION("VLOOKUP(M772,IMPORTRANGE(""https://docs.google.com/spreadsheets/d/1opm6ZNvGZ7KditA9TuJwrZ25eFLfTNIkrNnY6mhV5Eg"",""list!A1:C115""),3,TRUE)"),"le secteur de la tech")</f>
        <v xml:space="preserve">le secteur de la tech</v>
      </c>
      <c r="P774" s="4" t="s">
        <v>16817</v>
      </c>
      <c r="R774" s="4" t="s">
        <v>16818</v>
      </c>
      <c r="S774" s="4" t="s">
        <v>9160</v>
      </c>
      <c r="T774" s="4" t="s">
        <v>29</v>
      </c>
      <c r="U774" s="5" t="s">
        <v>16819</v>
      </c>
      <c r="V774" s="6"/>
      <c r="W774" s="6"/>
      <c r="X774" s="6"/>
      <c r="Y774" s="6"/>
      <c r="Z774" s="4" t="s">
        <v>16820</v>
      </c>
      <c r="AA774" s="6"/>
      <c r="AB774" s="5" t="s">
        <v>16821</v>
      </c>
    </row>
    <row r="775" ht="14.25">
      <c r="A775" s="4" t="s">
        <v>16823</v>
      </c>
      <c r="B775" s="4" t="s">
        <v>6356</v>
      </c>
      <c r="C775" s="4" t="s">
        <v>112</v>
      </c>
      <c r="F775" s="4" t="s">
        <v>16824</v>
      </c>
      <c r="G775" s="4">
        <v>38</v>
      </c>
      <c r="H775" s="4" t="s">
        <v>16825</v>
      </c>
      <c r="I775" s="4" t="str">
        <f>IFERROR(__XLUDF.DUMMYFUNCTION("PROPER(REGEXREPLACE(G773,""[^A-Za-z]+ "",""""))"),"Myral")</f>
        <v>Myral</v>
      </c>
      <c r="J775" s="5" t="s">
        <v>16826</v>
      </c>
      <c r="K775" s="4" t="s">
        <v>16827</v>
      </c>
      <c r="L775" s="4" t="s">
        <v>9473</v>
      </c>
      <c r="M775" s="4" t="s">
        <v>29</v>
      </c>
      <c r="N775" s="4" t="s">
        <v>9239</v>
      </c>
      <c r="O775" s="4" t="str">
        <f>IFERROR(__XLUDF.DUMMYFUNCTION("VLOOKUP(M773,IMPORTRANGE(""https://docs.google.com/spreadsheets/d/1opm6ZNvGZ7KditA9TuJwrZ25eFLfTNIkrNnY6mhV5Eg"",""list!A1:C115""),3,TRUE)"),"le secteur de la construction")</f>
        <v xml:space="preserve">le secteur de la construction</v>
      </c>
      <c r="P775" s="4" t="s">
        <v>16828</v>
      </c>
      <c r="R775" s="4" t="s">
        <v>16827</v>
      </c>
      <c r="S775" s="4" t="s">
        <v>9473</v>
      </c>
      <c r="T775" s="4" t="s">
        <v>29</v>
      </c>
      <c r="U775" s="5" t="s">
        <v>16829</v>
      </c>
      <c r="V775" s="6"/>
      <c r="W775" s="6"/>
      <c r="X775" s="6"/>
      <c r="Y775" s="6"/>
      <c r="Z775" s="4" t="s">
        <v>16830</v>
      </c>
      <c r="AA775" s="6"/>
      <c r="AB775" s="5" t="s">
        <v>16831</v>
      </c>
    </row>
    <row r="776" ht="14.25">
      <c r="A776" s="4" t="s">
        <v>16833</v>
      </c>
      <c r="B776" s="4" t="s">
        <v>6356</v>
      </c>
      <c r="C776" s="4" t="s">
        <v>1162</v>
      </c>
      <c r="F776" s="4" t="s">
        <v>16834</v>
      </c>
      <c r="G776" s="4">
        <v>27</v>
      </c>
      <c r="H776" s="4" t="s">
        <v>16835</v>
      </c>
      <c r="I776" s="4" t="str">
        <f>IFERROR(__XLUDF.DUMMYFUNCTION("PROPER(REGEXREPLACE(G774,""[^A-Za-z]+ "",""""))"),"Recyclivre")</f>
        <v>Recyclivre</v>
      </c>
      <c r="J776" s="6"/>
      <c r="K776" s="6"/>
      <c r="L776" s="4" t="s">
        <v>9160</v>
      </c>
      <c r="M776" s="4" t="s">
        <v>29</v>
      </c>
      <c r="N776" s="4" t="s">
        <v>4525</v>
      </c>
      <c r="O776" s="4" t="str">
        <f>IFERROR(__XLUDF.DUMMYFUNCTION("VLOOKUP(M774,IMPORTRANGE(""https://docs.google.com/spreadsheets/d/1opm6ZNvGZ7KditA9TuJwrZ25eFLfTNIkrNnY6mhV5Eg"",""list!A1:C115""),3,TRUE)"),"le secteur du retail")</f>
        <v xml:space="preserve">le secteur du retail</v>
      </c>
      <c r="P776" s="6"/>
      <c r="R776" s="4" t="s">
        <v>39</v>
      </c>
      <c r="S776" s="4" t="s">
        <v>9160</v>
      </c>
      <c r="T776" s="4" t="s">
        <v>29</v>
      </c>
      <c r="U776" s="5" t="s">
        <v>16836</v>
      </c>
      <c r="V776" s="6"/>
      <c r="W776" s="6"/>
      <c r="X776" s="6"/>
      <c r="Y776" s="6"/>
      <c r="Z776" s="4" t="s">
        <v>16837</v>
      </c>
      <c r="AA776" s="6"/>
      <c r="AB776" s="5" t="s">
        <v>16838</v>
      </c>
    </row>
    <row r="777" ht="14.25">
      <c r="A777" s="4" t="s">
        <v>16840</v>
      </c>
      <c r="B777" s="4" t="s">
        <v>6356</v>
      </c>
      <c r="C777" s="4" t="s">
        <v>9456</v>
      </c>
      <c r="F777" s="4" t="s">
        <v>16841</v>
      </c>
      <c r="G777" s="4">
        <v>31</v>
      </c>
      <c r="H777" s="4" t="s">
        <v>16842</v>
      </c>
      <c r="I777" s="4" t="str">
        <f>IFERROR(__XLUDF.DUMMYFUNCTION("PROPER(REGEXREPLACE(G775,""[^A-Za-z]+ "",""""))"),"Add-On")</f>
        <v>Add-On</v>
      </c>
      <c r="J777" s="5" t="s">
        <v>16843</v>
      </c>
      <c r="K777" s="4" t="s">
        <v>39</v>
      </c>
      <c r="L777" s="4" t="s">
        <v>9160</v>
      </c>
      <c r="M777" s="4" t="s">
        <v>29</v>
      </c>
      <c r="N777" s="4" t="s">
        <v>2602</v>
      </c>
      <c r="O777" s="4" t="str">
        <f>IFERROR(__XLUDF.DUMMYFUNCTION("VLOOKUP(M775,IMPORTRANGE(""https://docs.google.com/spreadsheets/d/1opm6ZNvGZ7KditA9TuJwrZ25eFLfTNIkrNnY6mhV5Eg"",""list!A1:C115""),3,TRUE)"),"le secteur de la tech")</f>
        <v xml:space="preserve">le secteur de la tech</v>
      </c>
      <c r="P777" s="4" t="s">
        <v>16844</v>
      </c>
      <c r="R777" s="4" t="s">
        <v>16845</v>
      </c>
      <c r="S777" s="4" t="s">
        <v>9160</v>
      </c>
      <c r="T777" s="4" t="s">
        <v>29</v>
      </c>
      <c r="U777" s="5" t="s">
        <v>16846</v>
      </c>
      <c r="V777" s="6"/>
      <c r="W777" s="5" t="s">
        <v>16847</v>
      </c>
      <c r="X777" s="6"/>
      <c r="Y777" s="6"/>
      <c r="Z777" s="4" t="s">
        <v>16848</v>
      </c>
      <c r="AA777" s="6"/>
      <c r="AB777" s="5" t="s">
        <v>16849</v>
      </c>
    </row>
    <row r="778" ht="14.25">
      <c r="A778" s="4" t="s">
        <v>7525</v>
      </c>
      <c r="B778" s="4" t="s">
        <v>6356</v>
      </c>
      <c r="C778" s="4" t="s">
        <v>14547</v>
      </c>
      <c r="F778" s="4" t="s">
        <v>16851</v>
      </c>
      <c r="G778" s="4">
        <v>23</v>
      </c>
      <c r="H778" s="4" t="s">
        <v>16852</v>
      </c>
      <c r="I778" s="4" t="str">
        <f>IFERROR(__XLUDF.DUMMYFUNCTION("PROPER(REGEXREPLACE(G776,""[^A-Za-z]+ "",""""))"),"Triple-D")</f>
        <v>Triple-D</v>
      </c>
      <c r="J778" s="5" t="s">
        <v>16853</v>
      </c>
      <c r="K778" s="6"/>
      <c r="L778" s="4" t="s">
        <v>9160</v>
      </c>
      <c r="M778" s="4" t="s">
        <v>29</v>
      </c>
      <c r="N778" s="4" t="s">
        <v>4525</v>
      </c>
      <c r="O778" s="4" t="str">
        <f>IFERROR(__XLUDF.DUMMYFUNCTION("VLOOKUP(M776,IMPORTRANGE(""https://docs.google.com/spreadsheets/d/1opm6ZNvGZ7KditA9TuJwrZ25eFLfTNIkrNnY6mhV5Eg"",""list!A1:C115""),3,TRUE)"),"le secteur du retail")</f>
        <v xml:space="preserve">le secteur du retail</v>
      </c>
      <c r="P778" s="4" t="s">
        <v>16854</v>
      </c>
      <c r="R778" s="4" t="s">
        <v>9967</v>
      </c>
      <c r="S778" s="4" t="s">
        <v>9160</v>
      </c>
      <c r="T778" s="4" t="s">
        <v>29</v>
      </c>
      <c r="U778" s="5" t="s">
        <v>16855</v>
      </c>
      <c r="V778" s="6"/>
      <c r="W778" s="5" t="s">
        <v>16856</v>
      </c>
      <c r="X778" s="6"/>
      <c r="Y778" s="6"/>
      <c r="Z778" s="4" t="s">
        <v>16857</v>
      </c>
      <c r="AA778" s="6"/>
      <c r="AB778" s="5" t="s">
        <v>16858</v>
      </c>
    </row>
    <row r="779" ht="14.25">
      <c r="A779" s="4" t="s">
        <v>16861</v>
      </c>
      <c r="B779" s="4" t="s">
        <v>16860</v>
      </c>
      <c r="C779" s="4" t="s">
        <v>16863</v>
      </c>
      <c r="F779" s="4" t="s">
        <v>16862</v>
      </c>
      <c r="G779" s="4">
        <v>28</v>
      </c>
      <c r="H779" s="4" t="s">
        <v>16864</v>
      </c>
      <c r="I779" s="4" t="str">
        <f>IFERROR(__XLUDF.DUMMYFUNCTION("PROPER(REGEXREPLACE(G777,""[^A-Za-z]+ "",""""))"),"Funepro")</f>
        <v>Funepro</v>
      </c>
      <c r="J779" s="5" t="s">
        <v>16865</v>
      </c>
      <c r="K779" s="4" t="s">
        <v>16866</v>
      </c>
      <c r="L779" s="4" t="s">
        <v>9350</v>
      </c>
      <c r="M779" s="4" t="s">
        <v>29</v>
      </c>
      <c r="N779" s="4" t="s">
        <v>4525</v>
      </c>
      <c r="O779" s="4" t="str">
        <f>IFERROR(__XLUDF.DUMMYFUNCTION("VLOOKUP(M777,IMPORTRANGE(""https://docs.google.com/spreadsheets/d/1opm6ZNvGZ7KditA9TuJwrZ25eFLfTNIkrNnY6mhV5Eg"",""list!A1:C115""),3,TRUE)"),"le secteur du retail")</f>
        <v xml:space="preserve">le secteur du retail</v>
      </c>
      <c r="P779" s="4" t="s">
        <v>16867</v>
      </c>
      <c r="R779" s="4" t="s">
        <v>16866</v>
      </c>
      <c r="S779" s="4" t="s">
        <v>9350</v>
      </c>
      <c r="T779" s="4" t="s">
        <v>29</v>
      </c>
      <c r="U779" s="5" t="s">
        <v>16868</v>
      </c>
      <c r="V779" s="6"/>
      <c r="W779" s="6"/>
      <c r="X779" s="6"/>
      <c r="Y779" s="6"/>
      <c r="Z779" s="4" t="s">
        <v>16869</v>
      </c>
      <c r="AA779" s="6"/>
      <c r="AB779" s="5" t="s">
        <v>16870</v>
      </c>
    </row>
    <row r="780" ht="14.25">
      <c r="A780" s="4" t="s">
        <v>16872</v>
      </c>
      <c r="B780" s="4" t="s">
        <v>6744</v>
      </c>
      <c r="C780" s="4" t="s">
        <v>16874</v>
      </c>
      <c r="F780" s="4" t="s">
        <v>16873</v>
      </c>
      <c r="G780" s="4">
        <v>20</v>
      </c>
      <c r="H780" s="4" t="s">
        <v>16875</v>
      </c>
      <c r="I780" s="4" t="str">
        <f>IFERROR(__XLUDF.DUMMYFUNCTION("PROPER(REGEXREPLACE(G778,""[^A-Za-z]+ "",""""))"),"Move In Med")</f>
        <v xml:space="preserve">Move In Med</v>
      </c>
      <c r="J780" s="6"/>
      <c r="K780" s="4" t="s">
        <v>482</v>
      </c>
      <c r="L780" s="4" t="s">
        <v>9460</v>
      </c>
      <c r="M780" s="4" t="s">
        <v>29</v>
      </c>
      <c r="N780" s="4" t="s">
        <v>2602</v>
      </c>
      <c r="O780" s="4" t="str">
        <f>IFERROR(__XLUDF.DUMMYFUNCTION("VLOOKUP(M778,IMPORTRANGE(""https://docs.google.com/spreadsheets/d/1opm6ZNvGZ7KditA9TuJwrZ25eFLfTNIkrNnY6mhV5Eg"",""list!A1:C115""),3,TRUE)"),"le secteur de la tech")</f>
        <v xml:space="preserve">le secteur de la tech</v>
      </c>
      <c r="P780" s="4" t="s">
        <v>16876</v>
      </c>
      <c r="R780" s="4" t="s">
        <v>16877</v>
      </c>
      <c r="S780" s="4" t="s">
        <v>10829</v>
      </c>
      <c r="T780" s="4" t="s">
        <v>29</v>
      </c>
      <c r="U780" s="5" t="s">
        <v>16878</v>
      </c>
      <c r="V780" s="6"/>
      <c r="W780" s="6"/>
      <c r="X780" s="6"/>
      <c r="Y780" s="6"/>
      <c r="Z780" s="4" t="s">
        <v>16879</v>
      </c>
      <c r="AA780" s="6"/>
      <c r="AB780" s="5" t="s">
        <v>16880</v>
      </c>
    </row>
    <row r="781" ht="14.25">
      <c r="A781" s="4" t="s">
        <v>16882</v>
      </c>
      <c r="B781" s="4" t="s">
        <v>6744</v>
      </c>
      <c r="C781" s="4" t="s">
        <v>16884</v>
      </c>
      <c r="F781" s="4" t="s">
        <v>16883</v>
      </c>
      <c r="G781" s="4">
        <v>41</v>
      </c>
      <c r="H781" s="4" t="s">
        <v>16885</v>
      </c>
      <c r="I781" s="4" t="str">
        <f>IFERROR(__XLUDF.DUMMYFUNCTION("PROPER(REGEXREPLACE(G779,""[^A-Za-z]+ "",""""))"),"Altam")</f>
        <v>Altam</v>
      </c>
      <c r="J781" s="5" t="s">
        <v>16886</v>
      </c>
      <c r="K781" s="6"/>
      <c r="L781" s="6"/>
      <c r="M781" s="4" t="s">
        <v>29</v>
      </c>
      <c r="N781" s="4" t="s">
        <v>2602</v>
      </c>
      <c r="O781" s="4" t="str">
        <f>IFERROR(__XLUDF.DUMMYFUNCTION("VLOOKUP(M779,IMPORTRANGE(""https://docs.google.com/spreadsheets/d/1opm6ZNvGZ7KditA9TuJwrZ25eFLfTNIkrNnY6mhV5Eg"",""list!A1:C115""),3,TRUE)"),"le secteur de la tech")</f>
        <v xml:space="preserve">le secteur de la tech</v>
      </c>
      <c r="P781" s="4" t="s">
        <v>16887</v>
      </c>
      <c r="R781" s="4" t="s">
        <v>39</v>
      </c>
      <c r="S781" s="4" t="s">
        <v>9160</v>
      </c>
      <c r="T781" s="4" t="s">
        <v>29</v>
      </c>
      <c r="U781" s="5" t="s">
        <v>16888</v>
      </c>
      <c r="V781" s="6"/>
      <c r="W781" s="5" t="s">
        <v>16889</v>
      </c>
      <c r="X781" s="6"/>
      <c r="Y781" s="6"/>
      <c r="Z781" s="4" t="s">
        <v>16890</v>
      </c>
      <c r="AA781" s="6"/>
      <c r="AB781" s="5" t="s">
        <v>16891</v>
      </c>
    </row>
    <row r="782" ht="14.25">
      <c r="A782" s="4" t="s">
        <v>16893</v>
      </c>
      <c r="B782" s="4" t="s">
        <v>1583</v>
      </c>
      <c r="C782" s="4" t="s">
        <v>7759</v>
      </c>
      <c r="F782" s="4" t="s">
        <v>16894</v>
      </c>
      <c r="G782" s="4">
        <v>12</v>
      </c>
      <c r="H782" s="4" t="s">
        <v>16895</v>
      </c>
      <c r="I782" s="4" t="str">
        <f>IFERROR(__XLUDF.DUMMYFUNCTION("PROPER(REGEXREPLACE(G780,""[^A-Za-z]+ "",""""))"),"Eclipse Diffusion")</f>
        <v xml:space="preserve">Eclipse Diffusion</v>
      </c>
      <c r="J782" s="5" t="s">
        <v>16896</v>
      </c>
      <c r="K782" s="4" t="s">
        <v>492</v>
      </c>
      <c r="L782" s="4" t="s">
        <v>9267</v>
      </c>
      <c r="M782" s="4" t="s">
        <v>29</v>
      </c>
      <c r="N782" s="4" t="s">
        <v>4525</v>
      </c>
      <c r="O782" s="4" t="str">
        <f>IFERROR(__XLUDF.DUMMYFUNCTION("VLOOKUP(M780,IMPORTRANGE(""https://docs.google.com/spreadsheets/d/1opm6ZNvGZ7KditA9TuJwrZ25eFLfTNIkrNnY6mhV5Eg"",""list!A1:C115""),3,TRUE)"),"le secteur du retail")</f>
        <v xml:space="preserve">le secteur du retail</v>
      </c>
      <c r="P782" s="4" t="s">
        <v>16897</v>
      </c>
      <c r="R782" s="4" t="s">
        <v>492</v>
      </c>
      <c r="S782" s="4" t="s">
        <v>9267</v>
      </c>
      <c r="T782" s="4" t="s">
        <v>29</v>
      </c>
      <c r="U782" s="5" t="s">
        <v>16898</v>
      </c>
      <c r="V782" s="6"/>
      <c r="W782" s="6"/>
      <c r="X782" s="6"/>
      <c r="Y782" s="6"/>
      <c r="Z782" s="4" t="s">
        <v>16899</v>
      </c>
      <c r="AA782" s="6"/>
      <c r="AB782" s="5" t="s">
        <v>16900</v>
      </c>
    </row>
    <row r="783" ht="14.25">
      <c r="A783" s="4" t="s">
        <v>11407</v>
      </c>
      <c r="B783" s="4" t="s">
        <v>1583</v>
      </c>
      <c r="C783" s="4" t="s">
        <v>7759</v>
      </c>
      <c r="F783" s="4" t="s">
        <v>16902</v>
      </c>
      <c r="G783" s="4">
        <v>12</v>
      </c>
      <c r="H783" s="4" t="s">
        <v>16903</v>
      </c>
      <c r="I783" s="4" t="str">
        <f>IFERROR(__XLUDF.DUMMYFUNCTION("PROPER(REGEXREPLACE(G781,""[^A-Za-z]+ "",""""))"),"Performances Lba")</f>
        <v xml:space="preserve">Performances Lba</v>
      </c>
      <c r="J783" s="5" t="s">
        <v>16904</v>
      </c>
      <c r="K783" s="6"/>
      <c r="L783" s="4" t="s">
        <v>9160</v>
      </c>
      <c r="M783" s="4" t="s">
        <v>29</v>
      </c>
      <c r="N783" s="4" t="s">
        <v>9239</v>
      </c>
      <c r="O783" s="4" t="str">
        <f>IFERROR(__XLUDF.DUMMYFUNCTION("VLOOKUP(M781,IMPORTRANGE(""https://docs.google.com/spreadsheets/d/1opm6ZNvGZ7KditA9TuJwrZ25eFLfTNIkrNnY6mhV5Eg"",""list!A1:C115""),3,TRUE)"),"le secteur de la construction")</f>
        <v xml:space="preserve">le secteur de la construction</v>
      </c>
      <c r="P783" s="4" t="s">
        <v>16905</v>
      </c>
      <c r="R783" s="4" t="s">
        <v>140</v>
      </c>
      <c r="S783" s="4" t="s">
        <v>9160</v>
      </c>
      <c r="T783" s="4" t="s">
        <v>29</v>
      </c>
      <c r="U783" s="5" t="s">
        <v>16906</v>
      </c>
      <c r="V783" s="6"/>
      <c r="W783" s="5" t="s">
        <v>16907</v>
      </c>
      <c r="X783" s="6"/>
      <c r="Y783" s="6"/>
      <c r="Z783" s="4" t="s">
        <v>16908</v>
      </c>
      <c r="AA783" s="6"/>
      <c r="AB783" s="5" t="s">
        <v>16909</v>
      </c>
    </row>
    <row r="784" ht="14.25">
      <c r="A784" s="4" t="s">
        <v>16911</v>
      </c>
      <c r="B784" s="4" t="s">
        <v>20</v>
      </c>
      <c r="C784" s="4" t="s">
        <v>16913</v>
      </c>
      <c r="F784" s="4" t="s">
        <v>16912</v>
      </c>
      <c r="G784" s="4">
        <v>19</v>
      </c>
      <c r="H784" s="4" t="s">
        <v>16914</v>
      </c>
      <c r="I784" s="4" t="str">
        <f>IFERROR(__XLUDF.DUMMYFUNCTION("PROPER(REGEXREPLACE(G782,""[^A-Za-z]+ "",""""))"),"Groupe Allure Auto")</f>
        <v xml:space="preserve">Groupe Allure Auto</v>
      </c>
      <c r="J784" s="5" t="s">
        <v>16915</v>
      </c>
      <c r="K784" s="4" t="s">
        <v>6480</v>
      </c>
      <c r="L784" s="4" t="s">
        <v>9281</v>
      </c>
      <c r="M784" s="4" t="s">
        <v>29</v>
      </c>
      <c r="N784" s="4" t="s">
        <v>4525</v>
      </c>
      <c r="O784" s="4" t="str">
        <f>IFERROR(__XLUDF.DUMMYFUNCTION("VLOOKUP(M782,IMPORTRANGE(""https://docs.google.com/spreadsheets/d/1opm6ZNvGZ7KditA9TuJwrZ25eFLfTNIkrNnY6mhV5Eg"",""list!A1:C115""),3,TRUE)"),"le secteur du retail")</f>
        <v xml:space="preserve">le secteur du retail</v>
      </c>
      <c r="P784" s="4" t="s">
        <v>16916</v>
      </c>
      <c r="R784" s="4" t="s">
        <v>6480</v>
      </c>
      <c r="S784" s="4" t="s">
        <v>9731</v>
      </c>
      <c r="T784" s="4" t="s">
        <v>29</v>
      </c>
      <c r="U784" s="5" t="s">
        <v>16917</v>
      </c>
      <c r="V784" s="6"/>
      <c r="W784" s="6"/>
      <c r="X784" s="6"/>
      <c r="Y784" s="6"/>
      <c r="Z784" s="4" t="s">
        <v>16918</v>
      </c>
      <c r="AA784" s="6"/>
      <c r="AB784" s="5" t="s">
        <v>16919</v>
      </c>
    </row>
    <row r="785" ht="14.25">
      <c r="A785" s="4" t="s">
        <v>16922</v>
      </c>
      <c r="B785" s="4" t="s">
        <v>16921</v>
      </c>
      <c r="C785" s="4" t="s">
        <v>112</v>
      </c>
      <c r="F785" s="4" t="s">
        <v>16923</v>
      </c>
      <c r="G785" s="4">
        <v>44</v>
      </c>
      <c r="H785" s="4" t="s">
        <v>16924</v>
      </c>
      <c r="I785" s="4" t="str">
        <f>IFERROR(__XLUDF.DUMMYFUNCTION("PROPER(REGEXREPLACE(G783,""[^A-Za-z]+ "",""""))"),"Jeece")</f>
        <v>Jeece</v>
      </c>
      <c r="J785" s="5" t="s">
        <v>16925</v>
      </c>
      <c r="K785" s="6"/>
      <c r="L785" s="6"/>
      <c r="M785" s="4" t="s">
        <v>29</v>
      </c>
      <c r="N785" s="4" t="s">
        <v>2602</v>
      </c>
      <c r="O785" s="4" t="str">
        <f>IFERROR(__XLUDF.DUMMYFUNCTION("VLOOKUP(M783,IMPORTRANGE(""https://docs.google.com/spreadsheets/d/1opm6ZNvGZ7KditA9TuJwrZ25eFLfTNIkrNnY6mhV5Eg"",""list!A1:C115""),3,TRUE)"),"le secteur de la tech")</f>
        <v xml:space="preserve">le secteur de la tech</v>
      </c>
      <c r="P785" s="4" t="s">
        <v>16926</v>
      </c>
      <c r="R785" s="4" t="s">
        <v>39</v>
      </c>
      <c r="S785" s="4" t="s">
        <v>9160</v>
      </c>
      <c r="T785" s="4" t="s">
        <v>29</v>
      </c>
      <c r="U785" s="5" t="s">
        <v>16927</v>
      </c>
      <c r="V785" s="5" t="s">
        <v>16928</v>
      </c>
      <c r="W785" s="5" t="s">
        <v>16929</v>
      </c>
      <c r="X785" s="6"/>
      <c r="Y785" s="6"/>
      <c r="Z785" s="4" t="s">
        <v>16930</v>
      </c>
      <c r="AA785" s="6"/>
      <c r="AB785" s="5" t="s">
        <v>16931</v>
      </c>
    </row>
    <row r="786" ht="14.25">
      <c r="A786" s="4" t="s">
        <v>16933</v>
      </c>
      <c r="B786" s="4" t="s">
        <v>6931</v>
      </c>
      <c r="C786" s="4" t="s">
        <v>87</v>
      </c>
      <c r="F786" s="4" t="s">
        <v>16934</v>
      </c>
      <c r="G786" s="4">
        <v>36</v>
      </c>
      <c r="H786" s="4" t="s">
        <v>16935</v>
      </c>
      <c r="I786" s="4" t="str">
        <f>IFERROR(__XLUDF.DUMMYFUNCTION("PROPER(REGEXREPLACE(G784,""[^A-Za-z]+ "",""""))"),"Bloomflow")</f>
        <v>Bloomflow</v>
      </c>
      <c r="J786" s="5" t="s">
        <v>16936</v>
      </c>
      <c r="K786" s="4" t="s">
        <v>39</v>
      </c>
      <c r="L786" s="4" t="s">
        <v>9160</v>
      </c>
      <c r="M786" s="4" t="s">
        <v>29</v>
      </c>
      <c r="N786" s="4" t="s">
        <v>2602</v>
      </c>
      <c r="O786" s="4" t="str">
        <f>IFERROR(__XLUDF.DUMMYFUNCTION("VLOOKUP(M784,IMPORTRANGE(""https://docs.google.com/spreadsheets/d/1opm6ZNvGZ7KditA9TuJwrZ25eFLfTNIkrNnY6mhV5Eg"",""list!A1:C115""),3,TRUE)"),"le secteur de la tech")</f>
        <v xml:space="preserve">le secteur de la tech</v>
      </c>
      <c r="P786" s="4" t="s">
        <v>16937</v>
      </c>
      <c r="R786" s="4" t="s">
        <v>39</v>
      </c>
      <c r="S786" s="4" t="s">
        <v>9160</v>
      </c>
      <c r="T786" s="4" t="s">
        <v>29</v>
      </c>
      <c r="U786" s="5" t="s">
        <v>16938</v>
      </c>
      <c r="V786" s="6"/>
      <c r="W786" s="6"/>
      <c r="X786" s="6"/>
      <c r="Y786" s="6"/>
      <c r="Z786" s="4" t="s">
        <v>16939</v>
      </c>
      <c r="AA786" s="6"/>
      <c r="AB786" s="5" t="s">
        <v>16940</v>
      </c>
    </row>
    <row r="787" ht="14.25">
      <c r="A787" s="4" t="s">
        <v>16942</v>
      </c>
      <c r="B787" s="4" t="s">
        <v>2348</v>
      </c>
      <c r="C787" s="4" t="s">
        <v>1072</v>
      </c>
      <c r="F787" s="4" t="s">
        <v>16943</v>
      </c>
      <c r="G787" s="4">
        <v>24</v>
      </c>
      <c r="H787" s="4" t="s">
        <v>16944</v>
      </c>
      <c r="I787" s="4" t="str">
        <f>IFERROR(__XLUDF.DUMMYFUNCTION("PROPER(REGEXREPLACE(G785,""[^A-Za-z]+ "",""""))"),"Inch")</f>
        <v>Inch</v>
      </c>
      <c r="J787" s="5" t="s">
        <v>16945</v>
      </c>
      <c r="K787" s="4" t="s">
        <v>39</v>
      </c>
      <c r="L787" s="4" t="s">
        <v>9160</v>
      </c>
      <c r="M787" s="4" t="s">
        <v>29</v>
      </c>
      <c r="N787" s="4" t="s">
        <v>2602</v>
      </c>
      <c r="O787" s="4" t="str">
        <f>IFERROR(__XLUDF.DUMMYFUNCTION("VLOOKUP(M785,IMPORTRANGE(""https://docs.google.com/spreadsheets/d/1opm6ZNvGZ7KditA9TuJwrZ25eFLfTNIkrNnY6mhV5Eg"",""list!A1:C115""),3,TRUE)"),"le secteur de la tech")</f>
        <v xml:space="preserve">le secteur de la tech</v>
      </c>
      <c r="P787" s="4" t="s">
        <v>16946</v>
      </c>
      <c r="R787" s="4" t="s">
        <v>39</v>
      </c>
      <c r="S787" s="4" t="s">
        <v>9160</v>
      </c>
      <c r="T787" s="4" t="s">
        <v>29</v>
      </c>
      <c r="U787" s="5" t="s">
        <v>16947</v>
      </c>
      <c r="V787" s="5" t="s">
        <v>16948</v>
      </c>
      <c r="W787" s="5" t="s">
        <v>16949</v>
      </c>
      <c r="X787" s="6"/>
      <c r="Y787" s="6"/>
      <c r="Z787" s="4" t="s">
        <v>16950</v>
      </c>
      <c r="AA787" s="6"/>
      <c r="AB787" s="5" t="s">
        <v>16951</v>
      </c>
    </row>
    <row r="788" ht="14.25">
      <c r="A788" s="4" t="s">
        <v>16953</v>
      </c>
      <c r="B788" s="4" t="s">
        <v>1583</v>
      </c>
      <c r="C788" s="4" t="s">
        <v>9456</v>
      </c>
      <c r="F788" s="4" t="s">
        <v>16954</v>
      </c>
      <c r="G788" s="4">
        <v>21</v>
      </c>
      <c r="H788" s="4" t="s">
        <v>16955</v>
      </c>
      <c r="I788" s="4" t="str">
        <f>IFERROR(__XLUDF.DUMMYFUNCTION("PROPER(REGEXREPLACE(G786,""[^A-Za-z]+ "",""""))"),"Vdi Telecom")</f>
        <v xml:space="preserve">Vdi Telecom</v>
      </c>
      <c r="J788" s="5" t="s">
        <v>16956</v>
      </c>
      <c r="K788" s="4" t="s">
        <v>185</v>
      </c>
      <c r="L788" s="4" t="s">
        <v>9193</v>
      </c>
      <c r="M788" s="4" t="s">
        <v>29</v>
      </c>
      <c r="N788" s="4" t="s">
        <v>9184</v>
      </c>
      <c r="O788" s="4" t="str">
        <f>IFERROR(__XLUDF.DUMMYFUNCTION("VLOOKUP(M786,IMPORTRANGE(""https://docs.google.com/spreadsheets/d/1opm6ZNvGZ7KditA9TuJwrZ25eFLfTNIkrNnY6mhV5Eg"",""list!A1:C115""),3,TRUE)"),"le secteur des télécommunications")</f>
        <v xml:space="preserve">le secteur des télécommunications</v>
      </c>
      <c r="P788" s="4" t="s">
        <v>16957</v>
      </c>
      <c r="R788" s="4" t="s">
        <v>185</v>
      </c>
      <c r="S788" s="4" t="s">
        <v>9193</v>
      </c>
      <c r="T788" s="4" t="s">
        <v>29</v>
      </c>
      <c r="U788" s="5" t="s">
        <v>16958</v>
      </c>
      <c r="V788" s="6"/>
      <c r="W788" s="6"/>
      <c r="X788" s="6"/>
      <c r="Y788" s="6"/>
      <c r="Z788" s="4" t="s">
        <v>16959</v>
      </c>
      <c r="AA788" s="6"/>
      <c r="AB788" s="5" t="s">
        <v>16960</v>
      </c>
    </row>
    <row r="789" ht="14.25">
      <c r="A789" s="4" t="s">
        <v>16962</v>
      </c>
      <c r="B789" s="4" t="s">
        <v>1583</v>
      </c>
      <c r="C789" s="4" t="s">
        <v>7759</v>
      </c>
      <c r="F789" s="4" t="s">
        <v>16963</v>
      </c>
      <c r="G789" s="4">
        <v>22</v>
      </c>
      <c r="H789" s="4" t="s">
        <v>16964</v>
      </c>
      <c r="I789" s="4" t="str">
        <f>IFERROR(__XLUDF.DUMMYFUNCTION("PROPER(REGEXREPLACE(G787,""[^A-Za-z]+ "",""""))"),"Msc Construction Metallique")</f>
        <v xml:space="preserve">Msc Construction Metallique</v>
      </c>
      <c r="J789" s="5" t="s">
        <v>16965</v>
      </c>
      <c r="K789" s="4" t="s">
        <v>6954</v>
      </c>
      <c r="L789" s="4" t="s">
        <v>9484</v>
      </c>
      <c r="M789" s="4" t="s">
        <v>29</v>
      </c>
      <c r="N789" s="4" t="s">
        <v>9239</v>
      </c>
      <c r="O789" s="4" t="str">
        <f>IFERROR(__XLUDF.DUMMYFUNCTION("VLOOKUP(M787,IMPORTRANGE(""https://docs.google.com/spreadsheets/d/1opm6ZNvGZ7KditA9TuJwrZ25eFLfTNIkrNnY6mhV5Eg"",""list!A1:C115""),3,TRUE)"),"le secteur de la construction")</f>
        <v xml:space="preserve">le secteur de la construction</v>
      </c>
      <c r="P789" s="6"/>
      <c r="R789" s="4" t="s">
        <v>16966</v>
      </c>
      <c r="S789" s="4" t="s">
        <v>10370</v>
      </c>
      <c r="T789" s="4" t="s">
        <v>29</v>
      </c>
      <c r="U789" s="5" t="s">
        <v>16967</v>
      </c>
      <c r="V789" s="6"/>
      <c r="W789" s="6"/>
      <c r="X789" s="6"/>
      <c r="Y789" s="6"/>
      <c r="Z789" s="4" t="s">
        <v>16968</v>
      </c>
      <c r="AA789" s="6"/>
      <c r="AB789" s="5" t="s">
        <v>16969</v>
      </c>
    </row>
    <row r="790" ht="14.25">
      <c r="A790" s="4" t="s">
        <v>16971</v>
      </c>
      <c r="B790" s="4" t="s">
        <v>1583</v>
      </c>
      <c r="C790" s="4" t="s">
        <v>14584</v>
      </c>
      <c r="F790" s="4" t="s">
        <v>16972</v>
      </c>
      <c r="G790" s="4">
        <v>15</v>
      </c>
      <c r="H790" s="4" t="s">
        <v>16973</v>
      </c>
      <c r="I790" s="4" t="str">
        <f>IFERROR(__XLUDF.DUMMYFUNCTION("PROPER(REGEXREPLACE(G788,""[^A-Za-z]+ "",""""))"),"Illinks")</f>
        <v>Illinks</v>
      </c>
      <c r="J790" s="5" t="s">
        <v>16974</v>
      </c>
      <c r="K790" s="4" t="s">
        <v>16314</v>
      </c>
      <c r="L790" s="4" t="s">
        <v>12581</v>
      </c>
      <c r="M790" s="4" t="s">
        <v>29</v>
      </c>
      <c r="N790" s="4" t="s">
        <v>2602</v>
      </c>
      <c r="O790" s="4" t="str">
        <f>IFERROR(__XLUDF.DUMMYFUNCTION("VLOOKUP(M788,IMPORTRANGE(""https://docs.google.com/spreadsheets/d/1opm6ZNvGZ7KditA9TuJwrZ25eFLfTNIkrNnY6mhV5Eg"",""list!A1:C115""),3,TRUE)"),"le secteur de la tech")</f>
        <v xml:space="preserve">le secteur de la tech</v>
      </c>
      <c r="P790" s="4" t="s">
        <v>16975</v>
      </c>
      <c r="R790" s="4" t="s">
        <v>10699</v>
      </c>
      <c r="S790" s="4" t="s">
        <v>9463</v>
      </c>
      <c r="T790" s="4" t="s">
        <v>29</v>
      </c>
      <c r="U790" s="5" t="s">
        <v>16976</v>
      </c>
      <c r="V790" s="6"/>
      <c r="W790" s="6"/>
      <c r="X790" s="6"/>
      <c r="Y790" s="6"/>
      <c r="Z790" s="4" t="s">
        <v>16977</v>
      </c>
      <c r="AA790" s="6"/>
      <c r="AB790" s="5" t="s">
        <v>16978</v>
      </c>
    </row>
    <row r="791" ht="14.25">
      <c r="A791" s="4" t="s">
        <v>16980</v>
      </c>
      <c r="B791" s="4" t="s">
        <v>1583</v>
      </c>
      <c r="C791" s="4" t="s">
        <v>9849</v>
      </c>
      <c r="F791" s="4" t="s">
        <v>16981</v>
      </c>
      <c r="G791" s="4">
        <v>20</v>
      </c>
      <c r="H791" s="4" t="s">
        <v>13580</v>
      </c>
      <c r="I791" s="4" t="str">
        <f>IFERROR(__XLUDF.DUMMYFUNCTION("PROPER(REGEXREPLACE(G789,""[^A-Za-z]+ "",""""))"),"3S2I")</f>
        <v>3S2I</v>
      </c>
      <c r="J791" s="5" t="s">
        <v>13581</v>
      </c>
      <c r="K791" s="4" t="s">
        <v>49</v>
      </c>
      <c r="L791" s="4" t="s">
        <v>9251</v>
      </c>
      <c r="M791" s="4" t="s">
        <v>29</v>
      </c>
      <c r="N791" s="4" t="s">
        <v>2602</v>
      </c>
      <c r="O791" s="4" t="str">
        <f>IFERROR(__XLUDF.DUMMYFUNCTION("VLOOKUP(M789,IMPORTRANGE(""https://docs.google.com/spreadsheets/d/1opm6ZNvGZ7KditA9TuJwrZ25eFLfTNIkrNnY6mhV5Eg"",""list!A1:C115""),3,TRUE)"),"le secteur de la tech")</f>
        <v xml:space="preserve">le secteur de la tech</v>
      </c>
      <c r="P791" s="4" t="s">
        <v>13582</v>
      </c>
      <c r="R791" s="4" t="s">
        <v>49</v>
      </c>
      <c r="S791" s="4" t="s">
        <v>9251</v>
      </c>
      <c r="T791" s="4" t="s">
        <v>29</v>
      </c>
      <c r="U791" s="5" t="s">
        <v>13583</v>
      </c>
      <c r="V791" s="6"/>
      <c r="W791" s="6"/>
      <c r="X791" s="6"/>
      <c r="Y791" s="6"/>
      <c r="Z791" s="4" t="s">
        <v>13584</v>
      </c>
      <c r="AA791" s="6"/>
      <c r="AB791" s="5" t="s">
        <v>16982</v>
      </c>
    </row>
    <row r="792" ht="14.25">
      <c r="A792" s="4" t="s">
        <v>16984</v>
      </c>
      <c r="B792" s="4" t="s">
        <v>1583</v>
      </c>
      <c r="C792" s="4" t="s">
        <v>16986</v>
      </c>
      <c r="F792" s="4" t="s">
        <v>16985</v>
      </c>
      <c r="G792" s="4">
        <v>10</v>
      </c>
      <c r="H792" s="4" t="s">
        <v>16987</v>
      </c>
      <c r="I792" s="4" t="str">
        <f>IFERROR(__XLUDF.DUMMYFUNCTION("PROPER(REGEXREPLACE(G790,""[^A-Za-z]+ "",""""))"),"Ageris Group")</f>
        <v xml:space="preserve">Ageris Group</v>
      </c>
      <c r="J792" s="5" t="s">
        <v>16988</v>
      </c>
      <c r="K792" s="4" t="s">
        <v>4922</v>
      </c>
      <c r="L792" s="4" t="s">
        <v>9215</v>
      </c>
      <c r="M792" s="4" t="s">
        <v>29</v>
      </c>
      <c r="N792" s="4" t="s">
        <v>4067</v>
      </c>
      <c r="O792" s="4" t="str">
        <f>IFERROR(__XLUDF.DUMMYFUNCTION("VLOOKUP(M790,IMPORTRANGE(""https://docs.google.com/spreadsheets/d/1opm6ZNvGZ7KditA9TuJwrZ25eFLfTNIkrNnY6mhV5Eg"",""list!A1:C115""),3,TRUE)"),"le secteur du conseil en management")</f>
        <v xml:space="preserve">le secteur du conseil en management</v>
      </c>
      <c r="P792" s="4" t="s">
        <v>16989</v>
      </c>
      <c r="R792" s="4" t="s">
        <v>4922</v>
      </c>
      <c r="S792" s="4" t="s">
        <v>9215</v>
      </c>
      <c r="T792" s="4" t="s">
        <v>29</v>
      </c>
      <c r="U792" s="5" t="s">
        <v>16990</v>
      </c>
      <c r="V792" s="5" t="s">
        <v>16991</v>
      </c>
      <c r="W792" s="5" t="s">
        <v>16992</v>
      </c>
      <c r="X792" s="6"/>
      <c r="Y792" s="6"/>
      <c r="Z792" s="4" t="s">
        <v>16993</v>
      </c>
      <c r="AA792" s="6"/>
      <c r="AB792" s="5" t="s">
        <v>16994</v>
      </c>
    </row>
    <row r="793" ht="14.25">
      <c r="A793" s="4" t="s">
        <v>16996</v>
      </c>
      <c r="B793" s="4" t="s">
        <v>20</v>
      </c>
      <c r="C793" s="4" t="s">
        <v>9431</v>
      </c>
      <c r="F793" s="4" t="s">
        <v>16997</v>
      </c>
      <c r="G793" s="4">
        <v>21</v>
      </c>
      <c r="H793" s="4" t="s">
        <v>9432</v>
      </c>
      <c r="I793" s="4" t="str">
        <f>IFERROR(__XLUDF.DUMMYFUNCTION("PROPER(REGEXREPLACE(G791,""[^A-Za-z]+ "",""""))"),"Shodo Nantes")</f>
        <v xml:space="preserve">Shodo Nantes</v>
      </c>
      <c r="J793" s="6"/>
      <c r="K793" s="4" t="s">
        <v>1826</v>
      </c>
      <c r="L793" s="4" t="s">
        <v>9227</v>
      </c>
      <c r="M793" s="4" t="s">
        <v>29</v>
      </c>
      <c r="N793" s="4" t="s">
        <v>2602</v>
      </c>
      <c r="O793" s="4" t="str">
        <f>IFERROR(__XLUDF.DUMMYFUNCTION("VLOOKUP(M791,IMPORTRANGE(""https://docs.google.com/spreadsheets/d/1opm6ZNvGZ7KditA9TuJwrZ25eFLfTNIkrNnY6mhV5Eg"",""list!A1:C115""),3,TRUE)"),"le secteur de la tech")</f>
        <v xml:space="preserve">le secteur de la tech</v>
      </c>
      <c r="P793" s="6"/>
      <c r="R793" s="4" t="s">
        <v>1711</v>
      </c>
      <c r="S793" s="4" t="s">
        <v>9350</v>
      </c>
      <c r="T793" s="4" t="s">
        <v>29</v>
      </c>
      <c r="U793" s="5" t="s">
        <v>9433</v>
      </c>
      <c r="V793" s="6"/>
      <c r="W793" s="6"/>
      <c r="X793" s="6"/>
      <c r="Y793" s="6"/>
      <c r="Z793" s="4" t="s">
        <v>9434</v>
      </c>
      <c r="AA793" s="6"/>
      <c r="AB793" s="5" t="s">
        <v>16998</v>
      </c>
    </row>
    <row r="794" ht="14.25">
      <c r="A794" s="4" t="s">
        <v>17000</v>
      </c>
      <c r="B794" s="4" t="s">
        <v>20</v>
      </c>
      <c r="C794" s="4" t="s">
        <v>172</v>
      </c>
      <c r="F794" s="4" t="s">
        <v>17001</v>
      </c>
      <c r="G794" s="4">
        <v>12</v>
      </c>
      <c r="H794" s="4" t="s">
        <v>17002</v>
      </c>
      <c r="I794" s="4" t="str">
        <f>IFERROR(__XLUDF.DUMMYFUNCTION("PROPER(REGEXREPLACE(G792,""[^A-Za-z]+ "",""""))"),"Cube")</f>
        <v>Cube</v>
      </c>
      <c r="J794" s="5" t="s">
        <v>17003</v>
      </c>
      <c r="K794" s="4" t="s">
        <v>39</v>
      </c>
      <c r="L794" s="4" t="s">
        <v>9160</v>
      </c>
      <c r="M794" s="4" t="s">
        <v>29</v>
      </c>
      <c r="N794" s="4" t="s">
        <v>9239</v>
      </c>
      <c r="O794" s="4" t="str">
        <f>IFERROR(__XLUDF.DUMMYFUNCTION("VLOOKUP(M792,IMPORTRANGE(""https://docs.google.com/spreadsheets/d/1opm6ZNvGZ7KditA9TuJwrZ25eFLfTNIkrNnY6mhV5Eg"",""list!A1:C115""),3,TRUE)"),"le secteur de la construction")</f>
        <v xml:space="preserve">le secteur de la construction</v>
      </c>
      <c r="P794" s="4" t="s">
        <v>17004</v>
      </c>
      <c r="R794" s="4" t="s">
        <v>39</v>
      </c>
      <c r="S794" s="4" t="s">
        <v>9160</v>
      </c>
      <c r="T794" s="4" t="s">
        <v>29</v>
      </c>
      <c r="U794" s="5" t="s">
        <v>17005</v>
      </c>
      <c r="V794" s="6"/>
      <c r="W794" s="6"/>
      <c r="X794" s="6"/>
      <c r="Y794" s="6"/>
      <c r="Z794" s="4" t="s">
        <v>17006</v>
      </c>
      <c r="AA794" s="6"/>
      <c r="AB794" s="5" t="s">
        <v>17007</v>
      </c>
    </row>
    <row r="795" ht="14.25">
      <c r="A795" s="4" t="s">
        <v>17009</v>
      </c>
      <c r="B795" s="4" t="s">
        <v>20</v>
      </c>
      <c r="C795" s="4" t="s">
        <v>7759</v>
      </c>
      <c r="F795" s="4" t="s">
        <v>17010</v>
      </c>
      <c r="G795" s="4">
        <v>16</v>
      </c>
      <c r="H795" s="4" t="s">
        <v>17011</v>
      </c>
      <c r="I795" s="4" t="str">
        <f>IFERROR(__XLUDF.DUMMYFUNCTION("PROPER(REGEXREPLACE(G793,""[^A-Za-z]+ "",""""))"),"Sgrignolo")</f>
        <v>Sgrignolo</v>
      </c>
      <c r="J795" s="5" t="s">
        <v>17012</v>
      </c>
      <c r="K795" s="4" t="s">
        <v>11716</v>
      </c>
      <c r="L795" s="4" t="s">
        <v>9215</v>
      </c>
      <c r="M795" s="4" t="s">
        <v>29</v>
      </c>
      <c r="N795" s="4" t="s">
        <v>10215</v>
      </c>
      <c r="O795" s="4" t="str">
        <f>IFERROR(__XLUDF.DUMMYFUNCTION("VLOOKUP(M793,IMPORTRANGE(""https://docs.google.com/spreadsheets/d/1opm6ZNvGZ7KditA9TuJwrZ25eFLfTNIkrNnY6mhV5Eg"",""list!A1:C115""),3,TRUE)"),"le secteur de l'électrique et électronique")</f>
        <v xml:space="preserve">le secteur de l'électrique et électronique</v>
      </c>
      <c r="P795" s="4" t="s">
        <v>17013</v>
      </c>
      <c r="R795" s="6"/>
      <c r="S795" s="6"/>
      <c r="T795" s="4" t="s">
        <v>29</v>
      </c>
      <c r="U795" s="5" t="s">
        <v>17014</v>
      </c>
      <c r="V795" s="6"/>
      <c r="W795" s="5" t="s">
        <v>17015</v>
      </c>
      <c r="X795" s="6"/>
      <c r="Y795" s="6"/>
      <c r="Z795" s="4" t="s">
        <v>17016</v>
      </c>
      <c r="AA795" s="6"/>
      <c r="AB795" s="5" t="s">
        <v>17017</v>
      </c>
    </row>
    <row r="796" ht="14.25">
      <c r="A796" s="4" t="s">
        <v>17019</v>
      </c>
      <c r="B796" s="4" t="s">
        <v>20</v>
      </c>
      <c r="C796" s="4" t="s">
        <v>112</v>
      </c>
      <c r="F796" s="4" t="s">
        <v>17020</v>
      </c>
      <c r="G796" s="4">
        <v>12</v>
      </c>
      <c r="H796" s="4" t="s">
        <v>17021</v>
      </c>
      <c r="I796" s="4" t="str">
        <f>IFERROR(__XLUDF.DUMMYFUNCTION("PROPER(REGEXREPLACE(G794,""[^A-Za-z]+ "",""""))"),"Ingely")</f>
        <v>Ingely</v>
      </c>
      <c r="J796" s="5" t="s">
        <v>17022</v>
      </c>
      <c r="K796" s="4" t="s">
        <v>6777</v>
      </c>
      <c r="L796" s="4" t="s">
        <v>11114</v>
      </c>
      <c r="M796" s="4" t="s">
        <v>29</v>
      </c>
      <c r="N796" s="4" t="s">
        <v>2602</v>
      </c>
      <c r="O796" s="4" t="str">
        <f>IFERROR(__XLUDF.DUMMYFUNCTION("VLOOKUP(M794,IMPORTRANGE(""https://docs.google.com/spreadsheets/d/1opm6ZNvGZ7KditA9TuJwrZ25eFLfTNIkrNnY6mhV5Eg"",""list!A1:C115""),3,TRUE)"),"le secteur de la tech")</f>
        <v xml:space="preserve">le secteur de la tech</v>
      </c>
      <c r="P796" s="4" t="s">
        <v>17023</v>
      </c>
      <c r="R796" s="4" t="s">
        <v>17024</v>
      </c>
      <c r="S796" s="4" t="s">
        <v>9350</v>
      </c>
      <c r="T796" s="4" t="s">
        <v>29</v>
      </c>
      <c r="U796" s="5" t="s">
        <v>17025</v>
      </c>
      <c r="V796" s="6"/>
      <c r="W796" s="6"/>
      <c r="X796" s="6"/>
      <c r="Y796" s="6"/>
      <c r="Z796" s="4" t="s">
        <v>17026</v>
      </c>
      <c r="AA796" s="6"/>
      <c r="AB796" s="5" t="s">
        <v>17027</v>
      </c>
    </row>
    <row r="797" ht="14.25">
      <c r="A797" s="4" t="s">
        <v>17029</v>
      </c>
      <c r="B797" s="4" t="s">
        <v>20</v>
      </c>
      <c r="C797" s="4" t="s">
        <v>17031</v>
      </c>
      <c r="F797" s="4" t="s">
        <v>17030</v>
      </c>
      <c r="G797" s="4">
        <v>50</v>
      </c>
      <c r="H797" s="4" t="s">
        <v>17032</v>
      </c>
      <c r="I797" s="4" t="str">
        <f>IFERROR(__XLUDF.DUMMYFUNCTION("PROPER(REGEXREPLACE(G795,""[^A-Za-z]+ "",""""))"),"Suricats Consulting")</f>
        <v xml:space="preserve">Suricats Consulting</v>
      </c>
      <c r="J797" s="5" t="s">
        <v>17033</v>
      </c>
      <c r="K797" s="4" t="s">
        <v>140</v>
      </c>
      <c r="L797" s="4" t="s">
        <v>9160</v>
      </c>
      <c r="M797" s="4" t="s">
        <v>29</v>
      </c>
      <c r="N797" s="4" t="s">
        <v>4067</v>
      </c>
      <c r="O797" s="4" t="str">
        <f>IFERROR(__XLUDF.DUMMYFUNCTION("VLOOKUP(M795,IMPORTRANGE(""https://docs.google.com/spreadsheets/d/1opm6ZNvGZ7KditA9TuJwrZ25eFLfTNIkrNnY6mhV5Eg"",""list!A1:C115""),3,TRUE)"),"le secteur du conseil en management")</f>
        <v xml:space="preserve">le secteur du conseil en management</v>
      </c>
      <c r="P797" s="4" t="s">
        <v>17034</v>
      </c>
      <c r="R797" s="4" t="s">
        <v>39</v>
      </c>
      <c r="S797" s="4" t="s">
        <v>9160</v>
      </c>
      <c r="T797" s="4" t="s">
        <v>29</v>
      </c>
      <c r="U797" s="5" t="s">
        <v>17035</v>
      </c>
      <c r="V797" s="5" t="s">
        <v>17036</v>
      </c>
      <c r="W797" s="6"/>
      <c r="X797" s="6"/>
      <c r="Y797" s="6"/>
      <c r="Z797" s="4" t="s">
        <v>17037</v>
      </c>
      <c r="AA797" s="6"/>
      <c r="AB797" s="5" t="s">
        <v>17038</v>
      </c>
    </row>
    <row r="798" ht="14.25">
      <c r="A798" s="4" t="s">
        <v>17040</v>
      </c>
      <c r="B798" s="4" t="s">
        <v>20</v>
      </c>
      <c r="C798" s="4" t="s">
        <v>17042</v>
      </c>
      <c r="F798" s="4" t="s">
        <v>17041</v>
      </c>
      <c r="G798" s="4">
        <v>18</v>
      </c>
      <c r="H798" s="4" t="s">
        <v>14565</v>
      </c>
      <c r="I798" s="4" t="str">
        <f>IFERROR(__XLUDF.DUMMYFUNCTION("PROPER(REGEXREPLACE(G796,""[^A-Za-z]+ "",""""))"),"E-Nova")</f>
        <v>E-Nova</v>
      </c>
      <c r="J798" s="5" t="s">
        <v>14566</v>
      </c>
      <c r="K798" s="6"/>
      <c r="L798" s="6"/>
      <c r="M798" s="4" t="s">
        <v>29</v>
      </c>
      <c r="N798" s="4" t="s">
        <v>4525</v>
      </c>
      <c r="O798" s="4" t="str">
        <f>IFERROR(__XLUDF.DUMMYFUNCTION("VLOOKUP(M796,IMPORTRANGE(""https://docs.google.com/spreadsheets/d/1opm6ZNvGZ7KditA9TuJwrZ25eFLfTNIkrNnY6mhV5Eg"",""list!A1:C115""),3,TRUE)"),"le secteur du retail")</f>
        <v xml:space="preserve">le secteur du retail</v>
      </c>
      <c r="P798" s="4" t="s">
        <v>14567</v>
      </c>
      <c r="R798" s="4" t="s">
        <v>1419</v>
      </c>
      <c r="S798" s="4" t="s">
        <v>9160</v>
      </c>
      <c r="T798" s="4" t="s">
        <v>29</v>
      </c>
      <c r="U798" s="5" t="s">
        <v>14568</v>
      </c>
      <c r="V798" s="6"/>
      <c r="W798" s="6"/>
      <c r="X798" s="6"/>
      <c r="Y798" s="6"/>
      <c r="Z798" s="4" t="s">
        <v>14569</v>
      </c>
      <c r="AA798" s="6"/>
      <c r="AB798" s="5" t="s">
        <v>17043</v>
      </c>
    </row>
    <row r="799" ht="14.25">
      <c r="A799" s="4" t="s">
        <v>17045</v>
      </c>
      <c r="B799" s="4" t="s">
        <v>20</v>
      </c>
      <c r="C799" s="4" t="s">
        <v>172</v>
      </c>
      <c r="F799" s="4" t="s">
        <v>17046</v>
      </c>
      <c r="G799" s="4">
        <v>10</v>
      </c>
      <c r="H799" s="4" t="s">
        <v>17047</v>
      </c>
      <c r="I799" s="4" t="str">
        <f>IFERROR(__XLUDF.DUMMYFUNCTION("PROPER(REGEXREPLACE(G797,""[^A-Za-z]+ "",""""))"),"Tfm Marketing")</f>
        <v xml:space="preserve">Tfm Marketing</v>
      </c>
      <c r="J799" s="5" t="s">
        <v>17048</v>
      </c>
      <c r="K799" s="4" t="s">
        <v>6954</v>
      </c>
      <c r="L799" s="4" t="s">
        <v>9484</v>
      </c>
      <c r="M799" s="4" t="s">
        <v>29</v>
      </c>
      <c r="N799" s="4" t="s">
        <v>4067</v>
      </c>
      <c r="O799" s="4" t="str">
        <f>IFERROR(__XLUDF.DUMMYFUNCTION("VLOOKUP(M797,IMPORTRANGE(""https://docs.google.com/spreadsheets/d/1opm6ZNvGZ7KditA9TuJwrZ25eFLfTNIkrNnY6mhV5Eg"",""list!A1:C115""),3,TRUE)"),"le secteur du conseil en management")</f>
        <v xml:space="preserve">le secteur du conseil en management</v>
      </c>
      <c r="P799" s="4" t="s">
        <v>17049</v>
      </c>
      <c r="R799" s="4" t="s">
        <v>17050</v>
      </c>
      <c r="S799" s="4" t="s">
        <v>9484</v>
      </c>
      <c r="T799" s="4" t="s">
        <v>29</v>
      </c>
      <c r="U799" s="5" t="s">
        <v>17051</v>
      </c>
      <c r="V799" s="6"/>
      <c r="W799" s="6"/>
      <c r="X799" s="6"/>
      <c r="Y799" s="6"/>
      <c r="Z799" s="4" t="s">
        <v>17052</v>
      </c>
      <c r="AA799" s="6"/>
      <c r="AB799" s="5" t="s">
        <v>17053</v>
      </c>
    </row>
    <row r="800" ht="14.25">
      <c r="A800" s="4" t="s">
        <v>17055</v>
      </c>
      <c r="B800" s="4" t="s">
        <v>20</v>
      </c>
      <c r="C800" s="4" t="s">
        <v>7759</v>
      </c>
      <c r="F800" s="4" t="s">
        <v>17056</v>
      </c>
      <c r="G800" s="4">
        <v>12</v>
      </c>
      <c r="H800" s="4" t="s">
        <v>17057</v>
      </c>
      <c r="I800" s="4" t="str">
        <f>IFERROR(__XLUDF.DUMMYFUNCTION("PROPER(REGEXREPLACE(G798,""[^A-Za-z]+ "",""""))"),"Ns2B")</f>
        <v>Ns2B</v>
      </c>
      <c r="J800" s="5" t="s">
        <v>17058</v>
      </c>
      <c r="K800" s="4" t="s">
        <v>39</v>
      </c>
      <c r="L800" s="4" t="s">
        <v>9160</v>
      </c>
      <c r="M800" s="4" t="s">
        <v>29</v>
      </c>
      <c r="N800" s="4" t="s">
        <v>2602</v>
      </c>
      <c r="O800" s="4" t="str">
        <f>IFERROR(__XLUDF.DUMMYFUNCTION("VLOOKUP(M798,IMPORTRANGE(""https://docs.google.com/spreadsheets/d/1opm6ZNvGZ7KditA9TuJwrZ25eFLfTNIkrNnY6mhV5Eg"",""list!A1:C115""),3,TRUE)"),"le secteur de la tech")</f>
        <v xml:space="preserve">le secteur de la tech</v>
      </c>
      <c r="P800" s="4" t="s">
        <v>17059</v>
      </c>
      <c r="R800" s="4" t="s">
        <v>11445</v>
      </c>
      <c r="S800" s="4" t="s">
        <v>9160</v>
      </c>
      <c r="T800" s="4" t="s">
        <v>29</v>
      </c>
      <c r="U800" s="5" t="s">
        <v>17060</v>
      </c>
      <c r="V800" s="6"/>
      <c r="W800" s="5" t="s">
        <v>17061</v>
      </c>
      <c r="X800" s="6"/>
      <c r="Y800" s="6"/>
      <c r="Z800" s="4" t="s">
        <v>17062</v>
      </c>
      <c r="AA800" s="6"/>
      <c r="AB800" s="5" t="s">
        <v>17063</v>
      </c>
    </row>
    <row r="801" ht="14.25">
      <c r="A801" s="4" t="s">
        <v>52</v>
      </c>
      <c r="B801" s="4" t="s">
        <v>20</v>
      </c>
      <c r="C801" s="4" t="s">
        <v>17066</v>
      </c>
      <c r="F801" s="4" t="s">
        <v>17065</v>
      </c>
      <c r="G801" s="4">
        <v>12</v>
      </c>
      <c r="H801" s="4" t="s">
        <v>17067</v>
      </c>
      <c r="I801" s="4" t="str">
        <f>IFERROR(__XLUDF.DUMMYFUNCTION("PROPER(REGEXREPLACE(G799,""[^A-Za-z]+ "",""""))"),"La Cantine Des Talents")</f>
        <v xml:space="preserve">La Cantine Des Talents</v>
      </c>
      <c r="J801" s="5" t="s">
        <v>17068</v>
      </c>
      <c r="K801" s="4" t="s">
        <v>39</v>
      </c>
      <c r="L801" s="4" t="s">
        <v>9160</v>
      </c>
      <c r="M801" s="4" t="s">
        <v>29</v>
      </c>
      <c r="N801" s="4" t="s">
        <v>2602</v>
      </c>
      <c r="O801" s="4" t="str">
        <f>IFERROR(__XLUDF.DUMMYFUNCTION("VLOOKUP(M799,IMPORTRANGE(""https://docs.google.com/spreadsheets/d/1opm6ZNvGZ7KditA9TuJwrZ25eFLfTNIkrNnY6mhV5Eg"",""list!A1:C115""),3,TRUE)"),"le secteur de la tech")</f>
        <v xml:space="preserve">le secteur de la tech</v>
      </c>
      <c r="P801" s="4" t="s">
        <v>17069</v>
      </c>
      <c r="R801" s="4" t="s">
        <v>1312</v>
      </c>
      <c r="S801" s="4" t="s">
        <v>9350</v>
      </c>
      <c r="T801" s="4" t="s">
        <v>29</v>
      </c>
      <c r="U801" s="5" t="s">
        <v>17070</v>
      </c>
      <c r="V801" s="6"/>
      <c r="W801" s="5" t="s">
        <v>9981</v>
      </c>
      <c r="X801" s="6"/>
      <c r="Y801" s="6"/>
      <c r="Z801" s="6"/>
      <c r="AA801" s="6"/>
      <c r="AB801" s="5" t="s">
        <v>17071</v>
      </c>
    </row>
    <row r="802" ht="14.25">
      <c r="A802" s="4" t="s">
        <v>17073</v>
      </c>
      <c r="B802" s="4" t="s">
        <v>20</v>
      </c>
      <c r="C802" s="4" t="s">
        <v>9456</v>
      </c>
      <c r="F802" s="4" t="s">
        <v>17074</v>
      </c>
      <c r="G802" s="4">
        <v>12</v>
      </c>
      <c r="H802" s="4" t="s">
        <v>17075</v>
      </c>
      <c r="I802" s="4" t="str">
        <f>IFERROR(__XLUDF.DUMMYFUNCTION("PROPER(REGEXREPLACE(G800,""[^A-Za-z]+ "",""""))"),"Localease")</f>
        <v>Localease</v>
      </c>
      <c r="J802" s="5" t="s">
        <v>17076</v>
      </c>
      <c r="K802" s="4" t="s">
        <v>11103</v>
      </c>
      <c r="L802" s="4" t="s">
        <v>9251</v>
      </c>
      <c r="M802" s="4" t="s">
        <v>29</v>
      </c>
      <c r="N802" s="4" t="s">
        <v>4525</v>
      </c>
      <c r="O802" s="4" t="str">
        <f>IFERROR(__XLUDF.DUMMYFUNCTION("VLOOKUP(M800,IMPORTRANGE(""https://docs.google.com/spreadsheets/d/1opm6ZNvGZ7KditA9TuJwrZ25eFLfTNIkrNnY6mhV5Eg"",""list!A1:C115""),3,TRUE)"),"le secteur du retail")</f>
        <v xml:space="preserve">le secteur du retail</v>
      </c>
      <c r="P802" s="4" t="s">
        <v>17077</v>
      </c>
      <c r="R802" s="4" t="s">
        <v>11103</v>
      </c>
      <c r="S802" s="4" t="s">
        <v>9251</v>
      </c>
      <c r="T802" s="4" t="s">
        <v>29</v>
      </c>
      <c r="U802" s="5" t="s">
        <v>17078</v>
      </c>
      <c r="V802" s="5" t="s">
        <v>17079</v>
      </c>
      <c r="W802" s="5" t="s">
        <v>17080</v>
      </c>
      <c r="X802" s="6"/>
      <c r="Y802" s="6"/>
      <c r="Z802" s="4" t="s">
        <v>17081</v>
      </c>
      <c r="AA802" s="6"/>
      <c r="AB802" s="5" t="s">
        <v>17082</v>
      </c>
    </row>
    <row r="803" ht="14.25">
      <c r="A803" s="4" t="s">
        <v>6333</v>
      </c>
      <c r="B803" s="4" t="s">
        <v>17084</v>
      </c>
      <c r="C803" s="4" t="s">
        <v>17086</v>
      </c>
      <c r="F803" s="4" t="s">
        <v>17085</v>
      </c>
      <c r="G803" s="4">
        <v>16</v>
      </c>
      <c r="H803" s="4" t="s">
        <v>17087</v>
      </c>
      <c r="I803" s="4" t="str">
        <f>IFERROR(__XLUDF.DUMMYFUNCTION("PROPER(REGEXREPLACE(G801,""[^A-Za-z]+ "",""""))"),"Bonnes Manières")</f>
        <v xml:space="preserve">Bonnes Manières</v>
      </c>
      <c r="J803" s="5" t="s">
        <v>17088</v>
      </c>
      <c r="K803" s="4" t="s">
        <v>17089</v>
      </c>
      <c r="L803" s="4" t="s">
        <v>9193</v>
      </c>
      <c r="M803" s="4" t="s">
        <v>29</v>
      </c>
      <c r="N803" s="4" t="s">
        <v>4067</v>
      </c>
      <c r="O803" s="4" t="str">
        <f>IFERROR(__XLUDF.DUMMYFUNCTION("VLOOKUP(M801,IMPORTRANGE(""https://docs.google.com/spreadsheets/d/1opm6ZNvGZ7KditA9TuJwrZ25eFLfTNIkrNnY6mhV5Eg"",""list!A1:C115""),3,TRUE)"),"le secteur du conseil en management")</f>
        <v xml:space="preserve">le secteur du conseil en management</v>
      </c>
      <c r="P803" s="4" t="s">
        <v>17090</v>
      </c>
      <c r="R803" s="4" t="s">
        <v>2174</v>
      </c>
      <c r="S803" s="4" t="s">
        <v>9172</v>
      </c>
      <c r="T803" s="4" t="s">
        <v>29</v>
      </c>
      <c r="U803" s="5" t="s">
        <v>17091</v>
      </c>
      <c r="V803" s="6"/>
      <c r="W803" s="6"/>
      <c r="X803" s="6"/>
      <c r="Y803" s="6"/>
      <c r="Z803" s="4" t="s">
        <v>17092</v>
      </c>
      <c r="AA803" s="6"/>
      <c r="AB803" s="5" t="s">
        <v>17093</v>
      </c>
    </row>
    <row r="804" ht="14.25">
      <c r="A804" s="4" t="s">
        <v>17095</v>
      </c>
      <c r="B804" s="4" t="s">
        <v>7307</v>
      </c>
      <c r="C804" s="4" t="s">
        <v>17097</v>
      </c>
      <c r="F804" s="4" t="s">
        <v>17096</v>
      </c>
      <c r="G804" s="4">
        <v>16</v>
      </c>
      <c r="H804" s="4" t="s">
        <v>17098</v>
      </c>
      <c r="I804" s="4" t="str">
        <f>IFERROR(__XLUDF.DUMMYFUNCTION("PROPER(REGEXREPLACE(G802,""[^A-Za-z]+ "",""""))"),"Athome Solution")</f>
        <v xml:space="preserve">Athome Solution</v>
      </c>
      <c r="J804" s="5" t="s">
        <v>17099</v>
      </c>
      <c r="K804" s="4" t="s">
        <v>243</v>
      </c>
      <c r="L804" s="4" t="s">
        <v>9864</v>
      </c>
      <c r="M804" s="4" t="s">
        <v>29</v>
      </c>
      <c r="N804" s="4" t="s">
        <v>2602</v>
      </c>
      <c r="O804" s="4" t="str">
        <f>IFERROR(__XLUDF.DUMMYFUNCTION("VLOOKUP(M802,IMPORTRANGE(""https://docs.google.com/spreadsheets/d/1opm6ZNvGZ7KditA9TuJwrZ25eFLfTNIkrNnY6mhV5Eg"",""list!A1:C115""),3,TRUE)"),"le secteur de la tech")</f>
        <v xml:space="preserve">le secteur de la tech</v>
      </c>
      <c r="P804" s="4" t="s">
        <v>17100</v>
      </c>
      <c r="R804" s="4" t="s">
        <v>243</v>
      </c>
      <c r="S804" s="4" t="s">
        <v>9864</v>
      </c>
      <c r="T804" s="4" t="s">
        <v>29</v>
      </c>
      <c r="U804" s="5" t="s">
        <v>17101</v>
      </c>
      <c r="V804" s="6"/>
      <c r="W804" s="6"/>
      <c r="X804" s="6"/>
      <c r="Y804" s="6"/>
      <c r="Z804" s="4" t="s">
        <v>17102</v>
      </c>
      <c r="AA804" s="6"/>
      <c r="AB804" s="5" t="s">
        <v>17103</v>
      </c>
    </row>
    <row r="805" ht="14.25">
      <c r="A805" s="4" t="s">
        <v>17105</v>
      </c>
      <c r="B805" s="4" t="s">
        <v>6931</v>
      </c>
      <c r="C805" s="4" t="s">
        <v>112</v>
      </c>
      <c r="F805" s="4" t="s">
        <v>17106</v>
      </c>
      <c r="G805" s="4">
        <v>11</v>
      </c>
      <c r="H805" s="4" t="s">
        <v>17107</v>
      </c>
      <c r="I805" s="4" t="str">
        <f>IFERROR(__XLUDF.DUMMYFUNCTION("PROPER(REGEXREPLACE(G803,""[^A-Za-z]+ "",""""))"),"Tkorp")</f>
        <v>Tkorp</v>
      </c>
      <c r="J805" s="5" t="s">
        <v>17108</v>
      </c>
      <c r="K805" s="4" t="s">
        <v>39</v>
      </c>
      <c r="L805" s="4" t="s">
        <v>9160</v>
      </c>
      <c r="M805" s="4" t="s">
        <v>29</v>
      </c>
      <c r="N805" s="4" t="s">
        <v>2602</v>
      </c>
      <c r="O805" s="4" t="str">
        <f>IFERROR(__XLUDF.DUMMYFUNCTION("VLOOKUP(M803,IMPORTRANGE(""https://docs.google.com/spreadsheets/d/1opm6ZNvGZ7KditA9TuJwrZ25eFLfTNIkrNnY6mhV5Eg"",""list!A1:C115""),3,TRUE)"),"le secteur de la tech")</f>
        <v xml:space="preserve">le secteur de la tech</v>
      </c>
      <c r="P805" s="4" t="s">
        <v>17109</v>
      </c>
      <c r="R805" s="4" t="s">
        <v>1419</v>
      </c>
      <c r="S805" s="4" t="s">
        <v>9160</v>
      </c>
      <c r="T805" s="4" t="s">
        <v>29</v>
      </c>
      <c r="U805" s="5" t="s">
        <v>17110</v>
      </c>
      <c r="V805" s="6"/>
      <c r="W805" s="6"/>
      <c r="X805" s="6"/>
      <c r="Y805" s="6"/>
      <c r="Z805" s="4" t="s">
        <v>17111</v>
      </c>
      <c r="AA805" s="6"/>
      <c r="AB805" s="5" t="s">
        <v>17112</v>
      </c>
    </row>
    <row r="806" ht="14.25">
      <c r="A806" s="4" t="s">
        <v>17114</v>
      </c>
      <c r="B806" s="4" t="s">
        <v>20</v>
      </c>
      <c r="C806" s="4" t="s">
        <v>7759</v>
      </c>
      <c r="F806" s="4" t="s">
        <v>17115</v>
      </c>
      <c r="G806" s="4">
        <v>24</v>
      </c>
      <c r="H806" s="4" t="s">
        <v>17116</v>
      </c>
      <c r="I806" s="4" t="str">
        <f>IFERROR(__XLUDF.DUMMYFUNCTION("PROPER(REGEXREPLACE(G804,""[^A-Za-z]+ "",""""))"),"Toiture Parisienne")</f>
        <v xml:space="preserve">Toiture Parisienne</v>
      </c>
      <c r="J806" s="5" t="s">
        <v>17117</v>
      </c>
      <c r="K806" s="4" t="s">
        <v>39</v>
      </c>
      <c r="L806" s="4" t="s">
        <v>9160</v>
      </c>
      <c r="M806" s="4" t="s">
        <v>29</v>
      </c>
      <c r="N806" s="4" t="s">
        <v>9239</v>
      </c>
      <c r="O806" s="4" t="str">
        <f>IFERROR(__XLUDF.DUMMYFUNCTION("VLOOKUP(M804,IMPORTRANGE(""https://docs.google.com/spreadsheets/d/1opm6ZNvGZ7KditA9TuJwrZ25eFLfTNIkrNnY6mhV5Eg"",""list!A1:C115""),3,TRUE)"),"le secteur de la construction")</f>
        <v xml:space="preserve">le secteur de la construction</v>
      </c>
      <c r="P806" s="6"/>
      <c r="R806" s="4" t="s">
        <v>39</v>
      </c>
      <c r="S806" s="4" t="s">
        <v>9160</v>
      </c>
      <c r="T806" s="4" t="s">
        <v>29</v>
      </c>
      <c r="U806" s="5" t="s">
        <v>17118</v>
      </c>
      <c r="V806" s="5" t="s">
        <v>17119</v>
      </c>
      <c r="W806" s="5" t="s">
        <v>17120</v>
      </c>
      <c r="X806" s="6"/>
      <c r="Y806" s="6"/>
      <c r="Z806" s="4" t="s">
        <v>17121</v>
      </c>
      <c r="AA806" s="6"/>
      <c r="AB806" s="5" t="s">
        <v>17122</v>
      </c>
    </row>
    <row r="807" ht="14.25">
      <c r="A807" s="4" t="s">
        <v>17125</v>
      </c>
      <c r="B807" s="4" t="s">
        <v>17124</v>
      </c>
      <c r="C807" s="4" t="s">
        <v>112</v>
      </c>
      <c r="F807" s="4" t="s">
        <v>17126</v>
      </c>
      <c r="G807" s="4">
        <v>10</v>
      </c>
      <c r="H807" s="4" t="s">
        <v>17127</v>
      </c>
      <c r="I807" s="4" t="str">
        <f>IFERROR(__XLUDF.DUMMYFUNCTION("PROPER(REGEXREPLACE(G805,""[^A-Za-z]+ "",""""))"),"Newslot")</f>
        <v>Newslot</v>
      </c>
      <c r="J807" s="5" t="s">
        <v>17128</v>
      </c>
      <c r="K807" s="4" t="s">
        <v>1015</v>
      </c>
      <c r="L807" s="4" t="s">
        <v>9251</v>
      </c>
      <c r="M807" s="4" t="s">
        <v>29</v>
      </c>
      <c r="N807" s="4" t="s">
        <v>2602</v>
      </c>
      <c r="O807" s="4" t="str">
        <f>IFERROR(__XLUDF.DUMMYFUNCTION("VLOOKUP(M805,IMPORTRANGE(""https://docs.google.com/spreadsheets/d/1opm6ZNvGZ7KditA9TuJwrZ25eFLfTNIkrNnY6mhV5Eg"",""list!A1:C115""),3,TRUE)"),"le secteur de la tech")</f>
        <v xml:space="preserve">le secteur de la tech</v>
      </c>
      <c r="P807" s="6"/>
      <c r="R807" s="4" t="s">
        <v>39</v>
      </c>
      <c r="S807" s="4" t="s">
        <v>9160</v>
      </c>
      <c r="T807" s="4" t="s">
        <v>29</v>
      </c>
      <c r="U807" s="5" t="s">
        <v>17129</v>
      </c>
      <c r="V807" s="6"/>
      <c r="W807" s="6"/>
      <c r="X807" s="6"/>
      <c r="Y807" s="6"/>
      <c r="Z807" s="4" t="s">
        <v>17130</v>
      </c>
      <c r="AA807" s="6"/>
      <c r="AB807" s="5" t="s">
        <v>17131</v>
      </c>
    </row>
    <row r="808" ht="14.25">
      <c r="A808" s="4" t="s">
        <v>11167</v>
      </c>
      <c r="B808" s="4" t="s">
        <v>1844</v>
      </c>
      <c r="C808" s="4" t="s">
        <v>17134</v>
      </c>
      <c r="F808" s="4" t="s">
        <v>17133</v>
      </c>
      <c r="G808" s="4">
        <v>16</v>
      </c>
      <c r="H808" s="4" t="s">
        <v>17135</v>
      </c>
      <c r="I808" s="4" t="str">
        <f>IFERROR(__XLUDF.DUMMYFUNCTION("PROPER(REGEXREPLACE(G806,""[^A-Za-z]+ "",""""))"),"Bleu122")</f>
        <v>Bleu122</v>
      </c>
      <c r="J808" s="5" t="s">
        <v>17136</v>
      </c>
      <c r="K808" s="4" t="s">
        <v>83</v>
      </c>
      <c r="L808" s="4" t="s">
        <v>9460</v>
      </c>
      <c r="M808" s="4" t="s">
        <v>29</v>
      </c>
      <c r="N808" s="4" t="s">
        <v>2602</v>
      </c>
      <c r="O808" s="4" t="str">
        <f>IFERROR(__XLUDF.DUMMYFUNCTION("VLOOKUP(M806,IMPORTRANGE(""https://docs.google.com/spreadsheets/d/1opm6ZNvGZ7KditA9TuJwrZ25eFLfTNIkrNnY6mhV5Eg"",""list!A1:C115""),3,TRUE)"),"le secteur de la tech")</f>
        <v xml:space="preserve">le secteur de la tech</v>
      </c>
      <c r="P808" s="4" t="s">
        <v>17137</v>
      </c>
      <c r="R808" s="4" t="s">
        <v>83</v>
      </c>
      <c r="S808" s="4" t="s">
        <v>9460</v>
      </c>
      <c r="T808" s="4" t="s">
        <v>29</v>
      </c>
      <c r="U808" s="5" t="s">
        <v>17138</v>
      </c>
      <c r="V808" s="5" t="s">
        <v>17139</v>
      </c>
      <c r="W808" s="5" t="s">
        <v>17140</v>
      </c>
      <c r="X808" s="6"/>
      <c r="Y808" s="6"/>
      <c r="Z808" s="4" t="s">
        <v>17141</v>
      </c>
      <c r="AA808" s="6"/>
      <c r="AB808" s="5" t="s">
        <v>17142</v>
      </c>
    </row>
    <row r="809" ht="14.25">
      <c r="A809" s="4" t="s">
        <v>17145</v>
      </c>
      <c r="B809" s="4" t="s">
        <v>17144</v>
      </c>
      <c r="C809" s="4" t="s">
        <v>9456</v>
      </c>
      <c r="F809" s="4" t="s">
        <v>17146</v>
      </c>
      <c r="G809" s="4">
        <v>12</v>
      </c>
      <c r="H809" s="4" t="s">
        <v>17147</v>
      </c>
      <c r="I809" s="4" t="str">
        <f>IFERROR(__XLUDF.DUMMYFUNCTION("PROPER(REGEXREPLACE(G807,""[^A-Za-z]+ "",""""))"),"Bim Ingenierie")</f>
        <v xml:space="preserve">Bim Ingenierie</v>
      </c>
      <c r="J809" s="5" t="s">
        <v>17148</v>
      </c>
      <c r="K809" s="4" t="s">
        <v>17149</v>
      </c>
      <c r="L809" s="4" t="s">
        <v>9160</v>
      </c>
      <c r="M809" s="4" t="s">
        <v>29</v>
      </c>
      <c r="N809" s="4" t="s">
        <v>9239</v>
      </c>
      <c r="O809" s="4" t="str">
        <f>IFERROR(__XLUDF.DUMMYFUNCTION("VLOOKUP(M807,IMPORTRANGE(""https://docs.google.com/spreadsheets/d/1opm6ZNvGZ7KditA9TuJwrZ25eFLfTNIkrNnY6mhV5Eg"",""list!A1:C115""),3,TRUE)"),"le secteur de la construction")</f>
        <v xml:space="preserve">le secteur de la construction</v>
      </c>
      <c r="P809" s="6"/>
      <c r="R809" s="4" t="s">
        <v>17149</v>
      </c>
      <c r="S809" s="4" t="s">
        <v>9160</v>
      </c>
      <c r="T809" s="4" t="s">
        <v>29</v>
      </c>
      <c r="U809" s="5" t="s">
        <v>17150</v>
      </c>
      <c r="V809" s="6"/>
      <c r="W809" s="6"/>
      <c r="X809" s="6"/>
      <c r="Y809" s="6"/>
      <c r="Z809" s="4" t="s">
        <v>17151</v>
      </c>
      <c r="AA809" s="6"/>
      <c r="AB809" s="5" t="s">
        <v>17152</v>
      </c>
    </row>
    <row r="810" ht="14.25">
      <c r="A810" s="4" t="s">
        <v>17154</v>
      </c>
      <c r="B810" s="4" t="s">
        <v>4132</v>
      </c>
      <c r="C810" s="4" t="s">
        <v>9849</v>
      </c>
      <c r="F810" s="4" t="s">
        <v>17155</v>
      </c>
      <c r="G810" s="4">
        <v>14</v>
      </c>
      <c r="H810" s="4" t="s">
        <v>17156</v>
      </c>
      <c r="I810" s="4" t="str">
        <f>IFERROR(__XLUDF.DUMMYFUNCTION("PROPER(REGEXREPLACE(G808,""[^A-Za-z]+ "",""""))"),"Bonhomme Métallerie")</f>
        <v xml:space="preserve">Bonhomme Métallerie</v>
      </c>
      <c r="J810" s="5" t="s">
        <v>17157</v>
      </c>
      <c r="K810" s="4" t="s">
        <v>17158</v>
      </c>
      <c r="L810" s="4" t="s">
        <v>9193</v>
      </c>
      <c r="M810" s="4" t="s">
        <v>29</v>
      </c>
      <c r="N810" s="4" t="s">
        <v>9239</v>
      </c>
      <c r="O810" s="4" t="str">
        <f>IFERROR(__XLUDF.DUMMYFUNCTION("VLOOKUP(M808,IMPORTRANGE(""https://docs.google.com/spreadsheets/d/1opm6ZNvGZ7KditA9TuJwrZ25eFLfTNIkrNnY6mhV5Eg"",""list!A1:C115""),3,TRUE)"),"le secteur de la construction")</f>
        <v xml:space="preserve">le secteur de la construction</v>
      </c>
      <c r="P810" s="4" t="s">
        <v>17159</v>
      </c>
      <c r="R810" s="4" t="s">
        <v>17158</v>
      </c>
      <c r="S810" s="4" t="s">
        <v>9172</v>
      </c>
      <c r="T810" s="4" t="s">
        <v>29</v>
      </c>
      <c r="U810" s="5" t="s">
        <v>17160</v>
      </c>
      <c r="V810" s="6"/>
      <c r="W810" s="6"/>
      <c r="X810" s="6"/>
      <c r="Y810" s="6"/>
      <c r="Z810" s="4" t="s">
        <v>17161</v>
      </c>
      <c r="AA810" s="6"/>
      <c r="AB810" s="5" t="s">
        <v>17162</v>
      </c>
    </row>
    <row r="811" ht="14.25">
      <c r="A811" s="4" t="s">
        <v>17164</v>
      </c>
      <c r="B811" s="4" t="s">
        <v>76</v>
      </c>
      <c r="C811" s="4" t="s">
        <v>7759</v>
      </c>
      <c r="F811" s="4" t="s">
        <v>17165</v>
      </c>
      <c r="G811" s="4">
        <v>12</v>
      </c>
      <c r="H811" s="4" t="s">
        <v>17166</v>
      </c>
      <c r="I811" s="4" t="str">
        <f>IFERROR(__XLUDF.DUMMYFUNCTION("PROPER(REGEXREPLACE(G809,""[^A-Za-z]+ "",""""))"),"Cena Ingénierie")</f>
        <v xml:space="preserve">Cena Ingénierie</v>
      </c>
      <c r="J811" s="5" t="s">
        <v>17167</v>
      </c>
      <c r="K811" s="4" t="s">
        <v>774</v>
      </c>
      <c r="L811" s="4" t="s">
        <v>9193</v>
      </c>
      <c r="M811" s="4" t="s">
        <v>29</v>
      </c>
      <c r="N811" s="4" t="s">
        <v>9239</v>
      </c>
      <c r="O811" s="4" t="str">
        <f>IFERROR(__XLUDF.DUMMYFUNCTION("VLOOKUP(M809,IMPORTRANGE(""https://docs.google.com/spreadsheets/d/1opm6ZNvGZ7KditA9TuJwrZ25eFLfTNIkrNnY6mhV5Eg"",""list!A1:C115""),3,TRUE)"),"le secteur de la construction")</f>
        <v xml:space="preserve">le secteur de la construction</v>
      </c>
      <c r="P811" s="4" t="s">
        <v>17168</v>
      </c>
      <c r="R811" s="4" t="s">
        <v>17169</v>
      </c>
      <c r="S811" s="4" t="s">
        <v>9864</v>
      </c>
      <c r="T811" s="4" t="s">
        <v>29</v>
      </c>
      <c r="U811" s="5" t="s">
        <v>17170</v>
      </c>
      <c r="V811" s="6"/>
      <c r="W811" s="6"/>
      <c r="X811" s="6"/>
      <c r="Y811" s="6"/>
      <c r="Z811" s="4" t="s">
        <v>17171</v>
      </c>
      <c r="AA811" s="6"/>
      <c r="AB811" s="5" t="s">
        <v>17172</v>
      </c>
    </row>
    <row r="812" ht="14.25">
      <c r="A812" s="4" t="s">
        <v>9847</v>
      </c>
      <c r="B812" s="4" t="s">
        <v>20</v>
      </c>
      <c r="C812" s="4" t="s">
        <v>9849</v>
      </c>
      <c r="F812" s="4" t="s">
        <v>17174</v>
      </c>
      <c r="G812" s="4">
        <v>17</v>
      </c>
      <c r="H812" s="4" t="s">
        <v>9850</v>
      </c>
      <c r="I812" s="4" t="str">
        <f>IFERROR(__XLUDF.DUMMYFUNCTION("PROPER(REGEXREPLACE(G810,""[^A-Za-z]+ "",""""))"),"Tetra Up")</f>
        <v xml:space="preserve">Tetra Up</v>
      </c>
      <c r="J812" s="5" t="s">
        <v>9851</v>
      </c>
      <c r="K812" s="4" t="s">
        <v>846</v>
      </c>
      <c r="L812" s="4" t="s">
        <v>9278</v>
      </c>
      <c r="M812" s="4" t="s">
        <v>29</v>
      </c>
      <c r="N812" s="4" t="s">
        <v>2602</v>
      </c>
      <c r="O812" s="4" t="str">
        <f>IFERROR(__XLUDF.DUMMYFUNCTION("VLOOKUP(M810,IMPORTRANGE(""https://docs.google.com/spreadsheets/d/1opm6ZNvGZ7KditA9TuJwrZ25eFLfTNIkrNnY6mhV5Eg"",""list!A1:C115""),3,TRUE)"),"le secteur de la tech")</f>
        <v xml:space="preserve">le secteur de la tech</v>
      </c>
      <c r="P812" s="4" t="s">
        <v>9853</v>
      </c>
      <c r="R812" s="4" t="s">
        <v>9852</v>
      </c>
      <c r="S812" s="4" t="s">
        <v>9278</v>
      </c>
      <c r="T812" s="4" t="s">
        <v>29</v>
      </c>
      <c r="U812" s="5" t="s">
        <v>9854</v>
      </c>
      <c r="V812" s="5" t="s">
        <v>9855</v>
      </c>
      <c r="W812" s="5" t="s">
        <v>9856</v>
      </c>
      <c r="X812" s="6"/>
      <c r="Y812" s="6"/>
      <c r="Z812" s="4" t="s">
        <v>9857</v>
      </c>
      <c r="AA812" s="6"/>
      <c r="AB812" s="5" t="s">
        <v>17175</v>
      </c>
    </row>
    <row r="813" ht="14.25">
      <c r="A813" s="4" t="s">
        <v>17177</v>
      </c>
      <c r="B813" s="4" t="s">
        <v>2348</v>
      </c>
      <c r="C813" s="4" t="s">
        <v>468</v>
      </c>
      <c r="F813" s="4" t="s">
        <v>17178</v>
      </c>
      <c r="G813" s="4">
        <v>24</v>
      </c>
      <c r="H813" s="4" t="s">
        <v>17179</v>
      </c>
      <c r="I813" s="4" t="str">
        <f>IFERROR(__XLUDF.DUMMYFUNCTION("PROPER(REGEXREPLACE(G811,""[^A-Za-z]+ "",""""))"),"Norgatec Consulting")</f>
        <v xml:space="preserve">Norgatec Consulting</v>
      </c>
      <c r="J813" s="5" t="s">
        <v>17180</v>
      </c>
      <c r="K813" s="4" t="s">
        <v>846</v>
      </c>
      <c r="L813" s="4" t="s">
        <v>9281</v>
      </c>
      <c r="M813" s="4" t="s">
        <v>29</v>
      </c>
      <c r="N813" s="4" t="s">
        <v>4067</v>
      </c>
      <c r="O813" s="4" t="str">
        <f>IFERROR(__XLUDF.DUMMYFUNCTION("VLOOKUP(M811,IMPORTRANGE(""https://docs.google.com/spreadsheets/d/1opm6ZNvGZ7KditA9TuJwrZ25eFLfTNIkrNnY6mhV5Eg"",""list!A1:C115""),3,TRUE)"),"le secteur du conseil en management")</f>
        <v xml:space="preserve">le secteur du conseil en management</v>
      </c>
      <c r="P813" s="4" t="s">
        <v>17181</v>
      </c>
      <c r="R813" s="4" t="s">
        <v>10537</v>
      </c>
      <c r="S813" s="4" t="s">
        <v>9278</v>
      </c>
      <c r="T813" s="4" t="s">
        <v>29</v>
      </c>
      <c r="U813" s="5" t="s">
        <v>17182</v>
      </c>
      <c r="V813" s="6"/>
      <c r="W813" s="6"/>
      <c r="X813" s="6"/>
      <c r="Y813" s="6"/>
      <c r="Z813" s="4" t="s">
        <v>17183</v>
      </c>
      <c r="AA813" s="6"/>
      <c r="AB813" s="5" t="s">
        <v>17184</v>
      </c>
    </row>
    <row r="814" ht="14.25">
      <c r="A814" s="4" t="s">
        <v>17187</v>
      </c>
      <c r="B814" s="4" t="s">
        <v>17186</v>
      </c>
      <c r="C814" s="4" t="s">
        <v>62</v>
      </c>
      <c r="F814" s="4" t="s">
        <v>17188</v>
      </c>
      <c r="G814" s="4">
        <v>38</v>
      </c>
      <c r="H814" s="4" t="s">
        <v>17189</v>
      </c>
      <c r="I814" s="4" t="str">
        <f>IFERROR(__XLUDF.DUMMYFUNCTION("PROPER(REGEXREPLACE(G812,""[^A-Za-z]+ "",""""))"),"Firecell")</f>
        <v>Firecell</v>
      </c>
      <c r="J814" s="5" t="s">
        <v>17190</v>
      </c>
      <c r="K814" s="4" t="s">
        <v>49</v>
      </c>
      <c r="L814" s="4" t="s">
        <v>9251</v>
      </c>
      <c r="M814" s="4" t="s">
        <v>29</v>
      </c>
      <c r="N814" s="4" t="s">
        <v>9184</v>
      </c>
      <c r="O814" s="4" t="str">
        <f>IFERROR(__XLUDF.DUMMYFUNCTION("VLOOKUP(M812,IMPORTRANGE(""https://docs.google.com/spreadsheets/d/1opm6ZNvGZ7KditA9TuJwrZ25eFLfTNIkrNnY6mhV5Eg"",""list!A1:C115""),3,TRUE)"),"le secteur des télécommunications")</f>
        <v xml:space="preserve">le secteur des télécommunications</v>
      </c>
      <c r="P814" s="6"/>
      <c r="R814" s="4" t="s">
        <v>49</v>
      </c>
      <c r="S814" s="4" t="s">
        <v>9251</v>
      </c>
      <c r="T814" s="4" t="s">
        <v>29</v>
      </c>
      <c r="U814" s="5" t="s">
        <v>17191</v>
      </c>
      <c r="V814" s="5" t="s">
        <v>17192</v>
      </c>
      <c r="W814" s="5" t="s">
        <v>17193</v>
      </c>
      <c r="X814" s="6"/>
      <c r="Y814" s="6"/>
      <c r="Z814" s="4" t="s">
        <v>17194</v>
      </c>
      <c r="AA814" s="6"/>
      <c r="AB814" s="5" t="s">
        <v>17195</v>
      </c>
    </row>
    <row r="815" ht="14.25">
      <c r="A815" s="4" t="s">
        <v>12238</v>
      </c>
      <c r="B815" s="4" t="s">
        <v>52</v>
      </c>
      <c r="C815" s="4" t="s">
        <v>112</v>
      </c>
      <c r="F815" s="4" t="s">
        <v>17197</v>
      </c>
      <c r="G815" s="4">
        <v>12</v>
      </c>
      <c r="H815" s="4" t="s">
        <v>17198</v>
      </c>
      <c r="I815" s="4" t="str">
        <f>IFERROR(__XLUDF.DUMMYFUNCTION("PROPER(REGEXREPLACE(G813,""[^A-Za-z]+ "",""""))"),"Proxima It")</f>
        <v xml:space="preserve">Proxima It</v>
      </c>
      <c r="J815" s="5" t="s">
        <v>17199</v>
      </c>
      <c r="K815" s="4" t="s">
        <v>185</v>
      </c>
      <c r="L815" s="4" t="s">
        <v>9172</v>
      </c>
      <c r="M815" s="4" t="s">
        <v>29</v>
      </c>
      <c r="N815" s="4" t="s">
        <v>2602</v>
      </c>
      <c r="O815" s="4" t="str">
        <f>IFERROR(__XLUDF.DUMMYFUNCTION("VLOOKUP(M813,IMPORTRANGE(""https://docs.google.com/spreadsheets/d/1opm6ZNvGZ7KditA9TuJwrZ25eFLfTNIkrNnY6mhV5Eg"",""list!A1:C115""),3,TRUE)"),"le secteur de la tech")</f>
        <v xml:space="preserve">le secteur de la tech</v>
      </c>
      <c r="P815" s="4" t="s">
        <v>17200</v>
      </c>
      <c r="R815" s="4" t="s">
        <v>185</v>
      </c>
      <c r="S815" s="4" t="s">
        <v>9193</v>
      </c>
      <c r="T815" s="4" t="s">
        <v>29</v>
      </c>
      <c r="U815" s="5" t="s">
        <v>17201</v>
      </c>
      <c r="V815" s="6"/>
      <c r="W815" s="6"/>
      <c r="X815" s="6"/>
      <c r="Y815" s="6"/>
      <c r="Z815" s="4" t="s">
        <v>17202</v>
      </c>
      <c r="AA815" s="6"/>
      <c r="AB815" s="5" t="s">
        <v>17203</v>
      </c>
    </row>
    <row r="816" ht="14.25">
      <c r="A816" s="4" t="s">
        <v>17206</v>
      </c>
      <c r="B816" s="4" t="s">
        <v>17205</v>
      </c>
      <c r="C816" s="4" t="s">
        <v>112</v>
      </c>
      <c r="F816" s="4" t="s">
        <v>17207</v>
      </c>
      <c r="G816" s="4">
        <v>14</v>
      </c>
      <c r="H816" s="4" t="s">
        <v>17208</v>
      </c>
      <c r="I816" s="4" t="str">
        <f>IFERROR(__XLUDF.DUMMYFUNCTION("PROPER(REGEXREPLACE(G814,""[^A-Za-z]+ "",""""))"),"Corexalys")</f>
        <v>Corexalys</v>
      </c>
      <c r="J816" s="5" t="s">
        <v>17209</v>
      </c>
      <c r="K816" s="6"/>
      <c r="L816" s="6"/>
      <c r="M816" s="4" t="s">
        <v>29</v>
      </c>
      <c r="N816" s="4" t="s">
        <v>2602</v>
      </c>
      <c r="O816" s="4" t="str">
        <f>IFERROR(__XLUDF.DUMMYFUNCTION("VLOOKUP(M814,IMPORTRANGE(""https://docs.google.com/spreadsheets/d/1opm6ZNvGZ7KditA9TuJwrZ25eFLfTNIkrNnY6mhV5Eg"",""list!A1:C115""),3,TRUE)"),"le secteur de la tech")</f>
        <v xml:space="preserve">le secteur de la tech</v>
      </c>
      <c r="P816" s="6"/>
      <c r="R816" s="4" t="s">
        <v>39</v>
      </c>
      <c r="S816" s="4" t="s">
        <v>9160</v>
      </c>
      <c r="T816" s="4" t="s">
        <v>29</v>
      </c>
      <c r="U816" s="5" t="s">
        <v>17210</v>
      </c>
      <c r="V816" s="6"/>
      <c r="W816" s="6"/>
      <c r="X816" s="6"/>
      <c r="Y816" s="6"/>
      <c r="Z816" s="4" t="s">
        <v>17211</v>
      </c>
      <c r="AA816" s="6"/>
      <c r="AB816" s="5" t="s">
        <v>17212</v>
      </c>
    </row>
    <row r="817" ht="14.25">
      <c r="A817" s="4" t="s">
        <v>485</v>
      </c>
      <c r="B817" s="4" t="s">
        <v>17214</v>
      </c>
      <c r="C817" s="4" t="s">
        <v>17216</v>
      </c>
      <c r="F817" s="4" t="s">
        <v>17215</v>
      </c>
      <c r="G817" s="4">
        <v>21</v>
      </c>
      <c r="H817" s="4" t="s">
        <v>17217</v>
      </c>
      <c r="I817" s="4" t="str">
        <f>IFERROR(__XLUDF.DUMMYFUNCTION("PROPER(REGEXREPLACE(G815,""[^A-Za-z]+ "",""""))"),"Minds")</f>
        <v>Minds</v>
      </c>
      <c r="J817" s="5" t="s">
        <v>17218</v>
      </c>
      <c r="K817" s="4" t="s">
        <v>39</v>
      </c>
      <c r="L817" s="4" t="s">
        <v>9160</v>
      </c>
      <c r="M817" s="4" t="s">
        <v>29</v>
      </c>
      <c r="N817" s="4" t="s">
        <v>4067</v>
      </c>
      <c r="O817" s="4" t="str">
        <f>IFERROR(__XLUDF.DUMMYFUNCTION("VLOOKUP(M815,IMPORTRANGE(""https://docs.google.com/spreadsheets/d/1opm6ZNvGZ7KditA9TuJwrZ25eFLfTNIkrNnY6mhV5Eg"",""list!A1:C115""),3,TRUE)"),"le secteur du conseil en management")</f>
        <v xml:space="preserve">le secteur du conseil en management</v>
      </c>
      <c r="P817" s="4" t="s">
        <v>17219</v>
      </c>
      <c r="R817" s="4" t="s">
        <v>39</v>
      </c>
      <c r="S817" s="4" t="s">
        <v>9160</v>
      </c>
      <c r="T817" s="4" t="s">
        <v>29</v>
      </c>
      <c r="U817" s="5" t="s">
        <v>17220</v>
      </c>
      <c r="V817" s="6"/>
      <c r="W817" s="5" t="s">
        <v>17221</v>
      </c>
      <c r="X817" s="6"/>
      <c r="Y817" s="6"/>
      <c r="Z817" s="4" t="s">
        <v>17222</v>
      </c>
      <c r="AA817" s="6"/>
      <c r="AB817" s="5" t="s">
        <v>17223</v>
      </c>
    </row>
    <row r="818" ht="14.25">
      <c r="A818" s="4" t="s">
        <v>17226</v>
      </c>
      <c r="B818" s="4" t="s">
        <v>17225</v>
      </c>
      <c r="C818" s="4" t="s">
        <v>879</v>
      </c>
      <c r="F818" s="4" t="s">
        <v>17227</v>
      </c>
      <c r="G818" s="4">
        <v>17</v>
      </c>
      <c r="H818" s="4" t="s">
        <v>17228</v>
      </c>
      <c r="I818" s="4" t="str">
        <f>IFERROR(__XLUDF.DUMMYFUNCTION("PROPER(REGEXREPLACE(G816,""[^A-Za-z]+ "",""""))"),"Nomattitude")</f>
        <v>Nomattitude</v>
      </c>
      <c r="J818" s="5" t="s">
        <v>17229</v>
      </c>
      <c r="K818" s="4" t="s">
        <v>83</v>
      </c>
      <c r="L818" s="4" t="s">
        <v>9460</v>
      </c>
      <c r="M818" s="4" t="s">
        <v>29</v>
      </c>
      <c r="N818" s="4" t="s">
        <v>2602</v>
      </c>
      <c r="O818" s="4" t="str">
        <f>IFERROR(__XLUDF.DUMMYFUNCTION("VLOOKUP(M816,IMPORTRANGE(""https://docs.google.com/spreadsheets/d/1opm6ZNvGZ7KditA9TuJwrZ25eFLfTNIkrNnY6mhV5Eg"",""list!A1:C115""),3,TRUE)"),"le secteur de la tech")</f>
        <v xml:space="preserve">le secteur de la tech</v>
      </c>
      <c r="P818" s="4" t="s">
        <v>17230</v>
      </c>
      <c r="R818" s="4" t="s">
        <v>17231</v>
      </c>
      <c r="S818" s="4" t="s">
        <v>9460</v>
      </c>
      <c r="T818" s="4" t="s">
        <v>29</v>
      </c>
      <c r="U818" s="5" t="s">
        <v>17232</v>
      </c>
      <c r="V818" s="6"/>
      <c r="W818" s="6"/>
      <c r="X818" s="6"/>
      <c r="Y818" s="6"/>
      <c r="Z818" s="4" t="s">
        <v>17233</v>
      </c>
      <c r="AA818" s="6"/>
      <c r="AB818" s="5" t="s">
        <v>17234</v>
      </c>
    </row>
    <row r="819" ht="14.25">
      <c r="A819" s="4" t="s">
        <v>17237</v>
      </c>
      <c r="B819" s="4" t="s">
        <v>17236</v>
      </c>
      <c r="C819" s="4" t="s">
        <v>172</v>
      </c>
      <c r="F819" s="4" t="s">
        <v>17238</v>
      </c>
      <c r="G819" s="4">
        <v>36</v>
      </c>
      <c r="H819" s="4" t="s">
        <v>17239</v>
      </c>
      <c r="I819" s="4" t="str">
        <f>IFERROR(__XLUDF.DUMMYFUNCTION("PROPER(REGEXREPLACE(G817,""[^A-Za-z]+ "",""""))"),"Csb.School")</f>
        <v>Csb.School</v>
      </c>
      <c r="J819" s="4" t="s">
        <v>17240</v>
      </c>
      <c r="K819" s="4" t="s">
        <v>185</v>
      </c>
      <c r="L819" s="4" t="s">
        <v>9193</v>
      </c>
      <c r="M819" s="4" t="s">
        <v>29</v>
      </c>
      <c r="N819" s="4" t="s">
        <v>9264</v>
      </c>
      <c r="O819" s="4" t="str">
        <f>IFERROR(__XLUDF.DUMMYFUNCTION("VLOOKUP(M817,IMPORTRANGE(""https://docs.google.com/spreadsheets/d/1opm6ZNvGZ7KditA9TuJwrZ25eFLfTNIkrNnY6mhV5Eg"",""list!A1:C115""),3,TRUE)"),"le secteur de la sécurité informatique")</f>
        <v xml:space="preserve">le secteur de la sécurité informatique</v>
      </c>
      <c r="P819" s="4" t="s">
        <v>17241</v>
      </c>
      <c r="R819" s="4" t="s">
        <v>185</v>
      </c>
      <c r="S819" s="4" t="s">
        <v>9193</v>
      </c>
      <c r="T819" s="4" t="s">
        <v>29</v>
      </c>
      <c r="U819" s="5" t="s">
        <v>17242</v>
      </c>
      <c r="V819" s="6"/>
      <c r="W819" s="6"/>
      <c r="X819" s="6"/>
      <c r="Y819" s="6"/>
      <c r="Z819" s="4" t="s">
        <v>17243</v>
      </c>
      <c r="AA819" s="6"/>
      <c r="AB819" s="5" t="s">
        <v>17244</v>
      </c>
    </row>
    <row r="820" ht="14.25">
      <c r="A820" s="4" t="s">
        <v>17246</v>
      </c>
      <c r="B820" s="4" t="s">
        <v>17236</v>
      </c>
      <c r="C820" s="4" t="s">
        <v>17248</v>
      </c>
      <c r="F820" s="4" t="s">
        <v>17247</v>
      </c>
      <c r="G820" s="4">
        <v>15</v>
      </c>
      <c r="H820" s="4" t="s">
        <v>17249</v>
      </c>
      <c r="I820" s="4" t="str">
        <f>IFERROR(__XLUDF.DUMMYFUNCTION("PROPER(REGEXREPLACE(G818,""[^A-Za-z]+ "",""""))"),"Genius Loci")</f>
        <v xml:space="preserve">Genius Loci</v>
      </c>
      <c r="J820" s="5" t="s">
        <v>17250</v>
      </c>
      <c r="K820" s="4" t="s">
        <v>1745</v>
      </c>
      <c r="L820" s="4" t="s">
        <v>9460</v>
      </c>
      <c r="M820" s="4" t="s">
        <v>29</v>
      </c>
      <c r="N820" s="4" t="s">
        <v>9239</v>
      </c>
      <c r="O820" s="4" t="str">
        <f>IFERROR(__XLUDF.DUMMYFUNCTION("VLOOKUP(M818,IMPORTRANGE(""https://docs.google.com/spreadsheets/d/1opm6ZNvGZ7KditA9TuJwrZ25eFLfTNIkrNnY6mhV5Eg"",""list!A1:C115""),3,TRUE)"),"le secteur de la construction")</f>
        <v xml:space="preserve">le secteur de la construction</v>
      </c>
      <c r="P820" s="4" t="s">
        <v>17251</v>
      </c>
      <c r="R820" s="4" t="s">
        <v>1745</v>
      </c>
      <c r="S820" s="4" t="s">
        <v>9460</v>
      </c>
      <c r="T820" s="4" t="s">
        <v>29</v>
      </c>
      <c r="U820" s="5" t="s">
        <v>17252</v>
      </c>
      <c r="V820" s="6"/>
      <c r="W820" s="5" t="s">
        <v>17253</v>
      </c>
      <c r="X820" s="6"/>
      <c r="Y820" s="6"/>
      <c r="Z820" s="4" t="s">
        <v>17254</v>
      </c>
      <c r="AA820" s="6"/>
      <c r="AB820" s="5" t="s">
        <v>17255</v>
      </c>
    </row>
    <row r="821" ht="14.25">
      <c r="A821" s="4" t="s">
        <v>17258</v>
      </c>
      <c r="B821" s="4" t="s">
        <v>17257</v>
      </c>
      <c r="C821" s="4" t="s">
        <v>62</v>
      </c>
      <c r="F821" s="4" t="s">
        <v>17259</v>
      </c>
      <c r="G821" s="4">
        <v>10</v>
      </c>
      <c r="H821" s="4" t="s">
        <v>17260</v>
      </c>
      <c r="I821" s="4" t="str">
        <f>IFERROR(__XLUDF.DUMMYFUNCTION("PROPER(REGEXREPLACE(G819,""[^A-Za-z]+ "",""""))"),"Sama")</f>
        <v>Sama</v>
      </c>
      <c r="J821" s="5" t="s">
        <v>17261</v>
      </c>
      <c r="K821" s="4" t="s">
        <v>17262</v>
      </c>
      <c r="L821" s="4" t="s">
        <v>9193</v>
      </c>
      <c r="M821" s="4" t="s">
        <v>29</v>
      </c>
      <c r="N821" s="4" t="s">
        <v>2602</v>
      </c>
      <c r="O821" s="4" t="str">
        <f>IFERROR(__XLUDF.DUMMYFUNCTION("VLOOKUP(M819,IMPORTRANGE(""https://docs.google.com/spreadsheets/d/1opm6ZNvGZ7KditA9TuJwrZ25eFLfTNIkrNnY6mhV5Eg"",""list!A1:C115""),3,TRUE)"),"le secteur de la tech")</f>
        <v xml:space="preserve">le secteur de la tech</v>
      </c>
      <c r="P821" s="6"/>
      <c r="R821" s="6"/>
      <c r="S821" s="4" t="s">
        <v>17263</v>
      </c>
      <c r="T821" s="4" t="s">
        <v>1548</v>
      </c>
      <c r="U821" s="5" t="s">
        <v>17264</v>
      </c>
      <c r="V821" s="6"/>
      <c r="W821" s="6"/>
      <c r="X821" s="6"/>
      <c r="Y821" s="6"/>
      <c r="Z821" s="4" t="s">
        <v>17265</v>
      </c>
      <c r="AA821" s="6"/>
      <c r="AB821" s="5" t="s">
        <v>17266</v>
      </c>
    </row>
    <row r="822" ht="14.25">
      <c r="A822" s="4" t="s">
        <v>17268</v>
      </c>
      <c r="B822" s="4" t="s">
        <v>178</v>
      </c>
      <c r="C822" s="4" t="s">
        <v>17270</v>
      </c>
      <c r="F822" s="4" t="s">
        <v>17269</v>
      </c>
      <c r="G822" s="4">
        <v>12</v>
      </c>
      <c r="H822" s="4" t="s">
        <v>17271</v>
      </c>
      <c r="I822" s="4" t="str">
        <f>IFERROR(__XLUDF.DUMMYFUNCTION("PROPER(REGEXREPLACE(G820,""[^A-Za-z]+ "",""""))"),"Thewatchdog")</f>
        <v>Thewatchdog</v>
      </c>
      <c r="J822" s="5" t="s">
        <v>17272</v>
      </c>
      <c r="K822" s="4" t="s">
        <v>39</v>
      </c>
      <c r="L822" s="4" t="s">
        <v>9160</v>
      </c>
      <c r="M822" s="4" t="s">
        <v>29</v>
      </c>
      <c r="N822" s="4" t="s">
        <v>2602</v>
      </c>
      <c r="O822" s="4" t="str">
        <f>IFERROR(__XLUDF.DUMMYFUNCTION("VLOOKUP(M820,IMPORTRANGE(""https://docs.google.com/spreadsheets/d/1opm6ZNvGZ7KditA9TuJwrZ25eFLfTNIkrNnY6mhV5Eg"",""list!A1:C115""),3,TRUE)"),"le secteur de la tech")</f>
        <v xml:space="preserve">le secteur de la tech</v>
      </c>
      <c r="P822" s="4" t="s">
        <v>17273</v>
      </c>
      <c r="R822" s="4" t="s">
        <v>140</v>
      </c>
      <c r="S822" s="4" t="s">
        <v>9160</v>
      </c>
      <c r="T822" s="4" t="s">
        <v>29</v>
      </c>
      <c r="U822" s="5" t="s">
        <v>17274</v>
      </c>
      <c r="V822" s="6"/>
      <c r="W822" s="6"/>
      <c r="X822" s="6"/>
      <c r="Y822" s="6"/>
      <c r="Z822" s="4" t="s">
        <v>17275</v>
      </c>
      <c r="AA822" s="6"/>
      <c r="AB822" s="5" t="s">
        <v>17276</v>
      </c>
    </row>
    <row r="823" ht="14.25">
      <c r="A823" s="4" t="s">
        <v>17278</v>
      </c>
      <c r="B823" s="4" t="s">
        <v>1732</v>
      </c>
      <c r="C823" s="4" t="s">
        <v>112</v>
      </c>
      <c r="F823" s="4" t="s">
        <v>17279</v>
      </c>
      <c r="G823" s="4">
        <v>10</v>
      </c>
      <c r="H823" s="4" t="s">
        <v>17280</v>
      </c>
      <c r="I823" s="4" t="str">
        <f>IFERROR(__XLUDF.DUMMYFUNCTION("PROPER(REGEXREPLACE(G821,""[^A-Za-z]+ "",""""))"),"L.M.C.S")</f>
        <v>L.M.C.S</v>
      </c>
      <c r="J823" s="5" t="s">
        <v>17281</v>
      </c>
      <c r="K823" s="4" t="s">
        <v>12445</v>
      </c>
      <c r="L823" s="4" t="s">
        <v>9460</v>
      </c>
      <c r="M823" s="4" t="s">
        <v>29</v>
      </c>
      <c r="N823" s="4" t="s">
        <v>4525</v>
      </c>
      <c r="O823" s="4" t="str">
        <f>IFERROR(__XLUDF.DUMMYFUNCTION("VLOOKUP(M821,IMPORTRANGE(""https://docs.google.com/spreadsheets/d/1opm6ZNvGZ7KditA9TuJwrZ25eFLfTNIkrNnY6mhV5Eg"",""list!A1:C115""),3,TRUE)"),"le secteur du retail")</f>
        <v xml:space="preserve">le secteur du retail</v>
      </c>
      <c r="P823" s="6"/>
      <c r="R823" s="4" t="s">
        <v>12445</v>
      </c>
      <c r="S823" s="4" t="s">
        <v>9460</v>
      </c>
      <c r="T823" s="4" t="s">
        <v>29</v>
      </c>
      <c r="U823" s="5" t="s">
        <v>17282</v>
      </c>
      <c r="V823" s="6"/>
      <c r="W823" s="5" t="s">
        <v>17283</v>
      </c>
      <c r="X823" s="6"/>
      <c r="Y823" s="6"/>
      <c r="Z823" s="4" t="s">
        <v>17284</v>
      </c>
      <c r="AA823" s="6"/>
      <c r="AB823" s="5" t="s">
        <v>17285</v>
      </c>
    </row>
    <row r="824" ht="14.25">
      <c r="A824" s="4" t="s">
        <v>17287</v>
      </c>
      <c r="B824" s="4" t="s">
        <v>1732</v>
      </c>
      <c r="C824" s="4" t="s">
        <v>9849</v>
      </c>
      <c r="F824" s="4" t="s">
        <v>17288</v>
      </c>
      <c r="G824" s="4">
        <v>12</v>
      </c>
      <c r="H824" s="4" t="s">
        <v>16636</v>
      </c>
      <c r="I824" s="4" t="str">
        <f>IFERROR(__XLUDF.DUMMYFUNCTION("PROPER(REGEXREPLACE(G822,""[^A-Za-z]+ "",""""))"),"Endogène")</f>
        <v>Endogène</v>
      </c>
      <c r="J824" s="4" t="s">
        <v>16637</v>
      </c>
      <c r="K824" s="4" t="s">
        <v>185</v>
      </c>
      <c r="L824" s="4" t="s">
        <v>9193</v>
      </c>
      <c r="M824" s="4" t="s">
        <v>29</v>
      </c>
      <c r="N824" s="4" t="s">
        <v>4067</v>
      </c>
      <c r="O824" s="4" t="str">
        <f>IFERROR(__XLUDF.DUMMYFUNCTION("VLOOKUP(M822,IMPORTRANGE(""https://docs.google.com/spreadsheets/d/1opm6ZNvGZ7KditA9TuJwrZ25eFLfTNIkrNnY6mhV5Eg"",""list!A1:C115""),3,TRUE)"),"le secteur du conseil en management")</f>
        <v xml:space="preserve">le secteur du conseil en management</v>
      </c>
      <c r="P824" s="6"/>
      <c r="R824" s="4" t="s">
        <v>185</v>
      </c>
      <c r="S824" s="4" t="s">
        <v>9193</v>
      </c>
      <c r="T824" s="4" t="s">
        <v>29</v>
      </c>
      <c r="U824" s="5" t="s">
        <v>16638</v>
      </c>
      <c r="V824" s="6"/>
      <c r="W824" s="6"/>
      <c r="X824" s="6"/>
      <c r="Y824" s="6"/>
      <c r="Z824" s="4" t="s">
        <v>16639</v>
      </c>
      <c r="AA824" s="6"/>
      <c r="AB824" s="5" t="s">
        <v>17289</v>
      </c>
    </row>
    <row r="825" ht="14.25">
      <c r="A825" s="4" t="s">
        <v>17291</v>
      </c>
      <c r="B825" s="4" t="s">
        <v>1732</v>
      </c>
      <c r="C825" s="4" t="s">
        <v>17293</v>
      </c>
      <c r="F825" s="4" t="s">
        <v>17292</v>
      </c>
      <c r="G825" s="4">
        <v>15</v>
      </c>
      <c r="H825" s="4" t="s">
        <v>17294</v>
      </c>
      <c r="I825" s="4" t="str">
        <f>IFERROR(__XLUDF.DUMMYFUNCTION("PROPER(REGEXREPLACE(G823,""[^A-Za-z]+ "",""""))"),"Ks2")</f>
        <v>Ks2</v>
      </c>
      <c r="J825" s="5" t="s">
        <v>17295</v>
      </c>
      <c r="K825" s="4" t="s">
        <v>1312</v>
      </c>
      <c r="L825" s="4" t="s">
        <v>9350</v>
      </c>
      <c r="M825" s="4" t="s">
        <v>29</v>
      </c>
      <c r="N825" s="4" t="s">
        <v>2602</v>
      </c>
      <c r="O825" s="4" t="str">
        <f>IFERROR(__XLUDF.DUMMYFUNCTION("VLOOKUP(M823,IMPORTRANGE(""https://docs.google.com/spreadsheets/d/1opm6ZNvGZ7KditA9TuJwrZ25eFLfTNIkrNnY6mhV5Eg"",""list!A1:C115""),3,TRUE)"),"le secteur de la tech")</f>
        <v xml:space="preserve">le secteur de la tech</v>
      </c>
      <c r="P825" s="4" t="s">
        <v>17296</v>
      </c>
      <c r="R825" s="4" t="s">
        <v>1312</v>
      </c>
      <c r="S825" s="4" t="s">
        <v>9350</v>
      </c>
      <c r="T825" s="4" t="s">
        <v>29</v>
      </c>
      <c r="U825" s="5" t="s">
        <v>17297</v>
      </c>
      <c r="V825" s="6"/>
      <c r="W825" s="6"/>
      <c r="X825" s="6"/>
      <c r="Y825" s="6"/>
      <c r="Z825" s="4" t="s">
        <v>17298</v>
      </c>
      <c r="AA825" s="6"/>
      <c r="AB825" s="5" t="s">
        <v>17299</v>
      </c>
    </row>
    <row r="826" ht="14.25">
      <c r="A826" s="4" t="s">
        <v>17301</v>
      </c>
      <c r="B826" s="4" t="s">
        <v>1732</v>
      </c>
      <c r="C826" s="4" t="s">
        <v>17303</v>
      </c>
      <c r="F826" s="4" t="s">
        <v>17302</v>
      </c>
      <c r="G826" s="4">
        <v>13</v>
      </c>
      <c r="H826" s="4" t="s">
        <v>17304</v>
      </c>
      <c r="I826" s="4" t="str">
        <f>IFERROR(__XLUDF.DUMMYFUNCTION("PROPER(REGEXREPLACE(G824,""[^A-Za-z]+ "",""""))"),"Berga")</f>
        <v>Berga</v>
      </c>
      <c r="J826" s="5" t="s">
        <v>17305</v>
      </c>
      <c r="K826" s="4" t="s">
        <v>185</v>
      </c>
      <c r="L826" s="4" t="s">
        <v>9193</v>
      </c>
      <c r="M826" s="4" t="s">
        <v>29</v>
      </c>
      <c r="N826" s="4" t="s">
        <v>9239</v>
      </c>
      <c r="O826" s="4" t="str">
        <f>IFERROR(__XLUDF.DUMMYFUNCTION("VLOOKUP(M824,IMPORTRANGE(""https://docs.google.com/spreadsheets/d/1opm6ZNvGZ7KditA9TuJwrZ25eFLfTNIkrNnY6mhV5Eg"",""list!A1:C115""),3,TRUE)"),"le secteur de la construction")</f>
        <v xml:space="preserve">le secteur de la construction</v>
      </c>
      <c r="P826" s="4" t="s">
        <v>17306</v>
      </c>
      <c r="R826" s="4" t="s">
        <v>185</v>
      </c>
      <c r="S826" s="4" t="s">
        <v>9172</v>
      </c>
      <c r="T826" s="4" t="s">
        <v>29</v>
      </c>
      <c r="U826" s="5" t="s">
        <v>17307</v>
      </c>
      <c r="V826" s="6"/>
      <c r="W826" s="6"/>
      <c r="X826" s="6"/>
      <c r="Y826" s="6"/>
      <c r="Z826" s="4" t="s">
        <v>17308</v>
      </c>
      <c r="AA826" s="6"/>
      <c r="AB826" s="5" t="s">
        <v>17309</v>
      </c>
    </row>
    <row r="827" ht="14.25">
      <c r="A827" s="4" t="s">
        <v>17311</v>
      </c>
      <c r="B827" s="4" t="s">
        <v>1732</v>
      </c>
      <c r="C827" s="4" t="s">
        <v>17313</v>
      </c>
      <c r="F827" s="4" t="s">
        <v>17312</v>
      </c>
      <c r="G827" s="4">
        <v>14</v>
      </c>
      <c r="H827" s="4" t="s">
        <v>17314</v>
      </c>
      <c r="I827" s="4" t="str">
        <f>IFERROR(__XLUDF.DUMMYFUNCTION("PROPER(REGEXREPLACE(G825,""[^A-Za-z]+ "",""""))"),"Awinsi")</f>
        <v>Awinsi</v>
      </c>
      <c r="J827" s="5" t="s">
        <v>17315</v>
      </c>
      <c r="K827" s="6"/>
      <c r="L827" s="4" t="s">
        <v>9251</v>
      </c>
      <c r="M827" s="4" t="s">
        <v>29</v>
      </c>
      <c r="N827" s="4" t="s">
        <v>4067</v>
      </c>
      <c r="O827" s="4" t="str">
        <f>IFERROR(__XLUDF.DUMMYFUNCTION("VLOOKUP(M825,IMPORTRANGE(""https://docs.google.com/spreadsheets/d/1opm6ZNvGZ7KditA9TuJwrZ25eFLfTNIkrNnY6mhV5Eg"",""list!A1:C115""),3,TRUE)"),"le secteur du conseil en management")</f>
        <v xml:space="preserve">le secteur du conseil en management</v>
      </c>
      <c r="P827" s="4" t="s">
        <v>17316</v>
      </c>
      <c r="R827" s="4" t="s">
        <v>39</v>
      </c>
      <c r="S827" s="4" t="s">
        <v>9160</v>
      </c>
      <c r="T827" s="4" t="s">
        <v>29</v>
      </c>
      <c r="U827" s="5" t="s">
        <v>17317</v>
      </c>
      <c r="V827" s="5" t="s">
        <v>17318</v>
      </c>
      <c r="W827" s="5" t="s">
        <v>17319</v>
      </c>
      <c r="X827" s="6"/>
      <c r="Y827" s="6"/>
      <c r="Z827" s="4" t="s">
        <v>17320</v>
      </c>
      <c r="AA827" s="6"/>
      <c r="AB827" s="5" t="s">
        <v>17321</v>
      </c>
    </row>
    <row r="828" ht="14.25">
      <c r="A828" s="4" t="s">
        <v>17323</v>
      </c>
      <c r="B828" s="4" t="s">
        <v>1732</v>
      </c>
      <c r="C828" s="4" t="s">
        <v>7759</v>
      </c>
      <c r="F828" s="4" t="s">
        <v>17324</v>
      </c>
      <c r="G828" s="4">
        <v>39</v>
      </c>
      <c r="H828" s="4" t="s">
        <v>17325</v>
      </c>
      <c r="I828" s="4" t="str">
        <f>IFERROR(__XLUDF.DUMMYFUNCTION("PROPER(REGEXREPLACE(G826,""[^A-Za-z]+ "",""""))"),"Bosmy")</f>
        <v>Bosmy</v>
      </c>
      <c r="J828" s="5" t="s">
        <v>17326</v>
      </c>
      <c r="K828" s="4" t="s">
        <v>492</v>
      </c>
      <c r="L828" s="4" t="s">
        <v>9267</v>
      </c>
      <c r="M828" s="4" t="s">
        <v>29</v>
      </c>
      <c r="N828" s="4" t="s">
        <v>9239</v>
      </c>
      <c r="O828" s="4" t="str">
        <f>IFERROR(__XLUDF.DUMMYFUNCTION("VLOOKUP(M826,IMPORTRANGE(""https://docs.google.com/spreadsheets/d/1opm6ZNvGZ7KditA9TuJwrZ25eFLfTNIkrNnY6mhV5Eg"",""list!A1:C115""),3,TRUE)"),"le secteur de la construction")</f>
        <v xml:space="preserve">le secteur de la construction</v>
      </c>
      <c r="P828" s="6"/>
      <c r="R828" s="4" t="s">
        <v>17327</v>
      </c>
      <c r="S828" s="4" t="s">
        <v>10370</v>
      </c>
      <c r="T828" s="4" t="s">
        <v>29</v>
      </c>
      <c r="U828" s="5" t="s">
        <v>17328</v>
      </c>
      <c r="V828" s="6"/>
      <c r="W828" s="5" t="s">
        <v>17329</v>
      </c>
      <c r="X828" s="6"/>
      <c r="Y828" s="6"/>
      <c r="Z828" s="4">
        <v>1</v>
      </c>
      <c r="AA828" s="6"/>
      <c r="AB828" s="5" t="s">
        <v>17330</v>
      </c>
    </row>
    <row r="829" ht="14.25">
      <c r="A829" s="4" t="s">
        <v>1648</v>
      </c>
      <c r="B829" s="4" t="s">
        <v>1732</v>
      </c>
      <c r="C829" s="4" t="s">
        <v>17333</v>
      </c>
      <c r="F829" s="4" t="s">
        <v>17332</v>
      </c>
      <c r="G829" s="4">
        <v>12</v>
      </c>
      <c r="H829" s="4" t="s">
        <v>9839</v>
      </c>
      <c r="I829" s="4" t="str">
        <f>IFERROR(__XLUDF.DUMMYFUNCTION("PROPER(REGEXREPLACE(G827,""[^A-Za-z]+ "",""""))"),"Sidekicks")</f>
        <v>Sidekicks</v>
      </c>
      <c r="J829" s="5" t="s">
        <v>9840</v>
      </c>
      <c r="K829" s="6"/>
      <c r="L829" s="6"/>
      <c r="M829" s="4" t="s">
        <v>29</v>
      </c>
      <c r="N829" s="4" t="s">
        <v>4067</v>
      </c>
      <c r="O829" s="4" t="str">
        <f>IFERROR(__XLUDF.DUMMYFUNCTION("VLOOKUP(M827,IMPORTRANGE(""https://docs.google.com/spreadsheets/d/1opm6ZNvGZ7KditA9TuJwrZ25eFLfTNIkrNnY6mhV5Eg"",""list!A1:C115""),3,TRUE)"),"le secteur du conseil en management")</f>
        <v xml:space="preserve">le secteur du conseil en management</v>
      </c>
      <c r="P829" s="4" t="s">
        <v>9841</v>
      </c>
      <c r="R829" s="4" t="s">
        <v>39</v>
      </c>
      <c r="S829" s="4" t="s">
        <v>9160</v>
      </c>
      <c r="T829" s="4" t="s">
        <v>29</v>
      </c>
      <c r="U829" s="5" t="s">
        <v>9842</v>
      </c>
      <c r="V829" s="6"/>
      <c r="W829" s="6"/>
      <c r="X829" s="6"/>
      <c r="Y829" s="6"/>
      <c r="Z829" s="4" t="s">
        <v>9844</v>
      </c>
      <c r="AA829" s="6"/>
      <c r="AB829" s="5" t="s">
        <v>17334</v>
      </c>
    </row>
    <row r="830" ht="14.25">
      <c r="A830" s="4" t="s">
        <v>17336</v>
      </c>
      <c r="B830" s="4" t="s">
        <v>1732</v>
      </c>
      <c r="C830" s="4" t="s">
        <v>7759</v>
      </c>
      <c r="F830" s="4" t="s">
        <v>17337</v>
      </c>
      <c r="G830" s="4">
        <v>27</v>
      </c>
      <c r="H830" s="4" t="s">
        <v>17338</v>
      </c>
      <c r="I830" s="4" t="str">
        <f>IFERROR(__XLUDF.DUMMYFUNCTION("PROPER(REGEXREPLACE(G828,""[^A-Za-z]+ "",""""))"),"Va Telecom")</f>
        <v xml:space="preserve">Va Telecom</v>
      </c>
      <c r="J830" s="5" t="s">
        <v>17339</v>
      </c>
      <c r="K830" s="4" t="s">
        <v>1711</v>
      </c>
      <c r="L830" s="4" t="s">
        <v>9350</v>
      </c>
      <c r="M830" s="4" t="s">
        <v>29</v>
      </c>
      <c r="N830" s="4" t="s">
        <v>9184</v>
      </c>
      <c r="O830" s="4" t="str">
        <f>IFERROR(__XLUDF.DUMMYFUNCTION("VLOOKUP(M828,IMPORTRANGE(""https://docs.google.com/spreadsheets/d/1opm6ZNvGZ7KditA9TuJwrZ25eFLfTNIkrNnY6mhV5Eg"",""list!A1:C115""),3,TRUE)"),"le secteur des télécommunications")</f>
        <v xml:space="preserve">le secteur des télécommunications</v>
      </c>
      <c r="P830" s="4" t="s">
        <v>17340</v>
      </c>
      <c r="R830" s="4" t="s">
        <v>11171</v>
      </c>
      <c r="S830" s="4" t="s">
        <v>9350</v>
      </c>
      <c r="T830" s="4" t="s">
        <v>29</v>
      </c>
      <c r="U830" s="5" t="s">
        <v>17341</v>
      </c>
      <c r="V830" s="6"/>
      <c r="W830" s="6"/>
      <c r="X830" s="6"/>
      <c r="Y830" s="6"/>
      <c r="Z830" s="4" t="s">
        <v>17342</v>
      </c>
      <c r="AA830" s="6"/>
      <c r="AB830" s="5" t="s">
        <v>17343</v>
      </c>
    </row>
    <row r="831" ht="14.25">
      <c r="A831" s="4" t="s">
        <v>17345</v>
      </c>
      <c r="B831" s="4" t="s">
        <v>1732</v>
      </c>
      <c r="C831" s="4" t="s">
        <v>17347</v>
      </c>
      <c r="F831" s="4" t="s">
        <v>17346</v>
      </c>
      <c r="G831" s="4">
        <v>24</v>
      </c>
      <c r="H831" s="4" t="s">
        <v>17348</v>
      </c>
      <c r="I831" s="4" t="str">
        <f>IFERROR(__XLUDF.DUMMYFUNCTION("PROPER(REGEXREPLACE(G829,""[^A-Za-z]+ "",""""))"),"Cre'Actuel")</f>
        <v>Cre'Actuel</v>
      </c>
      <c r="J831" s="5" t="s">
        <v>17349</v>
      </c>
      <c r="K831" s="4" t="s">
        <v>17350</v>
      </c>
      <c r="L831" s="4" t="s">
        <v>9227</v>
      </c>
      <c r="M831" s="4" t="s">
        <v>29</v>
      </c>
      <c r="N831" s="4" t="s">
        <v>9239</v>
      </c>
      <c r="O831" s="4" t="str">
        <f>IFERROR(__XLUDF.DUMMYFUNCTION("VLOOKUP(M829,IMPORTRANGE(""https://docs.google.com/spreadsheets/d/1opm6ZNvGZ7KditA9TuJwrZ25eFLfTNIkrNnY6mhV5Eg"",""list!A1:C115""),3,TRUE)"),"le secteur de la construction")</f>
        <v xml:space="preserve">le secteur de la construction</v>
      </c>
      <c r="P831" s="6"/>
      <c r="R831" s="4" t="s">
        <v>5329</v>
      </c>
      <c r="S831" s="4" t="s">
        <v>9227</v>
      </c>
      <c r="T831" s="4" t="s">
        <v>29</v>
      </c>
      <c r="U831" s="5" t="s">
        <v>17351</v>
      </c>
      <c r="V831" s="6"/>
      <c r="W831" s="5" t="s">
        <v>17352</v>
      </c>
      <c r="X831" s="6"/>
      <c r="Y831" s="6"/>
      <c r="Z831" s="4" t="s">
        <v>17353</v>
      </c>
      <c r="AA831" s="6"/>
      <c r="AB831" s="5" t="s">
        <v>17354</v>
      </c>
    </row>
    <row r="832" ht="14.25">
      <c r="A832" s="4" t="s">
        <v>539</v>
      </c>
      <c r="B832" s="4" t="s">
        <v>3752</v>
      </c>
      <c r="C832" s="4" t="s">
        <v>198</v>
      </c>
      <c r="F832" s="4" t="s">
        <v>17356</v>
      </c>
      <c r="G832" s="4">
        <v>13</v>
      </c>
      <c r="H832" s="4" t="s">
        <v>17357</v>
      </c>
      <c r="I832" s="4" t="str">
        <f>IFERROR(__XLUDF.DUMMYFUNCTION("PROPER(REGEXREPLACE(G830,""[^A-Za-z]+ "",""""))"),"Ekipea")</f>
        <v>Ekipea</v>
      </c>
      <c r="J832" s="6"/>
      <c r="K832" s="4" t="s">
        <v>17358</v>
      </c>
      <c r="L832" s="4" t="s">
        <v>9215</v>
      </c>
      <c r="M832" s="4" t="s">
        <v>29</v>
      </c>
      <c r="N832" s="4" t="s">
        <v>2602</v>
      </c>
      <c r="O832" s="4" t="str">
        <f>IFERROR(__XLUDF.DUMMYFUNCTION("VLOOKUP(M830,IMPORTRANGE(""https://docs.google.com/spreadsheets/d/1opm6ZNvGZ7KditA9TuJwrZ25eFLfTNIkrNnY6mhV5Eg"",""list!A1:C115""),3,TRUE)"),"le secteur de la tech")</f>
        <v xml:space="preserve">le secteur de la tech</v>
      </c>
      <c r="P832" s="6"/>
      <c r="R832" s="4" t="s">
        <v>17359</v>
      </c>
      <c r="S832" s="4" t="s">
        <v>9215</v>
      </c>
      <c r="T832" s="4" t="s">
        <v>29</v>
      </c>
      <c r="U832" s="5" t="s">
        <v>17360</v>
      </c>
      <c r="V832" s="6"/>
      <c r="W832" s="6"/>
      <c r="X832" s="6"/>
      <c r="Y832" s="6"/>
      <c r="Z832" s="6"/>
      <c r="AA832" s="6"/>
      <c r="AB832" s="5" t="s">
        <v>17361</v>
      </c>
    </row>
    <row r="833" ht="14.25">
      <c r="A833" s="4" t="s">
        <v>17363</v>
      </c>
      <c r="B833" s="4" t="s">
        <v>3752</v>
      </c>
      <c r="C833" s="4" t="s">
        <v>2636</v>
      </c>
      <c r="F833" s="4" t="s">
        <v>17364</v>
      </c>
      <c r="G833" s="4">
        <v>15</v>
      </c>
      <c r="H833" s="4" t="s">
        <v>17365</v>
      </c>
      <c r="I833" s="4" t="str">
        <f>IFERROR(__XLUDF.DUMMYFUNCTION("PROPER(REGEXREPLACE(G831,""[^A-Za-z]+ "",""""))"),"Agroqual Laboratoire")</f>
        <v xml:space="preserve">Agroqual Laboratoire</v>
      </c>
      <c r="J833" s="5" t="s">
        <v>17366</v>
      </c>
      <c r="K833" s="4" t="s">
        <v>6954</v>
      </c>
      <c r="L833" s="4" t="s">
        <v>9484</v>
      </c>
      <c r="M833" s="4" t="s">
        <v>29</v>
      </c>
      <c r="N833" s="4" t="s">
        <v>4067</v>
      </c>
      <c r="O833" s="4" t="str">
        <f>IFERROR(__XLUDF.DUMMYFUNCTION("VLOOKUP(M831,IMPORTRANGE(""https://docs.google.com/spreadsheets/d/1opm6ZNvGZ7KditA9TuJwrZ25eFLfTNIkrNnY6mhV5Eg"",""list!A1:C115""),3,TRUE)"),"le secteur du conseil en management")</f>
        <v xml:space="preserve">le secteur du conseil en management</v>
      </c>
      <c r="P833" s="4" t="s">
        <v>17367</v>
      </c>
      <c r="R833" s="4" t="s">
        <v>17368</v>
      </c>
      <c r="S833" s="4" t="s">
        <v>9484</v>
      </c>
      <c r="T833" s="4" t="s">
        <v>29</v>
      </c>
      <c r="U833" s="5" t="s">
        <v>17369</v>
      </c>
      <c r="V833" s="6"/>
      <c r="W833" s="6"/>
      <c r="X833" s="6"/>
      <c r="Y833" s="6"/>
      <c r="Z833" s="4" t="s">
        <v>17370</v>
      </c>
      <c r="AA833" s="6"/>
      <c r="AB833" s="5" t="s">
        <v>17371</v>
      </c>
    </row>
    <row r="834" ht="14.25">
      <c r="A834" s="4" t="s">
        <v>2105</v>
      </c>
      <c r="B834" s="4" t="s">
        <v>3752</v>
      </c>
      <c r="C834" s="4" t="s">
        <v>17374</v>
      </c>
      <c r="F834" s="4" t="s">
        <v>17373</v>
      </c>
      <c r="G834" s="4">
        <v>25</v>
      </c>
      <c r="H834" s="4" t="s">
        <v>17375</v>
      </c>
      <c r="I834" s="4" t="str">
        <f>IFERROR(__XLUDF.DUMMYFUNCTION("PROPER(REGEXREPLACE(G832,""[^A-Za-z]+ "",""""))"),"Lcom")</f>
        <v>Lcom</v>
      </c>
      <c r="J834" s="5" t="s">
        <v>17376</v>
      </c>
      <c r="K834" s="4" t="s">
        <v>2650</v>
      </c>
      <c r="L834" s="4" t="s">
        <v>9350</v>
      </c>
      <c r="M834" s="4" t="s">
        <v>29</v>
      </c>
      <c r="N834" s="4" t="s">
        <v>9161</v>
      </c>
      <c r="O834" s="4" t="str">
        <f>IFERROR(__XLUDF.DUMMYFUNCTION("VLOOKUP(M832,IMPORTRANGE(""https://docs.google.com/spreadsheets/d/1opm6ZNvGZ7KditA9TuJwrZ25eFLfTNIkrNnY6mhV5Eg"",""list!A1:C115""),3,TRUE)"),"le secteur du marketing")</f>
        <v xml:space="preserve">le secteur du marketing</v>
      </c>
      <c r="P834" s="4" t="s">
        <v>17377</v>
      </c>
      <c r="R834" s="4" t="s">
        <v>2650</v>
      </c>
      <c r="S834" s="4" t="s">
        <v>9350</v>
      </c>
      <c r="T834" s="4" t="s">
        <v>29</v>
      </c>
      <c r="U834" s="5" t="s">
        <v>17378</v>
      </c>
      <c r="V834" s="6"/>
      <c r="W834" s="5" t="s">
        <v>17379</v>
      </c>
      <c r="X834" s="6"/>
      <c r="Y834" s="6"/>
      <c r="Z834" s="4" t="s">
        <v>17380</v>
      </c>
      <c r="AA834" s="6"/>
      <c r="AB834" s="5" t="s">
        <v>17381</v>
      </c>
    </row>
    <row r="835" ht="14.25">
      <c r="A835" s="4" t="s">
        <v>17384</v>
      </c>
      <c r="B835" s="4" t="s">
        <v>17383</v>
      </c>
      <c r="C835" s="4" t="s">
        <v>1130</v>
      </c>
      <c r="F835" s="4" t="s">
        <v>17385</v>
      </c>
      <c r="G835" s="4">
        <v>33</v>
      </c>
      <c r="H835" s="4" t="s">
        <v>17386</v>
      </c>
      <c r="I835" s="4" t="str">
        <f>IFERROR(__XLUDF.DUMMYFUNCTION("PROPER(REGEXREPLACE(G833,""[^A-Za-z]+ "",""""))"),"Infotem")</f>
        <v>Infotem</v>
      </c>
      <c r="J835" s="5" t="s">
        <v>17387</v>
      </c>
      <c r="K835" s="4" t="s">
        <v>39</v>
      </c>
      <c r="L835" s="4" t="s">
        <v>9160</v>
      </c>
      <c r="M835" s="4" t="s">
        <v>29</v>
      </c>
      <c r="N835" s="4" t="s">
        <v>2602</v>
      </c>
      <c r="O835" s="4" t="str">
        <f>IFERROR(__XLUDF.DUMMYFUNCTION("VLOOKUP(M833,IMPORTRANGE(""https://docs.google.com/spreadsheets/d/1opm6ZNvGZ7KditA9TuJwrZ25eFLfTNIkrNnY6mhV5Eg"",""list!A1:C115""),3,TRUE)"),"le secteur de la tech")</f>
        <v xml:space="preserve">le secteur de la tech</v>
      </c>
      <c r="P835" s="4" t="s">
        <v>17388</v>
      </c>
      <c r="R835" s="4" t="s">
        <v>39</v>
      </c>
      <c r="S835" s="4" t="s">
        <v>9160</v>
      </c>
      <c r="T835" s="4" t="s">
        <v>29</v>
      </c>
      <c r="U835" s="5" t="s">
        <v>17389</v>
      </c>
      <c r="V835" s="6"/>
      <c r="W835" s="6"/>
      <c r="X835" s="6"/>
      <c r="Y835" s="6"/>
      <c r="Z835" s="4" t="s">
        <v>17390</v>
      </c>
      <c r="AA835" s="6"/>
      <c r="AB835" s="5" t="s">
        <v>17391</v>
      </c>
    </row>
    <row r="836" ht="14.25">
      <c r="A836" s="4" t="s">
        <v>17393</v>
      </c>
      <c r="B836" s="4" t="s">
        <v>17383</v>
      </c>
      <c r="C836" s="4" t="s">
        <v>17395</v>
      </c>
      <c r="F836" s="4" t="s">
        <v>17394</v>
      </c>
      <c r="G836" s="4">
        <v>23</v>
      </c>
      <c r="H836" s="4" t="s">
        <v>17396</v>
      </c>
      <c r="I836" s="4" t="str">
        <f>IFERROR(__XLUDF.DUMMYFUNCTION("PROPER(REGEXREPLACE(G834,""[^A-Za-z]+ "",""""))"),"La Fabrikid")</f>
        <v xml:space="preserve">La Fabrikid</v>
      </c>
      <c r="J836" s="5" t="s">
        <v>17397</v>
      </c>
      <c r="K836" s="4" t="s">
        <v>651</v>
      </c>
      <c r="L836" s="4" t="s">
        <v>9215</v>
      </c>
      <c r="M836" s="4" t="s">
        <v>29</v>
      </c>
      <c r="N836" s="4" t="s">
        <v>2602</v>
      </c>
      <c r="O836" s="4" t="str">
        <f>IFERROR(__XLUDF.DUMMYFUNCTION("VLOOKUP(M834,IMPORTRANGE(""https://docs.google.com/spreadsheets/d/1opm6ZNvGZ7KditA9TuJwrZ25eFLfTNIkrNnY6mhV5Eg"",""list!A1:C115""),3,TRUE)"),"le secteur de la tech")</f>
        <v xml:space="preserve">le secteur de la tech</v>
      </c>
      <c r="P836" s="6"/>
      <c r="R836" s="4" t="s">
        <v>17398</v>
      </c>
      <c r="S836" s="4" t="s">
        <v>9215</v>
      </c>
      <c r="T836" s="4" t="s">
        <v>29</v>
      </c>
      <c r="U836" s="5" t="s">
        <v>17399</v>
      </c>
      <c r="V836" s="6"/>
      <c r="W836" s="6"/>
      <c r="X836" s="6"/>
      <c r="Y836" s="6"/>
      <c r="Z836" s="4" t="s">
        <v>17400</v>
      </c>
      <c r="AA836" s="6"/>
      <c r="AB836" s="5" t="s">
        <v>17401</v>
      </c>
    </row>
    <row r="837" ht="14.25">
      <c r="A837" s="4" t="s">
        <v>17404</v>
      </c>
      <c r="B837" s="4" t="s">
        <v>17403</v>
      </c>
      <c r="C837" s="4" t="s">
        <v>7759</v>
      </c>
      <c r="F837" s="4" t="s">
        <v>17405</v>
      </c>
      <c r="G837" s="4">
        <v>15</v>
      </c>
      <c r="H837" s="4" t="s">
        <v>17406</v>
      </c>
      <c r="I837" s="4" t="str">
        <f>IFERROR(__XLUDF.DUMMYFUNCTION("PROPER(REGEXREPLACE(G835,""[^A-Za-z]+ "",""""))"),"Kadolis")</f>
        <v>Kadolis</v>
      </c>
      <c r="J837" s="5" t="s">
        <v>17407</v>
      </c>
      <c r="K837" s="4" t="s">
        <v>1312</v>
      </c>
      <c r="L837" s="4" t="s">
        <v>9350</v>
      </c>
      <c r="M837" s="4" t="s">
        <v>29</v>
      </c>
      <c r="N837" s="4" t="s">
        <v>4525</v>
      </c>
      <c r="O837" s="4" t="str">
        <f>IFERROR(__XLUDF.DUMMYFUNCTION("VLOOKUP(M835,IMPORTRANGE(""https://docs.google.com/spreadsheets/d/1opm6ZNvGZ7KditA9TuJwrZ25eFLfTNIkrNnY6mhV5Eg"",""list!A1:C115""),3,TRUE)"),"le secteur du retail")</f>
        <v xml:space="preserve">le secteur du retail</v>
      </c>
      <c r="P837" s="4" t="s">
        <v>17408</v>
      </c>
      <c r="R837" s="4" t="s">
        <v>1312</v>
      </c>
      <c r="S837" s="4" t="s">
        <v>9350</v>
      </c>
      <c r="T837" s="4" t="s">
        <v>29</v>
      </c>
      <c r="U837" s="5" t="s">
        <v>17409</v>
      </c>
      <c r="V837" s="5" t="s">
        <v>17410</v>
      </c>
      <c r="W837" s="5" t="s">
        <v>17411</v>
      </c>
      <c r="X837" s="6"/>
      <c r="Y837" s="6"/>
      <c r="Z837" s="4" t="s">
        <v>17412</v>
      </c>
      <c r="AA837" s="6"/>
      <c r="AB837" s="5" t="s">
        <v>17413</v>
      </c>
    </row>
    <row r="838" ht="14.25">
      <c r="A838" s="4" t="s">
        <v>7032</v>
      </c>
      <c r="B838" s="4" t="s">
        <v>1732</v>
      </c>
      <c r="C838" s="4" t="s">
        <v>17416</v>
      </c>
      <c r="F838" s="4" t="s">
        <v>17415</v>
      </c>
      <c r="G838" s="4">
        <v>20</v>
      </c>
      <c r="H838" s="4" t="s">
        <v>17417</v>
      </c>
      <c r="I838" s="4" t="str">
        <f>IFERROR(__XLUDF.DUMMYFUNCTION("PROPER(REGEXREPLACE(G836,""[^A-Za-z]+ "",""""))"),"Ets_Derbez")</f>
        <v>Ets_Derbez</v>
      </c>
      <c r="J838" s="5" t="s">
        <v>17418</v>
      </c>
      <c r="K838" s="4" t="s">
        <v>2680</v>
      </c>
      <c r="L838" s="4" t="s">
        <v>9251</v>
      </c>
      <c r="M838" s="4" t="s">
        <v>29</v>
      </c>
      <c r="N838" s="4" t="s">
        <v>4525</v>
      </c>
      <c r="O838" s="4" t="str">
        <f>IFERROR(__XLUDF.DUMMYFUNCTION("VLOOKUP(M836,IMPORTRANGE(""https://docs.google.com/spreadsheets/d/1opm6ZNvGZ7KditA9TuJwrZ25eFLfTNIkrNnY6mhV5Eg"",""list!A1:C115""),3,TRUE)"),"le secteur du retail")</f>
        <v xml:space="preserve">le secteur du retail</v>
      </c>
      <c r="P838" s="4" t="s">
        <v>17419</v>
      </c>
      <c r="R838" s="4" t="s">
        <v>2680</v>
      </c>
      <c r="S838" s="4" t="s">
        <v>9251</v>
      </c>
      <c r="T838" s="4" t="s">
        <v>29</v>
      </c>
      <c r="U838" s="5" t="s">
        <v>17420</v>
      </c>
      <c r="V838" s="6"/>
      <c r="W838" s="6"/>
      <c r="X838" s="6"/>
      <c r="Y838" s="6"/>
      <c r="Z838" s="4" t="s">
        <v>17421</v>
      </c>
      <c r="AA838" s="6"/>
      <c r="AB838" s="5" t="s">
        <v>17422</v>
      </c>
    </row>
    <row r="839" ht="14.25">
      <c r="A839" s="4" t="s">
        <v>17424</v>
      </c>
      <c r="B839" s="4" t="s">
        <v>17236</v>
      </c>
      <c r="C839" s="4" t="s">
        <v>1231</v>
      </c>
      <c r="F839" s="4" t="s">
        <v>17425</v>
      </c>
      <c r="G839" s="4">
        <v>22</v>
      </c>
      <c r="H839" s="4" t="s">
        <v>17426</v>
      </c>
      <c r="I839" s="4" t="str">
        <f>IFERROR(__XLUDF.DUMMYFUNCTION("PROPER(REGEXREPLACE(G837,""[^A-Za-z]+ "",""""))"),"La Bouquinerie Du Sart")</f>
        <v xml:space="preserve">La Bouquinerie Du Sart</v>
      </c>
      <c r="J839" s="5" t="s">
        <v>17427</v>
      </c>
      <c r="K839" s="4" t="s">
        <v>10537</v>
      </c>
      <c r="L839" s="4" t="s">
        <v>9281</v>
      </c>
      <c r="M839" s="4" t="s">
        <v>29</v>
      </c>
      <c r="N839" s="4" t="s">
        <v>4525</v>
      </c>
      <c r="O839" s="4" t="str">
        <f>IFERROR(__XLUDF.DUMMYFUNCTION("VLOOKUP(M837,IMPORTRANGE(""https://docs.google.com/spreadsheets/d/1opm6ZNvGZ7KditA9TuJwrZ25eFLfTNIkrNnY6mhV5Eg"",""list!A1:C115""),3,TRUE)"),"le secteur du retail")</f>
        <v xml:space="preserve">le secteur du retail</v>
      </c>
      <c r="P839" s="6"/>
      <c r="R839" s="4" t="s">
        <v>10537</v>
      </c>
      <c r="S839" s="4" t="s">
        <v>9281</v>
      </c>
      <c r="T839" s="4" t="s">
        <v>29</v>
      </c>
      <c r="U839" s="5" t="s">
        <v>17428</v>
      </c>
      <c r="V839" s="5" t="s">
        <v>17429</v>
      </c>
      <c r="W839" s="5" t="s">
        <v>17430</v>
      </c>
      <c r="X839" s="6"/>
      <c r="Y839" s="6"/>
      <c r="Z839" s="4" t="s">
        <v>17431</v>
      </c>
      <c r="AA839" s="6"/>
      <c r="AB839" s="5" t="s">
        <v>17432</v>
      </c>
    </row>
    <row r="840" ht="14.25">
      <c r="A840" s="4" t="s">
        <v>17435</v>
      </c>
      <c r="B840" s="4" t="s">
        <v>17434</v>
      </c>
      <c r="C840" s="4" t="s">
        <v>3188</v>
      </c>
      <c r="F840" s="4" t="s">
        <v>17436</v>
      </c>
      <c r="G840" s="4">
        <v>10</v>
      </c>
      <c r="H840" s="4" t="s">
        <v>17437</v>
      </c>
      <c r="I840" s="4" t="str">
        <f>IFERROR(__XLUDF.DUMMYFUNCTION("PROPER(REGEXREPLACE(G838,""[^A-Za-z]+ "",""""))"),"Nefture")</f>
        <v>Nefture</v>
      </c>
      <c r="J840" s="5" t="s">
        <v>17438</v>
      </c>
      <c r="K840" s="4" t="s">
        <v>39</v>
      </c>
      <c r="L840" s="4" t="s">
        <v>9160</v>
      </c>
      <c r="M840" s="4" t="s">
        <v>29</v>
      </c>
      <c r="N840" s="4" t="s">
        <v>2602</v>
      </c>
      <c r="O840" s="4" t="str">
        <f>IFERROR(__XLUDF.DUMMYFUNCTION("VLOOKUP(M838,IMPORTRANGE(""https://docs.google.com/spreadsheets/d/1opm6ZNvGZ7KditA9TuJwrZ25eFLfTNIkrNnY6mhV5Eg"",""list!A1:C115""),3,TRUE)"),"le secteur de la tech")</f>
        <v xml:space="preserve">le secteur de la tech</v>
      </c>
      <c r="P840" s="4" t="s">
        <v>17439</v>
      </c>
      <c r="R840" s="4" t="s">
        <v>39</v>
      </c>
      <c r="S840" s="4" t="s">
        <v>9160</v>
      </c>
      <c r="T840" s="4" t="s">
        <v>29</v>
      </c>
      <c r="U840" s="5" t="s">
        <v>17440</v>
      </c>
      <c r="V840" s="6"/>
      <c r="W840" s="6"/>
      <c r="X840" s="6"/>
      <c r="Y840" s="6"/>
      <c r="Z840" s="4" t="s">
        <v>17441</v>
      </c>
      <c r="AA840" s="6"/>
      <c r="AB840" s="5" t="s">
        <v>17442</v>
      </c>
    </row>
    <row r="841" ht="14.25">
      <c r="A841" s="4" t="s">
        <v>17444</v>
      </c>
      <c r="B841" s="4" t="s">
        <v>5688</v>
      </c>
      <c r="C841" s="4" t="s">
        <v>112</v>
      </c>
      <c r="F841" s="4" t="s">
        <v>17445</v>
      </c>
      <c r="G841" s="4">
        <v>28</v>
      </c>
      <c r="H841" s="4" t="s">
        <v>17446</v>
      </c>
      <c r="I841" s="4" t="str">
        <f>IFERROR(__XLUDF.DUMMYFUNCTION("PROPER(REGEXREPLACE(G839,""[^A-Za-z]+ "",""""))"),"Kouka")</f>
        <v>Kouka</v>
      </c>
      <c r="J841" s="5" t="s">
        <v>17447</v>
      </c>
      <c r="K841" s="6"/>
      <c r="L841" s="4" t="s">
        <v>9160</v>
      </c>
      <c r="M841" s="4" t="s">
        <v>29</v>
      </c>
      <c r="N841" s="4" t="s">
        <v>2602</v>
      </c>
      <c r="O841" s="4" t="str">
        <f>IFERROR(__XLUDF.DUMMYFUNCTION("VLOOKUP(M839,IMPORTRANGE(""https://docs.google.com/spreadsheets/d/1opm6ZNvGZ7KditA9TuJwrZ25eFLfTNIkrNnY6mhV5Eg"",""list!A1:C115""),3,TRUE)"),"le secteur de la tech")</f>
        <v xml:space="preserve">le secteur de la tech</v>
      </c>
      <c r="P841" s="6"/>
      <c r="R841" s="4" t="s">
        <v>39</v>
      </c>
      <c r="S841" s="4" t="s">
        <v>9160</v>
      </c>
      <c r="T841" s="4" t="s">
        <v>29</v>
      </c>
      <c r="U841" s="5" t="s">
        <v>17448</v>
      </c>
      <c r="V841" s="6"/>
      <c r="W841" s="6"/>
      <c r="X841" s="6"/>
      <c r="Y841" s="6"/>
      <c r="Z841" s="4" t="s">
        <v>17449</v>
      </c>
      <c r="AA841" s="6"/>
      <c r="AB841" s="5" t="s">
        <v>17450</v>
      </c>
    </row>
    <row r="842" ht="14.25">
      <c r="A842" s="4" t="s">
        <v>17453</v>
      </c>
      <c r="B842" s="4" t="s">
        <v>17452</v>
      </c>
      <c r="C842" s="4" t="s">
        <v>7759</v>
      </c>
      <c r="F842" s="4" t="s">
        <v>17454</v>
      </c>
      <c r="G842" s="4">
        <v>16</v>
      </c>
      <c r="H842" s="4" t="s">
        <v>17455</v>
      </c>
      <c r="I842" s="4" t="str">
        <f>IFERROR(__XLUDF.DUMMYFUNCTION("PROPER(REGEXREPLACE(G840,""[^A-Za-z]+ "",""""))"),"Netconcept")</f>
        <v>Netconcept</v>
      </c>
      <c r="J842" s="5" t="s">
        <v>17456</v>
      </c>
      <c r="K842" s="4" t="s">
        <v>651</v>
      </c>
      <c r="L842" s="4" t="s">
        <v>9215</v>
      </c>
      <c r="M842" s="4" t="s">
        <v>29</v>
      </c>
      <c r="N842" s="4" t="s">
        <v>9239</v>
      </c>
      <c r="O842" s="4" t="str">
        <f>IFERROR(__XLUDF.DUMMYFUNCTION("VLOOKUP(M840,IMPORTRANGE(""https://docs.google.com/spreadsheets/d/1opm6ZNvGZ7KditA9TuJwrZ25eFLfTNIkrNnY6mhV5Eg"",""list!A1:C115""),3,TRUE)"),"le secteur de la construction")</f>
        <v xml:space="preserve">le secteur de la construction</v>
      </c>
      <c r="P842" s="4" t="s">
        <v>17457</v>
      </c>
      <c r="R842" s="4" t="s">
        <v>5742</v>
      </c>
      <c r="S842" s="4" t="s">
        <v>12581</v>
      </c>
      <c r="T842" s="4" t="s">
        <v>29</v>
      </c>
      <c r="U842" s="5" t="s">
        <v>17458</v>
      </c>
      <c r="V842" s="6"/>
      <c r="W842" s="6"/>
      <c r="X842" s="6"/>
      <c r="Y842" s="6"/>
      <c r="Z842" s="4" t="s">
        <v>17459</v>
      </c>
      <c r="AA842" s="6"/>
      <c r="AB842" s="5" t="s">
        <v>17460</v>
      </c>
    </row>
    <row r="843" ht="14.25">
      <c r="A843" s="4" t="s">
        <v>17462</v>
      </c>
      <c r="B843" s="4" t="s">
        <v>2409</v>
      </c>
      <c r="C843" s="4" t="s">
        <v>1072</v>
      </c>
      <c r="F843" s="4" t="s">
        <v>17463</v>
      </c>
      <c r="G843" s="4">
        <v>28</v>
      </c>
      <c r="H843" s="4" t="s">
        <v>17464</v>
      </c>
      <c r="I843" s="4" t="str">
        <f>IFERROR(__XLUDF.DUMMYFUNCTION("PROPER(REGEXREPLACE(G841,""[^A-Za-z]+ "",""""))"),"Phacet")</f>
        <v>Phacet</v>
      </c>
      <c r="J843" s="5" t="s">
        <v>17465</v>
      </c>
      <c r="K843" s="4" t="s">
        <v>39</v>
      </c>
      <c r="L843" s="4" t="s">
        <v>9160</v>
      </c>
      <c r="M843" s="4" t="s">
        <v>29</v>
      </c>
      <c r="N843" s="4" t="s">
        <v>10950</v>
      </c>
      <c r="O843" s="4" t="str">
        <f>IFERROR(__XLUDF.DUMMYFUNCTION("VLOOKUP(M841,IMPORTRANGE(""https://docs.google.com/spreadsheets/d/1opm6ZNvGZ7KditA9TuJwrZ25eFLfTNIkrNnY6mhV5Eg"",""list!A1:C115""),3,TRUE)"),"le secteur de la tech")</f>
        <v xml:space="preserve">le secteur de la tech</v>
      </c>
      <c r="P843" s="4" t="s">
        <v>17466</v>
      </c>
      <c r="R843" s="6"/>
      <c r="S843" s="6"/>
      <c r="T843" s="6"/>
      <c r="U843" s="5" t="s">
        <v>17467</v>
      </c>
      <c r="V843" s="6"/>
      <c r="W843" s="6"/>
      <c r="X843" s="6"/>
      <c r="Y843" s="6"/>
      <c r="Z843" s="4" t="s">
        <v>17468</v>
      </c>
      <c r="AA843" s="6"/>
      <c r="AB843" s="5" t="s">
        <v>17469</v>
      </c>
    </row>
    <row r="844" ht="14.25">
      <c r="A844" s="4" t="s">
        <v>17471</v>
      </c>
      <c r="B844" s="4" t="s">
        <v>2419</v>
      </c>
      <c r="C844" s="4" t="s">
        <v>62</v>
      </c>
      <c r="F844" s="4" t="s">
        <v>17472</v>
      </c>
      <c r="G844" s="4">
        <v>10</v>
      </c>
      <c r="H844" s="4" t="s">
        <v>17473</v>
      </c>
      <c r="I844" s="4" t="str">
        <f>IFERROR(__XLUDF.DUMMYFUNCTION("PROPER(REGEXREPLACE(G842,""[^A-Za-z]+ "",""""))"),"Duo")</f>
        <v>Duo</v>
      </c>
      <c r="J844" s="5" t="s">
        <v>17474</v>
      </c>
      <c r="K844" s="4" t="s">
        <v>1419</v>
      </c>
      <c r="L844" s="4" t="s">
        <v>9160</v>
      </c>
      <c r="M844" s="4" t="s">
        <v>29</v>
      </c>
      <c r="N844" s="4" t="s">
        <v>2602</v>
      </c>
      <c r="O844" s="4" t="str">
        <f>IFERROR(__XLUDF.DUMMYFUNCTION("VLOOKUP(M842,IMPORTRANGE(""https://docs.google.com/spreadsheets/d/1opm6ZNvGZ7KditA9TuJwrZ25eFLfTNIkrNnY6mhV5Eg"",""list!A1:C115""),3,TRUE)"),"le secteur de la tech")</f>
        <v xml:space="preserve">le secteur de la tech</v>
      </c>
      <c r="P844" s="4" t="s">
        <v>17475</v>
      </c>
      <c r="R844" s="4" t="s">
        <v>39</v>
      </c>
      <c r="S844" s="4" t="s">
        <v>9160</v>
      </c>
      <c r="T844" s="4" t="s">
        <v>29</v>
      </c>
      <c r="U844" s="5" t="s">
        <v>17476</v>
      </c>
      <c r="V844" s="6"/>
      <c r="W844" s="6"/>
      <c r="X844" s="6"/>
      <c r="Y844" s="6"/>
      <c r="Z844" s="4" t="s">
        <v>17477</v>
      </c>
      <c r="AA844" s="6"/>
      <c r="AB844" s="5" t="s">
        <v>17478</v>
      </c>
    </row>
    <row r="845" ht="14.25">
      <c r="A845" s="4" t="s">
        <v>17480</v>
      </c>
      <c r="B845" s="4" t="s">
        <v>2419</v>
      </c>
      <c r="C845" s="4" t="s">
        <v>120</v>
      </c>
      <c r="F845" s="4" t="s">
        <v>17481</v>
      </c>
      <c r="G845" s="4">
        <v>22</v>
      </c>
      <c r="H845" s="4" t="s">
        <v>17482</v>
      </c>
      <c r="I845" s="4" t="str">
        <f>IFERROR(__XLUDF.DUMMYFUNCTION("PROPER(REGEXREPLACE(G843,""[^A-Za-z]+ "",""""))"),"Komugi")</f>
        <v>Komugi</v>
      </c>
      <c r="J845" s="5" t="s">
        <v>17483</v>
      </c>
      <c r="K845" s="4" t="s">
        <v>17484</v>
      </c>
      <c r="L845" s="4" t="s">
        <v>9193</v>
      </c>
      <c r="M845" s="4" t="s">
        <v>29</v>
      </c>
      <c r="N845" s="4" t="s">
        <v>2602</v>
      </c>
      <c r="O845" s="4" t="str">
        <f>IFERROR(__XLUDF.DUMMYFUNCTION("VLOOKUP(M843,IMPORTRANGE(""https://docs.google.com/spreadsheets/d/1opm6ZNvGZ7KditA9TuJwrZ25eFLfTNIkrNnY6mhV5Eg"",""list!A1:C115""),3,TRUE)"),"le secteur de la tech")</f>
        <v xml:space="preserve">le secteur de la tech</v>
      </c>
      <c r="P845" s="4" t="s">
        <v>17485</v>
      </c>
      <c r="R845" s="4" t="s">
        <v>17484</v>
      </c>
      <c r="S845" s="4" t="s">
        <v>9193</v>
      </c>
      <c r="T845" s="4" t="s">
        <v>29</v>
      </c>
      <c r="U845" s="5" t="s">
        <v>17486</v>
      </c>
      <c r="V845" s="6"/>
      <c r="W845" s="6"/>
      <c r="X845" s="6"/>
      <c r="Y845" s="6"/>
      <c r="Z845" s="4" t="s">
        <v>17487</v>
      </c>
      <c r="AA845" s="6"/>
      <c r="AB845" s="5" t="s">
        <v>17488</v>
      </c>
    </row>
    <row r="846" ht="14.25">
      <c r="A846" s="4" t="s">
        <v>17490</v>
      </c>
      <c r="B846" s="4" t="s">
        <v>2419</v>
      </c>
      <c r="C846" s="4" t="s">
        <v>17492</v>
      </c>
      <c r="F846" s="4" t="s">
        <v>17491</v>
      </c>
      <c r="G846" s="4">
        <v>11</v>
      </c>
      <c r="H846" s="4" t="s">
        <v>17493</v>
      </c>
      <c r="I846" s="4" t="str">
        <f>IFERROR(__XLUDF.DUMMYFUNCTION("PROPER(REGEXREPLACE(G844,""[^A-Za-z]+ "",""""))"),"Leanco")</f>
        <v>Leanco</v>
      </c>
      <c r="J846" s="5" t="s">
        <v>17494</v>
      </c>
      <c r="K846" s="4" t="s">
        <v>1711</v>
      </c>
      <c r="L846" s="4" t="s">
        <v>9350</v>
      </c>
      <c r="M846" s="4" t="s">
        <v>29</v>
      </c>
      <c r="N846" s="4" t="s">
        <v>2602</v>
      </c>
      <c r="O846" s="4" t="str">
        <f>IFERROR(__XLUDF.DUMMYFUNCTION("VLOOKUP(M844,IMPORTRANGE(""https://docs.google.com/spreadsheets/d/1opm6ZNvGZ7KditA9TuJwrZ25eFLfTNIkrNnY6mhV5Eg"",""list!A1:C115""),3,TRUE)"),"le secteur de la tech")</f>
        <v xml:space="preserve">le secteur de la tech</v>
      </c>
      <c r="P846" s="4" t="s">
        <v>17495</v>
      </c>
      <c r="R846" s="4" t="s">
        <v>1711</v>
      </c>
      <c r="S846" s="4" t="s">
        <v>9350</v>
      </c>
      <c r="T846" s="4" t="s">
        <v>29</v>
      </c>
      <c r="U846" s="5" t="s">
        <v>17496</v>
      </c>
      <c r="V846" s="6"/>
      <c r="W846" s="6"/>
      <c r="X846" s="6"/>
      <c r="Y846" s="6"/>
      <c r="Z846" s="4" t="s">
        <v>17497</v>
      </c>
      <c r="AA846" s="6"/>
      <c r="AB846" s="5" t="s">
        <v>17498</v>
      </c>
    </row>
    <row r="847" ht="14.25">
      <c r="A847" s="4" t="s">
        <v>17501</v>
      </c>
      <c r="B847" s="4" t="s">
        <v>17500</v>
      </c>
      <c r="C847" s="4" t="s">
        <v>172</v>
      </c>
      <c r="F847" s="4" t="s">
        <v>17502</v>
      </c>
      <c r="G847" s="4">
        <v>18</v>
      </c>
      <c r="H847" s="4" t="s">
        <v>17503</v>
      </c>
      <c r="I847" s="4" t="str">
        <f>IFERROR(__XLUDF.DUMMYFUNCTION("PROPER(REGEXREPLACE(G845,""[^A-Za-z]+ "",""""))"),"Sogev")</f>
        <v>Sogev</v>
      </c>
      <c r="J847" s="5" t="s">
        <v>17504</v>
      </c>
      <c r="K847" s="4" t="s">
        <v>1015</v>
      </c>
      <c r="L847" s="4" t="s">
        <v>9251</v>
      </c>
      <c r="M847" s="4" t="s">
        <v>29</v>
      </c>
      <c r="N847" s="4" t="s">
        <v>9239</v>
      </c>
      <c r="O847" s="4" t="str">
        <f>IFERROR(__XLUDF.DUMMYFUNCTION("VLOOKUP(M845,IMPORTRANGE(""https://docs.google.com/spreadsheets/d/1opm6ZNvGZ7KditA9TuJwrZ25eFLfTNIkrNnY6mhV5Eg"",""list!A1:C115""),3,TRUE)"),"le secteur de la construction")</f>
        <v xml:space="preserve">le secteur de la construction</v>
      </c>
      <c r="P847" s="6"/>
      <c r="R847" s="4" t="s">
        <v>1015</v>
      </c>
      <c r="S847" s="4" t="s">
        <v>9251</v>
      </c>
      <c r="T847" s="4" t="s">
        <v>29</v>
      </c>
      <c r="U847" s="5" t="s">
        <v>17505</v>
      </c>
      <c r="V847" s="6"/>
      <c r="W847" s="6"/>
      <c r="X847" s="6"/>
      <c r="Y847" s="6"/>
      <c r="Z847" s="4" t="s">
        <v>17506</v>
      </c>
      <c r="AA847" s="6"/>
      <c r="AB847" s="5" t="s">
        <v>17507</v>
      </c>
    </row>
    <row r="848" ht="14.25">
      <c r="A848" s="4" t="s">
        <v>17509</v>
      </c>
      <c r="B848" s="4" t="s">
        <v>2652</v>
      </c>
      <c r="C848" s="4" t="s">
        <v>112</v>
      </c>
      <c r="F848" s="4" t="s">
        <v>17510</v>
      </c>
      <c r="G848" s="4">
        <v>21</v>
      </c>
      <c r="H848" s="4" t="s">
        <v>17511</v>
      </c>
      <c r="I848" s="4" t="str">
        <f>IFERROR(__XLUDF.DUMMYFUNCTION("PROPER(REGEXREPLACE(G846,""[^A-Za-z]+ "",""""))"),"Amg-It")</f>
        <v>Amg-It</v>
      </c>
      <c r="J848" s="5" t="s">
        <v>17512</v>
      </c>
      <c r="K848" s="4" t="s">
        <v>17513</v>
      </c>
      <c r="L848" s="4" t="s">
        <v>9160</v>
      </c>
      <c r="M848" s="4" t="s">
        <v>29</v>
      </c>
      <c r="N848" s="4" t="s">
        <v>2602</v>
      </c>
      <c r="O848" s="4" t="str">
        <f>IFERROR(__XLUDF.DUMMYFUNCTION("VLOOKUP(M846,IMPORTRANGE(""https://docs.google.com/spreadsheets/d/1opm6ZNvGZ7KditA9TuJwrZ25eFLfTNIkrNnY6mhV5Eg"",""list!A1:C115""),3,TRUE)"),"le secteur de la tech")</f>
        <v xml:space="preserve">le secteur de la tech</v>
      </c>
      <c r="P848" s="4" t="s">
        <v>17514</v>
      </c>
      <c r="R848" s="4" t="s">
        <v>13773</v>
      </c>
      <c r="S848" s="4" t="s">
        <v>9160</v>
      </c>
      <c r="T848" s="4" t="s">
        <v>29</v>
      </c>
      <c r="U848" s="5" t="s">
        <v>17515</v>
      </c>
      <c r="V848" s="6"/>
      <c r="W848" s="6"/>
      <c r="X848" s="6"/>
      <c r="Y848" s="6"/>
      <c r="Z848" s="4" t="s">
        <v>17516</v>
      </c>
      <c r="AA848" s="6"/>
      <c r="AB848" s="5" t="s">
        <v>17517</v>
      </c>
    </row>
    <row r="849" ht="14.25">
      <c r="A849" s="4" t="s">
        <v>17519</v>
      </c>
      <c r="B849" s="4" t="s">
        <v>2652</v>
      </c>
      <c r="C849" s="4" t="s">
        <v>17521</v>
      </c>
      <c r="F849" s="4" t="s">
        <v>17520</v>
      </c>
      <c r="G849" s="4">
        <v>21</v>
      </c>
      <c r="H849" s="4" t="s">
        <v>13977</v>
      </c>
      <c r="I849" s="4" t="str">
        <f>IFERROR(__XLUDF.DUMMYFUNCTION("PROPER(REGEXREPLACE(G847,""[^A-Za-z]+ "",""""))"),"Nomiks")</f>
        <v>Nomiks</v>
      </c>
      <c r="J849" s="5" t="s">
        <v>13978</v>
      </c>
      <c r="K849" s="4" t="s">
        <v>6489</v>
      </c>
      <c r="L849" s="4" t="s">
        <v>10390</v>
      </c>
      <c r="M849" s="4" t="s">
        <v>29</v>
      </c>
      <c r="N849" s="4" t="s">
        <v>2602</v>
      </c>
      <c r="O849" s="4" t="str">
        <f>IFERROR(__XLUDF.DUMMYFUNCTION("VLOOKUP(M847,IMPORTRANGE(""https://docs.google.com/spreadsheets/d/1opm6ZNvGZ7KditA9TuJwrZ25eFLfTNIkrNnY6mhV5Eg"",""list!A1:C115""),3,TRUE)"),"le secteur de la tech")</f>
        <v xml:space="preserve">le secteur de la tech</v>
      </c>
      <c r="P849" s="4" t="s">
        <v>13979</v>
      </c>
      <c r="R849" s="4" t="s">
        <v>8086</v>
      </c>
      <c r="S849" s="4" t="s">
        <v>8086</v>
      </c>
      <c r="T849" s="4" t="s">
        <v>1938</v>
      </c>
      <c r="U849" s="5" t="s">
        <v>13980</v>
      </c>
      <c r="V849" s="6"/>
      <c r="W849" s="6"/>
      <c r="X849" s="6"/>
      <c r="Y849" s="6"/>
      <c r="Z849" s="4" t="s">
        <v>13981</v>
      </c>
      <c r="AA849" s="6"/>
      <c r="AB849" s="5" t="s">
        <v>17522</v>
      </c>
    </row>
    <row r="850" ht="14.25">
      <c r="A850" s="4" t="s">
        <v>17525</v>
      </c>
      <c r="B850" s="4" t="s">
        <v>17524</v>
      </c>
      <c r="C850" s="4" t="s">
        <v>17527</v>
      </c>
      <c r="F850" s="4" t="s">
        <v>17526</v>
      </c>
      <c r="G850" s="4">
        <v>32</v>
      </c>
      <c r="H850" s="4" t="s">
        <v>17528</v>
      </c>
      <c r="I850" s="4" t="str">
        <f>IFERROR(__XLUDF.DUMMYFUNCTION("PROPER(REGEXREPLACE(G848,""[^A-Za-z]+ "",""""))"),"Cicadom")</f>
        <v>Cicadom</v>
      </c>
      <c r="J850" s="5" t="s">
        <v>17529</v>
      </c>
      <c r="K850" s="4" t="s">
        <v>5265</v>
      </c>
      <c r="L850" s="4" t="s">
        <v>9193</v>
      </c>
      <c r="M850" s="4" t="s">
        <v>29</v>
      </c>
      <c r="N850" s="4" t="s">
        <v>4525</v>
      </c>
      <c r="O850" s="4" t="str">
        <f>IFERROR(__XLUDF.DUMMYFUNCTION("VLOOKUP(M848,IMPORTRANGE(""https://docs.google.com/spreadsheets/d/1opm6ZNvGZ7KditA9TuJwrZ25eFLfTNIkrNnY6mhV5Eg"",""list!A1:C115""),3,TRUE)"),"le secteur du retail")</f>
        <v xml:space="preserve">le secteur du retail</v>
      </c>
      <c r="P850" s="6"/>
      <c r="R850" s="4" t="s">
        <v>5265</v>
      </c>
      <c r="S850" s="4" t="s">
        <v>9172</v>
      </c>
      <c r="T850" s="4" t="s">
        <v>29</v>
      </c>
      <c r="U850" s="5" t="s">
        <v>17530</v>
      </c>
      <c r="V850" s="6"/>
      <c r="W850" s="6"/>
      <c r="X850" s="6"/>
      <c r="Y850" s="6"/>
      <c r="Z850" s="4" t="s">
        <v>17531</v>
      </c>
      <c r="AA850" s="6"/>
      <c r="AB850" s="5" t="s">
        <v>17532</v>
      </c>
    </row>
    <row r="851" ht="14.25">
      <c r="A851" s="4" t="s">
        <v>12397</v>
      </c>
      <c r="B851" s="4" t="s">
        <v>1353</v>
      </c>
      <c r="C851" s="4" t="s">
        <v>7759</v>
      </c>
      <c r="F851" s="4" t="s">
        <v>17534</v>
      </c>
      <c r="G851" s="4">
        <v>15</v>
      </c>
      <c r="H851" s="4" t="s">
        <v>17535</v>
      </c>
      <c r="I851" s="4" t="str">
        <f>IFERROR(__XLUDF.DUMMYFUNCTION("PROPER(REGEXREPLACE(G849,""[^A-Za-z]+ "",""""))"),"Only Toit")</f>
        <v xml:space="preserve">Only Toit</v>
      </c>
      <c r="J851" s="5" t="s">
        <v>17536</v>
      </c>
      <c r="K851" s="4" t="s">
        <v>185</v>
      </c>
      <c r="L851" s="4" t="s">
        <v>9193</v>
      </c>
      <c r="M851" s="4" t="s">
        <v>29</v>
      </c>
      <c r="N851" s="4" t="s">
        <v>9239</v>
      </c>
      <c r="O851" s="4" t="str">
        <f>IFERROR(__XLUDF.DUMMYFUNCTION("VLOOKUP(M849,IMPORTRANGE(""https://docs.google.com/spreadsheets/d/1opm6ZNvGZ7KditA9TuJwrZ25eFLfTNIkrNnY6mhV5Eg"",""list!A1:C115""),3,TRUE)"),"le secteur de la construction")</f>
        <v xml:space="preserve">le secteur de la construction</v>
      </c>
      <c r="P851" s="6"/>
      <c r="R851" s="4" t="s">
        <v>17537</v>
      </c>
      <c r="S851" s="4" t="s">
        <v>9172</v>
      </c>
      <c r="T851" s="4" t="s">
        <v>29</v>
      </c>
      <c r="U851" s="5" t="s">
        <v>17538</v>
      </c>
      <c r="V851" s="6"/>
      <c r="W851" s="6"/>
      <c r="X851" s="6"/>
      <c r="Y851" s="6"/>
      <c r="Z851" s="4" t="s">
        <v>17539</v>
      </c>
      <c r="AA851" s="6"/>
      <c r="AB851" s="5" t="s">
        <v>17540</v>
      </c>
    </row>
    <row r="852" ht="14.25">
      <c r="A852" s="4" t="s">
        <v>17542</v>
      </c>
      <c r="B852" s="4" t="s">
        <v>1353</v>
      </c>
      <c r="C852" s="4" t="s">
        <v>17544</v>
      </c>
      <c r="F852" s="4" t="s">
        <v>17543</v>
      </c>
      <c r="G852" s="4">
        <v>33</v>
      </c>
      <c r="H852" s="4" t="s">
        <v>17545</v>
      </c>
      <c r="I852" s="4" t="str">
        <f>IFERROR(__XLUDF.DUMMYFUNCTION("PROPER(REGEXREPLACE(G850,""[^A-Za-z]+ "",""""))"),"Auguste Et Ferdinand")</f>
        <v xml:space="preserve">Auguste Et Ferdinand</v>
      </c>
      <c r="J852" s="5" t="s">
        <v>17546</v>
      </c>
      <c r="K852" s="4" t="s">
        <v>17547</v>
      </c>
      <c r="L852" s="4" t="s">
        <v>9281</v>
      </c>
      <c r="M852" s="4" t="s">
        <v>29</v>
      </c>
      <c r="N852" s="4" t="s">
        <v>4525</v>
      </c>
      <c r="O852" s="4" t="str">
        <f>IFERROR(__XLUDF.DUMMYFUNCTION("VLOOKUP(M850,IMPORTRANGE(""https://docs.google.com/spreadsheets/d/1opm6ZNvGZ7KditA9TuJwrZ25eFLfTNIkrNnY6mhV5Eg"",""list!A1:C115""),3,TRUE)"),"le secteur du retail")</f>
        <v xml:space="preserve">le secteur du retail</v>
      </c>
      <c r="P852" s="4" t="s">
        <v>17548</v>
      </c>
      <c r="R852" s="4" t="s">
        <v>12835</v>
      </c>
      <c r="S852" s="4" t="s">
        <v>9281</v>
      </c>
      <c r="T852" s="4" t="s">
        <v>29</v>
      </c>
      <c r="U852" s="5" t="s">
        <v>17549</v>
      </c>
      <c r="V852" s="6"/>
      <c r="W852" s="5" t="s">
        <v>17550</v>
      </c>
      <c r="X852" s="6"/>
      <c r="Y852" s="6"/>
      <c r="Z852" s="4" t="s">
        <v>17551</v>
      </c>
      <c r="AA852" s="6"/>
      <c r="AB852" s="5" t="s">
        <v>17552</v>
      </c>
    </row>
    <row r="853" ht="14.25">
      <c r="A853" s="4" t="s">
        <v>17554</v>
      </c>
      <c r="B853" s="4" t="s">
        <v>2652</v>
      </c>
      <c r="C853" s="4" t="s">
        <v>341</v>
      </c>
      <c r="F853" s="4" t="s">
        <v>17555</v>
      </c>
      <c r="G853" s="4">
        <v>26</v>
      </c>
      <c r="H853" s="4" t="s">
        <v>17556</v>
      </c>
      <c r="I853" s="4" t="str">
        <f>IFERROR(__XLUDF.DUMMYFUNCTION("PROPER(REGEXREPLACE(G851,""[^A-Za-z]+ "",""""))"),"Triskell Consulting")</f>
        <v xml:space="preserve">Triskell Consulting</v>
      </c>
      <c r="J853" s="5" t="s">
        <v>17557</v>
      </c>
      <c r="K853" s="4" t="s">
        <v>39</v>
      </c>
      <c r="L853" s="4" t="s">
        <v>9160</v>
      </c>
      <c r="M853" s="4" t="s">
        <v>29</v>
      </c>
      <c r="N853" s="4" t="s">
        <v>2602</v>
      </c>
      <c r="O853" s="4" t="str">
        <f>IFERROR(__XLUDF.DUMMYFUNCTION("VLOOKUP(M851,IMPORTRANGE(""https://docs.google.com/spreadsheets/d/1opm6ZNvGZ7KditA9TuJwrZ25eFLfTNIkrNnY6mhV5Eg"",""list!A1:C115""),3,TRUE)"),"le secteur de la tech")</f>
        <v xml:space="preserve">le secteur de la tech</v>
      </c>
      <c r="P853" s="4" t="s">
        <v>17558</v>
      </c>
      <c r="R853" s="4" t="s">
        <v>15147</v>
      </c>
      <c r="S853" s="4" t="s">
        <v>9160</v>
      </c>
      <c r="T853" s="4" t="s">
        <v>29</v>
      </c>
      <c r="U853" s="5" t="s">
        <v>17559</v>
      </c>
      <c r="V853" s="6"/>
      <c r="W853" s="6"/>
      <c r="X853" s="6"/>
      <c r="Y853" s="6"/>
      <c r="Z853" s="4" t="s">
        <v>17560</v>
      </c>
      <c r="AA853" s="6"/>
      <c r="AB853" s="5" t="s">
        <v>17561</v>
      </c>
    </row>
    <row r="854" ht="14.25">
      <c r="A854" s="4" t="s">
        <v>17564</v>
      </c>
      <c r="B854" s="4" t="s">
        <v>17563</v>
      </c>
      <c r="C854" s="4" t="s">
        <v>17566</v>
      </c>
      <c r="F854" s="4" t="s">
        <v>17565</v>
      </c>
      <c r="G854" s="4">
        <v>15</v>
      </c>
      <c r="H854" s="4" t="s">
        <v>17567</v>
      </c>
      <c r="I854" s="4" t="str">
        <f>IFERROR(__XLUDF.DUMMYFUNCTION("PROPER(REGEXREPLACE(G852,""[^A-Za-z]+ "",""""))"),"Cogis Networks")</f>
        <v xml:space="preserve">Cogis Networks</v>
      </c>
      <c r="J854" s="5" t="s">
        <v>17568</v>
      </c>
      <c r="K854" s="6"/>
      <c r="L854" s="6"/>
      <c r="M854" s="4" t="s">
        <v>29</v>
      </c>
      <c r="N854" s="4" t="s">
        <v>2602</v>
      </c>
      <c r="O854" s="4" t="str">
        <f>IFERROR(__XLUDF.DUMMYFUNCTION("VLOOKUP(M852,IMPORTRANGE(""https://docs.google.com/spreadsheets/d/1opm6ZNvGZ7KditA9TuJwrZ25eFLfTNIkrNnY6mhV5Eg"",""list!A1:C115""),3,TRUE)"),"le secteur de la tech")</f>
        <v xml:space="preserve">le secteur de la tech</v>
      </c>
      <c r="P854" s="4" t="s">
        <v>17569</v>
      </c>
      <c r="R854" s="4" t="s">
        <v>17570</v>
      </c>
      <c r="S854" s="4" t="s">
        <v>9160</v>
      </c>
      <c r="T854" s="4" t="s">
        <v>29</v>
      </c>
      <c r="U854" s="5" t="s">
        <v>17571</v>
      </c>
      <c r="V854" s="5" t="s">
        <v>17572</v>
      </c>
      <c r="W854" s="6"/>
      <c r="X854" s="6"/>
      <c r="Y854" s="6"/>
      <c r="Z854" s="4" t="s">
        <v>17573</v>
      </c>
      <c r="AA854" s="6"/>
      <c r="AB854" s="5" t="s">
        <v>17574</v>
      </c>
    </row>
    <row r="855" ht="14.25">
      <c r="A855" s="4" t="s">
        <v>17577</v>
      </c>
      <c r="B855" s="4" t="s">
        <v>17576</v>
      </c>
      <c r="C855" s="4" t="s">
        <v>17579</v>
      </c>
      <c r="F855" s="4" t="s">
        <v>17578</v>
      </c>
      <c r="G855" s="4">
        <v>10</v>
      </c>
      <c r="H855" s="4" t="s">
        <v>17580</v>
      </c>
      <c r="I855" s="4" t="str">
        <f>IFERROR(__XLUDF.DUMMYFUNCTION("PROPER(REGEXREPLACE(G853,""[^A-Za-z]+ "",""""))"),"Redstrings")</f>
        <v>Redstrings</v>
      </c>
      <c r="J855" s="5" t="s">
        <v>17581</v>
      </c>
      <c r="K855" s="4" t="s">
        <v>465</v>
      </c>
      <c r="L855" s="4" t="s">
        <v>9251</v>
      </c>
      <c r="M855" s="4" t="s">
        <v>29</v>
      </c>
      <c r="N855" s="4" t="s">
        <v>2602</v>
      </c>
      <c r="O855" s="4" t="str">
        <f>IFERROR(__XLUDF.DUMMYFUNCTION("VLOOKUP(M853,IMPORTRANGE(""https://docs.google.com/spreadsheets/d/1opm6ZNvGZ7KditA9TuJwrZ25eFLfTNIkrNnY6mhV5Eg"",""list!A1:C115""),3,TRUE)"),"le secteur de la tech")</f>
        <v xml:space="preserve">le secteur de la tech</v>
      </c>
      <c r="P855" s="4" t="s">
        <v>17582</v>
      </c>
      <c r="R855" s="4" t="s">
        <v>17583</v>
      </c>
      <c r="S855" s="4" t="s">
        <v>17584</v>
      </c>
      <c r="T855" s="4" t="s">
        <v>4952</v>
      </c>
      <c r="U855" s="5" t="s">
        <v>17585</v>
      </c>
      <c r="V855" s="6"/>
      <c r="W855" s="6"/>
      <c r="X855" s="6"/>
      <c r="Y855" s="6"/>
      <c r="Z855" s="4" t="s">
        <v>17586</v>
      </c>
      <c r="AA855" s="6"/>
      <c r="AB855" s="5" t="s">
        <v>17587</v>
      </c>
    </row>
    <row r="856" ht="14.25">
      <c r="A856" s="4" t="s">
        <v>17589</v>
      </c>
      <c r="B856" s="4" t="s">
        <v>8045</v>
      </c>
      <c r="C856" s="4" t="s">
        <v>341</v>
      </c>
      <c r="F856" s="4" t="s">
        <v>17590</v>
      </c>
      <c r="G856" s="4">
        <v>10</v>
      </c>
      <c r="H856" s="5" t="s">
        <v>17591</v>
      </c>
      <c r="I856" s="5" t="str">
        <f>IFERROR(__XLUDF.DUMMYFUNCTION("PROPER(REGEXREPLACE(G854,""[^A-Za-z]+ "",""""))"),"Paybystep.Com")</f>
        <v>Paybystep.Com</v>
      </c>
      <c r="J856" s="5" t="s">
        <v>17591</v>
      </c>
      <c r="K856" s="6"/>
      <c r="L856" s="6"/>
      <c r="M856" s="4" t="s">
        <v>29</v>
      </c>
      <c r="N856" s="4" t="s">
        <v>2602</v>
      </c>
      <c r="O856" s="4" t="str">
        <f>IFERROR(__XLUDF.DUMMYFUNCTION("VLOOKUP(M854,IMPORTRANGE(""https://docs.google.com/spreadsheets/d/1opm6ZNvGZ7KditA9TuJwrZ25eFLfTNIkrNnY6mhV5Eg"",""list!A1:C115""),3,TRUE)"),"le secteur de la tech")</f>
        <v xml:space="preserve">le secteur de la tech</v>
      </c>
      <c r="P856" s="6"/>
      <c r="R856" s="4" t="s">
        <v>6603</v>
      </c>
      <c r="S856" s="4" t="s">
        <v>9160</v>
      </c>
      <c r="T856" s="4" t="s">
        <v>29</v>
      </c>
      <c r="U856" s="5" t="s">
        <v>17592</v>
      </c>
      <c r="V856" s="6"/>
      <c r="W856" s="6"/>
      <c r="X856" s="6"/>
      <c r="Y856" s="6"/>
      <c r="Z856" s="4" t="s">
        <v>17593</v>
      </c>
      <c r="AA856" s="6"/>
      <c r="AB856" s="5" t="s">
        <v>17594</v>
      </c>
    </row>
    <row r="857" ht="14.25">
      <c r="A857" s="4" t="s">
        <v>17596</v>
      </c>
      <c r="B857" s="4" t="s">
        <v>8049</v>
      </c>
      <c r="C857" s="4" t="s">
        <v>7759</v>
      </c>
      <c r="F857" s="4" t="s">
        <v>17597</v>
      </c>
      <c r="G857" s="4">
        <v>49</v>
      </c>
      <c r="H857" s="4" t="s">
        <v>10659</v>
      </c>
      <c r="I857" s="4" t="str">
        <f>IFERROR(__XLUDF.DUMMYFUNCTION("PROPER(REGEXREPLACE(G855,""[^A-Za-z]+ "",""""))"),"Vakom Le Sens De L'Humain")</f>
        <v xml:space="preserve">Vakom Le Sens De L'Humain</v>
      </c>
      <c r="J857" s="5" t="s">
        <v>10660</v>
      </c>
      <c r="K857" s="4" t="s">
        <v>14453</v>
      </c>
      <c r="L857" s="4" t="s">
        <v>9473</v>
      </c>
      <c r="M857" s="4" t="s">
        <v>29</v>
      </c>
      <c r="N857" s="4" t="s">
        <v>4067</v>
      </c>
      <c r="O857" s="4" t="str">
        <f>IFERROR(__XLUDF.DUMMYFUNCTION("VLOOKUP(M855,IMPORTRANGE(""https://docs.google.com/spreadsheets/d/1opm6ZNvGZ7KditA9TuJwrZ25eFLfTNIkrNnY6mhV5Eg"",""list!A1:C115""),3,TRUE)"),"le secteur du conseil en management")</f>
        <v xml:space="preserve">le secteur du conseil en management</v>
      </c>
      <c r="P857" s="4" t="s">
        <v>10662</v>
      </c>
      <c r="R857" s="4" t="s">
        <v>492</v>
      </c>
      <c r="S857" s="4" t="s">
        <v>9267</v>
      </c>
      <c r="T857" s="4" t="s">
        <v>29</v>
      </c>
      <c r="U857" s="5" t="s">
        <v>10663</v>
      </c>
      <c r="V857" s="6"/>
      <c r="W857" s="5" t="s">
        <v>10664</v>
      </c>
      <c r="X857" s="6"/>
      <c r="Y857" s="6"/>
      <c r="Z857" s="4" t="s">
        <v>10665</v>
      </c>
      <c r="AA857" s="6"/>
      <c r="AB857" s="5" t="s">
        <v>17598</v>
      </c>
    </row>
    <row r="858" ht="14.25">
      <c r="A858" s="4" t="s">
        <v>17600</v>
      </c>
      <c r="B858" s="4" t="s">
        <v>8049</v>
      </c>
      <c r="C858" s="4" t="s">
        <v>7185</v>
      </c>
      <c r="F858" s="4" t="s">
        <v>17601</v>
      </c>
      <c r="G858" s="4">
        <v>19</v>
      </c>
      <c r="H858" s="4" t="s">
        <v>17602</v>
      </c>
      <c r="I858" s="4" t="str">
        <f>IFERROR(__XLUDF.DUMMYFUNCTION("PROPER(REGEXREPLACE(G856,""[^A-Za-z]+ "",""""))"),"Proneo Certification")</f>
        <v xml:space="preserve">Proneo Certification</v>
      </c>
      <c r="J858" s="5" t="s">
        <v>17603</v>
      </c>
      <c r="K858" s="4" t="s">
        <v>39</v>
      </c>
      <c r="L858" s="4" t="s">
        <v>9160</v>
      </c>
      <c r="M858" s="4" t="s">
        <v>29</v>
      </c>
      <c r="N858" s="4" t="s">
        <v>4067</v>
      </c>
      <c r="O858" s="4" t="str">
        <f>IFERROR(__XLUDF.DUMMYFUNCTION("VLOOKUP(M856,IMPORTRANGE(""https://docs.google.com/spreadsheets/d/1opm6ZNvGZ7KditA9TuJwrZ25eFLfTNIkrNnY6mhV5Eg"",""list!A1:C115""),3,TRUE)"),"le secteur du conseil en management")</f>
        <v xml:space="preserve">le secteur du conseil en management</v>
      </c>
      <c r="P858" s="4" t="s">
        <v>17604</v>
      </c>
      <c r="R858" s="4" t="s">
        <v>39</v>
      </c>
      <c r="S858" s="4" t="s">
        <v>9160</v>
      </c>
      <c r="T858" s="4" t="s">
        <v>29</v>
      </c>
      <c r="U858" s="5" t="s">
        <v>17605</v>
      </c>
      <c r="V858" s="6"/>
      <c r="W858" s="5" t="s">
        <v>17606</v>
      </c>
      <c r="X858" s="6"/>
      <c r="Y858" s="6"/>
      <c r="Z858" s="4" t="s">
        <v>17607</v>
      </c>
      <c r="AA858" s="6"/>
      <c r="AB858" s="5" t="s">
        <v>17608</v>
      </c>
    </row>
    <row r="859" ht="14.25">
      <c r="A859" s="4" t="s">
        <v>1314</v>
      </c>
      <c r="B859" s="4" t="s">
        <v>8049</v>
      </c>
      <c r="C859" s="4" t="s">
        <v>17611</v>
      </c>
      <c r="F859" s="4" t="s">
        <v>17610</v>
      </c>
      <c r="G859" s="4">
        <v>12</v>
      </c>
      <c r="H859" s="4" t="s">
        <v>17612</v>
      </c>
      <c r="I859" s="4" t="str">
        <f>IFERROR(__XLUDF.DUMMYFUNCTION("PROPER(REGEXREPLACE(G857,""[^A-Za-z]+ "",""""))"),"Cabinet Ace")</f>
        <v xml:space="preserve">Cabinet Ace</v>
      </c>
      <c r="J859" s="5" t="s">
        <v>17613</v>
      </c>
      <c r="K859" s="4" t="s">
        <v>1312</v>
      </c>
      <c r="L859" s="4" t="s">
        <v>9350</v>
      </c>
      <c r="M859" s="4" t="s">
        <v>29</v>
      </c>
      <c r="N859" s="4" t="s">
        <v>4067</v>
      </c>
      <c r="O859" s="4" t="str">
        <f>IFERROR(__XLUDF.DUMMYFUNCTION("VLOOKUP(M857,IMPORTRANGE(""https://docs.google.com/spreadsheets/d/1opm6ZNvGZ7KditA9TuJwrZ25eFLfTNIkrNnY6mhV5Eg"",""list!A1:C115""),3,TRUE)"),"le secteur du conseil en management")</f>
        <v xml:space="preserve">le secteur du conseil en management</v>
      </c>
      <c r="P859" s="4" t="s">
        <v>17614</v>
      </c>
      <c r="R859" s="6"/>
      <c r="S859" s="4" t="s">
        <v>9350</v>
      </c>
      <c r="T859" s="4" t="s">
        <v>29</v>
      </c>
      <c r="U859" s="5" t="s">
        <v>17615</v>
      </c>
      <c r="V859" s="6"/>
      <c r="W859" s="5" t="s">
        <v>17616</v>
      </c>
      <c r="X859" s="6"/>
      <c r="Y859" s="6"/>
      <c r="Z859" s="4" t="s">
        <v>17617</v>
      </c>
      <c r="AA859" s="6"/>
      <c r="AB859" s="5" t="s">
        <v>17618</v>
      </c>
    </row>
  </sheetData>
  <hyperlinks>
    <hyperlink r:id="rId1" ref="I2"/>
    <hyperlink r:id="rId2" ref="J2"/>
    <hyperlink r:id="rId3" ref="J4"/>
    <hyperlink r:id="rId4" ref="U4"/>
    <hyperlink r:id="rId5" ref="V4"/>
    <hyperlink r:id="rId6" ref="AB4"/>
    <hyperlink r:id="rId7" ref="J5"/>
    <hyperlink r:id="rId8" ref="U5"/>
    <hyperlink r:id="rId9" ref="AB5"/>
    <hyperlink r:id="rId10" ref="J6"/>
    <hyperlink r:id="rId11" ref="U6"/>
    <hyperlink r:id="rId12" ref="AB6"/>
    <hyperlink r:id="rId13" ref="J7"/>
    <hyperlink r:id="rId14" ref="U7"/>
    <hyperlink r:id="rId15" ref="AB7"/>
    <hyperlink r:id="rId16" ref="J8"/>
    <hyperlink r:id="rId17" ref="U8"/>
    <hyperlink r:id="rId18" ref="AB8"/>
    <hyperlink r:id="rId19" ref="J9"/>
    <hyperlink r:id="rId20" ref="U9"/>
    <hyperlink r:id="rId21" ref="W9"/>
    <hyperlink r:id="rId22" ref="AB9"/>
    <hyperlink r:id="rId23" ref="J10"/>
    <hyperlink r:id="rId24" ref="U10"/>
    <hyperlink r:id="rId25" ref="AB10"/>
    <hyperlink r:id="rId26" ref="J11"/>
    <hyperlink r:id="rId27" ref="U11"/>
    <hyperlink r:id="rId28" ref="AB11"/>
    <hyperlink r:id="rId29" ref="J12"/>
    <hyperlink r:id="rId30" ref="U12"/>
    <hyperlink r:id="rId31" ref="V12"/>
    <hyperlink r:id="rId32" ref="AB12"/>
    <hyperlink r:id="rId33" ref="J13"/>
    <hyperlink r:id="rId34" ref="U13"/>
    <hyperlink r:id="rId35" ref="AB13"/>
    <hyperlink r:id="rId36" ref="J14"/>
    <hyperlink r:id="rId37" ref="U14"/>
    <hyperlink r:id="rId38" ref="V14"/>
    <hyperlink r:id="rId39" ref="W14"/>
    <hyperlink r:id="rId40" ref="AB14"/>
    <hyperlink r:id="rId41" ref="J15"/>
    <hyperlink r:id="rId42" ref="U15"/>
    <hyperlink r:id="rId43" ref="V15"/>
    <hyperlink r:id="rId44" ref="W15"/>
    <hyperlink r:id="rId45" ref="AB15"/>
    <hyperlink r:id="rId46" ref="J16"/>
    <hyperlink r:id="rId47" ref="U16"/>
    <hyperlink r:id="rId48" ref="AB16"/>
    <hyperlink r:id="rId49" ref="J17"/>
    <hyperlink r:id="rId50" ref="U17"/>
    <hyperlink r:id="rId51" ref="W17"/>
    <hyperlink r:id="rId52" ref="AB17"/>
    <hyperlink r:id="rId53" ref="J18"/>
    <hyperlink r:id="rId54" ref="U18"/>
    <hyperlink r:id="rId55" ref="AB18"/>
    <hyperlink r:id="rId56" ref="J19"/>
    <hyperlink r:id="rId57" ref="U19"/>
    <hyperlink r:id="rId58" ref="AB19"/>
    <hyperlink r:id="rId59" ref="U20"/>
    <hyperlink r:id="rId60" ref="AB20"/>
    <hyperlink r:id="rId61" ref="J21"/>
    <hyperlink r:id="rId62" ref="U21"/>
    <hyperlink r:id="rId63" ref="V21"/>
    <hyperlink r:id="rId64" ref="W21"/>
    <hyperlink r:id="rId65" ref="AB21"/>
    <hyperlink r:id="rId66" ref="J22"/>
    <hyperlink r:id="rId67" ref="U22"/>
    <hyperlink r:id="rId68" ref="AB22"/>
    <hyperlink r:id="rId69" ref="J23"/>
    <hyperlink r:id="rId70" ref="U23"/>
    <hyperlink r:id="rId71" ref="AB23"/>
    <hyperlink r:id="rId72" ref="J24"/>
    <hyperlink r:id="rId73" ref="U24"/>
    <hyperlink r:id="rId74" ref="W24"/>
    <hyperlink r:id="rId75" ref="AB24"/>
    <hyperlink r:id="rId76" ref="J25"/>
    <hyperlink r:id="rId77" ref="U25"/>
    <hyperlink r:id="rId78" ref="AB25"/>
    <hyperlink r:id="rId79" ref="J26"/>
    <hyperlink r:id="rId80" ref="U26"/>
    <hyperlink r:id="rId81" ref="AB26"/>
    <hyperlink r:id="rId82" ref="J27"/>
    <hyperlink r:id="rId83" ref="U27"/>
    <hyperlink r:id="rId84" ref="W27"/>
    <hyperlink r:id="rId85" ref="AB27"/>
    <hyperlink r:id="rId86" ref="U28"/>
    <hyperlink r:id="rId87" ref="AB28"/>
    <hyperlink r:id="rId88" ref="J29"/>
    <hyperlink r:id="rId89" ref="U29"/>
    <hyperlink r:id="rId90" ref="AB29"/>
    <hyperlink r:id="rId91" ref="J30"/>
    <hyperlink r:id="rId92" ref="U30"/>
    <hyperlink r:id="rId93" ref="AB30"/>
    <hyperlink r:id="rId94" ref="J31"/>
    <hyperlink r:id="rId95" ref="U31"/>
    <hyperlink r:id="rId96" ref="W31"/>
    <hyperlink r:id="rId97" ref="AB31"/>
    <hyperlink r:id="rId98" ref="U32"/>
    <hyperlink r:id="rId99" ref="AB32"/>
    <hyperlink r:id="rId100" ref="J33"/>
    <hyperlink r:id="rId101" ref="U33"/>
    <hyperlink r:id="rId102" ref="V33"/>
    <hyperlink r:id="rId103" ref="W33"/>
    <hyperlink r:id="rId104" ref="AB33"/>
    <hyperlink r:id="rId105" ref="J34"/>
    <hyperlink r:id="rId106" ref="U34"/>
    <hyperlink r:id="rId107" ref="AB34"/>
    <hyperlink r:id="rId108" ref="J35"/>
    <hyperlink r:id="rId109" ref="U35"/>
    <hyperlink r:id="rId110" ref="V35"/>
    <hyperlink r:id="rId111" ref="AB35"/>
    <hyperlink r:id="rId112" ref="J36"/>
    <hyperlink r:id="rId113" ref="U36"/>
    <hyperlink r:id="rId114" ref="V36"/>
    <hyperlink r:id="rId115" ref="AB36"/>
    <hyperlink r:id="rId116" ref="J37"/>
    <hyperlink r:id="rId117" ref="U37"/>
    <hyperlink r:id="rId118" ref="AB37"/>
    <hyperlink r:id="rId119" ref="J38"/>
    <hyperlink r:id="rId120" ref="U38"/>
    <hyperlink r:id="rId121" ref="AB38"/>
    <hyperlink r:id="rId122" ref="J39"/>
    <hyperlink r:id="rId123" ref="U39"/>
    <hyperlink r:id="rId124" ref="AB39"/>
    <hyperlink r:id="rId125" ref="J40"/>
    <hyperlink r:id="rId126" ref="U40"/>
    <hyperlink r:id="rId127" ref="AB40"/>
    <hyperlink r:id="rId128" ref="J41"/>
    <hyperlink r:id="rId129" ref="U41"/>
    <hyperlink r:id="rId130" ref="V41"/>
    <hyperlink r:id="rId131" ref="W41"/>
    <hyperlink r:id="rId132" ref="AB41"/>
    <hyperlink r:id="rId133" ref="J42"/>
    <hyperlink r:id="rId134" ref="U42"/>
    <hyperlink r:id="rId135" ref="AB42"/>
    <hyperlink r:id="rId136" ref="J43"/>
    <hyperlink r:id="rId137" ref="U43"/>
    <hyperlink r:id="rId138" ref="W43"/>
    <hyperlink r:id="rId139" ref="AB43"/>
    <hyperlink r:id="rId140" ref="J44"/>
    <hyperlink r:id="rId141" ref="U44"/>
    <hyperlink r:id="rId142" ref="V44"/>
    <hyperlink r:id="rId143" ref="W44"/>
    <hyperlink r:id="rId144" ref="AB44"/>
    <hyperlink r:id="rId145" ref="J45"/>
    <hyperlink r:id="rId146" ref="U45"/>
    <hyperlink r:id="rId147" ref="V45"/>
    <hyperlink r:id="rId148" ref="W45"/>
    <hyperlink r:id="rId149" ref="AB45"/>
    <hyperlink r:id="rId150" ref="J46"/>
    <hyperlink r:id="rId151" ref="U46"/>
    <hyperlink r:id="rId152" ref="AB46"/>
    <hyperlink r:id="rId153" ref="J47"/>
    <hyperlink r:id="rId154" ref="U47"/>
    <hyperlink r:id="rId155" ref="AB47"/>
    <hyperlink r:id="rId156" ref="J48"/>
    <hyperlink r:id="rId157" ref="U48"/>
    <hyperlink r:id="rId158" ref="AB48"/>
    <hyperlink r:id="rId159" ref="J49"/>
    <hyperlink r:id="rId160" ref="U49"/>
    <hyperlink r:id="rId161" ref="AB49"/>
    <hyperlink r:id="rId162" ref="J50"/>
    <hyperlink r:id="rId163" ref="U50"/>
    <hyperlink r:id="rId164" ref="AB50"/>
    <hyperlink r:id="rId165" ref="J51"/>
    <hyperlink r:id="rId166" ref="U51"/>
    <hyperlink r:id="rId167" ref="AB51"/>
    <hyperlink r:id="rId168" ref="J52"/>
    <hyperlink r:id="rId169" ref="U52"/>
    <hyperlink r:id="rId170" ref="AB52"/>
    <hyperlink r:id="rId171" ref="J53"/>
    <hyperlink r:id="rId172" ref="U53"/>
    <hyperlink r:id="rId173" ref="AB53"/>
    <hyperlink r:id="rId174" ref="J54"/>
    <hyperlink r:id="rId175" ref="U54"/>
    <hyperlink r:id="rId176" ref="AB54"/>
    <hyperlink r:id="rId177" ref="J55"/>
    <hyperlink r:id="rId178" ref="U55"/>
    <hyperlink r:id="rId179" ref="AB55"/>
    <hyperlink r:id="rId180" ref="J56"/>
    <hyperlink r:id="rId181" ref="U56"/>
    <hyperlink r:id="rId182" ref="AB56"/>
    <hyperlink r:id="rId183" ref="J57"/>
    <hyperlink r:id="rId184" ref="U57"/>
    <hyperlink r:id="rId185" ref="V57"/>
    <hyperlink r:id="rId186" ref="W57"/>
    <hyperlink r:id="rId187" ref="AB57"/>
    <hyperlink r:id="rId188" ref="J58"/>
    <hyperlink r:id="rId189" ref="U58"/>
    <hyperlink r:id="rId190" ref="AB58"/>
    <hyperlink r:id="rId191" ref="J59"/>
    <hyperlink r:id="rId192" ref="U59"/>
    <hyperlink r:id="rId193" ref="AB59"/>
    <hyperlink r:id="rId194" ref="J60"/>
    <hyperlink r:id="rId195" ref="U60"/>
    <hyperlink r:id="rId196" ref="AB60"/>
    <hyperlink r:id="rId197" ref="J61"/>
    <hyperlink r:id="rId198" ref="U61"/>
    <hyperlink r:id="rId199" ref="AB61"/>
    <hyperlink r:id="rId200" ref="J62"/>
    <hyperlink r:id="rId201" ref="U62"/>
    <hyperlink r:id="rId202" ref="V62"/>
    <hyperlink r:id="rId203" ref="AB62"/>
    <hyperlink r:id="rId204" ref="J63"/>
    <hyperlink r:id="rId205" ref="U63"/>
    <hyperlink r:id="rId206" ref="AB63"/>
    <hyperlink r:id="rId207" ref="J64"/>
    <hyperlink r:id="rId208" ref="U64"/>
    <hyperlink r:id="rId209" ref="AB64"/>
    <hyperlink r:id="rId210" ref="J65"/>
    <hyperlink r:id="rId211" ref="U65"/>
    <hyperlink r:id="rId212" ref="AB65"/>
    <hyperlink r:id="rId213" ref="J66"/>
    <hyperlink r:id="rId214" ref="U66"/>
    <hyperlink r:id="rId215" ref="W66"/>
    <hyperlink r:id="rId216" ref="AB66"/>
    <hyperlink r:id="rId217" ref="J67"/>
    <hyperlink r:id="rId218" ref="U67"/>
    <hyperlink r:id="rId219" ref="AB67"/>
    <hyperlink r:id="rId220" ref="J68"/>
    <hyperlink r:id="rId221" ref="U68"/>
    <hyperlink r:id="rId222" ref="X68"/>
    <hyperlink r:id="rId223" ref="AB68"/>
    <hyperlink r:id="rId224" ref="J69"/>
    <hyperlink r:id="rId225" ref="U69"/>
    <hyperlink r:id="rId226" ref="V69"/>
    <hyperlink r:id="rId227" ref="W69"/>
    <hyperlink r:id="rId228" ref="AB69"/>
    <hyperlink r:id="rId229" ref="U70"/>
    <hyperlink r:id="rId230" ref="AB70"/>
    <hyperlink r:id="rId231" ref="J71"/>
    <hyperlink r:id="rId232" ref="U71"/>
    <hyperlink r:id="rId233" ref="AB71"/>
    <hyperlink r:id="rId234" ref="J72"/>
    <hyperlink r:id="rId235" ref="U72"/>
    <hyperlink r:id="rId236" ref="AB72"/>
    <hyperlink r:id="rId237" ref="U73"/>
    <hyperlink r:id="rId238" ref="V73"/>
    <hyperlink r:id="rId239" ref="W73"/>
    <hyperlink r:id="rId240" ref="AB73"/>
    <hyperlink r:id="rId241" ref="J74"/>
    <hyperlink r:id="rId242" ref="U74"/>
    <hyperlink r:id="rId243" ref="AB74"/>
    <hyperlink r:id="rId244" ref="J75"/>
    <hyperlink r:id="rId245" ref="U75"/>
    <hyperlink r:id="rId246" ref="AB75"/>
    <hyperlink r:id="rId247" ref="J76"/>
    <hyperlink r:id="rId248" ref="U76"/>
    <hyperlink r:id="rId249" ref="AB76"/>
    <hyperlink r:id="rId250" ref="U77"/>
    <hyperlink r:id="rId251" ref="AB77"/>
    <hyperlink r:id="rId252" ref="J78"/>
    <hyperlink r:id="rId253" ref="U78"/>
    <hyperlink r:id="rId254" ref="AB78"/>
    <hyperlink r:id="rId255" ref="J79"/>
    <hyperlink r:id="rId256" ref="U79"/>
    <hyperlink r:id="rId257" ref="AB79"/>
    <hyperlink r:id="rId258" ref="J80"/>
    <hyperlink r:id="rId259" ref="U80"/>
    <hyperlink r:id="rId260" ref="V80"/>
    <hyperlink r:id="rId261" ref="AB80"/>
    <hyperlink r:id="rId262" ref="J81"/>
    <hyperlink r:id="rId263" ref="U81"/>
    <hyperlink r:id="rId264" ref="W81"/>
    <hyperlink r:id="rId265" ref="AB81"/>
    <hyperlink r:id="rId266" ref="J82"/>
    <hyperlink r:id="rId267" ref="U82"/>
    <hyperlink r:id="rId268" ref="V82"/>
    <hyperlink r:id="rId269" ref="AB82"/>
    <hyperlink r:id="rId270" ref="J83"/>
    <hyperlink r:id="rId271" ref="U83"/>
    <hyperlink r:id="rId272" ref="AB83"/>
    <hyperlink r:id="rId273" ref="J84"/>
    <hyperlink r:id="rId274" ref="U84"/>
    <hyperlink r:id="rId275" ref="AB84"/>
    <hyperlink r:id="rId276" ref="J85"/>
    <hyperlink r:id="rId277" ref="U85"/>
    <hyperlink r:id="rId278" ref="X85"/>
    <hyperlink r:id="rId279" ref="AB85"/>
    <hyperlink r:id="rId280" ref="J86"/>
    <hyperlink r:id="rId281" ref="U86"/>
    <hyperlink r:id="rId282" ref="AB86"/>
    <hyperlink r:id="rId283" ref="J87"/>
    <hyperlink r:id="rId284" ref="U87"/>
    <hyperlink r:id="rId285" ref="AB87"/>
    <hyperlink r:id="rId286" ref="J88"/>
    <hyperlink r:id="rId287" ref="U88"/>
    <hyperlink r:id="rId288" ref="AB88"/>
    <hyperlink r:id="rId289" ref="U89"/>
    <hyperlink r:id="rId290" ref="AB89"/>
    <hyperlink r:id="rId291" ref="J90"/>
    <hyperlink r:id="rId292" ref="U90"/>
    <hyperlink r:id="rId293" ref="AB90"/>
    <hyperlink r:id="rId294" ref="J91"/>
    <hyperlink r:id="rId295" ref="U91"/>
    <hyperlink r:id="rId296" ref="AB91"/>
    <hyperlink r:id="rId297" ref="J92"/>
    <hyperlink r:id="rId298" ref="U92"/>
    <hyperlink r:id="rId299" ref="AB92"/>
    <hyperlink r:id="rId300" ref="J93"/>
    <hyperlink r:id="rId301" ref="U93"/>
    <hyperlink r:id="rId302" ref="AB93"/>
    <hyperlink r:id="rId303" ref="J94"/>
    <hyperlink r:id="rId304" ref="U94"/>
    <hyperlink r:id="rId305" ref="AB94"/>
    <hyperlink r:id="rId306" ref="J95"/>
    <hyperlink r:id="rId307" ref="U95"/>
    <hyperlink r:id="rId308" ref="V95"/>
    <hyperlink r:id="rId309" ref="W95"/>
    <hyperlink r:id="rId310" ref="AB95"/>
    <hyperlink r:id="rId311" ref="J96"/>
    <hyperlink r:id="rId312" ref="U96"/>
    <hyperlink r:id="rId313" ref="W96"/>
    <hyperlink r:id="rId314" ref="AB96"/>
    <hyperlink r:id="rId315" ref="J97"/>
    <hyperlink r:id="rId316" ref="U97"/>
    <hyperlink r:id="rId317" ref="AB97"/>
    <hyperlink r:id="rId318" ref="J98"/>
    <hyperlink r:id="rId319" ref="U98"/>
    <hyperlink r:id="rId320" ref="AB98"/>
    <hyperlink r:id="rId321" ref="J99"/>
    <hyperlink r:id="rId322" ref="U99"/>
    <hyperlink r:id="rId323" ref="AB99"/>
    <hyperlink r:id="rId324" ref="J100"/>
    <hyperlink r:id="rId325" ref="U100"/>
    <hyperlink r:id="rId326" ref="AB100"/>
    <hyperlink r:id="rId327" ref="J101"/>
    <hyperlink r:id="rId328" ref="U101"/>
    <hyperlink r:id="rId329" ref="V101"/>
    <hyperlink r:id="rId330" ref="W101"/>
    <hyperlink r:id="rId331" ref="AB101"/>
    <hyperlink r:id="rId332" ref="J102"/>
    <hyperlink r:id="rId333" ref="U102"/>
    <hyperlink r:id="rId334" ref="V102"/>
    <hyperlink r:id="rId335" ref="W102"/>
    <hyperlink r:id="rId336" ref="AB102"/>
    <hyperlink r:id="rId337" ref="J103"/>
    <hyperlink r:id="rId338" ref="U103"/>
    <hyperlink r:id="rId339" ref="AB103"/>
    <hyperlink r:id="rId340" ref="J104"/>
    <hyperlink r:id="rId341" ref="U104"/>
    <hyperlink r:id="rId342" ref="V104"/>
    <hyperlink r:id="rId343" ref="AB104"/>
    <hyperlink r:id="rId344" ref="J105"/>
    <hyperlink r:id="rId345" ref="U105"/>
    <hyperlink r:id="rId346" ref="AB105"/>
    <hyperlink r:id="rId347" ref="J106"/>
    <hyperlink r:id="rId348" ref="U106"/>
    <hyperlink r:id="rId349" ref="AB106"/>
    <hyperlink r:id="rId350" ref="U107"/>
    <hyperlink r:id="rId351" ref="AB107"/>
    <hyperlink r:id="rId352" ref="J108"/>
    <hyperlink r:id="rId353" ref="U108"/>
    <hyperlink r:id="rId354" ref="AB108"/>
    <hyperlink r:id="rId355" ref="J109"/>
    <hyperlink r:id="rId356" ref="U109"/>
    <hyperlink r:id="rId357" ref="AB109"/>
    <hyperlink r:id="rId358" ref="J110"/>
    <hyperlink r:id="rId359" ref="U110"/>
    <hyperlink r:id="rId360" ref="W110"/>
    <hyperlink r:id="rId361" ref="AB110"/>
    <hyperlink r:id="rId362" ref="J111"/>
    <hyperlink r:id="rId363" ref="U111"/>
    <hyperlink r:id="rId364" ref="V111"/>
    <hyperlink r:id="rId365" ref="AB111"/>
    <hyperlink r:id="rId366" ref="J112"/>
    <hyperlink r:id="rId367" ref="U112"/>
    <hyperlink r:id="rId368" ref="AB112"/>
    <hyperlink r:id="rId369" ref="J113"/>
    <hyperlink r:id="rId370" ref="U113"/>
    <hyperlink r:id="rId371" ref="AB113"/>
    <hyperlink r:id="rId372" ref="J114"/>
    <hyperlink r:id="rId373" ref="U114"/>
    <hyperlink r:id="rId374" ref="AB114"/>
    <hyperlink r:id="rId375" ref="J115"/>
    <hyperlink r:id="rId376" ref="U115"/>
    <hyperlink r:id="rId377" ref="AB115"/>
    <hyperlink r:id="rId378" ref="J116"/>
    <hyperlink r:id="rId379" ref="U116"/>
    <hyperlink r:id="rId380" ref="W116"/>
    <hyperlink r:id="rId381" ref="AB116"/>
    <hyperlink r:id="rId382" ref="J117"/>
    <hyperlink r:id="rId383" ref="U117"/>
    <hyperlink r:id="rId384" ref="AB117"/>
    <hyperlink r:id="rId385" ref="J118"/>
    <hyperlink r:id="rId386" ref="U118"/>
    <hyperlink r:id="rId387" ref="AB118"/>
    <hyperlink r:id="rId388" ref="J119"/>
    <hyperlink r:id="rId389" ref="U119"/>
    <hyperlink r:id="rId390" ref="W119"/>
    <hyperlink r:id="rId391" ref="AB119"/>
    <hyperlink r:id="rId392" ref="J120"/>
    <hyperlink r:id="rId393" ref="U120"/>
    <hyperlink r:id="rId394" ref="AB120"/>
    <hyperlink r:id="rId395" ref="J121"/>
    <hyperlink r:id="rId396" ref="U121"/>
    <hyperlink r:id="rId397" ref="W121"/>
    <hyperlink r:id="rId398" ref="AB121"/>
    <hyperlink r:id="rId399" ref="J122"/>
    <hyperlink r:id="rId400" ref="U122"/>
    <hyperlink r:id="rId401" ref="AB122"/>
    <hyperlink r:id="rId402" ref="U123"/>
    <hyperlink r:id="rId403" ref="AB123"/>
    <hyperlink r:id="rId404" ref="J124"/>
    <hyperlink r:id="rId405" ref="U124"/>
    <hyperlink r:id="rId406" ref="AB124"/>
    <hyperlink r:id="rId407" ref="U125"/>
    <hyperlink r:id="rId408" ref="AB125"/>
    <hyperlink r:id="rId409" ref="J126"/>
    <hyperlink r:id="rId410" ref="U126"/>
    <hyperlink r:id="rId411" ref="V126"/>
    <hyperlink r:id="rId412" ref="W126"/>
    <hyperlink r:id="rId413" ref="AB126"/>
    <hyperlink r:id="rId414" ref="J127"/>
    <hyperlink r:id="rId415" ref="U127"/>
    <hyperlink r:id="rId416" ref="AB127"/>
    <hyperlink r:id="rId417" ref="J128"/>
    <hyperlink r:id="rId418" ref="U128"/>
    <hyperlink r:id="rId419" ref="AB128"/>
    <hyperlink r:id="rId420" ref="J129"/>
    <hyperlink r:id="rId421" ref="U129"/>
    <hyperlink r:id="rId422" ref="AB129"/>
    <hyperlink r:id="rId423" ref="J130"/>
    <hyperlink r:id="rId424" ref="U130"/>
    <hyperlink r:id="rId425" ref="AB130"/>
    <hyperlink r:id="rId426" ref="J131"/>
    <hyperlink r:id="rId427" ref="U131"/>
    <hyperlink r:id="rId428" ref="AB131"/>
    <hyperlink r:id="rId429" ref="J132"/>
    <hyperlink r:id="rId430" ref="U132"/>
    <hyperlink r:id="rId431" ref="W132"/>
    <hyperlink r:id="rId432" ref="AB132"/>
    <hyperlink r:id="rId433" ref="J133"/>
    <hyperlink r:id="rId434" ref="U133"/>
    <hyperlink r:id="rId264" ref="W133"/>
    <hyperlink r:id="rId435" ref="AB133"/>
    <hyperlink r:id="rId436" ref="J134"/>
    <hyperlink r:id="rId437" ref="U134"/>
    <hyperlink r:id="rId438" ref="W134"/>
    <hyperlink r:id="rId439" ref="AB134"/>
    <hyperlink r:id="rId440" ref="J135"/>
    <hyperlink r:id="rId441" ref="U135"/>
    <hyperlink r:id="rId442" ref="AB135"/>
    <hyperlink r:id="rId443" ref="J136"/>
    <hyperlink r:id="rId444" ref="U136"/>
    <hyperlink r:id="rId445" ref="V136"/>
    <hyperlink r:id="rId446" ref="W136"/>
    <hyperlink r:id="rId447" ref="AB136"/>
    <hyperlink r:id="rId448" ref="J137"/>
    <hyperlink r:id="rId449" ref="U137"/>
    <hyperlink r:id="rId450" ref="AB137"/>
    <hyperlink r:id="rId451" ref="J138"/>
    <hyperlink r:id="rId452" ref="U138"/>
    <hyperlink r:id="rId453" ref="V138"/>
    <hyperlink r:id="rId454" ref="AB138"/>
    <hyperlink r:id="rId455" ref="J139"/>
    <hyperlink r:id="rId456" ref="U139"/>
    <hyperlink r:id="rId457" ref="AB139"/>
    <hyperlink r:id="rId458" ref="J140"/>
    <hyperlink r:id="rId459" ref="U140"/>
    <hyperlink r:id="rId460" ref="W140"/>
    <hyperlink r:id="rId461" ref="AB140"/>
    <hyperlink r:id="rId462" ref="J141"/>
    <hyperlink r:id="rId463" ref="U141"/>
    <hyperlink r:id="rId464" ref="AB141"/>
    <hyperlink r:id="rId465" ref="J142"/>
    <hyperlink r:id="rId466" ref="U142"/>
    <hyperlink r:id="rId467" ref="AB142"/>
    <hyperlink r:id="rId468" ref="J143"/>
    <hyperlink r:id="rId469" ref="U143"/>
    <hyperlink r:id="rId470" ref="W143"/>
    <hyperlink r:id="rId471" ref="AB143"/>
    <hyperlink r:id="rId472" ref="J144"/>
    <hyperlink r:id="rId473" ref="U144"/>
    <hyperlink r:id="rId474" ref="AB144"/>
    <hyperlink r:id="rId475" ref="J145"/>
    <hyperlink r:id="rId476" ref="U145"/>
    <hyperlink r:id="rId477" ref="W145"/>
    <hyperlink r:id="rId478" ref="AB145"/>
    <hyperlink r:id="rId479" ref="J146"/>
    <hyperlink r:id="rId480" ref="U146"/>
    <hyperlink r:id="rId264" ref="W146"/>
    <hyperlink r:id="rId481" ref="AB146"/>
    <hyperlink r:id="rId482" ref="J147"/>
    <hyperlink r:id="rId483" ref="U147"/>
    <hyperlink r:id="rId484" ref="V147"/>
    <hyperlink r:id="rId485" ref="W147"/>
    <hyperlink r:id="rId486" ref="AB147"/>
    <hyperlink r:id="rId487" ref="J148"/>
    <hyperlink r:id="rId488" ref="U148"/>
    <hyperlink r:id="rId489" ref="W148"/>
    <hyperlink r:id="rId490" ref="AB148"/>
    <hyperlink r:id="rId491" ref="J149"/>
    <hyperlink r:id="rId492" ref="U149"/>
    <hyperlink r:id="rId264" ref="W149"/>
    <hyperlink r:id="rId493" ref="AB149"/>
    <hyperlink r:id="rId494" ref="J150"/>
    <hyperlink r:id="rId495" ref="U150"/>
    <hyperlink r:id="rId496" ref="AB150"/>
    <hyperlink r:id="rId497" ref="J151"/>
    <hyperlink r:id="rId498" ref="U151"/>
    <hyperlink r:id="rId499" ref="AB151"/>
    <hyperlink r:id="rId500" ref="J152"/>
    <hyperlink r:id="rId501" ref="U152"/>
    <hyperlink r:id="rId502" ref="AB152"/>
    <hyperlink r:id="rId503" ref="J153"/>
    <hyperlink r:id="rId504" ref="U153"/>
    <hyperlink r:id="rId505" ref="AB153"/>
    <hyperlink r:id="rId506" ref="J154"/>
    <hyperlink r:id="rId507" ref="U154"/>
    <hyperlink r:id="rId508" ref="W154"/>
    <hyperlink r:id="rId509" ref="AB154"/>
    <hyperlink r:id="rId510" ref="J155"/>
    <hyperlink r:id="rId511" ref="U155"/>
    <hyperlink r:id="rId512" ref="AB155"/>
    <hyperlink r:id="rId513" ref="J156"/>
    <hyperlink r:id="rId514" ref="U156"/>
    <hyperlink r:id="rId515" ref="AB156"/>
    <hyperlink r:id="rId516" ref="J157"/>
    <hyperlink r:id="rId517" ref="U157"/>
    <hyperlink r:id="rId518" ref="AB157"/>
    <hyperlink r:id="rId519" ref="J158"/>
    <hyperlink r:id="rId520" ref="U158"/>
    <hyperlink r:id="rId521" ref="AB158"/>
    <hyperlink r:id="rId522" ref="J159"/>
    <hyperlink r:id="rId523" ref="U159"/>
    <hyperlink r:id="rId524" ref="AB159"/>
    <hyperlink r:id="rId525" ref="J160"/>
    <hyperlink r:id="rId526" ref="U160"/>
    <hyperlink r:id="rId527" ref="AB160"/>
    <hyperlink r:id="rId528" ref="J161"/>
    <hyperlink r:id="rId529" ref="U161"/>
    <hyperlink r:id="rId530" ref="AB161"/>
    <hyperlink r:id="rId531" ref="J162"/>
    <hyperlink r:id="rId532" ref="U162"/>
    <hyperlink r:id="rId533" ref="AB162"/>
    <hyperlink r:id="rId534" ref="J163"/>
    <hyperlink r:id="rId535" ref="U163"/>
    <hyperlink r:id="rId536" ref="AB163"/>
    <hyperlink r:id="rId537" ref="J164"/>
    <hyperlink r:id="rId538" ref="U164"/>
    <hyperlink r:id="rId539" ref="AB164"/>
    <hyperlink r:id="rId540" ref="U165"/>
    <hyperlink r:id="rId541" ref="AB165"/>
    <hyperlink r:id="rId542" ref="J166"/>
    <hyperlink r:id="rId543" ref="U166"/>
    <hyperlink r:id="rId544" ref="AB166"/>
    <hyperlink r:id="rId545" ref="J167"/>
    <hyperlink r:id="rId546" ref="U167"/>
    <hyperlink r:id="rId547" ref="V167"/>
    <hyperlink r:id="rId548" ref="W167"/>
    <hyperlink r:id="rId549" ref="AB167"/>
    <hyperlink r:id="rId550" ref="J168"/>
    <hyperlink r:id="rId551" ref="U168"/>
    <hyperlink r:id="rId552" ref="W168"/>
    <hyperlink r:id="rId553" ref="AB168"/>
    <hyperlink r:id="rId554" ref="J169"/>
    <hyperlink r:id="rId555" ref="U169"/>
    <hyperlink r:id="rId556" ref="AB169"/>
    <hyperlink r:id="rId557" ref="J170"/>
    <hyperlink r:id="rId558" ref="U170"/>
    <hyperlink r:id="rId559" ref="AB170"/>
    <hyperlink r:id="rId560" ref="J171"/>
    <hyperlink r:id="rId561" ref="U171"/>
    <hyperlink r:id="rId562" ref="AB171"/>
    <hyperlink r:id="rId563" ref="J172"/>
    <hyperlink r:id="rId564" ref="U172"/>
    <hyperlink r:id="rId565" ref="AB172"/>
    <hyperlink r:id="rId566" ref="J173"/>
    <hyperlink r:id="rId567" ref="U173"/>
    <hyperlink r:id="rId568" ref="AB173"/>
    <hyperlink r:id="rId569" ref="J174"/>
    <hyperlink r:id="rId570" ref="U174"/>
    <hyperlink r:id="rId571" ref="AB174"/>
    <hyperlink r:id="rId572" ref="J175"/>
    <hyperlink r:id="rId573" ref="U175"/>
    <hyperlink r:id="rId574" ref="AB175"/>
    <hyperlink r:id="rId575" ref="J176"/>
    <hyperlink r:id="rId576" ref="U176"/>
    <hyperlink r:id="rId577" ref="AB176"/>
    <hyperlink r:id="rId578" ref="H177"/>
    <hyperlink r:id="rId578" ref="J177"/>
    <hyperlink r:id="rId579" ref="U177"/>
    <hyperlink r:id="rId580" ref="V177"/>
    <hyperlink r:id="rId581" ref="AB177"/>
    <hyperlink r:id="rId582" ref="J178"/>
    <hyperlink r:id="rId583" ref="U178"/>
    <hyperlink r:id="rId584" ref="AB178"/>
    <hyperlink r:id="rId585" ref="J179"/>
    <hyperlink r:id="rId586" ref="U179"/>
    <hyperlink r:id="rId587" ref="AB179"/>
    <hyperlink r:id="rId588" ref="J180"/>
    <hyperlink r:id="rId589" ref="U180"/>
    <hyperlink r:id="rId590" ref="AB180"/>
    <hyperlink r:id="rId591" ref="J181"/>
    <hyperlink r:id="rId592" ref="U181"/>
    <hyperlink r:id="rId593" ref="V181"/>
    <hyperlink r:id="rId594" ref="AB181"/>
    <hyperlink r:id="rId595" ref="U182"/>
    <hyperlink r:id="rId264" ref="W182"/>
    <hyperlink r:id="rId596" ref="X182"/>
    <hyperlink r:id="rId597" ref="AB182"/>
    <hyperlink r:id="rId598" ref="J183"/>
    <hyperlink r:id="rId599" ref="U183"/>
    <hyperlink r:id="rId600" ref="AB183"/>
    <hyperlink r:id="rId601" ref="J184"/>
    <hyperlink r:id="rId602" ref="U184"/>
    <hyperlink r:id="rId603" ref="AB184"/>
    <hyperlink r:id="rId604" ref="J185"/>
    <hyperlink r:id="rId605" ref="U185"/>
    <hyperlink r:id="rId606" ref="W185"/>
    <hyperlink r:id="rId607" ref="AB185"/>
    <hyperlink r:id="rId608" ref="J186"/>
    <hyperlink r:id="rId609" ref="U186"/>
    <hyperlink r:id="rId610" ref="AB186"/>
    <hyperlink r:id="rId611" ref="J187"/>
    <hyperlink r:id="rId612" ref="U187"/>
    <hyperlink r:id="rId613" ref="AB187"/>
    <hyperlink r:id="rId614" ref="J188"/>
    <hyperlink r:id="rId615" ref="U188"/>
    <hyperlink r:id="rId616" ref="V188"/>
    <hyperlink r:id="rId617" ref="W188"/>
    <hyperlink r:id="rId618" ref="AB188"/>
    <hyperlink r:id="rId619" ref="J189"/>
    <hyperlink r:id="rId620" ref="U189"/>
    <hyperlink r:id="rId621" ref="W189"/>
    <hyperlink r:id="rId622" ref="AB189"/>
    <hyperlink r:id="rId623" ref="J190"/>
    <hyperlink r:id="rId624" ref="U190"/>
    <hyperlink r:id="rId625" ref="AB190"/>
    <hyperlink r:id="rId626" ref="J191"/>
    <hyperlink r:id="rId627" ref="U191"/>
    <hyperlink r:id="rId628" ref="AB191"/>
    <hyperlink r:id="rId629" ref="J192"/>
    <hyperlink r:id="rId630" ref="U192"/>
    <hyperlink r:id="rId631" ref="W192"/>
    <hyperlink r:id="rId632" ref="AB192"/>
    <hyperlink r:id="rId633" ref="J193"/>
    <hyperlink r:id="rId634" ref="U193"/>
    <hyperlink r:id="rId635" ref="AB193"/>
    <hyperlink r:id="rId636" ref="J194"/>
    <hyperlink r:id="rId637" ref="U194"/>
    <hyperlink r:id="rId638" ref="AB194"/>
    <hyperlink r:id="rId639" ref="J195"/>
    <hyperlink r:id="rId640" ref="U195"/>
    <hyperlink r:id="rId641" ref="W195"/>
    <hyperlink r:id="rId642" ref="AB195"/>
    <hyperlink r:id="rId643" ref="J196"/>
    <hyperlink r:id="rId644" ref="U196"/>
    <hyperlink r:id="rId645" ref="V196"/>
    <hyperlink r:id="rId646" ref="W196"/>
    <hyperlink r:id="rId647" ref="AB196"/>
    <hyperlink r:id="rId648" ref="J197"/>
    <hyperlink r:id="rId649" ref="U197"/>
    <hyperlink r:id="rId650" ref="AB197"/>
    <hyperlink r:id="rId487" ref="J198"/>
    <hyperlink r:id="rId488" ref="U198"/>
    <hyperlink r:id="rId489" ref="W198"/>
    <hyperlink r:id="rId651" ref="AB198"/>
    <hyperlink r:id="rId652" ref="J199"/>
    <hyperlink r:id="rId653" ref="U199"/>
    <hyperlink r:id="rId654" ref="AB199"/>
    <hyperlink r:id="rId655" ref="J200"/>
    <hyperlink r:id="rId656" ref="U200"/>
    <hyperlink r:id="rId657" ref="AB200"/>
    <hyperlink r:id="rId658" ref="J201"/>
    <hyperlink r:id="rId659" ref="U201"/>
    <hyperlink r:id="rId660" ref="AB201"/>
    <hyperlink r:id="rId661" ref="U202"/>
    <hyperlink r:id="rId662" ref="AB202"/>
    <hyperlink r:id="rId663" ref="J203"/>
    <hyperlink r:id="rId664" ref="U203"/>
    <hyperlink r:id="rId665" ref="AB203"/>
    <hyperlink r:id="rId666" ref="J204"/>
    <hyperlink r:id="rId667" ref="U204"/>
    <hyperlink r:id="rId668" ref="AB204"/>
    <hyperlink r:id="rId91" ref="J205"/>
    <hyperlink r:id="rId92" ref="U205"/>
    <hyperlink r:id="rId669" ref="AB205"/>
    <hyperlink r:id="rId670" ref="J206"/>
    <hyperlink r:id="rId671" ref="U206"/>
    <hyperlink r:id="rId672" ref="W206"/>
    <hyperlink r:id="rId673" ref="AB206"/>
    <hyperlink r:id="rId674" ref="J207"/>
    <hyperlink r:id="rId675" ref="U207"/>
    <hyperlink r:id="rId676" ref="AB207"/>
    <hyperlink r:id="rId677" ref="U208"/>
    <hyperlink r:id="rId678" ref="AB208"/>
    <hyperlink r:id="rId679" ref="J209"/>
    <hyperlink r:id="rId680" ref="U209"/>
    <hyperlink r:id="rId681" ref="W209"/>
    <hyperlink r:id="rId682" ref="AB209"/>
    <hyperlink r:id="rId683" ref="J210"/>
    <hyperlink r:id="rId684" ref="U210"/>
    <hyperlink r:id="rId685" ref="W210"/>
    <hyperlink r:id="rId686" ref="AB210"/>
    <hyperlink r:id="rId687" ref="J211"/>
    <hyperlink r:id="rId688" ref="U211"/>
    <hyperlink r:id="rId689" ref="AB211"/>
    <hyperlink r:id="rId690" ref="J212"/>
    <hyperlink r:id="rId691" ref="U212"/>
    <hyperlink r:id="rId692" ref="V212"/>
    <hyperlink r:id="rId693" ref="W212"/>
    <hyperlink r:id="rId694" ref="AB212"/>
    <hyperlink r:id="rId695" ref="J213"/>
    <hyperlink r:id="rId696" ref="U213"/>
    <hyperlink r:id="rId697" ref="V213"/>
    <hyperlink r:id="rId698" ref="W213"/>
    <hyperlink r:id="rId699" ref="AB213"/>
    <hyperlink r:id="rId700" ref="J214"/>
    <hyperlink r:id="rId701" ref="U214"/>
    <hyperlink r:id="rId702" ref="V214"/>
    <hyperlink r:id="rId703" ref="W214"/>
    <hyperlink r:id="rId704" ref="AB214"/>
    <hyperlink r:id="rId705" ref="J215"/>
    <hyperlink r:id="rId706" ref="U215"/>
    <hyperlink r:id="rId707" ref="V215"/>
    <hyperlink r:id="rId708" ref="W215"/>
    <hyperlink r:id="rId709" ref="AB215"/>
    <hyperlink r:id="rId710" ref="J216"/>
    <hyperlink r:id="rId711" ref="U216"/>
    <hyperlink r:id="rId712" ref="AB216"/>
    <hyperlink r:id="rId713" ref="J217"/>
    <hyperlink r:id="rId714" ref="U217"/>
    <hyperlink r:id="rId715" ref="W217"/>
    <hyperlink r:id="rId716" ref="AB217"/>
    <hyperlink r:id="rId717" ref="J218"/>
    <hyperlink r:id="rId718" ref="U218"/>
    <hyperlink r:id="rId719" ref="AB218"/>
    <hyperlink r:id="rId720" ref="J219"/>
    <hyperlink r:id="rId721" ref="U219"/>
    <hyperlink r:id="rId722" ref="AB219"/>
    <hyperlink r:id="rId723" ref="J220"/>
    <hyperlink r:id="rId724" ref="U220"/>
    <hyperlink r:id="rId725" ref="AB220"/>
    <hyperlink r:id="rId726" ref="J221"/>
    <hyperlink r:id="rId727" ref="U221"/>
    <hyperlink r:id="rId728" ref="AB221"/>
    <hyperlink r:id="rId729" ref="J222"/>
    <hyperlink r:id="rId730" ref="U222"/>
    <hyperlink r:id="rId731" ref="AB222"/>
    <hyperlink r:id="rId732" ref="J223"/>
    <hyperlink r:id="rId733" ref="U223"/>
    <hyperlink r:id="rId734" ref="AB223"/>
    <hyperlink r:id="rId735" ref="J224"/>
    <hyperlink r:id="rId736" ref="U224"/>
    <hyperlink r:id="rId737" ref="AB224"/>
    <hyperlink r:id="rId738" ref="J225"/>
    <hyperlink r:id="rId739" ref="U225"/>
    <hyperlink r:id="rId740" ref="W225"/>
    <hyperlink r:id="rId741" ref="AB225"/>
    <hyperlink r:id="rId742" ref="J226"/>
    <hyperlink r:id="rId743" ref="U226"/>
    <hyperlink r:id="rId744" ref="AB226"/>
    <hyperlink r:id="rId745" ref="J227"/>
    <hyperlink r:id="rId746" ref="U227"/>
    <hyperlink r:id="rId747" ref="V227"/>
    <hyperlink r:id="rId748" ref="AB227"/>
    <hyperlink r:id="rId749" ref="J228"/>
    <hyperlink r:id="rId750" ref="U228"/>
    <hyperlink r:id="rId751" ref="W228"/>
    <hyperlink r:id="rId752" ref="AB228"/>
    <hyperlink r:id="rId753" ref="J229"/>
    <hyperlink r:id="rId754" ref="U229"/>
    <hyperlink r:id="rId755" ref="AB229"/>
    <hyperlink r:id="rId756" ref="J230"/>
    <hyperlink r:id="rId757" ref="U230"/>
    <hyperlink r:id="rId758" ref="V230"/>
    <hyperlink r:id="rId759" ref="W230"/>
    <hyperlink r:id="rId760" ref="AB230"/>
    <hyperlink r:id="rId761" ref="U231"/>
    <hyperlink r:id="rId762" ref="AB231"/>
    <hyperlink r:id="rId763" ref="J232"/>
    <hyperlink r:id="rId764" ref="U232"/>
    <hyperlink r:id="rId765" ref="AB232"/>
    <hyperlink r:id="rId766" ref="U233"/>
    <hyperlink r:id="rId767" ref="AB233"/>
    <hyperlink r:id="rId768" ref="J234"/>
    <hyperlink r:id="rId769" ref="U234"/>
    <hyperlink r:id="rId770" ref="V234"/>
    <hyperlink r:id="rId771" ref="AB234"/>
    <hyperlink r:id="rId772" ref="J235"/>
    <hyperlink r:id="rId773" ref="U235"/>
    <hyperlink r:id="rId774" ref="AB235"/>
    <hyperlink r:id="rId775" ref="H236"/>
    <hyperlink r:id="rId775" ref="J236"/>
    <hyperlink r:id="rId776" ref="U236"/>
    <hyperlink r:id="rId777" ref="AB236"/>
    <hyperlink r:id="rId778" ref="J237"/>
    <hyperlink r:id="rId779" ref="U237"/>
    <hyperlink r:id="rId780" ref="AB237"/>
    <hyperlink r:id="rId781" ref="J238"/>
    <hyperlink r:id="rId782" ref="U238"/>
    <hyperlink r:id="rId783" ref="AB238"/>
    <hyperlink r:id="rId784" ref="J239"/>
    <hyperlink r:id="rId785" ref="U239"/>
    <hyperlink r:id="rId786" ref="W239"/>
    <hyperlink r:id="rId787" ref="AB239"/>
    <hyperlink r:id="rId788" ref="J240"/>
    <hyperlink r:id="rId789" ref="U240"/>
    <hyperlink r:id="rId790" ref="AB240"/>
    <hyperlink r:id="rId791" ref="J241"/>
    <hyperlink r:id="rId792" ref="U241"/>
    <hyperlink r:id="rId793" ref="AB241"/>
    <hyperlink r:id="rId794" ref="J242"/>
    <hyperlink r:id="rId795" ref="U242"/>
    <hyperlink r:id="rId796" ref="AB242"/>
    <hyperlink r:id="rId797" ref="U243"/>
    <hyperlink r:id="rId798" ref="X243"/>
    <hyperlink r:id="rId799" ref="AB243"/>
    <hyperlink r:id="rId800" ref="U244"/>
    <hyperlink r:id="rId801" ref="AB244"/>
    <hyperlink r:id="rId802" ref="J245"/>
    <hyperlink r:id="rId803" ref="U245"/>
    <hyperlink r:id="rId804" ref="AB245"/>
    <hyperlink r:id="rId805" ref="J246"/>
    <hyperlink r:id="rId806" ref="U246"/>
    <hyperlink r:id="rId807" ref="AB246"/>
    <hyperlink r:id="rId808" ref="J247"/>
    <hyperlink r:id="rId809" ref="U247"/>
    <hyperlink r:id="rId810" ref="AB247"/>
    <hyperlink r:id="rId327" ref="J248"/>
    <hyperlink r:id="rId328" ref="U248"/>
    <hyperlink r:id="rId329" ref="V248"/>
    <hyperlink r:id="rId330" ref="W248"/>
    <hyperlink r:id="rId811" ref="AB248"/>
    <hyperlink r:id="rId812" ref="J249"/>
    <hyperlink r:id="rId813" ref="U249"/>
    <hyperlink r:id="rId814" ref="W249"/>
    <hyperlink r:id="rId815" ref="AB249"/>
    <hyperlink r:id="rId816" ref="J250"/>
    <hyperlink r:id="rId817" ref="U250"/>
    <hyperlink r:id="rId818" ref="AB250"/>
    <hyperlink r:id="rId819" ref="J251"/>
    <hyperlink r:id="rId820" ref="U251"/>
    <hyperlink r:id="rId821" ref="AB251"/>
    <hyperlink r:id="rId822" ref="J252"/>
    <hyperlink r:id="rId823" ref="U252"/>
    <hyperlink r:id="rId824" ref="AB252"/>
    <hyperlink r:id="rId825" ref="J253"/>
    <hyperlink r:id="rId826" ref="U253"/>
    <hyperlink r:id="rId827" ref="AB253"/>
    <hyperlink r:id="rId828" ref="J254"/>
    <hyperlink r:id="rId829" ref="U254"/>
    <hyperlink r:id="rId830" ref="AB254"/>
    <hyperlink r:id="rId831" ref="J255"/>
    <hyperlink r:id="rId832" ref="U255"/>
    <hyperlink r:id="rId833" ref="AB255"/>
    <hyperlink r:id="rId834" ref="J256"/>
    <hyperlink r:id="rId835" ref="U256"/>
    <hyperlink r:id="rId836" ref="W256"/>
    <hyperlink r:id="rId837" ref="AB256"/>
    <hyperlink r:id="rId834" ref="J257"/>
    <hyperlink r:id="rId835" ref="U257"/>
    <hyperlink r:id="rId836" ref="W257"/>
    <hyperlink r:id="rId838" ref="AB257"/>
    <hyperlink r:id="rId839" ref="U258"/>
    <hyperlink r:id="rId840" ref="V258"/>
    <hyperlink r:id="rId841" ref="W258"/>
    <hyperlink r:id="rId842" ref="AB258"/>
    <hyperlink r:id="rId843" ref="J259"/>
    <hyperlink r:id="rId844" ref="U259"/>
    <hyperlink r:id="rId845" ref="W259"/>
    <hyperlink r:id="rId846" ref="AB259"/>
    <hyperlink r:id="rId847" ref="J260"/>
    <hyperlink r:id="rId848" ref="U260"/>
    <hyperlink r:id="rId849" ref="AB260"/>
    <hyperlink r:id="rId850" ref="J261"/>
    <hyperlink r:id="rId851" ref="U261"/>
    <hyperlink r:id="rId852" ref="W261"/>
    <hyperlink r:id="rId853" ref="AB261"/>
    <hyperlink r:id="rId854" ref="J262"/>
    <hyperlink r:id="rId855" ref="U262"/>
    <hyperlink r:id="rId856" ref="W262"/>
    <hyperlink r:id="rId857" ref="AB262"/>
    <hyperlink r:id="rId858" ref="J263"/>
    <hyperlink r:id="rId859" ref="U263"/>
    <hyperlink r:id="rId860" ref="AB263"/>
    <hyperlink r:id="rId861" ref="J264"/>
    <hyperlink r:id="rId862" ref="U264"/>
    <hyperlink r:id="rId863" ref="AB264"/>
    <hyperlink r:id="rId864" ref="U265"/>
    <hyperlink r:id="rId865" ref="AB265"/>
    <hyperlink r:id="rId866" ref="U266"/>
    <hyperlink r:id="rId867" ref="AB266"/>
    <hyperlink r:id="rId868" ref="J267"/>
    <hyperlink r:id="rId869" ref="U267"/>
    <hyperlink r:id="rId870" ref="AB267"/>
    <hyperlink r:id="rId871" ref="J268"/>
    <hyperlink r:id="rId872" ref="U268"/>
    <hyperlink r:id="rId873" ref="AB268"/>
    <hyperlink r:id="rId874" ref="J269"/>
    <hyperlink r:id="rId875" ref="U269"/>
    <hyperlink r:id="rId876" ref="AB269"/>
    <hyperlink r:id="rId877" ref="J270"/>
    <hyperlink r:id="rId878" ref="U270"/>
    <hyperlink r:id="rId879" ref="AB270"/>
    <hyperlink r:id="rId880" ref="J271"/>
    <hyperlink r:id="rId881" ref="U271"/>
    <hyperlink r:id="rId882" ref="AB271"/>
    <hyperlink r:id="rId883" ref="J272"/>
    <hyperlink r:id="rId884" ref="U272"/>
    <hyperlink r:id="rId885" ref="AB272"/>
    <hyperlink r:id="rId886" ref="J273"/>
    <hyperlink r:id="rId887" ref="U273"/>
    <hyperlink r:id="rId888" ref="AB273"/>
    <hyperlink r:id="rId889" ref="J274"/>
    <hyperlink r:id="rId890" ref="U274"/>
    <hyperlink r:id="rId891" ref="W274"/>
    <hyperlink r:id="rId892" ref="AB274"/>
    <hyperlink r:id="rId893" ref="U275"/>
    <hyperlink r:id="rId894" ref="AB275"/>
    <hyperlink r:id="rId895" ref="J276"/>
    <hyperlink r:id="rId896" ref="U276"/>
    <hyperlink r:id="rId897" ref="AB276"/>
    <hyperlink r:id="rId898" ref="J277"/>
    <hyperlink r:id="rId899" ref="U277"/>
    <hyperlink r:id="rId900" ref="AB277"/>
    <hyperlink r:id="rId901" ref="J278"/>
    <hyperlink r:id="rId902" ref="U278"/>
    <hyperlink r:id="rId903" ref="V278"/>
    <hyperlink r:id="rId904" ref="W278"/>
    <hyperlink r:id="rId905" ref="AB278"/>
    <hyperlink r:id="rId906" ref="U279"/>
    <hyperlink r:id="rId907" ref="AB279"/>
    <hyperlink r:id="rId908" ref="J280"/>
    <hyperlink r:id="rId909" ref="U280"/>
    <hyperlink r:id="rId910" ref="AB280"/>
    <hyperlink r:id="rId911" ref="J281"/>
    <hyperlink r:id="rId912" ref="U281"/>
    <hyperlink r:id="rId913" ref="V281"/>
    <hyperlink r:id="rId914" ref="AB281"/>
    <hyperlink r:id="rId915" ref="J282"/>
    <hyperlink r:id="rId916" ref="U282"/>
    <hyperlink r:id="rId917" ref="V282"/>
    <hyperlink r:id="rId918" ref="W282"/>
    <hyperlink r:id="rId919" ref="AB282"/>
    <hyperlink r:id="rId920" ref="U283"/>
    <hyperlink r:id="rId921" ref="V283"/>
    <hyperlink r:id="rId922" ref="W283"/>
    <hyperlink r:id="rId923" ref="AB283"/>
    <hyperlink r:id="rId924" ref="J284"/>
    <hyperlink r:id="rId925" ref="U284"/>
    <hyperlink r:id="rId926" ref="AB284"/>
    <hyperlink r:id="rId927" ref="J285"/>
    <hyperlink r:id="rId928" ref="U285"/>
    <hyperlink r:id="rId929" ref="AB285"/>
    <hyperlink r:id="rId930" ref="J286"/>
    <hyperlink r:id="rId931" ref="U286"/>
    <hyperlink r:id="rId932" ref="W286"/>
    <hyperlink r:id="rId933" ref="AB286"/>
    <hyperlink r:id="rId934" ref="J287"/>
    <hyperlink r:id="rId935" ref="U287"/>
    <hyperlink r:id="rId936" ref="AB287"/>
    <hyperlink r:id="rId937" ref="J288"/>
    <hyperlink r:id="rId938" ref="U288"/>
    <hyperlink r:id="rId939" ref="V288"/>
    <hyperlink r:id="rId940" ref="W288"/>
    <hyperlink r:id="rId941" ref="AB288"/>
    <hyperlink r:id="rId942" ref="J289"/>
    <hyperlink r:id="rId943" ref="U289"/>
    <hyperlink r:id="rId944" ref="W289"/>
    <hyperlink r:id="rId945" ref="AB289"/>
    <hyperlink r:id="rId946" ref="J290"/>
    <hyperlink r:id="rId947" ref="U290"/>
    <hyperlink r:id="rId948" ref="AB290"/>
    <hyperlink r:id="rId949" ref="J291"/>
    <hyperlink r:id="rId950" ref="U291"/>
    <hyperlink r:id="rId951" ref="AB291"/>
    <hyperlink r:id="rId952" ref="J292"/>
    <hyperlink r:id="rId953" ref="U292"/>
    <hyperlink r:id="rId954" ref="AB292"/>
    <hyperlink r:id="rId955" ref="J293"/>
    <hyperlink r:id="rId956" ref="U293"/>
    <hyperlink r:id="rId957" ref="W293"/>
    <hyperlink r:id="rId958" ref="AB293"/>
    <hyperlink r:id="rId959" ref="J294"/>
    <hyperlink r:id="rId960" ref="U294"/>
    <hyperlink r:id="rId961" ref="V294"/>
    <hyperlink r:id="rId962" ref="AB294"/>
    <hyperlink r:id="rId963" ref="J295"/>
    <hyperlink r:id="rId964" ref="U295"/>
    <hyperlink r:id="rId965" ref="AB295"/>
    <hyperlink r:id="rId966" ref="J296"/>
    <hyperlink r:id="rId967" ref="U296"/>
    <hyperlink r:id="rId968" ref="AB296"/>
    <hyperlink r:id="rId969" ref="J297"/>
    <hyperlink r:id="rId970" ref="U297"/>
    <hyperlink r:id="rId971" ref="W297"/>
    <hyperlink r:id="rId972" ref="AB297"/>
    <hyperlink r:id="rId973" ref="J298"/>
    <hyperlink r:id="rId974" ref="U298"/>
    <hyperlink r:id="rId975" ref="AB298"/>
    <hyperlink r:id="rId976" ref="J299"/>
    <hyperlink r:id="rId977" ref="U299"/>
    <hyperlink r:id="rId978" ref="V299"/>
    <hyperlink r:id="rId979" ref="W299"/>
    <hyperlink r:id="rId980" ref="AB299"/>
    <hyperlink r:id="rId981" ref="J300"/>
    <hyperlink r:id="rId982" ref="U300"/>
    <hyperlink r:id="rId983" ref="V300"/>
    <hyperlink r:id="rId984" ref="W300"/>
    <hyperlink r:id="rId985" ref="AB300"/>
    <hyperlink r:id="rId986" ref="J301"/>
    <hyperlink r:id="rId987" ref="U301"/>
    <hyperlink r:id="rId988" ref="AB301"/>
    <hyperlink r:id="rId989" ref="J302"/>
    <hyperlink r:id="rId990" ref="U302"/>
    <hyperlink r:id="rId991" ref="AB302"/>
    <hyperlink r:id="rId992" ref="J303"/>
    <hyperlink r:id="rId993" ref="U303"/>
    <hyperlink r:id="rId994" ref="AB303"/>
    <hyperlink r:id="rId995" ref="J304"/>
    <hyperlink r:id="rId996" ref="U304"/>
    <hyperlink r:id="rId997" ref="AB304"/>
    <hyperlink r:id="rId998" ref="J305"/>
    <hyperlink r:id="rId999" ref="U305"/>
    <hyperlink r:id="rId1000" ref="AB305"/>
    <hyperlink r:id="rId1001" ref="J306"/>
    <hyperlink r:id="rId1002" ref="U306"/>
    <hyperlink r:id="rId1003" ref="W306"/>
    <hyperlink r:id="rId1004" ref="AB306"/>
    <hyperlink r:id="rId1005" ref="J307"/>
    <hyperlink r:id="rId1006" ref="U307"/>
    <hyperlink r:id="rId1007" ref="AB307"/>
    <hyperlink r:id="rId1008" ref="J308"/>
    <hyperlink r:id="rId1009" ref="U308"/>
    <hyperlink r:id="rId1010" ref="AB308"/>
    <hyperlink r:id="rId1011" ref="J309"/>
    <hyperlink r:id="rId1012" ref="U309"/>
    <hyperlink r:id="rId1013" ref="AB309"/>
    <hyperlink r:id="rId1014" ref="J310"/>
    <hyperlink r:id="rId1015" ref="U310"/>
    <hyperlink r:id="rId1016" ref="V310"/>
    <hyperlink r:id="rId1017" ref="AB310"/>
    <hyperlink r:id="rId1018" ref="J311"/>
    <hyperlink r:id="rId1019" ref="U311"/>
    <hyperlink r:id="rId1020" ref="V311"/>
    <hyperlink r:id="rId1021" ref="W311"/>
    <hyperlink r:id="rId1022" ref="AB311"/>
    <hyperlink r:id="rId1023" ref="J312"/>
    <hyperlink r:id="rId1024" ref="U312"/>
    <hyperlink r:id="rId1025" ref="AB312"/>
    <hyperlink r:id="rId1026" ref="J313"/>
    <hyperlink r:id="rId1027" ref="U313"/>
    <hyperlink r:id="rId1028" ref="AB313"/>
    <hyperlink r:id="rId1029" ref="J314"/>
    <hyperlink r:id="rId1030" ref="U314"/>
    <hyperlink r:id="rId1031" ref="W314"/>
    <hyperlink r:id="rId1032" ref="AB314"/>
    <hyperlink r:id="rId1033" ref="J315"/>
    <hyperlink r:id="rId1034" ref="U315"/>
    <hyperlink r:id="rId1035" ref="AB315"/>
    <hyperlink r:id="rId1036" ref="J316"/>
    <hyperlink r:id="rId1037" ref="U316"/>
    <hyperlink r:id="rId1038" ref="AB316"/>
    <hyperlink r:id="rId1039" ref="J317"/>
    <hyperlink r:id="rId1040" ref="U317"/>
    <hyperlink r:id="rId1041" ref="AB317"/>
    <hyperlink r:id="rId1042" ref="J318"/>
    <hyperlink r:id="rId1043" ref="U318"/>
    <hyperlink r:id="rId1044" ref="W318"/>
    <hyperlink r:id="rId1045" ref="AB318"/>
    <hyperlink r:id="rId1046" ref="J319"/>
    <hyperlink r:id="rId1047" ref="U319"/>
    <hyperlink r:id="rId1048" ref="AB319"/>
    <hyperlink r:id="rId1049" ref="J320"/>
    <hyperlink r:id="rId1050" ref="U320"/>
    <hyperlink r:id="rId1051" ref="AB320"/>
    <hyperlink r:id="rId1052" ref="J321"/>
    <hyperlink r:id="rId1053" ref="U321"/>
    <hyperlink r:id="rId1054" ref="V321"/>
    <hyperlink r:id="rId1055" ref="W321"/>
    <hyperlink r:id="rId1056" ref="AB321"/>
    <hyperlink r:id="rId1057" ref="J322"/>
    <hyperlink r:id="rId1058" ref="U322"/>
    <hyperlink r:id="rId1059" ref="V322"/>
    <hyperlink r:id="rId1060" ref="W322"/>
    <hyperlink r:id="rId1061" ref="AB322"/>
    <hyperlink r:id="rId1062" ref="J323"/>
    <hyperlink r:id="rId1063" ref="U323"/>
    <hyperlink r:id="rId1064" ref="AB323"/>
    <hyperlink r:id="rId1065" ref="J324"/>
    <hyperlink r:id="rId1066" ref="U324"/>
    <hyperlink r:id="rId1067" ref="AB324"/>
    <hyperlink r:id="rId1068" ref="J325"/>
    <hyperlink r:id="rId1069" ref="U325"/>
    <hyperlink r:id="rId1070" ref="AB325"/>
    <hyperlink r:id="rId1071" ref="J326"/>
    <hyperlink r:id="rId1072" ref="U326"/>
    <hyperlink r:id="rId1073" ref="AB326"/>
    <hyperlink r:id="rId1074" ref="J327"/>
    <hyperlink r:id="rId1075" ref="U327"/>
    <hyperlink r:id="rId1076" ref="AB327"/>
    <hyperlink r:id="rId1077" ref="J328"/>
    <hyperlink r:id="rId1078" ref="U328"/>
    <hyperlink r:id="rId1079" ref="AB328"/>
    <hyperlink r:id="rId1080" ref="J329"/>
    <hyperlink r:id="rId1081" ref="U329"/>
    <hyperlink r:id="rId1082" ref="W329"/>
    <hyperlink r:id="rId1083" ref="AB329"/>
    <hyperlink r:id="rId1084" ref="J330"/>
    <hyperlink r:id="rId1085" ref="U330"/>
    <hyperlink r:id="rId1086" ref="AB330"/>
    <hyperlink r:id="rId1087" ref="J331"/>
    <hyperlink r:id="rId1088" ref="U331"/>
    <hyperlink r:id="rId1089" ref="W331"/>
    <hyperlink r:id="rId1090" ref="AB331"/>
    <hyperlink r:id="rId1091" ref="H332"/>
    <hyperlink r:id="rId1091" ref="J332"/>
    <hyperlink r:id="rId1092" ref="U332"/>
    <hyperlink r:id="rId1093" ref="W332"/>
    <hyperlink r:id="rId1094" ref="AB332"/>
    <hyperlink r:id="rId1095" ref="J333"/>
    <hyperlink r:id="rId1096" ref="U333"/>
    <hyperlink r:id="rId1097" ref="AB333"/>
    <hyperlink r:id="rId1098" ref="J334"/>
    <hyperlink r:id="rId1099" ref="U334"/>
    <hyperlink r:id="rId1100" ref="W334"/>
    <hyperlink r:id="rId1101" ref="AB334"/>
    <hyperlink r:id="rId1102" ref="J335"/>
    <hyperlink r:id="rId1103" ref="U335"/>
    <hyperlink r:id="rId1104" ref="AB335"/>
    <hyperlink r:id="rId1105" ref="J336"/>
    <hyperlink r:id="rId1106" ref="U336"/>
    <hyperlink r:id="rId1107" ref="AB336"/>
    <hyperlink r:id="rId1108" ref="J337"/>
    <hyperlink r:id="rId1109" ref="U337"/>
    <hyperlink r:id="rId1110" ref="W337"/>
    <hyperlink r:id="rId1111" ref="AB337"/>
    <hyperlink r:id="rId1112" ref="J338"/>
    <hyperlink r:id="rId1113" ref="U338"/>
    <hyperlink r:id="rId1114" ref="V338"/>
    <hyperlink r:id="rId1115" ref="W338"/>
    <hyperlink r:id="rId1116" ref="AB338"/>
    <hyperlink r:id="rId1117" ref="J339"/>
    <hyperlink r:id="rId1118" ref="U339"/>
    <hyperlink r:id="rId1119" ref="AB339"/>
    <hyperlink r:id="rId1120" ref="J340"/>
    <hyperlink r:id="rId1121" ref="U340"/>
    <hyperlink r:id="rId1122" ref="W340"/>
    <hyperlink r:id="rId1123" ref="AB340"/>
    <hyperlink r:id="rId1124" ref="J341"/>
    <hyperlink r:id="rId1125" ref="U341"/>
    <hyperlink r:id="rId1126" ref="AB341"/>
    <hyperlink r:id="rId1127" ref="J342"/>
    <hyperlink r:id="rId1128" ref="U342"/>
    <hyperlink r:id="rId1129" ref="AB342"/>
    <hyperlink r:id="rId1130" ref="J343"/>
    <hyperlink r:id="rId1131" ref="U343"/>
    <hyperlink r:id="rId1132" ref="W343"/>
    <hyperlink r:id="rId1133" ref="AB343"/>
    <hyperlink r:id="rId1134" ref="J344"/>
    <hyperlink r:id="rId1135" ref="U344"/>
    <hyperlink r:id="rId1136" ref="V344"/>
    <hyperlink r:id="rId1137" ref="W344"/>
    <hyperlink r:id="rId1138" ref="AB344"/>
    <hyperlink r:id="rId1139" ref="J345"/>
    <hyperlink r:id="rId1140" ref="U345"/>
    <hyperlink r:id="rId1141" ref="AB345"/>
    <hyperlink r:id="rId1142" ref="J346"/>
    <hyperlink r:id="rId1143" ref="U346"/>
    <hyperlink r:id="rId1144" ref="AB346"/>
    <hyperlink r:id="rId1145" ref="J347"/>
    <hyperlink r:id="rId1146" ref="U347"/>
    <hyperlink r:id="rId1147" ref="AB347"/>
    <hyperlink r:id="rId1148" ref="J348"/>
    <hyperlink r:id="rId1149" ref="U348"/>
    <hyperlink r:id="rId1150" ref="AB348"/>
    <hyperlink r:id="rId1151" ref="J349"/>
    <hyperlink r:id="rId1152" ref="U349"/>
    <hyperlink r:id="rId1153" ref="AB349"/>
    <hyperlink r:id="rId1154" ref="J350"/>
    <hyperlink r:id="rId1155" ref="U350"/>
    <hyperlink r:id="rId1156" ref="AB350"/>
    <hyperlink r:id="rId407" ref="U351"/>
    <hyperlink r:id="rId1157" ref="AB351"/>
    <hyperlink r:id="rId1158" ref="J352"/>
    <hyperlink r:id="rId1159" ref="U352"/>
    <hyperlink r:id="rId1160" ref="AB352"/>
    <hyperlink r:id="rId1161" ref="J353"/>
    <hyperlink r:id="rId1162" ref="U353"/>
    <hyperlink r:id="rId1163" ref="AB353"/>
    <hyperlink r:id="rId327" ref="J354"/>
    <hyperlink r:id="rId328" ref="U354"/>
    <hyperlink r:id="rId329" ref="V354"/>
    <hyperlink r:id="rId330" ref="W354"/>
    <hyperlink r:id="rId1164" ref="AB354"/>
    <hyperlink r:id="rId1165" ref="J355"/>
    <hyperlink r:id="rId1166" ref="U355"/>
    <hyperlink r:id="rId1167" ref="AB355"/>
    <hyperlink r:id="rId1168" ref="U356"/>
    <hyperlink r:id="rId1169" ref="V356"/>
    <hyperlink r:id="rId1170" ref="AB356"/>
    <hyperlink r:id="rId1171" ref="J357"/>
    <hyperlink r:id="rId1172" ref="U357"/>
    <hyperlink r:id="rId1173" ref="W357"/>
    <hyperlink r:id="rId1174" ref="AB357"/>
    <hyperlink r:id="rId1175" ref="J358"/>
    <hyperlink r:id="rId1176" ref="U358"/>
    <hyperlink r:id="rId1177" ref="AB358"/>
    <hyperlink r:id="rId1178" ref="J359"/>
    <hyperlink r:id="rId1179" ref="U359"/>
    <hyperlink r:id="rId1180" ref="V359"/>
    <hyperlink r:id="rId1181" ref="W359"/>
    <hyperlink r:id="rId1182" ref="AB359"/>
    <hyperlink r:id="rId1183" ref="J360"/>
    <hyperlink r:id="rId1184" ref="U360"/>
    <hyperlink r:id="rId1185" ref="V360"/>
    <hyperlink r:id="rId1186" ref="X360"/>
    <hyperlink r:id="rId1187" ref="AB360"/>
    <hyperlink r:id="rId1188" ref="U361"/>
    <hyperlink r:id="rId1189" ref="AB361"/>
    <hyperlink r:id="rId1190" ref="J362"/>
    <hyperlink r:id="rId1191" ref="U362"/>
    <hyperlink r:id="rId1192" ref="AB362"/>
    <hyperlink r:id="rId834" ref="J363"/>
    <hyperlink r:id="rId835" ref="U363"/>
    <hyperlink r:id="rId836" ref="W363"/>
    <hyperlink r:id="rId1193" ref="AB363"/>
    <hyperlink r:id="rId1194" ref="J364"/>
    <hyperlink r:id="rId1195" ref="U364"/>
    <hyperlink r:id="rId1196" ref="V364"/>
    <hyperlink r:id="rId1197" ref="W364"/>
    <hyperlink r:id="rId1198" ref="AB364"/>
    <hyperlink r:id="rId1199" ref="J365"/>
    <hyperlink r:id="rId1200" ref="U365"/>
    <hyperlink r:id="rId1201" ref="AB365"/>
    <hyperlink r:id="rId1202" ref="J366"/>
    <hyperlink r:id="rId1203" ref="U366"/>
    <hyperlink r:id="rId1204" ref="AB366"/>
    <hyperlink r:id="rId1205" ref="J367"/>
    <hyperlink r:id="rId1206" ref="U367"/>
    <hyperlink r:id="rId1207" ref="AB367"/>
    <hyperlink r:id="rId1208" ref="J368"/>
    <hyperlink r:id="rId1209" ref="U368"/>
    <hyperlink r:id="rId1210" ref="AB368"/>
    <hyperlink r:id="rId1211" ref="J369"/>
    <hyperlink r:id="rId1212" ref="U369"/>
    <hyperlink r:id="rId1213" ref="AB369"/>
    <hyperlink r:id="rId1214" ref="J370"/>
    <hyperlink r:id="rId1215" ref="U370"/>
    <hyperlink r:id="rId1216" ref="AB370"/>
    <hyperlink r:id="rId1217" ref="J371"/>
    <hyperlink r:id="rId1218" ref="U371"/>
    <hyperlink r:id="rId1219" ref="AB371"/>
    <hyperlink r:id="rId1220" ref="J372"/>
    <hyperlink r:id="rId1221" ref="U372"/>
    <hyperlink r:id="rId1222" ref="AB372"/>
    <hyperlink r:id="rId1223" ref="U373"/>
    <hyperlink r:id="rId1224" ref="AB373"/>
    <hyperlink r:id="rId487" ref="J374"/>
    <hyperlink r:id="rId488" ref="U374"/>
    <hyperlink r:id="rId489" ref="W374"/>
    <hyperlink r:id="rId1225" ref="AB374"/>
    <hyperlink r:id="rId1226" ref="J375"/>
    <hyperlink r:id="rId1227" ref="U375"/>
    <hyperlink r:id="rId1228" ref="AB375"/>
    <hyperlink r:id="rId1229" ref="J376"/>
    <hyperlink r:id="rId1230" ref="U376"/>
    <hyperlink r:id="rId1231" ref="AB376"/>
    <hyperlink r:id="rId1232" ref="J377"/>
    <hyperlink r:id="rId1233" ref="U377"/>
    <hyperlink r:id="rId1234" ref="AB377"/>
    <hyperlink r:id="rId1235" ref="J378"/>
    <hyperlink r:id="rId1236" ref="U378"/>
    <hyperlink r:id="rId1237" ref="AB378"/>
    <hyperlink r:id="rId1238" ref="J379"/>
    <hyperlink r:id="rId1239" ref="U379"/>
    <hyperlink r:id="rId1240" ref="AB379"/>
    <hyperlink r:id="rId1241" ref="J380"/>
    <hyperlink r:id="rId1242" ref="U380"/>
    <hyperlink r:id="rId1243" ref="AB380"/>
    <hyperlink r:id="rId1244" ref="J381"/>
    <hyperlink r:id="rId1245" ref="U381"/>
    <hyperlink r:id="rId1246" ref="W381"/>
    <hyperlink r:id="rId1247" ref="X381"/>
    <hyperlink r:id="rId1248" ref="AB381"/>
    <hyperlink r:id="rId1249" ref="J382"/>
    <hyperlink r:id="rId1250" ref="U382"/>
    <hyperlink r:id="rId264" ref="W382"/>
    <hyperlink r:id="rId1251" ref="AB382"/>
    <hyperlink r:id="rId1252" ref="J383"/>
    <hyperlink r:id="rId1253" ref="U383"/>
    <hyperlink r:id="rId1254" ref="V383"/>
    <hyperlink r:id="rId1255" ref="AB383"/>
    <hyperlink r:id="rId1256" ref="U384"/>
    <hyperlink r:id="rId1257" ref="AB384"/>
    <hyperlink r:id="rId1258" ref="J385"/>
    <hyperlink r:id="rId1259" ref="U385"/>
    <hyperlink r:id="rId1260" ref="AB385"/>
    <hyperlink r:id="rId1261" ref="J386"/>
    <hyperlink r:id="rId1262" ref="U386"/>
    <hyperlink r:id="rId1263" ref="AB386"/>
    <hyperlink r:id="rId1124" ref="J387"/>
    <hyperlink r:id="rId1125" ref="U387"/>
    <hyperlink r:id="rId1264" ref="AB387"/>
    <hyperlink r:id="rId1265" ref="J388"/>
    <hyperlink r:id="rId1266" ref="U388"/>
    <hyperlink r:id="rId1267" ref="V388"/>
    <hyperlink r:id="rId1268" ref="W388"/>
    <hyperlink r:id="rId1269" ref="AB388"/>
    <hyperlink r:id="rId1270" ref="J389"/>
    <hyperlink r:id="rId1271" ref="U389"/>
    <hyperlink r:id="rId1272" ref="V389"/>
    <hyperlink r:id="rId1273" ref="W389"/>
    <hyperlink r:id="rId1274" ref="AB389"/>
    <hyperlink r:id="rId1275" ref="J390"/>
    <hyperlink r:id="rId1276" ref="U390"/>
    <hyperlink r:id="rId1277" ref="W390"/>
    <hyperlink r:id="rId1278" ref="AB390"/>
    <hyperlink r:id="rId1279" ref="J391"/>
    <hyperlink r:id="rId1280" ref="U391"/>
    <hyperlink r:id="rId1281" ref="V391"/>
    <hyperlink r:id="rId1282" ref="W391"/>
    <hyperlink r:id="rId1283" ref="AB391"/>
    <hyperlink r:id="rId1284" ref="J392"/>
    <hyperlink r:id="rId1285" ref="U392"/>
    <hyperlink r:id="rId1286" ref="AB392"/>
    <hyperlink r:id="rId1287" ref="U393"/>
    <hyperlink r:id="rId1288" ref="W393"/>
    <hyperlink r:id="rId1289" ref="AB393"/>
    <hyperlink r:id="rId1290" ref="J394"/>
    <hyperlink r:id="rId1291" ref="U394"/>
    <hyperlink r:id="rId1292" ref="AB394"/>
    <hyperlink r:id="rId1293" ref="J395"/>
    <hyperlink r:id="rId1294" ref="U395"/>
    <hyperlink r:id="rId1295" ref="AB395"/>
    <hyperlink r:id="rId1296" ref="J396"/>
    <hyperlink r:id="rId1297" ref="U396"/>
    <hyperlink r:id="rId1298" ref="W396"/>
    <hyperlink r:id="rId1299" ref="AB396"/>
    <hyperlink r:id="rId1300" ref="U397"/>
    <hyperlink r:id="rId1301" ref="V397"/>
    <hyperlink r:id="rId1302" ref="W397"/>
    <hyperlink r:id="rId1303" ref="AB397"/>
    <hyperlink r:id="rId1304" ref="J398"/>
    <hyperlink r:id="rId1305" ref="U398"/>
    <hyperlink r:id="rId1306" ref="AB398"/>
    <hyperlink r:id="rId1307" ref="J399"/>
    <hyperlink r:id="rId1308" ref="U399"/>
    <hyperlink r:id="rId1309" ref="AB399"/>
    <hyperlink r:id="rId1310" ref="J400"/>
    <hyperlink r:id="rId1311" ref="U400"/>
    <hyperlink r:id="rId1312" ref="V400"/>
    <hyperlink r:id="rId1313" ref="W400"/>
    <hyperlink r:id="rId1314" ref="AB400"/>
    <hyperlink r:id="rId1315" ref="J401"/>
    <hyperlink r:id="rId1316" ref="U401"/>
    <hyperlink r:id="rId1317" ref="V401"/>
    <hyperlink r:id="rId1318" ref="AB401"/>
    <hyperlink r:id="rId1319" ref="J402"/>
    <hyperlink r:id="rId1320" ref="U402"/>
    <hyperlink r:id="rId1321" ref="AB402"/>
    <hyperlink r:id="rId1322" ref="J403"/>
    <hyperlink r:id="rId1323" ref="U403"/>
    <hyperlink r:id="rId1324" ref="V403"/>
    <hyperlink r:id="rId1325" ref="W403"/>
    <hyperlink r:id="rId1326" ref="AB403"/>
    <hyperlink r:id="rId1327" ref="J404"/>
    <hyperlink r:id="rId1328" ref="U404"/>
    <hyperlink r:id="rId1329" ref="W404"/>
    <hyperlink r:id="rId1330" ref="AB404"/>
    <hyperlink r:id="rId1331" ref="J405"/>
    <hyperlink r:id="rId1332" ref="U405"/>
    <hyperlink r:id="rId1333" ref="AB405"/>
    <hyperlink r:id="rId1334" ref="J406"/>
    <hyperlink r:id="rId1335" ref="U406"/>
    <hyperlink r:id="rId1336" ref="AB406"/>
    <hyperlink r:id="rId1337" ref="J407"/>
    <hyperlink r:id="rId1338" ref="U407"/>
    <hyperlink r:id="rId1339" ref="AB407"/>
    <hyperlink r:id="rId1340" ref="J408"/>
    <hyperlink r:id="rId1341" ref="U408"/>
    <hyperlink r:id="rId1342" ref="AB408"/>
    <hyperlink r:id="rId1343" ref="J409"/>
    <hyperlink r:id="rId1344" ref="U409"/>
    <hyperlink r:id="rId1345" ref="AB409"/>
    <hyperlink r:id="rId1346" ref="J410"/>
    <hyperlink r:id="rId1347" ref="U410"/>
    <hyperlink r:id="rId1348" ref="AB410"/>
    <hyperlink r:id="rId1349" ref="J411"/>
    <hyperlink r:id="rId1350" ref="U411"/>
    <hyperlink r:id="rId1351" ref="AB411"/>
    <hyperlink r:id="rId1352" ref="J412"/>
    <hyperlink r:id="rId1353" ref="U412"/>
    <hyperlink r:id="rId1354" ref="AB412"/>
    <hyperlink r:id="rId1355" ref="J413"/>
    <hyperlink r:id="rId1356" ref="U413"/>
    <hyperlink r:id="rId1357" ref="AB413"/>
    <hyperlink r:id="rId1358" ref="J414"/>
    <hyperlink r:id="rId1359" ref="U414"/>
    <hyperlink r:id="rId1360" ref="AB414"/>
    <hyperlink r:id="rId1361" ref="J415"/>
    <hyperlink r:id="rId1362" ref="U415"/>
    <hyperlink r:id="rId1363" ref="AB415"/>
    <hyperlink r:id="rId1364" ref="J416"/>
    <hyperlink r:id="rId1365" ref="U416"/>
    <hyperlink r:id="rId1366" ref="AB416"/>
    <hyperlink r:id="rId1367" ref="U417"/>
    <hyperlink r:id="rId1368" ref="AB417"/>
    <hyperlink r:id="rId1369" ref="J418"/>
    <hyperlink r:id="rId1370" ref="U418"/>
    <hyperlink r:id="rId1371" ref="AB418"/>
    <hyperlink r:id="rId1372" ref="J419"/>
    <hyperlink r:id="rId1373" ref="U419"/>
    <hyperlink r:id="rId1374" ref="AB419"/>
    <hyperlink r:id="rId1375" ref="J420"/>
    <hyperlink r:id="rId1376" ref="U420"/>
    <hyperlink r:id="rId1377" ref="AB420"/>
    <hyperlink r:id="rId1378" ref="J421"/>
    <hyperlink r:id="rId1379" ref="U421"/>
    <hyperlink r:id="rId1380" ref="W421"/>
    <hyperlink r:id="rId1381" ref="AB421"/>
    <hyperlink r:id="rId1382" ref="J422"/>
    <hyperlink r:id="rId1383" ref="U422"/>
    <hyperlink r:id="rId1384" ref="AB422"/>
    <hyperlink r:id="rId1385" ref="J423"/>
    <hyperlink r:id="rId1386" ref="U423"/>
    <hyperlink r:id="rId1387" ref="AB423"/>
    <hyperlink r:id="rId1388" ref="J424"/>
    <hyperlink r:id="rId1389" ref="U424"/>
    <hyperlink r:id="rId1390" ref="AB424"/>
    <hyperlink r:id="rId1391" ref="J425"/>
    <hyperlink r:id="rId1392" ref="U425"/>
    <hyperlink r:id="rId1393" ref="AB425"/>
    <hyperlink r:id="rId1394" ref="J426"/>
    <hyperlink r:id="rId1395" ref="U426"/>
    <hyperlink r:id="rId1396" ref="AB426"/>
    <hyperlink r:id="rId1397" ref="J427"/>
    <hyperlink r:id="rId1398" ref="U427"/>
    <hyperlink r:id="rId1399" ref="AB427"/>
    <hyperlink r:id="rId1400" ref="J428"/>
    <hyperlink r:id="rId1401" ref="U428"/>
    <hyperlink r:id="rId1402" ref="V428"/>
    <hyperlink r:id="rId1403" ref="W428"/>
    <hyperlink r:id="rId1404" ref="AB428"/>
    <hyperlink r:id="rId1405" ref="J429"/>
    <hyperlink r:id="rId1406" ref="U429"/>
    <hyperlink r:id="rId1407" ref="W429"/>
    <hyperlink r:id="rId1408" ref="AB429"/>
    <hyperlink r:id="rId1409" ref="J430"/>
    <hyperlink r:id="rId1410" ref="U430"/>
    <hyperlink r:id="rId1411" ref="AB430"/>
    <hyperlink r:id="rId1412" ref="J431"/>
    <hyperlink r:id="rId1413" ref="U431"/>
    <hyperlink r:id="rId1414" ref="AB431"/>
    <hyperlink r:id="rId1415" ref="J432"/>
    <hyperlink r:id="rId1416" ref="U432"/>
    <hyperlink r:id="rId1417" ref="V432"/>
    <hyperlink r:id="rId1418" ref="AB432"/>
    <hyperlink r:id="rId1419" ref="J433"/>
    <hyperlink r:id="rId1420" ref="U433"/>
    <hyperlink r:id="rId1421" ref="AB433"/>
    <hyperlink r:id="rId1422" ref="J434"/>
    <hyperlink r:id="rId1423" ref="U434"/>
    <hyperlink r:id="rId1424" ref="W434"/>
    <hyperlink r:id="rId1425" ref="AB434"/>
    <hyperlink r:id="rId1426" ref="J435"/>
    <hyperlink r:id="rId1427" ref="U435"/>
    <hyperlink r:id="rId1428" ref="V435"/>
    <hyperlink r:id="rId1429" ref="AB435"/>
    <hyperlink r:id="rId1430" ref="J436"/>
    <hyperlink r:id="rId1431" ref="U436"/>
    <hyperlink r:id="rId1432" ref="W436"/>
    <hyperlink r:id="rId1433" ref="AB436"/>
    <hyperlink r:id="rId1434" ref="J437"/>
    <hyperlink r:id="rId1435" ref="U437"/>
    <hyperlink r:id="rId1436" ref="AB437"/>
    <hyperlink r:id="rId1437" ref="J438"/>
    <hyperlink r:id="rId1438" ref="U438"/>
    <hyperlink r:id="rId1439" ref="W438"/>
    <hyperlink r:id="rId1440" ref="AB438"/>
    <hyperlink r:id="rId1441" ref="J439"/>
    <hyperlink r:id="rId1442" ref="U439"/>
    <hyperlink r:id="rId1443" ref="AB439"/>
    <hyperlink r:id="rId1444" ref="J440"/>
    <hyperlink r:id="rId1445" ref="U440"/>
    <hyperlink r:id="rId1446" ref="AB440"/>
    <hyperlink r:id="rId1447" ref="J441"/>
    <hyperlink r:id="rId1448" ref="U441"/>
    <hyperlink r:id="rId1449" ref="AB441"/>
    <hyperlink r:id="rId1450" ref="J442"/>
    <hyperlink r:id="rId1451" ref="U442"/>
    <hyperlink r:id="rId1452" ref="AB442"/>
    <hyperlink r:id="rId1453" ref="J443"/>
    <hyperlink r:id="rId1454" ref="U443"/>
    <hyperlink r:id="rId1455" ref="AB443"/>
    <hyperlink r:id="rId1456" ref="J444"/>
    <hyperlink r:id="rId1457" ref="U444"/>
    <hyperlink r:id="rId1458" ref="V444"/>
    <hyperlink r:id="rId264" ref="W444"/>
    <hyperlink r:id="rId1459" ref="AB444"/>
    <hyperlink r:id="rId1460" ref="U445"/>
    <hyperlink r:id="rId1461" ref="AB445"/>
    <hyperlink r:id="rId1462" ref="J446"/>
    <hyperlink r:id="rId1463" ref="U446"/>
    <hyperlink r:id="rId1464" ref="AB446"/>
    <hyperlink r:id="rId1465" ref="J447"/>
    <hyperlink r:id="rId1466" ref="U447"/>
    <hyperlink r:id="rId1467" ref="W447"/>
    <hyperlink r:id="rId1468" ref="AB447"/>
    <hyperlink r:id="rId1469" ref="H448"/>
    <hyperlink r:id="rId1469" ref="J448"/>
    <hyperlink r:id="rId1470" ref="U448"/>
    <hyperlink r:id="rId1471" ref="V448"/>
    <hyperlink r:id="rId1472" ref="W448"/>
    <hyperlink r:id="rId1473" ref="AB448"/>
    <hyperlink r:id="rId1474" ref="J449"/>
    <hyperlink r:id="rId1475" ref="U449"/>
    <hyperlink r:id="rId1476" ref="V449"/>
    <hyperlink r:id="rId1477" ref="AB449"/>
    <hyperlink r:id="rId1478" ref="J450"/>
    <hyperlink r:id="rId1479" ref="U450"/>
    <hyperlink r:id="rId1480" ref="AB450"/>
    <hyperlink r:id="rId1481" ref="J451"/>
    <hyperlink r:id="rId1482" ref="U451"/>
    <hyperlink r:id="rId1483" ref="AB451"/>
    <hyperlink r:id="rId1484" ref="J452"/>
    <hyperlink r:id="rId1485" ref="U452"/>
    <hyperlink r:id="rId1486" ref="AB452"/>
    <hyperlink r:id="rId1487" ref="J453"/>
    <hyperlink r:id="rId1488" ref="U453"/>
    <hyperlink r:id="rId1489" ref="AB453"/>
    <hyperlink r:id="rId1490" ref="J454"/>
    <hyperlink r:id="rId1491" ref="U454"/>
    <hyperlink r:id="rId1492" ref="AB454"/>
    <hyperlink r:id="rId1493" ref="J455"/>
    <hyperlink r:id="rId1494" ref="U455"/>
    <hyperlink r:id="rId1495" ref="AB455"/>
    <hyperlink r:id="rId1496" ref="J456"/>
    <hyperlink r:id="rId1497" ref="U456"/>
    <hyperlink r:id="rId1498" ref="AB456"/>
    <hyperlink r:id="rId1499" ref="J457"/>
    <hyperlink r:id="rId1500" ref="U457"/>
    <hyperlink r:id="rId1501" ref="AB457"/>
    <hyperlink r:id="rId1502" ref="J458"/>
    <hyperlink r:id="rId1503" ref="U458"/>
    <hyperlink r:id="rId1504" ref="AB458"/>
    <hyperlink r:id="rId1505" ref="J459"/>
    <hyperlink r:id="rId1506" ref="U459"/>
    <hyperlink r:id="rId1507" ref="W459"/>
    <hyperlink r:id="rId1508" ref="AB459"/>
    <hyperlink r:id="rId1509" ref="J460"/>
    <hyperlink r:id="rId1510" ref="U460"/>
    <hyperlink r:id="rId1511" ref="AB460"/>
    <hyperlink r:id="rId1512" ref="U461"/>
    <hyperlink r:id="rId1513" ref="AB461"/>
    <hyperlink r:id="rId1514" ref="J462"/>
    <hyperlink r:id="rId1515" ref="U462"/>
    <hyperlink r:id="rId1516" ref="V462"/>
    <hyperlink r:id="rId1517" ref="W462"/>
    <hyperlink r:id="rId1518" ref="X462"/>
    <hyperlink r:id="rId1519" ref="AB462"/>
    <hyperlink r:id="rId1520" ref="J463"/>
    <hyperlink r:id="rId1521" ref="U463"/>
    <hyperlink r:id="rId1522" ref="AB463"/>
    <hyperlink r:id="rId1523" ref="U464"/>
    <hyperlink r:id="rId1524" ref="AB464"/>
    <hyperlink r:id="rId1525" ref="J465"/>
    <hyperlink r:id="rId1526" ref="U465"/>
    <hyperlink r:id="rId1527" ref="W465"/>
    <hyperlink r:id="rId1528" ref="AB465"/>
    <hyperlink r:id="rId1529" ref="U466"/>
    <hyperlink r:id="rId1530" ref="W466"/>
    <hyperlink r:id="rId1531" ref="AB466"/>
    <hyperlink r:id="rId1532" ref="J467"/>
    <hyperlink r:id="rId1533" ref="U467"/>
    <hyperlink r:id="rId1534" ref="AB467"/>
    <hyperlink r:id="rId1535" ref="J468"/>
    <hyperlink r:id="rId1536" ref="U468"/>
    <hyperlink r:id="rId1537" ref="AB468"/>
    <hyperlink r:id="rId1538" ref="J469"/>
    <hyperlink r:id="rId1539" ref="U469"/>
    <hyperlink r:id="rId1540" ref="W469"/>
    <hyperlink r:id="rId1541" ref="AB469"/>
    <hyperlink r:id="rId1542" ref="J470"/>
    <hyperlink r:id="rId1543" ref="U470"/>
    <hyperlink r:id="rId1544" ref="V470"/>
    <hyperlink r:id="rId1545" ref="W470"/>
    <hyperlink r:id="rId1546" ref="AB470"/>
    <hyperlink r:id="rId1547" ref="U471"/>
    <hyperlink r:id="rId1548" ref="AB471"/>
    <hyperlink r:id="rId1549" ref="J472"/>
    <hyperlink r:id="rId1550" ref="U472"/>
    <hyperlink r:id="rId1551" ref="W472"/>
    <hyperlink r:id="rId1552" ref="AB472"/>
    <hyperlink r:id="rId1553" ref="J473"/>
    <hyperlink r:id="rId1554" ref="U473"/>
    <hyperlink r:id="rId1555" ref="AB473"/>
    <hyperlink r:id="rId1556" ref="J474"/>
    <hyperlink r:id="rId1557" ref="U474"/>
    <hyperlink r:id="rId1558" ref="V474"/>
    <hyperlink r:id="rId1559" ref="W474"/>
    <hyperlink r:id="rId1560" ref="AB474"/>
    <hyperlink r:id="rId1561" ref="J475"/>
    <hyperlink r:id="rId1562" ref="U475"/>
    <hyperlink r:id="rId1563" ref="W475"/>
    <hyperlink r:id="rId1564" ref="AB475"/>
    <hyperlink r:id="rId1565" ref="J476"/>
    <hyperlink r:id="rId1566" ref="U476"/>
    <hyperlink r:id="rId1567" ref="V476"/>
    <hyperlink r:id="rId1568" ref="W476"/>
    <hyperlink r:id="rId1569" ref="AB476"/>
    <hyperlink r:id="rId1570" ref="J477"/>
    <hyperlink r:id="rId1571" ref="U477"/>
    <hyperlink r:id="rId1572" ref="AB477"/>
    <hyperlink r:id="rId1573" ref="J478"/>
    <hyperlink r:id="rId1574" ref="U478"/>
    <hyperlink r:id="rId1575" ref="AB478"/>
    <hyperlink r:id="rId1576" ref="J479"/>
    <hyperlink r:id="rId1577" ref="U479"/>
    <hyperlink r:id="rId1578" ref="AB479"/>
    <hyperlink r:id="rId1579" ref="J480"/>
    <hyperlink r:id="rId1580" ref="U480"/>
    <hyperlink r:id="rId1581" ref="AB480"/>
    <hyperlink r:id="rId1582" ref="J481"/>
    <hyperlink r:id="rId1583" ref="U481"/>
    <hyperlink r:id="rId1584" ref="AB481"/>
    <hyperlink r:id="rId1585" ref="J482"/>
    <hyperlink r:id="rId1586" ref="U482"/>
    <hyperlink r:id="rId1587" ref="AB482"/>
    <hyperlink r:id="rId1588" ref="J483"/>
    <hyperlink r:id="rId1589" ref="U483"/>
    <hyperlink r:id="rId1590" ref="AB483"/>
    <hyperlink r:id="rId1591" ref="J484"/>
    <hyperlink r:id="rId1592" ref="U484"/>
    <hyperlink r:id="rId1593" ref="V484"/>
    <hyperlink r:id="rId1594" ref="AB484"/>
    <hyperlink r:id="rId1595" ref="J485"/>
    <hyperlink r:id="rId1596" ref="U485"/>
    <hyperlink r:id="rId1597" ref="AB485"/>
    <hyperlink r:id="rId1598" ref="J486"/>
    <hyperlink r:id="rId1599" ref="U486"/>
    <hyperlink r:id="rId1600" ref="V486"/>
    <hyperlink r:id="rId1601" ref="W486"/>
    <hyperlink r:id="rId1602" ref="AB486"/>
    <hyperlink r:id="rId1603" ref="J487"/>
    <hyperlink r:id="rId1604" ref="U487"/>
    <hyperlink r:id="rId1605" ref="W487"/>
    <hyperlink r:id="rId1606" ref="AB487"/>
    <hyperlink r:id="rId1607" ref="J488"/>
    <hyperlink r:id="rId1608" ref="U488"/>
    <hyperlink r:id="rId1609" ref="AB488"/>
    <hyperlink r:id="rId1610" ref="J489"/>
    <hyperlink r:id="rId1611" ref="U489"/>
    <hyperlink r:id="rId1612" ref="AB489"/>
    <hyperlink r:id="rId1613" ref="J490"/>
    <hyperlink r:id="rId1614" ref="U490"/>
    <hyperlink r:id="rId1615" ref="AB490"/>
    <hyperlink r:id="rId1616" ref="J491"/>
    <hyperlink r:id="rId1617" ref="U491"/>
    <hyperlink r:id="rId1618" ref="AB491"/>
    <hyperlink r:id="rId1619" ref="J492"/>
    <hyperlink r:id="rId1620" ref="U492"/>
    <hyperlink r:id="rId1621" ref="AB492"/>
    <hyperlink r:id="rId1622" ref="J493"/>
    <hyperlink r:id="rId1623" ref="U493"/>
    <hyperlink r:id="rId1624" ref="AB493"/>
    <hyperlink r:id="rId1625" ref="J494"/>
    <hyperlink r:id="rId1626" ref="U494"/>
    <hyperlink r:id="rId1627" ref="AB494"/>
    <hyperlink r:id="rId1628" ref="U495"/>
    <hyperlink r:id="rId1629" ref="V495"/>
    <hyperlink r:id="rId1630" ref="W495"/>
    <hyperlink r:id="rId1631" ref="AB495"/>
    <hyperlink r:id="rId1632" ref="J496"/>
    <hyperlink r:id="rId1633" ref="U496"/>
    <hyperlink r:id="rId1634" ref="AB496"/>
    <hyperlink r:id="rId1635" ref="U497"/>
    <hyperlink r:id="rId1636" ref="AB497"/>
    <hyperlink r:id="rId1637" ref="J498"/>
    <hyperlink r:id="rId1638" ref="U498"/>
    <hyperlink r:id="rId1639" ref="AB498"/>
    <hyperlink r:id="rId1640" ref="J499"/>
    <hyperlink r:id="rId1641" ref="U499"/>
    <hyperlink r:id="rId264" ref="W499"/>
    <hyperlink r:id="rId1642" ref="AB499"/>
    <hyperlink r:id="rId1643" ref="J500"/>
    <hyperlink r:id="rId1644" ref="U500"/>
    <hyperlink r:id="rId1645" ref="W500"/>
    <hyperlink r:id="rId1646" ref="AB500"/>
    <hyperlink r:id="rId1444" ref="J501"/>
    <hyperlink r:id="rId1445" ref="U501"/>
    <hyperlink r:id="rId1647" ref="AB501"/>
    <hyperlink r:id="rId1648" ref="J502"/>
    <hyperlink r:id="rId1649" ref="U502"/>
    <hyperlink r:id="rId1650" ref="V502"/>
    <hyperlink r:id="rId1651" ref="W502"/>
    <hyperlink r:id="rId1652" ref="AB502"/>
    <hyperlink r:id="rId1653" ref="J503"/>
    <hyperlink r:id="rId1654" ref="U503"/>
    <hyperlink r:id="rId1655" ref="AB503"/>
    <hyperlink r:id="rId1656" ref="J504"/>
    <hyperlink r:id="rId1657" ref="U504"/>
    <hyperlink r:id="rId1658" ref="AB504"/>
    <hyperlink r:id="rId1659" ref="J505"/>
    <hyperlink r:id="rId1660" ref="U505"/>
    <hyperlink r:id="rId1661" ref="W505"/>
    <hyperlink r:id="rId1662" ref="AB505"/>
    <hyperlink r:id="rId1663" ref="J506"/>
    <hyperlink r:id="rId1664" ref="U506"/>
    <hyperlink r:id="rId1665" ref="W506"/>
    <hyperlink r:id="rId1666" ref="AB506"/>
    <hyperlink r:id="rId1667" ref="J507"/>
    <hyperlink r:id="rId1668" ref="U507"/>
    <hyperlink r:id="rId1669" ref="AB507"/>
    <hyperlink r:id="rId1670" ref="J508"/>
    <hyperlink r:id="rId1671" ref="U508"/>
    <hyperlink r:id="rId1672" ref="V508"/>
    <hyperlink r:id="rId1673" ref="AB508"/>
    <hyperlink r:id="rId1674" ref="J509"/>
    <hyperlink r:id="rId1675" ref="U509"/>
    <hyperlink r:id="rId1676" ref="W509"/>
    <hyperlink r:id="rId1677" ref="AB509"/>
    <hyperlink r:id="rId1678" ref="J510"/>
    <hyperlink r:id="rId1679" ref="U510"/>
    <hyperlink r:id="rId1680" ref="AB510"/>
    <hyperlink r:id="rId1681" ref="U511"/>
    <hyperlink r:id="rId1682" ref="AB511"/>
    <hyperlink r:id="rId1683" ref="J512"/>
    <hyperlink r:id="rId1684" ref="U512"/>
    <hyperlink r:id="rId1685" ref="W512"/>
    <hyperlink r:id="rId1686" ref="AB512"/>
    <hyperlink r:id="rId1687" ref="J513"/>
    <hyperlink r:id="rId1688" ref="U513"/>
    <hyperlink r:id="rId1689" ref="V513"/>
    <hyperlink r:id="rId1690" ref="AB513"/>
    <hyperlink r:id="rId1691" ref="J514"/>
    <hyperlink r:id="rId1692" ref="U514"/>
    <hyperlink r:id="rId1693" ref="AB514"/>
    <hyperlink r:id="rId1694" ref="J515"/>
    <hyperlink r:id="rId1695" ref="U515"/>
    <hyperlink r:id="rId1696" ref="V515"/>
    <hyperlink r:id="rId1697" ref="W515"/>
    <hyperlink r:id="rId1698" ref="AB515"/>
    <hyperlink r:id="rId1699" ref="J516"/>
    <hyperlink r:id="rId1700" ref="U516"/>
    <hyperlink r:id="rId1701" ref="W516"/>
    <hyperlink r:id="rId1702" ref="AB516"/>
    <hyperlink r:id="rId1703" ref="J517"/>
    <hyperlink r:id="rId1704" ref="U517"/>
    <hyperlink r:id="rId1705" ref="AB517"/>
    <hyperlink r:id="rId1706" ref="J518"/>
    <hyperlink r:id="rId1707" ref="U518"/>
    <hyperlink r:id="rId1708" ref="V518"/>
    <hyperlink r:id="rId1709" ref="W518"/>
    <hyperlink r:id="rId1710" ref="AB518"/>
    <hyperlink r:id="rId1711" ref="J519"/>
    <hyperlink r:id="rId1712" ref="U519"/>
    <hyperlink r:id="rId1713" ref="W519"/>
    <hyperlink r:id="rId1714" ref="AB519"/>
    <hyperlink r:id="rId1715" ref="J520"/>
    <hyperlink r:id="rId1716" ref="U520"/>
    <hyperlink r:id="rId1717" ref="W520"/>
    <hyperlink r:id="rId1718" ref="AB520"/>
    <hyperlink r:id="rId1719" ref="J521"/>
    <hyperlink r:id="rId1720" ref="U521"/>
    <hyperlink r:id="rId1721" ref="AB521"/>
    <hyperlink r:id="rId1722" ref="J522"/>
    <hyperlink r:id="rId1723" ref="U522"/>
    <hyperlink r:id="rId1724" ref="AB522"/>
    <hyperlink r:id="rId1725" ref="J523"/>
    <hyperlink r:id="rId1726" ref="U523"/>
    <hyperlink r:id="rId1727" ref="AB523"/>
    <hyperlink r:id="rId1728" ref="J524"/>
    <hyperlink r:id="rId1729" ref="U524"/>
    <hyperlink r:id="rId1730" ref="AB524"/>
    <hyperlink r:id="rId1731" ref="J525"/>
    <hyperlink r:id="rId1732" ref="U525"/>
    <hyperlink r:id="rId1733" ref="AB525"/>
    <hyperlink r:id="rId1734" ref="J526"/>
    <hyperlink r:id="rId1735" ref="U526"/>
    <hyperlink r:id="rId1736" ref="AB526"/>
    <hyperlink r:id="rId1737" ref="J527"/>
    <hyperlink r:id="rId1738" ref="U527"/>
    <hyperlink r:id="rId1739" ref="V527"/>
    <hyperlink r:id="rId1740" ref="W527"/>
    <hyperlink r:id="rId1741" ref="AB527"/>
    <hyperlink r:id="rId1742" ref="J528"/>
    <hyperlink r:id="rId1743" ref="U528"/>
    <hyperlink r:id="rId1744" ref="AB528"/>
    <hyperlink r:id="rId1745" ref="J529"/>
    <hyperlink r:id="rId1746" ref="U529"/>
    <hyperlink r:id="rId1747" ref="AB529"/>
    <hyperlink r:id="rId1748" ref="J530"/>
    <hyperlink r:id="rId1749" ref="U530"/>
    <hyperlink r:id="rId1750" ref="AB530"/>
    <hyperlink r:id="rId1751" ref="J531"/>
    <hyperlink r:id="rId1752" ref="U531"/>
    <hyperlink r:id="rId1753" ref="AB531"/>
    <hyperlink r:id="rId1754" ref="J532"/>
    <hyperlink r:id="rId1755" ref="U532"/>
    <hyperlink r:id="rId1756" ref="AB532"/>
    <hyperlink r:id="rId1757" ref="J533"/>
    <hyperlink r:id="rId1758" ref="U533"/>
    <hyperlink r:id="rId1759" ref="AB533"/>
    <hyperlink r:id="rId1760" ref="J534"/>
    <hyperlink r:id="rId1761" ref="U534"/>
    <hyperlink r:id="rId1762" ref="AB534"/>
    <hyperlink r:id="rId1763" ref="J535"/>
    <hyperlink r:id="rId1764" ref="U535"/>
    <hyperlink r:id="rId1765" ref="AB535"/>
    <hyperlink r:id="rId1766" ref="J536"/>
    <hyperlink r:id="rId1767" ref="U536"/>
    <hyperlink r:id="rId1768" ref="V536"/>
    <hyperlink r:id="rId1769" ref="W536"/>
    <hyperlink r:id="rId1770" ref="AB536"/>
    <hyperlink r:id="rId1771" ref="J537"/>
    <hyperlink r:id="rId1772" ref="U537"/>
    <hyperlink r:id="rId1773" ref="V537"/>
    <hyperlink r:id="rId1774" ref="AB537"/>
    <hyperlink r:id="rId1775" ref="J538"/>
    <hyperlink r:id="rId1776" ref="U538"/>
    <hyperlink r:id="rId1777" ref="W538"/>
    <hyperlink r:id="rId1778" ref="AB538"/>
    <hyperlink r:id="rId1779" ref="J539"/>
    <hyperlink r:id="rId1780" ref="U539"/>
    <hyperlink r:id="rId1781" ref="AB539"/>
    <hyperlink r:id="rId1782" ref="J540"/>
    <hyperlink r:id="rId1783" ref="U540"/>
    <hyperlink r:id="rId1784" ref="AB540"/>
    <hyperlink r:id="rId1785" ref="J541"/>
    <hyperlink r:id="rId1786" ref="U541"/>
    <hyperlink r:id="rId1787" ref="AB541"/>
    <hyperlink r:id="rId1788" ref="J542"/>
    <hyperlink r:id="rId1789" ref="U542"/>
    <hyperlink r:id="rId1790" ref="AB542"/>
    <hyperlink r:id="rId1791" ref="J543"/>
    <hyperlink r:id="rId1792" ref="U543"/>
    <hyperlink r:id="rId1793" ref="AB543"/>
    <hyperlink r:id="rId1794" ref="J544"/>
    <hyperlink r:id="rId1795" ref="U544"/>
    <hyperlink r:id="rId1796" ref="AB544"/>
    <hyperlink r:id="rId1797" ref="J545"/>
    <hyperlink r:id="rId1798" ref="U545"/>
    <hyperlink r:id="rId1799" ref="V545"/>
    <hyperlink r:id="rId1800" ref="W545"/>
    <hyperlink r:id="rId1801" ref="AB545"/>
    <hyperlink r:id="rId1802" ref="J546"/>
    <hyperlink r:id="rId1803" ref="U546"/>
    <hyperlink r:id="rId1804" ref="W546"/>
    <hyperlink r:id="rId1805" ref="AB546"/>
    <hyperlink r:id="rId1806" ref="J547"/>
    <hyperlink r:id="rId1807" ref="U547"/>
    <hyperlink r:id="rId1808" ref="W547"/>
    <hyperlink r:id="rId1809" ref="AB547"/>
    <hyperlink r:id="rId1810" ref="J548"/>
    <hyperlink r:id="rId1811" ref="U548"/>
    <hyperlink r:id="rId1812" ref="AB548"/>
    <hyperlink r:id="rId1813" ref="U549"/>
    <hyperlink r:id="rId1814" ref="AB549"/>
    <hyperlink r:id="rId1815" ref="J550"/>
    <hyperlink r:id="rId1816" ref="U550"/>
    <hyperlink r:id="rId1817" ref="V550"/>
    <hyperlink r:id="rId1818" ref="W550"/>
    <hyperlink r:id="rId1819" ref="AB550"/>
    <hyperlink r:id="rId1820" ref="J551"/>
    <hyperlink r:id="rId1821" ref="U551"/>
    <hyperlink r:id="rId1822" ref="W551"/>
    <hyperlink r:id="rId1823" ref="AB551"/>
    <hyperlink r:id="rId1824" ref="J552"/>
    <hyperlink r:id="rId1825" ref="U552"/>
    <hyperlink r:id="rId1826" ref="V552"/>
    <hyperlink r:id="rId1827" ref="W552"/>
    <hyperlink r:id="rId1828" ref="AB552"/>
    <hyperlink r:id="rId1829" ref="J553"/>
    <hyperlink r:id="rId1830" ref="U553"/>
    <hyperlink r:id="rId1831" ref="W553"/>
    <hyperlink r:id="rId1832" ref="AB553"/>
    <hyperlink r:id="rId1833" ref="J554"/>
    <hyperlink r:id="rId1834" ref="U554"/>
    <hyperlink r:id="rId1835" ref="AB554"/>
    <hyperlink r:id="rId1836" ref="J555"/>
    <hyperlink r:id="rId1837" ref="U555"/>
    <hyperlink r:id="rId1838" ref="W555"/>
    <hyperlink r:id="rId1839" ref="AB555"/>
    <hyperlink r:id="rId1840" ref="J556"/>
    <hyperlink r:id="rId1841" ref="U556"/>
    <hyperlink r:id="rId1842" ref="AB556"/>
    <hyperlink r:id="rId1049" ref="J557"/>
    <hyperlink r:id="rId1050" ref="U557"/>
    <hyperlink r:id="rId1843" ref="AB557"/>
    <hyperlink r:id="rId1844" ref="J558"/>
    <hyperlink r:id="rId1845" ref="U558"/>
    <hyperlink r:id="rId1846" ref="AB558"/>
    <hyperlink r:id="rId893" ref="U559"/>
    <hyperlink r:id="rId1847" ref="AB559"/>
    <hyperlink r:id="rId1848" ref="J560"/>
    <hyperlink r:id="rId1849" ref="U560"/>
    <hyperlink r:id="rId1850" ref="W560"/>
    <hyperlink r:id="rId1851" ref="AB560"/>
    <hyperlink r:id="rId1852" ref="J561"/>
    <hyperlink r:id="rId1853" ref="U561"/>
    <hyperlink r:id="rId1854" ref="AB561"/>
    <hyperlink r:id="rId1855" ref="J562"/>
    <hyperlink r:id="rId1856" ref="U562"/>
    <hyperlink r:id="rId1857" ref="AB562"/>
    <hyperlink r:id="rId1858" ref="J563"/>
    <hyperlink r:id="rId1859" ref="U563"/>
    <hyperlink r:id="rId1860" ref="AB563"/>
    <hyperlink r:id="rId1861" ref="J564"/>
    <hyperlink r:id="rId1862" ref="U564"/>
    <hyperlink r:id="rId1863" ref="V564"/>
    <hyperlink r:id="rId1864" ref="W564"/>
    <hyperlink r:id="rId1865" ref="AB564"/>
    <hyperlink r:id="rId1866" ref="J565"/>
    <hyperlink r:id="rId1867" ref="U565"/>
    <hyperlink r:id="rId1868" ref="V565"/>
    <hyperlink r:id="rId1869" ref="W565"/>
    <hyperlink r:id="rId1870" ref="AB565"/>
    <hyperlink r:id="rId1871" ref="J566"/>
    <hyperlink r:id="rId1872" ref="U566"/>
    <hyperlink r:id="rId1873" ref="AB566"/>
    <hyperlink r:id="rId1874" ref="J567"/>
    <hyperlink r:id="rId1875" ref="U567"/>
    <hyperlink r:id="rId1876" ref="AB567"/>
    <hyperlink r:id="rId1877" ref="J568"/>
    <hyperlink r:id="rId1878" ref="U568"/>
    <hyperlink r:id="rId1879" ref="AB568"/>
    <hyperlink r:id="rId1880" ref="J569"/>
    <hyperlink r:id="rId1881" ref="U569"/>
    <hyperlink r:id="rId1882" ref="W569"/>
    <hyperlink r:id="rId1883" ref="AB569"/>
    <hyperlink r:id="rId1884" ref="J570"/>
    <hyperlink r:id="rId1885" ref="U570"/>
    <hyperlink r:id="rId1886" ref="AB570"/>
    <hyperlink r:id="rId1887" ref="J571"/>
    <hyperlink r:id="rId1888" ref="U571"/>
    <hyperlink r:id="rId1889" ref="W571"/>
    <hyperlink r:id="rId1890" ref="AB571"/>
    <hyperlink r:id="rId1891" ref="J572"/>
    <hyperlink r:id="rId1892" ref="U572"/>
    <hyperlink r:id="rId1893" ref="AB572"/>
    <hyperlink r:id="rId1894" ref="J573"/>
    <hyperlink r:id="rId1895" ref="U573"/>
    <hyperlink r:id="rId1896" ref="V573"/>
    <hyperlink r:id="rId1897" ref="AB573"/>
    <hyperlink r:id="rId1898" ref="J574"/>
    <hyperlink r:id="rId1899" ref="U574"/>
    <hyperlink r:id="rId1900" ref="AB574"/>
    <hyperlink r:id="rId1901" ref="J575"/>
    <hyperlink r:id="rId1902" ref="U575"/>
    <hyperlink r:id="rId1903" ref="W575"/>
    <hyperlink r:id="rId1904" ref="AB575"/>
    <hyperlink r:id="rId1905" ref="J576"/>
    <hyperlink r:id="rId1906" ref="U576"/>
    <hyperlink r:id="rId1907" ref="V576"/>
    <hyperlink r:id="rId1908" ref="W576"/>
    <hyperlink r:id="rId1909" ref="AB576"/>
    <hyperlink r:id="rId1910" ref="J577"/>
    <hyperlink r:id="rId1911" ref="U577"/>
    <hyperlink r:id="rId1912" ref="AB577"/>
    <hyperlink r:id="rId1913" ref="J578"/>
    <hyperlink r:id="rId1914" ref="U578"/>
    <hyperlink r:id="rId1915" ref="AB578"/>
    <hyperlink r:id="rId1916" ref="J579"/>
    <hyperlink r:id="rId1917" ref="U579"/>
    <hyperlink r:id="rId1918" ref="V579"/>
    <hyperlink r:id="rId1919" ref="AB579"/>
    <hyperlink r:id="rId1920" ref="J580"/>
    <hyperlink r:id="rId1921" ref="U580"/>
    <hyperlink r:id="rId1922" ref="W580"/>
    <hyperlink r:id="rId1923" ref="AB580"/>
    <hyperlink r:id="rId1924" ref="J581"/>
    <hyperlink r:id="rId1925" ref="U581"/>
    <hyperlink r:id="rId1926" ref="AB581"/>
    <hyperlink r:id="rId1927" ref="J582"/>
    <hyperlink r:id="rId1928" ref="U582"/>
    <hyperlink r:id="rId1929" ref="AB582"/>
    <hyperlink r:id="rId1930" ref="U583"/>
    <hyperlink r:id="rId1931" ref="AB583"/>
    <hyperlink r:id="rId1932" ref="J584"/>
    <hyperlink r:id="rId1933" ref="U584"/>
    <hyperlink r:id="rId1934" ref="AB584"/>
    <hyperlink r:id="rId1935" ref="J585"/>
    <hyperlink r:id="rId1936" ref="U585"/>
    <hyperlink r:id="rId1937" ref="AB585"/>
    <hyperlink r:id="rId1938" ref="J586"/>
    <hyperlink r:id="rId1939" ref="U586"/>
    <hyperlink r:id="rId1940" ref="W586"/>
    <hyperlink r:id="rId1941" ref="AB586"/>
    <hyperlink r:id="rId1942" ref="J587"/>
    <hyperlink r:id="rId1943" ref="U587"/>
    <hyperlink r:id="rId1944" ref="V587"/>
    <hyperlink r:id="rId1945" ref="W587"/>
    <hyperlink r:id="rId1946" ref="AB587"/>
    <hyperlink r:id="rId1947" ref="J588"/>
    <hyperlink r:id="rId1948" ref="U588"/>
    <hyperlink r:id="rId1949" ref="AB588"/>
    <hyperlink r:id="rId1950" ref="J589"/>
    <hyperlink r:id="rId1951" ref="U589"/>
    <hyperlink r:id="rId1952" ref="W589"/>
    <hyperlink r:id="rId1953" ref="AB589"/>
    <hyperlink r:id="rId1954" ref="J590"/>
    <hyperlink r:id="rId1955" ref="U590"/>
    <hyperlink r:id="rId1956" ref="W590"/>
    <hyperlink r:id="rId1957" ref="AB590"/>
    <hyperlink r:id="rId1958" ref="J591"/>
    <hyperlink r:id="rId1959" ref="U591"/>
    <hyperlink r:id="rId1960" ref="AB591"/>
    <hyperlink r:id="rId1961" ref="J592"/>
    <hyperlink r:id="rId1962" ref="U592"/>
    <hyperlink r:id="rId1963" ref="V592"/>
    <hyperlink r:id="rId1964" ref="AB592"/>
    <hyperlink r:id="rId1965" ref="J593"/>
    <hyperlink r:id="rId1966" ref="U593"/>
    <hyperlink r:id="rId1967" ref="V593"/>
    <hyperlink r:id="rId1968" ref="W593"/>
    <hyperlink r:id="rId1969" ref="AB593"/>
    <hyperlink r:id="rId1970" ref="J594"/>
    <hyperlink r:id="rId1971" ref="U594"/>
    <hyperlink r:id="rId1972" ref="AB594"/>
    <hyperlink r:id="rId1973" ref="J595"/>
    <hyperlink r:id="rId1974" ref="U595"/>
    <hyperlink r:id="rId1975" ref="AB595"/>
    <hyperlink r:id="rId1976" ref="J596"/>
    <hyperlink r:id="rId1977" ref="U596"/>
    <hyperlink r:id="rId1978" ref="AB596"/>
    <hyperlink r:id="rId1979" ref="J597"/>
    <hyperlink r:id="rId1980" ref="U597"/>
    <hyperlink r:id="rId1981" ref="W597"/>
    <hyperlink r:id="rId1982" ref="AB597"/>
    <hyperlink r:id="rId1983" ref="J598"/>
    <hyperlink r:id="rId1984" ref="U598"/>
    <hyperlink r:id="rId1985" ref="AB598"/>
    <hyperlink r:id="rId1986" ref="J599"/>
    <hyperlink r:id="rId1987" ref="U599"/>
    <hyperlink r:id="rId1988" ref="AB599"/>
    <hyperlink r:id="rId927" ref="J600"/>
    <hyperlink r:id="rId928" ref="U600"/>
    <hyperlink r:id="rId1989" ref="AB600"/>
    <hyperlink r:id="rId1990" ref="J601"/>
    <hyperlink r:id="rId1991" ref="U601"/>
    <hyperlink r:id="rId1992" ref="AB601"/>
    <hyperlink r:id="rId1993" ref="J602"/>
    <hyperlink r:id="rId1994" ref="U602"/>
    <hyperlink r:id="rId1995" ref="V602"/>
    <hyperlink r:id="rId1996" ref="W602"/>
    <hyperlink r:id="rId1997" ref="AB602"/>
    <hyperlink r:id="rId1998" ref="J603"/>
    <hyperlink r:id="rId1999" ref="U603"/>
    <hyperlink r:id="rId2000" ref="AB603"/>
    <hyperlink r:id="rId2001" ref="U604"/>
    <hyperlink r:id="rId2002" ref="AB604"/>
    <hyperlink r:id="rId1310" ref="J605"/>
    <hyperlink r:id="rId1311" ref="U605"/>
    <hyperlink r:id="rId1312" ref="V605"/>
    <hyperlink r:id="rId1313" ref="W605"/>
    <hyperlink r:id="rId2003" ref="AB605"/>
    <hyperlink r:id="rId2004" ref="J606"/>
    <hyperlink r:id="rId2005" ref="U606"/>
    <hyperlink r:id="rId2006" ref="V606"/>
    <hyperlink r:id="rId2007" ref="W606"/>
    <hyperlink r:id="rId2008" ref="AB606"/>
    <hyperlink r:id="rId2009" ref="J607"/>
    <hyperlink r:id="rId2010" ref="U607"/>
    <hyperlink r:id="rId2011" ref="AB607"/>
    <hyperlink r:id="rId2012" ref="J608"/>
    <hyperlink r:id="rId2013" ref="U608"/>
    <hyperlink r:id="rId2014" ref="V608"/>
    <hyperlink r:id="rId2015" ref="W608"/>
    <hyperlink r:id="rId2016" ref="AB608"/>
    <hyperlink r:id="rId2017" ref="J609"/>
    <hyperlink r:id="rId2018" ref="U609"/>
    <hyperlink r:id="rId2019" ref="W609"/>
    <hyperlink r:id="rId2020" ref="AB609"/>
    <hyperlink r:id="rId2021" ref="J610"/>
    <hyperlink r:id="rId2022" ref="U610"/>
    <hyperlink r:id="rId2023" ref="W610"/>
    <hyperlink r:id="rId2024" ref="AB610"/>
    <hyperlink r:id="rId2025" ref="J611"/>
    <hyperlink r:id="rId2026" ref="U611"/>
    <hyperlink r:id="rId2027" ref="V611"/>
    <hyperlink r:id="rId2028" ref="W611"/>
    <hyperlink r:id="rId2029" ref="AB611"/>
    <hyperlink r:id="rId2030" ref="J612"/>
    <hyperlink r:id="rId2031" ref="U612"/>
    <hyperlink r:id="rId2032" ref="AB612"/>
    <hyperlink r:id="rId2033" ref="J613"/>
    <hyperlink r:id="rId2034" ref="U613"/>
    <hyperlink r:id="rId2035" ref="AB613"/>
    <hyperlink r:id="rId2036" ref="U614"/>
    <hyperlink r:id="rId2037" ref="W614"/>
    <hyperlink r:id="rId2038" ref="AB614"/>
    <hyperlink r:id="rId2039" ref="J615"/>
    <hyperlink r:id="rId2040" ref="U615"/>
    <hyperlink r:id="rId2041" ref="V615"/>
    <hyperlink r:id="rId2042" ref="W615"/>
    <hyperlink r:id="rId2043" ref="AB615"/>
    <hyperlink r:id="rId1261" ref="J616"/>
    <hyperlink r:id="rId1262" ref="U616"/>
    <hyperlink r:id="rId2044" ref="AB616"/>
    <hyperlink r:id="rId2045" ref="J617"/>
    <hyperlink r:id="rId2046" ref="U617"/>
    <hyperlink r:id="rId2047" ref="W617"/>
    <hyperlink r:id="rId2048" ref="AB617"/>
    <hyperlink r:id="rId2049" ref="J618"/>
    <hyperlink r:id="rId2050" ref="U618"/>
    <hyperlink r:id="rId2051" ref="AB618"/>
    <hyperlink r:id="rId2052" ref="U619"/>
    <hyperlink r:id="rId2053" ref="AB619"/>
    <hyperlink r:id="rId2054" ref="U620"/>
    <hyperlink r:id="rId2055" ref="AB620"/>
    <hyperlink r:id="rId2056" ref="J621"/>
    <hyperlink r:id="rId2057" ref="U621"/>
    <hyperlink r:id="rId2058" ref="AB621"/>
    <hyperlink r:id="rId487" ref="J622"/>
    <hyperlink r:id="rId488" ref="U622"/>
    <hyperlink r:id="rId489" ref="W622"/>
    <hyperlink r:id="rId2059" ref="AB622"/>
    <hyperlink r:id="rId2060" ref="U623"/>
    <hyperlink r:id="rId2061" ref="AB623"/>
    <hyperlink r:id="rId2062" ref="J624"/>
    <hyperlink r:id="rId2063" ref="U624"/>
    <hyperlink r:id="rId2064" ref="V624"/>
    <hyperlink r:id="rId2065" ref="AB624"/>
    <hyperlink r:id="rId2066" ref="J625"/>
    <hyperlink r:id="rId2067" ref="U625"/>
    <hyperlink r:id="rId2068" ref="AB625"/>
    <hyperlink r:id="rId2069" ref="H626"/>
    <hyperlink r:id="rId2069" ref="J626"/>
    <hyperlink r:id="rId2070" ref="U626"/>
    <hyperlink r:id="rId2071" ref="AB626"/>
    <hyperlink r:id="rId2072" ref="J627"/>
    <hyperlink r:id="rId2073" ref="U627"/>
    <hyperlink r:id="rId2074" ref="AB627"/>
    <hyperlink r:id="rId2075" ref="J628"/>
    <hyperlink r:id="rId2076" ref="U628"/>
    <hyperlink r:id="rId2077" ref="W628"/>
    <hyperlink r:id="rId2078" ref="AB628"/>
    <hyperlink r:id="rId2079" ref="J629"/>
    <hyperlink r:id="rId2080" ref="U629"/>
    <hyperlink r:id="rId2081" ref="AB629"/>
    <hyperlink r:id="rId2082" ref="J630"/>
    <hyperlink r:id="rId2083" ref="U630"/>
    <hyperlink r:id="rId2084" ref="AB630"/>
    <hyperlink r:id="rId2085" ref="J631"/>
    <hyperlink r:id="rId2086" ref="U631"/>
    <hyperlink r:id="rId2087" ref="AB631"/>
    <hyperlink r:id="rId2088" ref="J632"/>
    <hyperlink r:id="rId2089" ref="U632"/>
    <hyperlink r:id="rId2090" ref="AB632"/>
    <hyperlink r:id="rId2091" ref="J633"/>
    <hyperlink r:id="rId2092" ref="U633"/>
    <hyperlink r:id="rId2093" ref="V633"/>
    <hyperlink r:id="rId2094" ref="W633"/>
    <hyperlink r:id="rId2095" ref="AB633"/>
    <hyperlink r:id="rId2096" ref="J634"/>
    <hyperlink r:id="rId2097" ref="U634"/>
    <hyperlink r:id="rId2098" ref="AB634"/>
    <hyperlink r:id="rId2099" ref="J635"/>
    <hyperlink r:id="rId2100" ref="U635"/>
    <hyperlink r:id="rId2101" ref="AB635"/>
    <hyperlink r:id="rId2102" ref="J636"/>
    <hyperlink r:id="rId2103" ref="U636"/>
    <hyperlink r:id="rId2104" ref="AB636"/>
    <hyperlink r:id="rId2105" ref="J637"/>
    <hyperlink r:id="rId2106" ref="U637"/>
    <hyperlink r:id="rId2107" ref="AB637"/>
    <hyperlink r:id="rId2108" ref="J638"/>
    <hyperlink r:id="rId2109" ref="U638"/>
    <hyperlink r:id="rId2110" ref="AB638"/>
    <hyperlink r:id="rId2111" ref="J639"/>
    <hyperlink r:id="rId2112" ref="U639"/>
    <hyperlink r:id="rId2113" ref="V639"/>
    <hyperlink r:id="rId2114" ref="AB639"/>
    <hyperlink r:id="rId2115" ref="J640"/>
    <hyperlink r:id="rId2116" ref="U640"/>
    <hyperlink r:id="rId2117" ref="AB640"/>
    <hyperlink r:id="rId2118" ref="J641"/>
    <hyperlink r:id="rId2119" ref="U641"/>
    <hyperlink r:id="rId2120" ref="V641"/>
    <hyperlink r:id="rId2121" ref="AB641"/>
    <hyperlink r:id="rId2122" ref="J642"/>
    <hyperlink r:id="rId2123" ref="U642"/>
    <hyperlink r:id="rId2124" ref="V642"/>
    <hyperlink r:id="rId2125" ref="AB642"/>
    <hyperlink r:id="rId2126" ref="J643"/>
    <hyperlink r:id="rId2127" ref="U643"/>
    <hyperlink r:id="rId2128" ref="W643"/>
    <hyperlink r:id="rId2129" ref="AB643"/>
    <hyperlink r:id="rId2130" ref="J644"/>
    <hyperlink r:id="rId2131" ref="U644"/>
    <hyperlink r:id="rId2132" ref="V644"/>
    <hyperlink r:id="rId264" ref="W644"/>
    <hyperlink r:id="rId2133" ref="AB644"/>
    <hyperlink r:id="rId2134" ref="J645"/>
    <hyperlink r:id="rId2135" ref="U645"/>
    <hyperlink r:id="rId2136" ref="AB645"/>
    <hyperlink r:id="rId2137" ref="J646"/>
    <hyperlink r:id="rId2138" ref="U646"/>
    <hyperlink r:id="rId2139" ref="V646"/>
    <hyperlink r:id="rId2140" ref="W646"/>
    <hyperlink r:id="rId2141" ref="AB646"/>
    <hyperlink r:id="rId2142" ref="J647"/>
    <hyperlink r:id="rId2143" ref="U647"/>
    <hyperlink r:id="rId2144" ref="AB647"/>
    <hyperlink r:id="rId2145" ref="J648"/>
    <hyperlink r:id="rId2146" ref="U648"/>
    <hyperlink r:id="rId2147" ref="AB648"/>
    <hyperlink r:id="rId2148" ref="J649"/>
    <hyperlink r:id="rId2149" ref="U649"/>
    <hyperlink r:id="rId2150" ref="AB649"/>
    <hyperlink r:id="rId2151" ref="J650"/>
    <hyperlink r:id="rId2152" ref="U650"/>
    <hyperlink r:id="rId2153" ref="AB650"/>
    <hyperlink r:id="rId2154" ref="J651"/>
    <hyperlink r:id="rId2155" ref="U651"/>
    <hyperlink r:id="rId2156" ref="V651"/>
    <hyperlink r:id="rId2157" ref="AB651"/>
    <hyperlink r:id="rId2158" ref="J652"/>
    <hyperlink r:id="rId2159" ref="U652"/>
    <hyperlink r:id="rId2160" ref="AB652"/>
    <hyperlink r:id="rId2161" ref="J653"/>
    <hyperlink r:id="rId2162" ref="U653"/>
    <hyperlink r:id="rId2163" ref="AB653"/>
    <hyperlink r:id="rId2164" ref="J654"/>
    <hyperlink r:id="rId2165" ref="U654"/>
    <hyperlink r:id="rId2166" ref="AB654"/>
    <hyperlink r:id="rId1208" ref="J655"/>
    <hyperlink r:id="rId1209" ref="U655"/>
    <hyperlink r:id="rId2167" ref="AB655"/>
    <hyperlink r:id="rId2168" ref="J656"/>
    <hyperlink r:id="rId2169" ref="U656"/>
    <hyperlink r:id="rId2170" ref="V656"/>
    <hyperlink r:id="rId2171" ref="AB656"/>
    <hyperlink r:id="rId2172" ref="J657"/>
    <hyperlink r:id="rId2173" ref="U657"/>
    <hyperlink r:id="rId2174" ref="AB657"/>
    <hyperlink r:id="rId2175" ref="J658"/>
    <hyperlink r:id="rId2176" ref="U658"/>
    <hyperlink r:id="rId2177" ref="W658"/>
    <hyperlink r:id="rId2178" ref="AB658"/>
    <hyperlink r:id="rId270" ref="J659"/>
    <hyperlink r:id="rId271" ref="U659"/>
    <hyperlink r:id="rId2179" ref="AB659"/>
    <hyperlink r:id="rId2180" ref="J660"/>
    <hyperlink r:id="rId2181" ref="U660"/>
    <hyperlink r:id="rId2182" ref="AB660"/>
    <hyperlink r:id="rId2183" ref="J661"/>
    <hyperlink r:id="rId2184" ref="U661"/>
    <hyperlink r:id="rId2185" ref="V661"/>
    <hyperlink r:id="rId2186" ref="W661"/>
    <hyperlink r:id="rId2187" ref="AB661"/>
    <hyperlink r:id="rId2188" ref="U662"/>
    <hyperlink r:id="rId2189" ref="AB662"/>
    <hyperlink r:id="rId2190" ref="U663"/>
    <hyperlink r:id="rId2191" ref="AB663"/>
    <hyperlink r:id="rId2192" ref="J664"/>
    <hyperlink r:id="rId2193" ref="U664"/>
    <hyperlink r:id="rId2194" ref="W664"/>
    <hyperlink r:id="rId2195" ref="AB664"/>
    <hyperlink r:id="rId2196" ref="J665"/>
    <hyperlink r:id="rId2197" ref="U665"/>
    <hyperlink r:id="rId2198" ref="AB665"/>
    <hyperlink r:id="rId1171" ref="J666"/>
    <hyperlink r:id="rId1172" ref="U666"/>
    <hyperlink r:id="rId1173" ref="W666"/>
    <hyperlink r:id="rId2199" ref="AB666"/>
    <hyperlink r:id="rId2200" ref="J667"/>
    <hyperlink r:id="rId2201" ref="U667"/>
    <hyperlink r:id="rId2202" ref="AB667"/>
    <hyperlink r:id="rId2203" ref="J668"/>
    <hyperlink r:id="rId2204" ref="U668"/>
    <hyperlink r:id="rId2205" ref="V668"/>
    <hyperlink r:id="rId2206" ref="AB668"/>
    <hyperlink r:id="rId2207" ref="J669"/>
    <hyperlink r:id="rId2208" ref="U669"/>
    <hyperlink r:id="rId2209" ref="AB669"/>
    <hyperlink r:id="rId2069" ref="H670"/>
    <hyperlink r:id="rId2069" ref="J670"/>
    <hyperlink r:id="rId2070" ref="U670"/>
    <hyperlink r:id="rId2210" ref="AB670"/>
    <hyperlink r:id="rId1367" ref="U671"/>
    <hyperlink r:id="rId2211" ref="AB671"/>
    <hyperlink r:id="rId2212" ref="J672"/>
    <hyperlink r:id="rId2213" ref="U672"/>
    <hyperlink r:id="rId2214" ref="W672"/>
    <hyperlink r:id="rId2215" ref="AB672"/>
    <hyperlink r:id="rId2216" ref="J673"/>
    <hyperlink r:id="rId2217" ref="U673"/>
    <hyperlink r:id="rId2218" ref="V673"/>
    <hyperlink r:id="rId2219" ref="W673"/>
    <hyperlink r:id="rId2220" ref="AB673"/>
    <hyperlink r:id="rId2221" ref="J674"/>
    <hyperlink r:id="rId2222" ref="U674"/>
    <hyperlink r:id="rId2223" ref="AB674"/>
    <hyperlink r:id="rId2224" ref="J675"/>
    <hyperlink r:id="rId2225" ref="U675"/>
    <hyperlink r:id="rId2226" ref="AB675"/>
    <hyperlink r:id="rId2227" ref="J676"/>
    <hyperlink r:id="rId2228" ref="U676"/>
    <hyperlink r:id="rId2229" ref="AB676"/>
    <hyperlink r:id="rId797" ref="U677"/>
    <hyperlink r:id="rId2230" ref="AB677"/>
    <hyperlink r:id="rId2231" ref="J678"/>
    <hyperlink r:id="rId2232" ref="U678"/>
    <hyperlink r:id="rId2233" ref="AB678"/>
    <hyperlink r:id="rId2234" ref="J679"/>
    <hyperlink r:id="rId2235" ref="U679"/>
    <hyperlink r:id="rId2236" ref="AB679"/>
    <hyperlink r:id="rId2237" ref="J680"/>
    <hyperlink r:id="rId2238" ref="U680"/>
    <hyperlink r:id="rId2239" ref="W680"/>
    <hyperlink r:id="rId2240" ref="AB680"/>
    <hyperlink r:id="rId2241" ref="J681"/>
    <hyperlink r:id="rId2242" ref="U681"/>
    <hyperlink r:id="rId2243" ref="V681"/>
    <hyperlink r:id="rId264" ref="W681"/>
    <hyperlink r:id="rId2244" ref="AB681"/>
    <hyperlink r:id="rId2245" ref="J682"/>
    <hyperlink r:id="rId2246" ref="U682"/>
    <hyperlink r:id="rId2247" ref="V682"/>
    <hyperlink r:id="rId2248" ref="W682"/>
    <hyperlink r:id="rId2249" ref="AB682"/>
    <hyperlink r:id="rId2250" ref="J683"/>
    <hyperlink r:id="rId2251" ref="U683"/>
    <hyperlink r:id="rId2252" ref="V683"/>
    <hyperlink r:id="rId2253" ref="W683"/>
    <hyperlink r:id="rId2254" ref="AB683"/>
    <hyperlink r:id="rId2255" ref="J684"/>
    <hyperlink r:id="rId2256" ref="U684"/>
    <hyperlink r:id="rId2257" ref="AB684"/>
    <hyperlink r:id="rId2258" ref="J685"/>
    <hyperlink r:id="rId2259" ref="U685"/>
    <hyperlink r:id="rId2260" ref="AB685"/>
    <hyperlink r:id="rId2261" ref="J686"/>
    <hyperlink r:id="rId2262" ref="U686"/>
    <hyperlink r:id="rId2263" ref="AB686"/>
    <hyperlink r:id="rId2264" ref="J687"/>
    <hyperlink r:id="rId2265" ref="U687"/>
    <hyperlink r:id="rId2266" ref="V687"/>
    <hyperlink r:id="rId2267" ref="W687"/>
    <hyperlink r:id="rId2268" ref="AB687"/>
    <hyperlink r:id="rId2269" ref="J688"/>
    <hyperlink r:id="rId2270" ref="U688"/>
    <hyperlink r:id="rId2271" ref="AB688"/>
    <hyperlink r:id="rId2272" ref="J689"/>
    <hyperlink r:id="rId2273" ref="U689"/>
    <hyperlink r:id="rId2274" ref="V689"/>
    <hyperlink r:id="rId2275" ref="W689"/>
    <hyperlink r:id="rId2276" ref="AB689"/>
    <hyperlink r:id="rId2277" ref="J690"/>
    <hyperlink r:id="rId2278" ref="U690"/>
    <hyperlink r:id="rId2279" ref="AB690"/>
    <hyperlink r:id="rId2280" ref="J691"/>
    <hyperlink r:id="rId2281" ref="U691"/>
    <hyperlink r:id="rId2282" ref="AB691"/>
    <hyperlink r:id="rId2283" ref="J692"/>
    <hyperlink r:id="rId2284" ref="U692"/>
    <hyperlink r:id="rId2285" ref="AB692"/>
    <hyperlink r:id="rId2286" ref="J693"/>
    <hyperlink r:id="rId2287" ref="U693"/>
    <hyperlink r:id="rId2288" ref="AB693"/>
    <hyperlink r:id="rId2289" ref="J694"/>
    <hyperlink r:id="rId2290" ref="U694"/>
    <hyperlink r:id="rId2291" ref="V694"/>
    <hyperlink r:id="rId2292" ref="W694"/>
    <hyperlink r:id="rId2293" ref="AB694"/>
    <hyperlink r:id="rId2294" ref="J695"/>
    <hyperlink r:id="rId2295" ref="U695"/>
    <hyperlink r:id="rId2296" ref="W695"/>
    <hyperlink r:id="rId2297" ref="AB695"/>
    <hyperlink r:id="rId2298" ref="J696"/>
    <hyperlink r:id="rId2299" ref="U696"/>
    <hyperlink r:id="rId2300" ref="V696"/>
    <hyperlink r:id="rId2301" ref="W696"/>
    <hyperlink r:id="rId2302" ref="AB696"/>
    <hyperlink r:id="rId2303" ref="J697"/>
    <hyperlink r:id="rId2304" ref="U697"/>
    <hyperlink r:id="rId2305" ref="AB697"/>
    <hyperlink r:id="rId2306" ref="J698"/>
    <hyperlink r:id="rId2307" ref="U698"/>
    <hyperlink r:id="rId2308" ref="AB698"/>
    <hyperlink r:id="rId2309" ref="J699"/>
    <hyperlink r:id="rId2310" ref="U699"/>
    <hyperlink r:id="rId2311" ref="AB699"/>
    <hyperlink r:id="rId2312" ref="U700"/>
    <hyperlink r:id="rId2313" ref="AB700"/>
    <hyperlink r:id="rId2314" ref="J701"/>
    <hyperlink r:id="rId2315" ref="U701"/>
    <hyperlink r:id="rId2316" ref="AB701"/>
    <hyperlink r:id="rId2317" ref="J702"/>
    <hyperlink r:id="rId2318" ref="U702"/>
    <hyperlink r:id="rId2319" ref="AB702"/>
    <hyperlink r:id="rId2320" ref="J703"/>
    <hyperlink r:id="rId2321" ref="U703"/>
    <hyperlink r:id="rId2322" ref="W703"/>
    <hyperlink r:id="rId2323" ref="AB703"/>
    <hyperlink r:id="rId2324" ref="J704"/>
    <hyperlink r:id="rId2325" ref="U704"/>
    <hyperlink r:id="rId2326" ref="AB704"/>
    <hyperlink r:id="rId2327" ref="J705"/>
    <hyperlink r:id="rId2328" ref="U705"/>
    <hyperlink r:id="rId2329" ref="V705"/>
    <hyperlink r:id="rId2330" ref="W705"/>
    <hyperlink r:id="rId2331" ref="AB705"/>
    <hyperlink r:id="rId2332" ref="J706"/>
    <hyperlink r:id="rId2333" ref="U706"/>
    <hyperlink r:id="rId2334" ref="AB706"/>
    <hyperlink r:id="rId2335" ref="J707"/>
    <hyperlink r:id="rId2336" ref="U707"/>
    <hyperlink r:id="rId2337" ref="AB707"/>
    <hyperlink r:id="rId2338" ref="J708"/>
    <hyperlink r:id="rId2339" ref="U708"/>
    <hyperlink r:id="rId2340" ref="AB708"/>
    <hyperlink r:id="rId2341" ref="J709"/>
    <hyperlink r:id="rId2342" ref="U709"/>
    <hyperlink r:id="rId2343" ref="AB709"/>
    <hyperlink r:id="rId2344" ref="J710"/>
    <hyperlink r:id="rId2345" ref="U710"/>
    <hyperlink r:id="rId2346" ref="AB710"/>
    <hyperlink r:id="rId2347" ref="J711"/>
    <hyperlink r:id="rId2348" ref="U711"/>
    <hyperlink r:id="rId2349" ref="V711"/>
    <hyperlink r:id="rId2350" ref="AB711"/>
    <hyperlink r:id="rId2351" ref="J712"/>
    <hyperlink r:id="rId2352" ref="U712"/>
    <hyperlink r:id="rId2353" ref="AB712"/>
    <hyperlink r:id="rId2354" ref="J713"/>
    <hyperlink r:id="rId2355" ref="U713"/>
    <hyperlink r:id="rId2356" ref="W713"/>
    <hyperlink r:id="rId2357" ref="AB713"/>
    <hyperlink r:id="rId2358" ref="J714"/>
    <hyperlink r:id="rId2359" ref="U714"/>
    <hyperlink r:id="rId2360" ref="AB714"/>
    <hyperlink r:id="rId825" ref="J715"/>
    <hyperlink r:id="rId826" ref="U715"/>
    <hyperlink r:id="rId2361" ref="AB715"/>
    <hyperlink r:id="rId53" ref="J716"/>
    <hyperlink r:id="rId54" ref="U716"/>
    <hyperlink r:id="rId2362" ref="AB716"/>
    <hyperlink r:id="rId2363" ref="J717"/>
    <hyperlink r:id="rId2364" ref="U717"/>
    <hyperlink r:id="rId2365" ref="V717"/>
    <hyperlink r:id="rId2366" ref="W717"/>
    <hyperlink r:id="rId2367" ref="AB717"/>
    <hyperlink r:id="rId2368" ref="J718"/>
    <hyperlink r:id="rId2369" ref="U718"/>
    <hyperlink r:id="rId2370" ref="AB718"/>
    <hyperlink r:id="rId2371" ref="J719"/>
    <hyperlink r:id="rId2372" ref="U719"/>
    <hyperlink r:id="rId264" ref="W719"/>
    <hyperlink r:id="rId2373" ref="AB719"/>
    <hyperlink r:id="rId2374" ref="J720"/>
    <hyperlink r:id="rId2375" ref="U720"/>
    <hyperlink r:id="rId2376" ref="AB720"/>
    <hyperlink r:id="rId2377" ref="J721"/>
    <hyperlink r:id="rId2378" ref="U721"/>
    <hyperlink r:id="rId2379" ref="AB721"/>
    <hyperlink r:id="rId2380" ref="J722"/>
    <hyperlink r:id="rId2381" ref="U722"/>
    <hyperlink r:id="rId2382" ref="AB722"/>
    <hyperlink r:id="rId2383" ref="J723"/>
    <hyperlink r:id="rId2384" ref="U723"/>
    <hyperlink r:id="rId2385" ref="AB723"/>
    <hyperlink r:id="rId2386" ref="J724"/>
    <hyperlink r:id="rId2387" ref="U724"/>
    <hyperlink r:id="rId2388" ref="W724"/>
    <hyperlink r:id="rId2389" ref="AB724"/>
    <hyperlink r:id="rId2390" ref="J725"/>
    <hyperlink r:id="rId2391" ref="U725"/>
    <hyperlink r:id="rId2392" ref="V725"/>
    <hyperlink r:id="rId2393" ref="W725"/>
    <hyperlink r:id="rId2394" ref="AB725"/>
    <hyperlink r:id="rId2395" ref="J726"/>
    <hyperlink r:id="rId2396" ref="U726"/>
    <hyperlink r:id="rId2397" ref="V726"/>
    <hyperlink r:id="rId2398" ref="W726"/>
    <hyperlink r:id="rId2399" ref="AB726"/>
    <hyperlink r:id="rId2400" ref="J727"/>
    <hyperlink r:id="rId2401" ref="U727"/>
    <hyperlink r:id="rId2402" ref="V727"/>
    <hyperlink r:id="rId2403" ref="AB727"/>
    <hyperlink r:id="rId1310" ref="J728"/>
    <hyperlink r:id="rId1311" ref="U728"/>
    <hyperlink r:id="rId1312" ref="V728"/>
    <hyperlink r:id="rId1313" ref="W728"/>
    <hyperlink r:id="rId2404" ref="AB728"/>
    <hyperlink r:id="rId420" ref="J729"/>
    <hyperlink r:id="rId421" ref="U729"/>
    <hyperlink r:id="rId2405" ref="AB729"/>
    <hyperlink r:id="rId2406" ref="J730"/>
    <hyperlink r:id="rId2407" ref="U730"/>
    <hyperlink r:id="rId2408" ref="AB730"/>
    <hyperlink r:id="rId2409" ref="J731"/>
    <hyperlink r:id="rId2410" ref="U731"/>
    <hyperlink r:id="rId2411" ref="AB731"/>
    <hyperlink r:id="rId487" ref="J732"/>
    <hyperlink r:id="rId488" ref="U732"/>
    <hyperlink r:id="rId489" ref="W732"/>
    <hyperlink r:id="rId2412" ref="AB732"/>
    <hyperlink r:id="rId2413" ref="J733"/>
    <hyperlink r:id="rId2414" ref="U733"/>
    <hyperlink r:id="rId2415" ref="AB733"/>
    <hyperlink r:id="rId487" ref="J734"/>
    <hyperlink r:id="rId488" ref="U734"/>
    <hyperlink r:id="rId489" ref="W734"/>
    <hyperlink r:id="rId2416" ref="AB734"/>
    <hyperlink r:id="rId2417" ref="J735"/>
    <hyperlink r:id="rId2418" ref="U735"/>
    <hyperlink r:id="rId2419" ref="V735"/>
    <hyperlink r:id="rId2420" ref="W735"/>
    <hyperlink r:id="rId2421" ref="AB735"/>
    <hyperlink r:id="rId2422" ref="J736"/>
    <hyperlink r:id="rId2423" ref="U736"/>
    <hyperlink r:id="rId2424" ref="AB736"/>
    <hyperlink r:id="rId2425" ref="J737"/>
    <hyperlink r:id="rId2426" ref="U737"/>
    <hyperlink r:id="rId2427" ref="AB737"/>
    <hyperlink r:id="rId2428" ref="J738"/>
    <hyperlink r:id="rId2429" ref="U738"/>
    <hyperlink r:id="rId2430" ref="V738"/>
    <hyperlink r:id="rId2431" ref="AB738"/>
    <hyperlink r:id="rId2432" ref="U739"/>
    <hyperlink r:id="rId2433" ref="W739"/>
    <hyperlink r:id="rId2434" ref="AB739"/>
    <hyperlink r:id="rId2435" ref="J740"/>
    <hyperlink r:id="rId2436" ref="U740"/>
    <hyperlink r:id="rId2437" ref="AB740"/>
    <hyperlink r:id="rId2438" ref="J741"/>
    <hyperlink r:id="rId2439" ref="U741"/>
    <hyperlink r:id="rId2440" ref="AB741"/>
    <hyperlink r:id="rId2441" ref="J742"/>
    <hyperlink r:id="rId2442" ref="U742"/>
    <hyperlink r:id="rId2443" ref="V742"/>
    <hyperlink r:id="rId2444" ref="W742"/>
    <hyperlink r:id="rId2445" ref="AB742"/>
    <hyperlink r:id="rId2446" ref="J743"/>
    <hyperlink r:id="rId2447" ref="U743"/>
    <hyperlink r:id="rId2448" ref="W743"/>
    <hyperlink r:id="rId2449" ref="AB743"/>
    <hyperlink r:id="rId2450" ref="J744"/>
    <hyperlink r:id="rId2451" ref="U744"/>
    <hyperlink r:id="rId2452" ref="V744"/>
    <hyperlink r:id="rId264" ref="W744"/>
    <hyperlink r:id="rId2453" ref="AB744"/>
    <hyperlink r:id="rId2454" ref="J745"/>
    <hyperlink r:id="rId2455" ref="U745"/>
    <hyperlink r:id="rId2456" ref="AB745"/>
    <hyperlink r:id="rId2457" ref="J746"/>
    <hyperlink r:id="rId2458" ref="U746"/>
    <hyperlink r:id="rId2459" ref="AB746"/>
    <hyperlink r:id="rId2460" ref="J747"/>
    <hyperlink r:id="rId2461" ref="U747"/>
    <hyperlink r:id="rId2462" ref="W747"/>
    <hyperlink r:id="rId2463" ref="AB747"/>
    <hyperlink r:id="rId2464" ref="J748"/>
    <hyperlink r:id="rId2465" ref="U748"/>
    <hyperlink r:id="rId2466" ref="AB748"/>
    <hyperlink r:id="rId2467" ref="J749"/>
    <hyperlink r:id="rId2468" ref="U749"/>
    <hyperlink r:id="rId2469" ref="AB749"/>
    <hyperlink r:id="rId426" ref="J750"/>
    <hyperlink r:id="rId427" ref="U750"/>
    <hyperlink r:id="rId2470" ref="AB750"/>
    <hyperlink r:id="rId2471" ref="J751"/>
    <hyperlink r:id="rId2472" ref="U751"/>
    <hyperlink r:id="rId2473" ref="AB751"/>
    <hyperlink r:id="rId2474" ref="J752"/>
    <hyperlink r:id="rId2475" ref="U752"/>
    <hyperlink r:id="rId2476" ref="AB752"/>
    <hyperlink r:id="rId2477" ref="J753"/>
    <hyperlink r:id="rId2478" ref="U753"/>
    <hyperlink r:id="rId2479" ref="V753"/>
    <hyperlink r:id="rId2480" ref="W753"/>
    <hyperlink r:id="rId2481" ref="AB753"/>
    <hyperlink r:id="rId455" ref="J754"/>
    <hyperlink r:id="rId456" ref="U754"/>
    <hyperlink r:id="rId2482" ref="AB754"/>
    <hyperlink r:id="rId2483" ref="J755"/>
    <hyperlink r:id="rId2484" ref="U755"/>
    <hyperlink r:id="rId2485" ref="AB755"/>
    <hyperlink r:id="rId2486" ref="U756"/>
    <hyperlink r:id="rId2487" ref="AB756"/>
    <hyperlink r:id="rId2488" ref="J757"/>
    <hyperlink r:id="rId2489" ref="U757"/>
    <hyperlink r:id="rId2490" ref="V757"/>
    <hyperlink r:id="rId2491" ref="AB757"/>
    <hyperlink r:id="rId2492" ref="J758"/>
    <hyperlink r:id="rId2493" ref="U758"/>
    <hyperlink r:id="rId2494" ref="AB758"/>
    <hyperlink r:id="rId2495" ref="J759"/>
    <hyperlink r:id="rId2496" ref="U759"/>
    <hyperlink r:id="rId2497" ref="AB759"/>
    <hyperlink r:id="rId2498" ref="J760"/>
    <hyperlink r:id="rId2499" ref="U760"/>
    <hyperlink r:id="rId2500" ref="AB760"/>
    <hyperlink r:id="rId2501" ref="J761"/>
    <hyperlink r:id="rId2502" ref="U761"/>
    <hyperlink r:id="rId2503" ref="AB761"/>
    <hyperlink r:id="rId2504" ref="J762"/>
    <hyperlink r:id="rId2505" ref="U762"/>
    <hyperlink r:id="rId2506" ref="AB762"/>
    <hyperlink r:id="rId2507" ref="J763"/>
    <hyperlink r:id="rId2508" ref="U763"/>
    <hyperlink r:id="rId2509" ref="V763"/>
    <hyperlink r:id="rId2510" ref="W763"/>
    <hyperlink r:id="rId2511" ref="AB763"/>
    <hyperlink r:id="rId2512" ref="J764"/>
    <hyperlink r:id="rId2513" ref="U764"/>
    <hyperlink r:id="rId2514" ref="V764"/>
    <hyperlink r:id="rId2515" ref="W764"/>
    <hyperlink r:id="rId2516" ref="AB764"/>
    <hyperlink r:id="rId2517" ref="J765"/>
    <hyperlink r:id="rId2518" ref="U765"/>
    <hyperlink r:id="rId2519" ref="V765"/>
    <hyperlink r:id="rId2520" ref="W765"/>
    <hyperlink r:id="rId2521" ref="AB765"/>
    <hyperlink r:id="rId420" ref="J766"/>
    <hyperlink r:id="rId421" ref="U766"/>
    <hyperlink r:id="rId2522" ref="AB766"/>
    <hyperlink r:id="rId2523" ref="J767"/>
    <hyperlink r:id="rId2524" ref="U767"/>
    <hyperlink r:id="rId2525" ref="V767"/>
    <hyperlink r:id="rId2526" ref="AB767"/>
    <hyperlink r:id="rId2527" ref="J768"/>
    <hyperlink r:id="rId2528" ref="U768"/>
    <hyperlink r:id="rId2529" ref="V768"/>
    <hyperlink r:id="rId2530" ref="W768"/>
    <hyperlink r:id="rId2531" ref="AB768"/>
    <hyperlink r:id="rId2532" ref="J769"/>
    <hyperlink r:id="rId2533" ref="U769"/>
    <hyperlink r:id="rId2534" ref="W769"/>
    <hyperlink r:id="rId2535" ref="AB769"/>
    <hyperlink r:id="rId2536" ref="J770"/>
    <hyperlink r:id="rId2537" ref="U770"/>
    <hyperlink r:id="rId2538" ref="AB770"/>
    <hyperlink r:id="rId2539" ref="J771"/>
    <hyperlink r:id="rId2540" ref="U771"/>
    <hyperlink r:id="rId2541" ref="AB771"/>
    <hyperlink r:id="rId2542" ref="J772"/>
    <hyperlink r:id="rId2543" ref="U772"/>
    <hyperlink r:id="rId2544" ref="AB772"/>
    <hyperlink r:id="rId2545" ref="J773"/>
    <hyperlink r:id="rId2546" ref="U773"/>
    <hyperlink r:id="rId2547" ref="W773"/>
    <hyperlink r:id="rId2548" ref="AB773"/>
    <hyperlink r:id="rId2549" ref="J774"/>
    <hyperlink r:id="rId2550" ref="U774"/>
    <hyperlink r:id="rId2551" ref="AB774"/>
    <hyperlink r:id="rId2552" ref="J775"/>
    <hyperlink r:id="rId2553" ref="U775"/>
    <hyperlink r:id="rId2554" ref="AB775"/>
    <hyperlink r:id="rId2555" ref="U776"/>
    <hyperlink r:id="rId2556" ref="AB776"/>
    <hyperlink r:id="rId2557" ref="J777"/>
    <hyperlink r:id="rId2558" ref="U777"/>
    <hyperlink r:id="rId2559" ref="W777"/>
    <hyperlink r:id="rId2560" ref="AB777"/>
    <hyperlink r:id="rId2561" ref="J778"/>
    <hyperlink r:id="rId2562" ref="U778"/>
    <hyperlink r:id="rId2563" ref="W778"/>
    <hyperlink r:id="rId2564" ref="AB778"/>
    <hyperlink r:id="rId2565" ref="J779"/>
    <hyperlink r:id="rId2566" ref="U779"/>
    <hyperlink r:id="rId2567" ref="AB779"/>
    <hyperlink r:id="rId2568" ref="U780"/>
    <hyperlink r:id="rId2569" ref="AB780"/>
    <hyperlink r:id="rId2570" ref="J781"/>
    <hyperlink r:id="rId2571" ref="U781"/>
    <hyperlink r:id="rId2572" ref="W781"/>
    <hyperlink r:id="rId2573" ref="AB781"/>
    <hyperlink r:id="rId2574" ref="J782"/>
    <hyperlink r:id="rId2575" ref="U782"/>
    <hyperlink r:id="rId2576" ref="AB782"/>
    <hyperlink r:id="rId2577" ref="J783"/>
    <hyperlink r:id="rId2578" ref="U783"/>
    <hyperlink r:id="rId2579" ref="W783"/>
    <hyperlink r:id="rId2580" ref="AB783"/>
    <hyperlink r:id="rId2581" ref="J784"/>
    <hyperlink r:id="rId2582" ref="U784"/>
    <hyperlink r:id="rId2583" ref="AB784"/>
    <hyperlink r:id="rId2584" ref="J785"/>
    <hyperlink r:id="rId2585" ref="U785"/>
    <hyperlink r:id="rId2586" ref="V785"/>
    <hyperlink r:id="rId2587" ref="W785"/>
    <hyperlink r:id="rId2588" ref="AB785"/>
    <hyperlink r:id="rId2589" ref="J786"/>
    <hyperlink r:id="rId2590" ref="U786"/>
    <hyperlink r:id="rId2591" ref="AB786"/>
    <hyperlink r:id="rId2592" ref="J787"/>
    <hyperlink r:id="rId2593" ref="U787"/>
    <hyperlink r:id="rId2594" ref="V787"/>
    <hyperlink r:id="rId2595" ref="W787"/>
    <hyperlink r:id="rId2596" ref="AB787"/>
    <hyperlink r:id="rId2597" ref="J788"/>
    <hyperlink r:id="rId2598" ref="U788"/>
    <hyperlink r:id="rId2599" ref="AB788"/>
    <hyperlink r:id="rId2600" ref="J789"/>
    <hyperlink r:id="rId2601" ref="U789"/>
    <hyperlink r:id="rId2602" ref="AB789"/>
    <hyperlink r:id="rId2603" ref="J790"/>
    <hyperlink r:id="rId2604" ref="U790"/>
    <hyperlink r:id="rId2605" ref="AB790"/>
    <hyperlink r:id="rId1453" ref="J791"/>
    <hyperlink r:id="rId1454" ref="U791"/>
    <hyperlink r:id="rId2606" ref="AB791"/>
    <hyperlink r:id="rId2607" ref="J792"/>
    <hyperlink r:id="rId2608" ref="U792"/>
    <hyperlink r:id="rId2609" ref="V792"/>
    <hyperlink r:id="rId2610" ref="W792"/>
    <hyperlink r:id="rId2611" ref="AB792"/>
    <hyperlink r:id="rId86" ref="U793"/>
    <hyperlink r:id="rId2612" ref="AB793"/>
    <hyperlink r:id="rId2613" ref="J794"/>
    <hyperlink r:id="rId2614" ref="U794"/>
    <hyperlink r:id="rId2615" ref="AB794"/>
    <hyperlink r:id="rId2616" ref="J795"/>
    <hyperlink r:id="rId2617" ref="U795"/>
    <hyperlink r:id="rId2618" ref="W795"/>
    <hyperlink r:id="rId2619" ref="AB795"/>
    <hyperlink r:id="rId2620" ref="J796"/>
    <hyperlink r:id="rId2621" ref="U796"/>
    <hyperlink r:id="rId2622" ref="AB796"/>
    <hyperlink r:id="rId2623" ref="J797"/>
    <hyperlink r:id="rId2624" ref="U797"/>
    <hyperlink r:id="rId2625" ref="V797"/>
    <hyperlink r:id="rId2626" ref="AB797"/>
    <hyperlink r:id="rId1785" ref="J798"/>
    <hyperlink r:id="rId1786" ref="U798"/>
    <hyperlink r:id="rId2627" ref="AB798"/>
    <hyperlink r:id="rId2628" ref="J799"/>
    <hyperlink r:id="rId2629" ref="U799"/>
    <hyperlink r:id="rId2630" ref="AB799"/>
    <hyperlink r:id="rId2631" ref="J800"/>
    <hyperlink r:id="rId2632" ref="U800"/>
    <hyperlink r:id="rId2633" ref="W800"/>
    <hyperlink r:id="rId2634" ref="AB800"/>
    <hyperlink r:id="rId2635" ref="J801"/>
    <hyperlink r:id="rId2636" ref="U801"/>
    <hyperlink r:id="rId264" ref="W801"/>
    <hyperlink r:id="rId2637" ref="AB801"/>
    <hyperlink r:id="rId2638" ref="J802"/>
    <hyperlink r:id="rId2639" ref="U802"/>
    <hyperlink r:id="rId2640" ref="V802"/>
    <hyperlink r:id="rId2641" ref="W802"/>
    <hyperlink r:id="rId2642" ref="AB802"/>
    <hyperlink r:id="rId2643" ref="J803"/>
    <hyperlink r:id="rId2644" ref="U803"/>
    <hyperlink r:id="rId2645" ref="AB803"/>
    <hyperlink r:id="rId2646" ref="J804"/>
    <hyperlink r:id="rId2647" ref="U804"/>
    <hyperlink r:id="rId2648" ref="AB804"/>
    <hyperlink r:id="rId2649" ref="J805"/>
    <hyperlink r:id="rId2650" ref="U805"/>
    <hyperlink r:id="rId2651" ref="AB805"/>
    <hyperlink r:id="rId2652" ref="J806"/>
    <hyperlink r:id="rId2653" ref="U806"/>
    <hyperlink r:id="rId2654" ref="V806"/>
    <hyperlink r:id="rId2655" ref="W806"/>
    <hyperlink r:id="rId2656" ref="AB806"/>
    <hyperlink r:id="rId2657" ref="J807"/>
    <hyperlink r:id="rId2658" ref="U807"/>
    <hyperlink r:id="rId2659" ref="AB807"/>
    <hyperlink r:id="rId2660" ref="J808"/>
    <hyperlink r:id="rId2661" ref="U808"/>
    <hyperlink r:id="rId2662" ref="V808"/>
    <hyperlink r:id="rId2663" ref="W808"/>
    <hyperlink r:id="rId2664" ref="AB808"/>
    <hyperlink r:id="rId2665" ref="J809"/>
    <hyperlink r:id="rId2666" ref="U809"/>
    <hyperlink r:id="rId2667" ref="AB809"/>
    <hyperlink r:id="rId2668" ref="J810"/>
    <hyperlink r:id="rId2669" ref="U810"/>
    <hyperlink r:id="rId2670" ref="AB810"/>
    <hyperlink r:id="rId2671" ref="J811"/>
    <hyperlink r:id="rId2672" ref="U811"/>
    <hyperlink r:id="rId2673" ref="AB811"/>
    <hyperlink r:id="rId224" ref="J812"/>
    <hyperlink r:id="rId225" ref="U812"/>
    <hyperlink r:id="rId226" ref="V812"/>
    <hyperlink r:id="rId227" ref="W812"/>
    <hyperlink r:id="rId2674" ref="AB812"/>
    <hyperlink r:id="rId2675" ref="J813"/>
    <hyperlink r:id="rId2676" ref="U813"/>
    <hyperlink r:id="rId2677" ref="AB813"/>
    <hyperlink r:id="rId2678" ref="J814"/>
    <hyperlink r:id="rId2679" ref="U814"/>
    <hyperlink r:id="rId2680" ref="V814"/>
    <hyperlink r:id="rId2681" ref="W814"/>
    <hyperlink r:id="rId2682" ref="AB814"/>
    <hyperlink r:id="rId2683" ref="J815"/>
    <hyperlink r:id="rId2684" ref="U815"/>
    <hyperlink r:id="rId2685" ref="AB815"/>
    <hyperlink r:id="rId2686" ref="J816"/>
    <hyperlink r:id="rId2687" ref="U816"/>
    <hyperlink r:id="rId2688" ref="AB816"/>
    <hyperlink r:id="rId2689" ref="J817"/>
    <hyperlink r:id="rId2690" ref="U817"/>
    <hyperlink r:id="rId2691" ref="W817"/>
    <hyperlink r:id="rId2692" ref="AB817"/>
    <hyperlink r:id="rId2693" ref="J818"/>
    <hyperlink r:id="rId2694" ref="U818"/>
    <hyperlink r:id="rId2695" ref="AB818"/>
    <hyperlink r:id="rId2696" ref="U819"/>
    <hyperlink r:id="rId2697" ref="AB819"/>
    <hyperlink r:id="rId2698" ref="J820"/>
    <hyperlink r:id="rId2699" ref="U820"/>
    <hyperlink r:id="rId2700" ref="W820"/>
    <hyperlink r:id="rId2701" ref="AB820"/>
    <hyperlink r:id="rId2702" ref="J821"/>
    <hyperlink r:id="rId2703" ref="U821"/>
    <hyperlink r:id="rId2704" ref="AB821"/>
    <hyperlink r:id="rId2705" ref="J822"/>
    <hyperlink r:id="rId2706" ref="U822"/>
    <hyperlink r:id="rId2707" ref="AB822"/>
    <hyperlink r:id="rId2708" ref="J823"/>
    <hyperlink r:id="rId2709" ref="U823"/>
    <hyperlink r:id="rId2710" ref="W823"/>
    <hyperlink r:id="rId2711" ref="AB823"/>
    <hyperlink r:id="rId2486" ref="U824"/>
    <hyperlink r:id="rId2712" ref="AB824"/>
    <hyperlink r:id="rId2713" ref="J825"/>
    <hyperlink r:id="rId2714" ref="U825"/>
    <hyperlink r:id="rId2715" ref="AB825"/>
    <hyperlink r:id="rId2716" ref="J826"/>
    <hyperlink r:id="rId2717" ref="U826"/>
    <hyperlink r:id="rId2718" ref="AB826"/>
    <hyperlink r:id="rId2719" ref="J827"/>
    <hyperlink r:id="rId2720" ref="U827"/>
    <hyperlink r:id="rId2721" ref="V827"/>
    <hyperlink r:id="rId2722" ref="W827"/>
    <hyperlink r:id="rId2723" ref="AB827"/>
    <hyperlink r:id="rId2724" ref="J828"/>
    <hyperlink r:id="rId2725" ref="U828"/>
    <hyperlink r:id="rId2726" ref="W828"/>
    <hyperlink r:id="rId2727" ref="AB828"/>
    <hyperlink r:id="rId220" ref="J829"/>
    <hyperlink r:id="rId221" ref="U829"/>
    <hyperlink r:id="rId2728" ref="AB829"/>
    <hyperlink r:id="rId2729" ref="J830"/>
    <hyperlink r:id="rId2730" ref="U830"/>
    <hyperlink r:id="rId2731" ref="AB830"/>
    <hyperlink r:id="rId2732" ref="J831"/>
    <hyperlink r:id="rId2733" ref="U831"/>
    <hyperlink r:id="rId2734" ref="W831"/>
    <hyperlink r:id="rId2735" ref="AB831"/>
    <hyperlink r:id="rId2736" ref="U832"/>
    <hyperlink r:id="rId2737" ref="AB832"/>
    <hyperlink r:id="rId2738" ref="J833"/>
    <hyperlink r:id="rId2739" ref="U833"/>
    <hyperlink r:id="rId2740" ref="AB833"/>
    <hyperlink r:id="rId2741" ref="J834"/>
    <hyperlink r:id="rId2742" ref="U834"/>
    <hyperlink r:id="rId2743" ref="W834"/>
    <hyperlink r:id="rId2744" ref="AB834"/>
    <hyperlink r:id="rId2745" ref="J835"/>
    <hyperlink r:id="rId2746" ref="U835"/>
    <hyperlink r:id="rId2747" ref="AB835"/>
    <hyperlink r:id="rId2748" ref="J836"/>
    <hyperlink r:id="rId2749" ref="U836"/>
    <hyperlink r:id="rId2750" ref="AB836"/>
    <hyperlink r:id="rId2751" ref="J837"/>
    <hyperlink r:id="rId2752" ref="U837"/>
    <hyperlink r:id="rId2753" ref="V837"/>
    <hyperlink r:id="rId2754" ref="W837"/>
    <hyperlink r:id="rId2755" ref="AB837"/>
    <hyperlink r:id="rId2756" ref="J838"/>
    <hyperlink r:id="rId2757" ref="U838"/>
    <hyperlink r:id="rId2758" ref="AB838"/>
    <hyperlink r:id="rId2759" ref="J839"/>
    <hyperlink r:id="rId2760" ref="U839"/>
    <hyperlink r:id="rId2761" ref="V839"/>
    <hyperlink r:id="rId2762" ref="W839"/>
    <hyperlink r:id="rId2763" ref="AB839"/>
    <hyperlink r:id="rId2764" ref="J840"/>
    <hyperlink r:id="rId2765" ref="U840"/>
    <hyperlink r:id="rId2766" ref="AB840"/>
    <hyperlink r:id="rId2767" ref="J841"/>
    <hyperlink r:id="rId2768" ref="U841"/>
    <hyperlink r:id="rId2769" ref="AB841"/>
    <hyperlink r:id="rId2770" ref="J842"/>
    <hyperlink r:id="rId2771" ref="U842"/>
    <hyperlink r:id="rId2772" ref="AB842"/>
    <hyperlink r:id="rId2773" ref="J843"/>
    <hyperlink r:id="rId2774" ref="U843"/>
    <hyperlink r:id="rId2775" ref="AB843"/>
    <hyperlink r:id="rId2776" ref="J844"/>
    <hyperlink r:id="rId2777" ref="U844"/>
    <hyperlink r:id="rId2778" ref="AB844"/>
    <hyperlink r:id="rId2779" ref="J845"/>
    <hyperlink r:id="rId2780" ref="U845"/>
    <hyperlink r:id="rId2781" ref="AB845"/>
    <hyperlink r:id="rId2782" ref="J846"/>
    <hyperlink r:id="rId2783" ref="U846"/>
    <hyperlink r:id="rId2784" ref="AB846"/>
    <hyperlink r:id="rId2785" ref="J847"/>
    <hyperlink r:id="rId2786" ref="U847"/>
    <hyperlink r:id="rId2787" ref="AB847"/>
    <hyperlink r:id="rId2788" ref="J848"/>
    <hyperlink r:id="rId2789" ref="U848"/>
    <hyperlink r:id="rId2790" ref="AB848"/>
    <hyperlink r:id="rId1585" ref="J849"/>
    <hyperlink r:id="rId1586" ref="U849"/>
    <hyperlink r:id="rId2791" ref="AB849"/>
    <hyperlink r:id="rId2792" ref="J850"/>
    <hyperlink r:id="rId2793" ref="U850"/>
    <hyperlink r:id="rId2794" ref="AB850"/>
    <hyperlink r:id="rId2795" ref="J851"/>
    <hyperlink r:id="rId2796" ref="U851"/>
    <hyperlink r:id="rId2797" ref="AB851"/>
    <hyperlink r:id="rId2798" ref="J852"/>
    <hyperlink r:id="rId2799" ref="U852"/>
    <hyperlink r:id="rId2800" ref="W852"/>
    <hyperlink r:id="rId2801" ref="AB852"/>
    <hyperlink r:id="rId2802" ref="J853"/>
    <hyperlink r:id="rId2803" ref="U853"/>
    <hyperlink r:id="rId2804" ref="AB853"/>
    <hyperlink r:id="rId2805" ref="J854"/>
    <hyperlink r:id="rId2806" ref="U854"/>
    <hyperlink r:id="rId2807" ref="V854"/>
    <hyperlink r:id="rId2808" ref="AB854"/>
    <hyperlink r:id="rId2809" ref="J855"/>
    <hyperlink r:id="rId2810" ref="U855"/>
    <hyperlink r:id="rId2811" ref="AB855"/>
    <hyperlink r:id="rId2812" ref="H856"/>
    <hyperlink r:id="rId2812" ref="J856"/>
    <hyperlink r:id="rId2813" ref="U856"/>
    <hyperlink r:id="rId2814" ref="AB856"/>
    <hyperlink r:id="rId487" ref="J857"/>
    <hyperlink r:id="rId488" ref="U857"/>
    <hyperlink r:id="rId489" ref="W857"/>
    <hyperlink r:id="rId2815" ref="AB857"/>
    <hyperlink r:id="rId2816" ref="J858"/>
    <hyperlink r:id="rId2817" ref="U858"/>
    <hyperlink r:id="rId2818" ref="W858"/>
    <hyperlink r:id="rId2819" ref="AB858"/>
    <hyperlink r:id="rId2820" ref="J859"/>
    <hyperlink r:id="rId2821" ref="U859"/>
    <hyperlink r:id="rId2822" ref="W859"/>
    <hyperlink r:id="rId2823" ref="AB859"/>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onlyoffice/8.0.1.1</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gaetanc@pm.me</cp:lastModifiedBy>
  <cp:revision>13</cp:revision>
  <dcterms:modified xsi:type="dcterms:W3CDTF">2025-03-21T17:48:41Z</dcterms:modified>
</cp:coreProperties>
</file>